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ate1904="1" showInkAnnotation="0" updateLinks="always" codeName="ThisWorkbook"/>
  <mc:AlternateContent xmlns:mc="http://schemas.openxmlformats.org/markup-compatibility/2006">
    <mc:Choice Requires="x15">
      <x15ac:absPath xmlns:x15ac="http://schemas.microsoft.com/office/spreadsheetml/2010/11/ac" url="D:\Bilan carbone\Exercice dirigé\Corrigé Bilan carbone entreprise\"/>
    </mc:Choice>
  </mc:AlternateContent>
  <xr:revisionPtr revIDLastSave="0" documentId="13_ncr:1_{DBC0A613-ED5D-4D97-B3FA-0DD4D8264612}" xr6:coauthVersionLast="36" xr6:coauthVersionMax="36" xr10:uidLastSave="{00000000-0000-0000-0000-000000000000}"/>
  <bookViews>
    <workbookView xWindow="0" yWindow="0" windowWidth="23040" windowHeight="9192" tabRatio="801" firstSheet="2" activeTab="3" xr2:uid="{00000000-000D-0000-FFFF-FFFF00000000}"/>
  </bookViews>
  <sheets>
    <sheet name="Descriptif" sheetId="62908" r:id="rId1"/>
    <sheet name="Energie 1" sheetId="62926" r:id="rId2"/>
    <sheet name="Energie 2" sheetId="62925" r:id="rId3"/>
    <sheet name="Hors énergie 1" sheetId="3" r:id="rId4"/>
    <sheet name="Hors énergie 2" sheetId="62927" r:id="rId5"/>
    <sheet name="Intrants 1" sheetId="7" r:id="rId6"/>
    <sheet name="Intrants 2" sheetId="62928" r:id="rId7"/>
    <sheet name="Futurs emballages" sheetId="11" r:id="rId8"/>
    <sheet name="Déchets directs" sheetId="2" r:id="rId9"/>
    <sheet name="Fret" sheetId="5" r:id="rId10"/>
    <sheet name="Déplacements" sheetId="62898" r:id="rId11"/>
    <sheet name="Immobilisations" sheetId="9" r:id="rId12"/>
    <sheet name="Utilisation" sheetId="62904" r:id="rId13"/>
    <sheet name="Fin de vie" sheetId="62905" r:id="rId14"/>
    <sheet name="Utilitaires" sheetId="62911" r:id="rId15"/>
    <sheet name="Recap CO2e" sheetId="62892" r:id="rId16"/>
    <sheet name="Ratios" sheetId="62907" r:id="rId17"/>
    <sheet name="Bilan GES" sheetId="62912" r:id="rId18"/>
    <sheet name="ISO 14069" sheetId="62915" r:id="rId19"/>
    <sheet name="GHG Protocol" sheetId="62914" r:id="rId20"/>
    <sheet name="CDP 2018" sheetId="62929" r:id="rId21"/>
    <sheet name="Graphiques" sheetId="62913" r:id="rId22"/>
    <sheet name="FE Energie" sheetId="62917" r:id="rId23"/>
    <sheet name="FE Hors Energie" sheetId="62918" r:id="rId24"/>
    <sheet name="FE Intrants" sheetId="62919" r:id="rId25"/>
    <sheet name="FE Déchets" sheetId="62923" r:id="rId26"/>
    <sheet name="FE Fret" sheetId="62922" r:id="rId27"/>
    <sheet name="FE Déplacements" sheetId="62921" r:id="rId28"/>
    <sheet name="FE Immobilisations" sheetId="62924" r:id="rId29"/>
    <sheet name="export postes" sheetId="62910" r:id="rId30"/>
    <sheet name="export sous-postes" sheetId="62909" r:id="rId31"/>
  </sheets>
  <externalReferences>
    <externalReference r:id="rId32"/>
  </externalReferences>
  <definedNames>
    <definedName name="agricole">#REF!</definedName>
    <definedName name="Agriculture">#REF!</definedName>
    <definedName name="AGRICULTURE_ET_PECHE">#REF!</definedName>
    <definedName name="animaux">#REF!</definedName>
    <definedName name="animaux_ferme">#REF!</definedName>
    <definedName name="Approche_retenue">Utilitaires!$B$567:$B$569</definedName>
    <definedName name="autres_achats">#REF!</definedName>
    <definedName name="avion">#REF!</definedName>
    <definedName name="avion_fret">#REF!</definedName>
    <definedName name="avion_passagers">#REF!</definedName>
    <definedName name="bassins">#REF!</definedName>
    <definedName name="bateau_passagers">#REF!</definedName>
    <definedName name="batiments">#REF!</definedName>
    <definedName name="bilan_GES">'Bilan GES'!$B$2:$D$35</definedName>
    <definedName name="biocombustibles">#REF!</definedName>
    <definedName name="biologique">#REF!</definedName>
    <definedName name="boissons">#REF!</definedName>
    <definedName name="bus">#REF!</definedName>
    <definedName name="bus_domW">#REF!</definedName>
    <definedName name="calculette_UTFC">Utilitaires!$B$32:$O$65</definedName>
    <definedName name="cargos">#REF!</definedName>
    <definedName name="Cartes">Utilitaires!$B$69:$O$108</definedName>
    <definedName name="chimie">#REF!</definedName>
    <definedName name="Choix_Incertitudes">Utilitaires!$N$567:$N$572</definedName>
    <definedName name="combustibles">#REF!</definedName>
    <definedName name="Convertisseurs">Utilitaires!$B$6:$J$26</definedName>
    <definedName name="culture_vers">#REF!</definedName>
    <definedName name="cultures">#REF!</definedName>
    <definedName name="CV_diesel">#REF!</definedName>
    <definedName name="CV_essence">#REF!</definedName>
    <definedName name="cycles">#REF!</definedName>
    <definedName name="decharge">#REF!</definedName>
    <definedName name="DECHETS">#REF!</definedName>
    <definedName name="Déchets">#REF!</definedName>
    <definedName name="dechets_eaux">'Déchets directs'!$B$201:$J$212</definedName>
    <definedName name="dechets_haut">'Déchets directs'!$B$10:$Q$109</definedName>
    <definedName name="dechets_non_banals">'Déchets directs'!$B$111:$J$196</definedName>
    <definedName name="dechets_recap">'Déchets directs'!$B$216:$L$230</definedName>
    <definedName name="dechets_sous_postes">'Déchets directs'!$B$231:$L$244</definedName>
    <definedName name="déchetsdirects_bilanGES">'Déchets directs'!$B$246:$L$275</definedName>
    <definedName name="dechetsdirects_GHGProtocol">'Déchets directs'!$B$278:$O$309</definedName>
    <definedName name="dechetsdirects_ISO14069">'Déchets directs'!$B$312:$O$341</definedName>
    <definedName name="Déplacements">#REF!</definedName>
    <definedName name="déplacements_bilanGES">Déplacements!$B$493:$L$522</definedName>
    <definedName name="DEPLACEMENTS_DE_PERSONNES">#REF!</definedName>
    <definedName name="deplacements_domicile_travail">Déplacements!$B$10:$J$34</definedName>
    <definedName name="deplacements_GHGProtocol">Déplacements!$B$525:$O$556</definedName>
    <definedName name="deplacements_ISO14069">Déplacements!$B$559:$O$588</definedName>
    <definedName name="deplacements_recap">Déplacements!$B$437:$L$458</definedName>
    <definedName name="deplacements_salaries_autre_route">Déplacements!$B$165:$J$205</definedName>
    <definedName name="deplacements_salaries_avion">Déplacements!$B$245:$J$286</definedName>
    <definedName name="deplacements_salaries_bateau">Déplacements!$B$289:$J$319</definedName>
    <definedName name="deplacements_salaries_train">Déplacements!$B$207:$K$243</definedName>
    <definedName name="deplacements_salaries_voiture">Déplacements!$B$114:$J$151</definedName>
    <definedName name="deplacements_sous_postes">Déplacements!$B$459:$L$490</definedName>
    <definedName name="deplacements_visiteurs">Déplacements!$B$322:$J$367</definedName>
    <definedName name="DIS">#REF!</definedName>
    <definedName name="divers_mix">#REF!</definedName>
    <definedName name="Documents">Utilitaires!$B$555:$O$561</definedName>
    <definedName name="Données_statistiques">Utilitaires!$B$109:$O$474</definedName>
    <definedName name="Eau">#REF!</definedName>
    <definedName name="eaux_usees">#REF!</definedName>
    <definedName name="EDF_saison">#REF!</definedName>
    <definedName name="Electricite_France">#REF!</definedName>
    <definedName name="Electricité_France">#REF!</definedName>
    <definedName name="electricite_monde">#REF!</definedName>
    <definedName name="electricite_pays">#REF!</definedName>
    <definedName name="electricite_producteur">#REF!</definedName>
    <definedName name="electricite_usage_france">#REF!</definedName>
    <definedName name="emballage_Verre">'Futurs emballages'!$B$35:$I$46</definedName>
    <definedName name="emballages_agromateriaux">'Futurs emballages'!#REF!</definedName>
    <definedName name="emballages_chimie">'Futurs emballages'!#REF!</definedName>
    <definedName name="emballages_metaux">'Futurs emballages'!$B$7:$I$18</definedName>
    <definedName name="emballages_papiers">'Futurs emballages'!$B$49:$I$59</definedName>
    <definedName name="emballages_plastiques">'Futurs emballages'!$B$21:$I$32</definedName>
    <definedName name="emballages_ratios">'Futurs emballages'!#REF!</definedName>
    <definedName name="emballages_recap">'Futurs emballages'!$B$73:$L$82</definedName>
    <definedName name="emballages_sous_postes">'Futurs emballages'!$B$83:$L$95</definedName>
    <definedName name="Energie">#REF!</definedName>
    <definedName name="energie1_bilanGES">#REF!</definedName>
    <definedName name="energie1_combustibles">#REF!</definedName>
    <definedName name="energie1_électricité">#REF!</definedName>
    <definedName name="energie1_GHGProtocol">#REF!</definedName>
    <definedName name="energie1_ISO14069">#REF!</definedName>
    <definedName name="energie1_sous_postes">#REF!</definedName>
    <definedName name="energie1_total">#REF!</definedName>
    <definedName name="energie1_vapeur">#REF!</definedName>
    <definedName name="energie2_bilanGES">#REF!</definedName>
    <definedName name="energie2_combustibles">#REF!</definedName>
    <definedName name="energie2_electricite">#REF!</definedName>
    <definedName name="energie2_GHGProtocol">#REF!</definedName>
    <definedName name="energie2_ISO14069">#REF!</definedName>
    <definedName name="energie2_recap">#REF!</definedName>
    <definedName name="energie2_sous_postes">#REF!</definedName>
    <definedName name="energie2_vapeur">#REF!</definedName>
    <definedName name="engrais">#REF!</definedName>
    <definedName name="evp">#REF!</definedName>
    <definedName name="export_haut">'export postes'!$B$5:$E$5</definedName>
    <definedName name="export_ssposte_haut">'export sous-postes'!$B$3:$E$4</definedName>
    <definedName name="extraction_C_haut">#REF!</definedName>
    <definedName name="extraction_CO2_haut">#REF!</definedName>
    <definedName name="Facteurs_d_émission_de_l_électricité">#REF!</definedName>
    <definedName name="facteurs_d_émission_des_combustibles">#REF!</definedName>
    <definedName name="facteurs_d_émission_des_gaz_hors_CO2">#REF!</definedName>
    <definedName name="FE">#REF!</definedName>
    <definedName name="FE_Déchets_Bâtiment_Plastiques">'FE Déchets'!$C$319:$C$330</definedName>
    <definedName name="FE_Déchets_Bâtiments_Autres">'FE Déchets'!$C$353:$C$375</definedName>
    <definedName name="FE_Déchets_Bâtiments_Métaux">'FE Déchets'!$C$333:$C$343</definedName>
    <definedName name="FE_Déchets_Dangereux">'FE Déchets'!$C$14:$C$18</definedName>
    <definedName name="FE_Déchets_DEA">'FE Déchets'!$C$382:$C$389</definedName>
    <definedName name="FE_Déchets_DEEE">'FE Déchets'!$C$289:$C$308</definedName>
    <definedName name="FE_Déchets_Eaux_Usées">'FE Déchets'!$C$418:$C$428</definedName>
    <definedName name="FE_Déchets_Emballages_autres_matériaux_ménages">'FE Déchets'!$C$32:$C$38</definedName>
    <definedName name="FE_Déchets_Emballages_bois_carton_ménages">'FE Déchets'!$C$41:$C$55</definedName>
    <definedName name="FE_Déchets_Emballages_métaux_ménages">'FE Déchets'!$C$68:$C$79</definedName>
    <definedName name="FE_Déchets_Emballages_plastiques_acteurs_économiques">'FE Déchets'!$C$216:$C$220</definedName>
    <definedName name="FE_Déchets_Emballages_plastiques_ménages">'FE Déchets'!$C$113:$C$169</definedName>
    <definedName name="FE_Déchets_Emballages_verre_ménages">'FE Déchets'!$C$92:$C$101</definedName>
    <definedName name="FE_Déchets_Ordures_ménagères">'FE Déchets'!$C$402:$C$411</definedName>
    <definedName name="FE_Déchets_Organiques">'FE Déchets'!$C$253:$C$268</definedName>
    <definedName name="FE_Déchets_Piles_et_accumulateurs">'FE Déchets'!$C$276:$C$281</definedName>
    <definedName name="FE_Déchets_Plastiques_acteurs_économiques">'FE Déchets'!$C$232:$C$246</definedName>
    <definedName name="FE_Déchets_Textiles">'FE Déchets'!$C$392:$C$399</definedName>
    <definedName name="FE_Déplacements_Aérien">'FE Déplacements'!$C$414:$C$468</definedName>
    <definedName name="FE_Déplacements_Autobus_autocar">'FE Déplacements'!$C$248:$C$268</definedName>
    <definedName name="FE_Déplacements_Carburants">'FE Déplacements'!$C$600:$C$632</definedName>
    <definedName name="FE_Déplacements_Deux_roues">'FE Déplacements'!$C$202:$C$228</definedName>
    <definedName name="FE_Déplacements_Distances_moyennes">'FE Déplacements'!$C$987:$C$1001</definedName>
    <definedName name="FE_Déplacements_Divers">'FE Déplacements'!$C$315:$C$328</definedName>
    <definedName name="FE_Déplacements_Maritime_Fluvial">'FE Déplacements'!$C$557:$C$571</definedName>
    <definedName name="FE_Déplacements_Parcours">'FE Déplacements'!$C$863:$C$882</definedName>
    <definedName name="Fe_Déplacements_Taxi_VTC">'FE Déplacements'!$C$295:$C$301</definedName>
    <definedName name="FE_Déplacements_Train">'FE Déplacements'!$C$334:$C$368</definedName>
    <definedName name="FE_Déplacements_Transport_électrique">'FE Déplacements'!$C$935:$C$949</definedName>
    <definedName name="FE_Déplacements_Voiture_moyenne_parc">'FE Déplacements'!$C$14:$C$30</definedName>
    <definedName name="FE_Déplacements_Voiture_particulière_gamme">'FE Déplacements'!$C$47:$C$72</definedName>
    <definedName name="FE_Déplacements_Voiture_particulière_usage">'FE Déplacements'!$C$134:$C$168</definedName>
    <definedName name="FE_Energie_Autres_Gaz">'FE Energie'!$C$59:$C$71</definedName>
    <definedName name="FE_Energie_Biocarburants_liquide_gazeux">'FE Energie'!$C$707:$C$736</definedName>
    <definedName name="FE_Energie_Bois">'FE Energie'!$C$889:$C$898</definedName>
    <definedName name="FE_Energie_Butane_Propane">'FE Energie'!$C$13:$C$22</definedName>
    <definedName name="FE_Energie_Charbons">'FE Energie'!$C$592:$C$606</definedName>
    <definedName name="FE_Energie_Coke_Déchets">'FE Energie'!$C$670:$C$679</definedName>
    <definedName name="FE_Energie_Elec_AutresPays">'FE Energie'!$C$2279:$C$2415</definedName>
    <definedName name="FE_Energie_Elec_EDF">'FE Energie'!$C$2465:$C$2515</definedName>
    <definedName name="FE_Energie_Elec_MoyNatio">'FE Energie'!$C$2182:$C$2199</definedName>
    <definedName name="FE_Energie_Elec_MoyOutreMer">'FE Energie'!$C$2235:$C$2249</definedName>
    <definedName name="FE_Energie_Elec_Producteurs">'FE Energie'!$C$2422:$C$2462</definedName>
    <definedName name="FE_Energie_Elec_Production">'FE Energie'!$C$2154:$C$2177</definedName>
    <definedName name="FE_Energie_Elec_Usage_moyenne">'FE Energie'!$C$1987:$C$2046</definedName>
    <definedName name="FE_Energie_Elec_Usage_saisonnalisé">'FE Energie'!$C$1616:$C$1735</definedName>
    <definedName name="FE_Energie_Liquides">'FE Energie'!$C$96:$C$159</definedName>
    <definedName name="FE_Energie_Réseaux_Chaleur">'FE Energie'!$C$922:$C$1580</definedName>
    <definedName name="FE_Energie_Réseaux_Froid">'FE Energie'!$C$1583:$C$1610</definedName>
    <definedName name="FE_Fret_Aérien">'FE Fret'!$C$285:$C$344</definedName>
    <definedName name="FE_Fret_carburants">'FE Fret'!$C$548:$C$579</definedName>
    <definedName name="FE_Fret_Ferroviaire_France">'FE Fret'!$C$478:$C$499</definedName>
    <definedName name="FE_Fret_Ferroviaire_Iles_autres_pays">'FE Fret'!$C$518:$C$533</definedName>
    <definedName name="FE_Fret_Fluvial">'FE Fret'!$C$258:$C$276</definedName>
    <definedName name="FE_Fret_Maritime">'FE Fret'!$C$133:$C$199</definedName>
    <definedName name="FE_Fret_Routier">'FE Fret'!$C$14:$C$72</definedName>
    <definedName name="FE_haut">#REF!</definedName>
    <definedName name="FE_HorsEnergie_Agriculture">'FE Hors Energie'!$C$72:$C$79</definedName>
    <definedName name="FE_HorsEnergie_Alim_Dig_Dej">'FE Hors Energie'!$C$13:$C$42</definedName>
    <definedName name="FE_HorsEnergie_PRGHorsKyoto">'FE Hors Energie'!$C$127:$C$157</definedName>
    <definedName name="FE_HorsEnergie_PRGKyoto">'FE Hors Energie'!$C$95:$C$124</definedName>
    <definedName name="FE_Immobilisations_Bâtiments">'FE Immobilisations'!$C$14:$C$36</definedName>
    <definedName name="FE_Immobilisations_Enrobés">'FE Immobilisations'!$C$60:$C$82</definedName>
    <definedName name="FE_Immobilisations_Informatique">'FE Immobilisations'!$C$148:$C$177</definedName>
    <definedName name="FE_Immobilisations_Matériaux">'FE Immobilisations'!$C$39:$C$56</definedName>
    <definedName name="FE_Immobilisations_Ratios">'FE Immobilisations'!$C$222:$C$237</definedName>
    <definedName name="FE_Immobilisations_VMO">'FE Immobilisations'!$C$137:$C$142</definedName>
    <definedName name="FE_Immobilisations_Voirie">'FE Immobilisations'!$C$88:$C$121</definedName>
    <definedName name="FE_Intrants_Articles_sport">'FE Intrants'!$C$997:$C$1005</definedName>
    <definedName name="FE_Intrants_Autres_produits_végétaux">'FE Intrants'!$C$1902:$C$1920</definedName>
    <definedName name="FE_Intrants_Bâtiments_Voirie">'FE Intrants'!$C$169:$C$211</definedName>
    <definedName name="FE_Intrants_Bois">'FE Intrants'!$C$404:$C$408</definedName>
    <definedName name="FE_Intrants_Boisson">'FE Intrants'!$C$1274:$C$1361</definedName>
    <definedName name="FE_Intrants_Consommables_de_bureau">'FE Intrants'!$C$390:$C$401</definedName>
    <definedName name="FE_Intrants_Cultures_produits_végétaux">'FE Intrants'!$C$1875:$C$1900</definedName>
    <definedName name="FE_Intrants_Electroménager">'FE Intrants'!$C$412:$C$461</definedName>
    <definedName name="FE_Intrants_Entrées_Plats_composés">'FE Intrants'!$C$1556:$C$1698</definedName>
    <definedName name="FE_Intrants_Equipements_electriques">'FE Intrants'!$C$345:$C$365</definedName>
    <definedName name="FE_Intrants_Fruits_légumes_oléagineux">'FE Intrants'!$C$1396:$C$1553</definedName>
    <definedName name="FE_Intrants_Hydrogène_distribution">'FE Intrants'!$C$306:$C$331</definedName>
    <definedName name="FE_Intrants_Hydrogène_production">'FE Intrants'!$C$289:$C$303</definedName>
    <definedName name="FE_Intrants_Informatique_équipements_électroniques">'FE Intrants'!$C$625:$C$684</definedName>
    <definedName name="FE_Intrants_Matériaux_Construction">'FE Intrants'!$C$121:$C$163</definedName>
    <definedName name="FE_Intrants_Métaux">'FE Intrants'!$C$13:$C$29</definedName>
    <definedName name="FE_Intrants_Mobilier">'FE Intrants'!$C$1031:$C$1052</definedName>
    <definedName name="FE_Intrants_Papier_Carton">'FE Intrants'!$C$102:$C$115</definedName>
    <definedName name="FE_Intrants_Plastique">'FE Intrants'!$C$55:$C$76</definedName>
    <definedName name="FE_Intrants_Produits_Animaux">'FE Intrants'!$C$1701:$C$1728</definedName>
    <definedName name="FE_Intrants_Produits_céréaliers">'FE Intrants'!$C$1364:$C$1393</definedName>
    <definedName name="FE_Intrants_Produits_Chimiques">'FE Intrants'!$C$217:$C$286</definedName>
    <definedName name="FE_Intrants_Produits_Mer">'FE Intrants'!$C$1739:$C$1759</definedName>
    <definedName name="FE_Intrants_Produits_Végétaux">'FE Intrants'!$C$1762:$C$1825</definedName>
    <definedName name="FE_Intrants_Ratios">'FE Intrants'!$C$1229:$C$1268</definedName>
    <definedName name="FE_Intrants_Repas">'FE Intrants'!$C$1856:$C$1872</definedName>
    <definedName name="FE_Intrants_Services">'FE Intrants'!$C$1192:$C$1205</definedName>
    <definedName name="FE_Intrants_Textile_Habillement_autres">'FE Intrants'!$C$954:$C$963</definedName>
    <definedName name="FE_Intrants_Textile_Habillement_coton">'FE Intrants'!$C$862:$C$871</definedName>
    <definedName name="FE_Intrants_Textile_Habillement_cuir">'FE Intrants'!$C$893:$C$902</definedName>
    <definedName name="FE_Intrants_Textile_Habillement_synthétique">'FE Intrants'!$C$916:$C$925</definedName>
    <definedName name="FE_Intrants_Tourbes">'FE Intrants'!$C$1216:$C$1222</definedName>
    <definedName name="FE_Intrants_Traitement_Distribution_eau">'FE Intrants'!$C$1208:$C$1213</definedName>
    <definedName name="FE_Intrants_Véhicules_matériels_transport">'FE Intrants'!$C$1165:$C$1175</definedName>
    <definedName name="FE_Intrants_Verre">'FE Intrants'!$C$35:$C$49</definedName>
    <definedName name="FE_Intrants_Viticulture">'FE Intrants'!$C$1132:$C$1162</definedName>
    <definedName name="fin_de_vie_banals">'Fin de vie'!$B$43:$J$127</definedName>
    <definedName name="fin_de_vie_dangereux">'Fin de vie'!$B$169:$O$234</definedName>
    <definedName name="fin_de_vie_haut">'Fin de vie'!$B$7:$K$41</definedName>
    <definedName name="fin_de_vie_recap">'Fin de vie'!$B$238:$L$253</definedName>
    <definedName name="fin_de_vie_sous_postes">'Fin de vie'!$B$254:$L$271</definedName>
    <definedName name="findevie_bilanGES">'Fin de vie'!$B$273:$L$302</definedName>
    <definedName name="findevie_GHGProtocol">'Fin de vie'!$B$305:$O$336</definedName>
    <definedName name="findevie_ISO14069">'Fin de vie'!$B$339:$O$368</definedName>
    <definedName name="foret_vers">#REF!</definedName>
    <definedName name="FRET">#REF!</definedName>
    <definedName name="fret_aerien_entrant">Fret!$B$49:$J$79</definedName>
    <definedName name="fret_aerien_interne">Fret!$B$233:$K$263</definedName>
    <definedName name="fret_aerien_sortant">Fret!$B$416:$K$446</definedName>
    <definedName name="fret_bilanGES">Fret!$B$639:$L$668</definedName>
    <definedName name="Fret_FE">#REF!</definedName>
    <definedName name="fret_ferroviaire">#REF!</definedName>
    <definedName name="fret_ferroviaire_entrant">Fret!$B$81:$K$100</definedName>
    <definedName name="fret_ferroviaire_interne">Fret!$B$265:$K$316</definedName>
    <definedName name="fret_ferroviaire_sortant">Fret!$B$448:$K$467</definedName>
    <definedName name="fret_fluvial">#REF!</definedName>
    <definedName name="fret_GHGProtocol">Fret!$B$671:$O$702</definedName>
    <definedName name="fret_ISO14069">Fret!$B$705:$O$734</definedName>
    <definedName name="fret_maritime_entrant">Fret!$B$135:$J$162</definedName>
    <definedName name="fret_maritime_interne">Fret!$B$319:$K$352</definedName>
    <definedName name="fret_maritime_sortant">Fret!$B$502:$J$530</definedName>
    <definedName name="fret_recap">Fret!$B$560:$L$585</definedName>
    <definedName name="fret_route">#REF!</definedName>
    <definedName name="fret_route_basecarbone">#REF!</definedName>
    <definedName name="fret_route_sortant">Fret!$B$378:$K$413</definedName>
    <definedName name="fret_routier_entrant">Fret!$B$11:$J$46</definedName>
    <definedName name="fret_routier_interne">Fret!$B$194:$K$229</definedName>
    <definedName name="fret_sous_postes">Fret!$B$587:$L$592</definedName>
    <definedName name="froid">#REF!</definedName>
    <definedName name="fuites_DIS">'Fin de vie'!$B$141:$J$167</definedName>
    <definedName name="futuresemballages_bilanGES">'Futurs emballages'!$B$98:$L$127</definedName>
    <definedName name="futursemballages_bilanGES">'Futurs emballages'!$B$98:$L$127</definedName>
    <definedName name="futursemballages_GHGProtocol">'Futurs emballages'!$B$130:$O$161</definedName>
    <definedName name="futursemballages_ISO14069">'Futurs emballages'!$B$164:$O$193</definedName>
    <definedName name="GHG_Protocol">'GHG Protocol'!$B$2:$O$37</definedName>
    <definedName name="Graphiques">Graphiques!$B$2:$L$7</definedName>
    <definedName name="graphiques_BilanGES">Graphiques!$B$506:$Q$547</definedName>
    <definedName name="graphiques_DechetsDirects">Graphiques!$B$308:$Q$339</definedName>
    <definedName name="graphiques_Déplacements">Graphiques!$B$275:$Q$306</definedName>
    <definedName name="graphiques_Energie1">Graphiques!$B$8:$Q$39</definedName>
    <definedName name="graphiques_Energie2">Graphiques!$B$41:$Q$72</definedName>
    <definedName name="graphiques_ExtractionsCO2e">Graphiques!#REF!</definedName>
    <definedName name="graphiques_FinDeVie">Graphiques!$B$407:$Q$438</definedName>
    <definedName name="graphiques_Fret">Graphiques!$B$239:$Q$273</definedName>
    <definedName name="graphiques_FutursEmballages">Graphiques!$B$206:$Q$237</definedName>
    <definedName name="graphiques_GHGProtocol">Graphiques!$B$549:$Q$590</definedName>
    <definedName name="graphiques_HorsEnergie1">Graphiques!$B$74:$Q$105</definedName>
    <definedName name="graphiques_HorsEnergie2">Graphiques!$B$107:$Q$138</definedName>
    <definedName name="graphiques_Immobilisations">Graphiques!$B$341:$Q$372</definedName>
    <definedName name="graphiques_Intrants">Graphiques!$B$140:$Q$171</definedName>
    <definedName name="graphiques_intrants2">Graphiques!$B$173:$Q$204</definedName>
    <definedName name="graphiques_Ratios">Graphiques!$B$473:$Q$504</definedName>
    <definedName name="graphiques_RecapCO2e">Graphiques!#REF!</definedName>
    <definedName name="graphiques_Utilisation">Graphiques!$B$374:$Q$405</definedName>
    <definedName name="grosse_route">#REF!</definedName>
    <definedName name="halocarbure_hors_kyoto">#REF!</definedName>
    <definedName name="halocarbure_kyoto">#REF!</definedName>
    <definedName name="horsenergie1_bilanGES">'Hors énergie 1'!$B$118:$L$147</definedName>
    <definedName name="horsenergie1_GHGProtocol">'Hors énergie 1'!$B$150:$P$181</definedName>
    <definedName name="horsenergie1_ISO14069">'Hors énergie 1'!$B$184:$P$213</definedName>
    <definedName name="horsenergie2_bilanGES">#REF!</definedName>
    <definedName name="horsenergie2_GHGProtocol">#REF!</definedName>
    <definedName name="horsenergie2_ISO14069">#REF!</definedName>
    <definedName name="Immobilisations">#REF!</definedName>
    <definedName name="immobilisations_bilanGES">Immobilisations!$B$283:$L$312</definedName>
    <definedName name="immobilisations_GHGProtocol">Immobilisations!$B$315:$O$346</definedName>
    <definedName name="immobilisations_ISO14069">Immobilisations!$B$349:$O$378</definedName>
    <definedName name="immos_batiments">Immobilisations!$B$9:$J$47</definedName>
    <definedName name="immos_informatique">Immobilisations!$B$220:$K$242</definedName>
    <definedName name="immos_machines">Immobilisations!$B$164:$L$196</definedName>
    <definedName name="immos_recap">Immobilisations!$B$246:$L$255</definedName>
    <definedName name="immos_sous_postes">Immobilisations!$B$257:$L$280</definedName>
    <definedName name="immos_voirie">Immobilisations!$B$92:$K$102</definedName>
    <definedName name="incineration">#REF!</definedName>
    <definedName name="informatique">#REF!</definedName>
    <definedName name="INIES">'[1]FE des combustibles.xls'!$A$537:$A$550</definedName>
    <definedName name="Intrants">#REF!</definedName>
    <definedName name="Intrants_2">#REF!</definedName>
    <definedName name="intrants_bilanGES">'Intrants 1'!$B$338:$L$367</definedName>
    <definedName name="intrants_chimie">'Intrants 1'!$B$77:$I$106</definedName>
    <definedName name="intrants_GHGProtocol">'Intrants 1'!$B$370:$O$401</definedName>
    <definedName name="intrants_ISO14069">'Intrants 1'!$B$404:$O$433</definedName>
    <definedName name="intrants_Matériaux_de_construction">'Intrants 1'!$B$63:$I$74</definedName>
    <definedName name="intrants_metaux">'Intrants 1'!$B$8:$I$19</definedName>
    <definedName name="intrants_Papiers">'Intrants 1'!$B$50:$I$60</definedName>
    <definedName name="intrants_plastiques">'Intrants 1'!$B$22:$I$33</definedName>
    <definedName name="intrants_Produits_agricoles">'Intrants 1'!$B$107:$I$186</definedName>
    <definedName name="intrants_Puits">'Intrants 1'!#REF!</definedName>
    <definedName name="intrants_ratios">'Intrants 1'!$B$188:$I$304</definedName>
    <definedName name="intrants_total">'Intrants 1'!$B$321:$L$337</definedName>
    <definedName name="intrants_Verre">'Intrants 1'!$B$36:$I$47</definedName>
    <definedName name="intrants2_agricole">#REF!</definedName>
    <definedName name="intrants2_bilanGES">#REF!</definedName>
    <definedName name="intrants2_chimie">#REF!</definedName>
    <definedName name="intrants2_construction">#REF!</definedName>
    <definedName name="intrants2_GHGP">#REF!</definedName>
    <definedName name="intrants2_ISO">#REF!</definedName>
    <definedName name="intrants2_metaux">#REF!</definedName>
    <definedName name="intrants2_papier">#REF!</definedName>
    <definedName name="intrants2_plastiques">#REF!</definedName>
    <definedName name="intrants2_postes">#REF!</definedName>
    <definedName name="intrants2_puits">#REF!</definedName>
    <definedName name="intrants2_ratios">#REF!</definedName>
    <definedName name="intrants2_Verre">#REF!</definedName>
    <definedName name="ISO_14069">'ISO 14069'!$B$2:$O$35</definedName>
    <definedName name="Liste_dechets">Utilitaires!$Q$586:$Q$594</definedName>
    <definedName name="Liste_dechets2">Utilitaires!$S$586:$S$588</definedName>
    <definedName name="Liste_Deplacements">Utilitaires!$I$586:$I$588</definedName>
    <definedName name="Liste_Deplacements_bis">Utilitaires!$I$587:$I$588</definedName>
    <definedName name="Liste_Deplacements_ter">Utilitaires!$I$586</definedName>
    <definedName name="Liste_Energie">Utilitaires!$C$586:$C$588</definedName>
    <definedName name="Liste_Energie_bis">Utilitaires!$C$587:$C$588</definedName>
    <definedName name="Liste_Franchises">Utilitaires!$N$586:$N$587</definedName>
    <definedName name="Liste_Fret">Utilitaires!$G$586:$G$588</definedName>
    <definedName name="Liste_Fret_bis">Utilitaires!$G$587:$G$588</definedName>
    <definedName name="Liste_Fret_ter">Utilitaires!$G$586</definedName>
    <definedName name="Liste_Horsenergie">Utilitaires!$E$586:$E$589</definedName>
    <definedName name="Liste_Immobilisations">Utilitaires!$K$586:$K$587</definedName>
    <definedName name="Liste_Immobilisations2">Utilitaires!$M$586:$M$587</definedName>
    <definedName name="Liste_Utilisation">Utilitaires!$O$586:$O$588</definedName>
    <definedName name="machines">#REF!</definedName>
    <definedName name="materiaux">#REF!</definedName>
    <definedName name="MATERIAUX_ENTRANTS">#REF!</definedName>
    <definedName name="menus_déroulants">Utilitaires!$B$564:$O$590</definedName>
    <definedName name="mer_ferme">#REF!</definedName>
    <definedName name="metaux">#REF!</definedName>
    <definedName name="mix_francais">#REF!</definedName>
    <definedName name="monetaire">#REF!</definedName>
    <definedName name="niveaux">#REF!</definedName>
    <definedName name="papier">#REF!</definedName>
    <definedName name="parcours">#REF!</definedName>
    <definedName name="plastiques">#REF!</definedName>
    <definedName name="plats_prepares">#REF!</definedName>
    <definedName name="poisson">#REF!</definedName>
    <definedName name="prairie_vers">#REF!</definedName>
    <definedName name="PRG">#REF!</definedName>
    <definedName name="procedes1_CH4">'Hors énergie 1'!$B$37:$J$47</definedName>
    <definedName name="procedes1_divers">'Hors énergie 1'!$B$90:$J$101</definedName>
    <definedName name="procedes1_halo">'Hors énergie 1'!$B$49:$J$60</definedName>
    <definedName name="procedes1_haut">'Hors énergie 1'!$B$7:$P$16</definedName>
    <definedName name="procedes1_N2O">'Hors énergie 1'!$B$18:$J$88</definedName>
    <definedName name="procedes1_recap">'Hors énergie 1'!$B$105:$L$117</definedName>
    <definedName name="procedes1_recap_CO2">'Hors énergie 1'!#REF!</definedName>
    <definedName name="procédés1_UTCF">'Hors énergie 1'!#REF!</definedName>
    <definedName name="procedes2_CH4">#REF!</definedName>
    <definedName name="procedes2_divers">#REF!</definedName>
    <definedName name="procedes2_halo">#REF!</definedName>
    <definedName name="procedes2_haut">#REF!</definedName>
    <definedName name="procedes2_N2O">#REF!</definedName>
    <definedName name="procedes2_recap">#REF!</definedName>
    <definedName name="procedes2_recap_CO2">#REF!</definedName>
    <definedName name="procédés2_UTCF">#REF!</definedName>
    <definedName name="Production_de_vapeur_froid">#REF!</definedName>
    <definedName name="produits_agro">#REF!</definedName>
    <definedName name="ratios_haut">Ratios!$B$5:$C$5</definedName>
    <definedName name="recap_C_haut">'Recap CO2e'!$B$5:$H$5</definedName>
    <definedName name="recap_CO2_haut">#REF!</definedName>
    <definedName name="RECAPITULATIF_PAR_CATEGORIE_POUR_EXTRACTION_BILAN_GES_REGLEMENTAIRE">#REF!</definedName>
    <definedName name="renouvelables">#REF!</definedName>
    <definedName name="repas">'[1]FE des combustibles.xls'!$A$1341:$A$1344</definedName>
    <definedName name="repas_moyen">#REF!</definedName>
    <definedName name="route">#REF!</definedName>
    <definedName name="routes">#REF!</definedName>
    <definedName name="sourcesFE">#REF!</definedName>
    <definedName name="tertiaire_electricite">Utilitaires!$B$159:$B$213</definedName>
    <definedName name="tertiaire_electricite2">Utilitaires!$B$150:$B$155</definedName>
    <definedName name="tissus_urbain_an">#REF!</definedName>
    <definedName name="tissus_urbain_km">#REF!</definedName>
    <definedName name="train_personnes">#REF!</definedName>
    <definedName name="utilisation_bilanGES">Utilisation!$B$142:$L$171</definedName>
    <definedName name="utilisation_electricite">Utilisation!$B$66:$J$86</definedName>
    <definedName name="utilisation_GHGProtocol">Utilisation!$B$174:$O$205</definedName>
    <definedName name="utilisation_haut">Utilisation!$B$7:$K$41</definedName>
    <definedName name="utilisation_hors_nrj">Utilisation!$B$88:$L$114</definedName>
    <definedName name="utilisation_ISO14069">Utilisation!$B$208:$O$237</definedName>
    <definedName name="utilisation_recap">Utilisation!$B$118:$L$127</definedName>
    <definedName name="utilisation_sous_postes">Utilisation!$B$129:$L$140</definedName>
    <definedName name="utilisation_vapeur">Utilisation!$B$43:$J$64</definedName>
    <definedName name="valo_CET">#REF!</definedName>
    <definedName name="valo_incineration">#REF!</definedName>
    <definedName name="vapeur">#REF!</definedName>
    <definedName name="végétaux_ferme">#REF!</definedName>
    <definedName name="verres">#REF!</definedName>
    <definedName name="vraquier">#REF!</definedName>
    <definedName name="_xlnm.Print_Area" localSheetId="8">'Déchets directs'!$B$2:$I$230</definedName>
    <definedName name="_xlnm.Print_Area" localSheetId="9">Fret!$B$2:$J$585</definedName>
    <definedName name="_xlnm.Print_Area" localSheetId="7">'Futurs emballages'!$B$2:$L$60</definedName>
    <definedName name="_xlnm.Print_Area" localSheetId="3">'Hors énergie 1'!$B$2:$F$93</definedName>
    <definedName name="_xlnm.Print_Area" localSheetId="11">Immobilisations!$B$2:$G$255</definedName>
    <definedName name="_xlnm.Print_Area" localSheetId="5">'Intrants 1'!$B$2:$F$337</definedName>
    <definedName name="_xlnm.Print_Area" localSheetId="15">'Recap CO2e'!$B$5:$H$283</definedName>
  </definedNames>
  <calcPr calcId="191029"/>
</workbook>
</file>

<file path=xl/calcChain.xml><?xml version="1.0" encoding="utf-8"?>
<calcChain xmlns="http://schemas.openxmlformats.org/spreadsheetml/2006/main">
  <c r="AD316" i="7" l="1"/>
  <c r="O316" i="7" s="1"/>
  <c r="AC316" i="7"/>
  <c r="G316" i="7"/>
  <c r="I316" i="7" s="1"/>
  <c r="AD315" i="7"/>
  <c r="AC315" i="7"/>
  <c r="G315" i="7"/>
  <c r="I315" i="7" s="1"/>
  <c r="Z316" i="7" l="1"/>
  <c r="V316" i="7" s="1"/>
  <c r="D316" i="7"/>
  <c r="L316" i="7"/>
  <c r="Z315" i="7"/>
  <c r="V315" i="7" s="1"/>
  <c r="D315" i="7"/>
  <c r="O315" i="7"/>
  <c r="L315" i="7" s="1"/>
  <c r="Y28" i="11" l="1"/>
  <c r="Y29" i="11"/>
  <c r="Y30" i="11"/>
  <c r="Y27" i="11"/>
  <c r="AI57" i="11"/>
  <c r="AE57" i="11"/>
  <c r="AC57" i="11"/>
  <c r="AA57" i="11"/>
  <c r="Y57" i="11"/>
  <c r="AI56" i="11"/>
  <c r="AE56" i="11"/>
  <c r="AC56" i="11"/>
  <c r="AA56" i="11"/>
  <c r="Y56" i="11"/>
  <c r="AI55" i="11"/>
  <c r="AE55" i="11"/>
  <c r="AC55" i="11"/>
  <c r="AA55" i="11"/>
  <c r="Y55" i="11"/>
  <c r="AI42" i="11"/>
  <c r="AI43" i="11"/>
  <c r="AI44" i="11"/>
  <c r="AI41" i="11"/>
  <c r="AE42" i="11"/>
  <c r="AE43" i="11"/>
  <c r="AE44" i="11"/>
  <c r="AE41" i="11"/>
  <c r="AC42" i="11"/>
  <c r="AC43" i="11"/>
  <c r="AC44" i="11"/>
  <c r="AC41" i="11"/>
  <c r="AA42" i="11"/>
  <c r="AA43" i="11"/>
  <c r="AA44" i="11"/>
  <c r="AA41" i="11"/>
  <c r="Y42" i="11"/>
  <c r="Y43" i="11"/>
  <c r="Y44" i="11"/>
  <c r="Y41" i="11"/>
  <c r="J28" i="11"/>
  <c r="J29" i="11"/>
  <c r="J30" i="11"/>
  <c r="J27" i="11"/>
  <c r="F936" i="62921" l="1"/>
  <c r="F937" i="62921"/>
  <c r="G937" i="62921" s="1"/>
  <c r="F938" i="62921"/>
  <c r="F939" i="62921"/>
  <c r="G939" i="62921" s="1"/>
  <c r="F940" i="62921"/>
  <c r="F941" i="62921"/>
  <c r="G941" i="62921" s="1"/>
  <c r="F942" i="62921"/>
  <c r="F943" i="62921"/>
  <c r="G943" i="62921" s="1"/>
  <c r="F944" i="62921"/>
  <c r="F945" i="62921"/>
  <c r="G945" i="62921" s="1"/>
  <c r="F946" i="62921"/>
  <c r="F947" i="62921"/>
  <c r="G947" i="62921" s="1"/>
  <c r="F948" i="62921"/>
  <c r="F949" i="62921"/>
  <c r="G949" i="62921" s="1"/>
  <c r="F950" i="62921"/>
  <c r="F951" i="62921"/>
  <c r="G951" i="62921" s="1"/>
  <c r="F952" i="62921"/>
  <c r="F953" i="62921"/>
  <c r="G953" i="62921" s="1"/>
  <c r="F954" i="62921"/>
  <c r="F955" i="62921"/>
  <c r="G955" i="62921" s="1"/>
  <c r="F956" i="62921"/>
  <c r="F957" i="62921"/>
  <c r="G957" i="62921" s="1"/>
  <c r="F958" i="62921"/>
  <c r="F959" i="62921"/>
  <c r="G959" i="62921" s="1"/>
  <c r="F960" i="62921"/>
  <c r="F961" i="62921"/>
  <c r="G961" i="62921" s="1"/>
  <c r="F962" i="62921"/>
  <c r="F963" i="62921"/>
  <c r="G963" i="62921" s="1"/>
  <c r="F964" i="62921"/>
  <c r="F965" i="62921"/>
  <c r="G965" i="62921" s="1"/>
  <c r="F966" i="62921"/>
  <c r="F967" i="62921"/>
  <c r="G967" i="62921" s="1"/>
  <c r="F968" i="62921"/>
  <c r="F969" i="62921"/>
  <c r="G969" i="62921" s="1"/>
  <c r="F970" i="62921"/>
  <c r="F971" i="62921"/>
  <c r="G971" i="62921" s="1"/>
  <c r="F972" i="62921"/>
  <c r="F973" i="62921"/>
  <c r="G973" i="62921" s="1"/>
  <c r="F974" i="62921"/>
  <c r="F975" i="62921"/>
  <c r="G975" i="62921" s="1"/>
  <c r="F976" i="62921"/>
  <c r="F977" i="62921"/>
  <c r="G977" i="62921" s="1"/>
  <c r="F978" i="62921"/>
  <c r="F979" i="62921"/>
  <c r="G979" i="62921" s="1"/>
  <c r="F980" i="62921"/>
  <c r="O974" i="62921"/>
  <c r="F763" i="62922"/>
  <c r="F764" i="62922"/>
  <c r="G764" i="62922" s="1"/>
  <c r="F765" i="62922"/>
  <c r="F766" i="62922"/>
  <c r="G766" i="62922" s="1"/>
  <c r="F767" i="62922"/>
  <c r="F768" i="62922"/>
  <c r="G768" i="62922" s="1"/>
  <c r="F769" i="62922"/>
  <c r="F770" i="62922"/>
  <c r="G770" i="62922" s="1"/>
  <c r="F771" i="62922"/>
  <c r="F772" i="62922"/>
  <c r="G772" i="62922" s="1"/>
  <c r="F773" i="62922"/>
  <c r="F774" i="62922"/>
  <c r="G774" i="62922" s="1"/>
  <c r="F775" i="62922"/>
  <c r="F776" i="62922"/>
  <c r="G776" i="62922" s="1"/>
  <c r="F777" i="62922"/>
  <c r="F778" i="62922"/>
  <c r="G778" i="62922" s="1"/>
  <c r="F779" i="62922"/>
  <c r="F780" i="62922"/>
  <c r="G780" i="62922" s="1"/>
  <c r="F781" i="62922"/>
  <c r="F782" i="62922"/>
  <c r="G782" i="62922" s="1"/>
  <c r="F783" i="62922"/>
  <c r="F784" i="62922"/>
  <c r="G784" i="62922" s="1"/>
  <c r="F785" i="62922"/>
  <c r="F786" i="62922"/>
  <c r="G786" i="62922" s="1"/>
  <c r="F787" i="62922"/>
  <c r="F788" i="62922"/>
  <c r="G788" i="62922" s="1"/>
  <c r="F789" i="62922"/>
  <c r="F790" i="62922"/>
  <c r="G790" i="62922" s="1"/>
  <c r="F791" i="62922"/>
  <c r="F792" i="62922"/>
  <c r="G792" i="62922" s="1"/>
  <c r="F793" i="62922"/>
  <c r="F794" i="62922"/>
  <c r="G794" i="62922" s="1"/>
  <c r="F795" i="62922"/>
  <c r="F796" i="62922"/>
  <c r="G796" i="62922" s="1"/>
  <c r="F797" i="62922"/>
  <c r="F798" i="62922"/>
  <c r="G798" i="62922" s="1"/>
  <c r="F799" i="62922"/>
  <c r="F800" i="62922"/>
  <c r="G800" i="62922" s="1"/>
  <c r="F801" i="62922"/>
  <c r="F802" i="62922"/>
  <c r="G802" i="62922" s="1"/>
  <c r="F601" i="62921"/>
  <c r="F602" i="62921"/>
  <c r="F603" i="62921"/>
  <c r="F604" i="62921"/>
  <c r="F605" i="62921"/>
  <c r="F606" i="62921"/>
  <c r="F607" i="62921"/>
  <c r="F608" i="62921"/>
  <c r="F609" i="62921"/>
  <c r="F610" i="62921"/>
  <c r="F611" i="62921"/>
  <c r="F612" i="62921"/>
  <c r="F613" i="62921"/>
  <c r="F614" i="62921"/>
  <c r="F615" i="62921"/>
  <c r="F616" i="62921"/>
  <c r="F617" i="62921"/>
  <c r="F618" i="62921"/>
  <c r="F619" i="62921"/>
  <c r="F620" i="62921"/>
  <c r="F621" i="62921"/>
  <c r="F622" i="62921"/>
  <c r="F623" i="62921"/>
  <c r="F624" i="62921"/>
  <c r="F625" i="62921"/>
  <c r="F626" i="62921"/>
  <c r="F627" i="62921"/>
  <c r="F628" i="62921"/>
  <c r="F629" i="62921"/>
  <c r="F630" i="62921"/>
  <c r="F631" i="62921"/>
  <c r="F632" i="62921"/>
  <c r="F633" i="62921"/>
  <c r="F634" i="62921"/>
  <c r="F635" i="62921"/>
  <c r="F636" i="62921"/>
  <c r="F637" i="62921"/>
  <c r="F638" i="62921"/>
  <c r="F639" i="62921"/>
  <c r="F640" i="62921"/>
  <c r="F641" i="62921"/>
  <c r="F642" i="62921"/>
  <c r="F643" i="62921"/>
  <c r="F644" i="62921"/>
  <c r="F645" i="62921"/>
  <c r="F646" i="62921"/>
  <c r="F647" i="62921"/>
  <c r="F648" i="62921"/>
  <c r="F649" i="62921"/>
  <c r="F650" i="62921"/>
  <c r="F651" i="62921"/>
  <c r="F652" i="62921"/>
  <c r="F653" i="62921"/>
  <c r="F654" i="62921"/>
  <c r="F655" i="62921"/>
  <c r="F656" i="62921"/>
  <c r="F657" i="62921"/>
  <c r="F658" i="62921"/>
  <c r="F659" i="62921"/>
  <c r="F660" i="62921"/>
  <c r="F661" i="62921"/>
  <c r="F662" i="62921"/>
  <c r="F663" i="62921"/>
  <c r="F664" i="62921"/>
  <c r="F665" i="62921"/>
  <c r="G665" i="62921" s="1"/>
  <c r="F666" i="62921"/>
  <c r="F667" i="62921"/>
  <c r="G667" i="62921" s="1"/>
  <c r="F668" i="62921"/>
  <c r="F669" i="62921"/>
  <c r="F670" i="62921"/>
  <c r="F671" i="62921"/>
  <c r="G671" i="62921" s="1"/>
  <c r="F672" i="62921"/>
  <c r="F673" i="62921"/>
  <c r="G673" i="62921" s="1"/>
  <c r="F674" i="62921"/>
  <c r="F675" i="62921"/>
  <c r="G675" i="62921" s="1"/>
  <c r="F676" i="62921"/>
  <c r="F677" i="62921"/>
  <c r="G677" i="62921" s="1"/>
  <c r="F678" i="62921"/>
  <c r="F679" i="62921"/>
  <c r="G679" i="62921" s="1"/>
  <c r="F680" i="62921"/>
  <c r="F681" i="62921"/>
  <c r="G681" i="62921" s="1"/>
  <c r="F682" i="62921"/>
  <c r="F683" i="62921"/>
  <c r="G683" i="62921" s="1"/>
  <c r="F684" i="62921"/>
  <c r="F685" i="62921"/>
  <c r="F686" i="62921"/>
  <c r="F687" i="62921"/>
  <c r="G687" i="62921" s="1"/>
  <c r="F688" i="62921"/>
  <c r="F689" i="62921"/>
  <c r="G689" i="62921" s="1"/>
  <c r="F690" i="62921"/>
  <c r="F691" i="62921"/>
  <c r="G691" i="62921" s="1"/>
  <c r="F692" i="62921"/>
  <c r="F693" i="62921"/>
  <c r="G693" i="62921" s="1"/>
  <c r="F694" i="62921"/>
  <c r="F695" i="62921"/>
  <c r="G695" i="62921" s="1"/>
  <c r="F696" i="62921"/>
  <c r="F697" i="62921"/>
  <c r="G697" i="62921" s="1"/>
  <c r="F698" i="62921"/>
  <c r="F699" i="62921"/>
  <c r="G699" i="62921" s="1"/>
  <c r="F700" i="62921"/>
  <c r="F701" i="62921"/>
  <c r="F702" i="62921"/>
  <c r="F703" i="62921"/>
  <c r="F704" i="62921"/>
  <c r="F705" i="62921"/>
  <c r="G705" i="62921" s="1"/>
  <c r="F706" i="62921"/>
  <c r="F707" i="62921"/>
  <c r="F708" i="62921"/>
  <c r="G708" i="62921" s="1"/>
  <c r="F709" i="62921"/>
  <c r="G709" i="62921" s="1"/>
  <c r="F710" i="62921"/>
  <c r="G710" i="62921" s="1"/>
  <c r="F711" i="62921"/>
  <c r="G711" i="62921" s="1"/>
  <c r="F712" i="62921"/>
  <c r="G712" i="62921" s="1"/>
  <c r="F713" i="62921"/>
  <c r="G713" i="62921" s="1"/>
  <c r="F714" i="62921"/>
  <c r="F715" i="62921"/>
  <c r="F716" i="62921"/>
  <c r="G716" i="62921" s="1"/>
  <c r="F717" i="62921"/>
  <c r="G717" i="62921" s="1"/>
  <c r="F718" i="62921"/>
  <c r="G718" i="62921" s="1"/>
  <c r="F719" i="62921"/>
  <c r="G719" i="62921" s="1"/>
  <c r="F720" i="62921"/>
  <c r="G720" i="62921" s="1"/>
  <c r="F721" i="62921"/>
  <c r="G721" i="62921" s="1"/>
  <c r="F722" i="62921"/>
  <c r="F723" i="62921"/>
  <c r="F724" i="62921"/>
  <c r="G724" i="62921" s="1"/>
  <c r="F725" i="62921"/>
  <c r="G725" i="62921" s="1"/>
  <c r="F726" i="62921"/>
  <c r="G726" i="62921" s="1"/>
  <c r="F727" i="62921"/>
  <c r="G727" i="62921" s="1"/>
  <c r="F728" i="62921"/>
  <c r="G728" i="62921" s="1"/>
  <c r="F729" i="62921"/>
  <c r="G729" i="62921" s="1"/>
  <c r="F730" i="62921"/>
  <c r="F731" i="62921"/>
  <c r="F732" i="62921"/>
  <c r="F733" i="62921"/>
  <c r="G733" i="62921" s="1"/>
  <c r="F734" i="62921"/>
  <c r="G734" i="62921" s="1"/>
  <c r="F735" i="62921"/>
  <c r="G735" i="62921" s="1"/>
  <c r="F736" i="62921"/>
  <c r="G736" i="62921" s="1"/>
  <c r="F737" i="62921"/>
  <c r="G737" i="62921" s="1"/>
  <c r="F738" i="62921"/>
  <c r="F739" i="62921"/>
  <c r="F740" i="62921"/>
  <c r="F741" i="62921"/>
  <c r="G741" i="62921" s="1"/>
  <c r="F742" i="62921"/>
  <c r="G742" i="62921" s="1"/>
  <c r="F743" i="62921"/>
  <c r="G743" i="62921" s="1"/>
  <c r="F744" i="62921"/>
  <c r="G744" i="62921" s="1"/>
  <c r="F745" i="62921"/>
  <c r="G745" i="62921" s="1"/>
  <c r="F746" i="62921"/>
  <c r="F747" i="62921"/>
  <c r="F748" i="62921"/>
  <c r="F749" i="62921"/>
  <c r="G749" i="62921" s="1"/>
  <c r="F750" i="62921"/>
  <c r="G750" i="62921" s="1"/>
  <c r="F751" i="62921"/>
  <c r="G751" i="62921" s="1"/>
  <c r="F752" i="62921"/>
  <c r="G752" i="62921" s="1"/>
  <c r="F753" i="62921"/>
  <c r="G753" i="62921" s="1"/>
  <c r="F754" i="62921"/>
  <c r="F755" i="62921"/>
  <c r="F756" i="62921"/>
  <c r="F757" i="62921"/>
  <c r="G757" i="62921" s="1"/>
  <c r="F758" i="62921"/>
  <c r="G758" i="62921" s="1"/>
  <c r="F759" i="62921"/>
  <c r="G759" i="62921" s="1"/>
  <c r="F760" i="62921"/>
  <c r="G760" i="62921" s="1"/>
  <c r="F761" i="62921"/>
  <c r="G761" i="62921" s="1"/>
  <c r="F762" i="62921"/>
  <c r="F763" i="62921"/>
  <c r="F764" i="62921"/>
  <c r="F765" i="62921"/>
  <c r="G765" i="62921" s="1"/>
  <c r="F766" i="62921"/>
  <c r="G766" i="62921" s="1"/>
  <c r="F767" i="62921"/>
  <c r="G767" i="62921" s="1"/>
  <c r="F768" i="62921"/>
  <c r="G768" i="62921" s="1"/>
  <c r="F769" i="62921"/>
  <c r="G769" i="62921" s="1"/>
  <c r="F770" i="62921"/>
  <c r="F771" i="62921"/>
  <c r="G771" i="62921" s="1"/>
  <c r="F772" i="62921"/>
  <c r="G772" i="62921" s="1"/>
  <c r="F773" i="62921"/>
  <c r="G773" i="62921" s="1"/>
  <c r="F774" i="62921"/>
  <c r="G774" i="62921" s="1"/>
  <c r="F775" i="62921"/>
  <c r="G775" i="62921" s="1"/>
  <c r="F776" i="62921"/>
  <c r="G776" i="62921" s="1"/>
  <c r="F777" i="62921"/>
  <c r="G777" i="62921" s="1"/>
  <c r="F778" i="62921"/>
  <c r="G778" i="62921" s="1"/>
  <c r="F779" i="62921"/>
  <c r="G779" i="62921" s="1"/>
  <c r="F780" i="62921"/>
  <c r="G780" i="62921" s="1"/>
  <c r="F781" i="62921"/>
  <c r="G781" i="62921" s="1"/>
  <c r="F782" i="62921"/>
  <c r="G782" i="62921" s="1"/>
  <c r="F783" i="62921"/>
  <c r="G783" i="62921" s="1"/>
  <c r="F784" i="62921"/>
  <c r="G784" i="62921" s="1"/>
  <c r="F785" i="62921"/>
  <c r="F786" i="62921"/>
  <c r="G786" i="62921" s="1"/>
  <c r="F787" i="62921"/>
  <c r="G787" i="62921" s="1"/>
  <c r="F788" i="62921"/>
  <c r="G788" i="62921" s="1"/>
  <c r="F789" i="62921"/>
  <c r="G789" i="62921" s="1"/>
  <c r="F790" i="62921"/>
  <c r="G790" i="62921" s="1"/>
  <c r="F791" i="62921"/>
  <c r="G791" i="62921" s="1"/>
  <c r="F792" i="62921"/>
  <c r="G792" i="62921" s="1"/>
  <c r="F793" i="62921"/>
  <c r="G793" i="62921" s="1"/>
  <c r="F794" i="62921"/>
  <c r="G794" i="62921" s="1"/>
  <c r="F795" i="62921"/>
  <c r="G795" i="62921" s="1"/>
  <c r="F796" i="62921"/>
  <c r="G796" i="62921" s="1"/>
  <c r="F797" i="62921"/>
  <c r="G797" i="62921" s="1"/>
  <c r="F798" i="62921"/>
  <c r="G798" i="62921" s="1"/>
  <c r="F799" i="62921"/>
  <c r="G799" i="62921" s="1"/>
  <c r="F800" i="62921"/>
  <c r="G800" i="62921" s="1"/>
  <c r="F801" i="62921"/>
  <c r="F802" i="62921"/>
  <c r="G802" i="62921" s="1"/>
  <c r="F803" i="62921"/>
  <c r="G803" i="62921" s="1"/>
  <c r="F804" i="62921"/>
  <c r="G804" i="62921" s="1"/>
  <c r="F805" i="62921"/>
  <c r="G805" i="62921" s="1"/>
  <c r="F806" i="62921"/>
  <c r="G806" i="62921" s="1"/>
  <c r="F807" i="62921"/>
  <c r="G807" i="62921" s="1"/>
  <c r="F808" i="62921"/>
  <c r="G808" i="62921" s="1"/>
  <c r="F809" i="62921"/>
  <c r="G809" i="62921" s="1"/>
  <c r="F810" i="62921"/>
  <c r="G810" i="62921" s="1"/>
  <c r="F811" i="62921"/>
  <c r="G811" i="62921" s="1"/>
  <c r="F812" i="62921"/>
  <c r="F813" i="62921"/>
  <c r="G813" i="62921" s="1"/>
  <c r="F814" i="62921"/>
  <c r="G814" i="62921" s="1"/>
  <c r="F815" i="62921"/>
  <c r="G815" i="62921" s="1"/>
  <c r="F816" i="62921"/>
  <c r="G816" i="62921" s="1"/>
  <c r="F817" i="62921"/>
  <c r="F818" i="62921"/>
  <c r="G818" i="62921" s="1"/>
  <c r="F819" i="62921"/>
  <c r="G819" i="62921" s="1"/>
  <c r="F820" i="62921"/>
  <c r="G820" i="62921" s="1"/>
  <c r="F821" i="62921"/>
  <c r="G821" i="62921" s="1"/>
  <c r="F822" i="62921"/>
  <c r="G822" i="62921" s="1"/>
  <c r="F823" i="62921"/>
  <c r="G823" i="62921" s="1"/>
  <c r="F824" i="62921"/>
  <c r="G824" i="62921" s="1"/>
  <c r="F825" i="62921"/>
  <c r="G825" i="62921" s="1"/>
  <c r="F826" i="62921"/>
  <c r="G826" i="62921" s="1"/>
  <c r="F827" i="62921"/>
  <c r="G827" i="62921" s="1"/>
  <c r="F828" i="62921"/>
  <c r="F829" i="62921"/>
  <c r="G829" i="62921" s="1"/>
  <c r="F830" i="62921"/>
  <c r="G830" i="62921" s="1"/>
  <c r="F831" i="62921"/>
  <c r="G831" i="62921" s="1"/>
  <c r="F832" i="62921"/>
  <c r="G832" i="62921" s="1"/>
  <c r="F833" i="62921"/>
  <c r="G833" i="62921" s="1"/>
  <c r="F834" i="62921"/>
  <c r="G834" i="62921" s="1"/>
  <c r="F835" i="62921"/>
  <c r="G835" i="62921" s="1"/>
  <c r="F836" i="62921"/>
  <c r="F837" i="62921"/>
  <c r="G837" i="62921" s="1"/>
  <c r="F838" i="62921"/>
  <c r="G838" i="62921" s="1"/>
  <c r="F839" i="62921"/>
  <c r="G839" i="62921" s="1"/>
  <c r="F840" i="62921"/>
  <c r="G840" i="62921" s="1"/>
  <c r="F841" i="62921"/>
  <c r="G841" i="62921" s="1"/>
  <c r="F842" i="62921"/>
  <c r="G842" i="62921" s="1"/>
  <c r="F843" i="62921"/>
  <c r="G843" i="62921" s="1"/>
  <c r="F844" i="62921"/>
  <c r="F845" i="62921"/>
  <c r="G845" i="62921" s="1"/>
  <c r="F846" i="62921"/>
  <c r="G846" i="62921" s="1"/>
  <c r="F847" i="62921"/>
  <c r="G847" i="62921" s="1"/>
  <c r="F848" i="62921"/>
  <c r="G848" i="62921" s="1"/>
  <c r="F849" i="62921"/>
  <c r="G849" i="62921" s="1"/>
  <c r="F850" i="62921"/>
  <c r="G850" i="62921" s="1"/>
  <c r="F851" i="62921"/>
  <c r="G851" i="62921" s="1"/>
  <c r="F852" i="62921"/>
  <c r="F853" i="62921"/>
  <c r="G853" i="62921" s="1"/>
  <c r="F854" i="62921"/>
  <c r="G854" i="62921" s="1"/>
  <c r="F855" i="62921"/>
  <c r="G855" i="62921" s="1"/>
  <c r="F856" i="62921"/>
  <c r="G856" i="62921" s="1"/>
  <c r="F857" i="62921"/>
  <c r="G857" i="62921" s="1"/>
  <c r="P786" i="62921"/>
  <c r="P785" i="62921"/>
  <c r="P784" i="62921"/>
  <c r="P783" i="62921"/>
  <c r="P782" i="62921"/>
  <c r="P781" i="62921"/>
  <c r="P780" i="62921"/>
  <c r="P779" i="62921"/>
  <c r="P778" i="62921"/>
  <c r="P777" i="62921"/>
  <c r="P776" i="62921"/>
  <c r="P775" i="62921"/>
  <c r="P774" i="62921"/>
  <c r="P773" i="62921"/>
  <c r="P772" i="62921"/>
  <c r="P771" i="62921"/>
  <c r="P770" i="62921"/>
  <c r="P769" i="62921"/>
  <c r="P768" i="62921"/>
  <c r="P767" i="62921"/>
  <c r="P766" i="62921"/>
  <c r="P765" i="62921"/>
  <c r="P764" i="62921"/>
  <c r="P763" i="62921"/>
  <c r="P730" i="62921"/>
  <c r="P729" i="62921"/>
  <c r="P728" i="62921"/>
  <c r="P727" i="62921"/>
  <c r="P726" i="62921"/>
  <c r="P725" i="62921"/>
  <c r="P724" i="62921"/>
  <c r="P723" i="62921"/>
  <c r="P722" i="62921"/>
  <c r="P721" i="62921"/>
  <c r="P720" i="62921"/>
  <c r="P719" i="62921"/>
  <c r="P718" i="62921"/>
  <c r="P717" i="62921"/>
  <c r="P716" i="62921"/>
  <c r="P715" i="62921"/>
  <c r="P714" i="62921"/>
  <c r="P713" i="62921"/>
  <c r="P712" i="62921"/>
  <c r="P711" i="62921"/>
  <c r="P710" i="62921"/>
  <c r="P709" i="62921"/>
  <c r="P708" i="62921"/>
  <c r="P707" i="62921"/>
  <c r="P706" i="62921"/>
  <c r="P705" i="62921"/>
  <c r="P704" i="62921"/>
  <c r="P703" i="62921"/>
  <c r="P702" i="62921"/>
  <c r="P701" i="62921"/>
  <c r="P700" i="62921"/>
  <c r="P699" i="62921"/>
  <c r="P661" i="62921"/>
  <c r="P660" i="62921"/>
  <c r="P659" i="62921"/>
  <c r="P658" i="62921"/>
  <c r="P657" i="62921"/>
  <c r="P656" i="62921"/>
  <c r="P655" i="62921"/>
  <c r="P654" i="62921"/>
  <c r="P653" i="62921"/>
  <c r="P652" i="62921"/>
  <c r="P651" i="62921"/>
  <c r="P650" i="62921"/>
  <c r="P649" i="62921"/>
  <c r="P648" i="62921"/>
  <c r="P647" i="62921"/>
  <c r="P646" i="62921"/>
  <c r="P645" i="62921"/>
  <c r="P644" i="62921"/>
  <c r="P643" i="62921"/>
  <c r="P642" i="62921"/>
  <c r="P641" i="62921"/>
  <c r="P640" i="62921"/>
  <c r="P639" i="62921"/>
  <c r="P638" i="62921"/>
  <c r="P637" i="62921"/>
  <c r="P636" i="62921"/>
  <c r="P635" i="62921"/>
  <c r="P634" i="62921"/>
  <c r="P633" i="62921"/>
  <c r="P632" i="62921"/>
  <c r="P631" i="62921"/>
  <c r="P630" i="62921"/>
  <c r="F549" i="62922"/>
  <c r="F550" i="62922"/>
  <c r="G550" i="62922" s="1"/>
  <c r="F551" i="62922"/>
  <c r="F552" i="62922"/>
  <c r="G552" i="62922" s="1"/>
  <c r="F553" i="62922"/>
  <c r="F554" i="62922"/>
  <c r="G554" i="62922" s="1"/>
  <c r="F555" i="62922"/>
  <c r="F556" i="62922"/>
  <c r="G556" i="62922" s="1"/>
  <c r="F557" i="62922"/>
  <c r="F558" i="62922"/>
  <c r="G558" i="62922" s="1"/>
  <c r="F559" i="62922"/>
  <c r="F560" i="62922"/>
  <c r="G560" i="62922" s="1"/>
  <c r="F561" i="62922"/>
  <c r="F562" i="62922"/>
  <c r="G562" i="62922" s="1"/>
  <c r="F563" i="62922"/>
  <c r="F564" i="62922"/>
  <c r="G564" i="62922" s="1"/>
  <c r="F565" i="62922"/>
  <c r="F566" i="62922"/>
  <c r="G566" i="62922" s="1"/>
  <c r="F567" i="62922"/>
  <c r="F568" i="62922"/>
  <c r="G568" i="62922" s="1"/>
  <c r="F569" i="62922"/>
  <c r="F570" i="62922"/>
  <c r="G570" i="62922" s="1"/>
  <c r="F571" i="62922"/>
  <c r="F572" i="62922"/>
  <c r="G572" i="62922" s="1"/>
  <c r="F573" i="62922"/>
  <c r="F574" i="62922"/>
  <c r="G574" i="62922" s="1"/>
  <c r="F575" i="62922"/>
  <c r="F576" i="62922"/>
  <c r="G576" i="62922" s="1"/>
  <c r="F577" i="62922"/>
  <c r="F578" i="62922"/>
  <c r="G578" i="62922" s="1"/>
  <c r="F579" i="62922"/>
  <c r="F580" i="62922"/>
  <c r="G580" i="62922" s="1"/>
  <c r="F581" i="62922"/>
  <c r="F582" i="62922"/>
  <c r="G582" i="62922" s="1"/>
  <c r="F583" i="62922"/>
  <c r="F584" i="62922"/>
  <c r="G584" i="62922" s="1"/>
  <c r="F585" i="62922"/>
  <c r="F586" i="62922"/>
  <c r="G586" i="62922" s="1"/>
  <c r="F587" i="62922"/>
  <c r="F588" i="62922"/>
  <c r="G588" i="62922" s="1"/>
  <c r="F589" i="62922"/>
  <c r="F590" i="62922"/>
  <c r="G590" i="62922" s="1"/>
  <c r="F591" i="62922"/>
  <c r="F592" i="62922"/>
  <c r="G592" i="62922" s="1"/>
  <c r="F593" i="62922"/>
  <c r="F594" i="62922"/>
  <c r="G594" i="62922" s="1"/>
  <c r="F595" i="62922"/>
  <c r="F596" i="62922"/>
  <c r="G596" i="62922" s="1"/>
  <c r="F597" i="62922"/>
  <c r="F598" i="62922"/>
  <c r="G598" i="62922" s="1"/>
  <c r="F599" i="62922"/>
  <c r="F600" i="62922"/>
  <c r="G600" i="62922" s="1"/>
  <c r="F601" i="62922"/>
  <c r="F602" i="62922"/>
  <c r="G602" i="62922" s="1"/>
  <c r="F603" i="62922"/>
  <c r="F604" i="62922"/>
  <c r="G604" i="62922" s="1"/>
  <c r="F605" i="62922"/>
  <c r="F606" i="62922"/>
  <c r="G606" i="62922" s="1"/>
  <c r="F607" i="62922"/>
  <c r="F608" i="62922"/>
  <c r="G608" i="62922" s="1"/>
  <c r="F609" i="62922"/>
  <c r="F610" i="62922"/>
  <c r="G610" i="62922" s="1"/>
  <c r="F611" i="62922"/>
  <c r="F612" i="62922"/>
  <c r="G612" i="62922" s="1"/>
  <c r="F613" i="62922"/>
  <c r="F614" i="62922"/>
  <c r="G614" i="62922" s="1"/>
  <c r="F615" i="62922"/>
  <c r="F616" i="62922"/>
  <c r="G616" i="62922" s="1"/>
  <c r="F617" i="62922"/>
  <c r="F618" i="62922"/>
  <c r="G618" i="62922" s="1"/>
  <c r="F619" i="62922"/>
  <c r="F620" i="62922"/>
  <c r="G620" i="62922" s="1"/>
  <c r="F621" i="62922"/>
  <c r="F622" i="62922"/>
  <c r="G622" i="62922" s="1"/>
  <c r="F623" i="62922"/>
  <c r="F624" i="62922"/>
  <c r="G624" i="62922" s="1"/>
  <c r="F625" i="62922"/>
  <c r="F626" i="62922"/>
  <c r="G626" i="62922" s="1"/>
  <c r="F627" i="62922"/>
  <c r="F628" i="62922"/>
  <c r="G628" i="62922" s="1"/>
  <c r="F629" i="62922"/>
  <c r="F630" i="62922"/>
  <c r="G630" i="62922" s="1"/>
  <c r="F631" i="62922"/>
  <c r="F632" i="62922"/>
  <c r="G632" i="62922" s="1"/>
  <c r="F633" i="62922"/>
  <c r="F634" i="62922"/>
  <c r="G634" i="62922" s="1"/>
  <c r="F635" i="62922"/>
  <c r="F636" i="62922"/>
  <c r="G636" i="62922" s="1"/>
  <c r="F637" i="62922"/>
  <c r="F638" i="62922"/>
  <c r="G638" i="62922" s="1"/>
  <c r="F639" i="62922"/>
  <c r="F640" i="62922"/>
  <c r="G640" i="62922" s="1"/>
  <c r="F641" i="62922"/>
  <c r="F642" i="62922"/>
  <c r="G642" i="62922" s="1"/>
  <c r="F643" i="62922"/>
  <c r="F644" i="62922"/>
  <c r="G644" i="62922" s="1"/>
  <c r="F645" i="62922"/>
  <c r="F646" i="62922"/>
  <c r="G646" i="62922" s="1"/>
  <c r="F647" i="62922"/>
  <c r="F648" i="62922"/>
  <c r="G648" i="62922" s="1"/>
  <c r="F649" i="62922"/>
  <c r="F650" i="62922"/>
  <c r="G650" i="62922" s="1"/>
  <c r="F651" i="62922"/>
  <c r="F652" i="62922"/>
  <c r="G652" i="62922" s="1"/>
  <c r="F653" i="62922"/>
  <c r="F654" i="62922"/>
  <c r="G654" i="62922" s="1"/>
  <c r="F655" i="62922"/>
  <c r="F656" i="62922"/>
  <c r="G656" i="62922" s="1"/>
  <c r="F657" i="62922"/>
  <c r="F658" i="62922"/>
  <c r="G658" i="62922" s="1"/>
  <c r="F659" i="62922"/>
  <c r="F660" i="62922"/>
  <c r="G660" i="62922" s="1"/>
  <c r="F661" i="62922"/>
  <c r="F662" i="62922"/>
  <c r="G662" i="62922" s="1"/>
  <c r="F663" i="62922"/>
  <c r="F664" i="62922"/>
  <c r="G664" i="62922" s="1"/>
  <c r="F665" i="62922"/>
  <c r="F666" i="62922"/>
  <c r="G666" i="62922" s="1"/>
  <c r="F667" i="62922"/>
  <c r="G667" i="62922" s="1"/>
  <c r="F668" i="62922"/>
  <c r="G668" i="62922" s="1"/>
  <c r="F669" i="62922"/>
  <c r="G669" i="62922" s="1"/>
  <c r="F670" i="62922"/>
  <c r="G670" i="62922" s="1"/>
  <c r="F671" i="62922"/>
  <c r="F672" i="62922"/>
  <c r="G672" i="62922" s="1"/>
  <c r="F673" i="62922"/>
  <c r="F674" i="62922"/>
  <c r="G674" i="62922" s="1"/>
  <c r="F675" i="62922"/>
  <c r="F676" i="62922"/>
  <c r="G676" i="62922" s="1"/>
  <c r="F677" i="62922"/>
  <c r="G677" i="62922" s="1"/>
  <c r="F678" i="62922"/>
  <c r="F679" i="62922"/>
  <c r="F680" i="62922"/>
  <c r="F681" i="62922"/>
  <c r="G681" i="62922" s="1"/>
  <c r="F682" i="62922"/>
  <c r="G682" i="62922" s="1"/>
  <c r="F683" i="62922"/>
  <c r="F684" i="62922"/>
  <c r="G684" i="62922" s="1"/>
  <c r="F685" i="62922"/>
  <c r="G685" i="62922" s="1"/>
  <c r="F686" i="62922"/>
  <c r="F687" i="62922"/>
  <c r="F688" i="62922"/>
  <c r="F689" i="62922"/>
  <c r="G689" i="62922" s="1"/>
  <c r="F690" i="62922"/>
  <c r="G690" i="62922" s="1"/>
  <c r="F691" i="62922"/>
  <c r="F692" i="62922"/>
  <c r="G692" i="62922" s="1"/>
  <c r="F693" i="62922"/>
  <c r="G693" i="62922" s="1"/>
  <c r="F694" i="62922"/>
  <c r="F695" i="62922"/>
  <c r="F696" i="62922"/>
  <c r="F697" i="62922"/>
  <c r="G697" i="62922" s="1"/>
  <c r="F698" i="62922"/>
  <c r="G698" i="62922" s="1"/>
  <c r="F699" i="62922"/>
  <c r="F700" i="62922"/>
  <c r="G700" i="62922" s="1"/>
  <c r="F701" i="62922"/>
  <c r="G701" i="62922" s="1"/>
  <c r="F702" i="62922"/>
  <c r="F703" i="62922"/>
  <c r="F704" i="62922"/>
  <c r="F705" i="62922"/>
  <c r="G705" i="62922" s="1"/>
  <c r="F706" i="62922"/>
  <c r="G706" i="62922" s="1"/>
  <c r="F707" i="62922"/>
  <c r="F708" i="62922"/>
  <c r="G708" i="62922" s="1"/>
  <c r="F709" i="62922"/>
  <c r="G709" i="62922" s="1"/>
  <c r="F710" i="62922"/>
  <c r="F711" i="62922"/>
  <c r="F712" i="62922"/>
  <c r="F713" i="62922"/>
  <c r="G713" i="62922" s="1"/>
  <c r="F714" i="62922"/>
  <c r="G714" i="62922" s="1"/>
  <c r="F715" i="62922"/>
  <c r="F716" i="62922"/>
  <c r="G716" i="62922" s="1"/>
  <c r="F717" i="62922"/>
  <c r="G717" i="62922" s="1"/>
  <c r="F718" i="62922"/>
  <c r="F719" i="62922"/>
  <c r="G719" i="62922" s="1"/>
  <c r="F720" i="62922"/>
  <c r="F721" i="62922"/>
  <c r="G721" i="62922" s="1"/>
  <c r="F722" i="62922"/>
  <c r="F723" i="62922"/>
  <c r="G723" i="62922" s="1"/>
  <c r="F724" i="62922"/>
  <c r="F725" i="62922"/>
  <c r="G725" i="62922" s="1"/>
  <c r="F726" i="62922"/>
  <c r="F727" i="62922"/>
  <c r="G727" i="62922" s="1"/>
  <c r="F728" i="62922"/>
  <c r="F729" i="62922"/>
  <c r="G729" i="62922" s="1"/>
  <c r="F730" i="62922"/>
  <c r="F731" i="62922"/>
  <c r="G731" i="62922" s="1"/>
  <c r="F732" i="62922"/>
  <c r="F733" i="62922"/>
  <c r="G733" i="62922" s="1"/>
  <c r="F734" i="62922"/>
  <c r="F735" i="62922"/>
  <c r="G735" i="62922" s="1"/>
  <c r="F736" i="62922"/>
  <c r="F737" i="62922"/>
  <c r="G737" i="62922" s="1"/>
  <c r="F738" i="62922"/>
  <c r="F739" i="62922"/>
  <c r="G739" i="62922" s="1"/>
  <c r="F740" i="62922"/>
  <c r="F741" i="62922"/>
  <c r="G741" i="62922" s="1"/>
  <c r="F742" i="62922"/>
  <c r="F743" i="62922"/>
  <c r="G743" i="62922" s="1"/>
  <c r="F744" i="62922"/>
  <c r="F745" i="62922"/>
  <c r="G745" i="62922" s="1"/>
  <c r="F746" i="62922"/>
  <c r="F747" i="62922"/>
  <c r="G747" i="62922" s="1"/>
  <c r="F748" i="62922"/>
  <c r="F749" i="62922"/>
  <c r="G749" i="62922" s="1"/>
  <c r="F750" i="62922"/>
  <c r="F751" i="62922"/>
  <c r="G751" i="62922" s="1"/>
  <c r="F752" i="62922"/>
  <c r="F753" i="62922"/>
  <c r="G753" i="62922" s="1"/>
  <c r="F754" i="62922"/>
  <c r="F755" i="62922"/>
  <c r="G755" i="62922" s="1"/>
  <c r="F756" i="62922"/>
  <c r="F757" i="62922"/>
  <c r="G757" i="62922" s="1"/>
  <c r="F758" i="62922"/>
  <c r="F759" i="62922"/>
  <c r="G759" i="62922" s="1"/>
  <c r="F760" i="62922"/>
  <c r="F761" i="62922"/>
  <c r="G761" i="62922" s="1"/>
  <c r="F762" i="62922"/>
  <c r="F548" i="62922"/>
  <c r="P731" i="62922"/>
  <c r="P730" i="62922"/>
  <c r="P729" i="62922"/>
  <c r="P728" i="62922"/>
  <c r="P727" i="62922"/>
  <c r="P726" i="62922"/>
  <c r="P725" i="62922"/>
  <c r="P724" i="62922"/>
  <c r="P723" i="62922"/>
  <c r="P722" i="62922"/>
  <c r="P721" i="62922"/>
  <c r="P720" i="62922"/>
  <c r="P719" i="62922"/>
  <c r="P718" i="62922"/>
  <c r="P717" i="62922"/>
  <c r="P716" i="62922"/>
  <c r="P715" i="62922"/>
  <c r="P714" i="62922"/>
  <c r="P713" i="62922"/>
  <c r="P712" i="62922"/>
  <c r="P711" i="62922"/>
  <c r="P710" i="62922"/>
  <c r="P709" i="62922"/>
  <c r="P708" i="62922"/>
  <c r="P677" i="62922"/>
  <c r="P676" i="62922"/>
  <c r="P675" i="62922"/>
  <c r="P674" i="62922"/>
  <c r="P673" i="62922"/>
  <c r="P672" i="62922"/>
  <c r="P671" i="62922"/>
  <c r="P670" i="62922"/>
  <c r="P669" i="62922"/>
  <c r="P668" i="62922"/>
  <c r="P667" i="62922"/>
  <c r="P666" i="62922"/>
  <c r="P665" i="62922"/>
  <c r="P664" i="62922"/>
  <c r="P663" i="62922"/>
  <c r="P662" i="62922"/>
  <c r="P661" i="62922"/>
  <c r="P660" i="62922"/>
  <c r="P659" i="62922"/>
  <c r="P658" i="62922"/>
  <c r="P657" i="62922"/>
  <c r="P656" i="62922"/>
  <c r="P655" i="62922"/>
  <c r="P654" i="62922"/>
  <c r="P653" i="62922"/>
  <c r="P652" i="62922"/>
  <c r="P651" i="62922"/>
  <c r="P650" i="62922"/>
  <c r="P649" i="62922"/>
  <c r="P648" i="62922"/>
  <c r="P647" i="62922"/>
  <c r="P646" i="62922"/>
  <c r="P609" i="62922"/>
  <c r="P608" i="62922"/>
  <c r="P607" i="62922"/>
  <c r="P606" i="62922"/>
  <c r="P605" i="62922"/>
  <c r="P604" i="62922"/>
  <c r="P603" i="62922"/>
  <c r="P602" i="62922"/>
  <c r="P601" i="62922"/>
  <c r="P600" i="62922"/>
  <c r="P599" i="62922"/>
  <c r="P598" i="62922"/>
  <c r="P597" i="62922"/>
  <c r="P596" i="62922"/>
  <c r="P595" i="62922"/>
  <c r="P594" i="62922"/>
  <c r="P593" i="62922"/>
  <c r="P592" i="62922"/>
  <c r="P591" i="62922"/>
  <c r="P590" i="62922"/>
  <c r="P589" i="62922"/>
  <c r="P588" i="62922"/>
  <c r="P587" i="62922"/>
  <c r="P586" i="62922"/>
  <c r="P585" i="62922"/>
  <c r="P584" i="62922"/>
  <c r="P583" i="62922"/>
  <c r="P582" i="62922"/>
  <c r="P581" i="62922"/>
  <c r="P580" i="62922"/>
  <c r="P579" i="62922"/>
  <c r="P578" i="62922"/>
  <c r="G980" i="62921" l="1"/>
  <c r="G978" i="62921"/>
  <c r="G976" i="62921"/>
  <c r="G974" i="62921"/>
  <c r="G972" i="62921"/>
  <c r="G970" i="62921"/>
  <c r="G968" i="62921"/>
  <c r="G966" i="62921"/>
  <c r="G964" i="62921"/>
  <c r="G962" i="62921"/>
  <c r="G960" i="62921"/>
  <c r="G958" i="62921"/>
  <c r="G956" i="62921"/>
  <c r="G954" i="62921"/>
  <c r="G952" i="62921"/>
  <c r="G950" i="62921"/>
  <c r="G948" i="62921"/>
  <c r="G946" i="62921"/>
  <c r="G944" i="62921"/>
  <c r="G942" i="62921"/>
  <c r="G940" i="62921"/>
  <c r="G938" i="62921"/>
  <c r="G936" i="62921"/>
  <c r="G801" i="62922"/>
  <c r="G799" i="62922"/>
  <c r="G797" i="62922"/>
  <c r="G795" i="62922"/>
  <c r="G793" i="62922"/>
  <c r="G791" i="62922"/>
  <c r="G789" i="62922"/>
  <c r="G787" i="62922"/>
  <c r="G785" i="62922"/>
  <c r="G783" i="62922"/>
  <c r="G781" i="62922"/>
  <c r="G779" i="62922"/>
  <c r="G777" i="62922"/>
  <c r="G775" i="62922"/>
  <c r="G773" i="62922"/>
  <c r="G771" i="62922"/>
  <c r="G769" i="62922"/>
  <c r="G767" i="62922"/>
  <c r="G765" i="62922"/>
  <c r="G763" i="62922"/>
  <c r="G706" i="62921"/>
  <c r="G701" i="62921"/>
  <c r="G764" i="62921"/>
  <c r="G756" i="62921"/>
  <c r="G748" i="62921"/>
  <c r="G740" i="62921"/>
  <c r="G732" i="62921"/>
  <c r="G715" i="62921"/>
  <c r="G700" i="62921"/>
  <c r="G676" i="62921"/>
  <c r="G714" i="62921"/>
  <c r="G682" i="62921"/>
  <c r="G852" i="62921"/>
  <c r="G844" i="62921"/>
  <c r="G836" i="62921"/>
  <c r="G828" i="62921"/>
  <c r="G812" i="62921"/>
  <c r="G763" i="62921"/>
  <c r="G755" i="62921"/>
  <c r="G747" i="62921"/>
  <c r="G739" i="62921"/>
  <c r="G731" i="62921"/>
  <c r="G723" i="62921"/>
  <c r="G692" i="62921"/>
  <c r="G770" i="62921"/>
  <c r="G762" i="62921"/>
  <c r="G754" i="62921"/>
  <c r="G746" i="62921"/>
  <c r="G738" i="62921"/>
  <c r="G730" i="62921"/>
  <c r="G722" i="62921"/>
  <c r="G698" i="62921"/>
  <c r="G669" i="62921"/>
  <c r="G703" i="62921"/>
  <c r="G685" i="62921"/>
  <c r="G817" i="62921"/>
  <c r="G801" i="62921"/>
  <c r="G785" i="62921"/>
  <c r="G707" i="62921"/>
  <c r="G666" i="62921"/>
  <c r="G704" i="62921"/>
  <c r="G688" i="62921"/>
  <c r="G672" i="62921"/>
  <c r="G662" i="62921"/>
  <c r="G658" i="62921"/>
  <c r="G654" i="62921"/>
  <c r="G650" i="62921"/>
  <c r="G646" i="62921"/>
  <c r="G642" i="62921"/>
  <c r="G638" i="62921"/>
  <c r="G634" i="62921"/>
  <c r="G630" i="62921"/>
  <c r="G626" i="62921"/>
  <c r="G622" i="62921"/>
  <c r="G618" i="62921"/>
  <c r="G614" i="62921"/>
  <c r="G610" i="62921"/>
  <c r="G606" i="62921"/>
  <c r="G694" i="62921"/>
  <c r="G678" i="62921"/>
  <c r="G605" i="62921"/>
  <c r="G684" i="62921"/>
  <c r="G668" i="62921"/>
  <c r="G661" i="62921"/>
  <c r="G657" i="62921"/>
  <c r="G653" i="62921"/>
  <c r="G649" i="62921"/>
  <c r="G645" i="62921"/>
  <c r="G641" i="62921"/>
  <c r="G637" i="62921"/>
  <c r="G633" i="62921"/>
  <c r="G629" i="62921"/>
  <c r="G625" i="62921"/>
  <c r="G621" i="62921"/>
  <c r="G617" i="62921"/>
  <c r="G613" i="62921"/>
  <c r="G609" i="62921"/>
  <c r="G690" i="62921"/>
  <c r="G674" i="62921"/>
  <c r="G604" i="62921"/>
  <c r="G696" i="62921"/>
  <c r="G680" i="62921"/>
  <c r="G664" i="62921"/>
  <c r="G660" i="62921"/>
  <c r="G656" i="62921"/>
  <c r="G652" i="62921"/>
  <c r="G648" i="62921"/>
  <c r="G644" i="62921"/>
  <c r="G640" i="62921"/>
  <c r="G636" i="62921"/>
  <c r="G632" i="62921"/>
  <c r="G628" i="62921"/>
  <c r="G624" i="62921"/>
  <c r="G620" i="62921"/>
  <c r="G616" i="62921"/>
  <c r="G612" i="62921"/>
  <c r="G608" i="62921"/>
  <c r="G603" i="62921"/>
  <c r="G702" i="62921"/>
  <c r="G686" i="62921"/>
  <c r="G670" i="62921"/>
  <c r="G602" i="62921"/>
  <c r="G663" i="62921"/>
  <c r="G659" i="62921"/>
  <c r="G655" i="62921"/>
  <c r="G651" i="62921"/>
  <c r="G647" i="62921"/>
  <c r="G643" i="62921"/>
  <c r="G639" i="62921"/>
  <c r="G635" i="62921"/>
  <c r="G631" i="62921"/>
  <c r="G627" i="62921"/>
  <c r="G623" i="62921"/>
  <c r="G619" i="62921"/>
  <c r="G615" i="62921"/>
  <c r="G611" i="62921"/>
  <c r="G607" i="62921"/>
  <c r="G601" i="62921"/>
  <c r="G732" i="62922"/>
  <c r="G758" i="62922"/>
  <c r="G756" i="62922"/>
  <c r="G740" i="62922"/>
  <c r="G724" i="62922"/>
  <c r="G748" i="62922"/>
  <c r="G671" i="62922"/>
  <c r="G651" i="62922"/>
  <c r="G635" i="62922"/>
  <c r="G627" i="62922"/>
  <c r="G619" i="62922"/>
  <c r="G611" i="62922"/>
  <c r="G603" i="62922"/>
  <c r="G595" i="62922"/>
  <c r="G553" i="62922"/>
  <c r="G762" i="62922"/>
  <c r="G754" i="62922"/>
  <c r="G746" i="62922"/>
  <c r="G738" i="62922"/>
  <c r="G730" i="62922"/>
  <c r="G722" i="62922"/>
  <c r="G715" i="62922"/>
  <c r="G707" i="62922"/>
  <c r="G699" i="62922"/>
  <c r="G691" i="62922"/>
  <c r="G683" i="62922"/>
  <c r="G675" i="62922"/>
  <c r="G561" i="62922"/>
  <c r="G711" i="62922"/>
  <c r="G695" i="62922"/>
  <c r="G679" i="62922"/>
  <c r="G653" i="62922"/>
  <c r="G645" i="62922"/>
  <c r="G629" i="62922"/>
  <c r="G621" i="62922"/>
  <c r="G613" i="62922"/>
  <c r="G605" i="62922"/>
  <c r="G597" i="62922"/>
  <c r="G589" i="62922"/>
  <c r="G569" i="62922"/>
  <c r="G659" i="62922"/>
  <c r="G703" i="62922"/>
  <c r="G687" i="62922"/>
  <c r="G673" i="62922"/>
  <c r="G661" i="62922"/>
  <c r="G637" i="62922"/>
  <c r="G760" i="62922"/>
  <c r="G752" i="62922"/>
  <c r="G744" i="62922"/>
  <c r="G736" i="62922"/>
  <c r="G728" i="62922"/>
  <c r="G720" i="62922"/>
  <c r="G577" i="62922"/>
  <c r="G643" i="62922"/>
  <c r="G663" i="62922"/>
  <c r="G655" i="62922"/>
  <c r="G647" i="62922"/>
  <c r="G631" i="62922"/>
  <c r="G623" i="62922"/>
  <c r="G615" i="62922"/>
  <c r="G607" i="62922"/>
  <c r="G599" i="62922"/>
  <c r="G591" i="62922"/>
  <c r="G585" i="62922"/>
  <c r="G639" i="62922"/>
  <c r="G750" i="62922"/>
  <c r="G742" i="62922"/>
  <c r="G734" i="62922"/>
  <c r="G726" i="62922"/>
  <c r="G718" i="62922"/>
  <c r="G712" i="62922"/>
  <c r="G710" i="62922"/>
  <c r="G704" i="62922"/>
  <c r="G702" i="62922"/>
  <c r="G696" i="62922"/>
  <c r="G694" i="62922"/>
  <c r="G688" i="62922"/>
  <c r="G686" i="62922"/>
  <c r="G680" i="62922"/>
  <c r="G678" i="62922"/>
  <c r="G649" i="62922"/>
  <c r="G641" i="62922"/>
  <c r="G633" i="62922"/>
  <c r="G625" i="62922"/>
  <c r="G617" i="62922"/>
  <c r="G609" i="62922"/>
  <c r="G601" i="62922"/>
  <c r="G593" i="62922"/>
  <c r="G665" i="62922"/>
  <c r="G657" i="62922"/>
  <c r="G587" i="62922"/>
  <c r="G583" i="62922"/>
  <c r="G575" i="62922"/>
  <c r="G567" i="62922"/>
  <c r="G559" i="62922"/>
  <c r="G551" i="62922"/>
  <c r="G581" i="62922"/>
  <c r="G573" i="62922"/>
  <c r="G565" i="62922"/>
  <c r="G557" i="62922"/>
  <c r="G549" i="62922"/>
  <c r="G579" i="62922"/>
  <c r="G571" i="62922"/>
  <c r="G563" i="62922"/>
  <c r="G555" i="62922"/>
  <c r="B125" i="62892" l="1"/>
  <c r="B126" i="62892"/>
  <c r="B100" i="62892"/>
  <c r="B101" i="62892"/>
  <c r="B102" i="62892"/>
  <c r="BK238" i="9"/>
  <c r="BJ238" i="9"/>
  <c r="BH238" i="9"/>
  <c r="BF238" i="9"/>
  <c r="AV238" i="9"/>
  <c r="BD238" i="9" s="1"/>
  <c r="K238" i="9"/>
  <c r="D238" i="9" s="1"/>
  <c r="H238" i="9"/>
  <c r="AD238" i="9" l="1"/>
  <c r="Y238" i="9" s="1"/>
  <c r="AH238" i="9"/>
  <c r="AP238" i="9" s="1"/>
  <c r="J14" i="11" l="1"/>
  <c r="J15" i="11"/>
  <c r="J16" i="11"/>
  <c r="J13" i="11"/>
  <c r="U87" i="62923"/>
  <c r="U86" i="62923"/>
  <c r="U85" i="62923"/>
  <c r="U84" i="62923"/>
  <c r="U83" i="62923"/>
  <c r="U82" i="62923"/>
  <c r="T87" i="62923"/>
  <c r="T86" i="62923"/>
  <c r="T85" i="62923"/>
  <c r="T84" i="62923"/>
  <c r="T83" i="62923"/>
  <c r="T82" i="62923"/>
  <c r="S87" i="62923"/>
  <c r="S86" i="62923"/>
  <c r="S85" i="62923"/>
  <c r="S84" i="62923"/>
  <c r="S83" i="62923"/>
  <c r="S82" i="62923"/>
  <c r="R87" i="62923"/>
  <c r="R86" i="62923"/>
  <c r="R85" i="62923"/>
  <c r="R84" i="62923"/>
  <c r="R83" i="62923"/>
  <c r="R82" i="62923"/>
  <c r="Q87" i="62923"/>
  <c r="Q86" i="62923"/>
  <c r="Q85" i="62923"/>
  <c r="Q84" i="62923"/>
  <c r="Q83" i="62923"/>
  <c r="Q82" i="62923"/>
  <c r="P87" i="62923"/>
  <c r="P86" i="62923"/>
  <c r="P85" i="62923"/>
  <c r="P84" i="62923"/>
  <c r="P83" i="62923"/>
  <c r="P82" i="62923"/>
  <c r="O87" i="62923"/>
  <c r="O86" i="62923"/>
  <c r="O85" i="62923"/>
  <c r="O84" i="62923"/>
  <c r="O83" i="62923"/>
  <c r="O82" i="62923"/>
  <c r="U174" i="62923" l="1"/>
  <c r="U173" i="62923"/>
  <c r="U172" i="62923"/>
  <c r="T174" i="62923"/>
  <c r="T173" i="62923"/>
  <c r="T172" i="62923"/>
  <c r="S174" i="62923"/>
  <c r="S173" i="62923"/>
  <c r="S172" i="62923"/>
  <c r="R174" i="62923"/>
  <c r="R173" i="62923"/>
  <c r="R172" i="62923"/>
  <c r="Q174" i="62923"/>
  <c r="Q173" i="62923"/>
  <c r="Q172" i="62923"/>
  <c r="P174" i="62923"/>
  <c r="P173" i="62923"/>
  <c r="P172" i="62923"/>
  <c r="O174" i="62923"/>
  <c r="O173" i="62923"/>
  <c r="O172" i="62923"/>
  <c r="J56" i="11" l="1"/>
  <c r="J57" i="11"/>
  <c r="J55" i="11"/>
  <c r="I42" i="11"/>
  <c r="I43" i="11"/>
  <c r="I44" i="11"/>
  <c r="I41" i="11"/>
  <c r="R282" i="62898" l="1"/>
  <c r="R283" i="62898"/>
  <c r="R284" i="62898"/>
  <c r="B209" i="62909" l="1"/>
  <c r="D209" i="62909"/>
  <c r="B210" i="62909"/>
  <c r="D210" i="62909"/>
  <c r="B164" i="62909"/>
  <c r="D164" i="62909"/>
  <c r="B165" i="62909"/>
  <c r="D165" i="62909"/>
  <c r="B166" i="62909"/>
  <c r="D166" i="62909"/>
  <c r="B123" i="62910"/>
  <c r="B124" i="62910"/>
  <c r="B125" i="62910"/>
  <c r="B126" i="62910"/>
  <c r="B122" i="62910"/>
  <c r="B100" i="62910"/>
  <c r="B101" i="62910"/>
  <c r="B102" i="62910"/>
  <c r="AI14" i="11" l="1"/>
  <c r="AI15" i="11"/>
  <c r="AI16" i="11"/>
  <c r="AI13" i="11"/>
  <c r="AE14" i="11"/>
  <c r="AE15" i="11"/>
  <c r="AE16" i="11"/>
  <c r="AE13" i="11"/>
  <c r="AC14" i="11"/>
  <c r="AC15" i="11"/>
  <c r="AC16" i="11"/>
  <c r="AC13" i="11"/>
  <c r="AA14" i="11"/>
  <c r="AA15" i="11"/>
  <c r="AA16" i="11"/>
  <c r="AA13" i="11"/>
  <c r="Y14" i="11"/>
  <c r="Y15" i="11"/>
  <c r="Y16" i="11"/>
  <c r="Y13" i="11"/>
  <c r="I246" i="62905" l="1"/>
  <c r="BD224" i="62905"/>
  <c r="BD223" i="62905"/>
  <c r="BD222" i="62905"/>
  <c r="BD221" i="62905"/>
  <c r="BD220" i="62905"/>
  <c r="BD217" i="62905"/>
  <c r="BD216" i="62905"/>
  <c r="BD215" i="62905"/>
  <c r="BD207" i="62905"/>
  <c r="BD206" i="62905"/>
  <c r="BD205" i="62905"/>
  <c r="BD204" i="62905"/>
  <c r="BD203" i="62905"/>
  <c r="BD195" i="62905"/>
  <c r="BD194" i="62905"/>
  <c r="BD229" i="62905"/>
  <c r="BD228" i="62905"/>
  <c r="BD186" i="62905"/>
  <c r="BD185" i="62905"/>
  <c r="BD177" i="62905"/>
  <c r="BD176" i="62905"/>
  <c r="BD175" i="62905"/>
  <c r="BD230" i="62905"/>
  <c r="BD121" i="62905"/>
  <c r="BD120" i="62905"/>
  <c r="BD124" i="62905"/>
  <c r="BD106" i="62905"/>
  <c r="BD108" i="62905"/>
  <c r="BD107" i="62905"/>
  <c r="BD90" i="62905"/>
  <c r="BD89" i="62905"/>
  <c r="BD88" i="62905"/>
  <c r="BD93" i="62905"/>
  <c r="BD87" i="62905"/>
  <c r="BD94" i="62905"/>
  <c r="BD76" i="62905"/>
  <c r="BD64" i="62905"/>
  <c r="BD55" i="62905"/>
  <c r="BD71" i="62905"/>
  <c r="BD70" i="62905"/>
  <c r="BD69" i="62905"/>
  <c r="BD68" i="62905"/>
  <c r="BD65" i="62905"/>
  <c r="BD63" i="62905"/>
  <c r="BD62" i="62905"/>
  <c r="BD61" i="62905"/>
  <c r="BD58" i="62905"/>
  <c r="BD57" i="62905"/>
  <c r="BD56" i="62905"/>
  <c r="BD54" i="62905"/>
  <c r="BD51" i="62905"/>
  <c r="BD50" i="62905"/>
  <c r="BD49" i="62905"/>
  <c r="AC288" i="62928" l="1"/>
  <c r="AC284" i="62928"/>
  <c r="AC283" i="62928"/>
  <c r="AC288" i="7"/>
  <c r="AC284" i="7"/>
  <c r="AC283" i="7"/>
  <c r="F1217" i="62919"/>
  <c r="F1218" i="62919"/>
  <c r="G1218" i="62919" s="1"/>
  <c r="F1219" i="62919"/>
  <c r="G1219" i="62919" s="1"/>
  <c r="F1220" i="62919"/>
  <c r="G1220" i="62919" s="1"/>
  <c r="F1221" i="62919"/>
  <c r="G1221" i="62919" s="1"/>
  <c r="F1193" i="62919"/>
  <c r="F1194" i="62919"/>
  <c r="F1195" i="62919"/>
  <c r="G1195" i="62919" s="1"/>
  <c r="F1196" i="62919"/>
  <c r="F1197" i="62919"/>
  <c r="G1197" i="62919" s="1"/>
  <c r="F1198" i="62919"/>
  <c r="F1199" i="62919"/>
  <c r="G1199" i="62919" s="1"/>
  <c r="F1200" i="62919"/>
  <c r="F1201" i="62919"/>
  <c r="G1201" i="62919" s="1"/>
  <c r="F1202" i="62919"/>
  <c r="F1203" i="62919"/>
  <c r="G1203" i="62919" s="1"/>
  <c r="F1204" i="62919"/>
  <c r="F1205" i="62919"/>
  <c r="G1205" i="62919" s="1"/>
  <c r="F1209" i="62919"/>
  <c r="F1210" i="62919"/>
  <c r="G1210" i="62919" s="1"/>
  <c r="F1211" i="62919"/>
  <c r="F1212" i="62919"/>
  <c r="G1212" i="62919" s="1"/>
  <c r="F1213" i="62919"/>
  <c r="F1208" i="62919"/>
  <c r="G1208" i="62919" s="1"/>
  <c r="F1207" i="62919"/>
  <c r="G1207" i="62919" s="1"/>
  <c r="AC259" i="62928"/>
  <c r="AC258" i="62928"/>
  <c r="AC257" i="62928"/>
  <c r="AC159" i="62928"/>
  <c r="AC158" i="62928"/>
  <c r="AC157" i="62928"/>
  <c r="AC156" i="62928"/>
  <c r="AC155" i="62928"/>
  <c r="AC159" i="7"/>
  <c r="AC158" i="7"/>
  <c r="AC157" i="7"/>
  <c r="AC156" i="7"/>
  <c r="AC155" i="7"/>
  <c r="F1903" i="62919"/>
  <c r="F1904" i="62919"/>
  <c r="G1904" i="62919" s="1"/>
  <c r="F1905" i="62919"/>
  <c r="G1905" i="62919" s="1"/>
  <c r="F1906" i="62919"/>
  <c r="G1906" i="62919" s="1"/>
  <c r="F1907" i="62919"/>
  <c r="G1907" i="62919" s="1"/>
  <c r="F1908" i="62919"/>
  <c r="G1908" i="62919" s="1"/>
  <c r="F1909" i="62919"/>
  <c r="G1909" i="62919" s="1"/>
  <c r="F1910" i="62919"/>
  <c r="G1910" i="62919" s="1"/>
  <c r="F1911" i="62919"/>
  <c r="F1912" i="62919"/>
  <c r="G1912" i="62919" s="1"/>
  <c r="F1913" i="62919"/>
  <c r="G1913" i="62919" s="1"/>
  <c r="F1914" i="62919"/>
  <c r="G1914" i="62919" s="1"/>
  <c r="F1915" i="62919"/>
  <c r="G1915" i="62919" s="1"/>
  <c r="F1916" i="62919"/>
  <c r="G1916" i="62919" s="1"/>
  <c r="F1917" i="62919"/>
  <c r="G1917" i="62919" s="1"/>
  <c r="F1918" i="62919"/>
  <c r="G1918" i="62919" s="1"/>
  <c r="F1919" i="62919"/>
  <c r="F1920" i="62919"/>
  <c r="G1920" i="62919" s="1"/>
  <c r="F1902" i="62919"/>
  <c r="E1902" i="62919" s="1"/>
  <c r="F15" i="62922"/>
  <c r="G15" i="62922" s="1"/>
  <c r="F16" i="62922"/>
  <c r="F17" i="62922"/>
  <c r="G17" i="62922" s="1"/>
  <c r="F18" i="62922"/>
  <c r="F19" i="62922"/>
  <c r="G19" i="62922" s="1"/>
  <c r="F20" i="62922"/>
  <c r="F21" i="62922"/>
  <c r="G21" i="62922" s="1"/>
  <c r="F22" i="62922"/>
  <c r="F23" i="62922"/>
  <c r="G23" i="62922" s="1"/>
  <c r="F24" i="62922"/>
  <c r="F25" i="62922"/>
  <c r="G25" i="62922" s="1"/>
  <c r="F26" i="62922"/>
  <c r="F27" i="62922"/>
  <c r="G27" i="62922" s="1"/>
  <c r="F28" i="62922"/>
  <c r="F29" i="62922"/>
  <c r="G29" i="62922" s="1"/>
  <c r="F30" i="62922"/>
  <c r="F31" i="62922"/>
  <c r="G31" i="62922" s="1"/>
  <c r="F32" i="62922"/>
  <c r="F33" i="62922"/>
  <c r="G33" i="62922" s="1"/>
  <c r="F34" i="62922"/>
  <c r="F35" i="62922"/>
  <c r="G35" i="62922" s="1"/>
  <c r="F36" i="62922"/>
  <c r="F37" i="62922"/>
  <c r="G37" i="62922" s="1"/>
  <c r="F38" i="62922"/>
  <c r="F39" i="62922"/>
  <c r="G39" i="62922" s="1"/>
  <c r="F40" i="62922"/>
  <c r="F41" i="62922"/>
  <c r="G41" i="62922" s="1"/>
  <c r="F42" i="62922"/>
  <c r="F43" i="62922"/>
  <c r="G43" i="62922" s="1"/>
  <c r="F44" i="62922"/>
  <c r="F45" i="62922"/>
  <c r="G45" i="62922" s="1"/>
  <c r="F46" i="62922"/>
  <c r="F47" i="62922"/>
  <c r="G47" i="62922" s="1"/>
  <c r="F48" i="62922"/>
  <c r="F49" i="62922"/>
  <c r="G49" i="62922" s="1"/>
  <c r="F50" i="62922"/>
  <c r="F51" i="62922"/>
  <c r="G51" i="62922" s="1"/>
  <c r="F52" i="62922"/>
  <c r="F53" i="62922"/>
  <c r="G53" i="62922" s="1"/>
  <c r="F54" i="62922"/>
  <c r="F55" i="62922"/>
  <c r="G55" i="62922" s="1"/>
  <c r="F56" i="62922"/>
  <c r="F57" i="62922"/>
  <c r="G57" i="62922" s="1"/>
  <c r="F58" i="62922"/>
  <c r="G58" i="62922" s="1"/>
  <c r="F59" i="62922"/>
  <c r="G59" i="62922" s="1"/>
  <c r="F60" i="62922"/>
  <c r="G60" i="62922" s="1"/>
  <c r="F61" i="62922"/>
  <c r="G61" i="62922" s="1"/>
  <c r="F62" i="62922"/>
  <c r="G62" i="62922" s="1"/>
  <c r="F63" i="62922"/>
  <c r="F64" i="62922"/>
  <c r="G64" i="62922" s="1"/>
  <c r="F65" i="62922"/>
  <c r="G65" i="62922" s="1"/>
  <c r="F66" i="62922"/>
  <c r="G66" i="62922" s="1"/>
  <c r="F67" i="62922"/>
  <c r="F68" i="62922"/>
  <c r="G68" i="62922" s="1"/>
  <c r="F69" i="62922"/>
  <c r="G69" i="62922" s="1"/>
  <c r="F70" i="62922"/>
  <c r="G70" i="62922" s="1"/>
  <c r="F71" i="62922"/>
  <c r="G71" i="62922" s="1"/>
  <c r="F72" i="62922"/>
  <c r="G72" i="62922" s="1"/>
  <c r="F73" i="62922"/>
  <c r="G73" i="62922" s="1"/>
  <c r="F74" i="62922"/>
  <c r="G74" i="62922" s="1"/>
  <c r="F75" i="62922"/>
  <c r="G75" i="62922" s="1"/>
  <c r="F76" i="62922"/>
  <c r="G76" i="62922" s="1"/>
  <c r="F77" i="62922"/>
  <c r="G77" i="62922" s="1"/>
  <c r="F78" i="62922"/>
  <c r="G78" i="62922" s="1"/>
  <c r="F79" i="62922"/>
  <c r="F80" i="62922"/>
  <c r="G80" i="62922" s="1"/>
  <c r="F81" i="62922"/>
  <c r="G81" i="62922" s="1"/>
  <c r="F82" i="62922"/>
  <c r="G82" i="62922" s="1"/>
  <c r="F83" i="62922"/>
  <c r="G83" i="62922" s="1"/>
  <c r="F84" i="62922"/>
  <c r="G84" i="62922" s="1"/>
  <c r="F85" i="62922"/>
  <c r="F86" i="62922"/>
  <c r="G86" i="62922" s="1"/>
  <c r="F87" i="62922"/>
  <c r="G87" i="62922" s="1"/>
  <c r="F88" i="62922"/>
  <c r="G88" i="62922" s="1"/>
  <c r="F89" i="62922"/>
  <c r="G89" i="62922" s="1"/>
  <c r="F90" i="62922"/>
  <c r="G90" i="62922" s="1"/>
  <c r="F91" i="62922"/>
  <c r="F92" i="62922"/>
  <c r="G92" i="62922" s="1"/>
  <c r="F93" i="62922"/>
  <c r="F94" i="62922"/>
  <c r="G94" i="62922" s="1"/>
  <c r="F95" i="62922"/>
  <c r="G95" i="62922" s="1"/>
  <c r="F96" i="62922"/>
  <c r="G96" i="62922" s="1"/>
  <c r="F97" i="62922"/>
  <c r="G97" i="62922" s="1"/>
  <c r="F98" i="62922"/>
  <c r="G98" i="62922" s="1"/>
  <c r="F99" i="62922"/>
  <c r="F100" i="62922"/>
  <c r="G100" i="62922" s="1"/>
  <c r="F101" i="62922"/>
  <c r="F102" i="62922"/>
  <c r="G102" i="62922" s="1"/>
  <c r="F103" i="62922"/>
  <c r="G103" i="62922" s="1"/>
  <c r="F104" i="62922"/>
  <c r="G104" i="62922" s="1"/>
  <c r="F105" i="62922"/>
  <c r="G105" i="62922" s="1"/>
  <c r="F106" i="62922"/>
  <c r="G106" i="62922" s="1"/>
  <c r="F107" i="62922"/>
  <c r="F108" i="62922"/>
  <c r="G108" i="62922" s="1"/>
  <c r="F109" i="62922"/>
  <c r="F110" i="62922"/>
  <c r="G110" i="62922" s="1"/>
  <c r="F111" i="62922"/>
  <c r="G111" i="62922" s="1"/>
  <c r="F112" i="62922"/>
  <c r="G112" i="62922" s="1"/>
  <c r="F113" i="62922"/>
  <c r="G113" i="62922" s="1"/>
  <c r="F114" i="62922"/>
  <c r="G114" i="62922" s="1"/>
  <c r="F115" i="62922"/>
  <c r="F116" i="62922"/>
  <c r="G116" i="62922" s="1"/>
  <c r="F117" i="62922"/>
  <c r="F118" i="62922"/>
  <c r="G118" i="62922" s="1"/>
  <c r="F119" i="62922"/>
  <c r="G119" i="62922" s="1"/>
  <c r="F120" i="62922"/>
  <c r="G120" i="62922" s="1"/>
  <c r="F121" i="62922"/>
  <c r="G121" i="62922" s="1"/>
  <c r="F122" i="62922"/>
  <c r="G122" i="62922" s="1"/>
  <c r="F123" i="62922"/>
  <c r="F124" i="62922"/>
  <c r="G124" i="62922" s="1"/>
  <c r="F125" i="62922"/>
  <c r="F126" i="62922"/>
  <c r="G126" i="62922" s="1"/>
  <c r="F127" i="62922"/>
  <c r="G127" i="62922" s="1"/>
  <c r="BH311" i="5"/>
  <c r="F479" i="62922"/>
  <c r="F480" i="62922"/>
  <c r="G480" i="62922" s="1"/>
  <c r="F481" i="62922"/>
  <c r="F482" i="62922"/>
  <c r="G482" i="62922" s="1"/>
  <c r="F483" i="62922"/>
  <c r="F484" i="62922"/>
  <c r="G484" i="62922" s="1"/>
  <c r="F485" i="62922"/>
  <c r="F486" i="62922"/>
  <c r="G486" i="62922" s="1"/>
  <c r="F487" i="62922"/>
  <c r="F488" i="62922"/>
  <c r="G488" i="62922" s="1"/>
  <c r="F489" i="62922"/>
  <c r="F490" i="62922"/>
  <c r="G490" i="62922" s="1"/>
  <c r="F491" i="62922"/>
  <c r="F492" i="62922"/>
  <c r="G492" i="62922" s="1"/>
  <c r="F493" i="62922"/>
  <c r="F494" i="62922"/>
  <c r="G494" i="62922" s="1"/>
  <c r="F495" i="62922"/>
  <c r="F496" i="62922"/>
  <c r="G496" i="62922" s="1"/>
  <c r="F497" i="62922"/>
  <c r="F498" i="62922"/>
  <c r="G498" i="62922" s="1"/>
  <c r="F499" i="62922"/>
  <c r="F500" i="62922"/>
  <c r="G500" i="62922" s="1"/>
  <c r="F501" i="62922"/>
  <c r="F502" i="62922"/>
  <c r="G502" i="62922" s="1"/>
  <c r="F503" i="62922"/>
  <c r="F504" i="62922"/>
  <c r="G504" i="62922" s="1"/>
  <c r="F505" i="62922"/>
  <c r="F506" i="62922"/>
  <c r="G506" i="62922" s="1"/>
  <c r="F507" i="62922"/>
  <c r="F508" i="62922"/>
  <c r="G508" i="62922" s="1"/>
  <c r="F509" i="62922"/>
  <c r="F510" i="62922"/>
  <c r="G510" i="62922" s="1"/>
  <c r="F511" i="62922"/>
  <c r="F512" i="62922"/>
  <c r="G512" i="62922" s="1"/>
  <c r="F513" i="62922"/>
  <c r="F514" i="62922"/>
  <c r="G514" i="62922" s="1"/>
  <c r="F519" i="62922"/>
  <c r="F520" i="62922"/>
  <c r="G520" i="62922" s="1"/>
  <c r="F521" i="62922"/>
  <c r="F522" i="62922"/>
  <c r="G522" i="62922" s="1"/>
  <c r="F523" i="62922"/>
  <c r="F524" i="62922"/>
  <c r="F525" i="62922"/>
  <c r="F526" i="62922"/>
  <c r="G526" i="62922" s="1"/>
  <c r="F527" i="62922"/>
  <c r="F528" i="62922"/>
  <c r="G528" i="62922" s="1"/>
  <c r="F529" i="62922"/>
  <c r="F530" i="62922"/>
  <c r="F531" i="62922"/>
  <c r="F532" i="62922"/>
  <c r="G532" i="62922" s="1"/>
  <c r="F533" i="62922"/>
  <c r="F534" i="62922"/>
  <c r="G534" i="62922" s="1"/>
  <c r="F535" i="62922"/>
  <c r="F536" i="62922"/>
  <c r="G536" i="62922" s="1"/>
  <c r="F537" i="62922"/>
  <c r="F538" i="62922"/>
  <c r="G538" i="62922" s="1"/>
  <c r="F539" i="62922"/>
  <c r="F540" i="62922"/>
  <c r="G540" i="62922" s="1"/>
  <c r="F541" i="62922"/>
  <c r="G1217" i="62919" l="1"/>
  <c r="G1193" i="62919"/>
  <c r="G1204" i="62919"/>
  <c r="G1202" i="62919"/>
  <c r="G1200" i="62919"/>
  <c r="G1198" i="62919"/>
  <c r="G1196" i="62919"/>
  <c r="G1194" i="62919"/>
  <c r="G1213" i="62919"/>
  <c r="G1211" i="62919"/>
  <c r="G1209" i="62919"/>
  <c r="H162" i="7"/>
  <c r="H165" i="62928"/>
  <c r="H162" i="62928"/>
  <c r="H166" i="7"/>
  <c r="H165" i="7"/>
  <c r="H164" i="62928"/>
  <c r="H166" i="62928"/>
  <c r="H164" i="7"/>
  <c r="H163" i="62928"/>
  <c r="H163" i="7"/>
  <c r="G1902" i="62919"/>
  <c r="G1919" i="62919"/>
  <c r="G1911" i="62919"/>
  <c r="G1903" i="62919"/>
  <c r="G123" i="62922"/>
  <c r="G115" i="62922"/>
  <c r="G107" i="62922"/>
  <c r="G99" i="62922"/>
  <c r="G91" i="62922"/>
  <c r="G67" i="62922"/>
  <c r="G54" i="62922"/>
  <c r="G50" i="62922"/>
  <c r="G46" i="62922"/>
  <c r="G42" i="62922"/>
  <c r="G38" i="62922"/>
  <c r="G34" i="62922"/>
  <c r="G30" i="62922"/>
  <c r="G26" i="62922"/>
  <c r="G22" i="62922"/>
  <c r="G18" i="62922"/>
  <c r="G125" i="62922"/>
  <c r="G117" i="62922"/>
  <c r="G109" i="62922"/>
  <c r="G101" i="62922"/>
  <c r="G93" i="62922"/>
  <c r="G85" i="62922"/>
  <c r="G79" i="62922"/>
  <c r="G63" i="62922"/>
  <c r="G56" i="62922"/>
  <c r="G52" i="62922"/>
  <c r="G44" i="62922"/>
  <c r="G40" i="62922"/>
  <c r="G36" i="62922"/>
  <c r="G32" i="62922"/>
  <c r="G28" i="62922"/>
  <c r="G24" i="62922"/>
  <c r="G20" i="62922"/>
  <c r="G16" i="62922"/>
  <c r="G48" i="62922"/>
  <c r="G513" i="62922"/>
  <c r="G511" i="62922"/>
  <c r="G509" i="62922"/>
  <c r="G507" i="62922"/>
  <c r="G505" i="62922"/>
  <c r="G503" i="62922"/>
  <c r="G501" i="62922"/>
  <c r="G499" i="62922"/>
  <c r="G497" i="62922"/>
  <c r="G495" i="62922"/>
  <c r="G493" i="62922"/>
  <c r="G491" i="62922"/>
  <c r="G489" i="62922"/>
  <c r="G487" i="62922"/>
  <c r="G485" i="62922"/>
  <c r="G483" i="62922"/>
  <c r="G481" i="62922"/>
  <c r="G479" i="62922"/>
  <c r="G530" i="62922"/>
  <c r="G524" i="62922"/>
  <c r="G541" i="62922"/>
  <c r="G539" i="62922"/>
  <c r="G537" i="62922"/>
  <c r="G535" i="62922"/>
  <c r="G533" i="62922"/>
  <c r="G531" i="62922"/>
  <c r="G529" i="62922"/>
  <c r="G527" i="62922"/>
  <c r="G525" i="62922"/>
  <c r="G523" i="62922"/>
  <c r="G521" i="62922"/>
  <c r="G519" i="62922"/>
  <c r="P75" i="5" l="1"/>
  <c r="P76" i="5"/>
  <c r="P74" i="5"/>
  <c r="F286" i="62922"/>
  <c r="G286" i="62922" s="1"/>
  <c r="F287" i="62922"/>
  <c r="G287" i="62922" s="1"/>
  <c r="F288" i="62922"/>
  <c r="G288" i="62922" s="1"/>
  <c r="F289" i="62922"/>
  <c r="G289" i="62922" s="1"/>
  <c r="F290" i="62922"/>
  <c r="G290" i="62922" s="1"/>
  <c r="F291" i="62922"/>
  <c r="G291" i="62922" s="1"/>
  <c r="F292" i="62922"/>
  <c r="G292" i="62922" s="1"/>
  <c r="F293" i="62922"/>
  <c r="G293" i="62922" s="1"/>
  <c r="F294" i="62922"/>
  <c r="G294" i="62922" s="1"/>
  <c r="F295" i="62922"/>
  <c r="G295" i="62922" s="1"/>
  <c r="F296" i="62922"/>
  <c r="G296" i="62922" s="1"/>
  <c r="F297" i="62922"/>
  <c r="G297" i="62922" s="1"/>
  <c r="F298" i="62922"/>
  <c r="G298" i="62922" s="1"/>
  <c r="F299" i="62922"/>
  <c r="G299" i="62922" s="1"/>
  <c r="F300" i="62922"/>
  <c r="G300" i="62922" s="1"/>
  <c r="F301" i="62922"/>
  <c r="G301" i="62922" s="1"/>
  <c r="F302" i="62922"/>
  <c r="G302" i="62922" s="1"/>
  <c r="F303" i="62922"/>
  <c r="G303" i="62922" s="1"/>
  <c r="F304" i="62922"/>
  <c r="G304" i="62922" s="1"/>
  <c r="F305" i="62922"/>
  <c r="G305" i="62922" s="1"/>
  <c r="F306" i="62922"/>
  <c r="G306" i="62922" s="1"/>
  <c r="F307" i="62922"/>
  <c r="G307" i="62922" s="1"/>
  <c r="F308" i="62922"/>
  <c r="G308" i="62922" s="1"/>
  <c r="F309" i="62922"/>
  <c r="G309" i="62922" s="1"/>
  <c r="F310" i="62922"/>
  <c r="G310" i="62922" s="1"/>
  <c r="F311" i="62922"/>
  <c r="G311" i="62922" s="1"/>
  <c r="F312" i="62922"/>
  <c r="G312" i="62922" s="1"/>
  <c r="F313" i="62922"/>
  <c r="G313" i="62922" s="1"/>
  <c r="F314" i="62922"/>
  <c r="G314" i="62922" s="1"/>
  <c r="F315" i="62922"/>
  <c r="G315" i="62922" s="1"/>
  <c r="F316" i="62922"/>
  <c r="G316" i="62922" s="1"/>
  <c r="F317" i="62922"/>
  <c r="G317" i="62922" s="1"/>
  <c r="F318" i="62922"/>
  <c r="G318" i="62922" s="1"/>
  <c r="F319" i="62922"/>
  <c r="G319" i="62922" s="1"/>
  <c r="F320" i="62922"/>
  <c r="G320" i="62922" s="1"/>
  <c r="F321" i="62922"/>
  <c r="G321" i="62922" s="1"/>
  <c r="F322" i="62922"/>
  <c r="G322" i="62922" s="1"/>
  <c r="F323" i="62922"/>
  <c r="G323" i="62922" s="1"/>
  <c r="F324" i="62922"/>
  <c r="G324" i="62922" s="1"/>
  <c r="F325" i="62922"/>
  <c r="G325" i="62922" s="1"/>
  <c r="F326" i="62922"/>
  <c r="G326" i="62922" s="1"/>
  <c r="F327" i="62922"/>
  <c r="G327" i="62922" s="1"/>
  <c r="F328" i="62922"/>
  <c r="G328" i="62922" s="1"/>
  <c r="F329" i="62922"/>
  <c r="G329" i="62922" s="1"/>
  <c r="F330" i="62922"/>
  <c r="G330" i="62922" s="1"/>
  <c r="F331" i="62922"/>
  <c r="F332" i="62922"/>
  <c r="G332" i="62922" s="1"/>
  <c r="F333" i="62922"/>
  <c r="G333" i="62922" s="1"/>
  <c r="F334" i="62922"/>
  <c r="G334" i="62922" s="1"/>
  <c r="F335" i="62922"/>
  <c r="G335" i="62922" s="1"/>
  <c r="F336" i="62922"/>
  <c r="G336" i="62922" s="1"/>
  <c r="F337" i="62922"/>
  <c r="F338" i="62922"/>
  <c r="G338" i="62922" s="1"/>
  <c r="F339" i="62922"/>
  <c r="F340" i="62922"/>
  <c r="G340" i="62922" s="1"/>
  <c r="F341" i="62922"/>
  <c r="G341" i="62922" s="1"/>
  <c r="F342" i="62922"/>
  <c r="G342" i="62922" s="1"/>
  <c r="F343" i="62922"/>
  <c r="G343" i="62922" s="1"/>
  <c r="F344" i="62922"/>
  <c r="G344" i="62922" s="1"/>
  <c r="F345" i="62922"/>
  <c r="F346" i="62922"/>
  <c r="G346" i="62922" s="1"/>
  <c r="F347" i="62922"/>
  <c r="F348" i="62922"/>
  <c r="G348" i="62922" s="1"/>
  <c r="F349" i="62922"/>
  <c r="G349" i="62922" s="1"/>
  <c r="F350" i="62922"/>
  <c r="G350" i="62922" s="1"/>
  <c r="F351" i="62922"/>
  <c r="G351" i="62922" s="1"/>
  <c r="F352" i="62922"/>
  <c r="G352" i="62922" s="1"/>
  <c r="F353" i="62922"/>
  <c r="F354" i="62922"/>
  <c r="G354" i="62922" s="1"/>
  <c r="F355" i="62922"/>
  <c r="F356" i="62922"/>
  <c r="G356" i="62922" s="1"/>
  <c r="F357" i="62922"/>
  <c r="G357" i="62922" s="1"/>
  <c r="F358" i="62922"/>
  <c r="G358" i="62922" s="1"/>
  <c r="F359" i="62922"/>
  <c r="G359" i="62922" s="1"/>
  <c r="F360" i="62922"/>
  <c r="G360" i="62922" s="1"/>
  <c r="F361" i="62922"/>
  <c r="F362" i="62922"/>
  <c r="G362" i="62922" s="1"/>
  <c r="F363" i="62922"/>
  <c r="F364" i="62922"/>
  <c r="G364" i="62922" s="1"/>
  <c r="F365" i="62922"/>
  <c r="G365" i="62922" s="1"/>
  <c r="F366" i="62922"/>
  <c r="G366" i="62922" s="1"/>
  <c r="F367" i="62922"/>
  <c r="G367" i="62922" s="1"/>
  <c r="F368" i="62922"/>
  <c r="G368" i="62922" s="1"/>
  <c r="F369" i="62922"/>
  <c r="F370" i="62922"/>
  <c r="G370" i="62922" s="1"/>
  <c r="F371" i="62922"/>
  <c r="F372" i="62922"/>
  <c r="G372" i="62922" s="1"/>
  <c r="F373" i="62922"/>
  <c r="G373" i="62922" s="1"/>
  <c r="F374" i="62922"/>
  <c r="G374" i="62922" s="1"/>
  <c r="F375" i="62922"/>
  <c r="G375" i="62922" s="1"/>
  <c r="F376" i="62922"/>
  <c r="G376" i="62922" s="1"/>
  <c r="F377" i="62922"/>
  <c r="F378" i="62922"/>
  <c r="G378" i="62922" s="1"/>
  <c r="F379" i="62922"/>
  <c r="F380" i="62922"/>
  <c r="G380" i="62922" s="1"/>
  <c r="F381" i="62922"/>
  <c r="G381" i="62922" s="1"/>
  <c r="F382" i="62922"/>
  <c r="G382" i="62922" s="1"/>
  <c r="F383" i="62922"/>
  <c r="G383" i="62922" s="1"/>
  <c r="F384" i="62922"/>
  <c r="G384" i="62922" s="1"/>
  <c r="F385" i="62922"/>
  <c r="F386" i="62922"/>
  <c r="G386" i="62922" s="1"/>
  <c r="F387" i="62922"/>
  <c r="F388" i="62922"/>
  <c r="G388" i="62922" s="1"/>
  <c r="F389" i="62922"/>
  <c r="G389" i="62922" s="1"/>
  <c r="F390" i="62922"/>
  <c r="G390" i="62922" s="1"/>
  <c r="F391" i="62922"/>
  <c r="G391" i="62922" s="1"/>
  <c r="F392" i="62922"/>
  <c r="G392" i="62922" s="1"/>
  <c r="F393" i="62922"/>
  <c r="F394" i="62922"/>
  <c r="G394" i="62922" s="1"/>
  <c r="F395" i="62922"/>
  <c r="F396" i="62922"/>
  <c r="G396" i="62922" s="1"/>
  <c r="F397" i="62922"/>
  <c r="G397" i="62922" s="1"/>
  <c r="F398" i="62922"/>
  <c r="G398" i="62922" s="1"/>
  <c r="F399" i="62922"/>
  <c r="G399" i="62922" s="1"/>
  <c r="F400" i="62922"/>
  <c r="G400" i="62922" s="1"/>
  <c r="F401" i="62922"/>
  <c r="F402" i="62922"/>
  <c r="G402" i="62922" s="1"/>
  <c r="F403" i="62922"/>
  <c r="F404" i="62922"/>
  <c r="G404" i="62922" s="1"/>
  <c r="F405" i="62922"/>
  <c r="G405" i="62922" s="1"/>
  <c r="F406" i="62922"/>
  <c r="G406" i="62922" s="1"/>
  <c r="F407" i="62922"/>
  <c r="G407" i="62922" s="1"/>
  <c r="F408" i="62922"/>
  <c r="G408" i="62922" s="1"/>
  <c r="F409" i="62922"/>
  <c r="F410" i="62922"/>
  <c r="G410" i="62922" s="1"/>
  <c r="F411" i="62922"/>
  <c r="F412" i="62922"/>
  <c r="G412" i="62922" s="1"/>
  <c r="F413" i="62922"/>
  <c r="G413" i="62922" s="1"/>
  <c r="F414" i="62922"/>
  <c r="G414" i="62922" s="1"/>
  <c r="F415" i="62922"/>
  <c r="G415" i="62922" s="1"/>
  <c r="F416" i="62922"/>
  <c r="G416" i="62922" s="1"/>
  <c r="F417" i="62922"/>
  <c r="F418" i="62922"/>
  <c r="G418" i="62922" s="1"/>
  <c r="F419" i="62922"/>
  <c r="F420" i="62922"/>
  <c r="G420" i="62922" s="1"/>
  <c r="F421" i="62922"/>
  <c r="G421" i="62922" s="1"/>
  <c r="F422" i="62922"/>
  <c r="G422" i="62922" s="1"/>
  <c r="F423" i="62922"/>
  <c r="G423" i="62922" s="1"/>
  <c r="F424" i="62922"/>
  <c r="G424" i="62922" s="1"/>
  <c r="F425" i="62922"/>
  <c r="F426" i="62922"/>
  <c r="G426" i="62922" s="1"/>
  <c r="F427" i="62922"/>
  <c r="F428" i="62922"/>
  <c r="G428" i="62922" s="1"/>
  <c r="F429" i="62922"/>
  <c r="G429" i="62922" s="1"/>
  <c r="F430" i="62922"/>
  <c r="G430" i="62922" s="1"/>
  <c r="F431" i="62922"/>
  <c r="G431" i="62922" s="1"/>
  <c r="F432" i="62922"/>
  <c r="G432" i="62922" s="1"/>
  <c r="F433" i="62922"/>
  <c r="F434" i="62922"/>
  <c r="G434" i="62922" s="1"/>
  <c r="F435" i="62922"/>
  <c r="F436" i="62922"/>
  <c r="G436" i="62922" s="1"/>
  <c r="F437" i="62922"/>
  <c r="G437" i="62922" s="1"/>
  <c r="F438" i="62922"/>
  <c r="G438" i="62922" s="1"/>
  <c r="F439" i="62922"/>
  <c r="G439" i="62922" s="1"/>
  <c r="F440" i="62922"/>
  <c r="G440" i="62922" s="1"/>
  <c r="F441" i="62922"/>
  <c r="F442" i="62922"/>
  <c r="G442" i="62922" s="1"/>
  <c r="F443" i="62922"/>
  <c r="F444" i="62922"/>
  <c r="G444" i="62922" s="1"/>
  <c r="F445" i="62922"/>
  <c r="G445" i="62922" s="1"/>
  <c r="F446" i="62922"/>
  <c r="G446" i="62922" s="1"/>
  <c r="F447" i="62922"/>
  <c r="G447" i="62922" s="1"/>
  <c r="F448" i="62922"/>
  <c r="G448" i="62922" s="1"/>
  <c r="F449" i="62922"/>
  <c r="F450" i="62922"/>
  <c r="G450" i="62922" s="1"/>
  <c r="F451" i="62922"/>
  <c r="F452" i="62922"/>
  <c r="G452" i="62922" s="1"/>
  <c r="F453" i="62922"/>
  <c r="G453" i="62922" s="1"/>
  <c r="F454" i="62922"/>
  <c r="G454" i="62922" s="1"/>
  <c r="F455" i="62922"/>
  <c r="G455" i="62922" s="1"/>
  <c r="F456" i="62922"/>
  <c r="F457" i="62922"/>
  <c r="G457" i="62922" s="1"/>
  <c r="F458" i="62922"/>
  <c r="F459" i="62922"/>
  <c r="G459" i="62922" s="1"/>
  <c r="F460" i="62922"/>
  <c r="F461" i="62922"/>
  <c r="G461" i="62922" s="1"/>
  <c r="F462" i="62922"/>
  <c r="F463" i="62922"/>
  <c r="G463" i="62922" s="1"/>
  <c r="F464" i="62922"/>
  <c r="F465" i="62922"/>
  <c r="G465" i="62922" s="1"/>
  <c r="F466" i="62922"/>
  <c r="F467" i="62922"/>
  <c r="G467" i="62922" s="1"/>
  <c r="F468" i="62922"/>
  <c r="F469" i="62922"/>
  <c r="G469" i="62922" s="1"/>
  <c r="F470" i="62922"/>
  <c r="F471" i="62922"/>
  <c r="G471" i="62922" s="1"/>
  <c r="F472" i="62922"/>
  <c r="AR432" i="62898"/>
  <c r="AR243" i="62898"/>
  <c r="G449" i="62922" l="1"/>
  <c r="G441" i="62922"/>
  <c r="G433" i="62922"/>
  <c r="G425" i="62922"/>
  <c r="G417" i="62922"/>
  <c r="G409" i="62922"/>
  <c r="G401" i="62922"/>
  <c r="G393" i="62922"/>
  <c r="G385" i="62922"/>
  <c r="G377" i="62922"/>
  <c r="G369" i="62922"/>
  <c r="G361" i="62922"/>
  <c r="G353" i="62922"/>
  <c r="G345" i="62922"/>
  <c r="G337" i="62922"/>
  <c r="G472" i="62922"/>
  <c r="G470" i="62922"/>
  <c r="G468" i="62922"/>
  <c r="G466" i="62922"/>
  <c r="G464" i="62922"/>
  <c r="G462" i="62922"/>
  <c r="G460" i="62922"/>
  <c r="G458" i="62922"/>
  <c r="G456" i="62922"/>
  <c r="G451" i="62922"/>
  <c r="G443" i="62922"/>
  <c r="G435" i="62922"/>
  <c r="G427" i="62922"/>
  <c r="G419" i="62922"/>
  <c r="G411" i="62922"/>
  <c r="G403" i="62922"/>
  <c r="G395" i="62922"/>
  <c r="G387" i="62922"/>
  <c r="G379" i="62922"/>
  <c r="G371" i="62922"/>
  <c r="G363" i="62922"/>
  <c r="G355" i="62922"/>
  <c r="G347" i="62922"/>
  <c r="G339" i="62922"/>
  <c r="G331" i="62922"/>
  <c r="F135" i="62921" l="1"/>
  <c r="F136" i="62921"/>
  <c r="G136" i="62921" s="1"/>
  <c r="F137" i="62921"/>
  <c r="F138" i="62921"/>
  <c r="G138" i="62921" s="1"/>
  <c r="F139" i="62921"/>
  <c r="F140" i="62921"/>
  <c r="G140" i="62921" s="1"/>
  <c r="F141" i="62921"/>
  <c r="F142" i="62921"/>
  <c r="G142" i="62921" s="1"/>
  <c r="F143" i="62921"/>
  <c r="F144" i="62921"/>
  <c r="G144" i="62921" s="1"/>
  <c r="F145" i="62921"/>
  <c r="F146" i="62921"/>
  <c r="G146" i="62921" s="1"/>
  <c r="F147" i="62921"/>
  <c r="F148" i="62921"/>
  <c r="G148" i="62921" s="1"/>
  <c r="F149" i="62921"/>
  <c r="F150" i="62921"/>
  <c r="G150" i="62921" s="1"/>
  <c r="F151" i="62921"/>
  <c r="F152" i="62921"/>
  <c r="G152" i="62921" s="1"/>
  <c r="F153" i="62921"/>
  <c r="F154" i="62921"/>
  <c r="G154" i="62921" s="1"/>
  <c r="F155" i="62921"/>
  <c r="F156" i="62921"/>
  <c r="G156" i="62921" s="1"/>
  <c r="F157" i="62921"/>
  <c r="F158" i="62921"/>
  <c r="G158" i="62921" s="1"/>
  <c r="F159" i="62921"/>
  <c r="F160" i="62921"/>
  <c r="G160" i="62921" s="1"/>
  <c r="F161" i="62921"/>
  <c r="F162" i="62921"/>
  <c r="G162" i="62921" s="1"/>
  <c r="F163" i="62921"/>
  <c r="F164" i="62921"/>
  <c r="G164" i="62921" s="1"/>
  <c r="F165" i="62921"/>
  <c r="F166" i="62921"/>
  <c r="G166" i="62921" s="1"/>
  <c r="F167" i="62921"/>
  <c r="F168" i="62921"/>
  <c r="G168" i="62921" s="1"/>
  <c r="F169" i="62921"/>
  <c r="F170" i="62921"/>
  <c r="G170" i="62921" s="1"/>
  <c r="F171" i="62921"/>
  <c r="F172" i="62921"/>
  <c r="G172" i="62921" s="1"/>
  <c r="F173" i="62921"/>
  <c r="F174" i="62921"/>
  <c r="G174" i="62921" s="1"/>
  <c r="F175" i="62921"/>
  <c r="F176" i="62921"/>
  <c r="G176" i="62921" s="1"/>
  <c r="F177" i="62921"/>
  <c r="F178" i="62921"/>
  <c r="G178" i="62921" s="1"/>
  <c r="F179" i="62921"/>
  <c r="F180" i="62921"/>
  <c r="G180" i="62921" s="1"/>
  <c r="F181" i="62921"/>
  <c r="F182" i="62921"/>
  <c r="G182" i="62921" s="1"/>
  <c r="F183" i="62921"/>
  <c r="F184" i="62921"/>
  <c r="G184" i="62921" s="1"/>
  <c r="F185" i="62921"/>
  <c r="F186" i="62921"/>
  <c r="G186" i="62921" s="1"/>
  <c r="F187" i="62921"/>
  <c r="F188" i="62921"/>
  <c r="G188" i="62921" s="1"/>
  <c r="F189" i="62921"/>
  <c r="F190" i="62921"/>
  <c r="G190" i="62921" s="1"/>
  <c r="F191" i="62921"/>
  <c r="F192" i="62921"/>
  <c r="G192" i="62921" s="1"/>
  <c r="F193" i="62921"/>
  <c r="F194" i="62921"/>
  <c r="G194" i="62921" s="1"/>
  <c r="F195" i="62921"/>
  <c r="F196" i="62921"/>
  <c r="G196" i="62921" s="1"/>
  <c r="F197" i="62921"/>
  <c r="F198" i="62921"/>
  <c r="G198" i="62921" s="1"/>
  <c r="F199" i="62921"/>
  <c r="F15" i="62921"/>
  <c r="F16" i="62921"/>
  <c r="G16" i="62921" s="1"/>
  <c r="F17" i="62921"/>
  <c r="G17" i="62921" s="1"/>
  <c r="F18" i="62921"/>
  <c r="G18" i="62921" s="1"/>
  <c r="F19" i="62921"/>
  <c r="G19" i="62921" s="1"/>
  <c r="F20" i="62921"/>
  <c r="G20" i="62921" s="1"/>
  <c r="F21" i="62921"/>
  <c r="G21" i="62921" s="1"/>
  <c r="F22" i="62921"/>
  <c r="G22" i="62921" s="1"/>
  <c r="F23" i="62921"/>
  <c r="G23" i="62921" s="1"/>
  <c r="F24" i="62921"/>
  <c r="G24" i="62921" s="1"/>
  <c r="F25" i="62921"/>
  <c r="G25" i="62921" s="1"/>
  <c r="F26" i="62921"/>
  <c r="G26" i="62921" s="1"/>
  <c r="F27" i="62921"/>
  <c r="G27" i="62921" s="1"/>
  <c r="F28" i="62921"/>
  <c r="G28" i="62921" s="1"/>
  <c r="F29" i="62921"/>
  <c r="G29" i="62921" s="1"/>
  <c r="F30" i="62921"/>
  <c r="G30" i="62921" s="1"/>
  <c r="F31" i="62921"/>
  <c r="G31" i="62921" s="1"/>
  <c r="F32" i="62921"/>
  <c r="G32" i="62921" s="1"/>
  <c r="F33" i="62921"/>
  <c r="G33" i="62921" s="1"/>
  <c r="F34" i="62921"/>
  <c r="G34" i="62921" s="1"/>
  <c r="F35" i="62921"/>
  <c r="G35" i="62921" s="1"/>
  <c r="F36" i="62921"/>
  <c r="G36" i="62921" s="1"/>
  <c r="F37" i="62921"/>
  <c r="G37" i="62921" s="1"/>
  <c r="F38" i="62921"/>
  <c r="G38" i="62921" s="1"/>
  <c r="F39" i="62921"/>
  <c r="G39" i="62921" s="1"/>
  <c r="F40" i="62921"/>
  <c r="G40" i="62921" s="1"/>
  <c r="F41" i="62921"/>
  <c r="G41" i="62921" s="1"/>
  <c r="F42" i="62921"/>
  <c r="G42" i="62921" s="1"/>
  <c r="F43" i="62921"/>
  <c r="G43" i="62921" s="1"/>
  <c r="F44" i="62921"/>
  <c r="G44" i="62921" s="1"/>
  <c r="F203" i="62921"/>
  <c r="F204" i="62921"/>
  <c r="G204" i="62921" s="1"/>
  <c r="F205" i="62921"/>
  <c r="F206" i="62921"/>
  <c r="G206" i="62921" s="1"/>
  <c r="F207" i="62921"/>
  <c r="F208" i="62921"/>
  <c r="G208" i="62921" s="1"/>
  <c r="F209" i="62921"/>
  <c r="F210" i="62921"/>
  <c r="G210" i="62921" s="1"/>
  <c r="F211" i="62921"/>
  <c r="F212" i="62921"/>
  <c r="G212" i="62921" s="1"/>
  <c r="F213" i="62921"/>
  <c r="F214" i="62921"/>
  <c r="G214" i="62921" s="1"/>
  <c r="F215" i="62921"/>
  <c r="F216" i="62921"/>
  <c r="G216" i="62921" s="1"/>
  <c r="F217" i="62921"/>
  <c r="F218" i="62921"/>
  <c r="G218" i="62921" s="1"/>
  <c r="F219" i="62921"/>
  <c r="F220" i="62921"/>
  <c r="G220" i="62921" s="1"/>
  <c r="F221" i="62921"/>
  <c r="F222" i="62921"/>
  <c r="G222" i="62921" s="1"/>
  <c r="F223" i="62921"/>
  <c r="F224" i="62921"/>
  <c r="G224" i="62921" s="1"/>
  <c r="F225" i="62921"/>
  <c r="F226" i="62921"/>
  <c r="G226" i="62921" s="1"/>
  <c r="F227" i="62921"/>
  <c r="F228" i="62921"/>
  <c r="G228" i="62921" s="1"/>
  <c r="F229" i="62921"/>
  <c r="F230" i="62921"/>
  <c r="G230" i="62921" s="1"/>
  <c r="F231" i="62921"/>
  <c r="F232" i="62921"/>
  <c r="G232" i="62921" s="1"/>
  <c r="F233" i="62921"/>
  <c r="F234" i="62921"/>
  <c r="G234" i="62921" s="1"/>
  <c r="F235" i="62921"/>
  <c r="F236" i="62921"/>
  <c r="G236" i="62921" s="1"/>
  <c r="F237" i="62921"/>
  <c r="F238" i="62921"/>
  <c r="G238" i="62921" s="1"/>
  <c r="F239" i="62921"/>
  <c r="F240" i="62921"/>
  <c r="G240" i="62921" s="1"/>
  <c r="F241" i="62921"/>
  <c r="F242" i="62921"/>
  <c r="G242" i="62921" s="1"/>
  <c r="F243" i="62921"/>
  <c r="F244" i="62921"/>
  <c r="G244" i="62921" s="1"/>
  <c r="F245" i="62921"/>
  <c r="F249" i="62921"/>
  <c r="F250" i="62921"/>
  <c r="G250" i="62921" s="1"/>
  <c r="F251" i="62921"/>
  <c r="F252" i="62921"/>
  <c r="G252" i="62921" s="1"/>
  <c r="F253" i="62921"/>
  <c r="F254" i="62921"/>
  <c r="G254" i="62921" s="1"/>
  <c r="F255" i="62921"/>
  <c r="F256" i="62921"/>
  <c r="G256" i="62921" s="1"/>
  <c r="F257" i="62921"/>
  <c r="F258" i="62921"/>
  <c r="G258" i="62921" s="1"/>
  <c r="F259" i="62921"/>
  <c r="F260" i="62921"/>
  <c r="G260" i="62921" s="1"/>
  <c r="F261" i="62921"/>
  <c r="F262" i="62921"/>
  <c r="G262" i="62921" s="1"/>
  <c r="F263" i="62921"/>
  <c r="F264" i="62921"/>
  <c r="G264" i="62921" s="1"/>
  <c r="F265" i="62921"/>
  <c r="F266" i="62921"/>
  <c r="G266" i="62921" s="1"/>
  <c r="F267" i="62921"/>
  <c r="F268" i="62921"/>
  <c r="G268" i="62921" s="1"/>
  <c r="F269" i="62921"/>
  <c r="F270" i="62921"/>
  <c r="G270" i="62921" s="1"/>
  <c r="F271" i="62921"/>
  <c r="F272" i="62921"/>
  <c r="G272" i="62921" s="1"/>
  <c r="F273" i="62921"/>
  <c r="F274" i="62921"/>
  <c r="G274" i="62921" s="1"/>
  <c r="F275" i="62921"/>
  <c r="F276" i="62921"/>
  <c r="G276" i="62921" s="1"/>
  <c r="F277" i="62921"/>
  <c r="F278" i="62921"/>
  <c r="G278" i="62921" s="1"/>
  <c r="F279" i="62921"/>
  <c r="F280" i="62921"/>
  <c r="G280" i="62921" s="1"/>
  <c r="F281" i="62921"/>
  <c r="F282" i="62921"/>
  <c r="G282" i="62921" s="1"/>
  <c r="F283" i="62921"/>
  <c r="F284" i="62921"/>
  <c r="G284" i="62921" s="1"/>
  <c r="F285" i="62921"/>
  <c r="F286" i="62921"/>
  <c r="G286" i="62921" s="1"/>
  <c r="F287" i="62921"/>
  <c r="F288" i="62921"/>
  <c r="G288" i="62921" s="1"/>
  <c r="F289" i="62921"/>
  <c r="F290" i="62921"/>
  <c r="G290" i="62921" s="1"/>
  <c r="F291" i="62921"/>
  <c r="F292" i="62921"/>
  <c r="G292" i="62921" s="1"/>
  <c r="AR109" i="62898"/>
  <c r="G199" i="62921" l="1"/>
  <c r="G197" i="62921"/>
  <c r="G195" i="62921"/>
  <c r="G193" i="62921"/>
  <c r="G191" i="62921"/>
  <c r="G189" i="62921"/>
  <c r="G187" i="62921"/>
  <c r="G185" i="62921"/>
  <c r="G183" i="62921"/>
  <c r="G181" i="62921"/>
  <c r="G179" i="62921"/>
  <c r="G177" i="62921"/>
  <c r="G175" i="62921"/>
  <c r="G173" i="62921"/>
  <c r="G171" i="62921"/>
  <c r="G169" i="62921"/>
  <c r="G167" i="62921"/>
  <c r="G165" i="62921"/>
  <c r="G163" i="62921"/>
  <c r="G161" i="62921"/>
  <c r="G159" i="62921"/>
  <c r="G157" i="62921"/>
  <c r="G155" i="62921"/>
  <c r="G153" i="62921"/>
  <c r="G151" i="62921"/>
  <c r="G149" i="62921"/>
  <c r="G147" i="62921"/>
  <c r="G145" i="62921"/>
  <c r="G143" i="62921"/>
  <c r="G141" i="62921"/>
  <c r="G139" i="62921"/>
  <c r="G137" i="62921"/>
  <c r="G135" i="62921"/>
  <c r="G15" i="62921"/>
  <c r="G245" i="62921"/>
  <c r="G243" i="62921"/>
  <c r="G241" i="62921"/>
  <c r="G239" i="62921"/>
  <c r="G237" i="62921"/>
  <c r="G235" i="62921"/>
  <c r="G233" i="62921"/>
  <c r="G231" i="62921"/>
  <c r="G229" i="62921"/>
  <c r="G227" i="62921"/>
  <c r="G225" i="62921"/>
  <c r="G223" i="62921"/>
  <c r="G221" i="62921"/>
  <c r="G219" i="62921"/>
  <c r="G217" i="62921"/>
  <c r="G215" i="62921"/>
  <c r="G213" i="62921"/>
  <c r="G211" i="62921"/>
  <c r="G209" i="62921"/>
  <c r="G207" i="62921"/>
  <c r="G205" i="62921"/>
  <c r="G203" i="62921"/>
  <c r="G291" i="62921"/>
  <c r="G289" i="62921"/>
  <c r="G287" i="62921"/>
  <c r="G285" i="62921"/>
  <c r="G283" i="62921"/>
  <c r="G281" i="62921"/>
  <c r="G279" i="62921"/>
  <c r="G277" i="62921"/>
  <c r="G275" i="62921"/>
  <c r="G273" i="62921"/>
  <c r="G271" i="62921"/>
  <c r="G269" i="62921"/>
  <c r="G267" i="62921"/>
  <c r="G265" i="62921"/>
  <c r="G263" i="62921"/>
  <c r="G261" i="62921"/>
  <c r="G259" i="62921"/>
  <c r="G257" i="62921"/>
  <c r="G255" i="62921"/>
  <c r="G253" i="62921"/>
  <c r="G251" i="62921"/>
  <c r="G249" i="62921"/>
  <c r="F335" i="62921"/>
  <c r="F336" i="62921"/>
  <c r="G336" i="62921" s="1"/>
  <c r="F337" i="62921"/>
  <c r="F338" i="62921"/>
  <c r="G338" i="62921" s="1"/>
  <c r="F339" i="62921"/>
  <c r="F340" i="62921"/>
  <c r="G340" i="62921" s="1"/>
  <c r="F341" i="62921"/>
  <c r="F342" i="62921"/>
  <c r="G342" i="62921" s="1"/>
  <c r="F343" i="62921"/>
  <c r="F344" i="62921"/>
  <c r="G344" i="62921" s="1"/>
  <c r="F345" i="62921"/>
  <c r="F346" i="62921"/>
  <c r="G346" i="62921" s="1"/>
  <c r="F347" i="62921"/>
  <c r="F348" i="62921"/>
  <c r="G348" i="62921" s="1"/>
  <c r="F349" i="62921"/>
  <c r="F350" i="62921"/>
  <c r="G350" i="62921" s="1"/>
  <c r="F351" i="62921"/>
  <c r="F352" i="62921"/>
  <c r="G352" i="62921" s="1"/>
  <c r="F353" i="62921"/>
  <c r="F354" i="62921"/>
  <c r="G354" i="62921" s="1"/>
  <c r="F355" i="62921"/>
  <c r="F356" i="62921"/>
  <c r="G356" i="62921" s="1"/>
  <c r="F357" i="62921"/>
  <c r="F358" i="62921"/>
  <c r="G358" i="62921" s="1"/>
  <c r="F359" i="62921"/>
  <c r="F360" i="62921"/>
  <c r="G360" i="62921" s="1"/>
  <c r="F361" i="62921"/>
  <c r="F362" i="62921"/>
  <c r="G362" i="62921" s="1"/>
  <c r="F363" i="62921"/>
  <c r="F364" i="62921"/>
  <c r="G364" i="62921" s="1"/>
  <c r="F365" i="62921"/>
  <c r="F366" i="62921"/>
  <c r="G366" i="62921" s="1"/>
  <c r="F367" i="62921"/>
  <c r="F368" i="62921"/>
  <c r="G368" i="62921" s="1"/>
  <c r="F369" i="62921"/>
  <c r="F370" i="62921"/>
  <c r="G370" i="62921" s="1"/>
  <c r="F371" i="62921"/>
  <c r="F372" i="62921"/>
  <c r="G372" i="62921" s="1"/>
  <c r="F373" i="62921"/>
  <c r="F374" i="62921"/>
  <c r="G374" i="62921" s="1"/>
  <c r="F375" i="62921"/>
  <c r="F376" i="62921"/>
  <c r="G376" i="62921" s="1"/>
  <c r="F377" i="62921"/>
  <c r="F378" i="62921"/>
  <c r="G378" i="62921" s="1"/>
  <c r="F379" i="62921"/>
  <c r="F380" i="62921"/>
  <c r="G380" i="62921" s="1"/>
  <c r="F381" i="62921"/>
  <c r="F382" i="62921"/>
  <c r="G382" i="62921" s="1"/>
  <c r="F383" i="62921"/>
  <c r="F384" i="62921"/>
  <c r="G384" i="62921" s="1"/>
  <c r="F385" i="62921"/>
  <c r="F386" i="62921"/>
  <c r="G386" i="62921" s="1"/>
  <c r="F387" i="62921"/>
  <c r="F388" i="62921"/>
  <c r="G388" i="62921" s="1"/>
  <c r="F389" i="62921"/>
  <c r="F390" i="62921"/>
  <c r="G390" i="62921" s="1"/>
  <c r="F391" i="62921"/>
  <c r="F392" i="62921"/>
  <c r="G392" i="62921" s="1"/>
  <c r="F393" i="62921"/>
  <c r="F394" i="62921"/>
  <c r="G394" i="62921" s="1"/>
  <c r="F395" i="62921"/>
  <c r="F396" i="62921"/>
  <c r="G396" i="62921" s="1"/>
  <c r="F397" i="62921"/>
  <c r="F398" i="62921"/>
  <c r="G398" i="62921" s="1"/>
  <c r="F399" i="62921"/>
  <c r="F400" i="62921"/>
  <c r="G400" i="62921" s="1"/>
  <c r="F401" i="62921"/>
  <c r="F402" i="62921"/>
  <c r="G402" i="62921" s="1"/>
  <c r="F403" i="62921"/>
  <c r="F404" i="62921"/>
  <c r="G404" i="62921" s="1"/>
  <c r="F405" i="62921"/>
  <c r="F406" i="62921"/>
  <c r="G406" i="62921" s="1"/>
  <c r="F407" i="62921"/>
  <c r="F408" i="62921"/>
  <c r="G408" i="62921" s="1"/>
  <c r="F2236" i="62917"/>
  <c r="F2237" i="62917"/>
  <c r="G2237" i="62917" s="1"/>
  <c r="F2238" i="62917"/>
  <c r="F2239" i="62917"/>
  <c r="G2239" i="62917" s="1"/>
  <c r="F2240" i="62917"/>
  <c r="F2241" i="62917"/>
  <c r="G2241" i="62917" s="1"/>
  <c r="F2242" i="62917"/>
  <c r="F2243" i="62917"/>
  <c r="G2243" i="62917" s="1"/>
  <c r="F2244" i="62917"/>
  <c r="F2245" i="62917"/>
  <c r="G2245" i="62917" s="1"/>
  <c r="F2246" i="62917"/>
  <c r="F2247" i="62917"/>
  <c r="G2247" i="62917" s="1"/>
  <c r="F2248" i="62917"/>
  <c r="F2249" i="62917"/>
  <c r="G2249" i="62917" s="1"/>
  <c r="F2250" i="62917"/>
  <c r="F2251" i="62917"/>
  <c r="G2251" i="62917" s="1"/>
  <c r="F2252" i="62917"/>
  <c r="F2253" i="62917"/>
  <c r="G2253" i="62917" s="1"/>
  <c r="F2254" i="62917"/>
  <c r="F2255" i="62917"/>
  <c r="G2255" i="62917" s="1"/>
  <c r="F2256" i="62917"/>
  <c r="F2257" i="62917"/>
  <c r="G2257" i="62917" s="1"/>
  <c r="F2258" i="62917"/>
  <c r="F2259" i="62917"/>
  <c r="G2259" i="62917" s="1"/>
  <c r="F2260" i="62917"/>
  <c r="F2261" i="62917"/>
  <c r="G2261" i="62917" s="1"/>
  <c r="F2262" i="62917"/>
  <c r="F2263" i="62917"/>
  <c r="G2263" i="62917" s="1"/>
  <c r="F2264" i="62917"/>
  <c r="F2265" i="62917"/>
  <c r="G2265" i="62917" s="1"/>
  <c r="F2266" i="62917"/>
  <c r="F2267" i="62917"/>
  <c r="G2267" i="62917" s="1"/>
  <c r="F2268" i="62917"/>
  <c r="F2269" i="62917"/>
  <c r="G2269" i="62917" s="1"/>
  <c r="F2270" i="62917"/>
  <c r="F2271" i="62917"/>
  <c r="G2271" i="62917" s="1"/>
  <c r="F2272" i="62917"/>
  <c r="F2273" i="62917"/>
  <c r="G2273" i="62917" s="1"/>
  <c r="F2274" i="62917"/>
  <c r="F2275" i="62917"/>
  <c r="G2275" i="62917" s="1"/>
  <c r="F2276" i="62917"/>
  <c r="AC152" i="62928"/>
  <c r="AC151" i="62928"/>
  <c r="AC150" i="62928"/>
  <c r="AC149" i="62928"/>
  <c r="AC148" i="62928"/>
  <c r="F1876" i="62919"/>
  <c r="F1877" i="62919"/>
  <c r="G1877" i="62919" s="1"/>
  <c r="F1878" i="62919"/>
  <c r="F1879" i="62919"/>
  <c r="G1879" i="62919" s="1"/>
  <c r="F1880" i="62919"/>
  <c r="F1881" i="62919"/>
  <c r="G1881" i="62919" s="1"/>
  <c r="F1882" i="62919"/>
  <c r="F1883" i="62919"/>
  <c r="G1883" i="62919" s="1"/>
  <c r="F1884" i="62919"/>
  <c r="F1885" i="62919"/>
  <c r="G1885" i="62919" s="1"/>
  <c r="F1886" i="62919"/>
  <c r="F1887" i="62919"/>
  <c r="G1887" i="62919" s="1"/>
  <c r="F1888" i="62919"/>
  <c r="F1889" i="62919"/>
  <c r="G1889" i="62919" s="1"/>
  <c r="F1890" i="62919"/>
  <c r="F1891" i="62919"/>
  <c r="G1891" i="62919" s="1"/>
  <c r="F1892" i="62919"/>
  <c r="F1893" i="62919"/>
  <c r="G1893" i="62919" s="1"/>
  <c r="F1894" i="62919"/>
  <c r="F1895" i="62919"/>
  <c r="G1895" i="62919" s="1"/>
  <c r="F1896" i="62919"/>
  <c r="F1897" i="62919"/>
  <c r="G1897" i="62919" s="1"/>
  <c r="F1898" i="62919"/>
  <c r="F1899" i="62919"/>
  <c r="G1899" i="62919" s="1"/>
  <c r="F1875" i="62919"/>
  <c r="AC152" i="7"/>
  <c r="AC151" i="7"/>
  <c r="AC150" i="7"/>
  <c r="AC149" i="7"/>
  <c r="AC148" i="7"/>
  <c r="F415" i="62921"/>
  <c r="G415" i="62921" s="1"/>
  <c r="F416" i="62921"/>
  <c r="F417" i="62921"/>
  <c r="G417" i="62921" s="1"/>
  <c r="F418" i="62921"/>
  <c r="F419" i="62921"/>
  <c r="G419" i="62921" s="1"/>
  <c r="F420" i="62921"/>
  <c r="F421" i="62921"/>
  <c r="G421" i="62921" s="1"/>
  <c r="F422" i="62921"/>
  <c r="F423" i="62921"/>
  <c r="G423" i="62921" s="1"/>
  <c r="F424" i="62921"/>
  <c r="F425" i="62921"/>
  <c r="G425" i="62921" s="1"/>
  <c r="F426" i="62921"/>
  <c r="F427" i="62921"/>
  <c r="G427" i="62921" s="1"/>
  <c r="F428" i="62921"/>
  <c r="F429" i="62921"/>
  <c r="G429" i="62921" s="1"/>
  <c r="F430" i="62921"/>
  <c r="F431" i="62921"/>
  <c r="G431" i="62921" s="1"/>
  <c r="F432" i="62921"/>
  <c r="F433" i="62921"/>
  <c r="G433" i="62921" s="1"/>
  <c r="F434" i="62921"/>
  <c r="F435" i="62921"/>
  <c r="G435" i="62921" s="1"/>
  <c r="F436" i="62921"/>
  <c r="F437" i="62921"/>
  <c r="G437" i="62921" s="1"/>
  <c r="F438" i="62921"/>
  <c r="F439" i="62921"/>
  <c r="G439" i="62921" s="1"/>
  <c r="F440" i="62921"/>
  <c r="F441" i="62921"/>
  <c r="G441" i="62921" s="1"/>
  <c r="F442" i="62921"/>
  <c r="F443" i="62921"/>
  <c r="G443" i="62921" s="1"/>
  <c r="F444" i="62921"/>
  <c r="F445" i="62921"/>
  <c r="G445" i="62921" s="1"/>
  <c r="F446" i="62921"/>
  <c r="F447" i="62921"/>
  <c r="G447" i="62921" s="1"/>
  <c r="F448" i="62921"/>
  <c r="F449" i="62921"/>
  <c r="G449" i="62921" s="1"/>
  <c r="F450" i="62921"/>
  <c r="F451" i="62921"/>
  <c r="G451" i="62921" s="1"/>
  <c r="F452" i="62921"/>
  <c r="F453" i="62921"/>
  <c r="G453" i="62921" s="1"/>
  <c r="F454" i="62921"/>
  <c r="F455" i="62921"/>
  <c r="G455" i="62921" s="1"/>
  <c r="F456" i="62921"/>
  <c r="F457" i="62921"/>
  <c r="G457" i="62921" s="1"/>
  <c r="F458" i="62921"/>
  <c r="F459" i="62921"/>
  <c r="F460" i="62921"/>
  <c r="F461" i="62921"/>
  <c r="G461" i="62921" s="1"/>
  <c r="F462" i="62921"/>
  <c r="F463" i="62921"/>
  <c r="G463" i="62921" s="1"/>
  <c r="F464" i="62921"/>
  <c r="F465" i="62921"/>
  <c r="G465" i="62921" s="1"/>
  <c r="F466" i="62921"/>
  <c r="F467" i="62921"/>
  <c r="G467" i="62921" s="1"/>
  <c r="F468" i="62921"/>
  <c r="F469" i="62921"/>
  <c r="G469" i="62921" s="1"/>
  <c r="F470" i="62921"/>
  <c r="F471" i="62921"/>
  <c r="G471" i="62921" s="1"/>
  <c r="F472" i="62921"/>
  <c r="F473" i="62921"/>
  <c r="G473" i="62921" s="1"/>
  <c r="F474" i="62921"/>
  <c r="F475" i="62921"/>
  <c r="F476" i="62921"/>
  <c r="F477" i="62921"/>
  <c r="G477" i="62921" s="1"/>
  <c r="F478" i="62921"/>
  <c r="F479" i="62921"/>
  <c r="G479" i="62921" s="1"/>
  <c r="F480" i="62921"/>
  <c r="F481" i="62921"/>
  <c r="G481" i="62921" s="1"/>
  <c r="F482" i="62921"/>
  <c r="F483" i="62921"/>
  <c r="G483" i="62921" s="1"/>
  <c r="F484" i="62921"/>
  <c r="F485" i="62921"/>
  <c r="G485" i="62921" s="1"/>
  <c r="F486" i="62921"/>
  <c r="F487" i="62921"/>
  <c r="G487" i="62921" s="1"/>
  <c r="F488" i="62921"/>
  <c r="F489" i="62921"/>
  <c r="G489" i="62921" s="1"/>
  <c r="F490" i="62921"/>
  <c r="F491" i="62921"/>
  <c r="F492" i="62921"/>
  <c r="F493" i="62921"/>
  <c r="G493" i="62921" s="1"/>
  <c r="F494" i="62921"/>
  <c r="F495" i="62921"/>
  <c r="G495" i="62921" s="1"/>
  <c r="F496" i="62921"/>
  <c r="F497" i="62921"/>
  <c r="G497" i="62921" s="1"/>
  <c r="F498" i="62921"/>
  <c r="F499" i="62921"/>
  <c r="G499" i="62921" s="1"/>
  <c r="F500" i="62921"/>
  <c r="F501" i="62921"/>
  <c r="G501" i="62921" s="1"/>
  <c r="F502" i="62921"/>
  <c r="F503" i="62921"/>
  <c r="G503" i="62921" s="1"/>
  <c r="F504" i="62921"/>
  <c r="F505" i="62921"/>
  <c r="G505" i="62921" s="1"/>
  <c r="F506" i="62921"/>
  <c r="F507" i="62921"/>
  <c r="F508" i="62921"/>
  <c r="F509" i="62921"/>
  <c r="G509" i="62921" s="1"/>
  <c r="F510" i="62921"/>
  <c r="F511" i="62921"/>
  <c r="G511" i="62921" s="1"/>
  <c r="F512" i="62921"/>
  <c r="F513" i="62921"/>
  <c r="G513" i="62921" s="1"/>
  <c r="F514" i="62921"/>
  <c r="F515" i="62921"/>
  <c r="G515" i="62921" s="1"/>
  <c r="F516" i="62921"/>
  <c r="F517" i="62921"/>
  <c r="G517" i="62921" s="1"/>
  <c r="F518" i="62921"/>
  <c r="F519" i="62921"/>
  <c r="G519" i="62921" s="1"/>
  <c r="F520" i="62921"/>
  <c r="F521" i="62921"/>
  <c r="G521" i="62921" s="1"/>
  <c r="F522" i="62921"/>
  <c r="F523" i="62921"/>
  <c r="F524" i="62921"/>
  <c r="F525" i="62921"/>
  <c r="G525" i="62921" s="1"/>
  <c r="F526" i="62921"/>
  <c r="F527" i="62921"/>
  <c r="G527" i="62921" s="1"/>
  <c r="F528" i="62921"/>
  <c r="F529" i="62921"/>
  <c r="G529" i="62921" s="1"/>
  <c r="F530" i="62921"/>
  <c r="F531" i="62921"/>
  <c r="G531" i="62921" s="1"/>
  <c r="F532" i="62921"/>
  <c r="F533" i="62921"/>
  <c r="G533" i="62921" s="1"/>
  <c r="F534" i="62921"/>
  <c r="F535" i="62921"/>
  <c r="F536" i="62921"/>
  <c r="F537" i="62921"/>
  <c r="G537" i="62921" s="1"/>
  <c r="F538" i="62921"/>
  <c r="F539" i="62921"/>
  <c r="G539" i="62921" s="1"/>
  <c r="F540" i="62921"/>
  <c r="F541" i="62921"/>
  <c r="G541" i="62921" s="1"/>
  <c r="F542" i="62921"/>
  <c r="F543" i="62921"/>
  <c r="F544" i="62921"/>
  <c r="F545" i="62921"/>
  <c r="G545" i="62921" s="1"/>
  <c r="F546" i="62921"/>
  <c r="F547" i="62921"/>
  <c r="G547" i="62921" s="1"/>
  <c r="F548" i="62921"/>
  <c r="F549" i="62921"/>
  <c r="G549" i="62921" s="1"/>
  <c r="F550" i="62921"/>
  <c r="F551" i="62921"/>
  <c r="AP95" i="62925"/>
  <c r="AO95" i="62925"/>
  <c r="AL95" i="62925"/>
  <c r="AK95" i="62925"/>
  <c r="AJ95" i="62925"/>
  <c r="AI95" i="62925"/>
  <c r="AH95" i="62925"/>
  <c r="AG95" i="62925"/>
  <c r="AP95" i="62926"/>
  <c r="AO95" i="62926"/>
  <c r="AL95" i="62926"/>
  <c r="AK95" i="62926"/>
  <c r="AJ95" i="62926"/>
  <c r="AI95" i="62926"/>
  <c r="AH95" i="62926"/>
  <c r="AG95" i="62926"/>
  <c r="AS88" i="62925"/>
  <c r="AS87" i="62925"/>
  <c r="AS86" i="62925"/>
  <c r="F2151" i="62917"/>
  <c r="G2151" i="62917" s="1"/>
  <c r="F1988" i="62917"/>
  <c r="G1988" i="62917" s="1"/>
  <c r="F1989" i="62917"/>
  <c r="G1989" i="62917" s="1"/>
  <c r="F1990" i="62917"/>
  <c r="G1990" i="62917" s="1"/>
  <c r="F1991" i="62917"/>
  <c r="G1991" i="62917" s="1"/>
  <c r="F1992" i="62917"/>
  <c r="F1993" i="62917"/>
  <c r="G1993" i="62917" s="1"/>
  <c r="F1994" i="62917"/>
  <c r="F1995" i="62917"/>
  <c r="G1995" i="62917" s="1"/>
  <c r="F1996" i="62917"/>
  <c r="G1996" i="62917" s="1"/>
  <c r="F1997" i="62917"/>
  <c r="G1997" i="62917" s="1"/>
  <c r="F1998" i="62917"/>
  <c r="F1999" i="62917"/>
  <c r="G1999" i="62917" s="1"/>
  <c r="F2000" i="62917"/>
  <c r="F2001" i="62917"/>
  <c r="G2001" i="62917" s="1"/>
  <c r="F2002" i="62917"/>
  <c r="G2002" i="62917" s="1"/>
  <c r="F2003" i="62917"/>
  <c r="F2004" i="62917"/>
  <c r="F2005" i="62917"/>
  <c r="F2006" i="62917"/>
  <c r="F2007" i="62917"/>
  <c r="G2007" i="62917" s="1"/>
  <c r="F2008" i="62917"/>
  <c r="F2009" i="62917"/>
  <c r="G2009" i="62917" s="1"/>
  <c r="F2010" i="62917"/>
  <c r="G2010" i="62917" s="1"/>
  <c r="F2011" i="62917"/>
  <c r="F2012" i="62917"/>
  <c r="G2012" i="62917" s="1"/>
  <c r="F2013" i="62917"/>
  <c r="F2014" i="62917"/>
  <c r="F2015" i="62917"/>
  <c r="G2015" i="62917" s="1"/>
  <c r="F2016" i="62917"/>
  <c r="F2017" i="62917"/>
  <c r="G2017" i="62917" s="1"/>
  <c r="F2018" i="62917"/>
  <c r="F2019" i="62917"/>
  <c r="F2020" i="62917"/>
  <c r="G2020" i="62917" s="1"/>
  <c r="F2021" i="62917"/>
  <c r="F2022" i="62917"/>
  <c r="F2023" i="62917"/>
  <c r="G2023" i="62917" s="1"/>
  <c r="F2024" i="62917"/>
  <c r="F2025" i="62917"/>
  <c r="G2025" i="62917" s="1"/>
  <c r="F2026" i="62917"/>
  <c r="G2026" i="62917" s="1"/>
  <c r="F2027" i="62917"/>
  <c r="F2028" i="62917"/>
  <c r="G2028" i="62917" s="1"/>
  <c r="F2029" i="62917"/>
  <c r="F2030" i="62917"/>
  <c r="F2031" i="62917"/>
  <c r="G2031" i="62917" s="1"/>
  <c r="F2032" i="62917"/>
  <c r="F2033" i="62917"/>
  <c r="F2034" i="62917"/>
  <c r="G2034" i="62917" s="1"/>
  <c r="F2035" i="62917"/>
  <c r="F2036" i="62917"/>
  <c r="F2037" i="62917"/>
  <c r="F2038" i="62917"/>
  <c r="F2039" i="62917"/>
  <c r="G2039" i="62917" s="1"/>
  <c r="F2040" i="62917"/>
  <c r="F2041" i="62917"/>
  <c r="G2041" i="62917" s="1"/>
  <c r="F2042" i="62917"/>
  <c r="G2042" i="62917" s="1"/>
  <c r="F2043" i="62917"/>
  <c r="F2044" i="62917"/>
  <c r="G2044" i="62917" s="1"/>
  <c r="F2045" i="62917"/>
  <c r="F2046" i="62917"/>
  <c r="F2047" i="62917"/>
  <c r="G2047" i="62917" s="1"/>
  <c r="F2048" i="62917"/>
  <c r="F2049" i="62917"/>
  <c r="F2050" i="62917"/>
  <c r="F2051" i="62917"/>
  <c r="F2052" i="62917"/>
  <c r="G2052" i="62917" s="1"/>
  <c r="F2053" i="62917"/>
  <c r="F2054" i="62917"/>
  <c r="F2055" i="62917"/>
  <c r="G2055" i="62917" s="1"/>
  <c r="F2056" i="62917"/>
  <c r="F2057" i="62917"/>
  <c r="G2057" i="62917" s="1"/>
  <c r="F2058" i="62917"/>
  <c r="G2058" i="62917" s="1"/>
  <c r="F2059" i="62917"/>
  <c r="F2060" i="62917"/>
  <c r="G2060" i="62917" s="1"/>
  <c r="F2061" i="62917"/>
  <c r="F2062" i="62917"/>
  <c r="F2063" i="62917"/>
  <c r="G2063" i="62917" s="1"/>
  <c r="F2064" i="62917"/>
  <c r="F2065" i="62917"/>
  <c r="G2065" i="62917" s="1"/>
  <c r="F2066" i="62917"/>
  <c r="G2066" i="62917" s="1"/>
  <c r="F2067" i="62917"/>
  <c r="F2068" i="62917"/>
  <c r="F2069" i="62917"/>
  <c r="F2070" i="62917"/>
  <c r="F2071" i="62917"/>
  <c r="G2071" i="62917" s="1"/>
  <c r="F2072" i="62917"/>
  <c r="F2073" i="62917"/>
  <c r="G2073" i="62917" s="1"/>
  <c r="F2074" i="62917"/>
  <c r="G2074" i="62917" s="1"/>
  <c r="F2075" i="62917"/>
  <c r="F2076" i="62917"/>
  <c r="G2076" i="62917" s="1"/>
  <c r="F2077" i="62917"/>
  <c r="F2078" i="62917"/>
  <c r="F2079" i="62917"/>
  <c r="G2079" i="62917" s="1"/>
  <c r="F2080" i="62917"/>
  <c r="F2081" i="62917"/>
  <c r="G2081" i="62917" s="1"/>
  <c r="F2082" i="62917"/>
  <c r="F2083" i="62917"/>
  <c r="F2084" i="62917"/>
  <c r="G2084" i="62917" s="1"/>
  <c r="F2085" i="62917"/>
  <c r="F2086" i="62917"/>
  <c r="F2087" i="62917"/>
  <c r="G2087" i="62917" s="1"/>
  <c r="F2088" i="62917"/>
  <c r="F2089" i="62917"/>
  <c r="F2090" i="62917"/>
  <c r="G2090" i="62917" s="1"/>
  <c r="F2091" i="62917"/>
  <c r="F2092" i="62917"/>
  <c r="G2092" i="62917" s="1"/>
  <c r="F2093" i="62917"/>
  <c r="F2094" i="62917"/>
  <c r="F2095" i="62917"/>
  <c r="G2095" i="62917" s="1"/>
  <c r="F2096" i="62917"/>
  <c r="F2097" i="62917"/>
  <c r="G2097" i="62917" s="1"/>
  <c r="F2098" i="62917"/>
  <c r="G2098" i="62917" s="1"/>
  <c r="F2099" i="62917"/>
  <c r="F2100" i="62917"/>
  <c r="F2101" i="62917"/>
  <c r="F2102" i="62917"/>
  <c r="F2103" i="62917"/>
  <c r="F2104" i="62917"/>
  <c r="F2105" i="62917"/>
  <c r="G2105" i="62917" s="1"/>
  <c r="F2106" i="62917"/>
  <c r="G2106" i="62917" s="1"/>
  <c r="F2107" i="62917"/>
  <c r="F2108" i="62917"/>
  <c r="G2108" i="62917" s="1"/>
  <c r="F2109" i="62917"/>
  <c r="F2110" i="62917"/>
  <c r="F2111" i="62917"/>
  <c r="G2111" i="62917" s="1"/>
  <c r="F2112" i="62917"/>
  <c r="F2113" i="62917"/>
  <c r="G2113" i="62917" s="1"/>
  <c r="F2114" i="62917"/>
  <c r="F2115" i="62917"/>
  <c r="F2116" i="62917"/>
  <c r="G2116" i="62917" s="1"/>
  <c r="F2117" i="62917"/>
  <c r="F2118" i="62917"/>
  <c r="F2119" i="62917"/>
  <c r="G2119" i="62917" s="1"/>
  <c r="F2120" i="62917"/>
  <c r="F2121" i="62917"/>
  <c r="F2122" i="62917"/>
  <c r="G2122" i="62917" s="1"/>
  <c r="F2123" i="62917"/>
  <c r="F2124" i="62917"/>
  <c r="G2124" i="62917" s="1"/>
  <c r="F2125" i="62917"/>
  <c r="F2126" i="62917"/>
  <c r="F2127" i="62917"/>
  <c r="G2127" i="62917" s="1"/>
  <c r="F2128" i="62917"/>
  <c r="F2129" i="62917"/>
  <c r="G2129" i="62917" s="1"/>
  <c r="F2130" i="62917"/>
  <c r="G2130" i="62917" s="1"/>
  <c r="F2131" i="62917"/>
  <c r="F2132" i="62917"/>
  <c r="F2133" i="62917"/>
  <c r="F2134" i="62917"/>
  <c r="F2135" i="62917"/>
  <c r="F2136" i="62917"/>
  <c r="F2137" i="62917"/>
  <c r="G2137" i="62917" s="1"/>
  <c r="F2138" i="62917"/>
  <c r="G2138" i="62917" s="1"/>
  <c r="F2139" i="62917"/>
  <c r="F2140" i="62917"/>
  <c r="G2140" i="62917" s="1"/>
  <c r="F2141" i="62917"/>
  <c r="F2142" i="62917"/>
  <c r="F2143" i="62917"/>
  <c r="G2143" i="62917" s="1"/>
  <c r="F2144" i="62917"/>
  <c r="F2145" i="62917"/>
  <c r="F2146" i="62917"/>
  <c r="F2147" i="62917"/>
  <c r="F2148" i="62917"/>
  <c r="G2148" i="62917" s="1"/>
  <c r="F2149" i="62917"/>
  <c r="F2150" i="62917"/>
  <c r="F1986" i="62917"/>
  <c r="G1986" i="62917" s="1"/>
  <c r="F1987" i="62917"/>
  <c r="G1987" i="62917" s="1"/>
  <c r="G1875" i="62919" l="1"/>
  <c r="H156" i="62928"/>
  <c r="H159" i="62928"/>
  <c r="H155" i="62928"/>
  <c r="H159" i="7"/>
  <c r="H157" i="7"/>
  <c r="H156" i="7"/>
  <c r="H155" i="7"/>
  <c r="H157" i="62928"/>
  <c r="H158" i="7"/>
  <c r="H158" i="62928"/>
  <c r="G407" i="62921"/>
  <c r="G405" i="62921"/>
  <c r="G403" i="62921"/>
  <c r="G401" i="62921"/>
  <c r="G399" i="62921"/>
  <c r="G397" i="62921"/>
  <c r="G395" i="62921"/>
  <c r="G393" i="62921"/>
  <c r="G391" i="62921"/>
  <c r="G389" i="62921"/>
  <c r="G387" i="62921"/>
  <c r="G385" i="62921"/>
  <c r="G383" i="62921"/>
  <c r="G381" i="62921"/>
  <c r="G379" i="62921"/>
  <c r="G377" i="62921"/>
  <c r="G375" i="62921"/>
  <c r="G373" i="62921"/>
  <c r="G371" i="62921"/>
  <c r="G369" i="62921"/>
  <c r="G367" i="62921"/>
  <c r="G365" i="62921"/>
  <c r="G363" i="62921"/>
  <c r="G361" i="62921"/>
  <c r="G359" i="62921"/>
  <c r="G357" i="62921"/>
  <c r="G355" i="62921"/>
  <c r="G353" i="62921"/>
  <c r="G351" i="62921"/>
  <c r="G349" i="62921"/>
  <c r="G347" i="62921"/>
  <c r="G345" i="62921"/>
  <c r="G343" i="62921"/>
  <c r="G341" i="62921"/>
  <c r="G339" i="62921"/>
  <c r="G337" i="62921"/>
  <c r="G335" i="62921"/>
  <c r="G2276" i="62917"/>
  <c r="G2274" i="62917"/>
  <c r="G2272" i="62917"/>
  <c r="G2270" i="62917"/>
  <c r="G2268" i="62917"/>
  <c r="G2266" i="62917"/>
  <c r="G2264" i="62917"/>
  <c r="G2262" i="62917"/>
  <c r="G2260" i="62917"/>
  <c r="G2258" i="62917"/>
  <c r="G2256" i="62917"/>
  <c r="G2254" i="62917"/>
  <c r="G2252" i="62917"/>
  <c r="G2250" i="62917"/>
  <c r="G2248" i="62917"/>
  <c r="G2246" i="62917"/>
  <c r="G2244" i="62917"/>
  <c r="G2242" i="62917"/>
  <c r="G2240" i="62917"/>
  <c r="G2238" i="62917"/>
  <c r="G2236" i="62917"/>
  <c r="E1875" i="62919"/>
  <c r="G1898" i="62919"/>
  <c r="G1896" i="62919"/>
  <c r="G1894" i="62919"/>
  <c r="G1892" i="62919"/>
  <c r="G1890" i="62919"/>
  <c r="G1888" i="62919"/>
  <c r="G1886" i="62919"/>
  <c r="G1884" i="62919"/>
  <c r="G1882" i="62919"/>
  <c r="G1880" i="62919"/>
  <c r="G1878" i="62919"/>
  <c r="G1876" i="62919"/>
  <c r="G488" i="62921"/>
  <c r="G508" i="62921"/>
  <c r="G492" i="62921"/>
  <c r="G476" i="62921"/>
  <c r="G460" i="62921"/>
  <c r="G551" i="62921"/>
  <c r="G546" i="62921"/>
  <c r="G543" i="62921"/>
  <c r="G538" i="62921"/>
  <c r="G535" i="62921"/>
  <c r="G530" i="62921"/>
  <c r="G523" i="62921"/>
  <c r="G514" i="62921"/>
  <c r="G507" i="62921"/>
  <c r="G498" i="62921"/>
  <c r="G491" i="62921"/>
  <c r="G482" i="62921"/>
  <c r="G475" i="62921"/>
  <c r="G466" i="62921"/>
  <c r="G459" i="62921"/>
  <c r="G450" i="62921"/>
  <c r="G446" i="62921"/>
  <c r="G442" i="62921"/>
  <c r="G438" i="62921"/>
  <c r="G434" i="62921"/>
  <c r="G430" i="62921"/>
  <c r="G426" i="62921"/>
  <c r="G422" i="62921"/>
  <c r="G418" i="62921"/>
  <c r="G520" i="62921"/>
  <c r="G456" i="62921"/>
  <c r="G526" i="62921"/>
  <c r="G478" i="62921"/>
  <c r="G468" i="62921"/>
  <c r="G452" i="62921"/>
  <c r="G532" i="62921"/>
  <c r="G494" i="62921"/>
  <c r="G550" i="62921"/>
  <c r="G542" i="62921"/>
  <c r="G534" i="62921"/>
  <c r="G490" i="62921"/>
  <c r="G474" i="62921"/>
  <c r="G458" i="62921"/>
  <c r="G448" i="62921"/>
  <c r="G444" i="62921"/>
  <c r="G440" i="62921"/>
  <c r="G436" i="62921"/>
  <c r="G432" i="62921"/>
  <c r="G428" i="62921"/>
  <c r="G424" i="62921"/>
  <c r="G420" i="62921"/>
  <c r="G504" i="62921"/>
  <c r="G548" i="62921"/>
  <c r="G540" i="62921"/>
  <c r="G510" i="62921"/>
  <c r="G462" i="62921"/>
  <c r="G516" i="62921"/>
  <c r="G500" i="62921"/>
  <c r="G484" i="62921"/>
  <c r="G522" i="62921"/>
  <c r="G506" i="62921"/>
  <c r="G528" i="62921"/>
  <c r="G512" i="62921"/>
  <c r="G496" i="62921"/>
  <c r="G480" i="62921"/>
  <c r="G464" i="62921"/>
  <c r="G544" i="62921"/>
  <c r="G536" i="62921"/>
  <c r="G518" i="62921"/>
  <c r="G502" i="62921"/>
  <c r="G486" i="62921"/>
  <c r="G470" i="62921"/>
  <c r="G454" i="62921"/>
  <c r="G472" i="62921"/>
  <c r="G524" i="62921"/>
  <c r="G416" i="62921"/>
  <c r="G2117" i="62917"/>
  <c r="G2109" i="62917"/>
  <c r="G2037" i="62917"/>
  <c r="G2070" i="62917"/>
  <c r="G2049" i="62917"/>
  <c r="G2094" i="62917"/>
  <c r="G2133" i="62917"/>
  <c r="G2145" i="62917"/>
  <c r="G2086" i="62917"/>
  <c r="G2018" i="62917"/>
  <c r="G2144" i="62917"/>
  <c r="G2125" i="62917"/>
  <c r="G2121" i="62917"/>
  <c r="G2101" i="62917"/>
  <c r="G2085" i="62917"/>
  <c r="G2077" i="62917"/>
  <c r="G2061" i="62917"/>
  <c r="G2048" i="62917"/>
  <c r="G2136" i="62917"/>
  <c r="G2132" i="62917"/>
  <c r="G2120" i="62917"/>
  <c r="G2112" i="62917"/>
  <c r="G2093" i="62917"/>
  <c r="G2089" i="62917"/>
  <c r="G2069" i="62917"/>
  <c r="G2056" i="62917"/>
  <c r="G2040" i="62917"/>
  <c r="G2036" i="62917"/>
  <c r="G2027" i="62917"/>
  <c r="G2104" i="62917"/>
  <c r="G2100" i="62917"/>
  <c r="G2088" i="62917"/>
  <c r="G2080" i="62917"/>
  <c r="G2035" i="62917"/>
  <c r="G2022" i="62917"/>
  <c r="G2147" i="62917"/>
  <c r="G2135" i="62917"/>
  <c r="G2131" i="62917"/>
  <c r="G2072" i="62917"/>
  <c r="G2068" i="62917"/>
  <c r="G2146" i="62917"/>
  <c r="G2142" i="62917"/>
  <c r="G2123" i="62917"/>
  <c r="G2115" i="62917"/>
  <c r="G2103" i="62917"/>
  <c r="G2099" i="62917"/>
  <c r="G2067" i="62917"/>
  <c r="G2059" i="62917"/>
  <c r="G2051" i="62917"/>
  <c r="G2030" i="62917"/>
  <c r="G1994" i="62917"/>
  <c r="G2150" i="62917"/>
  <c r="G2134" i="62917"/>
  <c r="G2114" i="62917"/>
  <c r="G2110" i="62917"/>
  <c r="G2091" i="62917"/>
  <c r="G2083" i="62917"/>
  <c r="G2050" i="62917"/>
  <c r="G2038" i="62917"/>
  <c r="G2004" i="62917"/>
  <c r="G2149" i="62917"/>
  <c r="G2141" i="62917"/>
  <c r="G2126" i="62917"/>
  <c r="G2118" i="62917"/>
  <c r="G2102" i="62917"/>
  <c r="G2082" i="62917"/>
  <c r="G2078" i="62917"/>
  <c r="G2062" i="62917"/>
  <c r="G2054" i="62917"/>
  <c r="G2045" i="62917"/>
  <c r="G2033" i="62917"/>
  <c r="G2029" i="62917"/>
  <c r="G2024" i="62917"/>
  <c r="G2019" i="62917"/>
  <c r="G2008" i="62917"/>
  <c r="G2139" i="62917"/>
  <c r="G2128" i="62917"/>
  <c r="G2107" i="62917"/>
  <c r="G2096" i="62917"/>
  <c r="G2075" i="62917"/>
  <c r="G2064" i="62917"/>
  <c r="G2043" i="62917"/>
  <c r="G2032" i="62917"/>
  <c r="G2011" i="62917"/>
  <c r="G2000" i="62917"/>
  <c r="G2053" i="62917"/>
  <c r="G2046" i="62917"/>
  <c r="G2021" i="62917"/>
  <c r="G2014" i="62917"/>
  <c r="G2003" i="62917"/>
  <c r="G2013" i="62917"/>
  <c r="G2006" i="62917"/>
  <c r="G2016" i="62917"/>
  <c r="G1992" i="62917"/>
  <c r="G2005" i="62917"/>
  <c r="G1998" i="62917"/>
  <c r="E1876" i="62919" l="1"/>
  <c r="E1877" i="62919" s="1"/>
  <c r="E1878" i="62919" s="1"/>
  <c r="E1879" i="62919" s="1"/>
  <c r="AS88" i="62926"/>
  <c r="AS87" i="62926"/>
  <c r="AS86" i="62926"/>
  <c r="F1952" i="62917"/>
  <c r="F1953" i="62917"/>
  <c r="G1953" i="62917" s="1"/>
  <c r="F1954" i="62917"/>
  <c r="F1955" i="62917"/>
  <c r="G1955" i="62917" s="1"/>
  <c r="F1956" i="62917"/>
  <c r="F1957" i="62917"/>
  <c r="G1957" i="62917" s="1"/>
  <c r="F1958" i="62917"/>
  <c r="F1959" i="62917"/>
  <c r="G1959" i="62917" s="1"/>
  <c r="F1960" i="62917"/>
  <c r="F1961" i="62917"/>
  <c r="G1961" i="62917" s="1"/>
  <c r="F1962" i="62917"/>
  <c r="F1963" i="62917"/>
  <c r="G1963" i="62917" s="1"/>
  <c r="F1964" i="62917"/>
  <c r="F1965" i="62917"/>
  <c r="G1965" i="62917" s="1"/>
  <c r="F1966" i="62917"/>
  <c r="F1967" i="62917"/>
  <c r="G1967" i="62917" s="1"/>
  <c r="F1968" i="62917"/>
  <c r="F1969" i="62917"/>
  <c r="G1969" i="62917" s="1"/>
  <c r="F1970" i="62917"/>
  <c r="F1971" i="62917"/>
  <c r="G1971" i="62917" s="1"/>
  <c r="F1972" i="62917"/>
  <c r="F1973" i="62917"/>
  <c r="G1973" i="62917" s="1"/>
  <c r="F1974" i="62917"/>
  <c r="F1975" i="62917"/>
  <c r="G1975" i="62917" s="1"/>
  <c r="F1976" i="62917"/>
  <c r="F1977" i="62917"/>
  <c r="G1977" i="62917" s="1"/>
  <c r="F1978" i="62917"/>
  <c r="F1979" i="62917"/>
  <c r="G1979" i="62917" s="1"/>
  <c r="F1980" i="62917"/>
  <c r="F1981" i="62917"/>
  <c r="G1981" i="62917" s="1"/>
  <c r="F1982" i="62917"/>
  <c r="F1983" i="62917"/>
  <c r="G1983" i="62917" s="1"/>
  <c r="F1984" i="62917"/>
  <c r="F1617" i="62917"/>
  <c r="F1618" i="62917"/>
  <c r="G1618" i="62917" s="1"/>
  <c r="F1619" i="62917"/>
  <c r="F1620" i="62917"/>
  <c r="F1621" i="62917"/>
  <c r="F1622" i="62917"/>
  <c r="G1622" i="62917" s="1"/>
  <c r="F1623" i="62917"/>
  <c r="G1623" i="62917" s="1"/>
  <c r="F1624" i="62917"/>
  <c r="G1624" i="62917" s="1"/>
  <c r="F1625" i="62917"/>
  <c r="F1626" i="62917"/>
  <c r="G1626" i="62917" s="1"/>
  <c r="F1627" i="62917"/>
  <c r="F1628" i="62917"/>
  <c r="G1628" i="62917" s="1"/>
  <c r="F1629" i="62917"/>
  <c r="F1630" i="62917"/>
  <c r="G1630" i="62917" s="1"/>
  <c r="F1631" i="62917"/>
  <c r="G1631" i="62917" s="1"/>
  <c r="F1632" i="62917"/>
  <c r="G1632" i="62917" s="1"/>
  <c r="F1633" i="62917"/>
  <c r="F1634" i="62917"/>
  <c r="F1635" i="62917"/>
  <c r="F1636" i="62917"/>
  <c r="G1636" i="62917" s="1"/>
  <c r="F1637" i="62917"/>
  <c r="G1637" i="62917" s="1"/>
  <c r="F1638" i="62917"/>
  <c r="G1638" i="62917" s="1"/>
  <c r="F1639" i="62917"/>
  <c r="G1639" i="62917" s="1"/>
  <c r="F1640" i="62917"/>
  <c r="G1640" i="62917" s="1"/>
  <c r="F1641" i="62917"/>
  <c r="F1642" i="62917"/>
  <c r="G1642" i="62917" s="1"/>
  <c r="F1643" i="62917"/>
  <c r="F1644" i="62917"/>
  <c r="G1644" i="62917" s="1"/>
  <c r="F1645" i="62917"/>
  <c r="G1645" i="62917" s="1"/>
  <c r="F1646" i="62917"/>
  <c r="G1646" i="62917" s="1"/>
  <c r="F1647" i="62917"/>
  <c r="G1647" i="62917" s="1"/>
  <c r="F1648" i="62917"/>
  <c r="G1648" i="62917" s="1"/>
  <c r="F1649" i="62917"/>
  <c r="F1650" i="62917"/>
  <c r="G1650" i="62917" s="1"/>
  <c r="F1651" i="62917"/>
  <c r="F1652" i="62917"/>
  <c r="G1652" i="62917" s="1"/>
  <c r="F1653" i="62917"/>
  <c r="G1653" i="62917" s="1"/>
  <c r="F1654" i="62917"/>
  <c r="G1654" i="62917" s="1"/>
  <c r="F1655" i="62917"/>
  <c r="G1655" i="62917" s="1"/>
  <c r="F1656" i="62917"/>
  <c r="G1656" i="62917" s="1"/>
  <c r="F1657" i="62917"/>
  <c r="F1658" i="62917"/>
  <c r="G1658" i="62917" s="1"/>
  <c r="F1659" i="62917"/>
  <c r="F1660" i="62917"/>
  <c r="G1660" i="62917" s="1"/>
  <c r="F1661" i="62917"/>
  <c r="G1661" i="62917" s="1"/>
  <c r="F1662" i="62917"/>
  <c r="G1662" i="62917" s="1"/>
  <c r="F1663" i="62917"/>
  <c r="G1663" i="62917" s="1"/>
  <c r="F1664" i="62917"/>
  <c r="G1664" i="62917" s="1"/>
  <c r="F1665" i="62917"/>
  <c r="F1666" i="62917"/>
  <c r="G1666" i="62917" s="1"/>
  <c r="F1667" i="62917"/>
  <c r="F1668" i="62917"/>
  <c r="G1668" i="62917" s="1"/>
  <c r="F1669" i="62917"/>
  <c r="G1669" i="62917" s="1"/>
  <c r="F1670" i="62917"/>
  <c r="G1670" i="62917" s="1"/>
  <c r="F1671" i="62917"/>
  <c r="G1671" i="62917" s="1"/>
  <c r="F1672" i="62917"/>
  <c r="G1672" i="62917" s="1"/>
  <c r="F1673" i="62917"/>
  <c r="F1674" i="62917"/>
  <c r="G1674" i="62917" s="1"/>
  <c r="F1675" i="62917"/>
  <c r="F1676" i="62917"/>
  <c r="G1676" i="62917" s="1"/>
  <c r="F1677" i="62917"/>
  <c r="G1677" i="62917" s="1"/>
  <c r="F1678" i="62917"/>
  <c r="G1678" i="62917" s="1"/>
  <c r="F1679" i="62917"/>
  <c r="G1679" i="62917" s="1"/>
  <c r="F1680" i="62917"/>
  <c r="G1680" i="62917" s="1"/>
  <c r="F1681" i="62917"/>
  <c r="F1682" i="62917"/>
  <c r="G1682" i="62917" s="1"/>
  <c r="F1683" i="62917"/>
  <c r="F1684" i="62917"/>
  <c r="G1684" i="62917" s="1"/>
  <c r="F1685" i="62917"/>
  <c r="G1685" i="62917" s="1"/>
  <c r="F1686" i="62917"/>
  <c r="G1686" i="62917" s="1"/>
  <c r="F1687" i="62917"/>
  <c r="G1687" i="62917" s="1"/>
  <c r="F1688" i="62917"/>
  <c r="G1688" i="62917" s="1"/>
  <c r="F1689" i="62917"/>
  <c r="G1689" i="62917" s="1"/>
  <c r="F1690" i="62917"/>
  <c r="G1690" i="62917" s="1"/>
  <c r="F1691" i="62917"/>
  <c r="F1692" i="62917"/>
  <c r="F1693" i="62917"/>
  <c r="G1693" i="62917" s="1"/>
  <c r="F1694" i="62917"/>
  <c r="G1694" i="62917" s="1"/>
  <c r="F1695" i="62917"/>
  <c r="G1695" i="62917" s="1"/>
  <c r="F1696" i="62917"/>
  <c r="G1696" i="62917" s="1"/>
  <c r="F1697" i="62917"/>
  <c r="G1697" i="62917" s="1"/>
  <c r="F1698" i="62917"/>
  <c r="G1698" i="62917" s="1"/>
  <c r="F1699" i="62917"/>
  <c r="F1700" i="62917"/>
  <c r="G1700" i="62917" s="1"/>
  <c r="F1701" i="62917"/>
  <c r="G1701" i="62917" s="1"/>
  <c r="F1702" i="62917"/>
  <c r="G1702" i="62917" s="1"/>
  <c r="F1703" i="62917"/>
  <c r="G1703" i="62917" s="1"/>
  <c r="F1704" i="62917"/>
  <c r="G1704" i="62917" s="1"/>
  <c r="F1705" i="62917"/>
  <c r="G1705" i="62917" s="1"/>
  <c r="F1706" i="62917"/>
  <c r="G1706" i="62917" s="1"/>
  <c r="F1707" i="62917"/>
  <c r="F1708" i="62917"/>
  <c r="F1709" i="62917"/>
  <c r="G1709" i="62917" s="1"/>
  <c r="F1710" i="62917"/>
  <c r="G1710" i="62917" s="1"/>
  <c r="F1711" i="62917"/>
  <c r="G1711" i="62917" s="1"/>
  <c r="F1712" i="62917"/>
  <c r="G1712" i="62917" s="1"/>
  <c r="F1713" i="62917"/>
  <c r="G1713" i="62917" s="1"/>
  <c r="F1714" i="62917"/>
  <c r="F1715" i="62917"/>
  <c r="F1716" i="62917"/>
  <c r="F1717" i="62917"/>
  <c r="G1717" i="62917" s="1"/>
  <c r="F1718" i="62917"/>
  <c r="G1718" i="62917" s="1"/>
  <c r="F1719" i="62917"/>
  <c r="F1720" i="62917"/>
  <c r="G1720" i="62917" s="1"/>
  <c r="F1721" i="62917"/>
  <c r="G1721" i="62917" s="1"/>
  <c r="F1722" i="62917"/>
  <c r="F1723" i="62917"/>
  <c r="F1724" i="62917"/>
  <c r="F1725" i="62917"/>
  <c r="G1725" i="62917" s="1"/>
  <c r="F1726" i="62917"/>
  <c r="G1726" i="62917" s="1"/>
  <c r="F1727" i="62917"/>
  <c r="F1728" i="62917"/>
  <c r="G1728" i="62917" s="1"/>
  <c r="F1729" i="62917"/>
  <c r="G1729" i="62917" s="1"/>
  <c r="F1730" i="62917"/>
  <c r="F1731" i="62917"/>
  <c r="F1732" i="62917"/>
  <c r="F1733" i="62917"/>
  <c r="G1733" i="62917" s="1"/>
  <c r="F1734" i="62917"/>
  <c r="G1734" i="62917" s="1"/>
  <c r="F1735" i="62917"/>
  <c r="F1736" i="62917"/>
  <c r="G1736" i="62917" s="1"/>
  <c r="F1737" i="62917"/>
  <c r="G1737" i="62917" s="1"/>
  <c r="F1738" i="62917"/>
  <c r="F1739" i="62917"/>
  <c r="F1740" i="62917"/>
  <c r="F1741" i="62917"/>
  <c r="G1741" i="62917" s="1"/>
  <c r="F1742" i="62917"/>
  <c r="G1742" i="62917" s="1"/>
  <c r="F1743" i="62917"/>
  <c r="F1744" i="62917"/>
  <c r="G1744" i="62917" s="1"/>
  <c r="F1745" i="62917"/>
  <c r="G1745" i="62917" s="1"/>
  <c r="F1746" i="62917"/>
  <c r="F1747" i="62917"/>
  <c r="F1748" i="62917"/>
  <c r="F1749" i="62917"/>
  <c r="G1749" i="62917" s="1"/>
  <c r="F1750" i="62917"/>
  <c r="G1750" i="62917" s="1"/>
  <c r="F1751" i="62917"/>
  <c r="F1752" i="62917"/>
  <c r="G1752" i="62917" s="1"/>
  <c r="F1753" i="62917"/>
  <c r="G1753" i="62917" s="1"/>
  <c r="F1754" i="62917"/>
  <c r="F1755" i="62917"/>
  <c r="F1756" i="62917"/>
  <c r="F1757" i="62917"/>
  <c r="G1757" i="62917" s="1"/>
  <c r="F1758" i="62917"/>
  <c r="G1758" i="62917" s="1"/>
  <c r="F1759" i="62917"/>
  <c r="F1760" i="62917"/>
  <c r="G1760" i="62917" s="1"/>
  <c r="F1761" i="62917"/>
  <c r="G1761" i="62917" s="1"/>
  <c r="F1762" i="62917"/>
  <c r="G1762" i="62917" s="1"/>
  <c r="F1763" i="62917"/>
  <c r="F1764" i="62917"/>
  <c r="G1764" i="62917" s="1"/>
  <c r="F1765" i="62917"/>
  <c r="G1765" i="62917" s="1"/>
  <c r="F1766" i="62917"/>
  <c r="G1766" i="62917" s="1"/>
  <c r="F1767" i="62917"/>
  <c r="F1768" i="62917"/>
  <c r="G1768" i="62917" s="1"/>
  <c r="F1769" i="62917"/>
  <c r="G1769" i="62917" s="1"/>
  <c r="F1770" i="62917"/>
  <c r="G1770" i="62917" s="1"/>
  <c r="F1771" i="62917"/>
  <c r="F1772" i="62917"/>
  <c r="G1772" i="62917" s="1"/>
  <c r="F1773" i="62917"/>
  <c r="G1773" i="62917" s="1"/>
  <c r="F1774" i="62917"/>
  <c r="G1774" i="62917" s="1"/>
  <c r="F1775" i="62917"/>
  <c r="F1776" i="62917"/>
  <c r="G1776" i="62917" s="1"/>
  <c r="F1777" i="62917"/>
  <c r="G1777" i="62917" s="1"/>
  <c r="F1778" i="62917"/>
  <c r="G1778" i="62917" s="1"/>
  <c r="F1779" i="62917"/>
  <c r="F1780" i="62917"/>
  <c r="G1780" i="62917" s="1"/>
  <c r="F1781" i="62917"/>
  <c r="G1781" i="62917" s="1"/>
  <c r="F1782" i="62917"/>
  <c r="G1782" i="62917" s="1"/>
  <c r="F1783" i="62917"/>
  <c r="F1784" i="62917"/>
  <c r="G1784" i="62917" s="1"/>
  <c r="F1785" i="62917"/>
  <c r="G1785" i="62917" s="1"/>
  <c r="F1786" i="62917"/>
  <c r="G1786" i="62917" s="1"/>
  <c r="F1787" i="62917"/>
  <c r="G1787" i="62917" s="1"/>
  <c r="F1788" i="62917"/>
  <c r="F1789" i="62917"/>
  <c r="F1790" i="62917"/>
  <c r="F1791" i="62917"/>
  <c r="G1791" i="62917" s="1"/>
  <c r="F1792" i="62917"/>
  <c r="G1792" i="62917" s="1"/>
  <c r="F1793" i="62917"/>
  <c r="G1793" i="62917" s="1"/>
  <c r="F1794" i="62917"/>
  <c r="G1794" i="62917" s="1"/>
  <c r="F1795" i="62917"/>
  <c r="G1795" i="62917" s="1"/>
  <c r="F1796" i="62917"/>
  <c r="G1796" i="62917" s="1"/>
  <c r="F1797" i="62917"/>
  <c r="F1798" i="62917"/>
  <c r="G1798" i="62917" s="1"/>
  <c r="F1799" i="62917"/>
  <c r="G1799" i="62917" s="1"/>
  <c r="F1800" i="62917"/>
  <c r="G1800" i="62917" s="1"/>
  <c r="F1801" i="62917"/>
  <c r="F1802" i="62917"/>
  <c r="G1802" i="62917" s="1"/>
  <c r="F1803" i="62917"/>
  <c r="G1803" i="62917" s="1"/>
  <c r="F1804" i="62917"/>
  <c r="G1804" i="62917" s="1"/>
  <c r="F1805" i="62917"/>
  <c r="F1806" i="62917"/>
  <c r="G1806" i="62917" s="1"/>
  <c r="F1807" i="62917"/>
  <c r="G1807" i="62917" s="1"/>
  <c r="F1808" i="62917"/>
  <c r="G1808" i="62917" s="1"/>
  <c r="F1809" i="62917"/>
  <c r="G1809" i="62917" s="1"/>
  <c r="F1810" i="62917"/>
  <c r="G1810" i="62917" s="1"/>
  <c r="F1811" i="62917"/>
  <c r="G1811" i="62917" s="1"/>
  <c r="F1812" i="62917"/>
  <c r="G1812" i="62917" s="1"/>
  <c r="F1813" i="62917"/>
  <c r="F1814" i="62917"/>
  <c r="G1814" i="62917" s="1"/>
  <c r="F1815" i="62917"/>
  <c r="G1815" i="62917" s="1"/>
  <c r="F1816" i="62917"/>
  <c r="G1816" i="62917" s="1"/>
  <c r="F1817" i="62917"/>
  <c r="G1817" i="62917" s="1"/>
  <c r="F1818" i="62917"/>
  <c r="G1818" i="62917" s="1"/>
  <c r="F1819" i="62917"/>
  <c r="G1819" i="62917" s="1"/>
  <c r="F1820" i="62917"/>
  <c r="G1820" i="62917" s="1"/>
  <c r="F1821" i="62917"/>
  <c r="F1822" i="62917"/>
  <c r="F1823" i="62917"/>
  <c r="G1823" i="62917" s="1"/>
  <c r="F1824" i="62917"/>
  <c r="G1824" i="62917" s="1"/>
  <c r="F1825" i="62917"/>
  <c r="G1825" i="62917" s="1"/>
  <c r="F1826" i="62917"/>
  <c r="G1826" i="62917" s="1"/>
  <c r="F1827" i="62917"/>
  <c r="G1827" i="62917" s="1"/>
  <c r="F1828" i="62917"/>
  <c r="G1828" i="62917" s="1"/>
  <c r="F1829" i="62917"/>
  <c r="G1829" i="62917" s="1"/>
  <c r="F1830" i="62917"/>
  <c r="F1831" i="62917"/>
  <c r="G1831" i="62917" s="1"/>
  <c r="F1832" i="62917"/>
  <c r="G1832" i="62917" s="1"/>
  <c r="F1833" i="62917"/>
  <c r="G1833" i="62917" s="1"/>
  <c r="F1834" i="62917"/>
  <c r="G1834" i="62917" s="1"/>
  <c r="F1835" i="62917"/>
  <c r="G1835" i="62917" s="1"/>
  <c r="F1836" i="62917"/>
  <c r="G1836" i="62917" s="1"/>
  <c r="F1837" i="62917"/>
  <c r="G1837" i="62917" s="1"/>
  <c r="F1838" i="62917"/>
  <c r="F1839" i="62917"/>
  <c r="G1839" i="62917" s="1"/>
  <c r="F1840" i="62917"/>
  <c r="G1840" i="62917" s="1"/>
  <c r="F1841" i="62917"/>
  <c r="G1841" i="62917" s="1"/>
  <c r="F1842" i="62917"/>
  <c r="G1842" i="62917" s="1"/>
  <c r="F1843" i="62917"/>
  <c r="G1843" i="62917" s="1"/>
  <c r="F1844" i="62917"/>
  <c r="F1845" i="62917"/>
  <c r="G1845" i="62917" s="1"/>
  <c r="F1846" i="62917"/>
  <c r="F1847" i="62917"/>
  <c r="G1847" i="62917" s="1"/>
  <c r="F1848" i="62917"/>
  <c r="G1848" i="62917" s="1"/>
  <c r="F1849" i="62917"/>
  <c r="G1849" i="62917" s="1"/>
  <c r="F1850" i="62917"/>
  <c r="G1850" i="62917" s="1"/>
  <c r="F1851" i="62917"/>
  <c r="G1851" i="62917" s="1"/>
  <c r="F1852" i="62917"/>
  <c r="G1852" i="62917" s="1"/>
  <c r="F1853" i="62917"/>
  <c r="G1853" i="62917" s="1"/>
  <c r="F1854" i="62917"/>
  <c r="F1855" i="62917"/>
  <c r="G1855" i="62917" s="1"/>
  <c r="F1856" i="62917"/>
  <c r="G1856" i="62917" s="1"/>
  <c r="F1857" i="62917"/>
  <c r="F1858" i="62917"/>
  <c r="G1858" i="62917" s="1"/>
  <c r="F1859" i="62917"/>
  <c r="G1859" i="62917" s="1"/>
  <c r="F1860" i="62917"/>
  <c r="F1861" i="62917"/>
  <c r="F1862" i="62917"/>
  <c r="G1862" i="62917" s="1"/>
  <c r="F1863" i="62917"/>
  <c r="G1863" i="62917" s="1"/>
  <c r="F1864" i="62917"/>
  <c r="F1865" i="62917"/>
  <c r="G1865" i="62917" s="1"/>
  <c r="F1866" i="62917"/>
  <c r="G1866" i="62917" s="1"/>
  <c r="F1867" i="62917"/>
  <c r="G1867" i="62917" s="1"/>
  <c r="F1868" i="62917"/>
  <c r="G1868" i="62917" s="1"/>
  <c r="F1869" i="62917"/>
  <c r="G1869" i="62917" s="1"/>
  <c r="F1870" i="62917"/>
  <c r="F1871" i="62917"/>
  <c r="G1871" i="62917" s="1"/>
  <c r="F1872" i="62917"/>
  <c r="G1872" i="62917" s="1"/>
  <c r="F1873" i="62917"/>
  <c r="F1874" i="62917"/>
  <c r="G1874" i="62917" s="1"/>
  <c r="F1875" i="62917"/>
  <c r="G1875" i="62917" s="1"/>
  <c r="F1876" i="62917"/>
  <c r="F1877" i="62917"/>
  <c r="F1878" i="62917"/>
  <c r="G1878" i="62917" s="1"/>
  <c r="F1879" i="62917"/>
  <c r="G1879" i="62917" s="1"/>
  <c r="F1880" i="62917"/>
  <c r="F1881" i="62917"/>
  <c r="G1881" i="62917" s="1"/>
  <c r="F1882" i="62917"/>
  <c r="G1882" i="62917" s="1"/>
  <c r="F1883" i="62917"/>
  <c r="G1883" i="62917" s="1"/>
  <c r="F1884" i="62917"/>
  <c r="F1885" i="62917"/>
  <c r="G1885" i="62917" s="1"/>
  <c r="F1886" i="62917"/>
  <c r="G1886" i="62917" s="1"/>
  <c r="F1887" i="62917"/>
  <c r="G1887" i="62917" s="1"/>
  <c r="F1888" i="62917"/>
  <c r="G1888" i="62917" s="1"/>
  <c r="F1889" i="62917"/>
  <c r="G1889" i="62917" s="1"/>
  <c r="F1890" i="62917"/>
  <c r="F1891" i="62917"/>
  <c r="F1892" i="62917"/>
  <c r="F1893" i="62917"/>
  <c r="G1893" i="62917" s="1"/>
  <c r="F1894" i="62917"/>
  <c r="G1894" i="62917" s="1"/>
  <c r="F1895" i="62917"/>
  <c r="G1895" i="62917" s="1"/>
  <c r="F1896" i="62917"/>
  <c r="G1896" i="62917" s="1"/>
  <c r="F1897" i="62917"/>
  <c r="G1897" i="62917" s="1"/>
  <c r="F1898" i="62917"/>
  <c r="F1899" i="62917"/>
  <c r="G1899" i="62917" s="1"/>
  <c r="F1900" i="62917"/>
  <c r="F1901" i="62917"/>
  <c r="G1901" i="62917" s="1"/>
  <c r="F1902" i="62917"/>
  <c r="G1902" i="62917" s="1"/>
  <c r="F1903" i="62917"/>
  <c r="G1903" i="62917" s="1"/>
  <c r="F1904" i="62917"/>
  <c r="G1904" i="62917" s="1"/>
  <c r="F1905" i="62917"/>
  <c r="G1905" i="62917" s="1"/>
  <c r="F1906" i="62917"/>
  <c r="F1907" i="62917"/>
  <c r="F1908" i="62917"/>
  <c r="F1909" i="62917"/>
  <c r="G1909" i="62917" s="1"/>
  <c r="F1910" i="62917"/>
  <c r="G1910" i="62917" s="1"/>
  <c r="F1911" i="62917"/>
  <c r="G1911" i="62917" s="1"/>
  <c r="F1912" i="62917"/>
  <c r="G1912" i="62917" s="1"/>
  <c r="F1913" i="62917"/>
  <c r="G1913" i="62917" s="1"/>
  <c r="F1914" i="62917"/>
  <c r="F1915" i="62917"/>
  <c r="G1915" i="62917" s="1"/>
  <c r="F1916" i="62917"/>
  <c r="F1917" i="62917"/>
  <c r="G1917" i="62917" s="1"/>
  <c r="F1918" i="62917"/>
  <c r="G1918" i="62917" s="1"/>
  <c r="F1919" i="62917"/>
  <c r="F1920" i="62917"/>
  <c r="G1920" i="62917" s="1"/>
  <c r="F1921" i="62917"/>
  <c r="G1921" i="62917" s="1"/>
  <c r="F1922" i="62917"/>
  <c r="G1922" i="62917" s="1"/>
  <c r="F1923" i="62917"/>
  <c r="F1924" i="62917"/>
  <c r="G1924" i="62917" s="1"/>
  <c r="F1925" i="62917"/>
  <c r="F1926" i="62917"/>
  <c r="G1926" i="62917" s="1"/>
  <c r="F1927" i="62917"/>
  <c r="G1927" i="62917" s="1"/>
  <c r="F1928" i="62917"/>
  <c r="G1928" i="62917" s="1"/>
  <c r="F1929" i="62917"/>
  <c r="G1929" i="62917" s="1"/>
  <c r="F1930" i="62917"/>
  <c r="G1930" i="62917" s="1"/>
  <c r="F1931" i="62917"/>
  <c r="G1931" i="62917" s="1"/>
  <c r="F1932" i="62917"/>
  <c r="G1932" i="62917" s="1"/>
  <c r="F1933" i="62917"/>
  <c r="F1934" i="62917"/>
  <c r="G1934" i="62917" s="1"/>
  <c r="F1935" i="62917"/>
  <c r="G1935" i="62917" s="1"/>
  <c r="F1936" i="62917"/>
  <c r="G1936" i="62917" s="1"/>
  <c r="F1937" i="62917"/>
  <c r="G1937" i="62917" s="1"/>
  <c r="F1938" i="62917"/>
  <c r="G1938" i="62917" s="1"/>
  <c r="F1939" i="62917"/>
  <c r="G1939" i="62917" s="1"/>
  <c r="F1940" i="62917"/>
  <c r="G1940" i="62917" s="1"/>
  <c r="F1941" i="62917"/>
  <c r="F1942" i="62917"/>
  <c r="G1942" i="62917" s="1"/>
  <c r="F1943" i="62917"/>
  <c r="G1943" i="62917" s="1"/>
  <c r="F1944" i="62917"/>
  <c r="G1944" i="62917" s="1"/>
  <c r="F1945" i="62917"/>
  <c r="G1945" i="62917" s="1"/>
  <c r="F1946" i="62917"/>
  <c r="G1946" i="62917" s="1"/>
  <c r="F1947" i="62917"/>
  <c r="G1947" i="62917" s="1"/>
  <c r="F1948" i="62917"/>
  <c r="G1948" i="62917" s="1"/>
  <c r="F1949" i="62917"/>
  <c r="F1950" i="62917"/>
  <c r="G1950" i="62917" s="1"/>
  <c r="F1951" i="62917"/>
  <c r="G1951" i="62917" s="1"/>
  <c r="F2155" i="62917"/>
  <c r="G2155" i="62917" s="1"/>
  <c r="F2156" i="62917"/>
  <c r="G2156" i="62917" s="1"/>
  <c r="F2157" i="62917"/>
  <c r="G2157" i="62917" s="1"/>
  <c r="F2158" i="62917"/>
  <c r="G2158" i="62917" s="1"/>
  <c r="F2159" i="62917"/>
  <c r="G2159" i="62917" s="1"/>
  <c r="F2160" i="62917"/>
  <c r="G2160" i="62917" s="1"/>
  <c r="F2161" i="62917"/>
  <c r="G2161" i="62917" s="1"/>
  <c r="F2162" i="62917"/>
  <c r="G2162" i="62917" s="1"/>
  <c r="F2163" i="62917"/>
  <c r="G2163" i="62917" s="1"/>
  <c r="F2164" i="62917"/>
  <c r="G2164" i="62917" s="1"/>
  <c r="F2165" i="62917"/>
  <c r="G2165" i="62917" s="1"/>
  <c r="F2166" i="62917"/>
  <c r="G2166" i="62917" s="1"/>
  <c r="F2167" i="62917"/>
  <c r="G2167" i="62917" s="1"/>
  <c r="F2168" i="62917"/>
  <c r="G2168" i="62917" s="1"/>
  <c r="F2169" i="62917"/>
  <c r="G2169" i="62917" s="1"/>
  <c r="F2170" i="62917"/>
  <c r="G2170" i="62917" s="1"/>
  <c r="F2171" i="62917"/>
  <c r="G2171" i="62917" s="1"/>
  <c r="F2172" i="62917"/>
  <c r="G2172" i="62917" s="1"/>
  <c r="F2173" i="62917"/>
  <c r="G2173" i="62917" s="1"/>
  <c r="F2174" i="62917"/>
  <c r="G2174" i="62917" s="1"/>
  <c r="F2175" i="62917"/>
  <c r="G2175" i="62917" s="1"/>
  <c r="F2176" i="62917"/>
  <c r="G2176" i="62917" s="1"/>
  <c r="F2177" i="62917"/>
  <c r="G2177" i="62917" s="1"/>
  <c r="F2178" i="62917"/>
  <c r="G2178" i="62917" s="1"/>
  <c r="F2179" i="62917"/>
  <c r="G2179" i="62917" s="1"/>
  <c r="AZ62" i="2"/>
  <c r="AZ61" i="2"/>
  <c r="AZ60" i="2"/>
  <c r="E1880" i="62919" l="1"/>
  <c r="G1984" i="62917"/>
  <c r="G1982" i="62917"/>
  <c r="G1980" i="62917"/>
  <c r="G1978" i="62917"/>
  <c r="G1976" i="62917"/>
  <c r="G1974" i="62917"/>
  <c r="G1972" i="62917"/>
  <c r="G1970" i="62917"/>
  <c r="G1968" i="62917"/>
  <c r="G1966" i="62917"/>
  <c r="G1964" i="62917"/>
  <c r="G1962" i="62917"/>
  <c r="G1960" i="62917"/>
  <c r="G1958" i="62917"/>
  <c r="G1956" i="62917"/>
  <c r="G1954" i="62917"/>
  <c r="G1952" i="62917"/>
  <c r="G1941" i="62917"/>
  <c r="G1925" i="62917"/>
  <c r="G1923" i="62917"/>
  <c r="G1919" i="62917"/>
  <c r="G1908" i="62917"/>
  <c r="G1892" i="62917"/>
  <c r="G1790" i="62917"/>
  <c r="G1914" i="62917"/>
  <c r="G1907" i="62917"/>
  <c r="G1898" i="62917"/>
  <c r="G1891" i="62917"/>
  <c r="G1844" i="62917"/>
  <c r="G1876" i="62917"/>
  <c r="G1846" i="62917"/>
  <c r="G1884" i="62917"/>
  <c r="G1864" i="62917"/>
  <c r="G1949" i="62917"/>
  <c r="G1933" i="62917"/>
  <c r="G1916" i="62917"/>
  <c r="G1900" i="62917"/>
  <c r="G1857" i="62917"/>
  <c r="G1880" i="62917"/>
  <c r="G1860" i="62917"/>
  <c r="G1906" i="62917"/>
  <c r="G1890" i="62917"/>
  <c r="G1873" i="62917"/>
  <c r="G1801" i="62917"/>
  <c r="G1877" i="62917"/>
  <c r="G1870" i="62917"/>
  <c r="G1861" i="62917"/>
  <c r="G1854" i="62917"/>
  <c r="G1822" i="62917"/>
  <c r="G1813" i="62917"/>
  <c r="G1783" i="62917"/>
  <c r="G1789" i="62917"/>
  <c r="G1838" i="62917"/>
  <c r="G1830" i="62917"/>
  <c r="G1779" i="62917"/>
  <c r="G1775" i="62917"/>
  <c r="G1771" i="62917"/>
  <c r="G1767" i="62917"/>
  <c r="G1763" i="62917"/>
  <c r="G1759" i="62917"/>
  <c r="G1755" i="62917"/>
  <c r="G1751" i="62917"/>
  <c r="G1747" i="62917"/>
  <c r="G1708" i="62917"/>
  <c r="G1675" i="62917"/>
  <c r="G1805" i="62917"/>
  <c r="G1797" i="62917"/>
  <c r="G1788" i="62917"/>
  <c r="G1821" i="62917"/>
  <c r="G1692" i="62917"/>
  <c r="G1634" i="62917"/>
  <c r="G1756" i="62917"/>
  <c r="G1754" i="62917"/>
  <c r="G1748" i="62917"/>
  <c r="G1746" i="62917"/>
  <c r="G1740" i="62917"/>
  <c r="G1738" i="62917"/>
  <c r="G1732" i="62917"/>
  <c r="G1730" i="62917"/>
  <c r="G1724" i="62917"/>
  <c r="G1722" i="62917"/>
  <c r="G1716" i="62917"/>
  <c r="G1714" i="62917"/>
  <c r="G1667" i="62917"/>
  <c r="G1621" i="62917"/>
  <c r="G1707" i="62917"/>
  <c r="G1691" i="62917"/>
  <c r="G1629" i="62917"/>
  <c r="G1681" i="62917"/>
  <c r="G1743" i="62917"/>
  <c r="G1735" i="62917"/>
  <c r="G1727" i="62917"/>
  <c r="G1719" i="62917"/>
  <c r="G1673" i="62917"/>
  <c r="G1665" i="62917"/>
  <c r="G1739" i="62917"/>
  <c r="G1731" i="62917"/>
  <c r="G1723" i="62917"/>
  <c r="G1715" i="62917"/>
  <c r="G1699" i="62917"/>
  <c r="G1683" i="62917"/>
  <c r="G1659" i="62917"/>
  <c r="G1651" i="62917"/>
  <c r="G1643" i="62917"/>
  <c r="G1635" i="62917"/>
  <c r="G1627" i="62917"/>
  <c r="G1619" i="62917"/>
  <c r="G1657" i="62917"/>
  <c r="G1649" i="62917"/>
  <c r="G1641" i="62917"/>
  <c r="G1633" i="62917"/>
  <c r="G1625" i="62917"/>
  <c r="G1617" i="62917"/>
  <c r="G1620" i="62917"/>
  <c r="E1881" i="62919" l="1"/>
  <c r="AZ162" i="2"/>
  <c r="AZ157" i="2"/>
  <c r="F320" i="62923"/>
  <c r="G320" i="62923" s="1"/>
  <c r="F321" i="62923"/>
  <c r="G321" i="62923" s="1"/>
  <c r="F322" i="62923"/>
  <c r="F323" i="62923"/>
  <c r="F324" i="62923"/>
  <c r="G324" i="62923" s="1"/>
  <c r="F325" i="62923"/>
  <c r="G325" i="62923" s="1"/>
  <c r="F326" i="62923"/>
  <c r="G326" i="62923" s="1"/>
  <c r="F327" i="62923"/>
  <c r="G327" i="62923" s="1"/>
  <c r="F328" i="62923"/>
  <c r="G328" i="62923" s="1"/>
  <c r="F329" i="62923"/>
  <c r="G329" i="62923" s="1"/>
  <c r="F330" i="62923"/>
  <c r="AZ148" i="2"/>
  <c r="AZ139" i="2"/>
  <c r="AZ128" i="2"/>
  <c r="AZ117" i="2"/>
  <c r="E1882" i="62919" l="1"/>
  <c r="G330" i="62923"/>
  <c r="G322" i="62923"/>
  <c r="G323" i="62923"/>
  <c r="E1883" i="62919" l="1"/>
  <c r="E1884" i="62919" s="1"/>
  <c r="E1885" i="62919" s="1"/>
  <c r="E1886" i="62919" s="1"/>
  <c r="E1887" i="62919" s="1"/>
  <c r="E1888" i="62919" s="1"/>
  <c r="E1889" i="62919" s="1"/>
  <c r="E1890" i="62919" s="1"/>
  <c r="E1891" i="62919" s="1"/>
  <c r="E1892" i="62919" s="1"/>
  <c r="E1893" i="62919" s="1"/>
  <c r="E1894" i="62919" s="1"/>
  <c r="E1895" i="62919" s="1"/>
  <c r="E1896" i="62919" s="1"/>
  <c r="E1897" i="62919" s="1"/>
  <c r="E1898" i="62919" s="1"/>
  <c r="E1899" i="62919" s="1"/>
  <c r="D1901" i="62919" s="1"/>
  <c r="AZ88" i="2"/>
  <c r="AZ87" i="2"/>
  <c r="AZ91" i="2"/>
  <c r="AZ75" i="2"/>
  <c r="AZ74" i="2"/>
  <c r="AZ70" i="2"/>
  <c r="AZ55" i="2"/>
  <c r="AZ54" i="2"/>
  <c r="AZ56" i="2"/>
  <c r="AZ38" i="2"/>
  <c r="AZ37" i="2"/>
  <c r="AZ36" i="2"/>
  <c r="AZ35" i="2"/>
  <c r="AZ32" i="2"/>
  <c r="AZ31" i="2"/>
  <c r="AZ30" i="2"/>
  <c r="AZ29" i="2"/>
  <c r="AZ28" i="2"/>
  <c r="AZ25" i="2"/>
  <c r="AZ24" i="2"/>
  <c r="AZ23" i="2"/>
  <c r="AZ22" i="2"/>
  <c r="AZ21" i="2"/>
  <c r="AZ41" i="2"/>
  <c r="AZ18" i="2"/>
  <c r="AZ17" i="2"/>
  <c r="AZ16" i="2"/>
  <c r="AZ45" i="2"/>
  <c r="F419" i="62923"/>
  <c r="F420" i="62923"/>
  <c r="G420" i="62923" s="1"/>
  <c r="F421" i="62923"/>
  <c r="G421" i="62923" s="1"/>
  <c r="F422" i="62923"/>
  <c r="F423" i="62923"/>
  <c r="G423" i="62923" s="1"/>
  <c r="F424" i="62923"/>
  <c r="G424" i="62923" s="1"/>
  <c r="F425" i="62923"/>
  <c r="G425" i="62923" s="1"/>
  <c r="F426" i="62923"/>
  <c r="G426" i="62923" s="1"/>
  <c r="F427" i="62923"/>
  <c r="F428" i="62923"/>
  <c r="G428" i="62923" s="1"/>
  <c r="G427" i="62923" l="1"/>
  <c r="G419" i="62923"/>
  <c r="G422" i="62923"/>
  <c r="F233" i="62923" l="1"/>
  <c r="F234" i="62923"/>
  <c r="G234" i="62923" s="1"/>
  <c r="F235" i="62923"/>
  <c r="F236" i="62923"/>
  <c r="F237" i="62923"/>
  <c r="G237" i="62923" s="1"/>
  <c r="F238" i="62923"/>
  <c r="G238" i="62923" s="1"/>
  <c r="F239" i="62923"/>
  <c r="G239" i="62923" s="1"/>
  <c r="F240" i="62923"/>
  <c r="G240" i="62923" s="1"/>
  <c r="F241" i="62923"/>
  <c r="G241" i="62923" s="1"/>
  <c r="F242" i="62923"/>
  <c r="G242" i="62923" s="1"/>
  <c r="F243" i="62923"/>
  <c r="F244" i="62923"/>
  <c r="F245" i="62923"/>
  <c r="G245" i="62923" s="1"/>
  <c r="F246" i="62923"/>
  <c r="G246" i="62923" s="1"/>
  <c r="F232" i="62923"/>
  <c r="E232" i="62923" s="1"/>
  <c r="D232" i="62923" s="1"/>
  <c r="C232" i="62923" s="1"/>
  <c r="F403" i="62923"/>
  <c r="F404" i="62923"/>
  <c r="G404" i="62923" s="1"/>
  <c r="F405" i="62923"/>
  <c r="G405" i="62923" s="1"/>
  <c r="F406" i="62923"/>
  <c r="G406" i="62923" s="1"/>
  <c r="F407" i="62923"/>
  <c r="G407" i="62923" s="1"/>
  <c r="F408" i="62923"/>
  <c r="G408" i="62923" s="1"/>
  <c r="F409" i="62923"/>
  <c r="G409" i="62923" s="1"/>
  <c r="F410" i="62923"/>
  <c r="F411" i="62923"/>
  <c r="F402" i="62923"/>
  <c r="E402" i="62923" s="1"/>
  <c r="F393" i="62923"/>
  <c r="F394" i="62923"/>
  <c r="G394" i="62923" s="1"/>
  <c r="F395" i="62923"/>
  <c r="G395" i="62923" s="1"/>
  <c r="F396" i="62923"/>
  <c r="G396" i="62923" s="1"/>
  <c r="F397" i="62923"/>
  <c r="G397" i="62923" s="1"/>
  <c r="F398" i="62923"/>
  <c r="G398" i="62923" s="1"/>
  <c r="F399" i="62923"/>
  <c r="F389" i="62923"/>
  <c r="E233" i="62923" l="1"/>
  <c r="D233" i="62923" s="1"/>
  <c r="G243" i="62923"/>
  <c r="G235" i="62923"/>
  <c r="G233" i="62923"/>
  <c r="G244" i="62923"/>
  <c r="G236" i="62923"/>
  <c r="G232" i="62923"/>
  <c r="E403" i="62923"/>
  <c r="E404" i="62923" s="1"/>
  <c r="G410" i="62923"/>
  <c r="G411" i="62923"/>
  <c r="G403" i="62923"/>
  <c r="G402" i="62923"/>
  <c r="D402" i="62923"/>
  <c r="G393" i="62923"/>
  <c r="G399" i="62923"/>
  <c r="G389" i="62923"/>
  <c r="E234" i="62923" l="1"/>
  <c r="D234" i="62923" s="1"/>
  <c r="C233" i="62923"/>
  <c r="D403" i="62923"/>
  <c r="D404" i="62923" s="1"/>
  <c r="C404" i="62923" s="1"/>
  <c r="E405" i="62923"/>
  <c r="C402" i="62923"/>
  <c r="E235" i="62923" l="1"/>
  <c r="E236" i="62923" s="1"/>
  <c r="E237" i="62923" s="1"/>
  <c r="C234" i="62923"/>
  <c r="C403" i="62923"/>
  <c r="E406" i="62923"/>
  <c r="E407" i="62923" s="1"/>
  <c r="D405" i="62923"/>
  <c r="D235" i="62923" l="1"/>
  <c r="D236" i="62923" s="1"/>
  <c r="C236" i="62923" s="1"/>
  <c r="E238" i="62923"/>
  <c r="E239" i="62923" s="1"/>
  <c r="E240" i="62923" s="1"/>
  <c r="E408" i="62923"/>
  <c r="E409" i="62923" s="1"/>
  <c r="E410" i="62923" s="1"/>
  <c r="E411" i="62923" s="1"/>
  <c r="D406" i="62923"/>
  <c r="D407" i="62923" s="1"/>
  <c r="C235" i="62923" l="1"/>
  <c r="D237" i="62923"/>
  <c r="C237" i="62923" s="1"/>
  <c r="E241" i="62923"/>
  <c r="E242" i="62923" s="1"/>
  <c r="E243" i="62923" s="1"/>
  <c r="E244" i="62923" s="1"/>
  <c r="E245" i="62923" s="1"/>
  <c r="E246" i="62923" s="1"/>
  <c r="D408" i="62923"/>
  <c r="D238" i="62923" l="1"/>
  <c r="D409" i="62923"/>
  <c r="D239" i="62923" l="1"/>
  <c r="C238" i="62923"/>
  <c r="D410" i="62923"/>
  <c r="D240" i="62923" l="1"/>
  <c r="C240" i="62923" s="1"/>
  <c r="C239" i="62923"/>
  <c r="D411" i="62923"/>
  <c r="C407" i="62923" s="1"/>
  <c r="D241" i="62923" l="1"/>
  <c r="C406" i="62923"/>
  <c r="C410" i="62923"/>
  <c r="C409" i="62923"/>
  <c r="C411" i="62923"/>
  <c r="C408" i="62923"/>
  <c r="C405" i="62923"/>
  <c r="D242" i="62923" l="1"/>
  <c r="D243" i="62923" s="1"/>
  <c r="D244" i="62923" s="1"/>
  <c r="D245" i="62923" s="1"/>
  <c r="D246" i="62923" s="1"/>
  <c r="C241" i="62923" s="1"/>
  <c r="C244" i="62923" l="1"/>
  <c r="C242" i="62923"/>
  <c r="C245" i="62923"/>
  <c r="C243" i="62923"/>
  <c r="C246" i="62923"/>
  <c r="F354" i="62923" l="1"/>
  <c r="G354" i="62923" s="1"/>
  <c r="F355" i="62923"/>
  <c r="G355" i="62923" s="1"/>
  <c r="F356" i="62923"/>
  <c r="F357" i="62923"/>
  <c r="F358" i="62923"/>
  <c r="G358" i="62923" s="1"/>
  <c r="F359" i="62923"/>
  <c r="G359" i="62923" s="1"/>
  <c r="F360" i="62923"/>
  <c r="G360" i="62923" s="1"/>
  <c r="F361" i="62923"/>
  <c r="G361" i="62923" s="1"/>
  <c r="F362" i="62923"/>
  <c r="G362" i="62923" s="1"/>
  <c r="F363" i="62923"/>
  <c r="G363" i="62923" s="1"/>
  <c r="F364" i="62923"/>
  <c r="F365" i="62923"/>
  <c r="F366" i="62923"/>
  <c r="G366" i="62923" s="1"/>
  <c r="F367" i="62923"/>
  <c r="G367" i="62923" s="1"/>
  <c r="F368" i="62923"/>
  <c r="G368" i="62923" s="1"/>
  <c r="F369" i="62923"/>
  <c r="G369" i="62923" s="1"/>
  <c r="F370" i="62923"/>
  <c r="G370" i="62923" s="1"/>
  <c r="F371" i="62923"/>
  <c r="G371" i="62923" s="1"/>
  <c r="F372" i="62923"/>
  <c r="F373" i="62923"/>
  <c r="F374" i="62923"/>
  <c r="G374" i="62923" s="1"/>
  <c r="F375" i="62923"/>
  <c r="G375" i="62923" s="1"/>
  <c r="F353" i="62923"/>
  <c r="F334" i="62923"/>
  <c r="G334" i="62923" s="1"/>
  <c r="F335" i="62923"/>
  <c r="G335" i="62923" s="1"/>
  <c r="F336" i="62923"/>
  <c r="G336" i="62923" s="1"/>
  <c r="F337" i="62923"/>
  <c r="G337" i="62923" s="1"/>
  <c r="F338" i="62923"/>
  <c r="G338" i="62923" s="1"/>
  <c r="F339" i="62923"/>
  <c r="G339" i="62923" s="1"/>
  <c r="F340" i="62923"/>
  <c r="G340" i="62923" s="1"/>
  <c r="F341" i="62923"/>
  <c r="G341" i="62923" s="1"/>
  <c r="F342" i="62923"/>
  <c r="G342" i="62923" s="1"/>
  <c r="F350" i="62923"/>
  <c r="G350" i="62923" s="1"/>
  <c r="F290" i="62923"/>
  <c r="F291" i="62923"/>
  <c r="G291" i="62923" s="1"/>
  <c r="F292" i="62923"/>
  <c r="F293" i="62923"/>
  <c r="F294" i="62923"/>
  <c r="G294" i="62923" s="1"/>
  <c r="F295" i="62923"/>
  <c r="F296" i="62923"/>
  <c r="G296" i="62923" s="1"/>
  <c r="F297" i="62923"/>
  <c r="G297" i="62923" s="1"/>
  <c r="F298" i="62923"/>
  <c r="G298" i="62923" s="1"/>
  <c r="F299" i="62923"/>
  <c r="G299" i="62923" s="1"/>
  <c r="F300" i="62923"/>
  <c r="G300" i="62923" s="1"/>
  <c r="F301" i="62923"/>
  <c r="F302" i="62923"/>
  <c r="G302" i="62923" s="1"/>
  <c r="F303" i="62923"/>
  <c r="G303" i="62923" s="1"/>
  <c r="F304" i="62923"/>
  <c r="G304" i="62923" s="1"/>
  <c r="F305" i="62923"/>
  <c r="G305" i="62923" s="1"/>
  <c r="F306" i="62923"/>
  <c r="G306" i="62923" s="1"/>
  <c r="F307" i="62923"/>
  <c r="G307" i="62923" s="1"/>
  <c r="F308" i="62923"/>
  <c r="G308" i="62923" s="1"/>
  <c r="F309" i="62923"/>
  <c r="F310" i="62923"/>
  <c r="G310" i="62923" s="1"/>
  <c r="F311" i="62923"/>
  <c r="F312" i="62923"/>
  <c r="G312" i="62923" s="1"/>
  <c r="F313" i="62923"/>
  <c r="G313" i="62923" s="1"/>
  <c r="F277" i="62923"/>
  <c r="F278" i="62923"/>
  <c r="G278" i="62923" s="1"/>
  <c r="F279" i="62923"/>
  <c r="F280" i="62923"/>
  <c r="F281" i="62923"/>
  <c r="G281" i="62923" s="1"/>
  <c r="F282" i="62923"/>
  <c r="G282" i="62923" s="1"/>
  <c r="F283" i="62923"/>
  <c r="G283" i="62923" s="1"/>
  <c r="F284" i="62923"/>
  <c r="G284" i="62923" s="1"/>
  <c r="F285" i="62923"/>
  <c r="G285" i="62923" s="1"/>
  <c r="F286" i="62923"/>
  <c r="G286" i="62923" s="1"/>
  <c r="F289" i="62923"/>
  <c r="E289" i="62923" s="1"/>
  <c r="D289" i="62923" s="1"/>
  <c r="F217" i="62923"/>
  <c r="G217" i="62923" s="1"/>
  <c r="F218" i="62923"/>
  <c r="G218" i="62923" s="1"/>
  <c r="F219" i="62923"/>
  <c r="G219" i="62923" s="1"/>
  <c r="F220" i="62923"/>
  <c r="G220" i="62923" s="1"/>
  <c r="F221" i="62923"/>
  <c r="G221" i="62923" s="1"/>
  <c r="F222" i="62923"/>
  <c r="G222" i="62923" s="1"/>
  <c r="F223" i="62923"/>
  <c r="G223" i="62923" s="1"/>
  <c r="F224" i="62923"/>
  <c r="G224" i="62923" s="1"/>
  <c r="F225" i="62923"/>
  <c r="G225" i="62923" s="1"/>
  <c r="F226" i="62923"/>
  <c r="G226" i="62923" s="1"/>
  <c r="F227" i="62923"/>
  <c r="G227" i="62923" s="1"/>
  <c r="F228" i="62923"/>
  <c r="G228" i="62923" s="1"/>
  <c r="F216" i="62923"/>
  <c r="G216" i="62923" s="1"/>
  <c r="F114" i="62923"/>
  <c r="G114" i="62923" s="1"/>
  <c r="F115" i="62923"/>
  <c r="G115" i="62923" s="1"/>
  <c r="F116" i="62923"/>
  <c r="G116" i="62923" s="1"/>
  <c r="F117" i="62923"/>
  <c r="G117" i="62923" s="1"/>
  <c r="F118" i="62923"/>
  <c r="G118" i="62923" s="1"/>
  <c r="F119" i="62923"/>
  <c r="F120" i="62923"/>
  <c r="F121" i="62923"/>
  <c r="G121" i="62923" s="1"/>
  <c r="F122" i="62923"/>
  <c r="G122" i="62923" s="1"/>
  <c r="F123" i="62923"/>
  <c r="G123" i="62923" s="1"/>
  <c r="F124" i="62923"/>
  <c r="G124" i="62923" s="1"/>
  <c r="F125" i="62923"/>
  <c r="G125" i="62923" s="1"/>
  <c r="F126" i="62923"/>
  <c r="G126" i="62923" s="1"/>
  <c r="F127" i="62923"/>
  <c r="F128" i="62923"/>
  <c r="F129" i="62923"/>
  <c r="G129" i="62923" s="1"/>
  <c r="F130" i="62923"/>
  <c r="G130" i="62923" s="1"/>
  <c r="F131" i="62923"/>
  <c r="G131" i="62923" s="1"/>
  <c r="F132" i="62923"/>
  <c r="G132" i="62923" s="1"/>
  <c r="F133" i="62923"/>
  <c r="G133" i="62923" s="1"/>
  <c r="F134" i="62923"/>
  <c r="G134" i="62923" s="1"/>
  <c r="F135" i="62923"/>
  <c r="F136" i="62923"/>
  <c r="F137" i="62923"/>
  <c r="G137" i="62923" s="1"/>
  <c r="F138" i="62923"/>
  <c r="G138" i="62923" s="1"/>
  <c r="F139" i="62923"/>
  <c r="G139" i="62923" s="1"/>
  <c r="F140" i="62923"/>
  <c r="F141" i="62923"/>
  <c r="G141" i="62923" s="1"/>
  <c r="F142" i="62923"/>
  <c r="G142" i="62923" s="1"/>
  <c r="F143" i="62923"/>
  <c r="G143" i="62923" s="1"/>
  <c r="F144" i="62923"/>
  <c r="F145" i="62923"/>
  <c r="G145" i="62923" s="1"/>
  <c r="F146" i="62923"/>
  <c r="G146" i="62923" s="1"/>
  <c r="F147" i="62923"/>
  <c r="G147" i="62923" s="1"/>
  <c r="F148" i="62923"/>
  <c r="F149" i="62923"/>
  <c r="G149" i="62923" s="1"/>
  <c r="F150" i="62923"/>
  <c r="G150" i="62923" s="1"/>
  <c r="F151" i="62923"/>
  <c r="G151" i="62923" s="1"/>
  <c r="F152" i="62923"/>
  <c r="F153" i="62923"/>
  <c r="G153" i="62923" s="1"/>
  <c r="F154" i="62923"/>
  <c r="G154" i="62923" s="1"/>
  <c r="F155" i="62923"/>
  <c r="G155" i="62923" s="1"/>
  <c r="F156" i="62923"/>
  <c r="F157" i="62923"/>
  <c r="G157" i="62923" s="1"/>
  <c r="F158" i="62923"/>
  <c r="G158" i="62923" s="1"/>
  <c r="F159" i="62923"/>
  <c r="G159" i="62923" s="1"/>
  <c r="F160" i="62923"/>
  <c r="F161" i="62923"/>
  <c r="G161" i="62923" s="1"/>
  <c r="F162" i="62923"/>
  <c r="G162" i="62923" s="1"/>
  <c r="F163" i="62923"/>
  <c r="G163" i="62923" s="1"/>
  <c r="F164" i="62923"/>
  <c r="F165" i="62923"/>
  <c r="G165" i="62923" s="1"/>
  <c r="F166" i="62923"/>
  <c r="G166" i="62923" s="1"/>
  <c r="F167" i="62923"/>
  <c r="G167" i="62923" s="1"/>
  <c r="F168" i="62923"/>
  <c r="F169" i="62923"/>
  <c r="G169" i="62923" s="1"/>
  <c r="F213" i="62923"/>
  <c r="G213" i="62923" s="1"/>
  <c r="F113" i="62923"/>
  <c r="E113" i="62923" s="1"/>
  <c r="D113" i="62923" s="1"/>
  <c r="F93" i="62923"/>
  <c r="F94" i="62923"/>
  <c r="G94" i="62923" s="1"/>
  <c r="F95" i="62923"/>
  <c r="F96" i="62923"/>
  <c r="G96" i="62923" s="1"/>
  <c r="F97" i="62923"/>
  <c r="G97" i="62923" s="1"/>
  <c r="F98" i="62923"/>
  <c r="G98" i="62923" s="1"/>
  <c r="F99" i="62923"/>
  <c r="G99" i="62923" s="1"/>
  <c r="F100" i="62923"/>
  <c r="G100" i="62923" s="1"/>
  <c r="F101" i="62923"/>
  <c r="F102" i="62923"/>
  <c r="G102" i="62923" s="1"/>
  <c r="F109" i="62923"/>
  <c r="F110" i="62923"/>
  <c r="G110" i="62923" s="1"/>
  <c r="F92" i="62923"/>
  <c r="E92" i="62923" s="1"/>
  <c r="D92" i="62923" s="1"/>
  <c r="F69" i="62923"/>
  <c r="F70" i="62923"/>
  <c r="G70" i="62923" s="1"/>
  <c r="F71" i="62923"/>
  <c r="G71" i="62923" s="1"/>
  <c r="F72" i="62923"/>
  <c r="F73" i="62923"/>
  <c r="G73" i="62923" s="1"/>
  <c r="F74" i="62923"/>
  <c r="G74" i="62923" s="1"/>
  <c r="F75" i="62923"/>
  <c r="G75" i="62923" s="1"/>
  <c r="F76" i="62923"/>
  <c r="G76" i="62923" s="1"/>
  <c r="F77" i="62923"/>
  <c r="F78" i="62923"/>
  <c r="G78" i="62923" s="1"/>
  <c r="F79" i="62923"/>
  <c r="G79" i="62923" s="1"/>
  <c r="F89" i="62923"/>
  <c r="G89" i="62923" s="1"/>
  <c r="F68" i="62923"/>
  <c r="E68" i="62923" s="1"/>
  <c r="D68" i="62923" s="1"/>
  <c r="C68" i="62923" l="1"/>
  <c r="C113" i="62923"/>
  <c r="C92" i="62923"/>
  <c r="G372" i="62923"/>
  <c r="G364" i="62923"/>
  <c r="G356" i="62923"/>
  <c r="G373" i="62923"/>
  <c r="G365" i="62923"/>
  <c r="G357" i="62923"/>
  <c r="G353" i="62923"/>
  <c r="G311" i="62923"/>
  <c r="G292" i="62923"/>
  <c r="G295" i="62923"/>
  <c r="G290" i="62923"/>
  <c r="G309" i="62923"/>
  <c r="G301" i="62923"/>
  <c r="G293" i="62923"/>
  <c r="G279" i="62923"/>
  <c r="G277" i="62923"/>
  <c r="G280" i="62923"/>
  <c r="G289" i="62923"/>
  <c r="E114" i="62923"/>
  <c r="D114" i="62923" s="1"/>
  <c r="E216" i="62923"/>
  <c r="D216" i="62923" s="1"/>
  <c r="G164" i="62923"/>
  <c r="G156" i="62923"/>
  <c r="G148" i="62923"/>
  <c r="G140" i="62923"/>
  <c r="G135" i="62923"/>
  <c r="G127" i="62923"/>
  <c r="G119" i="62923"/>
  <c r="G168" i="62923"/>
  <c r="G160" i="62923"/>
  <c r="G152" i="62923"/>
  <c r="G144" i="62923"/>
  <c r="G136" i="62923"/>
  <c r="G128" i="62923"/>
  <c r="G120" i="62923"/>
  <c r="G113" i="62923"/>
  <c r="E69" i="62923"/>
  <c r="D69" i="62923" s="1"/>
  <c r="C69" i="62923" s="1"/>
  <c r="E93" i="62923"/>
  <c r="E94" i="62923" s="1"/>
  <c r="G109" i="62923"/>
  <c r="G95" i="62923"/>
  <c r="G101" i="62923"/>
  <c r="G93" i="62923"/>
  <c r="G92" i="62923"/>
  <c r="G77" i="62923"/>
  <c r="G69" i="62923"/>
  <c r="G72" i="62923"/>
  <c r="G68" i="62923"/>
  <c r="C114" i="62923" l="1"/>
  <c r="C216" i="62923"/>
  <c r="E217" i="62923"/>
  <c r="D217" i="62923" s="1"/>
  <c r="E115" i="62923"/>
  <c r="E116" i="62923" s="1"/>
  <c r="E70" i="62923"/>
  <c r="D70" i="62923" s="1"/>
  <c r="D93" i="62923"/>
  <c r="E95" i="62923"/>
  <c r="C70" i="62923" l="1"/>
  <c r="C93" i="62923"/>
  <c r="E218" i="62923"/>
  <c r="E117" i="62923"/>
  <c r="D115" i="62923"/>
  <c r="E71" i="62923"/>
  <c r="D71" i="62923" s="1"/>
  <c r="D94" i="62923"/>
  <c r="E96" i="62923"/>
  <c r="C71" i="62923" l="1"/>
  <c r="D116" i="62923"/>
  <c r="D117" i="62923" s="1"/>
  <c r="C115" i="62923"/>
  <c r="C94" i="62923"/>
  <c r="E219" i="62923"/>
  <c r="D218" i="62923"/>
  <c r="E118" i="62923"/>
  <c r="E119" i="62923" s="1"/>
  <c r="E120" i="62923" s="1"/>
  <c r="E72" i="62923"/>
  <c r="D72" i="62923" s="1"/>
  <c r="D95" i="62923"/>
  <c r="E97" i="62923"/>
  <c r="C116" i="62923" l="1"/>
  <c r="C72" i="62923"/>
  <c r="C117" i="62923"/>
  <c r="C95" i="62923"/>
  <c r="D96" i="62923"/>
  <c r="D97" i="62923" s="1"/>
  <c r="D118" i="62923"/>
  <c r="D219" i="62923"/>
  <c r="E220" i="62923"/>
  <c r="E121" i="62923"/>
  <c r="E73" i="62923"/>
  <c r="E74" i="62923" s="1"/>
  <c r="E75" i="62923" s="1"/>
  <c r="E76" i="62923" s="1"/>
  <c r="E77" i="62923" s="1"/>
  <c r="E78" i="62923" s="1"/>
  <c r="E79" i="62923" s="1"/>
  <c r="E98" i="62923"/>
  <c r="E99" i="62923" s="1"/>
  <c r="E89" i="62923" l="1"/>
  <c r="C118" i="62923"/>
  <c r="D119" i="62923"/>
  <c r="E221" i="62923"/>
  <c r="E222" i="62923" s="1"/>
  <c r="D220" i="62923"/>
  <c r="E122" i="62923"/>
  <c r="D73" i="62923"/>
  <c r="D74" i="62923" s="1"/>
  <c r="D98" i="62923"/>
  <c r="E100" i="62923"/>
  <c r="E101" i="62923" s="1"/>
  <c r="E102" i="62923" s="1"/>
  <c r="C73" i="62923" l="1"/>
  <c r="C119" i="62923"/>
  <c r="E109" i="62923"/>
  <c r="E110" i="62923" s="1"/>
  <c r="D120" i="62923"/>
  <c r="C120" i="62923" s="1"/>
  <c r="D221" i="62923"/>
  <c r="D222" i="62923" s="1"/>
  <c r="E223" i="62923"/>
  <c r="E123" i="62923"/>
  <c r="D99" i="62923"/>
  <c r="D100" i="62923" s="1"/>
  <c r="D101" i="62923" s="1"/>
  <c r="D102" i="62923" s="1"/>
  <c r="C99" i="62923" s="1"/>
  <c r="D75" i="62923"/>
  <c r="C101" i="62923" l="1"/>
  <c r="C100" i="62923"/>
  <c r="C98" i="62923"/>
  <c r="C96" i="62923"/>
  <c r="D109" i="62923"/>
  <c r="D110" i="62923" s="1"/>
  <c r="C97" i="62923"/>
  <c r="D121" i="62923"/>
  <c r="D223" i="62923"/>
  <c r="E224" i="62923"/>
  <c r="E124" i="62923"/>
  <c r="E125" i="62923" s="1"/>
  <c r="E126" i="62923" s="1"/>
  <c r="E127" i="62923" s="1"/>
  <c r="E128" i="62923" s="1"/>
  <c r="E129" i="62923" s="1"/>
  <c r="E130" i="62923" s="1"/>
  <c r="E131" i="62923" s="1"/>
  <c r="E132" i="62923" s="1"/>
  <c r="E133" i="62923" s="1"/>
  <c r="E134" i="62923" s="1"/>
  <c r="E135" i="62923" s="1"/>
  <c r="E136" i="62923" s="1"/>
  <c r="E137" i="62923" s="1"/>
  <c r="E138" i="62923" s="1"/>
  <c r="E139" i="62923" s="1"/>
  <c r="E140" i="62923" s="1"/>
  <c r="E141" i="62923" s="1"/>
  <c r="E142" i="62923" s="1"/>
  <c r="E143" i="62923" s="1"/>
  <c r="E144" i="62923" s="1"/>
  <c r="E145" i="62923" s="1"/>
  <c r="E146" i="62923" s="1"/>
  <c r="E147" i="62923" s="1"/>
  <c r="E148" i="62923" s="1"/>
  <c r="E149" i="62923" s="1"/>
  <c r="E150" i="62923" s="1"/>
  <c r="E151" i="62923" s="1"/>
  <c r="E152" i="62923" s="1"/>
  <c r="E153" i="62923" s="1"/>
  <c r="E154" i="62923" s="1"/>
  <c r="E155" i="62923" s="1"/>
  <c r="E156" i="62923" s="1"/>
  <c r="E157" i="62923" s="1"/>
  <c r="E158" i="62923" s="1"/>
  <c r="E159" i="62923" s="1"/>
  <c r="E160" i="62923" s="1"/>
  <c r="E161" i="62923" s="1"/>
  <c r="E162" i="62923" s="1"/>
  <c r="E163" i="62923" s="1"/>
  <c r="E164" i="62923" s="1"/>
  <c r="E165" i="62923" s="1"/>
  <c r="E166" i="62923" s="1"/>
  <c r="E167" i="62923" s="1"/>
  <c r="E168" i="62923" s="1"/>
  <c r="E169" i="62923" s="1"/>
  <c r="D76" i="62923"/>
  <c r="E213" i="62923" l="1"/>
  <c r="C121" i="62923"/>
  <c r="D122" i="62923"/>
  <c r="E225" i="62923"/>
  <c r="E226" i="62923" s="1"/>
  <c r="E227" i="62923" s="1"/>
  <c r="E228" i="62923" s="1"/>
  <c r="D224" i="62923"/>
  <c r="D77" i="62923"/>
  <c r="D78" i="62923" l="1"/>
  <c r="D79" i="62923" s="1"/>
  <c r="C77" i="62923" s="1"/>
  <c r="C122" i="62923"/>
  <c r="D123" i="62923"/>
  <c r="D225" i="62923"/>
  <c r="C74" i="62923" l="1"/>
  <c r="D89" i="62923"/>
  <c r="C79" i="62923"/>
  <c r="C78" i="62923"/>
  <c r="C75" i="62923"/>
  <c r="C76" i="62923"/>
  <c r="C123" i="62923"/>
  <c r="D124" i="62923"/>
  <c r="D226" i="62923"/>
  <c r="C124" i="62923" l="1"/>
  <c r="D125" i="62923"/>
  <c r="D227" i="62923"/>
  <c r="C125" i="62923" l="1"/>
  <c r="D126" i="62923"/>
  <c r="D228" i="62923"/>
  <c r="C126" i="62923" l="1"/>
  <c r="C217" i="62923"/>
  <c r="C220" i="62923"/>
  <c r="C219" i="62923"/>
  <c r="C218" i="62923"/>
  <c r="D127" i="62923"/>
  <c r="D128" i="62923" l="1"/>
  <c r="D129" i="62923" l="1"/>
  <c r="D130" i="62923" l="1"/>
  <c r="D131" i="62923" l="1"/>
  <c r="D132" i="62923" s="1"/>
  <c r="D133" i="62923" s="1"/>
  <c r="D134" i="62923" s="1"/>
  <c r="D135" i="62923" s="1"/>
  <c r="D136" i="62923" s="1"/>
  <c r="D137" i="62923" s="1"/>
  <c r="D138" i="62923" s="1"/>
  <c r="D139" i="62923" s="1"/>
  <c r="D140" i="62923" s="1"/>
  <c r="D141" i="62923" s="1"/>
  <c r="D142" i="62923" s="1"/>
  <c r="D143" i="62923" s="1"/>
  <c r="D144" i="62923" s="1"/>
  <c r="D145" i="62923" s="1"/>
  <c r="D146" i="62923" s="1"/>
  <c r="D147" i="62923" s="1"/>
  <c r="D148" i="62923" s="1"/>
  <c r="D149" i="62923" s="1"/>
  <c r="D150" i="62923" s="1"/>
  <c r="D151" i="62923" s="1"/>
  <c r="D152" i="62923" s="1"/>
  <c r="D153" i="62923" s="1"/>
  <c r="D154" i="62923" s="1"/>
  <c r="D155" i="62923" s="1"/>
  <c r="D156" i="62923" s="1"/>
  <c r="D157" i="62923" s="1"/>
  <c r="D158" i="62923" s="1"/>
  <c r="D159" i="62923" s="1"/>
  <c r="D160" i="62923" s="1"/>
  <c r="D161" i="62923" s="1"/>
  <c r="D162" i="62923" s="1"/>
  <c r="D163" i="62923" s="1"/>
  <c r="D164" i="62923" s="1"/>
  <c r="D165" i="62923" s="1"/>
  <c r="D166" i="62923" s="1"/>
  <c r="D167" i="62923" s="1"/>
  <c r="D168" i="62923" s="1"/>
  <c r="D169" i="62923" s="1"/>
  <c r="D213" i="62923" l="1"/>
  <c r="C129" i="62923"/>
  <c r="C128" i="62923"/>
  <c r="C139" i="62923"/>
  <c r="C161" i="62923"/>
  <c r="C162" i="62923"/>
  <c r="C151" i="62923"/>
  <c r="C138" i="62923"/>
  <c r="C166" i="62923"/>
  <c r="C148" i="62923"/>
  <c r="C167" i="62923"/>
  <c r="C131" i="62923"/>
  <c r="C127" i="62923"/>
  <c r="C150" i="62923"/>
  <c r="C159" i="62923"/>
  <c r="C142" i="62923"/>
  <c r="C133" i="62923"/>
  <c r="C137" i="62923"/>
  <c r="C155" i="62923"/>
  <c r="C135" i="62923"/>
  <c r="C163" i="62923"/>
  <c r="C132" i="62923"/>
  <c r="C156" i="62923"/>
  <c r="C153" i="62923"/>
  <c r="C140" i="62923"/>
  <c r="C145" i="62923"/>
  <c r="C134" i="62923"/>
  <c r="C130" i="62923"/>
  <c r="C136" i="62923"/>
  <c r="C165" i="62923"/>
  <c r="C164" i="62923"/>
  <c r="C152" i="62923"/>
  <c r="C143" i="62923"/>
  <c r="C144" i="62923"/>
  <c r="C160" i="62923"/>
  <c r="C158" i="62923"/>
  <c r="C154" i="62923"/>
  <c r="C147" i="62923"/>
  <c r="C146" i="62923"/>
  <c r="C169" i="62923"/>
  <c r="C149" i="62923"/>
  <c r="C157" i="62923"/>
  <c r="C168" i="62923"/>
  <c r="C141" i="62923"/>
  <c r="F33" i="62923"/>
  <c r="F34" i="62923"/>
  <c r="G34" i="62923" s="1"/>
  <c r="F35" i="62923"/>
  <c r="F36" i="62923"/>
  <c r="F37" i="62923"/>
  <c r="G37" i="62923" s="1"/>
  <c r="F38" i="62923"/>
  <c r="G38" i="62923" s="1"/>
  <c r="F42" i="62923"/>
  <c r="G42" i="62923" s="1"/>
  <c r="F43" i="62923"/>
  <c r="G43" i="62923" s="1"/>
  <c r="F44" i="62923"/>
  <c r="G44" i="62923" s="1"/>
  <c r="F45" i="62923"/>
  <c r="G45" i="62923" s="1"/>
  <c r="F46" i="62923"/>
  <c r="G46" i="62923" s="1"/>
  <c r="F47" i="62923"/>
  <c r="G47" i="62923" s="1"/>
  <c r="F48" i="62923"/>
  <c r="G48" i="62923" s="1"/>
  <c r="F49" i="62923"/>
  <c r="G49" i="62923" s="1"/>
  <c r="F50" i="62923"/>
  <c r="G50" i="62923" s="1"/>
  <c r="F51" i="62923"/>
  <c r="G51" i="62923" s="1"/>
  <c r="F52" i="62923"/>
  <c r="G52" i="62923" s="1"/>
  <c r="F53" i="62923"/>
  <c r="G53" i="62923" s="1"/>
  <c r="F54" i="62923"/>
  <c r="G54" i="62923" s="1"/>
  <c r="F65" i="62923"/>
  <c r="G65" i="62923" s="1"/>
  <c r="F41" i="62923"/>
  <c r="E41" i="62923" s="1"/>
  <c r="G35" i="62923" l="1"/>
  <c r="G33" i="62923"/>
  <c r="G36" i="62923"/>
  <c r="E42" i="62923"/>
  <c r="G41" i="62923"/>
  <c r="E43" i="62923" l="1"/>
  <c r="E44" i="62923" s="1"/>
  <c r="E45" i="62923" s="1"/>
  <c r="E46" i="62923" l="1"/>
  <c r="E47" i="62923" l="1"/>
  <c r="E48" i="62923" l="1"/>
  <c r="E49" i="62923" s="1"/>
  <c r="E50" i="62923" s="1"/>
  <c r="E51" i="62923" s="1"/>
  <c r="E52" i="62923" l="1"/>
  <c r="E53" i="62923" s="1"/>
  <c r="E54" i="62923" s="1"/>
  <c r="E65" i="62923" s="1"/>
  <c r="F708" i="62917" l="1"/>
  <c r="G708" i="62917" s="1"/>
  <c r="F709" i="62917"/>
  <c r="G709" i="62917" s="1"/>
  <c r="F710" i="62917"/>
  <c r="G710" i="62917" s="1"/>
  <c r="F711" i="62917"/>
  <c r="G711" i="62917" s="1"/>
  <c r="F712" i="62917"/>
  <c r="G712" i="62917" s="1"/>
  <c r="F713" i="62917"/>
  <c r="G713" i="62917" s="1"/>
  <c r="F714" i="62917"/>
  <c r="G714" i="62917" s="1"/>
  <c r="F715" i="62917"/>
  <c r="G715" i="62917" s="1"/>
  <c r="F716" i="62917"/>
  <c r="G716" i="62917" s="1"/>
  <c r="F717" i="62917"/>
  <c r="G717" i="62917" s="1"/>
  <c r="F718" i="62917"/>
  <c r="G718" i="62917" s="1"/>
  <c r="F719" i="62917"/>
  <c r="G719" i="62917" s="1"/>
  <c r="F720" i="62917"/>
  <c r="G720" i="62917" s="1"/>
  <c r="F721" i="62917"/>
  <c r="G721" i="62917" s="1"/>
  <c r="F722" i="62917"/>
  <c r="G722" i="62917" s="1"/>
  <c r="F723" i="62917"/>
  <c r="G723" i="62917" s="1"/>
  <c r="F724" i="62917"/>
  <c r="G724" i="62917" s="1"/>
  <c r="F725" i="62917"/>
  <c r="G725" i="62917" s="1"/>
  <c r="F726" i="62917"/>
  <c r="G726" i="62917" s="1"/>
  <c r="F727" i="62917"/>
  <c r="G727" i="62917" s="1"/>
  <c r="F728" i="62917"/>
  <c r="G728" i="62917" s="1"/>
  <c r="F729" i="62917"/>
  <c r="G729" i="62917" s="1"/>
  <c r="F730" i="62917"/>
  <c r="G730" i="62917" s="1"/>
  <c r="F731" i="62917"/>
  <c r="G731" i="62917" s="1"/>
  <c r="F732" i="62917"/>
  <c r="G732" i="62917" s="1"/>
  <c r="F733" i="62917"/>
  <c r="G733" i="62917" s="1"/>
  <c r="F734" i="62917"/>
  <c r="G734" i="62917" s="1"/>
  <c r="F735" i="62917"/>
  <c r="G735" i="62917" s="1"/>
  <c r="F736" i="62917"/>
  <c r="G736" i="62917" s="1"/>
  <c r="F737" i="62917"/>
  <c r="G737" i="62917" s="1"/>
  <c r="F738" i="62917"/>
  <c r="G738" i="62917" s="1"/>
  <c r="F739" i="62917"/>
  <c r="G739" i="62917" s="1"/>
  <c r="F740" i="62917"/>
  <c r="G740" i="62917" s="1"/>
  <c r="F741" i="62917"/>
  <c r="G741" i="62917" s="1"/>
  <c r="F742" i="62917"/>
  <c r="G742" i="62917" s="1"/>
  <c r="F743" i="62917"/>
  <c r="G743" i="62917" s="1"/>
  <c r="F744" i="62917"/>
  <c r="G744" i="62917" s="1"/>
  <c r="F745" i="62917"/>
  <c r="F746" i="62917"/>
  <c r="G746" i="62917" s="1"/>
  <c r="F747" i="62917"/>
  <c r="F748" i="62917"/>
  <c r="G748" i="62917" s="1"/>
  <c r="F749" i="62917"/>
  <c r="G749" i="62917" s="1"/>
  <c r="F750" i="62917"/>
  <c r="G750" i="62917" s="1"/>
  <c r="F751" i="62917"/>
  <c r="G751" i="62917" s="1"/>
  <c r="F752" i="62917"/>
  <c r="G752" i="62917" s="1"/>
  <c r="F753" i="62917"/>
  <c r="G753" i="62917" s="1"/>
  <c r="F754" i="62917"/>
  <c r="G754" i="62917" s="1"/>
  <c r="F755" i="62917"/>
  <c r="G755" i="62917" s="1"/>
  <c r="F756" i="62917"/>
  <c r="G756" i="62917" s="1"/>
  <c r="F757" i="62917"/>
  <c r="G757" i="62917" s="1"/>
  <c r="F758" i="62917"/>
  <c r="G758" i="62917" s="1"/>
  <c r="F759" i="62917"/>
  <c r="G759" i="62917" s="1"/>
  <c r="F760" i="62917"/>
  <c r="G760" i="62917" s="1"/>
  <c r="F761" i="62917"/>
  <c r="F762" i="62917"/>
  <c r="G762" i="62917" s="1"/>
  <c r="F763" i="62917"/>
  <c r="F764" i="62917"/>
  <c r="G764" i="62917" s="1"/>
  <c r="F765" i="62917"/>
  <c r="G765" i="62917" s="1"/>
  <c r="F766" i="62917"/>
  <c r="G766" i="62917" s="1"/>
  <c r="F767" i="62917"/>
  <c r="G767" i="62917" s="1"/>
  <c r="F768" i="62917"/>
  <c r="G768" i="62917" s="1"/>
  <c r="F769" i="62917"/>
  <c r="G769" i="62917" s="1"/>
  <c r="F770" i="62917"/>
  <c r="G770" i="62917" s="1"/>
  <c r="F771" i="62917"/>
  <c r="G771" i="62917" s="1"/>
  <c r="F772" i="62917"/>
  <c r="G772" i="62917" s="1"/>
  <c r="F773" i="62917"/>
  <c r="G773" i="62917" s="1"/>
  <c r="F774" i="62917"/>
  <c r="G774" i="62917" s="1"/>
  <c r="F775" i="62917"/>
  <c r="G775" i="62917" s="1"/>
  <c r="F776" i="62917"/>
  <c r="G776" i="62917" s="1"/>
  <c r="F777" i="62917"/>
  <c r="F778" i="62917"/>
  <c r="G778" i="62917" s="1"/>
  <c r="F779" i="62917"/>
  <c r="F780" i="62917"/>
  <c r="G780" i="62917" s="1"/>
  <c r="F781" i="62917"/>
  <c r="G781" i="62917" s="1"/>
  <c r="F782" i="62917"/>
  <c r="G782" i="62917" s="1"/>
  <c r="F783" i="62917"/>
  <c r="G783" i="62917" s="1"/>
  <c r="F784" i="62917"/>
  <c r="G784" i="62917" s="1"/>
  <c r="F785" i="62917"/>
  <c r="G785" i="62917" s="1"/>
  <c r="F786" i="62917"/>
  <c r="G786" i="62917" s="1"/>
  <c r="F787" i="62917"/>
  <c r="G787" i="62917" s="1"/>
  <c r="F788" i="62917"/>
  <c r="G788" i="62917" s="1"/>
  <c r="F789" i="62917"/>
  <c r="F790" i="62917"/>
  <c r="G790" i="62917" s="1"/>
  <c r="F791" i="62917"/>
  <c r="G791" i="62917" s="1"/>
  <c r="F792" i="62917"/>
  <c r="G792" i="62917" s="1"/>
  <c r="F793" i="62917"/>
  <c r="G793" i="62917" s="1"/>
  <c r="F794" i="62917"/>
  <c r="G794" i="62917" s="1"/>
  <c r="F795" i="62917"/>
  <c r="G795" i="62917" s="1"/>
  <c r="F796" i="62917"/>
  <c r="G796" i="62917" s="1"/>
  <c r="F797" i="62917"/>
  <c r="F798" i="62917"/>
  <c r="G798" i="62917" s="1"/>
  <c r="F799" i="62917"/>
  <c r="G799" i="62917" s="1"/>
  <c r="F800" i="62917"/>
  <c r="G800" i="62917" s="1"/>
  <c r="F801" i="62917"/>
  <c r="G801" i="62917" s="1"/>
  <c r="F802" i="62917"/>
  <c r="G802" i="62917" s="1"/>
  <c r="F803" i="62917"/>
  <c r="G803" i="62917" s="1"/>
  <c r="F804" i="62917"/>
  <c r="G804" i="62917" s="1"/>
  <c r="F805" i="62917"/>
  <c r="F806" i="62917"/>
  <c r="G806" i="62917" s="1"/>
  <c r="F807" i="62917"/>
  <c r="G807" i="62917" s="1"/>
  <c r="F808" i="62917"/>
  <c r="G808" i="62917" s="1"/>
  <c r="F809" i="62917"/>
  <c r="G809" i="62917" s="1"/>
  <c r="F810" i="62917"/>
  <c r="G810" i="62917" s="1"/>
  <c r="F811" i="62917"/>
  <c r="G811" i="62917" s="1"/>
  <c r="F812" i="62917"/>
  <c r="G812" i="62917" s="1"/>
  <c r="F813" i="62917"/>
  <c r="F814" i="62917"/>
  <c r="G814" i="62917" s="1"/>
  <c r="F815" i="62917"/>
  <c r="G815" i="62917" s="1"/>
  <c r="F816" i="62917"/>
  <c r="G816" i="62917" s="1"/>
  <c r="F817" i="62917"/>
  <c r="G817" i="62917" s="1"/>
  <c r="F818" i="62917"/>
  <c r="G818" i="62917" s="1"/>
  <c r="F819" i="62917"/>
  <c r="G819" i="62917" s="1"/>
  <c r="F820" i="62917"/>
  <c r="G820" i="62917" s="1"/>
  <c r="F821" i="62917"/>
  <c r="F822" i="62917"/>
  <c r="G822" i="62917" s="1"/>
  <c r="F823" i="62917"/>
  <c r="G823" i="62917" s="1"/>
  <c r="F824" i="62917"/>
  <c r="G824" i="62917" s="1"/>
  <c r="F825" i="62917"/>
  <c r="G825" i="62917" s="1"/>
  <c r="F826" i="62917"/>
  <c r="G826" i="62917" s="1"/>
  <c r="F827" i="62917"/>
  <c r="G827" i="62917" s="1"/>
  <c r="F828" i="62917"/>
  <c r="G828" i="62917" s="1"/>
  <c r="F829" i="62917"/>
  <c r="F830" i="62917"/>
  <c r="G830" i="62917" s="1"/>
  <c r="F831" i="62917"/>
  <c r="G831" i="62917" s="1"/>
  <c r="F832" i="62917"/>
  <c r="G832" i="62917" s="1"/>
  <c r="F833" i="62917"/>
  <c r="G833" i="62917" s="1"/>
  <c r="F834" i="62917"/>
  <c r="G834" i="62917" s="1"/>
  <c r="F835" i="62917"/>
  <c r="G835" i="62917" s="1"/>
  <c r="F836" i="62917"/>
  <c r="G836" i="62917" s="1"/>
  <c r="F837" i="62917"/>
  <c r="F838" i="62917"/>
  <c r="G838" i="62917" s="1"/>
  <c r="F839" i="62917"/>
  <c r="G839" i="62917" s="1"/>
  <c r="F840" i="62917"/>
  <c r="G840" i="62917" s="1"/>
  <c r="F841" i="62917"/>
  <c r="G841" i="62917" s="1"/>
  <c r="F842" i="62917"/>
  <c r="G842" i="62917" s="1"/>
  <c r="F843" i="62917"/>
  <c r="G843" i="62917" s="1"/>
  <c r="F844" i="62917"/>
  <c r="G844" i="62917" s="1"/>
  <c r="F845" i="62917"/>
  <c r="F846" i="62917"/>
  <c r="G846" i="62917" s="1"/>
  <c r="F847" i="62917"/>
  <c r="G847" i="62917" s="1"/>
  <c r="F848" i="62917"/>
  <c r="G848" i="62917" s="1"/>
  <c r="F849" i="62917"/>
  <c r="G849" i="62917" s="1"/>
  <c r="F850" i="62917"/>
  <c r="G850" i="62917" s="1"/>
  <c r="F851" i="62917"/>
  <c r="G851" i="62917" s="1"/>
  <c r="F852" i="62917"/>
  <c r="G852" i="62917" s="1"/>
  <c r="F853" i="62917"/>
  <c r="F854" i="62917"/>
  <c r="G854" i="62917" s="1"/>
  <c r="F855" i="62917"/>
  <c r="G855" i="62917" s="1"/>
  <c r="F856" i="62917"/>
  <c r="G856" i="62917" s="1"/>
  <c r="F857" i="62917"/>
  <c r="G857" i="62917" s="1"/>
  <c r="F858" i="62917"/>
  <c r="G858" i="62917" s="1"/>
  <c r="F859" i="62917"/>
  <c r="G859" i="62917" s="1"/>
  <c r="F860" i="62917"/>
  <c r="G860" i="62917" s="1"/>
  <c r="F861" i="62917"/>
  <c r="F862" i="62917"/>
  <c r="G862" i="62917" s="1"/>
  <c r="F863" i="62917"/>
  <c r="G863" i="62917" s="1"/>
  <c r="F864" i="62917"/>
  <c r="G864" i="62917" s="1"/>
  <c r="F865" i="62917"/>
  <c r="G865" i="62917" s="1"/>
  <c r="F866" i="62917"/>
  <c r="G866" i="62917" s="1"/>
  <c r="F867" i="62917"/>
  <c r="G867" i="62917" s="1"/>
  <c r="F868" i="62917"/>
  <c r="G868" i="62917" s="1"/>
  <c r="F869" i="62917"/>
  <c r="F870" i="62917"/>
  <c r="G870" i="62917" s="1"/>
  <c r="F871" i="62917"/>
  <c r="G871" i="62917" s="1"/>
  <c r="F872" i="62917"/>
  <c r="G872" i="62917" s="1"/>
  <c r="F873" i="62917"/>
  <c r="G873" i="62917" s="1"/>
  <c r="F874" i="62917"/>
  <c r="G874" i="62917" s="1"/>
  <c r="F875" i="62917"/>
  <c r="G875" i="62917" s="1"/>
  <c r="F876" i="62917"/>
  <c r="G876" i="62917" s="1"/>
  <c r="F877" i="62917"/>
  <c r="F878" i="62917"/>
  <c r="G878" i="62917" s="1"/>
  <c r="F879" i="62917"/>
  <c r="F880" i="62917"/>
  <c r="G880" i="62917" s="1"/>
  <c r="F881" i="62917"/>
  <c r="F882" i="62917"/>
  <c r="G882" i="62917" s="1"/>
  <c r="F883" i="62917"/>
  <c r="F884" i="62917"/>
  <c r="G884" i="62917" s="1"/>
  <c r="F885" i="62917"/>
  <c r="F886" i="62917"/>
  <c r="G886" i="62917" s="1"/>
  <c r="F170" i="62917"/>
  <c r="G170" i="62917" s="1"/>
  <c r="F171" i="62917"/>
  <c r="F172" i="62917"/>
  <c r="G172" i="62917" s="1"/>
  <c r="F173" i="62917"/>
  <c r="G173" i="62917" s="1"/>
  <c r="F174" i="62917"/>
  <c r="G174" i="62917" s="1"/>
  <c r="F175" i="62917"/>
  <c r="F176" i="62917"/>
  <c r="G176" i="62917" s="1"/>
  <c r="F177" i="62917"/>
  <c r="G177" i="62917" s="1"/>
  <c r="F178" i="62917"/>
  <c r="G178" i="62917" s="1"/>
  <c r="F179" i="62917"/>
  <c r="G179" i="62917" s="1"/>
  <c r="F180" i="62917"/>
  <c r="G180" i="62917" s="1"/>
  <c r="F181" i="62917"/>
  <c r="G181" i="62917" s="1"/>
  <c r="F182" i="62917"/>
  <c r="G182" i="62917" s="1"/>
  <c r="F183" i="62917"/>
  <c r="F184" i="62917"/>
  <c r="G184" i="62917" s="1"/>
  <c r="F185" i="62917"/>
  <c r="G185" i="62917" s="1"/>
  <c r="F186" i="62917"/>
  <c r="G186" i="62917" s="1"/>
  <c r="F187" i="62917"/>
  <c r="G187" i="62917" s="1"/>
  <c r="F188" i="62917"/>
  <c r="G188" i="62917" s="1"/>
  <c r="F189" i="62917"/>
  <c r="G189" i="62917" s="1"/>
  <c r="F190" i="62917"/>
  <c r="G190" i="62917" s="1"/>
  <c r="F191" i="62917"/>
  <c r="F192" i="62917"/>
  <c r="G192" i="62917" s="1"/>
  <c r="F193" i="62917"/>
  <c r="G193" i="62917" s="1"/>
  <c r="F194" i="62917"/>
  <c r="G194" i="62917" s="1"/>
  <c r="F195" i="62917"/>
  <c r="G195" i="62917" s="1"/>
  <c r="F196" i="62917"/>
  <c r="G196" i="62917" s="1"/>
  <c r="F197" i="62917"/>
  <c r="G197" i="62917" s="1"/>
  <c r="F198" i="62917"/>
  <c r="G198" i="62917" s="1"/>
  <c r="F199" i="62917"/>
  <c r="F200" i="62917"/>
  <c r="G200" i="62917" s="1"/>
  <c r="F201" i="62917"/>
  <c r="G201" i="62917" s="1"/>
  <c r="F202" i="62917"/>
  <c r="G202" i="62917" s="1"/>
  <c r="F203" i="62917"/>
  <c r="G203" i="62917" s="1"/>
  <c r="F204" i="62917"/>
  <c r="G204" i="62917" s="1"/>
  <c r="F205" i="62917"/>
  <c r="G205" i="62917" s="1"/>
  <c r="F206" i="62917"/>
  <c r="G206" i="62917" s="1"/>
  <c r="F207" i="62917"/>
  <c r="F208" i="62917"/>
  <c r="G208" i="62917" s="1"/>
  <c r="F209" i="62917"/>
  <c r="G209" i="62917" s="1"/>
  <c r="F210" i="62917"/>
  <c r="G210" i="62917" s="1"/>
  <c r="F211" i="62917"/>
  <c r="G211" i="62917" s="1"/>
  <c r="F212" i="62917"/>
  <c r="G212" i="62917" s="1"/>
  <c r="F213" i="62917"/>
  <c r="G213" i="62917" s="1"/>
  <c r="F214" i="62917"/>
  <c r="G214" i="62917" s="1"/>
  <c r="F215" i="62917"/>
  <c r="F216" i="62917"/>
  <c r="G216" i="62917" s="1"/>
  <c r="F217" i="62917"/>
  <c r="G217" i="62917" s="1"/>
  <c r="F218" i="62917"/>
  <c r="G218" i="62917" s="1"/>
  <c r="F219" i="62917"/>
  <c r="G219" i="62917" s="1"/>
  <c r="F220" i="62917"/>
  <c r="G220" i="62917" s="1"/>
  <c r="F221" i="62917"/>
  <c r="G221" i="62917" s="1"/>
  <c r="F222" i="62917"/>
  <c r="G222" i="62917" s="1"/>
  <c r="F223" i="62917"/>
  <c r="F224" i="62917"/>
  <c r="G224" i="62917" s="1"/>
  <c r="F225" i="62917"/>
  <c r="F226" i="62917"/>
  <c r="G226" i="62917" s="1"/>
  <c r="F227" i="62917"/>
  <c r="F228" i="62917"/>
  <c r="G228" i="62917" s="1"/>
  <c r="F229" i="62917"/>
  <c r="F230" i="62917"/>
  <c r="G230" i="62917" s="1"/>
  <c r="F231" i="62917"/>
  <c r="F232" i="62917"/>
  <c r="G232" i="62917" s="1"/>
  <c r="F233" i="62917"/>
  <c r="F234" i="62917"/>
  <c r="G234" i="62917" s="1"/>
  <c r="F235" i="62917"/>
  <c r="F236" i="62917"/>
  <c r="G236" i="62917" s="1"/>
  <c r="F237" i="62917"/>
  <c r="F238" i="62917"/>
  <c r="G238" i="62917" s="1"/>
  <c r="F239" i="62917"/>
  <c r="F240" i="62917"/>
  <c r="G240" i="62917" s="1"/>
  <c r="F241" i="62917"/>
  <c r="F242" i="62917"/>
  <c r="G242" i="62917" s="1"/>
  <c r="F243" i="62917"/>
  <c r="F244" i="62917"/>
  <c r="G244" i="62917" s="1"/>
  <c r="F245" i="62917"/>
  <c r="F246" i="62917"/>
  <c r="G246" i="62917" s="1"/>
  <c r="F247" i="62917"/>
  <c r="F248" i="62917"/>
  <c r="G248" i="62917" s="1"/>
  <c r="F249" i="62917"/>
  <c r="F250" i="62917"/>
  <c r="G250" i="62917" s="1"/>
  <c r="F251" i="62917"/>
  <c r="F252" i="62917"/>
  <c r="G252" i="62917" s="1"/>
  <c r="F253" i="62917"/>
  <c r="F254" i="62917"/>
  <c r="G254" i="62917" s="1"/>
  <c r="F255" i="62917"/>
  <c r="F256" i="62917"/>
  <c r="G256" i="62917" s="1"/>
  <c r="F257" i="62917"/>
  <c r="F258" i="62917"/>
  <c r="G258" i="62917" s="1"/>
  <c r="F259" i="62917"/>
  <c r="F260" i="62917"/>
  <c r="G260" i="62917" s="1"/>
  <c r="F261" i="62917"/>
  <c r="F262" i="62917"/>
  <c r="G262" i="62917" s="1"/>
  <c r="F263" i="62917"/>
  <c r="F264" i="62917"/>
  <c r="G264" i="62917" s="1"/>
  <c r="F265" i="62917"/>
  <c r="F266" i="62917"/>
  <c r="G266" i="62917" s="1"/>
  <c r="F267" i="62917"/>
  <c r="F268" i="62917"/>
  <c r="G268" i="62917" s="1"/>
  <c r="F269" i="62917"/>
  <c r="F270" i="62917"/>
  <c r="G270" i="62917" s="1"/>
  <c r="F271" i="62917"/>
  <c r="F272" i="62917"/>
  <c r="G272" i="62917" s="1"/>
  <c r="F273" i="62917"/>
  <c r="F274" i="62917"/>
  <c r="G274" i="62917" s="1"/>
  <c r="F275" i="62917"/>
  <c r="F276" i="62917"/>
  <c r="G276" i="62917" s="1"/>
  <c r="F277" i="62917"/>
  <c r="F278" i="62917"/>
  <c r="G278" i="62917" s="1"/>
  <c r="F279" i="62917"/>
  <c r="F280" i="62917"/>
  <c r="G280" i="62917" s="1"/>
  <c r="F281" i="62917"/>
  <c r="F282" i="62917"/>
  <c r="G282" i="62917" s="1"/>
  <c r="F283" i="62917"/>
  <c r="F284" i="62917"/>
  <c r="G284" i="62917" s="1"/>
  <c r="F285" i="62917"/>
  <c r="F286" i="62917"/>
  <c r="G286" i="62917" s="1"/>
  <c r="F287" i="62917"/>
  <c r="F288" i="62917"/>
  <c r="G288" i="62917" s="1"/>
  <c r="F289" i="62917"/>
  <c r="F290" i="62917"/>
  <c r="G290" i="62917" s="1"/>
  <c r="F291" i="62917"/>
  <c r="F292" i="62917"/>
  <c r="G292" i="62917" s="1"/>
  <c r="F293" i="62917"/>
  <c r="F294" i="62917"/>
  <c r="G294" i="62917" s="1"/>
  <c r="F295" i="62917"/>
  <c r="F296" i="62917"/>
  <c r="G296" i="62917" s="1"/>
  <c r="F297" i="62917"/>
  <c r="F298" i="62917"/>
  <c r="G298" i="62917" s="1"/>
  <c r="F299" i="62917"/>
  <c r="F300" i="62917"/>
  <c r="G300" i="62917" s="1"/>
  <c r="F301" i="62917"/>
  <c r="F302" i="62917"/>
  <c r="G302" i="62917" s="1"/>
  <c r="F303" i="62917"/>
  <c r="F304" i="62917"/>
  <c r="G304" i="62917" s="1"/>
  <c r="F305" i="62917"/>
  <c r="F306" i="62917"/>
  <c r="G306" i="62917" s="1"/>
  <c r="F307" i="62917"/>
  <c r="F308" i="62917"/>
  <c r="G308" i="62917" s="1"/>
  <c r="F309" i="62917"/>
  <c r="F310" i="62917"/>
  <c r="G310" i="62917" s="1"/>
  <c r="F311" i="62917"/>
  <c r="F312" i="62917"/>
  <c r="G312" i="62917" s="1"/>
  <c r="F313" i="62917"/>
  <c r="F314" i="62917"/>
  <c r="G314" i="62917" s="1"/>
  <c r="F315" i="62917"/>
  <c r="F316" i="62917"/>
  <c r="G316" i="62917" s="1"/>
  <c r="F317" i="62917"/>
  <c r="F318" i="62917"/>
  <c r="G318" i="62917" s="1"/>
  <c r="F319" i="62917"/>
  <c r="F320" i="62917"/>
  <c r="G320" i="62917" s="1"/>
  <c r="F321" i="62917"/>
  <c r="F322" i="62917"/>
  <c r="G322" i="62917" s="1"/>
  <c r="F323" i="62917"/>
  <c r="F324" i="62917"/>
  <c r="G324" i="62917" s="1"/>
  <c r="F325" i="62917"/>
  <c r="F326" i="62917"/>
  <c r="G326" i="62917" s="1"/>
  <c r="F327" i="62917"/>
  <c r="F328" i="62917"/>
  <c r="G328" i="62917" s="1"/>
  <c r="F329" i="62917"/>
  <c r="F330" i="62917"/>
  <c r="G330" i="62917" s="1"/>
  <c r="F331" i="62917"/>
  <c r="F332" i="62917"/>
  <c r="G332" i="62917" s="1"/>
  <c r="F333" i="62917"/>
  <c r="F334" i="62917"/>
  <c r="G334" i="62917" s="1"/>
  <c r="F335" i="62917"/>
  <c r="F336" i="62917"/>
  <c r="G336" i="62917" s="1"/>
  <c r="F337" i="62917"/>
  <c r="F338" i="62917"/>
  <c r="G338" i="62917" s="1"/>
  <c r="F339" i="62917"/>
  <c r="F340" i="62917"/>
  <c r="G340" i="62917" s="1"/>
  <c r="F341" i="62917"/>
  <c r="G341" i="62917" s="1"/>
  <c r="F342" i="62917"/>
  <c r="G342" i="62917" s="1"/>
  <c r="F343" i="62917"/>
  <c r="G343" i="62917" s="1"/>
  <c r="F344" i="62917"/>
  <c r="G344" i="62917" s="1"/>
  <c r="F345" i="62917"/>
  <c r="G345" i="62917" s="1"/>
  <c r="F346" i="62917"/>
  <c r="G346" i="62917" s="1"/>
  <c r="F347" i="62917"/>
  <c r="G347" i="62917" s="1"/>
  <c r="F348" i="62917"/>
  <c r="G348" i="62917" s="1"/>
  <c r="F349" i="62917"/>
  <c r="G349" i="62917" s="1"/>
  <c r="F350" i="62917"/>
  <c r="G350" i="62917" s="1"/>
  <c r="F351" i="62917"/>
  <c r="G351" i="62917" s="1"/>
  <c r="F352" i="62917"/>
  <c r="G352" i="62917" s="1"/>
  <c r="F353" i="62917"/>
  <c r="G353" i="62917" s="1"/>
  <c r="F354" i="62917"/>
  <c r="G354" i="62917" s="1"/>
  <c r="F355" i="62917"/>
  <c r="G355" i="62917" s="1"/>
  <c r="F356" i="62917"/>
  <c r="G356" i="62917" s="1"/>
  <c r="F357" i="62917"/>
  <c r="G357" i="62917" s="1"/>
  <c r="F358" i="62917"/>
  <c r="G358" i="62917" s="1"/>
  <c r="F359" i="62917"/>
  <c r="G359" i="62917" s="1"/>
  <c r="F360" i="62917"/>
  <c r="G360" i="62917" s="1"/>
  <c r="F361" i="62917"/>
  <c r="G361" i="62917" s="1"/>
  <c r="F362" i="62917"/>
  <c r="G362" i="62917" s="1"/>
  <c r="F363" i="62917"/>
  <c r="G363" i="62917" s="1"/>
  <c r="F364" i="62917"/>
  <c r="G364" i="62917" s="1"/>
  <c r="F365" i="62917"/>
  <c r="G365" i="62917" s="1"/>
  <c r="F366" i="62917"/>
  <c r="G366" i="62917" s="1"/>
  <c r="F367" i="62917"/>
  <c r="G367" i="62917" s="1"/>
  <c r="F368" i="62917"/>
  <c r="G368" i="62917" s="1"/>
  <c r="F369" i="62917"/>
  <c r="G369" i="62917" s="1"/>
  <c r="F370" i="62917"/>
  <c r="G370" i="62917" s="1"/>
  <c r="F371" i="62917"/>
  <c r="G371" i="62917" s="1"/>
  <c r="F372" i="62917"/>
  <c r="G372" i="62917" s="1"/>
  <c r="F373" i="62917"/>
  <c r="G373" i="62917" s="1"/>
  <c r="F374" i="62917"/>
  <c r="G374" i="62917" s="1"/>
  <c r="F375" i="62917"/>
  <c r="G375" i="62917" s="1"/>
  <c r="F376" i="62917"/>
  <c r="G376" i="62917" s="1"/>
  <c r="F377" i="62917"/>
  <c r="G377" i="62917" s="1"/>
  <c r="F378" i="62917"/>
  <c r="G378" i="62917" s="1"/>
  <c r="F379" i="62917"/>
  <c r="G379" i="62917" s="1"/>
  <c r="F380" i="62917"/>
  <c r="G380" i="62917" s="1"/>
  <c r="F381" i="62917"/>
  <c r="G381" i="62917" s="1"/>
  <c r="F382" i="62917"/>
  <c r="G382" i="62917" s="1"/>
  <c r="F383" i="62917"/>
  <c r="G383" i="62917" s="1"/>
  <c r="F384" i="62917"/>
  <c r="G384" i="62917" s="1"/>
  <c r="F385" i="62917"/>
  <c r="G385" i="62917" s="1"/>
  <c r="F386" i="62917"/>
  <c r="G386" i="62917" s="1"/>
  <c r="F387" i="62917"/>
  <c r="G387" i="62917" s="1"/>
  <c r="F388" i="62917"/>
  <c r="G388" i="62917" s="1"/>
  <c r="F389" i="62917"/>
  <c r="F390" i="62917"/>
  <c r="G390" i="62917" s="1"/>
  <c r="F391" i="62917"/>
  <c r="G391" i="62917" s="1"/>
  <c r="F392" i="62917"/>
  <c r="G392" i="62917" s="1"/>
  <c r="F393" i="62917"/>
  <c r="G393" i="62917" s="1"/>
  <c r="F394" i="62917"/>
  <c r="G394" i="62917" s="1"/>
  <c r="F395" i="62917"/>
  <c r="G395" i="62917" s="1"/>
  <c r="F396" i="62917"/>
  <c r="G396" i="62917" s="1"/>
  <c r="F397" i="62917"/>
  <c r="F398" i="62917"/>
  <c r="G398" i="62917" s="1"/>
  <c r="F399" i="62917"/>
  <c r="G399" i="62917" s="1"/>
  <c r="F400" i="62917"/>
  <c r="G400" i="62917" s="1"/>
  <c r="F401" i="62917"/>
  <c r="G401" i="62917" s="1"/>
  <c r="F402" i="62917"/>
  <c r="G402" i="62917" s="1"/>
  <c r="F403" i="62917"/>
  <c r="G403" i="62917" s="1"/>
  <c r="F404" i="62917"/>
  <c r="G404" i="62917" s="1"/>
  <c r="F405" i="62917"/>
  <c r="F406" i="62917"/>
  <c r="G406" i="62917" s="1"/>
  <c r="F407" i="62917"/>
  <c r="G407" i="62917" s="1"/>
  <c r="F408" i="62917"/>
  <c r="G408" i="62917" s="1"/>
  <c r="F409" i="62917"/>
  <c r="G409" i="62917" s="1"/>
  <c r="F410" i="62917"/>
  <c r="G410" i="62917" s="1"/>
  <c r="F411" i="62917"/>
  <c r="G411" i="62917" s="1"/>
  <c r="F412" i="62917"/>
  <c r="G412" i="62917" s="1"/>
  <c r="F413" i="62917"/>
  <c r="F414" i="62917"/>
  <c r="G414" i="62917" s="1"/>
  <c r="F415" i="62917"/>
  <c r="G415" i="62917" s="1"/>
  <c r="F416" i="62917"/>
  <c r="G416" i="62917" s="1"/>
  <c r="F417" i="62917"/>
  <c r="G417" i="62917" s="1"/>
  <c r="F418" i="62917"/>
  <c r="G418" i="62917" s="1"/>
  <c r="F419" i="62917"/>
  <c r="G419" i="62917" s="1"/>
  <c r="F420" i="62917"/>
  <c r="G420" i="62917" s="1"/>
  <c r="F421" i="62917"/>
  <c r="F422" i="62917"/>
  <c r="G422" i="62917" s="1"/>
  <c r="F423" i="62917"/>
  <c r="G423" i="62917" s="1"/>
  <c r="F424" i="62917"/>
  <c r="G424" i="62917" s="1"/>
  <c r="F425" i="62917"/>
  <c r="G425" i="62917" s="1"/>
  <c r="F426" i="62917"/>
  <c r="G426" i="62917" s="1"/>
  <c r="F427" i="62917"/>
  <c r="F428" i="62917"/>
  <c r="F429" i="62917"/>
  <c r="F430" i="62917"/>
  <c r="G430" i="62917" s="1"/>
  <c r="F431" i="62917"/>
  <c r="G431" i="62917" s="1"/>
  <c r="F432" i="62917"/>
  <c r="G432" i="62917" s="1"/>
  <c r="F433" i="62917"/>
  <c r="G433" i="62917" s="1"/>
  <c r="F434" i="62917"/>
  <c r="G434" i="62917" s="1"/>
  <c r="F435" i="62917"/>
  <c r="F436" i="62917"/>
  <c r="F437" i="62917"/>
  <c r="F438" i="62917"/>
  <c r="G438" i="62917" s="1"/>
  <c r="F439" i="62917"/>
  <c r="G439" i="62917" s="1"/>
  <c r="F440" i="62917"/>
  <c r="G440" i="62917" s="1"/>
  <c r="F441" i="62917"/>
  <c r="G441" i="62917" s="1"/>
  <c r="F442" i="62917"/>
  <c r="G442" i="62917" s="1"/>
  <c r="F443" i="62917"/>
  <c r="F444" i="62917"/>
  <c r="F445" i="62917"/>
  <c r="F446" i="62917"/>
  <c r="G446" i="62917" s="1"/>
  <c r="F447" i="62917"/>
  <c r="G447" i="62917" s="1"/>
  <c r="F448" i="62917"/>
  <c r="G448" i="62917" s="1"/>
  <c r="F449" i="62917"/>
  <c r="G449" i="62917" s="1"/>
  <c r="F450" i="62917"/>
  <c r="G450" i="62917" s="1"/>
  <c r="F451" i="62917"/>
  <c r="F452" i="62917"/>
  <c r="F453" i="62917"/>
  <c r="F454" i="62917"/>
  <c r="G454" i="62917" s="1"/>
  <c r="F455" i="62917"/>
  <c r="G455" i="62917" s="1"/>
  <c r="F456" i="62917"/>
  <c r="G456" i="62917" s="1"/>
  <c r="F457" i="62917"/>
  <c r="G457" i="62917" s="1"/>
  <c r="F458" i="62917"/>
  <c r="G458" i="62917" s="1"/>
  <c r="F459" i="62917"/>
  <c r="F460" i="62917"/>
  <c r="F461" i="62917"/>
  <c r="F462" i="62917"/>
  <c r="G462" i="62917" s="1"/>
  <c r="F463" i="62917"/>
  <c r="G463" i="62917" s="1"/>
  <c r="F464" i="62917"/>
  <c r="G464" i="62917" s="1"/>
  <c r="F465" i="62917"/>
  <c r="G465" i="62917" s="1"/>
  <c r="F466" i="62917"/>
  <c r="G466" i="62917" s="1"/>
  <c r="F467" i="62917"/>
  <c r="F468" i="62917"/>
  <c r="F469" i="62917"/>
  <c r="F470" i="62917"/>
  <c r="G470" i="62917" s="1"/>
  <c r="F471" i="62917"/>
  <c r="G471" i="62917" s="1"/>
  <c r="F472" i="62917"/>
  <c r="G472" i="62917" s="1"/>
  <c r="F473" i="62917"/>
  <c r="G473" i="62917" s="1"/>
  <c r="F474" i="62917"/>
  <c r="G474" i="62917" s="1"/>
  <c r="F475" i="62917"/>
  <c r="F476" i="62917"/>
  <c r="F477" i="62917"/>
  <c r="F478" i="62917"/>
  <c r="G478" i="62917" s="1"/>
  <c r="F479" i="62917"/>
  <c r="G479" i="62917" s="1"/>
  <c r="F480" i="62917"/>
  <c r="G480" i="62917" s="1"/>
  <c r="F481" i="62917"/>
  <c r="G481" i="62917" s="1"/>
  <c r="F482" i="62917"/>
  <c r="G482" i="62917" s="1"/>
  <c r="F483" i="62917"/>
  <c r="F484" i="62917"/>
  <c r="F485" i="62917"/>
  <c r="F486" i="62917"/>
  <c r="G486" i="62917" s="1"/>
  <c r="F487" i="62917"/>
  <c r="G487" i="62917" s="1"/>
  <c r="F488" i="62917"/>
  <c r="G488" i="62917" s="1"/>
  <c r="F489" i="62917"/>
  <c r="G489" i="62917" s="1"/>
  <c r="F490" i="62917"/>
  <c r="G490" i="62917" s="1"/>
  <c r="F491" i="62917"/>
  <c r="F492" i="62917"/>
  <c r="F493" i="62917"/>
  <c r="F494" i="62917"/>
  <c r="G494" i="62917" s="1"/>
  <c r="F495" i="62917"/>
  <c r="G495" i="62917" s="1"/>
  <c r="F496" i="62917"/>
  <c r="G496" i="62917" s="1"/>
  <c r="F497" i="62917"/>
  <c r="G497" i="62917" s="1"/>
  <c r="F498" i="62917"/>
  <c r="G498" i="62917" s="1"/>
  <c r="F499" i="62917"/>
  <c r="F500" i="62917"/>
  <c r="F501" i="62917"/>
  <c r="F502" i="62917"/>
  <c r="G502" i="62917" s="1"/>
  <c r="F503" i="62917"/>
  <c r="G503" i="62917" s="1"/>
  <c r="F504" i="62917"/>
  <c r="G504" i="62917" s="1"/>
  <c r="F505" i="62917"/>
  <c r="G505" i="62917" s="1"/>
  <c r="F506" i="62917"/>
  <c r="G506" i="62917" s="1"/>
  <c r="F507" i="62917"/>
  <c r="F508" i="62917"/>
  <c r="F509" i="62917"/>
  <c r="F510" i="62917"/>
  <c r="G510" i="62917" s="1"/>
  <c r="F511" i="62917"/>
  <c r="G511" i="62917" s="1"/>
  <c r="F512" i="62917"/>
  <c r="G512" i="62917" s="1"/>
  <c r="F513" i="62917"/>
  <c r="G513" i="62917" s="1"/>
  <c r="F514" i="62917"/>
  <c r="G514" i="62917" s="1"/>
  <c r="F515" i="62917"/>
  <c r="F516" i="62917"/>
  <c r="F517" i="62917"/>
  <c r="F518" i="62917"/>
  <c r="G518" i="62917" s="1"/>
  <c r="F519" i="62917"/>
  <c r="G519" i="62917" s="1"/>
  <c r="F520" i="62917"/>
  <c r="G520" i="62917" s="1"/>
  <c r="F521" i="62917"/>
  <c r="G521" i="62917" s="1"/>
  <c r="F522" i="62917"/>
  <c r="G522" i="62917" s="1"/>
  <c r="F523" i="62917"/>
  <c r="F524" i="62917"/>
  <c r="F525" i="62917"/>
  <c r="F526" i="62917"/>
  <c r="G526" i="62917" s="1"/>
  <c r="F527" i="62917"/>
  <c r="G527" i="62917" s="1"/>
  <c r="F528" i="62917"/>
  <c r="G528" i="62917" s="1"/>
  <c r="F529" i="62917"/>
  <c r="G529" i="62917" s="1"/>
  <c r="F530" i="62917"/>
  <c r="G530" i="62917" s="1"/>
  <c r="F531" i="62917"/>
  <c r="F532" i="62917"/>
  <c r="G532" i="62917" s="1"/>
  <c r="F533" i="62917"/>
  <c r="F534" i="62917"/>
  <c r="G534" i="62917" s="1"/>
  <c r="F535" i="62917"/>
  <c r="G535" i="62917" s="1"/>
  <c r="F536" i="62917"/>
  <c r="G536" i="62917" s="1"/>
  <c r="F537" i="62917"/>
  <c r="G537" i="62917" s="1"/>
  <c r="F538" i="62917"/>
  <c r="G538" i="62917" s="1"/>
  <c r="F539" i="62917"/>
  <c r="F540" i="62917"/>
  <c r="F541" i="62917"/>
  <c r="F542" i="62917"/>
  <c r="G542" i="62917" s="1"/>
  <c r="F543" i="62917"/>
  <c r="G543" i="62917" s="1"/>
  <c r="F544" i="62917"/>
  <c r="G544" i="62917" s="1"/>
  <c r="F545" i="62917"/>
  <c r="G545" i="62917" s="1"/>
  <c r="F546" i="62917"/>
  <c r="G546" i="62917" s="1"/>
  <c r="F547" i="62917"/>
  <c r="F548" i="62917"/>
  <c r="F549" i="62917"/>
  <c r="F550" i="62917"/>
  <c r="G550" i="62917" s="1"/>
  <c r="F551" i="62917"/>
  <c r="G551" i="62917" s="1"/>
  <c r="F552" i="62917"/>
  <c r="G552" i="62917" s="1"/>
  <c r="F553" i="62917"/>
  <c r="G553" i="62917" s="1"/>
  <c r="F554" i="62917"/>
  <c r="G554" i="62917" s="1"/>
  <c r="F555" i="62917"/>
  <c r="F556" i="62917"/>
  <c r="F557" i="62917"/>
  <c r="F558" i="62917"/>
  <c r="G558" i="62917" s="1"/>
  <c r="F559" i="62917"/>
  <c r="G559" i="62917" s="1"/>
  <c r="F560" i="62917"/>
  <c r="G560" i="62917" s="1"/>
  <c r="F561" i="62917"/>
  <c r="G561" i="62917" s="1"/>
  <c r="F562" i="62917"/>
  <c r="G562" i="62917" s="1"/>
  <c r="F563" i="62917"/>
  <c r="F564" i="62917"/>
  <c r="F565" i="62917"/>
  <c r="F566" i="62917"/>
  <c r="G566" i="62917" s="1"/>
  <c r="F567" i="62917"/>
  <c r="G567" i="62917" s="1"/>
  <c r="F568" i="62917"/>
  <c r="G568" i="62917" s="1"/>
  <c r="F569" i="62917"/>
  <c r="G569" i="62917" s="1"/>
  <c r="F570" i="62917"/>
  <c r="G570" i="62917" s="1"/>
  <c r="F571" i="62917"/>
  <c r="F572" i="62917"/>
  <c r="F573" i="62917"/>
  <c r="F574" i="62917"/>
  <c r="G574" i="62917" s="1"/>
  <c r="F575" i="62917"/>
  <c r="G575" i="62917" s="1"/>
  <c r="F576" i="62917"/>
  <c r="G576" i="62917" s="1"/>
  <c r="F577" i="62917"/>
  <c r="G577" i="62917" s="1"/>
  <c r="F578" i="62917"/>
  <c r="G578" i="62917" s="1"/>
  <c r="F579" i="62917"/>
  <c r="F580" i="62917"/>
  <c r="G580" i="62917" s="1"/>
  <c r="F581" i="62917"/>
  <c r="F582" i="62917"/>
  <c r="G582" i="62917" s="1"/>
  <c r="F583" i="62917"/>
  <c r="G583" i="62917" s="1"/>
  <c r="F584" i="62917"/>
  <c r="G584" i="62917" s="1"/>
  <c r="F585" i="62917"/>
  <c r="G585" i="62917" s="1"/>
  <c r="F586" i="62917"/>
  <c r="G586" i="62917" s="1"/>
  <c r="F587" i="62917"/>
  <c r="F588" i="62917"/>
  <c r="F589" i="62917"/>
  <c r="G885" i="62917" l="1"/>
  <c r="G883" i="62917"/>
  <c r="G881" i="62917"/>
  <c r="G879" i="62917"/>
  <c r="G877" i="62917"/>
  <c r="G869" i="62917"/>
  <c r="G861" i="62917"/>
  <c r="G853" i="62917"/>
  <c r="G845" i="62917"/>
  <c r="G837" i="62917"/>
  <c r="G829" i="62917"/>
  <c r="G821" i="62917"/>
  <c r="G813" i="62917"/>
  <c r="G805" i="62917"/>
  <c r="G797" i="62917"/>
  <c r="G789" i="62917"/>
  <c r="G777" i="62917"/>
  <c r="G761" i="62917"/>
  <c r="G745" i="62917"/>
  <c r="G779" i="62917"/>
  <c r="G763" i="62917"/>
  <c r="G747" i="62917"/>
  <c r="G500" i="62917"/>
  <c r="G468" i="62917"/>
  <c r="G436" i="62917"/>
  <c r="G477" i="62917"/>
  <c r="G509" i="62917"/>
  <c r="G444" i="62917"/>
  <c r="G508" i="62917"/>
  <c r="G476" i="62917"/>
  <c r="G517" i="62917"/>
  <c r="G485" i="62917"/>
  <c r="G453" i="62917"/>
  <c r="G516" i="62917"/>
  <c r="G484" i="62917"/>
  <c r="G452" i="62917"/>
  <c r="G445" i="62917"/>
  <c r="G589" i="62917"/>
  <c r="G588" i="62917"/>
  <c r="G581" i="62917"/>
  <c r="G525" i="62917"/>
  <c r="G493" i="62917"/>
  <c r="G461" i="62917"/>
  <c r="G429" i="62917"/>
  <c r="G524" i="62917"/>
  <c r="G492" i="62917"/>
  <c r="G460" i="62917"/>
  <c r="G428" i="62917"/>
  <c r="G573" i="62917"/>
  <c r="G565" i="62917"/>
  <c r="G557" i="62917"/>
  <c r="G549" i="62917"/>
  <c r="G541" i="62917"/>
  <c r="G533" i="62917"/>
  <c r="G572" i="62917"/>
  <c r="G564" i="62917"/>
  <c r="G556" i="62917"/>
  <c r="G548" i="62917"/>
  <c r="G540" i="62917"/>
  <c r="G501" i="62917"/>
  <c r="G469" i="62917"/>
  <c r="G437" i="62917"/>
  <c r="G207" i="62917"/>
  <c r="G175" i="62917"/>
  <c r="G223" i="62917"/>
  <c r="G199" i="62917"/>
  <c r="G587" i="62917"/>
  <c r="G579" i="62917"/>
  <c r="G571" i="62917"/>
  <c r="G563" i="62917"/>
  <c r="G555" i="62917"/>
  <c r="G547" i="62917"/>
  <c r="G539" i="62917"/>
  <c r="G531" i="62917"/>
  <c r="G523" i="62917"/>
  <c r="G515" i="62917"/>
  <c r="G507" i="62917"/>
  <c r="G499" i="62917"/>
  <c r="G491" i="62917"/>
  <c r="G483" i="62917"/>
  <c r="G475" i="62917"/>
  <c r="G467" i="62917"/>
  <c r="G459" i="62917"/>
  <c r="G451" i="62917"/>
  <c r="G443" i="62917"/>
  <c r="G435" i="62917"/>
  <c r="G427" i="62917"/>
  <c r="G339" i="62917"/>
  <c r="G335" i="62917"/>
  <c r="G331" i="62917"/>
  <c r="G327" i="62917"/>
  <c r="G323" i="62917"/>
  <c r="G319" i="62917"/>
  <c r="G315" i="62917"/>
  <c r="G311" i="62917"/>
  <c r="G307" i="62917"/>
  <c r="G303" i="62917"/>
  <c r="G299" i="62917"/>
  <c r="G295" i="62917"/>
  <c r="G291" i="62917"/>
  <c r="G287" i="62917"/>
  <c r="G283" i="62917"/>
  <c r="G279" i="62917"/>
  <c r="G275" i="62917"/>
  <c r="G271" i="62917"/>
  <c r="G267" i="62917"/>
  <c r="G263" i="62917"/>
  <c r="G259" i="62917"/>
  <c r="G255" i="62917"/>
  <c r="G251" i="62917"/>
  <c r="G247" i="62917"/>
  <c r="G243" i="62917"/>
  <c r="G239" i="62917"/>
  <c r="G235" i="62917"/>
  <c r="G231" i="62917"/>
  <c r="G227" i="62917"/>
  <c r="G191" i="62917"/>
  <c r="G421" i="62917"/>
  <c r="G413" i="62917"/>
  <c r="G405" i="62917"/>
  <c r="G397" i="62917"/>
  <c r="G389" i="62917"/>
  <c r="G215" i="62917"/>
  <c r="G183" i="62917"/>
  <c r="G337" i="62917"/>
  <c r="G333" i="62917"/>
  <c r="G329" i="62917"/>
  <c r="G325" i="62917"/>
  <c r="G321" i="62917"/>
  <c r="G317" i="62917"/>
  <c r="G313" i="62917"/>
  <c r="G309" i="62917"/>
  <c r="G305" i="62917"/>
  <c r="G301" i="62917"/>
  <c r="G297" i="62917"/>
  <c r="G293" i="62917"/>
  <c r="G289" i="62917"/>
  <c r="G285" i="62917"/>
  <c r="G281" i="62917"/>
  <c r="G277" i="62917"/>
  <c r="G273" i="62917"/>
  <c r="G269" i="62917"/>
  <c r="G265" i="62917"/>
  <c r="G261" i="62917"/>
  <c r="G257" i="62917"/>
  <c r="G253" i="62917"/>
  <c r="G249" i="62917"/>
  <c r="G245" i="62917"/>
  <c r="G241" i="62917"/>
  <c r="G237" i="62917"/>
  <c r="G233" i="62917"/>
  <c r="G229" i="62917"/>
  <c r="G225" i="62917"/>
  <c r="G171" i="62917"/>
  <c r="AC287" i="62928" l="1"/>
  <c r="AC289" i="62928"/>
  <c r="AC287" i="7"/>
  <c r="AC289" i="7"/>
  <c r="F1215" i="62919"/>
  <c r="F1216" i="62919"/>
  <c r="F697" i="62917"/>
  <c r="F698" i="62917"/>
  <c r="G698" i="62917" s="1"/>
  <c r="F699" i="62917"/>
  <c r="F700" i="62917"/>
  <c r="G700" i="62917" s="1"/>
  <c r="F701" i="62917"/>
  <c r="F702" i="62917"/>
  <c r="G702" i="62917" s="1"/>
  <c r="F703" i="62917"/>
  <c r="F704" i="62917"/>
  <c r="G704" i="62917" s="1"/>
  <c r="F241" i="62922"/>
  <c r="F242" i="62922"/>
  <c r="G242" i="62922" s="1"/>
  <c r="F243" i="62922"/>
  <c r="F244" i="62922"/>
  <c r="G244" i="62922" s="1"/>
  <c r="F245" i="62922"/>
  <c r="F246" i="62922"/>
  <c r="G246" i="62922" s="1"/>
  <c r="F247" i="62922"/>
  <c r="F248" i="62922"/>
  <c r="G248" i="62922" s="1"/>
  <c r="F249" i="62922"/>
  <c r="G249" i="62922" s="1"/>
  <c r="F250" i="62922"/>
  <c r="G250" i="62922" s="1"/>
  <c r="F251" i="62922"/>
  <c r="G251" i="62922" s="1"/>
  <c r="F252" i="62922"/>
  <c r="G252" i="62922" s="1"/>
  <c r="F149" i="62924"/>
  <c r="F150" i="62924"/>
  <c r="G150" i="62924" s="1"/>
  <c r="F151" i="62924"/>
  <c r="F152" i="62924"/>
  <c r="F153" i="62924"/>
  <c r="G153" i="62924" s="1"/>
  <c r="F154" i="62924"/>
  <c r="G154" i="62924" s="1"/>
  <c r="F155" i="62924"/>
  <c r="G155" i="62924" s="1"/>
  <c r="F156" i="62924"/>
  <c r="G156" i="62924" s="1"/>
  <c r="F157" i="62924"/>
  <c r="G157" i="62924" s="1"/>
  <c r="F158" i="62924"/>
  <c r="G158" i="62924" s="1"/>
  <c r="F159" i="62924"/>
  <c r="F160" i="62924"/>
  <c r="F161" i="62924"/>
  <c r="G161" i="62924" s="1"/>
  <c r="F162" i="62924"/>
  <c r="G162" i="62924" s="1"/>
  <c r="F163" i="62924"/>
  <c r="G163" i="62924" s="1"/>
  <c r="F164" i="62924"/>
  <c r="G164" i="62924" s="1"/>
  <c r="F165" i="62924"/>
  <c r="G165" i="62924" s="1"/>
  <c r="F166" i="62924"/>
  <c r="G166" i="62924" s="1"/>
  <c r="F167" i="62924"/>
  <c r="F168" i="62924"/>
  <c r="F169" i="62924"/>
  <c r="G169" i="62924" s="1"/>
  <c r="F170" i="62924"/>
  <c r="G170" i="62924" s="1"/>
  <c r="F171" i="62924"/>
  <c r="G171" i="62924" s="1"/>
  <c r="F172" i="62924"/>
  <c r="G172" i="62924" s="1"/>
  <c r="F173" i="62924"/>
  <c r="G173" i="62924" s="1"/>
  <c r="F174" i="62924"/>
  <c r="G174" i="62924" s="1"/>
  <c r="F175" i="62924"/>
  <c r="F176" i="62924"/>
  <c r="F177" i="62924"/>
  <c r="G177" i="62924" s="1"/>
  <c r="F178" i="62924"/>
  <c r="G178" i="62924" s="1"/>
  <c r="F179" i="62924"/>
  <c r="G179" i="62924" s="1"/>
  <c r="F180" i="62924"/>
  <c r="G180" i="62924" s="1"/>
  <c r="F181" i="62924"/>
  <c r="G181" i="62924" s="1"/>
  <c r="F182" i="62924"/>
  <c r="G182" i="62924" s="1"/>
  <c r="F183" i="62924"/>
  <c r="F184" i="62924"/>
  <c r="F185" i="62924"/>
  <c r="G185" i="62924" s="1"/>
  <c r="F186" i="62924"/>
  <c r="G186" i="62924" s="1"/>
  <c r="F187" i="62924"/>
  <c r="G187" i="62924" s="1"/>
  <c r="F188" i="62924"/>
  <c r="G188" i="62924" s="1"/>
  <c r="F189" i="62924"/>
  <c r="G189" i="62924" s="1"/>
  <c r="F190" i="62924"/>
  <c r="G190" i="62924" s="1"/>
  <c r="F191" i="62924"/>
  <c r="F192" i="62924"/>
  <c r="F193" i="62924"/>
  <c r="G193" i="62924" s="1"/>
  <c r="F194" i="62924"/>
  <c r="G194" i="62924" s="1"/>
  <c r="F195" i="62924"/>
  <c r="G195" i="62924" s="1"/>
  <c r="F196" i="62924"/>
  <c r="G196" i="62924" s="1"/>
  <c r="F197" i="62924"/>
  <c r="G197" i="62924" s="1"/>
  <c r="F198" i="62924"/>
  <c r="G198" i="62924" s="1"/>
  <c r="F199" i="62924"/>
  <c r="F200" i="62924"/>
  <c r="F201" i="62924"/>
  <c r="G201" i="62924" s="1"/>
  <c r="F202" i="62924"/>
  <c r="G202" i="62924" s="1"/>
  <c r="F203" i="62924"/>
  <c r="G203" i="62924" s="1"/>
  <c r="F204" i="62924"/>
  <c r="G204" i="62924" s="1"/>
  <c r="F205" i="62924"/>
  <c r="G205" i="62924" s="1"/>
  <c r="F206" i="62924"/>
  <c r="G206" i="62924" s="1"/>
  <c r="F207" i="62924"/>
  <c r="F208" i="62924"/>
  <c r="F209" i="62924"/>
  <c r="G209" i="62924" s="1"/>
  <c r="F210" i="62924"/>
  <c r="G210" i="62924" s="1"/>
  <c r="F211" i="62924"/>
  <c r="G211" i="62924" s="1"/>
  <c r="F212" i="62924"/>
  <c r="G212" i="62924" s="1"/>
  <c r="F213" i="62924"/>
  <c r="G213" i="62924" s="1"/>
  <c r="F214" i="62924"/>
  <c r="G214" i="62924" s="1"/>
  <c r="G1216" i="62919" l="1"/>
  <c r="G1215" i="62919"/>
  <c r="G703" i="62917"/>
  <c r="G701" i="62917"/>
  <c r="G699" i="62917"/>
  <c r="G697" i="62917"/>
  <c r="G247" i="62922"/>
  <c r="G245" i="62922"/>
  <c r="G243" i="62922"/>
  <c r="G241" i="62922"/>
  <c r="G207" i="62924"/>
  <c r="G199" i="62924"/>
  <c r="G191" i="62924"/>
  <c r="G183" i="62924"/>
  <c r="G175" i="62924"/>
  <c r="G167" i="62924"/>
  <c r="G159" i="62924"/>
  <c r="G151" i="62924"/>
  <c r="G149" i="62924"/>
  <c r="G208" i="62924"/>
  <c r="G200" i="62924"/>
  <c r="G192" i="62924"/>
  <c r="G184" i="62924"/>
  <c r="G176" i="62924"/>
  <c r="G168" i="62924"/>
  <c r="G160" i="62924"/>
  <c r="G152" i="62924"/>
  <c r="F307" i="62919"/>
  <c r="F308" i="62919"/>
  <c r="G308" i="62919" s="1"/>
  <c r="F309" i="62919"/>
  <c r="G309" i="62919" s="1"/>
  <c r="F310" i="62919"/>
  <c r="F311" i="62919"/>
  <c r="G311" i="62919" s="1"/>
  <c r="F312" i="62919"/>
  <c r="G312" i="62919" s="1"/>
  <c r="F313" i="62919"/>
  <c r="G313" i="62919" s="1"/>
  <c r="F314" i="62919"/>
  <c r="F315" i="62919"/>
  <c r="G315" i="62919" s="1"/>
  <c r="F316" i="62919"/>
  <c r="G316" i="62919" s="1"/>
  <c r="F317" i="62919"/>
  <c r="G317" i="62919" s="1"/>
  <c r="F318" i="62919"/>
  <c r="F319" i="62919"/>
  <c r="G319" i="62919" s="1"/>
  <c r="F320" i="62919"/>
  <c r="G320" i="62919" s="1"/>
  <c r="F321" i="62919"/>
  <c r="G321" i="62919" s="1"/>
  <c r="F322" i="62919"/>
  <c r="F323" i="62919"/>
  <c r="G323" i="62919" s="1"/>
  <c r="F324" i="62919"/>
  <c r="G324" i="62919" s="1"/>
  <c r="F325" i="62919"/>
  <c r="G325" i="62919" s="1"/>
  <c r="F326" i="62919"/>
  <c r="F327" i="62919"/>
  <c r="G327" i="62919" s="1"/>
  <c r="F328" i="62919"/>
  <c r="G328" i="62919" s="1"/>
  <c r="F329" i="62919"/>
  <c r="G329" i="62919" s="1"/>
  <c r="F330" i="62919"/>
  <c r="F331" i="62919"/>
  <c r="G331" i="62919" s="1"/>
  <c r="F332" i="62919"/>
  <c r="G332" i="62919" s="1"/>
  <c r="F333" i="62919"/>
  <c r="G333" i="62919" s="1"/>
  <c r="F334" i="62919"/>
  <c r="F335" i="62919"/>
  <c r="G335" i="62919" s="1"/>
  <c r="F336" i="62919"/>
  <c r="G336" i="62919" s="1"/>
  <c r="F337" i="62919"/>
  <c r="G337" i="62919" s="1"/>
  <c r="F338" i="62919"/>
  <c r="F290" i="62919"/>
  <c r="F291" i="62919"/>
  <c r="G291" i="62919" s="1"/>
  <c r="F292" i="62919"/>
  <c r="G292" i="62919" s="1"/>
  <c r="F293" i="62919"/>
  <c r="G293" i="62919" s="1"/>
  <c r="F294" i="62919"/>
  <c r="G294" i="62919" s="1"/>
  <c r="F295" i="62919"/>
  <c r="G295" i="62919" s="1"/>
  <c r="F296" i="62919"/>
  <c r="F297" i="62919"/>
  <c r="G297" i="62919" s="1"/>
  <c r="F298" i="62919"/>
  <c r="F299" i="62919"/>
  <c r="G299" i="62919" s="1"/>
  <c r="F300" i="62919"/>
  <c r="G300" i="62919" s="1"/>
  <c r="F301" i="62919"/>
  <c r="G301" i="62919" s="1"/>
  <c r="F302" i="62919"/>
  <c r="G302" i="62919" s="1"/>
  <c r="F303" i="62919"/>
  <c r="G303" i="62919" s="1"/>
  <c r="F707" i="62917"/>
  <c r="E707" i="62917" s="1"/>
  <c r="E708" i="62917" l="1"/>
  <c r="E709" i="62917" s="1"/>
  <c r="G338" i="62919"/>
  <c r="G330" i="62919"/>
  <c r="G322" i="62919"/>
  <c r="G314" i="62919"/>
  <c r="G307" i="62919"/>
  <c r="G334" i="62919"/>
  <c r="G326" i="62919"/>
  <c r="G318" i="62919"/>
  <c r="G310" i="62919"/>
  <c r="G298" i="62919"/>
  <c r="G290" i="62919"/>
  <c r="G296" i="62919"/>
  <c r="D707" i="62917"/>
  <c r="G707" i="62917"/>
  <c r="D708" i="62917" l="1"/>
  <c r="D709" i="62917" s="1"/>
  <c r="E710" i="62917"/>
  <c r="C707" i="62917"/>
  <c r="E711" i="62917" l="1"/>
  <c r="E712" i="62917" s="1"/>
  <c r="D710" i="62917"/>
  <c r="D711" i="62917" l="1"/>
  <c r="C708" i="62917" s="1"/>
  <c r="E713" i="62917"/>
  <c r="D712" i="62917" l="1"/>
  <c r="D713" i="62917" s="1"/>
  <c r="E714" i="62917"/>
  <c r="F97" i="62917"/>
  <c r="F98" i="62917"/>
  <c r="G98" i="62917" s="1"/>
  <c r="F99" i="62917"/>
  <c r="F100" i="62917"/>
  <c r="G100" i="62917" s="1"/>
  <c r="F101" i="62917"/>
  <c r="F102" i="62917"/>
  <c r="G102" i="62917" s="1"/>
  <c r="F103" i="62917"/>
  <c r="F104" i="62917"/>
  <c r="G104" i="62917" s="1"/>
  <c r="F105" i="62917"/>
  <c r="F106" i="62917"/>
  <c r="G106" i="62917" s="1"/>
  <c r="F107" i="62917"/>
  <c r="F108" i="62917"/>
  <c r="G108" i="62917" s="1"/>
  <c r="F109" i="62917"/>
  <c r="F110" i="62917"/>
  <c r="G110" i="62917" s="1"/>
  <c r="F111" i="62917"/>
  <c r="F112" i="62917"/>
  <c r="G112" i="62917" s="1"/>
  <c r="F113" i="62917"/>
  <c r="F114" i="62917"/>
  <c r="G114" i="62917" s="1"/>
  <c r="F115" i="62917"/>
  <c r="F116" i="62917"/>
  <c r="G116" i="62917" s="1"/>
  <c r="F117" i="62917"/>
  <c r="F118" i="62917"/>
  <c r="G118" i="62917" s="1"/>
  <c r="F119" i="62917"/>
  <c r="F120" i="62917"/>
  <c r="F121" i="62917"/>
  <c r="F122" i="62917"/>
  <c r="F123" i="62917"/>
  <c r="F124" i="62917"/>
  <c r="F125" i="62917"/>
  <c r="F126" i="62917"/>
  <c r="F127" i="62917"/>
  <c r="F128" i="62917"/>
  <c r="F129" i="62917"/>
  <c r="F130" i="62917"/>
  <c r="F131" i="62917"/>
  <c r="F132" i="62917"/>
  <c r="F133" i="62917"/>
  <c r="F134" i="62917"/>
  <c r="F135" i="62917"/>
  <c r="F136" i="62917"/>
  <c r="F137" i="62917"/>
  <c r="F138" i="62917"/>
  <c r="F139" i="62917"/>
  <c r="F140" i="62917"/>
  <c r="F141" i="62917"/>
  <c r="F142" i="62917"/>
  <c r="F143" i="62917"/>
  <c r="F144" i="62917"/>
  <c r="F145" i="62917"/>
  <c r="F146" i="62917"/>
  <c r="F147" i="62917"/>
  <c r="F148" i="62917"/>
  <c r="F149" i="62917"/>
  <c r="F150" i="62917"/>
  <c r="F151" i="62917"/>
  <c r="F152" i="62917"/>
  <c r="F153" i="62917"/>
  <c r="F154" i="62917"/>
  <c r="F155" i="62917"/>
  <c r="F156" i="62917"/>
  <c r="F157" i="62917"/>
  <c r="F158" i="62917"/>
  <c r="F159" i="62917"/>
  <c r="F160" i="62917"/>
  <c r="F161" i="62917"/>
  <c r="F162" i="62917"/>
  <c r="F163" i="62917"/>
  <c r="F164" i="62917"/>
  <c r="F165" i="62917"/>
  <c r="F166" i="62917"/>
  <c r="F167" i="62917"/>
  <c r="F168" i="62917"/>
  <c r="F169" i="62917"/>
  <c r="AN229" i="9"/>
  <c r="AN230" i="9"/>
  <c r="AL229" i="9"/>
  <c r="AL230" i="9"/>
  <c r="AJ229" i="9"/>
  <c r="AJ230" i="9"/>
  <c r="AP230" i="9" s="1"/>
  <c r="AH229" i="9"/>
  <c r="AH230" i="9"/>
  <c r="AP229" i="9" l="1"/>
  <c r="D714" i="62917"/>
  <c r="E715" i="62917"/>
  <c r="G168" i="62917"/>
  <c r="G155" i="62917"/>
  <c r="G149" i="62917"/>
  <c r="G142" i="62917"/>
  <c r="G136" i="62917"/>
  <c r="G123" i="62917"/>
  <c r="G167" i="62917"/>
  <c r="G161" i="62917"/>
  <c r="G154" i="62917"/>
  <c r="G148" i="62917"/>
  <c r="G135" i="62917"/>
  <c r="G129" i="62917"/>
  <c r="G122" i="62917"/>
  <c r="G166" i="62917"/>
  <c r="G160" i="62917"/>
  <c r="G147" i="62917"/>
  <c r="G141" i="62917"/>
  <c r="G134" i="62917"/>
  <c r="G128" i="62917"/>
  <c r="G159" i="62917"/>
  <c r="G153" i="62917"/>
  <c r="G146" i="62917"/>
  <c r="G140" i="62917"/>
  <c r="G127" i="62917"/>
  <c r="G121" i="62917"/>
  <c r="G165" i="62917"/>
  <c r="G158" i="62917"/>
  <c r="G152" i="62917"/>
  <c r="G139" i="62917"/>
  <c r="G133" i="62917"/>
  <c r="G126" i="62917"/>
  <c r="G120" i="62917"/>
  <c r="G164" i="62917"/>
  <c r="G151" i="62917"/>
  <c r="G145" i="62917"/>
  <c r="G138" i="62917"/>
  <c r="G132" i="62917"/>
  <c r="G119" i="62917"/>
  <c r="G163" i="62917"/>
  <c r="G157" i="62917"/>
  <c r="G150" i="62917"/>
  <c r="G144" i="62917"/>
  <c r="G131" i="62917"/>
  <c r="G125" i="62917"/>
  <c r="G169" i="62917"/>
  <c r="G162" i="62917"/>
  <c r="G156" i="62917"/>
  <c r="G143" i="62917"/>
  <c r="G137" i="62917"/>
  <c r="G130" i="62917"/>
  <c r="G124" i="62917"/>
  <c r="G117" i="62917"/>
  <c r="G115" i="62917"/>
  <c r="G113" i="62917"/>
  <c r="G111" i="62917"/>
  <c r="G109" i="62917"/>
  <c r="G107" i="62917"/>
  <c r="G105" i="62917"/>
  <c r="G103" i="62917"/>
  <c r="G101" i="62917"/>
  <c r="G99" i="62917"/>
  <c r="G97" i="62917"/>
  <c r="F1397" i="62919"/>
  <c r="F1398" i="62919"/>
  <c r="G1398" i="62919" s="1"/>
  <c r="F1399" i="62919"/>
  <c r="F1400" i="62919"/>
  <c r="G1400" i="62919" s="1"/>
  <c r="F1401" i="62919"/>
  <c r="G1401" i="62919" s="1"/>
  <c r="F1402" i="62919"/>
  <c r="G1402" i="62919" s="1"/>
  <c r="F1403" i="62919"/>
  <c r="G1403" i="62919" s="1"/>
  <c r="F1404" i="62919"/>
  <c r="G1404" i="62919" s="1"/>
  <c r="F1405" i="62919"/>
  <c r="F1406" i="62919"/>
  <c r="G1406" i="62919" s="1"/>
  <c r="F1407" i="62919"/>
  <c r="F1408" i="62919"/>
  <c r="G1408" i="62919" s="1"/>
  <c r="F1409" i="62919"/>
  <c r="G1409" i="62919" s="1"/>
  <c r="F1410" i="62919"/>
  <c r="G1410" i="62919" s="1"/>
  <c r="F1411" i="62919"/>
  <c r="G1411" i="62919" s="1"/>
  <c r="F1412" i="62919"/>
  <c r="G1412" i="62919" s="1"/>
  <c r="F1413" i="62919"/>
  <c r="F1414" i="62919"/>
  <c r="G1414" i="62919" s="1"/>
  <c r="F1415" i="62919"/>
  <c r="F1416" i="62919"/>
  <c r="G1416" i="62919" s="1"/>
  <c r="F1417" i="62919"/>
  <c r="G1417" i="62919" s="1"/>
  <c r="F1418" i="62919"/>
  <c r="G1418" i="62919" s="1"/>
  <c r="F1419" i="62919"/>
  <c r="G1419" i="62919" s="1"/>
  <c r="F1420" i="62919"/>
  <c r="G1420" i="62919" s="1"/>
  <c r="F1421" i="62919"/>
  <c r="F1422" i="62919"/>
  <c r="G1422" i="62919" s="1"/>
  <c r="F1423" i="62919"/>
  <c r="F1424" i="62919"/>
  <c r="G1424" i="62919" s="1"/>
  <c r="F1425" i="62919"/>
  <c r="G1425" i="62919" s="1"/>
  <c r="F1426" i="62919"/>
  <c r="G1426" i="62919" s="1"/>
  <c r="F1427" i="62919"/>
  <c r="G1427" i="62919" s="1"/>
  <c r="F1428" i="62919"/>
  <c r="G1428" i="62919" s="1"/>
  <c r="F1429" i="62919"/>
  <c r="F1430" i="62919"/>
  <c r="G1430" i="62919" s="1"/>
  <c r="F1431" i="62919"/>
  <c r="F1432" i="62919"/>
  <c r="G1432" i="62919" s="1"/>
  <c r="F1433" i="62919"/>
  <c r="G1433" i="62919" s="1"/>
  <c r="F1434" i="62919"/>
  <c r="G1434" i="62919" s="1"/>
  <c r="F1435" i="62919"/>
  <c r="G1435" i="62919" s="1"/>
  <c r="F1436" i="62919"/>
  <c r="G1436" i="62919" s="1"/>
  <c r="F1437" i="62919"/>
  <c r="F1438" i="62919"/>
  <c r="G1438" i="62919" s="1"/>
  <c r="F1439" i="62919"/>
  <c r="F1440" i="62919"/>
  <c r="G1440" i="62919" s="1"/>
  <c r="F1441" i="62919"/>
  <c r="G1441" i="62919" s="1"/>
  <c r="F1442" i="62919"/>
  <c r="G1442" i="62919" s="1"/>
  <c r="F1443" i="62919"/>
  <c r="G1443" i="62919" s="1"/>
  <c r="F1444" i="62919"/>
  <c r="G1444" i="62919" s="1"/>
  <c r="F1445" i="62919"/>
  <c r="F1446" i="62919"/>
  <c r="G1446" i="62919" s="1"/>
  <c r="F1447" i="62919"/>
  <c r="F1448" i="62919"/>
  <c r="G1448" i="62919" s="1"/>
  <c r="F1449" i="62919"/>
  <c r="G1449" i="62919" s="1"/>
  <c r="F1450" i="62919"/>
  <c r="G1450" i="62919" s="1"/>
  <c r="F1451" i="62919"/>
  <c r="G1451" i="62919" s="1"/>
  <c r="F1452" i="62919"/>
  <c r="G1452" i="62919" s="1"/>
  <c r="F1453" i="62919"/>
  <c r="F1454" i="62919"/>
  <c r="G1454" i="62919" s="1"/>
  <c r="F1455" i="62919"/>
  <c r="F1456" i="62919"/>
  <c r="G1456" i="62919" s="1"/>
  <c r="F1457" i="62919"/>
  <c r="G1457" i="62919" s="1"/>
  <c r="F1458" i="62919"/>
  <c r="G1458" i="62919" s="1"/>
  <c r="F1459" i="62919"/>
  <c r="G1459" i="62919" s="1"/>
  <c r="F1460" i="62919"/>
  <c r="G1460" i="62919" s="1"/>
  <c r="F1461" i="62919"/>
  <c r="F1462" i="62919"/>
  <c r="G1462" i="62919" s="1"/>
  <c r="F1463" i="62919"/>
  <c r="F1464" i="62919"/>
  <c r="G1464" i="62919" s="1"/>
  <c r="F1465" i="62919"/>
  <c r="G1465" i="62919" s="1"/>
  <c r="F1466" i="62919"/>
  <c r="G1466" i="62919" s="1"/>
  <c r="F1467" i="62919"/>
  <c r="G1467" i="62919" s="1"/>
  <c r="F1468" i="62919"/>
  <c r="G1468" i="62919" s="1"/>
  <c r="F1469" i="62919"/>
  <c r="F1470" i="62919"/>
  <c r="G1470" i="62919" s="1"/>
  <c r="F1471" i="62919"/>
  <c r="F1472" i="62919"/>
  <c r="G1472" i="62919" s="1"/>
  <c r="F1473" i="62919"/>
  <c r="G1473" i="62919" s="1"/>
  <c r="F1474" i="62919"/>
  <c r="G1474" i="62919" s="1"/>
  <c r="F1475" i="62919"/>
  <c r="G1475" i="62919" s="1"/>
  <c r="F1476" i="62919"/>
  <c r="G1476" i="62919" s="1"/>
  <c r="F1477" i="62919"/>
  <c r="F1478" i="62919"/>
  <c r="G1478" i="62919" s="1"/>
  <c r="F1479" i="62919"/>
  <c r="F1480" i="62919"/>
  <c r="G1480" i="62919" s="1"/>
  <c r="F1481" i="62919"/>
  <c r="G1481" i="62919" s="1"/>
  <c r="F1482" i="62919"/>
  <c r="G1482" i="62919" s="1"/>
  <c r="F1483" i="62919"/>
  <c r="G1483" i="62919" s="1"/>
  <c r="F1484" i="62919"/>
  <c r="G1484" i="62919" s="1"/>
  <c r="F1485" i="62919"/>
  <c r="F1486" i="62919"/>
  <c r="G1486" i="62919" s="1"/>
  <c r="F1487" i="62919"/>
  <c r="F1488" i="62919"/>
  <c r="G1488" i="62919" s="1"/>
  <c r="F1489" i="62919"/>
  <c r="G1489" i="62919" s="1"/>
  <c r="F1490" i="62919"/>
  <c r="G1490" i="62919" s="1"/>
  <c r="F1491" i="62919"/>
  <c r="G1491" i="62919" s="1"/>
  <c r="F1492" i="62919"/>
  <c r="G1492" i="62919" s="1"/>
  <c r="F1493" i="62919"/>
  <c r="F1494" i="62919"/>
  <c r="G1494" i="62919" s="1"/>
  <c r="F1495" i="62919"/>
  <c r="F1496" i="62919"/>
  <c r="G1496" i="62919" s="1"/>
  <c r="F1497" i="62919"/>
  <c r="G1497" i="62919" s="1"/>
  <c r="F1498" i="62919"/>
  <c r="G1498" i="62919" s="1"/>
  <c r="F1499" i="62919"/>
  <c r="G1499" i="62919" s="1"/>
  <c r="F1500" i="62919"/>
  <c r="G1500" i="62919" s="1"/>
  <c r="F1501" i="62919"/>
  <c r="F1502" i="62919"/>
  <c r="G1502" i="62919" s="1"/>
  <c r="F1503" i="62919"/>
  <c r="F1504" i="62919"/>
  <c r="G1504" i="62919" s="1"/>
  <c r="F1505" i="62919"/>
  <c r="G1505" i="62919" s="1"/>
  <c r="F1506" i="62919"/>
  <c r="G1506" i="62919" s="1"/>
  <c r="F1507" i="62919"/>
  <c r="G1507" i="62919" s="1"/>
  <c r="F1508" i="62919"/>
  <c r="G1508" i="62919" s="1"/>
  <c r="F1509" i="62919"/>
  <c r="F1510" i="62919"/>
  <c r="G1510" i="62919" s="1"/>
  <c r="F1511" i="62919"/>
  <c r="F1512" i="62919"/>
  <c r="G1512" i="62919" s="1"/>
  <c r="F1513" i="62919"/>
  <c r="G1513" i="62919" s="1"/>
  <c r="F1514" i="62919"/>
  <c r="G1514" i="62919" s="1"/>
  <c r="F1515" i="62919"/>
  <c r="G1515" i="62919" s="1"/>
  <c r="F1516" i="62919"/>
  <c r="G1516" i="62919" s="1"/>
  <c r="F1517" i="62919"/>
  <c r="F1518" i="62919"/>
  <c r="G1518" i="62919" s="1"/>
  <c r="F1519" i="62919"/>
  <c r="F1520" i="62919"/>
  <c r="G1520" i="62919" s="1"/>
  <c r="F1521" i="62919"/>
  <c r="G1521" i="62919" s="1"/>
  <c r="F1522" i="62919"/>
  <c r="G1522" i="62919" s="1"/>
  <c r="F1523" i="62919"/>
  <c r="G1523" i="62919" s="1"/>
  <c r="F1524" i="62919"/>
  <c r="G1524" i="62919" s="1"/>
  <c r="F1525" i="62919"/>
  <c r="F1526" i="62919"/>
  <c r="G1526" i="62919" s="1"/>
  <c r="F1527" i="62919"/>
  <c r="F1528" i="62919"/>
  <c r="G1528" i="62919" s="1"/>
  <c r="F1529" i="62919"/>
  <c r="G1529" i="62919" s="1"/>
  <c r="F1530" i="62919"/>
  <c r="G1530" i="62919" s="1"/>
  <c r="F1531" i="62919"/>
  <c r="G1531" i="62919" s="1"/>
  <c r="F1532" i="62919"/>
  <c r="G1532" i="62919" s="1"/>
  <c r="F1533" i="62919"/>
  <c r="F1534" i="62919"/>
  <c r="G1534" i="62919" s="1"/>
  <c r="F1535" i="62919"/>
  <c r="F1536" i="62919"/>
  <c r="G1536" i="62919" s="1"/>
  <c r="F1537" i="62919"/>
  <c r="G1537" i="62919" s="1"/>
  <c r="F1538" i="62919"/>
  <c r="G1538" i="62919" s="1"/>
  <c r="F1539" i="62919"/>
  <c r="G1539" i="62919" s="1"/>
  <c r="F1540" i="62919"/>
  <c r="G1540" i="62919" s="1"/>
  <c r="F1541" i="62919"/>
  <c r="F1542" i="62919"/>
  <c r="G1542" i="62919" s="1"/>
  <c r="F1543" i="62919"/>
  <c r="F1544" i="62919"/>
  <c r="G1544" i="62919" s="1"/>
  <c r="F1545" i="62919"/>
  <c r="G1545" i="62919" s="1"/>
  <c r="F1546" i="62919"/>
  <c r="G1546" i="62919" s="1"/>
  <c r="F1547" i="62919"/>
  <c r="G1547" i="62919" s="1"/>
  <c r="F1548" i="62919"/>
  <c r="G1548" i="62919" s="1"/>
  <c r="F1549" i="62919"/>
  <c r="F1550" i="62919"/>
  <c r="G1550" i="62919" s="1"/>
  <c r="F1551" i="62919"/>
  <c r="F1552" i="62919"/>
  <c r="G1552" i="62919" s="1"/>
  <c r="F1553" i="62919"/>
  <c r="G1553" i="62919" s="1"/>
  <c r="F1326" i="62919"/>
  <c r="F1327" i="62919"/>
  <c r="G1327" i="62919" s="1"/>
  <c r="F1328" i="62919"/>
  <c r="G1328" i="62919" s="1"/>
  <c r="F1329" i="62919"/>
  <c r="F1330" i="62919"/>
  <c r="G1330" i="62919" s="1"/>
  <c r="F1331" i="62919"/>
  <c r="F1332" i="62919"/>
  <c r="G1332" i="62919" s="1"/>
  <c r="F1333" i="62919"/>
  <c r="G1333" i="62919" s="1"/>
  <c r="F1334" i="62919"/>
  <c r="G1334" i="62919" s="1"/>
  <c r="F1335" i="62919"/>
  <c r="G1335" i="62919" s="1"/>
  <c r="F1336" i="62919"/>
  <c r="G1336" i="62919" s="1"/>
  <c r="F1337" i="62919"/>
  <c r="F1338" i="62919"/>
  <c r="G1338" i="62919" s="1"/>
  <c r="F1339" i="62919"/>
  <c r="F1340" i="62919"/>
  <c r="G1340" i="62919" s="1"/>
  <c r="F1341" i="62919"/>
  <c r="G1341" i="62919" s="1"/>
  <c r="F1342" i="62919"/>
  <c r="G1342" i="62919" s="1"/>
  <c r="F1343" i="62919"/>
  <c r="G1343" i="62919" s="1"/>
  <c r="F1344" i="62919"/>
  <c r="G1344" i="62919" s="1"/>
  <c r="F1345" i="62919"/>
  <c r="F1346" i="62919"/>
  <c r="G1346" i="62919" s="1"/>
  <c r="F1347" i="62919"/>
  <c r="F1348" i="62919"/>
  <c r="G1348" i="62919" s="1"/>
  <c r="F1349" i="62919"/>
  <c r="G1349" i="62919" s="1"/>
  <c r="F1350" i="62919"/>
  <c r="G1350" i="62919" s="1"/>
  <c r="F1351" i="62919"/>
  <c r="G1351" i="62919" s="1"/>
  <c r="F1352" i="62919"/>
  <c r="G1352" i="62919" s="1"/>
  <c r="F1353" i="62919"/>
  <c r="F1354" i="62919"/>
  <c r="G1354" i="62919" s="1"/>
  <c r="F1355" i="62919"/>
  <c r="F1356" i="62919"/>
  <c r="G1356" i="62919" s="1"/>
  <c r="F1357" i="62919"/>
  <c r="G1357" i="62919" s="1"/>
  <c r="F1358" i="62919"/>
  <c r="G1358" i="62919" s="1"/>
  <c r="F1359" i="62919"/>
  <c r="G1359" i="62919" s="1"/>
  <c r="F1360" i="62919"/>
  <c r="G1360" i="62919" s="1"/>
  <c r="F1361" i="62919"/>
  <c r="F1557" i="62919"/>
  <c r="G1557" i="62919" s="1"/>
  <c r="F1558" i="62919"/>
  <c r="G1558" i="62919" s="1"/>
  <c r="F1559" i="62919"/>
  <c r="G1559" i="62919" s="1"/>
  <c r="F1560" i="62919"/>
  <c r="G1560" i="62919" s="1"/>
  <c r="F1561" i="62919"/>
  <c r="G1561" i="62919" s="1"/>
  <c r="F1562" i="62919"/>
  <c r="F1563" i="62919"/>
  <c r="G1563" i="62919" s="1"/>
  <c r="F1564" i="62919"/>
  <c r="G1564" i="62919" s="1"/>
  <c r="F1565" i="62919"/>
  <c r="G1565" i="62919" s="1"/>
  <c r="F1566" i="62919"/>
  <c r="G1566" i="62919" s="1"/>
  <c r="F1567" i="62919"/>
  <c r="G1567" i="62919" s="1"/>
  <c r="F1568" i="62919"/>
  <c r="G1568" i="62919" s="1"/>
  <c r="F1569" i="62919"/>
  <c r="G1569" i="62919" s="1"/>
  <c r="F1570" i="62919"/>
  <c r="F1571" i="62919"/>
  <c r="G1571" i="62919" s="1"/>
  <c r="F1572" i="62919"/>
  <c r="G1572" i="62919" s="1"/>
  <c r="F1573" i="62919"/>
  <c r="G1573" i="62919" s="1"/>
  <c r="F1574" i="62919"/>
  <c r="G1574" i="62919" s="1"/>
  <c r="F1575" i="62919"/>
  <c r="G1575" i="62919" s="1"/>
  <c r="F1576" i="62919"/>
  <c r="G1576" i="62919" s="1"/>
  <c r="F1577" i="62919"/>
  <c r="G1577" i="62919" s="1"/>
  <c r="F1578" i="62919"/>
  <c r="F1579" i="62919"/>
  <c r="G1579" i="62919" s="1"/>
  <c r="F1580" i="62919"/>
  <c r="G1580" i="62919" s="1"/>
  <c r="F1581" i="62919"/>
  <c r="G1581" i="62919" s="1"/>
  <c r="F1582" i="62919"/>
  <c r="G1582" i="62919" s="1"/>
  <c r="F1583" i="62919"/>
  <c r="F1584" i="62919"/>
  <c r="G1584" i="62919" s="1"/>
  <c r="F1585" i="62919"/>
  <c r="G1585" i="62919" s="1"/>
  <c r="F1586" i="62919"/>
  <c r="G1586" i="62919" s="1"/>
  <c r="F1587" i="62919"/>
  <c r="G1587" i="62919" s="1"/>
  <c r="F1588" i="62919"/>
  <c r="G1588" i="62919" s="1"/>
  <c r="F1589" i="62919"/>
  <c r="G1589" i="62919" s="1"/>
  <c r="F1590" i="62919"/>
  <c r="G1590" i="62919" s="1"/>
  <c r="F1591" i="62919"/>
  <c r="F1592" i="62919"/>
  <c r="G1592" i="62919" s="1"/>
  <c r="F1593" i="62919"/>
  <c r="G1593" i="62919" s="1"/>
  <c r="F1594" i="62919"/>
  <c r="G1594" i="62919" s="1"/>
  <c r="F1595" i="62919"/>
  <c r="G1595" i="62919" s="1"/>
  <c r="F1596" i="62919"/>
  <c r="G1596" i="62919" s="1"/>
  <c r="F1597" i="62919"/>
  <c r="G1597" i="62919" s="1"/>
  <c r="F1598" i="62919"/>
  <c r="G1598" i="62919" s="1"/>
  <c r="F1599" i="62919"/>
  <c r="F1600" i="62919"/>
  <c r="G1600" i="62919" s="1"/>
  <c r="F1601" i="62919"/>
  <c r="G1601" i="62919" s="1"/>
  <c r="F1602" i="62919"/>
  <c r="G1602" i="62919" s="1"/>
  <c r="F1603" i="62919"/>
  <c r="G1603" i="62919" s="1"/>
  <c r="F1604" i="62919"/>
  <c r="G1604" i="62919" s="1"/>
  <c r="F1605" i="62919"/>
  <c r="G1605" i="62919" s="1"/>
  <c r="F1606" i="62919"/>
  <c r="G1606" i="62919" s="1"/>
  <c r="F1607" i="62919"/>
  <c r="F1608" i="62919"/>
  <c r="G1608" i="62919" s="1"/>
  <c r="F1609" i="62919"/>
  <c r="G1609" i="62919" s="1"/>
  <c r="F1610" i="62919"/>
  <c r="G1610" i="62919" s="1"/>
  <c r="F1611" i="62919"/>
  <c r="G1611" i="62919" s="1"/>
  <c r="F1612" i="62919"/>
  <c r="G1612" i="62919" s="1"/>
  <c r="F1613" i="62919"/>
  <c r="G1613" i="62919" s="1"/>
  <c r="F1614" i="62919"/>
  <c r="G1614" i="62919" s="1"/>
  <c r="F1615" i="62919"/>
  <c r="F1616" i="62919"/>
  <c r="G1616" i="62919" s="1"/>
  <c r="F1617" i="62919"/>
  <c r="G1617" i="62919" s="1"/>
  <c r="F1618" i="62919"/>
  <c r="G1618" i="62919" s="1"/>
  <c r="F1619" i="62919"/>
  <c r="G1619" i="62919" s="1"/>
  <c r="F1620" i="62919"/>
  <c r="G1620" i="62919" s="1"/>
  <c r="F1621" i="62919"/>
  <c r="G1621" i="62919" s="1"/>
  <c r="F1622" i="62919"/>
  <c r="G1622" i="62919" s="1"/>
  <c r="F1623" i="62919"/>
  <c r="F1624" i="62919"/>
  <c r="G1624" i="62919" s="1"/>
  <c r="F1625" i="62919"/>
  <c r="G1625" i="62919" s="1"/>
  <c r="F1626" i="62919"/>
  <c r="G1626" i="62919" s="1"/>
  <c r="F1627" i="62919"/>
  <c r="G1627" i="62919" s="1"/>
  <c r="F1628" i="62919"/>
  <c r="G1628" i="62919" s="1"/>
  <c r="F1629" i="62919"/>
  <c r="G1629" i="62919" s="1"/>
  <c r="F1630" i="62919"/>
  <c r="G1630" i="62919" s="1"/>
  <c r="F1631" i="62919"/>
  <c r="F1632" i="62919"/>
  <c r="G1632" i="62919" s="1"/>
  <c r="F1633" i="62919"/>
  <c r="G1633" i="62919" s="1"/>
  <c r="F1634" i="62919"/>
  <c r="G1634" i="62919" s="1"/>
  <c r="F1635" i="62919"/>
  <c r="G1635" i="62919" s="1"/>
  <c r="F1636" i="62919"/>
  <c r="G1636" i="62919" s="1"/>
  <c r="F1637" i="62919"/>
  <c r="G1637" i="62919" s="1"/>
  <c r="F1638" i="62919"/>
  <c r="G1638" i="62919" s="1"/>
  <c r="F1639" i="62919"/>
  <c r="F1640" i="62919"/>
  <c r="G1640" i="62919" s="1"/>
  <c r="F1641" i="62919"/>
  <c r="G1641" i="62919" s="1"/>
  <c r="F1642" i="62919"/>
  <c r="G1642" i="62919" s="1"/>
  <c r="F1643" i="62919"/>
  <c r="G1643" i="62919" s="1"/>
  <c r="F1644" i="62919"/>
  <c r="G1644" i="62919" s="1"/>
  <c r="F1645" i="62919"/>
  <c r="G1645" i="62919" s="1"/>
  <c r="F1646" i="62919"/>
  <c r="G1646" i="62919" s="1"/>
  <c r="F1647" i="62919"/>
  <c r="F1648" i="62919"/>
  <c r="G1648" i="62919" s="1"/>
  <c r="F1649" i="62919"/>
  <c r="G1649" i="62919" s="1"/>
  <c r="F1650" i="62919"/>
  <c r="G1650" i="62919" s="1"/>
  <c r="F1651" i="62919"/>
  <c r="G1651" i="62919" s="1"/>
  <c r="F1652" i="62919"/>
  <c r="G1652" i="62919" s="1"/>
  <c r="F1653" i="62919"/>
  <c r="G1653" i="62919" s="1"/>
  <c r="F1654" i="62919"/>
  <c r="G1654" i="62919" s="1"/>
  <c r="F1655" i="62919"/>
  <c r="F1656" i="62919"/>
  <c r="G1656" i="62919" s="1"/>
  <c r="F1657" i="62919"/>
  <c r="G1657" i="62919" s="1"/>
  <c r="F1658" i="62919"/>
  <c r="G1658" i="62919" s="1"/>
  <c r="F1659" i="62919"/>
  <c r="G1659" i="62919" s="1"/>
  <c r="F1660" i="62919"/>
  <c r="G1660" i="62919" s="1"/>
  <c r="F1661" i="62919"/>
  <c r="G1661" i="62919" s="1"/>
  <c r="F1662" i="62919"/>
  <c r="G1662" i="62919" s="1"/>
  <c r="F1663" i="62919"/>
  <c r="F1664" i="62919"/>
  <c r="G1664" i="62919" s="1"/>
  <c r="F1665" i="62919"/>
  <c r="G1665" i="62919" s="1"/>
  <c r="F1666" i="62919"/>
  <c r="G1666" i="62919" s="1"/>
  <c r="F1667" i="62919"/>
  <c r="G1667" i="62919" s="1"/>
  <c r="F1668" i="62919"/>
  <c r="G1668" i="62919" s="1"/>
  <c r="F1669" i="62919"/>
  <c r="G1669" i="62919" s="1"/>
  <c r="F1670" i="62919"/>
  <c r="G1670" i="62919" s="1"/>
  <c r="F1671" i="62919"/>
  <c r="F1672" i="62919"/>
  <c r="G1672" i="62919" s="1"/>
  <c r="F1673" i="62919"/>
  <c r="G1673" i="62919" s="1"/>
  <c r="F1674" i="62919"/>
  <c r="G1674" i="62919" s="1"/>
  <c r="F1675" i="62919"/>
  <c r="G1675" i="62919" s="1"/>
  <c r="F1676" i="62919"/>
  <c r="G1676" i="62919" s="1"/>
  <c r="F1677" i="62919"/>
  <c r="G1677" i="62919" s="1"/>
  <c r="F1678" i="62919"/>
  <c r="G1678" i="62919" s="1"/>
  <c r="F1679" i="62919"/>
  <c r="F1680" i="62919"/>
  <c r="G1680" i="62919" s="1"/>
  <c r="F1681" i="62919"/>
  <c r="F1682" i="62919"/>
  <c r="G1682" i="62919" s="1"/>
  <c r="F1683" i="62919"/>
  <c r="G1683" i="62919" s="1"/>
  <c r="F1684" i="62919"/>
  <c r="G1684" i="62919" s="1"/>
  <c r="F1685" i="62919"/>
  <c r="G1685" i="62919" s="1"/>
  <c r="F1686" i="62919"/>
  <c r="G1686" i="62919" s="1"/>
  <c r="F1687" i="62919"/>
  <c r="F1688" i="62919"/>
  <c r="G1688" i="62919" s="1"/>
  <c r="F1689" i="62919"/>
  <c r="F1690" i="62919"/>
  <c r="G1690" i="62919" s="1"/>
  <c r="F1691" i="62919"/>
  <c r="G1691" i="62919" s="1"/>
  <c r="F1692" i="62919"/>
  <c r="G1692" i="62919" s="1"/>
  <c r="F1693" i="62919"/>
  <c r="G1693" i="62919" s="1"/>
  <c r="F1694" i="62919"/>
  <c r="G1694" i="62919" s="1"/>
  <c r="F1695" i="62919"/>
  <c r="F1696" i="62919"/>
  <c r="G1696" i="62919" s="1"/>
  <c r="F1697" i="62919"/>
  <c r="F1698" i="62919"/>
  <c r="G1698" i="62919" s="1"/>
  <c r="F1275" i="62919"/>
  <c r="F1276" i="62919"/>
  <c r="G1276" i="62919" s="1"/>
  <c r="F1277" i="62919"/>
  <c r="F1278" i="62919"/>
  <c r="F1279" i="62919"/>
  <c r="G1279" i="62919" s="1"/>
  <c r="F1280" i="62919"/>
  <c r="G1280" i="62919" s="1"/>
  <c r="F1281" i="62919"/>
  <c r="G1281" i="62919" s="1"/>
  <c r="F1282" i="62919"/>
  <c r="G1282" i="62919" s="1"/>
  <c r="F1283" i="62919"/>
  <c r="F1284" i="62919"/>
  <c r="G1284" i="62919" s="1"/>
  <c r="F1285" i="62919"/>
  <c r="F1286" i="62919"/>
  <c r="F1287" i="62919"/>
  <c r="G1287" i="62919" s="1"/>
  <c r="F1288" i="62919"/>
  <c r="G1288" i="62919" s="1"/>
  <c r="F1289" i="62919"/>
  <c r="G1289" i="62919" s="1"/>
  <c r="F1290" i="62919"/>
  <c r="G1290" i="62919" s="1"/>
  <c r="F1291" i="62919"/>
  <c r="G1291" i="62919" s="1"/>
  <c r="F1292" i="62919"/>
  <c r="G1292" i="62919" s="1"/>
  <c r="F1293" i="62919"/>
  <c r="F1294" i="62919"/>
  <c r="F1295" i="62919"/>
  <c r="G1295" i="62919" s="1"/>
  <c r="F1296" i="62919"/>
  <c r="G1296" i="62919" s="1"/>
  <c r="F1297" i="62919"/>
  <c r="G1297" i="62919" s="1"/>
  <c r="F1298" i="62919"/>
  <c r="G1298" i="62919" s="1"/>
  <c r="F1299" i="62919"/>
  <c r="G1299" i="62919" s="1"/>
  <c r="F1300" i="62919"/>
  <c r="G1300" i="62919" s="1"/>
  <c r="F1301" i="62919"/>
  <c r="F1302" i="62919"/>
  <c r="F1303" i="62919"/>
  <c r="G1303" i="62919" s="1"/>
  <c r="F1304" i="62919"/>
  <c r="G1304" i="62919" s="1"/>
  <c r="F1305" i="62919"/>
  <c r="G1305" i="62919" s="1"/>
  <c r="F1306" i="62919"/>
  <c r="G1306" i="62919" s="1"/>
  <c r="F1307" i="62919"/>
  <c r="G1307" i="62919" s="1"/>
  <c r="F1308" i="62919"/>
  <c r="G1308" i="62919" s="1"/>
  <c r="F1309" i="62919"/>
  <c r="F1310" i="62919"/>
  <c r="F1311" i="62919"/>
  <c r="G1311" i="62919" s="1"/>
  <c r="F1312" i="62919"/>
  <c r="G1312" i="62919" s="1"/>
  <c r="F1313" i="62919"/>
  <c r="G1313" i="62919" s="1"/>
  <c r="F1314" i="62919"/>
  <c r="G1314" i="62919" s="1"/>
  <c r="F1315" i="62919"/>
  <c r="G1315" i="62919" s="1"/>
  <c r="F1316" i="62919"/>
  <c r="G1316" i="62919" s="1"/>
  <c r="F1317" i="62919"/>
  <c r="F1318" i="62919"/>
  <c r="F1319" i="62919"/>
  <c r="G1319" i="62919" s="1"/>
  <c r="F1320" i="62919"/>
  <c r="G1320" i="62919" s="1"/>
  <c r="F1321" i="62919"/>
  <c r="G1321" i="62919" s="1"/>
  <c r="F1322" i="62919"/>
  <c r="G1322" i="62919" s="1"/>
  <c r="F1323" i="62919"/>
  <c r="G1323" i="62919" s="1"/>
  <c r="F1324" i="62919"/>
  <c r="G1324" i="62919" s="1"/>
  <c r="F1325" i="62919"/>
  <c r="F1740" i="62919"/>
  <c r="F1741" i="62919"/>
  <c r="G1741" i="62919" s="1"/>
  <c r="F1742" i="62919"/>
  <c r="F1743" i="62919"/>
  <c r="F1744" i="62919"/>
  <c r="G1744" i="62919" s="1"/>
  <c r="F1745" i="62919"/>
  <c r="G1745" i="62919" s="1"/>
  <c r="F1746" i="62919"/>
  <c r="G1746" i="62919" s="1"/>
  <c r="F1747" i="62919"/>
  <c r="G1747" i="62919" s="1"/>
  <c r="F1748" i="62919"/>
  <c r="G1748" i="62919" s="1"/>
  <c r="F1749" i="62919"/>
  <c r="G1749" i="62919" s="1"/>
  <c r="F1750" i="62919"/>
  <c r="F1751" i="62919"/>
  <c r="F1752" i="62919"/>
  <c r="G1752" i="62919" s="1"/>
  <c r="F1753" i="62919"/>
  <c r="G1753" i="62919" s="1"/>
  <c r="F1754" i="62919"/>
  <c r="G1754" i="62919" s="1"/>
  <c r="F1755" i="62919"/>
  <c r="G1755" i="62919" s="1"/>
  <c r="F1756" i="62919"/>
  <c r="G1756" i="62919" s="1"/>
  <c r="F1757" i="62919"/>
  <c r="G1757" i="62919" s="1"/>
  <c r="F1758" i="62919"/>
  <c r="F1759" i="62919"/>
  <c r="F1702" i="62919"/>
  <c r="F1703" i="62919"/>
  <c r="G1703" i="62919" s="1"/>
  <c r="F1704" i="62919"/>
  <c r="G1704" i="62919" s="1"/>
  <c r="F1705" i="62919"/>
  <c r="F1706" i="62919"/>
  <c r="G1706" i="62919" s="1"/>
  <c r="F1707" i="62919"/>
  <c r="F1708" i="62919"/>
  <c r="G1708" i="62919" s="1"/>
  <c r="F1709" i="62919"/>
  <c r="G1709" i="62919" s="1"/>
  <c r="F1710" i="62919"/>
  <c r="F1711" i="62919"/>
  <c r="G1711" i="62919" s="1"/>
  <c r="F1712" i="62919"/>
  <c r="G1712" i="62919" s="1"/>
  <c r="F1713" i="62919"/>
  <c r="F1714" i="62919"/>
  <c r="G1714" i="62919" s="1"/>
  <c r="F1715" i="62919"/>
  <c r="F1716" i="62919"/>
  <c r="G1716" i="62919" s="1"/>
  <c r="F1717" i="62919"/>
  <c r="G1717" i="62919" s="1"/>
  <c r="F1718" i="62919"/>
  <c r="G1718" i="62919" s="1"/>
  <c r="F1719" i="62919"/>
  <c r="G1719" i="62919" s="1"/>
  <c r="F1720" i="62919"/>
  <c r="G1720" i="62919" s="1"/>
  <c r="F1721" i="62919"/>
  <c r="F1722" i="62919"/>
  <c r="G1722" i="62919" s="1"/>
  <c r="F1723" i="62919"/>
  <c r="F1724" i="62919"/>
  <c r="G1724" i="62919" s="1"/>
  <c r="F1725" i="62919"/>
  <c r="G1725" i="62919" s="1"/>
  <c r="F1726" i="62919"/>
  <c r="G1726" i="62919" s="1"/>
  <c r="F1727" i="62919"/>
  <c r="G1727" i="62919" s="1"/>
  <c r="F1728" i="62919"/>
  <c r="G1728" i="62919" s="1"/>
  <c r="F1729" i="62919"/>
  <c r="F1730" i="62919"/>
  <c r="G1730" i="62919" s="1"/>
  <c r="F1731" i="62919"/>
  <c r="F1732" i="62919"/>
  <c r="G1732" i="62919" s="1"/>
  <c r="F1733" i="62919"/>
  <c r="G1733" i="62919" s="1"/>
  <c r="F1734" i="62919"/>
  <c r="G1734" i="62919" s="1"/>
  <c r="F1735" i="62919"/>
  <c r="G1735" i="62919" s="1"/>
  <c r="F1736" i="62919"/>
  <c r="G1736" i="62919" s="1"/>
  <c r="AC271" i="62928"/>
  <c r="AC272" i="62928"/>
  <c r="AC273" i="62928"/>
  <c r="AC270" i="62928"/>
  <c r="AC270" i="7"/>
  <c r="AC271" i="7"/>
  <c r="AC272" i="7"/>
  <c r="AC273" i="7"/>
  <c r="F1166" i="62919"/>
  <c r="G1166" i="62919" s="1"/>
  <c r="F1167" i="62919"/>
  <c r="G1167" i="62919" s="1"/>
  <c r="F1168" i="62919"/>
  <c r="G1168" i="62919" s="1"/>
  <c r="F1169" i="62919"/>
  <c r="G1169" i="62919" s="1"/>
  <c r="F1170" i="62919"/>
  <c r="G1170" i="62919" s="1"/>
  <c r="F1171" i="62919"/>
  <c r="G1171" i="62919" s="1"/>
  <c r="F1172" i="62919"/>
  <c r="G1172" i="62919" s="1"/>
  <c r="F1173" i="62919"/>
  <c r="G1173" i="62919" s="1"/>
  <c r="F1174" i="62919"/>
  <c r="G1174" i="62919" s="1"/>
  <c r="F1175" i="62919"/>
  <c r="G1175" i="62919" s="1"/>
  <c r="F1176" i="62919"/>
  <c r="G1176" i="62919" s="1"/>
  <c r="F1177" i="62919"/>
  <c r="G1177" i="62919" s="1"/>
  <c r="F1178" i="62919"/>
  <c r="G1178" i="62919" s="1"/>
  <c r="F1179" i="62919"/>
  <c r="G1179" i="62919" s="1"/>
  <c r="F1180" i="62919"/>
  <c r="G1180" i="62919" s="1"/>
  <c r="F1181" i="62919"/>
  <c r="G1181" i="62919" s="1"/>
  <c r="F1182" i="62919"/>
  <c r="G1182" i="62919" s="1"/>
  <c r="F1183" i="62919"/>
  <c r="G1183" i="62919" s="1"/>
  <c r="F1184" i="62919"/>
  <c r="G1184" i="62919" s="1"/>
  <c r="F1185" i="62919"/>
  <c r="G1185" i="62919" s="1"/>
  <c r="F1186" i="62919"/>
  <c r="G1186" i="62919" s="1"/>
  <c r="F1187" i="62919"/>
  <c r="G1187" i="62919" s="1"/>
  <c r="F1188" i="62919"/>
  <c r="G1188" i="62919" s="1"/>
  <c r="F1189" i="62919"/>
  <c r="G1189" i="62919" s="1"/>
  <c r="F1165" i="62919"/>
  <c r="E1165" i="62919" s="1"/>
  <c r="D1165" i="62919" s="1"/>
  <c r="AC196" i="62928"/>
  <c r="AC197" i="62928"/>
  <c r="AC198" i="62928"/>
  <c r="AC199" i="62928"/>
  <c r="AC200" i="62928"/>
  <c r="AC201" i="62928"/>
  <c r="AC196" i="7"/>
  <c r="AC197" i="7"/>
  <c r="AC198" i="7"/>
  <c r="AC199" i="7"/>
  <c r="F346" i="62919"/>
  <c r="G346" i="62919" s="1"/>
  <c r="F347" i="62919"/>
  <c r="G347" i="62919" s="1"/>
  <c r="F348" i="62919"/>
  <c r="G348" i="62919" s="1"/>
  <c r="F349" i="62919"/>
  <c r="G349" i="62919" s="1"/>
  <c r="F350" i="62919"/>
  <c r="G350" i="62919" s="1"/>
  <c r="F351" i="62919"/>
  <c r="G351" i="62919" s="1"/>
  <c r="F352" i="62919"/>
  <c r="G352" i="62919" s="1"/>
  <c r="F353" i="62919"/>
  <c r="G353" i="62919" s="1"/>
  <c r="F354" i="62919"/>
  <c r="G354" i="62919" s="1"/>
  <c r="F355" i="62919"/>
  <c r="G355" i="62919" s="1"/>
  <c r="F356" i="62919"/>
  <c r="G356" i="62919" s="1"/>
  <c r="F357" i="62919"/>
  <c r="G357" i="62919" s="1"/>
  <c r="F358" i="62919"/>
  <c r="G358" i="62919" s="1"/>
  <c r="F359" i="62919"/>
  <c r="G359" i="62919" s="1"/>
  <c r="F360" i="62919"/>
  <c r="G360" i="62919" s="1"/>
  <c r="F361" i="62919"/>
  <c r="G361" i="62919" s="1"/>
  <c r="F362" i="62919"/>
  <c r="G362" i="62919" s="1"/>
  <c r="F363" i="62919"/>
  <c r="G363" i="62919" s="1"/>
  <c r="F364" i="62919"/>
  <c r="G364" i="62919" s="1"/>
  <c r="F365" i="62919"/>
  <c r="G365" i="62919" s="1"/>
  <c r="F366" i="62919"/>
  <c r="G366" i="62919" s="1"/>
  <c r="F367" i="62919"/>
  <c r="G367" i="62919" s="1"/>
  <c r="F368" i="62919"/>
  <c r="G368" i="62919" s="1"/>
  <c r="F369" i="62919"/>
  <c r="G369" i="62919" s="1"/>
  <c r="F370" i="62919"/>
  <c r="G370" i="62919" s="1"/>
  <c r="F371" i="62919"/>
  <c r="G371" i="62919" s="1"/>
  <c r="F372" i="62919"/>
  <c r="G372" i="62919" s="1"/>
  <c r="F373" i="62919"/>
  <c r="G373" i="62919" s="1"/>
  <c r="F374" i="62919"/>
  <c r="G374" i="62919" s="1"/>
  <c r="F375" i="62919"/>
  <c r="G375" i="62919" s="1"/>
  <c r="F376" i="62919"/>
  <c r="G376" i="62919" s="1"/>
  <c r="F377" i="62919"/>
  <c r="G377" i="62919" s="1"/>
  <c r="F378" i="62919"/>
  <c r="G378" i="62919" s="1"/>
  <c r="F379" i="62919"/>
  <c r="G379" i="62919" s="1"/>
  <c r="F380" i="62919"/>
  <c r="G380" i="62919" s="1"/>
  <c r="F381" i="62919"/>
  <c r="G381" i="62919" s="1"/>
  <c r="F382" i="62919"/>
  <c r="G382" i="62919" s="1"/>
  <c r="F383" i="62919"/>
  <c r="G383" i="62919" s="1"/>
  <c r="F384" i="62919"/>
  <c r="G384" i="62919" s="1"/>
  <c r="F385" i="62919"/>
  <c r="G385" i="62919" s="1"/>
  <c r="F386" i="62919"/>
  <c r="G386" i="62919" s="1"/>
  <c r="F387" i="62919"/>
  <c r="G387" i="62919" s="1"/>
  <c r="F345" i="62919"/>
  <c r="G345" i="62919" s="1"/>
  <c r="F413" i="62919"/>
  <c r="F414" i="62919"/>
  <c r="G414" i="62919" s="1"/>
  <c r="F415" i="62919"/>
  <c r="F416" i="62919"/>
  <c r="G416" i="62919" s="1"/>
  <c r="F417" i="62919"/>
  <c r="F418" i="62919"/>
  <c r="G418" i="62919" s="1"/>
  <c r="F419" i="62919"/>
  <c r="F420" i="62919"/>
  <c r="G420" i="62919" s="1"/>
  <c r="F421" i="62919"/>
  <c r="F422" i="62919"/>
  <c r="G422" i="62919" s="1"/>
  <c r="F423" i="62919"/>
  <c r="F424" i="62919"/>
  <c r="G424" i="62919" s="1"/>
  <c r="F425" i="62919"/>
  <c r="F426" i="62919"/>
  <c r="G426" i="62919" s="1"/>
  <c r="F427" i="62919"/>
  <c r="F428" i="62919"/>
  <c r="G428" i="62919" s="1"/>
  <c r="F429" i="62919"/>
  <c r="F430" i="62919"/>
  <c r="G430" i="62919" s="1"/>
  <c r="F431" i="62919"/>
  <c r="F432" i="62919"/>
  <c r="G432" i="62919" s="1"/>
  <c r="F433" i="62919"/>
  <c r="F434" i="62919"/>
  <c r="G434" i="62919" s="1"/>
  <c r="F435" i="62919"/>
  <c r="F436" i="62919"/>
  <c r="G436" i="62919" s="1"/>
  <c r="F437" i="62919"/>
  <c r="F438" i="62919"/>
  <c r="G438" i="62919" s="1"/>
  <c r="F439" i="62919"/>
  <c r="F440" i="62919"/>
  <c r="G440" i="62919" s="1"/>
  <c r="F441" i="62919"/>
  <c r="F442" i="62919"/>
  <c r="G442" i="62919" s="1"/>
  <c r="F443" i="62919"/>
  <c r="F444" i="62919"/>
  <c r="G444" i="62919" s="1"/>
  <c r="F445" i="62919"/>
  <c r="F446" i="62919"/>
  <c r="G446" i="62919" s="1"/>
  <c r="F447" i="62919"/>
  <c r="F448" i="62919"/>
  <c r="G448" i="62919" s="1"/>
  <c r="F449" i="62919"/>
  <c r="F450" i="62919"/>
  <c r="G450" i="62919" s="1"/>
  <c r="F451" i="62919"/>
  <c r="F452" i="62919"/>
  <c r="G452" i="62919" s="1"/>
  <c r="F453" i="62919"/>
  <c r="F454" i="62919"/>
  <c r="G454" i="62919" s="1"/>
  <c r="F455" i="62919"/>
  <c r="F456" i="62919"/>
  <c r="G456" i="62919" s="1"/>
  <c r="F457" i="62919"/>
  <c r="F458" i="62919"/>
  <c r="G458" i="62919" s="1"/>
  <c r="F459" i="62919"/>
  <c r="F460" i="62919"/>
  <c r="G460" i="62919" s="1"/>
  <c r="F461" i="62919"/>
  <c r="F462" i="62919"/>
  <c r="G462" i="62919" s="1"/>
  <c r="F463" i="62919"/>
  <c r="F464" i="62919"/>
  <c r="G464" i="62919" s="1"/>
  <c r="F465" i="62919"/>
  <c r="F466" i="62919"/>
  <c r="G466" i="62919" s="1"/>
  <c r="F467" i="62919"/>
  <c r="F468" i="62919"/>
  <c r="G468" i="62919" s="1"/>
  <c r="F469" i="62919"/>
  <c r="F470" i="62919"/>
  <c r="G470" i="62919" s="1"/>
  <c r="F471" i="62919"/>
  <c r="F472" i="62919"/>
  <c r="G472" i="62919" s="1"/>
  <c r="F473" i="62919"/>
  <c r="F474" i="62919"/>
  <c r="G474" i="62919" s="1"/>
  <c r="F475" i="62919"/>
  <c r="F476" i="62919"/>
  <c r="G476" i="62919" s="1"/>
  <c r="F477" i="62919"/>
  <c r="F478" i="62919"/>
  <c r="G478" i="62919" s="1"/>
  <c r="F479" i="62919"/>
  <c r="F480" i="62919"/>
  <c r="G480" i="62919" s="1"/>
  <c r="F481" i="62919"/>
  <c r="F482" i="62919"/>
  <c r="G482" i="62919" s="1"/>
  <c r="F483" i="62919"/>
  <c r="F484" i="62919"/>
  <c r="G484" i="62919" s="1"/>
  <c r="F485" i="62919"/>
  <c r="F486" i="62919"/>
  <c r="G486" i="62919" s="1"/>
  <c r="F487" i="62919"/>
  <c r="F488" i="62919"/>
  <c r="G488" i="62919" s="1"/>
  <c r="F489" i="62919"/>
  <c r="F490" i="62919"/>
  <c r="G490" i="62919" s="1"/>
  <c r="F491" i="62919"/>
  <c r="F492" i="62919"/>
  <c r="G492" i="62919" s="1"/>
  <c r="F493" i="62919"/>
  <c r="F494" i="62919"/>
  <c r="G494" i="62919" s="1"/>
  <c r="F495" i="62919"/>
  <c r="F496" i="62919"/>
  <c r="G496" i="62919" s="1"/>
  <c r="F497" i="62919"/>
  <c r="F498" i="62919"/>
  <c r="G498" i="62919" s="1"/>
  <c r="F499" i="62919"/>
  <c r="F500" i="62919"/>
  <c r="G500" i="62919" s="1"/>
  <c r="F501" i="62919"/>
  <c r="F502" i="62919"/>
  <c r="G502" i="62919" s="1"/>
  <c r="F503" i="62919"/>
  <c r="F504" i="62919"/>
  <c r="G504" i="62919" s="1"/>
  <c r="F505" i="62919"/>
  <c r="F506" i="62919"/>
  <c r="G506" i="62919" s="1"/>
  <c r="F507" i="62919"/>
  <c r="F508" i="62919"/>
  <c r="G508" i="62919" s="1"/>
  <c r="F509" i="62919"/>
  <c r="F510" i="62919"/>
  <c r="G510" i="62919" s="1"/>
  <c r="F511" i="62919"/>
  <c r="F512" i="62919"/>
  <c r="G512" i="62919" s="1"/>
  <c r="F513" i="62919"/>
  <c r="F514" i="62919"/>
  <c r="G514" i="62919" s="1"/>
  <c r="F515" i="62919"/>
  <c r="F516" i="62919"/>
  <c r="G516" i="62919" s="1"/>
  <c r="F517" i="62919"/>
  <c r="F518" i="62919"/>
  <c r="G518" i="62919" s="1"/>
  <c r="F519" i="62919"/>
  <c r="F520" i="62919"/>
  <c r="G520" i="62919" s="1"/>
  <c r="F521" i="62919"/>
  <c r="F522" i="62919"/>
  <c r="G522" i="62919" s="1"/>
  <c r="F523" i="62919"/>
  <c r="F524" i="62919"/>
  <c r="G524" i="62919" s="1"/>
  <c r="F525" i="62919"/>
  <c r="F526" i="62919"/>
  <c r="G526" i="62919" s="1"/>
  <c r="F527" i="62919"/>
  <c r="F528" i="62919"/>
  <c r="G528" i="62919" s="1"/>
  <c r="F529" i="62919"/>
  <c r="F530" i="62919"/>
  <c r="G530" i="62919" s="1"/>
  <c r="F531" i="62919"/>
  <c r="F532" i="62919"/>
  <c r="G532" i="62919" s="1"/>
  <c r="F533" i="62919"/>
  <c r="F534" i="62919"/>
  <c r="G534" i="62919" s="1"/>
  <c r="F535" i="62919"/>
  <c r="F536" i="62919"/>
  <c r="G536" i="62919" s="1"/>
  <c r="F537" i="62919"/>
  <c r="F538" i="62919"/>
  <c r="G538" i="62919" s="1"/>
  <c r="F539" i="62919"/>
  <c r="F540" i="62919"/>
  <c r="G540" i="62919" s="1"/>
  <c r="F541" i="62919"/>
  <c r="F542" i="62919"/>
  <c r="G542" i="62919" s="1"/>
  <c r="F543" i="62919"/>
  <c r="F544" i="62919"/>
  <c r="G544" i="62919" s="1"/>
  <c r="F545" i="62919"/>
  <c r="F546" i="62919"/>
  <c r="G546" i="62919" s="1"/>
  <c r="F547" i="62919"/>
  <c r="F548" i="62919"/>
  <c r="G548" i="62919" s="1"/>
  <c r="F549" i="62919"/>
  <c r="F550" i="62919"/>
  <c r="G550" i="62919" s="1"/>
  <c r="F551" i="62919"/>
  <c r="F552" i="62919"/>
  <c r="G552" i="62919" s="1"/>
  <c r="F553" i="62919"/>
  <c r="F554" i="62919"/>
  <c r="G554" i="62919" s="1"/>
  <c r="F555" i="62919"/>
  <c r="F556" i="62919"/>
  <c r="G556" i="62919" s="1"/>
  <c r="F557" i="62919"/>
  <c r="F558" i="62919"/>
  <c r="G558" i="62919" s="1"/>
  <c r="F559" i="62919"/>
  <c r="F560" i="62919"/>
  <c r="G560" i="62919" s="1"/>
  <c r="F561" i="62919"/>
  <c r="F562" i="62919"/>
  <c r="G562" i="62919" s="1"/>
  <c r="F563" i="62919"/>
  <c r="F564" i="62919"/>
  <c r="G564" i="62919" s="1"/>
  <c r="F565" i="62919"/>
  <c r="F566" i="62919"/>
  <c r="F567" i="62919"/>
  <c r="F568" i="62919"/>
  <c r="G568" i="62919" s="1"/>
  <c r="F569" i="62919"/>
  <c r="F570" i="62919"/>
  <c r="G570" i="62919" s="1"/>
  <c r="F571" i="62919"/>
  <c r="F572" i="62919"/>
  <c r="G572" i="62919" s="1"/>
  <c r="F573" i="62919"/>
  <c r="F574" i="62919"/>
  <c r="F575" i="62919"/>
  <c r="F576" i="62919"/>
  <c r="G576" i="62919" s="1"/>
  <c r="F577" i="62919"/>
  <c r="F578" i="62919"/>
  <c r="F579" i="62919"/>
  <c r="F580" i="62919"/>
  <c r="G580" i="62919" s="1"/>
  <c r="F581" i="62919"/>
  <c r="F582" i="62919"/>
  <c r="F583" i="62919"/>
  <c r="G583" i="62919" s="1"/>
  <c r="F584" i="62919"/>
  <c r="F585" i="62919"/>
  <c r="G585" i="62919" s="1"/>
  <c r="F586" i="62919"/>
  <c r="F587" i="62919"/>
  <c r="G587" i="62919" s="1"/>
  <c r="F588" i="62919"/>
  <c r="F589" i="62919"/>
  <c r="G589" i="62919" s="1"/>
  <c r="F590" i="62919"/>
  <c r="F591" i="62919"/>
  <c r="G591" i="62919" s="1"/>
  <c r="F592" i="62919"/>
  <c r="F593" i="62919"/>
  <c r="G593" i="62919" s="1"/>
  <c r="F594" i="62919"/>
  <c r="F595" i="62919"/>
  <c r="G595" i="62919" s="1"/>
  <c r="F596" i="62919"/>
  <c r="F597" i="62919"/>
  <c r="G597" i="62919" s="1"/>
  <c r="F598" i="62919"/>
  <c r="F599" i="62919"/>
  <c r="G599" i="62919" s="1"/>
  <c r="F600" i="62919"/>
  <c r="F601" i="62919"/>
  <c r="G601" i="62919" s="1"/>
  <c r="F602" i="62919"/>
  <c r="F603" i="62919"/>
  <c r="G603" i="62919" s="1"/>
  <c r="F604" i="62919"/>
  <c r="F605" i="62919"/>
  <c r="G605" i="62919" s="1"/>
  <c r="F606" i="62919"/>
  <c r="F607" i="62919"/>
  <c r="G607" i="62919" s="1"/>
  <c r="F608" i="62919"/>
  <c r="F609" i="62919"/>
  <c r="G609" i="62919" s="1"/>
  <c r="F610" i="62919"/>
  <c r="F611" i="62919"/>
  <c r="G611" i="62919" s="1"/>
  <c r="F612" i="62919"/>
  <c r="F613" i="62919"/>
  <c r="G613" i="62919" s="1"/>
  <c r="F614" i="62919"/>
  <c r="F615" i="62919"/>
  <c r="G615" i="62919" s="1"/>
  <c r="F616" i="62919"/>
  <c r="F617" i="62919"/>
  <c r="G617" i="62919" s="1"/>
  <c r="F618" i="62919"/>
  <c r="F619" i="62919"/>
  <c r="G619" i="62919" s="1"/>
  <c r="F620" i="62919"/>
  <c r="F621" i="62919"/>
  <c r="G621" i="62919" s="1"/>
  <c r="F412" i="62919"/>
  <c r="G412" i="62919" s="1"/>
  <c r="F626" i="62919"/>
  <c r="F627" i="62919"/>
  <c r="G627" i="62919" s="1"/>
  <c r="F628" i="62919"/>
  <c r="F629" i="62919"/>
  <c r="G629" i="62919" s="1"/>
  <c r="F630" i="62919"/>
  <c r="F631" i="62919"/>
  <c r="G631" i="62919" s="1"/>
  <c r="F632" i="62919"/>
  <c r="F633" i="62919"/>
  <c r="G633" i="62919" s="1"/>
  <c r="F634" i="62919"/>
  <c r="F635" i="62919"/>
  <c r="G635" i="62919" s="1"/>
  <c r="F636" i="62919"/>
  <c r="F637" i="62919"/>
  <c r="G637" i="62919" s="1"/>
  <c r="F638" i="62919"/>
  <c r="F639" i="62919"/>
  <c r="G639" i="62919" s="1"/>
  <c r="F640" i="62919"/>
  <c r="F641" i="62919"/>
  <c r="G641" i="62919" s="1"/>
  <c r="F642" i="62919"/>
  <c r="F643" i="62919"/>
  <c r="G643" i="62919" s="1"/>
  <c r="F644" i="62919"/>
  <c r="F645" i="62919"/>
  <c r="G645" i="62919" s="1"/>
  <c r="F646" i="62919"/>
  <c r="F647" i="62919"/>
  <c r="G647" i="62919" s="1"/>
  <c r="F648" i="62919"/>
  <c r="F649" i="62919"/>
  <c r="G649" i="62919" s="1"/>
  <c r="F650" i="62919"/>
  <c r="F651" i="62919"/>
  <c r="G651" i="62919" s="1"/>
  <c r="F652" i="62919"/>
  <c r="F653" i="62919"/>
  <c r="G653" i="62919" s="1"/>
  <c r="F654" i="62919"/>
  <c r="F655" i="62919"/>
  <c r="G655" i="62919" s="1"/>
  <c r="F656" i="62919"/>
  <c r="F657" i="62919"/>
  <c r="G657" i="62919" s="1"/>
  <c r="F658" i="62919"/>
  <c r="F659" i="62919"/>
  <c r="G659" i="62919" s="1"/>
  <c r="F660" i="62919"/>
  <c r="F661" i="62919"/>
  <c r="G661" i="62919" s="1"/>
  <c r="F662" i="62919"/>
  <c r="F663" i="62919"/>
  <c r="G663" i="62919" s="1"/>
  <c r="F664" i="62919"/>
  <c r="F665" i="62919"/>
  <c r="G665" i="62919" s="1"/>
  <c r="F666" i="62919"/>
  <c r="F667" i="62919"/>
  <c r="G667" i="62919" s="1"/>
  <c r="F668" i="62919"/>
  <c r="F669" i="62919"/>
  <c r="G669" i="62919" s="1"/>
  <c r="F670" i="62919"/>
  <c r="F671" i="62919"/>
  <c r="G671" i="62919" s="1"/>
  <c r="F672" i="62919"/>
  <c r="F673" i="62919"/>
  <c r="G673" i="62919" s="1"/>
  <c r="F674" i="62919"/>
  <c r="F675" i="62919"/>
  <c r="G675" i="62919" s="1"/>
  <c r="F676" i="62919"/>
  <c r="F677" i="62919"/>
  <c r="G677" i="62919" s="1"/>
  <c r="F678" i="62919"/>
  <c r="F679" i="62919"/>
  <c r="G679" i="62919" s="1"/>
  <c r="F680" i="62919"/>
  <c r="F681" i="62919"/>
  <c r="G681" i="62919" s="1"/>
  <c r="F682" i="62919"/>
  <c r="F683" i="62919"/>
  <c r="G683" i="62919" s="1"/>
  <c r="F684" i="62919"/>
  <c r="F685" i="62919"/>
  <c r="G685" i="62919" s="1"/>
  <c r="F686" i="62919"/>
  <c r="F687" i="62919"/>
  <c r="G687" i="62919" s="1"/>
  <c r="F688" i="62919"/>
  <c r="F689" i="62919"/>
  <c r="G689" i="62919" s="1"/>
  <c r="F690" i="62919"/>
  <c r="F691" i="62919"/>
  <c r="G691" i="62919" s="1"/>
  <c r="F692" i="62919"/>
  <c r="F693" i="62919"/>
  <c r="G693" i="62919" s="1"/>
  <c r="F694" i="62919"/>
  <c r="F695" i="62919"/>
  <c r="G695" i="62919" s="1"/>
  <c r="F696" i="62919"/>
  <c r="F697" i="62919"/>
  <c r="G697" i="62919" s="1"/>
  <c r="F698" i="62919"/>
  <c r="F699" i="62919"/>
  <c r="G699" i="62919" s="1"/>
  <c r="F700" i="62919"/>
  <c r="F701" i="62919"/>
  <c r="G701" i="62919" s="1"/>
  <c r="F702" i="62919"/>
  <c r="F703" i="62919"/>
  <c r="G703" i="62919" s="1"/>
  <c r="F704" i="62919"/>
  <c r="F705" i="62919"/>
  <c r="G705" i="62919" s="1"/>
  <c r="F706" i="62919"/>
  <c r="F707" i="62919"/>
  <c r="G707" i="62919" s="1"/>
  <c r="F708" i="62919"/>
  <c r="F709" i="62919"/>
  <c r="G709" i="62919" s="1"/>
  <c r="F710" i="62919"/>
  <c r="F711" i="62919"/>
  <c r="G711" i="62919" s="1"/>
  <c r="F712" i="62919"/>
  <c r="F713" i="62919"/>
  <c r="G713" i="62919" s="1"/>
  <c r="F714" i="62919"/>
  <c r="F715" i="62919"/>
  <c r="G715" i="62919" s="1"/>
  <c r="F716" i="62919"/>
  <c r="F717" i="62919"/>
  <c r="G717" i="62919" s="1"/>
  <c r="F718" i="62919"/>
  <c r="F719" i="62919"/>
  <c r="G719" i="62919" s="1"/>
  <c r="F720" i="62919"/>
  <c r="F721" i="62919"/>
  <c r="G721" i="62919" s="1"/>
  <c r="F722" i="62919"/>
  <c r="F723" i="62919"/>
  <c r="G723" i="62919" s="1"/>
  <c r="F724" i="62919"/>
  <c r="F725" i="62919"/>
  <c r="G725" i="62919" s="1"/>
  <c r="F726" i="62919"/>
  <c r="F727" i="62919"/>
  <c r="G727" i="62919" s="1"/>
  <c r="F728" i="62919"/>
  <c r="F729" i="62919"/>
  <c r="G729" i="62919" s="1"/>
  <c r="F730" i="62919"/>
  <c r="F731" i="62919"/>
  <c r="G731" i="62919" s="1"/>
  <c r="F732" i="62919"/>
  <c r="F733" i="62919"/>
  <c r="G733" i="62919" s="1"/>
  <c r="F734" i="62919"/>
  <c r="F735" i="62919"/>
  <c r="G735" i="62919" s="1"/>
  <c r="F736" i="62919"/>
  <c r="F737" i="62919"/>
  <c r="G737" i="62919" s="1"/>
  <c r="F738" i="62919"/>
  <c r="F739" i="62919"/>
  <c r="G739" i="62919" s="1"/>
  <c r="F740" i="62919"/>
  <c r="F741" i="62919"/>
  <c r="G741" i="62919" s="1"/>
  <c r="F742" i="62919"/>
  <c r="F743" i="62919"/>
  <c r="G743" i="62919" s="1"/>
  <c r="F744" i="62919"/>
  <c r="F745" i="62919"/>
  <c r="G745" i="62919" s="1"/>
  <c r="F746" i="62919"/>
  <c r="F747" i="62919"/>
  <c r="G747" i="62919" s="1"/>
  <c r="F748" i="62919"/>
  <c r="F749" i="62919"/>
  <c r="G749" i="62919" s="1"/>
  <c r="F750" i="62919"/>
  <c r="F751" i="62919"/>
  <c r="G751" i="62919" s="1"/>
  <c r="F752" i="62919"/>
  <c r="F753" i="62919"/>
  <c r="G753" i="62919" s="1"/>
  <c r="F754" i="62919"/>
  <c r="F755" i="62919"/>
  <c r="G755" i="62919" s="1"/>
  <c r="F756" i="62919"/>
  <c r="F757" i="62919"/>
  <c r="G757" i="62919" s="1"/>
  <c r="F758" i="62919"/>
  <c r="F759" i="62919"/>
  <c r="G759" i="62919" s="1"/>
  <c r="F760" i="62919"/>
  <c r="F761" i="62919"/>
  <c r="G761" i="62919" s="1"/>
  <c r="F762" i="62919"/>
  <c r="F763" i="62919"/>
  <c r="G763" i="62919" s="1"/>
  <c r="F764" i="62919"/>
  <c r="F765" i="62919"/>
  <c r="G765" i="62919" s="1"/>
  <c r="F766" i="62919"/>
  <c r="F767" i="62919"/>
  <c r="G767" i="62919" s="1"/>
  <c r="F768" i="62919"/>
  <c r="F769" i="62919"/>
  <c r="G769" i="62919" s="1"/>
  <c r="F770" i="62919"/>
  <c r="F771" i="62919"/>
  <c r="G771" i="62919" s="1"/>
  <c r="F772" i="62919"/>
  <c r="F773" i="62919"/>
  <c r="G773" i="62919" s="1"/>
  <c r="F774" i="62919"/>
  <c r="F775" i="62919"/>
  <c r="G775" i="62919" s="1"/>
  <c r="F776" i="62919"/>
  <c r="F777" i="62919"/>
  <c r="G777" i="62919" s="1"/>
  <c r="F778" i="62919"/>
  <c r="F779" i="62919"/>
  <c r="G779" i="62919" s="1"/>
  <c r="F780" i="62919"/>
  <c r="F781" i="62919"/>
  <c r="G781" i="62919" s="1"/>
  <c r="F782" i="62919"/>
  <c r="F783" i="62919"/>
  <c r="G783" i="62919" s="1"/>
  <c r="F784" i="62919"/>
  <c r="F785" i="62919"/>
  <c r="G785" i="62919" s="1"/>
  <c r="F786" i="62919"/>
  <c r="F787" i="62919"/>
  <c r="G787" i="62919" s="1"/>
  <c r="F788" i="62919"/>
  <c r="F789" i="62919"/>
  <c r="G789" i="62919" s="1"/>
  <c r="F790" i="62919"/>
  <c r="F791" i="62919"/>
  <c r="G791" i="62919" s="1"/>
  <c r="F792" i="62919"/>
  <c r="F793" i="62919"/>
  <c r="G793" i="62919" s="1"/>
  <c r="F794" i="62919"/>
  <c r="F795" i="62919"/>
  <c r="G795" i="62919" s="1"/>
  <c r="F796" i="62919"/>
  <c r="G796" i="62919" s="1"/>
  <c r="F797" i="62919"/>
  <c r="G797" i="62919" s="1"/>
  <c r="F798" i="62919"/>
  <c r="G798" i="62919" s="1"/>
  <c r="F799" i="62919"/>
  <c r="G799" i="62919" s="1"/>
  <c r="F800" i="62919"/>
  <c r="G800" i="62919" s="1"/>
  <c r="F801" i="62919"/>
  <c r="G801" i="62919" s="1"/>
  <c r="F802" i="62919"/>
  <c r="G802" i="62919" s="1"/>
  <c r="F803" i="62919"/>
  <c r="G803" i="62919" s="1"/>
  <c r="F804" i="62919"/>
  <c r="G804" i="62919" s="1"/>
  <c r="F805" i="62919"/>
  <c r="G805" i="62919" s="1"/>
  <c r="F806" i="62919"/>
  <c r="G806" i="62919" s="1"/>
  <c r="F807" i="62919"/>
  <c r="G807" i="62919" s="1"/>
  <c r="F808" i="62919"/>
  <c r="G808" i="62919" s="1"/>
  <c r="F809" i="62919"/>
  <c r="G809" i="62919" s="1"/>
  <c r="F810" i="62919"/>
  <c r="G810" i="62919" s="1"/>
  <c r="F811" i="62919"/>
  <c r="G811" i="62919" s="1"/>
  <c r="F812" i="62919"/>
  <c r="G812" i="62919" s="1"/>
  <c r="F813" i="62919"/>
  <c r="G813" i="62919" s="1"/>
  <c r="F814" i="62919"/>
  <c r="G814" i="62919" s="1"/>
  <c r="F815" i="62919"/>
  <c r="G815" i="62919" s="1"/>
  <c r="F816" i="62919"/>
  <c r="G816" i="62919" s="1"/>
  <c r="F817" i="62919"/>
  <c r="G817" i="62919" s="1"/>
  <c r="F818" i="62919"/>
  <c r="G818" i="62919" s="1"/>
  <c r="F819" i="62919"/>
  <c r="G819" i="62919" s="1"/>
  <c r="F820" i="62919"/>
  <c r="G820" i="62919" s="1"/>
  <c r="F821" i="62919"/>
  <c r="G821" i="62919" s="1"/>
  <c r="F822" i="62919"/>
  <c r="G822" i="62919" s="1"/>
  <c r="F823" i="62919"/>
  <c r="G823" i="62919" s="1"/>
  <c r="F824" i="62919"/>
  <c r="G824" i="62919" s="1"/>
  <c r="F825" i="62919"/>
  <c r="G825" i="62919" s="1"/>
  <c r="F826" i="62919"/>
  <c r="G826" i="62919" s="1"/>
  <c r="F827" i="62919"/>
  <c r="G827" i="62919" s="1"/>
  <c r="F828" i="62919"/>
  <c r="G828" i="62919" s="1"/>
  <c r="F829" i="62919"/>
  <c r="G829" i="62919" s="1"/>
  <c r="F830" i="62919"/>
  <c r="G830" i="62919" s="1"/>
  <c r="F831" i="62919"/>
  <c r="G831" i="62919" s="1"/>
  <c r="F832" i="62919"/>
  <c r="G832" i="62919" s="1"/>
  <c r="F833" i="62919"/>
  <c r="G833" i="62919" s="1"/>
  <c r="F834" i="62919"/>
  <c r="G834" i="62919" s="1"/>
  <c r="F835" i="62919"/>
  <c r="G835" i="62919" s="1"/>
  <c r="F836" i="62919"/>
  <c r="G836" i="62919" s="1"/>
  <c r="F837" i="62919"/>
  <c r="G837" i="62919" s="1"/>
  <c r="F838" i="62919"/>
  <c r="G838" i="62919" s="1"/>
  <c r="F839" i="62919"/>
  <c r="G839" i="62919" s="1"/>
  <c r="F840" i="62919"/>
  <c r="G840" i="62919" s="1"/>
  <c r="F841" i="62919"/>
  <c r="G841" i="62919" s="1"/>
  <c r="F842" i="62919"/>
  <c r="G842" i="62919" s="1"/>
  <c r="F843" i="62919"/>
  <c r="G843" i="62919" s="1"/>
  <c r="F844" i="62919"/>
  <c r="G844" i="62919" s="1"/>
  <c r="F845" i="62919"/>
  <c r="G845" i="62919" s="1"/>
  <c r="F846" i="62919"/>
  <c r="G846" i="62919" s="1"/>
  <c r="F847" i="62919"/>
  <c r="G847" i="62919" s="1"/>
  <c r="F848" i="62919"/>
  <c r="G848" i="62919" s="1"/>
  <c r="F849" i="62919"/>
  <c r="G849" i="62919" s="1"/>
  <c r="F850" i="62919"/>
  <c r="G850" i="62919" s="1"/>
  <c r="F851" i="62919"/>
  <c r="G851" i="62919" s="1"/>
  <c r="F852" i="62919"/>
  <c r="G852" i="62919" s="1"/>
  <c r="F853" i="62919"/>
  <c r="G853" i="62919" s="1"/>
  <c r="F854" i="62919"/>
  <c r="G854" i="62919" s="1"/>
  <c r="F855" i="62919"/>
  <c r="G855" i="62919" s="1"/>
  <c r="F856" i="62919"/>
  <c r="G856" i="62919" s="1"/>
  <c r="F857" i="62919"/>
  <c r="G857" i="62919" s="1"/>
  <c r="F858" i="62919"/>
  <c r="G858" i="62919" s="1"/>
  <c r="F859" i="62919"/>
  <c r="G859" i="62919" s="1"/>
  <c r="F2183" i="62917"/>
  <c r="F2184" i="62917"/>
  <c r="G2184" i="62917" s="1"/>
  <c r="F2185" i="62917"/>
  <c r="F2186" i="62917"/>
  <c r="G2186" i="62917" s="1"/>
  <c r="F2187" i="62917"/>
  <c r="F2188" i="62917"/>
  <c r="G2188" i="62917" s="1"/>
  <c r="F2189" i="62917"/>
  <c r="F2190" i="62917"/>
  <c r="G2190" i="62917" s="1"/>
  <c r="F2191" i="62917"/>
  <c r="F2192" i="62917"/>
  <c r="G2192" i="62917" s="1"/>
  <c r="F2193" i="62917"/>
  <c r="F2194" i="62917"/>
  <c r="G2194" i="62917" s="1"/>
  <c r="F2195" i="62917"/>
  <c r="F2196" i="62917"/>
  <c r="G2196" i="62917" s="1"/>
  <c r="F2197" i="62917"/>
  <c r="F2198" i="62917"/>
  <c r="G2198" i="62917" s="1"/>
  <c r="F2199" i="62917"/>
  <c r="F2200" i="62917"/>
  <c r="G2200" i="62917" s="1"/>
  <c r="F2201" i="62917"/>
  <c r="F2202" i="62917"/>
  <c r="G2202" i="62917" s="1"/>
  <c r="F2203" i="62917"/>
  <c r="F2204" i="62917"/>
  <c r="G2204" i="62917" s="1"/>
  <c r="F2205" i="62917"/>
  <c r="F2206" i="62917"/>
  <c r="G2206" i="62917" s="1"/>
  <c r="F2207" i="62917"/>
  <c r="F2208" i="62917"/>
  <c r="G2208" i="62917" s="1"/>
  <c r="F2209" i="62917"/>
  <c r="F2210" i="62917"/>
  <c r="G2210" i="62917" s="1"/>
  <c r="F2211" i="62917"/>
  <c r="F2212" i="62917"/>
  <c r="G2212" i="62917" s="1"/>
  <c r="F2213" i="62917"/>
  <c r="F2214" i="62917"/>
  <c r="G2214" i="62917" s="1"/>
  <c r="F2215" i="62917"/>
  <c r="F2216" i="62917"/>
  <c r="G2216" i="62917" s="1"/>
  <c r="F2217" i="62917"/>
  <c r="F2218" i="62917"/>
  <c r="G2218" i="62917" s="1"/>
  <c r="F2219" i="62917"/>
  <c r="F2220" i="62917"/>
  <c r="G2220" i="62917" s="1"/>
  <c r="F2221" i="62917"/>
  <c r="F2222" i="62917"/>
  <c r="G2222" i="62917" s="1"/>
  <c r="F2223" i="62917"/>
  <c r="F2224" i="62917"/>
  <c r="G2224" i="62917" s="1"/>
  <c r="F2225" i="62917"/>
  <c r="F2226" i="62917"/>
  <c r="G2226" i="62917" s="1"/>
  <c r="F2227" i="62917"/>
  <c r="F2228" i="62917"/>
  <c r="G2228" i="62917" s="1"/>
  <c r="F2229" i="62917"/>
  <c r="F202" i="62921"/>
  <c r="G202" i="62921" s="1"/>
  <c r="F48" i="62921"/>
  <c r="F49" i="62921"/>
  <c r="G49" i="62921" s="1"/>
  <c r="F50" i="62921"/>
  <c r="F51" i="62921"/>
  <c r="G51" i="62921" s="1"/>
  <c r="F52" i="62921"/>
  <c r="F53" i="62921"/>
  <c r="G53" i="62921" s="1"/>
  <c r="F54" i="62921"/>
  <c r="F55" i="62921"/>
  <c r="G55" i="62921" s="1"/>
  <c r="F56" i="62921"/>
  <c r="F57" i="62921"/>
  <c r="G57" i="62921" s="1"/>
  <c r="F58" i="62921"/>
  <c r="F59" i="62921"/>
  <c r="G59" i="62921" s="1"/>
  <c r="F60" i="62921"/>
  <c r="F61" i="62921"/>
  <c r="G61" i="62921" s="1"/>
  <c r="F62" i="62921"/>
  <c r="F63" i="62921"/>
  <c r="G63" i="62921" s="1"/>
  <c r="F64" i="62921"/>
  <c r="F65" i="62921"/>
  <c r="G65" i="62921" s="1"/>
  <c r="F66" i="62921"/>
  <c r="F67" i="62921"/>
  <c r="G67" i="62921" s="1"/>
  <c r="F68" i="62921"/>
  <c r="F69" i="62921"/>
  <c r="G69" i="62921" s="1"/>
  <c r="F70" i="62921"/>
  <c r="F71" i="62921"/>
  <c r="G71" i="62921" s="1"/>
  <c r="F72" i="62921"/>
  <c r="F73" i="62921"/>
  <c r="G73" i="62921" s="1"/>
  <c r="F74" i="62921"/>
  <c r="F75" i="62921"/>
  <c r="G75" i="62921" s="1"/>
  <c r="F76" i="62921"/>
  <c r="F77" i="62921"/>
  <c r="G77" i="62921" s="1"/>
  <c r="F78" i="62921"/>
  <c r="F79" i="62921"/>
  <c r="G79" i="62921" s="1"/>
  <c r="F80" i="62921"/>
  <c r="F81" i="62921"/>
  <c r="G81" i="62921" s="1"/>
  <c r="F82" i="62921"/>
  <c r="F83" i="62921"/>
  <c r="G83" i="62921" s="1"/>
  <c r="F84" i="62921"/>
  <c r="F85" i="62921"/>
  <c r="G85" i="62921" s="1"/>
  <c r="F86" i="62921"/>
  <c r="F87" i="62921"/>
  <c r="G87" i="62921" s="1"/>
  <c r="F88" i="62921"/>
  <c r="F89" i="62921"/>
  <c r="G89" i="62921" s="1"/>
  <c r="F90" i="62921"/>
  <c r="F91" i="62921"/>
  <c r="G91" i="62921" s="1"/>
  <c r="F92" i="62921"/>
  <c r="F93" i="62921"/>
  <c r="G93" i="62921" s="1"/>
  <c r="F94" i="62921"/>
  <c r="F95" i="62921"/>
  <c r="G95" i="62921" s="1"/>
  <c r="F96" i="62921"/>
  <c r="F97" i="62921"/>
  <c r="G97" i="62921" s="1"/>
  <c r="F98" i="62921"/>
  <c r="F99" i="62921"/>
  <c r="G99" i="62921" s="1"/>
  <c r="F100" i="62921"/>
  <c r="F101" i="62921"/>
  <c r="G101" i="62921" s="1"/>
  <c r="F102" i="62921"/>
  <c r="F103" i="62921"/>
  <c r="G103" i="62921" s="1"/>
  <c r="F104" i="62921"/>
  <c r="F105" i="62921"/>
  <c r="G105" i="62921" s="1"/>
  <c r="F106" i="62921"/>
  <c r="F107" i="62921"/>
  <c r="G107" i="62921" s="1"/>
  <c r="F108" i="62921"/>
  <c r="F109" i="62921"/>
  <c r="G109" i="62921" s="1"/>
  <c r="F110" i="62921"/>
  <c r="F111" i="62921"/>
  <c r="G111" i="62921" s="1"/>
  <c r="F112" i="62921"/>
  <c r="F113" i="62921"/>
  <c r="G113" i="62921" s="1"/>
  <c r="F114" i="62921"/>
  <c r="F115" i="62921"/>
  <c r="G115" i="62921" s="1"/>
  <c r="F116" i="62921"/>
  <c r="F117" i="62921"/>
  <c r="G117" i="62921" s="1"/>
  <c r="F118" i="62921"/>
  <c r="F119" i="62921"/>
  <c r="G119" i="62921" s="1"/>
  <c r="F120" i="62921"/>
  <c r="F121" i="62921"/>
  <c r="G121" i="62921" s="1"/>
  <c r="F122" i="62921"/>
  <c r="F123" i="62921"/>
  <c r="G123" i="62921" s="1"/>
  <c r="F124" i="62921"/>
  <c r="F125" i="62921"/>
  <c r="G125" i="62921" s="1"/>
  <c r="F126" i="62921"/>
  <c r="F127" i="62921"/>
  <c r="G127" i="62921" s="1"/>
  <c r="F128" i="62921"/>
  <c r="F129" i="62921"/>
  <c r="G129" i="62921" s="1"/>
  <c r="F130" i="62921"/>
  <c r="F131" i="62921"/>
  <c r="G131" i="62921" s="1"/>
  <c r="F47" i="62921"/>
  <c r="G47" i="62921" s="1"/>
  <c r="AC98" i="62928"/>
  <c r="AC99" i="62928"/>
  <c r="AC100" i="62928"/>
  <c r="AC101" i="62928"/>
  <c r="AC102" i="62928"/>
  <c r="AC91" i="62928"/>
  <c r="AC92" i="62928"/>
  <c r="AC93" i="62928"/>
  <c r="AC94" i="62928"/>
  <c r="AC95" i="62928"/>
  <c r="AC91" i="7"/>
  <c r="AC92" i="7"/>
  <c r="AC93" i="7"/>
  <c r="AC94" i="7"/>
  <c r="AC95" i="7"/>
  <c r="AC98" i="7"/>
  <c r="AC99" i="7"/>
  <c r="AC100" i="7"/>
  <c r="AC101" i="7"/>
  <c r="AC102" i="7"/>
  <c r="F289" i="62919"/>
  <c r="G289" i="62919" s="1"/>
  <c r="F306" i="62919"/>
  <c r="G306" i="62919" s="1"/>
  <c r="F60" i="62924"/>
  <c r="F61" i="62924"/>
  <c r="G61" i="62924" s="1"/>
  <c r="F62" i="62924"/>
  <c r="F63" i="62924"/>
  <c r="G63" i="62924" s="1"/>
  <c r="F64" i="62924"/>
  <c r="F65" i="62924"/>
  <c r="G65" i="62924" s="1"/>
  <c r="F66" i="62924"/>
  <c r="F67" i="62924"/>
  <c r="G67" i="62924" s="1"/>
  <c r="F68" i="62924"/>
  <c r="F69" i="62924"/>
  <c r="G69" i="62924" s="1"/>
  <c r="F70" i="62924"/>
  <c r="F71" i="62924"/>
  <c r="G71" i="62924" s="1"/>
  <c r="F72" i="62924"/>
  <c r="F73" i="62924"/>
  <c r="G73" i="62924" s="1"/>
  <c r="F74" i="62924"/>
  <c r="F75" i="62924"/>
  <c r="G75" i="62924" s="1"/>
  <c r="F76" i="62924"/>
  <c r="F77" i="62924"/>
  <c r="G77" i="62924" s="1"/>
  <c r="F78" i="62924"/>
  <c r="F79" i="62924"/>
  <c r="G79" i="62924" s="1"/>
  <c r="F80" i="62924"/>
  <c r="F81" i="62924"/>
  <c r="G81" i="62924" s="1"/>
  <c r="F82" i="62924"/>
  <c r="F59" i="62924"/>
  <c r="E59" i="62924" s="1"/>
  <c r="D59" i="62924" s="1"/>
  <c r="F56" i="62924"/>
  <c r="F40" i="62924"/>
  <c r="G40" i="62924" s="1"/>
  <c r="F41" i="62924"/>
  <c r="G41" i="62924" s="1"/>
  <c r="F42" i="62924"/>
  <c r="F43" i="62924"/>
  <c r="F44" i="62924"/>
  <c r="G44" i="62924" s="1"/>
  <c r="F45" i="62924"/>
  <c r="G45" i="62924" s="1"/>
  <c r="F46" i="62924"/>
  <c r="G46" i="62924" s="1"/>
  <c r="F47" i="62924"/>
  <c r="G47" i="62924" s="1"/>
  <c r="F48" i="62924"/>
  <c r="G48" i="62924" s="1"/>
  <c r="F49" i="62924"/>
  <c r="G49" i="62924" s="1"/>
  <c r="F50" i="62924"/>
  <c r="F51" i="62924"/>
  <c r="F52" i="62924"/>
  <c r="G52" i="62924" s="1"/>
  <c r="F53" i="62924"/>
  <c r="G53" i="62924" s="1"/>
  <c r="F54" i="62924"/>
  <c r="G54" i="62924" s="1"/>
  <c r="F55" i="62924"/>
  <c r="G55" i="62924" s="1"/>
  <c r="F39" i="62924"/>
  <c r="M330" i="9" a="1"/>
  <c r="M330" i="9" s="1"/>
  <c r="K330" i="9" a="1"/>
  <c r="K330" i="9" s="1"/>
  <c r="G330" i="9" a="1"/>
  <c r="G330" i="9" s="1"/>
  <c r="F330" i="9" a="1"/>
  <c r="F330" i="9" s="1"/>
  <c r="E330" i="9" a="1"/>
  <c r="E330" i="9" s="1"/>
  <c r="M320" i="9" a="1"/>
  <c r="M320" i="9" s="1"/>
  <c r="K320" i="9" a="1"/>
  <c r="K320" i="9" s="1"/>
  <c r="G320" i="9" a="1"/>
  <c r="G320" i="9" s="1"/>
  <c r="F320" i="9" a="1"/>
  <c r="F320" i="9" s="1"/>
  <c r="E320" i="9" a="1"/>
  <c r="E320" i="9" s="1"/>
  <c r="D715" i="62917" l="1"/>
  <c r="E716" i="62917"/>
  <c r="G1551" i="62919"/>
  <c r="G1543" i="62919"/>
  <c r="G1535" i="62919"/>
  <c r="G1527" i="62919"/>
  <c r="G1519" i="62919"/>
  <c r="G1511" i="62919"/>
  <c r="G1503" i="62919"/>
  <c r="G1495" i="62919"/>
  <c r="G1487" i="62919"/>
  <c r="G1479" i="62919"/>
  <c r="G1471" i="62919"/>
  <c r="G1463" i="62919"/>
  <c r="G1455" i="62919"/>
  <c r="G1447" i="62919"/>
  <c r="G1439" i="62919"/>
  <c r="G1431" i="62919"/>
  <c r="G1423" i="62919"/>
  <c r="G1415" i="62919"/>
  <c r="G1407" i="62919"/>
  <c r="G1399" i="62919"/>
  <c r="G1549" i="62919"/>
  <c r="G1541" i="62919"/>
  <c r="G1533" i="62919"/>
  <c r="G1525" i="62919"/>
  <c r="G1517" i="62919"/>
  <c r="G1509" i="62919"/>
  <c r="G1501" i="62919"/>
  <c r="G1493" i="62919"/>
  <c r="G1485" i="62919"/>
  <c r="G1477" i="62919"/>
  <c r="G1469" i="62919"/>
  <c r="G1461" i="62919"/>
  <c r="G1453" i="62919"/>
  <c r="G1445" i="62919"/>
  <c r="G1437" i="62919"/>
  <c r="G1429" i="62919"/>
  <c r="G1421" i="62919"/>
  <c r="G1413" i="62919"/>
  <c r="G1405" i="62919"/>
  <c r="G1397" i="62919"/>
  <c r="G1326" i="62919"/>
  <c r="G1355" i="62919"/>
  <c r="G1347" i="62919"/>
  <c r="G1339" i="62919"/>
  <c r="G1331" i="62919"/>
  <c r="G1361" i="62919"/>
  <c r="G1353" i="62919"/>
  <c r="G1345" i="62919"/>
  <c r="G1337" i="62919"/>
  <c r="G1329" i="62919"/>
  <c r="G1681" i="62919"/>
  <c r="G1689" i="62919"/>
  <c r="G1697" i="62919"/>
  <c r="G1695" i="62919"/>
  <c r="G1687" i="62919"/>
  <c r="G1679" i="62919"/>
  <c r="G1671" i="62919"/>
  <c r="G1663" i="62919"/>
  <c r="G1655" i="62919"/>
  <c r="G1647" i="62919"/>
  <c r="G1639" i="62919"/>
  <c r="G1631" i="62919"/>
  <c r="G1623" i="62919"/>
  <c r="G1615" i="62919"/>
  <c r="G1607" i="62919"/>
  <c r="G1599" i="62919"/>
  <c r="G1591" i="62919"/>
  <c r="G1583" i="62919"/>
  <c r="G1578" i="62919"/>
  <c r="G1570" i="62919"/>
  <c r="G1562" i="62919"/>
  <c r="G1325" i="62919"/>
  <c r="G1317" i="62919"/>
  <c r="G1309" i="62919"/>
  <c r="G1301" i="62919"/>
  <c r="G1293" i="62919"/>
  <c r="G1285" i="62919"/>
  <c r="G1277" i="62919"/>
  <c r="G1283" i="62919"/>
  <c r="G1275" i="62919"/>
  <c r="G1318" i="62919"/>
  <c r="G1310" i="62919"/>
  <c r="G1302" i="62919"/>
  <c r="G1294" i="62919"/>
  <c r="G1286" i="62919"/>
  <c r="G1278" i="62919"/>
  <c r="G1758" i="62919"/>
  <c r="G1750" i="62919"/>
  <c r="G1742" i="62919"/>
  <c r="G1740" i="62919"/>
  <c r="G1759" i="62919"/>
  <c r="G1751" i="62919"/>
  <c r="G1743" i="62919"/>
  <c r="G1731" i="62919"/>
  <c r="G1723" i="62919"/>
  <c r="G1715" i="62919"/>
  <c r="G1707" i="62919"/>
  <c r="G1710" i="62919"/>
  <c r="G1702" i="62919"/>
  <c r="G1729" i="62919"/>
  <c r="G1721" i="62919"/>
  <c r="G1713" i="62919"/>
  <c r="G1705" i="62919"/>
  <c r="E1166" i="62919"/>
  <c r="D1166" i="62919" s="1"/>
  <c r="G1165" i="62919"/>
  <c r="C1165" i="62919"/>
  <c r="G539" i="62919"/>
  <c r="G459" i="62919"/>
  <c r="G567" i="62919"/>
  <c r="G551" i="62919"/>
  <c r="G535" i="62919"/>
  <c r="G519" i="62919"/>
  <c r="G503" i="62919"/>
  <c r="G487" i="62919"/>
  <c r="G471" i="62919"/>
  <c r="G455" i="62919"/>
  <c r="G439" i="62919"/>
  <c r="G523" i="62919"/>
  <c r="G566" i="62919"/>
  <c r="G561" i="62919"/>
  <c r="G545" i="62919"/>
  <c r="G529" i="62919"/>
  <c r="G513" i="62919"/>
  <c r="G497" i="62919"/>
  <c r="G481" i="62919"/>
  <c r="G465" i="62919"/>
  <c r="G449" i="62919"/>
  <c r="G433" i="62919"/>
  <c r="G571" i="62919"/>
  <c r="G555" i="62919"/>
  <c r="G507" i="62919"/>
  <c r="G491" i="62919"/>
  <c r="G579" i="62919"/>
  <c r="G575" i="62919"/>
  <c r="G565" i="62919"/>
  <c r="G549" i="62919"/>
  <c r="G533" i="62919"/>
  <c r="G517" i="62919"/>
  <c r="G501" i="62919"/>
  <c r="G485" i="62919"/>
  <c r="G469" i="62919"/>
  <c r="G453" i="62919"/>
  <c r="G437" i="62919"/>
  <c r="G620" i="62919"/>
  <c r="G618" i="62919"/>
  <c r="G616" i="62919"/>
  <c r="G614" i="62919"/>
  <c r="G612" i="62919"/>
  <c r="G610" i="62919"/>
  <c r="G608" i="62919"/>
  <c r="G606" i="62919"/>
  <c r="G604" i="62919"/>
  <c r="G602" i="62919"/>
  <c r="G600" i="62919"/>
  <c r="G598" i="62919"/>
  <c r="G596" i="62919"/>
  <c r="G594" i="62919"/>
  <c r="G592" i="62919"/>
  <c r="G590" i="62919"/>
  <c r="G588" i="62919"/>
  <c r="G586" i="62919"/>
  <c r="G584" i="62919"/>
  <c r="G582" i="62919"/>
  <c r="G578" i="62919"/>
  <c r="G574" i="62919"/>
  <c r="G559" i="62919"/>
  <c r="G543" i="62919"/>
  <c r="G527" i="62919"/>
  <c r="G511" i="62919"/>
  <c r="G495" i="62919"/>
  <c r="G479" i="62919"/>
  <c r="G463" i="62919"/>
  <c r="G447" i="62919"/>
  <c r="G569" i="62919"/>
  <c r="G553" i="62919"/>
  <c r="G537" i="62919"/>
  <c r="G521" i="62919"/>
  <c r="G505" i="62919"/>
  <c r="G489" i="62919"/>
  <c r="G473" i="62919"/>
  <c r="G457" i="62919"/>
  <c r="G441" i="62919"/>
  <c r="G443" i="62919"/>
  <c r="G563" i="62919"/>
  <c r="G547" i="62919"/>
  <c r="G531" i="62919"/>
  <c r="G515" i="62919"/>
  <c r="G499" i="62919"/>
  <c r="G483" i="62919"/>
  <c r="G467" i="62919"/>
  <c r="G451" i="62919"/>
  <c r="G435" i="62919"/>
  <c r="G475" i="62919"/>
  <c r="G581" i="62919"/>
  <c r="G577" i="62919"/>
  <c r="G573" i="62919"/>
  <c r="G557" i="62919"/>
  <c r="G541" i="62919"/>
  <c r="G525" i="62919"/>
  <c r="G509" i="62919"/>
  <c r="G493" i="62919"/>
  <c r="G477" i="62919"/>
  <c r="G461" i="62919"/>
  <c r="G445" i="62919"/>
  <c r="G431" i="62919"/>
  <c r="G429" i="62919"/>
  <c r="G427" i="62919"/>
  <c r="G425" i="62919"/>
  <c r="G423" i="62919"/>
  <c r="G421" i="62919"/>
  <c r="G419" i="62919"/>
  <c r="G417" i="62919"/>
  <c r="G415" i="62919"/>
  <c r="G413" i="62919"/>
  <c r="G780" i="62919"/>
  <c r="G764" i="62919"/>
  <c r="G748" i="62919"/>
  <c r="G732" i="62919"/>
  <c r="G716" i="62919"/>
  <c r="G700" i="62919"/>
  <c r="G684" i="62919"/>
  <c r="G668" i="62919"/>
  <c r="G652" i="62919"/>
  <c r="G790" i="62919"/>
  <c r="G774" i="62919"/>
  <c r="G758" i="62919"/>
  <c r="G742" i="62919"/>
  <c r="G726" i="62919"/>
  <c r="G710" i="62919"/>
  <c r="G694" i="62919"/>
  <c r="G678" i="62919"/>
  <c r="G662" i="62919"/>
  <c r="G646" i="62919"/>
  <c r="G784" i="62919"/>
  <c r="G768" i="62919"/>
  <c r="G752" i="62919"/>
  <c r="G736" i="62919"/>
  <c r="G720" i="62919"/>
  <c r="G704" i="62919"/>
  <c r="G688" i="62919"/>
  <c r="G672" i="62919"/>
  <c r="G656" i="62919"/>
  <c r="G778" i="62919"/>
  <c r="G762" i="62919"/>
  <c r="G746" i="62919"/>
  <c r="G730" i="62919"/>
  <c r="G714" i="62919"/>
  <c r="G698" i="62919"/>
  <c r="G682" i="62919"/>
  <c r="G666" i="62919"/>
  <c r="G650" i="62919"/>
  <c r="G794" i="62919"/>
  <c r="G788" i="62919"/>
  <c r="G772" i="62919"/>
  <c r="G756" i="62919"/>
  <c r="G740" i="62919"/>
  <c r="G724" i="62919"/>
  <c r="G708" i="62919"/>
  <c r="G692" i="62919"/>
  <c r="G676" i="62919"/>
  <c r="G660" i="62919"/>
  <c r="G782" i="62919"/>
  <c r="G766" i="62919"/>
  <c r="G750" i="62919"/>
  <c r="G734" i="62919"/>
  <c r="G718" i="62919"/>
  <c r="G702" i="62919"/>
  <c r="G686" i="62919"/>
  <c r="G670" i="62919"/>
  <c r="G654" i="62919"/>
  <c r="G792" i="62919"/>
  <c r="G776" i="62919"/>
  <c r="G760" i="62919"/>
  <c r="G744" i="62919"/>
  <c r="G728" i="62919"/>
  <c r="G712" i="62919"/>
  <c r="G696" i="62919"/>
  <c r="G680" i="62919"/>
  <c r="G664" i="62919"/>
  <c r="G648" i="62919"/>
  <c r="G786" i="62919"/>
  <c r="G770" i="62919"/>
  <c r="G754" i="62919"/>
  <c r="G738" i="62919"/>
  <c r="G722" i="62919"/>
  <c r="G706" i="62919"/>
  <c r="G690" i="62919"/>
  <c r="G674" i="62919"/>
  <c r="G658" i="62919"/>
  <c r="G644" i="62919"/>
  <c r="G642" i="62919"/>
  <c r="G640" i="62919"/>
  <c r="G638" i="62919"/>
  <c r="G636" i="62919"/>
  <c r="G634" i="62919"/>
  <c r="G632" i="62919"/>
  <c r="G630" i="62919"/>
  <c r="G628" i="62919"/>
  <c r="G626" i="62919"/>
  <c r="G2229" i="62917"/>
  <c r="G2227" i="62917"/>
  <c r="G2225" i="62917"/>
  <c r="G2223" i="62917"/>
  <c r="G2221" i="62917"/>
  <c r="G2219" i="62917"/>
  <c r="G2217" i="62917"/>
  <c r="G2215" i="62917"/>
  <c r="G2213" i="62917"/>
  <c r="G2211" i="62917"/>
  <c r="G2209" i="62917"/>
  <c r="G2207" i="62917"/>
  <c r="G2205" i="62917"/>
  <c r="G2203" i="62917"/>
  <c r="G2201" i="62917"/>
  <c r="G2199" i="62917"/>
  <c r="G2197" i="62917"/>
  <c r="G2195" i="62917"/>
  <c r="G2193" i="62917"/>
  <c r="G2191" i="62917"/>
  <c r="G2189" i="62917"/>
  <c r="G2187" i="62917"/>
  <c r="G2185" i="62917"/>
  <c r="G2183" i="62917"/>
  <c r="G130" i="62921"/>
  <c r="G128" i="62921"/>
  <c r="G126" i="62921"/>
  <c r="G124" i="62921"/>
  <c r="G122" i="62921"/>
  <c r="G120" i="62921"/>
  <c r="G118" i="62921"/>
  <c r="G116" i="62921"/>
  <c r="G114" i="62921"/>
  <c r="G112" i="62921"/>
  <c r="G110" i="62921"/>
  <c r="G108" i="62921"/>
  <c r="G106" i="62921"/>
  <c r="G104" i="62921"/>
  <c r="G102" i="62921"/>
  <c r="G100" i="62921"/>
  <c r="G98" i="62921"/>
  <c r="G96" i="62921"/>
  <c r="G94" i="62921"/>
  <c r="G92" i="62921"/>
  <c r="G90" i="62921"/>
  <c r="G88" i="62921"/>
  <c r="G86" i="62921"/>
  <c r="G84" i="62921"/>
  <c r="G82" i="62921"/>
  <c r="G80" i="62921"/>
  <c r="G78" i="62921"/>
  <c r="G76" i="62921"/>
  <c r="G74" i="62921"/>
  <c r="G72" i="62921"/>
  <c r="G70" i="62921"/>
  <c r="G68" i="62921"/>
  <c r="G66" i="62921"/>
  <c r="G64" i="62921"/>
  <c r="G62" i="62921"/>
  <c r="G60" i="62921"/>
  <c r="G58" i="62921"/>
  <c r="G56" i="62921"/>
  <c r="G54" i="62921"/>
  <c r="G52" i="62921"/>
  <c r="G50" i="62921"/>
  <c r="G48" i="62921"/>
  <c r="E306" i="62919"/>
  <c r="E289" i="62919"/>
  <c r="E60" i="62924"/>
  <c r="D60" i="62924" s="1"/>
  <c r="G82" i="62924"/>
  <c r="G80" i="62924"/>
  <c r="G78" i="62924"/>
  <c r="G76" i="62924"/>
  <c r="G74" i="62924"/>
  <c r="G72" i="62924"/>
  <c r="G70" i="62924"/>
  <c r="G68" i="62924"/>
  <c r="G66" i="62924"/>
  <c r="G64" i="62924"/>
  <c r="G62" i="62924"/>
  <c r="G60" i="62924"/>
  <c r="C59" i="62924"/>
  <c r="G59" i="62924"/>
  <c r="G56" i="62924"/>
  <c r="G50" i="62924"/>
  <c r="G42" i="62924"/>
  <c r="G51" i="62924"/>
  <c r="G43" i="62924"/>
  <c r="E717" i="62917" l="1"/>
  <c r="D716" i="62917"/>
  <c r="C709" i="62917"/>
  <c r="D306" i="62919"/>
  <c r="E307" i="62919"/>
  <c r="D289" i="62919"/>
  <c r="C289" i="62919" s="1"/>
  <c r="E290" i="62919"/>
  <c r="E291" i="62919" s="1"/>
  <c r="E1167" i="62919"/>
  <c r="E1168" i="62919" s="1"/>
  <c r="E1169" i="62919" s="1"/>
  <c r="E61" i="62924"/>
  <c r="D61" i="62924" s="1"/>
  <c r="C60" i="62924"/>
  <c r="E718" i="62917" l="1"/>
  <c r="E719" i="62917" s="1"/>
  <c r="D717" i="62917"/>
  <c r="E308" i="62919"/>
  <c r="D307" i="62919"/>
  <c r="E292" i="62919"/>
  <c r="D290" i="62919"/>
  <c r="D291" i="62919" s="1"/>
  <c r="C291" i="62919" s="1"/>
  <c r="D1167" i="62919"/>
  <c r="D1168" i="62919" s="1"/>
  <c r="D1169" i="62919" s="1"/>
  <c r="E1170" i="62919"/>
  <c r="E1171" i="62919" s="1"/>
  <c r="E62" i="62924"/>
  <c r="E63" i="62924" s="1"/>
  <c r="E720" i="62917" l="1"/>
  <c r="E721" i="62917" s="1"/>
  <c r="E722" i="62917" s="1"/>
  <c r="E723" i="62917" s="1"/>
  <c r="E724" i="62917" s="1"/>
  <c r="E725" i="62917" s="1"/>
  <c r="E726" i="62917" s="1"/>
  <c r="E727" i="62917" s="1"/>
  <c r="E728" i="62917" s="1"/>
  <c r="E729" i="62917" s="1"/>
  <c r="E730" i="62917" s="1"/>
  <c r="E731" i="62917" s="1"/>
  <c r="E732" i="62917" s="1"/>
  <c r="E733" i="62917" s="1"/>
  <c r="E734" i="62917" s="1"/>
  <c r="E735" i="62917" s="1"/>
  <c r="E736" i="62917" s="1"/>
  <c r="E737" i="62917" s="1"/>
  <c r="E738" i="62917" s="1"/>
  <c r="E739" i="62917" s="1"/>
  <c r="E740" i="62917" s="1"/>
  <c r="E741" i="62917" s="1"/>
  <c r="E742" i="62917" s="1"/>
  <c r="E743" i="62917" s="1"/>
  <c r="E744" i="62917" s="1"/>
  <c r="E745" i="62917" s="1"/>
  <c r="E746" i="62917" s="1"/>
  <c r="E747" i="62917" s="1"/>
  <c r="E748" i="62917" s="1"/>
  <c r="E749" i="62917" s="1"/>
  <c r="E750" i="62917" s="1"/>
  <c r="E751" i="62917" s="1"/>
  <c r="E752" i="62917" s="1"/>
  <c r="E753" i="62917" s="1"/>
  <c r="E754" i="62917" s="1"/>
  <c r="E755" i="62917" s="1"/>
  <c r="E756" i="62917" s="1"/>
  <c r="E757" i="62917" s="1"/>
  <c r="E758" i="62917" s="1"/>
  <c r="E759" i="62917" s="1"/>
  <c r="E760" i="62917" s="1"/>
  <c r="E761" i="62917" s="1"/>
  <c r="E762" i="62917" s="1"/>
  <c r="E763" i="62917" s="1"/>
  <c r="E764" i="62917" s="1"/>
  <c r="E765" i="62917" s="1"/>
  <c r="E766" i="62917" s="1"/>
  <c r="E767" i="62917" s="1"/>
  <c r="E768" i="62917" s="1"/>
  <c r="E769" i="62917" s="1"/>
  <c r="E770" i="62917" s="1"/>
  <c r="E771" i="62917" s="1"/>
  <c r="E772" i="62917" s="1"/>
  <c r="E773" i="62917" s="1"/>
  <c r="E774" i="62917" s="1"/>
  <c r="E775" i="62917" s="1"/>
  <c r="E776" i="62917" s="1"/>
  <c r="E777" i="62917" s="1"/>
  <c r="E778" i="62917" s="1"/>
  <c r="E779" i="62917" s="1"/>
  <c r="E780" i="62917" s="1"/>
  <c r="E781" i="62917" s="1"/>
  <c r="E782" i="62917" s="1"/>
  <c r="E783" i="62917" s="1"/>
  <c r="E784" i="62917" s="1"/>
  <c r="E785" i="62917" s="1"/>
  <c r="E786" i="62917" s="1"/>
  <c r="E787" i="62917" s="1"/>
  <c r="E788" i="62917" s="1"/>
  <c r="E789" i="62917" s="1"/>
  <c r="E790" i="62917" s="1"/>
  <c r="E791" i="62917" s="1"/>
  <c r="E792" i="62917" s="1"/>
  <c r="E793" i="62917" s="1"/>
  <c r="E794" i="62917" s="1"/>
  <c r="E795" i="62917" s="1"/>
  <c r="E796" i="62917" s="1"/>
  <c r="E797" i="62917" s="1"/>
  <c r="E798" i="62917" s="1"/>
  <c r="E799" i="62917" s="1"/>
  <c r="E800" i="62917" s="1"/>
  <c r="E801" i="62917" s="1"/>
  <c r="E802" i="62917" s="1"/>
  <c r="E803" i="62917" s="1"/>
  <c r="E804" i="62917" s="1"/>
  <c r="E805" i="62917" s="1"/>
  <c r="E806" i="62917" s="1"/>
  <c r="E807" i="62917" s="1"/>
  <c r="E808" i="62917" s="1"/>
  <c r="E809" i="62917" s="1"/>
  <c r="E810" i="62917" s="1"/>
  <c r="E811" i="62917" s="1"/>
  <c r="E812" i="62917" s="1"/>
  <c r="E813" i="62917" s="1"/>
  <c r="E814" i="62917" s="1"/>
  <c r="E815" i="62917" s="1"/>
  <c r="E816" i="62917" s="1"/>
  <c r="E817" i="62917" s="1"/>
  <c r="E818" i="62917" s="1"/>
  <c r="E819" i="62917" s="1"/>
  <c r="E820" i="62917" s="1"/>
  <c r="E821" i="62917" s="1"/>
  <c r="E822" i="62917" s="1"/>
  <c r="E823" i="62917" s="1"/>
  <c r="E824" i="62917" s="1"/>
  <c r="E825" i="62917" s="1"/>
  <c r="E826" i="62917" s="1"/>
  <c r="E827" i="62917" s="1"/>
  <c r="E828" i="62917" s="1"/>
  <c r="E829" i="62917" s="1"/>
  <c r="E830" i="62917" s="1"/>
  <c r="E831" i="62917" s="1"/>
  <c r="E832" i="62917" s="1"/>
  <c r="E833" i="62917" s="1"/>
  <c r="E834" i="62917" s="1"/>
  <c r="E835" i="62917" s="1"/>
  <c r="E836" i="62917" s="1"/>
  <c r="E837" i="62917" s="1"/>
  <c r="E838" i="62917" s="1"/>
  <c r="E839" i="62917" s="1"/>
  <c r="E840" i="62917" s="1"/>
  <c r="E841" i="62917" s="1"/>
  <c r="E842" i="62917" s="1"/>
  <c r="E843" i="62917" s="1"/>
  <c r="E844" i="62917" s="1"/>
  <c r="E845" i="62917" s="1"/>
  <c r="E846" i="62917" s="1"/>
  <c r="E847" i="62917" s="1"/>
  <c r="E848" i="62917" s="1"/>
  <c r="E849" i="62917" s="1"/>
  <c r="E850" i="62917" s="1"/>
  <c r="E851" i="62917" s="1"/>
  <c r="E852" i="62917" s="1"/>
  <c r="E853" i="62917" s="1"/>
  <c r="E854" i="62917" s="1"/>
  <c r="E855" i="62917" s="1"/>
  <c r="E856" i="62917" s="1"/>
  <c r="E857" i="62917" s="1"/>
  <c r="E858" i="62917" s="1"/>
  <c r="E859" i="62917" s="1"/>
  <c r="E860" i="62917" s="1"/>
  <c r="E861" i="62917" s="1"/>
  <c r="E862" i="62917" s="1"/>
  <c r="E863" i="62917" s="1"/>
  <c r="E864" i="62917" s="1"/>
  <c r="E865" i="62917" s="1"/>
  <c r="E866" i="62917" s="1"/>
  <c r="E867" i="62917" s="1"/>
  <c r="E868" i="62917" s="1"/>
  <c r="E869" i="62917" s="1"/>
  <c r="E870" i="62917" s="1"/>
  <c r="E871" i="62917" s="1"/>
  <c r="E872" i="62917" s="1"/>
  <c r="E873" i="62917" s="1"/>
  <c r="E874" i="62917" s="1"/>
  <c r="E875" i="62917" s="1"/>
  <c r="E876" i="62917" s="1"/>
  <c r="E877" i="62917" s="1"/>
  <c r="E878" i="62917" s="1"/>
  <c r="E879" i="62917" s="1"/>
  <c r="E880" i="62917" s="1"/>
  <c r="E881" i="62917" s="1"/>
  <c r="E882" i="62917" s="1"/>
  <c r="E883" i="62917" s="1"/>
  <c r="E884" i="62917" s="1"/>
  <c r="E885" i="62917" s="1"/>
  <c r="E886" i="62917" s="1"/>
  <c r="D718" i="62917"/>
  <c r="D719" i="62917" s="1"/>
  <c r="D308" i="62919"/>
  <c r="E309" i="62919"/>
  <c r="E310" i="62919" s="1"/>
  <c r="C290" i="62919"/>
  <c r="D292" i="62919"/>
  <c r="E293" i="62919"/>
  <c r="D1170" i="62919"/>
  <c r="D1171" i="62919" s="1"/>
  <c r="E1172" i="62919"/>
  <c r="D62" i="62924"/>
  <c r="D63" i="62924" s="1"/>
  <c r="E64" i="62924"/>
  <c r="C61" i="62924"/>
  <c r="C710" i="62917" l="1"/>
  <c r="D720" i="62917"/>
  <c r="D309" i="62919"/>
  <c r="E311" i="62919"/>
  <c r="E294" i="62919"/>
  <c r="E295" i="62919" s="1"/>
  <c r="E296" i="62919" s="1"/>
  <c r="E297" i="62919" s="1"/>
  <c r="E298" i="62919" s="1"/>
  <c r="E299" i="62919" s="1"/>
  <c r="E300" i="62919" s="1"/>
  <c r="E301" i="62919" s="1"/>
  <c r="E302" i="62919" s="1"/>
  <c r="E303" i="62919" s="1"/>
  <c r="D293" i="62919"/>
  <c r="C293" i="62919" s="1"/>
  <c r="C292" i="62919"/>
  <c r="C1166" i="62919"/>
  <c r="D1172" i="62919"/>
  <c r="E1173" i="62919"/>
  <c r="E1174" i="62919" s="1"/>
  <c r="E1175" i="62919" s="1"/>
  <c r="E1176" i="62919" s="1"/>
  <c r="E1177" i="62919" s="1"/>
  <c r="E1178" i="62919" s="1"/>
  <c r="E1179" i="62919" s="1"/>
  <c r="E1180" i="62919" s="1"/>
  <c r="E1181" i="62919" s="1"/>
  <c r="E1182" i="62919" s="1"/>
  <c r="E1183" i="62919" s="1"/>
  <c r="E1184" i="62919" s="1"/>
  <c r="E1185" i="62919" s="1"/>
  <c r="E1186" i="62919" s="1"/>
  <c r="E1187" i="62919" s="1"/>
  <c r="E1188" i="62919" s="1"/>
  <c r="E1189" i="62919" s="1"/>
  <c r="C62" i="62924"/>
  <c r="D64" i="62924"/>
  <c r="C64" i="62924" s="1"/>
  <c r="E65" i="62924"/>
  <c r="C63" i="62924"/>
  <c r="D721" i="62917" l="1"/>
  <c r="E312" i="62919"/>
  <c r="E313" i="62919" s="1"/>
  <c r="E314" i="62919" s="1"/>
  <c r="E315" i="62919" s="1"/>
  <c r="E316" i="62919" s="1"/>
  <c r="E317" i="62919" s="1"/>
  <c r="E318" i="62919" s="1"/>
  <c r="E319" i="62919" s="1"/>
  <c r="E320" i="62919" s="1"/>
  <c r="E321" i="62919" s="1"/>
  <c r="E322" i="62919" s="1"/>
  <c r="E323" i="62919" s="1"/>
  <c r="E324" i="62919" s="1"/>
  <c r="E325" i="62919" s="1"/>
  <c r="E326" i="62919" s="1"/>
  <c r="E327" i="62919" s="1"/>
  <c r="E328" i="62919" s="1"/>
  <c r="E329" i="62919" s="1"/>
  <c r="E330" i="62919" s="1"/>
  <c r="E331" i="62919" s="1"/>
  <c r="E332" i="62919" s="1"/>
  <c r="E333" i="62919" s="1"/>
  <c r="E334" i="62919" s="1"/>
  <c r="E335" i="62919" s="1"/>
  <c r="E336" i="62919" s="1"/>
  <c r="E337" i="62919" s="1"/>
  <c r="E338" i="62919" s="1"/>
  <c r="D310" i="62919"/>
  <c r="D311" i="62919" s="1"/>
  <c r="C307" i="62919"/>
  <c r="D294" i="62919"/>
  <c r="D1173" i="62919"/>
  <c r="E66" i="62924"/>
  <c r="E67" i="62924" s="1"/>
  <c r="E68" i="62924" s="1"/>
  <c r="E69" i="62924" s="1"/>
  <c r="E70" i="62924" s="1"/>
  <c r="E71" i="62924" s="1"/>
  <c r="E72" i="62924" s="1"/>
  <c r="E73" i="62924" s="1"/>
  <c r="E74" i="62924" s="1"/>
  <c r="E75" i="62924" s="1"/>
  <c r="E76" i="62924" s="1"/>
  <c r="E77" i="62924" s="1"/>
  <c r="E78" i="62924" s="1"/>
  <c r="E79" i="62924" s="1"/>
  <c r="E80" i="62924" s="1"/>
  <c r="E81" i="62924" s="1"/>
  <c r="E82" i="62924" s="1"/>
  <c r="D65" i="62924"/>
  <c r="C65" i="62924" s="1"/>
  <c r="D722" i="62917" l="1"/>
  <c r="D312" i="62919"/>
  <c r="D295" i="62919"/>
  <c r="D296" i="62919" s="1"/>
  <c r="D297" i="62919" s="1"/>
  <c r="D298" i="62919" s="1"/>
  <c r="D299" i="62919" s="1"/>
  <c r="D300" i="62919" s="1"/>
  <c r="D301" i="62919" s="1"/>
  <c r="D302" i="62919" s="1"/>
  <c r="D303" i="62919" s="1"/>
  <c r="C297" i="62919" s="1"/>
  <c r="C294" i="62919"/>
  <c r="D1174" i="62919"/>
  <c r="C306" i="62919"/>
  <c r="D66" i="62924"/>
  <c r="D67" i="62924" s="1"/>
  <c r="D68" i="62924" s="1"/>
  <c r="D69" i="62924" s="1"/>
  <c r="D70" i="62924" s="1"/>
  <c r="D71" i="62924" s="1"/>
  <c r="D72" i="62924" s="1"/>
  <c r="D73" i="62924" s="1"/>
  <c r="D74" i="62924" s="1"/>
  <c r="D75" i="62924" s="1"/>
  <c r="D76" i="62924" s="1"/>
  <c r="D77" i="62924" s="1"/>
  <c r="D78" i="62924" s="1"/>
  <c r="D79" i="62924" s="1"/>
  <c r="D80" i="62924" s="1"/>
  <c r="D81" i="62924" s="1"/>
  <c r="D82" i="62924" s="1"/>
  <c r="D723" i="62917" l="1"/>
  <c r="C711" i="62917" s="1"/>
  <c r="C296" i="62919"/>
  <c r="C295" i="62919"/>
  <c r="D313" i="62919"/>
  <c r="C308" i="62919"/>
  <c r="C302" i="62919"/>
  <c r="C299" i="62919"/>
  <c r="C303" i="62919"/>
  <c r="C298" i="62919"/>
  <c r="C301" i="62919"/>
  <c r="C300" i="62919"/>
  <c r="D1175" i="62919"/>
  <c r="C1167" i="62919" s="1"/>
  <c r="C66" i="62924"/>
  <c r="D724" i="62917" l="1"/>
  <c r="D314" i="62919"/>
  <c r="D1176" i="62919"/>
  <c r="C80" i="62924"/>
  <c r="D725" i="62917" l="1"/>
  <c r="D315" i="62919"/>
  <c r="D316" i="62919" s="1"/>
  <c r="D317" i="62919" s="1"/>
  <c r="D318" i="62919" s="1"/>
  <c r="D319" i="62919" s="1"/>
  <c r="D320" i="62919" s="1"/>
  <c r="D321" i="62919" s="1"/>
  <c r="D322" i="62919" s="1"/>
  <c r="D323" i="62919" s="1"/>
  <c r="D324" i="62919" s="1"/>
  <c r="D325" i="62919" s="1"/>
  <c r="D326" i="62919" s="1"/>
  <c r="D327" i="62919" s="1"/>
  <c r="D328" i="62919" s="1"/>
  <c r="D329" i="62919" s="1"/>
  <c r="D330" i="62919" s="1"/>
  <c r="D331" i="62919" s="1"/>
  <c r="D332" i="62919" s="1"/>
  <c r="D333" i="62919" s="1"/>
  <c r="D334" i="62919" s="1"/>
  <c r="D335" i="62919" s="1"/>
  <c r="D336" i="62919" s="1"/>
  <c r="D337" i="62919" s="1"/>
  <c r="D338" i="62919" s="1"/>
  <c r="C314" i="62919" s="1"/>
  <c r="D1177" i="62919"/>
  <c r="C72" i="62924"/>
  <c r="C71" i="62924"/>
  <c r="C67" i="62924"/>
  <c r="C68" i="62924"/>
  <c r="C76" i="62924"/>
  <c r="C78" i="62924"/>
  <c r="C77" i="62924"/>
  <c r="C82" i="62924"/>
  <c r="C73" i="62924"/>
  <c r="C69" i="62924"/>
  <c r="C75" i="62924"/>
  <c r="C81" i="62924"/>
  <c r="C70" i="62924"/>
  <c r="C74" i="62924"/>
  <c r="C79" i="62924"/>
  <c r="D726" i="62917" l="1"/>
  <c r="C309" i="62919"/>
  <c r="C310" i="62919"/>
  <c r="C312" i="62919"/>
  <c r="C311" i="62919"/>
  <c r="C313" i="62919"/>
  <c r="C322" i="62919"/>
  <c r="C323" i="62919"/>
  <c r="C328" i="62919"/>
  <c r="C315" i="62919"/>
  <c r="C319" i="62919"/>
  <c r="C324" i="62919"/>
  <c r="C330" i="62919"/>
  <c r="C318" i="62919"/>
  <c r="C329" i="62919"/>
  <c r="C326" i="62919"/>
  <c r="C316" i="62919"/>
  <c r="C331" i="62919"/>
  <c r="C327" i="62919"/>
  <c r="C317" i="62919"/>
  <c r="C321" i="62919"/>
  <c r="C325" i="62919"/>
  <c r="C320" i="62919"/>
  <c r="D1178" i="62919"/>
  <c r="E727" i="5"/>
  <c r="E694" i="5"/>
  <c r="E661" i="5"/>
  <c r="AT553" i="5"/>
  <c r="AH425" i="5"/>
  <c r="AT370" i="5"/>
  <c r="AH242" i="5"/>
  <c r="AT186" i="5"/>
  <c r="AH58" i="5"/>
  <c r="D727" i="62917" l="1"/>
  <c r="C712" i="62917" s="1"/>
  <c r="D1179" i="62919"/>
  <c r="B40" i="62909"/>
  <c r="D40" i="62909"/>
  <c r="B32" i="62909"/>
  <c r="D32" i="62909"/>
  <c r="B34" i="62910"/>
  <c r="B26" i="62910"/>
  <c r="D728" i="62917" l="1"/>
  <c r="D1180" i="62919"/>
  <c r="BH107" i="62898"/>
  <c r="BH106" i="62898"/>
  <c r="BH105" i="62898"/>
  <c r="AQ109" i="62898"/>
  <c r="AP109" i="62898"/>
  <c r="D729" i="62917" l="1"/>
  <c r="D1181" i="62919"/>
  <c r="D1182" i="62919" s="1"/>
  <c r="D1183" i="62919" s="1"/>
  <c r="D1184" i="62919" s="1"/>
  <c r="D1185" i="62919" s="1"/>
  <c r="D1186" i="62919" s="1"/>
  <c r="D1187" i="62919" s="1"/>
  <c r="D1188" i="62919" s="1"/>
  <c r="D1189" i="62919" s="1"/>
  <c r="C1173" i="62919" s="1"/>
  <c r="BH430" i="62898"/>
  <c r="BH429" i="62898"/>
  <c r="BH428" i="62898"/>
  <c r="AQ432" i="62898"/>
  <c r="AP432" i="62898"/>
  <c r="BH420" i="62898"/>
  <c r="L420" i="62898"/>
  <c r="BH419" i="62898"/>
  <c r="L419" i="62898"/>
  <c r="BH418" i="62898"/>
  <c r="L418" i="62898"/>
  <c r="BH410" i="62898"/>
  <c r="R410" i="62898"/>
  <c r="BH409" i="62898"/>
  <c r="R409" i="62898"/>
  <c r="BH408" i="62898"/>
  <c r="R408" i="62898"/>
  <c r="BH407" i="62898"/>
  <c r="R407" i="62898"/>
  <c r="BH399" i="62898"/>
  <c r="P399" i="62898"/>
  <c r="BH398" i="62898"/>
  <c r="P398" i="62898"/>
  <c r="BH397" i="62898"/>
  <c r="P397" i="62898"/>
  <c r="BH396" i="62898"/>
  <c r="P396" i="62898"/>
  <c r="BH388" i="62898"/>
  <c r="R388" i="62898"/>
  <c r="BH387" i="62898"/>
  <c r="R387" i="62898"/>
  <c r="AR390" i="62898"/>
  <c r="AQ390" i="62898"/>
  <c r="AP390" i="62898"/>
  <c r="BH379" i="62898"/>
  <c r="N379" i="62898"/>
  <c r="BH378" i="62898"/>
  <c r="N378" i="62898"/>
  <c r="BH377" i="62898"/>
  <c r="N377" i="62898"/>
  <c r="AQ381" i="62898"/>
  <c r="AP381" i="62898"/>
  <c r="BH369" i="62898"/>
  <c r="N369" i="62898"/>
  <c r="BH368" i="62898"/>
  <c r="N368" i="62898"/>
  <c r="BH367" i="62898"/>
  <c r="N367" i="62898"/>
  <c r="AR371" i="62898"/>
  <c r="AQ371" i="62898"/>
  <c r="AP371" i="62898"/>
  <c r="BH359" i="62898"/>
  <c r="N359" i="62898"/>
  <c r="BH358" i="62898"/>
  <c r="N358" i="62898"/>
  <c r="BH357" i="62898"/>
  <c r="N357" i="62898"/>
  <c r="BH356" i="62898"/>
  <c r="N356" i="62898"/>
  <c r="BH355" i="62898"/>
  <c r="N355" i="62898"/>
  <c r="BH354" i="62898"/>
  <c r="N354" i="62898"/>
  <c r="BH350" i="62898"/>
  <c r="N350" i="62898"/>
  <c r="BH349" i="62898"/>
  <c r="N349" i="62898"/>
  <c r="BH348" i="62898"/>
  <c r="N348" i="62898"/>
  <c r="BH347" i="62898"/>
  <c r="N347" i="62898"/>
  <c r="BH346" i="62898"/>
  <c r="N346" i="62898"/>
  <c r="BH343" i="62898"/>
  <c r="N343" i="62898"/>
  <c r="BH342" i="62898"/>
  <c r="N342" i="62898"/>
  <c r="BH341" i="62898"/>
  <c r="N341" i="62898"/>
  <c r="AR361" i="62898"/>
  <c r="AQ361" i="62898"/>
  <c r="AP361" i="62898"/>
  <c r="AC344" i="62898"/>
  <c r="AB344" i="62898"/>
  <c r="AA344" i="62898"/>
  <c r="D730" i="62917" l="1"/>
  <c r="C1169" i="62919"/>
  <c r="C1171" i="62919"/>
  <c r="C1175" i="62919"/>
  <c r="C1168" i="62919"/>
  <c r="C1172" i="62919"/>
  <c r="C1170" i="62919"/>
  <c r="C1174" i="62919"/>
  <c r="N381" i="62898"/>
  <c r="R390" i="62898"/>
  <c r="R412" i="62898"/>
  <c r="N371" i="62898"/>
  <c r="P401" i="62898"/>
  <c r="L422" i="62898"/>
  <c r="AD344" i="62898"/>
  <c r="N361" i="62898"/>
  <c r="D731" i="62917" l="1"/>
  <c r="D732" i="62917" s="1"/>
  <c r="D733" i="62917" s="1"/>
  <c r="D734" i="62917" s="1"/>
  <c r="D735" i="62917" s="1"/>
  <c r="D736" i="62917" s="1"/>
  <c r="D737" i="62917" s="1"/>
  <c r="D738" i="62917" s="1"/>
  <c r="D739" i="62917" s="1"/>
  <c r="D740" i="62917" s="1"/>
  <c r="D741" i="62917" s="1"/>
  <c r="D742" i="62917" s="1"/>
  <c r="D743" i="62917" s="1"/>
  <c r="D744" i="62917" s="1"/>
  <c r="D745" i="62917" s="1"/>
  <c r="D746" i="62917" s="1"/>
  <c r="D747" i="62917" s="1"/>
  <c r="D748" i="62917" s="1"/>
  <c r="D749" i="62917" s="1"/>
  <c r="D750" i="62917" s="1"/>
  <c r="D751" i="62917" s="1"/>
  <c r="D752" i="62917" s="1"/>
  <c r="D753" i="62917" s="1"/>
  <c r="D754" i="62917" s="1"/>
  <c r="D755" i="62917" s="1"/>
  <c r="D756" i="62917" s="1"/>
  <c r="D757" i="62917" s="1"/>
  <c r="D758" i="62917" s="1"/>
  <c r="D759" i="62917" s="1"/>
  <c r="D760" i="62917" s="1"/>
  <c r="D761" i="62917" s="1"/>
  <c r="D762" i="62917" s="1"/>
  <c r="D763" i="62917" s="1"/>
  <c r="D764" i="62917" s="1"/>
  <c r="D765" i="62917" s="1"/>
  <c r="D766" i="62917" s="1"/>
  <c r="D767" i="62917" s="1"/>
  <c r="D768" i="62917" s="1"/>
  <c r="D769" i="62917" s="1"/>
  <c r="D770" i="62917" s="1"/>
  <c r="D771" i="62917" s="1"/>
  <c r="D772" i="62917" s="1"/>
  <c r="D773" i="62917" s="1"/>
  <c r="D774" i="62917" s="1"/>
  <c r="D775" i="62917" s="1"/>
  <c r="D776" i="62917" s="1"/>
  <c r="D777" i="62917" s="1"/>
  <c r="D778" i="62917" s="1"/>
  <c r="D779" i="62917" s="1"/>
  <c r="D780" i="62917" s="1"/>
  <c r="D781" i="62917" s="1"/>
  <c r="D782" i="62917" s="1"/>
  <c r="D783" i="62917" s="1"/>
  <c r="D784" i="62917" s="1"/>
  <c r="D785" i="62917" s="1"/>
  <c r="D786" i="62917" s="1"/>
  <c r="D787" i="62917" s="1"/>
  <c r="D788" i="62917" s="1"/>
  <c r="D789" i="62917" s="1"/>
  <c r="D790" i="62917" s="1"/>
  <c r="D791" i="62917" s="1"/>
  <c r="D792" i="62917" s="1"/>
  <c r="D793" i="62917" s="1"/>
  <c r="D794" i="62917" s="1"/>
  <c r="D795" i="62917" s="1"/>
  <c r="D796" i="62917" s="1"/>
  <c r="D797" i="62917" s="1"/>
  <c r="D798" i="62917" s="1"/>
  <c r="D799" i="62917" s="1"/>
  <c r="D800" i="62917" s="1"/>
  <c r="D801" i="62917" s="1"/>
  <c r="D802" i="62917" s="1"/>
  <c r="D803" i="62917" s="1"/>
  <c r="D804" i="62917" s="1"/>
  <c r="D805" i="62917" s="1"/>
  <c r="D806" i="62917" s="1"/>
  <c r="D807" i="62917" s="1"/>
  <c r="D808" i="62917" s="1"/>
  <c r="D809" i="62917" s="1"/>
  <c r="D810" i="62917" s="1"/>
  <c r="D811" i="62917" s="1"/>
  <c r="D812" i="62917" s="1"/>
  <c r="D813" i="62917" s="1"/>
  <c r="D814" i="62917" s="1"/>
  <c r="D815" i="62917" s="1"/>
  <c r="D816" i="62917" s="1"/>
  <c r="D817" i="62917" s="1"/>
  <c r="D818" i="62917" s="1"/>
  <c r="D819" i="62917" s="1"/>
  <c r="D820" i="62917" s="1"/>
  <c r="D821" i="62917" s="1"/>
  <c r="D822" i="62917" s="1"/>
  <c r="D823" i="62917" s="1"/>
  <c r="D824" i="62917" s="1"/>
  <c r="D825" i="62917" s="1"/>
  <c r="D826" i="62917" s="1"/>
  <c r="D827" i="62917" s="1"/>
  <c r="D828" i="62917" s="1"/>
  <c r="D829" i="62917" s="1"/>
  <c r="D830" i="62917" s="1"/>
  <c r="D831" i="62917" s="1"/>
  <c r="D832" i="62917" s="1"/>
  <c r="D833" i="62917" s="1"/>
  <c r="D834" i="62917" s="1"/>
  <c r="D835" i="62917" s="1"/>
  <c r="D836" i="62917" s="1"/>
  <c r="D837" i="62917" s="1"/>
  <c r="D838" i="62917" s="1"/>
  <c r="D839" i="62917" s="1"/>
  <c r="D840" i="62917" s="1"/>
  <c r="D841" i="62917" s="1"/>
  <c r="D842" i="62917" s="1"/>
  <c r="D843" i="62917" s="1"/>
  <c r="D844" i="62917" s="1"/>
  <c r="D845" i="62917" s="1"/>
  <c r="D846" i="62917" s="1"/>
  <c r="D847" i="62917" s="1"/>
  <c r="D848" i="62917" s="1"/>
  <c r="D849" i="62917" s="1"/>
  <c r="D850" i="62917" s="1"/>
  <c r="D851" i="62917" s="1"/>
  <c r="D852" i="62917" s="1"/>
  <c r="D853" i="62917" s="1"/>
  <c r="D854" i="62917" s="1"/>
  <c r="D855" i="62917" s="1"/>
  <c r="D856" i="62917" s="1"/>
  <c r="D857" i="62917" s="1"/>
  <c r="D858" i="62917" s="1"/>
  <c r="D859" i="62917" s="1"/>
  <c r="D860" i="62917" s="1"/>
  <c r="D861" i="62917" s="1"/>
  <c r="D862" i="62917" s="1"/>
  <c r="D863" i="62917" s="1"/>
  <c r="D864" i="62917" s="1"/>
  <c r="D865" i="62917" s="1"/>
  <c r="D866" i="62917" s="1"/>
  <c r="D867" i="62917" s="1"/>
  <c r="D868" i="62917" s="1"/>
  <c r="D869" i="62917" s="1"/>
  <c r="D870" i="62917" s="1"/>
  <c r="D871" i="62917" s="1"/>
  <c r="D872" i="62917" s="1"/>
  <c r="D873" i="62917" s="1"/>
  <c r="D874" i="62917" s="1"/>
  <c r="D875" i="62917" s="1"/>
  <c r="D876" i="62917" s="1"/>
  <c r="D877" i="62917" s="1"/>
  <c r="D878" i="62917" s="1"/>
  <c r="D879" i="62917" s="1"/>
  <c r="D880" i="62917" s="1"/>
  <c r="D881" i="62917" s="1"/>
  <c r="D882" i="62917" s="1"/>
  <c r="D883" i="62917" s="1"/>
  <c r="D884" i="62917" s="1"/>
  <c r="D885" i="62917" s="1"/>
  <c r="D886" i="62917" s="1"/>
  <c r="F558" i="62921"/>
  <c r="F559" i="62921"/>
  <c r="G559" i="62921" s="1"/>
  <c r="F560" i="62921"/>
  <c r="F561" i="62921"/>
  <c r="G561" i="62921" s="1"/>
  <c r="F562" i="62921"/>
  <c r="F563" i="62921"/>
  <c r="G563" i="62921" s="1"/>
  <c r="F564" i="62921"/>
  <c r="F565" i="62921"/>
  <c r="G565" i="62921" s="1"/>
  <c r="F566" i="62921"/>
  <c r="F567" i="62921"/>
  <c r="G567" i="62921" s="1"/>
  <c r="F568" i="62921"/>
  <c r="F569" i="62921"/>
  <c r="G569" i="62921" s="1"/>
  <c r="F570" i="62921"/>
  <c r="F571" i="62921"/>
  <c r="G571" i="62921" s="1"/>
  <c r="F572" i="62921"/>
  <c r="F573" i="62921"/>
  <c r="G573" i="62921" s="1"/>
  <c r="F574" i="62921"/>
  <c r="F575" i="62921"/>
  <c r="G575" i="62921" s="1"/>
  <c r="F576" i="62921"/>
  <c r="F577" i="62921"/>
  <c r="G577" i="62921" s="1"/>
  <c r="F578" i="62921"/>
  <c r="F579" i="62921"/>
  <c r="G579" i="62921" s="1"/>
  <c r="F580" i="62921"/>
  <c r="F581" i="62921"/>
  <c r="G581" i="62921" s="1"/>
  <c r="F582" i="62921"/>
  <c r="F583" i="62921"/>
  <c r="G583" i="62921" s="1"/>
  <c r="F584" i="62921"/>
  <c r="F585" i="62921"/>
  <c r="G585" i="62921" s="1"/>
  <c r="F586" i="62921"/>
  <c r="F587" i="62921"/>
  <c r="G587" i="62921" s="1"/>
  <c r="F588" i="62921"/>
  <c r="F589" i="62921"/>
  <c r="G589" i="62921" s="1"/>
  <c r="F590" i="62921"/>
  <c r="F591" i="62921"/>
  <c r="G591" i="62921" s="1"/>
  <c r="F592" i="62921"/>
  <c r="F593" i="62921"/>
  <c r="G593" i="62921" s="1"/>
  <c r="F594" i="62921"/>
  <c r="F557" i="62921"/>
  <c r="G557" i="62921" s="1"/>
  <c r="BH202" i="62898"/>
  <c r="R202" i="62898"/>
  <c r="BH201" i="62898"/>
  <c r="R201" i="62898"/>
  <c r="AR204" i="62898"/>
  <c r="AQ204" i="62898"/>
  <c r="AP204" i="62898"/>
  <c r="BH193" i="62898"/>
  <c r="N193" i="62898"/>
  <c r="BH192" i="62898"/>
  <c r="N192" i="62898"/>
  <c r="BH191" i="62898"/>
  <c r="N191" i="62898"/>
  <c r="BH183" i="62898"/>
  <c r="N183" i="62898"/>
  <c r="BH182" i="62898"/>
  <c r="N182" i="62898"/>
  <c r="BH181" i="62898"/>
  <c r="N181" i="62898"/>
  <c r="AR195" i="62898"/>
  <c r="AQ195" i="62898"/>
  <c r="AP195" i="62898"/>
  <c r="AQ185" i="62898"/>
  <c r="AP185" i="62898"/>
  <c r="N161" i="62898"/>
  <c r="N160" i="62898"/>
  <c r="N159" i="62898"/>
  <c r="N158" i="62898"/>
  <c r="N157" i="62898"/>
  <c r="N156" i="62898"/>
  <c r="N152" i="62898"/>
  <c r="N151" i="62898"/>
  <c r="N150" i="62898"/>
  <c r="N149" i="62898"/>
  <c r="N148" i="62898"/>
  <c r="N145" i="62898"/>
  <c r="N144" i="62898"/>
  <c r="N143" i="62898"/>
  <c r="BH157" i="62898"/>
  <c r="BH158" i="62898"/>
  <c r="BH159" i="62898"/>
  <c r="BH160" i="62898"/>
  <c r="BH161" i="62898"/>
  <c r="BH156" i="62898"/>
  <c r="BH149" i="62898"/>
  <c r="BH150" i="62898"/>
  <c r="BH151" i="62898"/>
  <c r="BH152" i="62898"/>
  <c r="BH148" i="62898"/>
  <c r="BH144" i="62898"/>
  <c r="BH145" i="62898"/>
  <c r="BH143" i="62898"/>
  <c r="AR163" i="62898"/>
  <c r="AQ163" i="62898"/>
  <c r="AP163" i="62898"/>
  <c r="AC146" i="62898"/>
  <c r="AB146" i="62898"/>
  <c r="AA146" i="62898"/>
  <c r="C726" i="62917" l="1"/>
  <c r="C725" i="62917"/>
  <c r="C716" i="62917"/>
  <c r="C715" i="62917"/>
  <c r="C724" i="62917"/>
  <c r="C722" i="62917"/>
  <c r="C713" i="62917"/>
  <c r="C720" i="62917"/>
  <c r="C723" i="62917"/>
  <c r="C721" i="62917"/>
  <c r="C717" i="62917"/>
  <c r="C719" i="62917"/>
  <c r="C718" i="62917"/>
  <c r="C714" i="62917"/>
  <c r="R204" i="62898"/>
  <c r="N185" i="62898"/>
  <c r="G594" i="62921"/>
  <c r="G592" i="62921"/>
  <c r="G590" i="62921"/>
  <c r="G588" i="62921"/>
  <c r="G586" i="62921"/>
  <c r="G584" i="62921"/>
  <c r="G582" i="62921"/>
  <c r="G580" i="62921"/>
  <c r="G578" i="62921"/>
  <c r="G576" i="62921"/>
  <c r="G574" i="62921"/>
  <c r="G572" i="62921"/>
  <c r="G570" i="62921"/>
  <c r="G568" i="62921"/>
  <c r="G566" i="62921"/>
  <c r="G564" i="62921"/>
  <c r="G562" i="62921"/>
  <c r="G560" i="62921"/>
  <c r="G558" i="62921"/>
  <c r="N163" i="62898"/>
  <c r="N195" i="62898"/>
  <c r="AD146" i="62898"/>
  <c r="F295" i="62921"/>
  <c r="G295" i="62921" s="1"/>
  <c r="F296" i="62921"/>
  <c r="G296" i="62921" s="1"/>
  <c r="F297" i="62921"/>
  <c r="G297" i="62921" s="1"/>
  <c r="F298" i="62921"/>
  <c r="G298" i="62921" s="1"/>
  <c r="F299" i="62921"/>
  <c r="G299" i="62921" s="1"/>
  <c r="F300" i="62921"/>
  <c r="G300" i="62921" s="1"/>
  <c r="F301" i="62921"/>
  <c r="G301" i="62921" s="1"/>
  <c r="F302" i="62921"/>
  <c r="G302" i="62921" s="1"/>
  <c r="F303" i="62921"/>
  <c r="G303" i="62921" s="1"/>
  <c r="F304" i="62921"/>
  <c r="G304" i="62921" s="1"/>
  <c r="F305" i="62921"/>
  <c r="G305" i="62921" s="1"/>
  <c r="F306" i="62921"/>
  <c r="G306" i="62921" s="1"/>
  <c r="F307" i="62921"/>
  <c r="G307" i="62921" s="1"/>
  <c r="F308" i="62921"/>
  <c r="G308" i="62921" s="1"/>
  <c r="F309" i="62921"/>
  <c r="G309" i="62921" s="1"/>
  <c r="AR90" i="62898"/>
  <c r="AA43" i="62898"/>
  <c r="AB43" i="62898"/>
  <c r="AC43" i="62898"/>
  <c r="BH53" i="62898"/>
  <c r="BH54" i="62898"/>
  <c r="BH55" i="62898"/>
  <c r="BH56" i="62898"/>
  <c r="BH57" i="62898"/>
  <c r="BH58" i="62898"/>
  <c r="BH46" i="62898"/>
  <c r="BH47" i="62898"/>
  <c r="BH48" i="62898"/>
  <c r="BH49" i="62898"/>
  <c r="N57" i="62898"/>
  <c r="N58" i="62898"/>
  <c r="N46" i="62898"/>
  <c r="N47" i="62898"/>
  <c r="N48" i="62898"/>
  <c r="N49" i="62898"/>
  <c r="E471" i="62898" l="1"/>
  <c r="AD43" i="62898"/>
  <c r="BH494" i="5" l="1"/>
  <c r="BH495" i="5"/>
  <c r="BH496" i="5"/>
  <c r="BH497" i="5"/>
  <c r="BH312" i="5"/>
  <c r="BH313" i="5"/>
  <c r="BH314" i="5"/>
  <c r="C727" i="62917" l="1"/>
  <c r="F259" i="62922"/>
  <c r="G259" i="62922" s="1"/>
  <c r="F260" i="62922"/>
  <c r="G260" i="62922" s="1"/>
  <c r="F261" i="62922"/>
  <c r="G261" i="62922" s="1"/>
  <c r="F262" i="62922"/>
  <c r="G262" i="62922" s="1"/>
  <c r="F263" i="62922"/>
  <c r="G263" i="62922" s="1"/>
  <c r="F264" i="62922"/>
  <c r="G264" i="62922" s="1"/>
  <c r="F265" i="62922"/>
  <c r="G265" i="62922" s="1"/>
  <c r="F266" i="62922"/>
  <c r="G266" i="62922" s="1"/>
  <c r="F267" i="62922"/>
  <c r="G267" i="62922" s="1"/>
  <c r="F268" i="62922"/>
  <c r="G268" i="62922" s="1"/>
  <c r="F269" i="62922"/>
  <c r="G269" i="62922" s="1"/>
  <c r="F270" i="62922"/>
  <c r="G270" i="62922" s="1"/>
  <c r="F271" i="62922"/>
  <c r="G271" i="62922" s="1"/>
  <c r="F272" i="62922"/>
  <c r="G272" i="62922" s="1"/>
  <c r="F273" i="62922"/>
  <c r="G273" i="62922" s="1"/>
  <c r="F274" i="62922"/>
  <c r="G274" i="62922" s="1"/>
  <c r="F275" i="62922"/>
  <c r="G275" i="62922" s="1"/>
  <c r="F276" i="62922"/>
  <c r="G276" i="62922" s="1"/>
  <c r="F277" i="62922"/>
  <c r="G277" i="62922" s="1"/>
  <c r="F278" i="62922"/>
  <c r="G278" i="62922" s="1"/>
  <c r="F279" i="62922"/>
  <c r="G279" i="62922" s="1"/>
  <c r="BH123" i="5"/>
  <c r="BH124" i="5"/>
  <c r="BH127" i="5"/>
  <c r="BH128" i="5"/>
  <c r="BH129" i="5"/>
  <c r="BH130" i="5"/>
  <c r="F518" i="62922"/>
  <c r="G518" i="62922" s="1"/>
  <c r="AC280" i="62928" l="1"/>
  <c r="AC279" i="62928"/>
  <c r="AC278" i="62928"/>
  <c r="AC277" i="62928"/>
  <c r="AC276" i="62928"/>
  <c r="D275" i="62928"/>
  <c r="D267" i="62928"/>
  <c r="AC266" i="62928"/>
  <c r="AC265" i="62928"/>
  <c r="AC264" i="62928"/>
  <c r="AC263" i="62928"/>
  <c r="AC262" i="62928"/>
  <c r="AC212" i="62928"/>
  <c r="AC211" i="62928"/>
  <c r="AC210" i="62928"/>
  <c r="AC209" i="62928"/>
  <c r="AC208" i="62928"/>
  <c r="AC280" i="7"/>
  <c r="AC279" i="7"/>
  <c r="AC278" i="7"/>
  <c r="AC277" i="7"/>
  <c r="AC276" i="7"/>
  <c r="AC266" i="7"/>
  <c r="AC265" i="7"/>
  <c r="AC264" i="7"/>
  <c r="AC263" i="7"/>
  <c r="AC262" i="7"/>
  <c r="F1133" i="62919"/>
  <c r="F1134" i="62919"/>
  <c r="G1134" i="62919" s="1"/>
  <c r="F1135" i="62919"/>
  <c r="F1136" i="62919"/>
  <c r="G1136" i="62919" s="1"/>
  <c r="F1137" i="62919"/>
  <c r="F1138" i="62919"/>
  <c r="G1138" i="62919" s="1"/>
  <c r="F1139" i="62919"/>
  <c r="F1140" i="62919"/>
  <c r="G1140" i="62919" s="1"/>
  <c r="F1141" i="62919"/>
  <c r="F1142" i="62919"/>
  <c r="G1142" i="62919" s="1"/>
  <c r="F1143" i="62919"/>
  <c r="F1144" i="62919"/>
  <c r="G1144" i="62919" s="1"/>
  <c r="F1145" i="62919"/>
  <c r="F1146" i="62919"/>
  <c r="G1146" i="62919" s="1"/>
  <c r="F1147" i="62919"/>
  <c r="F1148" i="62919"/>
  <c r="G1148" i="62919" s="1"/>
  <c r="F1149" i="62919"/>
  <c r="F1150" i="62919"/>
  <c r="G1150" i="62919" s="1"/>
  <c r="F1151" i="62919"/>
  <c r="F1152" i="62919"/>
  <c r="G1152" i="62919" s="1"/>
  <c r="F1153" i="62919"/>
  <c r="F1154" i="62919"/>
  <c r="G1154" i="62919" s="1"/>
  <c r="F1155" i="62919"/>
  <c r="F1156" i="62919"/>
  <c r="G1156" i="62919" s="1"/>
  <c r="F1157" i="62919"/>
  <c r="F1158" i="62919"/>
  <c r="G1158" i="62919" s="1"/>
  <c r="F1159" i="62919"/>
  <c r="F1160" i="62919"/>
  <c r="G1160" i="62919" s="1"/>
  <c r="F1161" i="62919"/>
  <c r="F1162" i="62919"/>
  <c r="G1162" i="62919" s="1"/>
  <c r="F1132" i="62919"/>
  <c r="G1132" i="62919" s="1"/>
  <c r="D275" i="7"/>
  <c r="F391" i="62919"/>
  <c r="F392" i="62919"/>
  <c r="G392" i="62919" s="1"/>
  <c r="F393" i="62919"/>
  <c r="F394" i="62919"/>
  <c r="G394" i="62919" s="1"/>
  <c r="F395" i="62919"/>
  <c r="F396" i="62919"/>
  <c r="G396" i="62919" s="1"/>
  <c r="F397" i="62919"/>
  <c r="F398" i="62919"/>
  <c r="G398" i="62919" s="1"/>
  <c r="F399" i="62919"/>
  <c r="F400" i="62919"/>
  <c r="G400" i="62919" s="1"/>
  <c r="F401" i="62919"/>
  <c r="AC208" i="7"/>
  <c r="AC209" i="7"/>
  <c r="AC210" i="7"/>
  <c r="AC211" i="7"/>
  <c r="AC212" i="7"/>
  <c r="D214" i="7"/>
  <c r="G1161" i="62919" l="1"/>
  <c r="G1159" i="62919"/>
  <c r="G1157" i="62919"/>
  <c r="G1155" i="62919"/>
  <c r="G1153" i="62919"/>
  <c r="G1151" i="62919"/>
  <c r="G1149" i="62919"/>
  <c r="G1147" i="62919"/>
  <c r="G1145" i="62919"/>
  <c r="G1143" i="62919"/>
  <c r="G1141" i="62919"/>
  <c r="G1139" i="62919"/>
  <c r="G1137" i="62919"/>
  <c r="G1135" i="62919"/>
  <c r="G1133" i="62919"/>
  <c r="G401" i="62919"/>
  <c r="G399" i="62919"/>
  <c r="G397" i="62919"/>
  <c r="G395" i="62919"/>
  <c r="G393" i="62919"/>
  <c r="G391" i="62919"/>
  <c r="E557" i="62921" l="1"/>
  <c r="C728" i="62917" l="1"/>
  <c r="E558" i="62921"/>
  <c r="F316" i="62921"/>
  <c r="G316" i="62921" s="1"/>
  <c r="F317" i="62921"/>
  <c r="F318" i="62921"/>
  <c r="G318" i="62921" s="1"/>
  <c r="F319" i="62921"/>
  <c r="F320" i="62921"/>
  <c r="G320" i="62921" s="1"/>
  <c r="F321" i="62921"/>
  <c r="F322" i="62921"/>
  <c r="G322" i="62921" s="1"/>
  <c r="F323" i="62921"/>
  <c r="F324" i="62921"/>
  <c r="G324" i="62921" s="1"/>
  <c r="F325" i="62921"/>
  <c r="F326" i="62921"/>
  <c r="G326" i="62921" s="1"/>
  <c r="F327" i="62921"/>
  <c r="F328" i="62921"/>
  <c r="G328" i="62921" s="1"/>
  <c r="F315" i="62921"/>
  <c r="G315" i="62921" s="1"/>
  <c r="E559" i="62921" l="1"/>
  <c r="G327" i="62921"/>
  <c r="G325" i="62921"/>
  <c r="G323" i="62921"/>
  <c r="G321" i="62921"/>
  <c r="G319" i="62921"/>
  <c r="G317" i="62921"/>
  <c r="F134" i="62921"/>
  <c r="E134" i="62921" s="1"/>
  <c r="E135" i="62921" l="1"/>
  <c r="E136" i="62921" s="1"/>
  <c r="E560" i="62921"/>
  <c r="G134" i="62921"/>
  <c r="F134" i="62922"/>
  <c r="F135" i="62922"/>
  <c r="G135" i="62922" s="1"/>
  <c r="F136" i="62922"/>
  <c r="G136" i="62922" s="1"/>
  <c r="F137" i="62922"/>
  <c r="G137" i="62922" s="1"/>
  <c r="F138" i="62922"/>
  <c r="G138" i="62922" s="1"/>
  <c r="F139" i="62922"/>
  <c r="G139" i="62922" s="1"/>
  <c r="F140" i="62922"/>
  <c r="G140" i="62922" s="1"/>
  <c r="F141" i="62922"/>
  <c r="G141" i="62922" s="1"/>
  <c r="F142" i="62922"/>
  <c r="G142" i="62922" s="1"/>
  <c r="F143" i="62922"/>
  <c r="G143" i="62922" s="1"/>
  <c r="F144" i="62922"/>
  <c r="G144" i="62922" s="1"/>
  <c r="F145" i="62922"/>
  <c r="G145" i="62922" s="1"/>
  <c r="F146" i="62922"/>
  <c r="G146" i="62922" s="1"/>
  <c r="F147" i="62922"/>
  <c r="G147" i="62922" s="1"/>
  <c r="F148" i="62922"/>
  <c r="G148" i="62922" s="1"/>
  <c r="F149" i="62922"/>
  <c r="G149" i="62922" s="1"/>
  <c r="F150" i="62922"/>
  <c r="G150" i="62922" s="1"/>
  <c r="F151" i="62922"/>
  <c r="G151" i="62922" s="1"/>
  <c r="F152" i="62922"/>
  <c r="G152" i="62922" s="1"/>
  <c r="F153" i="62922"/>
  <c r="G153" i="62922" s="1"/>
  <c r="F154" i="62922"/>
  <c r="G154" i="62922" s="1"/>
  <c r="F155" i="62922"/>
  <c r="G155" i="62922" s="1"/>
  <c r="F156" i="62922"/>
  <c r="G156" i="62922" s="1"/>
  <c r="F157" i="62922"/>
  <c r="G157" i="62922" s="1"/>
  <c r="F158" i="62922"/>
  <c r="G158" i="62922" s="1"/>
  <c r="F159" i="62922"/>
  <c r="G159" i="62922" s="1"/>
  <c r="F160" i="62922"/>
  <c r="G160" i="62922" s="1"/>
  <c r="F161" i="62922"/>
  <c r="G161" i="62922" s="1"/>
  <c r="F162" i="62922"/>
  <c r="G162" i="62922" s="1"/>
  <c r="F163" i="62922"/>
  <c r="G163" i="62922" s="1"/>
  <c r="F164" i="62922"/>
  <c r="G164" i="62922" s="1"/>
  <c r="F165" i="62922"/>
  <c r="G165" i="62922" s="1"/>
  <c r="F166" i="62922"/>
  <c r="G166" i="62922" s="1"/>
  <c r="F167" i="62922"/>
  <c r="G167" i="62922" s="1"/>
  <c r="F168" i="62922"/>
  <c r="G168" i="62922" s="1"/>
  <c r="F169" i="62922"/>
  <c r="G169" i="62922" s="1"/>
  <c r="F170" i="62922"/>
  <c r="G170" i="62922" s="1"/>
  <c r="F171" i="62922"/>
  <c r="G171" i="62922" s="1"/>
  <c r="F172" i="62922"/>
  <c r="G172" i="62922" s="1"/>
  <c r="F173" i="62922"/>
  <c r="G173" i="62922" s="1"/>
  <c r="F174" i="62922"/>
  <c r="G174" i="62922" s="1"/>
  <c r="F175" i="62922"/>
  <c r="G175" i="62922" s="1"/>
  <c r="F176" i="62922"/>
  <c r="G176" i="62922" s="1"/>
  <c r="F177" i="62922"/>
  <c r="G177" i="62922" s="1"/>
  <c r="F178" i="62922"/>
  <c r="G178" i="62922" s="1"/>
  <c r="F179" i="62922"/>
  <c r="G179" i="62922" s="1"/>
  <c r="F180" i="62922"/>
  <c r="G180" i="62922" s="1"/>
  <c r="F181" i="62922"/>
  <c r="G181" i="62922" s="1"/>
  <c r="F182" i="62922"/>
  <c r="G182" i="62922" s="1"/>
  <c r="F183" i="62922"/>
  <c r="G183" i="62922" s="1"/>
  <c r="F184" i="62922"/>
  <c r="G184" i="62922" s="1"/>
  <c r="F185" i="62922"/>
  <c r="G185" i="62922" s="1"/>
  <c r="F186" i="62922"/>
  <c r="G186" i="62922" s="1"/>
  <c r="F187" i="62922"/>
  <c r="G187" i="62922" s="1"/>
  <c r="F188" i="62922"/>
  <c r="G188" i="62922" s="1"/>
  <c r="F189" i="62922"/>
  <c r="G189" i="62922" s="1"/>
  <c r="F190" i="62922"/>
  <c r="G190" i="62922" s="1"/>
  <c r="F191" i="62922"/>
  <c r="G191" i="62922" s="1"/>
  <c r="F192" i="62922"/>
  <c r="G192" i="62922" s="1"/>
  <c r="F193" i="62922"/>
  <c r="G193" i="62922" s="1"/>
  <c r="F194" i="62922"/>
  <c r="G194" i="62922" s="1"/>
  <c r="F195" i="62922"/>
  <c r="G195" i="62922" s="1"/>
  <c r="F196" i="62922"/>
  <c r="G196" i="62922" s="1"/>
  <c r="F197" i="62922"/>
  <c r="G197" i="62922" s="1"/>
  <c r="F198" i="62922"/>
  <c r="G198" i="62922" s="1"/>
  <c r="F199" i="62922"/>
  <c r="G199" i="62922" s="1"/>
  <c r="F200" i="62922"/>
  <c r="G200" i="62922" s="1"/>
  <c r="F201" i="62922"/>
  <c r="G201" i="62922" s="1"/>
  <c r="F202" i="62922"/>
  <c r="G202" i="62922" s="1"/>
  <c r="F203" i="62922"/>
  <c r="G203" i="62922" s="1"/>
  <c r="F204" i="62922"/>
  <c r="G204" i="62922" s="1"/>
  <c r="F205" i="62922"/>
  <c r="G205" i="62922" s="1"/>
  <c r="F206" i="62922"/>
  <c r="G206" i="62922" s="1"/>
  <c r="F207" i="62922"/>
  <c r="G207" i="62922" s="1"/>
  <c r="F208" i="62922"/>
  <c r="G208" i="62922" s="1"/>
  <c r="F209" i="62922"/>
  <c r="G209" i="62922" s="1"/>
  <c r="F210" i="62922"/>
  <c r="G210" i="62922" s="1"/>
  <c r="F211" i="62922"/>
  <c r="G211" i="62922" s="1"/>
  <c r="F212" i="62922"/>
  <c r="G212" i="62922" s="1"/>
  <c r="F213" i="62922"/>
  <c r="G213" i="62922" s="1"/>
  <c r="F214" i="62922"/>
  <c r="G214" i="62922" s="1"/>
  <c r="F215" i="62922"/>
  <c r="G215" i="62922" s="1"/>
  <c r="F216" i="62922"/>
  <c r="G216" i="62922" s="1"/>
  <c r="F217" i="62922"/>
  <c r="G217" i="62922" s="1"/>
  <c r="F218" i="62922"/>
  <c r="F219" i="62922"/>
  <c r="F220" i="62922"/>
  <c r="F221" i="62922"/>
  <c r="F222" i="62922"/>
  <c r="F223" i="62922"/>
  <c r="F224" i="62922"/>
  <c r="F225" i="62922"/>
  <c r="F226" i="62922"/>
  <c r="F227" i="62922"/>
  <c r="F228" i="62922"/>
  <c r="F229" i="62922"/>
  <c r="F230" i="62922"/>
  <c r="F231" i="62922"/>
  <c r="F232" i="62922"/>
  <c r="F233" i="62922"/>
  <c r="F234" i="62922"/>
  <c r="F235" i="62922"/>
  <c r="F236" i="62922"/>
  <c r="F237" i="62922"/>
  <c r="F238" i="62922"/>
  <c r="F239" i="62922"/>
  <c r="F240" i="62922"/>
  <c r="E137" i="62921" l="1"/>
  <c r="E561" i="62921"/>
  <c r="E562" i="62921" s="1"/>
  <c r="G134" i="62922"/>
  <c r="G240" i="62922"/>
  <c r="G239" i="62922"/>
  <c r="G238" i="62922"/>
  <c r="G237" i="62922"/>
  <c r="G236" i="62922"/>
  <c r="G235" i="62922"/>
  <c r="G234" i="62922"/>
  <c r="G233" i="62922"/>
  <c r="G232" i="62922"/>
  <c r="G231" i="62922"/>
  <c r="G230" i="62922"/>
  <c r="G229" i="62922"/>
  <c r="G228" i="62922"/>
  <c r="G227" i="62922"/>
  <c r="G226" i="62922"/>
  <c r="G225" i="62922"/>
  <c r="G224" i="62922"/>
  <c r="G223" i="62922"/>
  <c r="G222" i="62922"/>
  <c r="G221" i="62922"/>
  <c r="G220" i="62922"/>
  <c r="G219" i="62922"/>
  <c r="G218" i="62922"/>
  <c r="E138" i="62921" l="1"/>
  <c r="C729" i="62917"/>
  <c r="E563" i="62921"/>
  <c r="E564" i="62921" s="1"/>
  <c r="E139" i="62921" l="1"/>
  <c r="E140" i="62921" s="1"/>
  <c r="E565" i="62921"/>
  <c r="E566" i="62921" s="1"/>
  <c r="E567" i="62921" s="1"/>
  <c r="E568" i="62921" s="1"/>
  <c r="E569" i="62921" s="1"/>
  <c r="E570" i="62921" s="1"/>
  <c r="E571" i="62921" s="1"/>
  <c r="E572" i="62921" s="1"/>
  <c r="E573" i="62921" s="1"/>
  <c r="E574" i="62921" s="1"/>
  <c r="E575" i="62921" s="1"/>
  <c r="E576" i="62921" s="1"/>
  <c r="E577" i="62921" s="1"/>
  <c r="E578" i="62921" s="1"/>
  <c r="E579" i="62921" s="1"/>
  <c r="E580" i="62921" s="1"/>
  <c r="E581" i="62921" s="1"/>
  <c r="E582" i="62921" s="1"/>
  <c r="E583" i="62921" s="1"/>
  <c r="E584" i="62921" s="1"/>
  <c r="E585" i="62921" s="1"/>
  <c r="E586" i="62921" s="1"/>
  <c r="E587" i="62921" s="1"/>
  <c r="E588" i="62921" s="1"/>
  <c r="E589" i="62921" s="1"/>
  <c r="E590" i="62921" s="1"/>
  <c r="E591" i="62921" s="1"/>
  <c r="E592" i="62921" s="1"/>
  <c r="E593" i="62921" s="1"/>
  <c r="E594" i="62921" s="1"/>
  <c r="E141" i="62921" l="1"/>
  <c r="E142" i="62921" s="1"/>
  <c r="E143" i="62921" s="1"/>
  <c r="E144" i="62921" s="1"/>
  <c r="E145" i="62921" s="1"/>
  <c r="E146" i="62921" s="1"/>
  <c r="E147" i="62921" s="1"/>
  <c r="E148" i="62921" s="1"/>
  <c r="E149" i="62921" s="1"/>
  <c r="E150" i="62921" s="1"/>
  <c r="E151" i="62921" s="1"/>
  <c r="E152" i="62921" s="1"/>
  <c r="E153" i="62921" s="1"/>
  <c r="E154" i="62921" s="1"/>
  <c r="E155" i="62921" s="1"/>
  <c r="E156" i="62921" s="1"/>
  <c r="E157" i="62921" s="1"/>
  <c r="E158" i="62921" s="1"/>
  <c r="E159" i="62921" s="1"/>
  <c r="E160" i="62921" s="1"/>
  <c r="E161" i="62921" s="1"/>
  <c r="E162" i="62921" s="1"/>
  <c r="E163" i="62921" s="1"/>
  <c r="E164" i="62921" s="1"/>
  <c r="E165" i="62921" s="1"/>
  <c r="E166" i="62921" s="1"/>
  <c r="E167" i="62921" s="1"/>
  <c r="E168" i="62921" s="1"/>
  <c r="E169" i="62921" s="1"/>
  <c r="E170" i="62921" s="1"/>
  <c r="E171" i="62921" s="1"/>
  <c r="E172" i="62921" s="1"/>
  <c r="E173" i="62921" s="1"/>
  <c r="E174" i="62921" s="1"/>
  <c r="E175" i="62921" s="1"/>
  <c r="E176" i="62921" s="1"/>
  <c r="E177" i="62921" s="1"/>
  <c r="E178" i="62921" s="1"/>
  <c r="E179" i="62921" s="1"/>
  <c r="E180" i="62921" s="1"/>
  <c r="E181" i="62921" s="1"/>
  <c r="E182" i="62921" s="1"/>
  <c r="E183" i="62921" s="1"/>
  <c r="E184" i="62921" s="1"/>
  <c r="E185" i="62921" s="1"/>
  <c r="E186" i="62921" s="1"/>
  <c r="E187" i="62921" s="1"/>
  <c r="E188" i="62921" s="1"/>
  <c r="E189" i="62921" s="1"/>
  <c r="E190" i="62921" s="1"/>
  <c r="E191" i="62921" s="1"/>
  <c r="E192" i="62921" s="1"/>
  <c r="E193" i="62921" s="1"/>
  <c r="E194" i="62921" s="1"/>
  <c r="E195" i="62921" s="1"/>
  <c r="E196" i="62921" s="1"/>
  <c r="E197" i="62921" s="1"/>
  <c r="E198" i="62921" s="1"/>
  <c r="E199" i="62921" s="1"/>
  <c r="F128" i="62918"/>
  <c r="F129" i="62918"/>
  <c r="G129" i="62918" s="1"/>
  <c r="F130" i="62918"/>
  <c r="F131" i="62918"/>
  <c r="G131" i="62918" s="1"/>
  <c r="F132" i="62918"/>
  <c r="F133" i="62918"/>
  <c r="G133" i="62918" s="1"/>
  <c r="F134" i="62918"/>
  <c r="F135" i="62918"/>
  <c r="G135" i="62918" s="1"/>
  <c r="F136" i="62918"/>
  <c r="F137" i="62918"/>
  <c r="G137" i="62918" s="1"/>
  <c r="F138" i="62918"/>
  <c r="F139" i="62918"/>
  <c r="G139" i="62918" s="1"/>
  <c r="F140" i="62918"/>
  <c r="F141" i="62918"/>
  <c r="G141" i="62918" s="1"/>
  <c r="F142" i="62918"/>
  <c r="F143" i="62918"/>
  <c r="G143" i="62918" s="1"/>
  <c r="F144" i="62918"/>
  <c r="F145" i="62918"/>
  <c r="G145" i="62918" s="1"/>
  <c r="F146" i="62918"/>
  <c r="F147" i="62918"/>
  <c r="G147" i="62918" s="1"/>
  <c r="F148" i="62918"/>
  <c r="F149" i="62918"/>
  <c r="G149" i="62918" s="1"/>
  <c r="F150" i="62918"/>
  <c r="F151" i="62918"/>
  <c r="G151" i="62918" s="1"/>
  <c r="F152" i="62918"/>
  <c r="F153" i="62918"/>
  <c r="G153" i="62918" s="1"/>
  <c r="F154" i="62918"/>
  <c r="F155" i="62918"/>
  <c r="G155" i="62918" s="1"/>
  <c r="F156" i="62918"/>
  <c r="F157" i="62918"/>
  <c r="G157" i="62918" s="1"/>
  <c r="F1192" i="62919"/>
  <c r="E1192" i="62919" s="1"/>
  <c r="F103" i="62919"/>
  <c r="F104" i="62919"/>
  <c r="G104" i="62919" s="1"/>
  <c r="F105" i="62919"/>
  <c r="F106" i="62919"/>
  <c r="G106" i="62919" s="1"/>
  <c r="F107" i="62919"/>
  <c r="F108" i="62919"/>
  <c r="G108" i="62919" s="1"/>
  <c r="F109" i="62919"/>
  <c r="F110" i="62919"/>
  <c r="G110" i="62919" s="1"/>
  <c r="F111" i="62919"/>
  <c r="F112" i="62919"/>
  <c r="G112" i="62919" s="1"/>
  <c r="F113" i="62919"/>
  <c r="F114" i="62919"/>
  <c r="G114" i="62919" s="1"/>
  <c r="F115" i="62919"/>
  <c r="F122" i="62919"/>
  <c r="F123" i="62919"/>
  <c r="G123" i="62919" s="1"/>
  <c r="F124" i="62919"/>
  <c r="F125" i="62919"/>
  <c r="G125" i="62919" s="1"/>
  <c r="F126" i="62919"/>
  <c r="F127" i="62919"/>
  <c r="G127" i="62919" s="1"/>
  <c r="F128" i="62919"/>
  <c r="F129" i="62919"/>
  <c r="G129" i="62919" s="1"/>
  <c r="F130" i="62919"/>
  <c r="F131" i="62919"/>
  <c r="G131" i="62919" s="1"/>
  <c r="F132" i="62919"/>
  <c r="F133" i="62919"/>
  <c r="G133" i="62919" s="1"/>
  <c r="F134" i="62919"/>
  <c r="F135" i="62919"/>
  <c r="G135" i="62919" s="1"/>
  <c r="F136" i="62919"/>
  <c r="F137" i="62919"/>
  <c r="G137" i="62919" s="1"/>
  <c r="F138" i="62919"/>
  <c r="F139" i="62919"/>
  <c r="G139" i="62919" s="1"/>
  <c r="F140" i="62919"/>
  <c r="F141" i="62919"/>
  <c r="G141" i="62919" s="1"/>
  <c r="F142" i="62919"/>
  <c r="F143" i="62919"/>
  <c r="G143" i="62919" s="1"/>
  <c r="F144" i="62919"/>
  <c r="F145" i="62919"/>
  <c r="G145" i="62919" s="1"/>
  <c r="F146" i="62919"/>
  <c r="F147" i="62919"/>
  <c r="G147" i="62919" s="1"/>
  <c r="F148" i="62919"/>
  <c r="F149" i="62919"/>
  <c r="G149" i="62919" s="1"/>
  <c r="F150" i="62919"/>
  <c r="F151" i="62919"/>
  <c r="G151" i="62919" s="1"/>
  <c r="F152" i="62919"/>
  <c r="F153" i="62919"/>
  <c r="G153" i="62919" s="1"/>
  <c r="F154" i="62919"/>
  <c r="F155" i="62919"/>
  <c r="G155" i="62919" s="1"/>
  <c r="F156" i="62919"/>
  <c r="F157" i="62919"/>
  <c r="G157" i="62919" s="1"/>
  <c r="F158" i="62919"/>
  <c r="F159" i="62919"/>
  <c r="G159" i="62919" s="1"/>
  <c r="F160" i="62919"/>
  <c r="F161" i="62919"/>
  <c r="G161" i="62919" s="1"/>
  <c r="F162" i="62919"/>
  <c r="F163" i="62919"/>
  <c r="G163" i="62919" s="1"/>
  <c r="F390" i="62919"/>
  <c r="E1193" i="62919" l="1"/>
  <c r="C730" i="62917"/>
  <c r="G1192" i="62919"/>
  <c r="E390" i="62919"/>
  <c r="G390" i="62919"/>
  <c r="G156" i="62918"/>
  <c r="G154" i="62918"/>
  <c r="G152" i="62918"/>
  <c r="G150" i="62918"/>
  <c r="G148" i="62918"/>
  <c r="G146" i="62918"/>
  <c r="G144" i="62918"/>
  <c r="G142" i="62918"/>
  <c r="G140" i="62918"/>
  <c r="G138" i="62918"/>
  <c r="G136" i="62918"/>
  <c r="G134" i="62918"/>
  <c r="G132" i="62918"/>
  <c r="G130" i="62918"/>
  <c r="G128" i="62918"/>
  <c r="G115" i="62919"/>
  <c r="G113" i="62919"/>
  <c r="G111" i="62919"/>
  <c r="G109" i="62919"/>
  <c r="G107" i="62919"/>
  <c r="G105" i="62919"/>
  <c r="G103" i="62919"/>
  <c r="G162" i="62919"/>
  <c r="G160" i="62919"/>
  <c r="G158" i="62919"/>
  <c r="G156" i="62919"/>
  <c r="G154" i="62919"/>
  <c r="G152" i="62919"/>
  <c r="G150" i="62919"/>
  <c r="G148" i="62919"/>
  <c r="G146" i="62919"/>
  <c r="G144" i="62919"/>
  <c r="G142" i="62919"/>
  <c r="G140" i="62919"/>
  <c r="G138" i="62919"/>
  <c r="G136" i="62919"/>
  <c r="G134" i="62919"/>
  <c r="G132" i="62919"/>
  <c r="G130" i="62919"/>
  <c r="G128" i="62919"/>
  <c r="G126" i="62919"/>
  <c r="G124" i="62919"/>
  <c r="G122" i="62919"/>
  <c r="E1132" i="62919"/>
  <c r="F218" i="62919"/>
  <c r="F219" i="62919"/>
  <c r="G219" i="62919" s="1"/>
  <c r="F220" i="62919"/>
  <c r="F221" i="62919"/>
  <c r="G221" i="62919" s="1"/>
  <c r="F222" i="62919"/>
  <c r="F223" i="62919"/>
  <c r="G223" i="62919" s="1"/>
  <c r="F224" i="62919"/>
  <c r="F225" i="62919"/>
  <c r="G225" i="62919" s="1"/>
  <c r="F226" i="62919"/>
  <c r="F227" i="62919"/>
  <c r="G227" i="62919" s="1"/>
  <c r="F228" i="62919"/>
  <c r="F229" i="62919"/>
  <c r="G229" i="62919" s="1"/>
  <c r="F230" i="62919"/>
  <c r="F231" i="62919"/>
  <c r="G231" i="62919" s="1"/>
  <c r="F232" i="62919"/>
  <c r="F233" i="62919"/>
  <c r="G233" i="62919" s="1"/>
  <c r="F234" i="62919"/>
  <c r="F235" i="62919"/>
  <c r="G235" i="62919" s="1"/>
  <c r="F236" i="62919"/>
  <c r="F237" i="62919"/>
  <c r="G237" i="62919" s="1"/>
  <c r="F238" i="62919"/>
  <c r="F239" i="62919"/>
  <c r="G239" i="62919" s="1"/>
  <c r="F240" i="62919"/>
  <c r="F241" i="62919"/>
  <c r="G241" i="62919" s="1"/>
  <c r="F242" i="62919"/>
  <c r="F243" i="62919"/>
  <c r="G243" i="62919" s="1"/>
  <c r="F244" i="62919"/>
  <c r="F245" i="62919"/>
  <c r="G245" i="62919" s="1"/>
  <c r="F246" i="62919"/>
  <c r="F247" i="62919"/>
  <c r="G247" i="62919" s="1"/>
  <c r="F248" i="62919"/>
  <c r="F249" i="62919"/>
  <c r="G249" i="62919" s="1"/>
  <c r="F250" i="62919"/>
  <c r="F251" i="62919"/>
  <c r="G251" i="62919" s="1"/>
  <c r="F252" i="62919"/>
  <c r="F253" i="62919"/>
  <c r="G253" i="62919" s="1"/>
  <c r="F254" i="62919"/>
  <c r="F255" i="62919"/>
  <c r="G255" i="62919" s="1"/>
  <c r="F256" i="62919"/>
  <c r="F257" i="62919"/>
  <c r="G257" i="62919" s="1"/>
  <c r="F258" i="62919"/>
  <c r="F259" i="62919"/>
  <c r="G259" i="62919" s="1"/>
  <c r="F260" i="62919"/>
  <c r="G260" i="62919" s="1"/>
  <c r="F261" i="62919"/>
  <c r="F262" i="62919"/>
  <c r="G262" i="62919" s="1"/>
  <c r="F263" i="62919"/>
  <c r="F264" i="62919"/>
  <c r="G264" i="62919" s="1"/>
  <c r="F265" i="62919"/>
  <c r="F266" i="62919"/>
  <c r="G266" i="62919" s="1"/>
  <c r="F267" i="62919"/>
  <c r="F268" i="62919"/>
  <c r="G268" i="62919" s="1"/>
  <c r="F269" i="62919"/>
  <c r="F270" i="62919"/>
  <c r="G270" i="62919" s="1"/>
  <c r="F271" i="62919"/>
  <c r="F272" i="62919"/>
  <c r="G272" i="62919" s="1"/>
  <c r="F273" i="62919"/>
  <c r="F274" i="62919"/>
  <c r="G274" i="62919" s="1"/>
  <c r="F275" i="62919"/>
  <c r="F276" i="62919"/>
  <c r="G276" i="62919" s="1"/>
  <c r="F277" i="62919"/>
  <c r="F278" i="62919"/>
  <c r="G278" i="62919" s="1"/>
  <c r="F279" i="62919"/>
  <c r="F280" i="62919"/>
  <c r="G280" i="62919" s="1"/>
  <c r="F281" i="62919"/>
  <c r="F282" i="62919"/>
  <c r="G282" i="62919" s="1"/>
  <c r="F283" i="62919"/>
  <c r="F284" i="62919"/>
  <c r="G284" i="62919" s="1"/>
  <c r="F285" i="62919"/>
  <c r="F286" i="62919"/>
  <c r="G286" i="62919" s="1"/>
  <c r="E1194" i="62919" l="1"/>
  <c r="E1133" i="62919"/>
  <c r="E1134" i="62919" s="1"/>
  <c r="E1135" i="62919" s="1"/>
  <c r="E391" i="62919"/>
  <c r="D1132" i="62919"/>
  <c r="D390" i="62919"/>
  <c r="G258" i="62919"/>
  <c r="G256" i="62919"/>
  <c r="G254" i="62919"/>
  <c r="G252" i="62919"/>
  <c r="G250" i="62919"/>
  <c r="G248" i="62919"/>
  <c r="G246" i="62919"/>
  <c r="G244" i="62919"/>
  <c r="G242" i="62919"/>
  <c r="G240" i="62919"/>
  <c r="G238" i="62919"/>
  <c r="G236" i="62919"/>
  <c r="G234" i="62919"/>
  <c r="G232" i="62919"/>
  <c r="G230" i="62919"/>
  <c r="G228" i="62919"/>
  <c r="G226" i="62919"/>
  <c r="G224" i="62919"/>
  <c r="G222" i="62919"/>
  <c r="G220" i="62919"/>
  <c r="G218" i="62919"/>
  <c r="G285" i="62919"/>
  <c r="G283" i="62919"/>
  <c r="G281" i="62919"/>
  <c r="G279" i="62919"/>
  <c r="G277" i="62919"/>
  <c r="G275" i="62919"/>
  <c r="G273" i="62919"/>
  <c r="G271" i="62919"/>
  <c r="G269" i="62919"/>
  <c r="G267" i="62919"/>
  <c r="G265" i="62919"/>
  <c r="G263" i="62919"/>
  <c r="G261" i="62919"/>
  <c r="B33" i="62892"/>
  <c r="B34" i="62892"/>
  <c r="B25" i="62892"/>
  <c r="B26" i="62892"/>
  <c r="H146" i="62927"/>
  <c r="G146" i="62927"/>
  <c r="F146" i="62927"/>
  <c r="E146" i="62927"/>
  <c r="H146" i="3"/>
  <c r="G146" i="3"/>
  <c r="F146" i="3"/>
  <c r="E146" i="3"/>
  <c r="L34" i="62912"/>
  <c r="L33" i="62912"/>
  <c r="L32" i="62912"/>
  <c r="L31" i="62912"/>
  <c r="L30" i="62912"/>
  <c r="L29" i="62912"/>
  <c r="L28" i="62912"/>
  <c r="L27" i="62912"/>
  <c r="L26" i="62912"/>
  <c r="L25" i="62912"/>
  <c r="L24" i="62912"/>
  <c r="L23" i="62912"/>
  <c r="L22" i="62912"/>
  <c r="L21" i="62912"/>
  <c r="L20" i="62912"/>
  <c r="L19" i="62912"/>
  <c r="L17" i="62912"/>
  <c r="L16" i="62912"/>
  <c r="L13" i="62912"/>
  <c r="L12" i="62912"/>
  <c r="L11" i="62912"/>
  <c r="L10" i="62912"/>
  <c r="AR229" i="9"/>
  <c r="AR230" i="9"/>
  <c r="E1195" i="62919" l="1"/>
  <c r="C1132" i="62919"/>
  <c r="E1136" i="62919"/>
  <c r="E1137" i="62919" s="1"/>
  <c r="D1133" i="62919"/>
  <c r="D1134" i="62919" s="1"/>
  <c r="D1135" i="62919" s="1"/>
  <c r="D391" i="62919"/>
  <c r="C391" i="62919" s="1"/>
  <c r="E392" i="62919"/>
  <c r="C390" i="62919"/>
  <c r="E1196" i="62919" l="1"/>
  <c r="E1197" i="62919" s="1"/>
  <c r="C734" i="62917"/>
  <c r="C1135" i="62919"/>
  <c r="C1134" i="62919"/>
  <c r="C1133" i="62919"/>
  <c r="D1136" i="62919"/>
  <c r="E1138" i="62919"/>
  <c r="E393" i="62919"/>
  <c r="D392" i="62919"/>
  <c r="F223" i="62924"/>
  <c r="G223" i="62924" s="1"/>
  <c r="F224" i="62924"/>
  <c r="F225" i="62924"/>
  <c r="G225" i="62924" s="1"/>
  <c r="F226" i="62924"/>
  <c r="F227" i="62924"/>
  <c r="G227" i="62924" s="1"/>
  <c r="F228" i="62924"/>
  <c r="G228" i="62924" s="1"/>
  <c r="F229" i="62924"/>
  <c r="G229" i="62924" s="1"/>
  <c r="F230" i="62924"/>
  <c r="G230" i="62924" s="1"/>
  <c r="F231" i="62924"/>
  <c r="G231" i="62924" s="1"/>
  <c r="F232" i="62924"/>
  <c r="G232" i="62924" s="1"/>
  <c r="F233" i="62924"/>
  <c r="G233" i="62924" s="1"/>
  <c r="F234" i="62924"/>
  <c r="G234" i="62924" s="1"/>
  <c r="F235" i="62924"/>
  <c r="G235" i="62924" s="1"/>
  <c r="F236" i="62924"/>
  <c r="G236" i="62924" s="1"/>
  <c r="E1198" i="62919" l="1"/>
  <c r="E1199" i="62919" s="1"/>
  <c r="E1139" i="62919"/>
  <c r="E1140" i="62919" s="1"/>
  <c r="E1141" i="62919" s="1"/>
  <c r="E1142" i="62919" s="1"/>
  <c r="C735" i="62917"/>
  <c r="C732" i="62917"/>
  <c r="C733" i="62917"/>
  <c r="C736" i="62917"/>
  <c r="C731" i="62917"/>
  <c r="C1136" i="62919"/>
  <c r="D1137" i="62919"/>
  <c r="D1138" i="62919" s="1"/>
  <c r="D393" i="62919"/>
  <c r="C392" i="62919"/>
  <c r="E394" i="62919"/>
  <c r="E395" i="62919" s="1"/>
  <c r="G224" i="62924"/>
  <c r="G226" i="62924"/>
  <c r="E1200" i="62919" l="1"/>
  <c r="E1201" i="62919" s="1"/>
  <c r="E1202" i="62919" s="1"/>
  <c r="E1203" i="62919" s="1"/>
  <c r="E1204" i="62919" s="1"/>
  <c r="E1205" i="62919" s="1"/>
  <c r="D1139" i="62919"/>
  <c r="C1139" i="62919" s="1"/>
  <c r="C1138" i="62919"/>
  <c r="C1137" i="62919"/>
  <c r="E1143" i="62919"/>
  <c r="E1144" i="62919" s="1"/>
  <c r="E1145" i="62919" s="1"/>
  <c r="E1146" i="62919" s="1"/>
  <c r="E1147" i="62919" s="1"/>
  <c r="E1148" i="62919" s="1"/>
  <c r="E1149" i="62919" s="1"/>
  <c r="E1150" i="62919" s="1"/>
  <c r="E1151" i="62919" s="1"/>
  <c r="E1152" i="62919" s="1"/>
  <c r="E1153" i="62919" s="1"/>
  <c r="E1154" i="62919" s="1"/>
  <c r="E1155" i="62919" s="1"/>
  <c r="E1156" i="62919" s="1"/>
  <c r="E1157" i="62919" s="1"/>
  <c r="E1158" i="62919" s="1"/>
  <c r="E1159" i="62919" s="1"/>
  <c r="E1160" i="62919" s="1"/>
  <c r="E1161" i="62919" s="1"/>
  <c r="E1162" i="62919" s="1"/>
  <c r="E396" i="62919"/>
  <c r="E397" i="62919" s="1"/>
  <c r="E398" i="62919" s="1"/>
  <c r="E399" i="62919" s="1"/>
  <c r="E400" i="62919" s="1"/>
  <c r="E401" i="62919" s="1"/>
  <c r="D394" i="62919"/>
  <c r="C393" i="62919"/>
  <c r="I305" i="62898"/>
  <c r="I306" i="62898"/>
  <c r="I304" i="62898"/>
  <c r="I261" i="62898"/>
  <c r="I262" i="62898"/>
  <c r="I260" i="62898"/>
  <c r="I230" i="62898"/>
  <c r="I231" i="62898"/>
  <c r="I229" i="62898"/>
  <c r="I172" i="62898"/>
  <c r="I173" i="62898"/>
  <c r="I171" i="62898"/>
  <c r="I134" i="62898"/>
  <c r="I135" i="62898"/>
  <c r="I133" i="62898"/>
  <c r="I542" i="5"/>
  <c r="I543" i="5"/>
  <c r="I541" i="5"/>
  <c r="I522" i="5"/>
  <c r="I523" i="5"/>
  <c r="I521" i="5"/>
  <c r="I480" i="5"/>
  <c r="I481" i="5"/>
  <c r="I479" i="5"/>
  <c r="I432" i="5"/>
  <c r="I433" i="5"/>
  <c r="I431" i="5"/>
  <c r="I398" i="5"/>
  <c r="I399" i="5"/>
  <c r="I397" i="5"/>
  <c r="I359" i="5"/>
  <c r="I360" i="5"/>
  <c r="I358" i="5"/>
  <c r="I339" i="5"/>
  <c r="I340" i="5"/>
  <c r="I338" i="5"/>
  <c r="I297" i="5"/>
  <c r="I298" i="5"/>
  <c r="I296" i="5"/>
  <c r="I249" i="5"/>
  <c r="I250" i="5"/>
  <c r="I248" i="5"/>
  <c r="I214" i="5"/>
  <c r="I215" i="5"/>
  <c r="I213" i="5"/>
  <c r="I175" i="5"/>
  <c r="I176" i="5"/>
  <c r="I174" i="5"/>
  <c r="I155" i="5"/>
  <c r="I156" i="5"/>
  <c r="I154" i="5"/>
  <c r="I113" i="5"/>
  <c r="I114" i="5"/>
  <c r="I112" i="5"/>
  <c r="I65" i="5"/>
  <c r="I66" i="5"/>
  <c r="I64" i="5"/>
  <c r="I32" i="5"/>
  <c r="I31" i="5"/>
  <c r="I30" i="5"/>
  <c r="D1140" i="62919" l="1"/>
  <c r="C1140" i="62919" s="1"/>
  <c r="D395" i="62919"/>
  <c r="C395" i="62919" s="1"/>
  <c r="C394" i="62919"/>
  <c r="D1141" i="62919" l="1"/>
  <c r="D1142" i="62919" s="1"/>
  <c r="D396" i="62919"/>
  <c r="D397" i="62919" s="1"/>
  <c r="D398" i="62919" s="1"/>
  <c r="D399" i="62919" s="1"/>
  <c r="D400" i="62919" s="1"/>
  <c r="D401" i="62919" s="1"/>
  <c r="C1141" i="62919" l="1"/>
  <c r="D1143" i="62919"/>
  <c r="C396" i="62919"/>
  <c r="C397" i="62919"/>
  <c r="C398" i="62919"/>
  <c r="C401" i="62919"/>
  <c r="C399" i="62919"/>
  <c r="C400" i="62919"/>
  <c r="D1144" i="62919" l="1"/>
  <c r="D1145" i="62919" s="1"/>
  <c r="D1146" i="62919" s="1"/>
  <c r="D1147" i="62919" s="1"/>
  <c r="D1148" i="62919" s="1"/>
  <c r="D1149" i="62919" s="1"/>
  <c r="D1150" i="62919" s="1"/>
  <c r="D1151" i="62919" s="1"/>
  <c r="D1152" i="62919" s="1"/>
  <c r="D1153" i="62919" s="1"/>
  <c r="D1154" i="62919" s="1"/>
  <c r="D1155" i="62919" s="1"/>
  <c r="D1156" i="62919" s="1"/>
  <c r="D1157" i="62919" s="1"/>
  <c r="D1158" i="62919" s="1"/>
  <c r="D1159" i="62919" s="1"/>
  <c r="D1160" i="62919" s="1"/>
  <c r="D1161" i="62919" s="1"/>
  <c r="D1162" i="62919" s="1"/>
  <c r="C1151" i="62919" s="1"/>
  <c r="F332" i="62923"/>
  <c r="G332" i="62923" s="1"/>
  <c r="F333" i="62923"/>
  <c r="F352" i="62923"/>
  <c r="G352" i="62923" s="1"/>
  <c r="C1153" i="62919" l="1"/>
  <c r="C1159" i="62919"/>
  <c r="C1160" i="62919"/>
  <c r="C1157" i="62919"/>
  <c r="C1154" i="62919"/>
  <c r="C1148" i="62919"/>
  <c r="C1142" i="62919"/>
  <c r="C1143" i="62919"/>
  <c r="C1145" i="62919"/>
  <c r="C1155" i="62919"/>
  <c r="C1149" i="62919"/>
  <c r="C1161" i="62919"/>
  <c r="C1146" i="62919"/>
  <c r="C1156" i="62919"/>
  <c r="C1150" i="62919"/>
  <c r="C1147" i="62919"/>
  <c r="C1158" i="62919"/>
  <c r="C1152" i="62919"/>
  <c r="C1144" i="62919"/>
  <c r="C1162" i="62919"/>
  <c r="G333" i="62923"/>
  <c r="D1192" i="62919" l="1"/>
  <c r="D1193" i="62919" s="1"/>
  <c r="D1194" i="62919" s="1"/>
  <c r="D1195" i="62919" s="1"/>
  <c r="D1196" i="62919" s="1"/>
  <c r="D1197" i="62919" s="1"/>
  <c r="D1198" i="62919" s="1"/>
  <c r="D1199" i="62919" s="1"/>
  <c r="D1200" i="62919" s="1"/>
  <c r="D1201" i="62919" s="1"/>
  <c r="D1202" i="62919" s="1"/>
  <c r="D1203" i="62919" s="1"/>
  <c r="D1204" i="62919" s="1"/>
  <c r="D1205" i="62919" s="1"/>
  <c r="F170" i="62919"/>
  <c r="F171" i="62919"/>
  <c r="G171" i="62919" s="1"/>
  <c r="F172" i="62919"/>
  <c r="F173" i="62919"/>
  <c r="G173" i="62919" s="1"/>
  <c r="F174" i="62919"/>
  <c r="F175" i="62919"/>
  <c r="G175" i="62919" s="1"/>
  <c r="F176" i="62919"/>
  <c r="F177" i="62919"/>
  <c r="G177" i="62919" s="1"/>
  <c r="F178" i="62919"/>
  <c r="F179" i="62919"/>
  <c r="G179" i="62919" s="1"/>
  <c r="F180" i="62919"/>
  <c r="F181" i="62919"/>
  <c r="G181" i="62919" s="1"/>
  <c r="F182" i="62919"/>
  <c r="F183" i="62919"/>
  <c r="G183" i="62919" s="1"/>
  <c r="F184" i="62919"/>
  <c r="F185" i="62919"/>
  <c r="G185" i="62919" s="1"/>
  <c r="F186" i="62919"/>
  <c r="F187" i="62919"/>
  <c r="G187" i="62919" s="1"/>
  <c r="F188" i="62919"/>
  <c r="F189" i="62919"/>
  <c r="G189" i="62919" s="1"/>
  <c r="F190" i="62919"/>
  <c r="F191" i="62919"/>
  <c r="G191" i="62919" s="1"/>
  <c r="F192" i="62919"/>
  <c r="F193" i="62919"/>
  <c r="G193" i="62919" s="1"/>
  <c r="F194" i="62919"/>
  <c r="F195" i="62919"/>
  <c r="G195" i="62919" s="1"/>
  <c r="F196" i="62919"/>
  <c r="F197" i="62919"/>
  <c r="G197" i="62919" s="1"/>
  <c r="F198" i="62919"/>
  <c r="F199" i="62919"/>
  <c r="G199" i="62919" s="1"/>
  <c r="F200" i="62919"/>
  <c r="F201" i="62919"/>
  <c r="G201" i="62919" s="1"/>
  <c r="F202" i="62919"/>
  <c r="F203" i="62919"/>
  <c r="G203" i="62919" s="1"/>
  <c r="F204" i="62919"/>
  <c r="F205" i="62919"/>
  <c r="G205" i="62919" s="1"/>
  <c r="F206" i="62919"/>
  <c r="F207" i="62919"/>
  <c r="G207" i="62919" s="1"/>
  <c r="F208" i="62919"/>
  <c r="F209" i="62919"/>
  <c r="G209" i="62919" s="1"/>
  <c r="F210" i="62919"/>
  <c r="F211" i="62919"/>
  <c r="G211" i="62919" s="1"/>
  <c r="F1496" i="62917"/>
  <c r="F1497" i="62917"/>
  <c r="G1497" i="62917" s="1"/>
  <c r="F1498" i="62917"/>
  <c r="F1499" i="62917"/>
  <c r="G1499" i="62917" s="1"/>
  <c r="F1500" i="62917"/>
  <c r="F1501" i="62917"/>
  <c r="G1501" i="62917" s="1"/>
  <c r="F1502" i="62917"/>
  <c r="F1503" i="62917"/>
  <c r="G1503" i="62917" s="1"/>
  <c r="F1504" i="62917"/>
  <c r="F1505" i="62917"/>
  <c r="G1505" i="62917" s="1"/>
  <c r="F1506" i="62917"/>
  <c r="F1507" i="62917"/>
  <c r="G1507" i="62917" s="1"/>
  <c r="F1508" i="62917"/>
  <c r="F1509" i="62917"/>
  <c r="G1509" i="62917" s="1"/>
  <c r="F1510" i="62917"/>
  <c r="F1511" i="62917"/>
  <c r="G1511" i="62917" s="1"/>
  <c r="F1512" i="62917"/>
  <c r="F1513" i="62917"/>
  <c r="G1513" i="62917" s="1"/>
  <c r="F1514" i="62917"/>
  <c r="F1515" i="62917"/>
  <c r="G1515" i="62917" s="1"/>
  <c r="F1516" i="62917"/>
  <c r="F1517" i="62917"/>
  <c r="G1517" i="62917" s="1"/>
  <c r="F1518" i="62917"/>
  <c r="F1519" i="62917"/>
  <c r="G1519" i="62917" s="1"/>
  <c r="F1520" i="62917"/>
  <c r="F1521" i="62917"/>
  <c r="G1521" i="62917" s="1"/>
  <c r="F1522" i="62917"/>
  <c r="F1523" i="62917"/>
  <c r="G1523" i="62917" s="1"/>
  <c r="F1524" i="62917"/>
  <c r="F1525" i="62917"/>
  <c r="G1525" i="62917" s="1"/>
  <c r="F1526" i="62917"/>
  <c r="F1527" i="62917"/>
  <c r="G1527" i="62917" s="1"/>
  <c r="F1528" i="62917"/>
  <c r="F1529" i="62917"/>
  <c r="G1529" i="62917" s="1"/>
  <c r="F1530" i="62917"/>
  <c r="F1531" i="62917"/>
  <c r="G1531" i="62917" s="1"/>
  <c r="F1532" i="62917"/>
  <c r="F1533" i="62917"/>
  <c r="G1533" i="62917" s="1"/>
  <c r="F1534" i="62917"/>
  <c r="F1535" i="62917"/>
  <c r="G1535" i="62917" s="1"/>
  <c r="F1536" i="62917"/>
  <c r="F1537" i="62917"/>
  <c r="G1537" i="62917" s="1"/>
  <c r="F1538" i="62917"/>
  <c r="G1538" i="62917" s="1"/>
  <c r="F1539" i="62917"/>
  <c r="F1540" i="62917"/>
  <c r="G1540" i="62917" s="1"/>
  <c r="F1541" i="62917"/>
  <c r="F1542" i="62917"/>
  <c r="G1542" i="62917" s="1"/>
  <c r="F1543" i="62917"/>
  <c r="F1544" i="62917"/>
  <c r="G1544" i="62917" s="1"/>
  <c r="F1545" i="62917"/>
  <c r="F1546" i="62917"/>
  <c r="G1546" i="62917" s="1"/>
  <c r="F1547" i="62917"/>
  <c r="F1548" i="62917"/>
  <c r="G1548" i="62917" s="1"/>
  <c r="F1549" i="62917"/>
  <c r="F1550" i="62917"/>
  <c r="G1550" i="62917" s="1"/>
  <c r="F1551" i="62917"/>
  <c r="F1552" i="62917"/>
  <c r="G1552" i="62917" s="1"/>
  <c r="F1553" i="62917"/>
  <c r="F1554" i="62917"/>
  <c r="G1554" i="62917" s="1"/>
  <c r="F1555" i="62917"/>
  <c r="F1556" i="62917"/>
  <c r="G1556" i="62917" s="1"/>
  <c r="F1557" i="62917"/>
  <c r="F1558" i="62917"/>
  <c r="G1558" i="62917" s="1"/>
  <c r="F1559" i="62917"/>
  <c r="F1560" i="62917"/>
  <c r="G1560" i="62917" s="1"/>
  <c r="F1561" i="62917"/>
  <c r="F1562" i="62917"/>
  <c r="G1562" i="62917" s="1"/>
  <c r="F1563" i="62917"/>
  <c r="F1564" i="62917"/>
  <c r="G1564" i="62917" s="1"/>
  <c r="F1565" i="62917"/>
  <c r="F1566" i="62917"/>
  <c r="G1566" i="62917" s="1"/>
  <c r="F1567" i="62917"/>
  <c r="F1568" i="62917"/>
  <c r="G1568" i="62917" s="1"/>
  <c r="F1569" i="62917"/>
  <c r="F1570" i="62917"/>
  <c r="G1570" i="62917" s="1"/>
  <c r="F1571" i="62917"/>
  <c r="F1572" i="62917"/>
  <c r="G1572" i="62917" s="1"/>
  <c r="F1573" i="62917"/>
  <c r="F1574" i="62917"/>
  <c r="G1574" i="62917" s="1"/>
  <c r="F1575" i="62917"/>
  <c r="F1576" i="62917"/>
  <c r="G1576" i="62917" s="1"/>
  <c r="F1577" i="62917"/>
  <c r="F1578" i="62917"/>
  <c r="G1578" i="62917" s="1"/>
  <c r="F1579" i="62917"/>
  <c r="F1580" i="62917"/>
  <c r="G1580" i="62917" s="1"/>
  <c r="F1483" i="62917"/>
  <c r="F1484" i="62917"/>
  <c r="G1484" i="62917" s="1"/>
  <c r="F1485" i="62917"/>
  <c r="F1486" i="62917"/>
  <c r="G1486" i="62917" s="1"/>
  <c r="F1487" i="62917"/>
  <c r="F1488" i="62917"/>
  <c r="G1488" i="62917" s="1"/>
  <c r="F1489" i="62917"/>
  <c r="F1490" i="62917"/>
  <c r="G1490" i="62917" s="1"/>
  <c r="F1491" i="62917"/>
  <c r="F1492" i="62917"/>
  <c r="G1492" i="62917" s="1"/>
  <c r="F1493" i="62917"/>
  <c r="F1494" i="62917"/>
  <c r="G1494" i="62917" s="1"/>
  <c r="F1495" i="62917"/>
  <c r="C1192" i="62919" l="1"/>
  <c r="C1193" i="62919"/>
  <c r="G210" i="62919"/>
  <c r="G208" i="62919"/>
  <c r="G206" i="62919"/>
  <c r="G204" i="62919"/>
  <c r="G202" i="62919"/>
  <c r="G200" i="62919"/>
  <c r="G198" i="62919"/>
  <c r="G196" i="62919"/>
  <c r="G194" i="62919"/>
  <c r="G192" i="62919"/>
  <c r="G190" i="62919"/>
  <c r="G188" i="62919"/>
  <c r="G186" i="62919"/>
  <c r="G184" i="62919"/>
  <c r="G182" i="62919"/>
  <c r="G180" i="62919"/>
  <c r="G178" i="62919"/>
  <c r="G176" i="62919"/>
  <c r="G174" i="62919"/>
  <c r="G172" i="62919"/>
  <c r="G170" i="62919"/>
  <c r="G1579" i="62917"/>
  <c r="G1577" i="62917"/>
  <c r="G1575" i="62917"/>
  <c r="G1573" i="62917"/>
  <c r="G1571" i="62917"/>
  <c r="G1569" i="62917"/>
  <c r="G1567" i="62917"/>
  <c r="G1565" i="62917"/>
  <c r="G1563" i="62917"/>
  <c r="G1561" i="62917"/>
  <c r="G1559" i="62917"/>
  <c r="G1557" i="62917"/>
  <c r="G1555" i="62917"/>
  <c r="G1553" i="62917"/>
  <c r="G1551" i="62917"/>
  <c r="G1549" i="62917"/>
  <c r="G1536" i="62917"/>
  <c r="G1534" i="62917"/>
  <c r="G1532" i="62917"/>
  <c r="G1530" i="62917"/>
  <c r="G1528" i="62917"/>
  <c r="G1526" i="62917"/>
  <c r="G1524" i="62917"/>
  <c r="G1522" i="62917"/>
  <c r="G1520" i="62917"/>
  <c r="G1518" i="62917"/>
  <c r="G1516" i="62917"/>
  <c r="G1514" i="62917"/>
  <c r="G1512" i="62917"/>
  <c r="G1510" i="62917"/>
  <c r="G1508" i="62917"/>
  <c r="G1506" i="62917"/>
  <c r="G1504" i="62917"/>
  <c r="G1502" i="62917"/>
  <c r="G1500" i="62917"/>
  <c r="G1498" i="62917"/>
  <c r="G1496" i="62917"/>
  <c r="G1547" i="62917"/>
  <c r="G1545" i="62917"/>
  <c r="G1543" i="62917"/>
  <c r="G1541" i="62917"/>
  <c r="G1539" i="62917"/>
  <c r="G1495" i="62917"/>
  <c r="G1493" i="62917"/>
  <c r="G1491" i="62917"/>
  <c r="G1489" i="62917"/>
  <c r="G1487" i="62917"/>
  <c r="G1485" i="62917"/>
  <c r="G1483" i="62917"/>
  <c r="C1194" i="62919" l="1"/>
  <c r="F1616" i="62917"/>
  <c r="G1616" i="62917" s="1"/>
  <c r="F2153" i="62917"/>
  <c r="G2153" i="62917" s="1"/>
  <c r="F2154" i="62917"/>
  <c r="G2154" i="62917" s="1"/>
  <c r="F2181" i="62917"/>
  <c r="G2181" i="62917" s="1"/>
  <c r="F2182" i="62917"/>
  <c r="G2182" i="62917" s="1"/>
  <c r="L2231" i="62917"/>
  <c r="H83" i="62904" s="1"/>
  <c r="F2234" i="62917"/>
  <c r="G2234" i="62917" s="1"/>
  <c r="F2235" i="62917"/>
  <c r="G2235" i="62917" s="1"/>
  <c r="F2278" i="62917"/>
  <c r="G2278" i="62917" s="1"/>
  <c r="F2279" i="62917"/>
  <c r="G2279" i="62917" s="1"/>
  <c r="F2280" i="62917"/>
  <c r="G2280" i="62917" s="1"/>
  <c r="F2281" i="62917"/>
  <c r="G2281" i="62917" s="1"/>
  <c r="F2282" i="62917"/>
  <c r="G2282" i="62917" s="1"/>
  <c r="F2283" i="62917"/>
  <c r="G2283" i="62917" s="1"/>
  <c r="F2284" i="62917"/>
  <c r="G2284" i="62917" s="1"/>
  <c r="F2285" i="62917"/>
  <c r="G2285" i="62917" s="1"/>
  <c r="F2286" i="62917"/>
  <c r="G2286" i="62917" s="1"/>
  <c r="F2287" i="62917"/>
  <c r="G2287" i="62917" s="1"/>
  <c r="F2288" i="62917"/>
  <c r="G2288" i="62917" s="1"/>
  <c r="F2289" i="62917"/>
  <c r="G2289" i="62917" s="1"/>
  <c r="F2290" i="62917"/>
  <c r="G2290" i="62917" s="1"/>
  <c r="F2291" i="62917"/>
  <c r="G2291" i="62917" s="1"/>
  <c r="F2292" i="62917"/>
  <c r="G2292" i="62917" s="1"/>
  <c r="F2293" i="62917"/>
  <c r="G2293" i="62917" s="1"/>
  <c r="F2294" i="62917"/>
  <c r="G2294" i="62917" s="1"/>
  <c r="F2295" i="62917"/>
  <c r="G2295" i="62917" s="1"/>
  <c r="F2296" i="62917"/>
  <c r="G2296" i="62917" s="1"/>
  <c r="F2297" i="62917"/>
  <c r="G2297" i="62917" s="1"/>
  <c r="F2298" i="62917"/>
  <c r="G2298" i="62917" s="1"/>
  <c r="F2299" i="62917"/>
  <c r="G2299" i="62917" s="1"/>
  <c r="F2300" i="62917"/>
  <c r="G2300" i="62917" s="1"/>
  <c r="F2301" i="62917"/>
  <c r="G2301" i="62917" s="1"/>
  <c r="F2302" i="62917"/>
  <c r="G2302" i="62917" s="1"/>
  <c r="F2303" i="62917"/>
  <c r="G2303" i="62917" s="1"/>
  <c r="F2304" i="62917"/>
  <c r="G2304" i="62917" s="1"/>
  <c r="F2305" i="62917"/>
  <c r="G2305" i="62917" s="1"/>
  <c r="F2306" i="62917"/>
  <c r="G2306" i="62917" s="1"/>
  <c r="F2307" i="62917"/>
  <c r="G2307" i="62917" s="1"/>
  <c r="F2308" i="62917"/>
  <c r="G2308" i="62917" s="1"/>
  <c r="F2309" i="62917"/>
  <c r="G2309" i="62917" s="1"/>
  <c r="F2310" i="62917"/>
  <c r="G2310" i="62917" s="1"/>
  <c r="F2311" i="62917"/>
  <c r="G2311" i="62917" s="1"/>
  <c r="F2312" i="62917"/>
  <c r="G2312" i="62917" s="1"/>
  <c r="F2313" i="62917"/>
  <c r="G2313" i="62917" s="1"/>
  <c r="F2314" i="62917"/>
  <c r="G2314" i="62917" s="1"/>
  <c r="F2315" i="62917"/>
  <c r="G2315" i="62917" s="1"/>
  <c r="F2316" i="62917"/>
  <c r="G2316" i="62917" s="1"/>
  <c r="F2317" i="62917"/>
  <c r="G2317" i="62917" s="1"/>
  <c r="F2318" i="62917"/>
  <c r="G2318" i="62917" s="1"/>
  <c r="F2319" i="62917"/>
  <c r="G2319" i="62917" s="1"/>
  <c r="F2320" i="62917"/>
  <c r="G2320" i="62917" s="1"/>
  <c r="F2321" i="62917"/>
  <c r="G2321" i="62917" s="1"/>
  <c r="F2322" i="62917"/>
  <c r="G2322" i="62917" s="1"/>
  <c r="F2323" i="62917"/>
  <c r="G2323" i="62917" s="1"/>
  <c r="F2324" i="62917"/>
  <c r="G2324" i="62917" s="1"/>
  <c r="F2325" i="62917"/>
  <c r="G2325" i="62917" s="1"/>
  <c r="F2326" i="62917"/>
  <c r="G2326" i="62917" s="1"/>
  <c r="F2327" i="62917"/>
  <c r="G2327" i="62917" s="1"/>
  <c r="F2328" i="62917"/>
  <c r="G2328" i="62917" s="1"/>
  <c r="F2329" i="62917"/>
  <c r="G2329" i="62917" s="1"/>
  <c r="F2330" i="62917"/>
  <c r="G2330" i="62917" s="1"/>
  <c r="F2331" i="62917"/>
  <c r="G2331" i="62917" s="1"/>
  <c r="F2332" i="62917"/>
  <c r="G2332" i="62917" s="1"/>
  <c r="F2333" i="62917"/>
  <c r="G2333" i="62917" s="1"/>
  <c r="F2334" i="62917"/>
  <c r="G2334" i="62917" s="1"/>
  <c r="F2335" i="62917"/>
  <c r="G2335" i="62917" s="1"/>
  <c r="F2336" i="62917"/>
  <c r="G2336" i="62917" s="1"/>
  <c r="F2337" i="62917"/>
  <c r="G2337" i="62917" s="1"/>
  <c r="F2338" i="62917"/>
  <c r="G2338" i="62917" s="1"/>
  <c r="F2339" i="62917"/>
  <c r="G2339" i="62917" s="1"/>
  <c r="F2340" i="62917"/>
  <c r="G2340" i="62917" s="1"/>
  <c r="F2341" i="62917"/>
  <c r="G2341" i="62917" s="1"/>
  <c r="F2342" i="62917"/>
  <c r="G2342" i="62917" s="1"/>
  <c r="F2343" i="62917"/>
  <c r="G2343" i="62917" s="1"/>
  <c r="F2344" i="62917"/>
  <c r="G2344" i="62917" s="1"/>
  <c r="F2345" i="62917"/>
  <c r="G2345" i="62917" s="1"/>
  <c r="F2346" i="62917"/>
  <c r="G2346" i="62917" s="1"/>
  <c r="F2347" i="62917"/>
  <c r="G2347" i="62917" s="1"/>
  <c r="F2348" i="62917"/>
  <c r="G2348" i="62917" s="1"/>
  <c r="F2349" i="62917"/>
  <c r="G2349" i="62917" s="1"/>
  <c r="F2350" i="62917"/>
  <c r="G2350" i="62917" s="1"/>
  <c r="F2351" i="62917"/>
  <c r="G2351" i="62917" s="1"/>
  <c r="F2352" i="62917"/>
  <c r="G2352" i="62917" s="1"/>
  <c r="F2353" i="62917"/>
  <c r="G2353" i="62917" s="1"/>
  <c r="F2354" i="62917"/>
  <c r="G2354" i="62917" s="1"/>
  <c r="F2355" i="62917"/>
  <c r="G2355" i="62917" s="1"/>
  <c r="F2356" i="62917"/>
  <c r="G2356" i="62917" s="1"/>
  <c r="F2357" i="62917"/>
  <c r="G2357" i="62917" s="1"/>
  <c r="F2358" i="62917"/>
  <c r="G2358" i="62917" s="1"/>
  <c r="F2359" i="62917"/>
  <c r="G2359" i="62917" s="1"/>
  <c r="F2360" i="62917"/>
  <c r="G2360" i="62917" s="1"/>
  <c r="F2361" i="62917"/>
  <c r="G2361" i="62917" s="1"/>
  <c r="F2362" i="62917"/>
  <c r="G2362" i="62917" s="1"/>
  <c r="F2363" i="62917"/>
  <c r="G2363" i="62917" s="1"/>
  <c r="F2364" i="62917"/>
  <c r="G2364" i="62917" s="1"/>
  <c r="F2365" i="62917"/>
  <c r="G2365" i="62917" s="1"/>
  <c r="F2366" i="62917"/>
  <c r="G2366" i="62917" s="1"/>
  <c r="F2367" i="62917"/>
  <c r="G2367" i="62917" s="1"/>
  <c r="F2368" i="62917"/>
  <c r="G2368" i="62917" s="1"/>
  <c r="F2369" i="62917"/>
  <c r="G2369" i="62917" s="1"/>
  <c r="F2370" i="62917"/>
  <c r="G2370" i="62917" s="1"/>
  <c r="F2371" i="62917"/>
  <c r="G2371" i="62917" s="1"/>
  <c r="F2372" i="62917"/>
  <c r="G2372" i="62917" s="1"/>
  <c r="F2373" i="62917"/>
  <c r="G2373" i="62917" s="1"/>
  <c r="F2374" i="62917"/>
  <c r="G2374" i="62917" s="1"/>
  <c r="F2375" i="62917"/>
  <c r="G2375" i="62917" s="1"/>
  <c r="F2376" i="62917"/>
  <c r="G2376" i="62917" s="1"/>
  <c r="F2377" i="62917"/>
  <c r="G2377" i="62917" s="1"/>
  <c r="F2378" i="62917"/>
  <c r="G2378" i="62917" s="1"/>
  <c r="F2379" i="62917"/>
  <c r="G2379" i="62917" s="1"/>
  <c r="F2380" i="62917"/>
  <c r="G2380" i="62917" s="1"/>
  <c r="F2381" i="62917"/>
  <c r="G2381" i="62917" s="1"/>
  <c r="F2382" i="62917"/>
  <c r="G2382" i="62917" s="1"/>
  <c r="F2383" i="62917"/>
  <c r="G2383" i="62917" s="1"/>
  <c r="F2384" i="62917"/>
  <c r="G2384" i="62917" s="1"/>
  <c r="F2385" i="62917"/>
  <c r="G2385" i="62917" s="1"/>
  <c r="F2386" i="62917"/>
  <c r="G2386" i="62917" s="1"/>
  <c r="F2387" i="62917"/>
  <c r="G2387" i="62917" s="1"/>
  <c r="F2388" i="62917"/>
  <c r="G2388" i="62917" s="1"/>
  <c r="F2389" i="62917"/>
  <c r="G2389" i="62917" s="1"/>
  <c r="F2390" i="62917"/>
  <c r="G2390" i="62917" s="1"/>
  <c r="F2391" i="62917"/>
  <c r="G2391" i="62917" s="1"/>
  <c r="F2392" i="62917"/>
  <c r="G2392" i="62917" s="1"/>
  <c r="F2393" i="62917"/>
  <c r="G2393" i="62917" s="1"/>
  <c r="F2394" i="62917"/>
  <c r="G2394" i="62917" s="1"/>
  <c r="F2395" i="62917"/>
  <c r="G2395" i="62917" s="1"/>
  <c r="F2396" i="62917"/>
  <c r="G2396" i="62917" s="1"/>
  <c r="F2397" i="62917"/>
  <c r="G2397" i="62917" s="1"/>
  <c r="F2398" i="62917"/>
  <c r="G2398" i="62917" s="1"/>
  <c r="F2399" i="62917"/>
  <c r="G2399" i="62917" s="1"/>
  <c r="F2400" i="62917"/>
  <c r="G2400" i="62917" s="1"/>
  <c r="F2401" i="62917"/>
  <c r="G2401" i="62917" s="1"/>
  <c r="F2402" i="62917"/>
  <c r="G2402" i="62917" s="1"/>
  <c r="F2403" i="62917"/>
  <c r="G2403" i="62917" s="1"/>
  <c r="F2404" i="62917"/>
  <c r="G2404" i="62917" s="1"/>
  <c r="F2405" i="62917"/>
  <c r="G2405" i="62917" s="1"/>
  <c r="F2406" i="62917"/>
  <c r="G2406" i="62917" s="1"/>
  <c r="F2407" i="62917"/>
  <c r="G2407" i="62917" s="1"/>
  <c r="F2408" i="62917"/>
  <c r="G2408" i="62917" s="1"/>
  <c r="F2409" i="62917"/>
  <c r="G2409" i="62917" s="1"/>
  <c r="F2410" i="62917"/>
  <c r="G2410" i="62917" s="1"/>
  <c r="F2411" i="62917"/>
  <c r="G2411" i="62917" s="1"/>
  <c r="F2412" i="62917"/>
  <c r="G2412" i="62917" s="1"/>
  <c r="F2413" i="62917"/>
  <c r="G2413" i="62917" s="1"/>
  <c r="F2414" i="62917"/>
  <c r="G2414" i="62917" s="1"/>
  <c r="F2415" i="62917"/>
  <c r="G2415" i="62917" s="1"/>
  <c r="F2416" i="62917"/>
  <c r="G2416" i="62917" s="1"/>
  <c r="F2417" i="62917"/>
  <c r="G2417" i="62917" s="1"/>
  <c r="F2418" i="62917"/>
  <c r="G2418" i="62917" s="1"/>
  <c r="F2419" i="62917"/>
  <c r="G2419" i="62917" s="1"/>
  <c r="F2421" i="62917"/>
  <c r="G2421" i="62917" s="1"/>
  <c r="F2422" i="62917"/>
  <c r="G2422" i="62917" s="1"/>
  <c r="F2423" i="62917"/>
  <c r="G2423" i="62917" s="1"/>
  <c r="F2424" i="62917"/>
  <c r="G2424" i="62917" s="1"/>
  <c r="F2425" i="62917"/>
  <c r="G2425" i="62917" s="1"/>
  <c r="F2426" i="62917"/>
  <c r="G2426" i="62917" s="1"/>
  <c r="F2427" i="62917"/>
  <c r="G2427" i="62917" s="1"/>
  <c r="F2428" i="62917"/>
  <c r="G2428" i="62917" s="1"/>
  <c r="F2429" i="62917"/>
  <c r="G2429" i="62917" s="1"/>
  <c r="F2430" i="62917"/>
  <c r="G2430" i="62917" s="1"/>
  <c r="F2431" i="62917"/>
  <c r="G2431" i="62917" s="1"/>
  <c r="F2432" i="62917"/>
  <c r="G2432" i="62917" s="1"/>
  <c r="F2433" i="62917"/>
  <c r="G2433" i="62917" s="1"/>
  <c r="F2434" i="62917"/>
  <c r="G2434" i="62917" s="1"/>
  <c r="F2435" i="62917"/>
  <c r="G2435" i="62917" s="1"/>
  <c r="F2436" i="62917"/>
  <c r="G2436" i="62917" s="1"/>
  <c r="F2437" i="62917"/>
  <c r="G2437" i="62917" s="1"/>
  <c r="F2438" i="62917"/>
  <c r="G2438" i="62917" s="1"/>
  <c r="F2439" i="62917"/>
  <c r="G2439" i="62917" s="1"/>
  <c r="F2440" i="62917"/>
  <c r="G2440" i="62917" s="1"/>
  <c r="F2441" i="62917"/>
  <c r="G2441" i="62917" s="1"/>
  <c r="F2442" i="62917"/>
  <c r="G2442" i="62917" s="1"/>
  <c r="F2443" i="62917"/>
  <c r="G2443" i="62917" s="1"/>
  <c r="F2444" i="62917"/>
  <c r="G2444" i="62917" s="1"/>
  <c r="F2445" i="62917"/>
  <c r="G2445" i="62917" s="1"/>
  <c r="F2446" i="62917"/>
  <c r="G2446" i="62917" s="1"/>
  <c r="F2447" i="62917"/>
  <c r="G2447" i="62917" s="1"/>
  <c r="F2448" i="62917"/>
  <c r="G2448" i="62917" s="1"/>
  <c r="F2449" i="62917"/>
  <c r="G2449" i="62917" s="1"/>
  <c r="F2450" i="62917"/>
  <c r="G2450" i="62917" s="1"/>
  <c r="F2451" i="62917"/>
  <c r="G2451" i="62917" s="1"/>
  <c r="F2452" i="62917"/>
  <c r="G2452" i="62917" s="1"/>
  <c r="F2453" i="62917"/>
  <c r="G2453" i="62917" s="1"/>
  <c r="F2454" i="62917"/>
  <c r="G2454" i="62917" s="1"/>
  <c r="F2455" i="62917"/>
  <c r="G2455" i="62917" s="1"/>
  <c r="F2456" i="62917"/>
  <c r="G2456" i="62917" s="1"/>
  <c r="F2457" i="62917"/>
  <c r="G2457" i="62917" s="1"/>
  <c r="F2458" i="62917"/>
  <c r="G2458" i="62917" s="1"/>
  <c r="F2459" i="62917"/>
  <c r="G2459" i="62917" s="1"/>
  <c r="F2460" i="62917"/>
  <c r="G2460" i="62917" s="1"/>
  <c r="F2461" i="62917"/>
  <c r="G2461" i="62917" s="1"/>
  <c r="F2462" i="62917"/>
  <c r="G2462" i="62917" s="1"/>
  <c r="F2464" i="62917"/>
  <c r="G2464" i="62917" s="1"/>
  <c r="F2465" i="62917"/>
  <c r="G2465" i="62917" s="1"/>
  <c r="F2466" i="62917"/>
  <c r="G2466" i="62917" s="1"/>
  <c r="F2467" i="62917"/>
  <c r="G2467" i="62917" s="1"/>
  <c r="F2468" i="62917"/>
  <c r="G2468" i="62917" s="1"/>
  <c r="F2469" i="62917"/>
  <c r="G2469" i="62917" s="1"/>
  <c r="F2470" i="62917"/>
  <c r="G2470" i="62917" s="1"/>
  <c r="F2471" i="62917"/>
  <c r="G2471" i="62917" s="1"/>
  <c r="F2472" i="62917"/>
  <c r="G2472" i="62917" s="1"/>
  <c r="F2473" i="62917"/>
  <c r="G2473" i="62917" s="1"/>
  <c r="F2474" i="62917"/>
  <c r="G2474" i="62917" s="1"/>
  <c r="F2475" i="62917"/>
  <c r="G2475" i="62917" s="1"/>
  <c r="F2476" i="62917"/>
  <c r="G2476" i="62917" s="1"/>
  <c r="F2477" i="62917"/>
  <c r="G2477" i="62917" s="1"/>
  <c r="F2478" i="62917"/>
  <c r="G2478" i="62917" s="1"/>
  <c r="F2479" i="62917"/>
  <c r="G2479" i="62917" s="1"/>
  <c r="F2480" i="62917"/>
  <c r="G2480" i="62917" s="1"/>
  <c r="F2481" i="62917"/>
  <c r="G2481" i="62917" s="1"/>
  <c r="F2482" i="62917"/>
  <c r="G2482" i="62917" s="1"/>
  <c r="F2483" i="62917"/>
  <c r="G2483" i="62917" s="1"/>
  <c r="F2484" i="62917"/>
  <c r="G2484" i="62917" s="1"/>
  <c r="F2485" i="62917"/>
  <c r="G2485" i="62917" s="1"/>
  <c r="F2486" i="62917"/>
  <c r="G2486" i="62917" s="1"/>
  <c r="F2487" i="62917"/>
  <c r="G2487" i="62917" s="1"/>
  <c r="F2488" i="62917"/>
  <c r="G2488" i="62917" s="1"/>
  <c r="F2489" i="62917"/>
  <c r="G2489" i="62917" s="1"/>
  <c r="F2490" i="62917"/>
  <c r="G2490" i="62917" s="1"/>
  <c r="F2491" i="62917"/>
  <c r="G2491" i="62917" s="1"/>
  <c r="F2492" i="62917"/>
  <c r="G2492" i="62917" s="1"/>
  <c r="F2493" i="62917"/>
  <c r="G2493" i="62917" s="1"/>
  <c r="F2494" i="62917"/>
  <c r="G2494" i="62917" s="1"/>
  <c r="F2495" i="62917"/>
  <c r="G2495" i="62917" s="1"/>
  <c r="F2496" i="62917"/>
  <c r="G2496" i="62917" s="1"/>
  <c r="F2497" i="62917"/>
  <c r="G2497" i="62917" s="1"/>
  <c r="F2498" i="62917"/>
  <c r="G2498" i="62917" s="1"/>
  <c r="F2499" i="62917"/>
  <c r="G2499" i="62917" s="1"/>
  <c r="F2500" i="62917"/>
  <c r="G2500" i="62917" s="1"/>
  <c r="F2501" i="62917"/>
  <c r="G2501" i="62917" s="1"/>
  <c r="F2502" i="62917"/>
  <c r="G2502" i="62917" s="1"/>
  <c r="F2503" i="62917"/>
  <c r="G2503" i="62917" s="1"/>
  <c r="F2504" i="62917"/>
  <c r="G2504" i="62917" s="1"/>
  <c r="F2505" i="62917"/>
  <c r="G2505" i="62917" s="1"/>
  <c r="F2506" i="62917"/>
  <c r="G2506" i="62917" s="1"/>
  <c r="F2507" i="62917"/>
  <c r="G2507" i="62917" s="1"/>
  <c r="F2508" i="62917"/>
  <c r="G2508" i="62917" s="1"/>
  <c r="F2509" i="62917"/>
  <c r="G2509" i="62917" s="1"/>
  <c r="F2510" i="62917"/>
  <c r="G2510" i="62917" s="1"/>
  <c r="F2511" i="62917"/>
  <c r="G2511" i="62917" s="1"/>
  <c r="F2512" i="62917"/>
  <c r="G2512" i="62917" s="1"/>
  <c r="F2513" i="62917"/>
  <c r="G2513" i="62917" s="1"/>
  <c r="F2514" i="62917"/>
  <c r="G2514" i="62917" s="1"/>
  <c r="F2515" i="62917"/>
  <c r="G2515" i="62917" s="1"/>
  <c r="F2516" i="62917"/>
  <c r="G2516" i="62917" s="1"/>
  <c r="F2517" i="62917"/>
  <c r="G2517" i="62917" s="1"/>
  <c r="F2518" i="62917"/>
  <c r="G2518" i="62917" s="1"/>
  <c r="F2519" i="62917"/>
  <c r="G2519" i="62917" s="1"/>
  <c r="F13" i="62917"/>
  <c r="G13" i="62917" s="1"/>
  <c r="F14" i="62917"/>
  <c r="G14" i="62917" s="1"/>
  <c r="F15" i="62917"/>
  <c r="G15" i="62917" s="1"/>
  <c r="F16" i="62917"/>
  <c r="G16" i="62917" s="1"/>
  <c r="F17" i="62917"/>
  <c r="G17" i="62917" s="1"/>
  <c r="F18" i="62917"/>
  <c r="G18" i="62917" s="1"/>
  <c r="F19" i="62917"/>
  <c r="G19" i="62917" s="1"/>
  <c r="F20" i="62917"/>
  <c r="G20" i="62917" s="1"/>
  <c r="F21" i="62917"/>
  <c r="G21" i="62917" s="1"/>
  <c r="F22" i="62917"/>
  <c r="G22" i="62917" s="1"/>
  <c r="F23" i="62917"/>
  <c r="G23" i="62917" s="1"/>
  <c r="F24" i="62917"/>
  <c r="G24" i="62917" s="1"/>
  <c r="F25" i="62917"/>
  <c r="G25" i="62917" s="1"/>
  <c r="F26" i="62917"/>
  <c r="G26" i="62917" s="1"/>
  <c r="F27" i="62917"/>
  <c r="G27" i="62917" s="1"/>
  <c r="F28" i="62917"/>
  <c r="G28" i="62917" s="1"/>
  <c r="F29" i="62917"/>
  <c r="G29" i="62917" s="1"/>
  <c r="F30" i="62917"/>
  <c r="G30" i="62917" s="1"/>
  <c r="F31" i="62917"/>
  <c r="G31" i="62917" s="1"/>
  <c r="F32" i="62917"/>
  <c r="G32" i="62917" s="1"/>
  <c r="F33" i="62917"/>
  <c r="G33" i="62917" s="1"/>
  <c r="F34" i="62917"/>
  <c r="G34" i="62917" s="1"/>
  <c r="F35" i="62917"/>
  <c r="G35" i="62917" s="1"/>
  <c r="F36" i="62917"/>
  <c r="G36" i="62917" s="1"/>
  <c r="F37" i="62917"/>
  <c r="G37" i="62917" s="1"/>
  <c r="F38" i="62917"/>
  <c r="G38" i="62917" s="1"/>
  <c r="F39" i="62917"/>
  <c r="G39" i="62917" s="1"/>
  <c r="F40" i="62917"/>
  <c r="G40" i="62917" s="1"/>
  <c r="F41" i="62917"/>
  <c r="G41" i="62917" s="1"/>
  <c r="F42" i="62917"/>
  <c r="G42" i="62917" s="1"/>
  <c r="F43" i="62917"/>
  <c r="G43" i="62917" s="1"/>
  <c r="F44" i="62917"/>
  <c r="G44" i="62917" s="1"/>
  <c r="F45" i="62917"/>
  <c r="G45" i="62917" s="1"/>
  <c r="F46" i="62917"/>
  <c r="G46" i="62917" s="1"/>
  <c r="F47" i="62917"/>
  <c r="G47" i="62917" s="1"/>
  <c r="F48" i="62917"/>
  <c r="G48" i="62917" s="1"/>
  <c r="F49" i="62917"/>
  <c r="G49" i="62917" s="1"/>
  <c r="F50" i="62917"/>
  <c r="G50" i="62917" s="1"/>
  <c r="F51" i="62917"/>
  <c r="G51" i="62917" s="1"/>
  <c r="F52" i="62917"/>
  <c r="G52" i="62917" s="1"/>
  <c r="F53" i="62917"/>
  <c r="G53" i="62917" s="1"/>
  <c r="F54" i="62917"/>
  <c r="G54" i="62917" s="1"/>
  <c r="F55" i="62917"/>
  <c r="G55" i="62917" s="1"/>
  <c r="F56" i="62917"/>
  <c r="G56" i="62917" s="1"/>
  <c r="F58" i="62917"/>
  <c r="G58" i="62917" s="1"/>
  <c r="F59" i="62917"/>
  <c r="G59" i="62917" s="1"/>
  <c r="F60" i="62917"/>
  <c r="G60" i="62917" s="1"/>
  <c r="F61" i="62917"/>
  <c r="G61" i="62917" s="1"/>
  <c r="F62" i="62917"/>
  <c r="G62" i="62917" s="1"/>
  <c r="F63" i="62917"/>
  <c r="G63" i="62917" s="1"/>
  <c r="F64" i="62917"/>
  <c r="G64" i="62917" s="1"/>
  <c r="F65" i="62917"/>
  <c r="G65" i="62917" s="1"/>
  <c r="F66" i="62917"/>
  <c r="G66" i="62917" s="1"/>
  <c r="F67" i="62917"/>
  <c r="G67" i="62917" s="1"/>
  <c r="F68" i="62917"/>
  <c r="G68" i="62917" s="1"/>
  <c r="F69" i="62917"/>
  <c r="G69" i="62917" s="1"/>
  <c r="F70" i="62917"/>
  <c r="G70" i="62917" s="1"/>
  <c r="F71" i="62917"/>
  <c r="G71" i="62917" s="1"/>
  <c r="F72" i="62917"/>
  <c r="G72" i="62917" s="1"/>
  <c r="F73" i="62917"/>
  <c r="G73" i="62917" s="1"/>
  <c r="F74" i="62917"/>
  <c r="G74" i="62917" s="1"/>
  <c r="F75" i="62917"/>
  <c r="G75" i="62917" s="1"/>
  <c r="F76" i="62917"/>
  <c r="G76" i="62917" s="1"/>
  <c r="F77" i="62917"/>
  <c r="G77" i="62917" s="1"/>
  <c r="F78" i="62917"/>
  <c r="G78" i="62917" s="1"/>
  <c r="F79" i="62917"/>
  <c r="G79" i="62917" s="1"/>
  <c r="F80" i="62917"/>
  <c r="G80" i="62917" s="1"/>
  <c r="F81" i="62917"/>
  <c r="G81" i="62917" s="1"/>
  <c r="F82" i="62917"/>
  <c r="G82" i="62917" s="1"/>
  <c r="F83" i="62917"/>
  <c r="G83" i="62917" s="1"/>
  <c r="F84" i="62917"/>
  <c r="G84" i="62917" s="1"/>
  <c r="F85" i="62917"/>
  <c r="G85" i="62917" s="1"/>
  <c r="P85" i="62917"/>
  <c r="F86" i="62917"/>
  <c r="G86" i="62917" s="1"/>
  <c r="F87" i="62917"/>
  <c r="G87" i="62917" s="1"/>
  <c r="F88" i="62917"/>
  <c r="G88" i="62917" s="1"/>
  <c r="F89" i="62917"/>
  <c r="G89" i="62917" s="1"/>
  <c r="F90" i="62917"/>
  <c r="G90" i="62917" s="1"/>
  <c r="O90" i="62917"/>
  <c r="P90" i="62917"/>
  <c r="Q90" i="62917"/>
  <c r="S90" i="62917"/>
  <c r="F91" i="62917"/>
  <c r="G91" i="62917" s="1"/>
  <c r="O91" i="62917"/>
  <c r="P91" i="62917"/>
  <c r="Q91" i="62917"/>
  <c r="R91" i="62917"/>
  <c r="S91" i="62917"/>
  <c r="F92" i="62917"/>
  <c r="G92" i="62917" s="1"/>
  <c r="O92" i="62917"/>
  <c r="P92" i="62917"/>
  <c r="Q92" i="62917"/>
  <c r="R92" i="62917"/>
  <c r="S92" i="62917"/>
  <c r="F93" i="62917"/>
  <c r="G93" i="62917" s="1"/>
  <c r="F95" i="62917"/>
  <c r="G95" i="62917" s="1"/>
  <c r="F96" i="62917"/>
  <c r="G96" i="62917" s="1"/>
  <c r="P130" i="62917"/>
  <c r="P131" i="62917"/>
  <c r="P132" i="62917"/>
  <c r="P133" i="62917"/>
  <c r="P134" i="62917"/>
  <c r="P135" i="62917"/>
  <c r="P136" i="62917"/>
  <c r="P137" i="62917"/>
  <c r="P138" i="62917"/>
  <c r="P139" i="62917"/>
  <c r="P140" i="62917"/>
  <c r="P141" i="62917"/>
  <c r="P142" i="62917"/>
  <c r="P143" i="62917"/>
  <c r="P144" i="62917"/>
  <c r="P145" i="62917"/>
  <c r="P146" i="62917"/>
  <c r="P147" i="62917"/>
  <c r="P148" i="62917"/>
  <c r="P149" i="62917"/>
  <c r="P150" i="62917"/>
  <c r="P151" i="62917"/>
  <c r="P152" i="62917"/>
  <c r="P153" i="62917"/>
  <c r="P154" i="62917"/>
  <c r="P155" i="62917"/>
  <c r="P156" i="62917"/>
  <c r="P157" i="62917"/>
  <c r="P158" i="62917"/>
  <c r="P159" i="62917"/>
  <c r="P160" i="62917"/>
  <c r="P161" i="62917"/>
  <c r="P200" i="62917"/>
  <c r="P201" i="62917"/>
  <c r="P202" i="62917"/>
  <c r="P203" i="62917"/>
  <c r="P204" i="62917"/>
  <c r="P205" i="62917"/>
  <c r="P206" i="62917"/>
  <c r="P207" i="62917"/>
  <c r="P208" i="62917"/>
  <c r="P209" i="62917"/>
  <c r="P210" i="62917"/>
  <c r="P211" i="62917"/>
  <c r="P212" i="62917"/>
  <c r="P213" i="62917"/>
  <c r="P214" i="62917"/>
  <c r="P215" i="62917"/>
  <c r="P216" i="62917"/>
  <c r="P217" i="62917"/>
  <c r="P218" i="62917"/>
  <c r="P219" i="62917"/>
  <c r="P220" i="62917"/>
  <c r="P221" i="62917"/>
  <c r="P222" i="62917"/>
  <c r="P223" i="62917"/>
  <c r="P224" i="62917"/>
  <c r="P225" i="62917"/>
  <c r="P226" i="62917"/>
  <c r="P227" i="62917"/>
  <c r="P228" i="62917"/>
  <c r="P229" i="62917"/>
  <c r="P230" i="62917"/>
  <c r="P231" i="62917"/>
  <c r="P252" i="62917"/>
  <c r="P253" i="62917"/>
  <c r="P254" i="62917"/>
  <c r="P255" i="62917"/>
  <c r="P256" i="62917"/>
  <c r="P257" i="62917"/>
  <c r="P258" i="62917"/>
  <c r="P259" i="62917"/>
  <c r="P280" i="62917"/>
  <c r="P281" i="62917"/>
  <c r="P282" i="62917"/>
  <c r="P283" i="62917"/>
  <c r="P284" i="62917"/>
  <c r="P285" i="62917"/>
  <c r="P286" i="62917"/>
  <c r="P287" i="62917"/>
  <c r="P288" i="62917"/>
  <c r="P289" i="62917"/>
  <c r="P290" i="62917"/>
  <c r="P291" i="62917"/>
  <c r="P292" i="62917"/>
  <c r="P293" i="62917"/>
  <c r="P294" i="62917"/>
  <c r="P295" i="62917"/>
  <c r="P296" i="62917"/>
  <c r="P297" i="62917"/>
  <c r="P298" i="62917"/>
  <c r="P299" i="62917"/>
  <c r="P300" i="62917"/>
  <c r="P301" i="62917"/>
  <c r="P302" i="62917"/>
  <c r="P303" i="62917"/>
  <c r="P324" i="62917"/>
  <c r="P325" i="62917"/>
  <c r="P326" i="62917"/>
  <c r="P327" i="62917"/>
  <c r="P328" i="62917"/>
  <c r="P329" i="62917"/>
  <c r="P330" i="62917"/>
  <c r="P331" i="62917"/>
  <c r="P332" i="62917"/>
  <c r="P333" i="62917"/>
  <c r="P334" i="62917"/>
  <c r="P335" i="62917"/>
  <c r="P336" i="62917"/>
  <c r="P337" i="62917"/>
  <c r="P338" i="62917"/>
  <c r="P339" i="62917"/>
  <c r="P340" i="62917"/>
  <c r="P341" i="62917"/>
  <c r="P342" i="62917"/>
  <c r="P343" i="62917"/>
  <c r="P344" i="62917"/>
  <c r="P345" i="62917"/>
  <c r="P346" i="62917"/>
  <c r="P347" i="62917"/>
  <c r="P348" i="62917"/>
  <c r="P349" i="62917"/>
  <c r="P350" i="62917"/>
  <c r="P351" i="62917"/>
  <c r="P352" i="62917"/>
  <c r="P353" i="62917"/>
  <c r="P354" i="62917"/>
  <c r="P355" i="62917"/>
  <c r="P408" i="62917"/>
  <c r="P409" i="62917"/>
  <c r="P410" i="62917"/>
  <c r="P411" i="62917"/>
  <c r="P412" i="62917"/>
  <c r="P413" i="62917"/>
  <c r="P414" i="62917"/>
  <c r="P415" i="62917"/>
  <c r="P416" i="62917"/>
  <c r="P417" i="62917"/>
  <c r="P418" i="62917"/>
  <c r="P419" i="62917"/>
  <c r="P420" i="62917"/>
  <c r="P421" i="62917"/>
  <c r="P422" i="62917"/>
  <c r="P423" i="62917"/>
  <c r="P424" i="62917"/>
  <c r="P425" i="62917"/>
  <c r="P426" i="62917"/>
  <c r="P427" i="62917"/>
  <c r="P428" i="62917"/>
  <c r="P429" i="62917"/>
  <c r="P430" i="62917"/>
  <c r="P431" i="62917"/>
  <c r="P432" i="62917"/>
  <c r="P433" i="62917"/>
  <c r="P434" i="62917"/>
  <c r="P435" i="62917"/>
  <c r="P436" i="62917"/>
  <c r="P437" i="62917"/>
  <c r="P438" i="62917"/>
  <c r="P439" i="62917"/>
  <c r="P470" i="62917"/>
  <c r="P471" i="62917"/>
  <c r="P472" i="62917"/>
  <c r="P473" i="62917"/>
  <c r="P474" i="62917"/>
  <c r="P475" i="62917"/>
  <c r="P476" i="62917"/>
  <c r="P477" i="62917"/>
  <c r="P478" i="62917"/>
  <c r="P479" i="62917"/>
  <c r="P480" i="62917"/>
  <c r="P481" i="62917"/>
  <c r="P482" i="62917"/>
  <c r="P483" i="62917"/>
  <c r="P484" i="62917"/>
  <c r="P485" i="62917"/>
  <c r="P486" i="62917"/>
  <c r="P487" i="62917"/>
  <c r="P488" i="62917"/>
  <c r="P489" i="62917"/>
  <c r="P490" i="62917"/>
  <c r="P491" i="62917"/>
  <c r="P492" i="62917"/>
  <c r="P493" i="62917"/>
  <c r="P536" i="62917"/>
  <c r="P537" i="62917"/>
  <c r="P538" i="62917"/>
  <c r="P539" i="62917"/>
  <c r="P540" i="62917"/>
  <c r="P541" i="62917"/>
  <c r="P542" i="62917"/>
  <c r="P543" i="62917"/>
  <c r="F591" i="62917"/>
  <c r="G591" i="62917" s="1"/>
  <c r="F592" i="62917"/>
  <c r="G592" i="62917" s="1"/>
  <c r="F593" i="62917"/>
  <c r="G593" i="62917" s="1"/>
  <c r="F594" i="62917"/>
  <c r="G594" i="62917" s="1"/>
  <c r="F595" i="62917"/>
  <c r="G595" i="62917" s="1"/>
  <c r="F596" i="62917"/>
  <c r="G596" i="62917" s="1"/>
  <c r="F597" i="62917"/>
  <c r="G597" i="62917" s="1"/>
  <c r="F598" i="62917"/>
  <c r="G598" i="62917" s="1"/>
  <c r="F599" i="62917"/>
  <c r="G599" i="62917" s="1"/>
  <c r="F600" i="62917"/>
  <c r="G600" i="62917" s="1"/>
  <c r="F601" i="62917"/>
  <c r="G601" i="62917" s="1"/>
  <c r="F602" i="62917"/>
  <c r="G602" i="62917" s="1"/>
  <c r="F603" i="62917"/>
  <c r="G603" i="62917" s="1"/>
  <c r="F604" i="62917"/>
  <c r="G604" i="62917" s="1"/>
  <c r="F605" i="62917"/>
  <c r="G605" i="62917" s="1"/>
  <c r="F606" i="62917"/>
  <c r="G606" i="62917" s="1"/>
  <c r="F607" i="62917"/>
  <c r="G607" i="62917" s="1"/>
  <c r="F608" i="62917"/>
  <c r="G608" i="62917" s="1"/>
  <c r="F609" i="62917"/>
  <c r="G609" i="62917" s="1"/>
  <c r="F610" i="62917"/>
  <c r="G610" i="62917" s="1"/>
  <c r="F611" i="62917"/>
  <c r="G611" i="62917" s="1"/>
  <c r="F612" i="62917"/>
  <c r="G612" i="62917" s="1"/>
  <c r="F613" i="62917"/>
  <c r="G613" i="62917" s="1"/>
  <c r="F614" i="62917"/>
  <c r="G614" i="62917" s="1"/>
  <c r="F615" i="62917"/>
  <c r="G615" i="62917" s="1"/>
  <c r="F616" i="62917"/>
  <c r="G616" i="62917" s="1"/>
  <c r="F617" i="62917"/>
  <c r="G617" i="62917" s="1"/>
  <c r="F618" i="62917"/>
  <c r="G618" i="62917" s="1"/>
  <c r="F619" i="62917"/>
  <c r="G619" i="62917" s="1"/>
  <c r="F620" i="62917"/>
  <c r="G620" i="62917" s="1"/>
  <c r="F621" i="62917"/>
  <c r="G621" i="62917" s="1"/>
  <c r="F622" i="62917"/>
  <c r="G622" i="62917" s="1"/>
  <c r="F623" i="62917"/>
  <c r="G623" i="62917" s="1"/>
  <c r="F624" i="62917"/>
  <c r="G624" i="62917" s="1"/>
  <c r="F625" i="62917"/>
  <c r="G625" i="62917" s="1"/>
  <c r="F626" i="62917"/>
  <c r="G626" i="62917" s="1"/>
  <c r="F627" i="62917"/>
  <c r="G627" i="62917" s="1"/>
  <c r="F628" i="62917"/>
  <c r="G628" i="62917" s="1"/>
  <c r="F629" i="62917"/>
  <c r="G629" i="62917" s="1"/>
  <c r="F630" i="62917"/>
  <c r="G630" i="62917" s="1"/>
  <c r="F631" i="62917"/>
  <c r="G631" i="62917" s="1"/>
  <c r="F632" i="62917"/>
  <c r="G632" i="62917" s="1"/>
  <c r="F633" i="62917"/>
  <c r="G633" i="62917" s="1"/>
  <c r="F634" i="62917"/>
  <c r="G634" i="62917" s="1"/>
  <c r="F635" i="62917"/>
  <c r="G635" i="62917" s="1"/>
  <c r="F636" i="62917"/>
  <c r="G636" i="62917" s="1"/>
  <c r="F637" i="62917"/>
  <c r="G637" i="62917" s="1"/>
  <c r="F638" i="62917"/>
  <c r="G638" i="62917" s="1"/>
  <c r="F639" i="62917"/>
  <c r="G639" i="62917" s="1"/>
  <c r="F640" i="62917"/>
  <c r="G640" i="62917" s="1"/>
  <c r="F641" i="62917"/>
  <c r="G641" i="62917" s="1"/>
  <c r="F642" i="62917"/>
  <c r="G642" i="62917" s="1"/>
  <c r="F643" i="62917"/>
  <c r="G643" i="62917" s="1"/>
  <c r="F644" i="62917"/>
  <c r="G644" i="62917" s="1"/>
  <c r="F645" i="62917"/>
  <c r="G645" i="62917" s="1"/>
  <c r="F646" i="62917"/>
  <c r="G646" i="62917" s="1"/>
  <c r="F647" i="62917"/>
  <c r="G647" i="62917" s="1"/>
  <c r="F648" i="62917"/>
  <c r="G648" i="62917" s="1"/>
  <c r="F649" i="62917"/>
  <c r="G649" i="62917" s="1"/>
  <c r="F650" i="62917"/>
  <c r="G650" i="62917" s="1"/>
  <c r="F651" i="62917"/>
  <c r="G651" i="62917" s="1"/>
  <c r="F652" i="62917"/>
  <c r="G652" i="62917" s="1"/>
  <c r="F653" i="62917"/>
  <c r="G653" i="62917" s="1"/>
  <c r="F654" i="62917"/>
  <c r="G654" i="62917" s="1"/>
  <c r="F655" i="62917"/>
  <c r="G655" i="62917" s="1"/>
  <c r="F656" i="62917"/>
  <c r="G656" i="62917" s="1"/>
  <c r="F657" i="62917"/>
  <c r="G657" i="62917" s="1"/>
  <c r="F658" i="62917"/>
  <c r="G658" i="62917" s="1"/>
  <c r="F659" i="62917"/>
  <c r="G659" i="62917" s="1"/>
  <c r="F660" i="62917"/>
  <c r="G660" i="62917" s="1"/>
  <c r="F661" i="62917"/>
  <c r="G661" i="62917" s="1"/>
  <c r="F662" i="62917"/>
  <c r="G662" i="62917" s="1"/>
  <c r="F663" i="62917"/>
  <c r="G663" i="62917" s="1"/>
  <c r="F664" i="62917"/>
  <c r="G664" i="62917" s="1"/>
  <c r="F665" i="62917"/>
  <c r="G665" i="62917" s="1"/>
  <c r="F666" i="62917"/>
  <c r="G666" i="62917" s="1"/>
  <c r="F667" i="62917"/>
  <c r="G667" i="62917" s="1"/>
  <c r="F669" i="62917"/>
  <c r="G669" i="62917" s="1"/>
  <c r="F670" i="62917"/>
  <c r="G670" i="62917" s="1"/>
  <c r="F671" i="62917"/>
  <c r="G671" i="62917" s="1"/>
  <c r="F672" i="62917"/>
  <c r="G672" i="62917" s="1"/>
  <c r="F673" i="62917"/>
  <c r="G673" i="62917" s="1"/>
  <c r="F674" i="62917"/>
  <c r="G674" i="62917" s="1"/>
  <c r="F675" i="62917"/>
  <c r="G675" i="62917" s="1"/>
  <c r="F676" i="62917"/>
  <c r="G676" i="62917" s="1"/>
  <c r="F677" i="62917"/>
  <c r="G677" i="62917" s="1"/>
  <c r="F678" i="62917"/>
  <c r="G678" i="62917" s="1"/>
  <c r="F679" i="62917"/>
  <c r="G679" i="62917" s="1"/>
  <c r="F680" i="62917"/>
  <c r="G680" i="62917" s="1"/>
  <c r="F681" i="62917"/>
  <c r="G681" i="62917" s="1"/>
  <c r="F682" i="62917"/>
  <c r="G682" i="62917" s="1"/>
  <c r="F683" i="62917"/>
  <c r="G683" i="62917" s="1"/>
  <c r="F684" i="62917"/>
  <c r="G684" i="62917" s="1"/>
  <c r="F685" i="62917"/>
  <c r="G685" i="62917" s="1"/>
  <c r="F686" i="62917"/>
  <c r="G686" i="62917" s="1"/>
  <c r="F687" i="62917"/>
  <c r="G687" i="62917" s="1"/>
  <c r="F688" i="62917"/>
  <c r="G688" i="62917" s="1"/>
  <c r="F689" i="62917"/>
  <c r="G689" i="62917" s="1"/>
  <c r="F690" i="62917"/>
  <c r="G690" i="62917" s="1"/>
  <c r="F691" i="62917"/>
  <c r="G691" i="62917" s="1"/>
  <c r="F692" i="62917"/>
  <c r="G692" i="62917" s="1"/>
  <c r="F693" i="62917"/>
  <c r="G693" i="62917" s="1"/>
  <c r="F694" i="62917"/>
  <c r="G694" i="62917" s="1"/>
  <c r="F695" i="62917"/>
  <c r="G695" i="62917" s="1"/>
  <c r="F696" i="62917"/>
  <c r="G696" i="62917" s="1"/>
  <c r="F706" i="62917"/>
  <c r="G706" i="62917" s="1"/>
  <c r="F888" i="62917"/>
  <c r="G888" i="62917" s="1"/>
  <c r="F889" i="62917"/>
  <c r="G889" i="62917" s="1"/>
  <c r="F890" i="62917"/>
  <c r="G890" i="62917" s="1"/>
  <c r="F891" i="62917"/>
  <c r="G891" i="62917" s="1"/>
  <c r="F892" i="62917"/>
  <c r="G892" i="62917" s="1"/>
  <c r="F893" i="62917"/>
  <c r="G893" i="62917" s="1"/>
  <c r="F894" i="62917"/>
  <c r="G894" i="62917" s="1"/>
  <c r="F895" i="62917"/>
  <c r="G895" i="62917" s="1"/>
  <c r="F896" i="62917"/>
  <c r="G896" i="62917" s="1"/>
  <c r="F897" i="62917"/>
  <c r="G897" i="62917" s="1"/>
  <c r="F898" i="62917"/>
  <c r="G898" i="62917" s="1"/>
  <c r="F899" i="62917"/>
  <c r="G899" i="62917" s="1"/>
  <c r="F900" i="62917"/>
  <c r="G900" i="62917" s="1"/>
  <c r="F901" i="62917"/>
  <c r="G901" i="62917" s="1"/>
  <c r="F902" i="62917"/>
  <c r="G902" i="62917" s="1"/>
  <c r="F903" i="62917"/>
  <c r="G903" i="62917" s="1"/>
  <c r="F904" i="62917"/>
  <c r="G904" i="62917" s="1"/>
  <c r="F905" i="62917"/>
  <c r="G905" i="62917" s="1"/>
  <c r="F906" i="62917"/>
  <c r="G906" i="62917" s="1"/>
  <c r="F907" i="62917"/>
  <c r="G907" i="62917" s="1"/>
  <c r="F908" i="62917"/>
  <c r="G908" i="62917" s="1"/>
  <c r="F909" i="62917"/>
  <c r="G909" i="62917" s="1"/>
  <c r="F910" i="62917"/>
  <c r="G910" i="62917" s="1"/>
  <c r="F911" i="62917"/>
  <c r="G911" i="62917" s="1"/>
  <c r="F912" i="62917"/>
  <c r="G912" i="62917" s="1"/>
  <c r="F913" i="62917"/>
  <c r="G913" i="62917" s="1"/>
  <c r="F914" i="62917"/>
  <c r="G914" i="62917" s="1"/>
  <c r="F915" i="62917"/>
  <c r="G915" i="62917" s="1"/>
  <c r="F916" i="62917"/>
  <c r="G916" i="62917" s="1"/>
  <c r="F922" i="62917"/>
  <c r="G922" i="62917" s="1"/>
  <c r="F923" i="62917"/>
  <c r="G923" i="62917" s="1"/>
  <c r="F924" i="62917"/>
  <c r="G924" i="62917" s="1"/>
  <c r="F925" i="62917"/>
  <c r="G925" i="62917" s="1"/>
  <c r="F926" i="62917"/>
  <c r="G926" i="62917" s="1"/>
  <c r="F927" i="62917"/>
  <c r="G927" i="62917" s="1"/>
  <c r="F928" i="62917"/>
  <c r="G928" i="62917" s="1"/>
  <c r="F929" i="62917"/>
  <c r="G929" i="62917" s="1"/>
  <c r="F930" i="62917"/>
  <c r="G930" i="62917" s="1"/>
  <c r="F931" i="62917"/>
  <c r="G931" i="62917" s="1"/>
  <c r="F932" i="62917"/>
  <c r="G932" i="62917" s="1"/>
  <c r="F933" i="62917"/>
  <c r="G933" i="62917" s="1"/>
  <c r="F934" i="62917"/>
  <c r="G934" i="62917" s="1"/>
  <c r="F935" i="62917"/>
  <c r="G935" i="62917" s="1"/>
  <c r="F936" i="62917"/>
  <c r="G936" i="62917" s="1"/>
  <c r="F937" i="62917"/>
  <c r="G937" i="62917" s="1"/>
  <c r="F938" i="62917"/>
  <c r="G938" i="62917" s="1"/>
  <c r="F939" i="62917"/>
  <c r="G939" i="62917" s="1"/>
  <c r="F940" i="62917"/>
  <c r="G940" i="62917" s="1"/>
  <c r="F941" i="62917"/>
  <c r="G941" i="62917" s="1"/>
  <c r="F942" i="62917"/>
  <c r="G942" i="62917" s="1"/>
  <c r="F943" i="62917"/>
  <c r="G943" i="62917" s="1"/>
  <c r="F944" i="62917"/>
  <c r="G944" i="62917" s="1"/>
  <c r="F945" i="62917"/>
  <c r="G945" i="62917" s="1"/>
  <c r="F946" i="62917"/>
  <c r="G946" i="62917" s="1"/>
  <c r="F947" i="62917"/>
  <c r="G947" i="62917" s="1"/>
  <c r="F948" i="62917"/>
  <c r="G948" i="62917" s="1"/>
  <c r="F949" i="62917"/>
  <c r="G949" i="62917" s="1"/>
  <c r="F950" i="62917"/>
  <c r="G950" i="62917" s="1"/>
  <c r="F951" i="62917"/>
  <c r="G951" i="62917" s="1"/>
  <c r="F952" i="62917"/>
  <c r="G952" i="62917" s="1"/>
  <c r="F953" i="62917"/>
  <c r="G953" i="62917" s="1"/>
  <c r="F954" i="62917"/>
  <c r="G954" i="62917" s="1"/>
  <c r="F955" i="62917"/>
  <c r="G955" i="62917" s="1"/>
  <c r="F956" i="62917"/>
  <c r="G956" i="62917" s="1"/>
  <c r="F957" i="62917"/>
  <c r="G957" i="62917" s="1"/>
  <c r="F958" i="62917"/>
  <c r="G958" i="62917" s="1"/>
  <c r="F959" i="62917"/>
  <c r="G959" i="62917" s="1"/>
  <c r="F960" i="62917"/>
  <c r="G960" i="62917" s="1"/>
  <c r="F961" i="62917"/>
  <c r="G961" i="62917" s="1"/>
  <c r="F962" i="62917"/>
  <c r="G962" i="62917" s="1"/>
  <c r="F963" i="62917"/>
  <c r="G963" i="62917" s="1"/>
  <c r="F964" i="62917"/>
  <c r="G964" i="62917" s="1"/>
  <c r="F965" i="62917"/>
  <c r="G965" i="62917" s="1"/>
  <c r="F966" i="62917"/>
  <c r="G966" i="62917" s="1"/>
  <c r="F967" i="62917"/>
  <c r="G967" i="62917" s="1"/>
  <c r="F968" i="62917"/>
  <c r="G968" i="62917" s="1"/>
  <c r="F969" i="62917"/>
  <c r="G969" i="62917" s="1"/>
  <c r="F970" i="62917"/>
  <c r="G970" i="62917" s="1"/>
  <c r="F971" i="62917"/>
  <c r="G971" i="62917" s="1"/>
  <c r="F972" i="62917"/>
  <c r="G972" i="62917" s="1"/>
  <c r="F973" i="62917"/>
  <c r="G973" i="62917" s="1"/>
  <c r="F974" i="62917"/>
  <c r="G974" i="62917" s="1"/>
  <c r="F975" i="62917"/>
  <c r="G975" i="62917" s="1"/>
  <c r="F976" i="62917"/>
  <c r="G976" i="62917" s="1"/>
  <c r="F977" i="62917"/>
  <c r="G977" i="62917" s="1"/>
  <c r="F978" i="62917"/>
  <c r="G978" i="62917" s="1"/>
  <c r="F979" i="62917"/>
  <c r="G979" i="62917" s="1"/>
  <c r="F980" i="62917"/>
  <c r="G980" i="62917" s="1"/>
  <c r="F981" i="62917"/>
  <c r="G981" i="62917" s="1"/>
  <c r="F982" i="62917"/>
  <c r="G982" i="62917" s="1"/>
  <c r="F983" i="62917"/>
  <c r="G983" i="62917" s="1"/>
  <c r="F984" i="62917"/>
  <c r="G984" i="62917" s="1"/>
  <c r="F985" i="62917"/>
  <c r="G985" i="62917" s="1"/>
  <c r="F986" i="62917"/>
  <c r="G986" i="62917" s="1"/>
  <c r="F987" i="62917"/>
  <c r="G987" i="62917" s="1"/>
  <c r="F988" i="62917"/>
  <c r="G988" i="62917" s="1"/>
  <c r="F989" i="62917"/>
  <c r="G989" i="62917" s="1"/>
  <c r="F990" i="62917"/>
  <c r="G990" i="62917" s="1"/>
  <c r="F991" i="62917"/>
  <c r="G991" i="62917" s="1"/>
  <c r="F992" i="62917"/>
  <c r="G992" i="62917" s="1"/>
  <c r="F993" i="62917"/>
  <c r="G993" i="62917" s="1"/>
  <c r="F994" i="62917"/>
  <c r="G994" i="62917" s="1"/>
  <c r="F995" i="62917"/>
  <c r="G995" i="62917" s="1"/>
  <c r="F996" i="62917"/>
  <c r="G996" i="62917" s="1"/>
  <c r="F997" i="62917"/>
  <c r="G997" i="62917" s="1"/>
  <c r="F998" i="62917"/>
  <c r="G998" i="62917" s="1"/>
  <c r="F999" i="62917"/>
  <c r="G999" i="62917" s="1"/>
  <c r="F1000" i="62917"/>
  <c r="G1000" i="62917" s="1"/>
  <c r="F1001" i="62917"/>
  <c r="G1001" i="62917" s="1"/>
  <c r="F1002" i="62917"/>
  <c r="G1002" i="62917" s="1"/>
  <c r="F1003" i="62917"/>
  <c r="G1003" i="62917" s="1"/>
  <c r="F1004" i="62917"/>
  <c r="G1004" i="62917" s="1"/>
  <c r="F1005" i="62917"/>
  <c r="G1005" i="62917" s="1"/>
  <c r="F1006" i="62917"/>
  <c r="G1006" i="62917" s="1"/>
  <c r="F1007" i="62917"/>
  <c r="G1007" i="62917" s="1"/>
  <c r="F1008" i="62917"/>
  <c r="G1008" i="62917" s="1"/>
  <c r="F1009" i="62917"/>
  <c r="G1009" i="62917" s="1"/>
  <c r="F1010" i="62917"/>
  <c r="G1010" i="62917" s="1"/>
  <c r="F1011" i="62917"/>
  <c r="G1011" i="62917" s="1"/>
  <c r="F1012" i="62917"/>
  <c r="G1012" i="62917" s="1"/>
  <c r="F1013" i="62917"/>
  <c r="G1013" i="62917" s="1"/>
  <c r="F1014" i="62917"/>
  <c r="G1014" i="62917" s="1"/>
  <c r="F1015" i="62917"/>
  <c r="G1015" i="62917" s="1"/>
  <c r="F1016" i="62917"/>
  <c r="G1016" i="62917" s="1"/>
  <c r="F1017" i="62917"/>
  <c r="G1017" i="62917" s="1"/>
  <c r="F1018" i="62917"/>
  <c r="G1018" i="62917" s="1"/>
  <c r="F1019" i="62917"/>
  <c r="G1019" i="62917" s="1"/>
  <c r="F1020" i="62917"/>
  <c r="G1020" i="62917" s="1"/>
  <c r="F1021" i="62917"/>
  <c r="G1021" i="62917" s="1"/>
  <c r="F1022" i="62917"/>
  <c r="G1022" i="62917" s="1"/>
  <c r="F1023" i="62917"/>
  <c r="G1023" i="62917" s="1"/>
  <c r="F1024" i="62917"/>
  <c r="G1024" i="62917" s="1"/>
  <c r="F1025" i="62917"/>
  <c r="G1025" i="62917" s="1"/>
  <c r="F1026" i="62917"/>
  <c r="G1026" i="62917" s="1"/>
  <c r="F1027" i="62917"/>
  <c r="G1027" i="62917" s="1"/>
  <c r="F1028" i="62917"/>
  <c r="G1028" i="62917" s="1"/>
  <c r="F1029" i="62917"/>
  <c r="G1029" i="62917" s="1"/>
  <c r="F1030" i="62917"/>
  <c r="G1030" i="62917" s="1"/>
  <c r="F1031" i="62917"/>
  <c r="G1031" i="62917" s="1"/>
  <c r="F1032" i="62917"/>
  <c r="G1032" i="62917" s="1"/>
  <c r="F1033" i="62917"/>
  <c r="G1033" i="62917" s="1"/>
  <c r="F1034" i="62917"/>
  <c r="G1034" i="62917" s="1"/>
  <c r="F1035" i="62917"/>
  <c r="G1035" i="62917" s="1"/>
  <c r="F1036" i="62917"/>
  <c r="G1036" i="62917" s="1"/>
  <c r="F1037" i="62917"/>
  <c r="G1037" i="62917" s="1"/>
  <c r="F1038" i="62917"/>
  <c r="G1038" i="62917" s="1"/>
  <c r="F1039" i="62917"/>
  <c r="G1039" i="62917" s="1"/>
  <c r="F1040" i="62917"/>
  <c r="G1040" i="62917" s="1"/>
  <c r="F1041" i="62917"/>
  <c r="G1041" i="62917" s="1"/>
  <c r="F1042" i="62917"/>
  <c r="G1042" i="62917" s="1"/>
  <c r="F1043" i="62917"/>
  <c r="G1043" i="62917" s="1"/>
  <c r="F1044" i="62917"/>
  <c r="G1044" i="62917" s="1"/>
  <c r="F1045" i="62917"/>
  <c r="G1045" i="62917" s="1"/>
  <c r="F1046" i="62917"/>
  <c r="G1046" i="62917" s="1"/>
  <c r="F1047" i="62917"/>
  <c r="G1047" i="62917" s="1"/>
  <c r="F1048" i="62917"/>
  <c r="G1048" i="62917" s="1"/>
  <c r="F1049" i="62917"/>
  <c r="G1049" i="62917" s="1"/>
  <c r="F1050" i="62917"/>
  <c r="G1050" i="62917" s="1"/>
  <c r="F1051" i="62917"/>
  <c r="G1051" i="62917" s="1"/>
  <c r="F1052" i="62917"/>
  <c r="G1052" i="62917" s="1"/>
  <c r="F1053" i="62917"/>
  <c r="G1053" i="62917" s="1"/>
  <c r="F1054" i="62917"/>
  <c r="G1054" i="62917" s="1"/>
  <c r="F1055" i="62917"/>
  <c r="G1055" i="62917" s="1"/>
  <c r="F1056" i="62917"/>
  <c r="G1056" i="62917" s="1"/>
  <c r="F1057" i="62917"/>
  <c r="G1057" i="62917" s="1"/>
  <c r="F1058" i="62917"/>
  <c r="G1058" i="62917" s="1"/>
  <c r="F1059" i="62917"/>
  <c r="G1059" i="62917" s="1"/>
  <c r="F1060" i="62917"/>
  <c r="G1060" i="62917" s="1"/>
  <c r="F1061" i="62917"/>
  <c r="G1061" i="62917" s="1"/>
  <c r="F1062" i="62917"/>
  <c r="G1062" i="62917" s="1"/>
  <c r="F1063" i="62917"/>
  <c r="G1063" i="62917" s="1"/>
  <c r="F1064" i="62917"/>
  <c r="G1064" i="62917" s="1"/>
  <c r="F1065" i="62917"/>
  <c r="G1065" i="62917" s="1"/>
  <c r="F1066" i="62917"/>
  <c r="G1066" i="62917" s="1"/>
  <c r="F1067" i="62917"/>
  <c r="G1067" i="62917" s="1"/>
  <c r="F1068" i="62917"/>
  <c r="G1068" i="62917" s="1"/>
  <c r="F1069" i="62917"/>
  <c r="G1069" i="62917" s="1"/>
  <c r="F1070" i="62917"/>
  <c r="G1070" i="62917" s="1"/>
  <c r="F1071" i="62917"/>
  <c r="G1071" i="62917" s="1"/>
  <c r="F1072" i="62917"/>
  <c r="G1072" i="62917" s="1"/>
  <c r="F1073" i="62917"/>
  <c r="G1073" i="62917" s="1"/>
  <c r="F1074" i="62917"/>
  <c r="G1074" i="62917" s="1"/>
  <c r="F1075" i="62917"/>
  <c r="G1075" i="62917" s="1"/>
  <c r="F1076" i="62917"/>
  <c r="G1076" i="62917" s="1"/>
  <c r="F1077" i="62917"/>
  <c r="G1077" i="62917" s="1"/>
  <c r="F1078" i="62917"/>
  <c r="G1078" i="62917" s="1"/>
  <c r="F1079" i="62917"/>
  <c r="G1079" i="62917" s="1"/>
  <c r="F1080" i="62917"/>
  <c r="G1080" i="62917" s="1"/>
  <c r="F1081" i="62917"/>
  <c r="G1081" i="62917" s="1"/>
  <c r="F1082" i="62917"/>
  <c r="G1082" i="62917" s="1"/>
  <c r="F1083" i="62917"/>
  <c r="G1083" i="62917" s="1"/>
  <c r="F1084" i="62917"/>
  <c r="G1084" i="62917" s="1"/>
  <c r="F1085" i="62917"/>
  <c r="G1085" i="62917" s="1"/>
  <c r="F1086" i="62917"/>
  <c r="G1086" i="62917" s="1"/>
  <c r="F1087" i="62917"/>
  <c r="G1087" i="62917" s="1"/>
  <c r="F1088" i="62917"/>
  <c r="G1088" i="62917" s="1"/>
  <c r="F1089" i="62917"/>
  <c r="G1089" i="62917" s="1"/>
  <c r="F1090" i="62917"/>
  <c r="G1090" i="62917" s="1"/>
  <c r="F1091" i="62917"/>
  <c r="G1091" i="62917" s="1"/>
  <c r="F1092" i="62917"/>
  <c r="G1092" i="62917" s="1"/>
  <c r="F1093" i="62917"/>
  <c r="G1093" i="62917" s="1"/>
  <c r="F1094" i="62917"/>
  <c r="G1094" i="62917" s="1"/>
  <c r="F1095" i="62917"/>
  <c r="G1095" i="62917" s="1"/>
  <c r="F1096" i="62917"/>
  <c r="G1096" i="62917" s="1"/>
  <c r="F1097" i="62917"/>
  <c r="G1097" i="62917" s="1"/>
  <c r="F1098" i="62917"/>
  <c r="G1098" i="62917" s="1"/>
  <c r="F1099" i="62917"/>
  <c r="G1099" i="62917" s="1"/>
  <c r="F1100" i="62917"/>
  <c r="G1100" i="62917" s="1"/>
  <c r="F1101" i="62917"/>
  <c r="G1101" i="62917" s="1"/>
  <c r="F1102" i="62917"/>
  <c r="G1102" i="62917" s="1"/>
  <c r="F1103" i="62917"/>
  <c r="G1103" i="62917" s="1"/>
  <c r="F1104" i="62917"/>
  <c r="G1104" i="62917" s="1"/>
  <c r="F1105" i="62917"/>
  <c r="G1105" i="62917" s="1"/>
  <c r="F1106" i="62917"/>
  <c r="G1106" i="62917" s="1"/>
  <c r="F1107" i="62917"/>
  <c r="G1107" i="62917" s="1"/>
  <c r="F1108" i="62917"/>
  <c r="G1108" i="62917" s="1"/>
  <c r="F1109" i="62917"/>
  <c r="G1109" i="62917" s="1"/>
  <c r="F1110" i="62917"/>
  <c r="G1110" i="62917" s="1"/>
  <c r="F1111" i="62917"/>
  <c r="G1111" i="62917" s="1"/>
  <c r="F1112" i="62917"/>
  <c r="G1112" i="62917" s="1"/>
  <c r="F1113" i="62917"/>
  <c r="G1113" i="62917" s="1"/>
  <c r="F1114" i="62917"/>
  <c r="G1114" i="62917" s="1"/>
  <c r="F1115" i="62917"/>
  <c r="G1115" i="62917" s="1"/>
  <c r="F1116" i="62917"/>
  <c r="G1116" i="62917" s="1"/>
  <c r="F1117" i="62917"/>
  <c r="G1117" i="62917" s="1"/>
  <c r="F1118" i="62917"/>
  <c r="G1118" i="62917" s="1"/>
  <c r="F1119" i="62917"/>
  <c r="G1119" i="62917" s="1"/>
  <c r="F1120" i="62917"/>
  <c r="G1120" i="62917" s="1"/>
  <c r="F1121" i="62917"/>
  <c r="G1121" i="62917" s="1"/>
  <c r="F1122" i="62917"/>
  <c r="G1122" i="62917" s="1"/>
  <c r="F1123" i="62917"/>
  <c r="G1123" i="62917" s="1"/>
  <c r="F1124" i="62917"/>
  <c r="G1124" i="62917" s="1"/>
  <c r="F1125" i="62917"/>
  <c r="G1125" i="62917" s="1"/>
  <c r="F1126" i="62917"/>
  <c r="G1126" i="62917" s="1"/>
  <c r="F1127" i="62917"/>
  <c r="G1127" i="62917" s="1"/>
  <c r="F1128" i="62917"/>
  <c r="G1128" i="62917" s="1"/>
  <c r="F1129" i="62917"/>
  <c r="G1129" i="62917" s="1"/>
  <c r="F1130" i="62917"/>
  <c r="G1130" i="62917" s="1"/>
  <c r="F1131" i="62917"/>
  <c r="G1131" i="62917" s="1"/>
  <c r="F1132" i="62917"/>
  <c r="G1132" i="62917" s="1"/>
  <c r="F1133" i="62917"/>
  <c r="G1133" i="62917" s="1"/>
  <c r="F1134" i="62917"/>
  <c r="G1134" i="62917" s="1"/>
  <c r="F1135" i="62917"/>
  <c r="G1135" i="62917" s="1"/>
  <c r="F1136" i="62917"/>
  <c r="G1136" i="62917" s="1"/>
  <c r="F1137" i="62917"/>
  <c r="G1137" i="62917" s="1"/>
  <c r="F1138" i="62917"/>
  <c r="G1138" i="62917" s="1"/>
  <c r="F1139" i="62917"/>
  <c r="G1139" i="62917" s="1"/>
  <c r="F1140" i="62917"/>
  <c r="G1140" i="62917" s="1"/>
  <c r="F1141" i="62917"/>
  <c r="G1141" i="62917" s="1"/>
  <c r="F1142" i="62917"/>
  <c r="G1142" i="62917" s="1"/>
  <c r="F1143" i="62917"/>
  <c r="G1143" i="62917" s="1"/>
  <c r="F1144" i="62917"/>
  <c r="G1144" i="62917" s="1"/>
  <c r="F1145" i="62917"/>
  <c r="G1145" i="62917" s="1"/>
  <c r="F1146" i="62917"/>
  <c r="G1146" i="62917" s="1"/>
  <c r="F1147" i="62917"/>
  <c r="G1147" i="62917" s="1"/>
  <c r="F1148" i="62917"/>
  <c r="G1148" i="62917" s="1"/>
  <c r="F1149" i="62917"/>
  <c r="G1149" i="62917" s="1"/>
  <c r="F1150" i="62917"/>
  <c r="G1150" i="62917" s="1"/>
  <c r="F1151" i="62917"/>
  <c r="G1151" i="62917" s="1"/>
  <c r="F1152" i="62917"/>
  <c r="G1152" i="62917" s="1"/>
  <c r="F1153" i="62917"/>
  <c r="G1153" i="62917" s="1"/>
  <c r="F1154" i="62917"/>
  <c r="G1154" i="62917" s="1"/>
  <c r="F1155" i="62917"/>
  <c r="G1155" i="62917" s="1"/>
  <c r="F1156" i="62917"/>
  <c r="G1156" i="62917" s="1"/>
  <c r="F1157" i="62917"/>
  <c r="G1157" i="62917" s="1"/>
  <c r="F1158" i="62917"/>
  <c r="G1158" i="62917" s="1"/>
  <c r="F1159" i="62917"/>
  <c r="G1159" i="62917" s="1"/>
  <c r="F1160" i="62917"/>
  <c r="G1160" i="62917" s="1"/>
  <c r="F1161" i="62917"/>
  <c r="G1161" i="62917" s="1"/>
  <c r="F1162" i="62917"/>
  <c r="G1162" i="62917" s="1"/>
  <c r="F1163" i="62917"/>
  <c r="G1163" i="62917" s="1"/>
  <c r="F1164" i="62917"/>
  <c r="G1164" i="62917" s="1"/>
  <c r="F1165" i="62917"/>
  <c r="G1165" i="62917" s="1"/>
  <c r="F1166" i="62917"/>
  <c r="G1166" i="62917" s="1"/>
  <c r="F1167" i="62917"/>
  <c r="G1167" i="62917" s="1"/>
  <c r="F1168" i="62917"/>
  <c r="G1168" i="62917" s="1"/>
  <c r="F1169" i="62917"/>
  <c r="G1169" i="62917" s="1"/>
  <c r="F1170" i="62917"/>
  <c r="G1170" i="62917" s="1"/>
  <c r="F1171" i="62917"/>
  <c r="G1171" i="62917" s="1"/>
  <c r="F1172" i="62917"/>
  <c r="G1172" i="62917" s="1"/>
  <c r="F1173" i="62917"/>
  <c r="G1173" i="62917" s="1"/>
  <c r="F1174" i="62917"/>
  <c r="G1174" i="62917" s="1"/>
  <c r="F1175" i="62917"/>
  <c r="G1175" i="62917" s="1"/>
  <c r="F1176" i="62917"/>
  <c r="G1176" i="62917" s="1"/>
  <c r="F1177" i="62917"/>
  <c r="G1177" i="62917" s="1"/>
  <c r="F1178" i="62917"/>
  <c r="G1178" i="62917" s="1"/>
  <c r="F1179" i="62917"/>
  <c r="G1179" i="62917" s="1"/>
  <c r="F1180" i="62917"/>
  <c r="G1180" i="62917" s="1"/>
  <c r="F1181" i="62917"/>
  <c r="G1181" i="62917" s="1"/>
  <c r="F1182" i="62917"/>
  <c r="G1182" i="62917" s="1"/>
  <c r="F1183" i="62917"/>
  <c r="G1183" i="62917" s="1"/>
  <c r="F1184" i="62917"/>
  <c r="G1184" i="62917" s="1"/>
  <c r="F1185" i="62917"/>
  <c r="G1185" i="62917" s="1"/>
  <c r="F1186" i="62917"/>
  <c r="G1186" i="62917" s="1"/>
  <c r="F1187" i="62917"/>
  <c r="G1187" i="62917" s="1"/>
  <c r="F1188" i="62917"/>
  <c r="G1188" i="62917" s="1"/>
  <c r="F1189" i="62917"/>
  <c r="G1189" i="62917" s="1"/>
  <c r="F1190" i="62917"/>
  <c r="G1190" i="62917" s="1"/>
  <c r="F1191" i="62917"/>
  <c r="G1191" i="62917" s="1"/>
  <c r="F1192" i="62917"/>
  <c r="G1192" i="62917" s="1"/>
  <c r="F1193" i="62917"/>
  <c r="G1193" i="62917" s="1"/>
  <c r="F1194" i="62917"/>
  <c r="G1194" i="62917" s="1"/>
  <c r="F1195" i="62917"/>
  <c r="G1195" i="62917" s="1"/>
  <c r="F1196" i="62917"/>
  <c r="G1196" i="62917" s="1"/>
  <c r="F1197" i="62917"/>
  <c r="G1197" i="62917" s="1"/>
  <c r="F1198" i="62917"/>
  <c r="G1198" i="62917" s="1"/>
  <c r="F1199" i="62917"/>
  <c r="G1199" i="62917" s="1"/>
  <c r="F1200" i="62917"/>
  <c r="G1200" i="62917" s="1"/>
  <c r="F1201" i="62917"/>
  <c r="G1201" i="62917" s="1"/>
  <c r="F1202" i="62917"/>
  <c r="G1202" i="62917" s="1"/>
  <c r="F1203" i="62917"/>
  <c r="G1203" i="62917" s="1"/>
  <c r="F1204" i="62917"/>
  <c r="G1204" i="62917" s="1"/>
  <c r="F1205" i="62917"/>
  <c r="G1205" i="62917" s="1"/>
  <c r="F1206" i="62917"/>
  <c r="G1206" i="62917" s="1"/>
  <c r="F1207" i="62917"/>
  <c r="G1207" i="62917" s="1"/>
  <c r="F1208" i="62917"/>
  <c r="G1208" i="62917" s="1"/>
  <c r="F1209" i="62917"/>
  <c r="G1209" i="62917" s="1"/>
  <c r="F1210" i="62917"/>
  <c r="G1210" i="62917" s="1"/>
  <c r="F1211" i="62917"/>
  <c r="G1211" i="62917" s="1"/>
  <c r="F1212" i="62917"/>
  <c r="G1212" i="62917" s="1"/>
  <c r="F1213" i="62917"/>
  <c r="G1213" i="62917" s="1"/>
  <c r="F1214" i="62917"/>
  <c r="G1214" i="62917" s="1"/>
  <c r="F1215" i="62917"/>
  <c r="G1215" i="62917" s="1"/>
  <c r="F1216" i="62917"/>
  <c r="G1216" i="62917" s="1"/>
  <c r="F1217" i="62917"/>
  <c r="G1217" i="62917" s="1"/>
  <c r="F1218" i="62917"/>
  <c r="G1218" i="62917" s="1"/>
  <c r="F1219" i="62917"/>
  <c r="G1219" i="62917" s="1"/>
  <c r="F1220" i="62917"/>
  <c r="G1220" i="62917" s="1"/>
  <c r="F1221" i="62917"/>
  <c r="G1221" i="62917" s="1"/>
  <c r="F1222" i="62917"/>
  <c r="G1222" i="62917" s="1"/>
  <c r="F1223" i="62917"/>
  <c r="G1223" i="62917" s="1"/>
  <c r="F1224" i="62917"/>
  <c r="G1224" i="62917" s="1"/>
  <c r="F1225" i="62917"/>
  <c r="G1225" i="62917" s="1"/>
  <c r="F1226" i="62917"/>
  <c r="G1226" i="62917" s="1"/>
  <c r="F1227" i="62917"/>
  <c r="G1227" i="62917" s="1"/>
  <c r="F1228" i="62917"/>
  <c r="G1228" i="62917" s="1"/>
  <c r="F1229" i="62917"/>
  <c r="G1229" i="62917" s="1"/>
  <c r="F1230" i="62917"/>
  <c r="G1230" i="62917" s="1"/>
  <c r="F1231" i="62917"/>
  <c r="G1231" i="62917" s="1"/>
  <c r="F1232" i="62917"/>
  <c r="G1232" i="62917" s="1"/>
  <c r="F1233" i="62917"/>
  <c r="G1233" i="62917" s="1"/>
  <c r="F1234" i="62917"/>
  <c r="G1234" i="62917" s="1"/>
  <c r="F1235" i="62917"/>
  <c r="G1235" i="62917" s="1"/>
  <c r="F1236" i="62917"/>
  <c r="G1236" i="62917" s="1"/>
  <c r="F1237" i="62917"/>
  <c r="G1237" i="62917" s="1"/>
  <c r="F1238" i="62917"/>
  <c r="G1238" i="62917" s="1"/>
  <c r="F1239" i="62917"/>
  <c r="G1239" i="62917" s="1"/>
  <c r="F1240" i="62917"/>
  <c r="G1240" i="62917" s="1"/>
  <c r="F1241" i="62917"/>
  <c r="G1241" i="62917" s="1"/>
  <c r="F1242" i="62917"/>
  <c r="G1242" i="62917" s="1"/>
  <c r="F1243" i="62917"/>
  <c r="G1243" i="62917" s="1"/>
  <c r="F1244" i="62917"/>
  <c r="G1244" i="62917" s="1"/>
  <c r="F1245" i="62917"/>
  <c r="G1245" i="62917" s="1"/>
  <c r="F1246" i="62917"/>
  <c r="G1246" i="62917" s="1"/>
  <c r="F1247" i="62917"/>
  <c r="G1247" i="62917" s="1"/>
  <c r="F1248" i="62917"/>
  <c r="G1248" i="62917" s="1"/>
  <c r="F1249" i="62917"/>
  <c r="G1249" i="62917" s="1"/>
  <c r="F1250" i="62917"/>
  <c r="G1250" i="62917" s="1"/>
  <c r="F1251" i="62917"/>
  <c r="G1251" i="62917" s="1"/>
  <c r="F1252" i="62917"/>
  <c r="G1252" i="62917" s="1"/>
  <c r="F1253" i="62917"/>
  <c r="G1253" i="62917" s="1"/>
  <c r="F1254" i="62917"/>
  <c r="G1254" i="62917" s="1"/>
  <c r="F1255" i="62917"/>
  <c r="G1255" i="62917" s="1"/>
  <c r="F1256" i="62917"/>
  <c r="G1256" i="62917" s="1"/>
  <c r="F1257" i="62917"/>
  <c r="G1257" i="62917" s="1"/>
  <c r="F1258" i="62917"/>
  <c r="G1258" i="62917" s="1"/>
  <c r="F1259" i="62917"/>
  <c r="G1259" i="62917" s="1"/>
  <c r="F1260" i="62917"/>
  <c r="G1260" i="62917" s="1"/>
  <c r="F1261" i="62917"/>
  <c r="G1261" i="62917" s="1"/>
  <c r="F1262" i="62917"/>
  <c r="G1262" i="62917" s="1"/>
  <c r="F1263" i="62917"/>
  <c r="G1263" i="62917" s="1"/>
  <c r="F1264" i="62917"/>
  <c r="G1264" i="62917" s="1"/>
  <c r="F1265" i="62917"/>
  <c r="G1265" i="62917" s="1"/>
  <c r="F1266" i="62917"/>
  <c r="G1266" i="62917" s="1"/>
  <c r="F1267" i="62917"/>
  <c r="G1267" i="62917" s="1"/>
  <c r="F1268" i="62917"/>
  <c r="G1268" i="62917" s="1"/>
  <c r="F1269" i="62917"/>
  <c r="G1269" i="62917" s="1"/>
  <c r="F1270" i="62917"/>
  <c r="G1270" i="62917" s="1"/>
  <c r="F1271" i="62917"/>
  <c r="G1271" i="62917" s="1"/>
  <c r="F1272" i="62917"/>
  <c r="G1272" i="62917" s="1"/>
  <c r="F1273" i="62917"/>
  <c r="G1273" i="62917" s="1"/>
  <c r="F1274" i="62917"/>
  <c r="G1274" i="62917" s="1"/>
  <c r="F1275" i="62917"/>
  <c r="G1275" i="62917" s="1"/>
  <c r="F1276" i="62917"/>
  <c r="G1276" i="62917" s="1"/>
  <c r="F1277" i="62917"/>
  <c r="G1277" i="62917" s="1"/>
  <c r="F1278" i="62917"/>
  <c r="G1278" i="62917" s="1"/>
  <c r="F1279" i="62917"/>
  <c r="G1279" i="62917" s="1"/>
  <c r="F1280" i="62917"/>
  <c r="G1280" i="62917" s="1"/>
  <c r="F1281" i="62917"/>
  <c r="G1281" i="62917" s="1"/>
  <c r="F1282" i="62917"/>
  <c r="G1282" i="62917" s="1"/>
  <c r="F1283" i="62917"/>
  <c r="G1283" i="62917" s="1"/>
  <c r="F1284" i="62917"/>
  <c r="G1284" i="62917" s="1"/>
  <c r="F1285" i="62917"/>
  <c r="G1285" i="62917" s="1"/>
  <c r="F1286" i="62917"/>
  <c r="G1286" i="62917" s="1"/>
  <c r="F1287" i="62917"/>
  <c r="G1287" i="62917" s="1"/>
  <c r="F1288" i="62917"/>
  <c r="G1288" i="62917" s="1"/>
  <c r="F1289" i="62917"/>
  <c r="G1289" i="62917" s="1"/>
  <c r="F1290" i="62917"/>
  <c r="G1290" i="62917" s="1"/>
  <c r="F1291" i="62917"/>
  <c r="G1291" i="62917" s="1"/>
  <c r="F1292" i="62917"/>
  <c r="G1292" i="62917" s="1"/>
  <c r="F1293" i="62917"/>
  <c r="G1293" i="62917" s="1"/>
  <c r="F1294" i="62917"/>
  <c r="G1294" i="62917" s="1"/>
  <c r="F1295" i="62917"/>
  <c r="G1295" i="62917" s="1"/>
  <c r="F1296" i="62917"/>
  <c r="G1296" i="62917" s="1"/>
  <c r="F1297" i="62917"/>
  <c r="G1297" i="62917" s="1"/>
  <c r="F1298" i="62917"/>
  <c r="G1298" i="62917" s="1"/>
  <c r="F1299" i="62917"/>
  <c r="G1299" i="62917" s="1"/>
  <c r="F1300" i="62917"/>
  <c r="G1300" i="62917" s="1"/>
  <c r="F1301" i="62917"/>
  <c r="G1301" i="62917" s="1"/>
  <c r="F1302" i="62917"/>
  <c r="G1302" i="62917" s="1"/>
  <c r="F1303" i="62917"/>
  <c r="G1303" i="62917" s="1"/>
  <c r="F1304" i="62917"/>
  <c r="G1304" i="62917" s="1"/>
  <c r="F1305" i="62917"/>
  <c r="G1305" i="62917" s="1"/>
  <c r="F1306" i="62917"/>
  <c r="G1306" i="62917" s="1"/>
  <c r="F1307" i="62917"/>
  <c r="G1307" i="62917" s="1"/>
  <c r="F1308" i="62917"/>
  <c r="G1308" i="62917" s="1"/>
  <c r="F1309" i="62917"/>
  <c r="G1309" i="62917" s="1"/>
  <c r="F1310" i="62917"/>
  <c r="G1310" i="62917" s="1"/>
  <c r="F1311" i="62917"/>
  <c r="G1311" i="62917" s="1"/>
  <c r="F1312" i="62917"/>
  <c r="G1312" i="62917" s="1"/>
  <c r="F1313" i="62917"/>
  <c r="G1313" i="62917" s="1"/>
  <c r="F1314" i="62917"/>
  <c r="G1314" i="62917" s="1"/>
  <c r="F1315" i="62917"/>
  <c r="G1315" i="62917" s="1"/>
  <c r="F1316" i="62917"/>
  <c r="G1316" i="62917" s="1"/>
  <c r="F1317" i="62917"/>
  <c r="G1317" i="62917" s="1"/>
  <c r="F1318" i="62917"/>
  <c r="G1318" i="62917" s="1"/>
  <c r="F1319" i="62917"/>
  <c r="G1319" i="62917" s="1"/>
  <c r="F1320" i="62917"/>
  <c r="G1320" i="62917" s="1"/>
  <c r="F1321" i="62917"/>
  <c r="G1321" i="62917" s="1"/>
  <c r="F1322" i="62917"/>
  <c r="G1322" i="62917" s="1"/>
  <c r="F1323" i="62917"/>
  <c r="G1323" i="62917" s="1"/>
  <c r="F1324" i="62917"/>
  <c r="G1324" i="62917" s="1"/>
  <c r="F1325" i="62917"/>
  <c r="G1325" i="62917" s="1"/>
  <c r="F1326" i="62917"/>
  <c r="G1326" i="62917" s="1"/>
  <c r="F1327" i="62917"/>
  <c r="G1327" i="62917" s="1"/>
  <c r="F1328" i="62917"/>
  <c r="G1328" i="62917" s="1"/>
  <c r="F1329" i="62917"/>
  <c r="G1329" i="62917" s="1"/>
  <c r="F1330" i="62917"/>
  <c r="G1330" i="62917" s="1"/>
  <c r="F1331" i="62917"/>
  <c r="G1331" i="62917" s="1"/>
  <c r="F1332" i="62917"/>
  <c r="G1332" i="62917" s="1"/>
  <c r="F1333" i="62917"/>
  <c r="G1333" i="62917" s="1"/>
  <c r="F1334" i="62917"/>
  <c r="G1334" i="62917" s="1"/>
  <c r="F1335" i="62917"/>
  <c r="G1335" i="62917" s="1"/>
  <c r="F1336" i="62917"/>
  <c r="G1336" i="62917" s="1"/>
  <c r="F1337" i="62917"/>
  <c r="G1337" i="62917" s="1"/>
  <c r="F1338" i="62917"/>
  <c r="G1338" i="62917" s="1"/>
  <c r="F1339" i="62917"/>
  <c r="G1339" i="62917" s="1"/>
  <c r="F1340" i="62917"/>
  <c r="G1340" i="62917" s="1"/>
  <c r="F1341" i="62917"/>
  <c r="G1341" i="62917" s="1"/>
  <c r="F1342" i="62917"/>
  <c r="G1342" i="62917" s="1"/>
  <c r="F1343" i="62917"/>
  <c r="G1343" i="62917" s="1"/>
  <c r="F1344" i="62917"/>
  <c r="G1344" i="62917" s="1"/>
  <c r="F1345" i="62917"/>
  <c r="G1345" i="62917" s="1"/>
  <c r="F1346" i="62917"/>
  <c r="G1346" i="62917" s="1"/>
  <c r="F1347" i="62917"/>
  <c r="G1347" i="62917" s="1"/>
  <c r="F1348" i="62917"/>
  <c r="G1348" i="62917" s="1"/>
  <c r="F1349" i="62917"/>
  <c r="G1349" i="62917" s="1"/>
  <c r="F1350" i="62917"/>
  <c r="G1350" i="62917" s="1"/>
  <c r="F1351" i="62917"/>
  <c r="G1351" i="62917" s="1"/>
  <c r="F1352" i="62917"/>
  <c r="G1352" i="62917" s="1"/>
  <c r="F1353" i="62917"/>
  <c r="G1353" i="62917" s="1"/>
  <c r="F1354" i="62917"/>
  <c r="G1354" i="62917" s="1"/>
  <c r="F1355" i="62917"/>
  <c r="G1355" i="62917" s="1"/>
  <c r="F1356" i="62917"/>
  <c r="G1356" i="62917" s="1"/>
  <c r="F1357" i="62917"/>
  <c r="G1357" i="62917" s="1"/>
  <c r="F1358" i="62917"/>
  <c r="G1358" i="62917" s="1"/>
  <c r="F1359" i="62917"/>
  <c r="G1359" i="62917" s="1"/>
  <c r="F1360" i="62917"/>
  <c r="G1360" i="62917" s="1"/>
  <c r="F1361" i="62917"/>
  <c r="G1361" i="62917" s="1"/>
  <c r="F1362" i="62917"/>
  <c r="G1362" i="62917" s="1"/>
  <c r="F1363" i="62917"/>
  <c r="G1363" i="62917" s="1"/>
  <c r="F1364" i="62917"/>
  <c r="G1364" i="62917" s="1"/>
  <c r="F1365" i="62917"/>
  <c r="G1365" i="62917" s="1"/>
  <c r="F1366" i="62917"/>
  <c r="G1366" i="62917" s="1"/>
  <c r="F1367" i="62917"/>
  <c r="G1367" i="62917" s="1"/>
  <c r="F1368" i="62917"/>
  <c r="G1368" i="62917" s="1"/>
  <c r="F1369" i="62917"/>
  <c r="G1369" i="62917" s="1"/>
  <c r="F1370" i="62917"/>
  <c r="G1370" i="62917" s="1"/>
  <c r="F1371" i="62917"/>
  <c r="G1371" i="62917" s="1"/>
  <c r="F1372" i="62917"/>
  <c r="G1372" i="62917" s="1"/>
  <c r="F1373" i="62917"/>
  <c r="G1373" i="62917" s="1"/>
  <c r="F1374" i="62917"/>
  <c r="G1374" i="62917" s="1"/>
  <c r="F1375" i="62917"/>
  <c r="G1375" i="62917" s="1"/>
  <c r="F1376" i="62917"/>
  <c r="G1376" i="62917" s="1"/>
  <c r="F1377" i="62917"/>
  <c r="G1377" i="62917" s="1"/>
  <c r="F1378" i="62917"/>
  <c r="G1378" i="62917" s="1"/>
  <c r="F1379" i="62917"/>
  <c r="G1379" i="62917" s="1"/>
  <c r="F1380" i="62917"/>
  <c r="G1380" i="62917" s="1"/>
  <c r="F1381" i="62917"/>
  <c r="G1381" i="62917" s="1"/>
  <c r="F1382" i="62917"/>
  <c r="G1382" i="62917" s="1"/>
  <c r="F1383" i="62917"/>
  <c r="G1383" i="62917" s="1"/>
  <c r="F1384" i="62917"/>
  <c r="G1384" i="62917" s="1"/>
  <c r="F1385" i="62917"/>
  <c r="G1385" i="62917" s="1"/>
  <c r="F1386" i="62917"/>
  <c r="G1386" i="62917" s="1"/>
  <c r="F1387" i="62917"/>
  <c r="G1387" i="62917" s="1"/>
  <c r="F1388" i="62917"/>
  <c r="G1388" i="62917" s="1"/>
  <c r="F1389" i="62917"/>
  <c r="G1389" i="62917" s="1"/>
  <c r="F1390" i="62917"/>
  <c r="G1390" i="62917" s="1"/>
  <c r="F1391" i="62917"/>
  <c r="G1391" i="62917" s="1"/>
  <c r="F1392" i="62917"/>
  <c r="G1392" i="62917" s="1"/>
  <c r="F1393" i="62917"/>
  <c r="G1393" i="62917" s="1"/>
  <c r="F1394" i="62917"/>
  <c r="G1394" i="62917" s="1"/>
  <c r="F1395" i="62917"/>
  <c r="G1395" i="62917" s="1"/>
  <c r="F1396" i="62917"/>
  <c r="G1396" i="62917" s="1"/>
  <c r="F1397" i="62917"/>
  <c r="G1397" i="62917" s="1"/>
  <c r="F1398" i="62917"/>
  <c r="G1398" i="62917" s="1"/>
  <c r="F1399" i="62917"/>
  <c r="G1399" i="62917" s="1"/>
  <c r="F1400" i="62917"/>
  <c r="G1400" i="62917" s="1"/>
  <c r="F1401" i="62917"/>
  <c r="G1401" i="62917" s="1"/>
  <c r="F1402" i="62917"/>
  <c r="G1402" i="62917" s="1"/>
  <c r="F1403" i="62917"/>
  <c r="G1403" i="62917" s="1"/>
  <c r="F1404" i="62917"/>
  <c r="G1404" i="62917" s="1"/>
  <c r="F1405" i="62917"/>
  <c r="G1405" i="62917" s="1"/>
  <c r="F1406" i="62917"/>
  <c r="G1406" i="62917" s="1"/>
  <c r="F1407" i="62917"/>
  <c r="G1407" i="62917" s="1"/>
  <c r="F1408" i="62917"/>
  <c r="G1408" i="62917" s="1"/>
  <c r="F1409" i="62917"/>
  <c r="G1409" i="62917" s="1"/>
  <c r="F1410" i="62917"/>
  <c r="G1410" i="62917" s="1"/>
  <c r="F1411" i="62917"/>
  <c r="G1411" i="62917" s="1"/>
  <c r="F1412" i="62917"/>
  <c r="G1412" i="62917" s="1"/>
  <c r="F1413" i="62917"/>
  <c r="G1413" i="62917" s="1"/>
  <c r="F1414" i="62917"/>
  <c r="G1414" i="62917" s="1"/>
  <c r="F1415" i="62917"/>
  <c r="G1415" i="62917" s="1"/>
  <c r="F1416" i="62917"/>
  <c r="G1416" i="62917" s="1"/>
  <c r="F1417" i="62917"/>
  <c r="G1417" i="62917" s="1"/>
  <c r="F1418" i="62917"/>
  <c r="G1418" i="62917" s="1"/>
  <c r="F1419" i="62917"/>
  <c r="G1419" i="62917" s="1"/>
  <c r="F1420" i="62917"/>
  <c r="G1420" i="62917" s="1"/>
  <c r="F1421" i="62917"/>
  <c r="G1421" i="62917" s="1"/>
  <c r="F1422" i="62917"/>
  <c r="G1422" i="62917" s="1"/>
  <c r="F1423" i="62917"/>
  <c r="G1423" i="62917" s="1"/>
  <c r="F1424" i="62917"/>
  <c r="G1424" i="62917" s="1"/>
  <c r="F1425" i="62917"/>
  <c r="G1425" i="62917" s="1"/>
  <c r="F1426" i="62917"/>
  <c r="G1426" i="62917" s="1"/>
  <c r="F1427" i="62917"/>
  <c r="G1427" i="62917" s="1"/>
  <c r="F1428" i="62917"/>
  <c r="G1428" i="62917" s="1"/>
  <c r="F1429" i="62917"/>
  <c r="G1429" i="62917" s="1"/>
  <c r="F1430" i="62917"/>
  <c r="G1430" i="62917" s="1"/>
  <c r="F1431" i="62917"/>
  <c r="G1431" i="62917" s="1"/>
  <c r="F1432" i="62917"/>
  <c r="G1432" i="62917" s="1"/>
  <c r="F1433" i="62917"/>
  <c r="G1433" i="62917" s="1"/>
  <c r="F1434" i="62917"/>
  <c r="G1434" i="62917" s="1"/>
  <c r="F1435" i="62917"/>
  <c r="G1435" i="62917" s="1"/>
  <c r="F1436" i="62917"/>
  <c r="G1436" i="62917" s="1"/>
  <c r="F1437" i="62917"/>
  <c r="G1437" i="62917" s="1"/>
  <c r="F1438" i="62917"/>
  <c r="G1438" i="62917" s="1"/>
  <c r="F1439" i="62917"/>
  <c r="G1439" i="62917" s="1"/>
  <c r="F1440" i="62917"/>
  <c r="G1440" i="62917" s="1"/>
  <c r="F1441" i="62917"/>
  <c r="G1441" i="62917" s="1"/>
  <c r="F1442" i="62917"/>
  <c r="G1442" i="62917" s="1"/>
  <c r="F1443" i="62917"/>
  <c r="G1443" i="62917" s="1"/>
  <c r="F1444" i="62917"/>
  <c r="G1444" i="62917" s="1"/>
  <c r="F1445" i="62917"/>
  <c r="G1445" i="62917" s="1"/>
  <c r="F1446" i="62917"/>
  <c r="G1446" i="62917" s="1"/>
  <c r="F1447" i="62917"/>
  <c r="G1447" i="62917" s="1"/>
  <c r="F1448" i="62917"/>
  <c r="G1448" i="62917" s="1"/>
  <c r="F1449" i="62917"/>
  <c r="G1449" i="62917" s="1"/>
  <c r="F1450" i="62917"/>
  <c r="G1450" i="62917" s="1"/>
  <c r="F1451" i="62917"/>
  <c r="G1451" i="62917" s="1"/>
  <c r="F1452" i="62917"/>
  <c r="G1452" i="62917" s="1"/>
  <c r="F1453" i="62917"/>
  <c r="G1453" i="62917" s="1"/>
  <c r="F1454" i="62917"/>
  <c r="G1454" i="62917" s="1"/>
  <c r="F1455" i="62917"/>
  <c r="G1455" i="62917" s="1"/>
  <c r="F1456" i="62917"/>
  <c r="G1456" i="62917" s="1"/>
  <c r="F1457" i="62917"/>
  <c r="G1457" i="62917" s="1"/>
  <c r="F1458" i="62917"/>
  <c r="G1458" i="62917" s="1"/>
  <c r="F1459" i="62917"/>
  <c r="G1459" i="62917" s="1"/>
  <c r="F1460" i="62917"/>
  <c r="G1460" i="62917" s="1"/>
  <c r="F1461" i="62917"/>
  <c r="G1461" i="62917" s="1"/>
  <c r="F1462" i="62917"/>
  <c r="G1462" i="62917" s="1"/>
  <c r="F1463" i="62917"/>
  <c r="G1463" i="62917" s="1"/>
  <c r="F1464" i="62917"/>
  <c r="G1464" i="62917" s="1"/>
  <c r="F1465" i="62917"/>
  <c r="G1465" i="62917" s="1"/>
  <c r="F1466" i="62917"/>
  <c r="G1466" i="62917" s="1"/>
  <c r="F1467" i="62917"/>
  <c r="G1467" i="62917" s="1"/>
  <c r="F1468" i="62917"/>
  <c r="G1468" i="62917" s="1"/>
  <c r="F1469" i="62917"/>
  <c r="G1469" i="62917" s="1"/>
  <c r="F1470" i="62917"/>
  <c r="G1470" i="62917" s="1"/>
  <c r="F1471" i="62917"/>
  <c r="G1471" i="62917" s="1"/>
  <c r="F1472" i="62917"/>
  <c r="G1472" i="62917" s="1"/>
  <c r="F1473" i="62917"/>
  <c r="G1473" i="62917" s="1"/>
  <c r="F1474" i="62917"/>
  <c r="G1474" i="62917" s="1"/>
  <c r="F1475" i="62917"/>
  <c r="G1475" i="62917" s="1"/>
  <c r="F1476" i="62917"/>
  <c r="G1476" i="62917" s="1"/>
  <c r="F1477" i="62917"/>
  <c r="G1477" i="62917" s="1"/>
  <c r="F1478" i="62917"/>
  <c r="G1478" i="62917" s="1"/>
  <c r="F1479" i="62917"/>
  <c r="G1479" i="62917" s="1"/>
  <c r="F1480" i="62917"/>
  <c r="G1480" i="62917" s="1"/>
  <c r="F1481" i="62917"/>
  <c r="G1481" i="62917" s="1"/>
  <c r="F1482" i="62917"/>
  <c r="G1482" i="62917" s="1"/>
  <c r="F1582" i="62917"/>
  <c r="G1582" i="62917" s="1"/>
  <c r="F1583" i="62917"/>
  <c r="G1583" i="62917" s="1"/>
  <c r="F1584" i="62917"/>
  <c r="G1584" i="62917" s="1"/>
  <c r="F1585" i="62917"/>
  <c r="G1585" i="62917" s="1"/>
  <c r="F1586" i="62917"/>
  <c r="G1586" i="62917" s="1"/>
  <c r="F1587" i="62917"/>
  <c r="G1587" i="62917" s="1"/>
  <c r="F1588" i="62917"/>
  <c r="G1588" i="62917" s="1"/>
  <c r="F1589" i="62917"/>
  <c r="G1589" i="62917" s="1"/>
  <c r="F1590" i="62917"/>
  <c r="G1590" i="62917" s="1"/>
  <c r="F1591" i="62917"/>
  <c r="G1591" i="62917" s="1"/>
  <c r="F1592" i="62917"/>
  <c r="G1592" i="62917" s="1"/>
  <c r="F1593" i="62917"/>
  <c r="G1593" i="62917" s="1"/>
  <c r="F1594" i="62917"/>
  <c r="G1594" i="62917" s="1"/>
  <c r="F1595" i="62917"/>
  <c r="G1595" i="62917" s="1"/>
  <c r="F1596" i="62917"/>
  <c r="G1596" i="62917" s="1"/>
  <c r="F1597" i="62917"/>
  <c r="G1597" i="62917" s="1"/>
  <c r="F1598" i="62917"/>
  <c r="G1598" i="62917" s="1"/>
  <c r="F1599" i="62917"/>
  <c r="G1599" i="62917" s="1"/>
  <c r="F1600" i="62917"/>
  <c r="G1600" i="62917" s="1"/>
  <c r="F1601" i="62917"/>
  <c r="G1601" i="62917" s="1"/>
  <c r="F1602" i="62917"/>
  <c r="G1602" i="62917" s="1"/>
  <c r="F1603" i="62917"/>
  <c r="G1603" i="62917" s="1"/>
  <c r="F1604" i="62917"/>
  <c r="G1604" i="62917" s="1"/>
  <c r="F1605" i="62917"/>
  <c r="G1605" i="62917" s="1"/>
  <c r="F1606" i="62917"/>
  <c r="G1606" i="62917" s="1"/>
  <c r="F1607" i="62917"/>
  <c r="G1607" i="62917" s="1"/>
  <c r="F1608" i="62917"/>
  <c r="G1608" i="62917" s="1"/>
  <c r="F1609" i="62917"/>
  <c r="G1609" i="62917" s="1"/>
  <c r="F1610" i="62917"/>
  <c r="G1610" i="62917" s="1"/>
  <c r="B201" i="62909"/>
  <c r="F276" i="62923"/>
  <c r="G276" i="62923" s="1"/>
  <c r="F14" i="62923"/>
  <c r="G14" i="62923" s="1"/>
  <c r="F15" i="62923"/>
  <c r="G15" i="62923" s="1"/>
  <c r="F16" i="62923"/>
  <c r="G16" i="62923" s="1"/>
  <c r="F17" i="62923"/>
  <c r="G17" i="62923" s="1"/>
  <c r="F18" i="62923"/>
  <c r="G18" i="62923" s="1"/>
  <c r="F19" i="62923"/>
  <c r="G19" i="62923" s="1"/>
  <c r="F20" i="62923"/>
  <c r="G20" i="62923" s="1"/>
  <c r="F21" i="62923"/>
  <c r="G21" i="62923" s="1"/>
  <c r="F22" i="62923"/>
  <c r="G22" i="62923" s="1"/>
  <c r="F23" i="62923"/>
  <c r="G23" i="62923" s="1"/>
  <c r="F24" i="62923"/>
  <c r="G24" i="62923" s="1"/>
  <c r="F25" i="62923"/>
  <c r="G25" i="62923" s="1"/>
  <c r="F26" i="62923"/>
  <c r="G26" i="62923" s="1"/>
  <c r="F32" i="62923"/>
  <c r="G32" i="62923" s="1"/>
  <c r="F253" i="62923"/>
  <c r="G253" i="62923" s="1"/>
  <c r="F254" i="62923"/>
  <c r="G254" i="62923" s="1"/>
  <c r="F255" i="62923"/>
  <c r="G255" i="62923" s="1"/>
  <c r="F256" i="62923"/>
  <c r="G256" i="62923" s="1"/>
  <c r="F257" i="62923"/>
  <c r="G257" i="62923" s="1"/>
  <c r="F258" i="62923"/>
  <c r="G258" i="62923" s="1"/>
  <c r="F259" i="62923"/>
  <c r="G259" i="62923" s="1"/>
  <c r="F260" i="62923"/>
  <c r="G260" i="62923" s="1"/>
  <c r="F261" i="62923"/>
  <c r="G261" i="62923" s="1"/>
  <c r="F262" i="62923"/>
  <c r="G262" i="62923" s="1"/>
  <c r="F263" i="62923"/>
  <c r="G263" i="62923" s="1"/>
  <c r="F264" i="62923"/>
  <c r="G264" i="62923" s="1"/>
  <c r="F265" i="62923"/>
  <c r="G265" i="62923" s="1"/>
  <c r="F266" i="62923"/>
  <c r="G266" i="62923" s="1"/>
  <c r="F267" i="62923"/>
  <c r="G267" i="62923" s="1"/>
  <c r="F268" i="62923"/>
  <c r="G268" i="62923" s="1"/>
  <c r="F269" i="62923"/>
  <c r="G269" i="62923" s="1"/>
  <c r="F270" i="62923"/>
  <c r="G270" i="62923" s="1"/>
  <c r="F319" i="62923"/>
  <c r="G319" i="62923" s="1"/>
  <c r="F382" i="62923"/>
  <c r="G382" i="62923" s="1"/>
  <c r="F383" i="62923"/>
  <c r="G383" i="62923" s="1"/>
  <c r="F384" i="62923"/>
  <c r="G384" i="62923" s="1"/>
  <c r="F385" i="62923"/>
  <c r="G385" i="62923" s="1"/>
  <c r="F386" i="62923"/>
  <c r="G386" i="62923" s="1"/>
  <c r="F387" i="62923"/>
  <c r="G387" i="62923" s="1"/>
  <c r="F388" i="62923"/>
  <c r="G388" i="62923" s="1"/>
  <c r="F391" i="62923"/>
  <c r="G391" i="62923" s="1"/>
  <c r="F392" i="62923"/>
  <c r="G392" i="62923" s="1"/>
  <c r="F418" i="62923"/>
  <c r="G418" i="62923" s="1"/>
  <c r="O418" i="62923"/>
  <c r="P418" i="62923" s="1"/>
  <c r="O419" i="62923"/>
  <c r="P419" i="62923" s="1"/>
  <c r="O420" i="62923"/>
  <c r="S420" i="62923" s="1"/>
  <c r="O421" i="62923"/>
  <c r="P421" i="62923" s="1"/>
  <c r="D201" i="62909"/>
  <c r="BD74" i="62905"/>
  <c r="BD75" i="62905"/>
  <c r="BD77" i="62905"/>
  <c r="BD78" i="62905"/>
  <c r="B117" i="62910"/>
  <c r="BD13" i="62905"/>
  <c r="BE13" i="62905"/>
  <c r="BF13" i="62905"/>
  <c r="BG13" i="62905"/>
  <c r="BD14" i="62905"/>
  <c r="BE14" i="62905"/>
  <c r="BF14" i="62905"/>
  <c r="BG14" i="62905"/>
  <c r="BE16" i="62905"/>
  <c r="BF16" i="62905"/>
  <c r="BE19" i="62905"/>
  <c r="BF19" i="62905"/>
  <c r="BG19" i="62905"/>
  <c r="BD20" i="62905"/>
  <c r="BD22" i="62905"/>
  <c r="BE22" i="62905"/>
  <c r="BF22" i="62905"/>
  <c r="BD23" i="62905"/>
  <c r="BE23" i="62905"/>
  <c r="BF23" i="62905"/>
  <c r="BD25" i="62905"/>
  <c r="BE25" i="62905"/>
  <c r="BF25" i="62905"/>
  <c r="BD34" i="62905"/>
  <c r="BE34" i="62905"/>
  <c r="BF34" i="62905"/>
  <c r="BG34" i="62905"/>
  <c r="BD35" i="62905"/>
  <c r="BE35" i="62905"/>
  <c r="BF35" i="62905"/>
  <c r="BG35" i="62905"/>
  <c r="BD37" i="62905"/>
  <c r="BE37" i="62905"/>
  <c r="BD38" i="62905"/>
  <c r="BE38" i="62905"/>
  <c r="B117" i="62892"/>
  <c r="B159" i="62909"/>
  <c r="D159" i="62909"/>
  <c r="AZ53" i="2"/>
  <c r="AZ57" i="2"/>
  <c r="B95" i="62910"/>
  <c r="B95" i="62892"/>
  <c r="B96" i="62892"/>
  <c r="AZ73" i="2"/>
  <c r="AZ77" i="2"/>
  <c r="B97" i="62892"/>
  <c r="AZ85" i="2"/>
  <c r="AZ86" i="2"/>
  <c r="B98" i="62892"/>
  <c r="B99" i="62892"/>
  <c r="AZ167" i="2"/>
  <c r="G179" i="2"/>
  <c r="H179" i="2" s="1"/>
  <c r="AA179" i="2" s="1"/>
  <c r="G180" i="2"/>
  <c r="H180" i="2" s="1"/>
  <c r="D180" i="2" s="1"/>
  <c r="G181" i="2"/>
  <c r="H181" i="2" s="1"/>
  <c r="G182" i="2"/>
  <c r="H182" i="2" s="1"/>
  <c r="D182" i="2" s="1"/>
  <c r="F95" i="62918"/>
  <c r="G95" i="62918" s="1"/>
  <c r="F72" i="62918"/>
  <c r="E72" i="62918" s="1"/>
  <c r="D72" i="62918" s="1"/>
  <c r="C72" i="62918" s="1"/>
  <c r="F73" i="62918"/>
  <c r="G73" i="62918" s="1"/>
  <c r="F74" i="62918"/>
  <c r="F75" i="62918"/>
  <c r="G75" i="62918" s="1"/>
  <c r="F76" i="62918"/>
  <c r="F77" i="62918"/>
  <c r="G77" i="62918" s="1"/>
  <c r="F78" i="62918"/>
  <c r="F79" i="62918"/>
  <c r="G79" i="62918" s="1"/>
  <c r="F89" i="62918"/>
  <c r="G89" i="62918" s="1"/>
  <c r="F90" i="62918"/>
  <c r="G90" i="62918" s="1"/>
  <c r="F91" i="62918"/>
  <c r="G91" i="62918" s="1"/>
  <c r="F92" i="62918"/>
  <c r="G92" i="62918" s="1"/>
  <c r="F96" i="62918"/>
  <c r="F97" i="62918"/>
  <c r="F98" i="62918"/>
  <c r="G98" i="62918" s="1"/>
  <c r="F99" i="62918"/>
  <c r="G99" i="62918" s="1"/>
  <c r="F100" i="62918"/>
  <c r="G100" i="62918" s="1"/>
  <c r="F101" i="62918"/>
  <c r="G101" i="62918" s="1"/>
  <c r="F102" i="62918"/>
  <c r="F103" i="62918"/>
  <c r="G103" i="62918" s="1"/>
  <c r="F104" i="62918"/>
  <c r="G104" i="62918" s="1"/>
  <c r="F105" i="62918"/>
  <c r="G105" i="62918" s="1"/>
  <c r="F106" i="62918"/>
  <c r="F107" i="62918"/>
  <c r="G107" i="62918" s="1"/>
  <c r="F108" i="62918"/>
  <c r="G108" i="62918" s="1"/>
  <c r="F109" i="62918"/>
  <c r="G109" i="62918" s="1"/>
  <c r="F110" i="62918"/>
  <c r="F111" i="62918"/>
  <c r="G111" i="62918" s="1"/>
  <c r="F112" i="62918"/>
  <c r="G112" i="62918" s="1"/>
  <c r="F113" i="62918"/>
  <c r="G113" i="62918" s="1"/>
  <c r="F114" i="62918"/>
  <c r="F115" i="62918"/>
  <c r="G115" i="62918" s="1"/>
  <c r="F116" i="62918"/>
  <c r="G116" i="62918" s="1"/>
  <c r="F117" i="62918"/>
  <c r="G117" i="62918" s="1"/>
  <c r="F118" i="62918"/>
  <c r="F119" i="62918"/>
  <c r="G119" i="62918" s="1"/>
  <c r="F120" i="62918"/>
  <c r="G120" i="62918" s="1"/>
  <c r="F121" i="62918"/>
  <c r="G121" i="62918" s="1"/>
  <c r="F122" i="62918"/>
  <c r="F123" i="62918"/>
  <c r="G123" i="62918" s="1"/>
  <c r="F124" i="62918"/>
  <c r="G124" i="62918" s="1"/>
  <c r="F127" i="62918"/>
  <c r="G127" i="62918" s="1"/>
  <c r="F126" i="62918"/>
  <c r="G126" i="62918" s="1"/>
  <c r="AZ179" i="2"/>
  <c r="BA179" i="2" s="1"/>
  <c r="AZ180" i="2"/>
  <c r="BA180" i="2" s="1"/>
  <c r="AZ181" i="2"/>
  <c r="BA181" i="2" s="1"/>
  <c r="AZ182" i="2"/>
  <c r="BA182" i="2" s="1"/>
  <c r="AZ184" i="2"/>
  <c r="BA184" i="2" s="1"/>
  <c r="AZ185" i="2"/>
  <c r="BA185" i="2" s="1"/>
  <c r="AZ186" i="2"/>
  <c r="BA186" i="2" s="1"/>
  <c r="AZ194" i="2"/>
  <c r="BA194" i="2" s="1"/>
  <c r="AZ195" i="2"/>
  <c r="BA195" i="2" s="1"/>
  <c r="AZ207" i="2"/>
  <c r="B63" i="62909"/>
  <c r="F13" i="62919"/>
  <c r="F14" i="62919"/>
  <c r="G14" i="62919" s="1"/>
  <c r="F15" i="62919"/>
  <c r="G15" i="62919" s="1"/>
  <c r="F16" i="62919"/>
  <c r="G16" i="62919" s="1"/>
  <c r="F17" i="62919"/>
  <c r="G17" i="62919" s="1"/>
  <c r="F18" i="62919"/>
  <c r="G18" i="62919" s="1"/>
  <c r="F19" i="62919"/>
  <c r="G19" i="62919" s="1"/>
  <c r="F20" i="62919"/>
  <c r="G20" i="62919" s="1"/>
  <c r="F21" i="62919"/>
  <c r="G21" i="62919" s="1"/>
  <c r="F22" i="62919"/>
  <c r="G22" i="62919" s="1"/>
  <c r="F23" i="62919"/>
  <c r="G23" i="62919" s="1"/>
  <c r="F24" i="62919"/>
  <c r="G24" i="62919" s="1"/>
  <c r="F25" i="62919"/>
  <c r="G25" i="62919" s="1"/>
  <c r="F26" i="62919"/>
  <c r="G26" i="62919" s="1"/>
  <c r="F27" i="62919"/>
  <c r="G27" i="62919" s="1"/>
  <c r="F28" i="62919"/>
  <c r="G28" i="62919" s="1"/>
  <c r="F29" i="62919"/>
  <c r="G29" i="62919" s="1"/>
  <c r="F35" i="62919"/>
  <c r="G35" i="62919" s="1"/>
  <c r="F36" i="62919"/>
  <c r="G36" i="62919" s="1"/>
  <c r="F37" i="62919"/>
  <c r="G37" i="62919" s="1"/>
  <c r="P37" i="62919"/>
  <c r="F38" i="62919"/>
  <c r="P38" i="62919"/>
  <c r="F39" i="62919"/>
  <c r="G39" i="62919" s="1"/>
  <c r="F40" i="62919"/>
  <c r="G40" i="62919" s="1"/>
  <c r="F41" i="62919"/>
  <c r="G41" i="62919" s="1"/>
  <c r="F42" i="62919"/>
  <c r="G42" i="62919" s="1"/>
  <c r="F43" i="62919"/>
  <c r="G43" i="62919" s="1"/>
  <c r="F44" i="62919"/>
  <c r="G44" i="62919" s="1"/>
  <c r="F45" i="62919"/>
  <c r="G45" i="62919" s="1"/>
  <c r="F46" i="62919"/>
  <c r="G46" i="62919" s="1"/>
  <c r="F47" i="62919"/>
  <c r="G47" i="62919" s="1"/>
  <c r="F48" i="62919"/>
  <c r="G48" i="62919" s="1"/>
  <c r="F49" i="62919"/>
  <c r="G49" i="62919" s="1"/>
  <c r="F55" i="62919"/>
  <c r="G55" i="62919" s="1"/>
  <c r="F56" i="62919"/>
  <c r="G56" i="62919" s="1"/>
  <c r="F57" i="62919"/>
  <c r="G57" i="62919" s="1"/>
  <c r="F58" i="62919"/>
  <c r="G58" i="62919" s="1"/>
  <c r="F59" i="62919"/>
  <c r="G59" i="62919" s="1"/>
  <c r="F60" i="62919"/>
  <c r="G60" i="62919" s="1"/>
  <c r="F61" i="62919"/>
  <c r="G61" i="62919" s="1"/>
  <c r="F62" i="62919"/>
  <c r="G62" i="62919" s="1"/>
  <c r="F63" i="62919"/>
  <c r="G63" i="62919" s="1"/>
  <c r="F64" i="62919"/>
  <c r="G64" i="62919" s="1"/>
  <c r="F65" i="62919"/>
  <c r="G65" i="62919" s="1"/>
  <c r="F66" i="62919"/>
  <c r="G66" i="62919" s="1"/>
  <c r="F67" i="62919"/>
  <c r="G67" i="62919" s="1"/>
  <c r="F68" i="62919"/>
  <c r="G68" i="62919" s="1"/>
  <c r="F69" i="62919"/>
  <c r="G69" i="62919" s="1"/>
  <c r="F70" i="62919"/>
  <c r="G70" i="62919" s="1"/>
  <c r="F71" i="62919"/>
  <c r="G71" i="62919" s="1"/>
  <c r="F72" i="62919"/>
  <c r="G72" i="62919" s="1"/>
  <c r="F73" i="62919"/>
  <c r="G73" i="62919" s="1"/>
  <c r="F74" i="62919"/>
  <c r="G74" i="62919" s="1"/>
  <c r="F75" i="62919"/>
  <c r="G75" i="62919" s="1"/>
  <c r="F76" i="62919"/>
  <c r="G76" i="62919" s="1"/>
  <c r="O93" i="62919"/>
  <c r="O94" i="62919"/>
  <c r="G69" i="11" s="1"/>
  <c r="H69" i="11" s="1"/>
  <c r="F102" i="62919"/>
  <c r="G102" i="62919" s="1"/>
  <c r="F121" i="62919"/>
  <c r="E121" i="62919" s="1"/>
  <c r="F169" i="62919"/>
  <c r="G169" i="62919" s="1"/>
  <c r="F217" i="62919"/>
  <c r="F404" i="62919"/>
  <c r="F405" i="62919"/>
  <c r="G405" i="62919" s="1"/>
  <c r="F406" i="62919"/>
  <c r="G406" i="62919" s="1"/>
  <c r="F407" i="62919"/>
  <c r="G407" i="62919" s="1"/>
  <c r="F408" i="62919"/>
  <c r="G408" i="62919" s="1"/>
  <c r="F625" i="62919"/>
  <c r="G625" i="62919" s="1"/>
  <c r="F862" i="62919"/>
  <c r="G862" i="62919" s="1"/>
  <c r="F863" i="62919"/>
  <c r="G863" i="62919" s="1"/>
  <c r="F864" i="62919"/>
  <c r="G864" i="62919" s="1"/>
  <c r="F865" i="62919"/>
  <c r="G865" i="62919" s="1"/>
  <c r="F866" i="62919"/>
  <c r="G866" i="62919" s="1"/>
  <c r="F867" i="62919"/>
  <c r="G867" i="62919" s="1"/>
  <c r="F868" i="62919"/>
  <c r="G868" i="62919" s="1"/>
  <c r="F869" i="62919"/>
  <c r="G869" i="62919" s="1"/>
  <c r="F870" i="62919"/>
  <c r="G870" i="62919" s="1"/>
  <c r="F871" i="62919"/>
  <c r="G871" i="62919" s="1"/>
  <c r="F872" i="62919"/>
  <c r="G872" i="62919" s="1"/>
  <c r="F873" i="62919"/>
  <c r="G873" i="62919" s="1"/>
  <c r="F874" i="62919"/>
  <c r="G874" i="62919" s="1"/>
  <c r="F875" i="62919"/>
  <c r="G875" i="62919" s="1"/>
  <c r="F876" i="62919"/>
  <c r="G876" i="62919" s="1"/>
  <c r="F877" i="62919"/>
  <c r="G877" i="62919" s="1"/>
  <c r="F878" i="62919"/>
  <c r="G878" i="62919" s="1"/>
  <c r="F879" i="62919"/>
  <c r="G879" i="62919" s="1"/>
  <c r="F880" i="62919"/>
  <c r="G880" i="62919" s="1"/>
  <c r="F881" i="62919"/>
  <c r="G881" i="62919" s="1"/>
  <c r="F882" i="62919"/>
  <c r="G882" i="62919" s="1"/>
  <c r="F883" i="62919"/>
  <c r="G883" i="62919" s="1"/>
  <c r="F884" i="62919"/>
  <c r="G884" i="62919" s="1"/>
  <c r="F885" i="62919"/>
  <c r="G885" i="62919" s="1"/>
  <c r="F886" i="62919"/>
  <c r="G886" i="62919" s="1"/>
  <c r="F887" i="62919"/>
  <c r="G887" i="62919" s="1"/>
  <c r="F888" i="62919"/>
  <c r="G888" i="62919" s="1"/>
  <c r="F889" i="62919"/>
  <c r="G889" i="62919" s="1"/>
  <c r="F890" i="62919"/>
  <c r="G890" i="62919" s="1"/>
  <c r="F893" i="62919"/>
  <c r="G893" i="62919" s="1"/>
  <c r="F894" i="62919"/>
  <c r="G894" i="62919" s="1"/>
  <c r="F895" i="62919"/>
  <c r="G895" i="62919" s="1"/>
  <c r="F896" i="62919"/>
  <c r="G896" i="62919" s="1"/>
  <c r="F897" i="62919"/>
  <c r="G897" i="62919" s="1"/>
  <c r="F898" i="62919"/>
  <c r="G898" i="62919" s="1"/>
  <c r="F899" i="62919"/>
  <c r="G899" i="62919" s="1"/>
  <c r="F900" i="62919"/>
  <c r="G900" i="62919" s="1"/>
  <c r="F901" i="62919"/>
  <c r="G901" i="62919" s="1"/>
  <c r="F902" i="62919"/>
  <c r="G902" i="62919" s="1"/>
  <c r="F903" i="62919"/>
  <c r="G903" i="62919" s="1"/>
  <c r="F904" i="62919"/>
  <c r="G904" i="62919" s="1"/>
  <c r="F905" i="62919"/>
  <c r="G905" i="62919" s="1"/>
  <c r="F906" i="62919"/>
  <c r="G906" i="62919" s="1"/>
  <c r="F907" i="62919"/>
  <c r="G907" i="62919" s="1"/>
  <c r="F908" i="62919"/>
  <c r="G908" i="62919" s="1"/>
  <c r="F909" i="62919"/>
  <c r="G909" i="62919" s="1"/>
  <c r="F910" i="62919"/>
  <c r="G910" i="62919" s="1"/>
  <c r="F911" i="62919"/>
  <c r="G911" i="62919" s="1"/>
  <c r="F912" i="62919"/>
  <c r="G912" i="62919" s="1"/>
  <c r="F913" i="62919"/>
  <c r="G913" i="62919" s="1"/>
  <c r="F916" i="62919"/>
  <c r="G916" i="62919" s="1"/>
  <c r="F917" i="62919"/>
  <c r="G917" i="62919" s="1"/>
  <c r="F918" i="62919"/>
  <c r="G918" i="62919" s="1"/>
  <c r="F919" i="62919"/>
  <c r="G919" i="62919" s="1"/>
  <c r="F920" i="62919"/>
  <c r="G920" i="62919" s="1"/>
  <c r="F921" i="62919"/>
  <c r="G921" i="62919" s="1"/>
  <c r="F922" i="62919"/>
  <c r="G922" i="62919" s="1"/>
  <c r="F923" i="62919"/>
  <c r="G923" i="62919" s="1"/>
  <c r="F924" i="62919"/>
  <c r="G924" i="62919" s="1"/>
  <c r="F925" i="62919"/>
  <c r="G925" i="62919" s="1"/>
  <c r="F926" i="62919"/>
  <c r="G926" i="62919" s="1"/>
  <c r="F927" i="62919"/>
  <c r="G927" i="62919" s="1"/>
  <c r="F928" i="62919"/>
  <c r="G928" i="62919" s="1"/>
  <c r="F929" i="62919"/>
  <c r="G929" i="62919" s="1"/>
  <c r="F930" i="62919"/>
  <c r="G930" i="62919" s="1"/>
  <c r="F931" i="62919"/>
  <c r="G931" i="62919" s="1"/>
  <c r="F932" i="62919"/>
  <c r="G932" i="62919" s="1"/>
  <c r="F933" i="62919"/>
  <c r="G933" i="62919" s="1"/>
  <c r="F934" i="62919"/>
  <c r="G934" i="62919" s="1"/>
  <c r="F935" i="62919"/>
  <c r="G935" i="62919" s="1"/>
  <c r="F936" i="62919"/>
  <c r="G936" i="62919" s="1"/>
  <c r="F937" i="62919"/>
  <c r="G937" i="62919" s="1"/>
  <c r="F938" i="62919"/>
  <c r="G938" i="62919" s="1"/>
  <c r="F939" i="62919"/>
  <c r="G939" i="62919" s="1"/>
  <c r="F940" i="62919"/>
  <c r="G940" i="62919" s="1"/>
  <c r="F941" i="62919"/>
  <c r="G941" i="62919" s="1"/>
  <c r="F942" i="62919"/>
  <c r="G942" i="62919" s="1"/>
  <c r="F943" i="62919"/>
  <c r="G943" i="62919" s="1"/>
  <c r="F944" i="62919"/>
  <c r="G944" i="62919" s="1"/>
  <c r="F945" i="62919"/>
  <c r="G945" i="62919" s="1"/>
  <c r="F946" i="62919"/>
  <c r="G946" i="62919" s="1"/>
  <c r="F947" i="62919"/>
  <c r="G947" i="62919" s="1"/>
  <c r="F948" i="62919"/>
  <c r="G948" i="62919" s="1"/>
  <c r="F949" i="62919"/>
  <c r="G949" i="62919" s="1"/>
  <c r="F950" i="62919"/>
  <c r="G950" i="62919" s="1"/>
  <c r="F951" i="62919"/>
  <c r="G951" i="62919" s="1"/>
  <c r="F953" i="62919"/>
  <c r="F954" i="62919"/>
  <c r="G954" i="62919" s="1"/>
  <c r="F955" i="62919"/>
  <c r="G955" i="62919" s="1"/>
  <c r="F956" i="62919"/>
  <c r="G956" i="62919" s="1"/>
  <c r="F957" i="62919"/>
  <c r="G957" i="62919" s="1"/>
  <c r="F958" i="62919"/>
  <c r="G958" i="62919" s="1"/>
  <c r="F959" i="62919"/>
  <c r="G959" i="62919" s="1"/>
  <c r="F960" i="62919"/>
  <c r="G960" i="62919" s="1"/>
  <c r="F961" i="62919"/>
  <c r="G961" i="62919" s="1"/>
  <c r="F962" i="62919"/>
  <c r="G962" i="62919" s="1"/>
  <c r="F963" i="62919"/>
  <c r="G963" i="62919" s="1"/>
  <c r="F964" i="62919"/>
  <c r="G964" i="62919" s="1"/>
  <c r="F965" i="62919"/>
  <c r="G965" i="62919" s="1"/>
  <c r="F966" i="62919"/>
  <c r="G966" i="62919" s="1"/>
  <c r="F967" i="62919"/>
  <c r="G967" i="62919" s="1"/>
  <c r="F968" i="62919"/>
  <c r="G968" i="62919" s="1"/>
  <c r="F969" i="62919"/>
  <c r="G969" i="62919" s="1"/>
  <c r="F970" i="62919"/>
  <c r="G970" i="62919" s="1"/>
  <c r="F971" i="62919"/>
  <c r="G971" i="62919" s="1"/>
  <c r="F972" i="62919"/>
  <c r="G972" i="62919" s="1"/>
  <c r="F973" i="62919"/>
  <c r="G973" i="62919" s="1"/>
  <c r="F974" i="62919"/>
  <c r="G974" i="62919" s="1"/>
  <c r="F975" i="62919"/>
  <c r="G975" i="62919" s="1"/>
  <c r="F976" i="62919"/>
  <c r="G976" i="62919" s="1"/>
  <c r="F977" i="62919"/>
  <c r="G977" i="62919" s="1"/>
  <c r="F978" i="62919"/>
  <c r="G978" i="62919" s="1"/>
  <c r="F979" i="62919"/>
  <c r="G979" i="62919" s="1"/>
  <c r="F980" i="62919"/>
  <c r="G980" i="62919" s="1"/>
  <c r="F981" i="62919"/>
  <c r="G981" i="62919" s="1"/>
  <c r="F982" i="62919"/>
  <c r="G982" i="62919" s="1"/>
  <c r="F983" i="62919"/>
  <c r="G983" i="62919" s="1"/>
  <c r="F984" i="62919"/>
  <c r="G984" i="62919" s="1"/>
  <c r="F985" i="62919"/>
  <c r="G985" i="62919" s="1"/>
  <c r="F986" i="62919"/>
  <c r="G986" i="62919" s="1"/>
  <c r="F987" i="62919"/>
  <c r="G987" i="62919" s="1"/>
  <c r="F988" i="62919"/>
  <c r="G988" i="62919" s="1"/>
  <c r="F989" i="62919"/>
  <c r="G989" i="62919" s="1"/>
  <c r="F990" i="62919"/>
  <c r="G990" i="62919" s="1"/>
  <c r="F991" i="62919"/>
  <c r="G991" i="62919" s="1"/>
  <c r="F992" i="62919"/>
  <c r="G992" i="62919" s="1"/>
  <c r="F993" i="62919"/>
  <c r="G993" i="62919" s="1"/>
  <c r="F994" i="62919"/>
  <c r="G994" i="62919" s="1"/>
  <c r="F997" i="62919"/>
  <c r="G997" i="62919" s="1"/>
  <c r="F998" i="62919"/>
  <c r="G998" i="62919" s="1"/>
  <c r="F999" i="62919"/>
  <c r="G999" i="62919" s="1"/>
  <c r="F1000" i="62919"/>
  <c r="G1000" i="62919" s="1"/>
  <c r="F1001" i="62919"/>
  <c r="G1001" i="62919" s="1"/>
  <c r="F1002" i="62919"/>
  <c r="G1002" i="62919" s="1"/>
  <c r="F1003" i="62919"/>
  <c r="G1003" i="62919" s="1"/>
  <c r="F1004" i="62919"/>
  <c r="G1004" i="62919" s="1"/>
  <c r="F1005" i="62919"/>
  <c r="G1005" i="62919" s="1"/>
  <c r="F1006" i="62919"/>
  <c r="G1006" i="62919" s="1"/>
  <c r="F1007" i="62919"/>
  <c r="G1007" i="62919" s="1"/>
  <c r="F1008" i="62919"/>
  <c r="G1008" i="62919" s="1"/>
  <c r="F1009" i="62919"/>
  <c r="G1009" i="62919" s="1"/>
  <c r="F1010" i="62919"/>
  <c r="G1010" i="62919" s="1"/>
  <c r="F1011" i="62919"/>
  <c r="G1011" i="62919" s="1"/>
  <c r="F1012" i="62919"/>
  <c r="G1012" i="62919" s="1"/>
  <c r="F1013" i="62919"/>
  <c r="G1013" i="62919" s="1"/>
  <c r="F1014" i="62919"/>
  <c r="G1014" i="62919" s="1"/>
  <c r="F1015" i="62919"/>
  <c r="G1015" i="62919" s="1"/>
  <c r="F1016" i="62919"/>
  <c r="G1016" i="62919" s="1"/>
  <c r="F1017" i="62919"/>
  <c r="G1017" i="62919" s="1"/>
  <c r="F1018" i="62919"/>
  <c r="G1018" i="62919" s="1"/>
  <c r="F1019" i="62919"/>
  <c r="G1019" i="62919" s="1"/>
  <c r="F1020" i="62919"/>
  <c r="G1020" i="62919" s="1"/>
  <c r="F1021" i="62919"/>
  <c r="G1021" i="62919" s="1"/>
  <c r="F1022" i="62919"/>
  <c r="G1022" i="62919" s="1"/>
  <c r="F1023" i="62919"/>
  <c r="G1023" i="62919" s="1"/>
  <c r="F1024" i="62919"/>
  <c r="G1024" i="62919" s="1"/>
  <c r="F1025" i="62919"/>
  <c r="G1025" i="62919" s="1"/>
  <c r="F1026" i="62919"/>
  <c r="G1026" i="62919" s="1"/>
  <c r="F1027" i="62919"/>
  <c r="G1027" i="62919" s="1"/>
  <c r="F1028" i="62919"/>
  <c r="G1028" i="62919" s="1"/>
  <c r="F1031" i="62919"/>
  <c r="F1032" i="62919"/>
  <c r="G1032" i="62919" s="1"/>
  <c r="F1033" i="62919"/>
  <c r="G1033" i="62919" s="1"/>
  <c r="F1034" i="62919"/>
  <c r="G1034" i="62919" s="1"/>
  <c r="F1035" i="62919"/>
  <c r="G1035" i="62919" s="1"/>
  <c r="F1036" i="62919"/>
  <c r="G1036" i="62919" s="1"/>
  <c r="F1037" i="62919"/>
  <c r="G1037" i="62919" s="1"/>
  <c r="F1038" i="62919"/>
  <c r="G1038" i="62919" s="1"/>
  <c r="F1039" i="62919"/>
  <c r="G1039" i="62919" s="1"/>
  <c r="F1040" i="62919"/>
  <c r="G1040" i="62919" s="1"/>
  <c r="F1041" i="62919"/>
  <c r="G1041" i="62919" s="1"/>
  <c r="F1042" i="62919"/>
  <c r="G1042" i="62919" s="1"/>
  <c r="F1043" i="62919"/>
  <c r="G1043" i="62919" s="1"/>
  <c r="F1044" i="62919"/>
  <c r="G1044" i="62919" s="1"/>
  <c r="F1045" i="62919"/>
  <c r="G1045" i="62919" s="1"/>
  <c r="F1046" i="62919"/>
  <c r="G1046" i="62919" s="1"/>
  <c r="F1047" i="62919"/>
  <c r="G1047" i="62919" s="1"/>
  <c r="F1048" i="62919"/>
  <c r="G1048" i="62919" s="1"/>
  <c r="F1049" i="62919"/>
  <c r="G1049" i="62919" s="1"/>
  <c r="F1050" i="62919"/>
  <c r="G1050" i="62919" s="1"/>
  <c r="F1051" i="62919"/>
  <c r="G1051" i="62919" s="1"/>
  <c r="F1052" i="62919"/>
  <c r="G1052" i="62919" s="1"/>
  <c r="F1053" i="62919"/>
  <c r="G1053" i="62919" s="1"/>
  <c r="F1054" i="62919"/>
  <c r="G1054" i="62919" s="1"/>
  <c r="F1055" i="62919"/>
  <c r="G1055" i="62919" s="1"/>
  <c r="F1056" i="62919"/>
  <c r="G1056" i="62919" s="1"/>
  <c r="F1057" i="62919"/>
  <c r="G1057" i="62919" s="1"/>
  <c r="F1058" i="62919"/>
  <c r="G1058" i="62919" s="1"/>
  <c r="F1059" i="62919"/>
  <c r="G1059" i="62919" s="1"/>
  <c r="F1060" i="62919"/>
  <c r="G1060" i="62919" s="1"/>
  <c r="F1061" i="62919"/>
  <c r="G1061" i="62919" s="1"/>
  <c r="F1062" i="62919"/>
  <c r="G1062" i="62919" s="1"/>
  <c r="F1063" i="62919"/>
  <c r="G1063" i="62919" s="1"/>
  <c r="F1064" i="62919"/>
  <c r="G1064" i="62919" s="1"/>
  <c r="F1065" i="62919"/>
  <c r="G1065" i="62919" s="1"/>
  <c r="F1066" i="62919"/>
  <c r="G1066" i="62919" s="1"/>
  <c r="F1067" i="62919"/>
  <c r="G1067" i="62919" s="1"/>
  <c r="F1068" i="62919"/>
  <c r="G1068" i="62919" s="1"/>
  <c r="F1069" i="62919"/>
  <c r="G1069" i="62919" s="1"/>
  <c r="F1070" i="62919"/>
  <c r="G1070" i="62919" s="1"/>
  <c r="F1071" i="62919"/>
  <c r="G1071" i="62919" s="1"/>
  <c r="F1072" i="62919"/>
  <c r="G1072" i="62919" s="1"/>
  <c r="F1073" i="62919"/>
  <c r="G1073" i="62919" s="1"/>
  <c r="F1074" i="62919"/>
  <c r="G1074" i="62919" s="1"/>
  <c r="F1075" i="62919"/>
  <c r="G1075" i="62919" s="1"/>
  <c r="F1076" i="62919"/>
  <c r="G1076" i="62919" s="1"/>
  <c r="F1077" i="62919"/>
  <c r="G1077" i="62919" s="1"/>
  <c r="F1078" i="62919"/>
  <c r="G1078" i="62919" s="1"/>
  <c r="F1079" i="62919"/>
  <c r="G1079" i="62919" s="1"/>
  <c r="F1080" i="62919"/>
  <c r="G1080" i="62919" s="1"/>
  <c r="F1081" i="62919"/>
  <c r="G1081" i="62919" s="1"/>
  <c r="F1082" i="62919"/>
  <c r="G1082" i="62919" s="1"/>
  <c r="F1083" i="62919"/>
  <c r="G1083" i="62919" s="1"/>
  <c r="F1084" i="62919"/>
  <c r="G1084" i="62919" s="1"/>
  <c r="F1085" i="62919"/>
  <c r="G1085" i="62919" s="1"/>
  <c r="F1086" i="62919"/>
  <c r="G1086" i="62919" s="1"/>
  <c r="F1087" i="62919"/>
  <c r="G1087" i="62919" s="1"/>
  <c r="F1088" i="62919"/>
  <c r="G1088" i="62919" s="1"/>
  <c r="F1089" i="62919"/>
  <c r="G1089" i="62919" s="1"/>
  <c r="F1090" i="62919"/>
  <c r="G1090" i="62919" s="1"/>
  <c r="F1091" i="62919"/>
  <c r="G1091" i="62919" s="1"/>
  <c r="F1092" i="62919"/>
  <c r="G1092" i="62919" s="1"/>
  <c r="F1093" i="62919"/>
  <c r="G1093" i="62919" s="1"/>
  <c r="F1094" i="62919"/>
  <c r="G1094" i="62919" s="1"/>
  <c r="F1095" i="62919"/>
  <c r="G1095" i="62919" s="1"/>
  <c r="F1096" i="62919"/>
  <c r="G1096" i="62919" s="1"/>
  <c r="F1097" i="62919"/>
  <c r="G1097" i="62919" s="1"/>
  <c r="F1098" i="62919"/>
  <c r="G1098" i="62919" s="1"/>
  <c r="F1099" i="62919"/>
  <c r="G1099" i="62919" s="1"/>
  <c r="F1100" i="62919"/>
  <c r="G1100" i="62919" s="1"/>
  <c r="F1101" i="62919"/>
  <c r="G1101" i="62919" s="1"/>
  <c r="F1102" i="62919"/>
  <c r="G1102" i="62919" s="1"/>
  <c r="F1103" i="62919"/>
  <c r="G1103" i="62919" s="1"/>
  <c r="F1104" i="62919"/>
  <c r="G1104" i="62919" s="1"/>
  <c r="F1105" i="62919"/>
  <c r="G1105" i="62919" s="1"/>
  <c r="F1106" i="62919"/>
  <c r="G1106" i="62919" s="1"/>
  <c r="F1107" i="62919"/>
  <c r="G1107" i="62919" s="1"/>
  <c r="F1108" i="62919"/>
  <c r="G1108" i="62919" s="1"/>
  <c r="F1109" i="62919"/>
  <c r="G1109" i="62919" s="1"/>
  <c r="F1110" i="62919"/>
  <c r="G1110" i="62919" s="1"/>
  <c r="F1111" i="62919"/>
  <c r="G1111" i="62919" s="1"/>
  <c r="F1112" i="62919"/>
  <c r="G1112" i="62919" s="1"/>
  <c r="F1113" i="62919"/>
  <c r="G1113" i="62919" s="1"/>
  <c r="F1114" i="62919"/>
  <c r="G1114" i="62919" s="1"/>
  <c r="F1115" i="62919"/>
  <c r="G1115" i="62919" s="1"/>
  <c r="F1116" i="62919"/>
  <c r="G1116" i="62919" s="1"/>
  <c r="F1117" i="62919"/>
  <c r="G1117" i="62919" s="1"/>
  <c r="F1118" i="62919"/>
  <c r="G1118" i="62919" s="1"/>
  <c r="F1119" i="62919"/>
  <c r="G1119" i="62919" s="1"/>
  <c r="F1120" i="62919"/>
  <c r="G1120" i="62919" s="1"/>
  <c r="F1121" i="62919"/>
  <c r="G1121" i="62919" s="1"/>
  <c r="F1229" i="62919"/>
  <c r="G1229" i="62919" s="1"/>
  <c r="F1230" i="62919"/>
  <c r="G1230" i="62919" s="1"/>
  <c r="F1231" i="62919"/>
  <c r="G1231" i="62919" s="1"/>
  <c r="F1232" i="62919"/>
  <c r="G1232" i="62919" s="1"/>
  <c r="F1233" i="62919"/>
  <c r="G1233" i="62919" s="1"/>
  <c r="F1234" i="62919"/>
  <c r="G1234" i="62919" s="1"/>
  <c r="F1235" i="62919"/>
  <c r="G1235" i="62919" s="1"/>
  <c r="F1236" i="62919"/>
  <c r="G1236" i="62919" s="1"/>
  <c r="F1237" i="62919"/>
  <c r="G1237" i="62919" s="1"/>
  <c r="F1238" i="62919"/>
  <c r="G1238" i="62919" s="1"/>
  <c r="F1239" i="62919"/>
  <c r="G1239" i="62919" s="1"/>
  <c r="F1240" i="62919"/>
  <c r="G1240" i="62919" s="1"/>
  <c r="F1241" i="62919"/>
  <c r="G1241" i="62919" s="1"/>
  <c r="F1242" i="62919"/>
  <c r="G1242" i="62919" s="1"/>
  <c r="F1243" i="62919"/>
  <c r="G1243" i="62919" s="1"/>
  <c r="F1244" i="62919"/>
  <c r="G1244" i="62919" s="1"/>
  <c r="F1245" i="62919"/>
  <c r="G1245" i="62919" s="1"/>
  <c r="F1246" i="62919"/>
  <c r="G1246" i="62919" s="1"/>
  <c r="F1247" i="62919"/>
  <c r="G1247" i="62919" s="1"/>
  <c r="F1248" i="62919"/>
  <c r="G1248" i="62919" s="1"/>
  <c r="F1249" i="62919"/>
  <c r="G1249" i="62919" s="1"/>
  <c r="F1250" i="62919"/>
  <c r="G1250" i="62919" s="1"/>
  <c r="F1251" i="62919"/>
  <c r="G1251" i="62919" s="1"/>
  <c r="F1252" i="62919"/>
  <c r="G1252" i="62919" s="1"/>
  <c r="F1253" i="62919"/>
  <c r="G1253" i="62919" s="1"/>
  <c r="F1254" i="62919"/>
  <c r="G1254" i="62919" s="1"/>
  <c r="F1255" i="62919"/>
  <c r="G1255" i="62919" s="1"/>
  <c r="F1256" i="62919"/>
  <c r="G1256" i="62919" s="1"/>
  <c r="F1257" i="62919"/>
  <c r="G1257" i="62919" s="1"/>
  <c r="F1258" i="62919"/>
  <c r="G1258" i="62919" s="1"/>
  <c r="F1259" i="62919"/>
  <c r="G1259" i="62919" s="1"/>
  <c r="F1260" i="62919"/>
  <c r="G1260" i="62919" s="1"/>
  <c r="F1261" i="62919"/>
  <c r="G1261" i="62919" s="1"/>
  <c r="F1262" i="62919"/>
  <c r="G1262" i="62919" s="1"/>
  <c r="F1263" i="62919"/>
  <c r="G1263" i="62919" s="1"/>
  <c r="F1264" i="62919"/>
  <c r="G1264" i="62919" s="1"/>
  <c r="F1265" i="62919"/>
  <c r="G1265" i="62919" s="1"/>
  <c r="F1266" i="62919"/>
  <c r="G1266" i="62919" s="1"/>
  <c r="F1267" i="62919"/>
  <c r="G1267" i="62919" s="1"/>
  <c r="F1268" i="62919"/>
  <c r="G1268" i="62919" s="1"/>
  <c r="F1274" i="62919"/>
  <c r="G1274" i="62919" s="1"/>
  <c r="F1364" i="62919"/>
  <c r="G1364" i="62919" s="1"/>
  <c r="F1365" i="62919"/>
  <c r="G1365" i="62919" s="1"/>
  <c r="F1366" i="62919"/>
  <c r="G1366" i="62919" s="1"/>
  <c r="F1367" i="62919"/>
  <c r="G1367" i="62919" s="1"/>
  <c r="F1368" i="62919"/>
  <c r="G1368" i="62919" s="1"/>
  <c r="F1369" i="62919"/>
  <c r="G1369" i="62919" s="1"/>
  <c r="F1370" i="62919"/>
  <c r="G1370" i="62919" s="1"/>
  <c r="F1371" i="62919"/>
  <c r="G1371" i="62919" s="1"/>
  <c r="F1372" i="62919"/>
  <c r="G1372" i="62919" s="1"/>
  <c r="F1373" i="62919"/>
  <c r="G1373" i="62919" s="1"/>
  <c r="F1374" i="62919"/>
  <c r="G1374" i="62919" s="1"/>
  <c r="F1375" i="62919"/>
  <c r="G1375" i="62919" s="1"/>
  <c r="F1376" i="62919"/>
  <c r="G1376" i="62919" s="1"/>
  <c r="F1377" i="62919"/>
  <c r="G1377" i="62919" s="1"/>
  <c r="F1378" i="62919"/>
  <c r="G1378" i="62919" s="1"/>
  <c r="F1379" i="62919"/>
  <c r="G1379" i="62919" s="1"/>
  <c r="F1380" i="62919"/>
  <c r="G1380" i="62919" s="1"/>
  <c r="F1381" i="62919"/>
  <c r="G1381" i="62919" s="1"/>
  <c r="F1382" i="62919"/>
  <c r="G1382" i="62919" s="1"/>
  <c r="F1383" i="62919"/>
  <c r="G1383" i="62919" s="1"/>
  <c r="F1384" i="62919"/>
  <c r="G1384" i="62919" s="1"/>
  <c r="F1385" i="62919"/>
  <c r="G1385" i="62919" s="1"/>
  <c r="F1386" i="62919"/>
  <c r="G1386" i="62919" s="1"/>
  <c r="F1387" i="62919"/>
  <c r="G1387" i="62919" s="1"/>
  <c r="F1388" i="62919"/>
  <c r="G1388" i="62919" s="1"/>
  <c r="F1389" i="62919"/>
  <c r="G1389" i="62919" s="1"/>
  <c r="F1390" i="62919"/>
  <c r="G1390" i="62919" s="1"/>
  <c r="F1391" i="62919"/>
  <c r="G1391" i="62919" s="1"/>
  <c r="F1392" i="62919"/>
  <c r="G1392" i="62919" s="1"/>
  <c r="F1393" i="62919"/>
  <c r="G1393" i="62919" s="1"/>
  <c r="F1396" i="62919"/>
  <c r="F1556" i="62919"/>
  <c r="G1556" i="62919" s="1"/>
  <c r="F1701" i="62919"/>
  <c r="G1701" i="62919" s="1"/>
  <c r="F1739" i="62919"/>
  <c r="G1739" i="62919" s="1"/>
  <c r="F1762" i="62919"/>
  <c r="G1762" i="62919" s="1"/>
  <c r="F1763" i="62919"/>
  <c r="G1763" i="62919" s="1"/>
  <c r="F1764" i="62919"/>
  <c r="G1764" i="62919" s="1"/>
  <c r="F1765" i="62919"/>
  <c r="G1765" i="62919" s="1"/>
  <c r="F1766" i="62919"/>
  <c r="G1766" i="62919" s="1"/>
  <c r="F1767" i="62919"/>
  <c r="G1767" i="62919" s="1"/>
  <c r="F1768" i="62919"/>
  <c r="G1768" i="62919" s="1"/>
  <c r="F1769" i="62919"/>
  <c r="G1769" i="62919" s="1"/>
  <c r="F1770" i="62919"/>
  <c r="G1770" i="62919" s="1"/>
  <c r="F1771" i="62919"/>
  <c r="G1771" i="62919" s="1"/>
  <c r="F1772" i="62919"/>
  <c r="G1772" i="62919" s="1"/>
  <c r="F1773" i="62919"/>
  <c r="G1773" i="62919" s="1"/>
  <c r="F1774" i="62919"/>
  <c r="G1774" i="62919" s="1"/>
  <c r="F1775" i="62919"/>
  <c r="G1775" i="62919" s="1"/>
  <c r="F1776" i="62919"/>
  <c r="G1776" i="62919" s="1"/>
  <c r="F1777" i="62919"/>
  <c r="G1777" i="62919" s="1"/>
  <c r="F1778" i="62919"/>
  <c r="G1778" i="62919" s="1"/>
  <c r="F1779" i="62919"/>
  <c r="G1779" i="62919" s="1"/>
  <c r="F1780" i="62919"/>
  <c r="G1780" i="62919" s="1"/>
  <c r="F1781" i="62919"/>
  <c r="G1781" i="62919" s="1"/>
  <c r="F1782" i="62919"/>
  <c r="G1782" i="62919" s="1"/>
  <c r="F1783" i="62919"/>
  <c r="G1783" i="62919" s="1"/>
  <c r="F1784" i="62919"/>
  <c r="G1784" i="62919" s="1"/>
  <c r="F1785" i="62919"/>
  <c r="G1785" i="62919" s="1"/>
  <c r="F1786" i="62919"/>
  <c r="G1786" i="62919" s="1"/>
  <c r="F1787" i="62919"/>
  <c r="G1787" i="62919" s="1"/>
  <c r="F1788" i="62919"/>
  <c r="G1788" i="62919" s="1"/>
  <c r="F1789" i="62919"/>
  <c r="G1789" i="62919" s="1"/>
  <c r="F1790" i="62919"/>
  <c r="G1790" i="62919" s="1"/>
  <c r="F1791" i="62919"/>
  <c r="G1791" i="62919" s="1"/>
  <c r="F1792" i="62919"/>
  <c r="G1792" i="62919" s="1"/>
  <c r="F1793" i="62919"/>
  <c r="G1793" i="62919" s="1"/>
  <c r="F1794" i="62919"/>
  <c r="G1794" i="62919" s="1"/>
  <c r="F1795" i="62919"/>
  <c r="G1795" i="62919" s="1"/>
  <c r="F1796" i="62919"/>
  <c r="G1796" i="62919" s="1"/>
  <c r="F1797" i="62919"/>
  <c r="G1797" i="62919" s="1"/>
  <c r="F1798" i="62919"/>
  <c r="G1798" i="62919" s="1"/>
  <c r="F1799" i="62919"/>
  <c r="G1799" i="62919" s="1"/>
  <c r="F1800" i="62919"/>
  <c r="G1800" i="62919" s="1"/>
  <c r="F1801" i="62919"/>
  <c r="G1801" i="62919" s="1"/>
  <c r="F1802" i="62919"/>
  <c r="G1802" i="62919" s="1"/>
  <c r="F1803" i="62919"/>
  <c r="G1803" i="62919" s="1"/>
  <c r="F1804" i="62919"/>
  <c r="G1804" i="62919" s="1"/>
  <c r="F1805" i="62919"/>
  <c r="G1805" i="62919" s="1"/>
  <c r="F1806" i="62919"/>
  <c r="G1806" i="62919" s="1"/>
  <c r="F1807" i="62919"/>
  <c r="G1807" i="62919" s="1"/>
  <c r="F1808" i="62919"/>
  <c r="G1808" i="62919" s="1"/>
  <c r="F1809" i="62919"/>
  <c r="G1809" i="62919" s="1"/>
  <c r="F1810" i="62919"/>
  <c r="G1810" i="62919" s="1"/>
  <c r="F1811" i="62919"/>
  <c r="G1811" i="62919" s="1"/>
  <c r="F1812" i="62919"/>
  <c r="G1812" i="62919" s="1"/>
  <c r="F1813" i="62919"/>
  <c r="G1813" i="62919" s="1"/>
  <c r="F1814" i="62919"/>
  <c r="G1814" i="62919" s="1"/>
  <c r="F1815" i="62919"/>
  <c r="G1815" i="62919" s="1"/>
  <c r="F1816" i="62919"/>
  <c r="G1816" i="62919" s="1"/>
  <c r="F1817" i="62919"/>
  <c r="G1817" i="62919" s="1"/>
  <c r="F1818" i="62919"/>
  <c r="G1818" i="62919" s="1"/>
  <c r="F1819" i="62919"/>
  <c r="G1819" i="62919" s="1"/>
  <c r="F1820" i="62919"/>
  <c r="G1820" i="62919" s="1"/>
  <c r="F1821" i="62919"/>
  <c r="G1821" i="62919" s="1"/>
  <c r="F1822" i="62919"/>
  <c r="G1822" i="62919" s="1"/>
  <c r="F1823" i="62919"/>
  <c r="G1823" i="62919" s="1"/>
  <c r="F1824" i="62919"/>
  <c r="G1824" i="62919" s="1"/>
  <c r="F1825" i="62919"/>
  <c r="G1825" i="62919" s="1"/>
  <c r="F1826" i="62919"/>
  <c r="G1826" i="62919" s="1"/>
  <c r="F1827" i="62919"/>
  <c r="G1827" i="62919" s="1"/>
  <c r="F1828" i="62919"/>
  <c r="G1828" i="62919" s="1"/>
  <c r="F1829" i="62919"/>
  <c r="G1829" i="62919" s="1"/>
  <c r="F1830" i="62919"/>
  <c r="G1830" i="62919" s="1"/>
  <c r="F1831" i="62919"/>
  <c r="G1831" i="62919" s="1"/>
  <c r="F1832" i="62919"/>
  <c r="G1832" i="62919" s="1"/>
  <c r="F1833" i="62919"/>
  <c r="G1833" i="62919" s="1"/>
  <c r="F1834" i="62919"/>
  <c r="G1834" i="62919" s="1"/>
  <c r="F1835" i="62919"/>
  <c r="G1835" i="62919" s="1"/>
  <c r="F1836" i="62919"/>
  <c r="G1836" i="62919" s="1"/>
  <c r="F1837" i="62919"/>
  <c r="G1837" i="62919" s="1"/>
  <c r="F1838" i="62919"/>
  <c r="G1838" i="62919" s="1"/>
  <c r="F1839" i="62919"/>
  <c r="G1839" i="62919" s="1"/>
  <c r="F1840" i="62919"/>
  <c r="G1840" i="62919" s="1"/>
  <c r="F1841" i="62919"/>
  <c r="G1841" i="62919" s="1"/>
  <c r="F1842" i="62919"/>
  <c r="G1842" i="62919" s="1"/>
  <c r="F1843" i="62919"/>
  <c r="G1843" i="62919" s="1"/>
  <c r="F1844" i="62919"/>
  <c r="G1844" i="62919" s="1"/>
  <c r="F1845" i="62919"/>
  <c r="G1845" i="62919" s="1"/>
  <c r="F1846" i="62919"/>
  <c r="G1846" i="62919" s="1"/>
  <c r="F1847" i="62919"/>
  <c r="G1847" i="62919" s="1"/>
  <c r="F1848" i="62919"/>
  <c r="G1848" i="62919" s="1"/>
  <c r="F1849" i="62919"/>
  <c r="G1849" i="62919" s="1"/>
  <c r="F1850" i="62919"/>
  <c r="G1850" i="62919" s="1"/>
  <c r="F1851" i="62919"/>
  <c r="G1851" i="62919" s="1"/>
  <c r="F1852" i="62919"/>
  <c r="G1852" i="62919" s="1"/>
  <c r="F1853" i="62919"/>
  <c r="G1853" i="62919" s="1"/>
  <c r="F1856" i="62919"/>
  <c r="G1856" i="62919" s="1"/>
  <c r="F1857" i="62919"/>
  <c r="G1857" i="62919" s="1"/>
  <c r="F1858" i="62919"/>
  <c r="G1858" i="62919" s="1"/>
  <c r="F1859" i="62919"/>
  <c r="G1859" i="62919" s="1"/>
  <c r="F1860" i="62919"/>
  <c r="G1860" i="62919" s="1"/>
  <c r="F1861" i="62919"/>
  <c r="G1861" i="62919" s="1"/>
  <c r="F1862" i="62919"/>
  <c r="G1862" i="62919" s="1"/>
  <c r="F1863" i="62919"/>
  <c r="G1863" i="62919" s="1"/>
  <c r="F1864" i="62919"/>
  <c r="G1864" i="62919" s="1"/>
  <c r="F1865" i="62919"/>
  <c r="G1865" i="62919" s="1"/>
  <c r="F1866" i="62919"/>
  <c r="G1866" i="62919" s="1"/>
  <c r="F1867" i="62919"/>
  <c r="G1867" i="62919" s="1"/>
  <c r="F1868" i="62919"/>
  <c r="G1868" i="62919" s="1"/>
  <c r="F1869" i="62919"/>
  <c r="G1869" i="62919" s="1"/>
  <c r="F1870" i="62919"/>
  <c r="G1870" i="62919" s="1"/>
  <c r="F1871" i="62919"/>
  <c r="G1871" i="62919" s="1"/>
  <c r="F1872" i="62919"/>
  <c r="G1872" i="62919" s="1"/>
  <c r="D63" i="62909"/>
  <c r="AC312" i="62928"/>
  <c r="AC313" i="62928"/>
  <c r="AC314" i="62928"/>
  <c r="B64" i="62909"/>
  <c r="D64" i="62909"/>
  <c r="B51" i="62909"/>
  <c r="D51" i="62909"/>
  <c r="AC300" i="7"/>
  <c r="AC301" i="7"/>
  <c r="AC302" i="7"/>
  <c r="B52" i="62909"/>
  <c r="D52" i="62909"/>
  <c r="AC312" i="7"/>
  <c r="AC313" i="7"/>
  <c r="AC314" i="7"/>
  <c r="B57" i="62910"/>
  <c r="B58" i="62910"/>
  <c r="B45" i="62910"/>
  <c r="B46" i="62910"/>
  <c r="B57" i="62892"/>
  <c r="B58" i="62892"/>
  <c r="B45" i="62892"/>
  <c r="B46" i="62892"/>
  <c r="J299" i="62905"/>
  <c r="M332" i="62905" s="1"/>
  <c r="K365" i="62905" s="1"/>
  <c r="BD152" i="62905"/>
  <c r="BE152" i="62905" s="1"/>
  <c r="BD153" i="62905"/>
  <c r="BE153" i="62905" s="1"/>
  <c r="BD154" i="62905"/>
  <c r="BE154" i="62905" s="1"/>
  <c r="H299" i="62905"/>
  <c r="H150" i="62905"/>
  <c r="I150" i="62905" s="1"/>
  <c r="D150" i="62905" s="1"/>
  <c r="G299" i="62905"/>
  <c r="G332" i="62905" s="1"/>
  <c r="H148" i="62905"/>
  <c r="I148" i="62905" s="1"/>
  <c r="H149" i="62905"/>
  <c r="I149" i="62905" s="1"/>
  <c r="AI149" i="62905" s="1"/>
  <c r="AU149" i="62905" s="1"/>
  <c r="F299" i="62905"/>
  <c r="F332" i="62905" s="1"/>
  <c r="F365" i="62905" s="1"/>
  <c r="H147" i="62905"/>
  <c r="I147" i="62905" s="1"/>
  <c r="E299" i="62905"/>
  <c r="E332" i="62905" s="1"/>
  <c r="E365" i="62905" s="1"/>
  <c r="E1616" i="62917"/>
  <c r="F14" i="62921"/>
  <c r="G14" i="62921" s="1"/>
  <c r="F248" i="62921"/>
  <c r="G248" i="62921" s="1"/>
  <c r="F334" i="62921"/>
  <c r="G334" i="62921" s="1"/>
  <c r="F414" i="62921"/>
  <c r="E414" i="62921" s="1"/>
  <c r="F600" i="62921"/>
  <c r="G600" i="62921" s="1"/>
  <c r="F863" i="62921"/>
  <c r="G863" i="62921" s="1"/>
  <c r="F864" i="62921"/>
  <c r="G864" i="62921" s="1"/>
  <c r="F865" i="62921"/>
  <c r="G865" i="62921" s="1"/>
  <c r="F866" i="62921"/>
  <c r="G866" i="62921" s="1"/>
  <c r="F867" i="62921"/>
  <c r="G867" i="62921" s="1"/>
  <c r="F868" i="62921"/>
  <c r="G868" i="62921" s="1"/>
  <c r="F869" i="62921"/>
  <c r="G869" i="62921" s="1"/>
  <c r="F870" i="62921"/>
  <c r="G870" i="62921" s="1"/>
  <c r="F871" i="62921"/>
  <c r="G871" i="62921" s="1"/>
  <c r="F872" i="62921"/>
  <c r="G872" i="62921" s="1"/>
  <c r="F873" i="62921"/>
  <c r="G873" i="62921" s="1"/>
  <c r="F874" i="62921"/>
  <c r="G874" i="62921" s="1"/>
  <c r="F875" i="62921"/>
  <c r="G875" i="62921" s="1"/>
  <c r="F876" i="62921"/>
  <c r="G876" i="62921" s="1"/>
  <c r="F877" i="62921"/>
  <c r="G877" i="62921" s="1"/>
  <c r="F878" i="62921"/>
  <c r="G878" i="62921" s="1"/>
  <c r="F879" i="62921"/>
  <c r="G879" i="62921" s="1"/>
  <c r="F880" i="62921"/>
  <c r="G880" i="62921" s="1"/>
  <c r="F881" i="62921"/>
  <c r="G881" i="62921" s="1"/>
  <c r="F882" i="62921"/>
  <c r="G882" i="62921" s="1"/>
  <c r="F883" i="62921"/>
  <c r="G883" i="62921" s="1"/>
  <c r="F884" i="62921"/>
  <c r="G884" i="62921" s="1"/>
  <c r="F885" i="62921"/>
  <c r="G885" i="62921" s="1"/>
  <c r="F886" i="62921"/>
  <c r="G886" i="62921" s="1"/>
  <c r="F887" i="62921"/>
  <c r="G887" i="62921" s="1"/>
  <c r="F888" i="62921"/>
  <c r="G888" i="62921" s="1"/>
  <c r="F889" i="62921"/>
  <c r="G889" i="62921" s="1"/>
  <c r="F890" i="62921"/>
  <c r="G890" i="62921" s="1"/>
  <c r="F891" i="62921"/>
  <c r="G891" i="62921" s="1"/>
  <c r="F892" i="62921"/>
  <c r="G892" i="62921" s="1"/>
  <c r="F893" i="62921"/>
  <c r="G893" i="62921" s="1"/>
  <c r="F894" i="62921"/>
  <c r="G894" i="62921" s="1"/>
  <c r="F895" i="62921"/>
  <c r="G895" i="62921" s="1"/>
  <c r="F896" i="62921"/>
  <c r="G896" i="62921" s="1"/>
  <c r="F897" i="62921"/>
  <c r="G897" i="62921" s="1"/>
  <c r="F898" i="62921"/>
  <c r="G898" i="62921" s="1"/>
  <c r="F899" i="62921"/>
  <c r="G899" i="62921" s="1"/>
  <c r="F900" i="62921"/>
  <c r="G900" i="62921" s="1"/>
  <c r="F901" i="62921"/>
  <c r="G901" i="62921" s="1"/>
  <c r="F902" i="62921"/>
  <c r="G902" i="62921" s="1"/>
  <c r="F903" i="62921"/>
  <c r="G903" i="62921" s="1"/>
  <c r="F904" i="62921"/>
  <c r="G904" i="62921" s="1"/>
  <c r="F905" i="62921"/>
  <c r="G905" i="62921" s="1"/>
  <c r="F935" i="62921"/>
  <c r="G935" i="62921" s="1"/>
  <c r="F987" i="62921"/>
  <c r="G987" i="62921" s="1"/>
  <c r="F988" i="62921"/>
  <c r="G988" i="62921" s="1"/>
  <c r="F989" i="62921"/>
  <c r="G989" i="62921" s="1"/>
  <c r="F990" i="62921"/>
  <c r="G990" i="62921" s="1"/>
  <c r="F991" i="62921"/>
  <c r="G991" i="62921" s="1"/>
  <c r="F992" i="62921"/>
  <c r="G992" i="62921" s="1"/>
  <c r="F993" i="62921"/>
  <c r="G993" i="62921" s="1"/>
  <c r="F994" i="62921"/>
  <c r="G994" i="62921" s="1"/>
  <c r="F995" i="62921"/>
  <c r="G995" i="62921" s="1"/>
  <c r="F996" i="62921"/>
  <c r="G996" i="62921" s="1"/>
  <c r="F997" i="62921"/>
  <c r="G997" i="62921" s="1"/>
  <c r="F998" i="62921"/>
  <c r="G998" i="62921" s="1"/>
  <c r="F999" i="62921"/>
  <c r="G999" i="62921" s="1"/>
  <c r="F1000" i="62921"/>
  <c r="G1000" i="62921" s="1"/>
  <c r="F1001" i="62921"/>
  <c r="G1001" i="62921" s="1"/>
  <c r="F1002" i="62921"/>
  <c r="G1002" i="62921" s="1"/>
  <c r="F1003" i="62921"/>
  <c r="G1003" i="62921" s="1"/>
  <c r="F1004" i="62921"/>
  <c r="G1004" i="62921" s="1"/>
  <c r="F1005" i="62921"/>
  <c r="G1005" i="62921" s="1"/>
  <c r="F1006" i="62921"/>
  <c r="G1006" i="62921" s="1"/>
  <c r="F1007" i="62921"/>
  <c r="G1007" i="62921" s="1"/>
  <c r="F1008" i="62921"/>
  <c r="G1008" i="62921" s="1"/>
  <c r="F1009" i="62921"/>
  <c r="G1009" i="62921" s="1"/>
  <c r="F1010" i="62921"/>
  <c r="G1010" i="62921" s="1"/>
  <c r="F1011" i="62921"/>
  <c r="G1011" i="62921" s="1"/>
  <c r="F1012" i="62921"/>
  <c r="G1012" i="62921" s="1"/>
  <c r="F1013" i="62921"/>
  <c r="G1013" i="62921" s="1"/>
  <c r="F1014" i="62921"/>
  <c r="G1014" i="62921" s="1"/>
  <c r="F1015" i="62921"/>
  <c r="G1015" i="62921" s="1"/>
  <c r="F1016" i="62921"/>
  <c r="G1016" i="62921" s="1"/>
  <c r="F1017" i="62921"/>
  <c r="G1017" i="62921" s="1"/>
  <c r="F1018" i="62921"/>
  <c r="G1018" i="62921" s="1"/>
  <c r="F1019" i="62921"/>
  <c r="G1019" i="62921" s="1"/>
  <c r="F1020" i="62921"/>
  <c r="G1020" i="62921" s="1"/>
  <c r="F1021" i="62921"/>
  <c r="G1021" i="62921" s="1"/>
  <c r="F1022" i="62921"/>
  <c r="G1022" i="62921" s="1"/>
  <c r="F1023" i="62921"/>
  <c r="G1023" i="62921" s="1"/>
  <c r="F1024" i="62921"/>
  <c r="G1024" i="62921" s="1"/>
  <c r="F1025" i="62921"/>
  <c r="G1025" i="62921" s="1"/>
  <c r="F1026" i="62921"/>
  <c r="G1026" i="62921" s="1"/>
  <c r="F1027" i="62921"/>
  <c r="G1027" i="62921" s="1"/>
  <c r="F1028" i="62921"/>
  <c r="G1028" i="62921" s="1"/>
  <c r="F1029" i="62921"/>
  <c r="G1029" i="62921" s="1"/>
  <c r="F1030" i="62921"/>
  <c r="G1030" i="62921" s="1"/>
  <c r="F1031" i="62921"/>
  <c r="G1031" i="62921" s="1"/>
  <c r="F1032" i="62921"/>
  <c r="G1032" i="62921" s="1"/>
  <c r="F1033" i="62921"/>
  <c r="G1033" i="62921" s="1"/>
  <c r="F1034" i="62921"/>
  <c r="G1034" i="62921" s="1"/>
  <c r="F1035" i="62921"/>
  <c r="G1035" i="62921" s="1"/>
  <c r="F1036" i="62921"/>
  <c r="G1036" i="62921" s="1"/>
  <c r="F1037" i="62921"/>
  <c r="G1037" i="62921" s="1"/>
  <c r="F1038" i="62921"/>
  <c r="G1038" i="62921" s="1"/>
  <c r="F1039" i="62921"/>
  <c r="G1039" i="62921" s="1"/>
  <c r="F1040" i="62921"/>
  <c r="G1040" i="62921" s="1"/>
  <c r="F1041" i="62921"/>
  <c r="G1041" i="62921" s="1"/>
  <c r="F1042" i="62921"/>
  <c r="G1042" i="62921" s="1"/>
  <c r="F1043" i="62921"/>
  <c r="G1043" i="62921" s="1"/>
  <c r="F1044" i="62921"/>
  <c r="G1044" i="62921" s="1"/>
  <c r="F1045" i="62921"/>
  <c r="G1045" i="62921" s="1"/>
  <c r="F1046" i="62921"/>
  <c r="G1046" i="62921" s="1"/>
  <c r="F1047" i="62921"/>
  <c r="G1047" i="62921" s="1"/>
  <c r="F1048" i="62921"/>
  <c r="G1048" i="62921" s="1"/>
  <c r="F1049" i="62921"/>
  <c r="G1049" i="62921" s="1"/>
  <c r="F1050" i="62921"/>
  <c r="G1050" i="62921" s="1"/>
  <c r="F1051" i="62921"/>
  <c r="G1051" i="62921" s="1"/>
  <c r="F1052" i="62921"/>
  <c r="G1052" i="62921" s="1"/>
  <c r="F1053" i="62921"/>
  <c r="G1053" i="62921" s="1"/>
  <c r="F1054" i="62921"/>
  <c r="G1054" i="62921" s="1"/>
  <c r="F1055" i="62921"/>
  <c r="G1055" i="62921" s="1"/>
  <c r="F1056" i="62921"/>
  <c r="G1056" i="62921" s="1"/>
  <c r="F1057" i="62921"/>
  <c r="G1057" i="62921" s="1"/>
  <c r="F1058" i="62921"/>
  <c r="G1058" i="62921" s="1"/>
  <c r="F1059" i="62921"/>
  <c r="G1059" i="62921" s="1"/>
  <c r="F1060" i="62921"/>
  <c r="G1060" i="62921" s="1"/>
  <c r="AR80" i="62898"/>
  <c r="BH77" i="62898"/>
  <c r="BH78" i="62898"/>
  <c r="BH76" i="62898"/>
  <c r="N77" i="62898"/>
  <c r="N78" i="62898"/>
  <c r="N76" i="62898"/>
  <c r="AZ42" i="2"/>
  <c r="AZ43" i="2"/>
  <c r="AZ44" i="2"/>
  <c r="AU198" i="2"/>
  <c r="AM211" i="2"/>
  <c r="AN211" i="2"/>
  <c r="AO211" i="2"/>
  <c r="AP211" i="2"/>
  <c r="AI198" i="2"/>
  <c r="AI211" i="2"/>
  <c r="AJ211" i="2"/>
  <c r="AK211" i="2"/>
  <c r="AL211" i="2"/>
  <c r="AE198" i="2"/>
  <c r="AE211" i="2"/>
  <c r="AF211" i="2"/>
  <c r="AG211" i="2"/>
  <c r="AH211" i="2"/>
  <c r="AA198" i="2"/>
  <c r="AV188" i="2"/>
  <c r="AW188" i="2"/>
  <c r="AX188" i="2"/>
  <c r="AN188" i="2"/>
  <c r="AO188" i="2"/>
  <c r="AP188" i="2"/>
  <c r="AJ188" i="2"/>
  <c r="AK188" i="2"/>
  <c r="AL188" i="2"/>
  <c r="AF188" i="2"/>
  <c r="AG188" i="2"/>
  <c r="AH188" i="2"/>
  <c r="AB188" i="2"/>
  <c r="AC188" i="2"/>
  <c r="AD188" i="2"/>
  <c r="BH45" i="62898"/>
  <c r="N45" i="62898"/>
  <c r="BH42" i="62898"/>
  <c r="N42" i="62898"/>
  <c r="AC215" i="62928"/>
  <c r="AC216" i="62928"/>
  <c r="AC217" i="62928"/>
  <c r="AC218" i="62928"/>
  <c r="AC219" i="62928"/>
  <c r="AC222" i="62928"/>
  <c r="AC223" i="62928"/>
  <c r="AC224" i="62928"/>
  <c r="AC225" i="62928"/>
  <c r="AC226" i="62928"/>
  <c r="AC229" i="62928"/>
  <c r="AC230" i="62928"/>
  <c r="AC231" i="62928"/>
  <c r="AC232" i="62928"/>
  <c r="AC237" i="62928"/>
  <c r="AC238" i="62928"/>
  <c r="AC239" i="62928"/>
  <c r="AC242" i="62928"/>
  <c r="AC243" i="62928"/>
  <c r="AC244" i="62928"/>
  <c r="AC247" i="62928"/>
  <c r="AC248" i="62928"/>
  <c r="AC249" i="62928"/>
  <c r="AC252" i="62928"/>
  <c r="AC253" i="62928"/>
  <c r="AC254" i="62928"/>
  <c r="AC259" i="7"/>
  <c r="AC215" i="7"/>
  <c r="AC216" i="7"/>
  <c r="AC217" i="7"/>
  <c r="AC218" i="7"/>
  <c r="AC219" i="7"/>
  <c r="AC222" i="7"/>
  <c r="AC223" i="7"/>
  <c r="AC224" i="7"/>
  <c r="AC225" i="7"/>
  <c r="AC226" i="7"/>
  <c r="AC229" i="7"/>
  <c r="AC230" i="7"/>
  <c r="AC231" i="7"/>
  <c r="AC232" i="7"/>
  <c r="AC237" i="7"/>
  <c r="AC238" i="7"/>
  <c r="AC239" i="7"/>
  <c r="AC242" i="7"/>
  <c r="AC243" i="7"/>
  <c r="AC244" i="7"/>
  <c r="AC247" i="7"/>
  <c r="AC248" i="7"/>
  <c r="AC249" i="7"/>
  <c r="AC252" i="7"/>
  <c r="AC253" i="7"/>
  <c r="AC254" i="7"/>
  <c r="AC257" i="7"/>
  <c r="AC258" i="7"/>
  <c r="AC204" i="62928"/>
  <c r="AC205" i="62928"/>
  <c r="AC204" i="7"/>
  <c r="AC205" i="7"/>
  <c r="K100" i="9"/>
  <c r="D100" i="9" s="1"/>
  <c r="AH100" i="9" s="1"/>
  <c r="AP100" i="9" s="1"/>
  <c r="K99" i="9"/>
  <c r="D99" i="9" s="1"/>
  <c r="AH99" i="9" s="1"/>
  <c r="J54" i="9"/>
  <c r="D54" i="9" s="1"/>
  <c r="AH54" i="9" s="1"/>
  <c r="J55" i="9"/>
  <c r="D55" i="9" s="1"/>
  <c r="AH55" i="9" s="1"/>
  <c r="J53" i="9"/>
  <c r="D53" i="9" s="1"/>
  <c r="J126" i="9"/>
  <c r="D126" i="9" s="1"/>
  <c r="AH126" i="9" s="1"/>
  <c r="J127" i="9"/>
  <c r="D127" i="9" s="1"/>
  <c r="AH127" i="9" s="1"/>
  <c r="J125" i="9"/>
  <c r="D125" i="9" s="1"/>
  <c r="M93" i="62919"/>
  <c r="D118" i="62929"/>
  <c r="D107" i="62929"/>
  <c r="D98" i="62929"/>
  <c r="D65" i="62929"/>
  <c r="D63" i="62929"/>
  <c r="D146" i="62929"/>
  <c r="D144" i="62929"/>
  <c r="D145" i="62929" s="1"/>
  <c r="D142" i="62929"/>
  <c r="D138" i="62929"/>
  <c r="D136" i="62929"/>
  <c r="D135" i="62929"/>
  <c r="D134" i="62929"/>
  <c r="D131" i="62929"/>
  <c r="D129" i="62929"/>
  <c r="D130" i="62929"/>
  <c r="D125" i="62929"/>
  <c r="F89" i="62924"/>
  <c r="G89" i="62924" s="1"/>
  <c r="F90" i="62924"/>
  <c r="G90" i="62924" s="1"/>
  <c r="F91" i="62924"/>
  <c r="G91" i="62924" s="1"/>
  <c r="F92" i="62924"/>
  <c r="G92" i="62924" s="1"/>
  <c r="F93" i="62924"/>
  <c r="G93" i="62924" s="1"/>
  <c r="F94" i="62924"/>
  <c r="G94" i="62924" s="1"/>
  <c r="F95" i="62924"/>
  <c r="G95" i="62924" s="1"/>
  <c r="F96" i="62924"/>
  <c r="G96" i="62924" s="1"/>
  <c r="F97" i="62924"/>
  <c r="G97" i="62924" s="1"/>
  <c r="F98" i="62924"/>
  <c r="G98" i="62924" s="1"/>
  <c r="F99" i="62924"/>
  <c r="G99" i="62924" s="1"/>
  <c r="F100" i="62924"/>
  <c r="G100" i="62924" s="1"/>
  <c r="F101" i="62924"/>
  <c r="G101" i="62924" s="1"/>
  <c r="F102" i="62924"/>
  <c r="G102" i="62924" s="1"/>
  <c r="F103" i="62924"/>
  <c r="G103" i="62924" s="1"/>
  <c r="F104" i="62924"/>
  <c r="G104" i="62924" s="1"/>
  <c r="F105" i="62924"/>
  <c r="G105" i="62924" s="1"/>
  <c r="F106" i="62924"/>
  <c r="G106" i="62924" s="1"/>
  <c r="F107" i="62924"/>
  <c r="G107" i="62924" s="1"/>
  <c r="F108" i="62924"/>
  <c r="G108" i="62924" s="1"/>
  <c r="F109" i="62924"/>
  <c r="G109" i="62924" s="1"/>
  <c r="F110" i="62924"/>
  <c r="G110" i="62924" s="1"/>
  <c r="F111" i="62924"/>
  <c r="G111" i="62924" s="1"/>
  <c r="F112" i="62924"/>
  <c r="G112" i="62924" s="1"/>
  <c r="F113" i="62924"/>
  <c r="G113" i="62924" s="1"/>
  <c r="F114" i="62924"/>
  <c r="G114" i="62924" s="1"/>
  <c r="F115" i="62924"/>
  <c r="G115" i="62924" s="1"/>
  <c r="F116" i="62924"/>
  <c r="G116" i="62924" s="1"/>
  <c r="F117" i="62924"/>
  <c r="G117" i="62924" s="1"/>
  <c r="F118" i="62924"/>
  <c r="G118" i="62924" s="1"/>
  <c r="F119" i="62924"/>
  <c r="G119" i="62924" s="1"/>
  <c r="F120" i="62924"/>
  <c r="G120" i="62924" s="1"/>
  <c r="F121" i="62924"/>
  <c r="G121" i="62924" s="1"/>
  <c r="F122" i="62924"/>
  <c r="G122" i="62924" s="1"/>
  <c r="F123" i="62924"/>
  <c r="G123" i="62924" s="1"/>
  <c r="F124" i="62924"/>
  <c r="G124" i="62924" s="1"/>
  <c r="F125" i="62924"/>
  <c r="G125" i="62924" s="1"/>
  <c r="F126" i="62924"/>
  <c r="G126" i="62924" s="1"/>
  <c r="F127" i="62924"/>
  <c r="G127" i="62924" s="1"/>
  <c r="F128" i="62924"/>
  <c r="G128" i="62924" s="1"/>
  <c r="F129" i="62924"/>
  <c r="G129" i="62924" s="1"/>
  <c r="F130" i="62924"/>
  <c r="G130" i="62924" s="1"/>
  <c r="F131" i="62924"/>
  <c r="G131" i="62924" s="1"/>
  <c r="R107" i="2"/>
  <c r="D59" i="62929"/>
  <c r="D123" i="62929"/>
  <c r="D124" i="62929" s="1"/>
  <c r="D121" i="62929"/>
  <c r="D78" i="62929"/>
  <c r="D117" i="62929"/>
  <c r="D114" i="62929"/>
  <c r="D110" i="62929"/>
  <c r="D102" i="62929"/>
  <c r="D89" i="62929"/>
  <c r="D86" i="62929"/>
  <c r="D81" i="62929"/>
  <c r="D82" i="62929"/>
  <c r="D83" i="62929"/>
  <c r="D85" i="62929"/>
  <c r="D74" i="62929"/>
  <c r="D69" i="62929"/>
  <c r="D67" i="62929"/>
  <c r="D66" i="62929"/>
  <c r="D64" i="62929"/>
  <c r="D56" i="62929"/>
  <c r="D55" i="62929"/>
  <c r="J86" i="62929"/>
  <c r="D263" i="62929"/>
  <c r="D262" i="62929"/>
  <c r="D261" i="62929"/>
  <c r="D260" i="62929"/>
  <c r="D259" i="62929"/>
  <c r="D258" i="62929"/>
  <c r="D257" i="62929"/>
  <c r="D256" i="62929"/>
  <c r="D255" i="62929"/>
  <c r="D254" i="62929"/>
  <c r="D253" i="62929"/>
  <c r="D252" i="62929"/>
  <c r="D87" i="62929"/>
  <c r="D79" i="62929"/>
  <c r="D77" i="62929"/>
  <c r="D76" i="62929"/>
  <c r="E53" i="62929"/>
  <c r="E50" i="62929"/>
  <c r="H32" i="62927"/>
  <c r="I32" i="62927" s="1"/>
  <c r="I24" i="62927"/>
  <c r="H32" i="3"/>
  <c r="I32" i="3" s="1"/>
  <c r="I24" i="3"/>
  <c r="U20" i="62912"/>
  <c r="U21" i="62912"/>
  <c r="U22" i="62912"/>
  <c r="U23" i="62912"/>
  <c r="U24" i="62912"/>
  <c r="U25" i="62912"/>
  <c r="U26" i="62912"/>
  <c r="U27" i="62912"/>
  <c r="U28" i="62912"/>
  <c r="U30" i="62912"/>
  <c r="U31" i="62912"/>
  <c r="U33" i="62912"/>
  <c r="U34" i="62912"/>
  <c r="U19" i="62912"/>
  <c r="U17" i="62912"/>
  <c r="U16" i="62912"/>
  <c r="U11" i="62912"/>
  <c r="U12" i="62912"/>
  <c r="U13" i="62912"/>
  <c r="U10" i="62912"/>
  <c r="L611" i="62898"/>
  <c r="H611" i="62898"/>
  <c r="L609" i="62898"/>
  <c r="H609" i="62898"/>
  <c r="F608" i="62898"/>
  <c r="G608" i="62898"/>
  <c r="H608" i="62898"/>
  <c r="I608" i="62898"/>
  <c r="L605" i="62898"/>
  <c r="H605" i="62898"/>
  <c r="I586" i="62898"/>
  <c r="I33" i="62915" s="1"/>
  <c r="U33" i="62915" s="1"/>
  <c r="K580" i="62898"/>
  <c r="K27" i="62915" s="1"/>
  <c r="W27" i="62915" s="1"/>
  <c r="I580" i="62898"/>
  <c r="I27" i="62915" s="1"/>
  <c r="U27" i="62915" s="1"/>
  <c r="G580" i="62898"/>
  <c r="G27" i="62915" s="1"/>
  <c r="S27" i="62915" s="1"/>
  <c r="F580" i="62898"/>
  <c r="F27" i="62915" s="1"/>
  <c r="R27" i="62915" s="1"/>
  <c r="E580" i="62898"/>
  <c r="E27" i="62915" s="1"/>
  <c r="Q27" i="62915" s="1"/>
  <c r="K578" i="62898"/>
  <c r="K609" i="62898" s="1"/>
  <c r="I578" i="62898"/>
  <c r="I609" i="62898" s="1"/>
  <c r="G578" i="62898"/>
  <c r="G609" i="62898" s="1"/>
  <c r="F578" i="62898"/>
  <c r="F609" i="62898" s="1"/>
  <c r="E578" i="62898"/>
  <c r="E609" i="62898" s="1"/>
  <c r="M555" i="62898"/>
  <c r="M36" i="62914" s="1"/>
  <c r="Y36" i="62914" s="1"/>
  <c r="K555" i="62898"/>
  <c r="K36" i="62914" s="1"/>
  <c r="K41" i="62929" s="1"/>
  <c r="W41" i="62929" s="1"/>
  <c r="G555" i="62898"/>
  <c r="G36" i="62914" s="1"/>
  <c r="G41" i="62929" s="1"/>
  <c r="S41" i="62929" s="1"/>
  <c r="F555" i="62898"/>
  <c r="F36" i="62914" s="1"/>
  <c r="F41" i="62929" s="1"/>
  <c r="R41" i="62929" s="1"/>
  <c r="E555" i="62898"/>
  <c r="E36" i="62914" s="1"/>
  <c r="Q36" i="62914" s="1"/>
  <c r="M545" i="62898"/>
  <c r="K545" i="62898"/>
  <c r="G545" i="62898"/>
  <c r="F545" i="62898"/>
  <c r="E545" i="62898"/>
  <c r="K544" i="62898"/>
  <c r="K25" i="62914" s="1"/>
  <c r="W25" i="62914" s="1"/>
  <c r="J512" i="62898"/>
  <c r="H512" i="62898"/>
  <c r="G512" i="62898"/>
  <c r="F512" i="62898"/>
  <c r="E512" i="62898"/>
  <c r="H514" i="62898"/>
  <c r="H27" i="62912" s="1"/>
  <c r="Q27" i="62912" s="1"/>
  <c r="H520" i="62898"/>
  <c r="H33" i="62912" s="1"/>
  <c r="Q33" i="62912" s="1"/>
  <c r="M95" i="62919"/>
  <c r="M94" i="62919"/>
  <c r="Q69" i="11" s="1"/>
  <c r="U471" i="5"/>
  <c r="U470" i="5"/>
  <c r="U423" i="5"/>
  <c r="U422" i="5"/>
  <c r="U240" i="5"/>
  <c r="U288" i="5"/>
  <c r="U287" i="5"/>
  <c r="U239" i="5"/>
  <c r="U56" i="5"/>
  <c r="U55" i="5"/>
  <c r="U104" i="5"/>
  <c r="H339" i="62925"/>
  <c r="I339" i="62925"/>
  <c r="H337" i="62925"/>
  <c r="I337" i="62925"/>
  <c r="H334" i="62925"/>
  <c r="I334" i="62925"/>
  <c r="H333" i="62925"/>
  <c r="I333" i="62925"/>
  <c r="H333" i="62926"/>
  <c r="I333" i="62926"/>
  <c r="H334" i="62926"/>
  <c r="I334" i="62926"/>
  <c r="H337" i="62926"/>
  <c r="I337" i="62926"/>
  <c r="H339" i="62926"/>
  <c r="I339" i="62926"/>
  <c r="N61" i="62911"/>
  <c r="I61" i="62911" s="1"/>
  <c r="N62" i="62911"/>
  <c r="I62" i="62911" s="1"/>
  <c r="N63" i="62911"/>
  <c r="I63" i="62911" s="1"/>
  <c r="N60" i="62911"/>
  <c r="I60" i="62911" s="1"/>
  <c r="N38" i="62911"/>
  <c r="I38" i="62911" s="1"/>
  <c r="N52" i="62911"/>
  <c r="I52" i="62911" s="1"/>
  <c r="N51" i="62911"/>
  <c r="I51" i="62911" s="1"/>
  <c r="N50" i="62911"/>
  <c r="I50" i="62911" s="1"/>
  <c r="N49" i="62911"/>
  <c r="I49" i="62911" s="1"/>
  <c r="N39" i="62911"/>
  <c r="I39" i="62911" s="1"/>
  <c r="N40" i="62911"/>
  <c r="I40" i="62911" s="1"/>
  <c r="N41" i="62911"/>
  <c r="I41" i="62911" s="1"/>
  <c r="F95" i="5"/>
  <c r="F279" i="5"/>
  <c r="F462" i="5"/>
  <c r="AK89" i="5"/>
  <c r="AK95" i="5" s="1"/>
  <c r="AK97" i="5" s="1"/>
  <c r="AK273" i="5"/>
  <c r="AK279" i="5" s="1"/>
  <c r="AK281" i="5" s="1"/>
  <c r="AK456" i="5"/>
  <c r="AK462" i="5" s="1"/>
  <c r="AK464" i="5" s="1"/>
  <c r="AN89" i="5"/>
  <c r="AN95" i="5" s="1"/>
  <c r="AN97" i="5" s="1"/>
  <c r="AN273" i="5"/>
  <c r="AN279" i="5" s="1"/>
  <c r="AN281" i="5" s="1"/>
  <c r="AN456" i="5"/>
  <c r="AN462" i="5" s="1"/>
  <c r="AN464" i="5" s="1"/>
  <c r="AQ89" i="5"/>
  <c r="AQ95" i="5" s="1"/>
  <c r="AQ97" i="5" s="1"/>
  <c r="AQ273" i="5"/>
  <c r="AQ279" i="5" s="1"/>
  <c r="AQ281" i="5" s="1"/>
  <c r="AQ456" i="5"/>
  <c r="AQ462" i="5" s="1"/>
  <c r="AQ464" i="5" s="1"/>
  <c r="AJ215" i="62898"/>
  <c r="AJ221" i="62898" s="1"/>
  <c r="AJ223" i="62898" s="1"/>
  <c r="AM215" i="62898"/>
  <c r="AM221" i="62898" s="1"/>
  <c r="AM223" i="62898" s="1"/>
  <c r="AP215" i="62898"/>
  <c r="AP221" i="62898" s="1"/>
  <c r="AP223" i="62898" s="1"/>
  <c r="Z18" i="11"/>
  <c r="Z32" i="11"/>
  <c r="Z46" i="11"/>
  <c r="Z59" i="11"/>
  <c r="AB18" i="11"/>
  <c r="AB32" i="11"/>
  <c r="AB46" i="11"/>
  <c r="AB59" i="11"/>
  <c r="AD18" i="11"/>
  <c r="AD32" i="11"/>
  <c r="AD46" i="11"/>
  <c r="AD59" i="11"/>
  <c r="L63" i="9"/>
  <c r="D63" i="9" s="1"/>
  <c r="AH63" i="9" s="1"/>
  <c r="AP63" i="9" s="1"/>
  <c r="L64" i="9"/>
  <c r="D64" i="9" s="1"/>
  <c r="AH64" i="9" s="1"/>
  <c r="L65" i="9"/>
  <c r="D65" i="9" s="1"/>
  <c r="L66" i="9"/>
  <c r="D66" i="9" s="1"/>
  <c r="AH66" i="9" s="1"/>
  <c r="L74" i="9"/>
  <c r="D74" i="9" s="1"/>
  <c r="L75" i="9"/>
  <c r="D75" i="9" s="1"/>
  <c r="AH75" i="9" s="1"/>
  <c r="L76" i="9"/>
  <c r="D76" i="9" s="1"/>
  <c r="AH76" i="9" s="1"/>
  <c r="L77" i="9"/>
  <c r="D77" i="9" s="1"/>
  <c r="AH77" i="9" s="1"/>
  <c r="J85" i="9"/>
  <c r="D85" i="9" s="1"/>
  <c r="J86" i="9"/>
  <c r="D86" i="9" s="1"/>
  <c r="AH86" i="9" s="1"/>
  <c r="AP86" i="9" s="1"/>
  <c r="J87" i="9"/>
  <c r="D87" i="9" s="1"/>
  <c r="AH87" i="9" s="1"/>
  <c r="AP87" i="9" s="1"/>
  <c r="J88" i="9"/>
  <c r="D88" i="9" s="1"/>
  <c r="AH88" i="9" s="1"/>
  <c r="AP88" i="9" s="1"/>
  <c r="L135" i="9"/>
  <c r="D135" i="9" s="1"/>
  <c r="AH135" i="9" s="1"/>
  <c r="L136" i="9"/>
  <c r="D136" i="9" s="1"/>
  <c r="L137" i="9"/>
  <c r="D137" i="9" s="1"/>
  <c r="AH137" i="9" s="1"/>
  <c r="L138" i="9"/>
  <c r="D138" i="9" s="1"/>
  <c r="AH138" i="9" s="1"/>
  <c r="L146" i="9"/>
  <c r="D146" i="9" s="1"/>
  <c r="L147" i="9"/>
  <c r="D147" i="9" s="1"/>
  <c r="AH147" i="9" s="1"/>
  <c r="L148" i="9"/>
  <c r="D148" i="9" s="1"/>
  <c r="AH148" i="9" s="1"/>
  <c r="L149" i="9"/>
  <c r="D149" i="9" s="1"/>
  <c r="AH149" i="9" s="1"/>
  <c r="J157" i="9"/>
  <c r="D157" i="9" s="1"/>
  <c r="J158" i="9"/>
  <c r="D158" i="9" s="1"/>
  <c r="J159" i="9"/>
  <c r="D159" i="9" s="1"/>
  <c r="J160" i="9"/>
  <c r="D160" i="9" s="1"/>
  <c r="AH160" i="9" s="1"/>
  <c r="AP160" i="9" s="1"/>
  <c r="L180" i="9"/>
  <c r="D180" i="9" s="1"/>
  <c r="L181" i="9"/>
  <c r="D181" i="9" s="1"/>
  <c r="AH181" i="9" s="1"/>
  <c r="L182" i="9"/>
  <c r="L183" i="9"/>
  <c r="D183" i="9" s="1"/>
  <c r="AH183" i="9" s="1"/>
  <c r="L191" i="9"/>
  <c r="D191" i="9" s="1"/>
  <c r="AH191" i="9" s="1"/>
  <c r="AP191" i="9" s="1"/>
  <c r="L192" i="9"/>
  <c r="D192" i="9" s="1"/>
  <c r="AH192" i="9" s="1"/>
  <c r="L193" i="9"/>
  <c r="L194" i="9"/>
  <c r="D194" i="9" s="1"/>
  <c r="AH194" i="9" s="1"/>
  <c r="J202" i="9"/>
  <c r="D202" i="9" s="1"/>
  <c r="J203" i="9"/>
  <c r="D203" i="9" s="1"/>
  <c r="AH203" i="9" s="1"/>
  <c r="AP203" i="9" s="1"/>
  <c r="J204" i="9"/>
  <c r="D204" i="9" s="1"/>
  <c r="AH204" i="9" s="1"/>
  <c r="AP204" i="9" s="1"/>
  <c r="J205" i="9"/>
  <c r="D205" i="9" s="1"/>
  <c r="AH205" i="9" s="1"/>
  <c r="AP205" i="9" s="1"/>
  <c r="J16" i="9"/>
  <c r="D16" i="9" s="1"/>
  <c r="AH16" i="9" s="1"/>
  <c r="AP16" i="9" s="1"/>
  <c r="J17" i="9"/>
  <c r="D17" i="9" s="1"/>
  <c r="J18" i="9"/>
  <c r="D18" i="9" s="1"/>
  <c r="AH18" i="9" s="1"/>
  <c r="AP18" i="9" s="1"/>
  <c r="AH19" i="9"/>
  <c r="K43" i="9"/>
  <c r="D43" i="9" s="1"/>
  <c r="AH43" i="9" s="1"/>
  <c r="K44" i="9"/>
  <c r="D44" i="9" s="1"/>
  <c r="AH44" i="9" s="1"/>
  <c r="K45" i="9"/>
  <c r="D45" i="9" s="1"/>
  <c r="AH45" i="9" s="1"/>
  <c r="J214" i="9"/>
  <c r="D214" i="9" s="1"/>
  <c r="J215" i="9"/>
  <c r="D215" i="9" s="1"/>
  <c r="K239" i="9"/>
  <c r="AH239" i="9" s="1"/>
  <c r="AJ20" i="9"/>
  <c r="AL20" i="9"/>
  <c r="E170" i="62927"/>
  <c r="F170" i="62927"/>
  <c r="G170" i="62927"/>
  <c r="F13" i="62918"/>
  <c r="G13" i="62918" s="1"/>
  <c r="F14" i="62918"/>
  <c r="G14" i="62918" s="1"/>
  <c r="F15" i="62918"/>
  <c r="G15" i="62918" s="1"/>
  <c r="F16" i="62918"/>
  <c r="G16" i="62918" s="1"/>
  <c r="F17" i="62918"/>
  <c r="G17" i="62918" s="1"/>
  <c r="F18" i="62918"/>
  <c r="G18" i="62918" s="1"/>
  <c r="F19" i="62918"/>
  <c r="G19" i="62918" s="1"/>
  <c r="F20" i="62918"/>
  <c r="G20" i="62918" s="1"/>
  <c r="F21" i="62918"/>
  <c r="G21" i="62918" s="1"/>
  <c r="F22" i="62918"/>
  <c r="G22" i="62918" s="1"/>
  <c r="F23" i="62918"/>
  <c r="G23" i="62918" s="1"/>
  <c r="F24" i="62918"/>
  <c r="G24" i="62918" s="1"/>
  <c r="F25" i="62918"/>
  <c r="G25" i="62918" s="1"/>
  <c r="F26" i="62918"/>
  <c r="G26" i="62918" s="1"/>
  <c r="F27" i="62918"/>
  <c r="G27" i="62918" s="1"/>
  <c r="F28" i="62918"/>
  <c r="G28" i="62918" s="1"/>
  <c r="F29" i="62918"/>
  <c r="G29" i="62918" s="1"/>
  <c r="F30" i="62918"/>
  <c r="G30" i="62918" s="1"/>
  <c r="F31" i="62918"/>
  <c r="G31" i="62918" s="1"/>
  <c r="F32" i="62918"/>
  <c r="G32" i="62918" s="1"/>
  <c r="F33" i="62918"/>
  <c r="G33" i="62918" s="1"/>
  <c r="F34" i="62918"/>
  <c r="G34" i="62918" s="1"/>
  <c r="F35" i="62918"/>
  <c r="G35" i="62918" s="1"/>
  <c r="F36" i="62918"/>
  <c r="G36" i="62918" s="1"/>
  <c r="F37" i="62918"/>
  <c r="G37" i="62918" s="1"/>
  <c r="F38" i="62918"/>
  <c r="G38" i="62918" s="1"/>
  <c r="F39" i="62918"/>
  <c r="G39" i="62918" s="1"/>
  <c r="F40" i="62918"/>
  <c r="G40" i="62918" s="1"/>
  <c r="F41" i="62918"/>
  <c r="G41" i="62918" s="1"/>
  <c r="F42" i="62918"/>
  <c r="G42" i="62918" s="1"/>
  <c r="F43" i="62918"/>
  <c r="G43" i="62918" s="1"/>
  <c r="F44" i="62918"/>
  <c r="G44" i="62918" s="1"/>
  <c r="F45" i="62918"/>
  <c r="G45" i="62918" s="1"/>
  <c r="F46" i="62918"/>
  <c r="G46" i="62918" s="1"/>
  <c r="F47" i="62918"/>
  <c r="G47" i="62918" s="1"/>
  <c r="F48" i="62918"/>
  <c r="G48" i="62918" s="1"/>
  <c r="F49" i="62918"/>
  <c r="G49" i="62918" s="1"/>
  <c r="F50" i="62918"/>
  <c r="G50" i="62918" s="1"/>
  <c r="F51" i="62918"/>
  <c r="G51" i="62918" s="1"/>
  <c r="F52" i="62918"/>
  <c r="G52" i="62918" s="1"/>
  <c r="F53" i="62918"/>
  <c r="G53" i="62918" s="1"/>
  <c r="F54" i="62918"/>
  <c r="G54" i="62918" s="1"/>
  <c r="F55" i="62918"/>
  <c r="G55" i="62918" s="1"/>
  <c r="F56" i="62918"/>
  <c r="G56" i="62918" s="1"/>
  <c r="F57" i="62918"/>
  <c r="G57" i="62918" s="1"/>
  <c r="F58" i="62918"/>
  <c r="G58" i="62918" s="1"/>
  <c r="F59" i="62918"/>
  <c r="G59" i="62918" s="1"/>
  <c r="F60" i="62918"/>
  <c r="G60" i="62918" s="1"/>
  <c r="F61" i="62918"/>
  <c r="G61" i="62918" s="1"/>
  <c r="F62" i="62918"/>
  <c r="G62" i="62918" s="1"/>
  <c r="F63" i="62918"/>
  <c r="G63" i="62918" s="1"/>
  <c r="F64" i="62918"/>
  <c r="G64" i="62918" s="1"/>
  <c r="F65" i="62918"/>
  <c r="G65" i="62918" s="1"/>
  <c r="F66" i="62918"/>
  <c r="G66" i="62918" s="1"/>
  <c r="F67" i="62918"/>
  <c r="G67" i="62918" s="1"/>
  <c r="F68" i="62918"/>
  <c r="G68" i="62918" s="1"/>
  <c r="F69" i="62918"/>
  <c r="G69" i="62918" s="1"/>
  <c r="F80" i="62918"/>
  <c r="G80" i="62918" s="1"/>
  <c r="F81" i="62918"/>
  <c r="G81" i="62918" s="1"/>
  <c r="F82" i="62918"/>
  <c r="G82" i="62918" s="1"/>
  <c r="K84" i="62918"/>
  <c r="H24" i="62927" s="1"/>
  <c r="K170" i="62927"/>
  <c r="E170" i="3"/>
  <c r="F170" i="3"/>
  <c r="G170" i="3"/>
  <c r="K170" i="3"/>
  <c r="E171" i="62927"/>
  <c r="F171" i="62927"/>
  <c r="G171" i="62927"/>
  <c r="K171" i="62927"/>
  <c r="K171" i="3"/>
  <c r="E29" i="62914"/>
  <c r="F694" i="5"/>
  <c r="F29" i="62914" s="1"/>
  <c r="G694" i="5"/>
  <c r="G29" i="62914" s="1"/>
  <c r="K694" i="5"/>
  <c r="K29" i="62914" s="1"/>
  <c r="F83" i="62904"/>
  <c r="P20" i="62911"/>
  <c r="H94" i="62904"/>
  <c r="I94" i="62904" s="1"/>
  <c r="D94" i="62904" s="1"/>
  <c r="AI53" i="62904"/>
  <c r="AI63" i="62904"/>
  <c r="AI77" i="62904"/>
  <c r="AI85" i="62904"/>
  <c r="H97" i="62904"/>
  <c r="I97" i="62904" s="1"/>
  <c r="AI97" i="62904" s="1"/>
  <c r="K168" i="62904"/>
  <c r="AK53" i="62904"/>
  <c r="AK63" i="62904"/>
  <c r="AK77" i="62904"/>
  <c r="AK85" i="62904"/>
  <c r="AR99" i="62904"/>
  <c r="AS99" i="62904" s="1"/>
  <c r="AR100" i="62904"/>
  <c r="AS100" i="62904" s="1"/>
  <c r="AR101" i="62904"/>
  <c r="AS101" i="62904" s="1"/>
  <c r="K332" i="62905"/>
  <c r="I365" i="62905" s="1"/>
  <c r="L34" i="62914"/>
  <c r="L39" i="62929" s="1"/>
  <c r="X39" i="62929" s="1"/>
  <c r="V317" i="7"/>
  <c r="W318" i="7"/>
  <c r="F399" i="7" s="1"/>
  <c r="X318" i="7"/>
  <c r="G399" i="7" s="1"/>
  <c r="Y318" i="7"/>
  <c r="K399" i="7" s="1"/>
  <c r="V315" i="62928"/>
  <c r="W316" i="62928"/>
  <c r="F397" i="62928" s="1"/>
  <c r="X316" i="62928"/>
  <c r="G397" i="62928" s="1"/>
  <c r="Y316" i="62928"/>
  <c r="K397" i="62928" s="1"/>
  <c r="K399" i="62928" s="1"/>
  <c r="M257" i="62925"/>
  <c r="M261" i="62925" s="1"/>
  <c r="M156" i="62927"/>
  <c r="M156" i="3"/>
  <c r="M157" i="62927"/>
  <c r="M157" i="3"/>
  <c r="AW89" i="5"/>
  <c r="AW95" i="5" s="1"/>
  <c r="AW97" i="5" s="1"/>
  <c r="AW273" i="5"/>
  <c r="AW279" i="5" s="1"/>
  <c r="AW281" i="5" s="1"/>
  <c r="AW456" i="5"/>
  <c r="AW462" i="5" s="1"/>
  <c r="AW464" i="5" s="1"/>
  <c r="AV215" i="62898"/>
  <c r="AV221" i="62898" s="1"/>
  <c r="AV223" i="62898" s="1"/>
  <c r="M687" i="5"/>
  <c r="M22" i="62914" s="1"/>
  <c r="M694" i="5"/>
  <c r="M29" i="62914" s="1"/>
  <c r="M170" i="62927"/>
  <c r="M170" i="3"/>
  <c r="M171" i="62927"/>
  <c r="AA33" i="7"/>
  <c r="AA19" i="7"/>
  <c r="AA47" i="7"/>
  <c r="AA60" i="7"/>
  <c r="AA74" i="7"/>
  <c r="AA304" i="7"/>
  <c r="AA19" i="62928"/>
  <c r="AA33" i="62928"/>
  <c r="AA47" i="62928"/>
  <c r="AA60" i="62928"/>
  <c r="AA74" i="62928"/>
  <c r="AA304" i="62928"/>
  <c r="AH18" i="11"/>
  <c r="AH32" i="11"/>
  <c r="AH46" i="11"/>
  <c r="AH59" i="11"/>
  <c r="AR20" i="9"/>
  <c r="AR47" i="9"/>
  <c r="AR57" i="9"/>
  <c r="AR68" i="9"/>
  <c r="AR79" i="9"/>
  <c r="AR90" i="9"/>
  <c r="AR102" i="9"/>
  <c r="AR129" i="9"/>
  <c r="AR140" i="9"/>
  <c r="AR151" i="9"/>
  <c r="AR162" i="9"/>
  <c r="AR174" i="9"/>
  <c r="AR185" i="9"/>
  <c r="AR196" i="9"/>
  <c r="AR207" i="9"/>
  <c r="AR217" i="9"/>
  <c r="M34" i="62914"/>
  <c r="M39" i="62929" s="1"/>
  <c r="Y39" i="62929" s="1"/>
  <c r="AA318" i="7"/>
  <c r="M399" i="7" s="1"/>
  <c r="AA316" i="62928"/>
  <c r="M397" i="62928" s="1"/>
  <c r="M263" i="62926"/>
  <c r="M263" i="62925"/>
  <c r="AR13" i="62926"/>
  <c r="AS13" i="62926"/>
  <c r="AT13" i="62926"/>
  <c r="AU13" i="62926"/>
  <c r="AR14" i="62926"/>
  <c r="AS14" i="62926"/>
  <c r="AT14" i="62926"/>
  <c r="AU14" i="62926"/>
  <c r="AS16" i="62926"/>
  <c r="AT16" i="62926"/>
  <c r="AS19" i="62926"/>
  <c r="AT19" i="62926"/>
  <c r="AU19" i="62926"/>
  <c r="AR20" i="62926"/>
  <c r="AR22" i="62926"/>
  <c r="AS22" i="62926"/>
  <c r="AT22" i="62926"/>
  <c r="AR23" i="62926"/>
  <c r="AS23" i="62926"/>
  <c r="AT23" i="62926"/>
  <c r="AR25" i="62926"/>
  <c r="AS25" i="62926"/>
  <c r="AT25" i="62926"/>
  <c r="AS37" i="62926"/>
  <c r="AS38" i="62926"/>
  <c r="AS46" i="62926"/>
  <c r="AS48" i="62926"/>
  <c r="AS50" i="62926"/>
  <c r="AS52" i="62926"/>
  <c r="AR13" i="62925"/>
  <c r="AS13" i="62925"/>
  <c r="AT13" i="62925"/>
  <c r="AU13" i="62925"/>
  <c r="AR14" i="62925"/>
  <c r="AS14" i="62925"/>
  <c r="AT14" i="62925"/>
  <c r="AU14" i="62925"/>
  <c r="AS16" i="62925"/>
  <c r="AT16" i="62925"/>
  <c r="AS19" i="62925"/>
  <c r="AT19" i="62925"/>
  <c r="AU19" i="62925"/>
  <c r="AR20" i="62925"/>
  <c r="AR22" i="62925"/>
  <c r="AS22" i="62925"/>
  <c r="AT22" i="62925"/>
  <c r="AR23" i="62925"/>
  <c r="AS23" i="62925"/>
  <c r="AT23" i="62925"/>
  <c r="AR25" i="62925"/>
  <c r="AS25" i="62925"/>
  <c r="AT25" i="62925"/>
  <c r="AS37" i="62925"/>
  <c r="AS38" i="62925"/>
  <c r="AS46" i="62925"/>
  <c r="AS48" i="62925"/>
  <c r="AS50" i="62925"/>
  <c r="AS52" i="62925"/>
  <c r="BI55" i="5"/>
  <c r="BJ55" i="5"/>
  <c r="BK55" i="5"/>
  <c r="BH56" i="5"/>
  <c r="BI103" i="5"/>
  <c r="BJ103" i="5"/>
  <c r="BK103" i="5"/>
  <c r="BH104" i="5"/>
  <c r="BI239" i="5"/>
  <c r="BJ239" i="5"/>
  <c r="BK239" i="5"/>
  <c r="BH240" i="5"/>
  <c r="BI287" i="5"/>
  <c r="BJ287" i="5"/>
  <c r="BK287" i="5"/>
  <c r="BH288" i="5"/>
  <c r="BI422" i="5"/>
  <c r="BJ422" i="5"/>
  <c r="BK422" i="5"/>
  <c r="BH423" i="5"/>
  <c r="BI470" i="5"/>
  <c r="BJ470" i="5"/>
  <c r="BK470" i="5"/>
  <c r="BH471" i="5"/>
  <c r="F14" i="62922"/>
  <c r="G14" i="62922" s="1"/>
  <c r="F133" i="62922"/>
  <c r="G133" i="62922" s="1"/>
  <c r="F258" i="62922"/>
  <c r="G258" i="62922" s="1"/>
  <c r="F285" i="62922"/>
  <c r="G285" i="62922" s="1"/>
  <c r="F478" i="62922"/>
  <c r="G548" i="62922"/>
  <c r="BH17" i="5"/>
  <c r="BH18" i="5"/>
  <c r="BH19" i="5"/>
  <c r="BH40" i="5"/>
  <c r="BH41" i="5"/>
  <c r="BH42" i="5"/>
  <c r="BH43" i="5"/>
  <c r="BH44" i="5"/>
  <c r="BH74" i="5"/>
  <c r="BH75" i="5"/>
  <c r="BH76" i="5"/>
  <c r="BH141" i="5"/>
  <c r="BH142" i="5"/>
  <c r="BH143" i="5"/>
  <c r="BH164" i="5"/>
  <c r="BH165" i="5"/>
  <c r="BH166" i="5"/>
  <c r="BH184" i="5"/>
  <c r="BH185" i="5"/>
  <c r="BH186" i="5"/>
  <c r="BH200" i="5"/>
  <c r="BH201" i="5"/>
  <c r="BH202" i="5"/>
  <c r="BH223" i="5"/>
  <c r="BH224" i="5"/>
  <c r="BH225" i="5"/>
  <c r="BH226" i="5"/>
  <c r="BH227" i="5"/>
  <c r="BH258" i="5"/>
  <c r="BH259" i="5"/>
  <c r="BH260" i="5"/>
  <c r="BH325" i="5"/>
  <c r="BH326" i="5"/>
  <c r="BH327" i="5"/>
  <c r="BH348" i="5"/>
  <c r="BH349" i="5"/>
  <c r="BH350" i="5"/>
  <c r="BH368" i="5"/>
  <c r="BH369" i="5"/>
  <c r="BH370" i="5"/>
  <c r="BH384" i="5"/>
  <c r="BH385" i="5"/>
  <c r="BH386" i="5"/>
  <c r="BH407" i="5"/>
  <c r="BH408" i="5"/>
  <c r="BH409" i="5"/>
  <c r="BH410" i="5"/>
  <c r="BH411" i="5"/>
  <c r="BH441" i="5"/>
  <c r="BH442" i="5"/>
  <c r="BH443" i="5"/>
  <c r="BH508" i="5"/>
  <c r="BH509" i="5"/>
  <c r="BH510" i="5"/>
  <c r="BH531" i="5"/>
  <c r="BH532" i="5"/>
  <c r="BH533" i="5"/>
  <c r="BH551" i="5"/>
  <c r="BH552" i="5"/>
  <c r="BH553" i="5"/>
  <c r="BI251" i="62898"/>
  <c r="BJ251" i="62898"/>
  <c r="BK251" i="62898"/>
  <c r="BH252" i="62898"/>
  <c r="BI295" i="62898"/>
  <c r="BJ295" i="62898"/>
  <c r="BK295" i="62898"/>
  <c r="BH296" i="62898"/>
  <c r="BH16" i="62898"/>
  <c r="BH17" i="62898"/>
  <c r="BH18" i="62898"/>
  <c r="BH19" i="62898"/>
  <c r="BH40" i="62898"/>
  <c r="BH41" i="62898"/>
  <c r="BH66" i="62898"/>
  <c r="BH67" i="62898"/>
  <c r="BH68" i="62898"/>
  <c r="BH86" i="62898"/>
  <c r="BH87" i="62898"/>
  <c r="BH88" i="62898"/>
  <c r="BH96" i="62898"/>
  <c r="BH97" i="62898"/>
  <c r="BH120" i="62898"/>
  <c r="BH121" i="62898"/>
  <c r="BH122" i="62898"/>
  <c r="BH123" i="62898"/>
  <c r="BH270" i="62898"/>
  <c r="BH271" i="62898"/>
  <c r="BH272" i="62898"/>
  <c r="BH273" i="62898"/>
  <c r="BH281" i="62898"/>
  <c r="BH282" i="62898"/>
  <c r="BH283" i="62898"/>
  <c r="BH284" i="62898"/>
  <c r="BH314" i="62898"/>
  <c r="BH315" i="62898"/>
  <c r="BH316" i="62898"/>
  <c r="BH328" i="62898"/>
  <c r="BH329" i="62898"/>
  <c r="BH330" i="62898"/>
  <c r="BH331" i="62898"/>
  <c r="AC28" i="9"/>
  <c r="AC29" i="9"/>
  <c r="AC31" i="9"/>
  <c r="AC32" i="9"/>
  <c r="AC34" i="9"/>
  <c r="AC35" i="9"/>
  <c r="AC108" i="9"/>
  <c r="AC109" i="9"/>
  <c r="AC111" i="9"/>
  <c r="AC112" i="9"/>
  <c r="AC114" i="9"/>
  <c r="AC115" i="9"/>
  <c r="Y13" i="62927"/>
  <c r="Z13" i="62927" s="1"/>
  <c r="O13" i="62927" s="1"/>
  <c r="Y24" i="62927"/>
  <c r="Z24" i="62927" s="1"/>
  <c r="Y32" i="62927"/>
  <c r="Z32" i="62927" s="1"/>
  <c r="H43" i="62927"/>
  <c r="I43" i="62927" s="1"/>
  <c r="Y43" i="62927"/>
  <c r="Z43" i="62927" s="1"/>
  <c r="H44" i="62927"/>
  <c r="I44" i="62927" s="1"/>
  <c r="V44" i="62927" s="1"/>
  <c r="Y44" i="62927"/>
  <c r="Z44" i="62927" s="1"/>
  <c r="Y55" i="62927"/>
  <c r="Y56" i="62927"/>
  <c r="Y57" i="62927"/>
  <c r="Y68" i="62927"/>
  <c r="Y69" i="62927"/>
  <c r="Y70" i="62927"/>
  <c r="Y71" i="62927"/>
  <c r="Y72" i="62927"/>
  <c r="Y73" i="62927"/>
  <c r="Y81" i="62927"/>
  <c r="Y82" i="62927"/>
  <c r="Y83" i="62927"/>
  <c r="Y85" i="62927"/>
  <c r="Y86" i="62927"/>
  <c r="Y96" i="62927"/>
  <c r="Y97" i="62927"/>
  <c r="Y98" i="62927"/>
  <c r="Y13" i="3"/>
  <c r="Z13" i="3" s="1"/>
  <c r="O13" i="3" s="1"/>
  <c r="H24" i="3"/>
  <c r="Y24" i="3"/>
  <c r="Z24" i="3" s="1"/>
  <c r="Y32" i="3"/>
  <c r="Z32" i="3" s="1"/>
  <c r="H43" i="3"/>
  <c r="I43" i="3" s="1"/>
  <c r="V43" i="3" s="1"/>
  <c r="Y43" i="3"/>
  <c r="Z43" i="3" s="1"/>
  <c r="H44" i="3"/>
  <c r="I44" i="3" s="1"/>
  <c r="S44" i="3" s="1"/>
  <c r="Y44" i="3"/>
  <c r="Z44" i="3" s="1"/>
  <c r="Y55" i="3"/>
  <c r="Y56" i="3"/>
  <c r="Y57" i="3"/>
  <c r="Y68" i="3"/>
  <c r="Y69" i="3"/>
  <c r="Y70" i="3"/>
  <c r="Y71" i="3"/>
  <c r="Y72" i="3"/>
  <c r="Y73" i="3"/>
  <c r="Y81" i="3"/>
  <c r="Y82" i="3"/>
  <c r="Y83" i="3"/>
  <c r="Y85" i="3"/>
  <c r="Y86" i="3"/>
  <c r="Y96" i="3"/>
  <c r="Y97" i="3"/>
  <c r="Y98" i="3"/>
  <c r="AS91" i="62926"/>
  <c r="AS92" i="62926"/>
  <c r="AS93" i="62926"/>
  <c r="AR101" i="62926"/>
  <c r="AR102" i="62926"/>
  <c r="AR103" i="62926"/>
  <c r="AR105" i="62926"/>
  <c r="AR106" i="62926"/>
  <c r="AR107" i="62926"/>
  <c r="AS180" i="62926"/>
  <c r="AS181" i="62926"/>
  <c r="AS182" i="62926"/>
  <c r="AS91" i="62925"/>
  <c r="AS92" i="62925"/>
  <c r="AS93" i="62925"/>
  <c r="AR101" i="62925"/>
  <c r="AR102" i="62925"/>
  <c r="AR103" i="62925"/>
  <c r="AR105" i="62925"/>
  <c r="AR106" i="62925"/>
  <c r="AR107" i="62925"/>
  <c r="AS180" i="62925"/>
  <c r="AS181" i="62925"/>
  <c r="AS182" i="62925"/>
  <c r="N263" i="62926"/>
  <c r="N263" i="62925"/>
  <c r="E263" i="62926"/>
  <c r="F263" i="62926"/>
  <c r="G263" i="62926"/>
  <c r="E263" i="62925"/>
  <c r="F263" i="62925"/>
  <c r="G263" i="62925"/>
  <c r="E257" i="62925"/>
  <c r="E261" i="62925" s="1"/>
  <c r="F257" i="62925"/>
  <c r="F261" i="62925" s="1"/>
  <c r="G257" i="62925"/>
  <c r="G261" i="62925" s="1"/>
  <c r="E156" i="62927"/>
  <c r="F156" i="62927"/>
  <c r="G156" i="62927"/>
  <c r="K156" i="62927"/>
  <c r="E156" i="3"/>
  <c r="F156" i="3"/>
  <c r="G156" i="3"/>
  <c r="E157" i="62927"/>
  <c r="F157" i="62927"/>
  <c r="G157" i="62927"/>
  <c r="K157" i="62927"/>
  <c r="E157" i="3"/>
  <c r="F157" i="3"/>
  <c r="G157" i="3"/>
  <c r="K157" i="3"/>
  <c r="C15" i="62929"/>
  <c r="D15" i="62929"/>
  <c r="H10" i="62914"/>
  <c r="T10" i="62914" s="1"/>
  <c r="I10" i="62914"/>
  <c r="U10" i="62914" s="1"/>
  <c r="J10" i="62914"/>
  <c r="V10" i="62914" s="1"/>
  <c r="K10" i="62914"/>
  <c r="K15" i="62929" s="1"/>
  <c r="W15" i="62929" s="1"/>
  <c r="O10" i="62914"/>
  <c r="AA10" i="62914" s="1"/>
  <c r="C16" i="62929"/>
  <c r="D16" i="62929"/>
  <c r="H11" i="62914"/>
  <c r="H16" i="62929" s="1"/>
  <c r="T16" i="62929" s="1"/>
  <c r="I11" i="62914"/>
  <c r="I16" i="62929" s="1"/>
  <c r="U16" i="62929" s="1"/>
  <c r="J11" i="62914"/>
  <c r="J16" i="62929" s="1"/>
  <c r="V16" i="62929" s="1"/>
  <c r="O11" i="62914"/>
  <c r="O16" i="62929" s="1"/>
  <c r="AA16" i="62929" s="1"/>
  <c r="C17" i="62929"/>
  <c r="D17" i="62929"/>
  <c r="O12" i="62914"/>
  <c r="O17" i="62929" s="1"/>
  <c r="AA17" i="62929" s="1"/>
  <c r="C18" i="62929"/>
  <c r="D18" i="62929"/>
  <c r="O13" i="62914"/>
  <c r="C19" i="62929"/>
  <c r="C20" i="62929"/>
  <c r="D20" i="62929"/>
  <c r="H15" i="62914"/>
  <c r="T15" i="62914" s="1"/>
  <c r="I15" i="62914"/>
  <c r="I20" i="62929" s="1"/>
  <c r="U20" i="62929" s="1"/>
  <c r="J15" i="62914"/>
  <c r="V15" i="62914" s="1"/>
  <c r="O15" i="62914"/>
  <c r="O20" i="62929" s="1"/>
  <c r="AA20" i="62929" s="1"/>
  <c r="C21" i="62929"/>
  <c r="D21" i="62929"/>
  <c r="H16" i="62914"/>
  <c r="H21" i="62929" s="1"/>
  <c r="T21" i="62929" s="1"/>
  <c r="I16" i="62914"/>
  <c r="I21" i="62929" s="1"/>
  <c r="U21" i="62929" s="1"/>
  <c r="J16" i="62914"/>
  <c r="J21" i="62929" s="1"/>
  <c r="V21" i="62929" s="1"/>
  <c r="K16" i="62914"/>
  <c r="K21" i="62929" s="1"/>
  <c r="W21" i="62929" s="1"/>
  <c r="O16" i="62914"/>
  <c r="O21" i="62929" s="1"/>
  <c r="AA21" i="62929" s="1"/>
  <c r="C22" i="62929"/>
  <c r="C23" i="62929"/>
  <c r="C24" i="62929"/>
  <c r="D24" i="62929"/>
  <c r="V303" i="7"/>
  <c r="V303" i="62928"/>
  <c r="W33" i="7"/>
  <c r="W19" i="7"/>
  <c r="W60" i="7"/>
  <c r="W74" i="7"/>
  <c r="W304" i="7"/>
  <c r="W19" i="62928"/>
  <c r="W33" i="62928"/>
  <c r="W60" i="62928"/>
  <c r="W74" i="62928"/>
  <c r="W304" i="62928"/>
  <c r="X33" i="7"/>
  <c r="X19" i="7"/>
  <c r="X60" i="7"/>
  <c r="X74" i="7"/>
  <c r="X304" i="7"/>
  <c r="X19" i="62928"/>
  <c r="X33" i="62928"/>
  <c r="X60" i="62928"/>
  <c r="X74" i="62928"/>
  <c r="X304" i="62928"/>
  <c r="H19" i="62914"/>
  <c r="H24" i="62929" s="1"/>
  <c r="T24" i="62929" s="1"/>
  <c r="I19" i="62914"/>
  <c r="I24" i="62929" s="1"/>
  <c r="U24" i="62929" s="1"/>
  <c r="J19" i="62914"/>
  <c r="J24" i="62929" s="1"/>
  <c r="V24" i="62929" s="1"/>
  <c r="AC28" i="7"/>
  <c r="AC29" i="7"/>
  <c r="AC30" i="7"/>
  <c r="AC31" i="7"/>
  <c r="AC14" i="7"/>
  <c r="AC15" i="7"/>
  <c r="AC16" i="7"/>
  <c r="AC17" i="7"/>
  <c r="AC42" i="7"/>
  <c r="AC43" i="7"/>
  <c r="AC44" i="7"/>
  <c r="AC45" i="7"/>
  <c r="AC56" i="7"/>
  <c r="AC57" i="7"/>
  <c r="AC58" i="7"/>
  <c r="AC69" i="7"/>
  <c r="AC70" i="7"/>
  <c r="AC71" i="7"/>
  <c r="AC72" i="7"/>
  <c r="AC174" i="7"/>
  <c r="AC175" i="7"/>
  <c r="AC176" i="7"/>
  <c r="AC180" i="7"/>
  <c r="AC181" i="7"/>
  <c r="AC182" i="7"/>
  <c r="AC183" i="7"/>
  <c r="AC195" i="7"/>
  <c r="AC200" i="7"/>
  <c r="AC201" i="7"/>
  <c r="AC14" i="62928"/>
  <c r="AC15" i="62928"/>
  <c r="AC16" i="62928"/>
  <c r="AC17" i="62928"/>
  <c r="AC28" i="62928"/>
  <c r="AC29" i="62928"/>
  <c r="AC30" i="62928"/>
  <c r="AC31" i="62928"/>
  <c r="AC42" i="62928"/>
  <c r="AC43" i="62928"/>
  <c r="AC44" i="62928"/>
  <c r="AC45" i="62928"/>
  <c r="AC56" i="62928"/>
  <c r="AC57" i="62928"/>
  <c r="AC58" i="62928"/>
  <c r="AC69" i="62928"/>
  <c r="AC70" i="62928"/>
  <c r="AC71" i="62928"/>
  <c r="AC72" i="62928"/>
  <c r="AC174" i="62928"/>
  <c r="AC175" i="62928"/>
  <c r="AC176" i="62928"/>
  <c r="AC180" i="62928"/>
  <c r="AC181" i="62928"/>
  <c r="AC182" i="62928"/>
  <c r="AC183" i="62928"/>
  <c r="AC195" i="62928"/>
  <c r="AK13" i="11"/>
  <c r="AN13" i="11" s="1"/>
  <c r="AK14" i="11"/>
  <c r="AN14" i="11" s="1"/>
  <c r="AK15" i="11"/>
  <c r="AN15" i="11" s="1"/>
  <c r="AK16" i="11"/>
  <c r="AN16" i="11" s="1"/>
  <c r="AK27" i="11"/>
  <c r="AK28" i="11"/>
  <c r="AK29" i="11"/>
  <c r="AK30" i="11"/>
  <c r="AK41" i="11"/>
  <c r="AN41" i="11" s="1"/>
  <c r="AK42" i="11"/>
  <c r="AN42" i="11" s="1"/>
  <c r="AK43" i="11"/>
  <c r="AN43" i="11" s="1"/>
  <c r="AK44" i="11"/>
  <c r="AN44" i="11" s="1"/>
  <c r="AK55" i="11"/>
  <c r="AN55" i="11" s="1"/>
  <c r="AK56" i="11"/>
  <c r="AN56" i="11" s="1"/>
  <c r="AK57" i="11"/>
  <c r="AN57" i="11" s="1"/>
  <c r="O19" i="62914"/>
  <c r="O24" i="62929" s="1"/>
  <c r="AA24" i="62929" s="1"/>
  <c r="C25" i="62929"/>
  <c r="D25" i="62929"/>
  <c r="H20" i="62914"/>
  <c r="H25" i="62929" s="1"/>
  <c r="T25" i="62929" s="1"/>
  <c r="I20" i="62914"/>
  <c r="I25" i="62929" s="1"/>
  <c r="U25" i="62929" s="1"/>
  <c r="J20" i="62914"/>
  <c r="J25" i="62929" s="1"/>
  <c r="V25" i="62929" s="1"/>
  <c r="AD63" i="9"/>
  <c r="Y63" i="9" s="1"/>
  <c r="AD64" i="9"/>
  <c r="Y64" i="9" s="1"/>
  <c r="AD65" i="9"/>
  <c r="Y65" i="9" s="1"/>
  <c r="AD66" i="9"/>
  <c r="Y66" i="9" s="1"/>
  <c r="AD74" i="9"/>
  <c r="Y74" i="9" s="1"/>
  <c r="AD75" i="9"/>
  <c r="Y75" i="9" s="1"/>
  <c r="AD76" i="9"/>
  <c r="Y76" i="9" s="1"/>
  <c r="AD77" i="9"/>
  <c r="Y77" i="9" s="1"/>
  <c r="BJ85" i="9"/>
  <c r="BJ86" i="9"/>
  <c r="BJ87" i="9"/>
  <c r="BJ88" i="9"/>
  <c r="AD135" i="9"/>
  <c r="Y135" i="9" s="1"/>
  <c r="AD136" i="9"/>
  <c r="Y136" i="9" s="1"/>
  <c r="AD137" i="9"/>
  <c r="Y137" i="9" s="1"/>
  <c r="AD138" i="9"/>
  <c r="Y138" i="9" s="1"/>
  <c r="AD146" i="9"/>
  <c r="Y146" i="9" s="1"/>
  <c r="AD147" i="9"/>
  <c r="Y147" i="9" s="1"/>
  <c r="AD148" i="9"/>
  <c r="Y148" i="9" s="1"/>
  <c r="AD149" i="9"/>
  <c r="Y149" i="9" s="1"/>
  <c r="BJ157" i="9"/>
  <c r="BJ158" i="9"/>
  <c r="BJ159" i="9"/>
  <c r="BJ160" i="9"/>
  <c r="BJ202" i="9"/>
  <c r="BJ203" i="9"/>
  <c r="BJ204" i="9"/>
  <c r="BJ205" i="9"/>
  <c r="AB28" i="9"/>
  <c r="AB29" i="9"/>
  <c r="AB31" i="9"/>
  <c r="AB32" i="9"/>
  <c r="AB34" i="9"/>
  <c r="AB35" i="9"/>
  <c r="AB108" i="9"/>
  <c r="AB109" i="9"/>
  <c r="AB111" i="9"/>
  <c r="AB112" i="9"/>
  <c r="AB114" i="9"/>
  <c r="AB115" i="9"/>
  <c r="F14" i="62924"/>
  <c r="G14" i="62924" s="1"/>
  <c r="F15" i="62924"/>
  <c r="G15" i="62924" s="1"/>
  <c r="F16" i="62924"/>
  <c r="G16" i="62924" s="1"/>
  <c r="BJ15" i="9"/>
  <c r="F17" i="62924"/>
  <c r="G17" i="62924" s="1"/>
  <c r="F18" i="62924"/>
  <c r="G18" i="62924" s="1"/>
  <c r="F19" i="62924"/>
  <c r="G19" i="62924" s="1"/>
  <c r="F20" i="62924"/>
  <c r="G20" i="62924" s="1"/>
  <c r="F21" i="62924"/>
  <c r="G21" i="62924" s="1"/>
  <c r="F22" i="62924"/>
  <c r="G22" i="62924" s="1"/>
  <c r="F23" i="62924"/>
  <c r="G23" i="62924" s="1"/>
  <c r="F24" i="62924"/>
  <c r="G24" i="62924" s="1"/>
  <c r="F25" i="62924"/>
  <c r="G25" i="62924" s="1"/>
  <c r="F26" i="62924"/>
  <c r="G26" i="62924" s="1"/>
  <c r="F27" i="62924"/>
  <c r="G27" i="62924" s="1"/>
  <c r="F28" i="62924"/>
  <c r="G28" i="62924" s="1"/>
  <c r="F29" i="62924"/>
  <c r="G29" i="62924" s="1"/>
  <c r="F30" i="62924"/>
  <c r="G30" i="62924" s="1"/>
  <c r="F31" i="62924"/>
  <c r="G31" i="62924" s="1"/>
  <c r="F32" i="62924"/>
  <c r="G32" i="62924" s="1"/>
  <c r="F33" i="62924"/>
  <c r="G33" i="62924" s="1"/>
  <c r="F34" i="62924"/>
  <c r="G34" i="62924" s="1"/>
  <c r="F35" i="62924"/>
  <c r="G35" i="62924" s="1"/>
  <c r="F36" i="62924"/>
  <c r="G36" i="62924" s="1"/>
  <c r="G39" i="62924"/>
  <c r="F88" i="62924"/>
  <c r="G88" i="62924" s="1"/>
  <c r="F137" i="62924"/>
  <c r="G137" i="62924" s="1"/>
  <c r="F138" i="62924"/>
  <c r="G138" i="62924" s="1"/>
  <c r="F139" i="62924"/>
  <c r="G139" i="62924" s="1"/>
  <c r="F140" i="62924"/>
  <c r="G140" i="62924" s="1"/>
  <c r="F141" i="62924"/>
  <c r="G141" i="62924" s="1"/>
  <c r="F142" i="62924"/>
  <c r="G142" i="62924" s="1"/>
  <c r="F148" i="62924"/>
  <c r="G148" i="62924" s="1"/>
  <c r="F222" i="62924"/>
  <c r="I237" i="62924"/>
  <c r="F237" i="62924" s="1"/>
  <c r="G237" i="62924" s="1"/>
  <c r="BJ16" i="9"/>
  <c r="BJ17" i="9"/>
  <c r="BJ18" i="9"/>
  <c r="BJ43" i="9"/>
  <c r="BJ44" i="9"/>
  <c r="BJ45" i="9"/>
  <c r="BJ53" i="9"/>
  <c r="BJ54" i="9"/>
  <c r="BJ55" i="9"/>
  <c r="BJ98" i="9"/>
  <c r="BJ99" i="9"/>
  <c r="BJ100" i="9"/>
  <c r="BJ125" i="9"/>
  <c r="BJ126" i="9"/>
  <c r="BJ127" i="9"/>
  <c r="BJ170" i="9"/>
  <c r="BJ171" i="9"/>
  <c r="BJ172" i="9"/>
  <c r="BJ226" i="9"/>
  <c r="BJ227" i="9"/>
  <c r="BJ228" i="9"/>
  <c r="BJ229" i="9"/>
  <c r="BJ230" i="9"/>
  <c r="BJ239" i="9"/>
  <c r="O20" i="62914"/>
  <c r="O25" i="62929" s="1"/>
  <c r="AA25" i="62929" s="1"/>
  <c r="C26" i="62929"/>
  <c r="D26" i="62929"/>
  <c r="H21" i="62914"/>
  <c r="H26" i="62929" s="1"/>
  <c r="T26" i="62929" s="1"/>
  <c r="I21" i="62914"/>
  <c r="I26" i="62929" s="1"/>
  <c r="U26" i="62929" s="1"/>
  <c r="J21" i="62914"/>
  <c r="J26" i="62929" s="1"/>
  <c r="V26" i="62929" s="1"/>
  <c r="AR34" i="62926"/>
  <c r="AS34" i="62926"/>
  <c r="AT34" i="62926"/>
  <c r="AU34" i="62926"/>
  <c r="AR35" i="62926"/>
  <c r="AS35" i="62926"/>
  <c r="AT35" i="62926"/>
  <c r="AU35" i="62926"/>
  <c r="AR37" i="62926"/>
  <c r="AR38" i="62926"/>
  <c r="AR34" i="62925"/>
  <c r="AS34" i="62925"/>
  <c r="AT34" i="62925"/>
  <c r="AU34" i="62925"/>
  <c r="AR35" i="62925"/>
  <c r="AS35" i="62925"/>
  <c r="AT35" i="62925"/>
  <c r="AU35" i="62925"/>
  <c r="AR37" i="62925"/>
  <c r="AR38" i="62925"/>
  <c r="BH20" i="5"/>
  <c r="BH21" i="5"/>
  <c r="BH22" i="5"/>
  <c r="BH144" i="5"/>
  <c r="BH145" i="5"/>
  <c r="BH146" i="5"/>
  <c r="BH203" i="5"/>
  <c r="BH204" i="5"/>
  <c r="BH205" i="5"/>
  <c r="BH328" i="5"/>
  <c r="BH329" i="5"/>
  <c r="BH330" i="5"/>
  <c r="BH387" i="5"/>
  <c r="BH388" i="5"/>
  <c r="BH389" i="5"/>
  <c r="BH511" i="5"/>
  <c r="BH512" i="5"/>
  <c r="BH513" i="5"/>
  <c r="BH20" i="62898"/>
  <c r="BH21" i="62898"/>
  <c r="BH29" i="62898"/>
  <c r="BH30" i="62898"/>
  <c r="BH31" i="62898"/>
  <c r="BH32" i="62898"/>
  <c r="BH124" i="62898"/>
  <c r="BH125" i="62898"/>
  <c r="BH171" i="62898"/>
  <c r="BI171" i="62898" s="1"/>
  <c r="D172" i="62898"/>
  <c r="AG172" i="62898" s="1"/>
  <c r="AS172" i="62898" s="1"/>
  <c r="BH172" i="62898"/>
  <c r="BI172" i="62898" s="1"/>
  <c r="AA172" i="62898" s="1"/>
  <c r="X172" i="62898" s="1"/>
  <c r="D173" i="62898"/>
  <c r="AG173" i="62898" s="1"/>
  <c r="AS173" i="62898" s="1"/>
  <c r="BH173" i="62898"/>
  <c r="BI173" i="62898" s="1"/>
  <c r="D260" i="62898"/>
  <c r="BH260" i="62898"/>
  <c r="BI260" i="62898" s="1"/>
  <c r="D261" i="62898"/>
  <c r="AG261" i="62898" s="1"/>
  <c r="AS261" i="62898" s="1"/>
  <c r="BH261" i="62898"/>
  <c r="BI261" i="62898" s="1"/>
  <c r="D262" i="62898"/>
  <c r="AG262" i="62898" s="1"/>
  <c r="AS262" i="62898" s="1"/>
  <c r="BH262" i="62898"/>
  <c r="BI262" i="62898" s="1"/>
  <c r="AA264" i="62898"/>
  <c r="X264" i="62898" s="1"/>
  <c r="D304" i="62898"/>
  <c r="BH304" i="62898"/>
  <c r="BI304" i="62898" s="1"/>
  <c r="D305" i="62898"/>
  <c r="AG305" i="62898" s="1"/>
  <c r="AS305" i="62898" s="1"/>
  <c r="BH305" i="62898"/>
  <c r="BI305" i="62898" s="1"/>
  <c r="D306" i="62898"/>
  <c r="AG306" i="62898" s="1"/>
  <c r="AS306" i="62898" s="1"/>
  <c r="BH306" i="62898"/>
  <c r="BI306" i="62898" s="1"/>
  <c r="BH332" i="62898"/>
  <c r="BH333" i="62898"/>
  <c r="O21" i="62914"/>
  <c r="O26" i="62929" s="1"/>
  <c r="AA26" i="62929" s="1"/>
  <c r="C27" i="62929"/>
  <c r="D27" i="62929"/>
  <c r="H22" i="62914"/>
  <c r="H27" i="62929" s="1"/>
  <c r="T27" i="62929" s="1"/>
  <c r="I22" i="62914"/>
  <c r="I27" i="62929" s="1"/>
  <c r="U27" i="62929" s="1"/>
  <c r="J22" i="62914"/>
  <c r="J27" i="62929" s="1"/>
  <c r="V27" i="62929" s="1"/>
  <c r="BH122" i="5"/>
  <c r="BH306" i="5"/>
  <c r="BH307" i="5"/>
  <c r="BH308" i="5"/>
  <c r="BH489" i="5"/>
  <c r="BH490" i="5"/>
  <c r="BH491" i="5"/>
  <c r="BH30" i="5"/>
  <c r="BI30" i="5" s="1"/>
  <c r="D31" i="5"/>
  <c r="AH31" i="5" s="1"/>
  <c r="AT31" i="5" s="1"/>
  <c r="BH31" i="5"/>
  <c r="BI31" i="5" s="1"/>
  <c r="D32" i="5"/>
  <c r="AH32" i="5" s="1"/>
  <c r="AT32" i="5" s="1"/>
  <c r="BH32" i="5"/>
  <c r="BI32" i="5" s="1"/>
  <c r="D112" i="5"/>
  <c r="AH112" i="5" s="1"/>
  <c r="BH112" i="5"/>
  <c r="BI112" i="5" s="1"/>
  <c r="D113" i="5"/>
  <c r="AH113" i="5" s="1"/>
  <c r="AT113" i="5" s="1"/>
  <c r="BH113" i="5"/>
  <c r="BI113" i="5" s="1"/>
  <c r="BH114" i="5"/>
  <c r="BI114" i="5" s="1"/>
  <c r="BH213" i="5"/>
  <c r="BI213" i="5" s="1"/>
  <c r="D214" i="5"/>
  <c r="AH214" i="5" s="1"/>
  <c r="AT214" i="5" s="1"/>
  <c r="BH214" i="5"/>
  <c r="BI214" i="5" s="1"/>
  <c r="D215" i="5"/>
  <c r="AH215" i="5" s="1"/>
  <c r="AT215" i="5" s="1"/>
  <c r="BH215" i="5"/>
  <c r="BI215" i="5" s="1"/>
  <c r="D296" i="5"/>
  <c r="AH296" i="5" s="1"/>
  <c r="BH296" i="5"/>
  <c r="BI296" i="5" s="1"/>
  <c r="D297" i="5"/>
  <c r="AH297" i="5" s="1"/>
  <c r="AT297" i="5" s="1"/>
  <c r="BH297" i="5"/>
  <c r="BI297" i="5" s="1"/>
  <c r="BH298" i="5"/>
  <c r="BI298" i="5" s="1"/>
  <c r="BH397" i="5"/>
  <c r="BI397" i="5" s="1"/>
  <c r="BH398" i="5"/>
  <c r="BI398" i="5" s="1"/>
  <c r="D399" i="5"/>
  <c r="AH399" i="5" s="1"/>
  <c r="AT399" i="5" s="1"/>
  <c r="BH399" i="5"/>
  <c r="BI399" i="5" s="1"/>
  <c r="AE399" i="5" s="1"/>
  <c r="X399" i="5" s="1"/>
  <c r="D479" i="5"/>
  <c r="AH479" i="5" s="1"/>
  <c r="BH479" i="5"/>
  <c r="BI479" i="5" s="1"/>
  <c r="AE479" i="5" s="1"/>
  <c r="D480" i="5"/>
  <c r="AH480" i="5" s="1"/>
  <c r="AT480" i="5" s="1"/>
  <c r="BH480" i="5"/>
  <c r="BI480" i="5" s="1"/>
  <c r="AE480" i="5" s="1"/>
  <c r="X480" i="5" s="1"/>
  <c r="D481" i="5"/>
  <c r="AH481" i="5" s="1"/>
  <c r="AT481" i="5" s="1"/>
  <c r="BH481" i="5"/>
  <c r="BI481" i="5" s="1"/>
  <c r="O22" i="62914"/>
  <c r="O27" i="62929" s="1"/>
  <c r="AA27" i="62929" s="1"/>
  <c r="C28" i="62929"/>
  <c r="D28" i="62929"/>
  <c r="AZ92" i="2"/>
  <c r="AZ76" i="2"/>
  <c r="O23" i="62914"/>
  <c r="O28" i="62929" s="1"/>
  <c r="AA28" i="62929" s="1"/>
  <c r="C29" i="62929"/>
  <c r="D29" i="62929"/>
  <c r="H24" i="62914"/>
  <c r="T24" i="62914" s="1"/>
  <c r="I24" i="62914"/>
  <c r="I29" i="62929" s="1"/>
  <c r="U29" i="62929" s="1"/>
  <c r="J24" i="62914"/>
  <c r="V24" i="62914" s="1"/>
  <c r="D133" i="62898"/>
  <c r="BH133" i="62898"/>
  <c r="BI133" i="62898" s="1"/>
  <c r="AA133" i="62898" s="1"/>
  <c r="D134" i="62898"/>
  <c r="AG134" i="62898" s="1"/>
  <c r="AS134" i="62898" s="1"/>
  <c r="BH134" i="62898"/>
  <c r="BI134" i="62898" s="1"/>
  <c r="D135" i="62898"/>
  <c r="AG135" i="62898" s="1"/>
  <c r="AS135" i="62898" s="1"/>
  <c r="BH135" i="62898"/>
  <c r="BI135" i="62898" s="1"/>
  <c r="BH229" i="62898"/>
  <c r="BI229" i="62898" s="1"/>
  <c r="D230" i="62898"/>
  <c r="AG230" i="62898" s="1"/>
  <c r="AS230" i="62898" s="1"/>
  <c r="BH230" i="62898"/>
  <c r="BI230" i="62898" s="1"/>
  <c r="D231" i="62898"/>
  <c r="AG231" i="62898" s="1"/>
  <c r="AS231" i="62898" s="1"/>
  <c r="BH231" i="62898"/>
  <c r="BI231" i="62898" s="1"/>
  <c r="AA231" i="62898" s="1"/>
  <c r="X231" i="62898" s="1"/>
  <c r="BH239" i="62898"/>
  <c r="BK239" i="62898" s="1"/>
  <c r="BH240" i="62898"/>
  <c r="BK240" i="62898" s="1"/>
  <c r="BH241" i="62898"/>
  <c r="BK241" i="62898" s="1"/>
  <c r="O24" i="62914"/>
  <c r="O29" i="62929" s="1"/>
  <c r="AA29" i="62929" s="1"/>
  <c r="C30" i="62929"/>
  <c r="D30" i="62929"/>
  <c r="H25" i="62914"/>
  <c r="H30" i="62929" s="1"/>
  <c r="T30" i="62929" s="1"/>
  <c r="I25" i="62914"/>
  <c r="U25" i="62914" s="1"/>
  <c r="J25" i="62914"/>
  <c r="J30" i="62929" s="1"/>
  <c r="V30" i="62929" s="1"/>
  <c r="O25" i="62914"/>
  <c r="O30" i="62929" s="1"/>
  <c r="AA30" i="62929" s="1"/>
  <c r="C31" i="62929"/>
  <c r="D31" i="62929"/>
  <c r="O26" i="62914"/>
  <c r="AA26" i="62914" s="1"/>
  <c r="C32" i="62929"/>
  <c r="D32" i="62929"/>
  <c r="O27" i="62914"/>
  <c r="O32" i="62929" s="1"/>
  <c r="AA32" i="62929" s="1"/>
  <c r="C33" i="62929"/>
  <c r="C34" i="62929"/>
  <c r="D34" i="62929"/>
  <c r="H29" i="62914"/>
  <c r="H34" i="62929" s="1"/>
  <c r="T34" i="62929" s="1"/>
  <c r="I29" i="62914"/>
  <c r="I34" i="62929" s="1"/>
  <c r="U34" i="62929" s="1"/>
  <c r="J29" i="62914"/>
  <c r="J34" i="62929" s="1"/>
  <c r="V34" i="62929" s="1"/>
  <c r="O29" i="62914"/>
  <c r="O34" i="62929" s="1"/>
  <c r="AA34" i="62929" s="1"/>
  <c r="C35" i="62929"/>
  <c r="D35" i="62929"/>
  <c r="H30" i="62914"/>
  <c r="H35" i="62929" s="1"/>
  <c r="T35" i="62929" s="1"/>
  <c r="I30" i="62914"/>
  <c r="I35" i="62929" s="1"/>
  <c r="U35" i="62929" s="1"/>
  <c r="J30" i="62914"/>
  <c r="J35" i="62929" s="1"/>
  <c r="V35" i="62929" s="1"/>
  <c r="AO53" i="62904"/>
  <c r="AO63" i="62904"/>
  <c r="AO77" i="62904"/>
  <c r="AO85" i="62904"/>
  <c r="AO103" i="62904"/>
  <c r="AO113" i="62904"/>
  <c r="O30" i="62914"/>
  <c r="O35" i="62929" s="1"/>
  <c r="AA35" i="62929" s="1"/>
  <c r="C36" i="62929"/>
  <c r="D36" i="62929"/>
  <c r="H31" i="62914"/>
  <c r="H36" i="62929" s="1"/>
  <c r="T36" i="62929" s="1"/>
  <c r="I31" i="62914"/>
  <c r="I36" i="62929" s="1"/>
  <c r="U36" i="62929" s="1"/>
  <c r="J31" i="62914"/>
  <c r="J36" i="62929" s="1"/>
  <c r="V36" i="62929" s="1"/>
  <c r="AR13" i="62904"/>
  <c r="AS13" i="62904"/>
  <c r="AT13" i="62904"/>
  <c r="AU13" i="62904"/>
  <c r="AR14" i="62904"/>
  <c r="AS14" i="62904"/>
  <c r="AT14" i="62904"/>
  <c r="AU14" i="62904"/>
  <c r="AS16" i="62904"/>
  <c r="AT16" i="62904"/>
  <c r="AS19" i="62904"/>
  <c r="AT19" i="62904"/>
  <c r="AU19" i="62904"/>
  <c r="AR20" i="62904"/>
  <c r="AR22" i="62904"/>
  <c r="AS22" i="62904"/>
  <c r="AT22" i="62904"/>
  <c r="AR23" i="62904"/>
  <c r="AS23" i="62904"/>
  <c r="AT23" i="62904"/>
  <c r="AR25" i="62904"/>
  <c r="AS25" i="62904"/>
  <c r="AT25" i="62904"/>
  <c r="AR34" i="62904"/>
  <c r="AS34" i="62904"/>
  <c r="AT34" i="62904"/>
  <c r="AU34" i="62904"/>
  <c r="AR35" i="62904"/>
  <c r="AS35" i="62904"/>
  <c r="AT35" i="62904"/>
  <c r="AU35" i="62904"/>
  <c r="AR37" i="62904"/>
  <c r="AS37" i="62904"/>
  <c r="AR38" i="62904"/>
  <c r="AS38" i="62904"/>
  <c r="AS49" i="62904"/>
  <c r="AT49" i="62904" s="1"/>
  <c r="AS50" i="62904"/>
  <c r="AR50" i="62904" s="1"/>
  <c r="AS51" i="62904"/>
  <c r="AR51" i="62904" s="1"/>
  <c r="AS59" i="62904"/>
  <c r="AS60" i="62904"/>
  <c r="AS61" i="62904"/>
  <c r="AS72" i="62904"/>
  <c r="AS73" i="62904"/>
  <c r="AS74" i="62904"/>
  <c r="AS75" i="62904"/>
  <c r="W83" i="62904"/>
  <c r="AR94" i="62904"/>
  <c r="AS94" i="62904" s="1"/>
  <c r="H95" i="62904"/>
  <c r="I95" i="62904" s="1"/>
  <c r="D95" i="62904" s="1"/>
  <c r="AR95" i="62904"/>
  <c r="AS95" i="62904" s="1"/>
  <c r="H96" i="62904"/>
  <c r="I96" i="62904" s="1"/>
  <c r="AR96" i="62904"/>
  <c r="AS96" i="62904" s="1"/>
  <c r="AR97" i="62904"/>
  <c r="AS97" i="62904" s="1"/>
  <c r="AR109" i="62904"/>
  <c r="AR110" i="62904"/>
  <c r="AR111" i="62904"/>
  <c r="O31" i="62914"/>
  <c r="O36" i="62929" s="1"/>
  <c r="AA36" i="62929" s="1"/>
  <c r="C37" i="62929"/>
  <c r="D37" i="62929"/>
  <c r="BD118" i="62905"/>
  <c r="BD119" i="62905"/>
  <c r="BD125" i="62905"/>
  <c r="BD103" i="62905"/>
  <c r="BD109" i="62905"/>
  <c r="BD110" i="62905"/>
  <c r="BD86" i="62905"/>
  <c r="BD95" i="62905"/>
  <c r="BD227" i="62905"/>
  <c r="BD231" i="62905"/>
  <c r="BD147" i="62905"/>
  <c r="BE147" i="62905" s="1"/>
  <c r="BD148" i="62905"/>
  <c r="BE148" i="62905" s="1"/>
  <c r="BD149" i="62905"/>
  <c r="BE149" i="62905" s="1"/>
  <c r="BD150" i="62905"/>
  <c r="BE150" i="62905" s="1"/>
  <c r="BD162" i="62905"/>
  <c r="BE162" i="62905" s="1"/>
  <c r="BD163" i="62905"/>
  <c r="BE163" i="62905" s="1"/>
  <c r="L55" i="11"/>
  <c r="L56" i="11"/>
  <c r="L57" i="11"/>
  <c r="K41" i="11"/>
  <c r="K42" i="11"/>
  <c r="K43" i="11"/>
  <c r="K44" i="11"/>
  <c r="L13" i="11"/>
  <c r="L14" i="11"/>
  <c r="L15" i="11"/>
  <c r="L16" i="11"/>
  <c r="O32" i="62914"/>
  <c r="O37" i="62929" s="1"/>
  <c r="AA37" i="62929" s="1"/>
  <c r="C38" i="62929"/>
  <c r="D38" i="62929"/>
  <c r="O33" i="62914"/>
  <c r="O38" i="62929" s="1"/>
  <c r="AA38" i="62929" s="1"/>
  <c r="C39" i="62929"/>
  <c r="D39" i="62929"/>
  <c r="E34" i="62914"/>
  <c r="E39" i="62929" s="1"/>
  <c r="Q39" i="62929" s="1"/>
  <c r="F34" i="62914"/>
  <c r="F39" i="62929" s="1"/>
  <c r="R39" i="62929" s="1"/>
  <c r="G34" i="62914"/>
  <c r="G39" i="62929" s="1"/>
  <c r="S39" i="62929" s="1"/>
  <c r="H34" i="62914"/>
  <c r="H39" i="62929" s="1"/>
  <c r="T39" i="62929" s="1"/>
  <c r="I34" i="62914"/>
  <c r="I39" i="62929" s="1"/>
  <c r="U39" i="62929" s="1"/>
  <c r="J34" i="62914"/>
  <c r="J39" i="62929" s="1"/>
  <c r="V39" i="62929" s="1"/>
  <c r="K34" i="62914"/>
  <c r="K39" i="62929" s="1"/>
  <c r="W39" i="62929" s="1"/>
  <c r="N34" i="62914"/>
  <c r="N39" i="62929" s="1"/>
  <c r="Z39" i="62929" s="1"/>
  <c r="O34" i="62914"/>
  <c r="O39" i="62929" s="1"/>
  <c r="AA39" i="62929" s="1"/>
  <c r="C40" i="62929"/>
  <c r="D40" i="62929"/>
  <c r="H35" i="62914"/>
  <c r="H40" i="62929" s="1"/>
  <c r="T40" i="62929" s="1"/>
  <c r="I35" i="62914"/>
  <c r="I40" i="62929" s="1"/>
  <c r="U40" i="62929" s="1"/>
  <c r="J35" i="62914"/>
  <c r="J40" i="62929" s="1"/>
  <c r="V40" i="62929" s="1"/>
  <c r="O35" i="62914"/>
  <c r="O40" i="62929" s="1"/>
  <c r="AA40" i="62929" s="1"/>
  <c r="C41" i="62929"/>
  <c r="D41" i="62929"/>
  <c r="H36" i="62914"/>
  <c r="H41" i="62929" s="1"/>
  <c r="T41" i="62929" s="1"/>
  <c r="I36" i="62914"/>
  <c r="I41" i="62929" s="1"/>
  <c r="U41" i="62929" s="1"/>
  <c r="J36" i="62914"/>
  <c r="J41" i="62929" s="1"/>
  <c r="V41" i="62929" s="1"/>
  <c r="O36" i="62914"/>
  <c r="O41" i="62929" s="1"/>
  <c r="AA41" i="62929" s="1"/>
  <c r="C42" i="62929"/>
  <c r="H354" i="9"/>
  <c r="H11" i="62915" s="1"/>
  <c r="T11" i="62915" s="1"/>
  <c r="K727" i="5"/>
  <c r="K28" i="62915" s="1"/>
  <c r="W28" i="62915" s="1"/>
  <c r="M81" i="62919"/>
  <c r="Q103" i="2" s="1"/>
  <c r="M87" i="62919"/>
  <c r="Q104" i="2" s="1"/>
  <c r="M88" i="62919"/>
  <c r="Q137" i="62905" s="1"/>
  <c r="M92" i="62919"/>
  <c r="M91" i="62919"/>
  <c r="M89" i="62919"/>
  <c r="M90" i="62919"/>
  <c r="M86" i="62919"/>
  <c r="M82" i="62919"/>
  <c r="M83" i="62919"/>
  <c r="M84" i="62919"/>
  <c r="M85" i="62919"/>
  <c r="J6" i="62913"/>
  <c r="B441" i="62913"/>
  <c r="X190" i="62925"/>
  <c r="X190" i="62926"/>
  <c r="B56" i="62909"/>
  <c r="B57" i="62909"/>
  <c r="B58" i="62909"/>
  <c r="B59" i="62909"/>
  <c r="B60" i="62909"/>
  <c r="B61" i="62909"/>
  <c r="B62" i="62909"/>
  <c r="B55" i="62909"/>
  <c r="B321" i="62928"/>
  <c r="B54" i="62909" s="1"/>
  <c r="I13" i="62927"/>
  <c r="D13" i="62927" s="1"/>
  <c r="D15" i="62927" s="1"/>
  <c r="D109" i="62927" s="1"/>
  <c r="B36" i="62909"/>
  <c r="B37" i="62909"/>
  <c r="B38" i="62909"/>
  <c r="B39" i="62909"/>
  <c r="B35" i="62909"/>
  <c r="B107" i="62927"/>
  <c r="B34" i="62909" s="1"/>
  <c r="B50" i="62910"/>
  <c r="B51" i="62910"/>
  <c r="B52" i="62910"/>
  <c r="B53" i="62910"/>
  <c r="B54" i="62910"/>
  <c r="B55" i="62910"/>
  <c r="B56" i="62910"/>
  <c r="B49" i="62910"/>
  <c r="B30" i="62910"/>
  <c r="B31" i="62910"/>
  <c r="B32" i="62910"/>
  <c r="B33" i="62910"/>
  <c r="B29" i="62910"/>
  <c r="H20" i="62915"/>
  <c r="T20" i="62915" s="1"/>
  <c r="L20" i="62915"/>
  <c r="X20" i="62915" s="1"/>
  <c r="N20" i="62915"/>
  <c r="Z20" i="62915" s="1"/>
  <c r="O20" i="62915"/>
  <c r="AA20" i="62915" s="1"/>
  <c r="O21" i="62915"/>
  <c r="AA21" i="62915" s="1"/>
  <c r="K22" i="62915"/>
  <c r="W22" i="62915" s="1"/>
  <c r="N22" i="62915"/>
  <c r="Z22" i="62915" s="1"/>
  <c r="O22" i="62915"/>
  <c r="AA22" i="62915" s="1"/>
  <c r="H23" i="62915"/>
  <c r="T23" i="62915" s="1"/>
  <c r="L23" i="62915"/>
  <c r="X23" i="62915" s="1"/>
  <c r="N23" i="62915"/>
  <c r="Z23" i="62915" s="1"/>
  <c r="O23" i="62915"/>
  <c r="AA23" i="62915" s="1"/>
  <c r="H24" i="62915"/>
  <c r="T24" i="62915" s="1"/>
  <c r="L24" i="62915"/>
  <c r="X24" i="62915" s="1"/>
  <c r="O24" i="62915"/>
  <c r="AA24" i="62915" s="1"/>
  <c r="O25" i="62915"/>
  <c r="AA25" i="62915" s="1"/>
  <c r="H26" i="62915"/>
  <c r="T26" i="62915" s="1"/>
  <c r="L26" i="62915"/>
  <c r="X26" i="62915" s="1"/>
  <c r="N26" i="62915"/>
  <c r="Z26" i="62915" s="1"/>
  <c r="O26" i="62915"/>
  <c r="AA26" i="62915" s="1"/>
  <c r="H27" i="62915"/>
  <c r="T27" i="62915" s="1"/>
  <c r="L27" i="62915"/>
  <c r="X27" i="62915" s="1"/>
  <c r="O27" i="62915"/>
  <c r="AA27" i="62915" s="1"/>
  <c r="H28" i="62915"/>
  <c r="T28" i="62915" s="1"/>
  <c r="L28" i="62915"/>
  <c r="X28" i="62915" s="1"/>
  <c r="N28" i="62915"/>
  <c r="Z28" i="62915" s="1"/>
  <c r="O28" i="62915"/>
  <c r="AA28" i="62915" s="1"/>
  <c r="H29" i="62915"/>
  <c r="T29" i="62915" s="1"/>
  <c r="L29" i="62915"/>
  <c r="X29" i="62915" s="1"/>
  <c r="N29" i="62915"/>
  <c r="Z29" i="62915" s="1"/>
  <c r="O29" i="62915"/>
  <c r="AA29" i="62915" s="1"/>
  <c r="L30" i="62915"/>
  <c r="X30" i="62915" s="1"/>
  <c r="N30" i="62915"/>
  <c r="Z30" i="62915" s="1"/>
  <c r="O30" i="62915"/>
  <c r="AA30" i="62915" s="1"/>
  <c r="E31" i="62915"/>
  <c r="Q31" i="62915" s="1"/>
  <c r="F31" i="62915"/>
  <c r="R31" i="62915" s="1"/>
  <c r="G31" i="62915"/>
  <c r="S31" i="62915" s="1"/>
  <c r="H31" i="62915"/>
  <c r="T31" i="62915" s="1"/>
  <c r="I31" i="62915"/>
  <c r="U31" i="62915" s="1"/>
  <c r="J31" i="62915"/>
  <c r="F59" i="62915" s="1"/>
  <c r="K31" i="62915"/>
  <c r="W31" i="62915" s="1"/>
  <c r="L31" i="62915"/>
  <c r="X31" i="62915" s="1"/>
  <c r="M31" i="62915"/>
  <c r="Y31" i="62915" s="1"/>
  <c r="N31" i="62915"/>
  <c r="Z31" i="62915" s="1"/>
  <c r="O31" i="62915"/>
  <c r="AA31" i="62915" s="1"/>
  <c r="L32" i="62915"/>
  <c r="X32" i="62915" s="1"/>
  <c r="N32" i="62915"/>
  <c r="Z32" i="62915" s="1"/>
  <c r="O32" i="62915"/>
  <c r="AA32" i="62915" s="1"/>
  <c r="H33" i="62915"/>
  <c r="T33" i="62915" s="1"/>
  <c r="L33" i="62915"/>
  <c r="X33" i="62915" s="1"/>
  <c r="O33" i="62915"/>
  <c r="AA33" i="62915" s="1"/>
  <c r="N34" i="62915"/>
  <c r="Z34" i="62915" s="1"/>
  <c r="O34" i="62915"/>
  <c r="AA34" i="62915" s="1"/>
  <c r="O19" i="62915"/>
  <c r="AA19" i="62915" s="1"/>
  <c r="L19" i="62915"/>
  <c r="X19" i="62915" s="1"/>
  <c r="H19" i="62915"/>
  <c r="T19" i="62915" s="1"/>
  <c r="H17" i="62915"/>
  <c r="T17" i="62915" s="1"/>
  <c r="I17" i="62915"/>
  <c r="U17" i="62915" s="1"/>
  <c r="L17" i="62915"/>
  <c r="X17" i="62915" s="1"/>
  <c r="N17" i="62915"/>
  <c r="Z17" i="62915" s="1"/>
  <c r="O17" i="62915"/>
  <c r="AA17" i="62915" s="1"/>
  <c r="O16" i="62915"/>
  <c r="AA16" i="62915" s="1"/>
  <c r="L16" i="62915"/>
  <c r="H16" i="62915"/>
  <c r="T16" i="62915" s="1"/>
  <c r="L11" i="62915"/>
  <c r="X11" i="62915" s="1"/>
  <c r="K12" i="62915"/>
  <c r="W12" i="62915" s="1"/>
  <c r="N12" i="62915"/>
  <c r="Z12" i="62915" s="1"/>
  <c r="K13" i="62915"/>
  <c r="W13" i="62915" s="1"/>
  <c r="N13" i="62915"/>
  <c r="Z13" i="62915" s="1"/>
  <c r="H10" i="62915"/>
  <c r="T10" i="62915" s="1"/>
  <c r="I10" i="62915"/>
  <c r="U10" i="62915" s="1"/>
  <c r="L10" i="62915"/>
  <c r="X10" i="62915" s="1"/>
  <c r="N10" i="62915"/>
  <c r="Z10" i="62915" s="1"/>
  <c r="E31" i="62912"/>
  <c r="N31" i="62912" s="1"/>
  <c r="F31" i="62912"/>
  <c r="O31" i="62912" s="1"/>
  <c r="G31" i="62912"/>
  <c r="P31" i="62912" s="1"/>
  <c r="H31" i="62912"/>
  <c r="Q31" i="62912" s="1"/>
  <c r="I31" i="62912"/>
  <c r="F71" i="62912" s="1"/>
  <c r="J31" i="62912"/>
  <c r="S31" i="62912" s="1"/>
  <c r="K31" i="62912"/>
  <c r="T31" i="62912" s="1"/>
  <c r="H17" i="62912"/>
  <c r="Q17" i="62912" s="1"/>
  <c r="H1" i="62908"/>
  <c r="B2" i="62927"/>
  <c r="B2" i="62928"/>
  <c r="B50" i="62892"/>
  <c r="B51" i="62892"/>
  <c r="B52" i="62892"/>
  <c r="B53" i="62892"/>
  <c r="B54" i="62892"/>
  <c r="B55" i="62892"/>
  <c r="B56" i="62892"/>
  <c r="B49" i="62892"/>
  <c r="B30" i="62892"/>
  <c r="B31" i="62892"/>
  <c r="B32" i="62892"/>
  <c r="B29" i="62892"/>
  <c r="O431" i="62928"/>
  <c r="N431" i="62928"/>
  <c r="L431" i="62928"/>
  <c r="H431" i="62928"/>
  <c r="O414" i="62928"/>
  <c r="N414" i="62928"/>
  <c r="M414" i="62928"/>
  <c r="L414" i="62928"/>
  <c r="K414" i="62928"/>
  <c r="J414" i="62928"/>
  <c r="I414" i="62928"/>
  <c r="H414" i="62928"/>
  <c r="G414" i="62928"/>
  <c r="F414" i="62928"/>
  <c r="E414" i="62928"/>
  <c r="N411" i="62928"/>
  <c r="M411" i="62928"/>
  <c r="L411" i="62928"/>
  <c r="K411" i="62928"/>
  <c r="J411" i="62928"/>
  <c r="I411" i="62928"/>
  <c r="H411" i="62928"/>
  <c r="G411" i="62928"/>
  <c r="F411" i="62928"/>
  <c r="E411" i="62928"/>
  <c r="O399" i="62928"/>
  <c r="J399" i="62928"/>
  <c r="I399" i="62928"/>
  <c r="H399" i="62928"/>
  <c r="O379" i="62928"/>
  <c r="N379" i="62928"/>
  <c r="M379" i="62928"/>
  <c r="L379" i="62928"/>
  <c r="K379" i="62928"/>
  <c r="J379" i="62928"/>
  <c r="I379" i="62928"/>
  <c r="H379" i="62928"/>
  <c r="G379" i="62928"/>
  <c r="F379" i="62928"/>
  <c r="E379" i="62928"/>
  <c r="O376" i="62928"/>
  <c r="N376" i="62928"/>
  <c r="M376" i="62928"/>
  <c r="L376" i="62928"/>
  <c r="K376" i="62928"/>
  <c r="J376" i="62928"/>
  <c r="I376" i="62928"/>
  <c r="H376" i="62928"/>
  <c r="G376" i="62928"/>
  <c r="F376" i="62928"/>
  <c r="E376" i="62928"/>
  <c r="L365" i="62928"/>
  <c r="L348" i="62928"/>
  <c r="K348" i="62928"/>
  <c r="J348" i="62928"/>
  <c r="I348" i="62928"/>
  <c r="H348" i="62928"/>
  <c r="G348" i="62928"/>
  <c r="F348" i="62928"/>
  <c r="E348" i="62928"/>
  <c r="L345" i="62928"/>
  <c r="K345" i="62928"/>
  <c r="J345" i="62928"/>
  <c r="I345" i="62928"/>
  <c r="H345" i="62928"/>
  <c r="G345" i="62928"/>
  <c r="F345" i="62928"/>
  <c r="E345" i="62928"/>
  <c r="Y304" i="62928"/>
  <c r="AC302" i="62928"/>
  <c r="AC301" i="62928"/>
  <c r="AC300" i="62928"/>
  <c r="AC166" i="62928"/>
  <c r="AC165" i="62928"/>
  <c r="AC164" i="62928"/>
  <c r="AC163" i="62928"/>
  <c r="AC162" i="62928"/>
  <c r="AC145" i="62928"/>
  <c r="AC144" i="62928"/>
  <c r="AC143" i="62928"/>
  <c r="AC142" i="62928"/>
  <c r="AC141" i="62928"/>
  <c r="AC138" i="62928"/>
  <c r="AC137" i="62928"/>
  <c r="AC136" i="62928"/>
  <c r="AC135" i="62928"/>
  <c r="AC134" i="62928"/>
  <c r="AC131" i="62928"/>
  <c r="AC130" i="62928"/>
  <c r="AC129" i="62928"/>
  <c r="AC128" i="62928"/>
  <c r="AC127" i="62928"/>
  <c r="AC124" i="62928"/>
  <c r="AC123" i="62928"/>
  <c r="AC122" i="62928"/>
  <c r="AC121" i="62928"/>
  <c r="AC120" i="62928"/>
  <c r="AC117" i="62928"/>
  <c r="AC116" i="62928"/>
  <c r="AC115" i="62928"/>
  <c r="AC114" i="62928"/>
  <c r="AC113" i="62928"/>
  <c r="AC86" i="62928"/>
  <c r="AC85" i="62928"/>
  <c r="AC84" i="62928"/>
  <c r="AC83" i="62928"/>
  <c r="Y74" i="62928"/>
  <c r="Y60" i="62928"/>
  <c r="Y33" i="62928"/>
  <c r="Y19" i="62928"/>
  <c r="L236" i="62927"/>
  <c r="I236" i="62927"/>
  <c r="H236" i="62927"/>
  <c r="G236" i="62927"/>
  <c r="F236" i="62927"/>
  <c r="E236" i="62927"/>
  <c r="L234" i="62927"/>
  <c r="I234" i="62927"/>
  <c r="H234" i="62927"/>
  <c r="G234" i="62927"/>
  <c r="F234" i="62927"/>
  <c r="E234" i="62927"/>
  <c r="L230" i="62927"/>
  <c r="I230" i="62927"/>
  <c r="H230" i="62927"/>
  <c r="G230" i="62927"/>
  <c r="F230" i="62927"/>
  <c r="E230" i="62927"/>
  <c r="O213" i="62927"/>
  <c r="N213" i="62927"/>
  <c r="K213" i="62927"/>
  <c r="L212" i="62927"/>
  <c r="I212" i="62927"/>
  <c r="H212" i="62927"/>
  <c r="G212" i="62927"/>
  <c r="F212" i="62927"/>
  <c r="E212" i="62927"/>
  <c r="L203" i="62927"/>
  <c r="I203" i="62927"/>
  <c r="H203" i="62927"/>
  <c r="G203" i="62927"/>
  <c r="F203" i="62927"/>
  <c r="E203" i="62927"/>
  <c r="O196" i="62927"/>
  <c r="N196" i="62927"/>
  <c r="M196" i="62927"/>
  <c r="L196" i="62927"/>
  <c r="K196" i="62927"/>
  <c r="J196" i="62927"/>
  <c r="I196" i="62927"/>
  <c r="H196" i="62927"/>
  <c r="G196" i="62927"/>
  <c r="F196" i="62927"/>
  <c r="E196" i="62927"/>
  <c r="N193" i="62927"/>
  <c r="K193" i="62927"/>
  <c r="L191" i="62927"/>
  <c r="I191" i="62927"/>
  <c r="H191" i="62927"/>
  <c r="G191" i="62927"/>
  <c r="F191" i="62927"/>
  <c r="E191" i="62927"/>
  <c r="L190" i="62927"/>
  <c r="I190" i="62927"/>
  <c r="H190" i="62927"/>
  <c r="G190" i="62927"/>
  <c r="F190" i="62927"/>
  <c r="E190" i="62927"/>
  <c r="O181" i="62927"/>
  <c r="O161" i="62927"/>
  <c r="N161" i="62927"/>
  <c r="M161" i="62927"/>
  <c r="L161" i="62927"/>
  <c r="K161" i="62927"/>
  <c r="J161" i="62927"/>
  <c r="I161" i="62927"/>
  <c r="H161" i="62927"/>
  <c r="G161" i="62927"/>
  <c r="F161" i="62927"/>
  <c r="E161" i="62927"/>
  <c r="O158" i="62927"/>
  <c r="M147" i="62927"/>
  <c r="K146" i="62927"/>
  <c r="I146" i="62927" s="1"/>
  <c r="J146" i="62927"/>
  <c r="K137" i="62927"/>
  <c r="J137" i="62927"/>
  <c r="H137" i="62927"/>
  <c r="H147" i="62927" s="1"/>
  <c r="G137" i="62927"/>
  <c r="G147" i="62927" s="1"/>
  <c r="F137" i="62927"/>
  <c r="E137" i="62927"/>
  <c r="E147" i="62927" s="1"/>
  <c r="M130" i="62927"/>
  <c r="L130" i="62927"/>
  <c r="J130" i="62927"/>
  <c r="I130" i="62927"/>
  <c r="H130" i="62927"/>
  <c r="G130" i="62927"/>
  <c r="F130" i="62927"/>
  <c r="E130" i="62927"/>
  <c r="M127" i="62927"/>
  <c r="K125" i="62927"/>
  <c r="J125" i="62927"/>
  <c r="H125" i="62927"/>
  <c r="G125" i="62927"/>
  <c r="F125" i="62927"/>
  <c r="E125" i="62927"/>
  <c r="K124" i="62927"/>
  <c r="J124" i="62927"/>
  <c r="H124" i="62927"/>
  <c r="G124" i="62927"/>
  <c r="F124" i="62927"/>
  <c r="E124" i="62927"/>
  <c r="W100" i="62927"/>
  <c r="T100" i="62927"/>
  <c r="S100" i="62927"/>
  <c r="R100" i="62927"/>
  <c r="L84" i="62927"/>
  <c r="W59" i="62927"/>
  <c r="T59" i="62927"/>
  <c r="S59" i="62927"/>
  <c r="R59" i="62927"/>
  <c r="W46" i="62927"/>
  <c r="U46" i="62927"/>
  <c r="T46" i="62927"/>
  <c r="R46" i="62927"/>
  <c r="W34" i="62927"/>
  <c r="U34" i="62927"/>
  <c r="S34" i="62927"/>
  <c r="R34" i="62927"/>
  <c r="W26" i="62927"/>
  <c r="U26" i="62927"/>
  <c r="S26" i="62927"/>
  <c r="R26" i="62927"/>
  <c r="W15" i="62927"/>
  <c r="U15" i="62927"/>
  <c r="T15" i="62927"/>
  <c r="S15" i="62927"/>
  <c r="V13" i="62927"/>
  <c r="V15" i="62927" s="1"/>
  <c r="B8" i="62892"/>
  <c r="B9" i="62892"/>
  <c r="B10" i="62892"/>
  <c r="B11" i="62892"/>
  <c r="B7" i="62892"/>
  <c r="B15" i="62892"/>
  <c r="B16" i="62892"/>
  <c r="B17" i="62892"/>
  <c r="B18" i="62892"/>
  <c r="B14" i="62892"/>
  <c r="B197" i="62925"/>
  <c r="B209" i="62925" s="1"/>
  <c r="B8" i="62909"/>
  <c r="B9" i="62909"/>
  <c r="B10" i="62909"/>
  <c r="B11" i="62909"/>
  <c r="B12" i="62909"/>
  <c r="B13" i="62909"/>
  <c r="B14" i="62909"/>
  <c r="B7" i="62909"/>
  <c r="B18" i="62909"/>
  <c r="B19" i="62909"/>
  <c r="B20" i="62909"/>
  <c r="B21" i="62909"/>
  <c r="B22" i="62909"/>
  <c r="B23" i="62909"/>
  <c r="B24" i="62909"/>
  <c r="B17" i="62909"/>
  <c r="B8" i="62910"/>
  <c r="B9" i="62910"/>
  <c r="B10" i="62910"/>
  <c r="B11" i="62910"/>
  <c r="B7" i="62910"/>
  <c r="B15" i="62910"/>
  <c r="B16" i="62910"/>
  <c r="B17" i="62910"/>
  <c r="B18" i="62910"/>
  <c r="B14" i="62910"/>
  <c r="B2" i="62925"/>
  <c r="D38" i="62908"/>
  <c r="D39" i="62908"/>
  <c r="D40" i="62908"/>
  <c r="O316" i="62926"/>
  <c r="N316" i="62926"/>
  <c r="L316" i="62926"/>
  <c r="I316" i="62926"/>
  <c r="H316" i="62926"/>
  <c r="O299" i="62926"/>
  <c r="N299" i="62926"/>
  <c r="L299" i="62926"/>
  <c r="I299" i="62926"/>
  <c r="H299" i="62926"/>
  <c r="M298" i="62926"/>
  <c r="K298" i="62926"/>
  <c r="G298" i="62926"/>
  <c r="F298" i="62926"/>
  <c r="E298" i="62926"/>
  <c r="N296" i="62926"/>
  <c r="L296" i="62926"/>
  <c r="I296" i="62926"/>
  <c r="H296" i="62926"/>
  <c r="O284" i="62926"/>
  <c r="J284" i="62926"/>
  <c r="I284" i="62926"/>
  <c r="H284" i="62926"/>
  <c r="O264" i="62926"/>
  <c r="K264" i="62926"/>
  <c r="J264" i="62926"/>
  <c r="I264" i="62926"/>
  <c r="H264" i="62926"/>
  <c r="O261" i="62926"/>
  <c r="K261" i="62926"/>
  <c r="J261" i="62926"/>
  <c r="I261" i="62926"/>
  <c r="H261" i="62926"/>
  <c r="L250" i="62926"/>
  <c r="L233" i="62926"/>
  <c r="H233" i="62926"/>
  <c r="K232" i="62926"/>
  <c r="J232" i="62926"/>
  <c r="G232" i="62926"/>
  <c r="F232" i="62926"/>
  <c r="E232" i="62926"/>
  <c r="L230" i="62926"/>
  <c r="B197" i="62926"/>
  <c r="B6" i="62909" s="1"/>
  <c r="AI192" i="62926"/>
  <c r="AH192" i="62926"/>
  <c r="AG192" i="62926"/>
  <c r="AF192" i="62926"/>
  <c r="AP184" i="62926"/>
  <c r="AO184" i="62926"/>
  <c r="AL184" i="62926"/>
  <c r="AK184" i="62926"/>
  <c r="AJ184" i="62926"/>
  <c r="AI184" i="62926"/>
  <c r="AH184" i="62926"/>
  <c r="AG184" i="62926"/>
  <c r="AI174" i="62926"/>
  <c r="AH174" i="62926"/>
  <c r="AG174" i="62926"/>
  <c r="AF174" i="62926"/>
  <c r="AS172" i="62926"/>
  <c r="I172" i="62926"/>
  <c r="AS171" i="62926"/>
  <c r="I171" i="62926"/>
  <c r="AS170" i="62926"/>
  <c r="I170" i="62926"/>
  <c r="AS169" i="62926"/>
  <c r="I169" i="62926"/>
  <c r="AI163" i="62926"/>
  <c r="AH163" i="62926"/>
  <c r="AG163" i="62926"/>
  <c r="AF163" i="62926"/>
  <c r="AS161" i="62926"/>
  <c r="I161" i="62926"/>
  <c r="AS160" i="62926"/>
  <c r="I160" i="62926"/>
  <c r="AS159" i="62926"/>
  <c r="I159" i="62926"/>
  <c r="AS158" i="62926"/>
  <c r="I158" i="62926"/>
  <c r="AI152" i="62926"/>
  <c r="AH152" i="62926"/>
  <c r="AG152" i="62926"/>
  <c r="AF152" i="62926"/>
  <c r="F151" i="62926"/>
  <c r="AS149" i="62926"/>
  <c r="AS148" i="62926"/>
  <c r="AS147" i="62926"/>
  <c r="AS146" i="62926"/>
  <c r="AS145" i="62926"/>
  <c r="AS144" i="62926"/>
  <c r="AS143" i="62926"/>
  <c r="AS142" i="62926"/>
  <c r="AS141" i="62926"/>
  <c r="AS140" i="62926"/>
  <c r="AS139" i="62926"/>
  <c r="AS138" i="62926"/>
  <c r="AI132" i="62926"/>
  <c r="AH132" i="62926"/>
  <c r="AG132" i="62926"/>
  <c r="AF132" i="62926"/>
  <c r="AS130" i="62926"/>
  <c r="AS129" i="62926"/>
  <c r="AS128" i="62926"/>
  <c r="AS127" i="62926"/>
  <c r="AS126" i="62926"/>
  <c r="AI120" i="62926"/>
  <c r="AH120" i="62926"/>
  <c r="AG120" i="62926"/>
  <c r="AF120" i="62926"/>
  <c r="AS118" i="62926"/>
  <c r="AS117" i="62926"/>
  <c r="AS116" i="62926"/>
  <c r="AS115" i="62926"/>
  <c r="AI77" i="62926"/>
  <c r="AH77" i="62926"/>
  <c r="AG77" i="62926"/>
  <c r="AF77" i="62926"/>
  <c r="AS75" i="62926"/>
  <c r="AS74" i="62926"/>
  <c r="AS73" i="62926"/>
  <c r="AI67" i="62926"/>
  <c r="AH67" i="62926"/>
  <c r="AG67" i="62926"/>
  <c r="AF67" i="62926"/>
  <c r="AS65" i="62926"/>
  <c r="AT65" i="62926" s="1"/>
  <c r="AS64" i="62926"/>
  <c r="AT64" i="62926" s="1"/>
  <c r="AS63" i="62926"/>
  <c r="AR63" i="62926" s="1"/>
  <c r="AU38" i="62926"/>
  <c r="AT38" i="62926"/>
  <c r="AU37" i="62926"/>
  <c r="AT37" i="62926"/>
  <c r="AU26" i="62926"/>
  <c r="AT26" i="62926"/>
  <c r="AS26" i="62926"/>
  <c r="AR26" i="62926"/>
  <c r="AU25" i="62926"/>
  <c r="AU23" i="62926"/>
  <c r="AU22" i="62926"/>
  <c r="AU20" i="62926"/>
  <c r="AT20" i="62926"/>
  <c r="AS20" i="62926"/>
  <c r="AR19" i="62926"/>
  <c r="AU17" i="62926"/>
  <c r="AT17" i="62926"/>
  <c r="AS17" i="62926"/>
  <c r="AR17" i="62926"/>
  <c r="AU16" i="62926"/>
  <c r="AR16" i="62926"/>
  <c r="B2" i="62926"/>
  <c r="O316" i="62925"/>
  <c r="N316" i="62925"/>
  <c r="L316" i="62925"/>
  <c r="I316" i="62925"/>
  <c r="H316" i="62925"/>
  <c r="O299" i="62925"/>
  <c r="N299" i="62925"/>
  <c r="L299" i="62925"/>
  <c r="I299" i="62925"/>
  <c r="H299" i="62925"/>
  <c r="M298" i="62925"/>
  <c r="K298" i="62925"/>
  <c r="G298" i="62925"/>
  <c r="F298" i="62925"/>
  <c r="E298" i="62925"/>
  <c r="N296" i="62925"/>
  <c r="L296" i="62925"/>
  <c r="I296" i="62925"/>
  <c r="H296" i="62925"/>
  <c r="K291" i="62925"/>
  <c r="K333" i="62925" s="1"/>
  <c r="G291" i="62925"/>
  <c r="G296" i="62925" s="1"/>
  <c r="F291" i="62925"/>
  <c r="F333" i="62925" s="1"/>
  <c r="E291" i="62925"/>
  <c r="O284" i="62925"/>
  <c r="J284" i="62925"/>
  <c r="I284" i="62925"/>
  <c r="H284" i="62925"/>
  <c r="O264" i="62925"/>
  <c r="K264" i="62925"/>
  <c r="J264" i="62925"/>
  <c r="I264" i="62925"/>
  <c r="H264" i="62925"/>
  <c r="O261" i="62925"/>
  <c r="K261" i="62925"/>
  <c r="J261" i="62925"/>
  <c r="I261" i="62925"/>
  <c r="H261" i="62925"/>
  <c r="L250" i="62925"/>
  <c r="L233" i="62925"/>
  <c r="H233" i="62925"/>
  <c r="K232" i="62925"/>
  <c r="J232" i="62925"/>
  <c r="G232" i="62925"/>
  <c r="F232" i="62925"/>
  <c r="E232" i="62925"/>
  <c r="L230" i="62925"/>
  <c r="J225" i="62925"/>
  <c r="J230" i="62925" s="1"/>
  <c r="H225" i="62925"/>
  <c r="H230" i="62925" s="1"/>
  <c r="G225" i="62925"/>
  <c r="G230" i="62925" s="1"/>
  <c r="F225" i="62925"/>
  <c r="F230" i="62925" s="1"/>
  <c r="E225" i="62925"/>
  <c r="AI192" i="62925"/>
  <c r="AH192" i="62925"/>
  <c r="AG192" i="62925"/>
  <c r="AF192" i="62925"/>
  <c r="AP184" i="62925"/>
  <c r="AO184" i="62925"/>
  <c r="AL184" i="62925"/>
  <c r="AK184" i="62925"/>
  <c r="AJ184" i="62925"/>
  <c r="AI184" i="62925"/>
  <c r="AH184" i="62925"/>
  <c r="AG184" i="62925"/>
  <c r="AI174" i="62925"/>
  <c r="AH174" i="62925"/>
  <c r="AG174" i="62925"/>
  <c r="AF174" i="62925"/>
  <c r="AS172" i="62925"/>
  <c r="I172" i="62925"/>
  <c r="AS171" i="62925"/>
  <c r="I171" i="62925"/>
  <c r="AS170" i="62925"/>
  <c r="I170" i="62925"/>
  <c r="AS169" i="62925"/>
  <c r="I169" i="62925"/>
  <c r="AI163" i="62925"/>
  <c r="AH163" i="62925"/>
  <c r="AG163" i="62925"/>
  <c r="AF163" i="62925"/>
  <c r="AS161" i="62925"/>
  <c r="I161" i="62925"/>
  <c r="AS160" i="62925"/>
  <c r="I160" i="62925"/>
  <c r="AS159" i="62925"/>
  <c r="I159" i="62925"/>
  <c r="AS158" i="62925"/>
  <c r="I158" i="62925"/>
  <c r="AI152" i="62925"/>
  <c r="AH152" i="62925"/>
  <c r="AG152" i="62925"/>
  <c r="AF152" i="62925"/>
  <c r="F151" i="62925"/>
  <c r="AS149" i="62925"/>
  <c r="AS148" i="62925"/>
  <c r="AS147" i="62925"/>
  <c r="AS146" i="62925"/>
  <c r="AS145" i="62925"/>
  <c r="AS144" i="62925"/>
  <c r="AS143" i="62925"/>
  <c r="AS142" i="62925"/>
  <c r="AS141" i="62925"/>
  <c r="AS140" i="62925"/>
  <c r="AS139" i="62925"/>
  <c r="AS138" i="62925"/>
  <c r="AI132" i="62925"/>
  <c r="AH132" i="62925"/>
  <c r="AG132" i="62925"/>
  <c r="AF132" i="62925"/>
  <c r="AS130" i="62925"/>
  <c r="AS129" i="62925"/>
  <c r="AS128" i="62925"/>
  <c r="AS127" i="62925"/>
  <c r="AS126" i="62925"/>
  <c r="AI120" i="62925"/>
  <c r="AH120" i="62925"/>
  <c r="AG120" i="62925"/>
  <c r="AF120" i="62925"/>
  <c r="AS118" i="62925"/>
  <c r="AS117" i="62925"/>
  <c r="AS116" i="62925"/>
  <c r="AS115" i="62925"/>
  <c r="AI77" i="62925"/>
  <c r="AH77" i="62925"/>
  <c r="AG77" i="62925"/>
  <c r="AF77" i="62925"/>
  <c r="AS75" i="62925"/>
  <c r="AS74" i="62925"/>
  <c r="AS73" i="62925"/>
  <c r="AI67" i="62925"/>
  <c r="AH67" i="62925"/>
  <c r="AG67" i="62925"/>
  <c r="AF67" i="62925"/>
  <c r="AS65" i="62925"/>
  <c r="AR65" i="62925" s="1"/>
  <c r="AS64" i="62925"/>
  <c r="AT64" i="62925" s="1"/>
  <c r="AS63" i="62925"/>
  <c r="AR63" i="62925" s="1"/>
  <c r="AU38" i="62925"/>
  <c r="AT38" i="62925"/>
  <c r="AU37" i="62925"/>
  <c r="AT37" i="62925"/>
  <c r="AU26" i="62925"/>
  <c r="AT26" i="62925"/>
  <c r="AS26" i="62925"/>
  <c r="AR26" i="62925"/>
  <c r="AU25" i="62925"/>
  <c r="AU23" i="62925"/>
  <c r="AU22" i="62925"/>
  <c r="AU20" i="62925"/>
  <c r="AT20" i="62925"/>
  <c r="AS20" i="62925"/>
  <c r="AR19" i="62925"/>
  <c r="AU17" i="62925"/>
  <c r="AT17" i="62925"/>
  <c r="AS17" i="62925"/>
  <c r="AR17" i="62925"/>
  <c r="AU16" i="62925"/>
  <c r="AR16" i="62925"/>
  <c r="L390" i="62905"/>
  <c r="H259" i="62904"/>
  <c r="L259" i="62904"/>
  <c r="H401" i="9"/>
  <c r="L401" i="9"/>
  <c r="H398" i="9"/>
  <c r="L398" i="9"/>
  <c r="L395" i="9"/>
  <c r="L607" i="62898"/>
  <c r="H607" i="62898"/>
  <c r="I754" i="5"/>
  <c r="I727" i="5"/>
  <c r="I28" i="62915" s="1"/>
  <c r="U28" i="62915" s="1"/>
  <c r="G727" i="5"/>
  <c r="G28" i="62915" s="1"/>
  <c r="S28" i="62915" s="1"/>
  <c r="F727" i="5"/>
  <c r="F28" i="62915" s="1"/>
  <c r="R28" i="62915" s="1"/>
  <c r="E28" i="62915"/>
  <c r="Q28" i="62915" s="1"/>
  <c r="I720" i="5"/>
  <c r="L234" i="3"/>
  <c r="I234" i="3"/>
  <c r="H234" i="3"/>
  <c r="G234" i="3"/>
  <c r="F234" i="3"/>
  <c r="E234" i="3"/>
  <c r="L236" i="3"/>
  <c r="I236" i="3"/>
  <c r="H236" i="3"/>
  <c r="L230" i="3"/>
  <c r="G230" i="3"/>
  <c r="F230" i="3"/>
  <c r="E230" i="3"/>
  <c r="B96" i="62910"/>
  <c r="B97" i="62910"/>
  <c r="B98" i="62910"/>
  <c r="B99" i="62910"/>
  <c r="B94" i="62910"/>
  <c r="B94" i="62892"/>
  <c r="E28" i="62912"/>
  <c r="N28" i="62912" s="1"/>
  <c r="L367" i="7"/>
  <c r="L350" i="7"/>
  <c r="L347" i="7"/>
  <c r="BJ180" i="9"/>
  <c r="BJ191" i="9"/>
  <c r="BJ146" i="9"/>
  <c r="BJ147" i="9"/>
  <c r="BJ148" i="9"/>
  <c r="BJ149" i="9"/>
  <c r="BJ108" i="9"/>
  <c r="BK108" i="9"/>
  <c r="BL108" i="9"/>
  <c r="BM108" i="9"/>
  <c r="BJ109" i="9"/>
  <c r="BK109" i="9"/>
  <c r="BL109" i="9"/>
  <c r="BM109" i="9"/>
  <c r="W108" i="9"/>
  <c r="W109" i="9"/>
  <c r="W111" i="9"/>
  <c r="W112" i="9"/>
  <c r="W114" i="9"/>
  <c r="W115" i="9"/>
  <c r="BJ28" i="9"/>
  <c r="BK28" i="9"/>
  <c r="BL28" i="9"/>
  <c r="BM28" i="9"/>
  <c r="BJ29" i="9"/>
  <c r="BK29" i="9"/>
  <c r="BL29" i="9"/>
  <c r="BM29" i="9"/>
  <c r="BK31" i="9"/>
  <c r="BL31" i="9"/>
  <c r="BK34" i="9"/>
  <c r="BL34" i="9"/>
  <c r="BM34" i="9"/>
  <c r="BJ35" i="9"/>
  <c r="W29" i="9"/>
  <c r="W31" i="9"/>
  <c r="W32" i="9"/>
  <c r="W34" i="9"/>
  <c r="W35" i="9"/>
  <c r="V111" i="9"/>
  <c r="V112" i="9"/>
  <c r="V114" i="9"/>
  <c r="V115" i="9"/>
  <c r="U111" i="9"/>
  <c r="U112" i="9"/>
  <c r="U114" i="9"/>
  <c r="U115" i="9"/>
  <c r="BH240" i="9"/>
  <c r="BH231" i="9"/>
  <c r="BH226" i="9"/>
  <c r="BH227" i="9"/>
  <c r="BH228" i="9"/>
  <c r="BH229" i="9"/>
  <c r="BH230" i="9"/>
  <c r="BH239" i="9"/>
  <c r="BF240" i="9"/>
  <c r="BF231" i="9"/>
  <c r="BF227" i="9"/>
  <c r="BF229" i="9"/>
  <c r="BF239" i="9"/>
  <c r="AV227" i="9"/>
  <c r="AX227" i="9"/>
  <c r="AZ227" i="9"/>
  <c r="BB227" i="9"/>
  <c r="BD228" i="9"/>
  <c r="AV229" i="9"/>
  <c r="AX229" i="9"/>
  <c r="AZ229" i="9"/>
  <c r="BB229" i="9"/>
  <c r="BD230" i="9"/>
  <c r="AV240" i="9"/>
  <c r="AV231" i="9"/>
  <c r="AV239" i="9"/>
  <c r="BD239" i="9" s="1"/>
  <c r="BD241" i="9" s="1"/>
  <c r="AQ111" i="9"/>
  <c r="AR111" i="9"/>
  <c r="AQ112" i="9"/>
  <c r="AR112" i="9"/>
  <c r="AQ114" i="9"/>
  <c r="AR114" i="9"/>
  <c r="AQ115" i="9"/>
  <c r="AR115" i="9"/>
  <c r="AG111" i="9"/>
  <c r="AI111" i="9"/>
  <c r="AK111" i="9"/>
  <c r="AM111" i="9"/>
  <c r="AH111" i="9"/>
  <c r="AJ111" i="9"/>
  <c r="AL111" i="9"/>
  <c r="AN111" i="9"/>
  <c r="AG112" i="9"/>
  <c r="AI112" i="9"/>
  <c r="AK112" i="9"/>
  <c r="AM112" i="9"/>
  <c r="AH112" i="9"/>
  <c r="AJ112" i="9"/>
  <c r="AL112" i="9"/>
  <c r="AN112" i="9"/>
  <c r="AG114" i="9"/>
  <c r="AI114" i="9"/>
  <c r="AK114" i="9"/>
  <c r="AM114" i="9"/>
  <c r="AH114" i="9"/>
  <c r="AJ114" i="9"/>
  <c r="AL114" i="9"/>
  <c r="AN114" i="9"/>
  <c r="AG115" i="9"/>
  <c r="AI115" i="9"/>
  <c r="AK115" i="9"/>
  <c r="AM115" i="9"/>
  <c r="AH115" i="9"/>
  <c r="AJ115" i="9"/>
  <c r="AL115" i="9"/>
  <c r="AN115" i="9"/>
  <c r="BB231" i="9"/>
  <c r="AZ231" i="9"/>
  <c r="AX231" i="9"/>
  <c r="AV125" i="9"/>
  <c r="BD125" i="9" s="1"/>
  <c r="AV126" i="9"/>
  <c r="BD126" i="9" s="1"/>
  <c r="AV127" i="9"/>
  <c r="BD127" i="9" s="1"/>
  <c r="AV135" i="9"/>
  <c r="BD135" i="9" s="1"/>
  <c r="AV136" i="9"/>
  <c r="BD136" i="9" s="1"/>
  <c r="AV137" i="9"/>
  <c r="BD137" i="9" s="1"/>
  <c r="AV138" i="9"/>
  <c r="BD138" i="9" s="1"/>
  <c r="AV146" i="9"/>
  <c r="BD146" i="9" s="1"/>
  <c r="AV147" i="9"/>
  <c r="BD147" i="9" s="1"/>
  <c r="AV148" i="9"/>
  <c r="BD148" i="9" s="1"/>
  <c r="AV149" i="9"/>
  <c r="BD149" i="9" s="1"/>
  <c r="AV157" i="9"/>
  <c r="AV158" i="9"/>
  <c r="BD158" i="9" s="1"/>
  <c r="AV159" i="9"/>
  <c r="BD159" i="9" s="1"/>
  <c r="AV160" i="9"/>
  <c r="BD160" i="9" s="1"/>
  <c r="AV170" i="9"/>
  <c r="BD170" i="9" s="1"/>
  <c r="AV171" i="9"/>
  <c r="BD171" i="9" s="1"/>
  <c r="AV172" i="9"/>
  <c r="BD172" i="9" s="1"/>
  <c r="AV180" i="9"/>
  <c r="BD180" i="9" s="1"/>
  <c r="AV181" i="9"/>
  <c r="BD181" i="9" s="1"/>
  <c r="AV182" i="9"/>
  <c r="BD182" i="9" s="1"/>
  <c r="AV183" i="9"/>
  <c r="BD183" i="9" s="1"/>
  <c r="AV191" i="9"/>
  <c r="BD191" i="9" s="1"/>
  <c r="AV192" i="9"/>
  <c r="BD192" i="9" s="1"/>
  <c r="AV193" i="9"/>
  <c r="BD193" i="9" s="1"/>
  <c r="AV194" i="9"/>
  <c r="BD194" i="9" s="1"/>
  <c r="AV202" i="9"/>
  <c r="BD202" i="9" s="1"/>
  <c r="AV203" i="9"/>
  <c r="BD203" i="9" s="1"/>
  <c r="AV204" i="9"/>
  <c r="BD204" i="9" s="1"/>
  <c r="AV205" i="9"/>
  <c r="BD205" i="9" s="1"/>
  <c r="AV213" i="9"/>
  <c r="BD213" i="9" s="1"/>
  <c r="AV214" i="9"/>
  <c r="BD214" i="9" s="1"/>
  <c r="AV215" i="9"/>
  <c r="BD215" i="9" s="1"/>
  <c r="BH213" i="9"/>
  <c r="BH214" i="9"/>
  <c r="BH215" i="9"/>
  <c r="BG216" i="9"/>
  <c r="BF216" i="9"/>
  <c r="BE216" i="9"/>
  <c r="BA216" i="9"/>
  <c r="AY216" i="9"/>
  <c r="BG215" i="9"/>
  <c r="BF215" i="9"/>
  <c r="BE215" i="9"/>
  <c r="BA215" i="9"/>
  <c r="AY215" i="9"/>
  <c r="BA214" i="9"/>
  <c r="AY214" i="9"/>
  <c r="BG213" i="9"/>
  <c r="BF213" i="9"/>
  <c r="BE213" i="9"/>
  <c r="BG212" i="9"/>
  <c r="BF212" i="9"/>
  <c r="BE212" i="9"/>
  <c r="F212" i="9"/>
  <c r="BJ214" i="9"/>
  <c r="BJ215" i="9"/>
  <c r="BJ213" i="9"/>
  <c r="BH202" i="9"/>
  <c r="BH203" i="9"/>
  <c r="BH204" i="9"/>
  <c r="BH205" i="9"/>
  <c r="BG206" i="9"/>
  <c r="BF206" i="9"/>
  <c r="BE206" i="9"/>
  <c r="BA206" i="9"/>
  <c r="AY206" i="9"/>
  <c r="BG205" i="9"/>
  <c r="BF205" i="9"/>
  <c r="BE205" i="9"/>
  <c r="BA205" i="9"/>
  <c r="AY205" i="9"/>
  <c r="BG204" i="9"/>
  <c r="BF204" i="9"/>
  <c r="BE204" i="9"/>
  <c r="BA204" i="9"/>
  <c r="AY204" i="9"/>
  <c r="BA203" i="9"/>
  <c r="AY203" i="9"/>
  <c r="BG202" i="9"/>
  <c r="BF202" i="9"/>
  <c r="BE202" i="9"/>
  <c r="BG201" i="9"/>
  <c r="BF201" i="9"/>
  <c r="BE201" i="9"/>
  <c r="F201" i="9"/>
  <c r="BJ192" i="9"/>
  <c r="BJ193" i="9"/>
  <c r="BJ194" i="9"/>
  <c r="BH191" i="9"/>
  <c r="BH192" i="9"/>
  <c r="BH193" i="9"/>
  <c r="BH194" i="9"/>
  <c r="BG195" i="9"/>
  <c r="BF195" i="9"/>
  <c r="BE195" i="9"/>
  <c r="BA195" i="9"/>
  <c r="AY195" i="9"/>
  <c r="BG194" i="9"/>
  <c r="BF194" i="9"/>
  <c r="BE194" i="9"/>
  <c r="BA194" i="9"/>
  <c r="AY194" i="9"/>
  <c r="BG193" i="9"/>
  <c r="BF193" i="9"/>
  <c r="BE193" i="9"/>
  <c r="BA193" i="9"/>
  <c r="AY193" i="9"/>
  <c r="BA192" i="9"/>
  <c r="AY192" i="9"/>
  <c r="BG191" i="9"/>
  <c r="BF191" i="9"/>
  <c r="BE191" i="9"/>
  <c r="F190" i="9"/>
  <c r="BG190" i="9" s="1"/>
  <c r="BJ181" i="9"/>
  <c r="BJ182" i="9"/>
  <c r="BJ183" i="9"/>
  <c r="BH180" i="9"/>
  <c r="BH181" i="9"/>
  <c r="BH182" i="9"/>
  <c r="BH183" i="9"/>
  <c r="BG184" i="9"/>
  <c r="BF184" i="9"/>
  <c r="BE184" i="9"/>
  <c r="BA184" i="9"/>
  <c r="AY184" i="9"/>
  <c r="BG183" i="9"/>
  <c r="BF183" i="9"/>
  <c r="BE183" i="9"/>
  <c r="BA183" i="9"/>
  <c r="AY183" i="9"/>
  <c r="BG182" i="9"/>
  <c r="BF182" i="9"/>
  <c r="BE182" i="9"/>
  <c r="BA182" i="9"/>
  <c r="AY182" i="9"/>
  <c r="BA181" i="9"/>
  <c r="AY181" i="9"/>
  <c r="BG180" i="9"/>
  <c r="BF180" i="9"/>
  <c r="BE180" i="9"/>
  <c r="F179" i="9"/>
  <c r="BF179" i="9" s="1"/>
  <c r="BH170" i="9"/>
  <c r="BH171" i="9"/>
  <c r="BH172" i="9"/>
  <c r="BG173" i="9"/>
  <c r="BF173" i="9"/>
  <c r="BE173" i="9"/>
  <c r="BA173" i="9"/>
  <c r="AY173" i="9"/>
  <c r="BG172" i="9"/>
  <c r="BF172" i="9"/>
  <c r="BE172" i="9"/>
  <c r="BA172" i="9"/>
  <c r="AY172" i="9"/>
  <c r="BA171" i="9"/>
  <c r="AY171" i="9"/>
  <c r="BG170" i="9"/>
  <c r="BF170" i="9"/>
  <c r="BE170" i="9"/>
  <c r="BG169" i="9"/>
  <c r="BF169" i="9"/>
  <c r="BE169" i="9"/>
  <c r="BH157" i="9"/>
  <c r="BH158" i="9"/>
  <c r="BH159" i="9"/>
  <c r="BH160" i="9"/>
  <c r="BG161" i="9"/>
  <c r="BF161" i="9"/>
  <c r="BE161" i="9"/>
  <c r="BA161" i="9"/>
  <c r="AY161" i="9"/>
  <c r="BG160" i="9"/>
  <c r="BF160" i="9"/>
  <c r="BE160" i="9"/>
  <c r="BA160" i="9"/>
  <c r="AY160" i="9"/>
  <c r="BG159" i="9"/>
  <c r="BF159" i="9"/>
  <c r="BE159" i="9"/>
  <c r="BA159" i="9"/>
  <c r="AY159" i="9"/>
  <c r="BA158" i="9"/>
  <c r="AY158" i="9"/>
  <c r="BG157" i="9"/>
  <c r="BF157" i="9"/>
  <c r="BE157" i="9"/>
  <c r="BG156" i="9"/>
  <c r="BF156" i="9"/>
  <c r="BE156" i="9"/>
  <c r="F156" i="9"/>
  <c r="BH146" i="9"/>
  <c r="BH147" i="9"/>
  <c r="BH148" i="9"/>
  <c r="BH149" i="9"/>
  <c r="BG150" i="9"/>
  <c r="BF150" i="9"/>
  <c r="BE150" i="9"/>
  <c r="BA150" i="9"/>
  <c r="AY150" i="9"/>
  <c r="BG149" i="9"/>
  <c r="BF149" i="9"/>
  <c r="BE149" i="9"/>
  <c r="BA149" i="9"/>
  <c r="AY149" i="9"/>
  <c r="BG148" i="9"/>
  <c r="BF148" i="9"/>
  <c r="BE148" i="9"/>
  <c r="BA148" i="9"/>
  <c r="AY148" i="9"/>
  <c r="BA147" i="9"/>
  <c r="AY147" i="9"/>
  <c r="BG146" i="9"/>
  <c r="BF146" i="9"/>
  <c r="BE146" i="9"/>
  <c r="F145" i="9"/>
  <c r="BG145" i="9" s="1"/>
  <c r="BJ136" i="9"/>
  <c r="BJ137" i="9"/>
  <c r="BJ138" i="9"/>
  <c r="BJ135" i="9"/>
  <c r="BH135" i="9"/>
  <c r="BH136" i="9"/>
  <c r="BH137" i="9"/>
  <c r="BH138" i="9"/>
  <c r="BG139" i="9"/>
  <c r="BF139" i="9"/>
  <c r="BE139" i="9"/>
  <c r="BA139" i="9"/>
  <c r="AY139" i="9"/>
  <c r="BG138" i="9"/>
  <c r="BF138" i="9"/>
  <c r="BE138" i="9"/>
  <c r="BA138" i="9"/>
  <c r="AY138" i="9"/>
  <c r="BG137" i="9"/>
  <c r="BF137" i="9"/>
  <c r="BE137" i="9"/>
  <c r="BA137" i="9"/>
  <c r="AY137" i="9"/>
  <c r="BA136" i="9"/>
  <c r="AY136" i="9"/>
  <c r="BG135" i="9"/>
  <c r="BF135" i="9"/>
  <c r="BE135" i="9"/>
  <c r="F134" i="9"/>
  <c r="BF134" i="9" s="1"/>
  <c r="BH125" i="9"/>
  <c r="BH126" i="9"/>
  <c r="BH127" i="9"/>
  <c r="BG128" i="9"/>
  <c r="BF128" i="9"/>
  <c r="BE128" i="9"/>
  <c r="BA128" i="9"/>
  <c r="AY128" i="9"/>
  <c r="BG127" i="9"/>
  <c r="BF127" i="9"/>
  <c r="BE127" i="9"/>
  <c r="BA127" i="9"/>
  <c r="AY127" i="9"/>
  <c r="BA126" i="9"/>
  <c r="AY126" i="9"/>
  <c r="BG125" i="9"/>
  <c r="BF125" i="9"/>
  <c r="BE125" i="9"/>
  <c r="F124" i="9"/>
  <c r="BG124" i="9" s="1"/>
  <c r="AV98" i="9"/>
  <c r="BD98" i="9" s="1"/>
  <c r="AV99" i="9"/>
  <c r="BD99" i="9" s="1"/>
  <c r="AV100" i="9"/>
  <c r="BD100" i="9" s="1"/>
  <c r="BH98" i="9"/>
  <c r="BH99" i="9"/>
  <c r="BH100" i="9"/>
  <c r="BG101" i="9"/>
  <c r="BF101" i="9"/>
  <c r="BE101" i="9"/>
  <c r="BA101" i="9"/>
  <c r="AY101" i="9"/>
  <c r="BG100" i="9"/>
  <c r="BF100" i="9"/>
  <c r="BE100" i="9"/>
  <c r="BA100" i="9"/>
  <c r="AY100" i="9"/>
  <c r="BA99" i="9"/>
  <c r="AY99" i="9"/>
  <c r="BG98" i="9"/>
  <c r="BF98" i="9"/>
  <c r="BE98" i="9"/>
  <c r="BG97" i="9"/>
  <c r="BF97" i="9"/>
  <c r="BE97" i="9"/>
  <c r="BK111" i="9"/>
  <c r="BL111" i="9"/>
  <c r="BK114" i="9"/>
  <c r="BL114" i="9"/>
  <c r="BM114" i="9"/>
  <c r="BJ115" i="9"/>
  <c r="BH110" i="9"/>
  <c r="BH111" i="9"/>
  <c r="BH112" i="9"/>
  <c r="BH113" i="9"/>
  <c r="BH114" i="9"/>
  <c r="BH115" i="9"/>
  <c r="BH116" i="9"/>
  <c r="BG110" i="9"/>
  <c r="BG111" i="9"/>
  <c r="BG112" i="9"/>
  <c r="BG113" i="9"/>
  <c r="BG114" i="9"/>
  <c r="BG115" i="9"/>
  <c r="BG116" i="9"/>
  <c r="BF111" i="9"/>
  <c r="BF112" i="9"/>
  <c r="BF114" i="9"/>
  <c r="BF115" i="9"/>
  <c r="BF116" i="9"/>
  <c r="BE111" i="9"/>
  <c r="BE112" i="9"/>
  <c r="BE114" i="9"/>
  <c r="BE115" i="9"/>
  <c r="BE116" i="9"/>
  <c r="AV111" i="9"/>
  <c r="AX111" i="9"/>
  <c r="AZ111" i="9"/>
  <c r="BB111" i="9"/>
  <c r="AV112" i="9"/>
  <c r="AX112" i="9"/>
  <c r="AZ112" i="9"/>
  <c r="BB112" i="9"/>
  <c r="AV114" i="9"/>
  <c r="AX114" i="9"/>
  <c r="AZ114" i="9"/>
  <c r="BB114" i="9"/>
  <c r="AV115" i="9"/>
  <c r="AX115" i="9"/>
  <c r="AZ115" i="9"/>
  <c r="BB115" i="9"/>
  <c r="BD116" i="9"/>
  <c r="AU111" i="9"/>
  <c r="AW111" i="9"/>
  <c r="AY111" i="9"/>
  <c r="BA111" i="9"/>
  <c r="AU112" i="9"/>
  <c r="AW112" i="9"/>
  <c r="AY112" i="9"/>
  <c r="BA112" i="9"/>
  <c r="AU114" i="9"/>
  <c r="AW114" i="9"/>
  <c r="AY114" i="9"/>
  <c r="BA114" i="9"/>
  <c r="AU115" i="9"/>
  <c r="AW115" i="9"/>
  <c r="AY115" i="9"/>
  <c r="BA115" i="9"/>
  <c r="BC116" i="9"/>
  <c r="BM115" i="9"/>
  <c r="BL115" i="9"/>
  <c r="BK115" i="9"/>
  <c r="BJ114" i="9"/>
  <c r="BM112" i="9"/>
  <c r="BL112" i="9"/>
  <c r="BK112" i="9"/>
  <c r="BJ112" i="9"/>
  <c r="BM111" i="9"/>
  <c r="BJ111" i="9"/>
  <c r="F107" i="9"/>
  <c r="F84" i="9"/>
  <c r="BH85" i="9"/>
  <c r="BH86" i="9"/>
  <c r="BH87" i="9"/>
  <c r="BH88" i="9"/>
  <c r="AV86" i="9"/>
  <c r="BD86" i="9" s="1"/>
  <c r="AV87" i="9"/>
  <c r="BD87" i="9" s="1"/>
  <c r="AV88" i="9"/>
  <c r="BD88" i="9" s="1"/>
  <c r="BG89" i="9"/>
  <c r="BF89" i="9"/>
  <c r="BE89" i="9"/>
  <c r="BA89" i="9"/>
  <c r="AY89" i="9"/>
  <c r="BG88" i="9"/>
  <c r="BF88" i="9"/>
  <c r="BE88" i="9"/>
  <c r="BA88" i="9"/>
  <c r="AY88" i="9"/>
  <c r="BG87" i="9"/>
  <c r="BF87" i="9"/>
  <c r="BE87" i="9"/>
  <c r="BA87" i="9"/>
  <c r="AY87" i="9"/>
  <c r="BA86" i="9"/>
  <c r="AY86" i="9"/>
  <c r="BG85" i="9"/>
  <c r="BF85" i="9"/>
  <c r="BE85" i="9"/>
  <c r="AV85" i="9"/>
  <c r="BD85" i="9" s="1"/>
  <c r="BG84" i="9"/>
  <c r="BF84" i="9"/>
  <c r="BE84" i="9"/>
  <c r="BH74" i="9"/>
  <c r="BH75" i="9"/>
  <c r="BH76" i="9"/>
  <c r="BH77" i="9"/>
  <c r="AV75" i="9"/>
  <c r="BD75" i="9" s="1"/>
  <c r="AV76" i="9"/>
  <c r="BD76" i="9" s="1"/>
  <c r="AV77" i="9"/>
  <c r="BD77" i="9" s="1"/>
  <c r="BG78" i="9"/>
  <c r="BF78" i="9"/>
  <c r="BE78" i="9"/>
  <c r="BA78" i="9"/>
  <c r="AY78" i="9"/>
  <c r="BG77" i="9"/>
  <c r="BF77" i="9"/>
  <c r="BE77" i="9"/>
  <c r="BA77" i="9"/>
  <c r="AY77" i="9"/>
  <c r="BG76" i="9"/>
  <c r="BF76" i="9"/>
  <c r="BE76" i="9"/>
  <c r="BA76" i="9"/>
  <c r="AY76" i="9"/>
  <c r="BA75" i="9"/>
  <c r="AY75" i="9"/>
  <c r="BG74" i="9"/>
  <c r="BF74" i="9"/>
  <c r="BE74" i="9"/>
  <c r="AV74" i="9"/>
  <c r="BD74" i="9" s="1"/>
  <c r="F73" i="9"/>
  <c r="BG73" i="9" s="1"/>
  <c r="BH63" i="9"/>
  <c r="BH64" i="9"/>
  <c r="BH65" i="9"/>
  <c r="BH66" i="9"/>
  <c r="AV64" i="9"/>
  <c r="BD64" i="9" s="1"/>
  <c r="AV65" i="9"/>
  <c r="BD65" i="9" s="1"/>
  <c r="AV66" i="9"/>
  <c r="BD66" i="9" s="1"/>
  <c r="BG67" i="9"/>
  <c r="BF67" i="9"/>
  <c r="BE67" i="9"/>
  <c r="BA67" i="9"/>
  <c r="AY67" i="9"/>
  <c r="AY66" i="9"/>
  <c r="BA66" i="9"/>
  <c r="BE66" i="9"/>
  <c r="BF66" i="9"/>
  <c r="BG66" i="9"/>
  <c r="BG65" i="9"/>
  <c r="BF65" i="9"/>
  <c r="BE65" i="9"/>
  <c r="BA65" i="9"/>
  <c r="AY65" i="9"/>
  <c r="BA64" i="9"/>
  <c r="AY64" i="9"/>
  <c r="BG63" i="9"/>
  <c r="BF63" i="9"/>
  <c r="BE63" i="9"/>
  <c r="AV63" i="9"/>
  <c r="BD63" i="9" s="1"/>
  <c r="F62" i="9"/>
  <c r="BG62" i="9" s="1"/>
  <c r="BH53" i="9"/>
  <c r="BH54" i="9"/>
  <c r="BH55" i="9"/>
  <c r="AV53" i="9"/>
  <c r="BD53" i="9" s="1"/>
  <c r="AV54" i="9"/>
  <c r="BD54" i="9" s="1"/>
  <c r="AV55" i="9"/>
  <c r="BD55" i="9" s="1"/>
  <c r="BG56" i="9"/>
  <c r="BF56" i="9"/>
  <c r="BE56" i="9"/>
  <c r="BA56" i="9"/>
  <c r="AY56" i="9"/>
  <c r="BG55" i="9"/>
  <c r="BF55" i="9"/>
  <c r="BE55" i="9"/>
  <c r="BA55" i="9"/>
  <c r="AY55" i="9"/>
  <c r="BA54" i="9"/>
  <c r="AY54" i="9"/>
  <c r="BG53" i="9"/>
  <c r="BF53" i="9"/>
  <c r="BE53" i="9"/>
  <c r="F52" i="9"/>
  <c r="BG52" i="9" s="1"/>
  <c r="BH44" i="9"/>
  <c r="BH45" i="9"/>
  <c r="BG46" i="9"/>
  <c r="BG45" i="9"/>
  <c r="BG43" i="9"/>
  <c r="F42" i="9"/>
  <c r="BG42" i="9" s="1"/>
  <c r="BF46" i="9"/>
  <c r="BE46" i="9"/>
  <c r="BF45" i="9"/>
  <c r="BE45" i="9"/>
  <c r="BF43" i="9"/>
  <c r="BE43" i="9"/>
  <c r="AV44" i="9"/>
  <c r="BD44" i="9" s="1"/>
  <c r="AV45" i="9"/>
  <c r="BD45" i="9" s="1"/>
  <c r="AQ20" i="9"/>
  <c r="AO20" i="9"/>
  <c r="BE32" i="9"/>
  <c r="BF32" i="9"/>
  <c r="BE31" i="9"/>
  <c r="BF31" i="9"/>
  <c r="BE34" i="9"/>
  <c r="BF34" i="9"/>
  <c r="BE35" i="9"/>
  <c r="BF35" i="9"/>
  <c r="AU31" i="9"/>
  <c r="AV31" i="9"/>
  <c r="AW31" i="9"/>
  <c r="AX31" i="9"/>
  <c r="AY31" i="9"/>
  <c r="AZ31" i="9"/>
  <c r="BA31" i="9"/>
  <c r="BB31" i="9"/>
  <c r="AU32" i="9"/>
  <c r="AV32" i="9"/>
  <c r="AW32" i="9"/>
  <c r="AX32" i="9"/>
  <c r="AY32" i="9"/>
  <c r="AZ32" i="9"/>
  <c r="BA32" i="9"/>
  <c r="BB32" i="9"/>
  <c r="AU34" i="9"/>
  <c r="AV34" i="9"/>
  <c r="AW34" i="9"/>
  <c r="AX34" i="9"/>
  <c r="AY34" i="9"/>
  <c r="AZ34" i="9"/>
  <c r="BA34" i="9"/>
  <c r="BB34" i="9"/>
  <c r="AU35" i="9"/>
  <c r="AV35" i="9"/>
  <c r="AW35" i="9"/>
  <c r="AX35" i="9"/>
  <c r="AY35" i="9"/>
  <c r="AZ35" i="9"/>
  <c r="BA35" i="9"/>
  <c r="BB35" i="9"/>
  <c r="BG31" i="9"/>
  <c r="BH31" i="9"/>
  <c r="BG32" i="9"/>
  <c r="BH32" i="9"/>
  <c r="BG33" i="9"/>
  <c r="BH33" i="9"/>
  <c r="BG34" i="9"/>
  <c r="BH34" i="9"/>
  <c r="BG35" i="9"/>
  <c r="BH35" i="9"/>
  <c r="BH30" i="9"/>
  <c r="BH36" i="9"/>
  <c r="BG30" i="9"/>
  <c r="BG36" i="9"/>
  <c r="BF36" i="9"/>
  <c r="BE36" i="9"/>
  <c r="BD36" i="9"/>
  <c r="BC36" i="9"/>
  <c r="F27" i="9"/>
  <c r="BM35" i="9"/>
  <c r="BL35" i="9"/>
  <c r="BK35" i="9"/>
  <c r="BJ34" i="9"/>
  <c r="BM32" i="9"/>
  <c r="BL32" i="9"/>
  <c r="BK32" i="9"/>
  <c r="BJ32" i="9"/>
  <c r="BM31" i="9"/>
  <c r="BJ31" i="9"/>
  <c r="BH16" i="9"/>
  <c r="BH17" i="9"/>
  <c r="BH18" i="9"/>
  <c r="AU16" i="9"/>
  <c r="AX16" i="9"/>
  <c r="AZ16" i="9"/>
  <c r="BB16" i="9"/>
  <c r="AU17" i="9"/>
  <c r="AX17" i="9"/>
  <c r="AZ17" i="9"/>
  <c r="BB17" i="9"/>
  <c r="AU18" i="9"/>
  <c r="AX18" i="9"/>
  <c r="AZ18" i="9"/>
  <c r="BB18" i="9"/>
  <c r="AX15" i="9"/>
  <c r="AZ15" i="9"/>
  <c r="BB15" i="9"/>
  <c r="BJ76" i="9"/>
  <c r="BJ77" i="9"/>
  <c r="BJ74" i="9"/>
  <c r="BJ75" i="9"/>
  <c r="BJ64" i="9"/>
  <c r="BJ65" i="9"/>
  <c r="BJ66" i="9"/>
  <c r="BJ63" i="9"/>
  <c r="AG53" i="62904"/>
  <c r="AG63" i="62904"/>
  <c r="AG77" i="62904"/>
  <c r="AG85" i="62904"/>
  <c r="AI113" i="62904"/>
  <c r="AG113" i="62904"/>
  <c r="AE113" i="62904"/>
  <c r="AU38" i="62904"/>
  <c r="AT38" i="62904"/>
  <c r="AU37" i="62904"/>
  <c r="AT37" i="62904"/>
  <c r="AU26" i="62904"/>
  <c r="AT26" i="62904"/>
  <c r="AS26" i="62904"/>
  <c r="AR26" i="62904"/>
  <c r="AU25" i="62904"/>
  <c r="AU23" i="62904"/>
  <c r="AU22" i="62904"/>
  <c r="AU20" i="62904"/>
  <c r="AT20" i="62904"/>
  <c r="AS20" i="62904"/>
  <c r="AR19" i="62904"/>
  <c r="AU17" i="62904"/>
  <c r="AT17" i="62904"/>
  <c r="AS17" i="62904"/>
  <c r="AR17" i="62904"/>
  <c r="AU16" i="62904"/>
  <c r="AR16" i="62904"/>
  <c r="K299" i="62905"/>
  <c r="BG38" i="62905"/>
  <c r="BF38" i="62905"/>
  <c r="BG37" i="62905"/>
  <c r="BF37" i="62905"/>
  <c r="BG26" i="62905"/>
  <c r="BF26" i="62905"/>
  <c r="BE26" i="62905"/>
  <c r="BD26" i="62905"/>
  <c r="BG25" i="62905"/>
  <c r="BG23" i="62905"/>
  <c r="BG22" i="62905"/>
  <c r="BG20" i="62905"/>
  <c r="BF20" i="62905"/>
  <c r="BE20" i="62905"/>
  <c r="BD19" i="62905"/>
  <c r="BG17" i="62905"/>
  <c r="BF17" i="62905"/>
  <c r="BE17" i="62905"/>
  <c r="BD17" i="62905"/>
  <c r="BG16" i="62905"/>
  <c r="BD16" i="62905"/>
  <c r="AY166" i="62905"/>
  <c r="AM166" i="62905"/>
  <c r="AI166" i="62905"/>
  <c r="AE166" i="62905"/>
  <c r="BD161" i="62905"/>
  <c r="BE161" i="62905" s="1"/>
  <c r="B218" i="2"/>
  <c r="B93" i="62910" s="1"/>
  <c r="B139" i="62910" s="1"/>
  <c r="AZ193" i="2"/>
  <c r="BA193" i="2" s="1"/>
  <c r="AR188" i="2"/>
  <c r="AS188" i="2"/>
  <c r="AT188" i="2"/>
  <c r="F661" i="5"/>
  <c r="F28" i="62912" s="1"/>
  <c r="O28" i="62912" s="1"/>
  <c r="G661" i="5"/>
  <c r="G28" i="62912" s="1"/>
  <c r="P28" i="62912" s="1"/>
  <c r="H661" i="5"/>
  <c r="H28" i="62912" s="1"/>
  <c r="Q28" i="62912" s="1"/>
  <c r="J661" i="5"/>
  <c r="J28" i="62912" s="1"/>
  <c r="S28" i="62912" s="1"/>
  <c r="H654" i="5"/>
  <c r="D541" i="5"/>
  <c r="AH541" i="5" s="1"/>
  <c r="D543" i="5"/>
  <c r="D521" i="5"/>
  <c r="D522" i="5"/>
  <c r="AH522" i="5" s="1"/>
  <c r="AT522" i="5" s="1"/>
  <c r="D523" i="5"/>
  <c r="AH523" i="5" s="1"/>
  <c r="AT523" i="5" s="1"/>
  <c r="D431" i="5"/>
  <c r="AH431" i="5" s="1"/>
  <c r="D432" i="5"/>
  <c r="AH432" i="5" s="1"/>
  <c r="AT432" i="5" s="1"/>
  <c r="D359" i="5"/>
  <c r="AH359" i="5" s="1"/>
  <c r="AT359" i="5" s="1"/>
  <c r="D360" i="5"/>
  <c r="AH360" i="5" s="1"/>
  <c r="AT360" i="5" s="1"/>
  <c r="D339" i="5"/>
  <c r="AH339" i="5" s="1"/>
  <c r="AT339" i="5" s="1"/>
  <c r="D340" i="5"/>
  <c r="AH340" i="5" s="1"/>
  <c r="AT340" i="5" s="1"/>
  <c r="D248" i="5"/>
  <c r="AH248" i="5" s="1"/>
  <c r="D249" i="5"/>
  <c r="AH249" i="5" s="1"/>
  <c r="AT249" i="5" s="1"/>
  <c r="D250" i="5"/>
  <c r="AH250" i="5" s="1"/>
  <c r="AT250" i="5" s="1"/>
  <c r="D175" i="5"/>
  <c r="AH175" i="5" s="1"/>
  <c r="AT175" i="5" s="1"/>
  <c r="D176" i="5"/>
  <c r="AH176" i="5" s="1"/>
  <c r="AT176" i="5" s="1"/>
  <c r="D154" i="5"/>
  <c r="AH154" i="5" s="1"/>
  <c r="D156" i="5"/>
  <c r="AH156" i="5" s="1"/>
  <c r="AT156" i="5" s="1"/>
  <c r="D65" i="5"/>
  <c r="D66" i="5"/>
  <c r="AH66" i="5" s="1"/>
  <c r="AT66" i="5" s="1"/>
  <c r="BH87" i="5"/>
  <c r="BH521" i="5"/>
  <c r="BI521" i="5" s="1"/>
  <c r="BH522" i="5"/>
  <c r="BI522" i="5" s="1"/>
  <c r="AE522" i="5" s="1"/>
  <c r="X522" i="5" s="1"/>
  <c r="BH523" i="5"/>
  <c r="BI523" i="5" s="1"/>
  <c r="BH541" i="5"/>
  <c r="BI541" i="5" s="1"/>
  <c r="AE541" i="5" s="1"/>
  <c r="BH542" i="5"/>
  <c r="BI542" i="5" s="1"/>
  <c r="BH543" i="5"/>
  <c r="BI543" i="5" s="1"/>
  <c r="AE543" i="5" s="1"/>
  <c r="X543" i="5" s="1"/>
  <c r="O551" i="5"/>
  <c r="O552" i="5"/>
  <c r="O553" i="5"/>
  <c r="AF508" i="5"/>
  <c r="AF509" i="5"/>
  <c r="AF510" i="5"/>
  <c r="AF511" i="5"/>
  <c r="AF512" i="5"/>
  <c r="AF513" i="5"/>
  <c r="O531" i="5"/>
  <c r="O532" i="5"/>
  <c r="O533" i="5"/>
  <c r="BH431" i="5"/>
  <c r="BI431" i="5" s="1"/>
  <c r="BH432" i="5"/>
  <c r="BI432" i="5" s="1"/>
  <c r="BH433" i="5"/>
  <c r="BI433" i="5" s="1"/>
  <c r="P441" i="5"/>
  <c r="P442" i="5"/>
  <c r="P443" i="5"/>
  <c r="R410" i="5"/>
  <c r="R411" i="5"/>
  <c r="AF384" i="5"/>
  <c r="AF385" i="5"/>
  <c r="AF386" i="5"/>
  <c r="AF387" i="5"/>
  <c r="AF388" i="5"/>
  <c r="AF389" i="5"/>
  <c r="BH338" i="5"/>
  <c r="BI338" i="5" s="1"/>
  <c r="AE338" i="5" s="1"/>
  <c r="BH339" i="5"/>
  <c r="BI339" i="5" s="1"/>
  <c r="BH340" i="5"/>
  <c r="BI340" i="5" s="1"/>
  <c r="AE340" i="5" s="1"/>
  <c r="X340" i="5" s="1"/>
  <c r="BH358" i="5"/>
  <c r="BI358" i="5" s="1"/>
  <c r="BH359" i="5"/>
  <c r="BI359" i="5" s="1"/>
  <c r="AE359" i="5" s="1"/>
  <c r="X359" i="5" s="1"/>
  <c r="BH360" i="5"/>
  <c r="BI360" i="5" s="1"/>
  <c r="O368" i="5"/>
  <c r="O369" i="5"/>
  <c r="O370" i="5"/>
  <c r="AF325" i="5"/>
  <c r="AF326" i="5"/>
  <c r="AF327" i="5"/>
  <c r="AF328" i="5"/>
  <c r="AF329" i="5"/>
  <c r="AF330" i="5"/>
  <c r="O348" i="5"/>
  <c r="O349" i="5"/>
  <c r="O350" i="5"/>
  <c r="BH248" i="5"/>
  <c r="BI248" i="5" s="1"/>
  <c r="BH249" i="5"/>
  <c r="BI249" i="5" s="1"/>
  <c r="BH250" i="5"/>
  <c r="BI250" i="5" s="1"/>
  <c r="P258" i="5"/>
  <c r="P259" i="5"/>
  <c r="P260" i="5"/>
  <c r="R223" i="5"/>
  <c r="R224" i="5"/>
  <c r="R225" i="5"/>
  <c r="R226" i="5"/>
  <c r="R227" i="5"/>
  <c r="AF200" i="5"/>
  <c r="AF201" i="5"/>
  <c r="AF202" i="5"/>
  <c r="AF203" i="5"/>
  <c r="AF204" i="5"/>
  <c r="AF205" i="5"/>
  <c r="BH154" i="5"/>
  <c r="BI154" i="5" s="1"/>
  <c r="BH155" i="5"/>
  <c r="BI155" i="5" s="1"/>
  <c r="AE155" i="5" s="1"/>
  <c r="X155" i="5" s="1"/>
  <c r="BH156" i="5"/>
  <c r="BI156" i="5" s="1"/>
  <c r="BH174" i="5"/>
  <c r="BI174" i="5" s="1"/>
  <c r="AE174" i="5" s="1"/>
  <c r="BH175" i="5"/>
  <c r="BI175" i="5" s="1"/>
  <c r="BH176" i="5"/>
  <c r="BI176" i="5" s="1"/>
  <c r="AE176" i="5" s="1"/>
  <c r="X176" i="5" s="1"/>
  <c r="O184" i="5"/>
  <c r="O185" i="5"/>
  <c r="O186" i="5"/>
  <c r="AF141" i="5"/>
  <c r="AF142" i="5"/>
  <c r="AF143" i="5"/>
  <c r="AF144" i="5"/>
  <c r="AF145" i="5"/>
  <c r="AF146" i="5"/>
  <c r="O166" i="5"/>
  <c r="BH64" i="5"/>
  <c r="BI64" i="5" s="1"/>
  <c r="BH65" i="5"/>
  <c r="BI65" i="5" s="1"/>
  <c r="BH66" i="5"/>
  <c r="BI66" i="5" s="1"/>
  <c r="AE66" i="5" s="1"/>
  <c r="X66" i="5" s="1"/>
  <c r="R41" i="5"/>
  <c r="R42" i="5"/>
  <c r="R43" i="5"/>
  <c r="R44" i="5"/>
  <c r="AF17" i="5"/>
  <c r="AF18" i="5"/>
  <c r="AF19" i="5"/>
  <c r="AF20" i="5"/>
  <c r="AF21" i="5"/>
  <c r="AF22" i="5"/>
  <c r="U327" i="5"/>
  <c r="U328" i="5"/>
  <c r="U329" i="5"/>
  <c r="U330" i="5"/>
  <c r="U325" i="5"/>
  <c r="U326" i="5"/>
  <c r="U202" i="5"/>
  <c r="U203" i="5"/>
  <c r="U204" i="5"/>
  <c r="U205" i="5"/>
  <c r="U200" i="5"/>
  <c r="U201" i="5"/>
  <c r="U510" i="5"/>
  <c r="U511" i="5"/>
  <c r="U512" i="5"/>
  <c r="U513" i="5"/>
  <c r="U508" i="5"/>
  <c r="U509" i="5"/>
  <c r="U143" i="5"/>
  <c r="U144" i="5"/>
  <c r="U145" i="5"/>
  <c r="U146" i="5"/>
  <c r="U141" i="5"/>
  <c r="U142" i="5"/>
  <c r="U19" i="5"/>
  <c r="U20" i="5"/>
  <c r="U21" i="5"/>
  <c r="U22" i="5"/>
  <c r="U18" i="5"/>
  <c r="AE425" i="5"/>
  <c r="X425" i="5" s="1"/>
  <c r="AE242" i="5"/>
  <c r="X242" i="5" s="1"/>
  <c r="AE58" i="5"/>
  <c r="X58" i="5" s="1"/>
  <c r="AU553" i="5"/>
  <c r="AR555" i="5"/>
  <c r="AQ555" i="5"/>
  <c r="AM555" i="5"/>
  <c r="AR535" i="5"/>
  <c r="AQ535" i="5"/>
  <c r="AM535" i="5"/>
  <c r="AD535" i="5"/>
  <c r="AR515" i="5"/>
  <c r="AQ515" i="5"/>
  <c r="AW483" i="5"/>
  <c r="AQ483" i="5"/>
  <c r="AN483" i="5"/>
  <c r="AK483" i="5"/>
  <c r="Z473" i="5"/>
  <c r="BK471" i="5"/>
  <c r="BJ471" i="5"/>
  <c r="BI471" i="5"/>
  <c r="BH470" i="5"/>
  <c r="N119" i="62909"/>
  <c r="BH454" i="5"/>
  <c r="AW435" i="5"/>
  <c r="AQ435" i="5"/>
  <c r="AN435" i="5"/>
  <c r="AK435" i="5"/>
  <c r="AY425" i="5"/>
  <c r="AX425" i="5"/>
  <c r="AW425" i="5"/>
  <c r="AV425" i="5"/>
  <c r="AU425" i="5"/>
  <c r="AT425" i="5"/>
  <c r="AR425" i="5"/>
  <c r="AQ425" i="5"/>
  <c r="AO425" i="5"/>
  <c r="AN425" i="5"/>
  <c r="AL425" i="5"/>
  <c r="AK425" i="5"/>
  <c r="AI425" i="5"/>
  <c r="BK423" i="5"/>
  <c r="BJ423" i="5"/>
  <c r="BI423" i="5"/>
  <c r="BH422" i="5"/>
  <c r="AS413" i="5"/>
  <c r="AR413" i="5"/>
  <c r="AQ413" i="5"/>
  <c r="AW401" i="5"/>
  <c r="AQ401" i="5"/>
  <c r="AN401" i="5"/>
  <c r="AK401" i="5"/>
  <c r="AY391" i="5"/>
  <c r="AV391" i="5"/>
  <c r="AS391" i="5"/>
  <c r="AR391" i="5"/>
  <c r="AQ391" i="5"/>
  <c r="AP391" i="5"/>
  <c r="AM391" i="5"/>
  <c r="AJ391" i="5"/>
  <c r="U386" i="5"/>
  <c r="U387" i="5"/>
  <c r="U388" i="5"/>
  <c r="U389" i="5"/>
  <c r="AU370" i="5"/>
  <c r="AR372" i="5"/>
  <c r="AQ372" i="5"/>
  <c r="AM372" i="5"/>
  <c r="AR352" i="5"/>
  <c r="AQ352" i="5"/>
  <c r="AM352" i="5"/>
  <c r="AR332" i="5"/>
  <c r="AQ332" i="5"/>
  <c r="AW300" i="5"/>
  <c r="AQ300" i="5"/>
  <c r="AN300" i="5"/>
  <c r="AK300" i="5"/>
  <c r="J102" i="62909"/>
  <c r="Z290" i="5"/>
  <c r="BK288" i="5"/>
  <c r="BJ288" i="5"/>
  <c r="BI288" i="5"/>
  <c r="BH287" i="5"/>
  <c r="BH271" i="5"/>
  <c r="AW252" i="5"/>
  <c r="AQ252" i="5"/>
  <c r="AN252" i="5"/>
  <c r="AK252" i="5"/>
  <c r="AY242" i="5"/>
  <c r="AX242" i="5"/>
  <c r="AW242" i="5"/>
  <c r="AV242" i="5"/>
  <c r="AU242" i="5"/>
  <c r="AT242" i="5"/>
  <c r="AR242" i="5"/>
  <c r="AQ242" i="5"/>
  <c r="AO242" i="5"/>
  <c r="AN242" i="5"/>
  <c r="AL242" i="5"/>
  <c r="AK242" i="5"/>
  <c r="AI242" i="5"/>
  <c r="BK240" i="5"/>
  <c r="BJ240" i="5"/>
  <c r="BI240" i="5"/>
  <c r="BH239" i="5"/>
  <c r="AS229" i="5"/>
  <c r="AR229" i="5"/>
  <c r="AQ229" i="5"/>
  <c r="AW217" i="5"/>
  <c r="AQ217" i="5"/>
  <c r="AN217" i="5"/>
  <c r="AK217" i="5"/>
  <c r="AY207" i="5"/>
  <c r="AV207" i="5"/>
  <c r="AS207" i="5"/>
  <c r="AR207" i="5"/>
  <c r="AQ207" i="5"/>
  <c r="AP207" i="5"/>
  <c r="AM207" i="5"/>
  <c r="AJ207" i="5"/>
  <c r="AU186" i="5"/>
  <c r="AR188" i="5"/>
  <c r="AQ188" i="5"/>
  <c r="AM188" i="5"/>
  <c r="AQ148" i="5"/>
  <c r="AR148" i="5"/>
  <c r="AW116" i="5"/>
  <c r="AQ116" i="5"/>
  <c r="AN116" i="5"/>
  <c r="AK116" i="5"/>
  <c r="BK104" i="5"/>
  <c r="BJ104" i="5"/>
  <c r="BI104" i="5"/>
  <c r="BH103" i="5"/>
  <c r="AW68" i="5"/>
  <c r="AQ68" i="5"/>
  <c r="AN68" i="5"/>
  <c r="AK68" i="5"/>
  <c r="BK56" i="5"/>
  <c r="BJ56" i="5"/>
  <c r="BI56" i="5"/>
  <c r="BH55" i="5"/>
  <c r="AW34" i="5"/>
  <c r="AQ34" i="5"/>
  <c r="AN34" i="5"/>
  <c r="AK34" i="5"/>
  <c r="AR24" i="5"/>
  <c r="AS24" i="5"/>
  <c r="AV24" i="5"/>
  <c r="AY24" i="5"/>
  <c r="D8" i="62898"/>
  <c r="L574" i="62898" s="1"/>
  <c r="H571" i="62898"/>
  <c r="H568" i="62898"/>
  <c r="H556" i="62898"/>
  <c r="H536" i="62898"/>
  <c r="H533" i="62898"/>
  <c r="L314" i="62898"/>
  <c r="L315" i="62898"/>
  <c r="L316" i="62898"/>
  <c r="P270" i="62898"/>
  <c r="P272" i="62898"/>
  <c r="P273" i="62898"/>
  <c r="Q29" i="62898"/>
  <c r="Q30" i="62898"/>
  <c r="Q31" i="62898"/>
  <c r="Q32" i="62898"/>
  <c r="Q86" i="62898"/>
  <c r="Q87" i="62898"/>
  <c r="Q88" i="62898"/>
  <c r="N40" i="62898"/>
  <c r="N41" i="62898"/>
  <c r="N67" i="62898"/>
  <c r="N68" i="62898"/>
  <c r="R96" i="62898"/>
  <c r="R97" i="62898"/>
  <c r="AV308" i="62898"/>
  <c r="BK296" i="62898"/>
  <c r="BJ296" i="62898"/>
  <c r="BI296" i="62898"/>
  <c r="BH295" i="62898"/>
  <c r="AV264" i="62898"/>
  <c r="BK252" i="62898"/>
  <c r="BJ252" i="62898"/>
  <c r="BI252" i="62898"/>
  <c r="BH251" i="62898"/>
  <c r="AV233" i="62898"/>
  <c r="BH221" i="62898"/>
  <c r="BH213" i="62898"/>
  <c r="AV175" i="62898"/>
  <c r="AV137" i="62898"/>
  <c r="AV34" i="62898"/>
  <c r="U251" i="62898"/>
  <c r="U252" i="62898"/>
  <c r="AD16" i="62898"/>
  <c r="AD17" i="62898"/>
  <c r="AD18" i="62898"/>
  <c r="AD19" i="62898"/>
  <c r="AD20" i="62898"/>
  <c r="AD21" i="62898"/>
  <c r="U328" i="62898"/>
  <c r="U329" i="62898"/>
  <c r="U330" i="62898"/>
  <c r="U331" i="62898"/>
  <c r="U332" i="62898"/>
  <c r="U333" i="62898"/>
  <c r="U295" i="62898"/>
  <c r="U296" i="62898"/>
  <c r="U120" i="62898"/>
  <c r="U121" i="62898"/>
  <c r="U122" i="62898"/>
  <c r="U123" i="62898"/>
  <c r="U124" i="62898"/>
  <c r="U125" i="62898"/>
  <c r="U16" i="62898"/>
  <c r="U17" i="62898"/>
  <c r="U18" i="62898"/>
  <c r="U19" i="62898"/>
  <c r="U20" i="62898"/>
  <c r="U21" i="62898"/>
  <c r="E987" i="62921"/>
  <c r="AQ243" i="62898"/>
  <c r="AP243" i="62898"/>
  <c r="AP233" i="62898"/>
  <c r="AM233" i="62898"/>
  <c r="AJ233" i="62898"/>
  <c r="O536" i="62898"/>
  <c r="J536" i="62898"/>
  <c r="I536" i="62898"/>
  <c r="Z90" i="62898"/>
  <c r="AP175" i="62898"/>
  <c r="AM175" i="62898"/>
  <c r="AJ175" i="62898"/>
  <c r="AC83" i="7"/>
  <c r="AC84" i="7"/>
  <c r="AC85" i="7"/>
  <c r="AC86" i="7"/>
  <c r="AC113" i="7"/>
  <c r="AC114" i="7"/>
  <c r="AC115" i="7"/>
  <c r="AC116" i="7"/>
  <c r="AC117" i="7"/>
  <c r="AC120" i="7"/>
  <c r="AC121" i="7"/>
  <c r="AC122" i="7"/>
  <c r="AC123" i="7"/>
  <c r="AC124" i="7"/>
  <c r="AC127" i="7"/>
  <c r="AC128" i="7"/>
  <c r="AC129" i="7"/>
  <c r="AC130" i="7"/>
  <c r="AC131" i="7"/>
  <c r="AC134" i="7"/>
  <c r="AC135" i="7"/>
  <c r="AC136" i="7"/>
  <c r="AC137" i="7"/>
  <c r="AC138" i="7"/>
  <c r="AC141" i="7"/>
  <c r="AC142" i="7"/>
  <c r="AC143" i="7"/>
  <c r="AC144" i="7"/>
  <c r="AC145" i="7"/>
  <c r="AC162" i="7"/>
  <c r="AC163" i="7"/>
  <c r="AC164" i="7"/>
  <c r="AC165" i="7"/>
  <c r="AC166" i="7"/>
  <c r="H212" i="3"/>
  <c r="E203" i="3"/>
  <c r="F203" i="3"/>
  <c r="G203" i="3"/>
  <c r="H203" i="3"/>
  <c r="I203" i="3"/>
  <c r="E191" i="3"/>
  <c r="I191" i="3"/>
  <c r="I13" i="3"/>
  <c r="V13" i="3" s="1"/>
  <c r="V15" i="3" s="1"/>
  <c r="K137" i="3"/>
  <c r="H137" i="3"/>
  <c r="H147" i="3" s="1"/>
  <c r="E137" i="3"/>
  <c r="E147" i="3" s="1"/>
  <c r="F137" i="3"/>
  <c r="F147" i="3" s="1"/>
  <c r="G137" i="3"/>
  <c r="G147" i="3" s="1"/>
  <c r="J125" i="3"/>
  <c r="K125" i="3"/>
  <c r="E125" i="3"/>
  <c r="G124" i="3"/>
  <c r="L84" i="3"/>
  <c r="O4" i="62913"/>
  <c r="D62" i="62909"/>
  <c r="D61" i="62909"/>
  <c r="D60" i="62909"/>
  <c r="D59" i="62909"/>
  <c r="D58" i="62909"/>
  <c r="D57" i="62909"/>
  <c r="D56" i="62909"/>
  <c r="D55" i="62909"/>
  <c r="B173" i="62913"/>
  <c r="B149" i="62892"/>
  <c r="D28" i="62908"/>
  <c r="K282" i="62905"/>
  <c r="K151" i="62904"/>
  <c r="K255" i="2"/>
  <c r="N14" i="62912"/>
  <c r="O14" i="62912"/>
  <c r="P14" i="62912"/>
  <c r="Q14" i="62912"/>
  <c r="R14" i="62912"/>
  <c r="S14" i="62912"/>
  <c r="T14" i="62912"/>
  <c r="U14" i="62912"/>
  <c r="AP308" i="62898"/>
  <c r="AM308" i="62898"/>
  <c r="AJ308" i="62898"/>
  <c r="AP264" i="62898"/>
  <c r="AM264" i="62898"/>
  <c r="AJ264" i="62898"/>
  <c r="AP137" i="62898"/>
  <c r="AM137" i="62898"/>
  <c r="AJ137" i="62898"/>
  <c r="R46" i="3"/>
  <c r="O21" i="62911"/>
  <c r="N20" i="62911" s="1"/>
  <c r="M23" i="62911"/>
  <c r="D23" i="62911" s="1"/>
  <c r="O734" i="5"/>
  <c r="N734" i="5"/>
  <c r="H734" i="5"/>
  <c r="B592" i="62913"/>
  <c r="E44" i="62915"/>
  <c r="F44" i="62915"/>
  <c r="G44" i="62915"/>
  <c r="H44" i="62915"/>
  <c r="Q14" i="62915"/>
  <c r="R14" i="62915"/>
  <c r="S14" i="62915"/>
  <c r="T14" i="62915"/>
  <c r="U14" i="62915"/>
  <c r="V14" i="62915"/>
  <c r="W14" i="62915"/>
  <c r="X14" i="62915"/>
  <c r="Y14" i="62915"/>
  <c r="O368" i="62905"/>
  <c r="N368" i="62905"/>
  <c r="L368" i="62905"/>
  <c r="O351" i="62905"/>
  <c r="N351" i="62905"/>
  <c r="M351" i="62905"/>
  <c r="L351" i="62905"/>
  <c r="K351" i="62905"/>
  <c r="J351" i="62905"/>
  <c r="I351" i="62905"/>
  <c r="H351" i="62905"/>
  <c r="G351" i="62905"/>
  <c r="F351" i="62905"/>
  <c r="E351" i="62905"/>
  <c r="N348" i="62905"/>
  <c r="M348" i="62905"/>
  <c r="L348" i="62905"/>
  <c r="K348" i="62905"/>
  <c r="J348" i="62905"/>
  <c r="I348" i="62905"/>
  <c r="H348" i="62905"/>
  <c r="G348" i="62905"/>
  <c r="F348" i="62905"/>
  <c r="E348" i="62905"/>
  <c r="O237" i="62904"/>
  <c r="N237" i="62904"/>
  <c r="L237" i="62904"/>
  <c r="O220" i="62904"/>
  <c r="N220" i="62904"/>
  <c r="M220" i="62904"/>
  <c r="L220" i="62904"/>
  <c r="K220" i="62904"/>
  <c r="J220" i="62904"/>
  <c r="I220" i="62904"/>
  <c r="H220" i="62904"/>
  <c r="G220" i="62904"/>
  <c r="F220" i="62904"/>
  <c r="E220" i="62904"/>
  <c r="N217" i="62904"/>
  <c r="M217" i="62904"/>
  <c r="L217" i="62904"/>
  <c r="K217" i="62904"/>
  <c r="J217" i="62904"/>
  <c r="I217" i="62904"/>
  <c r="H217" i="62904"/>
  <c r="G217" i="62904"/>
  <c r="F217" i="62904"/>
  <c r="E217" i="62904"/>
  <c r="O378" i="9"/>
  <c r="L378" i="9"/>
  <c r="H378" i="9"/>
  <c r="O361" i="9"/>
  <c r="N361" i="9"/>
  <c r="M361" i="9"/>
  <c r="L361" i="9"/>
  <c r="K361" i="9"/>
  <c r="J361" i="9"/>
  <c r="I361" i="9"/>
  <c r="H361" i="9"/>
  <c r="G361" i="9"/>
  <c r="F361" i="9"/>
  <c r="E361" i="9"/>
  <c r="N358" i="9"/>
  <c r="L358" i="9"/>
  <c r="N341" i="2"/>
  <c r="K341" i="2"/>
  <c r="O324" i="2"/>
  <c r="N324" i="2"/>
  <c r="M324" i="2"/>
  <c r="L324" i="2"/>
  <c r="K324" i="2"/>
  <c r="J324" i="2"/>
  <c r="I324" i="2"/>
  <c r="H324" i="2"/>
  <c r="G324" i="2"/>
  <c r="F324" i="2"/>
  <c r="E324" i="2"/>
  <c r="N321" i="2"/>
  <c r="M321" i="2"/>
  <c r="L321" i="2"/>
  <c r="K321" i="2"/>
  <c r="J321" i="2"/>
  <c r="I321" i="2"/>
  <c r="H321" i="2"/>
  <c r="G321" i="2"/>
  <c r="F321" i="2"/>
  <c r="E321" i="2"/>
  <c r="O588" i="62898"/>
  <c r="O571" i="62898"/>
  <c r="L571" i="62898"/>
  <c r="L568" i="62898"/>
  <c r="O717" i="5"/>
  <c r="N717" i="5"/>
  <c r="L717" i="5"/>
  <c r="H717" i="5"/>
  <c r="N714" i="5"/>
  <c r="L714" i="5"/>
  <c r="H714" i="5"/>
  <c r="O193" i="11"/>
  <c r="N193" i="11"/>
  <c r="L193" i="11"/>
  <c r="H193" i="11"/>
  <c r="O176" i="11"/>
  <c r="N176" i="11"/>
  <c r="M176" i="11"/>
  <c r="L176" i="11"/>
  <c r="K176" i="11"/>
  <c r="J176" i="11"/>
  <c r="I176" i="11"/>
  <c r="H176" i="11"/>
  <c r="G176" i="11"/>
  <c r="F176" i="11"/>
  <c r="E176" i="11"/>
  <c r="N173" i="11"/>
  <c r="M173" i="11"/>
  <c r="L173" i="11"/>
  <c r="K173" i="11"/>
  <c r="J173" i="11"/>
  <c r="I173" i="11"/>
  <c r="H173" i="11"/>
  <c r="G173" i="11"/>
  <c r="F173" i="11"/>
  <c r="E173" i="11"/>
  <c r="O433" i="7"/>
  <c r="N433" i="7"/>
  <c r="L433" i="7"/>
  <c r="H433" i="7"/>
  <c r="O416" i="7"/>
  <c r="N416" i="7"/>
  <c r="M416" i="7"/>
  <c r="L416" i="7"/>
  <c r="K416" i="7"/>
  <c r="J416" i="7"/>
  <c r="I416" i="7"/>
  <c r="H416" i="7"/>
  <c r="G416" i="7"/>
  <c r="F416" i="7"/>
  <c r="E416" i="7"/>
  <c r="N413" i="7"/>
  <c r="M413" i="7"/>
  <c r="L413" i="7"/>
  <c r="K413" i="7"/>
  <c r="J413" i="7"/>
  <c r="I413" i="7"/>
  <c r="H413" i="7"/>
  <c r="G413" i="7"/>
  <c r="F413" i="7"/>
  <c r="E413" i="7"/>
  <c r="O213" i="3"/>
  <c r="N213" i="3"/>
  <c r="K213" i="3"/>
  <c r="O196" i="3"/>
  <c r="N196" i="3"/>
  <c r="M196" i="3"/>
  <c r="L196" i="3"/>
  <c r="K196" i="3"/>
  <c r="J196" i="3"/>
  <c r="I196" i="3"/>
  <c r="H196" i="3"/>
  <c r="G196" i="3"/>
  <c r="F196" i="3"/>
  <c r="E196" i="3"/>
  <c r="N193" i="3"/>
  <c r="K193" i="3"/>
  <c r="G49" i="62911"/>
  <c r="D49" i="62911" s="1"/>
  <c r="G39" i="62911"/>
  <c r="D39" i="62911" s="1"/>
  <c r="G38" i="62911"/>
  <c r="D38" i="62911" s="1"/>
  <c r="G63" i="62911"/>
  <c r="D63" i="62911" s="1"/>
  <c r="G62" i="62911"/>
  <c r="D62" i="62911" s="1"/>
  <c r="G61" i="62911"/>
  <c r="G60" i="62911"/>
  <c r="G52" i="62911"/>
  <c r="G51" i="62911"/>
  <c r="D51" i="62911" s="1"/>
  <c r="G50" i="62911"/>
  <c r="G54" i="62911" s="1"/>
  <c r="I54" i="62911" s="1"/>
  <c r="G40" i="62911"/>
  <c r="D40" i="62911" s="1"/>
  <c r="G41" i="62911"/>
  <c r="D41" i="62911" s="1"/>
  <c r="O702" i="5"/>
  <c r="F5" i="62907"/>
  <c r="N316" i="62905"/>
  <c r="N313" i="62905"/>
  <c r="N185" i="62904"/>
  <c r="N182" i="62904"/>
  <c r="N326" i="9"/>
  <c r="N289" i="2"/>
  <c r="N286" i="2"/>
  <c r="N141" i="11"/>
  <c r="N138" i="11"/>
  <c r="N381" i="7"/>
  <c r="N378" i="7"/>
  <c r="N161" i="3"/>
  <c r="L285" i="62905"/>
  <c r="L282" i="62905"/>
  <c r="L154" i="62904"/>
  <c r="L151" i="62904"/>
  <c r="K295" i="9"/>
  <c r="L258" i="2"/>
  <c r="L255" i="2"/>
  <c r="K110" i="11"/>
  <c r="K107" i="11"/>
  <c r="K350" i="7"/>
  <c r="K347" i="7"/>
  <c r="L130" i="3"/>
  <c r="D7" i="62909"/>
  <c r="D8" i="62909"/>
  <c r="D9" i="62909"/>
  <c r="C148" i="62892"/>
  <c r="C151" i="62892" s="1"/>
  <c r="G8" i="2"/>
  <c r="O481" i="62911"/>
  <c r="O482" i="62911"/>
  <c r="O483" i="62911"/>
  <c r="O484" i="62911"/>
  <c r="O485" i="62911"/>
  <c r="O486" i="62911"/>
  <c r="O487" i="62911"/>
  <c r="O488" i="62911"/>
  <c r="O489" i="62911"/>
  <c r="O490" i="62911"/>
  <c r="O491" i="62911"/>
  <c r="O492" i="62911"/>
  <c r="O493" i="62911"/>
  <c r="O494" i="62911"/>
  <c r="O495" i="62911"/>
  <c r="O496" i="62911"/>
  <c r="O497" i="62911"/>
  <c r="O498" i="62911"/>
  <c r="O499" i="62911"/>
  <c r="O500" i="62911"/>
  <c r="O501" i="62911"/>
  <c r="O502" i="62911"/>
  <c r="O503" i="62911"/>
  <c r="O504" i="62911"/>
  <c r="O505" i="62911"/>
  <c r="O506" i="62911"/>
  <c r="O507" i="62911"/>
  <c r="O508" i="62911"/>
  <c r="O509" i="62911"/>
  <c r="O510" i="62911"/>
  <c r="O511" i="62911"/>
  <c r="O512" i="62911"/>
  <c r="O513" i="62911"/>
  <c r="O514" i="62911"/>
  <c r="O515" i="62911"/>
  <c r="O516" i="62911"/>
  <c r="O517" i="62911"/>
  <c r="O518" i="62911"/>
  <c r="O519" i="62911"/>
  <c r="O520" i="62911"/>
  <c r="O521" i="62911"/>
  <c r="O522" i="62911"/>
  <c r="O523" i="62911"/>
  <c r="O524" i="62911"/>
  <c r="O525" i="62911"/>
  <c r="O526" i="62911"/>
  <c r="O527" i="62911"/>
  <c r="O528" i="62911"/>
  <c r="O529" i="62911"/>
  <c r="O530" i="62911"/>
  <c r="O531" i="62911"/>
  <c r="O532" i="62911"/>
  <c r="O533" i="62911"/>
  <c r="O534" i="62911"/>
  <c r="O535" i="62911"/>
  <c r="O536" i="62911"/>
  <c r="O537" i="62911"/>
  <c r="O538" i="62911"/>
  <c r="O539" i="62911"/>
  <c r="O540" i="62911"/>
  <c r="O541" i="62911"/>
  <c r="O542" i="62911"/>
  <c r="O543" i="62911"/>
  <c r="O544" i="62911"/>
  <c r="O545" i="62911"/>
  <c r="O546" i="62911"/>
  <c r="O547" i="62911"/>
  <c r="O548" i="62911"/>
  <c r="O549" i="62911"/>
  <c r="O550" i="62911"/>
  <c r="O480" i="62911"/>
  <c r="O479" i="62911"/>
  <c r="S587" i="62911"/>
  <c r="S586" i="62911"/>
  <c r="S588" i="62911"/>
  <c r="F237" i="9"/>
  <c r="F225" i="9"/>
  <c r="F169" i="9"/>
  <c r="F97" i="9"/>
  <c r="BA44" i="9"/>
  <c r="BA45" i="9"/>
  <c r="BA46" i="9"/>
  <c r="BH19" i="9"/>
  <c r="AY44" i="9"/>
  <c r="AY45" i="9"/>
  <c r="AY46" i="9"/>
  <c r="BF16" i="9"/>
  <c r="BF17" i="9"/>
  <c r="BF18" i="9"/>
  <c r="AU19" i="9"/>
  <c r="AX19" i="9"/>
  <c r="AZ19" i="9"/>
  <c r="BB19" i="9"/>
  <c r="BD19" i="9"/>
  <c r="BF19" i="9"/>
  <c r="BF15" i="9"/>
  <c r="F14" i="9"/>
  <c r="B3" i="62912"/>
  <c r="G588" i="62911"/>
  <c r="E588" i="62911"/>
  <c r="K587" i="62911"/>
  <c r="I587" i="62911"/>
  <c r="G587" i="62911"/>
  <c r="E587" i="62911"/>
  <c r="K586" i="62911"/>
  <c r="I586" i="62911"/>
  <c r="G586" i="62911"/>
  <c r="E586" i="62911"/>
  <c r="C587" i="62911"/>
  <c r="C586" i="62911"/>
  <c r="B572" i="62911"/>
  <c r="B549" i="62913"/>
  <c r="O336" i="62905"/>
  <c r="O316" i="62905"/>
  <c r="M316" i="62905"/>
  <c r="L316" i="62905"/>
  <c r="K316" i="62905"/>
  <c r="J316" i="62905"/>
  <c r="I316" i="62905"/>
  <c r="H316" i="62905"/>
  <c r="G316" i="62905"/>
  <c r="F316" i="62905"/>
  <c r="E316" i="62905"/>
  <c r="O313" i="62905"/>
  <c r="M313" i="62905"/>
  <c r="L313" i="62905"/>
  <c r="K313" i="62905"/>
  <c r="J313" i="62905"/>
  <c r="I313" i="62905"/>
  <c r="H313" i="62905"/>
  <c r="G313" i="62905"/>
  <c r="F313" i="62905"/>
  <c r="E313" i="62905"/>
  <c r="O205" i="62904"/>
  <c r="O185" i="62904"/>
  <c r="M185" i="62904"/>
  <c r="L185" i="62904"/>
  <c r="K185" i="62904"/>
  <c r="J185" i="62904"/>
  <c r="I185" i="62904"/>
  <c r="H185" i="62904"/>
  <c r="G185" i="62904"/>
  <c r="F185" i="62904"/>
  <c r="E185" i="62904"/>
  <c r="O182" i="62904"/>
  <c r="M182" i="62904"/>
  <c r="L182" i="62904"/>
  <c r="K182" i="62904"/>
  <c r="J182" i="62904"/>
  <c r="I182" i="62904"/>
  <c r="H182" i="62904"/>
  <c r="G182" i="62904"/>
  <c r="F182" i="62904"/>
  <c r="E182" i="62904"/>
  <c r="O346" i="9"/>
  <c r="J346" i="9"/>
  <c r="I346" i="9"/>
  <c r="H346" i="9"/>
  <c r="O326" i="9"/>
  <c r="M326" i="9"/>
  <c r="L326" i="9"/>
  <c r="K326" i="9"/>
  <c r="J326" i="9"/>
  <c r="I326" i="9"/>
  <c r="H326" i="9"/>
  <c r="G326" i="9"/>
  <c r="F326" i="9"/>
  <c r="E326" i="9"/>
  <c r="O323" i="9"/>
  <c r="J323" i="9"/>
  <c r="I323" i="9"/>
  <c r="H323" i="9"/>
  <c r="O289" i="2"/>
  <c r="M289" i="2"/>
  <c r="L289" i="2"/>
  <c r="K289" i="2"/>
  <c r="J289" i="2"/>
  <c r="I289" i="2"/>
  <c r="H289" i="2"/>
  <c r="G289" i="2"/>
  <c r="F289" i="2"/>
  <c r="E289" i="2"/>
  <c r="O286" i="2"/>
  <c r="M286" i="2"/>
  <c r="L286" i="2"/>
  <c r="K286" i="2"/>
  <c r="J286" i="2"/>
  <c r="I286" i="2"/>
  <c r="H286" i="2"/>
  <c r="G286" i="2"/>
  <c r="F286" i="2"/>
  <c r="E286" i="2"/>
  <c r="O556" i="62898"/>
  <c r="J556" i="62898"/>
  <c r="I556" i="62898"/>
  <c r="O533" i="62898"/>
  <c r="J533" i="62898"/>
  <c r="I533" i="62898"/>
  <c r="O682" i="5"/>
  <c r="J682" i="5"/>
  <c r="I682" i="5"/>
  <c r="H682" i="5"/>
  <c r="O679" i="5"/>
  <c r="J679" i="5"/>
  <c r="I679" i="5"/>
  <c r="H679" i="5"/>
  <c r="J161" i="11"/>
  <c r="I161" i="11"/>
  <c r="H161" i="11"/>
  <c r="O141" i="11"/>
  <c r="M141" i="11"/>
  <c r="L141" i="11"/>
  <c r="K141" i="11"/>
  <c r="J141" i="11"/>
  <c r="I141" i="11"/>
  <c r="H141" i="11"/>
  <c r="G141" i="11"/>
  <c r="F141" i="11"/>
  <c r="E141" i="11"/>
  <c r="O138" i="11"/>
  <c r="M138" i="11"/>
  <c r="L138" i="11"/>
  <c r="K138" i="11"/>
  <c r="J138" i="11"/>
  <c r="I138" i="11"/>
  <c r="H138" i="11"/>
  <c r="G138" i="11"/>
  <c r="F138" i="11"/>
  <c r="E138" i="11"/>
  <c r="O401" i="7"/>
  <c r="J401" i="7"/>
  <c r="I401" i="7"/>
  <c r="H401" i="7"/>
  <c r="O381" i="7"/>
  <c r="M381" i="7"/>
  <c r="L381" i="7"/>
  <c r="K381" i="7"/>
  <c r="J381" i="7"/>
  <c r="I381" i="7"/>
  <c r="H381" i="7"/>
  <c r="G381" i="7"/>
  <c r="F381" i="7"/>
  <c r="E381" i="7"/>
  <c r="O378" i="7"/>
  <c r="M378" i="7"/>
  <c r="L378" i="7"/>
  <c r="K378" i="7"/>
  <c r="J378" i="7"/>
  <c r="I378" i="7"/>
  <c r="H378" i="7"/>
  <c r="G378" i="7"/>
  <c r="F378" i="7"/>
  <c r="E378" i="7"/>
  <c r="O181" i="3"/>
  <c r="O161" i="3"/>
  <c r="M161" i="3"/>
  <c r="L161" i="3"/>
  <c r="K161" i="3"/>
  <c r="J161" i="3"/>
  <c r="I161" i="3"/>
  <c r="H161" i="3"/>
  <c r="G161" i="3"/>
  <c r="F161" i="3"/>
  <c r="E161" i="3"/>
  <c r="O158" i="3"/>
  <c r="AQ335" i="62898"/>
  <c r="AP335" i="62898"/>
  <c r="AQ127" i="62898"/>
  <c r="AP127" i="62898"/>
  <c r="AQ99" i="62898"/>
  <c r="AP99" i="62898"/>
  <c r="AR99" i="62898"/>
  <c r="AQ90" i="62898"/>
  <c r="AP90" i="62898"/>
  <c r="AQ80" i="62898"/>
  <c r="AP80" i="62898"/>
  <c r="AQ70" i="62898"/>
  <c r="AP70" i="62898"/>
  <c r="AQ60" i="62898"/>
  <c r="AP60" i="62898"/>
  <c r="AR60" i="62898"/>
  <c r="AW34" i="62898"/>
  <c r="AX34" i="62898"/>
  <c r="AQ34" i="62898"/>
  <c r="AP34" i="62898"/>
  <c r="AR34" i="62898"/>
  <c r="AO34" i="62898"/>
  <c r="AN34" i="62898"/>
  <c r="AM34" i="62898"/>
  <c r="AL34" i="62898"/>
  <c r="AK34" i="62898"/>
  <c r="AJ34" i="62898"/>
  <c r="AQ23" i="62898"/>
  <c r="AP23" i="62898"/>
  <c r="AY58" i="5"/>
  <c r="AR58" i="5"/>
  <c r="AQ58" i="5"/>
  <c r="AS46" i="5"/>
  <c r="AR46" i="5"/>
  <c r="AQ46" i="5"/>
  <c r="Y304" i="7"/>
  <c r="Y74" i="7"/>
  <c r="Y60" i="7"/>
  <c r="Y33" i="7"/>
  <c r="Y19" i="7"/>
  <c r="W100" i="3"/>
  <c r="T100" i="3"/>
  <c r="S100" i="3"/>
  <c r="R100" i="3"/>
  <c r="W59" i="3"/>
  <c r="T59" i="3"/>
  <c r="S59" i="3"/>
  <c r="R59" i="3"/>
  <c r="W46" i="3"/>
  <c r="U46" i="3"/>
  <c r="T46" i="3"/>
  <c r="W34" i="3"/>
  <c r="U34" i="3"/>
  <c r="S34" i="3"/>
  <c r="R34" i="3"/>
  <c r="W26" i="3"/>
  <c r="U26" i="3"/>
  <c r="S26" i="3"/>
  <c r="R26" i="3"/>
  <c r="W15" i="3"/>
  <c r="U15" i="3"/>
  <c r="T15" i="3"/>
  <c r="S15" i="3"/>
  <c r="E580" i="62911"/>
  <c r="E589" i="62911"/>
  <c r="H56" i="62912"/>
  <c r="E56" i="62912"/>
  <c r="E129" i="62911"/>
  <c r="E130" i="62911"/>
  <c r="E131" i="62911"/>
  <c r="E132" i="62911"/>
  <c r="E133" i="62911"/>
  <c r="E134" i="62911"/>
  <c r="E135" i="62911"/>
  <c r="E136" i="62911"/>
  <c r="E137" i="62911"/>
  <c r="E138" i="62911"/>
  <c r="E139" i="62911"/>
  <c r="E140" i="62911"/>
  <c r="E141" i="62911"/>
  <c r="E142" i="62911"/>
  <c r="E143" i="62911"/>
  <c r="E144" i="62911"/>
  <c r="E145" i="62911"/>
  <c r="E146" i="62911"/>
  <c r="E128" i="62911"/>
  <c r="Q388" i="62911"/>
  <c r="Q387" i="62911"/>
  <c r="Q386" i="62911"/>
  <c r="Q385" i="62911"/>
  <c r="Q384" i="62911"/>
  <c r="Q383" i="62911"/>
  <c r="Q382" i="62911"/>
  <c r="Q381" i="62911"/>
  <c r="Q380" i="62911"/>
  <c r="Q379" i="62911"/>
  <c r="Q378" i="62911"/>
  <c r="Q377" i="62911"/>
  <c r="Q376" i="62911"/>
  <c r="Q375" i="62911"/>
  <c r="Q374" i="62911"/>
  <c r="Q373" i="62911"/>
  <c r="Q372" i="62911"/>
  <c r="Q371" i="62911"/>
  <c r="Q370" i="62911"/>
  <c r="Q369" i="62911"/>
  <c r="Q368" i="62911"/>
  <c r="Q367" i="62911"/>
  <c r="Q366" i="62911"/>
  <c r="E365" i="62911"/>
  <c r="F365" i="62911" s="1"/>
  <c r="G365" i="62911" s="1"/>
  <c r="H365" i="62911" s="1"/>
  <c r="I365" i="62911" s="1"/>
  <c r="J365" i="62911" s="1"/>
  <c r="K365" i="62911" s="1"/>
  <c r="L365" i="62911" s="1"/>
  <c r="M365" i="62911" s="1"/>
  <c r="N365" i="62911" s="1"/>
  <c r="O365" i="62911" s="1"/>
  <c r="P365" i="62911" s="1"/>
  <c r="Q365" i="62911" s="1"/>
  <c r="B27" i="62909"/>
  <c r="B28" i="62909"/>
  <c r="B29" i="62909"/>
  <c r="B30" i="62909"/>
  <c r="B31" i="62909"/>
  <c r="B43" i="62909"/>
  <c r="B44" i="62909"/>
  <c r="B45" i="62909"/>
  <c r="B46" i="62909"/>
  <c r="B47" i="62909"/>
  <c r="B48" i="62909"/>
  <c r="B49" i="62909"/>
  <c r="B50" i="62909"/>
  <c r="B67" i="62909"/>
  <c r="B68" i="62909"/>
  <c r="B69" i="62909"/>
  <c r="B70" i="62909"/>
  <c r="B75" i="62909"/>
  <c r="B76" i="62909"/>
  <c r="B77" i="62909"/>
  <c r="B78" i="62909"/>
  <c r="B82" i="62909"/>
  <c r="B83" i="62909"/>
  <c r="B84" i="62909"/>
  <c r="B85" i="62909"/>
  <c r="B86" i="62909"/>
  <c r="B87" i="62909"/>
  <c r="B88" i="62909"/>
  <c r="B89" i="62909"/>
  <c r="B90" i="62909"/>
  <c r="B91" i="62909"/>
  <c r="B92" i="62909"/>
  <c r="B93" i="62909"/>
  <c r="B94" i="62909"/>
  <c r="B95" i="62909"/>
  <c r="B96" i="62909"/>
  <c r="B97" i="62909"/>
  <c r="B98" i="62909"/>
  <c r="B99" i="62909"/>
  <c r="B100" i="62909"/>
  <c r="B101" i="62909"/>
  <c r="B102" i="62909"/>
  <c r="B103" i="62909"/>
  <c r="B104" i="62909"/>
  <c r="B105" i="62909"/>
  <c r="B106" i="62909"/>
  <c r="B107" i="62909"/>
  <c r="B108" i="62909"/>
  <c r="B109" i="62909"/>
  <c r="B110" i="62909"/>
  <c r="B111" i="62909"/>
  <c r="B112" i="62909"/>
  <c r="B113" i="62909"/>
  <c r="B114" i="62909"/>
  <c r="B115" i="62909"/>
  <c r="B116" i="62909"/>
  <c r="B117" i="62909"/>
  <c r="B118" i="62909"/>
  <c r="B119" i="62909"/>
  <c r="B120" i="62909"/>
  <c r="B121" i="62909"/>
  <c r="B122" i="62909"/>
  <c r="B123" i="62909"/>
  <c r="B124" i="62909"/>
  <c r="B125" i="62909"/>
  <c r="B126" i="62909"/>
  <c r="B129" i="62909"/>
  <c r="B130" i="62909"/>
  <c r="B131" i="62909"/>
  <c r="B132" i="62909"/>
  <c r="B133" i="62909"/>
  <c r="B134" i="62909"/>
  <c r="B135" i="62909"/>
  <c r="B136" i="62909"/>
  <c r="B137" i="62909"/>
  <c r="B138" i="62909"/>
  <c r="B139" i="62909"/>
  <c r="B140" i="62909"/>
  <c r="B141" i="62909"/>
  <c r="B142" i="62909"/>
  <c r="B143" i="62909"/>
  <c r="B144" i="62909"/>
  <c r="B145" i="62909"/>
  <c r="B146" i="62909"/>
  <c r="B147" i="62909"/>
  <c r="B148" i="62909"/>
  <c r="B149" i="62909"/>
  <c r="B150" i="62909"/>
  <c r="B151" i="62909"/>
  <c r="B152" i="62909"/>
  <c r="B153" i="62909"/>
  <c r="B154" i="62909"/>
  <c r="B155" i="62909"/>
  <c r="B160" i="62909"/>
  <c r="B161" i="62909"/>
  <c r="B162" i="62909"/>
  <c r="B163" i="62909"/>
  <c r="B169" i="62909"/>
  <c r="B170" i="62909"/>
  <c r="B171" i="62909"/>
  <c r="B172" i="62909"/>
  <c r="B173" i="62909"/>
  <c r="B174" i="62909"/>
  <c r="B175" i="62909"/>
  <c r="B176" i="62909"/>
  <c r="B177" i="62909"/>
  <c r="B178" i="62909"/>
  <c r="B179" i="62909"/>
  <c r="B180" i="62909"/>
  <c r="B182" i="62909"/>
  <c r="B183" i="62909"/>
  <c r="B184" i="62909"/>
  <c r="B185" i="62909"/>
  <c r="B186" i="62909"/>
  <c r="B187" i="62909"/>
  <c r="B190" i="62909"/>
  <c r="B191" i="62909"/>
  <c r="B192" i="62909"/>
  <c r="B193" i="62909"/>
  <c r="B194" i="62909"/>
  <c r="B195" i="62909"/>
  <c r="B196" i="62909"/>
  <c r="B199" i="62909"/>
  <c r="B200" i="62909"/>
  <c r="B206" i="62909"/>
  <c r="B207" i="62909"/>
  <c r="B208" i="62909"/>
  <c r="P22" i="62911"/>
  <c r="G22" i="62911" s="1"/>
  <c r="L668" i="5"/>
  <c r="I581" i="62911"/>
  <c r="C579" i="62911"/>
  <c r="C588" i="62911" s="1"/>
  <c r="I579" i="62911"/>
  <c r="I588" i="62911" s="1"/>
  <c r="B30" i="62907"/>
  <c r="C26" i="62907"/>
  <c r="C30" i="62907" s="1"/>
  <c r="B26" i="62907"/>
  <c r="E5" i="62907"/>
  <c r="D5" i="62907"/>
  <c r="B577" i="62911"/>
  <c r="B2" i="7"/>
  <c r="B2" i="11"/>
  <c r="B240" i="62905"/>
  <c r="B256" i="62905" s="1"/>
  <c r="B198" i="62909" s="1"/>
  <c r="B120" i="62904"/>
  <c r="B131" i="62904" s="1"/>
  <c r="B189" i="62909" s="1"/>
  <c r="B248" i="9"/>
  <c r="B104" i="62910" s="1"/>
  <c r="B140" i="62910" s="1"/>
  <c r="B439" i="62898"/>
  <c r="B84" i="62910" s="1"/>
  <c r="B138" i="62910" s="1"/>
  <c r="B562" i="5"/>
  <c r="B589" i="5" s="1"/>
  <c r="B81" i="62909" s="1"/>
  <c r="B75" i="11"/>
  <c r="B60" i="62910" s="1"/>
  <c r="B136" i="62910" s="1"/>
  <c r="B323" i="7"/>
  <c r="B42" i="62909" s="1"/>
  <c r="B107" i="3"/>
  <c r="B20" i="62910" s="1"/>
  <c r="B132" i="62910" s="1"/>
  <c r="B506" i="62913"/>
  <c r="B473" i="62913"/>
  <c r="L6" i="62913"/>
  <c r="H6" i="62913"/>
  <c r="F6" i="62913"/>
  <c r="P5" i="62913"/>
  <c r="N5" i="62913"/>
  <c r="L5" i="62913"/>
  <c r="J5" i="62913"/>
  <c r="H5" i="62913"/>
  <c r="F5" i="62913"/>
  <c r="P4" i="62913"/>
  <c r="N4" i="62913"/>
  <c r="L4" i="62913"/>
  <c r="J4" i="62913"/>
  <c r="H4" i="62913"/>
  <c r="F4" i="62913"/>
  <c r="B407" i="62913"/>
  <c r="B374" i="62913"/>
  <c r="B341" i="62913"/>
  <c r="B308" i="62913"/>
  <c r="B275" i="62913"/>
  <c r="B239" i="62913"/>
  <c r="B206" i="62913"/>
  <c r="B140" i="62913"/>
  <c r="B107" i="62913"/>
  <c r="B74" i="62913"/>
  <c r="B41" i="62913"/>
  <c r="B8" i="62913"/>
  <c r="D36" i="62908"/>
  <c r="M302" i="62905"/>
  <c r="M285" i="62905"/>
  <c r="I285" i="62905"/>
  <c r="H285" i="62905"/>
  <c r="G285" i="62905"/>
  <c r="F285" i="62905"/>
  <c r="J285" i="62905"/>
  <c r="E285" i="62905"/>
  <c r="M282" i="62905"/>
  <c r="I282" i="62905"/>
  <c r="H282" i="62905"/>
  <c r="G282" i="62905"/>
  <c r="F282" i="62905"/>
  <c r="J282" i="62905"/>
  <c r="E282" i="62905"/>
  <c r="M171" i="62904"/>
  <c r="M154" i="62904"/>
  <c r="I154" i="62904"/>
  <c r="H154" i="62904"/>
  <c r="G154" i="62904"/>
  <c r="F154" i="62904"/>
  <c r="J154" i="62904"/>
  <c r="E154" i="62904"/>
  <c r="M151" i="62904"/>
  <c r="I151" i="62904"/>
  <c r="H151" i="62904"/>
  <c r="G151" i="62904"/>
  <c r="F151" i="62904"/>
  <c r="J151" i="62904"/>
  <c r="E151" i="62904"/>
  <c r="L295" i="9"/>
  <c r="I295" i="9"/>
  <c r="H295" i="9"/>
  <c r="G295" i="9"/>
  <c r="F295" i="9"/>
  <c r="J295" i="9"/>
  <c r="E295" i="9"/>
  <c r="L292" i="9"/>
  <c r="M258" i="2"/>
  <c r="I258" i="2"/>
  <c r="H258" i="2"/>
  <c r="G258" i="2"/>
  <c r="F258" i="2"/>
  <c r="J258" i="2"/>
  <c r="E258" i="2"/>
  <c r="M255" i="2"/>
  <c r="I255" i="2"/>
  <c r="H255" i="2"/>
  <c r="G255" i="2"/>
  <c r="F255" i="2"/>
  <c r="J255" i="2"/>
  <c r="E255" i="2"/>
  <c r="L522" i="62898"/>
  <c r="L505" i="62898"/>
  <c r="L502" i="62898"/>
  <c r="L651" i="5"/>
  <c r="L648" i="5"/>
  <c r="L110" i="11"/>
  <c r="I110" i="11"/>
  <c r="H110" i="11"/>
  <c r="G110" i="11"/>
  <c r="F110" i="11"/>
  <c r="J110" i="11"/>
  <c r="E110" i="11"/>
  <c r="L107" i="11"/>
  <c r="I107" i="11"/>
  <c r="H107" i="11"/>
  <c r="G107" i="11"/>
  <c r="F107" i="11"/>
  <c r="J107" i="11"/>
  <c r="E107" i="11"/>
  <c r="I350" i="7"/>
  <c r="H350" i="7"/>
  <c r="G350" i="7"/>
  <c r="F350" i="7"/>
  <c r="J350" i="7"/>
  <c r="E350" i="7"/>
  <c r="I347" i="7"/>
  <c r="H347" i="7"/>
  <c r="G347" i="7"/>
  <c r="F347" i="7"/>
  <c r="J347" i="7"/>
  <c r="E347" i="7"/>
  <c r="M147" i="3"/>
  <c r="M130" i="3"/>
  <c r="I130" i="3"/>
  <c r="H130" i="3"/>
  <c r="G130" i="3"/>
  <c r="F130" i="3"/>
  <c r="J130" i="3"/>
  <c r="E130" i="3"/>
  <c r="M127" i="3"/>
  <c r="F56" i="62912"/>
  <c r="G56" i="62912"/>
  <c r="B148" i="62892"/>
  <c r="B150" i="62892"/>
  <c r="B154" i="62892"/>
  <c r="B155" i="62892"/>
  <c r="B156" i="62892"/>
  <c r="G20" i="62911"/>
  <c r="F16" i="62908"/>
  <c r="F17" i="62908"/>
  <c r="F18" i="62908"/>
  <c r="D23" i="62908"/>
  <c r="D24" i="62908"/>
  <c r="D25" i="62908"/>
  <c r="D26" i="62908"/>
  <c r="D27" i="62908"/>
  <c r="D29" i="62908"/>
  <c r="D30" i="62908"/>
  <c r="D31" i="62908"/>
  <c r="D32" i="62908"/>
  <c r="D33" i="62908"/>
  <c r="D34" i="62908"/>
  <c r="D35" i="62908"/>
  <c r="D37" i="62908"/>
  <c r="D44" i="62908"/>
  <c r="D45" i="62908"/>
  <c r="B2" i="3"/>
  <c r="B2" i="5"/>
  <c r="B2" i="62898"/>
  <c r="F221" i="62898"/>
  <c r="B2" i="2"/>
  <c r="B158" i="62909"/>
  <c r="B2" i="9"/>
  <c r="B2" i="62904"/>
  <c r="B2" i="62905"/>
  <c r="B202" i="62909"/>
  <c r="B203" i="62909"/>
  <c r="B21" i="62892"/>
  <c r="B22" i="62892"/>
  <c r="B23" i="62892"/>
  <c r="B24" i="62892"/>
  <c r="B37" i="62892"/>
  <c r="B38" i="62892"/>
  <c r="B39" i="62892"/>
  <c r="B40" i="62892"/>
  <c r="B41" i="62892"/>
  <c r="B42" i="62892"/>
  <c r="B43" i="62892"/>
  <c r="B44" i="62892"/>
  <c r="B61" i="62892"/>
  <c r="B62" i="62892"/>
  <c r="B63" i="62892"/>
  <c r="B64" i="62892"/>
  <c r="B75" i="62892"/>
  <c r="B76" i="62892"/>
  <c r="B77" i="62892"/>
  <c r="B78" i="62892"/>
  <c r="B79" i="62892"/>
  <c r="B80" i="62892"/>
  <c r="B81" i="62892"/>
  <c r="B82" i="62892"/>
  <c r="B71" i="62892"/>
  <c r="B72" i="62892"/>
  <c r="B73" i="62892"/>
  <c r="B74" i="62892"/>
  <c r="B85" i="62892"/>
  <c r="B86" i="62892"/>
  <c r="B87" i="62892"/>
  <c r="B88" i="62892"/>
  <c r="B89" i="62892"/>
  <c r="B90" i="62892"/>
  <c r="B91" i="62892"/>
  <c r="B105" i="62892"/>
  <c r="B106" i="62892"/>
  <c r="B107" i="62892"/>
  <c r="B108" i="62892"/>
  <c r="B111" i="62892"/>
  <c r="B112" i="62892"/>
  <c r="B113" i="62892"/>
  <c r="B114" i="62892"/>
  <c r="B118" i="62892"/>
  <c r="B119" i="62892"/>
  <c r="B120" i="62892"/>
  <c r="B121" i="62892"/>
  <c r="B122" i="62892"/>
  <c r="B123" i="62892"/>
  <c r="B124" i="62892"/>
  <c r="D10" i="62911"/>
  <c r="D11" i="62911"/>
  <c r="D12" i="62911"/>
  <c r="D13" i="62911"/>
  <c r="D14" i="62911"/>
  <c r="D15" i="62911"/>
  <c r="D20" i="62911"/>
  <c r="F20" i="62911"/>
  <c r="Q22" i="62911"/>
  <c r="Q21" i="62911" s="1"/>
  <c r="I20" i="62911"/>
  <c r="E21" i="62911"/>
  <c r="M22" i="62911"/>
  <c r="D22" i="62911" s="1"/>
  <c r="F22" i="62911"/>
  <c r="M25" i="62911"/>
  <c r="D25" i="62911" s="1"/>
  <c r="O26" i="62911"/>
  <c r="S22" i="62911" s="1"/>
  <c r="J22" i="62911" s="1"/>
  <c r="F23" i="62911"/>
  <c r="G23" i="62911"/>
  <c r="S23" i="62911"/>
  <c r="J23" i="62911" s="1"/>
  <c r="F24" i="62911"/>
  <c r="H24" i="62911"/>
  <c r="I25" i="62911"/>
  <c r="G26" i="62911"/>
  <c r="J26" i="62911"/>
  <c r="B21" i="62910"/>
  <c r="B22" i="62910"/>
  <c r="B23" i="62910"/>
  <c r="B24" i="62910"/>
  <c r="B25" i="62910"/>
  <c r="B37" i="62910"/>
  <c r="B38" i="62910"/>
  <c r="B39" i="62910"/>
  <c r="B40" i="62910"/>
  <c r="B41" i="62910"/>
  <c r="B42" i="62910"/>
  <c r="B43" i="62910"/>
  <c r="B44" i="62910"/>
  <c r="B61" i="62910"/>
  <c r="B62" i="62910"/>
  <c r="B63" i="62910"/>
  <c r="B64" i="62910"/>
  <c r="B75" i="62910"/>
  <c r="B76" i="62910"/>
  <c r="B77" i="62910"/>
  <c r="B78" i="62910"/>
  <c r="B79" i="62910"/>
  <c r="B80" i="62910"/>
  <c r="B81" i="62910"/>
  <c r="B82" i="62910"/>
  <c r="B71" i="62910"/>
  <c r="B72" i="62910"/>
  <c r="B73" i="62910"/>
  <c r="B74" i="62910"/>
  <c r="B85" i="62910"/>
  <c r="B86" i="62910"/>
  <c r="B87" i="62910"/>
  <c r="B88" i="62910"/>
  <c r="B89" i="62910"/>
  <c r="B90" i="62910"/>
  <c r="B91" i="62910"/>
  <c r="B105" i="62910"/>
  <c r="B106" i="62910"/>
  <c r="B107" i="62910"/>
  <c r="B108" i="62910"/>
  <c r="B111" i="62910"/>
  <c r="B112" i="62910"/>
  <c r="B113" i="62910"/>
  <c r="B114" i="62910"/>
  <c r="B118" i="62910"/>
  <c r="B119" i="62910"/>
  <c r="B120" i="62910"/>
  <c r="B121" i="62910"/>
  <c r="D10" i="62909"/>
  <c r="D11" i="62909"/>
  <c r="D12" i="62909"/>
  <c r="D13" i="62909"/>
  <c r="D14" i="62909"/>
  <c r="D17" i="62909"/>
  <c r="D18" i="62909"/>
  <c r="D19" i="62909"/>
  <c r="D20" i="62909"/>
  <c r="D21" i="62909"/>
  <c r="D22" i="62909"/>
  <c r="D23" i="62909"/>
  <c r="D24" i="62909"/>
  <c r="D27" i="62909"/>
  <c r="D28" i="62909"/>
  <c r="D29" i="62909"/>
  <c r="D30" i="62909"/>
  <c r="D31" i="62909"/>
  <c r="D35" i="62909"/>
  <c r="D36" i="62909"/>
  <c r="D37" i="62909"/>
  <c r="D38" i="62909"/>
  <c r="D39" i="62909"/>
  <c r="D43" i="62909"/>
  <c r="D44" i="62909"/>
  <c r="D45" i="62909"/>
  <c r="D46" i="62909"/>
  <c r="D47" i="62909"/>
  <c r="D48" i="62909"/>
  <c r="D49" i="62909"/>
  <c r="D50" i="62909"/>
  <c r="D67" i="62909"/>
  <c r="D68" i="62909"/>
  <c r="D69" i="62909"/>
  <c r="D70" i="62909"/>
  <c r="D75" i="62909"/>
  <c r="D76" i="62909"/>
  <c r="D77" i="62909"/>
  <c r="D78" i="62909"/>
  <c r="D98" i="62909"/>
  <c r="D99" i="62909"/>
  <c r="D100" i="62909"/>
  <c r="D101" i="62909"/>
  <c r="D102" i="62909"/>
  <c r="D103" i="62909"/>
  <c r="D104" i="62909"/>
  <c r="D105" i="62909"/>
  <c r="D107" i="62909"/>
  <c r="D108" i="62909"/>
  <c r="D109" i="62909"/>
  <c r="D110" i="62909"/>
  <c r="D111" i="62909"/>
  <c r="D112" i="62909"/>
  <c r="D113" i="62909"/>
  <c r="D114" i="62909"/>
  <c r="D115" i="62909"/>
  <c r="D116" i="62909"/>
  <c r="D117" i="62909"/>
  <c r="D118" i="62909"/>
  <c r="D119" i="62909"/>
  <c r="D120" i="62909"/>
  <c r="D121" i="62909"/>
  <c r="D122" i="62909"/>
  <c r="D123" i="62909"/>
  <c r="D124" i="62909"/>
  <c r="D125" i="62909"/>
  <c r="D126" i="62909"/>
  <c r="D82" i="62909"/>
  <c r="D83" i="62909"/>
  <c r="D84" i="62909"/>
  <c r="D85" i="62909"/>
  <c r="D86" i="62909"/>
  <c r="D87" i="62909"/>
  <c r="D88" i="62909"/>
  <c r="D89" i="62909"/>
  <c r="D90" i="62909"/>
  <c r="D91" i="62909"/>
  <c r="D92" i="62909"/>
  <c r="D93" i="62909"/>
  <c r="D94" i="62909"/>
  <c r="D95" i="62909"/>
  <c r="D96" i="62909"/>
  <c r="D97" i="62909"/>
  <c r="D129" i="62909"/>
  <c r="D130" i="62909"/>
  <c r="D131" i="62909"/>
  <c r="D132" i="62909"/>
  <c r="D133" i="62909"/>
  <c r="D134" i="62909"/>
  <c r="D135" i="62909"/>
  <c r="D136" i="62909"/>
  <c r="D137" i="62909"/>
  <c r="D138" i="62909"/>
  <c r="D139" i="62909"/>
  <c r="D140" i="62909"/>
  <c r="D141" i="62909"/>
  <c r="D142" i="62909"/>
  <c r="D143" i="62909"/>
  <c r="D144" i="62909"/>
  <c r="D145" i="62909"/>
  <c r="D146" i="62909"/>
  <c r="D147" i="62909"/>
  <c r="D148" i="62909"/>
  <c r="D149" i="62909"/>
  <c r="D150" i="62909"/>
  <c r="D151" i="62909"/>
  <c r="D152" i="62909"/>
  <c r="D153" i="62909"/>
  <c r="D154" i="62909"/>
  <c r="D155" i="62909"/>
  <c r="D158" i="62909"/>
  <c r="D160" i="62909"/>
  <c r="D161" i="62909"/>
  <c r="D162" i="62909"/>
  <c r="D163" i="62909"/>
  <c r="D169" i="62909"/>
  <c r="D170" i="62909"/>
  <c r="D171" i="62909"/>
  <c r="D172" i="62909"/>
  <c r="D173" i="62909"/>
  <c r="D174" i="62909"/>
  <c r="D175" i="62909"/>
  <c r="D176" i="62909"/>
  <c r="D177" i="62909"/>
  <c r="D178" i="62909"/>
  <c r="D179" i="62909"/>
  <c r="D180" i="62909"/>
  <c r="D181" i="62909"/>
  <c r="D182" i="62909"/>
  <c r="D183" i="62909"/>
  <c r="D184" i="62909"/>
  <c r="D185" i="62909"/>
  <c r="D186" i="62909"/>
  <c r="D187" i="62909"/>
  <c r="D190" i="62909"/>
  <c r="D191" i="62909"/>
  <c r="D192" i="62909"/>
  <c r="D193" i="62909"/>
  <c r="D194" i="62909"/>
  <c r="D195" i="62909"/>
  <c r="D196" i="62909"/>
  <c r="D199" i="62909"/>
  <c r="D200" i="62909"/>
  <c r="D202" i="62909"/>
  <c r="D203" i="62909"/>
  <c r="D205" i="62909"/>
  <c r="D206" i="62909"/>
  <c r="D207" i="62909"/>
  <c r="D208" i="62909"/>
  <c r="L312" i="9"/>
  <c r="N27" i="62909"/>
  <c r="AI58" i="5"/>
  <c r="AX58" i="5"/>
  <c r="N378" i="9"/>
  <c r="J137" i="3"/>
  <c r="L203" i="3"/>
  <c r="L191" i="3"/>
  <c r="AW58" i="5"/>
  <c r="AO58" i="5"/>
  <c r="AR168" i="5"/>
  <c r="M26" i="62911"/>
  <c r="D26" i="62911" s="1"/>
  <c r="P21" i="62911"/>
  <c r="N23" i="62911" s="1"/>
  <c r="E23" i="62911" s="1"/>
  <c r="AM168" i="5"/>
  <c r="J183" i="62909"/>
  <c r="AK58" i="5"/>
  <c r="AN58" i="5"/>
  <c r="AJ24" i="5"/>
  <c r="AL58" i="5"/>
  <c r="AM24" i="5"/>
  <c r="N31" i="62909"/>
  <c r="J35" i="62909"/>
  <c r="J34" i="62909" s="1"/>
  <c r="J217" i="62909" s="1"/>
  <c r="J27" i="62909"/>
  <c r="J26" i="62909" s="1"/>
  <c r="J216" i="62909" s="1"/>
  <c r="N35" i="62909"/>
  <c r="C150" i="62892"/>
  <c r="AQ168" i="5"/>
  <c r="N185" i="62909"/>
  <c r="N52" i="62909"/>
  <c r="O52" i="62909" s="1"/>
  <c r="P52" i="62909" s="1"/>
  <c r="J30" i="62909"/>
  <c r="AD168" i="5"/>
  <c r="N44" i="62909"/>
  <c r="J31" i="62909"/>
  <c r="N10" i="62909"/>
  <c r="AT58" i="5"/>
  <c r="N164" i="62909"/>
  <c r="N43" i="62909"/>
  <c r="N42" i="62909" s="1"/>
  <c r="N218" i="62909" s="1"/>
  <c r="AU58" i="5"/>
  <c r="J44" i="62909"/>
  <c r="AP24" i="5"/>
  <c r="AQ24" i="5"/>
  <c r="N30" i="62909"/>
  <c r="J39" i="62909"/>
  <c r="Z106" i="5"/>
  <c r="J10" i="62909"/>
  <c r="J38" i="62909"/>
  <c r="J9" i="62909"/>
  <c r="N9" i="62909"/>
  <c r="G181" i="62909"/>
  <c r="N38" i="62909"/>
  <c r="J29" i="62909"/>
  <c r="N29" i="62909"/>
  <c r="AV58" i="5"/>
  <c r="J36" i="62909"/>
  <c r="N28" i="62909"/>
  <c r="N36" i="62909"/>
  <c r="J28" i="62909"/>
  <c r="N13" i="62909"/>
  <c r="J22" i="62909"/>
  <c r="C181" i="62909"/>
  <c r="C121" i="62892"/>
  <c r="D121" i="62892" s="1"/>
  <c r="J11" i="62909"/>
  <c r="N21" i="62909"/>
  <c r="N8" i="62909"/>
  <c r="N12" i="62909"/>
  <c r="J12" i="62909"/>
  <c r="J8" i="62909"/>
  <c r="J21" i="62909"/>
  <c r="N7" i="62909"/>
  <c r="J7" i="62909"/>
  <c r="N22" i="62909"/>
  <c r="N11" i="62909"/>
  <c r="J14" i="62909"/>
  <c r="N194" i="62909"/>
  <c r="J13" i="62909"/>
  <c r="N14" i="62909"/>
  <c r="N246" i="62905"/>
  <c r="F121" i="62892"/>
  <c r="G121" i="62910"/>
  <c r="H121" i="62910" s="1"/>
  <c r="I263" i="62905"/>
  <c r="C121" i="62910"/>
  <c r="E121" i="62910" s="1"/>
  <c r="K246" i="62905"/>
  <c r="L246" i="62905"/>
  <c r="M246" i="62905"/>
  <c r="J19" i="62909"/>
  <c r="B205" i="62909"/>
  <c r="J179" i="62909"/>
  <c r="J175" i="62909"/>
  <c r="N175" i="62909"/>
  <c r="J176" i="62909"/>
  <c r="J178" i="62909"/>
  <c r="N179" i="62909"/>
  <c r="N141" i="62909"/>
  <c r="BH279" i="5"/>
  <c r="N90" i="62909"/>
  <c r="I702" i="5"/>
  <c r="N102" i="62909"/>
  <c r="N121" i="62909"/>
  <c r="N108" i="62909"/>
  <c r="N107" i="62909"/>
  <c r="J119" i="62909"/>
  <c r="N122" i="62909"/>
  <c r="J93" i="62909"/>
  <c r="J92" i="62909"/>
  <c r="J90" i="62909"/>
  <c r="N93" i="62909"/>
  <c r="L734" i="5"/>
  <c r="N92" i="62909"/>
  <c r="J121" i="62909"/>
  <c r="J122" i="62909"/>
  <c r="J107" i="62909"/>
  <c r="H702" i="5"/>
  <c r="J702" i="5"/>
  <c r="J86" i="62909"/>
  <c r="N100" i="62909"/>
  <c r="J164" i="62909"/>
  <c r="J76" i="62909"/>
  <c r="N78" i="62909"/>
  <c r="N62" i="62909"/>
  <c r="J62" i="62909"/>
  <c r="N60" i="62909"/>
  <c r="J60" i="62909"/>
  <c r="AJ29" i="9"/>
  <c r="AX29" i="9"/>
  <c r="AJ35" i="9"/>
  <c r="AL109" i="9"/>
  <c r="AZ109" i="9"/>
  <c r="AJ32" i="9"/>
  <c r="AQ109" i="9"/>
  <c r="BE109" i="9"/>
  <c r="AG109" i="9"/>
  <c r="AU109" i="9"/>
  <c r="AH109" i="9"/>
  <c r="AV109" i="9"/>
  <c r="AN108" i="9"/>
  <c r="BB108" i="9"/>
  <c r="AM108" i="9"/>
  <c r="BA108" i="9"/>
  <c r="AM29" i="9"/>
  <c r="BA29" i="9"/>
  <c r="AN29" i="9"/>
  <c r="BB29" i="9"/>
  <c r="AM31" i="9"/>
  <c r="AN31" i="9"/>
  <c r="AM32" i="9"/>
  <c r="AN32" i="9"/>
  <c r="AM34" i="9"/>
  <c r="AN34" i="9"/>
  <c r="AM35" i="9"/>
  <c r="AN35" i="9"/>
  <c r="AN28" i="9"/>
  <c r="H288" i="9" s="1"/>
  <c r="AK28" i="9"/>
  <c r="G296" i="9" s="1"/>
  <c r="AK109" i="9"/>
  <c r="AY109" i="9"/>
  <c r="AJ108" i="9"/>
  <c r="AX108" i="9"/>
  <c r="AI29" i="9"/>
  <c r="AW29" i="9"/>
  <c r="AI31" i="9"/>
  <c r="AI32" i="9"/>
  <c r="AI34" i="9"/>
  <c r="AI35" i="9"/>
  <c r="AJ28" i="9"/>
  <c r="F288" i="9" s="1"/>
  <c r="BF29" i="9"/>
  <c r="AR108" i="9"/>
  <c r="BF108" i="9"/>
  <c r="AI108" i="9"/>
  <c r="AW108" i="9"/>
  <c r="AJ31" i="9"/>
  <c r="AJ34" i="9"/>
  <c r="AG28" i="9"/>
  <c r="E296" i="9" s="1"/>
  <c r="AR109" i="9"/>
  <c r="AQ108" i="9"/>
  <c r="AI109" i="9"/>
  <c r="AW109" i="9"/>
  <c r="AM109" i="9"/>
  <c r="BA109" i="9"/>
  <c r="AJ109" i="9"/>
  <c r="AN109" i="9"/>
  <c r="BB109" i="9"/>
  <c r="AH108" i="9"/>
  <c r="AL108" i="9"/>
  <c r="AG108" i="9"/>
  <c r="AK108" i="9"/>
  <c r="AG29" i="9"/>
  <c r="AU29" i="9"/>
  <c r="AK29" i="9"/>
  <c r="AY29" i="9"/>
  <c r="AH29" i="9"/>
  <c r="AV29" i="9"/>
  <c r="AL29" i="9"/>
  <c r="AZ29" i="9"/>
  <c r="AG31" i="9"/>
  <c r="AK31" i="9"/>
  <c r="AH31" i="9"/>
  <c r="AL31" i="9"/>
  <c r="AG32" i="9"/>
  <c r="AK32" i="9"/>
  <c r="AH32" i="9"/>
  <c r="AL32" i="9"/>
  <c r="AG34" i="9"/>
  <c r="AK34" i="9"/>
  <c r="AH34" i="9"/>
  <c r="AL34" i="9"/>
  <c r="AG35" i="9"/>
  <c r="AK35" i="9"/>
  <c r="AH35" i="9"/>
  <c r="AL35" i="9"/>
  <c r="AH28" i="9"/>
  <c r="AV28" i="9" s="1"/>
  <c r="AL28" i="9"/>
  <c r="G288" i="9" s="1"/>
  <c r="AI28" i="9"/>
  <c r="F296" i="9" s="1"/>
  <c r="AM28" i="9"/>
  <c r="H296" i="9" s="1"/>
  <c r="U109" i="9"/>
  <c r="U32" i="9"/>
  <c r="J52" i="62909"/>
  <c r="K52" i="62909" s="1"/>
  <c r="L52" i="62909" s="1"/>
  <c r="N45" i="62909"/>
  <c r="J46" i="62909"/>
  <c r="N46" i="62909"/>
  <c r="J43" i="62909"/>
  <c r="J42" i="62909" s="1"/>
  <c r="J218" i="62909" s="1"/>
  <c r="N47" i="62909"/>
  <c r="E190" i="3"/>
  <c r="J124" i="3"/>
  <c r="L190" i="3"/>
  <c r="G190" i="3"/>
  <c r="N208" i="62909"/>
  <c r="N210" i="62909"/>
  <c r="J210" i="62909"/>
  <c r="J196" i="62909"/>
  <c r="J193" i="62909"/>
  <c r="U29" i="9"/>
  <c r="U108" i="9"/>
  <c r="U34" i="9"/>
  <c r="J177" i="62909"/>
  <c r="U31" i="9"/>
  <c r="N184" i="62909"/>
  <c r="J181" i="62909"/>
  <c r="N181" i="62909"/>
  <c r="N183" i="62909"/>
  <c r="J184" i="62909"/>
  <c r="N177" i="62909"/>
  <c r="N174" i="62909"/>
  <c r="J185" i="62909"/>
  <c r="N176" i="62909"/>
  <c r="J174" i="62909"/>
  <c r="N180" i="62909"/>
  <c r="J142" i="62909"/>
  <c r="J141" i="62909"/>
  <c r="J148" i="62909"/>
  <c r="N144" i="62909"/>
  <c r="N148" i="62909"/>
  <c r="J108" i="62909"/>
  <c r="BH95" i="5"/>
  <c r="BH462" i="5"/>
  <c r="J115" i="62909"/>
  <c r="J100" i="62909"/>
  <c r="N86" i="62909"/>
  <c r="N89" i="62909"/>
  <c r="N59" i="62909"/>
  <c r="J58" i="62909"/>
  <c r="J56" i="62909"/>
  <c r="N56" i="62909"/>
  <c r="N196" i="62909"/>
  <c r="N58" i="62909"/>
  <c r="N39" i="62909"/>
  <c r="J208" i="62909"/>
  <c r="J20" i="62909"/>
  <c r="BE29" i="9"/>
  <c r="V28" i="9"/>
  <c r="W28" i="9" s="1"/>
  <c r="V32" i="9"/>
  <c r="BH29" i="9"/>
  <c r="BG109" i="9"/>
  <c r="BG29" i="9"/>
  <c r="U28" i="9"/>
  <c r="BH109" i="9"/>
  <c r="V34" i="9"/>
  <c r="V31" i="9"/>
  <c r="BH28" i="9"/>
  <c r="V108" i="9"/>
  <c r="BH108" i="9"/>
  <c r="V109" i="9"/>
  <c r="V35" i="9"/>
  <c r="U35" i="9"/>
  <c r="AX28" i="9"/>
  <c r="AU108" i="9"/>
  <c r="AV108" i="9"/>
  <c r="AX109" i="9"/>
  <c r="BF109" i="9"/>
  <c r="V29" i="9"/>
  <c r="AY108" i="9"/>
  <c r="AZ108" i="9"/>
  <c r="BE108" i="9"/>
  <c r="J47" i="62909"/>
  <c r="J45" i="62909"/>
  <c r="E124" i="3"/>
  <c r="H190" i="3"/>
  <c r="H124" i="3"/>
  <c r="I212" i="3"/>
  <c r="K146" i="3"/>
  <c r="F191" i="3"/>
  <c r="F125" i="3"/>
  <c r="G191" i="3"/>
  <c r="G125" i="3"/>
  <c r="F190" i="3"/>
  <c r="F124" i="3"/>
  <c r="J59" i="62909"/>
  <c r="N18" i="62909"/>
  <c r="N17" i="62909"/>
  <c r="N16" i="62909" s="1"/>
  <c r="N215" i="62909" s="1"/>
  <c r="N20" i="62909"/>
  <c r="J195" i="62909"/>
  <c r="H237" i="62904"/>
  <c r="J205" i="62904"/>
  <c r="H205" i="62904"/>
  <c r="I205" i="62904"/>
  <c r="N172" i="62909"/>
  <c r="N170" i="62909"/>
  <c r="J172" i="62909"/>
  <c r="J170" i="62909"/>
  <c r="N178" i="62909"/>
  <c r="N169" i="62909"/>
  <c r="J169" i="62909"/>
  <c r="J168" i="62909" s="1"/>
  <c r="J224" i="62909" s="1"/>
  <c r="N182" i="62909"/>
  <c r="J182" i="62909"/>
  <c r="N186" i="62909"/>
  <c r="J180" i="62909"/>
  <c r="J186" i="62909"/>
  <c r="N142" i="62909"/>
  <c r="J144" i="62909"/>
  <c r="N140" i="62909"/>
  <c r="J137" i="62909"/>
  <c r="N137" i="62909"/>
  <c r="J88" i="62909"/>
  <c r="N115" i="62909"/>
  <c r="N116" i="62909"/>
  <c r="N166" i="62909"/>
  <c r="J78" i="62909"/>
  <c r="N76" i="62909"/>
  <c r="J77" i="62909"/>
  <c r="N77" i="62909"/>
  <c r="N75" i="62909"/>
  <c r="J75" i="62909"/>
  <c r="N67" i="62909"/>
  <c r="N66" i="62909" s="1"/>
  <c r="N220" i="62909" s="1"/>
  <c r="N69" i="62909"/>
  <c r="N68" i="62909"/>
  <c r="J199" i="62909"/>
  <c r="J198" i="62909" s="1"/>
  <c r="J226" i="62909" s="1"/>
  <c r="N19" i="62909"/>
  <c r="J207" i="62909"/>
  <c r="N55" i="62909"/>
  <c r="N54" i="62909" s="1"/>
  <c r="N219" i="62909" s="1"/>
  <c r="J64" i="62909"/>
  <c r="N37" i="62909"/>
  <c r="N207" i="62909"/>
  <c r="J57" i="62909"/>
  <c r="J163" i="62909"/>
  <c r="N190" i="62909"/>
  <c r="N189" i="62909" s="1"/>
  <c r="N225" i="62909" s="1"/>
  <c r="J190" i="62909"/>
  <c r="J189" i="62909" s="1"/>
  <c r="J225" i="62909" s="1"/>
  <c r="J55" i="62909"/>
  <c r="J54" i="62909" s="1"/>
  <c r="J219" i="62909" s="1"/>
  <c r="J191" i="62909"/>
  <c r="N199" i="62909"/>
  <c r="N198" i="62909" s="1"/>
  <c r="N226" i="62909" s="1"/>
  <c r="J37" i="62909"/>
  <c r="N57" i="62909"/>
  <c r="N64" i="62909"/>
  <c r="J61" i="62909"/>
  <c r="J166" i="62909"/>
  <c r="N195" i="62909"/>
  <c r="N193" i="62909"/>
  <c r="N163" i="62909"/>
  <c r="BG108" i="9"/>
  <c r="N48" i="62909"/>
  <c r="J17" i="62909"/>
  <c r="J16" i="62909" s="1"/>
  <c r="J215" i="62909" s="1"/>
  <c r="J18" i="62909"/>
  <c r="J171" i="62909"/>
  <c r="N171" i="62909"/>
  <c r="N130" i="62909"/>
  <c r="J140" i="62909"/>
  <c r="N145" i="62909"/>
  <c r="N154" i="62909"/>
  <c r="J130" i="62909"/>
  <c r="J139" i="62909"/>
  <c r="J147" i="62909"/>
  <c r="N153" i="62909"/>
  <c r="N138" i="62909"/>
  <c r="N132" i="62909"/>
  <c r="J145" i="62909"/>
  <c r="N149" i="62909"/>
  <c r="N152" i="62909"/>
  <c r="J134" i="62909"/>
  <c r="N136" i="62909"/>
  <c r="N134" i="62909"/>
  <c r="J136" i="62909"/>
  <c r="J129" i="62909"/>
  <c r="N146" i="62909"/>
  <c r="N155" i="62909"/>
  <c r="J155" i="62909"/>
  <c r="N150" i="62909"/>
  <c r="J150" i="62909"/>
  <c r="J149" i="62909"/>
  <c r="J133" i="62909"/>
  <c r="N151" i="62909"/>
  <c r="J151" i="62909"/>
  <c r="N88" i="62909"/>
  <c r="N101" i="62909"/>
  <c r="J101" i="62909"/>
  <c r="N117" i="62909"/>
  <c r="N118" i="62909"/>
  <c r="J110" i="62909"/>
  <c r="J89" i="62909"/>
  <c r="N110" i="62909"/>
  <c r="N109" i="62909"/>
  <c r="J117" i="62909"/>
  <c r="J116" i="62909"/>
  <c r="J118" i="62909"/>
  <c r="J87" i="62909"/>
  <c r="N87" i="62909"/>
  <c r="J69" i="62909"/>
  <c r="J67" i="62909"/>
  <c r="J66" i="62909" s="1"/>
  <c r="J220" i="62909" s="1"/>
  <c r="J68" i="62909"/>
  <c r="N158" i="62909"/>
  <c r="N157" i="62909" s="1"/>
  <c r="N223" i="62909" s="1"/>
  <c r="N160" i="62909"/>
  <c r="N200" i="62909"/>
  <c r="J200" i="62909"/>
  <c r="N161" i="62909"/>
  <c r="J83" i="62909"/>
  <c r="N23" i="62909"/>
  <c r="J112" i="62909"/>
  <c r="N191" i="62909"/>
  <c r="N99" i="62909"/>
  <c r="N61" i="62909"/>
  <c r="J23" i="62909"/>
  <c r="N34" i="62909"/>
  <c r="N217" i="62909" s="1"/>
  <c r="C155" i="62892"/>
  <c r="J158" i="62909"/>
  <c r="J157" i="62909" s="1"/>
  <c r="J223" i="62909" s="1"/>
  <c r="J99" i="62909"/>
  <c r="N50" i="62909"/>
  <c r="J48" i="62909"/>
  <c r="N49" i="62909"/>
  <c r="J50" i="62909"/>
  <c r="N187" i="62909"/>
  <c r="J187" i="62909"/>
  <c r="N135" i="62909"/>
  <c r="J135" i="62909"/>
  <c r="J146" i="62909"/>
  <c r="N147" i="62909"/>
  <c r="J132" i="62909"/>
  <c r="N133" i="62909"/>
  <c r="J154" i="62909"/>
  <c r="J153" i="62909"/>
  <c r="N139" i="62909"/>
  <c r="J138" i="62909"/>
  <c r="N129" i="62909"/>
  <c r="N131" i="62909"/>
  <c r="J131" i="62909"/>
  <c r="J152" i="62909"/>
  <c r="J109" i="62909"/>
  <c r="J96" i="62909"/>
  <c r="N83" i="62909"/>
  <c r="J120" i="62909"/>
  <c r="J91" i="62909"/>
  <c r="N120" i="62909"/>
  <c r="N91" i="62909"/>
  <c r="N96" i="62909"/>
  <c r="N104" i="62909"/>
  <c r="N113" i="62909"/>
  <c r="N97" i="62909"/>
  <c r="N126" i="62909"/>
  <c r="J123" i="62909"/>
  <c r="N106" i="62909"/>
  <c r="J85" i="62909"/>
  <c r="J126" i="62909"/>
  <c r="N84" i="62909"/>
  <c r="N85" i="62909"/>
  <c r="J94" i="62909"/>
  <c r="N103" i="62909"/>
  <c r="N94" i="62909"/>
  <c r="J113" i="62909"/>
  <c r="J103" i="62909"/>
  <c r="N114" i="62909"/>
  <c r="N123" i="62909"/>
  <c r="N98" i="62909"/>
  <c r="J111" i="62909"/>
  <c r="N82" i="62909"/>
  <c r="J125" i="62909"/>
  <c r="N125" i="62909"/>
  <c r="J98" i="62909"/>
  <c r="J104" i="62909"/>
  <c r="N111" i="62909"/>
  <c r="J82" i="62909"/>
  <c r="J105" i="62909"/>
  <c r="J161" i="62909"/>
  <c r="N112" i="62909"/>
  <c r="J160" i="62909"/>
  <c r="O341" i="2"/>
  <c r="J192" i="62909"/>
  <c r="O309" i="2"/>
  <c r="C156" i="62892"/>
  <c r="N192" i="62909"/>
  <c r="M275" i="2"/>
  <c r="J49" i="62909"/>
  <c r="J143" i="62909"/>
  <c r="N143" i="62909"/>
  <c r="N105" i="62909"/>
  <c r="J84" i="62909"/>
  <c r="J95" i="62909"/>
  <c r="J114" i="62909"/>
  <c r="J97" i="62909"/>
  <c r="J106" i="62909"/>
  <c r="J124" i="62909"/>
  <c r="N124" i="62909"/>
  <c r="N206" i="62909"/>
  <c r="J162" i="62909"/>
  <c r="J24" i="62909"/>
  <c r="J206" i="62909"/>
  <c r="N24" i="62909"/>
  <c r="N95" i="62909"/>
  <c r="N205" i="62909"/>
  <c r="J205" i="62909"/>
  <c r="N162" i="62909"/>
  <c r="BH43" i="9"/>
  <c r="J194" i="62909"/>
  <c r="AV43" i="9"/>
  <c r="BD43" i="9" s="1"/>
  <c r="N203" i="62909"/>
  <c r="J203" i="62909"/>
  <c r="J202" i="62909"/>
  <c r="N202" i="62909"/>
  <c r="N173" i="62909"/>
  <c r="J173" i="62909"/>
  <c r="C154" i="62892"/>
  <c r="C157" i="62892" s="1"/>
  <c r="O161" i="11"/>
  <c r="L127" i="11"/>
  <c r="J70" i="62909"/>
  <c r="N70" i="62909"/>
  <c r="E345" i="62919"/>
  <c r="E2279" i="62917"/>
  <c r="E2280" i="62917" s="1"/>
  <c r="I15" i="62927"/>
  <c r="R13" i="62927"/>
  <c r="R15" i="62927" s="1"/>
  <c r="AV226" i="9"/>
  <c r="BF226" i="9"/>
  <c r="BB226" i="9"/>
  <c r="AZ226" i="9"/>
  <c r="BF190" i="9"/>
  <c r="I422" i="62928"/>
  <c r="I483" i="5"/>
  <c r="I308" i="62898"/>
  <c r="D52" i="62911"/>
  <c r="D542" i="5"/>
  <c r="AH542" i="5" s="1"/>
  <c r="AT542" i="5" s="1"/>
  <c r="D433" i="5"/>
  <c r="AH433" i="5" s="1"/>
  <c r="AT433" i="5" s="1"/>
  <c r="D44" i="3"/>
  <c r="F21" i="62911"/>
  <c r="N22" i="62911"/>
  <c r="E22" i="62911" s="1"/>
  <c r="N6" i="62909"/>
  <c r="N214" i="62909" s="1"/>
  <c r="N227" i="62909" s="1"/>
  <c r="D60" i="62911"/>
  <c r="P271" i="62898"/>
  <c r="U103" i="5"/>
  <c r="U384" i="5"/>
  <c r="U17" i="5"/>
  <c r="G262" i="62925"/>
  <c r="G297" i="62925"/>
  <c r="G231" i="62925"/>
  <c r="M262" i="62925"/>
  <c r="J231" i="62925"/>
  <c r="J233" i="62925" s="1"/>
  <c r="K297" i="62925"/>
  <c r="F231" i="62925"/>
  <c r="F262" i="62925"/>
  <c r="F297" i="62925"/>
  <c r="E262" i="62925"/>
  <c r="E231" i="62925"/>
  <c r="E297" i="62925"/>
  <c r="J514" i="62898"/>
  <c r="J27" i="62912" s="1"/>
  <c r="S27" i="62912" s="1"/>
  <c r="F514" i="62898"/>
  <c r="F27" i="62912" s="1"/>
  <c r="O27" i="62912" s="1"/>
  <c r="E514" i="62898"/>
  <c r="E27" i="62912" s="1"/>
  <c r="N27" i="62912" s="1"/>
  <c r="G514" i="62898"/>
  <c r="G27" i="62912" s="1"/>
  <c r="P27" i="62912" s="1"/>
  <c r="U385" i="5"/>
  <c r="M262" i="62926"/>
  <c r="K297" i="62926"/>
  <c r="J231" i="62926"/>
  <c r="G297" i="62926"/>
  <c r="G231" i="62926"/>
  <c r="G262" i="62926"/>
  <c r="F231" i="62926"/>
  <c r="F297" i="62926"/>
  <c r="F262" i="62926"/>
  <c r="E228" i="62926"/>
  <c r="I228" i="62926" s="1"/>
  <c r="E228" i="62925"/>
  <c r="H22" i="62911" l="1"/>
  <c r="BE179" i="9"/>
  <c r="D50" i="62911"/>
  <c r="S20" i="62911"/>
  <c r="J20" i="62911" s="1"/>
  <c r="Q20" i="62911"/>
  <c r="M24" i="62911" s="1"/>
  <c r="AL227" i="9"/>
  <c r="AL226" i="9"/>
  <c r="AH227" i="9"/>
  <c r="AJ227" i="9"/>
  <c r="AJ226" i="9"/>
  <c r="AH226" i="9"/>
  <c r="AR226" i="9"/>
  <c r="AN227" i="9"/>
  <c r="AN226" i="9"/>
  <c r="AR227" i="9"/>
  <c r="F26" i="62911"/>
  <c r="N24" i="62911"/>
  <c r="E24" i="62911" s="1"/>
  <c r="H21" i="62911"/>
  <c r="O25" i="62911"/>
  <c r="G21" i="62911"/>
  <c r="B6" i="62910"/>
  <c r="B130" i="62910" s="1"/>
  <c r="D43" i="3"/>
  <c r="O172" i="62909"/>
  <c r="P172" i="62909" s="1"/>
  <c r="B259" i="9"/>
  <c r="B168" i="62909" s="1"/>
  <c r="AT51" i="62904"/>
  <c r="G168" i="2"/>
  <c r="O168" i="2" s="1"/>
  <c r="D168" i="2" s="1"/>
  <c r="G169" i="2"/>
  <c r="O169" i="2" s="1"/>
  <c r="D169" i="2" s="1"/>
  <c r="G170" i="2"/>
  <c r="O170" i="2" s="1"/>
  <c r="D170" i="2" s="1"/>
  <c r="G171" i="2"/>
  <c r="O171" i="2" s="1"/>
  <c r="D171" i="2" s="1"/>
  <c r="G163" i="2"/>
  <c r="O163" i="2" s="1"/>
  <c r="D163" i="2" s="1"/>
  <c r="G164" i="2"/>
  <c r="O164" i="2" s="1"/>
  <c r="D164" i="2" s="1"/>
  <c r="G159" i="2"/>
  <c r="O159" i="2" s="1"/>
  <c r="D159" i="2" s="1"/>
  <c r="G158" i="2"/>
  <c r="O158" i="2" s="1"/>
  <c r="D158" i="2" s="1"/>
  <c r="K158" i="62927"/>
  <c r="BS251" i="62898"/>
  <c r="BS295" i="62898"/>
  <c r="BE52" i="9"/>
  <c r="K329" i="9" a="1"/>
  <c r="K329" i="9" s="1"/>
  <c r="M329" i="9" a="1"/>
  <c r="M329" i="9" s="1"/>
  <c r="G329" i="9" a="1"/>
  <c r="G329" i="9" s="1"/>
  <c r="F329" i="9" a="1"/>
  <c r="F329" i="9" s="1"/>
  <c r="BF52" i="9"/>
  <c r="BS296" i="62898"/>
  <c r="BS252" i="62898"/>
  <c r="BB399" i="62898"/>
  <c r="AT396" i="62898"/>
  <c r="BD397" i="62898"/>
  <c r="BD398" i="62898"/>
  <c r="AV399" i="62898"/>
  <c r="AS396" i="62898"/>
  <c r="AR396" i="62898"/>
  <c r="AR397" i="62898"/>
  <c r="AP399" i="62898"/>
  <c r="BB270" i="62898"/>
  <c r="BD273" i="62898"/>
  <c r="BB397" i="62898"/>
  <c r="BB398" i="62898"/>
  <c r="AT399" i="62898"/>
  <c r="AQ396" i="62898"/>
  <c r="AP397" i="62898"/>
  <c r="AP398" i="62898"/>
  <c r="BE271" i="62898"/>
  <c r="BE272" i="62898"/>
  <c r="BD271" i="62898"/>
  <c r="AV397" i="62898"/>
  <c r="AV398" i="62898"/>
  <c r="AS399" i="62898"/>
  <c r="BC396" i="62898"/>
  <c r="BE396" i="62898"/>
  <c r="AW396" i="62898"/>
  <c r="BE273" i="62898"/>
  <c r="BC270" i="62898"/>
  <c r="AU398" i="62898"/>
  <c r="AT397" i="62898"/>
  <c r="AT398" i="62898"/>
  <c r="AQ399" i="62898"/>
  <c r="AU396" i="62898"/>
  <c r="AP396" i="62898"/>
  <c r="BE399" i="62898"/>
  <c r="BB272" i="62898"/>
  <c r="BB271" i="62898"/>
  <c r="AS397" i="62898"/>
  <c r="AS398" i="62898"/>
  <c r="BD396" i="62898"/>
  <c r="BE397" i="62898"/>
  <c r="BE398" i="62898"/>
  <c r="BC399" i="62898"/>
  <c r="BE270" i="62898"/>
  <c r="BB273" i="62898"/>
  <c r="AR398" i="62898"/>
  <c r="AQ397" i="62898"/>
  <c r="AQ398" i="62898"/>
  <c r="BB396" i="62898"/>
  <c r="BC397" i="62898"/>
  <c r="BC398" i="62898"/>
  <c r="AW399" i="62898"/>
  <c r="BC272" i="62898"/>
  <c r="BC271" i="62898"/>
  <c r="BD272" i="62898"/>
  <c r="AR399" i="62898"/>
  <c r="BD399" i="62898"/>
  <c r="AV396" i="62898"/>
  <c r="AW397" i="62898"/>
  <c r="AW398" i="62898"/>
  <c r="AU399" i="62898"/>
  <c r="BD270" i="62898"/>
  <c r="BC273" i="62898"/>
  <c r="AU397" i="62898"/>
  <c r="K35" i="62926"/>
  <c r="G72" i="62918"/>
  <c r="K21" i="62909"/>
  <c r="L21" i="62909" s="1"/>
  <c r="O11" i="62909"/>
  <c r="P11" i="62909" s="1"/>
  <c r="O20" i="62909"/>
  <c r="P20" i="62909" s="1"/>
  <c r="O13" i="62909"/>
  <c r="P13" i="62909" s="1"/>
  <c r="O19" i="62909"/>
  <c r="P19" i="62909" s="1"/>
  <c r="K9" i="62909"/>
  <c r="L9" i="62909" s="1"/>
  <c r="K61" i="62909"/>
  <c r="L61" i="62909" s="1"/>
  <c r="K18" i="62909"/>
  <c r="L18" i="62909" s="1"/>
  <c r="K38" i="62909"/>
  <c r="L38" i="62909" s="1"/>
  <c r="K17" i="62909"/>
  <c r="O7" i="62909"/>
  <c r="O55" i="62909"/>
  <c r="P55" i="62909" s="1"/>
  <c r="P54" i="62909" s="1"/>
  <c r="P219" i="62909" s="1"/>
  <c r="O37" i="62909"/>
  <c r="P37" i="62909" s="1"/>
  <c r="O24" i="62909"/>
  <c r="P24" i="62909" s="1"/>
  <c r="K36" i="62909"/>
  <c r="L36" i="62909" s="1"/>
  <c r="K35" i="62909"/>
  <c r="K34" i="62909" s="1"/>
  <c r="K217" i="62909" s="1"/>
  <c r="O12" i="62909"/>
  <c r="P12" i="62909" s="1"/>
  <c r="K164" i="62909"/>
  <c r="L164" i="62909" s="1"/>
  <c r="K14" i="62909"/>
  <c r="L14" i="62909" s="1"/>
  <c r="O17" i="62909"/>
  <c r="O16" i="62909" s="1"/>
  <c r="O215" i="62909" s="1"/>
  <c r="K170" i="62909"/>
  <c r="L170" i="62909" s="1"/>
  <c r="O59" i="62909"/>
  <c r="P59" i="62909" s="1"/>
  <c r="K11" i="62909"/>
  <c r="L11" i="62909" s="1"/>
  <c r="BE231" i="62905"/>
  <c r="BE227" i="62905"/>
  <c r="AM119" i="2"/>
  <c r="AM117" i="2"/>
  <c r="AQ177" i="62905"/>
  <c r="AI175" i="62905"/>
  <c r="AI177" i="62905"/>
  <c r="AI119" i="2"/>
  <c r="AI117" i="2"/>
  <c r="AM177" i="62905"/>
  <c r="AE176" i="62905"/>
  <c r="AE119" i="2"/>
  <c r="AE117" i="2"/>
  <c r="AQ176" i="62905"/>
  <c r="AE177" i="62905"/>
  <c r="AA119" i="2"/>
  <c r="AA117" i="2"/>
  <c r="AM176" i="62905"/>
  <c r="AE175" i="62905"/>
  <c r="BA118" i="2"/>
  <c r="AM118" i="2"/>
  <c r="G118" i="2"/>
  <c r="AQ175" i="62905"/>
  <c r="I176" i="62905"/>
  <c r="P176" i="62905" s="1"/>
  <c r="AY175" i="62905"/>
  <c r="BA119" i="2"/>
  <c r="AI118" i="2"/>
  <c r="G119" i="2"/>
  <c r="AY177" i="62905"/>
  <c r="AM175" i="62905"/>
  <c r="I177" i="62905"/>
  <c r="P177" i="62905" s="1"/>
  <c r="AA118" i="2"/>
  <c r="BA117" i="2"/>
  <c r="AE118" i="2"/>
  <c r="G117" i="2"/>
  <c r="AY176" i="62905"/>
  <c r="AI176" i="62905"/>
  <c r="I175" i="62905"/>
  <c r="P175" i="62905" s="1"/>
  <c r="AU117" i="2"/>
  <c r="AU121" i="2" s="1"/>
  <c r="BE176" i="62905"/>
  <c r="BE177" i="62905"/>
  <c r="BE175" i="62905"/>
  <c r="AA27" i="11"/>
  <c r="AE27" i="11"/>
  <c r="AN27" i="11"/>
  <c r="AC27" i="11"/>
  <c r="AI27" i="11"/>
  <c r="AA30" i="11"/>
  <c r="AE30" i="11"/>
  <c r="AN30" i="11"/>
  <c r="AI30" i="11"/>
  <c r="AC30" i="11"/>
  <c r="AA29" i="11"/>
  <c r="AE29" i="11"/>
  <c r="AN29" i="11"/>
  <c r="AI29" i="11"/>
  <c r="AC29" i="11"/>
  <c r="AC28" i="11"/>
  <c r="AI28" i="11"/>
  <c r="AA28" i="11"/>
  <c r="AE28" i="11"/>
  <c r="AN28" i="11"/>
  <c r="AM222" i="62905"/>
  <c r="AI221" i="62905"/>
  <c r="AE220" i="62905"/>
  <c r="AE216" i="62905"/>
  <c r="I215" i="62905"/>
  <c r="P215" i="62905" s="1"/>
  <c r="AE205" i="62905"/>
  <c r="AY203" i="62905"/>
  <c r="AI222" i="62905"/>
  <c r="AE221" i="62905"/>
  <c r="I220" i="62905"/>
  <c r="P220" i="62905" s="1"/>
  <c r="I216" i="62905"/>
  <c r="P216" i="62905" s="1"/>
  <c r="AQ203" i="62905"/>
  <c r="AI220" i="62905"/>
  <c r="AE222" i="62905"/>
  <c r="I221" i="62905"/>
  <c r="P221" i="62905" s="1"/>
  <c r="AY204" i="62905"/>
  <c r="AM203" i="62905"/>
  <c r="AQ215" i="62905"/>
  <c r="AM204" i="62905"/>
  <c r="AI216" i="62905"/>
  <c r="I222" i="62905"/>
  <c r="P222" i="62905" s="1"/>
  <c r="AY215" i="62905"/>
  <c r="AQ204" i="62905"/>
  <c r="AI203" i="62905"/>
  <c r="AY205" i="62905"/>
  <c r="I205" i="62905"/>
  <c r="P205" i="62905" s="1"/>
  <c r="AY220" i="62905"/>
  <c r="AY216" i="62905"/>
  <c r="AE203" i="62905"/>
  <c r="I204" i="62905"/>
  <c r="P204" i="62905" s="1"/>
  <c r="AY221" i="62905"/>
  <c r="AQ220" i="62905"/>
  <c r="AQ216" i="62905"/>
  <c r="AM215" i="62905"/>
  <c r="AQ205" i="62905"/>
  <c r="AI204" i="62905"/>
  <c r="AM221" i="62905"/>
  <c r="AI205" i="62905"/>
  <c r="I203" i="62905"/>
  <c r="P203" i="62905" s="1"/>
  <c r="AY222" i="62905"/>
  <c r="AQ221" i="62905"/>
  <c r="AM220" i="62905"/>
  <c r="AM216" i="62905"/>
  <c r="AI215" i="62905"/>
  <c r="AM205" i="62905"/>
  <c r="AE204" i="62905"/>
  <c r="AQ222" i="62905"/>
  <c r="AE215" i="62905"/>
  <c r="BE222" i="62905"/>
  <c r="BE221" i="62905"/>
  <c r="BE204" i="62905"/>
  <c r="BE205" i="62905"/>
  <c r="BE216" i="62905"/>
  <c r="BE220" i="62905"/>
  <c r="BE215" i="62905"/>
  <c r="BE203" i="62905"/>
  <c r="BA169" i="2"/>
  <c r="BA158" i="2"/>
  <c r="BA171" i="2"/>
  <c r="X171" i="2" s="1"/>
  <c r="Q171" i="2" s="1"/>
  <c r="AU139" i="2"/>
  <c r="AU141" i="2" s="1"/>
  <c r="AU148" i="2"/>
  <c r="AU150" i="2" s="1"/>
  <c r="AM148" i="2"/>
  <c r="AE186" i="62905"/>
  <c r="I217" i="62905"/>
  <c r="P217" i="62905" s="1"/>
  <c r="AM224" i="62905"/>
  <c r="AY217" i="62905"/>
  <c r="AI186" i="62905"/>
  <c r="BE186" i="62905"/>
  <c r="AA148" i="2"/>
  <c r="BA170" i="2"/>
  <c r="X170" i="2" s="1"/>
  <c r="Q170" i="2" s="1"/>
  <c r="BA139" i="2"/>
  <c r="AM129" i="2"/>
  <c r="AM139" i="2"/>
  <c r="AI139" i="2"/>
  <c r="AY223" i="62905"/>
  <c r="AY207" i="62905"/>
  <c r="AI223" i="62905"/>
  <c r="AI207" i="62905"/>
  <c r="AE224" i="62905"/>
  <c r="BE217" i="62905"/>
  <c r="G139" i="2"/>
  <c r="G148" i="2"/>
  <c r="AA130" i="2"/>
  <c r="AA128" i="2"/>
  <c r="BA129" i="2"/>
  <c r="BA130" i="2"/>
  <c r="AE217" i="62905"/>
  <c r="AQ206" i="62905"/>
  <c r="AM207" i="62905"/>
  <c r="AE206" i="62905"/>
  <c r="I223" i="62905"/>
  <c r="P223" i="62905" s="1"/>
  <c r="BE185" i="62905"/>
  <c r="BA148" i="2"/>
  <c r="AM206" i="62905"/>
  <c r="AI130" i="2"/>
  <c r="AE130" i="2"/>
  <c r="AE128" i="2"/>
  <c r="BA167" i="2"/>
  <c r="AI129" i="2"/>
  <c r="AE129" i="2"/>
  <c r="AY206" i="62905"/>
  <c r="AM185" i="62905"/>
  <c r="AI206" i="62905"/>
  <c r="AQ186" i="62905"/>
  <c r="AQ217" i="62905"/>
  <c r="BE224" i="62905"/>
  <c r="BA163" i="2"/>
  <c r="X163" i="2" s="1"/>
  <c r="Q163" i="2" s="1"/>
  <c r="AM217" i="62905"/>
  <c r="AM128" i="2"/>
  <c r="AI128" i="2"/>
  <c r="AE139" i="2"/>
  <c r="G128" i="2"/>
  <c r="G129" i="2"/>
  <c r="G130" i="2"/>
  <c r="AY185" i="62905"/>
  <c r="AQ224" i="62905"/>
  <c r="AY186" i="62905"/>
  <c r="AE185" i="62905"/>
  <c r="AE207" i="62905"/>
  <c r="BE223" i="62905"/>
  <c r="AI217" i="62905"/>
  <c r="BA128" i="2"/>
  <c r="AI148" i="2"/>
  <c r="AM130" i="2"/>
  <c r="AA139" i="2"/>
  <c r="AA129" i="2"/>
  <c r="BE207" i="62905"/>
  <c r="AQ185" i="62905"/>
  <c r="AM223" i="62905"/>
  <c r="AI185" i="62905"/>
  <c r="I186" i="62905"/>
  <c r="P186" i="62905" s="1"/>
  <c r="AU128" i="2"/>
  <c r="AU132" i="2" s="1"/>
  <c r="BA164" i="2"/>
  <c r="AE223" i="62905"/>
  <c r="AE148" i="2"/>
  <c r="BA168" i="2"/>
  <c r="X168" i="2" s="1"/>
  <c r="Q168" i="2" s="1"/>
  <c r="BA162" i="2"/>
  <c r="I207" i="62905"/>
  <c r="P207" i="62905" s="1"/>
  <c r="I206" i="62905"/>
  <c r="P206" i="62905" s="1"/>
  <c r="BE206" i="62905"/>
  <c r="AY224" i="62905"/>
  <c r="AQ207" i="62905"/>
  <c r="AI224" i="62905"/>
  <c r="I224" i="62905"/>
  <c r="P224" i="62905" s="1"/>
  <c r="AM186" i="62905"/>
  <c r="BA159" i="2"/>
  <c r="AQ223" i="62905"/>
  <c r="I185" i="62905"/>
  <c r="P185" i="62905" s="1"/>
  <c r="AM194" i="62905"/>
  <c r="AY195" i="62905"/>
  <c r="AE195" i="62905"/>
  <c r="AI194" i="62905"/>
  <c r="AI195" i="62905"/>
  <c r="AE194" i="62905"/>
  <c r="AQ195" i="62905"/>
  <c r="I195" i="62905"/>
  <c r="P195" i="62905" s="1"/>
  <c r="AM195" i="62905"/>
  <c r="BE195" i="62905"/>
  <c r="I194" i="62905"/>
  <c r="P194" i="62905" s="1"/>
  <c r="AY194" i="62905"/>
  <c r="AQ194" i="62905"/>
  <c r="BE194" i="62905"/>
  <c r="AQ229" i="62905"/>
  <c r="AM228" i="62905"/>
  <c r="AM229" i="62905"/>
  <c r="AI228" i="62905"/>
  <c r="AQ228" i="62905"/>
  <c r="AI229" i="62905"/>
  <c r="AE228" i="62905"/>
  <c r="AE229" i="62905"/>
  <c r="I228" i="62905"/>
  <c r="P228" i="62905" s="1"/>
  <c r="AY228" i="62905"/>
  <c r="I229" i="62905"/>
  <c r="P229" i="62905" s="1"/>
  <c r="AY229" i="62905"/>
  <c r="BE228" i="62905"/>
  <c r="BE229" i="62905"/>
  <c r="AI231" i="62905"/>
  <c r="AY230" i="62905"/>
  <c r="I227" i="62905"/>
  <c r="P227" i="62905" s="1"/>
  <c r="AI227" i="62905"/>
  <c r="AY231" i="62905"/>
  <c r="AQ227" i="62905"/>
  <c r="AM230" i="62905"/>
  <c r="AY227" i="62905"/>
  <c r="AM231" i="62905"/>
  <c r="AI230" i="62905"/>
  <c r="AE230" i="62905"/>
  <c r="AM227" i="62905"/>
  <c r="AE231" i="62905"/>
  <c r="AQ230" i="62905"/>
  <c r="I230" i="62905"/>
  <c r="P230" i="62905" s="1"/>
  <c r="AE227" i="62905"/>
  <c r="AQ231" i="62905"/>
  <c r="I231" i="62905"/>
  <c r="P231" i="62905" s="1"/>
  <c r="BE230" i="62905"/>
  <c r="BE119" i="62905"/>
  <c r="BE118" i="62905"/>
  <c r="BE86" i="62905"/>
  <c r="BE78" i="62905"/>
  <c r="BE110" i="62905"/>
  <c r="BE77" i="62905"/>
  <c r="BE109" i="62905"/>
  <c r="BE75" i="62905"/>
  <c r="BE103" i="62905"/>
  <c r="BE74" i="62905"/>
  <c r="AQ107" i="62905"/>
  <c r="AM109" i="62905"/>
  <c r="AI103" i="62905"/>
  <c r="AQ88" i="62905"/>
  <c r="AM86" i="62905"/>
  <c r="AE89" i="62905"/>
  <c r="AM88" i="62905"/>
  <c r="AY106" i="62905"/>
  <c r="AQ108" i="62905"/>
  <c r="AM110" i="62905"/>
  <c r="AE106" i="62905"/>
  <c r="AQ89" i="62905"/>
  <c r="AI87" i="62905"/>
  <c r="AE90" i="62905"/>
  <c r="AE110" i="62905"/>
  <c r="AI86" i="62905"/>
  <c r="AY107" i="62905"/>
  <c r="AQ109" i="62905"/>
  <c r="AM103" i="62905"/>
  <c r="AE107" i="62905"/>
  <c r="AQ90" i="62905"/>
  <c r="AI88" i="62905"/>
  <c r="AE86" i="62905"/>
  <c r="AI108" i="62905"/>
  <c r="AI110" i="62905"/>
  <c r="AY108" i="62905"/>
  <c r="AQ110" i="62905"/>
  <c r="AI106" i="62905"/>
  <c r="AE108" i="62905"/>
  <c r="AQ86" i="62905"/>
  <c r="AI89" i="62905"/>
  <c r="AM106" i="62905"/>
  <c r="AM90" i="62905"/>
  <c r="AY109" i="62905"/>
  <c r="AQ103" i="62905"/>
  <c r="AI107" i="62905"/>
  <c r="AE109" i="62905"/>
  <c r="AM87" i="62905"/>
  <c r="AI90" i="62905"/>
  <c r="AY110" i="62905"/>
  <c r="AQ87" i="62905"/>
  <c r="AY103" i="62905"/>
  <c r="AM107" i="62905"/>
  <c r="AI109" i="62905"/>
  <c r="AE103" i="62905"/>
  <c r="AM89" i="62905"/>
  <c r="AE87" i="62905"/>
  <c r="AQ106" i="62905"/>
  <c r="AM108" i="62905"/>
  <c r="AE88" i="62905"/>
  <c r="BE125" i="62905"/>
  <c r="AQ118" i="62905"/>
  <c r="AI118" i="62905"/>
  <c r="AY119" i="62905"/>
  <c r="AM119" i="62905"/>
  <c r="AE119" i="62905"/>
  <c r="AI121" i="62905"/>
  <c r="AY120" i="62905"/>
  <c r="AM120" i="62905"/>
  <c r="AE120" i="62905"/>
  <c r="AQ121" i="62905"/>
  <c r="AY121" i="62905"/>
  <c r="AM121" i="62905"/>
  <c r="AE121" i="62905"/>
  <c r="AY118" i="62905"/>
  <c r="AM118" i="62905"/>
  <c r="AE118" i="62905"/>
  <c r="AQ119" i="62905"/>
  <c r="AI119" i="62905"/>
  <c r="AQ120" i="62905"/>
  <c r="AI120" i="62905"/>
  <c r="BE121" i="62905"/>
  <c r="BE120" i="62905"/>
  <c r="AY124" i="62905"/>
  <c r="AE124" i="62905"/>
  <c r="AY111" i="62905"/>
  <c r="AY95" i="62905"/>
  <c r="AQ95" i="62905"/>
  <c r="AM95" i="62905"/>
  <c r="AI95" i="62905"/>
  <c r="AE95" i="62905"/>
  <c r="AY125" i="62905"/>
  <c r="AE125" i="62905"/>
  <c r="AY86" i="62905"/>
  <c r="AQ94" i="62905"/>
  <c r="AI124" i="62905"/>
  <c r="AY87" i="62905"/>
  <c r="AQ125" i="62905"/>
  <c r="AM94" i="62905"/>
  <c r="AI125" i="62905"/>
  <c r="AY88" i="62905"/>
  <c r="AI94" i="62905"/>
  <c r="AM124" i="62905"/>
  <c r="AY89" i="62905"/>
  <c r="AY90" i="62905"/>
  <c r="AE94" i="62905"/>
  <c r="AM125" i="62905"/>
  <c r="AQ124" i="62905"/>
  <c r="AY93" i="62905"/>
  <c r="AQ93" i="62905"/>
  <c r="AM93" i="62905"/>
  <c r="AI93" i="62905"/>
  <c r="AE93" i="62905"/>
  <c r="AY94" i="62905"/>
  <c r="BE124" i="62905"/>
  <c r="I119" i="62905"/>
  <c r="P119" i="62905" s="1"/>
  <c r="BE107" i="62905"/>
  <c r="BE108" i="62905"/>
  <c r="I120" i="62905"/>
  <c r="P120" i="62905" s="1"/>
  <c r="I125" i="62905"/>
  <c r="P125" i="62905" s="1"/>
  <c r="BE106" i="62905"/>
  <c r="I118" i="62905"/>
  <c r="P118" i="62905" s="1"/>
  <c r="AC118" i="62905" s="1"/>
  <c r="I124" i="62905"/>
  <c r="P124" i="62905" s="1"/>
  <c r="I121" i="62905"/>
  <c r="P121" i="62905" s="1"/>
  <c r="BE95" i="62905"/>
  <c r="I93" i="62905"/>
  <c r="I94" i="62905"/>
  <c r="I89" i="62905"/>
  <c r="I106" i="62905"/>
  <c r="P106" i="62905" s="1"/>
  <c r="I95" i="62905"/>
  <c r="N95" i="62905" s="1"/>
  <c r="I107" i="62905"/>
  <c r="P107" i="62905" s="1"/>
  <c r="I86" i="62905"/>
  <c r="N86" i="62905" s="1"/>
  <c r="I108" i="62905"/>
  <c r="P108" i="62905" s="1"/>
  <c r="I87" i="62905"/>
  <c r="I103" i="62905"/>
  <c r="P103" i="62905" s="1"/>
  <c r="I109" i="62905"/>
  <c r="P109" i="62905" s="1"/>
  <c r="I88" i="62905"/>
  <c r="I90" i="62905"/>
  <c r="I110" i="62905"/>
  <c r="P110" i="62905" s="1"/>
  <c r="BE89" i="62905"/>
  <c r="BE93" i="62905"/>
  <c r="BE94" i="62905"/>
  <c r="BE88" i="62905"/>
  <c r="BE87" i="62905"/>
  <c r="BE90" i="62905"/>
  <c r="AY55" i="62905"/>
  <c r="AY65" i="62905"/>
  <c r="AY77" i="62905"/>
  <c r="AQ57" i="62905"/>
  <c r="AQ69" i="62905"/>
  <c r="AQ49" i="62905"/>
  <c r="AM61" i="62905"/>
  <c r="AM71" i="62905"/>
  <c r="AI51" i="62905"/>
  <c r="AI63" i="62905"/>
  <c r="AI75" i="62905"/>
  <c r="AE55" i="62905"/>
  <c r="AE65" i="62905"/>
  <c r="AE77" i="62905"/>
  <c r="I57" i="62905"/>
  <c r="I69" i="62905"/>
  <c r="AI76" i="62905"/>
  <c r="AE56" i="62905"/>
  <c r="AE68" i="62905"/>
  <c r="AE78" i="62905"/>
  <c r="I58" i="62905"/>
  <c r="AY56" i="62905"/>
  <c r="AY68" i="62905"/>
  <c r="AY78" i="62905"/>
  <c r="AQ58" i="62905"/>
  <c r="AQ70" i="62905"/>
  <c r="AM50" i="62905"/>
  <c r="AM62" i="62905"/>
  <c r="AM74" i="62905"/>
  <c r="AI54" i="62905"/>
  <c r="AI64" i="62905"/>
  <c r="I70" i="62905"/>
  <c r="AY57" i="62905"/>
  <c r="AY69" i="62905"/>
  <c r="AY49" i="62905"/>
  <c r="AQ61" i="62905"/>
  <c r="AQ71" i="62905"/>
  <c r="AM51" i="62905"/>
  <c r="AM63" i="62905"/>
  <c r="AM75" i="62905"/>
  <c r="AI55" i="62905"/>
  <c r="AI65" i="62905"/>
  <c r="AI77" i="62905"/>
  <c r="AE57" i="62905"/>
  <c r="AE69" i="62905"/>
  <c r="AE49" i="62905"/>
  <c r="I61" i="62905"/>
  <c r="I71" i="62905"/>
  <c r="AQ78" i="62905"/>
  <c r="AI50" i="62905"/>
  <c r="AE76" i="62905"/>
  <c r="AY58" i="62905"/>
  <c r="AY70" i="62905"/>
  <c r="AQ50" i="62905"/>
  <c r="AQ62" i="62905"/>
  <c r="AQ74" i="62905"/>
  <c r="AM54" i="62905"/>
  <c r="AM64" i="62905"/>
  <c r="AM76" i="62905"/>
  <c r="AI56" i="62905"/>
  <c r="AI68" i="62905"/>
  <c r="AI78" i="62905"/>
  <c r="AE58" i="62905"/>
  <c r="AE70" i="62905"/>
  <c r="I50" i="62905"/>
  <c r="I62" i="62905"/>
  <c r="I74" i="62905"/>
  <c r="I49" i="62905"/>
  <c r="AQ56" i="62905"/>
  <c r="AE64" i="62905"/>
  <c r="AY61" i="62905"/>
  <c r="AY71" i="62905"/>
  <c r="AQ51" i="62905"/>
  <c r="AQ63" i="62905"/>
  <c r="AQ75" i="62905"/>
  <c r="AM55" i="62905"/>
  <c r="AM65" i="62905"/>
  <c r="AM77" i="62905"/>
  <c r="AI57" i="62905"/>
  <c r="AI69" i="62905"/>
  <c r="AI49" i="62905"/>
  <c r="AE61" i="62905"/>
  <c r="AE71" i="62905"/>
  <c r="I51" i="62905"/>
  <c r="I63" i="62905"/>
  <c r="I75" i="62905"/>
  <c r="AY76" i="62905"/>
  <c r="AM58" i="62905"/>
  <c r="AI74" i="62905"/>
  <c r="I78" i="62905"/>
  <c r="AY50" i="62905"/>
  <c r="AY62" i="62905"/>
  <c r="AY74" i="62905"/>
  <c r="AQ54" i="62905"/>
  <c r="AQ64" i="62905"/>
  <c r="AQ76" i="62905"/>
  <c r="AM56" i="62905"/>
  <c r="AM68" i="62905"/>
  <c r="AM78" i="62905"/>
  <c r="AI58" i="62905"/>
  <c r="AI70" i="62905"/>
  <c r="AE50" i="62905"/>
  <c r="AE62" i="62905"/>
  <c r="AE74" i="62905"/>
  <c r="I54" i="62905"/>
  <c r="I64" i="62905"/>
  <c r="I76" i="62905"/>
  <c r="AY64" i="62905"/>
  <c r="AM70" i="62905"/>
  <c r="AE54" i="62905"/>
  <c r="I68" i="62905"/>
  <c r="AY51" i="62905"/>
  <c r="AY63" i="62905"/>
  <c r="AY75" i="62905"/>
  <c r="AQ55" i="62905"/>
  <c r="AQ65" i="62905"/>
  <c r="AQ77" i="62905"/>
  <c r="AM57" i="62905"/>
  <c r="AM69" i="62905"/>
  <c r="AM49" i="62905"/>
  <c r="AI61" i="62905"/>
  <c r="AI71" i="62905"/>
  <c r="AE51" i="62905"/>
  <c r="AE63" i="62905"/>
  <c r="AE75" i="62905"/>
  <c r="I55" i="62905"/>
  <c r="I65" i="62905"/>
  <c r="I77" i="62905"/>
  <c r="AY54" i="62905"/>
  <c r="AQ68" i="62905"/>
  <c r="AI62" i="62905"/>
  <c r="I56" i="62905"/>
  <c r="BE56" i="62905"/>
  <c r="BE61" i="62905"/>
  <c r="BE65" i="62905"/>
  <c r="BE69" i="62905"/>
  <c r="BE49" i="62905"/>
  <c r="BE76" i="62905"/>
  <c r="BE68" i="62905"/>
  <c r="BE57" i="62905"/>
  <c r="BE62" i="62905"/>
  <c r="BE51" i="62905"/>
  <c r="BE70" i="62905"/>
  <c r="BE55" i="62905"/>
  <c r="BE58" i="62905"/>
  <c r="BE63" i="62905"/>
  <c r="BE71" i="62905"/>
  <c r="BE50" i="62905"/>
  <c r="BE54" i="62905"/>
  <c r="BE64" i="62905"/>
  <c r="H283" i="7"/>
  <c r="H284" i="62928"/>
  <c r="H283" i="62928"/>
  <c r="H284" i="7"/>
  <c r="H288" i="62928"/>
  <c r="H288" i="7"/>
  <c r="E1207" i="62919"/>
  <c r="G953" i="62919"/>
  <c r="H259" i="62928"/>
  <c r="H258" i="62928"/>
  <c r="H257" i="62928"/>
  <c r="BL441" i="5"/>
  <c r="BL74" i="5"/>
  <c r="BL443" i="5"/>
  <c r="BL76" i="5"/>
  <c r="BL442" i="5"/>
  <c r="BL75" i="5"/>
  <c r="AH442" i="5"/>
  <c r="AL443" i="5"/>
  <c r="AO442" i="5"/>
  <c r="AQ442" i="5"/>
  <c r="BE442" i="5"/>
  <c r="BE258" i="5"/>
  <c r="AU259" i="5"/>
  <c r="AO260" i="5"/>
  <c r="AL259" i="5"/>
  <c r="AJ258" i="5"/>
  <c r="K260" i="5"/>
  <c r="O260" i="5" s="1"/>
  <c r="BA260" i="5" s="1"/>
  <c r="BC76" i="5"/>
  <c r="AS443" i="5"/>
  <c r="AS259" i="5"/>
  <c r="AK260" i="5"/>
  <c r="AW258" i="5"/>
  <c r="BC75" i="5"/>
  <c r="AH443" i="5"/>
  <c r="AL441" i="5"/>
  <c r="AO443" i="5"/>
  <c r="AQ443" i="5"/>
  <c r="BE443" i="5"/>
  <c r="BC259" i="5"/>
  <c r="AU260" i="5"/>
  <c r="AQ259" i="5"/>
  <c r="AO258" i="5"/>
  <c r="AL260" i="5"/>
  <c r="AI259" i="5"/>
  <c r="K259" i="5"/>
  <c r="O259" i="5" s="1"/>
  <c r="BA259" i="5" s="1"/>
  <c r="BB75" i="5"/>
  <c r="K443" i="5"/>
  <c r="O443" i="5" s="1"/>
  <c r="BA443" i="5" s="1"/>
  <c r="AN258" i="5"/>
  <c r="AP258" i="5"/>
  <c r="AM258" i="5"/>
  <c r="AI442" i="5"/>
  <c r="AM442" i="5"/>
  <c r="AO441" i="5"/>
  <c r="AP442" i="5"/>
  <c r="BE441" i="5"/>
  <c r="BC260" i="5"/>
  <c r="AT259" i="5"/>
  <c r="AQ260" i="5"/>
  <c r="AL258" i="5"/>
  <c r="AI260" i="5"/>
  <c r="K258" i="5"/>
  <c r="O258" i="5" s="1"/>
  <c r="BA258" i="5" s="1"/>
  <c r="BB76" i="5"/>
  <c r="AP441" i="5"/>
  <c r="AP259" i="5"/>
  <c r="AH259" i="5"/>
  <c r="AH258" i="5"/>
  <c r="BE260" i="5"/>
  <c r="AI443" i="5"/>
  <c r="AM443" i="5"/>
  <c r="AS442" i="5"/>
  <c r="AP443" i="5"/>
  <c r="K442" i="5"/>
  <c r="BB259" i="5"/>
  <c r="AT260" i="5"/>
  <c r="AQ258" i="5"/>
  <c r="AK259" i="5"/>
  <c r="AI258" i="5"/>
  <c r="BE75" i="5"/>
  <c r="AM441" i="5"/>
  <c r="BB260" i="5"/>
  <c r="BE76" i="5"/>
  <c r="AL442" i="5"/>
  <c r="AS441" i="5"/>
  <c r="AW442" i="5"/>
  <c r="K441" i="5"/>
  <c r="AW259" i="5"/>
  <c r="AS260" i="5"/>
  <c r="AP260" i="5"/>
  <c r="AM259" i="5"/>
  <c r="AK258" i="5"/>
  <c r="AH260" i="5"/>
  <c r="AK441" i="5"/>
  <c r="AW443" i="5"/>
  <c r="AS258" i="5"/>
  <c r="AN441" i="5"/>
  <c r="AO259" i="5"/>
  <c r="BE259" i="5"/>
  <c r="AW260" i="5"/>
  <c r="AM260" i="5"/>
  <c r="AW441" i="5"/>
  <c r="AU75" i="5"/>
  <c r="AK74" i="5"/>
  <c r="AU76" i="5"/>
  <c r="AQ75" i="5"/>
  <c r="AT75" i="5"/>
  <c r="AQ76" i="5"/>
  <c r="AM75" i="5"/>
  <c r="AT76" i="5"/>
  <c r="AP75" i="5"/>
  <c r="AM76" i="5"/>
  <c r="AW75" i="5"/>
  <c r="AS75" i="5"/>
  <c r="AP76" i="5"/>
  <c r="AL75" i="5"/>
  <c r="AW74" i="5"/>
  <c r="AW76" i="5"/>
  <c r="AS76" i="5"/>
  <c r="AO75" i="5"/>
  <c r="AL76" i="5"/>
  <c r="BE74" i="5"/>
  <c r="AS74" i="5"/>
  <c r="AO76" i="5"/>
  <c r="AK75" i="5"/>
  <c r="AO74" i="5"/>
  <c r="AK76" i="5"/>
  <c r="BJ260" i="5"/>
  <c r="BL260" i="5"/>
  <c r="BI260" i="5"/>
  <c r="BJ259" i="5"/>
  <c r="BI259" i="5"/>
  <c r="BL259" i="5"/>
  <c r="BL258" i="5"/>
  <c r="BK258" i="5"/>
  <c r="K75" i="5"/>
  <c r="K76" i="5"/>
  <c r="K74" i="5"/>
  <c r="O74" i="5" s="1"/>
  <c r="J428" i="62898"/>
  <c r="H239" i="62898"/>
  <c r="I429" i="62898"/>
  <c r="I430" i="62898"/>
  <c r="I428" i="62898"/>
  <c r="J430" i="62898"/>
  <c r="H429" i="62898"/>
  <c r="J240" i="62898"/>
  <c r="J241" i="62898"/>
  <c r="H430" i="62898"/>
  <c r="J239" i="62898"/>
  <c r="I239" i="62898"/>
  <c r="J429" i="62898"/>
  <c r="H428" i="62898"/>
  <c r="BJ428" i="62898"/>
  <c r="BJ430" i="62898"/>
  <c r="BI428" i="62898"/>
  <c r="BK428" i="62898"/>
  <c r="BI430" i="62898"/>
  <c r="BI429" i="62898"/>
  <c r="BK429" i="62898"/>
  <c r="BJ429" i="62898"/>
  <c r="BK430" i="62898"/>
  <c r="H107" i="62898"/>
  <c r="J106" i="62898"/>
  <c r="H105" i="62898"/>
  <c r="J107" i="62898"/>
  <c r="J105" i="62898"/>
  <c r="I106" i="62898"/>
  <c r="I107" i="62898"/>
  <c r="I105" i="62898"/>
  <c r="H106" i="62898"/>
  <c r="BJ105" i="62898"/>
  <c r="BK107" i="62898"/>
  <c r="BI105" i="62898"/>
  <c r="BK105" i="62898"/>
  <c r="BJ106" i="62898"/>
  <c r="BI106" i="62898"/>
  <c r="BK106" i="62898"/>
  <c r="BJ107" i="62898"/>
  <c r="BI107" i="62898"/>
  <c r="H150" i="62928"/>
  <c r="H149" i="62928"/>
  <c r="H152" i="62928"/>
  <c r="H148" i="62928"/>
  <c r="H151" i="62928"/>
  <c r="E2281" i="62917"/>
  <c r="G1396" i="62919"/>
  <c r="H151" i="7"/>
  <c r="H150" i="7"/>
  <c r="H148" i="7"/>
  <c r="H149" i="7"/>
  <c r="H152" i="7"/>
  <c r="D414" i="62921"/>
  <c r="E415" i="62921"/>
  <c r="G190" i="62925"/>
  <c r="BA88" i="62925"/>
  <c r="I87" i="62925"/>
  <c r="T87" i="62925" s="1"/>
  <c r="AW88" i="62925"/>
  <c r="H87" i="62925"/>
  <c r="G87" i="62925"/>
  <c r="I88" i="62925"/>
  <c r="T88" i="62925" s="1"/>
  <c r="AW86" i="62925"/>
  <c r="G86" i="62925"/>
  <c r="K86" i="62925" s="1"/>
  <c r="H88" i="62925"/>
  <c r="G88" i="62925"/>
  <c r="I86" i="62925"/>
  <c r="T86" i="62925" s="1"/>
  <c r="AW87" i="62925"/>
  <c r="H86" i="62925"/>
  <c r="BA86" i="62925"/>
  <c r="BA87" i="62925"/>
  <c r="G190" i="62926"/>
  <c r="BA88" i="62926"/>
  <c r="I87" i="62926"/>
  <c r="T87" i="62926" s="1"/>
  <c r="AW88" i="62926"/>
  <c r="H87" i="62926"/>
  <c r="G87" i="62926"/>
  <c r="I88" i="62926"/>
  <c r="T88" i="62926" s="1"/>
  <c r="H88" i="62926"/>
  <c r="I86" i="62926"/>
  <c r="T86" i="62926" s="1"/>
  <c r="G88" i="62926"/>
  <c r="H86" i="62926"/>
  <c r="AW87" i="62926"/>
  <c r="G86" i="62926"/>
  <c r="J86" i="62926" s="1"/>
  <c r="BA87" i="62926"/>
  <c r="AW86" i="62926"/>
  <c r="BA86" i="62926"/>
  <c r="D1616" i="62917"/>
  <c r="E1617" i="62917"/>
  <c r="E1618" i="62917" s="1"/>
  <c r="D54" i="62911"/>
  <c r="G43" i="62911"/>
  <c r="I43" i="62911" s="1"/>
  <c r="D43" i="62911"/>
  <c r="L51" i="62911"/>
  <c r="G65" i="62911"/>
  <c r="I65" i="62911" s="1"/>
  <c r="E13" i="62917"/>
  <c r="D13" i="62917" s="1"/>
  <c r="C13" i="62917" s="1"/>
  <c r="AV62" i="2"/>
  <c r="AF61" i="2"/>
  <c r="J62" i="2"/>
  <c r="AJ62" i="2"/>
  <c r="AV60" i="2"/>
  <c r="AF62" i="2"/>
  <c r="AJ60" i="2"/>
  <c r="AN61" i="2"/>
  <c r="AF60" i="2"/>
  <c r="AV61" i="2"/>
  <c r="AN62" i="2"/>
  <c r="AB61" i="2"/>
  <c r="J60" i="2"/>
  <c r="AN60" i="2"/>
  <c r="AB62" i="2"/>
  <c r="AJ61" i="2"/>
  <c r="AB60" i="2"/>
  <c r="J61" i="2"/>
  <c r="BA60" i="2"/>
  <c r="BA61" i="2"/>
  <c r="BA62" i="2"/>
  <c r="AM169" i="2"/>
  <c r="AE168" i="2"/>
  <c r="AM159" i="2"/>
  <c r="AE158" i="2"/>
  <c r="AI157" i="2"/>
  <c r="AI169" i="2"/>
  <c r="AA168" i="2"/>
  <c r="AI159" i="2"/>
  <c r="AA158" i="2"/>
  <c r="AE157" i="2"/>
  <c r="AE171" i="2"/>
  <c r="AE169" i="2"/>
  <c r="AM163" i="2"/>
  <c r="AU162" i="2"/>
  <c r="AE159" i="2"/>
  <c r="AA157" i="2"/>
  <c r="AA171" i="2"/>
  <c r="G157" i="2"/>
  <c r="AA169" i="2"/>
  <c r="AI163" i="2"/>
  <c r="AM162" i="2"/>
  <c r="AA159" i="2"/>
  <c r="AI171" i="2"/>
  <c r="AM164" i="2"/>
  <c r="AE163" i="2"/>
  <c r="AI162" i="2"/>
  <c r="BA157" i="2"/>
  <c r="AA164" i="2"/>
  <c r="AM157" i="2"/>
  <c r="AI164" i="2"/>
  <c r="AA163" i="2"/>
  <c r="AE162" i="2"/>
  <c r="AI168" i="2"/>
  <c r="AI158" i="2"/>
  <c r="AM171" i="2"/>
  <c r="AM168" i="2"/>
  <c r="AE164" i="2"/>
  <c r="AA162" i="2"/>
  <c r="AM158" i="2"/>
  <c r="AU157" i="2"/>
  <c r="G167" i="2"/>
  <c r="G162" i="2"/>
  <c r="AE170" i="2"/>
  <c r="AI170" i="2"/>
  <c r="AA170" i="2"/>
  <c r="AM170" i="2"/>
  <c r="AE167" i="2"/>
  <c r="BA44" i="2"/>
  <c r="BA43" i="2"/>
  <c r="BA42" i="2"/>
  <c r="BA92" i="2"/>
  <c r="BA86" i="2"/>
  <c r="BA85" i="2"/>
  <c r="AN86" i="2"/>
  <c r="AF86" i="2"/>
  <c r="J86" i="2"/>
  <c r="O86" i="2" s="1"/>
  <c r="AJ87" i="2"/>
  <c r="AN87" i="2"/>
  <c r="AF87" i="2"/>
  <c r="J87" i="2"/>
  <c r="AV87" i="2"/>
  <c r="AN88" i="2"/>
  <c r="AF88" i="2"/>
  <c r="J88" i="2"/>
  <c r="AN85" i="2"/>
  <c r="AF85" i="2"/>
  <c r="J85" i="2"/>
  <c r="O85" i="2" s="1"/>
  <c r="AV86" i="2"/>
  <c r="AJ86" i="2"/>
  <c r="AB86" i="2"/>
  <c r="AV88" i="2"/>
  <c r="AJ88" i="2"/>
  <c r="AB88" i="2"/>
  <c r="AV85" i="2"/>
  <c r="AJ85" i="2"/>
  <c r="AB85" i="2"/>
  <c r="AB87" i="2"/>
  <c r="BA87" i="2"/>
  <c r="BA88" i="2"/>
  <c r="AV92" i="2"/>
  <c r="AB92" i="2"/>
  <c r="AF91" i="2"/>
  <c r="AF92" i="2"/>
  <c r="J92" i="2"/>
  <c r="O92" i="2" s="1"/>
  <c r="AJ91" i="2"/>
  <c r="AJ92" i="2"/>
  <c r="AN91" i="2"/>
  <c r="J91" i="2"/>
  <c r="AN92" i="2"/>
  <c r="AV91" i="2"/>
  <c r="AB91" i="2"/>
  <c r="BA91" i="2"/>
  <c r="AN70" i="2"/>
  <c r="AJ70" i="2"/>
  <c r="AF70" i="2"/>
  <c r="AB70" i="2"/>
  <c r="AV70" i="2"/>
  <c r="AV74" i="2"/>
  <c r="AN77" i="2"/>
  <c r="AF75" i="2"/>
  <c r="AN75" i="2"/>
  <c r="AF73" i="2"/>
  <c r="AB77" i="2"/>
  <c r="AJ77" i="2"/>
  <c r="AB75" i="2"/>
  <c r="AN73" i="2"/>
  <c r="AB73" i="2"/>
  <c r="AB76" i="2"/>
  <c r="AJ75" i="2"/>
  <c r="AJ76" i="2"/>
  <c r="AF76" i="2"/>
  <c r="AV77" i="2"/>
  <c r="AF77" i="2"/>
  <c r="AV75" i="2"/>
  <c r="AF74" i="2"/>
  <c r="AB74" i="2"/>
  <c r="AN76" i="2"/>
  <c r="AJ74" i="2"/>
  <c r="AV73" i="2"/>
  <c r="AV76" i="2"/>
  <c r="AJ73" i="2"/>
  <c r="AN74" i="2"/>
  <c r="BA74" i="2"/>
  <c r="BA76" i="2"/>
  <c r="J70" i="2"/>
  <c r="BA70" i="2"/>
  <c r="J76" i="2"/>
  <c r="O76" i="2" s="1"/>
  <c r="BA77" i="2"/>
  <c r="J74" i="2"/>
  <c r="O74" i="2" s="1"/>
  <c r="D74" i="2" s="1"/>
  <c r="BA73" i="2"/>
  <c r="BA75" i="2"/>
  <c r="J75" i="2"/>
  <c r="O75" i="2" s="1"/>
  <c r="D75" i="2" s="1"/>
  <c r="AF54" i="2"/>
  <c r="J73" i="2"/>
  <c r="O73" i="2" s="1"/>
  <c r="J77" i="2"/>
  <c r="O77" i="2" s="1"/>
  <c r="J53" i="2"/>
  <c r="AV54" i="2"/>
  <c r="AF56" i="2"/>
  <c r="J56" i="2"/>
  <c r="BA55" i="2"/>
  <c r="AN54" i="2"/>
  <c r="J54" i="2"/>
  <c r="AB56" i="2"/>
  <c r="AJ56" i="2"/>
  <c r="AJ54" i="2"/>
  <c r="AN56" i="2"/>
  <c r="AV55" i="2"/>
  <c r="BA56" i="2"/>
  <c r="AN55" i="2"/>
  <c r="J55" i="2"/>
  <c r="AB54" i="2"/>
  <c r="AJ55" i="2"/>
  <c r="AV56" i="2"/>
  <c r="AF55" i="2"/>
  <c r="BA54" i="2"/>
  <c r="AB55" i="2"/>
  <c r="BA57" i="2"/>
  <c r="AJ57" i="2"/>
  <c r="J57" i="2"/>
  <c r="BA53" i="2"/>
  <c r="AJ53" i="2"/>
  <c r="AV57" i="2"/>
  <c r="AF57" i="2"/>
  <c r="AV53" i="2"/>
  <c r="AF53" i="2"/>
  <c r="AB57" i="2"/>
  <c r="AN53" i="2"/>
  <c r="AB53" i="2"/>
  <c r="AN57" i="2"/>
  <c r="AF35" i="2"/>
  <c r="J37" i="2"/>
  <c r="BA36" i="2"/>
  <c r="AB37" i="2"/>
  <c r="AB35" i="2"/>
  <c r="AF38" i="2"/>
  <c r="AJ38" i="2"/>
  <c r="BA37" i="2"/>
  <c r="AF36" i="2"/>
  <c r="AV35" i="2"/>
  <c r="AN37" i="2"/>
  <c r="BA38" i="2"/>
  <c r="AJ35" i="2"/>
  <c r="AJ36" i="2"/>
  <c r="AN38" i="2"/>
  <c r="AV36" i="2"/>
  <c r="AV37" i="2"/>
  <c r="J35" i="2"/>
  <c r="AB38" i="2"/>
  <c r="J38" i="2"/>
  <c r="J36" i="2"/>
  <c r="AN36" i="2"/>
  <c r="AJ37" i="2"/>
  <c r="AN35" i="2"/>
  <c r="AB36" i="2"/>
  <c r="AV38" i="2"/>
  <c r="AF37" i="2"/>
  <c r="BA35" i="2"/>
  <c r="BA32" i="2"/>
  <c r="AB31" i="2"/>
  <c r="AJ30" i="2"/>
  <c r="AV29" i="2"/>
  <c r="BA28" i="2"/>
  <c r="AB25" i="2"/>
  <c r="AF24" i="2"/>
  <c r="AN23" i="2"/>
  <c r="AV22" i="2"/>
  <c r="J21" i="2"/>
  <c r="AB17" i="2"/>
  <c r="AF16" i="2"/>
  <c r="AJ45" i="2"/>
  <c r="AV42" i="2"/>
  <c r="AF44" i="2"/>
  <c r="AN21" i="2"/>
  <c r="AB45" i="2"/>
  <c r="AB43" i="2"/>
  <c r="AV16" i="2"/>
  <c r="AF17" i="2"/>
  <c r="J32" i="2"/>
  <c r="AF30" i="2"/>
  <c r="AN29" i="2"/>
  <c r="J28" i="2"/>
  <c r="AB24" i="2"/>
  <c r="AJ23" i="2"/>
  <c r="AN22" i="2"/>
  <c r="AV21" i="2"/>
  <c r="J41" i="2"/>
  <c r="AB16" i="2"/>
  <c r="AF45" i="2"/>
  <c r="AN43" i="2"/>
  <c r="AF42" i="2"/>
  <c r="AF23" i="2"/>
  <c r="AJ22" i="2"/>
  <c r="AV41" i="2"/>
  <c r="J18" i="2"/>
  <c r="AN44" i="2"/>
  <c r="AJ18" i="2"/>
  <c r="J45" i="2"/>
  <c r="J43" i="2"/>
  <c r="O43" i="2" s="1"/>
  <c r="AV32" i="2"/>
  <c r="BA31" i="2"/>
  <c r="AB30" i="2"/>
  <c r="AJ29" i="2"/>
  <c r="AV28" i="2"/>
  <c r="BA25" i="2"/>
  <c r="AN17" i="2"/>
  <c r="AN45" i="2"/>
  <c r="AN32" i="2"/>
  <c r="J31" i="2"/>
  <c r="AF29" i="2"/>
  <c r="AN28" i="2"/>
  <c r="J25" i="2"/>
  <c r="AB23" i="2"/>
  <c r="AF22" i="2"/>
  <c r="AJ21" i="2"/>
  <c r="AN41" i="2"/>
  <c r="AV18" i="2"/>
  <c r="J17" i="2"/>
  <c r="AN42" i="2"/>
  <c r="AB44" i="2"/>
  <c r="AF28" i="2"/>
  <c r="AV24" i="2"/>
  <c r="AF41" i="2"/>
  <c r="AJ44" i="2"/>
  <c r="AV44" i="2"/>
  <c r="AJ32" i="2"/>
  <c r="AV31" i="2"/>
  <c r="BA30" i="2"/>
  <c r="AB29" i="2"/>
  <c r="AJ28" i="2"/>
  <c r="AV25" i="2"/>
  <c r="J24" i="2"/>
  <c r="AB22" i="2"/>
  <c r="AF21" i="2"/>
  <c r="AJ41" i="2"/>
  <c r="AN18" i="2"/>
  <c r="AV17" i="2"/>
  <c r="J16" i="2"/>
  <c r="AJ43" i="2"/>
  <c r="AB42" i="2"/>
  <c r="AF32" i="2"/>
  <c r="AN31" i="2"/>
  <c r="J30" i="2"/>
  <c r="AN25" i="2"/>
  <c r="BA23" i="2"/>
  <c r="AB21" i="2"/>
  <c r="AJ16" i="2"/>
  <c r="AB32" i="2"/>
  <c r="AJ31" i="2"/>
  <c r="AV30" i="2"/>
  <c r="BA29" i="2"/>
  <c r="AB28" i="2"/>
  <c r="AJ25" i="2"/>
  <c r="AN24" i="2"/>
  <c r="J23" i="2"/>
  <c r="AB41" i="2"/>
  <c r="AF18" i="2"/>
  <c r="AJ17" i="2"/>
  <c r="AN16" i="2"/>
  <c r="AV45" i="2"/>
  <c r="AV43" i="2"/>
  <c r="AJ42" i="2"/>
  <c r="J44" i="2"/>
  <c r="O44" i="2" s="1"/>
  <c r="AF31" i="2"/>
  <c r="AN30" i="2"/>
  <c r="J29" i="2"/>
  <c r="AJ24" i="2"/>
  <c r="AV23" i="2"/>
  <c r="AB18" i="2"/>
  <c r="AF43" i="2"/>
  <c r="AF25" i="2"/>
  <c r="J22" i="2"/>
  <c r="J42" i="2"/>
  <c r="O42" i="2" s="1"/>
  <c r="BA22" i="2"/>
  <c r="BA41" i="2"/>
  <c r="BA45" i="2"/>
  <c r="BA16" i="2"/>
  <c r="BA24" i="2"/>
  <c r="BA17" i="2"/>
  <c r="BA18" i="2"/>
  <c r="BA21" i="2"/>
  <c r="AM167" i="2"/>
  <c r="AI167" i="2"/>
  <c r="AU167" i="2"/>
  <c r="AA167" i="2"/>
  <c r="K129" i="62909"/>
  <c r="L129" i="62909" s="1"/>
  <c r="L128" i="62909" s="1"/>
  <c r="L222" i="62909" s="1"/>
  <c r="K175" i="62909"/>
  <c r="L175" i="62909" s="1"/>
  <c r="K13" i="62909"/>
  <c r="L13" i="62909" s="1"/>
  <c r="BE134" i="9"/>
  <c r="K47" i="62909"/>
  <c r="L47" i="62909" s="1"/>
  <c r="K121" i="62909"/>
  <c r="L121" i="62909" s="1"/>
  <c r="K119" i="62909"/>
  <c r="L119" i="62909" s="1"/>
  <c r="K82" i="62909"/>
  <c r="L82" i="62909" s="1"/>
  <c r="L81" i="62909" s="1"/>
  <c r="L221" i="62909" s="1"/>
  <c r="O98" i="62909"/>
  <c r="P98" i="62909" s="1"/>
  <c r="K153" i="62909"/>
  <c r="L153" i="62909" s="1"/>
  <c r="K187" i="62909"/>
  <c r="L187" i="62909" s="1"/>
  <c r="O149" i="62909"/>
  <c r="P149" i="62909" s="1"/>
  <c r="B104" i="62892"/>
  <c r="B141" i="62892" s="1"/>
  <c r="B16" i="62907" s="1"/>
  <c r="K90" i="62909"/>
  <c r="L90" i="62909" s="1"/>
  <c r="O102" i="62909"/>
  <c r="P102" i="62909" s="1"/>
  <c r="O38" i="62909"/>
  <c r="P38" i="62909" s="1"/>
  <c r="B6" i="62892"/>
  <c r="B131" i="62892" s="1"/>
  <c r="O23" i="62909"/>
  <c r="P23" i="62909" s="1"/>
  <c r="O164" i="62909"/>
  <c r="P164" i="62909" s="1"/>
  <c r="K23" i="62909"/>
  <c r="L23" i="62909" s="1"/>
  <c r="O61" i="62909"/>
  <c r="P61" i="62909" s="1"/>
  <c r="O183" i="62909"/>
  <c r="P183" i="62909" s="1"/>
  <c r="O153" i="62909"/>
  <c r="P153" i="62909" s="1"/>
  <c r="K193" i="62909"/>
  <c r="L193" i="62909" s="1"/>
  <c r="O28" i="62909"/>
  <c r="P28" i="62909" s="1"/>
  <c r="T71" i="62927"/>
  <c r="T81" i="3"/>
  <c r="E334" i="62921"/>
  <c r="R68" i="62927"/>
  <c r="H289" i="7"/>
  <c r="H289" i="62928"/>
  <c r="H287" i="62928"/>
  <c r="H287" i="7"/>
  <c r="J356" i="62928"/>
  <c r="C1195" i="62919"/>
  <c r="J441" i="5"/>
  <c r="N441" i="5" s="1"/>
  <c r="J258" i="5"/>
  <c r="N258" i="5" s="1"/>
  <c r="N201" i="62898"/>
  <c r="M201" i="62898"/>
  <c r="N387" i="62898"/>
  <c r="M387" i="62898"/>
  <c r="AI37" i="62926"/>
  <c r="AE37" i="62926"/>
  <c r="AL38" i="62926"/>
  <c r="AH38" i="62926"/>
  <c r="AL37" i="62926"/>
  <c r="AH37" i="62926"/>
  <c r="AK38" i="62926"/>
  <c r="AG38" i="62926"/>
  <c r="AE38" i="62926"/>
  <c r="AK37" i="62926"/>
  <c r="AG37" i="62926"/>
  <c r="AI38" i="62926"/>
  <c r="AJ38" i="62926"/>
  <c r="AF38" i="62926"/>
  <c r="AJ37" i="62926"/>
  <c r="AF37" i="62926"/>
  <c r="E319" i="62923"/>
  <c r="G404" i="62919"/>
  <c r="H271" i="62928"/>
  <c r="H270" i="62928"/>
  <c r="H272" i="62928"/>
  <c r="H273" i="62928"/>
  <c r="H271" i="7"/>
  <c r="H270" i="7"/>
  <c r="H273" i="7"/>
  <c r="H272" i="7"/>
  <c r="G13" i="62919"/>
  <c r="I63" i="9" s="1"/>
  <c r="H196" i="62928"/>
  <c r="H196" i="7"/>
  <c r="H197" i="62928"/>
  <c r="H199" i="7"/>
  <c r="H200" i="62928"/>
  <c r="H198" i="7"/>
  <c r="H197" i="7"/>
  <c r="H199" i="62928"/>
  <c r="H198" i="62928"/>
  <c r="F422" i="62928"/>
  <c r="D345" i="62919"/>
  <c r="E346" i="62919"/>
  <c r="E862" i="62919"/>
  <c r="E863" i="62919" s="1"/>
  <c r="E1701" i="62919"/>
  <c r="H92" i="62928"/>
  <c r="H93" i="62928"/>
  <c r="H94" i="62928"/>
  <c r="H91" i="62928"/>
  <c r="H95" i="62928"/>
  <c r="H100" i="62928"/>
  <c r="H99" i="62928"/>
  <c r="H98" i="62928"/>
  <c r="H102" i="62928"/>
  <c r="H101" i="62928"/>
  <c r="H101" i="62926"/>
  <c r="E935" i="62921"/>
  <c r="I718" i="5"/>
  <c r="K686" i="5"/>
  <c r="G217" i="62919"/>
  <c r="H99" i="7"/>
  <c r="H98" i="7"/>
  <c r="H101" i="7"/>
  <c r="H100" i="7"/>
  <c r="H91" i="7"/>
  <c r="H95" i="7"/>
  <c r="H92" i="7"/>
  <c r="H94" i="7"/>
  <c r="H93" i="7"/>
  <c r="H102" i="7"/>
  <c r="F358" i="7"/>
  <c r="G456" i="7"/>
  <c r="G424" i="7"/>
  <c r="E1556" i="62919"/>
  <c r="E1396" i="62919"/>
  <c r="Q105" i="2"/>
  <c r="E13" i="62919"/>
  <c r="E14" i="62919" s="1"/>
  <c r="E1739" i="62919"/>
  <c r="E625" i="62919"/>
  <c r="E55" i="62919"/>
  <c r="D55" i="62919" s="1"/>
  <c r="C55" i="62919" s="1"/>
  <c r="E893" i="62919"/>
  <c r="E894" i="62919" s="1"/>
  <c r="E102" i="62919"/>
  <c r="D102" i="62919" s="1"/>
  <c r="E2182" i="62917"/>
  <c r="D2182" i="62917" s="1"/>
  <c r="E2154" i="62917"/>
  <c r="K207" i="62909"/>
  <c r="L207" i="62909" s="1"/>
  <c r="O77" i="62909"/>
  <c r="P77" i="62909" s="1"/>
  <c r="O182" i="62909"/>
  <c r="P182" i="62909" s="1"/>
  <c r="K160" i="62909"/>
  <c r="L160" i="62909" s="1"/>
  <c r="O160" i="62909"/>
  <c r="P160" i="62909" s="1"/>
  <c r="O196" i="62909"/>
  <c r="P196" i="62909" s="1"/>
  <c r="O78" i="62909"/>
  <c r="P78" i="62909" s="1"/>
  <c r="F299" i="62926"/>
  <c r="AT65" i="62925"/>
  <c r="O35" i="62909"/>
  <c r="O34" i="62909" s="1"/>
  <c r="O217" i="62909" s="1"/>
  <c r="K113" i="62909"/>
  <c r="L113" i="62909" s="1"/>
  <c r="O113" i="62909"/>
  <c r="P113" i="62909" s="1"/>
  <c r="K96" i="62909"/>
  <c r="L96" i="62909" s="1"/>
  <c r="O131" i="62909"/>
  <c r="P131" i="62909" s="1"/>
  <c r="O147" i="62909"/>
  <c r="P147" i="62909" s="1"/>
  <c r="O57" i="62909"/>
  <c r="P57" i="62909" s="1"/>
  <c r="K57" i="62909"/>
  <c r="L57" i="62909" s="1"/>
  <c r="K59" i="62909"/>
  <c r="L59" i="62909" s="1"/>
  <c r="K139" i="62909"/>
  <c r="L139" i="62909" s="1"/>
  <c r="O195" i="62909"/>
  <c r="P195" i="62909" s="1"/>
  <c r="K77" i="62909"/>
  <c r="L77" i="62909" s="1"/>
  <c r="O31" i="62909"/>
  <c r="P31" i="62909" s="1"/>
  <c r="K162" i="62909"/>
  <c r="L162" i="62909" s="1"/>
  <c r="B60" i="62892"/>
  <c r="B137" i="62892" s="1"/>
  <c r="B220" i="62909" s="1"/>
  <c r="G264" i="62925"/>
  <c r="L17" i="62909"/>
  <c r="L16" i="62909" s="1"/>
  <c r="L215" i="62909" s="1"/>
  <c r="K16" i="62909"/>
  <c r="K215" i="62909" s="1"/>
  <c r="G121" i="62892"/>
  <c r="BE62" i="9"/>
  <c r="O191" i="62909"/>
  <c r="P191" i="62909" s="1"/>
  <c r="K68" i="62909"/>
  <c r="L68" i="62909" s="1"/>
  <c r="O109" i="62909"/>
  <c r="P109" i="62909" s="1"/>
  <c r="O88" i="62909"/>
  <c r="P88" i="62909" s="1"/>
  <c r="O155" i="62909"/>
  <c r="P155" i="62909" s="1"/>
  <c r="K169" i="62909"/>
  <c r="L169" i="62909" s="1"/>
  <c r="L168" i="62909" s="1"/>
  <c r="L224" i="62909" s="1"/>
  <c r="K195" i="62909"/>
  <c r="L195" i="62909" s="1"/>
  <c r="BG134" i="9"/>
  <c r="BE42" i="9"/>
  <c r="K31" i="62909"/>
  <c r="L31" i="62909" s="1"/>
  <c r="O27" i="62909"/>
  <c r="P27" i="62909" s="1"/>
  <c r="P26" i="62909" s="1"/>
  <c r="P216" i="62909" s="1"/>
  <c r="BF42" i="9"/>
  <c r="B110" i="62892"/>
  <c r="B142" i="62892" s="1"/>
  <c r="B28" i="62910"/>
  <c r="B133" i="62910" s="1"/>
  <c r="K104" i="62909"/>
  <c r="L104" i="62909" s="1"/>
  <c r="O177" i="62909"/>
  <c r="P177" i="62909" s="1"/>
  <c r="B85" i="11"/>
  <c r="B66" i="62909" s="1"/>
  <c r="O90" i="62909"/>
  <c r="P90" i="62909" s="1"/>
  <c r="O21" i="62909"/>
  <c r="P21" i="62909" s="1"/>
  <c r="K29" i="62909"/>
  <c r="L29" i="62909" s="1"/>
  <c r="O185" i="62909"/>
  <c r="P185" i="62909" s="1"/>
  <c r="K208" i="62909"/>
  <c r="L208" i="62909" s="1"/>
  <c r="O174" i="62909"/>
  <c r="P174" i="62909" s="1"/>
  <c r="K163" i="62909"/>
  <c r="L163" i="62909" s="1"/>
  <c r="B28" i="62892"/>
  <c r="B134" i="62892" s="1"/>
  <c r="K124" i="62909"/>
  <c r="L124" i="62909" s="1"/>
  <c r="K95" i="62909"/>
  <c r="L95" i="62909" s="1"/>
  <c r="BF62" i="9"/>
  <c r="P7" i="62909"/>
  <c r="P6" i="62909" s="1"/>
  <c r="P214" i="62909" s="1"/>
  <c r="P227" i="62909" s="1"/>
  <c r="O6" i="62909"/>
  <c r="O214" i="62909" s="1"/>
  <c r="O227" i="62909" s="1"/>
  <c r="BF124" i="9"/>
  <c r="BE124" i="9"/>
  <c r="K194" i="62909"/>
  <c r="L194" i="62909" s="1"/>
  <c r="K172" i="62909"/>
  <c r="L172" i="62909" s="1"/>
  <c r="B93" i="62892"/>
  <c r="B140" i="62892" s="1"/>
  <c r="B223" i="62909" s="1"/>
  <c r="K44" i="62909"/>
  <c r="L44" i="62909" s="1"/>
  <c r="O44" i="62909"/>
  <c r="P44" i="62909" s="1"/>
  <c r="O203" i="62909"/>
  <c r="P203" i="62909" s="1"/>
  <c r="K196" i="62909"/>
  <c r="L196" i="62909" s="1"/>
  <c r="K192" i="62909"/>
  <c r="L192" i="62909" s="1"/>
  <c r="O158" i="62909"/>
  <c r="K78" i="62909"/>
  <c r="L78" i="62909" s="1"/>
  <c r="K70" i="62909"/>
  <c r="L70" i="62909" s="1"/>
  <c r="K28" i="62909"/>
  <c r="L28" i="62909" s="1"/>
  <c r="AT63" i="62926"/>
  <c r="B13" i="62910"/>
  <c r="B131" i="62910" s="1"/>
  <c r="K27" i="62909"/>
  <c r="K26" i="62909" s="1"/>
  <c r="K216" i="62909" s="1"/>
  <c r="BE145" i="9"/>
  <c r="B209" i="62926"/>
  <c r="O133" i="62909"/>
  <c r="P133" i="62909" s="1"/>
  <c r="O87" i="62909"/>
  <c r="P87" i="62909" s="1"/>
  <c r="O101" i="62909"/>
  <c r="P101" i="62909" s="1"/>
  <c r="O152" i="62909"/>
  <c r="P152" i="62909" s="1"/>
  <c r="O138" i="62909"/>
  <c r="P138" i="62909" s="1"/>
  <c r="K130" i="62909"/>
  <c r="L130" i="62909" s="1"/>
  <c r="O130" i="62909"/>
  <c r="P130" i="62909" s="1"/>
  <c r="O137" i="62909"/>
  <c r="P137" i="62909" s="1"/>
  <c r="K141" i="62909"/>
  <c r="L141" i="62909" s="1"/>
  <c r="N26" i="62909"/>
  <c r="N216" i="62909" s="1"/>
  <c r="K76" i="62909"/>
  <c r="L76" i="62909" s="1"/>
  <c r="BG179" i="9"/>
  <c r="BE190" i="9"/>
  <c r="B110" i="62910"/>
  <c r="B141" i="62910" s="1"/>
  <c r="K19" i="62909"/>
  <c r="L19" i="62909" s="1"/>
  <c r="O194" i="62909"/>
  <c r="P194" i="62909" s="1"/>
  <c r="K7" i="62909"/>
  <c r="K6" i="62909" s="1"/>
  <c r="K214" i="62909" s="1"/>
  <c r="K227" i="62909" s="1"/>
  <c r="K202" i="62909"/>
  <c r="L202" i="62909" s="1"/>
  <c r="K191" i="62909"/>
  <c r="L191" i="62909" s="1"/>
  <c r="B233" i="2"/>
  <c r="B157" i="62909" s="1"/>
  <c r="B13" i="62892"/>
  <c r="B132" i="62892" s="1"/>
  <c r="K30" i="62909"/>
  <c r="L30" i="62909" s="1"/>
  <c r="B16" i="62909"/>
  <c r="BF145" i="9"/>
  <c r="O54" i="62909"/>
  <c r="O219" i="62909" s="1"/>
  <c r="K150" i="62909"/>
  <c r="L150" i="62909" s="1"/>
  <c r="O146" i="62909"/>
  <c r="P146" i="62909" s="1"/>
  <c r="BE73" i="9"/>
  <c r="O9" i="62909"/>
  <c r="P9" i="62909" s="1"/>
  <c r="O199" i="62909"/>
  <c r="P199" i="62909" s="1"/>
  <c r="P198" i="62909" s="1"/>
  <c r="P226" i="62909" s="1"/>
  <c r="O29" i="62909"/>
  <c r="P29" i="62909" s="1"/>
  <c r="H34" i="62915"/>
  <c r="T34" i="62915" s="1"/>
  <c r="H69" i="3"/>
  <c r="I69" i="3" s="1"/>
  <c r="D69" i="3" s="1"/>
  <c r="J24" i="3"/>
  <c r="T24" i="3" s="1"/>
  <c r="T26" i="3" s="1"/>
  <c r="T69" i="3"/>
  <c r="BT109" i="9"/>
  <c r="E273" i="62926"/>
  <c r="K127" i="62927"/>
  <c r="F158" i="62927"/>
  <c r="K13" i="62914"/>
  <c r="W13" i="62914" s="1"/>
  <c r="E14" i="62924"/>
  <c r="D14" i="62924" s="1"/>
  <c r="C14" i="62924" s="1"/>
  <c r="BG28" i="9"/>
  <c r="BG37" i="9" s="1"/>
  <c r="N330" i="9" a="1"/>
  <c r="N330" i="9" s="1"/>
  <c r="N320" i="9" a="1"/>
  <c r="N320" i="9" s="1"/>
  <c r="D115" i="9"/>
  <c r="BB28" i="9"/>
  <c r="BA28" i="9"/>
  <c r="BA37" i="9" s="1"/>
  <c r="AU28" i="9"/>
  <c r="AU37" i="9" s="1"/>
  <c r="E288" i="9"/>
  <c r="I288" i="9" s="1"/>
  <c r="AZ28" i="9"/>
  <c r="AZ37" i="9" s="1"/>
  <c r="AW28" i="9"/>
  <c r="AW37" i="9" s="1"/>
  <c r="AY28" i="9"/>
  <c r="AY37" i="9" s="1"/>
  <c r="E1364" i="62919"/>
  <c r="E1365" i="62919" s="1"/>
  <c r="AH252" i="5"/>
  <c r="AT248" i="5"/>
  <c r="AT296" i="5"/>
  <c r="AT154" i="5"/>
  <c r="AT541" i="5"/>
  <c r="AT112" i="5"/>
  <c r="AH435" i="5"/>
  <c r="AT431" i="5"/>
  <c r="AH483" i="5"/>
  <c r="AT479" i="5"/>
  <c r="H652" i="5"/>
  <c r="F233" i="62925"/>
  <c r="K334" i="62926"/>
  <c r="H193" i="62927"/>
  <c r="G213" i="62927"/>
  <c r="G193" i="62927"/>
  <c r="F213" i="62927"/>
  <c r="G127" i="62927"/>
  <c r="J127" i="62927"/>
  <c r="F193" i="62927"/>
  <c r="E213" i="62927"/>
  <c r="I193" i="62927"/>
  <c r="H213" i="62927"/>
  <c r="E13" i="62914"/>
  <c r="E18" i="62929" s="1"/>
  <c r="Q18" i="62929" s="1"/>
  <c r="K181" i="62927"/>
  <c r="D24" i="62911"/>
  <c r="P24" i="62911"/>
  <c r="E109" i="62927"/>
  <c r="C29" i="62892"/>
  <c r="D29" i="62892" s="1"/>
  <c r="C29" i="62910"/>
  <c r="E29" i="62910" s="1"/>
  <c r="C35" i="62909"/>
  <c r="E35" i="62909" s="1"/>
  <c r="I109" i="62927"/>
  <c r="E20" i="62911"/>
  <c r="R21" i="62911"/>
  <c r="I21" i="62911" s="1"/>
  <c r="N25" i="62911"/>
  <c r="E25" i="62911" s="1"/>
  <c r="M21" i="62911"/>
  <c r="D21" i="62911" s="1"/>
  <c r="L52" i="62911"/>
  <c r="N26" i="62911"/>
  <c r="AT50" i="62904"/>
  <c r="H73" i="3"/>
  <c r="I73" i="3" s="1"/>
  <c r="D73" i="3" s="1"/>
  <c r="H68" i="62927"/>
  <c r="I68" i="62927" s="1"/>
  <c r="D68" i="62927" s="1"/>
  <c r="S71" i="62927"/>
  <c r="K173" i="62909"/>
  <c r="L173" i="62909" s="1"/>
  <c r="O105" i="62909"/>
  <c r="P105" i="62909" s="1"/>
  <c r="O110" i="62909"/>
  <c r="P110" i="62909" s="1"/>
  <c r="B20" i="62892"/>
  <c r="B133" i="62892" s="1"/>
  <c r="K107" i="62909"/>
  <c r="L107" i="62909" s="1"/>
  <c r="O200" i="62909"/>
  <c r="P200" i="62909" s="1"/>
  <c r="O161" i="62909"/>
  <c r="P161" i="62909" s="1"/>
  <c r="O68" i="62909"/>
  <c r="P68" i="62909" s="1"/>
  <c r="P25" i="62911"/>
  <c r="B26" i="62909"/>
  <c r="E127" i="62927"/>
  <c r="L193" i="62927"/>
  <c r="I213" i="62927"/>
  <c r="L38" i="62911"/>
  <c r="G414" i="62921"/>
  <c r="BI282" i="62898" s="1"/>
  <c r="H410" i="62898"/>
  <c r="I410" i="62898" s="1"/>
  <c r="H409" i="62898"/>
  <c r="I409" i="62898" s="1"/>
  <c r="H408" i="62898"/>
  <c r="I408" i="62898" s="1"/>
  <c r="H407" i="62898"/>
  <c r="I407" i="62898" s="1"/>
  <c r="H71" i="3"/>
  <c r="I71" i="3" s="1"/>
  <c r="D71" i="3" s="1"/>
  <c r="B116" i="62892"/>
  <c r="B143" i="62892" s="1"/>
  <c r="B226" i="62909" s="1"/>
  <c r="Z71" i="3"/>
  <c r="U69" i="3"/>
  <c r="W72" i="62927"/>
  <c r="O96" i="62909"/>
  <c r="P96" i="62909" s="1"/>
  <c r="O151" i="62909"/>
  <c r="P151" i="62909" s="1"/>
  <c r="K100" i="62909"/>
  <c r="L100" i="62909" s="1"/>
  <c r="K179" i="62909"/>
  <c r="L179" i="62909" s="1"/>
  <c r="L213" i="62927"/>
  <c r="R72" i="62927"/>
  <c r="L41" i="62911"/>
  <c r="L60" i="62911"/>
  <c r="R73" i="62927"/>
  <c r="G422" i="62928"/>
  <c r="H358" i="9"/>
  <c r="D61" i="62911"/>
  <c r="D65" i="62911" s="1"/>
  <c r="H68" i="3"/>
  <c r="I68" i="3" s="1"/>
  <c r="D68" i="3" s="1"/>
  <c r="R68" i="3"/>
  <c r="E171" i="3" s="1"/>
  <c r="E181" i="3" s="1"/>
  <c r="O202" i="62909"/>
  <c r="P202" i="62909" s="1"/>
  <c r="K143" i="62909"/>
  <c r="L143" i="62909" s="1"/>
  <c r="K110" i="62909"/>
  <c r="L110" i="62909" s="1"/>
  <c r="K136" i="62909"/>
  <c r="L136" i="62909" s="1"/>
  <c r="O141" i="62909"/>
  <c r="P141" i="62909" s="1"/>
  <c r="K186" i="62909"/>
  <c r="L186" i="62909" s="1"/>
  <c r="K178" i="62909"/>
  <c r="L178" i="62909" s="1"/>
  <c r="O58" i="62909"/>
  <c r="P58" i="62909" s="1"/>
  <c r="H213" i="3"/>
  <c r="K147" i="62927"/>
  <c r="G13" i="62914"/>
  <c r="G18" i="62929" s="1"/>
  <c r="S18" i="62929" s="1"/>
  <c r="G12" i="62914"/>
  <c r="G17" i="62929" s="1"/>
  <c r="S17" i="62929" s="1"/>
  <c r="L40" i="62911"/>
  <c r="L63" i="62911"/>
  <c r="O162" i="62909"/>
  <c r="P162" i="62909" s="1"/>
  <c r="H20" i="62911"/>
  <c r="U72" i="3"/>
  <c r="T73" i="3"/>
  <c r="K55" i="62909"/>
  <c r="K54" i="62909" s="1"/>
  <c r="K219" i="62909" s="1"/>
  <c r="O125" i="62909"/>
  <c r="P125" i="62909" s="1"/>
  <c r="K149" i="62909"/>
  <c r="L149" i="62909" s="1"/>
  <c r="O171" i="62909"/>
  <c r="P171" i="62909" s="1"/>
  <c r="O115" i="62909"/>
  <c r="P115" i="62909" s="1"/>
  <c r="F193" i="3"/>
  <c r="J6" i="62909"/>
  <c r="J214" i="62909" s="1"/>
  <c r="J227" i="62909" s="1"/>
  <c r="O207" i="62909"/>
  <c r="P207" i="62909" s="1"/>
  <c r="K177" i="62909"/>
  <c r="L177" i="62909" s="1"/>
  <c r="BH102" i="9"/>
  <c r="D112" i="9"/>
  <c r="H127" i="62927"/>
  <c r="U22" i="62929"/>
  <c r="F13" i="62914"/>
  <c r="F18" i="62929" s="1"/>
  <c r="R18" i="62929" s="1"/>
  <c r="F12" i="62914"/>
  <c r="R12" i="62914" s="1"/>
  <c r="L39" i="62911"/>
  <c r="L62" i="62911"/>
  <c r="X182" i="2"/>
  <c r="Q182" i="2" s="1"/>
  <c r="U69" i="62927"/>
  <c r="H81" i="62927"/>
  <c r="J81" i="62927" s="1"/>
  <c r="D81" i="62927" s="1"/>
  <c r="Q25" i="62911"/>
  <c r="L35" i="62909"/>
  <c r="L34" i="62909" s="1"/>
  <c r="L217" i="62909" s="1"/>
  <c r="Z68" i="62927"/>
  <c r="S68" i="62927"/>
  <c r="W72" i="3"/>
  <c r="K97" i="62909"/>
  <c r="L97" i="62909" s="1"/>
  <c r="K118" i="62909"/>
  <c r="L118" i="62909" s="1"/>
  <c r="O136" i="62909"/>
  <c r="P136" i="62909" s="1"/>
  <c r="O163" i="62909"/>
  <c r="P163" i="62909" s="1"/>
  <c r="K199" i="62909"/>
  <c r="L199" i="62909" s="1"/>
  <c r="L198" i="62909" s="1"/>
  <c r="L226" i="62909" s="1"/>
  <c r="O186" i="62909"/>
  <c r="P186" i="62909" s="1"/>
  <c r="K181" i="62909"/>
  <c r="L181" i="62909" s="1"/>
  <c r="O100" i="62909"/>
  <c r="P100" i="62909" s="1"/>
  <c r="O206" i="62909"/>
  <c r="P206" i="62909" s="1"/>
  <c r="K176" i="62909"/>
  <c r="L176" i="62909" s="1"/>
  <c r="O76" i="62909"/>
  <c r="P76" i="62909" s="1"/>
  <c r="K37" i="62909"/>
  <c r="L37" i="62909" s="1"/>
  <c r="K24" i="62909"/>
  <c r="L24" i="62909" s="1"/>
  <c r="O14" i="62909"/>
  <c r="P14" i="62909" s="1"/>
  <c r="K60" i="62909"/>
  <c r="L60" i="62909" s="1"/>
  <c r="L49" i="62911"/>
  <c r="L61" i="62911"/>
  <c r="AM369" i="62898"/>
  <c r="J369" i="62898"/>
  <c r="M369" i="62898" s="1"/>
  <c r="AN368" i="62898"/>
  <c r="AW367" i="62898"/>
  <c r="AW358" i="62898"/>
  <c r="AK357" i="62898"/>
  <c r="AM356" i="62898"/>
  <c r="J356" i="62898"/>
  <c r="M356" i="62898" s="1"/>
  <c r="AG355" i="62898"/>
  <c r="AW354" i="62898"/>
  <c r="AX350" i="62898"/>
  <c r="AJ350" i="62898"/>
  <c r="AK349" i="62898"/>
  <c r="H349" i="62898"/>
  <c r="K349" i="62898" s="1"/>
  <c r="AL348" i="62898"/>
  <c r="I348" i="62898"/>
  <c r="L348" i="62898" s="1"/>
  <c r="AM347" i="62898"/>
  <c r="J347" i="62898"/>
  <c r="M347" i="62898" s="1"/>
  <c r="AW343" i="62898"/>
  <c r="AK342" i="62898"/>
  <c r="AM341" i="62898"/>
  <c r="J341" i="62898"/>
  <c r="M341" i="62898" s="1"/>
  <c r="AN359" i="62898"/>
  <c r="AW350" i="62898"/>
  <c r="H348" i="62898"/>
  <c r="K348" i="62898" s="1"/>
  <c r="AJ369" i="62898"/>
  <c r="AK368" i="62898"/>
  <c r="H368" i="62898"/>
  <c r="K368" i="62898" s="1"/>
  <c r="AN367" i="62898"/>
  <c r="AN358" i="62898"/>
  <c r="AV357" i="62898"/>
  <c r="AH357" i="62898"/>
  <c r="AJ356" i="62898"/>
  <c r="I355" i="62898"/>
  <c r="L355" i="62898" s="1"/>
  <c r="AN354" i="62898"/>
  <c r="AO350" i="62898"/>
  <c r="AG350" i="62898"/>
  <c r="AV349" i="62898"/>
  <c r="AH349" i="62898"/>
  <c r="AW348" i="62898"/>
  <c r="AI348" i="62898"/>
  <c r="AX347" i="62898"/>
  <c r="AJ347" i="62898"/>
  <c r="AN343" i="62898"/>
  <c r="AV342" i="62898"/>
  <c r="AH342" i="62898"/>
  <c r="AJ341" i="62898"/>
  <c r="I369" i="62898"/>
  <c r="L369" i="62898" s="1"/>
  <c r="AJ357" i="62898"/>
  <c r="AV354" i="62898"/>
  <c r="J388" i="62898"/>
  <c r="AW369" i="62898"/>
  <c r="AX368" i="62898"/>
  <c r="AJ368" i="62898"/>
  <c r="J367" i="62898"/>
  <c r="M367" i="62898" s="1"/>
  <c r="AK359" i="62898"/>
  <c r="AM358" i="62898"/>
  <c r="J358" i="62898"/>
  <c r="M358" i="62898" s="1"/>
  <c r="AG357" i="62898"/>
  <c r="AW356" i="62898"/>
  <c r="AK355" i="62898"/>
  <c r="AM354" i="62898"/>
  <c r="J354" i="62898"/>
  <c r="M354" i="62898" s="1"/>
  <c r="AN350" i="62898"/>
  <c r="AO349" i="62898"/>
  <c r="AG349" i="62898"/>
  <c r="AV348" i="62898"/>
  <c r="AH348" i="62898"/>
  <c r="AW347" i="62898"/>
  <c r="AI347" i="62898"/>
  <c r="J343" i="62898"/>
  <c r="M343" i="62898" s="1"/>
  <c r="AG342" i="62898"/>
  <c r="AW341" i="62898"/>
  <c r="AJ354" i="62898"/>
  <c r="AL349" i="62898"/>
  <c r="AN347" i="62898"/>
  <c r="I342" i="62898"/>
  <c r="L342" i="62898" s="1"/>
  <c r="J368" i="62898"/>
  <c r="M368" i="62898" s="1"/>
  <c r="AV358" i="62898"/>
  <c r="I356" i="62898"/>
  <c r="L356" i="62898" s="1"/>
  <c r="AX349" i="62898"/>
  <c r="I347" i="62898"/>
  <c r="L347" i="62898" s="1"/>
  <c r="AV369" i="62898"/>
  <c r="AH369" i="62898"/>
  <c r="AW368" i="62898"/>
  <c r="AI368" i="62898"/>
  <c r="I358" i="62898"/>
  <c r="L358" i="62898" s="1"/>
  <c r="AN357" i="62898"/>
  <c r="AV356" i="62898"/>
  <c r="AH356" i="62898"/>
  <c r="AJ355" i="62898"/>
  <c r="I354" i="62898"/>
  <c r="L354" i="62898" s="1"/>
  <c r="AM350" i="62898"/>
  <c r="J350" i="62898"/>
  <c r="M350" i="62898" s="1"/>
  <c r="AN349" i="62898"/>
  <c r="AO348" i="62898"/>
  <c r="AG348" i="62898"/>
  <c r="AV347" i="62898"/>
  <c r="AH347" i="62898"/>
  <c r="AN342" i="62898"/>
  <c r="AV341" i="62898"/>
  <c r="AH341" i="62898"/>
  <c r="AM342" i="62898"/>
  <c r="AV355" i="62898"/>
  <c r="J348" i="62898"/>
  <c r="M348" i="62898" s="1"/>
  <c r="AM368" i="62898"/>
  <c r="AH358" i="62898"/>
  <c r="AN355" i="62898"/>
  <c r="AJ349" i="62898"/>
  <c r="AG369" i="62898"/>
  <c r="AV368" i="62898"/>
  <c r="AH368" i="62898"/>
  <c r="AK367" i="62898"/>
  <c r="AW359" i="62898"/>
  <c r="AK358" i="62898"/>
  <c r="AM357" i="62898"/>
  <c r="J357" i="62898"/>
  <c r="M357" i="62898" s="1"/>
  <c r="AG356" i="62898"/>
  <c r="AW355" i="62898"/>
  <c r="AK354" i="62898"/>
  <c r="AL350" i="62898"/>
  <c r="I350" i="62898"/>
  <c r="L350" i="62898" s="1"/>
  <c r="AM349" i="62898"/>
  <c r="J349" i="62898"/>
  <c r="M349" i="62898" s="1"/>
  <c r="AN348" i="62898"/>
  <c r="AO347" i="62898"/>
  <c r="AG347" i="62898"/>
  <c r="AK343" i="62898"/>
  <c r="J342" i="62898"/>
  <c r="M342" i="62898" s="1"/>
  <c r="AG341" i="62898"/>
  <c r="AH355" i="62898"/>
  <c r="AK350" i="62898"/>
  <c r="I349" i="62898"/>
  <c r="L349" i="62898" s="1"/>
  <c r="AN341" i="62898"/>
  <c r="AH367" i="62898"/>
  <c r="AH354" i="62898"/>
  <c r="AK348" i="62898"/>
  <c r="BN387" i="62898"/>
  <c r="AN369" i="62898"/>
  <c r="AO368" i="62898"/>
  <c r="AG368" i="62898"/>
  <c r="AH359" i="62898"/>
  <c r="AJ358" i="62898"/>
  <c r="I357" i="62898"/>
  <c r="L357" i="62898" s="1"/>
  <c r="AN356" i="62898"/>
  <c r="H350" i="62898"/>
  <c r="K350" i="62898" s="1"/>
  <c r="AM348" i="62898"/>
  <c r="AI350" i="62898"/>
  <c r="AL347" i="62898"/>
  <c r="AH343" i="62898"/>
  <c r="AL346" i="62898"/>
  <c r="AL368" i="62898"/>
  <c r="AK356" i="62898"/>
  <c r="AW349" i="62898"/>
  <c r="AK347" i="62898"/>
  <c r="AK341" i="62898"/>
  <c r="AK369" i="62898"/>
  <c r="AM355" i="62898"/>
  <c r="AW342" i="62898"/>
  <c r="AJ348" i="62898"/>
  <c r="J359" i="62898"/>
  <c r="M359" i="62898" s="1"/>
  <c r="AG358" i="62898"/>
  <c r="AG354" i="62898"/>
  <c r="AI349" i="62898"/>
  <c r="AV350" i="62898"/>
  <c r="AJ342" i="62898"/>
  <c r="I368" i="62898"/>
  <c r="L368" i="62898" s="1"/>
  <c r="H347" i="62898"/>
  <c r="K347" i="62898" s="1"/>
  <c r="AW357" i="62898"/>
  <c r="AX348" i="62898"/>
  <c r="AH350" i="62898"/>
  <c r="I341" i="62898"/>
  <c r="L341" i="62898" s="1"/>
  <c r="J355" i="62898"/>
  <c r="M355" i="62898" s="1"/>
  <c r="BK369" i="62898"/>
  <c r="BK343" i="62898"/>
  <c r="BK357" i="62898"/>
  <c r="BJ358" i="62898"/>
  <c r="BJ341" i="62898"/>
  <c r="BK354" i="62898"/>
  <c r="BK355" i="62898"/>
  <c r="BI368" i="62898"/>
  <c r="BK342" i="62898"/>
  <c r="BK347" i="62898"/>
  <c r="BK349" i="62898"/>
  <c r="BJ342" i="62898"/>
  <c r="BJ368" i="62898"/>
  <c r="BJ356" i="62898"/>
  <c r="BK388" i="62898"/>
  <c r="BJ357" i="62898"/>
  <c r="BJ347" i="62898"/>
  <c r="BK358" i="62898"/>
  <c r="BK359" i="62898"/>
  <c r="BI349" i="62898"/>
  <c r="BI346" i="62898"/>
  <c r="BI347" i="62898"/>
  <c r="BK348" i="62898"/>
  <c r="BJ349" i="62898"/>
  <c r="BK356" i="62898"/>
  <c r="BK367" i="62898"/>
  <c r="BJ348" i="62898"/>
  <c r="BK341" i="62898"/>
  <c r="BJ355" i="62898"/>
  <c r="BI350" i="62898"/>
  <c r="BJ350" i="62898"/>
  <c r="BJ346" i="62898"/>
  <c r="BK346" i="62898"/>
  <c r="BI348" i="62898"/>
  <c r="BJ354" i="62898"/>
  <c r="BK368" i="62898"/>
  <c r="BK350" i="62898"/>
  <c r="BJ369" i="62898"/>
  <c r="P17" i="62909"/>
  <c r="P16" i="62909" s="1"/>
  <c r="P215" i="62909" s="1"/>
  <c r="U81" i="62927"/>
  <c r="B116" i="62910"/>
  <c r="B142" i="62910" s="1"/>
  <c r="Z71" i="62927"/>
  <c r="W69" i="62927"/>
  <c r="K135" i="62909"/>
  <c r="L135" i="62909" s="1"/>
  <c r="BF73" i="9"/>
  <c r="H395" i="9"/>
  <c r="O193" i="62909"/>
  <c r="P193" i="62909" s="1"/>
  <c r="O36" i="62909"/>
  <c r="P36" i="62909" s="1"/>
  <c r="E190" i="62926"/>
  <c r="F356" i="62928"/>
  <c r="L50" i="62911"/>
  <c r="I710" i="5"/>
  <c r="I714" i="5" s="1"/>
  <c r="O30" i="62909"/>
  <c r="P30" i="62909" s="1"/>
  <c r="O70" i="62909"/>
  <c r="P70" i="62909" s="1"/>
  <c r="K203" i="62909"/>
  <c r="L203" i="62909" s="1"/>
  <c r="K206" i="62909"/>
  <c r="L206" i="62909" s="1"/>
  <c r="O192" i="62909"/>
  <c r="P192" i="62909" s="1"/>
  <c r="K161" i="62909"/>
  <c r="L161" i="62909" s="1"/>
  <c r="K105" i="62909"/>
  <c r="L105" i="62909" s="1"/>
  <c r="K103" i="62909"/>
  <c r="L103" i="62909" s="1"/>
  <c r="K85" i="62909"/>
  <c r="L85" i="62909" s="1"/>
  <c r="O97" i="62909"/>
  <c r="P97" i="62909" s="1"/>
  <c r="O91" i="62909"/>
  <c r="P91" i="62909" s="1"/>
  <c r="K91" i="62909"/>
  <c r="L91" i="62909" s="1"/>
  <c r="O83" i="62909"/>
  <c r="P83" i="62909" s="1"/>
  <c r="K154" i="62909"/>
  <c r="L154" i="62909" s="1"/>
  <c r="K132" i="62909"/>
  <c r="L132" i="62909" s="1"/>
  <c r="K146" i="62909"/>
  <c r="L146" i="62909" s="1"/>
  <c r="O50" i="62909"/>
  <c r="P50" i="62909" s="1"/>
  <c r="K158" i="62909"/>
  <c r="O99" i="62909"/>
  <c r="P99" i="62909" s="1"/>
  <c r="K83" i="62909"/>
  <c r="L83" i="62909" s="1"/>
  <c r="K200" i="62909"/>
  <c r="L200" i="62909" s="1"/>
  <c r="O48" i="62909"/>
  <c r="P48" i="62909" s="1"/>
  <c r="O140" i="62909"/>
  <c r="P140" i="62909" s="1"/>
  <c r="O142" i="62909"/>
  <c r="P142" i="62909" s="1"/>
  <c r="O89" i="62909"/>
  <c r="P89" i="62909" s="1"/>
  <c r="K108" i="62909"/>
  <c r="L108" i="62909" s="1"/>
  <c r="O144" i="62909"/>
  <c r="P144" i="62909" s="1"/>
  <c r="O180" i="62909"/>
  <c r="P180" i="62909" s="1"/>
  <c r="O176" i="62909"/>
  <c r="P176" i="62909" s="1"/>
  <c r="O208" i="62909"/>
  <c r="P208" i="62909" s="1"/>
  <c r="K22" i="62909"/>
  <c r="L22" i="62909" s="1"/>
  <c r="O22" i="62909"/>
  <c r="P22" i="62909" s="1"/>
  <c r="O10" i="62909"/>
  <c r="P10" i="62909" s="1"/>
  <c r="K10" i="62909"/>
  <c r="L10" i="62909" s="1"/>
  <c r="O8" i="62909"/>
  <c r="P8" i="62909" s="1"/>
  <c r="K8" i="62909"/>
  <c r="L8" i="62909" s="1"/>
  <c r="O62" i="62909"/>
  <c r="P62" i="62909" s="1"/>
  <c r="K62" i="62909"/>
  <c r="L62" i="62909" s="1"/>
  <c r="K64" i="62909"/>
  <c r="L64" i="62909" s="1"/>
  <c r="O64" i="62909"/>
  <c r="P64" i="62909" s="1"/>
  <c r="K12" i="62909"/>
  <c r="L12" i="62909" s="1"/>
  <c r="O18" i="62909"/>
  <c r="P18" i="62909" s="1"/>
  <c r="K58" i="62909"/>
  <c r="L58" i="62909" s="1"/>
  <c r="O210" i="62909"/>
  <c r="P210" i="62909" s="1"/>
  <c r="K210" i="62909"/>
  <c r="L210" i="62909" s="1"/>
  <c r="O205" i="62909"/>
  <c r="P205" i="62909" s="1"/>
  <c r="K205" i="62909"/>
  <c r="L205" i="62909" s="1"/>
  <c r="O75" i="62909"/>
  <c r="P75" i="62909" s="1"/>
  <c r="K75" i="62909"/>
  <c r="L75" i="62909" s="1"/>
  <c r="O69" i="62909"/>
  <c r="P69" i="62909" s="1"/>
  <c r="K69" i="62909"/>
  <c r="L69" i="62909" s="1"/>
  <c r="O67" i="62909"/>
  <c r="K67" i="62909"/>
  <c r="O173" i="62909"/>
  <c r="P173" i="62909" s="1"/>
  <c r="K84" i="62909"/>
  <c r="L84" i="62909" s="1"/>
  <c r="O143" i="62909"/>
  <c r="P143" i="62909" s="1"/>
  <c r="K49" i="62909"/>
  <c r="L49" i="62909" s="1"/>
  <c r="O111" i="62909"/>
  <c r="P111" i="62909" s="1"/>
  <c r="K98" i="62909"/>
  <c r="L98" i="62909" s="1"/>
  <c r="K125" i="62909"/>
  <c r="L125" i="62909" s="1"/>
  <c r="K111" i="62909"/>
  <c r="L111" i="62909" s="1"/>
  <c r="O123" i="62909"/>
  <c r="P123" i="62909" s="1"/>
  <c r="O94" i="62909"/>
  <c r="P94" i="62909" s="1"/>
  <c r="K94" i="62909"/>
  <c r="L94" i="62909" s="1"/>
  <c r="O84" i="62909"/>
  <c r="P84" i="62909" s="1"/>
  <c r="K123" i="62909"/>
  <c r="L123" i="62909" s="1"/>
  <c r="O104" i="62909"/>
  <c r="P104" i="62909" s="1"/>
  <c r="K109" i="62909"/>
  <c r="L109" i="62909" s="1"/>
  <c r="K131" i="62909"/>
  <c r="L131" i="62909" s="1"/>
  <c r="O129" i="62909"/>
  <c r="O128" i="62909" s="1"/>
  <c r="O222" i="62909" s="1"/>
  <c r="O139" i="62909"/>
  <c r="P139" i="62909" s="1"/>
  <c r="O135" i="62909"/>
  <c r="P135" i="62909" s="1"/>
  <c r="O187" i="62909"/>
  <c r="P187" i="62909" s="1"/>
  <c r="O49" i="62909"/>
  <c r="P49" i="62909" s="1"/>
  <c r="K117" i="62909"/>
  <c r="L117" i="62909" s="1"/>
  <c r="O117" i="62909"/>
  <c r="P117" i="62909" s="1"/>
  <c r="K151" i="62909"/>
  <c r="L151" i="62909" s="1"/>
  <c r="K133" i="62909"/>
  <c r="L133" i="62909" s="1"/>
  <c r="K155" i="62909"/>
  <c r="L155" i="62909" s="1"/>
  <c r="K145" i="62909"/>
  <c r="L145" i="62909" s="1"/>
  <c r="K147" i="62909"/>
  <c r="L147" i="62909" s="1"/>
  <c r="O145" i="62909"/>
  <c r="P145" i="62909" s="1"/>
  <c r="K171" i="62909"/>
  <c r="L171" i="62909" s="1"/>
  <c r="K88" i="62909"/>
  <c r="L88" i="62909" s="1"/>
  <c r="K137" i="62909"/>
  <c r="L137" i="62909" s="1"/>
  <c r="O169" i="62909"/>
  <c r="P169" i="62909" s="1"/>
  <c r="P168" i="62909" s="1"/>
  <c r="P224" i="62909" s="1"/>
  <c r="K45" i="62909"/>
  <c r="L45" i="62909" s="1"/>
  <c r="O86" i="62909"/>
  <c r="P86" i="62909" s="1"/>
  <c r="K115" i="62909"/>
  <c r="L115" i="62909" s="1"/>
  <c r="K185" i="62909"/>
  <c r="L185" i="62909" s="1"/>
  <c r="O181" i="62909"/>
  <c r="P181" i="62909" s="1"/>
  <c r="O47" i="62909"/>
  <c r="P47" i="62909" s="1"/>
  <c r="O45" i="62909"/>
  <c r="P45" i="62909" s="1"/>
  <c r="K86" i="62909"/>
  <c r="L86" i="62909" s="1"/>
  <c r="O92" i="62909"/>
  <c r="P92" i="62909" s="1"/>
  <c r="K92" i="62909"/>
  <c r="L92" i="62909" s="1"/>
  <c r="O107" i="62909"/>
  <c r="P107" i="62909" s="1"/>
  <c r="O121" i="62909"/>
  <c r="P121" i="62909" s="1"/>
  <c r="O179" i="62909"/>
  <c r="P179" i="62909" s="1"/>
  <c r="O175" i="62909"/>
  <c r="P175" i="62909" s="1"/>
  <c r="E181" i="62909"/>
  <c r="H181" i="62909"/>
  <c r="K183" i="62909"/>
  <c r="L183" i="62909" s="1"/>
  <c r="K56" i="62909"/>
  <c r="L56" i="62909" s="1"/>
  <c r="O56" i="62909"/>
  <c r="P56" i="62909" s="1"/>
  <c r="L27" i="62909"/>
  <c r="L26" i="62909" s="1"/>
  <c r="L216" i="62909" s="1"/>
  <c r="O60" i="62909"/>
  <c r="P60" i="62909" s="1"/>
  <c r="K20" i="62909"/>
  <c r="L20" i="62909" s="1"/>
  <c r="O190" i="62909"/>
  <c r="K190" i="62909"/>
  <c r="O166" i="62909"/>
  <c r="P166" i="62909" s="1"/>
  <c r="K166" i="62909"/>
  <c r="L166" i="62909" s="1"/>
  <c r="K39" i="62909"/>
  <c r="L39" i="62909" s="1"/>
  <c r="O39" i="62909"/>
  <c r="P39" i="62909" s="1"/>
  <c r="O95" i="62909"/>
  <c r="P95" i="62909" s="1"/>
  <c r="O124" i="62909"/>
  <c r="P124" i="62909" s="1"/>
  <c r="K114" i="62909"/>
  <c r="L114" i="62909" s="1"/>
  <c r="O112" i="62909"/>
  <c r="P112" i="62909" s="1"/>
  <c r="O114" i="62909"/>
  <c r="P114" i="62909" s="1"/>
  <c r="O103" i="62909"/>
  <c r="P103" i="62909" s="1"/>
  <c r="O85" i="62909"/>
  <c r="P85" i="62909" s="1"/>
  <c r="K126" i="62909"/>
  <c r="L126" i="62909" s="1"/>
  <c r="O126" i="62909"/>
  <c r="P126" i="62909" s="1"/>
  <c r="O120" i="62909"/>
  <c r="P120" i="62909" s="1"/>
  <c r="K120" i="62909"/>
  <c r="L120" i="62909" s="1"/>
  <c r="K152" i="62909"/>
  <c r="L152" i="62909" s="1"/>
  <c r="K138" i="62909"/>
  <c r="L138" i="62909" s="1"/>
  <c r="K50" i="62909"/>
  <c r="L50" i="62909" s="1"/>
  <c r="K48" i="62909"/>
  <c r="L48" i="62909" s="1"/>
  <c r="K99" i="62909"/>
  <c r="L99" i="62909" s="1"/>
  <c r="K112" i="62909"/>
  <c r="L112" i="62909" s="1"/>
  <c r="K87" i="62909"/>
  <c r="L87" i="62909" s="1"/>
  <c r="K116" i="62909"/>
  <c r="L116" i="62909" s="1"/>
  <c r="K89" i="62909"/>
  <c r="L89" i="62909" s="1"/>
  <c r="O118" i="62909"/>
  <c r="P118" i="62909" s="1"/>
  <c r="K101" i="62909"/>
  <c r="L101" i="62909" s="1"/>
  <c r="O150" i="62909"/>
  <c r="P150" i="62909" s="1"/>
  <c r="O134" i="62909"/>
  <c r="P134" i="62909" s="1"/>
  <c r="K134" i="62909"/>
  <c r="L134" i="62909" s="1"/>
  <c r="O132" i="62909"/>
  <c r="P132" i="62909" s="1"/>
  <c r="O154" i="62909"/>
  <c r="P154" i="62909" s="1"/>
  <c r="K140" i="62909"/>
  <c r="L140" i="62909" s="1"/>
  <c r="O116" i="62909"/>
  <c r="P116" i="62909" s="1"/>
  <c r="K144" i="62909"/>
  <c r="L144" i="62909" s="1"/>
  <c r="K180" i="62909"/>
  <c r="L180" i="62909" s="1"/>
  <c r="K182" i="62909"/>
  <c r="L182" i="62909" s="1"/>
  <c r="O178" i="62909"/>
  <c r="P178" i="62909" s="1"/>
  <c r="O170" i="62909"/>
  <c r="P170" i="62909" s="1"/>
  <c r="O148" i="62909"/>
  <c r="P148" i="62909" s="1"/>
  <c r="K148" i="62909"/>
  <c r="L148" i="62909" s="1"/>
  <c r="K142" i="62909"/>
  <c r="L142" i="62909" s="1"/>
  <c r="K174" i="62909"/>
  <c r="L174" i="62909" s="1"/>
  <c r="K184" i="62909"/>
  <c r="L184" i="62909" s="1"/>
  <c r="O184" i="62909"/>
  <c r="P184" i="62909" s="1"/>
  <c r="O46" i="62909"/>
  <c r="P46" i="62909" s="1"/>
  <c r="K93" i="62909"/>
  <c r="L93" i="62909" s="1"/>
  <c r="O108" i="62909"/>
  <c r="P108" i="62909" s="1"/>
  <c r="K102" i="62909"/>
  <c r="L102" i="62909" s="1"/>
  <c r="K46" i="62909"/>
  <c r="L46" i="62909" s="1"/>
  <c r="K122" i="62909"/>
  <c r="L122" i="62909" s="1"/>
  <c r="O93" i="62909"/>
  <c r="P93" i="62909" s="1"/>
  <c r="O122" i="62909"/>
  <c r="P122" i="62909" s="1"/>
  <c r="O119" i="62909"/>
  <c r="P119" i="62909" s="1"/>
  <c r="G606" i="62898"/>
  <c r="K606" i="62898"/>
  <c r="AN161" i="62898"/>
  <c r="AH161" i="62898"/>
  <c r="J161" i="62898"/>
  <c r="M161" i="62898" s="1"/>
  <c r="AM160" i="62898"/>
  <c r="AJ160" i="62898"/>
  <c r="AG160" i="62898"/>
  <c r="J160" i="62898"/>
  <c r="M160" i="62898" s="1"/>
  <c r="AN159" i="62898"/>
  <c r="AK159" i="62898"/>
  <c r="AH159" i="62898"/>
  <c r="I159" i="62898"/>
  <c r="L159" i="62898" s="1"/>
  <c r="AM158" i="62898"/>
  <c r="AJ158" i="62898"/>
  <c r="AG158" i="62898"/>
  <c r="J158" i="62898"/>
  <c r="M158" i="62898" s="1"/>
  <c r="AN157" i="62898"/>
  <c r="AK157" i="62898"/>
  <c r="AH157" i="62898"/>
  <c r="I157" i="62898"/>
  <c r="L157" i="62898" s="1"/>
  <c r="AM156" i="62898"/>
  <c r="AJ156" i="62898"/>
  <c r="AG156" i="62898"/>
  <c r="J156" i="62898"/>
  <c r="M156" i="62898" s="1"/>
  <c r="AN152" i="62898"/>
  <c r="AL152" i="62898"/>
  <c r="AJ152" i="62898"/>
  <c r="AH152" i="62898"/>
  <c r="I152" i="62898"/>
  <c r="L152" i="62898" s="1"/>
  <c r="AN151" i="62898"/>
  <c r="AL151" i="62898"/>
  <c r="AJ151" i="62898"/>
  <c r="AH151" i="62898"/>
  <c r="I151" i="62898"/>
  <c r="L151" i="62898" s="1"/>
  <c r="AN150" i="62898"/>
  <c r="AL150" i="62898"/>
  <c r="AJ150" i="62898"/>
  <c r="AH150" i="62898"/>
  <c r="I150" i="62898"/>
  <c r="L150" i="62898" s="1"/>
  <c r="AN149" i="62898"/>
  <c r="AL149" i="62898"/>
  <c r="AJ149" i="62898"/>
  <c r="AH149" i="62898"/>
  <c r="I149" i="62898"/>
  <c r="L149" i="62898" s="1"/>
  <c r="AN148" i="62898"/>
  <c r="AL148" i="62898"/>
  <c r="AJ148" i="62898"/>
  <c r="AH148" i="62898"/>
  <c r="I148" i="62898"/>
  <c r="L148" i="62898" s="1"/>
  <c r="AN145" i="62898"/>
  <c r="AH145" i="62898"/>
  <c r="J145" i="62898"/>
  <c r="M145" i="62898" s="1"/>
  <c r="AM144" i="62898"/>
  <c r="AJ144" i="62898"/>
  <c r="AG144" i="62898"/>
  <c r="J144" i="62898"/>
  <c r="M144" i="62898" s="1"/>
  <c r="AN143" i="62898"/>
  <c r="AK143" i="62898"/>
  <c r="AH143" i="62898"/>
  <c r="I143" i="62898"/>
  <c r="L143" i="62898" s="1"/>
  <c r="AO150" i="62898"/>
  <c r="AO152" i="62898"/>
  <c r="AV157" i="62898"/>
  <c r="AV159" i="62898"/>
  <c r="AV156" i="62898"/>
  <c r="AV150" i="62898"/>
  <c r="AV152" i="62898"/>
  <c r="AW157" i="62898"/>
  <c r="AW159" i="62898"/>
  <c r="AW161" i="62898"/>
  <c r="AW149" i="62898"/>
  <c r="AW151" i="62898"/>
  <c r="AW148" i="62898"/>
  <c r="AX150" i="62898"/>
  <c r="AX152" i="62898"/>
  <c r="AV144" i="62898"/>
  <c r="AW145" i="62898"/>
  <c r="AW143" i="62898"/>
  <c r="BI150" i="62898"/>
  <c r="BI152" i="62898"/>
  <c r="BJ157" i="62898"/>
  <c r="BJ159" i="62898"/>
  <c r="BJ156" i="62898"/>
  <c r="BJ150" i="62898"/>
  <c r="BJ152" i="62898"/>
  <c r="BJ144" i="62898"/>
  <c r="AK161" i="62898"/>
  <c r="AN160" i="62898"/>
  <c r="AH160" i="62898"/>
  <c r="I160" i="62898"/>
  <c r="L160" i="62898" s="1"/>
  <c r="AJ159" i="62898"/>
  <c r="AN158" i="62898"/>
  <c r="AH158" i="62898"/>
  <c r="I158" i="62898"/>
  <c r="L158" i="62898" s="1"/>
  <c r="AJ157" i="62898"/>
  <c r="AN156" i="62898"/>
  <c r="AH156" i="62898"/>
  <c r="I156" i="62898"/>
  <c r="L156" i="62898" s="1"/>
  <c r="AK152" i="62898"/>
  <c r="AG152" i="62898"/>
  <c r="J152" i="62898"/>
  <c r="M152" i="62898" s="1"/>
  <c r="AM151" i="62898"/>
  <c r="AI151" i="62898"/>
  <c r="H151" i="62898"/>
  <c r="K151" i="62898" s="1"/>
  <c r="AK150" i="62898"/>
  <c r="AG150" i="62898"/>
  <c r="J150" i="62898"/>
  <c r="M150" i="62898" s="1"/>
  <c r="AM149" i="62898"/>
  <c r="AI149" i="62898"/>
  <c r="H149" i="62898"/>
  <c r="K149" i="62898" s="1"/>
  <c r="AK148" i="62898"/>
  <c r="AG148" i="62898"/>
  <c r="J148" i="62898"/>
  <c r="M148" i="62898" s="1"/>
  <c r="AK145" i="62898"/>
  <c r="AN144" i="62898"/>
  <c r="AH144" i="62898"/>
  <c r="I144" i="62898"/>
  <c r="L144" i="62898" s="1"/>
  <c r="AJ143" i="62898"/>
  <c r="AO149" i="62898"/>
  <c r="AO148" i="62898"/>
  <c r="AV160" i="62898"/>
  <c r="AV151" i="62898"/>
  <c r="AW158" i="62898"/>
  <c r="AW156" i="62898"/>
  <c r="AW152" i="62898"/>
  <c r="AX151" i="62898"/>
  <c r="AW144" i="62898"/>
  <c r="BI149" i="62898"/>
  <c r="BI148" i="62898"/>
  <c r="BJ160" i="62898"/>
  <c r="BJ151" i="62898"/>
  <c r="BJ143" i="62898"/>
  <c r="BK158" i="62898"/>
  <c r="BK160" i="62898"/>
  <c r="BK156" i="62898"/>
  <c r="BK150" i="62898"/>
  <c r="BK152" i="62898"/>
  <c r="BK144" i="62898"/>
  <c r="BK143" i="62898"/>
  <c r="AK160" i="62898"/>
  <c r="AM159" i="62898"/>
  <c r="AG159" i="62898"/>
  <c r="J159" i="62898"/>
  <c r="M159" i="62898" s="1"/>
  <c r="AK158" i="62898"/>
  <c r="AG157" i="62898"/>
  <c r="J157" i="62898"/>
  <c r="M157" i="62898" s="1"/>
  <c r="AK156" i="62898"/>
  <c r="AM152" i="62898"/>
  <c r="H152" i="62898"/>
  <c r="K152" i="62898" s="1"/>
  <c r="AK151" i="62898"/>
  <c r="J151" i="62898"/>
  <c r="M151" i="62898" s="1"/>
  <c r="AI150" i="62898"/>
  <c r="AK149" i="62898"/>
  <c r="J149" i="62898"/>
  <c r="M149" i="62898" s="1"/>
  <c r="AI148" i="62898"/>
  <c r="AK144" i="62898"/>
  <c r="AM143" i="62898"/>
  <c r="AG143" i="62898"/>
  <c r="AO151" i="62898"/>
  <c r="AV149" i="62898"/>
  <c r="AW160" i="62898"/>
  <c r="AX149" i="62898"/>
  <c r="AV143" i="62898"/>
  <c r="BJ158" i="62898"/>
  <c r="BJ149" i="62898"/>
  <c r="BK157" i="62898"/>
  <c r="BK161" i="62898"/>
  <c r="BK151" i="62898"/>
  <c r="BK145" i="62898"/>
  <c r="AM157" i="62898"/>
  <c r="AI152" i="62898"/>
  <c r="AG151" i="62898"/>
  <c r="AM150" i="62898"/>
  <c r="H150" i="62898"/>
  <c r="K150" i="62898" s="1"/>
  <c r="AG149" i="62898"/>
  <c r="AM148" i="62898"/>
  <c r="H148" i="62898"/>
  <c r="K148" i="62898" s="1"/>
  <c r="J143" i="62898"/>
  <c r="M143" i="62898" s="1"/>
  <c r="AV158" i="62898"/>
  <c r="AV148" i="62898"/>
  <c r="AW150" i="62898"/>
  <c r="AX148" i="62898"/>
  <c r="BI151" i="62898"/>
  <c r="BJ148" i="62898"/>
  <c r="BK159" i="62898"/>
  <c r="BK149" i="62898"/>
  <c r="BK148" i="62898"/>
  <c r="BK202" i="62898"/>
  <c r="AW193" i="62898"/>
  <c r="AN193" i="62898"/>
  <c r="AK193" i="62898"/>
  <c r="AH193" i="62898"/>
  <c r="I193" i="62898"/>
  <c r="L193" i="62898" s="1"/>
  <c r="AX192" i="62898"/>
  <c r="AV192" i="62898"/>
  <c r="AN192" i="62898"/>
  <c r="AL192" i="62898"/>
  <c r="AJ192" i="62898"/>
  <c r="AH192" i="62898"/>
  <c r="I192" i="62898"/>
  <c r="L192" i="62898" s="1"/>
  <c r="AW191" i="62898"/>
  <c r="AK191" i="62898"/>
  <c r="J202" i="62898"/>
  <c r="AV193" i="62898"/>
  <c r="AM193" i="62898"/>
  <c r="AJ193" i="62898"/>
  <c r="AG193" i="62898"/>
  <c r="J193" i="62898"/>
  <c r="M193" i="62898" s="1"/>
  <c r="AW192" i="62898"/>
  <c r="AO192" i="62898"/>
  <c r="AM192" i="62898"/>
  <c r="AK192" i="62898"/>
  <c r="AI192" i="62898"/>
  <c r="AG192" i="62898"/>
  <c r="J192" i="62898"/>
  <c r="M192" i="62898" s="1"/>
  <c r="AN191" i="62898"/>
  <c r="AH191" i="62898"/>
  <c r="J191" i="62898"/>
  <c r="M191" i="62898" s="1"/>
  <c r="BK191" i="62898"/>
  <c r="BK193" i="62898"/>
  <c r="BJ193" i="62898"/>
  <c r="BK192" i="62898"/>
  <c r="BJ192" i="62898"/>
  <c r="BI192" i="62898"/>
  <c r="BL202" i="62898"/>
  <c r="I202" i="62898"/>
  <c r="BI183" i="62898"/>
  <c r="BN201" i="62898"/>
  <c r="AM201" i="62898"/>
  <c r="AG161" i="62898"/>
  <c r="BM201" i="62898"/>
  <c r="AL158" i="62898"/>
  <c r="AI144" i="62898"/>
  <c r="BI157" i="62898"/>
  <c r="H574" i="62898"/>
  <c r="H21" i="62915" s="1"/>
  <c r="T21" i="62915" s="1"/>
  <c r="G534" i="62898"/>
  <c r="G536" i="62898" s="1"/>
  <c r="K569" i="62898"/>
  <c r="K571" i="62898" s="1"/>
  <c r="F534" i="62898"/>
  <c r="F536" i="62898" s="1"/>
  <c r="M534" i="62898"/>
  <c r="M536" i="62898" s="1"/>
  <c r="G503" i="62898"/>
  <c r="G505" i="62898" s="1"/>
  <c r="G569" i="62898"/>
  <c r="G571" i="62898" s="1"/>
  <c r="J503" i="62898"/>
  <c r="J505" i="62898" s="1"/>
  <c r="J97" i="62898"/>
  <c r="I97" i="62898"/>
  <c r="N96" i="62898"/>
  <c r="M96" i="62898"/>
  <c r="BI87" i="62898"/>
  <c r="AX87" i="62898"/>
  <c r="AX86" i="62898"/>
  <c r="K87" i="62898"/>
  <c r="N87" i="62898" s="1"/>
  <c r="H77" i="62898"/>
  <c r="K77" i="62898" s="1"/>
  <c r="L87" i="62898"/>
  <c r="O87" i="62898" s="1"/>
  <c r="J78" i="62898"/>
  <c r="M78" i="62898" s="1"/>
  <c r="I77" i="62898"/>
  <c r="L77" i="62898" s="1"/>
  <c r="L88" i="62898"/>
  <c r="O88" i="62898" s="1"/>
  <c r="M86" i="62898"/>
  <c r="P86" i="62898" s="1"/>
  <c r="J77" i="62898"/>
  <c r="M77" i="62898" s="1"/>
  <c r="J76" i="62898"/>
  <c r="M76" i="62898" s="1"/>
  <c r="I78" i="62898"/>
  <c r="L78" i="62898" s="1"/>
  <c r="AX88" i="62898"/>
  <c r="AO87" i="62898"/>
  <c r="AL87" i="62898"/>
  <c r="AI87" i="62898"/>
  <c r="F503" i="62898"/>
  <c r="F505" i="62898" s="1"/>
  <c r="H503" i="62898"/>
  <c r="H505" i="62898" s="1"/>
  <c r="I569" i="62898"/>
  <c r="I571" i="62898" s="1"/>
  <c r="F606" i="62898"/>
  <c r="AG46" i="62898"/>
  <c r="AI46" i="62898"/>
  <c r="AK46" i="62898"/>
  <c r="AM46" i="62898"/>
  <c r="AO46" i="62898"/>
  <c r="AV46" i="62898"/>
  <c r="AX46" i="62898"/>
  <c r="AH47" i="62898"/>
  <c r="AJ47" i="62898"/>
  <c r="AL47" i="62898"/>
  <c r="AN47" i="62898"/>
  <c r="AV47" i="62898"/>
  <c r="AX47" i="62898"/>
  <c r="AH48" i="62898"/>
  <c r="AJ48" i="62898"/>
  <c r="AL48" i="62898"/>
  <c r="AN48" i="62898"/>
  <c r="AW48" i="62898"/>
  <c r="AG49" i="62898"/>
  <c r="AI49" i="62898"/>
  <c r="AK49" i="62898"/>
  <c r="AM49" i="62898"/>
  <c r="AO49" i="62898"/>
  <c r="AV49" i="62898"/>
  <c r="AX49" i="62898"/>
  <c r="BI46" i="62898"/>
  <c r="BK46" i="62898"/>
  <c r="BI47" i="62898"/>
  <c r="BK47" i="62898"/>
  <c r="BI48" i="62898"/>
  <c r="BK48" i="62898"/>
  <c r="BI49" i="62898"/>
  <c r="BK49" i="62898"/>
  <c r="J47" i="62898"/>
  <c r="M47" i="62898" s="1"/>
  <c r="J49" i="62898"/>
  <c r="M49" i="62898" s="1"/>
  <c r="I46" i="62898"/>
  <c r="L46" i="62898" s="1"/>
  <c r="I48" i="62898"/>
  <c r="L48" i="62898" s="1"/>
  <c r="I45" i="62898"/>
  <c r="L45" i="62898" s="1"/>
  <c r="H47" i="62898"/>
  <c r="K47" i="62898" s="1"/>
  <c r="H49" i="62898"/>
  <c r="K49" i="62898" s="1"/>
  <c r="J41" i="62898"/>
  <c r="M41" i="62898" s="1"/>
  <c r="J40" i="62898"/>
  <c r="M40" i="62898" s="1"/>
  <c r="I40" i="62898"/>
  <c r="L40" i="62898" s="1"/>
  <c r="AH46" i="62898"/>
  <c r="AJ46" i="62898"/>
  <c r="AL46" i="62898"/>
  <c r="AN46" i="62898"/>
  <c r="AW46" i="62898"/>
  <c r="AG47" i="62898"/>
  <c r="AI47" i="62898"/>
  <c r="AK47" i="62898"/>
  <c r="AM47" i="62898"/>
  <c r="AO47" i="62898"/>
  <c r="AW47" i="62898"/>
  <c r="AG48" i="62898"/>
  <c r="AI48" i="62898"/>
  <c r="AK48" i="62898"/>
  <c r="AM48" i="62898"/>
  <c r="AO48" i="62898"/>
  <c r="AV48" i="62898"/>
  <c r="AX48" i="62898"/>
  <c r="AH49" i="62898"/>
  <c r="AJ49" i="62898"/>
  <c r="AL49" i="62898"/>
  <c r="AN49" i="62898"/>
  <c r="AW49" i="62898"/>
  <c r="BJ46" i="62898"/>
  <c r="BJ47" i="62898"/>
  <c r="BJ48" i="62898"/>
  <c r="BJ49" i="62898"/>
  <c r="J46" i="62898"/>
  <c r="M46" i="62898" s="1"/>
  <c r="J48" i="62898"/>
  <c r="M48" i="62898" s="1"/>
  <c r="J45" i="62898"/>
  <c r="M45" i="62898" s="1"/>
  <c r="I47" i="62898"/>
  <c r="L47" i="62898" s="1"/>
  <c r="I49" i="62898"/>
  <c r="L49" i="62898" s="1"/>
  <c r="H46" i="62898"/>
  <c r="K46" i="62898" s="1"/>
  <c r="H48" i="62898"/>
  <c r="K48" i="62898" s="1"/>
  <c r="H45" i="62898"/>
  <c r="K45" i="62898" s="1"/>
  <c r="J42" i="62898"/>
  <c r="M42" i="62898" s="1"/>
  <c r="I41" i="62898"/>
  <c r="L41" i="62898" s="1"/>
  <c r="AW56" i="62898"/>
  <c r="AV54" i="62898"/>
  <c r="AN54" i="62898"/>
  <c r="AN58" i="62898"/>
  <c r="AM56" i="62898"/>
  <c r="AK56" i="62898"/>
  <c r="AJ54" i="62898"/>
  <c r="AH54" i="62898"/>
  <c r="AH58" i="62898"/>
  <c r="AG56" i="62898"/>
  <c r="AW57" i="62898"/>
  <c r="AV55" i="62898"/>
  <c r="AV53" i="62898"/>
  <c r="AN55" i="62898"/>
  <c r="AN53" i="62898"/>
  <c r="AM57" i="62898"/>
  <c r="AK57" i="62898"/>
  <c r="AJ55" i="62898"/>
  <c r="AJ53" i="62898"/>
  <c r="AH55" i="62898"/>
  <c r="AH53" i="62898"/>
  <c r="AG57" i="62898"/>
  <c r="J55" i="62898"/>
  <c r="M55" i="62898" s="1"/>
  <c r="N55" i="62898" s="1"/>
  <c r="J53" i="62898"/>
  <c r="M53" i="62898" s="1"/>
  <c r="N53" i="62898" s="1"/>
  <c r="I55" i="62898"/>
  <c r="L55" i="62898" s="1"/>
  <c r="I53" i="62898"/>
  <c r="L53" i="62898" s="1"/>
  <c r="J56" i="62898"/>
  <c r="M56" i="62898" s="1"/>
  <c r="N56" i="62898" s="1"/>
  <c r="H58" i="62898"/>
  <c r="K58" i="62898" s="1"/>
  <c r="I56" i="62898"/>
  <c r="L56" i="62898" s="1"/>
  <c r="BK58" i="62898"/>
  <c r="BK57" i="62898"/>
  <c r="BJ57" i="62898"/>
  <c r="BK56" i="62898"/>
  <c r="BJ56" i="62898"/>
  <c r="AK54" i="62898"/>
  <c r="AH56" i="62898"/>
  <c r="AW55" i="62898"/>
  <c r="AV57" i="62898"/>
  <c r="AN57" i="62898"/>
  <c r="AM53" i="62898"/>
  <c r="AK55" i="62898"/>
  <c r="AJ57" i="62898"/>
  <c r="AG55" i="62898"/>
  <c r="I57" i="62898"/>
  <c r="L57" i="62898" s="1"/>
  <c r="J58" i="62898"/>
  <c r="M58" i="62898" s="1"/>
  <c r="I54" i="62898"/>
  <c r="L54" i="62898" s="1"/>
  <c r="BJ55" i="62898"/>
  <c r="BK55" i="62898"/>
  <c r="BK53" i="62898"/>
  <c r="AW54" i="62898"/>
  <c r="AW58" i="62898"/>
  <c r="AV56" i="62898"/>
  <c r="AN56" i="62898"/>
  <c r="AM54" i="62898"/>
  <c r="AL56" i="62898"/>
  <c r="AK58" i="62898"/>
  <c r="AJ56" i="62898"/>
  <c r="AG54" i="62898"/>
  <c r="AW53" i="62898"/>
  <c r="AO53" i="62898"/>
  <c r="AM55" i="62898"/>
  <c r="AK53" i="62898"/>
  <c r="AH57" i="62898"/>
  <c r="AG53" i="62898"/>
  <c r="J57" i="62898"/>
  <c r="M57" i="62898" s="1"/>
  <c r="H53" i="62898"/>
  <c r="K53" i="62898" s="1"/>
  <c r="J54" i="62898"/>
  <c r="M54" i="62898" s="1"/>
  <c r="N54" i="62898" s="1"/>
  <c r="BK54" i="62898"/>
  <c r="BJ53" i="62898"/>
  <c r="BJ54" i="62898"/>
  <c r="B84" i="62892"/>
  <c r="B139" i="62892" s="1"/>
  <c r="B14" i="62907" s="1"/>
  <c r="N128" i="62909"/>
  <c r="N222" i="62909" s="1"/>
  <c r="J128" i="62909"/>
  <c r="J222" i="62909" s="1"/>
  <c r="B461" i="62898"/>
  <c r="B128" i="62909" s="1"/>
  <c r="K676" i="5"/>
  <c r="K679" i="5" s="1"/>
  <c r="K680" i="5"/>
  <c r="K682" i="5" s="1"/>
  <c r="K715" i="5"/>
  <c r="K717" i="5" s="1"/>
  <c r="H185" i="5"/>
  <c r="H186" i="5"/>
  <c r="I185" i="5"/>
  <c r="I186" i="5"/>
  <c r="B70" i="62892"/>
  <c r="B138" i="62892" s="1"/>
  <c r="B221" i="62909" s="1"/>
  <c r="B70" i="62910"/>
  <c r="B137" i="62910" s="1"/>
  <c r="J81" i="62909"/>
  <c r="J221" i="62909" s="1"/>
  <c r="O82" i="62909"/>
  <c r="N81" i="62909"/>
  <c r="N221" i="62909" s="1"/>
  <c r="H265" i="62928"/>
  <c r="H263" i="62928"/>
  <c r="H212" i="62928"/>
  <c r="H210" i="62928"/>
  <c r="H208" i="62928"/>
  <c r="H280" i="62928"/>
  <c r="H278" i="62928"/>
  <c r="H276" i="62928"/>
  <c r="H264" i="62928"/>
  <c r="H262" i="62928"/>
  <c r="H211" i="62928"/>
  <c r="H209" i="62928"/>
  <c r="H279" i="62928"/>
  <c r="H277" i="62928"/>
  <c r="H266" i="62928"/>
  <c r="B48" i="62892"/>
  <c r="B136" i="62892" s="1"/>
  <c r="B219" i="62909" s="1"/>
  <c r="B48" i="62910"/>
  <c r="B135" i="62910" s="1"/>
  <c r="G1031" i="62919"/>
  <c r="H277" i="7"/>
  <c r="H264" i="7"/>
  <c r="H276" i="7"/>
  <c r="H280" i="7"/>
  <c r="H265" i="7"/>
  <c r="H279" i="7"/>
  <c r="H266" i="7"/>
  <c r="H262" i="7"/>
  <c r="H263" i="7"/>
  <c r="H278" i="7"/>
  <c r="H211" i="7"/>
  <c r="H208" i="7"/>
  <c r="H209" i="7"/>
  <c r="H212" i="7"/>
  <c r="H210" i="7"/>
  <c r="B36" i="62910"/>
  <c r="B134" i="62910" s="1"/>
  <c r="K43" i="62909"/>
  <c r="L43" i="62909" s="1"/>
  <c r="L42" i="62909" s="1"/>
  <c r="L218" i="62909" s="1"/>
  <c r="H15" i="62929"/>
  <c r="T15" i="62929" s="1"/>
  <c r="O43" i="62909"/>
  <c r="B36" i="62892"/>
  <c r="B135" i="62892" s="1"/>
  <c r="I135" i="62892" s="1"/>
  <c r="E1031" i="62919"/>
  <c r="E1032" i="62919" s="1"/>
  <c r="E1033" i="62919" s="1"/>
  <c r="E1034" i="62919" s="1"/>
  <c r="E1035" i="62919" s="1"/>
  <c r="E133" i="62922"/>
  <c r="F569" i="62898"/>
  <c r="F571" i="62898" s="1"/>
  <c r="I606" i="62898"/>
  <c r="H281" i="62898"/>
  <c r="I281" i="62898" s="1"/>
  <c r="E600" i="62921"/>
  <c r="E988" i="62921"/>
  <c r="E989" i="62921" s="1"/>
  <c r="E990" i="62921" s="1"/>
  <c r="E315" i="62921"/>
  <c r="D315" i="62921" s="1"/>
  <c r="C315" i="62921" s="1"/>
  <c r="E14" i="62921"/>
  <c r="H283" i="62898"/>
  <c r="I283" i="62898" s="1"/>
  <c r="D987" i="62921"/>
  <c r="AJ41" i="62898"/>
  <c r="AM66" i="62898"/>
  <c r="BI241" i="62898"/>
  <c r="AG125" i="62898"/>
  <c r="AV40" i="62898"/>
  <c r="AW88" i="62898"/>
  <c r="AN41" i="62898"/>
  <c r="AK88" i="62898"/>
  <c r="AM97" i="62898"/>
  <c r="BJ41" i="62898"/>
  <c r="E202" i="62921"/>
  <c r="R123" i="62898"/>
  <c r="AJ122" i="62898"/>
  <c r="AV67" i="62898"/>
  <c r="AN40" i="62898"/>
  <c r="AW40" i="62898"/>
  <c r="BI40" i="62898"/>
  <c r="BI315" i="62898"/>
  <c r="AG17" i="62898"/>
  <c r="AN17" i="62898"/>
  <c r="BK97" i="62898"/>
  <c r="BK315" i="62898"/>
  <c r="AM314" i="62898"/>
  <c r="AK40" i="62898"/>
  <c r="AH41" i="62898"/>
  <c r="AL96" i="62898"/>
  <c r="AL40" i="62898"/>
  <c r="AM40" i="62898"/>
  <c r="AW41" i="62898"/>
  <c r="AM67" i="62898"/>
  <c r="AG41" i="62898"/>
  <c r="AJ40" i="62898"/>
  <c r="AV41" i="62898"/>
  <c r="AM96" i="62898"/>
  <c r="AV88" i="62898"/>
  <c r="AN88" i="62898"/>
  <c r="AH122" i="62898"/>
  <c r="AV125" i="62898"/>
  <c r="AJ332" i="62898"/>
  <c r="AH316" i="62898"/>
  <c r="H240" i="62898"/>
  <c r="AW19" i="62898"/>
  <c r="AJ121" i="62898"/>
  <c r="AW122" i="62898"/>
  <c r="AJ330" i="62898"/>
  <c r="AL97" i="62898"/>
  <c r="BJ240" i="62898"/>
  <c r="AV332" i="62898"/>
  <c r="AW66" i="62898"/>
  <c r="AK41" i="62898"/>
  <c r="AH40" i="62898"/>
  <c r="AM41" i="62898"/>
  <c r="AG97" i="62898"/>
  <c r="AG40" i="62898"/>
  <c r="AW123" i="62898"/>
  <c r="AH330" i="62898"/>
  <c r="H241" i="62898"/>
  <c r="AK125" i="62898"/>
  <c r="AH332" i="62898"/>
  <c r="AN124" i="62898"/>
  <c r="BP332" i="62898"/>
  <c r="AW20" i="62898"/>
  <c r="BO332" i="62898"/>
  <c r="O332" i="62898"/>
  <c r="AW125" i="62898"/>
  <c r="AG121" i="62898"/>
  <c r="AQ315" i="62898"/>
  <c r="AV120" i="62898"/>
  <c r="BI239" i="62898"/>
  <c r="AG328" i="62898"/>
  <c r="BP333" i="62898"/>
  <c r="R333" i="62898"/>
  <c r="BI281" i="62898"/>
  <c r="AK314" i="62898"/>
  <c r="K29" i="62898"/>
  <c r="N29" i="62898" s="1"/>
  <c r="AI29" i="62898" s="1"/>
  <c r="BM121" i="62898"/>
  <c r="P275" i="62898"/>
  <c r="AV87" i="62898"/>
  <c r="BL17" i="62898"/>
  <c r="I331" i="62898"/>
  <c r="AW316" i="62898"/>
  <c r="AV19" i="62898"/>
  <c r="AM330" i="62898"/>
  <c r="AW121" i="62898"/>
  <c r="L331" i="62898"/>
  <c r="AG316" i="62898"/>
  <c r="AN120" i="62898"/>
  <c r="BJ40" i="62898"/>
  <c r="H282" i="62898"/>
  <c r="I282" i="62898" s="1"/>
  <c r="H284" i="62898"/>
  <c r="I284" i="62898" s="1"/>
  <c r="E863" i="62921"/>
  <c r="E864" i="62921" s="1"/>
  <c r="E865" i="62921" s="1"/>
  <c r="E248" i="62921"/>
  <c r="BI240" i="62898"/>
  <c r="BI328" i="62898"/>
  <c r="R331" i="62898"/>
  <c r="M88" i="62898"/>
  <c r="P88" i="62898" s="1"/>
  <c r="AG120" i="62898"/>
  <c r="AW314" i="62898"/>
  <c r="K32" i="62898"/>
  <c r="N32" i="62898" s="1"/>
  <c r="AI32" i="62898" s="1"/>
  <c r="AU32" i="62898" s="1"/>
  <c r="BI124" i="62898"/>
  <c r="I314" i="62898"/>
  <c r="K314" i="62898" s="1"/>
  <c r="K30" i="62898"/>
  <c r="N30" i="62898" s="1"/>
  <c r="AI30" i="62898" s="1"/>
  <c r="AU30" i="62898" s="1"/>
  <c r="BJ86" i="62898"/>
  <c r="AW328" i="62898"/>
  <c r="AV122" i="62898"/>
  <c r="L123" i="62898"/>
  <c r="L329" i="62898"/>
  <c r="BM333" i="62898"/>
  <c r="BJ96" i="62898"/>
  <c r="AG315" i="62898"/>
  <c r="AN16" i="62898"/>
  <c r="I333" i="62898"/>
  <c r="AV315" i="62898"/>
  <c r="BK331" i="62898"/>
  <c r="BN18" i="62898"/>
  <c r="BJ124" i="62898"/>
  <c r="BI31" i="62898"/>
  <c r="BK281" i="62898"/>
  <c r="BI270" i="62898"/>
  <c r="BO121" i="62898"/>
  <c r="BJ88" i="62898"/>
  <c r="BK87" i="62898"/>
  <c r="BK86" i="62898"/>
  <c r="BM16" i="62898"/>
  <c r="BI42" i="62898"/>
  <c r="AN77" i="62898"/>
  <c r="BL328" i="62898"/>
  <c r="AW76" i="62898"/>
  <c r="AW42" i="62898"/>
  <c r="AV45" i="62898"/>
  <c r="AL45" i="62898"/>
  <c r="AL42" i="62898"/>
  <c r="BP330" i="62898"/>
  <c r="BK314" i="62898"/>
  <c r="BN21" i="62898"/>
  <c r="BJ333" i="62898"/>
  <c r="H213" i="62898"/>
  <c r="I213" i="62898" s="1"/>
  <c r="I215" i="62898" s="1"/>
  <c r="E475" i="62898" s="1"/>
  <c r="L124" i="62898"/>
  <c r="I270" i="62898"/>
  <c r="M270" i="62898" s="1"/>
  <c r="R328" i="62898"/>
  <c r="AK87" i="62898"/>
  <c r="L30" i="62898"/>
  <c r="O30" i="62898" s="1"/>
  <c r="AG30" i="62898" s="1"/>
  <c r="AS30" i="62898" s="1"/>
  <c r="O125" i="62898"/>
  <c r="BM21" i="62898"/>
  <c r="BI316" i="62898"/>
  <c r="BK329" i="62898"/>
  <c r="BJ330" i="62898"/>
  <c r="R125" i="62898"/>
  <c r="AK42" i="62898"/>
  <c r="AH45" i="62898"/>
  <c r="BO330" i="62898"/>
  <c r="BP328" i="62898"/>
  <c r="BP122" i="62898"/>
  <c r="BM96" i="62898"/>
  <c r="AJ88" i="62898"/>
  <c r="AG87" i="62898"/>
  <c r="AW86" i="62898"/>
  <c r="BK41" i="62898"/>
  <c r="BP19" i="62898"/>
  <c r="BP17" i="62898"/>
  <c r="AI77" i="62898"/>
  <c r="AM19" i="62898"/>
  <c r="AM20" i="62898"/>
  <c r="AM16" i="62898"/>
  <c r="E14" i="62922"/>
  <c r="I34" i="62915"/>
  <c r="U34" i="62915" s="1"/>
  <c r="M13" i="62914"/>
  <c r="M18" i="62929" s="1"/>
  <c r="Y18" i="62929" s="1"/>
  <c r="J230" i="62927"/>
  <c r="J147" i="62927"/>
  <c r="Z81" i="62927"/>
  <c r="S81" i="3"/>
  <c r="U81" i="3"/>
  <c r="T81" i="62927"/>
  <c r="V44" i="3"/>
  <c r="Z70" i="62927"/>
  <c r="Z73" i="62927"/>
  <c r="H70" i="3"/>
  <c r="I70" i="3" s="1"/>
  <c r="D70" i="3" s="1"/>
  <c r="H72" i="3"/>
  <c r="I72" i="3" s="1"/>
  <c r="D72" i="3" s="1"/>
  <c r="Z69" i="3"/>
  <c r="O69" i="3" s="1"/>
  <c r="L69" i="3" s="1"/>
  <c r="Z73" i="3"/>
  <c r="W73" i="3"/>
  <c r="U71" i="3"/>
  <c r="R69" i="62927"/>
  <c r="U70" i="62927"/>
  <c r="S72" i="62927"/>
  <c r="W73" i="62927"/>
  <c r="R73" i="3"/>
  <c r="T71" i="3"/>
  <c r="W68" i="3"/>
  <c r="M171" i="3" s="1"/>
  <c r="M181" i="3" s="1"/>
  <c r="T70" i="3"/>
  <c r="U73" i="3"/>
  <c r="W70" i="3"/>
  <c r="W68" i="62927"/>
  <c r="T70" i="62927"/>
  <c r="AC97" i="62904"/>
  <c r="V97" i="62904" s="1"/>
  <c r="J212" i="62927"/>
  <c r="K181" i="3"/>
  <c r="T32" i="3"/>
  <c r="T34" i="3" s="1"/>
  <c r="D32" i="3"/>
  <c r="D34" i="3" s="1"/>
  <c r="I34" i="3"/>
  <c r="V32" i="3"/>
  <c r="V34" i="3" s="1"/>
  <c r="D32" i="62927"/>
  <c r="D34" i="62927" s="1"/>
  <c r="T32" i="62927"/>
  <c r="T34" i="62927" s="1"/>
  <c r="I34" i="62927"/>
  <c r="V32" i="62927"/>
  <c r="V34" i="62927" s="1"/>
  <c r="AC148" i="62905"/>
  <c r="V148" i="62905" s="1"/>
  <c r="U73" i="62927"/>
  <c r="G12" i="62915"/>
  <c r="S12" i="62915" s="1"/>
  <c r="L25" i="62915"/>
  <c r="X25" i="62915" s="1"/>
  <c r="F12" i="62912"/>
  <c r="O12" i="62912" s="1"/>
  <c r="F13" i="62912"/>
  <c r="O13" i="62912" s="1"/>
  <c r="J24" i="62927"/>
  <c r="D24" i="62927" s="1"/>
  <c r="D26" i="62927" s="1"/>
  <c r="D43" i="62927"/>
  <c r="S43" i="62927"/>
  <c r="V43" i="62927"/>
  <c r="V46" i="62927" s="1"/>
  <c r="I46" i="62927"/>
  <c r="D111" i="62927" s="1"/>
  <c r="E111" i="62927" s="1"/>
  <c r="O44" i="3"/>
  <c r="L44" i="3" s="1"/>
  <c r="O32" i="3"/>
  <c r="L32" i="3" s="1"/>
  <c r="O44" i="62927"/>
  <c r="L44" i="62927" s="1"/>
  <c r="O32" i="62927"/>
  <c r="O34" i="62927" s="1"/>
  <c r="L34" i="62927" s="1"/>
  <c r="F13" i="62915"/>
  <c r="R13" i="62915" s="1"/>
  <c r="H12" i="62915"/>
  <c r="T12" i="62915" s="1"/>
  <c r="L13" i="62915"/>
  <c r="X13" i="62915" s="1"/>
  <c r="J13" i="62912"/>
  <c r="S13" i="62912" s="1"/>
  <c r="O43" i="62927"/>
  <c r="L43" i="62927" s="1"/>
  <c r="K27" i="62914"/>
  <c r="K32" i="62929" s="1"/>
  <c r="W32" i="62929" s="1"/>
  <c r="E1274" i="62919"/>
  <c r="E412" i="62919"/>
  <c r="D121" i="62919"/>
  <c r="E122" i="62919"/>
  <c r="E123" i="62919" s="1"/>
  <c r="E997" i="62919"/>
  <c r="D997" i="62919" s="1"/>
  <c r="E404" i="62919"/>
  <c r="D404" i="62919" s="1"/>
  <c r="E217" i="62919"/>
  <c r="D217" i="62919" s="1"/>
  <c r="E1856" i="62919"/>
  <c r="D1856" i="62919" s="1"/>
  <c r="E1762" i="62919"/>
  <c r="E1763" i="62919" s="1"/>
  <c r="E1764" i="62919" s="1"/>
  <c r="E916" i="62919"/>
  <c r="E917" i="62919" s="1"/>
  <c r="E918" i="62919" s="1"/>
  <c r="E919" i="62919" s="1"/>
  <c r="E920" i="62919" s="1"/>
  <c r="E921" i="62919" s="1"/>
  <c r="B217" i="62909"/>
  <c r="B9" i="62907"/>
  <c r="G29" i="62892"/>
  <c r="I142" i="62892"/>
  <c r="B225" i="62909"/>
  <c r="B17" i="62907"/>
  <c r="I134" i="62892"/>
  <c r="L212" i="3"/>
  <c r="L34" i="62915" s="1"/>
  <c r="X34" i="62915" s="1"/>
  <c r="J146" i="3"/>
  <c r="J147" i="3" s="1"/>
  <c r="E212" i="3"/>
  <c r="E213" i="3" s="1"/>
  <c r="E236" i="3"/>
  <c r="J234" i="62927"/>
  <c r="L65" i="62911"/>
  <c r="L13" i="62927"/>
  <c r="O15" i="62927"/>
  <c r="H112" i="11"/>
  <c r="G213" i="11"/>
  <c r="BI97" i="62898"/>
  <c r="BJ87" i="62898"/>
  <c r="BL16" i="62898"/>
  <c r="BI16" i="62898"/>
  <c r="BJ16" i="62898"/>
  <c r="M227" i="9"/>
  <c r="M229" i="9"/>
  <c r="M226" i="9"/>
  <c r="K227" i="9"/>
  <c r="K229" i="9"/>
  <c r="K226" i="9"/>
  <c r="N227" i="9"/>
  <c r="N229" i="9"/>
  <c r="N226" i="9"/>
  <c r="L227" i="9"/>
  <c r="L229" i="9"/>
  <c r="L226" i="9"/>
  <c r="H201" i="62928"/>
  <c r="E137" i="62924"/>
  <c r="D137" i="62924" s="1"/>
  <c r="C137" i="62924" s="1"/>
  <c r="G299" i="62926"/>
  <c r="F17" i="62912"/>
  <c r="O17" i="62912" s="1"/>
  <c r="M17" i="62915"/>
  <c r="Y17" i="62915" s="1"/>
  <c r="I751" i="5"/>
  <c r="H644" i="5"/>
  <c r="G649" i="5"/>
  <c r="G651" i="5" s="1"/>
  <c r="J649" i="5"/>
  <c r="J651" i="5" s="1"/>
  <c r="K752" i="5"/>
  <c r="BI29" i="62898"/>
  <c r="AJ86" i="62898"/>
  <c r="AM88" i="62898"/>
  <c r="AH86" i="62898"/>
  <c r="BI17" i="62898"/>
  <c r="BI32" i="62898"/>
  <c r="BM19" i="62898"/>
  <c r="AP38" i="62925"/>
  <c r="AO38" i="62925"/>
  <c r="AL38" i="62925"/>
  <c r="AK38" i="62925"/>
  <c r="AJ38" i="62925"/>
  <c r="AI38" i="62925"/>
  <c r="AH38" i="62925"/>
  <c r="AG38" i="62925"/>
  <c r="AF38" i="62925"/>
  <c r="AE38" i="62925"/>
  <c r="AG37" i="62925"/>
  <c r="AP37" i="62925"/>
  <c r="AO37" i="62925"/>
  <c r="AL37" i="62925"/>
  <c r="AK37" i="62925"/>
  <c r="AJ37" i="62925"/>
  <c r="AI37" i="62925"/>
  <c r="AH37" i="62925"/>
  <c r="AF37" i="62925"/>
  <c r="AE37" i="62925"/>
  <c r="K534" i="62898"/>
  <c r="K536" i="62898" s="1"/>
  <c r="AA305" i="62898"/>
  <c r="X305" i="62898" s="1"/>
  <c r="AA304" i="62898"/>
  <c r="X304" i="62898" s="1"/>
  <c r="I233" i="62898"/>
  <c r="AA173" i="62898"/>
  <c r="X173" i="62898" s="1"/>
  <c r="BL120" i="62898"/>
  <c r="BM120" i="62898"/>
  <c r="BI125" i="62898"/>
  <c r="AD23" i="62898"/>
  <c r="BI41" i="62898"/>
  <c r="AN86" i="62898"/>
  <c r="AG88" i="62898"/>
  <c r="AK86" i="62898"/>
  <c r="AW87" i="62898"/>
  <c r="AH88" i="62898"/>
  <c r="BJ17" i="62898"/>
  <c r="AJ87" i="62898"/>
  <c r="Q90" i="62898"/>
  <c r="D483" i="5"/>
  <c r="AF391" i="5"/>
  <c r="AE360" i="5"/>
  <c r="X360" i="5" s="1"/>
  <c r="AE339" i="5"/>
  <c r="X339" i="5" s="1"/>
  <c r="AE214" i="5"/>
  <c r="X214" i="5" s="1"/>
  <c r="G680" i="5"/>
  <c r="G682" i="5" s="1"/>
  <c r="AE175" i="5"/>
  <c r="X175" i="5" s="1"/>
  <c r="AE156" i="5"/>
  <c r="X156" i="5" s="1"/>
  <c r="AE154" i="5"/>
  <c r="X154" i="5" s="1"/>
  <c r="AE431" i="5"/>
  <c r="X431" i="5" s="1"/>
  <c r="I545" i="5"/>
  <c r="AE481" i="5"/>
  <c r="X481" i="5" s="1"/>
  <c r="AE433" i="5"/>
  <c r="X433" i="5" s="1"/>
  <c r="AE297" i="5"/>
  <c r="X297" i="5" s="1"/>
  <c r="AE296" i="5"/>
  <c r="X296" i="5" s="1"/>
  <c r="F680" i="5"/>
  <c r="F682" i="5" s="1"/>
  <c r="D252" i="5"/>
  <c r="I252" i="5"/>
  <c r="AE250" i="5"/>
  <c r="X250" i="5" s="1"/>
  <c r="AE248" i="5"/>
  <c r="X248" i="5" s="1"/>
  <c r="I217" i="5"/>
  <c r="AE215" i="5"/>
  <c r="X215" i="5" s="1"/>
  <c r="I715" i="5"/>
  <c r="I717" i="5" s="1"/>
  <c r="AE65" i="5"/>
  <c r="X65" i="5" s="1"/>
  <c r="I752" i="5"/>
  <c r="H649" i="5"/>
  <c r="AF148" i="5"/>
  <c r="P78" i="5"/>
  <c r="AE113" i="5"/>
  <c r="X113" i="5" s="1"/>
  <c r="AE112" i="5"/>
  <c r="X112" i="5" s="1"/>
  <c r="I116" i="5"/>
  <c r="AF24" i="5"/>
  <c r="I68" i="5"/>
  <c r="AE32" i="5"/>
  <c r="X32" i="5" s="1"/>
  <c r="AE31" i="5"/>
  <c r="X31" i="5" s="1"/>
  <c r="K213" i="11"/>
  <c r="L28" i="11"/>
  <c r="L30" i="11"/>
  <c r="L29" i="11"/>
  <c r="K178" i="11"/>
  <c r="G112" i="11"/>
  <c r="F178" i="11"/>
  <c r="J112" i="11"/>
  <c r="U335" i="62898"/>
  <c r="E485" i="62898" s="1"/>
  <c r="U127" i="62898"/>
  <c r="E467" i="62898" s="1"/>
  <c r="Q34" i="62898"/>
  <c r="E158" i="62927"/>
  <c r="E12" i="62912"/>
  <c r="N12" i="62912" s="1"/>
  <c r="L12" i="62915"/>
  <c r="X12" i="62915" s="1"/>
  <c r="G12" i="62912"/>
  <c r="P12" i="62912" s="1"/>
  <c r="J190" i="62927"/>
  <c r="J191" i="62927"/>
  <c r="M12" i="62914"/>
  <c r="M17" i="62929" s="1"/>
  <c r="Y17" i="62929" s="1"/>
  <c r="AP38" i="62926"/>
  <c r="AO38" i="62926"/>
  <c r="AP37" i="62926"/>
  <c r="AO37" i="62926"/>
  <c r="F240" i="62925"/>
  <c r="E1583" i="62917"/>
  <c r="D1583" i="62917" s="1"/>
  <c r="E193" i="3"/>
  <c r="G158" i="3"/>
  <c r="M158" i="3"/>
  <c r="I213" i="3"/>
  <c r="I13" i="62915"/>
  <c r="U13" i="62915" s="1"/>
  <c r="K147" i="3"/>
  <c r="G193" i="3"/>
  <c r="I146" i="3"/>
  <c r="F127" i="3"/>
  <c r="G13" i="62915"/>
  <c r="S13" i="62915" s="1"/>
  <c r="F158" i="3"/>
  <c r="G127" i="3"/>
  <c r="L193" i="3"/>
  <c r="E2422" i="62917"/>
  <c r="D2422" i="62917" s="1"/>
  <c r="C2422" i="62917" s="1"/>
  <c r="E315" i="62925"/>
  <c r="H234" i="62925"/>
  <c r="AH37" i="9"/>
  <c r="D435" i="5"/>
  <c r="I525" i="5"/>
  <c r="I435" i="5"/>
  <c r="AF207" i="5"/>
  <c r="AF332" i="5"/>
  <c r="AE432" i="5"/>
  <c r="X432" i="5" s="1"/>
  <c r="AF515" i="5"/>
  <c r="D64" i="5"/>
  <c r="AH64" i="5" s="1"/>
  <c r="AE64" i="5"/>
  <c r="D155" i="5"/>
  <c r="I158" i="5"/>
  <c r="D174" i="5"/>
  <c r="I178" i="5"/>
  <c r="D338" i="5"/>
  <c r="I342" i="5"/>
  <c r="X479" i="5"/>
  <c r="D358" i="5"/>
  <c r="I362" i="5"/>
  <c r="X16" i="62915"/>
  <c r="X18" i="62915" s="1"/>
  <c r="L18" i="62915"/>
  <c r="D398" i="5"/>
  <c r="AH398" i="5" s="1"/>
  <c r="AT398" i="5" s="1"/>
  <c r="AE398" i="5"/>
  <c r="X398" i="5" s="1"/>
  <c r="D397" i="5"/>
  <c r="I401" i="5"/>
  <c r="AE397" i="5"/>
  <c r="D298" i="5"/>
  <c r="I300" i="5"/>
  <c r="AE298" i="5"/>
  <c r="X298" i="5" s="1"/>
  <c r="D213" i="5"/>
  <c r="AE213" i="5"/>
  <c r="D114" i="5"/>
  <c r="AE114" i="5"/>
  <c r="X114" i="5" s="1"/>
  <c r="D30" i="5"/>
  <c r="I34" i="5"/>
  <c r="AE30" i="5"/>
  <c r="O18" i="62929"/>
  <c r="AA18" i="62929" s="1"/>
  <c r="AA13" i="62914"/>
  <c r="M680" i="5"/>
  <c r="M682" i="5" s="1"/>
  <c r="G752" i="5"/>
  <c r="F715" i="5"/>
  <c r="F717" i="5" s="1"/>
  <c r="F649" i="5"/>
  <c r="F651" i="5" s="1"/>
  <c r="G715" i="5"/>
  <c r="G717" i="5" s="1"/>
  <c r="F752" i="5"/>
  <c r="AE249" i="5"/>
  <c r="X249" i="5" s="1"/>
  <c r="AE358" i="5"/>
  <c r="X358" i="5" s="1"/>
  <c r="AE542" i="5"/>
  <c r="X542" i="5" s="1"/>
  <c r="AE523" i="5"/>
  <c r="X523" i="5" s="1"/>
  <c r="AE521" i="5"/>
  <c r="X521" i="5" s="1"/>
  <c r="X338" i="5"/>
  <c r="AH521" i="5"/>
  <c r="D525" i="5"/>
  <c r="X174" i="5"/>
  <c r="X541" i="5"/>
  <c r="AH65" i="5"/>
  <c r="AT65" i="5" s="1"/>
  <c r="AH543" i="5"/>
  <c r="AT543" i="5" s="1"/>
  <c r="D545" i="5"/>
  <c r="I757" i="5"/>
  <c r="H356" i="62928"/>
  <c r="F35" i="62914"/>
  <c r="F40" i="62929" s="1"/>
  <c r="R40" i="62929" s="1"/>
  <c r="I454" i="62928"/>
  <c r="K422" i="62928"/>
  <c r="K454" i="62928"/>
  <c r="G356" i="62928"/>
  <c r="F454" i="62928"/>
  <c r="G454" i="62928"/>
  <c r="M35" i="62914"/>
  <c r="M40" i="62929" s="1"/>
  <c r="Y40" i="62929" s="1"/>
  <c r="G35" i="62914"/>
  <c r="G40" i="62929" s="1"/>
  <c r="S40" i="62929" s="1"/>
  <c r="F424" i="7"/>
  <c r="K401" i="7"/>
  <c r="K35" i="62914"/>
  <c r="K40" i="62929" s="1"/>
  <c r="W40" i="62929" s="1"/>
  <c r="G358" i="7"/>
  <c r="G26" i="62912" s="1"/>
  <c r="P26" i="62912" s="1"/>
  <c r="J358" i="7"/>
  <c r="J26" i="62912" s="1"/>
  <c r="S26" i="62912" s="1"/>
  <c r="I456" i="7"/>
  <c r="I424" i="7"/>
  <c r="I26" i="62915" s="1"/>
  <c r="U26" i="62915" s="1"/>
  <c r="H358" i="7"/>
  <c r="F456" i="7"/>
  <c r="K456" i="7"/>
  <c r="K424" i="7"/>
  <c r="J236" i="62927"/>
  <c r="M181" i="62927"/>
  <c r="G181" i="62927"/>
  <c r="E181" i="62927"/>
  <c r="F181" i="62927"/>
  <c r="J203" i="62927"/>
  <c r="E13" i="62915"/>
  <c r="Q13" i="62915" s="1"/>
  <c r="H12" i="62912"/>
  <c r="Q12" i="62912" s="1"/>
  <c r="G13" i="62912"/>
  <c r="P13" i="62912" s="1"/>
  <c r="U35" i="62914"/>
  <c r="J203" i="3"/>
  <c r="T16" i="62914"/>
  <c r="T17" i="62914" s="1"/>
  <c r="O43" i="3"/>
  <c r="L43" i="3" s="1"/>
  <c r="L13" i="3"/>
  <c r="O15" i="3"/>
  <c r="I133" i="62892"/>
  <c r="B216" i="62909"/>
  <c r="B8" i="62907"/>
  <c r="E127" i="3"/>
  <c r="I15" i="3"/>
  <c r="R13" i="3"/>
  <c r="R15" i="3" s="1"/>
  <c r="D13" i="3"/>
  <c r="D15" i="3" s="1"/>
  <c r="D109" i="3" s="1"/>
  <c r="H25" i="62915"/>
  <c r="T25" i="62915" s="1"/>
  <c r="U24" i="62914"/>
  <c r="V21" i="62914"/>
  <c r="Y34" i="62914"/>
  <c r="I131" i="62892"/>
  <c r="B6" i="62907"/>
  <c r="AR64" i="62926"/>
  <c r="V20" i="62914"/>
  <c r="T30" i="62914"/>
  <c r="W16" i="62914"/>
  <c r="L21" i="62915"/>
  <c r="X21" i="62915" s="1"/>
  <c r="L588" i="62898"/>
  <c r="I30" i="62929"/>
  <c r="U30" i="62929" s="1"/>
  <c r="T29" i="62914"/>
  <c r="R34" i="62914"/>
  <c r="T20" i="62914"/>
  <c r="T21" i="62914"/>
  <c r="V19" i="62914"/>
  <c r="U22" i="62914"/>
  <c r="V31" i="62914"/>
  <c r="AX20" i="9"/>
  <c r="BH217" i="9"/>
  <c r="BH162" i="9"/>
  <c r="BB20" i="9"/>
  <c r="BF20" i="9"/>
  <c r="AZ20" i="9"/>
  <c r="BH90" i="9"/>
  <c r="BH174" i="9"/>
  <c r="BH207" i="9"/>
  <c r="BK230" i="9"/>
  <c r="BK229" i="9"/>
  <c r="BK228" i="9"/>
  <c r="BK227" i="9"/>
  <c r="BK226" i="9"/>
  <c r="H17" i="62914"/>
  <c r="H22" i="62929" s="1"/>
  <c r="T35" i="62914"/>
  <c r="T34" i="62914"/>
  <c r="J227" i="9"/>
  <c r="J229" i="9"/>
  <c r="J226" i="9"/>
  <c r="J228" i="9"/>
  <c r="J230" i="9"/>
  <c r="R36" i="62914"/>
  <c r="J20" i="62929"/>
  <c r="V20" i="62929" s="1"/>
  <c r="V22" i="62929" s="1"/>
  <c r="AA33" i="62914"/>
  <c r="AA31" i="62914"/>
  <c r="AA11" i="62914"/>
  <c r="V16" i="62914"/>
  <c r="V17" i="62914" s="1"/>
  <c r="V35" i="62914"/>
  <c r="N168" i="62909"/>
  <c r="N224" i="62909" s="1"/>
  <c r="BD18" i="9"/>
  <c r="BD17" i="9"/>
  <c r="BD16" i="9"/>
  <c r="E148" i="62924"/>
  <c r="AP54" i="9"/>
  <c r="AP127" i="9"/>
  <c r="E39" i="62924"/>
  <c r="E88" i="62924"/>
  <c r="E222" i="62924"/>
  <c r="D222" i="62924" s="1"/>
  <c r="H17" i="9"/>
  <c r="E15" i="62924"/>
  <c r="D15" i="62924" s="1"/>
  <c r="C15" i="62924" s="1"/>
  <c r="BK125" i="9"/>
  <c r="AD125" i="9" s="1"/>
  <c r="Y125" i="9" s="1"/>
  <c r="D57" i="9"/>
  <c r="BK127" i="9"/>
  <c r="AD127" i="9" s="1"/>
  <c r="Y127" i="9" s="1"/>
  <c r="K241" i="9"/>
  <c r="AH53" i="9"/>
  <c r="AP53" i="9" s="1"/>
  <c r="AP44" i="9"/>
  <c r="AV217" i="9"/>
  <c r="H53" i="9"/>
  <c r="D47" i="9"/>
  <c r="BK17" i="9"/>
  <c r="AD17" i="9" s="1"/>
  <c r="Y17" i="9" s="1"/>
  <c r="BK55" i="9"/>
  <c r="AD55" i="9" s="1"/>
  <c r="Y55" i="9" s="1"/>
  <c r="H18" i="9"/>
  <c r="H54" i="9"/>
  <c r="BK54" i="9"/>
  <c r="AD54" i="9" s="1"/>
  <c r="Y54" i="9" s="1"/>
  <c r="BK18" i="9"/>
  <c r="AD18" i="9" s="1"/>
  <c r="Y18" i="9" s="1"/>
  <c r="BK126" i="9"/>
  <c r="AD126" i="9" s="1"/>
  <c r="Y126" i="9" s="1"/>
  <c r="BK53" i="9"/>
  <c r="AD53" i="9" s="1"/>
  <c r="Y53" i="9" s="1"/>
  <c r="H125" i="9"/>
  <c r="H126" i="9"/>
  <c r="AP126" i="9"/>
  <c r="AH47" i="9"/>
  <c r="BH57" i="9"/>
  <c r="AP99" i="9"/>
  <c r="J57" i="9"/>
  <c r="AV129" i="9"/>
  <c r="AV174" i="9"/>
  <c r="D239" i="9"/>
  <c r="D241" i="9" s="1"/>
  <c r="J129" i="9"/>
  <c r="AP45" i="9"/>
  <c r="AP55" i="9"/>
  <c r="E1229" i="62919"/>
  <c r="D1229" i="62919" s="1"/>
  <c r="AP43" i="9"/>
  <c r="AV47" i="9"/>
  <c r="K47" i="9"/>
  <c r="BH129" i="9"/>
  <c r="AH215" i="9"/>
  <c r="AP215" i="9" s="1"/>
  <c r="AH214" i="9"/>
  <c r="AP214" i="9" s="1"/>
  <c r="BB232" i="9"/>
  <c r="BK239" i="9"/>
  <c r="H239" i="9"/>
  <c r="BH232" i="9"/>
  <c r="BH241" i="9" s="1"/>
  <c r="AH241" i="9"/>
  <c r="AP239" i="9"/>
  <c r="AP241" i="9" s="1"/>
  <c r="O14" i="62914"/>
  <c r="O19" i="62929" s="1"/>
  <c r="S34" i="62914"/>
  <c r="H29" i="62929"/>
  <c r="T29" i="62929" s="1"/>
  <c r="AA34" i="62914"/>
  <c r="U36" i="62914"/>
  <c r="AA32" i="62914"/>
  <c r="T22" i="62914"/>
  <c r="E71" i="62912"/>
  <c r="T11" i="62914"/>
  <c r="G59" i="62915"/>
  <c r="I17" i="62914"/>
  <c r="I22" i="62929" s="1"/>
  <c r="J29" i="62929"/>
  <c r="V29" i="62929" s="1"/>
  <c r="O31" i="62929"/>
  <c r="AA31" i="62929" s="1"/>
  <c r="AA42" i="62929" s="1"/>
  <c r="U34" i="62914"/>
  <c r="AC150" i="62905"/>
  <c r="V150" i="62905" s="1"/>
  <c r="V36" i="62914"/>
  <c r="W34" i="62914"/>
  <c r="AC149" i="62905"/>
  <c r="V149" i="62905" s="1"/>
  <c r="AA16" i="62914"/>
  <c r="E59" i="62915"/>
  <c r="AA20" i="62914"/>
  <c r="AA15" i="62914"/>
  <c r="AA12" i="62914"/>
  <c r="V11" i="62914"/>
  <c r="G62" i="62914"/>
  <c r="AA18" i="62915"/>
  <c r="D149" i="62905"/>
  <c r="AA22" i="62929"/>
  <c r="F334" i="62925"/>
  <c r="H59" i="62915"/>
  <c r="AA29" i="62914"/>
  <c r="U29" i="62914"/>
  <c r="G71" i="62912"/>
  <c r="V25" i="62914"/>
  <c r="T25" i="62914"/>
  <c r="AA30" i="62914"/>
  <c r="T31" i="62914"/>
  <c r="E190" i="62925"/>
  <c r="F16" i="62914"/>
  <c r="F21" i="62929" s="1"/>
  <c r="R21" i="62929" s="1"/>
  <c r="M264" i="62926"/>
  <c r="M16" i="62914"/>
  <c r="Y16" i="62914" s="1"/>
  <c r="I132" i="62892"/>
  <c r="B215" i="62909"/>
  <c r="B7" i="62907"/>
  <c r="J17" i="62912"/>
  <c r="S17" i="62912" s="1"/>
  <c r="G17" i="62915"/>
  <c r="S17" i="62915" s="1"/>
  <c r="G334" i="62925"/>
  <c r="J15" i="62929"/>
  <c r="V15" i="62929" s="1"/>
  <c r="O15" i="62929"/>
  <c r="AA15" i="62929" s="1"/>
  <c r="I15" i="62929"/>
  <c r="U15" i="62929" s="1"/>
  <c r="O37" i="62914"/>
  <c r="O42" i="62929" s="1"/>
  <c r="O17" i="62914"/>
  <c r="O22" i="62929" s="1"/>
  <c r="U19" i="62914"/>
  <c r="AR64" i="62925"/>
  <c r="Z34" i="62914"/>
  <c r="E62" i="62914"/>
  <c r="O35" i="62915"/>
  <c r="H71" i="62912"/>
  <c r="AA24" i="62914"/>
  <c r="U11" i="62914"/>
  <c r="X34" i="62914"/>
  <c r="V30" i="62914"/>
  <c r="L18" i="62912"/>
  <c r="R31" i="62912"/>
  <c r="AA27" i="62914"/>
  <c r="AA35" i="62914"/>
  <c r="W10" i="62914"/>
  <c r="U21" i="62914"/>
  <c r="AA22" i="62914"/>
  <c r="U15" i="62914"/>
  <c r="U16" i="62914"/>
  <c r="U31" i="62914"/>
  <c r="AA23" i="62914"/>
  <c r="AT63" i="62925"/>
  <c r="I232" i="62925"/>
  <c r="G16" i="62914"/>
  <c r="S16" i="62914" s="1"/>
  <c r="N16" i="62914"/>
  <c r="Z16" i="62914" s="1"/>
  <c r="T18" i="62915"/>
  <c r="O18" i="62915"/>
  <c r="AA35" i="62915"/>
  <c r="U18" i="62912"/>
  <c r="U15" i="62912"/>
  <c r="L15" i="62912"/>
  <c r="H20" i="62929"/>
  <c r="T20" i="62929" s="1"/>
  <c r="T22" i="62929" s="1"/>
  <c r="J17" i="62914"/>
  <c r="J22" i="62929" s="1"/>
  <c r="AA36" i="62914"/>
  <c r="AA21" i="62914"/>
  <c r="V22" i="62914"/>
  <c r="AR65" i="62926"/>
  <c r="Q34" i="62914"/>
  <c r="B214" i="62909"/>
  <c r="V34" i="62914"/>
  <c r="H62" i="62914"/>
  <c r="T36" i="62914"/>
  <c r="AA25" i="62914"/>
  <c r="U30" i="62914"/>
  <c r="U20" i="62914"/>
  <c r="F62" i="62914"/>
  <c r="T19" i="62914"/>
  <c r="V29" i="62914"/>
  <c r="V31" i="62915"/>
  <c r="H18" i="62915"/>
  <c r="AA19" i="62914"/>
  <c r="G17" i="62912"/>
  <c r="P17" i="62912" s="1"/>
  <c r="K17" i="62912"/>
  <c r="T17" i="62912" s="1"/>
  <c r="F17" i="62915"/>
  <c r="R17" i="62915" s="1"/>
  <c r="K17" i="62915"/>
  <c r="W17" i="62915" s="1"/>
  <c r="J298" i="62926"/>
  <c r="AH17" i="9"/>
  <c r="AP17" i="9" s="1"/>
  <c r="D129" i="9"/>
  <c r="E274" i="9" s="1"/>
  <c r="F274" i="9" s="1"/>
  <c r="AH125" i="9"/>
  <c r="AP125" i="9" s="1"/>
  <c r="BH47" i="9"/>
  <c r="H172" i="9"/>
  <c r="J172" i="9" s="1"/>
  <c r="D172" i="9" s="1"/>
  <c r="AH172" i="9" s="1"/>
  <c r="AP172" i="9" s="1"/>
  <c r="H171" i="9"/>
  <c r="J171" i="9" s="1"/>
  <c r="D171" i="9" s="1"/>
  <c r="AH171" i="9" s="1"/>
  <c r="AP171" i="9" s="1"/>
  <c r="BK172" i="9"/>
  <c r="BK170" i="9"/>
  <c r="AZ232" i="9"/>
  <c r="BD229" i="9"/>
  <c r="BD227" i="9"/>
  <c r="BF232" i="9"/>
  <c r="BF241" i="9" s="1"/>
  <c r="H127" i="9"/>
  <c r="H55" i="9"/>
  <c r="H15" i="9"/>
  <c r="J15" i="9" s="1"/>
  <c r="D15" i="9" s="1"/>
  <c r="D20" i="9" s="1"/>
  <c r="E261" i="9" s="1"/>
  <c r="H170" i="9"/>
  <c r="J170" i="9" s="1"/>
  <c r="D170" i="9" s="1"/>
  <c r="AH170" i="9" s="1"/>
  <c r="AP170" i="9" s="1"/>
  <c r="H16" i="9"/>
  <c r="BK16" i="9"/>
  <c r="AD16" i="9" s="1"/>
  <c r="Y16" i="9" s="1"/>
  <c r="BK171" i="9"/>
  <c r="BK15" i="9"/>
  <c r="AV102" i="9"/>
  <c r="AV57" i="9"/>
  <c r="AV232" i="9"/>
  <c r="AV241" i="9" s="1"/>
  <c r="G222" i="62924"/>
  <c r="AN228" i="9" s="1"/>
  <c r="N80" i="62898"/>
  <c r="R99" i="62898"/>
  <c r="AV77" i="62898"/>
  <c r="AK78" i="62898"/>
  <c r="AG78" i="62898"/>
  <c r="BK76" i="62898"/>
  <c r="AX77" i="62898"/>
  <c r="AX76" i="62898"/>
  <c r="AI76" i="62898"/>
  <c r="AL77" i="62898"/>
  <c r="H78" i="62898"/>
  <c r="K78" i="62898" s="1"/>
  <c r="H76" i="62898"/>
  <c r="K76" i="62898" s="1"/>
  <c r="BK78" i="62898"/>
  <c r="BI76" i="62898"/>
  <c r="AG77" i="62898"/>
  <c r="AH78" i="62898"/>
  <c r="AJ77" i="62898"/>
  <c r="AL76" i="62898"/>
  <c r="AO77" i="62898"/>
  <c r="BI77" i="62898"/>
  <c r="BI78" i="62898"/>
  <c r="AJ78" i="62898"/>
  <c r="AK77" i="62898"/>
  <c r="AN78" i="62898"/>
  <c r="AM77" i="62898"/>
  <c r="AV78" i="62898"/>
  <c r="AW77" i="62898"/>
  <c r="BJ45" i="62898"/>
  <c r="AW45" i="62898"/>
  <c r="AG45" i="62898"/>
  <c r="AM45" i="62898"/>
  <c r="AK45" i="62898"/>
  <c r="AI45" i="62898"/>
  <c r="AO45" i="62898"/>
  <c r="BJ42" i="62898"/>
  <c r="AG42" i="62898"/>
  <c r="AM42" i="62898"/>
  <c r="AH42" i="62898"/>
  <c r="AN42" i="62898"/>
  <c r="AV42" i="62898"/>
  <c r="AX42" i="62898"/>
  <c r="AV76" i="62898"/>
  <c r="AG76" i="62898"/>
  <c r="AK76" i="62898"/>
  <c r="AM76" i="62898"/>
  <c r="BN121" i="62898"/>
  <c r="BK333" i="62898"/>
  <c r="BI30" i="62898"/>
  <c r="BN16" i="62898"/>
  <c r="BK20" i="62898"/>
  <c r="BO123" i="62898"/>
  <c r="BP16" i="62898"/>
  <c r="BO120" i="62898"/>
  <c r="BN329" i="62898"/>
  <c r="BI21" i="62898"/>
  <c r="L122" i="62898"/>
  <c r="AN87" i="62898"/>
  <c r="BL123" i="62898"/>
  <c r="AJ125" i="62898"/>
  <c r="M87" i="62898"/>
  <c r="P87" i="62898" s="1"/>
  <c r="O123" i="62898"/>
  <c r="L328" i="62898"/>
  <c r="BJ97" i="62898"/>
  <c r="BL329" i="62898"/>
  <c r="BJ32" i="62898"/>
  <c r="BK30" i="62898"/>
  <c r="BK124" i="62898"/>
  <c r="BN96" i="62898"/>
  <c r="BP18" i="62898"/>
  <c r="BL333" i="62898"/>
  <c r="BL332" i="62898"/>
  <c r="BL125" i="62898"/>
  <c r="BN331" i="62898"/>
  <c r="BN17" i="62898"/>
  <c r="BO19" i="62898"/>
  <c r="BP120" i="62898"/>
  <c r="BN122" i="62898"/>
  <c r="BN328" i="62898"/>
  <c r="BO329" i="62898"/>
  <c r="BO331" i="62898"/>
  <c r="BI20" i="62898"/>
  <c r="BI332" i="62898"/>
  <c r="BK21" i="62898"/>
  <c r="BJ30" i="62898"/>
  <c r="BN123" i="62898"/>
  <c r="BM329" i="62898"/>
  <c r="O124" i="62898"/>
  <c r="BP20" i="62898"/>
  <c r="AP315" i="62898"/>
  <c r="BK17" i="62898"/>
  <c r="AW68" i="62898"/>
  <c r="AN333" i="62898"/>
  <c r="BM332" i="62898"/>
  <c r="O329" i="62898"/>
  <c r="AH314" i="62898"/>
  <c r="M30" i="62898"/>
  <c r="P30" i="62898" s="1"/>
  <c r="BM330" i="62898"/>
  <c r="BN20" i="62898"/>
  <c r="BP21" i="62898"/>
  <c r="R122" i="62898"/>
  <c r="R124" i="62898"/>
  <c r="I316" i="62898"/>
  <c r="BJ281" i="62898"/>
  <c r="BK88" i="62898"/>
  <c r="BK40" i="62898"/>
  <c r="AM87" i="62898"/>
  <c r="BK68" i="62898"/>
  <c r="AH87" i="62898"/>
  <c r="BL331" i="62898"/>
  <c r="AW330" i="62898"/>
  <c r="AN21" i="62898"/>
  <c r="AV16" i="62898"/>
  <c r="BK122" i="62898"/>
  <c r="AN315" i="62898"/>
  <c r="BO333" i="62898"/>
  <c r="BI19" i="62898"/>
  <c r="AP316" i="62898"/>
  <c r="M29" i="62898"/>
  <c r="P29" i="62898" s="1"/>
  <c r="H270" i="62898"/>
  <c r="BJ123" i="62898"/>
  <c r="I332" i="62898"/>
  <c r="D935" i="62921"/>
  <c r="AN76" i="62898"/>
  <c r="AJ76" i="62898"/>
  <c r="AH76" i="62898"/>
  <c r="BK42" i="62898"/>
  <c r="AN45" i="62898"/>
  <c r="AJ45" i="62898"/>
  <c r="AX45" i="62898"/>
  <c r="BI45" i="62898"/>
  <c r="AW78" i="62898"/>
  <c r="AM78" i="62898"/>
  <c r="AH77" i="62898"/>
  <c r="AL78" i="62898"/>
  <c r="BJ78" i="62898"/>
  <c r="BJ77" i="62898"/>
  <c r="E285" i="62922"/>
  <c r="E548" i="62922"/>
  <c r="L27" i="11"/>
  <c r="E418" i="62923"/>
  <c r="E382" i="62923"/>
  <c r="E253" i="62923"/>
  <c r="E12" i="62914"/>
  <c r="E158" i="3"/>
  <c r="G158" i="62927"/>
  <c r="D44" i="62927"/>
  <c r="S44" i="62927"/>
  <c r="M158" i="62927"/>
  <c r="AE94" i="62904"/>
  <c r="AE103" i="62904" s="1"/>
  <c r="AC94" i="62904"/>
  <c r="V94" i="62904" s="1"/>
  <c r="S73" i="62927"/>
  <c r="T72" i="62927"/>
  <c r="U71" i="62927"/>
  <c r="W70" i="62927"/>
  <c r="R70" i="62927"/>
  <c r="S69" i="62927"/>
  <c r="T68" i="62927"/>
  <c r="S69" i="3"/>
  <c r="S71" i="3"/>
  <c r="S70" i="3"/>
  <c r="T72" i="3"/>
  <c r="S68" i="3"/>
  <c r="W71" i="3"/>
  <c r="R72" i="3"/>
  <c r="R69" i="3"/>
  <c r="U70" i="3"/>
  <c r="S73" i="3"/>
  <c r="R71" i="3"/>
  <c r="T68" i="3"/>
  <c r="H69" i="62927"/>
  <c r="I69" i="62927" s="1"/>
  <c r="H70" i="62927"/>
  <c r="I70" i="62927" s="1"/>
  <c r="H71" i="62927"/>
  <c r="I71" i="62927" s="1"/>
  <c r="H72" i="62927"/>
  <c r="I72" i="62927" s="1"/>
  <c r="D72" i="62927" s="1"/>
  <c r="H73" i="62927"/>
  <c r="I73" i="62927" s="1"/>
  <c r="T73" i="62927"/>
  <c r="U72" i="62927"/>
  <c r="W71" i="62927"/>
  <c r="R71" i="62927"/>
  <c r="S70" i="62927"/>
  <c r="T69" i="62927"/>
  <c r="U68" i="62927"/>
  <c r="R70" i="3"/>
  <c r="W69" i="3"/>
  <c r="U68" i="3"/>
  <c r="S72" i="3"/>
  <c r="Z72" i="3"/>
  <c r="Z70" i="3"/>
  <c r="Z68" i="3"/>
  <c r="Z72" i="62927"/>
  <c r="Z69" i="62927"/>
  <c r="AE180" i="2"/>
  <c r="AQ180" i="2" s="1"/>
  <c r="AI182" i="2"/>
  <c r="AE147" i="62905"/>
  <c r="D147" i="62905"/>
  <c r="AC147" i="62905"/>
  <c r="V147" i="62905" s="1"/>
  <c r="H82" i="62927"/>
  <c r="J82" i="62927" s="1"/>
  <c r="D82" i="62927" s="1"/>
  <c r="S82" i="62927"/>
  <c r="T82" i="62927"/>
  <c r="T82" i="3"/>
  <c r="Z82" i="3"/>
  <c r="AA188" i="2"/>
  <c r="AQ179" i="2"/>
  <c r="J127" i="3"/>
  <c r="J234" i="3"/>
  <c r="F127" i="62927"/>
  <c r="J12" i="62912"/>
  <c r="S12" i="62912" s="1"/>
  <c r="I125" i="62927"/>
  <c r="F147" i="62927"/>
  <c r="E12" i="62915"/>
  <c r="Q12" i="62915" s="1"/>
  <c r="K26" i="62914"/>
  <c r="K31" i="62929" s="1"/>
  <c r="W31" i="62929" s="1"/>
  <c r="X180" i="2"/>
  <c r="Q180" i="2" s="1"/>
  <c r="V46" i="3"/>
  <c r="H81" i="3"/>
  <c r="J81" i="3" s="1"/>
  <c r="H82" i="3"/>
  <c r="J82" i="3" s="1"/>
  <c r="U82" i="62927"/>
  <c r="W81" i="62927"/>
  <c r="R81" i="62927"/>
  <c r="W81" i="3"/>
  <c r="S82" i="3"/>
  <c r="W82" i="62927"/>
  <c r="R82" i="62927"/>
  <c r="S81" i="62927"/>
  <c r="U82" i="3"/>
  <c r="R81" i="3"/>
  <c r="W82" i="3"/>
  <c r="R82" i="3"/>
  <c r="Z82" i="62927"/>
  <c r="Z81" i="3"/>
  <c r="AG96" i="62904"/>
  <c r="AM96" i="62904" s="1"/>
  <c r="AC96" i="62904"/>
  <c r="V96" i="62904" s="1"/>
  <c r="D96" i="62904"/>
  <c r="S43" i="3"/>
  <c r="S46" i="3" s="1"/>
  <c r="I46" i="3"/>
  <c r="D111" i="3" s="1"/>
  <c r="AM97" i="62904"/>
  <c r="AI103" i="62904"/>
  <c r="C37" i="62909"/>
  <c r="E37" i="62909" s="1"/>
  <c r="D46" i="3"/>
  <c r="AG95" i="62904"/>
  <c r="AC95" i="62904"/>
  <c r="AI148" i="62905"/>
  <c r="D148" i="62905"/>
  <c r="G78" i="62918"/>
  <c r="G76" i="62918"/>
  <c r="G74" i="62918"/>
  <c r="D181" i="2"/>
  <c r="X181" i="2"/>
  <c r="Q181" i="2" s="1"/>
  <c r="D179" i="2"/>
  <c r="X179" i="2"/>
  <c r="I137" i="62927"/>
  <c r="I147" i="62927" s="1"/>
  <c r="F12" i="62915"/>
  <c r="R12" i="62915" s="1"/>
  <c r="I124" i="62927"/>
  <c r="E193" i="62927"/>
  <c r="I137" i="3"/>
  <c r="D97" i="62904"/>
  <c r="E13" i="62918"/>
  <c r="AE181" i="2"/>
  <c r="AM150" i="62905"/>
  <c r="G122" i="62918"/>
  <c r="G118" i="62918"/>
  <c r="G114" i="62918"/>
  <c r="G110" i="62918"/>
  <c r="G106" i="62918"/>
  <c r="G102" i="62918"/>
  <c r="G96" i="62918"/>
  <c r="G97" i="62918"/>
  <c r="E73" i="62918"/>
  <c r="AQ13" i="62905"/>
  <c r="X133" i="62898"/>
  <c r="AA306" i="62898"/>
  <c r="X306" i="62898" s="1"/>
  <c r="AA134" i="62898"/>
  <c r="X134" i="62898" s="1"/>
  <c r="AA135" i="62898"/>
  <c r="X135" i="62898" s="1"/>
  <c r="D229" i="62898"/>
  <c r="AG229" i="62898" s="1"/>
  <c r="AS229" i="62898" s="1"/>
  <c r="AS233" i="62898" s="1"/>
  <c r="I137" i="62898"/>
  <c r="AA230" i="62898"/>
  <c r="X230" i="62898" s="1"/>
  <c r="AA229" i="62898"/>
  <c r="X229" i="62898" s="1"/>
  <c r="AA262" i="62898"/>
  <c r="X262" i="62898" s="1"/>
  <c r="AA261" i="62898"/>
  <c r="X261" i="62898" s="1"/>
  <c r="AA260" i="62898"/>
  <c r="X260" i="62898" s="1"/>
  <c r="AG133" i="62898"/>
  <c r="D137" i="62898"/>
  <c r="AG304" i="62898"/>
  <c r="D308" i="62898"/>
  <c r="L318" i="62898"/>
  <c r="D171" i="62898"/>
  <c r="I175" i="62898"/>
  <c r="AA171" i="62898"/>
  <c r="AG260" i="62898"/>
  <c r="D264" i="62898"/>
  <c r="E41" i="62929"/>
  <c r="Q41" i="62929" s="1"/>
  <c r="I264" i="62898"/>
  <c r="BJ76" i="62898"/>
  <c r="BK77" i="62898"/>
  <c r="K30" i="62929"/>
  <c r="W30" i="62929" s="1"/>
  <c r="U23" i="62898"/>
  <c r="BK45" i="62898"/>
  <c r="U57" i="11"/>
  <c r="M143" i="11"/>
  <c r="I213" i="11"/>
  <c r="G178" i="11"/>
  <c r="F213" i="11"/>
  <c r="U44" i="11"/>
  <c r="U43" i="11"/>
  <c r="U42" i="11"/>
  <c r="U41" i="11"/>
  <c r="AG42" i="11"/>
  <c r="Q136" i="62905"/>
  <c r="Q68" i="11"/>
  <c r="E35" i="62919"/>
  <c r="E14" i="62923"/>
  <c r="E32" i="62923"/>
  <c r="K143" i="11"/>
  <c r="K19" i="62914" s="1"/>
  <c r="F143" i="11"/>
  <c r="G143" i="11"/>
  <c r="I178" i="11"/>
  <c r="F112" i="11"/>
  <c r="U16" i="11"/>
  <c r="E276" i="62923"/>
  <c r="AE46" i="11"/>
  <c r="AC18" i="11"/>
  <c r="AI59" i="11"/>
  <c r="AG55" i="11"/>
  <c r="AA18" i="11"/>
  <c r="AG16" i="11"/>
  <c r="AG14" i="11"/>
  <c r="L18" i="11"/>
  <c r="U15" i="11"/>
  <c r="AE59" i="11"/>
  <c r="AC59" i="11"/>
  <c r="AG41" i="11"/>
  <c r="AU207" i="2"/>
  <c r="AU211" i="2" s="1"/>
  <c r="Y46" i="11"/>
  <c r="U56" i="11"/>
  <c r="K46" i="11"/>
  <c r="E79" i="11" s="1"/>
  <c r="AU182" i="2"/>
  <c r="AX207" i="2"/>
  <c r="AX211" i="2" s="1"/>
  <c r="U14" i="11"/>
  <c r="AA59" i="11"/>
  <c r="L59" i="11"/>
  <c r="U55" i="11"/>
  <c r="AI46" i="11"/>
  <c r="AI18" i="11"/>
  <c r="AE18" i="11"/>
  <c r="AC46" i="11"/>
  <c r="AG43" i="11"/>
  <c r="AA46" i="11"/>
  <c r="AG15" i="11"/>
  <c r="AG13" i="11"/>
  <c r="AG44" i="11"/>
  <c r="Y18" i="11"/>
  <c r="AG56" i="11"/>
  <c r="Y59" i="11"/>
  <c r="AG57" i="11"/>
  <c r="U13" i="11"/>
  <c r="G207" i="2"/>
  <c r="K207" i="2" s="1"/>
  <c r="H207" i="2"/>
  <c r="L207" i="2" s="1"/>
  <c r="I207" i="2"/>
  <c r="M207" i="2" s="1"/>
  <c r="J207" i="2"/>
  <c r="N207" i="2" s="1"/>
  <c r="BC207" i="2"/>
  <c r="BB207" i="2"/>
  <c r="BA207" i="2"/>
  <c r="BD207" i="2"/>
  <c r="AU179" i="2"/>
  <c r="AU181" i="2"/>
  <c r="AU184" i="2"/>
  <c r="AU186" i="2"/>
  <c r="AV207" i="2"/>
  <c r="AV211" i="2" s="1"/>
  <c r="AW207" i="2"/>
  <c r="AW211" i="2" s="1"/>
  <c r="AU185" i="2"/>
  <c r="AU180" i="2"/>
  <c r="G478" i="62922"/>
  <c r="BJ491" i="5" s="1"/>
  <c r="E478" i="62922"/>
  <c r="U24" i="5"/>
  <c r="O188" i="5"/>
  <c r="O352" i="5"/>
  <c r="P445" i="5"/>
  <c r="E258" i="62922"/>
  <c r="U207" i="5"/>
  <c r="O535" i="5"/>
  <c r="P262" i="5"/>
  <c r="O372" i="5"/>
  <c r="U148" i="5"/>
  <c r="U515" i="5"/>
  <c r="U332" i="5"/>
  <c r="R229" i="5"/>
  <c r="O555" i="5"/>
  <c r="AI74" i="5"/>
  <c r="U391" i="5"/>
  <c r="AR49" i="62904"/>
  <c r="F264" i="62925"/>
  <c r="L263" i="62925"/>
  <c r="E922" i="62917"/>
  <c r="E923" i="62917" s="1"/>
  <c r="E924" i="62917" s="1"/>
  <c r="E925" i="62917" s="1"/>
  <c r="E926" i="62917" s="1"/>
  <c r="L263" i="62926"/>
  <c r="F233" i="62926"/>
  <c r="J233" i="62926"/>
  <c r="I232" i="62926"/>
  <c r="G240" i="62925"/>
  <c r="K300" i="62925"/>
  <c r="G300" i="62925"/>
  <c r="M268" i="62925"/>
  <c r="E268" i="62925"/>
  <c r="G268" i="62925"/>
  <c r="E2235" i="62917"/>
  <c r="F249" i="62925"/>
  <c r="E2282" i="62917"/>
  <c r="E2283" i="62917" s="1"/>
  <c r="D2279" i="62917"/>
  <c r="Q67" i="11"/>
  <c r="Q135" i="62905"/>
  <c r="R69" i="11"/>
  <c r="O95" i="62919"/>
  <c r="H195" i="62928"/>
  <c r="H113" i="7"/>
  <c r="H120" i="62928"/>
  <c r="AD183" i="9"/>
  <c r="Y183" i="9" s="1"/>
  <c r="AP77" i="9"/>
  <c r="AP138" i="9"/>
  <c r="AP147" i="9"/>
  <c r="AD194" i="9"/>
  <c r="Y194" i="9" s="1"/>
  <c r="AP149" i="9"/>
  <c r="O84" i="62919"/>
  <c r="O82" i="62919"/>
  <c r="O86" i="62919"/>
  <c r="G38" i="62919"/>
  <c r="H238" i="62928"/>
  <c r="H248" i="7"/>
  <c r="H174" i="7"/>
  <c r="H57" i="7"/>
  <c r="H116" i="7"/>
  <c r="H142" i="7"/>
  <c r="H58" i="62928"/>
  <c r="H71" i="62928"/>
  <c r="H142" i="62928"/>
  <c r="H145" i="7"/>
  <c r="H123" i="7"/>
  <c r="H69" i="7"/>
  <c r="H58" i="7"/>
  <c r="H195" i="7"/>
  <c r="H114" i="62928"/>
  <c r="H244" i="62928"/>
  <c r="H56" i="62928"/>
  <c r="H134" i="7"/>
  <c r="H135" i="7"/>
  <c r="H56" i="7"/>
  <c r="H72" i="62928"/>
  <c r="D69" i="11"/>
  <c r="H83" i="7"/>
  <c r="H83" i="62928"/>
  <c r="H57" i="62928"/>
  <c r="H249" i="7"/>
  <c r="O81" i="62919"/>
  <c r="O83" i="62919"/>
  <c r="O85" i="62919"/>
  <c r="H122" i="62928"/>
  <c r="H116" i="62928"/>
  <c r="H85" i="7"/>
  <c r="H117" i="7"/>
  <c r="H129" i="7"/>
  <c r="H141" i="7"/>
  <c r="H182" i="7"/>
  <c r="H130" i="62928"/>
  <c r="AD191" i="9"/>
  <c r="Y191" i="9" s="1"/>
  <c r="H131" i="62928"/>
  <c r="H120" i="7"/>
  <c r="H145" i="62928"/>
  <c r="H238" i="7"/>
  <c r="H223" i="7"/>
  <c r="H247" i="7"/>
  <c r="H237" i="62928"/>
  <c r="H248" i="62928"/>
  <c r="BH151" i="9"/>
  <c r="BH185" i="9"/>
  <c r="BD157" i="9"/>
  <c r="AV162" i="9"/>
  <c r="D193" i="9"/>
  <c r="AP193" i="9"/>
  <c r="AP182" i="9"/>
  <c r="AD182" i="9"/>
  <c r="Y182" i="9" s="1"/>
  <c r="G121" i="62919"/>
  <c r="H223" i="62928"/>
  <c r="H215" i="62928"/>
  <c r="H249" i="62928"/>
  <c r="H219" i="62928"/>
  <c r="H219" i="7"/>
  <c r="H222" i="7"/>
  <c r="H244" i="7"/>
  <c r="H237" i="7"/>
  <c r="H205" i="7"/>
  <c r="H175" i="62928"/>
  <c r="H174" i="62928"/>
  <c r="H138" i="7"/>
  <c r="H128" i="7"/>
  <c r="H70" i="7"/>
  <c r="H130" i="7"/>
  <c r="H84" i="62928"/>
  <c r="H143" i="62928"/>
  <c r="H129" i="62928"/>
  <c r="H181" i="7"/>
  <c r="H72" i="7"/>
  <c r="H181" i="62928"/>
  <c r="H136" i="62928"/>
  <c r="H124" i="62928"/>
  <c r="H69" i="62928"/>
  <c r="H180" i="7"/>
  <c r="H143" i="7"/>
  <c r="H137" i="7"/>
  <c r="H131" i="7"/>
  <c r="H127" i="7"/>
  <c r="H121" i="7"/>
  <c r="H115" i="7"/>
  <c r="H71" i="7"/>
  <c r="H84" i="7"/>
  <c r="H86" i="7"/>
  <c r="H70" i="62928"/>
  <c r="H113" i="62928"/>
  <c r="H115" i="62928"/>
  <c r="H117" i="62928"/>
  <c r="H121" i="62928"/>
  <c r="H123" i="62928"/>
  <c r="H204" i="7"/>
  <c r="H218" i="7"/>
  <c r="H232" i="7"/>
  <c r="H259" i="7"/>
  <c r="H231" i="7"/>
  <c r="H201" i="7"/>
  <c r="H253" i="62928"/>
  <c r="H254" i="62928"/>
  <c r="H231" i="62928"/>
  <c r="H230" i="62928"/>
  <c r="H247" i="62928"/>
  <c r="H216" i="62928"/>
  <c r="H205" i="62928"/>
  <c r="H85" i="62928"/>
  <c r="H128" i="62928"/>
  <c r="H134" i="62928"/>
  <c r="H138" i="62928"/>
  <c r="H144" i="62928"/>
  <c r="H183" i="62928"/>
  <c r="AP137" i="9"/>
  <c r="H122" i="7"/>
  <c r="H144" i="7"/>
  <c r="H141" i="62928"/>
  <c r="H182" i="62928"/>
  <c r="H137" i="62928"/>
  <c r="H127" i="62928"/>
  <c r="H183" i="7"/>
  <c r="H136" i="7"/>
  <c r="H124" i="7"/>
  <c r="H114" i="7"/>
  <c r="H86" i="62928"/>
  <c r="H180" i="62928"/>
  <c r="J207" i="9"/>
  <c r="H135" i="62928"/>
  <c r="AD180" i="9"/>
  <c r="Y180" i="9" s="1"/>
  <c r="H175" i="7"/>
  <c r="H176" i="62928"/>
  <c r="H176" i="7"/>
  <c r="H252" i="7"/>
  <c r="H224" i="7"/>
  <c r="H257" i="7"/>
  <c r="H243" i="7"/>
  <c r="H229" i="7"/>
  <c r="H217" i="7"/>
  <c r="H258" i="7"/>
  <c r="H230" i="7"/>
  <c r="H254" i="7"/>
  <c r="H242" i="7"/>
  <c r="H226" i="7"/>
  <c r="H216" i="7"/>
  <c r="H253" i="7"/>
  <c r="H239" i="7"/>
  <c r="H225" i="7"/>
  <c r="H215" i="7"/>
  <c r="H200" i="7"/>
  <c r="H224" i="62928"/>
  <c r="H239" i="62928"/>
  <c r="H229" i="62928"/>
  <c r="H222" i="62928"/>
  <c r="H217" i="62928"/>
  <c r="H242" i="62928"/>
  <c r="H232" i="62928"/>
  <c r="H252" i="62928"/>
  <c r="H218" i="62928"/>
  <c r="H225" i="62928"/>
  <c r="H226" i="62928"/>
  <c r="H243" i="62928"/>
  <c r="H204" i="62928"/>
  <c r="E169" i="62919"/>
  <c r="AP183" i="9"/>
  <c r="J90" i="9"/>
  <c r="AD181" i="9"/>
  <c r="AP66" i="9"/>
  <c r="L185" i="9"/>
  <c r="L196" i="9"/>
  <c r="AP136" i="9"/>
  <c r="BH79" i="9"/>
  <c r="AD68" i="9"/>
  <c r="AV68" i="9"/>
  <c r="AV140" i="9"/>
  <c r="D182" i="9"/>
  <c r="AH182" i="9" s="1"/>
  <c r="AD140" i="9"/>
  <c r="L68" i="9"/>
  <c r="AP65" i="9"/>
  <c r="AD193" i="9"/>
  <c r="Y193" i="9" s="1"/>
  <c r="AP76" i="9"/>
  <c r="AP148" i="9"/>
  <c r="BH68" i="9"/>
  <c r="BH140" i="9"/>
  <c r="BH196" i="9"/>
  <c r="AP194" i="9"/>
  <c r="AV79" i="9"/>
  <c r="AV90" i="9"/>
  <c r="AD79" i="9"/>
  <c r="AD151" i="9"/>
  <c r="AV151" i="9"/>
  <c r="AV196" i="9"/>
  <c r="AV207" i="9"/>
  <c r="AV185" i="9"/>
  <c r="AD192" i="9"/>
  <c r="AP192" i="9"/>
  <c r="AP64" i="9"/>
  <c r="L79" i="9"/>
  <c r="J162" i="9"/>
  <c r="L140" i="9"/>
  <c r="AP181" i="9"/>
  <c r="L151" i="9"/>
  <c r="AP75" i="9"/>
  <c r="AH85" i="9"/>
  <c r="D90" i="9"/>
  <c r="E268" i="9" s="1"/>
  <c r="C176" i="62909" s="1"/>
  <c r="E176" i="62909" s="1"/>
  <c r="AH158" i="9"/>
  <c r="AP158" i="9" s="1"/>
  <c r="AH180" i="9"/>
  <c r="AH159" i="9"/>
  <c r="AP159" i="9" s="1"/>
  <c r="AH157" i="9"/>
  <c r="D162" i="9"/>
  <c r="E277" i="9" s="1"/>
  <c r="D207" i="9"/>
  <c r="AH202" i="9"/>
  <c r="AH146" i="9"/>
  <c r="D151" i="9"/>
  <c r="E276" i="9" s="1"/>
  <c r="D140" i="9"/>
  <c r="E275" i="9" s="1"/>
  <c r="AH136" i="9"/>
  <c r="AH140" i="9" s="1"/>
  <c r="AH65" i="9"/>
  <c r="AH68" i="9" s="1"/>
  <c r="D68" i="9"/>
  <c r="E266" i="9" s="1"/>
  <c r="AP135" i="9"/>
  <c r="D79" i="9"/>
  <c r="E267" i="9" s="1"/>
  <c r="AH74" i="9"/>
  <c r="H50" i="62926"/>
  <c r="I50" i="62926" s="1"/>
  <c r="L50" i="62926" s="1"/>
  <c r="AM50" i="62926" s="1"/>
  <c r="F273" i="62925"/>
  <c r="F274" i="62925"/>
  <c r="E240" i="62925"/>
  <c r="H240" i="62925"/>
  <c r="F234" i="62925"/>
  <c r="F268" i="62925"/>
  <c r="J234" i="62925"/>
  <c r="E300" i="62925"/>
  <c r="G234" i="62925"/>
  <c r="F300" i="62925"/>
  <c r="J240" i="62925"/>
  <c r="F306" i="62925"/>
  <c r="F337" i="62925" s="1"/>
  <c r="J249" i="62925"/>
  <c r="G315" i="62925"/>
  <c r="AG35" i="62925"/>
  <c r="BN109" i="9"/>
  <c r="AF19" i="62926"/>
  <c r="S108" i="9"/>
  <c r="BO114" i="9"/>
  <c r="BQ114" i="9"/>
  <c r="AJ19" i="62925"/>
  <c r="AK50" i="62926"/>
  <c r="AE19" i="62925"/>
  <c r="O111" i="9"/>
  <c r="E233" i="62925"/>
  <c r="AL23" i="62925"/>
  <c r="G365" i="62905"/>
  <c r="AK117" i="9"/>
  <c r="N580" i="62898"/>
  <c r="N27" i="62915" s="1"/>
  <c r="Z27" i="62915" s="1"/>
  <c r="AL20" i="62925"/>
  <c r="AJ105" i="62925"/>
  <c r="AL17" i="62926"/>
  <c r="I34" i="9"/>
  <c r="AJ48" i="62926"/>
  <c r="AG37" i="62904"/>
  <c r="G126" i="62926"/>
  <c r="H126" i="62926" s="1"/>
  <c r="AI20" i="62925"/>
  <c r="AW141" i="62925"/>
  <c r="AG25" i="62926"/>
  <c r="AJ105" i="62926"/>
  <c r="BP35" i="9"/>
  <c r="AH17" i="62926"/>
  <c r="AF25" i="62925"/>
  <c r="AX103" i="5"/>
  <c r="AO16" i="62925"/>
  <c r="AL105" i="62926"/>
  <c r="AO26" i="62925"/>
  <c r="G126" i="62925"/>
  <c r="H126" i="62925" s="1"/>
  <c r="AE126" i="62925" s="1"/>
  <c r="AI25" i="62926"/>
  <c r="AQ470" i="5"/>
  <c r="AR31" i="9"/>
  <c r="J32" i="9"/>
  <c r="AP16" i="62926"/>
  <c r="BU115" i="9"/>
  <c r="AF23" i="62925"/>
  <c r="AP105" i="62926"/>
  <c r="J111" i="9"/>
  <c r="BA34" i="62904"/>
  <c r="E299" i="62925"/>
  <c r="U106" i="5"/>
  <c r="G274" i="62925"/>
  <c r="F315" i="62925"/>
  <c r="E249" i="62925"/>
  <c r="G273" i="62925"/>
  <c r="G306" i="62925"/>
  <c r="G337" i="62925" s="1"/>
  <c r="L555" i="62898"/>
  <c r="L36" i="62914" s="1"/>
  <c r="X36" i="62914" s="1"/>
  <c r="G14" i="62926"/>
  <c r="G37" i="62925"/>
  <c r="AO34" i="62904"/>
  <c r="K35" i="62904"/>
  <c r="AO35" i="62926"/>
  <c r="AO288" i="5"/>
  <c r="BU31" i="9"/>
  <c r="O109" i="9"/>
  <c r="AL48" i="62925"/>
  <c r="AI471" i="5"/>
  <c r="R35" i="9"/>
  <c r="M29" i="9"/>
  <c r="BO32" i="9"/>
  <c r="BT114" i="9"/>
  <c r="AV252" i="62898"/>
  <c r="AX106" i="62926"/>
  <c r="AH106" i="62926"/>
  <c r="AF34" i="62926"/>
  <c r="AW116" i="62926"/>
  <c r="AH34" i="62925"/>
  <c r="AH107" i="62926"/>
  <c r="AK26" i="62926"/>
  <c r="AH20" i="62926"/>
  <c r="AW147" i="62925"/>
  <c r="AL14" i="62925"/>
  <c r="BT29" i="9"/>
  <c r="P35" i="9"/>
  <c r="AV251" i="62898"/>
  <c r="AL471" i="5"/>
  <c r="AK23" i="62926"/>
  <c r="AH107" i="62925"/>
  <c r="AJ23" i="62925"/>
  <c r="AE17" i="62926"/>
  <c r="AG106" i="62925"/>
  <c r="AI107" i="62925"/>
  <c r="AH17" i="62925"/>
  <c r="AP50" i="62926"/>
  <c r="AO56" i="5"/>
  <c r="BU34" i="9"/>
  <c r="BT32" i="9"/>
  <c r="P29" i="9"/>
  <c r="J35" i="9"/>
  <c r="BP32" i="9"/>
  <c r="M111" i="9"/>
  <c r="L115" i="9"/>
  <c r="AH55" i="5"/>
  <c r="G116" i="62926"/>
  <c r="H116" i="62926" s="1"/>
  <c r="H161" i="62926"/>
  <c r="J161" i="62926" s="1"/>
  <c r="K161" i="62926" s="1"/>
  <c r="D161" i="62926" s="1"/>
  <c r="AG20" i="62926"/>
  <c r="AF23" i="62926"/>
  <c r="AK16" i="62926"/>
  <c r="G149" i="62925"/>
  <c r="AI105" i="62925"/>
  <c r="AO22" i="62925"/>
  <c r="G115" i="62925"/>
  <c r="H115" i="62925" s="1"/>
  <c r="H158" i="62926"/>
  <c r="J158" i="62926" s="1"/>
  <c r="K158" i="62926" s="1"/>
  <c r="AE158" i="62926" s="1"/>
  <c r="G148" i="62926"/>
  <c r="H148" i="62926" s="1"/>
  <c r="AE20" i="62926"/>
  <c r="AH23" i="62926"/>
  <c r="AG17" i="62926"/>
  <c r="AW158" i="62926"/>
  <c r="AG22" i="62925"/>
  <c r="AE107" i="62925"/>
  <c r="AP25" i="62925"/>
  <c r="AW115" i="62925"/>
  <c r="AP17" i="62925"/>
  <c r="AK105" i="62925"/>
  <c r="AK25" i="62925"/>
  <c r="AW129" i="62925"/>
  <c r="AW161" i="62925"/>
  <c r="AW118" i="62925"/>
  <c r="J240" i="62926"/>
  <c r="BS31" i="9"/>
  <c r="AX22" i="62904"/>
  <c r="BS34" i="9"/>
  <c r="AV22" i="62904"/>
  <c r="AL16" i="62925"/>
  <c r="AH106" i="62925"/>
  <c r="AL17" i="62925"/>
  <c r="I101" i="62925"/>
  <c r="T101" i="62925" s="1"/>
  <c r="AK26" i="62925"/>
  <c r="AW172" i="62925"/>
  <c r="AH34" i="62926"/>
  <c r="AG107" i="62926"/>
  <c r="AL22" i="62925"/>
  <c r="AO17" i="62925"/>
  <c r="G142" i="62925"/>
  <c r="H142" i="62925" s="1"/>
  <c r="D142" i="62925" s="1"/>
  <c r="AJ34" i="62926"/>
  <c r="AI107" i="62926"/>
  <c r="AX107" i="62925"/>
  <c r="AH295" i="62898"/>
  <c r="BT112" i="9"/>
  <c r="BO29" i="9"/>
  <c r="AG25" i="62904"/>
  <c r="AN422" i="5"/>
  <c r="AK22" i="62925"/>
  <c r="AW117" i="62926"/>
  <c r="AI19" i="62925"/>
  <c r="AW172" i="62926"/>
  <c r="S111" i="9"/>
  <c r="AR470" i="5"/>
  <c r="AI422" i="5"/>
  <c r="AW138" i="62926"/>
  <c r="G128" i="62926"/>
  <c r="H128" i="62926" s="1"/>
  <c r="D128" i="62926" s="1"/>
  <c r="AL107" i="62925"/>
  <c r="AE25" i="62926"/>
  <c r="AH103" i="5"/>
  <c r="AM296" i="62898"/>
  <c r="S34" i="9"/>
  <c r="AK423" i="5"/>
  <c r="AL14" i="62926"/>
  <c r="AN423" i="5"/>
  <c r="I63" i="62925"/>
  <c r="AW52" i="62925"/>
  <c r="AX23" i="62926"/>
  <c r="AW74" i="62925"/>
  <c r="Q14" i="62926"/>
  <c r="G73" i="62925"/>
  <c r="I73" i="62925" s="1"/>
  <c r="D73" i="62925" s="1"/>
  <c r="BN295" i="62898"/>
  <c r="AY19" i="62904"/>
  <c r="K22" i="62904"/>
  <c r="L16" i="62904"/>
  <c r="K25" i="62904"/>
  <c r="I65" i="62926"/>
  <c r="AL50" i="62926"/>
  <c r="AI48" i="62925"/>
  <c r="AE50" i="62925"/>
  <c r="AI423" i="5"/>
  <c r="AR56" i="5"/>
  <c r="AQ55" i="5"/>
  <c r="AK471" i="5"/>
  <c r="L35" i="9"/>
  <c r="AR29" i="9"/>
  <c r="AF52" i="62926"/>
  <c r="AO35" i="62925"/>
  <c r="AW422" i="5"/>
  <c r="AX240" i="5"/>
  <c r="AK287" i="5"/>
  <c r="BS32" i="9"/>
  <c r="M112" i="9"/>
  <c r="AG34" i="62904"/>
  <c r="S31" i="9"/>
  <c r="S109" i="9"/>
  <c r="BO35" i="9"/>
  <c r="BR112" i="9"/>
  <c r="AQ29" i="9"/>
  <c r="AW296" i="62898"/>
  <c r="AN296" i="62898"/>
  <c r="AW251" i="62898"/>
  <c r="G144" i="62926"/>
  <c r="H144" i="62926" s="1"/>
  <c r="AE144" i="62926" s="1"/>
  <c r="G149" i="62926"/>
  <c r="H149" i="62926" s="1"/>
  <c r="AE149" i="62926" s="1"/>
  <c r="AG19" i="62926"/>
  <c r="AL22" i="62926"/>
  <c r="AW129" i="62926"/>
  <c r="G147" i="62925"/>
  <c r="H147" i="62925" s="1"/>
  <c r="AE147" i="62925" s="1"/>
  <c r="AG23" i="62925"/>
  <c r="G117" i="62925"/>
  <c r="H117" i="62925" s="1"/>
  <c r="H169" i="62926"/>
  <c r="J169" i="62926" s="1"/>
  <c r="K169" i="62926" s="1"/>
  <c r="AE169" i="62926" s="1"/>
  <c r="AW171" i="62926"/>
  <c r="I102" i="62926"/>
  <c r="T102" i="62926" s="1"/>
  <c r="AG22" i="62926"/>
  <c r="AJ25" i="62926"/>
  <c r="AH16" i="62926"/>
  <c r="AW161" i="62926"/>
  <c r="AW126" i="62925"/>
  <c r="AG48" i="62926"/>
  <c r="BT34" i="9"/>
  <c r="AK422" i="5"/>
  <c r="L112" i="9"/>
  <c r="J31" i="9"/>
  <c r="BN34" i="9"/>
  <c r="R115" i="9"/>
  <c r="AW252" i="62898"/>
  <c r="H172" i="62926"/>
  <c r="J172" i="62926" s="1"/>
  <c r="K172" i="62926" s="1"/>
  <c r="D172" i="62926" s="1"/>
  <c r="AI105" i="62926"/>
  <c r="AL26" i="62926"/>
  <c r="AW144" i="62926"/>
  <c r="AL34" i="62925"/>
  <c r="AF106" i="62925"/>
  <c r="AL107" i="62926"/>
  <c r="AP35" i="62926"/>
  <c r="AJ22" i="62926"/>
  <c r="H170" i="62925"/>
  <c r="J170" i="62925" s="1"/>
  <c r="K170" i="62925" s="1"/>
  <c r="AF34" i="62925"/>
  <c r="AG17" i="62925"/>
  <c r="AW159" i="62925"/>
  <c r="AW117" i="62925"/>
  <c r="AJ52" i="62926"/>
  <c r="AG48" i="62925"/>
  <c r="AN239" i="5"/>
  <c r="AL423" i="5"/>
  <c r="AQ471" i="5"/>
  <c r="R109" i="9"/>
  <c r="BT115" i="9"/>
  <c r="M273" i="62925"/>
  <c r="E274" i="62925"/>
  <c r="K306" i="62925"/>
  <c r="K337" i="62925" s="1"/>
  <c r="K315" i="62925"/>
  <c r="H249" i="62925"/>
  <c r="G249" i="62925"/>
  <c r="E273" i="62925"/>
  <c r="M274" i="62925"/>
  <c r="E306" i="62925"/>
  <c r="E337" i="62925" s="1"/>
  <c r="BS288" i="5"/>
  <c r="J580" i="62898"/>
  <c r="J27" i="62915" s="1"/>
  <c r="V27" i="62915" s="1"/>
  <c r="J28" i="9"/>
  <c r="AY13" i="62926"/>
  <c r="BO111" i="9"/>
  <c r="BC14" i="62926"/>
  <c r="M26" i="62925"/>
  <c r="K19" i="62926"/>
  <c r="R287" i="5"/>
  <c r="K14" i="62925"/>
  <c r="AV19" i="62926"/>
  <c r="AK14" i="62904"/>
  <c r="BA14" i="62925"/>
  <c r="H75" i="62904"/>
  <c r="I75" i="62904" s="1"/>
  <c r="D75" i="62904" s="1"/>
  <c r="Q37" i="62925"/>
  <c r="AZ26" i="62925"/>
  <c r="AZ37" i="62926"/>
  <c r="BM422" i="5"/>
  <c r="AW19" i="62926"/>
  <c r="BQ239" i="5"/>
  <c r="BQ103" i="5"/>
  <c r="H91" i="62926"/>
  <c r="K91" i="62926" s="1"/>
  <c r="AF91" i="62926" s="1"/>
  <c r="AY20" i="62926"/>
  <c r="AV17" i="62904"/>
  <c r="BS470" i="5"/>
  <c r="AP26" i="62904"/>
  <c r="AT101" i="62925"/>
  <c r="O20" i="62904"/>
  <c r="AZ34" i="62904"/>
  <c r="R38" i="62904"/>
  <c r="J37" i="62925"/>
  <c r="N470" i="5"/>
  <c r="AW141" i="62926"/>
  <c r="AP20" i="62904"/>
  <c r="BC20" i="62904"/>
  <c r="L34" i="62904"/>
  <c r="AW37" i="62926"/>
  <c r="J35" i="62925"/>
  <c r="J23" i="62926"/>
  <c r="AX25" i="62925"/>
  <c r="AY34" i="62925"/>
  <c r="AW180" i="62925"/>
  <c r="G93" i="62925"/>
  <c r="K93" i="62925" s="1"/>
  <c r="AE93" i="62925" s="1"/>
  <c r="G73" i="62926"/>
  <c r="I73" i="62926" s="1"/>
  <c r="D73" i="62926" s="1"/>
  <c r="AY35" i="62904"/>
  <c r="AX14" i="62926"/>
  <c r="M14" i="62925"/>
  <c r="G22" i="62925"/>
  <c r="P35" i="62925"/>
  <c r="M14" i="62926"/>
  <c r="G20" i="62926"/>
  <c r="M34" i="62926"/>
  <c r="G38" i="62926"/>
  <c r="AY14" i="62925"/>
  <c r="AX19" i="62925"/>
  <c r="AX23" i="62925"/>
  <c r="BL56" i="5"/>
  <c r="Q287" i="5"/>
  <c r="BN251" i="62898"/>
  <c r="AX35" i="62925"/>
  <c r="BR251" i="62898"/>
  <c r="AY34" i="62926"/>
  <c r="BQ470" i="5"/>
  <c r="AW91" i="62925"/>
  <c r="G75" i="62926"/>
  <c r="I75" i="62926" s="1"/>
  <c r="AE75" i="62926" s="1"/>
  <c r="AF107" i="62926"/>
  <c r="K55" i="5"/>
  <c r="G35" i="62925"/>
  <c r="M23" i="62925"/>
  <c r="M19" i="62925"/>
  <c r="P14" i="62925"/>
  <c r="M25" i="62926"/>
  <c r="P19" i="62926"/>
  <c r="J14" i="62926"/>
  <c r="AW16" i="62904"/>
  <c r="AW34" i="62904"/>
  <c r="AW14" i="62904"/>
  <c r="AX16" i="62904"/>
  <c r="AW25" i="62904"/>
  <c r="AX35" i="62904"/>
  <c r="AW61" i="62904"/>
  <c r="N422" i="5"/>
  <c r="Q295" i="62898"/>
  <c r="H50" i="62925"/>
  <c r="I50" i="62925" s="1"/>
  <c r="L50" i="62925" s="1"/>
  <c r="AM50" i="62925" s="1"/>
  <c r="AV13" i="62904"/>
  <c r="I423" i="5"/>
  <c r="L296" i="62898"/>
  <c r="AJ14" i="62904"/>
  <c r="K16" i="62925"/>
  <c r="AY14" i="62926"/>
  <c r="N25" i="62925"/>
  <c r="AZ17" i="62925"/>
  <c r="AZ14" i="62926"/>
  <c r="H14" i="62925"/>
  <c r="M17" i="62925"/>
  <c r="AQ252" i="62898"/>
  <c r="BB17" i="62904"/>
  <c r="AX37" i="62904"/>
  <c r="AW16" i="62925"/>
  <c r="AP295" i="62898"/>
  <c r="AW170" i="62925"/>
  <c r="K26" i="62904"/>
  <c r="P19" i="62925"/>
  <c r="AX14" i="62925"/>
  <c r="AV34" i="62926"/>
  <c r="AW73" i="62925"/>
  <c r="AE107" i="62926"/>
  <c r="G22" i="62926"/>
  <c r="M25" i="62925"/>
  <c r="M16" i="62926"/>
  <c r="M35" i="62926"/>
  <c r="AX16" i="62925"/>
  <c r="AW37" i="62925"/>
  <c r="K470" i="5"/>
  <c r="AX34" i="62925"/>
  <c r="AW25" i="62926"/>
  <c r="AW181" i="62925"/>
  <c r="N103" i="5"/>
  <c r="G34" i="62925"/>
  <c r="M16" i="62925"/>
  <c r="AW22" i="62926"/>
  <c r="AV14" i="62904"/>
  <c r="AW37" i="62904"/>
  <c r="AV23" i="62904"/>
  <c r="AV38" i="62904"/>
  <c r="BL471" i="5"/>
  <c r="AO14" i="62904"/>
  <c r="L14" i="62904"/>
  <c r="O16" i="62904"/>
  <c r="I20" i="62904"/>
  <c r="I22" i="62904"/>
  <c r="L25" i="62904"/>
  <c r="N287" i="5"/>
  <c r="AW52" i="62926"/>
  <c r="H14" i="62904"/>
  <c r="N14" i="62904"/>
  <c r="I14" i="62904"/>
  <c r="N16" i="62904"/>
  <c r="AZ20" i="62904"/>
  <c r="H38" i="62904"/>
  <c r="BL288" i="5"/>
  <c r="AW50" i="62926"/>
  <c r="O14" i="62904"/>
  <c r="Q19" i="62904"/>
  <c r="N23" i="62904"/>
  <c r="H25" i="62904"/>
  <c r="N25" i="62904"/>
  <c r="H34" i="62904"/>
  <c r="N34" i="62904"/>
  <c r="H35" i="62904"/>
  <c r="N35" i="62904"/>
  <c r="H37" i="62904"/>
  <c r="I37" i="62904"/>
  <c r="AW60" i="62904"/>
  <c r="I63" i="62926"/>
  <c r="AH52" i="62926"/>
  <c r="AI50" i="62926"/>
  <c r="AP48" i="62926"/>
  <c r="AF48" i="62926"/>
  <c r="AI34" i="62926"/>
  <c r="AI14" i="62926"/>
  <c r="AI52" i="62926"/>
  <c r="AO48" i="62926"/>
  <c r="AK34" i="62926"/>
  <c r="AK52" i="62926"/>
  <c r="AK48" i="62926"/>
  <c r="AG34" i="62926"/>
  <c r="AK52" i="62925"/>
  <c r="AL50" i="62925"/>
  <c r="AO48" i="62925"/>
  <c r="AE48" i="62925"/>
  <c r="AK34" i="62925"/>
  <c r="AJ14" i="62925"/>
  <c r="I65" i="62925"/>
  <c r="AJ52" i="62925"/>
  <c r="AJ48" i="62925"/>
  <c r="AG14" i="62925"/>
  <c r="AO50" i="62925"/>
  <c r="AH48" i="62925"/>
  <c r="AE34" i="62925"/>
  <c r="AW65" i="62925"/>
  <c r="AN287" i="5"/>
  <c r="AN55" i="5"/>
  <c r="AW423" i="5"/>
  <c r="AO422" i="5"/>
  <c r="AL288" i="5"/>
  <c r="AW240" i="5"/>
  <c r="AO239" i="5"/>
  <c r="AI104" i="5"/>
  <c r="AW56" i="5"/>
  <c r="AO55" i="5"/>
  <c r="AX55" i="5"/>
  <c r="AR103" i="5"/>
  <c r="AW104" i="5"/>
  <c r="AX239" i="5"/>
  <c r="AL287" i="5"/>
  <c r="AW287" i="5"/>
  <c r="AX422" i="5"/>
  <c r="AL470" i="5"/>
  <c r="AW470" i="5"/>
  <c r="AQ56" i="5"/>
  <c r="AN104" i="5"/>
  <c r="AQ240" i="5"/>
  <c r="AK288" i="5"/>
  <c r="AH471" i="5"/>
  <c r="BO115" i="9"/>
  <c r="AQ422" i="5"/>
  <c r="AN470" i="5"/>
  <c r="AH16" i="62904"/>
  <c r="BT31" i="9"/>
  <c r="AG22" i="62904"/>
  <c r="AG16" i="62904"/>
  <c r="BU32" i="9"/>
  <c r="BS109" i="9"/>
  <c r="L31" i="9"/>
  <c r="L34" i="9"/>
  <c r="L109" i="9"/>
  <c r="BR34" i="9"/>
  <c r="I32" i="9"/>
  <c r="I109" i="9"/>
  <c r="BO112" i="9"/>
  <c r="BN114" i="9"/>
  <c r="P114" i="9"/>
  <c r="BR115" i="9"/>
  <c r="AQ32" i="9"/>
  <c r="AG20" i="62904"/>
  <c r="BR29" i="9"/>
  <c r="O32" i="9"/>
  <c r="BU111" i="9"/>
  <c r="BQ115" i="9"/>
  <c r="AG19" i="62904"/>
  <c r="AP52" i="62926"/>
  <c r="AG50" i="62926"/>
  <c r="AK35" i="62926"/>
  <c r="AG14" i="62926"/>
  <c r="AI48" i="62926"/>
  <c r="AG52" i="62926"/>
  <c r="AP14" i="62926"/>
  <c r="AE52" i="62925"/>
  <c r="AK48" i="62925"/>
  <c r="AG34" i="62925"/>
  <c r="I64" i="62925"/>
  <c r="AP48" i="62925"/>
  <c r="AH52" i="62925"/>
  <c r="AO34" i="62925"/>
  <c r="AQ295" i="62898"/>
  <c r="AH423" i="5"/>
  <c r="AI470" i="5"/>
  <c r="AW288" i="5"/>
  <c r="AW239" i="5"/>
  <c r="AO103" i="5"/>
  <c r="AX56" i="5"/>
  <c r="Q13" i="62925"/>
  <c r="BT108" i="9"/>
  <c r="BB13" i="62904"/>
  <c r="N19" i="62925"/>
  <c r="BA16" i="62925"/>
  <c r="AE17" i="62904"/>
  <c r="BB16" i="62926"/>
  <c r="J16" i="62925"/>
  <c r="AV26" i="62904"/>
  <c r="AV23" i="62926"/>
  <c r="R17" i="62904"/>
  <c r="AV14" i="62926"/>
  <c r="AW19" i="62904"/>
  <c r="K103" i="5"/>
  <c r="AW14" i="62925"/>
  <c r="K239" i="5"/>
  <c r="AY35" i="62926"/>
  <c r="AE106" i="62926"/>
  <c r="J22" i="62925"/>
  <c r="J16" i="62926"/>
  <c r="AY14" i="62904"/>
  <c r="K287" i="5"/>
  <c r="AP14" i="62904"/>
  <c r="O19" i="62904"/>
  <c r="L23" i="62904"/>
  <c r="BO295" i="62898"/>
  <c r="K14" i="62904"/>
  <c r="K16" i="62904"/>
  <c r="O23" i="62904"/>
  <c r="N295" i="62898"/>
  <c r="K19" i="62904"/>
  <c r="I23" i="62904"/>
  <c r="I25" i="62904"/>
  <c r="Q34" i="62904"/>
  <c r="Q35" i="62904"/>
  <c r="BA38" i="62904"/>
  <c r="AL52" i="62926"/>
  <c r="AE50" i="62926"/>
  <c r="AG35" i="62926"/>
  <c r="AE14" i="62926"/>
  <c r="AE48" i="62926"/>
  <c r="AJ50" i="62926"/>
  <c r="AJ14" i="62926"/>
  <c r="AH50" i="62925"/>
  <c r="AI35" i="62925"/>
  <c r="AF14" i="62925"/>
  <c r="AK50" i="62925"/>
  <c r="AL52" i="62925"/>
  <c r="AK35" i="62925"/>
  <c r="AQ296" i="62898"/>
  <c r="AK251" i="62898"/>
  <c r="AR471" i="5"/>
  <c r="AX288" i="5"/>
  <c r="AI240" i="5"/>
  <c r="AI103" i="5"/>
  <c r="AL55" i="5"/>
  <c r="AR104" i="5"/>
  <c r="AR240" i="5"/>
  <c r="AL422" i="5"/>
  <c r="AO471" i="5"/>
  <c r="AQ103" i="5"/>
  <c r="AQ287" i="5"/>
  <c r="S114" i="9"/>
  <c r="AQ423" i="5"/>
  <c r="BU112" i="9"/>
  <c r="AH25" i="62904"/>
  <c r="BS35" i="9"/>
  <c r="L32" i="9"/>
  <c r="BR31" i="9"/>
  <c r="I35" i="9"/>
  <c r="BS112" i="9"/>
  <c r="BN115" i="9"/>
  <c r="AG14" i="62904"/>
  <c r="BT35" i="9"/>
  <c r="S112" i="9"/>
  <c r="AG38" i="62904"/>
  <c r="AL48" i="62926"/>
  <c r="AE52" i="62926"/>
  <c r="AF50" i="62926"/>
  <c r="AJ50" i="62925"/>
  <c r="AH14" i="62925"/>
  <c r="AK14" i="62925"/>
  <c r="AE14" i="62925"/>
  <c r="AN56" i="5"/>
  <c r="AI287" i="5"/>
  <c r="AW55" i="5"/>
  <c r="AR55" i="5"/>
  <c r="AR239" i="5"/>
  <c r="AI288" i="5"/>
  <c r="AX423" i="5"/>
  <c r="AK55" i="5"/>
  <c r="AK239" i="5"/>
  <c r="AK470" i="5"/>
  <c r="AH288" i="5"/>
  <c r="AH470" i="5"/>
  <c r="AH38" i="62904"/>
  <c r="BU35" i="9"/>
  <c r="R32" i="9"/>
  <c r="BR32" i="9"/>
  <c r="BR111" i="9"/>
  <c r="J114" i="9"/>
  <c r="AG17" i="62904"/>
  <c r="O29" i="9"/>
  <c r="M114" i="9"/>
  <c r="AH14" i="62904"/>
  <c r="AH26" i="62904"/>
  <c r="S29" i="9"/>
  <c r="M31" i="9"/>
  <c r="M32" i="9"/>
  <c r="M34" i="9"/>
  <c r="M35" i="9"/>
  <c r="M109" i="9"/>
  <c r="BQ29" i="9"/>
  <c r="BQ31" i="9"/>
  <c r="BQ32" i="9"/>
  <c r="BQ34" i="9"/>
  <c r="BQ35" i="9"/>
  <c r="L111" i="9"/>
  <c r="P111" i="9"/>
  <c r="I112" i="9"/>
  <c r="J112" i="9"/>
  <c r="R114" i="9"/>
  <c r="O115" i="9"/>
  <c r="P115" i="9"/>
  <c r="AR32" i="9"/>
  <c r="AJ252" i="62898"/>
  <c r="AM251" i="62898"/>
  <c r="AM295" i="62898"/>
  <c r="AN295" i="62898"/>
  <c r="AN252" i="62898"/>
  <c r="AH251" i="62898"/>
  <c r="AH240" i="5"/>
  <c r="AH56" i="5"/>
  <c r="AO470" i="5"/>
  <c r="AX105" i="62926"/>
  <c r="H170" i="62926"/>
  <c r="J170" i="62926" s="1"/>
  <c r="G118" i="62926"/>
  <c r="AG106" i="62926"/>
  <c r="AW170" i="62926"/>
  <c r="G140" i="62926"/>
  <c r="H140" i="62926" s="1"/>
  <c r="D140" i="62926" s="1"/>
  <c r="AO107" i="62926"/>
  <c r="AO105" i="62926"/>
  <c r="AH35" i="62926"/>
  <c r="AO25" i="62926"/>
  <c r="AG23" i="62926"/>
  <c r="AK20" i="62926"/>
  <c r="AO16" i="62926"/>
  <c r="AP34" i="62926"/>
  <c r="AH26" i="62926"/>
  <c r="AJ23" i="62926"/>
  <c r="AP20" i="62926"/>
  <c r="AH19" i="62926"/>
  <c r="AJ16" i="62926"/>
  <c r="AK17" i="62926"/>
  <c r="AW171" i="62925"/>
  <c r="G144" i="62925"/>
  <c r="AW128" i="62926"/>
  <c r="H158" i="62925"/>
  <c r="J158" i="62925" s="1"/>
  <c r="K158" i="62925" s="1"/>
  <c r="D158" i="62925" s="1"/>
  <c r="G143" i="62925"/>
  <c r="G128" i="62925"/>
  <c r="H128" i="62925" s="1"/>
  <c r="AI106" i="62925"/>
  <c r="AE105" i="62925"/>
  <c r="AF35" i="62925"/>
  <c r="AI26" i="62925"/>
  <c r="AE25" i="62925"/>
  <c r="AI22" i="62925"/>
  <c r="AO19" i="62925"/>
  <c r="AI17" i="62925"/>
  <c r="G129" i="62925"/>
  <c r="H129" i="62925" s="1"/>
  <c r="AK107" i="62925"/>
  <c r="AO105" i="62925"/>
  <c r="AF105" i="62925"/>
  <c r="AL26" i="62925"/>
  <c r="AP23" i="62925"/>
  <c r="AH22" i="62925"/>
  <c r="AL19" i="62925"/>
  <c r="G145" i="62926"/>
  <c r="H145" i="62926" s="1"/>
  <c r="D145" i="62926" s="1"/>
  <c r="G115" i="62926"/>
  <c r="H115" i="62926" s="1"/>
  <c r="AO106" i="62926"/>
  <c r="H159" i="62926"/>
  <c r="J159" i="62926" s="1"/>
  <c r="G139" i="62926"/>
  <c r="H139" i="62926" s="1"/>
  <c r="D139" i="62926" s="1"/>
  <c r="AK107" i="62926"/>
  <c r="AK105" i="62926"/>
  <c r="AJ35" i="62926"/>
  <c r="AK25" i="62926"/>
  <c r="AE23" i="62926"/>
  <c r="AI20" i="62926"/>
  <c r="AI16" i="62926"/>
  <c r="AL34" i="62926"/>
  <c r="AF26" i="62926"/>
  <c r="AL23" i="62926"/>
  <c r="AF22" i="62926"/>
  <c r="AJ19" i="62926"/>
  <c r="AF17" i="62926"/>
  <c r="AO17" i="62926"/>
  <c r="AW159" i="62926"/>
  <c r="AW160" i="62926"/>
  <c r="AW144" i="62925"/>
  <c r="AW146" i="62926"/>
  <c r="H160" i="62925"/>
  <c r="J160" i="62925" s="1"/>
  <c r="K160" i="62925" s="1"/>
  <c r="AE160" i="62925" s="1"/>
  <c r="AW143" i="62925"/>
  <c r="AW130" i="62925"/>
  <c r="AJ107" i="62925"/>
  <c r="I64" i="62926"/>
  <c r="AH48" i="62926"/>
  <c r="AH50" i="62926"/>
  <c r="AE35" i="62926"/>
  <c r="AF50" i="62925"/>
  <c r="AG50" i="62925"/>
  <c r="O34" i="9"/>
  <c r="AW471" i="5"/>
  <c r="AO240" i="5"/>
  <c r="AI55" i="5"/>
  <c r="AL103" i="5"/>
  <c r="AX287" i="5"/>
  <c r="AK56" i="5"/>
  <c r="AG35" i="62904"/>
  <c r="BS115" i="9"/>
  <c r="AH22" i="62904"/>
  <c r="BU109" i="9"/>
  <c r="BR35" i="9"/>
  <c r="I115" i="9"/>
  <c r="O35" i="9"/>
  <c r="AH17" i="62904"/>
  <c r="J29" i="9"/>
  <c r="P31" i="9"/>
  <c r="P34" i="9"/>
  <c r="P109" i="9"/>
  <c r="BN32" i="9"/>
  <c r="BN35" i="9"/>
  <c r="R111" i="9"/>
  <c r="O112" i="9"/>
  <c r="BR114" i="9"/>
  <c r="S115" i="9"/>
  <c r="AG295" i="62898"/>
  <c r="AH296" i="62898"/>
  <c r="AN251" i="62898"/>
  <c r="AQ104" i="5"/>
  <c r="AJ296" i="62898"/>
  <c r="AX106" i="62925"/>
  <c r="G142" i="62926"/>
  <c r="H142" i="62926" s="1"/>
  <c r="I101" i="62926"/>
  <c r="T101" i="62926" s="1"/>
  <c r="G147" i="62926"/>
  <c r="AL106" i="62926"/>
  <c r="AE26" i="62926"/>
  <c r="AE22" i="62926"/>
  <c r="AP23" i="62926"/>
  <c r="AL19" i="62926"/>
  <c r="AE19" i="62926"/>
  <c r="G146" i="62925"/>
  <c r="H146" i="62925" s="1"/>
  <c r="AE146" i="62925" s="1"/>
  <c r="H169" i="62925"/>
  <c r="J169" i="62925" s="1"/>
  <c r="K169" i="62925" s="1"/>
  <c r="D169" i="62925" s="1"/>
  <c r="G130" i="62925"/>
  <c r="AE106" i="62925"/>
  <c r="AE26" i="62925"/>
  <c r="AE22" i="62925"/>
  <c r="AE17" i="62925"/>
  <c r="AG107" i="62925"/>
  <c r="I103" i="62925"/>
  <c r="T103" i="62925" s="1"/>
  <c r="AH26" i="62925"/>
  <c r="AP20" i="62925"/>
  <c r="G143" i="62926"/>
  <c r="H143" i="62926" s="1"/>
  <c r="D143" i="62926" s="1"/>
  <c r="AI106" i="62926"/>
  <c r="G141" i="62926"/>
  <c r="AP106" i="62926"/>
  <c r="AG26" i="62926"/>
  <c r="AO20" i="62926"/>
  <c r="AF25" i="62926"/>
  <c r="AP19" i="62926"/>
  <c r="AI19" i="62926"/>
  <c r="G274" i="62926" s="1"/>
  <c r="AW147" i="62926"/>
  <c r="AW126" i="62926"/>
  <c r="AW145" i="62925"/>
  <c r="AP107" i="62925"/>
  <c r="AG105" i="62925"/>
  <c r="I102" i="62925"/>
  <c r="T102" i="62925" s="1"/>
  <c r="AP34" i="62925"/>
  <c r="AG26" i="62925"/>
  <c r="AI23" i="62925"/>
  <c r="AO20" i="62925"/>
  <c r="AG19" i="62925"/>
  <c r="AW138" i="62925"/>
  <c r="G116" i="62925"/>
  <c r="AL106" i="62925"/>
  <c r="AP26" i="62925"/>
  <c r="AJ25" i="62925"/>
  <c r="AP22" i="62925"/>
  <c r="AH20" i="62925"/>
  <c r="AW116" i="62925"/>
  <c r="AF16" i="62925"/>
  <c r="AG16" i="62925"/>
  <c r="AH19" i="62925"/>
  <c r="AE16" i="62925"/>
  <c r="AF19" i="62925"/>
  <c r="AJ295" i="62898"/>
  <c r="AO34" i="62926"/>
  <c r="AI35" i="62926"/>
  <c r="AF14" i="62926"/>
  <c r="AP50" i="62925"/>
  <c r="AE35" i="62925"/>
  <c r="AF48" i="62925"/>
  <c r="AI50" i="62925"/>
  <c r="AO423" i="5"/>
  <c r="AI239" i="5"/>
  <c r="AL56" i="5"/>
  <c r="AR287" i="5"/>
  <c r="AX470" i="5"/>
  <c r="E306" i="62926"/>
  <c r="E240" i="62926"/>
  <c r="BP111" i="9"/>
  <c r="BN29" i="9"/>
  <c r="AW59" i="62904"/>
  <c r="AV20" i="62904"/>
  <c r="BS111" i="9"/>
  <c r="BP29" i="9"/>
  <c r="AW50" i="62904"/>
  <c r="AJ251" i="62898"/>
  <c r="AI16" i="62925"/>
  <c r="AP19" i="62925"/>
  <c r="AP16" i="62925"/>
  <c r="AJ22" i="62925"/>
  <c r="AJ26" i="62925"/>
  <c r="AH105" i="62925"/>
  <c r="AO107" i="62925"/>
  <c r="AK17" i="62925"/>
  <c r="AE23" i="62925"/>
  <c r="AJ34" i="62925"/>
  <c r="AW128" i="62925"/>
  <c r="AJ16" i="62925"/>
  <c r="AH16" i="62925"/>
  <c r="AW160" i="62925"/>
  <c r="AH23" i="62925"/>
  <c r="AX105" i="62925"/>
  <c r="G118" i="62925"/>
  <c r="H118" i="62925" s="1"/>
  <c r="D118" i="62925" s="1"/>
  <c r="AK19" i="62925"/>
  <c r="AO23" i="62925"/>
  <c r="AH35" i="62925"/>
  <c r="AF107" i="62925"/>
  <c r="AW149" i="62925"/>
  <c r="AW142" i="62926"/>
  <c r="AW127" i="62926"/>
  <c r="AL16" i="62926"/>
  <c r="H225" i="62926" s="1"/>
  <c r="H230" i="62926" s="1"/>
  <c r="AL20" i="62926"/>
  <c r="AP25" i="62926"/>
  <c r="AK22" i="62926"/>
  <c r="AF35" i="62926"/>
  <c r="I103" i="62926"/>
  <c r="T103" i="62926" s="1"/>
  <c r="G130" i="62926"/>
  <c r="H130" i="62926" s="1"/>
  <c r="D130" i="62926" s="1"/>
  <c r="G117" i="62926"/>
  <c r="AF20" i="62925"/>
  <c r="AH25" i="62925"/>
  <c r="AP106" i="62925"/>
  <c r="G138" i="62925"/>
  <c r="AG20" i="62925"/>
  <c r="AI25" i="62925"/>
  <c r="AJ35" i="62925"/>
  <c r="AO106" i="62925"/>
  <c r="G141" i="62925"/>
  <c r="H141" i="62925" s="1"/>
  <c r="D141" i="62925" s="1"/>
  <c r="AW148" i="62926"/>
  <c r="H159" i="62925"/>
  <c r="J159" i="62925" s="1"/>
  <c r="AF16" i="62926"/>
  <c r="AJ20" i="62926"/>
  <c r="AL25" i="62926"/>
  <c r="AE16" i="62926"/>
  <c r="AO22" i="62926"/>
  <c r="AO26" i="62926"/>
  <c r="G138" i="62926"/>
  <c r="H138" i="62926" s="1"/>
  <c r="AK106" i="62926"/>
  <c r="H160" i="62926"/>
  <c r="J160" i="62926" s="1"/>
  <c r="K160" i="62926" s="1"/>
  <c r="AP252" i="62898"/>
  <c r="AH239" i="5"/>
  <c r="AH252" i="62898"/>
  <c r="AV295" i="62898"/>
  <c r="AG296" i="62898"/>
  <c r="AG252" i="62898"/>
  <c r="AP251" i="62898"/>
  <c r="M115" i="9"/>
  <c r="L114" i="9"/>
  <c r="BP112" i="9"/>
  <c r="I111" i="9"/>
  <c r="BP34" i="9"/>
  <c r="BP31" i="9"/>
  <c r="J109" i="9"/>
  <c r="J34" i="9"/>
  <c r="BU29" i="9"/>
  <c r="AH23" i="62904"/>
  <c r="R112" i="9"/>
  <c r="AQ35" i="9"/>
  <c r="O114" i="9"/>
  <c r="BN111" i="9"/>
  <c r="R31" i="9"/>
  <c r="AH19" i="62904"/>
  <c r="BQ112" i="9"/>
  <c r="AH104" i="5"/>
  <c r="AX104" i="5"/>
  <c r="AR288" i="5"/>
  <c r="AO14" i="62925"/>
  <c r="AP52" i="62925"/>
  <c r="AW64" i="62926"/>
  <c r="AV64" i="62926" s="1"/>
  <c r="AO52" i="62926"/>
  <c r="AJ17" i="62925"/>
  <c r="AF17" i="62925"/>
  <c r="AW158" i="62925"/>
  <c r="AF22" i="62925"/>
  <c r="AF26" i="62925"/>
  <c r="AL105" i="62925"/>
  <c r="AW127" i="62925"/>
  <c r="AE20" i="62925"/>
  <c r="AG25" i="62925"/>
  <c r="AL35" i="62925"/>
  <c r="G140" i="62925"/>
  <c r="H140" i="62925" s="1"/>
  <c r="AW148" i="62925"/>
  <c r="AJ17" i="62926"/>
  <c r="AJ26" i="62926"/>
  <c r="AI23" i="62926"/>
  <c r="AG105" i="62926"/>
  <c r="AW169" i="62926"/>
  <c r="H171" i="62926"/>
  <c r="J171" i="62926" s="1"/>
  <c r="K171" i="62926" s="1"/>
  <c r="D171" i="62926" s="1"/>
  <c r="G127" i="62925"/>
  <c r="H127" i="62925" s="1"/>
  <c r="AK23" i="62925"/>
  <c r="G145" i="62925"/>
  <c r="H145" i="62925" s="1"/>
  <c r="AW140" i="62926"/>
  <c r="AH22" i="62926"/>
  <c r="AI17" i="62926"/>
  <c r="AL35" i="62926"/>
  <c r="G127" i="62926"/>
  <c r="H127" i="62926" s="1"/>
  <c r="AE127" i="62926" s="1"/>
  <c r="AJ107" i="62926"/>
  <c r="AP296" i="62898"/>
  <c r="AQ288" i="5"/>
  <c r="AR34" i="9"/>
  <c r="P112" i="9"/>
  <c r="BO109" i="9"/>
  <c r="BN31" i="9"/>
  <c r="P32" i="9"/>
  <c r="AH37" i="62904"/>
  <c r="AG23" i="62904"/>
  <c r="R34" i="9"/>
  <c r="O31" i="9"/>
  <c r="AK240" i="5"/>
  <c r="AL240" i="5"/>
  <c r="AO104" i="5"/>
  <c r="AK252" i="62898"/>
  <c r="AW64" i="62925"/>
  <c r="AI52" i="62925"/>
  <c r="AK14" i="62926"/>
  <c r="AK106" i="62925"/>
  <c r="AW139" i="62925"/>
  <c r="H172" i="62925"/>
  <c r="J172" i="62925" s="1"/>
  <c r="K172" i="62925" s="1"/>
  <c r="AE172" i="62925" s="1"/>
  <c r="H161" i="62925"/>
  <c r="J161" i="62925" s="1"/>
  <c r="K161" i="62925" s="1"/>
  <c r="AE161" i="62925" s="1"/>
  <c r="AG16" i="62926"/>
  <c r="AP17" i="62926"/>
  <c r="AP22" i="62926"/>
  <c r="AP26" i="62926"/>
  <c r="AK19" i="62926"/>
  <c r="AO23" i="62926"/>
  <c r="AJ106" i="62926"/>
  <c r="G146" i="62926"/>
  <c r="AH105" i="62926"/>
  <c r="AW118" i="62926"/>
  <c r="AJ20" i="62925"/>
  <c r="AL25" i="62925"/>
  <c r="AJ106" i="62925"/>
  <c r="AK16" i="62925"/>
  <c r="AK20" i="62925"/>
  <c r="AO25" i="62925"/>
  <c r="AP35" i="62925"/>
  <c r="AP105" i="62925"/>
  <c r="G139" i="62925"/>
  <c r="H171" i="62925"/>
  <c r="J171" i="62925" s="1"/>
  <c r="G148" i="62925"/>
  <c r="H148" i="62925" s="1"/>
  <c r="AE148" i="62925" s="1"/>
  <c r="AO19" i="62926"/>
  <c r="M274" i="62926" s="1"/>
  <c r="AF20" i="62926"/>
  <c r="AH25" i="62926"/>
  <c r="AI22" i="62926"/>
  <c r="AI26" i="62926"/>
  <c r="G129" i="62926"/>
  <c r="H129" i="62926" s="1"/>
  <c r="AP107" i="62926"/>
  <c r="AX107" i="62926"/>
  <c r="AX471" i="5"/>
  <c r="AH422" i="5"/>
  <c r="AM252" i="62898"/>
  <c r="AR35" i="9"/>
  <c r="J115" i="9"/>
  <c r="I114" i="9"/>
  <c r="BN112" i="9"/>
  <c r="BQ109" i="9"/>
  <c r="BO34" i="9"/>
  <c r="BO31" i="9"/>
  <c r="S35" i="9"/>
  <c r="S32" i="9"/>
  <c r="BS29" i="9"/>
  <c r="AH20" i="62904"/>
  <c r="BQ111" i="9"/>
  <c r="BP115" i="9"/>
  <c r="I31" i="9"/>
  <c r="R29" i="9"/>
  <c r="AH34" i="62904"/>
  <c r="AH35" i="62904"/>
  <c r="AK103" i="5"/>
  <c r="AR422" i="5"/>
  <c r="AL104" i="5"/>
  <c r="AW103" i="5"/>
  <c r="AF52" i="62925"/>
  <c r="AO52" i="62925"/>
  <c r="AE34" i="62926"/>
  <c r="AQ31" i="9"/>
  <c r="AG26" i="62904"/>
  <c r="BP114" i="9"/>
  <c r="I29" i="9"/>
  <c r="L29" i="9"/>
  <c r="AQ34" i="9"/>
  <c r="AN288" i="5"/>
  <c r="AQ239" i="5"/>
  <c r="AR423" i="5"/>
  <c r="AL239" i="5"/>
  <c r="AI56" i="5"/>
  <c r="AO287" i="5"/>
  <c r="AN103" i="5"/>
  <c r="AI14" i="62925"/>
  <c r="AI34" i="62925"/>
  <c r="AP14" i="62925"/>
  <c r="AG52" i="62925"/>
  <c r="AH14" i="62926"/>
  <c r="AO14" i="62926"/>
  <c r="AO50" i="62926"/>
  <c r="K37" i="62904"/>
  <c r="K34" i="62904"/>
  <c r="H23" i="62904"/>
  <c r="I38" i="62904"/>
  <c r="Q14" i="62904"/>
  <c r="L37" i="62904"/>
  <c r="R14" i="62904"/>
  <c r="AX34" i="62904"/>
  <c r="J14" i="62925"/>
  <c r="AW93" i="62926"/>
  <c r="AW22" i="62925"/>
  <c r="J19" i="62925"/>
  <c r="Q422" i="5"/>
  <c r="AQ251" i="62898"/>
  <c r="O34" i="62904"/>
  <c r="AY22" i="62925"/>
  <c r="AJ46" i="62925"/>
  <c r="AF13" i="62926"/>
  <c r="AO46" i="62926"/>
  <c r="AG13" i="62904"/>
  <c r="K315" i="62926"/>
  <c r="G240" i="62926"/>
  <c r="G306" i="62926"/>
  <c r="F249" i="62926"/>
  <c r="G273" i="62926"/>
  <c r="H249" i="62926"/>
  <c r="E296" i="62925"/>
  <c r="E333" i="62925"/>
  <c r="F198" i="62904"/>
  <c r="F30" i="62914" s="1"/>
  <c r="F168" i="62904"/>
  <c r="F201" i="62904" s="1"/>
  <c r="F33" i="62914" s="1"/>
  <c r="R33" i="62914" s="1"/>
  <c r="J168" i="62904"/>
  <c r="G168" i="62904"/>
  <c r="E168" i="62904"/>
  <c r="E198" i="62904"/>
  <c r="M198" i="62904"/>
  <c r="M30" i="62914" s="1"/>
  <c r="Y30" i="62914" s="1"/>
  <c r="R19" i="62905"/>
  <c r="AE35" i="62905"/>
  <c r="J50" i="62926"/>
  <c r="AX22" i="62926"/>
  <c r="AZ22" i="62925"/>
  <c r="AI35" i="62904"/>
  <c r="J38" i="62926"/>
  <c r="I26" i="62904"/>
  <c r="M37" i="62926"/>
  <c r="Q104" i="5"/>
  <c r="AY25" i="62926"/>
  <c r="J20" i="62925"/>
  <c r="N56" i="5"/>
  <c r="BN423" i="5"/>
  <c r="AP19" i="62904"/>
  <c r="AV107" i="62925"/>
  <c r="G16" i="62926"/>
  <c r="AV101" i="62925"/>
  <c r="AV102" i="62926"/>
  <c r="H92" i="62926"/>
  <c r="R239" i="5"/>
  <c r="BA48" i="62926"/>
  <c r="N38" i="62904"/>
  <c r="K471" i="5"/>
  <c r="J26" i="62925"/>
  <c r="K296" i="62898"/>
  <c r="O422" i="5"/>
  <c r="AW20" i="62926"/>
  <c r="I471" i="5"/>
  <c r="AK22" i="62904"/>
  <c r="K34" i="62926"/>
  <c r="BC22" i="62925"/>
  <c r="BP103" i="5"/>
  <c r="AF17" i="62904"/>
  <c r="AK35" i="62904"/>
  <c r="BA34" i="62926"/>
  <c r="BC25" i="62925"/>
  <c r="BR240" i="5"/>
  <c r="J50" i="62904"/>
  <c r="AZ17" i="62926"/>
  <c r="N38" i="62926"/>
  <c r="BC38" i="62925"/>
  <c r="H72" i="62904"/>
  <c r="I72" i="62904" s="1"/>
  <c r="K20" i="62926"/>
  <c r="BA17" i="62925"/>
  <c r="H38" i="62925"/>
  <c r="I296" i="62898"/>
  <c r="BB23" i="62926"/>
  <c r="BA25" i="62925"/>
  <c r="AW63" i="62926"/>
  <c r="BP471" i="5"/>
  <c r="BB34" i="62925"/>
  <c r="AL16" i="62904"/>
  <c r="H26" i="62925"/>
  <c r="AI38" i="62904"/>
  <c r="K37" i="62925"/>
  <c r="N20" i="62926"/>
  <c r="BQ423" i="5"/>
  <c r="H16" i="62925"/>
  <c r="AJ19" i="62904"/>
  <c r="L103" i="5"/>
  <c r="BA182" i="62925"/>
  <c r="M20" i="62926"/>
  <c r="H17" i="62904"/>
  <c r="BO288" i="5"/>
  <c r="BA50" i="62926"/>
  <c r="BA22" i="62904"/>
  <c r="J22" i="62926"/>
  <c r="AY25" i="62925"/>
  <c r="P38" i="62926"/>
  <c r="N240" i="5"/>
  <c r="R16" i="62904"/>
  <c r="J20" i="62926"/>
  <c r="BA92" i="62926"/>
  <c r="H180" i="62926"/>
  <c r="J180" i="62926" s="1"/>
  <c r="I35" i="62904"/>
  <c r="M38" i="62926"/>
  <c r="I16" i="62904"/>
  <c r="AV101" i="62926"/>
  <c r="R295" i="62898"/>
  <c r="BS287" i="5"/>
  <c r="BQ422" i="5"/>
  <c r="AV22" i="62926"/>
  <c r="BO422" i="5"/>
  <c r="BA20" i="62926"/>
  <c r="AZ35" i="62925"/>
  <c r="AJ20" i="62904"/>
  <c r="BB17" i="62925"/>
  <c r="BQ471" i="5"/>
  <c r="N26" i="62926"/>
  <c r="BP422" i="5"/>
  <c r="BB34" i="62926"/>
  <c r="BQ240" i="5"/>
  <c r="BB22" i="62925"/>
  <c r="AZ22" i="62904"/>
  <c r="R288" i="5"/>
  <c r="BR423" i="5"/>
  <c r="I470" i="5"/>
  <c r="AJ26" i="62904"/>
  <c r="BC20" i="62926"/>
  <c r="H93" i="62925"/>
  <c r="L93" i="62925" s="1"/>
  <c r="AN93" i="62925" s="1"/>
  <c r="P38" i="62925"/>
  <c r="BN296" i="62898"/>
  <c r="AT101" i="62926"/>
  <c r="G102" i="62926"/>
  <c r="K102" i="62926" s="1"/>
  <c r="AE102" i="62926" s="1"/>
  <c r="BM103" i="5"/>
  <c r="AW139" i="62926"/>
  <c r="G103" i="62925"/>
  <c r="K103" i="62925" s="1"/>
  <c r="AM103" i="62925" s="1"/>
  <c r="H19" i="62904"/>
  <c r="N26" i="62904"/>
  <c r="Q37" i="62904"/>
  <c r="AW73" i="62904"/>
  <c r="AT106" i="62925"/>
  <c r="AZ16" i="62904"/>
  <c r="K20" i="62904"/>
  <c r="AY23" i="62904"/>
  <c r="AZ26" i="62904"/>
  <c r="AZ35" i="62904"/>
  <c r="R37" i="62904"/>
  <c r="J25" i="62926"/>
  <c r="AW38" i="62925"/>
  <c r="AW34" i="62925"/>
  <c r="AW182" i="62925"/>
  <c r="G92" i="62925"/>
  <c r="K92" i="62925" s="1"/>
  <c r="AM92" i="62925" s="1"/>
  <c r="AK104" i="5"/>
  <c r="AW140" i="62925"/>
  <c r="G102" i="62925"/>
  <c r="K102" i="62925" s="1"/>
  <c r="BC16" i="62904"/>
  <c r="AX20" i="62904"/>
  <c r="R23" i="62904"/>
  <c r="L26" i="62904"/>
  <c r="L35" i="62904"/>
  <c r="AW23" i="62904"/>
  <c r="J35" i="62926"/>
  <c r="AV22" i="62925"/>
  <c r="BO103" i="5"/>
  <c r="BM295" i="62898"/>
  <c r="AV37" i="62926"/>
  <c r="G92" i="62926"/>
  <c r="J92" i="62926" s="1"/>
  <c r="AE92" i="62926" s="1"/>
  <c r="AV296" i="62898"/>
  <c r="G181" i="62926"/>
  <c r="AW74" i="62926"/>
  <c r="AW75" i="62926"/>
  <c r="G75" i="62925"/>
  <c r="I75" i="62925" s="1"/>
  <c r="D75" i="62925" s="1"/>
  <c r="AE105" i="62926"/>
  <c r="AF106" i="62926"/>
  <c r="AX25" i="62904"/>
  <c r="G25" i="62926"/>
  <c r="J23" i="62925"/>
  <c r="P34" i="62925"/>
  <c r="J38" i="62925"/>
  <c r="N239" i="5"/>
  <c r="M22" i="62926"/>
  <c r="G34" i="62926"/>
  <c r="G35" i="62926"/>
  <c r="G37" i="62926"/>
  <c r="AV20" i="62925"/>
  <c r="AV23" i="62925"/>
  <c r="AW25" i="62925"/>
  <c r="N55" i="5"/>
  <c r="BN103" i="5"/>
  <c r="H240" i="5"/>
  <c r="K422" i="5"/>
  <c r="H471" i="5"/>
  <c r="BL252" i="62898"/>
  <c r="AV37" i="62925"/>
  <c r="AV35" i="62925"/>
  <c r="AV34" i="62925"/>
  <c r="AV38" i="62926"/>
  <c r="AW35" i="62926"/>
  <c r="AW34" i="62926"/>
  <c r="AV20" i="62926"/>
  <c r="G91" i="62926"/>
  <c r="J91" i="62926" s="1"/>
  <c r="AW181" i="62926"/>
  <c r="AW93" i="62925"/>
  <c r="G74" i="62925"/>
  <c r="G74" i="62926"/>
  <c r="AF105" i="62926"/>
  <c r="H104" i="5"/>
  <c r="H56" i="5"/>
  <c r="G38" i="62925"/>
  <c r="M35" i="62925"/>
  <c r="M34" i="62925"/>
  <c r="J25" i="62925"/>
  <c r="G23" i="62925"/>
  <c r="G20" i="62925"/>
  <c r="M23" i="62926"/>
  <c r="AV25" i="62904"/>
  <c r="AW35" i="62904"/>
  <c r="AW51" i="62904"/>
  <c r="AX19" i="62904"/>
  <c r="AX23" i="62904"/>
  <c r="AV34" i="62904"/>
  <c r="AV35" i="62904"/>
  <c r="AV37" i="62904"/>
  <c r="AW49" i="62904"/>
  <c r="AW22" i="62904"/>
  <c r="BO287" i="5"/>
  <c r="BM470" i="5"/>
  <c r="K295" i="62898"/>
  <c r="H296" i="62898"/>
  <c r="H52" i="62926"/>
  <c r="H52" i="62925"/>
  <c r="AO35" i="62904"/>
  <c r="H20" i="62904"/>
  <c r="H22" i="62904"/>
  <c r="N22" i="62904"/>
  <c r="O22" i="62904"/>
  <c r="BB23" i="62904"/>
  <c r="BB25" i="62904"/>
  <c r="L38" i="62904"/>
  <c r="H423" i="5"/>
  <c r="AW48" i="62926"/>
  <c r="AW50" i="62925"/>
  <c r="R19" i="62904"/>
  <c r="L22" i="62904"/>
  <c r="O25" i="62904"/>
  <c r="K38" i="62904"/>
  <c r="BO239" i="5"/>
  <c r="Q470" i="5"/>
  <c r="BL296" i="62898"/>
  <c r="AW48" i="62925"/>
  <c r="N19" i="62904"/>
  <c r="L19" i="62904"/>
  <c r="K23" i="62904"/>
  <c r="AP17" i="62904"/>
  <c r="AY38" i="62904"/>
  <c r="AY22" i="62904"/>
  <c r="AW169" i="62925"/>
  <c r="G180" i="62925"/>
  <c r="P34" i="62926"/>
  <c r="AY34" i="62904"/>
  <c r="BM56" i="5"/>
  <c r="Q296" i="62898"/>
  <c r="BB35" i="62925"/>
  <c r="H34" i="62926"/>
  <c r="BB22" i="62926"/>
  <c r="AK26" i="62904"/>
  <c r="AJ37" i="62904"/>
  <c r="H22" i="62926"/>
  <c r="J52" i="62926"/>
  <c r="K52" i="62926" s="1"/>
  <c r="M52" i="62926" s="1"/>
  <c r="AN52" i="62926" s="1"/>
  <c r="K240" i="5"/>
  <c r="BA50" i="62925"/>
  <c r="AX20" i="62926"/>
  <c r="N296" i="62898"/>
  <c r="Q471" i="5"/>
  <c r="F240" i="62926"/>
  <c r="G198" i="62904"/>
  <c r="G30" i="62914" s="1"/>
  <c r="H168" i="62904"/>
  <c r="I234" i="62904" s="1"/>
  <c r="I32" i="62915" s="1"/>
  <c r="U32" i="62915" s="1"/>
  <c r="K198" i="62904"/>
  <c r="K30" i="62914" s="1"/>
  <c r="BB13" i="62926"/>
  <c r="L37" i="62905"/>
  <c r="N22" i="62926"/>
  <c r="BA23" i="62925"/>
  <c r="R251" i="62898"/>
  <c r="L13" i="62905"/>
  <c r="L14" i="62905"/>
  <c r="N19" i="62905"/>
  <c r="K22" i="62905"/>
  <c r="I23" i="62905"/>
  <c r="O25" i="62905"/>
  <c r="Q35" i="62905"/>
  <c r="L38" i="62905"/>
  <c r="BH13" i="62905"/>
  <c r="BI13" i="62905"/>
  <c r="BJ13" i="62905"/>
  <c r="BK13" i="62905"/>
  <c r="BO14" i="62905"/>
  <c r="BI16" i="62905"/>
  <c r="BJ16" i="62905"/>
  <c r="BN19" i="62905"/>
  <c r="BL20" i="62905"/>
  <c r="BH22" i="62905"/>
  <c r="BI22" i="62905"/>
  <c r="BJ22" i="62905"/>
  <c r="BN23" i="62905"/>
  <c r="BH25" i="62905"/>
  <c r="BI25" i="62905"/>
  <c r="BJ25" i="62905"/>
  <c r="AZ13" i="62905"/>
  <c r="AQ34" i="62905"/>
  <c r="AE14" i="62905"/>
  <c r="H46" i="62925"/>
  <c r="I46" i="62925" s="1"/>
  <c r="L46" i="62925" s="1"/>
  <c r="AM46" i="62925" s="1"/>
  <c r="G13" i="62926"/>
  <c r="AK13" i="62925"/>
  <c r="O13" i="62904"/>
  <c r="AL13" i="62925"/>
  <c r="H13" i="62904"/>
  <c r="M28" i="9"/>
  <c r="AQ28" i="9"/>
  <c r="AF46" i="62925"/>
  <c r="AK13" i="62926"/>
  <c r="BR28" i="9"/>
  <c r="K13" i="62904"/>
  <c r="O28" i="9"/>
  <c r="BS28" i="9"/>
  <c r="L108" i="9"/>
  <c r="AG13" i="62925"/>
  <c r="AG46" i="62925"/>
  <c r="AH46" i="62925"/>
  <c r="AP13" i="62926"/>
  <c r="AL46" i="62926"/>
  <c r="BR108" i="9"/>
  <c r="AX13" i="62904"/>
  <c r="H46" i="62926"/>
  <c r="I46" i="62926" s="1"/>
  <c r="L46" i="62926" s="1"/>
  <c r="AM46" i="62926" s="1"/>
  <c r="AX13" i="62926"/>
  <c r="M13" i="62926"/>
  <c r="AY13" i="62925"/>
  <c r="AI13" i="62904"/>
  <c r="J46" i="62926"/>
  <c r="K46" i="62926" s="1"/>
  <c r="M46" i="62926" s="1"/>
  <c r="AN46" i="62926" s="1"/>
  <c r="K13" i="62926"/>
  <c r="K13" i="62925"/>
  <c r="BA46" i="62926"/>
  <c r="AZ13" i="62925"/>
  <c r="AZ13" i="62926"/>
  <c r="K13" i="62905"/>
  <c r="N16" i="62905"/>
  <c r="O22" i="62905"/>
  <c r="Q34" i="62905"/>
  <c r="BO13" i="62905"/>
  <c r="BH14" i="62905"/>
  <c r="BI14" i="62905"/>
  <c r="BJ14" i="62905"/>
  <c r="BK14" i="62905"/>
  <c r="BM37" i="62905"/>
  <c r="BH38" i="62905"/>
  <c r="BI38" i="62905"/>
  <c r="AN13" i="62905"/>
  <c r="AJ14" i="62905"/>
  <c r="AE13" i="62926"/>
  <c r="AW46" i="62925"/>
  <c r="AK46" i="62925"/>
  <c r="AG13" i="62926"/>
  <c r="R108" i="9"/>
  <c r="AL13" i="62926"/>
  <c r="Q13" i="62904"/>
  <c r="P108" i="9"/>
  <c r="BS108" i="9"/>
  <c r="AJ13" i="62925"/>
  <c r="AI13" i="62926"/>
  <c r="L13" i="62904"/>
  <c r="AW46" i="62926"/>
  <c r="AW13" i="62925"/>
  <c r="AK13" i="62904"/>
  <c r="Q13" i="62926"/>
  <c r="BB13" i="62925"/>
  <c r="AF13" i="62904"/>
  <c r="BA25" i="62904"/>
  <c r="AY19" i="62926"/>
  <c r="AZ25" i="62925"/>
  <c r="BS55" i="5"/>
  <c r="H14" i="62926"/>
  <c r="BS239" i="5"/>
  <c r="H19" i="62926"/>
  <c r="H25" i="62925"/>
  <c r="BR109" i="9"/>
  <c r="BB16" i="62904"/>
  <c r="BN287" i="5"/>
  <c r="BL423" i="5"/>
  <c r="H288" i="5"/>
  <c r="BC17" i="62904"/>
  <c r="AT106" i="62926"/>
  <c r="AX17" i="62925"/>
  <c r="AY38" i="62925"/>
  <c r="Q288" i="5"/>
  <c r="BM296" i="62898"/>
  <c r="AY26" i="62926"/>
  <c r="J17" i="62925"/>
  <c r="P23" i="62925"/>
  <c r="M38" i="62925"/>
  <c r="BN104" i="5"/>
  <c r="BN288" i="5"/>
  <c r="BN471" i="5"/>
  <c r="AO22" i="62904"/>
  <c r="AP37" i="62904"/>
  <c r="Q17" i="62904"/>
  <c r="BR470" i="5"/>
  <c r="H103" i="62925"/>
  <c r="L103" i="62925" s="1"/>
  <c r="AW17" i="62926"/>
  <c r="BR252" i="62898"/>
  <c r="M17" i="62926"/>
  <c r="AV106" i="62925"/>
  <c r="BA180" i="62926"/>
  <c r="BA91" i="62925"/>
  <c r="AE14" i="62904"/>
  <c r="Q14" i="62925"/>
  <c r="O103" i="5"/>
  <c r="O295" i="62898"/>
  <c r="H103" i="62926"/>
  <c r="L103" i="62926" s="1"/>
  <c r="H92" i="62925"/>
  <c r="L92" i="62925" s="1"/>
  <c r="AN92" i="62925" s="1"/>
  <c r="K14" i="62926"/>
  <c r="O55" i="5"/>
  <c r="BL240" i="5"/>
  <c r="BB16" i="62925"/>
  <c r="AW143" i="62926"/>
  <c r="N20" i="62904"/>
  <c r="M26" i="62926"/>
  <c r="K104" i="5"/>
  <c r="AY23" i="62926"/>
  <c r="G19" i="62925"/>
  <c r="K56" i="5"/>
  <c r="BM423" i="5"/>
  <c r="AP16" i="62904"/>
  <c r="O17" i="62904"/>
  <c r="H107" i="62925"/>
  <c r="H182" i="62925"/>
  <c r="AV102" i="62925"/>
  <c r="AV105" i="62926"/>
  <c r="R103" i="5"/>
  <c r="H105" i="62926"/>
  <c r="N14" i="62925"/>
  <c r="BA48" i="62925"/>
  <c r="BA16" i="62926"/>
  <c r="BL104" i="5"/>
  <c r="AX25" i="62926"/>
  <c r="AX19" i="62926"/>
  <c r="BN470" i="5"/>
  <c r="BN239" i="5"/>
  <c r="AF23" i="62904"/>
  <c r="AJ25" i="62904"/>
  <c r="AL38" i="62904"/>
  <c r="K25" i="62926"/>
  <c r="K37" i="62926"/>
  <c r="H19" i="62925"/>
  <c r="K26" i="62925"/>
  <c r="AZ38" i="62925"/>
  <c r="I240" i="5"/>
  <c r="R471" i="5"/>
  <c r="H59" i="62904"/>
  <c r="J59" i="62904" s="1"/>
  <c r="D59" i="62904" s="1"/>
  <c r="AK17" i="62904"/>
  <c r="N17" i="62926"/>
  <c r="BC23" i="62926"/>
  <c r="BC37" i="62926"/>
  <c r="N22" i="62925"/>
  <c r="BC34" i="62925"/>
  <c r="L56" i="5"/>
  <c r="I422" i="5"/>
  <c r="AF26" i="62904"/>
  <c r="AI26" i="62904"/>
  <c r="AL26" i="62904"/>
  <c r="N23" i="62926"/>
  <c r="N35" i="62926"/>
  <c r="Q17" i="62925"/>
  <c r="N34" i="62925"/>
  <c r="R104" i="5"/>
  <c r="AF22" i="62904"/>
  <c r="AJ23" i="62904"/>
  <c r="AL37" i="62904"/>
  <c r="K23" i="62926"/>
  <c r="BB37" i="62926"/>
  <c r="K22" i="62925"/>
  <c r="H35" i="62925"/>
  <c r="O56" i="5"/>
  <c r="L423" i="5"/>
  <c r="BC19" i="62904"/>
  <c r="BB25" i="62925"/>
  <c r="BA52" i="62925"/>
  <c r="AZ22" i="62926"/>
  <c r="BP56" i="5"/>
  <c r="BU114" i="9"/>
  <c r="BP109" i="9"/>
  <c r="BB19" i="62904"/>
  <c r="BA25" i="62926"/>
  <c r="BP288" i="5"/>
  <c r="BP251" i="62898"/>
  <c r="I56" i="5"/>
  <c r="Q20" i="62925"/>
  <c r="Q22" i="62926"/>
  <c r="AI16" i="62904"/>
  <c r="BQ56" i="5"/>
  <c r="BA52" i="62926"/>
  <c r="BB17" i="62926"/>
  <c r="J49" i="62904"/>
  <c r="BP239" i="5"/>
  <c r="BC23" i="62925"/>
  <c r="BC26" i="62926"/>
  <c r="AL34" i="62904"/>
  <c r="AF25" i="62904"/>
  <c r="I104" i="5"/>
  <c r="Q23" i="62925"/>
  <c r="Q34" i="62926"/>
  <c r="AK34" i="62904"/>
  <c r="AF16" i="62904"/>
  <c r="BA23" i="62904"/>
  <c r="AE13" i="62904"/>
  <c r="M13" i="62925"/>
  <c r="AK46" i="62926"/>
  <c r="AO46" i="62925"/>
  <c r="AR28" i="9"/>
  <c r="AO13" i="62925"/>
  <c r="S28" i="9"/>
  <c r="K25" i="62905"/>
  <c r="K14" i="62905"/>
  <c r="L55" i="5"/>
  <c r="Q251" i="62898"/>
  <c r="AF14" i="62905"/>
  <c r="AI35" i="62905"/>
  <c r="AI14" i="62905"/>
  <c r="AM34" i="62905"/>
  <c r="AM13" i="62905"/>
  <c r="AR13" i="62905"/>
  <c r="AY34" i="62905"/>
  <c r="AY13" i="62905"/>
  <c r="BM25" i="62905"/>
  <c r="BL23" i="62905"/>
  <c r="BM22" i="62905"/>
  <c r="BK19" i="62905"/>
  <c r="BJ19" i="62905"/>
  <c r="BI19" i="62905"/>
  <c r="BN16" i="62905"/>
  <c r="BM14" i="62905"/>
  <c r="BM13" i="62905"/>
  <c r="K38" i="62905"/>
  <c r="K37" i="62905"/>
  <c r="K35" i="62905"/>
  <c r="K34" i="62905"/>
  <c r="I25" i="62905"/>
  <c r="O23" i="62905"/>
  <c r="K23" i="62905"/>
  <c r="I22" i="62905"/>
  <c r="I20" i="62905"/>
  <c r="L19" i="62905"/>
  <c r="O16" i="62905"/>
  <c r="R14" i="62905"/>
  <c r="Q14" i="62905"/>
  <c r="R13" i="62905"/>
  <c r="Q13" i="62905"/>
  <c r="I252" i="62898"/>
  <c r="N251" i="62898"/>
  <c r="L251" i="62898"/>
  <c r="AW73" i="62926"/>
  <c r="AW75" i="62925"/>
  <c r="G181" i="62925"/>
  <c r="G91" i="62925"/>
  <c r="G93" i="62926"/>
  <c r="AG251" i="62898"/>
  <c r="AW182" i="62926"/>
  <c r="AW14" i="62926"/>
  <c r="AV35" i="62926"/>
  <c r="BR295" i="62898"/>
  <c r="AY35" i="62925"/>
  <c r="BM251" i="62898"/>
  <c r="BM287" i="5"/>
  <c r="Q55" i="5"/>
  <c r="AW23" i="62925"/>
  <c r="AW19" i="62925"/>
  <c r="J37" i="62926"/>
  <c r="J34" i="62926"/>
  <c r="M19" i="62926"/>
  <c r="BN55" i="5"/>
  <c r="G25" i="62925"/>
  <c r="G14" i="62925"/>
  <c r="J19" i="62926"/>
  <c r="AW38" i="62904"/>
  <c r="R35" i="62904"/>
  <c r="R34" i="62904"/>
  <c r="R26" i="62904"/>
  <c r="Q26" i="62904"/>
  <c r="R25" i="62904"/>
  <c r="R22" i="62904"/>
  <c r="BA20" i="62904"/>
  <c r="I19" i="62904"/>
  <c r="AY17" i="62904"/>
  <c r="AP38" i="62904"/>
  <c r="AO23" i="62904"/>
  <c r="G103" i="62926"/>
  <c r="K103" i="62926" s="1"/>
  <c r="AM103" i="62926" s="1"/>
  <c r="AW146" i="62925"/>
  <c r="AW145" i="62926"/>
  <c r="AW130" i="62926"/>
  <c r="AH287" i="5"/>
  <c r="AK295" i="62898"/>
  <c r="AW295" i="62898"/>
  <c r="G182" i="62925"/>
  <c r="G180" i="62926"/>
  <c r="AW180" i="62926"/>
  <c r="AX35" i="62926"/>
  <c r="AV38" i="62925"/>
  <c r="Q239" i="5"/>
  <c r="AX22" i="62925"/>
  <c r="P35" i="62926"/>
  <c r="P14" i="62926"/>
  <c r="M22" i="62925"/>
  <c r="AX14" i="62904"/>
  <c r="Q38" i="62904"/>
  <c r="AZ37" i="62904"/>
  <c r="BB35" i="62904"/>
  <c r="BB34" i="62904"/>
  <c r="BB26" i="62904"/>
  <c r="AX26" i="62904"/>
  <c r="AY25" i="62904"/>
  <c r="Q22" i="62904"/>
  <c r="Q20" i="62904"/>
  <c r="AV19" i="62904"/>
  <c r="AX17" i="62904"/>
  <c r="AP35" i="62904"/>
  <c r="AO20" i="62904"/>
  <c r="AT103" i="62925"/>
  <c r="AT102" i="62926"/>
  <c r="BB38" i="62904"/>
  <c r="BC37" i="62904"/>
  <c r="O35" i="62904"/>
  <c r="O26" i="62904"/>
  <c r="Q25" i="62904"/>
  <c r="AY20" i="62904"/>
  <c r="AW17" i="62904"/>
  <c r="AO17" i="62904"/>
  <c r="AT105" i="62926"/>
  <c r="AW149" i="62926"/>
  <c r="AN240" i="5"/>
  <c r="AW91" i="62926"/>
  <c r="L422" i="5"/>
  <c r="BO251" i="62898"/>
  <c r="AY19" i="62925"/>
  <c r="Q103" i="5"/>
  <c r="G23" i="62926"/>
  <c r="G182" i="62926"/>
  <c r="AZ38" i="62904"/>
  <c r="BA35" i="62904"/>
  <c r="AV19" i="62925"/>
  <c r="K423" i="5"/>
  <c r="AX37" i="62926"/>
  <c r="P25" i="62925"/>
  <c r="BO104" i="5"/>
  <c r="BO471" i="5"/>
  <c r="AP22" i="62904"/>
  <c r="BQ295" i="62898"/>
  <c r="AV16" i="62926"/>
  <c r="P16" i="62926"/>
  <c r="BA93" i="62925"/>
  <c r="BA93" i="62926"/>
  <c r="K19" i="62925"/>
  <c r="R470" i="5"/>
  <c r="H107" i="62926"/>
  <c r="O239" i="5"/>
  <c r="BA19" i="62925"/>
  <c r="BR422" i="5"/>
  <c r="BQ55" i="5"/>
  <c r="AV25" i="62926"/>
  <c r="BN422" i="5"/>
  <c r="BO55" i="5"/>
  <c r="H60" i="62904"/>
  <c r="AK16" i="62904"/>
  <c r="BC16" i="62926"/>
  <c r="Q25" i="62926"/>
  <c r="Q37" i="62926"/>
  <c r="H20" i="62925"/>
  <c r="Q26" i="62925"/>
  <c r="BB38" i="62925"/>
  <c r="O240" i="5"/>
  <c r="BQ252" i="62898"/>
  <c r="H74" i="62904"/>
  <c r="I74" i="62904" s="1"/>
  <c r="D74" i="62904" s="1"/>
  <c r="AK23" i="62904"/>
  <c r="H17" i="62926"/>
  <c r="BA23" i="62926"/>
  <c r="BC35" i="62926"/>
  <c r="H22" i="62925"/>
  <c r="BA34" i="62925"/>
  <c r="J52" i="62925"/>
  <c r="O288" i="5"/>
  <c r="AF20" i="62904"/>
  <c r="AI20" i="62904"/>
  <c r="AL20" i="62904"/>
  <c r="H25" i="62926"/>
  <c r="H37" i="62926"/>
  <c r="AZ20" i="62925"/>
  <c r="BA35" i="62925"/>
  <c r="L240" i="5"/>
  <c r="AE38" i="62904"/>
  <c r="AI34" i="62904"/>
  <c r="Q17" i="62926"/>
  <c r="AZ34" i="62926"/>
  <c r="BC16" i="62925"/>
  <c r="BB23" i="62925"/>
  <c r="N37" i="62925"/>
  <c r="BS104" i="5"/>
  <c r="O296" i="62898"/>
  <c r="BC14" i="62904"/>
  <c r="AZ25" i="62926"/>
  <c r="AZ23" i="62925"/>
  <c r="BP104" i="5"/>
  <c r="BA22" i="62926"/>
  <c r="BS114" i="9"/>
  <c r="AZ25" i="62904"/>
  <c r="BA14" i="62904"/>
  <c r="BT111" i="9"/>
  <c r="AW63" i="62925"/>
  <c r="BA22" i="62925"/>
  <c r="BA37" i="62926"/>
  <c r="BP240" i="5"/>
  <c r="AZ23" i="62926"/>
  <c r="BA37" i="62925"/>
  <c r="BP423" i="5"/>
  <c r="BB25" i="62926"/>
  <c r="BP296" i="62898"/>
  <c r="AZ14" i="62904"/>
  <c r="BP252" i="62898"/>
  <c r="BR471" i="5"/>
  <c r="L288" i="5"/>
  <c r="BQ104" i="5"/>
  <c r="I55" i="5"/>
  <c r="H37" i="62925"/>
  <c r="AZ34" i="62925"/>
  <c r="K23" i="62925"/>
  <c r="K20" i="62925"/>
  <c r="BB38" i="62926"/>
  <c r="BB35" i="62926"/>
  <c r="BB26" i="62926"/>
  <c r="K22" i="62926"/>
  <c r="K17" i="62926"/>
  <c r="AL22" i="62904"/>
  <c r="AJ38" i="62904"/>
  <c r="AI22" i="62904"/>
  <c r="AF37" i="62904"/>
  <c r="BP470" i="5"/>
  <c r="R240" i="5"/>
  <c r="BS56" i="5"/>
  <c r="BC35" i="62925"/>
  <c r="N26" i="62925"/>
  <c r="BB20" i="62925"/>
  <c r="Q16" i="62925"/>
  <c r="N37" i="62926"/>
  <c r="N34" i="62926"/>
  <c r="N25" i="62926"/>
  <c r="AZ19" i="62926"/>
  <c r="AL35" i="62904"/>
  <c r="AK25" i="62904"/>
  <c r="AJ22" i="62904"/>
  <c r="H73" i="62904"/>
  <c r="AF35" i="62904"/>
  <c r="AE20" i="62904"/>
  <c r="O423" i="5"/>
  <c r="I288" i="5"/>
  <c r="BR104" i="5"/>
  <c r="Q38" i="62925"/>
  <c r="Q35" i="62925"/>
  <c r="BC26" i="62925"/>
  <c r="N23" i="62925"/>
  <c r="N20" i="62925"/>
  <c r="AZ16" i="62925"/>
  <c r="BA35" i="62926"/>
  <c r="BA26" i="62926"/>
  <c r="H23" i="62926"/>
  <c r="H20" i="62926"/>
  <c r="H16" i="62926"/>
  <c r="AL19" i="62904"/>
  <c r="AI37" i="62904"/>
  <c r="AI19" i="62904"/>
  <c r="AE35" i="62904"/>
  <c r="AE19" i="62904"/>
  <c r="BS423" i="5"/>
  <c r="I287" i="5"/>
  <c r="O104" i="5"/>
  <c r="BP55" i="5"/>
  <c r="AZ37" i="62925"/>
  <c r="K34" i="62925"/>
  <c r="K25" i="62925"/>
  <c r="BA20" i="62925"/>
  <c r="H17" i="62925"/>
  <c r="K38" i="62926"/>
  <c r="K26" i="62926"/>
  <c r="BC22" i="62926"/>
  <c r="BA17" i="62926"/>
  <c r="AL23" i="62904"/>
  <c r="AJ34" i="62904"/>
  <c r="AI23" i="62904"/>
  <c r="AF38" i="62904"/>
  <c r="AE25" i="62904"/>
  <c r="BP295" i="62898"/>
  <c r="BM55" i="5"/>
  <c r="BM239" i="5"/>
  <c r="AZ23" i="62904"/>
  <c r="AX16" i="62926"/>
  <c r="O471" i="5"/>
  <c r="AW23" i="62926"/>
  <c r="BA14" i="62926"/>
  <c r="BR55" i="5"/>
  <c r="BR239" i="5"/>
  <c r="BS422" i="5"/>
  <c r="BA19" i="62926"/>
  <c r="BC19" i="62925"/>
  <c r="BS103" i="5"/>
  <c r="R55" i="5"/>
  <c r="N14" i="62926"/>
  <c r="H181" i="62926"/>
  <c r="J181" i="62926" s="1"/>
  <c r="AF181" i="62926" s="1"/>
  <c r="H93" i="62926"/>
  <c r="L470" i="5"/>
  <c r="Q19" i="62925"/>
  <c r="N16" i="62926"/>
  <c r="BA180" i="62925"/>
  <c r="BA182" i="62926"/>
  <c r="P23" i="62926"/>
  <c r="J17" i="62926"/>
  <c r="P22" i="62926"/>
  <c r="AV17" i="62926"/>
  <c r="H102" i="62925"/>
  <c r="BQ251" i="62898"/>
  <c r="N17" i="62904"/>
  <c r="AP34" i="62904"/>
  <c r="AO19" i="62904"/>
  <c r="BM471" i="5"/>
  <c r="BM288" i="5"/>
  <c r="BM104" i="5"/>
  <c r="P37" i="62925"/>
  <c r="P22" i="62925"/>
  <c r="G17" i="62925"/>
  <c r="AX26" i="62926"/>
  <c r="BL295" i="62898"/>
  <c r="K288" i="5"/>
  <c r="AY37" i="62925"/>
  <c r="AV17" i="62925"/>
  <c r="AW75" i="62904"/>
  <c r="BA26" i="62904"/>
  <c r="AT107" i="62925"/>
  <c r="AY16" i="62904"/>
  <c r="BC19" i="62926"/>
  <c r="BC14" i="62925"/>
  <c r="BB19" i="62925"/>
  <c r="BR103" i="5"/>
  <c r="BR287" i="5"/>
  <c r="L239" i="5"/>
  <c r="BB14" i="62925"/>
  <c r="BB14" i="62926"/>
  <c r="AL14" i="62904"/>
  <c r="AF14" i="62904"/>
  <c r="H182" i="62926"/>
  <c r="H106" i="62926"/>
  <c r="L106" i="62926" s="1"/>
  <c r="O470" i="5"/>
  <c r="L287" i="5"/>
  <c r="J50" i="62925"/>
  <c r="N16" i="62925"/>
  <c r="Q19" i="62926"/>
  <c r="K16" i="62926"/>
  <c r="BA91" i="62926"/>
  <c r="AV107" i="62926"/>
  <c r="BA181" i="62925"/>
  <c r="AV103" i="62926"/>
  <c r="BA92" i="62925"/>
  <c r="AV103" i="62925"/>
  <c r="AY22" i="62926"/>
  <c r="G19" i="62926"/>
  <c r="G17" i="62926"/>
  <c r="H181" i="62925"/>
  <c r="P20" i="62926"/>
  <c r="AY17" i="62926"/>
  <c r="AY16" i="62926"/>
  <c r="H106" i="62925"/>
  <c r="H101" i="62925"/>
  <c r="R422" i="5"/>
  <c r="L17" i="62904"/>
  <c r="K17" i="62904"/>
  <c r="Q16" i="62904"/>
  <c r="AP25" i="62904"/>
  <c r="AO37" i="62904"/>
  <c r="AO16" i="62904"/>
  <c r="H295" i="62898"/>
  <c r="BL470" i="5"/>
  <c r="BL422" i="5"/>
  <c r="H287" i="5"/>
  <c r="BL239" i="5"/>
  <c r="H103" i="5"/>
  <c r="H55" i="5"/>
  <c r="M37" i="62925"/>
  <c r="G26" i="62925"/>
  <c r="P20" i="62925"/>
  <c r="P17" i="62925"/>
  <c r="P16" i="62925"/>
  <c r="AY37" i="62926"/>
  <c r="AW26" i="62926"/>
  <c r="BO296" i="62898"/>
  <c r="BO252" i="62898"/>
  <c r="Q423" i="5"/>
  <c r="BO240" i="5"/>
  <c r="BO56" i="5"/>
  <c r="AY26" i="62925"/>
  <c r="AX20" i="62925"/>
  <c r="AV16" i="62925"/>
  <c r="G26" i="62926"/>
  <c r="AY37" i="62904"/>
  <c r="AW26" i="62904"/>
  <c r="AT102" i="62925"/>
  <c r="AW92" i="62926"/>
  <c r="AV25" i="62925"/>
  <c r="AX34" i="62926"/>
  <c r="AV14" i="62925"/>
  <c r="J34" i="62925"/>
  <c r="AI14" i="62904"/>
  <c r="AW38" i="62926"/>
  <c r="BO470" i="5"/>
  <c r="AZ20" i="62926"/>
  <c r="BA37" i="62904"/>
  <c r="BA16" i="62904"/>
  <c r="BA38" i="62926"/>
  <c r="BB22" i="62904"/>
  <c r="H38" i="62926"/>
  <c r="H23" i="62925"/>
  <c r="AW16" i="62926"/>
  <c r="AZ14" i="62925"/>
  <c r="BB19" i="62926"/>
  <c r="BQ287" i="5"/>
  <c r="O287" i="5"/>
  <c r="N19" i="62926"/>
  <c r="AE34" i="62904"/>
  <c r="K38" i="62925"/>
  <c r="BA38" i="62925"/>
  <c r="BB14" i="62904"/>
  <c r="AZ19" i="62925"/>
  <c r="L295" i="62898"/>
  <c r="BA19" i="62904"/>
  <c r="F274" i="62926"/>
  <c r="K306" i="62926"/>
  <c r="F273" i="62926"/>
  <c r="J249" i="62926"/>
  <c r="F315" i="62926"/>
  <c r="F306" i="62926"/>
  <c r="M273" i="62926"/>
  <c r="BN108" i="9"/>
  <c r="AZ13" i="62904"/>
  <c r="BC13" i="62904"/>
  <c r="BN28" i="9"/>
  <c r="BP28" i="9"/>
  <c r="BA13" i="62904"/>
  <c r="BA13" i="62926"/>
  <c r="BC13" i="62926"/>
  <c r="BA13" i="62925"/>
  <c r="BC13" i="62925"/>
  <c r="BA46" i="62925"/>
  <c r="N13" i="62925"/>
  <c r="H13" i="62925"/>
  <c r="N13" i="62926"/>
  <c r="H13" i="62926"/>
  <c r="J46" i="62925"/>
  <c r="K46" i="62925" s="1"/>
  <c r="M46" i="62925" s="1"/>
  <c r="AN46" i="62925" s="1"/>
  <c r="AL13" i="62904"/>
  <c r="AJ13" i="62904"/>
  <c r="AW13" i="62926"/>
  <c r="AW35" i="62925"/>
  <c r="AX13" i="62925"/>
  <c r="P13" i="62926"/>
  <c r="P13" i="62925"/>
  <c r="J13" i="62925"/>
  <c r="J13" i="62926"/>
  <c r="AV13" i="62925"/>
  <c r="AP13" i="62904"/>
  <c r="AW13" i="62904"/>
  <c r="AY13" i="62904"/>
  <c r="R13" i="62904"/>
  <c r="BP108" i="9"/>
  <c r="AG46" i="62926"/>
  <c r="AO13" i="62926"/>
  <c r="AJ46" i="62926"/>
  <c r="AJ13" i="62926"/>
  <c r="AL46" i="62925"/>
  <c r="AP13" i="62925"/>
  <c r="AF13" i="62925"/>
  <c r="AI13" i="62925"/>
  <c r="AE46" i="62925"/>
  <c r="O108" i="9"/>
  <c r="BO28" i="9"/>
  <c r="AH13" i="62904"/>
  <c r="P28" i="9"/>
  <c r="J108" i="9"/>
  <c r="I28" i="9"/>
  <c r="BO108" i="9"/>
  <c r="G13" i="62925"/>
  <c r="N13" i="62904"/>
  <c r="I13" i="62904"/>
  <c r="BT28" i="9"/>
  <c r="AE46" i="62926"/>
  <c r="AP46" i="62926"/>
  <c r="AP46" i="62925"/>
  <c r="AH13" i="62925"/>
  <c r="AI46" i="62925"/>
  <c r="BU108" i="9"/>
  <c r="I108" i="9"/>
  <c r="BU28" i="9"/>
  <c r="R28" i="9"/>
  <c r="AI46" i="62926"/>
  <c r="AH13" i="62926"/>
  <c r="AE13" i="62925"/>
  <c r="L28" i="9"/>
  <c r="AF46" i="62926"/>
  <c r="M108" i="9"/>
  <c r="BQ28" i="9"/>
  <c r="AH46" i="62926"/>
  <c r="AV13" i="62926"/>
  <c r="AO13" i="62904"/>
  <c r="BQ108" i="9"/>
  <c r="E14" i="62917"/>
  <c r="AE34" i="62905"/>
  <c r="AF13" i="62905"/>
  <c r="AE13" i="62905"/>
  <c r="AI34" i="62905"/>
  <c r="AJ13" i="62905"/>
  <c r="AI13" i="62905"/>
  <c r="AM35" i="62905"/>
  <c r="AN14" i="62905"/>
  <c r="AM14" i="62905"/>
  <c r="AQ35" i="62905"/>
  <c r="AR14" i="62905"/>
  <c r="AQ14" i="62905"/>
  <c r="AY35" i="62905"/>
  <c r="AZ14" i="62905"/>
  <c r="AY14" i="62905"/>
  <c r="BM38" i="62905"/>
  <c r="BI37" i="62905"/>
  <c r="BH37" i="62905"/>
  <c r="BK35" i="62905"/>
  <c r="BJ35" i="62905"/>
  <c r="BI35" i="62905"/>
  <c r="BH35" i="62905"/>
  <c r="BK34" i="62905"/>
  <c r="BJ34" i="62905"/>
  <c r="BI34" i="62905"/>
  <c r="BH34" i="62905"/>
  <c r="BN25" i="62905"/>
  <c r="BL25" i="62905"/>
  <c r="BM23" i="62905"/>
  <c r="BJ23" i="62905"/>
  <c r="BI23" i="62905"/>
  <c r="BH23" i="62905"/>
  <c r="BN22" i="62905"/>
  <c r="BL22" i="62905"/>
  <c r="BH20" i="62905"/>
  <c r="BO19" i="62905"/>
  <c r="BM19" i="62905"/>
  <c r="BM16" i="62905"/>
  <c r="BN14" i="62905"/>
  <c r="BL14" i="62905"/>
  <c r="BN13" i="62905"/>
  <c r="BL13" i="62905"/>
  <c r="I38" i="62905"/>
  <c r="H38" i="62905"/>
  <c r="I37" i="62905"/>
  <c r="H37" i="62905"/>
  <c r="N35" i="62905"/>
  <c r="H35" i="62905"/>
  <c r="N34" i="62905"/>
  <c r="H34" i="62905"/>
  <c r="L25" i="62905"/>
  <c r="N25" i="62905"/>
  <c r="H25" i="62905"/>
  <c r="L23" i="62905"/>
  <c r="N23" i="62905"/>
  <c r="H23" i="62905"/>
  <c r="L22" i="62905"/>
  <c r="N22" i="62905"/>
  <c r="H22" i="62905"/>
  <c r="H20" i="62905"/>
  <c r="O19" i="62905"/>
  <c r="Q19" i="62905"/>
  <c r="K19" i="62905"/>
  <c r="L16" i="62905"/>
  <c r="K16" i="62905"/>
  <c r="O14" i="62905"/>
  <c r="I14" i="62905"/>
  <c r="N14" i="62905"/>
  <c r="H14" i="62905"/>
  <c r="O13" i="62905"/>
  <c r="I13" i="62905"/>
  <c r="N13" i="62905"/>
  <c r="H13" i="62905"/>
  <c r="H252" i="62898"/>
  <c r="O251" i="62898"/>
  <c r="K251" i="62898"/>
  <c r="G16" i="62925"/>
  <c r="AK296" i="62898"/>
  <c r="AJ35" i="62904"/>
  <c r="BC25" i="62926"/>
  <c r="R56" i="5"/>
  <c r="AE37" i="62904"/>
  <c r="BS240" i="5"/>
  <c r="AF19" i="62904"/>
  <c r="AZ26" i="62926"/>
  <c r="BB20" i="62926"/>
  <c r="BC34" i="62926"/>
  <c r="BC20" i="62925"/>
  <c r="Q23" i="62904"/>
  <c r="AW142" i="62925"/>
  <c r="H26" i="62904"/>
  <c r="BC38" i="62904"/>
  <c r="AT105" i="62925"/>
  <c r="AV16" i="62904"/>
  <c r="AZ19" i="62904"/>
  <c r="BC22" i="62904"/>
  <c r="AY26" i="62904"/>
  <c r="BC34" i="62904"/>
  <c r="O37" i="62904"/>
  <c r="AW74" i="62904"/>
  <c r="AT103" i="62926"/>
  <c r="J26" i="62926"/>
  <c r="P37" i="62926"/>
  <c r="AY16" i="62925"/>
  <c r="AY17" i="62925"/>
  <c r="AY20" i="62925"/>
  <c r="AV26" i="62925"/>
  <c r="AX37" i="62925"/>
  <c r="BL55" i="5"/>
  <c r="BL103" i="5"/>
  <c r="H239" i="5"/>
  <c r="BL287" i="5"/>
  <c r="H422" i="5"/>
  <c r="H470" i="5"/>
  <c r="BL251" i="62898"/>
  <c r="AW92" i="62925"/>
  <c r="AN471" i="5"/>
  <c r="AW20" i="62904"/>
  <c r="BB37" i="62904"/>
  <c r="AP23" i="62904"/>
  <c r="R20" i="62904"/>
  <c r="I17" i="62904"/>
  <c r="Q23" i="62926"/>
  <c r="AK20" i="62904"/>
  <c r="I103" i="5"/>
  <c r="L104" i="5"/>
  <c r="BP287" i="5"/>
  <c r="AE26" i="62904"/>
  <c r="P17" i="62926"/>
  <c r="P26" i="62925"/>
  <c r="BA17" i="62904"/>
  <c r="N37" i="62904"/>
  <c r="AT107" i="62926"/>
  <c r="AO26" i="62904"/>
  <c r="AZ17" i="62904"/>
  <c r="L20" i="62904"/>
  <c r="BC25" i="62904"/>
  <c r="BC26" i="62904"/>
  <c r="BC35" i="62904"/>
  <c r="O38" i="62904"/>
  <c r="AW72" i="62904"/>
  <c r="P25" i="62926"/>
  <c r="P26" i="62926"/>
  <c r="AY38" i="62926"/>
  <c r="AW17" i="62925"/>
  <c r="AW20" i="62925"/>
  <c r="AY23" i="62925"/>
  <c r="AX26" i="62925"/>
  <c r="AX38" i="62925"/>
  <c r="BN56" i="5"/>
  <c r="N104" i="5"/>
  <c r="BN240" i="5"/>
  <c r="N288" i="5"/>
  <c r="N423" i="5"/>
  <c r="N471" i="5"/>
  <c r="BN252" i="62898"/>
  <c r="J107" i="62925"/>
  <c r="R423" i="5"/>
  <c r="Q16" i="62926"/>
  <c r="M20" i="62925"/>
  <c r="BA181" i="62926"/>
  <c r="H102" i="62926"/>
  <c r="BB37" i="62925"/>
  <c r="H26" i="62926"/>
  <c r="BB26" i="62925"/>
  <c r="J106" i="62926"/>
  <c r="BQ288" i="5"/>
  <c r="G105" i="62926"/>
  <c r="K105" i="62926" s="1"/>
  <c r="AZ35" i="62926"/>
  <c r="BR288" i="5"/>
  <c r="AK37" i="62904"/>
  <c r="L471" i="5"/>
  <c r="N17" i="62925"/>
  <c r="AI17" i="62904"/>
  <c r="H180" i="62925"/>
  <c r="BO423" i="5"/>
  <c r="BM240" i="5"/>
  <c r="AV106" i="62926"/>
  <c r="AX17" i="62926"/>
  <c r="H34" i="62925"/>
  <c r="BQ296" i="62898"/>
  <c r="AW65" i="62926"/>
  <c r="Q240" i="5"/>
  <c r="BC17" i="62926"/>
  <c r="AZ38" i="62926"/>
  <c r="Q34" i="62925"/>
  <c r="H35" i="62926"/>
  <c r="H48" i="62925"/>
  <c r="J48" i="62926"/>
  <c r="G105" i="62925"/>
  <c r="J105" i="62925"/>
  <c r="U105" i="62925" s="1"/>
  <c r="J107" i="62926"/>
  <c r="U473" i="5"/>
  <c r="I25" i="62915"/>
  <c r="U25" i="62915" s="1"/>
  <c r="G354" i="9"/>
  <c r="G395" i="9" s="1"/>
  <c r="AP28" i="9"/>
  <c r="M41" i="62929"/>
  <c r="Y41" i="62929" s="1"/>
  <c r="S36" i="62914"/>
  <c r="K299" i="62926"/>
  <c r="W36" i="62914"/>
  <c r="F299" i="62925"/>
  <c r="BA117" i="9"/>
  <c r="E34" i="62929"/>
  <c r="Q34" i="62929" s="1"/>
  <c r="Q29" i="62914"/>
  <c r="I514" i="62898"/>
  <c r="I27" i="62912" s="1"/>
  <c r="G67" i="62912" s="1"/>
  <c r="F296" i="62925"/>
  <c r="AY117" i="9"/>
  <c r="D29" i="9"/>
  <c r="AU117" i="9"/>
  <c r="D35" i="9"/>
  <c r="U37" i="9"/>
  <c r="E264" i="9" s="1"/>
  <c r="F264" i="9" s="1"/>
  <c r="D109" i="9"/>
  <c r="AO35" i="9"/>
  <c r="BD109" i="9"/>
  <c r="BC109" i="9"/>
  <c r="U298" i="62898"/>
  <c r="AI37" i="9"/>
  <c r="BC35" i="9"/>
  <c r="E17" i="62915"/>
  <c r="Q17" i="62915" s="1"/>
  <c r="E17" i="62912"/>
  <c r="N17" i="62912" s="1"/>
  <c r="AD31" i="9"/>
  <c r="Y31" i="9" s="1"/>
  <c r="AE31" i="9" s="1"/>
  <c r="AD28" i="9"/>
  <c r="Y28" i="9" s="1"/>
  <c r="AE28" i="9" s="1"/>
  <c r="E16" i="62914"/>
  <c r="AD32" i="9"/>
  <c r="Y32" i="9" s="1"/>
  <c r="AE32" i="9" s="1"/>
  <c r="L545" i="62898"/>
  <c r="I299" i="62905"/>
  <c r="J727" i="5"/>
  <c r="J28" i="62915" s="1"/>
  <c r="G299" i="62925"/>
  <c r="G233" i="62926"/>
  <c r="K334" i="62925"/>
  <c r="K299" i="62925"/>
  <c r="AO109" i="9"/>
  <c r="AP31" i="9"/>
  <c r="AO108" i="9"/>
  <c r="AK37" i="9"/>
  <c r="BC32" i="9"/>
  <c r="V37" i="9"/>
  <c r="K296" i="9"/>
  <c r="J578" i="62898"/>
  <c r="J298" i="62925"/>
  <c r="J291" i="62925"/>
  <c r="J296" i="62925" s="1"/>
  <c r="I225" i="62925"/>
  <c r="AD115" i="9"/>
  <c r="Y115" i="9" s="1"/>
  <c r="AE115" i="9" s="1"/>
  <c r="AD112" i="9"/>
  <c r="Y112" i="9" s="1"/>
  <c r="AE112" i="9" s="1"/>
  <c r="AD109" i="9"/>
  <c r="Y109" i="9" s="1"/>
  <c r="AE109" i="9" s="1"/>
  <c r="AD35" i="9"/>
  <c r="Y35" i="9" s="1"/>
  <c r="AE35" i="9" s="1"/>
  <c r="AD29" i="9"/>
  <c r="Y29" i="9" s="1"/>
  <c r="AE29" i="9" s="1"/>
  <c r="I270" i="9"/>
  <c r="G178" i="62909" s="1"/>
  <c r="H178" i="62909" s="1"/>
  <c r="AD34" i="9"/>
  <c r="Y34" i="9" s="1"/>
  <c r="AE34" i="9" s="1"/>
  <c r="K288" i="9"/>
  <c r="L694" i="5"/>
  <c r="L29" i="62914" s="1"/>
  <c r="G57" i="62914" s="1"/>
  <c r="U58" i="5"/>
  <c r="U242" i="5"/>
  <c r="U290" i="5"/>
  <c r="U425" i="5"/>
  <c r="I512" i="62898"/>
  <c r="L257" i="62925"/>
  <c r="L261" i="62925" s="1"/>
  <c r="K296" i="62925"/>
  <c r="BD32" i="9"/>
  <c r="AR117" i="9"/>
  <c r="V117" i="9"/>
  <c r="AC37" i="9"/>
  <c r="G233" i="62925"/>
  <c r="I231" i="62925"/>
  <c r="F264" i="62926"/>
  <c r="BC112" i="9"/>
  <c r="AP111" i="9"/>
  <c r="W117" i="9"/>
  <c r="AM38" i="62905"/>
  <c r="AN37" i="62905"/>
  <c r="AI17" i="62905"/>
  <c r="AI23" i="62905"/>
  <c r="AJ16" i="62905"/>
  <c r="AJ22" i="62905"/>
  <c r="AI38" i="62905"/>
  <c r="AJ37" i="62905"/>
  <c r="AE19" i="62905"/>
  <c r="AE25" i="62905"/>
  <c r="AF17" i="62905"/>
  <c r="AF20" i="62905"/>
  <c r="AF23" i="62905"/>
  <c r="AF26" i="62905"/>
  <c r="AE38" i="62905"/>
  <c r="AF35" i="62905"/>
  <c r="AF38" i="62905"/>
  <c r="AN34" i="62905"/>
  <c r="AI20" i="62905"/>
  <c r="AI26" i="62905"/>
  <c r="AJ19" i="62905"/>
  <c r="AJ25" i="62905"/>
  <c r="AJ34" i="62905"/>
  <c r="AE16" i="62905"/>
  <c r="AE22" i="62905"/>
  <c r="AF16" i="62905"/>
  <c r="AF19" i="62905"/>
  <c r="AF22" i="62905"/>
  <c r="AF25" i="62905"/>
  <c r="AE37" i="62905"/>
  <c r="AF34" i="62905"/>
  <c r="AF37" i="62905"/>
  <c r="BC23" i="62904"/>
  <c r="G101" i="62926"/>
  <c r="AX38" i="62904"/>
  <c r="I34" i="62904"/>
  <c r="BB20" i="62904"/>
  <c r="AO38" i="62904"/>
  <c r="G101" i="62925"/>
  <c r="AW115" i="62926"/>
  <c r="BM252" i="62898"/>
  <c r="H91" i="62925"/>
  <c r="L91" i="62925" s="1"/>
  <c r="R296" i="62898"/>
  <c r="Q26" i="62926"/>
  <c r="BR56" i="5"/>
  <c r="AL25" i="62904"/>
  <c r="BA26" i="62925"/>
  <c r="J51" i="62904"/>
  <c r="K17" i="62925"/>
  <c r="AJ17" i="62904"/>
  <c r="Q22" i="62925"/>
  <c r="I295" i="62898"/>
  <c r="AE23" i="62904"/>
  <c r="BR296" i="62898"/>
  <c r="N38" i="62925"/>
  <c r="BC17" i="62925"/>
  <c r="Q20" i="62926"/>
  <c r="H61" i="62904"/>
  <c r="J61" i="62904" s="1"/>
  <c r="D61" i="62904" s="1"/>
  <c r="BC37" i="62925"/>
  <c r="AZ16" i="62926"/>
  <c r="AJ16" i="62904"/>
  <c r="K35" i="62925"/>
  <c r="BC38" i="62926"/>
  <c r="AF34" i="62904"/>
  <c r="I239" i="5"/>
  <c r="Q25" i="62925"/>
  <c r="Q35" i="62926"/>
  <c r="AL17" i="62904"/>
  <c r="AE16" i="62904"/>
  <c r="AV105" i="62925"/>
  <c r="H105" i="62925"/>
  <c r="AO25" i="62904"/>
  <c r="Q56" i="5"/>
  <c r="AV26" i="62926"/>
  <c r="AX38" i="62926"/>
  <c r="H16" i="62904"/>
  <c r="AW26" i="62925"/>
  <c r="Q38" i="62926"/>
  <c r="AK19" i="62904"/>
  <c r="AK38" i="62904"/>
  <c r="N35" i="62925"/>
  <c r="AI25" i="62904"/>
  <c r="AE22" i="62904"/>
  <c r="BS471" i="5"/>
  <c r="H48" i="62926"/>
  <c r="J48" i="62925"/>
  <c r="J106" i="62925"/>
  <c r="G107" i="62926"/>
  <c r="G106" i="62925"/>
  <c r="G107" i="62925"/>
  <c r="G106" i="62926"/>
  <c r="J105" i="62926"/>
  <c r="AJ117" i="9"/>
  <c r="AB37" i="9"/>
  <c r="I264" i="9" s="1"/>
  <c r="G172" i="62909" s="1"/>
  <c r="H172" i="62909" s="1"/>
  <c r="D108" i="9"/>
  <c r="BH37" i="9"/>
  <c r="D28" i="9"/>
  <c r="D34" i="9"/>
  <c r="D32" i="9"/>
  <c r="AO28" i="9"/>
  <c r="AP35" i="9"/>
  <c r="AP34" i="9"/>
  <c r="AO34" i="9"/>
  <c r="AP32" i="9"/>
  <c r="AO32" i="9"/>
  <c r="AO31" i="9"/>
  <c r="AL37" i="9"/>
  <c r="AJ37" i="9"/>
  <c r="BC108" i="9"/>
  <c r="BC29" i="9"/>
  <c r="AX117" i="9"/>
  <c r="AN37" i="9"/>
  <c r="AM117" i="9"/>
  <c r="U254" i="62898"/>
  <c r="BC114" i="9"/>
  <c r="AW117" i="9"/>
  <c r="AO112" i="9"/>
  <c r="AL117" i="9"/>
  <c r="AD114" i="9"/>
  <c r="Y114" i="9" s="1"/>
  <c r="AE114" i="9" s="1"/>
  <c r="AD111" i="9"/>
  <c r="Y111" i="9" s="1"/>
  <c r="AE111" i="9" s="1"/>
  <c r="AD108" i="9"/>
  <c r="Y108" i="9" s="1"/>
  <c r="AE108" i="9" s="1"/>
  <c r="J609" i="62898"/>
  <c r="H292" i="9"/>
  <c r="G362" i="9"/>
  <c r="E334" i="62925"/>
  <c r="J297" i="62925"/>
  <c r="E264" i="62925"/>
  <c r="L262" i="62925"/>
  <c r="BC34" i="9"/>
  <c r="BC31" i="9"/>
  <c r="BD115" i="9"/>
  <c r="BD111" i="9"/>
  <c r="BE117" i="9"/>
  <c r="AO115" i="9"/>
  <c r="AO114" i="9"/>
  <c r="BG117" i="9"/>
  <c r="AZ117" i="9"/>
  <c r="BD108" i="9"/>
  <c r="AV37" i="9"/>
  <c r="BH117" i="9"/>
  <c r="D31" i="9"/>
  <c r="AP29" i="9"/>
  <c r="AG37" i="9"/>
  <c r="AG117" i="9"/>
  <c r="AP108" i="9"/>
  <c r="AH117" i="9"/>
  <c r="AQ117" i="9"/>
  <c r="BF117" i="9"/>
  <c r="AM37" i="9"/>
  <c r="AN117" i="9"/>
  <c r="AP109" i="9"/>
  <c r="BD29" i="9"/>
  <c r="AX37" i="9"/>
  <c r="D111" i="9"/>
  <c r="U117" i="9"/>
  <c r="E271" i="9" s="1"/>
  <c r="J271" i="9" s="1"/>
  <c r="AB117" i="9"/>
  <c r="I271" i="9" s="1"/>
  <c r="G179" i="62909" s="1"/>
  <c r="H179" i="62909" s="1"/>
  <c r="G333" i="62925"/>
  <c r="BD35" i="9"/>
  <c r="BD34" i="9"/>
  <c r="BD31" i="9"/>
  <c r="BC115" i="9"/>
  <c r="BC111" i="9"/>
  <c r="BD114" i="9"/>
  <c r="BD112" i="9"/>
  <c r="BB117" i="9"/>
  <c r="AP115" i="9"/>
  <c r="AP114" i="9"/>
  <c r="AP112" i="9"/>
  <c r="AO111" i="9"/>
  <c r="D114" i="9"/>
  <c r="N578" i="62898"/>
  <c r="AC117" i="9"/>
  <c r="I263" i="9"/>
  <c r="G171" i="62909" s="1"/>
  <c r="H171" i="62909" s="1"/>
  <c r="F362" i="9"/>
  <c r="G292" i="9"/>
  <c r="I228" i="62925"/>
  <c r="E230" i="62925"/>
  <c r="E13" i="62912"/>
  <c r="N13" i="62912" s="1"/>
  <c r="F334" i="62926"/>
  <c r="F16" i="62915"/>
  <c r="G264" i="62926"/>
  <c r="G334" i="62926"/>
  <c r="M264" i="62925"/>
  <c r="Y29" i="62914"/>
  <c r="M34" i="62929"/>
  <c r="Y34" i="62929" s="1"/>
  <c r="G34" i="62929"/>
  <c r="S34" i="62929" s="1"/>
  <c r="S29" i="62914"/>
  <c r="M27" i="62929"/>
  <c r="Y27" i="62929" s="1"/>
  <c r="Y22" i="62914"/>
  <c r="K34" i="62929"/>
  <c r="W34" i="62929" s="1"/>
  <c r="W29" i="62914"/>
  <c r="F34" i="62929"/>
  <c r="R34" i="62929" s="1"/>
  <c r="R29" i="62914"/>
  <c r="AV117" i="9"/>
  <c r="AO29" i="9"/>
  <c r="I661" i="5"/>
  <c r="AI117" i="9"/>
  <c r="W37" i="9"/>
  <c r="H251" i="62898"/>
  <c r="K252" i="62898"/>
  <c r="Q252" i="62898"/>
  <c r="O252" i="62898"/>
  <c r="Q16" i="62905"/>
  <c r="I16" i="62905"/>
  <c r="H17" i="62905"/>
  <c r="N17" i="62905"/>
  <c r="L17" i="62905"/>
  <c r="R17" i="62905"/>
  <c r="I19" i="62905"/>
  <c r="N20" i="62905"/>
  <c r="L20" i="62905"/>
  <c r="R20" i="62905"/>
  <c r="Q22" i="62905"/>
  <c r="R23" i="62905"/>
  <c r="Q25" i="62905"/>
  <c r="H26" i="62905"/>
  <c r="N26" i="62905"/>
  <c r="L26" i="62905"/>
  <c r="R26" i="62905"/>
  <c r="L34" i="62905"/>
  <c r="R34" i="62905"/>
  <c r="I35" i="62905"/>
  <c r="O35" i="62905"/>
  <c r="N37" i="62905"/>
  <c r="R37" i="62905"/>
  <c r="Q38" i="62905"/>
  <c r="O38" i="62905"/>
  <c r="BH16" i="62905"/>
  <c r="BO16" i="62905"/>
  <c r="BI17" i="62905"/>
  <c r="BK17" i="62905"/>
  <c r="BL17" i="62905"/>
  <c r="BN17" i="62905"/>
  <c r="BH19" i="62905"/>
  <c r="BL19" i="62905"/>
  <c r="BI20" i="62905"/>
  <c r="BK20" i="62905"/>
  <c r="BN20" i="62905"/>
  <c r="BK22" i="62905"/>
  <c r="BK23" i="62905"/>
  <c r="BK25" i="62905"/>
  <c r="BH26" i="62905"/>
  <c r="BJ26" i="62905"/>
  <c r="BM26" i="62905"/>
  <c r="BO26" i="62905"/>
  <c r="BM34" i="62905"/>
  <c r="BO34" i="62905"/>
  <c r="BL35" i="62905"/>
  <c r="BN35" i="62905"/>
  <c r="BJ37" i="62905"/>
  <c r="BO37" i="62905"/>
  <c r="BK38" i="62905"/>
  <c r="BL38" i="62905"/>
  <c r="BN38" i="62905"/>
  <c r="I92" i="62925"/>
  <c r="T92" i="62925" s="1"/>
  <c r="I93" i="62925"/>
  <c r="T93" i="62925" s="1"/>
  <c r="I91" i="62925"/>
  <c r="T91" i="62925" s="1"/>
  <c r="I92" i="62926"/>
  <c r="T92" i="62926" s="1"/>
  <c r="I93" i="62926"/>
  <c r="T93" i="62926" s="1"/>
  <c r="I91" i="62926"/>
  <c r="T91" i="62926" s="1"/>
  <c r="AY16" i="62905"/>
  <c r="AY19" i="62905"/>
  <c r="AY22" i="62905"/>
  <c r="AY25" i="62905"/>
  <c r="AZ17" i="62905"/>
  <c r="AZ20" i="62905"/>
  <c r="AZ23" i="62905"/>
  <c r="AZ26" i="62905"/>
  <c r="AY37" i="62905"/>
  <c r="AZ35" i="62905"/>
  <c r="AZ38" i="62905"/>
  <c r="AQ17" i="62905"/>
  <c r="AQ20" i="62905"/>
  <c r="AQ23" i="62905"/>
  <c r="AQ26" i="62905"/>
  <c r="AR16" i="62905"/>
  <c r="AR19" i="62905"/>
  <c r="AR22" i="62905"/>
  <c r="AR25" i="62905"/>
  <c r="AQ38" i="62905"/>
  <c r="AR34" i="62905"/>
  <c r="AR37" i="62905"/>
  <c r="AM16" i="62905"/>
  <c r="AM19" i="62905"/>
  <c r="AM22" i="62905"/>
  <c r="AM25" i="62905"/>
  <c r="AN17" i="62905"/>
  <c r="AN20" i="62905"/>
  <c r="AN23" i="62905"/>
  <c r="AN26" i="62905"/>
  <c r="AM37" i="62905"/>
  <c r="AN35" i="62905"/>
  <c r="AN38" i="62905"/>
  <c r="AI16" i="62905"/>
  <c r="AI19" i="62905"/>
  <c r="AI22" i="62905"/>
  <c r="AI25" i="62905"/>
  <c r="AJ17" i="62905"/>
  <c r="AJ20" i="62905"/>
  <c r="AJ23" i="62905"/>
  <c r="AJ26" i="62905"/>
  <c r="AI37" i="62905"/>
  <c r="AJ35" i="62905"/>
  <c r="AJ38" i="62905"/>
  <c r="AE17" i="62905"/>
  <c r="AE20" i="62905"/>
  <c r="AE23" i="62905"/>
  <c r="AE26" i="62905"/>
  <c r="I251" i="62898"/>
  <c r="N252" i="62898"/>
  <c r="L252" i="62898"/>
  <c r="R252" i="62898"/>
  <c r="H16" i="62905"/>
  <c r="R16" i="62905"/>
  <c r="K17" i="62905"/>
  <c r="Q17" i="62905"/>
  <c r="I17" i="62905"/>
  <c r="O17" i="62905"/>
  <c r="H19" i="62905"/>
  <c r="K20" i="62905"/>
  <c r="Q20" i="62905"/>
  <c r="O20" i="62905"/>
  <c r="R22" i="62905"/>
  <c r="Q23" i="62905"/>
  <c r="R25" i="62905"/>
  <c r="K26" i="62905"/>
  <c r="Q26" i="62905"/>
  <c r="I26" i="62905"/>
  <c r="O26" i="62905"/>
  <c r="I34" i="62905"/>
  <c r="O34" i="62905"/>
  <c r="L35" i="62905"/>
  <c r="R35" i="62905"/>
  <c r="Q37" i="62905"/>
  <c r="O37" i="62905"/>
  <c r="N38" i="62905"/>
  <c r="R38" i="62905"/>
  <c r="BK16" i="62905"/>
  <c r="BL16" i="62905"/>
  <c r="BH17" i="62905"/>
  <c r="BJ17" i="62905"/>
  <c r="BM17" i="62905"/>
  <c r="BO17" i="62905"/>
  <c r="BJ20" i="62905"/>
  <c r="BM20" i="62905"/>
  <c r="BO20" i="62905"/>
  <c r="BO22" i="62905"/>
  <c r="BO23" i="62905"/>
  <c r="BO25" i="62905"/>
  <c r="BI26" i="62905"/>
  <c r="BK26" i="62905"/>
  <c r="BL26" i="62905"/>
  <c r="BN26" i="62905"/>
  <c r="BL34" i="62905"/>
  <c r="BN34" i="62905"/>
  <c r="BM35" i="62905"/>
  <c r="BO35" i="62905"/>
  <c r="BK37" i="62905"/>
  <c r="BL37" i="62905"/>
  <c r="BN37" i="62905"/>
  <c r="BJ38" i="62905"/>
  <c r="BO38" i="62905"/>
  <c r="AY17" i="62905"/>
  <c r="AY20" i="62905"/>
  <c r="AY23" i="62905"/>
  <c r="AY26" i="62905"/>
  <c r="AZ16" i="62905"/>
  <c r="AZ19" i="62905"/>
  <c r="AZ22" i="62905"/>
  <c r="AZ25" i="62905"/>
  <c r="AY38" i="62905"/>
  <c r="AZ34" i="62905"/>
  <c r="AZ37" i="62905"/>
  <c r="AQ16" i="62905"/>
  <c r="AQ19" i="62905"/>
  <c r="AQ22" i="62905"/>
  <c r="AQ25" i="62905"/>
  <c r="AR17" i="62905"/>
  <c r="AR20" i="62905"/>
  <c r="AR23" i="62905"/>
  <c r="AR26" i="62905"/>
  <c r="AQ37" i="62905"/>
  <c r="AR35" i="62905"/>
  <c r="AR38" i="62905"/>
  <c r="AM17" i="62905"/>
  <c r="AM20" i="62905"/>
  <c r="AM23" i="62905"/>
  <c r="AM26" i="62905"/>
  <c r="AN16" i="62905"/>
  <c r="AN19" i="62905"/>
  <c r="AN22" i="62905"/>
  <c r="AN25" i="62905"/>
  <c r="K323" i="9"/>
  <c r="F323" i="9"/>
  <c r="G323" i="9"/>
  <c r="L320" i="9"/>
  <c r="E323" i="9"/>
  <c r="L330" i="9"/>
  <c r="F292" i="9"/>
  <c r="I354" i="9"/>
  <c r="E362" i="9"/>
  <c r="I296" i="9"/>
  <c r="I362" i="9"/>
  <c r="F354" i="9"/>
  <c r="AD172" i="9" l="1"/>
  <c r="Y172" i="9" s="1"/>
  <c r="N60" i="62898"/>
  <c r="L228" i="9"/>
  <c r="N228" i="9"/>
  <c r="AR228" i="9"/>
  <c r="AJ228" i="9"/>
  <c r="K228" i="9"/>
  <c r="M228" i="9"/>
  <c r="AL228" i="9"/>
  <c r="AP226" i="9"/>
  <c r="AH228" i="9"/>
  <c r="AH232" i="9" s="1"/>
  <c r="G300" i="62926"/>
  <c r="H234" i="62926"/>
  <c r="AP227" i="9"/>
  <c r="F25" i="62911"/>
  <c r="R22" i="62911"/>
  <c r="I22" i="62911" s="1"/>
  <c r="AD171" i="9"/>
  <c r="Y171" i="9" s="1"/>
  <c r="AD170" i="9"/>
  <c r="Y170" i="9" s="1"/>
  <c r="D174" i="9"/>
  <c r="J174" i="9"/>
  <c r="AP174" i="9"/>
  <c r="X169" i="2"/>
  <c r="Q169" i="2" s="1"/>
  <c r="C31" i="62892"/>
  <c r="I137" i="62892"/>
  <c r="P35" i="62909"/>
  <c r="P34" i="62909" s="1"/>
  <c r="P217" i="62909" s="1"/>
  <c r="X158" i="2"/>
  <c r="Q158" i="2" s="1"/>
  <c r="X164" i="2"/>
  <c r="Q164" i="2" s="1"/>
  <c r="X159" i="2"/>
  <c r="Q159" i="2" s="1"/>
  <c r="F234" i="62926"/>
  <c r="AD15" i="9"/>
  <c r="AD20" i="9" s="1"/>
  <c r="AH15" i="9"/>
  <c r="J20" i="9"/>
  <c r="AO346" i="62898"/>
  <c r="AM346" i="62898"/>
  <c r="I346" i="62898"/>
  <c r="L346" i="62898" s="1"/>
  <c r="AJ346" i="62898"/>
  <c r="AH346" i="62898"/>
  <c r="AI346" i="62898"/>
  <c r="AX346" i="62898"/>
  <c r="AV346" i="62898"/>
  <c r="AG346" i="62898"/>
  <c r="AW346" i="62898"/>
  <c r="E936" i="62921"/>
  <c r="D936" i="62921" s="1"/>
  <c r="J346" i="62898"/>
  <c r="M346" i="62898" s="1"/>
  <c r="AN346" i="62898"/>
  <c r="H346" i="62898"/>
  <c r="K346" i="62898" s="1"/>
  <c r="AK346" i="62898"/>
  <c r="AK361" i="62898" s="1"/>
  <c r="H240" i="62926"/>
  <c r="H25" i="62912" s="1"/>
  <c r="Q25" i="62912" s="1"/>
  <c r="K268" i="62926"/>
  <c r="K284" i="62926" s="1"/>
  <c r="E234" i="62925"/>
  <c r="I234" i="62925" s="1"/>
  <c r="K268" i="62925"/>
  <c r="K284" i="62925" s="1"/>
  <c r="E601" i="62921"/>
  <c r="E602" i="62921" s="1"/>
  <c r="E549" i="62922"/>
  <c r="E550" i="62922" s="1"/>
  <c r="D548" i="62922"/>
  <c r="I141" i="62892"/>
  <c r="B224" i="62909"/>
  <c r="D87" i="62898"/>
  <c r="AJ254" i="62898"/>
  <c r="AM254" i="62898"/>
  <c r="AQ254" i="62898"/>
  <c r="AH254" i="62898"/>
  <c r="AG254" i="62898"/>
  <c r="AW254" i="62898"/>
  <c r="AN254" i="62898"/>
  <c r="AV254" i="62898"/>
  <c r="AK254" i="62898"/>
  <c r="AP254" i="62898"/>
  <c r="AB252" i="62898"/>
  <c r="AB251" i="62898"/>
  <c r="U30" i="11"/>
  <c r="BI283" i="62898"/>
  <c r="BK271" i="62898"/>
  <c r="BI273" i="62898"/>
  <c r="BL284" i="62898"/>
  <c r="BL271" i="62898"/>
  <c r="BL282" i="62898"/>
  <c r="BJ284" i="62898"/>
  <c r="BJ271" i="62898"/>
  <c r="BJ282" i="62898"/>
  <c r="BK284" i="62898"/>
  <c r="BI272" i="62898"/>
  <c r="M107" i="62898"/>
  <c r="P107" i="62898" s="1"/>
  <c r="AT408" i="62898"/>
  <c r="BK409" i="62898"/>
  <c r="L407" i="62898"/>
  <c r="P407" i="62898" s="1"/>
  <c r="J407" i="62898"/>
  <c r="N407" i="62898" s="1"/>
  <c r="AN399" i="62898"/>
  <c r="AL399" i="62898"/>
  <c r="AJ399" i="62898"/>
  <c r="AH399" i="62898"/>
  <c r="J397" i="62898"/>
  <c r="N397" i="62898" s="1"/>
  <c r="I396" i="62898"/>
  <c r="M396" i="62898" s="1"/>
  <c r="J396" i="62898"/>
  <c r="N396" i="62898" s="1"/>
  <c r="AT409" i="62898"/>
  <c r="M408" i="62898"/>
  <c r="Q408" i="62898" s="1"/>
  <c r="K408" i="62898"/>
  <c r="O408" i="62898" s="1"/>
  <c r="BK398" i="62898"/>
  <c r="AN396" i="62898"/>
  <c r="AL396" i="62898"/>
  <c r="AJ396" i="62898"/>
  <c r="AH396" i="62898"/>
  <c r="H398" i="62898"/>
  <c r="L398" i="62898" s="1"/>
  <c r="H396" i="62898"/>
  <c r="L396" i="62898" s="1"/>
  <c r="AT282" i="62898"/>
  <c r="L410" i="62898"/>
  <c r="P410" i="62898" s="1"/>
  <c r="AU284" i="62898"/>
  <c r="AT410" i="62898"/>
  <c r="M409" i="62898"/>
  <c r="Q409" i="62898" s="1"/>
  <c r="K409" i="62898"/>
  <c r="O409" i="62898" s="1"/>
  <c r="AO397" i="62898"/>
  <c r="AM397" i="62898"/>
  <c r="AK397" i="62898"/>
  <c r="AI397" i="62898"/>
  <c r="K399" i="62898"/>
  <c r="O399" i="62898" s="1"/>
  <c r="I398" i="62898"/>
  <c r="M398" i="62898" s="1"/>
  <c r="AU283" i="62898"/>
  <c r="AL398" i="62898"/>
  <c r="AT407" i="62898"/>
  <c r="M410" i="62898"/>
  <c r="Q410" i="62898" s="1"/>
  <c r="K410" i="62898"/>
  <c r="O410" i="62898" s="1"/>
  <c r="AO398" i="62898"/>
  <c r="AM398" i="62898"/>
  <c r="AK398" i="62898"/>
  <c r="AI398" i="62898"/>
  <c r="K398" i="62898"/>
  <c r="O398" i="62898" s="1"/>
  <c r="J398" i="62898"/>
  <c r="N398" i="62898" s="1"/>
  <c r="AU282" i="62898"/>
  <c r="AU407" i="62898"/>
  <c r="AH398" i="62898"/>
  <c r="AU408" i="62898"/>
  <c r="M407" i="62898"/>
  <c r="Q407" i="62898" s="1"/>
  <c r="K407" i="62898"/>
  <c r="O407" i="62898" s="1"/>
  <c r="AO399" i="62898"/>
  <c r="AM399" i="62898"/>
  <c r="AK399" i="62898"/>
  <c r="AI399" i="62898"/>
  <c r="K397" i="62898"/>
  <c r="O397" i="62898" s="1"/>
  <c r="H399" i="62898"/>
  <c r="L399" i="62898" s="1"/>
  <c r="AT283" i="62898"/>
  <c r="J410" i="62898"/>
  <c r="N410" i="62898" s="1"/>
  <c r="AU409" i="62898"/>
  <c r="L408" i="62898"/>
  <c r="P408" i="62898" s="1"/>
  <c r="J408" i="62898"/>
  <c r="N408" i="62898" s="1"/>
  <c r="AO396" i="62898"/>
  <c r="AM396" i="62898"/>
  <c r="AK396" i="62898"/>
  <c r="AI396" i="62898"/>
  <c r="K396" i="62898"/>
  <c r="O396" i="62898" s="1"/>
  <c r="I399" i="62898"/>
  <c r="M399" i="62898" s="1"/>
  <c r="AN398" i="62898"/>
  <c r="I397" i="62898"/>
  <c r="M397" i="62898" s="1"/>
  <c r="AU410" i="62898"/>
  <c r="L409" i="62898"/>
  <c r="P409" i="62898" s="1"/>
  <c r="J409" i="62898"/>
  <c r="N409" i="62898" s="1"/>
  <c r="AN397" i="62898"/>
  <c r="AL397" i="62898"/>
  <c r="AJ397" i="62898"/>
  <c r="AH397" i="62898"/>
  <c r="H397" i="62898"/>
  <c r="L397" i="62898" s="1"/>
  <c r="J399" i="62898"/>
  <c r="N399" i="62898" s="1"/>
  <c r="AT284" i="62898"/>
  <c r="AJ398" i="62898"/>
  <c r="AT271" i="62898"/>
  <c r="AT273" i="62898"/>
  <c r="AP272" i="62898"/>
  <c r="AL273" i="62898"/>
  <c r="AU271" i="62898"/>
  <c r="AU273" i="62898"/>
  <c r="AQ272" i="62898"/>
  <c r="AM271" i="62898"/>
  <c r="AM273" i="62898"/>
  <c r="AV271" i="62898"/>
  <c r="AV273" i="62898"/>
  <c r="AR272" i="62898"/>
  <c r="AN271" i="62898"/>
  <c r="AN273" i="62898"/>
  <c r="AQ271" i="62898"/>
  <c r="AW271" i="62898"/>
  <c r="AW273" i="62898"/>
  <c r="AS272" i="62898"/>
  <c r="AO271" i="62898"/>
  <c r="AO273" i="62898"/>
  <c r="AV272" i="62898"/>
  <c r="AR273" i="62898"/>
  <c r="AT272" i="62898"/>
  <c r="AP271" i="62898"/>
  <c r="AP273" i="62898"/>
  <c r="AL272" i="62898"/>
  <c r="AQ273" i="62898"/>
  <c r="AR271" i="62898"/>
  <c r="AU272" i="62898"/>
  <c r="AM272" i="62898"/>
  <c r="AN272" i="62898"/>
  <c r="AW272" i="62898"/>
  <c r="AS271" i="62898"/>
  <c r="AS273" i="62898"/>
  <c r="AO272" i="62898"/>
  <c r="AL271" i="62898"/>
  <c r="AW270" i="62898"/>
  <c r="AI272" i="62898"/>
  <c r="K283" i="62898"/>
  <c r="O283" i="62898" s="1"/>
  <c r="H271" i="62898"/>
  <c r="L271" i="62898" s="1"/>
  <c r="H273" i="62898"/>
  <c r="L273" i="62898" s="1"/>
  <c r="BK283" i="62898"/>
  <c r="K272" i="62898"/>
  <c r="O272" i="62898" s="1"/>
  <c r="AS270" i="62898"/>
  <c r="AJ272" i="62898"/>
  <c r="L283" i="62898"/>
  <c r="P283" i="62898" s="1"/>
  <c r="I271" i="62898"/>
  <c r="M271" i="62898" s="1"/>
  <c r="I273" i="62898"/>
  <c r="M273" i="62898" s="1"/>
  <c r="AH272" i="62898"/>
  <c r="AO270" i="62898"/>
  <c r="AK272" i="62898"/>
  <c r="M283" i="62898"/>
  <c r="Q283" i="62898" s="1"/>
  <c r="J271" i="62898"/>
  <c r="N271" i="62898" s="1"/>
  <c r="J273" i="62898"/>
  <c r="N273" i="62898" s="1"/>
  <c r="K273" i="62898"/>
  <c r="O273" i="62898" s="1"/>
  <c r="J283" i="62898"/>
  <c r="N283" i="62898" s="1"/>
  <c r="AH271" i="62898"/>
  <c r="AH273" i="62898"/>
  <c r="J282" i="62898"/>
  <c r="N282" i="62898" s="1"/>
  <c r="J284" i="62898"/>
  <c r="N284" i="62898" s="1"/>
  <c r="K271" i="62898"/>
  <c r="O271" i="62898" s="1"/>
  <c r="J272" i="62898"/>
  <c r="N272" i="62898" s="1"/>
  <c r="AI271" i="62898"/>
  <c r="AI273" i="62898"/>
  <c r="K282" i="62898"/>
  <c r="O282" i="62898" s="1"/>
  <c r="K284" i="62898"/>
  <c r="O284" i="62898" s="1"/>
  <c r="H272" i="62898"/>
  <c r="L272" i="62898" s="1"/>
  <c r="J281" i="62898"/>
  <c r="AJ271" i="62898"/>
  <c r="AJ273" i="62898"/>
  <c r="L282" i="62898"/>
  <c r="P282" i="62898" s="1"/>
  <c r="L284" i="62898"/>
  <c r="P284" i="62898" s="1"/>
  <c r="I272" i="62898"/>
  <c r="M272" i="62898" s="1"/>
  <c r="BK272" i="62898"/>
  <c r="BK273" i="62898"/>
  <c r="AK271" i="62898"/>
  <c r="AK273" i="62898"/>
  <c r="M282" i="62898"/>
  <c r="Q282" i="62898" s="1"/>
  <c r="M284" i="62898"/>
  <c r="Q284" i="62898" s="1"/>
  <c r="AK270" i="62898"/>
  <c r="J270" i="62898"/>
  <c r="N270" i="62898" s="1"/>
  <c r="K270" i="62898"/>
  <c r="O270" i="62898" s="1"/>
  <c r="M281" i="62898"/>
  <c r="Q281" i="62898" s="1"/>
  <c r="BL409" i="62898"/>
  <c r="BJ410" i="62898"/>
  <c r="BK396" i="62898"/>
  <c r="BJ397" i="62898"/>
  <c r="BJ409" i="62898"/>
  <c r="BK410" i="62898"/>
  <c r="BI396" i="62898"/>
  <c r="BI409" i="62898"/>
  <c r="BI410" i="62898"/>
  <c r="BL407" i="62898"/>
  <c r="BJ408" i="62898"/>
  <c r="BK399" i="62898"/>
  <c r="BI398" i="62898"/>
  <c r="BJ407" i="62898"/>
  <c r="BI408" i="62898"/>
  <c r="BI399" i="62898"/>
  <c r="BL398" i="62898"/>
  <c r="BK407" i="62898"/>
  <c r="BL408" i="62898"/>
  <c r="BL399" i="62898"/>
  <c r="BJ398" i="62898"/>
  <c r="BI407" i="62898"/>
  <c r="BJ399" i="62898"/>
  <c r="BL396" i="62898"/>
  <c r="BK397" i="62898"/>
  <c r="BL397" i="62898"/>
  <c r="BL410" i="62898"/>
  <c r="BJ396" i="62898"/>
  <c r="BI397" i="62898"/>
  <c r="BK408" i="62898"/>
  <c r="BI284" i="62898"/>
  <c r="BL272" i="62898"/>
  <c r="AD272" i="62898" s="1"/>
  <c r="BK282" i="62898"/>
  <c r="BL270" i="62898"/>
  <c r="BJ272" i="62898"/>
  <c r="BJ283" i="62898"/>
  <c r="BK270" i="62898"/>
  <c r="BJ273" i="62898"/>
  <c r="BL283" i="62898"/>
  <c r="BI271" i="62898"/>
  <c r="BL273" i="62898"/>
  <c r="BL281" i="62898"/>
  <c r="J75" i="5"/>
  <c r="N75" i="5" s="1"/>
  <c r="AZ75" i="5" s="1"/>
  <c r="J442" i="5"/>
  <c r="N442" i="5" s="1"/>
  <c r="AZ442" i="5" s="1"/>
  <c r="J259" i="5"/>
  <c r="N259" i="5" s="1"/>
  <c r="AR75" i="5"/>
  <c r="AN75" i="5"/>
  <c r="AJ259" i="5"/>
  <c r="AR259" i="5"/>
  <c r="AN259" i="5"/>
  <c r="AR442" i="5"/>
  <c r="BD259" i="5"/>
  <c r="AV75" i="5"/>
  <c r="BD75" i="5"/>
  <c r="AJ442" i="5"/>
  <c r="BK259" i="5"/>
  <c r="AN442" i="5"/>
  <c r="AD259" i="5"/>
  <c r="AS401" i="62898"/>
  <c r="BE275" i="62898"/>
  <c r="AW401" i="62898"/>
  <c r="BE401" i="62898"/>
  <c r="AB295" i="62898"/>
  <c r="AH410" i="62898"/>
  <c r="AJ410" i="62898"/>
  <c r="AL410" i="62898"/>
  <c r="AN410" i="62898"/>
  <c r="AP410" i="62898"/>
  <c r="AR410" i="62898"/>
  <c r="AV410" i="62898"/>
  <c r="BE410" i="62898"/>
  <c r="BC410" i="62898"/>
  <c r="BB410" i="62898"/>
  <c r="AI410" i="62898"/>
  <c r="AK410" i="62898"/>
  <c r="AM410" i="62898"/>
  <c r="AO410" i="62898"/>
  <c r="AQ410" i="62898"/>
  <c r="AS410" i="62898"/>
  <c r="AW410" i="62898"/>
  <c r="BD410" i="62898"/>
  <c r="AH407" i="62898"/>
  <c r="AJ407" i="62898"/>
  <c r="AL407" i="62898"/>
  <c r="AN407" i="62898"/>
  <c r="AP407" i="62898"/>
  <c r="AR407" i="62898"/>
  <c r="AV407" i="62898"/>
  <c r="BE407" i="62898"/>
  <c r="BB407" i="62898"/>
  <c r="AI407" i="62898"/>
  <c r="AK407" i="62898"/>
  <c r="AM407" i="62898"/>
  <c r="AO407" i="62898"/>
  <c r="AQ407" i="62898"/>
  <c r="AS407" i="62898"/>
  <c r="AW407" i="62898"/>
  <c r="BD407" i="62898"/>
  <c r="BC407" i="62898"/>
  <c r="BB408" i="62898"/>
  <c r="AI408" i="62898"/>
  <c r="AK408" i="62898"/>
  <c r="AM408" i="62898"/>
  <c r="AO408" i="62898"/>
  <c r="AQ408" i="62898"/>
  <c r="AS408" i="62898"/>
  <c r="AW408" i="62898"/>
  <c r="BD408" i="62898"/>
  <c r="AH408" i="62898"/>
  <c r="AJ408" i="62898"/>
  <c r="AL408" i="62898"/>
  <c r="AN408" i="62898"/>
  <c r="AP408" i="62898"/>
  <c r="AR408" i="62898"/>
  <c r="AV408" i="62898"/>
  <c r="BE408" i="62898"/>
  <c r="BC408" i="62898"/>
  <c r="AH409" i="62898"/>
  <c r="AJ409" i="62898"/>
  <c r="AL409" i="62898"/>
  <c r="AN409" i="62898"/>
  <c r="AP409" i="62898"/>
  <c r="AR409" i="62898"/>
  <c r="AV409" i="62898"/>
  <c r="BE409" i="62898"/>
  <c r="BC409" i="62898"/>
  <c r="BB409" i="62898"/>
  <c r="AI409" i="62898"/>
  <c r="AK409" i="62898"/>
  <c r="AM409" i="62898"/>
  <c r="AO409" i="62898"/>
  <c r="AQ409" i="62898"/>
  <c r="AS409" i="62898"/>
  <c r="AW409" i="62898"/>
  <c r="BD409" i="62898"/>
  <c r="BC283" i="62898"/>
  <c r="AS283" i="62898"/>
  <c r="AL283" i="62898"/>
  <c r="AI283" i="62898"/>
  <c r="AJ283" i="62898"/>
  <c r="AO283" i="62898"/>
  <c r="AR283" i="62898"/>
  <c r="BD283" i="62898"/>
  <c r="BE283" i="62898"/>
  <c r="AN283" i="62898"/>
  <c r="AK283" i="62898"/>
  <c r="AV283" i="62898"/>
  <c r="AW283" i="62898"/>
  <c r="AP283" i="62898"/>
  <c r="AM283" i="62898"/>
  <c r="AQ283" i="62898"/>
  <c r="BB283" i="62898"/>
  <c r="AH283" i="62898"/>
  <c r="AW284" i="62898"/>
  <c r="AP284" i="62898"/>
  <c r="AL284" i="62898"/>
  <c r="AQ284" i="62898"/>
  <c r="BB284" i="62898"/>
  <c r="AR284" i="62898"/>
  <c r="AN284" i="62898"/>
  <c r="AH284" i="62898"/>
  <c r="BC284" i="62898"/>
  <c r="AS284" i="62898"/>
  <c r="AI284" i="62898"/>
  <c r="AJ284" i="62898"/>
  <c r="AM284" i="62898"/>
  <c r="AK284" i="62898"/>
  <c r="AV284" i="62898"/>
  <c r="AO284" i="62898"/>
  <c r="BD284" i="62898"/>
  <c r="BE284" i="62898"/>
  <c r="AW282" i="62898"/>
  <c r="AP282" i="62898"/>
  <c r="AN282" i="62898"/>
  <c r="AV282" i="62898"/>
  <c r="AL282" i="62898"/>
  <c r="AQ282" i="62898"/>
  <c r="BB282" i="62898"/>
  <c r="AR282" i="62898"/>
  <c r="AH282" i="62898"/>
  <c r="BC282" i="62898"/>
  <c r="AS282" i="62898"/>
  <c r="AM282" i="62898"/>
  <c r="AI282" i="62898"/>
  <c r="AO282" i="62898"/>
  <c r="AJ282" i="62898"/>
  <c r="AK282" i="62898"/>
  <c r="BD282" i="62898"/>
  <c r="BE282" i="62898"/>
  <c r="AO281" i="62898"/>
  <c r="G523" i="62898" s="1"/>
  <c r="AK281" i="62898"/>
  <c r="F564" i="62898" s="1"/>
  <c r="F605" i="62898" s="1"/>
  <c r="AL281" i="62898"/>
  <c r="F523" i="62898" s="1"/>
  <c r="AS281" i="62898"/>
  <c r="AW281" i="62898"/>
  <c r="J498" i="62898" s="1"/>
  <c r="J502" i="62898" s="1"/>
  <c r="BE281" i="62898"/>
  <c r="L270" i="62898"/>
  <c r="AA270" i="62898" s="1"/>
  <c r="AG107" i="62898"/>
  <c r="AK106" i="62898"/>
  <c r="AM107" i="62898"/>
  <c r="AX107" i="62898"/>
  <c r="AV241" i="62898"/>
  <c r="AV430" i="62898"/>
  <c r="AK240" i="62898"/>
  <c r="AK429" i="62898"/>
  <c r="BL239" i="62898"/>
  <c r="BL428" i="62898"/>
  <c r="AX429" i="62898"/>
  <c r="AW241" i="62898"/>
  <c r="AW430" i="62898"/>
  <c r="AO241" i="62898"/>
  <c r="AO430" i="62898"/>
  <c r="AO240" i="62898"/>
  <c r="AO429" i="62898"/>
  <c r="BM241" i="62898"/>
  <c r="AH428" i="62898"/>
  <c r="AO106" i="62898"/>
  <c r="AW107" i="62898"/>
  <c r="AJ106" i="62898"/>
  <c r="AN241" i="62898"/>
  <c r="AN430" i="62898"/>
  <c r="BN240" i="62898"/>
  <c r="BN429" i="62898"/>
  <c r="AH240" i="62898"/>
  <c r="AV239" i="62898"/>
  <c r="AW240" i="62898"/>
  <c r="AW429" i="62898"/>
  <c r="AX239" i="62898"/>
  <c r="AX428" i="62898"/>
  <c r="AH239" i="62898"/>
  <c r="AJ429" i="62898"/>
  <c r="AL107" i="62898"/>
  <c r="AI106" i="62898"/>
  <c r="AN106" i="62898"/>
  <c r="BM429" i="62898"/>
  <c r="AV240" i="62898"/>
  <c r="AV429" i="62898"/>
  <c r="AI241" i="62898"/>
  <c r="AI430" i="62898"/>
  <c r="L239" i="62898"/>
  <c r="O239" i="62898" s="1"/>
  <c r="L429" i="62898"/>
  <c r="O429" i="62898" s="1"/>
  <c r="AM429" i="62898"/>
  <c r="N239" i="62898"/>
  <c r="Q239" i="62898" s="1"/>
  <c r="AK239" i="62898"/>
  <c r="AJ240" i="62898"/>
  <c r="AM430" i="62898"/>
  <c r="AV107" i="62898"/>
  <c r="AM106" i="62898"/>
  <c r="AX106" i="62898"/>
  <c r="N430" i="62898"/>
  <c r="Q430" i="62898" s="1"/>
  <c r="BM240" i="62898"/>
  <c r="AL239" i="62898"/>
  <c r="AL428" i="62898"/>
  <c r="BL241" i="62898"/>
  <c r="BL430" i="62898"/>
  <c r="L241" i="62898"/>
  <c r="O241" i="62898" s="1"/>
  <c r="M428" i="62898"/>
  <c r="P428" i="62898" s="1"/>
  <c r="AX240" i="62898"/>
  <c r="M430" i="62898"/>
  <c r="AH430" i="62898"/>
  <c r="AM241" i="62898"/>
  <c r="AX430" i="62898"/>
  <c r="AK107" i="62898"/>
  <c r="AH106" i="62898"/>
  <c r="AW106" i="62898"/>
  <c r="AM240" i="62898"/>
  <c r="BN428" i="62898"/>
  <c r="AK241" i="62898"/>
  <c r="L428" i="62898"/>
  <c r="N428" i="62898"/>
  <c r="AN240" i="62898"/>
  <c r="AN429" i="62898"/>
  <c r="AG239" i="62898"/>
  <c r="AG428" i="62898"/>
  <c r="BL240" i="62898"/>
  <c r="BL429" i="62898"/>
  <c r="AV428" i="62898"/>
  <c r="BM428" i="62898"/>
  <c r="L240" i="62898"/>
  <c r="O240" i="62898" s="1"/>
  <c r="AX241" i="62898"/>
  <c r="AO107" i="62898"/>
  <c r="AL106" i="62898"/>
  <c r="AH107" i="62898"/>
  <c r="AK428" i="62898"/>
  <c r="AH429" i="62898"/>
  <c r="N240" i="62898"/>
  <c r="Q240" i="62898" s="1"/>
  <c r="N429" i="62898"/>
  <c r="N241" i="62898"/>
  <c r="Q241" i="62898" s="1"/>
  <c r="AW239" i="62898"/>
  <c r="AW428" i="62898"/>
  <c r="AI240" i="62898"/>
  <c r="AI429" i="62898"/>
  <c r="AG241" i="62898"/>
  <c r="AG430" i="62898"/>
  <c r="BM239" i="62898"/>
  <c r="AG429" i="62898"/>
  <c r="AG240" i="62898"/>
  <c r="AV106" i="62898"/>
  <c r="AJ107" i="62898"/>
  <c r="BN239" i="62898"/>
  <c r="AK430" i="62898"/>
  <c r="BN241" i="62898"/>
  <c r="BN430" i="62898"/>
  <c r="AH241" i="62898"/>
  <c r="AL241" i="62898"/>
  <c r="AL430" i="62898"/>
  <c r="AJ239" i="62898"/>
  <c r="AJ428" i="62898"/>
  <c r="AJ241" i="62898"/>
  <c r="AJ430" i="62898"/>
  <c r="M429" i="62898"/>
  <c r="P429" i="62898" s="1"/>
  <c r="AG106" i="62898"/>
  <c r="AI107" i="62898"/>
  <c r="AN107" i="62898"/>
  <c r="AN239" i="62898"/>
  <c r="AN428" i="62898"/>
  <c r="AI239" i="62898"/>
  <c r="AI428" i="62898"/>
  <c r="L430" i="62898"/>
  <c r="O430" i="62898" s="1"/>
  <c r="AO239" i="62898"/>
  <c r="AO428" i="62898"/>
  <c r="AL240" i="62898"/>
  <c r="AL429" i="62898"/>
  <c r="AM239" i="62898"/>
  <c r="AM428" i="62898"/>
  <c r="M239" i="62898"/>
  <c r="M240" i="62898" s="1"/>
  <c r="M241" i="62898" s="1"/>
  <c r="BM430" i="62898"/>
  <c r="AC231" i="62905"/>
  <c r="I106" i="62925"/>
  <c r="T106" i="62925" s="1"/>
  <c r="I105" i="62925"/>
  <c r="T105" i="62925" s="1"/>
  <c r="L7" i="62909"/>
  <c r="L6" i="62909" s="1"/>
  <c r="L214" i="62909" s="1"/>
  <c r="L227" i="62909" s="1"/>
  <c r="O168" i="62909"/>
  <c r="O224" i="62909" s="1"/>
  <c r="K128" i="62909"/>
  <c r="K222" i="62909" s="1"/>
  <c r="K168" i="62909"/>
  <c r="K224" i="62909" s="1"/>
  <c r="AM188" i="62905"/>
  <c r="AC125" i="62905"/>
  <c r="X118" i="2"/>
  <c r="Q118" i="2" s="1"/>
  <c r="O118" i="2"/>
  <c r="D118" i="2" s="1"/>
  <c r="X119" i="2"/>
  <c r="Q119" i="2" s="1"/>
  <c r="O119" i="2"/>
  <c r="D119" i="2" s="1"/>
  <c r="AC110" i="62905"/>
  <c r="AC103" i="62905"/>
  <c r="AC119" i="62905"/>
  <c r="AU215" i="62905"/>
  <c r="AI209" i="62905"/>
  <c r="AC224" i="62905"/>
  <c r="V224" i="62905" s="1"/>
  <c r="D224" i="62905"/>
  <c r="AU207" i="62905"/>
  <c r="AU217" i="62905"/>
  <c r="AU224" i="62905"/>
  <c r="AC203" i="62905"/>
  <c r="D203" i="62905"/>
  <c r="P209" i="62905"/>
  <c r="D221" i="62905"/>
  <c r="AC221" i="62905"/>
  <c r="V221" i="62905" s="1"/>
  <c r="AY209" i="62905"/>
  <c r="AU223" i="62905"/>
  <c r="AU204" i="62905"/>
  <c r="AC204" i="62905"/>
  <c r="V204" i="62905" s="1"/>
  <c r="D204" i="62905"/>
  <c r="AU222" i="62905"/>
  <c r="AU205" i="62905"/>
  <c r="AU203" i="62905"/>
  <c r="AE209" i="62905"/>
  <c r="D222" i="62905"/>
  <c r="AC222" i="62905"/>
  <c r="V222" i="62905" s="1"/>
  <c r="D215" i="62905"/>
  <c r="AC215" i="62905"/>
  <c r="V215" i="62905" s="1"/>
  <c r="AQ209" i="62905"/>
  <c r="AU216" i="62905"/>
  <c r="D217" i="62905"/>
  <c r="AC217" i="62905"/>
  <c r="V217" i="62905" s="1"/>
  <c r="D206" i="62905"/>
  <c r="AC206" i="62905"/>
  <c r="V206" i="62905" s="1"/>
  <c r="D223" i="62905"/>
  <c r="AC223" i="62905"/>
  <c r="V223" i="62905" s="1"/>
  <c r="AC216" i="62905"/>
  <c r="V216" i="62905" s="1"/>
  <c r="D216" i="62905"/>
  <c r="AU220" i="62905"/>
  <c r="AC207" i="62905"/>
  <c r="V207" i="62905" s="1"/>
  <c r="D207" i="62905"/>
  <c r="O130" i="2"/>
  <c r="D130" i="2" s="1"/>
  <c r="X130" i="2"/>
  <c r="Q130" i="2" s="1"/>
  <c r="AU206" i="62905"/>
  <c r="D205" i="62905"/>
  <c r="AC205" i="62905"/>
  <c r="V205" i="62905" s="1"/>
  <c r="AC220" i="62905"/>
  <c r="V220" i="62905" s="1"/>
  <c r="D220" i="62905"/>
  <c r="O129" i="2"/>
  <c r="D129" i="2" s="1"/>
  <c r="X129" i="2"/>
  <c r="Q129" i="2" s="1"/>
  <c r="AM209" i="62905"/>
  <c r="AU221" i="62905"/>
  <c r="B15" i="62907"/>
  <c r="AM233" i="62905"/>
  <c r="AQ233" i="62905"/>
  <c r="AI233" i="62905"/>
  <c r="AE233" i="62905"/>
  <c r="AC227" i="62905"/>
  <c r="P233" i="62905"/>
  <c r="AY233" i="62905"/>
  <c r="AI188" i="62905"/>
  <c r="AU229" i="62905"/>
  <c r="AU228" i="62905"/>
  <c r="AC195" i="62905"/>
  <c r="V195" i="62905" s="1"/>
  <c r="D195" i="62905"/>
  <c r="D186" i="62905"/>
  <c r="AC186" i="62905"/>
  <c r="V186" i="62905" s="1"/>
  <c r="AU195" i="62905"/>
  <c r="AI197" i="62905"/>
  <c r="AE188" i="62905"/>
  <c r="AU185" i="62905"/>
  <c r="AC229" i="62905"/>
  <c r="V229" i="62905" s="1"/>
  <c r="D229" i="62905"/>
  <c r="AQ188" i="62905"/>
  <c r="AU194" i="62905"/>
  <c r="AE197" i="62905"/>
  <c r="AQ197" i="62905"/>
  <c r="AM197" i="62905"/>
  <c r="P188" i="62905"/>
  <c r="D185" i="62905"/>
  <c r="AC185" i="62905"/>
  <c r="AU186" i="62905"/>
  <c r="P197" i="62905"/>
  <c r="D194" i="62905"/>
  <c r="AC194" i="62905"/>
  <c r="AY188" i="62905"/>
  <c r="D228" i="62905"/>
  <c r="AC228" i="62905"/>
  <c r="V228" i="62905" s="1"/>
  <c r="AY197" i="62905"/>
  <c r="AC109" i="62905"/>
  <c r="AU176" i="62905"/>
  <c r="AE179" i="62905"/>
  <c r="AU175" i="62905"/>
  <c r="D176" i="62905"/>
  <c r="AC176" i="62905"/>
  <c r="V176" i="62905" s="1"/>
  <c r="D177" i="62905"/>
  <c r="AC177" i="62905"/>
  <c r="V177" i="62905" s="1"/>
  <c r="AY179" i="62905"/>
  <c r="P179" i="62905"/>
  <c r="D175" i="62905"/>
  <c r="AC175" i="62905"/>
  <c r="AQ179" i="62905"/>
  <c r="AU177" i="62905"/>
  <c r="AM179" i="62905"/>
  <c r="AC230" i="62905"/>
  <c r="V230" i="62905" s="1"/>
  <c r="D230" i="62905"/>
  <c r="AI179" i="62905"/>
  <c r="AU230" i="62905"/>
  <c r="D107" i="62905"/>
  <c r="AC107" i="62905"/>
  <c r="V107" i="62905" s="1"/>
  <c r="AC124" i="62905"/>
  <c r="V124" i="62905" s="1"/>
  <c r="D124" i="62905"/>
  <c r="D106" i="62905"/>
  <c r="AC106" i="62905"/>
  <c r="V106" i="62905" s="1"/>
  <c r="AC120" i="62905"/>
  <c r="V120" i="62905" s="1"/>
  <c r="D120" i="62905"/>
  <c r="D108" i="62905"/>
  <c r="AC108" i="62905"/>
  <c r="V108" i="62905" s="1"/>
  <c r="AC121" i="62905"/>
  <c r="V121" i="62905" s="1"/>
  <c r="D121" i="62905"/>
  <c r="AU120" i="62905"/>
  <c r="AU121" i="62905"/>
  <c r="AU124" i="62905"/>
  <c r="P112" i="62905"/>
  <c r="AU108" i="62905"/>
  <c r="N90" i="62905"/>
  <c r="D90" i="62905" s="1"/>
  <c r="AC90" i="62905"/>
  <c r="V90" i="62905" s="1"/>
  <c r="N87" i="62905"/>
  <c r="D87" i="62905" s="1"/>
  <c r="AC87" i="62905"/>
  <c r="V87" i="62905" s="1"/>
  <c r="AU106" i="62905"/>
  <c r="N93" i="62905"/>
  <c r="D93" i="62905" s="1"/>
  <c r="AC93" i="62905"/>
  <c r="V93" i="62905" s="1"/>
  <c r="N88" i="62905"/>
  <c r="D88" i="62905" s="1"/>
  <c r="AC88" i="62905"/>
  <c r="V88" i="62905" s="1"/>
  <c r="N89" i="62905"/>
  <c r="D89" i="62905" s="1"/>
  <c r="AC89" i="62905"/>
  <c r="V89" i="62905" s="1"/>
  <c r="N94" i="62905"/>
  <c r="D94" i="62905" s="1"/>
  <c r="AC94" i="62905"/>
  <c r="V94" i="62905" s="1"/>
  <c r="AU107" i="62905"/>
  <c r="AC86" i="62905"/>
  <c r="AC95" i="62905"/>
  <c r="O56" i="62905"/>
  <c r="D56" i="62905" s="1"/>
  <c r="AC56" i="62905"/>
  <c r="O65" i="62905"/>
  <c r="D65" i="62905" s="1"/>
  <c r="AC65" i="62905"/>
  <c r="V65" i="62905" s="1"/>
  <c r="O55" i="62905"/>
  <c r="D55" i="62905" s="1"/>
  <c r="AC55" i="62905"/>
  <c r="V55" i="62905" s="1"/>
  <c r="O70" i="62905"/>
  <c r="D70" i="62905" s="1"/>
  <c r="AC70" i="62905"/>
  <c r="V70" i="62905" s="1"/>
  <c r="O76" i="62905"/>
  <c r="D76" i="62905" s="1"/>
  <c r="AC76" i="62905"/>
  <c r="V76" i="62905" s="1"/>
  <c r="O74" i="62905"/>
  <c r="D74" i="62905" s="1"/>
  <c r="AC74" i="62905"/>
  <c r="O68" i="62905"/>
  <c r="D68" i="62905" s="1"/>
  <c r="AC68" i="62905"/>
  <c r="O64" i="62905"/>
  <c r="D64" i="62905" s="1"/>
  <c r="AC64" i="62905"/>
  <c r="V64" i="62905" s="1"/>
  <c r="O62" i="62905"/>
  <c r="D62" i="62905" s="1"/>
  <c r="AC62" i="62905"/>
  <c r="O69" i="62905"/>
  <c r="D69" i="62905" s="1"/>
  <c r="AC69" i="62905"/>
  <c r="O54" i="62905"/>
  <c r="D54" i="62905" s="1"/>
  <c r="AC54" i="62905"/>
  <c r="O75" i="62905"/>
  <c r="D75" i="62905" s="1"/>
  <c r="AC75" i="62905"/>
  <c r="O50" i="62905"/>
  <c r="D50" i="62905" s="1"/>
  <c r="AC50" i="62905"/>
  <c r="V50" i="62905" s="1"/>
  <c r="O57" i="62905"/>
  <c r="D57" i="62905" s="1"/>
  <c r="AC57" i="62905"/>
  <c r="O63" i="62905"/>
  <c r="D63" i="62905" s="1"/>
  <c r="AC63" i="62905"/>
  <c r="O71" i="62905"/>
  <c r="D71" i="62905" s="1"/>
  <c r="AC71" i="62905"/>
  <c r="V71" i="62905" s="1"/>
  <c r="O77" i="62905"/>
  <c r="D77" i="62905" s="1"/>
  <c r="AC77" i="62905"/>
  <c r="O78" i="62905"/>
  <c r="D78" i="62905" s="1"/>
  <c r="AC78" i="62905"/>
  <c r="O51" i="62905"/>
  <c r="D51" i="62905" s="1"/>
  <c r="AC51" i="62905"/>
  <c r="O61" i="62905"/>
  <c r="D61" i="62905" s="1"/>
  <c r="AC61" i="62905"/>
  <c r="O58" i="62905"/>
  <c r="D58" i="62905" s="1"/>
  <c r="AC58" i="62905"/>
  <c r="AU94" i="62905"/>
  <c r="AU88" i="62905"/>
  <c r="AU87" i="62905"/>
  <c r="AY80" i="62905"/>
  <c r="AU89" i="62905"/>
  <c r="AU93" i="62905"/>
  <c r="AQ80" i="62905"/>
  <c r="AU64" i="62905"/>
  <c r="AU90" i="62905"/>
  <c r="AI80" i="62905"/>
  <c r="AU55" i="62905"/>
  <c r="AM80" i="62905"/>
  <c r="O49" i="62905"/>
  <c r="AC49" i="62905"/>
  <c r="AU76" i="62905"/>
  <c r="AE80" i="62905"/>
  <c r="B18" i="62907"/>
  <c r="I143" i="62892"/>
  <c r="O198" i="62909"/>
  <c r="O226" i="62909" s="1"/>
  <c r="AU69" i="62905"/>
  <c r="AU51" i="62905"/>
  <c r="AU71" i="62905"/>
  <c r="AU63" i="62905"/>
  <c r="AU54" i="62905"/>
  <c r="AU68" i="62905"/>
  <c r="AU61" i="62905"/>
  <c r="AU50" i="62905"/>
  <c r="AU65" i="62905"/>
  <c r="AU56" i="62905"/>
  <c r="AU70" i="62905"/>
  <c r="AU58" i="62905"/>
  <c r="AU49" i="62905"/>
  <c r="AU57" i="62905"/>
  <c r="AU62" i="62905"/>
  <c r="AR60" i="2"/>
  <c r="AU173" i="2"/>
  <c r="AA173" i="2"/>
  <c r="AQ164" i="2"/>
  <c r="AM173" i="2"/>
  <c r="AQ169" i="2"/>
  <c r="AR62" i="2"/>
  <c r="G288" i="7"/>
  <c r="Y288" i="7"/>
  <c r="AA288" i="7"/>
  <c r="X288" i="7"/>
  <c r="AD288" i="7"/>
  <c r="W288" i="7"/>
  <c r="AD288" i="62928"/>
  <c r="W288" i="62928"/>
  <c r="X288" i="62928"/>
  <c r="G288" i="62928"/>
  <c r="Y288" i="62928"/>
  <c r="AA288" i="62928"/>
  <c r="AD284" i="7"/>
  <c r="W284" i="7"/>
  <c r="X284" i="7"/>
  <c r="AA284" i="7"/>
  <c r="G284" i="7"/>
  <c r="Y284" i="7"/>
  <c r="AA283" i="62928"/>
  <c r="Y283" i="62928"/>
  <c r="X283" i="62928"/>
  <c r="AD283" i="62928"/>
  <c r="W283" i="62928"/>
  <c r="G283" i="62928"/>
  <c r="AD284" i="62928"/>
  <c r="W284" i="62928"/>
  <c r="X284" i="62928"/>
  <c r="AA284" i="62928"/>
  <c r="Y284" i="62928"/>
  <c r="G284" i="62928"/>
  <c r="AA283" i="7"/>
  <c r="X283" i="7"/>
  <c r="G283" i="7"/>
  <c r="Y283" i="7"/>
  <c r="W283" i="7"/>
  <c r="AD283" i="7"/>
  <c r="E1208" i="62919"/>
  <c r="E1209" i="62919" s="1"/>
  <c r="Y157" i="62928"/>
  <c r="AD155" i="7"/>
  <c r="X257" i="62928"/>
  <c r="AD257" i="62928"/>
  <c r="M257" i="62928"/>
  <c r="J257" i="62928"/>
  <c r="AA257" i="62928"/>
  <c r="W257" i="62928"/>
  <c r="I257" i="62928"/>
  <c r="K257" i="62928"/>
  <c r="V257" i="62928"/>
  <c r="L257" i="62928"/>
  <c r="Y257" i="62928"/>
  <c r="V258" i="62928"/>
  <c r="M258" i="62928"/>
  <c r="J258" i="62928"/>
  <c r="AD258" i="62928"/>
  <c r="W258" i="62928"/>
  <c r="AA258" i="62928"/>
  <c r="K258" i="62928"/>
  <c r="X258" i="62928"/>
  <c r="I258" i="62928"/>
  <c r="L258" i="62928"/>
  <c r="Y258" i="62928"/>
  <c r="AD259" i="62928"/>
  <c r="AA259" i="62928"/>
  <c r="L259" i="62928"/>
  <c r="K259" i="62928"/>
  <c r="Y259" i="62928"/>
  <c r="J259" i="62928"/>
  <c r="X259" i="62928"/>
  <c r="W259" i="62928"/>
  <c r="I259" i="62928"/>
  <c r="V259" i="62928"/>
  <c r="M259" i="62928"/>
  <c r="G159" i="62928"/>
  <c r="X155" i="62928"/>
  <c r="AD157" i="62928"/>
  <c r="G155" i="7"/>
  <c r="X159" i="62928"/>
  <c r="AD158" i="62928"/>
  <c r="AD156" i="7"/>
  <c r="W158" i="62928"/>
  <c r="G156" i="62928"/>
  <c r="X156" i="62928"/>
  <c r="AA157" i="62928"/>
  <c r="AA158" i="62928"/>
  <c r="G157" i="62928"/>
  <c r="Y155" i="7"/>
  <c r="Y155" i="62928"/>
  <c r="Y158" i="7"/>
  <c r="AD158" i="7"/>
  <c r="X157" i="62928"/>
  <c r="Y156" i="62928"/>
  <c r="AD157" i="7"/>
  <c r="X158" i="62928"/>
  <c r="Y159" i="7"/>
  <c r="W159" i="62928"/>
  <c r="AA155" i="7"/>
  <c r="Y159" i="62928"/>
  <c r="AA159" i="62928"/>
  <c r="W157" i="7"/>
  <c r="G158" i="7"/>
  <c r="G156" i="7"/>
  <c r="W159" i="7"/>
  <c r="X157" i="7"/>
  <c r="G158" i="62928"/>
  <c r="AA156" i="62928"/>
  <c r="Y158" i="62928"/>
  <c r="W155" i="62928"/>
  <c r="Y156" i="7"/>
  <c r="AD159" i="62928"/>
  <c r="X155" i="7"/>
  <c r="AA157" i="7"/>
  <c r="W156" i="7"/>
  <c r="AA155" i="62928"/>
  <c r="W156" i="62928"/>
  <c r="G155" i="62928"/>
  <c r="I155" i="62928" s="1"/>
  <c r="D155" i="62928" s="1"/>
  <c r="W157" i="62928"/>
  <c r="W155" i="7"/>
  <c r="AD155" i="62928"/>
  <c r="AA158" i="7"/>
  <c r="X159" i="7"/>
  <c r="W158" i="7"/>
  <c r="AD156" i="62928"/>
  <c r="G159" i="7"/>
  <c r="AA159" i="7"/>
  <c r="X156" i="7"/>
  <c r="Y157" i="7"/>
  <c r="AD159" i="7"/>
  <c r="AA156" i="7"/>
  <c r="X158" i="7"/>
  <c r="G157" i="7"/>
  <c r="X150" i="62928"/>
  <c r="Y151" i="62928"/>
  <c r="G148" i="62928"/>
  <c r="I148" i="62928" s="1"/>
  <c r="AD148" i="62928"/>
  <c r="W150" i="62928"/>
  <c r="AA151" i="62928"/>
  <c r="W152" i="62928"/>
  <c r="G151" i="62928"/>
  <c r="I151" i="62928" s="1"/>
  <c r="Y149" i="62928"/>
  <c r="AD149" i="62928"/>
  <c r="Y150" i="62928"/>
  <c r="W149" i="62928"/>
  <c r="W148" i="62928"/>
  <c r="AD151" i="62928"/>
  <c r="W151" i="62928"/>
  <c r="G149" i="62928"/>
  <c r="I149" i="62928" s="1"/>
  <c r="D149" i="62928" s="1"/>
  <c r="AD150" i="62928"/>
  <c r="G150" i="62928"/>
  <c r="AA150" i="62928"/>
  <c r="X151" i="62928"/>
  <c r="E15" i="62922"/>
  <c r="E16" i="62922" s="1"/>
  <c r="AN369" i="5"/>
  <c r="AD258" i="5"/>
  <c r="BJ490" i="5"/>
  <c r="BK491" i="5"/>
  <c r="AW490" i="5"/>
  <c r="AR490" i="5"/>
  <c r="AP490" i="5"/>
  <c r="AK491" i="5"/>
  <c r="AI491" i="5"/>
  <c r="I490" i="5"/>
  <c r="L490" i="5" s="1"/>
  <c r="AY307" i="5"/>
  <c r="AQ308" i="5"/>
  <c r="AO308" i="5"/>
  <c r="AM308" i="5"/>
  <c r="AJ306" i="5"/>
  <c r="I306" i="5"/>
  <c r="L306" i="5" s="1"/>
  <c r="AY122" i="5"/>
  <c r="AN123" i="5"/>
  <c r="AL123" i="5"/>
  <c r="AJ123" i="5"/>
  <c r="J123" i="5"/>
  <c r="M123" i="5" s="1"/>
  <c r="AR307" i="5"/>
  <c r="AS124" i="5"/>
  <c r="AX490" i="5"/>
  <c r="AS490" i="5"/>
  <c r="AN491" i="5"/>
  <c r="AL491" i="5"/>
  <c r="AJ491" i="5"/>
  <c r="I491" i="5"/>
  <c r="L491" i="5" s="1"/>
  <c r="AB491" i="5" s="1"/>
  <c r="AW308" i="5"/>
  <c r="AR308" i="5"/>
  <c r="AP308" i="5"/>
  <c r="AM306" i="5"/>
  <c r="H307" i="5"/>
  <c r="K307" i="5" s="1"/>
  <c r="H306" i="5"/>
  <c r="K306" i="5" s="1"/>
  <c r="AQ123" i="5"/>
  <c r="AO123" i="5"/>
  <c r="AM123" i="5"/>
  <c r="AH124" i="5"/>
  <c r="H124" i="5"/>
  <c r="K124" i="5" s="1"/>
  <c r="AW307" i="5"/>
  <c r="AP122" i="5"/>
  <c r="AY490" i="5"/>
  <c r="AQ491" i="5"/>
  <c r="AO491" i="5"/>
  <c r="AM491" i="5"/>
  <c r="AJ489" i="5"/>
  <c r="I489" i="5"/>
  <c r="L489" i="5" s="1"/>
  <c r="AX308" i="5"/>
  <c r="AS308" i="5"/>
  <c r="AP306" i="5"/>
  <c r="AH307" i="5"/>
  <c r="I307" i="5"/>
  <c r="L307" i="5" s="1"/>
  <c r="AW123" i="5"/>
  <c r="AR123" i="5"/>
  <c r="AP123" i="5"/>
  <c r="AK124" i="5"/>
  <c r="AI124" i="5"/>
  <c r="I124" i="5"/>
  <c r="L124" i="5" s="1"/>
  <c r="AJ490" i="5"/>
  <c r="AX124" i="5"/>
  <c r="AW491" i="5"/>
  <c r="AR491" i="5"/>
  <c r="AP491" i="5"/>
  <c r="AM489" i="5"/>
  <c r="H490" i="5"/>
  <c r="K490" i="5" s="1"/>
  <c r="AY308" i="5"/>
  <c r="AS306" i="5"/>
  <c r="AK307" i="5"/>
  <c r="AI307" i="5"/>
  <c r="J307" i="5"/>
  <c r="M307" i="5" s="1"/>
  <c r="AX123" i="5"/>
  <c r="AS123" i="5"/>
  <c r="AN124" i="5"/>
  <c r="AL124" i="5"/>
  <c r="AJ124" i="5"/>
  <c r="J124" i="5"/>
  <c r="M124" i="5" s="1"/>
  <c r="AY489" i="5"/>
  <c r="AP307" i="5"/>
  <c r="AH123" i="5"/>
  <c r="AX491" i="5"/>
  <c r="AS491" i="5"/>
  <c r="AP489" i="5"/>
  <c r="AH490" i="5"/>
  <c r="H491" i="5"/>
  <c r="K491" i="5" s="1"/>
  <c r="AY306" i="5"/>
  <c r="AN307" i="5"/>
  <c r="AL307" i="5"/>
  <c r="AJ307" i="5"/>
  <c r="H308" i="5"/>
  <c r="K308" i="5" s="1"/>
  <c r="AY123" i="5"/>
  <c r="AQ124" i="5"/>
  <c r="AO124" i="5"/>
  <c r="AM124" i="5"/>
  <c r="AJ122" i="5"/>
  <c r="J122" i="5"/>
  <c r="M122" i="5" s="1"/>
  <c r="AN490" i="5"/>
  <c r="AK308" i="5"/>
  <c r="H123" i="5"/>
  <c r="K123" i="5" s="1"/>
  <c r="AY491" i="5"/>
  <c r="AS489" i="5"/>
  <c r="AK490" i="5"/>
  <c r="AI490" i="5"/>
  <c r="J490" i="5"/>
  <c r="M490" i="5" s="1"/>
  <c r="H489" i="5"/>
  <c r="K489" i="5" s="1"/>
  <c r="AQ307" i="5"/>
  <c r="AO307" i="5"/>
  <c r="AM307" i="5"/>
  <c r="AH308" i="5"/>
  <c r="I308" i="5"/>
  <c r="L308" i="5" s="1"/>
  <c r="AW124" i="5"/>
  <c r="AR124" i="5"/>
  <c r="AP124" i="5"/>
  <c r="AM122" i="5"/>
  <c r="AH122" i="5"/>
  <c r="I122" i="5"/>
  <c r="L122" i="5" s="1"/>
  <c r="J491" i="5"/>
  <c r="M491" i="5" s="1"/>
  <c r="J308" i="5"/>
  <c r="M308" i="5" s="1"/>
  <c r="AQ490" i="5"/>
  <c r="AO490" i="5"/>
  <c r="AM490" i="5"/>
  <c r="AH491" i="5"/>
  <c r="J489" i="5"/>
  <c r="M489" i="5" s="1"/>
  <c r="AX307" i="5"/>
  <c r="AS307" i="5"/>
  <c r="AN308" i="5"/>
  <c r="AL308" i="5"/>
  <c r="AJ308" i="5"/>
  <c r="J306" i="5"/>
  <c r="M306" i="5" s="1"/>
  <c r="AY124" i="5"/>
  <c r="AS122" i="5"/>
  <c r="AK123" i="5"/>
  <c r="AI123" i="5"/>
  <c r="I123" i="5"/>
  <c r="L123" i="5" s="1"/>
  <c r="AL490" i="5"/>
  <c r="AI308" i="5"/>
  <c r="H122" i="5"/>
  <c r="K122" i="5" s="1"/>
  <c r="BJ314" i="5"/>
  <c r="BJ313" i="5"/>
  <c r="BK313" i="5"/>
  <c r="AY494" i="5"/>
  <c r="AW312" i="5"/>
  <c r="I312" i="5"/>
  <c r="AM129" i="5"/>
  <c r="AK313" i="5"/>
  <c r="AL497" i="5"/>
  <c r="AM314" i="5"/>
  <c r="AL127" i="5"/>
  <c r="H496" i="5"/>
  <c r="AK495" i="5"/>
  <c r="AR314" i="5"/>
  <c r="AQ127" i="5"/>
  <c r="AY495" i="5"/>
  <c r="I494" i="5"/>
  <c r="AJ311" i="5"/>
  <c r="AM130" i="5"/>
  <c r="AO129" i="5"/>
  <c r="AX496" i="5"/>
  <c r="J495" i="5"/>
  <c r="AL313" i="5"/>
  <c r="AN127" i="5"/>
  <c r="H127" i="5"/>
  <c r="AS495" i="5"/>
  <c r="AX311" i="5"/>
  <c r="J311" i="5"/>
  <c r="AH128" i="5"/>
  <c r="AX494" i="5"/>
  <c r="J497" i="5"/>
  <c r="H312" i="5"/>
  <c r="BK311" i="5"/>
  <c r="BJ496" i="5"/>
  <c r="BJ129" i="5"/>
  <c r="AX497" i="5"/>
  <c r="AY314" i="5"/>
  <c r="BI314" i="5"/>
  <c r="AJ128" i="5"/>
  <c r="BI311" i="5"/>
  <c r="AI496" i="5"/>
  <c r="AH311" i="5"/>
  <c r="AK130" i="5"/>
  <c r="AO311" i="5"/>
  <c r="AM497" i="5"/>
  <c r="AO313" i="5"/>
  <c r="AS129" i="5"/>
  <c r="AS494" i="5"/>
  <c r="H495" i="5"/>
  <c r="AI314" i="5"/>
  <c r="AH127" i="5"/>
  <c r="J128" i="5"/>
  <c r="AR495" i="5"/>
  <c r="I496" i="5"/>
  <c r="AI312" i="5"/>
  <c r="AP129" i="5"/>
  <c r="BI128" i="5"/>
  <c r="AP494" i="5"/>
  <c r="AW314" i="5"/>
  <c r="I314" i="5"/>
  <c r="AJ130" i="5"/>
  <c r="AW497" i="5"/>
  <c r="AY311" i="5"/>
  <c r="J314" i="5"/>
  <c r="M314" i="5" s="1"/>
  <c r="BK314" i="5"/>
  <c r="BK130" i="5"/>
  <c r="AR496" i="5"/>
  <c r="AQ311" i="5"/>
  <c r="AX127" i="5"/>
  <c r="I127" i="5"/>
  <c r="L127" i="5" s="1"/>
  <c r="AW495" i="5"/>
  <c r="BI495" i="5"/>
  <c r="AJ313" i="5"/>
  <c r="AH129" i="5"/>
  <c r="AH312" i="5"/>
  <c r="AH494" i="5"/>
  <c r="AL312" i="5"/>
  <c r="AP128" i="5"/>
  <c r="AR497" i="5"/>
  <c r="AW313" i="5"/>
  <c r="I313" i="5"/>
  <c r="AJ129" i="5"/>
  <c r="AW496" i="5"/>
  <c r="AO494" i="5"/>
  <c r="H497" i="5"/>
  <c r="I311" i="5"/>
  <c r="AM128" i="5"/>
  <c r="AN314" i="5"/>
  <c r="AO497" i="5"/>
  <c r="AQ313" i="5"/>
  <c r="BI312" i="5"/>
  <c r="I129" i="5"/>
  <c r="L129" i="5" s="1"/>
  <c r="AQ496" i="5"/>
  <c r="AX314" i="5"/>
  <c r="BI313" i="5"/>
  <c r="BJ312" i="5"/>
  <c r="BJ497" i="5"/>
  <c r="AO495" i="5"/>
  <c r="AS313" i="5"/>
  <c r="AW130" i="5"/>
  <c r="H130" i="5"/>
  <c r="AY497" i="5"/>
  <c r="AX312" i="5"/>
  <c r="J312" i="5"/>
  <c r="M312" i="5" s="1"/>
  <c r="J127" i="5"/>
  <c r="M127" i="5" s="1"/>
  <c r="AI127" i="5"/>
  <c r="AJ496" i="5"/>
  <c r="AI311" i="5"/>
  <c r="AM127" i="5"/>
  <c r="AO496" i="5"/>
  <c r="AQ312" i="5"/>
  <c r="AX128" i="5"/>
  <c r="I128" i="5"/>
  <c r="L128" i="5" s="1"/>
  <c r="AQ495" i="5"/>
  <c r="AN497" i="5"/>
  <c r="AW311" i="5"/>
  <c r="H314" i="5"/>
  <c r="AJ127" i="5"/>
  <c r="J313" i="5"/>
  <c r="AL496" i="5"/>
  <c r="AN312" i="5"/>
  <c r="AX129" i="5"/>
  <c r="BI127" i="5"/>
  <c r="AN495" i="5"/>
  <c r="AR313" i="5"/>
  <c r="AW127" i="5"/>
  <c r="BK312" i="5"/>
  <c r="BK129" i="5"/>
  <c r="AL494" i="5"/>
  <c r="AP312" i="5"/>
  <c r="AQ129" i="5"/>
  <c r="BI129" i="5"/>
  <c r="AQ494" i="5"/>
  <c r="AR311" i="5"/>
  <c r="AY127" i="5"/>
  <c r="I130" i="5"/>
  <c r="L130" i="5" s="1"/>
  <c r="AX495" i="5"/>
  <c r="BK495" i="5"/>
  <c r="AH314" i="5"/>
  <c r="AL130" i="5"/>
  <c r="AL495" i="5"/>
  <c r="AS314" i="5"/>
  <c r="AR127" i="5"/>
  <c r="AJ494" i="5"/>
  <c r="AS497" i="5"/>
  <c r="AK496" i="5"/>
  <c r="AY313" i="5"/>
  <c r="BJ311" i="5"/>
  <c r="AI130" i="5"/>
  <c r="AR130" i="5"/>
  <c r="AI495" i="5"/>
  <c r="AP314" i="5"/>
  <c r="AR128" i="5"/>
  <c r="AS128" i="5"/>
  <c r="AP497" i="5"/>
  <c r="AO312" i="5"/>
  <c r="AY129" i="5"/>
  <c r="BK494" i="5"/>
  <c r="BJ128" i="5"/>
  <c r="AK497" i="5"/>
  <c r="AM311" i="5"/>
  <c r="AN128" i="5"/>
  <c r="BI130" i="5"/>
  <c r="AS496" i="5"/>
  <c r="AQ314" i="5"/>
  <c r="AX130" i="5"/>
  <c r="AI129" i="5"/>
  <c r="AR494" i="5"/>
  <c r="H494" i="5"/>
  <c r="H313" i="5"/>
  <c r="H128" i="5"/>
  <c r="AI494" i="5"/>
  <c r="AN311" i="5"/>
  <c r="AQ130" i="5"/>
  <c r="I495" i="5"/>
  <c r="L495" i="5" s="1"/>
  <c r="AN494" i="5"/>
  <c r="AH495" i="5"/>
  <c r="AS312" i="5"/>
  <c r="AW129" i="5"/>
  <c r="H129" i="5"/>
  <c r="AL128" i="5"/>
  <c r="BK497" i="5"/>
  <c r="AK311" i="5"/>
  <c r="AO127" i="5"/>
  <c r="AP127" i="5"/>
  <c r="AK494" i="5"/>
  <c r="AL311" i="5"/>
  <c r="AO130" i="5"/>
  <c r="BJ494" i="5"/>
  <c r="BK128" i="5"/>
  <c r="AH496" i="5"/>
  <c r="AL314" i="5"/>
  <c r="AP130" i="5"/>
  <c r="J494" i="5"/>
  <c r="AP495" i="5"/>
  <c r="AN313" i="5"/>
  <c r="AR129" i="5"/>
  <c r="J130" i="5"/>
  <c r="AQ497" i="5"/>
  <c r="AY312" i="5"/>
  <c r="AW128" i="5"/>
  <c r="BK496" i="5"/>
  <c r="AH497" i="5"/>
  <c r="AP313" i="5"/>
  <c r="AN129" i="5"/>
  <c r="AJ314" i="5"/>
  <c r="AP496" i="5"/>
  <c r="AJ497" i="5"/>
  <c r="AP311" i="5"/>
  <c r="AQ128" i="5"/>
  <c r="AL129" i="5"/>
  <c r="AW494" i="5"/>
  <c r="J496" i="5"/>
  <c r="AM313" i="5"/>
  <c r="AN130" i="5"/>
  <c r="J129" i="5"/>
  <c r="AM496" i="5"/>
  <c r="AK314" i="5"/>
  <c r="H311" i="5"/>
  <c r="K311" i="5" s="1"/>
  <c r="BJ127" i="5"/>
  <c r="BJ130" i="5"/>
  <c r="BI494" i="5"/>
  <c r="AI313" i="5"/>
  <c r="AK127" i="5"/>
  <c r="AR312" i="5"/>
  <c r="AM494" i="5"/>
  <c r="AK312" i="5"/>
  <c r="AO128" i="5"/>
  <c r="AI497" i="5"/>
  <c r="AN496" i="5"/>
  <c r="AS311" i="5"/>
  <c r="AY130" i="5"/>
  <c r="AS127" i="5"/>
  <c r="BI496" i="5"/>
  <c r="AM312" i="5"/>
  <c r="AK128" i="5"/>
  <c r="AY128" i="5"/>
  <c r="AM495" i="5"/>
  <c r="BI497" i="5"/>
  <c r="AO314" i="5"/>
  <c r="AS130" i="5"/>
  <c r="AI128" i="5"/>
  <c r="AY496" i="5"/>
  <c r="I497" i="5"/>
  <c r="AJ312" i="5"/>
  <c r="AK129" i="5"/>
  <c r="AX313" i="5"/>
  <c r="AJ495" i="5"/>
  <c r="AH313" i="5"/>
  <c r="AH130" i="5"/>
  <c r="BJ495" i="5"/>
  <c r="BK127" i="5"/>
  <c r="BI491" i="5"/>
  <c r="BK308" i="5"/>
  <c r="BK489" i="5"/>
  <c r="BI490" i="5"/>
  <c r="BK306" i="5"/>
  <c r="BK490" i="5"/>
  <c r="BK307" i="5"/>
  <c r="I106" i="62926"/>
  <c r="T106" i="62926" s="1"/>
  <c r="AD260" i="5"/>
  <c r="J74" i="5"/>
  <c r="N74" i="5" s="1"/>
  <c r="AZ74" i="5" s="1"/>
  <c r="BK124" i="5"/>
  <c r="BK123" i="5"/>
  <c r="BK122" i="5"/>
  <c r="E479" i="62922"/>
  <c r="E480" i="62922" s="1"/>
  <c r="E481" i="62922" s="1"/>
  <c r="AS445" i="5"/>
  <c r="BE445" i="5"/>
  <c r="BD443" i="5"/>
  <c r="J443" i="5"/>
  <c r="N443" i="5" s="1"/>
  <c r="AZ443" i="5" s="1"/>
  <c r="BA262" i="5"/>
  <c r="AO445" i="5"/>
  <c r="J260" i="5"/>
  <c r="N260" i="5" s="1"/>
  <c r="AZ260" i="5" s="1"/>
  <c r="AD443" i="5"/>
  <c r="BE78" i="5"/>
  <c r="AN260" i="5"/>
  <c r="AR260" i="5"/>
  <c r="AV76" i="5"/>
  <c r="AN443" i="5"/>
  <c r="AR76" i="5"/>
  <c r="J76" i="5"/>
  <c r="N76" i="5" s="1"/>
  <c r="AZ76" i="5" s="1"/>
  <c r="AR443" i="5"/>
  <c r="AJ260" i="5"/>
  <c r="AJ443" i="5"/>
  <c r="AN76" i="5"/>
  <c r="BK260" i="5"/>
  <c r="BD76" i="5"/>
  <c r="AW78" i="5"/>
  <c r="AS78" i="5"/>
  <c r="AK78" i="5"/>
  <c r="AK442" i="5"/>
  <c r="O441" i="5"/>
  <c r="BE262" i="5"/>
  <c r="O442" i="5"/>
  <c r="AK443" i="5"/>
  <c r="AO262" i="5"/>
  <c r="AP445" i="5"/>
  <c r="AW445" i="5"/>
  <c r="AS262" i="5"/>
  <c r="AW262" i="5"/>
  <c r="AO78" i="5"/>
  <c r="AZ258" i="5"/>
  <c r="AC258" i="5"/>
  <c r="AZ441" i="5"/>
  <c r="AD74" i="5"/>
  <c r="BA74" i="5"/>
  <c r="O76" i="5"/>
  <c r="BA76" i="5" s="1"/>
  <c r="O75" i="5"/>
  <c r="BA75" i="5" s="1"/>
  <c r="K81" i="62909"/>
  <c r="K221" i="62909" s="1"/>
  <c r="E286" i="62922"/>
  <c r="E287" i="62922" s="1"/>
  <c r="E15" i="62921"/>
  <c r="E203" i="62921"/>
  <c r="E249" i="62921"/>
  <c r="E250" i="62921" s="1"/>
  <c r="BI191" i="62898"/>
  <c r="AK182" i="62898"/>
  <c r="AO193" i="62898"/>
  <c r="AI159" i="62898"/>
  <c r="AJ191" i="62898"/>
  <c r="AJ195" i="62898" s="1"/>
  <c r="AL156" i="62898"/>
  <c r="AO158" i="62898"/>
  <c r="BJ161" i="62898"/>
  <c r="AO88" i="62898"/>
  <c r="AO57" i="62898"/>
  <c r="H57" i="62898"/>
  <c r="K57" i="62898" s="1"/>
  <c r="D57" i="62898" s="1"/>
  <c r="AI54" i="62898"/>
  <c r="H40" i="62898"/>
  <c r="K40" i="62898" s="1"/>
  <c r="AC40" i="62898" s="1"/>
  <c r="I42" i="62898"/>
  <c r="L42" i="62898" s="1"/>
  <c r="BK123" i="62898"/>
  <c r="AG19" i="62898"/>
  <c r="AK17" i="62898"/>
  <c r="K31" i="62898"/>
  <c r="N31" i="62898" s="1"/>
  <c r="AI31" i="62898" s="1"/>
  <c r="AU31" i="62898" s="1"/>
  <c r="AW331" i="62898"/>
  <c r="AK96" i="62898"/>
  <c r="L31" i="62898"/>
  <c r="O31" i="62898" s="1"/>
  <c r="AG31" i="62898" s="1"/>
  <c r="AS31" i="62898" s="1"/>
  <c r="BI96" i="62898"/>
  <c r="AH17" i="62898"/>
  <c r="AJ123" i="62898"/>
  <c r="BK18" i="62898"/>
  <c r="L29" i="62898"/>
  <c r="O29" i="62898" s="1"/>
  <c r="AG29" i="62898" s="1"/>
  <c r="AS29" i="62898" s="1"/>
  <c r="AH67" i="62898"/>
  <c r="AV68" i="62898"/>
  <c r="AK66" i="62898"/>
  <c r="AV97" i="62898"/>
  <c r="AW17" i="62898"/>
  <c r="AG329" i="62898"/>
  <c r="H315" i="62898"/>
  <c r="J315" i="62898" s="1"/>
  <c r="AM123" i="62898"/>
  <c r="AG124" i="62898"/>
  <c r="AW120" i="62898"/>
  <c r="AG67" i="62898"/>
  <c r="AO40" i="62898"/>
  <c r="AK124" i="62898"/>
  <c r="O333" i="62898"/>
  <c r="AK20" i="62898"/>
  <c r="AK332" i="62898"/>
  <c r="AH19" i="62898"/>
  <c r="AH124" i="62898"/>
  <c r="BJ18" i="62898"/>
  <c r="AG123" i="62898"/>
  <c r="BK328" i="62898"/>
  <c r="BM97" i="62898"/>
  <c r="BM20" i="62898"/>
  <c r="BO16" i="62898"/>
  <c r="AK333" i="62898"/>
  <c r="R332" i="62898"/>
  <c r="BJ120" i="62898"/>
  <c r="BI333" i="62898"/>
  <c r="BN97" i="62898"/>
  <c r="BJ121" i="62898"/>
  <c r="L125" i="62898"/>
  <c r="BO125" i="62898"/>
  <c r="I315" i="62898"/>
  <c r="K315" i="62898" s="1"/>
  <c r="BN120" i="62898"/>
  <c r="AM191" i="62898"/>
  <c r="AM195" i="62898" s="1"/>
  <c r="I161" i="62898"/>
  <c r="L161" i="62898" s="1"/>
  <c r="H193" i="62898"/>
  <c r="K193" i="62898" s="1"/>
  <c r="D193" i="62898" s="1"/>
  <c r="AI158" i="62898"/>
  <c r="AW183" i="62898"/>
  <c r="AJ145" i="62898"/>
  <c r="AX143" i="62898"/>
  <c r="AM145" i="62898"/>
  <c r="AL88" i="62898"/>
  <c r="AX54" i="62898"/>
  <c r="AL58" i="62898"/>
  <c r="BI54" i="62898"/>
  <c r="AI57" i="62898"/>
  <c r="H42" i="62898"/>
  <c r="K42" i="62898" s="1"/>
  <c r="AC42" i="62898" s="1"/>
  <c r="AL57" i="62898"/>
  <c r="AH315" i="62898"/>
  <c r="AH318" i="62898" s="1"/>
  <c r="AK330" i="62898"/>
  <c r="AN18" i="62898"/>
  <c r="BL122" i="62898"/>
  <c r="AG21" i="62898"/>
  <c r="AM125" i="62898"/>
  <c r="AS125" i="62898" s="1"/>
  <c r="AH68" i="62898"/>
  <c r="AH331" i="62898"/>
  <c r="K281" i="62898"/>
  <c r="O281" i="62898" s="1"/>
  <c r="BL19" i="62898"/>
  <c r="AG122" i="62898"/>
  <c r="R120" i="62898"/>
  <c r="BJ241" i="62898"/>
  <c r="AG314" i="62898"/>
  <c r="AG318" i="62898" s="1"/>
  <c r="AO97" i="62898"/>
  <c r="AJ66" i="62898"/>
  <c r="AO41" i="62898"/>
  <c r="AN19" i="62898"/>
  <c r="AN122" i="62898"/>
  <c r="BK121" i="62898"/>
  <c r="AW329" i="62898"/>
  <c r="AN121" i="62898"/>
  <c r="I241" i="62898"/>
  <c r="AJ21" i="62898"/>
  <c r="AN96" i="62898"/>
  <c r="AK68" i="62898"/>
  <c r="BJ331" i="62898"/>
  <c r="AN20" i="62898"/>
  <c r="AW124" i="62898"/>
  <c r="BO124" i="62898"/>
  <c r="AH20" i="62898"/>
  <c r="BM331" i="62898"/>
  <c r="BJ66" i="62898"/>
  <c r="I330" i="62898"/>
  <c r="BJ329" i="62898"/>
  <c r="AN332" i="62898"/>
  <c r="AH333" i="62898"/>
  <c r="AN314" i="62898"/>
  <c r="BI18" i="62898"/>
  <c r="BM122" i="62898"/>
  <c r="AM124" i="62898"/>
  <c r="AH329" i="62898"/>
  <c r="BJ19" i="62898"/>
  <c r="BK32" i="62898"/>
  <c r="BL96" i="62898"/>
  <c r="AJ42" i="62898"/>
  <c r="AS42" i="62898" s="1"/>
  <c r="BI329" i="62898"/>
  <c r="AJ16" i="62898"/>
  <c r="BK316" i="62898"/>
  <c r="AB316" i="62898" s="1"/>
  <c r="AM17" i="62898"/>
  <c r="BK16" i="62898"/>
  <c r="BJ31" i="62898"/>
  <c r="BJ270" i="62898"/>
  <c r="AB270" i="62898" s="1"/>
  <c r="BL121" i="62898"/>
  <c r="AG86" i="62898"/>
  <c r="BM17" i="62898"/>
  <c r="AO76" i="62898"/>
  <c r="AU76" i="62898" s="1"/>
  <c r="BO328" i="62898"/>
  <c r="BK332" i="62898"/>
  <c r="BJ21" i="62898"/>
  <c r="BL20" i="62898"/>
  <c r="N107" i="62898"/>
  <c r="Q107" i="62898" s="1"/>
  <c r="L106" i="62898"/>
  <c r="O106" i="62898" s="1"/>
  <c r="AJ182" i="62898"/>
  <c r="AL143" i="62898"/>
  <c r="H191" i="62898"/>
  <c r="K191" i="62898" s="1"/>
  <c r="AX202" i="62898"/>
  <c r="AK183" i="62898"/>
  <c r="AO161" i="62898"/>
  <c r="BI156" i="62898"/>
  <c r="AG145" i="62898"/>
  <c r="L96" i="62898"/>
  <c r="I67" i="62898"/>
  <c r="L67" i="62898" s="1"/>
  <c r="AL86" i="62898"/>
  <c r="BI58" i="62898"/>
  <c r="AC58" i="62898" s="1"/>
  <c r="AG58" i="62898"/>
  <c r="AG60" i="62898" s="1"/>
  <c r="AO54" i="62898"/>
  <c r="AI58" i="62898"/>
  <c r="H56" i="62898"/>
  <c r="K56" i="62898" s="1"/>
  <c r="AG18" i="62898"/>
  <c r="AN328" i="62898"/>
  <c r="AV121" i="62898"/>
  <c r="AK122" i="62898"/>
  <c r="AV314" i="62898"/>
  <c r="AG330" i="62898"/>
  <c r="AS330" i="62898" s="1"/>
  <c r="AI96" i="62898"/>
  <c r="AV21" i="62898"/>
  <c r="BP123" i="62898"/>
  <c r="BI122" i="62898"/>
  <c r="AJ328" i="62898"/>
  <c r="AK123" i="62898"/>
  <c r="AG332" i="62898"/>
  <c r="AJ96" i="62898"/>
  <c r="AM68" i="62898"/>
  <c r="AM70" i="62898" s="1"/>
  <c r="AH123" i="62898"/>
  <c r="AJ17" i="62898"/>
  <c r="L32" i="62898"/>
  <c r="O32" i="62898" s="1"/>
  <c r="AG32" i="62898" s="1"/>
  <c r="AS32" i="62898" s="1"/>
  <c r="AJ333" i="62898"/>
  <c r="AM86" i="62898"/>
  <c r="AM90" i="62898" s="1"/>
  <c r="AG333" i="62898"/>
  <c r="AN97" i="62898"/>
  <c r="AW96" i="62898"/>
  <c r="AJ19" i="62898"/>
  <c r="AW332" i="62898"/>
  <c r="BP125" i="62898"/>
  <c r="BN332" i="62898"/>
  <c r="AW21" i="62898"/>
  <c r="AJ124" i="62898"/>
  <c r="BK29" i="62898"/>
  <c r="AB29" i="62898" s="1"/>
  <c r="AI161" i="62898"/>
  <c r="H143" i="62898"/>
  <c r="K143" i="62898" s="1"/>
  <c r="D143" i="62898" s="1"/>
  <c r="J183" i="62898"/>
  <c r="M183" i="62898" s="1"/>
  <c r="AJ202" i="62898"/>
  <c r="AN182" i="62898"/>
  <c r="AX159" i="62898"/>
  <c r="H144" i="62898"/>
  <c r="K144" i="62898" s="1"/>
  <c r="D144" i="62898" s="1"/>
  <c r="BI144" i="62898"/>
  <c r="J96" i="62898"/>
  <c r="Q96" i="62898" s="1"/>
  <c r="K86" i="62898"/>
  <c r="N86" i="62898" s="1"/>
  <c r="I66" i="62898"/>
  <c r="L66" i="62898" s="1"/>
  <c r="AX55" i="62898"/>
  <c r="H41" i="62898"/>
  <c r="K41" i="62898" s="1"/>
  <c r="AC41" i="62898" s="1"/>
  <c r="BI53" i="62898"/>
  <c r="AC53" i="62898" s="1"/>
  <c r="AI53" i="62898"/>
  <c r="AO58" i="62898"/>
  <c r="AI55" i="62898"/>
  <c r="I58" i="62898"/>
  <c r="L58" i="62898" s="1"/>
  <c r="D58" i="62898" s="1"/>
  <c r="AW18" i="62898"/>
  <c r="I120" i="62898"/>
  <c r="AG16" i="62898"/>
  <c r="AG331" i="62898"/>
  <c r="AN331" i="62898"/>
  <c r="AV316" i="62898"/>
  <c r="AJ329" i="62898"/>
  <c r="I328" i="62898"/>
  <c r="AK18" i="62898"/>
  <c r="AJ331" i="62898"/>
  <c r="AK121" i="62898"/>
  <c r="AL41" i="62898"/>
  <c r="AW67" i="62898"/>
  <c r="AW70" i="62898" s="1"/>
  <c r="AX96" i="62898"/>
  <c r="BJ239" i="62898"/>
  <c r="AK329" i="62898"/>
  <c r="AJ20" i="62898"/>
  <c r="BP121" i="62898"/>
  <c r="AK331" i="62898"/>
  <c r="AQ316" i="62898"/>
  <c r="AM329" i="62898"/>
  <c r="AK67" i="62898"/>
  <c r="AH21" i="62898"/>
  <c r="BP124" i="62898"/>
  <c r="L332" i="62898"/>
  <c r="AK21" i="62898"/>
  <c r="AH125" i="62898"/>
  <c r="AM120" i="62898"/>
  <c r="AJ314" i="62898"/>
  <c r="BJ328" i="62898"/>
  <c r="BO20" i="62898"/>
  <c r="O328" i="62898"/>
  <c r="AM332" i="62898"/>
  <c r="M31" i="62898"/>
  <c r="P31" i="62898" s="1"/>
  <c r="BK330" i="62898"/>
  <c r="BK67" i="62898"/>
  <c r="R121" i="62898"/>
  <c r="AM331" i="62898"/>
  <c r="AH18" i="62898"/>
  <c r="AJ316" i="62898"/>
  <c r="BJ29" i="62898"/>
  <c r="L333" i="62898"/>
  <c r="BO17" i="62898"/>
  <c r="BP331" i="62898"/>
  <c r="H314" i="62898"/>
  <c r="J314" i="62898" s="1"/>
  <c r="BM18" i="62898"/>
  <c r="BJ125" i="62898"/>
  <c r="AM21" i="62898"/>
  <c r="BK19" i="62898"/>
  <c r="BI330" i="62898"/>
  <c r="BK120" i="62898"/>
  <c r="BN19" i="62898"/>
  <c r="AI78" i="62898"/>
  <c r="AI80" i="62898" s="1"/>
  <c r="AI42" i="62898"/>
  <c r="M32" i="62898"/>
  <c r="P32" i="62898" s="1"/>
  <c r="AH32" i="62898" s="1"/>
  <c r="AT32" i="62898" s="1"/>
  <c r="BK96" i="62898"/>
  <c r="BL124" i="62898"/>
  <c r="H156" i="62898"/>
  <c r="K156" i="62898" s="1"/>
  <c r="D156" i="62898" s="1"/>
  <c r="BN202" i="62898"/>
  <c r="AM182" i="62898"/>
  <c r="BK181" i="62898"/>
  <c r="BI161" i="62898"/>
  <c r="BI158" i="62898"/>
  <c r="N97" i="62898"/>
  <c r="H96" i="62898"/>
  <c r="H68" i="62898"/>
  <c r="K68" i="62898" s="1"/>
  <c r="J66" i="62898"/>
  <c r="M66" i="62898" s="1"/>
  <c r="N66" i="62898" s="1"/>
  <c r="N70" i="62898" s="1"/>
  <c r="E463" i="62898" s="1"/>
  <c r="K88" i="62898"/>
  <c r="N88" i="62898" s="1"/>
  <c r="D88" i="62898" s="1"/>
  <c r="AV58" i="62898"/>
  <c r="AV60" i="62898" s="1"/>
  <c r="AJ58" i="62898"/>
  <c r="AX53" i="62898"/>
  <c r="AL55" i="62898"/>
  <c r="BI57" i="62898"/>
  <c r="BI56" i="62898"/>
  <c r="AH120" i="62898"/>
  <c r="AV330" i="62898"/>
  <c r="BI120" i="62898"/>
  <c r="AV96" i="62898"/>
  <c r="AH121" i="62898"/>
  <c r="AG66" i="62898"/>
  <c r="AW16" i="62898"/>
  <c r="AN68" i="62898"/>
  <c r="AM316" i="62898"/>
  <c r="AV124" i="62898"/>
  <c r="AV18" i="62898"/>
  <c r="AH328" i="62898"/>
  <c r="AV329" i="62898"/>
  <c r="AN66" i="62898"/>
  <c r="AX40" i="62898"/>
  <c r="AJ120" i="62898"/>
  <c r="AN67" i="62898"/>
  <c r="AK16" i="62898"/>
  <c r="AG20" i="62898"/>
  <c r="AW97" i="62898"/>
  <c r="AV328" i="62898"/>
  <c r="AJ97" i="62898"/>
  <c r="AS97" i="62898" s="1"/>
  <c r="AM333" i="62898"/>
  <c r="BI221" i="62898"/>
  <c r="BN125" i="62898"/>
  <c r="BO21" i="62898"/>
  <c r="BI213" i="62898"/>
  <c r="AN125" i="62898"/>
  <c r="AK315" i="62898"/>
  <c r="O330" i="62898"/>
  <c r="BL330" i="62898"/>
  <c r="O120" i="62898"/>
  <c r="BN333" i="62898"/>
  <c r="AV123" i="62898"/>
  <c r="BM125" i="62898"/>
  <c r="AN316" i="62898"/>
  <c r="AJ315" i="62898"/>
  <c r="BO18" i="62898"/>
  <c r="R329" i="62898"/>
  <c r="O122" i="62898"/>
  <c r="AQ314" i="62898"/>
  <c r="BK125" i="62898"/>
  <c r="BL21" i="62898"/>
  <c r="BL18" i="62898"/>
  <c r="L120" i="62898"/>
  <c r="BO122" i="62898"/>
  <c r="BN330" i="62898"/>
  <c r="L330" i="62898"/>
  <c r="BM123" i="62898"/>
  <c r="BJ332" i="62898"/>
  <c r="BJ20" i="62898"/>
  <c r="AM18" i="62898"/>
  <c r="BL97" i="62898"/>
  <c r="BK31" i="62898"/>
  <c r="BM328" i="62898"/>
  <c r="BJ122" i="62898"/>
  <c r="AV86" i="62898"/>
  <c r="AV90" i="62898" s="1"/>
  <c r="AO78" i="62898"/>
  <c r="AX78" i="62898"/>
  <c r="AX80" i="62898" s="1"/>
  <c r="AO42" i="62898"/>
  <c r="BP329" i="62898"/>
  <c r="BI331" i="62898"/>
  <c r="H202" i="62898"/>
  <c r="AG202" i="62898"/>
  <c r="AG182" i="62898"/>
  <c r="AX201" i="62898"/>
  <c r="AK181" i="62898"/>
  <c r="BJ145" i="62898"/>
  <c r="AO157" i="62898"/>
  <c r="M97" i="62898"/>
  <c r="P97" i="62898" s="1"/>
  <c r="BI68" i="62898"/>
  <c r="BI67" i="62898"/>
  <c r="I68" i="62898"/>
  <c r="L68" i="62898" s="1"/>
  <c r="AO56" i="62898"/>
  <c r="AI56" i="62898"/>
  <c r="AL53" i="62898"/>
  <c r="BI55" i="62898"/>
  <c r="BJ58" i="62898"/>
  <c r="AX57" i="62898"/>
  <c r="AJ18" i="62898"/>
  <c r="AG96" i="62898"/>
  <c r="AG99" i="62898" s="1"/>
  <c r="AP314" i="62898"/>
  <c r="AP318" i="62898" s="1"/>
  <c r="AV331" i="62898"/>
  <c r="AW315" i="62898"/>
  <c r="AW318" i="62898" s="1"/>
  <c r="AT281" i="62898"/>
  <c r="AH96" i="62898"/>
  <c r="AN329" i="62898"/>
  <c r="AN330" i="62898"/>
  <c r="BI314" i="62898"/>
  <c r="AM121" i="62898"/>
  <c r="AS121" i="62898" s="1"/>
  <c r="AV17" i="62898"/>
  <c r="I329" i="62898"/>
  <c r="AN123" i="62898"/>
  <c r="AX97" i="62898"/>
  <c r="AX41" i="62898"/>
  <c r="AK97" i="62898"/>
  <c r="AX193" i="62898"/>
  <c r="J181" i="62898"/>
  <c r="M181" i="62898" s="1"/>
  <c r="AN201" i="62898"/>
  <c r="I181" i="62898"/>
  <c r="L181" i="62898" s="1"/>
  <c r="BI143" i="62898"/>
  <c r="AX158" i="62898"/>
  <c r="BK66" i="62898"/>
  <c r="BI66" i="62898"/>
  <c r="BI88" i="62898"/>
  <c r="H54" i="62898"/>
  <c r="K54" i="62898" s="1"/>
  <c r="D54" i="62898" s="1"/>
  <c r="AO55" i="62898"/>
  <c r="H55" i="62898"/>
  <c r="K55" i="62898" s="1"/>
  <c r="AX56" i="62898"/>
  <c r="AM58" i="62898"/>
  <c r="AM60" i="62898" s="1"/>
  <c r="AH97" i="62898"/>
  <c r="AM122" i="62898"/>
  <c r="AH66" i="62898"/>
  <c r="BI121" i="62898"/>
  <c r="I240" i="62898"/>
  <c r="AO96" i="62898"/>
  <c r="BI123" i="62898"/>
  <c r="AM328" i="62898"/>
  <c r="R330" i="62898"/>
  <c r="AU281" i="62898"/>
  <c r="AH16" i="62898"/>
  <c r="AI97" i="62898"/>
  <c r="AI41" i="62898"/>
  <c r="AV66" i="62898"/>
  <c r="AG68" i="62898"/>
  <c r="AK328" i="62898"/>
  <c r="AV20" i="62898"/>
  <c r="AK19" i="62898"/>
  <c r="AK316" i="62898"/>
  <c r="AK120" i="62898"/>
  <c r="AI40" i="62898"/>
  <c r="AJ67" i="62898"/>
  <c r="AV333" i="62898"/>
  <c r="BJ213" i="62898"/>
  <c r="BM124" i="62898"/>
  <c r="AJ68" i="62898"/>
  <c r="BN124" i="62898"/>
  <c r="AM315" i="62898"/>
  <c r="O121" i="62898"/>
  <c r="O331" i="62898"/>
  <c r="T331" i="62898" s="1"/>
  <c r="H316" i="62898"/>
  <c r="J316" i="62898" s="1"/>
  <c r="AW333" i="62898"/>
  <c r="L121" i="62898"/>
  <c r="M105" i="62898"/>
  <c r="P105" i="62898" s="1"/>
  <c r="AN105" i="62898"/>
  <c r="BL106" i="62898"/>
  <c r="BL107" i="62898"/>
  <c r="AJ105" i="62898"/>
  <c r="L105" i="62898"/>
  <c r="AV105" i="62898"/>
  <c r="BL105" i="62898"/>
  <c r="L107" i="62898"/>
  <c r="O107" i="62898" s="1"/>
  <c r="M106" i="62898"/>
  <c r="P106" i="62898" s="1"/>
  <c r="N106" i="62898"/>
  <c r="BM106" i="62898"/>
  <c r="BN106" i="62898"/>
  <c r="AM105" i="62898"/>
  <c r="AG105" i="62898"/>
  <c r="BN107" i="62898"/>
  <c r="BM105" i="62898"/>
  <c r="N105" i="62898"/>
  <c r="Q105" i="62898" s="1"/>
  <c r="AX105" i="62898"/>
  <c r="AI105" i="62898"/>
  <c r="AO105" i="62898"/>
  <c r="BN105" i="62898"/>
  <c r="AL105" i="62898"/>
  <c r="BM107" i="62898"/>
  <c r="AH105" i="62898"/>
  <c r="AW105" i="62898"/>
  <c r="AK105" i="62898"/>
  <c r="D334" i="62921"/>
  <c r="E335" i="62921"/>
  <c r="D415" i="62921"/>
  <c r="AA149" i="62928"/>
  <c r="AA148" i="62928"/>
  <c r="Y152" i="62928"/>
  <c r="X149" i="62928"/>
  <c r="X152" i="62928"/>
  <c r="Y148" i="62928"/>
  <c r="X148" i="62928"/>
  <c r="AA152" i="62928"/>
  <c r="AD152" i="62928"/>
  <c r="G152" i="62928"/>
  <c r="E2236" i="62917"/>
  <c r="E2237" i="62917" s="1"/>
  <c r="AD152" i="7"/>
  <c r="Y152" i="7"/>
  <c r="W152" i="7"/>
  <c r="X152" i="7"/>
  <c r="G152" i="7"/>
  <c r="AA152" i="7"/>
  <c r="W149" i="7"/>
  <c r="X149" i="7"/>
  <c r="G149" i="7"/>
  <c r="Y149" i="7"/>
  <c r="AD149" i="7"/>
  <c r="AA149" i="7"/>
  <c r="AD148" i="7"/>
  <c r="AA148" i="7"/>
  <c r="W148" i="7"/>
  <c r="X148" i="7"/>
  <c r="G148" i="7"/>
  <c r="Y148" i="7"/>
  <c r="Y150" i="7"/>
  <c r="X150" i="7"/>
  <c r="G150" i="7"/>
  <c r="AA150" i="7"/>
  <c r="W150" i="7"/>
  <c r="AD150" i="7"/>
  <c r="C1856" i="62919"/>
  <c r="AA151" i="7"/>
  <c r="X151" i="7"/>
  <c r="AD151" i="7"/>
  <c r="G151" i="7"/>
  <c r="W151" i="7"/>
  <c r="Y151" i="7"/>
  <c r="E416" i="62921"/>
  <c r="I105" i="62926"/>
  <c r="T105" i="62926" s="1"/>
  <c r="D248" i="62921"/>
  <c r="H17" i="62898"/>
  <c r="N122" i="62898"/>
  <c r="L17" i="62898"/>
  <c r="K330" i="62898"/>
  <c r="O20" i="62898"/>
  <c r="Q333" i="62898"/>
  <c r="Q17" i="62898"/>
  <c r="O16" i="62898"/>
  <c r="H124" i="62898"/>
  <c r="H19" i="62898"/>
  <c r="N124" i="62898"/>
  <c r="L20" i="62898"/>
  <c r="K333" i="62898"/>
  <c r="AI86" i="62898"/>
  <c r="H66" i="62898"/>
  <c r="K66" i="62898" s="1"/>
  <c r="J68" i="62898"/>
  <c r="M68" i="62898" s="1"/>
  <c r="BJ68" i="62898"/>
  <c r="AX144" i="62898"/>
  <c r="AI143" i="62898"/>
  <c r="AX156" i="62898"/>
  <c r="AV145" i="62898"/>
  <c r="AL160" i="62898"/>
  <c r="BI182" i="62898"/>
  <c r="AL193" i="62898"/>
  <c r="BM202" i="62898"/>
  <c r="AV181" i="62898"/>
  <c r="AI191" i="62898"/>
  <c r="AK202" i="62898"/>
  <c r="H145" i="62898"/>
  <c r="K145" i="62898" s="1"/>
  <c r="AL161" i="62898"/>
  <c r="AL191" i="62898"/>
  <c r="AH202" i="62898"/>
  <c r="AG181" i="62898"/>
  <c r="BJ191" i="62898"/>
  <c r="K21" i="62898"/>
  <c r="H328" i="62898"/>
  <c r="O21" i="62898"/>
  <c r="Q328" i="62898"/>
  <c r="Q18" i="62898"/>
  <c r="L18" i="62898"/>
  <c r="H125" i="62898"/>
  <c r="K331" i="62898"/>
  <c r="I121" i="62898"/>
  <c r="I17" i="62898"/>
  <c r="Q122" i="62898"/>
  <c r="N18" i="62898"/>
  <c r="N331" i="62898"/>
  <c r="AL54" i="62898"/>
  <c r="AX58" i="62898"/>
  <c r="H67" i="62898"/>
  <c r="K67" i="62898" s="1"/>
  <c r="I76" i="62898"/>
  <c r="L76" i="62898" s="1"/>
  <c r="L80" i="62898" s="1"/>
  <c r="BI86" i="62898"/>
  <c r="H97" i="62898"/>
  <c r="AO156" i="62898"/>
  <c r="AV161" i="62898"/>
  <c r="AO144" i="62898"/>
  <c r="AO160" i="62898"/>
  <c r="AJ161" i="62898"/>
  <c r="I183" i="62898"/>
  <c r="L183" i="62898" s="1"/>
  <c r="BI193" i="62898"/>
  <c r="AI157" i="62898"/>
  <c r="H182" i="62898"/>
  <c r="K182" i="62898" s="1"/>
  <c r="AO191" i="62898"/>
  <c r="AO202" i="62898"/>
  <c r="AX157" i="62898"/>
  <c r="AN181" i="62898"/>
  <c r="AX191" i="62898"/>
  <c r="AL202" i="62898"/>
  <c r="BJ181" i="62898"/>
  <c r="AI193" i="62898"/>
  <c r="L19" i="62898"/>
  <c r="K332" i="62898"/>
  <c r="Q19" i="62898"/>
  <c r="Q20" i="62898"/>
  <c r="H120" i="62898"/>
  <c r="N329" i="62898"/>
  <c r="I122" i="62898"/>
  <c r="H20" i="62898"/>
  <c r="N125" i="62898"/>
  <c r="L21" i="62898"/>
  <c r="K328" i="62898"/>
  <c r="Q16" i="62898"/>
  <c r="Q329" i="62898"/>
  <c r="BJ202" i="62898"/>
  <c r="AO145" i="62898"/>
  <c r="I182" i="62898"/>
  <c r="L182" i="62898" s="1"/>
  <c r="H192" i="62898"/>
  <c r="K192" i="62898" s="1"/>
  <c r="AV202" i="62898"/>
  <c r="J182" i="62898"/>
  <c r="M182" i="62898" s="1"/>
  <c r="AG201" i="62898"/>
  <c r="N17" i="62898"/>
  <c r="N330" i="62898"/>
  <c r="R17" i="62898"/>
  <c r="H333" i="62898"/>
  <c r="I123" i="62898"/>
  <c r="T123" i="62898" s="1"/>
  <c r="H21" i="62898"/>
  <c r="N120" i="62898"/>
  <c r="I18" i="62898"/>
  <c r="Q123" i="62898"/>
  <c r="N19" i="62898"/>
  <c r="N332" i="62898"/>
  <c r="R20" i="62898"/>
  <c r="I343" i="62898"/>
  <c r="L343" i="62898" s="1"/>
  <c r="Q21" i="62898"/>
  <c r="K20" i="62898"/>
  <c r="I124" i="62898"/>
  <c r="T124" i="62898" s="1"/>
  <c r="H16" i="62898"/>
  <c r="K121" i="62898"/>
  <c r="I19" i="62898"/>
  <c r="Q124" i="62898"/>
  <c r="L16" i="62898"/>
  <c r="H329" i="62898"/>
  <c r="O17" i="62898"/>
  <c r="Q330" i="62898"/>
  <c r="H122" i="62898"/>
  <c r="AO86" i="62898"/>
  <c r="J67" i="62898"/>
  <c r="M67" i="62898" s="1"/>
  <c r="BJ67" i="62898"/>
  <c r="L86" i="62898"/>
  <c r="O86" i="62898" s="1"/>
  <c r="O90" i="62898" s="1"/>
  <c r="AI88" i="62898"/>
  <c r="I96" i="62898"/>
  <c r="P96" i="62898" s="1"/>
  <c r="L97" i="62898"/>
  <c r="BI160" i="62898"/>
  <c r="AX160" i="62898"/>
  <c r="AI145" i="62898"/>
  <c r="AL144" i="62898"/>
  <c r="AW181" i="62898"/>
  <c r="BK183" i="62898"/>
  <c r="AI160" i="62898"/>
  <c r="BJ182" i="62898"/>
  <c r="AI201" i="62898"/>
  <c r="BI145" i="62898"/>
  <c r="AL145" i="62898"/>
  <c r="AW182" i="62898"/>
  <c r="H201" i="62898"/>
  <c r="H158" i="62898"/>
  <c r="K158" i="62898" s="1"/>
  <c r="D158" i="62898" s="1"/>
  <c r="H183" i="62898"/>
  <c r="K183" i="62898" s="1"/>
  <c r="AI202" i="62898"/>
  <c r="BK201" i="62898"/>
  <c r="AN419" i="62898"/>
  <c r="R19" i="62898"/>
  <c r="N121" i="62898"/>
  <c r="K122" i="62898"/>
  <c r="I20" i="62898"/>
  <c r="Q125" i="62898"/>
  <c r="K17" i="62898"/>
  <c r="H330" i="62898"/>
  <c r="N20" i="62898"/>
  <c r="N333" i="62898"/>
  <c r="R21" i="62898"/>
  <c r="K123" i="62898"/>
  <c r="K125" i="62898"/>
  <c r="AX145" i="62898"/>
  <c r="AL157" i="62898"/>
  <c r="BK182" i="62898"/>
  <c r="AL201" i="62898"/>
  <c r="H160" i="62898"/>
  <c r="K160" i="62898" s="1"/>
  <c r="D160" i="62898" s="1"/>
  <c r="AM183" i="62898"/>
  <c r="AM202" i="62898"/>
  <c r="AM204" i="62898" s="1"/>
  <c r="I16" i="62898"/>
  <c r="H121" i="62898"/>
  <c r="I21" i="62898"/>
  <c r="Q120" i="62898"/>
  <c r="K18" i="62898"/>
  <c r="H331" i="62898"/>
  <c r="N21" i="62898"/>
  <c r="N328" i="62898"/>
  <c r="O18" i="62898"/>
  <c r="Q331" i="62898"/>
  <c r="H123" i="62898"/>
  <c r="H18" i="62898"/>
  <c r="N123" i="62898"/>
  <c r="AH182" i="62898"/>
  <c r="AV191" i="62898"/>
  <c r="AV195" i="62898" s="1"/>
  <c r="AN202" i="62898"/>
  <c r="AM161" i="62898"/>
  <c r="AJ183" i="62898"/>
  <c r="AO143" i="62898"/>
  <c r="AL159" i="62898"/>
  <c r="AH183" i="62898"/>
  <c r="BI201" i="62898"/>
  <c r="H161" i="62898"/>
  <c r="K161" i="62898" s="1"/>
  <c r="AG191" i="62898"/>
  <c r="AG195" i="62898" s="1"/>
  <c r="AW202" i="62898"/>
  <c r="I201" i="62898"/>
  <c r="P201" i="62898" s="1"/>
  <c r="J201" i="62898"/>
  <c r="Q201" i="62898" s="1"/>
  <c r="AI359" i="62898"/>
  <c r="I125" i="62898"/>
  <c r="K124" i="62898"/>
  <c r="K19" i="62898"/>
  <c r="H332" i="62898"/>
  <c r="N16" i="62898"/>
  <c r="K329" i="62898"/>
  <c r="O19" i="62898"/>
  <c r="Q332" i="62898"/>
  <c r="R16" i="62898"/>
  <c r="R18" i="62898"/>
  <c r="K120" i="62898"/>
  <c r="K16" i="62898"/>
  <c r="Q121" i="62898"/>
  <c r="AM86" i="62925"/>
  <c r="AE86" i="62925"/>
  <c r="Z86" i="62925"/>
  <c r="Z86" i="62926"/>
  <c r="L86" i="62925"/>
  <c r="AA86" i="62925"/>
  <c r="K87" i="62925"/>
  <c r="Z87" i="62925"/>
  <c r="L87" i="62925"/>
  <c r="AA87" i="62925"/>
  <c r="K88" i="62925"/>
  <c r="Z88" i="62925"/>
  <c r="AA88" i="62925"/>
  <c r="L88" i="62925"/>
  <c r="C1616" i="62917"/>
  <c r="K88" i="62926"/>
  <c r="AA88" i="62926"/>
  <c r="Z87" i="62926"/>
  <c r="J87" i="62926"/>
  <c r="AE86" i="62926"/>
  <c r="AM86" i="62926"/>
  <c r="AA87" i="62926"/>
  <c r="K87" i="62926"/>
  <c r="AA86" i="62926"/>
  <c r="K86" i="62926"/>
  <c r="J88" i="62926"/>
  <c r="Z88" i="62926"/>
  <c r="E1619" i="62917"/>
  <c r="D1617" i="62917"/>
  <c r="D1618" i="62917" s="1"/>
  <c r="D2154" i="62917"/>
  <c r="C2154" i="62917" s="1"/>
  <c r="E2155" i="62917"/>
  <c r="O162" i="2"/>
  <c r="D162" i="2" s="1"/>
  <c r="X162" i="2"/>
  <c r="Q162" i="2" s="1"/>
  <c r="O157" i="2"/>
  <c r="D157" i="2" s="1"/>
  <c r="X157" i="2"/>
  <c r="Q157" i="2" s="1"/>
  <c r="AI173" i="2"/>
  <c r="AQ171" i="2"/>
  <c r="AQ158" i="2"/>
  <c r="AE173" i="2"/>
  <c r="AQ157" i="2"/>
  <c r="E320" i="62923"/>
  <c r="E321" i="62923" s="1"/>
  <c r="AQ163" i="2"/>
  <c r="AQ168" i="2"/>
  <c r="O60" i="2"/>
  <c r="D60" i="2" s="1"/>
  <c r="X60" i="2"/>
  <c r="Q60" i="2" s="1"/>
  <c r="AQ162" i="2"/>
  <c r="AQ159" i="2"/>
  <c r="AR61" i="2"/>
  <c r="AQ170" i="2"/>
  <c r="O62" i="2"/>
  <c r="D62" i="2" s="1"/>
  <c r="X62" i="2"/>
  <c r="Q62" i="2" s="1"/>
  <c r="O61" i="2"/>
  <c r="D61" i="2" s="1"/>
  <c r="X61" i="2"/>
  <c r="Q61" i="2" s="1"/>
  <c r="AQ119" i="2"/>
  <c r="AM121" i="2"/>
  <c r="AI132" i="2"/>
  <c r="AR87" i="2"/>
  <c r="AE121" i="2"/>
  <c r="AA132" i="2"/>
  <c r="AQ128" i="2"/>
  <c r="AI141" i="2"/>
  <c r="AA141" i="2"/>
  <c r="AQ139" i="2"/>
  <c r="X117" i="2"/>
  <c r="O117" i="2"/>
  <c r="AQ130" i="2"/>
  <c r="AE150" i="2"/>
  <c r="AQ129" i="2"/>
  <c r="AM150" i="2"/>
  <c r="AE132" i="2"/>
  <c r="AE141" i="2"/>
  <c r="AA121" i="2"/>
  <c r="AQ117" i="2"/>
  <c r="AI121" i="2"/>
  <c r="AA150" i="2"/>
  <c r="AQ148" i="2"/>
  <c r="X139" i="2"/>
  <c r="O139" i="2"/>
  <c r="AQ118" i="2"/>
  <c r="X128" i="2"/>
  <c r="O128" i="2"/>
  <c r="AM132" i="2"/>
  <c r="AM141" i="2"/>
  <c r="AI150" i="2"/>
  <c r="X148" i="2"/>
  <c r="O148" i="2"/>
  <c r="AQ167" i="2"/>
  <c r="AV94" i="2"/>
  <c r="AF94" i="2"/>
  <c r="AJ94" i="2"/>
  <c r="AR88" i="2"/>
  <c r="O88" i="2"/>
  <c r="D88" i="2" s="1"/>
  <c r="X88" i="2"/>
  <c r="Q88" i="2" s="1"/>
  <c r="AR86" i="2"/>
  <c r="X85" i="2"/>
  <c r="AR85" i="2"/>
  <c r="X87" i="2"/>
  <c r="Q87" i="2" s="1"/>
  <c r="O87" i="2"/>
  <c r="D87" i="2" s="1"/>
  <c r="X86" i="2"/>
  <c r="AR91" i="2"/>
  <c r="AB94" i="2"/>
  <c r="AR92" i="2"/>
  <c r="O91" i="2"/>
  <c r="D91" i="2" s="1"/>
  <c r="X91" i="2"/>
  <c r="Q91" i="2" s="1"/>
  <c r="AN94" i="2"/>
  <c r="X92" i="2"/>
  <c r="AR74" i="2"/>
  <c r="AR76" i="2"/>
  <c r="AR73" i="2"/>
  <c r="AR75" i="2"/>
  <c r="AR70" i="2"/>
  <c r="AR77" i="2"/>
  <c r="O70" i="2"/>
  <c r="D70" i="2" s="1"/>
  <c r="X70" i="2"/>
  <c r="Q70" i="2" s="1"/>
  <c r="X77" i="2"/>
  <c r="X76" i="2"/>
  <c r="X75" i="2"/>
  <c r="Q75" i="2" s="1"/>
  <c r="X74" i="2"/>
  <c r="Q74" i="2" s="1"/>
  <c r="X73" i="2"/>
  <c r="U27" i="11"/>
  <c r="AR54" i="2"/>
  <c r="X57" i="2"/>
  <c r="O57" i="2"/>
  <c r="D57" i="2" s="1"/>
  <c r="O55" i="2"/>
  <c r="D55" i="2" s="1"/>
  <c r="X55" i="2"/>
  <c r="Q55" i="2" s="1"/>
  <c r="O54" i="2"/>
  <c r="D54" i="2" s="1"/>
  <c r="X54" i="2"/>
  <c r="Q54" i="2" s="1"/>
  <c r="U29" i="11"/>
  <c r="O56" i="2"/>
  <c r="D56" i="2" s="1"/>
  <c r="X56" i="2"/>
  <c r="Q56" i="2" s="1"/>
  <c r="AE32" i="11"/>
  <c r="I215" i="11" s="1"/>
  <c r="X53" i="2"/>
  <c r="O53" i="2"/>
  <c r="AR56" i="2"/>
  <c r="AR55" i="2"/>
  <c r="AR57" i="2"/>
  <c r="AR53" i="2"/>
  <c r="AR38" i="2"/>
  <c r="AR36" i="2"/>
  <c r="O35" i="2"/>
  <c r="D35" i="2" s="1"/>
  <c r="X35" i="2"/>
  <c r="AR35" i="2"/>
  <c r="AR37" i="2"/>
  <c r="O37" i="2"/>
  <c r="D37" i="2" s="1"/>
  <c r="X37" i="2"/>
  <c r="Q37" i="2" s="1"/>
  <c r="X36" i="2"/>
  <c r="Q36" i="2" s="1"/>
  <c r="O36" i="2"/>
  <c r="D36" i="2" s="1"/>
  <c r="O38" i="2"/>
  <c r="D38" i="2" s="1"/>
  <c r="X38" i="2"/>
  <c r="Q38" i="2" s="1"/>
  <c r="AN47" i="2"/>
  <c r="AB47" i="2"/>
  <c r="AF47" i="2"/>
  <c r="AV47" i="2"/>
  <c r="AJ47" i="2"/>
  <c r="X44" i="2"/>
  <c r="AR23" i="2"/>
  <c r="AR22" i="2"/>
  <c r="AR44" i="2"/>
  <c r="AR28" i="2"/>
  <c r="X25" i="2"/>
  <c r="Q25" i="2" s="1"/>
  <c r="O25" i="2"/>
  <c r="D25" i="2" s="1"/>
  <c r="AR16" i="2"/>
  <c r="AR25" i="2"/>
  <c r="X30" i="2"/>
  <c r="Q30" i="2" s="1"/>
  <c r="O30" i="2"/>
  <c r="D30" i="2" s="1"/>
  <c r="X18" i="2"/>
  <c r="Q18" i="2" s="1"/>
  <c r="O18" i="2"/>
  <c r="D18" i="2" s="1"/>
  <c r="X41" i="2"/>
  <c r="O41" i="2"/>
  <c r="D41" i="2" s="1"/>
  <c r="X32" i="2"/>
  <c r="O32" i="2"/>
  <c r="D32" i="2" s="1"/>
  <c r="X29" i="2"/>
  <c r="O29" i="2"/>
  <c r="D29" i="2" s="1"/>
  <c r="X17" i="2"/>
  <c r="Q17" i="2" s="1"/>
  <c r="O17" i="2"/>
  <c r="D17" i="2" s="1"/>
  <c r="AR30" i="2"/>
  <c r="X31" i="2"/>
  <c r="Q31" i="2" s="1"/>
  <c r="O31" i="2"/>
  <c r="D31" i="2" s="1"/>
  <c r="AR17" i="2"/>
  <c r="X22" i="2"/>
  <c r="O22" i="2"/>
  <c r="D22" i="2" s="1"/>
  <c r="AR41" i="2"/>
  <c r="AR32" i="2"/>
  <c r="AR42" i="2"/>
  <c r="O24" i="2"/>
  <c r="D24" i="2" s="1"/>
  <c r="X24" i="2"/>
  <c r="Q24" i="2" s="1"/>
  <c r="AR43" i="2"/>
  <c r="X21" i="2"/>
  <c r="O21" i="2"/>
  <c r="D21" i="2" s="1"/>
  <c r="AR31" i="2"/>
  <c r="X23" i="2"/>
  <c r="Q23" i="2" s="1"/>
  <c r="O23" i="2"/>
  <c r="D23" i="2" s="1"/>
  <c r="AR24" i="2"/>
  <c r="AR45" i="2"/>
  <c r="AR21" i="2"/>
  <c r="O16" i="2"/>
  <c r="X16" i="2"/>
  <c r="X45" i="2"/>
  <c r="Q45" i="2" s="1"/>
  <c r="O45" i="2"/>
  <c r="D45" i="2" s="1"/>
  <c r="X28" i="2"/>
  <c r="O28" i="2"/>
  <c r="D28" i="2" s="1"/>
  <c r="X42" i="2"/>
  <c r="AR18" i="2"/>
  <c r="AR29" i="2"/>
  <c r="X43" i="2"/>
  <c r="I140" i="62892"/>
  <c r="E419" i="62923"/>
  <c r="E420" i="62923" s="1"/>
  <c r="E421" i="62923" s="1"/>
  <c r="Y32" i="11"/>
  <c r="E215" i="11" s="1"/>
  <c r="D319" i="62923"/>
  <c r="L32" i="11"/>
  <c r="E78" i="11" s="1"/>
  <c r="E290" i="62923"/>
  <c r="D290" i="62923" s="1"/>
  <c r="E277" i="62923"/>
  <c r="E33" i="62923"/>
  <c r="E34" i="62923" s="1"/>
  <c r="X167" i="2"/>
  <c r="O167" i="2"/>
  <c r="D167" i="2" s="1"/>
  <c r="N323" i="9"/>
  <c r="B12" i="62907"/>
  <c r="L55" i="62909"/>
  <c r="L54" i="62909" s="1"/>
  <c r="L219" i="62909" s="1"/>
  <c r="O26" i="62909"/>
  <c r="O216" i="62909" s="1"/>
  <c r="K198" i="62909"/>
  <c r="K226" i="62909" s="1"/>
  <c r="AM94" i="62904"/>
  <c r="D600" i="62921"/>
  <c r="AV388" i="62898"/>
  <c r="J377" i="62898"/>
  <c r="M377" i="62898" s="1"/>
  <c r="AX359" i="62898"/>
  <c r="AM359" i="62898"/>
  <c r="AI355" i="62898"/>
  <c r="AX342" i="62898"/>
  <c r="H159" i="62898"/>
  <c r="K159" i="62898" s="1"/>
  <c r="D159" i="62898" s="1"/>
  <c r="AV182" i="62898"/>
  <c r="AO201" i="62898"/>
  <c r="AX358" i="62898"/>
  <c r="AX355" i="62898"/>
  <c r="AO358" i="62898"/>
  <c r="AW377" i="62898"/>
  <c r="AG377" i="62898"/>
  <c r="L281" i="62898"/>
  <c r="P281" i="62898" s="1"/>
  <c r="AC281" i="62898" s="1"/>
  <c r="BK418" i="62898"/>
  <c r="AO387" i="62898"/>
  <c r="BI356" i="62898"/>
  <c r="AO369" i="62898"/>
  <c r="AH388" i="62898"/>
  <c r="H419" i="62898"/>
  <c r="J419" i="62898" s="1"/>
  <c r="AL342" i="62898"/>
  <c r="AJ359" i="62898"/>
  <c r="AG420" i="62898"/>
  <c r="AJ201" i="62898"/>
  <c r="AI156" i="62898"/>
  <c r="AJ181" i="62898"/>
  <c r="AV183" i="62898"/>
  <c r="AW201" i="62898"/>
  <c r="BI159" i="62898"/>
  <c r="AO159" i="62898"/>
  <c r="AH181" i="62898"/>
  <c r="AN183" i="62898"/>
  <c r="AH201" i="62898"/>
  <c r="BI202" i="62898"/>
  <c r="H181" i="62898"/>
  <c r="K181" i="62898" s="1"/>
  <c r="AG183" i="62898"/>
  <c r="AK201" i="62898"/>
  <c r="H341" i="62898"/>
  <c r="K341" i="62898" s="1"/>
  <c r="D341" i="62898" s="1"/>
  <c r="AL341" i="62898"/>
  <c r="AG367" i="62898"/>
  <c r="AG371" i="62898" s="1"/>
  <c r="BK378" i="62898"/>
  <c r="AV377" i="62898"/>
  <c r="AG388" i="62898"/>
  <c r="BI369" i="62898"/>
  <c r="AW378" i="62898"/>
  <c r="BN388" i="62898"/>
  <c r="AQ420" i="62898"/>
  <c r="AL343" i="62898"/>
  <c r="I367" i="62898"/>
  <c r="L367" i="62898" s="1"/>
  <c r="AG378" i="62898"/>
  <c r="AM387" i="62898"/>
  <c r="AH377" i="62898"/>
  <c r="BI418" i="62898"/>
  <c r="BK420" i="62898"/>
  <c r="BK379" i="62898"/>
  <c r="AI342" i="62898"/>
  <c r="BI388" i="62898"/>
  <c r="AK378" i="62898"/>
  <c r="AX354" i="62898"/>
  <c r="AV359" i="62898"/>
  <c r="J378" i="62898"/>
  <c r="M378" i="62898" s="1"/>
  <c r="AO388" i="62898"/>
  <c r="AJ418" i="62898"/>
  <c r="H379" i="62898"/>
  <c r="K379" i="62898" s="1"/>
  <c r="H367" i="62898"/>
  <c r="K367" i="62898" s="1"/>
  <c r="AW379" i="62898"/>
  <c r="BI343" i="62898"/>
  <c r="AL367" i="62898"/>
  <c r="AG379" i="62898"/>
  <c r="AX161" i="62898"/>
  <c r="I145" i="62898"/>
  <c r="L145" i="62898" s="1"/>
  <c r="BI181" i="62898"/>
  <c r="I191" i="62898"/>
  <c r="L191" i="62898" s="1"/>
  <c r="AV201" i="62898"/>
  <c r="H157" i="62898"/>
  <c r="K157" i="62898" s="1"/>
  <c r="D157" i="62898" s="1"/>
  <c r="AM181" i="62898"/>
  <c r="BJ183" i="62898"/>
  <c r="BL201" i="62898"/>
  <c r="BJ201" i="62898"/>
  <c r="BI419" i="62898"/>
  <c r="BK387" i="62898"/>
  <c r="H369" i="62898"/>
  <c r="K369" i="62898" s="1"/>
  <c r="D369" i="62898" s="1"/>
  <c r="H356" i="62898"/>
  <c r="K356" i="62898" s="1"/>
  <c r="D356" i="62898" s="1"/>
  <c r="AO343" i="62898"/>
  <c r="BI341" i="62898"/>
  <c r="AX357" i="62898"/>
  <c r="AJ367" i="62898"/>
  <c r="AJ371" i="62898" s="1"/>
  <c r="AV378" i="62898"/>
  <c r="BM388" i="62898"/>
  <c r="AM419" i="62898"/>
  <c r="BJ388" i="62898"/>
  <c r="H343" i="62898"/>
  <c r="K343" i="62898" s="1"/>
  <c r="AO356" i="62898"/>
  <c r="H387" i="62898"/>
  <c r="AO341" i="62898"/>
  <c r="BI367" i="62898"/>
  <c r="I387" i="62898"/>
  <c r="P387" i="62898" s="1"/>
  <c r="H359" i="62898"/>
  <c r="K359" i="62898" s="1"/>
  <c r="BJ387" i="62898"/>
  <c r="BK419" i="62898"/>
  <c r="BJ359" i="62898"/>
  <c r="AO367" i="62898"/>
  <c r="AK377" i="62898"/>
  <c r="AV367" i="62898"/>
  <c r="AV371" i="62898" s="1"/>
  <c r="AX367" i="62898"/>
  <c r="J379" i="62898"/>
  <c r="M379" i="62898" s="1"/>
  <c r="I420" i="62898"/>
  <c r="AV343" i="62898"/>
  <c r="AH387" i="62898"/>
  <c r="AI387" i="62898"/>
  <c r="BI420" i="62898"/>
  <c r="AG343" i="62898"/>
  <c r="BK377" i="62898"/>
  <c r="AI357" i="62898"/>
  <c r="AK379" i="62898"/>
  <c r="H377" i="62898"/>
  <c r="K377" i="62898" s="1"/>
  <c r="AL357" i="62898"/>
  <c r="AV379" i="62898"/>
  <c r="AP420" i="62898"/>
  <c r="AJ343" i="62898"/>
  <c r="AV387" i="62898"/>
  <c r="AL354" i="62898"/>
  <c r="AL358" i="62898"/>
  <c r="I388" i="62898"/>
  <c r="I419" i="62898"/>
  <c r="K419" i="62898" s="1"/>
  <c r="H355" i="62898"/>
  <c r="K355" i="62898" s="1"/>
  <c r="D355" i="62898" s="1"/>
  <c r="AL388" i="62898"/>
  <c r="AO354" i="62898"/>
  <c r="BI387" i="62898"/>
  <c r="AL387" i="62898"/>
  <c r="BI342" i="62898"/>
  <c r="BI357" i="62898"/>
  <c r="AG387" i="62898"/>
  <c r="H354" i="62898"/>
  <c r="K354" i="62898" s="1"/>
  <c r="H358" i="62898"/>
  <c r="K358" i="62898" s="1"/>
  <c r="H388" i="62898"/>
  <c r="AK418" i="62898"/>
  <c r="H378" i="62898"/>
  <c r="K378" i="62898" s="1"/>
  <c r="BI354" i="62898"/>
  <c r="BI358" i="62898"/>
  <c r="AI388" i="62898"/>
  <c r="AP419" i="62898"/>
  <c r="AW388" i="62898"/>
  <c r="AM418" i="62898"/>
  <c r="AM377" i="62898"/>
  <c r="AI341" i="62898"/>
  <c r="H418" i="62898"/>
  <c r="J418" i="62898" s="1"/>
  <c r="BI377" i="62898"/>
  <c r="AO342" i="62898"/>
  <c r="AH378" i="62898"/>
  <c r="AV420" i="62898"/>
  <c r="AX343" i="62898"/>
  <c r="AI356" i="62898"/>
  <c r="AM367" i="62898"/>
  <c r="AM371" i="62898" s="1"/>
  <c r="BI378" i="62898"/>
  <c r="AW387" i="62898"/>
  <c r="AM343" i="62898"/>
  <c r="BJ367" i="62898"/>
  <c r="J387" i="62898"/>
  <c r="BJ343" i="62898"/>
  <c r="AX369" i="62898"/>
  <c r="AJ388" i="62898"/>
  <c r="AS356" i="62898"/>
  <c r="AX356" i="62898"/>
  <c r="AG419" i="62898"/>
  <c r="AX388" i="62898"/>
  <c r="AQ419" i="62898"/>
  <c r="BJ377" i="62898"/>
  <c r="AW419" i="62898"/>
  <c r="AH420" i="62898"/>
  <c r="AJ379" i="62898"/>
  <c r="AM378" i="62898"/>
  <c r="AO357" i="62898"/>
  <c r="BI379" i="62898"/>
  <c r="AW420" i="62898"/>
  <c r="AM379" i="62898"/>
  <c r="AL359" i="62898"/>
  <c r="BJ379" i="62898"/>
  <c r="AG418" i="62898"/>
  <c r="AN387" i="62898"/>
  <c r="AK388" i="62898"/>
  <c r="AI369" i="62898"/>
  <c r="AJ387" i="62898"/>
  <c r="AX341" i="62898"/>
  <c r="AL355" i="62898"/>
  <c r="AX387" i="62898"/>
  <c r="C222" i="62924"/>
  <c r="C935" i="62921"/>
  <c r="AJ270" i="62898"/>
  <c r="C404" i="62919"/>
  <c r="O72" i="3"/>
  <c r="L72" i="3" s="1"/>
  <c r="AC75" i="62904"/>
  <c r="V75" i="62904" s="1"/>
  <c r="AC161" i="62926"/>
  <c r="W161" i="62926" s="1"/>
  <c r="AI270" i="62898"/>
  <c r="AU270" i="62898"/>
  <c r="AR270" i="62898"/>
  <c r="AP270" i="62898"/>
  <c r="AH270" i="62898"/>
  <c r="AV270" i="62898"/>
  <c r="AT270" i="62898"/>
  <c r="AQ270" i="62898"/>
  <c r="Y287" i="7"/>
  <c r="G287" i="7"/>
  <c r="X287" i="7"/>
  <c r="W287" i="7"/>
  <c r="AD287" i="7"/>
  <c r="AA287" i="7"/>
  <c r="W287" i="62928"/>
  <c r="AD287" i="62928"/>
  <c r="AA287" i="62928"/>
  <c r="Y287" i="62928"/>
  <c r="X287" i="62928"/>
  <c r="G287" i="62928"/>
  <c r="Y289" i="62928"/>
  <c r="W289" i="62928"/>
  <c r="AA289" i="62928"/>
  <c r="G289" i="62928"/>
  <c r="X289" i="62928"/>
  <c r="AD289" i="62928"/>
  <c r="AA289" i="7"/>
  <c r="W289" i="7"/>
  <c r="AD289" i="7"/>
  <c r="Y289" i="7"/>
  <c r="X289" i="7"/>
  <c r="G289" i="7"/>
  <c r="O73" i="62927"/>
  <c r="L73" i="62927" s="1"/>
  <c r="L43" i="62911"/>
  <c r="AR281" i="62898"/>
  <c r="AQ281" i="62898"/>
  <c r="AP281" i="62898"/>
  <c r="H588" i="62898"/>
  <c r="AN270" i="62898"/>
  <c r="AL270" i="62898"/>
  <c r="AM270" i="62898"/>
  <c r="G26" i="62915"/>
  <c r="S26" i="62915" s="1"/>
  <c r="J201" i="7"/>
  <c r="H15" i="11"/>
  <c r="K15" i="11" s="1"/>
  <c r="X15" i="11" s="1"/>
  <c r="AF15" i="11" s="1"/>
  <c r="E134" i="62922"/>
  <c r="E135" i="62922" s="1"/>
  <c r="E149" i="62924"/>
  <c r="J26" i="3"/>
  <c r="D24" i="3"/>
  <c r="D26" i="3" s="1"/>
  <c r="D110" i="3" s="1"/>
  <c r="V24" i="3"/>
  <c r="V26" i="3" s="1"/>
  <c r="O24" i="3"/>
  <c r="O26" i="3" s="1"/>
  <c r="G16" i="62915"/>
  <c r="G18" i="62915" s="1"/>
  <c r="H15" i="62928"/>
  <c r="P15" i="7"/>
  <c r="G42" i="7"/>
  <c r="H42" i="7" s="1"/>
  <c r="Z42" i="7" s="1"/>
  <c r="AD17" i="7"/>
  <c r="Y45" i="62928"/>
  <c r="BK183" i="9"/>
  <c r="AM14" i="11"/>
  <c r="O91" i="62919"/>
  <c r="W273" i="62928"/>
  <c r="W270" i="62928"/>
  <c r="AD15" i="62928"/>
  <c r="I64" i="9"/>
  <c r="G43" i="62928"/>
  <c r="H43" i="62928" s="1"/>
  <c r="Z43" i="62928" s="1"/>
  <c r="W271" i="62928"/>
  <c r="W272" i="62928"/>
  <c r="J136" i="9"/>
  <c r="BL182" i="9"/>
  <c r="I14" i="62928"/>
  <c r="AM13" i="11"/>
  <c r="H16" i="62928"/>
  <c r="AD16" i="7"/>
  <c r="H16" i="7"/>
  <c r="BK136" i="9"/>
  <c r="H17" i="62928"/>
  <c r="O92" i="62919"/>
  <c r="Y43" i="62928"/>
  <c r="P17" i="7"/>
  <c r="O89" i="62919"/>
  <c r="J180" i="9"/>
  <c r="BL63" i="9"/>
  <c r="I16" i="62928"/>
  <c r="V42" i="62928"/>
  <c r="BL135" i="9"/>
  <c r="H13" i="11"/>
  <c r="K13" i="11" s="1"/>
  <c r="BK158" i="9"/>
  <c r="AD158" i="9" s="1"/>
  <c r="Y158" i="9" s="1"/>
  <c r="H202" i="9"/>
  <c r="I181" i="9"/>
  <c r="BK181" i="9"/>
  <c r="H15" i="7"/>
  <c r="O88" i="62919"/>
  <c r="G105" i="2" s="1"/>
  <c r="H105" i="2" s="1"/>
  <c r="X43" i="62928"/>
  <c r="BK64" i="9"/>
  <c r="O87" i="62919"/>
  <c r="G104" i="2" s="1"/>
  <c r="H104" i="2" s="1"/>
  <c r="J65" i="9"/>
  <c r="BK203" i="9"/>
  <c r="AD203" i="9" s="1"/>
  <c r="Y203" i="9" s="1"/>
  <c r="I17" i="7"/>
  <c r="W43" i="62928"/>
  <c r="I65" i="9"/>
  <c r="I136" i="9"/>
  <c r="AD42" i="7"/>
  <c r="H85" i="9"/>
  <c r="I138" i="9"/>
  <c r="J63" i="9"/>
  <c r="H16" i="11"/>
  <c r="K16" i="11" s="1"/>
  <c r="X16" i="11" s="1"/>
  <c r="AF16" i="11" s="1"/>
  <c r="BL138" i="9"/>
  <c r="W42" i="62928"/>
  <c r="BL65" i="9"/>
  <c r="V42" i="7"/>
  <c r="BK65" i="9"/>
  <c r="J135" i="9"/>
  <c r="AL13" i="11"/>
  <c r="I15" i="7"/>
  <c r="X42" i="62928"/>
  <c r="BK138" i="9"/>
  <c r="H86" i="9"/>
  <c r="BL136" i="9"/>
  <c r="J137" i="9"/>
  <c r="J181" i="9"/>
  <c r="I137" i="9"/>
  <c r="BK66" i="9"/>
  <c r="BK202" i="9"/>
  <c r="AD202" i="9" s="1"/>
  <c r="Y202" i="9" s="1"/>
  <c r="V43" i="62928"/>
  <c r="AM16" i="11"/>
  <c r="AL14" i="11"/>
  <c r="BK88" i="9"/>
  <c r="AD88" i="9" s="1"/>
  <c r="Y88" i="9" s="1"/>
  <c r="H14" i="11"/>
  <c r="K14" i="11" s="1"/>
  <c r="X14" i="11" s="1"/>
  <c r="AF14" i="11" s="1"/>
  <c r="I17" i="62928"/>
  <c r="O90" i="62919"/>
  <c r="Y42" i="62928"/>
  <c r="J64" i="9"/>
  <c r="BK157" i="9"/>
  <c r="AD157" i="9" s="1"/>
  <c r="Y157" i="9" s="1"/>
  <c r="BL180" i="9"/>
  <c r="I183" i="9"/>
  <c r="H88" i="9"/>
  <c r="J182" i="9"/>
  <c r="BK85" i="9"/>
  <c r="AD85" i="9" s="1"/>
  <c r="Y85" i="9" s="1"/>
  <c r="AD16" i="62928"/>
  <c r="Y42" i="7"/>
  <c r="P16" i="7"/>
  <c r="H17" i="7"/>
  <c r="BL64" i="9"/>
  <c r="I15" i="62928"/>
  <c r="H14" i="7"/>
  <c r="AL15" i="11"/>
  <c r="J183" i="9"/>
  <c r="AD42" i="62928"/>
  <c r="BK137" i="9"/>
  <c r="I66" i="9"/>
  <c r="H203" i="9"/>
  <c r="BL181" i="9"/>
  <c r="X42" i="7"/>
  <c r="AD15" i="7"/>
  <c r="W42" i="7"/>
  <c r="P14" i="7"/>
  <c r="BL183" i="9"/>
  <c r="J138" i="9"/>
  <c r="I14" i="7"/>
  <c r="G42" i="62928"/>
  <c r="H42" i="62928" s="1"/>
  <c r="Z42" i="62928" s="1"/>
  <c r="BL137" i="9"/>
  <c r="AD17" i="62928"/>
  <c r="BK86" i="9"/>
  <c r="AD86" i="9" s="1"/>
  <c r="Y86" i="9" s="1"/>
  <c r="BK182" i="9"/>
  <c r="J66" i="9"/>
  <c r="H157" i="9"/>
  <c r="AM15" i="11"/>
  <c r="AL16" i="11"/>
  <c r="AD43" i="62928"/>
  <c r="O43" i="62928" s="1"/>
  <c r="BL66" i="9"/>
  <c r="I182" i="9"/>
  <c r="H158" i="9"/>
  <c r="I16" i="7"/>
  <c r="I135" i="9"/>
  <c r="O73" i="3"/>
  <c r="L73" i="3" s="1"/>
  <c r="O71" i="3"/>
  <c r="L71" i="3" s="1"/>
  <c r="O81" i="62927"/>
  <c r="BC28" i="9"/>
  <c r="BC37" i="9" s="1"/>
  <c r="L388" i="62898"/>
  <c r="M202" i="62898"/>
  <c r="P202" i="62898" s="1"/>
  <c r="M388" i="62898"/>
  <c r="N202" i="62898"/>
  <c r="Q202" i="62898" s="1"/>
  <c r="N388" i="62898"/>
  <c r="Q388" i="62898" s="1"/>
  <c r="L201" i="62898"/>
  <c r="L387" i="62898"/>
  <c r="L202" i="62898"/>
  <c r="AA368" i="62898"/>
  <c r="AB342" i="62898"/>
  <c r="D1396" i="62919"/>
  <c r="E1397" i="62919"/>
  <c r="I180" i="9"/>
  <c r="D1556" i="62919"/>
  <c r="E1557" i="62919"/>
  <c r="AD14" i="62928"/>
  <c r="E1275" i="62919"/>
  <c r="E1276" i="62919" s="1"/>
  <c r="E1740" i="62919"/>
  <c r="E1741" i="62919" s="1"/>
  <c r="E1702" i="62919"/>
  <c r="E1703" i="62919" s="1"/>
  <c r="D1739" i="62919"/>
  <c r="D1701" i="62919"/>
  <c r="BK135" i="9"/>
  <c r="AD14" i="7"/>
  <c r="BK63" i="9"/>
  <c r="H14" i="62928"/>
  <c r="BK180" i="9"/>
  <c r="M273" i="7"/>
  <c r="M270" i="7"/>
  <c r="M271" i="7"/>
  <c r="M273" i="62928"/>
  <c r="X273" i="62928"/>
  <c r="I273" i="62928"/>
  <c r="AD273" i="62928"/>
  <c r="V273" i="62928"/>
  <c r="L273" i="62928"/>
  <c r="J273" i="62928"/>
  <c r="Y273" i="62928"/>
  <c r="K273" i="62928"/>
  <c r="AA273" i="62928"/>
  <c r="K272" i="62928"/>
  <c r="M272" i="62928"/>
  <c r="AA272" i="62928"/>
  <c r="I272" i="62928"/>
  <c r="AD272" i="62928"/>
  <c r="J272" i="62928"/>
  <c r="Y272" i="62928"/>
  <c r="V272" i="62928"/>
  <c r="L272" i="62928"/>
  <c r="X272" i="62928"/>
  <c r="L270" i="62928"/>
  <c r="V270" i="62928"/>
  <c r="AD270" i="62928"/>
  <c r="K270" i="62928"/>
  <c r="M270" i="62928"/>
  <c r="J270" i="62928"/>
  <c r="I270" i="62928"/>
  <c r="X270" i="62928"/>
  <c r="Y270" i="62928"/>
  <c r="AA270" i="62928"/>
  <c r="V271" i="62928"/>
  <c r="I271" i="62928"/>
  <c r="M271" i="62928"/>
  <c r="K271" i="62928"/>
  <c r="AD271" i="62928"/>
  <c r="Y271" i="62928"/>
  <c r="L271" i="62928"/>
  <c r="AA271" i="62928"/>
  <c r="J271" i="62928"/>
  <c r="X271" i="62928"/>
  <c r="M272" i="7"/>
  <c r="F26" i="62915"/>
  <c r="R26" i="62915" s="1"/>
  <c r="F26" i="62912"/>
  <c r="O26" i="62912" s="1"/>
  <c r="Y272" i="7"/>
  <c r="AA272" i="7"/>
  <c r="K272" i="7"/>
  <c r="I272" i="7"/>
  <c r="X272" i="7"/>
  <c r="V272" i="7"/>
  <c r="AD272" i="7"/>
  <c r="L272" i="7"/>
  <c r="J272" i="7"/>
  <c r="L273" i="7"/>
  <c r="J273" i="7"/>
  <c r="Y273" i="7"/>
  <c r="AA273" i="7"/>
  <c r="K273" i="7"/>
  <c r="I273" i="7"/>
  <c r="AD273" i="7"/>
  <c r="X273" i="7"/>
  <c r="V273" i="7"/>
  <c r="W272" i="7"/>
  <c r="W273" i="7"/>
  <c r="W270" i="7"/>
  <c r="W271" i="7"/>
  <c r="L270" i="7"/>
  <c r="J270" i="7"/>
  <c r="Y270" i="7"/>
  <c r="AA270" i="7"/>
  <c r="X270" i="7"/>
  <c r="V270" i="7"/>
  <c r="K270" i="7"/>
  <c r="I270" i="7"/>
  <c r="AD270" i="7"/>
  <c r="AA271" i="7"/>
  <c r="K271" i="7"/>
  <c r="I271" i="7"/>
  <c r="X271" i="7"/>
  <c r="V271" i="7"/>
  <c r="L271" i="7"/>
  <c r="J271" i="7"/>
  <c r="AD271" i="7"/>
  <c r="Y271" i="7"/>
  <c r="D346" i="62919"/>
  <c r="X199" i="7"/>
  <c r="V196" i="7"/>
  <c r="J199" i="62928"/>
  <c r="X197" i="7"/>
  <c r="I197" i="7"/>
  <c r="AD197" i="7"/>
  <c r="K198" i="7"/>
  <c r="I198" i="7"/>
  <c r="L198" i="7"/>
  <c r="AD198" i="7"/>
  <c r="M198" i="7"/>
  <c r="J195" i="7"/>
  <c r="M200" i="62928"/>
  <c r="L200" i="62928"/>
  <c r="I200" i="62928"/>
  <c r="AD200" i="62928"/>
  <c r="K200" i="62928"/>
  <c r="Y197" i="7"/>
  <c r="I199" i="7"/>
  <c r="AD199" i="7"/>
  <c r="M199" i="7"/>
  <c r="L199" i="7"/>
  <c r="K199" i="7"/>
  <c r="AD197" i="62928"/>
  <c r="I197" i="62928"/>
  <c r="AA197" i="7"/>
  <c r="I196" i="7"/>
  <c r="AD196" i="7"/>
  <c r="AA196" i="7"/>
  <c r="M198" i="62928"/>
  <c r="L198" i="62928"/>
  <c r="I198" i="62928"/>
  <c r="K198" i="62928"/>
  <c r="AD198" i="62928"/>
  <c r="I196" i="62928"/>
  <c r="AD196" i="62928"/>
  <c r="V197" i="7"/>
  <c r="I199" i="62928"/>
  <c r="M199" i="62928"/>
  <c r="L199" i="62928"/>
  <c r="AD199" i="62928"/>
  <c r="K199" i="62928"/>
  <c r="X197" i="62928"/>
  <c r="W198" i="62928"/>
  <c r="W199" i="7"/>
  <c r="Y198" i="7"/>
  <c r="W200" i="62928"/>
  <c r="AA199" i="7"/>
  <c r="J199" i="7"/>
  <c r="Y196" i="62928"/>
  <c r="V200" i="62928"/>
  <c r="AA197" i="62928"/>
  <c r="M197" i="62928"/>
  <c r="W198" i="7"/>
  <c r="J198" i="62928"/>
  <c r="Y197" i="62928"/>
  <c r="X198" i="62928"/>
  <c r="W199" i="62928"/>
  <c r="X200" i="62928"/>
  <c r="J197" i="62928"/>
  <c r="Y198" i="62928"/>
  <c r="X199" i="62928"/>
  <c r="M196" i="62928"/>
  <c r="X196" i="62928"/>
  <c r="AA198" i="62928"/>
  <c r="K196" i="62928"/>
  <c r="AA199" i="62928"/>
  <c r="Y200" i="62928"/>
  <c r="J201" i="62928"/>
  <c r="L196" i="62928"/>
  <c r="J200" i="62928"/>
  <c r="X198" i="7"/>
  <c r="AA200" i="62928"/>
  <c r="Y199" i="62928"/>
  <c r="L197" i="62928"/>
  <c r="W196" i="62928"/>
  <c r="J200" i="7"/>
  <c r="K197" i="62928"/>
  <c r="V199" i="62928"/>
  <c r="J197" i="7"/>
  <c r="V197" i="62928"/>
  <c r="V196" i="62928"/>
  <c r="W197" i="7"/>
  <c r="X196" i="7"/>
  <c r="Y196" i="7"/>
  <c r="Y199" i="7"/>
  <c r="W197" i="62928"/>
  <c r="J198" i="7"/>
  <c r="V198" i="7"/>
  <c r="W196" i="7"/>
  <c r="K196" i="7"/>
  <c r="L196" i="7"/>
  <c r="K197" i="7"/>
  <c r="M196" i="7"/>
  <c r="M197" i="7"/>
  <c r="V198" i="62928"/>
  <c r="AA196" i="62928"/>
  <c r="AA198" i="7"/>
  <c r="L197" i="7"/>
  <c r="V199" i="7"/>
  <c r="J195" i="62928"/>
  <c r="L195" i="7"/>
  <c r="J196" i="7"/>
  <c r="L195" i="62928"/>
  <c r="J196" i="62928"/>
  <c r="K195" i="62928"/>
  <c r="AD195" i="62928"/>
  <c r="I195" i="62928"/>
  <c r="V195" i="62928"/>
  <c r="M195" i="62928"/>
  <c r="W195" i="62928"/>
  <c r="X195" i="62928"/>
  <c r="Y195" i="62928"/>
  <c r="AA195" i="62928"/>
  <c r="I201" i="62928"/>
  <c r="AD201" i="62928"/>
  <c r="V201" i="62928"/>
  <c r="K201" i="62928"/>
  <c r="W201" i="62928"/>
  <c r="AA201" i="62928"/>
  <c r="L201" i="62928"/>
  <c r="X201" i="62928"/>
  <c r="M201" i="62928"/>
  <c r="Y201" i="62928"/>
  <c r="I136" i="62892"/>
  <c r="AD200" i="7"/>
  <c r="X200" i="7"/>
  <c r="AA200" i="7"/>
  <c r="W200" i="7"/>
  <c r="Y200" i="7"/>
  <c r="V200" i="7"/>
  <c r="V201" i="7"/>
  <c r="AD201" i="7"/>
  <c r="X201" i="7"/>
  <c r="AA201" i="7"/>
  <c r="W201" i="7"/>
  <c r="Y201" i="7"/>
  <c r="Y195" i="7"/>
  <c r="V195" i="7"/>
  <c r="AD195" i="7"/>
  <c r="X195" i="7"/>
  <c r="W195" i="7"/>
  <c r="AA195" i="7"/>
  <c r="I200" i="7"/>
  <c r="K200" i="7"/>
  <c r="M200" i="7"/>
  <c r="L200" i="7"/>
  <c r="I195" i="7"/>
  <c r="K195" i="7"/>
  <c r="M195" i="7"/>
  <c r="L201" i="7"/>
  <c r="I201" i="7"/>
  <c r="K201" i="7"/>
  <c r="M201" i="7"/>
  <c r="E347" i="62919"/>
  <c r="D862" i="62919"/>
  <c r="E413" i="62919"/>
  <c r="D412" i="62919"/>
  <c r="V215" i="7"/>
  <c r="E626" i="62919"/>
  <c r="AD91" i="7"/>
  <c r="V99" i="62928"/>
  <c r="X99" i="62928"/>
  <c r="W99" i="62928"/>
  <c r="I99" i="62928"/>
  <c r="Y99" i="62928"/>
  <c r="L99" i="62928"/>
  <c r="AD99" i="62928"/>
  <c r="J99" i="62928"/>
  <c r="AA99" i="62928"/>
  <c r="X100" i="62928"/>
  <c r="AA100" i="62928"/>
  <c r="I100" i="62928"/>
  <c r="L100" i="62928"/>
  <c r="AD100" i="62928"/>
  <c r="V100" i="62928"/>
  <c r="J100" i="62928"/>
  <c r="Y100" i="62928"/>
  <c r="W100" i="62928"/>
  <c r="AD95" i="62928"/>
  <c r="AA95" i="62928"/>
  <c r="Y95" i="62928"/>
  <c r="W95" i="62928"/>
  <c r="X95" i="62928"/>
  <c r="G95" i="62928"/>
  <c r="AD91" i="62928"/>
  <c r="AA91" i="62928"/>
  <c r="X91" i="62928"/>
  <c r="G91" i="62928"/>
  <c r="W91" i="62928"/>
  <c r="Y91" i="62928"/>
  <c r="G94" i="62928"/>
  <c r="AD94" i="62928"/>
  <c r="X94" i="62928"/>
  <c r="AA94" i="62928"/>
  <c r="W94" i="62928"/>
  <c r="Y94" i="62928"/>
  <c r="Y98" i="62928"/>
  <c r="V98" i="62928"/>
  <c r="AD98" i="62928"/>
  <c r="AA98" i="62928"/>
  <c r="I98" i="62928"/>
  <c r="J98" i="62928"/>
  <c r="X98" i="62928"/>
  <c r="L98" i="62928"/>
  <c r="W98" i="62928"/>
  <c r="Y101" i="62928"/>
  <c r="AA101" i="62928"/>
  <c r="AD101" i="62928"/>
  <c r="W101" i="62928"/>
  <c r="L101" i="62928"/>
  <c r="J101" i="62928"/>
  <c r="X101" i="62928"/>
  <c r="I101" i="62928"/>
  <c r="V101" i="62928"/>
  <c r="AD93" i="62928"/>
  <c r="AA93" i="62928"/>
  <c r="G93" i="62928"/>
  <c r="W93" i="62928"/>
  <c r="Y93" i="62928"/>
  <c r="X93" i="62928"/>
  <c r="AA102" i="62928"/>
  <c r="Y102" i="62928"/>
  <c r="X102" i="62928"/>
  <c r="V102" i="62928"/>
  <c r="L102" i="62928"/>
  <c r="J102" i="62928"/>
  <c r="W102" i="62928"/>
  <c r="I102" i="62928"/>
  <c r="AD102" i="62928"/>
  <c r="AD92" i="62928"/>
  <c r="X92" i="62928"/>
  <c r="AA92" i="62928"/>
  <c r="G92" i="62928"/>
  <c r="W92" i="62928"/>
  <c r="Y92" i="62928"/>
  <c r="E2183" i="62917"/>
  <c r="D2183" i="62917" s="1"/>
  <c r="AE142" i="62925"/>
  <c r="AC142" i="62925"/>
  <c r="W142" i="62925" s="1"/>
  <c r="J17" i="62915"/>
  <c r="V17" i="62915" s="1"/>
  <c r="D152" i="62898"/>
  <c r="D14" i="62921"/>
  <c r="F15" i="62914"/>
  <c r="F17" i="62914" s="1"/>
  <c r="F22" i="62929" s="1"/>
  <c r="Y100" i="7"/>
  <c r="W100" i="7"/>
  <c r="AA100" i="7"/>
  <c r="V100" i="7"/>
  <c r="X100" i="7"/>
  <c r="Y101" i="7"/>
  <c r="V101" i="7"/>
  <c r="W101" i="7"/>
  <c r="AA101" i="7"/>
  <c r="X101" i="7"/>
  <c r="X102" i="7"/>
  <c r="Y102" i="7"/>
  <c r="V102" i="7"/>
  <c r="W102" i="7"/>
  <c r="AA102" i="7"/>
  <c r="Y98" i="7"/>
  <c r="V98" i="7"/>
  <c r="W98" i="7"/>
  <c r="AA98" i="7"/>
  <c r="X98" i="7"/>
  <c r="W99" i="7"/>
  <c r="AA99" i="7"/>
  <c r="V99" i="7"/>
  <c r="Y99" i="7"/>
  <c r="X99" i="7"/>
  <c r="H26" i="62912"/>
  <c r="Q26" i="62912" s="1"/>
  <c r="K26" i="62915"/>
  <c r="W26" i="62915" s="1"/>
  <c r="I98" i="7"/>
  <c r="AD100" i="7"/>
  <c r="J100" i="7"/>
  <c r="L100" i="7"/>
  <c r="AD101" i="7"/>
  <c r="J101" i="7"/>
  <c r="L101" i="7"/>
  <c r="L102" i="7"/>
  <c r="AD102" i="7"/>
  <c r="J102" i="7"/>
  <c r="L98" i="7"/>
  <c r="AD98" i="7"/>
  <c r="J98" i="7"/>
  <c r="AD99" i="7"/>
  <c r="J99" i="7"/>
  <c r="L99" i="7"/>
  <c r="G92" i="7"/>
  <c r="W92" i="7"/>
  <c r="X92" i="7"/>
  <c r="Y92" i="7"/>
  <c r="AA92" i="7"/>
  <c r="AD92" i="7"/>
  <c r="G95" i="7"/>
  <c r="W95" i="7"/>
  <c r="AD95" i="7"/>
  <c r="X95" i="7"/>
  <c r="Y95" i="7"/>
  <c r="AA95" i="7"/>
  <c r="G91" i="7"/>
  <c r="X91" i="7"/>
  <c r="W91" i="7"/>
  <c r="AA91" i="7"/>
  <c r="Y91" i="7"/>
  <c r="G93" i="7"/>
  <c r="Y93" i="7"/>
  <c r="AD93" i="7"/>
  <c r="AA93" i="7"/>
  <c r="W93" i="7"/>
  <c r="X93" i="7"/>
  <c r="G94" i="7"/>
  <c r="Y94" i="7"/>
  <c r="W94" i="7"/>
  <c r="X94" i="7"/>
  <c r="AA94" i="7"/>
  <c r="AD94" i="7"/>
  <c r="I99" i="7"/>
  <c r="I102" i="7"/>
  <c r="I100" i="7"/>
  <c r="I101" i="7"/>
  <c r="AE140" i="62926"/>
  <c r="D893" i="62919"/>
  <c r="C893" i="62919" s="1"/>
  <c r="E103" i="62919"/>
  <c r="E104" i="62919" s="1"/>
  <c r="E56" i="62919"/>
  <c r="D56" i="62919" s="1"/>
  <c r="D13" i="62919"/>
  <c r="C13" i="62919" s="1"/>
  <c r="C345" i="62919"/>
  <c r="D1762" i="62919"/>
  <c r="D625" i="62919"/>
  <c r="D1274" i="62919"/>
  <c r="E1230" i="62919"/>
  <c r="E1231" i="62919" s="1"/>
  <c r="AD44" i="7"/>
  <c r="AD31" i="7"/>
  <c r="AL27" i="11"/>
  <c r="BK192" i="9"/>
  <c r="B10" i="62907"/>
  <c r="D147" i="62925"/>
  <c r="AW298" i="62898"/>
  <c r="E339" i="62925"/>
  <c r="AM38" i="62925"/>
  <c r="D922" i="62917"/>
  <c r="D923" i="62917" s="1"/>
  <c r="D924" i="62917" s="1"/>
  <c r="D925" i="62917" s="1"/>
  <c r="D926" i="62917" s="1"/>
  <c r="L264" i="62925"/>
  <c r="G339" i="62925"/>
  <c r="AE169" i="62925"/>
  <c r="D169" i="62926"/>
  <c r="P158" i="62909"/>
  <c r="P157" i="62909" s="1"/>
  <c r="P223" i="62909" s="1"/>
  <c r="O157" i="62909"/>
  <c r="O223" i="62909" s="1"/>
  <c r="AC368" i="62898"/>
  <c r="AV419" i="62898"/>
  <c r="AK420" i="62898"/>
  <c r="AV418" i="62898"/>
  <c r="BL387" i="62898"/>
  <c r="AI354" i="62898"/>
  <c r="AI358" i="62898"/>
  <c r="BM387" i="62898"/>
  <c r="AH281" i="62898"/>
  <c r="E564" i="62898" s="1"/>
  <c r="E605" i="62898" s="1"/>
  <c r="AK387" i="62898"/>
  <c r="AJ420" i="62898"/>
  <c r="AJ419" i="62898"/>
  <c r="AM388" i="62898"/>
  <c r="I377" i="62898"/>
  <c r="L377" i="62898" s="1"/>
  <c r="AN388" i="62898"/>
  <c r="AH379" i="62898"/>
  <c r="I359" i="62898"/>
  <c r="L359" i="62898" s="1"/>
  <c r="AJ377" i="62898"/>
  <c r="AM420" i="62898"/>
  <c r="AG359" i="62898"/>
  <c r="AN377" i="62898"/>
  <c r="BL388" i="62898"/>
  <c r="H342" i="62898"/>
  <c r="K342" i="62898" s="1"/>
  <c r="D342" i="62898" s="1"/>
  <c r="AO355" i="62898"/>
  <c r="AO359" i="62898"/>
  <c r="I378" i="62898"/>
  <c r="L378" i="62898" s="1"/>
  <c r="AH418" i="62898"/>
  <c r="AN418" i="62898"/>
  <c r="BI355" i="62898"/>
  <c r="BI359" i="62898"/>
  <c r="AJ378" i="62898"/>
  <c r="AL356" i="62898"/>
  <c r="AI367" i="62898"/>
  <c r="AN378" i="62898"/>
  <c r="AW418" i="62898"/>
  <c r="BJ378" i="62898"/>
  <c r="I418" i="62898"/>
  <c r="K418" i="62898" s="1"/>
  <c r="AQ418" i="62898"/>
  <c r="AI343" i="62898"/>
  <c r="I379" i="62898"/>
  <c r="L379" i="62898" s="1"/>
  <c r="AK419" i="62898"/>
  <c r="AP418" i="62898"/>
  <c r="AH419" i="62898"/>
  <c r="AL369" i="62898"/>
  <c r="H357" i="62898"/>
  <c r="K357" i="62898" s="1"/>
  <c r="AN379" i="62898"/>
  <c r="AN420" i="62898"/>
  <c r="AT355" i="62898"/>
  <c r="AB348" i="62898"/>
  <c r="D348" i="62898"/>
  <c r="AT349" i="62898"/>
  <c r="AS54" i="62898"/>
  <c r="BI454" i="5"/>
  <c r="BJ87" i="5"/>
  <c r="BI271" i="5"/>
  <c r="BJ279" i="5"/>
  <c r="BJ454" i="5"/>
  <c r="BI95" i="5"/>
  <c r="H87" i="5"/>
  <c r="I87" i="5" s="1"/>
  <c r="D87" i="5" s="1"/>
  <c r="D89" i="5" s="1"/>
  <c r="E866" i="62921"/>
  <c r="E867" i="62921" s="1"/>
  <c r="E868" i="62921" s="1"/>
  <c r="D863" i="62921"/>
  <c r="BJ95" i="5"/>
  <c r="BJ271" i="5"/>
  <c r="BI87" i="5"/>
  <c r="BI462" i="5"/>
  <c r="H454" i="5"/>
  <c r="I454" i="5" s="1"/>
  <c r="BI279" i="5"/>
  <c r="H271" i="5"/>
  <c r="I271" i="5" s="1"/>
  <c r="BJ462" i="5"/>
  <c r="D133" i="62922"/>
  <c r="C133" i="62922" s="1"/>
  <c r="E1857" i="62919"/>
  <c r="D1857" i="62919" s="1"/>
  <c r="C1857" i="62919" s="1"/>
  <c r="D1364" i="62919"/>
  <c r="E1366" i="62919"/>
  <c r="E1367" i="62919" s="1"/>
  <c r="E1368" i="62919" s="1"/>
  <c r="E998" i="62919"/>
  <c r="E999" i="62919" s="1"/>
  <c r="D46" i="62927"/>
  <c r="O68" i="62927"/>
  <c r="O24" i="62927"/>
  <c r="L24" i="62927" s="1"/>
  <c r="V68" i="62927"/>
  <c r="V24" i="62927"/>
  <c r="V26" i="62927" s="1"/>
  <c r="S13" i="62914"/>
  <c r="K18" i="62929"/>
  <c r="W18" i="62929" s="1"/>
  <c r="D144" i="62926"/>
  <c r="I233" i="62925"/>
  <c r="AP54" i="62926"/>
  <c r="D161" i="62925"/>
  <c r="AC115" i="62926"/>
  <c r="W115" i="62926" s="1"/>
  <c r="AI54" i="62926"/>
  <c r="AC141" i="62925"/>
  <c r="W141" i="62925" s="1"/>
  <c r="AE118" i="62925"/>
  <c r="AE161" i="62926"/>
  <c r="D158" i="62926"/>
  <c r="AM93" i="62925"/>
  <c r="AG54" i="62926"/>
  <c r="AC149" i="62926"/>
  <c r="W149" i="62926" s="1"/>
  <c r="AE172" i="62926"/>
  <c r="E927" i="62917"/>
  <c r="E928" i="62917" s="1"/>
  <c r="AE128" i="62926"/>
  <c r="AE143" i="62926"/>
  <c r="AX106" i="5"/>
  <c r="G25" i="62912"/>
  <c r="P25" i="62912" s="1"/>
  <c r="AE141" i="62925"/>
  <c r="AM102" i="62926"/>
  <c r="AC126" i="62925"/>
  <c r="W126" i="62925" s="1"/>
  <c r="AE145" i="62926"/>
  <c r="J334" i="62925"/>
  <c r="D172" i="62925"/>
  <c r="AE75" i="62904"/>
  <c r="D91" i="62926"/>
  <c r="AN38" i="62925"/>
  <c r="Z102" i="62926"/>
  <c r="E1584" i="62917"/>
  <c r="E1585" i="62917" s="1"/>
  <c r="AC159" i="62925"/>
  <c r="W159" i="62925" s="1"/>
  <c r="E2423" i="62917"/>
  <c r="AM298" i="62898"/>
  <c r="AC116" i="62926"/>
  <c r="W116" i="62926" s="1"/>
  <c r="AG109" i="62926"/>
  <c r="D127" i="62926"/>
  <c r="AN20" i="62925"/>
  <c r="T23" i="62904"/>
  <c r="AK54" i="62926"/>
  <c r="K339" i="62925"/>
  <c r="AC72" i="62904"/>
  <c r="V72" i="62904" s="1"/>
  <c r="AL54" i="62926"/>
  <c r="Z93" i="62925"/>
  <c r="AI40" i="62925"/>
  <c r="AH109" i="62925"/>
  <c r="AP298" i="62898"/>
  <c r="AC128" i="62926"/>
  <c r="W128" i="62926" s="1"/>
  <c r="AM23" i="62904"/>
  <c r="D160" i="62925"/>
  <c r="Z50" i="62925"/>
  <c r="R14" i="62926"/>
  <c r="AC126" i="62926"/>
  <c r="W126" i="62926" s="1"/>
  <c r="F25" i="62912"/>
  <c r="O25" i="62912" s="1"/>
  <c r="AE139" i="62926"/>
  <c r="D126" i="62925"/>
  <c r="D75" i="62926"/>
  <c r="AE54" i="62925"/>
  <c r="AE158" i="62925"/>
  <c r="D146" i="62925"/>
  <c r="AP54" i="62925"/>
  <c r="AC75" i="62925"/>
  <c r="W75" i="62925" s="1"/>
  <c r="T23" i="62905"/>
  <c r="R35" i="62925"/>
  <c r="AC146" i="62925"/>
  <c r="W146" i="62925" s="1"/>
  <c r="AC140" i="62926"/>
  <c r="W140" i="62926" s="1"/>
  <c r="AC158" i="62925"/>
  <c r="W158" i="62925" s="1"/>
  <c r="AG109" i="62925"/>
  <c r="T25" i="62905"/>
  <c r="AN107" i="62925"/>
  <c r="AE103" i="62925"/>
  <c r="AL109" i="62925"/>
  <c r="D75" i="3"/>
  <c r="O68" i="3"/>
  <c r="AO40" i="62904"/>
  <c r="AF93" i="62925"/>
  <c r="AM35" i="62904"/>
  <c r="T25" i="62904"/>
  <c r="AC140" i="62925"/>
  <c r="W140" i="62925" s="1"/>
  <c r="AI109" i="62926"/>
  <c r="AC170" i="62925"/>
  <c r="W170" i="62925" s="1"/>
  <c r="Z92" i="62925"/>
  <c r="T22" i="62905"/>
  <c r="AE92" i="62925"/>
  <c r="AC118" i="62925"/>
  <c r="W118" i="62925" s="1"/>
  <c r="AO290" i="5"/>
  <c r="AC169" i="62926"/>
  <c r="W169" i="62926" s="1"/>
  <c r="AK109" i="62925"/>
  <c r="AN22" i="62926"/>
  <c r="AG40" i="62925"/>
  <c r="AA93" i="62925"/>
  <c r="AN23" i="62904"/>
  <c r="AM13" i="62904"/>
  <c r="AM105" i="62925"/>
  <c r="D93" i="62925"/>
  <c r="AH40" i="62925"/>
  <c r="AC172" i="62926"/>
  <c r="W172" i="62926" s="1"/>
  <c r="D148" i="62924"/>
  <c r="E40" i="62924"/>
  <c r="E41" i="62924" s="1"/>
  <c r="E16" i="62924"/>
  <c r="E17" i="62924" s="1"/>
  <c r="S12" i="62914"/>
  <c r="Q13" i="62914"/>
  <c r="E292" i="9"/>
  <c r="E354" i="9"/>
  <c r="E358" i="9" s="1"/>
  <c r="R13" i="62914"/>
  <c r="BD28" i="9"/>
  <c r="BD37" i="9" s="1"/>
  <c r="BB37" i="9"/>
  <c r="BE28" i="9"/>
  <c r="BE37" i="9" s="1"/>
  <c r="J296" i="9"/>
  <c r="BF28" i="9"/>
  <c r="BF37" i="9" s="1"/>
  <c r="J288" i="9"/>
  <c r="AB346" i="62898"/>
  <c r="AS347" i="62898"/>
  <c r="AS348" i="62898"/>
  <c r="AA354" i="62898"/>
  <c r="AA369" i="62898"/>
  <c r="AA357" i="62898"/>
  <c r="AC346" i="62898"/>
  <c r="AU350" i="62898"/>
  <c r="AB46" i="62898"/>
  <c r="AA356" i="62898"/>
  <c r="AB347" i="62898"/>
  <c r="AS342" i="62898"/>
  <c r="AA358" i="62898"/>
  <c r="AU349" i="62898"/>
  <c r="AK371" i="62898"/>
  <c r="AT348" i="62898"/>
  <c r="AM92" i="62926"/>
  <c r="AC138" i="62926"/>
  <c r="W138" i="62926" s="1"/>
  <c r="AC171" i="62926"/>
  <c r="W171" i="62926" s="1"/>
  <c r="AA180" i="62926"/>
  <c r="AN91" i="62926"/>
  <c r="Z103" i="62926"/>
  <c r="AA91" i="62926"/>
  <c r="F34" i="62912"/>
  <c r="O34" i="62912" s="1"/>
  <c r="F17" i="62929"/>
  <c r="R17" i="62929" s="1"/>
  <c r="G15" i="62914"/>
  <c r="S15" i="62914" s="1"/>
  <c r="S17" i="62914" s="1"/>
  <c r="AT422" i="5"/>
  <c r="AT104" i="5"/>
  <c r="AT106" i="5" s="1"/>
  <c r="AT239" i="5"/>
  <c r="AT56" i="5"/>
  <c r="AT471" i="5"/>
  <c r="AT473" i="5" s="1"/>
  <c r="AT240" i="5"/>
  <c r="AT103" i="5"/>
  <c r="AH106" i="5"/>
  <c r="AT55" i="5"/>
  <c r="AH525" i="5"/>
  <c r="AT521" i="5"/>
  <c r="AH545" i="5"/>
  <c r="AH473" i="5"/>
  <c r="AT470" i="5"/>
  <c r="AT288" i="5"/>
  <c r="AT290" i="5" s="1"/>
  <c r="AH68" i="5"/>
  <c r="AT64" i="5"/>
  <c r="AH290" i="5"/>
  <c r="AT287" i="5"/>
  <c r="AT423" i="5"/>
  <c r="AL109" i="62926"/>
  <c r="F250" i="62925"/>
  <c r="AC138" i="62925"/>
  <c r="W138" i="62925" s="1"/>
  <c r="O34" i="3"/>
  <c r="L34" i="3" s="1"/>
  <c r="O46" i="3"/>
  <c r="AB368" i="62898"/>
  <c r="AA348" i="62898"/>
  <c r="Y22" i="62904"/>
  <c r="AB358" i="62898"/>
  <c r="AB349" i="62898"/>
  <c r="O46" i="62927"/>
  <c r="AA347" i="62898"/>
  <c r="AA342" i="62898"/>
  <c r="Z25" i="62905"/>
  <c r="Y23" i="62905"/>
  <c r="AA47" i="62898"/>
  <c r="AK473" i="5"/>
  <c r="G16" i="62912"/>
  <c r="P16" i="62912" s="1"/>
  <c r="P18" i="62912" s="1"/>
  <c r="AK106" i="5"/>
  <c r="J16" i="62912"/>
  <c r="J18" i="62912" s="1"/>
  <c r="F16" i="62912"/>
  <c r="F18" i="62912" s="1"/>
  <c r="AW106" i="5"/>
  <c r="AO473" i="5"/>
  <c r="AN349" i="5"/>
  <c r="AO370" i="5"/>
  <c r="AL385" i="5"/>
  <c r="AH386" i="5"/>
  <c r="AN226" i="5"/>
  <c r="AX142" i="5"/>
  <c r="AH409" i="5"/>
  <c r="AN552" i="5"/>
  <c r="AL510" i="5"/>
  <c r="AL325" i="5"/>
  <c r="AH370" i="5"/>
  <c r="AX384" i="5"/>
  <c r="AN201" i="5"/>
  <c r="AX227" i="5"/>
  <c r="AH184" i="5"/>
  <c r="AI226" i="5"/>
  <c r="AK387" i="5"/>
  <c r="AN25" i="62904"/>
  <c r="Y20" i="62904"/>
  <c r="AC145" i="62926"/>
  <c r="W145" i="62926" s="1"/>
  <c r="AM107" i="62925"/>
  <c r="K159" i="62925"/>
  <c r="D159" i="62925" s="1"/>
  <c r="H138" i="62925"/>
  <c r="AM35" i="62925"/>
  <c r="AH552" i="5"/>
  <c r="AM14" i="62904"/>
  <c r="Z91" i="62926"/>
  <c r="AN107" i="62926"/>
  <c r="T16" i="62904"/>
  <c r="AM91" i="62926"/>
  <c r="AE91" i="62926"/>
  <c r="AJ109" i="62925"/>
  <c r="AN106" i="62925"/>
  <c r="D2235" i="62917"/>
  <c r="AM226" i="5"/>
  <c r="D148" i="62925"/>
  <c r="AE73" i="62925"/>
  <c r="AM106" i="62925"/>
  <c r="AC148" i="62926"/>
  <c r="W148" i="62926" s="1"/>
  <c r="AC117" i="62926"/>
  <c r="W117" i="62926" s="1"/>
  <c r="H117" i="62926"/>
  <c r="AE117" i="62926" s="1"/>
  <c r="AH141" i="5"/>
  <c r="K159" i="62926"/>
  <c r="K163" i="62926" s="1"/>
  <c r="AC159" i="62926"/>
  <c r="W159" i="62926" s="1"/>
  <c r="M26" i="62914"/>
  <c r="M31" i="62929" s="1"/>
  <c r="Y31" i="62929" s="1"/>
  <c r="Z16" i="62904"/>
  <c r="S38" i="62904"/>
  <c r="AC117" i="62925"/>
  <c r="W117" i="62925" s="1"/>
  <c r="AI109" i="62925"/>
  <c r="AL43" i="5"/>
  <c r="D148" i="62926"/>
  <c r="AE148" i="62926"/>
  <c r="AM26" i="62904"/>
  <c r="Y14" i="62904"/>
  <c r="AC160" i="62925"/>
  <c r="W160" i="62925" s="1"/>
  <c r="AV50" i="62904"/>
  <c r="AX50" i="62904"/>
  <c r="AC129" i="62925"/>
  <c r="W129" i="62925" s="1"/>
  <c r="H149" i="62925"/>
  <c r="AC149" i="62925"/>
  <c r="W149" i="62925" s="1"/>
  <c r="J250" i="62925"/>
  <c r="M230" i="9"/>
  <c r="L230" i="9"/>
  <c r="AU87" i="62898"/>
  <c r="AC348" i="62898"/>
  <c r="AB355" i="62898"/>
  <c r="AT343" i="62898"/>
  <c r="AT354" i="62898"/>
  <c r="AA349" i="62898"/>
  <c r="AS369" i="62898"/>
  <c r="AT369" i="62898"/>
  <c r="AS357" i="62898"/>
  <c r="M361" i="62898"/>
  <c r="AC347" i="62898"/>
  <c r="D347" i="62898"/>
  <c r="AS355" i="62898"/>
  <c r="G25" i="62911"/>
  <c r="R23" i="62911"/>
  <c r="I23" i="62911" s="1"/>
  <c r="AA341" i="62898"/>
  <c r="AH371" i="62898"/>
  <c r="AT367" i="62898"/>
  <c r="AS346" i="62898"/>
  <c r="AB354" i="62898"/>
  <c r="AU348" i="62898"/>
  <c r="M109" i="62927"/>
  <c r="L109" i="62927"/>
  <c r="J333" i="62925"/>
  <c r="AM22" i="62904"/>
  <c r="Y38" i="62904"/>
  <c r="Z35" i="62904"/>
  <c r="AM20" i="62904"/>
  <c r="AH54" i="62926"/>
  <c r="AE54" i="62926"/>
  <c r="AL54" i="62925"/>
  <c r="F26" i="62914"/>
  <c r="R26" i="62914" s="1"/>
  <c r="AJ54" i="62925"/>
  <c r="AC145" i="62925"/>
  <c r="W145" i="62925" s="1"/>
  <c r="AN17" i="62926"/>
  <c r="AC128" i="62925"/>
  <c r="W128" i="62925" s="1"/>
  <c r="AN298" i="62898"/>
  <c r="L16" i="62914"/>
  <c r="X16" i="62914" s="1"/>
  <c r="AI32" i="11"/>
  <c r="M156" i="11" s="1"/>
  <c r="M161" i="11" s="1"/>
  <c r="K230" i="9"/>
  <c r="AN232" i="9"/>
  <c r="H298" i="9" s="1"/>
  <c r="K20" i="62914" s="1"/>
  <c r="W20" i="62914" s="1"/>
  <c r="E1215" i="62919"/>
  <c r="G210" i="7"/>
  <c r="N210" i="7" s="1"/>
  <c r="D210" i="7" s="1"/>
  <c r="AA193" i="62898"/>
  <c r="AT350" i="62898"/>
  <c r="AB359" i="62898"/>
  <c r="AA346" i="62898"/>
  <c r="D350" i="62898"/>
  <c r="AT359" i="62898"/>
  <c r="AS341" i="62898"/>
  <c r="AT356" i="62898"/>
  <c r="AW361" i="62898"/>
  <c r="AU347" i="62898"/>
  <c r="AT342" i="62898"/>
  <c r="D349" i="62898"/>
  <c r="AC349" i="62898"/>
  <c r="AB356" i="62898"/>
  <c r="Q23" i="62911"/>
  <c r="G24" i="62911"/>
  <c r="B222" i="62909"/>
  <c r="G212" i="7"/>
  <c r="N212" i="7" s="1"/>
  <c r="D212" i="7" s="1"/>
  <c r="AA355" i="62898"/>
  <c r="AN371" i="62898"/>
  <c r="AW371" i="62898"/>
  <c r="Z25" i="62904"/>
  <c r="AJ54" i="62926"/>
  <c r="AH109" i="62926"/>
  <c r="N230" i="9"/>
  <c r="O230" i="9" s="1"/>
  <c r="AL232" i="9"/>
  <c r="G298" i="9" s="1"/>
  <c r="G364" i="9" s="1"/>
  <c r="G398" i="9" s="1"/>
  <c r="G209" i="7"/>
  <c r="N209" i="7" s="1"/>
  <c r="D209" i="7" s="1"/>
  <c r="D368" i="62898"/>
  <c r="R24" i="62911"/>
  <c r="I24" i="62911" s="1"/>
  <c r="H25" i="62911"/>
  <c r="AM17" i="62904"/>
  <c r="T37" i="62905"/>
  <c r="AF40" i="62904"/>
  <c r="AE130" i="62926"/>
  <c r="D149" i="62926"/>
  <c r="AE74" i="62904"/>
  <c r="AC130" i="62926"/>
  <c r="W130" i="62926" s="1"/>
  <c r="T20" i="62904"/>
  <c r="AF54" i="62926"/>
  <c r="S13" i="62904"/>
  <c r="S103" i="5"/>
  <c r="AA92" i="62925"/>
  <c r="Y19" i="62904"/>
  <c r="AC73" i="62926"/>
  <c r="W73" i="62926" s="1"/>
  <c r="AC143" i="62926"/>
  <c r="W143" i="62926" s="1"/>
  <c r="AK54" i="62925"/>
  <c r="AH54" i="62925"/>
  <c r="AC169" i="62925"/>
  <c r="W169" i="62925" s="1"/>
  <c r="AM22" i="62925"/>
  <c r="AF40" i="62925"/>
  <c r="Z50" i="62926"/>
  <c r="F316" i="62925"/>
  <c r="AD28" i="7"/>
  <c r="AM30" i="11"/>
  <c r="G56" i="7"/>
  <c r="I56" i="7" s="1"/>
  <c r="D56" i="7" s="1"/>
  <c r="V56" i="7" s="1"/>
  <c r="Z56" i="7" s="1"/>
  <c r="AD57" i="7"/>
  <c r="AG28" i="11"/>
  <c r="L32" i="62927"/>
  <c r="G208" i="7"/>
  <c r="N208" i="7" s="1"/>
  <c r="D208" i="7" s="1"/>
  <c r="P129" i="62909"/>
  <c r="P128" i="62909" s="1"/>
  <c r="P222" i="62909" s="1"/>
  <c r="AC46" i="62898"/>
  <c r="AB341" i="62898"/>
  <c r="AS354" i="62898"/>
  <c r="AN361" i="62898"/>
  <c r="AB357" i="62898"/>
  <c r="AT368" i="62898"/>
  <c r="AT358" i="62898"/>
  <c r="AU368" i="62898"/>
  <c r="AB343" i="62898"/>
  <c r="AB367" i="62898"/>
  <c r="M371" i="62898"/>
  <c r="D346" i="62898"/>
  <c r="AS350" i="62898"/>
  <c r="AT357" i="62898"/>
  <c r="AB369" i="62898"/>
  <c r="H420" i="62898"/>
  <c r="J420" i="62898" s="1"/>
  <c r="E26" i="62911"/>
  <c r="S21" i="62911"/>
  <c r="J21" i="62911" s="1"/>
  <c r="AG30" i="11"/>
  <c r="K42" i="62909"/>
  <c r="K218" i="62909" s="1"/>
  <c r="G211" i="7"/>
  <c r="N211" i="7" s="1"/>
  <c r="D211" i="7" s="1"/>
  <c r="AS151" i="62898"/>
  <c r="AS358" i="62898"/>
  <c r="AS368" i="62898"/>
  <c r="AT341" i="62898"/>
  <c r="AH361" i="62898"/>
  <c r="AT347" i="62898"/>
  <c r="AS349" i="62898"/>
  <c r="L54" i="62911"/>
  <c r="E138" i="62924"/>
  <c r="E139" i="62924" s="1"/>
  <c r="AE545" i="5"/>
  <c r="X545" i="5" s="1"/>
  <c r="AE342" i="5"/>
  <c r="X342" i="5" s="1"/>
  <c r="AE178" i="5"/>
  <c r="X178" i="5" s="1"/>
  <c r="N569" i="62898"/>
  <c r="AJ281" i="62898"/>
  <c r="F540" i="62898" s="1"/>
  <c r="AM281" i="62898"/>
  <c r="G540" i="62898" s="1"/>
  <c r="BD401" i="62898"/>
  <c r="L158" i="62909"/>
  <c r="L157" i="62909" s="1"/>
  <c r="L223" i="62909" s="1"/>
  <c r="K157" i="62909"/>
  <c r="K223" i="62909" s="1"/>
  <c r="K66" i="62909"/>
  <c r="K220" i="62909" s="1"/>
  <c r="L67" i="62909"/>
  <c r="L66" i="62909" s="1"/>
  <c r="L220" i="62909" s="1"/>
  <c r="P67" i="62909"/>
  <c r="P66" i="62909" s="1"/>
  <c r="P220" i="62909" s="1"/>
  <c r="O66" i="62909"/>
  <c r="O220" i="62909" s="1"/>
  <c r="O189" i="62909"/>
  <c r="O225" i="62909" s="1"/>
  <c r="P190" i="62909"/>
  <c r="P189" i="62909" s="1"/>
  <c r="P225" i="62909" s="1"/>
  <c r="L190" i="62909"/>
  <c r="L189" i="62909" s="1"/>
  <c r="L225" i="62909" s="1"/>
  <c r="K189" i="62909"/>
  <c r="K225" i="62909" s="1"/>
  <c r="AK40" i="62925"/>
  <c r="AN23" i="62925"/>
  <c r="AU401" i="62898"/>
  <c r="BB401" i="62898"/>
  <c r="AP401" i="62898"/>
  <c r="AT401" i="62898"/>
  <c r="BC401" i="62898"/>
  <c r="AP28" i="62904"/>
  <c r="Z37" i="62925"/>
  <c r="T26" i="62904"/>
  <c r="AR401" i="62898"/>
  <c r="AQ401" i="62898"/>
  <c r="AV401" i="62898"/>
  <c r="AK298" i="62898"/>
  <c r="BC281" i="62898"/>
  <c r="AI281" i="62898"/>
  <c r="E523" i="62898" s="1"/>
  <c r="AV281" i="62898"/>
  <c r="BB281" i="62898"/>
  <c r="AN281" i="62898"/>
  <c r="G564" i="62898" s="1"/>
  <c r="BD281" i="62898"/>
  <c r="AV298" i="62898"/>
  <c r="M15" i="62914"/>
  <c r="M17" i="62914" s="1"/>
  <c r="M22" i="62929" s="1"/>
  <c r="K16" i="62915"/>
  <c r="W16" i="62915" s="1"/>
  <c r="W18" i="62915" s="1"/>
  <c r="AG298" i="62898"/>
  <c r="AU152" i="62898"/>
  <c r="AU150" i="62898"/>
  <c r="AN195" i="62898"/>
  <c r="AS192" i="62898"/>
  <c r="AS143" i="62898"/>
  <c r="AS159" i="62898"/>
  <c r="AS150" i="62898"/>
  <c r="AA156" i="62898"/>
  <c r="AT148" i="62898"/>
  <c r="AT150" i="62898"/>
  <c r="AT152" i="62898"/>
  <c r="AA157" i="62898"/>
  <c r="AT193" i="62898"/>
  <c r="AC148" i="62898"/>
  <c r="D148" i="62898"/>
  <c r="AS149" i="62898"/>
  <c r="AU148" i="62898"/>
  <c r="AB151" i="62898"/>
  <c r="AS157" i="62898"/>
  <c r="AB159" i="62898"/>
  <c r="AA144" i="62898"/>
  <c r="AB148" i="62898"/>
  <c r="AU149" i="62898"/>
  <c r="AB150" i="62898"/>
  <c r="AU151" i="62898"/>
  <c r="AT156" i="62898"/>
  <c r="AT158" i="62898"/>
  <c r="AT160" i="62898"/>
  <c r="AH163" i="62898"/>
  <c r="AT143" i="62898"/>
  <c r="AN163" i="62898"/>
  <c r="AS144" i="62898"/>
  <c r="AT145" i="62898"/>
  <c r="AA148" i="62898"/>
  <c r="AT149" i="62898"/>
  <c r="AA150" i="62898"/>
  <c r="AT151" i="62898"/>
  <c r="AS156" i="62898"/>
  <c r="AT157" i="62898"/>
  <c r="AS158" i="62898"/>
  <c r="AT159" i="62898"/>
  <c r="AS160" i="62898"/>
  <c r="AT161" i="62898"/>
  <c r="AB143" i="62898"/>
  <c r="M163" i="62898"/>
  <c r="AC150" i="62898"/>
  <c r="D150" i="62898"/>
  <c r="AB149" i="62898"/>
  <c r="AB157" i="62898"/>
  <c r="AT144" i="62898"/>
  <c r="AS148" i="62898"/>
  <c r="AC149" i="62898"/>
  <c r="D149" i="62898"/>
  <c r="D151" i="62898"/>
  <c r="AC151" i="62898"/>
  <c r="AS152" i="62898"/>
  <c r="AA158" i="62898"/>
  <c r="AA160" i="62898"/>
  <c r="AW163" i="62898"/>
  <c r="AA143" i="62898"/>
  <c r="AK163" i="62898"/>
  <c r="AB144" i="62898"/>
  <c r="AB145" i="62898"/>
  <c r="AA149" i="62898"/>
  <c r="AA151" i="62898"/>
  <c r="AB156" i="62898"/>
  <c r="AB158" i="62898"/>
  <c r="AA159" i="62898"/>
  <c r="AB160" i="62898"/>
  <c r="AB161" i="62898"/>
  <c r="AH195" i="62898"/>
  <c r="AT191" i="62898"/>
  <c r="AB192" i="62898"/>
  <c r="AU192" i="62898"/>
  <c r="AS193" i="62898"/>
  <c r="AK195" i="62898"/>
  <c r="AA192" i="62898"/>
  <c r="AB191" i="62898"/>
  <c r="M195" i="62898"/>
  <c r="AB193" i="62898"/>
  <c r="AW195" i="62898"/>
  <c r="AT192" i="62898"/>
  <c r="AT40" i="62898"/>
  <c r="I139" i="62892"/>
  <c r="AT295" i="62898"/>
  <c r="AH298" i="62898"/>
  <c r="AB48" i="62898"/>
  <c r="AB47" i="62898"/>
  <c r="AB57" i="62898"/>
  <c r="AT57" i="62898"/>
  <c r="AX90" i="62898"/>
  <c r="F572" i="62898"/>
  <c r="F611" i="62898" s="1"/>
  <c r="K564" i="62898"/>
  <c r="K605" i="62898" s="1"/>
  <c r="F530" i="62898"/>
  <c r="F533" i="62898" s="1"/>
  <c r="AS53" i="62898"/>
  <c r="AB58" i="62898"/>
  <c r="AT49" i="62898"/>
  <c r="AU47" i="62898"/>
  <c r="AT46" i="62898"/>
  <c r="D49" i="62898"/>
  <c r="AA46" i="62898"/>
  <c r="AT48" i="62898"/>
  <c r="AA54" i="62898"/>
  <c r="AS55" i="62898"/>
  <c r="AA56" i="62898"/>
  <c r="AA53" i="62898"/>
  <c r="AB55" i="62898"/>
  <c r="AS57" i="62898"/>
  <c r="AT55" i="62898"/>
  <c r="AS56" i="62898"/>
  <c r="AT54" i="62898"/>
  <c r="AU49" i="62898"/>
  <c r="AU48" i="62898"/>
  <c r="AU46" i="62898"/>
  <c r="AB54" i="62898"/>
  <c r="AA57" i="62898"/>
  <c r="AT56" i="62898"/>
  <c r="AB56" i="62898"/>
  <c r="AA55" i="62898"/>
  <c r="AB53" i="62898"/>
  <c r="AT53" i="62898"/>
  <c r="AT58" i="62898"/>
  <c r="AS48" i="62898"/>
  <c r="AT47" i="62898"/>
  <c r="AS47" i="62898"/>
  <c r="AC47" i="62898"/>
  <c r="AA48" i="62898"/>
  <c r="AS49" i="62898"/>
  <c r="AS46" i="62898"/>
  <c r="D53" i="62898"/>
  <c r="AC48" i="62898"/>
  <c r="D48" i="62898"/>
  <c r="AA45" i="62898"/>
  <c r="AB41" i="62898"/>
  <c r="AC45" i="62898"/>
  <c r="AB42" i="62898"/>
  <c r="AB45" i="62898"/>
  <c r="AA41" i="62898"/>
  <c r="D46" i="62898"/>
  <c r="D47" i="62898"/>
  <c r="K184" i="5"/>
  <c r="L186" i="5"/>
  <c r="L184" i="5"/>
  <c r="BI306" i="5"/>
  <c r="BJ308" i="5"/>
  <c r="BJ307" i="5"/>
  <c r="BJ489" i="5"/>
  <c r="AK509" i="5"/>
  <c r="AX489" i="5"/>
  <c r="AR489" i="5"/>
  <c r="AO489" i="5"/>
  <c r="AL489" i="5"/>
  <c r="AI489" i="5"/>
  <c r="AW306" i="5"/>
  <c r="AQ306" i="5"/>
  <c r="AN306" i="5"/>
  <c r="AK306" i="5"/>
  <c r="AH306" i="5"/>
  <c r="AW489" i="5"/>
  <c r="AQ489" i="5"/>
  <c r="AN489" i="5"/>
  <c r="AK489" i="5"/>
  <c r="AH489" i="5"/>
  <c r="AX306" i="5"/>
  <c r="AR306" i="5"/>
  <c r="AO306" i="5"/>
  <c r="AL306" i="5"/>
  <c r="AI306" i="5"/>
  <c r="L552" i="5"/>
  <c r="K553" i="5"/>
  <c r="K369" i="5"/>
  <c r="K370" i="5"/>
  <c r="L551" i="5"/>
  <c r="L370" i="5"/>
  <c r="K368" i="5"/>
  <c r="L553" i="5"/>
  <c r="K551" i="5"/>
  <c r="L368" i="5"/>
  <c r="K552" i="5"/>
  <c r="L369" i="5"/>
  <c r="K185" i="5"/>
  <c r="M185" i="5" s="1"/>
  <c r="K186" i="5"/>
  <c r="M186" i="5" s="1"/>
  <c r="L185" i="5"/>
  <c r="BJ306" i="5"/>
  <c r="BI308" i="5"/>
  <c r="BI307" i="5"/>
  <c r="BI489" i="5"/>
  <c r="S13" i="62905"/>
  <c r="T13" i="62905"/>
  <c r="Y14" i="62905"/>
  <c r="Z14" i="62905"/>
  <c r="S34" i="62905"/>
  <c r="S35" i="62905"/>
  <c r="AL28" i="62925"/>
  <c r="E259" i="62922"/>
  <c r="AX551" i="5"/>
  <c r="AX122" i="5"/>
  <c r="AR122" i="5"/>
  <c r="AO122" i="5"/>
  <c r="AL122" i="5"/>
  <c r="AI122" i="5"/>
  <c r="AN122" i="5"/>
  <c r="AK122" i="5"/>
  <c r="AW122" i="5"/>
  <c r="AQ122" i="5"/>
  <c r="D68" i="5"/>
  <c r="AW552" i="5"/>
  <c r="BJ124" i="5"/>
  <c r="BJ122" i="5"/>
  <c r="BJ123" i="5"/>
  <c r="I385" i="5"/>
  <c r="BI123" i="5"/>
  <c r="BI122" i="5"/>
  <c r="BI124" i="5"/>
  <c r="AK290" i="5"/>
  <c r="AH164" i="5"/>
  <c r="AH531" i="5"/>
  <c r="BK44" i="5"/>
  <c r="AW142" i="5"/>
  <c r="AJ226" i="5"/>
  <c r="BN224" i="5"/>
  <c r="BM165" i="5"/>
  <c r="B13" i="62907"/>
  <c r="I138" i="62892"/>
  <c r="P82" i="62909"/>
  <c r="P81" i="62909" s="1"/>
  <c r="P221" i="62909" s="1"/>
  <c r="O81" i="62909"/>
  <c r="O221" i="62909" s="1"/>
  <c r="S55" i="5"/>
  <c r="BL368" i="5"/>
  <c r="BI369" i="5"/>
  <c r="AI205" i="5"/>
  <c r="BM184" i="5"/>
  <c r="AN533" i="5"/>
  <c r="AD277" i="62928"/>
  <c r="AA277" i="62928"/>
  <c r="G277" i="62928"/>
  <c r="W277" i="62928"/>
  <c r="X277" i="62928"/>
  <c r="Y277" i="62928"/>
  <c r="AD209" i="62928"/>
  <c r="G209" i="62928"/>
  <c r="W209" i="62928"/>
  <c r="X209" i="62928"/>
  <c r="Y209" i="62928"/>
  <c r="AA209" i="62928"/>
  <c r="AD262" i="62928"/>
  <c r="G262" i="62928"/>
  <c r="W262" i="62928"/>
  <c r="Y262" i="62928"/>
  <c r="AA262" i="62928"/>
  <c r="X262" i="62928"/>
  <c r="AD276" i="62928"/>
  <c r="W276" i="62928"/>
  <c r="G276" i="62928"/>
  <c r="X276" i="62928"/>
  <c r="AA276" i="62928"/>
  <c r="Y276" i="62928"/>
  <c r="AD280" i="62928"/>
  <c r="W280" i="62928"/>
  <c r="G280" i="62928"/>
  <c r="X280" i="62928"/>
  <c r="AA280" i="62928"/>
  <c r="Y280" i="62928"/>
  <c r="AD210" i="62928"/>
  <c r="Y210" i="62928"/>
  <c r="W210" i="62928"/>
  <c r="G210" i="62928"/>
  <c r="X210" i="62928"/>
  <c r="AA210" i="62928"/>
  <c r="X263" i="62928"/>
  <c r="Y263" i="62928"/>
  <c r="AA263" i="62928"/>
  <c r="AD263" i="62928"/>
  <c r="G263" i="62928"/>
  <c r="W263" i="62928"/>
  <c r="AD266" i="62928"/>
  <c r="G266" i="62928"/>
  <c r="W266" i="62928"/>
  <c r="Y266" i="62928"/>
  <c r="AA266" i="62928"/>
  <c r="X266" i="62928"/>
  <c r="AD279" i="62928"/>
  <c r="AA279" i="62928"/>
  <c r="G279" i="62928"/>
  <c r="W279" i="62928"/>
  <c r="X279" i="62928"/>
  <c r="Y279" i="62928"/>
  <c r="AD211" i="62928"/>
  <c r="G211" i="62928"/>
  <c r="W211" i="62928"/>
  <c r="X211" i="62928"/>
  <c r="Y211" i="62928"/>
  <c r="AA211" i="62928"/>
  <c r="AA264" i="62928"/>
  <c r="AD264" i="62928"/>
  <c r="G264" i="62928"/>
  <c r="W264" i="62928"/>
  <c r="Y264" i="62928"/>
  <c r="X264" i="62928"/>
  <c r="AD278" i="62928"/>
  <c r="W278" i="62928"/>
  <c r="G278" i="62928"/>
  <c r="X278" i="62928"/>
  <c r="AA278" i="62928"/>
  <c r="Y278" i="62928"/>
  <c r="AD208" i="62928"/>
  <c r="Y208" i="62928"/>
  <c r="W208" i="62928"/>
  <c r="G208" i="62928"/>
  <c r="X208" i="62928"/>
  <c r="AA208" i="62928"/>
  <c r="AD212" i="62928"/>
  <c r="Y212" i="62928"/>
  <c r="W212" i="62928"/>
  <c r="G212" i="62928"/>
  <c r="X212" i="62928"/>
  <c r="AA212" i="62928"/>
  <c r="X265" i="62928"/>
  <c r="Y265" i="62928"/>
  <c r="AA265" i="62928"/>
  <c r="AD265" i="62928"/>
  <c r="G265" i="62928"/>
  <c r="W265" i="62928"/>
  <c r="G263" i="7"/>
  <c r="Y263" i="7"/>
  <c r="W263" i="7"/>
  <c r="AA263" i="7"/>
  <c r="X263" i="7"/>
  <c r="AD263" i="7"/>
  <c r="G266" i="7"/>
  <c r="Y266" i="7"/>
  <c r="W266" i="7"/>
  <c r="AA266" i="7"/>
  <c r="X266" i="7"/>
  <c r="AD266" i="7"/>
  <c r="G265" i="7"/>
  <c r="AA265" i="7"/>
  <c r="X265" i="7"/>
  <c r="Y265" i="7"/>
  <c r="W265" i="7"/>
  <c r="AD265" i="7"/>
  <c r="Y276" i="7"/>
  <c r="W276" i="7"/>
  <c r="G276" i="7"/>
  <c r="N276" i="7" s="1"/>
  <c r="AA276" i="7"/>
  <c r="X276" i="7"/>
  <c r="AD276" i="7"/>
  <c r="AA277" i="7"/>
  <c r="X277" i="7"/>
  <c r="Y277" i="7"/>
  <c r="W277" i="7"/>
  <c r="G277" i="7"/>
  <c r="AD277" i="7"/>
  <c r="Y278" i="7"/>
  <c r="W278" i="7"/>
  <c r="G278" i="7"/>
  <c r="AA278" i="7"/>
  <c r="X278" i="7"/>
  <c r="AD278" i="7"/>
  <c r="G262" i="7"/>
  <c r="AA262" i="7"/>
  <c r="X262" i="7"/>
  <c r="Y262" i="7"/>
  <c r="W262" i="7"/>
  <c r="AD262" i="7"/>
  <c r="AA279" i="7"/>
  <c r="X279" i="7"/>
  <c r="Y279" i="7"/>
  <c r="W279" i="7"/>
  <c r="G279" i="7"/>
  <c r="AD279" i="7"/>
  <c r="AA280" i="7"/>
  <c r="X280" i="7"/>
  <c r="G280" i="7"/>
  <c r="N280" i="7" s="1"/>
  <c r="D280" i="7" s="1"/>
  <c r="Y280" i="7"/>
  <c r="W280" i="7"/>
  <c r="AD280" i="7"/>
  <c r="G264" i="7"/>
  <c r="AA264" i="7"/>
  <c r="X264" i="7"/>
  <c r="Y264" i="7"/>
  <c r="W264" i="7"/>
  <c r="AD264" i="7"/>
  <c r="AD210" i="7"/>
  <c r="AA210" i="7"/>
  <c r="W210" i="7"/>
  <c r="X210" i="7"/>
  <c r="Y210" i="7"/>
  <c r="AA209" i="7"/>
  <c r="W209" i="7"/>
  <c r="X209" i="7"/>
  <c r="AD209" i="7"/>
  <c r="Y209" i="7"/>
  <c r="AD211" i="7"/>
  <c r="X211" i="7"/>
  <c r="Y211" i="7"/>
  <c r="W211" i="7"/>
  <c r="AA211" i="7"/>
  <c r="AD212" i="7"/>
  <c r="AA212" i="7"/>
  <c r="X212" i="7"/>
  <c r="Y212" i="7"/>
  <c r="W212" i="7"/>
  <c r="W208" i="7"/>
  <c r="X208" i="7"/>
  <c r="AD208" i="7"/>
  <c r="Y208" i="7"/>
  <c r="AA208" i="7"/>
  <c r="B218" i="62909"/>
  <c r="S35" i="62914"/>
  <c r="R35" i="62914"/>
  <c r="P43" i="62909"/>
  <c r="P42" i="62909" s="1"/>
  <c r="P218" i="62909" s="1"/>
  <c r="O42" i="62909"/>
  <c r="O218" i="62909" s="1"/>
  <c r="Y13" i="62914"/>
  <c r="D1031" i="62919"/>
  <c r="C1031" i="62919" s="1"/>
  <c r="R37" i="62925"/>
  <c r="AL40" i="62925"/>
  <c r="AN34" i="62925"/>
  <c r="AI40" i="62905"/>
  <c r="AU38" i="62905"/>
  <c r="AG40" i="62904"/>
  <c r="Y34" i="62905"/>
  <c r="Y13" i="62905"/>
  <c r="Z23" i="62904"/>
  <c r="Z26" i="62904"/>
  <c r="AP40" i="62904"/>
  <c r="S14" i="62905"/>
  <c r="AL28" i="62904"/>
  <c r="AN38" i="62904"/>
  <c r="AM40" i="62905"/>
  <c r="AK28" i="62904"/>
  <c r="AL40" i="62904"/>
  <c r="S22" i="62904"/>
  <c r="T19" i="62904"/>
  <c r="T22" i="62904"/>
  <c r="D103" i="62925"/>
  <c r="BI186" i="5"/>
  <c r="BK142" i="5"/>
  <c r="O22" i="5"/>
  <c r="AG233" i="62898"/>
  <c r="E316" i="62921"/>
  <c r="D316" i="62921" s="1"/>
  <c r="D202" i="62921"/>
  <c r="AS41" i="62898"/>
  <c r="AT88" i="62898"/>
  <c r="C987" i="62921"/>
  <c r="D988" i="62921"/>
  <c r="D989" i="62921" s="1"/>
  <c r="AM99" i="62898"/>
  <c r="AT41" i="62898"/>
  <c r="D213" i="62898"/>
  <c r="D215" i="62898" s="1"/>
  <c r="AA30" i="62898"/>
  <c r="AB88" i="62898"/>
  <c r="AS40" i="62898"/>
  <c r="AB40" i="62898"/>
  <c r="AL99" i="62898"/>
  <c r="AB86" i="62898"/>
  <c r="AC32" i="62898"/>
  <c r="AB87" i="62898"/>
  <c r="AC76" i="62898"/>
  <c r="AT77" i="62898"/>
  <c r="AA40" i="62898"/>
  <c r="D78" i="62898"/>
  <c r="D30" i="62898"/>
  <c r="AC30" i="62898"/>
  <c r="AB314" i="62898"/>
  <c r="AK90" i="62898"/>
  <c r="AA88" i="62898"/>
  <c r="AC77" i="62898"/>
  <c r="P90" i="62898"/>
  <c r="AA87" i="62898"/>
  <c r="AB78" i="62898"/>
  <c r="AW90" i="62898"/>
  <c r="AS78" i="62898"/>
  <c r="AN90" i="62898"/>
  <c r="AS88" i="62898"/>
  <c r="AJ90" i="62898"/>
  <c r="AC29" i="62898"/>
  <c r="M60" i="62898"/>
  <c r="E482" i="62898"/>
  <c r="J482" i="62898" s="1"/>
  <c r="AB77" i="62898"/>
  <c r="AB76" i="62898"/>
  <c r="AX410" i="5"/>
  <c r="AK330" i="5"/>
  <c r="AN225" i="5"/>
  <c r="AH145" i="5"/>
  <c r="AH203" i="5"/>
  <c r="AH511" i="5"/>
  <c r="AN384" i="5"/>
  <c r="AK327" i="5"/>
  <c r="AN202" i="5"/>
  <c r="AJ410" i="5"/>
  <c r="AO226" i="5"/>
  <c r="AX328" i="5"/>
  <c r="AX409" i="5"/>
  <c r="AN143" i="5"/>
  <c r="AK200" i="5"/>
  <c r="AN512" i="5"/>
  <c r="AN410" i="5"/>
  <c r="AP409" i="5"/>
  <c r="AN145" i="5"/>
  <c r="AN74" i="5"/>
  <c r="AX368" i="5"/>
  <c r="AI370" i="5"/>
  <c r="AW551" i="5"/>
  <c r="AH75" i="5"/>
  <c r="AL185" i="5"/>
  <c r="AH509" i="5"/>
  <c r="AW184" i="5"/>
  <c r="AK166" i="5"/>
  <c r="AO389" i="5"/>
  <c r="AX350" i="5"/>
  <c r="BI43" i="5"/>
  <c r="H259" i="5"/>
  <c r="L259" i="5" s="1"/>
  <c r="H164" i="5"/>
  <c r="BL533" i="5"/>
  <c r="BL44" i="5"/>
  <c r="H442" i="5"/>
  <c r="L442" i="5" s="1"/>
  <c r="AX442" i="5" s="1"/>
  <c r="AI145" i="5"/>
  <c r="BK42" i="5"/>
  <c r="I369" i="5"/>
  <c r="R141" i="5"/>
  <c r="I552" i="5"/>
  <c r="BK146" i="5"/>
  <c r="BL164" i="5"/>
  <c r="BI348" i="5"/>
  <c r="AM74" i="5"/>
  <c r="I442" i="5"/>
  <c r="M442" i="5" s="1"/>
  <c r="AY442" i="5" s="1"/>
  <c r="BJ184" i="5"/>
  <c r="BJ350" i="5"/>
  <c r="BJ370" i="5"/>
  <c r="BK143" i="5"/>
  <c r="H531" i="5"/>
  <c r="BI551" i="5"/>
  <c r="BL348" i="5"/>
  <c r="AL369" i="5"/>
  <c r="AV441" i="5"/>
  <c r="AO551" i="5"/>
  <c r="BI552" i="5"/>
  <c r="AO531" i="5"/>
  <c r="AU443" i="5"/>
  <c r="AV443" i="5"/>
  <c r="AX369" i="5"/>
  <c r="AN368" i="5"/>
  <c r="BB441" i="5"/>
  <c r="AO368" i="5"/>
  <c r="BB258" i="5"/>
  <c r="H184" i="5"/>
  <c r="AQ441" i="5"/>
  <c r="AW185" i="5"/>
  <c r="AO533" i="5"/>
  <c r="AO407" i="5"/>
  <c r="AH441" i="5"/>
  <c r="AL166" i="5"/>
  <c r="AV442" i="5"/>
  <c r="AW350" i="5"/>
  <c r="AP44" i="5"/>
  <c r="AI552" i="5"/>
  <c r="BI553" i="5"/>
  <c r="BL369" i="5"/>
  <c r="H553" i="5"/>
  <c r="K165" i="5"/>
  <c r="K349" i="5"/>
  <c r="K533" i="5"/>
  <c r="H74" i="5"/>
  <c r="BM551" i="5"/>
  <c r="H387" i="5"/>
  <c r="BL409" i="5"/>
  <c r="BK75" i="5"/>
  <c r="BJ368" i="5"/>
  <c r="BJ442" i="5"/>
  <c r="BM533" i="5"/>
  <c r="BJ74" i="5"/>
  <c r="BJ348" i="5"/>
  <c r="BM384" i="5"/>
  <c r="BJ552" i="5"/>
  <c r="BL387" i="5"/>
  <c r="BM532" i="5"/>
  <c r="I184" i="5"/>
  <c r="BM349" i="5"/>
  <c r="L532" i="5"/>
  <c r="I350" i="5"/>
  <c r="I166" i="5"/>
  <c r="I142" i="5"/>
  <c r="BK76" i="5"/>
  <c r="I441" i="5"/>
  <c r="M441" i="5" s="1"/>
  <c r="AY441" i="5" s="1"/>
  <c r="BO204" i="5"/>
  <c r="I76" i="5"/>
  <c r="M76" i="5" s="1"/>
  <c r="AY76" i="5" s="1"/>
  <c r="L141" i="5"/>
  <c r="R204" i="5"/>
  <c r="BM329" i="5"/>
  <c r="BP386" i="5"/>
  <c r="L350" i="5"/>
  <c r="BL185" i="5"/>
  <c r="AX145" i="5"/>
  <c r="AO532" i="5"/>
  <c r="BN387" i="5"/>
  <c r="AI19" i="5"/>
  <c r="N328" i="5"/>
  <c r="N385" i="5"/>
  <c r="BJ17" i="5"/>
  <c r="BI185" i="5"/>
  <c r="BI164" i="5"/>
  <c r="L166" i="5"/>
  <c r="K531" i="5"/>
  <c r="H369" i="5"/>
  <c r="AH410" i="5"/>
  <c r="AJ43" i="5"/>
  <c r="AH388" i="5"/>
  <c r="AH368" i="5"/>
  <c r="AK326" i="5"/>
  <c r="AK205" i="5"/>
  <c r="AK185" i="5"/>
  <c r="AK144" i="5"/>
  <c r="AN551" i="5"/>
  <c r="AK508" i="5"/>
  <c r="AK388" i="5"/>
  <c r="AK368" i="5"/>
  <c r="AH326" i="5"/>
  <c r="AH200" i="5"/>
  <c r="AH186" i="5"/>
  <c r="AK145" i="5"/>
  <c r="AP43" i="5"/>
  <c r="AW43" i="5"/>
  <c r="AY410" i="5"/>
  <c r="AL327" i="5"/>
  <c r="AL349" i="5"/>
  <c r="AI388" i="5"/>
  <c r="AH144" i="5"/>
  <c r="AJ75" i="5"/>
  <c r="AN327" i="5"/>
  <c r="AK532" i="5"/>
  <c r="AK512" i="5"/>
  <c r="AK510" i="5"/>
  <c r="AK389" i="5"/>
  <c r="AK328" i="5"/>
  <c r="AH204" i="5"/>
  <c r="AH325" i="5"/>
  <c r="AK551" i="5"/>
  <c r="AH384" i="5"/>
  <c r="AK329" i="5"/>
  <c r="AK204" i="5"/>
  <c r="AK184" i="5"/>
  <c r="AI410" i="5"/>
  <c r="AX43" i="5"/>
  <c r="AW349" i="5"/>
  <c r="AW387" i="5"/>
  <c r="AO509" i="5"/>
  <c r="AT442" i="5"/>
  <c r="AV74" i="5"/>
  <c r="AU74" i="5"/>
  <c r="AU258" i="5"/>
  <c r="AL551" i="5"/>
  <c r="AL509" i="5"/>
  <c r="AH76" i="5"/>
  <c r="BB74" i="5"/>
  <c r="AO185" i="5"/>
  <c r="AN511" i="5"/>
  <c r="AN509" i="5"/>
  <c r="BD260" i="5"/>
  <c r="AH369" i="5"/>
  <c r="AK552" i="5"/>
  <c r="AW368" i="5"/>
  <c r="AO184" i="5"/>
  <c r="AR74" i="5"/>
  <c r="BD74" i="5"/>
  <c r="BB442" i="5"/>
  <c r="AH551" i="5"/>
  <c r="AO369" i="5"/>
  <c r="AX201" i="5"/>
  <c r="AN348" i="5"/>
  <c r="AH350" i="5"/>
  <c r="AI76" i="5"/>
  <c r="AK350" i="5"/>
  <c r="AL184" i="5"/>
  <c r="AW531" i="5"/>
  <c r="BI533" i="5"/>
  <c r="H260" i="5"/>
  <c r="BI443" i="5"/>
  <c r="BL531" i="5"/>
  <c r="BL166" i="5"/>
  <c r="H350" i="5"/>
  <c r="H551" i="5"/>
  <c r="L164" i="5"/>
  <c r="N201" i="5"/>
  <c r="BI144" i="5"/>
  <c r="AL145" i="5"/>
  <c r="L204" i="5"/>
  <c r="I259" i="5"/>
  <c r="M259" i="5" s="1"/>
  <c r="I531" i="5"/>
  <c r="I260" i="5"/>
  <c r="M260" i="5" s="1"/>
  <c r="I42" i="5"/>
  <c r="I348" i="5"/>
  <c r="L531" i="5"/>
  <c r="BM325" i="5"/>
  <c r="BJ553" i="5"/>
  <c r="BJ258" i="5"/>
  <c r="BJ185" i="5"/>
  <c r="BM508" i="5"/>
  <c r="BM531" i="5"/>
  <c r="AL388" i="5"/>
  <c r="BL165" i="5"/>
  <c r="L349" i="5"/>
  <c r="BI166" i="5"/>
  <c r="BL532" i="5"/>
  <c r="BI76" i="5"/>
  <c r="AX185" i="5"/>
  <c r="AN411" i="5"/>
  <c r="AK22" i="5"/>
  <c r="AJ441" i="5"/>
  <c r="AK348" i="5"/>
  <c r="AI185" i="5"/>
  <c r="BC442" i="5"/>
  <c r="AV258" i="5"/>
  <c r="AI75" i="5"/>
  <c r="BC441" i="5"/>
  <c r="AO164" i="5"/>
  <c r="AI348" i="5"/>
  <c r="AR441" i="5"/>
  <c r="AL350" i="5"/>
  <c r="AK369" i="5"/>
  <c r="AI551" i="5"/>
  <c r="AX348" i="5"/>
  <c r="AT74" i="5"/>
  <c r="AV260" i="5"/>
  <c r="BD442" i="5"/>
  <c r="AL531" i="5"/>
  <c r="BC258" i="5"/>
  <c r="AJ74" i="5"/>
  <c r="AH185" i="5"/>
  <c r="BC443" i="5"/>
  <c r="AX552" i="5"/>
  <c r="AI441" i="5"/>
  <c r="AI350" i="5"/>
  <c r="AV259" i="5"/>
  <c r="AO166" i="5"/>
  <c r="BI368" i="5"/>
  <c r="AO552" i="5"/>
  <c r="AI369" i="5"/>
  <c r="AT258" i="5"/>
  <c r="AW164" i="5"/>
  <c r="AJ76" i="5"/>
  <c r="AN185" i="5"/>
  <c r="AI531" i="5"/>
  <c r="AT443" i="5"/>
  <c r="AU441" i="5"/>
  <c r="AK164" i="5"/>
  <c r="AX164" i="5"/>
  <c r="AK533" i="5"/>
  <c r="AQ74" i="5"/>
  <c r="AW348" i="5"/>
  <c r="AX533" i="5"/>
  <c r="AT441" i="5"/>
  <c r="AO348" i="5"/>
  <c r="AR258" i="5"/>
  <c r="AL74" i="5"/>
  <c r="AL552" i="5"/>
  <c r="BI442" i="5"/>
  <c r="I368" i="5"/>
  <c r="K166" i="5"/>
  <c r="H258" i="5"/>
  <c r="L258" i="5" s="1"/>
  <c r="AX258" i="5" s="1"/>
  <c r="BL350" i="5"/>
  <c r="H441" i="5"/>
  <c r="L441" i="5" s="1"/>
  <c r="AX441" i="5" s="1"/>
  <c r="BL551" i="5"/>
  <c r="BL553" i="5"/>
  <c r="BI350" i="5"/>
  <c r="BI75" i="5"/>
  <c r="BI184" i="5"/>
  <c r="BL186" i="5"/>
  <c r="H348" i="5"/>
  <c r="K350" i="5"/>
  <c r="H443" i="5"/>
  <c r="L443" i="5" s="1"/>
  <c r="AX443" i="5" s="1"/>
  <c r="K532" i="5"/>
  <c r="I533" i="5"/>
  <c r="H76" i="5"/>
  <c r="L76" i="5" s="1"/>
  <c r="AX76" i="5" s="1"/>
  <c r="I74" i="5"/>
  <c r="M74" i="5" s="1"/>
  <c r="AY74" i="5" s="1"/>
  <c r="BK19" i="5"/>
  <c r="L409" i="5"/>
  <c r="AW186" i="5"/>
  <c r="BJ166" i="5"/>
  <c r="BJ164" i="5"/>
  <c r="BJ369" i="5"/>
  <c r="AN531" i="5"/>
  <c r="AU442" i="5"/>
  <c r="D285" i="62922"/>
  <c r="AK531" i="5"/>
  <c r="H648" i="5"/>
  <c r="AX184" i="5"/>
  <c r="AL368" i="5"/>
  <c r="AL164" i="5"/>
  <c r="AO350" i="5"/>
  <c r="AN166" i="5"/>
  <c r="AH533" i="5"/>
  <c r="AX166" i="5"/>
  <c r="AL227" i="5"/>
  <c r="AN164" i="5"/>
  <c r="E624" i="5"/>
  <c r="C115" i="62909" s="1"/>
  <c r="E115" i="62909" s="1"/>
  <c r="E609" i="5"/>
  <c r="F609" i="5" s="1"/>
  <c r="M410" i="5"/>
  <c r="AN407" i="5"/>
  <c r="AN223" i="5"/>
  <c r="AP41" i="5"/>
  <c r="AY224" i="5"/>
  <c r="AK44" i="5"/>
  <c r="AH18" i="5"/>
  <c r="AX408" i="5"/>
  <c r="AI407" i="5"/>
  <c r="AW145" i="5"/>
  <c r="AX141" i="5"/>
  <c r="AK143" i="5"/>
  <c r="AK20" i="5"/>
  <c r="J407" i="5"/>
  <c r="AO43" i="5"/>
  <c r="AL142" i="5"/>
  <c r="AP226" i="5"/>
  <c r="AW20" i="5"/>
  <c r="AP408" i="5"/>
  <c r="AO384" i="5"/>
  <c r="N411" i="5"/>
  <c r="BN227" i="5"/>
  <c r="BL43" i="5"/>
  <c r="BL223" i="5"/>
  <c r="BL411" i="5"/>
  <c r="K509" i="5"/>
  <c r="BI226" i="5"/>
  <c r="BK409" i="5"/>
  <c r="BL224" i="5"/>
  <c r="AX325" i="5"/>
  <c r="I325" i="5"/>
  <c r="N22" i="5"/>
  <c r="N200" i="5"/>
  <c r="Q325" i="5"/>
  <c r="Q384" i="5"/>
  <c r="BK17" i="5"/>
  <c r="N141" i="5"/>
  <c r="BK201" i="5"/>
  <c r="BI327" i="5"/>
  <c r="BJ385" i="5"/>
  <c r="N389" i="5"/>
  <c r="BL509" i="5"/>
  <c r="O17" i="5"/>
  <c r="L225" i="5"/>
  <c r="BN42" i="5"/>
  <c r="AO146" i="5"/>
  <c r="AO327" i="5"/>
  <c r="AI512" i="5"/>
  <c r="AL330" i="5"/>
  <c r="AX186" i="5"/>
  <c r="AL21" i="5"/>
  <c r="AX144" i="5"/>
  <c r="AL328" i="5"/>
  <c r="M42" i="5"/>
  <c r="BL19" i="5"/>
  <c r="H330" i="5"/>
  <c r="BN225" i="5"/>
  <c r="BN141" i="5"/>
  <c r="BM143" i="5"/>
  <c r="BO200" i="5"/>
  <c r="BN202" i="5"/>
  <c r="BJ224" i="5"/>
  <c r="BM509" i="5"/>
  <c r="BJ145" i="5"/>
  <c r="BL203" i="5"/>
  <c r="BK511" i="5"/>
  <c r="BL513" i="5"/>
  <c r="BJ44" i="5"/>
  <c r="BM408" i="5"/>
  <c r="BJ40" i="5"/>
  <c r="BO326" i="5"/>
  <c r="BI329" i="5"/>
  <c r="BP17" i="5"/>
  <c r="BP385" i="5"/>
  <c r="BL22" i="5"/>
  <c r="BL330" i="5"/>
  <c r="BL389" i="5"/>
  <c r="BO389" i="5"/>
  <c r="BP513" i="5"/>
  <c r="I510" i="5"/>
  <c r="I408" i="5"/>
  <c r="O385" i="5"/>
  <c r="BP329" i="5"/>
  <c r="L410" i="5"/>
  <c r="AW41" i="5"/>
  <c r="AJ407" i="5"/>
  <c r="AK223" i="5"/>
  <c r="AW384" i="5"/>
  <c r="AK384" i="5"/>
  <c r="AI509" i="5"/>
  <c r="BK40" i="5"/>
  <c r="J226" i="5"/>
  <c r="AL141" i="5"/>
  <c r="BN411" i="5"/>
  <c r="BL408" i="5"/>
  <c r="L224" i="5"/>
  <c r="L40" i="5"/>
  <c r="BI41" i="5"/>
  <c r="Q18" i="5"/>
  <c r="H204" i="5"/>
  <c r="H388" i="5"/>
  <c r="K144" i="5"/>
  <c r="Q330" i="5"/>
  <c r="BL508" i="5"/>
  <c r="Q143" i="5"/>
  <c r="AM225" i="5"/>
  <c r="AO512" i="5"/>
  <c r="AO205" i="5"/>
  <c r="AX22" i="5"/>
  <c r="AK386" i="5"/>
  <c r="Q202" i="5"/>
  <c r="AX225" i="5"/>
  <c r="BM227" i="5"/>
  <c r="BJ205" i="5"/>
  <c r="BO18" i="5"/>
  <c r="BJ21" i="5"/>
  <c r="BL328" i="5"/>
  <c r="BJ43" i="5"/>
  <c r="BN22" i="5"/>
  <c r="BN204" i="5"/>
  <c r="R329" i="5"/>
  <c r="BM385" i="5"/>
  <c r="L512" i="5"/>
  <c r="BN388" i="5"/>
  <c r="BP327" i="5"/>
  <c r="I223" i="5"/>
  <c r="O201" i="5"/>
  <c r="BP145" i="5"/>
  <c r="I44" i="5"/>
  <c r="O20" i="5"/>
  <c r="BO144" i="5"/>
  <c r="R22" i="5"/>
  <c r="L17" i="5"/>
  <c r="L513" i="5"/>
  <c r="BO387" i="5"/>
  <c r="I329" i="5"/>
  <c r="BM225" i="5"/>
  <c r="O202" i="5"/>
  <c r="O144" i="5"/>
  <c r="BO21" i="5"/>
  <c r="BP20" i="5"/>
  <c r="M408" i="5"/>
  <c r="L330" i="5"/>
  <c r="I386" i="5"/>
  <c r="O511" i="5"/>
  <c r="BK200" i="5"/>
  <c r="I143" i="5"/>
  <c r="BO330" i="5"/>
  <c r="K17" i="5"/>
  <c r="AI22" i="5"/>
  <c r="AN186" i="5"/>
  <c r="AY225" i="5"/>
  <c r="AW513" i="5"/>
  <c r="AI409" i="5"/>
  <c r="AP42" i="5"/>
  <c r="AW205" i="5"/>
  <c r="H205" i="5"/>
  <c r="AH349" i="5"/>
  <c r="AI20" i="5"/>
  <c r="AX203" i="5"/>
  <c r="AX510" i="5"/>
  <c r="AX204" i="5"/>
  <c r="H146" i="5"/>
  <c r="BI509" i="5"/>
  <c r="BK384" i="5"/>
  <c r="BL325" i="5"/>
  <c r="N146" i="5"/>
  <c r="K21" i="5"/>
  <c r="K389" i="5"/>
  <c r="N329" i="5"/>
  <c r="K205" i="5"/>
  <c r="K145" i="5"/>
  <c r="N19" i="5"/>
  <c r="K510" i="5"/>
  <c r="BL41" i="5"/>
  <c r="L407" i="5"/>
  <c r="BI227" i="5"/>
  <c r="BN41" i="5"/>
  <c r="N408" i="5"/>
  <c r="H224" i="5"/>
  <c r="AX17" i="5"/>
  <c r="AL411" i="5"/>
  <c r="AK226" i="5"/>
  <c r="AK141" i="5"/>
  <c r="AX411" i="5"/>
  <c r="AN224" i="5"/>
  <c r="AN141" i="5"/>
  <c r="AN510" i="5"/>
  <c r="AN326" i="5"/>
  <c r="AW329" i="5"/>
  <c r="AN329" i="5"/>
  <c r="AN144" i="5"/>
  <c r="AN409" i="5"/>
  <c r="AW144" i="5"/>
  <c r="AI325" i="5"/>
  <c r="AK19" i="5"/>
  <c r="AL387" i="5"/>
  <c r="AX326" i="5"/>
  <c r="AI142" i="5"/>
  <c r="AO17" i="5"/>
  <c r="AK511" i="5"/>
  <c r="AW553" i="5"/>
  <c r="AW325" i="5"/>
  <c r="AN508" i="5"/>
  <c r="AH532" i="5"/>
  <c r="AH513" i="5"/>
  <c r="AL326" i="5"/>
  <c r="AI202" i="5"/>
  <c r="AK225" i="5"/>
  <c r="AX511" i="5"/>
  <c r="AW385" i="5"/>
  <c r="AL329" i="5"/>
  <c r="AI326" i="5"/>
  <c r="AL200" i="5"/>
  <c r="AO200" i="5"/>
  <c r="AI349" i="5"/>
  <c r="AW512" i="5"/>
  <c r="AK553" i="5"/>
  <c r="AL389" i="5"/>
  <c r="AI386" i="5"/>
  <c r="AX370" i="5"/>
  <c r="AI330" i="5"/>
  <c r="AY226" i="5"/>
  <c r="AH143" i="5"/>
  <c r="AX226" i="5"/>
  <c r="AN165" i="5"/>
  <c r="AN200" i="5"/>
  <c r="AH202" i="5"/>
  <c r="AN325" i="5"/>
  <c r="AH328" i="5"/>
  <c r="AN386" i="5"/>
  <c r="AN146" i="5"/>
  <c r="AK146" i="5"/>
  <c r="AK203" i="5"/>
  <c r="AH225" i="5"/>
  <c r="AH330" i="5"/>
  <c r="AN385" i="5"/>
  <c r="AN532" i="5"/>
  <c r="AN389" i="5"/>
  <c r="AN204" i="5"/>
  <c r="AK409" i="5"/>
  <c r="AH387" i="5"/>
  <c r="AH17" i="5"/>
  <c r="AK21" i="5"/>
  <c r="AN388" i="5"/>
  <c r="AN370" i="5"/>
  <c r="AO141" i="5"/>
  <c r="AW327" i="5"/>
  <c r="AX388" i="5"/>
  <c r="AH553" i="5"/>
  <c r="AH146" i="5"/>
  <c r="AH327" i="5"/>
  <c r="AX18" i="5"/>
  <c r="AK385" i="5"/>
  <c r="AO330" i="5"/>
  <c r="AK349" i="5"/>
  <c r="AH201" i="5"/>
  <c r="AK411" i="5"/>
  <c r="AL508" i="5"/>
  <c r="AL226" i="5"/>
  <c r="BK223" i="5"/>
  <c r="K513" i="5"/>
  <c r="BI142" i="5"/>
  <c r="N326" i="5"/>
  <c r="BJ18" i="5"/>
  <c r="H203" i="5"/>
  <c r="K387" i="5"/>
  <c r="BL510" i="5"/>
  <c r="AW386" i="5"/>
  <c r="AX202" i="5"/>
  <c r="Q510" i="5"/>
  <c r="AO22" i="5"/>
  <c r="AO387" i="5"/>
  <c r="AW143" i="5"/>
  <c r="BO511" i="5"/>
  <c r="BI386" i="5"/>
  <c r="BK141" i="5"/>
  <c r="BJ407" i="5"/>
  <c r="O326" i="5"/>
  <c r="BP204" i="5"/>
  <c r="BM19" i="5"/>
  <c r="BM512" i="5"/>
  <c r="O19" i="5"/>
  <c r="O146" i="5"/>
  <c r="L326" i="5"/>
  <c r="O389" i="5"/>
  <c r="BN511" i="5"/>
  <c r="R20" i="5"/>
  <c r="R17" i="5"/>
  <c r="BP143" i="5"/>
  <c r="I204" i="5"/>
  <c r="R508" i="5"/>
  <c r="BL20" i="5"/>
  <c r="BI388" i="5"/>
  <c r="BL512" i="5"/>
  <c r="BO201" i="5"/>
  <c r="BN142" i="5"/>
  <c r="BO329" i="5"/>
  <c r="AI146" i="5"/>
  <c r="AJ42" i="5"/>
  <c r="BI203" i="5"/>
  <c r="BI325" i="5"/>
  <c r="H328" i="5"/>
  <c r="K511" i="5"/>
  <c r="J223" i="5"/>
  <c r="AL407" i="5"/>
  <c r="AP407" i="5"/>
  <c r="AN43" i="5"/>
  <c r="AX407" i="5"/>
  <c r="BM224" i="5"/>
  <c r="BM44" i="5"/>
  <c r="AW42" i="5"/>
  <c r="N407" i="5"/>
  <c r="BJ41" i="5"/>
  <c r="AL41" i="5"/>
  <c r="AI408" i="5"/>
  <c r="N41" i="5"/>
  <c r="AW407" i="5"/>
  <c r="AO223" i="5"/>
  <c r="AH224" i="5"/>
  <c r="AJ408" i="5"/>
  <c r="AN408" i="5"/>
  <c r="AN40" i="5"/>
  <c r="AW224" i="5"/>
  <c r="AM40" i="5"/>
  <c r="AY223" i="5"/>
  <c r="AM408" i="5"/>
  <c r="AW408" i="5"/>
  <c r="AY41" i="5"/>
  <c r="J224" i="5"/>
  <c r="AY411" i="5"/>
  <c r="AM44" i="5"/>
  <c r="AM227" i="5"/>
  <c r="AN330" i="5"/>
  <c r="AI411" i="5"/>
  <c r="AH223" i="5"/>
  <c r="AJ41" i="5"/>
  <c r="J42" i="5"/>
  <c r="AI44" i="5"/>
  <c r="AM41" i="5"/>
  <c r="AK407" i="5"/>
  <c r="AY40" i="5"/>
  <c r="AI223" i="5"/>
  <c r="AL408" i="5"/>
  <c r="J225" i="5"/>
  <c r="BK408" i="5"/>
  <c r="AH19" i="5"/>
  <c r="AO388" i="5"/>
  <c r="AI385" i="5"/>
  <c r="AW141" i="5"/>
  <c r="AW17" i="5"/>
  <c r="AI165" i="5"/>
  <c r="AP225" i="5"/>
  <c r="AY409" i="5"/>
  <c r="AN18" i="5"/>
  <c r="AN328" i="5"/>
  <c r="AK201" i="5"/>
  <c r="AH21" i="5"/>
  <c r="AX513" i="5"/>
  <c r="AW510" i="5"/>
  <c r="AL532" i="5"/>
  <c r="L223" i="5"/>
  <c r="AJ223" i="5"/>
  <c r="AX40" i="5"/>
  <c r="AJ44" i="5"/>
  <c r="AP223" i="5"/>
  <c r="AJ40" i="5"/>
  <c r="AW388" i="5"/>
  <c r="AN17" i="5"/>
  <c r="AM411" i="5"/>
  <c r="AK43" i="5"/>
  <c r="AP410" i="5"/>
  <c r="AL384" i="5"/>
  <c r="AO227" i="5"/>
  <c r="AW223" i="5"/>
  <c r="AW200" i="5"/>
  <c r="J410" i="5"/>
  <c r="AW201" i="5"/>
  <c r="AY43" i="5"/>
  <c r="AM43" i="5"/>
  <c r="AL18" i="5"/>
  <c r="AW511" i="5"/>
  <c r="AJ411" i="5"/>
  <c r="AN41" i="5"/>
  <c r="AN227" i="5"/>
  <c r="AH41" i="5"/>
  <c r="AM224" i="5"/>
  <c r="BN408" i="5"/>
  <c r="AW227" i="5"/>
  <c r="AI511" i="5"/>
  <c r="AI18" i="5"/>
  <c r="AI513" i="5"/>
  <c r="AN553" i="5"/>
  <c r="N223" i="5"/>
  <c r="AX200" i="5"/>
  <c r="AW40" i="5"/>
  <c r="AI17" i="5"/>
  <c r="AH40" i="5"/>
  <c r="AN20" i="5"/>
  <c r="AY407" i="5"/>
  <c r="AL223" i="5"/>
  <c r="L226" i="5"/>
  <c r="J411" i="5"/>
  <c r="AI200" i="5"/>
  <c r="AW44" i="5"/>
  <c r="AO385" i="5"/>
  <c r="AO508" i="5"/>
  <c r="AW410" i="5"/>
  <c r="N227" i="5"/>
  <c r="BJ510" i="5"/>
  <c r="L41" i="5"/>
  <c r="BI225" i="5"/>
  <c r="H410" i="5"/>
  <c r="Q509" i="5"/>
  <c r="J40" i="5"/>
  <c r="BN410" i="5"/>
  <c r="J408" i="5"/>
  <c r="BN226" i="5"/>
  <c r="BK224" i="5"/>
  <c r="J44" i="5"/>
  <c r="BK41" i="5"/>
  <c r="Q508" i="5"/>
  <c r="H41" i="5"/>
  <c r="H225" i="5"/>
  <c r="BL227" i="5"/>
  <c r="H408" i="5"/>
  <c r="BL410" i="5"/>
  <c r="BK510" i="5"/>
  <c r="BI40" i="5"/>
  <c r="H43" i="5"/>
  <c r="I225" i="5"/>
  <c r="Q513" i="5"/>
  <c r="H512" i="5"/>
  <c r="N510" i="5"/>
  <c r="H509" i="5"/>
  <c r="O510" i="5"/>
  <c r="K18" i="5"/>
  <c r="K19" i="5"/>
  <c r="Q20" i="5"/>
  <c r="Q141" i="5"/>
  <c r="BI143" i="5"/>
  <c r="H145" i="5"/>
  <c r="Q146" i="5"/>
  <c r="K201" i="5"/>
  <c r="N202" i="5"/>
  <c r="Q204" i="5"/>
  <c r="K325" i="5"/>
  <c r="K326" i="5"/>
  <c r="K327" i="5"/>
  <c r="Q328" i="5"/>
  <c r="K384" i="5"/>
  <c r="K385" i="5"/>
  <c r="N386" i="5"/>
  <c r="Q388" i="5"/>
  <c r="I202" i="5"/>
  <c r="BI18" i="5"/>
  <c r="BI19" i="5"/>
  <c r="H21" i="5"/>
  <c r="Q22" i="5"/>
  <c r="K142" i="5"/>
  <c r="N143" i="5"/>
  <c r="N145" i="5"/>
  <c r="BI201" i="5"/>
  <c r="K202" i="5"/>
  <c r="N204" i="5"/>
  <c r="BK325" i="5"/>
  <c r="BK326" i="5"/>
  <c r="BK327" i="5"/>
  <c r="Q329" i="5"/>
  <c r="BJ384" i="5"/>
  <c r="AN142" i="5"/>
  <c r="AK202" i="5"/>
  <c r="AK325" i="5"/>
  <c r="AH389" i="5"/>
  <c r="AI328" i="5"/>
  <c r="AW389" i="5"/>
  <c r="AK165" i="5"/>
  <c r="AH510" i="5"/>
  <c r="AI508" i="5"/>
  <c r="AX329" i="5"/>
  <c r="AL205" i="5"/>
  <c r="AO328" i="5"/>
  <c r="AI384" i="5"/>
  <c r="AM409" i="5"/>
  <c r="AW508" i="5"/>
  <c r="AK142" i="5"/>
  <c r="AL386" i="5"/>
  <c r="AN513" i="5"/>
  <c r="AH508" i="5"/>
  <c r="AK513" i="5"/>
  <c r="AH512" i="5"/>
  <c r="AH165" i="5"/>
  <c r="AN387" i="5"/>
  <c r="AO326" i="5"/>
  <c r="AO386" i="5"/>
  <c r="AO513" i="5"/>
  <c r="AI141" i="5"/>
  <c r="AL224" i="5"/>
  <c r="AK224" i="5"/>
  <c r="AN203" i="5"/>
  <c r="AL17" i="5"/>
  <c r="AW203" i="5"/>
  <c r="AH329" i="5"/>
  <c r="AK18" i="5"/>
  <c r="AJ227" i="5"/>
  <c r="BN407" i="5"/>
  <c r="AL40" i="5"/>
  <c r="AO411" i="5"/>
  <c r="J227" i="5"/>
  <c r="AW226" i="5"/>
  <c r="AX44" i="5"/>
  <c r="AN21" i="5"/>
  <c r="AP411" i="5"/>
  <c r="N226" i="5"/>
  <c r="BL511" i="5"/>
  <c r="BI408" i="5"/>
  <c r="BK411" i="5"/>
  <c r="BK227" i="5"/>
  <c r="N44" i="5"/>
  <c r="H40" i="5"/>
  <c r="BI224" i="5"/>
  <c r="BI410" i="5"/>
  <c r="BI510" i="5"/>
  <c r="L44" i="5"/>
  <c r="BK407" i="5"/>
  <c r="H508" i="5"/>
  <c r="Q511" i="5"/>
  <c r="N508" i="5"/>
  <c r="N18" i="5"/>
  <c r="N21" i="5"/>
  <c r="BJ143" i="5"/>
  <c r="H200" i="5"/>
  <c r="N203" i="5"/>
  <c r="N325" i="5"/>
  <c r="N327" i="5"/>
  <c r="N384" i="5"/>
  <c r="N387" i="5"/>
  <c r="BI17" i="5"/>
  <c r="BJ19" i="5"/>
  <c r="H141" i="5"/>
  <c r="H144" i="5"/>
  <c r="BJ201" i="5"/>
  <c r="N205" i="5"/>
  <c r="BL326" i="5"/>
  <c r="K330" i="5"/>
  <c r="BK385" i="5"/>
  <c r="BI508" i="5"/>
  <c r="BI204" i="5"/>
  <c r="Q19" i="5"/>
  <c r="BL327" i="5"/>
  <c r="N225" i="5"/>
  <c r="AL146" i="5"/>
  <c r="AX349" i="5"/>
  <c r="AX532" i="5"/>
  <c r="AI327" i="5"/>
  <c r="AK186" i="5"/>
  <c r="AO19" i="5"/>
  <c r="AX146" i="5"/>
  <c r="AX387" i="5"/>
  <c r="L146" i="5"/>
  <c r="BL42" i="5"/>
  <c r="BI349" i="5"/>
  <c r="BN409" i="5"/>
  <c r="AO202" i="5"/>
  <c r="AX42" i="5"/>
  <c r="AW22" i="5"/>
  <c r="AN42" i="5"/>
  <c r="AL513" i="5"/>
  <c r="AL409" i="5"/>
  <c r="AO409" i="5"/>
  <c r="AO329" i="5"/>
  <c r="AI225" i="5"/>
  <c r="AO203" i="5"/>
  <c r="AO143" i="5"/>
  <c r="AO21" i="5"/>
  <c r="AI42" i="5"/>
  <c r="BI205" i="5"/>
  <c r="I532" i="5"/>
  <c r="BJ386" i="5"/>
  <c r="R326" i="5"/>
  <c r="BJ200" i="5"/>
  <c r="BP21" i="5"/>
  <c r="BI407" i="5"/>
  <c r="BJ141" i="5"/>
  <c r="BK202" i="5"/>
  <c r="BI223" i="5"/>
  <c r="BN513" i="5"/>
  <c r="I508" i="5"/>
  <c r="BM388" i="5"/>
  <c r="L328" i="5"/>
  <c r="BP202" i="5"/>
  <c r="L144" i="5"/>
  <c r="I509" i="5"/>
  <c r="R388" i="5"/>
  <c r="BM327" i="5"/>
  <c r="I224" i="5"/>
  <c r="R202" i="5"/>
  <c r="R145" i="5"/>
  <c r="M41" i="5"/>
  <c r="I18" i="5"/>
  <c r="BO20" i="5"/>
  <c r="BO22" i="5"/>
  <c r="L143" i="5"/>
  <c r="O145" i="5"/>
  <c r="I201" i="5"/>
  <c r="BO203" i="5"/>
  <c r="BO205" i="5"/>
  <c r="L325" i="5"/>
  <c r="I328" i="5"/>
  <c r="I330" i="5"/>
  <c r="O386" i="5"/>
  <c r="O388" i="5"/>
  <c r="M409" i="5"/>
  <c r="L509" i="5"/>
  <c r="BN512" i="5"/>
  <c r="R19" i="5"/>
  <c r="R21" i="5"/>
  <c r="M44" i="5"/>
  <c r="O143" i="5"/>
  <c r="BO145" i="5"/>
  <c r="L19" i="5"/>
  <c r="O21" i="5"/>
  <c r="BM41" i="5"/>
  <c r="O141" i="5"/>
  <c r="BP144" i="5"/>
  <c r="BP146" i="5"/>
  <c r="I200" i="5"/>
  <c r="I203" i="5"/>
  <c r="I205" i="5"/>
  <c r="M226" i="5"/>
  <c r="I327" i="5"/>
  <c r="BP328" i="5"/>
  <c r="BP330" i="5"/>
  <c r="I384" i="5"/>
  <c r="I387" i="5"/>
  <c r="BN389" i="5"/>
  <c r="L511" i="5"/>
  <c r="BM513" i="5"/>
  <c r="I511" i="5"/>
  <c r="BJ411" i="5"/>
  <c r="R387" i="5"/>
  <c r="R327" i="5"/>
  <c r="M223" i="5"/>
  <c r="O200" i="5"/>
  <c r="BO146" i="5"/>
  <c r="BJ389" i="5"/>
  <c r="BJ387" i="5"/>
  <c r="BJ330" i="5"/>
  <c r="BJ328" i="5"/>
  <c r="BJ22" i="5"/>
  <c r="BJ20" i="5"/>
  <c r="BM411" i="5"/>
  <c r="BN385" i="5"/>
  <c r="BO19" i="5"/>
  <c r="BN17" i="5"/>
  <c r="BK388" i="5"/>
  <c r="BK329" i="5"/>
  <c r="BM326" i="5"/>
  <c r="BL21" i="5"/>
  <c r="BM410" i="5"/>
  <c r="BN386" i="5"/>
  <c r="BO384" i="5"/>
  <c r="BM18" i="5"/>
  <c r="BJ513" i="5"/>
  <c r="BJ512" i="5"/>
  <c r="BI511" i="5"/>
  <c r="BL205" i="5"/>
  <c r="BK204" i="5"/>
  <c r="BJ203" i="5"/>
  <c r="BL145" i="5"/>
  <c r="BK144" i="5"/>
  <c r="BN510" i="5"/>
  <c r="BO509" i="5"/>
  <c r="BO508" i="5"/>
  <c r="BJ223" i="5"/>
  <c r="BM226" i="5"/>
  <c r="BM201" i="5"/>
  <c r="BM200" i="5"/>
  <c r="BO143" i="5"/>
  <c r="BP142" i="5"/>
  <c r="BP141" i="5"/>
  <c r="AN22" i="5"/>
  <c r="H532" i="5"/>
  <c r="Q386" i="5"/>
  <c r="BL225" i="5"/>
  <c r="BL143" i="5"/>
  <c r="L389" i="5"/>
  <c r="L203" i="5"/>
  <c r="AH205" i="5"/>
  <c r="AI532" i="5"/>
  <c r="AO204" i="5"/>
  <c r="AX165" i="5"/>
  <c r="AO42" i="5"/>
  <c r="AX21" i="5"/>
  <c r="AI144" i="5"/>
  <c r="AL165" i="5"/>
  <c r="AI203" i="5"/>
  <c r="AW225" i="5"/>
  <c r="AW370" i="5"/>
  <c r="AX553" i="5"/>
  <c r="AI553" i="5"/>
  <c r="AX512" i="5"/>
  <c r="AO20" i="5"/>
  <c r="AL144" i="5"/>
  <c r="AL203" i="5"/>
  <c r="N409" i="5"/>
  <c r="H513" i="5"/>
  <c r="H349" i="5"/>
  <c r="BI165" i="5"/>
  <c r="H22" i="5"/>
  <c r="BI21" i="5"/>
  <c r="BI145" i="5"/>
  <c r="BJ509" i="5"/>
  <c r="BJ508" i="5"/>
  <c r="Q387" i="5"/>
  <c r="BL385" i="5"/>
  <c r="BL384" i="5"/>
  <c r="H329" i="5"/>
  <c r="BI326" i="5"/>
  <c r="K203" i="5"/>
  <c r="K200" i="5"/>
  <c r="H143" i="5"/>
  <c r="Q21" i="5"/>
  <c r="BK18" i="5"/>
  <c r="Q389" i="5"/>
  <c r="Q385" i="5"/>
  <c r="N330" i="5"/>
  <c r="Q326" i="5"/>
  <c r="Q205" i="5"/>
  <c r="Q201" i="5"/>
  <c r="Q145" i="5"/>
  <c r="N142" i="5"/>
  <c r="H20" i="5"/>
  <c r="Q17" i="5"/>
  <c r="H510" i="5"/>
  <c r="Q512" i="5"/>
  <c r="H44" i="5"/>
  <c r="M40" i="5"/>
  <c r="H409" i="5"/>
  <c r="BL226" i="5"/>
  <c r="J43" i="5"/>
  <c r="BK225" i="5"/>
  <c r="J409" i="5"/>
  <c r="H407" i="5"/>
  <c r="I409" i="5"/>
  <c r="N512" i="5"/>
  <c r="BN44" i="5"/>
  <c r="AH43" i="5"/>
  <c r="AN44" i="5"/>
  <c r="AO142" i="5"/>
  <c r="BN43" i="5"/>
  <c r="AI227" i="5"/>
  <c r="AO410" i="5"/>
  <c r="AW21" i="5"/>
  <c r="AX509" i="5"/>
  <c r="AH142" i="5"/>
  <c r="AH385" i="5"/>
  <c r="AW326" i="5"/>
  <c r="AO186" i="5"/>
  <c r="AI201" i="5"/>
  <c r="AW411" i="5"/>
  <c r="AK41" i="5"/>
  <c r="AP224" i="5"/>
  <c r="AX508" i="5"/>
  <c r="AL410" i="5"/>
  <c r="AH20" i="5"/>
  <c r="AI43" i="5"/>
  <c r="AP227" i="5"/>
  <c r="AH411" i="5"/>
  <c r="AW204" i="5"/>
  <c r="AW328" i="5"/>
  <c r="AW18" i="5"/>
  <c r="AM410" i="5"/>
  <c r="BL407" i="5"/>
  <c r="AL512" i="5"/>
  <c r="AL201" i="5"/>
  <c r="AX330" i="5"/>
  <c r="AO41" i="5"/>
  <c r="AO40" i="5"/>
  <c r="AH227" i="5"/>
  <c r="AK227" i="5"/>
  <c r="AM223" i="5"/>
  <c r="AX386" i="5"/>
  <c r="AK17" i="5"/>
  <c r="AY44" i="5"/>
  <c r="AH44" i="5"/>
  <c r="AK408" i="5"/>
  <c r="AX224" i="5"/>
  <c r="AX41" i="5"/>
  <c r="AH408" i="5"/>
  <c r="AH407" i="5"/>
  <c r="AI40" i="5"/>
  <c r="N224" i="5"/>
  <c r="L408" i="5"/>
  <c r="M227" i="5"/>
  <c r="BI42" i="5"/>
  <c r="BM223" i="5"/>
  <c r="BM43" i="5"/>
  <c r="BJ409" i="5"/>
  <c r="I41" i="5"/>
  <c r="M224" i="5"/>
  <c r="AM42" i="5"/>
  <c r="AH42" i="5"/>
  <c r="BJ225" i="5"/>
  <c r="BI411" i="5"/>
  <c r="L227" i="5"/>
  <c r="BN223" i="5"/>
  <c r="H227" i="5"/>
  <c r="AL44" i="5"/>
  <c r="AP40" i="5"/>
  <c r="AI224" i="5"/>
  <c r="AY408" i="5"/>
  <c r="I227" i="5"/>
  <c r="I411" i="5"/>
  <c r="N410" i="5"/>
  <c r="H411" i="5"/>
  <c r="AY42" i="5"/>
  <c r="H42" i="5"/>
  <c r="BI409" i="5"/>
  <c r="AO224" i="5"/>
  <c r="AI41" i="5"/>
  <c r="AJ224" i="5"/>
  <c r="J41" i="5"/>
  <c r="BJ408" i="5"/>
  <c r="AX223" i="5"/>
  <c r="AM407" i="5"/>
  <c r="BI44" i="5"/>
  <c r="L411" i="5"/>
  <c r="L43" i="5"/>
  <c r="AL42" i="5"/>
  <c r="BM407" i="5"/>
  <c r="BJ227" i="5"/>
  <c r="BM40" i="5"/>
  <c r="BJ42" i="5"/>
  <c r="M411" i="5"/>
  <c r="I407" i="5"/>
  <c r="I40" i="5"/>
  <c r="N42" i="5"/>
  <c r="L42" i="5"/>
  <c r="BL40" i="5"/>
  <c r="H223" i="5"/>
  <c r="BN40" i="5"/>
  <c r="N40" i="5"/>
  <c r="M407" i="5"/>
  <c r="AK40" i="5"/>
  <c r="AK42" i="5"/>
  <c r="AO408" i="5"/>
  <c r="M43" i="5"/>
  <c r="N43" i="5"/>
  <c r="AO44" i="5"/>
  <c r="AY227" i="5"/>
  <c r="BM42" i="5"/>
  <c r="D14" i="62922"/>
  <c r="AM20" i="62925"/>
  <c r="V69" i="62927"/>
  <c r="I75" i="3"/>
  <c r="O70" i="3"/>
  <c r="L70" i="3" s="1"/>
  <c r="W75" i="3"/>
  <c r="O70" i="62927"/>
  <c r="L70" i="62927" s="1"/>
  <c r="V73" i="3"/>
  <c r="C31" i="62910"/>
  <c r="E31" i="62910" s="1"/>
  <c r="J26" i="62927"/>
  <c r="T24" i="62927"/>
  <c r="T26" i="62927" s="1"/>
  <c r="U75" i="3"/>
  <c r="V72" i="62927"/>
  <c r="I111" i="62927"/>
  <c r="D110" i="62927"/>
  <c r="W27" i="62914"/>
  <c r="X15" i="62915"/>
  <c r="L15" i="62915"/>
  <c r="J213" i="62927"/>
  <c r="L111" i="62927"/>
  <c r="M111" i="62927"/>
  <c r="S46" i="62927"/>
  <c r="V70" i="3"/>
  <c r="D73" i="62927"/>
  <c r="S75" i="62927"/>
  <c r="V71" i="62927"/>
  <c r="D70" i="62927"/>
  <c r="J193" i="62927"/>
  <c r="E405" i="62919"/>
  <c r="E406" i="62919" s="1"/>
  <c r="C102" i="62919"/>
  <c r="D916" i="62919"/>
  <c r="E218" i="62919"/>
  <c r="E219" i="62919" s="1"/>
  <c r="E124" i="62919"/>
  <c r="E125" i="62919" s="1"/>
  <c r="C121" i="62919"/>
  <c r="D122" i="62919"/>
  <c r="D123" i="62919" s="1"/>
  <c r="C217" i="62919"/>
  <c r="X44" i="7"/>
  <c r="Y44" i="7"/>
  <c r="AJ298" i="62898"/>
  <c r="I147" i="3"/>
  <c r="L213" i="3"/>
  <c r="I107" i="62925"/>
  <c r="T107" i="62925" s="1"/>
  <c r="T75" i="3"/>
  <c r="G171" i="3"/>
  <c r="G181" i="3" s="1"/>
  <c r="G236" i="3"/>
  <c r="G212" i="3"/>
  <c r="G213" i="3" s="1"/>
  <c r="F171" i="3"/>
  <c r="F181" i="3" s="1"/>
  <c r="F236" i="3"/>
  <c r="F212" i="3"/>
  <c r="U28" i="11"/>
  <c r="L15" i="62927"/>
  <c r="H109" i="62927"/>
  <c r="D45" i="62898"/>
  <c r="E18" i="62924"/>
  <c r="E19" i="62924" s="1"/>
  <c r="E20" i="62924" s="1"/>
  <c r="E21" i="62924" s="1"/>
  <c r="AD313" i="62928"/>
  <c r="G44" i="7"/>
  <c r="H44" i="7" s="1"/>
  <c r="Z44" i="7" s="1"/>
  <c r="W44" i="7"/>
  <c r="E223" i="62924"/>
  <c r="E224" i="62924" s="1"/>
  <c r="AX64" i="62926"/>
  <c r="AA78" i="62898"/>
  <c r="AU77" i="62898"/>
  <c r="AT78" i="62898"/>
  <c r="AM26" i="62925"/>
  <c r="AF64" i="2"/>
  <c r="AN16" i="62925"/>
  <c r="AN25" i="62925"/>
  <c r="AM25" i="62925"/>
  <c r="AI54" i="62925"/>
  <c r="AJ28" i="62925"/>
  <c r="AM17" i="62925"/>
  <c r="AN37" i="62926"/>
  <c r="AJ40" i="62926"/>
  <c r="K316" i="62925"/>
  <c r="J34" i="62912"/>
  <c r="S34" i="62912" s="1"/>
  <c r="F284" i="62925"/>
  <c r="J300" i="62925"/>
  <c r="J25" i="62912"/>
  <c r="S25" i="62912" s="1"/>
  <c r="M27" i="62914"/>
  <c r="M32" i="62929" s="1"/>
  <c r="Y32" i="62929" s="1"/>
  <c r="H250" i="62925"/>
  <c r="G26" i="62914"/>
  <c r="S26" i="62914" s="1"/>
  <c r="G284" i="62925"/>
  <c r="G250" i="62925"/>
  <c r="L274" i="62925"/>
  <c r="J315" i="62925"/>
  <c r="F339" i="62925"/>
  <c r="L273" i="62925"/>
  <c r="AJ40" i="62925"/>
  <c r="AM37" i="62925"/>
  <c r="AH28" i="62925"/>
  <c r="AI28" i="62925"/>
  <c r="AP28" i="62925"/>
  <c r="AF54" i="62925"/>
  <c r="K15" i="62914"/>
  <c r="D233" i="62898"/>
  <c r="AS296" i="62898"/>
  <c r="T296" i="62898"/>
  <c r="AS252" i="62898"/>
  <c r="AA233" i="62898"/>
  <c r="X233" i="62898" s="1"/>
  <c r="G221" i="62898"/>
  <c r="I221" i="62898" s="1"/>
  <c r="D77" i="62898"/>
  <c r="K80" i="62898"/>
  <c r="AC78" i="62898"/>
  <c r="AA77" i="62898"/>
  <c r="M80" i="62898"/>
  <c r="AT86" i="62898"/>
  <c r="S287" i="5"/>
  <c r="AL290" i="5"/>
  <c r="AU471" i="5"/>
  <c r="AU473" i="5" s="1"/>
  <c r="AE158" i="5"/>
  <c r="X158" i="5" s="1"/>
  <c r="I16" i="62915"/>
  <c r="AE483" i="5"/>
  <c r="X483" i="5" s="1"/>
  <c r="AE435" i="5"/>
  <c r="X435" i="5" s="1"/>
  <c r="AU423" i="5"/>
  <c r="AE362" i="5"/>
  <c r="X362" i="5" s="1"/>
  <c r="AE252" i="5"/>
  <c r="X252" i="5" s="1"/>
  <c r="AU56" i="5"/>
  <c r="AU288" i="5"/>
  <c r="AU290" i="5" s="1"/>
  <c r="H651" i="5"/>
  <c r="H16" i="62912"/>
  <c r="AN106" i="5"/>
  <c r="AL106" i="5"/>
  <c r="AR473" i="5"/>
  <c r="AL473" i="5"/>
  <c r="AC32" i="11"/>
  <c r="G215" i="11" s="1"/>
  <c r="AA32" i="11"/>
  <c r="F156" i="11" s="1"/>
  <c r="F161" i="11" s="1"/>
  <c r="AG59" i="11"/>
  <c r="W26" i="62914"/>
  <c r="AS77" i="62898"/>
  <c r="U75" i="62927"/>
  <c r="W75" i="62927"/>
  <c r="V73" i="62927"/>
  <c r="I75" i="62927"/>
  <c r="Y12" i="62914"/>
  <c r="AC158" i="62926"/>
  <c r="W158" i="62926" s="1"/>
  <c r="AM105" i="62926"/>
  <c r="AC160" i="62926"/>
  <c r="W160" i="62926" s="1"/>
  <c r="I107" i="62926"/>
  <c r="T107" i="62926" s="1"/>
  <c r="AE103" i="62926"/>
  <c r="AC139" i="62926"/>
  <c r="W139" i="62926" s="1"/>
  <c r="R16" i="62914"/>
  <c r="M21" i="62929"/>
  <c r="Y21" i="62929" s="1"/>
  <c r="S20" i="62904"/>
  <c r="BD275" i="62898"/>
  <c r="H32" i="62912"/>
  <c r="Q32" i="62912" s="1"/>
  <c r="AK28" i="62926"/>
  <c r="AN19" i="62925"/>
  <c r="AF28" i="62925"/>
  <c r="R19" i="62925"/>
  <c r="J337" i="62925"/>
  <c r="M268" i="62926"/>
  <c r="F300" i="62926"/>
  <c r="F339" i="62926" s="1"/>
  <c r="K300" i="62926"/>
  <c r="K316" i="62926" s="1"/>
  <c r="G234" i="62926"/>
  <c r="G315" i="62926"/>
  <c r="G249" i="62926"/>
  <c r="G34" i="62912" s="1"/>
  <c r="P34" i="62912" s="1"/>
  <c r="AI28" i="62926"/>
  <c r="C28" i="62909"/>
  <c r="V71" i="3"/>
  <c r="Z46" i="62926"/>
  <c r="AR290" i="5"/>
  <c r="X213" i="5"/>
  <c r="AE217" i="5"/>
  <c r="X217" i="5" s="1"/>
  <c r="AH298" i="5"/>
  <c r="D300" i="5"/>
  <c r="AE300" i="5"/>
  <c r="X300" i="5" s="1"/>
  <c r="X64" i="5"/>
  <c r="AE68" i="5"/>
  <c r="X68" i="5" s="1"/>
  <c r="AQ473" i="5"/>
  <c r="AA19" i="62929"/>
  <c r="AE525" i="5"/>
  <c r="X525" i="5" s="1"/>
  <c r="X30" i="5"/>
  <c r="AE34" i="5"/>
  <c r="X34" i="5" s="1"/>
  <c r="AH30" i="5"/>
  <c r="D34" i="5"/>
  <c r="AH114" i="5"/>
  <c r="D116" i="5"/>
  <c r="AH213" i="5"/>
  <c r="D217" i="5"/>
  <c r="X397" i="5"/>
  <c r="AE401" i="5"/>
  <c r="X401" i="5" s="1"/>
  <c r="AH397" i="5"/>
  <c r="D401" i="5"/>
  <c r="AH358" i="5"/>
  <c r="D362" i="5"/>
  <c r="AH338" i="5"/>
  <c r="D342" i="5"/>
  <c r="D178" i="5"/>
  <c r="AH174" i="5"/>
  <c r="D158" i="5"/>
  <c r="AH155" i="5"/>
  <c r="AE116" i="5"/>
  <c r="X116" i="5" s="1"/>
  <c r="S240" i="5"/>
  <c r="S423" i="5"/>
  <c r="AB56" i="5"/>
  <c r="T471" i="5"/>
  <c r="AA287" i="5"/>
  <c r="AA103" i="5"/>
  <c r="T56" i="5"/>
  <c r="AX290" i="5"/>
  <c r="W35" i="62914"/>
  <c r="Y35" i="62914"/>
  <c r="G55" i="62915"/>
  <c r="V72" i="3"/>
  <c r="C21" i="62892"/>
  <c r="C27" i="62909"/>
  <c r="E27" i="62909" s="1"/>
  <c r="I109" i="3"/>
  <c r="E109" i="3"/>
  <c r="C21" i="62910"/>
  <c r="E21" i="62910" s="1"/>
  <c r="H109" i="3"/>
  <c r="K109" i="3" s="1"/>
  <c r="L15" i="3"/>
  <c r="R75" i="3"/>
  <c r="V69" i="3"/>
  <c r="AF92" i="62925"/>
  <c r="AC127" i="62925"/>
  <c r="W127" i="62925" s="1"/>
  <c r="AN17" i="62925"/>
  <c r="Z23" i="62925"/>
  <c r="Z102" i="62925"/>
  <c r="AO28" i="62925"/>
  <c r="AK28" i="62925"/>
  <c r="F55" i="62915"/>
  <c r="D103" i="62926"/>
  <c r="AA106" i="62926"/>
  <c r="AA14" i="62914"/>
  <c r="AR232" i="9"/>
  <c r="J298" i="9" s="1"/>
  <c r="AR37" i="9"/>
  <c r="V44" i="7"/>
  <c r="D35" i="62919"/>
  <c r="C35" i="62919" s="1"/>
  <c r="O229" i="9"/>
  <c r="D229" i="9" s="1"/>
  <c r="AD229" i="9" s="1"/>
  <c r="Y229" i="9" s="1"/>
  <c r="O227" i="9"/>
  <c r="D227" i="9" s="1"/>
  <c r="AD227" i="9" s="1"/>
  <c r="Y227" i="9" s="1"/>
  <c r="E265" i="9"/>
  <c r="F265" i="9" s="1"/>
  <c r="AH57" i="9"/>
  <c r="O226" i="9"/>
  <c r="D226" i="9" s="1"/>
  <c r="AD226" i="9" s="1"/>
  <c r="Y226" i="9" s="1"/>
  <c r="AE59" i="62904"/>
  <c r="F234" i="62904"/>
  <c r="F32" i="62915" s="1"/>
  <c r="R32" i="62915" s="1"/>
  <c r="M35" i="62929"/>
  <c r="Y35" i="62929" s="1"/>
  <c r="N21" i="62929"/>
  <c r="Z21" i="62929" s="1"/>
  <c r="AQ37" i="9"/>
  <c r="AD37" i="9"/>
  <c r="Y37" i="9" s="1"/>
  <c r="AP57" i="9"/>
  <c r="E89" i="62924"/>
  <c r="E90" i="62924" s="1"/>
  <c r="D88" i="62924"/>
  <c r="D39" i="62924"/>
  <c r="AD239" i="9"/>
  <c r="AD241" i="9" s="1"/>
  <c r="Y241" i="9" s="1"/>
  <c r="AP47" i="9"/>
  <c r="C182" i="62909"/>
  <c r="E182" i="62909" s="1"/>
  <c r="C169" i="62909"/>
  <c r="E169" i="62909" s="1"/>
  <c r="AD57" i="9"/>
  <c r="Y57" i="9" s="1"/>
  <c r="F261" i="9"/>
  <c r="D16" i="62924"/>
  <c r="AP129" i="9"/>
  <c r="AH174" i="9"/>
  <c r="AH129" i="9"/>
  <c r="AD129" i="9"/>
  <c r="Y129" i="9" s="1"/>
  <c r="J274" i="9"/>
  <c r="AG28" i="62904"/>
  <c r="F64" i="62914"/>
  <c r="G64" i="62914"/>
  <c r="G257" i="62926"/>
  <c r="G225" i="62926"/>
  <c r="G291" i="62926"/>
  <c r="G268" i="62926"/>
  <c r="K291" i="62926"/>
  <c r="J225" i="62926"/>
  <c r="M257" i="62926"/>
  <c r="J234" i="62926"/>
  <c r="H10" i="62912"/>
  <c r="AE28" i="62926"/>
  <c r="F268" i="62926"/>
  <c r="E291" i="62926"/>
  <c r="E257" i="62926"/>
  <c r="E225" i="62926"/>
  <c r="F257" i="62926"/>
  <c r="F291" i="62926"/>
  <c r="F225" i="62926"/>
  <c r="AH40" i="62926"/>
  <c r="AJ28" i="62926"/>
  <c r="AO28" i="62926"/>
  <c r="R16" i="62926"/>
  <c r="AF28" i="62926"/>
  <c r="AF40" i="62926"/>
  <c r="AM17" i="62926"/>
  <c r="AN34" i="62926"/>
  <c r="AM25" i="62926"/>
  <c r="D86" i="62905"/>
  <c r="G21" i="62929"/>
  <c r="S21" i="62929" s="1"/>
  <c r="AA17" i="62914"/>
  <c r="AE140" i="62925"/>
  <c r="D140" i="62925"/>
  <c r="Z26" i="62925"/>
  <c r="D92" i="62925"/>
  <c r="Z46" i="62925"/>
  <c r="AA103" i="62925"/>
  <c r="Z19" i="62925"/>
  <c r="Z103" i="62925"/>
  <c r="AG28" i="62925"/>
  <c r="E316" i="62925"/>
  <c r="AA37" i="62914"/>
  <c r="U17" i="62914"/>
  <c r="E26" i="62914"/>
  <c r="E31" i="62929" s="1"/>
  <c r="Q31" i="62929" s="1"/>
  <c r="E25" i="62915"/>
  <c r="Q25" i="62915" s="1"/>
  <c r="J306" i="62925"/>
  <c r="I17" i="62912"/>
  <c r="F58" i="62912" s="1"/>
  <c r="D46" i="62925"/>
  <c r="Z38" i="62925"/>
  <c r="AM13" i="62925"/>
  <c r="AM19" i="62925"/>
  <c r="AE171" i="62926"/>
  <c r="Z92" i="62926"/>
  <c r="H132" i="62926"/>
  <c r="AN105" i="62926"/>
  <c r="AN106" i="62926"/>
  <c r="AM16" i="62926"/>
  <c r="AN16" i="62926"/>
  <c r="AE160" i="62926"/>
  <c r="D160" i="62926"/>
  <c r="D46" i="62926"/>
  <c r="AA17" i="62926"/>
  <c r="AH28" i="62926"/>
  <c r="AA103" i="62926"/>
  <c r="AL28" i="62926"/>
  <c r="AC142" i="62926"/>
  <c r="W142" i="62926" s="1"/>
  <c r="H214" i="9"/>
  <c r="AH20" i="9"/>
  <c r="AP15" i="9"/>
  <c r="AP20" i="9" s="1"/>
  <c r="AD174" i="9"/>
  <c r="Y174" i="9" s="1"/>
  <c r="H213" i="9"/>
  <c r="J213" i="9" s="1"/>
  <c r="H215" i="9"/>
  <c r="Y15" i="9"/>
  <c r="BH15" i="9" s="1"/>
  <c r="BH20" i="9" s="1"/>
  <c r="AU45" i="62898"/>
  <c r="E991" i="62921"/>
  <c r="E992" i="62921" s="1"/>
  <c r="L41" i="62929"/>
  <c r="X41" i="62929" s="1"/>
  <c r="AJ80" i="62898"/>
  <c r="J485" i="62898"/>
  <c r="AT45" i="62898"/>
  <c r="AH29" i="62898"/>
  <c r="AT87" i="62898"/>
  <c r="AH90" i="62898"/>
  <c r="AS87" i="62898"/>
  <c r="K316" i="62898"/>
  <c r="AB30" i="62898"/>
  <c r="AH30" i="62898"/>
  <c r="AT30" i="62898" s="1"/>
  <c r="AM80" i="62898"/>
  <c r="AG80" i="62898"/>
  <c r="AS76" i="62898"/>
  <c r="AN60" i="62898"/>
  <c r="AL80" i="62898"/>
  <c r="AT76" i="62898"/>
  <c r="AH80" i="62898"/>
  <c r="AN80" i="62898"/>
  <c r="AK80" i="62898"/>
  <c r="AV80" i="62898"/>
  <c r="AT42" i="62898"/>
  <c r="AH60" i="62898"/>
  <c r="AK60" i="62898"/>
  <c r="AS45" i="62898"/>
  <c r="AW60" i="62898"/>
  <c r="AW80" i="62898"/>
  <c r="E254" i="62923"/>
  <c r="D253" i="62923"/>
  <c r="D418" i="62923"/>
  <c r="E383" i="62923"/>
  <c r="D382" i="62923"/>
  <c r="AG27" i="11"/>
  <c r="F32" i="62912"/>
  <c r="O32" i="62912" s="1"/>
  <c r="T75" i="62927"/>
  <c r="V70" i="62927"/>
  <c r="R75" i="62927"/>
  <c r="Q12" i="62914"/>
  <c r="E17" i="62929"/>
  <c r="Q17" i="62929" s="1"/>
  <c r="O82" i="62927"/>
  <c r="L82" i="62927" s="1"/>
  <c r="V82" i="62927"/>
  <c r="O72" i="62927"/>
  <c r="L72" i="62927" s="1"/>
  <c r="AI188" i="2"/>
  <c r="AQ182" i="2"/>
  <c r="O71" i="62927"/>
  <c r="L71" i="62927" s="1"/>
  <c r="D71" i="62927"/>
  <c r="D69" i="62927"/>
  <c r="O69" i="62927"/>
  <c r="L69" i="62927" s="1"/>
  <c r="S75" i="3"/>
  <c r="V68" i="3"/>
  <c r="O26" i="62927"/>
  <c r="L26" i="62927" s="1"/>
  <c r="V82" i="3"/>
  <c r="AE156" i="62905"/>
  <c r="AU147" i="62905"/>
  <c r="D73" i="62918"/>
  <c r="AE188" i="2"/>
  <c r="AQ181" i="2"/>
  <c r="E14" i="62918"/>
  <c r="E15" i="62918" s="1"/>
  <c r="D13" i="62918"/>
  <c r="Q179" i="2"/>
  <c r="H57" i="3"/>
  <c r="I57" i="3" s="1"/>
  <c r="H57" i="62927"/>
  <c r="I57" i="62927" s="1"/>
  <c r="H56" i="62927"/>
  <c r="I56" i="62927" s="1"/>
  <c r="H55" i="62927"/>
  <c r="I55" i="62927" s="1"/>
  <c r="H55" i="3"/>
  <c r="I55" i="3" s="1"/>
  <c r="H56" i="3"/>
  <c r="I56" i="3" s="1"/>
  <c r="Z86" i="3"/>
  <c r="I86" i="3"/>
  <c r="J86" i="3" s="1"/>
  <c r="R83" i="62927"/>
  <c r="W83" i="3"/>
  <c r="S83" i="3"/>
  <c r="H109" i="62904"/>
  <c r="I109" i="62904" s="1"/>
  <c r="I85" i="62927"/>
  <c r="J85" i="62927" s="1"/>
  <c r="H97" i="62927"/>
  <c r="I97" i="62927" s="1"/>
  <c r="Z57" i="62927"/>
  <c r="Z96" i="62927"/>
  <c r="Z56" i="62927"/>
  <c r="H110" i="62904"/>
  <c r="I110" i="62904" s="1"/>
  <c r="Z86" i="62927"/>
  <c r="W85" i="62927"/>
  <c r="W86" i="62927"/>
  <c r="Z85" i="3"/>
  <c r="T86" i="3"/>
  <c r="S86" i="3"/>
  <c r="W83" i="62927"/>
  <c r="U83" i="3"/>
  <c r="S83" i="62927"/>
  <c r="R83" i="3"/>
  <c r="H83" i="62927"/>
  <c r="J83" i="62927" s="1"/>
  <c r="H96" i="62927"/>
  <c r="I96" i="62927" s="1"/>
  <c r="Z98" i="3"/>
  <c r="Z97" i="62927"/>
  <c r="Z83" i="3"/>
  <c r="S86" i="62927"/>
  <c r="U86" i="62927"/>
  <c r="R85" i="3"/>
  <c r="H98" i="62927"/>
  <c r="I98" i="62927" s="1"/>
  <c r="AS109" i="62904"/>
  <c r="Z55" i="3"/>
  <c r="T85" i="62927"/>
  <c r="R86" i="3"/>
  <c r="AM95" i="62904"/>
  <c r="AG103" i="62904"/>
  <c r="L68" i="62927"/>
  <c r="C23" i="62892"/>
  <c r="C29" i="62909"/>
  <c r="E29" i="62909" s="1"/>
  <c r="C23" i="62910"/>
  <c r="E23" i="62910" s="1"/>
  <c r="E111" i="3"/>
  <c r="I111" i="3"/>
  <c r="Z85" i="62927"/>
  <c r="T85" i="3"/>
  <c r="S85" i="3"/>
  <c r="S85" i="62927"/>
  <c r="R86" i="62927"/>
  <c r="R85" i="62927"/>
  <c r="Z97" i="3"/>
  <c r="Z56" i="3"/>
  <c r="Z55" i="62927"/>
  <c r="Z57" i="3"/>
  <c r="Z98" i="62927"/>
  <c r="I86" i="62927"/>
  <c r="J86" i="62927" s="1"/>
  <c r="U83" i="62927"/>
  <c r="V81" i="62927"/>
  <c r="AS110" i="62904"/>
  <c r="H97" i="3"/>
  <c r="I97" i="3" s="1"/>
  <c r="I85" i="3"/>
  <c r="J85" i="3" s="1"/>
  <c r="D82" i="3"/>
  <c r="O82" i="3"/>
  <c r="L82" i="3" s="1"/>
  <c r="H111" i="62904"/>
  <c r="I111" i="62904" s="1"/>
  <c r="L46" i="3"/>
  <c r="H111" i="3"/>
  <c r="AM156" i="62905"/>
  <c r="AU150" i="62905"/>
  <c r="I127" i="62927"/>
  <c r="E74" i="62918"/>
  <c r="AI156" i="62905"/>
  <c r="AU148" i="62905"/>
  <c r="V95" i="62904"/>
  <c r="C22" i="62892"/>
  <c r="C22" i="62910"/>
  <c r="I110" i="3"/>
  <c r="G31" i="62892"/>
  <c r="D31" i="62892"/>
  <c r="L68" i="3"/>
  <c r="U85" i="3"/>
  <c r="U86" i="3"/>
  <c r="W86" i="3"/>
  <c r="W85" i="3"/>
  <c r="U85" i="62927"/>
  <c r="T86" i="62927"/>
  <c r="Z83" i="62927"/>
  <c r="Z96" i="3"/>
  <c r="AS111" i="62904"/>
  <c r="V81" i="3"/>
  <c r="T83" i="3"/>
  <c r="T83" i="62927"/>
  <c r="H98" i="3"/>
  <c r="I98" i="3" s="1"/>
  <c r="H96" i="3"/>
  <c r="I96" i="3" s="1"/>
  <c r="H83" i="3"/>
  <c r="J83" i="3" s="1"/>
  <c r="D81" i="3"/>
  <c r="O81" i="3"/>
  <c r="L81" i="62927"/>
  <c r="AE40" i="62905"/>
  <c r="AA308" i="62898"/>
  <c r="AA137" i="62898"/>
  <c r="AT252" i="62898"/>
  <c r="AS304" i="62898"/>
  <c r="AS308" i="62898" s="1"/>
  <c r="AG308" i="62898"/>
  <c r="AG137" i="62898"/>
  <c r="AS133" i="62898"/>
  <c r="AS137" i="62898" s="1"/>
  <c r="AA175" i="62898"/>
  <c r="X171" i="62898"/>
  <c r="D175" i="62898"/>
  <c r="AG171" i="62898"/>
  <c r="BC275" i="62898"/>
  <c r="AA296" i="62898"/>
  <c r="AS260" i="62898"/>
  <c r="AS264" i="62898" s="1"/>
  <c r="AG264" i="62898"/>
  <c r="AU29" i="62898"/>
  <c r="J475" i="62898"/>
  <c r="F475" i="62898"/>
  <c r="C141" i="62909"/>
  <c r="E141" i="62909" s="1"/>
  <c r="E36" i="62919"/>
  <c r="E37" i="62919" s="1"/>
  <c r="E15" i="62923"/>
  <c r="E16" i="62923" s="1"/>
  <c r="E17" i="62923" s="1"/>
  <c r="D14" i="62923"/>
  <c r="D32" i="62923"/>
  <c r="W19" i="62914"/>
  <c r="K24" i="62929"/>
  <c r="W24" i="62929" s="1"/>
  <c r="AG29" i="11"/>
  <c r="AI112" i="62905"/>
  <c r="AE127" i="62905"/>
  <c r="AJ64" i="2"/>
  <c r="AB64" i="2"/>
  <c r="AY112" i="62905"/>
  <c r="AU231" i="62905"/>
  <c r="AV64" i="2"/>
  <c r="AV79" i="2"/>
  <c r="AI97" i="62905"/>
  <c r="AM97" i="62905"/>
  <c r="AY127" i="62905"/>
  <c r="O207" i="2"/>
  <c r="D207" i="2" s="1"/>
  <c r="D276" i="62923"/>
  <c r="AU75" i="62905"/>
  <c r="AI127" i="62905"/>
  <c r="AU109" i="62905"/>
  <c r="D93" i="11"/>
  <c r="I93" i="11" s="1"/>
  <c r="D125" i="62905"/>
  <c r="AU78" i="62905"/>
  <c r="AU86" i="62905"/>
  <c r="U46" i="11"/>
  <c r="H93" i="11" s="1"/>
  <c r="G77" i="62909" s="1"/>
  <c r="H77" i="62909" s="1"/>
  <c r="D118" i="62905"/>
  <c r="D103" i="62905"/>
  <c r="D110" i="62905"/>
  <c r="AN64" i="2"/>
  <c r="AU188" i="2"/>
  <c r="U18" i="11"/>
  <c r="H91" i="11" s="1"/>
  <c r="G75" i="62909" s="1"/>
  <c r="H75" i="62909" s="1"/>
  <c r="U59" i="11"/>
  <c r="H94" i="11" s="1"/>
  <c r="G78" i="62909" s="1"/>
  <c r="H78" i="62909" s="1"/>
  <c r="D91" i="11"/>
  <c r="E77" i="11"/>
  <c r="D109" i="62905"/>
  <c r="AE112" i="62905"/>
  <c r="D95" i="62905"/>
  <c r="AU77" i="62905"/>
  <c r="AU119" i="62905"/>
  <c r="AM112" i="62905"/>
  <c r="AM127" i="62905"/>
  <c r="D119" i="62905"/>
  <c r="AB79" i="2"/>
  <c r="AU110" i="62905"/>
  <c r="AU125" i="62905"/>
  <c r="AE97" i="62905"/>
  <c r="AU95" i="62905"/>
  <c r="D77" i="2"/>
  <c r="AQ97" i="62905"/>
  <c r="AD207" i="2"/>
  <c r="N211" i="2"/>
  <c r="W207" i="2"/>
  <c r="U207" i="2"/>
  <c r="U211" i="2" s="1"/>
  <c r="AB207" i="2"/>
  <c r="L211" i="2"/>
  <c r="D92" i="2"/>
  <c r="D86" i="2"/>
  <c r="AG46" i="11"/>
  <c r="E80" i="11"/>
  <c r="D94" i="11"/>
  <c r="D43" i="2"/>
  <c r="AJ79" i="2"/>
  <c r="AF79" i="2"/>
  <c r="D44" i="2"/>
  <c r="D231" i="62905"/>
  <c r="AU227" i="62905"/>
  <c r="AU103" i="62905"/>
  <c r="AU118" i="62905"/>
  <c r="D76" i="2"/>
  <c r="AQ112" i="62905"/>
  <c r="AQ127" i="62905"/>
  <c r="AY97" i="62905"/>
  <c r="V207" i="2"/>
  <c r="AC207" i="2"/>
  <c r="M211" i="2"/>
  <c r="T207" i="2"/>
  <c r="T211" i="2" s="1"/>
  <c r="AA207" i="2"/>
  <c r="K211" i="2"/>
  <c r="AU74" i="62905"/>
  <c r="AN79" i="2"/>
  <c r="AG18" i="11"/>
  <c r="E613" i="5"/>
  <c r="C548" i="62922"/>
  <c r="D478" i="62922"/>
  <c r="E607" i="5"/>
  <c r="AW369" i="5"/>
  <c r="AO144" i="5"/>
  <c r="AL553" i="5"/>
  <c r="BB443" i="5"/>
  <c r="AN184" i="5"/>
  <c r="BC74" i="5"/>
  <c r="AO325" i="5"/>
  <c r="AO201" i="5"/>
  <c r="AH226" i="5"/>
  <c r="BD441" i="5"/>
  <c r="BK43" i="5"/>
  <c r="N513" i="5"/>
  <c r="BL370" i="5"/>
  <c r="BI531" i="5"/>
  <c r="BL552" i="5"/>
  <c r="K164" i="5"/>
  <c r="BI258" i="5"/>
  <c r="H368" i="5"/>
  <c r="K508" i="5"/>
  <c r="H533" i="5"/>
  <c r="H166" i="5"/>
  <c r="BI441" i="5"/>
  <c r="K512" i="5"/>
  <c r="N509" i="5"/>
  <c r="H18" i="5"/>
  <c r="K20" i="5"/>
  <c r="Q142" i="5"/>
  <c r="K146" i="5"/>
  <c r="H202" i="5"/>
  <c r="H325" i="5"/>
  <c r="H327" i="5"/>
  <c r="H384" i="5"/>
  <c r="H386" i="5"/>
  <c r="L200" i="5"/>
  <c r="BL18" i="5"/>
  <c r="K22" i="5"/>
  <c r="K143" i="5"/>
  <c r="Q200" i="5"/>
  <c r="Q203" i="5"/>
  <c r="BJ326" i="5"/>
  <c r="K329" i="5"/>
  <c r="BI385" i="5"/>
  <c r="N388" i="5"/>
  <c r="BK509" i="5"/>
  <c r="BJ142" i="5"/>
  <c r="BL202" i="5"/>
  <c r="BI532" i="5"/>
  <c r="AL186" i="5"/>
  <c r="AL22" i="5"/>
  <c r="AW409" i="5"/>
  <c r="AO349" i="5"/>
  <c r="AL202" i="5"/>
  <c r="AI143" i="5"/>
  <c r="AJ225" i="5"/>
  <c r="BP19" i="5"/>
  <c r="BO512" i="5"/>
  <c r="Q327" i="5"/>
  <c r="AI204" i="5"/>
  <c r="AL143" i="5"/>
  <c r="AI21" i="5"/>
  <c r="AL20" i="5"/>
  <c r="AN19" i="5"/>
  <c r="AO553" i="5"/>
  <c r="AO510" i="5"/>
  <c r="AK370" i="5"/>
  <c r="AO225" i="5"/>
  <c r="AL204" i="5"/>
  <c r="AW165" i="5"/>
  <c r="AL19" i="5"/>
  <c r="BI146" i="5"/>
  <c r="H17" i="5"/>
  <c r="L388" i="5"/>
  <c r="BO328" i="5"/>
  <c r="BJ202" i="5"/>
  <c r="BI141" i="5"/>
  <c r="BK386" i="5"/>
  <c r="BL142" i="5"/>
  <c r="BI200" i="5"/>
  <c r="O512" i="5"/>
  <c r="BJ441" i="5"/>
  <c r="L387" i="5"/>
  <c r="L348" i="5"/>
  <c r="L327" i="5"/>
  <c r="BP205" i="5"/>
  <c r="L201" i="5"/>
  <c r="BN21" i="5"/>
  <c r="I513" i="5"/>
  <c r="I410" i="5"/>
  <c r="BP387" i="5"/>
  <c r="BM330" i="5"/>
  <c r="BN325" i="5"/>
  <c r="R205" i="5"/>
  <c r="R143" i="5"/>
  <c r="BP22" i="5"/>
  <c r="R18" i="5"/>
  <c r="BM21" i="5"/>
  <c r="I141" i="5"/>
  <c r="I144" i="5"/>
  <c r="I146" i="5"/>
  <c r="BM203" i="5"/>
  <c r="BM205" i="5"/>
  <c r="O327" i="5"/>
  <c r="O329" i="5"/>
  <c r="BJ349" i="5"/>
  <c r="BD258" i="5"/>
  <c r="AP74" i="5"/>
  <c r="AN205" i="5"/>
  <c r="AO511" i="5"/>
  <c r="AO18" i="5"/>
  <c r="AX385" i="5"/>
  <c r="AL533" i="5"/>
  <c r="AI184" i="5"/>
  <c r="AX531" i="5"/>
  <c r="AK410" i="5"/>
  <c r="BI370" i="5"/>
  <c r="BL349" i="5"/>
  <c r="BK410" i="5"/>
  <c r="BK226" i="5"/>
  <c r="BI74" i="5"/>
  <c r="BL184" i="5"/>
  <c r="H226" i="5"/>
  <c r="K348" i="5"/>
  <c r="H370" i="5"/>
  <c r="N511" i="5"/>
  <c r="H552" i="5"/>
  <c r="H75" i="5"/>
  <c r="L75" i="5" s="1"/>
  <c r="AX75" i="5" s="1"/>
  <c r="AW509" i="5"/>
  <c r="H511" i="5"/>
  <c r="O509" i="5"/>
  <c r="H19" i="5"/>
  <c r="K141" i="5"/>
  <c r="N144" i="5"/>
  <c r="H201" i="5"/>
  <c r="K204" i="5"/>
  <c r="H326" i="5"/>
  <c r="K328" i="5"/>
  <c r="H385" i="5"/>
  <c r="K388" i="5"/>
  <c r="BL17" i="5"/>
  <c r="N20" i="5"/>
  <c r="H142" i="5"/>
  <c r="Q144" i="5"/>
  <c r="BL201" i="5"/>
  <c r="BJ325" i="5"/>
  <c r="BJ327" i="5"/>
  <c r="BI384" i="5"/>
  <c r="K386" i="5"/>
  <c r="BK508" i="5"/>
  <c r="BO327" i="5"/>
  <c r="BL386" i="5"/>
  <c r="AI329" i="5"/>
  <c r="AX389" i="5"/>
  <c r="AL225" i="5"/>
  <c r="AO145" i="5"/>
  <c r="AX19" i="5"/>
  <c r="AI186" i="5"/>
  <c r="AL511" i="5"/>
  <c r="L205" i="5"/>
  <c r="H165" i="5"/>
  <c r="H389" i="5"/>
  <c r="AI387" i="5"/>
  <c r="AO165" i="5"/>
  <c r="AW19" i="5"/>
  <c r="AW330" i="5"/>
  <c r="AI510" i="5"/>
  <c r="AH22" i="5"/>
  <c r="AI389" i="5"/>
  <c r="AX327" i="5"/>
  <c r="AX205" i="5"/>
  <c r="AW202" i="5"/>
  <c r="AW146" i="5"/>
  <c r="AX20" i="5"/>
  <c r="AX143" i="5"/>
  <c r="N17" i="5"/>
  <c r="O513" i="5"/>
  <c r="O384" i="5"/>
  <c r="BP325" i="5"/>
  <c r="BN20" i="5"/>
  <c r="BL200" i="5"/>
  <c r="I553" i="5"/>
  <c r="BM389" i="5"/>
  <c r="L329" i="5"/>
  <c r="BP203" i="5"/>
  <c r="BM511" i="5"/>
  <c r="L385" i="5"/>
  <c r="I226" i="5"/>
  <c r="R146" i="5"/>
  <c r="L18" i="5"/>
  <c r="BM22" i="5"/>
  <c r="I43" i="5"/>
  <c r="I145" i="5"/>
  <c r="R201" i="5"/>
  <c r="R325" i="5"/>
  <c r="O330" i="5"/>
  <c r="R385" i="5"/>
  <c r="I388" i="5"/>
  <c r="O508" i="5"/>
  <c r="BP511" i="5"/>
  <c r="R513" i="5"/>
  <c r="I19" i="5"/>
  <c r="L21" i="5"/>
  <c r="R142" i="5"/>
  <c r="BM145" i="5"/>
  <c r="O18" i="5"/>
  <c r="I21" i="5"/>
  <c r="BJ76" i="5"/>
  <c r="BN144" i="5"/>
  <c r="BN146" i="5"/>
  <c r="L202" i="5"/>
  <c r="O204" i="5"/>
  <c r="M225" i="5"/>
  <c r="BO325" i="5"/>
  <c r="BN328" i="5"/>
  <c r="BN330" i="5"/>
  <c r="L386" i="5"/>
  <c r="BP388" i="5"/>
  <c r="R510" i="5"/>
  <c r="R512" i="5"/>
  <c r="BJ551" i="5"/>
  <c r="BM553" i="5"/>
  <c r="I512" i="5"/>
  <c r="I443" i="5"/>
  <c r="M443" i="5" s="1"/>
  <c r="AY443" i="5" s="1"/>
  <c r="BO388" i="5"/>
  <c r="R328" i="5"/>
  <c r="BN203" i="5"/>
  <c r="L165" i="5"/>
  <c r="BM17" i="5"/>
  <c r="BI389" i="5"/>
  <c r="BI387" i="5"/>
  <c r="BI330" i="5"/>
  <c r="BI328" i="5"/>
  <c r="BI22" i="5"/>
  <c r="BI20" i="5"/>
  <c r="BK441" i="5"/>
  <c r="AC441" i="5" s="1"/>
  <c r="BO385" i="5"/>
  <c r="BO17" i="5"/>
  <c r="BJ388" i="5"/>
  <c r="BJ329" i="5"/>
  <c r="BM552" i="5"/>
  <c r="BP326" i="5"/>
  <c r="BJ410" i="5"/>
  <c r="BM386" i="5"/>
  <c r="BN384" i="5"/>
  <c r="BM350" i="5"/>
  <c r="BM185" i="5"/>
  <c r="BP18" i="5"/>
  <c r="BK513" i="5"/>
  <c r="BK512" i="5"/>
  <c r="BJ511" i="5"/>
  <c r="BK205" i="5"/>
  <c r="BJ204" i="5"/>
  <c r="BL146" i="5"/>
  <c r="BK145" i="5"/>
  <c r="BJ144" i="5"/>
  <c r="BJ533" i="5"/>
  <c r="BO510" i="5"/>
  <c r="BP509" i="5"/>
  <c r="BP508" i="5"/>
  <c r="BM370" i="5"/>
  <c r="BM368" i="5"/>
  <c r="BM202" i="5"/>
  <c r="BN201" i="5"/>
  <c r="BN200" i="5"/>
  <c r="BM166" i="5"/>
  <c r="BM142" i="5"/>
  <c r="BM141" i="5"/>
  <c r="BJ75" i="5"/>
  <c r="R144" i="5"/>
  <c r="BL141" i="5"/>
  <c r="BI202" i="5"/>
  <c r="L510" i="5"/>
  <c r="L384" i="5"/>
  <c r="O325" i="5"/>
  <c r="BM146" i="5"/>
  <c r="I551" i="5"/>
  <c r="R389" i="5"/>
  <c r="BM328" i="5"/>
  <c r="R203" i="5"/>
  <c r="BM20" i="5"/>
  <c r="O142" i="5"/>
  <c r="I164" i="5"/>
  <c r="BJ165" i="5"/>
  <c r="BM204" i="5"/>
  <c r="O328" i="5"/>
  <c r="I370" i="5"/>
  <c r="BM387" i="5"/>
  <c r="I389" i="5"/>
  <c r="BP510" i="5"/>
  <c r="BP512" i="5"/>
  <c r="L533" i="5"/>
  <c r="BK443" i="5"/>
  <c r="L20" i="5"/>
  <c r="L22" i="5"/>
  <c r="I75" i="5"/>
  <c r="M75" i="5" s="1"/>
  <c r="AY75" i="5" s="1"/>
  <c r="BM144" i="5"/>
  <c r="I17" i="5"/>
  <c r="I20" i="5"/>
  <c r="I22" i="5"/>
  <c r="L142" i="5"/>
  <c r="BN145" i="5"/>
  <c r="I165" i="5"/>
  <c r="R200" i="5"/>
  <c r="O203" i="5"/>
  <c r="O205" i="5"/>
  <c r="I258" i="5"/>
  <c r="M258" i="5" s="1"/>
  <c r="BN327" i="5"/>
  <c r="BN329" i="5"/>
  <c r="I349" i="5"/>
  <c r="R384" i="5"/>
  <c r="O387" i="5"/>
  <c r="BP389" i="5"/>
  <c r="L508" i="5"/>
  <c r="R511" i="5"/>
  <c r="BO513" i="5"/>
  <c r="BJ532" i="5"/>
  <c r="R509" i="5"/>
  <c r="BM409" i="5"/>
  <c r="R386" i="5"/>
  <c r="R330" i="5"/>
  <c r="I326" i="5"/>
  <c r="BN205" i="5"/>
  <c r="BJ186" i="5"/>
  <c r="L145" i="5"/>
  <c r="BJ443" i="5"/>
  <c r="BK389" i="5"/>
  <c r="BK387" i="5"/>
  <c r="BK330" i="5"/>
  <c r="BK328" i="5"/>
  <c r="BK22" i="5"/>
  <c r="BK20" i="5"/>
  <c r="BM186" i="5"/>
  <c r="BN19" i="5"/>
  <c r="BL388" i="5"/>
  <c r="BL329" i="5"/>
  <c r="BN326" i="5"/>
  <c r="BK21" i="5"/>
  <c r="BO386" i="5"/>
  <c r="BP384" i="5"/>
  <c r="BM348" i="5"/>
  <c r="BK74" i="5"/>
  <c r="BN18" i="5"/>
  <c r="BI513" i="5"/>
  <c r="BI512" i="5"/>
  <c r="BL204" i="5"/>
  <c r="BK203" i="5"/>
  <c r="BJ146" i="5"/>
  <c r="BL144" i="5"/>
  <c r="BM510" i="5"/>
  <c r="BN509" i="5"/>
  <c r="BN508" i="5"/>
  <c r="BK442" i="5"/>
  <c r="BM369" i="5"/>
  <c r="BM164" i="5"/>
  <c r="BJ531" i="5"/>
  <c r="BJ226" i="5"/>
  <c r="BO202" i="5"/>
  <c r="BP201" i="5"/>
  <c r="BP200" i="5"/>
  <c r="BN143" i="5"/>
  <c r="BO142" i="5"/>
  <c r="BO141" i="5"/>
  <c r="AH166" i="5"/>
  <c r="AH74" i="5"/>
  <c r="AI368" i="5"/>
  <c r="AW533" i="5"/>
  <c r="AI533" i="5"/>
  <c r="AL370" i="5"/>
  <c r="AJ409" i="5"/>
  <c r="AW532" i="5"/>
  <c r="AI166" i="5"/>
  <c r="AW166" i="5"/>
  <c r="AN350" i="5"/>
  <c r="AH348" i="5"/>
  <c r="AI164" i="5"/>
  <c r="AL348" i="5"/>
  <c r="D258" i="62922"/>
  <c r="AJ109" i="62926"/>
  <c r="E633" i="5"/>
  <c r="AK109" i="62926"/>
  <c r="I240" i="62925"/>
  <c r="AE75" i="62925"/>
  <c r="AC75" i="62926"/>
  <c r="W75" i="62926" s="1"/>
  <c r="E25" i="62912"/>
  <c r="N25" i="62912" s="1"/>
  <c r="L273" i="62926"/>
  <c r="AE73" i="62926"/>
  <c r="E2284" i="62917"/>
  <c r="E2285" i="62917" s="1"/>
  <c r="AM13" i="62926"/>
  <c r="AN13" i="62926"/>
  <c r="D2280" i="62917"/>
  <c r="D2281" i="62917" s="1"/>
  <c r="D2282" i="62917" s="1"/>
  <c r="D2283" i="62917" s="1"/>
  <c r="C2279" i="62917"/>
  <c r="E170" i="62919"/>
  <c r="X248" i="7"/>
  <c r="AA238" i="7"/>
  <c r="V237" i="7"/>
  <c r="Y222" i="7"/>
  <c r="H204" i="9"/>
  <c r="G44" i="62928"/>
  <c r="H44" i="62928" s="1"/>
  <c r="AD43" i="7"/>
  <c r="H205" i="9"/>
  <c r="I147" i="9"/>
  <c r="J147" i="9" s="1"/>
  <c r="I148" i="9"/>
  <c r="I74" i="9"/>
  <c r="BK146" i="9"/>
  <c r="J149" i="9"/>
  <c r="J146" i="9"/>
  <c r="AD31" i="62928"/>
  <c r="P31" i="7"/>
  <c r="BK77" i="9"/>
  <c r="V45" i="7"/>
  <c r="C997" i="62919"/>
  <c r="E922" i="62919"/>
  <c r="E923" i="62919" s="1"/>
  <c r="E864" i="62919"/>
  <c r="E865" i="62919" s="1"/>
  <c r="E1036" i="62919"/>
  <c r="E895" i="62919"/>
  <c r="C1229" i="62919"/>
  <c r="E1765" i="62919"/>
  <c r="E15" i="62919"/>
  <c r="D196" i="9"/>
  <c r="AH193" i="9"/>
  <c r="AH196" i="9" s="1"/>
  <c r="P28" i="7"/>
  <c r="AM27" i="11"/>
  <c r="X45" i="7"/>
  <c r="W44" i="62928"/>
  <c r="X45" i="62928"/>
  <c r="Y43" i="7"/>
  <c r="AD45" i="62928"/>
  <c r="AD44" i="62928"/>
  <c r="H28" i="7"/>
  <c r="G43" i="7"/>
  <c r="H43" i="7" s="1"/>
  <c r="D43" i="7" s="1"/>
  <c r="BK74" i="9"/>
  <c r="BL193" i="9"/>
  <c r="V44" i="62928"/>
  <c r="W45" i="62928"/>
  <c r="X44" i="62928"/>
  <c r="Y44" i="62928"/>
  <c r="AD30" i="62928"/>
  <c r="H31" i="62928"/>
  <c r="I28" i="7"/>
  <c r="I31" i="62928"/>
  <c r="H159" i="9"/>
  <c r="J148" i="9"/>
  <c r="J74" i="9"/>
  <c r="J194" i="9"/>
  <c r="BK191" i="9"/>
  <c r="BK194" i="9"/>
  <c r="BL191" i="9"/>
  <c r="I192" i="9"/>
  <c r="J192" i="9" s="1"/>
  <c r="BL146" i="9"/>
  <c r="AD29" i="7"/>
  <c r="BK87" i="9"/>
  <c r="AD87" i="9" s="1"/>
  <c r="Y87" i="9" s="1"/>
  <c r="BK205" i="9"/>
  <c r="AD205" i="9" s="1"/>
  <c r="Y205" i="9" s="1"/>
  <c r="BL77" i="9"/>
  <c r="BK204" i="9"/>
  <c r="AD204" i="9" s="1"/>
  <c r="Y204" i="9" s="1"/>
  <c r="BL194" i="9"/>
  <c r="BK147" i="9"/>
  <c r="BL149" i="9"/>
  <c r="J191" i="9"/>
  <c r="I191" i="9"/>
  <c r="H29" i="11"/>
  <c r="K29" i="11" s="1"/>
  <c r="AD28" i="62928"/>
  <c r="AD30" i="7"/>
  <c r="X238" i="7"/>
  <c r="AD314" i="62928"/>
  <c r="AA249" i="7"/>
  <c r="AD312" i="7"/>
  <c r="G301" i="7"/>
  <c r="I301" i="7" s="1"/>
  <c r="G312" i="7"/>
  <c r="I312" i="7" s="1"/>
  <c r="D312" i="7" s="1"/>
  <c r="AA244" i="7"/>
  <c r="G302" i="62928"/>
  <c r="I302" i="62928" s="1"/>
  <c r="V239" i="7"/>
  <c r="AA216" i="7"/>
  <c r="Y242" i="7"/>
  <c r="X230" i="7"/>
  <c r="V217" i="7"/>
  <c r="Y243" i="7"/>
  <c r="W243" i="7"/>
  <c r="AD232" i="7"/>
  <c r="V237" i="62928"/>
  <c r="AD56" i="7"/>
  <c r="V223" i="7"/>
  <c r="G57" i="7"/>
  <c r="I57" i="7" s="1"/>
  <c r="D57" i="7" s="1"/>
  <c r="V57" i="7" s="1"/>
  <c r="BL148" i="9"/>
  <c r="H31" i="7"/>
  <c r="G45" i="62928"/>
  <c r="H45" i="62928" s="1"/>
  <c r="Z45" i="62928" s="1"/>
  <c r="H160" i="9"/>
  <c r="I193" i="9"/>
  <c r="I149" i="9"/>
  <c r="BL76" i="9"/>
  <c r="BK160" i="9"/>
  <c r="AD160" i="9" s="1"/>
  <c r="Y160" i="9" s="1"/>
  <c r="V45" i="62928"/>
  <c r="AL30" i="11"/>
  <c r="BK159" i="9"/>
  <c r="AD159" i="9" s="1"/>
  <c r="Y159" i="9" s="1"/>
  <c r="I75" i="9"/>
  <c r="J75" i="9" s="1"/>
  <c r="H27" i="11"/>
  <c r="K27" i="11" s="1"/>
  <c r="H28" i="62928"/>
  <c r="H30" i="7"/>
  <c r="BK75" i="9"/>
  <c r="J193" i="9"/>
  <c r="I28" i="62928"/>
  <c r="G45" i="7"/>
  <c r="H45" i="7" s="1"/>
  <c r="D45" i="7" s="1"/>
  <c r="H29" i="7"/>
  <c r="I29" i="7" s="1"/>
  <c r="X43" i="7"/>
  <c r="Y45" i="7"/>
  <c r="AL29" i="11"/>
  <c r="I30" i="7"/>
  <c r="AL28" i="11"/>
  <c r="W43" i="7"/>
  <c r="AM29" i="11"/>
  <c r="AD226" i="7"/>
  <c r="W259" i="7"/>
  <c r="X218" i="7"/>
  <c r="X244" i="7"/>
  <c r="AD247" i="7"/>
  <c r="W238" i="7"/>
  <c r="X249" i="7"/>
  <c r="L238" i="62928"/>
  <c r="W247" i="7"/>
  <c r="X217" i="7"/>
  <c r="X216" i="7"/>
  <c r="V244" i="62928"/>
  <c r="G300" i="62928"/>
  <c r="I300" i="62928" s="1"/>
  <c r="G314" i="7"/>
  <c r="I314" i="7" s="1"/>
  <c r="AD302" i="7"/>
  <c r="W252" i="7"/>
  <c r="V254" i="7"/>
  <c r="AD257" i="7"/>
  <c r="AA223" i="7"/>
  <c r="Y237" i="7"/>
  <c r="Y238" i="7"/>
  <c r="AD301" i="7"/>
  <c r="AD312" i="62928"/>
  <c r="Y253" i="7"/>
  <c r="V226" i="7"/>
  <c r="AD254" i="7"/>
  <c r="Y258" i="7"/>
  <c r="Y229" i="7"/>
  <c r="AA257" i="7"/>
  <c r="V252" i="7"/>
  <c r="AD222" i="7"/>
  <c r="W244" i="7"/>
  <c r="D43" i="62928"/>
  <c r="X232" i="7"/>
  <c r="J237" i="62928"/>
  <c r="AA237" i="62928"/>
  <c r="W223" i="7"/>
  <c r="AD244" i="62928"/>
  <c r="G103" i="2"/>
  <c r="H103" i="2" s="1"/>
  <c r="G135" i="62905"/>
  <c r="H135" i="62905" s="1"/>
  <c r="G67" i="11"/>
  <c r="H67" i="11" s="1"/>
  <c r="AD57" i="62928"/>
  <c r="G57" i="62928"/>
  <c r="AD56" i="62928"/>
  <c r="G56" i="62928"/>
  <c r="G58" i="7"/>
  <c r="I58" i="7" s="1"/>
  <c r="D58" i="7" s="1"/>
  <c r="V58" i="7" s="1"/>
  <c r="Z58" i="7" s="1"/>
  <c r="AD58" i="7"/>
  <c r="AD58" i="62928"/>
  <c r="G313" i="62928"/>
  <c r="I313" i="62928" s="1"/>
  <c r="G302" i="7"/>
  <c r="I302" i="7" s="1"/>
  <c r="AD314" i="7"/>
  <c r="G313" i="7"/>
  <c r="I313" i="7" s="1"/>
  <c r="AD300" i="7"/>
  <c r="G301" i="62928"/>
  <c r="I301" i="62928" s="1"/>
  <c r="AD313" i="7"/>
  <c r="D185" i="9"/>
  <c r="AP196" i="9"/>
  <c r="X257" i="7"/>
  <c r="X229" i="7"/>
  <c r="W258" i="7"/>
  <c r="Y254" i="7"/>
  <c r="Y226" i="7"/>
  <c r="V253" i="7"/>
  <c r="Y215" i="7"/>
  <c r="Y252" i="7"/>
  <c r="AA229" i="7"/>
  <c r="Y230" i="7"/>
  <c r="AA242" i="7"/>
  <c r="AD258" i="7"/>
  <c r="X223" i="7"/>
  <c r="Y223" i="7"/>
  <c r="AA237" i="7"/>
  <c r="V249" i="7"/>
  <c r="Y249" i="7"/>
  <c r="V238" i="7"/>
  <c r="AA217" i="7"/>
  <c r="G300" i="7"/>
  <c r="I300" i="7" s="1"/>
  <c r="D300" i="7" s="1"/>
  <c r="G314" i="62928"/>
  <c r="I314" i="62928" s="1"/>
  <c r="D314" i="62928" s="1"/>
  <c r="G312" i="62928"/>
  <c r="I312" i="62928" s="1"/>
  <c r="Z312" i="62928" s="1"/>
  <c r="W215" i="7"/>
  <c r="AD239" i="7"/>
  <c r="AD216" i="7"/>
  <c r="V242" i="7"/>
  <c r="AD230" i="7"/>
  <c r="AD217" i="7"/>
  <c r="AD243" i="7"/>
  <c r="AD259" i="7"/>
  <c r="Y218" i="7"/>
  <c r="AD218" i="7"/>
  <c r="X222" i="7"/>
  <c r="Y248" i="7"/>
  <c r="AD248" i="7"/>
  <c r="AD223" i="7"/>
  <c r="AD249" i="7"/>
  <c r="AD237" i="62928"/>
  <c r="L237" i="62928"/>
  <c r="X237" i="62928"/>
  <c r="V247" i="7"/>
  <c r="G58" i="62928"/>
  <c r="G68" i="11"/>
  <c r="H68" i="11" s="1"/>
  <c r="G136" i="62905"/>
  <c r="H136" i="62905" s="1"/>
  <c r="BK76" i="9"/>
  <c r="BL74" i="9"/>
  <c r="P30" i="7"/>
  <c r="AD45" i="7"/>
  <c r="W45" i="7"/>
  <c r="V43" i="7"/>
  <c r="I31" i="7"/>
  <c r="H30" i="62928"/>
  <c r="H29" i="62928"/>
  <c r="I29" i="62928" s="1"/>
  <c r="H30" i="11"/>
  <c r="K30" i="11" s="1"/>
  <c r="I146" i="9"/>
  <c r="H87" i="9"/>
  <c r="I76" i="9"/>
  <c r="J77" i="9"/>
  <c r="I30" i="62928"/>
  <c r="BK149" i="9"/>
  <c r="J76" i="9"/>
  <c r="I194" i="9"/>
  <c r="I77" i="9"/>
  <c r="AD29" i="62928"/>
  <c r="BK193" i="9"/>
  <c r="BK148" i="9"/>
  <c r="X243" i="7"/>
  <c r="W217" i="7"/>
  <c r="W230" i="7"/>
  <c r="X242" i="7"/>
  <c r="Y216" i="7"/>
  <c r="W239" i="7"/>
  <c r="X215" i="7"/>
  <c r="V243" i="7"/>
  <c r="Y217" i="7"/>
  <c r="AA230" i="7"/>
  <c r="W242" i="7"/>
  <c r="X239" i="7"/>
  <c r="AD215" i="7"/>
  <c r="AA239" i="7"/>
  <c r="Y232" i="7"/>
  <c r="AP140" i="9"/>
  <c r="AP68" i="9"/>
  <c r="X252" i="7"/>
  <c r="W257" i="7"/>
  <c r="W229" i="7"/>
  <c r="X258" i="7"/>
  <c r="X254" i="7"/>
  <c r="X226" i="7"/>
  <c r="W253" i="7"/>
  <c r="AA252" i="7"/>
  <c r="V258" i="7"/>
  <c r="AA253" i="7"/>
  <c r="AD253" i="7"/>
  <c r="AD229" i="7"/>
  <c r="AD252" i="7"/>
  <c r="AA238" i="62928"/>
  <c r="L244" i="62928"/>
  <c r="W248" i="7"/>
  <c r="G123" i="62928"/>
  <c r="X123" i="62928"/>
  <c r="AD123" i="62928"/>
  <c r="Y123" i="62928"/>
  <c r="W123" i="62928"/>
  <c r="AA123" i="62928"/>
  <c r="G117" i="62928"/>
  <c r="X117" i="62928"/>
  <c r="W117" i="62928"/>
  <c r="AA117" i="62928"/>
  <c r="Y117" i="62928"/>
  <c r="AD117" i="62928"/>
  <c r="W113" i="62928"/>
  <c r="Y113" i="62928"/>
  <c r="AA113" i="62928"/>
  <c r="AD113" i="62928"/>
  <c r="X113" i="62928"/>
  <c r="G113" i="62928"/>
  <c r="W86" i="7"/>
  <c r="G86" i="7"/>
  <c r="AA86" i="7"/>
  <c r="X86" i="7"/>
  <c r="AD86" i="7"/>
  <c r="Y86" i="7"/>
  <c r="AD71" i="7"/>
  <c r="G71" i="7"/>
  <c r="AA121" i="7"/>
  <c r="AD121" i="7"/>
  <c r="G121" i="7"/>
  <c r="X121" i="7"/>
  <c r="Y121" i="7"/>
  <c r="W121" i="7"/>
  <c r="G131" i="7"/>
  <c r="AD131" i="7"/>
  <c r="X131" i="7"/>
  <c r="AA131" i="7"/>
  <c r="Y131" i="7"/>
  <c r="W131" i="7"/>
  <c r="AA143" i="7"/>
  <c r="X143" i="7"/>
  <c r="AD143" i="7"/>
  <c r="G143" i="7"/>
  <c r="Y143" i="7"/>
  <c r="W143" i="7"/>
  <c r="G69" i="62928"/>
  <c r="AD69" i="62928"/>
  <c r="AD136" i="62928"/>
  <c r="X136" i="62928"/>
  <c r="W136" i="62928"/>
  <c r="Y136" i="62928"/>
  <c r="AA136" i="62928"/>
  <c r="G136" i="62928"/>
  <c r="AD72" i="7"/>
  <c r="G72" i="7"/>
  <c r="G129" i="62928"/>
  <c r="Y129" i="62928"/>
  <c r="W129" i="62928"/>
  <c r="AA129" i="62928"/>
  <c r="AD129" i="62928"/>
  <c r="X129" i="62928"/>
  <c r="AD84" i="62928"/>
  <c r="X84" i="62928"/>
  <c r="Y84" i="62928"/>
  <c r="W84" i="62928"/>
  <c r="G84" i="62928"/>
  <c r="AA84" i="62928"/>
  <c r="AD70" i="7"/>
  <c r="G70" i="7"/>
  <c r="Y138" i="7"/>
  <c r="W138" i="7"/>
  <c r="X138" i="7"/>
  <c r="AA138" i="7"/>
  <c r="AD138" i="7"/>
  <c r="G138" i="7"/>
  <c r="G175" i="62928"/>
  <c r="AD175" i="62928"/>
  <c r="Y175" i="62928"/>
  <c r="AA175" i="62928"/>
  <c r="X175" i="62928"/>
  <c r="W175" i="62928"/>
  <c r="W237" i="7"/>
  <c r="AD237" i="7"/>
  <c r="J237" i="7"/>
  <c r="L237" i="7"/>
  <c r="M237" i="7"/>
  <c r="X237" i="7"/>
  <c r="K237" i="7"/>
  <c r="I237" i="7"/>
  <c r="V222" i="7"/>
  <c r="W222" i="7"/>
  <c r="M222" i="7"/>
  <c r="L222" i="7"/>
  <c r="I222" i="7"/>
  <c r="K222" i="7"/>
  <c r="AA222" i="7"/>
  <c r="J222" i="7"/>
  <c r="Y219" i="62928"/>
  <c r="W219" i="62928"/>
  <c r="M219" i="62928"/>
  <c r="K219" i="62928"/>
  <c r="I219" i="62928"/>
  <c r="AA219" i="62928"/>
  <c r="V219" i="62928"/>
  <c r="J219" i="62928"/>
  <c r="X219" i="62928"/>
  <c r="AD219" i="62928"/>
  <c r="L219" i="62928"/>
  <c r="AA215" i="62928"/>
  <c r="X215" i="62928"/>
  <c r="V215" i="62928"/>
  <c r="M215" i="62928"/>
  <c r="K215" i="62928"/>
  <c r="I215" i="62928"/>
  <c r="Y215" i="62928"/>
  <c r="AD215" i="62928"/>
  <c r="J215" i="62928"/>
  <c r="W215" i="62928"/>
  <c r="L215" i="62928"/>
  <c r="W249" i="7"/>
  <c r="V248" i="7"/>
  <c r="AA247" i="7"/>
  <c r="Y244" i="62928"/>
  <c r="K244" i="62928"/>
  <c r="Y237" i="62928"/>
  <c r="M237" i="62928"/>
  <c r="I237" i="62928"/>
  <c r="X238" i="62928"/>
  <c r="K238" i="62928"/>
  <c r="I238" i="62928"/>
  <c r="Y248" i="62928"/>
  <c r="W248" i="62928"/>
  <c r="M248" i="62928"/>
  <c r="K248" i="62928"/>
  <c r="I248" i="62928"/>
  <c r="M238" i="7"/>
  <c r="J238" i="7"/>
  <c r="J249" i="7"/>
  <c r="M249" i="7"/>
  <c r="L223" i="7"/>
  <c r="M223" i="7"/>
  <c r="M248" i="7"/>
  <c r="K248" i="7"/>
  <c r="J247" i="7"/>
  <c r="K247" i="7"/>
  <c r="I238" i="7"/>
  <c r="I223" i="7"/>
  <c r="I248" i="7"/>
  <c r="AD69" i="7"/>
  <c r="AD117" i="7"/>
  <c r="AD129" i="7"/>
  <c r="AD141" i="7"/>
  <c r="AD182" i="7"/>
  <c r="X162" i="7"/>
  <c r="Y164" i="62928"/>
  <c r="G164" i="62928"/>
  <c r="I164" i="62928" s="1"/>
  <c r="G163" i="7"/>
  <c r="I163" i="7" s="1"/>
  <c r="D163" i="7" s="1"/>
  <c r="Y162" i="62928"/>
  <c r="X163" i="62928"/>
  <c r="G162" i="7"/>
  <c r="I162" i="7" s="1"/>
  <c r="D162" i="7" s="1"/>
  <c r="X165" i="7"/>
  <c r="Y163" i="62928"/>
  <c r="G165" i="62928"/>
  <c r="I165" i="62928" s="1"/>
  <c r="D165" i="62928" s="1"/>
  <c r="Y162" i="7"/>
  <c r="Y166" i="7"/>
  <c r="Y163" i="7"/>
  <c r="G166" i="7"/>
  <c r="I166" i="7" s="1"/>
  <c r="D166" i="7" s="1"/>
  <c r="AA163" i="62928"/>
  <c r="X163" i="7"/>
  <c r="W164" i="7"/>
  <c r="AA163" i="7"/>
  <c r="AA162" i="62928"/>
  <c r="AA162" i="7"/>
  <c r="Y164" i="7"/>
  <c r="AA165" i="62928"/>
  <c r="AA164" i="62928"/>
  <c r="X164" i="62928"/>
  <c r="G71" i="62928"/>
  <c r="I71" i="62928" s="1"/>
  <c r="D71" i="62928" s="1"/>
  <c r="V71" i="62928" s="1"/>
  <c r="Z71" i="62928" s="1"/>
  <c r="X116" i="7"/>
  <c r="G166" i="62928"/>
  <c r="I166" i="62928" s="1"/>
  <c r="D166" i="62928" s="1"/>
  <c r="AA142" i="7"/>
  <c r="AA120" i="7"/>
  <c r="Y165" i="62928"/>
  <c r="Y174" i="7"/>
  <c r="AD174" i="7"/>
  <c r="X174" i="7"/>
  <c r="X166" i="62928"/>
  <c r="W162" i="62928"/>
  <c r="AD162" i="7"/>
  <c r="G131" i="62928"/>
  <c r="W120" i="7"/>
  <c r="Y120" i="7"/>
  <c r="W116" i="7"/>
  <c r="Y141" i="7"/>
  <c r="G145" i="62928"/>
  <c r="I145" i="62928" s="1"/>
  <c r="Y182" i="7"/>
  <c r="G116" i="7"/>
  <c r="I116" i="7" s="1"/>
  <c r="G113" i="7"/>
  <c r="W129" i="7"/>
  <c r="X83" i="62928"/>
  <c r="X113" i="7"/>
  <c r="W117" i="7"/>
  <c r="X134" i="7"/>
  <c r="Y131" i="62928"/>
  <c r="AA134" i="7"/>
  <c r="G120" i="7"/>
  <c r="X145" i="62928"/>
  <c r="Y145" i="62928"/>
  <c r="AD238" i="7"/>
  <c r="Y247" i="7"/>
  <c r="M244" i="62928"/>
  <c r="K237" i="62928"/>
  <c r="W238" i="62928"/>
  <c r="J238" i="62928"/>
  <c r="X248" i="62928"/>
  <c r="L248" i="62928"/>
  <c r="AD248" i="62928"/>
  <c r="K238" i="7"/>
  <c r="L249" i="7"/>
  <c r="J223" i="7"/>
  <c r="L248" i="7"/>
  <c r="L247" i="7"/>
  <c r="I249" i="7"/>
  <c r="I247" i="7"/>
  <c r="AD113" i="7"/>
  <c r="AD135" i="7"/>
  <c r="AD83" i="62928"/>
  <c r="AA142" i="62928"/>
  <c r="G72" i="62928"/>
  <c r="I72" i="62928" s="1"/>
  <c r="D72" i="62928" s="1"/>
  <c r="V72" i="62928" s="1"/>
  <c r="Z72" i="62928" s="1"/>
  <c r="W166" i="7"/>
  <c r="H28" i="11"/>
  <c r="K28" i="11" s="1"/>
  <c r="W162" i="7"/>
  <c r="W166" i="62928"/>
  <c r="G162" i="62928"/>
  <c r="I162" i="62928" s="1"/>
  <c r="W163" i="7"/>
  <c r="G163" i="62928"/>
  <c r="I163" i="62928" s="1"/>
  <c r="D163" i="62928" s="1"/>
  <c r="AA166" i="7"/>
  <c r="W165" i="62928"/>
  <c r="AA131" i="62928"/>
  <c r="AA145" i="62928"/>
  <c r="W174" i="7"/>
  <c r="G174" i="7"/>
  <c r="Y166" i="62928"/>
  <c r="X129" i="7"/>
  <c r="G142" i="7"/>
  <c r="I142" i="7" s="1"/>
  <c r="D142" i="7" s="1"/>
  <c r="Y113" i="7"/>
  <c r="Y83" i="62928"/>
  <c r="W130" i="62928"/>
  <c r="G142" i="62928"/>
  <c r="G117" i="7"/>
  <c r="X130" i="62928"/>
  <c r="W134" i="7"/>
  <c r="X142" i="7"/>
  <c r="Y134" i="7"/>
  <c r="Y142" i="7"/>
  <c r="Y117" i="7"/>
  <c r="X135" i="7"/>
  <c r="W141" i="7"/>
  <c r="G165" i="7"/>
  <c r="W113" i="7"/>
  <c r="AA145" i="7"/>
  <c r="AA129" i="7"/>
  <c r="AA117" i="7"/>
  <c r="AA182" i="7"/>
  <c r="Y135" i="7"/>
  <c r="X141" i="7"/>
  <c r="G141" i="7"/>
  <c r="G83" i="62928"/>
  <c r="X182" i="7"/>
  <c r="Y130" i="62928"/>
  <c r="X117" i="7"/>
  <c r="W145" i="7"/>
  <c r="W123" i="7"/>
  <c r="AA130" i="62928"/>
  <c r="AA83" i="62928"/>
  <c r="AD71" i="62928"/>
  <c r="AD131" i="62928"/>
  <c r="AD302" i="62928"/>
  <c r="AD162" i="62928"/>
  <c r="P29" i="7"/>
  <c r="BL147" i="9"/>
  <c r="BL192" i="9"/>
  <c r="BL75" i="9"/>
  <c r="BK213" i="9"/>
  <c r="AD164" i="62928"/>
  <c r="AD142" i="7"/>
  <c r="AD163" i="62928"/>
  <c r="W85" i="7"/>
  <c r="G85" i="7"/>
  <c r="AA85" i="7"/>
  <c r="Y122" i="62928"/>
  <c r="X122" i="62928"/>
  <c r="W116" i="62928"/>
  <c r="Y116" i="62928"/>
  <c r="AA116" i="62928"/>
  <c r="X83" i="7"/>
  <c r="Y83" i="7"/>
  <c r="AD83" i="7"/>
  <c r="AD122" i="62928"/>
  <c r="W120" i="62928"/>
  <c r="X120" i="62928"/>
  <c r="AA120" i="62928"/>
  <c r="X114" i="62928"/>
  <c r="G114" i="62928"/>
  <c r="AD72" i="62928"/>
  <c r="X247" i="7"/>
  <c r="X244" i="62928"/>
  <c r="I244" i="62928"/>
  <c r="W237" i="62928"/>
  <c r="M238" i="62928"/>
  <c r="AD238" i="62928"/>
  <c r="AA248" i="62928"/>
  <c r="V248" i="62928"/>
  <c r="J248" i="62928"/>
  <c r="L238" i="7"/>
  <c r="K249" i="7"/>
  <c r="K223" i="7"/>
  <c r="J248" i="7"/>
  <c r="M247" i="7"/>
  <c r="AD123" i="7"/>
  <c r="AD145" i="7"/>
  <c r="AD130" i="62928"/>
  <c r="Y165" i="7"/>
  <c r="AA166" i="62928"/>
  <c r="X164" i="7"/>
  <c r="X166" i="7"/>
  <c r="AA164" i="7"/>
  <c r="G164" i="7"/>
  <c r="I164" i="7" s="1"/>
  <c r="D164" i="7" s="1"/>
  <c r="W163" i="62928"/>
  <c r="W164" i="62928"/>
  <c r="X162" i="62928"/>
  <c r="G134" i="7"/>
  <c r="AA165" i="7"/>
  <c r="AA174" i="7"/>
  <c r="X165" i="62928"/>
  <c r="W142" i="7"/>
  <c r="G145" i="7"/>
  <c r="G129" i="7"/>
  <c r="Y142" i="62928"/>
  <c r="Y123" i="7"/>
  <c r="X142" i="62928"/>
  <c r="AA116" i="7"/>
  <c r="W131" i="62928"/>
  <c r="X120" i="7"/>
  <c r="Y116" i="7"/>
  <c r="X131" i="62928"/>
  <c r="W145" i="62928"/>
  <c r="X123" i="7"/>
  <c r="W165" i="7"/>
  <c r="AA123" i="7"/>
  <c r="X145" i="7"/>
  <c r="G123" i="7"/>
  <c r="W83" i="62928"/>
  <c r="G130" i="62928"/>
  <c r="W142" i="62928"/>
  <c r="AD142" i="62928"/>
  <c r="AD145" i="62928"/>
  <c r="AD166" i="62928"/>
  <c r="AM28" i="11"/>
  <c r="AD166" i="7"/>
  <c r="AD163" i="7"/>
  <c r="Y85" i="7"/>
  <c r="G122" i="62928"/>
  <c r="X116" i="62928"/>
  <c r="G83" i="7"/>
  <c r="G120" i="62928"/>
  <c r="W114" i="62928"/>
  <c r="AA114" i="62928"/>
  <c r="G69" i="7"/>
  <c r="G135" i="7"/>
  <c r="G182" i="7"/>
  <c r="AA141" i="7"/>
  <c r="AA135" i="7"/>
  <c r="AA113" i="7"/>
  <c r="Y145" i="7"/>
  <c r="Y129" i="7"/>
  <c r="W182" i="7"/>
  <c r="W135" i="7"/>
  <c r="AD134" i="7"/>
  <c r="BK214" i="9"/>
  <c r="AD214" i="9" s="1"/>
  <c r="Y214" i="9" s="1"/>
  <c r="AD120" i="7"/>
  <c r="AD116" i="7"/>
  <c r="AD164" i="7"/>
  <c r="AD165" i="7"/>
  <c r="AD165" i="62928"/>
  <c r="BK215" i="9"/>
  <c r="AD215" i="9" s="1"/>
  <c r="Y215" i="9" s="1"/>
  <c r="AD300" i="62928"/>
  <c r="AD301" i="62928"/>
  <c r="X85" i="7"/>
  <c r="AD85" i="7"/>
  <c r="W122" i="62928"/>
  <c r="AA122" i="62928"/>
  <c r="G116" i="62928"/>
  <c r="W83" i="7"/>
  <c r="AA83" i="7"/>
  <c r="AD116" i="62928"/>
  <c r="Y120" i="62928"/>
  <c r="Y114" i="62928"/>
  <c r="AD114" i="62928"/>
  <c r="V238" i="62928"/>
  <c r="Y238" i="62928"/>
  <c r="J244" i="62928"/>
  <c r="W244" i="62928"/>
  <c r="AA244" i="62928"/>
  <c r="AA248" i="7"/>
  <c r="AD120" i="62928"/>
  <c r="W216" i="7"/>
  <c r="Y239" i="7"/>
  <c r="AD242" i="7"/>
  <c r="W121" i="62928"/>
  <c r="Y121" i="62928"/>
  <c r="AA121" i="62928"/>
  <c r="X121" i="62928"/>
  <c r="AD121" i="62928"/>
  <c r="G121" i="62928"/>
  <c r="AD115" i="62928"/>
  <c r="G115" i="62928"/>
  <c r="X115" i="62928"/>
  <c r="Y115" i="62928"/>
  <c r="W115" i="62928"/>
  <c r="AA115" i="62928"/>
  <c r="G70" i="62928"/>
  <c r="I70" i="62928" s="1"/>
  <c r="D70" i="62928" s="1"/>
  <c r="V70" i="62928" s="1"/>
  <c r="Z70" i="62928" s="1"/>
  <c r="AD70" i="62928"/>
  <c r="X84" i="7"/>
  <c r="Y84" i="7"/>
  <c r="G84" i="7"/>
  <c r="W84" i="7"/>
  <c r="AA84" i="7"/>
  <c r="AD84" i="7"/>
  <c r="AD115" i="7"/>
  <c r="Y115" i="7"/>
  <c r="G115" i="7"/>
  <c r="X115" i="7"/>
  <c r="W115" i="7"/>
  <c r="AA115" i="7"/>
  <c r="AD127" i="7"/>
  <c r="W127" i="7"/>
  <c r="X127" i="7"/>
  <c r="Y127" i="7"/>
  <c r="AA127" i="7"/>
  <c r="G127" i="7"/>
  <c r="AD137" i="7"/>
  <c r="W137" i="7"/>
  <c r="X137" i="7"/>
  <c r="G137" i="7"/>
  <c r="Y137" i="7"/>
  <c r="AA137" i="7"/>
  <c r="AD180" i="7"/>
  <c r="W180" i="7"/>
  <c r="X180" i="7"/>
  <c r="G180" i="7"/>
  <c r="Y180" i="7"/>
  <c r="AA180" i="7"/>
  <c r="AD124" i="62928"/>
  <c r="X124" i="62928"/>
  <c r="G124" i="62928"/>
  <c r="W124" i="62928"/>
  <c r="Y124" i="62928"/>
  <c r="AA124" i="62928"/>
  <c r="Y181" i="62928"/>
  <c r="W181" i="62928"/>
  <c r="G181" i="62928"/>
  <c r="AD181" i="62928"/>
  <c r="AA181" i="62928"/>
  <c r="X181" i="62928"/>
  <c r="G181" i="7"/>
  <c r="I181" i="7" s="1"/>
  <c r="Y181" i="7"/>
  <c r="X181" i="7"/>
  <c r="AA181" i="7"/>
  <c r="W181" i="7"/>
  <c r="AD181" i="7"/>
  <c r="Y143" i="62928"/>
  <c r="X143" i="62928"/>
  <c r="W143" i="62928"/>
  <c r="G143" i="62928"/>
  <c r="AA143" i="62928"/>
  <c r="AD143" i="62928"/>
  <c r="X130" i="7"/>
  <c r="G130" i="7"/>
  <c r="AA130" i="7"/>
  <c r="W130" i="7"/>
  <c r="Y130" i="7"/>
  <c r="AD130" i="7"/>
  <c r="G128" i="7"/>
  <c r="I128" i="7" s="1"/>
  <c r="X128" i="7"/>
  <c r="Y128" i="7"/>
  <c r="AA128" i="7"/>
  <c r="W128" i="7"/>
  <c r="AD128" i="7"/>
  <c r="G174" i="62928"/>
  <c r="X174" i="62928"/>
  <c r="Y174" i="62928"/>
  <c r="AA174" i="62928"/>
  <c r="AD174" i="62928"/>
  <c r="W174" i="62928"/>
  <c r="AD205" i="7"/>
  <c r="Y205" i="7"/>
  <c r="W205" i="7"/>
  <c r="X205" i="7"/>
  <c r="AA205" i="7"/>
  <c r="G205" i="7"/>
  <c r="V244" i="7"/>
  <c r="AD244" i="7"/>
  <c r="K244" i="7"/>
  <c r="J244" i="7"/>
  <c r="Y244" i="7"/>
  <c r="M244" i="7"/>
  <c r="L244" i="7"/>
  <c r="I244" i="7"/>
  <c r="AD219" i="7"/>
  <c r="W219" i="7"/>
  <c r="X219" i="7"/>
  <c r="Y219" i="7"/>
  <c r="V219" i="7"/>
  <c r="L219" i="7"/>
  <c r="J219" i="7"/>
  <c r="AA219" i="7"/>
  <c r="K219" i="7"/>
  <c r="I219" i="7"/>
  <c r="M219" i="7"/>
  <c r="Y249" i="62928"/>
  <c r="W249" i="62928"/>
  <c r="M249" i="62928"/>
  <c r="K249" i="62928"/>
  <c r="I249" i="62928"/>
  <c r="X249" i="62928"/>
  <c r="L249" i="62928"/>
  <c r="AD249" i="62928"/>
  <c r="V249" i="62928"/>
  <c r="AA249" i="62928"/>
  <c r="J249" i="62928"/>
  <c r="Y223" i="62928"/>
  <c r="AA223" i="62928"/>
  <c r="V223" i="62928"/>
  <c r="L223" i="62928"/>
  <c r="J223" i="62928"/>
  <c r="AD223" i="62928"/>
  <c r="X223" i="62928"/>
  <c r="K223" i="62928"/>
  <c r="W223" i="62928"/>
  <c r="M223" i="62928"/>
  <c r="I223" i="62928"/>
  <c r="Y216" i="62928"/>
  <c r="W216" i="62928"/>
  <c r="L216" i="62928"/>
  <c r="J216" i="62928"/>
  <c r="M216" i="62928"/>
  <c r="AA216" i="62928"/>
  <c r="X216" i="62928"/>
  <c r="V216" i="62928"/>
  <c r="K216" i="62928"/>
  <c r="I216" i="62928"/>
  <c r="AD216" i="62928"/>
  <c r="Y247" i="62928"/>
  <c r="W247" i="62928"/>
  <c r="M247" i="62928"/>
  <c r="K247" i="62928"/>
  <c r="I247" i="62928"/>
  <c r="AA247" i="62928"/>
  <c r="X247" i="62928"/>
  <c r="V247" i="62928"/>
  <c r="L247" i="62928"/>
  <c r="J247" i="62928"/>
  <c r="AD247" i="62928"/>
  <c r="Y231" i="62928"/>
  <c r="W231" i="62928"/>
  <c r="M231" i="62928"/>
  <c r="K231" i="62928"/>
  <c r="I231" i="62928"/>
  <c r="AA231" i="62928"/>
  <c r="X231" i="62928"/>
  <c r="V231" i="62928"/>
  <c r="L231" i="62928"/>
  <c r="J231" i="62928"/>
  <c r="AD231" i="62928"/>
  <c r="Y253" i="62928"/>
  <c r="W253" i="62928"/>
  <c r="M253" i="62928"/>
  <c r="K253" i="62928"/>
  <c r="I253" i="62928"/>
  <c r="AA253" i="62928"/>
  <c r="X253" i="62928"/>
  <c r="V253" i="62928"/>
  <c r="L253" i="62928"/>
  <c r="J253" i="62928"/>
  <c r="AD253" i="62928"/>
  <c r="AD231" i="7"/>
  <c r="W231" i="7"/>
  <c r="V231" i="7"/>
  <c r="M231" i="7"/>
  <c r="J231" i="7"/>
  <c r="I231" i="7"/>
  <c r="Y231" i="7"/>
  <c r="AA231" i="7"/>
  <c r="X231" i="7"/>
  <c r="L231" i="7"/>
  <c r="K231" i="7"/>
  <c r="AA232" i="7"/>
  <c r="W232" i="7"/>
  <c r="J232" i="7"/>
  <c r="M232" i="7"/>
  <c r="I232" i="7"/>
  <c r="V232" i="7"/>
  <c r="K232" i="7"/>
  <c r="L232" i="7"/>
  <c r="AA204" i="7"/>
  <c r="X204" i="7"/>
  <c r="AD204" i="7"/>
  <c r="Y204" i="7"/>
  <c r="W204" i="7"/>
  <c r="G204" i="7"/>
  <c r="AA205" i="62928"/>
  <c r="G205" i="62928"/>
  <c r="AD205" i="62928"/>
  <c r="W205" i="62928"/>
  <c r="Y205" i="62928"/>
  <c r="X205" i="62928"/>
  <c r="X230" i="62928"/>
  <c r="Y230" i="62928"/>
  <c r="M230" i="62928"/>
  <c r="K230" i="62928"/>
  <c r="I230" i="62928"/>
  <c r="AA230" i="62928"/>
  <c r="V230" i="62928"/>
  <c r="W230" i="62928"/>
  <c r="L230" i="62928"/>
  <c r="J230" i="62928"/>
  <c r="AD230" i="62928"/>
  <c r="Y254" i="62928"/>
  <c r="W254" i="62928"/>
  <c r="M254" i="62928"/>
  <c r="K254" i="62928"/>
  <c r="I254" i="62928"/>
  <c r="AA254" i="62928"/>
  <c r="X254" i="62928"/>
  <c r="V254" i="62928"/>
  <c r="L254" i="62928"/>
  <c r="J254" i="62928"/>
  <c r="AD254" i="62928"/>
  <c r="Y259" i="7"/>
  <c r="V259" i="7"/>
  <c r="M259" i="7"/>
  <c r="L259" i="7"/>
  <c r="AA259" i="7"/>
  <c r="X259" i="7"/>
  <c r="J259" i="7"/>
  <c r="K259" i="7"/>
  <c r="I259" i="7"/>
  <c r="AA218" i="7"/>
  <c r="W218" i="7"/>
  <c r="L218" i="7"/>
  <c r="J218" i="7"/>
  <c r="I218" i="7"/>
  <c r="V218" i="7"/>
  <c r="K218" i="7"/>
  <c r="M218" i="7"/>
  <c r="W204" i="62928"/>
  <c r="G204" i="62928"/>
  <c r="AD204" i="62928"/>
  <c r="Y204" i="62928"/>
  <c r="AA204" i="62928"/>
  <c r="X204" i="62928"/>
  <c r="AA243" i="62928"/>
  <c r="X243" i="62928"/>
  <c r="V243" i="62928"/>
  <c r="L243" i="62928"/>
  <c r="J243" i="62928"/>
  <c r="AD243" i="62928"/>
  <c r="W243" i="62928"/>
  <c r="K243" i="62928"/>
  <c r="Y243" i="62928"/>
  <c r="M243" i="62928"/>
  <c r="I243" i="62928"/>
  <c r="Y225" i="62928"/>
  <c r="W225" i="62928"/>
  <c r="M225" i="62928"/>
  <c r="K225" i="62928"/>
  <c r="I225" i="62928"/>
  <c r="AA225" i="62928"/>
  <c r="V225" i="62928"/>
  <c r="J225" i="62928"/>
  <c r="X225" i="62928"/>
  <c r="L225" i="62928"/>
  <c r="AD225" i="62928"/>
  <c r="W252" i="62928"/>
  <c r="X252" i="62928"/>
  <c r="M252" i="62928"/>
  <c r="K252" i="62928"/>
  <c r="I252" i="62928"/>
  <c r="AA252" i="62928"/>
  <c r="L252" i="62928"/>
  <c r="AD252" i="62928"/>
  <c r="Y252" i="62928"/>
  <c r="V252" i="62928"/>
  <c r="J252" i="62928"/>
  <c r="Y242" i="62928"/>
  <c r="W242" i="62928"/>
  <c r="M242" i="62928"/>
  <c r="K242" i="62928"/>
  <c r="I242" i="62928"/>
  <c r="AA242" i="62928"/>
  <c r="V242" i="62928"/>
  <c r="J242" i="62928"/>
  <c r="X242" i="62928"/>
  <c r="L242" i="62928"/>
  <c r="AD242" i="62928"/>
  <c r="Y222" i="62928"/>
  <c r="W222" i="62928"/>
  <c r="M222" i="62928"/>
  <c r="K222" i="62928"/>
  <c r="I222" i="62928"/>
  <c r="X222" i="62928"/>
  <c r="L222" i="62928"/>
  <c r="AD222" i="62928"/>
  <c r="AA222" i="62928"/>
  <c r="V222" i="62928"/>
  <c r="J222" i="62928"/>
  <c r="Y239" i="62928"/>
  <c r="W239" i="62928"/>
  <c r="M239" i="62928"/>
  <c r="K239" i="62928"/>
  <c r="I239" i="62928"/>
  <c r="AA239" i="62928"/>
  <c r="V239" i="62928"/>
  <c r="J239" i="62928"/>
  <c r="X239" i="62928"/>
  <c r="L239" i="62928"/>
  <c r="AD239" i="62928"/>
  <c r="AA225" i="7"/>
  <c r="X225" i="7"/>
  <c r="V225" i="7"/>
  <c r="J225" i="7"/>
  <c r="K225" i="7"/>
  <c r="I225" i="7"/>
  <c r="Y225" i="7"/>
  <c r="M225" i="7"/>
  <c r="W225" i="7"/>
  <c r="AD225" i="7"/>
  <c r="L225" i="7"/>
  <c r="L253" i="7"/>
  <c r="K253" i="7"/>
  <c r="X253" i="7"/>
  <c r="M253" i="7"/>
  <c r="J253" i="7"/>
  <c r="I253" i="7"/>
  <c r="AA226" i="7"/>
  <c r="M226" i="7"/>
  <c r="K226" i="7"/>
  <c r="I226" i="7"/>
  <c r="J226" i="7"/>
  <c r="L226" i="7"/>
  <c r="W254" i="7"/>
  <c r="K254" i="7"/>
  <c r="L254" i="7"/>
  <c r="J254" i="7"/>
  <c r="I254" i="7"/>
  <c r="M254" i="7"/>
  <c r="AA258" i="7"/>
  <c r="K258" i="7"/>
  <c r="M258" i="7"/>
  <c r="I258" i="7"/>
  <c r="L258" i="7"/>
  <c r="J258" i="7"/>
  <c r="V229" i="7"/>
  <c r="J229" i="7"/>
  <c r="M229" i="7"/>
  <c r="K229" i="7"/>
  <c r="L229" i="7"/>
  <c r="I229" i="7"/>
  <c r="J257" i="7"/>
  <c r="L257" i="7"/>
  <c r="I257" i="7"/>
  <c r="Y257" i="7"/>
  <c r="K257" i="7"/>
  <c r="M257" i="7"/>
  <c r="M252" i="7"/>
  <c r="J252" i="7"/>
  <c r="L252" i="7"/>
  <c r="I252" i="7"/>
  <c r="K252" i="7"/>
  <c r="AD176" i="62928"/>
  <c r="AA176" i="62928"/>
  <c r="W176" i="62928"/>
  <c r="X176" i="62928"/>
  <c r="G176" i="62928"/>
  <c r="Y176" i="62928"/>
  <c r="X86" i="62928"/>
  <c r="G86" i="62928"/>
  <c r="AD86" i="62928"/>
  <c r="AA86" i="62928"/>
  <c r="W86" i="62928"/>
  <c r="Y86" i="62928"/>
  <c r="G124" i="7"/>
  <c r="I124" i="7" s="1"/>
  <c r="D124" i="7" s="1"/>
  <c r="W124" i="7"/>
  <c r="Y124" i="7"/>
  <c r="X124" i="7"/>
  <c r="AD124" i="7"/>
  <c r="AA124" i="7"/>
  <c r="W183" i="7"/>
  <c r="X183" i="7"/>
  <c r="G183" i="7"/>
  <c r="Y183" i="7"/>
  <c r="AD183" i="7"/>
  <c r="AA183" i="7"/>
  <c r="AA137" i="62928"/>
  <c r="G137" i="62928"/>
  <c r="Y137" i="62928"/>
  <c r="W137" i="62928"/>
  <c r="X137" i="62928"/>
  <c r="AD137" i="62928"/>
  <c r="Y141" i="62928"/>
  <c r="AA141" i="62928"/>
  <c r="W141" i="62928"/>
  <c r="G141" i="62928"/>
  <c r="X141" i="62928"/>
  <c r="AD141" i="62928"/>
  <c r="X122" i="7"/>
  <c r="W122" i="7"/>
  <c r="AD122" i="7"/>
  <c r="G122" i="7"/>
  <c r="I122" i="7" s="1"/>
  <c r="D122" i="7" s="1"/>
  <c r="Y122" i="7"/>
  <c r="AA122" i="7"/>
  <c r="G183" i="62928"/>
  <c r="I183" i="62928" s="1"/>
  <c r="AD183" i="62928"/>
  <c r="AA183" i="62928"/>
  <c r="X183" i="62928"/>
  <c r="W183" i="62928"/>
  <c r="Y183" i="62928"/>
  <c r="AD138" i="62928"/>
  <c r="G138" i="62928"/>
  <c r="W138" i="62928"/>
  <c r="Y138" i="62928"/>
  <c r="X138" i="62928"/>
  <c r="AA138" i="62928"/>
  <c r="W128" i="62928"/>
  <c r="X128" i="62928"/>
  <c r="Y128" i="62928"/>
  <c r="AD128" i="62928"/>
  <c r="G128" i="62928"/>
  <c r="AA128" i="62928"/>
  <c r="W226" i="7"/>
  <c r="AA254" i="7"/>
  <c r="V257" i="7"/>
  <c r="Y226" i="62928"/>
  <c r="M226" i="62928"/>
  <c r="I226" i="62928"/>
  <c r="V226" i="62928"/>
  <c r="J226" i="62928"/>
  <c r="AA226" i="62928"/>
  <c r="K226" i="62928"/>
  <c r="L226" i="62928"/>
  <c r="W226" i="62928"/>
  <c r="X226" i="62928"/>
  <c r="AD226" i="62928"/>
  <c r="AA218" i="62928"/>
  <c r="X218" i="62928"/>
  <c r="V218" i="62928"/>
  <c r="L218" i="62928"/>
  <c r="J218" i="62928"/>
  <c r="AD218" i="62928"/>
  <c r="W218" i="62928"/>
  <c r="K218" i="62928"/>
  <c r="Y218" i="62928"/>
  <c r="M218" i="62928"/>
  <c r="I218" i="62928"/>
  <c r="AA232" i="62928"/>
  <c r="X232" i="62928"/>
  <c r="V232" i="62928"/>
  <c r="L232" i="62928"/>
  <c r="J232" i="62928"/>
  <c r="AD232" i="62928"/>
  <c r="Y232" i="62928"/>
  <c r="M232" i="62928"/>
  <c r="I232" i="62928"/>
  <c r="W232" i="62928"/>
  <c r="K232" i="62928"/>
  <c r="M217" i="62928"/>
  <c r="X217" i="62928"/>
  <c r="Y217" i="62928"/>
  <c r="L217" i="62928"/>
  <c r="J217" i="62928"/>
  <c r="AD217" i="62928"/>
  <c r="V217" i="62928"/>
  <c r="K217" i="62928"/>
  <c r="AA217" i="62928"/>
  <c r="W217" i="62928"/>
  <c r="I217" i="62928"/>
  <c r="AA229" i="62928"/>
  <c r="X229" i="62928"/>
  <c r="V229" i="62928"/>
  <c r="L229" i="62928"/>
  <c r="J229" i="62928"/>
  <c r="AD229" i="62928"/>
  <c r="Y229" i="62928"/>
  <c r="M229" i="62928"/>
  <c r="I229" i="62928"/>
  <c r="W229" i="62928"/>
  <c r="K229" i="62928"/>
  <c r="AA224" i="62928"/>
  <c r="X224" i="62928"/>
  <c r="V224" i="62928"/>
  <c r="L224" i="62928"/>
  <c r="J224" i="62928"/>
  <c r="AD224" i="62928"/>
  <c r="W224" i="62928"/>
  <c r="K224" i="62928"/>
  <c r="Y224" i="62928"/>
  <c r="M224" i="62928"/>
  <c r="I224" i="62928"/>
  <c r="AA215" i="7"/>
  <c r="M215" i="7"/>
  <c r="L215" i="7"/>
  <c r="I215" i="7"/>
  <c r="J215" i="7"/>
  <c r="K215" i="7"/>
  <c r="L239" i="7"/>
  <c r="J239" i="7"/>
  <c r="I239" i="7"/>
  <c r="M239" i="7"/>
  <c r="K239" i="7"/>
  <c r="V216" i="7"/>
  <c r="K216" i="7"/>
  <c r="L216" i="7"/>
  <c r="J216" i="7"/>
  <c r="M216" i="7"/>
  <c r="I216" i="7"/>
  <c r="M242" i="7"/>
  <c r="L242" i="7"/>
  <c r="J242" i="7"/>
  <c r="I242" i="7"/>
  <c r="K242" i="7"/>
  <c r="K230" i="7"/>
  <c r="M230" i="7"/>
  <c r="I230" i="7"/>
  <c r="V230" i="7"/>
  <c r="L230" i="7"/>
  <c r="J230" i="7"/>
  <c r="J217" i="7"/>
  <c r="L217" i="7"/>
  <c r="I217" i="7"/>
  <c r="K217" i="7"/>
  <c r="M217" i="7"/>
  <c r="AA243" i="7"/>
  <c r="L243" i="7"/>
  <c r="M243" i="7"/>
  <c r="K243" i="7"/>
  <c r="J243" i="7"/>
  <c r="I243" i="7"/>
  <c r="X224" i="7"/>
  <c r="Y224" i="7"/>
  <c r="AD224" i="7"/>
  <c r="M224" i="7"/>
  <c r="J224" i="7"/>
  <c r="I224" i="7"/>
  <c r="AA224" i="7"/>
  <c r="W224" i="7"/>
  <c r="L224" i="7"/>
  <c r="V224" i="7"/>
  <c r="K224" i="7"/>
  <c r="AA176" i="7"/>
  <c r="G176" i="7"/>
  <c r="Y176" i="7"/>
  <c r="W176" i="7"/>
  <c r="X176" i="7"/>
  <c r="AD176" i="7"/>
  <c r="AA175" i="7"/>
  <c r="G175" i="7"/>
  <c r="W175" i="7"/>
  <c r="AD175" i="7"/>
  <c r="Y175" i="7"/>
  <c r="X175" i="7"/>
  <c r="Y135" i="62928"/>
  <c r="W135" i="62928"/>
  <c r="G135" i="62928"/>
  <c r="AA135" i="62928"/>
  <c r="X135" i="62928"/>
  <c r="AD135" i="62928"/>
  <c r="AD180" i="62928"/>
  <c r="Y180" i="62928"/>
  <c r="W180" i="62928"/>
  <c r="X180" i="62928"/>
  <c r="G180" i="62928"/>
  <c r="AA180" i="62928"/>
  <c r="AA114" i="7"/>
  <c r="W114" i="7"/>
  <c r="AD114" i="7"/>
  <c r="X114" i="7"/>
  <c r="Y114" i="7"/>
  <c r="G114" i="7"/>
  <c r="AA136" i="7"/>
  <c r="X136" i="7"/>
  <c r="Y136" i="7"/>
  <c r="G136" i="7"/>
  <c r="W136" i="7"/>
  <c r="AD136" i="7"/>
  <c r="Y127" i="62928"/>
  <c r="AA127" i="62928"/>
  <c r="G127" i="62928"/>
  <c r="I127" i="62928" s="1"/>
  <c r="X127" i="62928"/>
  <c r="AD127" i="62928"/>
  <c r="W127" i="62928"/>
  <c r="X182" i="62928"/>
  <c r="AA182" i="62928"/>
  <c r="AD182" i="62928"/>
  <c r="W182" i="62928"/>
  <c r="G182" i="62928"/>
  <c r="Y182" i="62928"/>
  <c r="X144" i="7"/>
  <c r="W144" i="7"/>
  <c r="G144" i="7"/>
  <c r="Y144" i="7"/>
  <c r="AA144" i="7"/>
  <c r="AD144" i="7"/>
  <c r="AA144" i="62928"/>
  <c r="X144" i="62928"/>
  <c r="Y144" i="62928"/>
  <c r="W144" i="62928"/>
  <c r="G144" i="62928"/>
  <c r="AD144" i="62928"/>
  <c r="AD134" i="62928"/>
  <c r="G134" i="62928"/>
  <c r="Y134" i="62928"/>
  <c r="X134" i="62928"/>
  <c r="W134" i="62928"/>
  <c r="AA134" i="62928"/>
  <c r="AD85" i="62928"/>
  <c r="X85" i="62928"/>
  <c r="AA85" i="62928"/>
  <c r="Y85" i="62928"/>
  <c r="G85" i="62928"/>
  <c r="W85" i="62928"/>
  <c r="F268" i="9"/>
  <c r="D169" i="62919"/>
  <c r="Y181" i="9"/>
  <c r="AD185" i="9"/>
  <c r="Y185" i="9" s="1"/>
  <c r="Y140" i="9"/>
  <c r="I275" i="9"/>
  <c r="G183" i="62909" s="1"/>
  <c r="H183" i="62909" s="1"/>
  <c r="Y68" i="9"/>
  <c r="I266" i="9"/>
  <c r="G174" i="62909" s="1"/>
  <c r="H174" i="62909" s="1"/>
  <c r="J268" i="9"/>
  <c r="Y192" i="9"/>
  <c r="AD196" i="9"/>
  <c r="I267" i="9"/>
  <c r="G175" i="62909" s="1"/>
  <c r="H175" i="62909" s="1"/>
  <c r="Y79" i="9"/>
  <c r="I276" i="9"/>
  <c r="G184" i="62909" s="1"/>
  <c r="H184" i="62909" s="1"/>
  <c r="Y151" i="9"/>
  <c r="AP85" i="9"/>
  <c r="AP90" i="9" s="1"/>
  <c r="AH90" i="9"/>
  <c r="F277" i="9"/>
  <c r="J277" i="9"/>
  <c r="C185" i="62909"/>
  <c r="E185" i="62909" s="1"/>
  <c r="AP157" i="9"/>
  <c r="AP162" i="9" s="1"/>
  <c r="AH162" i="9"/>
  <c r="AP180" i="9"/>
  <c r="AP185" i="9" s="1"/>
  <c r="AH185" i="9"/>
  <c r="AP74" i="9"/>
  <c r="AP79" i="9" s="1"/>
  <c r="AH79" i="9"/>
  <c r="J275" i="9"/>
  <c r="C183" i="62909"/>
  <c r="E183" i="62909" s="1"/>
  <c r="F275" i="9"/>
  <c r="AP146" i="9"/>
  <c r="AP151" i="9" s="1"/>
  <c r="AH151" i="9"/>
  <c r="F267" i="9"/>
  <c r="J267" i="9"/>
  <c r="C175" i="62909"/>
  <c r="E175" i="62909" s="1"/>
  <c r="C174" i="62909"/>
  <c r="E174" i="62909" s="1"/>
  <c r="F266" i="9"/>
  <c r="J266" i="9"/>
  <c r="J276" i="9"/>
  <c r="C184" i="62909"/>
  <c r="E184" i="62909" s="1"/>
  <c r="F276" i="9"/>
  <c r="AP202" i="9"/>
  <c r="AP207" i="9" s="1"/>
  <c r="AH207" i="9"/>
  <c r="Z35" i="62925"/>
  <c r="AO54" i="62925"/>
  <c r="AG54" i="62925"/>
  <c r="Z26" i="62926"/>
  <c r="AA16" i="62926"/>
  <c r="AG28" i="62926"/>
  <c r="AP28" i="62926"/>
  <c r="AN26" i="62926"/>
  <c r="J306" i="62926"/>
  <c r="K34" i="62915"/>
  <c r="W34" i="62915" s="1"/>
  <c r="E337" i="62926"/>
  <c r="AL40" i="62926"/>
  <c r="Z38" i="62926"/>
  <c r="S14" i="62926"/>
  <c r="S34" i="62926"/>
  <c r="R35" i="62926"/>
  <c r="AA46" i="62925"/>
  <c r="AE28" i="62925"/>
  <c r="K201" i="62904"/>
  <c r="K33" i="62914" s="1"/>
  <c r="C2182" i="62917"/>
  <c r="AC73" i="62925"/>
  <c r="W73" i="62925" s="1"/>
  <c r="Y35" i="62905"/>
  <c r="R23" i="62925"/>
  <c r="AF28" i="62904"/>
  <c r="AA25" i="62926"/>
  <c r="T14" i="62905"/>
  <c r="AU13" i="62905"/>
  <c r="Z13" i="62925"/>
  <c r="Y13" i="62904"/>
  <c r="Z13" i="62926"/>
  <c r="R27" i="62912"/>
  <c r="AB471" i="5"/>
  <c r="AO28" i="62904"/>
  <c r="Z20" i="62904"/>
  <c r="AA181" i="62926"/>
  <c r="S16" i="62926"/>
  <c r="S288" i="5"/>
  <c r="AC74" i="62904"/>
  <c r="V74" i="62904" s="1"/>
  <c r="AA34" i="62926"/>
  <c r="AB240" i="5"/>
  <c r="AJ40" i="62904"/>
  <c r="AM34" i="62904"/>
  <c r="AU55" i="5"/>
  <c r="AN37" i="62904"/>
  <c r="AA37" i="62925"/>
  <c r="AA26" i="62925"/>
  <c r="AA20" i="62925"/>
  <c r="BB275" i="62898"/>
  <c r="I249" i="62925"/>
  <c r="AC115" i="62925"/>
  <c r="W115" i="62925" s="1"/>
  <c r="AA55" i="5"/>
  <c r="Z13" i="62905"/>
  <c r="AA52" i="62926"/>
  <c r="AM20" i="62926"/>
  <c r="Z17" i="62926"/>
  <c r="AM37" i="62904"/>
  <c r="R26" i="62925"/>
  <c r="Z22" i="62904"/>
  <c r="AA19" i="62925"/>
  <c r="AA46" i="62926"/>
  <c r="AC147" i="62925"/>
  <c r="W147" i="62925" s="1"/>
  <c r="AV13" i="62905"/>
  <c r="G316" i="62925"/>
  <c r="R17" i="62926"/>
  <c r="AP40" i="62926"/>
  <c r="AC144" i="62926"/>
  <c r="W144" i="62926" s="1"/>
  <c r="G63" i="62925"/>
  <c r="K63" i="62925"/>
  <c r="D115" i="62925"/>
  <c r="AE115" i="62925"/>
  <c r="D116" i="62926"/>
  <c r="AE116" i="62926"/>
  <c r="R38" i="62925"/>
  <c r="G65" i="62926"/>
  <c r="K65" i="62926"/>
  <c r="D117" i="62925"/>
  <c r="AE117" i="62925"/>
  <c r="AA423" i="5"/>
  <c r="Z17" i="62925"/>
  <c r="T288" i="5"/>
  <c r="S26" i="62925"/>
  <c r="M284" i="62925"/>
  <c r="E284" i="62925"/>
  <c r="AP109" i="62926"/>
  <c r="AU422" i="5"/>
  <c r="AV14" i="62905"/>
  <c r="AU34" i="62905"/>
  <c r="R13" i="62926"/>
  <c r="AO40" i="62925"/>
  <c r="AP40" i="62925"/>
  <c r="AN37" i="62925"/>
  <c r="AN19" i="62926"/>
  <c r="AB287" i="5"/>
  <c r="Z19" i="62904"/>
  <c r="AE40" i="62904"/>
  <c r="S19" i="62926"/>
  <c r="AA14" i="62925"/>
  <c r="S16" i="62925"/>
  <c r="AN22" i="62904"/>
  <c r="S37" i="62925"/>
  <c r="T35" i="62904"/>
  <c r="AO54" i="62926"/>
  <c r="AH40" i="62904"/>
  <c r="K171" i="62925"/>
  <c r="AC171" i="62925"/>
  <c r="AV64" i="62925"/>
  <c r="AX64" i="62925"/>
  <c r="AC148" i="62925"/>
  <c r="W148" i="62925" s="1"/>
  <c r="AN38" i="62926"/>
  <c r="AM22" i="62926"/>
  <c r="AN105" i="62925"/>
  <c r="AN22" i="62925"/>
  <c r="AC129" i="62926"/>
  <c r="W129" i="62926" s="1"/>
  <c r="AC161" i="62925"/>
  <c r="AU239" i="5"/>
  <c r="AC116" i="62925"/>
  <c r="H116" i="62925"/>
  <c r="H141" i="62926"/>
  <c r="AC141" i="62926"/>
  <c r="H130" i="62925"/>
  <c r="AC130" i="62925"/>
  <c r="AM26" i="62926"/>
  <c r="AS295" i="62898"/>
  <c r="K64" i="62926"/>
  <c r="G64" i="62926"/>
  <c r="AM23" i="62926"/>
  <c r="D115" i="62926"/>
  <c r="AE115" i="62926"/>
  <c r="D129" i="62925"/>
  <c r="AE129" i="62925"/>
  <c r="AE128" i="62925"/>
  <c r="D128" i="62925"/>
  <c r="H144" i="62925"/>
  <c r="AC144" i="62925"/>
  <c r="W144" i="62925" s="1"/>
  <c r="AN23" i="62926"/>
  <c r="AC170" i="62926"/>
  <c r="W170" i="62926" s="1"/>
  <c r="K170" i="62926"/>
  <c r="AQ290" i="5"/>
  <c r="AU240" i="5"/>
  <c r="AN14" i="62925"/>
  <c r="AM14" i="62926"/>
  <c r="AM106" i="62926"/>
  <c r="AO106" i="5"/>
  <c r="AW290" i="5"/>
  <c r="AR106" i="5"/>
  <c r="AU104" i="5"/>
  <c r="AU106" i="5" s="1"/>
  <c r="AV65" i="62925"/>
  <c r="AX65" i="62925"/>
  <c r="AG40" i="62926"/>
  <c r="K63" i="62926"/>
  <c r="G63" i="62926"/>
  <c r="T14" i="62904"/>
  <c r="S14" i="62904"/>
  <c r="AM107" i="62926"/>
  <c r="AC172" i="62925"/>
  <c r="W172" i="62925" s="1"/>
  <c r="AE40" i="62926"/>
  <c r="AM34" i="62926"/>
  <c r="AE129" i="62926"/>
  <c r="D129" i="62926"/>
  <c r="H139" i="62925"/>
  <c r="AC139" i="62925"/>
  <c r="H146" i="62926"/>
  <c r="AC146" i="62926"/>
  <c r="W146" i="62926" s="1"/>
  <c r="AN25" i="62926"/>
  <c r="AP109" i="62925"/>
  <c r="AN35" i="62926"/>
  <c r="AO40" i="62926"/>
  <c r="AN20" i="62926"/>
  <c r="AC127" i="62926"/>
  <c r="AN35" i="62925"/>
  <c r="AM23" i="62925"/>
  <c r="AO109" i="62925"/>
  <c r="AN26" i="62925"/>
  <c r="AM16" i="62925"/>
  <c r="AX473" i="5"/>
  <c r="AN14" i="62926"/>
  <c r="AM37" i="62926"/>
  <c r="AM19" i="62926"/>
  <c r="AM38" i="62926"/>
  <c r="H147" i="62926"/>
  <c r="AC147" i="62926"/>
  <c r="W147" i="62926" s="1"/>
  <c r="D142" i="62926"/>
  <c r="AE142" i="62926"/>
  <c r="AM35" i="62926"/>
  <c r="H143" i="62925"/>
  <c r="AC143" i="62925"/>
  <c r="W143" i="62925" s="1"/>
  <c r="AO109" i="62926"/>
  <c r="AC118" i="62926"/>
  <c r="H118" i="62926"/>
  <c r="AT251" i="62898"/>
  <c r="AI290" i="5"/>
  <c r="AU287" i="5"/>
  <c r="AM14" i="62925"/>
  <c r="AQ106" i="5"/>
  <c r="AU103" i="5"/>
  <c r="AI106" i="5"/>
  <c r="AI473" i="5"/>
  <c r="AU470" i="5"/>
  <c r="AQ298" i="62898"/>
  <c r="K64" i="62925"/>
  <c r="G64" i="62925"/>
  <c r="AW473" i="5"/>
  <c r="AN290" i="5"/>
  <c r="AM34" i="62925"/>
  <c r="AE40" i="62925"/>
  <c r="G65" i="62925"/>
  <c r="K65" i="62925"/>
  <c r="AK40" i="62926"/>
  <c r="AI40" i="62926"/>
  <c r="S35" i="62904"/>
  <c r="S34" i="62904"/>
  <c r="S14" i="62925"/>
  <c r="K35" i="62929"/>
  <c r="W35" i="62929" s="1"/>
  <c r="W30" i="62914"/>
  <c r="G35" i="62929"/>
  <c r="S35" i="62929" s="1"/>
  <c r="S30" i="62914"/>
  <c r="I52" i="62926"/>
  <c r="L52" i="62926" s="1"/>
  <c r="Z52" i="62926"/>
  <c r="AV49" i="62904"/>
  <c r="AX49" i="62904"/>
  <c r="Y35" i="62904"/>
  <c r="AX51" i="62904"/>
  <c r="AV51" i="62904"/>
  <c r="I74" i="62925"/>
  <c r="AC74" i="62925"/>
  <c r="AV63" i="62926"/>
  <c r="AX63" i="62926"/>
  <c r="K92" i="62926"/>
  <c r="AA92" i="62926"/>
  <c r="R38" i="62926"/>
  <c r="K50" i="62926"/>
  <c r="M50" i="62926" s="1"/>
  <c r="AA50" i="62926"/>
  <c r="E30" i="62914"/>
  <c r="L198" i="62904"/>
  <c r="L30" i="62914" s="1"/>
  <c r="G32" i="62912"/>
  <c r="P32" i="62912" s="1"/>
  <c r="G201" i="62904"/>
  <c r="G33" i="62914" s="1"/>
  <c r="G234" i="62904"/>
  <c r="G32" i="62915" s="1"/>
  <c r="S32" i="62915" s="1"/>
  <c r="I180" i="62925"/>
  <c r="Z180" i="62925"/>
  <c r="Z52" i="62925"/>
  <c r="I52" i="62925"/>
  <c r="L52" i="62925" s="1"/>
  <c r="AM52" i="62925" s="1"/>
  <c r="S296" i="62898"/>
  <c r="Y34" i="62904"/>
  <c r="AC74" i="62926"/>
  <c r="I74" i="62926"/>
  <c r="I181" i="62926"/>
  <c r="Z181" i="62926"/>
  <c r="AE102" i="62925"/>
  <c r="AM102" i="62925"/>
  <c r="S19" i="62904"/>
  <c r="AF180" i="62926"/>
  <c r="AN180" i="62926"/>
  <c r="AN184" i="62926" s="1"/>
  <c r="D72" i="62904"/>
  <c r="AE72" i="62904"/>
  <c r="L50" i="62904"/>
  <c r="H50" i="62904"/>
  <c r="E234" i="62904"/>
  <c r="E32" i="62915" s="1"/>
  <c r="Q32" i="62915" s="1"/>
  <c r="E32" i="62912"/>
  <c r="N32" i="62912" s="1"/>
  <c r="E201" i="62904"/>
  <c r="I168" i="62904"/>
  <c r="I32" i="62912" s="1"/>
  <c r="M201" i="62904"/>
  <c r="K234" i="62904"/>
  <c r="K32" i="62915" s="1"/>
  <c r="W32" i="62915" s="1"/>
  <c r="J32" i="62912"/>
  <c r="S32" i="62912" s="1"/>
  <c r="F35" i="62929"/>
  <c r="R35" i="62929" s="1"/>
  <c r="R30" i="62914"/>
  <c r="H34" i="62912"/>
  <c r="Q34" i="62912" s="1"/>
  <c r="G25" i="62915"/>
  <c r="S25" i="62915" s="1"/>
  <c r="G337" i="62926"/>
  <c r="H49" i="62904"/>
  <c r="L49" i="62904"/>
  <c r="L107" i="62925"/>
  <c r="AA107" i="62925"/>
  <c r="AF103" i="62926"/>
  <c r="AN103" i="62926"/>
  <c r="AN26" i="62904"/>
  <c r="L105" i="62926"/>
  <c r="D105" i="62926" s="1"/>
  <c r="AA105" i="62926"/>
  <c r="J182" i="62925"/>
  <c r="AF182" i="62925" s="1"/>
  <c r="AA182" i="62925"/>
  <c r="AN103" i="62925"/>
  <c r="AF103" i="62925"/>
  <c r="AC59" i="62904"/>
  <c r="V59" i="62904" s="1"/>
  <c r="AU14" i="62905"/>
  <c r="AU35" i="62905"/>
  <c r="E15" i="62917"/>
  <c r="E16" i="62917" s="1"/>
  <c r="D14" i="62917"/>
  <c r="T13" i="62904"/>
  <c r="Z13" i="62904"/>
  <c r="R13" i="62925"/>
  <c r="AN13" i="62925"/>
  <c r="AA23" i="62925"/>
  <c r="S23" i="62925"/>
  <c r="R34" i="62925"/>
  <c r="Z34" i="62925"/>
  <c r="AA295" i="62898"/>
  <c r="S295" i="62898"/>
  <c r="L106" i="62925"/>
  <c r="AA106" i="62925"/>
  <c r="J181" i="62925"/>
  <c r="AF181" i="62925" s="1"/>
  <c r="AA181" i="62925"/>
  <c r="Z19" i="62926"/>
  <c r="R19" i="62926"/>
  <c r="AN14" i="62904"/>
  <c r="T470" i="5"/>
  <c r="T287" i="5"/>
  <c r="AA16" i="62925"/>
  <c r="Z14" i="62904"/>
  <c r="AI40" i="62904"/>
  <c r="T240" i="5"/>
  <c r="S25" i="62926"/>
  <c r="S17" i="62926"/>
  <c r="J60" i="62904"/>
  <c r="J63" i="62904" s="1"/>
  <c r="AC60" i="62904"/>
  <c r="V60" i="62904" s="1"/>
  <c r="L107" i="62926"/>
  <c r="AA107" i="62926"/>
  <c r="S19" i="62925"/>
  <c r="Z16" i="62926"/>
  <c r="R23" i="62926"/>
  <c r="Z23" i="62926"/>
  <c r="T422" i="5"/>
  <c r="S25" i="62904"/>
  <c r="Y25" i="62904"/>
  <c r="I180" i="62926"/>
  <c r="Z180" i="62926"/>
  <c r="Z14" i="62925"/>
  <c r="R14" i="62925"/>
  <c r="R34" i="62926"/>
  <c r="Z34" i="62926"/>
  <c r="Z14" i="62926"/>
  <c r="J93" i="62926"/>
  <c r="Z93" i="62926"/>
  <c r="I181" i="62925"/>
  <c r="Z181" i="62925"/>
  <c r="D127" i="62925"/>
  <c r="AE127" i="62925"/>
  <c r="D145" i="62925"/>
  <c r="AE145" i="62925"/>
  <c r="D126" i="62926"/>
  <c r="AE126" i="62926"/>
  <c r="AE170" i="62925"/>
  <c r="D170" i="62925"/>
  <c r="D138" i="62926"/>
  <c r="AE138" i="62926"/>
  <c r="AN13" i="62904"/>
  <c r="AH28" i="62904"/>
  <c r="S13" i="62926"/>
  <c r="AA13" i="62926"/>
  <c r="S13" i="62925"/>
  <c r="AA13" i="62925"/>
  <c r="F337" i="62926"/>
  <c r="F25" i="62915"/>
  <c r="R25" i="62915" s="1"/>
  <c r="K337" i="62926"/>
  <c r="K25" i="62915"/>
  <c r="W25" i="62915" s="1"/>
  <c r="S17" i="62904"/>
  <c r="Y17" i="62904"/>
  <c r="L101" i="62925"/>
  <c r="AA101" i="62925"/>
  <c r="R20" i="62926"/>
  <c r="Z20" i="62926"/>
  <c r="K50" i="62925"/>
  <c r="M50" i="62925" s="1"/>
  <c r="AA50" i="62925"/>
  <c r="L101" i="62926"/>
  <c r="AA101" i="62926"/>
  <c r="J182" i="62926"/>
  <c r="AA182" i="62926"/>
  <c r="R17" i="62925"/>
  <c r="L102" i="62925"/>
  <c r="AA102" i="62925"/>
  <c r="Z22" i="62926"/>
  <c r="R22" i="62926"/>
  <c r="K93" i="62926"/>
  <c r="AA93" i="62926"/>
  <c r="AA14" i="62926"/>
  <c r="I73" i="62904"/>
  <c r="AC73" i="62904"/>
  <c r="AA19" i="62926"/>
  <c r="AB470" i="5"/>
  <c r="AA22" i="62926"/>
  <c r="S22" i="62926"/>
  <c r="AB55" i="5"/>
  <c r="T55" i="5"/>
  <c r="AV63" i="62925"/>
  <c r="AX63" i="62925"/>
  <c r="S37" i="62926"/>
  <c r="AA37" i="62926"/>
  <c r="AN20" i="62904"/>
  <c r="K52" i="62925"/>
  <c r="M52" i="62925" s="1"/>
  <c r="AA52" i="62925"/>
  <c r="S20" i="62925"/>
  <c r="I182" i="62926"/>
  <c r="Z182" i="62926"/>
  <c r="Z22" i="62925"/>
  <c r="R22" i="62925"/>
  <c r="Z182" i="62925"/>
  <c r="I182" i="62925"/>
  <c r="R25" i="62925"/>
  <c r="Z25" i="62925"/>
  <c r="Z35" i="62926"/>
  <c r="K91" i="62925"/>
  <c r="D91" i="62925" s="1"/>
  <c r="Z91" i="62925"/>
  <c r="AB422" i="5"/>
  <c r="AS251" i="62898"/>
  <c r="Z25" i="62926"/>
  <c r="R25" i="62926"/>
  <c r="T38" i="62904"/>
  <c r="Z38" i="62904"/>
  <c r="S37" i="62904"/>
  <c r="Y37" i="62904"/>
  <c r="T103" i="5"/>
  <c r="AB103" i="5"/>
  <c r="S23" i="62926"/>
  <c r="AA23" i="62926"/>
  <c r="AA422" i="5"/>
  <c r="S422" i="5"/>
  <c r="AA239" i="5"/>
  <c r="S239" i="5"/>
  <c r="R37" i="62926"/>
  <c r="Z37" i="62926"/>
  <c r="T37" i="62904"/>
  <c r="Z37" i="62904"/>
  <c r="S26" i="62904"/>
  <c r="Y26" i="62904"/>
  <c r="AN35" i="62904"/>
  <c r="AA288" i="5"/>
  <c r="AT296" i="62898"/>
  <c r="S471" i="5"/>
  <c r="AA471" i="5"/>
  <c r="S104" i="5"/>
  <c r="AA104" i="5"/>
  <c r="AB104" i="5"/>
  <c r="T104" i="5"/>
  <c r="Z17" i="62904"/>
  <c r="T17" i="62904"/>
  <c r="S470" i="5"/>
  <c r="AA470" i="5"/>
  <c r="R26" i="62926"/>
  <c r="S23" i="62904"/>
  <c r="Y23" i="62904"/>
  <c r="R16" i="62925"/>
  <c r="Z16" i="62925"/>
  <c r="AN19" i="62904"/>
  <c r="AN473" i="5"/>
  <c r="AB288" i="5"/>
  <c r="U106" i="62926"/>
  <c r="AB106" i="62926"/>
  <c r="L102" i="62926"/>
  <c r="AA102" i="62926"/>
  <c r="R20" i="62925"/>
  <c r="Z20" i="62925"/>
  <c r="AB423" i="5"/>
  <c r="T423" i="5"/>
  <c r="AB107" i="62925"/>
  <c r="U107" i="62925"/>
  <c r="Z105" i="62926"/>
  <c r="AV38" i="62905"/>
  <c r="AV23" i="62905"/>
  <c r="AV17" i="62905"/>
  <c r="AU22" i="62905"/>
  <c r="AV37" i="62905"/>
  <c r="G358" i="9"/>
  <c r="AA240" i="5"/>
  <c r="AA48" i="62926"/>
  <c r="K48" i="62926"/>
  <c r="M48" i="62926" s="1"/>
  <c r="J180" i="62925"/>
  <c r="AA180" i="62925"/>
  <c r="K105" i="62925"/>
  <c r="Z105" i="62925"/>
  <c r="I48" i="62925"/>
  <c r="L48" i="62925" s="1"/>
  <c r="Z48" i="62925"/>
  <c r="AV65" i="62926"/>
  <c r="AX65" i="62926"/>
  <c r="S34" i="62925"/>
  <c r="AA34" i="62925"/>
  <c r="AV35" i="62905"/>
  <c r="AV26" i="62905"/>
  <c r="AV20" i="62905"/>
  <c r="AU25" i="62905"/>
  <c r="AU19" i="62905"/>
  <c r="AB105" i="62925"/>
  <c r="U107" i="62926"/>
  <c r="AB107" i="62926"/>
  <c r="AF28" i="62905"/>
  <c r="AE61" i="62904"/>
  <c r="L34" i="62929"/>
  <c r="X34" i="62929" s="1"/>
  <c r="C172" i="62909"/>
  <c r="E172" i="62909" s="1"/>
  <c r="K292" i="9"/>
  <c r="Z22" i="62905"/>
  <c r="AF40" i="62905"/>
  <c r="J264" i="9"/>
  <c r="F67" i="62912"/>
  <c r="M354" i="9"/>
  <c r="M358" i="9" s="1"/>
  <c r="F271" i="9"/>
  <c r="AE117" i="9"/>
  <c r="I269" i="9" s="1"/>
  <c r="G177" i="62909" s="1"/>
  <c r="H177" i="62909" s="1"/>
  <c r="X29" i="62914"/>
  <c r="F57" i="62914"/>
  <c r="T95" i="62925"/>
  <c r="AO37" i="9"/>
  <c r="AE37" i="9"/>
  <c r="I262" i="9" s="1"/>
  <c r="G170" i="62909" s="1"/>
  <c r="AD117" i="9"/>
  <c r="Y117" i="9" s="1"/>
  <c r="E21" i="62929"/>
  <c r="Q21" i="62929" s="1"/>
  <c r="Q16" i="62914"/>
  <c r="AP37" i="9"/>
  <c r="G56" i="62915"/>
  <c r="V28" i="62915"/>
  <c r="F56" i="62915"/>
  <c r="F38" i="62929"/>
  <c r="R38" i="62929" s="1"/>
  <c r="M362" i="9"/>
  <c r="C179" i="62909"/>
  <c r="E179" i="62909" s="1"/>
  <c r="AO117" i="9"/>
  <c r="D117" i="9"/>
  <c r="AB296" i="62898"/>
  <c r="AN17" i="62904"/>
  <c r="AB105" i="62926"/>
  <c r="U105" i="62926"/>
  <c r="Z107" i="62925"/>
  <c r="K107" i="62925"/>
  <c r="Z107" i="62926"/>
  <c r="K107" i="62926"/>
  <c r="K48" i="62925"/>
  <c r="M48" i="62925" s="1"/>
  <c r="AA48" i="62925"/>
  <c r="AM25" i="62904"/>
  <c r="AI28" i="62904"/>
  <c r="AK40" i="62904"/>
  <c r="AM38" i="62904"/>
  <c r="AA38" i="62926"/>
  <c r="S38" i="62926"/>
  <c r="S16" i="62904"/>
  <c r="Y16" i="62904"/>
  <c r="S25" i="62925"/>
  <c r="AA25" i="62925"/>
  <c r="AA35" i="62925"/>
  <c r="S35" i="62925"/>
  <c r="T295" i="62898"/>
  <c r="H51" i="62904"/>
  <c r="L51" i="62904"/>
  <c r="S26" i="62926"/>
  <c r="AA26" i="62926"/>
  <c r="AF91" i="62925"/>
  <c r="AN91" i="62925"/>
  <c r="K101" i="62925"/>
  <c r="Z101" i="62925"/>
  <c r="AC61" i="62904"/>
  <c r="AN34" i="62904"/>
  <c r="D37" i="9"/>
  <c r="D250" i="9" s="1"/>
  <c r="Z106" i="62926"/>
  <c r="K106" i="62926"/>
  <c r="D106" i="62926" s="1"/>
  <c r="K106" i="62925"/>
  <c r="Z106" i="62925"/>
  <c r="AB106" i="62925"/>
  <c r="U106" i="62925"/>
  <c r="I48" i="62926"/>
  <c r="L48" i="62926" s="1"/>
  <c r="Z48" i="62926"/>
  <c r="S56" i="5"/>
  <c r="AA56" i="5"/>
  <c r="L105" i="62925"/>
  <c r="AA105" i="62925"/>
  <c r="AE28" i="62904"/>
  <c r="AM16" i="62904"/>
  <c r="AA35" i="62926"/>
  <c r="S35" i="62926"/>
  <c r="T239" i="5"/>
  <c r="AB239" i="5"/>
  <c r="AN16" i="62904"/>
  <c r="AJ28" i="62904"/>
  <c r="S20" i="62926"/>
  <c r="AA20" i="62926"/>
  <c r="S38" i="62925"/>
  <c r="AA38" i="62925"/>
  <c r="AA22" i="62925"/>
  <c r="S22" i="62925"/>
  <c r="S17" i="62925"/>
  <c r="AA17" i="62925"/>
  <c r="Z34" i="62904"/>
  <c r="T34" i="62904"/>
  <c r="K101" i="62926"/>
  <c r="Z101" i="62926"/>
  <c r="AA91" i="62925"/>
  <c r="E269" i="9"/>
  <c r="E270" i="9"/>
  <c r="AM19" i="62904"/>
  <c r="G401" i="9"/>
  <c r="AI28" i="62905"/>
  <c r="T95" i="62926"/>
  <c r="Y37" i="62905"/>
  <c r="BC117" i="9"/>
  <c r="AM28" i="62905"/>
  <c r="AY40" i="62905"/>
  <c r="AY28" i="62905"/>
  <c r="T38" i="62905"/>
  <c r="N25" i="62915"/>
  <c r="AP117" i="9"/>
  <c r="BD117" i="9"/>
  <c r="J299" i="62925"/>
  <c r="F401" i="9"/>
  <c r="AQ40" i="62905"/>
  <c r="AU37" i="62905"/>
  <c r="AQ28" i="62905"/>
  <c r="AU16" i="62905"/>
  <c r="AZ40" i="62905"/>
  <c r="S38" i="62905"/>
  <c r="Y38" i="62905"/>
  <c r="T34" i="62905"/>
  <c r="Z34" i="62905"/>
  <c r="T26" i="62905"/>
  <c r="Z26" i="62905"/>
  <c r="S20" i="62905"/>
  <c r="Y20" i="62905"/>
  <c r="AJ28" i="62905"/>
  <c r="AN40" i="62905"/>
  <c r="AV22" i="62905"/>
  <c r="AV16" i="62905"/>
  <c r="AU23" i="62905"/>
  <c r="AU17" i="62905"/>
  <c r="T35" i="62905"/>
  <c r="Z35" i="62905"/>
  <c r="S26" i="62905"/>
  <c r="Y26" i="62905"/>
  <c r="T16" i="62905"/>
  <c r="Z16" i="62905"/>
  <c r="S252" i="62898"/>
  <c r="AA252" i="62898"/>
  <c r="S37" i="62905"/>
  <c r="AR28" i="62905"/>
  <c r="E263" i="9"/>
  <c r="E262" i="9"/>
  <c r="I28" i="62912"/>
  <c r="S23" i="62905"/>
  <c r="I230" i="62925"/>
  <c r="AN28" i="62905"/>
  <c r="AZ28" i="62905"/>
  <c r="Z37" i="62905"/>
  <c r="S19" i="62905"/>
  <c r="Y19" i="62905"/>
  <c r="Z17" i="62905"/>
  <c r="T17" i="62905"/>
  <c r="Y16" i="62905"/>
  <c r="S16" i="62905"/>
  <c r="T252" i="62898"/>
  <c r="T251" i="62898"/>
  <c r="AE28" i="62905"/>
  <c r="AJ40" i="62905"/>
  <c r="AR40" i="62905"/>
  <c r="AV34" i="62905"/>
  <c r="AV25" i="62905"/>
  <c r="AV19" i="62905"/>
  <c r="AU26" i="62905"/>
  <c r="AU20" i="62905"/>
  <c r="Z38" i="62905"/>
  <c r="S25" i="62905"/>
  <c r="Y25" i="62905"/>
  <c r="S22" i="62905"/>
  <c r="Y22" i="62905"/>
  <c r="T20" i="62905"/>
  <c r="T19" i="62905"/>
  <c r="Z19" i="62905"/>
  <c r="S17" i="62905"/>
  <c r="Y17" i="62905"/>
  <c r="S251" i="62898"/>
  <c r="AA251" i="62898"/>
  <c r="Z20" i="62905"/>
  <c r="Z23" i="62905"/>
  <c r="R16" i="62915"/>
  <c r="R18" i="62915" s="1"/>
  <c r="F18" i="62915"/>
  <c r="F358" i="9"/>
  <c r="F395" i="9"/>
  <c r="J362" i="9"/>
  <c r="E401" i="9"/>
  <c r="I292" i="9"/>
  <c r="I395" i="9"/>
  <c r="I358" i="9"/>
  <c r="L323" i="9"/>
  <c r="I401" i="9"/>
  <c r="O228" i="9" l="1"/>
  <c r="D228" i="9" s="1"/>
  <c r="AD228" i="9" s="1"/>
  <c r="Y228" i="9" s="1"/>
  <c r="Q32" i="2"/>
  <c r="E753" i="5"/>
  <c r="E687" i="5"/>
  <c r="E722" i="5"/>
  <c r="E656" i="5"/>
  <c r="G544" i="62898"/>
  <c r="G25" i="62914" s="1"/>
  <c r="S25" i="62914" s="1"/>
  <c r="E577" i="62898"/>
  <c r="E543" i="62898"/>
  <c r="E511" i="62898"/>
  <c r="I577" i="62898"/>
  <c r="K543" i="62898"/>
  <c r="K24" i="62914" s="1"/>
  <c r="H511" i="62898"/>
  <c r="H24" i="62912" s="1"/>
  <c r="Q24" i="62912" s="1"/>
  <c r="G577" i="62898"/>
  <c r="G24" i="62915" s="1"/>
  <c r="S24" i="62915" s="1"/>
  <c r="G543" i="62898"/>
  <c r="G24" i="62914" s="1"/>
  <c r="G511" i="62898"/>
  <c r="G24" i="62912" s="1"/>
  <c r="P24" i="62912" s="1"/>
  <c r="F511" i="62898"/>
  <c r="F24" i="62912" s="1"/>
  <c r="O24" i="62912" s="1"/>
  <c r="F543" i="62898"/>
  <c r="F24" i="62914" s="1"/>
  <c r="F577" i="62898"/>
  <c r="F24" i="62915" s="1"/>
  <c r="R24" i="62915" s="1"/>
  <c r="AP228" i="9"/>
  <c r="J520" i="62898"/>
  <c r="J33" i="62912" s="1"/>
  <c r="S33" i="62912" s="1"/>
  <c r="G520" i="62898"/>
  <c r="G33" i="62912" s="1"/>
  <c r="P33" i="62912" s="1"/>
  <c r="G556" i="62898"/>
  <c r="F586" i="62898"/>
  <c r="F33" i="62915" s="1"/>
  <c r="R33" i="62915" s="1"/>
  <c r="G586" i="62898"/>
  <c r="E544" i="62898"/>
  <c r="E25" i="62914" s="1"/>
  <c r="E586" i="62898"/>
  <c r="M544" i="62898"/>
  <c r="M25" i="62914" s="1"/>
  <c r="F520" i="62898"/>
  <c r="F33" i="62912" s="1"/>
  <c r="O33" i="62912" s="1"/>
  <c r="E520" i="62898"/>
  <c r="K586" i="62898"/>
  <c r="F544" i="62898"/>
  <c r="F25" i="62914" s="1"/>
  <c r="Q35" i="2"/>
  <c r="M15" i="11"/>
  <c r="D15" i="11" s="1"/>
  <c r="G530" i="62898"/>
  <c r="G533" i="62898" s="1"/>
  <c r="Q41" i="2"/>
  <c r="Q28" i="2"/>
  <c r="Q21" i="2"/>
  <c r="J652" i="5"/>
  <c r="K718" i="5"/>
  <c r="M686" i="5"/>
  <c r="G718" i="5"/>
  <c r="G686" i="5"/>
  <c r="G652" i="5"/>
  <c r="F718" i="5"/>
  <c r="F686" i="5"/>
  <c r="F652" i="5"/>
  <c r="G498" i="62898"/>
  <c r="G502" i="62898" s="1"/>
  <c r="F498" i="62898"/>
  <c r="F502" i="62898" s="1"/>
  <c r="G572" i="62898"/>
  <c r="G611" i="62898" s="1"/>
  <c r="G605" i="62898"/>
  <c r="G568" i="62898"/>
  <c r="I564" i="62898"/>
  <c r="J564" i="62898" s="1"/>
  <c r="J568" i="62898" s="1"/>
  <c r="K530" i="62898"/>
  <c r="H498" i="62898"/>
  <c r="K572" i="62898"/>
  <c r="M540" i="62898"/>
  <c r="H508" i="62898"/>
  <c r="I574" i="62898" s="1"/>
  <c r="H523" i="62898"/>
  <c r="I523" i="62898" s="1"/>
  <c r="E498" i="62898"/>
  <c r="E502" i="62898" s="1"/>
  <c r="G506" i="62898"/>
  <c r="J506" i="62898"/>
  <c r="AB281" i="62898"/>
  <c r="R281" i="62898"/>
  <c r="R286" i="62898" s="1"/>
  <c r="E478" i="62898" s="1"/>
  <c r="F478" i="62898" s="1"/>
  <c r="E568" i="62898"/>
  <c r="E530" i="62898"/>
  <c r="E533" i="62898" s="1"/>
  <c r="H506" i="62898"/>
  <c r="K540" i="62898"/>
  <c r="K556" i="62898" s="1"/>
  <c r="I572" i="62898"/>
  <c r="F506" i="62898"/>
  <c r="M530" i="62898"/>
  <c r="M533" i="62898" s="1"/>
  <c r="F568" i="62898"/>
  <c r="G508" i="62898"/>
  <c r="G574" i="62898" s="1"/>
  <c r="E508" i="62898"/>
  <c r="E574" i="62898" s="1"/>
  <c r="F508" i="62898"/>
  <c r="F574" i="62898" s="1"/>
  <c r="D64" i="2"/>
  <c r="AU346" i="62898"/>
  <c r="E250" i="62925"/>
  <c r="AU15" i="9"/>
  <c r="E329" i="9" a="1"/>
  <c r="E329" i="9" s="1"/>
  <c r="I240" i="62926"/>
  <c r="I25" i="62912" s="1"/>
  <c r="R25" i="62912" s="1"/>
  <c r="H250" i="62926"/>
  <c r="AT346" i="62898"/>
  <c r="AT361" i="62898" s="1"/>
  <c r="E937" i="62921"/>
  <c r="D937" i="62921" s="1"/>
  <c r="L268" i="62925"/>
  <c r="AA254" i="62898"/>
  <c r="E603" i="62921"/>
  <c r="D601" i="62921"/>
  <c r="D602" i="62921" s="1"/>
  <c r="D409" i="62898"/>
  <c r="D549" i="62922"/>
  <c r="D550" i="62922" s="1"/>
  <c r="E551" i="62922"/>
  <c r="E552" i="62922" s="1"/>
  <c r="D378" i="62898"/>
  <c r="D408" i="62898"/>
  <c r="D407" i="62898"/>
  <c r="D377" i="62898"/>
  <c r="D410" i="62898"/>
  <c r="D379" i="62898"/>
  <c r="D182" i="62898"/>
  <c r="D181" i="62898"/>
  <c r="AC183" i="62898"/>
  <c r="D183" i="62898"/>
  <c r="D86" i="62898"/>
  <c r="D90" i="62898" s="1"/>
  <c r="AB254" i="62898"/>
  <c r="AT254" i="62898"/>
  <c r="AS254" i="62898"/>
  <c r="AB429" i="62898"/>
  <c r="AB282" i="62898"/>
  <c r="AD396" i="62898"/>
  <c r="AC409" i="62898"/>
  <c r="AC283" i="62898"/>
  <c r="AC399" i="62898"/>
  <c r="AA399" i="62898"/>
  <c r="AA397" i="62898"/>
  <c r="AB397" i="62898"/>
  <c r="BA396" i="62898"/>
  <c r="M275" i="62898"/>
  <c r="AD399" i="62898"/>
  <c r="AC270" i="62898"/>
  <c r="AC397" i="62898"/>
  <c r="AB398" i="62898"/>
  <c r="AB410" i="62898"/>
  <c r="AA408" i="62898"/>
  <c r="AD270" i="62898"/>
  <c r="AB283" i="62898"/>
  <c r="BA398" i="62898"/>
  <c r="AC410" i="62898"/>
  <c r="AD273" i="62898"/>
  <c r="AC398" i="62898"/>
  <c r="AD397" i="62898"/>
  <c r="D397" i="62898"/>
  <c r="AY272" i="62898"/>
  <c r="AD407" i="62898"/>
  <c r="AD408" i="62898"/>
  <c r="AB409" i="62898"/>
  <c r="AB284" i="62898"/>
  <c r="AS275" i="62898"/>
  <c r="AC408" i="62898"/>
  <c r="AB272" i="62898"/>
  <c r="BA399" i="62898"/>
  <c r="AD398" i="62898"/>
  <c r="BA271" i="62898"/>
  <c r="BA397" i="62898"/>
  <c r="AA409" i="62898"/>
  <c r="AB399" i="62898"/>
  <c r="AX272" i="62898"/>
  <c r="AY273" i="62898"/>
  <c r="AZ273" i="62898"/>
  <c r="AX283" i="62898"/>
  <c r="AA271" i="62898"/>
  <c r="BA272" i="62898"/>
  <c r="AC282" i="62898"/>
  <c r="AX273" i="62898"/>
  <c r="AO275" i="62898"/>
  <c r="AA410" i="62898"/>
  <c r="AB273" i="62898"/>
  <c r="AX271" i="62898"/>
  <c r="AD409" i="62898"/>
  <c r="AA398" i="62898"/>
  <c r="BA408" i="62898"/>
  <c r="AY271" i="62898"/>
  <c r="AO401" i="62898"/>
  <c r="BA273" i="62898"/>
  <c r="AZ271" i="62898"/>
  <c r="AZ272" i="62898"/>
  <c r="AY284" i="62898"/>
  <c r="AD284" i="62898"/>
  <c r="AB408" i="62898"/>
  <c r="AK401" i="62898"/>
  <c r="AC272" i="62898"/>
  <c r="D398" i="62898"/>
  <c r="AB271" i="62898"/>
  <c r="D272" i="62898"/>
  <c r="AD282" i="62898"/>
  <c r="AD410" i="62898"/>
  <c r="D273" i="62898"/>
  <c r="AD271" i="62898"/>
  <c r="AK275" i="62898"/>
  <c r="BA270" i="62898"/>
  <c r="AD283" i="62898"/>
  <c r="D271" i="62898"/>
  <c r="D399" i="62898"/>
  <c r="AA272" i="62898"/>
  <c r="AA273" i="62898"/>
  <c r="AC273" i="62898"/>
  <c r="AC271" i="62898"/>
  <c r="AW275" i="62898"/>
  <c r="AN262" i="5"/>
  <c r="AC442" i="5"/>
  <c r="AC259" i="5"/>
  <c r="AZ259" i="5"/>
  <c r="AA307" i="5"/>
  <c r="AC428" i="62898"/>
  <c r="AW286" i="62898"/>
  <c r="BA407" i="62898"/>
  <c r="AY282" i="62898"/>
  <c r="BA410" i="62898"/>
  <c r="AW412" i="62898"/>
  <c r="AS412" i="62898"/>
  <c r="BE412" i="62898"/>
  <c r="AO412" i="62898"/>
  <c r="BA409" i="62898"/>
  <c r="AK412" i="62898"/>
  <c r="D396" i="62898"/>
  <c r="AS286" i="62898"/>
  <c r="BA284" i="62898"/>
  <c r="AO286" i="62898"/>
  <c r="Q412" i="62898"/>
  <c r="AX282" i="62898"/>
  <c r="AL286" i="62898"/>
  <c r="BA282" i="62898"/>
  <c r="AZ283" i="62898"/>
  <c r="BA281" i="62898"/>
  <c r="AZ282" i="62898"/>
  <c r="AZ284" i="62898"/>
  <c r="AY283" i="62898"/>
  <c r="AX281" i="62898"/>
  <c r="J523" i="62898" s="1"/>
  <c r="BA283" i="62898"/>
  <c r="D270" i="62898"/>
  <c r="O401" i="62898"/>
  <c r="BE286" i="62898"/>
  <c r="AX284" i="62898"/>
  <c r="AA283" i="62898"/>
  <c r="AA284" i="62898"/>
  <c r="N281" i="62898"/>
  <c r="N286" i="62898" s="1"/>
  <c r="AB239" i="62898"/>
  <c r="AS106" i="62898"/>
  <c r="AC429" i="62898"/>
  <c r="AU106" i="62898"/>
  <c r="AB240" i="62898"/>
  <c r="AC284" i="62898"/>
  <c r="AV243" i="62898"/>
  <c r="AB430" i="62898"/>
  <c r="AU97" i="62898"/>
  <c r="AU40" i="62898"/>
  <c r="AT239" i="62898"/>
  <c r="AL243" i="62898"/>
  <c r="AU430" i="62898"/>
  <c r="AU107" i="62898"/>
  <c r="AS107" i="62898"/>
  <c r="AJ243" i="62898"/>
  <c r="AC430" i="62898"/>
  <c r="AC240" i="62898"/>
  <c r="AL432" i="62898"/>
  <c r="O428" i="62898"/>
  <c r="O432" i="62898" s="1"/>
  <c r="AU428" i="62898"/>
  <c r="AB241" i="62898"/>
  <c r="AB428" i="62898"/>
  <c r="AC241" i="62898"/>
  <c r="AU241" i="62898"/>
  <c r="AC239" i="62898"/>
  <c r="Q428" i="62898"/>
  <c r="AI243" i="62898"/>
  <c r="Q243" i="62898"/>
  <c r="AI432" i="62898"/>
  <c r="AO432" i="62898"/>
  <c r="AO243" i="62898"/>
  <c r="AA430" i="62898"/>
  <c r="AT106" i="62898"/>
  <c r="AU158" i="62898"/>
  <c r="AT107" i="62898"/>
  <c r="P430" i="62898"/>
  <c r="D430" i="62898" s="1"/>
  <c r="AX243" i="62898"/>
  <c r="AA428" i="62898"/>
  <c r="P239" i="62898"/>
  <c r="D239" i="62898" s="1"/>
  <c r="AU429" i="62898"/>
  <c r="AU240" i="62898"/>
  <c r="Q429" i="62898"/>
  <c r="D429" i="62898" s="1"/>
  <c r="AA429" i="62898"/>
  <c r="AU239" i="62898"/>
  <c r="AX432" i="62898"/>
  <c r="AA239" i="62898"/>
  <c r="T109" i="62925"/>
  <c r="AC105" i="62898"/>
  <c r="AB490" i="5"/>
  <c r="AC314" i="5"/>
  <c r="AB495" i="5"/>
  <c r="E297" i="62905"/>
  <c r="G297" i="62905"/>
  <c r="G302" i="62905" s="1"/>
  <c r="F297" i="62905"/>
  <c r="F302" i="62905" s="1"/>
  <c r="G328" i="2"/>
  <c r="G362" i="2"/>
  <c r="G295" i="2"/>
  <c r="G262" i="2"/>
  <c r="L362" i="2"/>
  <c r="L328" i="2"/>
  <c r="L341" i="2" s="1"/>
  <c r="J262" i="2"/>
  <c r="J275" i="2" s="1"/>
  <c r="M295" i="2"/>
  <c r="M309" i="2" s="1"/>
  <c r="F295" i="2"/>
  <c r="F328" i="2"/>
  <c r="F262" i="2"/>
  <c r="F362" i="2"/>
  <c r="E156" i="11"/>
  <c r="I188" i="11"/>
  <c r="I193" i="11" s="1"/>
  <c r="K156" i="11"/>
  <c r="K161" i="11" s="1"/>
  <c r="H122" i="11"/>
  <c r="H127" i="11" s="1"/>
  <c r="U32" i="11"/>
  <c r="H92" i="11" s="1"/>
  <c r="G76" i="62909" s="1"/>
  <c r="H76" i="62909" s="1"/>
  <c r="AU209" i="62905"/>
  <c r="D209" i="62905"/>
  <c r="V203" i="62905"/>
  <c r="AC209" i="62905"/>
  <c r="V209" i="62905" s="1"/>
  <c r="AU233" i="62905"/>
  <c r="AC233" i="62905"/>
  <c r="D197" i="62905"/>
  <c r="D188" i="62905"/>
  <c r="AU188" i="62905"/>
  <c r="V194" i="62905"/>
  <c r="AC197" i="62905"/>
  <c r="V197" i="62905" s="1"/>
  <c r="AU197" i="62905"/>
  <c r="AC188" i="62905"/>
  <c r="V185" i="62905"/>
  <c r="D179" i="62905"/>
  <c r="V175" i="62905"/>
  <c r="AC179" i="62905"/>
  <c r="H267" i="62905" s="1"/>
  <c r="AU179" i="62905"/>
  <c r="O80" i="62905"/>
  <c r="D49" i="62905"/>
  <c r="D80" i="62905" s="1"/>
  <c r="D243" i="62905" s="1"/>
  <c r="AU80" i="62905"/>
  <c r="V49" i="62905"/>
  <c r="V63" i="62905"/>
  <c r="V58" i="62905"/>
  <c r="V62" i="62905"/>
  <c r="V61" i="62905"/>
  <c r="V69" i="62905"/>
  <c r="V57" i="62905"/>
  <c r="V51" i="62905"/>
  <c r="V56" i="62905"/>
  <c r="V68" i="62905"/>
  <c r="V54" i="62905"/>
  <c r="E322" i="62923"/>
  <c r="E323" i="62923" s="1"/>
  <c r="E324" i="62923" s="1"/>
  <c r="D173" i="2"/>
  <c r="D241" i="2" s="1"/>
  <c r="AB123" i="5"/>
  <c r="AC489" i="5"/>
  <c r="AA490" i="5"/>
  <c r="AA489" i="5"/>
  <c r="AC490" i="5"/>
  <c r="AB489" i="5"/>
  <c r="D491" i="5"/>
  <c r="AC491" i="5"/>
  <c r="AA491" i="5"/>
  <c r="AA306" i="5"/>
  <c r="AC312" i="5"/>
  <c r="AC306" i="5"/>
  <c r="AB306" i="5"/>
  <c r="AC307" i="5"/>
  <c r="AC308" i="5"/>
  <c r="AB122" i="5"/>
  <c r="AA123" i="5"/>
  <c r="AB124" i="5"/>
  <c r="AB128" i="5"/>
  <c r="AC127" i="5"/>
  <c r="AA122" i="5"/>
  <c r="AB130" i="5"/>
  <c r="AC122" i="5"/>
  <c r="AA124" i="5"/>
  <c r="AB127" i="5"/>
  <c r="AB129" i="5"/>
  <c r="AC124" i="5"/>
  <c r="AC123" i="5"/>
  <c r="T283" i="7"/>
  <c r="Q283" i="7" s="1"/>
  <c r="N283" i="7"/>
  <c r="T283" i="62928"/>
  <c r="Q283" i="62928" s="1"/>
  <c r="N283" i="62928"/>
  <c r="T284" i="7"/>
  <c r="Q284" i="7" s="1"/>
  <c r="N284" i="7"/>
  <c r="N288" i="62928"/>
  <c r="T288" i="62928"/>
  <c r="N284" i="62928"/>
  <c r="T284" i="62928"/>
  <c r="Q284" i="62928" s="1"/>
  <c r="N288" i="7"/>
  <c r="T288" i="7"/>
  <c r="Q288" i="7" s="1"/>
  <c r="G137" i="62905"/>
  <c r="H137" i="62905" s="1"/>
  <c r="H139" i="62905" s="1"/>
  <c r="E1210" i="62919"/>
  <c r="E1211" i="62919" s="1"/>
  <c r="E1212" i="62919" s="1"/>
  <c r="E1213" i="62919" s="1"/>
  <c r="O148" i="62928"/>
  <c r="L148" i="62928" s="1"/>
  <c r="O155" i="62928"/>
  <c r="L155" i="62928" s="1"/>
  <c r="Z259" i="62928"/>
  <c r="Z258" i="62928"/>
  <c r="V155" i="62928"/>
  <c r="Z155" i="62928" s="1"/>
  <c r="T259" i="62928"/>
  <c r="Q259" i="62928" s="1"/>
  <c r="N259" i="62928"/>
  <c r="D259" i="62928" s="1"/>
  <c r="T257" i="62928"/>
  <c r="Q257" i="62928" s="1"/>
  <c r="N257" i="62928"/>
  <c r="D257" i="62928" s="1"/>
  <c r="N258" i="62928"/>
  <c r="D258" i="62928" s="1"/>
  <c r="T258" i="62928"/>
  <c r="Q258" i="62928" s="1"/>
  <c r="Z257" i="62928"/>
  <c r="I158" i="7"/>
  <c r="O158" i="7"/>
  <c r="L158" i="7" s="1"/>
  <c r="O157" i="62928"/>
  <c r="L157" i="62928" s="1"/>
  <c r="I157" i="62928"/>
  <c r="O155" i="7"/>
  <c r="L155" i="7" s="1"/>
  <c r="I155" i="7"/>
  <c r="I158" i="62928"/>
  <c r="O158" i="62928"/>
  <c r="L158" i="62928" s="1"/>
  <c r="O157" i="7"/>
  <c r="L157" i="7" s="1"/>
  <c r="I157" i="7"/>
  <c r="I156" i="62928"/>
  <c r="O156" i="62928"/>
  <c r="L156" i="62928" s="1"/>
  <c r="O159" i="7"/>
  <c r="L159" i="7" s="1"/>
  <c r="I159" i="7"/>
  <c r="O156" i="7"/>
  <c r="L156" i="7" s="1"/>
  <c r="I156" i="7"/>
  <c r="O159" i="62928"/>
  <c r="L159" i="62928" s="1"/>
  <c r="I159" i="62928"/>
  <c r="O152" i="62928"/>
  <c r="L152" i="62928" s="1"/>
  <c r="O150" i="62928"/>
  <c r="L150" i="62928" s="1"/>
  <c r="I150" i="62928"/>
  <c r="D150" i="62928" s="1"/>
  <c r="O151" i="62928"/>
  <c r="L151" i="62928" s="1"/>
  <c r="V149" i="62928"/>
  <c r="Z149" i="62928" s="1"/>
  <c r="O149" i="62928"/>
  <c r="L149" i="62928" s="1"/>
  <c r="E17" i="62922"/>
  <c r="D15" i="62922"/>
  <c r="D16" i="62922" s="1"/>
  <c r="AB308" i="5"/>
  <c r="AV312" i="5"/>
  <c r="AU123" i="5"/>
  <c r="AT491" i="5"/>
  <c r="AK316" i="5"/>
  <c r="AU497" i="5"/>
  <c r="AU494" i="5"/>
  <c r="AB307" i="5"/>
  <c r="AU314" i="5"/>
  <c r="AV314" i="5"/>
  <c r="AT128" i="5"/>
  <c r="AX316" i="5"/>
  <c r="AQ316" i="5"/>
  <c r="AU129" i="5"/>
  <c r="AU495" i="5"/>
  <c r="AU312" i="5"/>
  <c r="AU308" i="5"/>
  <c r="AV308" i="5"/>
  <c r="D490" i="5"/>
  <c r="AV127" i="5"/>
  <c r="AN316" i="5"/>
  <c r="AV490" i="5"/>
  <c r="M496" i="5"/>
  <c r="AC496" i="5" s="1"/>
  <c r="K314" i="5"/>
  <c r="AA314" i="5"/>
  <c r="AV130" i="5"/>
  <c r="AK499" i="5"/>
  <c r="AW316" i="5"/>
  <c r="L497" i="5"/>
  <c r="AB497" i="5" s="1"/>
  <c r="K129" i="5"/>
  <c r="AA129" i="5" s="1"/>
  <c r="AU311" i="5"/>
  <c r="AT494" i="5"/>
  <c r="L314" i="5"/>
  <c r="AB314" i="5"/>
  <c r="M128" i="5"/>
  <c r="AC128" i="5" s="1"/>
  <c r="M311" i="5"/>
  <c r="AC311" i="5" s="1"/>
  <c r="AN499" i="5"/>
  <c r="AT497" i="5"/>
  <c r="K128" i="5"/>
  <c r="AA128" i="5" s="1"/>
  <c r="AT314" i="5"/>
  <c r="AV496" i="5"/>
  <c r="AT312" i="5"/>
  <c r="AT127" i="5"/>
  <c r="AI316" i="5"/>
  <c r="AQ499" i="5"/>
  <c r="AL499" i="5"/>
  <c r="AT130" i="5"/>
  <c r="AU128" i="5"/>
  <c r="M494" i="5"/>
  <c r="AC494" i="5" s="1"/>
  <c r="K313" i="5"/>
  <c r="AA313" i="5"/>
  <c r="AU127" i="5"/>
  <c r="AV129" i="5"/>
  <c r="AT129" i="5"/>
  <c r="AP499" i="5"/>
  <c r="AT311" i="5"/>
  <c r="AV311" i="5"/>
  <c r="AL316" i="5"/>
  <c r="AW499" i="5"/>
  <c r="AO499" i="5"/>
  <c r="AT313" i="5"/>
  <c r="AP316" i="5"/>
  <c r="AT495" i="5"/>
  <c r="K494" i="5"/>
  <c r="AA494" i="5" s="1"/>
  <c r="L313" i="5"/>
  <c r="AB313" i="5"/>
  <c r="AV313" i="5"/>
  <c r="K495" i="5"/>
  <c r="AA495" i="5" s="1"/>
  <c r="AU496" i="5"/>
  <c r="AO316" i="5"/>
  <c r="AH316" i="5"/>
  <c r="AR499" i="5"/>
  <c r="AV495" i="5"/>
  <c r="M129" i="5"/>
  <c r="AC129" i="5" s="1"/>
  <c r="AV497" i="5"/>
  <c r="AV494" i="5"/>
  <c r="AS499" i="5"/>
  <c r="AA311" i="5"/>
  <c r="K312" i="5"/>
  <c r="AA312" i="5"/>
  <c r="D122" i="5"/>
  <c r="D489" i="5"/>
  <c r="AV307" i="5"/>
  <c r="AM499" i="5"/>
  <c r="AM316" i="5"/>
  <c r="AY132" i="5"/>
  <c r="AU491" i="5"/>
  <c r="AR316" i="5"/>
  <c r="AX499" i="5"/>
  <c r="AS316" i="5"/>
  <c r="AU313" i="5"/>
  <c r="AT496" i="5"/>
  <c r="M313" i="5"/>
  <c r="AC313" i="5" s="1"/>
  <c r="AV128" i="5"/>
  <c r="M497" i="5"/>
  <c r="AC497" i="5" s="1"/>
  <c r="AT123" i="5"/>
  <c r="D124" i="5"/>
  <c r="M130" i="5"/>
  <c r="AC130" i="5" s="1"/>
  <c r="L311" i="5"/>
  <c r="AB311" i="5"/>
  <c r="L496" i="5"/>
  <c r="AB496" i="5" s="1"/>
  <c r="M495" i="5"/>
  <c r="AC495" i="5" s="1"/>
  <c r="L312" i="5"/>
  <c r="AB312" i="5"/>
  <c r="AU490" i="5"/>
  <c r="AV122" i="5"/>
  <c r="AJ132" i="5"/>
  <c r="AV489" i="5"/>
  <c r="AJ499" i="5"/>
  <c r="AT124" i="5"/>
  <c r="AV306" i="5"/>
  <c r="AJ316" i="5"/>
  <c r="AY316" i="5"/>
  <c r="AY499" i="5"/>
  <c r="AU307" i="5"/>
  <c r="AU130" i="5"/>
  <c r="K130" i="5"/>
  <c r="AA130" i="5" s="1"/>
  <c r="K497" i="5"/>
  <c r="AA497" i="5" s="1"/>
  <c r="K496" i="5"/>
  <c r="AA496" i="5" s="1"/>
  <c r="AT308" i="5"/>
  <c r="AT490" i="5"/>
  <c r="AV124" i="5"/>
  <c r="AT307" i="5"/>
  <c r="AV491" i="5"/>
  <c r="AV123" i="5"/>
  <c r="AS132" i="5"/>
  <c r="D123" i="5"/>
  <c r="D306" i="5"/>
  <c r="K127" i="5"/>
  <c r="L494" i="5"/>
  <c r="AB494" i="5" s="1"/>
  <c r="AM132" i="5"/>
  <c r="D308" i="5"/>
  <c r="AU124" i="5"/>
  <c r="AP132" i="5"/>
  <c r="D307" i="5"/>
  <c r="O43" i="5"/>
  <c r="AH499" i="5"/>
  <c r="AT489" i="5"/>
  <c r="AA308" i="5"/>
  <c r="AI499" i="5"/>
  <c r="AU489" i="5"/>
  <c r="E482" i="62922"/>
  <c r="E483" i="62922" s="1"/>
  <c r="D479" i="62922"/>
  <c r="D480" i="62922" s="1"/>
  <c r="D481" i="62922" s="1"/>
  <c r="N445" i="5"/>
  <c r="AC443" i="5"/>
  <c r="AC260" i="5"/>
  <c r="BA442" i="5"/>
  <c r="AD442" i="5"/>
  <c r="BA441" i="5"/>
  <c r="AD441" i="5"/>
  <c r="AD76" i="5"/>
  <c r="BA78" i="5"/>
  <c r="AY259" i="5"/>
  <c r="AB259" i="5"/>
  <c r="AA259" i="5"/>
  <c r="AX259" i="5"/>
  <c r="AB260" i="5"/>
  <c r="AY260" i="5"/>
  <c r="AD75" i="5"/>
  <c r="L260" i="5"/>
  <c r="L262" i="5" s="1"/>
  <c r="N262" i="5"/>
  <c r="D75" i="5"/>
  <c r="D76" i="5"/>
  <c r="AO90" i="62898"/>
  <c r="D315" i="62898"/>
  <c r="AQ318" i="62898"/>
  <c r="L74" i="5"/>
  <c r="L78" i="5" s="1"/>
  <c r="E288" i="62922"/>
  <c r="D286" i="62922"/>
  <c r="D287" i="62922" s="1"/>
  <c r="AK204" i="62898"/>
  <c r="AH204" i="62898"/>
  <c r="AC107" i="62898"/>
  <c r="AC106" i="62898"/>
  <c r="AA241" i="62898"/>
  <c r="P241" i="62898"/>
  <c r="D241" i="62898" s="1"/>
  <c r="AA240" i="62898"/>
  <c r="P240" i="62898"/>
  <c r="D240" i="62898" s="1"/>
  <c r="O243" i="62898"/>
  <c r="AS239" i="62898"/>
  <c r="AO204" i="62898"/>
  <c r="AL204" i="62898"/>
  <c r="T125" i="62898"/>
  <c r="AC193" i="62898"/>
  <c r="AD193" i="62898" s="1"/>
  <c r="X193" i="62898" s="1"/>
  <c r="AE193" i="62898" s="1"/>
  <c r="AS67" i="62898"/>
  <c r="D15" i="62921"/>
  <c r="C14" i="62921"/>
  <c r="E16" i="62921"/>
  <c r="AC55" i="62898"/>
  <c r="AD55" i="62898" s="1"/>
  <c r="AV99" i="62898"/>
  <c r="AS19" i="62898"/>
  <c r="E204" i="62921"/>
  <c r="E205" i="62921" s="1"/>
  <c r="N34" i="62898"/>
  <c r="D203" i="62921"/>
  <c r="AN318" i="62898"/>
  <c r="D55" i="62898"/>
  <c r="AM163" i="62898"/>
  <c r="AK185" i="62898"/>
  <c r="AT68" i="62898"/>
  <c r="AH243" i="62898"/>
  <c r="AC143" i="62898"/>
  <c r="AD143" i="62898" s="1"/>
  <c r="AA58" i="62898"/>
  <c r="AD58" i="62898" s="1"/>
  <c r="X58" i="62898" s="1"/>
  <c r="AE58" i="62898" s="1"/>
  <c r="AB107" i="62898"/>
  <c r="AT315" i="62898"/>
  <c r="M185" i="62898"/>
  <c r="AJ60" i="62898"/>
  <c r="AT124" i="62898"/>
  <c r="AT17" i="62898"/>
  <c r="AA161" i="62898"/>
  <c r="AU56" i="62898"/>
  <c r="D66" i="62898"/>
  <c r="AC156" i="62898"/>
  <c r="AD156" i="62898" s="1"/>
  <c r="X156" i="62898" s="1"/>
  <c r="AE156" i="62898" s="1"/>
  <c r="AS86" i="62898"/>
  <c r="AS90" i="62898" s="1"/>
  <c r="AU57" i="62898"/>
  <c r="AA66" i="62898"/>
  <c r="AT240" i="62898"/>
  <c r="AK243" i="62898"/>
  <c r="AS124" i="62898"/>
  <c r="AA106" i="62898"/>
  <c r="AJ163" i="62898"/>
  <c r="AS145" i="62898"/>
  <c r="AB183" i="62898"/>
  <c r="AS314" i="62898"/>
  <c r="AG90" i="62898"/>
  <c r="AA315" i="62898"/>
  <c r="AC54" i="62898"/>
  <c r="AD54" i="62898" s="1"/>
  <c r="X54" i="62898" s="1"/>
  <c r="AE54" i="62898" s="1"/>
  <c r="AB315" i="62898"/>
  <c r="AB318" i="62898" s="1"/>
  <c r="AH70" i="62898"/>
  <c r="AT182" i="62898"/>
  <c r="AN99" i="62898"/>
  <c r="AW243" i="62898"/>
  <c r="AX204" i="62898"/>
  <c r="AC191" i="62898"/>
  <c r="N90" i="62898"/>
  <c r="AB328" i="62898"/>
  <c r="AT67" i="62898"/>
  <c r="T328" i="62898"/>
  <c r="AB332" i="62898"/>
  <c r="AG335" i="62898"/>
  <c r="AS315" i="62898"/>
  <c r="AT120" i="62898"/>
  <c r="AB66" i="62898"/>
  <c r="AK318" i="62898"/>
  <c r="AS332" i="62898"/>
  <c r="AX99" i="62898"/>
  <c r="AS17" i="62898"/>
  <c r="AH99" i="62898"/>
  <c r="T329" i="62898"/>
  <c r="AU42" i="62898"/>
  <c r="AT332" i="62898"/>
  <c r="AJ99" i="62898"/>
  <c r="AC56" i="62898"/>
  <c r="AG127" i="62898"/>
  <c r="D29" i="62898"/>
  <c r="AS123" i="62898"/>
  <c r="AA29" i="62898"/>
  <c r="AD29" i="62898" s="1"/>
  <c r="X29" i="62898" s="1"/>
  <c r="AE29" i="62898" s="1"/>
  <c r="AT97" i="62898"/>
  <c r="AN70" i="62898"/>
  <c r="AI34" i="62898"/>
  <c r="D56" i="62898"/>
  <c r="AG163" i="62898"/>
  <c r="AO195" i="62898"/>
  <c r="AC57" i="62898"/>
  <c r="AD57" i="62898" s="1"/>
  <c r="X57" i="62898" s="1"/>
  <c r="AE57" i="62898" s="1"/>
  <c r="T333" i="62898"/>
  <c r="AT241" i="62898"/>
  <c r="AU34" i="62898"/>
  <c r="AC31" i="62898"/>
  <c r="AC34" i="62898" s="1"/>
  <c r="AT96" i="62898"/>
  <c r="AS240" i="62898"/>
  <c r="T332" i="62898"/>
  <c r="D40" i="62898"/>
  <c r="AU88" i="62898"/>
  <c r="AA67" i="62898"/>
  <c r="AO99" i="62898"/>
  <c r="AK99" i="62898"/>
  <c r="AT330" i="62898"/>
  <c r="AT331" i="62898"/>
  <c r="C248" i="62921"/>
  <c r="E251" i="62921"/>
  <c r="D249" i="62921"/>
  <c r="D250" i="62921" s="1"/>
  <c r="AW127" i="62898"/>
  <c r="AA97" i="62898"/>
  <c r="AA181" i="62898"/>
  <c r="AU53" i="62898"/>
  <c r="AU78" i="62898"/>
  <c r="AU80" i="62898" s="1"/>
  <c r="AL90" i="62898"/>
  <c r="AJ127" i="62898"/>
  <c r="AS16" i="62898"/>
  <c r="AA105" i="62898"/>
  <c r="AB329" i="62898"/>
  <c r="L70" i="62898"/>
  <c r="AB97" i="62898"/>
  <c r="AS182" i="62898"/>
  <c r="AB120" i="62898"/>
  <c r="AS96" i="62898"/>
  <c r="AS99" i="62898" s="1"/>
  <c r="AI99" i="62898"/>
  <c r="AT329" i="62898"/>
  <c r="AT21" i="62898"/>
  <c r="AM243" i="62898"/>
  <c r="T120" i="62898"/>
  <c r="AN204" i="62898"/>
  <c r="O105" i="62898"/>
  <c r="O109" i="62898" s="1"/>
  <c r="AW23" i="62898"/>
  <c r="AV318" i="62898"/>
  <c r="AU286" i="62898"/>
  <c r="AS68" i="62898"/>
  <c r="AM127" i="62898"/>
  <c r="AV335" i="62898"/>
  <c r="AS329" i="62898"/>
  <c r="AW335" i="62898"/>
  <c r="AS328" i="62898"/>
  <c r="AT122" i="62898"/>
  <c r="AA32" i="62898"/>
  <c r="AJ335" i="62898"/>
  <c r="O34" i="62898"/>
  <c r="AA68" i="62898"/>
  <c r="AS122" i="62898"/>
  <c r="AA316" i="62898"/>
  <c r="AD316" i="62898" s="1"/>
  <c r="AC68" i="62898"/>
  <c r="AT333" i="62898"/>
  <c r="AB67" i="62898"/>
  <c r="AT18" i="62898"/>
  <c r="AB106" i="62898"/>
  <c r="T121" i="62898"/>
  <c r="AV127" i="62898"/>
  <c r="AC66" i="62898"/>
  <c r="AG243" i="62898"/>
  <c r="AB333" i="62898"/>
  <c r="AU161" i="62898"/>
  <c r="AA213" i="62898"/>
  <c r="X213" i="62898" s="1"/>
  <c r="AT286" i="62898"/>
  <c r="T330" i="62898"/>
  <c r="AN127" i="62898"/>
  <c r="AM318" i="62898"/>
  <c r="AB181" i="62898"/>
  <c r="AA314" i="62898"/>
  <c r="AD314" i="62898" s="1"/>
  <c r="X314" i="62898" s="1"/>
  <c r="AE314" i="62898" s="1"/>
  <c r="AS331" i="62898"/>
  <c r="AN243" i="62898"/>
  <c r="AS333" i="62898"/>
  <c r="AC96" i="62898"/>
  <c r="AX195" i="62898"/>
  <c r="D41" i="62898"/>
  <c r="AT121" i="62898"/>
  <c r="AT20" i="62898"/>
  <c r="AO80" i="62898"/>
  <c r="K60" i="62898"/>
  <c r="AS120" i="62898"/>
  <c r="O96" i="62898"/>
  <c r="D96" i="62898" s="1"/>
  <c r="AS18" i="62898"/>
  <c r="AG23" i="62898"/>
  <c r="AB96" i="62898"/>
  <c r="AS316" i="62898"/>
  <c r="AG70" i="62898"/>
  <c r="AU55" i="62898"/>
  <c r="AM23" i="62898"/>
  <c r="AB31" i="62898"/>
  <c r="AT125" i="62898"/>
  <c r="AO60" i="62898"/>
  <c r="AC144" i="62898"/>
  <c r="AD144" i="62898" s="1"/>
  <c r="X144" i="62898" s="1"/>
  <c r="AE144" i="62898" s="1"/>
  <c r="AJ23" i="62898"/>
  <c r="AB331" i="62898"/>
  <c r="AU41" i="62898"/>
  <c r="AS20" i="62898"/>
  <c r="AT314" i="62898"/>
  <c r="Q97" i="62898"/>
  <c r="Q99" i="62898" s="1"/>
  <c r="AV70" i="62898"/>
  <c r="AU96" i="62898"/>
  <c r="AW432" i="62898"/>
  <c r="AU58" i="62898"/>
  <c r="AH31" i="62898"/>
  <c r="AT31" i="62898" s="1"/>
  <c r="AG204" i="62898"/>
  <c r="AC67" i="62898"/>
  <c r="AL60" i="62898"/>
  <c r="AI109" i="62898"/>
  <c r="AT16" i="62898"/>
  <c r="AV23" i="62898"/>
  <c r="AW99" i="62898"/>
  <c r="AS21" i="62898"/>
  <c r="AN23" i="62898"/>
  <c r="D42" i="62898"/>
  <c r="AK335" i="62898"/>
  <c r="AK127" i="62898"/>
  <c r="AT123" i="62898"/>
  <c r="AN335" i="62898"/>
  <c r="AH23" i="62898"/>
  <c r="AK70" i="62898"/>
  <c r="Q106" i="62898"/>
  <c r="D106" i="62898" s="1"/>
  <c r="P34" i="62898"/>
  <c r="AT316" i="62898"/>
  <c r="AT328" i="62898"/>
  <c r="K195" i="62898"/>
  <c r="AI60" i="62898"/>
  <c r="D32" i="62898"/>
  <c r="AM335" i="62898"/>
  <c r="AJ70" i="62898"/>
  <c r="AT19" i="62898"/>
  <c r="D161" i="62898"/>
  <c r="AS241" i="62898"/>
  <c r="T122" i="62898"/>
  <c r="AJ318" i="62898"/>
  <c r="AH335" i="62898"/>
  <c r="AS66" i="62898"/>
  <c r="AB32" i="62898"/>
  <c r="L60" i="62898"/>
  <c r="L275" i="62898"/>
  <c r="AH127" i="62898"/>
  <c r="AA107" i="62898"/>
  <c r="AS34" i="62898"/>
  <c r="AK23" i="62898"/>
  <c r="AA42" i="62898"/>
  <c r="AD42" i="62898" s="1"/>
  <c r="X42" i="62898" s="1"/>
  <c r="AE42" i="62898" s="1"/>
  <c r="AT66" i="62898"/>
  <c r="D191" i="62898"/>
  <c r="AB330" i="62898"/>
  <c r="AG34" i="62898"/>
  <c r="AS58" i="62898"/>
  <c r="AS60" i="62898" s="1"/>
  <c r="AC379" i="62898"/>
  <c r="AA31" i="62898"/>
  <c r="D31" i="62898"/>
  <c r="AX60" i="62898"/>
  <c r="AU105" i="62898"/>
  <c r="AB105" i="62898"/>
  <c r="AL109" i="62898"/>
  <c r="AO109" i="62898"/>
  <c r="AX109" i="62898"/>
  <c r="D107" i="62898"/>
  <c r="AW109" i="62898"/>
  <c r="E336" i="62921"/>
  <c r="D335" i="62921"/>
  <c r="AA201" i="62898"/>
  <c r="D416" i="62921"/>
  <c r="AM185" i="62898"/>
  <c r="AA96" i="62898"/>
  <c r="I152" i="62928"/>
  <c r="D152" i="62928" s="1"/>
  <c r="C2235" i="62917"/>
  <c r="D2236" i="62917"/>
  <c r="D2237" i="62917" s="1"/>
  <c r="E2238" i="62917"/>
  <c r="E2239" i="62917" s="1"/>
  <c r="D148" i="62928"/>
  <c r="V148" i="62928"/>
  <c r="Z148" i="62928" s="1"/>
  <c r="D42" i="7"/>
  <c r="D151" i="62928"/>
  <c r="V151" i="62928"/>
  <c r="Z151" i="62928" s="1"/>
  <c r="M14" i="11"/>
  <c r="D14" i="11" s="1"/>
  <c r="O150" i="7"/>
  <c r="L150" i="7" s="1"/>
  <c r="I150" i="7"/>
  <c r="O152" i="7"/>
  <c r="L152" i="7" s="1"/>
  <c r="I152" i="7"/>
  <c r="I148" i="7"/>
  <c r="O148" i="7"/>
  <c r="L148" i="7" s="1"/>
  <c r="I151" i="7"/>
  <c r="O151" i="7"/>
  <c r="L151" i="7" s="1"/>
  <c r="I149" i="7"/>
  <c r="O149" i="7"/>
  <c r="L149" i="7" s="1"/>
  <c r="E417" i="62921"/>
  <c r="T109" i="62926"/>
  <c r="AC87" i="62925"/>
  <c r="W87" i="62925" s="1"/>
  <c r="J95" i="62926"/>
  <c r="AA76" i="62898"/>
  <c r="AD76" i="62898" s="1"/>
  <c r="X76" i="62898" s="1"/>
  <c r="AE76" i="62898" s="1"/>
  <c r="AB121" i="62898"/>
  <c r="AB387" i="62898"/>
  <c r="D76" i="62898"/>
  <c r="D80" i="62898" s="1"/>
  <c r="AB124" i="62898"/>
  <c r="AG185" i="62898"/>
  <c r="AC192" i="62898"/>
  <c r="AD192" i="62898" s="1"/>
  <c r="X192" i="62898" s="1"/>
  <c r="AE192" i="62898" s="1"/>
  <c r="AA86" i="62898"/>
  <c r="AA90" i="62898" s="1"/>
  <c r="K70" i="62898"/>
  <c r="D192" i="62898"/>
  <c r="AS202" i="62898"/>
  <c r="AB123" i="62898"/>
  <c r="AA19" i="62898"/>
  <c r="AS191" i="62898"/>
  <c r="AS195" i="62898" s="1"/>
  <c r="AC182" i="62898"/>
  <c r="S19" i="62898"/>
  <c r="D343" i="62898"/>
  <c r="AA343" i="62898"/>
  <c r="AU191" i="62898"/>
  <c r="S124" i="62898"/>
  <c r="D124" i="62898" s="1"/>
  <c r="L185" i="62898"/>
  <c r="AI195" i="62898"/>
  <c r="AX163" i="62898"/>
  <c r="AG390" i="62898"/>
  <c r="AT181" i="62898"/>
  <c r="AW185" i="62898"/>
  <c r="AC159" i="62898"/>
  <c r="AD159" i="62898" s="1"/>
  <c r="X159" i="62898" s="1"/>
  <c r="AE159" i="62898" s="1"/>
  <c r="AA121" i="62898"/>
  <c r="AA20" i="62898"/>
  <c r="AA328" i="62898"/>
  <c r="AU160" i="62898"/>
  <c r="AU86" i="62898"/>
  <c r="S328" i="62898"/>
  <c r="S20" i="62898"/>
  <c r="S121" i="62898"/>
  <c r="AA124" i="62898"/>
  <c r="AC161" i="62898"/>
  <c r="T17" i="62898"/>
  <c r="AB122" i="62898"/>
  <c r="S331" i="62898"/>
  <c r="D331" i="62898" s="1"/>
  <c r="AU145" i="62898"/>
  <c r="AB17" i="62898"/>
  <c r="AA122" i="62898"/>
  <c r="AC145" i="62898"/>
  <c r="AV163" i="62898"/>
  <c r="AA333" i="62898"/>
  <c r="S333" i="62898"/>
  <c r="AB125" i="62898"/>
  <c r="AA331" i="62898"/>
  <c r="D67" i="62898"/>
  <c r="AA182" i="62898"/>
  <c r="AB182" i="62898"/>
  <c r="AU143" i="62898"/>
  <c r="AA17" i="62898"/>
  <c r="AH185" i="62898"/>
  <c r="T20" i="62898"/>
  <c r="O387" i="62898"/>
  <c r="AB19" i="62898"/>
  <c r="AC359" i="62898"/>
  <c r="AU157" i="62898"/>
  <c r="O97" i="62898"/>
  <c r="D145" i="62898"/>
  <c r="AS161" i="62898"/>
  <c r="AC97" i="62898"/>
  <c r="S332" i="62898"/>
  <c r="T18" i="62898"/>
  <c r="S125" i="62898"/>
  <c r="AU144" i="62898"/>
  <c r="AT183" i="62898"/>
  <c r="AS201" i="62898"/>
  <c r="AA332" i="62898"/>
  <c r="AL163" i="62898"/>
  <c r="AA330" i="62898"/>
  <c r="S18" i="62898"/>
  <c r="AA120" i="62898"/>
  <c r="AB201" i="62898"/>
  <c r="AI204" i="62898"/>
  <c r="AC160" i="62898"/>
  <c r="AD160" i="62898" s="1"/>
  <c r="X160" i="62898" s="1"/>
  <c r="AE160" i="62898" s="1"/>
  <c r="S122" i="62898"/>
  <c r="AA123" i="62898"/>
  <c r="S17" i="62898"/>
  <c r="S120" i="62898"/>
  <c r="S123" i="62898"/>
  <c r="D123" i="62898" s="1"/>
  <c r="S16" i="62898"/>
  <c r="T16" i="62898"/>
  <c r="AA329" i="62898"/>
  <c r="AB21" i="62898"/>
  <c r="AU202" i="62898"/>
  <c r="AU193" i="62898"/>
  <c r="AA183" i="62898"/>
  <c r="T19" i="62898"/>
  <c r="AA18" i="62898"/>
  <c r="S330" i="62898"/>
  <c r="AU159" i="62898"/>
  <c r="S21" i="62898"/>
  <c r="AB18" i="62898"/>
  <c r="AT202" i="62898"/>
  <c r="M70" i="62898"/>
  <c r="AB16" i="62898"/>
  <c r="AU54" i="62898"/>
  <c r="D68" i="62898"/>
  <c r="AC357" i="62898"/>
  <c r="AD357" i="62898" s="1"/>
  <c r="X357" i="62898" s="1"/>
  <c r="AE357" i="62898" s="1"/>
  <c r="AB20" i="62898"/>
  <c r="AA16" i="62898"/>
  <c r="AC158" i="62898"/>
  <c r="AD158" i="62898" s="1"/>
  <c r="X158" i="62898" s="1"/>
  <c r="AE158" i="62898" s="1"/>
  <c r="AL195" i="62898"/>
  <c r="AB68" i="62898"/>
  <c r="S329" i="62898"/>
  <c r="AA21" i="62898"/>
  <c r="AV204" i="62898"/>
  <c r="AI90" i="62898"/>
  <c r="AW204" i="62898"/>
  <c r="T21" i="62898"/>
  <c r="AA125" i="62898"/>
  <c r="AU156" i="62898"/>
  <c r="K185" i="62898"/>
  <c r="K95" i="62925"/>
  <c r="Z95" i="62926"/>
  <c r="D86" i="62926"/>
  <c r="K95" i="62926"/>
  <c r="AC86" i="62926"/>
  <c r="AA95" i="62926"/>
  <c r="AC86" i="62925"/>
  <c r="AA95" i="62925"/>
  <c r="L95" i="62925"/>
  <c r="Z95" i="62925"/>
  <c r="D87" i="62925"/>
  <c r="AM87" i="62925"/>
  <c r="AE87" i="62925"/>
  <c r="AN88" i="62925"/>
  <c r="AF88" i="62925"/>
  <c r="AF86" i="62925"/>
  <c r="AN86" i="62925"/>
  <c r="AC88" i="62925"/>
  <c r="W88" i="62925" s="1"/>
  <c r="AE88" i="62925"/>
  <c r="AM88" i="62925"/>
  <c r="D88" i="62925"/>
  <c r="D86" i="62925"/>
  <c r="AN87" i="62925"/>
  <c r="AF87" i="62925"/>
  <c r="AC88" i="62926"/>
  <c r="W88" i="62926" s="1"/>
  <c r="AM88" i="62926"/>
  <c r="D88" i="62926"/>
  <c r="AE88" i="62926"/>
  <c r="AE87" i="62926"/>
  <c r="AM87" i="62926"/>
  <c r="D87" i="62926"/>
  <c r="AF86" i="62926"/>
  <c r="AN86" i="62926"/>
  <c r="AC87" i="62926"/>
  <c r="W87" i="62926" s="1"/>
  <c r="AN87" i="62926"/>
  <c r="AF87" i="62926"/>
  <c r="AF88" i="62926"/>
  <c r="AN88" i="62926"/>
  <c r="D1619" i="62917"/>
  <c r="E1620" i="62917"/>
  <c r="E1621" i="62917" s="1"/>
  <c r="D2155" i="62917"/>
  <c r="E2156" i="62917"/>
  <c r="AQ173" i="2"/>
  <c r="C319" i="62923"/>
  <c r="D320" i="62923"/>
  <c r="D321" i="62923" s="1"/>
  <c r="AQ150" i="2"/>
  <c r="O121" i="2"/>
  <c r="D117" i="2"/>
  <c r="D121" i="2" s="1"/>
  <c r="Q117" i="2"/>
  <c r="X121" i="2"/>
  <c r="H239" i="2" s="1"/>
  <c r="AQ141" i="2"/>
  <c r="Q139" i="2"/>
  <c r="X141" i="2"/>
  <c r="Q141" i="2" s="1"/>
  <c r="O132" i="2"/>
  <c r="D128" i="2"/>
  <c r="D132" i="2" s="1"/>
  <c r="Q128" i="2"/>
  <c r="X132" i="2"/>
  <c r="X150" i="2"/>
  <c r="Q150" i="2" s="1"/>
  <c r="Q148" i="2"/>
  <c r="AQ121" i="2"/>
  <c r="AQ132" i="2"/>
  <c r="D148" i="2"/>
  <c r="D150" i="2" s="1"/>
  <c r="O150" i="2"/>
  <c r="D139" i="2"/>
  <c r="D141" i="2" s="1"/>
  <c r="O141" i="2"/>
  <c r="AR94" i="2"/>
  <c r="X47" i="2"/>
  <c r="D16" i="2"/>
  <c r="O47" i="2"/>
  <c r="AR47" i="2"/>
  <c r="Q22" i="2"/>
  <c r="Q29" i="2"/>
  <c r="Q16" i="2"/>
  <c r="C418" i="62923"/>
  <c r="D419" i="62923"/>
  <c r="D420" i="62923" s="1"/>
  <c r="D421" i="62923" s="1"/>
  <c r="E422" i="62923"/>
  <c r="E423" i="62923" s="1"/>
  <c r="AC377" i="62898"/>
  <c r="AU201" i="62898"/>
  <c r="D419" i="62898"/>
  <c r="AA419" i="62898"/>
  <c r="AX396" i="62898"/>
  <c r="AZ397" i="62898"/>
  <c r="K371" i="62898"/>
  <c r="AA418" i="62898"/>
  <c r="AB377" i="62898"/>
  <c r="M381" i="62898"/>
  <c r="AC396" i="62898"/>
  <c r="AC201" i="62898"/>
  <c r="AH390" i="62898"/>
  <c r="AI163" i="62898"/>
  <c r="E122" i="11"/>
  <c r="E188" i="11"/>
  <c r="C382" i="62923"/>
  <c r="D92" i="11"/>
  <c r="E291" i="62923"/>
  <c r="D291" i="62923" s="1"/>
  <c r="D277" i="62923"/>
  <c r="E278" i="62923"/>
  <c r="C32" i="62923"/>
  <c r="D33" i="62923"/>
  <c r="D34" i="62923" s="1"/>
  <c r="E35" i="62923"/>
  <c r="F215" i="11"/>
  <c r="J215" i="11" s="1"/>
  <c r="AC367" i="62898"/>
  <c r="AV390" i="62898"/>
  <c r="AN185" i="62898"/>
  <c r="AO371" i="62898"/>
  <c r="AJ204" i="62898"/>
  <c r="AV185" i="62898"/>
  <c r="Q387" i="62898"/>
  <c r="AX397" i="62898"/>
  <c r="AA367" i="62898"/>
  <c r="AA371" i="62898" s="1"/>
  <c r="AB420" i="62898"/>
  <c r="AS181" i="62898"/>
  <c r="AX399" i="62898"/>
  <c r="L163" i="62898"/>
  <c r="D367" i="62898"/>
  <c r="D371" i="62898" s="1"/>
  <c r="AA145" i="62898"/>
  <c r="AX371" i="62898"/>
  <c r="AJ185" i="62898"/>
  <c r="AC356" i="62898"/>
  <c r="AD356" i="62898" s="1"/>
  <c r="X356" i="62898" s="1"/>
  <c r="AE356" i="62898" s="1"/>
  <c r="AC202" i="62898"/>
  <c r="L371" i="62898"/>
  <c r="AC355" i="62898"/>
  <c r="AD355" i="62898" s="1"/>
  <c r="X355" i="62898" s="1"/>
  <c r="AE355" i="62898" s="1"/>
  <c r="AL390" i="62898"/>
  <c r="AV381" i="62898"/>
  <c r="AV361" i="62898"/>
  <c r="AI390" i="62898"/>
  <c r="AW422" i="62898"/>
  <c r="AS377" i="62898"/>
  <c r="AN432" i="62898"/>
  <c r="AB396" i="62898"/>
  <c r="AM361" i="62898"/>
  <c r="AG381" i="62898"/>
  <c r="AT201" i="62898"/>
  <c r="AJ361" i="62898"/>
  <c r="AU343" i="62898"/>
  <c r="AC341" i="62898"/>
  <c r="AD341" i="62898" s="1"/>
  <c r="K420" i="62898"/>
  <c r="D420" i="62898" s="1"/>
  <c r="AA387" i="62898"/>
  <c r="AC181" i="62898"/>
  <c r="AH381" i="62898"/>
  <c r="N401" i="62898"/>
  <c r="AC157" i="62898"/>
  <c r="AC354" i="62898"/>
  <c r="AD354" i="62898" s="1"/>
  <c r="X354" i="62898" s="1"/>
  <c r="AE354" i="62898" s="1"/>
  <c r="AC378" i="62898"/>
  <c r="AS343" i="62898"/>
  <c r="AK381" i="62898"/>
  <c r="K381" i="62898"/>
  <c r="AS387" i="62898"/>
  <c r="AW381" i="62898"/>
  <c r="AB378" i="62898"/>
  <c r="AZ396" i="62898"/>
  <c r="AU357" i="62898"/>
  <c r="N275" i="62898"/>
  <c r="AO163" i="62898"/>
  <c r="AB419" i="62898"/>
  <c r="K163" i="62898"/>
  <c r="E470" i="62898" s="1"/>
  <c r="F470" i="62898" s="1"/>
  <c r="AV109" i="62898"/>
  <c r="AH401" i="62898"/>
  <c r="AT377" i="62898"/>
  <c r="D359" i="62898"/>
  <c r="O388" i="62898"/>
  <c r="AM422" i="62898"/>
  <c r="AS428" i="62898"/>
  <c r="AW390" i="62898"/>
  <c r="AC358" i="62898"/>
  <c r="AD358" i="62898" s="1"/>
  <c r="X358" i="62898" s="1"/>
  <c r="AE358" i="62898" s="1"/>
  <c r="AV432" i="62898"/>
  <c r="AC369" i="62898"/>
  <c r="AS367" i="62898"/>
  <c r="AS371" i="62898" s="1"/>
  <c r="AZ398" i="62898"/>
  <c r="D358" i="62898"/>
  <c r="AS429" i="62898"/>
  <c r="AU342" i="62898"/>
  <c r="AJ401" i="62898"/>
  <c r="AU354" i="62898"/>
  <c r="AA388" i="62898"/>
  <c r="AT378" i="62898"/>
  <c r="AS359" i="62898"/>
  <c r="AJ390" i="62898"/>
  <c r="AB379" i="62898"/>
  <c r="AM432" i="62898"/>
  <c r="AU341" i="62898"/>
  <c r="AO390" i="62898"/>
  <c r="AL371" i="62898"/>
  <c r="AU358" i="62898"/>
  <c r="AA191" i="62898"/>
  <c r="L195" i="62898"/>
  <c r="AU387" i="62898"/>
  <c r="AC343" i="62898"/>
  <c r="AU388" i="62898"/>
  <c r="AY398" i="62898"/>
  <c r="AU367" i="62898"/>
  <c r="AS183" i="62898"/>
  <c r="D354" i="62898"/>
  <c r="AP422" i="62898"/>
  <c r="AY399" i="62898"/>
  <c r="AS388" i="62898"/>
  <c r="AX361" i="62898"/>
  <c r="AU355" i="62898"/>
  <c r="AT429" i="62898"/>
  <c r="AK390" i="62898"/>
  <c r="AQ422" i="62898"/>
  <c r="AS379" i="62898"/>
  <c r="AG422" i="62898"/>
  <c r="AU359" i="62898"/>
  <c r="AS419" i="62898"/>
  <c r="AL361" i="62898"/>
  <c r="AM381" i="62898"/>
  <c r="AX390" i="62898"/>
  <c r="AS430" i="62898"/>
  <c r="AS378" i="62898"/>
  <c r="AN390" i="62898"/>
  <c r="AA377" i="62898"/>
  <c r="AT428" i="62898"/>
  <c r="J15" i="62928"/>
  <c r="D15" i="62928" s="1"/>
  <c r="V15" i="62928" s="1"/>
  <c r="Z15" i="62928" s="1"/>
  <c r="T14" i="11"/>
  <c r="V14" i="11" s="1"/>
  <c r="Q14" i="11" s="1"/>
  <c r="C148" i="62924"/>
  <c r="E150" i="62924"/>
  <c r="E151" i="62924" s="1"/>
  <c r="E152" i="62924" s="1"/>
  <c r="AQ275" i="62898"/>
  <c r="AJ275" i="62898"/>
  <c r="AV275" i="62898"/>
  <c r="AP275" i="62898"/>
  <c r="AB388" i="62898"/>
  <c r="AU275" i="62898"/>
  <c r="AX270" i="62898"/>
  <c r="AY270" i="62898"/>
  <c r="AI275" i="62898"/>
  <c r="C478" i="62922"/>
  <c r="C916" i="62919"/>
  <c r="D863" i="62919"/>
  <c r="D864" i="62919" s="1"/>
  <c r="C862" i="62919"/>
  <c r="C625" i="62919"/>
  <c r="C412" i="62919"/>
  <c r="C13" i="62918"/>
  <c r="AT275" i="62898"/>
  <c r="AR275" i="62898"/>
  <c r="AZ270" i="62898"/>
  <c r="AH275" i="62898"/>
  <c r="AW132" i="5"/>
  <c r="T287" i="62928"/>
  <c r="N287" i="62928"/>
  <c r="T289" i="7"/>
  <c r="Q289" i="7" s="1"/>
  <c r="N289" i="7"/>
  <c r="T289" i="62928"/>
  <c r="Q289" i="62928" s="1"/>
  <c r="N289" i="62928"/>
  <c r="T287" i="7"/>
  <c r="Q287" i="7" s="1"/>
  <c r="N287" i="7"/>
  <c r="L24" i="3"/>
  <c r="T13" i="11"/>
  <c r="V13" i="11" s="1"/>
  <c r="Q13" i="11" s="1"/>
  <c r="AM275" i="62898"/>
  <c r="AN275" i="62898"/>
  <c r="AL275" i="62898"/>
  <c r="AR132" i="5"/>
  <c r="AX132" i="5"/>
  <c r="AI132" i="5"/>
  <c r="AH132" i="5"/>
  <c r="AQ132" i="5"/>
  <c r="AK132" i="5"/>
  <c r="AL132" i="5"/>
  <c r="AN132" i="5"/>
  <c r="AO132" i="5"/>
  <c r="L132" i="5"/>
  <c r="AB202" i="62898"/>
  <c r="O42" i="7"/>
  <c r="L42" i="7" s="1"/>
  <c r="AA291" i="62928"/>
  <c r="Y291" i="62928"/>
  <c r="X291" i="62928"/>
  <c r="W291" i="62928"/>
  <c r="J16" i="62928"/>
  <c r="D16" i="62928" s="1"/>
  <c r="V16" i="62928" s="1"/>
  <c r="Z16" i="62928" s="1"/>
  <c r="C1196" i="62919"/>
  <c r="D1215" i="62919"/>
  <c r="E1216" i="62919"/>
  <c r="E1217" i="62919" s="1"/>
  <c r="S16" i="62915"/>
  <c r="S18" i="62915" s="1"/>
  <c r="O15" i="62928"/>
  <c r="L15" i="62928" s="1"/>
  <c r="D42" i="62928"/>
  <c r="O16" i="7"/>
  <c r="L16" i="7" s="1"/>
  <c r="D149" i="62924"/>
  <c r="AA202" i="62898"/>
  <c r="J14" i="7"/>
  <c r="D14" i="7" s="1"/>
  <c r="V14" i="7" s="1"/>
  <c r="Z14" i="7" s="1"/>
  <c r="O42" i="62928"/>
  <c r="L42" i="62928" s="1"/>
  <c r="J17" i="62928"/>
  <c r="D17" i="62928" s="1"/>
  <c r="V17" i="62928" s="1"/>
  <c r="Z17" i="62928" s="1"/>
  <c r="O14" i="7"/>
  <c r="O17" i="62928"/>
  <c r="L17" i="62928" s="1"/>
  <c r="Q204" i="62898"/>
  <c r="M16" i="11"/>
  <c r="D16" i="11" s="1"/>
  <c r="J15" i="7"/>
  <c r="D15" i="7" s="1"/>
  <c r="V15" i="7" s="1"/>
  <c r="Z15" i="7" s="1"/>
  <c r="T15" i="11"/>
  <c r="V15" i="11" s="1"/>
  <c r="Q15" i="11" s="1"/>
  <c r="O16" i="62928"/>
  <c r="L16" i="62928" s="1"/>
  <c r="J17" i="7"/>
  <c r="D17" i="7" s="1"/>
  <c r="V17" i="7" s="1"/>
  <c r="Z17" i="7" s="1"/>
  <c r="O15" i="7"/>
  <c r="L15" i="7" s="1"/>
  <c r="J16" i="7"/>
  <c r="D16" i="7" s="1"/>
  <c r="V16" i="7" s="1"/>
  <c r="Z16" i="7" s="1"/>
  <c r="M13" i="11"/>
  <c r="D13" i="11" s="1"/>
  <c r="O17" i="7"/>
  <c r="L17" i="7" s="1"/>
  <c r="K18" i="11"/>
  <c r="D87" i="11" s="1"/>
  <c r="E87" i="11" s="1"/>
  <c r="X13" i="11"/>
  <c r="AF13" i="11" s="1"/>
  <c r="AF18" i="11" s="1"/>
  <c r="Y47" i="62928"/>
  <c r="T16" i="11"/>
  <c r="V16" i="11" s="1"/>
  <c r="Q16" i="11" s="1"/>
  <c r="D1584" i="62917"/>
  <c r="D1585" i="62917" s="1"/>
  <c r="E46" i="62915"/>
  <c r="P388" i="62898"/>
  <c r="P390" i="62898" s="1"/>
  <c r="E929" i="62917"/>
  <c r="E930" i="62917" s="1"/>
  <c r="D927" i="62917"/>
  <c r="D928" i="62917" s="1"/>
  <c r="O201" i="62898"/>
  <c r="D201" i="62898" s="1"/>
  <c r="O202" i="62898"/>
  <c r="D202" i="62898" s="1"/>
  <c r="AD368" i="62898"/>
  <c r="X368" i="62898" s="1"/>
  <c r="AE368" i="62898" s="1"/>
  <c r="E1398" i="62919"/>
  <c r="D1397" i="62919"/>
  <c r="C1397" i="62919" s="1"/>
  <c r="E1558" i="62919"/>
  <c r="D1557" i="62919"/>
  <c r="O14" i="62928"/>
  <c r="L14" i="62928" s="1"/>
  <c r="D1275" i="62919"/>
  <c r="D1276" i="62919" s="1"/>
  <c r="E1277" i="62919"/>
  <c r="D1740" i="62919"/>
  <c r="D1741" i="62919" s="1"/>
  <c r="E1742" i="62919"/>
  <c r="E1743" i="62919" s="1"/>
  <c r="D1702" i="62919"/>
  <c r="D1703" i="62919" s="1"/>
  <c r="E1704" i="62919"/>
  <c r="J14" i="62928"/>
  <c r="D14" i="62928" s="1"/>
  <c r="V14" i="62928" s="1"/>
  <c r="Z14" i="62928" s="1"/>
  <c r="Z273" i="62928"/>
  <c r="Z272" i="62928"/>
  <c r="Z271" i="62928"/>
  <c r="Z270" i="62928"/>
  <c r="T273" i="62928"/>
  <c r="Q273" i="62928" s="1"/>
  <c r="N273" i="62928"/>
  <c r="D273" i="62928" s="1"/>
  <c r="N270" i="62928"/>
  <c r="D270" i="62928" s="1"/>
  <c r="T270" i="62928"/>
  <c r="Q270" i="62928" s="1"/>
  <c r="T271" i="62928"/>
  <c r="Q271" i="62928" s="1"/>
  <c r="N271" i="62928"/>
  <c r="D271" i="62928" s="1"/>
  <c r="N272" i="62928"/>
  <c r="D272" i="62928" s="1"/>
  <c r="T272" i="62928"/>
  <c r="Q272" i="62928" s="1"/>
  <c r="Z270" i="7"/>
  <c r="T271" i="7"/>
  <c r="Q271" i="7" s="1"/>
  <c r="T273" i="7"/>
  <c r="Q273" i="7" s="1"/>
  <c r="N273" i="7"/>
  <c r="D273" i="7" s="1"/>
  <c r="T272" i="7"/>
  <c r="Q272" i="7" s="1"/>
  <c r="Z272" i="7"/>
  <c r="N270" i="7"/>
  <c r="D270" i="7" s="1"/>
  <c r="T270" i="7"/>
  <c r="Q270" i="7" s="1"/>
  <c r="Z271" i="7"/>
  <c r="N272" i="7"/>
  <c r="D272" i="7" s="1"/>
  <c r="N271" i="7"/>
  <c r="D271" i="7" s="1"/>
  <c r="Z273" i="7"/>
  <c r="H46" i="62915"/>
  <c r="T198" i="7"/>
  <c r="Q198" i="7" s="1"/>
  <c r="T199" i="62928"/>
  <c r="Q199" i="62928" s="1"/>
  <c r="T200" i="62928"/>
  <c r="Q200" i="62928" s="1"/>
  <c r="Z196" i="62928"/>
  <c r="N198" i="62928"/>
  <c r="D198" i="62928" s="1"/>
  <c r="N198" i="7"/>
  <c r="D198" i="7" s="1"/>
  <c r="N197" i="62928"/>
  <c r="D197" i="62928" s="1"/>
  <c r="T196" i="62928"/>
  <c r="Q196" i="62928" s="1"/>
  <c r="T201" i="62928"/>
  <c r="Q201" i="62928" s="1"/>
  <c r="N199" i="62928"/>
  <c r="D199" i="62928" s="1"/>
  <c r="Z198" i="7"/>
  <c r="N199" i="7"/>
  <c r="D199" i="7" s="1"/>
  <c r="N200" i="62928"/>
  <c r="D200" i="62928" s="1"/>
  <c r="T198" i="62928"/>
  <c r="Q198" i="62928" s="1"/>
  <c r="Z197" i="7"/>
  <c r="N196" i="62928"/>
  <c r="D196" i="62928" s="1"/>
  <c r="T197" i="62928"/>
  <c r="Q197" i="62928" s="1"/>
  <c r="Z197" i="62928"/>
  <c r="Z198" i="62928"/>
  <c r="Z199" i="7"/>
  <c r="T199" i="7"/>
  <c r="Q199" i="7" s="1"/>
  <c r="T197" i="7"/>
  <c r="Q197" i="7" s="1"/>
  <c r="Z196" i="7"/>
  <c r="Z199" i="62928"/>
  <c r="N197" i="7"/>
  <c r="D197" i="7" s="1"/>
  <c r="Z200" i="62928"/>
  <c r="T201" i="7"/>
  <c r="Q201" i="7" s="1"/>
  <c r="T200" i="7"/>
  <c r="T196" i="7"/>
  <c r="Q196" i="7" s="1"/>
  <c r="N196" i="7"/>
  <c r="D196" i="7" s="1"/>
  <c r="T195" i="7"/>
  <c r="Q195" i="7" s="1"/>
  <c r="Z201" i="62928"/>
  <c r="Z195" i="62928"/>
  <c r="T195" i="62928"/>
  <c r="N195" i="62928"/>
  <c r="N201" i="62928"/>
  <c r="D201" i="62928" s="1"/>
  <c r="G46" i="62915"/>
  <c r="F46" i="62915"/>
  <c r="N195" i="7"/>
  <c r="N201" i="7"/>
  <c r="N200" i="7"/>
  <c r="D200" i="7" s="1"/>
  <c r="D347" i="62919"/>
  <c r="C347" i="62919" s="1"/>
  <c r="E348" i="62919"/>
  <c r="C346" i="62919"/>
  <c r="D413" i="62919"/>
  <c r="E414" i="62919"/>
  <c r="D103" i="62919"/>
  <c r="D104" i="62919" s="1"/>
  <c r="E627" i="62919"/>
  <c r="D626" i="62919"/>
  <c r="E105" i="62919"/>
  <c r="E106" i="62919" s="1"/>
  <c r="E57" i="62919"/>
  <c r="E58" i="62919" s="1"/>
  <c r="D14" i="62919"/>
  <c r="D15" i="62919" s="1"/>
  <c r="C14" i="62919" s="1"/>
  <c r="Z100" i="7"/>
  <c r="Z101" i="62928"/>
  <c r="N101" i="62928"/>
  <c r="D101" i="62928" s="1"/>
  <c r="Z98" i="7"/>
  <c r="N95" i="62928"/>
  <c r="T95" i="62928"/>
  <c r="Q95" i="62928" s="1"/>
  <c r="Z100" i="62928"/>
  <c r="N102" i="62928"/>
  <c r="T91" i="62928"/>
  <c r="Q91" i="62928" s="1"/>
  <c r="N91" i="62928"/>
  <c r="N92" i="62928"/>
  <c r="T92" i="62928"/>
  <c r="Q92" i="62928" s="1"/>
  <c r="Z102" i="62928"/>
  <c r="N93" i="62928"/>
  <c r="T93" i="62928"/>
  <c r="Q93" i="62928" s="1"/>
  <c r="N98" i="62928"/>
  <c r="N100" i="62928"/>
  <c r="N99" i="62928"/>
  <c r="Z98" i="62928"/>
  <c r="N94" i="62928"/>
  <c r="T94" i="62928"/>
  <c r="Q94" i="62928" s="1"/>
  <c r="Z99" i="62928"/>
  <c r="E2184" i="62917"/>
  <c r="E2185" i="62917" s="1"/>
  <c r="D23" i="62905"/>
  <c r="AA35" i="62904"/>
  <c r="V35" i="62904" s="1"/>
  <c r="R15" i="62914"/>
  <c r="R17" i="62914" s="1"/>
  <c r="F20" i="62929"/>
  <c r="R20" i="62929" s="1"/>
  <c r="R22" i="62929" s="1"/>
  <c r="AN109" i="62898"/>
  <c r="AS420" i="62898"/>
  <c r="AA396" i="62898"/>
  <c r="AC388" i="62898"/>
  <c r="AT430" i="62898"/>
  <c r="AU356" i="62898"/>
  <c r="D357" i="62898"/>
  <c r="AV422" i="62898"/>
  <c r="AT388" i="62898"/>
  <c r="I89" i="5"/>
  <c r="G95" i="5" s="1"/>
  <c r="AH87" i="5"/>
  <c r="AT87" i="5" s="1"/>
  <c r="AU369" i="62898"/>
  <c r="AX398" i="62898"/>
  <c r="AY397" i="62898"/>
  <c r="AE87" i="5"/>
  <c r="AE89" i="5" s="1"/>
  <c r="AC342" i="62898"/>
  <c r="AI361" i="62898"/>
  <c r="AZ399" i="62898"/>
  <c r="AA378" i="62898"/>
  <c r="AB418" i="62898"/>
  <c r="AM390" i="62898"/>
  <c r="K361" i="62898"/>
  <c r="AN422" i="62898"/>
  <c r="AU412" i="62898"/>
  <c r="E869" i="62921"/>
  <c r="E870" i="62921" s="1"/>
  <c r="E871" i="62921" s="1"/>
  <c r="AO361" i="62898"/>
  <c r="AJ432" i="62898"/>
  <c r="AT387" i="62898"/>
  <c r="AG432" i="62898"/>
  <c r="AT420" i="62898"/>
  <c r="AT327" i="5"/>
  <c r="D134" i="62922"/>
  <c r="D135" i="62922" s="1"/>
  <c r="M184" i="5"/>
  <c r="M188" i="5" s="1"/>
  <c r="Z101" i="7"/>
  <c r="Z99" i="7"/>
  <c r="Z102" i="7"/>
  <c r="E47" i="62914"/>
  <c r="O162" i="62928"/>
  <c r="L162" i="62928" s="1"/>
  <c r="N102" i="7"/>
  <c r="N99" i="7"/>
  <c r="N100" i="7"/>
  <c r="N101" i="7"/>
  <c r="N98" i="7"/>
  <c r="D894" i="62919"/>
  <c r="D895" i="62919" s="1"/>
  <c r="N95" i="7"/>
  <c r="T95" i="7"/>
  <c r="Q95" i="7" s="1"/>
  <c r="N93" i="7"/>
  <c r="T93" i="7"/>
  <c r="N94" i="7"/>
  <c r="T94" i="7"/>
  <c r="Q94" i="7" s="1"/>
  <c r="N91" i="7"/>
  <c r="T91" i="7"/>
  <c r="Q91" i="7" s="1"/>
  <c r="N92" i="7"/>
  <c r="T92" i="7"/>
  <c r="Q92" i="7" s="1"/>
  <c r="D998" i="62919"/>
  <c r="D999" i="62919" s="1"/>
  <c r="E1000" i="62919"/>
  <c r="Z312" i="7"/>
  <c r="V312" i="7" s="1"/>
  <c r="D25" i="62905"/>
  <c r="AA14" i="62904"/>
  <c r="V14" i="62904" s="1"/>
  <c r="D1763" i="62919"/>
  <c r="D1764" i="62919" s="1"/>
  <c r="D1765" i="62919" s="1"/>
  <c r="D1230" i="62919"/>
  <c r="C1230" i="62919" s="1"/>
  <c r="E1858" i="62919"/>
  <c r="D1858" i="62919" s="1"/>
  <c r="C1858" i="62919" s="1"/>
  <c r="D1365" i="62919"/>
  <c r="O301" i="7"/>
  <c r="L301" i="7" s="1"/>
  <c r="O16" i="62912"/>
  <c r="O18" i="62912" s="1"/>
  <c r="G17" i="62914"/>
  <c r="G22" i="62929" s="1"/>
  <c r="G20" i="62929"/>
  <c r="S20" i="62929" s="1"/>
  <c r="S22" i="62929" s="1"/>
  <c r="H120" i="62926"/>
  <c r="J339" i="62925"/>
  <c r="D103" i="5"/>
  <c r="AC102" i="62926"/>
  <c r="W102" i="62926" s="1"/>
  <c r="D117" i="62926"/>
  <c r="D38" i="62904"/>
  <c r="D25" i="62904"/>
  <c r="L21" i="62929"/>
  <c r="X21" i="62929" s="1"/>
  <c r="H47" i="62914"/>
  <c r="D23" i="62904"/>
  <c r="G47" i="62914"/>
  <c r="F47" i="62914"/>
  <c r="AT298" i="62898"/>
  <c r="D163" i="62925"/>
  <c r="AC23" i="62905"/>
  <c r="V23" i="62905" s="1"/>
  <c r="AE159" i="62925"/>
  <c r="AE163" i="62925" s="1"/>
  <c r="M401" i="62898"/>
  <c r="V211" i="7"/>
  <c r="Z211" i="7" s="1"/>
  <c r="BD78" i="5"/>
  <c r="V208" i="7"/>
  <c r="Z208" i="7" s="1"/>
  <c r="AK432" i="62898"/>
  <c r="AC387" i="62898"/>
  <c r="G188" i="11"/>
  <c r="G193" i="11" s="1"/>
  <c r="G156" i="11"/>
  <c r="G161" i="11" s="1"/>
  <c r="O40" i="5"/>
  <c r="T208" i="7"/>
  <c r="Q208" i="7" s="1"/>
  <c r="AM401" i="62898"/>
  <c r="F122" i="11"/>
  <c r="F127" i="11" s="1"/>
  <c r="T211" i="7"/>
  <c r="Q211" i="7" s="1"/>
  <c r="AA359" i="62898"/>
  <c r="AT379" i="62898"/>
  <c r="D312" i="62928"/>
  <c r="AK422" i="62898"/>
  <c r="L381" i="62898"/>
  <c r="L401" i="62898"/>
  <c r="AT418" i="62898"/>
  <c r="AA379" i="62898"/>
  <c r="AL401" i="62898"/>
  <c r="AM412" i="62898"/>
  <c r="AM109" i="62898"/>
  <c r="AS418" i="62898"/>
  <c r="AH432" i="62898"/>
  <c r="AJ109" i="62898"/>
  <c r="AH422" i="62898"/>
  <c r="AG109" i="62898"/>
  <c r="AT412" i="62898"/>
  <c r="AJ381" i="62898"/>
  <c r="AT419" i="62898"/>
  <c r="AJ422" i="62898"/>
  <c r="AI401" i="62898"/>
  <c r="AG361" i="62898"/>
  <c r="L361" i="62898"/>
  <c r="AI371" i="62898"/>
  <c r="AY396" i="62898"/>
  <c r="AL412" i="62898"/>
  <c r="AN381" i="62898"/>
  <c r="AE271" i="5"/>
  <c r="AE273" i="5" s="1"/>
  <c r="AE454" i="5"/>
  <c r="X454" i="5" s="1"/>
  <c r="BD412" i="62898"/>
  <c r="C863" i="62921"/>
  <c r="D864" i="62921"/>
  <c r="AP412" i="62898"/>
  <c r="AX410" i="62898"/>
  <c r="BB412" i="62898"/>
  <c r="AV43" i="5"/>
  <c r="AT43" i="5"/>
  <c r="AT411" i="5"/>
  <c r="AT512" i="5"/>
  <c r="BB262" i="5"/>
  <c r="AO372" i="5"/>
  <c r="AA185" i="5"/>
  <c r="M553" i="5"/>
  <c r="AT165" i="5"/>
  <c r="AT166" i="5"/>
  <c r="AU184" i="5"/>
  <c r="K188" i="11"/>
  <c r="K193" i="11" s="1"/>
  <c r="K215" i="11"/>
  <c r="J122" i="11"/>
  <c r="J127" i="11" s="1"/>
  <c r="O56" i="7"/>
  <c r="L56" i="7" s="1"/>
  <c r="D405" i="62919"/>
  <c r="O314" i="7"/>
  <c r="L314" i="7" s="1"/>
  <c r="D917" i="62919"/>
  <c r="D918" i="62919" s="1"/>
  <c r="D919" i="62919" s="1"/>
  <c r="D920" i="62919" s="1"/>
  <c r="AC50" i="62925"/>
  <c r="AA38" i="62904"/>
  <c r="V38" i="62904" s="1"/>
  <c r="AC14" i="62905"/>
  <c r="V14" i="62905" s="1"/>
  <c r="Y26" i="62914"/>
  <c r="AC103" i="62926"/>
  <c r="W103" i="62926" s="1"/>
  <c r="D22" i="62905"/>
  <c r="K163" i="62925"/>
  <c r="D13" i="62904"/>
  <c r="AA22" i="62904"/>
  <c r="V22" i="62904" s="1"/>
  <c r="AA25" i="62904"/>
  <c r="V25" i="62904" s="1"/>
  <c r="D37" i="62925"/>
  <c r="D14" i="62926"/>
  <c r="AC50" i="62926"/>
  <c r="D35" i="62905"/>
  <c r="D26" i="62904"/>
  <c r="D13" i="62905"/>
  <c r="AA19" i="62904"/>
  <c r="V19" i="62904" s="1"/>
  <c r="F31" i="62929"/>
  <c r="R31" i="62929" s="1"/>
  <c r="AC91" i="62926"/>
  <c r="W91" i="62926" s="1"/>
  <c r="D55" i="5"/>
  <c r="AA20" i="62904"/>
  <c r="V20" i="62904" s="1"/>
  <c r="AC93" i="62925"/>
  <c r="W93" i="62925" s="1"/>
  <c r="AC37" i="62925"/>
  <c r="W37" i="62925" s="1"/>
  <c r="E1586" i="62917"/>
  <c r="E2424" i="62917"/>
  <c r="D2423" i="62917"/>
  <c r="D20" i="62904"/>
  <c r="C2281" i="62917"/>
  <c r="AD46" i="62898"/>
  <c r="X46" i="62898" s="1"/>
  <c r="AE46" i="62898" s="1"/>
  <c r="AY281" i="62898"/>
  <c r="AR412" i="62898"/>
  <c r="AD346" i="62898"/>
  <c r="X346" i="62898" s="1"/>
  <c r="AE346" i="62898" s="1"/>
  <c r="AD149" i="62898"/>
  <c r="X149" i="62898" s="1"/>
  <c r="AE149" i="62898" s="1"/>
  <c r="AY409" i="62898"/>
  <c r="AN401" i="62898"/>
  <c r="AY408" i="62898"/>
  <c r="AY410" i="62898"/>
  <c r="AX409" i="62898"/>
  <c r="AZ409" i="62898"/>
  <c r="AT389" i="5"/>
  <c r="AT408" i="5"/>
  <c r="AT20" i="5"/>
  <c r="AT226" i="5"/>
  <c r="AL188" i="5"/>
  <c r="AU226" i="5"/>
  <c r="AU142" i="5"/>
  <c r="AT227" i="5"/>
  <c r="AC92" i="62925"/>
  <c r="W92" i="62925" s="1"/>
  <c r="V75" i="62927"/>
  <c r="T254" i="62898"/>
  <c r="E395" i="9"/>
  <c r="J354" i="9"/>
  <c r="J395" i="9" s="1"/>
  <c r="E42" i="62924"/>
  <c r="D40" i="62924"/>
  <c r="G18" i="62912"/>
  <c r="M323" i="9"/>
  <c r="J292" i="9"/>
  <c r="K354" i="9"/>
  <c r="M346" i="9"/>
  <c r="K362" i="9"/>
  <c r="K401" i="9" s="1"/>
  <c r="K18" i="62915"/>
  <c r="T212" i="7"/>
  <c r="Q212" i="7" s="1"/>
  <c r="T209" i="7"/>
  <c r="Q209" i="7" s="1"/>
  <c r="T210" i="7"/>
  <c r="Q210" i="7" s="1"/>
  <c r="V209" i="7"/>
  <c r="Z209" i="7" s="1"/>
  <c r="V210" i="7"/>
  <c r="Z210" i="7" s="1"/>
  <c r="O301" i="62928"/>
  <c r="L301" i="62928" s="1"/>
  <c r="V212" i="7"/>
  <c r="Z212" i="7" s="1"/>
  <c r="O142" i="7"/>
  <c r="L142" i="7" s="1"/>
  <c r="Z247" i="7"/>
  <c r="Z314" i="62928"/>
  <c r="V314" i="62928" s="1"/>
  <c r="I316" i="62928"/>
  <c r="O116" i="7"/>
  <c r="L116" i="7" s="1"/>
  <c r="V280" i="7"/>
  <c r="Z280" i="7" s="1"/>
  <c r="O313" i="7"/>
  <c r="L313" i="7" s="1"/>
  <c r="Z230" i="7"/>
  <c r="O162" i="7"/>
  <c r="L162" i="7" s="1"/>
  <c r="O302" i="7"/>
  <c r="L302" i="7" s="1"/>
  <c r="V162" i="7"/>
  <c r="Z162" i="7" s="1"/>
  <c r="O72" i="62928"/>
  <c r="L72" i="62928" s="1"/>
  <c r="O312" i="7"/>
  <c r="L312" i="7" s="1"/>
  <c r="O166" i="7"/>
  <c r="L166" i="7" s="1"/>
  <c r="O163" i="62928"/>
  <c r="L163" i="62928" s="1"/>
  <c r="O313" i="62928"/>
  <c r="L313" i="62928" s="1"/>
  <c r="AD347" i="62898"/>
  <c r="X347" i="62898" s="1"/>
  <c r="AE347" i="62898" s="1"/>
  <c r="AN555" i="5"/>
  <c r="AT329" i="5"/>
  <c r="AC25" i="62905"/>
  <c r="V25" i="62905" s="1"/>
  <c r="M551" i="5"/>
  <c r="AT225" i="5"/>
  <c r="AN168" i="5"/>
  <c r="AT143" i="5"/>
  <c r="AT22" i="5"/>
  <c r="AT385" i="5"/>
  <c r="AT510" i="5"/>
  <c r="AT533" i="5"/>
  <c r="AT224" i="5"/>
  <c r="AT306" i="5"/>
  <c r="AH342" i="5"/>
  <c r="AT338" i="5"/>
  <c r="AH217" i="5"/>
  <c r="AT213" i="5"/>
  <c r="AT142" i="5"/>
  <c r="AT328" i="5"/>
  <c r="AT513" i="5"/>
  <c r="AT349" i="5"/>
  <c r="AT369" i="5"/>
  <c r="AT200" i="5"/>
  <c r="AH207" i="5"/>
  <c r="AH445" i="5"/>
  <c r="AH168" i="5"/>
  <c r="AT164" i="5"/>
  <c r="AT122" i="5"/>
  <c r="AT552" i="5"/>
  <c r="AT42" i="5"/>
  <c r="AT532" i="5"/>
  <c r="AT350" i="5"/>
  <c r="AH391" i="5"/>
  <c r="AT384" i="5"/>
  <c r="AT326" i="5"/>
  <c r="AA369" i="5"/>
  <c r="AH362" i="5"/>
  <c r="AT358" i="5"/>
  <c r="AT114" i="5"/>
  <c r="AH116" i="5"/>
  <c r="AT44" i="5"/>
  <c r="AT330" i="5"/>
  <c r="AT202" i="5"/>
  <c r="AT185" i="5"/>
  <c r="AH262" i="5"/>
  <c r="AH188" i="5"/>
  <c r="AT184" i="5"/>
  <c r="AT409" i="5"/>
  <c r="AH352" i="5"/>
  <c r="AT348" i="5"/>
  <c r="AT155" i="5"/>
  <c r="AH158" i="5"/>
  <c r="AT205" i="5"/>
  <c r="AT41" i="5"/>
  <c r="AT19" i="5"/>
  <c r="AT146" i="5"/>
  <c r="AT17" i="5"/>
  <c r="AH24" i="5"/>
  <c r="AH332" i="5"/>
  <c r="AT325" i="5"/>
  <c r="AT509" i="5"/>
  <c r="AT397" i="5"/>
  <c r="AH401" i="5"/>
  <c r="AH34" i="5"/>
  <c r="AT30" i="5"/>
  <c r="AT508" i="5"/>
  <c r="AH515" i="5"/>
  <c r="AT387" i="5"/>
  <c r="AT204" i="5"/>
  <c r="AH372" i="5"/>
  <c r="AT368" i="5"/>
  <c r="AT511" i="5"/>
  <c r="AT174" i="5"/>
  <c r="AH178" i="5"/>
  <c r="AT407" i="5"/>
  <c r="AH413" i="5"/>
  <c r="AT201" i="5"/>
  <c r="AT388" i="5"/>
  <c r="AT203" i="5"/>
  <c r="AT386" i="5"/>
  <c r="AT298" i="5"/>
  <c r="AH300" i="5"/>
  <c r="AH229" i="5"/>
  <c r="AT223" i="5"/>
  <c r="AT551" i="5"/>
  <c r="AH555" i="5"/>
  <c r="AT144" i="5"/>
  <c r="AT145" i="5"/>
  <c r="AH148" i="5"/>
  <c r="AT141" i="5"/>
  <c r="AT40" i="5"/>
  <c r="AH46" i="5"/>
  <c r="AT21" i="5"/>
  <c r="AU223" i="5"/>
  <c r="AT18" i="5"/>
  <c r="AT410" i="5"/>
  <c r="AT531" i="5"/>
  <c r="AH535" i="5"/>
  <c r="AP262" i="5"/>
  <c r="AH78" i="5"/>
  <c r="AB184" i="5"/>
  <c r="S16" i="62912"/>
  <c r="S18" i="62912" s="1"/>
  <c r="AI78" i="5"/>
  <c r="Q44" i="5"/>
  <c r="AV44" i="5"/>
  <c r="AU17" i="5"/>
  <c r="AC74" i="5"/>
  <c r="AA164" i="5"/>
  <c r="AO168" i="5"/>
  <c r="AU166" i="5"/>
  <c r="N368" i="5"/>
  <c r="AU407" i="5"/>
  <c r="AJ413" i="5"/>
  <c r="AB441" i="5"/>
  <c r="H656" i="5"/>
  <c r="I753" i="5"/>
  <c r="K687" i="5"/>
  <c r="I722" i="5"/>
  <c r="F722" i="5"/>
  <c r="F23" i="62915" s="1"/>
  <c r="R23" i="62915" s="1"/>
  <c r="F687" i="5"/>
  <c r="F22" i="62914" s="1"/>
  <c r="F656" i="5"/>
  <c r="F23" i="62912" s="1"/>
  <c r="O23" i="62912" s="1"/>
  <c r="F753" i="5"/>
  <c r="G687" i="5"/>
  <c r="G22" i="62914" s="1"/>
  <c r="G656" i="5"/>
  <c r="G23" i="62912" s="1"/>
  <c r="P23" i="62912" s="1"/>
  <c r="G753" i="5"/>
  <c r="G722" i="5"/>
  <c r="G23" i="62915" s="1"/>
  <c r="S23" i="62915" s="1"/>
  <c r="J656" i="5"/>
  <c r="J23" i="62912" s="1"/>
  <c r="S23" i="62912" s="1"/>
  <c r="K722" i="5"/>
  <c r="K23" i="62915" s="1"/>
  <c r="W23" i="62915" s="1"/>
  <c r="K753" i="5"/>
  <c r="AD162" i="9"/>
  <c r="I277" i="9" s="1"/>
  <c r="G185" i="62909" s="1"/>
  <c r="H185" i="62909" s="1"/>
  <c r="N532" i="5"/>
  <c r="AJ445" i="5"/>
  <c r="M531" i="5"/>
  <c r="AD348" i="62898"/>
  <c r="X348" i="62898" s="1"/>
  <c r="AE348" i="62898" s="1"/>
  <c r="AD90" i="9"/>
  <c r="Y90" i="9" s="1"/>
  <c r="O75" i="3"/>
  <c r="H110" i="3" s="1"/>
  <c r="AB371" i="62898"/>
  <c r="AD148" i="62898"/>
  <c r="X148" i="62898" s="1"/>
  <c r="AE148" i="62898" s="1"/>
  <c r="L46" i="62927"/>
  <c r="H111" i="62927"/>
  <c r="AC26" i="62905"/>
  <c r="V26" i="62905" s="1"/>
  <c r="AU141" i="5"/>
  <c r="AL168" i="5"/>
  <c r="N184" i="5"/>
  <c r="AT78" i="5"/>
  <c r="BC78" i="5"/>
  <c r="AU22" i="5"/>
  <c r="O41" i="5"/>
  <c r="AN372" i="5"/>
  <c r="M348" i="5"/>
  <c r="AM262" i="5"/>
  <c r="N533" i="5"/>
  <c r="AN535" i="5"/>
  <c r="AK555" i="5"/>
  <c r="AO535" i="5"/>
  <c r="AA553" i="5"/>
  <c r="AU512" i="5"/>
  <c r="AB531" i="5"/>
  <c r="M532" i="5"/>
  <c r="AU445" i="5"/>
  <c r="P408" i="5"/>
  <c r="R408" i="5" s="1"/>
  <c r="AW391" i="5"/>
  <c r="AK391" i="5"/>
  <c r="AB408" i="5"/>
  <c r="AU389" i="5"/>
  <c r="Q411" i="5"/>
  <c r="AU388" i="5"/>
  <c r="AK352" i="5"/>
  <c r="T204" i="5"/>
  <c r="M350" i="5"/>
  <c r="N350" i="5"/>
  <c r="AX352" i="5"/>
  <c r="AU348" i="5"/>
  <c r="M369" i="5"/>
  <c r="AU368" i="5"/>
  <c r="AR262" i="5"/>
  <c r="Q408" i="5"/>
  <c r="O407" i="5"/>
  <c r="AU387" i="5"/>
  <c r="AN332" i="5"/>
  <c r="AL332" i="5"/>
  <c r="O224" i="5"/>
  <c r="AU552" i="5"/>
  <c r="AU385" i="5"/>
  <c r="AV408" i="5"/>
  <c r="AQ262" i="5"/>
  <c r="AW555" i="5"/>
  <c r="AU350" i="5"/>
  <c r="N166" i="5"/>
  <c r="AM78" i="5"/>
  <c r="AW188" i="5"/>
  <c r="AX372" i="5"/>
  <c r="AN78" i="5"/>
  <c r="O409" i="5"/>
  <c r="S387" i="5"/>
  <c r="AL535" i="5"/>
  <c r="AU410" i="5"/>
  <c r="Z300" i="7"/>
  <c r="V300" i="7" s="1"/>
  <c r="V165" i="62928"/>
  <c r="Z165" i="62928" s="1"/>
  <c r="O165" i="62928"/>
  <c r="L165" i="62928" s="1"/>
  <c r="X47" i="62928"/>
  <c r="AK535" i="5"/>
  <c r="BD262" i="5"/>
  <c r="AG32" i="11"/>
  <c r="D223" i="62924"/>
  <c r="E407" i="62919"/>
  <c r="E408" i="62919" s="1"/>
  <c r="Q43" i="5"/>
  <c r="S205" i="5"/>
  <c r="AA224" i="5"/>
  <c r="AU200" i="5"/>
  <c r="AN412" i="62898"/>
  <c r="O412" i="62898"/>
  <c r="AB407" i="62898"/>
  <c r="D418" i="62898"/>
  <c r="AX408" i="62898"/>
  <c r="D138" i="62925"/>
  <c r="AE138" i="62925"/>
  <c r="AZ407" i="62898"/>
  <c r="AJ412" i="62898"/>
  <c r="AT105" i="62898"/>
  <c r="AH109" i="62898"/>
  <c r="AA420" i="62898"/>
  <c r="AZ410" i="62898"/>
  <c r="AK109" i="62898"/>
  <c r="Z216" i="7"/>
  <c r="Z215" i="7"/>
  <c r="D138" i="62924"/>
  <c r="AU43" i="5"/>
  <c r="AO188" i="5"/>
  <c r="S510" i="5"/>
  <c r="AU205" i="5"/>
  <c r="AK332" i="5"/>
  <c r="AQ412" i="62898"/>
  <c r="AB361" i="62898"/>
  <c r="AT371" i="62898"/>
  <c r="AD349" i="62898"/>
  <c r="X349" i="62898" s="1"/>
  <c r="AE349" i="62898" s="1"/>
  <c r="AE149" i="62925"/>
  <c r="D149" i="62925"/>
  <c r="D159" i="62926"/>
  <c r="D163" i="62926" s="1"/>
  <c r="AE159" i="62926"/>
  <c r="AE163" i="62926" s="1"/>
  <c r="O225" i="5"/>
  <c r="AS105" i="62898"/>
  <c r="AO555" i="5"/>
  <c r="P227" i="5"/>
  <c r="AI555" i="5"/>
  <c r="Q407" i="5"/>
  <c r="AV226" i="5"/>
  <c r="AL262" i="5"/>
  <c r="BC262" i="5"/>
  <c r="AD151" i="62898"/>
  <c r="X151" i="62898" s="1"/>
  <c r="AE151" i="62898" s="1"/>
  <c r="N412" i="62898"/>
  <c r="AA407" i="62898"/>
  <c r="AX407" i="62898"/>
  <c r="AH412" i="62898"/>
  <c r="Q26" i="62911"/>
  <c r="H23" i="62911"/>
  <c r="D26" i="62905"/>
  <c r="O145" i="62928"/>
  <c r="L145" i="62928" s="1"/>
  <c r="O164" i="62928"/>
  <c r="L164" i="62928" s="1"/>
  <c r="AB166" i="5"/>
  <c r="AX207" i="5"/>
  <c r="E140" i="62924"/>
  <c r="E141" i="62924" s="1"/>
  <c r="E142" i="62924" s="1"/>
  <c r="M349" i="5"/>
  <c r="AX168" i="5"/>
  <c r="AN445" i="5"/>
  <c r="BC412" i="62898"/>
  <c r="AU164" i="5"/>
  <c r="P223" i="5"/>
  <c r="AA551" i="5"/>
  <c r="AY407" i="62898"/>
  <c r="AI412" i="62898"/>
  <c r="D124" i="62919"/>
  <c r="D125" i="62919" s="1"/>
  <c r="O410" i="5"/>
  <c r="AV412" i="62898"/>
  <c r="AC407" i="62898"/>
  <c r="P412" i="62898"/>
  <c r="J422" i="62898"/>
  <c r="AZ408" i="62898"/>
  <c r="E22" i="62924"/>
  <c r="E23" i="62924" s="1"/>
  <c r="E24" i="62924" s="1"/>
  <c r="BB445" i="5"/>
  <c r="L445" i="5"/>
  <c r="AA443" i="5"/>
  <c r="AD408" i="5"/>
  <c r="AA258" i="5"/>
  <c r="AN229" i="5"/>
  <c r="AU18" i="5"/>
  <c r="AA40" i="5"/>
  <c r="AC42" i="5"/>
  <c r="N571" i="62898"/>
  <c r="N16" i="62915"/>
  <c r="BB286" i="62898"/>
  <c r="AZ281" i="62898"/>
  <c r="J471" i="62898"/>
  <c r="E18" i="62923"/>
  <c r="E19" i="62923" s="1"/>
  <c r="Y15" i="62914"/>
  <c r="Y17" i="62914" s="1"/>
  <c r="M20" i="62929"/>
  <c r="Y20" i="62929" s="1"/>
  <c r="Y22" i="62929" s="1"/>
  <c r="BC286" i="62898"/>
  <c r="AD47" i="62898"/>
  <c r="X47" i="62898" s="1"/>
  <c r="AE47" i="62898" s="1"/>
  <c r="BD286" i="62898"/>
  <c r="P204" i="62898"/>
  <c r="AD150" i="62898"/>
  <c r="X150" i="62898" s="1"/>
  <c r="AE150" i="62898" s="1"/>
  <c r="AT163" i="62898"/>
  <c r="AB195" i="62898"/>
  <c r="AB163" i="62898"/>
  <c r="AT195" i="62898"/>
  <c r="N564" i="62898"/>
  <c r="N568" i="62898" s="1"/>
  <c r="K568" i="62898"/>
  <c r="AD48" i="62898"/>
  <c r="X48" i="62898" s="1"/>
  <c r="AE48" i="62898" s="1"/>
  <c r="AD41" i="62898"/>
  <c r="X41" i="62898" s="1"/>
  <c r="AE41" i="62898" s="1"/>
  <c r="AD53" i="62898"/>
  <c r="X53" i="62898" s="1"/>
  <c r="AE53" i="62898" s="1"/>
  <c r="AD45" i="62898"/>
  <c r="X45" i="62898" s="1"/>
  <c r="AE45" i="62898" s="1"/>
  <c r="AU306" i="5"/>
  <c r="AU531" i="5"/>
  <c r="AK515" i="5"/>
  <c r="AU509" i="5"/>
  <c r="N531" i="5"/>
  <c r="AI515" i="5"/>
  <c r="AA531" i="5"/>
  <c r="AX555" i="5"/>
  <c r="AU551" i="5"/>
  <c r="AL555" i="5"/>
  <c r="T511" i="5"/>
  <c r="AL391" i="5"/>
  <c r="AM445" i="5"/>
  <c r="AB442" i="5"/>
  <c r="AA441" i="5"/>
  <c r="AX445" i="5"/>
  <c r="AI445" i="5"/>
  <c r="BC445" i="5"/>
  <c r="AL445" i="5"/>
  <c r="BD445" i="5"/>
  <c r="D442" i="5"/>
  <c r="AV445" i="5"/>
  <c r="D441" i="5"/>
  <c r="AQ445" i="5"/>
  <c r="AZ445" i="5"/>
  <c r="AV411" i="5"/>
  <c r="AI413" i="5"/>
  <c r="AN413" i="5"/>
  <c r="AA410" i="5"/>
  <c r="AU408" i="5"/>
  <c r="Q410" i="5"/>
  <c r="AA350" i="5"/>
  <c r="AB370" i="5"/>
  <c r="AK372" i="5"/>
  <c r="AL372" i="5"/>
  <c r="AB368" i="5"/>
  <c r="AB350" i="5"/>
  <c r="AU349" i="5"/>
  <c r="S330" i="5"/>
  <c r="AU327" i="5"/>
  <c r="AV262" i="5"/>
  <c r="AK262" i="5"/>
  <c r="AJ262" i="5"/>
  <c r="AT262" i="5"/>
  <c r="AU227" i="5"/>
  <c r="Q226" i="5"/>
  <c r="Q227" i="5"/>
  <c r="AK207" i="5"/>
  <c r="AU146" i="5"/>
  <c r="AN148" i="5"/>
  <c r="AY229" i="5"/>
  <c r="AD223" i="5"/>
  <c r="Q224" i="5"/>
  <c r="AA225" i="5"/>
  <c r="AW148" i="5"/>
  <c r="S146" i="5"/>
  <c r="S145" i="5"/>
  <c r="AX188" i="5"/>
  <c r="AK188" i="5"/>
  <c r="AU185" i="5"/>
  <c r="AA186" i="5"/>
  <c r="AN188" i="5"/>
  <c r="E260" i="62922"/>
  <c r="D259" i="62922"/>
  <c r="AO391" i="5"/>
  <c r="AU262" i="5"/>
  <c r="AU122" i="5"/>
  <c r="AK168" i="5"/>
  <c r="AA76" i="5"/>
  <c r="AU78" i="5"/>
  <c r="AV78" i="5"/>
  <c r="AB76" i="5"/>
  <c r="AP78" i="5"/>
  <c r="BB78" i="5"/>
  <c r="AA409" i="5"/>
  <c r="AB223" i="5"/>
  <c r="AC44" i="5"/>
  <c r="P409" i="5"/>
  <c r="R409" i="5" s="1"/>
  <c r="AU409" i="5"/>
  <c r="AN515" i="5"/>
  <c r="AA41" i="5"/>
  <c r="AV410" i="5"/>
  <c r="AA442" i="5"/>
  <c r="AR445" i="5"/>
  <c r="T387" i="5"/>
  <c r="AY413" i="5"/>
  <c r="AU326" i="5"/>
  <c r="AI352" i="5"/>
  <c r="AU369" i="5"/>
  <c r="O445" i="5"/>
  <c r="E627" i="5" s="1"/>
  <c r="AL78" i="5"/>
  <c r="AR78" i="5"/>
  <c r="AQ78" i="5"/>
  <c r="AJ46" i="5"/>
  <c r="AV40" i="5"/>
  <c r="G720" i="5"/>
  <c r="G754" i="5"/>
  <c r="G654" i="5"/>
  <c r="E676" i="5"/>
  <c r="E710" i="5"/>
  <c r="E751" i="5"/>
  <c r="E644" i="5"/>
  <c r="F710" i="5"/>
  <c r="F644" i="5"/>
  <c r="F676" i="5"/>
  <c r="F751" i="5"/>
  <c r="J644" i="5"/>
  <c r="K710" i="5"/>
  <c r="K751" i="5"/>
  <c r="M676" i="5"/>
  <c r="F720" i="5"/>
  <c r="F654" i="5"/>
  <c r="F754" i="5"/>
  <c r="G757" i="5"/>
  <c r="F19" i="62915"/>
  <c r="R19" i="62915" s="1"/>
  <c r="F757" i="5"/>
  <c r="G676" i="5"/>
  <c r="G751" i="5"/>
  <c r="G710" i="5"/>
  <c r="G644" i="5"/>
  <c r="K757" i="5"/>
  <c r="M702" i="5"/>
  <c r="E754" i="5"/>
  <c r="E654" i="5"/>
  <c r="E720" i="5"/>
  <c r="K754" i="5"/>
  <c r="J654" i="5"/>
  <c r="K720" i="5"/>
  <c r="T208" i="62928"/>
  <c r="Q208" i="62928" s="1"/>
  <c r="N208" i="62928"/>
  <c r="T278" i="62928"/>
  <c r="Q278" i="62928" s="1"/>
  <c r="N278" i="62928"/>
  <c r="T276" i="62928"/>
  <c r="Q276" i="62928" s="1"/>
  <c r="N276" i="62928"/>
  <c r="T262" i="62928"/>
  <c r="Q262" i="62928" s="1"/>
  <c r="N262" i="62928"/>
  <c r="D1032" i="62919"/>
  <c r="D1033" i="62919" s="1"/>
  <c r="D1034" i="62919" s="1"/>
  <c r="D1035" i="62919" s="1"/>
  <c r="D1036" i="62919" s="1"/>
  <c r="T280" i="7"/>
  <c r="Q280" i="7" s="1"/>
  <c r="T265" i="62928"/>
  <c r="Q265" i="62928" s="1"/>
  <c r="N265" i="62928"/>
  <c r="T212" i="62928"/>
  <c r="Q212" i="62928" s="1"/>
  <c r="N212" i="62928"/>
  <c r="T264" i="62928"/>
  <c r="Q264" i="62928" s="1"/>
  <c r="N264" i="62928"/>
  <c r="T211" i="62928"/>
  <c r="Q211" i="62928" s="1"/>
  <c r="N211" i="62928"/>
  <c r="T279" i="62928"/>
  <c r="Q279" i="62928" s="1"/>
  <c r="N279" i="62928"/>
  <c r="T266" i="62928"/>
  <c r="Q266" i="62928" s="1"/>
  <c r="N266" i="62928"/>
  <c r="T263" i="62928"/>
  <c r="Q263" i="62928" s="1"/>
  <c r="N263" i="62928"/>
  <c r="T210" i="62928"/>
  <c r="Q210" i="62928" s="1"/>
  <c r="N210" i="62928"/>
  <c r="T280" i="62928"/>
  <c r="Q280" i="62928" s="1"/>
  <c r="N280" i="62928"/>
  <c r="T209" i="62928"/>
  <c r="Q209" i="62928" s="1"/>
  <c r="N209" i="62928"/>
  <c r="T277" i="62928"/>
  <c r="Q277" i="62928" s="1"/>
  <c r="N277" i="62928"/>
  <c r="T276" i="7"/>
  <c r="Q276" i="7" s="1"/>
  <c r="N279" i="7"/>
  <c r="T279" i="7"/>
  <c r="Q279" i="7" s="1"/>
  <c r="T278" i="7"/>
  <c r="Q278" i="7" s="1"/>
  <c r="N278" i="7"/>
  <c r="N277" i="7"/>
  <c r="T277" i="7"/>
  <c r="Q277" i="7" s="1"/>
  <c r="N266" i="7"/>
  <c r="T266" i="7"/>
  <c r="Q266" i="7" s="1"/>
  <c r="W291" i="7"/>
  <c r="AA291" i="7"/>
  <c r="N264" i="7"/>
  <c r="T264" i="7"/>
  <c r="Q264" i="7" s="1"/>
  <c r="N262" i="7"/>
  <c r="T262" i="7"/>
  <c r="Q262" i="7" s="1"/>
  <c r="V276" i="7"/>
  <c r="Z276" i="7" s="1"/>
  <c r="D276" i="7"/>
  <c r="N265" i="7"/>
  <c r="T265" i="7"/>
  <c r="Q265" i="7" s="1"/>
  <c r="N263" i="7"/>
  <c r="T263" i="7"/>
  <c r="Q263" i="7" s="1"/>
  <c r="O302" i="62928"/>
  <c r="L302" i="62928" s="1"/>
  <c r="X291" i="7"/>
  <c r="Y291" i="7"/>
  <c r="Z239" i="7"/>
  <c r="D19" i="62904"/>
  <c r="N198" i="62904"/>
  <c r="N30" i="62914" s="1"/>
  <c r="N35" i="62929" s="1"/>
  <c r="Z35" i="62929" s="1"/>
  <c r="C100" i="62909"/>
  <c r="E100" i="62909" s="1"/>
  <c r="AA26" i="62904"/>
  <c r="V26" i="62904" s="1"/>
  <c r="D19" i="62925"/>
  <c r="AC19" i="62925"/>
  <c r="W19" i="62925" s="1"/>
  <c r="AC26" i="62925"/>
  <c r="W26" i="62925" s="1"/>
  <c r="D14" i="62905"/>
  <c r="J609" i="5"/>
  <c r="AC13" i="62905"/>
  <c r="V13" i="62905" s="1"/>
  <c r="D16" i="62925"/>
  <c r="D296" i="62898"/>
  <c r="AA23" i="62904"/>
  <c r="V23" i="62904" s="1"/>
  <c r="F624" i="5"/>
  <c r="D22" i="62904"/>
  <c r="D34" i="62925"/>
  <c r="S298" i="62898"/>
  <c r="AM286" i="62898"/>
  <c r="E317" i="62921"/>
  <c r="E318" i="62921" s="1"/>
  <c r="E319" i="62921" s="1"/>
  <c r="AN286" i="62898"/>
  <c r="AH286" i="62898"/>
  <c r="AG213" i="62898"/>
  <c r="AG215" i="62898" s="1"/>
  <c r="AA282" i="62898"/>
  <c r="AV286" i="62898"/>
  <c r="O286" i="62898"/>
  <c r="AB90" i="62898"/>
  <c r="AI286" i="62898"/>
  <c r="AQ286" i="62898"/>
  <c r="AR286" i="62898"/>
  <c r="AD40" i="62898"/>
  <c r="X40" i="62898" s="1"/>
  <c r="AE40" i="62898" s="1"/>
  <c r="AP286" i="62898"/>
  <c r="AK286" i="62898"/>
  <c r="AJ286" i="62898"/>
  <c r="AC88" i="62898"/>
  <c r="X88" i="62898" s="1"/>
  <c r="AD88" i="62898" s="1"/>
  <c r="P286" i="62898"/>
  <c r="C148" i="62909"/>
  <c r="E148" i="62909" s="1"/>
  <c r="F482" i="62898"/>
  <c r="AD30" i="62898"/>
  <c r="X30" i="62898" s="1"/>
  <c r="AE30" i="62898" s="1"/>
  <c r="AC87" i="62898"/>
  <c r="X87" i="62898" s="1"/>
  <c r="AD87" i="62898" s="1"/>
  <c r="P99" i="62898"/>
  <c r="I470" i="62898"/>
  <c r="G136" i="62909" s="1"/>
  <c r="H136" i="62909" s="1"/>
  <c r="AT90" i="62898"/>
  <c r="J318" i="62898"/>
  <c r="D314" i="62898"/>
  <c r="AD78" i="62898"/>
  <c r="X78" i="62898" s="1"/>
  <c r="AE78" i="62898" s="1"/>
  <c r="AT80" i="62898"/>
  <c r="P42" i="5"/>
  <c r="AW352" i="5"/>
  <c r="AC76" i="5"/>
  <c r="AI262" i="5"/>
  <c r="AK445" i="5"/>
  <c r="AT445" i="5"/>
  <c r="AJ78" i="5"/>
  <c r="AB74" i="5"/>
  <c r="E136" i="62922"/>
  <c r="E137" i="62922" s="1"/>
  <c r="O408" i="5"/>
  <c r="AM229" i="5"/>
  <c r="AU508" i="5"/>
  <c r="AV223" i="5"/>
  <c r="AU202" i="5"/>
  <c r="AD227" i="5"/>
  <c r="Q40" i="5"/>
  <c r="AC41" i="5"/>
  <c r="AL413" i="5"/>
  <c r="AK148" i="5"/>
  <c r="AA205" i="5"/>
  <c r="AU329" i="5"/>
  <c r="AU532" i="5"/>
  <c r="Q41" i="5"/>
  <c r="AU21" i="5"/>
  <c r="AU41" i="5"/>
  <c r="AA43" i="5"/>
  <c r="AB409" i="5"/>
  <c r="AX332" i="5"/>
  <c r="T143" i="5"/>
  <c r="AU19" i="5"/>
  <c r="S203" i="5"/>
  <c r="AP413" i="5"/>
  <c r="AU20" i="5"/>
  <c r="AI148" i="5"/>
  <c r="AA532" i="5"/>
  <c r="AD407" i="5"/>
  <c r="AK24" i="5"/>
  <c r="AX413" i="5"/>
  <c r="AU386" i="5"/>
  <c r="T203" i="5"/>
  <c r="AX148" i="5"/>
  <c r="AU225" i="5"/>
  <c r="S141" i="5"/>
  <c r="AX535" i="5"/>
  <c r="AO332" i="5"/>
  <c r="AW24" i="5"/>
  <c r="AA349" i="5"/>
  <c r="AN24" i="5"/>
  <c r="AU513" i="5"/>
  <c r="AM413" i="5"/>
  <c r="AL515" i="5"/>
  <c r="S22" i="5"/>
  <c r="AB42" i="5"/>
  <c r="AO229" i="5"/>
  <c r="AO352" i="5"/>
  <c r="AA203" i="5"/>
  <c r="AU203" i="5"/>
  <c r="S200" i="5"/>
  <c r="S513" i="5"/>
  <c r="AW372" i="5"/>
  <c r="AV224" i="5"/>
  <c r="P41" i="5"/>
  <c r="AU325" i="5"/>
  <c r="Q42" i="5"/>
  <c r="AA408" i="5"/>
  <c r="AA44" i="5"/>
  <c r="O44" i="5"/>
  <c r="AD410" i="5"/>
  <c r="AW413" i="5"/>
  <c r="AU384" i="5"/>
  <c r="AL207" i="5"/>
  <c r="Q409" i="5"/>
  <c r="AU144" i="5"/>
  <c r="AW229" i="5"/>
  <c r="P411" i="5"/>
  <c r="AA411" i="5"/>
  <c r="AX515" i="5"/>
  <c r="AK46" i="5"/>
  <c r="AU44" i="5"/>
  <c r="AV41" i="5"/>
  <c r="AO515" i="5"/>
  <c r="AA509" i="5"/>
  <c r="AD224" i="5"/>
  <c r="AD411" i="5"/>
  <c r="AN46" i="5"/>
  <c r="AU411" i="5"/>
  <c r="AY46" i="5"/>
  <c r="AV407" i="5"/>
  <c r="Q223" i="5"/>
  <c r="AA510" i="5"/>
  <c r="AN391" i="5"/>
  <c r="AO413" i="5"/>
  <c r="AB227" i="5"/>
  <c r="O411" i="5"/>
  <c r="AI46" i="5"/>
  <c r="AO46" i="5"/>
  <c r="AI207" i="5"/>
  <c r="AD409" i="5"/>
  <c r="S21" i="5"/>
  <c r="AL46" i="5"/>
  <c r="AK229" i="5"/>
  <c r="AA227" i="5"/>
  <c r="O227" i="5"/>
  <c r="AB44" i="5"/>
  <c r="P44" i="5"/>
  <c r="AW535" i="5"/>
  <c r="AV225" i="5"/>
  <c r="AJ229" i="5"/>
  <c r="AM46" i="5"/>
  <c r="AV42" i="5"/>
  <c r="AI332" i="5"/>
  <c r="AA348" i="5"/>
  <c r="AU40" i="5"/>
  <c r="AA407" i="5"/>
  <c r="AB41" i="5"/>
  <c r="AA223" i="5"/>
  <c r="O223" i="5"/>
  <c r="O42" i="5"/>
  <c r="P40" i="5"/>
  <c r="R40" i="5" s="1"/>
  <c r="R46" i="5" s="1"/>
  <c r="E591" i="5" s="1"/>
  <c r="AX229" i="5"/>
  <c r="S509" i="5"/>
  <c r="S512" i="5"/>
  <c r="AC40" i="5"/>
  <c r="AI24" i="5"/>
  <c r="AP229" i="5"/>
  <c r="AX46" i="5"/>
  <c r="AD225" i="5"/>
  <c r="AU533" i="5"/>
  <c r="AA513" i="5"/>
  <c r="AA21" i="5"/>
  <c r="AB532" i="5"/>
  <c r="AA145" i="5"/>
  <c r="T202" i="5"/>
  <c r="AW207" i="5"/>
  <c r="AW332" i="5"/>
  <c r="S328" i="5"/>
  <c r="AW515" i="5"/>
  <c r="AD226" i="5"/>
  <c r="AK413" i="5"/>
  <c r="AL148" i="5"/>
  <c r="S329" i="5"/>
  <c r="AA143" i="5"/>
  <c r="AC43" i="5"/>
  <c r="AU201" i="5"/>
  <c r="AU42" i="5"/>
  <c r="AB224" i="5"/>
  <c r="Q225" i="5"/>
  <c r="AU165" i="5"/>
  <c r="AB40" i="5"/>
  <c r="AP46" i="5"/>
  <c r="AI229" i="5"/>
  <c r="AW46" i="5"/>
  <c r="AU330" i="5"/>
  <c r="AV227" i="5"/>
  <c r="AA42" i="5"/>
  <c r="AU328" i="5"/>
  <c r="P407" i="5"/>
  <c r="R407" i="5" s="1"/>
  <c r="AB407" i="5"/>
  <c r="AU224" i="5"/>
  <c r="AB411" i="5"/>
  <c r="P224" i="5"/>
  <c r="W88" i="62927"/>
  <c r="D75" i="62927"/>
  <c r="C123" i="62919"/>
  <c r="D218" i="62919"/>
  <c r="D219" i="62919" s="1"/>
  <c r="E220" i="62919"/>
  <c r="E221" i="62919" s="1"/>
  <c r="E222" i="62919" s="1"/>
  <c r="C122" i="62919"/>
  <c r="E126" i="62919"/>
  <c r="O28" i="7"/>
  <c r="O44" i="7"/>
  <c r="L44" i="7" s="1"/>
  <c r="E38" i="62919"/>
  <c r="E39" i="62919" s="1"/>
  <c r="E40" i="62919" s="1"/>
  <c r="Z252" i="7"/>
  <c r="D44" i="7"/>
  <c r="Z222" i="7"/>
  <c r="Z217" i="7"/>
  <c r="Z243" i="7"/>
  <c r="AA221" i="62898"/>
  <c r="X221" i="62898" s="1"/>
  <c r="G34" i="62915"/>
  <c r="S34" i="62915" s="1"/>
  <c r="G27" i="62914"/>
  <c r="G32" i="62929" s="1"/>
  <c r="S32" i="62929" s="1"/>
  <c r="J236" i="3"/>
  <c r="F27" i="62914"/>
  <c r="F213" i="3"/>
  <c r="J212" i="3"/>
  <c r="J213" i="3" s="1"/>
  <c r="F34" i="62915"/>
  <c r="R34" i="62915" s="1"/>
  <c r="C133" i="62909"/>
  <c r="E133" i="62909" s="1"/>
  <c r="J467" i="62898"/>
  <c r="F467" i="62898"/>
  <c r="F29" i="62892"/>
  <c r="G29" i="62910"/>
  <c r="H29" i="62910" s="1"/>
  <c r="G35" i="62909"/>
  <c r="H35" i="62909" s="1"/>
  <c r="K109" i="62927"/>
  <c r="N109" i="62927"/>
  <c r="E110" i="3"/>
  <c r="M110" i="3" s="1"/>
  <c r="D36" i="62919"/>
  <c r="C36" i="62919" s="1"/>
  <c r="AB80" i="62898"/>
  <c r="E91" i="62924"/>
  <c r="E92" i="62924" s="1"/>
  <c r="Z232" i="7"/>
  <c r="V125" i="62905"/>
  <c r="E225" i="62924"/>
  <c r="AC163" i="62926"/>
  <c r="W163" i="62926" s="1"/>
  <c r="D287" i="5"/>
  <c r="AM40" i="62925"/>
  <c r="AS298" i="62898"/>
  <c r="S290" i="5"/>
  <c r="K339" i="62926"/>
  <c r="J316" i="62925"/>
  <c r="AC46" i="62925"/>
  <c r="W46" i="62925" s="1"/>
  <c r="Y27" i="62914"/>
  <c r="AD77" i="62898"/>
  <c r="X77" i="62898" s="1"/>
  <c r="AE77" i="62898" s="1"/>
  <c r="AC80" i="62898"/>
  <c r="F316" i="62926"/>
  <c r="G284" i="62926"/>
  <c r="O127" i="62928"/>
  <c r="L127" i="62928" s="1"/>
  <c r="Y104" i="62928"/>
  <c r="Z238" i="7"/>
  <c r="G31" i="62929"/>
  <c r="S31" i="62929" s="1"/>
  <c r="L284" i="62925"/>
  <c r="K20" i="62929"/>
  <c r="W20" i="62929" s="1"/>
  <c r="W22" i="62929" s="1"/>
  <c r="W15" i="62914"/>
  <c r="W17" i="62914" s="1"/>
  <c r="K17" i="62914"/>
  <c r="K22" i="62929" s="1"/>
  <c r="AB60" i="62898"/>
  <c r="T473" i="5"/>
  <c r="E630" i="5" s="1"/>
  <c r="C121" i="62909" s="1"/>
  <c r="E121" i="62909" s="1"/>
  <c r="AX391" i="5"/>
  <c r="AO24" i="5"/>
  <c r="AA512" i="5"/>
  <c r="U16" i="62915"/>
  <c r="U18" i="62915" s="1"/>
  <c r="I18" i="62915"/>
  <c r="AN207" i="5"/>
  <c r="AO148" i="5"/>
  <c r="Q16" i="62912"/>
  <c r="Q18" i="62912" s="1"/>
  <c r="H18" i="62912"/>
  <c r="AA184" i="5"/>
  <c r="V109" i="62905"/>
  <c r="Z258" i="7"/>
  <c r="Z242" i="7"/>
  <c r="Z257" i="7"/>
  <c r="Z229" i="7"/>
  <c r="Z254" i="7"/>
  <c r="Z253" i="7"/>
  <c r="D60" i="7"/>
  <c r="D328" i="7" s="1"/>
  <c r="E328" i="7" s="1"/>
  <c r="F188" i="11"/>
  <c r="F193" i="11" s="1"/>
  <c r="G122" i="11"/>
  <c r="G127" i="11" s="1"/>
  <c r="C173" i="62909"/>
  <c r="E173" i="62909" s="1"/>
  <c r="F485" i="62898"/>
  <c r="C151" i="62909"/>
  <c r="E151" i="62909" s="1"/>
  <c r="S88" i="62927"/>
  <c r="AB58" i="5"/>
  <c r="AC102" i="62925"/>
  <c r="W102" i="62925" s="1"/>
  <c r="AA17" i="62904"/>
  <c r="V17" i="62904" s="1"/>
  <c r="AC37" i="62926"/>
  <c r="W37" i="62926" s="1"/>
  <c r="V124" i="7"/>
  <c r="Z124" i="7" s="1"/>
  <c r="O124" i="7"/>
  <c r="L124" i="7" s="1"/>
  <c r="M284" i="62926"/>
  <c r="G316" i="62926"/>
  <c r="G339" i="62926"/>
  <c r="F284" i="62926"/>
  <c r="G250" i="62926"/>
  <c r="J88" i="3"/>
  <c r="V75" i="3"/>
  <c r="S88" i="3"/>
  <c r="D2284" i="62917"/>
  <c r="D2285" i="62917" s="1"/>
  <c r="C2285" i="62917" s="1"/>
  <c r="AC38" i="62925"/>
  <c r="W38" i="62925" s="1"/>
  <c r="AD296" i="62898"/>
  <c r="X296" i="62898" s="1"/>
  <c r="AE296" i="62898" s="1"/>
  <c r="AE287" i="5"/>
  <c r="X287" i="5" s="1"/>
  <c r="AF287" i="5" s="1"/>
  <c r="AC17" i="62926"/>
  <c r="W17" i="62926" s="1"/>
  <c r="AC16" i="62926"/>
  <c r="W16" i="62926" s="1"/>
  <c r="AC35" i="62905"/>
  <c r="V35" i="62905" s="1"/>
  <c r="D471" i="5"/>
  <c r="S242" i="5"/>
  <c r="D240" i="5"/>
  <c r="AC23" i="62925"/>
  <c r="W23" i="62925" s="1"/>
  <c r="D16" i="62926"/>
  <c r="J25" i="62915"/>
  <c r="V25" i="62915" s="1"/>
  <c r="J234" i="62904"/>
  <c r="AA290" i="5"/>
  <c r="F165" i="62904"/>
  <c r="F171" i="62904" s="1"/>
  <c r="AC92" i="62926"/>
  <c r="W92" i="62926" s="1"/>
  <c r="AC46" i="62926"/>
  <c r="W46" i="62926" s="1"/>
  <c r="D19" i="62926"/>
  <c r="AN28" i="62925"/>
  <c r="G378" i="9"/>
  <c r="K25" i="62929"/>
  <c r="W25" i="62929" s="1"/>
  <c r="E58" i="62912"/>
  <c r="Q10" i="62912"/>
  <c r="Q26" i="62914"/>
  <c r="Z248" i="7"/>
  <c r="Y185" i="7"/>
  <c r="Z226" i="7"/>
  <c r="Z218" i="7"/>
  <c r="V163" i="7"/>
  <c r="Z163" i="7" s="1"/>
  <c r="W88" i="3"/>
  <c r="G21" i="62910"/>
  <c r="H21" i="62910" s="1"/>
  <c r="F21" i="62892"/>
  <c r="G27" i="62909"/>
  <c r="H27" i="62909" s="1"/>
  <c r="N109" i="3"/>
  <c r="L109" i="3"/>
  <c r="M109" i="3"/>
  <c r="G21" i="62892"/>
  <c r="D21" i="62892"/>
  <c r="AC14" i="62925"/>
  <c r="W14" i="62925" s="1"/>
  <c r="K364" i="9"/>
  <c r="K398" i="9" s="1"/>
  <c r="J312" i="9"/>
  <c r="M20" i="62914"/>
  <c r="Y20" i="62914" s="1"/>
  <c r="H312" i="9"/>
  <c r="H21" i="62912"/>
  <c r="Q21" i="62912" s="1"/>
  <c r="K346" i="9"/>
  <c r="I364" i="9"/>
  <c r="I398" i="9" s="1"/>
  <c r="D213" i="9"/>
  <c r="AD213" i="9" s="1"/>
  <c r="J217" i="9"/>
  <c r="J265" i="9"/>
  <c r="O300" i="62928"/>
  <c r="L300" i="62928" s="1"/>
  <c r="G20" i="62914"/>
  <c r="S20" i="62914" s="1"/>
  <c r="G312" i="9"/>
  <c r="D230" i="9"/>
  <c r="O232" i="9"/>
  <c r="AX226" i="9"/>
  <c r="AJ232" i="9"/>
  <c r="F298" i="9" s="1"/>
  <c r="AP232" i="9"/>
  <c r="F199" i="62904"/>
  <c r="H58" i="62912"/>
  <c r="G58" i="62912"/>
  <c r="R17" i="62912"/>
  <c r="Y239" i="9"/>
  <c r="C88" i="62924"/>
  <c r="D89" i="62924"/>
  <c r="C39" i="62924"/>
  <c r="I274" i="9"/>
  <c r="G182" i="62909" s="1"/>
  <c r="H182" i="62909" s="1"/>
  <c r="D17" i="62924"/>
  <c r="D18" i="62924" s="1"/>
  <c r="D19" i="62924" s="1"/>
  <c r="D20" i="62924" s="1"/>
  <c r="D21" i="62924" s="1"/>
  <c r="C16" i="62924"/>
  <c r="V166" i="7"/>
  <c r="Z166" i="7" s="1"/>
  <c r="F250" i="62926"/>
  <c r="J250" i="62926"/>
  <c r="F10" i="62915"/>
  <c r="R10" i="62915" s="1"/>
  <c r="F296" i="62926"/>
  <c r="F333" i="62926"/>
  <c r="L257" i="62926"/>
  <c r="E261" i="62926"/>
  <c r="E10" i="62914"/>
  <c r="J10" i="62912"/>
  <c r="J230" i="62926"/>
  <c r="G230" i="62926"/>
  <c r="G10" i="62912"/>
  <c r="F230" i="62926"/>
  <c r="F10" i="62912"/>
  <c r="F261" i="62926"/>
  <c r="F10" i="62914"/>
  <c r="I225" i="62926"/>
  <c r="E230" i="62926"/>
  <c r="E10" i="62912"/>
  <c r="E10" i="62915"/>
  <c r="Q10" i="62915" s="1"/>
  <c r="E296" i="62926"/>
  <c r="E333" i="62926"/>
  <c r="J291" i="62926"/>
  <c r="M261" i="62926"/>
  <c r="M10" i="62914"/>
  <c r="K296" i="62926"/>
  <c r="K10" i="62915"/>
  <c r="W10" i="62915" s="1"/>
  <c r="K333" i="62926"/>
  <c r="G296" i="62926"/>
  <c r="G10" i="62915"/>
  <c r="S10" i="62915" s="1"/>
  <c r="G333" i="62926"/>
  <c r="G261" i="62926"/>
  <c r="G10" i="62914"/>
  <c r="AC103" i="62925"/>
  <c r="W103" i="62925" s="1"/>
  <c r="Y20" i="9"/>
  <c r="I261" i="9"/>
  <c r="D990" i="62921"/>
  <c r="D991" i="62921" s="1"/>
  <c r="D992" i="62921" s="1"/>
  <c r="C988" i="62921"/>
  <c r="E993" i="62921"/>
  <c r="E994" i="62921" s="1"/>
  <c r="AS80" i="62898"/>
  <c r="I273" i="5"/>
  <c r="G279" i="5" s="1"/>
  <c r="D271" i="5"/>
  <c r="D454" i="5"/>
  <c r="I456" i="5"/>
  <c r="D316" i="62898"/>
  <c r="K318" i="62898"/>
  <c r="AT60" i="62898"/>
  <c r="AT29" i="62898"/>
  <c r="V75" i="62905"/>
  <c r="D383" i="62923"/>
  <c r="E255" i="62923"/>
  <c r="E256" i="62923" s="1"/>
  <c r="E384" i="62923"/>
  <c r="E385" i="62923" s="1"/>
  <c r="E386" i="62923" s="1"/>
  <c r="D254" i="62923"/>
  <c r="T88" i="62927"/>
  <c r="T88" i="3"/>
  <c r="U88" i="62927"/>
  <c r="R88" i="62927"/>
  <c r="O75" i="62927"/>
  <c r="L75" i="62927" s="1"/>
  <c r="R88" i="3"/>
  <c r="U88" i="3"/>
  <c r="L81" i="3"/>
  <c r="O83" i="3"/>
  <c r="L83" i="3" s="1"/>
  <c r="D83" i="3"/>
  <c r="D98" i="3"/>
  <c r="U98" i="3"/>
  <c r="V98" i="3"/>
  <c r="O98" i="3"/>
  <c r="L98" i="3" s="1"/>
  <c r="E28" i="62909"/>
  <c r="E75" i="62918"/>
  <c r="F23" i="62892"/>
  <c r="G23" i="62910"/>
  <c r="H23" i="62910" s="1"/>
  <c r="G29" i="62909"/>
  <c r="H29" i="62909" s="1"/>
  <c r="AC111" i="62904"/>
  <c r="V111" i="62904" s="1"/>
  <c r="AM111" i="62904"/>
  <c r="AK111" i="62904"/>
  <c r="D111" i="62904"/>
  <c r="V97" i="3"/>
  <c r="U97" i="3"/>
  <c r="D97" i="3"/>
  <c r="O97" i="3"/>
  <c r="L97" i="3" s="1"/>
  <c r="D86" i="62927"/>
  <c r="O86" i="62927"/>
  <c r="L86" i="62927" s="1"/>
  <c r="V85" i="62927"/>
  <c r="L111" i="3"/>
  <c r="M111" i="3"/>
  <c r="L26" i="3"/>
  <c r="V85" i="3"/>
  <c r="I100" i="62927"/>
  <c r="U96" i="62927"/>
  <c r="V96" i="62927"/>
  <c r="O96" i="62927"/>
  <c r="D96" i="62927"/>
  <c r="V83" i="3"/>
  <c r="AK110" i="62904"/>
  <c r="AC110" i="62904"/>
  <c r="V110" i="62904" s="1"/>
  <c r="AM110" i="62904"/>
  <c r="D110" i="62904"/>
  <c r="D97" i="62927"/>
  <c r="O97" i="62927"/>
  <c r="L97" i="62927" s="1"/>
  <c r="V97" i="62927"/>
  <c r="U97" i="62927"/>
  <c r="D109" i="62904"/>
  <c r="I113" i="62904"/>
  <c r="AK109" i="62904"/>
  <c r="AC109" i="62904"/>
  <c r="AM109" i="62904"/>
  <c r="O86" i="3"/>
  <c r="L86" i="3" s="1"/>
  <c r="D86" i="3"/>
  <c r="U56" i="3"/>
  <c r="V56" i="3"/>
  <c r="D56" i="3"/>
  <c r="O56" i="3"/>
  <c r="L56" i="3" s="1"/>
  <c r="D55" i="62927"/>
  <c r="I59" i="62927"/>
  <c r="O55" i="62927"/>
  <c r="V55" i="62927"/>
  <c r="U55" i="62927"/>
  <c r="O57" i="62927"/>
  <c r="L57" i="62927" s="1"/>
  <c r="D57" i="62927"/>
  <c r="U57" i="62927"/>
  <c r="V57" i="62927"/>
  <c r="E16" i="62918"/>
  <c r="D14" i="62918"/>
  <c r="D15" i="62918" s="1"/>
  <c r="D96" i="3"/>
  <c r="O96" i="3"/>
  <c r="U96" i="3"/>
  <c r="I100" i="3"/>
  <c r="V96" i="3"/>
  <c r="E22" i="62910"/>
  <c r="D22" i="62892"/>
  <c r="G22" i="62892"/>
  <c r="C30" i="62910"/>
  <c r="E110" i="62927"/>
  <c r="I110" i="62927"/>
  <c r="C36" i="62909"/>
  <c r="C30" i="62892"/>
  <c r="D85" i="3"/>
  <c r="O85" i="3"/>
  <c r="L85" i="3" s="1"/>
  <c r="V86" i="62927"/>
  <c r="N111" i="3"/>
  <c r="K111" i="3"/>
  <c r="G23" i="62892"/>
  <c r="D23" i="62892"/>
  <c r="V86" i="3"/>
  <c r="D98" i="62927"/>
  <c r="V98" i="62927"/>
  <c r="O98" i="62927"/>
  <c r="L98" i="62927" s="1"/>
  <c r="U98" i="62927"/>
  <c r="D83" i="62927"/>
  <c r="O83" i="62927"/>
  <c r="J88" i="62927"/>
  <c r="O85" i="62927"/>
  <c r="L85" i="62927" s="1"/>
  <c r="D85" i="62927"/>
  <c r="V83" i="62927"/>
  <c r="O55" i="3"/>
  <c r="I59" i="3"/>
  <c r="V55" i="3"/>
  <c r="D55" i="3"/>
  <c r="U55" i="3"/>
  <c r="O56" i="62927"/>
  <c r="L56" i="62927" s="1"/>
  <c r="U56" i="62927"/>
  <c r="V56" i="62927"/>
  <c r="D56" i="62927"/>
  <c r="D57" i="3"/>
  <c r="U57" i="3"/>
  <c r="O57" i="3"/>
  <c r="L57" i="3" s="1"/>
  <c r="V57" i="3"/>
  <c r="D74" i="62918"/>
  <c r="C74" i="62918" s="1"/>
  <c r="C73" i="62918"/>
  <c r="AA184" i="62926"/>
  <c r="AC13" i="62925"/>
  <c r="W13" i="62925" s="1"/>
  <c r="AC13" i="62926"/>
  <c r="W13" i="62926" s="1"/>
  <c r="AC181" i="62926"/>
  <c r="W181" i="62926" s="1"/>
  <c r="X137" i="62898"/>
  <c r="C137" i="62909"/>
  <c r="E137" i="62909" s="1"/>
  <c r="F471" i="62898"/>
  <c r="AS171" i="62898"/>
  <c r="AS175" i="62898" s="1"/>
  <c r="AG175" i="62898"/>
  <c r="X175" i="62898"/>
  <c r="F463" i="62898"/>
  <c r="C129" i="62909"/>
  <c r="E129" i="62909" s="1"/>
  <c r="I223" i="62898"/>
  <c r="E477" i="62898" s="1"/>
  <c r="D221" i="62898"/>
  <c r="D223" i="62898" s="1"/>
  <c r="E1369" i="62919"/>
  <c r="E1370" i="62919" s="1"/>
  <c r="M188" i="11"/>
  <c r="E93" i="11"/>
  <c r="C14" i="62923"/>
  <c r="D15" i="62923"/>
  <c r="D16" i="62923" s="1"/>
  <c r="D17" i="62923" s="1"/>
  <c r="D97" i="62905"/>
  <c r="D244" i="62905" s="1"/>
  <c r="I244" i="62905" s="1"/>
  <c r="C77" i="62909"/>
  <c r="E77" i="62909" s="1"/>
  <c r="N156" i="11"/>
  <c r="AR64" i="2"/>
  <c r="AU127" i="62905"/>
  <c r="O173" i="2"/>
  <c r="V119" i="62905"/>
  <c r="V78" i="62905"/>
  <c r="Q86" i="2"/>
  <c r="AU97" i="62905"/>
  <c r="D112" i="62905"/>
  <c r="D262" i="62905" s="1"/>
  <c r="N97" i="62905"/>
  <c r="Q167" i="2"/>
  <c r="Q44" i="2"/>
  <c r="P127" i="62905"/>
  <c r="V77" i="62905"/>
  <c r="D127" i="62905"/>
  <c r="D264" i="62905" s="1"/>
  <c r="AU112" i="62905"/>
  <c r="Q43" i="2"/>
  <c r="Q85" i="2"/>
  <c r="E91" i="11"/>
  <c r="I91" i="11"/>
  <c r="C75" i="62909"/>
  <c r="E75" i="62909" s="1"/>
  <c r="E81" i="11"/>
  <c r="Q76" i="2"/>
  <c r="V103" i="62905"/>
  <c r="Q77" i="2"/>
  <c r="Q73" i="2"/>
  <c r="AQ207" i="2"/>
  <c r="V211" i="2"/>
  <c r="X207" i="2"/>
  <c r="Q207" i="2" s="1"/>
  <c r="C78" i="62909"/>
  <c r="E78" i="62909" s="1"/>
  <c r="E94" i="11"/>
  <c r="I94" i="11"/>
  <c r="D53" i="2"/>
  <c r="O64" i="2"/>
  <c r="Q92" i="2"/>
  <c r="AB211" i="2"/>
  <c r="AR207" i="2"/>
  <c r="AR211" i="2" s="1"/>
  <c r="AD211" i="2"/>
  <c r="AT207" i="2"/>
  <c r="AT211" i="2" s="1"/>
  <c r="Q57" i="2"/>
  <c r="AC211" i="2"/>
  <c r="AS207" i="2"/>
  <c r="AS211" i="2" s="1"/>
  <c r="D42" i="2"/>
  <c r="V95" i="62905"/>
  <c r="D227" i="62905"/>
  <c r="D233" i="62905" s="1"/>
  <c r="D85" i="2"/>
  <c r="D94" i="2" s="1"/>
  <c r="O94" i="2"/>
  <c r="D73" i="2"/>
  <c r="D79" i="2" s="1"/>
  <c r="O79" i="2"/>
  <c r="V231" i="62905"/>
  <c r="AR79" i="2"/>
  <c r="J613" i="5"/>
  <c r="C104" i="62909"/>
  <c r="E104" i="62909" s="1"/>
  <c r="F613" i="5"/>
  <c r="AU145" i="5"/>
  <c r="AB143" i="5"/>
  <c r="AB509" i="5"/>
  <c r="T142" i="5"/>
  <c r="AU511" i="5"/>
  <c r="AI391" i="5"/>
  <c r="AU510" i="5"/>
  <c r="AN352" i="5"/>
  <c r="AL229" i="5"/>
  <c r="AB510" i="5"/>
  <c r="T389" i="5"/>
  <c r="AB204" i="5"/>
  <c r="T325" i="5"/>
  <c r="T510" i="5"/>
  <c r="AL352" i="5"/>
  <c r="AU204" i="5"/>
  <c r="AV409" i="5"/>
  <c r="AB328" i="5"/>
  <c r="AB533" i="5"/>
  <c r="AI168" i="5"/>
  <c r="C98" i="62909"/>
  <c r="E98" i="62909" s="1"/>
  <c r="F607" i="5"/>
  <c r="J607" i="5"/>
  <c r="AX24" i="5"/>
  <c r="T509" i="5"/>
  <c r="S20" i="5"/>
  <c r="AA508" i="5"/>
  <c r="S144" i="5"/>
  <c r="AI535" i="5"/>
  <c r="AI372" i="5"/>
  <c r="T326" i="5"/>
  <c r="AB326" i="5"/>
  <c r="AB389" i="5"/>
  <c r="AY258" i="5"/>
  <c r="AB258" i="5"/>
  <c r="D258" i="5"/>
  <c r="M262" i="5"/>
  <c r="AB165" i="5"/>
  <c r="N165" i="5"/>
  <c r="O165" i="5" s="1"/>
  <c r="T20" i="5"/>
  <c r="AB20" i="5"/>
  <c r="AB387" i="5"/>
  <c r="T384" i="5"/>
  <c r="AB384" i="5"/>
  <c r="AA144" i="5"/>
  <c r="AB386" i="5"/>
  <c r="AA22" i="5"/>
  <c r="AA330" i="5"/>
  <c r="T328" i="5"/>
  <c r="T512" i="5"/>
  <c r="AB512" i="5"/>
  <c r="T386" i="5"/>
  <c r="N185" i="5"/>
  <c r="D185" i="5" s="1"/>
  <c r="AB185" i="5"/>
  <c r="T21" i="5"/>
  <c r="AB21" i="5"/>
  <c r="AB145" i="5"/>
  <c r="T145" i="5"/>
  <c r="T385" i="5"/>
  <c r="AB385" i="5"/>
  <c r="M165" i="5"/>
  <c r="AA165" i="5"/>
  <c r="AA142" i="5"/>
  <c r="S142" i="5"/>
  <c r="AA385" i="5"/>
  <c r="S385" i="5"/>
  <c r="AA326" i="5"/>
  <c r="S326" i="5"/>
  <c r="AA201" i="5"/>
  <c r="S201" i="5"/>
  <c r="AA75" i="5"/>
  <c r="AB205" i="5"/>
  <c r="N186" i="5"/>
  <c r="D186" i="5" s="1"/>
  <c r="AB186" i="5"/>
  <c r="AB144" i="5"/>
  <c r="T144" i="5"/>
  <c r="AB325" i="5"/>
  <c r="T513" i="5"/>
  <c r="AB513" i="5"/>
  <c r="N348" i="5"/>
  <c r="AB348" i="5"/>
  <c r="AA200" i="5"/>
  <c r="AA146" i="5"/>
  <c r="AW168" i="5"/>
  <c r="T200" i="5"/>
  <c r="AB200" i="5"/>
  <c r="AA384" i="5"/>
  <c r="S384" i="5"/>
  <c r="AA325" i="5"/>
  <c r="S325" i="5"/>
  <c r="M166" i="5"/>
  <c r="AA166" i="5"/>
  <c r="S143" i="5"/>
  <c r="S508" i="5"/>
  <c r="M164" i="5"/>
  <c r="D259" i="5"/>
  <c r="AO207" i="5"/>
  <c r="T508" i="5"/>
  <c r="AB508" i="5"/>
  <c r="N349" i="5"/>
  <c r="AB349" i="5"/>
  <c r="T22" i="5"/>
  <c r="AB22" i="5"/>
  <c r="AB17" i="5"/>
  <c r="T17" i="5"/>
  <c r="AY78" i="5"/>
  <c r="M78" i="5"/>
  <c r="E596" i="5" s="1"/>
  <c r="AZ78" i="5"/>
  <c r="N78" i="5"/>
  <c r="E598" i="5" s="1"/>
  <c r="AC75" i="5"/>
  <c r="N164" i="5"/>
  <c r="O164" i="5" s="1"/>
  <c r="O168" i="5" s="1"/>
  <c r="E604" i="5" s="1"/>
  <c r="F604" i="5" s="1"/>
  <c r="AB164" i="5"/>
  <c r="AB551" i="5"/>
  <c r="N551" i="5"/>
  <c r="AB75" i="5"/>
  <c r="AB142" i="5"/>
  <c r="AB202" i="5"/>
  <c r="AA20" i="5"/>
  <c r="AA328" i="5"/>
  <c r="AA387" i="5"/>
  <c r="N370" i="5"/>
  <c r="AY445" i="5"/>
  <c r="AB443" i="5"/>
  <c r="M445" i="5"/>
  <c r="D443" i="5"/>
  <c r="N369" i="5"/>
  <c r="AB369" i="5"/>
  <c r="P225" i="5"/>
  <c r="AB225" i="5"/>
  <c r="T19" i="5"/>
  <c r="AB19" i="5"/>
  <c r="N552" i="5"/>
  <c r="AB552" i="5"/>
  <c r="T388" i="5"/>
  <c r="AB388" i="5"/>
  <c r="T330" i="5"/>
  <c r="P43" i="5"/>
  <c r="AB43" i="5"/>
  <c r="AB18" i="5"/>
  <c r="T18" i="5"/>
  <c r="P226" i="5"/>
  <c r="AB226" i="5"/>
  <c r="AB511" i="5"/>
  <c r="AB329" i="5"/>
  <c r="T329" i="5"/>
  <c r="N553" i="5"/>
  <c r="AB553" i="5"/>
  <c r="S389" i="5"/>
  <c r="AA389" i="5"/>
  <c r="T205" i="5"/>
  <c r="AA388" i="5"/>
  <c r="AA204" i="5"/>
  <c r="AA19" i="5"/>
  <c r="S19" i="5"/>
  <c r="S511" i="5"/>
  <c r="AA511" i="5"/>
  <c r="AA552" i="5"/>
  <c r="M552" i="5"/>
  <c r="M370" i="5"/>
  <c r="AA370" i="5"/>
  <c r="AA226" i="5"/>
  <c r="O226" i="5"/>
  <c r="AI188" i="5"/>
  <c r="AB203" i="5"/>
  <c r="AB146" i="5"/>
  <c r="T146" i="5"/>
  <c r="T141" i="5"/>
  <c r="AB141" i="5"/>
  <c r="AB330" i="5"/>
  <c r="P410" i="5"/>
  <c r="AB410" i="5"/>
  <c r="O262" i="5"/>
  <c r="E619" i="5" s="1"/>
  <c r="AB201" i="5"/>
  <c r="T201" i="5"/>
  <c r="T327" i="5"/>
  <c r="AB327" i="5"/>
  <c r="AA141" i="5"/>
  <c r="AA17" i="5"/>
  <c r="S17" i="5"/>
  <c r="AU143" i="5"/>
  <c r="AA329" i="5"/>
  <c r="AA386" i="5"/>
  <c r="S386" i="5"/>
  <c r="AA327" i="5"/>
  <c r="S327" i="5"/>
  <c r="AA202" i="5"/>
  <c r="S202" i="5"/>
  <c r="S18" i="5"/>
  <c r="AA18" i="5"/>
  <c r="AA533" i="5"/>
  <c r="M533" i="5"/>
  <c r="M368" i="5"/>
  <c r="AA368" i="5"/>
  <c r="S204" i="5"/>
  <c r="S388" i="5"/>
  <c r="AL24" i="5"/>
  <c r="C258" i="62922"/>
  <c r="Z40" i="62925"/>
  <c r="C2280" i="62917"/>
  <c r="F633" i="5"/>
  <c r="J633" i="5"/>
  <c r="C124" i="62909"/>
  <c r="E124" i="62909" s="1"/>
  <c r="C2282" i="62917"/>
  <c r="E2286" i="62917"/>
  <c r="E2287" i="62917" s="1"/>
  <c r="E2288" i="62917" s="1"/>
  <c r="C2283" i="62917"/>
  <c r="AA13" i="62904"/>
  <c r="V13" i="62904" s="1"/>
  <c r="AC26" i="62926"/>
  <c r="W26" i="62926" s="1"/>
  <c r="AE471" i="5"/>
  <c r="X471" i="5" s="1"/>
  <c r="AF471" i="5" s="1"/>
  <c r="AC25" i="62926"/>
  <c r="W25" i="62926" s="1"/>
  <c r="D23" i="62925"/>
  <c r="D288" i="5"/>
  <c r="O44" i="62928"/>
  <c r="L44" i="62928" s="1"/>
  <c r="D170" i="62919"/>
  <c r="C170" i="62919" s="1"/>
  <c r="E171" i="62919"/>
  <c r="Z249" i="7"/>
  <c r="V47" i="7"/>
  <c r="Z244" i="62928"/>
  <c r="W47" i="7"/>
  <c r="O30" i="7"/>
  <c r="L30" i="7" s="1"/>
  <c r="Z44" i="62928"/>
  <c r="Z47" i="62928" s="1"/>
  <c r="D44" i="62928"/>
  <c r="X47" i="7"/>
  <c r="O31" i="62928"/>
  <c r="L31" i="62928" s="1"/>
  <c r="W47" i="62928"/>
  <c r="Y47" i="7"/>
  <c r="D45" i="62928"/>
  <c r="E1766" i="62919"/>
  <c r="E1232" i="62919"/>
  <c r="E1233" i="62919" s="1"/>
  <c r="E1234" i="62919" s="1"/>
  <c r="E866" i="62919"/>
  <c r="E896" i="62919"/>
  <c r="E897" i="62919" s="1"/>
  <c r="E1037" i="62919"/>
  <c r="E924" i="62919"/>
  <c r="T222" i="7"/>
  <c r="J31" i="62928"/>
  <c r="D31" i="62928" s="1"/>
  <c r="V31" i="62928" s="1"/>
  <c r="Z31" i="62928" s="1"/>
  <c r="T27" i="11"/>
  <c r="E16" i="62919"/>
  <c r="O43" i="7"/>
  <c r="L43" i="7" s="1"/>
  <c r="AD207" i="9"/>
  <c r="Y207" i="9" s="1"/>
  <c r="H47" i="7"/>
  <c r="Z43" i="7"/>
  <c r="J30" i="7"/>
  <c r="D30" i="7" s="1"/>
  <c r="V30" i="7" s="1"/>
  <c r="Z30" i="7" s="1"/>
  <c r="V47" i="62928"/>
  <c r="J29" i="7"/>
  <c r="D29" i="7" s="1"/>
  <c r="V29" i="7" s="1"/>
  <c r="O29" i="7"/>
  <c r="L29" i="7" s="1"/>
  <c r="V29" i="11"/>
  <c r="Q29" i="11" s="1"/>
  <c r="X27" i="11"/>
  <c r="AF27" i="11" s="1"/>
  <c r="M27" i="11"/>
  <c r="D27" i="11" s="1"/>
  <c r="J28" i="7"/>
  <c r="D28" i="7" s="1"/>
  <c r="V28" i="7" s="1"/>
  <c r="Z28" i="7" s="1"/>
  <c r="W104" i="62928"/>
  <c r="X104" i="62928"/>
  <c r="O166" i="62928"/>
  <c r="L166" i="62928" s="1"/>
  <c r="O45" i="7"/>
  <c r="L45" i="7" s="1"/>
  <c r="O57" i="7"/>
  <c r="L57" i="7" s="1"/>
  <c r="V27" i="11"/>
  <c r="T29" i="11"/>
  <c r="O45" i="62928"/>
  <c r="L45" i="62928" s="1"/>
  <c r="H47" i="62928"/>
  <c r="Z45" i="7"/>
  <c r="J28" i="62928"/>
  <c r="D28" i="62928" s="1"/>
  <c r="V28" i="62928" s="1"/>
  <c r="Z28" i="62928" s="1"/>
  <c r="O28" i="62928"/>
  <c r="L28" i="62928" s="1"/>
  <c r="X29" i="11"/>
  <c r="AF29" i="11" s="1"/>
  <c r="M29" i="11"/>
  <c r="D29" i="11" s="1"/>
  <c r="AA104" i="62928"/>
  <c r="O163" i="7"/>
  <c r="L163" i="7" s="1"/>
  <c r="Z237" i="62928"/>
  <c r="O314" i="62928"/>
  <c r="L314" i="62928" s="1"/>
  <c r="T253" i="7"/>
  <c r="Q253" i="7" s="1"/>
  <c r="AA185" i="7"/>
  <c r="Z248" i="62928"/>
  <c r="V166" i="62928"/>
  <c r="Z166" i="62928" s="1"/>
  <c r="O71" i="62928"/>
  <c r="L71" i="62928" s="1"/>
  <c r="Z223" i="7"/>
  <c r="O312" i="62928"/>
  <c r="L312" i="62928" s="1"/>
  <c r="O164" i="7"/>
  <c r="L164" i="7" s="1"/>
  <c r="V164" i="7"/>
  <c r="Z164" i="7" s="1"/>
  <c r="V142" i="7"/>
  <c r="Z142" i="7" s="1"/>
  <c r="Z247" i="62928"/>
  <c r="O300" i="7"/>
  <c r="L300" i="7" s="1"/>
  <c r="O30" i="62928"/>
  <c r="L30" i="62928" s="1"/>
  <c r="J30" i="62928"/>
  <c r="D30" i="62928" s="1"/>
  <c r="V30" i="62928" s="1"/>
  <c r="Z30" i="62928" s="1"/>
  <c r="D68" i="11"/>
  <c r="R68" i="11"/>
  <c r="I58" i="62928"/>
  <c r="D58" i="62928" s="1"/>
  <c r="V58" i="62928" s="1"/>
  <c r="Z58" i="62928" s="1"/>
  <c r="O58" i="62928"/>
  <c r="L58" i="62928" s="1"/>
  <c r="O58" i="7"/>
  <c r="L58" i="7" s="1"/>
  <c r="I56" i="62928"/>
  <c r="O56" i="62928"/>
  <c r="D105" i="2"/>
  <c r="R105" i="2"/>
  <c r="I57" i="62928"/>
  <c r="D57" i="62928" s="1"/>
  <c r="V57" i="62928" s="1"/>
  <c r="Z57" i="62928" s="1"/>
  <c r="O57" i="62928"/>
  <c r="L57" i="62928" s="1"/>
  <c r="R135" i="62905"/>
  <c r="D135" i="62905"/>
  <c r="I60" i="7"/>
  <c r="V163" i="62928"/>
  <c r="Z163" i="62928" s="1"/>
  <c r="X30" i="11"/>
  <c r="AF30" i="11" s="1"/>
  <c r="M30" i="11"/>
  <c r="D30" i="11" s="1"/>
  <c r="T30" i="11"/>
  <c r="V30" i="11"/>
  <c r="Q30" i="11" s="1"/>
  <c r="O31" i="7"/>
  <c r="L31" i="7" s="1"/>
  <c r="J31" i="7"/>
  <c r="D136" i="62905"/>
  <c r="R136" i="62905"/>
  <c r="D104" i="2"/>
  <c r="R104" i="2"/>
  <c r="L43" i="62928"/>
  <c r="R67" i="11"/>
  <c r="H71" i="11"/>
  <c r="D67" i="11"/>
  <c r="R103" i="2"/>
  <c r="D103" i="2"/>
  <c r="H109" i="2"/>
  <c r="T232" i="7"/>
  <c r="Q232" i="7" s="1"/>
  <c r="Z219" i="7"/>
  <c r="T257" i="7"/>
  <c r="Q257" i="7" s="1"/>
  <c r="Z244" i="7"/>
  <c r="Z237" i="7"/>
  <c r="W104" i="7"/>
  <c r="T249" i="7"/>
  <c r="Q249" i="7" s="1"/>
  <c r="T248" i="7"/>
  <c r="Q248" i="7" s="1"/>
  <c r="N253" i="7"/>
  <c r="D253" i="7" s="1"/>
  <c r="Z222" i="62928"/>
  <c r="Z252" i="62928"/>
  <c r="Z254" i="62928"/>
  <c r="Z231" i="62928"/>
  <c r="Z216" i="62928"/>
  <c r="Z249" i="62928"/>
  <c r="N249" i="62928"/>
  <c r="D249" i="62928" s="1"/>
  <c r="T249" i="62928"/>
  <c r="Q249" i="62928" s="1"/>
  <c r="N219" i="7"/>
  <c r="D219" i="7" s="1"/>
  <c r="T219" i="7"/>
  <c r="Q219" i="7" s="1"/>
  <c r="N244" i="7"/>
  <c r="D244" i="7" s="1"/>
  <c r="T244" i="7"/>
  <c r="Q244" i="7" s="1"/>
  <c r="N205" i="7"/>
  <c r="T205" i="7"/>
  <c r="Q205" i="7" s="1"/>
  <c r="O128" i="7"/>
  <c r="L128" i="7" s="1"/>
  <c r="I130" i="7"/>
  <c r="O130" i="7"/>
  <c r="L130" i="7" s="1"/>
  <c r="I143" i="62928"/>
  <c r="O143" i="62928"/>
  <c r="L143" i="62928" s="1"/>
  <c r="O181" i="7"/>
  <c r="L181" i="7" s="1"/>
  <c r="I124" i="62928"/>
  <c r="O124" i="62928"/>
  <c r="L124" i="62928" s="1"/>
  <c r="I180" i="7"/>
  <c r="O180" i="7"/>
  <c r="L180" i="7" s="1"/>
  <c r="I137" i="7"/>
  <c r="O137" i="7"/>
  <c r="L137" i="7" s="1"/>
  <c r="I127" i="7"/>
  <c r="O127" i="7"/>
  <c r="L127" i="7" s="1"/>
  <c r="O70" i="62928"/>
  <c r="L70" i="62928" s="1"/>
  <c r="I115" i="62928"/>
  <c r="O115" i="62928"/>
  <c r="L115" i="62928" s="1"/>
  <c r="I121" i="62928"/>
  <c r="O121" i="62928"/>
  <c r="L121" i="62928" s="1"/>
  <c r="Z238" i="62928"/>
  <c r="AA104" i="7"/>
  <c r="I182" i="7"/>
  <c r="O182" i="7"/>
  <c r="L182" i="7" s="1"/>
  <c r="I69" i="7"/>
  <c r="O69" i="7"/>
  <c r="I120" i="62928"/>
  <c r="O120" i="62928"/>
  <c r="L120" i="62928" s="1"/>
  <c r="O130" i="62928"/>
  <c r="L130" i="62928" s="1"/>
  <c r="I130" i="62928"/>
  <c r="I123" i="7"/>
  <c r="O123" i="7"/>
  <c r="L123" i="7" s="1"/>
  <c r="O145" i="7"/>
  <c r="L145" i="7" s="1"/>
  <c r="I145" i="7"/>
  <c r="I134" i="7"/>
  <c r="O134" i="7"/>
  <c r="L134" i="7" s="1"/>
  <c r="N244" i="62928"/>
  <c r="D244" i="62928" s="1"/>
  <c r="T244" i="62928"/>
  <c r="Q244" i="62928" s="1"/>
  <c r="I114" i="62928"/>
  <c r="O114" i="62928"/>
  <c r="L114" i="62928" s="1"/>
  <c r="X104" i="7"/>
  <c r="N85" i="7"/>
  <c r="T85" i="7"/>
  <c r="Q85" i="7" s="1"/>
  <c r="I141" i="7"/>
  <c r="O141" i="7"/>
  <c r="L141" i="7" s="1"/>
  <c r="I165" i="7"/>
  <c r="O165" i="7"/>
  <c r="L165" i="7" s="1"/>
  <c r="I117" i="7"/>
  <c r="O117" i="7"/>
  <c r="L117" i="7" s="1"/>
  <c r="I174" i="7"/>
  <c r="O174" i="7"/>
  <c r="L174" i="7" s="1"/>
  <c r="V162" i="62928"/>
  <c r="Z162" i="62928" s="1"/>
  <c r="D162" i="62928"/>
  <c r="T247" i="7"/>
  <c r="Q247" i="7" s="1"/>
  <c r="N247" i="7"/>
  <c r="D247" i="7" s="1"/>
  <c r="V116" i="7"/>
  <c r="Z116" i="7" s="1"/>
  <c r="D116" i="7"/>
  <c r="D145" i="62928"/>
  <c r="V145" i="62928"/>
  <c r="Z145" i="62928" s="1"/>
  <c r="V164" i="62928"/>
  <c r="Z164" i="62928" s="1"/>
  <c r="D164" i="62928"/>
  <c r="N223" i="7"/>
  <c r="D223" i="7" s="1"/>
  <c r="N238" i="62928"/>
  <c r="D238" i="62928" s="1"/>
  <c r="T238" i="62928"/>
  <c r="Q238" i="62928" s="1"/>
  <c r="N215" i="62928"/>
  <c r="D215" i="62928" s="1"/>
  <c r="T215" i="62928"/>
  <c r="Q215" i="62928" s="1"/>
  <c r="Z219" i="62928"/>
  <c r="N219" i="62928"/>
  <c r="D219" i="62928" s="1"/>
  <c r="T219" i="62928"/>
  <c r="Q219" i="62928" s="1"/>
  <c r="N222" i="7"/>
  <c r="D222" i="7" s="1"/>
  <c r="O138" i="7"/>
  <c r="L138" i="7" s="1"/>
  <c r="I138" i="7"/>
  <c r="I70" i="7"/>
  <c r="D70" i="7" s="1"/>
  <c r="V70" i="7" s="1"/>
  <c r="Z70" i="7" s="1"/>
  <c r="O70" i="7"/>
  <c r="L70" i="7" s="1"/>
  <c r="N84" i="62928"/>
  <c r="T84" i="62928"/>
  <c r="Q84" i="62928" s="1"/>
  <c r="I129" i="62928"/>
  <c r="O129" i="62928"/>
  <c r="L129" i="62928" s="1"/>
  <c r="I69" i="62928"/>
  <c r="O69" i="62928"/>
  <c r="I131" i="7"/>
  <c r="O131" i="7"/>
  <c r="L131" i="7" s="1"/>
  <c r="I121" i="7"/>
  <c r="O121" i="7"/>
  <c r="L121" i="7" s="1"/>
  <c r="I117" i="62928"/>
  <c r="O117" i="62928"/>
  <c r="L117" i="62928" s="1"/>
  <c r="I123" i="62928"/>
  <c r="O123" i="62928"/>
  <c r="L123" i="62928" s="1"/>
  <c r="T223" i="62928"/>
  <c r="Q223" i="62928" s="1"/>
  <c r="N223" i="62928"/>
  <c r="D223" i="62928" s="1"/>
  <c r="Z223" i="62928"/>
  <c r="I174" i="62928"/>
  <c r="O174" i="62928"/>
  <c r="L174" i="62928" s="1"/>
  <c r="V128" i="7"/>
  <c r="Z128" i="7" s="1"/>
  <c r="D128" i="7"/>
  <c r="V181" i="7"/>
  <c r="Z181" i="7" s="1"/>
  <c r="D181" i="7"/>
  <c r="I181" i="62928"/>
  <c r="O181" i="62928"/>
  <c r="L181" i="62928" s="1"/>
  <c r="I115" i="7"/>
  <c r="O115" i="7"/>
  <c r="L115" i="7" s="1"/>
  <c r="N84" i="7"/>
  <c r="T84" i="7"/>
  <c r="Q84" i="7" s="1"/>
  <c r="J29" i="62928"/>
  <c r="O29" i="62928"/>
  <c r="I116" i="62928"/>
  <c r="O116" i="62928"/>
  <c r="L116" i="62928" s="1"/>
  <c r="I135" i="7"/>
  <c r="O135" i="7"/>
  <c r="L135" i="7" s="1"/>
  <c r="N83" i="7"/>
  <c r="T83" i="7"/>
  <c r="O122" i="62928"/>
  <c r="L122" i="62928" s="1"/>
  <c r="I122" i="62928"/>
  <c r="I129" i="7"/>
  <c r="O129" i="7"/>
  <c r="L129" i="7" s="1"/>
  <c r="Y104" i="7"/>
  <c r="N83" i="62928"/>
  <c r="T83" i="62928"/>
  <c r="Q83" i="62928" s="1"/>
  <c r="I142" i="62928"/>
  <c r="O142" i="62928"/>
  <c r="L142" i="62928" s="1"/>
  <c r="V28" i="11"/>
  <c r="M28" i="11"/>
  <c r="K32" i="11"/>
  <c r="X28" i="11"/>
  <c r="T28" i="11"/>
  <c r="N249" i="7"/>
  <c r="D249" i="7" s="1"/>
  <c r="I120" i="7"/>
  <c r="O120" i="7"/>
  <c r="L120" i="7" s="1"/>
  <c r="O113" i="7"/>
  <c r="L113" i="7" s="1"/>
  <c r="I113" i="7"/>
  <c r="I131" i="62928"/>
  <c r="O131" i="62928"/>
  <c r="L131" i="62928" s="1"/>
  <c r="N248" i="7"/>
  <c r="D248" i="7" s="1"/>
  <c r="N238" i="7"/>
  <c r="D238" i="7" s="1"/>
  <c r="T238" i="7"/>
  <c r="Q238" i="7" s="1"/>
  <c r="N248" i="62928"/>
  <c r="D248" i="62928" s="1"/>
  <c r="T248" i="62928"/>
  <c r="Q248" i="62928" s="1"/>
  <c r="N237" i="62928"/>
  <c r="D237" i="62928" s="1"/>
  <c r="T237" i="62928"/>
  <c r="Q237" i="62928" s="1"/>
  <c r="Z215" i="62928"/>
  <c r="T237" i="7"/>
  <c r="Q237" i="7" s="1"/>
  <c r="N237" i="7"/>
  <c r="D237" i="7" s="1"/>
  <c r="I175" i="62928"/>
  <c r="O175" i="62928"/>
  <c r="L175" i="62928" s="1"/>
  <c r="I72" i="7"/>
  <c r="D72" i="7" s="1"/>
  <c r="V72" i="7" s="1"/>
  <c r="Z72" i="7" s="1"/>
  <c r="O72" i="7"/>
  <c r="L72" i="7" s="1"/>
  <c r="I136" i="62928"/>
  <c r="O136" i="62928"/>
  <c r="L136" i="62928" s="1"/>
  <c r="I143" i="7"/>
  <c r="O143" i="7"/>
  <c r="L143" i="7" s="1"/>
  <c r="I71" i="7"/>
  <c r="D71" i="7" s="1"/>
  <c r="V71" i="7" s="1"/>
  <c r="Z71" i="7" s="1"/>
  <c r="O71" i="7"/>
  <c r="L71" i="7" s="1"/>
  <c r="N86" i="7"/>
  <c r="T86" i="7"/>
  <c r="Q86" i="7" s="1"/>
  <c r="O113" i="62928"/>
  <c r="L113" i="62928" s="1"/>
  <c r="I113" i="62928"/>
  <c r="T223" i="7"/>
  <c r="Q223" i="7" s="1"/>
  <c r="T218" i="7"/>
  <c r="Q218" i="7" s="1"/>
  <c r="Z259" i="7"/>
  <c r="Z230" i="62928"/>
  <c r="W185" i="62928"/>
  <c r="N259" i="7"/>
  <c r="D259" i="7" s="1"/>
  <c r="T254" i="62928"/>
  <c r="Q254" i="62928" s="1"/>
  <c r="N254" i="62928"/>
  <c r="D254" i="62928" s="1"/>
  <c r="N232" i="7"/>
  <c r="D232" i="7" s="1"/>
  <c r="T231" i="7"/>
  <c r="Q231" i="7" s="1"/>
  <c r="N231" i="7"/>
  <c r="D231" i="7" s="1"/>
  <c r="T253" i="62928"/>
  <c r="Q253" i="62928" s="1"/>
  <c r="N253" i="62928"/>
  <c r="D253" i="62928" s="1"/>
  <c r="N247" i="62928"/>
  <c r="D247" i="62928" s="1"/>
  <c r="T247" i="62928"/>
  <c r="Q247" i="62928" s="1"/>
  <c r="N216" i="62928"/>
  <c r="D216" i="62928" s="1"/>
  <c r="T216" i="62928"/>
  <c r="Q216" i="62928" s="1"/>
  <c r="N218" i="7"/>
  <c r="D218" i="7" s="1"/>
  <c r="T230" i="62928"/>
  <c r="Q230" i="62928" s="1"/>
  <c r="N230" i="62928"/>
  <c r="D230" i="62928" s="1"/>
  <c r="N205" i="62928"/>
  <c r="T205" i="62928"/>
  <c r="Q205" i="62928" s="1"/>
  <c r="N204" i="7"/>
  <c r="T204" i="7"/>
  <c r="Z231" i="7"/>
  <c r="Z253" i="62928"/>
  <c r="T231" i="62928"/>
  <c r="Q231" i="62928" s="1"/>
  <c r="N231" i="62928"/>
  <c r="D231" i="62928" s="1"/>
  <c r="T259" i="7"/>
  <c r="Q259" i="7" s="1"/>
  <c r="Y168" i="62928"/>
  <c r="W185" i="7"/>
  <c r="Z224" i="7"/>
  <c r="N216" i="7"/>
  <c r="D216" i="7" s="1"/>
  <c r="T252" i="7"/>
  <c r="Q252" i="7" s="1"/>
  <c r="N85" i="62928"/>
  <c r="T85" i="62928"/>
  <c r="I134" i="62928"/>
  <c r="O134" i="62928"/>
  <c r="L134" i="62928" s="1"/>
  <c r="W168" i="62928"/>
  <c r="D127" i="62928"/>
  <c r="I114" i="7"/>
  <c r="O114" i="7"/>
  <c r="X168" i="7"/>
  <c r="W168" i="7"/>
  <c r="I180" i="62928"/>
  <c r="O180" i="62928"/>
  <c r="L180" i="62928" s="1"/>
  <c r="T224" i="7"/>
  <c r="Q224" i="7" s="1"/>
  <c r="N224" i="7"/>
  <c r="D224" i="7" s="1"/>
  <c r="N243" i="7"/>
  <c r="D243" i="7" s="1"/>
  <c r="T243" i="7"/>
  <c r="Q243" i="7" s="1"/>
  <c r="N217" i="7"/>
  <c r="D217" i="7" s="1"/>
  <c r="T217" i="7"/>
  <c r="Q217" i="7" s="1"/>
  <c r="N230" i="7"/>
  <c r="D230" i="7" s="1"/>
  <c r="N242" i="7"/>
  <c r="D242" i="7" s="1"/>
  <c r="T242" i="7"/>
  <c r="Q242" i="7" s="1"/>
  <c r="N239" i="7"/>
  <c r="D239" i="7" s="1"/>
  <c r="T239" i="7"/>
  <c r="Q239" i="7" s="1"/>
  <c r="N229" i="62928"/>
  <c r="D229" i="62928" s="1"/>
  <c r="T229" i="62928"/>
  <c r="Q229" i="62928" s="1"/>
  <c r="Z229" i="62928"/>
  <c r="T232" i="62928"/>
  <c r="Q232" i="62928" s="1"/>
  <c r="N232" i="62928"/>
  <c r="D232" i="62928" s="1"/>
  <c r="Z232" i="62928"/>
  <c r="Z226" i="62928"/>
  <c r="I128" i="62928"/>
  <c r="O128" i="62928"/>
  <c r="L128" i="62928" s="1"/>
  <c r="V183" i="62928"/>
  <c r="Z183" i="62928" s="1"/>
  <c r="D183" i="62928"/>
  <c r="I141" i="62928"/>
  <c r="O141" i="62928"/>
  <c r="L141" i="62928" s="1"/>
  <c r="I183" i="7"/>
  <c r="O183" i="7"/>
  <c r="L183" i="7" s="1"/>
  <c r="N86" i="62928"/>
  <c r="T86" i="62928"/>
  <c r="Q86" i="62928" s="1"/>
  <c r="Y185" i="62928"/>
  <c r="X185" i="62928"/>
  <c r="AA185" i="62928"/>
  <c r="N257" i="7"/>
  <c r="D257" i="7" s="1"/>
  <c r="N254" i="7"/>
  <c r="D254" i="7" s="1"/>
  <c r="T254" i="7"/>
  <c r="Q254" i="7" s="1"/>
  <c r="T225" i="7"/>
  <c r="Q225" i="7" s="1"/>
  <c r="N225" i="7"/>
  <c r="D225" i="7" s="1"/>
  <c r="Z200" i="7"/>
  <c r="T222" i="62928"/>
  <c r="Q222" i="62928" s="1"/>
  <c r="N222" i="62928"/>
  <c r="D222" i="62928" s="1"/>
  <c r="N252" i="62928"/>
  <c r="D252" i="62928" s="1"/>
  <c r="T252" i="62928"/>
  <c r="Q252" i="62928" s="1"/>
  <c r="T204" i="62928"/>
  <c r="Q204" i="62928" s="1"/>
  <c r="N204" i="62928"/>
  <c r="T216" i="7"/>
  <c r="Q216" i="7" s="1"/>
  <c r="I144" i="7"/>
  <c r="O144" i="7"/>
  <c r="L144" i="7" s="1"/>
  <c r="I182" i="62928"/>
  <c r="O182" i="62928"/>
  <c r="L182" i="62928" s="1"/>
  <c r="I144" i="62928"/>
  <c r="O144" i="62928"/>
  <c r="L144" i="62928" s="1"/>
  <c r="V127" i="62928"/>
  <c r="Z127" i="62928" s="1"/>
  <c r="X168" i="62928"/>
  <c r="AA168" i="62928"/>
  <c r="I136" i="7"/>
  <c r="O136" i="7"/>
  <c r="L136" i="7" s="1"/>
  <c r="Y168" i="7"/>
  <c r="AA168" i="7"/>
  <c r="I135" i="62928"/>
  <c r="O135" i="62928"/>
  <c r="L135" i="62928" s="1"/>
  <c r="X185" i="7"/>
  <c r="I175" i="7"/>
  <c r="O175" i="7"/>
  <c r="I176" i="7"/>
  <c r="O176" i="7"/>
  <c r="L176" i="7" s="1"/>
  <c r="N215" i="7"/>
  <c r="D215" i="7" s="1"/>
  <c r="N224" i="62928"/>
  <c r="D224" i="62928" s="1"/>
  <c r="T224" i="62928"/>
  <c r="Q224" i="62928" s="1"/>
  <c r="Z224" i="62928"/>
  <c r="N217" i="62928"/>
  <c r="D217" i="62928" s="1"/>
  <c r="T217" i="62928"/>
  <c r="Q217" i="62928" s="1"/>
  <c r="Z217" i="62928"/>
  <c r="T218" i="62928"/>
  <c r="Q218" i="62928" s="1"/>
  <c r="N218" i="62928"/>
  <c r="D218" i="62928" s="1"/>
  <c r="Z218" i="62928"/>
  <c r="T226" i="62928"/>
  <c r="Q226" i="62928" s="1"/>
  <c r="N226" i="62928"/>
  <c r="D226" i="62928" s="1"/>
  <c r="T215" i="7"/>
  <c r="I138" i="62928"/>
  <c r="O138" i="62928"/>
  <c r="L138" i="62928" s="1"/>
  <c r="O183" i="62928"/>
  <c r="L183" i="62928" s="1"/>
  <c r="V122" i="7"/>
  <c r="Z122" i="7" s="1"/>
  <c r="O122" i="7"/>
  <c r="L122" i="7" s="1"/>
  <c r="I137" i="62928"/>
  <c r="O137" i="62928"/>
  <c r="L137" i="62928" s="1"/>
  <c r="I176" i="62928"/>
  <c r="O176" i="62928"/>
  <c r="N252" i="7"/>
  <c r="D252" i="7" s="1"/>
  <c r="N229" i="7"/>
  <c r="D229" i="7" s="1"/>
  <c r="T229" i="7"/>
  <c r="Q229" i="7" s="1"/>
  <c r="N258" i="7"/>
  <c r="D258" i="7" s="1"/>
  <c r="T258" i="7"/>
  <c r="Q258" i="7" s="1"/>
  <c r="N226" i="7"/>
  <c r="D226" i="7" s="1"/>
  <c r="T226" i="7"/>
  <c r="Q226" i="7" s="1"/>
  <c r="Z225" i="7"/>
  <c r="Z239" i="62928"/>
  <c r="N239" i="62928"/>
  <c r="D239" i="62928" s="1"/>
  <c r="T239" i="62928"/>
  <c r="Q239" i="62928" s="1"/>
  <c r="Z242" i="62928"/>
  <c r="N242" i="62928"/>
  <c r="D242" i="62928" s="1"/>
  <c r="T242" i="62928"/>
  <c r="Q242" i="62928" s="1"/>
  <c r="Z225" i="62928"/>
  <c r="N225" i="62928"/>
  <c r="D225" i="62928" s="1"/>
  <c r="T225" i="62928"/>
  <c r="Q225" i="62928" s="1"/>
  <c r="N243" i="62928"/>
  <c r="D243" i="62928" s="1"/>
  <c r="T243" i="62928"/>
  <c r="Q243" i="62928" s="1"/>
  <c r="Z243" i="62928"/>
  <c r="T230" i="7"/>
  <c r="Q230" i="7" s="1"/>
  <c r="C169" i="62919"/>
  <c r="D302" i="62928"/>
  <c r="Z302" i="62928"/>
  <c r="V302" i="62928" s="1"/>
  <c r="Y196" i="9"/>
  <c r="Z57" i="7"/>
  <c r="Z60" i="7" s="1"/>
  <c r="V60" i="7"/>
  <c r="V312" i="62928"/>
  <c r="D301" i="7"/>
  <c r="Z301" i="7"/>
  <c r="I304" i="7"/>
  <c r="D301" i="62928"/>
  <c r="Z301" i="62928"/>
  <c r="V301" i="62928" s="1"/>
  <c r="D302" i="7"/>
  <c r="Z302" i="7"/>
  <c r="V302" i="7" s="1"/>
  <c r="D314" i="7"/>
  <c r="Z314" i="7"/>
  <c r="V314" i="7" s="1"/>
  <c r="D300" i="62928"/>
  <c r="Z300" i="62928"/>
  <c r="I304" i="62928"/>
  <c r="D313" i="7"/>
  <c r="Z313" i="7"/>
  <c r="I318" i="7"/>
  <c r="D313" i="62928"/>
  <c r="Z313" i="62928"/>
  <c r="V313" i="62928" s="1"/>
  <c r="D34" i="62926"/>
  <c r="AC38" i="62926"/>
  <c r="W38" i="62926" s="1"/>
  <c r="W33" i="62914"/>
  <c r="K38" i="62929"/>
  <c r="W38" i="62929" s="1"/>
  <c r="AE422" i="5"/>
  <c r="X422" i="5" s="1"/>
  <c r="AF422" i="5" s="1"/>
  <c r="J165" i="62904"/>
  <c r="J29" i="62912" s="1"/>
  <c r="S29" i="62912" s="1"/>
  <c r="AC20" i="62925"/>
  <c r="W20" i="62925" s="1"/>
  <c r="AC34" i="62926"/>
  <c r="W34" i="62926" s="1"/>
  <c r="AC22" i="62925"/>
  <c r="W22" i="62925" s="1"/>
  <c r="D38" i="62925"/>
  <c r="AC35" i="62926"/>
  <c r="W35" i="62926" s="1"/>
  <c r="AC106" i="62926"/>
  <c r="W106" i="62926" s="1"/>
  <c r="AB473" i="5"/>
  <c r="I250" i="62925"/>
  <c r="AC174" i="62926"/>
  <c r="W174" i="62926" s="1"/>
  <c r="D106" i="62925"/>
  <c r="D13" i="62926"/>
  <c r="AN40" i="62925"/>
  <c r="AM28" i="62925"/>
  <c r="D25" i="62925"/>
  <c r="AC107" i="62926"/>
  <c r="W107" i="62926" s="1"/>
  <c r="AA54" i="62926"/>
  <c r="H213" i="62926" s="1"/>
  <c r="G9" i="62909" s="1"/>
  <c r="H9" i="62909" s="1"/>
  <c r="AB425" i="5"/>
  <c r="D17" i="62926"/>
  <c r="R40" i="62925"/>
  <c r="Z40" i="62926"/>
  <c r="Y40" i="62904"/>
  <c r="AU40" i="62905"/>
  <c r="AM40" i="62904"/>
  <c r="AC23" i="62926"/>
  <c r="W23" i="62926" s="1"/>
  <c r="T290" i="5"/>
  <c r="E611" i="5" s="1"/>
  <c r="F611" i="5" s="1"/>
  <c r="J337" i="62926"/>
  <c r="AE132" i="62926"/>
  <c r="D14" i="62925"/>
  <c r="AC52" i="62926"/>
  <c r="D35" i="62904"/>
  <c r="AM28" i="62926"/>
  <c r="AN28" i="62926"/>
  <c r="AN40" i="62926"/>
  <c r="D22" i="62925"/>
  <c r="U109" i="62925"/>
  <c r="AC25" i="62925"/>
  <c r="W25" i="62925" s="1"/>
  <c r="D38" i="62926"/>
  <c r="D107" i="62926"/>
  <c r="D107" i="62925"/>
  <c r="AC34" i="62925"/>
  <c r="W34" i="62925" s="1"/>
  <c r="Z54" i="62925"/>
  <c r="H214" i="62925" s="1"/>
  <c r="G20" i="62909" s="1"/>
  <c r="H20" i="62909" s="1"/>
  <c r="AC52" i="62925"/>
  <c r="D132" i="62926"/>
  <c r="D26" i="62925"/>
  <c r="M63" i="62925"/>
  <c r="AC16" i="62925"/>
  <c r="W16" i="62925" s="1"/>
  <c r="AC182" i="62925"/>
  <c r="W182" i="62925" s="1"/>
  <c r="M65" i="62926"/>
  <c r="AC63" i="62926"/>
  <c r="W63" i="62926" s="1"/>
  <c r="Z28" i="62925"/>
  <c r="M64" i="62925"/>
  <c r="AC64" i="62925"/>
  <c r="W64" i="62925" s="1"/>
  <c r="AE118" i="62926"/>
  <c r="AE120" i="62926" s="1"/>
  <c r="D118" i="62926"/>
  <c r="AE143" i="62925"/>
  <c r="D143" i="62925"/>
  <c r="W127" i="62926"/>
  <c r="AC132" i="62926"/>
  <c r="W132" i="62926" s="1"/>
  <c r="AE146" i="62926"/>
  <c r="D146" i="62926"/>
  <c r="D139" i="62925"/>
  <c r="AE139" i="62925"/>
  <c r="H152" i="62925"/>
  <c r="D14" i="62904"/>
  <c r="M63" i="62926"/>
  <c r="AE170" i="62926"/>
  <c r="AE174" i="62926" s="1"/>
  <c r="D170" i="62926"/>
  <c r="D174" i="62926" s="1"/>
  <c r="K174" i="62926"/>
  <c r="AE144" i="62925"/>
  <c r="D144" i="62925"/>
  <c r="AC64" i="62926"/>
  <c r="W64" i="62926" s="1"/>
  <c r="M64" i="62926"/>
  <c r="AE130" i="62925"/>
  <c r="AE132" i="62925" s="1"/>
  <c r="D130" i="62925"/>
  <c r="D132" i="62925" s="1"/>
  <c r="H132" i="62925"/>
  <c r="AE141" i="62926"/>
  <c r="D141" i="62926"/>
  <c r="H152" i="62926"/>
  <c r="W116" i="62925"/>
  <c r="AC120" i="62925"/>
  <c r="W120" i="62925" s="1"/>
  <c r="AC163" i="62925"/>
  <c r="W163" i="62925" s="1"/>
  <c r="W161" i="62925"/>
  <c r="AE171" i="62925"/>
  <c r="AE174" i="62925" s="1"/>
  <c r="D171" i="62925"/>
  <c r="D174" i="62925" s="1"/>
  <c r="K174" i="62925"/>
  <c r="AC65" i="62925"/>
  <c r="W65" i="62925" s="1"/>
  <c r="M65" i="62925"/>
  <c r="W118" i="62926"/>
  <c r="AC120" i="62926"/>
  <c r="W120" i="62926" s="1"/>
  <c r="AE147" i="62926"/>
  <c r="D147" i="62926"/>
  <c r="AC152" i="62925"/>
  <c r="W152" i="62925" s="1"/>
  <c r="W139" i="62925"/>
  <c r="AM40" i="62926"/>
  <c r="W130" i="62925"/>
  <c r="AC132" i="62925"/>
  <c r="W132" i="62925" s="1"/>
  <c r="W141" i="62926"/>
  <c r="AC152" i="62926"/>
  <c r="W152" i="62926" s="1"/>
  <c r="D116" i="62925"/>
  <c r="D120" i="62925" s="1"/>
  <c r="H120" i="62925"/>
  <c r="AE116" i="62925"/>
  <c r="AE120" i="62925" s="1"/>
  <c r="W171" i="62925"/>
  <c r="AC174" i="62925"/>
  <c r="W174" i="62925" s="1"/>
  <c r="F72" i="62912"/>
  <c r="R32" i="62912"/>
  <c r="G72" i="62912"/>
  <c r="AC50" i="62904"/>
  <c r="V50" i="62904" s="1"/>
  <c r="N50" i="62904"/>
  <c r="AE181" i="62926"/>
  <c r="D181" i="62926"/>
  <c r="W74" i="62926"/>
  <c r="AC77" i="62926"/>
  <c r="AE180" i="62925"/>
  <c r="AM180" i="62925"/>
  <c r="AM184" i="62925" s="1"/>
  <c r="G38" i="62929"/>
  <c r="S38" i="62929" s="1"/>
  <c r="S33" i="62914"/>
  <c r="G58" i="62914"/>
  <c r="F58" i="62914"/>
  <c r="L35" i="62929"/>
  <c r="X35" i="62929" s="1"/>
  <c r="X30" i="62914"/>
  <c r="AN92" i="62926"/>
  <c r="AF92" i="62926"/>
  <c r="D92" i="62926"/>
  <c r="AE74" i="62925"/>
  <c r="AE77" i="62925" s="1"/>
  <c r="D74" i="62925"/>
  <c r="D77" i="62925" s="1"/>
  <c r="I77" i="62925"/>
  <c r="M33" i="62914"/>
  <c r="E33" i="62914"/>
  <c r="L201" i="62904"/>
  <c r="D74" i="62926"/>
  <c r="D77" i="62926" s="1"/>
  <c r="AE74" i="62926"/>
  <c r="AE77" i="62926" s="1"/>
  <c r="I77" i="62926"/>
  <c r="Q30" i="62914"/>
  <c r="E35" i="62929"/>
  <c r="Q35" i="62929" s="1"/>
  <c r="AN50" i="62926"/>
  <c r="D50" i="62926"/>
  <c r="W74" i="62925"/>
  <c r="AC77" i="62925"/>
  <c r="AM52" i="62926"/>
  <c r="D52" i="62926"/>
  <c r="AC49" i="62904"/>
  <c r="V49" i="62904" s="1"/>
  <c r="N49" i="62904"/>
  <c r="D23" i="62926"/>
  <c r="AC63" i="62925"/>
  <c r="AM91" i="62925"/>
  <c r="AE91" i="62925"/>
  <c r="D182" i="62925"/>
  <c r="AE182" i="62925"/>
  <c r="AC182" i="62926"/>
  <c r="W182" i="62926" s="1"/>
  <c r="AN52" i="62925"/>
  <c r="D52" i="62925"/>
  <c r="V73" i="62904"/>
  <c r="AC77" i="62904"/>
  <c r="D22" i="62926"/>
  <c r="J184" i="62926"/>
  <c r="AF182" i="62926"/>
  <c r="AF184" i="62926" s="1"/>
  <c r="AN101" i="62926"/>
  <c r="AF101" i="62926"/>
  <c r="E297" i="62926" s="1"/>
  <c r="AN50" i="62925"/>
  <c r="D50" i="62925"/>
  <c r="AF101" i="62925"/>
  <c r="AN101" i="62925"/>
  <c r="T58" i="5"/>
  <c r="E595" i="5" s="1"/>
  <c r="AC181" i="62925"/>
  <c r="W181" i="62925" s="1"/>
  <c r="Z184" i="62925"/>
  <c r="AC93" i="62926"/>
  <c r="AC14" i="62926"/>
  <c r="W14" i="62926" s="1"/>
  <c r="AM180" i="62926"/>
  <c r="AM184" i="62926" s="1"/>
  <c r="D180" i="62926"/>
  <c r="AE180" i="62926"/>
  <c r="I184" i="62926"/>
  <c r="AC19" i="62926"/>
  <c r="W19" i="62926" s="1"/>
  <c r="AA298" i="62898"/>
  <c r="D13" i="62925"/>
  <c r="E17" i="62917"/>
  <c r="D15" i="62917"/>
  <c r="D16" i="62917" s="1"/>
  <c r="AE55" i="5"/>
  <c r="X55" i="5" s="1"/>
  <c r="AF55" i="5" s="1"/>
  <c r="AE182" i="62926"/>
  <c r="D182" i="62926"/>
  <c r="AE73" i="62904"/>
  <c r="AE77" i="62904" s="1"/>
  <c r="D73" i="62904"/>
  <c r="D77" i="62904" s="1"/>
  <c r="D136" i="62904" s="1"/>
  <c r="I77" i="62904"/>
  <c r="G83" i="62904" s="1"/>
  <c r="I83" i="62904" s="1"/>
  <c r="AN93" i="62926"/>
  <c r="AF93" i="62926"/>
  <c r="AC22" i="62926"/>
  <c r="W22" i="62926" s="1"/>
  <c r="AN102" i="62925"/>
  <c r="AF102" i="62925"/>
  <c r="D102" i="62925"/>
  <c r="AE181" i="62925"/>
  <c r="D181" i="62925"/>
  <c r="I184" i="62925"/>
  <c r="AM93" i="62926"/>
  <c r="AE93" i="62926"/>
  <c r="D93" i="62926"/>
  <c r="AC180" i="62926"/>
  <c r="Z184" i="62926"/>
  <c r="D60" i="62904"/>
  <c r="D63" i="62904" s="1"/>
  <c r="AE60" i="62904"/>
  <c r="AE63" i="62904" s="1"/>
  <c r="AN40" i="62904"/>
  <c r="D26" i="62926"/>
  <c r="AC107" i="62925"/>
  <c r="W107" i="62925" s="1"/>
  <c r="AE423" i="5"/>
  <c r="X423" i="5" s="1"/>
  <c r="AF423" i="5" s="1"/>
  <c r="AA242" i="5"/>
  <c r="T106" i="5"/>
  <c r="E601" i="5" s="1"/>
  <c r="F601" i="5" s="1"/>
  <c r="Z28" i="62926"/>
  <c r="AA473" i="5"/>
  <c r="I631" i="5" s="1"/>
  <c r="G122" i="62909" s="1"/>
  <c r="H122" i="62909" s="1"/>
  <c r="AE470" i="5"/>
  <c r="X470" i="5" s="1"/>
  <c r="AF470" i="5" s="1"/>
  <c r="T28" i="62904"/>
  <c r="D17" i="62904"/>
  <c r="AA106" i="5"/>
  <c r="I602" i="5" s="1"/>
  <c r="G93" i="62909" s="1"/>
  <c r="H93" i="62909" s="1"/>
  <c r="AE104" i="5"/>
  <c r="X104" i="5" s="1"/>
  <c r="AF104" i="5" s="1"/>
  <c r="D422" i="5"/>
  <c r="S425" i="5"/>
  <c r="AE103" i="5"/>
  <c r="AB106" i="5"/>
  <c r="I601" i="5" s="1"/>
  <c r="G92" i="62909" s="1"/>
  <c r="H92" i="62909" s="1"/>
  <c r="AA37" i="62904"/>
  <c r="V37" i="62904" s="1"/>
  <c r="D25" i="62926"/>
  <c r="R28" i="62926"/>
  <c r="D470" i="5"/>
  <c r="S473" i="5"/>
  <c r="E631" i="5" s="1"/>
  <c r="D104" i="5"/>
  <c r="S106" i="5"/>
  <c r="E602" i="5" s="1"/>
  <c r="Z28" i="62904"/>
  <c r="D37" i="62926"/>
  <c r="R40" i="62926"/>
  <c r="S40" i="62904"/>
  <c r="D37" i="62904"/>
  <c r="AA425" i="5"/>
  <c r="T425" i="5"/>
  <c r="D423" i="5"/>
  <c r="AB290" i="5"/>
  <c r="AE288" i="5"/>
  <c r="D20" i="62925"/>
  <c r="R28" i="62925"/>
  <c r="D102" i="62926"/>
  <c r="AF102" i="62926"/>
  <c r="L109" i="62926"/>
  <c r="AN102" i="62926"/>
  <c r="AA109" i="62926"/>
  <c r="U109" i="62926"/>
  <c r="AE240" i="5"/>
  <c r="X240" i="5" s="1"/>
  <c r="AF240" i="5" s="1"/>
  <c r="AC65" i="62926"/>
  <c r="AC180" i="62925"/>
  <c r="AA184" i="62925"/>
  <c r="AN48" i="62926"/>
  <c r="M54" i="62926"/>
  <c r="D213" i="62926" s="1"/>
  <c r="E213" i="62926" s="1"/>
  <c r="AM48" i="62925"/>
  <c r="AM54" i="62925" s="1"/>
  <c r="L54" i="62925"/>
  <c r="D214" i="62925" s="1"/>
  <c r="C20" i="62909" s="1"/>
  <c r="E20" i="62909" s="1"/>
  <c r="J184" i="62925"/>
  <c r="AF180" i="62925"/>
  <c r="AF184" i="62925" s="1"/>
  <c r="D180" i="62925"/>
  <c r="AN180" i="62925"/>
  <c r="AN184" i="62925" s="1"/>
  <c r="M395" i="9"/>
  <c r="AV40" i="62905"/>
  <c r="AC37" i="62905"/>
  <c r="V37" i="62905" s="1"/>
  <c r="AC22" i="62905"/>
  <c r="V22" i="62905" s="1"/>
  <c r="E250" i="9"/>
  <c r="M250" i="9" s="1"/>
  <c r="AN28" i="62904"/>
  <c r="C105" i="62910"/>
  <c r="M401" i="9"/>
  <c r="AC106" i="62925"/>
  <c r="W106" i="62925" s="1"/>
  <c r="D17" i="62905"/>
  <c r="C177" i="62909"/>
  <c r="E177" i="62909" s="1"/>
  <c r="J269" i="9"/>
  <c r="F269" i="9"/>
  <c r="Z109" i="62926"/>
  <c r="AC101" i="62926"/>
  <c r="D34" i="62904"/>
  <c r="T40" i="62904"/>
  <c r="AA28" i="62925"/>
  <c r="AC17" i="62925"/>
  <c r="AA28" i="62926"/>
  <c r="AC20" i="62926"/>
  <c r="AB242" i="5"/>
  <c r="AE239" i="5"/>
  <c r="X239" i="5" s="1"/>
  <c r="AF239" i="5" s="1"/>
  <c r="S40" i="62926"/>
  <c r="D35" i="62926"/>
  <c r="AM28" i="62904"/>
  <c r="AA109" i="62925"/>
  <c r="AC105" i="62925"/>
  <c r="W105" i="62925" s="1"/>
  <c r="AA58" i="5"/>
  <c r="AE56" i="5"/>
  <c r="X56" i="5" s="1"/>
  <c r="AF56" i="5" s="1"/>
  <c r="D48" i="62926"/>
  <c r="AM48" i="62926"/>
  <c r="L54" i="62926"/>
  <c r="K228" i="62925"/>
  <c r="AB109" i="62925"/>
  <c r="C105" i="62892"/>
  <c r="V61" i="62904"/>
  <c r="AC63" i="62904"/>
  <c r="V63" i="62904" s="1"/>
  <c r="AC101" i="62925"/>
  <c r="Z109" i="62925"/>
  <c r="D295" i="62898"/>
  <c r="T298" i="62898"/>
  <c r="D35" i="62925"/>
  <c r="S40" i="62925"/>
  <c r="AA16" i="62904"/>
  <c r="Y28" i="62904"/>
  <c r="G165" i="62904"/>
  <c r="G199" i="62904"/>
  <c r="AA54" i="62925"/>
  <c r="H213" i="62925" s="1"/>
  <c r="G19" i="62909" s="1"/>
  <c r="H19" i="62909" s="1"/>
  <c r="AC48" i="62925"/>
  <c r="C178" i="62909"/>
  <c r="E178" i="62909" s="1"/>
  <c r="J270" i="9"/>
  <c r="F270" i="9"/>
  <c r="AC91" i="62925"/>
  <c r="D101" i="62926"/>
  <c r="AM101" i="62926"/>
  <c r="AM109" i="62926" s="1"/>
  <c r="AE101" i="62926"/>
  <c r="AE109" i="62926" s="1"/>
  <c r="K109" i="62926"/>
  <c r="AA34" i="62904"/>
  <c r="Z40" i="62904"/>
  <c r="D17" i="62925"/>
  <c r="S28" i="62925"/>
  <c r="D20" i="62926"/>
  <c r="S28" i="62926"/>
  <c r="T242" i="5"/>
  <c r="D239" i="5"/>
  <c r="D105" i="62925"/>
  <c r="L109" i="62925"/>
  <c r="D56" i="5"/>
  <c r="S58" i="5"/>
  <c r="Z54" i="62926"/>
  <c r="AC48" i="62926"/>
  <c r="AE101" i="62925"/>
  <c r="AE109" i="62925" s="1"/>
  <c r="AM101" i="62925"/>
  <c r="AM109" i="62925" s="1"/>
  <c r="D101" i="62925"/>
  <c r="K109" i="62925"/>
  <c r="N51" i="62904"/>
  <c r="AC51" i="62904"/>
  <c r="AB298" i="62898"/>
  <c r="AD295" i="62898"/>
  <c r="AA40" i="62925"/>
  <c r="AC35" i="62925"/>
  <c r="D16" i="62904"/>
  <c r="S28" i="62904"/>
  <c r="AA40" i="62926"/>
  <c r="AN48" i="62925"/>
  <c r="D48" i="62925"/>
  <c r="M54" i="62925"/>
  <c r="AC105" i="62926"/>
  <c r="W105" i="62926" s="1"/>
  <c r="K228" i="62926"/>
  <c r="AB109" i="62926"/>
  <c r="D38" i="62905"/>
  <c r="Z25" i="62915"/>
  <c r="D251" i="62898"/>
  <c r="S254" i="62898"/>
  <c r="AC16" i="62905"/>
  <c r="Y28" i="62905"/>
  <c r="D19" i="62905"/>
  <c r="F262" i="9"/>
  <c r="J262" i="9"/>
  <c r="C170" i="62909"/>
  <c r="AD252" i="62898"/>
  <c r="X252" i="62898" s="1"/>
  <c r="AE252" i="62898" s="1"/>
  <c r="Z28" i="62905"/>
  <c r="AV28" i="62905"/>
  <c r="AC20" i="62905"/>
  <c r="V20" i="62905" s="1"/>
  <c r="T40" i="62905"/>
  <c r="D34" i="62905"/>
  <c r="AU28" i="62905"/>
  <c r="AD251" i="62898"/>
  <c r="AC17" i="62905"/>
  <c r="V17" i="62905" s="1"/>
  <c r="D16" i="62905"/>
  <c r="S28" i="62905"/>
  <c r="AC19" i="62905"/>
  <c r="V19" i="62905" s="1"/>
  <c r="G68" i="62912"/>
  <c r="F68" i="62912"/>
  <c r="R28" i="62912"/>
  <c r="F263" i="9"/>
  <c r="C171" i="62909"/>
  <c r="E171" i="62909" s="1"/>
  <c r="J263" i="9"/>
  <c r="D37" i="62905"/>
  <c r="S40" i="62905"/>
  <c r="D252" i="62898"/>
  <c r="T28" i="62905"/>
  <c r="D20" i="62905"/>
  <c r="Z40" i="62905"/>
  <c r="AC34" i="62905"/>
  <c r="AC38" i="62905"/>
  <c r="V38" i="62905" s="1"/>
  <c r="Y40" i="62905"/>
  <c r="H170" i="62909"/>
  <c r="J401" i="9"/>
  <c r="E262" i="62926" l="1"/>
  <c r="E231" i="62926"/>
  <c r="E234" i="62926"/>
  <c r="G588" i="62898"/>
  <c r="G607" i="62898"/>
  <c r="G30" i="62929"/>
  <c r="S30" i="62929" s="1"/>
  <c r="G33" i="62915"/>
  <c r="S33" i="62915" s="1"/>
  <c r="S24" i="62914"/>
  <c r="G29" i="62929"/>
  <c r="S29" i="62929" s="1"/>
  <c r="I24" i="62915"/>
  <c r="U24" i="62915" s="1"/>
  <c r="I607" i="62898"/>
  <c r="E24" i="62912"/>
  <c r="N24" i="62912" s="1"/>
  <c r="I511" i="62898"/>
  <c r="I24" i="62912" s="1"/>
  <c r="R24" i="62914"/>
  <c r="F29" i="62929"/>
  <c r="R29" i="62929" s="1"/>
  <c r="J511" i="62898"/>
  <c r="J24" i="62912" s="1"/>
  <c r="S24" i="62912" s="1"/>
  <c r="E24" i="62914"/>
  <c r="L543" i="62898"/>
  <c r="L24" i="62914" s="1"/>
  <c r="K577" i="62898"/>
  <c r="J577" i="62898"/>
  <c r="J24" i="62915" s="1"/>
  <c r="E24" i="62915"/>
  <c r="Q24" i="62915" s="1"/>
  <c r="K29" i="62929"/>
  <c r="W29" i="62929" s="1"/>
  <c r="W24" i="62914"/>
  <c r="M543" i="62898"/>
  <c r="M24" i="62914" s="1"/>
  <c r="F607" i="62898"/>
  <c r="X55" i="62898"/>
  <c r="AE55" i="62898" s="1"/>
  <c r="F588" i="62898"/>
  <c r="F556" i="62898"/>
  <c r="L544" i="62898"/>
  <c r="L25" i="62914" s="1"/>
  <c r="F30" i="62929"/>
  <c r="R30" i="62929" s="1"/>
  <c r="R25" i="62914"/>
  <c r="M30" i="62929"/>
  <c r="Y30" i="62929" s="1"/>
  <c r="Y25" i="62914"/>
  <c r="E33" i="62915"/>
  <c r="Q33" i="62915" s="1"/>
  <c r="J586" i="62898"/>
  <c r="J33" i="62915" s="1"/>
  <c r="E607" i="62898"/>
  <c r="Q25" i="62914"/>
  <c r="E30" i="62929"/>
  <c r="Q30" i="62929" s="1"/>
  <c r="K33" i="62915"/>
  <c r="W33" i="62915" s="1"/>
  <c r="N586" i="62898"/>
  <c r="N33" i="62915" s="1"/>
  <c r="Z33" i="62915" s="1"/>
  <c r="E33" i="62912"/>
  <c r="N33" i="62912" s="1"/>
  <c r="I520" i="62898"/>
  <c r="I33" i="62912" s="1"/>
  <c r="I92" i="11"/>
  <c r="H191" i="3"/>
  <c r="H125" i="3"/>
  <c r="H230" i="3"/>
  <c r="R413" i="5"/>
  <c r="E620" i="5" s="1"/>
  <c r="G19" i="62912"/>
  <c r="P19" i="62912" s="1"/>
  <c r="C95" i="62909"/>
  <c r="E95" i="62909" s="1"/>
  <c r="Q204" i="7"/>
  <c r="L28" i="7"/>
  <c r="L14" i="7"/>
  <c r="L530" i="62898"/>
  <c r="L533" i="62898" s="1"/>
  <c r="I498" i="62898"/>
  <c r="I502" i="62898" s="1"/>
  <c r="I605" i="62898"/>
  <c r="J605" i="62898" s="1"/>
  <c r="I568" i="62898"/>
  <c r="I11" i="62915"/>
  <c r="U11" i="62915" s="1"/>
  <c r="K21" i="62914"/>
  <c r="W21" i="62914" s="1"/>
  <c r="H522" i="62898"/>
  <c r="H19" i="62912"/>
  <c r="Q19" i="62912" s="1"/>
  <c r="K611" i="62898"/>
  <c r="N572" i="62898"/>
  <c r="J508" i="62898"/>
  <c r="K574" i="62898" s="1"/>
  <c r="N574" i="62898" s="1"/>
  <c r="N21" i="62915" s="1"/>
  <c r="Z21" i="62915" s="1"/>
  <c r="H502" i="62898"/>
  <c r="H11" i="62912"/>
  <c r="C144" i="62909"/>
  <c r="E144" i="62909" s="1"/>
  <c r="I611" i="62898"/>
  <c r="I19" i="62915"/>
  <c r="U19" i="62915" s="1"/>
  <c r="I588" i="62898"/>
  <c r="K533" i="62898"/>
  <c r="K11" i="62914"/>
  <c r="G21" i="62912"/>
  <c r="P21" i="62912" s="1"/>
  <c r="G21" i="62915"/>
  <c r="S21" i="62915" s="1"/>
  <c r="G522" i="62898"/>
  <c r="I508" i="62898"/>
  <c r="F522" i="62898"/>
  <c r="E608" i="62898"/>
  <c r="J608" i="62898" s="1"/>
  <c r="J574" i="62898"/>
  <c r="D47" i="2"/>
  <c r="D235" i="2" s="1"/>
  <c r="AU20" i="9"/>
  <c r="BD15" i="9"/>
  <c r="BD20" i="9" s="1"/>
  <c r="E315" i="62926"/>
  <c r="E274" i="62926"/>
  <c r="E249" i="62926"/>
  <c r="I231" i="62926"/>
  <c r="I233" i="62926" s="1"/>
  <c r="E233" i="62926"/>
  <c r="E334" i="62926"/>
  <c r="J334" i="62926" s="1"/>
  <c r="E299" i="62926"/>
  <c r="J297" i="62926"/>
  <c r="J299" i="62926" s="1"/>
  <c r="E264" i="62926"/>
  <c r="L262" i="62926"/>
  <c r="L264" i="62926" s="1"/>
  <c r="E268" i="62926"/>
  <c r="E300" i="62926"/>
  <c r="D268" i="62905"/>
  <c r="D250" i="62905"/>
  <c r="C125" i="62892" s="1"/>
  <c r="H225" i="2"/>
  <c r="E938" i="62921"/>
  <c r="D603" i="62921"/>
  <c r="AC262" i="5"/>
  <c r="E604" i="62921"/>
  <c r="E605" i="62921" s="1"/>
  <c r="E553" i="62922"/>
  <c r="D551" i="62922"/>
  <c r="AC445" i="5"/>
  <c r="G169" i="62909"/>
  <c r="H169" i="62909" s="1"/>
  <c r="J261" i="9"/>
  <c r="D284" i="62898"/>
  <c r="D282" i="62898"/>
  <c r="D281" i="62898"/>
  <c r="D283" i="62898"/>
  <c r="X251" i="62898"/>
  <c r="AE251" i="62898" s="1"/>
  <c r="AE254" i="62898" s="1"/>
  <c r="AD254" i="62898"/>
  <c r="X254" i="62898" s="1"/>
  <c r="I464" i="62898" a="1"/>
  <c r="I464" i="62898" s="1"/>
  <c r="Q27" i="11"/>
  <c r="AB286" i="62898"/>
  <c r="AE270" i="62898"/>
  <c r="X270" i="62898" s="1"/>
  <c r="AF270" i="62898" s="1"/>
  <c r="AE399" i="62898"/>
  <c r="X399" i="62898" s="1"/>
  <c r="AF399" i="62898" s="1"/>
  <c r="AE397" i="62898"/>
  <c r="X397" i="62898" s="1"/>
  <c r="AF397" i="62898" s="1"/>
  <c r="AD401" i="62898"/>
  <c r="AD275" i="62898"/>
  <c r="AE408" i="62898"/>
  <c r="X408" i="62898" s="1"/>
  <c r="AF408" i="62898" s="1"/>
  <c r="AB275" i="62898"/>
  <c r="BA401" i="62898"/>
  <c r="AE398" i="62898"/>
  <c r="X398" i="62898" s="1"/>
  <c r="AF398" i="62898" s="1"/>
  <c r="AC286" i="62898"/>
  <c r="AE410" i="62898"/>
  <c r="X410" i="62898" s="1"/>
  <c r="AF410" i="62898" s="1"/>
  <c r="AE273" i="62898"/>
  <c r="X273" i="62898" s="1"/>
  <c r="AF273" i="62898" s="1"/>
  <c r="AD412" i="62898"/>
  <c r="AE409" i="62898"/>
  <c r="X409" i="62898" s="1"/>
  <c r="AF409" i="62898" s="1"/>
  <c r="BA275" i="62898"/>
  <c r="AE272" i="62898"/>
  <c r="X272" i="62898" s="1"/>
  <c r="AF272" i="62898" s="1"/>
  <c r="AE282" i="62898"/>
  <c r="X282" i="62898" s="1"/>
  <c r="AF282" i="62898" s="1"/>
  <c r="AE283" i="62898"/>
  <c r="AE271" i="62898"/>
  <c r="X271" i="62898" s="1"/>
  <c r="AF271" i="62898" s="1"/>
  <c r="AE396" i="62898"/>
  <c r="X396" i="62898" s="1"/>
  <c r="AF396" i="62898" s="1"/>
  <c r="BA412" i="62898"/>
  <c r="AE407" i="62898"/>
  <c r="BA286" i="62898"/>
  <c r="Q286" i="62898"/>
  <c r="AD281" i="62898"/>
  <c r="AD286" i="62898" s="1"/>
  <c r="AA281" i="62898"/>
  <c r="AA286" i="62898" s="1"/>
  <c r="AE284" i="62898"/>
  <c r="O275" i="62898"/>
  <c r="M215" i="11"/>
  <c r="K122" i="11"/>
  <c r="AD107" i="62898"/>
  <c r="X107" i="62898" s="1"/>
  <c r="AC432" i="62898"/>
  <c r="AD105" i="62898"/>
  <c r="AU99" i="62898"/>
  <c r="AU432" i="62898"/>
  <c r="AC243" i="62898"/>
  <c r="AD240" i="62898"/>
  <c r="X240" i="62898" s="1"/>
  <c r="AD239" i="62898"/>
  <c r="X239" i="62898" s="1"/>
  <c r="AD241" i="62898"/>
  <c r="X241" i="62898" s="1"/>
  <c r="D428" i="62898"/>
  <c r="AU243" i="62898"/>
  <c r="E241" i="2"/>
  <c r="C164" i="62909"/>
  <c r="E164" i="62909" s="1"/>
  <c r="D249" i="62905"/>
  <c r="D267" i="62905"/>
  <c r="H268" i="62905"/>
  <c r="G209" i="62909" s="1"/>
  <c r="H209" i="62909" s="1"/>
  <c r="C321" i="62923"/>
  <c r="D245" i="62905"/>
  <c r="I245" i="62905" s="1"/>
  <c r="E262" i="62905"/>
  <c r="D247" i="62905"/>
  <c r="I247" i="62905" s="1"/>
  <c r="V179" i="62905"/>
  <c r="H249" i="62905"/>
  <c r="G124" i="62910" s="1"/>
  <c r="H124" i="62910" s="1"/>
  <c r="V188" i="62905"/>
  <c r="H250" i="62905"/>
  <c r="D322" i="62923"/>
  <c r="D323" i="62923" s="1"/>
  <c r="D324" i="62923" s="1"/>
  <c r="D226" i="2"/>
  <c r="C100" i="62892" s="1"/>
  <c r="D127" i="5"/>
  <c r="AA127" i="5"/>
  <c r="AE127" i="5" s="1"/>
  <c r="X127" i="5" s="1"/>
  <c r="H240" i="2"/>
  <c r="Q288" i="62928"/>
  <c r="Q287" i="62928"/>
  <c r="D288" i="62928"/>
  <c r="V288" i="62928"/>
  <c r="Z288" i="62928" s="1"/>
  <c r="D284" i="7"/>
  <c r="V284" i="7"/>
  <c r="Z284" i="7" s="1"/>
  <c r="D283" i="62928"/>
  <c r="V283" i="62928"/>
  <c r="Z283" i="62928" s="1"/>
  <c r="D288" i="7"/>
  <c r="V288" i="7"/>
  <c r="Z288" i="7" s="1"/>
  <c r="D283" i="7"/>
  <c r="V283" i="7"/>
  <c r="Z283" i="7" s="1"/>
  <c r="D284" i="62928"/>
  <c r="V284" i="62928"/>
  <c r="Z284" i="62928" s="1"/>
  <c r="E1218" i="62919"/>
  <c r="E1219" i="62919" s="1"/>
  <c r="E1220" i="62919" s="1"/>
  <c r="E1221" i="62919" s="1"/>
  <c r="R137" i="62905"/>
  <c r="R139" i="62905" s="1"/>
  <c r="Q139" i="62905" s="1"/>
  <c r="D137" i="62905"/>
  <c r="D139" i="62905" s="1"/>
  <c r="C1197" i="62919"/>
  <c r="D156" i="7"/>
  <c r="V156" i="7"/>
  <c r="Z156" i="7" s="1"/>
  <c r="D158" i="62928"/>
  <c r="V158" i="62928"/>
  <c r="Z158" i="62928" s="1"/>
  <c r="D159" i="7"/>
  <c r="V159" i="7"/>
  <c r="Z159" i="7" s="1"/>
  <c r="D155" i="7"/>
  <c r="V155" i="7"/>
  <c r="Z155" i="7" s="1"/>
  <c r="D157" i="62928"/>
  <c r="V157" i="62928"/>
  <c r="Z157" i="62928" s="1"/>
  <c r="D156" i="62928"/>
  <c r="V156" i="62928"/>
  <c r="Z156" i="62928" s="1"/>
  <c r="D159" i="62928"/>
  <c r="V159" i="62928"/>
  <c r="Z159" i="62928" s="1"/>
  <c r="D157" i="7"/>
  <c r="V157" i="7"/>
  <c r="Z157" i="7" s="1"/>
  <c r="D158" i="7"/>
  <c r="V158" i="7"/>
  <c r="Z158" i="7" s="1"/>
  <c r="V150" i="62928"/>
  <c r="Z150" i="62928" s="1"/>
  <c r="V152" i="62928"/>
  <c r="Z152" i="62928" s="1"/>
  <c r="D47" i="7"/>
  <c r="D327" i="7" s="1"/>
  <c r="C39" i="62910" s="1"/>
  <c r="E39" i="62910" s="1"/>
  <c r="E18" i="62922"/>
  <c r="D17" i="62922"/>
  <c r="AE491" i="5"/>
  <c r="X491" i="5" s="1"/>
  <c r="AE489" i="5"/>
  <c r="X489" i="5" s="1"/>
  <c r="AE307" i="5"/>
  <c r="X307" i="5" s="1"/>
  <c r="AE123" i="5"/>
  <c r="X123" i="5" s="1"/>
  <c r="AE306" i="5"/>
  <c r="AE124" i="5"/>
  <c r="X124" i="5" s="1"/>
  <c r="K316" i="5"/>
  <c r="AE308" i="5"/>
  <c r="X308" i="5" s="1"/>
  <c r="D128" i="5"/>
  <c r="AB132" i="5"/>
  <c r="AU316" i="5"/>
  <c r="AC132" i="5"/>
  <c r="L499" i="5"/>
  <c r="D497" i="5"/>
  <c r="AE312" i="5"/>
  <c r="X312" i="5" s="1"/>
  <c r="AE496" i="5"/>
  <c r="X496" i="5" s="1"/>
  <c r="L316" i="5"/>
  <c r="D130" i="5"/>
  <c r="AT132" i="5"/>
  <c r="AU499" i="5"/>
  <c r="M499" i="5"/>
  <c r="E632" i="5" s="1"/>
  <c r="AE129" i="5"/>
  <c r="X129" i="5" s="1"/>
  <c r="AT499" i="5"/>
  <c r="AE495" i="5"/>
  <c r="X495" i="5" s="1"/>
  <c r="AE128" i="5"/>
  <c r="X128" i="5" s="1"/>
  <c r="AV316" i="5"/>
  <c r="K499" i="5"/>
  <c r="AE313" i="5"/>
  <c r="X313" i="5" s="1"/>
  <c r="AE130" i="5"/>
  <c r="X130" i="5" s="1"/>
  <c r="D313" i="5"/>
  <c r="D311" i="5"/>
  <c r="AV499" i="5"/>
  <c r="AE494" i="5"/>
  <c r="X494" i="5" s="1"/>
  <c r="D494" i="5"/>
  <c r="AV132" i="5"/>
  <c r="K132" i="5"/>
  <c r="AE311" i="5"/>
  <c r="X311" i="5" s="1"/>
  <c r="AE314" i="5"/>
  <c r="X314" i="5" s="1"/>
  <c r="M316" i="5"/>
  <c r="E612" i="5" s="1"/>
  <c r="F612" i="5" s="1"/>
  <c r="D129" i="5"/>
  <c r="D314" i="5"/>
  <c r="D495" i="5"/>
  <c r="D496" i="5"/>
  <c r="D312" i="5"/>
  <c r="AE490" i="5"/>
  <c r="X490" i="5" s="1"/>
  <c r="AE497" i="5"/>
  <c r="X497" i="5" s="1"/>
  <c r="AE122" i="5"/>
  <c r="X122" i="5" s="1"/>
  <c r="D482" i="62922"/>
  <c r="D483" i="62922" s="1"/>
  <c r="C479" i="62922"/>
  <c r="E484" i="62922"/>
  <c r="E485" i="62922" s="1"/>
  <c r="D260" i="5"/>
  <c r="D262" i="5" s="1"/>
  <c r="BA445" i="5"/>
  <c r="AD78" i="5"/>
  <c r="AX260" i="5"/>
  <c r="AX262" i="5" s="1"/>
  <c r="AA260" i="5"/>
  <c r="AE260" i="5" s="1"/>
  <c r="X260" i="5" s="1"/>
  <c r="AF260" i="5" s="1"/>
  <c r="AA74" i="5"/>
  <c r="AE74" i="5" s="1"/>
  <c r="AX74" i="5"/>
  <c r="AX78" i="5" s="1"/>
  <c r="AE76" i="5"/>
  <c r="X76" i="5" s="1"/>
  <c r="AF76" i="5" s="1"/>
  <c r="AE75" i="5"/>
  <c r="D288" i="62922"/>
  <c r="O78" i="5"/>
  <c r="AD106" i="62898"/>
  <c r="X106" i="62898" s="1"/>
  <c r="D74" i="5"/>
  <c r="D78" i="5" s="1"/>
  <c r="E289" i="62922"/>
  <c r="E290" i="62922" s="1"/>
  <c r="E291" i="62922" s="1"/>
  <c r="P243" i="62898"/>
  <c r="AA243" i="62898"/>
  <c r="I476" i="62898" s="1"/>
  <c r="G142" i="62909" s="1"/>
  <c r="H142" i="62909" s="1"/>
  <c r="D125" i="62898"/>
  <c r="E17" i="62921"/>
  <c r="E18" i="62921" s="1"/>
  <c r="D16" i="62921"/>
  <c r="AH34" i="62898"/>
  <c r="D243" i="62898"/>
  <c r="D204" i="62921"/>
  <c r="D205" i="62921" s="1"/>
  <c r="E206" i="62921"/>
  <c r="E207" i="62921" s="1"/>
  <c r="E472" i="62898"/>
  <c r="C138" i="62909" s="1"/>
  <c r="E138" i="62909" s="1"/>
  <c r="D120" i="62898"/>
  <c r="I479" i="62898"/>
  <c r="G145" i="62909" s="1"/>
  <c r="H145" i="62909" s="1"/>
  <c r="D329" i="62898"/>
  <c r="D333" i="62898"/>
  <c r="AT70" i="62898"/>
  <c r="AA275" i="62898"/>
  <c r="AD161" i="62898"/>
  <c r="X161" i="62898" s="1"/>
  <c r="AE161" i="62898" s="1"/>
  <c r="AD315" i="62898"/>
  <c r="X315" i="62898" s="1"/>
  <c r="AE315" i="62898" s="1"/>
  <c r="AB243" i="62898"/>
  <c r="AA163" i="62898"/>
  <c r="AD332" i="62898"/>
  <c r="X332" i="62898" s="1"/>
  <c r="AE332" i="62898" s="1"/>
  <c r="AD191" i="62898"/>
  <c r="AD195" i="62898" s="1"/>
  <c r="X195" i="62898" s="1"/>
  <c r="T127" i="62898"/>
  <c r="E468" i="62898" s="1"/>
  <c r="C134" i="62909" s="1"/>
  <c r="E134" i="62909" s="1"/>
  <c r="AB70" i="62898"/>
  <c r="AS318" i="62898"/>
  <c r="AT243" i="62898"/>
  <c r="D332" i="62898"/>
  <c r="AS163" i="62898"/>
  <c r="AD66" i="62898"/>
  <c r="X66" i="62898" s="1"/>
  <c r="AE66" i="62898" s="1"/>
  <c r="AD328" i="62898"/>
  <c r="X328" i="62898" s="1"/>
  <c r="AE328" i="62898" s="1"/>
  <c r="AB99" i="62898"/>
  <c r="D328" i="62898"/>
  <c r="AS243" i="62898"/>
  <c r="AT335" i="62898"/>
  <c r="AA34" i="62898"/>
  <c r="AT34" i="62898"/>
  <c r="AT99" i="62898"/>
  <c r="AB335" i="62898"/>
  <c r="AC60" i="62898"/>
  <c r="AD56" i="62898"/>
  <c r="X56" i="62898" s="1"/>
  <c r="AE56" i="62898" s="1"/>
  <c r="AE60" i="62898" s="1"/>
  <c r="T335" i="62898"/>
  <c r="AD333" i="62898"/>
  <c r="X333" i="62898" s="1"/>
  <c r="AE333" i="62898" s="1"/>
  <c r="AB185" i="62898"/>
  <c r="AC120" i="62898"/>
  <c r="AA70" i="62898"/>
  <c r="AU90" i="62898"/>
  <c r="D251" i="62921"/>
  <c r="AD329" i="62898"/>
  <c r="X329" i="62898" s="1"/>
  <c r="AE329" i="62898" s="1"/>
  <c r="AA99" i="62898"/>
  <c r="AC19" i="62898"/>
  <c r="X19" i="62898" s="1"/>
  <c r="C249" i="62921"/>
  <c r="E252" i="62921"/>
  <c r="E253" i="62921" s="1"/>
  <c r="AU60" i="62898"/>
  <c r="AS127" i="62898"/>
  <c r="AC275" i="62898"/>
  <c r="AC99" i="62898"/>
  <c r="D105" i="62898"/>
  <c r="D109" i="62898" s="1"/>
  <c r="D121" i="62898"/>
  <c r="Q432" i="62898"/>
  <c r="AS70" i="62898"/>
  <c r="D185" i="62898"/>
  <c r="D60" i="62898"/>
  <c r="AD67" i="62898"/>
  <c r="X67" i="62898" s="1"/>
  <c r="AE67" i="62898" s="1"/>
  <c r="AC109" i="62898"/>
  <c r="AD31" i="62898"/>
  <c r="X31" i="62898" s="1"/>
  <c r="AE31" i="62898" s="1"/>
  <c r="I483" i="62898"/>
  <c r="G149" i="62909" s="1"/>
  <c r="H149" i="62909" s="1"/>
  <c r="AA318" i="62898"/>
  <c r="I484" i="62898" s="1"/>
  <c r="G150" i="62909" s="1"/>
  <c r="H150" i="62909" s="1"/>
  <c r="AS335" i="62898"/>
  <c r="AA215" i="62898"/>
  <c r="I475" i="62898" s="1"/>
  <c r="G141" i="62909" s="1"/>
  <c r="H141" i="62909" s="1"/>
  <c r="AD32" i="62898"/>
  <c r="X32" i="62898" s="1"/>
  <c r="AE32" i="62898" s="1"/>
  <c r="AT127" i="62898"/>
  <c r="AS23" i="62898"/>
  <c r="AC70" i="62898"/>
  <c r="AT23" i="62898"/>
  <c r="D195" i="62898"/>
  <c r="Q109" i="62898"/>
  <c r="D330" i="62898"/>
  <c r="O99" i="62898"/>
  <c r="E466" i="62898" s="1"/>
  <c r="AA60" i="62898"/>
  <c r="AD331" i="62898"/>
  <c r="X331" i="62898" s="1"/>
  <c r="AE331" i="62898" s="1"/>
  <c r="AT318" i="62898"/>
  <c r="D163" i="62898"/>
  <c r="AB34" i="62898"/>
  <c r="AD330" i="62898"/>
  <c r="X330" i="62898" s="1"/>
  <c r="AE330" i="62898" s="1"/>
  <c r="AD96" i="62898"/>
  <c r="X96" i="62898" s="1"/>
  <c r="AE96" i="62898" s="1"/>
  <c r="D34" i="62898"/>
  <c r="D122" i="62898"/>
  <c r="AU109" i="62898"/>
  <c r="D336" i="62921"/>
  <c r="E337" i="62921"/>
  <c r="E338" i="62921" s="1"/>
  <c r="AA204" i="62898"/>
  <c r="AC123" i="62898"/>
  <c r="X123" i="62898" s="1"/>
  <c r="AD123" i="62898" s="1"/>
  <c r="D20" i="62898"/>
  <c r="AA80" i="62898"/>
  <c r="D2238" i="62917"/>
  <c r="E2240" i="62917"/>
  <c r="D149" i="7"/>
  <c r="V149" i="7"/>
  <c r="Z149" i="7" s="1"/>
  <c r="D152" i="7"/>
  <c r="V152" i="7"/>
  <c r="Z152" i="7" s="1"/>
  <c r="D151" i="7"/>
  <c r="V151" i="7"/>
  <c r="Z151" i="7" s="1"/>
  <c r="D150" i="7"/>
  <c r="V150" i="7"/>
  <c r="Z150" i="7" s="1"/>
  <c r="D148" i="7"/>
  <c r="V148" i="7"/>
  <c r="Z148" i="7" s="1"/>
  <c r="E418" i="62921"/>
  <c r="D417" i="62921"/>
  <c r="AC124" i="62898"/>
  <c r="X124" i="62898" s="1"/>
  <c r="AD124" i="62898" s="1"/>
  <c r="AC121" i="62898"/>
  <c r="X121" i="62898" s="1"/>
  <c r="AD121" i="62898" s="1"/>
  <c r="AM95" i="62926"/>
  <c r="AE95" i="62926"/>
  <c r="AC195" i="62898"/>
  <c r="AB390" i="62898"/>
  <c r="AC86" i="62898"/>
  <c r="AC90" i="62898" s="1"/>
  <c r="X90" i="62898" s="1"/>
  <c r="D97" i="62898"/>
  <c r="D99" i="62898" s="1"/>
  <c r="AA361" i="62898"/>
  <c r="AC185" i="62898"/>
  <c r="AD420" i="62898"/>
  <c r="X420" i="62898" s="1"/>
  <c r="AE420" i="62898" s="1"/>
  <c r="AS204" i="62898"/>
  <c r="AD343" i="62898"/>
  <c r="X343" i="62898" s="1"/>
  <c r="AE343" i="62898" s="1"/>
  <c r="D19" i="62898"/>
  <c r="AT185" i="62898"/>
  <c r="AU195" i="62898"/>
  <c r="AC20" i="62898"/>
  <c r="X20" i="62898" s="1"/>
  <c r="AC21" i="62898"/>
  <c r="X21" i="62898" s="1"/>
  <c r="D17" i="62898"/>
  <c r="AB127" i="62898"/>
  <c r="AC17" i="62898"/>
  <c r="X17" i="62898" s="1"/>
  <c r="AC122" i="62898"/>
  <c r="X122" i="62898" s="1"/>
  <c r="AD122" i="62898" s="1"/>
  <c r="D70" i="62898"/>
  <c r="D387" i="62898"/>
  <c r="AD182" i="62898"/>
  <c r="X182" i="62898" s="1"/>
  <c r="AE182" i="62898" s="1"/>
  <c r="AA185" i="62898"/>
  <c r="AD97" i="62898"/>
  <c r="X97" i="62898" s="1"/>
  <c r="AE97" i="62898" s="1"/>
  <c r="D18" i="62898"/>
  <c r="AD183" i="62898"/>
  <c r="X183" i="62898" s="1"/>
  <c r="AE183" i="62898" s="1"/>
  <c r="AU163" i="62898"/>
  <c r="O390" i="62898"/>
  <c r="AD68" i="62898"/>
  <c r="X68" i="62898" s="1"/>
  <c r="AE68" i="62898" s="1"/>
  <c r="AU204" i="62898"/>
  <c r="D21" i="62898"/>
  <c r="AA335" i="62898"/>
  <c r="T23" i="62898"/>
  <c r="AC16" i="62898"/>
  <c r="X16" i="62898" s="1"/>
  <c r="S127" i="62898"/>
  <c r="E469" i="62898" s="1"/>
  <c r="AB23" i="62898"/>
  <c r="D16" i="62898"/>
  <c r="AA23" i="62898"/>
  <c r="S335" i="62898"/>
  <c r="S23" i="62898"/>
  <c r="AC18" i="62898"/>
  <c r="X18" i="62898" s="1"/>
  <c r="AD201" i="62898"/>
  <c r="X201" i="62898" s="1"/>
  <c r="AE201" i="62898" s="1"/>
  <c r="AB204" i="62898"/>
  <c r="AA127" i="62898"/>
  <c r="AT204" i="62898"/>
  <c r="AC163" i="62898"/>
  <c r="AC125" i="62898"/>
  <c r="X125" i="62898" s="1"/>
  <c r="AD125" i="62898" s="1"/>
  <c r="AD377" i="62898"/>
  <c r="X377" i="62898" s="1"/>
  <c r="AE377" i="62898" s="1"/>
  <c r="AE95" i="62925"/>
  <c r="AM95" i="62925"/>
  <c r="AN95" i="62925"/>
  <c r="W86" i="62926"/>
  <c r="AC95" i="62926"/>
  <c r="W95" i="62926" s="1"/>
  <c r="D95" i="62926"/>
  <c r="AN95" i="62926"/>
  <c r="AF95" i="62926"/>
  <c r="AF95" i="62925"/>
  <c r="D95" i="62925"/>
  <c r="W86" i="62925"/>
  <c r="AC95" i="62925"/>
  <c r="C1617" i="62917"/>
  <c r="E931" i="62917"/>
  <c r="E932" i="62917" s="1"/>
  <c r="E933" i="62917" s="1"/>
  <c r="D929" i="62917"/>
  <c r="D930" i="62917" s="1"/>
  <c r="D2156" i="62917"/>
  <c r="C2155" i="62917" s="1"/>
  <c r="E1622" i="62917"/>
  <c r="E1623" i="62917" s="1"/>
  <c r="E1624" i="62917" s="1"/>
  <c r="D1620" i="62917"/>
  <c r="E2157" i="62917"/>
  <c r="C320" i="62923"/>
  <c r="E325" i="62923"/>
  <c r="D224" i="2"/>
  <c r="I224" i="2" s="1"/>
  <c r="D239" i="2"/>
  <c r="E239" i="2" s="1"/>
  <c r="D240" i="2"/>
  <c r="E240" i="2" s="1"/>
  <c r="Q132" i="2"/>
  <c r="D225" i="2"/>
  <c r="I225" i="2" s="1"/>
  <c r="Q121" i="2"/>
  <c r="H224" i="2"/>
  <c r="E30" i="62912"/>
  <c r="N30" i="62912" s="1"/>
  <c r="D422" i="62923"/>
  <c r="E424" i="62923"/>
  <c r="E425" i="62923" s="1"/>
  <c r="E426" i="62923" s="1"/>
  <c r="E427" i="62923" s="1"/>
  <c r="E428" i="62923" s="1"/>
  <c r="AC381" i="62898"/>
  <c r="D19" i="5"/>
  <c r="AD367" i="62898"/>
  <c r="X367" i="62898" s="1"/>
  <c r="AE367" i="62898" s="1"/>
  <c r="E473" i="62898"/>
  <c r="C139" i="62909" s="1"/>
  <c r="E139" i="62909" s="1"/>
  <c r="E481" i="62898"/>
  <c r="F481" i="62898" s="1"/>
  <c r="AB412" i="62898"/>
  <c r="AS185" i="62898"/>
  <c r="AD419" i="62898"/>
  <c r="X419" i="62898" s="1"/>
  <c r="AE419" i="62898" s="1"/>
  <c r="D275" i="62898"/>
  <c r="AD418" i="62898"/>
  <c r="X418" i="62898" s="1"/>
  <c r="AE418" i="62898" s="1"/>
  <c r="AC371" i="62898"/>
  <c r="E489" i="62898"/>
  <c r="C155" i="62909" s="1"/>
  <c r="E155" i="62909" s="1"/>
  <c r="AC204" i="62898"/>
  <c r="I474" i="62898" s="1"/>
  <c r="G140" i="62909" s="1"/>
  <c r="H140" i="62909" s="1"/>
  <c r="AC401" i="62898"/>
  <c r="E92" i="11"/>
  <c r="C76" i="62909"/>
  <c r="E76" i="62909" s="1"/>
  <c r="C383" i="62923"/>
  <c r="E292" i="62923"/>
  <c r="D292" i="62923" s="1"/>
  <c r="D278" i="62923"/>
  <c r="E279" i="62923"/>
  <c r="E36" i="62923"/>
  <c r="E37" i="62923" s="1"/>
  <c r="E38" i="62923" s="1"/>
  <c r="C34" i="62923"/>
  <c r="C33" i="62923"/>
  <c r="D35" i="62923"/>
  <c r="AC412" i="62898"/>
  <c r="Q390" i="62898"/>
  <c r="AX401" i="62898"/>
  <c r="AD387" i="62898"/>
  <c r="X387" i="62898" s="1"/>
  <c r="AE387" i="62898" s="1"/>
  <c r="AB381" i="62898"/>
  <c r="I468" i="62898"/>
  <c r="G134" i="62909" s="1"/>
  <c r="H134" i="62909" s="1"/>
  <c r="AD145" i="62898"/>
  <c r="X145" i="62898" s="1"/>
  <c r="AE145" i="62898" s="1"/>
  <c r="AS432" i="62898"/>
  <c r="J470" i="62898"/>
  <c r="C136" i="62909"/>
  <c r="E136" i="62909" s="1"/>
  <c r="K422" i="62898"/>
  <c r="AD157" i="62898"/>
  <c r="X157" i="62898" s="1"/>
  <c r="AE157" i="62898" s="1"/>
  <c r="AA390" i="62898"/>
  <c r="AD181" i="62898"/>
  <c r="P432" i="62898"/>
  <c r="AD428" i="62898"/>
  <c r="X428" i="62898" s="1"/>
  <c r="AS361" i="62898"/>
  <c r="AS390" i="62898"/>
  <c r="AD378" i="62898"/>
  <c r="X378" i="62898" s="1"/>
  <c r="AE378" i="62898" s="1"/>
  <c r="AZ401" i="62898"/>
  <c r="AT381" i="62898"/>
  <c r="AD369" i="62898"/>
  <c r="X369" i="62898" s="1"/>
  <c r="AE369" i="62898" s="1"/>
  <c r="AU390" i="62898"/>
  <c r="AU371" i="62898"/>
  <c r="AA195" i="62898"/>
  <c r="D361" i="62898"/>
  <c r="AC361" i="62898"/>
  <c r="AS381" i="62898"/>
  <c r="E872" i="62921"/>
  <c r="E873" i="62921" s="1"/>
  <c r="AU361" i="62898"/>
  <c r="AT432" i="62898"/>
  <c r="AT555" i="5"/>
  <c r="D184" i="5"/>
  <c r="D188" i="5" s="1"/>
  <c r="C223" i="62924"/>
  <c r="D150" i="62924"/>
  <c r="AZ275" i="62898"/>
  <c r="AY275" i="62898"/>
  <c r="AD388" i="62898"/>
  <c r="X388" i="62898" s="1"/>
  <c r="AE388" i="62898" s="1"/>
  <c r="AX275" i="62898"/>
  <c r="I472" i="62898"/>
  <c r="G138" i="62909" s="1"/>
  <c r="H138" i="62909" s="1"/>
  <c r="D18" i="62923"/>
  <c r="D19" i="62923" s="1"/>
  <c r="D406" i="62919"/>
  <c r="D407" i="62919" s="1"/>
  <c r="D408" i="62919" s="1"/>
  <c r="C405" i="62919"/>
  <c r="C15" i="62918"/>
  <c r="C14" i="62918"/>
  <c r="D287" i="7"/>
  <c r="V287" i="7"/>
  <c r="Z287" i="7" s="1"/>
  <c r="D289" i="62928"/>
  <c r="V289" i="62928"/>
  <c r="Z289" i="62928" s="1"/>
  <c r="D289" i="7"/>
  <c r="V289" i="7"/>
  <c r="Z289" i="7" s="1"/>
  <c r="D287" i="62928"/>
  <c r="V287" i="62928"/>
  <c r="Z287" i="62928" s="1"/>
  <c r="K156" i="3"/>
  <c r="K124" i="3"/>
  <c r="I190" i="3"/>
  <c r="I230" i="3"/>
  <c r="AU132" i="5"/>
  <c r="D388" i="62898"/>
  <c r="D195" i="62928"/>
  <c r="N291" i="62928"/>
  <c r="Q195" i="62928"/>
  <c r="T291" i="62928"/>
  <c r="C1204" i="62919"/>
  <c r="C1203" i="62919"/>
  <c r="C1201" i="62919"/>
  <c r="C1199" i="62919"/>
  <c r="C1198" i="62919"/>
  <c r="D58" i="5"/>
  <c r="AD202" i="62898"/>
  <c r="X202" i="62898" s="1"/>
  <c r="AE202" i="62898" s="1"/>
  <c r="AU188" i="5"/>
  <c r="L156" i="11"/>
  <c r="E153" i="62924"/>
  <c r="Z19" i="62928"/>
  <c r="X18" i="11"/>
  <c r="D77" i="11"/>
  <c r="C67" i="62909"/>
  <c r="E67" i="62909" s="1"/>
  <c r="I87" i="11"/>
  <c r="O204" i="62898"/>
  <c r="E474" i="62898" s="1"/>
  <c r="C140" i="62909" s="1"/>
  <c r="E140" i="62909" s="1"/>
  <c r="V18" i="11"/>
  <c r="J77" i="11" s="1"/>
  <c r="D18" i="11"/>
  <c r="M18" i="11"/>
  <c r="F77" i="11" s="1"/>
  <c r="C61" i="62892" s="1"/>
  <c r="D61" i="62892" s="1"/>
  <c r="Z19" i="7"/>
  <c r="D19" i="7"/>
  <c r="D325" i="7" s="1"/>
  <c r="V19" i="7"/>
  <c r="T18" i="11"/>
  <c r="H87" i="11" s="1"/>
  <c r="G67" i="62909" s="1"/>
  <c r="H67" i="62909" s="1"/>
  <c r="J19" i="7"/>
  <c r="O19" i="7"/>
  <c r="O19" i="62928"/>
  <c r="L19" i="62928" s="1"/>
  <c r="D1586" i="62917"/>
  <c r="D401" i="62898"/>
  <c r="D533" i="5"/>
  <c r="AE388" i="5"/>
  <c r="X388" i="5" s="1"/>
  <c r="D1398" i="62919"/>
  <c r="E1399" i="62919"/>
  <c r="E1400" i="62919" s="1"/>
  <c r="D1558" i="62919"/>
  <c r="E1559" i="62919"/>
  <c r="D19" i="62928"/>
  <c r="D323" i="62928" s="1"/>
  <c r="C55" i="62909" s="1"/>
  <c r="E55" i="62909" s="1"/>
  <c r="D1277" i="62919"/>
  <c r="E1278" i="62919"/>
  <c r="V19" i="62928"/>
  <c r="J19" i="62928"/>
  <c r="D1742" i="62919"/>
  <c r="E1744" i="62919"/>
  <c r="E1705" i="62919"/>
  <c r="E1706" i="62919" s="1"/>
  <c r="D1704" i="62919"/>
  <c r="C103" i="62919"/>
  <c r="C104" i="62919"/>
  <c r="E349" i="62919"/>
  <c r="E350" i="62919" s="1"/>
  <c r="E351" i="62919" s="1"/>
  <c r="E352" i="62919" s="1"/>
  <c r="E353" i="62919" s="1"/>
  <c r="E354" i="62919" s="1"/>
  <c r="E355" i="62919" s="1"/>
  <c r="E356" i="62919" s="1"/>
  <c r="E357" i="62919" s="1"/>
  <c r="E358" i="62919" s="1"/>
  <c r="E359" i="62919" s="1"/>
  <c r="E360" i="62919" s="1"/>
  <c r="E361" i="62919" s="1"/>
  <c r="E362" i="62919" s="1"/>
  <c r="E363" i="62919" s="1"/>
  <c r="E364" i="62919" s="1"/>
  <c r="E365" i="62919" s="1"/>
  <c r="E366" i="62919" s="1"/>
  <c r="E367" i="62919" s="1"/>
  <c r="E368" i="62919" s="1"/>
  <c r="E369" i="62919" s="1"/>
  <c r="E370" i="62919" s="1"/>
  <c r="E371" i="62919" s="1"/>
  <c r="E372" i="62919" s="1"/>
  <c r="E373" i="62919" s="1"/>
  <c r="E374" i="62919" s="1"/>
  <c r="E375" i="62919" s="1"/>
  <c r="E376" i="62919" s="1"/>
  <c r="E377" i="62919" s="1"/>
  <c r="E378" i="62919" s="1"/>
  <c r="E379" i="62919" s="1"/>
  <c r="E380" i="62919" s="1"/>
  <c r="E381" i="62919" s="1"/>
  <c r="E382" i="62919" s="1"/>
  <c r="E383" i="62919" s="1"/>
  <c r="E384" i="62919" s="1"/>
  <c r="E385" i="62919" s="1"/>
  <c r="E386" i="62919" s="1"/>
  <c r="E387" i="62919" s="1"/>
  <c r="D348" i="62919"/>
  <c r="Q215" i="7"/>
  <c r="E415" i="62919"/>
  <c r="D414" i="62919"/>
  <c r="D105" i="62919"/>
  <c r="C105" i="62919" s="1"/>
  <c r="D57" i="62919"/>
  <c r="D58" i="62919" s="1"/>
  <c r="E59" i="62919"/>
  <c r="E60" i="62919" s="1"/>
  <c r="D1000" i="62919"/>
  <c r="D1231" i="62919"/>
  <c r="D1232" i="62919" s="1"/>
  <c r="Q222" i="7"/>
  <c r="E1001" i="62919"/>
  <c r="E1002" i="62919" s="1"/>
  <c r="D627" i="62919"/>
  <c r="E628" i="62919"/>
  <c r="E629" i="62919" s="1"/>
  <c r="T101" i="62928"/>
  <c r="Q101" i="62928" s="1"/>
  <c r="T99" i="62928"/>
  <c r="Q99" i="62928" s="1"/>
  <c r="D99" i="62928"/>
  <c r="D91" i="62928"/>
  <c r="V91" i="62928"/>
  <c r="Z91" i="62928" s="1"/>
  <c r="D100" i="62928"/>
  <c r="T100" i="62928"/>
  <c r="Q100" i="62928" s="1"/>
  <c r="D98" i="62928"/>
  <c r="T98" i="62928"/>
  <c r="Q98" i="62928" s="1"/>
  <c r="T102" i="62928"/>
  <c r="Q102" i="62928" s="1"/>
  <c r="D102" i="62928"/>
  <c r="D93" i="62928"/>
  <c r="V93" i="62928"/>
  <c r="Z93" i="62928" s="1"/>
  <c r="D95" i="62928"/>
  <c r="V95" i="62928"/>
  <c r="Z95" i="62928" s="1"/>
  <c r="D94" i="62928"/>
  <c r="V94" i="62928"/>
  <c r="Z94" i="62928" s="1"/>
  <c r="D92" i="62928"/>
  <c r="V92" i="62928"/>
  <c r="Z92" i="62928" s="1"/>
  <c r="E2186" i="62917"/>
  <c r="D2184" i="62917"/>
  <c r="AS422" i="62898"/>
  <c r="AA401" i="62898"/>
  <c r="AD430" i="62898"/>
  <c r="X430" i="62898" s="1"/>
  <c r="AC390" i="62898"/>
  <c r="AD342" i="62898"/>
  <c r="X342" i="62898" s="1"/>
  <c r="AE342" i="62898" s="1"/>
  <c r="E599" i="5"/>
  <c r="C90" i="62909" s="1"/>
  <c r="E90" i="62909" s="1"/>
  <c r="AB432" i="62898"/>
  <c r="AH89" i="5"/>
  <c r="AH95" i="5" s="1"/>
  <c r="AA109" i="62898"/>
  <c r="AY401" i="62898"/>
  <c r="D381" i="62898"/>
  <c r="AT390" i="62898"/>
  <c r="AB422" i="62898"/>
  <c r="AT109" i="62898"/>
  <c r="X87" i="5"/>
  <c r="P109" i="62898"/>
  <c r="AA381" i="62898"/>
  <c r="AD429" i="62898"/>
  <c r="X429" i="62898" s="1"/>
  <c r="AA432" i="62898"/>
  <c r="AD379" i="62898"/>
  <c r="X379" i="62898" s="1"/>
  <c r="AE379" i="62898" s="1"/>
  <c r="AT422" i="62898"/>
  <c r="E626" i="5"/>
  <c r="C117" i="62909" s="1"/>
  <c r="E117" i="62909" s="1"/>
  <c r="AE551" i="5"/>
  <c r="X551" i="5" s="1"/>
  <c r="AF551" i="5" s="1"/>
  <c r="D98" i="7"/>
  <c r="T98" i="7"/>
  <c r="Q98" i="7" s="1"/>
  <c r="D101" i="7"/>
  <c r="T101" i="7"/>
  <c r="Q101" i="7" s="1"/>
  <c r="D99" i="7"/>
  <c r="T99" i="7"/>
  <c r="Q99" i="7" s="1"/>
  <c r="D102" i="7"/>
  <c r="T102" i="7"/>
  <c r="Q102" i="7" s="1"/>
  <c r="D100" i="7"/>
  <c r="T100" i="7"/>
  <c r="Q100" i="7" s="1"/>
  <c r="Q93" i="7"/>
  <c r="D91" i="7"/>
  <c r="V91" i="7"/>
  <c r="Z91" i="7" s="1"/>
  <c r="D94" i="7"/>
  <c r="V94" i="7"/>
  <c r="Z94" i="7" s="1"/>
  <c r="D92" i="7"/>
  <c r="V92" i="7"/>
  <c r="Z92" i="7" s="1"/>
  <c r="D93" i="7"/>
  <c r="V93" i="7"/>
  <c r="Z93" i="7" s="1"/>
  <c r="D95" i="7"/>
  <c r="V95" i="7"/>
  <c r="Z95" i="7" s="1"/>
  <c r="C124" i="62919"/>
  <c r="E1859" i="62919"/>
  <c r="D1859" i="62919" s="1"/>
  <c r="Y162" i="9"/>
  <c r="C219" i="62919"/>
  <c r="D1366" i="62919"/>
  <c r="D1367" i="62919" s="1"/>
  <c r="D1368" i="62919" s="1"/>
  <c r="D1369" i="62919" s="1"/>
  <c r="D1370" i="62919" s="1"/>
  <c r="D316" i="62928"/>
  <c r="D332" i="62928" s="1"/>
  <c r="C64" i="62909" s="1"/>
  <c r="E64" i="62909" s="1"/>
  <c r="D106" i="5"/>
  <c r="D120" i="62926"/>
  <c r="E479" i="62898"/>
  <c r="F479" i="62898" s="1"/>
  <c r="AB401" i="62898"/>
  <c r="AD359" i="62898"/>
  <c r="X359" i="62898" s="1"/>
  <c r="AE359" i="62898" s="1"/>
  <c r="D205" i="5"/>
  <c r="D350" i="5"/>
  <c r="D349" i="5"/>
  <c r="AE166" i="5"/>
  <c r="X166" i="5" s="1"/>
  <c r="AF166" i="5" s="1"/>
  <c r="AE184" i="5"/>
  <c r="X184" i="5" s="1"/>
  <c r="AF184" i="5" s="1"/>
  <c r="AS109" i="62898"/>
  <c r="X271" i="5"/>
  <c r="AB109" i="62898"/>
  <c r="AE456" i="5"/>
  <c r="M715" i="5" s="1"/>
  <c r="M717" i="5" s="1"/>
  <c r="AY412" i="62898"/>
  <c r="D422" i="62898"/>
  <c r="F455" i="62898" s="1"/>
  <c r="C864" i="62921"/>
  <c r="D865" i="62921"/>
  <c r="D146" i="5"/>
  <c r="AU168" i="5"/>
  <c r="D510" i="5"/>
  <c r="AE185" i="5"/>
  <c r="X185" i="5" s="1"/>
  <c r="AF185" i="5" s="1"/>
  <c r="AE552" i="5"/>
  <c r="X552" i="5" s="1"/>
  <c r="AF552" i="5" s="1"/>
  <c r="D553" i="5"/>
  <c r="AT535" i="5"/>
  <c r="AT168" i="5"/>
  <c r="D224" i="5"/>
  <c r="AE441" i="5"/>
  <c r="X441" i="5" s="1"/>
  <c r="AF441" i="5" s="1"/>
  <c r="H110" i="62927"/>
  <c r="N110" i="62927" s="1"/>
  <c r="L110" i="3"/>
  <c r="L75" i="3"/>
  <c r="W50" i="62925"/>
  <c r="J358" i="9"/>
  <c r="E1587" i="62917"/>
  <c r="E1588" i="62917" s="1"/>
  <c r="C2423" i="62917"/>
  <c r="D2424" i="62917"/>
  <c r="E2425" i="62917"/>
  <c r="AX412" i="62898"/>
  <c r="AU352" i="5"/>
  <c r="AE531" i="5"/>
  <c r="X531" i="5" s="1"/>
  <c r="AF531" i="5" s="1"/>
  <c r="AE368" i="5"/>
  <c r="X368" i="5" s="1"/>
  <c r="AF368" i="5" s="1"/>
  <c r="F702" i="5"/>
  <c r="N535" i="5"/>
  <c r="D224" i="62924"/>
  <c r="D225" i="62924" s="1"/>
  <c r="C40" i="62924"/>
  <c r="D41" i="62924"/>
  <c r="E43" i="62924"/>
  <c r="E44" i="62924" s="1"/>
  <c r="E45" i="62924" s="1"/>
  <c r="C18" i="62924"/>
  <c r="I268" i="9"/>
  <c r="G176" i="62909" s="1"/>
  <c r="H176" i="62909" s="1"/>
  <c r="K19" i="62915"/>
  <c r="W19" i="62915" s="1"/>
  <c r="K358" i="9"/>
  <c r="K395" i="9"/>
  <c r="O318" i="7"/>
  <c r="K358" i="7" s="1"/>
  <c r="D407" i="5"/>
  <c r="D532" i="5"/>
  <c r="D204" i="5"/>
  <c r="D166" i="5"/>
  <c r="M352" i="5"/>
  <c r="D227" i="5"/>
  <c r="E597" i="5"/>
  <c r="F597" i="5" s="1"/>
  <c r="AE259" i="5"/>
  <c r="X259" i="5" s="1"/>
  <c r="AF259" i="5" s="1"/>
  <c r="C92" i="62909"/>
  <c r="E92" i="62909" s="1"/>
  <c r="D145" i="5"/>
  <c r="AT229" i="5"/>
  <c r="AE553" i="5"/>
  <c r="X553" i="5" s="1"/>
  <c r="AF553" i="5" s="1"/>
  <c r="G702" i="5"/>
  <c r="I23" i="62915"/>
  <c r="U23" i="62915" s="1"/>
  <c r="I734" i="5"/>
  <c r="D445" i="5"/>
  <c r="K22" i="62914"/>
  <c r="K702" i="5"/>
  <c r="G27" i="62929"/>
  <c r="S27" i="62929" s="1"/>
  <c r="S22" i="62914"/>
  <c r="H23" i="62912"/>
  <c r="Q23" i="62912" s="1"/>
  <c r="H668" i="5"/>
  <c r="E23" i="62915"/>
  <c r="Q23" i="62915" s="1"/>
  <c r="J722" i="5"/>
  <c r="J23" i="62915" s="1"/>
  <c r="E22" i="62914"/>
  <c r="L687" i="5"/>
  <c r="L22" i="62914" s="1"/>
  <c r="F27" i="62929"/>
  <c r="R27" i="62929" s="1"/>
  <c r="R22" i="62914"/>
  <c r="E23" i="62912"/>
  <c r="N23" i="62912" s="1"/>
  <c r="I656" i="5"/>
  <c r="I23" i="62912" s="1"/>
  <c r="J753" i="5"/>
  <c r="AD445" i="5"/>
  <c r="I627" i="5" s="1"/>
  <c r="G118" i="62909" s="1"/>
  <c r="H118" i="62909" s="1"/>
  <c r="D531" i="5"/>
  <c r="N111" i="62927"/>
  <c r="G31" i="62910"/>
  <c r="H31" i="62910" s="1"/>
  <c r="K111" i="62927"/>
  <c r="G37" i="62909"/>
  <c r="H37" i="62909" s="1"/>
  <c r="F31" i="62892"/>
  <c r="AT372" i="5"/>
  <c r="D408" i="5"/>
  <c r="D387" i="5"/>
  <c r="AT391" i="5"/>
  <c r="AU372" i="5"/>
  <c r="AT332" i="5"/>
  <c r="AU555" i="5"/>
  <c r="AE370" i="5"/>
  <c r="X370" i="5" s="1"/>
  <c r="AF370" i="5" s="1"/>
  <c r="AE329" i="5"/>
  <c r="X329" i="5" s="1"/>
  <c r="AT352" i="5"/>
  <c r="AY262" i="5"/>
  <c r="D22" i="62924"/>
  <c r="D23" i="62924" s="1"/>
  <c r="D24" i="62924" s="1"/>
  <c r="C24" i="62924" s="1"/>
  <c r="D223" i="5"/>
  <c r="X341" i="62898"/>
  <c r="AE341" i="62898" s="1"/>
  <c r="AA412" i="62898"/>
  <c r="D412" i="62898"/>
  <c r="X407" i="62898"/>
  <c r="AF407" i="62898" s="1"/>
  <c r="D425" i="5"/>
  <c r="D204" i="62898"/>
  <c r="AE350" i="5"/>
  <c r="X350" i="5" s="1"/>
  <c r="AF350" i="5" s="1"/>
  <c r="AA422" i="62898"/>
  <c r="D330" i="5"/>
  <c r="AE408" i="5"/>
  <c r="AT515" i="5"/>
  <c r="D370" i="5"/>
  <c r="C15" i="62923"/>
  <c r="D255" i="62923"/>
  <c r="D256" i="62923" s="1"/>
  <c r="AD413" i="5"/>
  <c r="I623" i="5" s="1"/>
  <c r="G114" i="62909" s="1"/>
  <c r="H114" i="62909" s="1"/>
  <c r="S24" i="62911"/>
  <c r="H26" i="62911"/>
  <c r="AZ412" i="62898"/>
  <c r="D552" i="5"/>
  <c r="E25" i="62924"/>
  <c r="C218" i="62919"/>
  <c r="AA352" i="5"/>
  <c r="D139" i="62924"/>
  <c r="C138" i="62924"/>
  <c r="N18" i="62915"/>
  <c r="Z16" i="62915"/>
  <c r="Z18" i="62915" s="1"/>
  <c r="AY286" i="62898"/>
  <c r="N11" i="62915"/>
  <c r="Z11" i="62915" s="1"/>
  <c r="Z15" i="62915" s="1"/>
  <c r="E58" i="62914"/>
  <c r="E480" i="62898"/>
  <c r="F480" i="62898" s="1"/>
  <c r="X143" i="62898"/>
  <c r="AE143" i="62898" s="1"/>
  <c r="D511" i="5"/>
  <c r="AE532" i="5"/>
  <c r="X532" i="5" s="1"/>
  <c r="AF532" i="5" s="1"/>
  <c r="D290" i="5"/>
  <c r="AA445" i="5"/>
  <c r="I626" i="5" s="1"/>
  <c r="G117" i="62909" s="1"/>
  <c r="H117" i="62909" s="1"/>
  <c r="E484" i="62898"/>
  <c r="J484" i="62898" s="1"/>
  <c r="D260" i="62922"/>
  <c r="C259" i="62922" s="1"/>
  <c r="E261" i="62922"/>
  <c r="AU413" i="5"/>
  <c r="AE442" i="5"/>
  <c r="X442" i="5" s="1"/>
  <c r="AF442" i="5" s="1"/>
  <c r="D409" i="5"/>
  <c r="AT148" i="5"/>
  <c r="M132" i="5"/>
  <c r="E603" i="5" s="1"/>
  <c r="AE223" i="5"/>
  <c r="X223" i="5" s="1"/>
  <c r="AF223" i="5" s="1"/>
  <c r="AE41" i="5"/>
  <c r="I654" i="5"/>
  <c r="F668" i="5"/>
  <c r="AE510" i="5"/>
  <c r="X510" i="5" s="1"/>
  <c r="AE143" i="5"/>
  <c r="X143" i="5" s="1"/>
  <c r="J754" i="5"/>
  <c r="F734" i="5"/>
  <c r="D42" i="5"/>
  <c r="AE227" i="5"/>
  <c r="X227" i="5" s="1"/>
  <c r="AF227" i="5" s="1"/>
  <c r="C118" i="62909"/>
  <c r="E118" i="62909" s="1"/>
  <c r="F627" i="5"/>
  <c r="J668" i="5"/>
  <c r="J720" i="5"/>
  <c r="G668" i="5"/>
  <c r="F591" i="5"/>
  <c r="C82" i="62909"/>
  <c r="E82" i="62909" s="1"/>
  <c r="J710" i="5"/>
  <c r="G714" i="5"/>
  <c r="G11" i="62915"/>
  <c r="S11" i="62915" s="1"/>
  <c r="S15" i="62915" s="1"/>
  <c r="G679" i="5"/>
  <c r="G11" i="62914"/>
  <c r="G14" i="62914" s="1"/>
  <c r="G19" i="62929" s="1"/>
  <c r="G21" i="62914"/>
  <c r="F19" i="62912"/>
  <c r="O19" i="62912" s="1"/>
  <c r="G734" i="5"/>
  <c r="G19" i="62915"/>
  <c r="S19" i="62915" s="1"/>
  <c r="M679" i="5"/>
  <c r="M11" i="62914"/>
  <c r="M14" i="62914" s="1"/>
  <c r="M19" i="62929" s="1"/>
  <c r="K714" i="5"/>
  <c r="K11" i="62915"/>
  <c r="W11" i="62915" s="1"/>
  <c r="W15" i="62915" s="1"/>
  <c r="F648" i="5"/>
  <c r="F11" i="62912"/>
  <c r="O11" i="62912" s="1"/>
  <c r="E11" i="62912"/>
  <c r="N11" i="62912" s="1"/>
  <c r="I644" i="5"/>
  <c r="E648" i="5"/>
  <c r="E714" i="5"/>
  <c r="E11" i="62915"/>
  <c r="Q11" i="62915" s="1"/>
  <c r="Q15" i="62915" s="1"/>
  <c r="M21" i="62914"/>
  <c r="K734" i="5"/>
  <c r="G648" i="5"/>
  <c r="G11" i="62912"/>
  <c r="P11" i="62912" s="1"/>
  <c r="J19" i="62912"/>
  <c r="S19" i="62912" s="1"/>
  <c r="J648" i="5"/>
  <c r="J11" i="62912"/>
  <c r="S11" i="62912" s="1"/>
  <c r="F679" i="5"/>
  <c r="F11" i="62914"/>
  <c r="F14" i="62914" s="1"/>
  <c r="F19" i="62929" s="1"/>
  <c r="F714" i="5"/>
  <c r="F11" i="62915"/>
  <c r="R11" i="62915" s="1"/>
  <c r="R15" i="62915" s="1"/>
  <c r="J751" i="5"/>
  <c r="E679" i="5"/>
  <c r="L676" i="5"/>
  <c r="E11" i="62914"/>
  <c r="E14" i="62914" s="1"/>
  <c r="E19" i="62929" s="1"/>
  <c r="F21" i="62914"/>
  <c r="D277" i="62928"/>
  <c r="V277" i="62928"/>
  <c r="Z277" i="62928" s="1"/>
  <c r="D209" i="62928"/>
  <c r="V209" i="62928"/>
  <c r="Z209" i="62928" s="1"/>
  <c r="D280" i="62928"/>
  <c r="V280" i="62928"/>
  <c r="Z280" i="62928" s="1"/>
  <c r="D210" i="62928"/>
  <c r="V210" i="62928"/>
  <c r="Z210" i="62928" s="1"/>
  <c r="D263" i="62928"/>
  <c r="V263" i="62928"/>
  <c r="Z263" i="62928" s="1"/>
  <c r="D266" i="62928"/>
  <c r="V266" i="62928"/>
  <c r="Z266" i="62928" s="1"/>
  <c r="D279" i="62928"/>
  <c r="V279" i="62928"/>
  <c r="Z279" i="62928" s="1"/>
  <c r="D211" i="62928"/>
  <c r="V211" i="62928"/>
  <c r="Z211" i="62928" s="1"/>
  <c r="D264" i="62928"/>
  <c r="V264" i="62928"/>
  <c r="Z264" i="62928" s="1"/>
  <c r="D212" i="62928"/>
  <c r="V212" i="62928"/>
  <c r="Z212" i="62928" s="1"/>
  <c r="D265" i="62928"/>
  <c r="V265" i="62928"/>
  <c r="Z265" i="62928" s="1"/>
  <c r="D262" i="62928"/>
  <c r="V262" i="62928"/>
  <c r="Z262" i="62928" s="1"/>
  <c r="D276" i="62928"/>
  <c r="V276" i="62928"/>
  <c r="Z276" i="62928" s="1"/>
  <c r="D278" i="62928"/>
  <c r="V278" i="62928"/>
  <c r="Z278" i="62928" s="1"/>
  <c r="D208" i="62928"/>
  <c r="V208" i="62928"/>
  <c r="Z208" i="62928" s="1"/>
  <c r="N291" i="7"/>
  <c r="D263" i="7"/>
  <c r="V263" i="7"/>
  <c r="Z263" i="7" s="1"/>
  <c r="V262" i="7"/>
  <c r="Z262" i="7" s="1"/>
  <c r="D262" i="7"/>
  <c r="D266" i="7"/>
  <c r="V266" i="7"/>
  <c r="Z266" i="7" s="1"/>
  <c r="D278" i="7"/>
  <c r="V278" i="7"/>
  <c r="Z278" i="7" s="1"/>
  <c r="D279" i="7"/>
  <c r="V279" i="7"/>
  <c r="Z279" i="7" s="1"/>
  <c r="V265" i="7"/>
  <c r="Z265" i="7" s="1"/>
  <c r="D265" i="7"/>
  <c r="D264" i="7"/>
  <c r="V264" i="7"/>
  <c r="Z264" i="7" s="1"/>
  <c r="D277" i="7"/>
  <c r="V277" i="7"/>
  <c r="Z277" i="7" s="1"/>
  <c r="H58" i="62914"/>
  <c r="Z30" i="62914"/>
  <c r="Q200" i="7"/>
  <c r="T291" i="7"/>
  <c r="D298" i="62898"/>
  <c r="D327" i="5"/>
  <c r="F630" i="5"/>
  <c r="J630" i="5"/>
  <c r="D317" i="62921"/>
  <c r="D318" i="62921" s="1"/>
  <c r="D319" i="62921" s="1"/>
  <c r="E320" i="62921"/>
  <c r="AX286" i="62898"/>
  <c r="AZ286" i="62898"/>
  <c r="AS213" i="62898"/>
  <c r="AS215" i="62898" s="1"/>
  <c r="E995" i="62921"/>
  <c r="E996" i="62921" s="1"/>
  <c r="E997" i="62921" s="1"/>
  <c r="AA223" i="62898"/>
  <c r="I477" i="62898" s="1"/>
  <c r="G143" i="62909" s="1"/>
  <c r="H143" i="62909" s="1"/>
  <c r="AE95" i="5"/>
  <c r="I95" i="5"/>
  <c r="C991" i="62921"/>
  <c r="C990" i="62921"/>
  <c r="C989" i="62921"/>
  <c r="E483" i="62898"/>
  <c r="C149" i="62909" s="1"/>
  <c r="E149" i="62909" s="1"/>
  <c r="D318" i="62898"/>
  <c r="I599" i="5"/>
  <c r="G90" i="62909" s="1"/>
  <c r="H90" i="62909" s="1"/>
  <c r="X89" i="5"/>
  <c r="AC78" i="5"/>
  <c r="I598" i="5" s="1"/>
  <c r="G89" i="62909" s="1"/>
  <c r="H89" i="62909" s="1"/>
  <c r="AE205" i="5"/>
  <c r="X205" i="5" s="1"/>
  <c r="AT188" i="5"/>
  <c r="AA535" i="5"/>
  <c r="AU535" i="5"/>
  <c r="E138" i="62922"/>
  <c r="E139" i="62922" s="1"/>
  <c r="E140" i="62922" s="1"/>
  <c r="D136" i="62922"/>
  <c r="D137" i="62922" s="1"/>
  <c r="C134" i="62922"/>
  <c r="AE327" i="5"/>
  <c r="X327" i="5" s="1"/>
  <c r="D40" i="5"/>
  <c r="D143" i="5"/>
  <c r="D41" i="5"/>
  <c r="E610" i="5"/>
  <c r="J610" i="5" s="1"/>
  <c r="AE349" i="5"/>
  <c r="X349" i="5" s="1"/>
  <c r="AF349" i="5" s="1"/>
  <c r="AE203" i="5"/>
  <c r="X203" i="5" s="1"/>
  <c r="D512" i="5"/>
  <c r="Q229" i="5"/>
  <c r="E618" i="5" s="1"/>
  <c r="J618" i="5" s="1"/>
  <c r="AE409" i="5"/>
  <c r="X409" i="5" s="1"/>
  <c r="AF409" i="5" s="1"/>
  <c r="Q46" i="5"/>
  <c r="E594" i="5" s="1"/>
  <c r="D203" i="5"/>
  <c r="AU24" i="5"/>
  <c r="Q413" i="5"/>
  <c r="E623" i="5" s="1"/>
  <c r="D202" i="5"/>
  <c r="P413" i="5"/>
  <c r="AB46" i="5"/>
  <c r="AU229" i="5"/>
  <c r="AE42" i="5"/>
  <c r="X42" i="5" s="1"/>
  <c r="AF42" i="5" s="1"/>
  <c r="AT207" i="5"/>
  <c r="AU391" i="5"/>
  <c r="D20" i="5"/>
  <c r="AE44" i="5"/>
  <c r="X44" i="5" s="1"/>
  <c r="AF44" i="5" s="1"/>
  <c r="AE145" i="5"/>
  <c r="X145" i="5" s="1"/>
  <c r="AV413" i="5"/>
  <c r="AE509" i="5"/>
  <c r="X509" i="5" s="1"/>
  <c r="AE407" i="5"/>
  <c r="X407" i="5" s="1"/>
  <c r="AF407" i="5" s="1"/>
  <c r="AT24" i="5"/>
  <c r="AU332" i="5"/>
  <c r="AU46" i="5"/>
  <c r="AE224" i="5"/>
  <c r="X224" i="5" s="1"/>
  <c r="AF224" i="5" s="1"/>
  <c r="D44" i="5"/>
  <c r="I621" i="5"/>
  <c r="G112" i="62909" s="1"/>
  <c r="H112" i="62909" s="1"/>
  <c r="AE328" i="5"/>
  <c r="X328" i="5" s="1"/>
  <c r="D21" i="5"/>
  <c r="AB535" i="5"/>
  <c r="AU207" i="5"/>
  <c r="AT413" i="5"/>
  <c r="AE40" i="5"/>
  <c r="D411" i="5"/>
  <c r="AT46" i="5"/>
  <c r="AE386" i="5"/>
  <c r="X386" i="5" s="1"/>
  <c r="D22" i="5"/>
  <c r="O413" i="5"/>
  <c r="D513" i="5"/>
  <c r="AE21" i="5"/>
  <c r="X21" i="5" s="1"/>
  <c r="D509" i="5"/>
  <c r="AE258" i="5"/>
  <c r="X258" i="5" s="1"/>
  <c r="AF258" i="5" s="1"/>
  <c r="D389" i="5"/>
  <c r="AE411" i="5"/>
  <c r="X411" i="5" s="1"/>
  <c r="AF411" i="5" s="1"/>
  <c r="AV229" i="5"/>
  <c r="AC46" i="5"/>
  <c r="I594" i="5" s="1"/>
  <c r="G85" i="62909" s="1"/>
  <c r="H85" i="62909" s="1"/>
  <c r="AA413" i="5"/>
  <c r="AV46" i="5"/>
  <c r="AD229" i="5"/>
  <c r="I618" i="5" s="1"/>
  <c r="G109" i="62909" s="1"/>
  <c r="H109" i="62909" s="1"/>
  <c r="AE348" i="5"/>
  <c r="AA46" i="5"/>
  <c r="AA229" i="5"/>
  <c r="D329" i="5"/>
  <c r="P46" i="5"/>
  <c r="O46" i="5"/>
  <c r="AE513" i="5"/>
  <c r="X513" i="5" s="1"/>
  <c r="D328" i="5"/>
  <c r="E625" i="5"/>
  <c r="C116" i="62909" s="1"/>
  <c r="E116" i="62909" s="1"/>
  <c r="AZ262" i="5"/>
  <c r="N168" i="5"/>
  <c r="W52" i="62925"/>
  <c r="AA555" i="5"/>
  <c r="D16" i="62918"/>
  <c r="AK113" i="62904"/>
  <c r="K165" i="62904" s="1"/>
  <c r="K171" i="62904" s="1"/>
  <c r="E107" i="62919"/>
  <c r="D220" i="62919"/>
  <c r="E127" i="62919"/>
  <c r="E128" i="62919" s="1"/>
  <c r="D126" i="62919"/>
  <c r="C125" i="62919"/>
  <c r="C1032" i="62919"/>
  <c r="E41" i="62919"/>
  <c r="E42" i="62919" s="1"/>
  <c r="E43" i="62919" s="1"/>
  <c r="E44" i="62919" s="1"/>
  <c r="D47" i="62928"/>
  <c r="D325" i="62928" s="1"/>
  <c r="C51" i="62910" s="1"/>
  <c r="E51" i="62910" s="1"/>
  <c r="C46" i="62909"/>
  <c r="E46" i="62909" s="1"/>
  <c r="E223" i="62919"/>
  <c r="D37" i="62919"/>
  <c r="D38" i="62919" s="1"/>
  <c r="O304" i="62928"/>
  <c r="H331" i="62928" s="1"/>
  <c r="G63" i="62909" s="1"/>
  <c r="H63" i="62909" s="1"/>
  <c r="C40" i="62892"/>
  <c r="C40" i="62910"/>
  <c r="E40" i="62910" s="1"/>
  <c r="AE80" i="62898"/>
  <c r="U100" i="3"/>
  <c r="S27" i="62914"/>
  <c r="F32" i="62929"/>
  <c r="R32" i="62929" s="1"/>
  <c r="R27" i="62914"/>
  <c r="I122" i="11"/>
  <c r="AD80" i="62898"/>
  <c r="X80" i="62898" s="1"/>
  <c r="E93" i="62924"/>
  <c r="E94" i="62924" s="1"/>
  <c r="E95" i="62924" s="1"/>
  <c r="E226" i="62924"/>
  <c r="E227" i="62924" s="1"/>
  <c r="W50" i="62926"/>
  <c r="T515" i="5"/>
  <c r="AE20" i="5"/>
  <c r="X20" i="5" s="1"/>
  <c r="AA188" i="5"/>
  <c r="AU148" i="5"/>
  <c r="AE142" i="5"/>
  <c r="X142" i="5" s="1"/>
  <c r="N188" i="5"/>
  <c r="AE512" i="5"/>
  <c r="X512" i="5" s="1"/>
  <c r="AE389" i="5"/>
  <c r="X389" i="5" s="1"/>
  <c r="AE204" i="5"/>
  <c r="X204" i="5" s="1"/>
  <c r="D142" i="5"/>
  <c r="AE508" i="5"/>
  <c r="X508" i="5" s="1"/>
  <c r="D261" i="62905"/>
  <c r="C202" i="62909" s="1"/>
  <c r="E202" i="62909" s="1"/>
  <c r="J188" i="11"/>
  <c r="G53" i="62915"/>
  <c r="C2284" i="62917"/>
  <c r="F231" i="62904"/>
  <c r="F237" i="62904" s="1"/>
  <c r="F53" i="62915"/>
  <c r="H212" i="62925"/>
  <c r="G18" i="62909" s="1"/>
  <c r="H18" i="62909" s="1"/>
  <c r="D242" i="5"/>
  <c r="D473" i="5"/>
  <c r="F29" i="62912"/>
  <c r="O29" i="62912" s="1"/>
  <c r="AF109" i="62926"/>
  <c r="D88" i="3"/>
  <c r="D114" i="3" s="1"/>
  <c r="V88" i="3"/>
  <c r="K378" i="9"/>
  <c r="I21" i="62915"/>
  <c r="U21" i="62915" s="1"/>
  <c r="M25" i="62929"/>
  <c r="Y25" i="62929" s="1"/>
  <c r="I378" i="9"/>
  <c r="D217" i="9"/>
  <c r="AH213" i="9"/>
  <c r="G25" i="62929"/>
  <c r="S25" i="62929" s="1"/>
  <c r="G346" i="9"/>
  <c r="D232" i="9"/>
  <c r="AD230" i="9"/>
  <c r="F312" i="9"/>
  <c r="F21" i="62912"/>
  <c r="O21" i="62912" s="1"/>
  <c r="F364" i="9"/>
  <c r="AX232" i="9"/>
  <c r="BD226" i="9"/>
  <c r="BD232" i="9" s="1"/>
  <c r="F65" i="62912"/>
  <c r="G65" i="62912"/>
  <c r="C89" i="62924"/>
  <c r="D90" i="62924"/>
  <c r="C20" i="62924"/>
  <c r="C17" i="62924"/>
  <c r="C21" i="62924"/>
  <c r="C19" i="62924"/>
  <c r="AM113" i="62904"/>
  <c r="D113" i="62904"/>
  <c r="D139" i="62904" s="1"/>
  <c r="E139" i="62904" s="1"/>
  <c r="J333" i="62926"/>
  <c r="R10" i="62914"/>
  <c r="F15" i="62929"/>
  <c r="R15" i="62929" s="1"/>
  <c r="O10" i="62912"/>
  <c r="S10" i="62912"/>
  <c r="G15" i="62929"/>
  <c r="S15" i="62929" s="1"/>
  <c r="S10" i="62914"/>
  <c r="M15" i="62929"/>
  <c r="Y15" i="62929" s="1"/>
  <c r="Y10" i="62914"/>
  <c r="J296" i="62926"/>
  <c r="J10" i="62915"/>
  <c r="N10" i="62912"/>
  <c r="I230" i="62926"/>
  <c r="I10" i="62912"/>
  <c r="P10" i="62912"/>
  <c r="Q10" i="62914"/>
  <c r="E15" i="62929"/>
  <c r="Q15" i="62929" s="1"/>
  <c r="L10" i="62914"/>
  <c r="L261" i="62926"/>
  <c r="O47" i="7"/>
  <c r="L47" i="7" s="1"/>
  <c r="D993" i="62921"/>
  <c r="X273" i="5"/>
  <c r="I616" i="5"/>
  <c r="G107" i="62909" s="1"/>
  <c r="H107" i="62909" s="1"/>
  <c r="E628" i="5"/>
  <c r="G462" i="5"/>
  <c r="AH271" i="5"/>
  <c r="D273" i="5"/>
  <c r="E616" i="5" s="1"/>
  <c r="X316" i="62898"/>
  <c r="AE316" i="62898" s="1"/>
  <c r="D456" i="5"/>
  <c r="AH454" i="5"/>
  <c r="AE279" i="5"/>
  <c r="I279" i="5"/>
  <c r="E257" i="62923"/>
  <c r="D384" i="62923"/>
  <c r="E387" i="62923"/>
  <c r="E388" i="62923" s="1"/>
  <c r="E389" i="62923" s="1"/>
  <c r="D75" i="62918"/>
  <c r="C75" i="62918" s="1"/>
  <c r="V88" i="62927"/>
  <c r="V100" i="3"/>
  <c r="D100" i="3"/>
  <c r="D113" i="3" s="1"/>
  <c r="J170" i="3"/>
  <c r="H170" i="3"/>
  <c r="I170" i="3"/>
  <c r="H156" i="3"/>
  <c r="I156" i="3"/>
  <c r="J156" i="3"/>
  <c r="U59" i="3"/>
  <c r="I171" i="3"/>
  <c r="H171" i="3"/>
  <c r="J171" i="3"/>
  <c r="I157" i="3"/>
  <c r="J157" i="3"/>
  <c r="H157" i="3"/>
  <c r="V59" i="3"/>
  <c r="L55" i="3"/>
  <c r="O59" i="3"/>
  <c r="D88" i="62927"/>
  <c r="D114" i="62927" s="1"/>
  <c r="D30" i="62892"/>
  <c r="G30" i="62892"/>
  <c r="M110" i="62927"/>
  <c r="L110" i="62927"/>
  <c r="V59" i="62927"/>
  <c r="D100" i="62927"/>
  <c r="D113" i="62927" s="1"/>
  <c r="C33" i="62892" s="1"/>
  <c r="V100" i="62927"/>
  <c r="E76" i="62918"/>
  <c r="O88" i="3"/>
  <c r="E17" i="62918"/>
  <c r="D59" i="3"/>
  <c r="D112" i="3" s="1"/>
  <c r="L83" i="62927"/>
  <c r="O88" i="62927"/>
  <c r="E36" i="62909"/>
  <c r="E30" i="62910"/>
  <c r="O100" i="3"/>
  <c r="L96" i="3"/>
  <c r="J170" i="62927"/>
  <c r="H170" i="62927"/>
  <c r="I170" i="62927"/>
  <c r="H156" i="62927"/>
  <c r="I156" i="62927"/>
  <c r="J156" i="62927"/>
  <c r="U59" i="62927"/>
  <c r="H171" i="62927"/>
  <c r="I171" i="62927"/>
  <c r="J171" i="62927"/>
  <c r="H157" i="62927"/>
  <c r="I157" i="62927"/>
  <c r="J157" i="62927"/>
  <c r="L55" i="62927"/>
  <c r="O59" i="62927"/>
  <c r="D59" i="62927"/>
  <c r="D112" i="62927" s="1"/>
  <c r="AC113" i="62904"/>
  <c r="V109" i="62904"/>
  <c r="O100" i="62927"/>
  <c r="L96" i="62927"/>
  <c r="U100" i="62927"/>
  <c r="G36" i="62909"/>
  <c r="F30" i="62892"/>
  <c r="G22" i="62910"/>
  <c r="G28" i="62909"/>
  <c r="F22" i="62892"/>
  <c r="K110" i="3"/>
  <c r="N110" i="3"/>
  <c r="W52" i="62926"/>
  <c r="E503" i="62898"/>
  <c r="AG221" i="62898"/>
  <c r="E534" i="62898"/>
  <c r="E569" i="62898"/>
  <c r="E606" i="62898"/>
  <c r="J606" i="62898" s="1"/>
  <c r="J477" i="62898"/>
  <c r="C143" i="62909"/>
  <c r="E143" i="62909" s="1"/>
  <c r="F477" i="62898"/>
  <c r="D109" i="2"/>
  <c r="D71" i="11"/>
  <c r="R71" i="11"/>
  <c r="Q71" i="11" s="1"/>
  <c r="D260" i="62905"/>
  <c r="M23" i="62914"/>
  <c r="M28" i="62929" s="1"/>
  <c r="Y28" i="62929" s="1"/>
  <c r="X173" i="2"/>
  <c r="L22" i="62915"/>
  <c r="X22" i="62915" s="1"/>
  <c r="X35" i="62915" s="1"/>
  <c r="AC80" i="62905"/>
  <c r="H260" i="62905" s="1"/>
  <c r="G201" i="62909" s="1"/>
  <c r="H201" i="62909" s="1"/>
  <c r="V74" i="62905"/>
  <c r="J22" i="62912"/>
  <c r="S22" i="62912" s="1"/>
  <c r="X79" i="2"/>
  <c r="H222" i="2" s="1"/>
  <c r="X94" i="2"/>
  <c r="H223" i="2" s="1"/>
  <c r="AC97" i="62905"/>
  <c r="V86" i="62905"/>
  <c r="D237" i="2"/>
  <c r="E237" i="2" s="1"/>
  <c r="D222" i="2"/>
  <c r="I222" i="2" s="1"/>
  <c r="D251" i="62905"/>
  <c r="C126" i="62892" s="1"/>
  <c r="D269" i="62905"/>
  <c r="C210" i="62909" s="1"/>
  <c r="E210" i="62909" s="1"/>
  <c r="F275" i="2"/>
  <c r="F22" i="62912"/>
  <c r="O22" i="62912" s="1"/>
  <c r="F341" i="2"/>
  <c r="F22" i="62915"/>
  <c r="R22" i="62915" s="1"/>
  <c r="Q42" i="2"/>
  <c r="X64" i="2"/>
  <c r="Q53" i="2"/>
  <c r="D221" i="2"/>
  <c r="D236" i="2"/>
  <c r="E236" i="2" s="1"/>
  <c r="G275" i="2"/>
  <c r="G22" i="62912"/>
  <c r="P22" i="62912" s="1"/>
  <c r="G22" i="62915"/>
  <c r="S22" i="62915" s="1"/>
  <c r="G341" i="2"/>
  <c r="E20" i="62923"/>
  <c r="E21" i="62923" s="1"/>
  <c r="V110" i="62905"/>
  <c r="AC112" i="62905"/>
  <c r="V227" i="62905"/>
  <c r="D238" i="2"/>
  <c r="E238" i="2" s="1"/>
  <c r="D223" i="2"/>
  <c r="I223" i="2" s="1"/>
  <c r="V118" i="62905"/>
  <c r="AC127" i="62905"/>
  <c r="F23" i="62914"/>
  <c r="F309" i="2"/>
  <c r="G23" i="62914"/>
  <c r="G309" i="2"/>
  <c r="C119" i="62892"/>
  <c r="E244" i="62905"/>
  <c r="C119" i="62910"/>
  <c r="E119" i="62910" s="1"/>
  <c r="C203" i="62909"/>
  <c r="E203" i="62909" s="1"/>
  <c r="E264" i="62905"/>
  <c r="C205" i="62909"/>
  <c r="E205" i="62909" s="1"/>
  <c r="E243" i="62905"/>
  <c r="C118" i="62892"/>
  <c r="C118" i="62910"/>
  <c r="AU515" i="5"/>
  <c r="D388" i="5"/>
  <c r="D18" i="5"/>
  <c r="D165" i="5"/>
  <c r="AE18" i="5"/>
  <c r="X18" i="5" s="1"/>
  <c r="AE201" i="5"/>
  <c r="X201" i="5" s="1"/>
  <c r="AE387" i="5"/>
  <c r="X387" i="5" s="1"/>
  <c r="D144" i="5"/>
  <c r="T332" i="5"/>
  <c r="D226" i="5"/>
  <c r="AE511" i="5"/>
  <c r="X511" i="5" s="1"/>
  <c r="D326" i="5"/>
  <c r="D385" i="5"/>
  <c r="AE385" i="5"/>
  <c r="X385" i="5" s="1"/>
  <c r="AA372" i="5"/>
  <c r="AB148" i="5"/>
  <c r="M535" i="5"/>
  <c r="P229" i="5"/>
  <c r="N372" i="5"/>
  <c r="AA168" i="5"/>
  <c r="T148" i="5"/>
  <c r="AE19" i="5"/>
  <c r="X19" i="5" s="1"/>
  <c r="AB229" i="5"/>
  <c r="I608" i="5"/>
  <c r="G99" i="62909" s="1"/>
  <c r="H99" i="62909" s="1"/>
  <c r="AE369" i="5"/>
  <c r="X369" i="5" s="1"/>
  <c r="AF369" i="5" s="1"/>
  <c r="AB372" i="5"/>
  <c r="AB445" i="5"/>
  <c r="AE443" i="5"/>
  <c r="X443" i="5" s="1"/>
  <c r="AF443" i="5" s="1"/>
  <c r="AE202" i="5"/>
  <c r="X202" i="5" s="1"/>
  <c r="I596" i="5"/>
  <c r="G87" i="62909" s="1"/>
  <c r="H87" i="62909" s="1"/>
  <c r="AB78" i="5"/>
  <c r="D551" i="5"/>
  <c r="N555" i="5"/>
  <c r="I605" i="5"/>
  <c r="G96" i="62909" s="1"/>
  <c r="H96" i="62909" s="1"/>
  <c r="AB168" i="5"/>
  <c r="J598" i="5"/>
  <c r="C89" i="62909"/>
  <c r="E89" i="62909" s="1"/>
  <c r="F598" i="5"/>
  <c r="F596" i="5"/>
  <c r="C87" i="62909"/>
  <c r="E87" i="62909" s="1"/>
  <c r="AE17" i="5"/>
  <c r="AB24" i="5"/>
  <c r="AB413" i="5"/>
  <c r="AE225" i="5"/>
  <c r="M555" i="5"/>
  <c r="S332" i="5"/>
  <c r="D325" i="5"/>
  <c r="D384" i="5"/>
  <c r="S391" i="5"/>
  <c r="AB207" i="5"/>
  <c r="AA207" i="5"/>
  <c r="AE200" i="5"/>
  <c r="N352" i="5"/>
  <c r="AB188" i="5"/>
  <c r="AE186" i="5"/>
  <c r="D201" i="5"/>
  <c r="D386" i="5"/>
  <c r="AE330" i="5"/>
  <c r="X330" i="5" s="1"/>
  <c r="T391" i="5"/>
  <c r="AB262" i="5"/>
  <c r="I610" i="5"/>
  <c r="G101" i="62909" s="1"/>
  <c r="H101" i="62909" s="1"/>
  <c r="AE410" i="5"/>
  <c r="I592" i="5"/>
  <c r="G83" i="62909" s="1"/>
  <c r="H83" i="62909" s="1"/>
  <c r="S207" i="5"/>
  <c r="S148" i="5"/>
  <c r="AE164" i="5"/>
  <c r="I625" i="5"/>
  <c r="G116" i="62909" s="1"/>
  <c r="H116" i="62909" s="1"/>
  <c r="D368" i="5"/>
  <c r="M372" i="5"/>
  <c r="S24" i="5"/>
  <c r="D17" i="5"/>
  <c r="AA148" i="5"/>
  <c r="AE141" i="5"/>
  <c r="J619" i="5"/>
  <c r="F619" i="5"/>
  <c r="C110" i="62909"/>
  <c r="E110" i="62909" s="1"/>
  <c r="AE226" i="5"/>
  <c r="X226" i="5" s="1"/>
  <c r="AF226" i="5" s="1"/>
  <c r="AE533" i="5"/>
  <c r="AB555" i="5"/>
  <c r="I634" i="5"/>
  <c r="G125" i="62909" s="1"/>
  <c r="H125" i="62909" s="1"/>
  <c r="T24" i="5"/>
  <c r="AB515" i="5"/>
  <c r="O229" i="5"/>
  <c r="AE43" i="5"/>
  <c r="X43" i="5" s="1"/>
  <c r="AF43" i="5" s="1"/>
  <c r="D410" i="5"/>
  <c r="D164" i="5"/>
  <c r="M168" i="5"/>
  <c r="D369" i="5"/>
  <c r="D508" i="5"/>
  <c r="S515" i="5"/>
  <c r="AA332" i="5"/>
  <c r="AE384" i="5"/>
  <c r="AA391" i="5"/>
  <c r="D200" i="5"/>
  <c r="T207" i="5"/>
  <c r="AE146" i="5"/>
  <c r="X146" i="5" s="1"/>
  <c r="AB352" i="5"/>
  <c r="I614" i="5"/>
  <c r="G105" i="62909" s="1"/>
  <c r="H105" i="62909" s="1"/>
  <c r="AE325" i="5"/>
  <c r="AB332" i="5"/>
  <c r="AA24" i="5"/>
  <c r="AE22" i="5"/>
  <c r="X22" i="5" s="1"/>
  <c r="AB391" i="5"/>
  <c r="AE144" i="5"/>
  <c r="X144" i="5" s="1"/>
  <c r="AE165" i="5"/>
  <c r="AE326" i="5"/>
  <c r="X326" i="5" s="1"/>
  <c r="AD262" i="5"/>
  <c r="I619" i="5" s="1"/>
  <c r="G110" i="62909" s="1"/>
  <c r="H110" i="62909" s="1"/>
  <c r="D43" i="5"/>
  <c r="D348" i="5"/>
  <c r="D225" i="5"/>
  <c r="AA515" i="5"/>
  <c r="D141" i="5"/>
  <c r="AF473" i="5"/>
  <c r="I630" i="5" s="1"/>
  <c r="G121" i="62909" s="1"/>
  <c r="H121" i="62909" s="1"/>
  <c r="H212" i="62926"/>
  <c r="G8" i="62909" s="1"/>
  <c r="H8" i="62909" s="1"/>
  <c r="D2286" i="62917"/>
  <c r="C2286" i="62917" s="1"/>
  <c r="E2289" i="62917"/>
  <c r="E2290" i="62917" s="1"/>
  <c r="AF425" i="5"/>
  <c r="D171" i="62919"/>
  <c r="E172" i="62919"/>
  <c r="F416" i="62928"/>
  <c r="F431" i="62928" s="1"/>
  <c r="O60" i="7"/>
  <c r="L60" i="7" s="1"/>
  <c r="O47" i="62928"/>
  <c r="H325" i="62928" s="1"/>
  <c r="C45" i="62909"/>
  <c r="E45" i="62909" s="1"/>
  <c r="I418" i="7"/>
  <c r="I433" i="7" s="1"/>
  <c r="H352" i="7"/>
  <c r="H367" i="7" s="1"/>
  <c r="T32" i="11"/>
  <c r="H88" i="11" s="1"/>
  <c r="G68" i="62909" s="1"/>
  <c r="H68" i="62909" s="1"/>
  <c r="Z47" i="7"/>
  <c r="R109" i="2"/>
  <c r="Q109" i="2" s="1"/>
  <c r="D865" i="62919"/>
  <c r="D866" i="62919" s="1"/>
  <c r="D921" i="62919"/>
  <c r="D896" i="62919"/>
  <c r="D897" i="62919" s="1"/>
  <c r="E867" i="62919"/>
  <c r="E868" i="62919" s="1"/>
  <c r="D1037" i="62919"/>
  <c r="E1371" i="62919"/>
  <c r="E1235" i="62919"/>
  <c r="E1767" i="62919"/>
  <c r="E1768" i="62919" s="1"/>
  <c r="E1038" i="62919"/>
  <c r="E925" i="62919"/>
  <c r="E898" i="62919"/>
  <c r="D1766" i="62919"/>
  <c r="D16" i="62919"/>
  <c r="E17" i="62919"/>
  <c r="O33" i="7"/>
  <c r="H326" i="7" s="1"/>
  <c r="O316" i="62928"/>
  <c r="M422" i="62928" s="1"/>
  <c r="O304" i="7"/>
  <c r="L304" i="7" s="1"/>
  <c r="G352" i="7"/>
  <c r="G367" i="7" s="1"/>
  <c r="I451" i="62928"/>
  <c r="D31" i="7"/>
  <c r="J33" i="7"/>
  <c r="L56" i="62928"/>
  <c r="O60" i="62928"/>
  <c r="D56" i="62928"/>
  <c r="I60" i="62928"/>
  <c r="I453" i="7"/>
  <c r="I416" i="62928"/>
  <c r="I431" i="62928" s="1"/>
  <c r="G418" i="7"/>
  <c r="G433" i="7" s="1"/>
  <c r="D86" i="7"/>
  <c r="V86" i="7"/>
  <c r="Z86" i="7" s="1"/>
  <c r="D143" i="7"/>
  <c r="V143" i="7"/>
  <c r="Z143" i="7" s="1"/>
  <c r="D136" i="62928"/>
  <c r="V136" i="62928"/>
  <c r="Z136" i="62928" s="1"/>
  <c r="Z175" i="62928"/>
  <c r="D175" i="62928"/>
  <c r="V175" i="62928"/>
  <c r="V131" i="62928"/>
  <c r="Z131" i="62928" s="1"/>
  <c r="D131" i="62928"/>
  <c r="V120" i="7"/>
  <c r="Z120" i="7" s="1"/>
  <c r="D120" i="7"/>
  <c r="D78" i="11"/>
  <c r="D88" i="11"/>
  <c r="Q28" i="11"/>
  <c r="V32" i="11"/>
  <c r="V142" i="62928"/>
  <c r="Z142" i="62928" s="1"/>
  <c r="D142" i="62928"/>
  <c r="D83" i="62928"/>
  <c r="V83" i="62928"/>
  <c r="Z83" i="62928" s="1"/>
  <c r="D195" i="7"/>
  <c r="D129" i="7"/>
  <c r="V129" i="7"/>
  <c r="Z129" i="7" s="1"/>
  <c r="V83" i="7"/>
  <c r="N104" i="7"/>
  <c r="D83" i="7"/>
  <c r="V135" i="7"/>
  <c r="Z135" i="7" s="1"/>
  <c r="D135" i="7"/>
  <c r="V116" i="62928"/>
  <c r="Z116" i="62928" s="1"/>
  <c r="D116" i="62928"/>
  <c r="D29" i="62928"/>
  <c r="J33" i="62928"/>
  <c r="D84" i="7"/>
  <c r="V84" i="7"/>
  <c r="Z84" i="7" s="1"/>
  <c r="V115" i="7"/>
  <c r="Z115" i="7" s="1"/>
  <c r="D115" i="7"/>
  <c r="V181" i="62928"/>
  <c r="Z181" i="62928" s="1"/>
  <c r="D181" i="62928"/>
  <c r="Z174" i="62928"/>
  <c r="D174" i="62928"/>
  <c r="V174" i="62928"/>
  <c r="L69" i="62928"/>
  <c r="O74" i="62928"/>
  <c r="D138" i="7"/>
  <c r="V138" i="7"/>
  <c r="Z138" i="7" s="1"/>
  <c r="V174" i="7"/>
  <c r="Z174" i="7"/>
  <c r="D174" i="7"/>
  <c r="D117" i="7"/>
  <c r="V117" i="7"/>
  <c r="Z117" i="7" s="1"/>
  <c r="V165" i="7"/>
  <c r="Z165" i="7" s="1"/>
  <c r="D165" i="7"/>
  <c r="V141" i="7"/>
  <c r="Z141" i="7" s="1"/>
  <c r="D141" i="7"/>
  <c r="D85" i="7"/>
  <c r="V85" i="7"/>
  <c r="Z85" i="7" s="1"/>
  <c r="D134" i="7"/>
  <c r="V134" i="7"/>
  <c r="Z134" i="7" s="1"/>
  <c r="D123" i="7"/>
  <c r="V123" i="7"/>
  <c r="Z123" i="7" s="1"/>
  <c r="D120" i="62928"/>
  <c r="V120" i="62928"/>
  <c r="Z120" i="62928" s="1"/>
  <c r="D69" i="7"/>
  <c r="I74" i="7"/>
  <c r="V182" i="7"/>
  <c r="Z182" i="7" s="1"/>
  <c r="D182" i="7"/>
  <c r="D121" i="62928"/>
  <c r="V121" i="62928"/>
  <c r="Z121" i="62928" s="1"/>
  <c r="D115" i="62928"/>
  <c r="V115" i="62928"/>
  <c r="Z115" i="62928" s="1"/>
  <c r="V143" i="62928"/>
  <c r="Z143" i="62928" s="1"/>
  <c r="D143" i="62928"/>
  <c r="V130" i="7"/>
  <c r="Z130" i="7" s="1"/>
  <c r="D130" i="7"/>
  <c r="G383" i="7"/>
  <c r="G401" i="7" s="1"/>
  <c r="D113" i="62928"/>
  <c r="V113" i="62928"/>
  <c r="Z113" i="62928" s="1"/>
  <c r="V113" i="7"/>
  <c r="Z113" i="7" s="1"/>
  <c r="D113" i="7"/>
  <c r="AF28" i="11"/>
  <c r="AF32" i="11" s="1"/>
  <c r="X32" i="11"/>
  <c r="D28" i="11"/>
  <c r="D32" i="11" s="1"/>
  <c r="M32" i="11"/>
  <c r="F78" i="11" s="1"/>
  <c r="V122" i="62928"/>
  <c r="Z122" i="62928" s="1"/>
  <c r="D122" i="62928"/>
  <c r="Q83" i="7"/>
  <c r="L29" i="62928"/>
  <c r="O33" i="62928"/>
  <c r="D123" i="62928"/>
  <c r="V123" i="62928"/>
  <c r="Z123" i="62928" s="1"/>
  <c r="D117" i="62928"/>
  <c r="V117" i="62928"/>
  <c r="Z117" i="62928" s="1"/>
  <c r="D121" i="7"/>
  <c r="V121" i="7"/>
  <c r="Z121" i="7" s="1"/>
  <c r="D131" i="7"/>
  <c r="V131" i="7"/>
  <c r="Z131" i="7" s="1"/>
  <c r="I74" i="62928"/>
  <c r="D69" i="62928"/>
  <c r="V129" i="62928"/>
  <c r="Z129" i="62928" s="1"/>
  <c r="D129" i="62928"/>
  <c r="D84" i="62928"/>
  <c r="V84" i="62928"/>
  <c r="Z84" i="62928" s="1"/>
  <c r="D114" i="62928"/>
  <c r="V114" i="62928"/>
  <c r="Z114" i="62928" s="1"/>
  <c r="D145" i="7"/>
  <c r="V145" i="7"/>
  <c r="Z145" i="7" s="1"/>
  <c r="D130" i="62928"/>
  <c r="V130" i="62928"/>
  <c r="Z130" i="62928" s="1"/>
  <c r="O74" i="7"/>
  <c r="L69" i="7"/>
  <c r="D127" i="7"/>
  <c r="V127" i="7"/>
  <c r="Z127" i="7" s="1"/>
  <c r="V137" i="7"/>
  <c r="Z137" i="7" s="1"/>
  <c r="D137" i="7"/>
  <c r="D180" i="7"/>
  <c r="V180" i="7"/>
  <c r="Z180" i="7" s="1"/>
  <c r="D124" i="62928"/>
  <c r="V124" i="62928"/>
  <c r="Z124" i="62928" s="1"/>
  <c r="V205" i="7"/>
  <c r="Z205" i="7" s="1"/>
  <c r="D205" i="7"/>
  <c r="D204" i="7"/>
  <c r="V204" i="7"/>
  <c r="Z204" i="7" s="1"/>
  <c r="V205" i="62928"/>
  <c r="Z205" i="62928" s="1"/>
  <c r="D205" i="62928"/>
  <c r="D201" i="7"/>
  <c r="G381" i="62928"/>
  <c r="G399" i="62928" s="1"/>
  <c r="D144" i="62928"/>
  <c r="V144" i="62928"/>
  <c r="Z144" i="62928" s="1"/>
  <c r="F381" i="62928"/>
  <c r="F399" i="62928" s="1"/>
  <c r="F451" i="62928"/>
  <c r="O168" i="62928"/>
  <c r="D182" i="62928"/>
  <c r="V182" i="62928"/>
  <c r="Z182" i="62928" s="1"/>
  <c r="D144" i="7"/>
  <c r="V144" i="7"/>
  <c r="Z144" i="7" s="1"/>
  <c r="D204" i="62928"/>
  <c r="V204" i="62928"/>
  <c r="V86" i="62928"/>
  <c r="Z86" i="62928" s="1"/>
  <c r="D86" i="62928"/>
  <c r="D183" i="7"/>
  <c r="V183" i="7"/>
  <c r="Z183" i="7" s="1"/>
  <c r="V141" i="62928"/>
  <c r="Z141" i="62928" s="1"/>
  <c r="D141" i="62928"/>
  <c r="D128" i="62928"/>
  <c r="V128" i="62928"/>
  <c r="D180" i="62928"/>
  <c r="V180" i="62928"/>
  <c r="Z180" i="62928" s="1"/>
  <c r="G453" i="7"/>
  <c r="D114" i="7"/>
  <c r="I168" i="7"/>
  <c r="V114" i="7"/>
  <c r="Q85" i="62928"/>
  <c r="L176" i="62928"/>
  <c r="O185" i="62928"/>
  <c r="L185" i="62928" s="1"/>
  <c r="D137" i="62928"/>
  <c r="V137" i="62928"/>
  <c r="Z137" i="62928" s="1"/>
  <c r="V176" i="7"/>
  <c r="Z176" i="7"/>
  <c r="D176" i="7"/>
  <c r="D175" i="7"/>
  <c r="Z175" i="7"/>
  <c r="I185" i="7"/>
  <c r="V175" i="7"/>
  <c r="M383" i="7"/>
  <c r="K418" i="7"/>
  <c r="K453" i="7"/>
  <c r="J352" i="7"/>
  <c r="M381" i="62928"/>
  <c r="M399" i="62928" s="1"/>
  <c r="J350" i="62928"/>
  <c r="J365" i="62928" s="1"/>
  <c r="D304" i="62928"/>
  <c r="D331" i="62928" s="1"/>
  <c r="C63" i="62909" s="1"/>
  <c r="Z176" i="62928"/>
  <c r="D176" i="62928"/>
  <c r="V176" i="62928"/>
  <c r="I185" i="62928"/>
  <c r="D138" i="62928"/>
  <c r="V138" i="62928"/>
  <c r="Z138" i="62928" s="1"/>
  <c r="L175" i="7"/>
  <c r="O185" i="7"/>
  <c r="L185" i="7" s="1"/>
  <c r="D135" i="62928"/>
  <c r="V135" i="62928"/>
  <c r="Z135" i="62928" s="1"/>
  <c r="V136" i="7"/>
  <c r="Z136" i="7" s="1"/>
  <c r="D136" i="7"/>
  <c r="G416" i="62928"/>
  <c r="G431" i="62928" s="1"/>
  <c r="G451" i="62928"/>
  <c r="G350" i="62928"/>
  <c r="G365" i="62928" s="1"/>
  <c r="H350" i="62928"/>
  <c r="H365" i="62928" s="1"/>
  <c r="F350" i="62928"/>
  <c r="F365" i="62928" s="1"/>
  <c r="K416" i="62928"/>
  <c r="K431" i="62928" s="1"/>
  <c r="F418" i="7"/>
  <c r="F453" i="7"/>
  <c r="F352" i="7"/>
  <c r="F383" i="7"/>
  <c r="L114" i="7"/>
  <c r="O168" i="7"/>
  <c r="I168" i="62928"/>
  <c r="D134" i="62928"/>
  <c r="V134" i="62928"/>
  <c r="Z134" i="62928" s="1"/>
  <c r="D85" i="62928"/>
  <c r="N104" i="62928"/>
  <c r="V85" i="62928"/>
  <c r="K451" i="62928"/>
  <c r="Z29" i="7"/>
  <c r="L328" i="7"/>
  <c r="M328" i="7"/>
  <c r="D318" i="7"/>
  <c r="D334" i="7" s="1"/>
  <c r="C46" i="62910" s="1"/>
  <c r="E46" i="62910" s="1"/>
  <c r="V313" i="7"/>
  <c r="V318" i="7" s="1"/>
  <c r="Z318" i="7"/>
  <c r="D304" i="7"/>
  <c r="D333" i="7" s="1"/>
  <c r="V316" i="62928"/>
  <c r="V300" i="62928"/>
  <c r="V304" i="62928" s="1"/>
  <c r="Z304" i="62928"/>
  <c r="V301" i="7"/>
  <c r="V304" i="7" s="1"/>
  <c r="Z304" i="7"/>
  <c r="Z316" i="62928"/>
  <c r="AF242" i="5"/>
  <c r="K231" i="62904"/>
  <c r="K259" i="62904" s="1"/>
  <c r="G331" i="62905"/>
  <c r="G336" i="62905" s="1"/>
  <c r="W48" i="62926"/>
  <c r="D40" i="62925"/>
  <c r="AC40" i="62926"/>
  <c r="W40" i="62926" s="1"/>
  <c r="J171" i="62904"/>
  <c r="H134" i="62904"/>
  <c r="G191" i="62909" s="1"/>
  <c r="H191" i="62909" s="1"/>
  <c r="D133" i="62904"/>
  <c r="E133" i="62904" s="1"/>
  <c r="C9" i="62909"/>
  <c r="E9" i="62909" s="1"/>
  <c r="AC54" i="62926"/>
  <c r="H200" i="62926" s="1"/>
  <c r="AC54" i="62925"/>
  <c r="W54" i="62925" s="1"/>
  <c r="M297" i="62926"/>
  <c r="M334" i="62926" s="1"/>
  <c r="K231" i="62926"/>
  <c r="K233" i="62926" s="1"/>
  <c r="D212" i="62925"/>
  <c r="C18" i="62909" s="1"/>
  <c r="E18" i="62909" s="1"/>
  <c r="C102" i="62909"/>
  <c r="E102" i="62909" s="1"/>
  <c r="D54" i="62925"/>
  <c r="D28" i="62904"/>
  <c r="D54" i="62926"/>
  <c r="D40" i="62926"/>
  <c r="N262" i="62926"/>
  <c r="N264" i="62926" s="1"/>
  <c r="J611" i="5"/>
  <c r="I213" i="62926"/>
  <c r="E331" i="62905"/>
  <c r="E32" i="62914" s="1"/>
  <c r="G30" i="62912"/>
  <c r="P30" i="62912" s="1"/>
  <c r="I214" i="62925"/>
  <c r="AN54" i="62925"/>
  <c r="H133" i="62904"/>
  <c r="G190" i="62909" s="1"/>
  <c r="H190" i="62909" s="1"/>
  <c r="AF58" i="5"/>
  <c r="E214" i="62925"/>
  <c r="E105" i="62910"/>
  <c r="D28" i="62926"/>
  <c r="D28" i="62925"/>
  <c r="D109" i="62926"/>
  <c r="N268" i="62926"/>
  <c r="AM54" i="62926"/>
  <c r="D40" i="62904"/>
  <c r="D184" i="62925"/>
  <c r="AN54" i="62926"/>
  <c r="AN109" i="62926"/>
  <c r="D63" i="62925"/>
  <c r="AE63" i="62925"/>
  <c r="J601" i="5"/>
  <c r="AE184" i="62926"/>
  <c r="AE65" i="62926"/>
  <c r="D65" i="62926"/>
  <c r="C14" i="62917"/>
  <c r="AE152" i="62926"/>
  <c r="AE152" i="62925"/>
  <c r="D152" i="62926"/>
  <c r="D152" i="62925"/>
  <c r="D64" i="62926"/>
  <c r="AE64" i="62926"/>
  <c r="AE65" i="62925"/>
  <c r="D65" i="62925"/>
  <c r="D63" i="62926"/>
  <c r="M67" i="62926"/>
  <c r="AE63" i="62926"/>
  <c r="AE64" i="62925"/>
  <c r="D64" i="62925"/>
  <c r="M67" i="62925"/>
  <c r="H216" i="62925"/>
  <c r="G22" i="62909" s="1"/>
  <c r="H22" i="62909" s="1"/>
  <c r="H202" i="62925"/>
  <c r="W77" i="62925"/>
  <c r="D216" i="62926"/>
  <c r="D202" i="62926"/>
  <c r="E38" i="62929"/>
  <c r="Q38" i="62929" s="1"/>
  <c r="Q33" i="62914"/>
  <c r="M38" i="62929"/>
  <c r="Y38" i="62929" s="1"/>
  <c r="Y33" i="62914"/>
  <c r="D202" i="62925"/>
  <c r="D216" i="62925"/>
  <c r="H216" i="62926"/>
  <c r="G12" i="62909" s="1"/>
  <c r="H12" i="62909" s="1"/>
  <c r="H202" i="62926"/>
  <c r="W77" i="62926"/>
  <c r="D50" i="62904"/>
  <c r="AE50" i="62904"/>
  <c r="D258" i="62905"/>
  <c r="C199" i="62909" s="1"/>
  <c r="AE49" i="62904"/>
  <c r="D49" i="62904"/>
  <c r="D17" i="62917"/>
  <c r="W63" i="62925"/>
  <c r="AC67" i="62925"/>
  <c r="AC83" i="62904"/>
  <c r="AC85" i="62904" s="1"/>
  <c r="D83" i="62904"/>
  <c r="D85" i="62904" s="1"/>
  <c r="AE83" i="62904"/>
  <c r="AE85" i="62904" s="1"/>
  <c r="AM83" i="62904"/>
  <c r="AM85" i="62904" s="1"/>
  <c r="I85" i="62904"/>
  <c r="D184" i="62926"/>
  <c r="AN109" i="62925"/>
  <c r="V77" i="62904"/>
  <c r="H136" i="62904"/>
  <c r="G193" i="62909" s="1"/>
  <c r="H193" i="62909" s="1"/>
  <c r="AC184" i="62926"/>
  <c r="W184" i="62926" s="1"/>
  <c r="W180" i="62926"/>
  <c r="C193" i="62909"/>
  <c r="E193" i="62909" s="1"/>
  <c r="E136" i="62904"/>
  <c r="W93" i="62926"/>
  <c r="F595" i="5"/>
  <c r="C86" i="62909"/>
  <c r="E86" i="62909" s="1"/>
  <c r="AF109" i="62925"/>
  <c r="AE184" i="62925"/>
  <c r="E18" i="62917"/>
  <c r="E302" i="62905"/>
  <c r="L250" i="9"/>
  <c r="D134" i="62904"/>
  <c r="E134" i="62904" s="1"/>
  <c r="D217" i="62925"/>
  <c r="C23" i="62909" s="1"/>
  <c r="E23" i="62909" s="1"/>
  <c r="C93" i="62909"/>
  <c r="E93" i="62909" s="1"/>
  <c r="J602" i="5"/>
  <c r="F602" i="5"/>
  <c r="J631" i="5"/>
  <c r="F631" i="5"/>
  <c r="C122" i="62909"/>
  <c r="E122" i="62909" s="1"/>
  <c r="D212" i="62926"/>
  <c r="X103" i="5"/>
  <c r="AF103" i="5" s="1"/>
  <c r="AE106" i="5"/>
  <c r="AE473" i="5"/>
  <c r="X288" i="5"/>
  <c r="AF288" i="5" s="1"/>
  <c r="AF290" i="5" s="1"/>
  <c r="I611" i="5" s="1"/>
  <c r="G102" i="62909" s="1"/>
  <c r="H102" i="62909" s="1"/>
  <c r="AE290" i="5"/>
  <c r="W65" i="62926"/>
  <c r="AC67" i="62926"/>
  <c r="W180" i="62925"/>
  <c r="AC184" i="62925"/>
  <c r="W184" i="62925" s="1"/>
  <c r="F331" i="62905"/>
  <c r="F363" i="62905" s="1"/>
  <c r="D211" i="62926"/>
  <c r="E211" i="62926" s="1"/>
  <c r="F30" i="62912"/>
  <c r="O30" i="62912" s="1"/>
  <c r="M306" i="62926"/>
  <c r="M337" i="62926" s="1"/>
  <c r="N53" i="62904"/>
  <c r="AE51" i="62904"/>
  <c r="D51" i="62904"/>
  <c r="D109" i="62925"/>
  <c r="H214" i="62926"/>
  <c r="G10" i="62909" s="1"/>
  <c r="H10" i="62909" s="1"/>
  <c r="K249" i="62926"/>
  <c r="N273" i="62926"/>
  <c r="K240" i="62926"/>
  <c r="N274" i="62926"/>
  <c r="M315" i="62926"/>
  <c r="F190" i="62925"/>
  <c r="H190" i="62925" s="1"/>
  <c r="D211" i="62925"/>
  <c r="D217" i="62926"/>
  <c r="F190" i="62926"/>
  <c r="H190" i="62926" s="1"/>
  <c r="M297" i="62925"/>
  <c r="N262" i="62925"/>
  <c r="K231" i="62925"/>
  <c r="G29" i="62912"/>
  <c r="G231" i="62904"/>
  <c r="G171" i="62904"/>
  <c r="V16" i="62904"/>
  <c r="AA28" i="62904"/>
  <c r="W101" i="62925"/>
  <c r="AC109" i="62925"/>
  <c r="W109" i="62925" s="1"/>
  <c r="W20" i="62926"/>
  <c r="AC28" i="62926"/>
  <c r="W17" i="62925"/>
  <c r="AC28" i="62925"/>
  <c r="W101" i="62926"/>
  <c r="AC109" i="62926"/>
  <c r="D213" i="62925"/>
  <c r="D200" i="62925"/>
  <c r="W48" i="62925"/>
  <c r="W35" i="62925"/>
  <c r="AC40" i="62925"/>
  <c r="W40" i="62925" s="1"/>
  <c r="AD298" i="62898"/>
  <c r="X295" i="62898"/>
  <c r="AE295" i="62898" s="1"/>
  <c r="AE298" i="62898" s="1"/>
  <c r="V51" i="62904"/>
  <c r="AC53" i="62904"/>
  <c r="V34" i="62904"/>
  <c r="AA40" i="62904"/>
  <c r="V40" i="62904" s="1"/>
  <c r="W91" i="62925"/>
  <c r="G205" i="62904"/>
  <c r="G31" i="62914"/>
  <c r="M300" i="62925"/>
  <c r="K234" i="62925"/>
  <c r="N268" i="62925"/>
  <c r="D214" i="62926"/>
  <c r="D200" i="62926"/>
  <c r="M291" i="62926"/>
  <c r="H211" i="62926"/>
  <c r="G7" i="62909" s="1"/>
  <c r="H7" i="62909" s="1"/>
  <c r="K225" i="62926"/>
  <c r="N257" i="62926"/>
  <c r="M291" i="62925"/>
  <c r="H211" i="62925"/>
  <c r="M315" i="62925"/>
  <c r="N257" i="62925"/>
  <c r="N261" i="62925" s="1"/>
  <c r="K240" i="62925"/>
  <c r="N273" i="62925"/>
  <c r="M306" i="62925"/>
  <c r="M337" i="62925" s="1"/>
  <c r="K225" i="62925"/>
  <c r="K230" i="62925" s="1"/>
  <c r="N274" i="62925"/>
  <c r="K249" i="62925"/>
  <c r="M300" i="62926"/>
  <c r="K234" i="62926"/>
  <c r="AC40" i="62905"/>
  <c r="V34" i="62905"/>
  <c r="D28" i="62905"/>
  <c r="D40" i="62905"/>
  <c r="H258" i="62905"/>
  <c r="E934" i="62917"/>
  <c r="E935" i="62917" s="1"/>
  <c r="V16" i="62905"/>
  <c r="AC28" i="62905"/>
  <c r="D254" i="62898"/>
  <c r="D259" i="62905"/>
  <c r="E170" i="62909"/>
  <c r="H259" i="62905"/>
  <c r="G200" i="62909" s="1"/>
  <c r="H200" i="62909" s="1"/>
  <c r="J607" i="62898" l="1"/>
  <c r="X410" i="5"/>
  <c r="AF410" i="5" s="1"/>
  <c r="Q24" i="62914"/>
  <c r="E29" i="62929"/>
  <c r="Q29" i="62929" s="1"/>
  <c r="R24" i="62912"/>
  <c r="F64" i="62912"/>
  <c r="G64" i="62912"/>
  <c r="M29" i="62929"/>
  <c r="Y29" i="62929" s="1"/>
  <c r="Y24" i="62914"/>
  <c r="F52" i="62915"/>
  <c r="G52" i="62915"/>
  <c r="V24" i="62915"/>
  <c r="M556" i="62898"/>
  <c r="K24" i="62915"/>
  <c r="W24" i="62915" s="1"/>
  <c r="N577" i="62898"/>
  <c r="N24" i="62915" s="1"/>
  <c r="Z24" i="62915" s="1"/>
  <c r="K607" i="62898"/>
  <c r="X24" i="62914"/>
  <c r="L29" i="62929"/>
  <c r="X29" i="62929" s="1"/>
  <c r="G53" i="62914"/>
  <c r="F53" i="62914"/>
  <c r="F73" i="62912"/>
  <c r="G73" i="62912"/>
  <c r="R33" i="62912"/>
  <c r="F61" i="62915"/>
  <c r="V33" i="62915"/>
  <c r="G61" i="62915"/>
  <c r="F54" i="62914"/>
  <c r="X25" i="62914"/>
  <c r="G54" i="62914"/>
  <c r="L30" i="62929"/>
  <c r="X30" i="62929" s="1"/>
  <c r="J230" i="3"/>
  <c r="H13" i="62912"/>
  <c r="Q13" i="62912" s="1"/>
  <c r="I125" i="3"/>
  <c r="I13" i="62912" s="1"/>
  <c r="H127" i="3"/>
  <c r="H13" i="62915"/>
  <c r="H193" i="3"/>
  <c r="J191" i="3"/>
  <c r="J13" i="62915" s="1"/>
  <c r="X120" i="62898"/>
  <c r="AD120" i="62898" s="1"/>
  <c r="AD127" i="62898" s="1"/>
  <c r="I467" i="62898" s="1"/>
  <c r="G133" i="62909" s="1"/>
  <c r="H133" i="62909" s="1"/>
  <c r="X40" i="5"/>
  <c r="AF40" i="5" s="1"/>
  <c r="D220" i="2"/>
  <c r="E220" i="2" s="1"/>
  <c r="X408" i="5"/>
  <c r="AF408" i="5" s="1"/>
  <c r="C111" i="62909"/>
  <c r="E111" i="62909" s="1"/>
  <c r="F620" i="5"/>
  <c r="J623" i="5"/>
  <c r="X41" i="5"/>
  <c r="AF41" i="5" s="1"/>
  <c r="J594" i="5"/>
  <c r="X165" i="5"/>
  <c r="AF165" i="5" s="1"/>
  <c r="I136" i="62904"/>
  <c r="L19" i="7"/>
  <c r="J522" i="62898"/>
  <c r="K21" i="62915"/>
  <c r="W21" i="62915" s="1"/>
  <c r="K26" i="62929"/>
  <c r="W26" i="62929" s="1"/>
  <c r="K608" i="62898"/>
  <c r="N19" i="62915"/>
  <c r="N588" i="62898"/>
  <c r="Q11" i="62912"/>
  <c r="J21" i="62912"/>
  <c r="S21" i="62912" s="1"/>
  <c r="K588" i="62898"/>
  <c r="K16" i="62929"/>
  <c r="W16" i="62929" s="1"/>
  <c r="W11" i="62914"/>
  <c r="E34" i="62912"/>
  <c r="N34" i="62912" s="1"/>
  <c r="I249" i="62926"/>
  <c r="I34" i="62912" s="1"/>
  <c r="L274" i="62926"/>
  <c r="E27" i="62914"/>
  <c r="E34" i="62915"/>
  <c r="Q34" i="62915" s="1"/>
  <c r="J315" i="62926"/>
  <c r="J34" i="62915" s="1"/>
  <c r="F62" i="62915" s="1"/>
  <c r="E250" i="62926"/>
  <c r="I234" i="62926"/>
  <c r="E339" i="62926"/>
  <c r="J339" i="62926" s="1"/>
  <c r="J300" i="62926"/>
  <c r="E316" i="62926"/>
  <c r="E284" i="62926"/>
  <c r="L268" i="62926"/>
  <c r="E939" i="62921"/>
  <c r="D938" i="62921"/>
  <c r="G125" i="62910"/>
  <c r="H125" i="62910" s="1"/>
  <c r="F125" i="62892"/>
  <c r="D126" i="62892"/>
  <c r="G126" i="62892"/>
  <c r="G100" i="62892"/>
  <c r="D100" i="62892"/>
  <c r="D125" i="62892"/>
  <c r="G125" i="62892"/>
  <c r="E606" i="62921"/>
  <c r="E607" i="62921" s="1"/>
  <c r="D604" i="62921"/>
  <c r="X283" i="62898"/>
  <c r="AF283" i="62898" s="1"/>
  <c r="D552" i="62922"/>
  <c r="D553" i="62922" s="1"/>
  <c r="E554" i="62922"/>
  <c r="X284" i="62898"/>
  <c r="AF284" i="62898" s="1"/>
  <c r="I488" i="62898"/>
  <c r="G154" i="62909" s="1"/>
  <c r="H154" i="62909" s="1"/>
  <c r="I469" i="62898"/>
  <c r="G135" i="62909" s="1"/>
  <c r="H135" i="62909" s="1"/>
  <c r="E464" i="62898"/>
  <c r="C130" i="62909" s="1"/>
  <c r="E130" i="62909" s="1"/>
  <c r="E488" i="62898"/>
  <c r="F488" i="62898" s="1"/>
  <c r="D444" i="62898"/>
  <c r="C88" i="62892" s="1"/>
  <c r="E476" i="62898"/>
  <c r="I481" i="62898"/>
  <c r="G147" i="62909" s="1"/>
  <c r="H147" i="62909" s="1"/>
  <c r="D286" i="62898"/>
  <c r="D445" i="62898" s="1"/>
  <c r="C89" i="62910" s="1"/>
  <c r="AE281" i="62898"/>
  <c r="AA132" i="5"/>
  <c r="E245" i="62905"/>
  <c r="L245" i="62905" s="1"/>
  <c r="I251" i="62905"/>
  <c r="C126" i="62910"/>
  <c r="E126" i="62910" s="1"/>
  <c r="E250" i="62905"/>
  <c r="L250" i="62905" s="1"/>
  <c r="C125" i="62910"/>
  <c r="E125" i="62910" s="1"/>
  <c r="I249" i="62905"/>
  <c r="C124" i="62910"/>
  <c r="E124" i="62910" s="1"/>
  <c r="E268" i="62905"/>
  <c r="C209" i="62909"/>
  <c r="E209" i="62909" s="1"/>
  <c r="I226" i="2"/>
  <c r="C100" i="62910"/>
  <c r="E100" i="62910" s="1"/>
  <c r="H247" i="62905"/>
  <c r="H264" i="62905"/>
  <c r="H245" i="62905"/>
  <c r="H262" i="62905"/>
  <c r="H241" i="2"/>
  <c r="G164" i="62909" s="1"/>
  <c r="H164" i="62909" s="1"/>
  <c r="C122" i="62892"/>
  <c r="I250" i="62905"/>
  <c r="C99" i="62910"/>
  <c r="E99" i="62910" s="1"/>
  <c r="K250" i="62905"/>
  <c r="N250" i="62905"/>
  <c r="I260" i="62905"/>
  <c r="E226" i="2"/>
  <c r="L226" i="2" s="1"/>
  <c r="E225" i="2"/>
  <c r="M225" i="2" s="1"/>
  <c r="C99" i="62892"/>
  <c r="C1205" i="62919"/>
  <c r="C1200" i="62919"/>
  <c r="C1202" i="62919"/>
  <c r="C39" i="62892"/>
  <c r="E327" i="7"/>
  <c r="L327" i="7" s="1"/>
  <c r="C15" i="62922"/>
  <c r="E19" i="62922"/>
  <c r="E20" i="62922" s="1"/>
  <c r="D18" i="62922"/>
  <c r="D316" i="5"/>
  <c r="AE499" i="5"/>
  <c r="X499" i="5" s="1"/>
  <c r="D132" i="5"/>
  <c r="D499" i="5"/>
  <c r="D484" i="62922"/>
  <c r="C480" i="62922" s="1"/>
  <c r="E486" i="62922"/>
  <c r="E487" i="62922" s="1"/>
  <c r="E488" i="62922" s="1"/>
  <c r="E489" i="62922" s="1"/>
  <c r="E490" i="62922" s="1"/>
  <c r="E491" i="62922" s="1"/>
  <c r="E492" i="62922" s="1"/>
  <c r="E493" i="62922" s="1"/>
  <c r="E494" i="62922" s="1"/>
  <c r="E495" i="62922" s="1"/>
  <c r="E496" i="62922" s="1"/>
  <c r="E497" i="62922" s="1"/>
  <c r="E498" i="62922" s="1"/>
  <c r="E499" i="62922" s="1"/>
  <c r="E500" i="62922" s="1"/>
  <c r="E501" i="62922" s="1"/>
  <c r="E502" i="62922" s="1"/>
  <c r="E503" i="62922" s="1"/>
  <c r="E504" i="62922" s="1"/>
  <c r="E505" i="62922" s="1"/>
  <c r="E506" i="62922" s="1"/>
  <c r="E507" i="62922" s="1"/>
  <c r="E508" i="62922" s="1"/>
  <c r="E509" i="62922" s="1"/>
  <c r="E510" i="62922" s="1"/>
  <c r="E511" i="62922" s="1"/>
  <c r="E512" i="62922" s="1"/>
  <c r="E513" i="62922" s="1"/>
  <c r="E514" i="62922" s="1"/>
  <c r="AA262" i="5"/>
  <c r="I615" i="5" s="1"/>
  <c r="G106" i="62909" s="1"/>
  <c r="AA78" i="5"/>
  <c r="I597" i="5" s="1"/>
  <c r="G88" i="62909" s="1"/>
  <c r="H88" i="62909" s="1"/>
  <c r="X74" i="5"/>
  <c r="AF74" i="5" s="1"/>
  <c r="E292" i="62922"/>
  <c r="E293" i="62922" s="1"/>
  <c r="E294" i="62922" s="1"/>
  <c r="E295" i="62922" s="1"/>
  <c r="E296" i="62922" s="1"/>
  <c r="E297" i="62922" s="1"/>
  <c r="E298" i="62922" s="1"/>
  <c r="D289" i="62922"/>
  <c r="I480" i="62898"/>
  <c r="G146" i="62909" s="1"/>
  <c r="H146" i="62909" s="1"/>
  <c r="E19" i="62921"/>
  <c r="E20" i="62921" s="1"/>
  <c r="E21" i="62921" s="1"/>
  <c r="D17" i="62921"/>
  <c r="D18" i="62921" s="1"/>
  <c r="J472" i="62898"/>
  <c r="F472" i="62898"/>
  <c r="X191" i="62898"/>
  <c r="AE191" i="62898" s="1"/>
  <c r="AE195" i="62898" s="1"/>
  <c r="I466" i="62898"/>
  <c r="G132" i="62909" s="1"/>
  <c r="H132" i="62909" s="1"/>
  <c r="E208" i="62921"/>
  <c r="E209" i="62921" s="1"/>
  <c r="C203" i="62921"/>
  <c r="D206" i="62921"/>
  <c r="D207" i="62921" s="1"/>
  <c r="AD60" i="62898"/>
  <c r="X60" i="62898" s="1"/>
  <c r="AD318" i="62898"/>
  <c r="X318" i="62898" s="1"/>
  <c r="AE318" i="62898"/>
  <c r="I482" i="62898" s="1"/>
  <c r="G148" i="62909" s="1"/>
  <c r="H148" i="62909" s="1"/>
  <c r="AD243" i="62898"/>
  <c r="X243" i="62898" s="1"/>
  <c r="D335" i="62898"/>
  <c r="AF275" i="62898"/>
  <c r="D432" i="62898"/>
  <c r="F454" i="62898" s="1"/>
  <c r="AE70" i="62898"/>
  <c r="M606" i="62898"/>
  <c r="K503" i="62898"/>
  <c r="K505" i="62898" s="1"/>
  <c r="D252" i="62921"/>
  <c r="C250" i="62921" s="1"/>
  <c r="M569" i="62898"/>
  <c r="M571" i="62898" s="1"/>
  <c r="N534" i="62898"/>
  <c r="N536" i="62898" s="1"/>
  <c r="E254" i="62921"/>
  <c r="AE34" i="62898"/>
  <c r="AD34" i="62898"/>
  <c r="X34" i="62898" s="1"/>
  <c r="D127" i="62898"/>
  <c r="D442" i="62898" s="1"/>
  <c r="E442" i="62898" s="1"/>
  <c r="D443" i="62898"/>
  <c r="C87" i="62910" s="1"/>
  <c r="E87" i="62910" s="1"/>
  <c r="AD335" i="62898"/>
  <c r="X335" i="62898" s="1"/>
  <c r="AE335" i="62898"/>
  <c r="D337" i="62921"/>
  <c r="D338" i="62921" s="1"/>
  <c r="X105" i="62898"/>
  <c r="E339" i="62921"/>
  <c r="E2241" i="62917"/>
  <c r="E2242" i="62917" s="1"/>
  <c r="E2243" i="62917" s="1"/>
  <c r="D2239" i="62917"/>
  <c r="D2240" i="62917" s="1"/>
  <c r="D418" i="62921"/>
  <c r="C415" i="62921" s="1"/>
  <c r="E419" i="62921"/>
  <c r="X86" i="62898"/>
  <c r="AD86" i="62898" s="1"/>
  <c r="AD90" i="62898" s="1"/>
  <c r="AD70" i="62898"/>
  <c r="X70" i="62898" s="1"/>
  <c r="AE99" i="62898"/>
  <c r="AD99" i="62898"/>
  <c r="X99" i="62898" s="1"/>
  <c r="I465" i="62898"/>
  <c r="G131" i="62909" s="1"/>
  <c r="H131" i="62909" s="1"/>
  <c r="D390" i="62898"/>
  <c r="E487" i="62898"/>
  <c r="F487" i="62898" s="1"/>
  <c r="AC127" i="62898"/>
  <c r="F473" i="62898"/>
  <c r="AC23" i="62898"/>
  <c r="X23" i="62898" s="1"/>
  <c r="I473" i="62898"/>
  <c r="G139" i="62909" s="1"/>
  <c r="H139" i="62909" s="1"/>
  <c r="F469" i="62898"/>
  <c r="AD185" i="62898"/>
  <c r="X185" i="62898" s="1"/>
  <c r="C135" i="62909"/>
  <c r="E135" i="62909" s="1"/>
  <c r="D23" i="62898"/>
  <c r="D452" i="62898" s="1"/>
  <c r="E465" i="62898"/>
  <c r="F465" i="62898" s="1"/>
  <c r="J473" i="62898"/>
  <c r="X181" i="62898"/>
  <c r="AE181" i="62898" s="1"/>
  <c r="AE185" i="62898" s="1"/>
  <c r="D1621" i="62917"/>
  <c r="D1622" i="62917" s="1"/>
  <c r="D931" i="62917"/>
  <c r="D932" i="62917" s="1"/>
  <c r="D933" i="62917" s="1"/>
  <c r="D934" i="62917" s="1"/>
  <c r="E1625" i="62917"/>
  <c r="E1626" i="62917" s="1"/>
  <c r="E1627" i="62917" s="1"/>
  <c r="E1628" i="62917" s="1"/>
  <c r="E1629" i="62917" s="1"/>
  <c r="E1630" i="62917" s="1"/>
  <c r="E1631" i="62917" s="1"/>
  <c r="E1632" i="62917" s="1"/>
  <c r="E1633" i="62917" s="1"/>
  <c r="E1634" i="62917" s="1"/>
  <c r="E1635" i="62917" s="1"/>
  <c r="E1636" i="62917" s="1"/>
  <c r="E1637" i="62917" s="1"/>
  <c r="E1638" i="62917" s="1"/>
  <c r="E1639" i="62917" s="1"/>
  <c r="E1640" i="62917" s="1"/>
  <c r="E1641" i="62917" s="1"/>
  <c r="E1642" i="62917" s="1"/>
  <c r="E1643" i="62917" s="1"/>
  <c r="E1644" i="62917" s="1"/>
  <c r="E1645" i="62917" s="1"/>
  <c r="E1646" i="62917" s="1"/>
  <c r="E1647" i="62917" s="1"/>
  <c r="E1648" i="62917" s="1"/>
  <c r="E1649" i="62917" s="1"/>
  <c r="E1650" i="62917" s="1"/>
  <c r="E1651" i="62917" s="1"/>
  <c r="E1652" i="62917" s="1"/>
  <c r="E1653" i="62917" s="1"/>
  <c r="E1654" i="62917" s="1"/>
  <c r="E1655" i="62917" s="1"/>
  <c r="E1656" i="62917" s="1"/>
  <c r="E1657" i="62917" s="1"/>
  <c r="E1658" i="62917" s="1"/>
  <c r="E1659" i="62917" s="1"/>
  <c r="E1660" i="62917" s="1"/>
  <c r="E1661" i="62917" s="1"/>
  <c r="E1662" i="62917" s="1"/>
  <c r="E1663" i="62917" s="1"/>
  <c r="E1664" i="62917" s="1"/>
  <c r="E1665" i="62917" s="1"/>
  <c r="E1666" i="62917" s="1"/>
  <c r="E1667" i="62917" s="1"/>
  <c r="E1668" i="62917" s="1"/>
  <c r="E1669" i="62917" s="1"/>
  <c r="E1670" i="62917" s="1"/>
  <c r="E1671" i="62917" s="1"/>
  <c r="E1672" i="62917" s="1"/>
  <c r="E1673" i="62917" s="1"/>
  <c r="E1674" i="62917" s="1"/>
  <c r="E1675" i="62917" s="1"/>
  <c r="E1676" i="62917" s="1"/>
  <c r="E1677" i="62917" s="1"/>
  <c r="E1678" i="62917" s="1"/>
  <c r="E1679" i="62917" s="1"/>
  <c r="E1680" i="62917" s="1"/>
  <c r="E1681" i="62917" s="1"/>
  <c r="E1682" i="62917" s="1"/>
  <c r="E1683" i="62917" s="1"/>
  <c r="E1684" i="62917" s="1"/>
  <c r="E1685" i="62917" s="1"/>
  <c r="E1686" i="62917" s="1"/>
  <c r="E1687" i="62917" s="1"/>
  <c r="E2158" i="62917"/>
  <c r="D2157" i="62917"/>
  <c r="D325" i="62923"/>
  <c r="E326" i="62923"/>
  <c r="E327" i="62923" s="1"/>
  <c r="Q173" i="2"/>
  <c r="H226" i="2"/>
  <c r="D423" i="62923"/>
  <c r="D424" i="62923" s="1"/>
  <c r="D425" i="62923" s="1"/>
  <c r="D426" i="62923" s="1"/>
  <c r="D427" i="62923" s="1"/>
  <c r="D428" i="62923" s="1"/>
  <c r="C425" i="62923" s="1"/>
  <c r="C147" i="62909"/>
  <c r="E147" i="62909" s="1"/>
  <c r="AE275" i="62898"/>
  <c r="X275" i="62898" s="1"/>
  <c r="I489" i="62898"/>
  <c r="G155" i="62909" s="1"/>
  <c r="H155" i="62909" s="1"/>
  <c r="AE412" i="62898"/>
  <c r="AD422" i="62898"/>
  <c r="X422" i="62898" s="1"/>
  <c r="AE422" i="62898"/>
  <c r="F489" i="62898"/>
  <c r="J489" i="62898"/>
  <c r="E486" i="62898"/>
  <c r="C152" i="62909" s="1"/>
  <c r="E152" i="62909" s="1"/>
  <c r="C384" i="62923"/>
  <c r="D385" i="62923"/>
  <c r="D386" i="62923" s="1"/>
  <c r="D387" i="62923" s="1"/>
  <c r="E293" i="62923"/>
  <c r="D293" i="62923" s="1"/>
  <c r="E280" i="62923"/>
  <c r="D279" i="62923"/>
  <c r="G30" i="62910"/>
  <c r="H30" i="62910" s="1"/>
  <c r="D36" i="62923"/>
  <c r="D37" i="62923" s="1"/>
  <c r="D38" i="62923" s="1"/>
  <c r="C37" i="62923" s="1"/>
  <c r="AE163" i="62898"/>
  <c r="AD163" i="62898"/>
  <c r="X163" i="62898" s="1"/>
  <c r="AD371" i="62898"/>
  <c r="X371" i="62898" s="1"/>
  <c r="AF401" i="62898"/>
  <c r="K508" i="62898"/>
  <c r="M608" i="62898" s="1"/>
  <c r="AE371" i="62898"/>
  <c r="AD390" i="62898"/>
  <c r="X390" i="62898" s="1"/>
  <c r="C224" i="62924"/>
  <c r="C225" i="62924"/>
  <c r="D151" i="62924"/>
  <c r="AE390" i="62898"/>
  <c r="C406" i="62919"/>
  <c r="C407" i="62919"/>
  <c r="C917" i="62919"/>
  <c r="C408" i="62919"/>
  <c r="C16" i="62918"/>
  <c r="K110" i="62927"/>
  <c r="I12" i="62915"/>
  <c r="I193" i="3"/>
  <c r="J190" i="3"/>
  <c r="K127" i="3"/>
  <c r="I124" i="3"/>
  <c r="K12" i="62914"/>
  <c r="K158" i="3"/>
  <c r="D565" i="5"/>
  <c r="E565" i="5" s="1"/>
  <c r="M565" i="5" s="1"/>
  <c r="AE204" i="62898"/>
  <c r="AD204" i="62898"/>
  <c r="X204" i="62898" s="1"/>
  <c r="Z204" i="62928"/>
  <c r="Z291" i="62928" s="1"/>
  <c r="V291" i="62928"/>
  <c r="D291" i="62928"/>
  <c r="D330" i="62928" s="1"/>
  <c r="C56" i="62892" s="1"/>
  <c r="J474" i="62898"/>
  <c r="F474" i="62898"/>
  <c r="E154" i="62924"/>
  <c r="H323" i="62928"/>
  <c r="G49" i="62910" s="1"/>
  <c r="H49" i="62910" s="1"/>
  <c r="C43" i="62909"/>
  <c r="E43" i="62909" s="1"/>
  <c r="Q18" i="11"/>
  <c r="E325" i="7"/>
  <c r="L325" i="7" s="1"/>
  <c r="C37" i="62910"/>
  <c r="E37" i="62910" s="1"/>
  <c r="C37" i="62892"/>
  <c r="G61" i="62892"/>
  <c r="K77" i="11"/>
  <c r="C61" i="62910"/>
  <c r="E61" i="62910" s="1"/>
  <c r="G77" i="11"/>
  <c r="O77" i="11" s="1"/>
  <c r="H325" i="7"/>
  <c r="G43" i="62909" s="1"/>
  <c r="H43" i="62909" s="1"/>
  <c r="F453" i="62898"/>
  <c r="E1401" i="62919"/>
  <c r="E1402" i="62919" s="1"/>
  <c r="D1399" i="62919"/>
  <c r="D1400" i="62919" s="1"/>
  <c r="C1398" i="62919"/>
  <c r="C49" i="62892"/>
  <c r="D49" i="62892" s="1"/>
  <c r="I323" i="62928"/>
  <c r="C49" i="62910"/>
  <c r="E49" i="62910" s="1"/>
  <c r="E323" i="62928"/>
  <c r="M323" i="62928" s="1"/>
  <c r="E1560" i="62919"/>
  <c r="D1559" i="62919"/>
  <c r="D1278" i="62919"/>
  <c r="E1279" i="62919"/>
  <c r="E1280" i="62919" s="1"/>
  <c r="E1281" i="62919" s="1"/>
  <c r="E1745" i="62919"/>
  <c r="D1743" i="62919"/>
  <c r="E1707" i="62919"/>
  <c r="E1708" i="62919" s="1"/>
  <c r="E1709" i="62919" s="1"/>
  <c r="E1710" i="62919" s="1"/>
  <c r="E1711" i="62919" s="1"/>
  <c r="E1712" i="62919" s="1"/>
  <c r="E1713" i="62919" s="1"/>
  <c r="D1705" i="62919"/>
  <c r="D106" i="62919"/>
  <c r="C106" i="62919" s="1"/>
  <c r="D349" i="62919"/>
  <c r="C349" i="62919" s="1"/>
  <c r="C348" i="62919"/>
  <c r="D415" i="62919"/>
  <c r="E416" i="62919"/>
  <c r="C56" i="62919"/>
  <c r="E61" i="62919"/>
  <c r="E62" i="62919" s="1"/>
  <c r="D1001" i="62919"/>
  <c r="D1002" i="62919" s="1"/>
  <c r="C1231" i="62919"/>
  <c r="E630" i="62919"/>
  <c r="E631" i="62919" s="1"/>
  <c r="D628" i="62919"/>
  <c r="E1860" i="62919"/>
  <c r="E1861" i="62919" s="1"/>
  <c r="T104" i="62928"/>
  <c r="Q104" i="62928" s="1"/>
  <c r="E2187" i="62917"/>
  <c r="E2188" i="62917" s="1"/>
  <c r="D2185" i="62917"/>
  <c r="D2186" i="62917" s="1"/>
  <c r="F599" i="5"/>
  <c r="N680" i="5"/>
  <c r="N682" i="5" s="1"/>
  <c r="I486" i="62898"/>
  <c r="G152" i="62909" s="1"/>
  <c r="H152" i="62909" s="1"/>
  <c r="C145" i="62909"/>
  <c r="E145" i="62909" s="1"/>
  <c r="AE381" i="62898"/>
  <c r="AD381" i="62898"/>
  <c r="X381" i="62898" s="1"/>
  <c r="AD432" i="62898"/>
  <c r="X432" i="62898" s="1"/>
  <c r="M564" i="62898"/>
  <c r="M605" i="62898" s="1"/>
  <c r="J479" i="62898"/>
  <c r="AE361" i="62898"/>
  <c r="M752" i="5"/>
  <c r="K649" i="5"/>
  <c r="K651" i="5" s="1"/>
  <c r="I628" i="5"/>
  <c r="G119" i="62909" s="1"/>
  <c r="H119" i="62909" s="1"/>
  <c r="X456" i="5"/>
  <c r="D352" i="5"/>
  <c r="J626" i="5"/>
  <c r="F626" i="5"/>
  <c r="C103" i="62909"/>
  <c r="E103" i="62909" s="1"/>
  <c r="T104" i="7"/>
  <c r="K352" i="7" s="1"/>
  <c r="K367" i="7" s="1"/>
  <c r="I332" i="62928"/>
  <c r="C58" i="62892"/>
  <c r="G58" i="62892" s="1"/>
  <c r="C58" i="62910"/>
  <c r="E58" i="62910" s="1"/>
  <c r="E332" i="62928"/>
  <c r="L332" i="62928" s="1"/>
  <c r="AD361" i="62898"/>
  <c r="X361" i="62898" s="1"/>
  <c r="AE401" i="62898"/>
  <c r="X401" i="62898" s="1"/>
  <c r="N530" i="62898"/>
  <c r="N533" i="62898" s="1"/>
  <c r="AF555" i="5"/>
  <c r="AE555" i="5"/>
  <c r="X555" i="5" s="1"/>
  <c r="K514" i="62898"/>
  <c r="K27" i="62912" s="1"/>
  <c r="T27" i="62912" s="1"/>
  <c r="AD109" i="62898"/>
  <c r="X109" i="62898" s="1"/>
  <c r="F468" i="62898"/>
  <c r="M580" i="62898"/>
  <c r="M27" i="62915" s="1"/>
  <c r="Y27" i="62915" s="1"/>
  <c r="J468" i="62898"/>
  <c r="N555" i="62898"/>
  <c r="N36" i="62914" s="1"/>
  <c r="N41" i="62929" s="1"/>
  <c r="Z41" i="62929" s="1"/>
  <c r="D866" i="62921"/>
  <c r="C866" i="62921" s="1"/>
  <c r="C865" i="62921"/>
  <c r="D555" i="5"/>
  <c r="C163" i="62909"/>
  <c r="E163" i="62909" s="1"/>
  <c r="L318" i="7"/>
  <c r="M456" i="7"/>
  <c r="M424" i="7"/>
  <c r="M26" i="62915" s="1"/>
  <c r="Y26" i="62915" s="1"/>
  <c r="H334" i="7"/>
  <c r="N334" i="7" s="1"/>
  <c r="N399" i="7"/>
  <c r="M199" i="62904"/>
  <c r="M205" i="62904" s="1"/>
  <c r="C196" i="62909"/>
  <c r="E196" i="62909" s="1"/>
  <c r="C190" i="62909"/>
  <c r="E190" i="62909" s="1"/>
  <c r="E1589" i="62917"/>
  <c r="D1587" i="62917"/>
  <c r="D1588" i="62917" s="1"/>
  <c r="E2426" i="62917"/>
  <c r="E2427" i="62917" s="1"/>
  <c r="E2428" i="62917" s="1"/>
  <c r="D2425" i="62917"/>
  <c r="C2424" i="62917"/>
  <c r="D535" i="5"/>
  <c r="C122" i="62910"/>
  <c r="E122" i="62910" s="1"/>
  <c r="C88" i="62909"/>
  <c r="E88" i="62909" s="1"/>
  <c r="J597" i="5"/>
  <c r="E46" i="62924"/>
  <c r="E47" i="62924" s="1"/>
  <c r="E48" i="62924" s="1"/>
  <c r="D42" i="62924"/>
  <c r="C41" i="62924"/>
  <c r="C22" i="62924"/>
  <c r="D25" i="62924"/>
  <c r="C25" i="62924" s="1"/>
  <c r="C23" i="62924"/>
  <c r="E26" i="62924"/>
  <c r="E27" i="62924" s="1"/>
  <c r="E28" i="62924" s="1"/>
  <c r="E29" i="62924" s="1"/>
  <c r="E30" i="62924" s="1"/>
  <c r="AH273" i="5"/>
  <c r="AT271" i="5"/>
  <c r="AT95" i="5"/>
  <c r="AH97" i="5"/>
  <c r="AH456" i="5"/>
  <c r="AT454" i="5"/>
  <c r="D573" i="5"/>
  <c r="C80" i="62892" s="1"/>
  <c r="J599" i="5"/>
  <c r="J627" i="5"/>
  <c r="L27" i="62929"/>
  <c r="X27" i="62929" s="1"/>
  <c r="G51" i="62914"/>
  <c r="X22" i="62914"/>
  <c r="F51" i="62914"/>
  <c r="E27" i="62929"/>
  <c r="Q27" i="62929" s="1"/>
  <c r="Q22" i="62914"/>
  <c r="W22" i="62914"/>
  <c r="K27" i="62929"/>
  <c r="W27" i="62929" s="1"/>
  <c r="V23" i="62915"/>
  <c r="F51" i="62915"/>
  <c r="G51" i="62915"/>
  <c r="F63" i="62912"/>
  <c r="R23" i="62912"/>
  <c r="G63" i="62912"/>
  <c r="I487" i="62898"/>
  <c r="G153" i="62909" s="1"/>
  <c r="H153" i="62909" s="1"/>
  <c r="W54" i="62926"/>
  <c r="AE316" i="5"/>
  <c r="X316" i="5" s="1"/>
  <c r="AF262" i="5"/>
  <c r="I609" i="5" s="1"/>
  <c r="G100" i="62909" s="1"/>
  <c r="H100" i="62909" s="1"/>
  <c r="X306" i="5"/>
  <c r="S25" i="62911"/>
  <c r="J24" i="62911"/>
  <c r="D67" i="62926"/>
  <c r="C34" i="62892"/>
  <c r="D34" i="62892" s="1"/>
  <c r="C40" i="62909"/>
  <c r="E40" i="62909" s="1"/>
  <c r="C34" i="62910"/>
  <c r="E34" i="62910" s="1"/>
  <c r="C26" i="62910"/>
  <c r="E26" i="62910" s="1"/>
  <c r="C32" i="62909"/>
  <c r="E32" i="62909" s="1"/>
  <c r="AE132" i="5"/>
  <c r="X132" i="5" s="1"/>
  <c r="AF412" i="62898"/>
  <c r="C120" i="62892"/>
  <c r="D140" i="62924"/>
  <c r="C139" i="62924"/>
  <c r="C123" i="62909"/>
  <c r="E123" i="62909" s="1"/>
  <c r="F632" i="5"/>
  <c r="C146" i="62909"/>
  <c r="E146" i="62909" s="1"/>
  <c r="C132" i="62909"/>
  <c r="E132" i="62909" s="1"/>
  <c r="F466" i="62898"/>
  <c r="E261" i="62905"/>
  <c r="M577" i="62898"/>
  <c r="M24" i="62915" s="1"/>
  <c r="H52" i="62915" s="1"/>
  <c r="N15" i="62915"/>
  <c r="J480" i="62898"/>
  <c r="K511" i="62898"/>
  <c r="K24" i="62912" s="1"/>
  <c r="E64" i="62912" s="1"/>
  <c r="N543" i="62898"/>
  <c r="N24" i="62914" s="1"/>
  <c r="H53" i="62914" s="1"/>
  <c r="C150" i="62909"/>
  <c r="E150" i="62909" s="1"/>
  <c r="F484" i="62898"/>
  <c r="K498" i="62898"/>
  <c r="K502" i="62898" s="1"/>
  <c r="D261" i="62922"/>
  <c r="E262" i="62922"/>
  <c r="E263" i="62922" s="1"/>
  <c r="F603" i="5"/>
  <c r="C94" i="62909"/>
  <c r="E94" i="62909" s="1"/>
  <c r="P15" i="62912"/>
  <c r="N15" i="62912"/>
  <c r="J596" i="5"/>
  <c r="J15" i="62912"/>
  <c r="F15" i="62912"/>
  <c r="G15" i="62912"/>
  <c r="E15" i="62912"/>
  <c r="E15" i="62915"/>
  <c r="G15" i="62915"/>
  <c r="S15" i="62912"/>
  <c r="O15" i="62912"/>
  <c r="K15" i="62915"/>
  <c r="F15" i="62915"/>
  <c r="R21" i="62914"/>
  <c r="F26" i="62929"/>
  <c r="R26" i="62929" s="1"/>
  <c r="L679" i="5"/>
  <c r="L11" i="62914"/>
  <c r="S21" i="62914"/>
  <c r="G26" i="62929"/>
  <c r="S26" i="62929" s="1"/>
  <c r="E16" i="62929"/>
  <c r="Q16" i="62929" s="1"/>
  <c r="Q19" i="62929" s="1"/>
  <c r="Q11" i="62914"/>
  <c r="Q14" i="62914" s="1"/>
  <c r="F16" i="62929"/>
  <c r="R16" i="62929" s="1"/>
  <c r="R19" i="62929" s="1"/>
  <c r="R11" i="62914"/>
  <c r="R14" i="62914" s="1"/>
  <c r="Y21" i="62914"/>
  <c r="M26" i="62929"/>
  <c r="Y26" i="62929" s="1"/>
  <c r="I648" i="5"/>
  <c r="I11" i="62912"/>
  <c r="E42" i="62912" s="1"/>
  <c r="F42" i="62912" s="1"/>
  <c r="Y11" i="62914"/>
  <c r="Y14" i="62914" s="1"/>
  <c r="M16" i="62929"/>
  <c r="Y16" i="62929" s="1"/>
  <c r="Y19" i="62929" s="1"/>
  <c r="S11" i="62914"/>
  <c r="S14" i="62914" s="1"/>
  <c r="G16" i="62929"/>
  <c r="S16" i="62929" s="1"/>
  <c r="S19" i="62929" s="1"/>
  <c r="J714" i="5"/>
  <c r="J11" i="62915"/>
  <c r="D291" i="7"/>
  <c r="D332" i="7" s="1"/>
  <c r="C44" i="62892" s="1"/>
  <c r="Z195" i="7"/>
  <c r="V291" i="7"/>
  <c r="D446" i="62898"/>
  <c r="I446" i="62898" s="1"/>
  <c r="D569" i="5"/>
  <c r="E998" i="62921"/>
  <c r="E999" i="62921" s="1"/>
  <c r="E1000" i="62921" s="1"/>
  <c r="E321" i="62921"/>
  <c r="E322" i="62921" s="1"/>
  <c r="E323" i="62921" s="1"/>
  <c r="D320" i="62921"/>
  <c r="K506" i="62898"/>
  <c r="F483" i="62898"/>
  <c r="N540" i="62898"/>
  <c r="M572" i="62898"/>
  <c r="M611" i="62898" s="1"/>
  <c r="J483" i="62898"/>
  <c r="AE97" i="5"/>
  <c r="X95" i="5"/>
  <c r="D95" i="5"/>
  <c r="D97" i="5" s="1"/>
  <c r="I97" i="5"/>
  <c r="E600" i="5" s="1"/>
  <c r="AF372" i="5"/>
  <c r="C135" i="62922"/>
  <c r="D138" i="62922"/>
  <c r="D139" i="62922" s="1"/>
  <c r="E141" i="62922"/>
  <c r="F610" i="5"/>
  <c r="E621" i="5"/>
  <c r="F621" i="5" s="1"/>
  <c r="C109" i="62909"/>
  <c r="E109" i="62909" s="1"/>
  <c r="C101" i="62909"/>
  <c r="E101" i="62909" s="1"/>
  <c r="F594" i="5"/>
  <c r="C114" i="62909"/>
  <c r="E114" i="62909" s="1"/>
  <c r="F618" i="5"/>
  <c r="D46" i="5"/>
  <c r="C85" i="62909"/>
  <c r="E85" i="62909" s="1"/>
  <c r="F623" i="5"/>
  <c r="I593" i="5"/>
  <c r="G84" i="62909" s="1"/>
  <c r="H84" i="62909" s="1"/>
  <c r="I622" i="5"/>
  <c r="G113" i="62909" s="1"/>
  <c r="H113" i="62909" s="1"/>
  <c r="AE352" i="5"/>
  <c r="X352" i="5" s="1"/>
  <c r="D515" i="5"/>
  <c r="X348" i="5"/>
  <c r="AF348" i="5" s="1"/>
  <c r="AF352" i="5" s="1"/>
  <c r="E592" i="5"/>
  <c r="C83" i="62909" s="1"/>
  <c r="E83" i="62909" s="1"/>
  <c r="E593" i="5"/>
  <c r="F593" i="5" s="1"/>
  <c r="F625" i="5"/>
  <c r="K654" i="5"/>
  <c r="I635" i="5"/>
  <c r="G126" i="62909" s="1"/>
  <c r="H126" i="62909" s="1"/>
  <c r="D413" i="5"/>
  <c r="M754" i="5"/>
  <c r="D372" i="5"/>
  <c r="D148" i="5"/>
  <c r="M720" i="5"/>
  <c r="E622" i="5"/>
  <c r="C113" i="62909" s="1"/>
  <c r="E113" i="62909" s="1"/>
  <c r="D332" i="5"/>
  <c r="E634" i="5"/>
  <c r="C125" i="62909" s="1"/>
  <c r="E125" i="62909" s="1"/>
  <c r="E605" i="5"/>
  <c r="F605" i="5" s="1"/>
  <c r="AE262" i="5"/>
  <c r="J625" i="5"/>
  <c r="D18" i="62917"/>
  <c r="D24" i="5"/>
  <c r="I139" i="62904"/>
  <c r="E113" i="3"/>
  <c r="M113" i="3" s="1"/>
  <c r="C25" i="62892"/>
  <c r="E114" i="3"/>
  <c r="M114" i="3" s="1"/>
  <c r="C26" i="62892"/>
  <c r="D33" i="62892"/>
  <c r="G33" i="62892"/>
  <c r="E108" i="62919"/>
  <c r="E45" i="62919"/>
  <c r="E46" i="62919" s="1"/>
  <c r="D127" i="62919"/>
  <c r="C127" i="62919" s="1"/>
  <c r="C220" i="62919"/>
  <c r="D221" i="62919"/>
  <c r="C126" i="62919"/>
  <c r="E129" i="62919"/>
  <c r="C37" i="62919"/>
  <c r="C57" i="62909"/>
  <c r="E57" i="62909" s="1"/>
  <c r="C51" i="62892"/>
  <c r="D51" i="62892" s="1"/>
  <c r="I325" i="62928"/>
  <c r="E325" i="62928"/>
  <c r="M325" i="62928" s="1"/>
  <c r="H333" i="7"/>
  <c r="K333" i="7" s="1"/>
  <c r="L33" i="7"/>
  <c r="L304" i="62928"/>
  <c r="E224" i="62919"/>
  <c r="C57" i="62919"/>
  <c r="D59" i="62919"/>
  <c r="D60" i="62919" s="1"/>
  <c r="C58" i="62919" s="1"/>
  <c r="H327" i="7"/>
  <c r="N327" i="7" s="1"/>
  <c r="G57" i="62910"/>
  <c r="H57" i="62910" s="1"/>
  <c r="N397" i="62928"/>
  <c r="H332" i="62928"/>
  <c r="K332" i="62928" s="1"/>
  <c r="F259" i="62904"/>
  <c r="F29" i="62915"/>
  <c r="R29" i="62915" s="1"/>
  <c r="D226" i="62924"/>
  <c r="E228" i="62924"/>
  <c r="M586" i="62898"/>
  <c r="M33" i="62915" s="1"/>
  <c r="E61" i="62915" s="1"/>
  <c r="I133" i="62904"/>
  <c r="I258" i="62905"/>
  <c r="H200" i="62925"/>
  <c r="F15" i="62892" s="1"/>
  <c r="C191" i="62909"/>
  <c r="E191" i="62909" s="1"/>
  <c r="D122" i="62904"/>
  <c r="C111" i="62910" s="1"/>
  <c r="E111" i="62910" s="1"/>
  <c r="K520" i="62898"/>
  <c r="K33" i="62912" s="1"/>
  <c r="E73" i="62912" s="1"/>
  <c r="N544" i="62898"/>
  <c r="N25" i="62914" s="1"/>
  <c r="H54" i="62914" s="1"/>
  <c r="D229" i="5"/>
  <c r="D168" i="5"/>
  <c r="E635" i="5"/>
  <c r="J635" i="5" s="1"/>
  <c r="M710" i="5"/>
  <c r="M714" i="5" s="1"/>
  <c r="M751" i="5"/>
  <c r="I261" i="62905"/>
  <c r="E258" i="62923"/>
  <c r="E259" i="62923" s="1"/>
  <c r="C31" i="62909"/>
  <c r="E31" i="62909" s="1"/>
  <c r="C25" i="62910"/>
  <c r="E25" i="62910" s="1"/>
  <c r="E258" i="62905"/>
  <c r="M299" i="62926"/>
  <c r="E278" i="9"/>
  <c r="D252" i="9"/>
  <c r="AP213" i="9"/>
  <c r="AP217" i="9" s="1"/>
  <c r="AH217" i="9"/>
  <c r="Y213" i="9"/>
  <c r="AD217" i="9"/>
  <c r="Y230" i="9"/>
  <c r="AD232" i="9"/>
  <c r="E279" i="9"/>
  <c r="D253" i="9"/>
  <c r="F21" i="62915"/>
  <c r="R21" i="62915" s="1"/>
  <c r="F378" i="9"/>
  <c r="F398" i="9"/>
  <c r="F20" i="62914"/>
  <c r="F346" i="9"/>
  <c r="C90" i="62924"/>
  <c r="D91" i="62924"/>
  <c r="E96" i="62924"/>
  <c r="E97" i="62924" s="1"/>
  <c r="E98" i="62924" s="1"/>
  <c r="E99" i="62924" s="1"/>
  <c r="E100" i="62924" s="1"/>
  <c r="F57" i="62892"/>
  <c r="G52" i="62912"/>
  <c r="R10" i="62912"/>
  <c r="F52" i="62912"/>
  <c r="V10" i="62915"/>
  <c r="F40" i="62915"/>
  <c r="G40" i="62915"/>
  <c r="G42" i="62914"/>
  <c r="L15" i="62929"/>
  <c r="X15" i="62929" s="1"/>
  <c r="F42" i="62914"/>
  <c r="X10" i="62914"/>
  <c r="D994" i="62921"/>
  <c r="D995" i="62921" s="1"/>
  <c r="D996" i="62921" s="1"/>
  <c r="D997" i="62921" s="1"/>
  <c r="C992" i="62921"/>
  <c r="E874" i="62921"/>
  <c r="E875" i="62921" s="1"/>
  <c r="E876" i="62921" s="1"/>
  <c r="X279" i="5"/>
  <c r="AE281" i="5"/>
  <c r="G130" i="62909"/>
  <c r="H130" i="62909" s="1"/>
  <c r="J616" i="5"/>
  <c r="F616" i="5"/>
  <c r="C107" i="62909"/>
  <c r="E107" i="62909" s="1"/>
  <c r="AE462" i="5"/>
  <c r="I462" i="5"/>
  <c r="D279" i="5"/>
  <c r="D281" i="5" s="1"/>
  <c r="E617" i="5" s="1"/>
  <c r="I281" i="5"/>
  <c r="C119" i="62909"/>
  <c r="E119" i="62909" s="1"/>
  <c r="F628" i="5"/>
  <c r="J628" i="5"/>
  <c r="D454" i="62898"/>
  <c r="N676" i="5"/>
  <c r="N679" i="5" s="1"/>
  <c r="E391" i="62923"/>
  <c r="D257" i="62923"/>
  <c r="M191" i="3"/>
  <c r="L124" i="62927"/>
  <c r="G32" i="62914"/>
  <c r="S32" i="62914" s="1"/>
  <c r="H28" i="62909"/>
  <c r="H36" i="62909"/>
  <c r="H113" i="62927"/>
  <c r="F33" i="62892" s="1"/>
  <c r="L100" i="62927"/>
  <c r="V113" i="62904"/>
  <c r="H139" i="62904"/>
  <c r="G196" i="62909" s="1"/>
  <c r="H196" i="62909" s="1"/>
  <c r="N157" i="62927"/>
  <c r="M212" i="62927"/>
  <c r="L125" i="62927"/>
  <c r="L146" i="62927"/>
  <c r="M236" i="62927"/>
  <c r="M191" i="62927"/>
  <c r="M190" i="62927"/>
  <c r="L171" i="62927"/>
  <c r="J158" i="62927"/>
  <c r="H158" i="62927"/>
  <c r="L156" i="62927"/>
  <c r="L170" i="62927"/>
  <c r="H181" i="62927"/>
  <c r="E77" i="62918"/>
  <c r="E78" i="62918" s="1"/>
  <c r="E18" i="62918"/>
  <c r="N156" i="3"/>
  <c r="L137" i="3"/>
  <c r="M190" i="3"/>
  <c r="N157" i="3"/>
  <c r="M203" i="3"/>
  <c r="N171" i="3"/>
  <c r="M234" i="3"/>
  <c r="L157" i="3"/>
  <c r="H13" i="62914"/>
  <c r="I13" i="62914"/>
  <c r="L171" i="3"/>
  <c r="H27" i="62914"/>
  <c r="I12" i="62914"/>
  <c r="I158" i="3"/>
  <c r="I26" i="62914"/>
  <c r="I181" i="3"/>
  <c r="J26" i="62914"/>
  <c r="J181" i="3"/>
  <c r="H22" i="62910"/>
  <c r="C32" i="62892"/>
  <c r="I112" i="62927"/>
  <c r="C32" i="62910"/>
  <c r="E112" i="62927"/>
  <c r="C38" i="62909"/>
  <c r="D115" i="62927"/>
  <c r="N170" i="62927"/>
  <c r="N171" i="62927"/>
  <c r="M230" i="62927"/>
  <c r="L59" i="62927"/>
  <c r="H112" i="62927"/>
  <c r="L137" i="62927"/>
  <c r="N156" i="62927"/>
  <c r="M203" i="62927"/>
  <c r="M234" i="62927"/>
  <c r="L157" i="62927"/>
  <c r="I158" i="62927"/>
  <c r="I181" i="62927"/>
  <c r="J181" i="62927"/>
  <c r="H113" i="3"/>
  <c r="F25" i="62892" s="1"/>
  <c r="L100" i="3"/>
  <c r="L88" i="62927"/>
  <c r="H114" i="62927"/>
  <c r="E112" i="3"/>
  <c r="C24" i="62892"/>
  <c r="C30" i="62909"/>
  <c r="C24" i="62910"/>
  <c r="D115" i="3"/>
  <c r="L88" i="3"/>
  <c r="H114" i="3"/>
  <c r="C33" i="62910"/>
  <c r="E33" i="62910" s="1"/>
  <c r="I113" i="62927"/>
  <c r="C39" i="62909"/>
  <c r="E39" i="62909" s="1"/>
  <c r="E113" i="62927"/>
  <c r="D17" i="62918"/>
  <c r="E114" i="62927"/>
  <c r="I114" i="62927"/>
  <c r="M212" i="3"/>
  <c r="L124" i="3"/>
  <c r="L146" i="3"/>
  <c r="N170" i="3"/>
  <c r="M230" i="3"/>
  <c r="L125" i="3"/>
  <c r="M236" i="3"/>
  <c r="H112" i="3"/>
  <c r="I112" i="3" s="1"/>
  <c r="L59" i="3"/>
  <c r="J13" i="62914"/>
  <c r="J27" i="62914"/>
  <c r="I27" i="62914"/>
  <c r="J158" i="3"/>
  <c r="J12" i="62914"/>
  <c r="H158" i="3"/>
  <c r="H12" i="62914"/>
  <c r="L156" i="3"/>
  <c r="H26" i="62914"/>
  <c r="L170" i="3"/>
  <c r="H181" i="3"/>
  <c r="D76" i="62918"/>
  <c r="J569" i="62898"/>
  <c r="J571" i="62898" s="1"/>
  <c r="E571" i="62898"/>
  <c r="AG223" i="62898"/>
  <c r="AS221" i="62898"/>
  <c r="AS223" i="62898" s="1"/>
  <c r="L534" i="62898"/>
  <c r="L536" i="62898" s="1"/>
  <c r="E536" i="62898"/>
  <c r="E505" i="62898"/>
  <c r="I503" i="62898"/>
  <c r="I505" i="62898" s="1"/>
  <c r="Y23" i="62914"/>
  <c r="L47" i="62928"/>
  <c r="D1767" i="62919"/>
  <c r="H328" i="7"/>
  <c r="G46" i="62909" s="1"/>
  <c r="H46" i="62909" s="1"/>
  <c r="C1859" i="62919"/>
  <c r="C201" i="62909"/>
  <c r="E201" i="62909" s="1"/>
  <c r="E260" i="62905"/>
  <c r="E247" i="62905"/>
  <c r="M247" i="62905" s="1"/>
  <c r="G163" i="62909"/>
  <c r="H163" i="62909" s="1"/>
  <c r="L35" i="62915"/>
  <c r="H237" i="2"/>
  <c r="G160" i="62909" s="1"/>
  <c r="C120" i="62910"/>
  <c r="E120" i="62910" s="1"/>
  <c r="V80" i="62905"/>
  <c r="Q94" i="2"/>
  <c r="H243" i="62905"/>
  <c r="I243" i="62905" s="1"/>
  <c r="G363" i="62905"/>
  <c r="G30" i="62915" s="1"/>
  <c r="E336" i="62905"/>
  <c r="Q79" i="2"/>
  <c r="H238" i="2"/>
  <c r="G161" i="62909" s="1"/>
  <c r="H161" i="62909" s="1"/>
  <c r="F28" i="62929"/>
  <c r="R28" i="62929" s="1"/>
  <c r="R23" i="62914"/>
  <c r="C161" i="62909"/>
  <c r="E161" i="62909" s="1"/>
  <c r="I238" i="2"/>
  <c r="I239" i="2"/>
  <c r="C162" i="62909"/>
  <c r="E162" i="62909" s="1"/>
  <c r="E22" i="62923"/>
  <c r="E23" i="62923" s="1"/>
  <c r="E24" i="62923" s="1"/>
  <c r="C159" i="62909"/>
  <c r="E159" i="62909" s="1"/>
  <c r="H235" i="2"/>
  <c r="G158" i="62909" s="1"/>
  <c r="H158" i="62909" s="1"/>
  <c r="Q47" i="2"/>
  <c r="H220" i="2"/>
  <c r="C94" i="62892"/>
  <c r="E269" i="62905"/>
  <c r="I269" i="62905"/>
  <c r="K224" i="2"/>
  <c r="G162" i="62909"/>
  <c r="H162" i="62909" s="1"/>
  <c r="C96" i="62892"/>
  <c r="C96" i="62910"/>
  <c r="E96" i="62910" s="1"/>
  <c r="E222" i="2"/>
  <c r="S23" i="62914"/>
  <c r="G28" i="62929"/>
  <c r="S28" i="62929" s="1"/>
  <c r="V127" i="62905"/>
  <c r="E223" i="2"/>
  <c r="C97" i="62910"/>
  <c r="E97" i="62910" s="1"/>
  <c r="C97" i="62892"/>
  <c r="V233" i="62905"/>
  <c r="H251" i="62905"/>
  <c r="H269" i="62905"/>
  <c r="G210" i="62909" s="1"/>
  <c r="H210" i="62909" s="1"/>
  <c r="C98" i="62892"/>
  <c r="E224" i="2"/>
  <c r="C98" i="62910"/>
  <c r="E98" i="62910" s="1"/>
  <c r="V112" i="62905"/>
  <c r="C95" i="62910"/>
  <c r="E95" i="62910" s="1"/>
  <c r="E221" i="2"/>
  <c r="C95" i="62892"/>
  <c r="Q64" i="2"/>
  <c r="H236" i="2"/>
  <c r="G159" i="62909" s="1"/>
  <c r="H159" i="62909" s="1"/>
  <c r="H221" i="2"/>
  <c r="N221" i="2" s="1"/>
  <c r="C158" i="62909"/>
  <c r="E235" i="2"/>
  <c r="D20" i="62923"/>
  <c r="E251" i="62905"/>
  <c r="C160" i="62909"/>
  <c r="E160" i="62909" s="1"/>
  <c r="I237" i="2"/>
  <c r="V97" i="62905"/>
  <c r="H261" i="62905"/>
  <c r="G202" i="62909" s="1"/>
  <c r="H202" i="62909" s="1"/>
  <c r="H244" i="62905"/>
  <c r="F97" i="62892"/>
  <c r="G97" i="62910"/>
  <c r="H97" i="62910" s="1"/>
  <c r="N223" i="2"/>
  <c r="K223" i="2"/>
  <c r="M243" i="62905"/>
  <c r="L243" i="62905"/>
  <c r="F96" i="62892"/>
  <c r="G96" i="62910"/>
  <c r="K222" i="2"/>
  <c r="N222" i="2"/>
  <c r="D119" i="62892"/>
  <c r="G119" i="62892"/>
  <c r="E118" i="62910"/>
  <c r="M244" i="62905"/>
  <c r="L244" i="62905"/>
  <c r="K644" i="5"/>
  <c r="K648" i="5" s="1"/>
  <c r="M722" i="5"/>
  <c r="M23" i="62915" s="1"/>
  <c r="E51" i="62915" s="1"/>
  <c r="K656" i="5"/>
  <c r="K23" i="62912" s="1"/>
  <c r="E63" i="62912" s="1"/>
  <c r="E608" i="5"/>
  <c r="J608" i="5" s="1"/>
  <c r="I606" i="5"/>
  <c r="G97" i="62909" s="1"/>
  <c r="H97" i="62909" s="1"/>
  <c r="D207" i="5"/>
  <c r="E614" i="5"/>
  <c r="F614" i="5" s="1"/>
  <c r="AE515" i="5"/>
  <c r="X515" i="5" s="1"/>
  <c r="D391" i="5"/>
  <c r="X325" i="5"/>
  <c r="AE332" i="5"/>
  <c r="X141" i="5"/>
  <c r="AE148" i="5"/>
  <c r="X164" i="5"/>
  <c r="AF164" i="5" s="1"/>
  <c r="AF168" i="5" s="1"/>
  <c r="AE168" i="5"/>
  <c r="E606" i="5"/>
  <c r="X75" i="5"/>
  <c r="AF75" i="5" s="1"/>
  <c r="AE78" i="5"/>
  <c r="X186" i="5"/>
  <c r="AF186" i="5" s="1"/>
  <c r="AF188" i="5" s="1"/>
  <c r="AE188" i="5"/>
  <c r="X188" i="5" s="1"/>
  <c r="AF445" i="5"/>
  <c r="I624" i="5" s="1"/>
  <c r="AE413" i="5"/>
  <c r="AF46" i="5"/>
  <c r="I591" i="5" s="1"/>
  <c r="X384" i="5"/>
  <c r="AE391" i="5"/>
  <c r="X533" i="5"/>
  <c r="AF533" i="5" s="1"/>
  <c r="AF535" i="5" s="1"/>
  <c r="AE535" i="5"/>
  <c r="E615" i="5"/>
  <c r="AE207" i="5"/>
  <c r="X200" i="5"/>
  <c r="X225" i="5"/>
  <c r="AF225" i="5" s="1"/>
  <c r="AF229" i="5" s="1"/>
  <c r="I607" i="5" s="1"/>
  <c r="G98" i="62909" s="1"/>
  <c r="H98" i="62909" s="1"/>
  <c r="AE229" i="5"/>
  <c r="X229" i="5" s="1"/>
  <c r="X17" i="5"/>
  <c r="AE24" i="5"/>
  <c r="AE445" i="5"/>
  <c r="AE372" i="5"/>
  <c r="X372" i="5" s="1"/>
  <c r="AF413" i="5"/>
  <c r="I620" i="5" s="1"/>
  <c r="AE46" i="5"/>
  <c r="X46" i="5" s="1"/>
  <c r="E363" i="62905"/>
  <c r="E390" i="62905" s="1"/>
  <c r="D2287" i="62917"/>
  <c r="D2288" i="62917" s="1"/>
  <c r="C2288" i="62917" s="1"/>
  <c r="E2291" i="62917"/>
  <c r="D172" i="62919"/>
  <c r="C172" i="62919" s="1"/>
  <c r="C171" i="62919"/>
  <c r="E173" i="62919"/>
  <c r="K356" i="62928"/>
  <c r="K26" i="62912" s="1"/>
  <c r="T26" i="62912" s="1"/>
  <c r="M454" i="62928"/>
  <c r="I20" i="62915"/>
  <c r="U20" i="62915" s="1"/>
  <c r="G19" i="62914"/>
  <c r="G24" i="62929" s="1"/>
  <c r="S24" i="62929" s="1"/>
  <c r="F61" i="62892"/>
  <c r="P77" i="11"/>
  <c r="G61" i="62910"/>
  <c r="H61" i="62910" s="1"/>
  <c r="M77" i="11"/>
  <c r="D1233" i="62919"/>
  <c r="C1233" i="62919" s="1"/>
  <c r="E1039" i="62919"/>
  <c r="E1769" i="62919"/>
  <c r="E1236" i="62919"/>
  <c r="D1038" i="62919"/>
  <c r="E869" i="62919"/>
  <c r="E870" i="62919" s="1"/>
  <c r="E871" i="62919" s="1"/>
  <c r="D867" i="62919"/>
  <c r="C863" i="62919" s="1"/>
  <c r="C1232" i="62919"/>
  <c r="E899" i="62919"/>
  <c r="E1003" i="62919"/>
  <c r="E1372" i="62919"/>
  <c r="E1373" i="62919" s="1"/>
  <c r="E926" i="62919"/>
  <c r="D898" i="62919"/>
  <c r="D922" i="62919"/>
  <c r="D1371" i="62919"/>
  <c r="C38" i="62919"/>
  <c r="D39" i="62919"/>
  <c r="D17" i="62919"/>
  <c r="C15" i="62919" s="1"/>
  <c r="E18" i="62919"/>
  <c r="L316" i="62928"/>
  <c r="G20" i="62915"/>
  <c r="S20" i="62915" s="1"/>
  <c r="G20" i="62912"/>
  <c r="P20" i="62912" s="1"/>
  <c r="L60" i="62928"/>
  <c r="H326" i="62928"/>
  <c r="C46" i="62892"/>
  <c r="V56" i="62928"/>
  <c r="D60" i="62928"/>
  <c r="D326" i="62928" s="1"/>
  <c r="V31" i="7"/>
  <c r="D33" i="7"/>
  <c r="D326" i="7" s="1"/>
  <c r="N326" i="7" s="1"/>
  <c r="G57" i="62909"/>
  <c r="H57" i="62909" s="1"/>
  <c r="F51" i="62892"/>
  <c r="G51" i="62910"/>
  <c r="H51" i="62910" s="1"/>
  <c r="K325" i="62928"/>
  <c r="N325" i="62928"/>
  <c r="V69" i="62928"/>
  <c r="D74" i="62928"/>
  <c r="D327" i="62928" s="1"/>
  <c r="L33" i="62928"/>
  <c r="H324" i="62928"/>
  <c r="C62" i="62910"/>
  <c r="G78" i="11"/>
  <c r="C62" i="62892"/>
  <c r="D104" i="7"/>
  <c r="D330" i="7" s="1"/>
  <c r="Z83" i="7"/>
  <c r="Z104" i="7" s="1"/>
  <c r="V104" i="7"/>
  <c r="I334" i="7"/>
  <c r="C52" i="62909"/>
  <c r="E52" i="62909" s="1"/>
  <c r="V185" i="62928"/>
  <c r="Z185" i="62928"/>
  <c r="V185" i="7"/>
  <c r="H329" i="7"/>
  <c r="L74" i="7"/>
  <c r="V69" i="7"/>
  <c r="D74" i="7"/>
  <c r="D329" i="7" s="1"/>
  <c r="L74" i="62928"/>
  <c r="H327" i="62928"/>
  <c r="V29" i="62928"/>
  <c r="D33" i="62928"/>
  <c r="D324" i="62928" s="1"/>
  <c r="Q32" i="11"/>
  <c r="J78" i="11"/>
  <c r="K78" i="11" s="1"/>
  <c r="E88" i="11"/>
  <c r="I88" i="11"/>
  <c r="C68" i="62909"/>
  <c r="Z201" i="7"/>
  <c r="I331" i="62928"/>
  <c r="D185" i="62928"/>
  <c r="C57" i="62910"/>
  <c r="E57" i="62910" s="1"/>
  <c r="E331" i="62928"/>
  <c r="L331" i="62928" s="1"/>
  <c r="Z85" i="62928"/>
  <c r="Z104" i="62928" s="1"/>
  <c r="V104" i="62928"/>
  <c r="L168" i="7"/>
  <c r="H331" i="7"/>
  <c r="F19" i="62914"/>
  <c r="F401" i="7"/>
  <c r="H330" i="62928"/>
  <c r="Q291" i="62928"/>
  <c r="D168" i="62928"/>
  <c r="D185" i="7"/>
  <c r="H329" i="62928"/>
  <c r="L168" i="62928"/>
  <c r="J367" i="7"/>
  <c r="J20" i="62912"/>
  <c r="K433" i="7"/>
  <c r="K20" i="62915"/>
  <c r="W20" i="62915" s="1"/>
  <c r="E334" i="7"/>
  <c r="L334" i="7" s="1"/>
  <c r="K331" i="62928"/>
  <c r="N331" i="62928"/>
  <c r="C57" i="62892"/>
  <c r="G57" i="62892" s="1"/>
  <c r="H20" i="62912"/>
  <c r="Q20" i="62912" s="1"/>
  <c r="F20" i="62912"/>
  <c r="O20" i="62912" s="1"/>
  <c r="O35" i="62912" s="1"/>
  <c r="F367" i="7"/>
  <c r="F433" i="7"/>
  <c r="F20" i="62915"/>
  <c r="R20" i="62915" s="1"/>
  <c r="H332" i="7"/>
  <c r="Q291" i="7"/>
  <c r="M401" i="7"/>
  <c r="M19" i="62914"/>
  <c r="Z114" i="7"/>
  <c r="Z168" i="7" s="1"/>
  <c r="V168" i="7"/>
  <c r="D168" i="7"/>
  <c r="Z128" i="62928"/>
  <c r="Z168" i="62928" s="1"/>
  <c r="V168" i="62928"/>
  <c r="Z185" i="7"/>
  <c r="D104" i="62928"/>
  <c r="D328" i="62928" s="1"/>
  <c r="G44" i="62909"/>
  <c r="H44" i="62909" s="1"/>
  <c r="F38" i="62892"/>
  <c r="G38" i="62910"/>
  <c r="H38" i="62910" s="1"/>
  <c r="E397" i="62928"/>
  <c r="L397" i="62928" s="1"/>
  <c r="E454" i="62928"/>
  <c r="J454" i="62928" s="1"/>
  <c r="E422" i="62928"/>
  <c r="J422" i="62928" s="1"/>
  <c r="E356" i="62928"/>
  <c r="I356" i="62928" s="1"/>
  <c r="E63" i="62909"/>
  <c r="C51" i="62909"/>
  <c r="C45" i="62910"/>
  <c r="C45" i="62892"/>
  <c r="I333" i="7"/>
  <c r="E333" i="7"/>
  <c r="E399" i="7"/>
  <c r="E424" i="7"/>
  <c r="E456" i="7"/>
  <c r="J456" i="7" s="1"/>
  <c r="E358" i="7"/>
  <c r="K250" i="62926"/>
  <c r="F336" i="62905"/>
  <c r="E212" i="62925"/>
  <c r="D199" i="62925"/>
  <c r="E199" i="62925" s="1"/>
  <c r="K29" i="62915"/>
  <c r="W29" i="62915" s="1"/>
  <c r="K237" i="62904"/>
  <c r="D199" i="62926"/>
  <c r="I134" i="62904"/>
  <c r="I217" i="62925"/>
  <c r="F32" i="62914"/>
  <c r="F37" i="62929" s="1"/>
  <c r="R37" i="62929" s="1"/>
  <c r="I212" i="62925"/>
  <c r="I211" i="62926"/>
  <c r="AE53" i="62904"/>
  <c r="D53" i="62904"/>
  <c r="D135" i="62904" s="1"/>
  <c r="AE67" i="62925"/>
  <c r="D67" i="62925"/>
  <c r="AE67" i="62926"/>
  <c r="D201" i="62925"/>
  <c r="D215" i="62925"/>
  <c r="D215" i="62926"/>
  <c r="D201" i="62926"/>
  <c r="C17" i="62892"/>
  <c r="I202" i="62925"/>
  <c r="C17" i="62910"/>
  <c r="E17" i="62910" s="1"/>
  <c r="E202" i="62925"/>
  <c r="K202" i="62925"/>
  <c r="N202" i="62925"/>
  <c r="C12" i="62909"/>
  <c r="E12" i="62909" s="1"/>
  <c r="E216" i="62926"/>
  <c r="I216" i="62926"/>
  <c r="G17" i="62910"/>
  <c r="H17" i="62910" s="1"/>
  <c r="F17" i="62892"/>
  <c r="F10" i="62892"/>
  <c r="G10" i="62910"/>
  <c r="H10" i="62910" s="1"/>
  <c r="I216" i="62925"/>
  <c r="C22" i="62909"/>
  <c r="E22" i="62909" s="1"/>
  <c r="E216" i="62925"/>
  <c r="N202" i="62926"/>
  <c r="C10" i="62892"/>
  <c r="E202" i="62926"/>
  <c r="K202" i="62926"/>
  <c r="I202" i="62926"/>
  <c r="C10" i="62910"/>
  <c r="E10" i="62910" s="1"/>
  <c r="E217" i="62925"/>
  <c r="H201" i="62925"/>
  <c r="W67" i="62925"/>
  <c r="H215" i="62925"/>
  <c r="G21" i="62909" s="1"/>
  <c r="H21" i="62909" s="1"/>
  <c r="H137" i="62904"/>
  <c r="G194" i="62909" s="1"/>
  <c r="H194" i="62909" s="1"/>
  <c r="H124" i="62904"/>
  <c r="E19" i="62917"/>
  <c r="E20" i="62917" s="1"/>
  <c r="D137" i="62904"/>
  <c r="D124" i="62904"/>
  <c r="C7" i="62909"/>
  <c r="E7" i="62909" s="1"/>
  <c r="X473" i="5"/>
  <c r="X106" i="5"/>
  <c r="I212" i="62926"/>
  <c r="C8" i="62909"/>
  <c r="E8" i="62909" s="1"/>
  <c r="E212" i="62926"/>
  <c r="X290" i="5"/>
  <c r="W67" i="62926"/>
  <c r="H201" i="62926"/>
  <c r="H215" i="62926"/>
  <c r="G11" i="62909" s="1"/>
  <c r="H11" i="62909" s="1"/>
  <c r="M339" i="62925"/>
  <c r="M339" i="62926"/>
  <c r="M316" i="62926"/>
  <c r="G17" i="62909"/>
  <c r="N261" i="62926"/>
  <c r="N10" i="62914"/>
  <c r="I214" i="62926"/>
  <c r="C10" i="62909"/>
  <c r="E10" i="62909" s="1"/>
  <c r="E214" i="62926"/>
  <c r="K250" i="62925"/>
  <c r="I213" i="62925"/>
  <c r="C19" i="62909"/>
  <c r="E19" i="62909" s="1"/>
  <c r="E213" i="62925"/>
  <c r="W109" i="62926"/>
  <c r="H217" i="62926"/>
  <c r="V28" i="62904"/>
  <c r="H122" i="62904"/>
  <c r="P29" i="62912"/>
  <c r="N264" i="62925"/>
  <c r="H192" i="62926"/>
  <c r="AE190" i="62926"/>
  <c r="AE192" i="62926" s="1"/>
  <c r="D190" i="62926"/>
  <c r="D192" i="62926" s="1"/>
  <c r="AC190" i="62926"/>
  <c r="AC192" i="62926" s="1"/>
  <c r="C17" i="62909"/>
  <c r="E17" i="62909" s="1"/>
  <c r="I211" i="62925"/>
  <c r="E211" i="62925"/>
  <c r="H192" i="62925"/>
  <c r="D190" i="62925"/>
  <c r="D192" i="62925" s="1"/>
  <c r="AC190" i="62925"/>
  <c r="AC192" i="62925" s="1"/>
  <c r="H218" i="62925" s="1"/>
  <c r="G24" i="62909" s="1"/>
  <c r="H24" i="62909" s="1"/>
  <c r="AE190" i="62925"/>
  <c r="AE192" i="62925" s="1"/>
  <c r="N284" i="62926"/>
  <c r="M333" i="62925"/>
  <c r="M296" i="62925"/>
  <c r="K230" i="62926"/>
  <c r="K10" i="62912"/>
  <c r="M10" i="62915"/>
  <c r="M296" i="62926"/>
  <c r="M333" i="62926"/>
  <c r="I200" i="62926"/>
  <c r="K200" i="62926"/>
  <c r="N200" i="62926"/>
  <c r="C8" i="62892"/>
  <c r="C8" i="62910"/>
  <c r="E8" i="62910" s="1"/>
  <c r="E200" i="62926"/>
  <c r="N284" i="62925"/>
  <c r="M316" i="62925"/>
  <c r="S31" i="62914"/>
  <c r="G36" i="62929"/>
  <c r="S36" i="62929" s="1"/>
  <c r="W95" i="62925"/>
  <c r="H217" i="62925"/>
  <c r="G23" i="62909" s="1"/>
  <c r="H23" i="62909" s="1"/>
  <c r="G8" i="62910"/>
  <c r="H8" i="62910" s="1"/>
  <c r="F8" i="62892"/>
  <c r="H135" i="62904"/>
  <c r="H123" i="62904"/>
  <c r="V53" i="62904"/>
  <c r="I200" i="62925"/>
  <c r="E200" i="62925"/>
  <c r="C15" i="62892"/>
  <c r="C15" i="62910"/>
  <c r="E15" i="62910" s="1"/>
  <c r="W28" i="62925"/>
  <c r="H199" i="62925"/>
  <c r="H199" i="62926"/>
  <c r="W28" i="62926"/>
  <c r="G237" i="62904"/>
  <c r="G29" i="62915"/>
  <c r="S29" i="62915" s="1"/>
  <c r="G259" i="62904"/>
  <c r="K233" i="62925"/>
  <c r="M299" i="62925"/>
  <c r="M334" i="62925"/>
  <c r="C13" i="62909"/>
  <c r="E13" i="62909" s="1"/>
  <c r="I217" i="62926"/>
  <c r="E217" i="62926"/>
  <c r="E259" i="62905"/>
  <c r="C200" i="62909"/>
  <c r="E200" i="62909" s="1"/>
  <c r="I259" i="62905"/>
  <c r="F30" i="62915"/>
  <c r="F390" i="62905"/>
  <c r="F368" i="62905"/>
  <c r="E936" i="62917"/>
  <c r="D242" i="62905"/>
  <c r="V40" i="62905"/>
  <c r="E37" i="62929"/>
  <c r="Q37" i="62929" s="1"/>
  <c r="Q32" i="62914"/>
  <c r="H242" i="62905"/>
  <c r="V28" i="62905"/>
  <c r="G199" i="62909"/>
  <c r="E199" i="62909"/>
  <c r="C94" i="62910" l="1"/>
  <c r="H15" i="62912"/>
  <c r="X413" i="5"/>
  <c r="Q15" i="62912"/>
  <c r="T13" i="62915"/>
  <c r="T15" i="62915" s="1"/>
  <c r="H15" i="62915"/>
  <c r="V13" i="62915"/>
  <c r="G43" i="62915"/>
  <c r="F43" i="62915"/>
  <c r="R13" i="62912"/>
  <c r="F55" i="62912"/>
  <c r="G55" i="62912"/>
  <c r="K220" i="2"/>
  <c r="X127" i="62898"/>
  <c r="J469" i="62898"/>
  <c r="G111" i="62909"/>
  <c r="H111" i="62909" s="1"/>
  <c r="J620" i="5"/>
  <c r="I327" i="7"/>
  <c r="I325" i="7"/>
  <c r="J481" i="62898"/>
  <c r="Z19" i="62915"/>
  <c r="Z35" i="62915" s="1"/>
  <c r="N35" i="62915"/>
  <c r="N113" i="62927"/>
  <c r="G62" i="62915"/>
  <c r="V34" i="62915"/>
  <c r="L284" i="62926"/>
  <c r="E444" i="62898"/>
  <c r="L444" i="62898" s="1"/>
  <c r="J316" i="62926"/>
  <c r="I250" i="62926"/>
  <c r="Q27" i="62914"/>
  <c r="E32" i="62929"/>
  <c r="Q32" i="62929" s="1"/>
  <c r="R34" i="62912"/>
  <c r="F74" i="62912"/>
  <c r="G74" i="62912"/>
  <c r="D939" i="62921"/>
  <c r="C936" i="62921"/>
  <c r="E940" i="62921"/>
  <c r="E941" i="62921" s="1"/>
  <c r="C88" i="62910"/>
  <c r="E88" i="62910" s="1"/>
  <c r="G100" i="62910"/>
  <c r="H100" i="62910" s="1"/>
  <c r="F100" i="62892"/>
  <c r="G126" i="62910"/>
  <c r="H126" i="62910" s="1"/>
  <c r="F126" i="62892"/>
  <c r="D605" i="62921"/>
  <c r="D606" i="62921" s="1"/>
  <c r="D607" i="62921" s="1"/>
  <c r="E608" i="62921"/>
  <c r="E609" i="62921" s="1"/>
  <c r="E610" i="62921" s="1"/>
  <c r="E611" i="62921" s="1"/>
  <c r="E612" i="62921" s="1"/>
  <c r="E613" i="62921" s="1"/>
  <c r="E614" i="62921" s="1"/>
  <c r="E615" i="62921" s="1"/>
  <c r="E616" i="62921" s="1"/>
  <c r="E617" i="62921" s="1"/>
  <c r="E618" i="62921" s="1"/>
  <c r="E619" i="62921" s="1"/>
  <c r="E620" i="62921" s="1"/>
  <c r="E621" i="62921" s="1"/>
  <c r="E622" i="62921" s="1"/>
  <c r="E623" i="62921" s="1"/>
  <c r="E624" i="62921" s="1"/>
  <c r="E625" i="62921" s="1"/>
  <c r="E626" i="62921" s="1"/>
  <c r="E627" i="62921" s="1"/>
  <c r="E628" i="62921" s="1"/>
  <c r="E629" i="62921" s="1"/>
  <c r="E630" i="62921" s="1"/>
  <c r="E631" i="62921" s="1"/>
  <c r="E632" i="62921" s="1"/>
  <c r="E633" i="62921" s="1"/>
  <c r="E634" i="62921" s="1"/>
  <c r="E635" i="62921" s="1"/>
  <c r="E636" i="62921" s="1"/>
  <c r="E637" i="62921" s="1"/>
  <c r="E638" i="62921" s="1"/>
  <c r="E639" i="62921" s="1"/>
  <c r="E640" i="62921" s="1"/>
  <c r="E641" i="62921" s="1"/>
  <c r="E642" i="62921" s="1"/>
  <c r="E643" i="62921" s="1"/>
  <c r="E644" i="62921" s="1"/>
  <c r="E645" i="62921" s="1"/>
  <c r="E646" i="62921" s="1"/>
  <c r="E647" i="62921" s="1"/>
  <c r="E648" i="62921" s="1"/>
  <c r="E649" i="62921" s="1"/>
  <c r="E650" i="62921" s="1"/>
  <c r="E651" i="62921" s="1"/>
  <c r="E652" i="62921" s="1"/>
  <c r="E653" i="62921" s="1"/>
  <c r="E654" i="62921" s="1"/>
  <c r="E655" i="62921" s="1"/>
  <c r="E656" i="62921" s="1"/>
  <c r="E657" i="62921" s="1"/>
  <c r="E658" i="62921" s="1"/>
  <c r="E659" i="62921" s="1"/>
  <c r="E660" i="62921" s="1"/>
  <c r="E661" i="62921" s="1"/>
  <c r="E662" i="62921" s="1"/>
  <c r="E663" i="62921" s="1"/>
  <c r="E664" i="62921" s="1"/>
  <c r="E665" i="62921" s="1"/>
  <c r="E666" i="62921" s="1"/>
  <c r="E667" i="62921" s="1"/>
  <c r="E668" i="62921" s="1"/>
  <c r="E669" i="62921" s="1"/>
  <c r="E670" i="62921" s="1"/>
  <c r="E671" i="62921" s="1"/>
  <c r="E672" i="62921" s="1"/>
  <c r="E673" i="62921" s="1"/>
  <c r="E674" i="62921" s="1"/>
  <c r="E675" i="62921" s="1"/>
  <c r="E676" i="62921" s="1"/>
  <c r="E677" i="62921" s="1"/>
  <c r="E678" i="62921" s="1"/>
  <c r="E679" i="62921" s="1"/>
  <c r="E680" i="62921" s="1"/>
  <c r="E681" i="62921" s="1"/>
  <c r="E682" i="62921" s="1"/>
  <c r="E683" i="62921" s="1"/>
  <c r="E684" i="62921" s="1"/>
  <c r="E685" i="62921" s="1"/>
  <c r="E686" i="62921" s="1"/>
  <c r="E687" i="62921" s="1"/>
  <c r="E688" i="62921" s="1"/>
  <c r="E689" i="62921" s="1"/>
  <c r="E690" i="62921" s="1"/>
  <c r="E691" i="62921" s="1"/>
  <c r="E692" i="62921" s="1"/>
  <c r="E693" i="62921" s="1"/>
  <c r="E694" i="62921" s="1"/>
  <c r="E695" i="62921" s="1"/>
  <c r="E696" i="62921" s="1"/>
  <c r="E697" i="62921" s="1"/>
  <c r="E698" i="62921" s="1"/>
  <c r="E699" i="62921" s="1"/>
  <c r="E700" i="62921" s="1"/>
  <c r="E701" i="62921" s="1"/>
  <c r="E702" i="62921" s="1"/>
  <c r="E703" i="62921" s="1"/>
  <c r="E704" i="62921" s="1"/>
  <c r="E705" i="62921" s="1"/>
  <c r="E706" i="62921" s="1"/>
  <c r="E707" i="62921" s="1"/>
  <c r="E708" i="62921" s="1"/>
  <c r="E709" i="62921" s="1"/>
  <c r="E710" i="62921" s="1"/>
  <c r="E711" i="62921" s="1"/>
  <c r="E712" i="62921" s="1"/>
  <c r="E713" i="62921" s="1"/>
  <c r="E714" i="62921" s="1"/>
  <c r="E715" i="62921" s="1"/>
  <c r="E716" i="62921" s="1"/>
  <c r="E717" i="62921" s="1"/>
  <c r="E718" i="62921" s="1"/>
  <c r="E719" i="62921" s="1"/>
  <c r="E720" i="62921" s="1"/>
  <c r="E721" i="62921" s="1"/>
  <c r="E722" i="62921" s="1"/>
  <c r="E723" i="62921" s="1"/>
  <c r="E724" i="62921" s="1"/>
  <c r="E725" i="62921" s="1"/>
  <c r="E726" i="62921" s="1"/>
  <c r="E727" i="62921" s="1"/>
  <c r="E728" i="62921" s="1"/>
  <c r="E729" i="62921" s="1"/>
  <c r="E730" i="62921" s="1"/>
  <c r="E731" i="62921" s="1"/>
  <c r="E732" i="62921" s="1"/>
  <c r="E733" i="62921" s="1"/>
  <c r="E734" i="62921" s="1"/>
  <c r="E735" i="62921" s="1"/>
  <c r="E736" i="62921" s="1"/>
  <c r="E737" i="62921" s="1"/>
  <c r="E738" i="62921" s="1"/>
  <c r="E739" i="62921" s="1"/>
  <c r="E740" i="62921" s="1"/>
  <c r="E741" i="62921" s="1"/>
  <c r="E742" i="62921" s="1"/>
  <c r="E743" i="62921" s="1"/>
  <c r="E744" i="62921" s="1"/>
  <c r="E745" i="62921" s="1"/>
  <c r="E746" i="62921" s="1"/>
  <c r="E747" i="62921" s="1"/>
  <c r="E748" i="62921" s="1"/>
  <c r="E749" i="62921" s="1"/>
  <c r="E750" i="62921" s="1"/>
  <c r="E751" i="62921" s="1"/>
  <c r="E752" i="62921" s="1"/>
  <c r="E753" i="62921" s="1"/>
  <c r="E754" i="62921" s="1"/>
  <c r="E755" i="62921" s="1"/>
  <c r="E756" i="62921" s="1"/>
  <c r="E757" i="62921" s="1"/>
  <c r="E758" i="62921" s="1"/>
  <c r="E759" i="62921" s="1"/>
  <c r="E760" i="62921" s="1"/>
  <c r="E761" i="62921" s="1"/>
  <c r="E762" i="62921" s="1"/>
  <c r="E763" i="62921" s="1"/>
  <c r="E764" i="62921" s="1"/>
  <c r="E765" i="62921" s="1"/>
  <c r="E766" i="62921" s="1"/>
  <c r="E767" i="62921" s="1"/>
  <c r="E768" i="62921" s="1"/>
  <c r="E769" i="62921" s="1"/>
  <c r="E770" i="62921" s="1"/>
  <c r="E771" i="62921" s="1"/>
  <c r="E772" i="62921" s="1"/>
  <c r="E773" i="62921" s="1"/>
  <c r="E774" i="62921" s="1"/>
  <c r="E775" i="62921" s="1"/>
  <c r="E776" i="62921" s="1"/>
  <c r="E777" i="62921" s="1"/>
  <c r="E778" i="62921" s="1"/>
  <c r="E779" i="62921" s="1"/>
  <c r="E780" i="62921" s="1"/>
  <c r="E781" i="62921" s="1"/>
  <c r="E782" i="62921" s="1"/>
  <c r="E783" i="62921" s="1"/>
  <c r="E784" i="62921" s="1"/>
  <c r="E785" i="62921" s="1"/>
  <c r="E786" i="62921" s="1"/>
  <c r="E787" i="62921" s="1"/>
  <c r="E788" i="62921" s="1"/>
  <c r="E789" i="62921" s="1"/>
  <c r="E790" i="62921" s="1"/>
  <c r="E791" i="62921" s="1"/>
  <c r="E792" i="62921" s="1"/>
  <c r="E793" i="62921" s="1"/>
  <c r="E794" i="62921" s="1"/>
  <c r="E795" i="62921" s="1"/>
  <c r="E796" i="62921" s="1"/>
  <c r="E797" i="62921" s="1"/>
  <c r="E798" i="62921" s="1"/>
  <c r="E799" i="62921" s="1"/>
  <c r="E800" i="62921" s="1"/>
  <c r="E801" i="62921" s="1"/>
  <c r="E802" i="62921" s="1"/>
  <c r="E803" i="62921" s="1"/>
  <c r="E804" i="62921" s="1"/>
  <c r="E805" i="62921" s="1"/>
  <c r="E806" i="62921" s="1"/>
  <c r="E807" i="62921" s="1"/>
  <c r="E808" i="62921" s="1"/>
  <c r="E809" i="62921" s="1"/>
  <c r="E810" i="62921" s="1"/>
  <c r="E811" i="62921" s="1"/>
  <c r="E812" i="62921" s="1"/>
  <c r="E813" i="62921" s="1"/>
  <c r="E814" i="62921" s="1"/>
  <c r="E815" i="62921" s="1"/>
  <c r="E816" i="62921" s="1"/>
  <c r="E817" i="62921" s="1"/>
  <c r="E818" i="62921" s="1"/>
  <c r="E819" i="62921" s="1"/>
  <c r="E820" i="62921" s="1"/>
  <c r="E821" i="62921" s="1"/>
  <c r="E822" i="62921" s="1"/>
  <c r="E823" i="62921" s="1"/>
  <c r="E824" i="62921" s="1"/>
  <c r="E825" i="62921" s="1"/>
  <c r="E826" i="62921" s="1"/>
  <c r="E827" i="62921" s="1"/>
  <c r="E828" i="62921" s="1"/>
  <c r="E829" i="62921" s="1"/>
  <c r="E830" i="62921" s="1"/>
  <c r="E831" i="62921" s="1"/>
  <c r="E832" i="62921" s="1"/>
  <c r="E833" i="62921" s="1"/>
  <c r="E834" i="62921" s="1"/>
  <c r="E835" i="62921" s="1"/>
  <c r="E836" i="62921" s="1"/>
  <c r="E837" i="62921" s="1"/>
  <c r="E838" i="62921" s="1"/>
  <c r="E839" i="62921" s="1"/>
  <c r="E840" i="62921" s="1"/>
  <c r="E841" i="62921" s="1"/>
  <c r="E842" i="62921" s="1"/>
  <c r="E843" i="62921" s="1"/>
  <c r="E844" i="62921" s="1"/>
  <c r="E845" i="62921" s="1"/>
  <c r="E846" i="62921" s="1"/>
  <c r="E847" i="62921" s="1"/>
  <c r="E848" i="62921" s="1"/>
  <c r="E849" i="62921" s="1"/>
  <c r="E850" i="62921" s="1"/>
  <c r="E851" i="62921" s="1"/>
  <c r="E852" i="62921" s="1"/>
  <c r="E853" i="62921" s="1"/>
  <c r="E854" i="62921" s="1"/>
  <c r="E855" i="62921" s="1"/>
  <c r="E856" i="62921" s="1"/>
  <c r="E857" i="62921" s="1"/>
  <c r="E555" i="62922"/>
  <c r="D554" i="62922"/>
  <c r="C154" i="62909"/>
  <c r="E154" i="62909" s="1"/>
  <c r="AE286" i="62898"/>
  <c r="H445" i="62898" s="1"/>
  <c r="F89" i="62892" s="1"/>
  <c r="X281" i="62898"/>
  <c r="AF281" i="62898" s="1"/>
  <c r="AF286" i="62898" s="1"/>
  <c r="I478" i="62898" s="1"/>
  <c r="J466" i="62898"/>
  <c r="J488" i="62898"/>
  <c r="J476" i="62898"/>
  <c r="F476" i="62898"/>
  <c r="C142" i="62909"/>
  <c r="E142" i="62909" s="1"/>
  <c r="M245" i="62905"/>
  <c r="M757" i="5"/>
  <c r="N694" i="5"/>
  <c r="N29" i="62914" s="1"/>
  <c r="H57" i="62914" s="1"/>
  <c r="H446" i="62898"/>
  <c r="N446" i="62898" s="1"/>
  <c r="M250" i="62905"/>
  <c r="M327" i="7"/>
  <c r="G203" i="62909"/>
  <c r="H203" i="62909" s="1"/>
  <c r="I262" i="62905"/>
  <c r="K243" i="62905"/>
  <c r="L225" i="2"/>
  <c r="M226" i="2"/>
  <c r="I236" i="2"/>
  <c r="I221" i="2"/>
  <c r="AF78" i="5"/>
  <c r="I595" i="5" s="1"/>
  <c r="J595" i="5" s="1"/>
  <c r="D19" i="62922"/>
  <c r="E21" i="62922"/>
  <c r="E22" i="62922" s="1"/>
  <c r="E23" i="62922" s="1"/>
  <c r="E24" i="62922" s="1"/>
  <c r="E25" i="62922" s="1"/>
  <c r="D566" i="5"/>
  <c r="C73" i="62892" s="1"/>
  <c r="I632" i="5"/>
  <c r="G123" i="62909" s="1"/>
  <c r="H123" i="62909" s="1"/>
  <c r="J632" i="5"/>
  <c r="D485" i="62922"/>
  <c r="E299" i="62922"/>
  <c r="E300" i="62922" s="1"/>
  <c r="E301" i="62922" s="1"/>
  <c r="E302" i="62922" s="1"/>
  <c r="E303" i="62922" s="1"/>
  <c r="E304" i="62922" s="1"/>
  <c r="E305" i="62922" s="1"/>
  <c r="E306" i="62922" s="1"/>
  <c r="E307" i="62922" s="1"/>
  <c r="E308" i="62922" s="1"/>
  <c r="E309" i="62922" s="1"/>
  <c r="E310" i="62922" s="1"/>
  <c r="E311" i="62922" s="1"/>
  <c r="E312" i="62922" s="1"/>
  <c r="E313" i="62922" s="1"/>
  <c r="E314" i="62922" s="1"/>
  <c r="E315" i="62922" s="1"/>
  <c r="E316" i="62922" s="1"/>
  <c r="E317" i="62922" s="1"/>
  <c r="E318" i="62922" s="1"/>
  <c r="E319" i="62922" s="1"/>
  <c r="E320" i="62922" s="1"/>
  <c r="E321" i="62922" s="1"/>
  <c r="E322" i="62922" s="1"/>
  <c r="E323" i="62922" s="1"/>
  <c r="E324" i="62922" s="1"/>
  <c r="E325" i="62922" s="1"/>
  <c r="E326" i="62922" s="1"/>
  <c r="E327" i="62922" s="1"/>
  <c r="E328" i="62922" s="1"/>
  <c r="E329" i="62922" s="1"/>
  <c r="E330" i="62922" s="1"/>
  <c r="E331" i="62922" s="1"/>
  <c r="E332" i="62922" s="1"/>
  <c r="E333" i="62922" s="1"/>
  <c r="E334" i="62922" s="1"/>
  <c r="E335" i="62922" s="1"/>
  <c r="E336" i="62922" s="1"/>
  <c r="E337" i="62922" s="1"/>
  <c r="E338" i="62922" s="1"/>
  <c r="E339" i="62922" s="1"/>
  <c r="E340" i="62922" s="1"/>
  <c r="E341" i="62922" s="1"/>
  <c r="E342" i="62922" s="1"/>
  <c r="E343" i="62922" s="1"/>
  <c r="E344" i="62922" s="1"/>
  <c r="E345" i="62922" s="1"/>
  <c r="E346" i="62922" s="1"/>
  <c r="E347" i="62922" s="1"/>
  <c r="E348" i="62922" s="1"/>
  <c r="E349" i="62922" s="1"/>
  <c r="E350" i="62922" s="1"/>
  <c r="E351" i="62922" s="1"/>
  <c r="E352" i="62922" s="1"/>
  <c r="E353" i="62922" s="1"/>
  <c r="E354" i="62922" s="1"/>
  <c r="E355" i="62922" s="1"/>
  <c r="E356" i="62922" s="1"/>
  <c r="E357" i="62922" s="1"/>
  <c r="E358" i="62922" s="1"/>
  <c r="E359" i="62922" s="1"/>
  <c r="E360" i="62922" s="1"/>
  <c r="E361" i="62922" s="1"/>
  <c r="E362" i="62922" s="1"/>
  <c r="E363" i="62922" s="1"/>
  <c r="E364" i="62922" s="1"/>
  <c r="E365" i="62922" s="1"/>
  <c r="E366" i="62922" s="1"/>
  <c r="E367" i="62922" s="1"/>
  <c r="E368" i="62922" s="1"/>
  <c r="E369" i="62922" s="1"/>
  <c r="E370" i="62922" s="1"/>
  <c r="E371" i="62922" s="1"/>
  <c r="E372" i="62922" s="1"/>
  <c r="E373" i="62922" s="1"/>
  <c r="E374" i="62922" s="1"/>
  <c r="E375" i="62922" s="1"/>
  <c r="E376" i="62922" s="1"/>
  <c r="E377" i="62922" s="1"/>
  <c r="E378" i="62922" s="1"/>
  <c r="E379" i="62922" s="1"/>
  <c r="E380" i="62922" s="1"/>
  <c r="E381" i="62922" s="1"/>
  <c r="E382" i="62922" s="1"/>
  <c r="E383" i="62922" s="1"/>
  <c r="E384" i="62922" s="1"/>
  <c r="E385" i="62922" s="1"/>
  <c r="E386" i="62922" s="1"/>
  <c r="E387" i="62922" s="1"/>
  <c r="E388" i="62922" s="1"/>
  <c r="E389" i="62922" s="1"/>
  <c r="E390" i="62922" s="1"/>
  <c r="E391" i="62922" s="1"/>
  <c r="E392" i="62922" s="1"/>
  <c r="E393" i="62922" s="1"/>
  <c r="E394" i="62922" s="1"/>
  <c r="E395" i="62922" s="1"/>
  <c r="E396" i="62922" s="1"/>
  <c r="E397" i="62922" s="1"/>
  <c r="E398" i="62922" s="1"/>
  <c r="E399" i="62922" s="1"/>
  <c r="E400" i="62922" s="1"/>
  <c r="E401" i="62922" s="1"/>
  <c r="E402" i="62922" s="1"/>
  <c r="E403" i="62922" s="1"/>
  <c r="E404" i="62922" s="1"/>
  <c r="E405" i="62922" s="1"/>
  <c r="E406" i="62922" s="1"/>
  <c r="E407" i="62922" s="1"/>
  <c r="E408" i="62922" s="1"/>
  <c r="E409" i="62922" s="1"/>
  <c r="E410" i="62922" s="1"/>
  <c r="E411" i="62922" s="1"/>
  <c r="E412" i="62922" s="1"/>
  <c r="E413" i="62922" s="1"/>
  <c r="E414" i="62922" s="1"/>
  <c r="E415" i="62922" s="1"/>
  <c r="E416" i="62922" s="1"/>
  <c r="E417" i="62922" s="1"/>
  <c r="E418" i="62922" s="1"/>
  <c r="E419" i="62922" s="1"/>
  <c r="E420" i="62922" s="1"/>
  <c r="E421" i="62922" s="1"/>
  <c r="E422" i="62922" s="1"/>
  <c r="E423" i="62922" s="1"/>
  <c r="E424" i="62922" s="1"/>
  <c r="E425" i="62922" s="1"/>
  <c r="E426" i="62922" s="1"/>
  <c r="E427" i="62922" s="1"/>
  <c r="E428" i="62922" s="1"/>
  <c r="E429" i="62922" s="1"/>
  <c r="E430" i="62922" s="1"/>
  <c r="E431" i="62922" s="1"/>
  <c r="E432" i="62922" s="1"/>
  <c r="E433" i="62922" s="1"/>
  <c r="E434" i="62922" s="1"/>
  <c r="E435" i="62922" s="1"/>
  <c r="E436" i="62922" s="1"/>
  <c r="E437" i="62922" s="1"/>
  <c r="E438" i="62922" s="1"/>
  <c r="E439" i="62922" s="1"/>
  <c r="E440" i="62922" s="1"/>
  <c r="E441" i="62922" s="1"/>
  <c r="E442" i="62922" s="1"/>
  <c r="E443" i="62922" s="1"/>
  <c r="E444" i="62922" s="1"/>
  <c r="E445" i="62922" s="1"/>
  <c r="E446" i="62922" s="1"/>
  <c r="E447" i="62922" s="1"/>
  <c r="E448" i="62922" s="1"/>
  <c r="E449" i="62922" s="1"/>
  <c r="E450" i="62922" s="1"/>
  <c r="E451" i="62922" s="1"/>
  <c r="E452" i="62922" s="1"/>
  <c r="E453" i="62922" s="1"/>
  <c r="E454" i="62922" s="1"/>
  <c r="E455" i="62922" s="1"/>
  <c r="E456" i="62922" s="1"/>
  <c r="E457" i="62922" s="1"/>
  <c r="E458" i="62922" s="1"/>
  <c r="E459" i="62922" s="1"/>
  <c r="E460" i="62922" s="1"/>
  <c r="E461" i="62922" s="1"/>
  <c r="E462" i="62922" s="1"/>
  <c r="E463" i="62922" s="1"/>
  <c r="E464" i="62922" s="1"/>
  <c r="E465" i="62922" s="1"/>
  <c r="E466" i="62922" s="1"/>
  <c r="E467" i="62922" s="1"/>
  <c r="E468" i="62922" s="1"/>
  <c r="E469" i="62922" s="1"/>
  <c r="E470" i="62922" s="1"/>
  <c r="E471" i="62922" s="1"/>
  <c r="E472" i="62922" s="1"/>
  <c r="D290" i="62922"/>
  <c r="D291" i="62922" s="1"/>
  <c r="D292" i="62922" s="1"/>
  <c r="D293" i="62922" s="1"/>
  <c r="D294" i="62922" s="1"/>
  <c r="D295" i="62922" s="1"/>
  <c r="D296" i="62922" s="1"/>
  <c r="D297" i="62922" s="1"/>
  <c r="D298" i="62922" s="1"/>
  <c r="C286" i="62922"/>
  <c r="J464" i="62898"/>
  <c r="M16" i="62915"/>
  <c r="M18" i="62915" s="1"/>
  <c r="F464" i="62898"/>
  <c r="H444" i="62898"/>
  <c r="G88" i="62910" s="1"/>
  <c r="H88" i="62910" s="1"/>
  <c r="D19" i="62921"/>
  <c r="D20" i="62921" s="1"/>
  <c r="E22" i="62921"/>
  <c r="E23" i="62921" s="1"/>
  <c r="C15" i="62921"/>
  <c r="D208" i="62921"/>
  <c r="D209" i="62921" s="1"/>
  <c r="C87" i="62892"/>
  <c r="E443" i="62898"/>
  <c r="L443" i="62898" s="1"/>
  <c r="C204" i="62921"/>
  <c r="E210" i="62921"/>
  <c r="E211" i="62921" s="1"/>
  <c r="E212" i="62921" s="1"/>
  <c r="E213" i="62921" s="1"/>
  <c r="E214" i="62921" s="1"/>
  <c r="E215" i="62921" s="1"/>
  <c r="E216" i="62921" s="1"/>
  <c r="E217" i="62921" s="1"/>
  <c r="E218" i="62921" s="1"/>
  <c r="E219" i="62921" s="1"/>
  <c r="E220" i="62921" s="1"/>
  <c r="E221" i="62921" s="1"/>
  <c r="E222" i="62921" s="1"/>
  <c r="E223" i="62921" s="1"/>
  <c r="E224" i="62921" s="1"/>
  <c r="E225" i="62921" s="1"/>
  <c r="E226" i="62921" s="1"/>
  <c r="E227" i="62921" s="1"/>
  <c r="E228" i="62921" s="1"/>
  <c r="E229" i="62921" s="1"/>
  <c r="E230" i="62921" s="1"/>
  <c r="E231" i="62921" s="1"/>
  <c r="E232" i="62921" s="1"/>
  <c r="E233" i="62921" s="1"/>
  <c r="E234" i="62921" s="1"/>
  <c r="E235" i="62921" s="1"/>
  <c r="E236" i="62921" s="1"/>
  <c r="E237" i="62921" s="1"/>
  <c r="E238" i="62921" s="1"/>
  <c r="E239" i="62921" s="1"/>
  <c r="E240" i="62921" s="1"/>
  <c r="E241" i="62921" s="1"/>
  <c r="E242" i="62921" s="1"/>
  <c r="E243" i="62921" s="1"/>
  <c r="E244" i="62921" s="1"/>
  <c r="E245" i="62921" s="1"/>
  <c r="D447" i="62898"/>
  <c r="C91" i="62892" s="1"/>
  <c r="D253" i="62921"/>
  <c r="D254" i="62921" s="1"/>
  <c r="I443" i="62898"/>
  <c r="E255" i="62921"/>
  <c r="E256" i="62921" s="1"/>
  <c r="E257" i="62921" s="1"/>
  <c r="E258" i="62921" s="1"/>
  <c r="E259" i="62921" s="1"/>
  <c r="E260" i="62921" s="1"/>
  <c r="E261" i="62921" s="1"/>
  <c r="E262" i="62921" s="1"/>
  <c r="E263" i="62921" s="1"/>
  <c r="E264" i="62921" s="1"/>
  <c r="E265" i="62921" s="1"/>
  <c r="E266" i="62921" s="1"/>
  <c r="E267" i="62921" s="1"/>
  <c r="E268" i="62921" s="1"/>
  <c r="E269" i="62921" s="1"/>
  <c r="E270" i="62921" s="1"/>
  <c r="E271" i="62921" s="1"/>
  <c r="E272" i="62921" s="1"/>
  <c r="E273" i="62921" s="1"/>
  <c r="E274" i="62921" s="1"/>
  <c r="E275" i="62921" s="1"/>
  <c r="E276" i="62921" s="1"/>
  <c r="E277" i="62921" s="1"/>
  <c r="E278" i="62921" s="1"/>
  <c r="E279" i="62921" s="1"/>
  <c r="E280" i="62921" s="1"/>
  <c r="E281" i="62921" s="1"/>
  <c r="E282" i="62921" s="1"/>
  <c r="E283" i="62921" s="1"/>
  <c r="E284" i="62921" s="1"/>
  <c r="E285" i="62921" s="1"/>
  <c r="E286" i="62921" s="1"/>
  <c r="E287" i="62921" s="1"/>
  <c r="E288" i="62921" s="1"/>
  <c r="E289" i="62921" s="1"/>
  <c r="E290" i="62921" s="1"/>
  <c r="E291" i="62921" s="1"/>
  <c r="E292" i="62921" s="1"/>
  <c r="D339" i="62921"/>
  <c r="C335" i="62921"/>
  <c r="E340" i="62921"/>
  <c r="C2236" i="62917"/>
  <c r="D2241" i="62917"/>
  <c r="D2242" i="62917" s="1"/>
  <c r="E2244" i="62917"/>
  <c r="E2245" i="62917" s="1"/>
  <c r="E2246" i="62917" s="1"/>
  <c r="E2247" i="62917" s="1"/>
  <c r="E2248" i="62917" s="1"/>
  <c r="E2249" i="62917" s="1"/>
  <c r="E2250" i="62917" s="1"/>
  <c r="E2251" i="62917" s="1"/>
  <c r="E2252" i="62917" s="1"/>
  <c r="E2253" i="62917" s="1"/>
  <c r="E2254" i="62917" s="1"/>
  <c r="E2255" i="62917" s="1"/>
  <c r="E2256" i="62917" s="1"/>
  <c r="E2257" i="62917" s="1"/>
  <c r="E2258" i="62917" s="1"/>
  <c r="E2259" i="62917" s="1"/>
  <c r="E2260" i="62917" s="1"/>
  <c r="E2261" i="62917" s="1"/>
  <c r="E2262" i="62917" s="1"/>
  <c r="E2263" i="62917" s="1"/>
  <c r="E2264" i="62917" s="1"/>
  <c r="E2265" i="62917" s="1"/>
  <c r="E2266" i="62917" s="1"/>
  <c r="E2267" i="62917" s="1"/>
  <c r="E2268" i="62917" s="1"/>
  <c r="E2269" i="62917" s="1"/>
  <c r="E2270" i="62917" s="1"/>
  <c r="E2271" i="62917" s="1"/>
  <c r="E2272" i="62917" s="1"/>
  <c r="E2273" i="62917" s="1"/>
  <c r="E2274" i="62917" s="1"/>
  <c r="E2275" i="62917" s="1"/>
  <c r="E2276" i="62917" s="1"/>
  <c r="D419" i="62921"/>
  <c r="E420" i="62921"/>
  <c r="H441" i="62898"/>
  <c r="G85" i="62910" s="1"/>
  <c r="H85" i="62910" s="1"/>
  <c r="N545" i="62898"/>
  <c r="N26" i="62914" s="1"/>
  <c r="N31" i="62929" s="1"/>
  <c r="Z31" i="62929" s="1"/>
  <c r="I463" i="62898"/>
  <c r="K512" i="62898"/>
  <c r="K25" i="62912" s="1"/>
  <c r="H65" i="62912" s="1"/>
  <c r="H442" i="62898"/>
  <c r="G86" i="62910" s="1"/>
  <c r="H86" i="62910" s="1"/>
  <c r="M578" i="62898"/>
  <c r="M609" i="62898" s="1"/>
  <c r="F452" i="62898"/>
  <c r="F456" i="62898" s="1"/>
  <c r="J487" i="62898"/>
  <c r="C153" i="62909"/>
  <c r="E153" i="62909" s="1"/>
  <c r="D441" i="62898"/>
  <c r="J465" i="62898"/>
  <c r="C131" i="62909"/>
  <c r="E131" i="62909" s="1"/>
  <c r="I471" i="62898"/>
  <c r="G137" i="62909" s="1"/>
  <c r="H137" i="62909" s="1"/>
  <c r="E1688" i="62917"/>
  <c r="E1689" i="62917" s="1"/>
  <c r="E1690" i="62917" s="1"/>
  <c r="E1691" i="62917" s="1"/>
  <c r="E1692" i="62917" s="1"/>
  <c r="E1693" i="62917" s="1"/>
  <c r="E1694" i="62917" s="1"/>
  <c r="E1695" i="62917" s="1"/>
  <c r="E1696" i="62917" s="1"/>
  <c r="E1697" i="62917" s="1"/>
  <c r="E1698" i="62917" s="1"/>
  <c r="E1699" i="62917" s="1"/>
  <c r="E1700" i="62917" s="1"/>
  <c r="E1701" i="62917" s="1"/>
  <c r="E1702" i="62917" s="1"/>
  <c r="E1703" i="62917" s="1"/>
  <c r="E1704" i="62917" s="1"/>
  <c r="E1705" i="62917" s="1"/>
  <c r="E1706" i="62917" s="1"/>
  <c r="E1707" i="62917" s="1"/>
  <c r="E1708" i="62917" s="1"/>
  <c r="E1709" i="62917" s="1"/>
  <c r="E1710" i="62917" s="1"/>
  <c r="E1711" i="62917" s="1"/>
  <c r="E1712" i="62917" s="1"/>
  <c r="E1713" i="62917" s="1"/>
  <c r="E1714" i="62917" s="1"/>
  <c r="E1715" i="62917" s="1"/>
  <c r="E1716" i="62917" s="1"/>
  <c r="E1717" i="62917" s="1"/>
  <c r="E1718" i="62917" s="1"/>
  <c r="E1719" i="62917" s="1"/>
  <c r="E1720" i="62917" s="1"/>
  <c r="E1721" i="62917" s="1"/>
  <c r="E1722" i="62917" s="1"/>
  <c r="E1723" i="62917" s="1"/>
  <c r="E1724" i="62917" s="1"/>
  <c r="E1725" i="62917" s="1"/>
  <c r="E1726" i="62917" s="1"/>
  <c r="E1727" i="62917" s="1"/>
  <c r="E1728" i="62917" s="1"/>
  <c r="E1729" i="62917" s="1"/>
  <c r="E1730" i="62917" s="1"/>
  <c r="E1731" i="62917" s="1"/>
  <c r="E1732" i="62917" s="1"/>
  <c r="E1733" i="62917" s="1"/>
  <c r="E1734" i="62917" s="1"/>
  <c r="E1735" i="62917" s="1"/>
  <c r="E1736" i="62917" s="1"/>
  <c r="E1737" i="62917" s="1"/>
  <c r="E1738" i="62917" s="1"/>
  <c r="E1739" i="62917" s="1"/>
  <c r="E1740" i="62917" s="1"/>
  <c r="E1741" i="62917" s="1"/>
  <c r="E1742" i="62917" s="1"/>
  <c r="E1743" i="62917" s="1"/>
  <c r="E1744" i="62917" s="1"/>
  <c r="E1745" i="62917" s="1"/>
  <c r="E1746" i="62917" s="1"/>
  <c r="E1747" i="62917" s="1"/>
  <c r="E1748" i="62917" s="1"/>
  <c r="E1749" i="62917" s="1"/>
  <c r="E1750" i="62917" s="1"/>
  <c r="E1751" i="62917" s="1"/>
  <c r="E1752" i="62917" s="1"/>
  <c r="E1753" i="62917" s="1"/>
  <c r="E1754" i="62917" s="1"/>
  <c r="E1755" i="62917" s="1"/>
  <c r="E1756" i="62917" s="1"/>
  <c r="E1757" i="62917" s="1"/>
  <c r="E1758" i="62917" s="1"/>
  <c r="E1759" i="62917" s="1"/>
  <c r="E1760" i="62917" s="1"/>
  <c r="E1761" i="62917" s="1"/>
  <c r="E1762" i="62917" s="1"/>
  <c r="E1763" i="62917" s="1"/>
  <c r="E1764" i="62917" s="1"/>
  <c r="E1765" i="62917" s="1"/>
  <c r="E1766" i="62917" s="1"/>
  <c r="E1767" i="62917" s="1"/>
  <c r="E1768" i="62917" s="1"/>
  <c r="E1769" i="62917" s="1"/>
  <c r="E1770" i="62917" s="1"/>
  <c r="E1771" i="62917" s="1"/>
  <c r="E1772" i="62917" s="1"/>
  <c r="E1773" i="62917" s="1"/>
  <c r="E1774" i="62917" s="1"/>
  <c r="E1775" i="62917" s="1"/>
  <c r="E1776" i="62917" s="1"/>
  <c r="E1777" i="62917" s="1"/>
  <c r="E1778" i="62917" s="1"/>
  <c r="E1779" i="62917" s="1"/>
  <c r="E1780" i="62917" s="1"/>
  <c r="E1781" i="62917" s="1"/>
  <c r="E1782" i="62917" s="1"/>
  <c r="E1783" i="62917" s="1"/>
  <c r="E1784" i="62917" s="1"/>
  <c r="E1785" i="62917" s="1"/>
  <c r="E1786" i="62917" s="1"/>
  <c r="E1787" i="62917" s="1"/>
  <c r="E1788" i="62917" s="1"/>
  <c r="E1789" i="62917" s="1"/>
  <c r="E1790" i="62917" s="1"/>
  <c r="E1791" i="62917" s="1"/>
  <c r="E1792" i="62917" s="1"/>
  <c r="E1793" i="62917" s="1"/>
  <c r="E1794" i="62917" s="1"/>
  <c r="E1795" i="62917" s="1"/>
  <c r="E1796" i="62917" s="1"/>
  <c r="E1797" i="62917" s="1"/>
  <c r="E1798" i="62917" s="1"/>
  <c r="E1799" i="62917" s="1"/>
  <c r="E1800" i="62917" s="1"/>
  <c r="E1801" i="62917" s="1"/>
  <c r="E1802" i="62917" s="1"/>
  <c r="E1803" i="62917" s="1"/>
  <c r="E1804" i="62917" s="1"/>
  <c r="E1805" i="62917" s="1"/>
  <c r="E1806" i="62917" s="1"/>
  <c r="E1807" i="62917" s="1"/>
  <c r="E1808" i="62917" s="1"/>
  <c r="E1809" i="62917" s="1"/>
  <c r="E1810" i="62917" s="1"/>
  <c r="E1811" i="62917" s="1"/>
  <c r="E1812" i="62917" s="1"/>
  <c r="E1813" i="62917" s="1"/>
  <c r="E1814" i="62917" s="1"/>
  <c r="E1815" i="62917" s="1"/>
  <c r="E1816" i="62917" s="1"/>
  <c r="E1817" i="62917" s="1"/>
  <c r="E1818" i="62917" s="1"/>
  <c r="E1819" i="62917" s="1"/>
  <c r="E1820" i="62917" s="1"/>
  <c r="E1821" i="62917" s="1"/>
  <c r="E1822" i="62917" s="1"/>
  <c r="E1823" i="62917" s="1"/>
  <c r="E1824" i="62917" s="1"/>
  <c r="E1825" i="62917" s="1"/>
  <c r="E1826" i="62917" s="1"/>
  <c r="E1827" i="62917" s="1"/>
  <c r="E1828" i="62917" s="1"/>
  <c r="E1829" i="62917" s="1"/>
  <c r="E1830" i="62917" s="1"/>
  <c r="E1831" i="62917" s="1"/>
  <c r="E1832" i="62917" s="1"/>
  <c r="E1833" i="62917" s="1"/>
  <c r="E1834" i="62917" s="1"/>
  <c r="E1835" i="62917" s="1"/>
  <c r="E1836" i="62917" s="1"/>
  <c r="E1837" i="62917" s="1"/>
  <c r="E1838" i="62917" s="1"/>
  <c r="E1839" i="62917" s="1"/>
  <c r="E1840" i="62917" s="1"/>
  <c r="E1841" i="62917" s="1"/>
  <c r="E1842" i="62917" s="1"/>
  <c r="E1843" i="62917" s="1"/>
  <c r="E1844" i="62917" s="1"/>
  <c r="E1845" i="62917" s="1"/>
  <c r="E1846" i="62917" s="1"/>
  <c r="E1847" i="62917" s="1"/>
  <c r="E1848" i="62917" s="1"/>
  <c r="E1849" i="62917" s="1"/>
  <c r="E1850" i="62917" s="1"/>
  <c r="E1851" i="62917" s="1"/>
  <c r="E1852" i="62917" s="1"/>
  <c r="E1853" i="62917" s="1"/>
  <c r="E1854" i="62917" s="1"/>
  <c r="E1855" i="62917" s="1"/>
  <c r="E1856" i="62917" s="1"/>
  <c r="E1857" i="62917" s="1"/>
  <c r="E1858" i="62917" s="1"/>
  <c r="E1859" i="62917" s="1"/>
  <c r="E1860" i="62917" s="1"/>
  <c r="E1861" i="62917" s="1"/>
  <c r="E1862" i="62917" s="1"/>
  <c r="E1863" i="62917" s="1"/>
  <c r="E1864" i="62917" s="1"/>
  <c r="E1865" i="62917" s="1"/>
  <c r="E1866" i="62917" s="1"/>
  <c r="E1867" i="62917" s="1"/>
  <c r="E1868" i="62917" s="1"/>
  <c r="E1869" i="62917" s="1"/>
  <c r="E1870" i="62917" s="1"/>
  <c r="E1871" i="62917" s="1"/>
  <c r="E1872" i="62917" s="1"/>
  <c r="E1873" i="62917" s="1"/>
  <c r="E1874" i="62917" s="1"/>
  <c r="E1875" i="62917" s="1"/>
  <c r="E1876" i="62917" s="1"/>
  <c r="E1877" i="62917" s="1"/>
  <c r="E1878" i="62917" s="1"/>
  <c r="E1879" i="62917" s="1"/>
  <c r="E1880" i="62917" s="1"/>
  <c r="E1881" i="62917" s="1"/>
  <c r="E1882" i="62917" s="1"/>
  <c r="E1883" i="62917" s="1"/>
  <c r="E1884" i="62917" s="1"/>
  <c r="E1885" i="62917" s="1"/>
  <c r="E1886" i="62917" s="1"/>
  <c r="E1887" i="62917" s="1"/>
  <c r="E1888" i="62917" s="1"/>
  <c r="E1889" i="62917" s="1"/>
  <c r="E1890" i="62917" s="1"/>
  <c r="E1891" i="62917" s="1"/>
  <c r="E1892" i="62917" s="1"/>
  <c r="E1893" i="62917" s="1"/>
  <c r="E1894" i="62917" s="1"/>
  <c r="E1895" i="62917" s="1"/>
  <c r="E1896" i="62917" s="1"/>
  <c r="E1897" i="62917" s="1"/>
  <c r="E1898" i="62917" s="1"/>
  <c r="E1899" i="62917" s="1"/>
  <c r="E1900" i="62917" s="1"/>
  <c r="E1901" i="62917" s="1"/>
  <c r="E1902" i="62917" s="1"/>
  <c r="E1903" i="62917" s="1"/>
  <c r="E1904" i="62917" s="1"/>
  <c r="E1905" i="62917" s="1"/>
  <c r="E1906" i="62917" s="1"/>
  <c r="E1907" i="62917" s="1"/>
  <c r="E1908" i="62917" s="1"/>
  <c r="E1909" i="62917" s="1"/>
  <c r="E1910" i="62917" s="1"/>
  <c r="E1911" i="62917" s="1"/>
  <c r="E1912" i="62917" s="1"/>
  <c r="E1913" i="62917" s="1"/>
  <c r="E1914" i="62917" s="1"/>
  <c r="E1915" i="62917" s="1"/>
  <c r="E1916" i="62917" s="1"/>
  <c r="E1917" i="62917" s="1"/>
  <c r="E1918" i="62917" s="1"/>
  <c r="E1919" i="62917" s="1"/>
  <c r="E1920" i="62917" s="1"/>
  <c r="E1921" i="62917" s="1"/>
  <c r="E1922" i="62917" s="1"/>
  <c r="E1923" i="62917" s="1"/>
  <c r="E1924" i="62917" s="1"/>
  <c r="C1618" i="62917"/>
  <c r="D581" i="5"/>
  <c r="L565" i="5"/>
  <c r="D1623" i="62917"/>
  <c r="L114" i="3"/>
  <c r="D2158" i="62917"/>
  <c r="C2156" i="62917" s="1"/>
  <c r="E2159" i="62917"/>
  <c r="E2160" i="62917" s="1"/>
  <c r="E328" i="62923"/>
  <c r="E329" i="62923" s="1"/>
  <c r="E330" i="62923" s="1"/>
  <c r="D326" i="62923"/>
  <c r="D327" i="62923" s="1"/>
  <c r="K226" i="2"/>
  <c r="N226" i="2"/>
  <c r="I220" i="2"/>
  <c r="I235" i="2"/>
  <c r="C422" i="62923"/>
  <c r="C426" i="62923"/>
  <c r="C420" i="62923"/>
  <c r="C421" i="62923"/>
  <c r="C427" i="62923"/>
  <c r="C428" i="62923"/>
  <c r="C424" i="62923"/>
  <c r="C419" i="62923"/>
  <c r="C423" i="62923"/>
  <c r="C72" i="62910"/>
  <c r="E72" i="62910" s="1"/>
  <c r="J486" i="62898"/>
  <c r="E490" i="62898"/>
  <c r="G466" i="62898" s="1"/>
  <c r="F486" i="62898"/>
  <c r="E392" i="62923"/>
  <c r="E393" i="62923" s="1"/>
  <c r="E394" i="62923" s="1"/>
  <c r="D388" i="62923"/>
  <c r="D389" i="62923" s="1"/>
  <c r="C389" i="62923" s="1"/>
  <c r="C385" i="62923"/>
  <c r="E294" i="62923"/>
  <c r="D294" i="62923" s="1"/>
  <c r="E281" i="62923"/>
  <c r="D280" i="62923"/>
  <c r="C36" i="62923"/>
  <c r="C38" i="62923"/>
  <c r="C35" i="62923"/>
  <c r="I240" i="2"/>
  <c r="G99" i="62910"/>
  <c r="H99" i="62910" s="1"/>
  <c r="M574" i="62898"/>
  <c r="C226" i="62924"/>
  <c r="D152" i="62924"/>
  <c r="D629" i="62919"/>
  <c r="D630" i="62919" s="1"/>
  <c r="C17" i="62918"/>
  <c r="M31" i="62914"/>
  <c r="Y31" i="62914" s="1"/>
  <c r="C72" i="62892"/>
  <c r="U12" i="62915"/>
  <c r="U15" i="62915" s="1"/>
  <c r="I15" i="62915"/>
  <c r="K17" i="62929"/>
  <c r="W17" i="62929" s="1"/>
  <c r="W19" i="62929" s="1"/>
  <c r="W12" i="62914"/>
  <c r="W14" i="62914" s="1"/>
  <c r="K14" i="62914"/>
  <c r="K19" i="62929" s="1"/>
  <c r="I127" i="3"/>
  <c r="I12" i="62912"/>
  <c r="I15" i="62912" s="1"/>
  <c r="J193" i="3"/>
  <c r="J12" i="62915"/>
  <c r="J15" i="62915" s="1"/>
  <c r="I113" i="3"/>
  <c r="H443" i="62898"/>
  <c r="G87" i="62910" s="1"/>
  <c r="H87" i="62910" s="1"/>
  <c r="E155" i="62924"/>
  <c r="K323" i="62928"/>
  <c r="F49" i="62892"/>
  <c r="G55" i="62909"/>
  <c r="H55" i="62909" s="1"/>
  <c r="N323" i="62928"/>
  <c r="M325" i="7"/>
  <c r="N77" i="11"/>
  <c r="F37" i="62892"/>
  <c r="G37" i="62892" s="1"/>
  <c r="N325" i="7"/>
  <c r="G37" i="62910"/>
  <c r="H37" i="62910" s="1"/>
  <c r="K325" i="7"/>
  <c r="C2183" i="62917"/>
  <c r="G120" i="62892"/>
  <c r="X168" i="5"/>
  <c r="D1744" i="62919"/>
  <c r="D1745" i="62919" s="1"/>
  <c r="D1706" i="62919"/>
  <c r="D1707" i="62919" s="1"/>
  <c r="L323" i="62928"/>
  <c r="C1400" i="62919"/>
  <c r="C1399" i="62919"/>
  <c r="E1403" i="62919"/>
  <c r="E1404" i="62919" s="1"/>
  <c r="E1405" i="62919" s="1"/>
  <c r="D1401" i="62919"/>
  <c r="G49" i="62892"/>
  <c r="D1560" i="62919"/>
  <c r="E1561" i="62919"/>
  <c r="E1562" i="62919" s="1"/>
  <c r="E1282" i="62919"/>
  <c r="D1279" i="62919"/>
  <c r="E1746" i="62919"/>
  <c r="E1747" i="62919" s="1"/>
  <c r="E1748" i="62919" s="1"/>
  <c r="E1749" i="62919" s="1"/>
  <c r="E1750" i="62919" s="1"/>
  <c r="E1751" i="62919" s="1"/>
  <c r="E1752" i="62919" s="1"/>
  <c r="E1753" i="62919" s="1"/>
  <c r="E1754" i="62919" s="1"/>
  <c r="E1755" i="62919" s="1"/>
  <c r="E1756" i="62919" s="1"/>
  <c r="E1757" i="62919" s="1"/>
  <c r="E1758" i="62919" s="1"/>
  <c r="E1759" i="62919" s="1"/>
  <c r="D107" i="62919"/>
  <c r="D108" i="62919" s="1"/>
  <c r="E1714" i="62919"/>
  <c r="E1715" i="62919" s="1"/>
  <c r="E1716" i="62919" s="1"/>
  <c r="E1717" i="62919" s="1"/>
  <c r="E1718" i="62919" s="1"/>
  <c r="E1719" i="62919" s="1"/>
  <c r="E1720" i="62919" s="1"/>
  <c r="E1721" i="62919" s="1"/>
  <c r="E1722" i="62919" s="1"/>
  <c r="E1723" i="62919" s="1"/>
  <c r="E1724" i="62919" s="1"/>
  <c r="E1725" i="62919" s="1"/>
  <c r="E1726" i="62919" s="1"/>
  <c r="E1727" i="62919" s="1"/>
  <c r="E1728" i="62919" s="1"/>
  <c r="E1729" i="62919" s="1"/>
  <c r="E1730" i="62919" s="1"/>
  <c r="E1731" i="62919" s="1"/>
  <c r="E1732" i="62919" s="1"/>
  <c r="E1733" i="62919" s="1"/>
  <c r="E1734" i="62919" s="1"/>
  <c r="E1735" i="62919" s="1"/>
  <c r="E1736" i="62919" s="1"/>
  <c r="D350" i="62919"/>
  <c r="D351" i="62919" s="1"/>
  <c r="D352" i="62919" s="1"/>
  <c r="D353" i="62919" s="1"/>
  <c r="D354" i="62919" s="1"/>
  <c r="D355" i="62919" s="1"/>
  <c r="D356" i="62919" s="1"/>
  <c r="D357" i="62919" s="1"/>
  <c r="D358" i="62919" s="1"/>
  <c r="D359" i="62919" s="1"/>
  <c r="D360" i="62919" s="1"/>
  <c r="D361" i="62919" s="1"/>
  <c r="D362" i="62919" s="1"/>
  <c r="D363" i="62919" s="1"/>
  <c r="D364" i="62919" s="1"/>
  <c r="D365" i="62919" s="1"/>
  <c r="D366" i="62919" s="1"/>
  <c r="D367" i="62919" s="1"/>
  <c r="D368" i="62919" s="1"/>
  <c r="D369" i="62919" s="1"/>
  <c r="D370" i="62919" s="1"/>
  <c r="D371" i="62919" s="1"/>
  <c r="D372" i="62919" s="1"/>
  <c r="D373" i="62919" s="1"/>
  <c r="D374" i="62919" s="1"/>
  <c r="D375" i="62919" s="1"/>
  <c r="D376" i="62919" s="1"/>
  <c r="D377" i="62919" s="1"/>
  <c r="D378" i="62919" s="1"/>
  <c r="D379" i="62919" s="1"/>
  <c r="D380" i="62919" s="1"/>
  <c r="D381" i="62919" s="1"/>
  <c r="D382" i="62919" s="1"/>
  <c r="D383" i="62919" s="1"/>
  <c r="D384" i="62919" s="1"/>
  <c r="D385" i="62919" s="1"/>
  <c r="D386" i="62919" s="1"/>
  <c r="D387" i="62919" s="1"/>
  <c r="E417" i="62919"/>
  <c r="D416" i="62919"/>
  <c r="E63" i="62919"/>
  <c r="E64" i="62919" s="1"/>
  <c r="Q104" i="7"/>
  <c r="K350" i="62928"/>
  <c r="K365" i="62928" s="1"/>
  <c r="M451" i="62928"/>
  <c r="H328" i="62928"/>
  <c r="G54" i="62910" s="1"/>
  <c r="N381" i="62928"/>
  <c r="N399" i="62928" s="1"/>
  <c r="M416" i="62928"/>
  <c r="M431" i="62928" s="1"/>
  <c r="D1860" i="62919"/>
  <c r="E47" i="62919"/>
  <c r="E48" i="62919" s="1"/>
  <c r="E632" i="62919"/>
  <c r="E633" i="62919" s="1"/>
  <c r="E634" i="62919" s="1"/>
  <c r="N383" i="7"/>
  <c r="N401" i="7" s="1"/>
  <c r="M418" i="7"/>
  <c r="M433" i="7" s="1"/>
  <c r="H330" i="7"/>
  <c r="H335" i="7" s="1"/>
  <c r="M453" i="7"/>
  <c r="E2189" i="62917"/>
  <c r="D2187" i="62917"/>
  <c r="N15" i="62914"/>
  <c r="N20" i="62929" s="1"/>
  <c r="Z20" i="62929" s="1"/>
  <c r="Z22" i="62929" s="1"/>
  <c r="M568" i="62898"/>
  <c r="I485" i="62898"/>
  <c r="G151" i="62909" s="1"/>
  <c r="H151" i="62909" s="1"/>
  <c r="K16" i="62912"/>
  <c r="T16" i="62912" s="1"/>
  <c r="T18" i="62912" s="1"/>
  <c r="H447" i="62898"/>
  <c r="I633" i="5"/>
  <c r="G124" i="62909" s="1"/>
  <c r="H124" i="62909" s="1"/>
  <c r="AH462" i="5"/>
  <c r="AH464" i="5" s="1"/>
  <c r="E649" i="5"/>
  <c r="D575" i="5"/>
  <c r="I575" i="5" s="1"/>
  <c r="H67" i="62912"/>
  <c r="D58" i="62892"/>
  <c r="D61" i="62919"/>
  <c r="D62" i="62919" s="1"/>
  <c r="M332" i="62928"/>
  <c r="K334" i="7"/>
  <c r="F46" i="62892"/>
  <c r="G46" i="62892" s="1"/>
  <c r="G46" i="62910"/>
  <c r="H46" i="62910" s="1"/>
  <c r="G52" i="62909"/>
  <c r="H52" i="62909" s="1"/>
  <c r="H55" i="62915"/>
  <c r="E55" i="62915"/>
  <c r="E67" i="62912"/>
  <c r="E64" i="62914"/>
  <c r="M727" i="5"/>
  <c r="M28" i="62915" s="1"/>
  <c r="Y28" i="62915" s="1"/>
  <c r="I442" i="62898"/>
  <c r="C86" i="62892"/>
  <c r="N35" i="62914"/>
  <c r="Z35" i="62914" s="1"/>
  <c r="C86" i="62910"/>
  <c r="E86" i="62910" s="1"/>
  <c r="Z36" i="62914"/>
  <c r="H64" i="62914"/>
  <c r="D998" i="62921"/>
  <c r="D999" i="62921" s="1"/>
  <c r="D1000" i="62921" s="1"/>
  <c r="E1001" i="62921"/>
  <c r="E1002" i="62921" s="1"/>
  <c r="E1003" i="62921" s="1"/>
  <c r="E1004" i="62921" s="1"/>
  <c r="D867" i="62921"/>
  <c r="H570" i="5"/>
  <c r="G77" i="62910" s="1"/>
  <c r="M753" i="5"/>
  <c r="N687" i="5"/>
  <c r="N22" i="62914" s="1"/>
  <c r="E51" i="62914" s="1"/>
  <c r="K661" i="5"/>
  <c r="K28" i="62912" s="1"/>
  <c r="T28" i="62912" s="1"/>
  <c r="D1589" i="62917"/>
  <c r="E1590" i="62917"/>
  <c r="C2425" i="62917"/>
  <c r="D2426" i="62917"/>
  <c r="E2429" i="62917"/>
  <c r="E2430" i="62917" s="1"/>
  <c r="D2289" i="62917"/>
  <c r="C2289" i="62917" s="1"/>
  <c r="I612" i="5"/>
  <c r="I603" i="5"/>
  <c r="G94" i="62909" s="1"/>
  <c r="H94" i="62909" s="1"/>
  <c r="G34" i="62892"/>
  <c r="C42" i="62924"/>
  <c r="D43" i="62924"/>
  <c r="E49" i="62924"/>
  <c r="E50" i="62924" s="1"/>
  <c r="E51" i="62924" s="1"/>
  <c r="E52" i="62924" s="1"/>
  <c r="E53" i="62924" s="1"/>
  <c r="E54" i="62924" s="1"/>
  <c r="E55" i="62924" s="1"/>
  <c r="E56" i="62924" s="1"/>
  <c r="D26" i="62924"/>
  <c r="D27" i="62924" s="1"/>
  <c r="D28" i="62924" s="1"/>
  <c r="D29" i="62924" s="1"/>
  <c r="C29" i="62924" s="1"/>
  <c r="N13" i="62914"/>
  <c r="Z13" i="62914" s="1"/>
  <c r="E573" i="5"/>
  <c r="F581" i="5" s="1"/>
  <c r="C80" i="62910"/>
  <c r="E80" i="62910" s="1"/>
  <c r="AH279" i="5"/>
  <c r="E752" i="5"/>
  <c r="J752" i="5" s="1"/>
  <c r="E680" i="5"/>
  <c r="E715" i="5"/>
  <c r="G115" i="62909"/>
  <c r="H115" i="62909" s="1"/>
  <c r="J624" i="5"/>
  <c r="H566" i="5"/>
  <c r="C76" i="62910"/>
  <c r="E76" i="62910" s="1"/>
  <c r="N220" i="2"/>
  <c r="G26" i="62910"/>
  <c r="H26" i="62910" s="1"/>
  <c r="G32" i="62909"/>
  <c r="H32" i="62909" s="1"/>
  <c r="G40" i="62909"/>
  <c r="H40" i="62909" s="1"/>
  <c r="G34" i="62910"/>
  <c r="H34" i="62910" s="1"/>
  <c r="L27" i="62914"/>
  <c r="G56" i="62914" s="1"/>
  <c r="L181" i="62927"/>
  <c r="F99" i="62892"/>
  <c r="G99" i="62892" s="1"/>
  <c r="R26" i="62911"/>
  <c r="I26" i="62911" s="1"/>
  <c r="J25" i="62911"/>
  <c r="D141" i="62924"/>
  <c r="D142" i="62924" s="1"/>
  <c r="L442" i="62898"/>
  <c r="M442" i="62898"/>
  <c r="Y24" i="62915"/>
  <c r="E52" i="62915"/>
  <c r="C90" i="62892"/>
  <c r="D90" i="62892" s="1"/>
  <c r="D456" i="62898"/>
  <c r="Z24" i="62914"/>
  <c r="E53" i="62914"/>
  <c r="H64" i="62912"/>
  <c r="T24" i="62912"/>
  <c r="N29" i="62929"/>
  <c r="Z29" i="62929" s="1"/>
  <c r="E446" i="62898"/>
  <c r="M446" i="62898" s="1"/>
  <c r="C90" i="62910"/>
  <c r="E90" i="62910" s="1"/>
  <c r="E264" i="62922"/>
  <c r="D262" i="62922"/>
  <c r="D263" i="62922" s="1"/>
  <c r="F41" i="62915"/>
  <c r="V11" i="62915"/>
  <c r="G41" i="62915"/>
  <c r="R11" i="62912"/>
  <c r="G53" i="62912"/>
  <c r="F53" i="62912"/>
  <c r="G43" i="62914"/>
  <c r="X11" i="62914"/>
  <c r="F43" i="62914"/>
  <c r="L16" i="62929"/>
  <c r="X16" i="62929" s="1"/>
  <c r="G82" i="62909"/>
  <c r="H82" i="62909" s="1"/>
  <c r="J591" i="5"/>
  <c r="Z291" i="7"/>
  <c r="E332" i="7"/>
  <c r="L332" i="7" s="1"/>
  <c r="E569" i="5"/>
  <c r="L569" i="5" s="1"/>
  <c r="K200" i="62925"/>
  <c r="G15" i="62910"/>
  <c r="H15" i="62910" s="1"/>
  <c r="E122" i="62904"/>
  <c r="L122" i="62904" s="1"/>
  <c r="I122" i="62904"/>
  <c r="C111" i="62892"/>
  <c r="D111" i="62892" s="1"/>
  <c r="C76" i="62892"/>
  <c r="D321" i="62921"/>
  <c r="D322" i="62921" s="1"/>
  <c r="D323" i="62921" s="1"/>
  <c r="E324" i="62921"/>
  <c r="E325" i="62921" s="1"/>
  <c r="C89" i="62892"/>
  <c r="E445" i="62898"/>
  <c r="M445" i="62898" s="1"/>
  <c r="E454" i="62898"/>
  <c r="G454" i="62898" s="1"/>
  <c r="F600" i="5"/>
  <c r="C91" i="62909"/>
  <c r="E91" i="62909" s="1"/>
  <c r="I600" i="5"/>
  <c r="G91" i="62909" s="1"/>
  <c r="H91" i="62909" s="1"/>
  <c r="X97" i="5"/>
  <c r="Y33" i="62915"/>
  <c r="C993" i="62921"/>
  <c r="M607" i="62898"/>
  <c r="H61" i="62915"/>
  <c r="C96" i="62909"/>
  <c r="E96" i="62909" s="1"/>
  <c r="J621" i="5"/>
  <c r="I613" i="5"/>
  <c r="G104" i="62909" s="1"/>
  <c r="H104" i="62909" s="1"/>
  <c r="F635" i="5"/>
  <c r="J605" i="5"/>
  <c r="J592" i="5"/>
  <c r="C126" i="62909"/>
  <c r="E126" i="62909" s="1"/>
  <c r="D140" i="62922"/>
  <c r="D141" i="62922" s="1"/>
  <c r="C137" i="62922" s="1"/>
  <c r="C136" i="62922"/>
  <c r="E142" i="62922"/>
  <c r="E143" i="62922" s="1"/>
  <c r="E144" i="62922" s="1"/>
  <c r="E145" i="62922" s="1"/>
  <c r="C84" i="62909"/>
  <c r="E84" i="62909" s="1"/>
  <c r="C112" i="62909"/>
  <c r="E112" i="62909" s="1"/>
  <c r="D572" i="5"/>
  <c r="E572" i="5" s="1"/>
  <c r="D567" i="5"/>
  <c r="C74" i="62892" s="1"/>
  <c r="F592" i="5"/>
  <c r="J634" i="5"/>
  <c r="D564" i="5"/>
  <c r="C71" i="62910" s="1"/>
  <c r="J593" i="5"/>
  <c r="J622" i="5"/>
  <c r="F634" i="5"/>
  <c r="F622" i="5"/>
  <c r="D568" i="5"/>
  <c r="E568" i="5" s="1"/>
  <c r="D571" i="5"/>
  <c r="E571" i="5" s="1"/>
  <c r="X262" i="5"/>
  <c r="H569" i="5"/>
  <c r="I569" i="5" s="1"/>
  <c r="L113" i="3"/>
  <c r="K113" i="62927"/>
  <c r="D26" i="62892"/>
  <c r="G26" i="62892"/>
  <c r="G25" i="62892"/>
  <c r="I114" i="3"/>
  <c r="F26" i="62892"/>
  <c r="N114" i="62927"/>
  <c r="F34" i="62892"/>
  <c r="D128" i="62919"/>
  <c r="C128" i="62919" s="1"/>
  <c r="E109" i="62919"/>
  <c r="E110" i="62919" s="1"/>
  <c r="E111" i="62919" s="1"/>
  <c r="E112" i="62919" s="1"/>
  <c r="E113" i="62919" s="1"/>
  <c r="E114" i="62919" s="1"/>
  <c r="E115" i="62919" s="1"/>
  <c r="C221" i="62919"/>
  <c r="D222" i="62919"/>
  <c r="E130" i="62919"/>
  <c r="E131" i="62919" s="1"/>
  <c r="E132" i="62919" s="1"/>
  <c r="E133" i="62919" s="1"/>
  <c r="E134" i="62919" s="1"/>
  <c r="E135" i="62919" s="1"/>
  <c r="E136" i="62919" s="1"/>
  <c r="E137" i="62919" s="1"/>
  <c r="E138" i="62919" s="1"/>
  <c r="E139" i="62919" s="1"/>
  <c r="E140" i="62919" s="1"/>
  <c r="E141" i="62919" s="1"/>
  <c r="E142" i="62919" s="1"/>
  <c r="E143" i="62919" s="1"/>
  <c r="E144" i="62919" s="1"/>
  <c r="E145" i="62919" s="1"/>
  <c r="E146" i="62919" s="1"/>
  <c r="E147" i="62919" s="1"/>
  <c r="E148" i="62919" s="1"/>
  <c r="E149" i="62919" s="1"/>
  <c r="E150" i="62919" s="1"/>
  <c r="E151" i="62919" s="1"/>
  <c r="E152" i="62919" s="1"/>
  <c r="E153" i="62919" s="1"/>
  <c r="E154" i="62919" s="1"/>
  <c r="E155" i="62919" s="1"/>
  <c r="E156" i="62919" s="1"/>
  <c r="E157" i="62919" s="1"/>
  <c r="E158" i="62919" s="1"/>
  <c r="E159" i="62919" s="1"/>
  <c r="E160" i="62919" s="1"/>
  <c r="E161" i="62919" s="1"/>
  <c r="E162" i="62919" s="1"/>
  <c r="E163" i="62919" s="1"/>
  <c r="G51" i="62892"/>
  <c r="G45" i="62910"/>
  <c r="H45" i="62910" s="1"/>
  <c r="F45" i="62892"/>
  <c r="G45" i="62892" s="1"/>
  <c r="G51" i="62909"/>
  <c r="H51" i="62909" s="1"/>
  <c r="N333" i="7"/>
  <c r="L325" i="62928"/>
  <c r="G39" i="62910"/>
  <c r="H39" i="62910" s="1"/>
  <c r="F58" i="62892"/>
  <c r="K327" i="7"/>
  <c r="G45" i="62909"/>
  <c r="H45" i="62909" s="1"/>
  <c r="G64" i="62909"/>
  <c r="H64" i="62909" s="1"/>
  <c r="N332" i="62928"/>
  <c r="E225" i="62919"/>
  <c r="E226" i="62919" s="1"/>
  <c r="E227" i="62919" s="1"/>
  <c r="E228" i="62919" s="1"/>
  <c r="E229" i="62919" s="1"/>
  <c r="E230" i="62919" s="1"/>
  <c r="E231" i="62919" s="1"/>
  <c r="E232" i="62919" s="1"/>
  <c r="E233" i="62919" s="1"/>
  <c r="E234" i="62919" s="1"/>
  <c r="E235" i="62919" s="1"/>
  <c r="E236" i="62919" s="1"/>
  <c r="E237" i="62919" s="1"/>
  <c r="E238" i="62919" s="1"/>
  <c r="E239" i="62919" s="1"/>
  <c r="E240" i="62919" s="1"/>
  <c r="E241" i="62919" s="1"/>
  <c r="E242" i="62919" s="1"/>
  <c r="E243" i="62919" s="1"/>
  <c r="E244" i="62919" s="1"/>
  <c r="E245" i="62919" s="1"/>
  <c r="E246" i="62919" s="1"/>
  <c r="E247" i="62919" s="1"/>
  <c r="E248" i="62919" s="1"/>
  <c r="E249" i="62919" s="1"/>
  <c r="E250" i="62919" s="1"/>
  <c r="E251" i="62919" s="1"/>
  <c r="E252" i="62919" s="1"/>
  <c r="E253" i="62919" s="1"/>
  <c r="E254" i="62919" s="1"/>
  <c r="E255" i="62919" s="1"/>
  <c r="E256" i="62919" s="1"/>
  <c r="E257" i="62919" s="1"/>
  <c r="E258" i="62919" s="1"/>
  <c r="E259" i="62919" s="1"/>
  <c r="E260" i="62919" s="1"/>
  <c r="E261" i="62919" s="1"/>
  <c r="E262" i="62919" s="1"/>
  <c r="E263" i="62919" s="1"/>
  <c r="E264" i="62919" s="1"/>
  <c r="E265" i="62919" s="1"/>
  <c r="E266" i="62919" s="1"/>
  <c r="E267" i="62919" s="1"/>
  <c r="E268" i="62919" s="1"/>
  <c r="E269" i="62919" s="1"/>
  <c r="E270" i="62919" s="1"/>
  <c r="E271" i="62919" s="1"/>
  <c r="E272" i="62919" s="1"/>
  <c r="E273" i="62919" s="1"/>
  <c r="E274" i="62919" s="1"/>
  <c r="E275" i="62919" s="1"/>
  <c r="E276" i="62919" s="1"/>
  <c r="E277" i="62919" s="1"/>
  <c r="E278" i="62919" s="1"/>
  <c r="E279" i="62919" s="1"/>
  <c r="E280" i="62919" s="1"/>
  <c r="E281" i="62919" s="1"/>
  <c r="E282" i="62919" s="1"/>
  <c r="E283" i="62919" s="1"/>
  <c r="E284" i="62919" s="1"/>
  <c r="E285" i="62919" s="1"/>
  <c r="E286" i="62919" s="1"/>
  <c r="F39" i="62892"/>
  <c r="G39" i="62892" s="1"/>
  <c r="G58" i="62910"/>
  <c r="H58" i="62910" s="1"/>
  <c r="M34" i="62915"/>
  <c r="E62" i="62915" s="1"/>
  <c r="T33" i="62912"/>
  <c r="H73" i="62912"/>
  <c r="L127" i="62927"/>
  <c r="E229" i="62924"/>
  <c r="E230" i="62924" s="1"/>
  <c r="D227" i="62924"/>
  <c r="D228" i="62924" s="1"/>
  <c r="N200" i="62925"/>
  <c r="N328" i="7"/>
  <c r="G205" i="62909"/>
  <c r="H205" i="62909" s="1"/>
  <c r="I264" i="62905"/>
  <c r="G40" i="62910"/>
  <c r="H40" i="62910" s="1"/>
  <c r="I328" i="7"/>
  <c r="F40" i="62892"/>
  <c r="G40" i="62892" s="1"/>
  <c r="K328" i="7"/>
  <c r="C14" i="62910"/>
  <c r="E14" i="62910" s="1"/>
  <c r="Z25" i="62914"/>
  <c r="E54" i="62914"/>
  <c r="N30" i="62929"/>
  <c r="Z30" i="62929" s="1"/>
  <c r="C105" i="62909"/>
  <c r="E105" i="62909" s="1"/>
  <c r="J614" i="5"/>
  <c r="K11" i="62912"/>
  <c r="T11" i="62912" s="1"/>
  <c r="M11" i="62915"/>
  <c r="Y11" i="62915" s="1"/>
  <c r="N11" i="62914"/>
  <c r="Z11" i="62914" s="1"/>
  <c r="D258" i="62923"/>
  <c r="E260" i="62923"/>
  <c r="E261" i="62923" s="1"/>
  <c r="M213" i="62927"/>
  <c r="M13" i="62915"/>
  <c r="Y13" i="62915" s="1"/>
  <c r="T23" i="62912"/>
  <c r="Y23" i="62915"/>
  <c r="C99" i="62909"/>
  <c r="E99" i="62909" s="1"/>
  <c r="N158" i="62927"/>
  <c r="K34" i="62912"/>
  <c r="E74" i="62912" s="1"/>
  <c r="L147" i="62927"/>
  <c r="N27" i="62914"/>
  <c r="N181" i="3"/>
  <c r="C14" i="62892"/>
  <c r="H51" i="62915"/>
  <c r="Y217" i="9"/>
  <c r="I278" i="9"/>
  <c r="H252" i="9"/>
  <c r="E252" i="9"/>
  <c r="C107" i="62910"/>
  <c r="E107" i="62910" s="1"/>
  <c r="C107" i="62892"/>
  <c r="F278" i="9"/>
  <c r="C186" i="62909"/>
  <c r="E186" i="62909" s="1"/>
  <c r="C108" i="62910"/>
  <c r="C108" i="62892"/>
  <c r="E253" i="9"/>
  <c r="I279" i="9"/>
  <c r="G187" i="62909" s="1"/>
  <c r="H187" i="62909" s="1"/>
  <c r="Y232" i="9"/>
  <c r="H253" i="9"/>
  <c r="C187" i="62909"/>
  <c r="F279" i="9"/>
  <c r="F25" i="62929"/>
  <c r="R25" i="62929" s="1"/>
  <c r="R20" i="62914"/>
  <c r="C91" i="62924"/>
  <c r="D92" i="62924"/>
  <c r="C50" i="62909"/>
  <c r="E50" i="62909" s="1"/>
  <c r="I199" i="62926"/>
  <c r="K13" i="62912"/>
  <c r="H55" i="62912" s="1"/>
  <c r="S19" i="62914"/>
  <c r="S37" i="62914" s="1"/>
  <c r="I199" i="62925"/>
  <c r="E101" i="62924"/>
  <c r="E102" i="62924" s="1"/>
  <c r="E31" i="62924"/>
  <c r="E32" i="62924" s="1"/>
  <c r="E33" i="62924" s="1"/>
  <c r="E34" i="62924" s="1"/>
  <c r="E35" i="62924" s="1"/>
  <c r="E36" i="62924" s="1"/>
  <c r="D570" i="5"/>
  <c r="D462" i="5"/>
  <c r="D464" i="5" s="1"/>
  <c r="D574" i="5" s="1"/>
  <c r="I464" i="5"/>
  <c r="E629" i="5" s="1"/>
  <c r="E636" i="5" s="1"/>
  <c r="E877" i="62921"/>
  <c r="E878" i="62921" s="1"/>
  <c r="F617" i="5"/>
  <c r="J617" i="5"/>
  <c r="C108" i="62909"/>
  <c r="E108" i="62909" s="1"/>
  <c r="AE464" i="5"/>
  <c r="M718" i="5" s="1" a="1"/>
  <c r="M718" i="5" s="1"/>
  <c r="X462" i="5"/>
  <c r="X281" i="5"/>
  <c r="I617" i="5"/>
  <c r="G108" i="62909" s="1"/>
  <c r="H108" i="62909" s="1"/>
  <c r="H63" i="62912"/>
  <c r="F608" i="5"/>
  <c r="G37" i="62929"/>
  <c r="S37" i="62929" s="1"/>
  <c r="S42" i="62929" s="1"/>
  <c r="G37" i="62914"/>
  <c r="G42" i="62929" s="1"/>
  <c r="K225" i="2"/>
  <c r="N243" i="62905"/>
  <c r="L247" i="62905"/>
  <c r="K114" i="62927"/>
  <c r="M193" i="62927"/>
  <c r="D77" i="62918"/>
  <c r="D78" i="62918" s="1"/>
  <c r="C76" i="62918"/>
  <c r="L181" i="3"/>
  <c r="L26" i="62914"/>
  <c r="L158" i="3"/>
  <c r="L12" i="62914"/>
  <c r="V27" i="62914"/>
  <c r="J32" i="62929"/>
  <c r="V32" i="62929" s="1"/>
  <c r="M114" i="62927"/>
  <c r="L114" i="62927"/>
  <c r="K114" i="3"/>
  <c r="N114" i="3"/>
  <c r="F111" i="3"/>
  <c r="F114" i="3"/>
  <c r="F109" i="3"/>
  <c r="F110" i="3"/>
  <c r="F112" i="3"/>
  <c r="F113" i="3"/>
  <c r="F115" i="3"/>
  <c r="E24" i="62910"/>
  <c r="E20" i="62910" s="1"/>
  <c r="E132" i="62910" s="1"/>
  <c r="C20" i="62910"/>
  <c r="C132" i="62910" s="1"/>
  <c r="C20" i="62892"/>
  <c r="G38" i="62909"/>
  <c r="F32" i="62892"/>
  <c r="G32" i="62910"/>
  <c r="H115" i="62927"/>
  <c r="N115" i="62927" s="1"/>
  <c r="N181" i="62927"/>
  <c r="K112" i="62927"/>
  <c r="E38" i="62909"/>
  <c r="E34" i="62909" s="1"/>
  <c r="E217" i="62909" s="1"/>
  <c r="C34" i="62909"/>
  <c r="C217" i="62909" s="1"/>
  <c r="E32" i="62910"/>
  <c r="E28" i="62910" s="1"/>
  <c r="E133" i="62910" s="1"/>
  <c r="C28" i="62910"/>
  <c r="C133" i="62910" s="1"/>
  <c r="G32" i="62892"/>
  <c r="D32" i="62892"/>
  <c r="C28" i="62892"/>
  <c r="H32" i="62929"/>
  <c r="T32" i="62929" s="1"/>
  <c r="T27" i="62914"/>
  <c r="U13" i="62914"/>
  <c r="I18" i="62929"/>
  <c r="U18" i="62929" s="1"/>
  <c r="L13" i="62914"/>
  <c r="L147" i="3"/>
  <c r="E19" i="62918"/>
  <c r="H31" i="62929"/>
  <c r="T31" i="62929" s="1"/>
  <c r="T26" i="62914"/>
  <c r="H14" i="62914"/>
  <c r="H19" i="62929" s="1"/>
  <c r="T12" i="62914"/>
  <c r="H17" i="62929"/>
  <c r="T17" i="62929" s="1"/>
  <c r="V12" i="62914"/>
  <c r="J17" i="62929"/>
  <c r="V17" i="62929" s="1"/>
  <c r="J14" i="62914"/>
  <c r="J19" i="62929" s="1"/>
  <c r="I32" i="62929"/>
  <c r="U32" i="62929" s="1"/>
  <c r="U27" i="62914"/>
  <c r="V13" i="62914"/>
  <c r="J18" i="62929"/>
  <c r="V18" i="62929" s="1"/>
  <c r="G30" i="62909"/>
  <c r="F24" i="62892"/>
  <c r="G24" i="62892" s="1"/>
  <c r="G24" i="62910"/>
  <c r="H115" i="3"/>
  <c r="N115" i="3" s="1"/>
  <c r="L127" i="3"/>
  <c r="K12" i="62912"/>
  <c r="D18" i="62918"/>
  <c r="M113" i="62927"/>
  <c r="L113" i="62927"/>
  <c r="K112" i="3"/>
  <c r="E30" i="62909"/>
  <c r="E26" i="62909" s="1"/>
  <c r="E216" i="62909" s="1"/>
  <c r="C26" i="62909"/>
  <c r="C216" i="62909" s="1"/>
  <c r="N112" i="3"/>
  <c r="L112" i="3"/>
  <c r="M112" i="3"/>
  <c r="E115" i="3"/>
  <c r="G25" i="62910"/>
  <c r="H25" i="62910" s="1"/>
  <c r="G31" i="62909"/>
  <c r="H31" i="62909" s="1"/>
  <c r="K113" i="3"/>
  <c r="N113" i="3"/>
  <c r="F113" i="62927"/>
  <c r="F111" i="62927"/>
  <c r="I115" i="62927"/>
  <c r="F115" i="62927"/>
  <c r="F110" i="62927"/>
  <c r="F109" i="62927"/>
  <c r="F112" i="62927"/>
  <c r="F114" i="62927"/>
  <c r="N112" i="62927"/>
  <c r="M112" i="62927"/>
  <c r="L112" i="62927"/>
  <c r="E115" i="62927"/>
  <c r="J31" i="62929"/>
  <c r="V31" i="62929" s="1"/>
  <c r="V26" i="62914"/>
  <c r="I31" i="62929"/>
  <c r="U31" i="62929" s="1"/>
  <c r="U26" i="62914"/>
  <c r="U12" i="62914"/>
  <c r="I14" i="62914"/>
  <c r="I19" i="62929" s="1"/>
  <c r="I17" i="62929"/>
  <c r="U17" i="62929" s="1"/>
  <c r="T13" i="62914"/>
  <c r="H18" i="62929"/>
  <c r="T18" i="62929" s="1"/>
  <c r="M213" i="3"/>
  <c r="M193" i="3"/>
  <c r="M12" i="62915"/>
  <c r="N12" i="62914"/>
  <c r="N158" i="3"/>
  <c r="E79" i="62918"/>
  <c r="E89" i="62918" s="1"/>
  <c r="E90" i="62918" s="1"/>
  <c r="E91" i="62918" s="1"/>
  <c r="E92" i="62918" s="1"/>
  <c r="L158" i="62927"/>
  <c r="G33" i="62910"/>
  <c r="H33" i="62910" s="1"/>
  <c r="G39" i="62909"/>
  <c r="H39" i="62909" s="1"/>
  <c r="C7" i="62910"/>
  <c r="E7" i="62910" s="1"/>
  <c r="E572" i="62898"/>
  <c r="E540" i="62898"/>
  <c r="E506" i="62898"/>
  <c r="D1768" i="62919"/>
  <c r="E1374" i="62919"/>
  <c r="E1375" i="62919" s="1"/>
  <c r="E1862" i="62919"/>
  <c r="N225" i="2"/>
  <c r="G390" i="62905"/>
  <c r="E368" i="62905"/>
  <c r="F118" i="62892"/>
  <c r="G118" i="62892" s="1"/>
  <c r="G118" i="62910"/>
  <c r="H118" i="62910" s="1"/>
  <c r="G368" i="62905"/>
  <c r="E30" i="62915"/>
  <c r="Q30" i="62915" s="1"/>
  <c r="N224" i="2"/>
  <c r="E25" i="62923"/>
  <c r="E26" i="62923" s="1"/>
  <c r="M251" i="62905"/>
  <c r="L251" i="62905"/>
  <c r="E158" i="62909"/>
  <c r="K247" i="62905"/>
  <c r="F122" i="62892"/>
  <c r="G122" i="62892" s="1"/>
  <c r="N247" i="62905"/>
  <c r="G122" i="62910"/>
  <c r="H122" i="62910" s="1"/>
  <c r="M224" i="2"/>
  <c r="L224" i="2"/>
  <c r="G98" i="62892"/>
  <c r="K251" i="62905"/>
  <c r="N251" i="62905"/>
  <c r="K245" i="62905"/>
  <c r="F120" i="62892"/>
  <c r="N245" i="62905"/>
  <c r="G120" i="62910"/>
  <c r="H120" i="62910" s="1"/>
  <c r="G96" i="62892"/>
  <c r="E94" i="62910"/>
  <c r="K244" i="62905"/>
  <c r="F119" i="62892"/>
  <c r="N244" i="62905"/>
  <c r="G119" i="62910"/>
  <c r="H119" i="62910" s="1"/>
  <c r="D21" i="62923"/>
  <c r="D22" i="62923" s="1"/>
  <c r="D23" i="62923" s="1"/>
  <c r="D24" i="62923" s="1"/>
  <c r="F95" i="62892"/>
  <c r="G95" i="62892" s="1"/>
  <c r="G95" i="62910"/>
  <c r="H95" i="62910" s="1"/>
  <c r="K221" i="2"/>
  <c r="L221" i="2"/>
  <c r="M221" i="2"/>
  <c r="G97" i="62892"/>
  <c r="M223" i="2"/>
  <c r="L223" i="2"/>
  <c r="M222" i="2"/>
  <c r="L222" i="2"/>
  <c r="G98" i="62910"/>
  <c r="H98" i="62910" s="1"/>
  <c r="F98" i="62892"/>
  <c r="L220" i="2"/>
  <c r="M220" i="2"/>
  <c r="F94" i="62892"/>
  <c r="G94" i="62892" s="1"/>
  <c r="G94" i="62910"/>
  <c r="H94" i="62910" s="1"/>
  <c r="H96" i="62910"/>
  <c r="H160" i="62909"/>
  <c r="I604" i="5"/>
  <c r="H573" i="5"/>
  <c r="I573" i="5" s="1"/>
  <c r="X445" i="5"/>
  <c r="H568" i="5"/>
  <c r="X207" i="5"/>
  <c r="J615" i="5"/>
  <c r="F615" i="5"/>
  <c r="C106" i="62909"/>
  <c r="X535" i="5"/>
  <c r="H575" i="5"/>
  <c r="X391" i="5"/>
  <c r="H572" i="5"/>
  <c r="H565" i="5"/>
  <c r="I565" i="5" s="1"/>
  <c r="X78" i="5"/>
  <c r="H571" i="5"/>
  <c r="X332" i="5"/>
  <c r="H564" i="5"/>
  <c r="X24" i="5"/>
  <c r="F606" i="5"/>
  <c r="J606" i="5"/>
  <c r="C97" i="62909"/>
  <c r="H567" i="5"/>
  <c r="X148" i="5"/>
  <c r="C2287" i="62917"/>
  <c r="E2292" i="62917"/>
  <c r="E2293" i="62917" s="1"/>
  <c r="D173" i="62919"/>
  <c r="E174" i="62919"/>
  <c r="E175" i="62919" s="1"/>
  <c r="E176" i="62919" s="1"/>
  <c r="P35" i="62912"/>
  <c r="D331" i="7"/>
  <c r="E331" i="7" s="1"/>
  <c r="G35" i="62912"/>
  <c r="M334" i="7"/>
  <c r="F35" i="62912"/>
  <c r="M331" i="62928"/>
  <c r="D57" i="62892"/>
  <c r="I332" i="7"/>
  <c r="C56" i="62910"/>
  <c r="E56" i="62910" s="1"/>
  <c r="D1372" i="62919"/>
  <c r="E1004" i="62919"/>
  <c r="E1005" i="62919" s="1"/>
  <c r="E1237" i="62919"/>
  <c r="E1238" i="62919" s="1"/>
  <c r="N332" i="7"/>
  <c r="C44" i="62910"/>
  <c r="E44" i="62910" s="1"/>
  <c r="I330" i="62928"/>
  <c r="E330" i="62928"/>
  <c r="C149" i="62892" s="1"/>
  <c r="N330" i="62928"/>
  <c r="D923" i="62919"/>
  <c r="D899" i="62919"/>
  <c r="C895" i="62919" s="1"/>
  <c r="C894" i="62919"/>
  <c r="E927" i="62919"/>
  <c r="E928" i="62919" s="1"/>
  <c r="E929" i="62919" s="1"/>
  <c r="E930" i="62919" s="1"/>
  <c r="E931" i="62919" s="1"/>
  <c r="E932" i="62919" s="1"/>
  <c r="E933" i="62919" s="1"/>
  <c r="E934" i="62919" s="1"/>
  <c r="E935" i="62919" s="1"/>
  <c r="E936" i="62919" s="1"/>
  <c r="E937" i="62919" s="1"/>
  <c r="E938" i="62919" s="1"/>
  <c r="E939" i="62919" s="1"/>
  <c r="E940" i="62919" s="1"/>
  <c r="E941" i="62919" s="1"/>
  <c r="D1003" i="62919"/>
  <c r="C998" i="62919"/>
  <c r="D868" i="62919"/>
  <c r="E872" i="62919"/>
  <c r="D1039" i="62919"/>
  <c r="E1770" i="62919"/>
  <c r="E1040" i="62919"/>
  <c r="E900" i="62919"/>
  <c r="D1234" i="62919"/>
  <c r="D40" i="62919"/>
  <c r="C39" i="62919"/>
  <c r="E19" i="62919"/>
  <c r="D18" i="62919"/>
  <c r="K326" i="7"/>
  <c r="C62" i="62909"/>
  <c r="E62" i="62909" s="1"/>
  <c r="D329" i="62928"/>
  <c r="E329" i="62928" s="1"/>
  <c r="Z31" i="7"/>
  <c r="Z33" i="7" s="1"/>
  <c r="V33" i="7"/>
  <c r="I326" i="62928"/>
  <c r="C52" i="62892"/>
  <c r="C52" i="62910"/>
  <c r="E52" i="62910" s="1"/>
  <c r="C58" i="62909"/>
  <c r="E58" i="62909" s="1"/>
  <c r="E326" i="62928"/>
  <c r="K326" i="62928"/>
  <c r="N326" i="62928"/>
  <c r="G58" i="62909"/>
  <c r="H58" i="62909" s="1"/>
  <c r="G52" i="62910"/>
  <c r="H52" i="62910" s="1"/>
  <c r="F52" i="62892"/>
  <c r="E326" i="7"/>
  <c r="C38" i="62910"/>
  <c r="E38" i="62910" s="1"/>
  <c r="I326" i="7"/>
  <c r="C44" i="62909"/>
  <c r="E44" i="62909" s="1"/>
  <c r="C38" i="62892"/>
  <c r="Z56" i="62928"/>
  <c r="Z60" i="62928" s="1"/>
  <c r="V60" i="62928"/>
  <c r="K330" i="62928"/>
  <c r="E68" i="62909"/>
  <c r="Z29" i="62928"/>
  <c r="Z33" i="62928" s="1"/>
  <c r="V33" i="62928"/>
  <c r="Z69" i="7"/>
  <c r="Z74" i="7" s="1"/>
  <c r="V74" i="7"/>
  <c r="G47" i="62909"/>
  <c r="H47" i="62909" s="1"/>
  <c r="G41" i="62910"/>
  <c r="H41" i="62910" s="1"/>
  <c r="F41" i="62892"/>
  <c r="I330" i="7"/>
  <c r="E330" i="7"/>
  <c r="C42" i="62892"/>
  <c r="C42" i="62910"/>
  <c r="E42" i="62910" s="1"/>
  <c r="C48" i="62909"/>
  <c r="E48" i="62909" s="1"/>
  <c r="G56" i="62909"/>
  <c r="H56" i="62909" s="1"/>
  <c r="F50" i="62892"/>
  <c r="G50" i="62910"/>
  <c r="H50" i="62910" s="1"/>
  <c r="I327" i="62928"/>
  <c r="K327" i="62928"/>
  <c r="N327" i="62928"/>
  <c r="C53" i="62910"/>
  <c r="E53" i="62910" s="1"/>
  <c r="C59" i="62909"/>
  <c r="E59" i="62909" s="1"/>
  <c r="E327" i="62928"/>
  <c r="C53" i="62892"/>
  <c r="P78" i="11"/>
  <c r="G62" i="62910"/>
  <c r="F62" i="62892"/>
  <c r="G62" i="62892" s="1"/>
  <c r="M78" i="11"/>
  <c r="E324" i="62928"/>
  <c r="I324" i="62928"/>
  <c r="C50" i="62892"/>
  <c r="C56" i="62909"/>
  <c r="E56" i="62909" s="1"/>
  <c r="C50" i="62910"/>
  <c r="E50" i="62910" s="1"/>
  <c r="N324" i="62928"/>
  <c r="K324" i="62928"/>
  <c r="F53" i="62892"/>
  <c r="G53" i="62910"/>
  <c r="H53" i="62910" s="1"/>
  <c r="G59" i="62909"/>
  <c r="H59" i="62909" s="1"/>
  <c r="K329" i="7"/>
  <c r="C41" i="62892"/>
  <c r="C41" i="62910"/>
  <c r="E41" i="62910" s="1"/>
  <c r="E329" i="7"/>
  <c r="I329" i="7"/>
  <c r="C47" i="62909"/>
  <c r="E47" i="62909" s="1"/>
  <c r="N329" i="7"/>
  <c r="O78" i="11"/>
  <c r="N78" i="11"/>
  <c r="E62" i="62910"/>
  <c r="Z69" i="62928"/>
  <c r="Z74" i="62928" s="1"/>
  <c r="V74" i="62928"/>
  <c r="M24" i="62929"/>
  <c r="Y24" i="62929" s="1"/>
  <c r="Y19" i="62914"/>
  <c r="S20" i="62912"/>
  <c r="F55" i="62892"/>
  <c r="G61" i="62909"/>
  <c r="H61" i="62909" s="1"/>
  <c r="G55" i="62910"/>
  <c r="H55" i="62910" s="1"/>
  <c r="G49" i="62909"/>
  <c r="H49" i="62909" s="1"/>
  <c r="G43" i="62910"/>
  <c r="H43" i="62910" s="1"/>
  <c r="F43" i="62892"/>
  <c r="C60" i="62909"/>
  <c r="I328" i="62928"/>
  <c r="C54" i="62892"/>
  <c r="E328" i="62928"/>
  <c r="C54" i="62910"/>
  <c r="G44" i="62910"/>
  <c r="H44" i="62910" s="1"/>
  <c r="F44" i="62892"/>
  <c r="G44" i="62892" s="1"/>
  <c r="G50" i="62909"/>
  <c r="H50" i="62909" s="1"/>
  <c r="K332" i="7"/>
  <c r="G56" i="62910"/>
  <c r="H56" i="62910" s="1"/>
  <c r="G62" i="62909"/>
  <c r="H62" i="62909" s="1"/>
  <c r="F56" i="62892"/>
  <c r="G56" i="62892" s="1"/>
  <c r="R19" i="62914"/>
  <c r="F24" i="62929"/>
  <c r="R24" i="62929" s="1"/>
  <c r="E26" i="62912"/>
  <c r="N26" i="62912" s="1"/>
  <c r="I358" i="7"/>
  <c r="I26" i="62912" s="1"/>
  <c r="J424" i="7"/>
  <c r="J26" i="62915" s="1"/>
  <c r="E26" i="62915"/>
  <c r="Q26" i="62915" s="1"/>
  <c r="L333" i="7"/>
  <c r="M333" i="7"/>
  <c r="E51" i="62909"/>
  <c r="L399" i="7"/>
  <c r="L35" i="62914" s="1"/>
  <c r="E35" i="62914"/>
  <c r="E45" i="62910"/>
  <c r="R32" i="62914"/>
  <c r="E165" i="62904"/>
  <c r="E29" i="62912" s="1"/>
  <c r="F205" i="62904"/>
  <c r="L199" i="62925"/>
  <c r="M199" i="62925"/>
  <c r="C7" i="62892"/>
  <c r="E199" i="62926"/>
  <c r="M199" i="62926" s="1"/>
  <c r="E199" i="62904"/>
  <c r="E31" i="62914" s="1"/>
  <c r="D123" i="62904"/>
  <c r="N123" i="62904" s="1"/>
  <c r="C11" i="62909"/>
  <c r="E11" i="62909" s="1"/>
  <c r="I215" i="62926"/>
  <c r="E215" i="62926"/>
  <c r="E201" i="62925"/>
  <c r="I201" i="62925"/>
  <c r="C16" i="62892"/>
  <c r="C16" i="62910"/>
  <c r="E16" i="62910" s="1"/>
  <c r="C9" i="62910"/>
  <c r="E9" i="62910" s="1"/>
  <c r="E201" i="62926"/>
  <c r="C9" i="62892"/>
  <c r="I201" i="62926"/>
  <c r="I215" i="62925"/>
  <c r="E215" i="62925"/>
  <c r="C21" i="62909"/>
  <c r="E21" i="62909" s="1"/>
  <c r="G10" i="62892"/>
  <c r="L202" i="62925"/>
  <c r="M202" i="62925"/>
  <c r="M202" i="62926"/>
  <c r="L202" i="62926"/>
  <c r="D17" i="62892"/>
  <c r="G17" i="62892"/>
  <c r="C192" i="62909"/>
  <c r="E135" i="62904"/>
  <c r="I135" i="62904"/>
  <c r="K201" i="62925"/>
  <c r="N201" i="62925"/>
  <c r="F16" i="62892"/>
  <c r="G16" i="62910"/>
  <c r="H16" i="62910" s="1"/>
  <c r="K124" i="62904"/>
  <c r="C113" i="62910"/>
  <c r="E113" i="62910" s="1"/>
  <c r="I124" i="62904"/>
  <c r="C113" i="62892"/>
  <c r="E124" i="62904"/>
  <c r="N124" i="62904"/>
  <c r="E21" i="62917"/>
  <c r="E137" i="62904"/>
  <c r="C194" i="62909"/>
  <c r="E194" i="62909" s="1"/>
  <c r="I137" i="62904"/>
  <c r="F113" i="62892"/>
  <c r="G113" i="62910"/>
  <c r="H113" i="62910" s="1"/>
  <c r="D19" i="62917"/>
  <c r="K201" i="62926"/>
  <c r="F9" i="62892"/>
  <c r="N201" i="62926"/>
  <c r="G9" i="62910"/>
  <c r="H9" i="62910" s="1"/>
  <c r="H203" i="62925"/>
  <c r="H204" i="62925" s="1"/>
  <c r="F14" i="62892"/>
  <c r="N199" i="62925"/>
  <c r="G14" i="62910"/>
  <c r="K199" i="62925"/>
  <c r="D15" i="62892"/>
  <c r="G15" i="62892"/>
  <c r="G192" i="62909"/>
  <c r="H52" i="62912"/>
  <c r="E52" i="62912"/>
  <c r="T10" i="62912"/>
  <c r="D218" i="62925"/>
  <c r="D219" i="62925" s="1"/>
  <c r="D203" i="62925"/>
  <c r="D204" i="62925" s="1"/>
  <c r="F200" i="62925" s="1"/>
  <c r="H218" i="62926"/>
  <c r="G14" i="62909" s="1"/>
  <c r="H14" i="62909" s="1"/>
  <c r="H203" i="62926"/>
  <c r="H204" i="62926" s="1"/>
  <c r="H17" i="62909"/>
  <c r="H16" i="62909" s="1"/>
  <c r="H215" i="62909" s="1"/>
  <c r="G16" i="62909"/>
  <c r="G215" i="62909" s="1"/>
  <c r="N199" i="62926"/>
  <c r="K199" i="62926"/>
  <c r="G7" i="62910"/>
  <c r="H7" i="62910" s="1"/>
  <c r="F7" i="62892"/>
  <c r="L200" i="62925"/>
  <c r="M200" i="62925"/>
  <c r="F112" i="62892"/>
  <c r="G112" i="62910"/>
  <c r="H112" i="62910" s="1"/>
  <c r="M200" i="62926"/>
  <c r="L200" i="62926"/>
  <c r="G8" i="62892"/>
  <c r="D8" i="62892"/>
  <c r="E40" i="62915"/>
  <c r="Y10" i="62915"/>
  <c r="H40" i="62915"/>
  <c r="D203" i="62926"/>
  <c r="D218" i="62926"/>
  <c r="D219" i="62926" s="1"/>
  <c r="F111" i="62892"/>
  <c r="K122" i="62904"/>
  <c r="G111" i="62910"/>
  <c r="N122" i="62904"/>
  <c r="G13" i="62909"/>
  <c r="E42" i="62914"/>
  <c r="Z10" i="62914"/>
  <c r="N15" i="62929"/>
  <c r="Z15" i="62929" s="1"/>
  <c r="H42" i="62914"/>
  <c r="H219" i="62925"/>
  <c r="S30" i="62915"/>
  <c r="S35" i="62915" s="1"/>
  <c r="G35" i="62915"/>
  <c r="C117" i="62910"/>
  <c r="E117" i="62910" s="1"/>
  <c r="C117" i="62892"/>
  <c r="E242" i="62905"/>
  <c r="K242" i="62905"/>
  <c r="N242" i="62905"/>
  <c r="I242" i="62905"/>
  <c r="E89" i="62910"/>
  <c r="D935" i="62917"/>
  <c r="D936" i="62917" s="1"/>
  <c r="H199" i="62909"/>
  <c r="G117" i="62910"/>
  <c r="H117" i="62910" s="1"/>
  <c r="F117" i="62892"/>
  <c r="E937" i="62917"/>
  <c r="R30" i="62915"/>
  <c r="R35" i="62915" s="1"/>
  <c r="F35" i="62915"/>
  <c r="G95" i="62909" l="1"/>
  <c r="H95" i="62909" s="1"/>
  <c r="J604" i="5"/>
  <c r="G144" i="62909"/>
  <c r="H144" i="62909" s="1"/>
  <c r="J478" i="62898"/>
  <c r="G129" i="62909"/>
  <c r="H129" i="62909" s="1"/>
  <c r="J463" i="62898"/>
  <c r="M444" i="62898"/>
  <c r="E942" i="62921"/>
  <c r="E943" i="62921" s="1"/>
  <c r="E944" i="62921" s="1"/>
  <c r="E945" i="62921" s="1"/>
  <c r="E946" i="62921" s="1"/>
  <c r="E947" i="62921" s="1"/>
  <c r="E948" i="62921" s="1"/>
  <c r="E949" i="62921" s="1"/>
  <c r="E950" i="62921" s="1"/>
  <c r="E951" i="62921" s="1"/>
  <c r="E952" i="62921" s="1"/>
  <c r="E953" i="62921" s="1"/>
  <c r="E954" i="62921" s="1"/>
  <c r="E955" i="62921" s="1"/>
  <c r="E956" i="62921" s="1"/>
  <c r="E957" i="62921" s="1"/>
  <c r="E958" i="62921" s="1"/>
  <c r="E959" i="62921" s="1"/>
  <c r="E960" i="62921" s="1"/>
  <c r="E961" i="62921" s="1"/>
  <c r="E962" i="62921" s="1"/>
  <c r="E963" i="62921" s="1"/>
  <c r="E964" i="62921" s="1"/>
  <c r="E965" i="62921" s="1"/>
  <c r="E966" i="62921" s="1"/>
  <c r="E967" i="62921" s="1"/>
  <c r="E968" i="62921" s="1"/>
  <c r="E969" i="62921" s="1"/>
  <c r="E970" i="62921" s="1"/>
  <c r="E971" i="62921" s="1"/>
  <c r="E972" i="62921" s="1"/>
  <c r="E973" i="62921" s="1"/>
  <c r="E974" i="62921" s="1"/>
  <c r="E975" i="62921" s="1"/>
  <c r="E976" i="62921" s="1"/>
  <c r="E977" i="62921" s="1"/>
  <c r="E978" i="62921" s="1"/>
  <c r="E979" i="62921" s="1"/>
  <c r="E980" i="62921" s="1"/>
  <c r="D940" i="62921"/>
  <c r="K652" i="5" a="1"/>
  <c r="K652" i="5" s="1"/>
  <c r="D608" i="62921"/>
  <c r="F90" i="62892"/>
  <c r="G89" i="62892"/>
  <c r="I445" i="62898"/>
  <c r="D555" i="62922"/>
  <c r="E556" i="62922"/>
  <c r="E557" i="62922" s="1"/>
  <c r="E558" i="62922" s="1"/>
  <c r="E559" i="62922" s="1"/>
  <c r="E560" i="62922" s="1"/>
  <c r="E561" i="62922" s="1"/>
  <c r="E562" i="62922" s="1"/>
  <c r="E563" i="62922" s="1"/>
  <c r="E564" i="62922" s="1"/>
  <c r="E565" i="62922" s="1"/>
  <c r="E566" i="62922" s="1"/>
  <c r="E567" i="62922" s="1"/>
  <c r="E568" i="62922" s="1"/>
  <c r="E569" i="62922" s="1"/>
  <c r="E570" i="62922" s="1"/>
  <c r="E571" i="62922" s="1"/>
  <c r="E572" i="62922" s="1"/>
  <c r="E573" i="62922" s="1"/>
  <c r="E574" i="62922" s="1"/>
  <c r="E575" i="62922" s="1"/>
  <c r="E576" i="62922" s="1"/>
  <c r="E577" i="62922" s="1"/>
  <c r="E578" i="62922" s="1"/>
  <c r="E579" i="62922" s="1"/>
  <c r="E580" i="62922" s="1"/>
  <c r="E581" i="62922" s="1"/>
  <c r="E582" i="62922" s="1"/>
  <c r="E583" i="62922" s="1"/>
  <c r="E584" i="62922" s="1"/>
  <c r="E585" i="62922" s="1"/>
  <c r="E586" i="62922" s="1"/>
  <c r="E587" i="62922" s="1"/>
  <c r="E588" i="62922" s="1"/>
  <c r="E589" i="62922" s="1"/>
  <c r="E590" i="62922" s="1"/>
  <c r="E591" i="62922" s="1"/>
  <c r="E592" i="62922" s="1"/>
  <c r="E593" i="62922" s="1"/>
  <c r="E594" i="62922" s="1"/>
  <c r="E595" i="62922" s="1"/>
  <c r="E596" i="62922" s="1"/>
  <c r="E597" i="62922" s="1"/>
  <c r="E598" i="62922" s="1"/>
  <c r="E599" i="62922" s="1"/>
  <c r="E600" i="62922" s="1"/>
  <c r="E601" i="62922" s="1"/>
  <c r="E602" i="62922" s="1"/>
  <c r="E603" i="62922" s="1"/>
  <c r="E604" i="62922" s="1"/>
  <c r="E605" i="62922" s="1"/>
  <c r="E606" i="62922" s="1"/>
  <c r="E607" i="62922" s="1"/>
  <c r="E608" i="62922" s="1"/>
  <c r="E609" i="62922" s="1"/>
  <c r="E610" i="62922" s="1"/>
  <c r="E611" i="62922" s="1"/>
  <c r="E612" i="62922" s="1"/>
  <c r="E613" i="62922" s="1"/>
  <c r="E614" i="62922" s="1"/>
  <c r="E615" i="62922" s="1"/>
  <c r="E616" i="62922" s="1"/>
  <c r="E617" i="62922" s="1"/>
  <c r="E618" i="62922" s="1"/>
  <c r="E619" i="62922" s="1"/>
  <c r="E620" i="62922" s="1"/>
  <c r="E621" i="62922" s="1"/>
  <c r="E622" i="62922" s="1"/>
  <c r="E623" i="62922" s="1"/>
  <c r="E624" i="62922" s="1"/>
  <c r="E625" i="62922" s="1"/>
  <c r="E626" i="62922" s="1"/>
  <c r="E627" i="62922" s="1"/>
  <c r="E628" i="62922" s="1"/>
  <c r="E629" i="62922" s="1"/>
  <c r="E630" i="62922" s="1"/>
  <c r="E631" i="62922" s="1"/>
  <c r="E632" i="62922" s="1"/>
  <c r="E633" i="62922" s="1"/>
  <c r="E634" i="62922" s="1"/>
  <c r="E635" i="62922" s="1"/>
  <c r="E636" i="62922" s="1"/>
  <c r="E637" i="62922" s="1"/>
  <c r="E638" i="62922" s="1"/>
  <c r="E639" i="62922" s="1"/>
  <c r="E640" i="62922" s="1"/>
  <c r="E641" i="62922" s="1"/>
  <c r="E642" i="62922" s="1"/>
  <c r="E643" i="62922" s="1"/>
  <c r="E644" i="62922" s="1"/>
  <c r="E645" i="62922" s="1"/>
  <c r="E646" i="62922" s="1"/>
  <c r="E647" i="62922" s="1"/>
  <c r="E648" i="62922" s="1"/>
  <c r="E649" i="62922" s="1"/>
  <c r="E650" i="62922" s="1"/>
  <c r="E651" i="62922" s="1"/>
  <c r="E652" i="62922" s="1"/>
  <c r="E653" i="62922" s="1"/>
  <c r="E654" i="62922" s="1"/>
  <c r="E655" i="62922" s="1"/>
  <c r="E656" i="62922" s="1"/>
  <c r="E657" i="62922" s="1"/>
  <c r="E658" i="62922" s="1"/>
  <c r="E659" i="62922" s="1"/>
  <c r="E660" i="62922" s="1"/>
  <c r="E661" i="62922" s="1"/>
  <c r="E662" i="62922" s="1"/>
  <c r="E663" i="62922" s="1"/>
  <c r="E664" i="62922" s="1"/>
  <c r="E665" i="62922" s="1"/>
  <c r="E666" i="62922" s="1"/>
  <c r="E667" i="62922" s="1"/>
  <c r="E668" i="62922" s="1"/>
  <c r="E669" i="62922" s="1"/>
  <c r="E670" i="62922" s="1"/>
  <c r="E671" i="62922" s="1"/>
  <c r="E672" i="62922" s="1"/>
  <c r="E673" i="62922" s="1"/>
  <c r="E674" i="62922" s="1"/>
  <c r="E675" i="62922" s="1"/>
  <c r="E676" i="62922" s="1"/>
  <c r="E677" i="62922" s="1"/>
  <c r="E678" i="62922" s="1"/>
  <c r="E679" i="62922" s="1"/>
  <c r="E680" i="62922" s="1"/>
  <c r="E681" i="62922" s="1"/>
  <c r="E682" i="62922" s="1"/>
  <c r="E683" i="62922" s="1"/>
  <c r="E684" i="62922" s="1"/>
  <c r="E685" i="62922" s="1"/>
  <c r="E686" i="62922" s="1"/>
  <c r="E687" i="62922" s="1"/>
  <c r="E688" i="62922" s="1"/>
  <c r="E689" i="62922" s="1"/>
  <c r="E690" i="62922" s="1"/>
  <c r="E691" i="62922" s="1"/>
  <c r="E692" i="62922" s="1"/>
  <c r="E693" i="62922" s="1"/>
  <c r="E694" i="62922" s="1"/>
  <c r="E695" i="62922" s="1"/>
  <c r="E696" i="62922" s="1"/>
  <c r="E697" i="62922" s="1"/>
  <c r="E698" i="62922" s="1"/>
  <c r="E699" i="62922" s="1"/>
  <c r="E700" i="62922" s="1"/>
  <c r="E701" i="62922" s="1"/>
  <c r="E702" i="62922" s="1"/>
  <c r="E703" i="62922" s="1"/>
  <c r="E704" i="62922" s="1"/>
  <c r="E705" i="62922" s="1"/>
  <c r="E706" i="62922" s="1"/>
  <c r="E707" i="62922" s="1"/>
  <c r="E708" i="62922" s="1"/>
  <c r="E709" i="62922" s="1"/>
  <c r="E710" i="62922" s="1"/>
  <c r="E711" i="62922" s="1"/>
  <c r="E712" i="62922" s="1"/>
  <c r="E713" i="62922" s="1"/>
  <c r="E714" i="62922" s="1"/>
  <c r="E715" i="62922" s="1"/>
  <c r="E716" i="62922" s="1"/>
  <c r="E717" i="62922" s="1"/>
  <c r="E718" i="62922" s="1"/>
  <c r="E719" i="62922" s="1"/>
  <c r="E720" i="62922" s="1"/>
  <c r="E721" i="62922" s="1"/>
  <c r="E722" i="62922" s="1"/>
  <c r="E723" i="62922" s="1"/>
  <c r="E724" i="62922" s="1"/>
  <c r="E725" i="62922" s="1"/>
  <c r="E726" i="62922" s="1"/>
  <c r="E727" i="62922" s="1"/>
  <c r="E728" i="62922" s="1"/>
  <c r="E729" i="62922" s="1"/>
  <c r="E730" i="62922" s="1"/>
  <c r="E731" i="62922" s="1"/>
  <c r="E732" i="62922" s="1"/>
  <c r="E733" i="62922" s="1"/>
  <c r="E734" i="62922" s="1"/>
  <c r="E735" i="62922" s="1"/>
  <c r="E736" i="62922" s="1"/>
  <c r="E737" i="62922" s="1"/>
  <c r="E738" i="62922" s="1"/>
  <c r="E739" i="62922" s="1"/>
  <c r="E740" i="62922" s="1"/>
  <c r="E741" i="62922" s="1"/>
  <c r="E742" i="62922" s="1"/>
  <c r="E743" i="62922" s="1"/>
  <c r="E744" i="62922" s="1"/>
  <c r="E745" i="62922" s="1"/>
  <c r="E746" i="62922" s="1"/>
  <c r="E747" i="62922" s="1"/>
  <c r="E748" i="62922" s="1"/>
  <c r="E749" i="62922" s="1"/>
  <c r="E750" i="62922" s="1"/>
  <c r="E751" i="62922" s="1"/>
  <c r="E752" i="62922" s="1"/>
  <c r="E753" i="62922" s="1"/>
  <c r="E754" i="62922" s="1"/>
  <c r="E755" i="62922" s="1"/>
  <c r="E756" i="62922" s="1"/>
  <c r="E757" i="62922" s="1"/>
  <c r="E758" i="62922" s="1"/>
  <c r="E759" i="62922" s="1"/>
  <c r="E760" i="62922" s="1"/>
  <c r="E761" i="62922" s="1"/>
  <c r="E762" i="62922" s="1"/>
  <c r="E763" i="62922" s="1"/>
  <c r="G90" i="62910"/>
  <c r="H90" i="62910" s="1"/>
  <c r="K446" i="62898"/>
  <c r="E57" i="62914"/>
  <c r="N34" i="62929"/>
  <c r="Z34" i="62929" s="1"/>
  <c r="Z29" i="62914"/>
  <c r="I566" i="5"/>
  <c r="E566" i="5"/>
  <c r="D582" i="5" s="1"/>
  <c r="G86" i="62909"/>
  <c r="H86" i="62909" s="1"/>
  <c r="E26" i="62922"/>
  <c r="E27" i="62922" s="1"/>
  <c r="E28" i="62922" s="1"/>
  <c r="E29" i="62922" s="1"/>
  <c r="E30" i="62922" s="1"/>
  <c r="E31" i="62922" s="1"/>
  <c r="E32" i="62922" s="1"/>
  <c r="E33" i="62922" s="1"/>
  <c r="E34" i="62922" s="1"/>
  <c r="E35" i="62922" s="1"/>
  <c r="E36" i="62922" s="1"/>
  <c r="E37" i="62922" s="1"/>
  <c r="E38" i="62922" s="1"/>
  <c r="E39" i="62922" s="1"/>
  <c r="E40" i="62922" s="1"/>
  <c r="E41" i="62922" s="1"/>
  <c r="E42" i="62922" s="1"/>
  <c r="E43" i="62922" s="1"/>
  <c r="E44" i="62922" s="1"/>
  <c r="E45" i="62922" s="1"/>
  <c r="E46" i="62922" s="1"/>
  <c r="E47" i="62922" s="1"/>
  <c r="E48" i="62922" s="1"/>
  <c r="E49" i="62922" s="1"/>
  <c r="E50" i="62922" s="1"/>
  <c r="E51" i="62922" s="1"/>
  <c r="E52" i="62922" s="1"/>
  <c r="E53" i="62922" s="1"/>
  <c r="E54" i="62922" s="1"/>
  <c r="E55" i="62922" s="1"/>
  <c r="E56" i="62922" s="1"/>
  <c r="E57" i="62922" s="1"/>
  <c r="E58" i="62922" s="1"/>
  <c r="E59" i="62922" s="1"/>
  <c r="E60" i="62922" s="1"/>
  <c r="E61" i="62922" s="1"/>
  <c r="E62" i="62922" s="1"/>
  <c r="E63" i="62922" s="1"/>
  <c r="E64" i="62922" s="1"/>
  <c r="E65" i="62922" s="1"/>
  <c r="E66" i="62922" s="1"/>
  <c r="E67" i="62922" s="1"/>
  <c r="E68" i="62922" s="1"/>
  <c r="E69" i="62922" s="1"/>
  <c r="E70" i="62922" s="1"/>
  <c r="E71" i="62922" s="1"/>
  <c r="E72" i="62922" s="1"/>
  <c r="E73" i="62922" s="1"/>
  <c r="E74" i="62922" s="1"/>
  <c r="E75" i="62922" s="1"/>
  <c r="E76" i="62922" s="1"/>
  <c r="E77" i="62922" s="1"/>
  <c r="E78" i="62922" s="1"/>
  <c r="E79" i="62922" s="1"/>
  <c r="E80" i="62922" s="1"/>
  <c r="E81" i="62922" s="1"/>
  <c r="E82" i="62922" s="1"/>
  <c r="E83" i="62922" s="1"/>
  <c r="E84" i="62922" s="1"/>
  <c r="E85" i="62922" s="1"/>
  <c r="E86" i="62922" s="1"/>
  <c r="E87" i="62922" s="1"/>
  <c r="E88" i="62922" s="1"/>
  <c r="E89" i="62922" s="1"/>
  <c r="E90" i="62922" s="1"/>
  <c r="E91" i="62922" s="1"/>
  <c r="E92" i="62922" s="1"/>
  <c r="E93" i="62922" s="1"/>
  <c r="E94" i="62922" s="1"/>
  <c r="E95" i="62922" s="1"/>
  <c r="E96" i="62922" s="1"/>
  <c r="E97" i="62922" s="1"/>
  <c r="E98" i="62922" s="1"/>
  <c r="E99" i="62922" s="1"/>
  <c r="E100" i="62922" s="1"/>
  <c r="E101" i="62922" s="1"/>
  <c r="E102" i="62922" s="1"/>
  <c r="E103" i="62922" s="1"/>
  <c r="E104" i="62922" s="1"/>
  <c r="E105" i="62922" s="1"/>
  <c r="E106" i="62922" s="1"/>
  <c r="E107" i="62922" s="1"/>
  <c r="E108" i="62922" s="1"/>
  <c r="E109" i="62922" s="1"/>
  <c r="E110" i="62922" s="1"/>
  <c r="E111" i="62922" s="1"/>
  <c r="E112" i="62922" s="1"/>
  <c r="E113" i="62922" s="1"/>
  <c r="E114" i="62922" s="1"/>
  <c r="E115" i="62922" s="1"/>
  <c r="E116" i="62922" s="1"/>
  <c r="E117" i="62922" s="1"/>
  <c r="E118" i="62922" s="1"/>
  <c r="E119" i="62922" s="1"/>
  <c r="E120" i="62922" s="1"/>
  <c r="E121" i="62922" s="1"/>
  <c r="E122" i="62922" s="1"/>
  <c r="E123" i="62922" s="1"/>
  <c r="E124" i="62922" s="1"/>
  <c r="E125" i="62922" s="1"/>
  <c r="E126" i="62922" s="1"/>
  <c r="E127" i="62922" s="1"/>
  <c r="D20" i="62922"/>
  <c r="C16" i="62922" s="1"/>
  <c r="C73" i="62910"/>
  <c r="E73" i="62910" s="1"/>
  <c r="G103" i="62909"/>
  <c r="H103" i="62909" s="1"/>
  <c r="J612" i="5"/>
  <c r="J603" i="5"/>
  <c r="D486" i="62922"/>
  <c r="C288" i="62922"/>
  <c r="C287" i="62922"/>
  <c r="D299" i="62922"/>
  <c r="K444" i="62898"/>
  <c r="I444" i="62898"/>
  <c r="Y16" i="62915"/>
  <c r="Y18" i="62915" s="1"/>
  <c r="N444" i="62898"/>
  <c r="F88" i="62892"/>
  <c r="G88" i="62892" s="1"/>
  <c r="D340" i="62921"/>
  <c r="C336" i="62921" s="1"/>
  <c r="E452" i="62898"/>
  <c r="G452" i="62898" s="1"/>
  <c r="C16" i="62921"/>
  <c r="D21" i="62921"/>
  <c r="E24" i="62921"/>
  <c r="E25" i="62921" s="1"/>
  <c r="M443" i="62898"/>
  <c r="D210" i="62921"/>
  <c r="C91" i="62910"/>
  <c r="E91" i="62910" s="1"/>
  <c r="E447" i="62898"/>
  <c r="L447" i="62898" s="1"/>
  <c r="I447" i="62898"/>
  <c r="D255" i="62921"/>
  <c r="C251" i="62921"/>
  <c r="E341" i="62921"/>
  <c r="F85" i="62892"/>
  <c r="D2243" i="62917"/>
  <c r="C2237" i="62917" s="1"/>
  <c r="C1860" i="62919"/>
  <c r="E421" i="62921"/>
  <c r="E422" i="62921" s="1"/>
  <c r="E423" i="62921" s="1"/>
  <c r="E424" i="62921" s="1"/>
  <c r="E425" i="62921" s="1"/>
  <c r="E426" i="62921" s="1"/>
  <c r="E427" i="62921" s="1"/>
  <c r="E428" i="62921" s="1"/>
  <c r="E429" i="62921" s="1"/>
  <c r="E430" i="62921" s="1"/>
  <c r="E431" i="62921" s="1"/>
  <c r="E432" i="62921" s="1"/>
  <c r="E433" i="62921" s="1"/>
  <c r="E434" i="62921" s="1"/>
  <c r="E435" i="62921" s="1"/>
  <c r="E436" i="62921" s="1"/>
  <c r="E437" i="62921" s="1"/>
  <c r="E438" i="62921" s="1"/>
  <c r="E439" i="62921" s="1"/>
  <c r="E440" i="62921" s="1"/>
  <c r="E441" i="62921" s="1"/>
  <c r="E442" i="62921" s="1"/>
  <c r="E443" i="62921" s="1"/>
  <c r="E444" i="62921" s="1"/>
  <c r="E445" i="62921" s="1"/>
  <c r="E446" i="62921" s="1"/>
  <c r="E447" i="62921" s="1"/>
  <c r="E448" i="62921" s="1"/>
  <c r="E449" i="62921" s="1"/>
  <c r="E450" i="62921" s="1"/>
  <c r="E451" i="62921" s="1"/>
  <c r="E452" i="62921" s="1"/>
  <c r="E453" i="62921" s="1"/>
  <c r="E454" i="62921" s="1"/>
  <c r="E455" i="62921" s="1"/>
  <c r="E456" i="62921" s="1"/>
  <c r="E457" i="62921" s="1"/>
  <c r="E458" i="62921" s="1"/>
  <c r="E459" i="62921" s="1"/>
  <c r="E460" i="62921" s="1"/>
  <c r="E461" i="62921" s="1"/>
  <c r="E462" i="62921" s="1"/>
  <c r="E463" i="62921" s="1"/>
  <c r="E464" i="62921" s="1"/>
  <c r="E465" i="62921" s="1"/>
  <c r="E466" i="62921" s="1"/>
  <c r="E467" i="62921" s="1"/>
  <c r="E468" i="62921" s="1"/>
  <c r="E469" i="62921" s="1"/>
  <c r="E470" i="62921" s="1"/>
  <c r="E471" i="62921" s="1"/>
  <c r="E472" i="62921" s="1"/>
  <c r="E473" i="62921" s="1"/>
  <c r="E474" i="62921" s="1"/>
  <c r="E475" i="62921" s="1"/>
  <c r="E476" i="62921" s="1"/>
  <c r="E477" i="62921" s="1"/>
  <c r="E478" i="62921" s="1"/>
  <c r="E479" i="62921" s="1"/>
  <c r="E480" i="62921" s="1"/>
  <c r="E481" i="62921" s="1"/>
  <c r="E482" i="62921" s="1"/>
  <c r="E483" i="62921" s="1"/>
  <c r="E484" i="62921" s="1"/>
  <c r="E485" i="62921" s="1"/>
  <c r="E486" i="62921" s="1"/>
  <c r="E487" i="62921" s="1"/>
  <c r="E488" i="62921" s="1"/>
  <c r="E489" i="62921" s="1"/>
  <c r="E490" i="62921" s="1"/>
  <c r="E491" i="62921" s="1"/>
  <c r="E492" i="62921" s="1"/>
  <c r="E493" i="62921" s="1"/>
  <c r="E494" i="62921" s="1"/>
  <c r="E495" i="62921" s="1"/>
  <c r="E496" i="62921" s="1"/>
  <c r="E497" i="62921" s="1"/>
  <c r="E498" i="62921" s="1"/>
  <c r="E499" i="62921" s="1"/>
  <c r="E500" i="62921" s="1"/>
  <c r="E501" i="62921" s="1"/>
  <c r="E502" i="62921" s="1"/>
  <c r="E503" i="62921" s="1"/>
  <c r="E504" i="62921" s="1"/>
  <c r="E505" i="62921" s="1"/>
  <c r="E506" i="62921" s="1"/>
  <c r="E507" i="62921" s="1"/>
  <c r="E508" i="62921" s="1"/>
  <c r="E509" i="62921" s="1"/>
  <c r="E510" i="62921" s="1"/>
  <c r="E511" i="62921" s="1"/>
  <c r="E512" i="62921" s="1"/>
  <c r="E513" i="62921" s="1"/>
  <c r="E514" i="62921" s="1"/>
  <c r="E515" i="62921" s="1"/>
  <c r="E516" i="62921" s="1"/>
  <c r="E517" i="62921" s="1"/>
  <c r="E518" i="62921" s="1"/>
  <c r="E519" i="62921" s="1"/>
  <c r="E520" i="62921" s="1"/>
  <c r="E521" i="62921" s="1"/>
  <c r="E522" i="62921" s="1"/>
  <c r="E523" i="62921" s="1"/>
  <c r="E524" i="62921" s="1"/>
  <c r="E525" i="62921" s="1"/>
  <c r="E526" i="62921" s="1"/>
  <c r="E527" i="62921" s="1"/>
  <c r="E528" i="62921" s="1"/>
  <c r="E529" i="62921" s="1"/>
  <c r="E530" i="62921" s="1"/>
  <c r="E531" i="62921" s="1"/>
  <c r="E532" i="62921" s="1"/>
  <c r="E533" i="62921" s="1"/>
  <c r="E534" i="62921" s="1"/>
  <c r="E535" i="62921" s="1"/>
  <c r="E536" i="62921" s="1"/>
  <c r="E537" i="62921" s="1"/>
  <c r="E538" i="62921" s="1"/>
  <c r="E539" i="62921" s="1"/>
  <c r="E540" i="62921" s="1"/>
  <c r="E541" i="62921" s="1"/>
  <c r="E542" i="62921" s="1"/>
  <c r="E543" i="62921" s="1"/>
  <c r="E544" i="62921" s="1"/>
  <c r="E545" i="62921" s="1"/>
  <c r="E546" i="62921" s="1"/>
  <c r="E547" i="62921" s="1"/>
  <c r="E548" i="62921" s="1"/>
  <c r="E549" i="62921" s="1"/>
  <c r="E550" i="62921" s="1"/>
  <c r="E551" i="62921" s="1"/>
  <c r="D420" i="62921"/>
  <c r="N442" i="62898"/>
  <c r="N441" i="62898"/>
  <c r="N556" i="62898"/>
  <c r="K442" i="62898"/>
  <c r="F86" i="62892"/>
  <c r="G86" i="62892" s="1"/>
  <c r="K522" i="62898"/>
  <c r="M588" i="62898"/>
  <c r="M25" i="62915"/>
  <c r="E53" i="62915" s="1"/>
  <c r="I441" i="62898"/>
  <c r="E441" i="62898"/>
  <c r="C85" i="62910"/>
  <c r="E85" i="62910" s="1"/>
  <c r="K441" i="62898"/>
  <c r="C85" i="62892"/>
  <c r="C84" i="62892" s="1"/>
  <c r="D448" i="62898"/>
  <c r="E128" i="62909"/>
  <c r="E222" i="62909" s="1"/>
  <c r="K445" i="62898"/>
  <c r="C128" i="62909"/>
  <c r="C222" i="62909" s="1"/>
  <c r="G89" i="62910"/>
  <c r="H89" i="62910" s="1"/>
  <c r="N445" i="62898"/>
  <c r="E1925" i="62917"/>
  <c r="E1926" i="62917" s="1"/>
  <c r="E1927" i="62917" s="1"/>
  <c r="E1928" i="62917" s="1"/>
  <c r="E1929" i="62917" s="1"/>
  <c r="E1930" i="62917" s="1"/>
  <c r="E1931" i="62917" s="1"/>
  <c r="E1932" i="62917" s="1"/>
  <c r="E1933" i="62917" s="1"/>
  <c r="E1934" i="62917" s="1"/>
  <c r="E1935" i="62917" s="1"/>
  <c r="E1936" i="62917" s="1"/>
  <c r="E1937" i="62917" s="1"/>
  <c r="E1938" i="62917" s="1"/>
  <c r="E1939" i="62917" s="1"/>
  <c r="E1940" i="62917" s="1"/>
  <c r="E1941" i="62917" s="1"/>
  <c r="E1942" i="62917" s="1"/>
  <c r="E1943" i="62917" s="1"/>
  <c r="E1944" i="62917" s="1"/>
  <c r="E1945" i="62917" s="1"/>
  <c r="E1946" i="62917" s="1"/>
  <c r="E1947" i="62917" s="1"/>
  <c r="E1948" i="62917" s="1"/>
  <c r="E1949" i="62917" s="1"/>
  <c r="E1950" i="62917" s="1"/>
  <c r="E1951" i="62917" s="1"/>
  <c r="D1624" i="62917"/>
  <c r="D2159" i="62917"/>
  <c r="D2160" i="62917" s="1"/>
  <c r="E2161" i="62917"/>
  <c r="D328" i="62923"/>
  <c r="G487" i="62898"/>
  <c r="G477" i="62898"/>
  <c r="G465" i="62898"/>
  <c r="G475" i="62898"/>
  <c r="G489" i="62898"/>
  <c r="F490" i="62898"/>
  <c r="G482" i="62898"/>
  <c r="G473" i="62898"/>
  <c r="G480" i="62898"/>
  <c r="G481" i="62898"/>
  <c r="G485" i="62898"/>
  <c r="G467" i="62898"/>
  <c r="G463" i="62898"/>
  <c r="G476" i="62898"/>
  <c r="G478" i="62898"/>
  <c r="G486" i="62898"/>
  <c r="G479" i="62898"/>
  <c r="G464" i="62898"/>
  <c r="G471" i="62898"/>
  <c r="G469" i="62898"/>
  <c r="G483" i="62898"/>
  <c r="G488" i="62898"/>
  <c r="G468" i="62898"/>
  <c r="G470" i="62898"/>
  <c r="G484" i="62898"/>
  <c r="G474" i="62898"/>
  <c r="G472" i="62898"/>
  <c r="G490" i="62898"/>
  <c r="E395" i="62923"/>
  <c r="E396" i="62923" s="1"/>
  <c r="C387" i="62923"/>
  <c r="C388" i="62923"/>
  <c r="C386" i="62923"/>
  <c r="E282" i="62923"/>
  <c r="E283" i="62923" s="1"/>
  <c r="E295" i="62923"/>
  <c r="D295" i="62923" s="1"/>
  <c r="D281" i="62923"/>
  <c r="D259" i="62923"/>
  <c r="D260" i="62923" s="1"/>
  <c r="D261" i="62923" s="1"/>
  <c r="M36" i="62929"/>
  <c r="Y36" i="62929" s="1"/>
  <c r="K443" i="62898"/>
  <c r="C227" i="62924"/>
  <c r="C228" i="62924"/>
  <c r="D153" i="62924"/>
  <c r="N443" i="62898"/>
  <c r="C626" i="62919"/>
  <c r="C18" i="62918"/>
  <c r="F87" i="62892"/>
  <c r="G87" i="62892" s="1"/>
  <c r="F54" i="62912"/>
  <c r="R12" i="62912"/>
  <c r="R15" i="62912" s="1"/>
  <c r="G54" i="62912"/>
  <c r="V12" i="62915"/>
  <c r="V15" i="62915" s="1"/>
  <c r="G42" i="62915"/>
  <c r="F42" i="62915"/>
  <c r="N686" i="5" a="1"/>
  <c r="N686" i="5" s="1"/>
  <c r="N702" i="5" s="1"/>
  <c r="H448" i="62898"/>
  <c r="D2290" i="62917"/>
  <c r="C2290" i="62917" s="1"/>
  <c r="C260" i="62922"/>
  <c r="E156" i="62924"/>
  <c r="E157" i="62924" s="1"/>
  <c r="E158" i="62924" s="1"/>
  <c r="E159" i="62924" s="1"/>
  <c r="E160" i="62924" s="1"/>
  <c r="E161" i="62924" s="1"/>
  <c r="E162" i="62924" s="1"/>
  <c r="E163" i="62924" s="1"/>
  <c r="E164" i="62924" s="1"/>
  <c r="E165" i="62924" s="1"/>
  <c r="E166" i="62924" s="1"/>
  <c r="E167" i="62924" s="1"/>
  <c r="E168" i="62924" s="1"/>
  <c r="E169" i="62924" s="1"/>
  <c r="E170" i="62924" s="1"/>
  <c r="E171" i="62924" s="1"/>
  <c r="E172" i="62924" s="1"/>
  <c r="E173" i="62924" s="1"/>
  <c r="E174" i="62924" s="1"/>
  <c r="E175" i="62924" s="1"/>
  <c r="E176" i="62924" s="1"/>
  <c r="E177" i="62924" s="1"/>
  <c r="E178" i="62924" s="1"/>
  <c r="E179" i="62924" s="1"/>
  <c r="E180" i="62924" s="1"/>
  <c r="E181" i="62924" s="1"/>
  <c r="E182" i="62924" s="1"/>
  <c r="E183" i="62924" s="1"/>
  <c r="E184" i="62924" s="1"/>
  <c r="E185" i="62924" s="1"/>
  <c r="E186" i="62924" s="1"/>
  <c r="E187" i="62924" s="1"/>
  <c r="E188" i="62924" s="1"/>
  <c r="E189" i="62924" s="1"/>
  <c r="E190" i="62924" s="1"/>
  <c r="E191" i="62924" s="1"/>
  <c r="E192" i="62924" s="1"/>
  <c r="E193" i="62924" s="1"/>
  <c r="E194" i="62924" s="1"/>
  <c r="E195" i="62924" s="1"/>
  <c r="E196" i="62924" s="1"/>
  <c r="E197" i="62924" s="1"/>
  <c r="E198" i="62924" s="1"/>
  <c r="E199" i="62924" s="1"/>
  <c r="E200" i="62924" s="1"/>
  <c r="E201" i="62924" s="1"/>
  <c r="E202" i="62924" s="1"/>
  <c r="E203" i="62924" s="1"/>
  <c r="E204" i="62924" s="1"/>
  <c r="E205" i="62924" s="1"/>
  <c r="E206" i="62924" s="1"/>
  <c r="E207" i="62924" s="1"/>
  <c r="E208" i="62924" s="1"/>
  <c r="E209" i="62924" s="1"/>
  <c r="E210" i="62924" s="1"/>
  <c r="E211" i="62924" s="1"/>
  <c r="E212" i="62924" s="1"/>
  <c r="E213" i="62924" s="1"/>
  <c r="E214" i="62924" s="1"/>
  <c r="C149" i="62924" s="1"/>
  <c r="J279" i="9"/>
  <c r="D1373" i="62919"/>
  <c r="D1374" i="62919" s="1"/>
  <c r="E1406" i="62919"/>
  <c r="E1407" i="62919" s="1"/>
  <c r="D1402" i="62919"/>
  <c r="D1403" i="62919" s="1"/>
  <c r="D1404" i="62919" s="1"/>
  <c r="D1405" i="62919" s="1"/>
  <c r="C1401" i="62919"/>
  <c r="E1283" i="62919"/>
  <c r="E1284" i="62919" s="1"/>
  <c r="E1285" i="62919" s="1"/>
  <c r="E1286" i="62919" s="1"/>
  <c r="E1287" i="62919" s="1"/>
  <c r="E1288" i="62919" s="1"/>
  <c r="E1289" i="62919" s="1"/>
  <c r="E1290" i="62919" s="1"/>
  <c r="E1291" i="62919" s="1"/>
  <c r="E1292" i="62919" s="1"/>
  <c r="E1293" i="62919" s="1"/>
  <c r="E1294" i="62919" s="1"/>
  <c r="E1295" i="62919" s="1"/>
  <c r="E1296" i="62919" s="1"/>
  <c r="E1297" i="62919" s="1"/>
  <c r="E1298" i="62919" s="1"/>
  <c r="E1299" i="62919" s="1"/>
  <c r="E1300" i="62919" s="1"/>
  <c r="E1301" i="62919" s="1"/>
  <c r="E1302" i="62919" s="1"/>
  <c r="E1303" i="62919" s="1"/>
  <c r="E1304" i="62919" s="1"/>
  <c r="E1305" i="62919" s="1"/>
  <c r="E1306" i="62919" s="1"/>
  <c r="E1307" i="62919" s="1"/>
  <c r="E1308" i="62919" s="1"/>
  <c r="E1309" i="62919" s="1"/>
  <c r="E1310" i="62919" s="1"/>
  <c r="E1311" i="62919" s="1"/>
  <c r="E1312" i="62919" s="1"/>
  <c r="E1313" i="62919" s="1"/>
  <c r="E1314" i="62919" s="1"/>
  <c r="E1315" i="62919" s="1"/>
  <c r="E1316" i="62919" s="1"/>
  <c r="E1317" i="62919" s="1"/>
  <c r="E1318" i="62919" s="1"/>
  <c r="E1319" i="62919" s="1"/>
  <c r="E1320" i="62919" s="1"/>
  <c r="E1321" i="62919" s="1"/>
  <c r="E1322" i="62919" s="1"/>
  <c r="E1323" i="62919" s="1"/>
  <c r="E1324" i="62919" s="1"/>
  <c r="E1325" i="62919" s="1"/>
  <c r="E1326" i="62919" s="1"/>
  <c r="E1563" i="62919"/>
  <c r="E1564" i="62919" s="1"/>
  <c r="D1561" i="62919"/>
  <c r="C107" i="62919"/>
  <c r="D1280" i="62919"/>
  <c r="D1769" i="62919"/>
  <c r="D1770" i="62919" s="1"/>
  <c r="D1746" i="62919"/>
  <c r="D1708" i="62919"/>
  <c r="D1709" i="62919" s="1"/>
  <c r="D1710" i="62919" s="1"/>
  <c r="D1711" i="62919" s="1"/>
  <c r="D1712" i="62919" s="1"/>
  <c r="D1713" i="62919" s="1"/>
  <c r="D1714" i="62919" s="1"/>
  <c r="D1715" i="62919" s="1"/>
  <c r="D1716" i="62919" s="1"/>
  <c r="D1717" i="62919" s="1"/>
  <c r="D1718" i="62919" s="1"/>
  <c r="D1719" i="62919" s="1"/>
  <c r="D1720" i="62919" s="1"/>
  <c r="D1721" i="62919" s="1"/>
  <c r="D1722" i="62919" s="1"/>
  <c r="D1723" i="62919" s="1"/>
  <c r="D1724" i="62919" s="1"/>
  <c r="D1725" i="62919" s="1"/>
  <c r="D1726" i="62919" s="1"/>
  <c r="D1727" i="62919" s="1"/>
  <c r="D1728" i="62919" s="1"/>
  <c r="D1729" i="62919" s="1"/>
  <c r="D1730" i="62919" s="1"/>
  <c r="D1731" i="62919" s="1"/>
  <c r="D1732" i="62919" s="1"/>
  <c r="D1733" i="62919" s="1"/>
  <c r="D1734" i="62919" s="1"/>
  <c r="D1735" i="62919" s="1"/>
  <c r="D1736" i="62919" s="1"/>
  <c r="D1861" i="62919"/>
  <c r="D1862" i="62919" s="1"/>
  <c r="C1862" i="62919" s="1"/>
  <c r="G48" i="62909"/>
  <c r="H48" i="62909" s="1"/>
  <c r="H42" i="62909" s="1"/>
  <c r="H218" i="62909" s="1"/>
  <c r="G42" i="62910"/>
  <c r="H42" i="62910" s="1"/>
  <c r="H36" i="62910" s="1"/>
  <c r="H134" i="62910" s="1"/>
  <c r="E49" i="62919"/>
  <c r="C351" i="62919"/>
  <c r="C350" i="62919"/>
  <c r="F42" i="62892"/>
  <c r="F36" i="62892" s="1"/>
  <c r="F135" i="62892" s="1"/>
  <c r="N330" i="7"/>
  <c r="K330" i="7"/>
  <c r="C352" i="62919"/>
  <c r="K328" i="62928"/>
  <c r="D417" i="62919"/>
  <c r="E418" i="62919"/>
  <c r="E419" i="62919" s="1"/>
  <c r="H333" i="62928"/>
  <c r="N328" i="62928"/>
  <c r="G60" i="62909"/>
  <c r="H60" i="62909" s="1"/>
  <c r="H54" i="62909" s="1"/>
  <c r="H219" i="62909" s="1"/>
  <c r="F54" i="62892"/>
  <c r="F48" i="62892" s="1"/>
  <c r="F136" i="62892" s="1"/>
  <c r="E65" i="62919"/>
  <c r="E66" i="62919" s="1"/>
  <c r="E67" i="62919" s="1"/>
  <c r="E68" i="62919" s="1"/>
  <c r="E69" i="62919" s="1"/>
  <c r="E70" i="62919" s="1"/>
  <c r="E71" i="62919" s="1"/>
  <c r="E72" i="62919" s="1"/>
  <c r="E73" i="62919" s="1"/>
  <c r="E74" i="62919" s="1"/>
  <c r="E75" i="62919" s="1"/>
  <c r="E76" i="62919" s="1"/>
  <c r="E635" i="62919"/>
  <c r="E636" i="62919" s="1"/>
  <c r="E637" i="62919" s="1"/>
  <c r="E638" i="62919" s="1"/>
  <c r="E639" i="62919" s="1"/>
  <c r="E640" i="62919" s="1"/>
  <c r="E641" i="62919" s="1"/>
  <c r="E642" i="62919" s="1"/>
  <c r="E643" i="62919" s="1"/>
  <c r="E644" i="62919" s="1"/>
  <c r="E645" i="62919" s="1"/>
  <c r="E646" i="62919" s="1"/>
  <c r="E647" i="62919" s="1"/>
  <c r="E648" i="62919" s="1"/>
  <c r="E649" i="62919" s="1"/>
  <c r="E650" i="62919" s="1"/>
  <c r="E651" i="62919" s="1"/>
  <c r="E652" i="62919" s="1"/>
  <c r="E653" i="62919" s="1"/>
  <c r="E654" i="62919" s="1"/>
  <c r="E655" i="62919" s="1"/>
  <c r="E656" i="62919" s="1"/>
  <c r="E657" i="62919" s="1"/>
  <c r="E658" i="62919" s="1"/>
  <c r="E659" i="62919" s="1"/>
  <c r="E660" i="62919" s="1"/>
  <c r="E661" i="62919" s="1"/>
  <c r="E662" i="62919" s="1"/>
  <c r="E663" i="62919" s="1"/>
  <c r="E664" i="62919" s="1"/>
  <c r="E665" i="62919" s="1"/>
  <c r="E666" i="62919" s="1"/>
  <c r="E667" i="62919" s="1"/>
  <c r="E668" i="62919" s="1"/>
  <c r="E669" i="62919" s="1"/>
  <c r="E670" i="62919" s="1"/>
  <c r="E671" i="62919" s="1"/>
  <c r="E672" i="62919" s="1"/>
  <c r="E673" i="62919" s="1"/>
  <c r="E674" i="62919" s="1"/>
  <c r="E675" i="62919" s="1"/>
  <c r="E676" i="62919" s="1"/>
  <c r="E677" i="62919" s="1"/>
  <c r="E678" i="62919" s="1"/>
  <c r="E679" i="62919" s="1"/>
  <c r="E680" i="62919" s="1"/>
  <c r="E681" i="62919" s="1"/>
  <c r="E682" i="62919" s="1"/>
  <c r="E683" i="62919" s="1"/>
  <c r="E684" i="62919" s="1"/>
  <c r="E685" i="62919" s="1"/>
  <c r="E686" i="62919" s="1"/>
  <c r="E687" i="62919" s="1"/>
  <c r="E688" i="62919" s="1"/>
  <c r="E689" i="62919" s="1"/>
  <c r="E690" i="62919" s="1"/>
  <c r="E691" i="62919" s="1"/>
  <c r="E692" i="62919" s="1"/>
  <c r="E693" i="62919" s="1"/>
  <c r="E694" i="62919" s="1"/>
  <c r="E695" i="62919" s="1"/>
  <c r="E696" i="62919" s="1"/>
  <c r="E697" i="62919" s="1"/>
  <c r="E698" i="62919" s="1"/>
  <c r="E699" i="62919" s="1"/>
  <c r="E700" i="62919" s="1"/>
  <c r="E701" i="62919" s="1"/>
  <c r="E702" i="62919" s="1"/>
  <c r="E703" i="62919" s="1"/>
  <c r="E704" i="62919" s="1"/>
  <c r="E705" i="62919" s="1"/>
  <c r="E706" i="62919" s="1"/>
  <c r="E707" i="62919" s="1"/>
  <c r="E708" i="62919" s="1"/>
  <c r="E709" i="62919" s="1"/>
  <c r="E710" i="62919" s="1"/>
  <c r="E711" i="62919" s="1"/>
  <c r="E712" i="62919" s="1"/>
  <c r="E713" i="62919" s="1"/>
  <c r="E714" i="62919" s="1"/>
  <c r="E715" i="62919" s="1"/>
  <c r="E716" i="62919" s="1"/>
  <c r="E717" i="62919" s="1"/>
  <c r="E718" i="62919" s="1"/>
  <c r="E719" i="62919" s="1"/>
  <c r="E720" i="62919" s="1"/>
  <c r="E721" i="62919" s="1"/>
  <c r="E722" i="62919" s="1"/>
  <c r="E723" i="62919" s="1"/>
  <c r="E724" i="62919" s="1"/>
  <c r="E725" i="62919" s="1"/>
  <c r="E726" i="62919" s="1"/>
  <c r="E727" i="62919" s="1"/>
  <c r="E728" i="62919" s="1"/>
  <c r="E729" i="62919" s="1"/>
  <c r="E730" i="62919" s="1"/>
  <c r="E731" i="62919" s="1"/>
  <c r="E732" i="62919" s="1"/>
  <c r="E733" i="62919" s="1"/>
  <c r="E734" i="62919" s="1"/>
  <c r="E735" i="62919" s="1"/>
  <c r="E736" i="62919" s="1"/>
  <c r="E737" i="62919" s="1"/>
  <c r="E738" i="62919" s="1"/>
  <c r="E739" i="62919" s="1"/>
  <c r="E740" i="62919" s="1"/>
  <c r="E741" i="62919" s="1"/>
  <c r="E742" i="62919" s="1"/>
  <c r="E743" i="62919" s="1"/>
  <c r="E744" i="62919" s="1"/>
  <c r="E745" i="62919" s="1"/>
  <c r="E746" i="62919" s="1"/>
  <c r="E747" i="62919" s="1"/>
  <c r="E748" i="62919" s="1"/>
  <c r="E749" i="62919" s="1"/>
  <c r="E750" i="62919" s="1"/>
  <c r="E751" i="62919" s="1"/>
  <c r="E752" i="62919" s="1"/>
  <c r="E753" i="62919" s="1"/>
  <c r="E754" i="62919" s="1"/>
  <c r="E755" i="62919" s="1"/>
  <c r="E756" i="62919" s="1"/>
  <c r="E757" i="62919" s="1"/>
  <c r="E758" i="62919" s="1"/>
  <c r="E759" i="62919" s="1"/>
  <c r="E760" i="62919" s="1"/>
  <c r="E761" i="62919" s="1"/>
  <c r="E762" i="62919" s="1"/>
  <c r="E763" i="62919" s="1"/>
  <c r="E764" i="62919" s="1"/>
  <c r="E765" i="62919" s="1"/>
  <c r="E766" i="62919" s="1"/>
  <c r="E767" i="62919" s="1"/>
  <c r="E768" i="62919" s="1"/>
  <c r="E769" i="62919" s="1"/>
  <c r="E770" i="62919" s="1"/>
  <c r="E771" i="62919" s="1"/>
  <c r="E772" i="62919" s="1"/>
  <c r="E773" i="62919" s="1"/>
  <c r="E774" i="62919" s="1"/>
  <c r="E775" i="62919" s="1"/>
  <c r="E776" i="62919" s="1"/>
  <c r="E777" i="62919" s="1"/>
  <c r="E778" i="62919" s="1"/>
  <c r="E779" i="62919" s="1"/>
  <c r="E780" i="62919" s="1"/>
  <c r="E781" i="62919" s="1"/>
  <c r="E782" i="62919" s="1"/>
  <c r="E783" i="62919" s="1"/>
  <c r="E784" i="62919" s="1"/>
  <c r="E785" i="62919" s="1"/>
  <c r="E786" i="62919" s="1"/>
  <c r="E787" i="62919" s="1"/>
  <c r="E788" i="62919" s="1"/>
  <c r="E789" i="62919" s="1"/>
  <c r="E790" i="62919" s="1"/>
  <c r="E791" i="62919" s="1"/>
  <c r="E792" i="62919" s="1"/>
  <c r="E793" i="62919" s="1"/>
  <c r="E794" i="62919" s="1"/>
  <c r="E795" i="62919" s="1"/>
  <c r="E796" i="62919" s="1"/>
  <c r="E797" i="62919" s="1"/>
  <c r="E798" i="62919" s="1"/>
  <c r="E799" i="62919" s="1"/>
  <c r="E800" i="62919" s="1"/>
  <c r="E801" i="62919" s="1"/>
  <c r="E802" i="62919" s="1"/>
  <c r="E803" i="62919" s="1"/>
  <c r="E804" i="62919" s="1"/>
  <c r="E805" i="62919" s="1"/>
  <c r="E806" i="62919" s="1"/>
  <c r="E807" i="62919" s="1"/>
  <c r="E808" i="62919" s="1"/>
  <c r="E809" i="62919" s="1"/>
  <c r="E810" i="62919" s="1"/>
  <c r="E811" i="62919" s="1"/>
  <c r="E812" i="62919" s="1"/>
  <c r="E813" i="62919" s="1"/>
  <c r="E814" i="62919" s="1"/>
  <c r="E815" i="62919" s="1"/>
  <c r="E816" i="62919" s="1"/>
  <c r="E817" i="62919" s="1"/>
  <c r="E818" i="62919" s="1"/>
  <c r="E819" i="62919" s="1"/>
  <c r="E820" i="62919" s="1"/>
  <c r="E821" i="62919" s="1"/>
  <c r="E822" i="62919" s="1"/>
  <c r="E823" i="62919" s="1"/>
  <c r="E824" i="62919" s="1"/>
  <c r="E825" i="62919" s="1"/>
  <c r="E826" i="62919" s="1"/>
  <c r="E827" i="62919" s="1"/>
  <c r="E828" i="62919" s="1"/>
  <c r="E829" i="62919" s="1"/>
  <c r="E830" i="62919" s="1"/>
  <c r="E831" i="62919" s="1"/>
  <c r="E832" i="62919" s="1"/>
  <c r="E833" i="62919" s="1"/>
  <c r="E834" i="62919" s="1"/>
  <c r="E835" i="62919" s="1"/>
  <c r="E836" i="62919" s="1"/>
  <c r="E837" i="62919" s="1"/>
  <c r="E838" i="62919" s="1"/>
  <c r="E839" i="62919" s="1"/>
  <c r="E840" i="62919" s="1"/>
  <c r="E841" i="62919" s="1"/>
  <c r="E842" i="62919" s="1"/>
  <c r="E843" i="62919" s="1"/>
  <c r="E844" i="62919" s="1"/>
  <c r="E845" i="62919" s="1"/>
  <c r="E846" i="62919" s="1"/>
  <c r="E847" i="62919" s="1"/>
  <c r="E848" i="62919" s="1"/>
  <c r="E849" i="62919" s="1"/>
  <c r="E850" i="62919" s="1"/>
  <c r="E851" i="62919" s="1"/>
  <c r="E852" i="62919" s="1"/>
  <c r="E853" i="62919" s="1"/>
  <c r="E854" i="62919" s="1"/>
  <c r="E855" i="62919" s="1"/>
  <c r="E856" i="62919" s="1"/>
  <c r="E857" i="62919" s="1"/>
  <c r="E858" i="62919" s="1"/>
  <c r="E859" i="62919" s="1"/>
  <c r="D631" i="62919"/>
  <c r="Z15" i="62914"/>
  <c r="Z17" i="62914" s="1"/>
  <c r="N17" i="62914"/>
  <c r="N22" i="62929" s="1"/>
  <c r="E2190" i="62917"/>
  <c r="E2191" i="62917" s="1"/>
  <c r="E2192" i="62917" s="1"/>
  <c r="E2193" i="62917" s="1"/>
  <c r="E2194" i="62917" s="1"/>
  <c r="D2188" i="62917"/>
  <c r="D2189" i="62917" s="1"/>
  <c r="K18" i="62912"/>
  <c r="I490" i="62898"/>
  <c r="J490" i="62898" s="1"/>
  <c r="N447" i="62898"/>
  <c r="G91" i="62910"/>
  <c r="H91" i="62910" s="1"/>
  <c r="K447" i="62898"/>
  <c r="F91" i="62892"/>
  <c r="G91" i="62892" s="1"/>
  <c r="AT462" i="5"/>
  <c r="F77" i="62892"/>
  <c r="G90" i="62892"/>
  <c r="D1001" i="62921"/>
  <c r="D1002" i="62921" s="1"/>
  <c r="D1003" i="62921" s="1"/>
  <c r="D1004" i="62921" s="1"/>
  <c r="C82" i="62892"/>
  <c r="G82" i="62892" s="1"/>
  <c r="E575" i="5"/>
  <c r="L575" i="5" s="1"/>
  <c r="C82" i="62910"/>
  <c r="E82" i="62910" s="1"/>
  <c r="N40" i="62929"/>
  <c r="Z40" i="62929" s="1"/>
  <c r="K570" i="5"/>
  <c r="K566" i="5"/>
  <c r="H56" i="62915"/>
  <c r="E56" i="62915"/>
  <c r="F73" i="62892"/>
  <c r="G73" i="62892" s="1"/>
  <c r="N18" i="62929"/>
  <c r="Z18" i="62929" s="1"/>
  <c r="G73" i="62910"/>
  <c r="H73" i="62910" s="1"/>
  <c r="N566" i="5"/>
  <c r="D868" i="62921"/>
  <c r="C868" i="62921" s="1"/>
  <c r="C867" i="62921"/>
  <c r="N27" i="62929"/>
  <c r="Z27" i="62929" s="1"/>
  <c r="Z22" i="62914"/>
  <c r="H68" i="62912"/>
  <c r="H51" i="62914"/>
  <c r="E68" i="62912"/>
  <c r="K115" i="62927"/>
  <c r="D1590" i="62917"/>
  <c r="E2431" i="62917"/>
  <c r="E1591" i="62917"/>
  <c r="C2426" i="62917"/>
  <c r="D2427" i="62917"/>
  <c r="L32" i="62929"/>
  <c r="X32" i="62929" s="1"/>
  <c r="E455" i="62898"/>
  <c r="G455" i="62898" s="1"/>
  <c r="C141" i="62924"/>
  <c r="C142" i="62924"/>
  <c r="D229" i="62924"/>
  <c r="D230" i="62924" s="1"/>
  <c r="D44" i="62924"/>
  <c r="C44" i="62924" s="1"/>
  <c r="C43" i="62924"/>
  <c r="I43" i="9" s="1"/>
  <c r="C27" i="62924"/>
  <c r="C26" i="62924"/>
  <c r="M573" i="5"/>
  <c r="L573" i="5"/>
  <c r="AT279" i="5"/>
  <c r="AH281" i="5"/>
  <c r="J600" i="5"/>
  <c r="E588" i="5"/>
  <c r="X27" i="62914"/>
  <c r="H56" i="62914"/>
  <c r="F56" i="62914"/>
  <c r="E581" i="5"/>
  <c r="G581" i="5" s="1"/>
  <c r="M569" i="5"/>
  <c r="H43" i="62915"/>
  <c r="E231" i="62924"/>
  <c r="E232" i="62924" s="1"/>
  <c r="E233" i="62924" s="1"/>
  <c r="E234" i="62924" s="1"/>
  <c r="E235" i="62924" s="1"/>
  <c r="E236" i="62924" s="1"/>
  <c r="E237" i="62924" s="1"/>
  <c r="D109" i="62919"/>
  <c r="D110" i="62919" s="1"/>
  <c r="E332" i="62923"/>
  <c r="L446" i="62898"/>
  <c r="D129" i="62919"/>
  <c r="C129" i="62919" s="1"/>
  <c r="C140" i="62924"/>
  <c r="D264" i="62922"/>
  <c r="E265" i="62922"/>
  <c r="E266" i="62922" s="1"/>
  <c r="E267" i="62922" s="1"/>
  <c r="E268" i="62922" s="1"/>
  <c r="E269" i="62922" s="1"/>
  <c r="E270" i="62922" s="1"/>
  <c r="M332" i="7"/>
  <c r="E453" i="62898"/>
  <c r="Y34" i="62915"/>
  <c r="G111" i="62892"/>
  <c r="M122" i="62904"/>
  <c r="D324" i="62921"/>
  <c r="D325" i="62921" s="1"/>
  <c r="E326" i="62921"/>
  <c r="E327" i="62921" s="1"/>
  <c r="E328" i="62921" s="1"/>
  <c r="L445" i="62898"/>
  <c r="M19" i="62915"/>
  <c r="Y19" i="62915" s="1"/>
  <c r="I572" i="5"/>
  <c r="E146" i="62922"/>
  <c r="E147" i="62922" s="1"/>
  <c r="E148" i="62922" s="1"/>
  <c r="E149" i="62922" s="1"/>
  <c r="E150" i="62922" s="1"/>
  <c r="E151" i="62922" s="1"/>
  <c r="E152" i="62922" s="1"/>
  <c r="E153" i="62922" s="1"/>
  <c r="E154" i="62922" s="1"/>
  <c r="E155" i="62922" s="1"/>
  <c r="E156" i="62922" s="1"/>
  <c r="E157" i="62922" s="1"/>
  <c r="E158" i="62922" s="1"/>
  <c r="E159" i="62922" s="1"/>
  <c r="E160" i="62922" s="1"/>
  <c r="E161" i="62922" s="1"/>
  <c r="E162" i="62922" s="1"/>
  <c r="E163" i="62922" s="1"/>
  <c r="E164" i="62922" s="1"/>
  <c r="E165" i="62922" s="1"/>
  <c r="E166" i="62922" s="1"/>
  <c r="E167" i="62922" s="1"/>
  <c r="E168" i="62922" s="1"/>
  <c r="E169" i="62922" s="1"/>
  <c r="E170" i="62922" s="1"/>
  <c r="E171" i="62922" s="1"/>
  <c r="E172" i="62922" s="1"/>
  <c r="E173" i="62922" s="1"/>
  <c r="E174" i="62922" s="1"/>
  <c r="E175" i="62922" s="1"/>
  <c r="E176" i="62922" s="1"/>
  <c r="E177" i="62922" s="1"/>
  <c r="E178" i="62922" s="1"/>
  <c r="E179" i="62922" s="1"/>
  <c r="E180" i="62922" s="1"/>
  <c r="E181" i="62922" s="1"/>
  <c r="E182" i="62922" s="1"/>
  <c r="E183" i="62922" s="1"/>
  <c r="E184" i="62922" s="1"/>
  <c r="E185" i="62922" s="1"/>
  <c r="E186" i="62922" s="1"/>
  <c r="E187" i="62922" s="1"/>
  <c r="E188" i="62922" s="1"/>
  <c r="E189" i="62922" s="1"/>
  <c r="E190" i="62922" s="1"/>
  <c r="E191" i="62922" s="1"/>
  <c r="E192" i="62922" s="1"/>
  <c r="E193" i="62922" s="1"/>
  <c r="E194" i="62922" s="1"/>
  <c r="E195" i="62922" s="1"/>
  <c r="E196" i="62922" s="1"/>
  <c r="E197" i="62922" s="1"/>
  <c r="E198" i="62922" s="1"/>
  <c r="E199" i="62922" s="1"/>
  <c r="E200" i="62922" s="1"/>
  <c r="E201" i="62922" s="1"/>
  <c r="E202" i="62922" s="1"/>
  <c r="E203" i="62922" s="1"/>
  <c r="E204" i="62922" s="1"/>
  <c r="E205" i="62922" s="1"/>
  <c r="E206" i="62922" s="1"/>
  <c r="E207" i="62922" s="1"/>
  <c r="E208" i="62922" s="1"/>
  <c r="E209" i="62922" s="1"/>
  <c r="E210" i="62922" s="1"/>
  <c r="E211" i="62922" s="1"/>
  <c r="E212" i="62922" s="1"/>
  <c r="E213" i="62922" s="1"/>
  <c r="E214" i="62922" s="1"/>
  <c r="E215" i="62922" s="1"/>
  <c r="E216" i="62922" s="1"/>
  <c r="E217" i="62922" s="1"/>
  <c r="E218" i="62922" s="1"/>
  <c r="E219" i="62922" s="1"/>
  <c r="E220" i="62922" s="1"/>
  <c r="E221" i="62922" s="1"/>
  <c r="E222" i="62922" s="1"/>
  <c r="E223" i="62922" s="1"/>
  <c r="E224" i="62922" s="1"/>
  <c r="E225" i="62922" s="1"/>
  <c r="E226" i="62922" s="1"/>
  <c r="E227" i="62922" s="1"/>
  <c r="E228" i="62922" s="1"/>
  <c r="E229" i="62922" s="1"/>
  <c r="E230" i="62922" s="1"/>
  <c r="E231" i="62922" s="1"/>
  <c r="E232" i="62922" s="1"/>
  <c r="E233" i="62922" s="1"/>
  <c r="E234" i="62922" s="1"/>
  <c r="E235" i="62922" s="1"/>
  <c r="E236" i="62922" s="1"/>
  <c r="E237" i="62922" s="1"/>
  <c r="E238" i="62922" s="1"/>
  <c r="E239" i="62922" s="1"/>
  <c r="E240" i="62922" s="1"/>
  <c r="E241" i="62922" s="1"/>
  <c r="D142" i="62922"/>
  <c r="C75" i="62910"/>
  <c r="E75" i="62910" s="1"/>
  <c r="K572" i="5"/>
  <c r="C79" i="62892"/>
  <c r="C79" i="62910"/>
  <c r="E79" i="62910" s="1"/>
  <c r="E567" i="5"/>
  <c r="L567" i="5" s="1"/>
  <c r="C74" i="62910"/>
  <c r="E74" i="62910" s="1"/>
  <c r="I567" i="5"/>
  <c r="C71" i="62892"/>
  <c r="C78" i="62892"/>
  <c r="G78" i="62892" s="1"/>
  <c r="E564" i="5"/>
  <c r="D580" i="5" s="1"/>
  <c r="N564" i="5"/>
  <c r="C78" i="62910"/>
  <c r="E78" i="62910" s="1"/>
  <c r="N571" i="5"/>
  <c r="I571" i="5"/>
  <c r="C75" i="62892"/>
  <c r="G75" i="62892" s="1"/>
  <c r="I568" i="5"/>
  <c r="K569" i="5"/>
  <c r="F76" i="62892"/>
  <c r="G76" i="62892" s="1"/>
  <c r="N569" i="5"/>
  <c r="G76" i="62910"/>
  <c r="H76" i="62910" s="1"/>
  <c r="H62" i="62915"/>
  <c r="C108" i="62919"/>
  <c r="C222" i="62919"/>
  <c r="D223" i="62919"/>
  <c r="L330" i="62928"/>
  <c r="K331" i="7"/>
  <c r="I115" i="3"/>
  <c r="E43" i="62915"/>
  <c r="D335" i="7"/>
  <c r="F326" i="7" s="1"/>
  <c r="N14" i="62914"/>
  <c r="N19" i="62929" s="1"/>
  <c r="C43" i="62910"/>
  <c r="E43" i="62910" s="1"/>
  <c r="E36" i="62910" s="1"/>
  <c r="E134" i="62910" s="1"/>
  <c r="G14" i="62892"/>
  <c r="M15" i="62915"/>
  <c r="H41" i="62915"/>
  <c r="E41" i="62915"/>
  <c r="E53" i="62912"/>
  <c r="H53" i="62912"/>
  <c r="E43" i="62914"/>
  <c r="I564" i="5"/>
  <c r="H43" i="62914"/>
  <c r="N16" i="62929"/>
  <c r="Z16" i="62929" s="1"/>
  <c r="E262" i="62923"/>
  <c r="E263" i="62923" s="1"/>
  <c r="E264" i="62923" s="1"/>
  <c r="C49" i="62909"/>
  <c r="E49" i="62909" s="1"/>
  <c r="E42" i="62909" s="1"/>
  <c r="E218" i="62909" s="1"/>
  <c r="C43" i="62892"/>
  <c r="G43" i="62892" s="1"/>
  <c r="G7" i="62892"/>
  <c r="D576" i="5"/>
  <c r="F570" i="5" s="1"/>
  <c r="N570" i="5"/>
  <c r="E56" i="62914"/>
  <c r="Z27" i="62914"/>
  <c r="N32" i="62929"/>
  <c r="Z32" i="62929" s="1"/>
  <c r="T34" i="62912"/>
  <c r="H74" i="62912"/>
  <c r="G186" i="62909"/>
  <c r="H186" i="62909" s="1"/>
  <c r="J278" i="9"/>
  <c r="L252" i="9"/>
  <c r="M252" i="9"/>
  <c r="E20" i="62914"/>
  <c r="L329" i="9"/>
  <c r="E346" i="9"/>
  <c r="K252" i="9"/>
  <c r="N252" i="9"/>
  <c r="I252" i="9"/>
  <c r="G107" i="62910"/>
  <c r="H107" i="62910" s="1"/>
  <c r="F107" i="62892"/>
  <c r="G107" i="62892" s="1"/>
  <c r="E187" i="62909"/>
  <c r="G108" i="62910"/>
  <c r="H108" i="62910" s="1"/>
  <c r="F108" i="62892"/>
  <c r="G108" i="62892" s="1"/>
  <c r="I253" i="9"/>
  <c r="K253" i="9"/>
  <c r="N253" i="9"/>
  <c r="L253" i="9"/>
  <c r="M253" i="9"/>
  <c r="E108" i="62910"/>
  <c r="T25" i="62912"/>
  <c r="E65" i="62912"/>
  <c r="D93" i="62924"/>
  <c r="C92" i="62924"/>
  <c r="I100" i="9" s="1"/>
  <c r="C28" i="62924"/>
  <c r="E103" i="62924"/>
  <c r="E104" i="62924" s="1"/>
  <c r="K329" i="62928"/>
  <c r="U14" i="62914"/>
  <c r="H55" i="62914"/>
  <c r="K15" i="62912"/>
  <c r="T13" i="62912"/>
  <c r="E55" i="62912"/>
  <c r="E55" i="62914"/>
  <c r="Z26" i="62914"/>
  <c r="D30" i="62924"/>
  <c r="D31" i="62924" s="1"/>
  <c r="E879" i="62921"/>
  <c r="E880" i="62921" s="1"/>
  <c r="E881" i="62921" s="1"/>
  <c r="E882" i="62921" s="1"/>
  <c r="E883" i="62921" s="1"/>
  <c r="E884" i="62921" s="1"/>
  <c r="E885" i="62921" s="1"/>
  <c r="E886" i="62921" s="1"/>
  <c r="E887" i="62921" s="1"/>
  <c r="E888" i="62921" s="1"/>
  <c r="E889" i="62921" s="1"/>
  <c r="E890" i="62921" s="1"/>
  <c r="E891" i="62921" s="1"/>
  <c r="E892" i="62921" s="1"/>
  <c r="E893" i="62921" s="1"/>
  <c r="E894" i="62921" s="1"/>
  <c r="E895" i="62921" s="1"/>
  <c r="E896" i="62921" s="1"/>
  <c r="E897" i="62921" s="1"/>
  <c r="E898" i="62921" s="1"/>
  <c r="E899" i="62921" s="1"/>
  <c r="E900" i="62921" s="1"/>
  <c r="E901" i="62921" s="1"/>
  <c r="E902" i="62921" s="1"/>
  <c r="E903" i="62921" s="1"/>
  <c r="E904" i="62921" s="1"/>
  <c r="E905" i="62921" s="1"/>
  <c r="E682" i="5"/>
  <c r="L680" i="5"/>
  <c r="E15" i="62914"/>
  <c r="J715" i="5"/>
  <c r="E16" i="62915"/>
  <c r="E717" i="5"/>
  <c r="F629" i="5"/>
  <c r="F636" i="5" s="1"/>
  <c r="J629" i="5"/>
  <c r="C120" i="62909"/>
  <c r="E120" i="62909" s="1"/>
  <c r="C77" i="62910"/>
  <c r="E77" i="62910" s="1"/>
  <c r="C77" i="62892"/>
  <c r="I570" i="5"/>
  <c r="E570" i="5"/>
  <c r="I629" i="5"/>
  <c r="G120" i="62909" s="1"/>
  <c r="H120" i="62909" s="1"/>
  <c r="X464" i="5"/>
  <c r="H574" i="5"/>
  <c r="H576" i="5" s="1"/>
  <c r="E651" i="5"/>
  <c r="E16" i="62912"/>
  <c r="I649" i="5"/>
  <c r="E1005" i="62921"/>
  <c r="E1006" i="62921" s="1"/>
  <c r="E1007" i="62921" s="1"/>
  <c r="E1008" i="62921" s="1"/>
  <c r="E1009" i="62921" s="1"/>
  <c r="E1010" i="62921" s="1"/>
  <c r="E1011" i="62921" s="1"/>
  <c r="E1012" i="62921" s="1"/>
  <c r="E1013" i="62921" s="1"/>
  <c r="E1014" i="62921" s="1"/>
  <c r="C81" i="62910"/>
  <c r="E81" i="62910" s="1"/>
  <c r="E574" i="5"/>
  <c r="C81" i="62892"/>
  <c r="V19" i="62929"/>
  <c r="N17" i="62929"/>
  <c r="Z17" i="62929" s="1"/>
  <c r="Z12" i="62914"/>
  <c r="Z14" i="62914" s="1"/>
  <c r="M115" i="62927"/>
  <c r="L115" i="62927"/>
  <c r="D19" i="62918"/>
  <c r="C19" i="62918" s="1"/>
  <c r="H24" i="62910"/>
  <c r="H20" i="62910" s="1"/>
  <c r="H132" i="62910" s="1"/>
  <c r="G20" i="62910"/>
  <c r="G132" i="62910" s="1"/>
  <c r="H30" i="62909"/>
  <c r="H26" i="62909" s="1"/>
  <c r="H216" i="62909" s="1"/>
  <c r="G26" i="62909"/>
  <c r="G216" i="62909" s="1"/>
  <c r="V14" i="62914"/>
  <c r="T19" i="62929"/>
  <c r="E107" i="62929"/>
  <c r="U19" i="62929"/>
  <c r="F28" i="62892"/>
  <c r="F134" i="62892" s="1"/>
  <c r="C133" i="62892"/>
  <c r="Y12" i="62915"/>
  <c r="Y15" i="62915" s="1"/>
  <c r="H42" i="62915"/>
  <c r="E42" i="62915"/>
  <c r="L115" i="3"/>
  <c r="M115" i="3"/>
  <c r="T12" i="62912"/>
  <c r="H54" i="62912"/>
  <c r="E54" i="62912"/>
  <c r="F20" i="62892"/>
  <c r="F133" i="62892" s="1"/>
  <c r="T14" i="62914"/>
  <c r="E95" i="62918"/>
  <c r="E20" i="62918"/>
  <c r="L18" i="62929"/>
  <c r="X18" i="62929" s="1"/>
  <c r="G45" i="62914"/>
  <c r="E45" i="62914"/>
  <c r="F45" i="62914"/>
  <c r="X13" i="62914"/>
  <c r="H45" i="62914"/>
  <c r="C134" i="62892"/>
  <c r="G28" i="62892"/>
  <c r="G134" i="62892" s="1"/>
  <c r="D28" i="62892"/>
  <c r="D134" i="62892" s="1"/>
  <c r="H32" i="62910"/>
  <c r="H28" i="62910" s="1"/>
  <c r="H133" i="62910" s="1"/>
  <c r="G28" i="62910"/>
  <c r="G133" i="62910" s="1"/>
  <c r="H38" i="62909"/>
  <c r="H34" i="62909" s="1"/>
  <c r="H217" i="62909" s="1"/>
  <c r="G34" i="62909"/>
  <c r="G217" i="62909" s="1"/>
  <c r="K115" i="3"/>
  <c r="G44" i="62914"/>
  <c r="X12" i="62914"/>
  <c r="F44" i="62914"/>
  <c r="L17" i="62929"/>
  <c r="X17" i="62929" s="1"/>
  <c r="E44" i="62914"/>
  <c r="H44" i="62914"/>
  <c r="L14" i="62914"/>
  <c r="L19" i="62929" s="1"/>
  <c r="E95" i="62929" s="1"/>
  <c r="F55" i="62914"/>
  <c r="L31" i="62929"/>
  <c r="X31" i="62929" s="1"/>
  <c r="G55" i="62914"/>
  <c r="X26" i="62914"/>
  <c r="D79" i="62918"/>
  <c r="C79" i="62918" s="1"/>
  <c r="E556" i="62898"/>
  <c r="L540" i="62898"/>
  <c r="L556" i="62898" s="1"/>
  <c r="E522" i="62898"/>
  <c r="I506" i="62898"/>
  <c r="I522" i="62898" s="1"/>
  <c r="E588" i="62898"/>
  <c r="E611" i="62898"/>
  <c r="J611" i="62898" s="1"/>
  <c r="J572" i="62898"/>
  <c r="J588" i="62898" s="1"/>
  <c r="I331" i="7"/>
  <c r="N331" i="7"/>
  <c r="E1239" i="62919"/>
  <c r="E1240" i="62919" s="1"/>
  <c r="E1241" i="62919" s="1"/>
  <c r="E1242" i="62919" s="1"/>
  <c r="E1863" i="62919"/>
  <c r="D25" i="62923"/>
  <c r="D26" i="62923" s="1"/>
  <c r="C18" i="62923" s="1"/>
  <c r="K564" i="5"/>
  <c r="G603" i="5"/>
  <c r="G595" i="5"/>
  <c r="G609" i="5"/>
  <c r="G620" i="5"/>
  <c r="G607" i="5"/>
  <c r="G624" i="5"/>
  <c r="G604" i="5"/>
  <c r="G599" i="5"/>
  <c r="G594" i="5"/>
  <c r="G605" i="5"/>
  <c r="G610" i="5"/>
  <c r="G618" i="5"/>
  <c r="G611" i="5"/>
  <c r="G598" i="5"/>
  <c r="G614" i="5"/>
  <c r="G596" i="5"/>
  <c r="G601" i="5"/>
  <c r="G606" i="5"/>
  <c r="G629" i="5"/>
  <c r="G632" i="5"/>
  <c r="G627" i="5"/>
  <c r="G633" i="5"/>
  <c r="G602" i="5"/>
  <c r="G600" i="5"/>
  <c r="G592" i="5"/>
  <c r="G616" i="5"/>
  <c r="G593" i="5"/>
  <c r="G626" i="5"/>
  <c r="G622" i="5"/>
  <c r="G619" i="5"/>
  <c r="G612" i="5"/>
  <c r="G613" i="5"/>
  <c r="G591" i="5"/>
  <c r="G630" i="5"/>
  <c r="G635" i="5"/>
  <c r="G623" i="5"/>
  <c r="G625" i="5"/>
  <c r="G634" i="5"/>
  <c r="G631" i="5"/>
  <c r="G617" i="5"/>
  <c r="G628" i="5"/>
  <c r="G608" i="5"/>
  <c r="G636" i="5"/>
  <c r="G621" i="5"/>
  <c r="G615" i="5"/>
  <c r="G597" i="5"/>
  <c r="E97" i="62909"/>
  <c r="E71" i="62910"/>
  <c r="G72" i="62910"/>
  <c r="H72" i="62910" s="1"/>
  <c r="N565" i="5"/>
  <c r="F72" i="62892"/>
  <c r="G72" i="62892" s="1"/>
  <c r="K565" i="5"/>
  <c r="L568" i="5"/>
  <c r="M568" i="5"/>
  <c r="E580" i="5"/>
  <c r="F82" i="62892"/>
  <c r="K575" i="5"/>
  <c r="G82" i="62910"/>
  <c r="H82" i="62910" s="1"/>
  <c r="N575" i="5"/>
  <c r="F75" i="62892"/>
  <c r="K568" i="5"/>
  <c r="G75" i="62910"/>
  <c r="H75" i="62910" s="1"/>
  <c r="N568" i="5"/>
  <c r="G80" i="62910"/>
  <c r="H80" i="62910" s="1"/>
  <c r="N573" i="5"/>
  <c r="F80" i="62892"/>
  <c r="G80" i="62892" s="1"/>
  <c r="K573" i="5"/>
  <c r="F74" i="62892"/>
  <c r="G74" i="62892" s="1"/>
  <c r="N567" i="5"/>
  <c r="G74" i="62910"/>
  <c r="H74" i="62910" s="1"/>
  <c r="K567" i="5"/>
  <c r="G71" i="62910"/>
  <c r="H71" i="62910" s="1"/>
  <c r="F71" i="62892"/>
  <c r="G78" i="62910"/>
  <c r="H78" i="62910" s="1"/>
  <c r="F78" i="62892"/>
  <c r="K571" i="5"/>
  <c r="E583" i="5"/>
  <c r="M571" i="5"/>
  <c r="L571" i="5"/>
  <c r="F79" i="62892"/>
  <c r="G79" i="62910"/>
  <c r="H79" i="62910" s="1"/>
  <c r="N572" i="5"/>
  <c r="L572" i="5"/>
  <c r="F580" i="5"/>
  <c r="M572" i="5"/>
  <c r="I123" i="62904"/>
  <c r="F201" i="62925"/>
  <c r="F199" i="62925"/>
  <c r="F203" i="62925"/>
  <c r="F202" i="62925"/>
  <c r="F204" i="62925"/>
  <c r="I204" i="62925"/>
  <c r="F218" i="62926"/>
  <c r="F217" i="62926"/>
  <c r="F211" i="62926"/>
  <c r="F212" i="62926"/>
  <c r="F213" i="62926"/>
  <c r="F215" i="62926"/>
  <c r="F214" i="62926"/>
  <c r="F219" i="62926"/>
  <c r="F216" i="62926"/>
  <c r="E2294" i="62917"/>
  <c r="E2295" i="62917" s="1"/>
  <c r="E2296" i="62917" s="1"/>
  <c r="E171" i="62904"/>
  <c r="E177" i="62919"/>
  <c r="E178" i="62919" s="1"/>
  <c r="E179" i="62919" s="1"/>
  <c r="E180" i="62919" s="1"/>
  <c r="E181" i="62919" s="1"/>
  <c r="E182" i="62919" s="1"/>
  <c r="E183" i="62919" s="1"/>
  <c r="E184" i="62919" s="1"/>
  <c r="E185" i="62919" s="1"/>
  <c r="E186" i="62919" s="1"/>
  <c r="E187" i="62919" s="1"/>
  <c r="E188" i="62919" s="1"/>
  <c r="E189" i="62919" s="1"/>
  <c r="E190" i="62919" s="1"/>
  <c r="E191" i="62919" s="1"/>
  <c r="E192" i="62919" s="1"/>
  <c r="E193" i="62919" s="1"/>
  <c r="E194" i="62919" s="1"/>
  <c r="E195" i="62919" s="1"/>
  <c r="E196" i="62919" s="1"/>
  <c r="E197" i="62919" s="1"/>
  <c r="E198" i="62919" s="1"/>
  <c r="E199" i="62919" s="1"/>
  <c r="E200" i="62919" s="1"/>
  <c r="E201" i="62919" s="1"/>
  <c r="E202" i="62919" s="1"/>
  <c r="E203" i="62919" s="1"/>
  <c r="E204" i="62919" s="1"/>
  <c r="E205" i="62919" s="1"/>
  <c r="E206" i="62919" s="1"/>
  <c r="E207" i="62919" s="1"/>
  <c r="E208" i="62919" s="1"/>
  <c r="E209" i="62919" s="1"/>
  <c r="E210" i="62919" s="1"/>
  <c r="E211" i="62919" s="1"/>
  <c r="D174" i="62919"/>
  <c r="D175" i="62919" s="1"/>
  <c r="D176" i="62919" s="1"/>
  <c r="C173" i="62919"/>
  <c r="M330" i="62928"/>
  <c r="D1235" i="62919"/>
  <c r="C1235" i="62919" s="1"/>
  <c r="C1234" i="62919"/>
  <c r="E942" i="62919"/>
  <c r="E943" i="62919" s="1"/>
  <c r="E1771" i="62919"/>
  <c r="E1772" i="62919" s="1"/>
  <c r="E1773" i="62919" s="1"/>
  <c r="E1774" i="62919" s="1"/>
  <c r="E1775" i="62919" s="1"/>
  <c r="E1776" i="62919" s="1"/>
  <c r="E1777" i="62919" s="1"/>
  <c r="E1041" i="62919"/>
  <c r="D1040" i="62919"/>
  <c r="E873" i="62919"/>
  <c r="E874" i="62919" s="1"/>
  <c r="E875" i="62919" s="1"/>
  <c r="E876" i="62919" s="1"/>
  <c r="E877" i="62919" s="1"/>
  <c r="E878" i="62919" s="1"/>
  <c r="E879" i="62919" s="1"/>
  <c r="D869" i="62919"/>
  <c r="D924" i="62919"/>
  <c r="E901" i="62919"/>
  <c r="E902" i="62919" s="1"/>
  <c r="E903" i="62919" s="1"/>
  <c r="E904" i="62919" s="1"/>
  <c r="E905" i="62919" s="1"/>
  <c r="E906" i="62919" s="1"/>
  <c r="E907" i="62919" s="1"/>
  <c r="E908" i="62919" s="1"/>
  <c r="E909" i="62919" s="1"/>
  <c r="E910" i="62919" s="1"/>
  <c r="E911" i="62919" s="1"/>
  <c r="E912" i="62919" s="1"/>
  <c r="E913" i="62919" s="1"/>
  <c r="D1004" i="62919"/>
  <c r="D900" i="62919"/>
  <c r="E1376" i="62919"/>
  <c r="E1006" i="62919"/>
  <c r="E1007" i="62919" s="1"/>
  <c r="E1008" i="62919" s="1"/>
  <c r="E1009" i="62919" s="1"/>
  <c r="C55" i="62892"/>
  <c r="E20" i="62919"/>
  <c r="E21" i="62919" s="1"/>
  <c r="D41" i="62919"/>
  <c r="C40" i="62919"/>
  <c r="D19" i="62919"/>
  <c r="C16" i="62919" s="1"/>
  <c r="I329" i="62928"/>
  <c r="E335" i="7"/>
  <c r="L335" i="7" s="1"/>
  <c r="D333" i="62928"/>
  <c r="N329" i="62928"/>
  <c r="C55" i="62910"/>
  <c r="E55" i="62910" s="1"/>
  <c r="C61" i="62909"/>
  <c r="E61" i="62909" s="1"/>
  <c r="D63" i="62919"/>
  <c r="C59" i="62919"/>
  <c r="G38" i="62892"/>
  <c r="L326" i="7"/>
  <c r="M326" i="7"/>
  <c r="M326" i="62928"/>
  <c r="L326" i="62928"/>
  <c r="G52" i="62892"/>
  <c r="D52" i="62892"/>
  <c r="L329" i="7"/>
  <c r="M329" i="7"/>
  <c r="G41" i="62892"/>
  <c r="M327" i="62928"/>
  <c r="L327" i="62928"/>
  <c r="G42" i="62892"/>
  <c r="L330" i="7"/>
  <c r="M330" i="7"/>
  <c r="L383" i="7"/>
  <c r="L401" i="7" s="1"/>
  <c r="J418" i="7"/>
  <c r="J416" i="62928"/>
  <c r="J431" i="62928" s="1"/>
  <c r="L381" i="62928"/>
  <c r="L399" i="62928" s="1"/>
  <c r="D50" i="62892"/>
  <c r="G50" i="62892"/>
  <c r="M324" i="62928"/>
  <c r="L324" i="62928"/>
  <c r="H62" i="62910"/>
  <c r="G53" i="62892"/>
  <c r="E453" i="7"/>
  <c r="J453" i="7" s="1"/>
  <c r="E383" i="7"/>
  <c r="E352" i="7"/>
  <c r="E418" i="7"/>
  <c r="E381" i="62928"/>
  <c r="E399" i="62928" s="1"/>
  <c r="E416" i="62928"/>
  <c r="E431" i="62928" s="1"/>
  <c r="E350" i="62928"/>
  <c r="E451" i="62928"/>
  <c r="J451" i="62928" s="1"/>
  <c r="L331" i="7"/>
  <c r="M331" i="7"/>
  <c r="E54" i="62910"/>
  <c r="G54" i="62892"/>
  <c r="E60" i="62909"/>
  <c r="H54" i="62910"/>
  <c r="H48" i="62910" s="1"/>
  <c r="H135" i="62910" s="1"/>
  <c r="G48" i="62910"/>
  <c r="G135" i="62910" s="1"/>
  <c r="L328" i="62928"/>
  <c r="M328" i="62928"/>
  <c r="E333" i="62928"/>
  <c r="M329" i="62928"/>
  <c r="L329" i="62928"/>
  <c r="F63" i="62914"/>
  <c r="G63" i="62914"/>
  <c r="E63" i="62914"/>
  <c r="L40" i="62929"/>
  <c r="X40" i="62929" s="1"/>
  <c r="X35" i="62914"/>
  <c r="H63" i="62914"/>
  <c r="F54" i="62915"/>
  <c r="V26" i="62915"/>
  <c r="G54" i="62915"/>
  <c r="E54" i="62915"/>
  <c r="H54" i="62915"/>
  <c r="E40" i="62929"/>
  <c r="Q40" i="62929" s="1"/>
  <c r="Q35" i="62914"/>
  <c r="F66" i="62912"/>
  <c r="H66" i="62912"/>
  <c r="G66" i="62912"/>
  <c r="E66" i="62912"/>
  <c r="R26" i="62912"/>
  <c r="E231" i="62904"/>
  <c r="E237" i="62904" s="1"/>
  <c r="L199" i="62926"/>
  <c r="F31" i="62914"/>
  <c r="R31" i="62914" s="1"/>
  <c r="R37" i="62914" s="1"/>
  <c r="E123" i="62904"/>
  <c r="M123" i="62904" s="1"/>
  <c r="K123" i="62904"/>
  <c r="C112" i="62910"/>
  <c r="E112" i="62910" s="1"/>
  <c r="C112" i="62892"/>
  <c r="D112" i="62892" s="1"/>
  <c r="K203" i="62925"/>
  <c r="E205" i="62904"/>
  <c r="D9" i="62892"/>
  <c r="G9" i="62892"/>
  <c r="F214" i="62925"/>
  <c r="F218" i="62925"/>
  <c r="F213" i="62925"/>
  <c r="F216" i="62925"/>
  <c r="F211" i="62925"/>
  <c r="I219" i="62925"/>
  <c r="F217" i="62925"/>
  <c r="F219" i="62925"/>
  <c r="F215" i="62925"/>
  <c r="F212" i="62925"/>
  <c r="L201" i="62926"/>
  <c r="M201" i="62926"/>
  <c r="D16" i="62892"/>
  <c r="G16" i="62892"/>
  <c r="M201" i="62925"/>
  <c r="L201" i="62925"/>
  <c r="E192" i="62909"/>
  <c r="D20" i="62917"/>
  <c r="D21" i="62917" s="1"/>
  <c r="L124" i="62904"/>
  <c r="M124" i="62904"/>
  <c r="E22" i="62917"/>
  <c r="G113" i="62892"/>
  <c r="H77" i="62910"/>
  <c r="F18" i="62892"/>
  <c r="F13" i="62892" s="1"/>
  <c r="F132" i="62892" s="1"/>
  <c r="G18" i="62910"/>
  <c r="H18" i="62910" s="1"/>
  <c r="H219" i="62926"/>
  <c r="I219" i="62926" s="1"/>
  <c r="H111" i="62910"/>
  <c r="E218" i="62926"/>
  <c r="E219" i="62926" s="1"/>
  <c r="I218" i="62926"/>
  <c r="C14" i="62909"/>
  <c r="E14" i="62909" s="1"/>
  <c r="E6" i="62909" s="1"/>
  <c r="E214" i="62909" s="1"/>
  <c r="G11" i="62910"/>
  <c r="F11" i="62892"/>
  <c r="F6" i="62892" s="1"/>
  <c r="F131" i="62892" s="1"/>
  <c r="C18" i="62892"/>
  <c r="C13" i="62892" s="1"/>
  <c r="C132" i="62892" s="1"/>
  <c r="C7" i="62907" s="1"/>
  <c r="C18" i="62910"/>
  <c r="E18" i="62910" s="1"/>
  <c r="E13" i="62910" s="1"/>
  <c r="E131" i="62910" s="1"/>
  <c r="E203" i="62925"/>
  <c r="E204" i="62925" s="1"/>
  <c r="I203" i="62925"/>
  <c r="N203" i="62925"/>
  <c r="H14" i="62910"/>
  <c r="N204" i="62925"/>
  <c r="K204" i="62925"/>
  <c r="H13" i="62909"/>
  <c r="H6" i="62909" s="1"/>
  <c r="H214" i="62909" s="1"/>
  <c r="G6" i="62909"/>
  <c r="G214" i="62909" s="1"/>
  <c r="D204" i="62926"/>
  <c r="C11" i="62892"/>
  <c r="C6" i="62892" s="1"/>
  <c r="N203" i="62926"/>
  <c r="C11" i="62910"/>
  <c r="E11" i="62910" s="1"/>
  <c r="E6" i="62910" s="1"/>
  <c r="E130" i="62910" s="1"/>
  <c r="K203" i="62926"/>
  <c r="I203" i="62926"/>
  <c r="E203" i="62926"/>
  <c r="E204" i="62926" s="1"/>
  <c r="L204" i="62926" s="1"/>
  <c r="N29" i="62912"/>
  <c r="E218" i="62925"/>
  <c r="E219" i="62925" s="1"/>
  <c r="I218" i="62925"/>
  <c r="C24" i="62909"/>
  <c r="E24" i="62909" s="1"/>
  <c r="E16" i="62909" s="1"/>
  <c r="E215" i="62909" s="1"/>
  <c r="H192" i="62909"/>
  <c r="E36" i="62929"/>
  <c r="Q36" i="62929" s="1"/>
  <c r="Q31" i="62914"/>
  <c r="E938" i="62917"/>
  <c r="D937" i="62917"/>
  <c r="L242" i="62905"/>
  <c r="M242" i="62905"/>
  <c r="D117" i="62892"/>
  <c r="G117" i="62892"/>
  <c r="G7" i="62907" l="1"/>
  <c r="F7" i="62907"/>
  <c r="G20" i="62892"/>
  <c r="G133" i="62892" s="1"/>
  <c r="G128" i="62909"/>
  <c r="G222" i="62909" s="1"/>
  <c r="H128" i="62909"/>
  <c r="H222" i="62909" s="1"/>
  <c r="D941" i="62921"/>
  <c r="C937" i="62921" s="1"/>
  <c r="F443" i="62898"/>
  <c r="F445" i="62898"/>
  <c r="D609" i="62921"/>
  <c r="D610" i="62921" s="1"/>
  <c r="D611" i="62921" s="1"/>
  <c r="D612" i="62921" s="1"/>
  <c r="D613" i="62921" s="1"/>
  <c r="D614" i="62921" s="1"/>
  <c r="D615" i="62921" s="1"/>
  <c r="D616" i="62921" s="1"/>
  <c r="D617" i="62921" s="1"/>
  <c r="D618" i="62921" s="1"/>
  <c r="D619" i="62921" s="1"/>
  <c r="D620" i="62921" s="1"/>
  <c r="D621" i="62921" s="1"/>
  <c r="D622" i="62921" s="1"/>
  <c r="D623" i="62921" s="1"/>
  <c r="D624" i="62921" s="1"/>
  <c r="D625" i="62921" s="1"/>
  <c r="D626" i="62921" s="1"/>
  <c r="D627" i="62921" s="1"/>
  <c r="D628" i="62921" s="1"/>
  <c r="D629" i="62921" s="1"/>
  <c r="D630" i="62921" s="1"/>
  <c r="D631" i="62921" s="1"/>
  <c r="D632" i="62921" s="1"/>
  <c r="D633" i="62921" s="1"/>
  <c r="D634" i="62921" s="1"/>
  <c r="D635" i="62921" s="1"/>
  <c r="D636" i="62921" s="1"/>
  <c r="D637" i="62921" s="1"/>
  <c r="D638" i="62921" s="1"/>
  <c r="D639" i="62921" s="1"/>
  <c r="D640" i="62921" s="1"/>
  <c r="D641" i="62921" s="1"/>
  <c r="D642" i="62921" s="1"/>
  <c r="D643" i="62921" s="1"/>
  <c r="D644" i="62921" s="1"/>
  <c r="D645" i="62921" s="1"/>
  <c r="D646" i="62921" s="1"/>
  <c r="D647" i="62921" s="1"/>
  <c r="D648" i="62921" s="1"/>
  <c r="D649" i="62921" s="1"/>
  <c r="D650" i="62921" s="1"/>
  <c r="D651" i="62921" s="1"/>
  <c r="D652" i="62921" s="1"/>
  <c r="D653" i="62921" s="1"/>
  <c r="D654" i="62921" s="1"/>
  <c r="D655" i="62921" s="1"/>
  <c r="D656" i="62921" s="1"/>
  <c r="D657" i="62921" s="1"/>
  <c r="D658" i="62921" s="1"/>
  <c r="D659" i="62921" s="1"/>
  <c r="D660" i="62921" s="1"/>
  <c r="D661" i="62921" s="1"/>
  <c r="D662" i="62921" s="1"/>
  <c r="D663" i="62921" s="1"/>
  <c r="D664" i="62921" s="1"/>
  <c r="D665" i="62921" s="1"/>
  <c r="D666" i="62921" s="1"/>
  <c r="D667" i="62921" s="1"/>
  <c r="D668" i="62921" s="1"/>
  <c r="D669" i="62921" s="1"/>
  <c r="D670" i="62921" s="1"/>
  <c r="D671" i="62921" s="1"/>
  <c r="D672" i="62921" s="1"/>
  <c r="D673" i="62921" s="1"/>
  <c r="D674" i="62921" s="1"/>
  <c r="D675" i="62921" s="1"/>
  <c r="D676" i="62921" s="1"/>
  <c r="D677" i="62921" s="1"/>
  <c r="D678" i="62921" s="1"/>
  <c r="D679" i="62921" s="1"/>
  <c r="D680" i="62921" s="1"/>
  <c r="D681" i="62921" s="1"/>
  <c r="D682" i="62921" s="1"/>
  <c r="D683" i="62921" s="1"/>
  <c r="D684" i="62921" s="1"/>
  <c r="D685" i="62921" s="1"/>
  <c r="D686" i="62921" s="1"/>
  <c r="D687" i="62921" s="1"/>
  <c r="D688" i="62921" s="1"/>
  <c r="D689" i="62921" s="1"/>
  <c r="D690" i="62921" s="1"/>
  <c r="D691" i="62921" s="1"/>
  <c r="D692" i="62921" s="1"/>
  <c r="D693" i="62921" s="1"/>
  <c r="D694" i="62921" s="1"/>
  <c r="D695" i="62921" s="1"/>
  <c r="D696" i="62921" s="1"/>
  <c r="D697" i="62921" s="1"/>
  <c r="D698" i="62921" s="1"/>
  <c r="D699" i="62921" s="1"/>
  <c r="D700" i="62921" s="1"/>
  <c r="D701" i="62921" s="1"/>
  <c r="D702" i="62921" s="1"/>
  <c r="D703" i="62921" s="1"/>
  <c r="D704" i="62921" s="1"/>
  <c r="D705" i="62921" s="1"/>
  <c r="D706" i="62921" s="1"/>
  <c r="D707" i="62921" s="1"/>
  <c r="D708" i="62921" s="1"/>
  <c r="D709" i="62921" s="1"/>
  <c r="D710" i="62921" s="1"/>
  <c r="D711" i="62921" s="1"/>
  <c r="D712" i="62921" s="1"/>
  <c r="D713" i="62921" s="1"/>
  <c r="D714" i="62921" s="1"/>
  <c r="D715" i="62921" s="1"/>
  <c r="D716" i="62921" s="1"/>
  <c r="D717" i="62921" s="1"/>
  <c r="D718" i="62921" s="1"/>
  <c r="D719" i="62921" s="1"/>
  <c r="D720" i="62921" s="1"/>
  <c r="D721" i="62921" s="1"/>
  <c r="D722" i="62921" s="1"/>
  <c r="D723" i="62921" s="1"/>
  <c r="D724" i="62921" s="1"/>
  <c r="D725" i="62921" s="1"/>
  <c r="D726" i="62921" s="1"/>
  <c r="D727" i="62921" s="1"/>
  <c r="D728" i="62921" s="1"/>
  <c r="D729" i="62921" s="1"/>
  <c r="D730" i="62921" s="1"/>
  <c r="D731" i="62921" s="1"/>
  <c r="D732" i="62921" s="1"/>
  <c r="D733" i="62921" s="1"/>
  <c r="D734" i="62921" s="1"/>
  <c r="D735" i="62921" s="1"/>
  <c r="D736" i="62921" s="1"/>
  <c r="D737" i="62921" s="1"/>
  <c r="D738" i="62921" s="1"/>
  <c r="D739" i="62921" s="1"/>
  <c r="D740" i="62921" s="1"/>
  <c r="D741" i="62921" s="1"/>
  <c r="D742" i="62921" s="1"/>
  <c r="D743" i="62921" s="1"/>
  <c r="D744" i="62921" s="1"/>
  <c r="D745" i="62921" s="1"/>
  <c r="D746" i="62921" s="1"/>
  <c r="D747" i="62921" s="1"/>
  <c r="D748" i="62921" s="1"/>
  <c r="D749" i="62921" s="1"/>
  <c r="D750" i="62921" s="1"/>
  <c r="D751" i="62921" s="1"/>
  <c r="D752" i="62921" s="1"/>
  <c r="D753" i="62921" s="1"/>
  <c r="D754" i="62921" s="1"/>
  <c r="D755" i="62921" s="1"/>
  <c r="D756" i="62921" s="1"/>
  <c r="D757" i="62921" s="1"/>
  <c r="D758" i="62921" s="1"/>
  <c r="D759" i="62921" s="1"/>
  <c r="D760" i="62921" s="1"/>
  <c r="D761" i="62921" s="1"/>
  <c r="D762" i="62921" s="1"/>
  <c r="D763" i="62921" s="1"/>
  <c r="D764" i="62921" s="1"/>
  <c r="D765" i="62921" s="1"/>
  <c r="D766" i="62921" s="1"/>
  <c r="D767" i="62921" s="1"/>
  <c r="D768" i="62921" s="1"/>
  <c r="D769" i="62921" s="1"/>
  <c r="D770" i="62921" s="1"/>
  <c r="D771" i="62921" s="1"/>
  <c r="D772" i="62921" s="1"/>
  <c r="D773" i="62921" s="1"/>
  <c r="D774" i="62921" s="1"/>
  <c r="D775" i="62921" s="1"/>
  <c r="D776" i="62921" s="1"/>
  <c r="D777" i="62921" s="1"/>
  <c r="D778" i="62921" s="1"/>
  <c r="D779" i="62921" s="1"/>
  <c r="D780" i="62921" s="1"/>
  <c r="D781" i="62921" s="1"/>
  <c r="D782" i="62921" s="1"/>
  <c r="D783" i="62921" s="1"/>
  <c r="D784" i="62921" s="1"/>
  <c r="D785" i="62921" s="1"/>
  <c r="D786" i="62921" s="1"/>
  <c r="D787" i="62921" s="1"/>
  <c r="D788" i="62921" s="1"/>
  <c r="D789" i="62921" s="1"/>
  <c r="D790" i="62921" s="1"/>
  <c r="D791" i="62921" s="1"/>
  <c r="D792" i="62921" s="1"/>
  <c r="D793" i="62921" s="1"/>
  <c r="D794" i="62921" s="1"/>
  <c r="D795" i="62921" s="1"/>
  <c r="D796" i="62921" s="1"/>
  <c r="D797" i="62921" s="1"/>
  <c r="D798" i="62921" s="1"/>
  <c r="D799" i="62921" s="1"/>
  <c r="D800" i="62921" s="1"/>
  <c r="D801" i="62921" s="1"/>
  <c r="D802" i="62921" s="1"/>
  <c r="D803" i="62921" s="1"/>
  <c r="D804" i="62921" s="1"/>
  <c r="D805" i="62921" s="1"/>
  <c r="D806" i="62921" s="1"/>
  <c r="D807" i="62921" s="1"/>
  <c r="D808" i="62921" s="1"/>
  <c r="D809" i="62921" s="1"/>
  <c r="D810" i="62921" s="1"/>
  <c r="D811" i="62921" s="1"/>
  <c r="D812" i="62921" s="1"/>
  <c r="D813" i="62921" s="1"/>
  <c r="D814" i="62921" s="1"/>
  <c r="D815" i="62921" s="1"/>
  <c r="D816" i="62921" s="1"/>
  <c r="D817" i="62921" s="1"/>
  <c r="D818" i="62921" s="1"/>
  <c r="D819" i="62921" s="1"/>
  <c r="D820" i="62921" s="1"/>
  <c r="D821" i="62921" s="1"/>
  <c r="D822" i="62921" s="1"/>
  <c r="D823" i="62921" s="1"/>
  <c r="D824" i="62921" s="1"/>
  <c r="D825" i="62921" s="1"/>
  <c r="D826" i="62921" s="1"/>
  <c r="D827" i="62921" s="1"/>
  <c r="D828" i="62921" s="1"/>
  <c r="D829" i="62921" s="1"/>
  <c r="D830" i="62921" s="1"/>
  <c r="D831" i="62921" s="1"/>
  <c r="D832" i="62921" s="1"/>
  <c r="D833" i="62921" s="1"/>
  <c r="D834" i="62921" s="1"/>
  <c r="D835" i="62921" s="1"/>
  <c r="D836" i="62921" s="1"/>
  <c r="D837" i="62921" s="1"/>
  <c r="D838" i="62921" s="1"/>
  <c r="D839" i="62921" s="1"/>
  <c r="D840" i="62921" s="1"/>
  <c r="D841" i="62921" s="1"/>
  <c r="D842" i="62921" s="1"/>
  <c r="D843" i="62921" s="1"/>
  <c r="D844" i="62921" s="1"/>
  <c r="D845" i="62921" s="1"/>
  <c r="D846" i="62921" s="1"/>
  <c r="D847" i="62921" s="1"/>
  <c r="D848" i="62921" s="1"/>
  <c r="D849" i="62921" s="1"/>
  <c r="D850" i="62921" s="1"/>
  <c r="D851" i="62921" s="1"/>
  <c r="D852" i="62921" s="1"/>
  <c r="D853" i="62921" s="1"/>
  <c r="D854" i="62921" s="1"/>
  <c r="D855" i="62921" s="1"/>
  <c r="D856" i="62921" s="1"/>
  <c r="D857" i="62921" s="1"/>
  <c r="E764" i="62922"/>
  <c r="E765" i="62922" s="1"/>
  <c r="E766" i="62922" s="1"/>
  <c r="E767" i="62922" s="1"/>
  <c r="E768" i="62922" s="1"/>
  <c r="E769" i="62922" s="1"/>
  <c r="E770" i="62922" s="1"/>
  <c r="E771" i="62922" s="1"/>
  <c r="E772" i="62922" s="1"/>
  <c r="E773" i="62922" s="1"/>
  <c r="E774" i="62922" s="1"/>
  <c r="E775" i="62922" s="1"/>
  <c r="E776" i="62922" s="1"/>
  <c r="E777" i="62922" s="1"/>
  <c r="E778" i="62922" s="1"/>
  <c r="E779" i="62922" s="1"/>
  <c r="E780" i="62922" s="1"/>
  <c r="E781" i="62922" s="1"/>
  <c r="E782" i="62922" s="1"/>
  <c r="E783" i="62922" s="1"/>
  <c r="E784" i="62922" s="1"/>
  <c r="E785" i="62922" s="1"/>
  <c r="E786" i="62922" s="1"/>
  <c r="E787" i="62922" s="1"/>
  <c r="E788" i="62922" s="1"/>
  <c r="E789" i="62922" s="1"/>
  <c r="E790" i="62922" s="1"/>
  <c r="E791" i="62922" s="1"/>
  <c r="E792" i="62922" s="1"/>
  <c r="E793" i="62922" s="1"/>
  <c r="E794" i="62922" s="1"/>
  <c r="E795" i="62922" s="1"/>
  <c r="E796" i="62922" s="1"/>
  <c r="E797" i="62922" s="1"/>
  <c r="E798" i="62922" s="1"/>
  <c r="E799" i="62922" s="1"/>
  <c r="E800" i="62922" s="1"/>
  <c r="E801" i="62922" s="1"/>
  <c r="E802" i="62922" s="1"/>
  <c r="D556" i="62922"/>
  <c r="L566" i="5"/>
  <c r="M566" i="5"/>
  <c r="D21" i="62922"/>
  <c r="I574" i="5"/>
  <c r="D487" i="62922"/>
  <c r="D300" i="62922"/>
  <c r="C289" i="62922"/>
  <c r="D341" i="62921"/>
  <c r="E26" i="62921"/>
  <c r="E27" i="62921" s="1"/>
  <c r="E28" i="62921" s="1"/>
  <c r="D22" i="62921"/>
  <c r="D211" i="62921"/>
  <c r="C205" i="62921"/>
  <c r="E84" i="62910"/>
  <c r="E138" i="62910" s="1"/>
  <c r="M447" i="62898"/>
  <c r="E448" i="62898"/>
  <c r="M448" i="62898" s="1"/>
  <c r="D256" i="62921"/>
  <c r="E342" i="62921"/>
  <c r="E343" i="62921" s="1"/>
  <c r="E344" i="62921" s="1"/>
  <c r="E345" i="62921" s="1"/>
  <c r="E346" i="62921" s="1"/>
  <c r="D2244" i="62917"/>
  <c r="D421" i="62921"/>
  <c r="Y25" i="62915"/>
  <c r="G85" i="62892"/>
  <c r="H53" i="62915"/>
  <c r="F442" i="62898"/>
  <c r="F444" i="62898"/>
  <c r="F447" i="62898"/>
  <c r="F446" i="62898"/>
  <c r="F441" i="62898"/>
  <c r="C84" i="62910"/>
  <c r="C138" i="62910" s="1"/>
  <c r="L441" i="62898"/>
  <c r="M441" i="62898"/>
  <c r="F448" i="62898"/>
  <c r="N448" i="62898"/>
  <c r="H84" i="62910"/>
  <c r="H138" i="62910" s="1"/>
  <c r="E1952" i="62917"/>
  <c r="E1953" i="62917" s="1"/>
  <c r="D1625" i="62917"/>
  <c r="D2161" i="62917"/>
  <c r="C2157" i="62917"/>
  <c r="E2162" i="62917"/>
  <c r="E2163" i="62917" s="1"/>
  <c r="E2164" i="62917" s="1"/>
  <c r="E2165" i="62917" s="1"/>
  <c r="D329" i="62923"/>
  <c r="D330" i="62923" s="1"/>
  <c r="C329" i="62923" s="1"/>
  <c r="E397" i="62923"/>
  <c r="E398" i="62923" s="1"/>
  <c r="E333" i="62923"/>
  <c r="E284" i="62923"/>
  <c r="E298" i="62923" s="1"/>
  <c r="E297" i="62923"/>
  <c r="D282" i="62923"/>
  <c r="D283" i="62923" s="1"/>
  <c r="E296" i="62923"/>
  <c r="D296" i="62923" s="1"/>
  <c r="D2291" i="62917"/>
  <c r="C2291" i="62917" s="1"/>
  <c r="C229" i="62924"/>
  <c r="D154" i="62924"/>
  <c r="E7" i="62907"/>
  <c r="D7" i="62907"/>
  <c r="F84" i="62892"/>
  <c r="F139" i="62892" s="1"/>
  <c r="N21" i="62914"/>
  <c r="N26" i="62929" s="1"/>
  <c r="Z26" i="62929" s="1"/>
  <c r="I448" i="62898"/>
  <c r="K448" i="62898"/>
  <c r="E242" i="62922"/>
  <c r="E243" i="62922" s="1"/>
  <c r="E244" i="62922" s="1"/>
  <c r="E245" i="62922" s="1"/>
  <c r="E246" i="62922" s="1"/>
  <c r="E247" i="62922" s="1"/>
  <c r="E248" i="62922" s="1"/>
  <c r="E249" i="62922" s="1"/>
  <c r="E250" i="62922" s="1"/>
  <c r="E251" i="62922" s="1"/>
  <c r="E252" i="62922" s="1"/>
  <c r="C2184" i="62917"/>
  <c r="D1562" i="62919"/>
  <c r="D1563" i="62919" s="1"/>
  <c r="D1747" i="62919"/>
  <c r="C1704" i="62919"/>
  <c r="C1707" i="62919"/>
  <c r="C1703" i="62919"/>
  <c r="C1705" i="62919"/>
  <c r="C1702" i="62919"/>
  <c r="C1706" i="62919"/>
  <c r="E1408" i="62919"/>
  <c r="E1409" i="62919" s="1"/>
  <c r="E1410" i="62919" s="1"/>
  <c r="E1411" i="62919" s="1"/>
  <c r="E1412" i="62919" s="1"/>
  <c r="E1413" i="62919" s="1"/>
  <c r="E1414" i="62919" s="1"/>
  <c r="E1415" i="62919" s="1"/>
  <c r="E1416" i="62919" s="1"/>
  <c r="E1417" i="62919" s="1"/>
  <c r="E1418" i="62919" s="1"/>
  <c r="E1419" i="62919" s="1"/>
  <c r="E1420" i="62919" s="1"/>
  <c r="E1421" i="62919" s="1"/>
  <c r="E1422" i="62919" s="1"/>
  <c r="E1423" i="62919" s="1"/>
  <c r="E1424" i="62919" s="1"/>
  <c r="E1425" i="62919" s="1"/>
  <c r="E1426" i="62919" s="1"/>
  <c r="E1427" i="62919" s="1"/>
  <c r="E1428" i="62919" s="1"/>
  <c r="E1429" i="62919" s="1"/>
  <c r="E1430" i="62919" s="1"/>
  <c r="E1431" i="62919" s="1"/>
  <c r="E1432" i="62919" s="1"/>
  <c r="E1433" i="62919" s="1"/>
  <c r="E1434" i="62919" s="1"/>
  <c r="E1435" i="62919" s="1"/>
  <c r="E1436" i="62919" s="1"/>
  <c r="E1437" i="62919" s="1"/>
  <c r="E1438" i="62919" s="1"/>
  <c r="E1439" i="62919" s="1"/>
  <c r="E1440" i="62919" s="1"/>
  <c r="E1441" i="62919" s="1"/>
  <c r="E1442" i="62919" s="1"/>
  <c r="E1443" i="62919" s="1"/>
  <c r="E1444" i="62919" s="1"/>
  <c r="E1445" i="62919" s="1"/>
  <c r="E1446" i="62919" s="1"/>
  <c r="E1447" i="62919" s="1"/>
  <c r="E1448" i="62919" s="1"/>
  <c r="E1449" i="62919" s="1"/>
  <c r="E1450" i="62919" s="1"/>
  <c r="E1451" i="62919" s="1"/>
  <c r="E1452" i="62919" s="1"/>
  <c r="E1453" i="62919" s="1"/>
  <c r="E1454" i="62919" s="1"/>
  <c r="E1455" i="62919" s="1"/>
  <c r="E1456" i="62919" s="1"/>
  <c r="E1457" i="62919" s="1"/>
  <c r="E1458" i="62919" s="1"/>
  <c r="E1459" i="62919" s="1"/>
  <c r="E1460" i="62919" s="1"/>
  <c r="E1461" i="62919" s="1"/>
  <c r="E1462" i="62919" s="1"/>
  <c r="E1463" i="62919" s="1"/>
  <c r="E1464" i="62919" s="1"/>
  <c r="E1465" i="62919" s="1"/>
  <c r="E1466" i="62919" s="1"/>
  <c r="E1467" i="62919" s="1"/>
  <c r="E1468" i="62919" s="1"/>
  <c r="E1469" i="62919" s="1"/>
  <c r="E1470" i="62919" s="1"/>
  <c r="E1471" i="62919" s="1"/>
  <c r="E1472" i="62919" s="1"/>
  <c r="E1473" i="62919" s="1"/>
  <c r="E1474" i="62919" s="1"/>
  <c r="E1475" i="62919" s="1"/>
  <c r="E1476" i="62919" s="1"/>
  <c r="E1477" i="62919" s="1"/>
  <c r="E1478" i="62919" s="1"/>
  <c r="E1479" i="62919" s="1"/>
  <c r="E1480" i="62919" s="1"/>
  <c r="E1481" i="62919" s="1"/>
  <c r="E1482" i="62919" s="1"/>
  <c r="E1483" i="62919" s="1"/>
  <c r="E1484" i="62919" s="1"/>
  <c r="E1485" i="62919" s="1"/>
  <c r="E1486" i="62919" s="1"/>
  <c r="E1487" i="62919" s="1"/>
  <c r="E1488" i="62919" s="1"/>
  <c r="E1489" i="62919" s="1"/>
  <c r="E1490" i="62919" s="1"/>
  <c r="E1491" i="62919" s="1"/>
  <c r="E1492" i="62919" s="1"/>
  <c r="E1493" i="62919" s="1"/>
  <c r="E1494" i="62919" s="1"/>
  <c r="E1495" i="62919" s="1"/>
  <c r="E1496" i="62919" s="1"/>
  <c r="E1497" i="62919" s="1"/>
  <c r="E1498" i="62919" s="1"/>
  <c r="E1499" i="62919" s="1"/>
  <c r="E1500" i="62919" s="1"/>
  <c r="E1501" i="62919" s="1"/>
  <c r="E1502" i="62919" s="1"/>
  <c r="E1503" i="62919" s="1"/>
  <c r="E1504" i="62919" s="1"/>
  <c r="E1505" i="62919" s="1"/>
  <c r="E1506" i="62919" s="1"/>
  <c r="E1507" i="62919" s="1"/>
  <c r="E1508" i="62919" s="1"/>
  <c r="E1509" i="62919" s="1"/>
  <c r="E1510" i="62919" s="1"/>
  <c r="E1511" i="62919" s="1"/>
  <c r="E1512" i="62919" s="1"/>
  <c r="E1513" i="62919" s="1"/>
  <c r="E1514" i="62919" s="1"/>
  <c r="E1515" i="62919" s="1"/>
  <c r="E1516" i="62919" s="1"/>
  <c r="E1517" i="62919" s="1"/>
  <c r="E1518" i="62919" s="1"/>
  <c r="E1519" i="62919" s="1"/>
  <c r="E1520" i="62919" s="1"/>
  <c r="E1521" i="62919" s="1"/>
  <c r="E1522" i="62919" s="1"/>
  <c r="E1523" i="62919" s="1"/>
  <c r="E1524" i="62919" s="1"/>
  <c r="E1525" i="62919" s="1"/>
  <c r="E1526" i="62919" s="1"/>
  <c r="E1527" i="62919" s="1"/>
  <c r="E1528" i="62919" s="1"/>
  <c r="E1529" i="62919" s="1"/>
  <c r="E1530" i="62919" s="1"/>
  <c r="E1531" i="62919" s="1"/>
  <c r="E1532" i="62919" s="1"/>
  <c r="E1533" i="62919" s="1"/>
  <c r="E1534" i="62919" s="1"/>
  <c r="E1535" i="62919" s="1"/>
  <c r="E1536" i="62919" s="1"/>
  <c r="E1537" i="62919" s="1"/>
  <c r="E1538" i="62919" s="1"/>
  <c r="E1539" i="62919" s="1"/>
  <c r="E1540" i="62919" s="1"/>
  <c r="E1541" i="62919" s="1"/>
  <c r="E1542" i="62919" s="1"/>
  <c r="E1543" i="62919" s="1"/>
  <c r="E1544" i="62919" s="1"/>
  <c r="E1545" i="62919" s="1"/>
  <c r="E1546" i="62919" s="1"/>
  <c r="E1547" i="62919" s="1"/>
  <c r="E1548" i="62919" s="1"/>
  <c r="E1549" i="62919" s="1"/>
  <c r="E1550" i="62919" s="1"/>
  <c r="E1551" i="62919" s="1"/>
  <c r="E1552" i="62919" s="1"/>
  <c r="E1553" i="62919" s="1"/>
  <c r="C1404" i="62919"/>
  <c r="C1402" i="62919"/>
  <c r="C1403" i="62919"/>
  <c r="C1405" i="62919"/>
  <c r="D1406" i="62919"/>
  <c r="D1281" i="62919"/>
  <c r="C1281" i="62919" s="1"/>
  <c r="E1327" i="62919"/>
  <c r="E1328" i="62919" s="1"/>
  <c r="E1329" i="62919" s="1"/>
  <c r="E1330" i="62919" s="1"/>
  <c r="E1331" i="62919" s="1"/>
  <c r="E1332" i="62919" s="1"/>
  <c r="E1333" i="62919" s="1"/>
  <c r="E1334" i="62919" s="1"/>
  <c r="E1335" i="62919" s="1"/>
  <c r="E1336" i="62919" s="1"/>
  <c r="E1337" i="62919" s="1"/>
  <c r="E1338" i="62919" s="1"/>
  <c r="E1339" i="62919" s="1"/>
  <c r="E1340" i="62919" s="1"/>
  <c r="E1341" i="62919" s="1"/>
  <c r="E1342" i="62919" s="1"/>
  <c r="E1343" i="62919" s="1"/>
  <c r="E1344" i="62919" s="1"/>
  <c r="E1345" i="62919" s="1"/>
  <c r="E1346" i="62919" s="1"/>
  <c r="E1347" i="62919" s="1"/>
  <c r="E1348" i="62919" s="1"/>
  <c r="E1349" i="62919" s="1"/>
  <c r="E1350" i="62919" s="1"/>
  <c r="E1351" i="62919" s="1"/>
  <c r="E1352" i="62919" s="1"/>
  <c r="E1353" i="62919" s="1"/>
  <c r="E1354" i="62919" s="1"/>
  <c r="E1355" i="62919" s="1"/>
  <c r="E1356" i="62919" s="1"/>
  <c r="E1357" i="62919" s="1"/>
  <c r="E1358" i="62919" s="1"/>
  <c r="E1359" i="62919" s="1"/>
  <c r="E1360" i="62919" s="1"/>
  <c r="E1361" i="62919" s="1"/>
  <c r="E1565" i="62919"/>
  <c r="E1566" i="62919" s="1"/>
  <c r="E1567" i="62919" s="1"/>
  <c r="E1568" i="62919" s="1"/>
  <c r="E1569" i="62919" s="1"/>
  <c r="E1570" i="62919" s="1"/>
  <c r="E1571" i="62919" s="1"/>
  <c r="E1572" i="62919" s="1"/>
  <c r="E1573" i="62919" s="1"/>
  <c r="E1574" i="62919" s="1"/>
  <c r="E1575" i="62919" s="1"/>
  <c r="E1576" i="62919" s="1"/>
  <c r="E1577" i="62919" s="1"/>
  <c r="E1578" i="62919" s="1"/>
  <c r="E1579" i="62919" s="1"/>
  <c r="E1580" i="62919" s="1"/>
  <c r="E1581" i="62919" s="1"/>
  <c r="E1582" i="62919" s="1"/>
  <c r="E1583" i="62919" s="1"/>
  <c r="E1584" i="62919" s="1"/>
  <c r="E1585" i="62919" s="1"/>
  <c r="E1586" i="62919" s="1"/>
  <c r="E1587" i="62919" s="1"/>
  <c r="E1588" i="62919" s="1"/>
  <c r="E1589" i="62919" s="1"/>
  <c r="E1590" i="62919" s="1"/>
  <c r="E1591" i="62919" s="1"/>
  <c r="E1592" i="62919" s="1"/>
  <c r="E1593" i="62919" s="1"/>
  <c r="E1594" i="62919" s="1"/>
  <c r="E1595" i="62919" s="1"/>
  <c r="E1596" i="62919" s="1"/>
  <c r="E1597" i="62919" s="1"/>
  <c r="E1598" i="62919" s="1"/>
  <c r="E1599" i="62919" s="1"/>
  <c r="E1600" i="62919" s="1"/>
  <c r="E1601" i="62919" s="1"/>
  <c r="E1602" i="62919" s="1"/>
  <c r="E1603" i="62919" s="1"/>
  <c r="E1604" i="62919" s="1"/>
  <c r="E1605" i="62919" s="1"/>
  <c r="E1606" i="62919" s="1"/>
  <c r="E1607" i="62919" s="1"/>
  <c r="E1608" i="62919" s="1"/>
  <c r="E1609" i="62919" s="1"/>
  <c r="E1610" i="62919" s="1"/>
  <c r="E1611" i="62919" s="1"/>
  <c r="E1612" i="62919" s="1"/>
  <c r="E1613" i="62919" s="1"/>
  <c r="E1614" i="62919" s="1"/>
  <c r="E1615" i="62919" s="1"/>
  <c r="E1616" i="62919" s="1"/>
  <c r="E1617" i="62919" s="1"/>
  <c r="E1618" i="62919" s="1"/>
  <c r="E1619" i="62919" s="1"/>
  <c r="E1620" i="62919" s="1"/>
  <c r="E1621" i="62919" s="1"/>
  <c r="E1622" i="62919" s="1"/>
  <c r="E1623" i="62919" s="1"/>
  <c r="E1624" i="62919" s="1"/>
  <c r="E1625" i="62919" s="1"/>
  <c r="E1626" i="62919" s="1"/>
  <c r="E1627" i="62919" s="1"/>
  <c r="E1628" i="62919" s="1"/>
  <c r="E1629" i="62919" s="1"/>
  <c r="E1630" i="62919" s="1"/>
  <c r="E1631" i="62919" s="1"/>
  <c r="E1632" i="62919" s="1"/>
  <c r="E1633" i="62919" s="1"/>
  <c r="E1634" i="62919" s="1"/>
  <c r="E1635" i="62919" s="1"/>
  <c r="E1636" i="62919" s="1"/>
  <c r="E1637" i="62919" s="1"/>
  <c r="E1638" i="62919" s="1"/>
  <c r="E1639" i="62919" s="1"/>
  <c r="E1640" i="62919" s="1"/>
  <c r="E1641" i="62919" s="1"/>
  <c r="E1642" i="62919" s="1"/>
  <c r="E1643" i="62919" s="1"/>
  <c r="E1644" i="62919" s="1"/>
  <c r="E1645" i="62919" s="1"/>
  <c r="E1646" i="62919" s="1"/>
  <c r="E1647" i="62919" s="1"/>
  <c r="E1648" i="62919" s="1"/>
  <c r="E1649" i="62919" s="1"/>
  <c r="E1650" i="62919" s="1"/>
  <c r="E1651" i="62919" s="1"/>
  <c r="E1652" i="62919" s="1"/>
  <c r="E1653" i="62919" s="1"/>
  <c r="E1654" i="62919" s="1"/>
  <c r="E1655" i="62919" s="1"/>
  <c r="E1656" i="62919" s="1"/>
  <c r="E1657" i="62919" s="1"/>
  <c r="E1658" i="62919" s="1"/>
  <c r="E1659" i="62919" s="1"/>
  <c r="E1660" i="62919" s="1"/>
  <c r="E1661" i="62919" s="1"/>
  <c r="E1662" i="62919" s="1"/>
  <c r="E1663" i="62919" s="1"/>
  <c r="E1664" i="62919" s="1"/>
  <c r="E1665" i="62919" s="1"/>
  <c r="E1666" i="62919" s="1"/>
  <c r="E1667" i="62919" s="1"/>
  <c r="E1668" i="62919" s="1"/>
  <c r="E1669" i="62919" s="1"/>
  <c r="E1670" i="62919" s="1"/>
  <c r="E1671" i="62919" s="1"/>
  <c r="E1672" i="62919" s="1"/>
  <c r="E1673" i="62919" s="1"/>
  <c r="E1674" i="62919" s="1"/>
  <c r="E1675" i="62919" s="1"/>
  <c r="E1676" i="62919" s="1"/>
  <c r="E1677" i="62919" s="1"/>
  <c r="E1678" i="62919" s="1"/>
  <c r="E1679" i="62919" s="1"/>
  <c r="E1680" i="62919" s="1"/>
  <c r="E1681" i="62919" s="1"/>
  <c r="E1682" i="62919" s="1"/>
  <c r="E1683" i="62919" s="1"/>
  <c r="E1684" i="62919" s="1"/>
  <c r="E1685" i="62919" s="1"/>
  <c r="E1686" i="62919" s="1"/>
  <c r="E1687" i="62919" s="1"/>
  <c r="E1688" i="62919" s="1"/>
  <c r="E1689" i="62919" s="1"/>
  <c r="E1690" i="62919" s="1"/>
  <c r="E1691" i="62919" s="1"/>
  <c r="E1692" i="62919" s="1"/>
  <c r="E1693" i="62919" s="1"/>
  <c r="E1694" i="62919" s="1"/>
  <c r="E1695" i="62919" s="1"/>
  <c r="E1696" i="62919" s="1"/>
  <c r="E1697" i="62919" s="1"/>
  <c r="E1698" i="62919" s="1"/>
  <c r="C1280" i="62919"/>
  <c r="C1276" i="62919"/>
  <c r="C1279" i="62919"/>
  <c r="C1277" i="62919"/>
  <c r="C1278" i="62919"/>
  <c r="C1275" i="62919"/>
  <c r="G36" i="62910"/>
  <c r="G134" i="62910" s="1"/>
  <c r="C1714" i="62919"/>
  <c r="C1715" i="62919"/>
  <c r="C1713" i="62919"/>
  <c r="C1716" i="62919"/>
  <c r="C1710" i="62919"/>
  <c r="C1718" i="62919"/>
  <c r="C1717" i="62919"/>
  <c r="C1712" i="62919"/>
  <c r="C1711" i="62919"/>
  <c r="C1726" i="62919"/>
  <c r="C1709" i="62919"/>
  <c r="C1722" i="62919"/>
  <c r="C1708" i="62919"/>
  <c r="C1721" i="62919"/>
  <c r="C1720" i="62919"/>
  <c r="C1719" i="62919"/>
  <c r="C1724" i="62919"/>
  <c r="C1725" i="62919"/>
  <c r="C1723" i="62919"/>
  <c r="C1727" i="62919"/>
  <c r="C1728" i="62919"/>
  <c r="C1861" i="62919"/>
  <c r="G42" i="62909"/>
  <c r="G218" i="62909" s="1"/>
  <c r="C353" i="62919"/>
  <c r="G54" i="62909"/>
  <c r="G219" i="62909" s="1"/>
  <c r="E420" i="62919"/>
  <c r="E421" i="62919" s="1"/>
  <c r="E422" i="62919" s="1"/>
  <c r="E423" i="62919" s="1"/>
  <c r="K333" i="62928"/>
  <c r="D418" i="62919"/>
  <c r="D632" i="62919"/>
  <c r="D2190" i="62917"/>
  <c r="D2191" i="62917" s="1"/>
  <c r="D2192" i="62917" s="1"/>
  <c r="D2193" i="62917" s="1"/>
  <c r="D2194" i="62917" s="1"/>
  <c r="E2195" i="62917"/>
  <c r="E2196" i="62917" s="1"/>
  <c r="E2197" i="62917" s="1"/>
  <c r="E2198" i="62917" s="1"/>
  <c r="E2199" i="62917" s="1"/>
  <c r="E2200" i="62917" s="1"/>
  <c r="E2201" i="62917" s="1"/>
  <c r="E2202" i="62917" s="1"/>
  <c r="E2203" i="62917" s="1"/>
  <c r="E2204" i="62917" s="1"/>
  <c r="E2205" i="62917" s="1"/>
  <c r="E2206" i="62917" s="1"/>
  <c r="E2207" i="62917" s="1"/>
  <c r="E2208" i="62917" s="1"/>
  <c r="E2209" i="62917" s="1"/>
  <c r="E2210" i="62917" s="1"/>
  <c r="E2211" i="62917" s="1"/>
  <c r="E2212" i="62917" s="1"/>
  <c r="E2213" i="62917" s="1"/>
  <c r="E2214" i="62917" s="1"/>
  <c r="E2215" i="62917" s="1"/>
  <c r="E2216" i="62917" s="1"/>
  <c r="E2217" i="62917" s="1"/>
  <c r="E2218" i="62917" s="1"/>
  <c r="E2219" i="62917" s="1"/>
  <c r="E2220" i="62917" s="1"/>
  <c r="E2221" i="62917" s="1"/>
  <c r="E2222" i="62917" s="1"/>
  <c r="E2223" i="62917" s="1"/>
  <c r="E2224" i="62917" s="1"/>
  <c r="E2225" i="62917" s="1"/>
  <c r="E2226" i="62917" s="1"/>
  <c r="E2227" i="62917" s="1"/>
  <c r="E2228" i="62917" s="1"/>
  <c r="E2229" i="62917" s="1"/>
  <c r="G84" i="62910"/>
  <c r="G138" i="62910" s="1"/>
  <c r="G79" i="62892"/>
  <c r="D82" i="62892"/>
  <c r="M575" i="5"/>
  <c r="F583" i="5"/>
  <c r="C109" i="62919"/>
  <c r="E456" i="62898"/>
  <c r="G456" i="62898" s="1"/>
  <c r="C139" i="62892"/>
  <c r="G453" i="62898"/>
  <c r="D869" i="62921"/>
  <c r="D870" i="62921" s="1"/>
  <c r="D332" i="62923"/>
  <c r="D1375" i="62919"/>
  <c r="E1592" i="62917"/>
  <c r="D1591" i="62917"/>
  <c r="E2432" i="62917"/>
  <c r="E2433" i="62917" s="1"/>
  <c r="D2428" i="62917"/>
  <c r="C2427" i="62917"/>
  <c r="E718" i="5"/>
  <c r="E686" i="5"/>
  <c r="D45" i="62924"/>
  <c r="E652" i="5"/>
  <c r="E757" i="5"/>
  <c r="J757" i="5" s="1"/>
  <c r="C176" i="62919"/>
  <c r="D130" i="62919"/>
  <c r="D131" i="62919" s="1"/>
  <c r="D132" i="62919" s="1"/>
  <c r="D133" i="62919" s="1"/>
  <c r="D134" i="62919" s="1"/>
  <c r="D135" i="62919" s="1"/>
  <c r="D136" i="62919" s="1"/>
  <c r="D137" i="62919" s="1"/>
  <c r="D138" i="62919" s="1"/>
  <c r="D139" i="62919" s="1"/>
  <c r="D140" i="62919" s="1"/>
  <c r="D141" i="62919" s="1"/>
  <c r="D142" i="62919" s="1"/>
  <c r="D143" i="62919" s="1"/>
  <c r="D144" i="62919" s="1"/>
  <c r="D145" i="62919" s="1"/>
  <c r="D146" i="62919" s="1"/>
  <c r="D147" i="62919" s="1"/>
  <c r="D148" i="62919" s="1"/>
  <c r="D149" i="62919" s="1"/>
  <c r="D150" i="62919" s="1"/>
  <c r="D151" i="62919" s="1"/>
  <c r="D152" i="62919" s="1"/>
  <c r="D153" i="62919" s="1"/>
  <c r="D154" i="62919" s="1"/>
  <c r="D155" i="62919" s="1"/>
  <c r="D156" i="62919" s="1"/>
  <c r="D157" i="62919" s="1"/>
  <c r="D158" i="62919" s="1"/>
  <c r="D159" i="62919" s="1"/>
  <c r="D160" i="62919" s="1"/>
  <c r="D161" i="62919" s="1"/>
  <c r="D162" i="62919" s="1"/>
  <c r="D163" i="62919" s="1"/>
  <c r="F331" i="7"/>
  <c r="G81" i="62909"/>
  <c r="G221" i="62909" s="1"/>
  <c r="C81" i="62909"/>
  <c r="C221" i="62909" s="1"/>
  <c r="I636" i="5"/>
  <c r="J636" i="5" s="1"/>
  <c r="E271" i="62922"/>
  <c r="E272" i="62922" s="1"/>
  <c r="E273" i="62922" s="1"/>
  <c r="E274" i="62922" s="1"/>
  <c r="E275" i="62922" s="1"/>
  <c r="E276" i="62922" s="1"/>
  <c r="E277" i="62922" s="1"/>
  <c r="E278" i="62922" s="1"/>
  <c r="E279" i="62922" s="1"/>
  <c r="D265" i="62922"/>
  <c r="D266" i="62922" s="1"/>
  <c r="D267" i="62922" s="1"/>
  <c r="D268" i="62922" s="1"/>
  <c r="D269" i="62922" s="1"/>
  <c r="D270" i="62922" s="1"/>
  <c r="D326" i="62921"/>
  <c r="D327" i="62921" s="1"/>
  <c r="D328" i="62921" s="1"/>
  <c r="E47" i="62921"/>
  <c r="M734" i="5"/>
  <c r="E1015" i="62921"/>
  <c r="E1016" i="62921" s="1"/>
  <c r="E1017" i="62921" s="1"/>
  <c r="E1018" i="62921" s="1"/>
  <c r="E1019" i="62921" s="1"/>
  <c r="E1020" i="62921" s="1"/>
  <c r="E1021" i="62921" s="1"/>
  <c r="E1022" i="62921" s="1"/>
  <c r="E1023" i="62921" s="1"/>
  <c r="E1024" i="62921" s="1"/>
  <c r="E1025" i="62921" s="1"/>
  <c r="E1026" i="62921" s="1"/>
  <c r="E1027" i="62921" s="1"/>
  <c r="E1028" i="62921" s="1"/>
  <c r="E1029" i="62921" s="1"/>
  <c r="E1030" i="62921" s="1"/>
  <c r="E1031" i="62921" s="1"/>
  <c r="E1032" i="62921" s="1"/>
  <c r="E1033" i="62921" s="1"/>
  <c r="E1034" i="62921" s="1"/>
  <c r="E1035" i="62921" s="1"/>
  <c r="E1036" i="62921" s="1"/>
  <c r="E1037" i="62921" s="1"/>
  <c r="E1038" i="62921" s="1"/>
  <c r="E1039" i="62921" s="1"/>
  <c r="E1040" i="62921" s="1"/>
  <c r="E1041" i="62921" s="1"/>
  <c r="E1042" i="62921" s="1"/>
  <c r="E1043" i="62921" s="1"/>
  <c r="E1044" i="62921" s="1"/>
  <c r="E1045" i="62921" s="1"/>
  <c r="E1046" i="62921" s="1"/>
  <c r="E1047" i="62921" s="1"/>
  <c r="E1048" i="62921" s="1"/>
  <c r="E1049" i="62921" s="1"/>
  <c r="E1050" i="62921" s="1"/>
  <c r="E1051" i="62921" s="1"/>
  <c r="E1052" i="62921" s="1"/>
  <c r="E1053" i="62921" s="1"/>
  <c r="E1054" i="62921" s="1"/>
  <c r="E1055" i="62921" s="1"/>
  <c r="E1056" i="62921" s="1"/>
  <c r="E1057" i="62921" s="1"/>
  <c r="E1058" i="62921" s="1"/>
  <c r="E1059" i="62921" s="1"/>
  <c r="E1060" i="62921" s="1"/>
  <c r="G71" i="62892"/>
  <c r="C261" i="62922"/>
  <c r="M567" i="5"/>
  <c r="D78" i="62892"/>
  <c r="D143" i="62922"/>
  <c r="D144" i="62922" s="1"/>
  <c r="D145" i="62922" s="1"/>
  <c r="D146" i="62922" s="1"/>
  <c r="D147" i="62922" s="1"/>
  <c r="D148" i="62922" s="1"/>
  <c r="D149" i="62922" s="1"/>
  <c r="D150" i="62922" s="1"/>
  <c r="D151" i="62922" s="1"/>
  <c r="D152" i="62922" s="1"/>
  <c r="D153" i="62922" s="1"/>
  <c r="D154" i="62922" s="1"/>
  <c r="D155" i="62922" s="1"/>
  <c r="D156" i="62922" s="1"/>
  <c r="D157" i="62922" s="1"/>
  <c r="D158" i="62922" s="1"/>
  <c r="D159" i="62922" s="1"/>
  <c r="D160" i="62922" s="1"/>
  <c r="D161" i="62922" s="1"/>
  <c r="D162" i="62922" s="1"/>
  <c r="D163" i="62922" s="1"/>
  <c r="D164" i="62922" s="1"/>
  <c r="D165" i="62922" s="1"/>
  <c r="D166" i="62922" s="1"/>
  <c r="D167" i="62922" s="1"/>
  <c r="D168" i="62922" s="1"/>
  <c r="D169" i="62922" s="1"/>
  <c r="D170" i="62922" s="1"/>
  <c r="D171" i="62922" s="1"/>
  <c r="D172" i="62922" s="1"/>
  <c r="D173" i="62922" s="1"/>
  <c r="D174" i="62922" s="1"/>
  <c r="D175" i="62922" s="1"/>
  <c r="D176" i="62922" s="1"/>
  <c r="D177" i="62922" s="1"/>
  <c r="D178" i="62922" s="1"/>
  <c r="D179" i="62922" s="1"/>
  <c r="D180" i="62922" s="1"/>
  <c r="D181" i="62922" s="1"/>
  <c r="D182" i="62922" s="1"/>
  <c r="D183" i="62922" s="1"/>
  <c r="D184" i="62922" s="1"/>
  <c r="D185" i="62922" s="1"/>
  <c r="D186" i="62922" s="1"/>
  <c r="D187" i="62922" s="1"/>
  <c r="D188" i="62922" s="1"/>
  <c r="D189" i="62922" s="1"/>
  <c r="D190" i="62922" s="1"/>
  <c r="D191" i="62922" s="1"/>
  <c r="D192" i="62922" s="1"/>
  <c r="D193" i="62922" s="1"/>
  <c r="D194" i="62922" s="1"/>
  <c r="D195" i="62922" s="1"/>
  <c r="D196" i="62922" s="1"/>
  <c r="D197" i="62922" s="1"/>
  <c r="D198" i="62922" s="1"/>
  <c r="D199" i="62922" s="1"/>
  <c r="D200" i="62922" s="1"/>
  <c r="D201" i="62922" s="1"/>
  <c r="D202" i="62922" s="1"/>
  <c r="D203" i="62922" s="1"/>
  <c r="D204" i="62922" s="1"/>
  <c r="D205" i="62922" s="1"/>
  <c r="D206" i="62922" s="1"/>
  <c r="D207" i="62922" s="1"/>
  <c r="D208" i="62922" s="1"/>
  <c r="D209" i="62922" s="1"/>
  <c r="D210" i="62922" s="1"/>
  <c r="D211" i="62922" s="1"/>
  <c r="D212" i="62922" s="1"/>
  <c r="D213" i="62922" s="1"/>
  <c r="D214" i="62922" s="1"/>
  <c r="D215" i="62922" s="1"/>
  <c r="D216" i="62922" s="1"/>
  <c r="D217" i="62922" s="1"/>
  <c r="D218" i="62922" s="1"/>
  <c r="D219" i="62922" s="1"/>
  <c r="D220" i="62922" s="1"/>
  <c r="D221" i="62922" s="1"/>
  <c r="D222" i="62922" s="1"/>
  <c r="D223" i="62922" s="1"/>
  <c r="D224" i="62922" s="1"/>
  <c r="D225" i="62922" s="1"/>
  <c r="D226" i="62922" s="1"/>
  <c r="D227" i="62922" s="1"/>
  <c r="D228" i="62922" s="1"/>
  <c r="D229" i="62922" s="1"/>
  <c r="D230" i="62922" s="1"/>
  <c r="D231" i="62922" s="1"/>
  <c r="D232" i="62922" s="1"/>
  <c r="D233" i="62922" s="1"/>
  <c r="D234" i="62922" s="1"/>
  <c r="D235" i="62922" s="1"/>
  <c r="D236" i="62922" s="1"/>
  <c r="D237" i="62922" s="1"/>
  <c r="D238" i="62922" s="1"/>
  <c r="D239" i="62922" s="1"/>
  <c r="D240" i="62922" s="1"/>
  <c r="D583" i="5"/>
  <c r="D75" i="62892"/>
  <c r="L564" i="5"/>
  <c r="M564" i="5"/>
  <c r="E576" i="5"/>
  <c r="L576" i="5" s="1"/>
  <c r="D106" i="62909"/>
  <c r="O106" i="62909" s="1"/>
  <c r="P106" i="62909" s="1"/>
  <c r="D111" i="62919"/>
  <c r="C223" i="62919"/>
  <c r="D224" i="62919"/>
  <c r="D225" i="62919" s="1"/>
  <c r="C225" i="62919" s="1"/>
  <c r="E944" i="62919"/>
  <c r="E945" i="62919" s="1"/>
  <c r="E946" i="62919" s="1"/>
  <c r="E947" i="62919" s="1"/>
  <c r="E948" i="62919" s="1"/>
  <c r="E949" i="62919" s="1"/>
  <c r="E950" i="62919" s="1"/>
  <c r="E951" i="62919" s="1"/>
  <c r="I335" i="7"/>
  <c r="C42" i="62909"/>
  <c r="C218" i="62909" s="1"/>
  <c r="F329" i="7"/>
  <c r="F335" i="7"/>
  <c r="F327" i="7"/>
  <c r="F333" i="7"/>
  <c r="K335" i="7"/>
  <c r="Z19" i="62929"/>
  <c r="C36" i="62892"/>
  <c r="G36" i="62892" s="1"/>
  <c r="G135" i="62892" s="1"/>
  <c r="F328" i="7"/>
  <c r="F330" i="7"/>
  <c r="N335" i="7"/>
  <c r="F332" i="7"/>
  <c r="F334" i="7"/>
  <c r="F325" i="7"/>
  <c r="F331" i="62928"/>
  <c r="C36" i="62910"/>
  <c r="C134" i="62910" s="1"/>
  <c r="D231" i="62924"/>
  <c r="C231" i="62924" s="1"/>
  <c r="C70" i="62910"/>
  <c r="C137" i="62910" s="1"/>
  <c r="F564" i="5"/>
  <c r="F575" i="5"/>
  <c r="I576" i="5"/>
  <c r="F573" i="5"/>
  <c r="F574" i="5"/>
  <c r="F568" i="5"/>
  <c r="F569" i="5"/>
  <c r="F567" i="5"/>
  <c r="F572" i="5"/>
  <c r="F571" i="5"/>
  <c r="F576" i="5"/>
  <c r="F566" i="5"/>
  <c r="F565" i="5"/>
  <c r="L132" i="62892"/>
  <c r="G13" i="62910"/>
  <c r="G131" i="62910" s="1"/>
  <c r="L346" i="9"/>
  <c r="L20" i="62914"/>
  <c r="Q20" i="62914"/>
  <c r="E25" i="62929"/>
  <c r="Q25" i="62929" s="1"/>
  <c r="H43" i="9"/>
  <c r="BK43" i="9"/>
  <c r="AD43" i="9" s="1"/>
  <c r="C93" i="62924"/>
  <c r="D94" i="62924"/>
  <c r="C94" i="62924" s="1"/>
  <c r="H100" i="9"/>
  <c r="BK100" i="9"/>
  <c r="AD100" i="9" s="1"/>
  <c r="Y100" i="9" s="1"/>
  <c r="E105" i="62924"/>
  <c r="T15" i="62912"/>
  <c r="D32" i="62924"/>
  <c r="K576" i="5"/>
  <c r="N576" i="5"/>
  <c r="C70" i="62892"/>
  <c r="M574" i="5"/>
  <c r="F582" i="5"/>
  <c r="L574" i="5"/>
  <c r="I651" i="5"/>
  <c r="I16" i="62912"/>
  <c r="F81" i="62892"/>
  <c r="F70" i="62892" s="1"/>
  <c r="F138" i="62892" s="1"/>
  <c r="K574" i="5"/>
  <c r="G81" i="62910"/>
  <c r="H81" i="62910" s="1"/>
  <c r="H70" i="62910" s="1"/>
  <c r="H137" i="62910" s="1"/>
  <c r="N574" i="5"/>
  <c r="Q16" i="62915"/>
  <c r="Q18" i="62915" s="1"/>
  <c r="E18" i="62915"/>
  <c r="Q15" i="62914"/>
  <c r="Q17" i="62914" s="1"/>
  <c r="E20" i="62929"/>
  <c r="Q20" i="62929" s="1"/>
  <c r="Q22" i="62929" s="1"/>
  <c r="E17" i="62914"/>
  <c r="E22" i="62929" s="1"/>
  <c r="E18" i="62912"/>
  <c r="N16" i="62912"/>
  <c r="N18" i="62912" s="1"/>
  <c r="K19" i="62912"/>
  <c r="T19" i="62912" s="1"/>
  <c r="K668" i="5"/>
  <c r="E582" i="5"/>
  <c r="E584" i="5" s="1"/>
  <c r="M570" i="5"/>
  <c r="L570" i="5"/>
  <c r="G77" i="62892"/>
  <c r="J16" i="62915"/>
  <c r="J717" i="5"/>
  <c r="L682" i="5"/>
  <c r="L15" i="62914"/>
  <c r="D1005" i="62921"/>
  <c r="D391" i="62923"/>
  <c r="G55" i="62892"/>
  <c r="C48" i="62892"/>
  <c r="C136" i="62892" s="1"/>
  <c r="X19" i="62929"/>
  <c r="X14" i="62914"/>
  <c r="M134" i="62892"/>
  <c r="C9" i="62907"/>
  <c r="N134" i="62892"/>
  <c r="L134" i="62892"/>
  <c r="K134" i="62892"/>
  <c r="C77" i="62918"/>
  <c r="D20" i="62918"/>
  <c r="E21" i="62918"/>
  <c r="E22" i="62918" s="1"/>
  <c r="E23" i="62918" s="1"/>
  <c r="E24" i="62918" s="1"/>
  <c r="E25" i="62918" s="1"/>
  <c r="E26" i="62918" s="1"/>
  <c r="E27" i="62918" s="1"/>
  <c r="E28" i="62918" s="1"/>
  <c r="E29" i="62918" s="1"/>
  <c r="E30" i="62918" s="1"/>
  <c r="E31" i="62918" s="1"/>
  <c r="E32" i="62918" s="1"/>
  <c r="E33" i="62918" s="1"/>
  <c r="E34" i="62918" s="1"/>
  <c r="E35" i="62918" s="1"/>
  <c r="E36" i="62918" s="1"/>
  <c r="E37" i="62918" s="1"/>
  <c r="E38" i="62918" s="1"/>
  <c r="E39" i="62918" s="1"/>
  <c r="E40" i="62918" s="1"/>
  <c r="E41" i="62918" s="1"/>
  <c r="E42" i="62918" s="1"/>
  <c r="E43" i="62918" s="1"/>
  <c r="E44" i="62918" s="1"/>
  <c r="E45" i="62918" s="1"/>
  <c r="E46" i="62918" s="1"/>
  <c r="E47" i="62918" s="1"/>
  <c r="E48" i="62918" s="1"/>
  <c r="E49" i="62918" s="1"/>
  <c r="E50" i="62918" s="1"/>
  <c r="E51" i="62918" s="1"/>
  <c r="E52" i="62918" s="1"/>
  <c r="E53" i="62918" s="1"/>
  <c r="E54" i="62918" s="1"/>
  <c r="E55" i="62918" s="1"/>
  <c r="E56" i="62918" s="1"/>
  <c r="E57" i="62918" s="1"/>
  <c r="E58" i="62918" s="1"/>
  <c r="E59" i="62918" s="1"/>
  <c r="E60" i="62918" s="1"/>
  <c r="E61" i="62918" s="1"/>
  <c r="E62" i="62918" s="1"/>
  <c r="E63" i="62918" s="1"/>
  <c r="E64" i="62918" s="1"/>
  <c r="E65" i="62918" s="1"/>
  <c r="E66" i="62918" s="1"/>
  <c r="E67" i="62918" s="1"/>
  <c r="E68" i="62918" s="1"/>
  <c r="E69" i="62918" s="1"/>
  <c r="G184" i="2"/>
  <c r="H184" i="2" s="1"/>
  <c r="H152" i="62905"/>
  <c r="I152" i="62905" s="1"/>
  <c r="H99" i="62904"/>
  <c r="I99" i="62904" s="1"/>
  <c r="D95" i="62918"/>
  <c r="E96" i="62918"/>
  <c r="E97" i="62918" s="1"/>
  <c r="E98" i="62918" s="1"/>
  <c r="E99" i="62918" s="1"/>
  <c r="E100" i="62918" s="1"/>
  <c r="E101" i="62918" s="1"/>
  <c r="E102" i="62918" s="1"/>
  <c r="E103" i="62918" s="1"/>
  <c r="E104" i="62918" s="1"/>
  <c r="E105" i="62918" s="1"/>
  <c r="E106" i="62918" s="1"/>
  <c r="E107" i="62918" s="1"/>
  <c r="E108" i="62918" s="1"/>
  <c r="E109" i="62918" s="1"/>
  <c r="E110" i="62918" s="1"/>
  <c r="E111" i="62918" s="1"/>
  <c r="E112" i="62918" s="1"/>
  <c r="E113" i="62918" s="1"/>
  <c r="E114" i="62918" s="1"/>
  <c r="E115" i="62918" s="1"/>
  <c r="E116" i="62918" s="1"/>
  <c r="E117" i="62918" s="1"/>
  <c r="E118" i="62918" s="1"/>
  <c r="E119" i="62918" s="1"/>
  <c r="E120" i="62918" s="1"/>
  <c r="E121" i="62918" s="1"/>
  <c r="E122" i="62918" s="1"/>
  <c r="E123" i="62918" s="1"/>
  <c r="E124" i="62918" s="1"/>
  <c r="E126" i="62918" s="1"/>
  <c r="E127" i="62918" s="1"/>
  <c r="C78" i="62918"/>
  <c r="L133" i="62892"/>
  <c r="C8" i="62907"/>
  <c r="N133" i="62892"/>
  <c r="K133" i="62892"/>
  <c r="M133" i="62892"/>
  <c r="M132" i="62892"/>
  <c r="F36" i="62929"/>
  <c r="R36" i="62929" s="1"/>
  <c r="R42" i="62929" s="1"/>
  <c r="I333" i="62928"/>
  <c r="F328" i="62928"/>
  <c r="F332" i="62928"/>
  <c r="E1864" i="62919"/>
  <c r="E1865" i="62919" s="1"/>
  <c r="E1866" i="62919" s="1"/>
  <c r="D1863" i="62919"/>
  <c r="C1863" i="62919" s="1"/>
  <c r="D177" i="62919"/>
  <c r="C177" i="62919" s="1"/>
  <c r="C16" i="62923"/>
  <c r="C17" i="62923"/>
  <c r="D262" i="62923"/>
  <c r="E265" i="62923"/>
  <c r="G580" i="5"/>
  <c r="E70" i="62910"/>
  <c r="E137" i="62910" s="1"/>
  <c r="E29" i="62915"/>
  <c r="Q29" i="62915" s="1"/>
  <c r="G112" i="62892"/>
  <c r="C16" i="62909"/>
  <c r="C215" i="62909" s="1"/>
  <c r="K132" i="62892"/>
  <c r="C13" i="62910"/>
  <c r="C131" i="62910" s="1"/>
  <c r="G13" i="62892"/>
  <c r="G132" i="62892" s="1"/>
  <c r="G6" i="62892"/>
  <c r="G131" i="62892" s="1"/>
  <c r="C6" i="62910"/>
  <c r="C130" i="62910" s="1"/>
  <c r="C6" i="62909"/>
  <c r="C214" i="62909" s="1"/>
  <c r="C131" i="62892"/>
  <c r="M131" i="62892" s="1"/>
  <c r="E259" i="62904"/>
  <c r="M204" i="62926"/>
  <c r="E2297" i="62917"/>
  <c r="E2298" i="62917" s="1"/>
  <c r="C175" i="62919"/>
  <c r="C174" i="62919"/>
  <c r="M335" i="7"/>
  <c r="E54" i="62909"/>
  <c r="E219" i="62909" s="1"/>
  <c r="E48" i="62910"/>
  <c r="E135" i="62910" s="1"/>
  <c r="F326" i="62928"/>
  <c r="F330" i="62928"/>
  <c r="F329" i="62928"/>
  <c r="E1243" i="62919"/>
  <c r="E1244" i="62919" s="1"/>
  <c r="E1245" i="62919" s="1"/>
  <c r="E1246" i="62919" s="1"/>
  <c r="E1247" i="62919" s="1"/>
  <c r="E1248" i="62919" s="1"/>
  <c r="E1249" i="62919" s="1"/>
  <c r="E1250" i="62919" s="1"/>
  <c r="E1251" i="62919" s="1"/>
  <c r="E1252" i="62919" s="1"/>
  <c r="E1253" i="62919" s="1"/>
  <c r="E1254" i="62919" s="1"/>
  <c r="E1255" i="62919" s="1"/>
  <c r="E1256" i="62919" s="1"/>
  <c r="E1257" i="62919" s="1"/>
  <c r="E1258" i="62919" s="1"/>
  <c r="E1259" i="62919" s="1"/>
  <c r="E1260" i="62919" s="1"/>
  <c r="E1261" i="62919" s="1"/>
  <c r="E1262" i="62919" s="1"/>
  <c r="E1263" i="62919" s="1"/>
  <c r="E1264" i="62919" s="1"/>
  <c r="E1265" i="62919" s="1"/>
  <c r="E1266" i="62919" s="1"/>
  <c r="E1267" i="62919" s="1"/>
  <c r="E1268" i="62919" s="1"/>
  <c r="D1771" i="62919"/>
  <c r="E1377" i="62919"/>
  <c r="E1378" i="62919" s="1"/>
  <c r="E1379" i="62919" s="1"/>
  <c r="E1380" i="62919" s="1"/>
  <c r="E1381" i="62919" s="1"/>
  <c r="E1382" i="62919" s="1"/>
  <c r="E1383" i="62919" s="1"/>
  <c r="E1384" i="62919" s="1"/>
  <c r="E1385" i="62919" s="1"/>
  <c r="E1386" i="62919" s="1"/>
  <c r="E1387" i="62919" s="1"/>
  <c r="E1388" i="62919" s="1"/>
  <c r="E1389" i="62919" s="1"/>
  <c r="E1390" i="62919" s="1"/>
  <c r="E1391" i="62919" s="1"/>
  <c r="E1392" i="62919" s="1"/>
  <c r="E1393" i="62919" s="1"/>
  <c r="D1236" i="62919"/>
  <c r="E22" i="62919"/>
  <c r="E1010" i="62919"/>
  <c r="E1011" i="62919" s="1"/>
  <c r="E1012" i="62919" s="1"/>
  <c r="E1013" i="62919" s="1"/>
  <c r="E1014" i="62919" s="1"/>
  <c r="E1015" i="62919" s="1"/>
  <c r="E1016" i="62919" s="1"/>
  <c r="E1017" i="62919" s="1"/>
  <c r="E1018" i="62919" s="1"/>
  <c r="E1019" i="62919" s="1"/>
  <c r="E1020" i="62919" s="1"/>
  <c r="E1021" i="62919" s="1"/>
  <c r="E1022" i="62919" s="1"/>
  <c r="E1023" i="62919" s="1"/>
  <c r="E1024" i="62919" s="1"/>
  <c r="E1025" i="62919" s="1"/>
  <c r="E1026" i="62919" s="1"/>
  <c r="E1027" i="62919" s="1"/>
  <c r="E1028" i="62919" s="1"/>
  <c r="D901" i="62919"/>
  <c r="D902" i="62919" s="1"/>
  <c r="D903" i="62919" s="1"/>
  <c r="D904" i="62919" s="1"/>
  <c r="D905" i="62919" s="1"/>
  <c r="D906" i="62919" s="1"/>
  <c r="D907" i="62919" s="1"/>
  <c r="D908" i="62919" s="1"/>
  <c r="D909" i="62919" s="1"/>
  <c r="D910" i="62919" s="1"/>
  <c r="D911" i="62919" s="1"/>
  <c r="D912" i="62919" s="1"/>
  <c r="D913" i="62919" s="1"/>
  <c r="C902" i="62919" s="1"/>
  <c r="C896" i="62919"/>
  <c r="D1005" i="62919"/>
  <c r="D925" i="62919"/>
  <c r="D870" i="62919"/>
  <c r="E880" i="62919"/>
  <c r="E881" i="62919" s="1"/>
  <c r="E882" i="62919" s="1"/>
  <c r="E883" i="62919" s="1"/>
  <c r="E884" i="62919" s="1"/>
  <c r="E885" i="62919" s="1"/>
  <c r="E886" i="62919" s="1"/>
  <c r="D1041" i="62919"/>
  <c r="E1042" i="62919"/>
  <c r="E1778" i="62919"/>
  <c r="E1779" i="62919" s="1"/>
  <c r="E1780" i="62919" s="1"/>
  <c r="E1781" i="62919" s="1"/>
  <c r="E1782" i="62919" s="1"/>
  <c r="E1783" i="62919" s="1"/>
  <c r="E1784" i="62919" s="1"/>
  <c r="E1785" i="62919" s="1"/>
  <c r="E1786" i="62919" s="1"/>
  <c r="E1787" i="62919" s="1"/>
  <c r="E1788" i="62919" s="1"/>
  <c r="E1789" i="62919" s="1"/>
  <c r="E1790" i="62919" s="1"/>
  <c r="E1791" i="62919" s="1"/>
  <c r="E1792" i="62919" s="1"/>
  <c r="E1793" i="62919" s="1"/>
  <c r="E1794" i="62919" s="1"/>
  <c r="E1795" i="62919" s="1"/>
  <c r="E1796" i="62919" s="1"/>
  <c r="E1797" i="62919" s="1"/>
  <c r="E1798" i="62919" s="1"/>
  <c r="E1799" i="62919" s="1"/>
  <c r="E1800" i="62919" s="1"/>
  <c r="E1801" i="62919" s="1"/>
  <c r="E1802" i="62919" s="1"/>
  <c r="E1803" i="62919" s="1"/>
  <c r="E1804" i="62919" s="1"/>
  <c r="E1805" i="62919" s="1"/>
  <c r="E1806" i="62919" s="1"/>
  <c r="E1807" i="62919" s="1"/>
  <c r="E1808" i="62919" s="1"/>
  <c r="E1809" i="62919" s="1"/>
  <c r="E1810" i="62919" s="1"/>
  <c r="E1811" i="62919" s="1"/>
  <c r="E1812" i="62919" s="1"/>
  <c r="E1813" i="62919" s="1"/>
  <c r="E1814" i="62919" s="1"/>
  <c r="E1815" i="62919" s="1"/>
  <c r="E1816" i="62919" s="1"/>
  <c r="E1817" i="62919" s="1"/>
  <c r="E1818" i="62919" s="1"/>
  <c r="E1819" i="62919" s="1"/>
  <c r="E1820" i="62919" s="1"/>
  <c r="E1821" i="62919" s="1"/>
  <c r="E1822" i="62919" s="1"/>
  <c r="E1823" i="62919" s="1"/>
  <c r="E1824" i="62919" s="1"/>
  <c r="E1825" i="62919" s="1"/>
  <c r="E1826" i="62919" s="1"/>
  <c r="E1827" i="62919" s="1"/>
  <c r="E1828" i="62919" s="1"/>
  <c r="E1829" i="62919" s="1"/>
  <c r="E1830" i="62919" s="1"/>
  <c r="E1831" i="62919" s="1"/>
  <c r="E1832" i="62919" s="1"/>
  <c r="E1833" i="62919" s="1"/>
  <c r="E1834" i="62919" s="1"/>
  <c r="E1835" i="62919" s="1"/>
  <c r="E1836" i="62919" s="1"/>
  <c r="E1837" i="62919" s="1"/>
  <c r="E1838" i="62919" s="1"/>
  <c r="E1839" i="62919" s="1"/>
  <c r="E1840" i="62919" s="1"/>
  <c r="E1841" i="62919" s="1"/>
  <c r="E1842" i="62919" s="1"/>
  <c r="E1843" i="62919" s="1"/>
  <c r="E1844" i="62919" s="1"/>
  <c r="E1845" i="62919" s="1"/>
  <c r="E1846" i="62919" s="1"/>
  <c r="E1847" i="62919" s="1"/>
  <c r="E1848" i="62919" s="1"/>
  <c r="E1849" i="62919" s="1"/>
  <c r="E1850" i="62919" s="1"/>
  <c r="E1851" i="62919" s="1"/>
  <c r="E1852" i="62919" s="1"/>
  <c r="E1853" i="62919" s="1"/>
  <c r="D20" i="62919"/>
  <c r="C41" i="62919"/>
  <c r="D42" i="62919"/>
  <c r="C54" i="62909"/>
  <c r="C219" i="62909" s="1"/>
  <c r="C48" i="62910"/>
  <c r="C135" i="62910" s="1"/>
  <c r="F327" i="62928"/>
  <c r="F324" i="62928"/>
  <c r="F323" i="62928"/>
  <c r="F333" i="62928"/>
  <c r="N333" i="62928"/>
  <c r="F325" i="62928"/>
  <c r="D64" i="62919"/>
  <c r="C60" i="62919" s="1"/>
  <c r="I350" i="62928"/>
  <c r="I365" i="62928" s="1"/>
  <c r="E365" i="62928"/>
  <c r="E367" i="7"/>
  <c r="I352" i="7"/>
  <c r="J433" i="7"/>
  <c r="E433" i="7"/>
  <c r="E401" i="7"/>
  <c r="M333" i="62928"/>
  <c r="L333" i="62928"/>
  <c r="F37" i="62914"/>
  <c r="F42" i="62929" s="1"/>
  <c r="L123" i="62904"/>
  <c r="N132" i="62892"/>
  <c r="M204" i="62925"/>
  <c r="L204" i="62925"/>
  <c r="E23" i="62917"/>
  <c r="D22" i="62917"/>
  <c r="H13" i="62910"/>
  <c r="H131" i="62910" s="1"/>
  <c r="L203" i="62926"/>
  <c r="M203" i="62926"/>
  <c r="F200" i="62926"/>
  <c r="F199" i="62926"/>
  <c r="K204" i="62926"/>
  <c r="N204" i="62926"/>
  <c r="F201" i="62926"/>
  <c r="F203" i="62926"/>
  <c r="F202" i="62926"/>
  <c r="F204" i="62926"/>
  <c r="I204" i="62926"/>
  <c r="L203" i="62925"/>
  <c r="M203" i="62925"/>
  <c r="D18" i="62892"/>
  <c r="G18" i="62892"/>
  <c r="H11" i="62910"/>
  <c r="H6" i="62910" s="1"/>
  <c r="H130" i="62910" s="1"/>
  <c r="G6" i="62910"/>
  <c r="G130" i="62910" s="1"/>
  <c r="G11" i="62892"/>
  <c r="D938" i="62917"/>
  <c r="E939" i="62917"/>
  <c r="E940" i="62917" s="1"/>
  <c r="E941" i="62917" s="1"/>
  <c r="E942" i="62917" s="1"/>
  <c r="E943" i="62917" s="1"/>
  <c r="E944" i="62917" s="1"/>
  <c r="E945" i="62917" s="1"/>
  <c r="E946" i="62917" s="1"/>
  <c r="E947" i="62917" s="1"/>
  <c r="E948" i="62917" s="1"/>
  <c r="E949" i="62917" s="1"/>
  <c r="E950" i="62917" s="1"/>
  <c r="E951" i="62917" s="1"/>
  <c r="E952" i="62917" s="1"/>
  <c r="E953" i="62917" s="1"/>
  <c r="E954" i="62917" s="1"/>
  <c r="E955" i="62917" s="1"/>
  <c r="E956" i="62917" s="1"/>
  <c r="E957" i="62917" s="1"/>
  <c r="E958" i="62917" s="1"/>
  <c r="E959" i="62917" s="1"/>
  <c r="E960" i="62917" s="1"/>
  <c r="E961" i="62917" s="1"/>
  <c r="E962" i="62917" s="1"/>
  <c r="E963" i="62917" s="1"/>
  <c r="E964" i="62917" s="1"/>
  <c r="E965" i="62917" s="1"/>
  <c r="E966" i="62917" s="1"/>
  <c r="E967" i="62917" s="1"/>
  <c r="E968" i="62917" s="1"/>
  <c r="E969" i="62917" s="1"/>
  <c r="E970" i="62917" s="1"/>
  <c r="E971" i="62917" s="1"/>
  <c r="E972" i="62917" s="1"/>
  <c r="E973" i="62917" s="1"/>
  <c r="E974" i="62917" s="1"/>
  <c r="E975" i="62917" s="1"/>
  <c r="E976" i="62917" s="1"/>
  <c r="E977" i="62917" s="1"/>
  <c r="E978" i="62917" s="1"/>
  <c r="E979" i="62917" s="1"/>
  <c r="E980" i="62917" s="1"/>
  <c r="E981" i="62917" s="1"/>
  <c r="E982" i="62917" s="1"/>
  <c r="E983" i="62917" s="1"/>
  <c r="E984" i="62917" s="1"/>
  <c r="E985" i="62917" s="1"/>
  <c r="E986" i="62917" s="1"/>
  <c r="E987" i="62917" s="1"/>
  <c r="E988" i="62917" s="1"/>
  <c r="E989" i="62917" s="1"/>
  <c r="E990" i="62917" s="1"/>
  <c r="E991" i="62917" s="1"/>
  <c r="E992" i="62917" s="1"/>
  <c r="E993" i="62917" s="1"/>
  <c r="E994" i="62917" s="1"/>
  <c r="E995" i="62917" s="1"/>
  <c r="E996" i="62917" s="1"/>
  <c r="E997" i="62917" s="1"/>
  <c r="E998" i="62917" s="1"/>
  <c r="E999" i="62917" s="1"/>
  <c r="E1000" i="62917" s="1"/>
  <c r="E1001" i="62917" s="1"/>
  <c r="E1002" i="62917" s="1"/>
  <c r="E1003" i="62917" s="1"/>
  <c r="E1004" i="62917" s="1"/>
  <c r="E1005" i="62917" s="1"/>
  <c r="E1006" i="62917" s="1"/>
  <c r="E1007" i="62917" s="1"/>
  <c r="E1008" i="62917" s="1"/>
  <c r="E1009" i="62917" s="1"/>
  <c r="E1010" i="62917" s="1"/>
  <c r="E1011" i="62917" s="1"/>
  <c r="E1012" i="62917" s="1"/>
  <c r="E1013" i="62917" s="1"/>
  <c r="E1014" i="62917" s="1"/>
  <c r="E1015" i="62917" s="1"/>
  <c r="E1016" i="62917" s="1"/>
  <c r="E1017" i="62917" s="1"/>
  <c r="E1018" i="62917" s="1"/>
  <c r="E1019" i="62917" s="1"/>
  <c r="E1020" i="62917" s="1"/>
  <c r="E1021" i="62917" s="1"/>
  <c r="E1022" i="62917" s="1"/>
  <c r="E1023" i="62917" s="1"/>
  <c r="E1024" i="62917" s="1"/>
  <c r="E1025" i="62917" s="1"/>
  <c r="E1026" i="62917" s="1"/>
  <c r="E1027" i="62917" s="1"/>
  <c r="E1028" i="62917" s="1"/>
  <c r="E1029" i="62917" s="1"/>
  <c r="E1030" i="62917" s="1"/>
  <c r="E1031" i="62917" s="1"/>
  <c r="E1032" i="62917" s="1"/>
  <c r="E1033" i="62917" s="1"/>
  <c r="E1034" i="62917" s="1"/>
  <c r="E1035" i="62917" s="1"/>
  <c r="E1036" i="62917" s="1"/>
  <c r="E1037" i="62917" s="1"/>
  <c r="E1038" i="62917" s="1"/>
  <c r="E1039" i="62917" s="1"/>
  <c r="E1040" i="62917" s="1"/>
  <c r="E1041" i="62917" s="1"/>
  <c r="E1042" i="62917" s="1"/>
  <c r="E1043" i="62917" s="1"/>
  <c r="E1044" i="62917" s="1"/>
  <c r="E1045" i="62917" s="1"/>
  <c r="E1046" i="62917" s="1"/>
  <c r="E1047" i="62917" s="1"/>
  <c r="E1048" i="62917" s="1"/>
  <c r="E1049" i="62917" s="1"/>
  <c r="E1050" i="62917" s="1"/>
  <c r="E1051" i="62917" s="1"/>
  <c r="E1052" i="62917" s="1"/>
  <c r="E1053" i="62917" s="1"/>
  <c r="E1054" i="62917" s="1"/>
  <c r="E1055" i="62917" s="1"/>
  <c r="E1056" i="62917" s="1"/>
  <c r="E1057" i="62917" s="1"/>
  <c r="E1058" i="62917" s="1"/>
  <c r="E1059" i="62917" s="1"/>
  <c r="E1060" i="62917" s="1"/>
  <c r="E1061" i="62917" s="1"/>
  <c r="E1062" i="62917" s="1"/>
  <c r="E1063" i="62917" s="1"/>
  <c r="E1064" i="62917" s="1"/>
  <c r="E1065" i="62917" s="1"/>
  <c r="E1066" i="62917" s="1"/>
  <c r="E1067" i="62917" s="1"/>
  <c r="E1068" i="62917" s="1"/>
  <c r="E1069" i="62917" s="1"/>
  <c r="E1070" i="62917" s="1"/>
  <c r="E1071" i="62917" s="1"/>
  <c r="E1072" i="62917" s="1"/>
  <c r="E1073" i="62917" s="1"/>
  <c r="E1074" i="62917" s="1"/>
  <c r="E1075" i="62917" s="1"/>
  <c r="E1076" i="62917" s="1"/>
  <c r="E1077" i="62917" s="1"/>
  <c r="E1078" i="62917" s="1"/>
  <c r="E1079" i="62917" s="1"/>
  <c r="E1080" i="62917" s="1"/>
  <c r="E1081" i="62917" s="1"/>
  <c r="E1082" i="62917" s="1"/>
  <c r="E1083" i="62917" s="1"/>
  <c r="E1084" i="62917" s="1"/>
  <c r="E1085" i="62917" s="1"/>
  <c r="E1086" i="62917" s="1"/>
  <c r="E1087" i="62917" s="1"/>
  <c r="E1088" i="62917" s="1"/>
  <c r="E1089" i="62917" s="1"/>
  <c r="E1090" i="62917" s="1"/>
  <c r="E1091" i="62917" s="1"/>
  <c r="E1092" i="62917" s="1"/>
  <c r="E1093" i="62917" s="1"/>
  <c r="E1094" i="62917" s="1"/>
  <c r="E1095" i="62917" s="1"/>
  <c r="E1096" i="62917" s="1"/>
  <c r="E1097" i="62917" s="1"/>
  <c r="E1098" i="62917" s="1"/>
  <c r="E1099" i="62917" s="1"/>
  <c r="E1100" i="62917" s="1"/>
  <c r="E1101" i="62917" s="1"/>
  <c r="E1102" i="62917" s="1"/>
  <c r="E1103" i="62917" s="1"/>
  <c r="E1104" i="62917" s="1"/>
  <c r="E1105" i="62917" s="1"/>
  <c r="E1106" i="62917" s="1"/>
  <c r="E1107" i="62917" s="1"/>
  <c r="E1108" i="62917" s="1"/>
  <c r="E1109" i="62917" s="1"/>
  <c r="E1110" i="62917" s="1"/>
  <c r="E1111" i="62917" s="1"/>
  <c r="E1112" i="62917" s="1"/>
  <c r="E1113" i="62917" s="1"/>
  <c r="E1114" i="62917" s="1"/>
  <c r="E1115" i="62917" s="1"/>
  <c r="E1116" i="62917" s="1"/>
  <c r="E1117" i="62917" s="1"/>
  <c r="E1118" i="62917" s="1"/>
  <c r="E1119" i="62917" s="1"/>
  <c r="E1120" i="62917" s="1"/>
  <c r="E1121" i="62917" s="1"/>
  <c r="E1122" i="62917" s="1"/>
  <c r="E1123" i="62917" s="1"/>
  <c r="E1124" i="62917" s="1"/>
  <c r="E1125" i="62917" s="1"/>
  <c r="E1126" i="62917" s="1"/>
  <c r="E1127" i="62917" s="1"/>
  <c r="E1128" i="62917" s="1"/>
  <c r="E1129" i="62917" s="1"/>
  <c r="E1130" i="62917" s="1"/>
  <c r="E1131" i="62917" s="1"/>
  <c r="E1132" i="62917" s="1"/>
  <c r="E1133" i="62917" s="1"/>
  <c r="E1134" i="62917" s="1"/>
  <c r="E1135" i="62917" s="1"/>
  <c r="E1136" i="62917" s="1"/>
  <c r="E1137" i="62917" s="1"/>
  <c r="E1138" i="62917" s="1"/>
  <c r="E1139" i="62917" s="1"/>
  <c r="E1140" i="62917" s="1"/>
  <c r="E1141" i="62917" s="1"/>
  <c r="E1142" i="62917" s="1"/>
  <c r="E1143" i="62917" s="1"/>
  <c r="E1144" i="62917" s="1"/>
  <c r="E1145" i="62917" s="1"/>
  <c r="E1146" i="62917" s="1"/>
  <c r="E1147" i="62917" s="1"/>
  <c r="E1148" i="62917" s="1"/>
  <c r="E1149" i="62917" s="1"/>
  <c r="E1150" i="62917" s="1"/>
  <c r="E1151" i="62917" s="1"/>
  <c r="E1152" i="62917" s="1"/>
  <c r="E1153" i="62917" s="1"/>
  <c r="E1154" i="62917" s="1"/>
  <c r="E1155" i="62917" s="1"/>
  <c r="E1156" i="62917" s="1"/>
  <c r="E1157" i="62917" s="1"/>
  <c r="E1158" i="62917" s="1"/>
  <c r="E1159" i="62917" s="1"/>
  <c r="E1160" i="62917" s="1"/>
  <c r="E1161" i="62917" s="1"/>
  <c r="E1162" i="62917" s="1"/>
  <c r="E1163" i="62917" s="1"/>
  <c r="E1164" i="62917" s="1"/>
  <c r="E1165" i="62917" s="1"/>
  <c r="E1166" i="62917" s="1"/>
  <c r="E1167" i="62917" s="1"/>
  <c r="E1168" i="62917" s="1"/>
  <c r="E1169" i="62917" s="1"/>
  <c r="E1170" i="62917" s="1"/>
  <c r="E1171" i="62917" s="1"/>
  <c r="E1172" i="62917" s="1"/>
  <c r="E1173" i="62917" s="1"/>
  <c r="E1174" i="62917" s="1"/>
  <c r="E1175" i="62917" s="1"/>
  <c r="E1176" i="62917" s="1"/>
  <c r="E1177" i="62917" s="1"/>
  <c r="E1178" i="62917" s="1"/>
  <c r="E1179" i="62917" s="1"/>
  <c r="E1180" i="62917" s="1"/>
  <c r="E1181" i="62917" s="1"/>
  <c r="E1182" i="62917" s="1"/>
  <c r="E1183" i="62917" s="1"/>
  <c r="E1184" i="62917" s="1"/>
  <c r="E1185" i="62917" s="1"/>
  <c r="E1186" i="62917" s="1"/>
  <c r="E1187" i="62917" s="1"/>
  <c r="E1188" i="62917" s="1"/>
  <c r="E1189" i="62917" s="1"/>
  <c r="E1190" i="62917" s="1"/>
  <c r="E1191" i="62917" s="1"/>
  <c r="E1192" i="62917" s="1"/>
  <c r="E1193" i="62917" s="1"/>
  <c r="E1194" i="62917" s="1"/>
  <c r="E1195" i="62917" s="1"/>
  <c r="E1196" i="62917" s="1"/>
  <c r="E1197" i="62917" s="1"/>
  <c r="E1198" i="62917" s="1"/>
  <c r="E1199" i="62917" s="1"/>
  <c r="E1200" i="62917" s="1"/>
  <c r="E1201" i="62917" s="1"/>
  <c r="E1202" i="62917" s="1"/>
  <c r="E1203" i="62917" s="1"/>
  <c r="E1204" i="62917" s="1"/>
  <c r="E1205" i="62917" s="1"/>
  <c r="E1206" i="62917" s="1"/>
  <c r="E1207" i="62917" s="1"/>
  <c r="E1208" i="62917" s="1"/>
  <c r="E1209" i="62917" s="1"/>
  <c r="E1210" i="62917" s="1"/>
  <c r="E1211" i="62917" s="1"/>
  <c r="E1212" i="62917" s="1"/>
  <c r="E1213" i="62917" s="1"/>
  <c r="E1214" i="62917" s="1"/>
  <c r="E1215" i="62917" s="1"/>
  <c r="E1216" i="62917" s="1"/>
  <c r="E1217" i="62917" s="1"/>
  <c r="E1218" i="62917" s="1"/>
  <c r="E1219" i="62917" s="1"/>
  <c r="E1220" i="62917" s="1"/>
  <c r="E1221" i="62917" s="1"/>
  <c r="E1222" i="62917" s="1"/>
  <c r="E1223" i="62917" s="1"/>
  <c r="E1224" i="62917" s="1"/>
  <c r="E1225" i="62917" s="1"/>
  <c r="E1226" i="62917" s="1"/>
  <c r="E1227" i="62917" s="1"/>
  <c r="E1228" i="62917" s="1"/>
  <c r="E1229" i="62917" s="1"/>
  <c r="E1230" i="62917" s="1"/>
  <c r="E1231" i="62917" s="1"/>
  <c r="E1232" i="62917" s="1"/>
  <c r="E1233" i="62917" s="1"/>
  <c r="E1234" i="62917" s="1"/>
  <c r="E1235" i="62917" s="1"/>
  <c r="E1236" i="62917" s="1"/>
  <c r="E1237" i="62917" s="1"/>
  <c r="E1238" i="62917" s="1"/>
  <c r="E1239" i="62917" s="1"/>
  <c r="E1240" i="62917" s="1"/>
  <c r="E1241" i="62917" s="1"/>
  <c r="E1242" i="62917" s="1"/>
  <c r="E1243" i="62917" s="1"/>
  <c r="E1244" i="62917" s="1"/>
  <c r="E1245" i="62917" s="1"/>
  <c r="E1246" i="62917" s="1"/>
  <c r="E1247" i="62917" s="1"/>
  <c r="E1248" i="62917" s="1"/>
  <c r="E1249" i="62917" s="1"/>
  <c r="E1250" i="62917" s="1"/>
  <c r="E1251" i="62917" s="1"/>
  <c r="E1252" i="62917" s="1"/>
  <c r="E1253" i="62917" s="1"/>
  <c r="E1254" i="62917" s="1"/>
  <c r="E1255" i="62917" s="1"/>
  <c r="E1256" i="62917" s="1"/>
  <c r="E1257" i="62917" s="1"/>
  <c r="E1258" i="62917" s="1"/>
  <c r="E1259" i="62917" s="1"/>
  <c r="E1260" i="62917" s="1"/>
  <c r="E1261" i="62917" s="1"/>
  <c r="E1262" i="62917" s="1"/>
  <c r="E1263" i="62917" s="1"/>
  <c r="E1264" i="62917" s="1"/>
  <c r="E1265" i="62917" s="1"/>
  <c r="E1266" i="62917" s="1"/>
  <c r="E1267" i="62917" s="1"/>
  <c r="E1268" i="62917" s="1"/>
  <c r="E1269" i="62917" s="1"/>
  <c r="E1270" i="62917" s="1"/>
  <c r="E1271" i="62917" s="1"/>
  <c r="E1272" i="62917" s="1"/>
  <c r="E1273" i="62917" s="1"/>
  <c r="E1274" i="62917" s="1"/>
  <c r="E1275" i="62917" s="1"/>
  <c r="E1276" i="62917" s="1"/>
  <c r="E1277" i="62917" s="1"/>
  <c r="E1278" i="62917" s="1"/>
  <c r="E1279" i="62917" s="1"/>
  <c r="E1280" i="62917" s="1"/>
  <c r="E1281" i="62917" s="1"/>
  <c r="E1282" i="62917" s="1"/>
  <c r="E1283" i="62917" s="1"/>
  <c r="E1284" i="62917" s="1"/>
  <c r="E1285" i="62917" s="1"/>
  <c r="E1286" i="62917" s="1"/>
  <c r="E1287" i="62917" s="1"/>
  <c r="E1288" i="62917" s="1"/>
  <c r="E1289" i="62917" s="1"/>
  <c r="E1290" i="62917" s="1"/>
  <c r="E1291" i="62917" s="1"/>
  <c r="E1292" i="62917" s="1"/>
  <c r="E1293" i="62917" s="1"/>
  <c r="E1294" i="62917" s="1"/>
  <c r="E1295" i="62917" s="1"/>
  <c r="E1296" i="62917" s="1"/>
  <c r="E1297" i="62917" s="1"/>
  <c r="E1298" i="62917" s="1"/>
  <c r="E1299" i="62917" s="1"/>
  <c r="E1300" i="62917" s="1"/>
  <c r="E1301" i="62917" s="1"/>
  <c r="E1302" i="62917" s="1"/>
  <c r="E1303" i="62917" s="1"/>
  <c r="E1304" i="62917" s="1"/>
  <c r="E1305" i="62917" s="1"/>
  <c r="E1306" i="62917" s="1"/>
  <c r="E1307" i="62917" s="1"/>
  <c r="E1308" i="62917" s="1"/>
  <c r="E1309" i="62917" s="1"/>
  <c r="E1310" i="62917" s="1"/>
  <c r="E1311" i="62917" s="1"/>
  <c r="E1312" i="62917" s="1"/>
  <c r="E1313" i="62917" s="1"/>
  <c r="E1314" i="62917" s="1"/>
  <c r="E1315" i="62917" s="1"/>
  <c r="E1316" i="62917" s="1"/>
  <c r="E1317" i="62917" s="1"/>
  <c r="E1318" i="62917" s="1"/>
  <c r="E1319" i="62917" s="1"/>
  <c r="E1320" i="62917" s="1"/>
  <c r="E1321" i="62917" s="1"/>
  <c r="E1322" i="62917" s="1"/>
  <c r="E1323" i="62917" s="1"/>
  <c r="E1324" i="62917" s="1"/>
  <c r="E1325" i="62917" s="1"/>
  <c r="E1326" i="62917" s="1"/>
  <c r="E1327" i="62917" s="1"/>
  <c r="E1328" i="62917" s="1"/>
  <c r="E1329" i="62917" s="1"/>
  <c r="E1330" i="62917" s="1"/>
  <c r="E1331" i="62917" s="1"/>
  <c r="E1332" i="62917" s="1"/>
  <c r="E1333" i="62917" s="1"/>
  <c r="E1334" i="62917" s="1"/>
  <c r="E1335" i="62917" s="1"/>
  <c r="E1336" i="62917" s="1"/>
  <c r="E1337" i="62917" s="1"/>
  <c r="E1338" i="62917" s="1"/>
  <c r="E1339" i="62917" s="1"/>
  <c r="E1340" i="62917" s="1"/>
  <c r="E1341" i="62917" s="1"/>
  <c r="E1342" i="62917" s="1"/>
  <c r="E1343" i="62917" s="1"/>
  <c r="E1344" i="62917" s="1"/>
  <c r="E1345" i="62917" s="1"/>
  <c r="E1346" i="62917" s="1"/>
  <c r="E1347" i="62917" s="1"/>
  <c r="E1348" i="62917" s="1"/>
  <c r="E1349" i="62917" s="1"/>
  <c r="E1350" i="62917" s="1"/>
  <c r="E1351" i="62917" s="1"/>
  <c r="E1352" i="62917" s="1"/>
  <c r="E1353" i="62917" s="1"/>
  <c r="E1354" i="62917" s="1"/>
  <c r="E1355" i="62917" s="1"/>
  <c r="E1356" i="62917" s="1"/>
  <c r="E1357" i="62917" s="1"/>
  <c r="E1358" i="62917" s="1"/>
  <c r="E1359" i="62917" s="1"/>
  <c r="E1360" i="62917" s="1"/>
  <c r="E1361" i="62917" s="1"/>
  <c r="E1362" i="62917" s="1"/>
  <c r="E1363" i="62917" s="1"/>
  <c r="E1364" i="62917" s="1"/>
  <c r="E1365" i="62917" s="1"/>
  <c r="E1366" i="62917" s="1"/>
  <c r="E1367" i="62917" s="1"/>
  <c r="E1368" i="62917" s="1"/>
  <c r="E1369" i="62917" s="1"/>
  <c r="E1370" i="62917" s="1"/>
  <c r="E1371" i="62917" s="1"/>
  <c r="E1372" i="62917" s="1"/>
  <c r="E1373" i="62917" s="1"/>
  <c r="E1374" i="62917" s="1"/>
  <c r="E1375" i="62917" s="1"/>
  <c r="E1376" i="62917" s="1"/>
  <c r="E1377" i="62917" s="1"/>
  <c r="E1378" i="62917" s="1"/>
  <c r="E1379" i="62917" s="1"/>
  <c r="E1380" i="62917" s="1"/>
  <c r="E1381" i="62917" s="1"/>
  <c r="E1382" i="62917" s="1"/>
  <c r="E1383" i="62917" s="1"/>
  <c r="E1384" i="62917" s="1"/>
  <c r="E1385" i="62917" s="1"/>
  <c r="E1386" i="62917" s="1"/>
  <c r="E1387" i="62917" s="1"/>
  <c r="E1388" i="62917" s="1"/>
  <c r="E1389" i="62917" s="1"/>
  <c r="E1390" i="62917" s="1"/>
  <c r="E1391" i="62917" s="1"/>
  <c r="E1392" i="62917" s="1"/>
  <c r="E1393" i="62917" s="1"/>
  <c r="E1394" i="62917" s="1"/>
  <c r="E1395" i="62917" s="1"/>
  <c r="E1396" i="62917" s="1"/>
  <c r="E1397" i="62917" s="1"/>
  <c r="E1398" i="62917" s="1"/>
  <c r="E1399" i="62917" s="1"/>
  <c r="E1400" i="62917" s="1"/>
  <c r="E1401" i="62917" s="1"/>
  <c r="E1402" i="62917" s="1"/>
  <c r="E1403" i="62917" s="1"/>
  <c r="E1404" i="62917" s="1"/>
  <c r="E1405" i="62917" s="1"/>
  <c r="E1406" i="62917" s="1"/>
  <c r="E1407" i="62917" s="1"/>
  <c r="E1408" i="62917" s="1"/>
  <c r="E1409" i="62917" s="1"/>
  <c r="E1410" i="62917" s="1"/>
  <c r="E1411" i="62917" s="1"/>
  <c r="E1412" i="62917" s="1"/>
  <c r="E1413" i="62917" s="1"/>
  <c r="E1414" i="62917" s="1"/>
  <c r="E1415" i="62917" s="1"/>
  <c r="E1416" i="62917" s="1"/>
  <c r="E1417" i="62917" s="1"/>
  <c r="E1418" i="62917" s="1"/>
  <c r="E1419" i="62917" s="1"/>
  <c r="E1420" i="62917" s="1"/>
  <c r="E1421" i="62917" s="1"/>
  <c r="E1422" i="62917" s="1"/>
  <c r="E1423" i="62917" s="1"/>
  <c r="E1424" i="62917" s="1"/>
  <c r="E1425" i="62917" s="1"/>
  <c r="E1426" i="62917" s="1"/>
  <c r="E1427" i="62917" s="1"/>
  <c r="E1428" i="62917" s="1"/>
  <c r="E1429" i="62917" s="1"/>
  <c r="E1430" i="62917" s="1"/>
  <c r="E1431" i="62917" s="1"/>
  <c r="E1432" i="62917" s="1"/>
  <c r="E1433" i="62917" s="1"/>
  <c r="E1434" i="62917" s="1"/>
  <c r="E1435" i="62917" s="1"/>
  <c r="E1436" i="62917" s="1"/>
  <c r="E1437" i="62917" s="1"/>
  <c r="E1438" i="62917" s="1"/>
  <c r="E1439" i="62917" s="1"/>
  <c r="E1440" i="62917" s="1"/>
  <c r="E1441" i="62917" s="1"/>
  <c r="E1442" i="62917" s="1"/>
  <c r="E1443" i="62917" s="1"/>
  <c r="E1444" i="62917" s="1"/>
  <c r="E1445" i="62917" s="1"/>
  <c r="E1446" i="62917" s="1"/>
  <c r="E1447" i="62917" s="1"/>
  <c r="E1448" i="62917" s="1"/>
  <c r="E1449" i="62917" s="1"/>
  <c r="E1450" i="62917" s="1"/>
  <c r="E1451" i="62917" s="1"/>
  <c r="E1452" i="62917" s="1"/>
  <c r="E1453" i="62917" s="1"/>
  <c r="G8" i="62907" l="1"/>
  <c r="F8" i="62907"/>
  <c r="F9" i="62907"/>
  <c r="G9" i="62907"/>
  <c r="D942" i="62921"/>
  <c r="C603" i="62921"/>
  <c r="C601" i="62921"/>
  <c r="C606" i="62921"/>
  <c r="C608" i="62921"/>
  <c r="C617" i="62921"/>
  <c r="C615" i="62921"/>
  <c r="C604" i="62921"/>
  <c r="C623" i="62921"/>
  <c r="C625" i="62921"/>
  <c r="C607" i="62921"/>
  <c r="C610" i="62921"/>
  <c r="C624" i="62921"/>
  <c r="C630" i="62921"/>
  <c r="C602" i="62921"/>
  <c r="C616" i="62921"/>
  <c r="C611" i="62921"/>
  <c r="C621" i="62921"/>
  <c r="C626" i="62921"/>
  <c r="C627" i="62921"/>
  <c r="C620" i="62921"/>
  <c r="C629" i="62921"/>
  <c r="C622" i="62921"/>
  <c r="C618" i="62921"/>
  <c r="C632" i="62921"/>
  <c r="C631" i="62921"/>
  <c r="C605" i="62921"/>
  <c r="C609" i="62921"/>
  <c r="C612" i="62921"/>
  <c r="C613" i="62921"/>
  <c r="C628" i="62921"/>
  <c r="C614" i="62921"/>
  <c r="C619" i="62921"/>
  <c r="D557" i="62922"/>
  <c r="C326" i="62923"/>
  <c r="C327" i="62923"/>
  <c r="C330" i="62923"/>
  <c r="C325" i="62923"/>
  <c r="C324" i="62923"/>
  <c r="C328" i="62923"/>
  <c r="C322" i="62923"/>
  <c r="C323" i="62923"/>
  <c r="D22" i="62922"/>
  <c r="D23" i="62922" s="1"/>
  <c r="D24" i="62922" s="1"/>
  <c r="D25" i="62922" s="1"/>
  <c r="D26" i="62922" s="1"/>
  <c r="D27" i="62922" s="1"/>
  <c r="D28" i="62922" s="1"/>
  <c r="D29" i="62922" s="1"/>
  <c r="D30" i="62922" s="1"/>
  <c r="D31" i="62922" s="1"/>
  <c r="D32" i="62922" s="1"/>
  <c r="D33" i="62922" s="1"/>
  <c r="D34" i="62922" s="1"/>
  <c r="D35" i="62922" s="1"/>
  <c r="D36" i="62922" s="1"/>
  <c r="D37" i="62922" s="1"/>
  <c r="D38" i="62922" s="1"/>
  <c r="D39" i="62922" s="1"/>
  <c r="D40" i="62922" s="1"/>
  <c r="D41" i="62922" s="1"/>
  <c r="D42" i="62922" s="1"/>
  <c r="D43" i="62922" s="1"/>
  <c r="D44" i="62922" s="1"/>
  <c r="D45" i="62922" s="1"/>
  <c r="D46" i="62922" s="1"/>
  <c r="D47" i="62922" s="1"/>
  <c r="D48" i="62922" s="1"/>
  <c r="D49" i="62922" s="1"/>
  <c r="D50" i="62922" s="1"/>
  <c r="D51" i="62922" s="1"/>
  <c r="D52" i="62922" s="1"/>
  <c r="D53" i="62922" s="1"/>
  <c r="D54" i="62922" s="1"/>
  <c r="D55" i="62922" s="1"/>
  <c r="D56" i="62922" s="1"/>
  <c r="D57" i="62922" s="1"/>
  <c r="D58" i="62922" s="1"/>
  <c r="D59" i="62922" s="1"/>
  <c r="D60" i="62922" s="1"/>
  <c r="D61" i="62922" s="1"/>
  <c r="D62" i="62922" s="1"/>
  <c r="D63" i="62922" s="1"/>
  <c r="D64" i="62922" s="1"/>
  <c r="D65" i="62922" s="1"/>
  <c r="D66" i="62922" s="1"/>
  <c r="D67" i="62922" s="1"/>
  <c r="D68" i="62922" s="1"/>
  <c r="D69" i="62922" s="1"/>
  <c r="D70" i="62922" s="1"/>
  <c r="D71" i="62922" s="1"/>
  <c r="D72" i="62922" s="1"/>
  <c r="D73" i="62922" s="1"/>
  <c r="D74" i="62922" s="1"/>
  <c r="D75" i="62922" s="1"/>
  <c r="D76" i="62922" s="1"/>
  <c r="D77" i="62922" s="1"/>
  <c r="D78" i="62922" s="1"/>
  <c r="D79" i="62922" s="1"/>
  <c r="D80" i="62922" s="1"/>
  <c r="D81" i="62922" s="1"/>
  <c r="D82" i="62922" s="1"/>
  <c r="D83" i="62922" s="1"/>
  <c r="D84" i="62922" s="1"/>
  <c r="D85" i="62922" s="1"/>
  <c r="D86" i="62922" s="1"/>
  <c r="D87" i="62922" s="1"/>
  <c r="D88" i="62922" s="1"/>
  <c r="D89" i="62922" s="1"/>
  <c r="D90" i="62922" s="1"/>
  <c r="D91" i="62922" s="1"/>
  <c r="D92" i="62922" s="1"/>
  <c r="D93" i="62922" s="1"/>
  <c r="D94" i="62922" s="1"/>
  <c r="D95" i="62922" s="1"/>
  <c r="D96" i="62922" s="1"/>
  <c r="D97" i="62922" s="1"/>
  <c r="D98" i="62922" s="1"/>
  <c r="D99" i="62922" s="1"/>
  <c r="D100" i="62922" s="1"/>
  <c r="D101" i="62922" s="1"/>
  <c r="D102" i="62922" s="1"/>
  <c r="D103" i="62922" s="1"/>
  <c r="D104" i="62922" s="1"/>
  <c r="D105" i="62922" s="1"/>
  <c r="D106" i="62922" s="1"/>
  <c r="D107" i="62922" s="1"/>
  <c r="D108" i="62922" s="1"/>
  <c r="D109" i="62922" s="1"/>
  <c r="D110" i="62922" s="1"/>
  <c r="D111" i="62922" s="1"/>
  <c r="D112" i="62922" s="1"/>
  <c r="D113" i="62922" s="1"/>
  <c r="D114" i="62922" s="1"/>
  <c r="D115" i="62922" s="1"/>
  <c r="D116" i="62922" s="1"/>
  <c r="D117" i="62922" s="1"/>
  <c r="D118" i="62922" s="1"/>
  <c r="D119" i="62922" s="1"/>
  <c r="D120" i="62922" s="1"/>
  <c r="D121" i="62922" s="1"/>
  <c r="D122" i="62922" s="1"/>
  <c r="D123" i="62922" s="1"/>
  <c r="D124" i="62922" s="1"/>
  <c r="D125" i="62922" s="1"/>
  <c r="D126" i="62922" s="1"/>
  <c r="D127" i="62922" s="1"/>
  <c r="G81" i="62892"/>
  <c r="D488" i="62922"/>
  <c r="C481" i="62922"/>
  <c r="D301" i="62922"/>
  <c r="L448" i="62898"/>
  <c r="D23" i="62921"/>
  <c r="E29" i="62921"/>
  <c r="D212" i="62921"/>
  <c r="D257" i="62921"/>
  <c r="E347" i="62921"/>
  <c r="E348" i="62921" s="1"/>
  <c r="E349" i="62921" s="1"/>
  <c r="E350" i="62921" s="1"/>
  <c r="E351" i="62921" s="1"/>
  <c r="E352" i="62921" s="1"/>
  <c r="E353" i="62921" s="1"/>
  <c r="E354" i="62921" s="1"/>
  <c r="E355" i="62921" s="1"/>
  <c r="E356" i="62921" s="1"/>
  <c r="E357" i="62921" s="1"/>
  <c r="E358" i="62921" s="1"/>
  <c r="E359" i="62921" s="1"/>
  <c r="E360" i="62921" s="1"/>
  <c r="E361" i="62921" s="1"/>
  <c r="E362" i="62921" s="1"/>
  <c r="E363" i="62921" s="1"/>
  <c r="E364" i="62921" s="1"/>
  <c r="E365" i="62921" s="1"/>
  <c r="E366" i="62921" s="1"/>
  <c r="E367" i="62921" s="1"/>
  <c r="E368" i="62921" s="1"/>
  <c r="E369" i="62921" s="1"/>
  <c r="E370" i="62921" s="1"/>
  <c r="E371" i="62921" s="1"/>
  <c r="E372" i="62921" s="1"/>
  <c r="E373" i="62921" s="1"/>
  <c r="E374" i="62921" s="1"/>
  <c r="E375" i="62921" s="1"/>
  <c r="E376" i="62921" s="1"/>
  <c r="E377" i="62921" s="1"/>
  <c r="E378" i="62921" s="1"/>
  <c r="E379" i="62921" s="1"/>
  <c r="E380" i="62921" s="1"/>
  <c r="E381" i="62921" s="1"/>
  <c r="E382" i="62921" s="1"/>
  <c r="E383" i="62921" s="1"/>
  <c r="E384" i="62921" s="1"/>
  <c r="E385" i="62921" s="1"/>
  <c r="E386" i="62921" s="1"/>
  <c r="E387" i="62921" s="1"/>
  <c r="E388" i="62921" s="1"/>
  <c r="E389" i="62921" s="1"/>
  <c r="E390" i="62921" s="1"/>
  <c r="E391" i="62921" s="1"/>
  <c r="E392" i="62921" s="1"/>
  <c r="E393" i="62921" s="1"/>
  <c r="E394" i="62921" s="1"/>
  <c r="E395" i="62921" s="1"/>
  <c r="E396" i="62921" s="1"/>
  <c r="E397" i="62921" s="1"/>
  <c r="E398" i="62921" s="1"/>
  <c r="E399" i="62921" s="1"/>
  <c r="E400" i="62921" s="1"/>
  <c r="E401" i="62921" s="1"/>
  <c r="E402" i="62921" s="1"/>
  <c r="E403" i="62921" s="1"/>
  <c r="E404" i="62921" s="1"/>
  <c r="E405" i="62921" s="1"/>
  <c r="E406" i="62921" s="1"/>
  <c r="E407" i="62921" s="1"/>
  <c r="E408" i="62921" s="1"/>
  <c r="D342" i="62921"/>
  <c r="D343" i="62921" s="1"/>
  <c r="D344" i="62921" s="1"/>
  <c r="G84" i="62892"/>
  <c r="G139" i="62892" s="1"/>
  <c r="D2245" i="62917"/>
  <c r="D422" i="62921"/>
  <c r="D423" i="62921" s="1"/>
  <c r="D424" i="62921" s="1"/>
  <c r="D425" i="62921" s="1"/>
  <c r="D426" i="62921" s="1"/>
  <c r="D427" i="62921" s="1"/>
  <c r="D428" i="62921" s="1"/>
  <c r="D429" i="62921" s="1"/>
  <c r="D430" i="62921" s="1"/>
  <c r="D431" i="62921" s="1"/>
  <c r="D432" i="62921" s="1"/>
  <c r="D433" i="62921" s="1"/>
  <c r="D434" i="62921" s="1"/>
  <c r="D435" i="62921" s="1"/>
  <c r="D436" i="62921" s="1"/>
  <c r="D437" i="62921" s="1"/>
  <c r="D438" i="62921" s="1"/>
  <c r="D439" i="62921" s="1"/>
  <c r="D440" i="62921" s="1"/>
  <c r="D441" i="62921" s="1"/>
  <c r="D442" i="62921" s="1"/>
  <c r="D443" i="62921" s="1"/>
  <c r="D444" i="62921" s="1"/>
  <c r="D445" i="62921" s="1"/>
  <c r="D446" i="62921" s="1"/>
  <c r="D447" i="62921" s="1"/>
  <c r="D448" i="62921" s="1"/>
  <c r="D449" i="62921" s="1"/>
  <c r="D450" i="62921" s="1"/>
  <c r="D451" i="62921" s="1"/>
  <c r="D452" i="62921" s="1"/>
  <c r="D453" i="62921" s="1"/>
  <c r="D454" i="62921" s="1"/>
  <c r="D455" i="62921" s="1"/>
  <c r="D456" i="62921" s="1"/>
  <c r="D457" i="62921" s="1"/>
  <c r="D458" i="62921" s="1"/>
  <c r="D459" i="62921" s="1"/>
  <c r="D460" i="62921" s="1"/>
  <c r="D461" i="62921" s="1"/>
  <c r="D462" i="62921" s="1"/>
  <c r="D463" i="62921" s="1"/>
  <c r="D464" i="62921" s="1"/>
  <c r="D465" i="62921" s="1"/>
  <c r="D466" i="62921" s="1"/>
  <c r="D467" i="62921" s="1"/>
  <c r="D468" i="62921" s="1"/>
  <c r="D469" i="62921" s="1"/>
  <c r="D470" i="62921" s="1"/>
  <c r="D471" i="62921" s="1"/>
  <c r="D472" i="62921" s="1"/>
  <c r="D473" i="62921" s="1"/>
  <c r="D474" i="62921" s="1"/>
  <c r="D475" i="62921" s="1"/>
  <c r="D476" i="62921" s="1"/>
  <c r="D477" i="62921" s="1"/>
  <c r="D478" i="62921" s="1"/>
  <c r="D479" i="62921" s="1"/>
  <c r="D480" i="62921" s="1"/>
  <c r="D481" i="62921" s="1"/>
  <c r="D482" i="62921" s="1"/>
  <c r="D483" i="62921" s="1"/>
  <c r="D484" i="62921" s="1"/>
  <c r="D485" i="62921" s="1"/>
  <c r="D486" i="62921" s="1"/>
  <c r="D487" i="62921" s="1"/>
  <c r="D488" i="62921" s="1"/>
  <c r="D489" i="62921" s="1"/>
  <c r="D490" i="62921" s="1"/>
  <c r="D491" i="62921" s="1"/>
  <c r="D492" i="62921" s="1"/>
  <c r="D493" i="62921" s="1"/>
  <c r="D494" i="62921" s="1"/>
  <c r="D495" i="62921" s="1"/>
  <c r="D496" i="62921" s="1"/>
  <c r="D497" i="62921" s="1"/>
  <c r="D498" i="62921" s="1"/>
  <c r="D499" i="62921" s="1"/>
  <c r="D500" i="62921" s="1"/>
  <c r="D501" i="62921" s="1"/>
  <c r="D502" i="62921" s="1"/>
  <c r="D503" i="62921" s="1"/>
  <c r="D504" i="62921" s="1"/>
  <c r="D505" i="62921" s="1"/>
  <c r="D506" i="62921" s="1"/>
  <c r="D507" i="62921" s="1"/>
  <c r="D508" i="62921" s="1"/>
  <c r="D509" i="62921" s="1"/>
  <c r="D510" i="62921" s="1"/>
  <c r="D511" i="62921" s="1"/>
  <c r="D512" i="62921" s="1"/>
  <c r="D513" i="62921" s="1"/>
  <c r="D514" i="62921" s="1"/>
  <c r="D515" i="62921" s="1"/>
  <c r="D516" i="62921" s="1"/>
  <c r="D517" i="62921" s="1"/>
  <c r="D518" i="62921" s="1"/>
  <c r="D519" i="62921" s="1"/>
  <c r="D520" i="62921" s="1"/>
  <c r="D521" i="62921" s="1"/>
  <c r="D522" i="62921" s="1"/>
  <c r="D523" i="62921" s="1"/>
  <c r="D524" i="62921" s="1"/>
  <c r="D525" i="62921" s="1"/>
  <c r="D526" i="62921" s="1"/>
  <c r="D527" i="62921" s="1"/>
  <c r="D528" i="62921" s="1"/>
  <c r="D529" i="62921" s="1"/>
  <c r="D530" i="62921" s="1"/>
  <c r="D531" i="62921" s="1"/>
  <c r="D532" i="62921" s="1"/>
  <c r="D533" i="62921" s="1"/>
  <c r="D534" i="62921" s="1"/>
  <c r="D535" i="62921" s="1"/>
  <c r="D536" i="62921" s="1"/>
  <c r="D537" i="62921" s="1"/>
  <c r="D538" i="62921" s="1"/>
  <c r="D539" i="62921" s="1"/>
  <c r="D540" i="62921" s="1"/>
  <c r="D541" i="62921" s="1"/>
  <c r="D542" i="62921" s="1"/>
  <c r="D543" i="62921" s="1"/>
  <c r="D544" i="62921" s="1"/>
  <c r="D545" i="62921" s="1"/>
  <c r="D546" i="62921" s="1"/>
  <c r="D547" i="62921" s="1"/>
  <c r="D548" i="62921" s="1"/>
  <c r="D549" i="62921" s="1"/>
  <c r="D550" i="62921" s="1"/>
  <c r="D551" i="62921" s="1"/>
  <c r="C455" i="62921" s="1"/>
  <c r="C416" i="62921"/>
  <c r="D2292" i="62917"/>
  <c r="D2293" i="62917" s="1"/>
  <c r="D2294" i="62917" s="1"/>
  <c r="D2295" i="62917" s="1"/>
  <c r="D2296" i="62917" s="1"/>
  <c r="E1954" i="62917"/>
  <c r="E1955" i="62917" s="1"/>
  <c r="E1956" i="62917" s="1"/>
  <c r="D1626" i="62917"/>
  <c r="E2166" i="62917"/>
  <c r="E2167" i="62917" s="1"/>
  <c r="E2168" i="62917" s="1"/>
  <c r="E2169" i="62917" s="1"/>
  <c r="E2170" i="62917" s="1"/>
  <c r="E2171" i="62917" s="1"/>
  <c r="E2172" i="62917" s="1"/>
  <c r="E2173" i="62917" s="1"/>
  <c r="E2174" i="62917" s="1"/>
  <c r="E2175" i="62917" s="1"/>
  <c r="E2176" i="62917" s="1"/>
  <c r="E2177" i="62917" s="1"/>
  <c r="E2178" i="62917" s="1"/>
  <c r="E2179" i="62917" s="1"/>
  <c r="D2162" i="62917"/>
  <c r="D2163" i="62917" s="1"/>
  <c r="D2164" i="62917" s="1"/>
  <c r="D2165" i="62917" s="1"/>
  <c r="E399" i="62923"/>
  <c r="E334" i="62923"/>
  <c r="E335" i="62923" s="1"/>
  <c r="D333" i="62923"/>
  <c r="C333" i="62923" s="1"/>
  <c r="E285" i="62923"/>
  <c r="E286" i="62923" s="1"/>
  <c r="D297" i="62923"/>
  <c r="D298" i="62923" s="1"/>
  <c r="D284" i="62923"/>
  <c r="D155" i="62924"/>
  <c r="E953" i="62919"/>
  <c r="D953" i="62919" s="1"/>
  <c r="C20" i="62918"/>
  <c r="E9" i="62907"/>
  <c r="D9" i="62907"/>
  <c r="N139" i="62892"/>
  <c r="Z21" i="62914"/>
  <c r="E8" i="62907"/>
  <c r="D8" i="62907"/>
  <c r="D241" i="62922"/>
  <c r="D242" i="62922" s="1"/>
  <c r="D243" i="62922" s="1"/>
  <c r="D244" i="62922" s="1"/>
  <c r="D245" i="62922" s="1"/>
  <c r="D246" i="62922" s="1"/>
  <c r="D247" i="62922" s="1"/>
  <c r="D248" i="62922" s="1"/>
  <c r="D249" i="62922" s="1"/>
  <c r="D250" i="62922" s="1"/>
  <c r="D251" i="62922" s="1"/>
  <c r="D252" i="62922" s="1"/>
  <c r="C192" i="62922" s="1"/>
  <c r="C1557" i="62919"/>
  <c r="D1748" i="62919"/>
  <c r="D1376" i="62919"/>
  <c r="D1407" i="62919"/>
  <c r="D1408" i="62919" s="1"/>
  <c r="D1409" i="62919" s="1"/>
  <c r="D1410" i="62919" s="1"/>
  <c r="D1411" i="62919" s="1"/>
  <c r="D1412" i="62919" s="1"/>
  <c r="D1413" i="62919" s="1"/>
  <c r="D1414" i="62919" s="1"/>
  <c r="D1415" i="62919" s="1"/>
  <c r="D1416" i="62919" s="1"/>
  <c r="D1417" i="62919" s="1"/>
  <c r="D1418" i="62919" s="1"/>
  <c r="D1419" i="62919" s="1"/>
  <c r="D1420" i="62919" s="1"/>
  <c r="D1421" i="62919" s="1"/>
  <c r="D1422" i="62919" s="1"/>
  <c r="D1423" i="62919" s="1"/>
  <c r="D1424" i="62919" s="1"/>
  <c r="D1425" i="62919" s="1"/>
  <c r="D1426" i="62919" s="1"/>
  <c r="D1427" i="62919" s="1"/>
  <c r="D1428" i="62919" s="1"/>
  <c r="D1429" i="62919" s="1"/>
  <c r="D1430" i="62919" s="1"/>
  <c r="D1431" i="62919" s="1"/>
  <c r="D1432" i="62919" s="1"/>
  <c r="D1433" i="62919" s="1"/>
  <c r="D1434" i="62919" s="1"/>
  <c r="D1435" i="62919" s="1"/>
  <c r="D1436" i="62919" s="1"/>
  <c r="D1437" i="62919" s="1"/>
  <c r="D1438" i="62919" s="1"/>
  <c r="D1439" i="62919" s="1"/>
  <c r="D1440" i="62919" s="1"/>
  <c r="D1441" i="62919" s="1"/>
  <c r="D1442" i="62919" s="1"/>
  <c r="D1443" i="62919" s="1"/>
  <c r="D1444" i="62919" s="1"/>
  <c r="D1445" i="62919" s="1"/>
  <c r="D1446" i="62919" s="1"/>
  <c r="D1447" i="62919" s="1"/>
  <c r="D1448" i="62919" s="1"/>
  <c r="D1449" i="62919" s="1"/>
  <c r="D1450" i="62919" s="1"/>
  <c r="D1451" i="62919" s="1"/>
  <c r="D1452" i="62919" s="1"/>
  <c r="D1453" i="62919" s="1"/>
  <c r="D1454" i="62919" s="1"/>
  <c r="D1455" i="62919" s="1"/>
  <c r="D1456" i="62919" s="1"/>
  <c r="D1457" i="62919" s="1"/>
  <c r="D1458" i="62919" s="1"/>
  <c r="D1459" i="62919" s="1"/>
  <c r="D1460" i="62919" s="1"/>
  <c r="D1461" i="62919" s="1"/>
  <c r="D1462" i="62919" s="1"/>
  <c r="D1463" i="62919" s="1"/>
  <c r="D1464" i="62919" s="1"/>
  <c r="D1465" i="62919" s="1"/>
  <c r="D1466" i="62919" s="1"/>
  <c r="D1467" i="62919" s="1"/>
  <c r="D1468" i="62919" s="1"/>
  <c r="D1469" i="62919" s="1"/>
  <c r="D1470" i="62919" s="1"/>
  <c r="D1471" i="62919" s="1"/>
  <c r="D1472" i="62919" s="1"/>
  <c r="D1473" i="62919" s="1"/>
  <c r="D1474" i="62919" s="1"/>
  <c r="D1475" i="62919" s="1"/>
  <c r="D1476" i="62919" s="1"/>
  <c r="D1477" i="62919" s="1"/>
  <c r="D1478" i="62919" s="1"/>
  <c r="D1479" i="62919" s="1"/>
  <c r="D1480" i="62919" s="1"/>
  <c r="D1481" i="62919" s="1"/>
  <c r="D1482" i="62919" s="1"/>
  <c r="D1483" i="62919" s="1"/>
  <c r="D1484" i="62919" s="1"/>
  <c r="D1485" i="62919" s="1"/>
  <c r="D1486" i="62919" s="1"/>
  <c r="D1487" i="62919" s="1"/>
  <c r="D1488" i="62919" s="1"/>
  <c r="D1489" i="62919" s="1"/>
  <c r="D1490" i="62919" s="1"/>
  <c r="D1491" i="62919" s="1"/>
  <c r="D1492" i="62919" s="1"/>
  <c r="D1493" i="62919" s="1"/>
  <c r="D1494" i="62919" s="1"/>
  <c r="D1495" i="62919" s="1"/>
  <c r="D1496" i="62919" s="1"/>
  <c r="D1497" i="62919" s="1"/>
  <c r="D1498" i="62919" s="1"/>
  <c r="D1499" i="62919" s="1"/>
  <c r="D1500" i="62919" s="1"/>
  <c r="D1501" i="62919" s="1"/>
  <c r="D1502" i="62919" s="1"/>
  <c r="D1503" i="62919" s="1"/>
  <c r="D1504" i="62919" s="1"/>
  <c r="D1505" i="62919" s="1"/>
  <c r="D1506" i="62919" s="1"/>
  <c r="D1507" i="62919" s="1"/>
  <c r="D1508" i="62919" s="1"/>
  <c r="D1509" i="62919" s="1"/>
  <c r="D1510" i="62919" s="1"/>
  <c r="D1511" i="62919" s="1"/>
  <c r="D1512" i="62919" s="1"/>
  <c r="D1513" i="62919" s="1"/>
  <c r="D1514" i="62919" s="1"/>
  <c r="D1515" i="62919" s="1"/>
  <c r="D1516" i="62919" s="1"/>
  <c r="D1517" i="62919" s="1"/>
  <c r="D1518" i="62919" s="1"/>
  <c r="D1519" i="62919" s="1"/>
  <c r="D1520" i="62919" s="1"/>
  <c r="D1521" i="62919" s="1"/>
  <c r="D1522" i="62919" s="1"/>
  <c r="D1523" i="62919" s="1"/>
  <c r="D1524" i="62919" s="1"/>
  <c r="D1525" i="62919" s="1"/>
  <c r="D1526" i="62919" s="1"/>
  <c r="D1527" i="62919" s="1"/>
  <c r="D1528" i="62919" s="1"/>
  <c r="D1529" i="62919" s="1"/>
  <c r="D1530" i="62919" s="1"/>
  <c r="D1531" i="62919" s="1"/>
  <c r="D1532" i="62919" s="1"/>
  <c r="D1533" i="62919" s="1"/>
  <c r="D1534" i="62919" s="1"/>
  <c r="D1535" i="62919" s="1"/>
  <c r="D1536" i="62919" s="1"/>
  <c r="D1537" i="62919" s="1"/>
  <c r="D1538" i="62919" s="1"/>
  <c r="D1539" i="62919" s="1"/>
  <c r="D1540" i="62919" s="1"/>
  <c r="D1541" i="62919" s="1"/>
  <c r="D1542" i="62919" s="1"/>
  <c r="D1543" i="62919" s="1"/>
  <c r="D1544" i="62919" s="1"/>
  <c r="D1545" i="62919" s="1"/>
  <c r="D1546" i="62919" s="1"/>
  <c r="D1547" i="62919" s="1"/>
  <c r="D1548" i="62919" s="1"/>
  <c r="D1549" i="62919" s="1"/>
  <c r="D1550" i="62919" s="1"/>
  <c r="D1551" i="62919" s="1"/>
  <c r="D1552" i="62919" s="1"/>
  <c r="D1553" i="62919" s="1"/>
  <c r="C1545" i="62919" s="1"/>
  <c r="C1406" i="62919"/>
  <c r="D1282" i="62919"/>
  <c r="D1564" i="62919"/>
  <c r="E424" i="62919"/>
  <c r="E425" i="62919" s="1"/>
  <c r="E426" i="62919" s="1"/>
  <c r="E427" i="62919" s="1"/>
  <c r="E428" i="62919" s="1"/>
  <c r="E429" i="62919" s="1"/>
  <c r="E430" i="62919" s="1"/>
  <c r="E431" i="62919" s="1"/>
  <c r="E432" i="62919" s="1"/>
  <c r="E433" i="62919" s="1"/>
  <c r="E434" i="62919" s="1"/>
  <c r="E435" i="62919" s="1"/>
  <c r="E436" i="62919" s="1"/>
  <c r="E437" i="62919" s="1"/>
  <c r="E438" i="62919" s="1"/>
  <c r="E439" i="62919" s="1"/>
  <c r="E440" i="62919" s="1"/>
  <c r="E441" i="62919" s="1"/>
  <c r="E442" i="62919" s="1"/>
  <c r="E443" i="62919" s="1"/>
  <c r="E444" i="62919" s="1"/>
  <c r="E445" i="62919" s="1"/>
  <c r="E446" i="62919" s="1"/>
  <c r="E447" i="62919" s="1"/>
  <c r="E448" i="62919" s="1"/>
  <c r="E449" i="62919" s="1"/>
  <c r="E450" i="62919" s="1"/>
  <c r="E451" i="62919" s="1"/>
  <c r="E452" i="62919" s="1"/>
  <c r="E453" i="62919" s="1"/>
  <c r="E454" i="62919" s="1"/>
  <c r="E455" i="62919" s="1"/>
  <c r="E456" i="62919" s="1"/>
  <c r="E457" i="62919" s="1"/>
  <c r="E458" i="62919" s="1"/>
  <c r="E459" i="62919" s="1"/>
  <c r="E460" i="62919" s="1"/>
  <c r="E461" i="62919" s="1"/>
  <c r="E462" i="62919" s="1"/>
  <c r="E463" i="62919" s="1"/>
  <c r="E464" i="62919" s="1"/>
  <c r="E465" i="62919" s="1"/>
  <c r="E466" i="62919" s="1"/>
  <c r="E467" i="62919" s="1"/>
  <c r="E468" i="62919" s="1"/>
  <c r="E469" i="62919" s="1"/>
  <c r="E470" i="62919" s="1"/>
  <c r="E471" i="62919" s="1"/>
  <c r="E472" i="62919" s="1"/>
  <c r="E473" i="62919" s="1"/>
  <c r="E474" i="62919" s="1"/>
  <c r="E475" i="62919" s="1"/>
  <c r="E476" i="62919" s="1"/>
  <c r="E477" i="62919" s="1"/>
  <c r="E478" i="62919" s="1"/>
  <c r="E479" i="62919" s="1"/>
  <c r="E480" i="62919" s="1"/>
  <c r="E481" i="62919" s="1"/>
  <c r="E482" i="62919" s="1"/>
  <c r="E483" i="62919" s="1"/>
  <c r="E484" i="62919" s="1"/>
  <c r="E485" i="62919" s="1"/>
  <c r="E486" i="62919" s="1"/>
  <c r="E487" i="62919" s="1"/>
  <c r="E488" i="62919" s="1"/>
  <c r="E489" i="62919" s="1"/>
  <c r="E490" i="62919" s="1"/>
  <c r="E491" i="62919" s="1"/>
  <c r="E492" i="62919" s="1"/>
  <c r="E493" i="62919" s="1"/>
  <c r="E494" i="62919" s="1"/>
  <c r="E495" i="62919" s="1"/>
  <c r="E496" i="62919" s="1"/>
  <c r="E497" i="62919" s="1"/>
  <c r="E498" i="62919" s="1"/>
  <c r="E499" i="62919" s="1"/>
  <c r="E500" i="62919" s="1"/>
  <c r="E501" i="62919" s="1"/>
  <c r="E502" i="62919" s="1"/>
  <c r="E503" i="62919" s="1"/>
  <c r="E504" i="62919" s="1"/>
  <c r="E505" i="62919" s="1"/>
  <c r="E506" i="62919" s="1"/>
  <c r="E507" i="62919" s="1"/>
  <c r="E508" i="62919" s="1"/>
  <c r="E509" i="62919" s="1"/>
  <c r="E510" i="62919" s="1"/>
  <c r="E511" i="62919" s="1"/>
  <c r="E512" i="62919" s="1"/>
  <c r="E513" i="62919" s="1"/>
  <c r="E514" i="62919" s="1"/>
  <c r="E515" i="62919" s="1"/>
  <c r="E516" i="62919" s="1"/>
  <c r="E517" i="62919" s="1"/>
  <c r="E518" i="62919" s="1"/>
  <c r="E519" i="62919" s="1"/>
  <c r="E520" i="62919" s="1"/>
  <c r="E521" i="62919" s="1"/>
  <c r="E522" i="62919" s="1"/>
  <c r="E523" i="62919" s="1"/>
  <c r="E524" i="62919" s="1"/>
  <c r="E525" i="62919" s="1"/>
  <c r="E526" i="62919" s="1"/>
  <c r="E527" i="62919" s="1"/>
  <c r="E528" i="62919" s="1"/>
  <c r="E529" i="62919" s="1"/>
  <c r="E530" i="62919" s="1"/>
  <c r="E531" i="62919" s="1"/>
  <c r="E532" i="62919" s="1"/>
  <c r="E533" i="62919" s="1"/>
  <c r="E534" i="62919" s="1"/>
  <c r="E535" i="62919" s="1"/>
  <c r="E536" i="62919" s="1"/>
  <c r="E537" i="62919" s="1"/>
  <c r="E538" i="62919" s="1"/>
  <c r="E539" i="62919" s="1"/>
  <c r="E540" i="62919" s="1"/>
  <c r="E541" i="62919" s="1"/>
  <c r="E542" i="62919" s="1"/>
  <c r="E543" i="62919" s="1"/>
  <c r="E544" i="62919" s="1"/>
  <c r="E545" i="62919" s="1"/>
  <c r="E546" i="62919" s="1"/>
  <c r="E547" i="62919" s="1"/>
  <c r="E548" i="62919" s="1"/>
  <c r="E549" i="62919" s="1"/>
  <c r="E550" i="62919" s="1"/>
  <c r="E551" i="62919" s="1"/>
  <c r="E552" i="62919" s="1"/>
  <c r="E553" i="62919" s="1"/>
  <c r="E554" i="62919" s="1"/>
  <c r="E555" i="62919" s="1"/>
  <c r="E556" i="62919" s="1"/>
  <c r="E557" i="62919" s="1"/>
  <c r="E558" i="62919" s="1"/>
  <c r="E559" i="62919" s="1"/>
  <c r="E560" i="62919" s="1"/>
  <c r="E561" i="62919" s="1"/>
  <c r="E562" i="62919" s="1"/>
  <c r="E563" i="62919" s="1"/>
  <c r="E564" i="62919" s="1"/>
  <c r="E565" i="62919" s="1"/>
  <c r="E566" i="62919" s="1"/>
  <c r="E567" i="62919" s="1"/>
  <c r="E568" i="62919" s="1"/>
  <c r="E569" i="62919" s="1"/>
  <c r="E570" i="62919" s="1"/>
  <c r="E571" i="62919" s="1"/>
  <c r="E572" i="62919" s="1"/>
  <c r="E573" i="62919" s="1"/>
  <c r="E574" i="62919" s="1"/>
  <c r="E575" i="62919" s="1"/>
  <c r="E576" i="62919" s="1"/>
  <c r="E577" i="62919" s="1"/>
  <c r="E578" i="62919" s="1"/>
  <c r="E579" i="62919" s="1"/>
  <c r="E580" i="62919" s="1"/>
  <c r="E581" i="62919" s="1"/>
  <c r="E582" i="62919" s="1"/>
  <c r="E583" i="62919" s="1"/>
  <c r="E584" i="62919" s="1"/>
  <c r="E585" i="62919" s="1"/>
  <c r="E586" i="62919" s="1"/>
  <c r="E587" i="62919" s="1"/>
  <c r="E588" i="62919" s="1"/>
  <c r="E589" i="62919" s="1"/>
  <c r="E590" i="62919" s="1"/>
  <c r="E591" i="62919" s="1"/>
  <c r="E592" i="62919" s="1"/>
  <c r="E593" i="62919" s="1"/>
  <c r="E594" i="62919" s="1"/>
  <c r="E595" i="62919" s="1"/>
  <c r="E596" i="62919" s="1"/>
  <c r="E597" i="62919" s="1"/>
  <c r="E598" i="62919" s="1"/>
  <c r="E599" i="62919" s="1"/>
  <c r="E600" i="62919" s="1"/>
  <c r="E601" i="62919" s="1"/>
  <c r="E602" i="62919" s="1"/>
  <c r="E603" i="62919" s="1"/>
  <c r="E604" i="62919" s="1"/>
  <c r="E605" i="62919" s="1"/>
  <c r="E606" i="62919" s="1"/>
  <c r="E607" i="62919" s="1"/>
  <c r="E608" i="62919" s="1"/>
  <c r="E609" i="62919" s="1"/>
  <c r="E610" i="62919" s="1"/>
  <c r="E611" i="62919" s="1"/>
  <c r="E612" i="62919" s="1"/>
  <c r="E613" i="62919" s="1"/>
  <c r="E614" i="62919" s="1"/>
  <c r="E615" i="62919" s="1"/>
  <c r="E616" i="62919" s="1"/>
  <c r="E617" i="62919" s="1"/>
  <c r="E618" i="62919" s="1"/>
  <c r="E619" i="62919" s="1"/>
  <c r="E620" i="62919" s="1"/>
  <c r="E621" i="62919" s="1"/>
  <c r="D419" i="62919"/>
  <c r="D633" i="62919"/>
  <c r="C2185" i="62917"/>
  <c r="D2195" i="62917"/>
  <c r="C2186" i="62917"/>
  <c r="E48" i="62921"/>
  <c r="E49" i="62921" s="1"/>
  <c r="F584" i="5"/>
  <c r="G583" i="5"/>
  <c r="C130" i="62919"/>
  <c r="C136" i="62919"/>
  <c r="M139" i="62892"/>
  <c r="C14" i="62907"/>
  <c r="F14" i="62907" s="1"/>
  <c r="K139" i="62892"/>
  <c r="L139" i="62892"/>
  <c r="D232" i="62924"/>
  <c r="C869" i="62921"/>
  <c r="C870" i="62921"/>
  <c r="D871" i="62921"/>
  <c r="C899" i="62919"/>
  <c r="E2434" i="62917"/>
  <c r="E2435" i="62917" s="1"/>
  <c r="D1592" i="62917"/>
  <c r="E1593" i="62917"/>
  <c r="C2428" i="62917"/>
  <c r="D2429" i="62917"/>
  <c r="D46" i="62924"/>
  <c r="C46" i="62924" s="1"/>
  <c r="C45" i="62924"/>
  <c r="I45" i="9" s="1"/>
  <c r="BK45" i="9" s="1"/>
  <c r="AD45" i="9" s="1"/>
  <c r="Y45" i="9" s="1"/>
  <c r="G70" i="62892"/>
  <c r="G138" i="62892" s="1"/>
  <c r="D271" i="62922"/>
  <c r="D272" i="62922" s="1"/>
  <c r="D273" i="62922" s="1"/>
  <c r="D274" i="62922" s="1"/>
  <c r="D275" i="62922" s="1"/>
  <c r="D276" i="62922" s="1"/>
  <c r="D277" i="62922" s="1"/>
  <c r="D278" i="62922" s="1"/>
  <c r="D279" i="62922" s="1"/>
  <c r="E519" i="62922"/>
  <c r="D519" i="62922" s="1"/>
  <c r="E518" i="62922"/>
  <c r="C153" i="62922"/>
  <c r="C138" i="62922"/>
  <c r="C202" i="62921"/>
  <c r="D46" i="62921"/>
  <c r="D47" i="62921" s="1"/>
  <c r="C142" i="62922"/>
  <c r="C147" i="62922"/>
  <c r="C144" i="62922"/>
  <c r="C169" i="62922"/>
  <c r="C154" i="62922"/>
  <c r="C148" i="62922"/>
  <c r="C141" i="62922"/>
  <c r="C139" i="62922"/>
  <c r="C170" i="62922"/>
  <c r="C185" i="62922"/>
  <c r="C163" i="62922"/>
  <c r="C164" i="62922"/>
  <c r="C151" i="62922"/>
  <c r="C186" i="62922"/>
  <c r="C179" i="62922"/>
  <c r="C157" i="62922"/>
  <c r="C158" i="62922"/>
  <c r="C160" i="62922"/>
  <c r="C145" i="62922"/>
  <c r="C140" i="62922"/>
  <c r="D584" i="5"/>
  <c r="C174" i="62922"/>
  <c r="C187" i="62922"/>
  <c r="C162" i="62922"/>
  <c r="C150" i="62922"/>
  <c r="C180" i="62922"/>
  <c r="C173" i="62922"/>
  <c r="C167" i="62922"/>
  <c r="C161" i="62922"/>
  <c r="C146" i="62922"/>
  <c r="C155" i="62922"/>
  <c r="C172" i="62922"/>
  <c r="C149" i="62922"/>
  <c r="C143" i="62922"/>
  <c r="C183" i="62922"/>
  <c r="C176" i="62922"/>
  <c r="C177" i="62922"/>
  <c r="C178" i="62922"/>
  <c r="C171" i="62922"/>
  <c r="C156" i="62922"/>
  <c r="C181" i="62922"/>
  <c r="C182" i="62922"/>
  <c r="C175" i="62922"/>
  <c r="C168" i="62922"/>
  <c r="C165" i="62922"/>
  <c r="C166" i="62922"/>
  <c r="C159" i="62922"/>
  <c r="C184" i="62922"/>
  <c r="C152" i="62922"/>
  <c r="M576" i="5"/>
  <c r="H106" i="62909"/>
  <c r="H81" i="62909" s="1"/>
  <c r="H221" i="62909" s="1"/>
  <c r="K106" i="62909"/>
  <c r="L106" i="62909" s="1"/>
  <c r="E106" i="62909"/>
  <c r="E81" i="62909" s="1"/>
  <c r="E221" i="62909" s="1"/>
  <c r="E128" i="62918"/>
  <c r="E129" i="62918" s="1"/>
  <c r="E130" i="62918" s="1"/>
  <c r="D226" i="62919"/>
  <c r="D227" i="62919" s="1"/>
  <c r="C131" i="62919"/>
  <c r="C224" i="62919"/>
  <c r="C140" i="62919"/>
  <c r="C134" i="62919"/>
  <c r="C142" i="62919"/>
  <c r="C150" i="62919"/>
  <c r="C143" i="62919"/>
  <c r="C137" i="62919"/>
  <c r="C132" i="62919"/>
  <c r="C147" i="62919"/>
  <c r="D112" i="62919"/>
  <c r="C159" i="62919"/>
  <c r="C152" i="62919"/>
  <c r="C162" i="62919"/>
  <c r="C156" i="62919"/>
  <c r="C154" i="62919"/>
  <c r="C163" i="62919"/>
  <c r="C157" i="62919"/>
  <c r="C145" i="62919"/>
  <c r="C161" i="62919"/>
  <c r="C148" i="62919"/>
  <c r="C138" i="62919"/>
  <c r="C135" i="62919"/>
  <c r="C146" i="62919"/>
  <c r="C139" i="62919"/>
  <c r="C158" i="62919"/>
  <c r="C155" i="62919"/>
  <c r="C153" i="62919"/>
  <c r="C151" i="62919"/>
  <c r="C141" i="62919"/>
  <c r="C160" i="62919"/>
  <c r="C144" i="62919"/>
  <c r="C133" i="62919"/>
  <c r="C149" i="62919"/>
  <c r="C135" i="62892"/>
  <c r="N135" i="62892" s="1"/>
  <c r="E23" i="62919"/>
  <c r="E24" i="62919" s="1"/>
  <c r="E25" i="62919" s="1"/>
  <c r="E26" i="62919" s="1"/>
  <c r="E27" i="62919" s="1"/>
  <c r="C138" i="62892"/>
  <c r="L138" i="62892" s="1"/>
  <c r="C6" i="62907"/>
  <c r="G70" i="62910"/>
  <c r="G137" i="62910" s="1"/>
  <c r="G582" i="5"/>
  <c r="X20" i="62914"/>
  <c r="F49" i="62914"/>
  <c r="G49" i="62914"/>
  <c r="L25" i="62929"/>
  <c r="X25" i="62929" s="1"/>
  <c r="D95" i="62924"/>
  <c r="D96" i="62924" s="1"/>
  <c r="D97" i="62924" s="1"/>
  <c r="D98" i="62924" s="1"/>
  <c r="D99" i="62924" s="1"/>
  <c r="D100" i="62924" s="1"/>
  <c r="Y43" i="9"/>
  <c r="E106" i="62924"/>
  <c r="E107" i="62924" s="1"/>
  <c r="E108" i="62924" s="1"/>
  <c r="E109" i="62924" s="1"/>
  <c r="E110" i="62924" s="1"/>
  <c r="E111" i="62924" s="1"/>
  <c r="E112" i="62924" s="1"/>
  <c r="E113" i="62924" s="1"/>
  <c r="E114" i="62924" s="1"/>
  <c r="E115" i="62924" s="1"/>
  <c r="E116" i="62924" s="1"/>
  <c r="E117" i="62924" s="1"/>
  <c r="E118" i="62924" s="1"/>
  <c r="E119" i="62924" s="1"/>
  <c r="E120" i="62924" s="1"/>
  <c r="E121" i="62924" s="1"/>
  <c r="E122" i="62924" s="1"/>
  <c r="E123" i="62924" s="1"/>
  <c r="E124" i="62924" s="1"/>
  <c r="E125" i="62924" s="1"/>
  <c r="E126" i="62924" s="1"/>
  <c r="E127" i="62924" s="1"/>
  <c r="E128" i="62924" s="1"/>
  <c r="E129" i="62924" s="1"/>
  <c r="E130" i="62924" s="1"/>
  <c r="E131" i="62924" s="1"/>
  <c r="N131" i="62892"/>
  <c r="G48" i="62892"/>
  <c r="G136" i="62892" s="1"/>
  <c r="L131" i="62892"/>
  <c r="D33" i="62924"/>
  <c r="L20" i="62929"/>
  <c r="X20" i="62929" s="1"/>
  <c r="X22" i="62929" s="1"/>
  <c r="L17" i="62914"/>
  <c r="L22" i="62929" s="1"/>
  <c r="F46" i="62914"/>
  <c r="E46" i="62914"/>
  <c r="H46" i="62914"/>
  <c r="X15" i="62914"/>
  <c r="X17" i="62914" s="1"/>
  <c r="G46" i="62914"/>
  <c r="F57" i="62912"/>
  <c r="I18" i="62912"/>
  <c r="E57" i="62912"/>
  <c r="R16" i="62912"/>
  <c r="R18" i="62912" s="1"/>
  <c r="G57" i="62912"/>
  <c r="H57" i="62912"/>
  <c r="E668" i="5"/>
  <c r="I652" i="5"/>
  <c r="E19" i="62912"/>
  <c r="N19" i="62912" s="1"/>
  <c r="L686" i="5"/>
  <c r="E21" i="62914"/>
  <c r="E702" i="5"/>
  <c r="D1006" i="62921"/>
  <c r="D1007" i="62921" s="1"/>
  <c r="D1008" i="62921" s="1"/>
  <c r="D1009" i="62921" s="1"/>
  <c r="D1010" i="62921" s="1"/>
  <c r="D1011" i="62921" s="1"/>
  <c r="D1012" i="62921" s="1"/>
  <c r="D1013" i="62921" s="1"/>
  <c r="D1014" i="62921" s="1"/>
  <c r="D1015" i="62921" s="1"/>
  <c r="D1016" i="62921" s="1"/>
  <c r="D1017" i="62921" s="1"/>
  <c r="D1018" i="62921" s="1"/>
  <c r="D1019" i="62921" s="1"/>
  <c r="D1020" i="62921" s="1"/>
  <c r="D1021" i="62921" s="1"/>
  <c r="D1022" i="62921" s="1"/>
  <c r="D1023" i="62921" s="1"/>
  <c r="D1024" i="62921" s="1"/>
  <c r="D1025" i="62921" s="1"/>
  <c r="D1026" i="62921" s="1"/>
  <c r="D1027" i="62921" s="1"/>
  <c r="D1028" i="62921" s="1"/>
  <c r="D1029" i="62921" s="1"/>
  <c r="D1030" i="62921" s="1"/>
  <c r="D1031" i="62921" s="1"/>
  <c r="D1032" i="62921" s="1"/>
  <c r="D1033" i="62921" s="1"/>
  <c r="D1034" i="62921" s="1"/>
  <c r="D1035" i="62921" s="1"/>
  <c r="D1036" i="62921" s="1"/>
  <c r="D1037" i="62921" s="1"/>
  <c r="D1038" i="62921" s="1"/>
  <c r="D1039" i="62921" s="1"/>
  <c r="D1040" i="62921" s="1"/>
  <c r="D1041" i="62921" s="1"/>
  <c r="D1042" i="62921" s="1"/>
  <c r="D1043" i="62921" s="1"/>
  <c r="D1044" i="62921" s="1"/>
  <c r="D1045" i="62921" s="1"/>
  <c r="D1046" i="62921" s="1"/>
  <c r="D1047" i="62921" s="1"/>
  <c r="D1048" i="62921" s="1"/>
  <c r="D1049" i="62921" s="1"/>
  <c r="D1050" i="62921" s="1"/>
  <c r="D1051" i="62921" s="1"/>
  <c r="D1052" i="62921" s="1"/>
  <c r="D1053" i="62921" s="1"/>
  <c r="D1054" i="62921" s="1"/>
  <c r="D1055" i="62921" s="1"/>
  <c r="D1056" i="62921" s="1"/>
  <c r="D1057" i="62921" s="1"/>
  <c r="D1058" i="62921" s="1"/>
  <c r="D1059" i="62921" s="1"/>
  <c r="D1060" i="62921" s="1"/>
  <c r="C994" i="62921" s="1"/>
  <c r="F45" i="62915"/>
  <c r="G45" i="62915"/>
  <c r="E45" i="62915"/>
  <c r="H45" i="62915"/>
  <c r="V16" i="62915"/>
  <c r="V18" i="62915" s="1"/>
  <c r="J18" i="62915"/>
  <c r="E734" i="5"/>
  <c r="J718" i="5"/>
  <c r="E19" i="62915"/>
  <c r="Q19" i="62915" s="1"/>
  <c r="D392" i="62923"/>
  <c r="D393" i="62923" s="1"/>
  <c r="D394" i="62923" s="1"/>
  <c r="D395" i="62923" s="1"/>
  <c r="D396" i="62923" s="1"/>
  <c r="D397" i="62923" s="1"/>
  <c r="D398" i="62923" s="1"/>
  <c r="D127" i="62918"/>
  <c r="H101" i="62904"/>
  <c r="I101" i="62904" s="1"/>
  <c r="H100" i="62904"/>
  <c r="I100" i="62904" s="1"/>
  <c r="H153" i="62905"/>
  <c r="I153" i="62905" s="1"/>
  <c r="G185" i="2"/>
  <c r="H185" i="2" s="1"/>
  <c r="D184" i="2"/>
  <c r="X184" i="2"/>
  <c r="D21" i="62918"/>
  <c r="C21" i="62918" s="1"/>
  <c r="D96" i="62918"/>
  <c r="D97" i="62918" s="1"/>
  <c r="D98" i="62918" s="1"/>
  <c r="D99" i="62918" s="1"/>
  <c r="D100" i="62918" s="1"/>
  <c r="D101" i="62918" s="1"/>
  <c r="D102" i="62918" s="1"/>
  <c r="D103" i="62918" s="1"/>
  <c r="D104" i="62918" s="1"/>
  <c r="D105" i="62918" s="1"/>
  <c r="D106" i="62918" s="1"/>
  <c r="D107" i="62918" s="1"/>
  <c r="D108" i="62918" s="1"/>
  <c r="D109" i="62918" s="1"/>
  <c r="D110" i="62918" s="1"/>
  <c r="D111" i="62918" s="1"/>
  <c r="D112" i="62918" s="1"/>
  <c r="D113" i="62918" s="1"/>
  <c r="D114" i="62918" s="1"/>
  <c r="D115" i="62918" s="1"/>
  <c r="D116" i="62918" s="1"/>
  <c r="D117" i="62918" s="1"/>
  <c r="D118" i="62918" s="1"/>
  <c r="D119" i="62918" s="1"/>
  <c r="D120" i="62918" s="1"/>
  <c r="D121" i="62918" s="1"/>
  <c r="D122" i="62918" s="1"/>
  <c r="D123" i="62918" s="1"/>
  <c r="D124" i="62918" s="1"/>
  <c r="C95" i="62918"/>
  <c r="D99" i="62904"/>
  <c r="AC99" i="62904"/>
  <c r="H154" i="62905"/>
  <c r="I154" i="62905" s="1"/>
  <c r="AC152" i="62905"/>
  <c r="D152" i="62905"/>
  <c r="G186" i="2"/>
  <c r="H186" i="2" s="1"/>
  <c r="K131" i="62892"/>
  <c r="C2293" i="62917"/>
  <c r="D2297" i="62917"/>
  <c r="D2298" i="62917" s="1"/>
  <c r="C2298" i="62917" s="1"/>
  <c r="D1864" i="62919"/>
  <c r="C898" i="62919"/>
  <c r="C897" i="62919"/>
  <c r="D178" i="62919"/>
  <c r="C178" i="62919" s="1"/>
  <c r="E1867" i="62919"/>
  <c r="E1868" i="62919" s="1"/>
  <c r="E1869" i="62919" s="1"/>
  <c r="E266" i="62923"/>
  <c r="D263" i="62923"/>
  <c r="C2296" i="62917"/>
  <c r="E2299" i="62917"/>
  <c r="E1043" i="62919"/>
  <c r="E1044" i="62919" s="1"/>
  <c r="E1045" i="62919" s="1"/>
  <c r="E1046" i="62919" s="1"/>
  <c r="E1047" i="62919" s="1"/>
  <c r="E1048" i="62919" s="1"/>
  <c r="E1049" i="62919" s="1"/>
  <c r="E1050" i="62919" s="1"/>
  <c r="E1051" i="62919" s="1"/>
  <c r="E1052" i="62919" s="1"/>
  <c r="E1053" i="62919" s="1"/>
  <c r="E1054" i="62919" s="1"/>
  <c r="E1055" i="62919" s="1"/>
  <c r="E1056" i="62919" s="1"/>
  <c r="E1057" i="62919" s="1"/>
  <c r="E1058" i="62919" s="1"/>
  <c r="E1059" i="62919" s="1"/>
  <c r="E1060" i="62919" s="1"/>
  <c r="E1061" i="62919" s="1"/>
  <c r="E1062" i="62919" s="1"/>
  <c r="E1063" i="62919" s="1"/>
  <c r="E1064" i="62919" s="1"/>
  <c r="E1065" i="62919" s="1"/>
  <c r="E1066" i="62919" s="1"/>
  <c r="E1067" i="62919" s="1"/>
  <c r="E1068" i="62919" s="1"/>
  <c r="E1069" i="62919" s="1"/>
  <c r="E1070" i="62919" s="1"/>
  <c r="E887" i="62919"/>
  <c r="E888" i="62919" s="1"/>
  <c r="E889" i="62919" s="1"/>
  <c r="E890" i="62919" s="1"/>
  <c r="C900" i="62919"/>
  <c r="C901" i="62919"/>
  <c r="D1237" i="62919"/>
  <c r="C1237" i="62919" s="1"/>
  <c r="C1236" i="62919"/>
  <c r="D1772" i="62919"/>
  <c r="D1042" i="62919"/>
  <c r="D871" i="62919"/>
  <c r="D926" i="62919"/>
  <c r="D1006" i="62919"/>
  <c r="D43" i="62919"/>
  <c r="C42" i="62919"/>
  <c r="D21" i="62919"/>
  <c r="D22" i="62919" s="1"/>
  <c r="D65" i="62919"/>
  <c r="I367" i="7"/>
  <c r="C11" i="62907"/>
  <c r="K136" i="62892"/>
  <c r="L136" i="62892"/>
  <c r="M136" i="62892"/>
  <c r="N136" i="62892"/>
  <c r="E1454" i="62917"/>
  <c r="E1455" i="62917" s="1"/>
  <c r="E1456" i="62917" s="1"/>
  <c r="E1457" i="62917" s="1"/>
  <c r="E1458" i="62917" s="1"/>
  <c r="E1459" i="62917" s="1"/>
  <c r="E1460" i="62917" s="1"/>
  <c r="E1461" i="62917" s="1"/>
  <c r="E1462" i="62917" s="1"/>
  <c r="E1463" i="62917" s="1"/>
  <c r="E1464" i="62917" s="1"/>
  <c r="E1465" i="62917" s="1"/>
  <c r="E1466" i="62917" s="1"/>
  <c r="E1467" i="62917" s="1"/>
  <c r="E1468" i="62917" s="1"/>
  <c r="E1469" i="62917" s="1"/>
  <c r="E1470" i="62917" s="1"/>
  <c r="E1471" i="62917" s="1"/>
  <c r="E1472" i="62917" s="1"/>
  <c r="E1473" i="62917" s="1"/>
  <c r="E1474" i="62917" s="1"/>
  <c r="E1475" i="62917" s="1"/>
  <c r="E1476" i="62917" s="1"/>
  <c r="E1477" i="62917" s="1"/>
  <c r="E1478" i="62917" s="1"/>
  <c r="E1479" i="62917" s="1"/>
  <c r="E1480" i="62917" s="1"/>
  <c r="E1481" i="62917" s="1"/>
  <c r="E1482" i="62917" s="1"/>
  <c r="D23" i="62917"/>
  <c r="E24" i="62917"/>
  <c r="E25" i="62917" s="1"/>
  <c r="E26" i="62917" s="1"/>
  <c r="E27" i="62917" s="1"/>
  <c r="E28" i="62917" s="1"/>
  <c r="E29" i="62917" s="1"/>
  <c r="E30" i="62917" s="1"/>
  <c r="E31" i="62917" s="1"/>
  <c r="E32" i="62917" s="1"/>
  <c r="E33" i="62917" s="1"/>
  <c r="E34" i="62917" s="1"/>
  <c r="E35" i="62917" s="1"/>
  <c r="E36" i="62917" s="1"/>
  <c r="E37" i="62917" s="1"/>
  <c r="E38" i="62917" s="1"/>
  <c r="E39" i="62917" s="1"/>
  <c r="E40" i="62917" s="1"/>
  <c r="E41" i="62917" s="1"/>
  <c r="E42" i="62917" s="1"/>
  <c r="E43" i="62917" s="1"/>
  <c r="E44" i="62917" s="1"/>
  <c r="E45" i="62917" s="1"/>
  <c r="E46" i="62917" s="1"/>
  <c r="E47" i="62917" s="1"/>
  <c r="E48" i="62917" s="1"/>
  <c r="E49" i="62917" s="1"/>
  <c r="E50" i="62917" s="1"/>
  <c r="E51" i="62917" s="1"/>
  <c r="E52" i="62917" s="1"/>
  <c r="E53" i="62917" s="1"/>
  <c r="E54" i="62917" s="1"/>
  <c r="E55" i="62917" s="1"/>
  <c r="E56" i="62917" s="1"/>
  <c r="E59" i="62917" s="1"/>
  <c r="D939" i="62917"/>
  <c r="F11" i="62907" l="1"/>
  <c r="G11" i="62907"/>
  <c r="G6" i="62907"/>
  <c r="F6" i="62907"/>
  <c r="E14" i="62907"/>
  <c r="G14" i="62907"/>
  <c r="D943" i="62921"/>
  <c r="D944" i="62921" s="1"/>
  <c r="D945" i="62921" s="1"/>
  <c r="D946" i="62921" s="1"/>
  <c r="D947" i="62921" s="1"/>
  <c r="D948" i="62921" s="1"/>
  <c r="D949" i="62921" s="1"/>
  <c r="D950" i="62921" s="1"/>
  <c r="D951" i="62921" s="1"/>
  <c r="D952" i="62921" s="1"/>
  <c r="D953" i="62921" s="1"/>
  <c r="D954" i="62921" s="1"/>
  <c r="D955" i="62921" s="1"/>
  <c r="D956" i="62921" s="1"/>
  <c r="D957" i="62921" s="1"/>
  <c r="D958" i="62921" s="1"/>
  <c r="D959" i="62921" s="1"/>
  <c r="D960" i="62921" s="1"/>
  <c r="D961" i="62921" s="1"/>
  <c r="D962" i="62921" s="1"/>
  <c r="D963" i="62921" s="1"/>
  <c r="D964" i="62921" s="1"/>
  <c r="D965" i="62921" s="1"/>
  <c r="D966" i="62921" s="1"/>
  <c r="D967" i="62921" s="1"/>
  <c r="D968" i="62921" s="1"/>
  <c r="D969" i="62921" s="1"/>
  <c r="D970" i="62921" s="1"/>
  <c r="D971" i="62921" s="1"/>
  <c r="D972" i="62921" s="1"/>
  <c r="D973" i="62921" s="1"/>
  <c r="D974" i="62921" s="1"/>
  <c r="D975" i="62921" s="1"/>
  <c r="D976" i="62921" s="1"/>
  <c r="D977" i="62921" s="1"/>
  <c r="D978" i="62921" s="1"/>
  <c r="D979" i="62921" s="1"/>
  <c r="D980" i="62921" s="1"/>
  <c r="C948" i="62921" s="1"/>
  <c r="C2294" i="62917"/>
  <c r="C2295" i="62917"/>
  <c r="D558" i="62922"/>
  <c r="C2292" i="62917"/>
  <c r="C36" i="62922"/>
  <c r="C28" i="62922"/>
  <c r="C33" i="62922"/>
  <c r="C23" i="62922"/>
  <c r="C18" i="62922"/>
  <c r="C19" i="62922"/>
  <c r="C26" i="62922"/>
  <c r="C24" i="62922"/>
  <c r="C59" i="62922"/>
  <c r="C17" i="62922"/>
  <c r="C37" i="62922"/>
  <c r="C52" i="62922"/>
  <c r="C67" i="62922"/>
  <c r="C40" i="62922"/>
  <c r="C69" i="62922"/>
  <c r="C20" i="62922"/>
  <c r="C21" i="62922"/>
  <c r="C41" i="62922"/>
  <c r="C31" i="62922"/>
  <c r="C25" i="62922"/>
  <c r="C48" i="62922"/>
  <c r="C63" i="62922"/>
  <c r="C56" i="62922"/>
  <c r="C47" i="62922"/>
  <c r="C71" i="62922"/>
  <c r="C34" i="62922"/>
  <c r="C39" i="62922"/>
  <c r="C32" i="62922"/>
  <c r="C30" i="62922"/>
  <c r="C64" i="62922"/>
  <c r="C46" i="62922"/>
  <c r="C53" i="62922"/>
  <c r="C51" i="62922"/>
  <c r="C54" i="62922"/>
  <c r="C44" i="62922"/>
  <c r="C22" i="62922"/>
  <c r="C66" i="62922"/>
  <c r="C49" i="62922"/>
  <c r="C43" i="62922"/>
  <c r="C27" i="62922"/>
  <c r="C70" i="62922"/>
  <c r="C60" i="62922"/>
  <c r="C61" i="62922"/>
  <c r="C42" i="62922"/>
  <c r="C45" i="62922"/>
  <c r="C62" i="62922"/>
  <c r="C57" i="62922"/>
  <c r="C58" i="62922"/>
  <c r="C65" i="62922"/>
  <c r="C55" i="62922"/>
  <c r="C35" i="62922"/>
  <c r="C38" i="62922"/>
  <c r="C68" i="62922"/>
  <c r="C29" i="62922"/>
  <c r="C50" i="62922"/>
  <c r="C72" i="62922"/>
  <c r="C191" i="62922"/>
  <c r="C198" i="62922"/>
  <c r="C197" i="62922"/>
  <c r="C188" i="62922"/>
  <c r="D489" i="62922"/>
  <c r="D302" i="62922"/>
  <c r="C194" i="62922"/>
  <c r="C190" i="62922"/>
  <c r="D24" i="62921"/>
  <c r="E30" i="62921"/>
  <c r="E31" i="62921" s="1"/>
  <c r="E32" i="62921" s="1"/>
  <c r="E33" i="62921" s="1"/>
  <c r="E34" i="62921" s="1"/>
  <c r="E35" i="62921" s="1"/>
  <c r="E36" i="62921" s="1"/>
  <c r="E37" i="62921" s="1"/>
  <c r="E38" i="62921" s="1"/>
  <c r="E39" i="62921" s="1"/>
  <c r="E40" i="62921" s="1"/>
  <c r="E41" i="62921" s="1"/>
  <c r="E42" i="62921" s="1"/>
  <c r="E43" i="62921" s="1"/>
  <c r="E44" i="62921" s="1"/>
  <c r="D213" i="62921"/>
  <c r="D258" i="62921"/>
  <c r="D259" i="62921" s="1"/>
  <c r="D260" i="62921" s="1"/>
  <c r="D261" i="62921" s="1"/>
  <c r="D262" i="62921" s="1"/>
  <c r="D263" i="62921" s="1"/>
  <c r="D264" i="62921" s="1"/>
  <c r="D265" i="62921" s="1"/>
  <c r="D266" i="62921" s="1"/>
  <c r="D267" i="62921" s="1"/>
  <c r="D268" i="62921" s="1"/>
  <c r="D269" i="62921" s="1"/>
  <c r="D270" i="62921" s="1"/>
  <c r="D271" i="62921" s="1"/>
  <c r="D272" i="62921" s="1"/>
  <c r="D273" i="62921" s="1"/>
  <c r="D274" i="62921" s="1"/>
  <c r="D275" i="62921" s="1"/>
  <c r="D276" i="62921" s="1"/>
  <c r="D277" i="62921" s="1"/>
  <c r="D278" i="62921" s="1"/>
  <c r="D279" i="62921" s="1"/>
  <c r="D280" i="62921" s="1"/>
  <c r="D281" i="62921" s="1"/>
  <c r="D282" i="62921" s="1"/>
  <c r="D283" i="62921" s="1"/>
  <c r="D284" i="62921" s="1"/>
  <c r="D285" i="62921" s="1"/>
  <c r="D286" i="62921" s="1"/>
  <c r="D287" i="62921" s="1"/>
  <c r="D288" i="62921" s="1"/>
  <c r="D289" i="62921" s="1"/>
  <c r="D290" i="62921" s="1"/>
  <c r="D291" i="62921" s="1"/>
  <c r="D292" i="62921" s="1"/>
  <c r="C259" i="62921" s="1"/>
  <c r="C337" i="62921"/>
  <c r="D345" i="62921"/>
  <c r="C417" i="62921"/>
  <c r="C446" i="62921"/>
  <c r="C433" i="62921"/>
  <c r="C430" i="62921"/>
  <c r="C431" i="62921"/>
  <c r="C461" i="62921"/>
  <c r="C432" i="62921"/>
  <c r="C454" i="62921"/>
  <c r="C436" i="62921"/>
  <c r="C460" i="62921"/>
  <c r="C420" i="62921"/>
  <c r="C442" i="62921"/>
  <c r="C419" i="62921"/>
  <c r="C418" i="62921"/>
  <c r="D2246" i="62917"/>
  <c r="C445" i="62921"/>
  <c r="C464" i="62921"/>
  <c r="C447" i="62921"/>
  <c r="C456" i="62921"/>
  <c r="C443" i="62921"/>
  <c r="C425" i="62921"/>
  <c r="C429" i="62921"/>
  <c r="C466" i="62921"/>
  <c r="C435" i="62921"/>
  <c r="C452" i="62921"/>
  <c r="C444" i="62921"/>
  <c r="C434" i="62921"/>
  <c r="C423" i="62921"/>
  <c r="C427" i="62921"/>
  <c r="C438" i="62921"/>
  <c r="C441" i="62921"/>
  <c r="C422" i="62921"/>
  <c r="C426" i="62921"/>
  <c r="C424" i="62921"/>
  <c r="C437" i="62921"/>
  <c r="C421" i="62921"/>
  <c r="C458" i="62921"/>
  <c r="C453" i="62921"/>
  <c r="C449" i="62921"/>
  <c r="C451" i="62921"/>
  <c r="C428" i="62921"/>
  <c r="C462" i="62921"/>
  <c r="C467" i="62921"/>
  <c r="C450" i="62921"/>
  <c r="C439" i="62921"/>
  <c r="C465" i="62921"/>
  <c r="C448" i="62921"/>
  <c r="C463" i="62921"/>
  <c r="C468" i="62921"/>
  <c r="C459" i="62921"/>
  <c r="C440" i="62921"/>
  <c r="C457" i="62921"/>
  <c r="E1957" i="62917"/>
  <c r="E1958" i="62917" s="1"/>
  <c r="E1959" i="62917" s="1"/>
  <c r="E1960" i="62917" s="1"/>
  <c r="E1961" i="62917" s="1"/>
  <c r="E1962" i="62917" s="1"/>
  <c r="E1963" i="62917" s="1"/>
  <c r="E1964" i="62917" s="1"/>
  <c r="E1965" i="62917" s="1"/>
  <c r="E1966" i="62917" s="1"/>
  <c r="E1967" i="62917" s="1"/>
  <c r="E1968" i="62917" s="1"/>
  <c r="E1969" i="62917" s="1"/>
  <c r="E1970" i="62917" s="1"/>
  <c r="E1971" i="62917" s="1"/>
  <c r="E1972" i="62917" s="1"/>
  <c r="E1973" i="62917" s="1"/>
  <c r="E1974" i="62917" s="1"/>
  <c r="E1975" i="62917" s="1"/>
  <c r="E1976" i="62917" s="1"/>
  <c r="E1977" i="62917" s="1"/>
  <c r="E1978" i="62917" s="1"/>
  <c r="E1979" i="62917" s="1"/>
  <c r="E1980" i="62917" s="1"/>
  <c r="E1981" i="62917" s="1"/>
  <c r="E1982" i="62917" s="1"/>
  <c r="E1983" i="62917" s="1"/>
  <c r="E1984" i="62917" s="1"/>
  <c r="E1986" i="62917" s="1"/>
  <c r="D1627" i="62917"/>
  <c r="D1628" i="62917" s="1"/>
  <c r="D1629" i="62917" s="1"/>
  <c r="D1630" i="62917" s="1"/>
  <c r="D1631" i="62917" s="1"/>
  <c r="D1632" i="62917" s="1"/>
  <c r="D1633" i="62917" s="1"/>
  <c r="D1634" i="62917" s="1"/>
  <c r="D1635" i="62917" s="1"/>
  <c r="D1636" i="62917" s="1"/>
  <c r="D1637" i="62917" s="1"/>
  <c r="D1638" i="62917" s="1"/>
  <c r="D1639" i="62917" s="1"/>
  <c r="D1640" i="62917" s="1"/>
  <c r="D1641" i="62917" s="1"/>
  <c r="D1642" i="62917" s="1"/>
  <c r="D1643" i="62917" s="1"/>
  <c r="D1644" i="62917" s="1"/>
  <c r="D1645" i="62917" s="1"/>
  <c r="D1646" i="62917" s="1"/>
  <c r="D1647" i="62917" s="1"/>
  <c r="D1648" i="62917" s="1"/>
  <c r="D1649" i="62917" s="1"/>
  <c r="D1650" i="62917" s="1"/>
  <c r="D1651" i="62917" s="1"/>
  <c r="D1652" i="62917" s="1"/>
  <c r="D1653" i="62917" s="1"/>
  <c r="D1654" i="62917" s="1"/>
  <c r="D1655" i="62917" s="1"/>
  <c r="D1656" i="62917" s="1"/>
  <c r="D1657" i="62917" s="1"/>
  <c r="D1658" i="62917" s="1"/>
  <c r="D1659" i="62917" s="1"/>
  <c r="D1660" i="62917" s="1"/>
  <c r="D1661" i="62917" s="1"/>
  <c r="D1662" i="62917" s="1"/>
  <c r="D1663" i="62917" s="1"/>
  <c r="D1664" i="62917" s="1"/>
  <c r="D1665" i="62917" s="1"/>
  <c r="D1666" i="62917" s="1"/>
  <c r="D1667" i="62917" s="1"/>
  <c r="D1668" i="62917" s="1"/>
  <c r="D1669" i="62917" s="1"/>
  <c r="D1670" i="62917" s="1"/>
  <c r="D1671" i="62917" s="1"/>
  <c r="D1672" i="62917" s="1"/>
  <c r="D1673" i="62917" s="1"/>
  <c r="D1674" i="62917" s="1"/>
  <c r="D1675" i="62917" s="1"/>
  <c r="D1676" i="62917" s="1"/>
  <c r="D1677" i="62917" s="1"/>
  <c r="D1678" i="62917" s="1"/>
  <c r="D1679" i="62917" s="1"/>
  <c r="D1680" i="62917" s="1"/>
  <c r="D1681" i="62917" s="1"/>
  <c r="D1682" i="62917" s="1"/>
  <c r="D1683" i="62917" s="1"/>
  <c r="D1684" i="62917" s="1"/>
  <c r="D1685" i="62917" s="1"/>
  <c r="D1686" i="62917" s="1"/>
  <c r="D1687" i="62917" s="1"/>
  <c r="D1688" i="62917" s="1"/>
  <c r="D1689" i="62917" s="1"/>
  <c r="D1690" i="62917" s="1"/>
  <c r="D1691" i="62917" s="1"/>
  <c r="D1692" i="62917" s="1"/>
  <c r="D1693" i="62917" s="1"/>
  <c r="D1694" i="62917" s="1"/>
  <c r="D1695" i="62917" s="1"/>
  <c r="D1696" i="62917" s="1"/>
  <c r="D1697" i="62917" s="1"/>
  <c r="D1698" i="62917" s="1"/>
  <c r="D1699" i="62917" s="1"/>
  <c r="D1700" i="62917" s="1"/>
  <c r="D1701" i="62917" s="1"/>
  <c r="D1702" i="62917" s="1"/>
  <c r="D1703" i="62917" s="1"/>
  <c r="D1704" i="62917" s="1"/>
  <c r="D1705" i="62917" s="1"/>
  <c r="D1706" i="62917" s="1"/>
  <c r="D1707" i="62917" s="1"/>
  <c r="D1708" i="62917" s="1"/>
  <c r="D1709" i="62917" s="1"/>
  <c r="D1710" i="62917" s="1"/>
  <c r="D1711" i="62917" s="1"/>
  <c r="D1712" i="62917" s="1"/>
  <c r="D1713" i="62917" s="1"/>
  <c r="D1714" i="62917" s="1"/>
  <c r="D1715" i="62917" s="1"/>
  <c r="D1716" i="62917" s="1"/>
  <c r="D1717" i="62917" s="1"/>
  <c r="D1718" i="62917" s="1"/>
  <c r="D1719" i="62917" s="1"/>
  <c r="D1720" i="62917" s="1"/>
  <c r="D1721" i="62917" s="1"/>
  <c r="D1722" i="62917" s="1"/>
  <c r="D1723" i="62917" s="1"/>
  <c r="D1724" i="62917" s="1"/>
  <c r="D1725" i="62917" s="1"/>
  <c r="D1726" i="62917" s="1"/>
  <c r="D1727" i="62917" s="1"/>
  <c r="D1728" i="62917" s="1"/>
  <c r="D1729" i="62917" s="1"/>
  <c r="D1730" i="62917" s="1"/>
  <c r="D1731" i="62917" s="1"/>
  <c r="D1732" i="62917" s="1"/>
  <c r="D1733" i="62917" s="1"/>
  <c r="D1734" i="62917" s="1"/>
  <c r="D1735" i="62917" s="1"/>
  <c r="D1736" i="62917" s="1"/>
  <c r="D1737" i="62917" s="1"/>
  <c r="D1738" i="62917" s="1"/>
  <c r="D1739" i="62917" s="1"/>
  <c r="D1740" i="62917" s="1"/>
  <c r="D1741" i="62917" s="1"/>
  <c r="D1742" i="62917" s="1"/>
  <c r="D1743" i="62917" s="1"/>
  <c r="D1744" i="62917" s="1"/>
  <c r="D1745" i="62917" s="1"/>
  <c r="D1746" i="62917" s="1"/>
  <c r="D1747" i="62917" s="1"/>
  <c r="D1748" i="62917" s="1"/>
  <c r="D1749" i="62917" s="1"/>
  <c r="D1750" i="62917" s="1"/>
  <c r="D1751" i="62917" s="1"/>
  <c r="D1752" i="62917" s="1"/>
  <c r="D1753" i="62917" s="1"/>
  <c r="D1754" i="62917" s="1"/>
  <c r="D1755" i="62917" s="1"/>
  <c r="D1756" i="62917" s="1"/>
  <c r="D1757" i="62917" s="1"/>
  <c r="D1758" i="62917" s="1"/>
  <c r="D1759" i="62917" s="1"/>
  <c r="D1760" i="62917" s="1"/>
  <c r="D1761" i="62917" s="1"/>
  <c r="D1762" i="62917" s="1"/>
  <c r="D1763" i="62917" s="1"/>
  <c r="D1764" i="62917" s="1"/>
  <c r="D1765" i="62917" s="1"/>
  <c r="D1766" i="62917" s="1"/>
  <c r="D1767" i="62917" s="1"/>
  <c r="D1768" i="62917" s="1"/>
  <c r="D1769" i="62917" s="1"/>
  <c r="D1770" i="62917" s="1"/>
  <c r="D1771" i="62917" s="1"/>
  <c r="D1772" i="62917" s="1"/>
  <c r="D1773" i="62917" s="1"/>
  <c r="D1774" i="62917" s="1"/>
  <c r="D1775" i="62917" s="1"/>
  <c r="D1776" i="62917" s="1"/>
  <c r="D1777" i="62917" s="1"/>
  <c r="D1778" i="62917" s="1"/>
  <c r="D1779" i="62917" s="1"/>
  <c r="D1780" i="62917" s="1"/>
  <c r="D1781" i="62917" s="1"/>
  <c r="D1782" i="62917" s="1"/>
  <c r="D1783" i="62917" s="1"/>
  <c r="D1784" i="62917" s="1"/>
  <c r="D1785" i="62917" s="1"/>
  <c r="D1786" i="62917" s="1"/>
  <c r="D1787" i="62917" s="1"/>
  <c r="D1788" i="62917" s="1"/>
  <c r="D1789" i="62917" s="1"/>
  <c r="D1790" i="62917" s="1"/>
  <c r="D1791" i="62917" s="1"/>
  <c r="D1792" i="62917" s="1"/>
  <c r="D1793" i="62917" s="1"/>
  <c r="D1794" i="62917" s="1"/>
  <c r="D1795" i="62917" s="1"/>
  <c r="D1796" i="62917" s="1"/>
  <c r="D1797" i="62917" s="1"/>
  <c r="D1798" i="62917" s="1"/>
  <c r="D1799" i="62917" s="1"/>
  <c r="D1800" i="62917" s="1"/>
  <c r="D1801" i="62917" s="1"/>
  <c r="D1802" i="62917" s="1"/>
  <c r="D1803" i="62917" s="1"/>
  <c r="D1804" i="62917" s="1"/>
  <c r="D1805" i="62917" s="1"/>
  <c r="D1806" i="62917" s="1"/>
  <c r="D1807" i="62917" s="1"/>
  <c r="D1808" i="62917" s="1"/>
  <c r="D1809" i="62917" s="1"/>
  <c r="D1810" i="62917" s="1"/>
  <c r="D1811" i="62917" s="1"/>
  <c r="D1812" i="62917" s="1"/>
  <c r="D1813" i="62917" s="1"/>
  <c r="D1814" i="62917" s="1"/>
  <c r="D1815" i="62917" s="1"/>
  <c r="D1816" i="62917" s="1"/>
  <c r="D1817" i="62917" s="1"/>
  <c r="D1818" i="62917" s="1"/>
  <c r="D1819" i="62917" s="1"/>
  <c r="D1820" i="62917" s="1"/>
  <c r="D1821" i="62917" s="1"/>
  <c r="D1822" i="62917" s="1"/>
  <c r="D1823" i="62917" s="1"/>
  <c r="D1824" i="62917" s="1"/>
  <c r="D1825" i="62917" s="1"/>
  <c r="D1826" i="62917" s="1"/>
  <c r="D1827" i="62917" s="1"/>
  <c r="D1828" i="62917" s="1"/>
  <c r="D1829" i="62917" s="1"/>
  <c r="D1830" i="62917" s="1"/>
  <c r="D1831" i="62917" s="1"/>
  <c r="D1832" i="62917" s="1"/>
  <c r="D1833" i="62917" s="1"/>
  <c r="D1834" i="62917" s="1"/>
  <c r="D1835" i="62917" s="1"/>
  <c r="D1836" i="62917" s="1"/>
  <c r="D1837" i="62917" s="1"/>
  <c r="D1838" i="62917" s="1"/>
  <c r="D1839" i="62917" s="1"/>
  <c r="D1840" i="62917" s="1"/>
  <c r="D1841" i="62917" s="1"/>
  <c r="D1842" i="62917" s="1"/>
  <c r="D1843" i="62917" s="1"/>
  <c r="D1844" i="62917" s="1"/>
  <c r="D1845" i="62917" s="1"/>
  <c r="D1846" i="62917" s="1"/>
  <c r="D1847" i="62917" s="1"/>
  <c r="D1848" i="62917" s="1"/>
  <c r="D1849" i="62917" s="1"/>
  <c r="D1850" i="62917" s="1"/>
  <c r="D1851" i="62917" s="1"/>
  <c r="D1852" i="62917" s="1"/>
  <c r="D1853" i="62917" s="1"/>
  <c r="D1854" i="62917" s="1"/>
  <c r="D1855" i="62917" s="1"/>
  <c r="D1856" i="62917" s="1"/>
  <c r="D1857" i="62917" s="1"/>
  <c r="D1858" i="62917" s="1"/>
  <c r="D1859" i="62917" s="1"/>
  <c r="D1860" i="62917" s="1"/>
  <c r="D1861" i="62917" s="1"/>
  <c r="D1862" i="62917" s="1"/>
  <c r="D1863" i="62917" s="1"/>
  <c r="D1864" i="62917" s="1"/>
  <c r="D1865" i="62917" s="1"/>
  <c r="D1866" i="62917" s="1"/>
  <c r="D1867" i="62917" s="1"/>
  <c r="D1868" i="62917" s="1"/>
  <c r="D1869" i="62917" s="1"/>
  <c r="D1870" i="62917" s="1"/>
  <c r="D1871" i="62917" s="1"/>
  <c r="D1872" i="62917" s="1"/>
  <c r="D1873" i="62917" s="1"/>
  <c r="D1874" i="62917" s="1"/>
  <c r="D1875" i="62917" s="1"/>
  <c r="D1876" i="62917" s="1"/>
  <c r="D1877" i="62917" s="1"/>
  <c r="D1878" i="62917" s="1"/>
  <c r="D1879" i="62917" s="1"/>
  <c r="D1880" i="62917" s="1"/>
  <c r="D1881" i="62917" s="1"/>
  <c r="D1882" i="62917" s="1"/>
  <c r="D1883" i="62917" s="1"/>
  <c r="D1884" i="62917" s="1"/>
  <c r="D1885" i="62917" s="1"/>
  <c r="D1886" i="62917" s="1"/>
  <c r="D1887" i="62917" s="1"/>
  <c r="D1888" i="62917" s="1"/>
  <c r="D1889" i="62917" s="1"/>
  <c r="D1890" i="62917" s="1"/>
  <c r="D1891" i="62917" s="1"/>
  <c r="D1892" i="62917" s="1"/>
  <c r="D1893" i="62917" s="1"/>
  <c r="D1894" i="62917" s="1"/>
  <c r="D1895" i="62917" s="1"/>
  <c r="D1896" i="62917" s="1"/>
  <c r="D1897" i="62917" s="1"/>
  <c r="D1898" i="62917" s="1"/>
  <c r="D1899" i="62917" s="1"/>
  <c r="D1900" i="62917" s="1"/>
  <c r="D1901" i="62917" s="1"/>
  <c r="D1902" i="62917" s="1"/>
  <c r="D1903" i="62917" s="1"/>
  <c r="D1904" i="62917" s="1"/>
  <c r="D1905" i="62917" s="1"/>
  <c r="D1906" i="62917" s="1"/>
  <c r="D1907" i="62917" s="1"/>
  <c r="D1908" i="62917" s="1"/>
  <c r="D1909" i="62917" s="1"/>
  <c r="D1910" i="62917" s="1"/>
  <c r="D1911" i="62917" s="1"/>
  <c r="D1912" i="62917" s="1"/>
  <c r="D1913" i="62917" s="1"/>
  <c r="D1914" i="62917" s="1"/>
  <c r="D1915" i="62917" s="1"/>
  <c r="D1916" i="62917" s="1"/>
  <c r="D1917" i="62917" s="1"/>
  <c r="D1918" i="62917" s="1"/>
  <c r="D1919" i="62917" s="1"/>
  <c r="D1920" i="62917" s="1"/>
  <c r="D1921" i="62917" s="1"/>
  <c r="D1922" i="62917" s="1"/>
  <c r="D1923" i="62917" s="1"/>
  <c r="D1924" i="62917" s="1"/>
  <c r="D2166" i="62917"/>
  <c r="D2167" i="62917" s="1"/>
  <c r="D2168" i="62917" s="1"/>
  <c r="D2169" i="62917" s="1"/>
  <c r="D2170" i="62917" s="1"/>
  <c r="D2171" i="62917" s="1"/>
  <c r="D2172" i="62917" s="1"/>
  <c r="D2173" i="62917" s="1"/>
  <c r="D2174" i="62917" s="1"/>
  <c r="D2175" i="62917" s="1"/>
  <c r="D2176" i="62917" s="1"/>
  <c r="D2177" i="62917" s="1"/>
  <c r="D2178" i="62917" s="1"/>
  <c r="D2179" i="62917" s="1"/>
  <c r="C2158" i="62917"/>
  <c r="D399" i="62923"/>
  <c r="C398" i="62923" s="1"/>
  <c r="C393" i="62923"/>
  <c r="C392" i="62923"/>
  <c r="D334" i="62923"/>
  <c r="E336" i="62923"/>
  <c r="E299" i="62923"/>
  <c r="D299" i="62923" s="1"/>
  <c r="D285" i="62923"/>
  <c r="D286" i="62923" s="1"/>
  <c r="E300" i="62923"/>
  <c r="C196" i="62922"/>
  <c r="D156" i="62924"/>
  <c r="D157" i="62924" s="1"/>
  <c r="D158" i="62924" s="1"/>
  <c r="D159" i="62924" s="1"/>
  <c r="D160" i="62924" s="1"/>
  <c r="D161" i="62924" s="1"/>
  <c r="D162" i="62924" s="1"/>
  <c r="D163" i="62924" s="1"/>
  <c r="D164" i="62924" s="1"/>
  <c r="D165" i="62924" s="1"/>
  <c r="D166" i="62924" s="1"/>
  <c r="D167" i="62924" s="1"/>
  <c r="D168" i="62924" s="1"/>
  <c r="D169" i="62924" s="1"/>
  <c r="D170" i="62924" s="1"/>
  <c r="D171" i="62924" s="1"/>
  <c r="D172" i="62924" s="1"/>
  <c r="D173" i="62924" s="1"/>
  <c r="D174" i="62924" s="1"/>
  <c r="D175" i="62924" s="1"/>
  <c r="D176" i="62924" s="1"/>
  <c r="D177" i="62924" s="1"/>
  <c r="D178" i="62924" s="1"/>
  <c r="D179" i="62924" s="1"/>
  <c r="D180" i="62924" s="1"/>
  <c r="D181" i="62924" s="1"/>
  <c r="D182" i="62924" s="1"/>
  <c r="D183" i="62924" s="1"/>
  <c r="D184" i="62924" s="1"/>
  <c r="D185" i="62924" s="1"/>
  <c r="D186" i="62924" s="1"/>
  <c r="D187" i="62924" s="1"/>
  <c r="D188" i="62924" s="1"/>
  <c r="D189" i="62924" s="1"/>
  <c r="D190" i="62924" s="1"/>
  <c r="D191" i="62924" s="1"/>
  <c r="D192" i="62924" s="1"/>
  <c r="D193" i="62924" s="1"/>
  <c r="D194" i="62924" s="1"/>
  <c r="D195" i="62924" s="1"/>
  <c r="D196" i="62924" s="1"/>
  <c r="D197" i="62924" s="1"/>
  <c r="D198" i="62924" s="1"/>
  <c r="D199" i="62924" s="1"/>
  <c r="D200" i="62924" s="1"/>
  <c r="D201" i="62924" s="1"/>
  <c r="D202" i="62924" s="1"/>
  <c r="D203" i="62924" s="1"/>
  <c r="D204" i="62924" s="1"/>
  <c r="D205" i="62924" s="1"/>
  <c r="D206" i="62924" s="1"/>
  <c r="D207" i="62924" s="1"/>
  <c r="D208" i="62924" s="1"/>
  <c r="D209" i="62924" s="1"/>
  <c r="D210" i="62924" s="1"/>
  <c r="D211" i="62924" s="1"/>
  <c r="D212" i="62924" s="1"/>
  <c r="D213" i="62924" s="1"/>
  <c r="D214" i="62924" s="1"/>
  <c r="C161" i="62924" s="1"/>
  <c r="E954" i="62919"/>
  <c r="E955" i="62919" s="1"/>
  <c r="E956" i="62919" s="1"/>
  <c r="C918" i="62919"/>
  <c r="D420" i="62919"/>
  <c r="D421" i="62919" s="1"/>
  <c r="D422" i="62919" s="1"/>
  <c r="D423" i="62919" s="1"/>
  <c r="D424" i="62919" s="1"/>
  <c r="D425" i="62919" s="1"/>
  <c r="D426" i="62919" s="1"/>
  <c r="D427" i="62919" s="1"/>
  <c r="D428" i="62919" s="1"/>
  <c r="D429" i="62919" s="1"/>
  <c r="D430" i="62919" s="1"/>
  <c r="D431" i="62919" s="1"/>
  <c r="D432" i="62919" s="1"/>
  <c r="D433" i="62919" s="1"/>
  <c r="D434" i="62919" s="1"/>
  <c r="D435" i="62919" s="1"/>
  <c r="D436" i="62919" s="1"/>
  <c r="D437" i="62919" s="1"/>
  <c r="D438" i="62919" s="1"/>
  <c r="D439" i="62919" s="1"/>
  <c r="D440" i="62919" s="1"/>
  <c r="D441" i="62919" s="1"/>
  <c r="D442" i="62919" s="1"/>
  <c r="D443" i="62919" s="1"/>
  <c r="D444" i="62919" s="1"/>
  <c r="D445" i="62919" s="1"/>
  <c r="D446" i="62919" s="1"/>
  <c r="D447" i="62919" s="1"/>
  <c r="D448" i="62919" s="1"/>
  <c r="D449" i="62919" s="1"/>
  <c r="D450" i="62919" s="1"/>
  <c r="D451" i="62919" s="1"/>
  <c r="D452" i="62919" s="1"/>
  <c r="D453" i="62919" s="1"/>
  <c r="D454" i="62919" s="1"/>
  <c r="D455" i="62919" s="1"/>
  <c r="D456" i="62919" s="1"/>
  <c r="D457" i="62919" s="1"/>
  <c r="D458" i="62919" s="1"/>
  <c r="D459" i="62919" s="1"/>
  <c r="D460" i="62919" s="1"/>
  <c r="D461" i="62919" s="1"/>
  <c r="D462" i="62919" s="1"/>
  <c r="D463" i="62919" s="1"/>
  <c r="D464" i="62919" s="1"/>
  <c r="D465" i="62919" s="1"/>
  <c r="D466" i="62919" s="1"/>
  <c r="D467" i="62919" s="1"/>
  <c r="D468" i="62919" s="1"/>
  <c r="D469" i="62919" s="1"/>
  <c r="D470" i="62919" s="1"/>
  <c r="D471" i="62919" s="1"/>
  <c r="D472" i="62919" s="1"/>
  <c r="D473" i="62919" s="1"/>
  <c r="D474" i="62919" s="1"/>
  <c r="D475" i="62919" s="1"/>
  <c r="D476" i="62919" s="1"/>
  <c r="D477" i="62919" s="1"/>
  <c r="D478" i="62919" s="1"/>
  <c r="D479" i="62919" s="1"/>
  <c r="D480" i="62919" s="1"/>
  <c r="D481" i="62919" s="1"/>
  <c r="D482" i="62919" s="1"/>
  <c r="D483" i="62919" s="1"/>
  <c r="D484" i="62919" s="1"/>
  <c r="D485" i="62919" s="1"/>
  <c r="D486" i="62919" s="1"/>
  <c r="D487" i="62919" s="1"/>
  <c r="D488" i="62919" s="1"/>
  <c r="D489" i="62919" s="1"/>
  <c r="D490" i="62919" s="1"/>
  <c r="D491" i="62919" s="1"/>
  <c r="D492" i="62919" s="1"/>
  <c r="D493" i="62919" s="1"/>
  <c r="D494" i="62919" s="1"/>
  <c r="D495" i="62919" s="1"/>
  <c r="D496" i="62919" s="1"/>
  <c r="D497" i="62919" s="1"/>
  <c r="D498" i="62919" s="1"/>
  <c r="D499" i="62919" s="1"/>
  <c r="D500" i="62919" s="1"/>
  <c r="D501" i="62919" s="1"/>
  <c r="D502" i="62919" s="1"/>
  <c r="D503" i="62919" s="1"/>
  <c r="D504" i="62919" s="1"/>
  <c r="D505" i="62919" s="1"/>
  <c r="D506" i="62919" s="1"/>
  <c r="D507" i="62919" s="1"/>
  <c r="D508" i="62919" s="1"/>
  <c r="D509" i="62919" s="1"/>
  <c r="D510" i="62919" s="1"/>
  <c r="D511" i="62919" s="1"/>
  <c r="D512" i="62919" s="1"/>
  <c r="D513" i="62919" s="1"/>
  <c r="D514" i="62919" s="1"/>
  <c r="D515" i="62919" s="1"/>
  <c r="D516" i="62919" s="1"/>
  <c r="D517" i="62919" s="1"/>
  <c r="D518" i="62919" s="1"/>
  <c r="D519" i="62919" s="1"/>
  <c r="D520" i="62919" s="1"/>
  <c r="D521" i="62919" s="1"/>
  <c r="D522" i="62919" s="1"/>
  <c r="D523" i="62919" s="1"/>
  <c r="D524" i="62919" s="1"/>
  <c r="D525" i="62919" s="1"/>
  <c r="D526" i="62919" s="1"/>
  <c r="D527" i="62919" s="1"/>
  <c r="D528" i="62919" s="1"/>
  <c r="D529" i="62919" s="1"/>
  <c r="D530" i="62919" s="1"/>
  <c r="D531" i="62919" s="1"/>
  <c r="D532" i="62919" s="1"/>
  <c r="D533" i="62919" s="1"/>
  <c r="D534" i="62919" s="1"/>
  <c r="D535" i="62919" s="1"/>
  <c r="D536" i="62919" s="1"/>
  <c r="D537" i="62919" s="1"/>
  <c r="D538" i="62919" s="1"/>
  <c r="D539" i="62919" s="1"/>
  <c r="D540" i="62919" s="1"/>
  <c r="D541" i="62919" s="1"/>
  <c r="D542" i="62919" s="1"/>
  <c r="D543" i="62919" s="1"/>
  <c r="D544" i="62919" s="1"/>
  <c r="D545" i="62919" s="1"/>
  <c r="D546" i="62919" s="1"/>
  <c r="D547" i="62919" s="1"/>
  <c r="D548" i="62919" s="1"/>
  <c r="D549" i="62919" s="1"/>
  <c r="D550" i="62919" s="1"/>
  <c r="D551" i="62919" s="1"/>
  <c r="D552" i="62919" s="1"/>
  <c r="D553" i="62919" s="1"/>
  <c r="D554" i="62919" s="1"/>
  <c r="D555" i="62919" s="1"/>
  <c r="D556" i="62919" s="1"/>
  <c r="D557" i="62919" s="1"/>
  <c r="D558" i="62919" s="1"/>
  <c r="D559" i="62919" s="1"/>
  <c r="D560" i="62919" s="1"/>
  <c r="D561" i="62919" s="1"/>
  <c r="D562" i="62919" s="1"/>
  <c r="D563" i="62919" s="1"/>
  <c r="D564" i="62919" s="1"/>
  <c r="D565" i="62919" s="1"/>
  <c r="D566" i="62919" s="1"/>
  <c r="D567" i="62919" s="1"/>
  <c r="D568" i="62919" s="1"/>
  <c r="D569" i="62919" s="1"/>
  <c r="D570" i="62919" s="1"/>
  <c r="D571" i="62919" s="1"/>
  <c r="D572" i="62919" s="1"/>
  <c r="D573" i="62919" s="1"/>
  <c r="D574" i="62919" s="1"/>
  <c r="D575" i="62919" s="1"/>
  <c r="D576" i="62919" s="1"/>
  <c r="D577" i="62919" s="1"/>
  <c r="D578" i="62919" s="1"/>
  <c r="D579" i="62919" s="1"/>
  <c r="D580" i="62919" s="1"/>
  <c r="D581" i="62919" s="1"/>
  <c r="D582" i="62919" s="1"/>
  <c r="D583" i="62919" s="1"/>
  <c r="D584" i="62919" s="1"/>
  <c r="D585" i="62919" s="1"/>
  <c r="D586" i="62919" s="1"/>
  <c r="D587" i="62919" s="1"/>
  <c r="D588" i="62919" s="1"/>
  <c r="D589" i="62919" s="1"/>
  <c r="D590" i="62919" s="1"/>
  <c r="D591" i="62919" s="1"/>
  <c r="D592" i="62919" s="1"/>
  <c r="D593" i="62919" s="1"/>
  <c r="D594" i="62919" s="1"/>
  <c r="D595" i="62919" s="1"/>
  <c r="D596" i="62919" s="1"/>
  <c r="D597" i="62919" s="1"/>
  <c r="D598" i="62919" s="1"/>
  <c r="D599" i="62919" s="1"/>
  <c r="D600" i="62919" s="1"/>
  <c r="D601" i="62919" s="1"/>
  <c r="D602" i="62919" s="1"/>
  <c r="D603" i="62919" s="1"/>
  <c r="D604" i="62919" s="1"/>
  <c r="D605" i="62919" s="1"/>
  <c r="D606" i="62919" s="1"/>
  <c r="D607" i="62919" s="1"/>
  <c r="D608" i="62919" s="1"/>
  <c r="D609" i="62919" s="1"/>
  <c r="D610" i="62919" s="1"/>
  <c r="D611" i="62919" s="1"/>
  <c r="D612" i="62919" s="1"/>
  <c r="D613" i="62919" s="1"/>
  <c r="D614" i="62919" s="1"/>
  <c r="D615" i="62919" s="1"/>
  <c r="D616" i="62919" s="1"/>
  <c r="D617" i="62919" s="1"/>
  <c r="D618" i="62919" s="1"/>
  <c r="D619" i="62919" s="1"/>
  <c r="D620" i="62919" s="1"/>
  <c r="D621" i="62919" s="1"/>
  <c r="C415" i="62919" s="1"/>
  <c r="C413" i="62919"/>
  <c r="E11" i="62907"/>
  <c r="D11" i="62907"/>
  <c r="E6" i="62907"/>
  <c r="D6" i="62907"/>
  <c r="D14" i="62907"/>
  <c r="C193" i="62922"/>
  <c r="C199" i="62922"/>
  <c r="C195" i="62922"/>
  <c r="C189" i="62922"/>
  <c r="D1749" i="62919"/>
  <c r="C1409" i="62919"/>
  <c r="C1423" i="62919"/>
  <c r="C1407" i="62919"/>
  <c r="D1377" i="62919"/>
  <c r="D1378" i="62919" s="1"/>
  <c r="D1379" i="62919" s="1"/>
  <c r="D1380" i="62919" s="1"/>
  <c r="D1381" i="62919" s="1"/>
  <c r="D1382" i="62919" s="1"/>
  <c r="D1383" i="62919" s="1"/>
  <c r="D1384" i="62919" s="1"/>
  <c r="D1385" i="62919" s="1"/>
  <c r="D1386" i="62919" s="1"/>
  <c r="D1387" i="62919" s="1"/>
  <c r="D1388" i="62919" s="1"/>
  <c r="D1389" i="62919" s="1"/>
  <c r="D1390" i="62919" s="1"/>
  <c r="D1391" i="62919" s="1"/>
  <c r="D1392" i="62919" s="1"/>
  <c r="D1393" i="62919" s="1"/>
  <c r="C1366" i="62919" s="1"/>
  <c r="C1420" i="62919"/>
  <c r="C1436" i="62919"/>
  <c r="C1418" i="62919"/>
  <c r="C1408" i="62919"/>
  <c r="C1441" i="62919"/>
  <c r="C1430" i="62919"/>
  <c r="C1410" i="62919"/>
  <c r="C1416" i="62919"/>
  <c r="C1422" i="62919"/>
  <c r="C1442" i="62919"/>
  <c r="C1440" i="62919"/>
  <c r="C1448" i="62919"/>
  <c r="C1449" i="62919"/>
  <c r="C1500" i="62919"/>
  <c r="C1453" i="62919"/>
  <c r="C1477" i="62919"/>
  <c r="C1456" i="62919"/>
  <c r="C1434" i="62919"/>
  <c r="C1421" i="62919"/>
  <c r="C1433" i="62919"/>
  <c r="C1435" i="62919"/>
  <c r="C1462" i="62919"/>
  <c r="C1513" i="62919"/>
  <c r="C1552" i="62919"/>
  <c r="C1470" i="62919"/>
  <c r="C1502" i="62919"/>
  <c r="C1466" i="62919"/>
  <c r="C1479" i="62919"/>
  <c r="C1455" i="62919"/>
  <c r="C1473" i="62919"/>
  <c r="C1417" i="62919"/>
  <c r="C1507" i="62919"/>
  <c r="C1446" i="62919"/>
  <c r="C1480" i="62919"/>
  <c r="C1524" i="62919"/>
  <c r="C1523" i="62919"/>
  <c r="C1451" i="62919"/>
  <c r="C1517" i="62919"/>
  <c r="C1538" i="62919"/>
  <c r="C1491" i="62919"/>
  <c r="C1460" i="62919"/>
  <c r="C1542" i="62919"/>
  <c r="C1485" i="62919"/>
  <c r="C1413" i="62919"/>
  <c r="C1471" i="62919"/>
  <c r="C1544" i="62919"/>
  <c r="C1495" i="62919"/>
  <c r="C1533" i="62919"/>
  <c r="C1474" i="62919"/>
  <c r="C1534" i="62919"/>
  <c r="C1486" i="62919"/>
  <c r="C1527" i="62919"/>
  <c r="C1468" i="62919"/>
  <c r="C1454" i="62919"/>
  <c r="C1505" i="62919"/>
  <c r="C1415" i="62919"/>
  <c r="C1532" i="62919"/>
  <c r="C1526" i="62919"/>
  <c r="C1547" i="62919"/>
  <c r="C1458" i="62919"/>
  <c r="C1522" i="62919"/>
  <c r="C1499" i="62919"/>
  <c r="C1493" i="62919"/>
  <c r="C1431" i="62919"/>
  <c r="C1419" i="62919"/>
  <c r="C1437" i="62919"/>
  <c r="C1426" i="62919"/>
  <c r="C1432" i="62919"/>
  <c r="C1496" i="62919"/>
  <c r="C1506" i="62919"/>
  <c r="C1475" i="62919"/>
  <c r="C1530" i="62919"/>
  <c r="C1498" i="62919"/>
  <c r="C1461" i="62919"/>
  <c r="C1412" i="62919"/>
  <c r="C1478" i="62919"/>
  <c r="C1510" i="62919"/>
  <c r="C1438" i="62919"/>
  <c r="C1518" i="62919"/>
  <c r="C1489" i="62919"/>
  <c r="C1531" i="62919"/>
  <c r="C1490" i="62919"/>
  <c r="C1509" i="62919"/>
  <c r="C1548" i="62919"/>
  <c r="C1488" i="62919"/>
  <c r="C1447" i="62919"/>
  <c r="C1492" i="62919"/>
  <c r="C1508" i="62919"/>
  <c r="C1472" i="62919"/>
  <c r="C1503" i="62919"/>
  <c r="C1450" i="62919"/>
  <c r="C1521" i="62919"/>
  <c r="C1483" i="62919"/>
  <c r="C1514" i="62919"/>
  <c r="C1424" i="62919"/>
  <c r="C1553" i="62919"/>
  <c r="C1469" i="62919"/>
  <c r="C1428" i="62919"/>
  <c r="C1528" i="62919"/>
  <c r="C1535" i="62919"/>
  <c r="C1541" i="62919"/>
  <c r="C1439" i="62919"/>
  <c r="C1411" i="62919"/>
  <c r="C1414" i="62919"/>
  <c r="C1525" i="62919"/>
  <c r="C1429" i="62919"/>
  <c r="C1497" i="62919"/>
  <c r="C1515" i="62919"/>
  <c r="C1539" i="62919"/>
  <c r="C1520" i="62919"/>
  <c r="C1512" i="62919"/>
  <c r="C1540" i="62919"/>
  <c r="C1550" i="62919"/>
  <c r="C1484" i="62919"/>
  <c r="C1427" i="62919"/>
  <c r="C1444" i="62919"/>
  <c r="C1494" i="62919"/>
  <c r="C1511" i="62919"/>
  <c r="C1516" i="62919"/>
  <c r="C1482" i="62919"/>
  <c r="C1546" i="62919"/>
  <c r="C1543" i="62919"/>
  <c r="C1465" i="62919"/>
  <c r="C1504" i="62919"/>
  <c r="C1445" i="62919"/>
  <c r="C1536" i="62919"/>
  <c r="C1529" i="62919"/>
  <c r="C1459" i="62919"/>
  <c r="C1443" i="62919"/>
  <c r="C1467" i="62919"/>
  <c r="C1549" i="62919"/>
  <c r="C1457" i="62919"/>
  <c r="C1519" i="62919"/>
  <c r="C1501" i="62919"/>
  <c r="C1476" i="62919"/>
  <c r="C1452" i="62919"/>
  <c r="C1463" i="62919"/>
  <c r="C1551" i="62919"/>
  <c r="C1425" i="62919"/>
  <c r="C1464" i="62919"/>
  <c r="C1537" i="62919"/>
  <c r="C1481" i="62919"/>
  <c r="C1487" i="62919"/>
  <c r="D1283" i="62919"/>
  <c r="C1282" i="62919"/>
  <c r="D1565" i="62919"/>
  <c r="C360" i="62919"/>
  <c r="C354" i="62919"/>
  <c r="D634" i="62919"/>
  <c r="D2196" i="62917"/>
  <c r="E50" i="62921"/>
  <c r="C47" i="62921"/>
  <c r="D48" i="62921"/>
  <c r="D49" i="62921" s="1"/>
  <c r="G584" i="5"/>
  <c r="D233" i="62924"/>
  <c r="D872" i="62921"/>
  <c r="C871" i="62921"/>
  <c r="C2297" i="62917"/>
  <c r="E2436" i="62917"/>
  <c r="E2437" i="62917" s="1"/>
  <c r="D1593" i="62917"/>
  <c r="C1593" i="62917" s="1"/>
  <c r="E1594" i="62917"/>
  <c r="C2429" i="62917"/>
  <c r="D2430" i="62917"/>
  <c r="H45" i="9"/>
  <c r="D47" i="62924"/>
  <c r="C99" i="62924"/>
  <c r="C98" i="62924"/>
  <c r="D518" i="62922"/>
  <c r="E520" i="62922"/>
  <c r="E295" i="62921"/>
  <c r="C327" i="62921"/>
  <c r="C316" i="62921"/>
  <c r="C322" i="62921"/>
  <c r="C999" i="62921"/>
  <c r="C319" i="62921"/>
  <c r="C1001" i="62921"/>
  <c r="C317" i="62921"/>
  <c r="C321" i="62921"/>
  <c r="C323" i="62921"/>
  <c r="M138" i="62892"/>
  <c r="C285" i="62922"/>
  <c r="C273" i="62922"/>
  <c r="E131" i="62918"/>
  <c r="E132" i="62918" s="1"/>
  <c r="I156" i="62905"/>
  <c r="D128" i="62918"/>
  <c r="D129" i="62918" s="1"/>
  <c r="D130" i="62918" s="1"/>
  <c r="C104" i="62918"/>
  <c r="C97" i="62918"/>
  <c r="C118" i="62918"/>
  <c r="C101" i="62918"/>
  <c r="C110" i="62918"/>
  <c r="C109" i="62918"/>
  <c r="D113" i="62919"/>
  <c r="D228" i="62919"/>
  <c r="D229" i="62919" s="1"/>
  <c r="D230" i="62919" s="1"/>
  <c r="D231" i="62919" s="1"/>
  <c r="D232" i="62919" s="1"/>
  <c r="D233" i="62919" s="1"/>
  <c r="D234" i="62919" s="1"/>
  <c r="D235" i="62919" s="1"/>
  <c r="D236" i="62919" s="1"/>
  <c r="D237" i="62919" s="1"/>
  <c r="D238" i="62919" s="1"/>
  <c r="D239" i="62919" s="1"/>
  <c r="D240" i="62919" s="1"/>
  <c r="D241" i="62919" s="1"/>
  <c r="D242" i="62919" s="1"/>
  <c r="D243" i="62919" s="1"/>
  <c r="D244" i="62919" s="1"/>
  <c r="D245" i="62919" s="1"/>
  <c r="D246" i="62919" s="1"/>
  <c r="D247" i="62919" s="1"/>
  <c r="D248" i="62919" s="1"/>
  <c r="D249" i="62919" s="1"/>
  <c r="D250" i="62919" s="1"/>
  <c r="D251" i="62919" s="1"/>
  <c r="D252" i="62919" s="1"/>
  <c r="D253" i="62919" s="1"/>
  <c r="D254" i="62919" s="1"/>
  <c r="D255" i="62919" s="1"/>
  <c r="D256" i="62919" s="1"/>
  <c r="D257" i="62919" s="1"/>
  <c r="D258" i="62919" s="1"/>
  <c r="D259" i="62919" s="1"/>
  <c r="D260" i="62919" s="1"/>
  <c r="D261" i="62919" s="1"/>
  <c r="D262" i="62919" s="1"/>
  <c r="D263" i="62919" s="1"/>
  <c r="D264" i="62919" s="1"/>
  <c r="D265" i="62919" s="1"/>
  <c r="D266" i="62919" s="1"/>
  <c r="D267" i="62919" s="1"/>
  <c r="D268" i="62919" s="1"/>
  <c r="D269" i="62919" s="1"/>
  <c r="D270" i="62919" s="1"/>
  <c r="D271" i="62919" s="1"/>
  <c r="D272" i="62919" s="1"/>
  <c r="D273" i="62919" s="1"/>
  <c r="D274" i="62919" s="1"/>
  <c r="D275" i="62919" s="1"/>
  <c r="D276" i="62919" s="1"/>
  <c r="D277" i="62919" s="1"/>
  <c r="D278" i="62919" s="1"/>
  <c r="D279" i="62919" s="1"/>
  <c r="D280" i="62919" s="1"/>
  <c r="D281" i="62919" s="1"/>
  <c r="D282" i="62919" s="1"/>
  <c r="D283" i="62919" s="1"/>
  <c r="D284" i="62919" s="1"/>
  <c r="D285" i="62919" s="1"/>
  <c r="D286" i="62919" s="1"/>
  <c r="C263" i="62919" s="1"/>
  <c r="C227" i="62919"/>
  <c r="L135" i="62892"/>
  <c r="K135" i="62892"/>
  <c r="C10" i="62907"/>
  <c r="D23" i="62919"/>
  <c r="C18" i="62919" s="1"/>
  <c r="M135" i="62892"/>
  <c r="C95" i="62924"/>
  <c r="I98" i="9" s="1"/>
  <c r="C97" i="62924"/>
  <c r="N138" i="62892"/>
  <c r="K138" i="62892"/>
  <c r="C13" i="62907"/>
  <c r="F13" i="62907" s="1"/>
  <c r="C96" i="62924"/>
  <c r="D101" i="62924"/>
  <c r="D102" i="62924" s="1"/>
  <c r="D103" i="62924" s="1"/>
  <c r="D104" i="62924" s="1"/>
  <c r="D105" i="62924" s="1"/>
  <c r="D106" i="62924" s="1"/>
  <c r="D107" i="62924" s="1"/>
  <c r="C100" i="62924"/>
  <c r="I103" i="62904"/>
  <c r="D34" i="62924"/>
  <c r="D35" i="62924" s="1"/>
  <c r="D36" i="62924" s="1"/>
  <c r="C995" i="62921"/>
  <c r="C996" i="62921"/>
  <c r="J734" i="5"/>
  <c r="J19" i="62915"/>
  <c r="C998" i="62921"/>
  <c r="C997" i="62921"/>
  <c r="C1000" i="62921"/>
  <c r="L21" i="62914"/>
  <c r="L702" i="5"/>
  <c r="I668" i="5"/>
  <c r="I19" i="62912"/>
  <c r="E26" i="62929"/>
  <c r="Q26" i="62929" s="1"/>
  <c r="Q21" i="62914"/>
  <c r="E97" i="62929"/>
  <c r="D105" i="62929"/>
  <c r="C116" i="62918"/>
  <c r="C117" i="62918"/>
  <c r="C120" i="62918"/>
  <c r="C100" i="62918"/>
  <c r="C102" i="62918"/>
  <c r="C98" i="62918"/>
  <c r="C111" i="62918"/>
  <c r="C123" i="62918"/>
  <c r="C122" i="62918"/>
  <c r="C119" i="62918"/>
  <c r="C106" i="62918"/>
  <c r="C121" i="62918"/>
  <c r="C107" i="62918"/>
  <c r="C103" i="62918"/>
  <c r="C105" i="62918"/>
  <c r="C108" i="62918"/>
  <c r="C124" i="62918"/>
  <c r="C99" i="62918"/>
  <c r="C114" i="62918"/>
  <c r="C96" i="62918"/>
  <c r="C113" i="62918"/>
  <c r="C112" i="62918"/>
  <c r="C115" i="62918"/>
  <c r="AQ152" i="62905"/>
  <c r="V152" i="62905"/>
  <c r="D22" i="62918"/>
  <c r="AM184" i="2"/>
  <c r="Q184" i="2"/>
  <c r="D185" i="2"/>
  <c r="X185" i="2"/>
  <c r="D100" i="62904"/>
  <c r="AC100" i="62904"/>
  <c r="D186" i="2"/>
  <c r="X186" i="2"/>
  <c r="AC154" i="62905"/>
  <c r="D154" i="62905"/>
  <c r="V99" i="62904"/>
  <c r="AK99" i="62904"/>
  <c r="H188" i="2"/>
  <c r="D153" i="62905"/>
  <c r="AC153" i="62905"/>
  <c r="D101" i="62904"/>
  <c r="AC101" i="62904"/>
  <c r="C127" i="62918"/>
  <c r="C324" i="62921"/>
  <c r="C320" i="62921"/>
  <c r="C326" i="62921"/>
  <c r="C325" i="62921"/>
  <c r="C318" i="62921"/>
  <c r="C328" i="62921"/>
  <c r="E1870" i="62919"/>
  <c r="E1871" i="62919" s="1"/>
  <c r="D1043" i="62919"/>
  <c r="D179" i="62919"/>
  <c r="C179" i="62919" s="1"/>
  <c r="D1865" i="62919"/>
  <c r="D264" i="62923"/>
  <c r="D265" i="62923" s="1"/>
  <c r="D266" i="62923" s="1"/>
  <c r="E267" i="62923"/>
  <c r="D2299" i="62917"/>
  <c r="C2299" i="62917" s="1"/>
  <c r="E2300" i="62917"/>
  <c r="D927" i="62919"/>
  <c r="D928" i="62919" s="1"/>
  <c r="D929" i="62919" s="1"/>
  <c r="D930" i="62919" s="1"/>
  <c r="D931" i="62919" s="1"/>
  <c r="D932" i="62919" s="1"/>
  <c r="D933" i="62919" s="1"/>
  <c r="D934" i="62919" s="1"/>
  <c r="D935" i="62919" s="1"/>
  <c r="D936" i="62919" s="1"/>
  <c r="D937" i="62919" s="1"/>
  <c r="D938" i="62919" s="1"/>
  <c r="D939" i="62919" s="1"/>
  <c r="D940" i="62919" s="1"/>
  <c r="D941" i="62919" s="1"/>
  <c r="D942" i="62919" s="1"/>
  <c r="D943" i="62919" s="1"/>
  <c r="D944" i="62919" s="1"/>
  <c r="D945" i="62919" s="1"/>
  <c r="D1773" i="62919"/>
  <c r="D1007" i="62919"/>
  <c r="D872" i="62919"/>
  <c r="C864" i="62919" s="1"/>
  <c r="D1238" i="62919"/>
  <c r="D1239" i="62919" s="1"/>
  <c r="D1240" i="62919" s="1"/>
  <c r="D1241" i="62919" s="1"/>
  <c r="D1242" i="62919" s="1"/>
  <c r="D1243" i="62919" s="1"/>
  <c r="D1244" i="62919" s="1"/>
  <c r="D1245" i="62919" s="1"/>
  <c r="D1246" i="62919" s="1"/>
  <c r="D1247" i="62919" s="1"/>
  <c r="D1248" i="62919" s="1"/>
  <c r="D1249" i="62919" s="1"/>
  <c r="D1250" i="62919" s="1"/>
  <c r="D1251" i="62919" s="1"/>
  <c r="D1252" i="62919" s="1"/>
  <c r="D1253" i="62919" s="1"/>
  <c r="D1254" i="62919" s="1"/>
  <c r="D1255" i="62919" s="1"/>
  <c r="D1256" i="62919" s="1"/>
  <c r="D1257" i="62919" s="1"/>
  <c r="D1258" i="62919" s="1"/>
  <c r="D1259" i="62919" s="1"/>
  <c r="D1260" i="62919" s="1"/>
  <c r="D1261" i="62919" s="1"/>
  <c r="D1262" i="62919" s="1"/>
  <c r="D1263" i="62919" s="1"/>
  <c r="D1264" i="62919" s="1"/>
  <c r="D1265" i="62919" s="1"/>
  <c r="D1266" i="62919" s="1"/>
  <c r="D1267" i="62919" s="1"/>
  <c r="D1268" i="62919" s="1"/>
  <c r="C1244" i="62919" s="1"/>
  <c r="E1071" i="62919"/>
  <c r="E1072" i="62919" s="1"/>
  <c r="E1073" i="62919" s="1"/>
  <c r="E1074" i="62919" s="1"/>
  <c r="E1075" i="62919" s="1"/>
  <c r="E1076" i="62919" s="1"/>
  <c r="E1077" i="62919" s="1"/>
  <c r="E1078" i="62919" s="1"/>
  <c r="E1079" i="62919" s="1"/>
  <c r="E1080" i="62919" s="1"/>
  <c r="E1081" i="62919" s="1"/>
  <c r="E1082" i="62919" s="1"/>
  <c r="E1083" i="62919" s="1"/>
  <c r="E1084" i="62919" s="1"/>
  <c r="E1085" i="62919" s="1"/>
  <c r="E1086" i="62919" s="1"/>
  <c r="E1087" i="62919" s="1"/>
  <c r="E1088" i="62919" s="1"/>
  <c r="E1089" i="62919" s="1"/>
  <c r="E1090" i="62919" s="1"/>
  <c r="E1091" i="62919" s="1"/>
  <c r="E1092" i="62919" s="1"/>
  <c r="E1093" i="62919" s="1"/>
  <c r="E1094" i="62919" s="1"/>
  <c r="E1095" i="62919" s="1"/>
  <c r="E1096" i="62919" s="1"/>
  <c r="E1097" i="62919" s="1"/>
  <c r="E1098" i="62919" s="1"/>
  <c r="E1099" i="62919" s="1"/>
  <c r="E1100" i="62919" s="1"/>
  <c r="E1101" i="62919" s="1"/>
  <c r="E1102" i="62919" s="1"/>
  <c r="E1103" i="62919" s="1"/>
  <c r="E1104" i="62919" s="1"/>
  <c r="E1105" i="62919" s="1"/>
  <c r="E1106" i="62919" s="1"/>
  <c r="E1107" i="62919" s="1"/>
  <c r="E1108" i="62919" s="1"/>
  <c r="E1109" i="62919" s="1"/>
  <c r="E1110" i="62919" s="1"/>
  <c r="E1111" i="62919" s="1"/>
  <c r="E1112" i="62919" s="1"/>
  <c r="E1113" i="62919" s="1"/>
  <c r="E1114" i="62919" s="1"/>
  <c r="E1115" i="62919" s="1"/>
  <c r="E1116" i="62919" s="1"/>
  <c r="E1117" i="62919" s="1"/>
  <c r="E1118" i="62919" s="1"/>
  <c r="E1119" i="62919" s="1"/>
  <c r="E1120" i="62919" s="1"/>
  <c r="E1121" i="62919" s="1"/>
  <c r="C17" i="62919"/>
  <c r="D44" i="62919"/>
  <c r="D45" i="62919" s="1"/>
  <c r="D46" i="62919" s="1"/>
  <c r="D47" i="62919" s="1"/>
  <c r="D48" i="62919" s="1"/>
  <c r="D49" i="62919" s="1"/>
  <c r="C47" i="62919" s="1"/>
  <c r="C43" i="62919"/>
  <c r="E28" i="62919"/>
  <c r="E29" i="62919" s="1"/>
  <c r="D66" i="62919"/>
  <c r="C1583" i="62917"/>
  <c r="C1592" i="62917"/>
  <c r="C1587" i="62917"/>
  <c r="C1585" i="62917"/>
  <c r="C1591" i="62917"/>
  <c r="C1584" i="62917"/>
  <c r="C1589" i="62917"/>
  <c r="C1586" i="62917"/>
  <c r="C1590" i="62917"/>
  <c r="E1483" i="62917"/>
  <c r="D59" i="62917"/>
  <c r="E60" i="62917"/>
  <c r="E61" i="62917" s="1"/>
  <c r="E62" i="62917" s="1"/>
  <c r="E63" i="62917" s="1"/>
  <c r="E64" i="62917" s="1"/>
  <c r="E65" i="62917" s="1"/>
  <c r="E66" i="62917" s="1"/>
  <c r="E67" i="62917" s="1"/>
  <c r="E68" i="62917" s="1"/>
  <c r="E69" i="62917" s="1"/>
  <c r="E70" i="62917" s="1"/>
  <c r="E71" i="62917" s="1"/>
  <c r="E72" i="62917" s="1"/>
  <c r="E73" i="62917" s="1"/>
  <c r="E74" i="62917" s="1"/>
  <c r="E75" i="62917" s="1"/>
  <c r="E76" i="62917" s="1"/>
  <c r="E77" i="62917" s="1"/>
  <c r="E78" i="62917" s="1"/>
  <c r="E79" i="62917" s="1"/>
  <c r="E80" i="62917" s="1"/>
  <c r="E81" i="62917" s="1"/>
  <c r="E82" i="62917" s="1"/>
  <c r="E83" i="62917" s="1"/>
  <c r="E84" i="62917" s="1"/>
  <c r="E85" i="62917" s="1"/>
  <c r="E86" i="62917" s="1"/>
  <c r="E87" i="62917" s="1"/>
  <c r="E88" i="62917" s="1"/>
  <c r="E89" i="62917" s="1"/>
  <c r="E90" i="62917" s="1"/>
  <c r="E91" i="62917" s="1"/>
  <c r="E92" i="62917" s="1"/>
  <c r="E93" i="62917" s="1"/>
  <c r="E96" i="62917" s="1"/>
  <c r="D24" i="62917"/>
  <c r="D940" i="62917"/>
  <c r="D941" i="62917" s="1"/>
  <c r="D942" i="62917" s="1"/>
  <c r="D943" i="62917" s="1"/>
  <c r="D944" i="62917" s="1"/>
  <c r="D945" i="62917" s="1"/>
  <c r="D946" i="62917" s="1"/>
  <c r="D947" i="62917" s="1"/>
  <c r="D948" i="62917" s="1"/>
  <c r="D949" i="62917" s="1"/>
  <c r="D950" i="62917" s="1"/>
  <c r="D951" i="62917" s="1"/>
  <c r="D952" i="62917" s="1"/>
  <c r="D953" i="62917" s="1"/>
  <c r="D954" i="62917" s="1"/>
  <c r="D955" i="62917" s="1"/>
  <c r="D956" i="62917" s="1"/>
  <c r="D957" i="62917" s="1"/>
  <c r="D958" i="62917" s="1"/>
  <c r="D959" i="62917" s="1"/>
  <c r="D960" i="62917" s="1"/>
  <c r="D961" i="62917" s="1"/>
  <c r="D962" i="62917" s="1"/>
  <c r="D963" i="62917" s="1"/>
  <c r="D964" i="62917" s="1"/>
  <c r="D965" i="62917" s="1"/>
  <c r="D966" i="62917" s="1"/>
  <c r="D967" i="62917" s="1"/>
  <c r="D968" i="62917" s="1"/>
  <c r="D969" i="62917" s="1"/>
  <c r="D970" i="62917" s="1"/>
  <c r="D971" i="62917" s="1"/>
  <c r="D972" i="62917" s="1"/>
  <c r="D973" i="62917" s="1"/>
  <c r="D974" i="62917" s="1"/>
  <c r="D975" i="62917" s="1"/>
  <c r="D976" i="62917" s="1"/>
  <c r="D977" i="62917" s="1"/>
  <c r="D978" i="62917" s="1"/>
  <c r="D979" i="62917" s="1"/>
  <c r="D980" i="62917" s="1"/>
  <c r="D981" i="62917" s="1"/>
  <c r="D982" i="62917" s="1"/>
  <c r="D983" i="62917" s="1"/>
  <c r="D984" i="62917" s="1"/>
  <c r="D985" i="62917" s="1"/>
  <c r="D986" i="62917" s="1"/>
  <c r="D987" i="62917" s="1"/>
  <c r="D988" i="62917" s="1"/>
  <c r="D989" i="62917" s="1"/>
  <c r="D990" i="62917" s="1"/>
  <c r="D991" i="62917" s="1"/>
  <c r="D992" i="62917" s="1"/>
  <c r="D993" i="62917" s="1"/>
  <c r="D994" i="62917" s="1"/>
  <c r="D995" i="62917" s="1"/>
  <c r="D996" i="62917" s="1"/>
  <c r="D997" i="62917" s="1"/>
  <c r="D998" i="62917" s="1"/>
  <c r="D999" i="62917" s="1"/>
  <c r="D1000" i="62917" s="1"/>
  <c r="D1001" i="62917" s="1"/>
  <c r="D1002" i="62917" s="1"/>
  <c r="D1003" i="62917" s="1"/>
  <c r="D1004" i="62917" s="1"/>
  <c r="D1005" i="62917" s="1"/>
  <c r="D1006" i="62917" s="1"/>
  <c r="D1007" i="62917" s="1"/>
  <c r="D1008" i="62917" s="1"/>
  <c r="D1009" i="62917" s="1"/>
  <c r="D1010" i="62917" s="1"/>
  <c r="D1011" i="62917" s="1"/>
  <c r="D1012" i="62917" s="1"/>
  <c r="D1013" i="62917" s="1"/>
  <c r="D1014" i="62917" s="1"/>
  <c r="D1015" i="62917" s="1"/>
  <c r="D1016" i="62917" s="1"/>
  <c r="D1017" i="62917" s="1"/>
  <c r="D1018" i="62917" s="1"/>
  <c r="D1019" i="62917" s="1"/>
  <c r="D1020" i="62917" s="1"/>
  <c r="D1021" i="62917" s="1"/>
  <c r="D1022" i="62917" s="1"/>
  <c r="D1023" i="62917" s="1"/>
  <c r="D1024" i="62917" s="1"/>
  <c r="D1025" i="62917" s="1"/>
  <c r="D1026" i="62917" s="1"/>
  <c r="D1027" i="62917" s="1"/>
  <c r="D1028" i="62917" s="1"/>
  <c r="D1029" i="62917" s="1"/>
  <c r="D1030" i="62917" s="1"/>
  <c r="D1031" i="62917" s="1"/>
  <c r="D1032" i="62917" s="1"/>
  <c r="D1033" i="62917" s="1"/>
  <c r="D1034" i="62917" s="1"/>
  <c r="D1035" i="62917" s="1"/>
  <c r="D1036" i="62917" s="1"/>
  <c r="D1037" i="62917" s="1"/>
  <c r="D1038" i="62917" s="1"/>
  <c r="D1039" i="62917" s="1"/>
  <c r="D1040" i="62917" s="1"/>
  <c r="D1041" i="62917" s="1"/>
  <c r="D1042" i="62917" s="1"/>
  <c r="D1043" i="62917" s="1"/>
  <c r="D1044" i="62917" s="1"/>
  <c r="D1045" i="62917" s="1"/>
  <c r="D1046" i="62917" s="1"/>
  <c r="D1047" i="62917" s="1"/>
  <c r="D1048" i="62917" s="1"/>
  <c r="D1049" i="62917" s="1"/>
  <c r="D1050" i="62917" s="1"/>
  <c r="D1051" i="62917" s="1"/>
  <c r="D1052" i="62917" s="1"/>
  <c r="D1053" i="62917" s="1"/>
  <c r="D1054" i="62917" s="1"/>
  <c r="D1055" i="62917" s="1"/>
  <c r="D1056" i="62917" s="1"/>
  <c r="D1057" i="62917" s="1"/>
  <c r="D1058" i="62917" s="1"/>
  <c r="D1059" i="62917" s="1"/>
  <c r="D1060" i="62917" s="1"/>
  <c r="D1061" i="62917" s="1"/>
  <c r="D1062" i="62917" s="1"/>
  <c r="D1063" i="62917" s="1"/>
  <c r="D1064" i="62917" s="1"/>
  <c r="D1065" i="62917" s="1"/>
  <c r="D1066" i="62917" s="1"/>
  <c r="D1067" i="62917" s="1"/>
  <c r="D1068" i="62917" s="1"/>
  <c r="D1069" i="62917" s="1"/>
  <c r="D1070" i="62917" s="1"/>
  <c r="D1071" i="62917" s="1"/>
  <c r="D1072" i="62917" s="1"/>
  <c r="D1073" i="62917" s="1"/>
  <c r="D1074" i="62917" s="1"/>
  <c r="D1075" i="62917" s="1"/>
  <c r="D1076" i="62917" s="1"/>
  <c r="D1077" i="62917" s="1"/>
  <c r="D1078" i="62917" s="1"/>
  <c r="D1079" i="62917" s="1"/>
  <c r="D1080" i="62917" s="1"/>
  <c r="D1081" i="62917" s="1"/>
  <c r="D1082" i="62917" s="1"/>
  <c r="D1083" i="62917" s="1"/>
  <c r="D1084" i="62917" s="1"/>
  <c r="D1085" i="62917" s="1"/>
  <c r="D1086" i="62917" s="1"/>
  <c r="D1087" i="62917" s="1"/>
  <c r="D1088" i="62917" s="1"/>
  <c r="D1089" i="62917" s="1"/>
  <c r="D1090" i="62917" s="1"/>
  <c r="D1091" i="62917" s="1"/>
  <c r="D1092" i="62917" s="1"/>
  <c r="D1093" i="62917" s="1"/>
  <c r="D1094" i="62917" s="1"/>
  <c r="D1095" i="62917" s="1"/>
  <c r="D1096" i="62917" s="1"/>
  <c r="D1097" i="62917" s="1"/>
  <c r="D1098" i="62917" s="1"/>
  <c r="D1099" i="62917" s="1"/>
  <c r="D1100" i="62917" s="1"/>
  <c r="D1101" i="62917" s="1"/>
  <c r="D1102" i="62917" s="1"/>
  <c r="D1103" i="62917" s="1"/>
  <c r="D1104" i="62917" s="1"/>
  <c r="D1105" i="62917" s="1"/>
  <c r="D1106" i="62917" s="1"/>
  <c r="D1107" i="62917" s="1"/>
  <c r="D1108" i="62917" s="1"/>
  <c r="D1109" i="62917" s="1"/>
  <c r="D1110" i="62917" s="1"/>
  <c r="D1111" i="62917" s="1"/>
  <c r="D1112" i="62917" s="1"/>
  <c r="D1113" i="62917" s="1"/>
  <c r="D1114" i="62917" s="1"/>
  <c r="D1115" i="62917" s="1"/>
  <c r="D1116" i="62917" s="1"/>
  <c r="D1117" i="62917" s="1"/>
  <c r="D1118" i="62917" s="1"/>
  <c r="D1119" i="62917" s="1"/>
  <c r="D1120" i="62917" s="1"/>
  <c r="D1121" i="62917" s="1"/>
  <c r="D1122" i="62917" s="1"/>
  <c r="D1123" i="62917" s="1"/>
  <c r="D1124" i="62917" s="1"/>
  <c r="D1125" i="62917" s="1"/>
  <c r="D1126" i="62917" s="1"/>
  <c r="D1127" i="62917" s="1"/>
  <c r="D1128" i="62917" s="1"/>
  <c r="D1129" i="62917" s="1"/>
  <c r="D1130" i="62917" s="1"/>
  <c r="D1131" i="62917" s="1"/>
  <c r="D1132" i="62917" s="1"/>
  <c r="D1133" i="62917" s="1"/>
  <c r="D1134" i="62917" s="1"/>
  <c r="D1135" i="62917" s="1"/>
  <c r="D1136" i="62917" s="1"/>
  <c r="D1137" i="62917" s="1"/>
  <c r="D1138" i="62917" s="1"/>
  <c r="D1139" i="62917" s="1"/>
  <c r="D1140" i="62917" s="1"/>
  <c r="D1141" i="62917" s="1"/>
  <c r="D1142" i="62917" s="1"/>
  <c r="D1143" i="62917" s="1"/>
  <c r="D1144" i="62917" s="1"/>
  <c r="D1145" i="62917" s="1"/>
  <c r="D1146" i="62917" s="1"/>
  <c r="D1147" i="62917" s="1"/>
  <c r="D1148" i="62917" s="1"/>
  <c r="D1149" i="62917" s="1"/>
  <c r="D1150" i="62917" s="1"/>
  <c r="D1151" i="62917" s="1"/>
  <c r="D1152" i="62917" s="1"/>
  <c r="D1153" i="62917" s="1"/>
  <c r="D1154" i="62917" s="1"/>
  <c r="D1155" i="62917" s="1"/>
  <c r="D1156" i="62917" s="1"/>
  <c r="D1157" i="62917" s="1"/>
  <c r="D1158" i="62917" s="1"/>
  <c r="D1159" i="62917" s="1"/>
  <c r="D1160" i="62917" s="1"/>
  <c r="D1161" i="62917" s="1"/>
  <c r="D1162" i="62917" s="1"/>
  <c r="D1163" i="62917" s="1"/>
  <c r="D1164" i="62917" s="1"/>
  <c r="D1165" i="62917" s="1"/>
  <c r="D1166" i="62917" s="1"/>
  <c r="D1167" i="62917" s="1"/>
  <c r="D1168" i="62917" s="1"/>
  <c r="D1169" i="62917" s="1"/>
  <c r="D1170" i="62917" s="1"/>
  <c r="D1171" i="62917" s="1"/>
  <c r="D1172" i="62917" s="1"/>
  <c r="D1173" i="62917" s="1"/>
  <c r="D1174" i="62917" s="1"/>
  <c r="D1175" i="62917" s="1"/>
  <c r="D1176" i="62917" s="1"/>
  <c r="D1177" i="62917" s="1"/>
  <c r="D1178" i="62917" s="1"/>
  <c r="D1179" i="62917" s="1"/>
  <c r="D1180" i="62917" s="1"/>
  <c r="D1181" i="62917" s="1"/>
  <c r="D1182" i="62917" s="1"/>
  <c r="D1183" i="62917" s="1"/>
  <c r="D1184" i="62917" s="1"/>
  <c r="D1185" i="62917" s="1"/>
  <c r="D1186" i="62917" s="1"/>
  <c r="D1187" i="62917" s="1"/>
  <c r="D1188" i="62917" s="1"/>
  <c r="D1189" i="62917" s="1"/>
  <c r="D1190" i="62917" s="1"/>
  <c r="D1191" i="62917" s="1"/>
  <c r="D1192" i="62917" s="1"/>
  <c r="D1193" i="62917" s="1"/>
  <c r="D1194" i="62917" s="1"/>
  <c r="D1195" i="62917" s="1"/>
  <c r="D1196" i="62917" s="1"/>
  <c r="D1197" i="62917" s="1"/>
  <c r="D1198" i="62917" s="1"/>
  <c r="D1199" i="62917" s="1"/>
  <c r="D1200" i="62917" s="1"/>
  <c r="D1201" i="62917" s="1"/>
  <c r="D1202" i="62917" s="1"/>
  <c r="D1203" i="62917" s="1"/>
  <c r="D1204" i="62917" s="1"/>
  <c r="D1205" i="62917" s="1"/>
  <c r="D1206" i="62917" s="1"/>
  <c r="D1207" i="62917" s="1"/>
  <c r="D1208" i="62917" s="1"/>
  <c r="D1209" i="62917" s="1"/>
  <c r="D1210" i="62917" s="1"/>
  <c r="D1211" i="62917" s="1"/>
  <c r="D1212" i="62917" s="1"/>
  <c r="D1213" i="62917" s="1"/>
  <c r="D1214" i="62917" s="1"/>
  <c r="D1215" i="62917" s="1"/>
  <c r="D1216" i="62917" s="1"/>
  <c r="D1217" i="62917" s="1"/>
  <c r="D1218" i="62917" s="1"/>
  <c r="D1219" i="62917" s="1"/>
  <c r="D1220" i="62917" s="1"/>
  <c r="D1221" i="62917" s="1"/>
  <c r="D1222" i="62917" s="1"/>
  <c r="D1223" i="62917" s="1"/>
  <c r="D1224" i="62917" s="1"/>
  <c r="D1225" i="62917" s="1"/>
  <c r="D1226" i="62917" s="1"/>
  <c r="D1227" i="62917" s="1"/>
  <c r="D1228" i="62917" s="1"/>
  <c r="D1229" i="62917" s="1"/>
  <c r="D1230" i="62917" s="1"/>
  <c r="D1231" i="62917" s="1"/>
  <c r="D1232" i="62917" s="1"/>
  <c r="D1233" i="62917" s="1"/>
  <c r="D1234" i="62917" s="1"/>
  <c r="D1235" i="62917" s="1"/>
  <c r="D1236" i="62917" s="1"/>
  <c r="D1237" i="62917" s="1"/>
  <c r="D1238" i="62917" s="1"/>
  <c r="D1239" i="62917" s="1"/>
  <c r="D1240" i="62917" s="1"/>
  <c r="D1241" i="62917" s="1"/>
  <c r="D1242" i="62917" s="1"/>
  <c r="D1243" i="62917" s="1"/>
  <c r="D1244" i="62917" s="1"/>
  <c r="D1245" i="62917" s="1"/>
  <c r="D1246" i="62917" s="1"/>
  <c r="D1247" i="62917" s="1"/>
  <c r="D1248" i="62917" s="1"/>
  <c r="D1249" i="62917" s="1"/>
  <c r="D1250" i="62917" s="1"/>
  <c r="D1251" i="62917" s="1"/>
  <c r="D1252" i="62917" s="1"/>
  <c r="D1253" i="62917" s="1"/>
  <c r="D1254" i="62917" s="1"/>
  <c r="D1255" i="62917" s="1"/>
  <c r="D1256" i="62917" s="1"/>
  <c r="D1257" i="62917" s="1"/>
  <c r="D1258" i="62917" s="1"/>
  <c r="D1259" i="62917" s="1"/>
  <c r="D1260" i="62917" s="1"/>
  <c r="D1261" i="62917" s="1"/>
  <c r="D1262" i="62917" s="1"/>
  <c r="D1263" i="62917" s="1"/>
  <c r="D1264" i="62917" s="1"/>
  <c r="D1265" i="62917" s="1"/>
  <c r="D1266" i="62917" s="1"/>
  <c r="D1267" i="62917" s="1"/>
  <c r="D1268" i="62917" s="1"/>
  <c r="D1269" i="62917" s="1"/>
  <c r="D1270" i="62917" s="1"/>
  <c r="D1271" i="62917" s="1"/>
  <c r="D1272" i="62917" s="1"/>
  <c r="D1273" i="62917" s="1"/>
  <c r="D1274" i="62917" s="1"/>
  <c r="D1275" i="62917" s="1"/>
  <c r="D1276" i="62917" s="1"/>
  <c r="D1277" i="62917" s="1"/>
  <c r="D1278" i="62917" s="1"/>
  <c r="D1279" i="62917" s="1"/>
  <c r="D1280" i="62917" s="1"/>
  <c r="D1281" i="62917" s="1"/>
  <c r="D1282" i="62917" s="1"/>
  <c r="D1283" i="62917" s="1"/>
  <c r="D1284" i="62917" s="1"/>
  <c r="D1285" i="62917" s="1"/>
  <c r="D1286" i="62917" s="1"/>
  <c r="D1287" i="62917" s="1"/>
  <c r="D1288" i="62917" s="1"/>
  <c r="D1289" i="62917" s="1"/>
  <c r="D1290" i="62917" s="1"/>
  <c r="D1291" i="62917" s="1"/>
  <c r="D1292" i="62917" s="1"/>
  <c r="D1293" i="62917" s="1"/>
  <c r="D1294" i="62917" s="1"/>
  <c r="D1295" i="62917" s="1"/>
  <c r="D1296" i="62917" s="1"/>
  <c r="D1297" i="62917" s="1"/>
  <c r="D1298" i="62917" s="1"/>
  <c r="D1299" i="62917" s="1"/>
  <c r="D1300" i="62917" s="1"/>
  <c r="D1301" i="62917" s="1"/>
  <c r="D1302" i="62917" s="1"/>
  <c r="D1303" i="62917" s="1"/>
  <c r="D1304" i="62917" s="1"/>
  <c r="D1305" i="62917" s="1"/>
  <c r="D1306" i="62917" s="1"/>
  <c r="D1307" i="62917" s="1"/>
  <c r="D1308" i="62917" s="1"/>
  <c r="D1309" i="62917" s="1"/>
  <c r="D1310" i="62917" s="1"/>
  <c r="D1311" i="62917" s="1"/>
  <c r="D1312" i="62917" s="1"/>
  <c r="D1313" i="62917" s="1"/>
  <c r="D1314" i="62917" s="1"/>
  <c r="D1315" i="62917" s="1"/>
  <c r="D1316" i="62917" s="1"/>
  <c r="D1317" i="62917" s="1"/>
  <c r="D1318" i="62917" s="1"/>
  <c r="D1319" i="62917" s="1"/>
  <c r="D1320" i="62917" s="1"/>
  <c r="D1321" i="62917" s="1"/>
  <c r="D1322" i="62917" s="1"/>
  <c r="D1323" i="62917" s="1"/>
  <c r="D1324" i="62917" s="1"/>
  <c r="D1325" i="62917" s="1"/>
  <c r="D1326" i="62917" s="1"/>
  <c r="D1327" i="62917" s="1"/>
  <c r="D1328" i="62917" s="1"/>
  <c r="D1329" i="62917" s="1"/>
  <c r="D1330" i="62917" s="1"/>
  <c r="D1331" i="62917" s="1"/>
  <c r="D1332" i="62917" s="1"/>
  <c r="D1333" i="62917" s="1"/>
  <c r="D1334" i="62917" s="1"/>
  <c r="D1335" i="62917" s="1"/>
  <c r="D1336" i="62917" s="1"/>
  <c r="D1337" i="62917" s="1"/>
  <c r="D1338" i="62917" s="1"/>
  <c r="D1339" i="62917" s="1"/>
  <c r="D1340" i="62917" s="1"/>
  <c r="D1341" i="62917" s="1"/>
  <c r="D1342" i="62917" s="1"/>
  <c r="D1343" i="62917" s="1"/>
  <c r="D1344" i="62917" s="1"/>
  <c r="D1345" i="62917" s="1"/>
  <c r="D1346" i="62917" s="1"/>
  <c r="D1347" i="62917" s="1"/>
  <c r="D1348" i="62917" s="1"/>
  <c r="D1349" i="62917" s="1"/>
  <c r="D1350" i="62917" s="1"/>
  <c r="D1351" i="62917" s="1"/>
  <c r="D1352" i="62917" s="1"/>
  <c r="D1353" i="62917" s="1"/>
  <c r="D1354" i="62917" s="1"/>
  <c r="D1355" i="62917" s="1"/>
  <c r="D1356" i="62917" s="1"/>
  <c r="D1357" i="62917" s="1"/>
  <c r="D1358" i="62917" s="1"/>
  <c r="D1359" i="62917" s="1"/>
  <c r="D1360" i="62917" s="1"/>
  <c r="D1361" i="62917" s="1"/>
  <c r="D1362" i="62917" s="1"/>
  <c r="D1363" i="62917" s="1"/>
  <c r="D1364" i="62917" s="1"/>
  <c r="D1365" i="62917" s="1"/>
  <c r="D1366" i="62917" s="1"/>
  <c r="D1367" i="62917" s="1"/>
  <c r="D1368" i="62917" s="1"/>
  <c r="D1369" i="62917" s="1"/>
  <c r="D1370" i="62917" s="1"/>
  <c r="D1371" i="62917" s="1"/>
  <c r="D1372" i="62917" s="1"/>
  <c r="D1373" i="62917" s="1"/>
  <c r="D1374" i="62917" s="1"/>
  <c r="D1375" i="62917" s="1"/>
  <c r="D1376" i="62917" s="1"/>
  <c r="D1377" i="62917" s="1"/>
  <c r="D1378" i="62917" s="1"/>
  <c r="D1379" i="62917" s="1"/>
  <c r="D1380" i="62917" s="1"/>
  <c r="D1381" i="62917" s="1"/>
  <c r="D1382" i="62917" s="1"/>
  <c r="D1383" i="62917" s="1"/>
  <c r="D1384" i="62917" s="1"/>
  <c r="D1385" i="62917" s="1"/>
  <c r="D1386" i="62917" s="1"/>
  <c r="D1387" i="62917" s="1"/>
  <c r="D1388" i="62917" s="1"/>
  <c r="D1389" i="62917" s="1"/>
  <c r="D1390" i="62917" s="1"/>
  <c r="D1391" i="62917" s="1"/>
  <c r="D1392" i="62917" s="1"/>
  <c r="D1393" i="62917" s="1"/>
  <c r="D1394" i="62917" s="1"/>
  <c r="D1395" i="62917" s="1"/>
  <c r="D1396" i="62917" s="1"/>
  <c r="D1397" i="62917" s="1"/>
  <c r="D1398" i="62917" s="1"/>
  <c r="D1399" i="62917" s="1"/>
  <c r="D1400" i="62917" s="1"/>
  <c r="D1401" i="62917" s="1"/>
  <c r="D1402" i="62917" s="1"/>
  <c r="D1403" i="62917" s="1"/>
  <c r="D1404" i="62917" s="1"/>
  <c r="D1405" i="62917" s="1"/>
  <c r="D1406" i="62917" s="1"/>
  <c r="D1407" i="62917" s="1"/>
  <c r="D1408" i="62917" s="1"/>
  <c r="D1409" i="62917" s="1"/>
  <c r="D1410" i="62917" s="1"/>
  <c r="D1411" i="62917" s="1"/>
  <c r="D1412" i="62917" s="1"/>
  <c r="D1413" i="62917" s="1"/>
  <c r="D1414" i="62917" s="1"/>
  <c r="D1415" i="62917" s="1"/>
  <c r="D1416" i="62917" s="1"/>
  <c r="D1417" i="62917" s="1"/>
  <c r="D1418" i="62917" s="1"/>
  <c r="D1419" i="62917" s="1"/>
  <c r="D1420" i="62917" s="1"/>
  <c r="D1421" i="62917" s="1"/>
  <c r="D1422" i="62917" s="1"/>
  <c r="D1423" i="62917" s="1"/>
  <c r="D1424" i="62917" s="1"/>
  <c r="D1425" i="62917" s="1"/>
  <c r="D1426" i="62917" s="1"/>
  <c r="D1427" i="62917" s="1"/>
  <c r="D1428" i="62917" s="1"/>
  <c r="D1429" i="62917" s="1"/>
  <c r="D1430" i="62917" s="1"/>
  <c r="D1431" i="62917" s="1"/>
  <c r="D1432" i="62917" s="1"/>
  <c r="D1433" i="62917" s="1"/>
  <c r="D1434" i="62917" s="1"/>
  <c r="D1435" i="62917" s="1"/>
  <c r="D1436" i="62917" s="1"/>
  <c r="D1437" i="62917" s="1"/>
  <c r="D1438" i="62917" s="1"/>
  <c r="D1439" i="62917" s="1"/>
  <c r="D1440" i="62917" s="1"/>
  <c r="D1441" i="62917" s="1"/>
  <c r="D1442" i="62917" s="1"/>
  <c r="D1443" i="62917" s="1"/>
  <c r="D1444" i="62917" s="1"/>
  <c r="D1445" i="62917" s="1"/>
  <c r="D1446" i="62917" s="1"/>
  <c r="D1447" i="62917" s="1"/>
  <c r="D1448" i="62917" s="1"/>
  <c r="D1449" i="62917" s="1"/>
  <c r="D1450" i="62917" s="1"/>
  <c r="D1451" i="62917" s="1"/>
  <c r="D1452" i="62917" s="1"/>
  <c r="D1453" i="62917" s="1"/>
  <c r="BK98" i="9" l="1"/>
  <c r="H98" i="9"/>
  <c r="K98" i="9" s="1"/>
  <c r="G10" i="62907"/>
  <c r="F10" i="62907"/>
  <c r="E13" i="62907"/>
  <c r="G13" i="62907"/>
  <c r="C941" i="62921"/>
  <c r="C950" i="62921"/>
  <c r="C949" i="62921"/>
  <c r="C940" i="62921"/>
  <c r="C942" i="62921"/>
  <c r="C939" i="62921"/>
  <c r="C947" i="62921"/>
  <c r="C946" i="62921"/>
  <c r="C943" i="62921"/>
  <c r="C938" i="62921"/>
  <c r="C944" i="62921"/>
  <c r="C945" i="62921"/>
  <c r="D559" i="62922"/>
  <c r="D560" i="62922" s="1"/>
  <c r="D561" i="62922" s="1"/>
  <c r="D562" i="62922" s="1"/>
  <c r="D563" i="62922" s="1"/>
  <c r="D564" i="62922" s="1"/>
  <c r="D565" i="62922" s="1"/>
  <c r="D566" i="62922" s="1"/>
  <c r="D567" i="62922" s="1"/>
  <c r="D568" i="62922" s="1"/>
  <c r="D569" i="62922" s="1"/>
  <c r="D570" i="62922" s="1"/>
  <c r="D571" i="62922" s="1"/>
  <c r="D572" i="62922" s="1"/>
  <c r="D573" i="62922" s="1"/>
  <c r="D574" i="62922" s="1"/>
  <c r="D575" i="62922" s="1"/>
  <c r="D576" i="62922" s="1"/>
  <c r="D577" i="62922" s="1"/>
  <c r="D578" i="62922" s="1"/>
  <c r="D579" i="62922" s="1"/>
  <c r="D580" i="62922" s="1"/>
  <c r="D581" i="62922" s="1"/>
  <c r="D582" i="62922" s="1"/>
  <c r="D583" i="62922" s="1"/>
  <c r="D584" i="62922" s="1"/>
  <c r="D585" i="62922" s="1"/>
  <c r="D586" i="62922" s="1"/>
  <c r="D587" i="62922" s="1"/>
  <c r="D588" i="62922" s="1"/>
  <c r="D589" i="62922" s="1"/>
  <c r="D590" i="62922" s="1"/>
  <c r="D591" i="62922" s="1"/>
  <c r="D592" i="62922" s="1"/>
  <c r="D593" i="62922" s="1"/>
  <c r="D594" i="62922" s="1"/>
  <c r="D595" i="62922" s="1"/>
  <c r="D596" i="62922" s="1"/>
  <c r="D597" i="62922" s="1"/>
  <c r="D598" i="62922" s="1"/>
  <c r="D599" i="62922" s="1"/>
  <c r="D600" i="62922" s="1"/>
  <c r="D601" i="62922" s="1"/>
  <c r="D602" i="62922" s="1"/>
  <c r="D603" i="62922" s="1"/>
  <c r="D604" i="62922" s="1"/>
  <c r="D605" i="62922" s="1"/>
  <c r="D606" i="62922" s="1"/>
  <c r="D607" i="62922" s="1"/>
  <c r="D608" i="62922" s="1"/>
  <c r="D609" i="62922" s="1"/>
  <c r="D610" i="62922" s="1"/>
  <c r="D611" i="62922" s="1"/>
  <c r="D612" i="62922" s="1"/>
  <c r="D613" i="62922" s="1"/>
  <c r="D614" i="62922" s="1"/>
  <c r="D615" i="62922" s="1"/>
  <c r="D616" i="62922" s="1"/>
  <c r="D617" i="62922" s="1"/>
  <c r="D618" i="62922" s="1"/>
  <c r="D619" i="62922" s="1"/>
  <c r="D620" i="62922" s="1"/>
  <c r="D621" i="62922" s="1"/>
  <c r="D622" i="62922" s="1"/>
  <c r="D623" i="62922" s="1"/>
  <c r="D624" i="62922" s="1"/>
  <c r="D625" i="62922" s="1"/>
  <c r="D626" i="62922" s="1"/>
  <c r="D627" i="62922" s="1"/>
  <c r="D628" i="62922" s="1"/>
  <c r="D629" i="62922" s="1"/>
  <c r="D630" i="62922" s="1"/>
  <c r="D631" i="62922" s="1"/>
  <c r="D632" i="62922" s="1"/>
  <c r="D633" i="62922" s="1"/>
  <c r="D634" i="62922" s="1"/>
  <c r="D635" i="62922" s="1"/>
  <c r="D636" i="62922" s="1"/>
  <c r="D637" i="62922" s="1"/>
  <c r="D638" i="62922" s="1"/>
  <c r="D639" i="62922" s="1"/>
  <c r="D640" i="62922" s="1"/>
  <c r="D641" i="62922" s="1"/>
  <c r="D642" i="62922" s="1"/>
  <c r="D643" i="62922" s="1"/>
  <c r="D644" i="62922" s="1"/>
  <c r="D645" i="62922" s="1"/>
  <c r="D646" i="62922" s="1"/>
  <c r="D647" i="62922" s="1"/>
  <c r="D648" i="62922" s="1"/>
  <c r="D649" i="62922" s="1"/>
  <c r="D650" i="62922" s="1"/>
  <c r="D651" i="62922" s="1"/>
  <c r="D652" i="62922" s="1"/>
  <c r="D653" i="62922" s="1"/>
  <c r="D654" i="62922" s="1"/>
  <c r="D655" i="62922" s="1"/>
  <c r="D656" i="62922" s="1"/>
  <c r="D657" i="62922" s="1"/>
  <c r="D658" i="62922" s="1"/>
  <c r="D659" i="62922" s="1"/>
  <c r="D660" i="62922" s="1"/>
  <c r="D661" i="62922" s="1"/>
  <c r="D662" i="62922" s="1"/>
  <c r="D663" i="62922" s="1"/>
  <c r="D664" i="62922" s="1"/>
  <c r="D665" i="62922" s="1"/>
  <c r="D666" i="62922" s="1"/>
  <c r="D667" i="62922" s="1"/>
  <c r="D668" i="62922" s="1"/>
  <c r="D669" i="62922" s="1"/>
  <c r="D670" i="62922" s="1"/>
  <c r="D671" i="62922" s="1"/>
  <c r="D672" i="62922" s="1"/>
  <c r="D673" i="62922" s="1"/>
  <c r="D674" i="62922" s="1"/>
  <c r="D675" i="62922" s="1"/>
  <c r="D676" i="62922" s="1"/>
  <c r="D677" i="62922" s="1"/>
  <c r="D678" i="62922" s="1"/>
  <c r="D679" i="62922" s="1"/>
  <c r="D680" i="62922" s="1"/>
  <c r="D681" i="62922" s="1"/>
  <c r="D682" i="62922" s="1"/>
  <c r="D683" i="62922" s="1"/>
  <c r="D684" i="62922" s="1"/>
  <c r="D685" i="62922" s="1"/>
  <c r="D686" i="62922" s="1"/>
  <c r="D687" i="62922" s="1"/>
  <c r="D688" i="62922" s="1"/>
  <c r="D689" i="62922" s="1"/>
  <c r="D690" i="62922" s="1"/>
  <c r="D691" i="62922" s="1"/>
  <c r="D692" i="62922" s="1"/>
  <c r="D693" i="62922" s="1"/>
  <c r="D694" i="62922" s="1"/>
  <c r="D695" i="62922" s="1"/>
  <c r="D696" i="62922" s="1"/>
  <c r="D697" i="62922" s="1"/>
  <c r="D698" i="62922" s="1"/>
  <c r="D699" i="62922" s="1"/>
  <c r="D700" i="62922" s="1"/>
  <c r="D701" i="62922" s="1"/>
  <c r="D702" i="62922" s="1"/>
  <c r="D703" i="62922" s="1"/>
  <c r="D704" i="62922" s="1"/>
  <c r="D705" i="62922" s="1"/>
  <c r="D706" i="62922" s="1"/>
  <c r="D707" i="62922" s="1"/>
  <c r="D708" i="62922" s="1"/>
  <c r="D709" i="62922" s="1"/>
  <c r="D710" i="62922" s="1"/>
  <c r="D711" i="62922" s="1"/>
  <c r="D712" i="62922" s="1"/>
  <c r="D713" i="62922" s="1"/>
  <c r="D714" i="62922" s="1"/>
  <c r="D715" i="62922" s="1"/>
  <c r="D716" i="62922" s="1"/>
  <c r="D717" i="62922" s="1"/>
  <c r="D718" i="62922" s="1"/>
  <c r="D719" i="62922" s="1"/>
  <c r="D720" i="62922" s="1"/>
  <c r="D721" i="62922" s="1"/>
  <c r="D722" i="62922" s="1"/>
  <c r="D723" i="62922" s="1"/>
  <c r="D724" i="62922" s="1"/>
  <c r="D725" i="62922" s="1"/>
  <c r="D726" i="62922" s="1"/>
  <c r="D727" i="62922" s="1"/>
  <c r="D728" i="62922" s="1"/>
  <c r="D729" i="62922" s="1"/>
  <c r="D730" i="62922" s="1"/>
  <c r="D731" i="62922" s="1"/>
  <c r="D732" i="62922" s="1"/>
  <c r="D733" i="62922" s="1"/>
  <c r="D734" i="62922" s="1"/>
  <c r="D735" i="62922" s="1"/>
  <c r="D736" i="62922" s="1"/>
  <c r="D737" i="62922" s="1"/>
  <c r="D738" i="62922" s="1"/>
  <c r="D739" i="62922" s="1"/>
  <c r="D740" i="62922" s="1"/>
  <c r="D741" i="62922" s="1"/>
  <c r="D742" i="62922" s="1"/>
  <c r="D743" i="62922" s="1"/>
  <c r="D744" i="62922" s="1"/>
  <c r="D745" i="62922" s="1"/>
  <c r="D746" i="62922" s="1"/>
  <c r="D747" i="62922" s="1"/>
  <c r="D748" i="62922" s="1"/>
  <c r="D749" i="62922" s="1"/>
  <c r="D750" i="62922" s="1"/>
  <c r="D751" i="62922" s="1"/>
  <c r="D752" i="62922" s="1"/>
  <c r="D753" i="62922" s="1"/>
  <c r="D754" i="62922" s="1"/>
  <c r="D755" i="62922" s="1"/>
  <c r="D756" i="62922" s="1"/>
  <c r="D757" i="62922" s="1"/>
  <c r="D758" i="62922" s="1"/>
  <c r="D759" i="62922" s="1"/>
  <c r="D760" i="62922" s="1"/>
  <c r="D761" i="62922" s="1"/>
  <c r="D762" i="62922" s="1"/>
  <c r="D335" i="62923"/>
  <c r="C335" i="62923" s="1"/>
  <c r="C334" i="62923"/>
  <c r="D490" i="62922"/>
  <c r="D491" i="62922" s="1"/>
  <c r="D492" i="62922" s="1"/>
  <c r="D493" i="62922" s="1"/>
  <c r="D494" i="62922" s="1"/>
  <c r="D495" i="62922" s="1"/>
  <c r="D496" i="62922" s="1"/>
  <c r="D497" i="62922" s="1"/>
  <c r="D498" i="62922" s="1"/>
  <c r="D499" i="62922" s="1"/>
  <c r="D500" i="62922" s="1"/>
  <c r="D501" i="62922" s="1"/>
  <c r="D502" i="62922" s="1"/>
  <c r="D503" i="62922" s="1"/>
  <c r="D504" i="62922" s="1"/>
  <c r="D505" i="62922" s="1"/>
  <c r="D506" i="62922" s="1"/>
  <c r="D507" i="62922" s="1"/>
  <c r="D508" i="62922" s="1"/>
  <c r="D509" i="62922" s="1"/>
  <c r="D510" i="62922" s="1"/>
  <c r="D511" i="62922" s="1"/>
  <c r="D512" i="62922" s="1"/>
  <c r="D513" i="62922" s="1"/>
  <c r="D514" i="62922" s="1"/>
  <c r="C518" i="62922"/>
  <c r="D520" i="62922"/>
  <c r="D303" i="62922"/>
  <c r="D304" i="62922" s="1"/>
  <c r="D305" i="62922" s="1"/>
  <c r="D306" i="62922" s="1"/>
  <c r="D307" i="62922" s="1"/>
  <c r="D308" i="62922" s="1"/>
  <c r="D309" i="62922" s="1"/>
  <c r="D310" i="62922" s="1"/>
  <c r="D311" i="62922" s="1"/>
  <c r="D312" i="62922" s="1"/>
  <c r="D313" i="62922" s="1"/>
  <c r="D314" i="62922" s="1"/>
  <c r="D315" i="62922" s="1"/>
  <c r="D316" i="62922" s="1"/>
  <c r="D317" i="62922" s="1"/>
  <c r="D318" i="62922" s="1"/>
  <c r="D319" i="62922" s="1"/>
  <c r="D320" i="62922" s="1"/>
  <c r="D321" i="62922" s="1"/>
  <c r="D322" i="62922" s="1"/>
  <c r="D323" i="62922" s="1"/>
  <c r="D324" i="62922" s="1"/>
  <c r="D325" i="62922" s="1"/>
  <c r="D326" i="62922" s="1"/>
  <c r="D327" i="62922" s="1"/>
  <c r="D328" i="62922" s="1"/>
  <c r="D329" i="62922" s="1"/>
  <c r="D330" i="62922" s="1"/>
  <c r="D331" i="62922" s="1"/>
  <c r="D332" i="62922" s="1"/>
  <c r="D333" i="62922" s="1"/>
  <c r="D334" i="62922" s="1"/>
  <c r="D335" i="62922" s="1"/>
  <c r="D336" i="62922" s="1"/>
  <c r="D337" i="62922" s="1"/>
  <c r="D338" i="62922" s="1"/>
  <c r="D339" i="62922" s="1"/>
  <c r="D340" i="62922" s="1"/>
  <c r="D341" i="62922" s="1"/>
  <c r="D342" i="62922" s="1"/>
  <c r="D343" i="62922" s="1"/>
  <c r="D344" i="62922" s="1"/>
  <c r="D345" i="62922" s="1"/>
  <c r="D346" i="62922" s="1"/>
  <c r="D347" i="62922" s="1"/>
  <c r="D348" i="62922" s="1"/>
  <c r="D349" i="62922" s="1"/>
  <c r="D350" i="62922" s="1"/>
  <c r="D351" i="62922" s="1"/>
  <c r="D352" i="62922" s="1"/>
  <c r="D353" i="62922" s="1"/>
  <c r="D354" i="62922" s="1"/>
  <c r="D355" i="62922" s="1"/>
  <c r="D356" i="62922" s="1"/>
  <c r="D357" i="62922" s="1"/>
  <c r="D358" i="62922" s="1"/>
  <c r="D359" i="62922" s="1"/>
  <c r="D360" i="62922" s="1"/>
  <c r="D361" i="62922" s="1"/>
  <c r="D362" i="62922" s="1"/>
  <c r="D363" i="62922" s="1"/>
  <c r="D364" i="62922" s="1"/>
  <c r="D365" i="62922" s="1"/>
  <c r="D366" i="62922" s="1"/>
  <c r="D367" i="62922" s="1"/>
  <c r="D368" i="62922" s="1"/>
  <c r="D369" i="62922" s="1"/>
  <c r="D370" i="62922" s="1"/>
  <c r="D371" i="62922" s="1"/>
  <c r="D372" i="62922" s="1"/>
  <c r="D373" i="62922" s="1"/>
  <c r="D374" i="62922" s="1"/>
  <c r="D375" i="62922" s="1"/>
  <c r="D376" i="62922" s="1"/>
  <c r="D377" i="62922" s="1"/>
  <c r="D378" i="62922" s="1"/>
  <c r="D379" i="62922" s="1"/>
  <c r="D380" i="62922" s="1"/>
  <c r="D381" i="62922" s="1"/>
  <c r="D382" i="62922" s="1"/>
  <c r="D383" i="62922" s="1"/>
  <c r="D384" i="62922" s="1"/>
  <c r="D385" i="62922" s="1"/>
  <c r="D386" i="62922" s="1"/>
  <c r="D387" i="62922" s="1"/>
  <c r="D388" i="62922" s="1"/>
  <c r="D389" i="62922" s="1"/>
  <c r="D390" i="62922" s="1"/>
  <c r="D391" i="62922" s="1"/>
  <c r="D392" i="62922" s="1"/>
  <c r="D393" i="62922" s="1"/>
  <c r="D394" i="62922" s="1"/>
  <c r="D395" i="62922" s="1"/>
  <c r="D396" i="62922" s="1"/>
  <c r="D397" i="62922" s="1"/>
  <c r="D398" i="62922" s="1"/>
  <c r="D399" i="62922" s="1"/>
  <c r="D400" i="62922" s="1"/>
  <c r="D401" i="62922" s="1"/>
  <c r="D402" i="62922" s="1"/>
  <c r="D403" i="62922" s="1"/>
  <c r="D404" i="62922" s="1"/>
  <c r="D405" i="62922" s="1"/>
  <c r="D406" i="62922" s="1"/>
  <c r="D407" i="62922" s="1"/>
  <c r="D408" i="62922" s="1"/>
  <c r="D409" i="62922" s="1"/>
  <c r="D410" i="62922" s="1"/>
  <c r="D411" i="62922" s="1"/>
  <c r="D412" i="62922" s="1"/>
  <c r="D413" i="62922" s="1"/>
  <c r="D414" i="62922" s="1"/>
  <c r="D415" i="62922" s="1"/>
  <c r="D416" i="62922" s="1"/>
  <c r="D417" i="62922" s="1"/>
  <c r="D418" i="62922" s="1"/>
  <c r="D419" i="62922" s="1"/>
  <c r="D420" i="62922" s="1"/>
  <c r="D421" i="62922" s="1"/>
  <c r="D422" i="62922" s="1"/>
  <c r="D423" i="62922" s="1"/>
  <c r="D424" i="62922" s="1"/>
  <c r="D425" i="62922" s="1"/>
  <c r="D426" i="62922" s="1"/>
  <c r="D427" i="62922" s="1"/>
  <c r="D428" i="62922" s="1"/>
  <c r="D429" i="62922" s="1"/>
  <c r="D430" i="62922" s="1"/>
  <c r="D431" i="62922" s="1"/>
  <c r="D432" i="62922" s="1"/>
  <c r="D433" i="62922" s="1"/>
  <c r="D434" i="62922" s="1"/>
  <c r="D435" i="62922" s="1"/>
  <c r="D436" i="62922" s="1"/>
  <c r="D437" i="62922" s="1"/>
  <c r="D438" i="62922" s="1"/>
  <c r="D439" i="62922" s="1"/>
  <c r="D440" i="62922" s="1"/>
  <c r="D441" i="62922" s="1"/>
  <c r="D442" i="62922" s="1"/>
  <c r="D443" i="62922" s="1"/>
  <c r="D444" i="62922" s="1"/>
  <c r="D445" i="62922" s="1"/>
  <c r="D446" i="62922" s="1"/>
  <c r="D447" i="62922" s="1"/>
  <c r="D448" i="62922" s="1"/>
  <c r="D449" i="62922" s="1"/>
  <c r="D450" i="62922" s="1"/>
  <c r="D451" i="62922" s="1"/>
  <c r="D452" i="62922" s="1"/>
  <c r="D453" i="62922" s="1"/>
  <c r="D454" i="62922" s="1"/>
  <c r="D455" i="62922" s="1"/>
  <c r="D456" i="62922" s="1"/>
  <c r="D457" i="62922" s="1"/>
  <c r="D458" i="62922" s="1"/>
  <c r="D459" i="62922" s="1"/>
  <c r="D460" i="62922" s="1"/>
  <c r="D461" i="62922" s="1"/>
  <c r="D462" i="62922" s="1"/>
  <c r="D463" i="62922" s="1"/>
  <c r="D464" i="62922" s="1"/>
  <c r="D465" i="62922" s="1"/>
  <c r="D466" i="62922" s="1"/>
  <c r="D467" i="62922" s="1"/>
  <c r="D468" i="62922" s="1"/>
  <c r="D469" i="62922" s="1"/>
  <c r="D470" i="62922" s="1"/>
  <c r="D471" i="62922" s="1"/>
  <c r="D472" i="62922" s="1"/>
  <c r="C305" i="62922" s="1"/>
  <c r="C17" i="62921"/>
  <c r="D134" i="62921"/>
  <c r="D135" i="62921" s="1"/>
  <c r="D136" i="62921" s="1"/>
  <c r="D137" i="62921" s="1"/>
  <c r="D138" i="62921" s="1"/>
  <c r="D139" i="62921" s="1"/>
  <c r="D140" i="62921" s="1"/>
  <c r="D141" i="62921" s="1"/>
  <c r="D142" i="62921" s="1"/>
  <c r="D143" i="62921" s="1"/>
  <c r="D144" i="62921" s="1"/>
  <c r="D145" i="62921" s="1"/>
  <c r="D146" i="62921" s="1"/>
  <c r="D147" i="62921" s="1"/>
  <c r="D148" i="62921" s="1"/>
  <c r="D149" i="62921" s="1"/>
  <c r="D150" i="62921" s="1"/>
  <c r="D151" i="62921" s="1"/>
  <c r="D152" i="62921" s="1"/>
  <c r="D153" i="62921" s="1"/>
  <c r="D154" i="62921" s="1"/>
  <c r="D155" i="62921" s="1"/>
  <c r="D156" i="62921" s="1"/>
  <c r="D157" i="62921" s="1"/>
  <c r="D158" i="62921" s="1"/>
  <c r="D159" i="62921" s="1"/>
  <c r="D160" i="62921" s="1"/>
  <c r="D161" i="62921" s="1"/>
  <c r="D162" i="62921" s="1"/>
  <c r="D163" i="62921" s="1"/>
  <c r="D164" i="62921" s="1"/>
  <c r="D165" i="62921" s="1"/>
  <c r="D166" i="62921" s="1"/>
  <c r="D167" i="62921" s="1"/>
  <c r="D168" i="62921" s="1"/>
  <c r="D169" i="62921" s="1"/>
  <c r="D170" i="62921" s="1"/>
  <c r="D171" i="62921" s="1"/>
  <c r="D172" i="62921" s="1"/>
  <c r="D173" i="62921" s="1"/>
  <c r="D174" i="62921" s="1"/>
  <c r="D175" i="62921" s="1"/>
  <c r="D176" i="62921" s="1"/>
  <c r="D177" i="62921" s="1"/>
  <c r="D178" i="62921" s="1"/>
  <c r="D179" i="62921" s="1"/>
  <c r="D180" i="62921" s="1"/>
  <c r="D181" i="62921" s="1"/>
  <c r="D182" i="62921" s="1"/>
  <c r="D183" i="62921" s="1"/>
  <c r="D184" i="62921" s="1"/>
  <c r="D185" i="62921" s="1"/>
  <c r="D186" i="62921" s="1"/>
  <c r="D187" i="62921" s="1"/>
  <c r="D188" i="62921" s="1"/>
  <c r="D189" i="62921" s="1"/>
  <c r="D190" i="62921" s="1"/>
  <c r="D191" i="62921" s="1"/>
  <c r="D192" i="62921" s="1"/>
  <c r="D193" i="62921" s="1"/>
  <c r="D194" i="62921" s="1"/>
  <c r="D195" i="62921" s="1"/>
  <c r="D196" i="62921" s="1"/>
  <c r="D197" i="62921" s="1"/>
  <c r="D198" i="62921" s="1"/>
  <c r="D199" i="62921" s="1"/>
  <c r="D25" i="62921"/>
  <c r="D26" i="62921" s="1"/>
  <c r="D27" i="62921" s="1"/>
  <c r="D28" i="62921" s="1"/>
  <c r="D29" i="62921" s="1"/>
  <c r="D30" i="62921" s="1"/>
  <c r="D31" i="62921" s="1"/>
  <c r="D32" i="62921" s="1"/>
  <c r="D33" i="62921" s="1"/>
  <c r="D34" i="62921" s="1"/>
  <c r="D35" i="62921" s="1"/>
  <c r="D36" i="62921" s="1"/>
  <c r="D37" i="62921" s="1"/>
  <c r="D38" i="62921" s="1"/>
  <c r="D39" i="62921" s="1"/>
  <c r="D40" i="62921" s="1"/>
  <c r="D41" i="62921" s="1"/>
  <c r="D42" i="62921" s="1"/>
  <c r="D43" i="62921" s="1"/>
  <c r="D44" i="62921" s="1"/>
  <c r="C18" i="62921" s="1"/>
  <c r="D214" i="62921"/>
  <c r="D215" i="62921" s="1"/>
  <c r="D216" i="62921" s="1"/>
  <c r="D217" i="62921" s="1"/>
  <c r="D218" i="62921" s="1"/>
  <c r="D219" i="62921" s="1"/>
  <c r="D220" i="62921" s="1"/>
  <c r="D221" i="62921" s="1"/>
  <c r="D222" i="62921" s="1"/>
  <c r="D223" i="62921" s="1"/>
  <c r="D224" i="62921" s="1"/>
  <c r="D225" i="62921" s="1"/>
  <c r="D226" i="62921" s="1"/>
  <c r="D227" i="62921" s="1"/>
  <c r="D228" i="62921" s="1"/>
  <c r="D229" i="62921" s="1"/>
  <c r="D230" i="62921" s="1"/>
  <c r="D231" i="62921" s="1"/>
  <c r="D232" i="62921" s="1"/>
  <c r="D233" i="62921" s="1"/>
  <c r="D234" i="62921" s="1"/>
  <c r="D235" i="62921" s="1"/>
  <c r="D236" i="62921" s="1"/>
  <c r="D237" i="62921" s="1"/>
  <c r="D238" i="62921" s="1"/>
  <c r="D239" i="62921" s="1"/>
  <c r="D240" i="62921" s="1"/>
  <c r="D241" i="62921" s="1"/>
  <c r="D242" i="62921" s="1"/>
  <c r="D243" i="62921" s="1"/>
  <c r="D244" i="62921" s="1"/>
  <c r="D245" i="62921" s="1"/>
  <c r="C208" i="62921" s="1"/>
  <c r="C258" i="62921"/>
  <c r="C252" i="62921"/>
  <c r="C267" i="62921"/>
  <c r="C264" i="62921"/>
  <c r="C254" i="62921"/>
  <c r="C266" i="62921"/>
  <c r="C257" i="62921"/>
  <c r="C265" i="62921"/>
  <c r="C253" i="62921"/>
  <c r="C268" i="62921"/>
  <c r="C261" i="62921"/>
  <c r="C255" i="62921"/>
  <c r="C263" i="62921"/>
  <c r="C262" i="62921"/>
  <c r="C256" i="62921"/>
  <c r="C260" i="62921"/>
  <c r="D346" i="62921"/>
  <c r="D2247" i="62917"/>
  <c r="D2248" i="62917" s="1"/>
  <c r="D2249" i="62917" s="1"/>
  <c r="D2250" i="62917" s="1"/>
  <c r="D2251" i="62917" s="1"/>
  <c r="D2252" i="62917" s="1"/>
  <c r="D2253" i="62917" s="1"/>
  <c r="D2254" i="62917" s="1"/>
  <c r="D2255" i="62917" s="1"/>
  <c r="D2256" i="62917" s="1"/>
  <c r="D2257" i="62917" s="1"/>
  <c r="D2258" i="62917" s="1"/>
  <c r="D2259" i="62917" s="1"/>
  <c r="D2260" i="62917" s="1"/>
  <c r="D2261" i="62917" s="1"/>
  <c r="D2262" i="62917" s="1"/>
  <c r="D2263" i="62917" s="1"/>
  <c r="D2264" i="62917" s="1"/>
  <c r="D2265" i="62917" s="1"/>
  <c r="D2266" i="62917" s="1"/>
  <c r="D2267" i="62917" s="1"/>
  <c r="D2268" i="62917" s="1"/>
  <c r="D2269" i="62917" s="1"/>
  <c r="D2270" i="62917" s="1"/>
  <c r="D2271" i="62917" s="1"/>
  <c r="D2272" i="62917" s="1"/>
  <c r="D2273" i="62917" s="1"/>
  <c r="D2274" i="62917" s="1"/>
  <c r="D2275" i="62917" s="1"/>
  <c r="D2276" i="62917" s="1"/>
  <c r="C2246" i="62917" s="1"/>
  <c r="E1987" i="62917"/>
  <c r="D1987" i="62917" s="1"/>
  <c r="C1680" i="62917"/>
  <c r="C1681" i="62917"/>
  <c r="C1693" i="62917"/>
  <c r="C1646" i="62917"/>
  <c r="C1660" i="62917"/>
  <c r="C1647" i="62917"/>
  <c r="C1676" i="62917"/>
  <c r="C1623" i="62917"/>
  <c r="C1683" i="62917"/>
  <c r="C1661" i="62917"/>
  <c r="C1658" i="62917"/>
  <c r="C1699" i="62917"/>
  <c r="C1663" i="62917"/>
  <c r="C1668" i="62917"/>
  <c r="C1641" i="62917"/>
  <c r="C1669" i="62917"/>
  <c r="C1625" i="62917"/>
  <c r="C1651" i="62917"/>
  <c r="C1634" i="62917"/>
  <c r="C1645" i="62917"/>
  <c r="C1695" i="62917"/>
  <c r="C1638" i="62917"/>
  <c r="C1701" i="62917"/>
  <c r="C1688" i="62917"/>
  <c r="C1636" i="62917"/>
  <c r="C1673" i="62917"/>
  <c r="C1649" i="62917"/>
  <c r="C1707" i="62917"/>
  <c r="C1698" i="62917"/>
  <c r="C1700" i="62917"/>
  <c r="C1637" i="62917"/>
  <c r="C1678" i="62917"/>
  <c r="C1626" i="62917"/>
  <c r="C1665" i="62917"/>
  <c r="C1652" i="62917"/>
  <c r="C1708" i="62917"/>
  <c r="C1632" i="62917"/>
  <c r="C1650" i="62917"/>
  <c r="C1684" i="62917"/>
  <c r="C1697" i="62917"/>
  <c r="C1664" i="62917"/>
  <c r="C1675" i="62917"/>
  <c r="C1679" i="62917"/>
  <c r="C1711" i="62917"/>
  <c r="C1677" i="62917"/>
  <c r="C1653" i="62917"/>
  <c r="C1620" i="62917"/>
  <c r="C1715" i="62917"/>
  <c r="C1635" i="62917"/>
  <c r="C1640" i="62917"/>
  <c r="C1692" i="62917"/>
  <c r="C1696" i="62917"/>
  <c r="C1682" i="62917"/>
  <c r="C1643" i="62917"/>
  <c r="C1627" i="62917"/>
  <c r="C1672" i="62917"/>
  <c r="C1706" i="62917"/>
  <c r="C1631" i="62917"/>
  <c r="C1662" i="62917"/>
  <c r="C1705" i="62917"/>
  <c r="C1710" i="62917"/>
  <c r="C1642" i="62917"/>
  <c r="C1666" i="62917"/>
  <c r="C1629" i="62917"/>
  <c r="C1648" i="62917"/>
  <c r="C1712" i="62917"/>
  <c r="C1691" i="62917"/>
  <c r="C1633" i="62917"/>
  <c r="C1621" i="62917"/>
  <c r="C1670" i="62917"/>
  <c r="C1702" i="62917"/>
  <c r="C1687" i="62917"/>
  <c r="C1655" i="62917"/>
  <c r="C1690" i="62917"/>
  <c r="C1628" i="62917"/>
  <c r="C1704" i="62917"/>
  <c r="C1713" i="62917"/>
  <c r="C1622" i="62917"/>
  <c r="C1657" i="62917"/>
  <c r="C1685" i="62917"/>
  <c r="C1624" i="62917"/>
  <c r="C1689" i="62917"/>
  <c r="C1654" i="62917"/>
  <c r="C1659" i="62917"/>
  <c r="C1619" i="62917"/>
  <c r="C1694" i="62917"/>
  <c r="C1709" i="62917"/>
  <c r="C1703" i="62917"/>
  <c r="C1686" i="62917"/>
  <c r="C1714" i="62917"/>
  <c r="C1671" i="62917"/>
  <c r="C1674" i="62917"/>
  <c r="C1644" i="62917"/>
  <c r="C1667" i="62917"/>
  <c r="C1639" i="62917"/>
  <c r="C1630" i="62917"/>
  <c r="C1656" i="62917"/>
  <c r="D1925" i="62917"/>
  <c r="D1926" i="62917" s="1"/>
  <c r="D1927" i="62917" s="1"/>
  <c r="D1928" i="62917" s="1"/>
  <c r="D1929" i="62917" s="1"/>
  <c r="D1930" i="62917" s="1"/>
  <c r="D1931" i="62917" s="1"/>
  <c r="D1932" i="62917" s="1"/>
  <c r="D1933" i="62917" s="1"/>
  <c r="D1934" i="62917" s="1"/>
  <c r="D1935" i="62917" s="1"/>
  <c r="D1936" i="62917" s="1"/>
  <c r="D1937" i="62917" s="1"/>
  <c r="D1938" i="62917" s="1"/>
  <c r="D1939" i="62917" s="1"/>
  <c r="D1940" i="62917" s="1"/>
  <c r="D1941" i="62917" s="1"/>
  <c r="D1942" i="62917" s="1"/>
  <c r="D1943" i="62917" s="1"/>
  <c r="D1944" i="62917" s="1"/>
  <c r="D1945" i="62917" s="1"/>
  <c r="D1946" i="62917" s="1"/>
  <c r="D1947" i="62917" s="1"/>
  <c r="D1948" i="62917" s="1"/>
  <c r="D1949" i="62917" s="1"/>
  <c r="D1950" i="62917" s="1"/>
  <c r="D1951" i="62917" s="1"/>
  <c r="C394" i="62923"/>
  <c r="C395" i="62923"/>
  <c r="C397" i="62923"/>
  <c r="C399" i="62923"/>
  <c r="C396" i="62923"/>
  <c r="E337" i="62923"/>
  <c r="E301" i="62923"/>
  <c r="D300" i="62923"/>
  <c r="D954" i="62919"/>
  <c r="D955" i="62919" s="1"/>
  <c r="D956" i="62919" s="1"/>
  <c r="E957" i="62919"/>
  <c r="E958" i="62919" s="1"/>
  <c r="C154" i="62924"/>
  <c r="C153" i="62924"/>
  <c r="C164" i="62924"/>
  <c r="C155" i="62924"/>
  <c r="C159" i="62924"/>
  <c r="C151" i="62924"/>
  <c r="C165" i="62924"/>
  <c r="C156" i="62924"/>
  <c r="C158" i="62924"/>
  <c r="C157" i="62924"/>
  <c r="C152" i="62924"/>
  <c r="C167" i="62924"/>
  <c r="C150" i="62924"/>
  <c r="C160" i="62924"/>
  <c r="C162" i="62924"/>
  <c r="C166" i="62924"/>
  <c r="C163" i="62924"/>
  <c r="C414" i="62919"/>
  <c r="C919" i="62919"/>
  <c r="C921" i="62919"/>
  <c r="C920" i="62919"/>
  <c r="C425" i="62919"/>
  <c r="C441" i="62919"/>
  <c r="C446" i="62919"/>
  <c r="C438" i="62919"/>
  <c r="C424" i="62919"/>
  <c r="C444" i="62919"/>
  <c r="C443" i="62919"/>
  <c r="C445" i="62919"/>
  <c r="C454" i="62919"/>
  <c r="C422" i="62919"/>
  <c r="C442" i="62919"/>
  <c r="C434" i="62919"/>
  <c r="C437" i="62919"/>
  <c r="C431" i="62919"/>
  <c r="C461" i="62919"/>
  <c r="C418" i="62919"/>
  <c r="C449" i="62919"/>
  <c r="C459" i="62919"/>
  <c r="C427" i="62919"/>
  <c r="C430" i="62919"/>
  <c r="C423" i="62919"/>
  <c r="C455" i="62919"/>
  <c r="C448" i="62919"/>
  <c r="C460" i="62919"/>
  <c r="C416" i="62919"/>
  <c r="C426" i="62919"/>
  <c r="C453" i="62919"/>
  <c r="C432" i="62919"/>
  <c r="C440" i="62919"/>
  <c r="C436" i="62919"/>
  <c r="C456" i="62919"/>
  <c r="C452" i="62919"/>
  <c r="C428" i="62919"/>
  <c r="C447" i="62919"/>
  <c r="C450" i="62919"/>
  <c r="C429" i="62919"/>
  <c r="C451" i="62919"/>
  <c r="C435" i="62919"/>
  <c r="C421" i="62919"/>
  <c r="C458" i="62919"/>
  <c r="C433" i="62919"/>
  <c r="C417" i="62919"/>
  <c r="C420" i="62919"/>
  <c r="C457" i="62919"/>
  <c r="C439" i="62919"/>
  <c r="C419" i="62919"/>
  <c r="D23" i="62918"/>
  <c r="D24" i="62918" s="1"/>
  <c r="D25" i="62918" s="1"/>
  <c r="D26" i="62918" s="1"/>
  <c r="D27" i="62918" s="1"/>
  <c r="D28" i="62918" s="1"/>
  <c r="D29" i="62918" s="1"/>
  <c r="D30" i="62918" s="1"/>
  <c r="D31" i="62918" s="1"/>
  <c r="D32" i="62918" s="1"/>
  <c r="D33" i="62918" s="1"/>
  <c r="D34" i="62918" s="1"/>
  <c r="D35" i="62918" s="1"/>
  <c r="D36" i="62918" s="1"/>
  <c r="D37" i="62918" s="1"/>
  <c r="D38" i="62918" s="1"/>
  <c r="D39" i="62918" s="1"/>
  <c r="D40" i="62918" s="1"/>
  <c r="D41" i="62918" s="1"/>
  <c r="D42" i="62918" s="1"/>
  <c r="D43" i="62918" s="1"/>
  <c r="D44" i="62918" s="1"/>
  <c r="D45" i="62918" s="1"/>
  <c r="D46" i="62918" s="1"/>
  <c r="D47" i="62918" s="1"/>
  <c r="D48" i="62918" s="1"/>
  <c r="D49" i="62918" s="1"/>
  <c r="D50" i="62918" s="1"/>
  <c r="D51" i="62918" s="1"/>
  <c r="D52" i="62918" s="1"/>
  <c r="D53" i="62918" s="1"/>
  <c r="D54" i="62918" s="1"/>
  <c r="D55" i="62918" s="1"/>
  <c r="D56" i="62918" s="1"/>
  <c r="D57" i="62918" s="1"/>
  <c r="D58" i="62918" s="1"/>
  <c r="D59" i="62918" s="1"/>
  <c r="D60" i="62918" s="1"/>
  <c r="D61" i="62918" s="1"/>
  <c r="D62" i="62918" s="1"/>
  <c r="D63" i="62918" s="1"/>
  <c r="D64" i="62918" s="1"/>
  <c r="D65" i="62918" s="1"/>
  <c r="D66" i="62918" s="1"/>
  <c r="D67" i="62918" s="1"/>
  <c r="D68" i="62918" s="1"/>
  <c r="D69" i="62918" s="1"/>
  <c r="C42" i="62918" s="1"/>
  <c r="C22" i="62918"/>
  <c r="C59" i="62917"/>
  <c r="E10" i="62907"/>
  <c r="D10" i="62907"/>
  <c r="D13" i="62907"/>
  <c r="E97" i="62917"/>
  <c r="E98" i="62917" s="1"/>
  <c r="C1558" i="62919"/>
  <c r="D1750" i="62919"/>
  <c r="C1369" i="62919"/>
  <c r="C1377" i="62919"/>
  <c r="C1368" i="62919"/>
  <c r="C1373" i="62919"/>
  <c r="C1375" i="62919"/>
  <c r="C1365" i="62919"/>
  <c r="C1376" i="62919"/>
  <c r="C1364" i="62919"/>
  <c r="C1374" i="62919"/>
  <c r="C1370" i="62919"/>
  <c r="C1367" i="62919"/>
  <c r="C1371" i="62919"/>
  <c r="C1372" i="62919"/>
  <c r="D1284" i="62919"/>
  <c r="C1284" i="62919" s="1"/>
  <c r="C1283" i="62919"/>
  <c r="D1566" i="62919"/>
  <c r="D1774" i="62919"/>
  <c r="C358" i="62919"/>
  <c r="C356" i="62919"/>
  <c r="C355" i="62919"/>
  <c r="C364" i="62919"/>
  <c r="C359" i="62919"/>
  <c r="C362" i="62919"/>
  <c r="C361" i="62919"/>
  <c r="C365" i="62919"/>
  <c r="C363" i="62919"/>
  <c r="C357" i="62919"/>
  <c r="D635" i="62919"/>
  <c r="D2197" i="62917"/>
  <c r="D2198" i="62917" s="1"/>
  <c r="D2199" i="62917" s="1"/>
  <c r="D2200" i="62917" s="1"/>
  <c r="D2201" i="62917" s="1"/>
  <c r="D2202" i="62917" s="1"/>
  <c r="D2203" i="62917" s="1"/>
  <c r="D2204" i="62917" s="1"/>
  <c r="D2205" i="62917" s="1"/>
  <c r="D2206" i="62917" s="1"/>
  <c r="D2207" i="62917" s="1"/>
  <c r="D2208" i="62917" s="1"/>
  <c r="D2209" i="62917" s="1"/>
  <c r="D2210" i="62917" s="1"/>
  <c r="D2211" i="62917" s="1"/>
  <c r="D2212" i="62917" s="1"/>
  <c r="D2213" i="62917" s="1"/>
  <c r="D2214" i="62917" s="1"/>
  <c r="D2215" i="62917" s="1"/>
  <c r="D2216" i="62917" s="1"/>
  <c r="D2217" i="62917" s="1"/>
  <c r="D2218" i="62917" s="1"/>
  <c r="D2219" i="62917" s="1"/>
  <c r="D2220" i="62917" s="1"/>
  <c r="D2221" i="62917" s="1"/>
  <c r="D2222" i="62917" s="1"/>
  <c r="D2223" i="62917" s="1"/>
  <c r="D2224" i="62917" s="1"/>
  <c r="D2225" i="62917" s="1"/>
  <c r="D2226" i="62917" s="1"/>
  <c r="D2227" i="62917" s="1"/>
  <c r="D2228" i="62917" s="1"/>
  <c r="D2229" i="62917" s="1"/>
  <c r="C2187" i="62917" s="1"/>
  <c r="E51" i="62921"/>
  <c r="E52" i="62921" s="1"/>
  <c r="D50" i="62921"/>
  <c r="C48" i="62921" s="1"/>
  <c r="D24" i="62919"/>
  <c r="D25" i="62919" s="1"/>
  <c r="D26" i="62919" s="1"/>
  <c r="D27" i="62919" s="1"/>
  <c r="D28" i="62919" s="1"/>
  <c r="D234" i="62924"/>
  <c r="C872" i="62921"/>
  <c r="D873" i="62921"/>
  <c r="C873" i="62921" s="1"/>
  <c r="C248" i="62919"/>
  <c r="C130" i="62918"/>
  <c r="E2438" i="62917"/>
  <c r="E2439" i="62917" s="1"/>
  <c r="E2440" i="62917" s="1"/>
  <c r="E2441" i="62917" s="1"/>
  <c r="D1594" i="62917"/>
  <c r="E1595" i="62917"/>
  <c r="E1596" i="62917" s="1"/>
  <c r="E1597" i="62917" s="1"/>
  <c r="E1598" i="62917" s="1"/>
  <c r="E1599" i="62917" s="1"/>
  <c r="E1600" i="62917" s="1"/>
  <c r="E1601" i="62917" s="1"/>
  <c r="E1602" i="62917" s="1"/>
  <c r="E1603" i="62917" s="1"/>
  <c r="E1604" i="62917" s="1"/>
  <c r="E1605" i="62917" s="1"/>
  <c r="E1606" i="62917" s="1"/>
  <c r="E1607" i="62917" s="1"/>
  <c r="E1608" i="62917" s="1"/>
  <c r="E1609" i="62917" s="1"/>
  <c r="E1610" i="62917" s="1"/>
  <c r="D2431" i="62917"/>
  <c r="C2430" i="62917"/>
  <c r="C105" i="62924"/>
  <c r="D48" i="62924"/>
  <c r="D131" i="62918"/>
  <c r="C131" i="62918" s="1"/>
  <c r="C1379" i="62919"/>
  <c r="C106" i="62924"/>
  <c r="C103" i="62924"/>
  <c r="E296" i="62921"/>
  <c r="C263" i="62922"/>
  <c r="D295" i="62921"/>
  <c r="C295" i="62921" s="1"/>
  <c r="C276" i="62922"/>
  <c r="C269" i="62922"/>
  <c r="C264" i="62922"/>
  <c r="C265" i="62922"/>
  <c r="C268" i="62922"/>
  <c r="C262" i="62922"/>
  <c r="C271" i="62922"/>
  <c r="C270" i="62922"/>
  <c r="C272" i="62922"/>
  <c r="C267" i="62922"/>
  <c r="C266" i="62922"/>
  <c r="C275" i="62922"/>
  <c r="C274" i="62922"/>
  <c r="E133" i="62918"/>
  <c r="C129" i="62918"/>
  <c r="C128" i="62918"/>
  <c r="G195" i="2" s="1"/>
  <c r="H195" i="2" s="1"/>
  <c r="D114" i="62919"/>
  <c r="C1033" i="62919"/>
  <c r="C241" i="62919"/>
  <c r="C231" i="62919"/>
  <c r="C261" i="62919"/>
  <c r="C246" i="62919"/>
  <c r="C285" i="62919"/>
  <c r="C282" i="62919"/>
  <c r="C281" i="62919"/>
  <c r="C253" i="62919"/>
  <c r="C252" i="62919"/>
  <c r="C286" i="62919"/>
  <c r="C279" i="62919"/>
  <c r="C278" i="62919"/>
  <c r="C271" i="62919"/>
  <c r="C226" i="62919"/>
  <c r="C232" i="62919"/>
  <c r="C236" i="62919"/>
  <c r="C237" i="62919"/>
  <c r="C269" i="62919"/>
  <c r="C266" i="62919"/>
  <c r="C267" i="62919"/>
  <c r="C274" i="62919"/>
  <c r="C277" i="62919"/>
  <c r="C250" i="62919"/>
  <c r="C258" i="62919"/>
  <c r="C251" i="62919"/>
  <c r="C259" i="62919"/>
  <c r="C272" i="62919"/>
  <c r="C276" i="62919"/>
  <c r="C265" i="62919"/>
  <c r="C255" i="62919"/>
  <c r="C228" i="62919"/>
  <c r="C243" i="62919"/>
  <c r="C280" i="62919"/>
  <c r="C235" i="62919"/>
  <c r="C283" i="62919"/>
  <c r="C275" i="62919"/>
  <c r="C242" i="62919"/>
  <c r="C234" i="62919"/>
  <c r="C230" i="62919"/>
  <c r="C238" i="62919"/>
  <c r="C270" i="62919"/>
  <c r="C262" i="62919"/>
  <c r="C273" i="62919"/>
  <c r="C260" i="62919"/>
  <c r="C249" i="62919"/>
  <c r="C233" i="62919"/>
  <c r="C247" i="62919"/>
  <c r="C264" i="62919"/>
  <c r="C244" i="62919"/>
  <c r="C229" i="62919"/>
  <c r="C284" i="62919"/>
  <c r="C257" i="62919"/>
  <c r="C268" i="62919"/>
  <c r="C240" i="62919"/>
  <c r="C256" i="62919"/>
  <c r="C245" i="62919"/>
  <c r="C254" i="62919"/>
  <c r="C239" i="62919"/>
  <c r="C1381" i="62919"/>
  <c r="C1383" i="62919"/>
  <c r="C1393" i="62919"/>
  <c r="G42" i="11"/>
  <c r="J42" i="11" s="1"/>
  <c r="G41" i="11"/>
  <c r="J41" i="11" s="1"/>
  <c r="G43" i="11"/>
  <c r="J43" i="11" s="1"/>
  <c r="G44" i="11"/>
  <c r="J44" i="11" s="1"/>
  <c r="D188" i="2"/>
  <c r="C101" i="62924"/>
  <c r="C107" i="62924"/>
  <c r="C104" i="62924"/>
  <c r="C102" i="62924"/>
  <c r="C30" i="62924"/>
  <c r="C34" i="62924"/>
  <c r="C36" i="62924"/>
  <c r="D108" i="62924"/>
  <c r="C1261" i="62919"/>
  <c r="C33" i="62924"/>
  <c r="C35" i="62924"/>
  <c r="C32" i="62924"/>
  <c r="C31" i="62924"/>
  <c r="X21" i="62914"/>
  <c r="F50" i="62914"/>
  <c r="E50" i="62914"/>
  <c r="G50" i="62914"/>
  <c r="L26" i="62929"/>
  <c r="X26" i="62929" s="1"/>
  <c r="H50" i="62914"/>
  <c r="F47" i="62915"/>
  <c r="G47" i="62915"/>
  <c r="V19" i="62915"/>
  <c r="E47" i="62915"/>
  <c r="H47" i="62915"/>
  <c r="G59" i="62912"/>
  <c r="H59" i="62912"/>
  <c r="F59" i="62912"/>
  <c r="R19" i="62912"/>
  <c r="E59" i="62912"/>
  <c r="C1384" i="62919"/>
  <c r="C1392" i="62919"/>
  <c r="C1378" i="62919"/>
  <c r="C1391" i="62919"/>
  <c r="C1380" i="62919"/>
  <c r="C1390" i="62919"/>
  <c r="C1386" i="62919"/>
  <c r="C1389" i="62919"/>
  <c r="C1388" i="62919"/>
  <c r="C1385" i="62919"/>
  <c r="C1387" i="62919"/>
  <c r="D156" i="62905"/>
  <c r="D265" i="62905" s="1"/>
  <c r="D103" i="62904"/>
  <c r="D138" i="62904" s="1"/>
  <c r="AM99" i="62904"/>
  <c r="AK101" i="62904"/>
  <c r="AM101" i="62904" s="1"/>
  <c r="V101" i="62904"/>
  <c r="AQ153" i="62905"/>
  <c r="AU153" i="62905" s="1"/>
  <c r="V153" i="62905"/>
  <c r="G194" i="2"/>
  <c r="H194" i="2" s="1"/>
  <c r="H162" i="62905"/>
  <c r="I162" i="62905" s="1"/>
  <c r="AC103" i="62904"/>
  <c r="AQ154" i="62905"/>
  <c r="AU154" i="62905" s="1"/>
  <c r="V154" i="62905"/>
  <c r="AM186" i="2"/>
  <c r="AQ186" i="2" s="1"/>
  <c r="Q186" i="2"/>
  <c r="AK100" i="62904"/>
  <c r="AM100" i="62904" s="1"/>
  <c r="V100" i="62904"/>
  <c r="AM185" i="2"/>
  <c r="AQ185" i="2" s="1"/>
  <c r="Q185" i="2"/>
  <c r="X188" i="2"/>
  <c r="AQ184" i="2"/>
  <c r="AC156" i="62905"/>
  <c r="AU152" i="62905"/>
  <c r="C1249" i="62919"/>
  <c r="C1254" i="62919"/>
  <c r="C1382" i="62919"/>
  <c r="E1872" i="62919"/>
  <c r="C1243" i="62919"/>
  <c r="D1008" i="62919"/>
  <c r="D1009" i="62919" s="1"/>
  <c r="D1010" i="62919" s="1"/>
  <c r="D1011" i="62919" s="1"/>
  <c r="D1012" i="62919" s="1"/>
  <c r="D1013" i="62919" s="1"/>
  <c r="D1014" i="62919" s="1"/>
  <c r="D1015" i="62919" s="1"/>
  <c r="D1016" i="62919" s="1"/>
  <c r="D1017" i="62919" s="1"/>
  <c r="D1018" i="62919" s="1"/>
  <c r="D1019" i="62919" s="1"/>
  <c r="D1020" i="62919" s="1"/>
  <c r="D1021" i="62919" s="1"/>
  <c r="D1022" i="62919" s="1"/>
  <c r="D1023" i="62919" s="1"/>
  <c r="D1024" i="62919" s="1"/>
  <c r="D1025" i="62919" s="1"/>
  <c r="D1026" i="62919" s="1"/>
  <c r="D1027" i="62919" s="1"/>
  <c r="D1028" i="62919" s="1"/>
  <c r="C1241" i="62919"/>
  <c r="C1268" i="62919"/>
  <c r="C1238" i="62919"/>
  <c r="C1246" i="62919"/>
  <c r="C1259" i="62919"/>
  <c r="D873" i="62919"/>
  <c r="C1864" i="62919"/>
  <c r="D180" i="62919"/>
  <c r="D1044" i="62919"/>
  <c r="D1866" i="62919"/>
  <c r="D267" i="62923"/>
  <c r="E268" i="62923"/>
  <c r="E269" i="62923" s="1"/>
  <c r="E270" i="62923" s="1"/>
  <c r="E2301" i="62917"/>
  <c r="E2302" i="62917" s="1"/>
  <c r="E2303" i="62917" s="1"/>
  <c r="E2304" i="62917" s="1"/>
  <c r="E2305" i="62917" s="1"/>
  <c r="E2306" i="62917" s="1"/>
  <c r="E2307" i="62917" s="1"/>
  <c r="E2308" i="62917" s="1"/>
  <c r="E2309" i="62917" s="1"/>
  <c r="E2310" i="62917" s="1"/>
  <c r="E2311" i="62917" s="1"/>
  <c r="E2312" i="62917" s="1"/>
  <c r="E2313" i="62917" s="1"/>
  <c r="E2314" i="62917" s="1"/>
  <c r="E2315" i="62917" s="1"/>
  <c r="E2316" i="62917" s="1"/>
  <c r="E2317" i="62917" s="1"/>
  <c r="E2318" i="62917" s="1"/>
  <c r="E2319" i="62917" s="1"/>
  <c r="E2320" i="62917" s="1"/>
  <c r="E2321" i="62917" s="1"/>
  <c r="E2322" i="62917" s="1"/>
  <c r="E2323" i="62917" s="1"/>
  <c r="E2324" i="62917" s="1"/>
  <c r="E2325" i="62917" s="1"/>
  <c r="E2326" i="62917" s="1"/>
  <c r="E2327" i="62917" s="1"/>
  <c r="E2328" i="62917" s="1"/>
  <c r="E2329" i="62917" s="1"/>
  <c r="E2330" i="62917" s="1"/>
  <c r="E2331" i="62917" s="1"/>
  <c r="E2332" i="62917" s="1"/>
  <c r="E2333" i="62917" s="1"/>
  <c r="E2334" i="62917" s="1"/>
  <c r="E2335" i="62917" s="1"/>
  <c r="E2336" i="62917" s="1"/>
  <c r="E2337" i="62917" s="1"/>
  <c r="E2338" i="62917" s="1"/>
  <c r="E2339" i="62917" s="1"/>
  <c r="E2340" i="62917" s="1"/>
  <c r="E2341" i="62917" s="1"/>
  <c r="E2342" i="62917" s="1"/>
  <c r="E2343" i="62917" s="1"/>
  <c r="E2344" i="62917" s="1"/>
  <c r="E2345" i="62917" s="1"/>
  <c r="E2346" i="62917" s="1"/>
  <c r="E2347" i="62917" s="1"/>
  <c r="E2348" i="62917" s="1"/>
  <c r="E2349" i="62917" s="1"/>
  <c r="E2350" i="62917" s="1"/>
  <c r="E2351" i="62917" s="1"/>
  <c r="E2352" i="62917" s="1"/>
  <c r="E2353" i="62917" s="1"/>
  <c r="E2354" i="62917" s="1"/>
  <c r="E2355" i="62917" s="1"/>
  <c r="E2356" i="62917" s="1"/>
  <c r="E2357" i="62917" s="1"/>
  <c r="E2358" i="62917" s="1"/>
  <c r="D2300" i="62917"/>
  <c r="C44" i="62919"/>
  <c r="C1242" i="62919"/>
  <c r="C1240" i="62919"/>
  <c r="C999" i="62919"/>
  <c r="C1266" i="62919"/>
  <c r="C1255" i="62919"/>
  <c r="C1253" i="62919"/>
  <c r="D946" i="62919"/>
  <c r="D947" i="62919" s="1"/>
  <c r="D948" i="62919" s="1"/>
  <c r="D949" i="62919" s="1"/>
  <c r="D950" i="62919" s="1"/>
  <c r="D951" i="62919" s="1"/>
  <c r="C1265" i="62919"/>
  <c r="C1258" i="62919"/>
  <c r="C1248" i="62919"/>
  <c r="C1245" i="62919"/>
  <c r="C1264" i="62919"/>
  <c r="C1260" i="62919"/>
  <c r="C1267" i="62919"/>
  <c r="C1262" i="62919"/>
  <c r="C1251" i="62919"/>
  <c r="C1263" i="62919"/>
  <c r="C1252" i="62919"/>
  <c r="C1239" i="62919"/>
  <c r="C1256" i="62919"/>
  <c r="C1257" i="62919"/>
  <c r="C1250" i="62919"/>
  <c r="C1247" i="62919"/>
  <c r="E959" i="62919"/>
  <c r="D67" i="62919"/>
  <c r="C61" i="62919"/>
  <c r="C45" i="62919"/>
  <c r="C46" i="62919"/>
  <c r="C49" i="62919"/>
  <c r="C48" i="62919"/>
  <c r="C2161" i="62917"/>
  <c r="C2159" i="62917"/>
  <c r="C2160" i="62917"/>
  <c r="E1484" i="62917"/>
  <c r="E1485" i="62917" s="1"/>
  <c r="E1486" i="62917" s="1"/>
  <c r="D1454" i="62917"/>
  <c r="D1455" i="62917" s="1"/>
  <c r="D1456" i="62917" s="1"/>
  <c r="D1457" i="62917" s="1"/>
  <c r="D1458" i="62917" s="1"/>
  <c r="D1459" i="62917" s="1"/>
  <c r="D1460" i="62917" s="1"/>
  <c r="D1461" i="62917" s="1"/>
  <c r="D1462" i="62917" s="1"/>
  <c r="D1463" i="62917" s="1"/>
  <c r="D1464" i="62917" s="1"/>
  <c r="D1465" i="62917" s="1"/>
  <c r="D1466" i="62917" s="1"/>
  <c r="D1467" i="62917" s="1"/>
  <c r="D1468" i="62917" s="1"/>
  <c r="D1469" i="62917" s="1"/>
  <c r="D1470" i="62917" s="1"/>
  <c r="D1471" i="62917" s="1"/>
  <c r="D1472" i="62917" s="1"/>
  <c r="D1473" i="62917" s="1"/>
  <c r="D1474" i="62917" s="1"/>
  <c r="D1475" i="62917" s="1"/>
  <c r="D1476" i="62917" s="1"/>
  <c r="D1477" i="62917" s="1"/>
  <c r="D1478" i="62917" s="1"/>
  <c r="D1479" i="62917" s="1"/>
  <c r="D1480" i="62917" s="1"/>
  <c r="D1481" i="62917" s="1"/>
  <c r="D1482" i="62917" s="1"/>
  <c r="D96" i="62917"/>
  <c r="D25" i="62917"/>
  <c r="D26" i="62917" s="1"/>
  <c r="D27" i="62917" s="1"/>
  <c r="D28" i="62917" s="1"/>
  <c r="D29" i="62917" s="1"/>
  <c r="D30" i="62917" s="1"/>
  <c r="D31" i="62917" s="1"/>
  <c r="D32" i="62917" s="1"/>
  <c r="D33" i="62917" s="1"/>
  <c r="D34" i="62917" s="1"/>
  <c r="D35" i="62917" s="1"/>
  <c r="D36" i="62917" s="1"/>
  <c r="D37" i="62917" s="1"/>
  <c r="D38" i="62917" s="1"/>
  <c r="D39" i="62917" s="1"/>
  <c r="D40" i="62917" s="1"/>
  <c r="D41" i="62917" s="1"/>
  <c r="D42" i="62917" s="1"/>
  <c r="D43" i="62917" s="1"/>
  <c r="D44" i="62917" s="1"/>
  <c r="D45" i="62917" s="1"/>
  <c r="D46" i="62917" s="1"/>
  <c r="D47" i="62917" s="1"/>
  <c r="D48" i="62917" s="1"/>
  <c r="D49" i="62917" s="1"/>
  <c r="D50" i="62917" s="1"/>
  <c r="D51" i="62917" s="1"/>
  <c r="D52" i="62917" s="1"/>
  <c r="D53" i="62917" s="1"/>
  <c r="D54" i="62917" s="1"/>
  <c r="D55" i="62917" s="1"/>
  <c r="D56" i="62917" s="1"/>
  <c r="D60" i="62917"/>
  <c r="D61" i="62917" s="1"/>
  <c r="D62" i="62917" s="1"/>
  <c r="D63" i="62917" s="1"/>
  <c r="D64" i="62917" s="1"/>
  <c r="D65" i="62917" s="1"/>
  <c r="D66" i="62917" s="1"/>
  <c r="D67" i="62917" s="1"/>
  <c r="D68" i="62917" s="1"/>
  <c r="D69" i="62917" s="1"/>
  <c r="D70" i="62917" s="1"/>
  <c r="D71" i="62917" s="1"/>
  <c r="D72" i="62917" s="1"/>
  <c r="D73" i="62917" s="1"/>
  <c r="D74" i="62917" s="1"/>
  <c r="D75" i="62917" s="1"/>
  <c r="D76" i="62917" s="1"/>
  <c r="D77" i="62917" s="1"/>
  <c r="D78" i="62917" s="1"/>
  <c r="D79" i="62917" s="1"/>
  <c r="D80" i="62917" s="1"/>
  <c r="D81" i="62917" s="1"/>
  <c r="D82" i="62917" s="1"/>
  <c r="D83" i="62917" s="1"/>
  <c r="D84" i="62917" s="1"/>
  <c r="D85" i="62917" s="1"/>
  <c r="D86" i="62917" s="1"/>
  <c r="D87" i="62917" s="1"/>
  <c r="D88" i="62917" s="1"/>
  <c r="D89" i="62917" s="1"/>
  <c r="D90" i="62917" s="1"/>
  <c r="D91" i="62917" s="1"/>
  <c r="D92" i="62917" s="1"/>
  <c r="D93" i="62917" s="1"/>
  <c r="C1142" i="62917"/>
  <c r="C1199" i="62917"/>
  <c r="C1316" i="62917"/>
  <c r="C1301" i="62917"/>
  <c r="C1195" i="62917"/>
  <c r="C1237" i="62917"/>
  <c r="C1235" i="62917"/>
  <c r="C974" i="62917"/>
  <c r="C1250" i="62917"/>
  <c r="C1113" i="62917"/>
  <c r="C1093" i="62917"/>
  <c r="C1286" i="62917"/>
  <c r="C1127" i="62917"/>
  <c r="C1294" i="62917"/>
  <c r="C1254" i="62917"/>
  <c r="C999" i="62917"/>
  <c r="C1050" i="62917"/>
  <c r="C1368" i="62917"/>
  <c r="C1245" i="62917"/>
  <c r="C952" i="62917"/>
  <c r="C992" i="62917"/>
  <c r="C1223" i="62917"/>
  <c r="C1222" i="62917"/>
  <c r="C1016" i="62917"/>
  <c r="C1278" i="62917"/>
  <c r="C1071" i="62917"/>
  <c r="C1268" i="62917"/>
  <c r="C1283" i="62917"/>
  <c r="C1155" i="62917"/>
  <c r="C1230" i="62917"/>
  <c r="C1246" i="62917"/>
  <c r="C1047" i="62917"/>
  <c r="C1202" i="62917"/>
  <c r="C1030" i="62917"/>
  <c r="C1428" i="62917"/>
  <c r="C1033" i="62917"/>
  <c r="C968" i="62917"/>
  <c r="C1117" i="62917"/>
  <c r="C1215" i="62917"/>
  <c r="C1024" i="62917"/>
  <c r="C1312" i="62917"/>
  <c r="C1201" i="62917"/>
  <c r="C1182" i="62917"/>
  <c r="C1186" i="62917"/>
  <c r="C1255" i="62917"/>
  <c r="C1317" i="62917"/>
  <c r="C1166" i="62917"/>
  <c r="C1228" i="62917"/>
  <c r="C1435" i="62917"/>
  <c r="C1424" i="62917"/>
  <c r="C1067" i="62917"/>
  <c r="C1125" i="62917"/>
  <c r="C1205" i="62917"/>
  <c r="C1394" i="62917"/>
  <c r="C1370" i="62917"/>
  <c r="C932" i="62917"/>
  <c r="C1414" i="62917"/>
  <c r="C1376" i="62917"/>
  <c r="C1341" i="62917"/>
  <c r="C1145" i="62917"/>
  <c r="C1385" i="62917"/>
  <c r="C1281" i="62917"/>
  <c r="C1172" i="62917"/>
  <c r="C1423" i="62917"/>
  <c r="C1349" i="62917"/>
  <c r="C1157" i="62917"/>
  <c r="C1163" i="62917"/>
  <c r="C1088" i="62917"/>
  <c r="C1340" i="62917"/>
  <c r="C1134" i="62917"/>
  <c r="C1189" i="62917"/>
  <c r="C962" i="62917"/>
  <c r="C991" i="62917"/>
  <c r="C1097" i="62917"/>
  <c r="C1284" i="62917"/>
  <c r="C1378" i="62917"/>
  <c r="C1406" i="62917"/>
  <c r="C1258" i="62917"/>
  <c r="C965" i="62917"/>
  <c r="C971" i="62917"/>
  <c r="C1261" i="62917"/>
  <c r="C1151" i="62917"/>
  <c r="C1144" i="62917"/>
  <c r="C1174" i="62917"/>
  <c r="C1141" i="62917"/>
  <c r="C1152" i="62917"/>
  <c r="C1225" i="62917"/>
  <c r="C1216" i="62917"/>
  <c r="C933" i="62917"/>
  <c r="C1197" i="62917"/>
  <c r="C1217" i="62917"/>
  <c r="C1188" i="62917"/>
  <c r="C1236" i="62917"/>
  <c r="C1409" i="62917"/>
  <c r="C1412" i="62917"/>
  <c r="C1452" i="62917"/>
  <c r="C961" i="62917"/>
  <c r="C941" i="62917"/>
  <c r="C1160" i="62917"/>
  <c r="C1046" i="62917"/>
  <c r="C1441" i="62917"/>
  <c r="C1417" i="62917"/>
  <c r="C1099" i="62917"/>
  <c r="C1140" i="62917"/>
  <c r="C945" i="62917"/>
  <c r="C1103" i="62917"/>
  <c r="C1079" i="62917"/>
  <c r="C1070" i="62917"/>
  <c r="C998" i="62917"/>
  <c r="C1363" i="62917"/>
  <c r="C1277" i="62917"/>
  <c r="C1180" i="62917"/>
  <c r="C1360" i="62917"/>
  <c r="C1433" i="62917"/>
  <c r="C1401" i="62917"/>
  <c r="C1343" i="62917"/>
  <c r="C1200" i="62917"/>
  <c r="C1272" i="62917"/>
  <c r="C1000" i="62917"/>
  <c r="C1120" i="62917"/>
  <c r="C1292" i="62917"/>
  <c r="C1035" i="62917"/>
  <c r="C1081" i="62917"/>
  <c r="C1395" i="62917"/>
  <c r="C1196" i="62917"/>
  <c r="C1328" i="62917"/>
  <c r="C1108" i="62917"/>
  <c r="C1357" i="62917"/>
  <c r="C1066" i="62917"/>
  <c r="C1068" i="62917"/>
  <c r="C1287" i="62917"/>
  <c r="C1407" i="62917"/>
  <c r="C1322" i="62917"/>
  <c r="C1295" i="62917"/>
  <c r="C1075" i="62917"/>
  <c r="C1243" i="62917"/>
  <c r="C1332" i="62917"/>
  <c r="C1242" i="62917"/>
  <c r="C1049" i="62917"/>
  <c r="C1247" i="62917"/>
  <c r="C1438" i="62917"/>
  <c r="C1107" i="62917"/>
  <c r="C1266" i="62917"/>
  <c r="C1148" i="62917"/>
  <c r="C1419" i="62917"/>
  <c r="C976" i="62917"/>
  <c r="C1386" i="62917"/>
  <c r="C1269" i="62917"/>
  <c r="C1126" i="62917"/>
  <c r="C1173" i="62917"/>
  <c r="C1158" i="62917"/>
  <c r="C1011" i="62917"/>
  <c r="C958" i="62917"/>
  <c r="C1087" i="62917"/>
  <c r="C1256" i="62917"/>
  <c r="C1271" i="62917"/>
  <c r="C973" i="62917"/>
  <c r="C1303" i="62917"/>
  <c r="C1012" i="62917"/>
  <c r="C1430" i="62917"/>
  <c r="C1010" i="62917"/>
  <c r="C1218" i="62917"/>
  <c r="C1168" i="62917"/>
  <c r="C1443" i="62917"/>
  <c r="C1170" i="62917"/>
  <c r="C1059" i="62917"/>
  <c r="C1100" i="62917"/>
  <c r="C1426" i="62917"/>
  <c r="C1039" i="62917"/>
  <c r="C1043" i="62917"/>
  <c r="C970" i="62917"/>
  <c r="C1446" i="62917"/>
  <c r="C1383" i="62917"/>
  <c r="C1289" i="62917"/>
  <c r="C1232" i="62917"/>
  <c r="C1008" i="62917"/>
  <c r="C1181" i="62917"/>
  <c r="C1084" i="62917"/>
  <c r="C1089" i="62917"/>
  <c r="C1351" i="62917"/>
  <c r="C1038" i="62917"/>
  <c r="C1135" i="62917"/>
  <c r="C1313" i="62917"/>
  <c r="C1025" i="62917"/>
  <c r="C1133" i="62917"/>
  <c r="C1094" i="62917"/>
  <c r="C1211" i="62917"/>
  <c r="C1213" i="62917"/>
  <c r="C1085" i="62917"/>
  <c r="C1124" i="62917"/>
  <c r="C1244" i="62917"/>
  <c r="C1023" i="62917"/>
  <c r="C1362" i="62917"/>
  <c r="C1427" i="62917"/>
  <c r="C1137" i="62917"/>
  <c r="C1422" i="62917"/>
  <c r="C1095" i="62917"/>
  <c r="C1153" i="62917"/>
  <c r="C1007" i="62917"/>
  <c r="C1429" i="62917"/>
  <c r="C980" i="62917"/>
  <c r="C1239" i="62917"/>
  <c r="C984" i="62917"/>
  <c r="C1366" i="62917"/>
  <c r="C1451" i="62917"/>
  <c r="C1329" i="62917"/>
  <c r="C1032" i="62917"/>
  <c r="C1410" i="62917"/>
  <c r="C1396" i="62917"/>
  <c r="C943" i="62917"/>
  <c r="C1404" i="62917"/>
  <c r="C964" i="62917"/>
  <c r="C1444" i="62917"/>
  <c r="C1265" i="62917"/>
  <c r="C1212" i="62917"/>
  <c r="C1017" i="62917"/>
  <c r="C1191" i="62917"/>
  <c r="C1445" i="62917"/>
  <c r="C960" i="62917"/>
  <c r="C1279" i="62917"/>
  <c r="C993" i="62917"/>
  <c r="C1389" i="62917"/>
  <c r="C1056" i="62917"/>
  <c r="C1227" i="62917"/>
  <c r="C1052" i="62917"/>
  <c r="C954" i="62917"/>
  <c r="C1305" i="62917"/>
  <c r="C1309" i="62917"/>
  <c r="C1165" i="62917"/>
  <c r="C1054" i="62917"/>
  <c r="C1323" i="62917"/>
  <c r="C967" i="62917"/>
  <c r="C1146" i="62917"/>
  <c r="C1327" i="62917"/>
  <c r="C997" i="62917"/>
  <c r="C956" i="62917"/>
  <c r="C1198" i="62917"/>
  <c r="C1314" i="62917"/>
  <c r="C1315" i="62917"/>
  <c r="C1450" i="62917"/>
  <c r="C1203" i="62917"/>
  <c r="C1020" i="62917"/>
  <c r="C1063" i="62917"/>
  <c r="C983" i="62917"/>
  <c r="C1348" i="62917"/>
  <c r="C996" i="62917"/>
  <c r="C1055" i="62917"/>
  <c r="C1331" i="62917"/>
  <c r="C1219" i="62917"/>
  <c r="C1082" i="62917"/>
  <c r="C1128" i="62917"/>
  <c r="C1375" i="62917"/>
  <c r="C1220" i="62917"/>
  <c r="C1072" i="62917"/>
  <c r="C1434" i="62917"/>
  <c r="C1369" i="62917"/>
  <c r="C1214" i="62917"/>
  <c r="C1338" i="62917"/>
  <c r="C966" i="62917"/>
  <c r="C1229" i="62917"/>
  <c r="C972" i="62917"/>
  <c r="C1021" i="62917"/>
  <c r="C1416" i="62917"/>
  <c r="C1387" i="62917"/>
  <c r="C1354" i="62917"/>
  <c r="C1282" i="62917"/>
  <c r="C1034" i="62917"/>
  <c r="C1431" i="62917"/>
  <c r="C1073" i="62917"/>
  <c r="C1318" i="62917"/>
  <c r="C939" i="62917"/>
  <c r="C1397" i="62917"/>
  <c r="C1319" i="62917"/>
  <c r="C963" i="62917"/>
  <c r="C1139" i="62917"/>
  <c r="C1415" i="62917"/>
  <c r="C940" i="62917"/>
  <c r="C1298" i="62917"/>
  <c r="C1393" i="62917"/>
  <c r="C1176" i="62917"/>
  <c r="C1154" i="62917"/>
  <c r="C1031" i="62917"/>
  <c r="C1149" i="62917"/>
  <c r="C1109" i="62917"/>
  <c r="C1359" i="62917"/>
  <c r="C1374" i="62917"/>
  <c r="C1248" i="62917"/>
  <c r="C1436" i="62917"/>
  <c r="C1083" i="62917"/>
  <c r="C1257" i="62917"/>
  <c r="C1183" i="62917"/>
  <c r="C1333" i="62917"/>
  <c r="C1399" i="62917"/>
  <c r="C1293" i="62917"/>
  <c r="C1185" i="62917"/>
  <c r="C1371" i="62917"/>
  <c r="C1325" i="62917"/>
  <c r="C1382" i="62917"/>
  <c r="C1398" i="62917"/>
  <c r="C1027" i="62917"/>
  <c r="C1238" i="62917"/>
  <c r="C959" i="62917"/>
  <c r="C1400" i="62917"/>
  <c r="C1421" i="62917"/>
  <c r="C1136" i="62917"/>
  <c r="C1274" i="62917"/>
  <c r="C1092" i="62917"/>
  <c r="C1411" i="62917"/>
  <c r="C1104" i="62917"/>
  <c r="C1259" i="62917"/>
  <c r="C1403" i="62917"/>
  <c r="C1288" i="62917"/>
  <c r="C1096" i="62917"/>
  <c r="C929" i="62917"/>
  <c r="C1350" i="62917"/>
  <c r="C1006" i="62917"/>
  <c r="C985" i="62917"/>
  <c r="C1057" i="62917"/>
  <c r="C938" i="62917"/>
  <c r="C1101" i="62917"/>
  <c r="C1112" i="62917"/>
  <c r="C1449" i="62917"/>
  <c r="C1275" i="62917"/>
  <c r="C1402" i="62917"/>
  <c r="C1372" i="62917"/>
  <c r="C1307" i="62917"/>
  <c r="C1302" i="62917"/>
  <c r="C1130" i="62917"/>
  <c r="C1121" i="62917"/>
  <c r="C1192" i="62917"/>
  <c r="C1005" i="62917"/>
  <c r="C1345" i="62917"/>
  <c r="C1300" i="62917"/>
  <c r="C1447" i="62917"/>
  <c r="C1026" i="62917"/>
  <c r="C1262" i="62917"/>
  <c r="C1051" i="62917"/>
  <c r="C1114" i="62917"/>
  <c r="C1270" i="62917"/>
  <c r="C995" i="62917"/>
  <c r="C1310" i="62917"/>
  <c r="C1037" i="62917"/>
  <c r="C1347" i="62917"/>
  <c r="C1296" i="62917"/>
  <c r="C1077" i="62917"/>
  <c r="C1365" i="62917"/>
  <c r="C1131" i="62917"/>
  <c r="C1425" i="62917"/>
  <c r="C1044" i="62917"/>
  <c r="C1391" i="62917"/>
  <c r="C948" i="62917"/>
  <c r="C942" i="62917"/>
  <c r="C1221" i="62917"/>
  <c r="C1159" i="62917"/>
  <c r="C1299" i="62917"/>
  <c r="C1381" i="62917"/>
  <c r="C1069" i="62917"/>
  <c r="C977" i="62917"/>
  <c r="C1308" i="62917"/>
  <c r="C1413" i="62917"/>
  <c r="C1344" i="62917"/>
  <c r="C951" i="62917"/>
  <c r="C1167" i="62917"/>
  <c r="C1177" i="62917"/>
  <c r="C1330" i="62917"/>
  <c r="C1377" i="62917"/>
  <c r="C1129" i="62917"/>
  <c r="C1390" i="62917"/>
  <c r="C1194" i="62917"/>
  <c r="C979" i="62917"/>
  <c r="C1028" i="62917"/>
  <c r="C1364" i="62917"/>
  <c r="C928" i="62917"/>
  <c r="C994" i="62917"/>
  <c r="C1311" i="62917"/>
  <c r="C1453" i="62917"/>
  <c r="C1013" i="62917"/>
  <c r="C1234" i="62917"/>
  <c r="C1169" i="62917"/>
  <c r="C1193" i="62917"/>
  <c r="C950" i="62917"/>
  <c r="C1291" i="62917"/>
  <c r="C1123" i="62917"/>
  <c r="C1355" i="62917"/>
  <c r="C930" i="62917"/>
  <c r="C1335" i="62917"/>
  <c r="C1408" i="62917"/>
  <c r="C1062" i="62917"/>
  <c r="C1171" i="62917"/>
  <c r="C1290" i="62917"/>
  <c r="C1224" i="62917"/>
  <c r="C1226" i="62917"/>
  <c r="C1252" i="62917"/>
  <c r="C1264" i="62917"/>
  <c r="C987" i="62917"/>
  <c r="C1297" i="62917"/>
  <c r="C937" i="62917"/>
  <c r="C982" i="62917"/>
  <c r="C947" i="62917"/>
  <c r="C1231" i="62917"/>
  <c r="C1388" i="62917"/>
  <c r="C1304" i="62917"/>
  <c r="C1090" i="62917"/>
  <c r="C1009" i="62917"/>
  <c r="C1334" i="62917"/>
  <c r="C1241" i="62917"/>
  <c r="C1018" i="62917"/>
  <c r="C1204" i="62917"/>
  <c r="C955" i="62917"/>
  <c r="C1179" i="62917"/>
  <c r="C1061" i="62917"/>
  <c r="C1042" i="62917"/>
  <c r="C1353" i="62917"/>
  <c r="C1164" i="62917"/>
  <c r="C969" i="62917"/>
  <c r="C1065" i="62917"/>
  <c r="C1267" i="62917"/>
  <c r="C1263" i="62917"/>
  <c r="C927" i="62917"/>
  <c r="C1080" i="62917"/>
  <c r="C1001" i="62917"/>
  <c r="C1147" i="62917"/>
  <c r="C1210" i="62917"/>
  <c r="C1306" i="62917"/>
  <c r="C1161" i="62917"/>
  <c r="C1036" i="62917"/>
  <c r="C1118" i="62917"/>
  <c r="C1091" i="62917"/>
  <c r="C1337" i="62917"/>
  <c r="C1346" i="62917"/>
  <c r="C1233" i="62917"/>
  <c r="C1356" i="62917"/>
  <c r="C1273" i="62917"/>
  <c r="C1440" i="62917"/>
  <c r="C1373" i="62917"/>
  <c r="C1048" i="62917"/>
  <c r="C1045" i="62917"/>
  <c r="C1115" i="62917"/>
  <c r="C1439" i="62917"/>
  <c r="C1280" i="62917"/>
  <c r="C988" i="62917"/>
  <c r="C1058" i="62917"/>
  <c r="C1106" i="62917"/>
  <c r="C1029" i="62917"/>
  <c r="C1111" i="62917"/>
  <c r="C990" i="62917"/>
  <c r="C1320" i="62917"/>
  <c r="C1002" i="62917"/>
  <c r="C1119" i="62917"/>
  <c r="C1207" i="62917"/>
  <c r="C931" i="62917"/>
  <c r="C978" i="62917"/>
  <c r="C1175" i="62917"/>
  <c r="C1116" i="62917"/>
  <c r="C1078" i="62917"/>
  <c r="C924" i="62917"/>
  <c r="C1253" i="62917"/>
  <c r="C1076" i="62917"/>
  <c r="C1041" i="62917"/>
  <c r="C926" i="62917"/>
  <c r="C936" i="62917"/>
  <c r="C1379" i="62917"/>
  <c r="C935" i="62917"/>
  <c r="C1190" i="62917"/>
  <c r="C1184" i="62917"/>
  <c r="C1102" i="62917"/>
  <c r="C1187" i="62917"/>
  <c r="C934" i="62917"/>
  <c r="C986" i="62917"/>
  <c r="C1249" i="62917"/>
  <c r="C1162" i="62917"/>
  <c r="C1367" i="62917"/>
  <c r="C953" i="62917"/>
  <c r="C1015" i="62917"/>
  <c r="C1105" i="62917"/>
  <c r="C1074" i="62917"/>
  <c r="C957" i="62917"/>
  <c r="C1003" i="62917"/>
  <c r="C946" i="62917"/>
  <c r="C1150" i="62917"/>
  <c r="C1326" i="62917"/>
  <c r="C1132" i="62917"/>
  <c r="C989" i="62917"/>
  <c r="C1358" i="62917"/>
  <c r="C1022" i="62917"/>
  <c r="C1086" i="62917"/>
  <c r="C1098" i="62917"/>
  <c r="C1138" i="62917"/>
  <c r="C1122" i="62917"/>
  <c r="C1380" i="62917"/>
  <c r="C1064" i="62917"/>
  <c r="C922" i="62917"/>
  <c r="C925" i="62917"/>
  <c r="C1342" i="62917"/>
  <c r="C1448" i="62917"/>
  <c r="C1251" i="62917"/>
  <c r="C1324" i="62917"/>
  <c r="C1209" i="62917"/>
  <c r="C1260" i="62917"/>
  <c r="C1156" i="62917"/>
  <c r="C1405" i="62917"/>
  <c r="C1285" i="62917"/>
  <c r="C1392" i="62917"/>
  <c r="C1352" i="62917"/>
  <c r="C1420" i="62917"/>
  <c r="C1442" i="62917"/>
  <c r="C1339" i="62917"/>
  <c r="C1206" i="62917"/>
  <c r="C1178" i="62917"/>
  <c r="C975" i="62917"/>
  <c r="C1004" i="62917"/>
  <c r="C1276" i="62917"/>
  <c r="C1432" i="62917"/>
  <c r="C1040" i="62917"/>
  <c r="C1361" i="62917"/>
  <c r="C949" i="62917"/>
  <c r="C1384" i="62917"/>
  <c r="C1143" i="62917"/>
  <c r="C1321" i="62917"/>
  <c r="C1208" i="62917"/>
  <c r="C1053" i="62917"/>
  <c r="C1014" i="62917"/>
  <c r="C1240" i="62917"/>
  <c r="C1019" i="62917"/>
  <c r="C1110" i="62917"/>
  <c r="C944" i="62917"/>
  <c r="C1418" i="62917"/>
  <c r="C1060" i="62917"/>
  <c r="C1437" i="62917"/>
  <c r="C1336" i="62917"/>
  <c r="C981" i="62917"/>
  <c r="D98" i="9" l="1"/>
  <c r="K102" i="9"/>
  <c r="C566" i="62922"/>
  <c r="D763" i="62922"/>
  <c r="D764" i="62922" s="1"/>
  <c r="D765" i="62922" s="1"/>
  <c r="D766" i="62922" s="1"/>
  <c r="D767" i="62922" s="1"/>
  <c r="D768" i="62922" s="1"/>
  <c r="D769" i="62922" s="1"/>
  <c r="D770" i="62922" s="1"/>
  <c r="D771" i="62922" s="1"/>
  <c r="D772" i="62922" s="1"/>
  <c r="D773" i="62922" s="1"/>
  <c r="D774" i="62922" s="1"/>
  <c r="D775" i="62922" s="1"/>
  <c r="D776" i="62922" s="1"/>
  <c r="D777" i="62922" s="1"/>
  <c r="D778" i="62922" s="1"/>
  <c r="D779" i="62922" s="1"/>
  <c r="D780" i="62922" s="1"/>
  <c r="D781" i="62922" s="1"/>
  <c r="D782" i="62922" s="1"/>
  <c r="D783" i="62922" s="1"/>
  <c r="D784" i="62922" s="1"/>
  <c r="D785" i="62922" s="1"/>
  <c r="D786" i="62922" s="1"/>
  <c r="D787" i="62922" s="1"/>
  <c r="D788" i="62922" s="1"/>
  <c r="D789" i="62922" s="1"/>
  <c r="D790" i="62922" s="1"/>
  <c r="D791" i="62922" s="1"/>
  <c r="D792" i="62922" s="1"/>
  <c r="D793" i="62922" s="1"/>
  <c r="D794" i="62922" s="1"/>
  <c r="D795" i="62922" s="1"/>
  <c r="D796" i="62922" s="1"/>
  <c r="D797" i="62922" s="1"/>
  <c r="D798" i="62922" s="1"/>
  <c r="D799" i="62922" s="1"/>
  <c r="D800" i="62922" s="1"/>
  <c r="D801" i="62922" s="1"/>
  <c r="D802" i="62922" s="1"/>
  <c r="C579" i="62922" s="1"/>
  <c r="C555" i="62922"/>
  <c r="C557" i="62922"/>
  <c r="C570" i="62922"/>
  <c r="C569" i="62922"/>
  <c r="C574" i="62922"/>
  <c r="C568" i="62922"/>
  <c r="C550" i="62922"/>
  <c r="C551" i="62922"/>
  <c r="C556" i="62922"/>
  <c r="C559" i="62922"/>
  <c r="C562" i="62922"/>
  <c r="C565" i="62922"/>
  <c r="C560" i="62922"/>
  <c r="C571" i="62922"/>
  <c r="C572" i="62922"/>
  <c r="C561" i="62922"/>
  <c r="C567" i="62922"/>
  <c r="C554" i="62922"/>
  <c r="C573" i="62922"/>
  <c r="C563" i="62922"/>
  <c r="C558" i="62922"/>
  <c r="C549" i="62922"/>
  <c r="C552" i="62922"/>
  <c r="C553" i="62922"/>
  <c r="C564" i="62922"/>
  <c r="C96" i="62917"/>
  <c r="E265" i="62905"/>
  <c r="C206" i="62909"/>
  <c r="E206" i="62909" s="1"/>
  <c r="I265" i="62905"/>
  <c r="H265" i="62905"/>
  <c r="G206" i="62909" s="1"/>
  <c r="H206" i="62909" s="1"/>
  <c r="D336" i="62923"/>
  <c r="D337" i="62923" s="1"/>
  <c r="C493" i="62922"/>
  <c r="C482" i="62922"/>
  <c r="C490" i="62922"/>
  <c r="C488" i="62922"/>
  <c r="C486" i="62922"/>
  <c r="C497" i="62922"/>
  <c r="C498" i="62922"/>
  <c r="C484" i="62922"/>
  <c r="C499" i="62922"/>
  <c r="C496" i="62922"/>
  <c r="C494" i="62922"/>
  <c r="C491" i="62922"/>
  <c r="C489" i="62922"/>
  <c r="C495" i="62922"/>
  <c r="C485" i="62922"/>
  <c r="C483" i="62922"/>
  <c r="C492" i="62922"/>
  <c r="C487" i="62922"/>
  <c r="E521" i="62922"/>
  <c r="D521" i="62922" s="1"/>
  <c r="C519" i="62922"/>
  <c r="C333" i="62922"/>
  <c r="C301" i="62922"/>
  <c r="C316" i="62922"/>
  <c r="C342" i="62922"/>
  <c r="C307" i="62922"/>
  <c r="C302" i="62922"/>
  <c r="C310" i="62922"/>
  <c r="C295" i="62922"/>
  <c r="C322" i="62922"/>
  <c r="C318" i="62922"/>
  <c r="C336" i="62922"/>
  <c r="C299" i="62922"/>
  <c r="C312" i="62922"/>
  <c r="C297" i="62922"/>
  <c r="C291" i="62922"/>
  <c r="C290" i="62922"/>
  <c r="C296" i="62922"/>
  <c r="C337" i="62922"/>
  <c r="C339" i="62922"/>
  <c r="C314" i="62922"/>
  <c r="C306" i="62922"/>
  <c r="C323" i="62922"/>
  <c r="C334" i="62922"/>
  <c r="C344" i="62922"/>
  <c r="C294" i="62922"/>
  <c r="C340" i="62922"/>
  <c r="C319" i="62922"/>
  <c r="C327" i="62922"/>
  <c r="C331" i="62922"/>
  <c r="C308" i="62922"/>
  <c r="C293" i="62922"/>
  <c r="C329" i="62922"/>
  <c r="C321" i="62922"/>
  <c r="C315" i="62922"/>
  <c r="C304" i="62922"/>
  <c r="C325" i="62922"/>
  <c r="C303" i="62922"/>
  <c r="C343" i="62922"/>
  <c r="C341" i="62922"/>
  <c r="C292" i="62922"/>
  <c r="C298" i="62922"/>
  <c r="C338" i="62922"/>
  <c r="C330" i="62922"/>
  <c r="C320" i="62922"/>
  <c r="C309" i="62922"/>
  <c r="C332" i="62922"/>
  <c r="C317" i="62922"/>
  <c r="C311" i="62922"/>
  <c r="C335" i="62922"/>
  <c r="C328" i="62922"/>
  <c r="C313" i="62922"/>
  <c r="C324" i="62922"/>
  <c r="C326" i="62922"/>
  <c r="C300" i="62922"/>
  <c r="C139" i="62921"/>
  <c r="C136" i="62921"/>
  <c r="C138" i="62921"/>
  <c r="C22" i="62921"/>
  <c r="C19" i="62921"/>
  <c r="C25" i="62921"/>
  <c r="C24" i="62921"/>
  <c r="C27" i="62921"/>
  <c r="C29" i="62921"/>
  <c r="C21" i="62921"/>
  <c r="C28" i="62921"/>
  <c r="C30" i="62921"/>
  <c r="C20" i="62921"/>
  <c r="C23" i="62921"/>
  <c r="C26" i="62921"/>
  <c r="C215" i="62921"/>
  <c r="C218" i="62921"/>
  <c r="C227" i="62921"/>
  <c r="C207" i="62921"/>
  <c r="C224" i="62921"/>
  <c r="C222" i="62921"/>
  <c r="C228" i="62921"/>
  <c r="C220" i="62921"/>
  <c r="C217" i="62921"/>
  <c r="C209" i="62921"/>
  <c r="C206" i="62921"/>
  <c r="C223" i="62921"/>
  <c r="C210" i="62921"/>
  <c r="C212" i="62921"/>
  <c r="C214" i="62921"/>
  <c r="C219" i="62921"/>
  <c r="C221" i="62921"/>
  <c r="C225" i="62921"/>
  <c r="C216" i="62921"/>
  <c r="C226" i="62921"/>
  <c r="C211" i="62921"/>
  <c r="C213" i="62921"/>
  <c r="D347" i="62921"/>
  <c r="C338" i="62921"/>
  <c r="C2245" i="62917"/>
  <c r="C2248" i="62917"/>
  <c r="C2242" i="62917"/>
  <c r="C2239" i="62917"/>
  <c r="C2241" i="62917"/>
  <c r="C2247" i="62917"/>
  <c r="C2244" i="62917"/>
  <c r="C2238" i="62917"/>
  <c r="C2240" i="62917"/>
  <c r="C2249" i="62917"/>
  <c r="C2243" i="62917"/>
  <c r="C954" i="62919"/>
  <c r="E1988" i="62917"/>
  <c r="C1719" i="62917"/>
  <c r="C1717" i="62917"/>
  <c r="C1723" i="62917"/>
  <c r="C1720" i="62917"/>
  <c r="C1722" i="62917"/>
  <c r="C1716" i="62917"/>
  <c r="C1721" i="62917"/>
  <c r="C1718" i="62917"/>
  <c r="D1952" i="62917"/>
  <c r="C1724" i="62917" s="1"/>
  <c r="E338" i="62923"/>
  <c r="E339" i="62923" s="1"/>
  <c r="E340" i="62923" s="1"/>
  <c r="E341" i="62923" s="1"/>
  <c r="D301" i="62923"/>
  <c r="E302" i="62923"/>
  <c r="C37" i="62918"/>
  <c r="C31" i="62918"/>
  <c r="C33" i="62918"/>
  <c r="C27" i="62918"/>
  <c r="C40" i="62918"/>
  <c r="C36" i="62918"/>
  <c r="D957" i="62919"/>
  <c r="D958" i="62919" s="1"/>
  <c r="D959" i="62919" s="1"/>
  <c r="C955" i="62919" s="1"/>
  <c r="C922" i="62919"/>
  <c r="C925" i="62919"/>
  <c r="C923" i="62919"/>
  <c r="C924" i="62919"/>
  <c r="D636" i="62919"/>
  <c r="D637" i="62919" s="1"/>
  <c r="D638" i="62919" s="1"/>
  <c r="D639" i="62919" s="1"/>
  <c r="D640" i="62919" s="1"/>
  <c r="D641" i="62919" s="1"/>
  <c r="D642" i="62919" s="1"/>
  <c r="D643" i="62919" s="1"/>
  <c r="D644" i="62919" s="1"/>
  <c r="D645" i="62919" s="1"/>
  <c r="D646" i="62919" s="1"/>
  <c r="D647" i="62919" s="1"/>
  <c r="D648" i="62919" s="1"/>
  <c r="D649" i="62919" s="1"/>
  <c r="D650" i="62919" s="1"/>
  <c r="D651" i="62919" s="1"/>
  <c r="D652" i="62919" s="1"/>
  <c r="D653" i="62919" s="1"/>
  <c r="D654" i="62919" s="1"/>
  <c r="D655" i="62919" s="1"/>
  <c r="D656" i="62919" s="1"/>
  <c r="D657" i="62919" s="1"/>
  <c r="D658" i="62919" s="1"/>
  <c r="D659" i="62919" s="1"/>
  <c r="D660" i="62919" s="1"/>
  <c r="D661" i="62919" s="1"/>
  <c r="D662" i="62919" s="1"/>
  <c r="D663" i="62919" s="1"/>
  <c r="D664" i="62919" s="1"/>
  <c r="D665" i="62919" s="1"/>
  <c r="D666" i="62919" s="1"/>
  <c r="D667" i="62919" s="1"/>
  <c r="D668" i="62919" s="1"/>
  <c r="D669" i="62919" s="1"/>
  <c r="D670" i="62919" s="1"/>
  <c r="D671" i="62919" s="1"/>
  <c r="D672" i="62919" s="1"/>
  <c r="D673" i="62919" s="1"/>
  <c r="D674" i="62919" s="1"/>
  <c r="D675" i="62919" s="1"/>
  <c r="D676" i="62919" s="1"/>
  <c r="D677" i="62919" s="1"/>
  <c r="D678" i="62919" s="1"/>
  <c r="D679" i="62919" s="1"/>
  <c r="D680" i="62919" s="1"/>
  <c r="D681" i="62919" s="1"/>
  <c r="D682" i="62919" s="1"/>
  <c r="D683" i="62919" s="1"/>
  <c r="D684" i="62919" s="1"/>
  <c r="D685" i="62919" s="1"/>
  <c r="D686" i="62919" s="1"/>
  <c r="D687" i="62919" s="1"/>
  <c r="D688" i="62919" s="1"/>
  <c r="D689" i="62919" s="1"/>
  <c r="D690" i="62919" s="1"/>
  <c r="D691" i="62919" s="1"/>
  <c r="D692" i="62919" s="1"/>
  <c r="D693" i="62919" s="1"/>
  <c r="D694" i="62919" s="1"/>
  <c r="D695" i="62919" s="1"/>
  <c r="D696" i="62919" s="1"/>
  <c r="D697" i="62919" s="1"/>
  <c r="D698" i="62919" s="1"/>
  <c r="D699" i="62919" s="1"/>
  <c r="D700" i="62919" s="1"/>
  <c r="D701" i="62919" s="1"/>
  <c r="D702" i="62919" s="1"/>
  <c r="D703" i="62919" s="1"/>
  <c r="D704" i="62919" s="1"/>
  <c r="D705" i="62919" s="1"/>
  <c r="D706" i="62919" s="1"/>
  <c r="D707" i="62919" s="1"/>
  <c r="D708" i="62919" s="1"/>
  <c r="D709" i="62919" s="1"/>
  <c r="D710" i="62919" s="1"/>
  <c r="D711" i="62919" s="1"/>
  <c r="D712" i="62919" s="1"/>
  <c r="D713" i="62919" s="1"/>
  <c r="D714" i="62919" s="1"/>
  <c r="D715" i="62919" s="1"/>
  <c r="D716" i="62919" s="1"/>
  <c r="D717" i="62919" s="1"/>
  <c r="D718" i="62919" s="1"/>
  <c r="D719" i="62919" s="1"/>
  <c r="D720" i="62919" s="1"/>
  <c r="D721" i="62919" s="1"/>
  <c r="D722" i="62919" s="1"/>
  <c r="D723" i="62919" s="1"/>
  <c r="D724" i="62919" s="1"/>
  <c r="D725" i="62919" s="1"/>
  <c r="D726" i="62919" s="1"/>
  <c r="D727" i="62919" s="1"/>
  <c r="D728" i="62919" s="1"/>
  <c r="D729" i="62919" s="1"/>
  <c r="D730" i="62919" s="1"/>
  <c r="D731" i="62919" s="1"/>
  <c r="D732" i="62919" s="1"/>
  <c r="D733" i="62919" s="1"/>
  <c r="D734" i="62919" s="1"/>
  <c r="D735" i="62919" s="1"/>
  <c r="D736" i="62919" s="1"/>
  <c r="D737" i="62919" s="1"/>
  <c r="D738" i="62919" s="1"/>
  <c r="D739" i="62919" s="1"/>
  <c r="D740" i="62919" s="1"/>
  <c r="D741" i="62919" s="1"/>
  <c r="D742" i="62919" s="1"/>
  <c r="D743" i="62919" s="1"/>
  <c r="D744" i="62919" s="1"/>
  <c r="D745" i="62919" s="1"/>
  <c r="D746" i="62919" s="1"/>
  <c r="D747" i="62919" s="1"/>
  <c r="D748" i="62919" s="1"/>
  <c r="D749" i="62919" s="1"/>
  <c r="D750" i="62919" s="1"/>
  <c r="D751" i="62919" s="1"/>
  <c r="D752" i="62919" s="1"/>
  <c r="D753" i="62919" s="1"/>
  <c r="D754" i="62919" s="1"/>
  <c r="D755" i="62919" s="1"/>
  <c r="D756" i="62919" s="1"/>
  <c r="D757" i="62919" s="1"/>
  <c r="D758" i="62919" s="1"/>
  <c r="D759" i="62919" s="1"/>
  <c r="D760" i="62919" s="1"/>
  <c r="D761" i="62919" s="1"/>
  <c r="D762" i="62919" s="1"/>
  <c r="D763" i="62919" s="1"/>
  <c r="D764" i="62919" s="1"/>
  <c r="D765" i="62919" s="1"/>
  <c r="D766" i="62919" s="1"/>
  <c r="D767" i="62919" s="1"/>
  <c r="D768" i="62919" s="1"/>
  <c r="D769" i="62919" s="1"/>
  <c r="D770" i="62919" s="1"/>
  <c r="D771" i="62919" s="1"/>
  <c r="D772" i="62919" s="1"/>
  <c r="D773" i="62919" s="1"/>
  <c r="D774" i="62919" s="1"/>
  <c r="D775" i="62919" s="1"/>
  <c r="D776" i="62919" s="1"/>
  <c r="D777" i="62919" s="1"/>
  <c r="D778" i="62919" s="1"/>
  <c r="D779" i="62919" s="1"/>
  <c r="D780" i="62919" s="1"/>
  <c r="D781" i="62919" s="1"/>
  <c r="D782" i="62919" s="1"/>
  <c r="D783" i="62919" s="1"/>
  <c r="D784" i="62919" s="1"/>
  <c r="D785" i="62919" s="1"/>
  <c r="D786" i="62919" s="1"/>
  <c r="D787" i="62919" s="1"/>
  <c r="D788" i="62919" s="1"/>
  <c r="D789" i="62919" s="1"/>
  <c r="D790" i="62919" s="1"/>
  <c r="D791" i="62919" s="1"/>
  <c r="D792" i="62919" s="1"/>
  <c r="D793" i="62919" s="1"/>
  <c r="D794" i="62919" s="1"/>
  <c r="D795" i="62919" s="1"/>
  <c r="D796" i="62919" s="1"/>
  <c r="D797" i="62919" s="1"/>
  <c r="D798" i="62919" s="1"/>
  <c r="D799" i="62919" s="1"/>
  <c r="D800" i="62919" s="1"/>
  <c r="D801" i="62919" s="1"/>
  <c r="D802" i="62919" s="1"/>
  <c r="D803" i="62919" s="1"/>
  <c r="D804" i="62919" s="1"/>
  <c r="D805" i="62919" s="1"/>
  <c r="D806" i="62919" s="1"/>
  <c r="D807" i="62919" s="1"/>
  <c r="D808" i="62919" s="1"/>
  <c r="D809" i="62919" s="1"/>
  <c r="D810" i="62919" s="1"/>
  <c r="D811" i="62919" s="1"/>
  <c r="D812" i="62919" s="1"/>
  <c r="D813" i="62919" s="1"/>
  <c r="D814" i="62919" s="1"/>
  <c r="D815" i="62919" s="1"/>
  <c r="D816" i="62919" s="1"/>
  <c r="D817" i="62919" s="1"/>
  <c r="D818" i="62919" s="1"/>
  <c r="D819" i="62919" s="1"/>
  <c r="D820" i="62919" s="1"/>
  <c r="D821" i="62919" s="1"/>
  <c r="D822" i="62919" s="1"/>
  <c r="D823" i="62919" s="1"/>
  <c r="D824" i="62919" s="1"/>
  <c r="D825" i="62919" s="1"/>
  <c r="D826" i="62919" s="1"/>
  <c r="D827" i="62919" s="1"/>
  <c r="D828" i="62919" s="1"/>
  <c r="D829" i="62919" s="1"/>
  <c r="D830" i="62919" s="1"/>
  <c r="D831" i="62919" s="1"/>
  <c r="D832" i="62919" s="1"/>
  <c r="D833" i="62919" s="1"/>
  <c r="D834" i="62919" s="1"/>
  <c r="D835" i="62919" s="1"/>
  <c r="D836" i="62919" s="1"/>
  <c r="D837" i="62919" s="1"/>
  <c r="D838" i="62919" s="1"/>
  <c r="D839" i="62919" s="1"/>
  <c r="D840" i="62919" s="1"/>
  <c r="D841" i="62919" s="1"/>
  <c r="D842" i="62919" s="1"/>
  <c r="D843" i="62919" s="1"/>
  <c r="D844" i="62919" s="1"/>
  <c r="D845" i="62919" s="1"/>
  <c r="D846" i="62919" s="1"/>
  <c r="D847" i="62919" s="1"/>
  <c r="D848" i="62919" s="1"/>
  <c r="D849" i="62919" s="1"/>
  <c r="D850" i="62919" s="1"/>
  <c r="D851" i="62919" s="1"/>
  <c r="D852" i="62919" s="1"/>
  <c r="D853" i="62919" s="1"/>
  <c r="D854" i="62919" s="1"/>
  <c r="D855" i="62919" s="1"/>
  <c r="D856" i="62919" s="1"/>
  <c r="D857" i="62919" s="1"/>
  <c r="D858" i="62919" s="1"/>
  <c r="D859" i="62919" s="1"/>
  <c r="C38" i="62918"/>
  <c r="C25" i="62918"/>
  <c r="C30" i="62918"/>
  <c r="C34" i="62918"/>
  <c r="C23" i="62918"/>
  <c r="C26" i="62918"/>
  <c r="C32" i="62918"/>
  <c r="C35" i="62918"/>
  <c r="C29" i="62918"/>
  <c r="C41" i="62918"/>
  <c r="C24" i="62918"/>
  <c r="C28" i="62918"/>
  <c r="C39" i="62918"/>
  <c r="C60" i="62917"/>
  <c r="C65" i="62917"/>
  <c r="C64" i="62917"/>
  <c r="C61" i="62917"/>
  <c r="C71" i="62917"/>
  <c r="C67" i="62917"/>
  <c r="C63" i="62917"/>
  <c r="C66" i="62917"/>
  <c r="C70" i="62917"/>
  <c r="C69" i="62917"/>
  <c r="C62" i="62917"/>
  <c r="C68" i="62917"/>
  <c r="E99" i="62917"/>
  <c r="D97" i="62917"/>
  <c r="D98" i="62917" s="1"/>
  <c r="D1567" i="62919"/>
  <c r="D1568" i="62919" s="1"/>
  <c r="D1569" i="62919" s="1"/>
  <c r="D1570" i="62919" s="1"/>
  <c r="D1571" i="62919" s="1"/>
  <c r="D1572" i="62919" s="1"/>
  <c r="D1573" i="62919" s="1"/>
  <c r="D1574" i="62919" s="1"/>
  <c r="D1575" i="62919" s="1"/>
  <c r="D1576" i="62919" s="1"/>
  <c r="D1577" i="62919" s="1"/>
  <c r="D1578" i="62919" s="1"/>
  <c r="D1579" i="62919" s="1"/>
  <c r="D1580" i="62919" s="1"/>
  <c r="D1581" i="62919" s="1"/>
  <c r="D1582" i="62919" s="1"/>
  <c r="D1583" i="62919" s="1"/>
  <c r="D1584" i="62919" s="1"/>
  <c r="D1585" i="62919" s="1"/>
  <c r="D1586" i="62919" s="1"/>
  <c r="D1587" i="62919" s="1"/>
  <c r="D1588" i="62919" s="1"/>
  <c r="D1589" i="62919" s="1"/>
  <c r="D1590" i="62919" s="1"/>
  <c r="D1591" i="62919" s="1"/>
  <c r="D1592" i="62919" s="1"/>
  <c r="D1593" i="62919" s="1"/>
  <c r="D1594" i="62919" s="1"/>
  <c r="D1595" i="62919" s="1"/>
  <c r="D1596" i="62919" s="1"/>
  <c r="D1597" i="62919" s="1"/>
  <c r="D1598" i="62919" s="1"/>
  <c r="D1599" i="62919" s="1"/>
  <c r="D1600" i="62919" s="1"/>
  <c r="D1601" i="62919" s="1"/>
  <c r="D1602" i="62919" s="1"/>
  <c r="D1603" i="62919" s="1"/>
  <c r="D1604" i="62919" s="1"/>
  <c r="D1605" i="62919" s="1"/>
  <c r="D1606" i="62919" s="1"/>
  <c r="D1607" i="62919" s="1"/>
  <c r="D1608" i="62919" s="1"/>
  <c r="D1609" i="62919" s="1"/>
  <c r="D1610" i="62919" s="1"/>
  <c r="D1611" i="62919" s="1"/>
  <c r="D1612" i="62919" s="1"/>
  <c r="D1613" i="62919" s="1"/>
  <c r="D1614" i="62919" s="1"/>
  <c r="D1615" i="62919" s="1"/>
  <c r="D1616" i="62919" s="1"/>
  <c r="D1617" i="62919" s="1"/>
  <c r="D1618" i="62919" s="1"/>
  <c r="D1619" i="62919" s="1"/>
  <c r="D1620" i="62919" s="1"/>
  <c r="D1621" i="62919" s="1"/>
  <c r="D1622" i="62919" s="1"/>
  <c r="D1623" i="62919" s="1"/>
  <c r="D1624" i="62919" s="1"/>
  <c r="D1625" i="62919" s="1"/>
  <c r="D1626" i="62919" s="1"/>
  <c r="D1627" i="62919" s="1"/>
  <c r="D1628" i="62919" s="1"/>
  <c r="D1629" i="62919" s="1"/>
  <c r="D1630" i="62919" s="1"/>
  <c r="D1631" i="62919" s="1"/>
  <c r="D1632" i="62919" s="1"/>
  <c r="D1633" i="62919" s="1"/>
  <c r="D1634" i="62919" s="1"/>
  <c r="D1635" i="62919" s="1"/>
  <c r="D1636" i="62919" s="1"/>
  <c r="D1637" i="62919" s="1"/>
  <c r="D1638" i="62919" s="1"/>
  <c r="D1639" i="62919" s="1"/>
  <c r="D1640" i="62919" s="1"/>
  <c r="D1641" i="62919" s="1"/>
  <c r="D1642" i="62919" s="1"/>
  <c r="D1643" i="62919" s="1"/>
  <c r="D1644" i="62919" s="1"/>
  <c r="D1645" i="62919" s="1"/>
  <c r="D1646" i="62919" s="1"/>
  <c r="D1647" i="62919" s="1"/>
  <c r="D1648" i="62919" s="1"/>
  <c r="D1649" i="62919" s="1"/>
  <c r="D1650" i="62919" s="1"/>
  <c r="D1651" i="62919" s="1"/>
  <c r="D1652" i="62919" s="1"/>
  <c r="D1653" i="62919" s="1"/>
  <c r="D1654" i="62919" s="1"/>
  <c r="D1655" i="62919" s="1"/>
  <c r="D1656" i="62919" s="1"/>
  <c r="D1657" i="62919" s="1"/>
  <c r="D1658" i="62919" s="1"/>
  <c r="D1659" i="62919" s="1"/>
  <c r="D1660" i="62919" s="1"/>
  <c r="D1661" i="62919" s="1"/>
  <c r="D1662" i="62919" s="1"/>
  <c r="D1663" i="62919" s="1"/>
  <c r="D1664" i="62919" s="1"/>
  <c r="D1665" i="62919" s="1"/>
  <c r="D1666" i="62919" s="1"/>
  <c r="D1667" i="62919" s="1"/>
  <c r="D1668" i="62919" s="1"/>
  <c r="D1669" i="62919" s="1"/>
  <c r="D1670" i="62919" s="1"/>
  <c r="D1671" i="62919" s="1"/>
  <c r="D1672" i="62919" s="1"/>
  <c r="D1673" i="62919" s="1"/>
  <c r="D1674" i="62919" s="1"/>
  <c r="D1675" i="62919" s="1"/>
  <c r="D1676" i="62919" s="1"/>
  <c r="D1677" i="62919" s="1"/>
  <c r="D1678" i="62919" s="1"/>
  <c r="D1679" i="62919" s="1"/>
  <c r="D1680" i="62919" s="1"/>
  <c r="D1681" i="62919" s="1"/>
  <c r="D1682" i="62919" s="1"/>
  <c r="D1683" i="62919" s="1"/>
  <c r="D1684" i="62919" s="1"/>
  <c r="D1685" i="62919" s="1"/>
  <c r="D1686" i="62919" s="1"/>
  <c r="D1687" i="62919" s="1"/>
  <c r="D1688" i="62919" s="1"/>
  <c r="D1689" i="62919" s="1"/>
  <c r="D1690" i="62919" s="1"/>
  <c r="D1691" i="62919" s="1"/>
  <c r="D1692" i="62919" s="1"/>
  <c r="D1693" i="62919" s="1"/>
  <c r="D1694" i="62919" s="1"/>
  <c r="D1695" i="62919" s="1"/>
  <c r="D1696" i="62919" s="1"/>
  <c r="D1697" i="62919" s="1"/>
  <c r="D1698" i="62919" s="1"/>
  <c r="C1638" i="62919" s="1"/>
  <c r="C1559" i="62919"/>
  <c r="C1562" i="62919"/>
  <c r="C1564" i="62919"/>
  <c r="C1563" i="62919"/>
  <c r="D1751" i="62919"/>
  <c r="D1752" i="62919" s="1"/>
  <c r="D1753" i="62919" s="1"/>
  <c r="D1754" i="62919" s="1"/>
  <c r="D1755" i="62919" s="1"/>
  <c r="D1756" i="62919" s="1"/>
  <c r="D1757" i="62919" s="1"/>
  <c r="D1758" i="62919" s="1"/>
  <c r="D1759" i="62919" s="1"/>
  <c r="C1753" i="62919" s="1"/>
  <c r="D1285" i="62919"/>
  <c r="D1775" i="62919"/>
  <c r="C2188" i="62917"/>
  <c r="C2193" i="62917"/>
  <c r="C2195" i="62917"/>
  <c r="C2197" i="62917"/>
  <c r="C2191" i="62917"/>
  <c r="C2189" i="62917"/>
  <c r="C2199" i="62917"/>
  <c r="C2196" i="62917"/>
  <c r="C2190" i="62917"/>
  <c r="C2192" i="62917"/>
  <c r="C2194" i="62917"/>
  <c r="C2198" i="62917"/>
  <c r="E53" i="62921"/>
  <c r="D51" i="62921"/>
  <c r="D52" i="62921" s="1"/>
  <c r="D132" i="62918"/>
  <c r="D133" i="62918" s="1"/>
  <c r="C133" i="62918" s="1"/>
  <c r="D235" i="62924"/>
  <c r="D874" i="62921"/>
  <c r="C1000" i="62919"/>
  <c r="I332" i="62905"/>
  <c r="I33" i="62914" s="1"/>
  <c r="U33" i="62914" s="1"/>
  <c r="D125" i="62904"/>
  <c r="C114" i="62892" s="1"/>
  <c r="E2442" i="62917"/>
  <c r="E2443" i="62917" s="1"/>
  <c r="E2444" i="62917" s="1"/>
  <c r="E2445" i="62917" s="1"/>
  <c r="E2446" i="62917" s="1"/>
  <c r="D1595" i="62917"/>
  <c r="D1596" i="62917" s="1"/>
  <c r="D1597" i="62917" s="1"/>
  <c r="D1598" i="62917" s="1"/>
  <c r="D1599" i="62917" s="1"/>
  <c r="D1600" i="62917" s="1"/>
  <c r="D1601" i="62917" s="1"/>
  <c r="D1602" i="62917" s="1"/>
  <c r="D1603" i="62917" s="1"/>
  <c r="D1604" i="62917" s="1"/>
  <c r="D1605" i="62917" s="1"/>
  <c r="D1606" i="62917" s="1"/>
  <c r="D1607" i="62917" s="1"/>
  <c r="D1608" i="62917" s="1"/>
  <c r="D1609" i="62917" s="1"/>
  <c r="D1610" i="62917" s="1"/>
  <c r="C1588" i="62917" s="1"/>
  <c r="C1594" i="62917"/>
  <c r="C1482" i="62917"/>
  <c r="D2432" i="62917"/>
  <c r="C2431" i="62917"/>
  <c r="C1462" i="62917"/>
  <c r="C1459" i="62917"/>
  <c r="C1471" i="62917"/>
  <c r="C1457" i="62917"/>
  <c r="C1455" i="62917"/>
  <c r="C15" i="62917"/>
  <c r="D49" i="62924"/>
  <c r="C21" i="62917"/>
  <c r="C20" i="62917"/>
  <c r="I295" i="2"/>
  <c r="I23" i="62914" s="1"/>
  <c r="C18" i="62917"/>
  <c r="C1454" i="62917"/>
  <c r="C1466" i="62917"/>
  <c r="C22" i="62917"/>
  <c r="C16" i="62917"/>
  <c r="C19" i="62917"/>
  <c r="C17" i="62917"/>
  <c r="D296" i="62921"/>
  <c r="E297" i="62921"/>
  <c r="C1001" i="62919"/>
  <c r="C334" i="62921"/>
  <c r="E134" i="62918"/>
  <c r="C1004" i="62919"/>
  <c r="C1003" i="62919"/>
  <c r="D115" i="62919"/>
  <c r="C111" i="62919" s="1"/>
  <c r="D109" i="62924"/>
  <c r="D110" i="62924" s="1"/>
  <c r="D111" i="62924" s="1"/>
  <c r="D112" i="62924" s="1"/>
  <c r="D113" i="62924" s="1"/>
  <c r="D114" i="62924" s="1"/>
  <c r="D115" i="62924" s="1"/>
  <c r="D116" i="62924" s="1"/>
  <c r="D117" i="62924" s="1"/>
  <c r="D118" i="62924" s="1"/>
  <c r="D119" i="62924" s="1"/>
  <c r="D120" i="62924" s="1"/>
  <c r="D121" i="62924" s="1"/>
  <c r="D122" i="62924" s="1"/>
  <c r="D123" i="62924" s="1"/>
  <c r="D124" i="62924" s="1"/>
  <c r="D125" i="62924" s="1"/>
  <c r="D126" i="62924" s="1"/>
  <c r="D127" i="62924" s="1"/>
  <c r="D128" i="62924" s="1"/>
  <c r="D129" i="62924" s="1"/>
  <c r="D130" i="62924" s="1"/>
  <c r="D131" i="62924" s="1"/>
  <c r="C108" i="62924"/>
  <c r="AU156" i="62905"/>
  <c r="AL44" i="11"/>
  <c r="AL41" i="11"/>
  <c r="AL42" i="11"/>
  <c r="AL43" i="11"/>
  <c r="H332" i="62905"/>
  <c r="J332" i="62905"/>
  <c r="J33" i="62914" s="1"/>
  <c r="J38" i="62929" s="1"/>
  <c r="V38" i="62929" s="1"/>
  <c r="AQ156" i="62905"/>
  <c r="AQ188" i="2"/>
  <c r="V156" i="62905"/>
  <c r="H295" i="2"/>
  <c r="J295" i="2"/>
  <c r="AM188" i="2"/>
  <c r="H125" i="62904"/>
  <c r="V103" i="62904"/>
  <c r="H138" i="62904"/>
  <c r="L168" i="62904"/>
  <c r="H163" i="62905"/>
  <c r="I163" i="62905" s="1"/>
  <c r="D162" i="62905"/>
  <c r="AQ162" i="62905"/>
  <c r="AU162" i="62905"/>
  <c r="AC162" i="62905"/>
  <c r="AM103" i="62904"/>
  <c r="E138" i="62904"/>
  <c r="E140" i="62904" s="1"/>
  <c r="C195" i="62909"/>
  <c r="I138" i="62904"/>
  <c r="D140" i="62904"/>
  <c r="Q188" i="2"/>
  <c r="D195" i="2"/>
  <c r="X195" i="2"/>
  <c r="Q195" i="2" s="1"/>
  <c r="AM195" i="2"/>
  <c r="AQ195" i="2"/>
  <c r="D194" i="2"/>
  <c r="X194" i="2"/>
  <c r="AM194" i="2"/>
  <c r="AQ194" i="2"/>
  <c r="AK103" i="62904"/>
  <c r="D1867" i="62919"/>
  <c r="C1865" i="62919"/>
  <c r="D181" i="62919"/>
  <c r="C181" i="62919" s="1"/>
  <c r="C180" i="62919"/>
  <c r="D874" i="62919"/>
  <c r="C1005" i="62919"/>
  <c r="C1002" i="62919"/>
  <c r="D1045" i="62919"/>
  <c r="D268" i="62923"/>
  <c r="D269" i="62923" s="1"/>
  <c r="D270" i="62923" s="1"/>
  <c r="C254" i="62923" s="1"/>
  <c r="C1479" i="62917"/>
  <c r="C1468" i="62917"/>
  <c r="C1474" i="62917"/>
  <c r="C1480" i="62917"/>
  <c r="C1476" i="62917"/>
  <c r="C1456" i="62917"/>
  <c r="C1460" i="62917"/>
  <c r="C1461" i="62917"/>
  <c r="C1478" i="62917"/>
  <c r="C1475" i="62917"/>
  <c r="C1463" i="62917"/>
  <c r="C1477" i="62917"/>
  <c r="C1473" i="62917"/>
  <c r="C1464" i="62917"/>
  <c r="C1467" i="62917"/>
  <c r="C1465" i="62917"/>
  <c r="C1458" i="62917"/>
  <c r="C1470" i="62917"/>
  <c r="C1481" i="62917"/>
  <c r="C1472" i="62917"/>
  <c r="C1469" i="62917"/>
  <c r="E2359" i="62917"/>
  <c r="E2360" i="62917" s="1"/>
  <c r="E2361" i="62917" s="1"/>
  <c r="E2362" i="62917" s="1"/>
  <c r="E2363" i="62917" s="1"/>
  <c r="E2364" i="62917" s="1"/>
  <c r="E2365" i="62917" s="1"/>
  <c r="E2366" i="62917" s="1"/>
  <c r="E2367" i="62917" s="1"/>
  <c r="E2368" i="62917" s="1"/>
  <c r="E2369" i="62917" s="1"/>
  <c r="E2370" i="62917" s="1"/>
  <c r="E2371" i="62917" s="1"/>
  <c r="E2372" i="62917" s="1"/>
  <c r="E2373" i="62917" s="1"/>
  <c r="E2374" i="62917" s="1"/>
  <c r="E2375" i="62917" s="1"/>
  <c r="E2376" i="62917" s="1"/>
  <c r="E2377" i="62917" s="1"/>
  <c r="E2378" i="62917" s="1"/>
  <c r="E2379" i="62917" s="1"/>
  <c r="E2380" i="62917" s="1"/>
  <c r="E2381" i="62917" s="1"/>
  <c r="E2382" i="62917" s="1"/>
  <c r="E2383" i="62917" s="1"/>
  <c r="E2384" i="62917" s="1"/>
  <c r="E2385" i="62917" s="1"/>
  <c r="E2386" i="62917" s="1"/>
  <c r="E2387" i="62917" s="1"/>
  <c r="E2388" i="62917" s="1"/>
  <c r="E2389" i="62917" s="1"/>
  <c r="E2390" i="62917" s="1"/>
  <c r="E2391" i="62917" s="1"/>
  <c r="E2392" i="62917" s="1"/>
  <c r="E2393" i="62917" s="1"/>
  <c r="E2394" i="62917" s="1"/>
  <c r="E2395" i="62917" s="1"/>
  <c r="E2396" i="62917" s="1"/>
  <c r="E2397" i="62917" s="1"/>
  <c r="E2398" i="62917" s="1"/>
  <c r="E2399" i="62917" s="1"/>
  <c r="E2400" i="62917" s="1"/>
  <c r="E2401" i="62917" s="1"/>
  <c r="E2402" i="62917" s="1"/>
  <c r="E2403" i="62917" s="1"/>
  <c r="E2404" i="62917" s="1"/>
  <c r="E2405" i="62917" s="1"/>
  <c r="E2406" i="62917" s="1"/>
  <c r="E2407" i="62917" s="1"/>
  <c r="E2408" i="62917" s="1"/>
  <c r="E2409" i="62917" s="1"/>
  <c r="E2410" i="62917" s="1"/>
  <c r="E2411" i="62917" s="1"/>
  <c r="E2412" i="62917" s="1"/>
  <c r="E2413" i="62917" s="1"/>
  <c r="E2414" i="62917" s="1"/>
  <c r="E2415" i="62917" s="1"/>
  <c r="E2416" i="62917" s="1"/>
  <c r="E2417" i="62917" s="1"/>
  <c r="E2418" i="62917" s="1"/>
  <c r="E2419" i="62917" s="1"/>
  <c r="D2301" i="62917"/>
  <c r="D2302" i="62917" s="1"/>
  <c r="D2303" i="62917" s="1"/>
  <c r="D2304" i="62917" s="1"/>
  <c r="D2305" i="62917" s="1"/>
  <c r="D2306" i="62917" s="1"/>
  <c r="D2307" i="62917" s="1"/>
  <c r="D2308" i="62917" s="1"/>
  <c r="D2309" i="62917" s="1"/>
  <c r="D2310" i="62917" s="1"/>
  <c r="D2311" i="62917" s="1"/>
  <c r="D2312" i="62917" s="1"/>
  <c r="D2313" i="62917" s="1"/>
  <c r="D2314" i="62917" s="1"/>
  <c r="D2315" i="62917" s="1"/>
  <c r="D2316" i="62917" s="1"/>
  <c r="D2317" i="62917" s="1"/>
  <c r="D2318" i="62917" s="1"/>
  <c r="D2319" i="62917" s="1"/>
  <c r="D2320" i="62917" s="1"/>
  <c r="D2321" i="62917" s="1"/>
  <c r="D2322" i="62917" s="1"/>
  <c r="D2323" i="62917" s="1"/>
  <c r="D2324" i="62917" s="1"/>
  <c r="D2325" i="62917" s="1"/>
  <c r="D2326" i="62917" s="1"/>
  <c r="D2327" i="62917" s="1"/>
  <c r="D2328" i="62917" s="1"/>
  <c r="D2329" i="62917" s="1"/>
  <c r="D2330" i="62917" s="1"/>
  <c r="D2331" i="62917" s="1"/>
  <c r="D2332" i="62917" s="1"/>
  <c r="D2333" i="62917" s="1"/>
  <c r="D2334" i="62917" s="1"/>
  <c r="D2335" i="62917" s="1"/>
  <c r="D2336" i="62917" s="1"/>
  <c r="D2337" i="62917" s="1"/>
  <c r="D2338" i="62917" s="1"/>
  <c r="D2339" i="62917" s="1"/>
  <c r="D2340" i="62917" s="1"/>
  <c r="D2341" i="62917" s="1"/>
  <c r="D2342" i="62917" s="1"/>
  <c r="D2343" i="62917" s="1"/>
  <c r="D2344" i="62917" s="1"/>
  <c r="D2345" i="62917" s="1"/>
  <c r="D2346" i="62917" s="1"/>
  <c r="D2347" i="62917" s="1"/>
  <c r="D2348" i="62917" s="1"/>
  <c r="D2349" i="62917" s="1"/>
  <c r="D2350" i="62917" s="1"/>
  <c r="D2351" i="62917" s="1"/>
  <c r="D2352" i="62917" s="1"/>
  <c r="D2353" i="62917" s="1"/>
  <c r="D2354" i="62917" s="1"/>
  <c r="D2355" i="62917" s="1"/>
  <c r="D2356" i="62917" s="1"/>
  <c r="D2357" i="62917" s="1"/>
  <c r="D2358" i="62917" s="1"/>
  <c r="C2300" i="62917"/>
  <c r="E960" i="62919"/>
  <c r="D29" i="62919"/>
  <c r="C26" i="62919" s="1"/>
  <c r="D68" i="62919"/>
  <c r="C2162" i="62917"/>
  <c r="E1487" i="62917"/>
  <c r="C923" i="62917"/>
  <c r="D1483" i="62917"/>
  <c r="AD98" i="9" l="1"/>
  <c r="Y98" i="9" s="1"/>
  <c r="AH98" i="9"/>
  <c r="D102" i="9"/>
  <c r="C575" i="62922"/>
  <c r="C578" i="62922"/>
  <c r="C576" i="62922"/>
  <c r="C577" i="62922"/>
  <c r="C600" i="62921"/>
  <c r="C97" i="62917"/>
  <c r="H297" i="62905"/>
  <c r="H30" i="62912" s="1"/>
  <c r="Q30" i="62912" s="1"/>
  <c r="H328" i="2"/>
  <c r="H362" i="2"/>
  <c r="C336" i="62923"/>
  <c r="E522" i="62922"/>
  <c r="D522" i="62922" s="1"/>
  <c r="C137" i="62921"/>
  <c r="C135" i="62921"/>
  <c r="C140" i="62921"/>
  <c r="C141" i="62921"/>
  <c r="E54" i="62921"/>
  <c r="D348" i="62921"/>
  <c r="D349" i="62921" s="1"/>
  <c r="D350" i="62921" s="1"/>
  <c r="D351" i="62921" s="1"/>
  <c r="D352" i="62921" s="1"/>
  <c r="D353" i="62921" s="1"/>
  <c r="D354" i="62921" s="1"/>
  <c r="D355" i="62921" s="1"/>
  <c r="D356" i="62921" s="1"/>
  <c r="D357" i="62921" s="1"/>
  <c r="D358" i="62921" s="1"/>
  <c r="D359" i="62921" s="1"/>
  <c r="D360" i="62921" s="1"/>
  <c r="D361" i="62921" s="1"/>
  <c r="D362" i="62921" s="1"/>
  <c r="D363" i="62921" s="1"/>
  <c r="D364" i="62921" s="1"/>
  <c r="D365" i="62921" s="1"/>
  <c r="D366" i="62921" s="1"/>
  <c r="D367" i="62921" s="1"/>
  <c r="D368" i="62921" s="1"/>
  <c r="D369" i="62921" s="1"/>
  <c r="D370" i="62921" s="1"/>
  <c r="D371" i="62921" s="1"/>
  <c r="D372" i="62921" s="1"/>
  <c r="D373" i="62921" s="1"/>
  <c r="D374" i="62921" s="1"/>
  <c r="D375" i="62921" s="1"/>
  <c r="D376" i="62921" s="1"/>
  <c r="D377" i="62921" s="1"/>
  <c r="D378" i="62921" s="1"/>
  <c r="D379" i="62921" s="1"/>
  <c r="D380" i="62921" s="1"/>
  <c r="D381" i="62921" s="1"/>
  <c r="D382" i="62921" s="1"/>
  <c r="D383" i="62921" s="1"/>
  <c r="D384" i="62921" s="1"/>
  <c r="D385" i="62921" s="1"/>
  <c r="D386" i="62921" s="1"/>
  <c r="D387" i="62921" s="1"/>
  <c r="D388" i="62921" s="1"/>
  <c r="D389" i="62921" s="1"/>
  <c r="D390" i="62921" s="1"/>
  <c r="D391" i="62921" s="1"/>
  <c r="D392" i="62921" s="1"/>
  <c r="D393" i="62921" s="1"/>
  <c r="D394" i="62921" s="1"/>
  <c r="D395" i="62921" s="1"/>
  <c r="D396" i="62921" s="1"/>
  <c r="D397" i="62921" s="1"/>
  <c r="D398" i="62921" s="1"/>
  <c r="D399" i="62921" s="1"/>
  <c r="D400" i="62921" s="1"/>
  <c r="D401" i="62921" s="1"/>
  <c r="D402" i="62921" s="1"/>
  <c r="D403" i="62921" s="1"/>
  <c r="D404" i="62921" s="1"/>
  <c r="D405" i="62921" s="1"/>
  <c r="D406" i="62921" s="1"/>
  <c r="D407" i="62921" s="1"/>
  <c r="D408" i="62921" s="1"/>
  <c r="E1989" i="62917"/>
  <c r="E1990" i="62917" s="1"/>
  <c r="D1988" i="62917"/>
  <c r="D1953" i="62917"/>
  <c r="D1954" i="62917" s="1"/>
  <c r="D1955" i="62917" s="1"/>
  <c r="D1956" i="62917" s="1"/>
  <c r="D1957" i="62917" s="1"/>
  <c r="D1958" i="62917" s="1"/>
  <c r="D1959" i="62917" s="1"/>
  <c r="D1960" i="62917" s="1"/>
  <c r="D1961" i="62917" s="1"/>
  <c r="D1962" i="62917" s="1"/>
  <c r="D1963" i="62917" s="1"/>
  <c r="D1964" i="62917" s="1"/>
  <c r="D1965" i="62917" s="1"/>
  <c r="D1966" i="62917" s="1"/>
  <c r="D1967" i="62917" s="1"/>
  <c r="D1968" i="62917" s="1"/>
  <c r="D1969" i="62917" s="1"/>
  <c r="D1970" i="62917" s="1"/>
  <c r="D1971" i="62917" s="1"/>
  <c r="D1972" i="62917" s="1"/>
  <c r="D1973" i="62917" s="1"/>
  <c r="D1974" i="62917" s="1"/>
  <c r="D1975" i="62917" s="1"/>
  <c r="D1976" i="62917" s="1"/>
  <c r="D1977" i="62917" s="1"/>
  <c r="D1978" i="62917" s="1"/>
  <c r="D1979" i="62917" s="1"/>
  <c r="D1980" i="62917" s="1"/>
  <c r="D1981" i="62917" s="1"/>
  <c r="D1982" i="62917" s="1"/>
  <c r="D1983" i="62917" s="1"/>
  <c r="D1984" i="62917" s="1"/>
  <c r="E342" i="62923"/>
  <c r="E350" i="62923" s="1"/>
  <c r="E352" i="62923" s="1"/>
  <c r="D338" i="62923"/>
  <c r="D302" i="62923"/>
  <c r="E303" i="62923"/>
  <c r="C256" i="62923"/>
  <c r="C255" i="62923"/>
  <c r="C257" i="62923"/>
  <c r="C253" i="62923"/>
  <c r="C637" i="62919"/>
  <c r="C633" i="62919"/>
  <c r="C640" i="62919"/>
  <c r="C643" i="62919"/>
  <c r="C654" i="62919"/>
  <c r="C660" i="62919"/>
  <c r="C670" i="62919"/>
  <c r="C679" i="62919"/>
  <c r="C656" i="62919"/>
  <c r="C674" i="62919"/>
  <c r="C628" i="62919"/>
  <c r="C667" i="62919"/>
  <c r="C683" i="62919"/>
  <c r="C671" i="62919"/>
  <c r="C672" i="62919"/>
  <c r="C634" i="62919"/>
  <c r="C635" i="62919"/>
  <c r="C645" i="62919"/>
  <c r="C630" i="62919"/>
  <c r="C666" i="62919"/>
  <c r="C641" i="62919"/>
  <c r="C665" i="62919"/>
  <c r="C639" i="62919"/>
  <c r="C681" i="62919"/>
  <c r="C632" i="62919"/>
  <c r="C649" i="62919"/>
  <c r="C675" i="62919"/>
  <c r="C680" i="62919"/>
  <c r="C663" i="62919"/>
  <c r="C629" i="62919"/>
  <c r="C668" i="62919"/>
  <c r="C662" i="62919"/>
  <c r="C657" i="62919"/>
  <c r="C647" i="62919"/>
  <c r="C627" i="62919"/>
  <c r="C646" i="62919"/>
  <c r="C682" i="62919"/>
  <c r="C653" i="62919"/>
  <c r="C673" i="62919"/>
  <c r="C650" i="62919"/>
  <c r="C659" i="62919"/>
  <c r="C676" i="62919"/>
  <c r="C631" i="62919"/>
  <c r="C638" i="62919"/>
  <c r="C661" i="62919"/>
  <c r="C658" i="62919"/>
  <c r="C642" i="62919"/>
  <c r="C652" i="62919"/>
  <c r="C669" i="62919"/>
  <c r="C644" i="62919"/>
  <c r="C655" i="62919"/>
  <c r="C677" i="62919"/>
  <c r="C651" i="62919"/>
  <c r="C648" i="62919"/>
  <c r="C664" i="62919"/>
  <c r="C636" i="62919"/>
  <c r="C678" i="62919"/>
  <c r="C684" i="62919"/>
  <c r="C132" i="62918"/>
  <c r="D99" i="62917"/>
  <c r="E100" i="62917"/>
  <c r="C1570" i="62919"/>
  <c r="C1572" i="62919"/>
  <c r="C1580" i="62919"/>
  <c r="C1581" i="62919"/>
  <c r="C1579" i="62919"/>
  <c r="C1591" i="62919"/>
  <c r="C1610" i="62919"/>
  <c r="C1576" i="62919"/>
  <c r="C1618" i="62919"/>
  <c r="C1600" i="62919"/>
  <c r="C1669" i="62919"/>
  <c r="C1616" i="62919"/>
  <c r="C1697" i="62919"/>
  <c r="C1568" i="62919"/>
  <c r="C1595" i="62919"/>
  <c r="C1592" i="62919"/>
  <c r="C1567" i="62919"/>
  <c r="C1588" i="62919"/>
  <c r="C1571" i="62919"/>
  <c r="C1606" i="62919"/>
  <c r="C1617" i="62919"/>
  <c r="C1621" i="62919"/>
  <c r="C1674" i="62919"/>
  <c r="C1578" i="62919"/>
  <c r="C1656" i="62919"/>
  <c r="C1573" i="62919"/>
  <c r="C1614" i="62919"/>
  <c r="C1598" i="62919"/>
  <c r="C1587" i="62919"/>
  <c r="C1597" i="62919"/>
  <c r="C1569" i="62919"/>
  <c r="C1692" i="62919"/>
  <c r="C1577" i="62919"/>
  <c r="C1615" i="62919"/>
  <c r="C1584" i="62919"/>
  <c r="C1583" i="62919"/>
  <c r="C1574" i="62919"/>
  <c r="C1689" i="62919"/>
  <c r="C1693" i="62919"/>
  <c r="C1628" i="62919"/>
  <c r="C1659" i="62919"/>
  <c r="C1633" i="62919"/>
  <c r="C1613" i="62919"/>
  <c r="C1596" i="62919"/>
  <c r="C1664" i="62919"/>
  <c r="C1603" i="62919"/>
  <c r="C1651" i="62919"/>
  <c r="C1639" i="62919"/>
  <c r="C1609" i="62919"/>
  <c r="C1644" i="62919"/>
  <c r="C1673" i="62919"/>
  <c r="C1605" i="62919"/>
  <c r="C1608" i="62919"/>
  <c r="C1607" i="62919"/>
  <c r="C1622" i="62919"/>
  <c r="C1662" i="62919"/>
  <c r="C1654" i="62919"/>
  <c r="C1652" i="62919"/>
  <c r="C1619" i="62919"/>
  <c r="C1637" i="62919"/>
  <c r="C1636" i="62919"/>
  <c r="C1653" i="62919"/>
  <c r="C1641" i="62919"/>
  <c r="C1671" i="62919"/>
  <c r="C1666" i="62919"/>
  <c r="C1696" i="62919"/>
  <c r="C1685" i="62919"/>
  <c r="C1620" i="62919"/>
  <c r="C1663" i="62919"/>
  <c r="C1660" i="62919"/>
  <c r="C1624" i="62919"/>
  <c r="C1647" i="62919"/>
  <c r="C1681" i="62919"/>
  <c r="C1590" i="62919"/>
  <c r="C1582" i="62919"/>
  <c r="C1675" i="62919"/>
  <c r="C1634" i="62919"/>
  <c r="C1665" i="62919"/>
  <c r="C1635" i="62919"/>
  <c r="C1677" i="62919"/>
  <c r="C1676" i="62919"/>
  <c r="C1678" i="62919"/>
  <c r="C1601" i="62919"/>
  <c r="C1680" i="62919"/>
  <c r="C1643" i="62919"/>
  <c r="C1658" i="62919"/>
  <c r="C1683" i="62919"/>
  <c r="C1611" i="62919"/>
  <c r="C1687" i="62919"/>
  <c r="C1594" i="62919"/>
  <c r="C1627" i="62919"/>
  <c r="C1667" i="62919"/>
  <c r="C1645" i="62919"/>
  <c r="C1642" i="62919"/>
  <c r="C1612" i="62919"/>
  <c r="C1679" i="62919"/>
  <c r="C1566" i="62919"/>
  <c r="C1585" i="62919"/>
  <c r="C1575" i="62919"/>
  <c r="C1561" i="62919"/>
  <c r="C1655" i="62919"/>
  <c r="C1668" i="62919"/>
  <c r="C1684" i="62919"/>
  <c r="C1646" i="62919"/>
  <c r="C1672" i="62919"/>
  <c r="C1686" i="62919"/>
  <c r="C1640" i="62919"/>
  <c r="C1695" i="62919"/>
  <c r="C1604" i="62919"/>
  <c r="C1631" i="62919"/>
  <c r="C1589" i="62919"/>
  <c r="C1560" i="62919"/>
  <c r="C1670" i="62919"/>
  <c r="C1698" i="62919"/>
  <c r="C1650" i="62919"/>
  <c r="C1691" i="62919"/>
  <c r="C1630" i="62919"/>
  <c r="C1593" i="62919"/>
  <c r="C1694" i="62919"/>
  <c r="C1649" i="62919"/>
  <c r="C1602" i="62919"/>
  <c r="C1599" i="62919"/>
  <c r="C1657" i="62919"/>
  <c r="C1623" i="62919"/>
  <c r="C1626" i="62919"/>
  <c r="C1690" i="62919"/>
  <c r="C1629" i="62919"/>
  <c r="C1688" i="62919"/>
  <c r="C1632" i="62919"/>
  <c r="C1661" i="62919"/>
  <c r="C1648" i="62919"/>
  <c r="C1682" i="62919"/>
  <c r="C1625" i="62919"/>
  <c r="C1586" i="62919"/>
  <c r="C1565" i="62919"/>
  <c r="C1751" i="62919"/>
  <c r="C1739" i="62919"/>
  <c r="C1750" i="62919"/>
  <c r="C1755" i="62919"/>
  <c r="C1748" i="62919"/>
  <c r="C1756" i="62919"/>
  <c r="C1747" i="62919"/>
  <c r="C1759" i="62919"/>
  <c r="C1746" i="62919"/>
  <c r="C1752" i="62919"/>
  <c r="C1740" i="62919"/>
  <c r="C1741" i="62919"/>
  <c r="C1745" i="62919"/>
  <c r="C1742" i="62919"/>
  <c r="C1744" i="62919"/>
  <c r="C1743" i="62919"/>
  <c r="C1754" i="62919"/>
  <c r="C1749" i="62919"/>
  <c r="C1757" i="62919"/>
  <c r="C1758" i="62919"/>
  <c r="D1286" i="62919"/>
  <c r="D1287" i="62919" s="1"/>
  <c r="D1288" i="62919" s="1"/>
  <c r="D1289" i="62919" s="1"/>
  <c r="D1290" i="62919" s="1"/>
  <c r="D1291" i="62919" s="1"/>
  <c r="D1292" i="62919" s="1"/>
  <c r="D1293" i="62919" s="1"/>
  <c r="D1294" i="62919" s="1"/>
  <c r="D1295" i="62919" s="1"/>
  <c r="D1296" i="62919" s="1"/>
  <c r="D1297" i="62919" s="1"/>
  <c r="D1298" i="62919" s="1"/>
  <c r="D1299" i="62919" s="1"/>
  <c r="D1300" i="62919" s="1"/>
  <c r="D1301" i="62919" s="1"/>
  <c r="D1302" i="62919" s="1"/>
  <c r="D1303" i="62919" s="1"/>
  <c r="D1304" i="62919" s="1"/>
  <c r="D1305" i="62919" s="1"/>
  <c r="D1306" i="62919" s="1"/>
  <c r="D1307" i="62919" s="1"/>
  <c r="D1308" i="62919" s="1"/>
  <c r="D1309" i="62919" s="1"/>
  <c r="D1310" i="62919" s="1"/>
  <c r="D1311" i="62919" s="1"/>
  <c r="D1312" i="62919" s="1"/>
  <c r="D1313" i="62919" s="1"/>
  <c r="D1314" i="62919" s="1"/>
  <c r="D1315" i="62919" s="1"/>
  <c r="D1316" i="62919" s="1"/>
  <c r="D1317" i="62919" s="1"/>
  <c r="D1318" i="62919" s="1"/>
  <c r="D1319" i="62919" s="1"/>
  <c r="D1320" i="62919" s="1"/>
  <c r="D1321" i="62919" s="1"/>
  <c r="D1322" i="62919" s="1"/>
  <c r="D1323" i="62919" s="1"/>
  <c r="D1324" i="62919" s="1"/>
  <c r="D1325" i="62919" s="1"/>
  <c r="D1326" i="62919" s="1"/>
  <c r="D1327" i="62919" s="1"/>
  <c r="D1328" i="62919" s="1"/>
  <c r="D1329" i="62919" s="1"/>
  <c r="D1330" i="62919" s="1"/>
  <c r="D1331" i="62919" s="1"/>
  <c r="D1332" i="62919" s="1"/>
  <c r="D1333" i="62919" s="1"/>
  <c r="D1334" i="62919" s="1"/>
  <c r="D1335" i="62919" s="1"/>
  <c r="D1336" i="62919" s="1"/>
  <c r="D1337" i="62919" s="1"/>
  <c r="D1338" i="62919" s="1"/>
  <c r="D1339" i="62919" s="1"/>
  <c r="D1340" i="62919" s="1"/>
  <c r="D1341" i="62919" s="1"/>
  <c r="D1342" i="62919" s="1"/>
  <c r="D1343" i="62919" s="1"/>
  <c r="D1344" i="62919" s="1"/>
  <c r="D1345" i="62919" s="1"/>
  <c r="D1346" i="62919" s="1"/>
  <c r="D1347" i="62919" s="1"/>
  <c r="D1348" i="62919" s="1"/>
  <c r="D1349" i="62919" s="1"/>
  <c r="D1350" i="62919" s="1"/>
  <c r="D1351" i="62919" s="1"/>
  <c r="D1352" i="62919" s="1"/>
  <c r="D1353" i="62919" s="1"/>
  <c r="D1354" i="62919" s="1"/>
  <c r="D1355" i="62919" s="1"/>
  <c r="D1356" i="62919" s="1"/>
  <c r="D1357" i="62919" s="1"/>
  <c r="D1358" i="62919" s="1"/>
  <c r="D1359" i="62919" s="1"/>
  <c r="D1360" i="62919" s="1"/>
  <c r="D1361" i="62919" s="1"/>
  <c r="C1285" i="62919"/>
  <c r="D1776" i="62919"/>
  <c r="D53" i="62921"/>
  <c r="I38" i="62929"/>
  <c r="U38" i="62929" s="1"/>
  <c r="D236" i="62924"/>
  <c r="D875" i="62921"/>
  <c r="C874" i="62921"/>
  <c r="I331" i="62905"/>
  <c r="I336" i="62905" s="1"/>
  <c r="C114" i="62910"/>
  <c r="C110" i="62910" s="1"/>
  <c r="C141" i="62910" s="1"/>
  <c r="I309" i="2"/>
  <c r="I125" i="62904"/>
  <c r="D126" i="62904"/>
  <c r="F126" i="62904" s="1"/>
  <c r="E125" i="62904"/>
  <c r="L125" i="62904" s="1"/>
  <c r="K125" i="62904"/>
  <c r="C2168" i="62917"/>
  <c r="C2165" i="62917"/>
  <c r="C2163" i="62917"/>
  <c r="C2169" i="62917"/>
  <c r="C2166" i="62917"/>
  <c r="C2167" i="62917"/>
  <c r="C2164" i="62917"/>
  <c r="C2319" i="62917"/>
  <c r="C1602" i="62917"/>
  <c r="C1600" i="62917"/>
  <c r="C1596" i="62917"/>
  <c r="C1608" i="62917"/>
  <c r="C1597" i="62917"/>
  <c r="C1609" i="62917"/>
  <c r="C1610" i="62917"/>
  <c r="C1595" i="62917"/>
  <c r="C1601" i="62917"/>
  <c r="C1603" i="62917"/>
  <c r="C1605" i="62917"/>
  <c r="C1599" i="62917"/>
  <c r="C1606" i="62917"/>
  <c r="C1607" i="62917"/>
  <c r="C1604" i="62917"/>
  <c r="C1598" i="62917"/>
  <c r="C2432" i="62917"/>
  <c r="D2433" i="62917"/>
  <c r="C2340" i="62917"/>
  <c r="C2324" i="62917"/>
  <c r="C2344" i="62917"/>
  <c r="C2301" i="62917"/>
  <c r="C2332" i="62917"/>
  <c r="C2310" i="62917"/>
  <c r="C2329" i="62917"/>
  <c r="C2353" i="62917"/>
  <c r="C2320" i="62917"/>
  <c r="C2335" i="62917"/>
  <c r="C2346" i="62917"/>
  <c r="C2337" i="62917"/>
  <c r="C49" i="62924"/>
  <c r="D50" i="62924"/>
  <c r="C2345" i="62917"/>
  <c r="C2334" i="62917"/>
  <c r="C2347" i="62917"/>
  <c r="C2330" i="62917"/>
  <c r="C2305" i="62917"/>
  <c r="C2312" i="62917"/>
  <c r="C2307" i="62917"/>
  <c r="C2354" i="62917"/>
  <c r="C2315" i="62917"/>
  <c r="C2317" i="62917"/>
  <c r="C2303" i="62917"/>
  <c r="C2313" i="62917"/>
  <c r="C2321" i="62917"/>
  <c r="C2343" i="62917"/>
  <c r="C2326" i="62917"/>
  <c r="C2331" i="62917"/>
  <c r="C114" i="62924"/>
  <c r="C110" i="62924"/>
  <c r="C112" i="62924"/>
  <c r="E298" i="62921"/>
  <c r="E299" i="62921" s="1"/>
  <c r="D297" i="62921"/>
  <c r="E523" i="62922"/>
  <c r="D523" i="62922" s="1"/>
  <c r="D134" i="62918"/>
  <c r="V33" i="62914"/>
  <c r="H365" i="62905"/>
  <c r="J365" i="62905" s="1"/>
  <c r="J32" i="62915" s="1"/>
  <c r="E135" i="62918"/>
  <c r="L332" i="62905"/>
  <c r="L33" i="62914" s="1"/>
  <c r="L38" i="62929" s="1"/>
  <c r="X38" i="62929" s="1"/>
  <c r="H331" i="62905"/>
  <c r="H336" i="62905" s="1"/>
  <c r="H33" i="62914"/>
  <c r="H38" i="62929" s="1"/>
  <c r="T38" i="62929" s="1"/>
  <c r="C110" i="62919"/>
  <c r="C113" i="62919"/>
  <c r="C112" i="62919"/>
  <c r="C115" i="62919"/>
  <c r="C114" i="62919"/>
  <c r="C2325" i="62917"/>
  <c r="C2350" i="62917"/>
  <c r="C2341" i="62917"/>
  <c r="C2356" i="62917"/>
  <c r="C2322" i="62917"/>
  <c r="C2342" i="62917"/>
  <c r="C2352" i="62917"/>
  <c r="C2308" i="62917"/>
  <c r="C2351" i="62917"/>
  <c r="C2338" i="62917"/>
  <c r="C2316" i="62917"/>
  <c r="C2306" i="62917"/>
  <c r="C2314" i="62917"/>
  <c r="C2311" i="62917"/>
  <c r="C2333" i="62917"/>
  <c r="C2327" i="62917"/>
  <c r="C2323" i="62917"/>
  <c r="C2336" i="62917"/>
  <c r="C2355" i="62917"/>
  <c r="C2304" i="62917"/>
  <c r="C2348" i="62917"/>
  <c r="C2309" i="62917"/>
  <c r="C2328" i="62917"/>
  <c r="C2339" i="62917"/>
  <c r="C2357" i="62917"/>
  <c r="C2349" i="62917"/>
  <c r="C2302" i="62917"/>
  <c r="C2318" i="62917"/>
  <c r="C116" i="62924"/>
  <c r="C111" i="62924"/>
  <c r="C109" i="62924"/>
  <c r="C119" i="62924"/>
  <c r="C121" i="62924"/>
  <c r="C118" i="62924"/>
  <c r="C117" i="62924"/>
  <c r="C120" i="62924"/>
  <c r="C113" i="62924"/>
  <c r="C115" i="62924"/>
  <c r="N125" i="62904"/>
  <c r="L42" i="11"/>
  <c r="D42" i="11" s="1"/>
  <c r="T42" i="11"/>
  <c r="V42" i="11" s="1"/>
  <c r="Q42" i="11" s="1"/>
  <c r="X42" i="11"/>
  <c r="AF42" i="11" s="1"/>
  <c r="L43" i="11"/>
  <c r="D43" i="11" s="1"/>
  <c r="X43" i="11"/>
  <c r="AF43" i="11" s="1"/>
  <c r="T43" i="11"/>
  <c r="V43" i="11" s="1"/>
  <c r="Q43" i="11" s="1"/>
  <c r="X44" i="11"/>
  <c r="AF44" i="11" s="1"/>
  <c r="T44" i="11"/>
  <c r="V44" i="11" s="1"/>
  <c r="Q44" i="11" s="1"/>
  <c r="L44" i="11"/>
  <c r="D44" i="11" s="1"/>
  <c r="X41" i="11"/>
  <c r="L41" i="11"/>
  <c r="J46" i="11"/>
  <c r="T41" i="11"/>
  <c r="J331" i="62905"/>
  <c r="G114" i="62892"/>
  <c r="D114" i="62892"/>
  <c r="C110" i="62892"/>
  <c r="K199" i="62904"/>
  <c r="H165" i="62904"/>
  <c r="Q194" i="2"/>
  <c r="F136" i="62904"/>
  <c r="F134" i="62904"/>
  <c r="F135" i="62904"/>
  <c r="F137" i="62904"/>
  <c r="F133" i="62904"/>
  <c r="F139" i="62904"/>
  <c r="F138" i="62904"/>
  <c r="F140" i="62904"/>
  <c r="E195" i="62909"/>
  <c r="E189" i="62909" s="1"/>
  <c r="E225" i="62909" s="1"/>
  <c r="C189" i="62909"/>
  <c r="C225" i="62909" s="1"/>
  <c r="D163" i="62905"/>
  <c r="AU163" i="62905"/>
  <c r="AC163" i="62905"/>
  <c r="AQ163" i="62905"/>
  <c r="G195" i="62909"/>
  <c r="H140" i="62904"/>
  <c r="I140" i="62904" s="1"/>
  <c r="F114" i="62892"/>
  <c r="F110" i="62892" s="1"/>
  <c r="F142" i="62892" s="1"/>
  <c r="G114" i="62910"/>
  <c r="H126" i="62904"/>
  <c r="J309" i="2"/>
  <c r="J23" i="62914"/>
  <c r="U23" i="62914"/>
  <c r="I28" i="62929"/>
  <c r="U28" i="62929" s="1"/>
  <c r="V162" i="62905"/>
  <c r="L165" i="62904"/>
  <c r="N201" i="62904"/>
  <c r="M234" i="62904"/>
  <c r="U32" i="62912"/>
  <c r="H23" i="62914"/>
  <c r="H309" i="2"/>
  <c r="C20" i="62919"/>
  <c r="C22" i="62919"/>
  <c r="D1046" i="62919"/>
  <c r="D875" i="62919"/>
  <c r="D876" i="62919" s="1"/>
  <c r="D877" i="62919" s="1"/>
  <c r="D878" i="62919" s="1"/>
  <c r="D879" i="62919" s="1"/>
  <c r="D880" i="62919" s="1"/>
  <c r="D881" i="62919" s="1"/>
  <c r="D882" i="62919" s="1"/>
  <c r="D883" i="62919" s="1"/>
  <c r="D884" i="62919" s="1"/>
  <c r="D885" i="62919" s="1"/>
  <c r="D886" i="62919" s="1"/>
  <c r="D887" i="62919" s="1"/>
  <c r="D888" i="62919" s="1"/>
  <c r="D889" i="62919" s="1"/>
  <c r="D182" i="62919"/>
  <c r="D1868" i="62919"/>
  <c r="C23" i="62919"/>
  <c r="C21" i="62919"/>
  <c r="C258" i="62923"/>
  <c r="C267" i="62923"/>
  <c r="C265" i="62923"/>
  <c r="C261" i="62923"/>
  <c r="C262" i="62923"/>
  <c r="C266" i="62923"/>
  <c r="C264" i="62923"/>
  <c r="C260" i="62923"/>
  <c r="C263" i="62923"/>
  <c r="C259" i="62923"/>
  <c r="C268" i="62923"/>
  <c r="E2447" i="62917"/>
  <c r="D2359" i="62917"/>
  <c r="D2360" i="62917" s="1"/>
  <c r="D2361" i="62917" s="1"/>
  <c r="D2362" i="62917" s="1"/>
  <c r="D2363" i="62917" s="1"/>
  <c r="D2364" i="62917" s="1"/>
  <c r="D2365" i="62917" s="1"/>
  <c r="D2366" i="62917" s="1"/>
  <c r="D2367" i="62917" s="1"/>
  <c r="D2368" i="62917" s="1"/>
  <c r="D2369" i="62917" s="1"/>
  <c r="D2370" i="62917" s="1"/>
  <c r="D2371" i="62917" s="1"/>
  <c r="D2372" i="62917" s="1"/>
  <c r="D2373" i="62917" s="1"/>
  <c r="D2374" i="62917" s="1"/>
  <c r="D2375" i="62917" s="1"/>
  <c r="D2376" i="62917" s="1"/>
  <c r="D2377" i="62917" s="1"/>
  <c r="D2378" i="62917" s="1"/>
  <c r="D2379" i="62917" s="1"/>
  <c r="D2380" i="62917" s="1"/>
  <c r="D2381" i="62917" s="1"/>
  <c r="D2382" i="62917" s="1"/>
  <c r="D2383" i="62917" s="1"/>
  <c r="D2384" i="62917" s="1"/>
  <c r="D2385" i="62917" s="1"/>
  <c r="D2386" i="62917" s="1"/>
  <c r="D2387" i="62917" s="1"/>
  <c r="D2388" i="62917" s="1"/>
  <c r="D2389" i="62917" s="1"/>
  <c r="D2390" i="62917" s="1"/>
  <c r="D2391" i="62917" s="1"/>
  <c r="D2392" i="62917" s="1"/>
  <c r="D2393" i="62917" s="1"/>
  <c r="D2394" i="62917" s="1"/>
  <c r="D2395" i="62917" s="1"/>
  <c r="D2396" i="62917" s="1"/>
  <c r="D2397" i="62917" s="1"/>
  <c r="D2398" i="62917" s="1"/>
  <c r="D2399" i="62917" s="1"/>
  <c r="D2400" i="62917" s="1"/>
  <c r="D2401" i="62917" s="1"/>
  <c r="D2402" i="62917" s="1"/>
  <c r="D2403" i="62917" s="1"/>
  <c r="D2404" i="62917" s="1"/>
  <c r="D2405" i="62917" s="1"/>
  <c r="D2406" i="62917" s="1"/>
  <c r="D2407" i="62917" s="1"/>
  <c r="D2408" i="62917" s="1"/>
  <c r="D2409" i="62917" s="1"/>
  <c r="D2410" i="62917" s="1"/>
  <c r="D2411" i="62917" s="1"/>
  <c r="D2412" i="62917" s="1"/>
  <c r="D2413" i="62917" s="1"/>
  <c r="D2414" i="62917" s="1"/>
  <c r="D2415" i="62917" s="1"/>
  <c r="D2416" i="62917" s="1"/>
  <c r="D2417" i="62917" s="1"/>
  <c r="D2418" i="62917" s="1"/>
  <c r="D2419" i="62917" s="1"/>
  <c r="C2383" i="62917" s="1"/>
  <c r="C2358" i="62917"/>
  <c r="C24" i="62919"/>
  <c r="C25" i="62919"/>
  <c r="C27" i="62919"/>
  <c r="C29" i="62919"/>
  <c r="D960" i="62919"/>
  <c r="E961" i="62919"/>
  <c r="C28" i="62919"/>
  <c r="C19" i="62919"/>
  <c r="D69" i="62919"/>
  <c r="D1484" i="62917"/>
  <c r="D1485" i="62917" s="1"/>
  <c r="D1486" i="62917" s="1"/>
  <c r="D1487" i="62917" s="1"/>
  <c r="C1483" i="62917"/>
  <c r="E1488" i="62917"/>
  <c r="E1489" i="62917" s="1"/>
  <c r="E272" i="9" l="1"/>
  <c r="D251" i="9"/>
  <c r="AP98" i="9"/>
  <c r="AP102" i="9" s="1"/>
  <c r="AH102" i="9"/>
  <c r="E298" i="9" s="1"/>
  <c r="C1725" i="62917"/>
  <c r="K331" i="62905"/>
  <c r="K32" i="62914" s="1"/>
  <c r="K37" i="62929" s="1"/>
  <c r="W37" i="62929" s="1"/>
  <c r="H302" i="62905"/>
  <c r="C520" i="62922"/>
  <c r="E55" i="62921"/>
  <c r="C345" i="62921"/>
  <c r="C352" i="62921"/>
  <c r="C353" i="62921"/>
  <c r="C362" i="62921"/>
  <c r="C360" i="62921"/>
  <c r="C358" i="62921"/>
  <c r="C342" i="62921"/>
  <c r="C355" i="62921"/>
  <c r="C340" i="62921"/>
  <c r="C368" i="62921"/>
  <c r="C367" i="62921"/>
  <c r="C359" i="62921"/>
  <c r="C351" i="62921"/>
  <c r="C363" i="62921"/>
  <c r="C347" i="62921"/>
  <c r="C364" i="62921"/>
  <c r="C356" i="62921"/>
  <c r="C354" i="62921"/>
  <c r="C365" i="62921"/>
  <c r="C343" i="62921"/>
  <c r="C346" i="62921"/>
  <c r="C344" i="62921"/>
  <c r="C361" i="62921"/>
  <c r="C357" i="62921"/>
  <c r="C341" i="62921"/>
  <c r="C349" i="62921"/>
  <c r="C366" i="62921"/>
  <c r="C350" i="62921"/>
  <c r="C348" i="62921"/>
  <c r="C339" i="62921"/>
  <c r="D1869" i="62919"/>
  <c r="D1870" i="62919" s="1"/>
  <c r="D1871" i="62919" s="1"/>
  <c r="D1872" i="62919" s="1"/>
  <c r="C1866" i="62919" s="1"/>
  <c r="E1991" i="62917"/>
  <c r="D1989" i="62917"/>
  <c r="D1990" i="62917" s="1"/>
  <c r="C1729" i="62917"/>
  <c r="C1732" i="62917"/>
  <c r="C1733" i="62917"/>
  <c r="C1731" i="62917"/>
  <c r="C1726" i="62917"/>
  <c r="C1735" i="62917"/>
  <c r="C1734" i="62917"/>
  <c r="C1727" i="62917"/>
  <c r="C1728" i="62917"/>
  <c r="C1730" i="62917"/>
  <c r="D339" i="62923"/>
  <c r="E353" i="62923"/>
  <c r="D352" i="62923"/>
  <c r="D303" i="62923"/>
  <c r="E304" i="62923"/>
  <c r="H32" i="62915"/>
  <c r="T32" i="62915" s="1"/>
  <c r="C866" i="62919"/>
  <c r="C865" i="62919"/>
  <c r="E114" i="62910"/>
  <c r="E110" i="62910" s="1"/>
  <c r="E141" i="62910" s="1"/>
  <c r="E101" i="62917"/>
  <c r="D100" i="62917"/>
  <c r="C1307" i="62919"/>
  <c r="C1289" i="62919"/>
  <c r="C1327" i="62919"/>
  <c r="C1305" i="62919"/>
  <c r="C1308" i="62919"/>
  <c r="C1287" i="62919"/>
  <c r="C1291" i="62919"/>
  <c r="C1306" i="62919"/>
  <c r="C1316" i="62919"/>
  <c r="C1337" i="62919"/>
  <c r="C1345" i="62919"/>
  <c r="C1344" i="62919"/>
  <c r="C1349" i="62919"/>
  <c r="C1361" i="62919"/>
  <c r="C1335" i="62919"/>
  <c r="C1348" i="62919"/>
  <c r="C1336" i="62919"/>
  <c r="C1347" i="62919"/>
  <c r="C1341" i="62919"/>
  <c r="C1340" i="62919"/>
  <c r="C1338" i="62919"/>
  <c r="C1352" i="62919"/>
  <c r="C1331" i="62919"/>
  <c r="C1355" i="62919"/>
  <c r="C1333" i="62919"/>
  <c r="C1353" i="62919"/>
  <c r="C1346" i="62919"/>
  <c r="C1292" i="62919"/>
  <c r="C1325" i="62919"/>
  <c r="C1317" i="62919"/>
  <c r="C1350" i="62919"/>
  <c r="C1313" i="62919"/>
  <c r="C1297" i="62919"/>
  <c r="C1302" i="62919"/>
  <c r="C1311" i="62919"/>
  <c r="C1296" i="62919"/>
  <c r="C1354" i="62919"/>
  <c r="C1339" i="62919"/>
  <c r="C1315" i="62919"/>
  <c r="C1301" i="62919"/>
  <c r="C1295" i="62919"/>
  <c r="C1290" i="62919"/>
  <c r="C1286" i="62919"/>
  <c r="C1324" i="62919"/>
  <c r="C1319" i="62919"/>
  <c r="C1303" i="62919"/>
  <c r="C1320" i="62919"/>
  <c r="C1318" i="62919"/>
  <c r="C1351" i="62919"/>
  <c r="C1321" i="62919"/>
  <c r="C1300" i="62919"/>
  <c r="C1342" i="62919"/>
  <c r="C1309" i="62919"/>
  <c r="C1329" i="62919"/>
  <c r="C1310" i="62919"/>
  <c r="C1326" i="62919"/>
  <c r="C1343" i="62919"/>
  <c r="C1334" i="62919"/>
  <c r="C1323" i="62919"/>
  <c r="C1294" i="62919"/>
  <c r="C1298" i="62919"/>
  <c r="C1299" i="62919"/>
  <c r="C1304" i="62919"/>
  <c r="C1314" i="62919"/>
  <c r="C1357" i="62919"/>
  <c r="C1359" i="62919"/>
  <c r="C1356" i="62919"/>
  <c r="C1312" i="62919"/>
  <c r="C1288" i="62919"/>
  <c r="C1330" i="62919"/>
  <c r="C1293" i="62919"/>
  <c r="C1328" i="62919"/>
  <c r="C1322" i="62919"/>
  <c r="C1332" i="62919"/>
  <c r="C1358" i="62919"/>
  <c r="C1360" i="62919"/>
  <c r="D1777" i="62919"/>
  <c r="C1701" i="62919"/>
  <c r="D54" i="62921"/>
  <c r="C49" i="62921" s="1"/>
  <c r="K126" i="62904"/>
  <c r="D237" i="62924"/>
  <c r="D876" i="62921"/>
  <c r="C875" i="62921"/>
  <c r="F124" i="62904"/>
  <c r="I32" i="62914"/>
  <c r="I37" i="62929" s="1"/>
  <c r="U37" i="62929" s="1"/>
  <c r="U42" i="62929" s="1"/>
  <c r="E126" i="62904"/>
  <c r="L126" i="62904" s="1"/>
  <c r="F122" i="62904"/>
  <c r="D135" i="62918"/>
  <c r="C135" i="62918" s="1"/>
  <c r="F125" i="62904"/>
  <c r="F123" i="62904"/>
  <c r="I126" i="62904"/>
  <c r="M125" i="62904"/>
  <c r="D2434" i="62917"/>
  <c r="C2433" i="62917"/>
  <c r="C50" i="62924"/>
  <c r="D51" i="62924"/>
  <c r="T33" i="62914"/>
  <c r="C134" i="62918"/>
  <c r="D298" i="62921"/>
  <c r="D299" i="62921" s="1"/>
  <c r="C297" i="62921" s="1"/>
  <c r="E300" i="62921"/>
  <c r="E524" i="62922"/>
  <c r="D524" i="62922" s="1"/>
  <c r="C296" i="62921"/>
  <c r="H363" i="62905"/>
  <c r="H368" i="62905" s="1"/>
  <c r="E136" i="62918"/>
  <c r="H32" i="62914"/>
  <c r="H37" i="62914" s="1"/>
  <c r="H42" i="62929" s="1"/>
  <c r="G61" i="62914"/>
  <c r="X33" i="62914"/>
  <c r="F61" i="62914"/>
  <c r="C1034" i="62919"/>
  <c r="C2380" i="62917"/>
  <c r="C2366" i="62917"/>
  <c r="C2376" i="62917"/>
  <c r="C2362" i="62917"/>
  <c r="C2375" i="62917"/>
  <c r="C2386" i="62917"/>
  <c r="C2367" i="62917"/>
  <c r="C2391" i="62917"/>
  <c r="C2381" i="62917"/>
  <c r="C2412" i="62917"/>
  <c r="C2415" i="62917"/>
  <c r="C2410" i="62917"/>
  <c r="C2408" i="62917"/>
  <c r="C2389" i="62917"/>
  <c r="C2374" i="62917"/>
  <c r="C2396" i="62917"/>
  <c r="C2405" i="62917"/>
  <c r="C2364" i="62917"/>
  <c r="C2390" i="62917"/>
  <c r="C2414" i="62917"/>
  <c r="C2387" i="62917"/>
  <c r="C2411" i="62917"/>
  <c r="C2379" i="62917"/>
  <c r="C2406" i="62917"/>
  <c r="C2395" i="62917"/>
  <c r="C2371" i="62917"/>
  <c r="C2392" i="62917"/>
  <c r="C2365" i="62917"/>
  <c r="C2400" i="62917"/>
  <c r="C2398" i="62917"/>
  <c r="C2359" i="62917"/>
  <c r="C2368" i="62917"/>
  <c r="I99" i="9"/>
  <c r="BK99" i="9" s="1"/>
  <c r="AD99" i="9" s="1"/>
  <c r="AD102" i="9" s="1"/>
  <c r="C1872" i="62919"/>
  <c r="D89" i="11"/>
  <c r="D79" i="11"/>
  <c r="AF41" i="11"/>
  <c r="AF46" i="11" s="1"/>
  <c r="X46" i="11"/>
  <c r="V41" i="11"/>
  <c r="T46" i="11"/>
  <c r="H89" i="11" s="1"/>
  <c r="G69" i="62909" s="1"/>
  <c r="H69" i="62909" s="1"/>
  <c r="D41" i="11"/>
  <c r="D46" i="11" s="1"/>
  <c r="L46" i="11"/>
  <c r="F79" i="11" s="1"/>
  <c r="J32" i="62914"/>
  <c r="J37" i="62914" s="1"/>
  <c r="J42" i="62929" s="1"/>
  <c r="J336" i="62905"/>
  <c r="H28" i="62929"/>
  <c r="T28" i="62929" s="1"/>
  <c r="T23" i="62914"/>
  <c r="L171" i="62904"/>
  <c r="K29" i="62912"/>
  <c r="T29" i="62912" s="1"/>
  <c r="M231" i="62904"/>
  <c r="G60" i="62915"/>
  <c r="V32" i="62915"/>
  <c r="F60" i="62915"/>
  <c r="H114" i="62910"/>
  <c r="H110" i="62910" s="1"/>
  <c r="H141" i="62910" s="1"/>
  <c r="G110" i="62910"/>
  <c r="G141" i="62910" s="1"/>
  <c r="K31" i="62914"/>
  <c r="K205" i="62904"/>
  <c r="L199" i="62904"/>
  <c r="N126" i="62904"/>
  <c r="H22" i="62915"/>
  <c r="H341" i="2"/>
  <c r="N199" i="62904"/>
  <c r="V23" i="62914"/>
  <c r="J28" i="62929"/>
  <c r="V28" i="62929" s="1"/>
  <c r="H195" i="62909"/>
  <c r="H189" i="62909" s="1"/>
  <c r="H225" i="62909" s="1"/>
  <c r="G189" i="62909"/>
  <c r="G225" i="62909" s="1"/>
  <c r="V163" i="62905"/>
  <c r="I231" i="62904"/>
  <c r="H29" i="62912"/>
  <c r="Q29" i="62912" s="1"/>
  <c r="H171" i="62904"/>
  <c r="I165" i="62904"/>
  <c r="C142" i="62892"/>
  <c r="G110" i="62892"/>
  <c r="G142" i="62892" s="1"/>
  <c r="C2407" i="62917"/>
  <c r="C2402" i="62917"/>
  <c r="C2404" i="62917"/>
  <c r="C2385" i="62917"/>
  <c r="C2361" i="62917"/>
  <c r="C2369" i="62917"/>
  <c r="C2399" i="62917"/>
  <c r="C2378" i="62917"/>
  <c r="C2403" i="62917"/>
  <c r="C2377" i="62917"/>
  <c r="C1871" i="62919"/>
  <c r="C1868" i="62919"/>
  <c r="C1870" i="62919"/>
  <c r="D1047" i="62919"/>
  <c r="D183" i="62919"/>
  <c r="C182" i="62919"/>
  <c r="C2393" i="62917"/>
  <c r="C2394" i="62917"/>
  <c r="C2373" i="62917"/>
  <c r="C2401" i="62917"/>
  <c r="C2372" i="62917"/>
  <c r="C2360" i="62917"/>
  <c r="C2397" i="62917"/>
  <c r="C2409" i="62917"/>
  <c r="C2384" i="62917"/>
  <c r="C2363" i="62917"/>
  <c r="E2448" i="62917"/>
  <c r="C2388" i="62917"/>
  <c r="C2382" i="62917"/>
  <c r="C2370" i="62917"/>
  <c r="C2417" i="62917"/>
  <c r="C2416" i="62917"/>
  <c r="C2418" i="62917"/>
  <c r="C2413" i="62917"/>
  <c r="D961" i="62919"/>
  <c r="D890" i="62919"/>
  <c r="C869" i="62919" s="1"/>
  <c r="E962" i="62919"/>
  <c r="E963" i="62919" s="1"/>
  <c r="E964" i="62919" s="1"/>
  <c r="E965" i="62919" s="1"/>
  <c r="E966" i="62919" s="1"/>
  <c r="E967" i="62919" s="1"/>
  <c r="E968" i="62919" s="1"/>
  <c r="E969" i="62919" s="1"/>
  <c r="E970" i="62919" s="1"/>
  <c r="E971" i="62919" s="1"/>
  <c r="E972" i="62919" s="1"/>
  <c r="E973" i="62919" s="1"/>
  <c r="E974" i="62919" s="1"/>
  <c r="E975" i="62919" s="1"/>
  <c r="E976" i="62919" s="1"/>
  <c r="E977" i="62919" s="1"/>
  <c r="E978" i="62919" s="1"/>
  <c r="E979" i="62919" s="1"/>
  <c r="E980" i="62919" s="1"/>
  <c r="E981" i="62919" s="1"/>
  <c r="E982" i="62919" s="1"/>
  <c r="E983" i="62919" s="1"/>
  <c r="E984" i="62919" s="1"/>
  <c r="E985" i="62919" s="1"/>
  <c r="E986" i="62919" s="1"/>
  <c r="E987" i="62919" s="1"/>
  <c r="E988" i="62919" s="1"/>
  <c r="E989" i="62919" s="1"/>
  <c r="E990" i="62919" s="1"/>
  <c r="E991" i="62919" s="1"/>
  <c r="E992" i="62919" s="1"/>
  <c r="E993" i="62919" s="1"/>
  <c r="E994" i="62919" s="1"/>
  <c r="D70" i="62919"/>
  <c r="C1487" i="62917"/>
  <c r="C1486" i="62917"/>
  <c r="C1484" i="62917"/>
  <c r="C1485" i="62917"/>
  <c r="D1488" i="62917"/>
  <c r="E1490" i="62917"/>
  <c r="E1491" i="62917" s="1"/>
  <c r="E1492" i="62917" s="1"/>
  <c r="E1493" i="62917" s="1"/>
  <c r="E1494" i="62917" s="1"/>
  <c r="E1495" i="62917" s="1"/>
  <c r="E364" i="9" l="1"/>
  <c r="I298" i="9"/>
  <c r="E312" i="9"/>
  <c r="E21" i="62912"/>
  <c r="N21" i="62912" s="1"/>
  <c r="C106" i="62892"/>
  <c r="C104" i="62892" s="1"/>
  <c r="C141" i="62892" s="1"/>
  <c r="C106" i="62910"/>
  <c r="E251" i="9"/>
  <c r="D254" i="9"/>
  <c r="F272" i="9"/>
  <c r="F280" i="9" s="1"/>
  <c r="C180" i="62909"/>
  <c r="E280" i="9"/>
  <c r="K336" i="62905"/>
  <c r="C98" i="62917"/>
  <c r="W32" i="62914"/>
  <c r="I363" i="62905"/>
  <c r="I30" i="62915" s="1"/>
  <c r="U30" i="62915" s="1"/>
  <c r="L331" i="62905"/>
  <c r="L336" i="62905" s="1"/>
  <c r="C1869" i="62919"/>
  <c r="C1867" i="62919"/>
  <c r="C521" i="62922"/>
  <c r="D55" i="62921"/>
  <c r="E56" i="62921"/>
  <c r="D56" i="62921" s="1"/>
  <c r="C50" i="62921" s="1"/>
  <c r="C143" i="62921"/>
  <c r="C142" i="62921"/>
  <c r="C1988" i="62917"/>
  <c r="D1991" i="62917"/>
  <c r="E1992" i="62917"/>
  <c r="E1993" i="62917" s="1"/>
  <c r="E354" i="62923"/>
  <c r="D353" i="62923"/>
  <c r="D340" i="62923"/>
  <c r="D304" i="62923"/>
  <c r="E305" i="62923"/>
  <c r="E102" i="62917"/>
  <c r="E103" i="62917" s="1"/>
  <c r="E104" i="62917" s="1"/>
  <c r="C232" i="62924"/>
  <c r="C230" i="62924"/>
  <c r="C236" i="62924"/>
  <c r="C233" i="62924"/>
  <c r="C234" i="62924"/>
  <c r="C235" i="62924"/>
  <c r="C237" i="62924"/>
  <c r="C867" i="62919"/>
  <c r="C871" i="62919"/>
  <c r="C870" i="62919"/>
  <c r="C868" i="62919"/>
  <c r="D101" i="62917"/>
  <c r="C1274" i="62919"/>
  <c r="D1778" i="62919"/>
  <c r="D877" i="62921"/>
  <c r="D878" i="62921" s="1"/>
  <c r="D879" i="62921" s="1"/>
  <c r="D880" i="62921" s="1"/>
  <c r="D881" i="62921" s="1"/>
  <c r="D882" i="62921" s="1"/>
  <c r="D883" i="62921" s="1"/>
  <c r="D884" i="62921" s="1"/>
  <c r="D885" i="62921" s="1"/>
  <c r="D886" i="62921" s="1"/>
  <c r="D887" i="62921" s="1"/>
  <c r="D888" i="62921" s="1"/>
  <c r="D889" i="62921" s="1"/>
  <c r="D890" i="62921" s="1"/>
  <c r="D891" i="62921" s="1"/>
  <c r="D892" i="62921" s="1"/>
  <c r="D893" i="62921" s="1"/>
  <c r="D894" i="62921" s="1"/>
  <c r="D895" i="62921" s="1"/>
  <c r="D896" i="62921" s="1"/>
  <c r="D897" i="62921" s="1"/>
  <c r="D898" i="62921" s="1"/>
  <c r="D899" i="62921" s="1"/>
  <c r="D900" i="62921" s="1"/>
  <c r="D901" i="62921" s="1"/>
  <c r="D902" i="62921" s="1"/>
  <c r="D903" i="62921" s="1"/>
  <c r="D904" i="62921" s="1"/>
  <c r="D905" i="62921" s="1"/>
  <c r="U32" i="62914"/>
  <c r="U37" i="62914" s="1"/>
  <c r="M126" i="62904"/>
  <c r="I37" i="62914"/>
  <c r="I42" i="62929" s="1"/>
  <c r="H30" i="62915"/>
  <c r="T30" i="62915" s="1"/>
  <c r="D2435" i="62917"/>
  <c r="D2436" i="62917" s="1"/>
  <c r="D2437" i="62917" s="1"/>
  <c r="D2438" i="62917" s="1"/>
  <c r="D2439" i="62917" s="1"/>
  <c r="D2440" i="62917" s="1"/>
  <c r="D2441" i="62917" s="1"/>
  <c r="D2442" i="62917" s="1"/>
  <c r="D2443" i="62917" s="1"/>
  <c r="D2444" i="62917" s="1"/>
  <c r="D2445" i="62917" s="1"/>
  <c r="D2446" i="62917" s="1"/>
  <c r="C2434" i="62917"/>
  <c r="D52" i="62924"/>
  <c r="T32" i="62914"/>
  <c r="T37" i="62914" s="1"/>
  <c r="E301" i="62921"/>
  <c r="E302" i="62921" s="1"/>
  <c r="E303" i="62921" s="1"/>
  <c r="D300" i="62921"/>
  <c r="E525" i="62922"/>
  <c r="D525" i="62922" s="1"/>
  <c r="H37" i="62929"/>
  <c r="T37" i="62929" s="1"/>
  <c r="T42" i="62929" s="1"/>
  <c r="H390" i="62905"/>
  <c r="E137" i="62918"/>
  <c r="E138" i="62918" s="1"/>
  <c r="D136" i="62918"/>
  <c r="H99" i="9"/>
  <c r="Y99" i="9"/>
  <c r="H251" i="9"/>
  <c r="I251" i="9" s="1"/>
  <c r="I272" i="9"/>
  <c r="J272" i="9" s="1"/>
  <c r="Q41" i="11"/>
  <c r="V46" i="11"/>
  <c r="I89" i="11"/>
  <c r="C69" i="62909"/>
  <c r="E69" i="62909" s="1"/>
  <c r="E89" i="11"/>
  <c r="C63" i="62910"/>
  <c r="E63" i="62910" s="1"/>
  <c r="G79" i="11"/>
  <c r="C63" i="62892"/>
  <c r="J37" i="62929"/>
  <c r="V37" i="62929" s="1"/>
  <c r="V42" i="62929" s="1"/>
  <c r="V32" i="62914"/>
  <c r="V37" i="62914" s="1"/>
  <c r="N31" i="62914"/>
  <c r="N205" i="62904"/>
  <c r="T22" i="62915"/>
  <c r="L35" i="62912"/>
  <c r="U29" i="62912"/>
  <c r="U35" i="62912" s="1"/>
  <c r="L142" i="62892"/>
  <c r="K142" i="62892"/>
  <c r="C17" i="62907"/>
  <c r="M142" i="62892"/>
  <c r="N142" i="62892"/>
  <c r="I259" i="62904"/>
  <c r="I29" i="62915"/>
  <c r="U29" i="62915" s="1"/>
  <c r="I237" i="62904"/>
  <c r="J231" i="62904"/>
  <c r="I29" i="62912"/>
  <c r="I171" i="62904"/>
  <c r="L205" i="62904"/>
  <c r="L31" i="62914"/>
  <c r="W31" i="62914"/>
  <c r="K36" i="62929"/>
  <c r="W36" i="62929" s="1"/>
  <c r="M259" i="62904"/>
  <c r="M29" i="62915"/>
  <c r="Y29" i="62915" s="1"/>
  <c r="M237" i="62904"/>
  <c r="D184" i="62919"/>
  <c r="C183" i="62919"/>
  <c r="D1048" i="62919"/>
  <c r="E2449" i="62917"/>
  <c r="E2450" i="62917" s="1"/>
  <c r="E2451" i="62917" s="1"/>
  <c r="E2452" i="62917" s="1"/>
  <c r="E2453" i="62917" s="1"/>
  <c r="E2454" i="62917" s="1"/>
  <c r="E2455" i="62917" s="1"/>
  <c r="E2456" i="62917" s="1"/>
  <c r="E2457" i="62917" s="1"/>
  <c r="E2458" i="62917" s="1"/>
  <c r="E2459" i="62917" s="1"/>
  <c r="E2460" i="62917" s="1"/>
  <c r="E2461" i="62917" s="1"/>
  <c r="E2462" i="62917" s="1"/>
  <c r="D962" i="62919"/>
  <c r="D71" i="62919"/>
  <c r="E1496" i="62917"/>
  <c r="E1497" i="62917" s="1"/>
  <c r="D1489" i="62917"/>
  <c r="D1490" i="62917" s="1"/>
  <c r="D1491" i="62917" s="1"/>
  <c r="D1492" i="62917" s="1"/>
  <c r="D1493" i="62917" s="1"/>
  <c r="D1494" i="62917" s="1"/>
  <c r="D1495" i="62917" s="1"/>
  <c r="C1488" i="62917"/>
  <c r="G17" i="62907" l="1"/>
  <c r="F17" i="62907"/>
  <c r="F254" i="9"/>
  <c r="F253" i="9"/>
  <c r="F252" i="9"/>
  <c r="F250" i="9"/>
  <c r="F251" i="9"/>
  <c r="G278" i="9"/>
  <c r="G276" i="9"/>
  <c r="G275" i="9"/>
  <c r="G279" i="9"/>
  <c r="G264" i="9"/>
  <c r="G262" i="9"/>
  <c r="G268" i="9"/>
  <c r="G277" i="9"/>
  <c r="G261" i="9"/>
  <c r="G266" i="9"/>
  <c r="G274" i="9"/>
  <c r="G271" i="9"/>
  <c r="G265" i="9"/>
  <c r="G263" i="9"/>
  <c r="G267" i="9"/>
  <c r="G270" i="9"/>
  <c r="G272" i="9"/>
  <c r="G280" i="9"/>
  <c r="G269" i="9"/>
  <c r="L251" i="9"/>
  <c r="M251" i="9"/>
  <c r="E254" i="9"/>
  <c r="E180" i="62909"/>
  <c r="E168" i="62909" s="1"/>
  <c r="E224" i="62909" s="1"/>
  <c r="C168" i="62909"/>
  <c r="C224" i="62909" s="1"/>
  <c r="C104" i="62910"/>
  <c r="C140" i="62910" s="1"/>
  <c r="E106" i="62910"/>
  <c r="E104" i="62910" s="1"/>
  <c r="E140" i="62910" s="1"/>
  <c r="I312" i="9"/>
  <c r="I21" i="62912"/>
  <c r="L141" i="62892"/>
  <c r="M141" i="62892"/>
  <c r="C16" i="62907"/>
  <c r="J364" i="9"/>
  <c r="E398" i="9"/>
  <c r="E378" i="9"/>
  <c r="E21" i="62915"/>
  <c r="Q21" i="62915" s="1"/>
  <c r="L32" i="62914"/>
  <c r="L37" i="62929" s="1"/>
  <c r="X37" i="62929" s="1"/>
  <c r="I390" i="62905"/>
  <c r="J390" i="62905" s="1"/>
  <c r="J363" i="62905"/>
  <c r="J368" i="62905" s="1"/>
  <c r="I368" i="62905"/>
  <c r="E57" i="62921"/>
  <c r="D57" i="62921" s="1"/>
  <c r="E1994" i="62917"/>
  <c r="E1995" i="62917" s="1"/>
  <c r="D1992" i="62917"/>
  <c r="D354" i="62923"/>
  <c r="E355" i="62923"/>
  <c r="D341" i="62923"/>
  <c r="D305" i="62923"/>
  <c r="E306" i="62923"/>
  <c r="E17" i="62907"/>
  <c r="D17" i="62907"/>
  <c r="D102" i="62917"/>
  <c r="E105" i="62917"/>
  <c r="E106" i="62917" s="1"/>
  <c r="E107" i="62917" s="1"/>
  <c r="E108" i="62917" s="1"/>
  <c r="E109" i="62917" s="1"/>
  <c r="E110" i="62917" s="1"/>
  <c r="E111" i="62917" s="1"/>
  <c r="E112" i="62917" s="1"/>
  <c r="E113" i="62917" s="1"/>
  <c r="E114" i="62917" s="1"/>
  <c r="E115" i="62917" s="1"/>
  <c r="E116" i="62917" s="1"/>
  <c r="E117" i="62917" s="1"/>
  <c r="E118" i="62917" s="1"/>
  <c r="E119" i="62917" s="1"/>
  <c r="E120" i="62917" s="1"/>
  <c r="E121" i="62917" s="1"/>
  <c r="E122" i="62917" s="1"/>
  <c r="E123" i="62917" s="1"/>
  <c r="E124" i="62917" s="1"/>
  <c r="E125" i="62917" s="1"/>
  <c r="E126" i="62917" s="1"/>
  <c r="E127" i="62917" s="1"/>
  <c r="E128" i="62917" s="1"/>
  <c r="E129" i="62917" s="1"/>
  <c r="E130" i="62917" s="1"/>
  <c r="E131" i="62917" s="1"/>
  <c r="E132" i="62917" s="1"/>
  <c r="E133" i="62917" s="1"/>
  <c r="E134" i="62917" s="1"/>
  <c r="E135" i="62917" s="1"/>
  <c r="E136" i="62917" s="1"/>
  <c r="E137" i="62917" s="1"/>
  <c r="E138" i="62917" s="1"/>
  <c r="E139" i="62917" s="1"/>
  <c r="E140" i="62917" s="1"/>
  <c r="E141" i="62917" s="1"/>
  <c r="E142" i="62917" s="1"/>
  <c r="E143" i="62917" s="1"/>
  <c r="E144" i="62917" s="1"/>
  <c r="E145" i="62917" s="1"/>
  <c r="E146" i="62917" s="1"/>
  <c r="E147" i="62917" s="1"/>
  <c r="E148" i="62917" s="1"/>
  <c r="E149" i="62917" s="1"/>
  <c r="E150" i="62917" s="1"/>
  <c r="E151" i="62917" s="1"/>
  <c r="E152" i="62917" s="1"/>
  <c r="E153" i="62917" s="1"/>
  <c r="E154" i="62917" s="1"/>
  <c r="E155" i="62917" s="1"/>
  <c r="E156" i="62917" s="1"/>
  <c r="E157" i="62917" s="1"/>
  <c r="E158" i="62917" s="1"/>
  <c r="E159" i="62917" s="1"/>
  <c r="E160" i="62917" s="1"/>
  <c r="E161" i="62917" s="1"/>
  <c r="E162" i="62917" s="1"/>
  <c r="E163" i="62917" s="1"/>
  <c r="E164" i="62917" s="1"/>
  <c r="E165" i="62917" s="1"/>
  <c r="E166" i="62917" s="1"/>
  <c r="E167" i="62917" s="1"/>
  <c r="E168" i="62917" s="1"/>
  <c r="E169" i="62917" s="1"/>
  <c r="E170" i="62917" s="1"/>
  <c r="D1779" i="62919"/>
  <c r="C2437" i="62917"/>
  <c r="C879" i="62921"/>
  <c r="C881" i="62921"/>
  <c r="C877" i="62921"/>
  <c r="C878" i="62921"/>
  <c r="C880" i="62921"/>
  <c r="C876" i="62921"/>
  <c r="C882" i="62921"/>
  <c r="T35" i="62915"/>
  <c r="H35" i="62915"/>
  <c r="C2438" i="62917"/>
  <c r="C2443" i="62917"/>
  <c r="C2435" i="62917"/>
  <c r="C2436" i="62917"/>
  <c r="C2440" i="62917"/>
  <c r="C2445" i="62917"/>
  <c r="C2444" i="62917"/>
  <c r="C2439" i="62917"/>
  <c r="C2441" i="62917"/>
  <c r="C2446" i="62917"/>
  <c r="D2447" i="62917"/>
  <c r="D53" i="62924"/>
  <c r="D54" i="62924" s="1"/>
  <c r="D55" i="62924" s="1"/>
  <c r="D56" i="62924" s="1"/>
  <c r="C56" i="62924" s="1"/>
  <c r="C1495" i="62917"/>
  <c r="D301" i="62921"/>
  <c r="D302" i="62921" s="1"/>
  <c r="D303" i="62921" s="1"/>
  <c r="E304" i="62921"/>
  <c r="E305" i="62921" s="1"/>
  <c r="E306" i="62921" s="1"/>
  <c r="E307" i="62921" s="1"/>
  <c r="E308" i="62921" s="1"/>
  <c r="E309" i="62921" s="1"/>
  <c r="C134" i="62921"/>
  <c r="E139" i="62918"/>
  <c r="E140" i="62918" s="1"/>
  <c r="D137" i="62918"/>
  <c r="C137" i="62918" s="1"/>
  <c r="C136" i="62918"/>
  <c r="C1489" i="62917"/>
  <c r="C1490" i="62917"/>
  <c r="C1492" i="62917"/>
  <c r="G180" i="62909"/>
  <c r="K251" i="9"/>
  <c r="N251" i="9"/>
  <c r="F106" i="62892"/>
  <c r="G106" i="62892" s="1"/>
  <c r="G106" i="62910"/>
  <c r="J79" i="11"/>
  <c r="Q46" i="11"/>
  <c r="N79" i="11"/>
  <c r="O79" i="11"/>
  <c r="G59" i="62914"/>
  <c r="H59" i="62914"/>
  <c r="L36" i="62929"/>
  <c r="X36" i="62929" s="1"/>
  <c r="E59" i="62914"/>
  <c r="X31" i="62914"/>
  <c r="F59" i="62914"/>
  <c r="F69" i="62912"/>
  <c r="R29" i="62912"/>
  <c r="H69" i="62912"/>
  <c r="E69" i="62912"/>
  <c r="G69" i="62912"/>
  <c r="J29" i="62915"/>
  <c r="J259" i="62904"/>
  <c r="J237" i="62904"/>
  <c r="Z31" i="62914"/>
  <c r="N36" i="62929"/>
  <c r="Z36" i="62929" s="1"/>
  <c r="D1049" i="62919"/>
  <c r="D185" i="62919"/>
  <c r="E2465" i="62917"/>
  <c r="D2465" i="62917" s="1"/>
  <c r="D963" i="62919"/>
  <c r="D72" i="62919"/>
  <c r="D73" i="62919" s="1"/>
  <c r="D74" i="62919" s="1"/>
  <c r="D75" i="62919" s="1"/>
  <c r="D76" i="62919" s="1"/>
  <c r="C1493" i="62917"/>
  <c r="C1494" i="62917"/>
  <c r="C1491" i="62917"/>
  <c r="E1498" i="62917"/>
  <c r="E1499" i="62917" s="1"/>
  <c r="D1496" i="62917"/>
  <c r="D1497" i="62917" s="1"/>
  <c r="J21" i="62915" l="1"/>
  <c r="J398" i="9"/>
  <c r="J378" i="9"/>
  <c r="R21" i="62912"/>
  <c r="F61" i="62912"/>
  <c r="G61" i="62912"/>
  <c r="G16" i="62907"/>
  <c r="F16" i="62907"/>
  <c r="E16" i="62907"/>
  <c r="D16" i="62907"/>
  <c r="M254" i="9"/>
  <c r="L254" i="9"/>
  <c r="F60" i="62914"/>
  <c r="X32" i="62914"/>
  <c r="G60" i="62914"/>
  <c r="J30" i="62915"/>
  <c r="V30" i="62915" s="1"/>
  <c r="E526" i="62922"/>
  <c r="E58" i="62921"/>
  <c r="D58" i="62921" s="1"/>
  <c r="E1996" i="62917"/>
  <c r="E1997" i="62917" s="1"/>
  <c r="E1998" i="62917" s="1"/>
  <c r="E1999" i="62917" s="1"/>
  <c r="E2000" i="62917" s="1"/>
  <c r="E2001" i="62917" s="1"/>
  <c r="E2002" i="62917" s="1"/>
  <c r="E2003" i="62917" s="1"/>
  <c r="E2004" i="62917" s="1"/>
  <c r="E2005" i="62917" s="1"/>
  <c r="E2006" i="62917" s="1"/>
  <c r="E2007" i="62917" s="1"/>
  <c r="E2008" i="62917" s="1"/>
  <c r="E2009" i="62917" s="1"/>
  <c r="E2010" i="62917" s="1"/>
  <c r="E2011" i="62917" s="1"/>
  <c r="E2012" i="62917" s="1"/>
  <c r="E2013" i="62917" s="1"/>
  <c r="E2014" i="62917" s="1"/>
  <c r="E2015" i="62917" s="1"/>
  <c r="E2016" i="62917" s="1"/>
  <c r="E2017" i="62917" s="1"/>
  <c r="E2018" i="62917" s="1"/>
  <c r="E2019" i="62917" s="1"/>
  <c r="E2020" i="62917" s="1"/>
  <c r="E2021" i="62917" s="1"/>
  <c r="E2022" i="62917" s="1"/>
  <c r="E2023" i="62917" s="1"/>
  <c r="E2024" i="62917" s="1"/>
  <c r="E2025" i="62917" s="1"/>
  <c r="E2026" i="62917" s="1"/>
  <c r="E2027" i="62917" s="1"/>
  <c r="E2028" i="62917" s="1"/>
  <c r="E2029" i="62917" s="1"/>
  <c r="E2030" i="62917" s="1"/>
  <c r="E2031" i="62917" s="1"/>
  <c r="E2032" i="62917" s="1"/>
  <c r="E2033" i="62917" s="1"/>
  <c r="E2034" i="62917" s="1"/>
  <c r="E2035" i="62917" s="1"/>
  <c r="E2036" i="62917" s="1"/>
  <c r="E2037" i="62917" s="1"/>
  <c r="E2038" i="62917" s="1"/>
  <c r="E2039" i="62917" s="1"/>
  <c r="E2040" i="62917" s="1"/>
  <c r="E2041" i="62917" s="1"/>
  <c r="E2042" i="62917" s="1"/>
  <c r="E2043" i="62917" s="1"/>
  <c r="E2044" i="62917" s="1"/>
  <c r="E2045" i="62917" s="1"/>
  <c r="E2046" i="62917" s="1"/>
  <c r="E2047" i="62917" s="1"/>
  <c r="E2048" i="62917" s="1"/>
  <c r="E2049" i="62917" s="1"/>
  <c r="E2050" i="62917" s="1"/>
  <c r="E2051" i="62917" s="1"/>
  <c r="E2052" i="62917" s="1"/>
  <c r="E2053" i="62917" s="1"/>
  <c r="E2054" i="62917" s="1"/>
  <c r="E2055" i="62917" s="1"/>
  <c r="E2056" i="62917" s="1"/>
  <c r="E2057" i="62917" s="1"/>
  <c r="E2058" i="62917" s="1"/>
  <c r="E2059" i="62917" s="1"/>
  <c r="E2060" i="62917" s="1"/>
  <c r="E2061" i="62917" s="1"/>
  <c r="E2062" i="62917" s="1"/>
  <c r="E2063" i="62917" s="1"/>
  <c r="E2064" i="62917" s="1"/>
  <c r="E2065" i="62917" s="1"/>
  <c r="E2066" i="62917" s="1"/>
  <c r="E2067" i="62917" s="1"/>
  <c r="E2068" i="62917" s="1"/>
  <c r="E2069" i="62917" s="1"/>
  <c r="E2070" i="62917" s="1"/>
  <c r="E2071" i="62917" s="1"/>
  <c r="E2072" i="62917" s="1"/>
  <c r="E2073" i="62917" s="1"/>
  <c r="E2074" i="62917" s="1"/>
  <c r="E2075" i="62917" s="1"/>
  <c r="E2076" i="62917" s="1"/>
  <c r="E2077" i="62917" s="1"/>
  <c r="E2078" i="62917" s="1"/>
  <c r="E2079" i="62917" s="1"/>
  <c r="E2080" i="62917" s="1"/>
  <c r="E2081" i="62917" s="1"/>
  <c r="E2082" i="62917" s="1"/>
  <c r="E2083" i="62917" s="1"/>
  <c r="E2084" i="62917" s="1"/>
  <c r="E2085" i="62917" s="1"/>
  <c r="E2086" i="62917" s="1"/>
  <c r="E2087" i="62917" s="1"/>
  <c r="E2088" i="62917" s="1"/>
  <c r="E2089" i="62917" s="1"/>
  <c r="E2090" i="62917" s="1"/>
  <c r="E2091" i="62917" s="1"/>
  <c r="E2092" i="62917" s="1"/>
  <c r="E2093" i="62917" s="1"/>
  <c r="E2094" i="62917" s="1"/>
  <c r="E2095" i="62917" s="1"/>
  <c r="E2096" i="62917" s="1"/>
  <c r="E2097" i="62917" s="1"/>
  <c r="E2098" i="62917" s="1"/>
  <c r="E2099" i="62917" s="1"/>
  <c r="E2100" i="62917" s="1"/>
  <c r="E2101" i="62917" s="1"/>
  <c r="E2102" i="62917" s="1"/>
  <c r="E2103" i="62917" s="1"/>
  <c r="E2104" i="62917" s="1"/>
  <c r="E2105" i="62917" s="1"/>
  <c r="E2106" i="62917" s="1"/>
  <c r="E2107" i="62917" s="1"/>
  <c r="E2108" i="62917" s="1"/>
  <c r="E2109" i="62917" s="1"/>
  <c r="E2110" i="62917" s="1"/>
  <c r="E2111" i="62917" s="1"/>
  <c r="E2112" i="62917" s="1"/>
  <c r="E2113" i="62917" s="1"/>
  <c r="E2114" i="62917" s="1"/>
  <c r="E2115" i="62917" s="1"/>
  <c r="E2116" i="62917" s="1"/>
  <c r="E2117" i="62917" s="1"/>
  <c r="E2118" i="62917" s="1"/>
  <c r="E2119" i="62917" s="1"/>
  <c r="E2120" i="62917" s="1"/>
  <c r="E2121" i="62917" s="1"/>
  <c r="E2122" i="62917" s="1"/>
  <c r="E2123" i="62917" s="1"/>
  <c r="E2124" i="62917" s="1"/>
  <c r="E2125" i="62917" s="1"/>
  <c r="E2126" i="62917" s="1"/>
  <c r="E2127" i="62917" s="1"/>
  <c r="E2128" i="62917" s="1"/>
  <c r="E2129" i="62917" s="1"/>
  <c r="E2130" i="62917" s="1"/>
  <c r="E2131" i="62917" s="1"/>
  <c r="E2132" i="62917" s="1"/>
  <c r="E2133" i="62917" s="1"/>
  <c r="E2134" i="62917" s="1"/>
  <c r="E2135" i="62917" s="1"/>
  <c r="E2136" i="62917" s="1"/>
  <c r="E2137" i="62917" s="1"/>
  <c r="E2138" i="62917" s="1"/>
  <c r="E2139" i="62917" s="1"/>
  <c r="E2140" i="62917" s="1"/>
  <c r="E2141" i="62917" s="1"/>
  <c r="E2142" i="62917" s="1"/>
  <c r="E2143" i="62917" s="1"/>
  <c r="E2144" i="62917" s="1"/>
  <c r="E2145" i="62917" s="1"/>
  <c r="E2146" i="62917" s="1"/>
  <c r="E2147" i="62917" s="1"/>
  <c r="E2148" i="62917" s="1"/>
  <c r="E2149" i="62917" s="1"/>
  <c r="E2150" i="62917" s="1"/>
  <c r="E2151" i="62917" s="1"/>
  <c r="D1993" i="62917"/>
  <c r="E356" i="62923"/>
  <c r="E357" i="62923" s="1"/>
  <c r="D355" i="62923"/>
  <c r="D342" i="62923"/>
  <c r="D306" i="62923"/>
  <c r="E307" i="62923"/>
  <c r="E171" i="62917"/>
  <c r="E172" i="62917" s="1"/>
  <c r="E173" i="62917" s="1"/>
  <c r="E174" i="62917" s="1"/>
  <c r="D103" i="62917"/>
  <c r="D1780" i="62919"/>
  <c r="C2447" i="62917"/>
  <c r="D2448" i="62917"/>
  <c r="C51" i="62924"/>
  <c r="C1497" i="62917"/>
  <c r="C1496" i="62917"/>
  <c r="D304" i="62921"/>
  <c r="E141" i="62918"/>
  <c r="E142" i="62918" s="1"/>
  <c r="E143" i="62918" s="1"/>
  <c r="E144" i="62918" s="1"/>
  <c r="E145" i="62918" s="1"/>
  <c r="E146" i="62918" s="1"/>
  <c r="E147" i="62918" s="1"/>
  <c r="E148" i="62918" s="1"/>
  <c r="D138" i="62918"/>
  <c r="H106" i="62910"/>
  <c r="H180" i="62909"/>
  <c r="K79" i="11"/>
  <c r="F63" i="62892"/>
  <c r="G63" i="62892" s="1"/>
  <c r="G63" i="62910"/>
  <c r="H63" i="62910" s="1"/>
  <c r="M79" i="11"/>
  <c r="P79" i="11"/>
  <c r="E57" i="62915"/>
  <c r="G57" i="62915"/>
  <c r="V29" i="62915"/>
  <c r="F57" i="62915"/>
  <c r="H57" i="62915"/>
  <c r="D186" i="62919"/>
  <c r="C185" i="62919"/>
  <c r="D1050" i="62919"/>
  <c r="E2466" i="62917"/>
  <c r="E2467" i="62917" s="1"/>
  <c r="E2468" i="62917" s="1"/>
  <c r="E2469" i="62917" s="1"/>
  <c r="E2470" i="62917" s="1"/>
  <c r="E2471" i="62917" s="1"/>
  <c r="E2472" i="62917" s="1"/>
  <c r="E2473" i="62917" s="1"/>
  <c r="E2474" i="62917" s="1"/>
  <c r="E2475" i="62917" s="1"/>
  <c r="E2476" i="62917" s="1"/>
  <c r="E2478" i="62917" s="1"/>
  <c r="E2479" i="62917" s="1"/>
  <c r="E2480" i="62917" s="1"/>
  <c r="E2481" i="62917" s="1"/>
  <c r="E2482" i="62917" s="1"/>
  <c r="E2483" i="62917" s="1"/>
  <c r="E2484" i="62917" s="1"/>
  <c r="E2485" i="62917" s="1"/>
  <c r="E2486" i="62917" s="1"/>
  <c r="E2487" i="62917" s="1"/>
  <c r="E2488" i="62917" s="1"/>
  <c r="E2489" i="62917" s="1"/>
  <c r="E2491" i="62917" s="1"/>
  <c r="E2492" i="62917" s="1"/>
  <c r="E2493" i="62917" s="1"/>
  <c r="E2494" i="62917" s="1"/>
  <c r="E2495" i="62917" s="1"/>
  <c r="E2496" i="62917" s="1"/>
  <c r="E2497" i="62917" s="1"/>
  <c r="E2498" i="62917" s="1"/>
  <c r="E2499" i="62917" s="1"/>
  <c r="E2500" i="62917" s="1"/>
  <c r="E2501" i="62917" s="1"/>
  <c r="E2502" i="62917" s="1"/>
  <c r="E2504" i="62917" s="1"/>
  <c r="E2505" i="62917" s="1"/>
  <c r="E2506" i="62917" s="1"/>
  <c r="E2507" i="62917" s="1"/>
  <c r="E2508" i="62917" s="1"/>
  <c r="E2509" i="62917" s="1"/>
  <c r="E2510" i="62917" s="1"/>
  <c r="E2511" i="62917" s="1"/>
  <c r="E2512" i="62917" s="1"/>
  <c r="E2513" i="62917" s="1"/>
  <c r="E2514" i="62917" s="1"/>
  <c r="E2515" i="62917" s="1"/>
  <c r="E2516" i="62917" s="1"/>
  <c r="E2517" i="62917" s="1"/>
  <c r="E2518" i="62917" s="1"/>
  <c r="E2519" i="62917" s="1"/>
  <c r="C2465" i="62917"/>
  <c r="C74" i="62919"/>
  <c r="D964" i="62919"/>
  <c r="C65" i="62919"/>
  <c r="C62" i="62919"/>
  <c r="C63" i="62919"/>
  <c r="C64" i="62919"/>
  <c r="C67" i="62919"/>
  <c r="C71" i="62919"/>
  <c r="C75" i="62919"/>
  <c r="C66" i="62919"/>
  <c r="C76" i="62919"/>
  <c r="C70" i="62919"/>
  <c r="C72" i="62919"/>
  <c r="C73" i="62919"/>
  <c r="C68" i="62919"/>
  <c r="C69" i="62919"/>
  <c r="D1498" i="62917"/>
  <c r="D1499" i="62917" s="1"/>
  <c r="C1499" i="62917" s="1"/>
  <c r="E1500" i="62917"/>
  <c r="G49" i="62915" l="1"/>
  <c r="F49" i="62915"/>
  <c r="V21" i="62915"/>
  <c r="G58" i="62915"/>
  <c r="D104" i="62917"/>
  <c r="D105" i="62917" s="1"/>
  <c r="D106" i="62917" s="1"/>
  <c r="D107" i="62917" s="1"/>
  <c r="D108" i="62917" s="1"/>
  <c r="D109" i="62917" s="1"/>
  <c r="D110" i="62917" s="1"/>
  <c r="D111" i="62917" s="1"/>
  <c r="D112" i="62917" s="1"/>
  <c r="D113" i="62917" s="1"/>
  <c r="D114" i="62917" s="1"/>
  <c r="D115" i="62917" s="1"/>
  <c r="D116" i="62917" s="1"/>
  <c r="D117" i="62917" s="1"/>
  <c r="D118" i="62917" s="1"/>
  <c r="D119" i="62917" s="1"/>
  <c r="D120" i="62917" s="1"/>
  <c r="D121" i="62917" s="1"/>
  <c r="D122" i="62917" s="1"/>
  <c r="D123" i="62917" s="1"/>
  <c r="D124" i="62917" s="1"/>
  <c r="D125" i="62917" s="1"/>
  <c r="D126" i="62917" s="1"/>
  <c r="D127" i="62917" s="1"/>
  <c r="D128" i="62917" s="1"/>
  <c r="D129" i="62917" s="1"/>
  <c r="D130" i="62917" s="1"/>
  <c r="D131" i="62917" s="1"/>
  <c r="D132" i="62917" s="1"/>
  <c r="D133" i="62917" s="1"/>
  <c r="D134" i="62917" s="1"/>
  <c r="D135" i="62917" s="1"/>
  <c r="D136" i="62917" s="1"/>
  <c r="D137" i="62917" s="1"/>
  <c r="D138" i="62917" s="1"/>
  <c r="D139" i="62917" s="1"/>
  <c r="D140" i="62917" s="1"/>
  <c r="D141" i="62917" s="1"/>
  <c r="D142" i="62917" s="1"/>
  <c r="D143" i="62917" s="1"/>
  <c r="D144" i="62917" s="1"/>
  <c r="D145" i="62917" s="1"/>
  <c r="D146" i="62917" s="1"/>
  <c r="D147" i="62917" s="1"/>
  <c r="D148" i="62917" s="1"/>
  <c r="D149" i="62917" s="1"/>
  <c r="D150" i="62917" s="1"/>
  <c r="D151" i="62917" s="1"/>
  <c r="D152" i="62917" s="1"/>
  <c r="D153" i="62917" s="1"/>
  <c r="D154" i="62917" s="1"/>
  <c r="D155" i="62917" s="1"/>
  <c r="D156" i="62917" s="1"/>
  <c r="D157" i="62917" s="1"/>
  <c r="D158" i="62917" s="1"/>
  <c r="D159" i="62917" s="1"/>
  <c r="D160" i="62917" s="1"/>
  <c r="D161" i="62917" s="1"/>
  <c r="D162" i="62917" s="1"/>
  <c r="D163" i="62917" s="1"/>
  <c r="D164" i="62917" s="1"/>
  <c r="D165" i="62917" s="1"/>
  <c r="D166" i="62917" s="1"/>
  <c r="D167" i="62917" s="1"/>
  <c r="D168" i="62917" s="1"/>
  <c r="D169" i="62917" s="1"/>
  <c r="D170" i="62917" s="1"/>
  <c r="D171" i="62917" s="1"/>
  <c r="D172" i="62917" s="1"/>
  <c r="D173" i="62917" s="1"/>
  <c r="D174" i="62917" s="1"/>
  <c r="F58" i="62915"/>
  <c r="E527" i="62922"/>
  <c r="D527" i="62922" s="1"/>
  <c r="D526" i="62922"/>
  <c r="E59" i="62921"/>
  <c r="D59" i="62921" s="1"/>
  <c r="D1994" i="62917"/>
  <c r="C1989" i="62917"/>
  <c r="E358" i="62923"/>
  <c r="E359" i="62923" s="1"/>
  <c r="D356" i="62923"/>
  <c r="D357" i="62923" s="1"/>
  <c r="D350" i="62923"/>
  <c r="D307" i="62923"/>
  <c r="E308" i="62923"/>
  <c r="E175" i="62917"/>
  <c r="E176" i="62917" s="1"/>
  <c r="E177" i="62917" s="1"/>
  <c r="E178" i="62917" s="1"/>
  <c r="E179" i="62917" s="1"/>
  <c r="E180" i="62917" s="1"/>
  <c r="E181" i="62917" s="1"/>
  <c r="E182" i="62917" s="1"/>
  <c r="E183" i="62917" s="1"/>
  <c r="E184" i="62917" s="1"/>
  <c r="E185" i="62917" s="1"/>
  <c r="E186" i="62917" s="1"/>
  <c r="E187" i="62917" s="1"/>
  <c r="E188" i="62917" s="1"/>
  <c r="E189" i="62917" s="1"/>
  <c r="E190" i="62917" s="1"/>
  <c r="E191" i="62917" s="1"/>
  <c r="E192" i="62917" s="1"/>
  <c r="E193" i="62917" s="1"/>
  <c r="E194" i="62917" s="1"/>
  <c r="E195" i="62917" s="1"/>
  <c r="E196" i="62917" s="1"/>
  <c r="E197" i="62917" s="1"/>
  <c r="E198" i="62917" s="1"/>
  <c r="E199" i="62917" s="1"/>
  <c r="E200" i="62917" s="1"/>
  <c r="E201" i="62917" s="1"/>
  <c r="E202" i="62917" s="1"/>
  <c r="E203" i="62917" s="1"/>
  <c r="E204" i="62917" s="1"/>
  <c r="E205" i="62917" s="1"/>
  <c r="E206" i="62917" s="1"/>
  <c r="E207" i="62917" s="1"/>
  <c r="E208" i="62917" s="1"/>
  <c r="E209" i="62917" s="1"/>
  <c r="E210" i="62917" s="1"/>
  <c r="E211" i="62917" s="1"/>
  <c r="E212" i="62917" s="1"/>
  <c r="E213" i="62917" s="1"/>
  <c r="E214" i="62917" s="1"/>
  <c r="E215" i="62917" s="1"/>
  <c r="E216" i="62917" s="1"/>
  <c r="E217" i="62917" s="1"/>
  <c r="E218" i="62917" s="1"/>
  <c r="E219" i="62917" s="1"/>
  <c r="E220" i="62917" s="1"/>
  <c r="E221" i="62917" s="1"/>
  <c r="E222" i="62917" s="1"/>
  <c r="E223" i="62917" s="1"/>
  <c r="E224" i="62917" s="1"/>
  <c r="E225" i="62917" s="1"/>
  <c r="E226" i="62917" s="1"/>
  <c r="E227" i="62917" s="1"/>
  <c r="E228" i="62917" s="1"/>
  <c r="E229" i="62917" s="1"/>
  <c r="E230" i="62917" s="1"/>
  <c r="E231" i="62917" s="1"/>
  <c r="E232" i="62917" s="1"/>
  <c r="E233" i="62917" s="1"/>
  <c r="E234" i="62917" s="1"/>
  <c r="E235" i="62917" s="1"/>
  <c r="E236" i="62917" s="1"/>
  <c r="E237" i="62917" s="1"/>
  <c r="E238" i="62917" s="1"/>
  <c r="E239" i="62917" s="1"/>
  <c r="E240" i="62917" s="1"/>
  <c r="E241" i="62917" s="1"/>
  <c r="E242" i="62917" s="1"/>
  <c r="E243" i="62917" s="1"/>
  <c r="E244" i="62917" s="1"/>
  <c r="E245" i="62917" s="1"/>
  <c r="E246" i="62917" s="1"/>
  <c r="E247" i="62917" s="1"/>
  <c r="E248" i="62917" s="1"/>
  <c r="E249" i="62917" s="1"/>
  <c r="E250" i="62917" s="1"/>
  <c r="E251" i="62917" s="1"/>
  <c r="E252" i="62917" s="1"/>
  <c r="E253" i="62917" s="1"/>
  <c r="E254" i="62917" s="1"/>
  <c r="E255" i="62917" s="1"/>
  <c r="E256" i="62917" s="1"/>
  <c r="E257" i="62917" s="1"/>
  <c r="E258" i="62917" s="1"/>
  <c r="E259" i="62917" s="1"/>
  <c r="E260" i="62917" s="1"/>
  <c r="E261" i="62917" s="1"/>
  <c r="E262" i="62917" s="1"/>
  <c r="E263" i="62917" s="1"/>
  <c r="E264" i="62917" s="1"/>
  <c r="E265" i="62917" s="1"/>
  <c r="E266" i="62917" s="1"/>
  <c r="E267" i="62917" s="1"/>
  <c r="E268" i="62917" s="1"/>
  <c r="E269" i="62917" s="1"/>
  <c r="E270" i="62917" s="1"/>
  <c r="E271" i="62917" s="1"/>
  <c r="E272" i="62917" s="1"/>
  <c r="E273" i="62917" s="1"/>
  <c r="E274" i="62917" s="1"/>
  <c r="E275" i="62917" s="1"/>
  <c r="E276" i="62917" s="1"/>
  <c r="E277" i="62917" s="1"/>
  <c r="E278" i="62917" s="1"/>
  <c r="E279" i="62917" s="1"/>
  <c r="E280" i="62917" s="1"/>
  <c r="E281" i="62917" s="1"/>
  <c r="E282" i="62917" s="1"/>
  <c r="E283" i="62917" s="1"/>
  <c r="E284" i="62917" s="1"/>
  <c r="E285" i="62917" s="1"/>
  <c r="E286" i="62917" s="1"/>
  <c r="E287" i="62917" s="1"/>
  <c r="E288" i="62917" s="1"/>
  <c r="E289" i="62917" s="1"/>
  <c r="E290" i="62917" s="1"/>
  <c r="E291" i="62917" s="1"/>
  <c r="E292" i="62917" s="1"/>
  <c r="E293" i="62917" s="1"/>
  <c r="E294" i="62917" s="1"/>
  <c r="E295" i="62917" s="1"/>
  <c r="E296" i="62917" s="1"/>
  <c r="E297" i="62917" s="1"/>
  <c r="E298" i="62917" s="1"/>
  <c r="E299" i="62917" s="1"/>
  <c r="E300" i="62917" s="1"/>
  <c r="E301" i="62917" s="1"/>
  <c r="E302" i="62917" s="1"/>
  <c r="E303" i="62917" s="1"/>
  <c r="E304" i="62917" s="1"/>
  <c r="E305" i="62917" s="1"/>
  <c r="E306" i="62917" s="1"/>
  <c r="E307" i="62917" s="1"/>
  <c r="E308" i="62917" s="1"/>
  <c r="E309" i="62917" s="1"/>
  <c r="E310" i="62917" s="1"/>
  <c r="E311" i="62917" s="1"/>
  <c r="E312" i="62917" s="1"/>
  <c r="E313" i="62917" s="1"/>
  <c r="E314" i="62917" s="1"/>
  <c r="E315" i="62917" s="1"/>
  <c r="E316" i="62917" s="1"/>
  <c r="E317" i="62917" s="1"/>
  <c r="E318" i="62917" s="1"/>
  <c r="E319" i="62917" s="1"/>
  <c r="E320" i="62917" s="1"/>
  <c r="E321" i="62917" s="1"/>
  <c r="E322" i="62917" s="1"/>
  <c r="E323" i="62917" s="1"/>
  <c r="E324" i="62917" s="1"/>
  <c r="E325" i="62917" s="1"/>
  <c r="E326" i="62917" s="1"/>
  <c r="E327" i="62917" s="1"/>
  <c r="E328" i="62917" s="1"/>
  <c r="E329" i="62917" s="1"/>
  <c r="E330" i="62917" s="1"/>
  <c r="E331" i="62917" s="1"/>
  <c r="E332" i="62917" s="1"/>
  <c r="E333" i="62917" s="1"/>
  <c r="E334" i="62917" s="1"/>
  <c r="E335" i="62917" s="1"/>
  <c r="E336" i="62917" s="1"/>
  <c r="E337" i="62917" s="1"/>
  <c r="E338" i="62917" s="1"/>
  <c r="E339" i="62917" s="1"/>
  <c r="E340" i="62917" s="1"/>
  <c r="E341" i="62917" s="1"/>
  <c r="E342" i="62917" s="1"/>
  <c r="E343" i="62917" s="1"/>
  <c r="E344" i="62917" s="1"/>
  <c r="E345" i="62917" s="1"/>
  <c r="E346" i="62917" s="1"/>
  <c r="E347" i="62917" s="1"/>
  <c r="E348" i="62917" s="1"/>
  <c r="E349" i="62917" s="1"/>
  <c r="E350" i="62917" s="1"/>
  <c r="E351" i="62917" s="1"/>
  <c r="E352" i="62917" s="1"/>
  <c r="E353" i="62917" s="1"/>
  <c r="E354" i="62917" s="1"/>
  <c r="E355" i="62917" s="1"/>
  <c r="E356" i="62917" s="1"/>
  <c r="E357" i="62917" s="1"/>
  <c r="E358" i="62917" s="1"/>
  <c r="E359" i="62917" s="1"/>
  <c r="E360" i="62917" s="1"/>
  <c r="E361" i="62917" s="1"/>
  <c r="E362" i="62917" s="1"/>
  <c r="E363" i="62917" s="1"/>
  <c r="E364" i="62917" s="1"/>
  <c r="E365" i="62917" s="1"/>
  <c r="E366" i="62917" s="1"/>
  <c r="E367" i="62917" s="1"/>
  <c r="E368" i="62917" s="1"/>
  <c r="E369" i="62917" s="1"/>
  <c r="E370" i="62917" s="1"/>
  <c r="E371" i="62917" s="1"/>
  <c r="E372" i="62917" s="1"/>
  <c r="E373" i="62917" s="1"/>
  <c r="E374" i="62917" s="1"/>
  <c r="E375" i="62917" s="1"/>
  <c r="E376" i="62917" s="1"/>
  <c r="E377" i="62917" s="1"/>
  <c r="E378" i="62917" s="1"/>
  <c r="E379" i="62917" s="1"/>
  <c r="E380" i="62917" s="1"/>
  <c r="E381" i="62917" s="1"/>
  <c r="E382" i="62917" s="1"/>
  <c r="E383" i="62917" s="1"/>
  <c r="E384" i="62917" s="1"/>
  <c r="E385" i="62917" s="1"/>
  <c r="E386" i="62917" s="1"/>
  <c r="E387" i="62917" s="1"/>
  <c r="E388" i="62917" s="1"/>
  <c r="E389" i="62917" s="1"/>
  <c r="E390" i="62917" s="1"/>
  <c r="E391" i="62917" s="1"/>
  <c r="E392" i="62917" s="1"/>
  <c r="E393" i="62917" s="1"/>
  <c r="E394" i="62917" s="1"/>
  <c r="E395" i="62917" s="1"/>
  <c r="E396" i="62917" s="1"/>
  <c r="E397" i="62917" s="1"/>
  <c r="E398" i="62917" s="1"/>
  <c r="E399" i="62917" s="1"/>
  <c r="E400" i="62917" s="1"/>
  <c r="E401" i="62917" s="1"/>
  <c r="E402" i="62917" s="1"/>
  <c r="E403" i="62917" s="1"/>
  <c r="E404" i="62917" s="1"/>
  <c r="E405" i="62917" s="1"/>
  <c r="E406" i="62917" s="1"/>
  <c r="E407" i="62917" s="1"/>
  <c r="E408" i="62917" s="1"/>
  <c r="E409" i="62917" s="1"/>
  <c r="E410" i="62917" s="1"/>
  <c r="E411" i="62917" s="1"/>
  <c r="E412" i="62917" s="1"/>
  <c r="E413" i="62917" s="1"/>
  <c r="E414" i="62917" s="1"/>
  <c r="E415" i="62917" s="1"/>
  <c r="E416" i="62917" s="1"/>
  <c r="E417" i="62917" s="1"/>
  <c r="E418" i="62917" s="1"/>
  <c r="E419" i="62917" s="1"/>
  <c r="E420" i="62917" s="1"/>
  <c r="E421" i="62917" s="1"/>
  <c r="E422" i="62917" s="1"/>
  <c r="E423" i="62917" s="1"/>
  <c r="E424" i="62917" s="1"/>
  <c r="E425" i="62917" s="1"/>
  <c r="E426" i="62917" s="1"/>
  <c r="E427" i="62917" s="1"/>
  <c r="E428" i="62917" s="1"/>
  <c r="E429" i="62917" s="1"/>
  <c r="E430" i="62917" s="1"/>
  <c r="E431" i="62917" s="1"/>
  <c r="E432" i="62917" s="1"/>
  <c r="E433" i="62917" s="1"/>
  <c r="E434" i="62917" s="1"/>
  <c r="E435" i="62917" s="1"/>
  <c r="E436" i="62917" s="1"/>
  <c r="E437" i="62917" s="1"/>
  <c r="E438" i="62917" s="1"/>
  <c r="E439" i="62917" s="1"/>
  <c r="E440" i="62917" s="1"/>
  <c r="E441" i="62917" s="1"/>
  <c r="E442" i="62917" s="1"/>
  <c r="E443" i="62917" s="1"/>
  <c r="E444" i="62917" s="1"/>
  <c r="E445" i="62917" s="1"/>
  <c r="E446" i="62917" s="1"/>
  <c r="E447" i="62917" s="1"/>
  <c r="E448" i="62917" s="1"/>
  <c r="E449" i="62917" s="1"/>
  <c r="E450" i="62917" s="1"/>
  <c r="E451" i="62917" s="1"/>
  <c r="E452" i="62917" s="1"/>
  <c r="E453" i="62917" s="1"/>
  <c r="E454" i="62917" s="1"/>
  <c r="E455" i="62917" s="1"/>
  <c r="E456" i="62917" s="1"/>
  <c r="E457" i="62917" s="1"/>
  <c r="E458" i="62917" s="1"/>
  <c r="E459" i="62917" s="1"/>
  <c r="E460" i="62917" s="1"/>
  <c r="E461" i="62917" s="1"/>
  <c r="E462" i="62917" s="1"/>
  <c r="E463" i="62917" s="1"/>
  <c r="E464" i="62917" s="1"/>
  <c r="E465" i="62917" s="1"/>
  <c r="E466" i="62917" s="1"/>
  <c r="E467" i="62917" s="1"/>
  <c r="E468" i="62917" s="1"/>
  <c r="E469" i="62917" s="1"/>
  <c r="E470" i="62917" s="1"/>
  <c r="E471" i="62917" s="1"/>
  <c r="E472" i="62917" s="1"/>
  <c r="E473" i="62917" s="1"/>
  <c r="E474" i="62917" s="1"/>
  <c r="E475" i="62917" s="1"/>
  <c r="E476" i="62917" s="1"/>
  <c r="E477" i="62917" s="1"/>
  <c r="E478" i="62917" s="1"/>
  <c r="E479" i="62917" s="1"/>
  <c r="E480" i="62917" s="1"/>
  <c r="E481" i="62917" s="1"/>
  <c r="E482" i="62917" s="1"/>
  <c r="E483" i="62917" s="1"/>
  <c r="E484" i="62917" s="1"/>
  <c r="E485" i="62917" s="1"/>
  <c r="E486" i="62917" s="1"/>
  <c r="E487" i="62917" s="1"/>
  <c r="E488" i="62917" s="1"/>
  <c r="E489" i="62917" s="1"/>
  <c r="E490" i="62917" s="1"/>
  <c r="E491" i="62917" s="1"/>
  <c r="E492" i="62917" s="1"/>
  <c r="E493" i="62917" s="1"/>
  <c r="E494" i="62917" s="1"/>
  <c r="E495" i="62917" s="1"/>
  <c r="E496" i="62917" s="1"/>
  <c r="E497" i="62917" s="1"/>
  <c r="E498" i="62917" s="1"/>
  <c r="E499" i="62917" s="1"/>
  <c r="E500" i="62917" s="1"/>
  <c r="E501" i="62917" s="1"/>
  <c r="E502" i="62917" s="1"/>
  <c r="E503" i="62917" s="1"/>
  <c r="E504" i="62917" s="1"/>
  <c r="E505" i="62917" s="1"/>
  <c r="E506" i="62917" s="1"/>
  <c r="E507" i="62917" s="1"/>
  <c r="E508" i="62917" s="1"/>
  <c r="E509" i="62917" s="1"/>
  <c r="E510" i="62917" s="1"/>
  <c r="E511" i="62917" s="1"/>
  <c r="E512" i="62917" s="1"/>
  <c r="E513" i="62917" s="1"/>
  <c r="E514" i="62917" s="1"/>
  <c r="E515" i="62917" s="1"/>
  <c r="E516" i="62917" s="1"/>
  <c r="E517" i="62917" s="1"/>
  <c r="E518" i="62917" s="1"/>
  <c r="E519" i="62917" s="1"/>
  <c r="E520" i="62917" s="1"/>
  <c r="E521" i="62917" s="1"/>
  <c r="E522" i="62917" s="1"/>
  <c r="E523" i="62917" s="1"/>
  <c r="E524" i="62917" s="1"/>
  <c r="E525" i="62917" s="1"/>
  <c r="E526" i="62917" s="1"/>
  <c r="E527" i="62917" s="1"/>
  <c r="E528" i="62917" s="1"/>
  <c r="E529" i="62917" s="1"/>
  <c r="E530" i="62917" s="1"/>
  <c r="E531" i="62917" s="1"/>
  <c r="E532" i="62917" s="1"/>
  <c r="E533" i="62917" s="1"/>
  <c r="E534" i="62917" s="1"/>
  <c r="E535" i="62917" s="1"/>
  <c r="E536" i="62917" s="1"/>
  <c r="E537" i="62917" s="1"/>
  <c r="E538" i="62917" s="1"/>
  <c r="E539" i="62917" s="1"/>
  <c r="E540" i="62917" s="1"/>
  <c r="E541" i="62917" s="1"/>
  <c r="E542" i="62917" s="1"/>
  <c r="E543" i="62917" s="1"/>
  <c r="E544" i="62917" s="1"/>
  <c r="E545" i="62917" s="1"/>
  <c r="E546" i="62917" s="1"/>
  <c r="E547" i="62917" s="1"/>
  <c r="E548" i="62917" s="1"/>
  <c r="E549" i="62917" s="1"/>
  <c r="E550" i="62917" s="1"/>
  <c r="E551" i="62917" s="1"/>
  <c r="E552" i="62917" s="1"/>
  <c r="E553" i="62917" s="1"/>
  <c r="E554" i="62917" s="1"/>
  <c r="E555" i="62917" s="1"/>
  <c r="E556" i="62917" s="1"/>
  <c r="E557" i="62917" s="1"/>
  <c r="E558" i="62917" s="1"/>
  <c r="E559" i="62917" s="1"/>
  <c r="E560" i="62917" s="1"/>
  <c r="E561" i="62917" s="1"/>
  <c r="E562" i="62917" s="1"/>
  <c r="E563" i="62917" s="1"/>
  <c r="E564" i="62917" s="1"/>
  <c r="E565" i="62917" s="1"/>
  <c r="E566" i="62917" s="1"/>
  <c r="E567" i="62917" s="1"/>
  <c r="E568" i="62917" s="1"/>
  <c r="E569" i="62917" s="1"/>
  <c r="E570" i="62917" s="1"/>
  <c r="E571" i="62917" s="1"/>
  <c r="E572" i="62917" s="1"/>
  <c r="E573" i="62917" s="1"/>
  <c r="E574" i="62917" s="1"/>
  <c r="E575" i="62917" s="1"/>
  <c r="E576" i="62917" s="1"/>
  <c r="E577" i="62917" s="1"/>
  <c r="E578" i="62917" s="1"/>
  <c r="E579" i="62917" s="1"/>
  <c r="E580" i="62917" s="1"/>
  <c r="E581" i="62917" s="1"/>
  <c r="E582" i="62917" s="1"/>
  <c r="E583" i="62917" s="1"/>
  <c r="E584" i="62917" s="1"/>
  <c r="E585" i="62917" s="1"/>
  <c r="E586" i="62917" s="1"/>
  <c r="E587" i="62917" s="1"/>
  <c r="E588" i="62917" s="1"/>
  <c r="E589" i="62917" s="1"/>
  <c r="D1781" i="62919"/>
  <c r="C2448" i="62917"/>
  <c r="D2449" i="62917"/>
  <c r="D2450" i="62917" s="1"/>
  <c r="D2451" i="62917" s="1"/>
  <c r="D2452" i="62917" s="1"/>
  <c r="D2453" i="62917" s="1"/>
  <c r="D2454" i="62917" s="1"/>
  <c r="D2455" i="62917" s="1"/>
  <c r="D2456" i="62917" s="1"/>
  <c r="D2457" i="62917" s="1"/>
  <c r="D2458" i="62917" s="1"/>
  <c r="D2459" i="62917" s="1"/>
  <c r="D2460" i="62917" s="1"/>
  <c r="D2461" i="62917" s="1"/>
  <c r="D2462" i="62917" s="1"/>
  <c r="C2442" i="62917" s="1"/>
  <c r="C54" i="62924"/>
  <c r="C47" i="62924"/>
  <c r="C48" i="62924"/>
  <c r="C52" i="62924"/>
  <c r="C53" i="62924"/>
  <c r="C55" i="62924"/>
  <c r="D305" i="62921"/>
  <c r="D306" i="62921" s="1"/>
  <c r="D307" i="62921" s="1"/>
  <c r="D308" i="62921" s="1"/>
  <c r="D309" i="62921" s="1"/>
  <c r="E528" i="62922"/>
  <c r="D139" i="62918"/>
  <c r="C139" i="62918" s="1"/>
  <c r="C138" i="62918"/>
  <c r="E149" i="62918"/>
  <c r="E150" i="62918" s="1"/>
  <c r="E151" i="62918" s="1"/>
  <c r="E152" i="62918" s="1"/>
  <c r="E153" i="62918" s="1"/>
  <c r="E154" i="62918" s="1"/>
  <c r="E155" i="62918" s="1"/>
  <c r="E156" i="62918" s="1"/>
  <c r="E157" i="62918" s="1"/>
  <c r="D1051" i="62919"/>
  <c r="D187" i="62919"/>
  <c r="C186" i="62919"/>
  <c r="D2466" i="62917"/>
  <c r="C2466" i="62917" s="1"/>
  <c r="D965" i="62919"/>
  <c r="D966" i="62919" s="1"/>
  <c r="D967" i="62919" s="1"/>
  <c r="D968" i="62919" s="1"/>
  <c r="D969" i="62919" s="1"/>
  <c r="D970" i="62919" s="1"/>
  <c r="D971" i="62919" s="1"/>
  <c r="D972" i="62919" s="1"/>
  <c r="D973" i="62919" s="1"/>
  <c r="D974" i="62919" s="1"/>
  <c r="D975" i="62919" s="1"/>
  <c r="D976" i="62919" s="1"/>
  <c r="D977" i="62919" s="1"/>
  <c r="D978" i="62919" s="1"/>
  <c r="D979" i="62919" s="1"/>
  <c r="D980" i="62919" s="1"/>
  <c r="D981" i="62919" s="1"/>
  <c r="D982" i="62919" s="1"/>
  <c r="D983" i="62919" s="1"/>
  <c r="D984" i="62919" s="1"/>
  <c r="D985" i="62919" s="1"/>
  <c r="D986" i="62919" s="1"/>
  <c r="D987" i="62919" s="1"/>
  <c r="D988" i="62919" s="1"/>
  <c r="D989" i="62919" s="1"/>
  <c r="D990" i="62919" s="1"/>
  <c r="D991" i="62919" s="1"/>
  <c r="D992" i="62919" s="1"/>
  <c r="D993" i="62919" s="1"/>
  <c r="D994" i="62919" s="1"/>
  <c r="G56" i="11"/>
  <c r="G55" i="11"/>
  <c r="G57" i="11"/>
  <c r="C1498" i="62917"/>
  <c r="D1500" i="62917"/>
  <c r="C1500" i="62917" s="1"/>
  <c r="E1501" i="62917"/>
  <c r="E1502" i="62917" s="1"/>
  <c r="E1503" i="62917" s="1"/>
  <c r="E1504" i="62917" s="1"/>
  <c r="C106" i="62917" l="1"/>
  <c r="C101" i="62917"/>
  <c r="C105" i="62917"/>
  <c r="C103" i="62917"/>
  <c r="C104" i="62917"/>
  <c r="C100" i="62917"/>
  <c r="C102" i="62917"/>
  <c r="C99" i="62917"/>
  <c r="C342" i="62923"/>
  <c r="C343" i="62923"/>
  <c r="C339" i="62923"/>
  <c r="C337" i="62923"/>
  <c r="C338" i="62923"/>
  <c r="C340" i="62923"/>
  <c r="C341" i="62923"/>
  <c r="D528" i="62922"/>
  <c r="C523" i="62922" s="1"/>
  <c r="C522" i="62922"/>
  <c r="C51" i="62921"/>
  <c r="E60" i="62921"/>
  <c r="D1995" i="62917"/>
  <c r="E360" i="62923"/>
  <c r="E361" i="62923" s="1"/>
  <c r="E362" i="62923" s="1"/>
  <c r="E363" i="62923" s="1"/>
  <c r="E364" i="62923" s="1"/>
  <c r="E365" i="62923" s="1"/>
  <c r="E366" i="62923" s="1"/>
  <c r="E367" i="62923" s="1"/>
  <c r="E368" i="62923" s="1"/>
  <c r="E369" i="62923" s="1"/>
  <c r="E370" i="62923" s="1"/>
  <c r="E371" i="62923" s="1"/>
  <c r="E372" i="62923" s="1"/>
  <c r="E373" i="62923" s="1"/>
  <c r="E374" i="62923" s="1"/>
  <c r="E375" i="62923" s="1"/>
  <c r="D358" i="62923"/>
  <c r="D359" i="62923" s="1"/>
  <c r="D308" i="62923"/>
  <c r="E309" i="62923"/>
  <c r="D175" i="62917"/>
  <c r="D1782" i="62919"/>
  <c r="E592" i="62917"/>
  <c r="D592" i="62917" s="1"/>
  <c r="C2450" i="62917"/>
  <c r="C2458" i="62917"/>
  <c r="C2456" i="62917"/>
  <c r="C2461" i="62917"/>
  <c r="C2454" i="62917"/>
  <c r="C2452" i="62917"/>
  <c r="C2459" i="62917"/>
  <c r="C2451" i="62917"/>
  <c r="C2453" i="62917"/>
  <c r="C2457" i="62917"/>
  <c r="C2462" i="62917"/>
  <c r="C2449" i="62917"/>
  <c r="C2455" i="62917"/>
  <c r="C2460" i="62917"/>
  <c r="I44" i="9"/>
  <c r="BK44" i="9" s="1"/>
  <c r="AD44" i="9" s="1"/>
  <c r="C301" i="62921"/>
  <c r="C300" i="62921"/>
  <c r="C299" i="62921"/>
  <c r="C298" i="62921"/>
  <c r="E529" i="62922"/>
  <c r="D529" i="62922" s="1"/>
  <c r="C414" i="62921"/>
  <c r="D140" i="62918"/>
  <c r="D188" i="62919"/>
  <c r="C188" i="62919" s="1"/>
  <c r="C187" i="62919"/>
  <c r="D1052" i="62919"/>
  <c r="D2467" i="62917"/>
  <c r="D2468" i="62917" s="1"/>
  <c r="C2468" i="62917" s="1"/>
  <c r="C959" i="62919"/>
  <c r="C962" i="62919"/>
  <c r="C963" i="62919"/>
  <c r="C961" i="62919"/>
  <c r="C957" i="62919"/>
  <c r="C958" i="62919"/>
  <c r="C956" i="62919"/>
  <c r="C960" i="62919"/>
  <c r="H55" i="11"/>
  <c r="K55" i="11" s="1"/>
  <c r="AL55" i="11"/>
  <c r="H57" i="11"/>
  <c r="K57" i="11" s="1"/>
  <c r="AL57" i="11"/>
  <c r="H56" i="11"/>
  <c r="K56" i="11" s="1"/>
  <c r="AL56" i="11"/>
  <c r="D1501" i="62917"/>
  <c r="E1505" i="62917"/>
  <c r="E1506" i="62917" s="1"/>
  <c r="E1507" i="62917" s="1"/>
  <c r="E1508" i="62917" s="1"/>
  <c r="E1509" i="62917" s="1"/>
  <c r="E1510" i="62917" s="1"/>
  <c r="E1511" i="62917" s="1"/>
  <c r="E1512" i="62917" s="1"/>
  <c r="E1513" i="62917" s="1"/>
  <c r="E1514" i="62917" s="1"/>
  <c r="E1515" i="62917" s="1"/>
  <c r="E1516" i="62917" s="1"/>
  <c r="E1517" i="62917" s="1"/>
  <c r="E1518" i="62917" s="1"/>
  <c r="E1519" i="62917" s="1"/>
  <c r="E1520" i="62917" s="1"/>
  <c r="E1521" i="62917" s="1"/>
  <c r="E1522" i="62917" s="1"/>
  <c r="E1523" i="62917" s="1"/>
  <c r="E1524" i="62917" s="1"/>
  <c r="E1525" i="62917" s="1"/>
  <c r="E1526" i="62917" s="1"/>
  <c r="E1527" i="62917" s="1"/>
  <c r="E1528" i="62917" s="1"/>
  <c r="E1529" i="62917" s="1"/>
  <c r="E1530" i="62917" s="1"/>
  <c r="E1531" i="62917" s="1"/>
  <c r="E1532" i="62917" s="1"/>
  <c r="E1533" i="62917" s="1"/>
  <c r="E1534" i="62917" s="1"/>
  <c r="E1535" i="62917" s="1"/>
  <c r="E1536" i="62917" s="1"/>
  <c r="E1537" i="62917" s="1"/>
  <c r="E1538" i="62917" s="1"/>
  <c r="E1539" i="62917" s="1"/>
  <c r="E1540" i="62917" s="1"/>
  <c r="E1541" i="62917" s="1"/>
  <c r="E1542" i="62917" s="1"/>
  <c r="E1543" i="62917" s="1"/>
  <c r="E1544" i="62917" s="1"/>
  <c r="E1545" i="62917" s="1"/>
  <c r="E1546" i="62917" s="1"/>
  <c r="E1547" i="62917" s="1"/>
  <c r="E1548" i="62917" s="1"/>
  <c r="E1549" i="62917" s="1"/>
  <c r="E1550" i="62917" s="1"/>
  <c r="E1551" i="62917" s="1"/>
  <c r="E1552" i="62917" s="1"/>
  <c r="E1553" i="62917" s="1"/>
  <c r="E1554" i="62917" s="1"/>
  <c r="E1555" i="62917" s="1"/>
  <c r="E1556" i="62917" s="1"/>
  <c r="E1557" i="62917" s="1"/>
  <c r="E1558" i="62917" s="1"/>
  <c r="E1559" i="62917" s="1"/>
  <c r="E1560" i="62917" s="1"/>
  <c r="E1561" i="62917" s="1"/>
  <c r="E1562" i="62917" s="1"/>
  <c r="E1563" i="62917" s="1"/>
  <c r="E1564" i="62917" s="1"/>
  <c r="E1565" i="62917" s="1"/>
  <c r="E1566" i="62917" s="1"/>
  <c r="E1567" i="62917" s="1"/>
  <c r="E1568" i="62917" s="1"/>
  <c r="E1569" i="62917" s="1"/>
  <c r="E1570" i="62917" s="1"/>
  <c r="E1571" i="62917" s="1"/>
  <c r="E1572" i="62917" s="1"/>
  <c r="E1573" i="62917" s="1"/>
  <c r="E1574" i="62917" s="1"/>
  <c r="E1575" i="62917" s="1"/>
  <c r="E1576" i="62917" s="1"/>
  <c r="E1577" i="62917" s="1"/>
  <c r="E1578" i="62917" s="1"/>
  <c r="E1579" i="62917" s="1"/>
  <c r="E1580" i="62917" s="1"/>
  <c r="C592" i="62917" l="1"/>
  <c r="E61" i="62921"/>
  <c r="D60" i="62921"/>
  <c r="D1996" i="62917"/>
  <c r="D360" i="62923"/>
  <c r="D361" i="62923" s="1"/>
  <c r="D362" i="62923" s="1"/>
  <c r="D363" i="62923" s="1"/>
  <c r="D364" i="62923" s="1"/>
  <c r="D365" i="62923" s="1"/>
  <c r="D366" i="62923" s="1"/>
  <c r="D367" i="62923" s="1"/>
  <c r="D368" i="62923" s="1"/>
  <c r="D369" i="62923" s="1"/>
  <c r="D370" i="62923" s="1"/>
  <c r="D371" i="62923" s="1"/>
  <c r="D372" i="62923" s="1"/>
  <c r="D373" i="62923" s="1"/>
  <c r="D374" i="62923" s="1"/>
  <c r="D375" i="62923" s="1"/>
  <c r="D309" i="62923"/>
  <c r="E310" i="62923"/>
  <c r="D176" i="62917"/>
  <c r="D1783" i="62919"/>
  <c r="E593" i="62917"/>
  <c r="E594" i="62917" s="1"/>
  <c r="E595" i="62917" s="1"/>
  <c r="E596" i="62917" s="1"/>
  <c r="E597" i="62917" s="1"/>
  <c r="E598" i="62917" s="1"/>
  <c r="E599" i="62917" s="1"/>
  <c r="E600" i="62917" s="1"/>
  <c r="E601" i="62917" s="1"/>
  <c r="E602" i="62917" s="1"/>
  <c r="E603" i="62917" s="1"/>
  <c r="E604" i="62917" s="1"/>
  <c r="E605" i="62917" s="1"/>
  <c r="E606" i="62917" s="1"/>
  <c r="E607" i="62917" s="1"/>
  <c r="E608" i="62917" s="1"/>
  <c r="E609" i="62917" s="1"/>
  <c r="E610" i="62917" s="1"/>
  <c r="E611" i="62917" s="1"/>
  <c r="E612" i="62917" s="1"/>
  <c r="E613" i="62917" s="1"/>
  <c r="E614" i="62917" s="1"/>
  <c r="E615" i="62917" s="1"/>
  <c r="E616" i="62917" s="1"/>
  <c r="E617" i="62917" s="1"/>
  <c r="E618" i="62917" s="1"/>
  <c r="E619" i="62917" s="1"/>
  <c r="E620" i="62917" s="1"/>
  <c r="E621" i="62917" s="1"/>
  <c r="E622" i="62917" s="1"/>
  <c r="E623" i="62917" s="1"/>
  <c r="E624" i="62917" s="1"/>
  <c r="E625" i="62917" s="1"/>
  <c r="E626" i="62917" s="1"/>
  <c r="E627" i="62917" s="1"/>
  <c r="E628" i="62917" s="1"/>
  <c r="E629" i="62917" s="1"/>
  <c r="E630" i="62917" s="1"/>
  <c r="E631" i="62917" s="1"/>
  <c r="E632" i="62917" s="1"/>
  <c r="E633" i="62917" s="1"/>
  <c r="E634" i="62917" s="1"/>
  <c r="E635" i="62917" s="1"/>
  <c r="E636" i="62917" s="1"/>
  <c r="E637" i="62917" s="1"/>
  <c r="E638" i="62917" s="1"/>
  <c r="E639" i="62917" s="1"/>
  <c r="E640" i="62917" s="1"/>
  <c r="E641" i="62917" s="1"/>
  <c r="E642" i="62917" s="1"/>
  <c r="E643" i="62917" s="1"/>
  <c r="E644" i="62917" s="1"/>
  <c r="E645" i="62917" s="1"/>
  <c r="E646" i="62917" s="1"/>
  <c r="E647" i="62917" s="1"/>
  <c r="E648" i="62917" s="1"/>
  <c r="E649" i="62917" s="1"/>
  <c r="E650" i="62917" s="1"/>
  <c r="E651" i="62917" s="1"/>
  <c r="E652" i="62917" s="1"/>
  <c r="E653" i="62917" s="1"/>
  <c r="E654" i="62917" s="1"/>
  <c r="E655" i="62917" s="1"/>
  <c r="E656" i="62917" s="1"/>
  <c r="E657" i="62917" s="1"/>
  <c r="E658" i="62917" s="1"/>
  <c r="E659" i="62917" s="1"/>
  <c r="E660" i="62917" s="1"/>
  <c r="E661" i="62917" s="1"/>
  <c r="E662" i="62917" s="1"/>
  <c r="E663" i="62917" s="1"/>
  <c r="E664" i="62917" s="1"/>
  <c r="E665" i="62917" s="1"/>
  <c r="E666" i="62917" s="1"/>
  <c r="E667" i="62917" s="1"/>
  <c r="E670" i="62917" s="1"/>
  <c r="H44" i="9"/>
  <c r="AD47" i="9"/>
  <c r="Y44" i="9"/>
  <c r="C14" i="62922"/>
  <c r="D141" i="62918"/>
  <c r="C141" i="62918" s="1"/>
  <c r="C140" i="62918"/>
  <c r="C2467" i="62917"/>
  <c r="D189" i="62919"/>
  <c r="D1053" i="62919"/>
  <c r="D2469" i="62917"/>
  <c r="T57" i="11"/>
  <c r="V57" i="11" s="1"/>
  <c r="M56" i="11"/>
  <c r="D56" i="11" s="1"/>
  <c r="X56" i="11"/>
  <c r="AF56" i="11" s="1"/>
  <c r="T56" i="11"/>
  <c r="V56" i="11" s="1"/>
  <c r="Q56" i="11" s="1"/>
  <c r="M57" i="11"/>
  <c r="D57" i="11" s="1"/>
  <c r="X57" i="11"/>
  <c r="AF57" i="11" s="1"/>
  <c r="M55" i="11"/>
  <c r="T55" i="11"/>
  <c r="X55" i="11"/>
  <c r="K59" i="11"/>
  <c r="D1502" i="62917"/>
  <c r="D1503" i="62917" s="1"/>
  <c r="D1504" i="62917" s="1"/>
  <c r="C1501" i="62917"/>
  <c r="E532" i="62922" l="1"/>
  <c r="E530" i="62922"/>
  <c r="D530" i="62922" s="1"/>
  <c r="E531" i="62922"/>
  <c r="D531" i="62922" s="1"/>
  <c r="E535" i="62922"/>
  <c r="E538" i="62922"/>
  <c r="E540" i="62922"/>
  <c r="E537" i="62922"/>
  <c r="E539" i="62922"/>
  <c r="E533" i="62922"/>
  <c r="E536" i="62922"/>
  <c r="E534" i="62922"/>
  <c r="E541" i="62922"/>
  <c r="D61" i="62921"/>
  <c r="E62" i="62921"/>
  <c r="D1997" i="62917"/>
  <c r="D1998" i="62917" s="1"/>
  <c r="D1999" i="62917" s="1"/>
  <c r="D2000" i="62917" s="1"/>
  <c r="D2001" i="62917" s="1"/>
  <c r="D2002" i="62917" s="1"/>
  <c r="D2003" i="62917" s="1"/>
  <c r="D2004" i="62917" s="1"/>
  <c r="D2005" i="62917" s="1"/>
  <c r="D2006" i="62917" s="1"/>
  <c r="D2007" i="62917" s="1"/>
  <c r="D2008" i="62917" s="1"/>
  <c r="D2009" i="62917" s="1"/>
  <c r="D2010" i="62917" s="1"/>
  <c r="D2011" i="62917" s="1"/>
  <c r="D2012" i="62917" s="1"/>
  <c r="D2013" i="62917" s="1"/>
  <c r="D2014" i="62917" s="1"/>
  <c r="D2015" i="62917" s="1"/>
  <c r="D2016" i="62917" s="1"/>
  <c r="D2017" i="62917" s="1"/>
  <c r="D2018" i="62917" s="1"/>
  <c r="D2019" i="62917" s="1"/>
  <c r="D2020" i="62917" s="1"/>
  <c r="D2021" i="62917" s="1"/>
  <c r="D2022" i="62917" s="1"/>
  <c r="D2023" i="62917" s="1"/>
  <c r="D2024" i="62917" s="1"/>
  <c r="D2025" i="62917" s="1"/>
  <c r="D2026" i="62917" s="1"/>
  <c r="D2027" i="62917" s="1"/>
  <c r="D2028" i="62917" s="1"/>
  <c r="D2029" i="62917" s="1"/>
  <c r="D2030" i="62917" s="1"/>
  <c r="D2031" i="62917" s="1"/>
  <c r="D2032" i="62917" s="1"/>
  <c r="D2033" i="62917" s="1"/>
  <c r="D2034" i="62917" s="1"/>
  <c r="D2035" i="62917" s="1"/>
  <c r="D2036" i="62917" s="1"/>
  <c r="D2037" i="62917" s="1"/>
  <c r="D2038" i="62917" s="1"/>
  <c r="D2039" i="62917" s="1"/>
  <c r="D2040" i="62917" s="1"/>
  <c r="D2041" i="62917" s="1"/>
  <c r="D2042" i="62917" s="1"/>
  <c r="D2043" i="62917" s="1"/>
  <c r="D2044" i="62917" s="1"/>
  <c r="D2045" i="62917" s="1"/>
  <c r="D2046" i="62917" s="1"/>
  <c r="D2047" i="62917" s="1"/>
  <c r="D2048" i="62917" s="1"/>
  <c r="D2049" i="62917" s="1"/>
  <c r="D2050" i="62917" s="1"/>
  <c r="D2051" i="62917" s="1"/>
  <c r="D2052" i="62917" s="1"/>
  <c r="D2053" i="62917" s="1"/>
  <c r="D2054" i="62917" s="1"/>
  <c r="D2055" i="62917" s="1"/>
  <c r="D2056" i="62917" s="1"/>
  <c r="D2057" i="62917" s="1"/>
  <c r="D2058" i="62917" s="1"/>
  <c r="D2059" i="62917" s="1"/>
  <c r="D2060" i="62917" s="1"/>
  <c r="D2061" i="62917" s="1"/>
  <c r="D2062" i="62917" s="1"/>
  <c r="D2063" i="62917" s="1"/>
  <c r="D2064" i="62917" s="1"/>
  <c r="D2065" i="62917" s="1"/>
  <c r="D2066" i="62917" s="1"/>
  <c r="D2067" i="62917" s="1"/>
  <c r="D2068" i="62917" s="1"/>
  <c r="D2069" i="62917" s="1"/>
  <c r="D2070" i="62917" s="1"/>
  <c r="D2071" i="62917" s="1"/>
  <c r="D2072" i="62917" s="1"/>
  <c r="D2073" i="62917" s="1"/>
  <c r="D2074" i="62917" s="1"/>
  <c r="D2075" i="62917" s="1"/>
  <c r="D2076" i="62917" s="1"/>
  <c r="D2077" i="62917" s="1"/>
  <c r="D2078" i="62917" s="1"/>
  <c r="D2079" i="62917" s="1"/>
  <c r="D2080" i="62917" s="1"/>
  <c r="D2081" i="62917" s="1"/>
  <c r="D2082" i="62917" s="1"/>
  <c r="D2083" i="62917" s="1"/>
  <c r="D2084" i="62917" s="1"/>
  <c r="D2085" i="62917" s="1"/>
  <c r="D2086" i="62917" s="1"/>
  <c r="D2087" i="62917" s="1"/>
  <c r="D2088" i="62917" s="1"/>
  <c r="D2089" i="62917" s="1"/>
  <c r="D2090" i="62917" s="1"/>
  <c r="D2091" i="62917" s="1"/>
  <c r="D2092" i="62917" s="1"/>
  <c r="D2093" i="62917" s="1"/>
  <c r="D2094" i="62917" s="1"/>
  <c r="D2095" i="62917" s="1"/>
  <c r="D2096" i="62917" s="1"/>
  <c r="D2097" i="62917" s="1"/>
  <c r="D2098" i="62917" s="1"/>
  <c r="D2099" i="62917" s="1"/>
  <c r="D2100" i="62917" s="1"/>
  <c r="D2101" i="62917" s="1"/>
  <c r="D2102" i="62917" s="1"/>
  <c r="D2103" i="62917" s="1"/>
  <c r="D2104" i="62917" s="1"/>
  <c r="D2105" i="62917" s="1"/>
  <c r="D2106" i="62917" s="1"/>
  <c r="D2107" i="62917" s="1"/>
  <c r="D2108" i="62917" s="1"/>
  <c r="D2109" i="62917" s="1"/>
  <c r="D2110" i="62917" s="1"/>
  <c r="D2111" i="62917" s="1"/>
  <c r="D2112" i="62917" s="1"/>
  <c r="D2113" i="62917" s="1"/>
  <c r="D2114" i="62917" s="1"/>
  <c r="D2115" i="62917" s="1"/>
  <c r="D2116" i="62917" s="1"/>
  <c r="D2117" i="62917" s="1"/>
  <c r="D2118" i="62917" s="1"/>
  <c r="D2119" i="62917" s="1"/>
  <c r="D2120" i="62917" s="1"/>
  <c r="D2121" i="62917" s="1"/>
  <c r="D2122" i="62917" s="1"/>
  <c r="D2123" i="62917" s="1"/>
  <c r="D2124" i="62917" s="1"/>
  <c r="D2125" i="62917" s="1"/>
  <c r="D2126" i="62917" s="1"/>
  <c r="D2127" i="62917" s="1"/>
  <c r="D2128" i="62917" s="1"/>
  <c r="D2129" i="62917" s="1"/>
  <c r="D2130" i="62917" s="1"/>
  <c r="D2131" i="62917" s="1"/>
  <c r="D2132" i="62917" s="1"/>
  <c r="D2133" i="62917" s="1"/>
  <c r="D2134" i="62917" s="1"/>
  <c r="D2135" i="62917" s="1"/>
  <c r="D2136" i="62917" s="1"/>
  <c r="D2137" i="62917" s="1"/>
  <c r="D2138" i="62917" s="1"/>
  <c r="D2139" i="62917" s="1"/>
  <c r="D2140" i="62917" s="1"/>
  <c r="D2141" i="62917" s="1"/>
  <c r="D2142" i="62917" s="1"/>
  <c r="D2143" i="62917" s="1"/>
  <c r="D2144" i="62917" s="1"/>
  <c r="D2145" i="62917" s="1"/>
  <c r="D2146" i="62917" s="1"/>
  <c r="D2147" i="62917" s="1"/>
  <c r="D2148" i="62917" s="1"/>
  <c r="D2149" i="62917" s="1"/>
  <c r="D2150" i="62917" s="1"/>
  <c r="D2151" i="62917" s="1"/>
  <c r="C360" i="62923"/>
  <c r="C371" i="62923"/>
  <c r="C368" i="62923"/>
  <c r="C364" i="62923"/>
  <c r="C363" i="62923"/>
  <c r="C375" i="62923"/>
  <c r="C369" i="62923"/>
  <c r="C365" i="62923"/>
  <c r="C361" i="62923"/>
  <c r="C362" i="62923"/>
  <c r="C354" i="62923"/>
  <c r="C358" i="62923"/>
  <c r="C356" i="62923"/>
  <c r="C353" i="62923"/>
  <c r="C357" i="62923"/>
  <c r="C359" i="62923"/>
  <c r="C367" i="62923"/>
  <c r="C373" i="62923"/>
  <c r="C370" i="62923"/>
  <c r="C366" i="62923"/>
  <c r="C355" i="62923"/>
  <c r="C372" i="62923"/>
  <c r="C374" i="62923"/>
  <c r="D310" i="62923"/>
  <c r="C281" i="62923"/>
  <c r="E311" i="62923"/>
  <c r="E313" i="62923"/>
  <c r="E312" i="62923"/>
  <c r="D177" i="62917"/>
  <c r="D670" i="62917"/>
  <c r="C1503" i="62917"/>
  <c r="D1784" i="62919"/>
  <c r="D1785" i="62919" s="1"/>
  <c r="D1786" i="62919" s="1"/>
  <c r="D1787" i="62919" s="1"/>
  <c r="D1788" i="62919" s="1"/>
  <c r="D1789" i="62919" s="1"/>
  <c r="D1790" i="62919" s="1"/>
  <c r="D1791" i="62919" s="1"/>
  <c r="D1792" i="62919" s="1"/>
  <c r="D1793" i="62919" s="1"/>
  <c r="D1794" i="62919" s="1"/>
  <c r="D1795" i="62919" s="1"/>
  <c r="D1796" i="62919" s="1"/>
  <c r="D1797" i="62919" s="1"/>
  <c r="D1798" i="62919" s="1"/>
  <c r="D1799" i="62919" s="1"/>
  <c r="D1800" i="62919" s="1"/>
  <c r="D1801" i="62919" s="1"/>
  <c r="D1802" i="62919" s="1"/>
  <c r="D1803" i="62919" s="1"/>
  <c r="D1804" i="62919" s="1"/>
  <c r="D1805" i="62919" s="1"/>
  <c r="D1806" i="62919" s="1"/>
  <c r="D1807" i="62919" s="1"/>
  <c r="D1808" i="62919" s="1"/>
  <c r="D1809" i="62919" s="1"/>
  <c r="D1810" i="62919" s="1"/>
  <c r="D1811" i="62919" s="1"/>
  <c r="D1812" i="62919" s="1"/>
  <c r="D1813" i="62919" s="1"/>
  <c r="D1814" i="62919" s="1"/>
  <c r="D1815" i="62919" s="1"/>
  <c r="D1816" i="62919" s="1"/>
  <c r="D1817" i="62919" s="1"/>
  <c r="D1818" i="62919" s="1"/>
  <c r="D1819" i="62919" s="1"/>
  <c r="D1820" i="62919" s="1"/>
  <c r="D1821" i="62919" s="1"/>
  <c r="D1822" i="62919" s="1"/>
  <c r="D1823" i="62919" s="1"/>
  <c r="D1824" i="62919" s="1"/>
  <c r="D1825" i="62919" s="1"/>
  <c r="D1826" i="62919" s="1"/>
  <c r="D1827" i="62919" s="1"/>
  <c r="D1828" i="62919" s="1"/>
  <c r="D1829" i="62919" s="1"/>
  <c r="D1830" i="62919" s="1"/>
  <c r="D1831" i="62919" s="1"/>
  <c r="D1832" i="62919" s="1"/>
  <c r="D1833" i="62919" s="1"/>
  <c r="D1834" i="62919" s="1"/>
  <c r="D1835" i="62919" s="1"/>
  <c r="D1836" i="62919" s="1"/>
  <c r="D1837" i="62919" s="1"/>
  <c r="D1838" i="62919" s="1"/>
  <c r="D1839" i="62919" s="1"/>
  <c r="D1840" i="62919" s="1"/>
  <c r="D1841" i="62919" s="1"/>
  <c r="D1842" i="62919" s="1"/>
  <c r="D1843" i="62919" s="1"/>
  <c r="D1844" i="62919" s="1"/>
  <c r="D1845" i="62919" s="1"/>
  <c r="D1846" i="62919" s="1"/>
  <c r="D1847" i="62919" s="1"/>
  <c r="D1848" i="62919" s="1"/>
  <c r="D1849" i="62919" s="1"/>
  <c r="D1850" i="62919" s="1"/>
  <c r="D1851" i="62919" s="1"/>
  <c r="D1852" i="62919" s="1"/>
  <c r="D1853" i="62919" s="1"/>
  <c r="C1795" i="62919" s="1"/>
  <c r="E671" i="62917"/>
  <c r="E672" i="62917" s="1"/>
  <c r="E673" i="62917" s="1"/>
  <c r="E674" i="62917" s="1"/>
  <c r="E675" i="62917" s="1"/>
  <c r="E676" i="62917" s="1"/>
  <c r="E677" i="62917" s="1"/>
  <c r="E678" i="62917" s="1"/>
  <c r="E679" i="62917" s="1"/>
  <c r="E680" i="62917" s="1"/>
  <c r="E681" i="62917" s="1"/>
  <c r="E682" i="62917" s="1"/>
  <c r="E683" i="62917" s="1"/>
  <c r="E684" i="62917" s="1"/>
  <c r="E685" i="62917" s="1"/>
  <c r="E686" i="62917" s="1"/>
  <c r="E687" i="62917" s="1"/>
  <c r="E688" i="62917" s="1"/>
  <c r="E689" i="62917" s="1"/>
  <c r="E690" i="62917" s="1"/>
  <c r="E691" i="62917" s="1"/>
  <c r="E692" i="62917" s="1"/>
  <c r="E693" i="62917" s="1"/>
  <c r="E694" i="62917" s="1"/>
  <c r="E695" i="62917" s="1"/>
  <c r="E696" i="62917" s="1"/>
  <c r="D593" i="62917"/>
  <c r="N329" i="9" a="1"/>
  <c r="N329" i="9" s="1"/>
  <c r="I265" i="9"/>
  <c r="H250" i="9"/>
  <c r="K298" i="9"/>
  <c r="Y47" i="9"/>
  <c r="D142" i="62918"/>
  <c r="Q57" i="11"/>
  <c r="D1054" i="62919"/>
  <c r="D1055" i="62919" s="1"/>
  <c r="D1056" i="62919" s="1"/>
  <c r="D1057" i="62919" s="1"/>
  <c r="D1058" i="62919" s="1"/>
  <c r="D1059" i="62919" s="1"/>
  <c r="D1060" i="62919" s="1"/>
  <c r="D1061" i="62919" s="1"/>
  <c r="D1062" i="62919" s="1"/>
  <c r="D1063" i="62919" s="1"/>
  <c r="D1064" i="62919" s="1"/>
  <c r="D1065" i="62919" s="1"/>
  <c r="D1066" i="62919" s="1"/>
  <c r="D1067" i="62919" s="1"/>
  <c r="D1068" i="62919" s="1"/>
  <c r="D1069" i="62919" s="1"/>
  <c r="D1070" i="62919" s="1"/>
  <c r="D190" i="62919"/>
  <c r="C189" i="62919"/>
  <c r="D2470" i="62917"/>
  <c r="C2469" i="62917"/>
  <c r="D90" i="11"/>
  <c r="D80" i="11"/>
  <c r="D81" i="11" s="1"/>
  <c r="V55" i="11"/>
  <c r="T59" i="11"/>
  <c r="AF55" i="11"/>
  <c r="AF59" i="11" s="1"/>
  <c r="X59" i="11"/>
  <c r="D55" i="11"/>
  <c r="D59" i="11" s="1"/>
  <c r="M59" i="11"/>
  <c r="F80" i="11" s="1"/>
  <c r="D1505" i="62917"/>
  <c r="D1506" i="62917" s="1"/>
  <c r="D1507" i="62917" s="1"/>
  <c r="D1508" i="62917" s="1"/>
  <c r="D1509" i="62917" s="1"/>
  <c r="D1510" i="62917" s="1"/>
  <c r="D1511" i="62917" s="1"/>
  <c r="D1512" i="62917" s="1"/>
  <c r="D1513" i="62917" s="1"/>
  <c r="D1514" i="62917" s="1"/>
  <c r="D1515" i="62917" s="1"/>
  <c r="D1516" i="62917" s="1"/>
  <c r="D1517" i="62917" s="1"/>
  <c r="D1518" i="62917" s="1"/>
  <c r="D1519" i="62917" s="1"/>
  <c r="D1520" i="62917" s="1"/>
  <c r="D1521" i="62917" s="1"/>
  <c r="D1522" i="62917" s="1"/>
  <c r="D1523" i="62917" s="1"/>
  <c r="D1524" i="62917" s="1"/>
  <c r="D1525" i="62917" s="1"/>
  <c r="D1526" i="62917" s="1"/>
  <c r="D1527" i="62917" s="1"/>
  <c r="D1528" i="62917" s="1"/>
  <c r="D1529" i="62917" s="1"/>
  <c r="D1530" i="62917" s="1"/>
  <c r="D1531" i="62917" s="1"/>
  <c r="D1532" i="62917" s="1"/>
  <c r="D1533" i="62917" s="1"/>
  <c r="D1534" i="62917" s="1"/>
  <c r="D1535" i="62917" s="1"/>
  <c r="D1536" i="62917" s="1"/>
  <c r="D1537" i="62917" s="1"/>
  <c r="D1538" i="62917" s="1"/>
  <c r="D1539" i="62917" s="1"/>
  <c r="D1540" i="62917" s="1"/>
  <c r="D1541" i="62917" s="1"/>
  <c r="D1542" i="62917" s="1"/>
  <c r="D1543" i="62917" s="1"/>
  <c r="D1544" i="62917" s="1"/>
  <c r="D1545" i="62917" s="1"/>
  <c r="D1546" i="62917" s="1"/>
  <c r="D1547" i="62917" s="1"/>
  <c r="D1548" i="62917" s="1"/>
  <c r="D1549" i="62917" s="1"/>
  <c r="D1550" i="62917" s="1"/>
  <c r="D1551" i="62917" s="1"/>
  <c r="D1552" i="62917" s="1"/>
  <c r="D1553" i="62917" s="1"/>
  <c r="D1554" i="62917" s="1"/>
  <c r="D1555" i="62917" s="1"/>
  <c r="D1556" i="62917" s="1"/>
  <c r="D1557" i="62917" s="1"/>
  <c r="D1558" i="62917" s="1"/>
  <c r="D1559" i="62917" s="1"/>
  <c r="D1560" i="62917" s="1"/>
  <c r="D1561" i="62917" s="1"/>
  <c r="D1562" i="62917" s="1"/>
  <c r="D1563" i="62917" s="1"/>
  <c r="D1564" i="62917" s="1"/>
  <c r="D1565" i="62917" s="1"/>
  <c r="D1566" i="62917" s="1"/>
  <c r="D1567" i="62917" s="1"/>
  <c r="D1568" i="62917" s="1"/>
  <c r="D1569" i="62917" s="1"/>
  <c r="D1570" i="62917" s="1"/>
  <c r="D1571" i="62917" s="1"/>
  <c r="D1572" i="62917" s="1"/>
  <c r="D1573" i="62917" s="1"/>
  <c r="D1574" i="62917" s="1"/>
  <c r="D1575" i="62917" s="1"/>
  <c r="D1576" i="62917" s="1"/>
  <c r="D1577" i="62917" s="1"/>
  <c r="D1578" i="62917" s="1"/>
  <c r="D1579" i="62917" s="1"/>
  <c r="D1580" i="62917" s="1"/>
  <c r="C1504" i="62917"/>
  <c r="C1502" i="62917"/>
  <c r="C670" i="62917" l="1"/>
  <c r="D533" i="62922"/>
  <c r="D535" i="62922" s="1"/>
  <c r="D537" i="62922" s="1"/>
  <c r="D539" i="62922" s="1"/>
  <c r="D541" i="62922" s="1"/>
  <c r="D532" i="62922"/>
  <c r="D534" i="62922" s="1"/>
  <c r="D536" i="62922" s="1"/>
  <c r="D538" i="62922" s="1"/>
  <c r="D540" i="62922" s="1"/>
  <c r="C524" i="62922"/>
  <c r="E63" i="62921"/>
  <c r="D62" i="62921"/>
  <c r="C1999" i="62917"/>
  <c r="C2024" i="62917"/>
  <c r="C2019" i="62917"/>
  <c r="C2018" i="62917"/>
  <c r="C2040" i="62917"/>
  <c r="C2045" i="62917"/>
  <c r="C2008" i="62917"/>
  <c r="C1998" i="62917"/>
  <c r="C2005" i="62917"/>
  <c r="C2003" i="62917"/>
  <c r="C2012" i="62917"/>
  <c r="C2043" i="62917"/>
  <c r="C1990" i="62917"/>
  <c r="C2027" i="62917"/>
  <c r="C2032" i="62917"/>
  <c r="C2001" i="62917"/>
  <c r="C2007" i="62917"/>
  <c r="C2031" i="62917"/>
  <c r="C2011" i="62917"/>
  <c r="C1994" i="62917"/>
  <c r="C2006" i="62917"/>
  <c r="C2029" i="62917"/>
  <c r="C2022" i="62917"/>
  <c r="C2015" i="62917"/>
  <c r="C2023" i="62917"/>
  <c r="C2038" i="62917"/>
  <c r="C2039" i="62917"/>
  <c r="C2042" i="62917"/>
  <c r="C2014" i="62917"/>
  <c r="C2034" i="62917"/>
  <c r="C2004" i="62917"/>
  <c r="C2033" i="62917"/>
  <c r="C2000" i="62917"/>
  <c r="C2025" i="62917"/>
  <c r="C2028" i="62917"/>
  <c r="C2009" i="62917"/>
  <c r="C2046" i="62917"/>
  <c r="C2030" i="62917"/>
  <c r="C2020" i="62917"/>
  <c r="C2016" i="62917"/>
  <c r="C2002" i="62917"/>
  <c r="C1996" i="62917"/>
  <c r="C1991" i="62917"/>
  <c r="C2021" i="62917"/>
  <c r="C1997" i="62917"/>
  <c r="C2037" i="62917"/>
  <c r="C1995" i="62917"/>
  <c r="C1993" i="62917"/>
  <c r="C2010" i="62917"/>
  <c r="C2026" i="62917"/>
  <c r="C2041" i="62917"/>
  <c r="C2017" i="62917"/>
  <c r="C1992" i="62917"/>
  <c r="C2036" i="62917"/>
  <c r="C2035" i="62917"/>
  <c r="C2044" i="62917"/>
  <c r="C2013" i="62917"/>
  <c r="D311" i="62923"/>
  <c r="C280" i="62923"/>
  <c r="C278" i="62923"/>
  <c r="C276" i="62923"/>
  <c r="C277" i="62923"/>
  <c r="C279" i="62923"/>
  <c r="D178" i="62917"/>
  <c r="D594" i="62917"/>
  <c r="D595" i="62917" s="1"/>
  <c r="D596" i="62917" s="1"/>
  <c r="D597" i="62917" s="1"/>
  <c r="D598" i="62917" s="1"/>
  <c r="D599" i="62917" s="1"/>
  <c r="D600" i="62917" s="1"/>
  <c r="D601" i="62917" s="1"/>
  <c r="D602" i="62917" s="1"/>
  <c r="D603" i="62917" s="1"/>
  <c r="D604" i="62917" s="1"/>
  <c r="D605" i="62917" s="1"/>
  <c r="D606" i="62917" s="1"/>
  <c r="D607" i="62917" s="1"/>
  <c r="D608" i="62917" s="1"/>
  <c r="D609" i="62917" s="1"/>
  <c r="D610" i="62917" s="1"/>
  <c r="D611" i="62917" s="1"/>
  <c r="D612" i="62917" s="1"/>
  <c r="D613" i="62917" s="1"/>
  <c r="D614" i="62917" s="1"/>
  <c r="D615" i="62917" s="1"/>
  <c r="D616" i="62917" s="1"/>
  <c r="D617" i="62917" s="1"/>
  <c r="D618" i="62917" s="1"/>
  <c r="D619" i="62917" s="1"/>
  <c r="D620" i="62917" s="1"/>
  <c r="D621" i="62917" s="1"/>
  <c r="D622" i="62917" s="1"/>
  <c r="D623" i="62917" s="1"/>
  <c r="D624" i="62917" s="1"/>
  <c r="D625" i="62917" s="1"/>
  <c r="D626" i="62917" s="1"/>
  <c r="D627" i="62917" s="1"/>
  <c r="D628" i="62917" s="1"/>
  <c r="D629" i="62917" s="1"/>
  <c r="D630" i="62917" s="1"/>
  <c r="D631" i="62917" s="1"/>
  <c r="D632" i="62917" s="1"/>
  <c r="D633" i="62917" s="1"/>
  <c r="D634" i="62917" s="1"/>
  <c r="D635" i="62917" s="1"/>
  <c r="D636" i="62917" s="1"/>
  <c r="D637" i="62917" s="1"/>
  <c r="D638" i="62917" s="1"/>
  <c r="D639" i="62917" s="1"/>
  <c r="D640" i="62917" s="1"/>
  <c r="D641" i="62917" s="1"/>
  <c r="D642" i="62917" s="1"/>
  <c r="D643" i="62917" s="1"/>
  <c r="D644" i="62917" s="1"/>
  <c r="D645" i="62917" s="1"/>
  <c r="D646" i="62917" s="1"/>
  <c r="D647" i="62917" s="1"/>
  <c r="D648" i="62917" s="1"/>
  <c r="D649" i="62917" s="1"/>
  <c r="D650" i="62917" s="1"/>
  <c r="D651" i="62917" s="1"/>
  <c r="D652" i="62917" s="1"/>
  <c r="D653" i="62917" s="1"/>
  <c r="D654" i="62917" s="1"/>
  <c r="D655" i="62917" s="1"/>
  <c r="D656" i="62917" s="1"/>
  <c r="D657" i="62917" s="1"/>
  <c r="D658" i="62917" s="1"/>
  <c r="D659" i="62917" s="1"/>
  <c r="D660" i="62917" s="1"/>
  <c r="D661" i="62917" s="1"/>
  <c r="D662" i="62917" s="1"/>
  <c r="D663" i="62917" s="1"/>
  <c r="D664" i="62917" s="1"/>
  <c r="D665" i="62917" s="1"/>
  <c r="D666" i="62917" s="1"/>
  <c r="D667" i="62917" s="1"/>
  <c r="E697" i="62917"/>
  <c r="C1823" i="62919"/>
  <c r="C1821" i="62919"/>
  <c r="C1775" i="62919"/>
  <c r="C1776" i="62919"/>
  <c r="C1813" i="62919"/>
  <c r="C1791" i="62919"/>
  <c r="C1786" i="62919"/>
  <c r="C1773" i="62919"/>
  <c r="C1812" i="62919"/>
  <c r="C1820" i="62919"/>
  <c r="C1788" i="62919"/>
  <c r="C1807" i="62919"/>
  <c r="C1825" i="62919"/>
  <c r="C1811" i="62919"/>
  <c r="C1784" i="62919"/>
  <c r="C1778" i="62919"/>
  <c r="C1818" i="62919"/>
  <c r="C1798" i="62919"/>
  <c r="C1787" i="62919"/>
  <c r="C1806" i="62919"/>
  <c r="C1805" i="62919"/>
  <c r="C1801" i="62919"/>
  <c r="C1799" i="62919"/>
  <c r="C1792" i="62919"/>
  <c r="C1800" i="62919"/>
  <c r="C1808" i="62919"/>
  <c r="C1822" i="62919"/>
  <c r="C1790" i="62919"/>
  <c r="C1777" i="62919"/>
  <c r="C1815" i="62919"/>
  <c r="C1797" i="62919"/>
  <c r="C1779" i="62919"/>
  <c r="C1803" i="62919"/>
  <c r="C1816" i="62919"/>
  <c r="C1819" i="62919"/>
  <c r="C1802" i="62919"/>
  <c r="C1796" i="62919"/>
  <c r="C1809" i="62919"/>
  <c r="C1824" i="62919"/>
  <c r="C1765" i="62919"/>
  <c r="C1764" i="62919"/>
  <c r="C1763" i="62919"/>
  <c r="C1767" i="62919"/>
  <c r="C1766" i="62919"/>
  <c r="C1768" i="62919"/>
  <c r="C1762" i="62919"/>
  <c r="C1769" i="62919"/>
  <c r="C1771" i="62919"/>
  <c r="C1770" i="62919"/>
  <c r="C1782" i="62919"/>
  <c r="C1817" i="62919"/>
  <c r="C1774" i="62919"/>
  <c r="C1814" i="62919"/>
  <c r="C1793" i="62919"/>
  <c r="C1781" i="62919"/>
  <c r="C1780" i="62919"/>
  <c r="C1785" i="62919"/>
  <c r="C1794" i="62919"/>
  <c r="C1783" i="62919"/>
  <c r="C1810" i="62919"/>
  <c r="C1789" i="62919"/>
  <c r="C1804" i="62919"/>
  <c r="C1772" i="62919"/>
  <c r="D671" i="62917"/>
  <c r="D672" i="62917" s="1"/>
  <c r="D673" i="62917" s="1"/>
  <c r="D674" i="62917" s="1"/>
  <c r="D675" i="62917" s="1"/>
  <c r="D676" i="62917" s="1"/>
  <c r="D677" i="62917" s="1"/>
  <c r="D678" i="62917" s="1"/>
  <c r="D679" i="62917" s="1"/>
  <c r="D680" i="62917" s="1"/>
  <c r="D681" i="62917" s="1"/>
  <c r="D682" i="62917" s="1"/>
  <c r="D683" i="62917" s="1"/>
  <c r="D684" i="62917" s="1"/>
  <c r="D685" i="62917" s="1"/>
  <c r="D686" i="62917" s="1"/>
  <c r="D687" i="62917" s="1"/>
  <c r="D688" i="62917" s="1"/>
  <c r="D689" i="62917" s="1"/>
  <c r="D690" i="62917" s="1"/>
  <c r="D691" i="62917" s="1"/>
  <c r="D692" i="62917" s="1"/>
  <c r="D693" i="62917" s="1"/>
  <c r="D694" i="62917" s="1"/>
  <c r="D695" i="62917" s="1"/>
  <c r="D696" i="62917" s="1"/>
  <c r="C1505" i="62917"/>
  <c r="C1554" i="62917"/>
  <c r="C1539" i="62917"/>
  <c r="C1516" i="62917"/>
  <c r="C1545" i="62917"/>
  <c r="C1528" i="62917"/>
  <c r="C1556" i="62917"/>
  <c r="C1564" i="62917"/>
  <c r="C1534" i="62917"/>
  <c r="C1543" i="62917"/>
  <c r="C1525" i="62917"/>
  <c r="C1548" i="62917"/>
  <c r="M364" i="9"/>
  <c r="K21" i="62912"/>
  <c r="K312" i="9"/>
  <c r="I250" i="9"/>
  <c r="H254" i="9"/>
  <c r="F105" i="62892"/>
  <c r="N250" i="9"/>
  <c r="G105" i="62910"/>
  <c r="K250" i="9"/>
  <c r="G173" i="62909"/>
  <c r="I280" i="9"/>
  <c r="J280" i="9" s="1"/>
  <c r="N346" i="9"/>
  <c r="N20" i="62914"/>
  <c r="C1571" i="62917"/>
  <c r="C1566" i="62917"/>
  <c r="C1578" i="62917"/>
  <c r="D143" i="62918"/>
  <c r="C143" i="62918" s="1"/>
  <c r="C142" i="62918"/>
  <c r="D191" i="62919"/>
  <c r="D192" i="62919" s="1"/>
  <c r="D193" i="62919" s="1"/>
  <c r="D194" i="62919" s="1"/>
  <c r="D195" i="62919" s="1"/>
  <c r="D196" i="62919" s="1"/>
  <c r="D197" i="62919" s="1"/>
  <c r="D198" i="62919" s="1"/>
  <c r="D199" i="62919" s="1"/>
  <c r="D200" i="62919" s="1"/>
  <c r="D201" i="62919" s="1"/>
  <c r="D202" i="62919" s="1"/>
  <c r="D203" i="62919" s="1"/>
  <c r="D204" i="62919" s="1"/>
  <c r="D205" i="62919" s="1"/>
  <c r="D206" i="62919" s="1"/>
  <c r="D207" i="62919" s="1"/>
  <c r="D208" i="62919" s="1"/>
  <c r="D209" i="62919" s="1"/>
  <c r="D210" i="62919" s="1"/>
  <c r="D211" i="62919" s="1"/>
  <c r="C206" i="62919" s="1"/>
  <c r="C190" i="62919"/>
  <c r="D1071" i="62919"/>
  <c r="D1072" i="62919" s="1"/>
  <c r="D1073" i="62919" s="1"/>
  <c r="D1074" i="62919" s="1"/>
  <c r="D1075" i="62919" s="1"/>
  <c r="D1076" i="62919" s="1"/>
  <c r="D1077" i="62919" s="1"/>
  <c r="D1078" i="62919" s="1"/>
  <c r="D1079" i="62919" s="1"/>
  <c r="D1080" i="62919" s="1"/>
  <c r="D1081" i="62919" s="1"/>
  <c r="D1082" i="62919" s="1"/>
  <c r="D1083" i="62919" s="1"/>
  <c r="D1084" i="62919" s="1"/>
  <c r="D1085" i="62919" s="1"/>
  <c r="D1086" i="62919" s="1"/>
  <c r="D1087" i="62919" s="1"/>
  <c r="D1088" i="62919" s="1"/>
  <c r="D1089" i="62919" s="1"/>
  <c r="D1090" i="62919" s="1"/>
  <c r="D1091" i="62919" s="1"/>
  <c r="D1092" i="62919" s="1"/>
  <c r="D1093" i="62919" s="1"/>
  <c r="D1094" i="62919" s="1"/>
  <c r="D1095" i="62919" s="1"/>
  <c r="D1096" i="62919" s="1"/>
  <c r="D1097" i="62919" s="1"/>
  <c r="D1098" i="62919" s="1"/>
  <c r="D1099" i="62919" s="1"/>
  <c r="D1100" i="62919" s="1"/>
  <c r="D1101" i="62919" s="1"/>
  <c r="D1102" i="62919" s="1"/>
  <c r="D1103" i="62919" s="1"/>
  <c r="D1104" i="62919" s="1"/>
  <c r="D1105" i="62919" s="1"/>
  <c r="D1106" i="62919" s="1"/>
  <c r="D1107" i="62919" s="1"/>
  <c r="D1108" i="62919" s="1"/>
  <c r="D1109" i="62919" s="1"/>
  <c r="D1110" i="62919" s="1"/>
  <c r="D1111" i="62919" s="1"/>
  <c r="D1112" i="62919" s="1"/>
  <c r="D1113" i="62919" s="1"/>
  <c r="D1114" i="62919" s="1"/>
  <c r="D1115" i="62919" s="1"/>
  <c r="D1116" i="62919" s="1"/>
  <c r="D1117" i="62919" s="1"/>
  <c r="D1118" i="62919" s="1"/>
  <c r="D1119" i="62919" s="1"/>
  <c r="D1120" i="62919" s="1"/>
  <c r="D1121" i="62919" s="1"/>
  <c r="D2471" i="62917"/>
  <c r="C2470" i="62917"/>
  <c r="G80" i="11"/>
  <c r="C64" i="62910"/>
  <c r="C64" i="62892"/>
  <c r="F81" i="11"/>
  <c r="E143" i="11"/>
  <c r="E178" i="11"/>
  <c r="E213" i="11"/>
  <c r="J213" i="11" s="1"/>
  <c r="E112" i="11"/>
  <c r="H90" i="11"/>
  <c r="I90" i="11" s="1"/>
  <c r="K112" i="11"/>
  <c r="N143" i="11"/>
  <c r="M213" i="11"/>
  <c r="M178" i="11"/>
  <c r="Q55" i="11"/>
  <c r="V59" i="11"/>
  <c r="C70" i="62909"/>
  <c r="E90" i="11"/>
  <c r="E95" i="11" s="1"/>
  <c r="D95" i="11"/>
  <c r="C1563" i="62917"/>
  <c r="C1514" i="62917"/>
  <c r="C1526" i="62917"/>
  <c r="C1513" i="62917"/>
  <c r="C1532" i="62917"/>
  <c r="C1529" i="62917"/>
  <c r="C1531" i="62917"/>
  <c r="C1550" i="62917"/>
  <c r="C1562" i="62917"/>
  <c r="C1572" i="62917"/>
  <c r="C1579" i="62917"/>
  <c r="C1573" i="62917"/>
  <c r="C1520" i="62917"/>
  <c r="C1576" i="62917"/>
  <c r="C1570" i="62917"/>
  <c r="C1538" i="62917"/>
  <c r="C1575" i="62917"/>
  <c r="C1544" i="62917"/>
  <c r="C1506" i="62917"/>
  <c r="C1555" i="62917"/>
  <c r="C1523" i="62917"/>
  <c r="C1527" i="62917"/>
  <c r="C1553" i="62917"/>
  <c r="C1559" i="62917"/>
  <c r="C1551" i="62917"/>
  <c r="C1560" i="62917"/>
  <c r="C1517" i="62917"/>
  <c r="C1519" i="62917"/>
  <c r="C1537" i="62917"/>
  <c r="C1542" i="62917"/>
  <c r="C1561" i="62917"/>
  <c r="C1535" i="62917"/>
  <c r="C1549" i="62917"/>
  <c r="C1536" i="62917"/>
  <c r="C1511" i="62917"/>
  <c r="C1515" i="62917"/>
  <c r="C1510" i="62917"/>
  <c r="C1522" i="62917"/>
  <c r="C1508" i="62917"/>
  <c r="C1524" i="62917"/>
  <c r="C1530" i="62917"/>
  <c r="C1567" i="62917"/>
  <c r="C1507" i="62917"/>
  <c r="C1552" i="62917"/>
  <c r="C1509" i="62917"/>
  <c r="C1533" i="62917"/>
  <c r="C1518" i="62917"/>
  <c r="C1577" i="62917"/>
  <c r="C1574" i="62917"/>
  <c r="C1568" i="62917"/>
  <c r="C1540" i="62917"/>
  <c r="C1541" i="62917"/>
  <c r="C1565" i="62917"/>
  <c r="C1580" i="62917"/>
  <c r="C1547" i="62917"/>
  <c r="C1512" i="62917"/>
  <c r="C1546" i="62917"/>
  <c r="C1558" i="62917"/>
  <c r="C1569" i="62917"/>
  <c r="C1521" i="62917"/>
  <c r="C1557" i="62917"/>
  <c r="C674" i="62917" l="1"/>
  <c r="C673" i="62917"/>
  <c r="C672" i="62917"/>
  <c r="C671" i="62917"/>
  <c r="C604" i="62917"/>
  <c r="C595" i="62917"/>
  <c r="C605" i="62917"/>
  <c r="C596" i="62917"/>
  <c r="C602" i="62917"/>
  <c r="C599" i="62917"/>
  <c r="C598" i="62917"/>
  <c r="C593" i="62917"/>
  <c r="C601" i="62917"/>
  <c r="C600" i="62917"/>
  <c r="C606" i="62917"/>
  <c r="C603" i="62917"/>
  <c r="C597" i="62917"/>
  <c r="C594" i="62917"/>
  <c r="C525" i="62922"/>
  <c r="C528" i="62922"/>
  <c r="C529" i="62922"/>
  <c r="C531" i="62922"/>
  <c r="C532" i="62922"/>
  <c r="C533" i="62922"/>
  <c r="C526" i="62922"/>
  <c r="C530" i="62922"/>
  <c r="C527" i="62922"/>
  <c r="D63" i="62921"/>
  <c r="C52" i="62921"/>
  <c r="E64" i="62921"/>
  <c r="D312" i="62923"/>
  <c r="D179" i="62917"/>
  <c r="D697" i="62917"/>
  <c r="E698" i="62917"/>
  <c r="H105" i="62910"/>
  <c r="H104" i="62910" s="1"/>
  <c r="H140" i="62910" s="1"/>
  <c r="G104" i="62910"/>
  <c r="G140" i="62910" s="1"/>
  <c r="G105" i="62892"/>
  <c r="F104" i="62892"/>
  <c r="H49" i="62914"/>
  <c r="E49" i="62914"/>
  <c r="N25" i="62929"/>
  <c r="Z25" i="62929" s="1"/>
  <c r="Z20" i="62914"/>
  <c r="I254" i="9"/>
  <c r="K254" i="9"/>
  <c r="N254" i="9"/>
  <c r="H173" i="62909"/>
  <c r="H168" i="62909" s="1"/>
  <c r="H224" i="62909" s="1"/>
  <c r="G168" i="62909"/>
  <c r="G224" i="62909" s="1"/>
  <c r="T21" i="62912"/>
  <c r="H61" i="62912"/>
  <c r="E61" i="62912"/>
  <c r="M398" i="9"/>
  <c r="M378" i="9"/>
  <c r="M21" i="62915"/>
  <c r="D144" i="62918"/>
  <c r="C1036" i="62919"/>
  <c r="C1046" i="62919"/>
  <c r="C1043" i="62919"/>
  <c r="C1038" i="62919"/>
  <c r="C1039" i="62919"/>
  <c r="C1042" i="62919"/>
  <c r="C1052" i="62919"/>
  <c r="C1035" i="62919"/>
  <c r="C1045" i="62919"/>
  <c r="C1048" i="62919"/>
  <c r="C1049" i="62919"/>
  <c r="C1044" i="62919"/>
  <c r="C1041" i="62919"/>
  <c r="C1051" i="62919"/>
  <c r="C1040" i="62919"/>
  <c r="C1050" i="62919"/>
  <c r="C1037" i="62919"/>
  <c r="C1047" i="62919"/>
  <c r="C207" i="62919"/>
  <c r="C196" i="62919"/>
  <c r="C198" i="62919"/>
  <c r="C204" i="62919"/>
  <c r="C184" i="62919"/>
  <c r="C197" i="62919"/>
  <c r="C202" i="62919"/>
  <c r="C195" i="62919"/>
  <c r="C200" i="62919"/>
  <c r="C205" i="62919"/>
  <c r="C211" i="62919"/>
  <c r="C208" i="62919"/>
  <c r="C192" i="62919"/>
  <c r="C209" i="62919"/>
  <c r="C201" i="62919"/>
  <c r="C203" i="62919"/>
  <c r="C194" i="62919"/>
  <c r="C191" i="62919"/>
  <c r="C193" i="62919"/>
  <c r="C210" i="62919"/>
  <c r="C199" i="62919"/>
  <c r="D2472" i="62917"/>
  <c r="C2471" i="62917"/>
  <c r="F93" i="11"/>
  <c r="F92" i="11"/>
  <c r="F88" i="11"/>
  <c r="F90" i="11"/>
  <c r="F95" i="11"/>
  <c r="F94" i="11"/>
  <c r="F91" i="11"/>
  <c r="F87" i="11"/>
  <c r="F89" i="11"/>
  <c r="Q59" i="11"/>
  <c r="J80" i="11"/>
  <c r="K80" i="11" s="1"/>
  <c r="M193" i="11"/>
  <c r="M20" i="62915"/>
  <c r="N161" i="11"/>
  <c r="N19" i="62914"/>
  <c r="G70" i="62909"/>
  <c r="H95" i="11"/>
  <c r="I95" i="11" s="1"/>
  <c r="E161" i="11"/>
  <c r="L143" i="11"/>
  <c r="E19" i="62914"/>
  <c r="E64" i="62910"/>
  <c r="E60" i="62910" s="1"/>
  <c r="E136" i="62910" s="1"/>
  <c r="C60" i="62910"/>
  <c r="C136" i="62910" s="1"/>
  <c r="E70" i="62909"/>
  <c r="E66" i="62909" s="1"/>
  <c r="E220" i="62909" s="1"/>
  <c r="C66" i="62909"/>
  <c r="C220" i="62909" s="1"/>
  <c r="K127" i="11"/>
  <c r="K20" i="62912"/>
  <c r="E127" i="11"/>
  <c r="I112" i="11"/>
  <c r="E20" i="62912"/>
  <c r="E193" i="11"/>
  <c r="J178" i="11"/>
  <c r="E20" i="62915"/>
  <c r="H77" i="11"/>
  <c r="H80" i="11"/>
  <c r="H81" i="11"/>
  <c r="H78" i="11"/>
  <c r="H79" i="11"/>
  <c r="C60" i="62892"/>
  <c r="N80" i="11"/>
  <c r="O80" i="11"/>
  <c r="G81" i="11"/>
  <c r="E65" i="62921" l="1"/>
  <c r="D64" i="62921"/>
  <c r="D313" i="62923"/>
  <c r="C297" i="62923" s="1"/>
  <c r="D180" i="62917"/>
  <c r="D698" i="62917"/>
  <c r="E699" i="62917"/>
  <c r="E700" i="62917" s="1"/>
  <c r="F141" i="62892"/>
  <c r="K141" i="62892" s="1"/>
  <c r="G104" i="62892"/>
  <c r="G141" i="62892" s="1"/>
  <c r="H49" i="62915"/>
  <c r="Y21" i="62915"/>
  <c r="E49" i="62915"/>
  <c r="D145" i="62918"/>
  <c r="C144" i="62918"/>
  <c r="D2473" i="62917"/>
  <c r="C2473" i="62917" s="1"/>
  <c r="C2472" i="62917"/>
  <c r="C137" i="62892"/>
  <c r="J193" i="11"/>
  <c r="J20" i="62915"/>
  <c r="N20" i="62912"/>
  <c r="L161" i="11"/>
  <c r="L19" i="62914"/>
  <c r="Z19" i="62914"/>
  <c r="N24" i="62929"/>
  <c r="Z24" i="62929" s="1"/>
  <c r="Y20" i="62915"/>
  <c r="G64" i="62910"/>
  <c r="F64" i="62892"/>
  <c r="J81" i="11"/>
  <c r="K81" i="11" s="1"/>
  <c r="P80" i="11"/>
  <c r="M80" i="11"/>
  <c r="O81" i="11"/>
  <c r="N81" i="11"/>
  <c r="Q20" i="62915"/>
  <c r="I127" i="11"/>
  <c r="I20" i="62912"/>
  <c r="T20" i="62912"/>
  <c r="E24" i="62929"/>
  <c r="Q24" i="62929" s="1"/>
  <c r="Q19" i="62914"/>
  <c r="G66" i="62909"/>
  <c r="G220" i="62909" s="1"/>
  <c r="H70" i="62909"/>
  <c r="H66" i="62909" s="1"/>
  <c r="H220" i="62909" s="1"/>
  <c r="C675" i="62917" l="1"/>
  <c r="D65" i="62921"/>
  <c r="C53" i="62921" s="1"/>
  <c r="E66" i="62921"/>
  <c r="C1987" i="62917"/>
  <c r="C294" i="62923"/>
  <c r="C302" i="62923"/>
  <c r="C296" i="62923"/>
  <c r="C304" i="62923"/>
  <c r="C298" i="62923"/>
  <c r="C299" i="62923"/>
  <c r="C300" i="62923"/>
  <c r="C307" i="62923"/>
  <c r="C308" i="62923"/>
  <c r="C291" i="62923"/>
  <c r="C303" i="62923"/>
  <c r="C292" i="62923"/>
  <c r="C306" i="62923"/>
  <c r="C301" i="62923"/>
  <c r="C295" i="62923"/>
  <c r="C293" i="62923"/>
  <c r="C289" i="62923"/>
  <c r="C290" i="62923"/>
  <c r="C305" i="62923"/>
  <c r="D181" i="62917"/>
  <c r="E701" i="62917"/>
  <c r="E702" i="62917" s="1"/>
  <c r="E703" i="62917" s="1"/>
  <c r="E704" i="62917" s="1"/>
  <c r="D699" i="62917"/>
  <c r="N141" i="62892"/>
  <c r="C1396" i="62919"/>
  <c r="D146" i="62918"/>
  <c r="F60" i="62892"/>
  <c r="F137" i="62892" s="1"/>
  <c r="N137" i="62892" s="1"/>
  <c r="G64" i="62892"/>
  <c r="D63" i="62892"/>
  <c r="D87" i="62892"/>
  <c r="D2474" i="62917"/>
  <c r="C2474" i="62917" s="1"/>
  <c r="H60" i="62912"/>
  <c r="R20" i="62912"/>
  <c r="G60" i="62912"/>
  <c r="F60" i="62912"/>
  <c r="E60" i="62912"/>
  <c r="M81" i="11"/>
  <c r="P81" i="11"/>
  <c r="H64" i="62910"/>
  <c r="H60" i="62910" s="1"/>
  <c r="H136" i="62910" s="1"/>
  <c r="G60" i="62910"/>
  <c r="G136" i="62910" s="1"/>
  <c r="X19" i="62914"/>
  <c r="H48" i="62914"/>
  <c r="E48" i="62914"/>
  <c r="L24" i="62929"/>
  <c r="X24" i="62929" s="1"/>
  <c r="G48" i="62914"/>
  <c r="F48" i="62914"/>
  <c r="G48" i="62915"/>
  <c r="F48" i="62915"/>
  <c r="E48" i="62915"/>
  <c r="V20" i="62915"/>
  <c r="H48" i="62915"/>
  <c r="C12" i="62907"/>
  <c r="M137" i="62892"/>
  <c r="L137" i="62892"/>
  <c r="G12" i="62907" l="1"/>
  <c r="F12" i="62907"/>
  <c r="E67" i="62921"/>
  <c r="D66" i="62921"/>
  <c r="D182" i="62917"/>
  <c r="E12" i="62907"/>
  <c r="D12" i="62907"/>
  <c r="D700" i="62917"/>
  <c r="D147" i="62918"/>
  <c r="D148" i="62918" s="1"/>
  <c r="D149" i="62918" s="1"/>
  <c r="D150" i="62918" s="1"/>
  <c r="D151" i="62918" s="1"/>
  <c r="D152" i="62918" s="1"/>
  <c r="D153" i="62918" s="1"/>
  <c r="D154" i="62918" s="1"/>
  <c r="D155" i="62918" s="1"/>
  <c r="D156" i="62918" s="1"/>
  <c r="D157" i="62918" s="1"/>
  <c r="C150" i="62918" s="1"/>
  <c r="K137" i="62892"/>
  <c r="G60" i="62892"/>
  <c r="G137" i="62892" s="1"/>
  <c r="D2475" i="62917"/>
  <c r="C2475" i="62917" s="1"/>
  <c r="D701" i="62917" l="1"/>
  <c r="D67" i="62921"/>
  <c r="E68" i="62921"/>
  <c r="D183" i="62917"/>
  <c r="E889" i="62917"/>
  <c r="C154" i="62918"/>
  <c r="C153" i="62918"/>
  <c r="C152" i="62918"/>
  <c r="C145" i="62918"/>
  <c r="C157" i="62918"/>
  <c r="C149" i="62918"/>
  <c r="C156" i="62918"/>
  <c r="C148" i="62918"/>
  <c r="C146" i="62918"/>
  <c r="C151" i="62918"/>
  <c r="C147" i="62918"/>
  <c r="C155" i="62918"/>
  <c r="D2476" i="62917"/>
  <c r="D702" i="62917" l="1"/>
  <c r="D703" i="62917" s="1"/>
  <c r="D704" i="62917" s="1"/>
  <c r="E69" i="62921"/>
  <c r="D68" i="62921"/>
  <c r="G196" i="2"/>
  <c r="H196" i="2" s="1"/>
  <c r="AQ196" i="2" s="1"/>
  <c r="AQ198" i="2" s="1"/>
  <c r="D184" i="62917"/>
  <c r="D889" i="62917"/>
  <c r="E890" i="62917"/>
  <c r="E891" i="62917" s="1"/>
  <c r="E892" i="62917" s="1"/>
  <c r="E893" i="62917" s="1"/>
  <c r="E894" i="62917" s="1"/>
  <c r="E895" i="62917" s="1"/>
  <c r="E896" i="62917" s="1"/>
  <c r="E897" i="62917" s="1"/>
  <c r="E898" i="62917" s="1"/>
  <c r="E899" i="62917" s="1"/>
  <c r="E900" i="62917" s="1"/>
  <c r="E901" i="62917" s="1"/>
  <c r="E902" i="62917" s="1"/>
  <c r="E903" i="62917" s="1"/>
  <c r="E904" i="62917" s="1"/>
  <c r="E905" i="62917" s="1"/>
  <c r="E906" i="62917" s="1"/>
  <c r="E907" i="62917" s="1"/>
  <c r="E908" i="62917" s="1"/>
  <c r="E909" i="62917" s="1"/>
  <c r="E910" i="62917" s="1"/>
  <c r="E911" i="62917" s="1"/>
  <c r="E912" i="62917" s="1"/>
  <c r="E913" i="62917" s="1"/>
  <c r="E914" i="62917" s="1"/>
  <c r="E915" i="62917" s="1"/>
  <c r="E916" i="62917" s="1"/>
  <c r="C1556" i="62919"/>
  <c r="H164" i="62905"/>
  <c r="AY152" i="62905" s="1"/>
  <c r="D2477" i="62917"/>
  <c r="C2476" i="62917"/>
  <c r="C677" i="62917" l="1"/>
  <c r="C678" i="62917"/>
  <c r="C676" i="62917"/>
  <c r="C679" i="62917"/>
  <c r="D69" i="62921"/>
  <c r="E70" i="62921"/>
  <c r="X196" i="2"/>
  <c r="Q196" i="2" s="1"/>
  <c r="H198" i="2"/>
  <c r="AM196" i="2"/>
  <c r="AM198" i="2" s="1"/>
  <c r="D196" i="2"/>
  <c r="D198" i="2" s="1"/>
  <c r="K262" i="2" s="1"/>
  <c r="K275" i="2" s="1"/>
  <c r="D185" i="62917"/>
  <c r="D186" i="62917" s="1"/>
  <c r="D187" i="62917" s="1"/>
  <c r="D188" i="62917" s="1"/>
  <c r="D189" i="62917" s="1"/>
  <c r="D190" i="62917" s="1"/>
  <c r="D191" i="62917" s="1"/>
  <c r="D192" i="62917" s="1"/>
  <c r="D193" i="62917" s="1"/>
  <c r="D194" i="62917" s="1"/>
  <c r="D195" i="62917" s="1"/>
  <c r="D196" i="62917" s="1"/>
  <c r="D197" i="62917" s="1"/>
  <c r="D198" i="62917" s="1"/>
  <c r="D199" i="62917" s="1"/>
  <c r="D200" i="62917" s="1"/>
  <c r="D201" i="62917" s="1"/>
  <c r="D202" i="62917" s="1"/>
  <c r="D203" i="62917" s="1"/>
  <c r="D204" i="62917" s="1"/>
  <c r="D205" i="62917" s="1"/>
  <c r="D206" i="62917" s="1"/>
  <c r="D207" i="62917" s="1"/>
  <c r="D208" i="62917" s="1"/>
  <c r="D209" i="62917" s="1"/>
  <c r="D210" i="62917" s="1"/>
  <c r="D211" i="62917" s="1"/>
  <c r="D212" i="62917" s="1"/>
  <c r="D213" i="62917" s="1"/>
  <c r="D214" i="62917" s="1"/>
  <c r="D215" i="62917" s="1"/>
  <c r="D216" i="62917" s="1"/>
  <c r="D217" i="62917" s="1"/>
  <c r="D218" i="62917" s="1"/>
  <c r="D219" i="62917" s="1"/>
  <c r="D220" i="62917" s="1"/>
  <c r="D221" i="62917" s="1"/>
  <c r="D222" i="62917" s="1"/>
  <c r="D223" i="62917" s="1"/>
  <c r="D224" i="62917" s="1"/>
  <c r="D225" i="62917" s="1"/>
  <c r="D226" i="62917" s="1"/>
  <c r="D227" i="62917" s="1"/>
  <c r="D228" i="62917" s="1"/>
  <c r="D229" i="62917" s="1"/>
  <c r="D230" i="62917" s="1"/>
  <c r="D231" i="62917" s="1"/>
  <c r="D232" i="62917" s="1"/>
  <c r="D233" i="62917" s="1"/>
  <c r="D234" i="62917" s="1"/>
  <c r="D235" i="62917" s="1"/>
  <c r="D236" i="62917" s="1"/>
  <c r="D237" i="62917" s="1"/>
  <c r="D238" i="62917" s="1"/>
  <c r="D239" i="62917" s="1"/>
  <c r="D240" i="62917" s="1"/>
  <c r="D241" i="62917" s="1"/>
  <c r="D242" i="62917" s="1"/>
  <c r="D243" i="62917" s="1"/>
  <c r="D244" i="62917" s="1"/>
  <c r="D245" i="62917" s="1"/>
  <c r="D246" i="62917" s="1"/>
  <c r="D247" i="62917" s="1"/>
  <c r="D248" i="62917" s="1"/>
  <c r="D249" i="62917" s="1"/>
  <c r="D250" i="62917" s="1"/>
  <c r="D251" i="62917" s="1"/>
  <c r="D252" i="62917" s="1"/>
  <c r="D253" i="62917" s="1"/>
  <c r="D254" i="62917" s="1"/>
  <c r="D255" i="62917" s="1"/>
  <c r="D256" i="62917" s="1"/>
  <c r="D257" i="62917" s="1"/>
  <c r="D258" i="62917" s="1"/>
  <c r="D259" i="62917" s="1"/>
  <c r="D260" i="62917" s="1"/>
  <c r="D261" i="62917" s="1"/>
  <c r="D262" i="62917" s="1"/>
  <c r="D263" i="62917" s="1"/>
  <c r="D264" i="62917" s="1"/>
  <c r="D265" i="62917" s="1"/>
  <c r="D266" i="62917" s="1"/>
  <c r="D267" i="62917" s="1"/>
  <c r="D268" i="62917" s="1"/>
  <c r="D269" i="62917" s="1"/>
  <c r="D270" i="62917" s="1"/>
  <c r="D271" i="62917" s="1"/>
  <c r="D272" i="62917" s="1"/>
  <c r="D273" i="62917" s="1"/>
  <c r="D274" i="62917" s="1"/>
  <c r="D275" i="62917" s="1"/>
  <c r="D276" i="62917" s="1"/>
  <c r="D277" i="62917" s="1"/>
  <c r="D278" i="62917" s="1"/>
  <c r="D279" i="62917" s="1"/>
  <c r="D280" i="62917" s="1"/>
  <c r="D281" i="62917" s="1"/>
  <c r="D282" i="62917" s="1"/>
  <c r="D283" i="62917" s="1"/>
  <c r="D284" i="62917" s="1"/>
  <c r="D285" i="62917" s="1"/>
  <c r="D286" i="62917" s="1"/>
  <c r="D287" i="62917" s="1"/>
  <c r="D288" i="62917" s="1"/>
  <c r="D289" i="62917" s="1"/>
  <c r="D290" i="62917" s="1"/>
  <c r="D291" i="62917" s="1"/>
  <c r="D292" i="62917" s="1"/>
  <c r="D293" i="62917" s="1"/>
  <c r="D294" i="62917" s="1"/>
  <c r="D295" i="62917" s="1"/>
  <c r="D296" i="62917" s="1"/>
  <c r="D297" i="62917" s="1"/>
  <c r="D298" i="62917" s="1"/>
  <c r="D299" i="62917" s="1"/>
  <c r="D300" i="62917" s="1"/>
  <c r="D301" i="62917" s="1"/>
  <c r="D302" i="62917" s="1"/>
  <c r="D303" i="62917" s="1"/>
  <c r="D304" i="62917" s="1"/>
  <c r="D305" i="62917" s="1"/>
  <c r="D306" i="62917" s="1"/>
  <c r="D307" i="62917" s="1"/>
  <c r="D308" i="62917" s="1"/>
  <c r="D309" i="62917" s="1"/>
  <c r="D310" i="62917" s="1"/>
  <c r="D311" i="62917" s="1"/>
  <c r="D312" i="62917" s="1"/>
  <c r="D313" i="62917" s="1"/>
  <c r="D314" i="62917" s="1"/>
  <c r="D315" i="62917" s="1"/>
  <c r="D316" i="62917" s="1"/>
  <c r="D317" i="62917" s="1"/>
  <c r="D318" i="62917" s="1"/>
  <c r="D319" i="62917" s="1"/>
  <c r="D320" i="62917" s="1"/>
  <c r="D321" i="62917" s="1"/>
  <c r="D322" i="62917" s="1"/>
  <c r="D323" i="62917" s="1"/>
  <c r="D324" i="62917" s="1"/>
  <c r="D325" i="62917" s="1"/>
  <c r="D326" i="62917" s="1"/>
  <c r="D327" i="62917" s="1"/>
  <c r="D328" i="62917" s="1"/>
  <c r="D329" i="62917" s="1"/>
  <c r="D330" i="62917" s="1"/>
  <c r="D331" i="62917" s="1"/>
  <c r="D332" i="62917" s="1"/>
  <c r="D333" i="62917" s="1"/>
  <c r="D334" i="62917" s="1"/>
  <c r="D335" i="62917" s="1"/>
  <c r="D336" i="62917" s="1"/>
  <c r="D337" i="62917" s="1"/>
  <c r="D338" i="62917" s="1"/>
  <c r="D339" i="62917" s="1"/>
  <c r="D340" i="62917" s="1"/>
  <c r="D341" i="62917" s="1"/>
  <c r="D342" i="62917" s="1"/>
  <c r="D343" i="62917" s="1"/>
  <c r="D344" i="62917" s="1"/>
  <c r="D345" i="62917" s="1"/>
  <c r="D346" i="62917" s="1"/>
  <c r="D347" i="62917" s="1"/>
  <c r="D348" i="62917" s="1"/>
  <c r="D349" i="62917" s="1"/>
  <c r="D350" i="62917" s="1"/>
  <c r="D351" i="62917" s="1"/>
  <c r="D352" i="62917" s="1"/>
  <c r="D353" i="62917" s="1"/>
  <c r="D354" i="62917" s="1"/>
  <c r="D355" i="62917" s="1"/>
  <c r="D356" i="62917" s="1"/>
  <c r="D357" i="62917" s="1"/>
  <c r="D358" i="62917" s="1"/>
  <c r="D359" i="62917" s="1"/>
  <c r="D360" i="62917" s="1"/>
  <c r="D361" i="62917" s="1"/>
  <c r="D362" i="62917" s="1"/>
  <c r="D363" i="62917" s="1"/>
  <c r="D364" i="62917" s="1"/>
  <c r="D365" i="62917" s="1"/>
  <c r="D366" i="62917" s="1"/>
  <c r="D367" i="62917" s="1"/>
  <c r="D368" i="62917" s="1"/>
  <c r="D369" i="62917" s="1"/>
  <c r="D370" i="62917" s="1"/>
  <c r="D371" i="62917" s="1"/>
  <c r="D372" i="62917" s="1"/>
  <c r="D373" i="62917" s="1"/>
  <c r="D374" i="62917" s="1"/>
  <c r="D375" i="62917" s="1"/>
  <c r="D376" i="62917" s="1"/>
  <c r="D377" i="62917" s="1"/>
  <c r="D378" i="62917" s="1"/>
  <c r="D379" i="62917" s="1"/>
  <c r="D380" i="62917" s="1"/>
  <c r="D381" i="62917" s="1"/>
  <c r="D382" i="62917" s="1"/>
  <c r="D383" i="62917" s="1"/>
  <c r="D384" i="62917" s="1"/>
  <c r="D385" i="62917" s="1"/>
  <c r="D386" i="62917" s="1"/>
  <c r="D387" i="62917" s="1"/>
  <c r="D388" i="62917" s="1"/>
  <c r="D389" i="62917" s="1"/>
  <c r="D390" i="62917" s="1"/>
  <c r="D391" i="62917" s="1"/>
  <c r="D392" i="62917" s="1"/>
  <c r="D393" i="62917" s="1"/>
  <c r="D394" i="62917" s="1"/>
  <c r="D395" i="62917" s="1"/>
  <c r="D396" i="62917" s="1"/>
  <c r="D397" i="62917" s="1"/>
  <c r="D398" i="62917" s="1"/>
  <c r="D399" i="62917" s="1"/>
  <c r="D400" i="62917" s="1"/>
  <c r="D401" i="62917" s="1"/>
  <c r="D402" i="62917" s="1"/>
  <c r="D403" i="62917" s="1"/>
  <c r="D404" i="62917" s="1"/>
  <c r="D405" i="62917" s="1"/>
  <c r="D406" i="62917" s="1"/>
  <c r="D407" i="62917" s="1"/>
  <c r="D408" i="62917" s="1"/>
  <c r="D409" i="62917" s="1"/>
  <c r="D410" i="62917" s="1"/>
  <c r="D411" i="62917" s="1"/>
  <c r="D412" i="62917" s="1"/>
  <c r="D413" i="62917" s="1"/>
  <c r="D414" i="62917" s="1"/>
  <c r="D415" i="62917" s="1"/>
  <c r="D416" i="62917" s="1"/>
  <c r="D417" i="62917" s="1"/>
  <c r="D418" i="62917" s="1"/>
  <c r="D419" i="62917" s="1"/>
  <c r="D420" i="62917" s="1"/>
  <c r="D421" i="62917" s="1"/>
  <c r="D422" i="62917" s="1"/>
  <c r="D423" i="62917" s="1"/>
  <c r="D424" i="62917" s="1"/>
  <c r="D425" i="62917" s="1"/>
  <c r="D426" i="62917" s="1"/>
  <c r="D427" i="62917" s="1"/>
  <c r="D428" i="62917" s="1"/>
  <c r="D429" i="62917" s="1"/>
  <c r="D430" i="62917" s="1"/>
  <c r="D431" i="62917" s="1"/>
  <c r="D432" i="62917" s="1"/>
  <c r="D433" i="62917" s="1"/>
  <c r="D434" i="62917" s="1"/>
  <c r="D435" i="62917" s="1"/>
  <c r="D436" i="62917" s="1"/>
  <c r="D437" i="62917" s="1"/>
  <c r="D438" i="62917" s="1"/>
  <c r="D439" i="62917" s="1"/>
  <c r="D440" i="62917" s="1"/>
  <c r="D441" i="62917" s="1"/>
  <c r="D442" i="62917" s="1"/>
  <c r="D443" i="62917" s="1"/>
  <c r="D444" i="62917" s="1"/>
  <c r="D445" i="62917" s="1"/>
  <c r="D446" i="62917" s="1"/>
  <c r="D447" i="62917" s="1"/>
  <c r="D448" i="62917" s="1"/>
  <c r="D449" i="62917" s="1"/>
  <c r="D450" i="62917" s="1"/>
  <c r="D451" i="62917" s="1"/>
  <c r="D452" i="62917" s="1"/>
  <c r="D453" i="62917" s="1"/>
  <c r="D454" i="62917" s="1"/>
  <c r="D455" i="62917" s="1"/>
  <c r="D456" i="62917" s="1"/>
  <c r="D457" i="62917" s="1"/>
  <c r="D458" i="62917" s="1"/>
  <c r="D459" i="62917" s="1"/>
  <c r="D460" i="62917" s="1"/>
  <c r="D461" i="62917" s="1"/>
  <c r="D462" i="62917" s="1"/>
  <c r="D463" i="62917" s="1"/>
  <c r="D464" i="62917" s="1"/>
  <c r="D465" i="62917" s="1"/>
  <c r="D466" i="62917" s="1"/>
  <c r="D467" i="62917" s="1"/>
  <c r="D468" i="62917" s="1"/>
  <c r="D469" i="62917" s="1"/>
  <c r="D470" i="62917" s="1"/>
  <c r="D471" i="62917" s="1"/>
  <c r="D472" i="62917" s="1"/>
  <c r="D473" i="62917" s="1"/>
  <c r="D474" i="62917" s="1"/>
  <c r="D475" i="62917" s="1"/>
  <c r="D476" i="62917" s="1"/>
  <c r="D477" i="62917" s="1"/>
  <c r="D478" i="62917" s="1"/>
  <c r="D479" i="62917" s="1"/>
  <c r="D480" i="62917" s="1"/>
  <c r="D481" i="62917" s="1"/>
  <c r="D482" i="62917" s="1"/>
  <c r="D483" i="62917" s="1"/>
  <c r="D484" i="62917" s="1"/>
  <c r="D485" i="62917" s="1"/>
  <c r="D486" i="62917" s="1"/>
  <c r="D487" i="62917" s="1"/>
  <c r="D488" i="62917" s="1"/>
  <c r="D489" i="62917" s="1"/>
  <c r="D490" i="62917" s="1"/>
  <c r="D491" i="62917" s="1"/>
  <c r="D492" i="62917" s="1"/>
  <c r="D493" i="62917" s="1"/>
  <c r="D494" i="62917" s="1"/>
  <c r="D495" i="62917" s="1"/>
  <c r="D496" i="62917" s="1"/>
  <c r="D497" i="62917" s="1"/>
  <c r="D498" i="62917" s="1"/>
  <c r="D499" i="62917" s="1"/>
  <c r="D500" i="62917" s="1"/>
  <c r="D501" i="62917" s="1"/>
  <c r="D502" i="62917" s="1"/>
  <c r="D503" i="62917" s="1"/>
  <c r="D504" i="62917" s="1"/>
  <c r="D505" i="62917" s="1"/>
  <c r="D506" i="62917" s="1"/>
  <c r="D507" i="62917" s="1"/>
  <c r="D508" i="62917" s="1"/>
  <c r="D509" i="62917" s="1"/>
  <c r="D510" i="62917" s="1"/>
  <c r="D511" i="62917" s="1"/>
  <c r="D512" i="62917" s="1"/>
  <c r="D513" i="62917" s="1"/>
  <c r="D514" i="62917" s="1"/>
  <c r="D515" i="62917" s="1"/>
  <c r="D516" i="62917" s="1"/>
  <c r="D517" i="62917" s="1"/>
  <c r="D518" i="62917" s="1"/>
  <c r="D519" i="62917" s="1"/>
  <c r="D520" i="62917" s="1"/>
  <c r="D521" i="62917" s="1"/>
  <c r="D522" i="62917" s="1"/>
  <c r="D523" i="62917" s="1"/>
  <c r="D524" i="62917" s="1"/>
  <c r="D525" i="62917" s="1"/>
  <c r="D526" i="62917" s="1"/>
  <c r="D527" i="62917" s="1"/>
  <c r="D528" i="62917" s="1"/>
  <c r="D529" i="62917" s="1"/>
  <c r="D530" i="62917" s="1"/>
  <c r="D531" i="62917" s="1"/>
  <c r="D532" i="62917" s="1"/>
  <c r="D533" i="62917" s="1"/>
  <c r="D534" i="62917" s="1"/>
  <c r="D535" i="62917" s="1"/>
  <c r="D536" i="62917" s="1"/>
  <c r="D537" i="62917" s="1"/>
  <c r="D538" i="62917" s="1"/>
  <c r="D539" i="62917" s="1"/>
  <c r="D540" i="62917" s="1"/>
  <c r="D541" i="62917" s="1"/>
  <c r="D542" i="62917" s="1"/>
  <c r="D543" i="62917" s="1"/>
  <c r="D544" i="62917" s="1"/>
  <c r="D545" i="62917" s="1"/>
  <c r="D546" i="62917" s="1"/>
  <c r="D547" i="62917" s="1"/>
  <c r="D548" i="62917" s="1"/>
  <c r="D549" i="62917" s="1"/>
  <c r="D550" i="62917" s="1"/>
  <c r="D551" i="62917" s="1"/>
  <c r="D552" i="62917" s="1"/>
  <c r="D553" i="62917" s="1"/>
  <c r="D554" i="62917" s="1"/>
  <c r="D555" i="62917" s="1"/>
  <c r="D556" i="62917" s="1"/>
  <c r="D557" i="62917" s="1"/>
  <c r="D558" i="62917" s="1"/>
  <c r="D559" i="62917" s="1"/>
  <c r="D560" i="62917" s="1"/>
  <c r="D561" i="62917" s="1"/>
  <c r="D562" i="62917" s="1"/>
  <c r="D563" i="62917" s="1"/>
  <c r="D564" i="62917" s="1"/>
  <c r="D565" i="62917" s="1"/>
  <c r="D566" i="62917" s="1"/>
  <c r="D567" i="62917" s="1"/>
  <c r="D568" i="62917" s="1"/>
  <c r="D569" i="62917" s="1"/>
  <c r="D570" i="62917" s="1"/>
  <c r="D571" i="62917" s="1"/>
  <c r="D572" i="62917" s="1"/>
  <c r="D573" i="62917" s="1"/>
  <c r="D574" i="62917" s="1"/>
  <c r="D575" i="62917" s="1"/>
  <c r="D576" i="62917" s="1"/>
  <c r="D577" i="62917" s="1"/>
  <c r="D578" i="62917" s="1"/>
  <c r="D579" i="62917" s="1"/>
  <c r="D580" i="62917" s="1"/>
  <c r="D581" i="62917" s="1"/>
  <c r="D582" i="62917" s="1"/>
  <c r="D583" i="62917" s="1"/>
  <c r="D584" i="62917" s="1"/>
  <c r="D585" i="62917" s="1"/>
  <c r="D586" i="62917" s="1"/>
  <c r="D587" i="62917" s="1"/>
  <c r="D588" i="62917" s="1"/>
  <c r="D589" i="62917" s="1"/>
  <c r="C889" i="62917"/>
  <c r="D890" i="62917"/>
  <c r="D891" i="62917" s="1"/>
  <c r="D892" i="62917" s="1"/>
  <c r="D893" i="62917" s="1"/>
  <c r="D894" i="62917" s="1"/>
  <c r="D895" i="62917" s="1"/>
  <c r="D896" i="62917" s="1"/>
  <c r="D897" i="62917" s="1"/>
  <c r="D898" i="62917" s="1"/>
  <c r="D899" i="62917" s="1"/>
  <c r="D900" i="62917" s="1"/>
  <c r="D901" i="62917" s="1"/>
  <c r="D902" i="62917" s="1"/>
  <c r="D903" i="62917" s="1"/>
  <c r="D904" i="62917" s="1"/>
  <c r="D905" i="62917" s="1"/>
  <c r="D906" i="62917" s="1"/>
  <c r="D907" i="62917" s="1"/>
  <c r="D908" i="62917" s="1"/>
  <c r="D909" i="62917" s="1"/>
  <c r="D910" i="62917" s="1"/>
  <c r="D911" i="62917" s="1"/>
  <c r="D912" i="62917" s="1"/>
  <c r="D913" i="62917" s="1"/>
  <c r="D914" i="62917" s="1"/>
  <c r="D915" i="62917" s="1"/>
  <c r="D916" i="62917" s="1"/>
  <c r="AY147" i="62905"/>
  <c r="I164" i="62905"/>
  <c r="AC164" i="62905" s="1"/>
  <c r="AY149" i="62905"/>
  <c r="AY150" i="62905"/>
  <c r="AY148" i="62905"/>
  <c r="AY153" i="62905"/>
  <c r="AY154" i="62905"/>
  <c r="D2478" i="62917"/>
  <c r="C2477" i="62917" s="1"/>
  <c r="C129" i="62917" l="1"/>
  <c r="C158" i="62917"/>
  <c r="C117" i="62917"/>
  <c r="C133" i="62917"/>
  <c r="C123" i="62917"/>
  <c r="C156" i="62917"/>
  <c r="C126" i="62917"/>
  <c r="C112" i="62917"/>
  <c r="C146" i="62917"/>
  <c r="C118" i="62917"/>
  <c r="C115" i="62917"/>
  <c r="C109" i="62917"/>
  <c r="C116" i="62917"/>
  <c r="C154" i="62917"/>
  <c r="C107" i="62917"/>
  <c r="C152" i="62917"/>
  <c r="C140" i="62917"/>
  <c r="C119" i="62917"/>
  <c r="C137" i="62917"/>
  <c r="C111" i="62917"/>
  <c r="C142" i="62917"/>
  <c r="C130" i="62917"/>
  <c r="C125" i="62917"/>
  <c r="C145" i="62917"/>
  <c r="C128" i="62917"/>
  <c r="C120" i="62917"/>
  <c r="C132" i="62917"/>
  <c r="C135" i="62917"/>
  <c r="C131" i="62917"/>
  <c r="C124" i="62917"/>
  <c r="C141" i="62917"/>
  <c r="C147" i="62917"/>
  <c r="C138" i="62917"/>
  <c r="C122" i="62917"/>
  <c r="C148" i="62917"/>
  <c r="C151" i="62917"/>
  <c r="C153" i="62917"/>
  <c r="C134" i="62917"/>
  <c r="C149" i="62917"/>
  <c r="C127" i="62917"/>
  <c r="C108" i="62917"/>
  <c r="C144" i="62917"/>
  <c r="C150" i="62917"/>
  <c r="C139" i="62917"/>
  <c r="C114" i="62917"/>
  <c r="C159" i="62917"/>
  <c r="C157" i="62917"/>
  <c r="C113" i="62917"/>
  <c r="C121" i="62917"/>
  <c r="C155" i="62917"/>
  <c r="C143" i="62917"/>
  <c r="C136" i="62917"/>
  <c r="C110" i="62917"/>
  <c r="X198" i="2"/>
  <c r="H242" i="2" s="1"/>
  <c r="G165" i="62909" s="1"/>
  <c r="H165" i="62909" s="1"/>
  <c r="I362" i="2"/>
  <c r="K295" i="2"/>
  <c r="K309" i="2" s="1"/>
  <c r="H262" i="2"/>
  <c r="H22" i="62912" s="1"/>
  <c r="D242" i="2"/>
  <c r="E71" i="62921"/>
  <c r="D70" i="62921"/>
  <c r="I328" i="2"/>
  <c r="I341" i="2" s="1"/>
  <c r="D227" i="2"/>
  <c r="AU164" i="62905"/>
  <c r="AU166" i="62905" s="1"/>
  <c r="AQ164" i="62905"/>
  <c r="AQ166" i="62905" s="1"/>
  <c r="K297" i="62905" s="1"/>
  <c r="I297" i="62905" s="1"/>
  <c r="I166" i="62905"/>
  <c r="C896" i="62917"/>
  <c r="C895" i="62917"/>
  <c r="C894" i="62917"/>
  <c r="C893" i="62917"/>
  <c r="C892" i="62917"/>
  <c r="C898" i="62917"/>
  <c r="C891" i="62917"/>
  <c r="C897" i="62917"/>
  <c r="C890" i="62917"/>
  <c r="D164" i="62905"/>
  <c r="D166" i="62905" s="1"/>
  <c r="D266" i="62905" s="1"/>
  <c r="AY156" i="62905"/>
  <c r="AC166" i="62905"/>
  <c r="L299" i="62905"/>
  <c r="V164" i="62905"/>
  <c r="D2479" i="62917"/>
  <c r="H227" i="2" l="1"/>
  <c r="G101" i="62910" s="1"/>
  <c r="H101" i="62910" s="1"/>
  <c r="Q198" i="2"/>
  <c r="C101" i="62892"/>
  <c r="C101" i="62910"/>
  <c r="E101" i="62910" s="1"/>
  <c r="E242" i="2"/>
  <c r="C165" i="62909"/>
  <c r="E165" i="62909" s="1"/>
  <c r="H248" i="62905"/>
  <c r="G123" i="62910" s="1"/>
  <c r="H123" i="62910" s="1"/>
  <c r="H266" i="62905"/>
  <c r="G207" i="62909" s="1"/>
  <c r="H207" i="62909" s="1"/>
  <c r="L297" i="62905"/>
  <c r="J297" i="62905"/>
  <c r="J30" i="62912" s="1"/>
  <c r="J35" i="62912" s="1"/>
  <c r="E266" i="62905"/>
  <c r="C207" i="62909"/>
  <c r="E207" i="62909" s="1"/>
  <c r="I266" i="62905"/>
  <c r="I242" i="2"/>
  <c r="I22" i="62915"/>
  <c r="U22" i="62915" s="1"/>
  <c r="U35" i="62915" s="1"/>
  <c r="H275" i="2"/>
  <c r="D248" i="62905"/>
  <c r="C123" i="62910" s="1"/>
  <c r="E123" i="62910" s="1"/>
  <c r="K23" i="62914"/>
  <c r="K28" i="62929" s="1"/>
  <c r="W28" i="62929" s="1"/>
  <c r="W42" i="62929" s="1"/>
  <c r="I227" i="2"/>
  <c r="D71" i="62921"/>
  <c r="E72" i="62921"/>
  <c r="E227" i="2"/>
  <c r="L227" i="2" s="1"/>
  <c r="K302" i="62905"/>
  <c r="E249" i="62905"/>
  <c r="Q22" i="62912"/>
  <c r="Q35" i="62912" s="1"/>
  <c r="H35" i="62912"/>
  <c r="K249" i="62905"/>
  <c r="V166" i="62905"/>
  <c r="D101" i="62892"/>
  <c r="G101" i="62892"/>
  <c r="K32" i="62912"/>
  <c r="N332" i="62905"/>
  <c r="C93" i="62910"/>
  <c r="C139" i="62910" s="1"/>
  <c r="E93" i="62910"/>
  <c r="E139" i="62910" s="1"/>
  <c r="I267" i="62905"/>
  <c r="C208" i="62909"/>
  <c r="E267" i="62905"/>
  <c r="D270" i="62905"/>
  <c r="F268" i="62905" s="1"/>
  <c r="I302" i="62905"/>
  <c r="I30" i="62912"/>
  <c r="D2480" i="62917"/>
  <c r="C2479" i="62917" s="1"/>
  <c r="C2478" i="62917"/>
  <c r="E270" i="62905" l="1"/>
  <c r="N227" i="2"/>
  <c r="K227" i="2"/>
  <c r="F101" i="62892"/>
  <c r="F123" i="62892"/>
  <c r="M331" i="62905"/>
  <c r="J302" i="62905"/>
  <c r="I35" i="62915"/>
  <c r="M227" i="2"/>
  <c r="I248" i="62905"/>
  <c r="E248" i="62905"/>
  <c r="E252" i="62905" s="1"/>
  <c r="C123" i="62892"/>
  <c r="K248" i="62905"/>
  <c r="N248" i="62905"/>
  <c r="K37" i="62914"/>
  <c r="K42" i="62929" s="1"/>
  <c r="W23" i="62914"/>
  <c r="W37" i="62914" s="1"/>
  <c r="E73" i="62921"/>
  <c r="D72" i="62921"/>
  <c r="D252" i="62905"/>
  <c r="F248" i="62905" s="1"/>
  <c r="C116" i="62910"/>
  <c r="C142" i="62910" s="1"/>
  <c r="C143" i="62910" s="1"/>
  <c r="C124" i="62892"/>
  <c r="G124" i="62892" s="1"/>
  <c r="S30" i="62912"/>
  <c r="S35" i="62912" s="1"/>
  <c r="N249" i="62905"/>
  <c r="H93" i="62910"/>
  <c r="H139" i="62910" s="1"/>
  <c r="G93" i="62910"/>
  <c r="G139" i="62910" s="1"/>
  <c r="T32" i="62912"/>
  <c r="E72" i="62912"/>
  <c r="H72" i="62912"/>
  <c r="N331" i="62905"/>
  <c r="K30" i="62912"/>
  <c r="T30" i="62912" s="1"/>
  <c r="L302" i="62905"/>
  <c r="H252" i="62905"/>
  <c r="F124" i="62892"/>
  <c r="G70" i="62912"/>
  <c r="F70" i="62912"/>
  <c r="R30" i="62912"/>
  <c r="F265" i="62905"/>
  <c r="F264" i="62905"/>
  <c r="F261" i="62905"/>
  <c r="F259" i="62905"/>
  <c r="F260" i="62905"/>
  <c r="F270" i="62905"/>
  <c r="F258" i="62905"/>
  <c r="F262" i="62905"/>
  <c r="F266" i="62905"/>
  <c r="F263" i="62905"/>
  <c r="F267" i="62905"/>
  <c r="F269" i="62905"/>
  <c r="E208" i="62909"/>
  <c r="E198" i="62909" s="1"/>
  <c r="E226" i="62909" s="1"/>
  <c r="C198" i="62909"/>
  <c r="C226" i="62909" s="1"/>
  <c r="N33" i="62914"/>
  <c r="M365" i="62905"/>
  <c r="M32" i="62915" s="1"/>
  <c r="L249" i="62905"/>
  <c r="M249" i="62905"/>
  <c r="H270" i="62905"/>
  <c r="I270" i="62905" s="1"/>
  <c r="G208" i="62909"/>
  <c r="D2481" i="62917"/>
  <c r="C2480" i="62917" s="1"/>
  <c r="F116" i="62892" l="1"/>
  <c r="F143" i="62892" s="1"/>
  <c r="M336" i="62905"/>
  <c r="K363" i="62905"/>
  <c r="M32" i="62914"/>
  <c r="D123" i="62892"/>
  <c r="G123" i="62892"/>
  <c r="M248" i="62905"/>
  <c r="L248" i="62905"/>
  <c r="E116" i="62910"/>
  <c r="E142" i="62910" s="1"/>
  <c r="E143" i="62910" s="1"/>
  <c r="D124" i="62892"/>
  <c r="C116" i="62892"/>
  <c r="C143" i="62892" s="1"/>
  <c r="D73" i="62921"/>
  <c r="E74" i="62921"/>
  <c r="F243" i="62905"/>
  <c r="F249" i="62905"/>
  <c r="F244" i="62905"/>
  <c r="F247" i="62905"/>
  <c r="F251" i="62905"/>
  <c r="F242" i="62905"/>
  <c r="F245" i="62905"/>
  <c r="K252" i="62905"/>
  <c r="I252" i="62905"/>
  <c r="F252" i="62905"/>
  <c r="E70" i="62912"/>
  <c r="H208" i="62909"/>
  <c r="H198" i="62909" s="1"/>
  <c r="H226" i="62909" s="1"/>
  <c r="G198" i="62909"/>
  <c r="G226" i="62909" s="1"/>
  <c r="M252" i="62905"/>
  <c r="L252" i="62905"/>
  <c r="E60" i="62915"/>
  <c r="Y32" i="62915"/>
  <c r="H60" i="62915"/>
  <c r="H70" i="62912"/>
  <c r="G116" i="62910"/>
  <c r="G142" i="62910" s="1"/>
  <c r="G143" i="62910" s="1"/>
  <c r="H116" i="62910"/>
  <c r="H142" i="62910" s="1"/>
  <c r="H143" i="62910" s="1"/>
  <c r="N336" i="62905"/>
  <c r="N32" i="62914"/>
  <c r="M363" i="62905"/>
  <c r="N38" i="62929"/>
  <c r="Z38" i="62929" s="1"/>
  <c r="E61" i="62914"/>
  <c r="H61" i="62914"/>
  <c r="Z33" i="62914"/>
  <c r="N252" i="62905"/>
  <c r="D2482" i="62917"/>
  <c r="C2481" i="62917" s="1"/>
  <c r="M37" i="62914" l="1"/>
  <c r="M42" i="62929" s="1"/>
  <c r="M37" i="62929"/>
  <c r="Y37" i="62929" s="1"/>
  <c r="Y42" i="62929" s="1"/>
  <c r="Y32" i="62914"/>
  <c r="Y37" i="62914" s="1"/>
  <c r="K30" i="62915"/>
  <c r="K368" i="62905"/>
  <c r="K390" i="62905"/>
  <c r="G116" i="62892"/>
  <c r="G143" i="62892" s="1"/>
  <c r="E75" i="62921"/>
  <c r="D74" i="62921"/>
  <c r="N37" i="62929"/>
  <c r="Z37" i="62929" s="1"/>
  <c r="Z32" i="62914"/>
  <c r="H60" i="62914"/>
  <c r="E60" i="62914"/>
  <c r="M30" i="62915"/>
  <c r="M390" i="62905"/>
  <c r="M368" i="62905"/>
  <c r="K143" i="62892"/>
  <c r="M143" i="62892"/>
  <c r="N143" i="62892"/>
  <c r="C18" i="62907"/>
  <c r="L143" i="62892"/>
  <c r="D2483" i="62917"/>
  <c r="C2482" i="62917" s="1"/>
  <c r="G18" i="62907" l="1"/>
  <c r="F18" i="62907"/>
  <c r="K35" i="62915"/>
  <c r="W30" i="62915"/>
  <c r="W35" i="62915" s="1"/>
  <c r="D75" i="62921"/>
  <c r="E76" i="62921"/>
  <c r="E18" i="62907"/>
  <c r="D18" i="62907"/>
  <c r="Y30" i="62915"/>
  <c r="E58" i="62915"/>
  <c r="H58" i="62915"/>
  <c r="D2484" i="62917"/>
  <c r="D2485" i="62917" s="1"/>
  <c r="D2486" i="62917" s="1"/>
  <c r="D2487" i="62917" s="1"/>
  <c r="D2488" i="62917" s="1"/>
  <c r="D2489" i="62917" s="1"/>
  <c r="D2490" i="62917" s="1"/>
  <c r="D2491" i="62917" s="1"/>
  <c r="D2492" i="62917" s="1"/>
  <c r="D2493" i="62917" s="1"/>
  <c r="D2494" i="62917" s="1"/>
  <c r="D2495" i="62917" s="1"/>
  <c r="D2496" i="62917" s="1"/>
  <c r="D2497" i="62917" s="1"/>
  <c r="D2498" i="62917" s="1"/>
  <c r="D2499" i="62917" s="1"/>
  <c r="D2500" i="62917" s="1"/>
  <c r="D2501" i="62917" s="1"/>
  <c r="D2502" i="62917" s="1"/>
  <c r="D2503" i="62917" s="1"/>
  <c r="D2504" i="62917" s="1"/>
  <c r="D2505" i="62917" s="1"/>
  <c r="D2506" i="62917" s="1"/>
  <c r="D2507" i="62917" s="1"/>
  <c r="D2508" i="62917" s="1"/>
  <c r="D2509" i="62917" s="1"/>
  <c r="D2510" i="62917" s="1"/>
  <c r="D2511" i="62917" s="1"/>
  <c r="D2512" i="62917" s="1"/>
  <c r="D2513" i="62917" s="1"/>
  <c r="D2514" i="62917" s="1"/>
  <c r="D2515" i="62917" s="1"/>
  <c r="D2516" i="62917" s="1"/>
  <c r="D2517" i="62917" s="1"/>
  <c r="D2518" i="62917" s="1"/>
  <c r="D2519" i="62917" s="1"/>
  <c r="C2496" i="62917" s="1"/>
  <c r="E77" i="62921" l="1"/>
  <c r="D76" i="62921"/>
  <c r="C2485" i="62917"/>
  <c r="C2504" i="62917"/>
  <c r="C2505" i="62917"/>
  <c r="C2508" i="62917"/>
  <c r="C2513" i="62917"/>
  <c r="C2515" i="62917"/>
  <c r="C2493" i="62917"/>
  <c r="C2503" i="62917"/>
  <c r="C2511" i="62917"/>
  <c r="C2506" i="62917"/>
  <c r="C2498" i="62917"/>
  <c r="C2486" i="62917"/>
  <c r="C2510" i="62917"/>
  <c r="C2495" i="62917"/>
  <c r="C2487" i="62917"/>
  <c r="C2514" i="62917"/>
  <c r="C2507" i="62917"/>
  <c r="C2502" i="62917"/>
  <c r="C2483" i="62917"/>
  <c r="C2500" i="62917"/>
  <c r="C2492" i="62917"/>
  <c r="C2512" i="62917"/>
  <c r="C2501" i="62917"/>
  <c r="C2490" i="62917"/>
  <c r="C2494" i="62917"/>
  <c r="C2499" i="62917"/>
  <c r="C2491" i="62917"/>
  <c r="C2509" i="62917"/>
  <c r="C2484" i="62917"/>
  <c r="C2497" i="62917"/>
  <c r="C2489" i="62917"/>
  <c r="C2488" i="62917"/>
  <c r="D77" i="62921" l="1"/>
  <c r="E78" i="62921"/>
  <c r="O211" i="2"/>
  <c r="D211" i="2"/>
  <c r="E79" i="62921" l="1"/>
  <c r="D78" i="62921"/>
  <c r="AQ211" i="2"/>
  <c r="AA211" i="2"/>
  <c r="D228" i="2"/>
  <c r="C102" i="62910" s="1"/>
  <c r="E102" i="62910" s="1"/>
  <c r="D243" i="2"/>
  <c r="E243" i="2" l="1"/>
  <c r="E244" i="2" s="1"/>
  <c r="C166" i="62909"/>
  <c r="E166" i="62909" s="1"/>
  <c r="E295" i="2"/>
  <c r="E262" i="2"/>
  <c r="E328" i="2"/>
  <c r="E362" i="2"/>
  <c r="J362" i="2" s="1"/>
  <c r="D79" i="62921"/>
  <c r="E80" i="62921"/>
  <c r="I228" i="2"/>
  <c r="D244" i="2"/>
  <c r="I243" i="2"/>
  <c r="D229" i="2"/>
  <c r="F226" i="2" s="1"/>
  <c r="E228" i="2"/>
  <c r="C102" i="62892"/>
  <c r="E81" i="62921" l="1"/>
  <c r="D80" i="62921"/>
  <c r="L228" i="2"/>
  <c r="M228" i="2"/>
  <c r="G102" i="62892"/>
  <c r="D102" i="62892"/>
  <c r="C93" i="62892"/>
  <c r="F220" i="2"/>
  <c r="F225" i="2"/>
  <c r="F229" i="2"/>
  <c r="F228" i="2"/>
  <c r="F222" i="2"/>
  <c r="F224" i="2"/>
  <c r="F227" i="2"/>
  <c r="F223" i="2"/>
  <c r="F221" i="2"/>
  <c r="E275" i="2"/>
  <c r="E22" i="62912"/>
  <c r="I262" i="2"/>
  <c r="E309" i="2"/>
  <c r="E23" i="62914"/>
  <c r="L295" i="2"/>
  <c r="E229" i="2"/>
  <c r="E157" i="62909"/>
  <c r="E223" i="62909" s="1"/>
  <c r="E227" i="62909" s="1"/>
  <c r="C157" i="62909"/>
  <c r="C223" i="62909" s="1"/>
  <c r="C227" i="62909" s="1"/>
  <c r="F240" i="2"/>
  <c r="F243" i="2"/>
  <c r="F244" i="2"/>
  <c r="F239" i="2"/>
  <c r="F238" i="2"/>
  <c r="F236" i="2"/>
  <c r="F235" i="2"/>
  <c r="F237" i="2"/>
  <c r="F242" i="2"/>
  <c r="E341" i="2"/>
  <c r="J328" i="2"/>
  <c r="E22" i="62915"/>
  <c r="D81" i="62921" l="1"/>
  <c r="E82" i="62921"/>
  <c r="J341" i="2"/>
  <c r="J22" i="62915"/>
  <c r="E35" i="62915"/>
  <c r="Q22" i="62915"/>
  <c r="Q35" i="62915" s="1"/>
  <c r="Q23" i="62914"/>
  <c r="Q37" i="62914" s="1"/>
  <c r="E37" i="62914"/>
  <c r="E42" i="62929" s="1"/>
  <c r="E28" i="62929"/>
  <c r="Q28" i="62929" s="1"/>
  <c r="Q42" i="62929" s="1"/>
  <c r="I275" i="2"/>
  <c r="I22" i="62912"/>
  <c r="M229" i="2"/>
  <c r="L229" i="2"/>
  <c r="L309" i="2"/>
  <c r="L23" i="62914"/>
  <c r="E35" i="62912"/>
  <c r="N22" i="62912"/>
  <c r="N35" i="62912" s="1"/>
  <c r="C140" i="62892"/>
  <c r="E83" i="62921" l="1"/>
  <c r="D82" i="62921"/>
  <c r="G62" i="62912"/>
  <c r="I35" i="62912"/>
  <c r="F62" i="62912"/>
  <c r="R22" i="62912"/>
  <c r="R35" i="62912" s="1"/>
  <c r="J35" i="62915"/>
  <c r="G50" i="62915"/>
  <c r="V22" i="62915"/>
  <c r="V35" i="62915" s="1"/>
  <c r="F50" i="62915"/>
  <c r="M140" i="62892"/>
  <c r="L140" i="62892"/>
  <c r="C144" i="62892"/>
  <c r="C15" i="62907"/>
  <c r="L37" i="62914"/>
  <c r="L42" i="62929" s="1"/>
  <c r="E120" i="62929" s="1"/>
  <c r="X23" i="62914"/>
  <c r="X37" i="62914" s="1"/>
  <c r="G52" i="62914"/>
  <c r="F52" i="62914"/>
  <c r="L28" i="62929"/>
  <c r="X28" i="62929" s="1"/>
  <c r="X42" i="62929" s="1"/>
  <c r="G15" i="62907" l="1"/>
  <c r="F15" i="62907"/>
  <c r="D86" i="62892"/>
  <c r="D24" i="62892"/>
  <c r="D39" i="62892"/>
  <c r="D113" i="62892"/>
  <c r="D110" i="62892"/>
  <c r="D142" i="62892" s="1"/>
  <c r="D106" i="62892"/>
  <c r="D37" i="62892"/>
  <c r="D45" i="62892"/>
  <c r="D46" i="62892"/>
  <c r="D62" i="62892"/>
  <c r="D11" i="62892"/>
  <c r="D118" i="62892"/>
  <c r="D120" i="62892"/>
  <c r="D55" i="62892"/>
  <c r="D95" i="62892"/>
  <c r="D81" i="62892"/>
  <c r="D43" i="62892"/>
  <c r="D76" i="62892"/>
  <c r="D77" i="62892"/>
  <c r="D88" i="62892"/>
  <c r="D91" i="62892"/>
  <c r="D83" i="62921"/>
  <c r="E84" i="62921"/>
  <c r="D97" i="62892"/>
  <c r="D98" i="62892"/>
  <c r="D99" i="62892"/>
  <c r="D94" i="62892"/>
  <c r="C19" i="62907"/>
  <c r="F19" i="62907" s="1"/>
  <c r="E15" i="62907"/>
  <c r="D15" i="62907"/>
  <c r="D74" i="62892"/>
  <c r="D25" i="62892"/>
  <c r="D20" i="62892"/>
  <c r="D133" i="62892" s="1"/>
  <c r="D79" i="62892"/>
  <c r="D85" i="62892"/>
  <c r="D89" i="62892"/>
  <c r="D84" i="62892"/>
  <c r="D139" i="62892" s="1"/>
  <c r="D80" i="62892"/>
  <c r="D105" i="62892"/>
  <c r="D56" i="62892"/>
  <c r="D72" i="62892"/>
  <c r="D41" i="62892"/>
  <c r="D53" i="62892"/>
  <c r="D42" i="62892"/>
  <c r="D38" i="62892"/>
  <c r="D54" i="62892"/>
  <c r="D48" i="62892"/>
  <c r="D136" i="62892" s="1"/>
  <c r="D10" i="62892"/>
  <c r="D44" i="62892"/>
  <c r="D122" i="62892"/>
  <c r="D116" i="62892"/>
  <c r="D143" i="62892" s="1"/>
  <c r="D96" i="62892"/>
  <c r="D93" i="62892"/>
  <c r="D140" i="62892" s="1"/>
  <c r="D40" i="62892"/>
  <c r="D36" i="62892"/>
  <c r="D135" i="62892" s="1"/>
  <c r="D73" i="62892"/>
  <c r="D14" i="62892"/>
  <c r="D13" i="62892"/>
  <c r="D132" i="62892" s="1"/>
  <c r="D71" i="62892"/>
  <c r="D70" i="62892"/>
  <c r="D138" i="62892" s="1"/>
  <c r="D107" i="62892"/>
  <c r="D64" i="62892"/>
  <c r="D60" i="62892"/>
  <c r="D137" i="62892" s="1"/>
  <c r="D108" i="62892"/>
  <c r="D104" i="62892"/>
  <c r="D141" i="62892" s="1"/>
  <c r="D7" i="62892"/>
  <c r="D6" i="62892"/>
  <c r="D131" i="62892" s="1"/>
  <c r="L144" i="62892"/>
  <c r="M144" i="62892"/>
  <c r="E40" i="62912"/>
  <c r="E19" i="62907" l="1"/>
  <c r="G19" i="62907"/>
  <c r="E85" i="62921"/>
  <c r="D84" i="62921"/>
  <c r="C37" i="62907"/>
  <c r="C54" i="62907" s="1"/>
  <c r="D19" i="62907"/>
  <c r="C45" i="62907"/>
  <c r="D45" i="62907" s="1"/>
  <c r="E54" i="62907" s="1"/>
  <c r="C38" i="62907"/>
  <c r="C55" i="62907" s="1"/>
  <c r="C46" i="62907"/>
  <c r="D46" i="62907" s="1"/>
  <c r="E55" i="62907" s="1"/>
  <c r="C39" i="62907"/>
  <c r="C56" i="62907" s="1"/>
  <c r="C47" i="62907"/>
  <c r="D47" i="62907" s="1"/>
  <c r="E56" i="62907" s="1"/>
  <c r="D144" i="62892"/>
  <c r="D557" i="62921"/>
  <c r="D558" i="62921" s="1"/>
  <c r="D559" i="62921" s="1"/>
  <c r="D560" i="62921" s="1"/>
  <c r="D561" i="62921" s="1"/>
  <c r="D562" i="62921" s="1"/>
  <c r="D563" i="62921" s="1"/>
  <c r="D564" i="62921" s="1"/>
  <c r="D565" i="62921" s="1"/>
  <c r="D566" i="62921" s="1"/>
  <c r="D567" i="62921" s="1"/>
  <c r="D568" i="62921" s="1"/>
  <c r="D569" i="62921" s="1"/>
  <c r="D570" i="62921" s="1"/>
  <c r="D571" i="62921" s="1"/>
  <c r="D572" i="62921" s="1"/>
  <c r="D573" i="62921" s="1"/>
  <c r="D574" i="62921" s="1"/>
  <c r="D575" i="62921" s="1"/>
  <c r="D576" i="62921" s="1"/>
  <c r="D577" i="62921" s="1"/>
  <c r="D578" i="62921" s="1"/>
  <c r="D579" i="62921" s="1"/>
  <c r="D580" i="62921" s="1"/>
  <c r="D581" i="62921" s="1"/>
  <c r="D582" i="62921" s="1"/>
  <c r="D583" i="62921" s="1"/>
  <c r="D584" i="62921" s="1"/>
  <c r="D585" i="62921" s="1"/>
  <c r="D586" i="62921" s="1"/>
  <c r="D587" i="62921" s="1"/>
  <c r="D588" i="62921" s="1"/>
  <c r="D589" i="62921" s="1"/>
  <c r="D590" i="62921" s="1"/>
  <c r="D591" i="62921" s="1"/>
  <c r="D592" i="62921" s="1"/>
  <c r="D593" i="62921" s="1"/>
  <c r="D594" i="62921" s="1"/>
  <c r="D37" i="62907" l="1"/>
  <c r="D54" i="62907" s="1"/>
  <c r="D85" i="62921"/>
  <c r="E86" i="62921"/>
  <c r="D39" i="62907"/>
  <c r="D56" i="62907" s="1"/>
  <c r="D38" i="62907"/>
  <c r="D55" i="62907" s="1"/>
  <c r="C557" i="62921"/>
  <c r="C559" i="62921"/>
  <c r="C560" i="62921"/>
  <c r="C571" i="62921"/>
  <c r="C561" i="62921"/>
  <c r="E87" i="62921" l="1"/>
  <c r="D86" i="62921"/>
  <c r="C566" i="62921"/>
  <c r="C570" i="62921"/>
  <c r="C563" i="62921"/>
  <c r="C568" i="62921"/>
  <c r="C564" i="62921"/>
  <c r="C567" i="62921"/>
  <c r="C562" i="62921"/>
  <c r="C565" i="62921"/>
  <c r="C558" i="62921"/>
  <c r="C569" i="62921"/>
  <c r="AT342" i="5"/>
  <c r="AT362" i="5"/>
  <c r="AT89" i="5"/>
  <c r="AT273" i="5"/>
  <c r="AT525" i="5"/>
  <c r="AT545" i="5"/>
  <c r="AT456" i="5"/>
  <c r="AT252" i="5"/>
  <c r="AT116" i="5"/>
  <c r="AT316" i="5"/>
  <c r="AT435" i="5"/>
  <c r="AT34" i="5"/>
  <c r="AT97" i="5"/>
  <c r="AT300" i="5"/>
  <c r="AT217" i="5"/>
  <c r="AT281" i="5"/>
  <c r="AT483" i="5"/>
  <c r="AT68" i="5"/>
  <c r="AT158" i="5"/>
  <c r="AT178" i="5"/>
  <c r="AT401" i="5"/>
  <c r="AT464" i="5"/>
  <c r="D1216" i="62919"/>
  <c r="D1217" i="62919" l="1"/>
  <c r="D1218" i="62919" s="1"/>
  <c r="D1219" i="62919" s="1"/>
  <c r="D1220" i="62919" s="1"/>
  <c r="D1221" i="62919" s="1"/>
  <c r="D87" i="62921"/>
  <c r="E88" i="62921"/>
  <c r="C1221" i="62919" l="1"/>
  <c r="C1220" i="62919"/>
  <c r="C1222" i="62919"/>
  <c r="C1219" i="62919"/>
  <c r="C1218" i="62919"/>
  <c r="C1217" i="62919"/>
  <c r="E89" i="62921"/>
  <c r="D88" i="62921"/>
  <c r="D89" i="62921" l="1"/>
  <c r="E90" i="62921"/>
  <c r="E91" i="62921" l="1"/>
  <c r="D90" i="62921"/>
  <c r="D91" i="62921" l="1"/>
  <c r="E92" i="62921"/>
  <c r="D41" i="62923"/>
  <c r="C41" i="62923" l="1"/>
  <c r="E93" i="62921"/>
  <c r="D92" i="62921"/>
  <c r="D42" i="62923"/>
  <c r="D43" i="62923" s="1"/>
  <c r="D44" i="62923" s="1"/>
  <c r="D45" i="62923" s="1"/>
  <c r="D46" i="62923" s="1"/>
  <c r="D47" i="62923" s="1"/>
  <c r="D48" i="62923" s="1"/>
  <c r="D49" i="62923" s="1"/>
  <c r="D50" i="62923" s="1"/>
  <c r="D51" i="62923" s="1"/>
  <c r="D52" i="62923" s="1"/>
  <c r="D53" i="62923" s="1"/>
  <c r="D54" i="62923" s="1"/>
  <c r="D65" i="62923" s="1"/>
  <c r="C53" i="62923" l="1"/>
  <c r="C45" i="62923"/>
  <c r="C52" i="62923"/>
  <c r="C55" i="62923"/>
  <c r="C44" i="62923"/>
  <c r="C49" i="62923"/>
  <c r="C51" i="62923"/>
  <c r="C54" i="62923"/>
  <c r="C46" i="62923"/>
  <c r="C43" i="62923"/>
  <c r="C48" i="62923"/>
  <c r="C50" i="62923"/>
  <c r="C47" i="62923"/>
  <c r="C42" i="62923"/>
  <c r="D93" i="62921"/>
  <c r="E94" i="62921"/>
  <c r="X211" i="2"/>
  <c r="M362" i="2" l="1"/>
  <c r="N295" i="2"/>
  <c r="M328" i="2"/>
  <c r="L262" i="2"/>
  <c r="E95" i="62921"/>
  <c r="D94" i="62921"/>
  <c r="H228" i="2"/>
  <c r="G102" i="62910" s="1"/>
  <c r="H102" i="62910" s="1"/>
  <c r="H243" i="2"/>
  <c r="G166" i="62909" s="1"/>
  <c r="H166" i="62909" s="1"/>
  <c r="Q211" i="2"/>
  <c r="D95" i="62921" l="1"/>
  <c r="E96" i="62921"/>
  <c r="N228" i="2"/>
  <c r="K228" i="2"/>
  <c r="K22" i="62912"/>
  <c r="L275" i="2"/>
  <c r="H244" i="2"/>
  <c r="I244" i="2" s="1"/>
  <c r="H229" i="2"/>
  <c r="I229" i="2" s="1"/>
  <c r="F102" i="62892"/>
  <c r="F93" i="62892" s="1"/>
  <c r="N309" i="2"/>
  <c r="N23" i="62914"/>
  <c r="M341" i="2"/>
  <c r="M22" i="62915"/>
  <c r="F140" i="62892" l="1"/>
  <c r="N140" i="62892" s="1"/>
  <c r="G93" i="62892"/>
  <c r="G140" i="62892" s="1"/>
  <c r="E97" i="62921"/>
  <c r="D96" i="62921"/>
  <c r="N229" i="2"/>
  <c r="K229" i="2"/>
  <c r="H157" i="62909"/>
  <c r="H223" i="62909" s="1"/>
  <c r="H227" i="62909" s="1"/>
  <c r="G157" i="62909"/>
  <c r="G223" i="62909" s="1"/>
  <c r="G227" i="62909" s="1"/>
  <c r="E52" i="62914"/>
  <c r="N37" i="62914"/>
  <c r="N42" i="62929" s="1"/>
  <c r="N28" i="62929"/>
  <c r="Z28" i="62929" s="1"/>
  <c r="Z42" i="62929" s="1"/>
  <c r="H52" i="62914"/>
  <c r="Z23" i="62914"/>
  <c r="Z37" i="62914" s="1"/>
  <c r="Y22" i="62915"/>
  <c r="Y35" i="62915" s="1"/>
  <c r="M35" i="62915"/>
  <c r="H50" i="62915"/>
  <c r="E50" i="62915"/>
  <c r="H62" i="62912"/>
  <c r="E62" i="62912"/>
  <c r="K35" i="62912"/>
  <c r="F40" i="62912" s="1"/>
  <c r="T22" i="62912"/>
  <c r="T35" i="62912" s="1"/>
  <c r="F144" i="62892" l="1"/>
  <c r="K140" i="62892"/>
  <c r="D97" i="62921"/>
  <c r="E98" i="62921"/>
  <c r="D1875" i="62919"/>
  <c r="N144" i="62892" l="1"/>
  <c r="G144" i="62892"/>
  <c r="K144" i="62892"/>
  <c r="E99" i="62921"/>
  <c r="D98" i="62921"/>
  <c r="C1875" i="62919"/>
  <c r="D1876" i="62919"/>
  <c r="D1877" i="62919" s="1"/>
  <c r="D1878" i="62919" s="1"/>
  <c r="D1879" i="62919" s="1"/>
  <c r="D1880" i="62919" s="1"/>
  <c r="D1881" i="62919" s="1"/>
  <c r="D1882" i="62919" s="1"/>
  <c r="D1883" i="62919" s="1"/>
  <c r="D1884" i="62919" s="1"/>
  <c r="D1885" i="62919" s="1"/>
  <c r="D1886" i="62919" s="1"/>
  <c r="D1887" i="62919" s="1"/>
  <c r="D1888" i="62919" s="1"/>
  <c r="D1889" i="62919" s="1"/>
  <c r="D1890" i="62919" s="1"/>
  <c r="D1891" i="62919" s="1"/>
  <c r="D1892" i="62919" s="1"/>
  <c r="D1893" i="62919" s="1"/>
  <c r="D1894" i="62919" s="1"/>
  <c r="D1895" i="62919" s="1"/>
  <c r="D1896" i="62919" s="1"/>
  <c r="D1897" i="62919" s="1"/>
  <c r="D1898" i="62919" s="1"/>
  <c r="D1899" i="62919" s="1"/>
  <c r="D99" i="62921" l="1"/>
  <c r="E100" i="62921"/>
  <c r="C1893" i="62919"/>
  <c r="C1883" i="62919"/>
  <c r="C1889" i="62919"/>
  <c r="C1895" i="62919"/>
  <c r="C1885" i="62919"/>
  <c r="C1880" i="62919"/>
  <c r="C1890" i="62919"/>
  <c r="C1882" i="62919"/>
  <c r="C1887" i="62919"/>
  <c r="C1877" i="62919"/>
  <c r="C1879" i="62919"/>
  <c r="C1894" i="62919"/>
  <c r="C1892" i="62919"/>
  <c r="C1897" i="62919"/>
  <c r="C1899" i="62919"/>
  <c r="C1896" i="62919"/>
  <c r="C1886" i="62919"/>
  <c r="C1884" i="62919"/>
  <c r="C1898" i="62919"/>
  <c r="C1881" i="62919"/>
  <c r="C1891" i="62919"/>
  <c r="C1888" i="62919"/>
  <c r="C1878" i="62919"/>
  <c r="C1876" i="62919"/>
  <c r="E101" i="62921" l="1"/>
  <c r="D100" i="62921"/>
  <c r="D101" i="62921" l="1"/>
  <c r="E102" i="62921"/>
  <c r="E103" i="62921" l="1"/>
  <c r="D102" i="62921"/>
  <c r="D103" i="62921" l="1"/>
  <c r="E104" i="62921"/>
  <c r="E105" i="62921" l="1"/>
  <c r="D104" i="62921"/>
  <c r="D105" i="62921" l="1"/>
  <c r="E106" i="62921"/>
  <c r="E107" i="62921" l="1"/>
  <c r="D106" i="62921"/>
  <c r="D107" i="62921" l="1"/>
  <c r="E108" i="62921"/>
  <c r="E109" i="62921" l="1"/>
  <c r="D108" i="62921"/>
  <c r="D109" i="62921" l="1"/>
  <c r="E110" i="62921"/>
  <c r="E111" i="62921" l="1"/>
  <c r="E112" i="62921" s="1"/>
  <c r="E113" i="62921" s="1"/>
  <c r="E114" i="62921" s="1"/>
  <c r="E115" i="62921" s="1"/>
  <c r="E116" i="62921" s="1"/>
  <c r="E117" i="62921" s="1"/>
  <c r="E118" i="62921" s="1"/>
  <c r="E119" i="62921" s="1"/>
  <c r="E120" i="62921" s="1"/>
  <c r="E121" i="62921" s="1"/>
  <c r="E122" i="62921" s="1"/>
  <c r="E123" i="62921" s="1"/>
  <c r="E124" i="62921" s="1"/>
  <c r="E125" i="62921" s="1"/>
  <c r="E126" i="62921" s="1"/>
  <c r="E127" i="62921" s="1"/>
  <c r="E128" i="62921" s="1"/>
  <c r="E129" i="62921" s="1"/>
  <c r="E130" i="62921" s="1"/>
  <c r="E131" i="62921" s="1"/>
  <c r="D110" i="62921"/>
  <c r="D111" i="62921" l="1"/>
  <c r="D112" i="62921" s="1"/>
  <c r="D113" i="62921" s="1"/>
  <c r="D114" i="62921" s="1"/>
  <c r="D115" i="62921" s="1"/>
  <c r="D116" i="62921" s="1"/>
  <c r="D117" i="62921" s="1"/>
  <c r="D118" i="62921" s="1"/>
  <c r="D119" i="62921" s="1"/>
  <c r="D120" i="62921" s="1"/>
  <c r="D121" i="62921" s="1"/>
  <c r="D122" i="62921" s="1"/>
  <c r="D123" i="62921" s="1"/>
  <c r="D124" i="62921" s="1"/>
  <c r="D125" i="62921" s="1"/>
  <c r="D126" i="62921" s="1"/>
  <c r="D127" i="62921" s="1"/>
  <c r="D128" i="62921" s="1"/>
  <c r="D129" i="62921" s="1"/>
  <c r="D130" i="62921" s="1"/>
  <c r="D131" i="62921" s="1"/>
  <c r="C66" i="62921" s="1"/>
  <c r="C154" i="62921"/>
  <c r="C146" i="62921"/>
  <c r="C155" i="62921"/>
  <c r="C151" i="62921"/>
  <c r="C158" i="62921"/>
  <c r="C165" i="62921"/>
  <c r="C152" i="62921"/>
  <c r="C150" i="62921"/>
  <c r="C164" i="62921"/>
  <c r="C148" i="62921"/>
  <c r="C156" i="62921"/>
  <c r="C166" i="62921"/>
  <c r="C162" i="62921"/>
  <c r="C147" i="62921"/>
  <c r="C163" i="62921"/>
  <c r="C157" i="62921"/>
  <c r="C161" i="62921"/>
  <c r="C167" i="62921"/>
  <c r="C168" i="62921"/>
  <c r="C153" i="62921"/>
  <c r="C144" i="62921"/>
  <c r="C145" i="62921"/>
  <c r="C149" i="62921"/>
  <c r="C159" i="62921"/>
  <c r="C160" i="62921"/>
  <c r="C57" i="62921"/>
  <c r="C54" i="62921"/>
  <c r="C56" i="62921"/>
  <c r="C65" i="62921"/>
  <c r="C64" i="62921"/>
  <c r="C59" i="62921"/>
  <c r="C58" i="62921"/>
  <c r="C63" i="62921"/>
  <c r="C62" i="62921"/>
  <c r="C60" i="62921"/>
  <c r="C61" i="62921"/>
  <c r="C55" i="62921"/>
  <c r="C72" i="62921"/>
  <c r="C67" i="62921" l="1"/>
  <c r="C70" i="62921"/>
  <c r="C71" i="62921"/>
  <c r="C69" i="62921"/>
  <c r="C68" i="62921"/>
  <c r="D1902" i="62919" l="1"/>
  <c r="E1903" i="62919"/>
  <c r="D1903" i="62919" l="1"/>
  <c r="E1904" i="62919"/>
  <c r="D1904" i="62919" l="1"/>
  <c r="E1905" i="62919"/>
  <c r="E1906" i="62919" l="1"/>
  <c r="E1907" i="62919" s="1"/>
  <c r="D1905" i="62919"/>
  <c r="D1906" i="62919" l="1"/>
  <c r="D1907" i="62919" s="1"/>
  <c r="E1908" i="62919"/>
  <c r="E1909" i="62919" s="1"/>
  <c r="D1908" i="62919" l="1"/>
  <c r="E1910" i="62919"/>
  <c r="E1911" i="62919" l="1"/>
  <c r="E1912" i="62919" s="1"/>
  <c r="E1913" i="62919" s="1"/>
  <c r="E1914" i="62919" s="1"/>
  <c r="E1915" i="62919" s="1"/>
  <c r="E1916" i="62919" s="1"/>
  <c r="E1917" i="62919" s="1"/>
  <c r="E1918" i="62919" s="1"/>
  <c r="E1919" i="62919" s="1"/>
  <c r="E1920" i="62919" s="1"/>
  <c r="D1909" i="62919"/>
  <c r="D1910" i="62919" l="1"/>
  <c r="D1911" i="62919" l="1"/>
  <c r="D1912" i="62919" l="1"/>
  <c r="D1913" i="62919" l="1"/>
  <c r="D1914" i="62919" s="1"/>
  <c r="D1915" i="62919" s="1"/>
  <c r="D1916" i="62919" s="1"/>
  <c r="D1917" i="62919" s="1"/>
  <c r="D1918" i="62919" s="1"/>
  <c r="D1919" i="62919" s="1"/>
  <c r="D1920" i="62919" s="1"/>
  <c r="C1919" i="62919" l="1"/>
  <c r="C1904" i="62919"/>
  <c r="C1920" i="62919"/>
  <c r="C1903" i="62919"/>
  <c r="C1910" i="62919"/>
  <c r="C1918" i="62919"/>
  <c r="C1907" i="62919"/>
  <c r="C1909" i="62919"/>
  <c r="C1914" i="62919"/>
  <c r="C1906" i="62919"/>
  <c r="C1912" i="62919"/>
  <c r="C1911" i="62919"/>
  <c r="C1915" i="62919"/>
  <c r="C1913" i="62919"/>
  <c r="C1917" i="62919"/>
  <c r="C1905" i="62919"/>
  <c r="C1902" i="62919"/>
  <c r="C1908" i="62919"/>
  <c r="C1916" i="62919"/>
  <c r="D1208" i="62919"/>
  <c r="D1209" i="62919" s="1"/>
  <c r="D1210" i="62919" s="1"/>
  <c r="D1211" i="62919" s="1"/>
  <c r="D1212" i="62919" s="1"/>
  <c r="D1213" i="62919" s="1"/>
  <c r="C1208" i="62919" l="1"/>
  <c r="C1209" i="62919"/>
  <c r="C1211" i="62919"/>
  <c r="C1212" i="62919"/>
  <c r="C1210" i="62919"/>
  <c r="C1213" i="62919"/>
  <c r="C1216" i="629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D7" authorId="0" shapeId="0" xr:uid="{00000000-0006-0000-0000-000001000000}">
      <text>
        <r>
          <rPr>
            <b/>
            <sz val="9"/>
            <color indexed="81"/>
            <rFont val="Tahoma"/>
            <family val="2"/>
          </rPr>
          <t>Veuillez choisir votre approche avant de compléter le reste du tableur</t>
        </r>
        <r>
          <rPr>
            <sz val="9"/>
            <color indexed="81"/>
            <rFont val="Tahoma"/>
            <family val="2"/>
          </rPr>
          <t>, si vous souhaitez :
     -  Obtenir une extraction Bilan GES, en conformité avec l'article 75 de la loi dite Grenelle 2, et/ou ;
     - Obtenir une extraction GHG Protocol, et/ou ;
     - Obtenir une extraction ISO/TR 14069:2013.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C26" authorId="0" shapeId="0" xr:uid="{00000000-0006-0000-1000-000001000000}">
      <text>
        <r>
          <rPr>
            <sz val="9"/>
            <color indexed="81"/>
            <rFont val="Tahoma"/>
            <family val="2"/>
          </rPr>
          <t xml:space="preserve">Le calcul de cet objectif de réduction repose sur l'hypothèse suivante : </t>
        </r>
        <r>
          <rPr>
            <b/>
            <sz val="9"/>
            <color indexed="81"/>
            <rFont val="Tahoma"/>
            <family val="2"/>
          </rPr>
          <t>l'activité considérée reste constante.</t>
        </r>
      </text>
    </comment>
    <comment ref="C30" authorId="0" shapeId="0" xr:uid="{00000000-0006-0000-1000-000002000000}">
      <text>
        <r>
          <rPr>
            <sz val="9"/>
            <color indexed="81"/>
            <rFont val="Tahoma"/>
            <family val="2"/>
          </rPr>
          <t xml:space="preserve">Le calcul de cet objectif de réduction repose sur l'hypothèse suivante : sans actions de réduction, </t>
        </r>
        <r>
          <rPr>
            <b/>
            <sz val="9"/>
            <color indexed="81"/>
            <rFont val="Tahoma"/>
            <family val="2"/>
          </rPr>
          <t>les émissions de GES évoluent proportionnellement à la croissance de l'activité</t>
        </r>
        <r>
          <rPr>
            <sz val="9"/>
            <color indexed="81"/>
            <rFont val="Tahoma"/>
            <family val="2"/>
          </rPr>
          <t>.
Exemple : Si une activité conserve le même mode de fonctionnement avec une croissance de 5% au cours d'une année,  elle verra ses émissions augmenter de 5% au cours de cette même année.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100-000001000000}">
      <text>
        <r>
          <rPr>
            <sz val="9"/>
            <color indexed="81"/>
            <rFont val="Tahoma"/>
            <family val="2"/>
          </rPr>
          <t>Veuillez indiquer "Oui" si le site considéré est un franchisé de l'entité réalisant son Bilan GES.</t>
        </r>
      </text>
    </comment>
    <comment ref="E5" authorId="0" shapeId="0" xr:uid="{00000000-0006-0000-1100-000002000000}">
      <text>
        <r>
          <rPr>
            <sz val="9"/>
            <color indexed="81"/>
            <rFont val="Tahoma"/>
            <family val="2"/>
          </rPr>
          <t>Veuillez indiquer "Oui" si le site considéré est un franchiseur de l'entité réalisant son Bilan GES.</t>
        </r>
      </text>
    </comment>
    <comment ref="D14" authorId="0" shapeId="0" xr:uid="{00000000-0006-0000-1100-000003000000}">
      <text>
        <r>
          <rPr>
            <sz val="9"/>
            <color indexed="81"/>
            <rFont val="Tahoma"/>
            <family val="2"/>
          </rPr>
          <t>Le poste 5 est à alimenter directement en justifiant les données renseignées.
Il est recommandé de suivre les préconisations du GIEC à ce sujet.</t>
        </r>
      </text>
    </comment>
    <comment ref="E38" authorId="0" shapeId="0" xr:uid="{00000000-0006-0000-1100-000004000000}">
      <text>
        <r>
          <rPr>
            <sz val="9"/>
            <color indexed="81"/>
            <rFont val="Tahoma"/>
            <family val="2"/>
          </rPr>
          <t>Les gaz contribuant à l'augmentation de l'effet de serre qui doivent être pris en compte dans la réalisation des bilans sont les gaz retenus dans le cadre du protocole de Kyoto à savoir</t>
        </r>
        <r>
          <rPr>
            <b/>
            <sz val="9"/>
            <color indexed="81"/>
            <rFont val="Tahoma"/>
            <family val="2"/>
          </rPr>
          <t xml:space="preserve"> le CO2, le CH4, le N2O et le SF6, ainsi que les groupes de gaz HFC et PFC.
Si vous avez relevé des émissions de gaz hors Kyoto et que vous ne souhaitez pas les inclure dans votre bilan, indiquez "Non".</t>
        </r>
      </text>
    </comment>
    <comment ref="E42" authorId="0" shapeId="0" xr:uid="{00000000-0006-0000-1100-000005000000}">
      <text>
        <r>
          <rPr>
            <b/>
            <sz val="9"/>
            <color indexed="81"/>
            <rFont val="Tahoma"/>
            <family val="2"/>
          </rPr>
          <t>Si ce résultat est différent de 0</t>
        </r>
        <r>
          <rPr>
            <sz val="9"/>
            <color indexed="81"/>
            <rFont val="Tahoma"/>
            <family val="2"/>
          </rPr>
          <t>, cela signifie que le choix d'un ou plusieurs facteurs d'émissions n'a pas été effectuée correctement effectuée. 
Dans ce cas vérifiez chacun des facteurs d'émissions utilisés pour des matériels détenus ou controlés (en fonction de l'approche retenue) dans les onglets "Energie", "Fret" et "Déplacements".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200-000001000000}">
      <text>
        <r>
          <rPr>
            <sz val="9"/>
            <color indexed="81"/>
            <rFont val="Tahoma"/>
            <family val="2"/>
          </rPr>
          <t>Veuillez indiquer "Oui" si le site considéré est un franchisé de l'entité réalisant son ISO 14069.</t>
        </r>
      </text>
    </comment>
    <comment ref="E5" authorId="0" shapeId="0" xr:uid="{00000000-0006-0000-1200-000002000000}">
      <text>
        <r>
          <rPr>
            <sz val="9"/>
            <color indexed="81"/>
            <rFont val="Tahoma"/>
            <family val="2"/>
          </rPr>
          <t>Veuillez indiquer "Oui" si le site considéré est un franchiseur de l'entité réalisant son ISO 14069.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300-000001000000}">
      <text>
        <r>
          <rPr>
            <sz val="9"/>
            <color indexed="81"/>
            <rFont val="Tahoma"/>
            <family val="2"/>
          </rPr>
          <t>Veuillez indiquer "Oui" si le site considéré est un franchisé de l'entité réalisant son GHG Protocol.</t>
        </r>
      </text>
    </comment>
    <comment ref="E5" authorId="0" shapeId="0" xr:uid="{00000000-0006-0000-1300-000002000000}">
      <text>
        <r>
          <rPr>
            <sz val="9"/>
            <color indexed="81"/>
            <rFont val="Tahoma"/>
            <family val="2"/>
          </rPr>
          <t>Veuillez indiquer "Oui" si le site considéré est un franchiseur de l'entité réalisant son GHG Protocol.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8" authorId="0" shapeId="0" xr:uid="{00000000-0006-0000-1400-000001000000}">
      <text>
        <r>
          <rPr>
            <sz val="9"/>
            <color indexed="81"/>
            <rFont val="Tahoma"/>
            <family val="2"/>
          </rPr>
          <t>Veuillez indiquer "Oui" si le site considéré est un franchisé de l'entité réalisant son ISO 14069.</t>
        </r>
      </text>
    </comment>
    <comment ref="E9" authorId="0" shapeId="0" xr:uid="{00000000-0006-0000-1400-000002000000}">
      <text>
        <r>
          <rPr>
            <sz val="9"/>
            <color indexed="81"/>
            <rFont val="Tahoma"/>
            <family val="2"/>
          </rPr>
          <t>Veuillez indiquer "Oui" si le site considéré est un franchiseur de l'entité réalisant son ISO 14069.</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Jean-Marc Jancovici</author>
  </authors>
  <commentList>
    <comment ref="D79" authorId="0" shapeId="0" xr:uid="{00000000-0006-0000-1E00-000001000000}">
      <text>
        <r>
          <rPr>
            <sz val="9"/>
            <rFont val="Geneva"/>
          </rPr>
          <t>Par défaut, % pour les agromatériaux - à changer si nécessaire</t>
        </r>
      </text>
    </comment>
    <comment ref="D106" authorId="0" shapeId="0" xr:uid="{00000000-0006-0000-1E00-000002000000}">
      <text>
        <r>
          <rPr>
            <sz val="9"/>
            <rFont val="Geneva"/>
          </rPr>
          <t>Par défaut, au prorata des % d'export des émissions des divers modes pris en compte - changer si nécessaire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300-00000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22" authorId="0" shapeId="0" xr:uid="{00000000-0006-0000-03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30" authorId="0" shapeId="0" xr:uid="{00000000-0006-0000-03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41" authorId="0" shapeId="0" xr:uid="{00000000-0006-0000-0300-00000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53" authorId="0" shapeId="0" xr:uid="{00000000-0006-0000-0300-00000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66" authorId="0" shapeId="0" xr:uid="{00000000-0006-0000-03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79" authorId="0" shapeId="0" xr:uid="{00000000-0006-0000-03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94" authorId="0" shapeId="0" xr:uid="{00000000-0006-0000-03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400-00000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22" authorId="0" shapeId="0" xr:uid="{00000000-0006-0000-04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30" authorId="0" shapeId="0" xr:uid="{00000000-0006-0000-04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41" authorId="0" shapeId="0" xr:uid="{00000000-0006-0000-0400-00000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53" authorId="0" shapeId="0" xr:uid="{00000000-0006-0000-0400-00000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66" authorId="0" shapeId="0" xr:uid="{00000000-0006-0000-04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79" authorId="0" shapeId="0" xr:uid="{00000000-0006-0000-04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94" authorId="0" shapeId="0" xr:uid="{00000000-0006-0000-04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 Dely</author>
    <author>JMJ</author>
  </authors>
  <commentList>
    <comment ref="B13" authorId="0" shapeId="0" xr:uid="{00000000-0006-0000-0900-000001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5" authorId="0" shapeId="0" xr:uid="{00000000-0006-0000-09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5" authorId="0" shapeId="0" xr:uid="{00000000-0006-0000-09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5" authorId="0" shapeId="0" xr:uid="{00000000-0006-0000-09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6" authorId="0" shapeId="0" xr:uid="{00000000-0006-0000-0900-000005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8" authorId="0" shapeId="0" xr:uid="{00000000-0006-0000-09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38" authorId="0" shapeId="0" xr:uid="{00000000-0006-0000-09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51" authorId="0" shapeId="0" xr:uid="{00000000-0006-0000-0900-000008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53" authorId="0" shapeId="0" xr:uid="{00000000-0006-0000-0900-000009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53" authorId="0" shapeId="0" xr:uid="{00000000-0006-0000-0900-00000A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53" authorId="0" shapeId="0" xr:uid="{00000000-0006-0000-0900-00000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60" authorId="0" shapeId="0" xr:uid="{00000000-0006-0000-0900-00000C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62" authorId="0" shapeId="0" xr:uid="{00000000-0006-0000-0900-00000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72" authorId="0" shapeId="0" xr:uid="{00000000-0006-0000-0900-00000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83" authorId="0" shapeId="0" xr:uid="{00000000-0006-0000-0900-00000F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85" authorId="0" shapeId="0" xr:uid="{00000000-0006-0000-0900-000010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85" authorId="1" shapeId="0" xr:uid="{00000000-0006-0000-0900-000011000000}">
      <text>
        <r>
          <rPr>
            <sz val="9"/>
            <color indexed="81"/>
            <rFont val="Geneva"/>
          </rPr>
          <t>Le facteur d'émission doit être adapté au cas de figure rencontré, celui par défaut étant celui de l'électricité de réseau française pour les usages transport.</t>
        </r>
      </text>
    </comment>
    <comment ref="B99" authorId="0" shapeId="0" xr:uid="{00000000-0006-0000-0900-00001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01" authorId="0" shapeId="0" xr:uid="{00000000-0006-0000-0900-000013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101" authorId="0" shapeId="0" xr:uid="{00000000-0006-0000-0900-00001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01" authorId="0" shapeId="0" xr:uid="{00000000-0006-0000-0900-00001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08" authorId="0" shapeId="0" xr:uid="{00000000-0006-0000-0900-00001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10" authorId="0" shapeId="0" xr:uid="{00000000-0006-0000-0900-00001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18" authorId="0" shapeId="0" xr:uid="{00000000-0006-0000-0900-000018000000}">
      <text>
        <r>
          <rPr>
            <sz val="9"/>
            <color indexed="81"/>
            <rFont val="Tahoma"/>
            <family val="2"/>
          </rPr>
          <t>Ce tableau ne peut pas être utilisé pour des trains possédés.</t>
        </r>
      </text>
    </comment>
    <comment ref="F120" authorId="0" shapeId="0" xr:uid="{00000000-0006-0000-0900-00001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37" authorId="0" shapeId="0" xr:uid="{00000000-0006-0000-0900-00001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39" authorId="0" shapeId="0" xr:uid="{00000000-0006-0000-0900-00001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39" authorId="0" shapeId="0" xr:uid="{00000000-0006-0000-0900-00001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39" authorId="0" shapeId="0" xr:uid="{00000000-0006-0000-0900-00001D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50" authorId="0" shapeId="0" xr:uid="{00000000-0006-0000-0900-00001E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52" authorId="0" shapeId="0" xr:uid="{00000000-0006-0000-0900-00001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60" authorId="1" shapeId="0" xr:uid="{00000000-0006-0000-0900-000020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162" authorId="0" shapeId="0" xr:uid="{00000000-0006-0000-0900-00002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70" authorId="0" shapeId="0" xr:uid="{00000000-0006-0000-0900-00002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72" authorId="0" shapeId="0" xr:uid="{00000000-0006-0000-0900-00002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182" authorId="0" shapeId="0" xr:uid="{00000000-0006-0000-0900-00002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196" authorId="0" shapeId="0" xr:uid="{00000000-0006-0000-0900-000025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98" authorId="0" shapeId="0" xr:uid="{00000000-0006-0000-0900-00002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98" authorId="0" shapeId="0" xr:uid="{00000000-0006-0000-0900-000027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98" authorId="0" shapeId="0" xr:uid="{00000000-0006-0000-0900-000028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09" authorId="0" shapeId="0" xr:uid="{00000000-0006-0000-0900-000029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11" authorId="0" shapeId="0" xr:uid="{00000000-0006-0000-0900-00002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221" authorId="0" shapeId="0" xr:uid="{00000000-0006-0000-0900-00002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35" authorId="0" shapeId="0" xr:uid="{00000000-0006-0000-0900-00002C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37" authorId="0" shapeId="0" xr:uid="{00000000-0006-0000-0900-00002D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37" authorId="0" shapeId="0" xr:uid="{00000000-0006-0000-0900-00002E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37" authorId="0" shapeId="0" xr:uid="{00000000-0006-0000-0900-00002F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44" authorId="0" shapeId="0" xr:uid="{00000000-0006-0000-0900-000030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46" authorId="0" shapeId="0" xr:uid="{00000000-0006-0000-0900-00003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256" authorId="0" shapeId="0" xr:uid="{00000000-0006-0000-0900-00003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267" authorId="0" shapeId="0" xr:uid="{00000000-0006-0000-0900-000033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69" authorId="0" shapeId="0" xr:uid="{00000000-0006-0000-0900-00003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269" authorId="1" shapeId="0" xr:uid="{00000000-0006-0000-0900-000035000000}">
      <text>
        <r>
          <rPr>
            <sz val="9"/>
            <color indexed="81"/>
            <rFont val="Geneva"/>
          </rPr>
          <t>Le facteur d'émission doit être adapté au cas de figure rencontré, celui par défaut étant celui de l'électricité de réseau française pour les usages transport.</t>
        </r>
      </text>
    </comment>
    <comment ref="B283" authorId="0" shapeId="0" xr:uid="{00000000-0006-0000-0900-000036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85" authorId="0" shapeId="0" xr:uid="{00000000-0006-0000-0900-000037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85" authorId="0" shapeId="0" xr:uid="{00000000-0006-0000-0900-000038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85" authorId="0" shapeId="0" xr:uid="{00000000-0006-0000-0900-000039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92" authorId="0" shapeId="0" xr:uid="{00000000-0006-0000-0900-00003A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94" authorId="0" shapeId="0" xr:uid="{00000000-0006-0000-0900-00003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02" authorId="0" shapeId="0" xr:uid="{00000000-0006-0000-0900-00003C000000}">
      <text>
        <r>
          <rPr>
            <sz val="9"/>
            <color indexed="81"/>
            <rFont val="Tahoma"/>
            <family val="2"/>
          </rPr>
          <t>Ce tableau ne peut pas être utilisé pour des trains possédés.</t>
        </r>
      </text>
    </comment>
    <comment ref="F304" authorId="0" shapeId="0" xr:uid="{00000000-0006-0000-0900-00003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21" authorId="0" shapeId="0" xr:uid="{00000000-0006-0000-0900-00003E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23" authorId="0" shapeId="0" xr:uid="{00000000-0006-0000-0900-00003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23" authorId="0" shapeId="0" xr:uid="{00000000-0006-0000-0900-00004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3" authorId="0" shapeId="0" xr:uid="{00000000-0006-0000-0900-00004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34" authorId="0" shapeId="0" xr:uid="{00000000-0006-0000-0900-00004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36" authorId="0" shapeId="0" xr:uid="{00000000-0006-0000-0900-00004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44" authorId="1" shapeId="0" xr:uid="{00000000-0006-0000-0900-000044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346" authorId="0" shapeId="0" xr:uid="{00000000-0006-0000-0900-00004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354" authorId="0" shapeId="0" xr:uid="{00000000-0006-0000-0900-00004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56" authorId="0" shapeId="0" xr:uid="{00000000-0006-0000-0900-00004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366" authorId="0" shapeId="0" xr:uid="{00000000-0006-0000-0900-00004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380" authorId="0" shapeId="0" xr:uid="{00000000-0006-0000-0900-000049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82" authorId="0" shapeId="0" xr:uid="{00000000-0006-0000-0900-00004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82" authorId="0" shapeId="0" xr:uid="{00000000-0006-0000-0900-00004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82" authorId="0" shapeId="0" xr:uid="{00000000-0006-0000-0900-00004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93" authorId="0" shapeId="0" xr:uid="{00000000-0006-0000-0900-00004D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95" authorId="0" shapeId="0" xr:uid="{00000000-0006-0000-0900-00004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405" authorId="0" shapeId="0" xr:uid="{00000000-0006-0000-0900-00004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418" authorId="0" shapeId="0" xr:uid="{00000000-0006-0000-0900-000050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20" authorId="0" shapeId="0" xr:uid="{00000000-0006-0000-0900-000051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420" authorId="0" shapeId="0" xr:uid="{00000000-0006-0000-0900-00005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20" authorId="0" shapeId="0" xr:uid="{00000000-0006-0000-0900-00005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427" authorId="0" shapeId="0" xr:uid="{00000000-0006-0000-0900-000054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429" authorId="0" shapeId="0" xr:uid="{00000000-0006-0000-0900-00005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439" authorId="0" shapeId="0" xr:uid="{00000000-0006-0000-0900-00005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450" authorId="0" shapeId="0" xr:uid="{00000000-0006-0000-0900-000057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52" authorId="0" shapeId="0" xr:uid="{00000000-0006-0000-0900-00005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452" authorId="1" shapeId="0" xr:uid="{00000000-0006-0000-0900-000059000000}">
      <text>
        <r>
          <rPr>
            <sz val="9"/>
            <color indexed="81"/>
            <rFont val="Geneva"/>
          </rPr>
          <t>Le facteur d'émission doit être adapté au cas de figure rencontré, celui par défaut étant celui de l'électricité de réseau française pour les usages transport.</t>
        </r>
      </text>
    </comment>
    <comment ref="B466" authorId="0" shapeId="0" xr:uid="{00000000-0006-0000-0900-00005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68" authorId="0" shapeId="0" xr:uid="{00000000-0006-0000-0900-00005B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468" authorId="0" shapeId="0" xr:uid="{00000000-0006-0000-0900-00005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68" authorId="0" shapeId="0" xr:uid="{00000000-0006-0000-0900-00005D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475" authorId="0" shapeId="0" xr:uid="{00000000-0006-0000-0900-00005E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477" authorId="0" shapeId="0" xr:uid="{00000000-0006-0000-0900-00005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485" authorId="0" shapeId="0" xr:uid="{00000000-0006-0000-0900-000060000000}">
      <text>
        <r>
          <rPr>
            <sz val="9"/>
            <color indexed="81"/>
            <rFont val="Tahoma"/>
            <family val="2"/>
          </rPr>
          <t>Ce tableau ne peut pas être utilisé pour des trains possédés.</t>
        </r>
      </text>
    </comment>
    <comment ref="F487" authorId="0" shapeId="0" xr:uid="{00000000-0006-0000-0900-00006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504" authorId="0" shapeId="0" xr:uid="{00000000-0006-0000-0900-00006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506" authorId="0" shapeId="0" xr:uid="{00000000-0006-0000-0900-00006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506" authorId="0" shapeId="0" xr:uid="{00000000-0006-0000-0900-00006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506" authorId="0" shapeId="0" xr:uid="{00000000-0006-0000-0900-00006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517" authorId="0" shapeId="0" xr:uid="{00000000-0006-0000-0900-00006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519" authorId="0" shapeId="0" xr:uid="{00000000-0006-0000-0900-00006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527" authorId="1" shapeId="0" xr:uid="{00000000-0006-0000-0900-000068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529" authorId="0" shapeId="0" xr:uid="{00000000-0006-0000-0900-00006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537" authorId="0" shapeId="0" xr:uid="{00000000-0006-0000-0900-00006A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539" authorId="0" shapeId="0" xr:uid="{00000000-0006-0000-0900-00006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549" authorId="0" shapeId="0" xr:uid="{00000000-0006-0000-0900-00006C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685" authorId="0" shapeId="0" xr:uid="{00000000-0006-0000-0900-00006D000000}">
      <text>
        <r>
          <rPr>
            <b/>
            <sz val="9"/>
            <color indexed="81"/>
            <rFont val="Tahoma"/>
            <family val="2"/>
          </rPr>
          <t>Attention :</t>
        </r>
        <r>
          <rPr>
            <sz val="9"/>
            <color indexed="81"/>
            <rFont val="Tahoma"/>
            <family val="2"/>
          </rPr>
          <t xml:space="preserve"> Contrairement à l'extraction Bilan GES, la fabrication des véhicules routiers n'est pas prise en compte ici. 
Vous devez donc la renseigner dans l'onglet Immobilisation, uniquement si le véhicule a été fabriqué au cours de l'année considérée.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 Dely</author>
    <author>Jouairyatou WAGUE</author>
    <author>JMJ</author>
  </authors>
  <commentList>
    <comment ref="D8" authorId="0" shapeId="0" xr:uid="{00000000-0006-0000-0A00-000001000000}">
      <text>
        <r>
          <rPr>
            <sz val="9"/>
            <color indexed="81"/>
            <rFont val="Tahoma"/>
            <family val="2"/>
          </rPr>
          <t>Cette donnée vient de l'onglet "Immobilisations".</t>
        </r>
      </text>
    </comment>
    <comment ref="B12" authorId="0" shapeId="0" xr:uid="{00000000-0006-0000-0A00-00000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4" authorId="0" shapeId="0" xr:uid="{00000000-0006-0000-0A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4" authorId="0" shapeId="0" xr:uid="{00000000-0006-0000-0A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4" authorId="0" shapeId="0" xr:uid="{00000000-0006-0000-0A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27" authorId="0" shapeId="0" xr:uid="{00000000-0006-0000-0A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8" authorId="0" shapeId="0" xr:uid="{00000000-0006-0000-0A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64" authorId="0" shapeId="0" xr:uid="{00000000-0006-0000-0A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74" authorId="0" shapeId="0" xr:uid="{00000000-0006-0000-0A00-00000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84" authorId="0" shapeId="0" xr:uid="{00000000-0006-0000-0A00-00000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94" authorId="0" shapeId="0" xr:uid="{00000000-0006-0000-0A00-00000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01" authorId="1" shapeId="0" xr:uid="{00000000-0006-0000-0A00-00000C000000}">
      <text>
        <r>
          <rPr>
            <b/>
            <sz val="11"/>
            <color indexed="81"/>
            <rFont val="Tahoma"/>
            <family val="2"/>
          </rPr>
          <t xml:space="preserve">Ce tableau présuppose que les trains ne sont pas possédés par l'organisation
</t>
        </r>
      </text>
    </comment>
    <comment ref="F103" authorId="0" shapeId="0" xr:uid="{00000000-0006-0000-0A00-00000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116" authorId="0" shapeId="0" xr:uid="{00000000-0006-0000-0A00-00000E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18" authorId="0" shapeId="0" xr:uid="{00000000-0006-0000-0A00-00000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18" authorId="0" shapeId="0" xr:uid="{00000000-0006-0000-0A00-00001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8" authorId="0" shapeId="0" xr:uid="{00000000-0006-0000-0A00-00001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29" authorId="0" shapeId="0" xr:uid="{00000000-0006-0000-0A00-00001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31" authorId="0" shapeId="0" xr:uid="{00000000-0006-0000-0A00-00001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141" authorId="0" shapeId="0" xr:uid="{00000000-0006-0000-0A00-00001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67" authorId="0" shapeId="0" xr:uid="{00000000-0006-0000-0A00-000015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169" authorId="0" shapeId="0" xr:uid="{00000000-0006-0000-0A00-00001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179" authorId="0" shapeId="0" xr:uid="{00000000-0006-0000-0A00-00001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189" authorId="0" shapeId="0" xr:uid="{00000000-0006-0000-0A00-00001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199" authorId="0" shapeId="0" xr:uid="{00000000-0006-0000-0A00-00001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09" authorId="0" shapeId="0" xr:uid="{00000000-0006-0000-0A00-00001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11" authorId="0" shapeId="0" xr:uid="{00000000-0006-0000-0A00-00001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211" authorId="2" shapeId="0" xr:uid="{00000000-0006-0000-0A00-00001C000000}">
      <text>
        <r>
          <rPr>
            <sz val="9"/>
            <color indexed="81"/>
            <rFont val="Geneva"/>
          </rPr>
          <t>Le facteur d'émission doit être adapté au cas de figure rencontré, celui par défaut étant celui de l'électricité de réseau française pour les usages transport.</t>
        </r>
      </text>
    </comment>
    <comment ref="B225" authorId="0" shapeId="0" xr:uid="{00000000-0006-0000-0A00-00001D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27" authorId="0" shapeId="0" xr:uid="{00000000-0006-0000-0A00-00001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235" authorId="0" shapeId="0" xr:uid="{00000000-0006-0000-0A00-00001F000000}">
      <text>
        <r>
          <rPr>
            <b/>
            <sz val="9"/>
            <color indexed="81"/>
            <rFont val="Tahoma"/>
            <family val="2"/>
          </rPr>
          <t>Ce tableau ne peut pas être utilisé pour des trains possédés.</t>
        </r>
        <r>
          <rPr>
            <sz val="9"/>
            <color indexed="81"/>
            <rFont val="Tahoma"/>
            <family val="2"/>
          </rPr>
          <t xml:space="preserve"> Dans ce cas il est impératif d'utiliser le tableau 1 ci-dessus.</t>
        </r>
      </text>
    </comment>
    <comment ref="F237" authorId="0" shapeId="0" xr:uid="{00000000-0006-0000-0A00-000020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247" authorId="0" shapeId="0" xr:uid="{00000000-0006-0000-0A00-000021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49" authorId="0" shapeId="0" xr:uid="{00000000-0006-0000-0A00-000022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49" authorId="0" shapeId="0" xr:uid="{00000000-0006-0000-0A00-00002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49" authorId="0" shapeId="0" xr:uid="{00000000-0006-0000-0A00-00002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56" authorId="0" shapeId="0" xr:uid="{00000000-0006-0000-0A00-000025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258" authorId="0" shapeId="0" xr:uid="{00000000-0006-0000-0A00-00002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268" authorId="0" shapeId="0" xr:uid="{00000000-0006-0000-0A00-00002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279" authorId="0" shapeId="0" xr:uid="{00000000-0006-0000-0A00-00002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91" authorId="0" shapeId="0" xr:uid="{00000000-0006-0000-0A00-000029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93" authorId="0" shapeId="0" xr:uid="{00000000-0006-0000-0A00-00002A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93" authorId="0" shapeId="0" xr:uid="{00000000-0006-0000-0A00-00002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93" authorId="0" shapeId="0" xr:uid="{00000000-0006-0000-0A00-00002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00" authorId="0" shapeId="0" xr:uid="{00000000-0006-0000-0A00-00002D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302" authorId="0" shapeId="0" xr:uid="{00000000-0006-0000-0A00-00002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312" authorId="0" shapeId="0" xr:uid="{00000000-0006-0000-0A00-00002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324" authorId="0" shapeId="0" xr:uid="{00000000-0006-0000-0A00-000030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26" authorId="0" shapeId="0" xr:uid="{00000000-0006-0000-0A00-00003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26" authorId="0" shapeId="0" xr:uid="{00000000-0006-0000-0A00-00003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6" authorId="0" shapeId="0" xr:uid="{00000000-0006-0000-0A00-00003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339" authorId="0" shapeId="0" xr:uid="{00000000-0006-0000-0A00-00003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65" authorId="0" shapeId="0" xr:uid="{00000000-0006-0000-0A00-00003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75" authorId="0" shapeId="0" xr:uid="{00000000-0006-0000-0A00-00003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85" authorId="0" shapeId="0" xr:uid="{00000000-0006-0000-0A00-00003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94" authorId="0" shapeId="0" xr:uid="{00000000-0006-0000-0A00-00003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405" authorId="0" shapeId="0" xr:uid="{00000000-0006-0000-0A00-00003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416" authorId="0" shapeId="0" xr:uid="{00000000-0006-0000-0A00-00003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424" authorId="0" shapeId="0" xr:uid="{00000000-0006-0000-0A00-00003B000000}">
      <text>
        <r>
          <rPr>
            <b/>
            <sz val="9"/>
            <color indexed="81"/>
            <rFont val="Tahoma"/>
            <family val="2"/>
          </rPr>
          <t>Ce tableau ne peut pas être utilisé pour des trains possédés.</t>
        </r>
        <r>
          <rPr>
            <sz val="9"/>
            <color indexed="81"/>
            <rFont val="Tahoma"/>
            <family val="2"/>
          </rPr>
          <t xml:space="preserve"> Dans ce cas il est impératif d'utiliser le tableau 1 ci-dessus.</t>
        </r>
      </text>
    </comment>
    <comment ref="F426" authorId="0" shapeId="0" xr:uid="{00000000-0006-0000-0A00-00003C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539" authorId="0" shapeId="0" xr:uid="{00000000-0006-0000-0A00-00003D000000}">
      <text>
        <r>
          <rPr>
            <b/>
            <sz val="9"/>
            <color indexed="81"/>
            <rFont val="Tahoma"/>
            <family val="2"/>
          </rPr>
          <t>Attention :</t>
        </r>
        <r>
          <rPr>
            <sz val="9"/>
            <color indexed="81"/>
            <rFont val="Tahoma"/>
            <family val="2"/>
          </rPr>
          <t xml:space="preserve"> Contrairement à l'extraction Bilan GES, la fabrication des véhicules routiers n'est pas prise en compte ici. 
Vous devez donc la renseigner dans l'onglet Immobilisation, uniquement si le véhicule a été fabriqué au cours de l'année considérée. </t>
        </r>
      </text>
    </comment>
    <comment ref="B574" authorId="0" shapeId="0" xr:uid="{00000000-0006-0000-0A00-00003E000000}">
      <text>
        <r>
          <rPr>
            <b/>
            <sz val="9"/>
            <color indexed="81"/>
            <rFont val="Tahoma"/>
            <family val="2"/>
          </rPr>
          <t xml:space="preserve">Attention : 
</t>
        </r>
        <r>
          <rPr>
            <sz val="9"/>
            <color indexed="81"/>
            <rFont val="Tahoma"/>
            <family val="2"/>
          </rPr>
          <t xml:space="preserve">- Si "Oui" est inscrit en case D8, alors les émissions liés à la fabrication des véhicules routiers est prise en compte ici.
- Si 'Oui" n'est pas inscrit en case D8, alors la fabrication des véhicules routiers n'est pas prise en compte ici. 
Vous devez donc la renseigner dans l'onglet Immobilisation, uniquement si le véhicule a été fabriqué au cours de l'année considérée.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B7" authorId="0" shapeId="0" xr:uid="{00000000-0006-0000-0B00-000001000000}">
      <text>
        <r>
          <rPr>
            <sz val="9"/>
            <color indexed="81"/>
            <rFont val="Tahoma"/>
            <family val="2"/>
          </rPr>
          <t>Contrairement au GHG Protocol, ISO 14069 laisse le choix à l'utilisateur d'amortir ou non les émissions associées aux immobilisations dans le temps.</t>
        </r>
      </text>
    </comment>
    <comment ref="F13" authorId="0" shapeId="0" xr:uid="{00000000-0006-0000-0B00-000002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6" authorId="0" shapeId="0" xr:uid="{00000000-0006-0000-0B00-000003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G26" authorId="0" shapeId="0" xr:uid="{00000000-0006-0000-0B00-000004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K26" authorId="0" shapeId="0" xr:uid="{00000000-0006-0000-0B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N26" authorId="0" shapeId="0" xr:uid="{00000000-0006-0000-0B00-000006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41" authorId="0" shapeId="0" xr:uid="{00000000-0006-0000-0B00-000007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51" authorId="0" shapeId="0" xr:uid="{00000000-0006-0000-0B00-000008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61" authorId="0" shapeId="0" xr:uid="{00000000-0006-0000-0B00-000009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72" authorId="0" shapeId="0" xr:uid="{00000000-0006-0000-0B00-00000A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83" authorId="0" shapeId="0" xr:uid="{00000000-0006-0000-0B00-00000B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96" authorId="0" shapeId="0" xr:uid="{00000000-0006-0000-0B00-00000C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06" authorId="0" shapeId="0" xr:uid="{00000000-0006-0000-0B00-00000D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G106" authorId="0" shapeId="0" xr:uid="{00000000-0006-0000-0B00-00000E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K106" authorId="0" shapeId="0" xr:uid="{00000000-0006-0000-0B00-00000F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N106" authorId="0" shapeId="0" xr:uid="{00000000-0006-0000-0B00-00001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123" authorId="0" shapeId="0" xr:uid="{00000000-0006-0000-0B00-000011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33" authorId="0" shapeId="0" xr:uid="{00000000-0006-0000-0B00-000012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44" authorId="0" shapeId="0" xr:uid="{00000000-0006-0000-0B00-000013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55" authorId="0" shapeId="0" xr:uid="{00000000-0006-0000-0B00-000014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68" authorId="0" shapeId="0" xr:uid="{00000000-0006-0000-0B00-000015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78" authorId="0" shapeId="0" xr:uid="{00000000-0006-0000-0B00-000016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89" authorId="0" shapeId="0" xr:uid="{00000000-0006-0000-0B00-000017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00" authorId="0" shapeId="0" xr:uid="{00000000-0006-0000-0B00-000018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11" authorId="0" shapeId="0" xr:uid="{00000000-0006-0000-0B00-000019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24" authorId="0" shapeId="0" xr:uid="{00000000-0006-0000-0B00-00001A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36" authorId="0" shapeId="0" xr:uid="{00000000-0006-0000-0B00-00001B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 Dely</author>
    <author>ABC-Quentin</author>
  </authors>
  <commentList>
    <comment ref="J11" authorId="0" shapeId="0" xr:uid="{00000000-0006-0000-0C00-00000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shapeId="0" xr:uid="{00000000-0006-0000-0C00-00000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J32" authorId="0" shapeId="0" xr:uid="{00000000-0006-0000-0C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 authorId="0" shapeId="0" xr:uid="{00000000-0006-0000-0C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7" authorId="1" shapeId="0" xr:uid="{00000000-0006-0000-0C00-000005000000}">
      <text>
        <r>
          <rPr>
            <b/>
            <sz val="9"/>
            <color indexed="81"/>
            <rFont val="Tahoma"/>
            <family val="2"/>
          </rPr>
          <t>ABC-Quentin:</t>
        </r>
        <r>
          <rPr>
            <sz val="9"/>
            <color indexed="81"/>
            <rFont val="Tahoma"/>
            <family val="2"/>
          </rPr>
          <t xml:space="preserve">
10% par défaut. Si vous avez une valeur propre, indiquez là ici.</t>
        </r>
      </text>
    </comment>
    <comment ref="I57" authorId="1" shapeId="0" xr:uid="{00000000-0006-0000-0C00-000006000000}">
      <text>
        <r>
          <rPr>
            <b/>
            <sz val="9"/>
            <color indexed="81"/>
            <rFont val="Tahoma"/>
            <family val="2"/>
          </rPr>
          <t>ABC-Quentin:</t>
        </r>
        <r>
          <rPr>
            <sz val="9"/>
            <color indexed="81"/>
            <rFont val="Tahoma"/>
            <family val="2"/>
          </rPr>
          <t xml:space="preserve">
10% par défaut. Si vous avez une valeur propre, indiquez là ici.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D00-000001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J11" authorId="0" shapeId="0" xr:uid="{00000000-0006-0000-0D00-00000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shapeId="0" xr:uid="{00000000-0006-0000-0D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32" authorId="0" shapeId="0" xr:uid="{00000000-0006-0000-0D00-000004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J32" authorId="0" shapeId="0" xr:uid="{00000000-0006-0000-0D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 authorId="0" shapeId="0" xr:uid="{00000000-0006-0000-0D00-000006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47" authorId="0" shapeId="0" xr:uid="{00000000-0006-0000-0D00-000007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84" authorId="0" shapeId="0" xr:uid="{00000000-0006-0000-0D00-000008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01" authorId="0" shapeId="0" xr:uid="{00000000-0006-0000-0D00-000009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16" authorId="0" shapeId="0" xr:uid="{00000000-0006-0000-0D00-00000A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45" authorId="0" shapeId="0" xr:uid="{00000000-0006-0000-0D00-00000B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60" authorId="0" shapeId="0" xr:uid="{00000000-0006-0000-0D00-00000C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73" authorId="0" shapeId="0" xr:uid="{00000000-0006-0000-0D00-00000D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83" authorId="0" shapeId="0" xr:uid="{00000000-0006-0000-0D00-00000E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92" authorId="0" shapeId="0" xr:uid="{00000000-0006-0000-0D00-00000F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201" authorId="0" shapeId="0" xr:uid="{00000000-0006-0000-0D00-000010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214" authorId="0" shapeId="0" xr:uid="{00000000-0006-0000-0D00-000011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B113" authorId="0" shapeId="0" xr:uid="{00000000-0006-0000-0E00-000001000000}">
      <text>
        <r>
          <rPr>
            <sz val="9"/>
            <color indexed="81"/>
            <rFont val="Tahoma"/>
            <family val="2"/>
          </rPr>
          <t>La rigueur hivernale n’étant pas la même en tous points du territoire métropolitain, les consommations d'énergie consacrées au chauffage sont elles aussi variables selon la localisation du bâtiment concerné. 
Pour mieux approcher la réalité, on peut utiliser des coefficients de correction climatique, qui permettent d’obtenir des moyennes régionales à partir de la moyenne nationale de consommation</t>
        </r>
        <r>
          <rPr>
            <b/>
            <sz val="9"/>
            <color indexed="81"/>
            <rFont val="Tahoma"/>
            <family val="2"/>
          </rPr>
          <t xml:space="preserve"> </t>
        </r>
        <r>
          <rPr>
            <sz val="9"/>
            <color indexed="81"/>
            <rFont val="Tahoma"/>
            <family val="2"/>
          </rPr>
          <t>d’énergie.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<sst xmlns="http://schemas.openxmlformats.org/spreadsheetml/2006/main" count="44208" uniqueCount="5231">
  <si>
    <t>Poitou-Charentes</t>
  </si>
  <si>
    <t>m2</t>
  </si>
  <si>
    <t>Electricité consommée pour le fonctionnement</t>
  </si>
  <si>
    <t>Métaux</t>
  </si>
  <si>
    <t>Unité utilisée</t>
  </si>
  <si>
    <t>cumulées (km)</t>
  </si>
  <si>
    <t>Fret aérien entrant, émissions hors Kyoto</t>
  </si>
  <si>
    <t>Visiteurs, moyens non détenus, énergie seule</t>
  </si>
  <si>
    <t xml:space="preserve">Taux de </t>
  </si>
  <si>
    <t>Produits chimiques</t>
  </si>
  <si>
    <t>Infra hors bât, plastiques</t>
  </si>
  <si>
    <t>Infra hors bât, verre</t>
  </si>
  <si>
    <t>t bois 20% humidité</t>
  </si>
  <si>
    <t>kWh par</t>
  </si>
  <si>
    <t>Chauff + ECS</t>
  </si>
  <si>
    <t>Bâtiments, matériaux de construction</t>
  </si>
  <si>
    <t>Combustion sur place</t>
  </si>
  <si>
    <t>Intrants</t>
  </si>
  <si>
    <t>Vapeur et froid</t>
  </si>
  <si>
    <t>Ville</t>
  </si>
  <si>
    <t>Achats de froid</t>
  </si>
  <si>
    <t>Fer sortant</t>
  </si>
  <si>
    <t>jetées</t>
  </si>
  <si>
    <t>Chauffage fossile estimé</t>
  </si>
  <si>
    <t>Vapeur achetée</t>
  </si>
  <si>
    <t>25 à 50</t>
  </si>
  <si>
    <t>bâtiments chauffés au fossile (France)</t>
  </si>
  <si>
    <t>estimation à partir des m2</t>
  </si>
  <si>
    <t>Résultats en équivalent CO2</t>
  </si>
  <si>
    <t>avec captage sans valo</t>
  </si>
  <si>
    <t>Aérien sortant</t>
  </si>
  <si>
    <t>Aérien interne</t>
  </si>
  <si>
    <t>Routier interne</t>
  </si>
  <si>
    <t>par m2.an</t>
  </si>
  <si>
    <t>avec valo thermique</t>
  </si>
  <si>
    <t>Gaz hors Kyoto</t>
  </si>
  <si>
    <t>Domicile-travail</t>
  </si>
  <si>
    <t>Utilisation</t>
  </si>
  <si>
    <t>véhicule.km</t>
  </si>
  <si>
    <t>Ratios</t>
  </si>
  <si>
    <t>Hors Kyoto</t>
  </si>
  <si>
    <t>Emissions d'halocarbures de Kyoto</t>
  </si>
  <si>
    <t>GPL</t>
  </si>
  <si>
    <t>Bas</t>
  </si>
  <si>
    <t>1 - Emissions de N2O, poids de N dans l'engrais</t>
  </si>
  <si>
    <t>kWh de bois</t>
  </si>
  <si>
    <t>kWh de propane</t>
  </si>
  <si>
    <t>Gaz</t>
  </si>
  <si>
    <t>avec valo elec</t>
  </si>
  <si>
    <t>Déchets dangereux</t>
  </si>
  <si>
    <t>Routier sortant</t>
  </si>
  <si>
    <t>Au transport de personnes</t>
  </si>
  <si>
    <t>A la fabrication de biens durables utilisée par l’entité</t>
  </si>
  <si>
    <t>Aux activités hors usage de l’énergie</t>
  </si>
  <si>
    <t xml:space="preserve">Aux matériaux, produits et services achetés </t>
  </si>
  <si>
    <t>Aux matériaux, produits et services achetés pour de futurs emballages</t>
  </si>
  <si>
    <t>Au transport de marchandises </t>
  </si>
  <si>
    <t>Infra hors bâtiments</t>
  </si>
  <si>
    <t>Autres infrastructures</t>
  </si>
  <si>
    <t>Hors énergie 1</t>
  </si>
  <si>
    <t>Hors énergie 2</t>
  </si>
  <si>
    <t>export sous-postes</t>
  </si>
  <si>
    <t>Energie</t>
  </si>
  <si>
    <t>% des</t>
  </si>
  <si>
    <t>2 - Autres émissions de méthane</t>
  </si>
  <si>
    <t>kWh de gaz</t>
  </si>
  <si>
    <t>kWh de fioul lourd</t>
  </si>
  <si>
    <t>kWh de butane</t>
  </si>
  <si>
    <t>kWh de fioul domestique</t>
  </si>
  <si>
    <t>kWh de vapeur</t>
  </si>
  <si>
    <t>kWh de charbon</t>
  </si>
  <si>
    <t>5 - Outils et machines, ratios monétaires</t>
  </si>
  <si>
    <t>Employés autres modes routiers, émissions amont du combustible</t>
  </si>
  <si>
    <t>Employés autres modes routiers, amortissements</t>
  </si>
  <si>
    <t>Employés en trains électriques possédés ou opérés</t>
  </si>
  <si>
    <t>Employés en train électrique non possédé</t>
  </si>
  <si>
    <t>Employés en avion possédé, combustion seule</t>
  </si>
  <si>
    <t>Employés en avion non possédé, combustion seule</t>
  </si>
  <si>
    <t>Employés en avion, émissions amont du combustible</t>
  </si>
  <si>
    <t>Employés en avion, émissions hors Kyoto</t>
  </si>
  <si>
    <t>Employés en bateau possédé, combustion seule</t>
  </si>
  <si>
    <t>Fret aérien entrant, avions non possédés, combustion seule</t>
  </si>
  <si>
    <t>Fret aérien entrant, émissions amont du combustible</t>
  </si>
  <si>
    <t>Employés</t>
  </si>
  <si>
    <t>Employés, voiture</t>
  </si>
  <si>
    <t>Provence-Alpes-Côte-d'Azur</t>
  </si>
  <si>
    <t>Rhône-Alpes</t>
  </si>
  <si>
    <t>Employés en bateau non possédé, combustion seule</t>
  </si>
  <si>
    <t>R410a</t>
  </si>
  <si>
    <t>Emissions amont des combustibles</t>
  </si>
  <si>
    <t>Métaux, fin de vie</t>
  </si>
  <si>
    <t>Emissions hors énergie, hors Kyoto</t>
  </si>
  <si>
    <t>Fret routier sortant</t>
  </si>
  <si>
    <t>Objectif de croissance de l'activité</t>
  </si>
  <si>
    <t>émises</t>
  </si>
  <si>
    <t>Vapeur &amp; froid consommés pour le fonctionnement</t>
  </si>
  <si>
    <t>export postes</t>
  </si>
  <si>
    <t>Fret ferroviaire entrant</t>
  </si>
  <si>
    <t>Employés en bateau, émissions amont du combustible</t>
  </si>
  <si>
    <t>1 - Déplacement des employés en bateau possédé ou opéré par l'organisation : calcul à partir des achats de carburant</t>
  </si>
  <si>
    <t>Employés en voiture possédée, combustion seule</t>
  </si>
  <si>
    <t>Employés en voiture, émissions amont du combustible</t>
  </si>
  <si>
    <t>Employés en voiture, amortissements</t>
  </si>
  <si>
    <t>1 - Déplacement des employés en avion possédé ou opéré par l'organisation, achats de carburants</t>
  </si>
  <si>
    <t>Fret routier sortant, véhicules possédés ou opérés, combustion seule</t>
  </si>
  <si>
    <t>Y aller !</t>
  </si>
  <si>
    <t>Employés, autre route</t>
  </si>
  <si>
    <t>Employés, train</t>
  </si>
  <si>
    <t>Employés, avion</t>
  </si>
  <si>
    <t>Fret aérien sortant</t>
  </si>
  <si>
    <t>Fret ferroviaire sortant</t>
  </si>
  <si>
    <t>Fret maritime et fluvial sortant</t>
  </si>
  <si>
    <t>Fret routier entrant</t>
  </si>
  <si>
    <t>km par</t>
  </si>
  <si>
    <t>Fret aérien interne</t>
  </si>
  <si>
    <t>Aux combustibles fossiles et à l’électricité</t>
  </si>
  <si>
    <t>1 - Déplacement des employés en train possédé par l'organisation : comptabilisation de l'électricité</t>
  </si>
  <si>
    <t>Infra hors bât, routes approchées par surfaces</t>
  </si>
  <si>
    <t>Emissions de CO2 hors énergie</t>
  </si>
  <si>
    <t>% issu de</t>
  </si>
  <si>
    <t>recyclé</t>
  </si>
  <si>
    <t>Bois</t>
  </si>
  <si>
    <t>Division à l'échéance</t>
  </si>
  <si>
    <t>Chauffage estimé, émissions amont</t>
  </si>
  <si>
    <t>Nb de voitures</t>
  </si>
  <si>
    <t>Fret ferroviaire entrant, trains possédés, émissions amont du combustible</t>
  </si>
  <si>
    <t>Fret maritime et fluvial entrant</t>
  </si>
  <si>
    <t>Employés en voiture non possédée, combustion seule</t>
  </si>
  <si>
    <t>Employés autres modes routiers possédés, combustion seule</t>
  </si>
  <si>
    <t>Employés autres modes routiers non possédés, combustion seule</t>
  </si>
  <si>
    <t>5 - Infrastructures, plastiques</t>
  </si>
  <si>
    <t>Fret routier entrant, véhicules possédés ou opérés, combustion seule</t>
  </si>
  <si>
    <t>Fret ferroviaire entrant, trains électriques possédés, pertes en ligne de l'électricité</t>
  </si>
  <si>
    <t>Bâtiments, métaux</t>
  </si>
  <si>
    <t>Bâtiments, plastiques</t>
  </si>
  <si>
    <t>Emissions annuelles résiduelles après 5 ans</t>
  </si>
  <si>
    <t>Fret routier entrant, émissions amont du carburant</t>
  </si>
  <si>
    <t>Fret maritime et fluvial sortant, bateaux non possédés, combustion seule</t>
  </si>
  <si>
    <t>Fret maritime et fluvial sortant, émissions amont du combustible</t>
  </si>
  <si>
    <t>Fret aérien entrant</t>
  </si>
  <si>
    <t>Fret ferroviaire sortant, trains possédés, émissions amont du combustible</t>
  </si>
  <si>
    <t>Bâtiments, engins de chantier, émissions amont du combustible</t>
  </si>
  <si>
    <t>Papiers et cartons, fin de vie</t>
  </si>
  <si>
    <t>Interne</t>
  </si>
  <si>
    <t>voyage</t>
  </si>
  <si>
    <t>Plastiques, fabrication</t>
  </si>
  <si>
    <t>Au traitement en fin de vie des produits vendus ou distribués</t>
  </si>
  <si>
    <t>A l’utilisation du produit ou service vendu ou distribué</t>
  </si>
  <si>
    <t>Aux déchets produits par l’entité</t>
  </si>
  <si>
    <t>moyenne nationale</t>
  </si>
  <si>
    <t>Déplacements</t>
  </si>
  <si>
    <t>Fret maritime et fluvial entrant, bateaux possédés, combustion seule</t>
  </si>
  <si>
    <t>dépensés (HT)</t>
  </si>
  <si>
    <t>agglo &lt; 50.000 hab</t>
  </si>
  <si>
    <t>agglo 50-300.000 hab centre</t>
  </si>
  <si>
    <t>Fret aérien sortant, avions possédés ou opérés, combustion seule</t>
  </si>
  <si>
    <t>Fret maritime et fluvial interne</t>
  </si>
  <si>
    <t>personnes</t>
  </si>
  <si>
    <t>Métaux, fabrication</t>
  </si>
  <si>
    <t>Incertitudes</t>
  </si>
  <si>
    <t>Emissions annuelles résiduelles après 10 ans</t>
  </si>
  <si>
    <t>50 à 150</t>
  </si>
  <si>
    <t>Immobilisations</t>
  </si>
  <si>
    <t>Fuites et non énergétique</t>
  </si>
  <si>
    <t>Fret ferroviaire entrant, trains non possédés</t>
  </si>
  <si>
    <t>Fret maritime et fluvial entrant, bateaux non possédés, combustion seule</t>
  </si>
  <si>
    <t>de réduction par an</t>
  </si>
  <si>
    <t>Fret routier entrant, véhicules non possédé, combustion seule</t>
  </si>
  <si>
    <t>Fret ferroviaire sortant, électricité pour trains possédés</t>
  </si>
  <si>
    <t>Fret routier entrant, amortissement des véhicules</t>
  </si>
  <si>
    <t>m2 chauffé</t>
  </si>
  <si>
    <t>En millions d'euros</t>
  </si>
  <si>
    <t>Fret ferroviaire sortant, trains non possédés</t>
  </si>
  <si>
    <t>Fret routier sortant, véhicules non possédé, combustion seule</t>
  </si>
  <si>
    <t>Midi-Pyrénées</t>
  </si>
  <si>
    <t>Fret ferroviaire sortant, trains possédés, combustion seule des combustibles</t>
  </si>
  <si>
    <t>Plastiques, fin de vie</t>
  </si>
  <si>
    <t>Verre, fin de vie</t>
  </si>
  <si>
    <t>Fret routier sortant, amortissement des véhicules</t>
  </si>
  <si>
    <t>Verre, fabrication</t>
  </si>
  <si>
    <t>Papiers et cartons, fabrication</t>
  </si>
  <si>
    <t>Machines et véhicules</t>
  </si>
  <si>
    <t>kWh/m².an</t>
  </si>
  <si>
    <t>déperdition</t>
  </si>
  <si>
    <t>Combustibles, comptabilisation directe</t>
  </si>
  <si>
    <t>Type de bateau</t>
  </si>
  <si>
    <t>Futurs emballages</t>
  </si>
  <si>
    <t>Bâtiments, engins de chantier, véhicules possédés, combustion seule</t>
  </si>
  <si>
    <t>Fret ferroviaire interne</t>
  </si>
  <si>
    <t>Route</t>
  </si>
  <si>
    <t>Intitulé des postes (modifiable)</t>
  </si>
  <si>
    <t>Spécifique</t>
  </si>
  <si>
    <t>Fret aérien sortant, émissions hors Kyoto</t>
  </si>
  <si>
    <t>Poids en</t>
  </si>
  <si>
    <t>Emissions hors énergie, Kyoto</t>
  </si>
  <si>
    <t>Fret aérien sortant, émissions amont du combustible</t>
  </si>
  <si>
    <t>agglo 50-300.000 hab banlieue</t>
  </si>
  <si>
    <t>Agriculture</t>
  </si>
  <si>
    <t>Papiers et cartons</t>
  </si>
  <si>
    <t>Tonnes</t>
  </si>
  <si>
    <t>R507</t>
  </si>
  <si>
    <t>Fret routier sortant, émissions amont du carburant</t>
  </si>
  <si>
    <t>Fret maritime et fluvial entrant, émissions amont du combustible</t>
  </si>
  <si>
    <t>Auvergne</t>
  </si>
  <si>
    <t>Fret ferroviaire entrant, électricité pour trains possédés</t>
  </si>
  <si>
    <t>Achats d'électricité</t>
  </si>
  <si>
    <t>Domicile travail, amortissements</t>
  </si>
  <si>
    <t>Plastiques</t>
  </si>
  <si>
    <t>Matériaux de construction</t>
  </si>
  <si>
    <t>Domicile travail, véhicules possédés, combustion seule</t>
  </si>
  <si>
    <t>Fret aérien sortant, avions non possédés, combustion seule</t>
  </si>
  <si>
    <t>CO2</t>
  </si>
  <si>
    <t>Postes</t>
  </si>
  <si>
    <t>(litres)</t>
  </si>
  <si>
    <t>Ile-de-France</t>
  </si>
  <si>
    <t>Comptabilisation directe des combustibles</t>
  </si>
  <si>
    <t>agglo &gt; 300.000 hab périphérie</t>
  </si>
  <si>
    <t>Méthane</t>
  </si>
  <si>
    <t>Consommation de combustibles pour la fin de vie</t>
  </si>
  <si>
    <t>Diesel, fioul domestique</t>
  </si>
  <si>
    <t>PCS/PCI</t>
  </si>
  <si>
    <t>4 - Infrastructures, métaux</t>
  </si>
  <si>
    <t>agglo &gt; 300.000 hab centre</t>
  </si>
  <si>
    <t>agglo &gt; 300.000 hab banlieue</t>
  </si>
  <si>
    <t>Source</t>
  </si>
  <si>
    <t>Fret interne, électricité pour transports possédés</t>
  </si>
  <si>
    <t>Combustibles</t>
  </si>
  <si>
    <t>Infra hors bât, engins de chantier, émissions amont du combustible</t>
  </si>
  <si>
    <t>Infra hors bât, engins de chantier, véhicules non possédés, combustion seule</t>
  </si>
  <si>
    <t>Fret aérien entrant, avions possédés ou opérés, combustion seule</t>
  </si>
  <si>
    <t>km/pers.an</t>
  </si>
  <si>
    <t>Sortant</t>
  </si>
  <si>
    <t>Entrant</t>
  </si>
  <si>
    <t>carburant</t>
  </si>
  <si>
    <t>d'animaux</t>
  </si>
  <si>
    <t>Fret interne, perte en ligne de l'électricité</t>
  </si>
  <si>
    <t>Bâtiments</t>
  </si>
  <si>
    <t>Languedoc-Roussillon</t>
  </si>
  <si>
    <t>Producteur de l'électricité</t>
  </si>
  <si>
    <t>France</t>
  </si>
  <si>
    <t>% recyclés</t>
  </si>
  <si>
    <t>tonnes</t>
  </si>
  <si>
    <t>distances</t>
  </si>
  <si>
    <t>(tep)</t>
  </si>
  <si>
    <t>Fret aérien interne, émissions hors Kyoto</t>
  </si>
  <si>
    <t>appartements</t>
  </si>
  <si>
    <t>maisons</t>
  </si>
  <si>
    <t>tec</t>
  </si>
  <si>
    <t>BTU</t>
  </si>
  <si>
    <t>6 - Infrastructures, verre</t>
  </si>
  <si>
    <t>Champagne-Ardenne</t>
  </si>
  <si>
    <t>Corse</t>
  </si>
  <si>
    <t>Franche-Comté</t>
  </si>
  <si>
    <t>150 à 300</t>
  </si>
  <si>
    <t>300 à 750</t>
  </si>
  <si>
    <t>750 à 2 000</t>
  </si>
  <si>
    <t>2 000 à 5000</t>
  </si>
  <si>
    <t>combustion</t>
  </si>
  <si>
    <t>par kWh</t>
  </si>
  <si>
    <t>Joule</t>
  </si>
  <si>
    <t>KWh PCI</t>
  </si>
  <si>
    <t>Haute-Normandie</t>
  </si>
  <si>
    <t>Achats de vapeur</t>
  </si>
  <si>
    <t>Visiteurs, émissions hors Kyoto</t>
  </si>
  <si>
    <t>Emissions non énergétiques liées à l'utilisation</t>
  </si>
  <si>
    <t>Fin de vie</t>
  </si>
  <si>
    <t>dom-travail</t>
  </si>
  <si>
    <t>N2O</t>
  </si>
  <si>
    <t>Consommation de combustibles pour l'utilisation</t>
  </si>
  <si>
    <t>par tonne</t>
  </si>
  <si>
    <t>dépensés</t>
  </si>
  <si>
    <t>véhicules.km</t>
  </si>
  <si>
    <t>tep</t>
  </si>
  <si>
    <t>Limousin</t>
  </si>
  <si>
    <t>Paris intramuros</t>
  </si>
  <si>
    <t>Dont part</t>
  </si>
  <si>
    <t>Scope 1</t>
  </si>
  <si>
    <t>Combustibles, combustion sur place</t>
  </si>
  <si>
    <t>Infra hors bât, engins de chantier, véhicules possédés, combustion seule</t>
  </si>
  <si>
    <t>t.km route expédiées par hab.an selon la region</t>
  </si>
  <si>
    <t>Fret ferroviaire entrant, trains possédés, combustion seule des combustibles</t>
  </si>
  <si>
    <t>Alsace</t>
  </si>
  <si>
    <t>Aquitaine</t>
  </si>
  <si>
    <t>7 - Bâtiment, verre</t>
  </si>
  <si>
    <t xml:space="preserve"> </t>
  </si>
  <si>
    <t>Véhicules, machines, mobilier</t>
  </si>
  <si>
    <t>Lorraine</t>
  </si>
  <si>
    <t>(tonnes)</t>
  </si>
  <si>
    <t>Infra hors bât, matériaux routiers</t>
  </si>
  <si>
    <t>valeur</t>
  </si>
  <si>
    <t>Chauffage</t>
  </si>
  <si>
    <t>ECS</t>
  </si>
  <si>
    <t>sans valo</t>
  </si>
  <si>
    <t>R404a</t>
  </si>
  <si>
    <t>Visiteurs, tous modes</t>
  </si>
  <si>
    <t>m3 de gaz nat.</t>
  </si>
  <si>
    <t>tonne bois 20% hum</t>
  </si>
  <si>
    <t>Verre</t>
  </si>
  <si>
    <t>Protoxyde d'azote</t>
  </si>
  <si>
    <t>par tep</t>
  </si>
  <si>
    <t>Consommation d'électricité pour l'utilisation</t>
  </si>
  <si>
    <t>Chauffage estimé</t>
  </si>
  <si>
    <t>Fuites ou émissions non énergétiques hors déchets banals</t>
  </si>
  <si>
    <t>Fuites et émissions de fin de vie, Kyoto</t>
  </si>
  <si>
    <t>par jour</t>
  </si>
  <si>
    <t>Fret interne, amortissements</t>
  </si>
  <si>
    <t>Fret interne, émissions amont du combustible</t>
  </si>
  <si>
    <t>Halocarbures</t>
  </si>
  <si>
    <t>Rappel</t>
  </si>
  <si>
    <t>kWh</t>
  </si>
  <si>
    <t>Eaux usées</t>
  </si>
  <si>
    <t>chauffés</t>
  </si>
  <si>
    <t>Sorgho</t>
  </si>
  <si>
    <t>banlieue parisienne</t>
  </si>
  <si>
    <t>Nombre de</t>
  </si>
  <si>
    <t>concernés</t>
  </si>
  <si>
    <t>incertitude</t>
  </si>
  <si>
    <t>Déplacements des visiteurs - tous modes</t>
  </si>
  <si>
    <t>kWh PCI</t>
  </si>
  <si>
    <t xml:space="preserve">Total </t>
  </si>
  <si>
    <t>% compostage</t>
  </si>
  <si>
    <t>Essence</t>
  </si>
  <si>
    <t>Fuites et émissions de fin de vie, hors Kyoto</t>
  </si>
  <si>
    <t>Fret</t>
  </si>
  <si>
    <t>Visiteurs, amortissements</t>
  </si>
  <si>
    <t>CO2 hors usage de l'énergie</t>
  </si>
  <si>
    <t>Pertes en ligne de l'électricité</t>
  </si>
  <si>
    <t>total</t>
  </si>
  <si>
    <t>Halocarbures de Kyoto</t>
  </si>
  <si>
    <t>Energie utilisée</t>
  </si>
  <si>
    <t>Achats de vapeur (produite à l'extérieur)</t>
  </si>
  <si>
    <t>Papiers &amp; cartons</t>
  </si>
  <si>
    <t>Fabrication</t>
  </si>
  <si>
    <t>Electricité</t>
  </si>
  <si>
    <t>Emissions non énergétiques</t>
  </si>
  <si>
    <t>Durée d'amort.</t>
  </si>
  <si>
    <t>(années)</t>
  </si>
  <si>
    <t>unité</t>
  </si>
  <si>
    <t>Energie 2</t>
  </si>
  <si>
    <t>4 - Bâtiments, matériaux en vrac</t>
  </si>
  <si>
    <t>Quantités</t>
  </si>
  <si>
    <t>Gaz naturel</t>
  </si>
  <si>
    <t>R407c</t>
  </si>
  <si>
    <t>Conso</t>
  </si>
  <si>
    <t>fin de vie</t>
  </si>
  <si>
    <t>Pays de consommation de l'électricité</t>
  </si>
  <si>
    <t>Déchets directs</t>
  </si>
  <si>
    <t>Domicile travail, véhicules non possédés, combustion seule</t>
  </si>
  <si>
    <t>Total</t>
  </si>
  <si>
    <t>1 - Combustibles fossiles, sources fixes</t>
  </si>
  <si>
    <t>Nb trajets</t>
  </si>
  <si>
    <t>Maritime sortant</t>
  </si>
  <si>
    <t>Routier entrant</t>
  </si>
  <si>
    <t>pertes en ligne</t>
  </si>
  <si>
    <t>&lt; 25</t>
  </si>
  <si>
    <t>%</t>
  </si>
  <si>
    <t>d'appareils</t>
  </si>
  <si>
    <t xml:space="preserve"> par kg</t>
  </si>
  <si>
    <t>avec cogen</t>
  </si>
  <si>
    <t>% méthanisation</t>
  </si>
  <si>
    <t>% CET</t>
  </si>
  <si>
    <t>Domicile travail, émissions amont du combustible</t>
  </si>
  <si>
    <t>kWh PCS</t>
  </si>
  <si>
    <t>Charbon</t>
  </si>
  <si>
    <t>par an</t>
  </si>
  <si>
    <t>bâtiments chauffés à l'électricité (France)</t>
  </si>
  <si>
    <t>Incertitude</t>
  </si>
  <si>
    <t>Papier</t>
  </si>
  <si>
    <t>Nombre</t>
  </si>
  <si>
    <t>Déplacements domicile-travail</t>
  </si>
  <si>
    <t>Fret routier interne</t>
  </si>
  <si>
    <t>Année d'échéance pour l'objectif</t>
  </si>
  <si>
    <t>Bâtiments, engins de chantier, véhicules non possédés, énergie seule</t>
  </si>
  <si>
    <t>Bâtiments, verre</t>
  </si>
  <si>
    <t>Outils et machines</t>
  </si>
  <si>
    <t>Fret ferroviaire sortant, trains électriques possédés, pertes en ligne de l'électricité</t>
  </si>
  <si>
    <t>Fret maritime et fluvial sortant, bateaux possédés, combustion seule</t>
  </si>
  <si>
    <t>t.km route reçues par hab.an selon la region</t>
  </si>
  <si>
    <t>Nord-Pas-de-Calais</t>
  </si>
  <si>
    <t>Pays de la Loire</t>
  </si>
  <si>
    <t>Picardie</t>
  </si>
  <si>
    <t>Combustibles utilisés pour le fonctionnement</t>
  </si>
  <si>
    <t>France métropolitaine</t>
  </si>
  <si>
    <t>Combustible</t>
  </si>
  <si>
    <t>Bretagne</t>
  </si>
  <si>
    <t>Centre</t>
  </si>
  <si>
    <t>Déchets</t>
  </si>
  <si>
    <t>Air</t>
  </si>
  <si>
    <t>Fer</t>
  </si>
  <si>
    <t>Voie d'eau</t>
  </si>
  <si>
    <t>Basse-Normandie</t>
  </si>
  <si>
    <t>Bourgogne</t>
  </si>
  <si>
    <t>Infra hors bât, métaux</t>
  </si>
  <si>
    <t>Betterave industrielle</t>
  </si>
  <si>
    <t>Blé dur</t>
  </si>
  <si>
    <t>Blé tendre</t>
  </si>
  <si>
    <t>Colza</t>
  </si>
  <si>
    <t>Maïs fourrage</t>
  </si>
  <si>
    <t>Maïs grain</t>
  </si>
  <si>
    <t>Orge</t>
  </si>
  <si>
    <t>Pois</t>
  </si>
  <si>
    <t>Pomme de terre</t>
  </si>
  <si>
    <t>Prairies permanentes productives</t>
  </si>
  <si>
    <t>Prairies temporaires</t>
  </si>
  <si>
    <t>Tournesol</t>
  </si>
  <si>
    <t>Vignes</t>
  </si>
  <si>
    <t>Zone de production</t>
  </si>
  <si>
    <t>Visiteurs, moyens détenus ou opérés, combustion seule</t>
  </si>
  <si>
    <t>Passage de PCS en PCI</t>
  </si>
  <si>
    <t>Emissions</t>
  </si>
  <si>
    <t>Fioul lourd</t>
  </si>
  <si>
    <t>amont</t>
  </si>
  <si>
    <t>Energie 1</t>
  </si>
  <si>
    <t>CO2 hors énergie</t>
  </si>
  <si>
    <t>Emissions amont des combustibles utilisés</t>
  </si>
  <si>
    <t>tonnes.km</t>
  </si>
  <si>
    <t>voyages</t>
  </si>
  <si>
    <t>Maritime interne</t>
  </si>
  <si>
    <t>Fer interne</t>
  </si>
  <si>
    <t>utilisées</t>
  </si>
  <si>
    <t>Informatique</t>
  </si>
  <si>
    <t>Consommation de vapeur ou de froid pour l'utilisation</t>
  </si>
  <si>
    <t>fabrication</t>
  </si>
  <si>
    <t>5 - Bâtiments, métaux</t>
  </si>
  <si>
    <t>Aérien entrant</t>
  </si>
  <si>
    <t>Fer entrant</t>
  </si>
  <si>
    <t>2 - Combustibles d'origine organique, sources fixes</t>
  </si>
  <si>
    <t>Maritime entrant</t>
  </si>
  <si>
    <t>Sous-postes</t>
  </si>
  <si>
    <t>consommation</t>
  </si>
  <si>
    <t>Année de départ de la réduction</t>
  </si>
  <si>
    <t>Papiers, cartons</t>
  </si>
  <si>
    <t>% incinérateur</t>
  </si>
  <si>
    <t>sans captage</t>
  </si>
  <si>
    <t>Froid acheté</t>
  </si>
  <si>
    <t>Visiteurs, émissions amont du combustible</t>
  </si>
  <si>
    <t>Véhicules, machines et outils</t>
  </si>
  <si>
    <t>hors Kyoto</t>
  </si>
  <si>
    <t>Postes d'émissions</t>
  </si>
  <si>
    <t xml:space="preserve">Sous total </t>
  </si>
  <si>
    <t>Emissions évitées de GES</t>
  </si>
  <si>
    <t>Répartition par type de gaz à effet de serre</t>
  </si>
  <si>
    <t>CH4</t>
  </si>
  <si>
    <t>Autre Gaz</t>
  </si>
  <si>
    <t>kg CO2e</t>
  </si>
  <si>
    <t>du transport</t>
  </si>
  <si>
    <r>
      <t>3 - Chauffage fossile, à partir des m</t>
    </r>
    <r>
      <rPr>
        <b/>
        <vertAlign val="superscript"/>
        <sz val="10"/>
        <rFont val="Arial"/>
        <family val="2"/>
      </rPr>
      <t>2</t>
    </r>
    <r>
      <rPr>
        <b/>
        <sz val="10"/>
        <rFont val="Arial"/>
        <family val="2"/>
      </rPr>
      <t xml:space="preserve"> chauffés</t>
    </r>
  </si>
  <si>
    <t>en location ?</t>
  </si>
  <si>
    <t>Emissions de GES</t>
  </si>
  <si>
    <t>Autres émissions indirectes</t>
  </si>
  <si>
    <t>Matériel mis</t>
  </si>
  <si>
    <t>Détenu</t>
  </si>
  <si>
    <t>Caractérisation</t>
  </si>
  <si>
    <t>du matériel</t>
  </si>
  <si>
    <t>Valeurs exportées</t>
  </si>
  <si>
    <t xml:space="preserve">Pays de </t>
  </si>
  <si>
    <t>Approche retenue</t>
  </si>
  <si>
    <t>Non détenu, autre</t>
  </si>
  <si>
    <t>Numéro</t>
  </si>
  <si>
    <t>Emissions directes des sources fixes de combustion</t>
  </si>
  <si>
    <t>Emissions directes des sources mobiles à moteur thermique</t>
  </si>
  <si>
    <t>Emissions directes des procédés hors énergie</t>
  </si>
  <si>
    <t>Emissions directes fugitives</t>
  </si>
  <si>
    <t>Emissions issues de la biomasse (sols et forêts)</t>
  </si>
  <si>
    <t>Emissions indirectes liées à la consommation d'électricité</t>
  </si>
  <si>
    <t>Emissions indirectes liées à la consommation de vapeur, chaleur ou froid</t>
  </si>
  <si>
    <t>Emissions liées à l'énergie non incluses dans les postes 1 à 7</t>
  </si>
  <si>
    <t>Achats de produits ou services</t>
  </si>
  <si>
    <t>Immobilisations de biens</t>
  </si>
  <si>
    <t>Transport de marchandise amont</t>
  </si>
  <si>
    <t>Déplacements professionnels</t>
  </si>
  <si>
    <t>Actifs en leasing amont</t>
  </si>
  <si>
    <t>Investissements</t>
  </si>
  <si>
    <t>Transport des visiteurs et des clients</t>
  </si>
  <si>
    <t>Transport de marchandise aval</t>
  </si>
  <si>
    <t>Utilisation des produits vendus</t>
  </si>
  <si>
    <t>Fin de vie des produits vendus</t>
  </si>
  <si>
    <t>Franchise aval</t>
  </si>
  <si>
    <t>Leasing aval</t>
  </si>
  <si>
    <t xml:space="preserve">Déplacements domicile travail </t>
  </si>
  <si>
    <t>Emissions directes de GES</t>
  </si>
  <si>
    <t>Autres émissions indirectes de GES</t>
  </si>
  <si>
    <t>Emissions indirectes associées à l'énergie</t>
  </si>
  <si>
    <t>Catégories d'émissions</t>
  </si>
  <si>
    <t>Bilan GES</t>
  </si>
  <si>
    <t>Consommation d'électricité</t>
  </si>
  <si>
    <t>Consommation de vapeur, chaleur ou froid</t>
  </si>
  <si>
    <t>Liées à l'énergie non incluses dans les postes 1 à 7</t>
  </si>
  <si>
    <t>Sources fixes de combustion</t>
  </si>
  <si>
    <t>Sources mobiles à moteur thermique</t>
  </si>
  <si>
    <t>Procédés hors énergie</t>
  </si>
  <si>
    <t>Fugitives</t>
  </si>
  <si>
    <t>Issues de la biomasse (sols et forêts)</t>
  </si>
  <si>
    <t>Graphiques</t>
  </si>
  <si>
    <t>Graphiques des résultats en CO2e</t>
  </si>
  <si>
    <t>Recap CO2e</t>
  </si>
  <si>
    <t>Visiteurs</t>
  </si>
  <si>
    <t>Non détenu</t>
  </si>
  <si>
    <t>Utilitaires</t>
  </si>
  <si>
    <t>Données pour graphique</t>
  </si>
  <si>
    <t>t CO2e</t>
  </si>
  <si>
    <t>Par mode, t CO2e</t>
  </si>
  <si>
    <t>Total, t CO2e</t>
  </si>
  <si>
    <t>Emissions, kg CO2e</t>
  </si>
  <si>
    <t>incertitudes, kg CO2e</t>
  </si>
  <si>
    <t>Réductions court terme, kg CO2e</t>
  </si>
  <si>
    <t>Emissions, t CO2e</t>
  </si>
  <si>
    <t>Réductions long terme, t CO2e</t>
  </si>
  <si>
    <t>g CO2e par euro de CA</t>
  </si>
  <si>
    <t>Valeur exportée, kg Ce</t>
  </si>
  <si>
    <t>Réductions long terme, kg CO2e</t>
  </si>
  <si>
    <t>Valeur exportée, kg CO2e</t>
  </si>
  <si>
    <t>Réductions court terme, t CO2e</t>
  </si>
  <si>
    <t>Total 
(kg CO2e)</t>
  </si>
  <si>
    <t>Incertitude
(kg CO2e)</t>
  </si>
  <si>
    <t>Total
(t CO2e)</t>
  </si>
  <si>
    <t>Incertitude
(t CO2e)</t>
  </si>
  <si>
    <t>Total 
(t CO2e)</t>
  </si>
  <si>
    <t>Récapitulatif par poste, CO2e</t>
  </si>
  <si>
    <t>Récapitulatif par sous-poste pour affectation par périmètre</t>
  </si>
  <si>
    <t>Achats de vapeur et de froid</t>
  </si>
  <si>
    <t>Total :</t>
  </si>
  <si>
    <t>Median</t>
  </si>
  <si>
    <t>Haut</t>
  </si>
  <si>
    <t>Relatives</t>
  </si>
  <si>
    <t>Récapitulatif par catégorie pour extraction Bilan GES réglementaire</t>
  </si>
  <si>
    <t>Opéré</t>
  </si>
  <si>
    <t>Non Opéré</t>
  </si>
  <si>
    <t>Non opéré</t>
  </si>
  <si>
    <t>facteur</t>
  </si>
  <si>
    <t>donnée</t>
  </si>
  <si>
    <t>d'émission</t>
  </si>
  <si>
    <t>Conso (kWh)</t>
  </si>
  <si>
    <t>(kWh)</t>
  </si>
  <si>
    <t>Objectifs de réduction</t>
  </si>
  <si>
    <t>Pour information : consommation totale</t>
  </si>
  <si>
    <t>Postes d'émission :</t>
  </si>
  <si>
    <t>Emissions relatives (à personnaliser)</t>
  </si>
  <si>
    <t>Catégories d'émission :</t>
  </si>
  <si>
    <t>Valeurs calculées</t>
  </si>
  <si>
    <t>Fiche descriptive du site ou de l'activité considérée</t>
  </si>
  <si>
    <t>Recapitulatif CO2e</t>
  </si>
  <si>
    <t>Emissions de N2O</t>
  </si>
  <si>
    <t>Emissions de CO2</t>
  </si>
  <si>
    <t>Emissions de CH4</t>
  </si>
  <si>
    <t>Emissions totales</t>
  </si>
  <si>
    <t>Economies revendiquées (puits)</t>
  </si>
  <si>
    <t>Economies revendiquées (valorisation)</t>
  </si>
  <si>
    <t>Construction</t>
  </si>
  <si>
    <t>Chimie</t>
  </si>
  <si>
    <t>Agricole</t>
  </si>
  <si>
    <t>Ratios €</t>
  </si>
  <si>
    <t>Puits</t>
  </si>
  <si>
    <t>Metaux</t>
  </si>
  <si>
    <t>Voiture</t>
  </si>
  <si>
    <t>Autre route</t>
  </si>
  <si>
    <t>Train</t>
  </si>
  <si>
    <t>Avion</t>
  </si>
  <si>
    <t>Bateau</t>
  </si>
  <si>
    <t>Hors énergie</t>
  </si>
  <si>
    <t>Fuites - hors énergie</t>
  </si>
  <si>
    <t>N2O par an</t>
  </si>
  <si>
    <t>N par an</t>
  </si>
  <si>
    <t>Poids de N2O</t>
  </si>
  <si>
    <t xml:space="preserve"> en % du N</t>
  </si>
  <si>
    <t>de départ</t>
  </si>
  <si>
    <t>CH4 par an</t>
  </si>
  <si>
    <t>k-euros</t>
  </si>
  <si>
    <t>par k-euro</t>
  </si>
  <si>
    <r>
      <t xml:space="preserve">1 - Fret maritime </t>
    </r>
    <r>
      <rPr>
        <b/>
        <sz val="10"/>
        <color rgb="FFC00000"/>
        <rFont val="Arial"/>
        <family val="2"/>
      </rPr>
      <t xml:space="preserve">entrant, </t>
    </r>
    <r>
      <rPr>
        <b/>
        <sz val="10"/>
        <rFont val="Arial"/>
        <family val="2"/>
      </rPr>
      <t>bateaux possédés</t>
    </r>
  </si>
  <si>
    <r>
      <t xml:space="preserve">1 - Fret routier </t>
    </r>
    <r>
      <rPr>
        <b/>
        <sz val="10"/>
        <color rgb="FFC00000"/>
        <rFont val="Arial"/>
        <family val="2"/>
      </rPr>
      <t>entrant,</t>
    </r>
    <r>
      <rPr>
        <b/>
        <sz val="10"/>
        <rFont val="Arial"/>
        <family val="2"/>
      </rPr>
      <t xml:space="preserve"> véhicules possédés</t>
    </r>
  </si>
  <si>
    <r>
      <t xml:space="preserve">1 - Fret aérien </t>
    </r>
    <r>
      <rPr>
        <b/>
        <sz val="10"/>
        <color rgb="FFC00000"/>
        <rFont val="Arial"/>
        <family val="2"/>
      </rPr>
      <t>entrant,</t>
    </r>
    <r>
      <rPr>
        <b/>
        <sz val="10"/>
        <rFont val="Arial"/>
        <family val="2"/>
      </rPr>
      <t xml:space="preserve"> avions possédés</t>
    </r>
  </si>
  <si>
    <r>
      <t xml:space="preserve">1 - Fret routier </t>
    </r>
    <r>
      <rPr>
        <b/>
        <sz val="10"/>
        <color rgb="FFC00000"/>
        <rFont val="Arial"/>
        <family val="2"/>
      </rPr>
      <t>sortant,</t>
    </r>
    <r>
      <rPr>
        <b/>
        <sz val="10"/>
        <rFont val="Arial"/>
        <family val="2"/>
      </rPr>
      <t xml:space="preserve"> véhicules possédés</t>
    </r>
  </si>
  <si>
    <r>
      <t xml:space="preserve">1 - Fret ferroviaire </t>
    </r>
    <r>
      <rPr>
        <b/>
        <sz val="10"/>
        <color rgb="FFC00000"/>
        <rFont val="Arial"/>
        <family val="2"/>
      </rPr>
      <t>entrant,</t>
    </r>
    <r>
      <rPr>
        <b/>
        <sz val="10"/>
        <rFont val="Arial"/>
        <family val="2"/>
      </rPr>
      <t xml:space="preserve"> électricité pour trains possédés </t>
    </r>
    <r>
      <rPr>
        <b/>
        <sz val="10"/>
        <color rgb="FFC00000"/>
        <rFont val="Arial"/>
        <family val="2"/>
      </rPr>
      <t>(France)</t>
    </r>
  </si>
  <si>
    <t>1 - Voiture, domicile-travail : remboursement ou fourniture de carburants (moyens de transport possédés)</t>
  </si>
  <si>
    <t>Coefficient de</t>
  </si>
  <si>
    <r>
      <t xml:space="preserve">Gaz </t>
    </r>
    <r>
      <rPr>
        <b/>
        <sz val="10"/>
        <color rgb="FFC00000"/>
        <rFont val="Arial"/>
        <family val="2"/>
      </rPr>
      <t>hors Kyoto</t>
    </r>
  </si>
  <si>
    <t>1 - Bâtiments, méthode par les superficies</t>
  </si>
  <si>
    <t>(m2)</t>
  </si>
  <si>
    <t>Superficies</t>
  </si>
  <si>
    <t>3 - Bâtiments, matériaux INIES</t>
  </si>
  <si>
    <t>1 - Véhicules, outils &amp; machines, méthode par les poids</t>
  </si>
  <si>
    <t>2 - Véhicules, outils &amp; machines, métaux</t>
  </si>
  <si>
    <t>1 - Informatique, méthode par les unités</t>
  </si>
  <si>
    <t>2 - Informatique, méthode par les prix</t>
  </si>
  <si>
    <t>Fuites ou émissions non énergétiques</t>
  </si>
  <si>
    <r>
      <t xml:space="preserve">Gaz de </t>
    </r>
    <r>
      <rPr>
        <b/>
        <sz val="10"/>
        <color rgb="FFC00000"/>
        <rFont val="Arial"/>
        <family val="2"/>
      </rPr>
      <t>Kyoto</t>
    </r>
  </si>
  <si>
    <r>
      <t>Emissions d'halocarbures de</t>
    </r>
    <r>
      <rPr>
        <b/>
        <sz val="10"/>
        <color indexed="10"/>
        <rFont val="Arial"/>
        <family val="2"/>
      </rPr>
      <t xml:space="preserve"> </t>
    </r>
    <r>
      <rPr>
        <b/>
        <sz val="10"/>
        <color rgb="FFC00000"/>
        <rFont val="Arial"/>
        <family val="2"/>
      </rPr>
      <t>Kyoto</t>
    </r>
  </si>
  <si>
    <t>Emissions de gaz hors Kyoto</t>
  </si>
  <si>
    <r>
      <t>Emissions de gaz</t>
    </r>
    <r>
      <rPr>
        <b/>
        <sz val="10"/>
        <color indexed="10"/>
        <rFont val="Arial"/>
        <family val="2"/>
      </rPr>
      <t xml:space="preserve"> </t>
    </r>
    <r>
      <rPr>
        <b/>
        <sz val="10"/>
        <color rgb="FFC00000"/>
        <rFont val="Arial"/>
        <family val="2"/>
      </rPr>
      <t>hors Kyoto</t>
    </r>
  </si>
  <si>
    <t>Jours travaillés</t>
  </si>
  <si>
    <t>Distance moy</t>
  </si>
  <si>
    <r>
      <t xml:space="preserve">2 - Voiture, domicile - travail : calcul à partir du nombre de voitures et de la </t>
    </r>
    <r>
      <rPr>
        <b/>
        <sz val="10"/>
        <color rgb="FFC00000"/>
        <rFont val="Arial"/>
        <family val="2"/>
      </rPr>
      <t>localisation du domicile du conducteur</t>
    </r>
  </si>
  <si>
    <t>1 - Déplacements en voiture dans le cadre du travail, véhicules possédés ou opérés par l'organisation, achats ou remboursements de carburants</t>
  </si>
  <si>
    <r>
      <t xml:space="preserve">1 - </t>
    </r>
    <r>
      <rPr>
        <b/>
        <sz val="10"/>
        <color rgb="FFC00000"/>
        <rFont val="Arial"/>
        <family val="2"/>
      </rPr>
      <t xml:space="preserve">Visiteurs </t>
    </r>
    <r>
      <rPr>
        <b/>
        <sz val="10"/>
        <rFont val="Arial"/>
        <family val="2"/>
      </rPr>
      <t>en mode opéré ou possédé : comptabilisation des carburants</t>
    </r>
  </si>
  <si>
    <t>Convertisseurs</t>
  </si>
  <si>
    <t>Passage de diverses unités physiques vers d'autres unités</t>
  </si>
  <si>
    <t>m3 de gaz naturel</t>
  </si>
  <si>
    <r>
      <rPr>
        <b/>
        <sz val="10"/>
        <rFont val="Arial"/>
        <family val="2"/>
      </rPr>
      <t>Attention :</t>
    </r>
    <r>
      <rPr>
        <sz val="10"/>
        <rFont val="Arial"/>
        <family val="2"/>
      </rPr>
      <t xml:space="preserve"> lorsque vous entrez une valeur dans une des cases à fond blanc, le maintien d'une valeur nulle (0) dans une des cases à fond jaune ne signifie pas que le résultat est nul, mais simplement que l'arrondi est nul.</t>
    </r>
  </si>
  <si>
    <t>Cartes de France</t>
  </si>
  <si>
    <t>Voies navigables</t>
  </si>
  <si>
    <t>Message d'erreur</t>
  </si>
  <si>
    <t>Récapitulatif</t>
  </si>
  <si>
    <t>Année du Bilan Carbone®</t>
  </si>
  <si>
    <t>Nom de l'organisation</t>
  </si>
  <si>
    <t>Nom du site</t>
  </si>
  <si>
    <t>Nature de l'activité</t>
  </si>
  <si>
    <t>Type d'unité d'œuvre</t>
  </si>
  <si>
    <t>Nombre d'unités d'œuvre</t>
  </si>
  <si>
    <t>% de réduction</t>
  </si>
  <si>
    <t>Emissions annuelles résiduelles après 1 an</t>
  </si>
  <si>
    <t>Réduction la première année</t>
  </si>
  <si>
    <t>Réduction après 5 ans</t>
  </si>
  <si>
    <t>Réduction après 10 ans</t>
  </si>
  <si>
    <t>Emissions annuelles résiduelles</t>
  </si>
  <si>
    <t>Objectifs de réduction à activité constante</t>
  </si>
  <si>
    <t>Objectifs de réduction indexés sur le taux de croissance de l'activité</t>
  </si>
  <si>
    <t>Résultats rapportés sous forme de ratios</t>
  </si>
  <si>
    <t>Extraction des résultats pour le reporting Bilan GES</t>
  </si>
  <si>
    <t>Valeurs exportées par poste pour l’utilisation du totalisateur</t>
  </si>
  <si>
    <t>Valeur exportée par sous-poste pour l’utilisation du totalisateur</t>
  </si>
  <si>
    <t>Noms des onglets
(ne pas modifier)</t>
  </si>
  <si>
    <t>% export</t>
  </si>
  <si>
    <t>Numéros</t>
  </si>
  <si>
    <t>Documents de référence</t>
  </si>
  <si>
    <t>Listes déroulantes</t>
  </si>
  <si>
    <r>
      <t xml:space="preserve">1 - Fret aérien </t>
    </r>
    <r>
      <rPr>
        <b/>
        <sz val="10"/>
        <color rgb="FFC00000"/>
        <rFont val="Arial"/>
        <family val="2"/>
      </rPr>
      <t>interne,</t>
    </r>
    <r>
      <rPr>
        <b/>
        <sz val="10"/>
        <rFont val="Arial"/>
        <family val="2"/>
      </rPr>
      <t xml:space="preserve"> avions possédés</t>
    </r>
  </si>
  <si>
    <r>
      <t xml:space="preserve">1 - Fret aérien </t>
    </r>
    <r>
      <rPr>
        <b/>
        <sz val="10"/>
        <color rgb="FFC00000"/>
        <rFont val="Arial"/>
        <family val="2"/>
      </rPr>
      <t>sortant,</t>
    </r>
    <r>
      <rPr>
        <b/>
        <sz val="10"/>
        <rFont val="Arial"/>
        <family val="2"/>
      </rPr>
      <t xml:space="preserve"> avions possédés</t>
    </r>
  </si>
  <si>
    <r>
      <t xml:space="preserve">1 - Fret ferroviaire </t>
    </r>
    <r>
      <rPr>
        <b/>
        <sz val="10"/>
        <color rgb="FFC00000"/>
        <rFont val="Arial"/>
        <family val="2"/>
      </rPr>
      <t>interne,</t>
    </r>
    <r>
      <rPr>
        <b/>
        <sz val="10"/>
        <rFont val="Arial"/>
        <family val="2"/>
      </rPr>
      <t xml:space="preserve"> électricité pour trains possédés </t>
    </r>
    <r>
      <rPr>
        <b/>
        <sz val="10"/>
        <color rgb="FFC00000"/>
        <rFont val="Arial"/>
        <family val="2"/>
      </rPr>
      <t>(France)</t>
    </r>
  </si>
  <si>
    <r>
      <t xml:space="preserve">1 - Fret maritime </t>
    </r>
    <r>
      <rPr>
        <b/>
        <sz val="10"/>
        <color rgb="FFC00000"/>
        <rFont val="Arial"/>
        <family val="2"/>
      </rPr>
      <t xml:space="preserve">interne, </t>
    </r>
    <r>
      <rPr>
        <b/>
        <sz val="10"/>
        <rFont val="Arial"/>
        <family val="2"/>
      </rPr>
      <t>bateaux possédés</t>
    </r>
  </si>
  <si>
    <r>
      <t xml:space="preserve">1 - Fret maritime </t>
    </r>
    <r>
      <rPr>
        <b/>
        <sz val="10"/>
        <color rgb="FFC00000"/>
        <rFont val="Arial"/>
        <family val="2"/>
      </rPr>
      <t xml:space="preserve">sortant, </t>
    </r>
    <r>
      <rPr>
        <b/>
        <sz val="10"/>
        <rFont val="Arial"/>
        <family val="2"/>
      </rPr>
      <t>bateaux possédés</t>
    </r>
  </si>
  <si>
    <t>Non détenu, loc. simple</t>
  </si>
  <si>
    <t>Non détenu, supporté</t>
  </si>
  <si>
    <t>Non détenu, non supporté</t>
  </si>
  <si>
    <t>Non opéré, supporté</t>
  </si>
  <si>
    <t>Non opéré, non supporté</t>
  </si>
  <si>
    <t>kg CO2 b</t>
  </si>
  <si>
    <t>Polynésie Française</t>
  </si>
  <si>
    <t>m3</t>
  </si>
  <si>
    <t>rejetés</t>
  </si>
  <si>
    <t>Consommations mensuelles</t>
  </si>
  <si>
    <t>Complétez la case Descriptif!D7</t>
  </si>
  <si>
    <r>
      <t xml:space="preserve">1 - Fret ferroviaire </t>
    </r>
    <r>
      <rPr>
        <b/>
        <sz val="10"/>
        <color rgb="FFC00000"/>
        <rFont val="Arial"/>
        <family val="2"/>
      </rPr>
      <t>sortant,</t>
    </r>
    <r>
      <rPr>
        <b/>
        <sz val="10"/>
        <rFont val="Arial"/>
        <family val="2"/>
      </rPr>
      <t xml:space="preserve"> électricité pour trains possédés </t>
    </r>
    <r>
      <rPr>
        <b/>
        <sz val="10"/>
        <color rgb="FFC00000"/>
        <rFont val="Arial"/>
        <family val="2"/>
      </rPr>
      <t>(France)</t>
    </r>
  </si>
  <si>
    <t>Catégories</t>
  </si>
  <si>
    <t>Valeur exportée, t CO2e</t>
  </si>
  <si>
    <t>Valeur exportée, t Ce</t>
  </si>
  <si>
    <t>incertitudes, t CO2e</t>
  </si>
  <si>
    <t>Export postes</t>
  </si>
  <si>
    <t>Export sous-postes</t>
  </si>
  <si>
    <t>Données statistiques</t>
  </si>
  <si>
    <t>Coefficient de correction climatique</t>
  </si>
  <si>
    <t>Nombre de PL par jour</t>
  </si>
  <si>
    <t>Localisation du domicile du conducteur</t>
  </si>
  <si>
    <t>dom-travail (km)</t>
  </si>
  <si>
    <t>Distance moy.</t>
  </si>
  <si>
    <t>jours travaillés</t>
  </si>
  <si>
    <t>Déplacements, voiture particulière, facteurs d'émissions de la V6.1</t>
  </si>
  <si>
    <t>neuf</t>
  </si>
  <si>
    <t>PRG</t>
  </si>
  <si>
    <t>Coefficient</t>
  </si>
  <si>
    <t>kWh/m2.an</t>
  </si>
  <si>
    <t>Tertiaire chauffé au fioul, moyenne</t>
  </si>
  <si>
    <t>Tertiaire chauffé au gaz, moyenne</t>
  </si>
  <si>
    <t>Tous usages</t>
  </si>
  <si>
    <t>Tertaire, électrictié, consos moyenne</t>
  </si>
  <si>
    <t>Tertaire</t>
  </si>
  <si>
    <t>Résidentiel</t>
  </si>
  <si>
    <t>en France</t>
  </si>
  <si>
    <t>Résidentiel, mixte energétique</t>
  </si>
  <si>
    <t>Superficie</t>
  </si>
  <si>
    <t>Résidentiel, chauffage</t>
  </si>
  <si>
    <t>Résidentiel, ECS</t>
  </si>
  <si>
    <t>Résidentiel, chauffage - moyennes</t>
  </si>
  <si>
    <t>Résidentiel, ECS - moyennes</t>
  </si>
  <si>
    <t>kWh/an</t>
  </si>
  <si>
    <t>kWh par ménage.an</t>
  </si>
  <si>
    <t>Taux d'équipement</t>
  </si>
  <si>
    <t>Résidentiel, conso appareils elec.</t>
  </si>
  <si>
    <t>Résidentiel, consommations moyennes</t>
  </si>
  <si>
    <t>Codes</t>
  </si>
  <si>
    <t>Fertilisation azotée : unités d'azote à l'hectare</t>
  </si>
  <si>
    <t>Serres chauffées par bassin de production</t>
  </si>
  <si>
    <t>Fraises, moyenne nationale</t>
  </si>
  <si>
    <t>Horticulture par bassin de production</t>
  </si>
  <si>
    <t>Voiture, taux d'occupation moyen</t>
  </si>
  <si>
    <t>Voiture, kilométrage annuel moyen</t>
  </si>
  <si>
    <t>km/an</t>
  </si>
  <si>
    <t>pass./voit.</t>
  </si>
  <si>
    <t>Bus, part dans les TC</t>
  </si>
  <si>
    <t>Déplacements courts en France métropolitaine (km/personne.an)</t>
  </si>
  <si>
    <t>Déplacements longue distance en France métropolitaine (km/personne.an)</t>
  </si>
  <si>
    <t>Contrôle de la bonne caractérisation des sources d'émissions :</t>
  </si>
  <si>
    <t>Contrôle du bon choix des facteurs d'émissions pour les postes 1 &amp; 2 :</t>
  </si>
  <si>
    <t xml:space="preserve">Pour les scopes 2 et 3, il est très probable que le total des émissions en CO2e soit supérieur à la somme des émissions par type de GES pondérées par leurs PRG. </t>
  </si>
  <si>
    <r>
      <t xml:space="preserve">Note : </t>
    </r>
    <r>
      <rPr>
        <sz val="10"/>
        <rFont val="Arial"/>
        <family val="2"/>
      </rPr>
      <t>Le découpage par type de GES n'est pas connu pour tous les facteurs d'émissions.</t>
    </r>
  </si>
  <si>
    <r>
      <rPr>
        <b/>
        <sz val="10"/>
        <rFont val="Arial"/>
        <family val="2"/>
      </rPr>
      <t>Afin de répondre à l’exigence réglementaire stricte</t>
    </r>
    <r>
      <rPr>
        <sz val="10"/>
        <rFont val="Arial"/>
        <family val="2"/>
      </rPr>
      <t>, il est demandé de connaitre le découpage par type de GES pour le scope 1.</t>
    </r>
  </si>
  <si>
    <t>Contrôle financier</t>
  </si>
  <si>
    <t>Contrôle opérationnel</t>
  </si>
  <si>
    <t>Choix possibles par approche</t>
  </si>
  <si>
    <t>Non opérée</t>
  </si>
  <si>
    <t>Non détenue, loc. simple</t>
  </si>
  <si>
    <t>Non détenue, autre</t>
  </si>
  <si>
    <t>de la source</t>
  </si>
  <si>
    <t>Détenue, fugitives</t>
  </si>
  <si>
    <t>Détenue, procédés</t>
  </si>
  <si>
    <t>Opérée, fugitives</t>
  </si>
  <si>
    <t>Opérée, procédés</t>
  </si>
  <si>
    <r>
      <t xml:space="preserve">Le terme </t>
    </r>
    <r>
      <rPr>
        <b/>
        <sz val="10"/>
        <rFont val="Arial"/>
        <family val="2"/>
      </rPr>
      <t xml:space="preserve">"Opéré" </t>
    </r>
    <r>
      <rPr>
        <sz val="10"/>
        <rFont val="Arial"/>
        <family val="2"/>
      </rPr>
      <t>signifie que le matériel considéré est sous le contrôle opérationnel de l'entité réalisant son Bilan GES.</t>
    </r>
  </si>
  <si>
    <r>
      <rPr>
        <u/>
        <sz val="10"/>
        <rFont val="Arial"/>
        <family val="2"/>
      </rPr>
      <t>Exemple :</t>
    </r>
    <r>
      <rPr>
        <sz val="10"/>
        <rFont val="Arial"/>
        <family val="2"/>
      </rPr>
      <t xml:space="preserve"> Lors d'un déplacement professionnel, un employé de l'entité loue un véhicule pour une journée : </t>
    </r>
  </si>
  <si>
    <t>* En contrôle financier, le véhicule est à considérer comme "Non détenu, location simple".</t>
  </si>
  <si>
    <t>* En contrôle opérationnel, le véhicule est à considérer comme "Opéré".</t>
  </si>
  <si>
    <r>
      <t xml:space="preserve">Le terme </t>
    </r>
    <r>
      <rPr>
        <b/>
        <sz val="10"/>
        <rFont val="Arial"/>
        <family val="2"/>
      </rPr>
      <t>"Détenu"</t>
    </r>
    <r>
      <rPr>
        <sz val="10"/>
        <rFont val="Arial"/>
        <family val="2"/>
      </rPr>
      <t xml:space="preserve"> signifie que le matériel considéré est sous le contrôle financier de l'entité réalisant son Bilan GES. En d'autres termes, l'entité est propriétaire du matériel. </t>
    </r>
  </si>
  <si>
    <t xml:space="preserve">Eléments de vocabulaire : </t>
  </si>
  <si>
    <t>Fret routier interne, véhicules possédés ou opérés, combustion seule</t>
  </si>
  <si>
    <t>Fret routier interne, véhicules non possédés, combustion seule</t>
  </si>
  <si>
    <t>Fret aérien interne, avions possédés ou opérés, combustion seule</t>
  </si>
  <si>
    <t>Fret aérien interne, avions non possédés, combustion seule</t>
  </si>
  <si>
    <t>Fret ferroviaire interne, trains possédés ou opérés, combustion seule</t>
  </si>
  <si>
    <t>Fret ferroviaire interne, trains non possédés, energie seule</t>
  </si>
  <si>
    <t>Fret maritime interne, bateaux possédés ou opérés, combustion seule</t>
  </si>
  <si>
    <t>Fret maritime interne, bateaux non possédés, combustion seule</t>
  </si>
  <si>
    <t>Récapitulatif par catégorie pour extraction GHG Protocol</t>
  </si>
  <si>
    <t>Emissions directes des sources mobiles de combustion</t>
  </si>
  <si>
    <t>Emissions directes des procédés</t>
  </si>
  <si>
    <t>Total Scope 3</t>
  </si>
  <si>
    <t>Total Scope 2</t>
  </si>
  <si>
    <t>Total Scope 1</t>
  </si>
  <si>
    <t>1-1</t>
  </si>
  <si>
    <t>1-2</t>
  </si>
  <si>
    <t>1-3</t>
  </si>
  <si>
    <t>1-4</t>
  </si>
  <si>
    <t>2-1</t>
  </si>
  <si>
    <t>2-2</t>
  </si>
  <si>
    <t>Produits et services achetés</t>
  </si>
  <si>
    <t>Biens immobilisés</t>
  </si>
  <si>
    <t>Emissions liées aux combustibles et à l'énergie (non inclus dans le scope 1 ou le scope 2)</t>
  </si>
  <si>
    <t>Déchets générés</t>
  </si>
  <si>
    <t>Transport de marchandise aval et distribution</t>
  </si>
  <si>
    <t>Transformation des produits vendus</t>
  </si>
  <si>
    <t>Actifs en leasing aval</t>
  </si>
  <si>
    <t>Franchises</t>
  </si>
  <si>
    <t>3-1</t>
  </si>
  <si>
    <t>3-2</t>
  </si>
  <si>
    <t>3-3</t>
  </si>
  <si>
    <t>3-4</t>
  </si>
  <si>
    <t>3-5</t>
  </si>
  <si>
    <t>3-6</t>
  </si>
  <si>
    <t>3-7</t>
  </si>
  <si>
    <t>3-8</t>
  </si>
  <si>
    <t>3-9</t>
  </si>
  <si>
    <t>3-10</t>
  </si>
  <si>
    <t>3-11</t>
  </si>
  <si>
    <t>3-12</t>
  </si>
  <si>
    <t>3-13</t>
  </si>
  <si>
    <t>3-14</t>
  </si>
  <si>
    <t>3-15</t>
  </si>
  <si>
    <t>Emissions du Scope 3 aval</t>
  </si>
  <si>
    <t>Emissions du Scope 3 amont</t>
  </si>
  <si>
    <t>GHG Protocol</t>
  </si>
  <si>
    <t>Scope 2</t>
  </si>
  <si>
    <t>Scope 3</t>
  </si>
  <si>
    <t>Extraction des résultats pour le reporting GHG Protocol</t>
  </si>
  <si>
    <t>Autres émissions indirectes amont</t>
  </si>
  <si>
    <t>Autres émissions indirectes aval</t>
  </si>
  <si>
    <t>Sources mobiles de combustion</t>
  </si>
  <si>
    <t>Liées à l'énergie (non inclus dans les scope 1 ou 2)</t>
  </si>
  <si>
    <t>Oui</t>
  </si>
  <si>
    <t xml:space="preserve">Est-ce que le site considéré est un franchisé ? </t>
  </si>
  <si>
    <t>Non</t>
  </si>
  <si>
    <t>Part du capital</t>
  </si>
  <si>
    <t>Est-ce que le site considéré est un franchiseur ?</t>
  </si>
  <si>
    <t xml:space="preserve">Répartition par type de gaz à effet de serre pour GHG Protocol </t>
  </si>
  <si>
    <t>Fabrication en</t>
  </si>
  <si>
    <t>Guide des facteurs d'émissions V6.1 (Archive)</t>
  </si>
  <si>
    <t>Par le client final</t>
  </si>
  <si>
    <t>Par un intermédiaire</t>
  </si>
  <si>
    <t>Mis en location</t>
  </si>
  <si>
    <t>production</t>
  </si>
  <si>
    <t>Bâtiments, approche par les surfaces</t>
  </si>
  <si>
    <t>Région considérée :</t>
  </si>
  <si>
    <t>FE - Déchets</t>
  </si>
  <si>
    <t>Nouvelle-Calédonie</t>
  </si>
  <si>
    <t>Guyane</t>
  </si>
  <si>
    <t>Mayotte</t>
  </si>
  <si>
    <t>Guadeloupe</t>
  </si>
  <si>
    <t>Réunion</t>
  </si>
  <si>
    <t>Martinique</t>
  </si>
  <si>
    <t>Non personnalisable</t>
  </si>
  <si>
    <t>Lieu de traitement des déchets :</t>
  </si>
  <si>
    <t>Répartition par filière en France</t>
  </si>
  <si>
    <t>(kWh PCI)</t>
  </si>
  <si>
    <t>(tep PCI)</t>
  </si>
  <si>
    <t>2 - Electricité achetée, en France</t>
  </si>
  <si>
    <r>
      <t xml:space="preserve">1 - Fret routier </t>
    </r>
    <r>
      <rPr>
        <b/>
        <sz val="10"/>
        <color rgb="FFC00000"/>
        <rFont val="Arial"/>
        <family val="2"/>
      </rPr>
      <t>interne,</t>
    </r>
    <r>
      <rPr>
        <b/>
        <sz val="10"/>
        <rFont val="Arial"/>
        <family val="2"/>
      </rPr>
      <t xml:space="preserve"> véhicules possédés</t>
    </r>
  </si>
  <si>
    <t>à activité constante</t>
  </si>
  <si>
    <t>indexé à la croissance</t>
  </si>
  <si>
    <t>Chiffre d'affaires / Budget reel</t>
  </si>
  <si>
    <t>Résultat d'exploitation / Budget fonctionnement</t>
  </si>
  <si>
    <t>Résultat net / Autre budget</t>
  </si>
  <si>
    <t>Calculette pour le changement d'affectation des sols</t>
  </si>
  <si>
    <t>Type de changement</t>
  </si>
  <si>
    <t>Culture vers …</t>
  </si>
  <si>
    <t>par ha</t>
  </si>
  <si>
    <t>(ha)</t>
  </si>
  <si>
    <t>Surface</t>
  </si>
  <si>
    <t>Calculette UTFC</t>
  </si>
  <si>
    <t>Forêt vers …</t>
  </si>
  <si>
    <t>Prairie vers …</t>
  </si>
  <si>
    <t>Base Carbone® de l'ADEME</t>
  </si>
  <si>
    <t>Documentation Base Carbone® (guide des facteurs d'émissions)</t>
  </si>
  <si>
    <t>Récapitulatif par catégorie pour extraction ISO/TR 14069:2013</t>
  </si>
  <si>
    <t>Emissions supprimées de GES</t>
  </si>
  <si>
    <t>Emissions directes issues de l'UTCF</t>
  </si>
  <si>
    <t>Emissions indirectes liées à la consommation d'énergie de réseau (hors électricité)</t>
  </si>
  <si>
    <t>Achats de produits</t>
  </si>
  <si>
    <t>Transport de marchandise amont et distribution</t>
  </si>
  <si>
    <t>ISO/TR 14069:2013</t>
  </si>
  <si>
    <t>Non applicable</t>
  </si>
  <si>
    <t>ISO 14069</t>
  </si>
  <si>
    <t>Extraction des résultats pour le reporting ISO/TR 14069:2013</t>
  </si>
  <si>
    <t>Pour l'extraction ISO 14069, souhaitez-vous amortir les émissions sur la durée d'amortissement ?</t>
  </si>
  <si>
    <t>Sources des facteurs d'émissions utilisés</t>
  </si>
  <si>
    <t>Code Source</t>
  </si>
  <si>
    <t>Auteur du facteur d'émissions</t>
  </si>
  <si>
    <t>Nom de la source utilisée</t>
  </si>
  <si>
    <t>Nom du document utilisé</t>
  </si>
  <si>
    <t>Page(s) où se trouvent les informations détaillées</t>
  </si>
  <si>
    <t>ADEME</t>
  </si>
  <si>
    <t>Documentation Base Carbone®</t>
  </si>
  <si>
    <t>EDF</t>
  </si>
  <si>
    <t>http://fr.edf.com/edf-en-france-51250.html</t>
  </si>
  <si>
    <t>Consommation [1]</t>
  </si>
  <si>
    <t>PWC</t>
  </si>
  <si>
    <t>Etudes Facteur Carbone européen</t>
  </si>
  <si>
    <t>http://www.pwc.fr/etudes_facteur_carbone_europeen.html</t>
  </si>
  <si>
    <t>R407a</t>
  </si>
  <si>
    <t>R407f</t>
  </si>
  <si>
    <t>R417a</t>
  </si>
  <si>
    <t>R422a</t>
  </si>
  <si>
    <t>R422d</t>
  </si>
  <si>
    <t>R427a</t>
  </si>
  <si>
    <t>R507a</t>
  </si>
  <si>
    <t>Chloroforme de méthyle</t>
  </si>
  <si>
    <t>R401a</t>
  </si>
  <si>
    <t>R408a</t>
  </si>
  <si>
    <t>R502</t>
  </si>
  <si>
    <t>Tétrachlorométhane</t>
  </si>
  <si>
    <t>Méthane d'origine fossile</t>
  </si>
  <si>
    <t>Méthane d'origine biogénique</t>
  </si>
  <si>
    <t>1 - Electricité achetée, par usage, en France continentale</t>
  </si>
  <si>
    <t>Suivi indicateur - 2012, 2013 et 2014</t>
  </si>
  <si>
    <t>Bilans annuel 2012, 2013 et 2014</t>
  </si>
  <si>
    <t>Autres gaz
(kg CO2e)</t>
  </si>
  <si>
    <t>CO2
(kg CO2e)</t>
  </si>
  <si>
    <t>CH4
(kg CO2e)</t>
  </si>
  <si>
    <t>N2O
(kg CO2e)</t>
  </si>
  <si>
    <t>CO2 b
(kg CO2e)</t>
  </si>
  <si>
    <t>Total
(kg CO2e)</t>
  </si>
  <si>
    <t>HFCs
(kg CO2e)</t>
  </si>
  <si>
    <t>PFCs
(kg CO2e)</t>
  </si>
  <si>
    <t>SF6
(kg CO2e)</t>
  </si>
  <si>
    <t>Gaz fluorés
(kg CO2e)</t>
  </si>
  <si>
    <t>CO2 b de combustion
(kg CO2e)</t>
  </si>
  <si>
    <t>Autre CO2 b
(kg CO2e)</t>
  </si>
  <si>
    <t>CO2 
(t CO2e)</t>
  </si>
  <si>
    <t>CH4
(t CO2e)</t>
  </si>
  <si>
    <t>N2O
(t CO2e)</t>
  </si>
  <si>
    <t>CO2 b 
(t CO2e)</t>
  </si>
  <si>
    <t>Autres gaz
(t CO2e)</t>
  </si>
  <si>
    <t>CO2
(t CO2e)</t>
  </si>
  <si>
    <t>HFCs
(t CO2e)</t>
  </si>
  <si>
    <t>PFCs
(t CO2e)</t>
  </si>
  <si>
    <t>SF6
(t CO2e)</t>
  </si>
  <si>
    <t>CO2 b
(t CO2e)</t>
  </si>
  <si>
    <t>Gaz fluorés
(t CO2e)</t>
  </si>
  <si>
    <t>CO2 b de combustion
(t CO2e)</t>
  </si>
  <si>
    <t>Autre CO2 b
(t CO2e)</t>
  </si>
  <si>
    <t>Produits animaux en "sortie de ferme"</t>
  </si>
  <si>
    <t>Produits végétaux en "sortie de ferme"</t>
  </si>
  <si>
    <t>Autres achats</t>
  </si>
  <si>
    <t>amont +</t>
  </si>
  <si>
    <t>(kg CO2e)</t>
  </si>
  <si>
    <t>3 - Déplacement des employés en avion, passager.km</t>
  </si>
  <si>
    <t>4 - Déplacement des employés en avion : calcul approximatif à partir du nombre de voyages</t>
  </si>
  <si>
    <t>Employés, bateau</t>
  </si>
  <si>
    <t>pertes</t>
  </si>
  <si>
    <t>Zones climatiques</t>
  </si>
  <si>
    <t>Autres intrants</t>
  </si>
  <si>
    <t>Utilisation de ratios monétaires</t>
  </si>
  <si>
    <t>Intrants comptabilisés en valeur</t>
  </si>
  <si>
    <t>Ratios monétaires</t>
  </si>
  <si>
    <t>Gaz hors Kyoto 
(kgCO2e)</t>
  </si>
  <si>
    <t>Inclure les gaz hors Kyoto ?</t>
  </si>
  <si>
    <t>Descriptif</t>
  </si>
  <si>
    <t>Retour au Descriptif</t>
  </si>
  <si>
    <t>passager.km</t>
  </si>
  <si>
    <t>course.km</t>
  </si>
  <si>
    <r>
      <t xml:space="preserve">7 - </t>
    </r>
    <r>
      <rPr>
        <b/>
        <sz val="10"/>
        <color rgb="FFC00000"/>
        <rFont val="Arial"/>
        <family val="2"/>
      </rPr>
      <t>Visiteurs</t>
    </r>
    <r>
      <rPr>
        <b/>
        <sz val="10"/>
        <rFont val="Arial"/>
        <family val="2"/>
      </rPr>
      <t xml:space="preserve"> en avion, nombre de voyages</t>
    </r>
  </si>
  <si>
    <t>Intrants 2</t>
  </si>
  <si>
    <t>Intrants 1</t>
  </si>
  <si>
    <t>Aux matériaux, produits et services achetés</t>
  </si>
  <si>
    <t>http://www.bilans-ges.ademe.fr/fr/accueil/documentation-gene/index/</t>
  </si>
  <si>
    <t>[B]</t>
  </si>
  <si>
    <t>Gaz d'aciérie</t>
  </si>
  <si>
    <t>Gaz de cokerie</t>
  </si>
  <si>
    <t>Gaz de haut fourneau</t>
  </si>
  <si>
    <t>Béton armé</t>
  </si>
  <si>
    <t>10, Piney, Biomasse de Piney</t>
  </si>
  <si>
    <t>10, Troyes, Les Chartreux</t>
  </si>
  <si>
    <t>13, Martigues, ZAC Canto Perdrix</t>
  </si>
  <si>
    <t>13, Martigues, ZAC Paradis-Saint-Roch</t>
  </si>
  <si>
    <t>14, Bayeux, Réseau Bois I</t>
  </si>
  <si>
    <t>14, Falaise, ZAC de Falaise</t>
  </si>
  <si>
    <t>14, Lisieux, ZUP de Hauteville</t>
  </si>
  <si>
    <t>17, Jonzac, Réseau de Jonzac</t>
  </si>
  <si>
    <t>17, Pons, Réseau de Pons</t>
  </si>
  <si>
    <t>20, Corte, Réseau de Corte</t>
  </si>
  <si>
    <t>23, Bourganeuf, Réseau de Bourganeuf</t>
  </si>
  <si>
    <t>23, Felletin, Réseau de Felletin</t>
  </si>
  <si>
    <t>25, Audincourt, Champs Montants</t>
  </si>
  <si>
    <t>25, Besançon, Besançon-Planoise</t>
  </si>
  <si>
    <t>25, Béthoncourt, Champvalon</t>
  </si>
  <si>
    <t>25, Montbéliard, ZUP de la Petite Hollande</t>
  </si>
  <si>
    <t>25, Mouthe, Réseau de Mouthe</t>
  </si>
  <si>
    <t>26, Montélimar, Réseau Pracomptal</t>
  </si>
  <si>
    <t>26, Pierrelatte, Réseau de Pierrelatte-Des</t>
  </si>
  <si>
    <t>27, Vernon, ZUP Les Valmeux</t>
  </si>
  <si>
    <t>28, Chartres, ZUP de la Madeleine</t>
  </si>
  <si>
    <t>29, Plougastel-Daoulas, Réseau de Plougastel-Daoulas</t>
  </si>
  <si>
    <t>30, Nîmes, Quartier Ouest</t>
  </si>
  <si>
    <t>31, Blagnac, ZAC du Ritouret</t>
  </si>
  <si>
    <t>33, Pellegrue, Réseau de Pellegrue</t>
  </si>
  <si>
    <t>34, Montpellier, Ernest Granier</t>
  </si>
  <si>
    <t>34, Montpellier, Polygone Antigone</t>
  </si>
  <si>
    <t>34, Montpellier, Réseau des universités</t>
  </si>
  <si>
    <t>35, Rennes, Campus scientifique de Beaulieu</t>
  </si>
  <si>
    <t>35, Rennes, Quartier Sud</t>
  </si>
  <si>
    <t>35, Rennes, Sarah Bernhardt</t>
  </si>
  <si>
    <t>37, Saint-Pierre-des-Corps, La Rabaterie</t>
  </si>
  <si>
    <t>39, Dole, Réseau de Dole</t>
  </si>
  <si>
    <t>41, Blois, Quartier Bégon et Chevalier</t>
  </si>
  <si>
    <t>41, Mondoubleau, Réseau de Mondoubleau</t>
  </si>
  <si>
    <t>41, Vineuil, ZAC des Paradis</t>
  </si>
  <si>
    <t>42, Firminy, Réseau de Firminy</t>
  </si>
  <si>
    <t>42, Montrond-les-Bains, Réseau de Montrond-les-Bains</t>
  </si>
  <si>
    <t>43, Langeac, Langeac</t>
  </si>
  <si>
    <t>43, Yssingeaux, Réseau de chaleur YES</t>
  </si>
  <si>
    <t>46, Caillac, Réseau de Caillac</t>
  </si>
  <si>
    <t>46, Cajarc, Réseau de Cajarc</t>
  </si>
  <si>
    <t>46, Catus, Réseau de Catus</t>
  </si>
  <si>
    <t>46, Figeac, Réseau de Figeac</t>
  </si>
  <si>
    <t>46, Sousceyrac, Réseau de Sousceyrac</t>
  </si>
  <si>
    <t>48, Mende, Mende</t>
  </si>
  <si>
    <t>49, Angers, CHU Angers</t>
  </si>
  <si>
    <t>49, Saumur, Chemin Vert</t>
  </si>
  <si>
    <t>51, Epernay, Quartier Bernon</t>
  </si>
  <si>
    <t>52, Chaumont, La Rochotte</t>
  </si>
  <si>
    <t>53, Laval, ZUP de Nicolas</t>
  </si>
  <si>
    <t>55, Verdun, ZUP Anthouard</t>
  </si>
  <si>
    <t>56, Lanester, Réseau de Lanester</t>
  </si>
  <si>
    <t>57, Farébersviller, Réseau du Farébersviller</t>
  </si>
  <si>
    <t>57, Freyming-Merlebach, Réseau de Freyming-Merlebach</t>
  </si>
  <si>
    <t>57, Saint-Avold, Carrière</t>
  </si>
  <si>
    <t>57, Saint-Avold, Côte de la Justice</t>
  </si>
  <si>
    <t>57, Saint-Avold, Huchet</t>
  </si>
  <si>
    <t>57, Saint-Avold, Wenheck</t>
  </si>
  <si>
    <t>57, Sarreguemines, Réseau de Sarreguemines</t>
  </si>
  <si>
    <t>59, Wattrelos, Réseau de Wattrelos</t>
  </si>
  <si>
    <t>60, Compiègne, Réseau de Compiègne</t>
  </si>
  <si>
    <t>60, Montataire, Les Martinets</t>
  </si>
  <si>
    <t>60, Nogent-sur-Oise, Quartier des Obiers</t>
  </si>
  <si>
    <t>61, Alençon, Perseigne</t>
  </si>
  <si>
    <t>61, La Ferté-Macé, Réseau de La Ferté-Macé</t>
  </si>
  <si>
    <t>62, Liévin, Réseau de Liévin</t>
  </si>
  <si>
    <t>63, Royat, Réseau de Royat</t>
  </si>
  <si>
    <t>67, Haguenau, Réseau de Haguenau</t>
  </si>
  <si>
    <t>67, Ostwald, Cité du Wihrel</t>
  </si>
  <si>
    <t>67, Strasbourg, Elsau</t>
  </si>
  <si>
    <t>67, Strasbourg, Hautepierre</t>
  </si>
  <si>
    <t>68, Cernay, Réseau de Cernay</t>
  </si>
  <si>
    <t>68, Colmar, Réseau de Colmar</t>
  </si>
  <si>
    <t>68, Rixheim, Réseau de Rixheim</t>
  </si>
  <si>
    <t>69, Oullins, Plateau de Montmein</t>
  </si>
  <si>
    <t>69, Rillieux-la-Pape, Les Semailles</t>
  </si>
  <si>
    <t>69, Vaulx-en-Velin, Réseau de Vaulx-en-Velin</t>
  </si>
  <si>
    <t>69, Villeurbanne, Campus de la Doua</t>
  </si>
  <si>
    <t>70, Gray, ZUP des Capucins</t>
  </si>
  <si>
    <t>70, Saulnot, Réseau de Saulnot</t>
  </si>
  <si>
    <t>71, Mâcon, Réseau de Mâcon</t>
  </si>
  <si>
    <t>71, Tramayes, Réseau de Tramayes</t>
  </si>
  <si>
    <t>72, Coulaine, Bellevue</t>
  </si>
  <si>
    <t>72, Le Mans, Percée Centrale</t>
  </si>
  <si>
    <t>72, Le Mans, Réseau du Mans</t>
  </si>
  <si>
    <t>73, Chambéry, Bissy et Croix Rouge</t>
  </si>
  <si>
    <t>75, Paris, Réseau Climespace</t>
  </si>
  <si>
    <t>76, Le Havre, La Côte Brulée</t>
  </si>
  <si>
    <t>76, Le Havre, ZAC du Mont Gaillard</t>
  </si>
  <si>
    <t>76, Le Havre, ZUP de Caucriauville</t>
  </si>
  <si>
    <t>76, Rouen, CHU Charles Nicolle</t>
  </si>
  <si>
    <t>76, Rouen, Curb-Bihorel</t>
  </si>
  <si>
    <t>77, Avon, Centrale de la butte Monceau</t>
  </si>
  <si>
    <t>77, Chelles, Réseau de Chelles</t>
  </si>
  <si>
    <t>77, Coulommiers, Réseau de Coulommiers</t>
  </si>
  <si>
    <t>77, Dammarie-les-Lys, Réseau de Dammarie-les-Lys</t>
  </si>
  <si>
    <t>77, Le Mée-sur-Seine, Réseau du Mée-sur-Seine</t>
  </si>
  <si>
    <t>77, Meaux, Beauval-Collinet</t>
  </si>
  <si>
    <t>77, Melun, Almont-Montaigu</t>
  </si>
  <si>
    <t>77, Montereau-Fault-Yonne, ZUP de Surville</t>
  </si>
  <si>
    <t>77, Vaux-le-Pénil, Réseau de Vaux-le-Pénil</t>
  </si>
  <si>
    <t>78, Plaisir, Réseau de Plaisir-Resop</t>
  </si>
  <si>
    <t>78, Vélizy-Villacoublay, Réseau de Vélizy</t>
  </si>
  <si>
    <t>79, Bressuire, Réseau de Bressuire</t>
  </si>
  <si>
    <t>79, Niort, ZUP Le Clou Bouchet</t>
  </si>
  <si>
    <t>80, Amiens, Etouvie</t>
  </si>
  <si>
    <t>80, Montdidier, Réseau de Montdidier</t>
  </si>
  <si>
    <t>81, Carmaux, Réseau de Carmaux</t>
  </si>
  <si>
    <t>81, Mazamet, Chauffage urbain de Mazamet</t>
  </si>
  <si>
    <t>83, Toulon, Réseau La Beaucaire (UIOM)</t>
  </si>
  <si>
    <t>84, Avignon, Le Triennal</t>
  </si>
  <si>
    <t>85, Les Herbiers, Réseau Les Herbiers</t>
  </si>
  <si>
    <t>86, Poitiers, ZUP des Couronneries</t>
  </si>
  <si>
    <t>87, Limoges, ZAC de Beaubreuil</t>
  </si>
  <si>
    <t>88, Epinal, Plateau de la Justice</t>
  </si>
  <si>
    <t>88, Vittel, ZAD du Haut de Fol</t>
  </si>
  <si>
    <t>89, Sens, Les Chaillots</t>
  </si>
  <si>
    <t>89, Sens, ZUP des Grahuches</t>
  </si>
  <si>
    <t>90, Belfort, ZUP des Glacis</t>
  </si>
  <si>
    <t>91, Dourdan, Réseau de Dourdan</t>
  </si>
  <si>
    <t>91, Grigny, Réseau de Grigny SOCCRAM</t>
  </si>
  <si>
    <t>91, Massy, Réseau de Massy-Antony</t>
  </si>
  <si>
    <t>91, Ris-Orangis, Réseau de Ris-Orangis</t>
  </si>
  <si>
    <t>91, Vigneux-sur-Seine, ZUP de la Croix Blanche</t>
  </si>
  <si>
    <t>92, Chaville, Réseau de Chaville</t>
  </si>
  <si>
    <t>92, Courbevoie, Réseau de La Défense-Enertherm</t>
  </si>
  <si>
    <t>92, Levallois-Perret, ZAC du Front de Seine</t>
  </si>
  <si>
    <t>92, Puteaux, Réseau Ciceo</t>
  </si>
  <si>
    <t>92, Villeneuve-la-Garenne, Résidence Villeneuve</t>
  </si>
  <si>
    <t>93, Aulnay-sous-Bois, Le Gros Saule</t>
  </si>
  <si>
    <t>93, Bobigny, ZUP de Bobigny</t>
  </si>
  <si>
    <t>93, Bondy, Réseau de Bondy</t>
  </si>
  <si>
    <t>93, Clichy-sous-Bois, Le Chêne Pointu</t>
  </si>
  <si>
    <t>93, Neuilly-sur-Marne, ZUP des Fauvettes</t>
  </si>
  <si>
    <t>93, Sevran, ZAC de Sevran</t>
  </si>
  <si>
    <t>93, Villepinte, Réseau de Villepinte</t>
  </si>
  <si>
    <t>94, Cachan, Réseau de Cachan</t>
  </si>
  <si>
    <t>94, Créteil, Réseau de Créteil-Scuc</t>
  </si>
  <si>
    <t>94, Orly, Réseau ADP Orly</t>
  </si>
  <si>
    <t>94, Thiais, Réseau de Thiais</t>
  </si>
  <si>
    <t>95, Franconville, ZUP de Sannois-Ermont-Franconville</t>
  </si>
  <si>
    <t>95, Pontoise, Réseau de Pontoise</t>
  </si>
  <si>
    <t>95, Roissy, Réseaux ADP Roissy</t>
  </si>
  <si>
    <t>95, Taverny, Réseau de la ZAC Croix Rouge</t>
  </si>
  <si>
    <t>95, Villiers-le-Bel, Réseau de Villiers-le-Bel-Gonesse</t>
  </si>
  <si>
    <t>95, Roissy, Réseau ADP Roissy</t>
  </si>
  <si>
    <t>Afrique du Sud</t>
  </si>
  <si>
    <t>Albanie</t>
  </si>
  <si>
    <t>Algérie</t>
  </si>
  <si>
    <t>Allemagne</t>
  </si>
  <si>
    <t>Angola</t>
  </si>
  <si>
    <t>Antilles Néerlandaises</t>
  </si>
  <si>
    <t>Arabie Saoudite</t>
  </si>
  <si>
    <t>Argentine</t>
  </si>
  <si>
    <t>Arménie</t>
  </si>
  <si>
    <t>Australie</t>
  </si>
  <si>
    <t>Autriche</t>
  </si>
  <si>
    <t>Azerbaïdjan</t>
  </si>
  <si>
    <t>Bahreïn</t>
  </si>
  <si>
    <t>Bangladesh</t>
  </si>
  <si>
    <t>Bélarus</t>
  </si>
  <si>
    <t>Belgique</t>
  </si>
  <si>
    <t>Bénin</t>
  </si>
  <si>
    <t>Birmanie</t>
  </si>
  <si>
    <t>Bolivie</t>
  </si>
  <si>
    <t>Bosnie-Herzégovine</t>
  </si>
  <si>
    <t>Botswana</t>
  </si>
  <si>
    <t>Brésil</t>
  </si>
  <si>
    <t>Brunéi Darussalam</t>
  </si>
  <si>
    <t>Bulgarie</t>
  </si>
  <si>
    <t>Cambodge</t>
  </si>
  <si>
    <t>Cameroun</t>
  </si>
  <si>
    <t>Canada</t>
  </si>
  <si>
    <t>Chili</t>
  </si>
  <si>
    <t>Chine</t>
  </si>
  <si>
    <t>Chypre</t>
  </si>
  <si>
    <t>Colombie</t>
  </si>
  <si>
    <t>Congo</t>
  </si>
  <si>
    <t>Costa rica</t>
  </si>
  <si>
    <t>Côte d'Ivoire</t>
  </si>
  <si>
    <t>Croatie</t>
  </si>
  <si>
    <t>Cuba</t>
  </si>
  <si>
    <t>Danemark</t>
  </si>
  <si>
    <t>Égypte</t>
  </si>
  <si>
    <t>El Salvador</t>
  </si>
  <si>
    <t>Émirats Arabes Unis</t>
  </si>
  <si>
    <t>Équateur</t>
  </si>
  <si>
    <t>Érythrée</t>
  </si>
  <si>
    <t>Espagne</t>
  </si>
  <si>
    <t>Estonie</t>
  </si>
  <si>
    <t>États-Unis</t>
  </si>
  <si>
    <t>Éthiopie</t>
  </si>
  <si>
    <t>Finlande</t>
  </si>
  <si>
    <t>Gabon</t>
  </si>
  <si>
    <t>Géorgie</t>
  </si>
  <si>
    <t>Ghana</t>
  </si>
  <si>
    <t>Gibraltar</t>
  </si>
  <si>
    <t>Grèce</t>
  </si>
  <si>
    <t>Guatemala</t>
  </si>
  <si>
    <t>Haïti</t>
  </si>
  <si>
    <t>Honduras</t>
  </si>
  <si>
    <t>Hongrie</t>
  </si>
  <si>
    <t>Inde</t>
  </si>
  <si>
    <t>Indonésie</t>
  </si>
  <si>
    <t>Iraq</t>
  </si>
  <si>
    <t>Irlande</t>
  </si>
  <si>
    <t>Islande</t>
  </si>
  <si>
    <t>Israël</t>
  </si>
  <si>
    <t>Italie</t>
  </si>
  <si>
    <t>Jamaïque</t>
  </si>
  <si>
    <t>Japon</t>
  </si>
  <si>
    <t>Jordanie</t>
  </si>
  <si>
    <t>Kazakstan</t>
  </si>
  <si>
    <t>Kenya</t>
  </si>
  <si>
    <t>Kirghizistan</t>
  </si>
  <si>
    <t>Kosovo</t>
  </si>
  <si>
    <t>Koweït</t>
  </si>
  <si>
    <t>Lettonie</t>
  </si>
  <si>
    <t>Liban</t>
  </si>
  <si>
    <t>Libye</t>
  </si>
  <si>
    <t>Lituanie</t>
  </si>
  <si>
    <t>Luxembourg</t>
  </si>
  <si>
    <t>Macédonie</t>
  </si>
  <si>
    <t>Malaisie</t>
  </si>
  <si>
    <t>Malte</t>
  </si>
  <si>
    <t>Maroc</t>
  </si>
  <si>
    <t>Mexique</t>
  </si>
  <si>
    <t>Moldavie</t>
  </si>
  <si>
    <t>Mongolie</t>
  </si>
  <si>
    <t>Montenegro</t>
  </si>
  <si>
    <t>Mozambique</t>
  </si>
  <si>
    <t>Namibie</t>
  </si>
  <si>
    <t>Népal</t>
  </si>
  <si>
    <t>Nicaragua</t>
  </si>
  <si>
    <t>Nigéria</t>
  </si>
  <si>
    <t>Norvège</t>
  </si>
  <si>
    <t>Nouvelle-Zélande</t>
  </si>
  <si>
    <t>Oman</t>
  </si>
  <si>
    <t>Ouzbékistan</t>
  </si>
  <si>
    <t>Pakistan</t>
  </si>
  <si>
    <t>Panama</t>
  </si>
  <si>
    <t>Pays-Bas</t>
  </si>
  <si>
    <t>Pérou</t>
  </si>
  <si>
    <t>Philippines</t>
  </si>
  <si>
    <t>Pologne</t>
  </si>
  <si>
    <t>Portugal</t>
  </si>
  <si>
    <t>Qatar</t>
  </si>
  <si>
    <t>République Tchèque</t>
  </si>
  <si>
    <t>Roumanie</t>
  </si>
  <si>
    <t>Royaume-Uni</t>
  </si>
  <si>
    <t>Russie</t>
  </si>
  <si>
    <t>Sénégal</t>
  </si>
  <si>
    <t>Serbie</t>
  </si>
  <si>
    <t>Singapour</t>
  </si>
  <si>
    <t>Slovaquie</t>
  </si>
  <si>
    <t>Slovénie</t>
  </si>
  <si>
    <t>Soudan</t>
  </si>
  <si>
    <t>Sri Lanka</t>
  </si>
  <si>
    <t>Suède</t>
  </si>
  <si>
    <t>Suisse</t>
  </si>
  <si>
    <t>Tadjikistan</t>
  </si>
  <si>
    <t>Taïwan</t>
  </si>
  <si>
    <t>Tanzanie</t>
  </si>
  <si>
    <t>Thaïlande</t>
  </si>
  <si>
    <t>Togo</t>
  </si>
  <si>
    <t>Trinité-et-Tobago</t>
  </si>
  <si>
    <t>Tunisie</t>
  </si>
  <si>
    <t>Turkménistan</t>
  </si>
  <si>
    <t>Turquie</t>
  </si>
  <si>
    <t>Ukraine</t>
  </si>
  <si>
    <t>Uruguay</t>
  </si>
  <si>
    <t>Venezuela</t>
  </si>
  <si>
    <t>Viêt Nam</t>
  </si>
  <si>
    <t>Yémen</t>
  </si>
  <si>
    <t>Zambie</t>
  </si>
  <si>
    <t>Zimbabwe</t>
  </si>
  <si>
    <t>Facteur de volatilisation de l'azote par défaut</t>
  </si>
  <si>
    <t>Culture vers forêt</t>
  </si>
  <si>
    <t>Culture vers imperméabilisés</t>
  </si>
  <si>
    <t>Culture vers prairie</t>
  </si>
  <si>
    <t>Culture vers sols non imperméabilisés</t>
  </si>
  <si>
    <t>Forêt vers culture</t>
  </si>
  <si>
    <t>Forêt vers imperméabilisés</t>
  </si>
  <si>
    <t>Forêt vers prairie</t>
  </si>
  <si>
    <t>Forêt vers sols non imperméabilisés</t>
  </si>
  <si>
    <t>Prairie vers culture</t>
  </si>
  <si>
    <t>Prairie vers forêt</t>
  </si>
  <si>
    <t>Prairie vers imperméabilisés</t>
  </si>
  <si>
    <t>Prairie vers sols non imperméabilisés</t>
  </si>
  <si>
    <t>Gazier petit GPL</t>
  </si>
  <si>
    <t>Gazier VLGC (Very Large Gas Carrier)</t>
  </si>
  <si>
    <t>Télécabine</t>
  </si>
  <si>
    <t>Navette maritime liaison inter-îles, Mayotte-Anjouan</t>
  </si>
  <si>
    <t>Navette maritime liaison inter-îles, Petite Terre-Grande Terre</t>
  </si>
  <si>
    <t>Acier ou fer blanc</t>
  </si>
  <si>
    <t>Aluminium</t>
  </si>
  <si>
    <t>Verre plat à motifs</t>
  </si>
  <si>
    <t>Verre plat au plomb / cristal</t>
  </si>
  <si>
    <t>Verre plat courbé</t>
  </si>
  <si>
    <t>Verre plat de sécurité laminé</t>
  </si>
  <si>
    <t>Verre plat flotté</t>
  </si>
  <si>
    <t>Nylon</t>
  </si>
  <si>
    <t>Carton</t>
  </si>
  <si>
    <t>Canalisations PVC</t>
  </si>
  <si>
    <t>Ciment Portland</t>
  </si>
  <si>
    <t>Complexe de doublage d'isol. Therm.</t>
  </si>
  <si>
    <t>Monomur terre cuite</t>
  </si>
  <si>
    <t>Tuile béton</t>
  </si>
  <si>
    <t>Recyclage en place à chaud (REC)</t>
  </si>
  <si>
    <t>Recyclage en place à l'émulsion</t>
  </si>
  <si>
    <t>Sol traité liant routier</t>
  </si>
  <si>
    <t>Plastique</t>
  </si>
  <si>
    <t>Montant des achats</t>
  </si>
  <si>
    <t>Véhicules</t>
  </si>
  <si>
    <t>Machines</t>
  </si>
  <si>
    <t>Mobilier</t>
  </si>
  <si>
    <t>Anciennes versions de la Base Carbone®</t>
  </si>
  <si>
    <t>Action sociale</t>
  </si>
  <si>
    <t>Activités créatives, artistiques, culturelles, bibliothèques, et organisation de jeux de hasard et d</t>
  </si>
  <si>
    <t>Activités des organisations associatives</t>
  </si>
  <si>
    <t>Activités pour la santé humaine</t>
  </si>
  <si>
    <t>Activités sportives, récréatives et de loisirs</t>
  </si>
  <si>
    <t>Administration publiques et défense, sécurité sociale obligatoire</t>
  </si>
  <si>
    <t>Assurance, services bancaires, conseil et honoraires</t>
  </si>
  <si>
    <t>Bois et article en bois</t>
  </si>
  <si>
    <t>Courrier</t>
  </si>
  <si>
    <t>Édition (livres, journaux, revues, etc.)</t>
  </si>
  <si>
    <t>Enseignement</t>
  </si>
  <si>
    <t>Entreposage et services auxiliaires des transports</t>
  </si>
  <si>
    <t>Films, enregistrement sonores, télévision et radio</t>
  </si>
  <si>
    <t>Hébergement et restauration</t>
  </si>
  <si>
    <t>Machines et équipements</t>
  </si>
  <si>
    <t>Matériel de transport</t>
  </si>
  <si>
    <t>Métaux (aluminium, cuivre, acier, etc.)</t>
  </si>
  <si>
    <t>Meubles et autres biens manufacturés</t>
  </si>
  <si>
    <t>Papier et carton</t>
  </si>
  <si>
    <t>Plastiques et caoutchouc</t>
  </si>
  <si>
    <t>Produit agro-alimentaires transformés</t>
  </si>
  <si>
    <t>Produit minéraux (ciment, verre, etc.)</t>
  </si>
  <si>
    <t>Produits agricoles et de la mer</t>
  </si>
  <si>
    <t>Produits informatiques, électroniques et optiques</t>
  </si>
  <si>
    <t>Produits métalliques, sauf machines et équipements</t>
  </si>
  <si>
    <t>Produits pharmaceutiques</t>
  </si>
  <si>
    <t>Recherche et développement</t>
  </si>
  <si>
    <t>Réparation et installation de machines et d'équipements</t>
  </si>
  <si>
    <t>Services (imprimerie, publicité, architecture et ingénierie, maintenance multi-technique des bâtimen</t>
  </si>
  <si>
    <t>Télécommunications</t>
  </si>
  <si>
    <t>Textile et habillement</t>
  </si>
  <si>
    <t>Transport aérien</t>
  </si>
  <si>
    <t>Transport fluvial et maritime</t>
  </si>
  <si>
    <t>Transport terrestre</t>
  </si>
  <si>
    <t>Chili con carne</t>
  </si>
  <si>
    <t>Gratin dauphinois</t>
  </si>
  <si>
    <t>Lapin à la moutarde</t>
  </si>
  <si>
    <t>Paëlla</t>
  </si>
  <si>
    <t>Pomme</t>
  </si>
  <si>
    <t>Quiche lorraine</t>
  </si>
  <si>
    <t>Tartiflette</t>
  </si>
  <si>
    <t>Unité</t>
  </si>
  <si>
    <t>Toutes zones</t>
  </si>
  <si>
    <t>Zone H1</t>
  </si>
  <si>
    <t>Zone H2</t>
  </si>
  <si>
    <t>Zone H3</t>
  </si>
  <si>
    <t>Zone H1 et altitude &gt;800 m</t>
  </si>
  <si>
    <t>Zone H2 et altitude &gt;800 m</t>
  </si>
  <si>
    <t>Zone H3 et altitude &gt;800 m</t>
  </si>
  <si>
    <t>Autres activités de santé</t>
  </si>
  <si>
    <t>Bureaux &lt;1000 m²</t>
  </si>
  <si>
    <t>Bureaux &gt;1000 m²</t>
  </si>
  <si>
    <t>Bureaux ensemble</t>
  </si>
  <si>
    <t>Cafés Hôtels Restaurants</t>
  </si>
  <si>
    <t>Cliniques</t>
  </si>
  <si>
    <t>Commerces, toutes surface</t>
  </si>
  <si>
    <t>Débits de boisson</t>
  </si>
  <si>
    <t>Enseignement primaire</t>
  </si>
  <si>
    <t>Enseignement secondaire</t>
  </si>
  <si>
    <t>Enseignement supérieur recherche</t>
  </si>
  <si>
    <t>Enseignement tous niveaux</t>
  </si>
  <si>
    <t>Hôpitaux publics</t>
  </si>
  <si>
    <t>Hôtels</t>
  </si>
  <si>
    <t>Petits commerces</t>
  </si>
  <si>
    <t>Restaurants</t>
  </si>
  <si>
    <t>Santé toute activité</t>
  </si>
  <si>
    <t>Bureaux</t>
  </si>
  <si>
    <t>Commerces</t>
  </si>
  <si>
    <t>Santé</t>
  </si>
  <si>
    <t>Moyenne toutes branches</t>
  </si>
  <si>
    <t>Commerces, France, Corse</t>
  </si>
  <si>
    <t>Bureaux, France, Corse</t>
  </si>
  <si>
    <t>Enseignement, France, Corse</t>
  </si>
  <si>
    <t>Santé, France, Corse</t>
  </si>
  <si>
    <t>Cafés Hôtels Restaurants, France, Corse</t>
  </si>
  <si>
    <t>Moyenne toutes branches, France, Corse</t>
  </si>
  <si>
    <t>Commerces, France</t>
  </si>
  <si>
    <t>Bureaux, France</t>
  </si>
  <si>
    <t>Enseignement, France</t>
  </si>
  <si>
    <t>Santé, France</t>
  </si>
  <si>
    <t>Cafés Hôtels Restaurants, France</t>
  </si>
  <si>
    <t>Moyenne toutes branches, France</t>
  </si>
  <si>
    <t>Commerces, France, Guadeloupe</t>
  </si>
  <si>
    <t>Bureaux, France, Guadeloupe</t>
  </si>
  <si>
    <t>Enseignement, France, Guadeloupe</t>
  </si>
  <si>
    <t>Santé, France, Guadeloupe</t>
  </si>
  <si>
    <t>Cafés Hôtels Restaurants, France, Guadeloupe</t>
  </si>
  <si>
    <t>Moyenne toutes branches, France, Guadeloupe</t>
  </si>
  <si>
    <t>Commerces, France, Guyane</t>
  </si>
  <si>
    <t>Bureaux, France, Guyane</t>
  </si>
  <si>
    <t>Enseignement, France, Guyane</t>
  </si>
  <si>
    <t>Santé, France, Guyane</t>
  </si>
  <si>
    <t>Cafés Hôtels Restaurants, France, Guyane</t>
  </si>
  <si>
    <t>Moyenne toutes branches, France, Guyane</t>
  </si>
  <si>
    <t>Commerces, France, Martinique</t>
  </si>
  <si>
    <t>Bureaux, France, Martinique</t>
  </si>
  <si>
    <t>Enseignement, France, Martinique</t>
  </si>
  <si>
    <t>Santé, France, Martinique</t>
  </si>
  <si>
    <t>Cafés Hôtels Restaurants, France, Martinique</t>
  </si>
  <si>
    <t>Moyenne toutes branches, France, Martinique</t>
  </si>
  <si>
    <t>Commerces, France, Mayotte</t>
  </si>
  <si>
    <t>Bureaux, France, Mayotte</t>
  </si>
  <si>
    <t>Enseignement, France, Mayotte</t>
  </si>
  <si>
    <t>Santé, France, Mayotte</t>
  </si>
  <si>
    <t>Cafés Hôtels Restaurants, France, Mayotte</t>
  </si>
  <si>
    <t>Moyenne toutes branches, France, Mayotte</t>
  </si>
  <si>
    <t>Commerces, France, Nouvelle-Calédonie</t>
  </si>
  <si>
    <t>Bureaux, France, Nouvelle-Calédonie</t>
  </si>
  <si>
    <t>Enseignement, France, Nouvelle-Calédonie</t>
  </si>
  <si>
    <t>Santé, France, Nouvelle-Calédonie</t>
  </si>
  <si>
    <t>Cafés Hôtels Restaurants, France, Nouvelle-Calédonie</t>
  </si>
  <si>
    <t>Moyenne toutes branches, France, Nouvelle-Calédonie</t>
  </si>
  <si>
    <t>Commerces, France, Polynésie Française</t>
  </si>
  <si>
    <t>Bureaux, France, Polynésie Française</t>
  </si>
  <si>
    <t>Enseignement, France, Polynésie Française</t>
  </si>
  <si>
    <t>Santé, France, Polynésie Française</t>
  </si>
  <si>
    <t>Cafés Hôtels Restaurants, France, Polynésie Française</t>
  </si>
  <si>
    <t>Moyenne toutes branches, France, Polynésie Française</t>
  </si>
  <si>
    <t>Commerces, France, Réunion</t>
  </si>
  <si>
    <t>Bureaux, France, Réunion</t>
  </si>
  <si>
    <t>Enseignement, France, Réunion</t>
  </si>
  <si>
    <t>Santé, France, Réunion</t>
  </si>
  <si>
    <t>Cafés Hôtels Restaurants, France, Réunion</t>
  </si>
  <si>
    <t>Moyenne toutes branches, France, Réunion</t>
  </si>
  <si>
    <t>Fuel</t>
  </si>
  <si>
    <t>Chauffage urbain</t>
  </si>
  <si>
    <t>Appartements</t>
  </si>
  <si>
    <t>Maisons</t>
  </si>
  <si>
    <t>Gaz naturel, maisons avant 1975</t>
  </si>
  <si>
    <t>Gaz naturel, maisons après 1975</t>
  </si>
  <si>
    <t>Gaz naturel, appartements &lt; 1975, chauff. Cent. collectif</t>
  </si>
  <si>
    <t>Gaz naturel, appartements &gt; 1975, chauff. Cent. collectif</t>
  </si>
  <si>
    <t>Gaz naturel, appartements &lt; 1975, chauff. Individuel</t>
  </si>
  <si>
    <t>Gaz naturel, appartements &gt; 1975, chauff. Individuel</t>
  </si>
  <si>
    <t>Fioul, maisons avant 1975</t>
  </si>
  <si>
    <t>Fioul, maisons après 1975</t>
  </si>
  <si>
    <t>Fioul, appartements &lt; 1975, chauff. Cent. collectif</t>
  </si>
  <si>
    <t>Fioul, appartements &gt; 1975, chauff. Cent. collectif</t>
  </si>
  <si>
    <t>Fioul, appartements &lt; 1975, chauff. Individuel</t>
  </si>
  <si>
    <t>Fioul, appartements &gt; 1975, chauff. Individuel</t>
  </si>
  <si>
    <t>Charbon, maisons &lt; 1975</t>
  </si>
  <si>
    <t>Charbon, maisons &gt; 1975</t>
  </si>
  <si>
    <t>Charbon, appartements &lt; 1975, chauff centr. Collectif</t>
  </si>
  <si>
    <t>Charbon, appartements &gt; 1975, chauff centr. Collectif</t>
  </si>
  <si>
    <t>GPL, maisons &lt; 1975</t>
  </si>
  <si>
    <t>GPL, maisons &gt; 1975</t>
  </si>
  <si>
    <t>GPL, appartements &lt; 1975</t>
  </si>
  <si>
    <t>GPL, appartements &gt; 1975</t>
  </si>
  <si>
    <t>Chauffage électrique, maisons &lt; 1975</t>
  </si>
  <si>
    <t>Chauffage électrique, maisons &gt; 1975</t>
  </si>
  <si>
    <t>Chauffage électrique, appartements &lt; 1975</t>
  </si>
  <si>
    <t>Chauffage électrique, appartements &gt; 1975</t>
  </si>
  <si>
    <t>Chauffage urbain, appartements &lt; 1975</t>
  </si>
  <si>
    <t>Chauffage urbain, appartements &gt; 1975</t>
  </si>
  <si>
    <t>Gaz naturel appartements</t>
  </si>
  <si>
    <t>Gaz naturel maisons</t>
  </si>
  <si>
    <t>Charbon, poëles</t>
  </si>
  <si>
    <t>Charbon, maisons</t>
  </si>
  <si>
    <t>Fioul, appartements</t>
  </si>
  <si>
    <t>Fioul, maisons</t>
  </si>
  <si>
    <t>GPL, maisons</t>
  </si>
  <si>
    <t>Chauffage électrique, maisons</t>
  </si>
  <si>
    <t>Chauffage électrique, appartements</t>
  </si>
  <si>
    <t>Gaz naturel, appartements &lt; 1975</t>
  </si>
  <si>
    <t>Gaz naturel, appartements &gt; 1975</t>
  </si>
  <si>
    <t>Fioul, appartements &lt; 1975</t>
  </si>
  <si>
    <t>Fioul, appartements &gt; 1975</t>
  </si>
  <si>
    <t>Electrique, maisons &lt; 1975</t>
  </si>
  <si>
    <t>Electrique, maisons &gt; 1975</t>
  </si>
  <si>
    <t>Electrique, appartements &lt; 1975</t>
  </si>
  <si>
    <t>Electrique, appartements &gt; 1975</t>
  </si>
  <si>
    <t>Electrique, maisons</t>
  </si>
  <si>
    <t>Electrique, appartements</t>
  </si>
  <si>
    <t>Adoucisseur d'eau</t>
  </si>
  <si>
    <t>Aquarium</t>
  </si>
  <si>
    <t>Ascenseur moyenne par logement</t>
  </si>
  <si>
    <t>Ascenseur par habitant.étage</t>
  </si>
  <si>
    <t>Aspirateur</t>
  </si>
  <si>
    <t>Box et modems Internet</t>
  </si>
  <si>
    <t>Cafetière &amp; machines à expresso</t>
  </si>
  <si>
    <t>Chaîne HifI</t>
  </si>
  <si>
    <t>Congélateur</t>
  </si>
  <si>
    <t>Congélateur américain</t>
  </si>
  <si>
    <t>Décodeur Canal +</t>
  </si>
  <si>
    <t>Démodulateurs</t>
  </si>
  <si>
    <t>Eclairage</t>
  </si>
  <si>
    <t>Ecrans cathodiques moyenne</t>
  </si>
  <si>
    <t>Ecrans LCD moyenne</t>
  </si>
  <si>
    <t>Ecrans seuls moyenne</t>
  </si>
  <si>
    <t>Fer à repasser</t>
  </si>
  <si>
    <t>Hi Fi compact</t>
  </si>
  <si>
    <t>Home Cinema</t>
  </si>
  <si>
    <t>Imprimante</t>
  </si>
  <si>
    <t>Jeux vidéo</t>
  </si>
  <si>
    <t>Lave-linge</t>
  </si>
  <si>
    <t>Lave-vaisselle</t>
  </si>
  <si>
    <t>Lecteur DVD</t>
  </si>
  <si>
    <t>Magnétoscope</t>
  </si>
  <si>
    <t>Minichaîne portable</t>
  </si>
  <si>
    <t>Ordinateur domestique + ecran moyenne</t>
  </si>
  <si>
    <t>Ordinateur fixe moyenne</t>
  </si>
  <si>
    <t>Ordinateur fixe principal</t>
  </si>
  <si>
    <t>Ordinateur fixe secondaire</t>
  </si>
  <si>
    <t>Ordinateur portable moyenne</t>
  </si>
  <si>
    <t>Ordinateur portable principal</t>
  </si>
  <si>
    <t>Pompe de piscine</t>
  </si>
  <si>
    <t>Réfrigérateur</t>
  </si>
  <si>
    <t>Réfrigérateur-congelateur</t>
  </si>
  <si>
    <t>Répondeur téléphonique</t>
  </si>
  <si>
    <t>Scanner</t>
  </si>
  <si>
    <t>Séche-linge</t>
  </si>
  <si>
    <t>Téléphone répondeur</t>
  </si>
  <si>
    <t>Téléviseur principal</t>
  </si>
  <si>
    <t>Totalité des consommations électriques en cuisine</t>
  </si>
  <si>
    <t>Totalité du poste audiovisuel moyenne</t>
  </si>
  <si>
    <t>Totalité du poste informatique moyenne</t>
  </si>
  <si>
    <t>TV LCD</t>
  </si>
  <si>
    <t>TV moyenne</t>
  </si>
  <si>
    <t>TV plasma</t>
  </si>
  <si>
    <t>TV Retroprojecteur</t>
  </si>
  <si>
    <t>TV secondaire</t>
  </si>
  <si>
    <t>Unité centrale moyenne</t>
  </si>
  <si>
    <t>Videoprojecteur</t>
  </si>
  <si>
    <t>Nord - Pas-de-Calais</t>
  </si>
  <si>
    <t>Provence-Alpes-Côte d'Azur</t>
  </si>
  <si>
    <t>Val de loire</t>
  </si>
  <si>
    <t>Nord est</t>
  </si>
  <si>
    <t>Sud ouest</t>
  </si>
  <si>
    <t>BRM</t>
  </si>
  <si>
    <t>Moyenne nationale</t>
  </si>
  <si>
    <t>Ouest</t>
  </si>
  <si>
    <t>Est</t>
  </si>
  <si>
    <t>Méditerranée</t>
  </si>
  <si>
    <t>National</t>
  </si>
  <si>
    <t>de 5 t à 6 t</t>
  </si>
  <si>
    <t>de 6,1 t à 10,9 t</t>
  </si>
  <si>
    <t>de 11 t à 19 t</t>
  </si>
  <si>
    <t>de 19,1 t à 21 t</t>
  </si>
  <si>
    <t>21,1 à 32,6 t</t>
  </si>
  <si>
    <t>Tracteur routier</t>
  </si>
  <si>
    <t>Véhicules essence</t>
  </si>
  <si>
    <t>Véhicules diesel</t>
  </si>
  <si>
    <t>Ensemble</t>
  </si>
  <si>
    <t>Mobilité quotidienne</t>
  </si>
  <si>
    <t>Mobilité longue distance</t>
  </si>
  <si>
    <t>Marche</t>
  </si>
  <si>
    <t>Métro-RER-tram</t>
  </si>
  <si>
    <t>Bus</t>
  </si>
  <si>
    <t>2 roues</t>
  </si>
  <si>
    <t>voiture</t>
  </si>
  <si>
    <t>bus</t>
  </si>
  <si>
    <t>train</t>
  </si>
  <si>
    <t>avion</t>
  </si>
  <si>
    <t>% des TC en bus</t>
  </si>
  <si>
    <t>Métaux, Corse</t>
  </si>
  <si>
    <t>Métaux, France métropolitaine</t>
  </si>
  <si>
    <t>Métaux, Guadeloupe</t>
  </si>
  <si>
    <t>Métaux, Guyane</t>
  </si>
  <si>
    <t>Métaux, Martinique</t>
  </si>
  <si>
    <t>Métaux, Mayotte</t>
  </si>
  <si>
    <t>Métaux, Nouvelle-Calédonie</t>
  </si>
  <si>
    <t>Métaux, Polynésie Française</t>
  </si>
  <si>
    <t>Métaux, Réunion</t>
  </si>
  <si>
    <t>Verre, Corse</t>
  </si>
  <si>
    <t>Verre, France métropolitaine</t>
  </si>
  <si>
    <t>Verre, Guadeloupe</t>
  </si>
  <si>
    <t>Verre, Guyane</t>
  </si>
  <si>
    <t>Verre, Martinique</t>
  </si>
  <si>
    <t>Verre, Mayotte</t>
  </si>
  <si>
    <t>Verre, Nouvelle-Calédonie</t>
  </si>
  <si>
    <t>Verre, Polynésie Française</t>
  </si>
  <si>
    <t>Verre, Réunion</t>
  </si>
  <si>
    <t>Plastique, Corse</t>
  </si>
  <si>
    <t>Plastique, France métropolitaine</t>
  </si>
  <si>
    <t>Plastique, Guadeloupe</t>
  </si>
  <si>
    <t>Plastique, Guyane</t>
  </si>
  <si>
    <t>Plastique, Martinique</t>
  </si>
  <si>
    <t>Plastique, Mayotte</t>
  </si>
  <si>
    <t>Plastique, Nouvelle-Calédonie</t>
  </si>
  <si>
    <t>Plastique, Polynésie Française</t>
  </si>
  <si>
    <t>Plastique, Réunion</t>
  </si>
  <si>
    <t>Carton, Corse</t>
  </si>
  <si>
    <t>Carton, France métropolitaine</t>
  </si>
  <si>
    <t>Carton, Guadeloupe</t>
  </si>
  <si>
    <t>Carton, Guyane</t>
  </si>
  <si>
    <t>Carton, Martinique</t>
  </si>
  <si>
    <t>Carton, Mayotte</t>
  </si>
  <si>
    <t>Carton, Nouvelle-Calédonie</t>
  </si>
  <si>
    <t>Carton, Polynésie Française</t>
  </si>
  <si>
    <t>Carton, Réunion</t>
  </si>
  <si>
    <t>Papier, Corse</t>
  </si>
  <si>
    <t>Papier, France métropolitaine</t>
  </si>
  <si>
    <t>Papier, Guadeloupe</t>
  </si>
  <si>
    <t>Papier, Guyane</t>
  </si>
  <si>
    <t>Papier, Martinique</t>
  </si>
  <si>
    <t>Papier, Mayotte</t>
  </si>
  <si>
    <t>Papier, Nouvelle-Calédonie</t>
  </si>
  <si>
    <t>Papier, Polynésie Française</t>
  </si>
  <si>
    <t>Papier, Réunion</t>
  </si>
  <si>
    <t>Déchets alimentaires, Corse</t>
  </si>
  <si>
    <t>Déchets alimentaires, France métropolitaine</t>
  </si>
  <si>
    <t>Déchets alimentaires, Guadeloupe</t>
  </si>
  <si>
    <t>Déchets alimentaires, Guyane</t>
  </si>
  <si>
    <t>Déchets alimentaires, Martinique</t>
  </si>
  <si>
    <t>Déchets alimentaires, Mayotte</t>
  </si>
  <si>
    <t>Déchets alimentaires, Nouvelle-Calédonie</t>
  </si>
  <si>
    <t>Déchets alimentaires, Polynésie Française</t>
  </si>
  <si>
    <t>Déchets alimentaires, Réunion</t>
  </si>
  <si>
    <t>Ordures ménagères moyenne, Corse</t>
  </si>
  <si>
    <t>Ordures ménagères moyenne, France métropolitaine</t>
  </si>
  <si>
    <t>Ordures ménagères moyenne, Guadeloupe</t>
  </si>
  <si>
    <t>Ordures ménagères moyenne, Guyane</t>
  </si>
  <si>
    <t>Ordures ménagères moyenne, Martinique</t>
  </si>
  <si>
    <t>Ordures ménagères moyenne, Mayotte</t>
  </si>
  <si>
    <t>Ordures ménagères moyenne, Nouvelle-Calédonie</t>
  </si>
  <si>
    <t>Ordures ménagères moyenne, Polynésie Française</t>
  </si>
  <si>
    <t>Ordures ménagères moyenne, Réunion</t>
  </si>
  <si>
    <t>Divers non combustible et non fermentescible, Corse</t>
  </si>
  <si>
    <t>Divers non combustible et non fermentescible, France métropolitaine</t>
  </si>
  <si>
    <t>Divers non combustible et non fermentescible, Guadeloupe</t>
  </si>
  <si>
    <t>Divers non combustible et non fermentescible, Guyane</t>
  </si>
  <si>
    <t>Divers non combustible et non fermentescible, Martinique</t>
  </si>
  <si>
    <t>Divers non combustible et non fermentescible, Mayotte</t>
  </si>
  <si>
    <t>Divers non combustible et non fermentescible, Nouvelle-Calédonie</t>
  </si>
  <si>
    <t>Divers non combustible et non fermentescible, Polynésie Française</t>
  </si>
  <si>
    <t>Divers non combustible et non fermentescible, Réunion</t>
  </si>
  <si>
    <t>Consommation</t>
  </si>
  <si>
    <t>Electricité trains possédés</t>
  </si>
  <si>
    <t>Facteur carbone européen : Comparaison des émissions de CO2 des principaux électriciens européens - Edition 2014</t>
  </si>
  <si>
    <r>
      <t>Si c</t>
    </r>
    <r>
      <rPr>
        <b/>
        <sz val="11"/>
        <rFont val="Arial"/>
        <family val="2"/>
      </rPr>
      <t>ontrôle financier</t>
    </r>
    <r>
      <rPr>
        <sz val="11"/>
        <rFont val="Arial"/>
        <family val="2"/>
      </rPr>
      <t>, 
indiquez ici le pourcentage financé :</t>
    </r>
  </si>
  <si>
    <t>Total Hors Kyoto :</t>
  </si>
  <si>
    <t>Facteurs d'émission des onglets Energie</t>
  </si>
  <si>
    <t>NOM</t>
  </si>
  <si>
    <t>Localisation</t>
  </si>
  <si>
    <t>Type</t>
  </si>
  <si>
    <t>Total non décomposé</t>
  </si>
  <si>
    <t>CH4f</t>
  </si>
  <si>
    <t>CH4b</t>
  </si>
  <si>
    <t>Autres GES</t>
  </si>
  <si>
    <t>CO2b</t>
  </si>
  <si>
    <t>Butane (inclus maritime)</t>
  </si>
  <si>
    <t>kgCO2e/GJ PCI</t>
  </si>
  <si>
    <t>Base Carbone</t>
  </si>
  <si>
    <t>Europe</t>
  </si>
  <si>
    <t>Combustion</t>
  </si>
  <si>
    <t>Amont</t>
  </si>
  <si>
    <t>France continentale</t>
  </si>
  <si>
    <t>kgCO2e/kg</t>
  </si>
  <si>
    <t>kgCO2e/kWh PCI</t>
  </si>
  <si>
    <t>kgCO2e/litre</t>
  </si>
  <si>
    <t>kgCO2e/tep PCI</t>
  </si>
  <si>
    <t>kgCO2e/GJ PCS</t>
  </si>
  <si>
    <t>kgCO2e/tep PCS</t>
  </si>
  <si>
    <t>kgCO2e/kWh PCS</t>
  </si>
  <si>
    <t>Propane (inclus maritime)</t>
  </si>
  <si>
    <t>Autres produits pétroliers</t>
  </si>
  <si>
    <t>Bitumes</t>
  </si>
  <si>
    <t>Carbureacteur (large coupe (jet B))</t>
  </si>
  <si>
    <t>Combustible haute viscosité (CHV)</t>
  </si>
  <si>
    <t>Essence (E85)</t>
  </si>
  <si>
    <t>kgCO2e/tonne</t>
  </si>
  <si>
    <t>Essence (Supercarburant sans plomb (95, 95-E10, 98))</t>
  </si>
  <si>
    <t>Essence aviation (AvGas)</t>
  </si>
  <si>
    <t>Fioul domestique</t>
  </si>
  <si>
    <t>Fioul lourd (commercial)</t>
  </si>
  <si>
    <t>Fioul Lourd (commercial)</t>
  </si>
  <si>
    <t>Gazole (B30)</t>
  </si>
  <si>
    <t>Gazole non routier</t>
  </si>
  <si>
    <t>Gazole routier</t>
  </si>
  <si>
    <t>GNL, Gaz Naturel Liquéfié ((inclus routier, maritime et fluvial))</t>
  </si>
  <si>
    <t>GPL pour véhicule routier</t>
  </si>
  <si>
    <t>HFO (Heavy Fuel Oil) (ISO 8217 classes RME à RMK)</t>
  </si>
  <si>
    <t>Huiles de schistes</t>
  </si>
  <si>
    <t>Kérosène (jet A1 ou A)</t>
  </si>
  <si>
    <t>LFO (Light Fuel Oil) (ISO 8217 classes RMA à RMD (maritime))</t>
  </si>
  <si>
    <t>MDO (Marine Diesel Oil) (ISO 8217 classes DMX à DMC)</t>
  </si>
  <si>
    <t>Naphta</t>
  </si>
  <si>
    <t>Pétrole Brut</t>
  </si>
  <si>
    <t>Agglomérés de houille</t>
  </si>
  <si>
    <t>Anthracite</t>
  </si>
  <si>
    <t>Briquette de lignite</t>
  </si>
  <si>
    <t>Charbon à coke (PCS supérieur à 23865 kJ par kg)</t>
  </si>
  <si>
    <t>Charbon à vapeur (PCS supérieur à 23865 kJ par kg)</t>
  </si>
  <si>
    <t>Charbon sous-bitumineux (PCS entre 17 435 et 23 865 kJ par kg)</t>
  </si>
  <si>
    <t>Coke de houille</t>
  </si>
  <si>
    <t>Coke de lignite</t>
  </si>
  <si>
    <t>Coke de pétrole</t>
  </si>
  <si>
    <t>coke de pétrole</t>
  </si>
  <si>
    <t>Houille (PCS supérieur à 23865 kJ par kg)</t>
  </si>
  <si>
    <t>Lignite (PCS inférieur à 17435 kJ par kg)</t>
  </si>
  <si>
    <t>Tourbe</t>
  </si>
  <si>
    <t>NOM, Localisation, Source</t>
  </si>
  <si>
    <t>Listes</t>
  </si>
  <si>
    <t>+ Unité+Type</t>
  </si>
  <si>
    <t>Extraction</t>
  </si>
  <si>
    <t>Butane (inclus maritime), Europe, Base Carbone</t>
  </si>
  <si>
    <t>(kg)</t>
  </si>
  <si>
    <t>Butane_Propane</t>
  </si>
  <si>
    <t>Propane (inclus maritime), France continentale, Base Carbone</t>
  </si>
  <si>
    <t>Butane &amp; Propane</t>
  </si>
  <si>
    <t>Autres_Gaz</t>
  </si>
  <si>
    <t>Gaz naturel, Europe, Base Carbone</t>
  </si>
  <si>
    <t>Gaz d'aciérie, France continentale, Base Carbone</t>
  </si>
  <si>
    <t>Liquides</t>
  </si>
  <si>
    <t>Fioul domestique, France continentale, Base Carbone</t>
  </si>
  <si>
    <t>Gazole (B30), France continentale, Base Carbone</t>
  </si>
  <si>
    <t>Pétrole Brut, France continentale, Base Carbone</t>
  </si>
  <si>
    <t>Charbons</t>
  </si>
  <si>
    <t>Coke_Déchets</t>
  </si>
  <si>
    <t>Agglomérés de houille, France continentale, Base Carbone</t>
  </si>
  <si>
    <t>Tourbe, France continentale, Base Carbone</t>
  </si>
  <si>
    <t>Coke &amp; Déchets</t>
  </si>
  <si>
    <t>Autres Gaz</t>
  </si>
  <si>
    <t>Coke de houille, France continentale, Base Carbone</t>
  </si>
  <si>
    <t>Pneumatiques Usagés, France continentale, Base Carbone</t>
  </si>
  <si>
    <t>Conso kWh</t>
  </si>
  <si>
    <t>Conso tep</t>
  </si>
  <si>
    <t>Conso L</t>
  </si>
  <si>
    <t>Conso Kg</t>
  </si>
  <si>
    <t>Amont GES (kgCO2e)</t>
  </si>
  <si>
    <t>Combustion GES (kgCO2e)</t>
  </si>
  <si>
    <t>Incertitude des données d'activité</t>
  </si>
  <si>
    <t>Liste incertitude</t>
  </si>
  <si>
    <t>INCERTITUDES INTERMEDIAIRES</t>
  </si>
  <si>
    <t>TOTALE</t>
  </si>
  <si>
    <t>DONNEE</t>
  </si>
  <si>
    <t>Définition des listes déroulantes (ne pas modifier)</t>
  </si>
  <si>
    <t>Bioéthanol (changement d'affectation des sols scénario maximum)</t>
  </si>
  <si>
    <t>Bioéthanol (changement d'affectation des sols scénario optimiste)</t>
  </si>
  <si>
    <t>Bioéthanol (sans changement d'affectation des sols)</t>
  </si>
  <si>
    <t>Bois bûche (20% d'humidité)</t>
  </si>
  <si>
    <t>Broyats de cagettes et de pallettes (20% d'humidité)</t>
  </si>
  <si>
    <t>Granulés bois (8% d'humidité)</t>
  </si>
  <si>
    <t>Paille (10% d'humidité)</t>
  </si>
  <si>
    <t>Plaquettes forestières (25% d'humidité)</t>
  </si>
  <si>
    <t>Sciures et chutes de scieries (50% d'humidité)</t>
  </si>
  <si>
    <t>kgCO2e/MJ PCI</t>
  </si>
  <si>
    <t>Biodiesel &amp; Bioéthanol</t>
  </si>
  <si>
    <t>Biodiesel (changement d'affectation des sols scénario maximum), France continentale, Base Carbone</t>
  </si>
  <si>
    <t>Bioéthanol (changement d'affectation des sols scénario optimiste), France continentale, Base Carbone</t>
  </si>
  <si>
    <t>Bois bûche (20% d'humidité), France continentale, Base Carbone</t>
  </si>
  <si>
    <t>Plaquettes forestières (25% d'humidité), France continentale, Base Carbone</t>
  </si>
  <si>
    <t>Conso tonnes</t>
  </si>
  <si>
    <t>Autres gaz</t>
  </si>
  <si>
    <t>Anthracite, France continentale, Base Carbone</t>
  </si>
  <si>
    <t>Conso tonne</t>
  </si>
  <si>
    <t>Réseaux de vapeur et de froid</t>
  </si>
  <si>
    <t>1, Bourg-en-Bresse, La Reyssouze</t>
  </si>
  <si>
    <t>2, Soissons, ZUP de Presles</t>
  </si>
  <si>
    <t>3, Montluçon, Fontbouillant</t>
  </si>
  <si>
    <t>3, Moulins, Réseau de Moulins</t>
  </si>
  <si>
    <t>4, Manosque, RCU Manosque ZAC Chanteprunier</t>
  </si>
  <si>
    <t>5, Embrun, Réseau bois Delaroche</t>
  </si>
  <si>
    <t>8, Charleville-Mézières, La Citadelle</t>
  </si>
  <si>
    <t>8, Charleville-Mézières, Ronde couture</t>
  </si>
  <si>
    <t>8, Sedan, ZUP de Sedan</t>
  </si>
  <si>
    <t>kgCO2e/kWh</t>
  </si>
  <si>
    <t>-</t>
  </si>
  <si>
    <t>Réseaux_Chaleur</t>
  </si>
  <si>
    <t>Total (kgCO2e)</t>
  </si>
  <si>
    <t>Réseaux_Froid</t>
  </si>
  <si>
    <t>2008 - mix moyen</t>
  </si>
  <si>
    <t>2008 - usage : Autres (BTP. recherche. armée. etc.)</t>
  </si>
  <si>
    <t>2008 - usage : chauffage</t>
  </si>
  <si>
    <t>2008 - usage : Climatisation tertiaire</t>
  </si>
  <si>
    <t>2008 - usage : Cuisson résidentiel</t>
  </si>
  <si>
    <t>2008 - usage : Eau Chaude Sanitaire</t>
  </si>
  <si>
    <t>2008 - usage : Eclairage public et Industrie</t>
  </si>
  <si>
    <t>2008 - usage : Eclairage résidentiel</t>
  </si>
  <si>
    <t>2008 - usage : Industrie base</t>
  </si>
  <si>
    <t>2008 - usage : Transports</t>
  </si>
  <si>
    <t>2009 - mix moyen</t>
  </si>
  <si>
    <t>2009 - usage : Autres (BTP. recherche. armée. etc.)</t>
  </si>
  <si>
    <t>2009 - usage : chauffage</t>
  </si>
  <si>
    <t>2009 - usage : Climatisation tertiaire</t>
  </si>
  <si>
    <t>2009 - usage : Cuisson résidentiel</t>
  </si>
  <si>
    <t>2009 - usage : Eau Chaude Sanitaire</t>
  </si>
  <si>
    <t>2009 - usage : Eclairage public et Industrie</t>
  </si>
  <si>
    <t>2009 - usage : Eclairage résidentiel</t>
  </si>
  <si>
    <t>2009 - usage : Industrie base</t>
  </si>
  <si>
    <t>2009 - usage : Transports</t>
  </si>
  <si>
    <t>2010 - mix moyen</t>
  </si>
  <si>
    <t>2010 - usage : Autres (BTP. recherche. armée. etc.)</t>
  </si>
  <si>
    <t>2010 - usage : chauffage</t>
  </si>
  <si>
    <t>2010 - usage : Climatisation tertiaire</t>
  </si>
  <si>
    <t>2010 - usage : Cuisson résidentiel</t>
  </si>
  <si>
    <t>2010 - usage : Eau Chaude Sanitaire</t>
  </si>
  <si>
    <t>2010 - usage : Eclairage public et Industrie</t>
  </si>
  <si>
    <t>2010 - usage : Eclairage résidentiel</t>
  </si>
  <si>
    <t>2010 - usage : Industrie base</t>
  </si>
  <si>
    <t>2010 - usage : Transports</t>
  </si>
  <si>
    <t>2011 - mix moyen</t>
  </si>
  <si>
    <t>2011 - usage : Autres (BTP. recherche. armée. etc.)</t>
  </si>
  <si>
    <t>2011 - usage : chauffage</t>
  </si>
  <si>
    <t>2011 - usage : Climatisation tertiaire</t>
  </si>
  <si>
    <t>2011 - usage : Cuisson résidentiel</t>
  </si>
  <si>
    <t>2011 - usage : Eau Chaude Sanitaire</t>
  </si>
  <si>
    <t>2011 - usage : Eclairage public et Industrie</t>
  </si>
  <si>
    <t>2011 - usage : Eclairage résidentiel</t>
  </si>
  <si>
    <t>2011 - usage : Industrie base</t>
  </si>
  <si>
    <t>2011 - usage : Transports</t>
  </si>
  <si>
    <t>2012 - mix moyen</t>
  </si>
  <si>
    <t>2012 - usage : Autres (BTP. recherche. armée. etc.)</t>
  </si>
  <si>
    <t>2012 - usage : chauffage</t>
  </si>
  <si>
    <t>2012 - usage : Climatisation tertiaire</t>
  </si>
  <si>
    <t>2012 - usage : Cuisson résidentiel</t>
  </si>
  <si>
    <t>2012 - usage : Eau Chaude Sanitaire</t>
  </si>
  <si>
    <t>2012 - usage : Eclairage public et Industrie</t>
  </si>
  <si>
    <t>2012 - usage : Eclairage résidentiel</t>
  </si>
  <si>
    <t>2012 - usage : Industrie base</t>
  </si>
  <si>
    <t>2012 - usage : Transports</t>
  </si>
  <si>
    <t>2013 - mix moyen</t>
  </si>
  <si>
    <t>2013 - usage : Autres (BTP. recherche. armée. etc.)</t>
  </si>
  <si>
    <t>2013 - usage : chauffage</t>
  </si>
  <si>
    <t>2013 - usage : Climatisation tertiaire</t>
  </si>
  <si>
    <t>2013 - usage : Cuisson résidentiel</t>
  </si>
  <si>
    <t>2013 - usage : Eau Chaude Sanitaire</t>
  </si>
  <si>
    <t>2013 - usage : Eclairage public et Industrie</t>
  </si>
  <si>
    <t>2013 - usage : Eclairage résidentiel</t>
  </si>
  <si>
    <t>2013 - usage : Industrie base</t>
  </si>
  <si>
    <t>2013 - usage : Transports</t>
  </si>
  <si>
    <t>2014 - mix moyen</t>
  </si>
  <si>
    <t>2014 - usage : Autres (BTP. recherche. armée. etc.)</t>
  </si>
  <si>
    <t>2014 - usage : chauffage</t>
  </si>
  <si>
    <t>2014 - usage : Climatisation tertiaire</t>
  </si>
  <si>
    <t>2014 - usage : Cuisson résidentiel</t>
  </si>
  <si>
    <t>2014 - usage : Eau Chaude Sanitaire</t>
  </si>
  <si>
    <t>2014 - usage : Eclairage public et Industrie</t>
  </si>
  <si>
    <t>2014 - usage : Eclairage résidentiel</t>
  </si>
  <si>
    <t>2014 - usage : Industrie base</t>
  </si>
  <si>
    <t>2014 - usage : Transports</t>
  </si>
  <si>
    <t>géothermie</t>
  </si>
  <si>
    <t>hydraulique</t>
  </si>
  <si>
    <t>mix moyen</t>
  </si>
  <si>
    <t>usage : Transports</t>
  </si>
  <si>
    <t>St Pierre et Miquelon</t>
  </si>
  <si>
    <t>St Martin</t>
  </si>
  <si>
    <t>St Barthélémy</t>
  </si>
  <si>
    <t>Combustion à la centrale</t>
  </si>
  <si>
    <t>Emissions fugitives</t>
  </si>
  <si>
    <t>combustibles</t>
  </si>
  <si>
    <t>Pertes</t>
  </si>
  <si>
    <t>Elec_Production</t>
  </si>
  <si>
    <t>Elec_MoyNatio</t>
  </si>
  <si>
    <t>2008 - usage : Autres (BTP. recherche. armée. etc.), France continentale, Base Carbone</t>
  </si>
  <si>
    <t>2010 - usage : Transports, France continentale, Base Carbone</t>
  </si>
  <si>
    <t>combustion à la centrale</t>
  </si>
  <si>
    <t>Elec_MoyOutreMer</t>
  </si>
  <si>
    <t>Métropole</t>
  </si>
  <si>
    <t>Outre-Mer</t>
  </si>
  <si>
    <t>fugitives</t>
  </si>
  <si>
    <t>Fugitives GES (kgCO2e)</t>
  </si>
  <si>
    <t>Moyens de production</t>
  </si>
  <si>
    <t>Corée du sud</t>
  </si>
  <si>
    <t>Rép. Dém. Du Congo</t>
  </si>
  <si>
    <t>Corée du nord</t>
  </si>
  <si>
    <t>Dominicaine. République</t>
  </si>
  <si>
    <t>Union européenne à 27</t>
  </si>
  <si>
    <t>Elec_AutresPays</t>
  </si>
  <si>
    <t>B</t>
  </si>
  <si>
    <t xml:space="preserve"> EnBW</t>
  </si>
  <si>
    <t xml:space="preserve"> E.ON Germany</t>
  </si>
  <si>
    <t xml:space="preserve"> RWE</t>
  </si>
  <si>
    <t xml:space="preserve"> E.ON France</t>
  </si>
  <si>
    <t xml:space="preserve"> RWE UK</t>
  </si>
  <si>
    <t xml:space="preserve"> A2A</t>
  </si>
  <si>
    <t xml:space="preserve"> EnBW, Allemagne, PWC</t>
  </si>
  <si>
    <t>Elec_Producteurs</t>
  </si>
  <si>
    <t>Edison</t>
  </si>
  <si>
    <t>EDF Luminus</t>
  </si>
  <si>
    <t>Aout 2011</t>
  </si>
  <si>
    <t>Janvier 2011</t>
  </si>
  <si>
    <t>Février 2011</t>
  </si>
  <si>
    <t>Mars 2011</t>
  </si>
  <si>
    <t>Avril 2011</t>
  </si>
  <si>
    <t>Mai 2011</t>
  </si>
  <si>
    <t>Juin 2011</t>
  </si>
  <si>
    <t>Juillet 2011</t>
  </si>
  <si>
    <t>Septembre 2011</t>
  </si>
  <si>
    <t>Octobre 2011</t>
  </si>
  <si>
    <t>Novembre 2011</t>
  </si>
  <si>
    <t>Aout 2012</t>
  </si>
  <si>
    <t>Aout 2013</t>
  </si>
  <si>
    <t>Aout 2014</t>
  </si>
  <si>
    <t>Janvier 2012</t>
  </si>
  <si>
    <t>Février 2012</t>
  </si>
  <si>
    <t>Mars 2012</t>
  </si>
  <si>
    <t>Avril 2012</t>
  </si>
  <si>
    <t>Mai 2012</t>
  </si>
  <si>
    <t>Juin 2012</t>
  </si>
  <si>
    <t>Juillet 2012</t>
  </si>
  <si>
    <t>Septembre 2012</t>
  </si>
  <si>
    <t>Octobre 2012</t>
  </si>
  <si>
    <t>Novembre 2012</t>
  </si>
  <si>
    <t>Décembre 2012</t>
  </si>
  <si>
    <t>Janvier 2013</t>
  </si>
  <si>
    <t>Février 2013</t>
  </si>
  <si>
    <t>Mars 2013</t>
  </si>
  <si>
    <t>Avril 2013</t>
  </si>
  <si>
    <t>Mai 2013</t>
  </si>
  <si>
    <t>Juin 2013</t>
  </si>
  <si>
    <t>Juillet 2013</t>
  </si>
  <si>
    <t>Septembre 2013</t>
  </si>
  <si>
    <t>Octobre 2013</t>
  </si>
  <si>
    <t>Novembre 2013</t>
  </si>
  <si>
    <t>Décembre 2013</t>
  </si>
  <si>
    <t>Décembre 2011</t>
  </si>
  <si>
    <t>Janvier 2014</t>
  </si>
  <si>
    <t>Février 2014</t>
  </si>
  <si>
    <t>Mars 2014</t>
  </si>
  <si>
    <t>Avril 2014</t>
  </si>
  <si>
    <t>Mai 2014</t>
  </si>
  <si>
    <t>Juin 2014</t>
  </si>
  <si>
    <t>Juillet 2014</t>
  </si>
  <si>
    <t>Septembre 2014</t>
  </si>
  <si>
    <t>Octobre 2014</t>
  </si>
  <si>
    <t>Novembre 2014</t>
  </si>
  <si>
    <t>Décembre 2014</t>
  </si>
  <si>
    <t>Elec_EDF</t>
  </si>
  <si>
    <t>GES (kgCO2e)</t>
  </si>
  <si>
    <t>Electricité achetée &amp; produite</t>
  </si>
  <si>
    <t>Facteurs d'émission des onglets Hors Energie</t>
  </si>
  <si>
    <t>kg CO2e/kg CO2</t>
  </si>
  <si>
    <t>émis</t>
  </si>
  <si>
    <t>Kg</t>
  </si>
  <si>
    <t>Kg de</t>
  </si>
  <si>
    <t>kg CO2e/kg N2O</t>
  </si>
  <si>
    <t>kgCO2e/animal.an</t>
  </si>
  <si>
    <t>Agneaux à l'herbe</t>
  </si>
  <si>
    <t>Agneaux de boucherie</t>
  </si>
  <si>
    <t>Agnelles</t>
  </si>
  <si>
    <t>Béliers</t>
  </si>
  <si>
    <t>Bœuf</t>
  </si>
  <si>
    <t>Boucs</t>
  </si>
  <si>
    <t>Brebis</t>
  </si>
  <si>
    <t>Broutards, veaux</t>
  </si>
  <si>
    <t>Canards</t>
  </si>
  <si>
    <t>Chevaux de trait</t>
  </si>
  <si>
    <t>Chèvres</t>
  </si>
  <si>
    <t>Chevrettes</t>
  </si>
  <si>
    <t>Dindes</t>
  </si>
  <si>
    <t>Génisses, taurillons</t>
  </si>
  <si>
    <t>Hongres, juments vides</t>
  </si>
  <si>
    <t>Juments reproductrices, étalons</t>
  </si>
  <si>
    <t>Pintades fermières</t>
  </si>
  <si>
    <t>Porcs à l'engrais</t>
  </si>
  <si>
    <t>Poulains</t>
  </si>
  <si>
    <t>Poules pondeuses</t>
  </si>
  <si>
    <t>Poulets fermiers</t>
  </si>
  <si>
    <t>Poulets industriels</t>
  </si>
  <si>
    <t>Taureaux</t>
  </si>
  <si>
    <t>Truies mères</t>
  </si>
  <si>
    <t>Vaches allaitantes</t>
  </si>
  <si>
    <t>Vaches laitières</t>
  </si>
  <si>
    <t>digestion et déjections</t>
  </si>
  <si>
    <t>alimentation</t>
  </si>
  <si>
    <t>Alim_Dig_Dej</t>
  </si>
  <si>
    <t>Agneaux à l'herbe, France, [B]</t>
  </si>
  <si>
    <t>Béliers, France, [B]</t>
  </si>
  <si>
    <t>Bœuf, France, [B]</t>
  </si>
  <si>
    <t>Poules pondeuses, France, [B]</t>
  </si>
  <si>
    <t>Chèvres, France, [B]</t>
  </si>
  <si>
    <t>Porcs à l'engrais, France, [B]</t>
  </si>
  <si>
    <t>Emissions de l'agriculture</t>
  </si>
  <si>
    <t>2 - Autres émissions de N2O</t>
  </si>
  <si>
    <t>Epandage d'engrais minéraux</t>
  </si>
  <si>
    <t>Résidu de culture</t>
  </si>
  <si>
    <t>Drainage / gestion des sols, sols des cultures organiques tempérées et de prairies</t>
  </si>
  <si>
    <t>Drainage / gestion des sols, sols des forêts organiques tempérées</t>
  </si>
  <si>
    <t>Epandage d'engrais organiques(déjections animales, végétaux, compost, boues de station d'épuration…)</t>
  </si>
  <si>
    <t>Déjections animales en pâture (Moutons et autres animaux)</t>
  </si>
  <si>
    <t>Déjections animales en pâture (Bovins, volaille, porcins)</t>
  </si>
  <si>
    <t>kgCO2e/ha</t>
  </si>
  <si>
    <t>1 - Émissions des animaux</t>
  </si>
  <si>
    <t>2 - Emissions des pratiques culturales</t>
  </si>
  <si>
    <t>Déjections animales en pâture (Bovins, volaille, porcins), France, Base Carbone</t>
  </si>
  <si>
    <t>Déjections animales en pâture (Moutons et autres animaux), France, Base Carbone</t>
  </si>
  <si>
    <t>Drainage / gestion des sols, sols des cultures organiques tempérées et de prairies, France, Base Carbone</t>
  </si>
  <si>
    <t>Résidu de culture, France, Base Carbone</t>
  </si>
  <si>
    <t>kgCO2e/kg d'azote épandu</t>
  </si>
  <si>
    <t>kg N épandus</t>
  </si>
  <si>
    <t>Canada, Base Carbone</t>
  </si>
  <si>
    <t>États-Unis, Base Carbone</t>
  </si>
  <si>
    <t>Yémen, Base Carbone</t>
  </si>
  <si>
    <t>Union européenne à 27, Base Carbone</t>
  </si>
  <si>
    <t>Janvier 2011, B</t>
  </si>
  <si>
    <t>Février 2011, B</t>
  </si>
  <si>
    <t>Mars 2011, B</t>
  </si>
  <si>
    <t>Juin 2011, B</t>
  </si>
  <si>
    <t>Avril 2011, B</t>
  </si>
  <si>
    <t>Mai 2011, B</t>
  </si>
  <si>
    <t>Juillet 2011, B</t>
  </si>
  <si>
    <t>Aout 2011, B</t>
  </si>
  <si>
    <t>Septembre 2011, B</t>
  </si>
  <si>
    <t>Octobre 2011, B</t>
  </si>
  <si>
    <t>Novembre 2011, B</t>
  </si>
  <si>
    <t>Décembre 2011, B</t>
  </si>
  <si>
    <t>France, Base Carbone</t>
  </si>
  <si>
    <t>Allemagne, Base Carbone</t>
  </si>
  <si>
    <t>Espagne, Base Carbone</t>
  </si>
  <si>
    <t>Australie, Base Carbone</t>
  </si>
  <si>
    <t>Israël, Base Carbone</t>
  </si>
  <si>
    <t>Corée du sud, Base Carbone</t>
  </si>
  <si>
    <t>bromure de méthyle</t>
  </si>
  <si>
    <t>CO2f</t>
  </si>
  <si>
    <t>Halon-1211  </t>
  </si>
  <si>
    <t>Halon-1301  </t>
  </si>
  <si>
    <t>Halon-2402  </t>
  </si>
  <si>
    <t>NF3</t>
  </si>
  <si>
    <t>R11</t>
  </si>
  <si>
    <t>R113</t>
  </si>
  <si>
    <t>R114</t>
  </si>
  <si>
    <t>R115</t>
  </si>
  <si>
    <t>R116</t>
  </si>
  <si>
    <t>R12</t>
  </si>
  <si>
    <t>R122</t>
  </si>
  <si>
    <t>R122a</t>
  </si>
  <si>
    <t>R123</t>
  </si>
  <si>
    <t>R123a</t>
  </si>
  <si>
    <t>R124</t>
  </si>
  <si>
    <t>R125</t>
  </si>
  <si>
    <t>R13</t>
  </si>
  <si>
    <t>R132c</t>
  </si>
  <si>
    <t>R134a</t>
  </si>
  <si>
    <t>R14</t>
  </si>
  <si>
    <t>R141b</t>
  </si>
  <si>
    <t>R142b</t>
  </si>
  <si>
    <t>R143a</t>
  </si>
  <si>
    <t>R152a</t>
  </si>
  <si>
    <t>R21</t>
  </si>
  <si>
    <t>R218</t>
  </si>
  <si>
    <t>R22</t>
  </si>
  <si>
    <t>R225ca</t>
  </si>
  <si>
    <t>R225cb</t>
  </si>
  <si>
    <t>R227ea</t>
  </si>
  <si>
    <t>R23</t>
  </si>
  <si>
    <t>R318</t>
  </si>
  <si>
    <t>R32</t>
  </si>
  <si>
    <t>R4310mee</t>
  </si>
  <si>
    <t>R5114</t>
  </si>
  <si>
    <t>SF6</t>
  </si>
  <si>
    <t>ne sais pas (50%)</t>
  </si>
  <si>
    <t>votre valeur :</t>
  </si>
  <si>
    <t>faible (15 %)</t>
  </si>
  <si>
    <t>moyenne (30%)</t>
  </si>
  <si>
    <t>forte (50%)</t>
  </si>
  <si>
    <t>kgCO2e/kgCH4</t>
  </si>
  <si>
    <t>PRGKyoto</t>
  </si>
  <si>
    <t>PRGHorsKyoto</t>
  </si>
  <si>
    <t>NF3, Base Carbone</t>
  </si>
  <si>
    <t>R125, Base Carbone</t>
  </si>
  <si>
    <t>bromure de méthyle, Base Carbone</t>
  </si>
  <si>
    <t>Halon-1211  , Base Carbone</t>
  </si>
  <si>
    <t>Chloroforme de méthyle, Base Carbone</t>
  </si>
  <si>
    <t>ha gérés</t>
  </si>
  <si>
    <t>Drainage / gestion des sols, sols des forêts organiques tempérées, France, Base Carbone</t>
  </si>
  <si>
    <t>SF6, Base Carbone</t>
  </si>
  <si>
    <t>Facteurs d'émission des onglets Intrants</t>
  </si>
  <si>
    <t>Cuivre</t>
  </si>
  <si>
    <t>Nickel</t>
  </si>
  <si>
    <t>Plomb</t>
  </si>
  <si>
    <t>Zinc</t>
  </si>
  <si>
    <t>Fibre de verre</t>
  </si>
  <si>
    <t>technique (optique et électronique)</t>
  </si>
  <si>
    <t>Films plastiques PET (pas recyclable)</t>
  </si>
  <si>
    <t/>
  </si>
  <si>
    <t>NOM, Type, Localisation, Source</t>
  </si>
  <si>
    <t>+ Unité</t>
  </si>
  <si>
    <t>Ramette de papier blanc</t>
  </si>
  <si>
    <t>kgCO2e/unité</t>
  </si>
  <si>
    <t>Moyen, Hors utilisation et fin de vie</t>
  </si>
  <si>
    <t>80g/m² A4, Hors utilisation et fin de vie</t>
  </si>
  <si>
    <t>Papier &amp; Carton</t>
  </si>
  <si>
    <t>Mur, bardage</t>
  </si>
  <si>
    <t>Mur, béton</t>
  </si>
  <si>
    <t>Panneau de plafond suspendu</t>
  </si>
  <si>
    <t>Poutrelle en béton</t>
  </si>
  <si>
    <t>Sol, carreaux de plâtre</t>
  </si>
  <si>
    <t>Sol, revêtement PVC homogène</t>
  </si>
  <si>
    <t>kgCO2e/mL</t>
  </si>
  <si>
    <t>kgCO2e/m² de paroi</t>
  </si>
  <si>
    <t>kgCO2e/m²</t>
  </si>
  <si>
    <t>kgCO2e/m² de sol</t>
  </si>
  <si>
    <t>kgCO2e/m² de toiture</t>
  </si>
  <si>
    <t>acier simple peau</t>
  </si>
  <si>
    <t>maçonnerie de blocs en béton</t>
  </si>
  <si>
    <t>Voirie</t>
  </si>
  <si>
    <t>Matériaux_Construction</t>
  </si>
  <si>
    <t>Papier_Carton</t>
  </si>
  <si>
    <t>Bâtiment agricole</t>
  </si>
  <si>
    <t>Bâtiment industriel</t>
  </si>
  <si>
    <t>Bâtiments de bureaux </t>
  </si>
  <si>
    <t>Centre de loisir</t>
  </si>
  <si>
    <t>Commerce</t>
  </si>
  <si>
    <t>Etablissement d'enseignement</t>
  </si>
  <si>
    <t>Etablissement de santé</t>
  </si>
  <si>
    <t>Garage</t>
  </si>
  <si>
    <t>Glissière de sécurité</t>
  </si>
  <si>
    <t>Immeubles de logements collectifs (IC)</t>
  </si>
  <si>
    <t>Maison éco-construite « bois, paille, pierre, terre »</t>
  </si>
  <si>
    <t>Maisons individuelles (MI)</t>
  </si>
  <si>
    <t>Parking</t>
  </si>
  <si>
    <t>Bâtiments &amp; Voirie</t>
  </si>
  <si>
    <t>Bâtiments_Voirie</t>
  </si>
  <si>
    <t>kgCO2e/m² SHON</t>
  </si>
  <si>
    <t>kgCO2e/m</t>
  </si>
  <si>
    <t>structure en béton</t>
  </si>
  <si>
    <t>structure métallique</t>
  </si>
  <si>
    <t>pour voirie de type TC5</t>
  </si>
  <si>
    <t>pour voirie de type TC6</t>
  </si>
  <si>
    <t>pour voirie de type TC7</t>
  </si>
  <si>
    <t>aire de repos d'autoroute</t>
  </si>
  <si>
    <t>classique</t>
  </si>
  <si>
    <t>Ardèche</t>
  </si>
  <si>
    <t>Béton armé continu</t>
  </si>
  <si>
    <t>Béton de ciment</t>
  </si>
  <si>
    <t>Chaux</t>
  </si>
  <si>
    <t>Enrobé</t>
  </si>
  <si>
    <t>Enrobés bitumineux</t>
  </si>
  <si>
    <t>Grave, bitume 3</t>
  </si>
  <si>
    <t>Grave, ciment préfissurée</t>
  </si>
  <si>
    <t>Grave, émulsion</t>
  </si>
  <si>
    <t>Grave, liant hydraulique</t>
  </si>
  <si>
    <t>Grave, liant routier préfissurée</t>
  </si>
  <si>
    <t>Grave, non traitée</t>
  </si>
  <si>
    <t>routier</t>
  </si>
  <si>
    <t>à module élevé</t>
  </si>
  <si>
    <t>tiède</t>
  </si>
  <si>
    <t>à froid</t>
  </si>
  <si>
    <t>avec 10% REC</t>
  </si>
  <si>
    <t>avec 20% REC</t>
  </si>
  <si>
    <t>avec 30% REC</t>
  </si>
  <si>
    <t>avec 50% REC</t>
  </si>
  <si>
    <t>Acide chlorhydrique</t>
  </si>
  <si>
    <t>Acide phosphorique</t>
  </si>
  <si>
    <t>Acide sulfurique</t>
  </si>
  <si>
    <t>Adhésif Epoxy</t>
  </si>
  <si>
    <t>Alcool</t>
  </si>
  <si>
    <t>Ammoniaque anhydre</t>
  </si>
  <si>
    <t>Ammonitrate</t>
  </si>
  <si>
    <t>Banol</t>
  </si>
  <si>
    <t>Chlorure de potassium</t>
  </si>
  <si>
    <t>Engrais</t>
  </si>
  <si>
    <t>Fongicide moyen</t>
  </si>
  <si>
    <t>Fumier en tas</t>
  </si>
  <si>
    <t>Herbicide</t>
  </si>
  <si>
    <t>Hexane</t>
  </si>
  <si>
    <t>Insecticide moyen</t>
  </si>
  <si>
    <t>Laque PU</t>
  </si>
  <si>
    <t>Méthanol</t>
  </si>
  <si>
    <t>Molluscides (methiocarbe)</t>
  </si>
  <si>
    <t>Nitrate d'ammoniaque phosphate</t>
  </si>
  <si>
    <t>Phytosanitaire moyen</t>
  </si>
  <si>
    <t>Régulateur de croissance</t>
  </si>
  <si>
    <t>Scories thomas</t>
  </si>
  <si>
    <t>Solution azotée</t>
  </si>
  <si>
    <t>Soude 50%</t>
  </si>
  <si>
    <t>Trisuperphosphate (TSP)</t>
  </si>
  <si>
    <t>Urée</t>
  </si>
  <si>
    <t>Vernis Acrylique</t>
  </si>
  <si>
    <t>kgCO2e/tonne de N</t>
  </si>
  <si>
    <t>kgCO2e/kg de matière active</t>
  </si>
  <si>
    <t>kgCO2e/tonne de K2O</t>
  </si>
  <si>
    <t>kgCO2e/tonne de P2O5</t>
  </si>
  <si>
    <t>Monde</t>
  </si>
  <si>
    <t>Outre-mer</t>
  </si>
  <si>
    <t>mélange</t>
  </si>
  <si>
    <t>simple à 2 composants</t>
  </si>
  <si>
    <t>azoté moyen</t>
  </si>
  <si>
    <t>binaire NP</t>
  </si>
  <si>
    <t>phosphaté moyen</t>
  </si>
  <si>
    <t>potassique moyen</t>
  </si>
  <si>
    <t>noire</t>
  </si>
  <si>
    <t>(ASP)</t>
  </si>
  <si>
    <t xml:space="preserve"> calcaire 30% (CAN)</t>
  </si>
  <si>
    <t>binaire NK part K2O</t>
  </si>
  <si>
    <t>binaire NK part N</t>
  </si>
  <si>
    <t>binaire PK part K2O</t>
  </si>
  <si>
    <t>binaire PK part P2O5</t>
  </si>
  <si>
    <t>ternaire part K2O</t>
  </si>
  <si>
    <t>ternaire part N</t>
  </si>
  <si>
    <t>ternaire part P2O5</t>
  </si>
  <si>
    <t>Câble électrique interne</t>
  </si>
  <si>
    <t>Consommables bureautiques</t>
  </si>
  <si>
    <t>Petites fournitures</t>
  </si>
  <si>
    <t>kgCO2e/euro dépensé</t>
  </si>
  <si>
    <t>kgCO2e/keuro</t>
  </si>
  <si>
    <t>Asie</t>
  </si>
  <si>
    <t>Finition post-tannage du cuir</t>
  </si>
  <si>
    <t>Laquage PU du cuir</t>
  </si>
  <si>
    <t>Ponçage du cuir</t>
  </si>
  <si>
    <t>Tannage ''wet white'' du cuir</t>
  </si>
  <si>
    <t>kgCO2e/kg de cuir traité</t>
  </si>
  <si>
    <t>Produits_Chimiques</t>
  </si>
  <si>
    <t>Nourriture</t>
  </si>
  <si>
    <t>Boisson</t>
  </si>
  <si>
    <t>Banane</t>
  </si>
  <si>
    <t>Carotte</t>
  </si>
  <si>
    <t>Cerise</t>
  </si>
  <si>
    <t>Courgette</t>
  </si>
  <si>
    <t>Endive</t>
  </si>
  <si>
    <t>Mangue</t>
  </si>
  <si>
    <t>Melon</t>
  </si>
  <si>
    <t>Noix</t>
  </si>
  <si>
    <t>Pêche</t>
  </si>
  <si>
    <t>Poire</t>
  </si>
  <si>
    <t>Poireau</t>
  </si>
  <si>
    <t>Raisin</t>
  </si>
  <si>
    <t>Tomate</t>
  </si>
  <si>
    <t>Produits_Animaux</t>
  </si>
  <si>
    <t>Grande truite</t>
  </si>
  <si>
    <t>kgCO2e/kg de poids vif</t>
  </si>
  <si>
    <t>conventionnel, système Roquefort</t>
  </si>
  <si>
    <t>conventionnel, en cage</t>
  </si>
  <si>
    <t>conventionnel</t>
  </si>
  <si>
    <t>Produits_Végétaux</t>
  </si>
  <si>
    <t>Ananas</t>
  </si>
  <si>
    <t>Cacao</t>
  </si>
  <si>
    <t>Féverole</t>
  </si>
  <si>
    <t>Luzerne</t>
  </si>
  <si>
    <t>Maïs ensilage</t>
  </si>
  <si>
    <t>Pomme à cidre</t>
  </si>
  <si>
    <t>Pomme de terre fécule</t>
  </si>
  <si>
    <t>Autre pays du monde</t>
  </si>
  <si>
    <t>Outre-mer, Polynésie Française</t>
  </si>
  <si>
    <t>France continentale, Pays de la Loire</t>
  </si>
  <si>
    <t>France continentale, Centre</t>
  </si>
  <si>
    <t>Autre pays du monde, Brésil, Etat de Bahia</t>
  </si>
  <si>
    <t>Autre pays du monde, Brésil, Etat de Minas Gerais</t>
  </si>
  <si>
    <t>France continentale, Basse Normandie)</t>
  </si>
  <si>
    <t>France continentale, Basse Normandie</t>
  </si>
  <si>
    <t>Autre pays du monde, Maroc (Region Souss)</t>
  </si>
  <si>
    <t>France continentale, Région nord: Ile de France, Picardie, Normandie, Champagne Ardennes, Nord pas de Calais.</t>
  </si>
  <si>
    <t>France continentale, Bretagne du Sud et Nord-Ouest</t>
  </si>
  <si>
    <t>France continentale, Auvergne</t>
  </si>
  <si>
    <t>France continentale, Champagne-Ardenne</t>
  </si>
  <si>
    <t>Autre pays du monde, Brésil, Val de San Francisco</t>
  </si>
  <si>
    <t>prairie permanente, sans trèfle, Auvergne</t>
  </si>
  <si>
    <t>Acier ou fer blanc, France continentale, Base Carbone</t>
  </si>
  <si>
    <t>Aluminium, France continentale, Base Carbone</t>
  </si>
  <si>
    <t>Cuivre, France continentale, Base Carbone</t>
  </si>
  <si>
    <t>Nickel, France continentale, Base Carbone</t>
  </si>
  <si>
    <t>données d'activité</t>
  </si>
  <si>
    <t>Plastique (moyenne)</t>
  </si>
  <si>
    <t>Plastique (PEBD)</t>
  </si>
  <si>
    <t>Plastique (PEHD)</t>
  </si>
  <si>
    <t>Plastique (PET)</t>
  </si>
  <si>
    <t>Plastique (PS)</t>
  </si>
  <si>
    <t>Plastique (PVC)</t>
  </si>
  <si>
    <t>Nylon, France continentale, Base Carbone</t>
  </si>
  <si>
    <t>Films plastiques PET (pas recyclable), France continentale, Base Carbone</t>
  </si>
  <si>
    <t>Plastique (moyenne), France continentale, Base Carbone</t>
  </si>
  <si>
    <t>Plastique (PVC), France continentale, Base Carbone</t>
  </si>
  <si>
    <t>Fibre de verre neuf, France continentale, Base Carbone</t>
  </si>
  <si>
    <t>Fibre de verre recyclé, France continentale, Base Carbone</t>
  </si>
  <si>
    <t>Verre technique (optique et électronique), France continentale, Base Carbone</t>
  </si>
  <si>
    <t>utilisés</t>
  </si>
  <si>
    <t>Carton neuf, France continentale, Base Carbone</t>
  </si>
  <si>
    <t>Carton recyclé, France continentale, Base Carbone</t>
  </si>
  <si>
    <t>Ramette de papier blanc 80g/m² A4, Hors utilisation et fin de vie, France continentale, Base Carbone</t>
  </si>
  <si>
    <t>Unités</t>
  </si>
  <si>
    <t>Facteur</t>
  </si>
  <si>
    <t>FE</t>
  </si>
  <si>
    <t>Canalisations PVC, France continentale, Base Carbone</t>
  </si>
  <si>
    <t>Mur, bardage acier simple peau, France continentale, Base Carbone</t>
  </si>
  <si>
    <t>Panneau de plafond suspendu, France continentale, Base Carbone</t>
  </si>
  <si>
    <t>Béton armé, France continentale, Base Carbone</t>
  </si>
  <si>
    <t>aucune</t>
  </si>
  <si>
    <t>Maisons individuelles (MI), France continentale, Base Carbone</t>
  </si>
  <si>
    <t>Acide chlorhydrique, France continentale, Base Carbone</t>
  </si>
  <si>
    <t>Acide sulfurique, France continentale, Base Carbone</t>
  </si>
  <si>
    <t>Engrais binaire NK part N, Europe, Base Carbone</t>
  </si>
  <si>
    <t>Insecticide moyen, Europe, Base Carbone</t>
  </si>
  <si>
    <t>Produits_Mer</t>
  </si>
  <si>
    <t>Produits de la mer</t>
  </si>
  <si>
    <t>Repas</t>
  </si>
  <si>
    <t>à dominante animale (avec boeuf)</t>
  </si>
  <si>
    <t>à dominante animale (avec poulet)</t>
  </si>
  <si>
    <t>à dominante végétale (avec boeuf)</t>
  </si>
  <si>
    <t>à dominante végétale (avec poulet)</t>
  </si>
  <si>
    <t>classique (avec boeuf)</t>
  </si>
  <si>
    <t>classique (avec poulet)</t>
  </si>
  <si>
    <t>moyen</t>
  </si>
  <si>
    <t>végétarien</t>
  </si>
  <si>
    <t>kgCO2e/repas</t>
  </si>
  <si>
    <t>Repas moyen, France continentale, Base Carbone</t>
  </si>
  <si>
    <t>Boissons</t>
  </si>
  <si>
    <t>A partir des repas</t>
  </si>
  <si>
    <t>Repas végétarien, France continentale, Base Carbone</t>
  </si>
  <si>
    <t>Chili con carne, France continentale, Base Carbone</t>
  </si>
  <si>
    <t>Aimant AlNiCo, Monde, Base Carbone</t>
  </si>
  <si>
    <t>Action sociale, France continentale, Base Carbone</t>
  </si>
  <si>
    <t>Administration publiques et défense, sécurité sociale obligatoire, France continentale, Base Carbone</t>
  </si>
  <si>
    <t>Meubles et autres biens manufacturés, France continentale, Base Carbone</t>
  </si>
  <si>
    <t>Nourriture, repas &amp; boissons</t>
  </si>
  <si>
    <t>Facteurs d'émission de l'onglet Déplacement</t>
  </si>
  <si>
    <t>Routiers</t>
  </si>
  <si>
    <t>kgCO2e/km</t>
  </si>
  <si>
    <t>kgCO2e/course.km</t>
  </si>
  <si>
    <t>kgCO2e/passager.km</t>
  </si>
  <si>
    <t>Divers</t>
  </si>
  <si>
    <t>électricité - à la centrale</t>
  </si>
  <si>
    <t>électricité</t>
  </si>
  <si>
    <t>Ferroviaire</t>
  </si>
  <si>
    <t>Train de voyageurs</t>
  </si>
  <si>
    <t>Pays Bas</t>
  </si>
  <si>
    <t>Aérien</t>
  </si>
  <si>
    <t>Maritime et fluvial</t>
  </si>
  <si>
    <t>Parcours</t>
  </si>
  <si>
    <t>Périphérie rurale</t>
  </si>
  <si>
    <t>Ile de France banlieue lointaine</t>
  </si>
  <si>
    <t>Banlieue urbaine</t>
  </si>
  <si>
    <t>Centre ville</t>
  </si>
  <si>
    <t>France entière</t>
  </si>
  <si>
    <t>Zones rurale, Mayotte</t>
  </si>
  <si>
    <t>Périphérie urbaine, Mayotte</t>
  </si>
  <si>
    <t>Centre ville, Mayotte</t>
  </si>
  <si>
    <t>Département de Mayotte, Moyenne</t>
  </si>
  <si>
    <t>Périphérie rurale, Tahiti</t>
  </si>
  <si>
    <t>Banlieue urbaine, Tahiti</t>
  </si>
  <si>
    <t>Centre ville, Tahiti</t>
  </si>
  <si>
    <t>Tahiti</t>
  </si>
  <si>
    <t>kgCO2e/véhicule.km</t>
  </si>
  <si>
    <t>Carburants</t>
  </si>
  <si>
    <t>Maritime_Fluvial</t>
  </si>
  <si>
    <t>Essence (E85), France continentale, Base Carbone</t>
  </si>
  <si>
    <t>GNL, Gaz Naturel Liquéfié ((inclus routier, maritime et fluvial)), France continentale, Base Carbone</t>
  </si>
  <si>
    <t>GPL pour véhicule routier, France continentale, Base Carbone</t>
  </si>
  <si>
    <t>Bioéthanol (sans changement d'affectation des sols), France continentale, Base Carbone</t>
  </si>
  <si>
    <t>L</t>
  </si>
  <si>
    <r>
      <t xml:space="preserve">Données </t>
    </r>
    <r>
      <rPr>
        <b/>
        <sz val="10"/>
        <color rgb="FFFF0000"/>
        <rFont val="Arial"/>
        <family val="2"/>
      </rPr>
      <t>à ne pas utiliser pour le Bilan GES strict</t>
    </r>
  </si>
  <si>
    <t>Périphérie rurale, B</t>
  </si>
  <si>
    <t>Ile de France banlieue lointaine, B</t>
  </si>
  <si>
    <t>Banlieue urbaine, B</t>
  </si>
  <si>
    <t>Centre ville, B</t>
  </si>
  <si>
    <t>France entière, B</t>
  </si>
  <si>
    <t>Zones rurale, Mayotte, B</t>
  </si>
  <si>
    <t>Périphérie urbaine, Mayotte, B</t>
  </si>
  <si>
    <t>Centre ville, Mayotte, B</t>
  </si>
  <si>
    <t>Département de Mayotte, Moyenne, B</t>
  </si>
  <si>
    <t>Périphérie rurale, Tahiti, B</t>
  </si>
  <si>
    <t>Banlieue urbaine, Tahiti, B</t>
  </si>
  <si>
    <t>Centre ville, Tahiti, B</t>
  </si>
  <si>
    <t>Tahiti, B</t>
  </si>
  <si>
    <t>agglomérations de 150 000 à 250 000 habitants, gazole / GNV, France continentale, Base Carbone</t>
  </si>
  <si>
    <t>agglomérations de moins de 150 000 habitants, gazole / GNV, France continentale, Base Carbone</t>
  </si>
  <si>
    <t>agglomérations de plus de 250 000 habitants, gazole / GNV, France continentale, Base Carbone</t>
  </si>
  <si>
    <t>Energie (Transports électriques)</t>
  </si>
  <si>
    <t>Transport_electrique</t>
  </si>
  <si>
    <t>3 - Déplacement des employés en train (y compris métro, tram, RER) non possédé par l'organisation</t>
  </si>
  <si>
    <t>Distances moyennes</t>
  </si>
  <si>
    <t>Part du bus dans les transports en commun</t>
  </si>
  <si>
    <t>Taux d'occupation moyen des voitures</t>
  </si>
  <si>
    <t>km / (personne.an)</t>
  </si>
  <si>
    <t>La Réunion</t>
  </si>
  <si>
    <t>mobilité longue distance</t>
  </si>
  <si>
    <t>mobilité quotidienne</t>
  </si>
  <si>
    <t>agglo 50-300.000 hab banlieue - 2 roues</t>
  </si>
  <si>
    <t>agglo 50-300.000 hab banlieue - bus</t>
  </si>
  <si>
    <t>agglo 50-300.000 hab banlieue - marche</t>
  </si>
  <si>
    <t>agglo 50-300.000 hab banlieue - voiture</t>
  </si>
  <si>
    <t>agglo 50-300.000 hab centre - 2 roues</t>
  </si>
  <si>
    <t>agglo 50-300.000 hab centre - bus</t>
  </si>
  <si>
    <t>agglo 50-300.000 hab centre - marche</t>
  </si>
  <si>
    <t>agglo 50-300.000 hab centre - voiture</t>
  </si>
  <si>
    <t>agglo &lt; 50.000 hab - 2 roues</t>
  </si>
  <si>
    <t>agglo &lt; 50.000 hab - bus</t>
  </si>
  <si>
    <t>agglo &lt; 50.000 hab - marche</t>
  </si>
  <si>
    <t>agglo &lt; 50.000 hab - voiture</t>
  </si>
  <si>
    <t>agglo &gt; 300.000 hab banlieue - 2 roues</t>
  </si>
  <si>
    <t>agglo &gt; 300.000 hab banlieue - bus</t>
  </si>
  <si>
    <t>agglo &gt; 300.000 hab banlieue - marche</t>
  </si>
  <si>
    <t>agglo &gt; 300.000 hab banlieue - voiture</t>
  </si>
  <si>
    <t>agglo &gt; 300.000 hab centre - 2 roues</t>
  </si>
  <si>
    <t>agglo &gt; 300.000 hab centre - bus</t>
  </si>
  <si>
    <t>agglo &gt; 300.000 hab centre - marche</t>
  </si>
  <si>
    <t>agglo &gt; 300.000 hab centre - métro / RER / tram</t>
  </si>
  <si>
    <t>agglo &gt; 300.000 hab centre - voiture</t>
  </si>
  <si>
    <t>agglo &gt; 300.000 hab périphérie - 2 roues</t>
  </si>
  <si>
    <t>agglo &gt; 300.000 hab périphérie - bus</t>
  </si>
  <si>
    <t>agglo &gt; 300.000 hab périphérie - marche</t>
  </si>
  <si>
    <t>agglo &gt; 300.000 hab périphérie - voiture</t>
  </si>
  <si>
    <t>banlieue parisienne - 2 roues</t>
  </si>
  <si>
    <t>banlieue parisienne - bus</t>
  </si>
  <si>
    <t>banlieue parisienne - marche</t>
  </si>
  <si>
    <t>banlieue parisienne - métro / RER / tram</t>
  </si>
  <si>
    <t>banlieue parisienne - voiture</t>
  </si>
  <si>
    <t>moyenne nationale - 2 roues</t>
  </si>
  <si>
    <t>moyenne nationale - bus</t>
  </si>
  <si>
    <t>moyenne nationale - marche</t>
  </si>
  <si>
    <t>moyenne nationale - métro / RER / tram</t>
  </si>
  <si>
    <t>moyenne nationale - voiture</t>
  </si>
  <si>
    <t>Paris intramuros - 2 roues</t>
  </si>
  <si>
    <t>Paris intramuros - bus</t>
  </si>
  <si>
    <t>Paris intramuros - marche</t>
  </si>
  <si>
    <t>Paris intramuros - métro / RER / tram</t>
  </si>
  <si>
    <t>Paris intramuros - voiture</t>
  </si>
  <si>
    <t>Distances_moyennes</t>
  </si>
  <si>
    <t>Facteurs d'émission de l'onglet Fret</t>
  </si>
  <si>
    <t>kgCO2e/tonne.km</t>
  </si>
  <si>
    <t>Routier</t>
  </si>
  <si>
    <t>Maritime &amp; fluvial</t>
  </si>
  <si>
    <t>Gazole routier, France continentale, Base Carbone</t>
  </si>
  <si>
    <t>GNV, Gaz Naturel Comprimé pour véhicule routier, France continentale, Base Carbone</t>
  </si>
  <si>
    <t>Biodiesel (sans changement d'affectation des sols), France continentale, Base Carbone</t>
  </si>
  <si>
    <t>tonne.km</t>
  </si>
  <si>
    <r>
      <t xml:space="preserve">3 - Fret aérien </t>
    </r>
    <r>
      <rPr>
        <b/>
        <sz val="10"/>
        <color rgb="FFC00000"/>
        <rFont val="Arial"/>
        <family val="2"/>
      </rPr>
      <t>entrant,</t>
    </r>
    <r>
      <rPr>
        <b/>
        <sz val="10"/>
        <rFont val="Arial"/>
        <family val="2"/>
      </rPr>
      <t xml:space="preserve"> tonnes.km</t>
    </r>
  </si>
  <si>
    <t>2 - Pertes en ligne de l'électricité</t>
  </si>
  <si>
    <r>
      <t xml:space="preserve">3 - Fret ferroviaire </t>
    </r>
    <r>
      <rPr>
        <b/>
        <sz val="10"/>
        <color rgb="FFC00000"/>
        <rFont val="Arial"/>
        <family val="2"/>
      </rPr>
      <t>entrant,</t>
    </r>
    <r>
      <rPr>
        <b/>
        <sz val="10"/>
        <rFont val="Arial"/>
        <family val="2"/>
      </rPr>
      <t xml:space="preserve"> combustibles pour trains possédés</t>
    </r>
  </si>
  <si>
    <r>
      <t xml:space="preserve">5 - Fret ferroviaire </t>
    </r>
    <r>
      <rPr>
        <b/>
        <sz val="10"/>
        <color rgb="FFC00000"/>
        <rFont val="Arial"/>
        <family val="2"/>
      </rPr>
      <t>entrant,</t>
    </r>
    <r>
      <rPr>
        <b/>
        <sz val="10"/>
        <rFont val="Arial"/>
        <family val="2"/>
      </rPr>
      <t xml:space="preserve"> trains non possédés, tonnes.km</t>
    </r>
  </si>
  <si>
    <t>Maritime</t>
  </si>
  <si>
    <t>Fluvial</t>
  </si>
  <si>
    <r>
      <t xml:space="preserve">3 - Fret aérien </t>
    </r>
    <r>
      <rPr>
        <b/>
        <sz val="10"/>
        <color rgb="FFC00000"/>
        <rFont val="Arial"/>
        <family val="2"/>
      </rPr>
      <t>interne,</t>
    </r>
    <r>
      <rPr>
        <b/>
        <sz val="10"/>
        <rFont val="Arial"/>
        <family val="2"/>
      </rPr>
      <t xml:space="preserve"> tonnes.km</t>
    </r>
  </si>
  <si>
    <t>Pertes en ligne</t>
  </si>
  <si>
    <r>
      <t xml:space="preserve">3 - Fret maritime </t>
    </r>
    <r>
      <rPr>
        <b/>
        <sz val="10"/>
        <color rgb="FFC00000"/>
        <rFont val="Arial"/>
        <family val="2"/>
      </rPr>
      <t>entrant</t>
    </r>
  </si>
  <si>
    <r>
      <t xml:space="preserve">5 - Fret fluvial </t>
    </r>
    <r>
      <rPr>
        <b/>
        <sz val="10"/>
        <color rgb="FFC00000"/>
        <rFont val="Arial"/>
        <family val="2"/>
      </rPr>
      <t xml:space="preserve">entrant, </t>
    </r>
    <r>
      <rPr>
        <b/>
        <sz val="10"/>
        <color indexed="8"/>
        <rFont val="Arial"/>
        <family val="2"/>
      </rPr>
      <t>par type de bateaux</t>
    </r>
  </si>
  <si>
    <r>
      <t xml:space="preserve">3 - Fret ferroviaire </t>
    </r>
    <r>
      <rPr>
        <b/>
        <sz val="10"/>
        <color rgb="FFC00000"/>
        <rFont val="Arial"/>
        <family val="2"/>
      </rPr>
      <t>interne,</t>
    </r>
    <r>
      <rPr>
        <b/>
        <sz val="10"/>
        <rFont val="Arial"/>
        <family val="2"/>
      </rPr>
      <t xml:space="preserve"> combustibles pour trains possédés</t>
    </r>
  </si>
  <si>
    <r>
      <t xml:space="preserve">5 - Fret ferroviaire </t>
    </r>
    <r>
      <rPr>
        <b/>
        <sz val="10"/>
        <color rgb="FFC00000"/>
        <rFont val="Arial"/>
        <family val="2"/>
      </rPr>
      <t>interne,</t>
    </r>
    <r>
      <rPr>
        <b/>
        <sz val="10"/>
        <rFont val="Arial"/>
        <family val="2"/>
      </rPr>
      <t xml:space="preserve"> trains non possédés, tonnes.km</t>
    </r>
  </si>
  <si>
    <r>
      <t xml:space="preserve">3 - Fret maritime </t>
    </r>
    <r>
      <rPr>
        <b/>
        <sz val="10"/>
        <color rgb="FFC00000"/>
        <rFont val="Arial"/>
        <family val="2"/>
      </rPr>
      <t>interne</t>
    </r>
  </si>
  <si>
    <r>
      <t xml:space="preserve">5 - Fret fluvial </t>
    </r>
    <r>
      <rPr>
        <b/>
        <sz val="10"/>
        <color rgb="FFC00000"/>
        <rFont val="Arial"/>
        <family val="2"/>
      </rPr>
      <t xml:space="preserve">interne, </t>
    </r>
    <r>
      <rPr>
        <b/>
        <sz val="10"/>
        <color indexed="8"/>
        <rFont val="Arial"/>
        <family val="2"/>
      </rPr>
      <t>par type de bateaux</t>
    </r>
  </si>
  <si>
    <r>
      <t xml:space="preserve">3 - Fret ferroviaire </t>
    </r>
    <r>
      <rPr>
        <b/>
        <sz val="10"/>
        <color rgb="FFC00000"/>
        <rFont val="Arial"/>
        <family val="2"/>
      </rPr>
      <t>sortant,</t>
    </r>
    <r>
      <rPr>
        <b/>
        <sz val="10"/>
        <rFont val="Arial"/>
        <family val="2"/>
      </rPr>
      <t xml:space="preserve"> combustibles pour trains possédés</t>
    </r>
  </si>
  <si>
    <r>
      <t xml:space="preserve">5 - Fret ferroviaire </t>
    </r>
    <r>
      <rPr>
        <b/>
        <sz val="10"/>
        <color rgb="FFC00000"/>
        <rFont val="Arial"/>
        <family val="2"/>
      </rPr>
      <t>sortant,</t>
    </r>
    <r>
      <rPr>
        <b/>
        <sz val="10"/>
        <rFont val="Arial"/>
        <family val="2"/>
      </rPr>
      <t xml:space="preserve"> trains non possédés, tonnes.km</t>
    </r>
  </si>
  <si>
    <r>
      <t xml:space="preserve">3 - Fret maritime </t>
    </r>
    <r>
      <rPr>
        <b/>
        <sz val="10"/>
        <color rgb="FFFF0000"/>
        <rFont val="Arial"/>
        <family val="2"/>
      </rPr>
      <t>sortant</t>
    </r>
  </si>
  <si>
    <r>
      <t xml:space="preserve">5 - Fret fluvial </t>
    </r>
    <r>
      <rPr>
        <b/>
        <sz val="10"/>
        <color rgb="FFC00000"/>
        <rFont val="Arial"/>
        <family val="2"/>
      </rPr>
      <t xml:space="preserve">sortant, </t>
    </r>
    <r>
      <rPr>
        <b/>
        <sz val="10"/>
        <color indexed="8"/>
        <rFont val="Arial"/>
        <family val="2"/>
      </rPr>
      <t>par type de bateaux</t>
    </r>
  </si>
  <si>
    <t>Facteurs d'émission des onglets Déchets directs et Futurs emballages</t>
  </si>
  <si>
    <t>Fuites</t>
  </si>
  <si>
    <t>Déchets organiques</t>
  </si>
  <si>
    <t>Déchets plastiques</t>
  </si>
  <si>
    <t>Ordures ménagères</t>
  </si>
  <si>
    <t>Organiques</t>
  </si>
  <si>
    <t>Dangereux</t>
  </si>
  <si>
    <t>Eaux_Usées</t>
  </si>
  <si>
    <t>Traitement des eaux usées</t>
  </si>
  <si>
    <t>kgCO2e/m3</t>
  </si>
  <si>
    <t>Transport</t>
  </si>
  <si>
    <t>postes fixes de combustion</t>
  </si>
  <si>
    <t>Electricité: réseaux, usines (EP et EU) et bâtiments tertiaires</t>
  </si>
  <si>
    <t>véhicules particuliers, utilitaires, engins</t>
  </si>
  <si>
    <t>process d'épuration (N2O et CH4)</t>
  </si>
  <si>
    <t>Rejets au milieu naturel (CH4 et N2O)</t>
  </si>
  <si>
    <t>Emissions de N2O liées à l'épandage des boues</t>
  </si>
  <si>
    <t>Refus de dégrillage, Graisse et sables</t>
  </si>
  <si>
    <t>réactifs consommés</t>
  </si>
  <si>
    <t>collecte</t>
  </si>
  <si>
    <t>incinération</t>
  </si>
  <si>
    <t>CO2f, Base Carbone</t>
  </si>
  <si>
    <t>CH4b, Base Carbone</t>
  </si>
  <si>
    <t>CH4f, Base Carbone</t>
  </si>
  <si>
    <t>N2O, Base Carbone</t>
  </si>
  <si>
    <t>Tétrachlorométhane, Base Carbone</t>
  </si>
  <si>
    <t>Traitement des eaux usées, France continentale, Base Carbone</t>
  </si>
  <si>
    <t>énergie</t>
  </si>
  <si>
    <t>transport</t>
  </si>
  <si>
    <t>émissions fugitives</t>
  </si>
  <si>
    <t>intrants</t>
  </si>
  <si>
    <t>choix</t>
  </si>
  <si>
    <t>neuf &amp; recyclé</t>
  </si>
  <si>
    <t>Verre plat flotté, Europe, Base Carbone</t>
  </si>
  <si>
    <t>Verre plat à motifs, Europe, Base Carbone</t>
  </si>
  <si>
    <t>Fibre de verre neuf, France continentale, Base Carbone; kgCO2e/kg</t>
  </si>
  <si>
    <t>Papier Moyen, Hors utilisation et fin de vie, France continentale, Base Carbone</t>
  </si>
  <si>
    <t>Investissements dans des secteurs donnés</t>
  </si>
  <si>
    <t>Assurance, services bancaires, conseil et honoraires, France continentale, Base Carbone</t>
  </si>
  <si>
    <t>3 - Electricité achetée, moyenne par pays</t>
  </si>
  <si>
    <t>4 - Electricité achetée, producteur désigné</t>
  </si>
  <si>
    <r>
      <t xml:space="preserve">5 - EDF </t>
    </r>
    <r>
      <rPr>
        <b/>
        <sz val="10"/>
        <color rgb="FFC00000"/>
        <rFont val="Arial"/>
        <family val="2"/>
      </rPr>
      <t>producteur</t>
    </r>
    <r>
      <rPr>
        <b/>
        <sz val="10"/>
        <rFont val="Arial"/>
        <family val="2"/>
      </rPr>
      <t xml:space="preserve"> mensualisé</t>
    </r>
  </si>
  <si>
    <r>
      <t>6 - Consommation d'</t>
    </r>
    <r>
      <rPr>
        <b/>
        <sz val="10"/>
        <color rgb="FFC00000"/>
        <rFont val="Arial"/>
        <family val="2"/>
      </rPr>
      <t>électricité spécifique</t>
    </r>
  </si>
  <si>
    <r>
      <t>7 - Consommation</t>
    </r>
    <r>
      <rPr>
        <b/>
        <sz val="10"/>
        <color rgb="FFC00000"/>
        <rFont val="Arial"/>
        <family val="2"/>
      </rPr>
      <t xml:space="preserve"> totale d'électricité</t>
    </r>
  </si>
  <si>
    <t>Caractère de l'utilisation</t>
  </si>
  <si>
    <t>Facteurs d'émission de l'onglet Immobilisations</t>
  </si>
  <si>
    <t>Bâtiment agricole, structure en béton</t>
  </si>
  <si>
    <t>Bâtiment agricole, structure métallique</t>
  </si>
  <si>
    <t>Bâtiment industriel, structure en béton</t>
  </si>
  <si>
    <t>Bâtiment industriel, structure métallique</t>
  </si>
  <si>
    <t>Centre de loisir, structure en béton</t>
  </si>
  <si>
    <t>Centre de loisir, structure métallique</t>
  </si>
  <si>
    <t>Commerce, structure en béton</t>
  </si>
  <si>
    <t>Commerce, structure métallique</t>
  </si>
  <si>
    <t>Etablissement d'enseignement, structure en béton</t>
  </si>
  <si>
    <t>Etablissement de santé, structure en béton</t>
  </si>
  <si>
    <t>Garage, structure en béton</t>
  </si>
  <si>
    <t>Garage, structure métallique</t>
  </si>
  <si>
    <t>Matériaux</t>
  </si>
  <si>
    <t>Commerce, structure en béton, France continentale, Base Carbone</t>
  </si>
  <si>
    <t>Immeubles de logements collectifs (IC), France continentale, Base Carbone</t>
  </si>
  <si>
    <t>Mur, béton, France continentale, Base Carbone</t>
  </si>
  <si>
    <t>Sol, carreaux de plâtre, France continentale, Base Carbone</t>
  </si>
  <si>
    <t>Poutrelle en béton, France continentale, Base Carbone</t>
  </si>
  <si>
    <t>Enrobés</t>
  </si>
  <si>
    <t>Béton armé continu, routier</t>
  </si>
  <si>
    <t>Béton de ciment, routier</t>
  </si>
  <si>
    <t>Enrobé, à module élevé</t>
  </si>
  <si>
    <t>Enrobé, tiède</t>
  </si>
  <si>
    <t>Enrobés bitumineux, à froid</t>
  </si>
  <si>
    <t>Enrobés bitumineux, avec 10% REC</t>
  </si>
  <si>
    <t>Enrobés bitumineux, avec 20% REC</t>
  </si>
  <si>
    <t>Enrobés bitumineux, avec 30% REC</t>
  </si>
  <si>
    <t>Enrobés bitumineux, avec 50% REC</t>
  </si>
  <si>
    <t>Béton armé continu, routier, France continentale, Base Carbone</t>
  </si>
  <si>
    <t>Enrobé, à module élevé, France continentale, Base Carbone</t>
  </si>
  <si>
    <t>Grave, liant routier préfissurée, France continentale, Base Carbone</t>
  </si>
  <si>
    <t>2 - Combustibles fossiles, sources fixes</t>
  </si>
  <si>
    <t>6 - Bâtiments, plastiques</t>
  </si>
  <si>
    <t>Routes</t>
  </si>
  <si>
    <t>Glissière de sécurité, pour voirie de type TC5</t>
  </si>
  <si>
    <t>Glissière de sécurité, pour voirie de type TC6</t>
  </si>
  <si>
    <t>Glissière de sécurité, pour voirie de type TC7</t>
  </si>
  <si>
    <t>Donnée</t>
  </si>
  <si>
    <t>3 - Infrastructures, matériaux en vrac</t>
  </si>
  <si>
    <t>Véhicules, Machines et Outils</t>
  </si>
  <si>
    <t>VMO</t>
  </si>
  <si>
    <t>Machines, France continentale, Base Carbone</t>
  </si>
  <si>
    <t>Véhicules, France continentale, Base Carbone</t>
  </si>
  <si>
    <t>3 - Outils &amp; machines, plastiques</t>
  </si>
  <si>
    <t>4 - Infrastructures, verre</t>
  </si>
  <si>
    <t>Calcul des incertitudes</t>
  </si>
  <si>
    <t>Ventilation par GES</t>
  </si>
  <si>
    <t>Détail des incertitudes</t>
  </si>
  <si>
    <t>Récapitulatif par catégorie pour extraction CDP</t>
  </si>
  <si>
    <t>CDP</t>
  </si>
  <si>
    <t>Groupe EDF</t>
  </si>
  <si>
    <t>Groupe RWE</t>
  </si>
  <si>
    <t>Groupe E.ON</t>
  </si>
  <si>
    <t>Vattenfall</t>
  </si>
  <si>
    <t>Engie</t>
  </si>
  <si>
    <t>Groupe Enel</t>
  </si>
  <si>
    <t>Groupe EDP</t>
  </si>
  <si>
    <t>CEZ</t>
  </si>
  <si>
    <t>Fortum</t>
  </si>
  <si>
    <t>DEI</t>
  </si>
  <si>
    <t>Statkraft</t>
  </si>
  <si>
    <t>Verbund</t>
  </si>
  <si>
    <t>Gas Natural Fenosa</t>
  </si>
  <si>
    <t>Drax</t>
  </si>
  <si>
    <t>Scottish &amp; Southern</t>
  </si>
  <si>
    <t>PVO</t>
  </si>
  <si>
    <t>Dong</t>
  </si>
  <si>
    <t>Iberdrola + Scottish Power</t>
  </si>
  <si>
    <t>EDF Energies Nouvelles</t>
  </si>
  <si>
    <t>EDF France</t>
  </si>
  <si>
    <t>EDF Energy</t>
  </si>
  <si>
    <t>Europe (hors France)</t>
  </si>
  <si>
    <t>ERSA &amp; Kogeneracja</t>
  </si>
  <si>
    <t>BE ZRT &amp; EDF Demasz</t>
  </si>
  <si>
    <t>RWE Belgium Netherlands</t>
  </si>
  <si>
    <t>RWE Central / Eastern</t>
  </si>
  <si>
    <t>E.ON</t>
  </si>
  <si>
    <t>E.ON UK</t>
  </si>
  <si>
    <t>ex Endesa Italia</t>
  </si>
  <si>
    <r>
      <rPr>
        <b/>
        <u/>
        <sz val="8"/>
        <rFont val="Geneva"/>
      </rPr>
      <t xml:space="preserve">Recommandations d'utilisation : </t>
    </r>
    <r>
      <rPr>
        <sz val="8"/>
        <rFont val="Geneva"/>
      </rPr>
      <t xml:space="preserve">
Plusieurs lignes blanches sont laissées vierges à la fin de chaque liste : </t>
    </r>
    <r>
      <rPr>
        <b/>
        <sz val="8"/>
        <rFont val="Geneva"/>
      </rPr>
      <t>vous pouvez y ajouter les facteurs d'émission que vous souhaitez inclure aux listes déroulantes.</t>
    </r>
    <r>
      <rPr>
        <sz val="8"/>
        <rFont val="Geneva"/>
      </rPr>
      <t xml:space="preserve">
Si ces lignes ne suffisent pas, copiez puis insérez des lignes existantes puis assurez vous que les formules des colonnes D à G sont bien continues. Les suites de numéros des colonnes B et D ne doivent pas être interrompues. En cas de doute, faites glisser la formule de la première ligne de la liste.
</t>
    </r>
    <r>
      <rPr>
        <b/>
        <sz val="8"/>
        <rFont val="Geneva"/>
      </rPr>
      <t>Attention :</t>
    </r>
    <r>
      <rPr>
        <sz val="8"/>
        <rFont val="Geneva"/>
      </rPr>
      <t xml:space="preserve"> les unités et type doivent correspondre à celles inscrites dans les onglets de calcul (sinon, une erreur vous avertira très vite). Pensez à indiquer vos sources en bas de page !</t>
    </r>
  </si>
  <si>
    <t>Groupe EDF, Europe, PWC</t>
  </si>
  <si>
    <t xml:space="preserve"> A2A, Italie, PWC</t>
  </si>
  <si>
    <t>Groupe RWE, Europe, PWC</t>
  </si>
  <si>
    <t>Groupe E.ON, Europe, PWC</t>
  </si>
  <si>
    <t>Traitement des eaux usées
Base Carbone</t>
  </si>
  <si>
    <t>Ventilation GHG P</t>
  </si>
  <si>
    <t>Émissions et suppressions directes</t>
  </si>
  <si>
    <t>Émissions indirectes liées à l'importation d'énergie</t>
  </si>
  <si>
    <t>Émissions indirectes liées au transport</t>
  </si>
  <si>
    <t>Émissions indirectes liées à l'utilisation de services par l'organisation</t>
  </si>
  <si>
    <t>Émissions indirectes liées à l'utilisation des biens par l'organisation</t>
  </si>
  <si>
    <t>Émissions indirectes associées à l'usage des produits de l'organisation</t>
  </si>
  <si>
    <t>Détail des émissions</t>
  </si>
  <si>
    <t>8 - Production d'électricité renouvelable</t>
  </si>
  <si>
    <t>hydraulique, France continentale, Base Carbone</t>
  </si>
  <si>
    <t>ISO</t>
  </si>
  <si>
    <t>Questionnaire CDP</t>
  </si>
  <si>
    <t>Attention : à n'employer qu'en dernier recours.</t>
  </si>
  <si>
    <t>Investissements financiers sectoriels</t>
  </si>
  <si>
    <t>Déplacements des employés dans le cadre du travail</t>
  </si>
  <si>
    <t>autres modes routiers</t>
  </si>
  <si>
    <t>bateau</t>
  </si>
  <si>
    <t>1 - Voirie</t>
  </si>
  <si>
    <t>2 - Voirie, combustibles sur chantier</t>
  </si>
  <si>
    <t>Voirie - calculs par matériaux</t>
  </si>
  <si>
    <t>Entreposage et services auxiliaires des transports, France continentale, Base Carbone</t>
  </si>
  <si>
    <t>Machines et équipements, France continentale, Base Carbone</t>
  </si>
  <si>
    <t>Construction, France continentale, Base Carbone</t>
  </si>
  <si>
    <t>1-2-3-4-5</t>
  </si>
  <si>
    <t>6-7</t>
  </si>
  <si>
    <t>12-13-16-17-22</t>
  </si>
  <si>
    <t>9-10</t>
  </si>
  <si>
    <t>11-14</t>
  </si>
  <si>
    <t>18-19-21</t>
  </si>
  <si>
    <t>8-15-20-23</t>
  </si>
  <si>
    <t>Numéros des postes ISO 14069</t>
  </si>
  <si>
    <t>Fret entrant</t>
  </si>
  <si>
    <t>Fret interne</t>
  </si>
  <si>
    <t>Fret sortant</t>
  </si>
  <si>
    <t>Guide méthodologique Bilan Carbone® V8</t>
  </si>
  <si>
    <t>Routes, voies ferrées, parkings, ports et infrastructures diverses</t>
  </si>
  <si>
    <t>Electricité achetée, moyenne par pays</t>
  </si>
  <si>
    <r>
      <t xml:space="preserve">3 - Fret routier </t>
    </r>
    <r>
      <rPr>
        <b/>
        <sz val="10"/>
        <color rgb="FFC00000"/>
        <rFont val="Arial"/>
        <family val="2"/>
      </rPr>
      <t>entrant</t>
    </r>
  </si>
  <si>
    <r>
      <t xml:space="preserve">3 - Fret routier </t>
    </r>
    <r>
      <rPr>
        <b/>
        <sz val="10"/>
        <color rgb="FFC00000"/>
        <rFont val="Arial"/>
        <family val="2"/>
      </rPr>
      <t>interne</t>
    </r>
  </si>
  <si>
    <t>3 - Déplacement des employés en bateau, passager.km</t>
  </si>
  <si>
    <r>
      <t>Fuites ou émissions non énergétiques (</t>
    </r>
    <r>
      <rPr>
        <b/>
        <sz val="10"/>
        <color rgb="FFFF0000"/>
        <rFont val="Arial"/>
        <family val="2"/>
      </rPr>
      <t>Kyoto</t>
    </r>
    <r>
      <rPr>
        <b/>
        <sz val="10"/>
        <rFont val="Arial"/>
        <family val="2"/>
      </rPr>
      <t>)</t>
    </r>
  </si>
  <si>
    <r>
      <t xml:space="preserve">Fuites ou émissions non énergétiques (hors </t>
    </r>
    <r>
      <rPr>
        <b/>
        <sz val="10"/>
        <color rgb="FFFF0000"/>
        <rFont val="Arial"/>
        <family val="2"/>
      </rPr>
      <t>Kyoto</t>
    </r>
    <r>
      <rPr>
        <b/>
        <sz val="10"/>
        <rFont val="Arial"/>
        <family val="2"/>
      </rPr>
      <t>)</t>
    </r>
  </si>
  <si>
    <t>Gain GES lié au recyclage</t>
  </si>
  <si>
    <t>Gain GES du recyclage</t>
  </si>
  <si>
    <t>Gains</t>
  </si>
  <si>
    <t>Gain</t>
  </si>
  <si>
    <t>Émissions réduites par le recyclage de vos déchets</t>
  </si>
  <si>
    <t>Émissions réduites par le du recyclage de vos déchets</t>
  </si>
  <si>
    <t>Émissions réduites par le recyclage des déchets</t>
  </si>
  <si>
    <t>Bâtiments - calculs par matériaux pour chantiers</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</si>
  <si>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ne génèrera pas. 
Nous vous conseillons de classer vos déchets comme "fin de vie stockage" si vous les recyclez.</t>
    </r>
  </si>
  <si>
    <t>Extraction GHG Protocol</t>
  </si>
  <si>
    <t>Numéro de la question</t>
  </si>
  <si>
    <t>Plage de réponse</t>
  </si>
  <si>
    <t>Intitulé de la question</t>
  </si>
  <si>
    <t>0.1 Introduction</t>
  </si>
  <si>
    <t>Sélectionnez le pays pour lequel vous souhaitez publier des données</t>
  </si>
  <si>
    <t>Description générale de l'organisation</t>
  </si>
  <si>
    <t>Choisissez la date de début et de fin de l'année de reporting</t>
  </si>
  <si>
    <r>
      <t>cf étape 1 de la démarche Bilan Carbone</t>
    </r>
    <r>
      <rPr>
        <sz val="10"/>
        <rFont val="Calibri"/>
        <family val="2"/>
      </rPr>
      <t>®</t>
    </r>
  </si>
  <si>
    <r>
      <rPr>
        <i/>
        <sz val="10"/>
        <rFont val="Arial"/>
        <family val="2"/>
      </rPr>
      <t>cf étape 4 de la démarche Bilan Carbone</t>
    </r>
    <r>
      <rPr>
        <i/>
        <sz val="10"/>
        <rFont val="Calibri"/>
        <family val="2"/>
      </rPr>
      <t>®</t>
    </r>
    <r>
      <rPr>
        <i/>
        <sz val="10"/>
        <rFont val="Arial"/>
        <family val="2"/>
      </rPr>
      <t xml:space="preserve"> : des incitations peuvent faire partie d'un plan d'actions de réduction</t>
    </r>
  </si>
  <si>
    <r>
      <t>cf étape 2 de la démarche Bilan Carbone</t>
    </r>
    <r>
      <rPr>
        <sz val="10"/>
        <rFont val="Calibri"/>
        <family val="2"/>
      </rPr>
      <t xml:space="preserve">® </t>
    </r>
    <r>
      <rPr>
        <i/>
        <sz val="10"/>
        <rFont val="Arial"/>
        <family val="2"/>
      </rPr>
      <t>: la cartographie de votre organisation reflêtera les situations géographiques des différents sites</t>
    </r>
  </si>
  <si>
    <r>
      <rPr>
        <b/>
        <sz val="10"/>
        <rFont val="Arial"/>
        <family val="2"/>
      </rPr>
      <t>Note :</t>
    </r>
    <r>
      <rPr>
        <sz val="10"/>
        <rFont val="Arial"/>
        <family val="2"/>
      </rPr>
      <t xml:space="preserve">
Le tableau ci-dessous vous servira de base de réflexion quant aux réponses que vous pourrez apporter au questionnaire du CDP. Pour rappel, ce questionnaire est en ligne : il vous faudra "copier" les éléments depuis ce tableur jusqu'au questionnaire.</t>
    </r>
  </si>
  <si>
    <t>Valeurs calculées pour l'extraction GHG Protocol</t>
  </si>
  <si>
    <r>
      <t>Réponse donnée par votre Bilan Carbone</t>
    </r>
    <r>
      <rPr>
        <sz val="10"/>
        <rFont val="Calibri"/>
        <family val="2"/>
      </rPr>
      <t>®</t>
    </r>
  </si>
  <si>
    <r>
      <t>Réponse en partie obtenue via le Bilan Carbone</t>
    </r>
    <r>
      <rPr>
        <sz val="10"/>
        <rFont val="Calibri"/>
        <family val="2"/>
      </rPr>
      <t>®</t>
    </r>
  </si>
  <si>
    <r>
      <t>Information non disponible via le Bilan Carbone</t>
    </r>
    <r>
      <rPr>
        <sz val="10"/>
        <rFont val="Calibri"/>
        <family val="2"/>
      </rPr>
      <t>®</t>
    </r>
  </si>
  <si>
    <t>à venir : une extraction des kWh consommés</t>
  </si>
  <si>
    <t>à venir : la liste des FE utilisés</t>
  </si>
  <si>
    <t>à venir : extraction des FE utilisés</t>
  </si>
  <si>
    <t>Questionnaire 2017</t>
  </si>
  <si>
    <r>
      <t xml:space="preserve">3 - Fret routier </t>
    </r>
    <r>
      <rPr>
        <b/>
        <sz val="10"/>
        <color rgb="FFC00000"/>
        <rFont val="Arial"/>
        <family val="2"/>
      </rPr>
      <t>sortant</t>
    </r>
  </si>
  <si>
    <r>
      <t xml:space="preserve">3 - Fret aérien </t>
    </r>
    <r>
      <rPr>
        <b/>
        <sz val="10"/>
        <color rgb="FFC00000"/>
        <rFont val="Arial"/>
        <family val="2"/>
      </rPr>
      <t>sortant</t>
    </r>
    <r>
      <rPr>
        <b/>
        <sz val="10"/>
        <rFont val="Arial"/>
        <family val="2"/>
      </rPr>
      <t xml:space="preserve"> tonnes.km</t>
    </r>
  </si>
  <si>
    <t>Émissions réduites du recyclage de vos déchets</t>
  </si>
  <si>
    <t>Récapitulatif par catégorie pour extraction ISO 14064-1 révisée à paraître en 2018</t>
  </si>
  <si>
    <t>Froid</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</si>
  <si>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suite à votre action, ne génèrera pas. 
Nous vous conseillons de classer vos déchets comme "fin de vie stockage" si vous les recyclez. Pour les déchets organiques, indiquez "0" pour les fuites (colonne J).</t>
    </r>
  </si>
  <si>
    <t>du FE</t>
  </si>
  <si>
    <t>technique (optique et électronique) recyclé</t>
  </si>
  <si>
    <t>Décrivez ce que votre organisation considère être une vision de court, moyen et long terme</t>
  </si>
  <si>
    <t>Un processus spécifique d'identification, d'évaluation et de gestion des risques liés aux enjeux climat.</t>
  </si>
  <si>
    <t>Intégrés dans les processus mutidisciplinaires et globaux d'identification, d'évaluation et de gestion des risques.</t>
  </si>
  <si>
    <t>Il n'y a aucun processus documenté pour identifier, évaluer et gérer les enjeux climat.</t>
  </si>
  <si>
    <t>Décrivez où et comment les risques et opportunités identifiés ont changé votre business.</t>
  </si>
  <si>
    <t>Décrivez où et comment les risques et opportunités identifiés ont influencé votre planning financier.</t>
  </si>
  <si>
    <t>Commentaires</t>
  </si>
  <si>
    <t>éléments moteurs
Cf questionnaire</t>
  </si>
  <si>
    <t>Expliquez l'impact financier (max 1000 caractères)</t>
  </si>
  <si>
    <t>Expliquez la méthode de gestion  (max 1000 caractères)</t>
  </si>
  <si>
    <t>Expliquez la stratégie pour réaliser l'opportunité  (max 1000 caractères)</t>
  </si>
  <si>
    <t>3.1 Est-ce que les enjeux climat sont intégrés dans votre stratégie commerciale ? (choisir dans la case ci-dessous)</t>
  </si>
  <si>
    <t>4.2 Autres objectifs</t>
  </si>
  <si>
    <t>4.3 Avez-vous des actions de réduction des émissions en cours lors de l'année de reporting (Inclure ici les actions dans leur phase de planification et d'implémentation) ? (choisir dans la case ci-dessous)</t>
  </si>
  <si>
    <t>4.4 Question sectorielle</t>
  </si>
  <si>
    <t>Reportez vous ici aux questions sectorielles suivantes : C-AC4.4 ; C-FB4.4 ; C-PF4.4</t>
  </si>
  <si>
    <t>2.2 Sélectionnez les options qui reflètent le mieux comment les processus d'identification, d'évaluation et de gestion des enjeux climatiques sont intégrés dans votre gestion globale des risques.</t>
  </si>
  <si>
    <t>1.3 Y a-t-il des incitations à traiter des enjeux du changement climatique ?</t>
  </si>
  <si>
    <t>0.5 Périmètre de reporting</t>
  </si>
  <si>
    <t>0.4 Monnaie</t>
  </si>
  <si>
    <t>0.3 Liste des pays</t>
  </si>
  <si>
    <t>0.2 Année de reporting</t>
  </si>
  <si>
    <t>2.1 Court, moyen et long terme</t>
  </si>
  <si>
    <t>2.3 Avez-vous identifié des risques inhérents liés au changement climatique qui pourraient affecter substantiellement vos finances ou votre stratégie ?</t>
  </si>
  <si>
    <t>2.4 Avez-vous identifié des opportunités liées au climat pouvant affecter substantiellement vos finances ou votre stratégie ?</t>
  </si>
  <si>
    <t>2.5 Influence stratégique des risques et opportunités</t>
  </si>
  <si>
    <t>2.6 Influence financière des risques et opportunités</t>
  </si>
  <si>
    <t>cf étape 4 de la démarche Bilan Carbone® : déterminer la vision de transition bas carbone de votre organisation</t>
  </si>
  <si>
    <t>Liste 4.1a (2018) - scopes</t>
  </si>
  <si>
    <t>Scope 2 (location-based)</t>
  </si>
  <si>
    <t>Scope 2 (market-based)</t>
  </si>
  <si>
    <t>Scope 1+2 (location based)</t>
  </si>
  <si>
    <t>Scope 1+2 (market-based)</t>
  </si>
  <si>
    <t>Scope 1+2 (location-based) +3 (aval)</t>
  </si>
  <si>
    <t>Scope 1+2 (location-based) +3 (amont)</t>
  </si>
  <si>
    <t>Scope 1+2 (market-based) +3 (aval)</t>
  </si>
  <si>
    <t>Scope 1+2 (market-based) +3 (amont)</t>
  </si>
  <si>
    <t>Scope 3 (amont)</t>
  </si>
  <si>
    <t>Scope 3 (aval)</t>
  </si>
  <si>
    <t>Scope 3 (amont &amp; aval)</t>
  </si>
  <si>
    <t>Scope 1+2 (location-based) +3 (amont &amp; aval)</t>
  </si>
  <si>
    <t>Scope 1+2 (market-based) +3 (amont &amp; aval)</t>
  </si>
  <si>
    <t>Scope 3 Achats de biens et services</t>
  </si>
  <si>
    <t>Scope 3 Immobilisations</t>
  </si>
  <si>
    <t>Scope 3 Carburant et activité énergétiques (hors scope 1&amp;2)</t>
  </si>
  <si>
    <t>Scope 3 Transport et distribution amont</t>
  </si>
  <si>
    <t>Scope 3 Déchets</t>
  </si>
  <si>
    <t>Scope 3 Déplacements professionnels</t>
  </si>
  <si>
    <t>Scope 3 Déplacements foyer - travail</t>
  </si>
  <si>
    <t>Scope 3 Locations amont</t>
  </si>
  <si>
    <t>Scope 3 Investissements</t>
  </si>
  <si>
    <t>Scope 3 Transport et distribution aval</t>
  </si>
  <si>
    <t>Scope 3 Utilisation des produits vendus</t>
  </si>
  <si>
    <t>Scope 3 Fin de vie des produits vendus</t>
  </si>
  <si>
    <t>Scope 3 Transformation des produits vendus</t>
  </si>
  <si>
    <t>Scope 3 Locations aval</t>
  </si>
  <si>
    <t>Scope 3 Franchises</t>
  </si>
  <si>
    <t>Autre, merci de préciser.</t>
  </si>
  <si>
    <t>année de référence : ?</t>
  </si>
  <si>
    <t>année de début de l'action de réduction : ?</t>
  </si>
  <si>
    <t>émissions de l'année de référence concernées par l'objectif (tonnes de CO2e) : ?</t>
  </si>
  <si>
    <t>année cible : ?</t>
  </si>
  <si>
    <t>% des émissions du périmètre : ?</t>
  </si>
  <si>
    <t>% de réduction par rapport à l'année de référence : ?</t>
  </si>
  <si>
    <t>Liste 4.1a (2018) - SBT ?</t>
  </si>
  <si>
    <t>Oui, cet objectif a été approuvé en tant que science-based par l'initiative SBT</t>
  </si>
  <si>
    <t>Oui, nous considérons que cet objectif est science-based mais il n'a pas été approuvé par l'initiative SBT</t>
  </si>
  <si>
    <t>Non, mais nous déclarons un autre objectif qui lui est science-based</t>
  </si>
  <si>
    <t>Non, mais nous prévoyons de le déclarer dans les deux prochaines années</t>
  </si>
  <si>
    <t>Non, et nous ne prévoyons pas de le déclarer dans les deux prochaines années</t>
  </si>
  <si>
    <t>% de réduction des émissions atteint : ?</t>
  </si>
  <si>
    <t>Expliquez</t>
  </si>
  <si>
    <t>Liste 4.1b (2018) - Métrique</t>
  </si>
  <si>
    <t>tonnes de CO2e / valeur ajoutée</t>
  </si>
  <si>
    <t>tonnes de CO2e / mètres carrés</t>
  </si>
  <si>
    <t>tonnes de CO2e / tonnes d'aluminium</t>
  </si>
  <si>
    <t>tonnes de CO2e / tonnes d'acier</t>
  </si>
  <si>
    <t>tonnes de CO2e / tonnes de ciment</t>
  </si>
  <si>
    <t>tonnes de CO2e / tonnes de carton</t>
  </si>
  <si>
    <t>grammes de CO2e / km</t>
  </si>
  <si>
    <t>grammes de CO2e / revenus-passager.km</t>
  </si>
  <si>
    <t>tonnes de CO2e / revenu par unité</t>
  </si>
  <si>
    <t>tonnes de CO2e / heures travaillées</t>
  </si>
  <si>
    <t>tonnes de CO2e / ETP</t>
  </si>
  <si>
    <t>tonnes de CO2e / tonnes de produits</t>
  </si>
  <si>
    <t>tonnes de CO2e / litres de produits</t>
  </si>
  <si>
    <t>tonnes de CO2e / unités de production</t>
  </si>
  <si>
    <t>tonnes de CO2e / unités de service</t>
  </si>
  <si>
    <t>tonnes de CO2e / pied carré</t>
  </si>
  <si>
    <t>tonnes de CO2e / km</t>
  </si>
  <si>
    <t>tonnes de CO2e / passager.km</t>
  </si>
  <si>
    <t>tonnes de CO2e / MWh</t>
  </si>
  <si>
    <t>tonnes de CO2e / baril d'équivalent pétrole</t>
  </si>
  <si>
    <t>tonnes de CO2e / véhicule produit</t>
  </si>
  <si>
    <t>tonnes de CO2e / tonne d'or traitée</t>
  </si>
  <si>
    <t>tonnes de CO2e / once d'or</t>
  </si>
  <si>
    <t>tonnes de CO2e / once de platine</t>
  </si>
  <si>
    <t>tonnes de CO2e / tonne de granulat</t>
  </si>
  <si>
    <t>tonnes de CO2e / milliards de $ en fonds gérés</t>
  </si>
  <si>
    <t>% de réduction anticipé en émissions Scope 3 absolues : ?</t>
  </si>
  <si>
    <t>% de réduction anticipé en émissions Scope 1+2 absolues : ?</t>
  </si>
  <si>
    <t xml:space="preserve"> Donnez des détails quant aux autres objectifs liés aux enjeux climat non abordés dans la question 4.1 en utilisant les options des colonnes E à O. Insérez autant de lignes que nécessaire.</t>
  </si>
  <si>
    <t>Liste 4.2 (2018) - Cibles</t>
  </si>
  <si>
    <t>consommation d'énergies renouvelables</t>
  </si>
  <si>
    <t>productivité énergétique</t>
  </si>
  <si>
    <t>production d'énergies renouvelables</t>
  </si>
  <si>
    <t>carburant renouvelable</t>
  </si>
  <si>
    <t>déchets</t>
  </si>
  <si>
    <t>véhicule zero ou bas carbone</t>
  </si>
  <si>
    <t>utilisation de l'énergie</t>
  </si>
  <si>
    <t>utilisation des terres</t>
  </si>
  <si>
    <t>objectif de réduction d'émissions de méthane</t>
  </si>
  <si>
    <t>engagement avec ses fournisseurs</t>
  </si>
  <si>
    <t>investissements R&amp;D</t>
  </si>
  <si>
    <t>KPI - numérateur : ?</t>
  </si>
  <si>
    <t>KPI - dénominateur (objectifs en termes d'intensité seulement) : ?</t>
  </si>
  <si>
    <t>année de début de l'action de réduction prévue : ?</t>
  </si>
  <si>
    <t>KPI de l'année de référence : ?</t>
  </si>
  <si>
    <t>KPI de l'année cible : ?</t>
  </si>
  <si>
    <t>% accomplis à l'année de reporting : ?</t>
  </si>
  <si>
    <t>Part des émissions ciblées ?</t>
  </si>
  <si>
    <t>Cet objectif fait-il partie d'une initiative globale ?</t>
  </si>
  <si>
    <t>Liste 4.3b - Initatives de réduction</t>
  </si>
  <si>
    <t>efficacité énergétique - structure du bâtiment</t>
  </si>
  <si>
    <t>efficacité énergétique - bâtiment de services</t>
  </si>
  <si>
    <t>efficacité énergétique - processus</t>
  </si>
  <si>
    <t>réduction des émissions fugitives</t>
  </si>
  <si>
    <t>achat d'énergie bas carbone</t>
  </si>
  <si>
    <t>installation d'énergie bas carbone</t>
  </si>
  <si>
    <t>réduction des émissions des processus</t>
  </si>
  <si>
    <t>Liste 4.3b - description de l'activité</t>
  </si>
  <si>
    <t>programme de maintenance</t>
  </si>
  <si>
    <t>isolation</t>
  </si>
  <si>
    <t>autre, merci de préciser.</t>
  </si>
  <si>
    <t>contrôle des bâtiments</t>
  </si>
  <si>
    <t>Heating, Ventilation and Air-Conditioning</t>
  </si>
  <si>
    <t>éclairage</t>
  </si>
  <si>
    <t>Moteurs</t>
  </si>
  <si>
    <t>Chaleur et puissance</t>
  </si>
  <si>
    <t>Autre, merci de préciser</t>
  </si>
  <si>
    <t>Récupération de la chaleur</t>
  </si>
  <si>
    <t>Technologie de refroidissement</t>
  </si>
  <si>
    <t>Réfrigération</t>
  </si>
  <si>
    <t>optimisation du processus</t>
  </si>
  <si>
    <t>changement de combustible</t>
  </si>
  <si>
    <t>air comprimé</t>
  </si>
  <si>
    <t>Chaleur &amp; puissance</t>
  </si>
  <si>
    <t>traitement des eaux usées</t>
  </si>
  <si>
    <t>réutilisation de l'eau</t>
  </si>
  <si>
    <t>réutilisation de la vapeur</t>
  </si>
  <si>
    <t>remplacement des machines</t>
  </si>
  <si>
    <t>Réduction du N2O agricole</t>
  </si>
  <si>
    <t>Captage du méthane agricole</t>
  </si>
  <si>
    <t>Captage du méthane en décharge</t>
  </si>
  <si>
    <t>Prévention ou capture des fuites de pétrole ou gaz naturel</t>
  </si>
  <si>
    <t>réduction des fuites de gaz réfrigérant</t>
  </si>
  <si>
    <t>Biomasse</t>
  </si>
  <si>
    <t>Biogaz</t>
  </si>
  <si>
    <t>Cellules à combustible</t>
  </si>
  <si>
    <t>Géothermie</t>
  </si>
  <si>
    <t>Hydro</t>
  </si>
  <si>
    <t>Eau chaud solaire</t>
  </si>
  <si>
    <t>Photovoltaïque</t>
  </si>
  <si>
    <t>Photovoltaïque à concentration</t>
  </si>
  <si>
    <t>Nucléaire</t>
  </si>
  <si>
    <t>Captage et Stockage de carbone</t>
  </si>
  <si>
    <t>Nouveaux équipements</t>
  </si>
  <si>
    <t>Changement de marché</t>
  </si>
  <si>
    <t>Sélection des matériaux</t>
  </si>
  <si>
    <t>Eau utilisée</t>
  </si>
  <si>
    <t>Choix 4.3b - description de l'activité</t>
  </si>
  <si>
    <t>Réductions d'émissions estimées par an (CO2e) ?</t>
  </si>
  <si>
    <t>Périmètre ?</t>
  </si>
  <si>
    <t>Volontaire ou réglementaire ?</t>
  </si>
  <si>
    <t>investissements requis ?</t>
  </si>
  <si>
    <t>Retour sur investissement ?</t>
  </si>
  <si>
    <t>Liste 4.3b - retour sur investissement</t>
  </si>
  <si>
    <t>&lt;1 an</t>
  </si>
  <si>
    <t>1-2 ans</t>
  </si>
  <si>
    <t>1-3 ans</t>
  </si>
  <si>
    <t>4-10 ans</t>
  </si>
  <si>
    <t>11-15 ans</t>
  </si>
  <si>
    <t>16-20 ans</t>
  </si>
  <si>
    <t>21-25 ans</t>
  </si>
  <si>
    <t>&gt;25 ans</t>
  </si>
  <si>
    <t>Liste 4.3b - durée de vie de l'initiative</t>
  </si>
  <si>
    <t>3-5 ans</t>
  </si>
  <si>
    <t>6-10 ans</t>
  </si>
  <si>
    <t>21-30 ans</t>
  </si>
  <si>
    <t>&gt;30 ans</t>
  </si>
  <si>
    <t>Constante</t>
  </si>
  <si>
    <t>Durée de vie de l'initiative?</t>
  </si>
  <si>
    <t>5.1 Année de référence</t>
  </si>
  <si>
    <t>Détaillez votre année de référence et les émissions scope 1-2 de l'année de référence</t>
  </si>
  <si>
    <t>5.2 Méthode de comptabilisation</t>
  </si>
  <si>
    <t>Choisissez le nom du standard, protocole ou méthodologie utilisée pour collecter les données d'activité et calculer les émissions scope 1&amp;2</t>
  </si>
  <si>
    <t>Le Bilan Carbone version 8</t>
  </si>
  <si>
    <t>6.1 émissions scope 1</t>
  </si>
  <si>
    <t>Liste 6.2 - scope 2 (maché) ou (localisation)</t>
  </si>
  <si>
    <t>Choix du scope 2 (localisation)</t>
  </si>
  <si>
    <t>Choix du scope 2 (marché)</t>
  </si>
  <si>
    <t>Impossible de choisir le scope 2 (marché) car aucun accès aux facteurs d'émissions électricité</t>
  </si>
  <si>
    <t>Impossible de choisir le scope 2 (marché) mais accès aux facteurs d'émissions électricité</t>
  </si>
  <si>
    <t>6.2 émissions scope 2 - méthode</t>
  </si>
  <si>
    <t>6.3 émissions scope 2 - tonnes de CO2e</t>
  </si>
  <si>
    <t>Quelles sont les émissions scope 2 de votre organisation ?</t>
  </si>
  <si>
    <t>Quelles sont les émissions scope 1 de votre organisation ?</t>
  </si>
  <si>
    <t>Décrivez les émissions scope 2 de votre organisation (choisir une réponse en colonne E-H).</t>
  </si>
  <si>
    <t>6.4 Y a-t-il des postes scope 1 &amp; 2 inclus dans votre périmètremais qui ne sont pas pris en compte dans ces valeurs ? (choix ci-dessous)</t>
  </si>
  <si>
    <t>6.5 émissions scope 3</t>
  </si>
  <si>
    <t>Reportez vous au tableau en haut de cet onglet pour obtenir le détail des différents postes demandés par le CDP.</t>
  </si>
  <si>
    <t>6.6 questions sectorielles</t>
  </si>
  <si>
    <t>Reportez vous ici aux questions sectorielles suivantes : C-AC6.6 ; C-FB6.6 ; C-PF6.6</t>
  </si>
  <si>
    <t>6.7 Les émissions de CO2b sont elles significatives pour votre organisation ? (choix ci-dessous)</t>
  </si>
  <si>
    <t>6.8 &amp; 6.9 questions sectorielles</t>
  </si>
  <si>
    <t>Reportez vous ici aux questions sectorielles suivantes : C-AC6.8 &amp; 6.9 ; C-FB6.8 &amp; 6.9 ; C-PF6.8 &amp; 6.9</t>
  </si>
  <si>
    <t>6.10 émissions en intensité</t>
  </si>
  <si>
    <t>7.1 Est-ce que votre organisation émet d'autres gaz que du CO2 ? (choix ci-dessous)</t>
  </si>
  <si>
    <t xml:space="preserve"> Ventilez vos émissions Scope 1 par pays/régions</t>
  </si>
  <si>
    <t>7.3 Indiquez quelle ventilation vous pouvez fournir ci-dessous</t>
  </si>
  <si>
    <t>7.4 questions sectorielles</t>
  </si>
  <si>
    <t>Reportez vous ici aux questions sectorielles suivantes : C-CE7.4 ; C-CH7.4 ; C-CO7.4 ; C-EU7.4 ; C-MM7.4 ; C-OG7.4 ; C-ST7.4 ; C-TO7.4 ; C-TS7.4 ; C-AC7.4 ; C-FB7.4 ; C-PF7.4</t>
  </si>
  <si>
    <t>7.2 Ventilation géographique du scope 1</t>
  </si>
  <si>
    <t>7.5 Ventilation géographique du scope 2</t>
  </si>
  <si>
    <t>Ventilez vos émissions Scope 2 par pays/régions</t>
  </si>
  <si>
    <t>7.7 &amp; 7.8 questions sectorielles</t>
  </si>
  <si>
    <t>Reportez vous ici aux questions sectorielles suivantes : C-CE7.7 ; C-CH7.7 ; C-CO7.7 ; C-MM7.7 ; C-OG7.7 ; C-ST7.7 ; C-TO7.7 ; C-TS7.7 ; C-CH7.8 ; C-TO7.8</t>
  </si>
  <si>
    <t>7.9 Indiquez ci-dessous comment évoluent vos émissions scope 1&amp;2 entre votre année de référence et l'année observée ?</t>
  </si>
  <si>
    <t>1.1 Au sein de votre organisation, le conseil d'administration supervise-t-il la question climat ? Indiquez votre choix ci-dessous.</t>
  </si>
  <si>
    <t>Indiquez les instances, hiérarchiquement sous le conseil d'administration, s'occupant des enjeux climat</t>
  </si>
  <si>
    <t>1.2 Autres niveaux hiérarchiques</t>
  </si>
  <si>
    <t>7.6 Indiquez quelle ventilation vous pouvez fournir ci-dessous.</t>
  </si>
  <si>
    <t>8.1 Quel pourcentage des émissions totales de l'année observée était lié à l'énergie ?</t>
  </si>
  <si>
    <t>8.1 Poste énergie</t>
  </si>
  <si>
    <t>Liste 8.2 - activités liées à l'énergie</t>
  </si>
  <si>
    <t>Consommation de carburant (excluant matière première)</t>
  </si>
  <si>
    <t>Production d'électricité, chaleur, vapeur ou froid</t>
  </si>
  <si>
    <t>Consommation de froid acheté</t>
  </si>
  <si>
    <t>Consommation de vapeur achetée</t>
  </si>
  <si>
    <t>Consommation de chaleur achetée</t>
  </si>
  <si>
    <t>Consommation d'électricité achetée</t>
  </si>
  <si>
    <t>Aucune</t>
  </si>
  <si>
    <t>8.2 Choisissez dans la liste ci-dessous quelle activité liées à l'énergie votre organisation réalise-t-elle ? Vous pourrez en choisir plusieurs différentes dans le questionnaire en ligne de CDP.</t>
  </si>
  <si>
    <t>Choisissez le périmètre de comptabilisation de vos émissions. Votre réponse devrait être compatible avec vos consolidations scope 1&amp;2.</t>
  </si>
  <si>
    <t>Choisissez votre monnaie</t>
  </si>
  <si>
    <t>1.2a Décrivez la position hiérarchique de ces instances, leurs responsabilités, et leur gestion des enjeux climat</t>
  </si>
  <si>
    <t>Questionnaire CDP 2018 "Climat Change Information Request"</t>
  </si>
  <si>
    <t>Liste 2.2 (2018)</t>
  </si>
  <si>
    <t>Émissions réduites par le recyclage ou compostage de vos déchets</t>
  </si>
  <si>
    <t>éolien en mer</t>
  </si>
  <si>
    <t>éolien terrestre</t>
  </si>
  <si>
    <t>éolien terrestre, France continentale, Base Carbone</t>
  </si>
  <si>
    <t>2015 - usage : Autres (BTP. recherche. armée. etc.)</t>
  </si>
  <si>
    <t>2015 - usage : chauffage</t>
  </si>
  <si>
    <t>2015 - usage : Climatisation tertiaire</t>
  </si>
  <si>
    <t>2015 - usage : Cuisson résidentiel</t>
  </si>
  <si>
    <t>2015 - usage : Eau Chaude Sanitaire</t>
  </si>
  <si>
    <t>2015 - usage : Eclairage public</t>
  </si>
  <si>
    <t>2015 - usage : Eclairage résidentiel</t>
  </si>
  <si>
    <t>2015 - usage : Industrie base</t>
  </si>
  <si>
    <t>2015 - usage : Transports</t>
  </si>
  <si>
    <t>2016 - usage : Autres (BTP. recherche. armée. etc.)</t>
  </si>
  <si>
    <t>2016 - usage : chauffage</t>
  </si>
  <si>
    <t>2016 - usage : Climatisation tertiaire</t>
  </si>
  <si>
    <t>2016 - usage : Cuisson résidentiel</t>
  </si>
  <si>
    <t>2016 - usage : Eau Chaude Sanitaire</t>
  </si>
  <si>
    <t>2016 - usage : Eclairage public</t>
  </si>
  <si>
    <t>2016 - usage : Eclairage résidentiel</t>
  </si>
  <si>
    <t>2016 - usage : Industrie base</t>
  </si>
  <si>
    <t>2016 - usage : Transports</t>
  </si>
  <si>
    <t>2015 - mix moyen</t>
  </si>
  <si>
    <t>2016 - mix moyen</t>
  </si>
  <si>
    <t>Parking, aire de repos d'autoroute - béton armé</t>
  </si>
  <si>
    <t>Parking, aire de repos d'autoroute - bitume</t>
  </si>
  <si>
    <t>Parking, aire de repos d'autoroute - Semi rigide</t>
  </si>
  <si>
    <t>Parking, classique - béton armé</t>
  </si>
  <si>
    <t>Parking, classique - bitume</t>
  </si>
  <si>
    <t>Parking, classique - Semi rigide</t>
  </si>
  <si>
    <t>Voirie de type TC1 - béton armé</t>
  </si>
  <si>
    <t>Voirie de type TC1 - bitume</t>
  </si>
  <si>
    <t>Voirie de type TC1 - Semi rigide</t>
  </si>
  <si>
    <t>Voirie de type TC2 - béton armé</t>
  </si>
  <si>
    <t>Voirie de type TC2 - bitume</t>
  </si>
  <si>
    <t>Voirie de type TC2 - Semi rigide</t>
  </si>
  <si>
    <t>Voirie de type TC3 - béton armé</t>
  </si>
  <si>
    <t>Voirie de type TC3 - bitume</t>
  </si>
  <si>
    <t>Voirie de type TC3 - Semi rigide</t>
  </si>
  <si>
    <t>Voirie de type TC4 - béton armé</t>
  </si>
  <si>
    <t>Voirie de type TC4 - bitume</t>
  </si>
  <si>
    <t>Voirie de type TC4 - Semi rigide</t>
  </si>
  <si>
    <t>Voirie de type TC5 - béton armé</t>
  </si>
  <si>
    <t>Voirie de type TC5 - bitume</t>
  </si>
  <si>
    <t>Voirie de type TC5 - Semi rigide</t>
  </si>
  <si>
    <t>Voirie de type TC6 - béton armé</t>
  </si>
  <si>
    <t>Voirie de type TC6 - bitume</t>
  </si>
  <si>
    <t>Voirie de type TC6 - Semi rigide</t>
  </si>
  <si>
    <t>Voirie de type TC7 - béton armé</t>
  </si>
  <si>
    <t>Voirie de type TC7 - bitume</t>
  </si>
  <si>
    <t>Voirie de type TC7 - Semi rigide</t>
  </si>
  <si>
    <t>Parking, aire de repos d'autoroute - bitume, France continentale, Base Carbone</t>
  </si>
  <si>
    <t>Voirie de type TC6 - béton armé, France continentale, Base Carbone</t>
  </si>
  <si>
    <t>1, Saint-Denis-les-Bourg, Réseau de Saint-Denis-les-Bourg</t>
  </si>
  <si>
    <t>11, Narbonne, ZAC Saint Jean et Saint Pierre</t>
  </si>
  <si>
    <t>12, Decazeville, Réseau de Decazeville</t>
  </si>
  <si>
    <t>12, Onet-le-Château, Réseau de Cantagrelh</t>
  </si>
  <si>
    <t>12, Rodez, Réseau Sarrus</t>
  </si>
  <si>
    <t>13, Marseille, Luminy</t>
  </si>
  <si>
    <t>13, Salon de Provence, ZAC des Canourgues</t>
  </si>
  <si>
    <t>13, Vitrolles, Centre Urbain-Zac des Pins</t>
  </si>
  <si>
    <t>14, Caen, Quartier Nord</t>
  </si>
  <si>
    <t>14, Hérouville-Saint-Clair, Hérouville St Clair</t>
  </si>
  <si>
    <t>15, Saint-Flour, Réseau de chaleur bois du Volzac</t>
  </si>
  <si>
    <t>15, Saint-Georges, Réseau de chaleur bois du Crozatier</t>
  </si>
  <si>
    <t>16, Montemboeuf, Réseau de Montemboeuf</t>
  </si>
  <si>
    <t>16, Soyaux, Réseau Champ de manoeuvre</t>
  </si>
  <si>
    <t>17, Aytre, Réseau de Aytre</t>
  </si>
  <si>
    <t>17, La Rochelle, Villeneuve les Salines</t>
  </si>
  <si>
    <t>19, Egletons, Egletons Bois Energie</t>
  </si>
  <si>
    <t>19, Sornac, Réseau de Sornac</t>
  </si>
  <si>
    <t>2, Saint-Quentin, ZUP du Quartier Europe</t>
  </si>
  <si>
    <t>21, Dijon, Les Gresilles</t>
  </si>
  <si>
    <t>24, Douville, Réseau de Douville</t>
  </si>
  <si>
    <t>24, Saint-Astier, Réseau de Saint-Astier</t>
  </si>
  <si>
    <t>25, Besançon, Domaine Universitaire de la Bouloie</t>
  </si>
  <si>
    <t>25, Le Russey, Chaufferie Bois du Russey</t>
  </si>
  <si>
    <t>25, Pontarlier, Réseau de Pontarlier</t>
  </si>
  <si>
    <t>26, Valence, Réseau de la Zup de Valence</t>
  </si>
  <si>
    <t>26, Vassieux-en-Vercors, Réseau de Vassieux-en-Vercors</t>
  </si>
  <si>
    <t>27, Evreux, ZUP de Saint André-Thermevra</t>
  </si>
  <si>
    <t>27, Les Andelys, Tours du Levant Clos Galots</t>
  </si>
  <si>
    <t>28, Manvilliers, Tallemont</t>
  </si>
  <si>
    <t>28, Nogent Rotrou, Les Gauchetières</t>
  </si>
  <si>
    <t>31, Ayguevives, Réseau En Turet</t>
  </si>
  <si>
    <t>31, Balma, Eco-quartier Balma Vidailhan</t>
  </si>
  <si>
    <t>31, Toulouse, Canceropôle</t>
  </si>
  <si>
    <t>31, Toulouse, Ensemble Universitaire de Toulouse Rangueil</t>
  </si>
  <si>
    <t>31, Toulouse, Réseau Saint-Exupéry</t>
  </si>
  <si>
    <t>33, Bègles, Réseau de Terre Neuves</t>
  </si>
  <si>
    <t>33, Bordeaux, Grand Parc</t>
  </si>
  <si>
    <t>33, Bordeaux, Mériadeck</t>
  </si>
  <si>
    <t>33, La Réole, Réseau de la Réole</t>
  </si>
  <si>
    <t>33, Mérignac, Parc de Mérignac Ville Stemer</t>
  </si>
  <si>
    <t>34, Juvignac, ZAC des Constellations</t>
  </si>
  <si>
    <t>34, Montpellier, Port Marianne Odysseum</t>
  </si>
  <si>
    <t>34, Montpellier, Réseau Arches Jacques Coeur</t>
  </si>
  <si>
    <t>37, Tours, Quartier Chateaubriand</t>
  </si>
  <si>
    <t>38, Lans-en-Vercors, Réseau de Lans-en-Vercors</t>
  </si>
  <si>
    <t>38, Mens, Réseau de Mens</t>
  </si>
  <si>
    <t>38, Monestier-de-Clermont, Réseau de Monestier-de-Clermont</t>
  </si>
  <si>
    <t>38, Saint-Marcellin, Réseau de Saint Marcellin</t>
  </si>
  <si>
    <t>38, Villars-de-Lans, Les Laiches</t>
  </si>
  <si>
    <t>38, Vinay, Réseau de chaleur de Vinay</t>
  </si>
  <si>
    <t>39, Champvans, Réseau de Champvans</t>
  </si>
  <si>
    <t>40, Mont-de-Marsan, Géothermie Mont-de-Marsan (GMM1)</t>
  </si>
  <si>
    <t>42, Colombier, Réseau de Colombier</t>
  </si>
  <si>
    <t>42, Jonzieux, Réseau de Jonzieux</t>
  </si>
  <si>
    <t>42, La Terrasse-sur-Dorlay, Réseau de La Terrasse-sur-Dorlay</t>
  </si>
  <si>
    <t>42, Le Bessat, Réseau de Le Bessat</t>
  </si>
  <si>
    <t>42, Marlhes, Réseau de Marlhes</t>
  </si>
  <si>
    <t>42, Neulise, Réseau de Neulise</t>
  </si>
  <si>
    <t>42, Pelussin, Quartier Notre-Dame</t>
  </si>
  <si>
    <t>42, Planfoy, ZAC des Lucioles</t>
  </si>
  <si>
    <t>42, Roanne, Quartier Arsenal</t>
  </si>
  <si>
    <t>42, Roanne, Quartier de Mâtel</t>
  </si>
  <si>
    <t>42, Roanne, Quartier RN 7</t>
  </si>
  <si>
    <t>42, Roisey, Réseau de Roisey</t>
  </si>
  <si>
    <t>42, Saint Etienne, Réseau de Chaleur VIACONFORT</t>
  </si>
  <si>
    <t>42, Saint-Bonnet-le-Courreau, Réseau de Saint-Bonnet-le-Courreau</t>
  </si>
  <si>
    <t>42, Saint-Chamond, Scevia Quartier de Fonsala</t>
  </si>
  <si>
    <t>42, Saint-Christo-en-Jarez, Réseau de Saint-Christo-en-Jarez</t>
  </si>
  <si>
    <t>42, Saint-Cyr-de-Favières, Réseau de Saint-Cyr-de-Favières</t>
  </si>
  <si>
    <t>42, Saint-Didier-sur-Rochefort, Réseau de Saint-Didier-sur-Rochefort</t>
  </si>
  <si>
    <t>42, Saint-Étienne, ZUP de la Cotonne</t>
  </si>
  <si>
    <t>42, Saint-Haon-le-Châtel, Réseau de Saint-Haon-le-Châtel</t>
  </si>
  <si>
    <t>42, Saint-Joseph, Réseau de Saint-Joseph</t>
  </si>
  <si>
    <t>42, Saint-Martin-la-Sauveté, Réseau de Saint-Martin-la-Sauveté</t>
  </si>
  <si>
    <t>42, Saint-Maurice-en-Gourgois, Réseau de Saint-Maurice-en-Gourgois</t>
  </si>
  <si>
    <t>42, Saint-Régis-du-Coin, Réseau de Saint-Régis-du-Coin</t>
  </si>
  <si>
    <t>42, Saint-Symphorien-de-Lay, Réseau de Saint-Symphorien-de-Lay</t>
  </si>
  <si>
    <t>43, Dunières, Réseau de la Mairie</t>
  </si>
  <si>
    <t>43, Dunières, Réseau de la Piscine</t>
  </si>
  <si>
    <t>43, Pradelles, Réseau de Pradelles</t>
  </si>
  <si>
    <t>44, Châteaubriant, Réseau de Chateaubriant</t>
  </si>
  <si>
    <t>44, Nantes-Saint-Herblain, ZUP de Bellevue Saint Herblain</t>
  </si>
  <si>
    <t>44, Rezé, Réseau AFUL de Rezé-Château</t>
  </si>
  <si>
    <t>44, Saint-Julien-de-Concelles, Réseau de Saint-Julien-de-Concelles</t>
  </si>
  <si>
    <t>44, Sainte-Luce-sur-Loire, Réseau ZAC de la Minais</t>
  </si>
  <si>
    <t>45, Montargis, ZUP du grand clos</t>
  </si>
  <si>
    <t>45, Orléans, Quartier Centre Ville et Nord</t>
  </si>
  <si>
    <t>46, Cahors, Réseau de Cahors</t>
  </si>
  <si>
    <t>46, Lacapelle-Marival, Réseau de Lacapelle-Marival</t>
  </si>
  <si>
    <t>46, Les-Quatre-Routes-du-Lot, Réseau de Les-Quatre-Routes-du-Lot</t>
  </si>
  <si>
    <t>46, Livernon, Réseau de Livernon</t>
  </si>
  <si>
    <t>46, Thégra, Réseau de Thégra</t>
  </si>
  <si>
    <t>47, Le Passage, Novergie Sud Ouest-Sogad</t>
  </si>
  <si>
    <t>5, Embrun, Réseau Quartier Gare</t>
  </si>
  <si>
    <t>50, Le Teilleul, Régie de chauffage au bois</t>
  </si>
  <si>
    <t>51, Reims, Croix Rouge</t>
  </si>
  <si>
    <t>51, Reims, Réseau UIOM de Reims</t>
  </si>
  <si>
    <t>51, Vitry-le-François, Vitry Habitat</t>
  </si>
  <si>
    <t>52, Chaumont, Réseau de chaleur du sud de la ville de Chaumont</t>
  </si>
  <si>
    <t>56, Auray, Réseau de Gumenen</t>
  </si>
  <si>
    <t>56, Hennebont, Réseau de chaleur Zac Centre</t>
  </si>
  <si>
    <t>57, Creutzwald, Réseau de chauffage de Creutzwald</t>
  </si>
  <si>
    <t>57, Metz, Réseau de Metz</t>
  </si>
  <si>
    <t>57, Yutz, Réseau de la ville de Yutz</t>
  </si>
  <si>
    <t>58, Decize, Réseau de Decize</t>
  </si>
  <si>
    <t>59, Lambersart, Réseau de Lambersart</t>
  </si>
  <si>
    <t>59, Sains-du-Nord, Réseau de Sains-du-Nord</t>
  </si>
  <si>
    <t>59, Valenciennes, Les Canonniers</t>
  </si>
  <si>
    <t>6, Cannes, Ranguin</t>
  </si>
  <si>
    <t>6, Nice, Saint Augustin (HLM)</t>
  </si>
  <si>
    <t>60, Beauvais, Réseau du Quartier Saint-Jean</t>
  </si>
  <si>
    <t>60, Breteuil-sur-Noye, Réseau de Breteuil-sur-Noye</t>
  </si>
  <si>
    <t>61, Argentan, Quartier Nord-Route de Falaise</t>
  </si>
  <si>
    <t>62, Arques, Réseau de Arques</t>
  </si>
  <si>
    <t>62, Boulogne-sur-Mer, Réseau de Boulogne-sur-Mer</t>
  </si>
  <si>
    <t>62, Outreau, Le Portel-Outreau Dalkia</t>
  </si>
  <si>
    <t>62, Outreau, Le Portel-Outreau Engie</t>
  </si>
  <si>
    <t>63, Ambert, Le Coral</t>
  </si>
  <si>
    <t>63, Rochefort-Montagne, Réseau de Rochefort-Montagne</t>
  </si>
  <si>
    <t>65, Vic-en-Bigorre, Réseau de Vic-en-Bigorre</t>
  </si>
  <si>
    <t>67, Haguenau, Réseau Mars</t>
  </si>
  <si>
    <t>67, Lingolsheim, Réseau des Tanneries-Bohrie</t>
  </si>
  <si>
    <t>67, Morsbronn-les-Bains, Réseau de la Communauté de Communes Sauer Pechelbronn</t>
  </si>
  <si>
    <t>67, Niederbronn-les-Bains, Réseau de Niederbronn-les-Bains</t>
  </si>
  <si>
    <t>67, Schiltigheim, Le Ried</t>
  </si>
  <si>
    <t>67, Strasbourg, Eco-Quartier Brasserie Cronenbourg</t>
  </si>
  <si>
    <t>67, Strasbourg, Hochfelden</t>
  </si>
  <si>
    <t>68, Mulhouse, Porte de Bâle</t>
  </si>
  <si>
    <t>68, Saint-Louis, Réseau de la Ville de Saint-Louis</t>
  </si>
  <si>
    <t>69, La Tour-de-Salvagny, Réseau de La Tour-de-Salvagny</t>
  </si>
  <si>
    <t>69, Lamure-sur-Azergues, Réseau de Lamure-sur-Azergues</t>
  </si>
  <si>
    <t>69, Lyon, Z. H Champvert</t>
  </si>
  <si>
    <t>69, Sathonay-Camp, Réseau de Sathonay-Camp</t>
  </si>
  <si>
    <t>69, Villefranche-sur-Saone, Réseau UIOM Villefranche</t>
  </si>
  <si>
    <t>70, Dampierre-sur-Linotte, Réseau de Dampierre-sur-Linotte</t>
  </si>
  <si>
    <t>70, Plancher-Bas, Réseau de Plancher-Bas</t>
  </si>
  <si>
    <t>71, Montceau-les-Mines, Réseau de Montceau les mines</t>
  </si>
  <si>
    <t>73, Beaufort, Réseau de Beaufort</t>
  </si>
  <si>
    <t>73, Gilly-sur-Isère, Réseau de Gilly-sur-Isère</t>
  </si>
  <si>
    <t>73, La Bauche, Réseau de la Bauche</t>
  </si>
  <si>
    <t>73, Yenne, Réseau de Yenne</t>
  </si>
  <si>
    <t>74, Annemasse, Bois Energies Annemasse</t>
  </si>
  <si>
    <t>74, Clarafond-Arcine, Réseau de Clarafond-la-Presles</t>
  </si>
  <si>
    <t>74, Vallorcine, Réseau de Vallorcine</t>
  </si>
  <si>
    <t>76, Maromme, Réseau de Maromme</t>
  </si>
  <si>
    <t>76, Neufchatel-en-Bray, Réseau de Neufchatel-en-Bray</t>
  </si>
  <si>
    <t>76, Notre-Dame-de-Gravenchon, SRGB</t>
  </si>
  <si>
    <t>77, Torcy, Réseau de Marne la Vallée</t>
  </si>
  <si>
    <t>8, Machault, Réseau bois de Machault</t>
  </si>
  <si>
    <t>81, Castres, Réseau de Castres Lameilhé</t>
  </si>
  <si>
    <t>81, Gaillac, Réseau de Gaillac-ZAC de Pouille</t>
  </si>
  <si>
    <t>81, Graulhet, Réseau de Graulhet</t>
  </si>
  <si>
    <t>83, La-Seyne-sur-Mer, Berthe</t>
  </si>
  <si>
    <t>85, La-Roche-sur-Yon, Quartier Vendée</t>
  </si>
  <si>
    <t>85, Saint-Pierre-du-Chemin, Réseau de Saint-Pierre-du-Chemin</t>
  </si>
  <si>
    <t>86, Civaux, Réseau de Civaux</t>
  </si>
  <si>
    <t>89, Auxerre, ZUP de Sainte Geneviève</t>
  </si>
  <si>
    <t>91, Brétigny-sur-orge, Réseau de Brétigny-sur-Orge</t>
  </si>
  <si>
    <t>91, Bruyères-le-Chatel, CEA DIF</t>
  </si>
  <si>
    <t>91, Saint-Michel-Sur-Orge, Domaine du Bois des Roches</t>
  </si>
  <si>
    <t>91, Viry-Châtillon, Réseau de Viry Châtillon</t>
  </si>
  <si>
    <t>92, Boulogne-Billancourt, ZAC île Séguin Rives de Seine</t>
  </si>
  <si>
    <t>92, Châtillon-Sous-Bagneux, Réseau de Châtillon sous Bagneux Cocharec</t>
  </si>
  <si>
    <t>92, Colombes, Réseau de la ZAC de la Marine</t>
  </si>
  <si>
    <t>92, Meudon la Forêt, Réseau de Meudon</t>
  </si>
  <si>
    <t>92, Nanterre, Réseau Quartier Hoche</t>
  </si>
  <si>
    <t>92, Nanterre, ZAC Sainte-Geneviève</t>
  </si>
  <si>
    <t>93, Le Bourget, Réseau ADP Le Bouget</t>
  </si>
  <si>
    <t>94, Champigny-sur-Marne, Réseau de Champigny sur Marne</t>
  </si>
  <si>
    <t>94, Limeil-Brévannes, Réseau de Limeil-Brévannes</t>
  </si>
  <si>
    <t>94, Sucy-en-Brie, Réseau de Sucy en Brie</t>
  </si>
  <si>
    <t>95, Cergy Pontoise, Réseau de Cergy-Pontoise</t>
  </si>
  <si>
    <t>95, Garges-Les-Gonesse, Van Gogh</t>
  </si>
  <si>
    <t>95, Sarcelles, Grand Ensemble Sarcelles-Locheres</t>
  </si>
  <si>
    <t>33, Le Barp, Laseris</t>
  </si>
  <si>
    <t>42, Saint Etienne, Réseau de froid VIACONFORT</t>
  </si>
  <si>
    <t>92, Levallois-Perret, Réseau Cristalia</t>
  </si>
  <si>
    <t>1, Bourg-en-Bresse, La Reyssouze, France continentale, Base Carbone</t>
  </si>
  <si>
    <t>95, Roissy, Réseaux ADP Roissy, France continentale, Base Carbone</t>
  </si>
  <si>
    <t>31, Toulouse, Canceropôle, France continentale, Base Carbone</t>
  </si>
  <si>
    <t>47, Le Passage, Novergie Sud Ouest-Sogad, France continentale, Base Carbone</t>
  </si>
  <si>
    <t>95, Roissy, Réseau ADP Roissy, France continentale, Base Carbone</t>
  </si>
  <si>
    <t>9.1 Autres indicateurs</t>
  </si>
  <si>
    <t>9.1 Indiquez tout autre indicateur climat pertinent vis-à-vis de votre business</t>
  </si>
  <si>
    <t>10.1 Indiquez le statut de vérification s'appliquant à vos émissions</t>
  </si>
  <si>
    <t>Liste 10.1 - statut de vérification</t>
  </si>
  <si>
    <t>Aucune émission déclarée</t>
  </si>
  <si>
    <t>Aucune vérification tierce-partite</t>
  </si>
  <si>
    <t>Vérification tierce-partite pour le scope 1 et/ou le scope 2</t>
  </si>
  <si>
    <t>Vérification tierce-partite uniquement pour le scope 3</t>
  </si>
  <si>
    <t>Vérification tierce-partite pour les scopes 1/2/3</t>
  </si>
  <si>
    <t>10.2 Faites vous auditer d'autres informations dans votre publication au CDP que les émissions figurant aux questions 6.1, 6.3 et 6.5 ?</t>
  </si>
  <si>
    <t>11.1 Est-ce que l'une de vos activités est régulée par un système de prix du carbone (ex : ETS, Cap &amp; Trade ou Taxe Carbone) ?</t>
  </si>
  <si>
    <t>11.2 Est-ce que votre organisation a émis ou a acheté des crédits carbone durant la période observée ?</t>
  </si>
  <si>
    <t>11.3 Est-ce que votre organisation dispose d'un prix interne du carbone ?</t>
  </si>
  <si>
    <t>12.1 Travaillez vous avec votre chaîne de valeur sur les enjeux climat ?</t>
  </si>
  <si>
    <t>Sélectionnez les acteurs avec lesquels vous travaillez sur les enjeux climat :</t>
  </si>
  <si>
    <t>Fournisseurs</t>
  </si>
  <si>
    <t>Clients</t>
  </si>
  <si>
    <t>Autres partenaires</t>
  </si>
  <si>
    <t>12.3 Travaillez vous sur des projets pouvants directement ou indirectement affecter des politiques publiques ?</t>
  </si>
  <si>
    <t>Sélectionnez les acteurs avec lesquels vous influencez les politiques publiques :</t>
  </si>
  <si>
    <t>Décideurs politiques</t>
  </si>
  <si>
    <t>Association professionnelle</t>
  </si>
  <si>
    <t>Financeurs de la recherche</t>
  </si>
  <si>
    <t>Autres ?</t>
  </si>
  <si>
    <t>12.4 Avez-vous publié des informations concernant la réponse de votre organisation au changement climatique et la performance GES durant cette année, ailleurs que sur le CDP ?</t>
  </si>
  <si>
    <t>13 Autres impacts sur la gestion des terres</t>
  </si>
  <si>
    <t>Reportez vous ici aux questions sectorielles si vous êtes du secteur "Produits agricoles", "Nourriture, boissons et tabac", "Papier et foresterie".</t>
  </si>
  <si>
    <t>14 Derniers détails</t>
  </si>
  <si>
    <t>Vous pouvez indiquer ici des éléments à destination de la personne en charge</t>
  </si>
  <si>
    <t>4.1 Aviez vous un objectif de réduction d'émissions en cours sur l'année de reporting ?
(choisir dans la case ci-dessous)</t>
  </si>
  <si>
    <t>4.5 Qualifiez vous au moins un de vos produits ou de vos services de "produits bas carbone" ou permettent-ils à une tierce partie d'éviter des émissions de GES ?
(choisir dans la case ci-dessous)</t>
  </si>
  <si>
    <t>cf étape 3 de la démarche Bilan Carbone® : déterminer les risques et opportunités de transition</t>
  </si>
  <si>
    <t>cf étape 4 de la démarche Bilan Carbone® : bâtir une vision de transition bas carbone</t>
  </si>
  <si>
    <t>cf étape 4 de la démarche Bilan Carbone® : construire &amp; suivre un plan d'actions</t>
  </si>
  <si>
    <t>cf étape 3 de la démarche Bilan Carbone® : réaliser un profil d'émissions personnalisé</t>
  </si>
  <si>
    <t>cf étape 3 de la démarche Bilan Carbone® : aidez vous de la cartographie des flux !</t>
  </si>
  <si>
    <t>cf étape 3 de la démarche Bilan Carbone® : exploitez les données en leur donnant du sens grâce à des ratios bien choisis.</t>
  </si>
  <si>
    <t>cf étape 5 de la démarche Bilan Carbone® : appuyez vous sur les rapports et autres documents archivés pour comprendre les évolutions de vos émissions.</t>
  </si>
  <si>
    <t>cf étape 4 de la démarche Bilan Carbone® : la définition d'indicateurs pertinents est la base d'un plan d'actions efficace.</t>
  </si>
  <si>
    <t>cf étape 1 de la démarche Bilan Carbone® : vous avez identifié les obligations et engagements de votre organisation pour définir vos objectifs.</t>
  </si>
  <si>
    <t>cf étape 4 de la démarche Bilan Carbone® : un prix interne du carbone est un bon moyen de sensibiliser les collaborateurs et d'orienter vers des produits bas-carbone.</t>
  </si>
  <si>
    <t>Guadeloupe, Martinique, Guyane, Corse</t>
  </si>
  <si>
    <t>Nouvelle Calédonie</t>
  </si>
  <si>
    <t>Gaz naturel - 2015 (mix moyen consommation)</t>
  </si>
  <si>
    <t>Polynésie Française - hors Tahiti</t>
  </si>
  <si>
    <t>kgCO2e/personne.mois</t>
  </si>
  <si>
    <t>Régime alimentaire "classique"</t>
  </si>
  <si>
    <t>Régime alimentaire "flexitarien"</t>
  </si>
  <si>
    <t>Régime alimentaire "classique", France continentale, Base Carbone</t>
  </si>
  <si>
    <t>Granulat</t>
  </si>
  <si>
    <t>Granulat (recyclé)</t>
  </si>
  <si>
    <t>sortie carrière</t>
  </si>
  <si>
    <t>Pâte à papier (moyen)</t>
  </si>
  <si>
    <t>Verre neuf, France continentale, Base Carbone</t>
  </si>
  <si>
    <t>Verre recyclé, France continentale, Base Carbone</t>
  </si>
  <si>
    <r>
      <rPr>
        <b/>
        <sz val="9"/>
        <rFont val="Geneva"/>
      </rPr>
      <t>Cette page est basée sur le document téléchargeable sur : https://www.cdp.net/en/guidance/guidance-for-companies</t>
    </r>
    <r>
      <rPr>
        <sz val="9"/>
        <rFont val="Geneva"/>
      </rPr>
      <t xml:space="preserve">. 
De nombreuses questions sont qualitatives et ne peuvent être automatiquement complétées via le tableur : dans ce cas, un rappel de l'étape de la démarche Bilan Carbone qui vous sera la plus utile est proposé.
Plusieurs questions auront en ligne des options de réponse que nous ne pouvons pas reprendre ici. Les questions ont été traduites en français pour faciliter l'usage du document.
</t>
    </r>
    <r>
      <rPr>
        <b/>
        <sz val="9"/>
        <rFont val="Geneva"/>
      </rPr>
      <t>Ce questionnaire n'est pas complet pour certains secteurs, qui sont ciblés par des modules plus spécifiques : les questions sectorielles sont identifiées directement plus bas dans l'onglet.</t>
    </r>
  </si>
  <si>
    <t>Guadeloupe hors COM</t>
  </si>
  <si>
    <t>Gaz de haut fourneau, France continentale, Base Carbone</t>
  </si>
  <si>
    <t>Granulat, sortie carrière</t>
  </si>
  <si>
    <t>Granulat (recyclés), sortie carrière</t>
  </si>
  <si>
    <t>Granulat, sortie carrière, France continentale, Base Carbone</t>
  </si>
  <si>
    <t>Granulat (recyclés), sortie carrière, France continentale, Base Carbone</t>
  </si>
  <si>
    <t>Enrobé, tiède, France continentale, Base Carbone</t>
  </si>
  <si>
    <t>2017 - usage : Industrie base</t>
  </si>
  <si>
    <t>2017 - usage : Autres (BTP. recherche. armée. etc.)</t>
  </si>
  <si>
    <t>2018 - usage : Autres (BTP. recherche. armée. etc.)</t>
  </si>
  <si>
    <t>2017 - usage : chauffage</t>
  </si>
  <si>
    <t>2017 - usage : Climatisation tertiaire</t>
  </si>
  <si>
    <t>2017 - usage : Cuisson résidentiel</t>
  </si>
  <si>
    <t>2017 - usage : Eau Chaude Sanitaire</t>
  </si>
  <si>
    <t>2017 - usage : Eclairage public</t>
  </si>
  <si>
    <t>2017 - usage : Eclairage résidentiel</t>
  </si>
  <si>
    <t>2017 - usage : Transports</t>
  </si>
  <si>
    <t>2018 - usage : chauffage</t>
  </si>
  <si>
    <t>2018 - usage : Climatisation tertiaire</t>
  </si>
  <si>
    <t>2018 - usage : Cuisson résidentiel</t>
  </si>
  <si>
    <t>2018 - usage : Eau Chaude Sanitaire</t>
  </si>
  <si>
    <t>2018 - usage : Eclairage public</t>
  </si>
  <si>
    <t>2018 - usage : Eclairage résidentiel</t>
  </si>
  <si>
    <t>2018 - usage : Industrie base</t>
  </si>
  <si>
    <t>2018 - usage : Transports</t>
  </si>
  <si>
    <t>kgCo2e/kWh</t>
  </si>
  <si>
    <t>centrale charbon</t>
  </si>
  <si>
    <t xml:space="preserve">centrale fioul </t>
  </si>
  <si>
    <t>centrale gaz</t>
  </si>
  <si>
    <t>centrale nucléaire</t>
  </si>
  <si>
    <t>Electroménager</t>
  </si>
  <si>
    <t>Bois courte durée de vie (ameublement…)</t>
  </si>
  <si>
    <t xml:space="preserve">kgCO2e/tonne </t>
  </si>
  <si>
    <t xml:space="preserve">Base Carbone </t>
  </si>
  <si>
    <t xml:space="preserve">France continentale </t>
  </si>
  <si>
    <t>Bois d'œuvre (construction)</t>
  </si>
  <si>
    <t>Matières premières</t>
  </si>
  <si>
    <t>Approvisionnement</t>
  </si>
  <si>
    <t>Assemblage</t>
  </si>
  <si>
    <t>Distribution</t>
  </si>
  <si>
    <t>Aspirateur ménager avec sac</t>
  </si>
  <si>
    <t>Aspirateur ménager sans sac</t>
  </si>
  <si>
    <t>Mise en forme</t>
  </si>
  <si>
    <t>Aspirateur professionnel à traineaux</t>
  </si>
  <si>
    <t>Congélateur armoire 205l</t>
  </si>
  <si>
    <t>Congélateur coffre 261l</t>
  </si>
  <si>
    <t xml:space="preserve">Four électrique encastrable </t>
  </si>
  <si>
    <t xml:space="preserve">Four professionnel vapeur combi électrique </t>
  </si>
  <si>
    <t>Gazinière</t>
  </si>
  <si>
    <t>Lave-linge capacité 5kg</t>
  </si>
  <si>
    <t>Lave-linge capacité 7kg</t>
  </si>
  <si>
    <t>Lave-vaisselle compact 9 couverts</t>
  </si>
  <si>
    <t xml:space="preserve">Lave-vaisselle professionnel </t>
  </si>
  <si>
    <t xml:space="preserve">Lave-vaisselle standard 12 couverts </t>
  </si>
  <si>
    <t>Machine à pain</t>
  </si>
  <si>
    <t>Micro-onde</t>
  </si>
  <si>
    <t xml:space="preserve">Mini-four électrique </t>
  </si>
  <si>
    <t xml:space="preserve">Réfrigérateur combiné </t>
  </si>
  <si>
    <t>Réfrigérateur mini-bar 33l</t>
  </si>
  <si>
    <t>Réfrigérateur 1 grande porte 250l</t>
  </si>
  <si>
    <t xml:space="preserve">Robot multifonction </t>
  </si>
  <si>
    <t>Sèche-linge à évacuation - Capacité 6 kg</t>
  </si>
  <si>
    <t>Sèche-linge à condensation - Capacité 6 kg</t>
  </si>
  <si>
    <t>Sèche-linge à pompe à chaleur - Capacité 8kg</t>
  </si>
  <si>
    <t>Yaourtière 8 pots</t>
  </si>
  <si>
    <t>Informatique et équipements électroniques</t>
  </si>
  <si>
    <t>Appareil photo compact</t>
  </si>
  <si>
    <t>Appareil photo hybride</t>
  </si>
  <si>
    <t>Appareil photo reflex</t>
  </si>
  <si>
    <t>Baladeurs numériques non-tactiles</t>
  </si>
  <si>
    <t>Baladeurs numériques tactiles</t>
  </si>
  <si>
    <t>Barre de son</t>
  </si>
  <si>
    <t>Cadran photo numérique</t>
  </si>
  <si>
    <t>Console vidéo de salon</t>
  </si>
  <si>
    <t>Console vidéo portable</t>
  </si>
  <si>
    <t xml:space="preserve">Décodeur </t>
  </si>
  <si>
    <t xml:space="preserve">DSL haut débit </t>
  </si>
  <si>
    <t>Ecran 21,5 pouces</t>
  </si>
  <si>
    <t>Ecran 23,8 pouces</t>
  </si>
  <si>
    <t>Enceinte active Bluetooth</t>
  </si>
  <si>
    <t>Home cinéma</t>
  </si>
  <si>
    <t>Imprimante jet d'encre</t>
  </si>
  <si>
    <t>Imprimante laser</t>
  </si>
  <si>
    <t>Imprimante multi-fonction</t>
  </si>
  <si>
    <t>Liseuse non-rétro-éclairée</t>
  </si>
  <si>
    <t>Liseuse rétro-éclairée</t>
  </si>
  <si>
    <t>Montre connectée</t>
  </si>
  <si>
    <t xml:space="preserve">Ordinateur fixe - bureautique </t>
  </si>
  <si>
    <t>Ordinateur fixe - haute performance</t>
  </si>
  <si>
    <t xml:space="preserve">Ordinateur portable </t>
  </si>
  <si>
    <t xml:space="preserve">Smartphone classique </t>
  </si>
  <si>
    <t>Smartphone 5 pouces</t>
  </si>
  <si>
    <t xml:space="preserve">Smartphone de moins de 4,5 pouces </t>
  </si>
  <si>
    <t>Smartphone de plus de 5,5 pouces</t>
  </si>
  <si>
    <t xml:space="preserve">Stéréo classique </t>
  </si>
  <si>
    <t>Tablette classique - 9 à 11 pouces</t>
  </si>
  <si>
    <t>Tablette détachable</t>
  </si>
  <si>
    <t>Tablette mini</t>
  </si>
  <si>
    <t>Télévision 30-40 pouces</t>
  </si>
  <si>
    <t xml:space="preserve">Télévision 40-49 pouces </t>
  </si>
  <si>
    <t xml:space="preserve">Télévision 49 pouces </t>
  </si>
  <si>
    <t>Modem fibre</t>
  </si>
  <si>
    <t>Chemise en coton</t>
  </si>
  <si>
    <t>Jean en coton</t>
  </si>
  <si>
    <t>Pull en coton recyclé</t>
  </si>
  <si>
    <t>Robe en coton</t>
  </si>
  <si>
    <t>T-shirt en coton</t>
  </si>
  <si>
    <t>Chaussures en cuir</t>
  </si>
  <si>
    <t xml:space="preserve">Veste en simili cuir </t>
  </si>
  <si>
    <t>Chemise en viscose</t>
  </si>
  <si>
    <t>Polaire en PES recyclé</t>
  </si>
  <si>
    <t>Pull en acrylique</t>
  </si>
  <si>
    <t>Robe en polyester</t>
  </si>
  <si>
    <t>Robe en viscose</t>
  </si>
  <si>
    <t>T-shirt en polyester</t>
  </si>
  <si>
    <t xml:space="preserve">Chaussures de sport </t>
  </si>
  <si>
    <t>Chaussures en tissu</t>
  </si>
  <si>
    <t xml:space="preserve">Manteau composition moyenne </t>
  </si>
  <si>
    <t>Polo</t>
  </si>
  <si>
    <t>Pull en laine</t>
  </si>
  <si>
    <t>Sweat (CO)</t>
  </si>
  <si>
    <t>Veste imper-respirante (anorak)</t>
  </si>
  <si>
    <t>Articles de sport</t>
  </si>
  <si>
    <t>Ballon de Basket-ball</t>
  </si>
  <si>
    <t>Ballon de Football</t>
  </si>
  <si>
    <t>Ballon de Volley-ball</t>
  </si>
  <si>
    <t>Raquette de tennis</t>
  </si>
  <si>
    <t xml:space="preserve">Sac à dos écolier </t>
  </si>
  <si>
    <t>Armoire représentative</t>
  </si>
  <si>
    <t xml:space="preserve">France Continentale </t>
  </si>
  <si>
    <t xml:space="preserve">Cadre de lit </t>
  </si>
  <si>
    <t xml:space="preserve">Canapé convertible </t>
  </si>
  <si>
    <t>Canapé cuir</t>
  </si>
  <si>
    <t>Canapé textile</t>
  </si>
  <si>
    <t>Chaise bois</t>
  </si>
  <si>
    <t xml:space="preserve">Chaise bois textile </t>
  </si>
  <si>
    <t>Chaise plastique</t>
  </si>
  <si>
    <t>Matelas mousse</t>
  </si>
  <si>
    <t>Matelas ressorts</t>
  </si>
  <si>
    <t>Salon de jardin - bois</t>
  </si>
  <si>
    <t>Salon de jardin - métal</t>
  </si>
  <si>
    <t>Salon de jardin résine tressée</t>
  </si>
  <si>
    <t xml:space="preserve">Sommier à lattes fixes </t>
  </si>
  <si>
    <t>Sommier tapissier</t>
  </si>
  <si>
    <t>Table - bois massif</t>
  </si>
  <si>
    <t>Table représentative</t>
  </si>
  <si>
    <t>Textiles et habillement_Autres</t>
  </si>
  <si>
    <t>Textile et habillement_coton</t>
  </si>
  <si>
    <t>Textile et habillement_cuir</t>
  </si>
  <si>
    <t>Textile et habillement_synthétique</t>
  </si>
  <si>
    <t>Circuits imprimés - alimentation électrique</t>
  </si>
  <si>
    <t>Circuits imprimés - carte mère TV basique</t>
  </si>
  <si>
    <t>Circuits imprimés - contrôleurs LCD et cartes mères TV connectées</t>
  </si>
  <si>
    <t>Télécommande - télévision, universelle, sans piles, 80g</t>
  </si>
  <si>
    <t>Gaz naturel - 2015 (mix moyen consommation), France, Base Carbone</t>
  </si>
  <si>
    <t>2017 - mix moyen</t>
  </si>
  <si>
    <t>2018 - mix moyen</t>
  </si>
  <si>
    <t>2018 - mix moyen, France continentale, Base Carbone</t>
  </si>
  <si>
    <t xml:space="preserve">Bois courte durée de vie (ameublement…),France continentale ,Base Carbone </t>
  </si>
  <si>
    <t xml:space="preserve">Bois d'œuvre (construction),France continentale ,Base Carbone </t>
  </si>
  <si>
    <t>Congélateur armoire 205l, France continentale, Base Carbone</t>
  </si>
  <si>
    <t>Four électrique encastrable , France continentale, Base Carbone</t>
  </si>
  <si>
    <t>Yaourtière 8 pots, France continentale, Base Carbone</t>
  </si>
  <si>
    <t>Appareil photo compact, France continentale, Base Carbone</t>
  </si>
  <si>
    <t>Home cinéma, France continentale, Base Carbone</t>
  </si>
  <si>
    <t>Imprimante multi-fonction, France continentale, Base Carbone</t>
  </si>
  <si>
    <t>Armoire représentative, France Continentale , Base Carbone</t>
  </si>
  <si>
    <t>Canapé textile, France Continentale , Base Carbone</t>
  </si>
  <si>
    <t>Matelas ressorts, France Continentale , Base Carbone</t>
  </si>
  <si>
    <t>Table représentative, France Continentale , Base Carbone</t>
  </si>
  <si>
    <t>Coton</t>
  </si>
  <si>
    <t>Chemise en coton, France continentale, Base Carbone</t>
  </si>
  <si>
    <t>Jean en coton, France continentale, Base Carbone</t>
  </si>
  <si>
    <t>T-shirt en coton, France continentale, Base Carbone</t>
  </si>
  <si>
    <t>Synthétique</t>
  </si>
  <si>
    <t>Cuir</t>
  </si>
  <si>
    <t>Chaussures en cuir, France continentale, Base Carbone</t>
  </si>
  <si>
    <t>Veste en simili cuir , France continentale, Base Carbone</t>
  </si>
  <si>
    <t>Tannage ''wet white'' du cuir, Asie, Base Carbone</t>
  </si>
  <si>
    <t>Chemise en viscose, France continentale, Base Carbone</t>
  </si>
  <si>
    <t>Pull en acrylique, France continentale, Base Carbone</t>
  </si>
  <si>
    <t>T-shirt en polyester, France continentale, Base Carbone</t>
  </si>
  <si>
    <t>Autres</t>
  </si>
  <si>
    <t>Chaussures de sport , France continentale, Base Carbone</t>
  </si>
  <si>
    <t>Manteau composition moyenne , France continentale, Base Carbone</t>
  </si>
  <si>
    <t>Pull en laine, France continentale, Base Carbone</t>
  </si>
  <si>
    <t>Ballon de Basket-ball, France continentale, Base Carbone</t>
  </si>
  <si>
    <t>Raquette de tennis, France continentale, Base Carbone</t>
  </si>
  <si>
    <t>Sac à dos randonnée</t>
  </si>
  <si>
    <t>Sac à dos randonnée, France continentale, Base Carbone</t>
  </si>
  <si>
    <t>Circuits imprimés - alimentation électrique, Asie, Base Carbone</t>
  </si>
  <si>
    <t>Lave-linge capacité 5kg, France continentale, Base Carbone</t>
  </si>
  <si>
    <t>Congélateur coffre 261l, France continentale, Base Carbone</t>
  </si>
  <si>
    <t>Four professionnel vapeur combi électrique , France continentale, Base Carbone</t>
  </si>
  <si>
    <t>Béton</t>
  </si>
  <si>
    <t>BioGNL issu d'épuration cryogénioque de biogaz</t>
  </si>
  <si>
    <t>Biométhane (issu de la filière STEU, injecté dans les réseau)</t>
  </si>
  <si>
    <t>Déchets bâtiments</t>
  </si>
  <si>
    <t>Déchets bâtiment</t>
  </si>
  <si>
    <t>Autobus</t>
  </si>
  <si>
    <t>Autobus_autocar</t>
  </si>
  <si>
    <t>Gaz de cokerie, France continentale, Base Carbone</t>
  </si>
  <si>
    <t>2018 - usage : chauffage, France continentale, Base Carbone</t>
  </si>
  <si>
    <t>Pertes en ligne pour l'année 2018:</t>
  </si>
  <si>
    <t>1, Belley, Belena</t>
  </si>
  <si>
    <t>1, Bourg-en-Bresse, La Vinaigrerie</t>
  </si>
  <si>
    <t>1, Hauteville Lompnes, Réseau d’Hauteville Lompnes</t>
  </si>
  <si>
    <t>1, Oyonnax, Oyonnax BioChaleur</t>
  </si>
  <si>
    <t>1, Treffort-Cuisiat, Réseau de Treffort</t>
  </si>
  <si>
    <t>10, Les Noes-Pres-Troyes, ZUP de la Chapelle Saint-Luc</t>
  </si>
  <si>
    <t>11, Carcassonne, Réseau CEF-MCO</t>
  </si>
  <si>
    <t>13, Aix-en-Provence, Réseau d’Aix-en-Provence</t>
  </si>
  <si>
    <t>13, Coudoux, Réseau communal de Coudoux</t>
  </si>
  <si>
    <t>13, Istres, La Bayanne</t>
  </si>
  <si>
    <t>14, Argences, Réseau de Val-ès-Dunes</t>
  </si>
  <si>
    <t>14, Aunay-sur-Odon, Réseau d’Aunay-sur-Odon</t>
  </si>
  <si>
    <t>14, Bayeux, Réseau Bois Vallée des Près (Bayeux 2)</t>
  </si>
  <si>
    <t>14, Caen, Caen Sud</t>
  </si>
  <si>
    <t>14, Vire, Réseau de Vire</t>
  </si>
  <si>
    <t>15, Arpajon-sur-Cere, Réseau de l’OP HLM Du Cantal</t>
  </si>
  <si>
    <t>15, Aurillac, Réseau de l’hôpital d’Aurillac</t>
  </si>
  <si>
    <t>15, Riom-ès-Montagnes, Réseau de Riom-ès-Montagnes</t>
  </si>
  <si>
    <t>16, Champagne-Mouton, Réseau de Champagne-Mouton</t>
  </si>
  <si>
    <t>17, Gémozac, Réseau de Gémozac</t>
  </si>
  <si>
    <t>17, La Rochelle, Pont Neuf Mireuil Energie</t>
  </si>
  <si>
    <t>18, Asnières-les-Bourges, Chancellerie Gibjoncs-ZUP de Bourges</t>
  </si>
  <si>
    <t>18, Vierzon, Clos du Roi-Tunnel Château</t>
  </si>
  <si>
    <t>19, Eyrein, Borg Warner</t>
  </si>
  <si>
    <t>19, Saint-Pantaléon-de-Larche, Centre de valorisation énergétique Brive</t>
  </si>
  <si>
    <t>19, Servières-le-Château, Réseau de Servières-le-Château</t>
  </si>
  <si>
    <t>2, Barenton-Bugny, Réseau de Laon</t>
  </si>
  <si>
    <t>2, Château-Thierry, Réseau de Château-Thierry</t>
  </si>
  <si>
    <t>2, Urcel, Réseau d’Urcel</t>
  </si>
  <si>
    <t>21, Dijon, Dijon Énergies</t>
  </si>
  <si>
    <t>21, Dijon, La Fontaine d’Ouche et Chenove</t>
  </si>
  <si>
    <t>22, Collinée, Réseau de chaleur de Collinée</t>
  </si>
  <si>
    <t>22, Le Gouray, Réseau de chaleur du Gouray</t>
  </si>
  <si>
    <t>22, Plessala, Réseau de chaleur de Pessala</t>
  </si>
  <si>
    <t>22, Ploufragan, Réseau de Brézillet</t>
  </si>
  <si>
    <t>22, Pluzunet, Réseau de chaleur de Pluzunet</t>
  </si>
  <si>
    <t>23, Gentioux-Pigerolles, Réseau de Gentioux</t>
  </si>
  <si>
    <t>24, Coulounieix-chamiers, Réseau de Coulounieix-chamiers</t>
  </si>
  <si>
    <t>24, Périgueux, L’Arche au Bois</t>
  </si>
  <si>
    <t>26, Romans-sur-Isère, Réseau du quartier de la Monnaie</t>
  </si>
  <si>
    <t>27, Canappeville, Réseau-Canappeville</t>
  </si>
  <si>
    <t>27, Conches-en-Ouches, Réseau de Conches-en-Ouches</t>
  </si>
  <si>
    <t>27, Louviers, Louviers Energie</t>
  </si>
  <si>
    <t>27, Pont-Audemer, Quartier de l’Europe</t>
  </si>
  <si>
    <t>28, Chateaudun, Réseau Dunes</t>
  </si>
  <si>
    <t>28, Voves, Réseau de chaleur de Voves</t>
  </si>
  <si>
    <t>29, Brest, Eco chaleur de Brest</t>
  </si>
  <si>
    <t>3, Commentry, Réseau de Commentry</t>
  </si>
  <si>
    <t>3, Ebreuil, Réseau de chaleur d’Ebreuil</t>
  </si>
  <si>
    <t>3, Le Mayet-de-Montagne, Réseau de Mayet-de-Montagne</t>
  </si>
  <si>
    <t>3, Meaulne, Réseau de Meaulne</t>
  </si>
  <si>
    <t>30, Ales, DALAE</t>
  </si>
  <si>
    <t>30, Lamelouze, Réseau Lamelouze</t>
  </si>
  <si>
    <t>31, Toulouse, Réseau de Toulouse Mirail</t>
  </si>
  <si>
    <t>33, Bordeaux, Bassins à flots</t>
  </si>
  <si>
    <t>33, Bordeaux, Bordeaux Begles Energies</t>
  </si>
  <si>
    <t>33, Cenon, Rive Droite Energies</t>
  </si>
  <si>
    <t>33, Gironde-sur-Dropt, Réseau de chaleur de Gironde sur Dropt</t>
  </si>
  <si>
    <t>33, Lesparre-Médoc, Réseau de la clinique de Lesparre</t>
  </si>
  <si>
    <t>33, Lormont, Eco-quartier Ginko</t>
  </si>
  <si>
    <t>33, Saint-Pierre-d’Aurillac, Réseau de chaleur de Saint-Pierre d’Aurillac</t>
  </si>
  <si>
    <t>34, Montpellier, RMCF</t>
  </si>
  <si>
    <t>35, Combourg, Réseau de chaleur de Bretagne Romantique</t>
  </si>
  <si>
    <t>35, Janzé, Réseau de Janzé</t>
  </si>
  <si>
    <t>35, Rennes, Réseau de la centrale Thermique de Villejean</t>
  </si>
  <si>
    <t>35, Rennes, Réseau de Rennes Est (ZAC Baud-Chardonnet)</t>
  </si>
  <si>
    <t>35, Vezin le Coquet, Réseau de Vezin le Coquet</t>
  </si>
  <si>
    <t>35, Vitré, Réseau de Vitré</t>
  </si>
  <si>
    <t>37, Joué-les-Tours, Morier et Rabière</t>
  </si>
  <si>
    <t>37, La Riche, Réseau de chauffage urbain de la Riche-Quartier</t>
  </si>
  <si>
    <t>37, Saint-Benoît-la-Forêt, Centre de Valorisation Energétique</t>
  </si>
  <si>
    <t>37, Tours, ZUP des Bords de Cher et Sanitas</t>
  </si>
  <si>
    <t>38, Allevard, Réseau d’Allevard</t>
  </si>
  <si>
    <t>38, Bourgoin Jailleu, Berjalia</t>
  </si>
  <si>
    <t>38, Coublevie, Réseau de Coublevie</t>
  </si>
  <si>
    <t>38, Grenoble, Réseau de Grenoble</t>
  </si>
  <si>
    <t>38, Pontcharra, Réseau de Chaleur Bois Pontcharra RCBP</t>
  </si>
  <si>
    <t>38, Voreppe, Réseau de chaleur de Voreppe</t>
  </si>
  <si>
    <t>39, Arinthod, Réseau CCPM Arinthod</t>
  </si>
  <si>
    <t>39, Avignon-Les-Saint-Claude, Chaufferie Bois les Orchidées</t>
  </si>
  <si>
    <t>39, Hauts de Bienne, Réseau de la Ville de Morez</t>
  </si>
  <si>
    <t>39, Lons-le-Saunier, La Marjorie</t>
  </si>
  <si>
    <t>39, Moirans-en-Montagne, Réseau de Moirans-en-Montagne</t>
  </si>
  <si>
    <t>4, Allos, Réseau d’Allos</t>
  </si>
  <si>
    <t>4, Barcelonnette, Réseau de Barcelonnette</t>
  </si>
  <si>
    <t>4, Forcalquier, Réseau La Tomie</t>
  </si>
  <si>
    <t>40, Mont-de-Marsan, Réseau de chaleur Peyrouat</t>
  </si>
  <si>
    <t>42, Andrézieux-Bouthéon, Réseau d’Andrézieux-Bouthéon</t>
  </si>
  <si>
    <t>42, Pelussin, Quartier ” des Croix St Jean “</t>
  </si>
  <si>
    <t>42, Pelussin, Siège CDC du Pilat Rhodanien et siège maison des s</t>
  </si>
  <si>
    <t>42, Roche, Roche-en-Forez</t>
  </si>
  <si>
    <t>42, Saint-Bonnet-le-Château, Siège CDC St Bonnet le Château</t>
  </si>
  <si>
    <t>42, Saint-Étienne, HLM Beaulieu Montchovet IV</t>
  </si>
  <si>
    <t>42, Saint-Étienne, Quartier de La Métare</t>
  </si>
  <si>
    <t>42, Saint-Étienne, Quartier Montreynaud</t>
  </si>
  <si>
    <t>42, Usson-en-Forez, Réseau d’Usson-en-Forez</t>
  </si>
  <si>
    <t>43, Le Puy-en-Velay, Réseau du Puy en Velay VERT VEINE</t>
  </si>
  <si>
    <t>43, Mazet-Saint-Voy, Réseau de Mazet St Voy</t>
  </si>
  <si>
    <t>43, Saint-Bonnet-Le-Froid, Réseau de St Bonnet le Froid</t>
  </si>
  <si>
    <t>43, Tence, Réseau de Tence</t>
  </si>
  <si>
    <t>44, Nantes, Beaulieu Malakoff</t>
  </si>
  <si>
    <t>44, Nantes, Réseau Nantes Chantrerie</t>
  </si>
  <si>
    <t>44, Saint-Jean-de-Boiseau, Réseau de Saint-Jean-de-Boiseau</t>
  </si>
  <si>
    <t>45, Amilly, Réseau de Amilly</t>
  </si>
  <si>
    <t>45, Fleury-les-Aubrais, Réseau de Fleury les Aubrais</t>
  </si>
  <si>
    <t>45, Orléans, Socos source</t>
  </si>
  <si>
    <t>45, Pithiviers, U. V. E Pithiviers</t>
  </si>
  <si>
    <t>46, Biars-sur-Cere, Réseau de Biars du Cere</t>
  </si>
  <si>
    <t>46, Nuzejouls, Réseau de Nuzéjouls</t>
  </si>
  <si>
    <t>46, Saint-Germain-du-Bel-Air, Réseau de St Germain du Bel air</t>
  </si>
  <si>
    <t>48, Saint-Chely-d’Apcher, Réseau Saint Chely d’Apcher</t>
  </si>
  <si>
    <t>49, Andrezé, Réseau de chaleur d’Andrezé</t>
  </si>
  <si>
    <t>49, Angers, Hauts de Saint Aubin</t>
  </si>
  <si>
    <t>49, Angers, Réseau d’Angers</t>
  </si>
  <si>
    <t>49, Angers, Réseau d’Orgemont</t>
  </si>
  <si>
    <t>49, Angers, Zup Jeanne d’Arc-Déromédi (UPJM)</t>
  </si>
  <si>
    <t>49, Ecouflant, Réseau de chaleur d’Ecouflant</t>
  </si>
  <si>
    <t>5, Tallard, Réseau de l’Association La Chrysalide</t>
  </si>
  <si>
    <t>50, Cherbourg-Octeville, Ilot Divette</t>
  </si>
  <si>
    <t>50, Cherbourg-Octeville, ZUP d’Octeville</t>
  </si>
  <si>
    <t>51, Reims, ZUP de Laon Neufchâtel</t>
  </si>
  <si>
    <t>52, Bourmont, Réseau de Bourmont</t>
  </si>
  <si>
    <t>52, Longeau-Percey, Réseau de chaleur de l’EHPAD St Augustin</t>
  </si>
  <si>
    <t>52, Saint-Dizier, Réseau de Saint-Dizier</t>
  </si>
  <si>
    <t>52, Saint-Dizier, Zup de Grigny</t>
  </si>
  <si>
    <t>52, Wassy, Réseau de Wassy</t>
  </si>
  <si>
    <t>53, Saint-Hilaire-du-Maine, Lotissement les lilas</t>
  </si>
  <si>
    <t>54, Barbonville, Réseau chaufferie bois-Barbonville</t>
  </si>
  <si>
    <t>54, Ecrouves, Réseau d’Ecrouves</t>
  </si>
  <si>
    <t>54, Nancy, ESTIA-Blandan Medreville</t>
  </si>
  <si>
    <t>54, Nancy, ESTIA-Plateau de Haye</t>
  </si>
  <si>
    <t>54, Nancy, ESTIA-Saint Julien Kennedy</t>
  </si>
  <si>
    <t>54, Vandoeuvre-les-Nancy, S, E. E. V-Ville de Vandoeuvre</t>
  </si>
  <si>
    <t>54, Vandoeuvre-les-Nancy, S. E, E. V-Plateau de Brabois</t>
  </si>
  <si>
    <t>55, Bar-le-Duc, Côte Sainte Catherine</t>
  </si>
  <si>
    <t>55, Ligny-en-Barrois, Ligny en Barrois</t>
  </si>
  <si>
    <t>56, Locminé, Réseau de chaleur Liger</t>
  </si>
  <si>
    <t>57, -Behren-lès-Forbach, Réseau de Holweg-Forbach-Behren</t>
  </si>
  <si>
    <t>57, Stiring-Wendel, Réseau de Stiring Wendel</t>
  </si>
  <si>
    <t>58, Arleuf, Réseau de chaleur d’Arleuf</t>
  </si>
  <si>
    <t>58, Bazolles, Réseau de chaleur de Bazolles</t>
  </si>
  <si>
    <t>58, Billy-sur-Oisy, Réseau de chaleur de Billy-sur-Oisy</t>
  </si>
  <si>
    <t>58, Brassy, Réseau de chaleur de Brassy</t>
  </si>
  <si>
    <t>58, Château-Chinon (Ville), Réseau de chaleur de Château Chinon Ville</t>
  </si>
  <si>
    <t>58, Corancy, Réseau de chaleur de Corancy</t>
  </si>
  <si>
    <t>58, Corbigny, Réseau de chaleur de Corbigny</t>
  </si>
  <si>
    <t>58, Lormes, Réseau de chaleur de Lormes</t>
  </si>
  <si>
    <t>58, Montigny-en-Morvan, Réseau de chaleur de Montigny en morvan</t>
  </si>
  <si>
    <t>58, Nevers, Réseau de chaleur du Banlay</t>
  </si>
  <si>
    <t>58, Ouroux-en-Morvan, Réseau de chaleur d’Ouroux en Morvan</t>
  </si>
  <si>
    <t>58, Planchez, Réseau de chaleur de Planchez</t>
  </si>
  <si>
    <t>58, Saint-Brisson, Réseau de chaleur de la Maison du Parc du Morvan</t>
  </si>
  <si>
    <t>58, Saint-Saulge, Réseau de chaleur de Saint Saulge</t>
  </si>
  <si>
    <t>58, Saint-Verain, Réseau de chaleur de Saint Amand en Puisaye</t>
  </si>
  <si>
    <t>58, Varzy, Réseau de chaleur de Varzy</t>
  </si>
  <si>
    <t>59, Anzin, Les rives créatives de l’Escaut</t>
  </si>
  <si>
    <t>59, Douchy-les-Mines, Réseau de chaleur de Douchy</t>
  </si>
  <si>
    <t>59, Dunkerque, Energie Grand Littoral-Dunkerque</t>
  </si>
  <si>
    <t>59, Hazebrouck, Réseau de chauffage d’Hazebrouck</t>
  </si>
  <si>
    <t>59, Lille, Quartier Tournebride Lomme-Capinghem</t>
  </si>
  <si>
    <t>59, Lille, Réseau de Lille</t>
  </si>
  <si>
    <t>59, Maubeuge, ZUP de la Caserne Joyeuse-Maubeuge</t>
  </si>
  <si>
    <t>59, Mons-en-Barœul, Réseau de Mons-en-Baroeul</t>
  </si>
  <si>
    <t>59, Roubaix, Réseau de Roubaix</t>
  </si>
  <si>
    <t>59, Sin-le-Noble, Réseau de chaleur de Sin Le Noble</t>
  </si>
  <si>
    <t>59, Villeneuve-d’Ascq, Domaine Universitaire et Scientifique</t>
  </si>
  <si>
    <t>59, Villeneuve-d’Ascq, Quartier Pont de bois</t>
  </si>
  <si>
    <t>59, Wattignies, Réseaux de Wattignies</t>
  </si>
  <si>
    <t>6, Levens, Réseau chaleur et froid chaine de vie 06</t>
  </si>
  <si>
    <t>6, Nice, Sonitherm-Réseau de l’Ariane</t>
  </si>
  <si>
    <t>60, Creil, La Cavée et les hironvalles</t>
  </si>
  <si>
    <t>61, Flers, Quartier Saint Sauveur</t>
  </si>
  <si>
    <t>61, L’Aigle, RECBIA</t>
  </si>
  <si>
    <t>62, Achicourt, Réseau d’Achicourt</t>
  </si>
  <si>
    <t>62, Arras, Réseau d’Arras</t>
  </si>
  <si>
    <t>62, Avion, ZUP du quartier République-Avion</t>
  </si>
  <si>
    <t>62, Béthune, Réseau de chaleur de Béthune-Centre-Ville</t>
  </si>
  <si>
    <t>62, Béthune, Réseau de chaleur de Béthune-Mont Liebaut</t>
  </si>
  <si>
    <t>62, Calais, Réseau de Chaleur de Calais</t>
  </si>
  <si>
    <t>62, Lens, Réseau de chaleur de Lens</t>
  </si>
  <si>
    <t>63, Ardes, Réseau de chaleur de Ardes</t>
  </si>
  <si>
    <t>63, Beaumont, Quartier du Masage</t>
  </si>
  <si>
    <t>63, Clermont-Ferrand, Croix-de-Neyrat/ Champratel/ Les Vergnes</t>
  </si>
  <si>
    <t>63, Clermont-Ferrand, HLM Saint Jacques</t>
  </si>
  <si>
    <t>63, Clermont-Ferrand, La Gauthière</t>
  </si>
  <si>
    <t>63, Pontaumur, Réseau de chaleur bois de Pontaumur</t>
  </si>
  <si>
    <t>63, Riom, Réseau de Riom RCBE</t>
  </si>
  <si>
    <t>63, Saint-Germain-l’Herm, Réseau de chaleur de St-Germain-l’Herm</t>
  </si>
  <si>
    <t>64, Pau, SPIC réseau de chaleur du hameau</t>
  </si>
  <si>
    <t>66, Osseja, Réseau de la Perle Cerdane</t>
  </si>
  <si>
    <t>67, Allenwiller, Réseau d’Allenwiller</t>
  </si>
  <si>
    <t>67, Rittershoffen, ECOGI</t>
  </si>
  <si>
    <t>67, Saales, Réseau de Saales</t>
  </si>
  <si>
    <t>67, Sélestat, Réseau de Sélestat</t>
  </si>
  <si>
    <t>67, Strasbourg, Cité de l’Ill</t>
  </si>
  <si>
    <t>67, Strasbourg, L’Esplanade</t>
  </si>
  <si>
    <t>67, Strasbourg, Réseau de Chaleur ECO2WACKEN</t>
  </si>
  <si>
    <t>67, Strasbourg, Réseau de Colmar Vosges</t>
  </si>
  <si>
    <t>68, Didenheim, L’Illberg</t>
  </si>
  <si>
    <t>68, Feldbach, Réseau de chaleur de Feldbach</t>
  </si>
  <si>
    <t>68, Freisen, Réseau communal de Freisen</t>
  </si>
  <si>
    <t>68, Illzach, Papeteries du Rhin</t>
  </si>
  <si>
    <t>68, Lapoutroie, Réseau de Lapoutroie</t>
  </si>
  <si>
    <t>68, Sainte-Marie-aux-Mines, Réseau Val-d’Argent</t>
  </si>
  <si>
    <t>68, Thann, Réseau de Thann</t>
  </si>
  <si>
    <t>69, Bron, Quartier Parilly</t>
  </si>
  <si>
    <t>69, Champagne-au-Mont-d’Or, La Duchère et Lyon 9e</t>
  </si>
  <si>
    <t>69, Ecully, HLM Les Sources</t>
  </si>
  <si>
    <t>69, Givors, Quartier Les Vernes</t>
  </si>
  <si>
    <t>69, Gleize, Quartier Belleroche Ouest</t>
  </si>
  <si>
    <t>69, Lyon, Quartier Mermoz Sud</t>
  </si>
  <si>
    <t>69, Lyon, Réseau de chaleur Lyon Confluence</t>
  </si>
  <si>
    <t>69, Lyon, Réseau Lyon</t>
  </si>
  <si>
    <t>69, Rillieux-la-Pape, Quartier de la Roue</t>
  </si>
  <si>
    <t>69, Rillieux-la-Pape, Réseau Valorly</t>
  </si>
  <si>
    <t>69, Vénissieux, Vénissieux énergies</t>
  </si>
  <si>
    <t>69, Villeurbanne, Quartier La Perralière</t>
  </si>
  <si>
    <t>69, Yzeron, Réseau Le Bourg</t>
  </si>
  <si>
    <t>69, Yzeron, Réseau Les Combes</t>
  </si>
  <si>
    <t>7, Aubenas, Réseau d’Aubenas</t>
  </si>
  <si>
    <t>7, Banne, Réseau de chaleur de Banne</t>
  </si>
  <si>
    <t>7, Burzet, Réseau de chaleur communal de Burzet</t>
  </si>
  <si>
    <t>7, Le Cheylard, Réseau de Cheylard</t>
  </si>
  <si>
    <t>7, Montpezat-Sous-Bauzon, Réseau de Montpezat-Sous-Bauzon</t>
  </si>
  <si>
    <t>7, Valgorge, Réseau de Valgorge</t>
  </si>
  <si>
    <t>70, Breurey-les-Faverney, Réseau de Breurey les Faverney</t>
  </si>
  <si>
    <t>70, Champey, Réseau de Champey</t>
  </si>
  <si>
    <t>70, Gy, Réseau de Gy</t>
  </si>
  <si>
    <t>70, Hericourt, Réseau d’Hericourt-Quartier Maunoury</t>
  </si>
  <si>
    <t>70, Marnay, Réseau de Marnay</t>
  </si>
  <si>
    <t>70, Scey-sur-Saône-et-Saint-Albin, Réseau de Scey-sur-Saône-et-Saint-Albin</t>
  </si>
  <si>
    <t>71, Anost, Réseau d’Anost</t>
  </si>
  <si>
    <t>71, Autun, Réseau d’Autun</t>
  </si>
  <si>
    <t>71, Chalon-sur-Saône, Réseau de Chalon</t>
  </si>
  <si>
    <t>72, Le Mans-Allonnes, ZUP d’Allonnes</t>
  </si>
  <si>
    <t>73, Bourg-Saint-Maurice, Les Arcs</t>
  </si>
  <si>
    <t>73, Macôt-La-Plagne, La Plagne</t>
  </si>
  <si>
    <t>73, Notre-Dame-des-Millières, Réseau de Notre-Dame-des-Millières</t>
  </si>
  <si>
    <t>73, Saint-Etienne-de-Cuines, Réseau de Saint Etienne de Cuines</t>
  </si>
  <si>
    <t>73, Saint-Jean-d’Arvey, Réseau de Saint-Jean-d’Arvey</t>
  </si>
  <si>
    <t>74, Annecy, Annecy Bio chaleur</t>
  </si>
  <si>
    <t>74, Arracles les Carroy, Flaine Energie</t>
  </si>
  <si>
    <t>74, Cluses, Quartier Les Ewues</t>
  </si>
  <si>
    <t>74, Faverges, Quartier La Cudray</t>
  </si>
  <si>
    <t>74, Morzine, Réseau d’Avoriaz</t>
  </si>
  <si>
    <t>74, Scionzier, Quartier du Crozets</t>
  </si>
  <si>
    <t>74, Seynod, Quartier de Champ Fleury</t>
  </si>
  <si>
    <t>74, Thonon-les-Bains, Quartier de la Rénovation</t>
  </si>
  <si>
    <t>74, Thonon-les-Bains, Réseau UVE du STOC</t>
  </si>
  <si>
    <t>75, Paris, Paris et communes limitrophes-CPCU</t>
  </si>
  <si>
    <t>76, Canteleu, Canteleu Energie</t>
  </si>
  <si>
    <t>76, Dieppe, Sodineuf</t>
  </si>
  <si>
    <t>76, Gonfreville-l’Orcher, SECGO</t>
  </si>
  <si>
    <t>76, Le Grand-Quevilly, VESUVE</t>
  </si>
  <si>
    <t>76, Le Petit-Quevilly, ZAC Nobel Bozel</t>
  </si>
  <si>
    <t>76, Mont-Saint-Aignan, Réseau de Mont Saint Aignan</t>
  </si>
  <si>
    <t>76, Rouen, Chaufferie bois Grammont</t>
  </si>
  <si>
    <t>76, Saint-Etienne-du-Rouvray, Château Blanc</t>
  </si>
  <si>
    <t>76, Sandouville, Réseau de Semedi-Sedibex</t>
  </si>
  <si>
    <t>77, Bailly Romainvilliers, Réseau de Bailly Romainvilliers</t>
  </si>
  <si>
    <t>77, Meaux, Réseau de l’hôpital</t>
  </si>
  <si>
    <t>77, Nemours, ZUP du mont Saint-Martin</t>
  </si>
  <si>
    <t>78, Achères, Réseau d’Achères</t>
  </si>
  <si>
    <t>78, Carrières-sur-Seine, Réseau de Carrières-Chatou</t>
  </si>
  <si>
    <t>78, Le Chesnay, Parly II</t>
  </si>
  <si>
    <t>78, Les Mureaux, Quartier Grand Ouest et Musiciens</t>
  </si>
  <si>
    <t>78, Mantes-la-Jolie, Le Val Fourré</t>
  </si>
  <si>
    <t>78, Saint-Germain-en-Laye, Réseau de Saint Germain en Laye</t>
  </si>
  <si>
    <t>78, Versailles, Réseau de Versailles</t>
  </si>
  <si>
    <t>79, Lezay, Réseau de chaleur CC du Mellois</t>
  </si>
  <si>
    <t>79, L’Absie, Réseau de l’Absie</t>
  </si>
  <si>
    <t>79, Niort, Quartier Les Brizeaux</t>
  </si>
  <si>
    <t>79, Romans, Réseau de Romans</t>
  </si>
  <si>
    <t>8, Rocroi, Réseau de chaleur de Rocroi</t>
  </si>
  <si>
    <t>80, Abbeville, Réseau d’Abbeville</t>
  </si>
  <si>
    <t>80, Amiens, Le pigeonnier</t>
  </si>
  <si>
    <t>80, Amiens, Quartier Henriville</t>
  </si>
  <si>
    <t>81, Alban, Réseau d’Alban</t>
  </si>
  <si>
    <t>82, Montauban, SIRTOMAD</t>
  </si>
  <si>
    <t>87, Limoges, Quartier de l’Hôtel de Ville</t>
  </si>
  <si>
    <t>87, Limoges, ZUP Val de l’Aurence</t>
  </si>
  <si>
    <t>88, Frémifontaine, Réseau de Frémifontaine</t>
  </si>
  <si>
    <t>88, Fresse-sur-Moselle, Réseau de Fresse sur Moselle</t>
  </si>
  <si>
    <t>88, La Bresse, Réseau de la Bresse 1</t>
  </si>
  <si>
    <t>88, La Bresse, Réseau de la Bresse 2</t>
  </si>
  <si>
    <t>88, Monthureux-sur-Saône, Réseau de Monthureux-sur-Saône</t>
  </si>
  <si>
    <t>88, Saint-Dié-des-Vosges, Quartier Kellerman</t>
  </si>
  <si>
    <t>88, Senones, Réseau bois du pays des Abbayes</t>
  </si>
  <si>
    <t>88, Ventron, Réseau de Ventron</t>
  </si>
  <si>
    <t>89, Quarre-les-Tombes, Réseau de Quarre-les-Tombes</t>
  </si>
  <si>
    <t>90, Delle, Réseau de Delle</t>
  </si>
  <si>
    <t>91, Epinay-sous-Sénart, Réseau d’Epinay sous Sénart</t>
  </si>
  <si>
    <t>91, Evry, Réseau d’Evry</t>
  </si>
  <si>
    <t>91, Grigny, Réseau de Grigny Rougnon</t>
  </si>
  <si>
    <t>91, Les Ulis, Réseau des Ulis</t>
  </si>
  <si>
    <t>91, Sainte-Geneviève-des-Bois, ZUP de Saint Hubert et Louis Pergaud</t>
  </si>
  <si>
    <t>91, Villejust, Parc d’activités</t>
  </si>
  <si>
    <t>92, Bagneux, Réseau de Bagneux-Chatillon</t>
  </si>
  <si>
    <t>92, Clichy, Réseau de Clichy</t>
  </si>
  <si>
    <t>92, Courbevoie, Réseau CENEVIA</t>
  </si>
  <si>
    <t>92, Gennevilliers, Réseau Gennevilliers</t>
  </si>
  <si>
    <t>92, Levallois-Perret, Réseau de chaleur de Levallois</t>
  </si>
  <si>
    <t>92, Suresnes, Réseau de Suresnes</t>
  </si>
  <si>
    <t>93, Aulnay-sous-bois, Garonor</t>
  </si>
  <si>
    <t>93, Bagnolet, Réseau de Bagnolet</t>
  </si>
  <si>
    <t>93, La Courneuve, Quartier Nord</t>
  </si>
  <si>
    <t>93, La Courneuve, Quartier Sud</t>
  </si>
  <si>
    <t>93, Le Blanc-Mesnil, Réseau du Blanc Mesnil</t>
  </si>
  <si>
    <t>93, Saint-Denis, Centrale Landy</t>
  </si>
  <si>
    <t>93, Saint-Denis, Réseau de Saint Denis</t>
  </si>
  <si>
    <t>93, Saint-Ouen, Réseau de la ZAC des docks de Saint-Ouen</t>
  </si>
  <si>
    <t>93, Sevran, SEBIO</t>
  </si>
  <si>
    <t>93, Tremblay-en-France, Réseau de Tremblay-en-France</t>
  </si>
  <si>
    <t>94, Alfortville, Réseau d’Alfortville-Smag</t>
  </si>
  <si>
    <t>94, Arcueil, Réseau d’Arcueil-Gentilly</t>
  </si>
  <si>
    <t>94, Bonneuil-sur-Marne, SETBO</t>
  </si>
  <si>
    <t>94, Chevilly-Larue, Réseau de Chevilly-Larue l’Hay les Roses Villejuif</t>
  </si>
  <si>
    <t>94, Fontenay-sous-Bois, Réseau de Fontenay-sous-Bois</t>
  </si>
  <si>
    <t>94, Fresnes, Réseau de Fresnes</t>
  </si>
  <si>
    <t>94, Ivry-sur-Seine, Réseau d’Ivry</t>
  </si>
  <si>
    <t>94, Maison-Alfort, Réseau de Maison-Alfort</t>
  </si>
  <si>
    <t>94, Orly, Réseau d’Orly</t>
  </si>
  <si>
    <t>94, Rungis, Marché International de Rungis</t>
  </si>
  <si>
    <t>94, Villeneuve-Saint-Georges, Réseau de Villeneuve Saint Georges</t>
  </si>
  <si>
    <t>94, Vitry-sur-Seine, Réseau de Choisy-Vitry</t>
  </si>
  <si>
    <t>95, Argenteuil, Réseau d’Argenteuil</t>
  </si>
  <si>
    <t>95, Franconville, ZAC de Montedour</t>
  </si>
  <si>
    <t>95, Franconville, ZUP de l’Epine Guyon</t>
  </si>
  <si>
    <t>38, Grenoble, Réseau froid CCIAG Grenoble</t>
  </si>
  <si>
    <t>57, Metz, Réseau ZAC Amphithéâtre</t>
  </si>
  <si>
    <t>69, Lyon-Villeurbanne, Réseau Lyon</t>
  </si>
  <si>
    <t>92, Courbevoie, Réseau Suc-Société Urbaine de Climatisation</t>
  </si>
  <si>
    <t>93, Saint-Denis, Stade Energies SAS</t>
  </si>
  <si>
    <t>kgCO2e/m de route</t>
  </si>
  <si>
    <t>de type TC1 - béton armé</t>
  </si>
  <si>
    <t>de type TC1 - bitume</t>
  </si>
  <si>
    <t>de type TC1 - semi-rigide</t>
  </si>
  <si>
    <t>de type TC2 - béton armé</t>
  </si>
  <si>
    <t>de type TC2 - bitume</t>
  </si>
  <si>
    <t>de type TC2 - semi-rigide</t>
  </si>
  <si>
    <t>de type TC3 - béton armé</t>
  </si>
  <si>
    <t>de type TC3 - bitume</t>
  </si>
  <si>
    <t>de type TC3 - semi-rigide</t>
  </si>
  <si>
    <t>de type TC4 - béton armé</t>
  </si>
  <si>
    <t>de type TC4 - bitume</t>
  </si>
  <si>
    <t>de type TC4 - semi-rigide</t>
  </si>
  <si>
    <t>de type TC5 - béton armé</t>
  </si>
  <si>
    <t>de type TC5 - bitume</t>
  </si>
  <si>
    <t>de type TC5 - semi-rigide</t>
  </si>
  <si>
    <t>de type TC6 - béton armé</t>
  </si>
  <si>
    <t>de type TC6 - bitume</t>
  </si>
  <si>
    <t>de type TC6 - semi-rigide</t>
  </si>
  <si>
    <t>de type TC7 - béton armé</t>
  </si>
  <si>
    <t>de type TC7 - bitume</t>
  </si>
  <si>
    <t>de type TC7 - semi-rigide</t>
  </si>
  <si>
    <t>Syrie</t>
  </si>
  <si>
    <t>88, Fresse-sur-Moselle, Réseau de Fresse sur Moselle, France continentale, Base Carbone</t>
  </si>
  <si>
    <t>10, Les Noes-Pres-Troyes, ZUP de la Chapelle Saint-Luc, France continentale, Base Carbone</t>
  </si>
  <si>
    <t>38, Grenoble, Réseau froid CCIAG Grenoble, France continentale, Base Carbone</t>
  </si>
  <si>
    <t>Imprimante laser, France continentale, Base Carbone</t>
  </si>
  <si>
    <t>NOM,Type, Localisation, Source</t>
  </si>
  <si>
    <t>92, Courbevoie, Réseau de La Défense-Enertherm, France continentale, Base Carbone</t>
  </si>
  <si>
    <t>93, Le Bourget, Réseau ADP Le Bouget, France continentale, Base Carbone</t>
  </si>
  <si>
    <t>GNC, Gaz Naturel Comprimé pour véhicule routier</t>
  </si>
  <si>
    <r>
      <t>kgCO2e/m</t>
    </r>
    <r>
      <rPr>
        <vertAlign val="superscript"/>
        <sz val="9"/>
        <rFont val="Geneva"/>
      </rPr>
      <t>3</t>
    </r>
  </si>
  <si>
    <r>
      <t xml:space="preserve">2 - Fret routier </t>
    </r>
    <r>
      <rPr>
        <b/>
        <sz val="10"/>
        <color rgb="FFC00000"/>
        <rFont val="Arial"/>
        <family val="2"/>
      </rPr>
      <t>entrant</t>
    </r>
    <r>
      <rPr>
        <b/>
        <sz val="10"/>
        <rFont val="Arial"/>
        <family val="2"/>
      </rPr>
      <t>, information GES des prestations de transport</t>
    </r>
  </si>
  <si>
    <t>Information GES des prestations de transport</t>
  </si>
  <si>
    <t>Info GES</t>
  </si>
  <si>
    <r>
      <t xml:space="preserve">2 - Fret aérien </t>
    </r>
    <r>
      <rPr>
        <b/>
        <sz val="10"/>
        <color rgb="FFC00000"/>
        <rFont val="Arial"/>
        <family val="2"/>
      </rPr>
      <t>entrant</t>
    </r>
    <r>
      <rPr>
        <b/>
        <sz val="10"/>
        <rFont val="Arial"/>
        <family val="2"/>
      </rPr>
      <t>, information GES des prestations de transport</t>
    </r>
  </si>
  <si>
    <r>
      <t xml:space="preserve">4 - Fret ferroviaire </t>
    </r>
    <r>
      <rPr>
        <b/>
        <sz val="10"/>
        <color rgb="FFC00000"/>
        <rFont val="Arial"/>
        <family val="2"/>
      </rPr>
      <t>entrant</t>
    </r>
    <r>
      <rPr>
        <b/>
        <sz val="10"/>
        <rFont val="Arial"/>
        <family val="2"/>
      </rPr>
      <t>, information GES des prestations de transport</t>
    </r>
  </si>
  <si>
    <r>
      <t xml:space="preserve">2 - Fret maritime </t>
    </r>
    <r>
      <rPr>
        <b/>
        <sz val="10"/>
        <color rgb="FFFF0000"/>
        <rFont val="Arial"/>
        <family val="2"/>
      </rPr>
      <t>entrant</t>
    </r>
    <r>
      <rPr>
        <b/>
        <sz val="10"/>
        <rFont val="Arial"/>
        <family val="2"/>
      </rPr>
      <t>, information GES des prestations de transport</t>
    </r>
  </si>
  <si>
    <r>
      <t xml:space="preserve">4 - Fret fluvial </t>
    </r>
    <r>
      <rPr>
        <b/>
        <sz val="10"/>
        <color rgb="FFFF0000"/>
        <rFont val="Arial"/>
        <family val="2"/>
      </rPr>
      <t>entrant</t>
    </r>
    <r>
      <rPr>
        <b/>
        <sz val="10"/>
        <rFont val="Arial"/>
        <family val="2"/>
      </rPr>
      <t>, information GES des prestations de transport</t>
    </r>
  </si>
  <si>
    <r>
      <t xml:space="preserve">2 - Fret routier </t>
    </r>
    <r>
      <rPr>
        <b/>
        <sz val="10"/>
        <color rgb="FFC00000"/>
        <rFont val="Arial"/>
        <family val="2"/>
      </rPr>
      <t>interne</t>
    </r>
    <r>
      <rPr>
        <b/>
        <sz val="10"/>
        <rFont val="Arial"/>
        <family val="2"/>
      </rPr>
      <t>, information GES des prestations de transport</t>
    </r>
  </si>
  <si>
    <r>
      <t xml:space="preserve">2 - Fret aérien </t>
    </r>
    <r>
      <rPr>
        <b/>
        <sz val="10"/>
        <color rgb="FFFF0000"/>
        <rFont val="Arial"/>
        <family val="2"/>
      </rPr>
      <t>interne</t>
    </r>
    <r>
      <rPr>
        <b/>
        <sz val="10"/>
        <rFont val="Arial"/>
        <family val="2"/>
      </rPr>
      <t>, information GES des prestations de transport</t>
    </r>
  </si>
  <si>
    <r>
      <t xml:space="preserve">4 - Fret ferroviaire </t>
    </r>
    <r>
      <rPr>
        <b/>
        <sz val="10"/>
        <color rgb="FFC00000"/>
        <rFont val="Arial"/>
        <family val="2"/>
      </rPr>
      <t>interne</t>
    </r>
    <r>
      <rPr>
        <b/>
        <sz val="10"/>
        <rFont val="Arial"/>
        <family val="2"/>
      </rPr>
      <t>, information GES des prestations de transport</t>
    </r>
  </si>
  <si>
    <r>
      <t xml:space="preserve">2 - Fret maritime </t>
    </r>
    <r>
      <rPr>
        <b/>
        <sz val="10"/>
        <color rgb="FFFF0000"/>
        <rFont val="Arial"/>
        <family val="2"/>
      </rPr>
      <t>interne</t>
    </r>
    <r>
      <rPr>
        <b/>
        <sz val="10"/>
        <rFont val="Arial"/>
        <family val="2"/>
      </rPr>
      <t>, information GES des prestations de transport</t>
    </r>
  </si>
  <si>
    <r>
      <t xml:space="preserve">4 - Fret fluvial </t>
    </r>
    <r>
      <rPr>
        <b/>
        <sz val="10"/>
        <color rgb="FFFF0000"/>
        <rFont val="Arial"/>
        <family val="2"/>
      </rPr>
      <t>interne</t>
    </r>
    <r>
      <rPr>
        <b/>
        <sz val="10"/>
        <rFont val="Arial"/>
        <family val="2"/>
      </rPr>
      <t>, information GES des prestations de transport</t>
    </r>
  </si>
  <si>
    <r>
      <t xml:space="preserve">2 - Fret routier </t>
    </r>
    <r>
      <rPr>
        <b/>
        <sz val="10"/>
        <color rgb="FFC00000"/>
        <rFont val="Arial"/>
        <family val="2"/>
      </rPr>
      <t>sortant</t>
    </r>
    <r>
      <rPr>
        <b/>
        <sz val="10"/>
        <rFont val="Arial"/>
        <family val="2"/>
      </rPr>
      <t>, information GES des prestations de transport</t>
    </r>
  </si>
  <si>
    <r>
      <t xml:space="preserve">2 - Fret aérien </t>
    </r>
    <r>
      <rPr>
        <b/>
        <sz val="10"/>
        <color rgb="FFFF0000"/>
        <rFont val="Arial"/>
        <family val="2"/>
      </rPr>
      <t>sortant</t>
    </r>
    <r>
      <rPr>
        <b/>
        <sz val="10"/>
        <rFont val="Arial"/>
        <family val="2"/>
      </rPr>
      <t>, information GES des prestations de transport</t>
    </r>
  </si>
  <si>
    <r>
      <t xml:space="preserve">4 - Fret ferroviaire </t>
    </r>
    <r>
      <rPr>
        <b/>
        <sz val="10"/>
        <color rgb="FFC00000"/>
        <rFont val="Arial"/>
        <family val="2"/>
      </rPr>
      <t>sortant,</t>
    </r>
    <r>
      <rPr>
        <b/>
        <sz val="10"/>
        <rFont val="Arial"/>
        <family val="2"/>
      </rPr>
      <t xml:space="preserve"> information GES des prestations de transport</t>
    </r>
  </si>
  <si>
    <r>
      <t xml:space="preserve">2 - Fret maritime </t>
    </r>
    <r>
      <rPr>
        <b/>
        <sz val="10"/>
        <color rgb="FFFF0000"/>
        <rFont val="Arial"/>
        <family val="2"/>
      </rPr>
      <t>sortant,</t>
    </r>
    <r>
      <rPr>
        <b/>
        <sz val="10"/>
        <rFont val="Arial"/>
        <family val="2"/>
      </rPr>
      <t xml:space="preserve"> information GES des prestations de transport</t>
    </r>
  </si>
  <si>
    <r>
      <t xml:space="preserve">4 - Fret fluvial </t>
    </r>
    <r>
      <rPr>
        <b/>
        <sz val="10"/>
        <color rgb="FFFF0000"/>
        <rFont val="Arial"/>
        <family val="2"/>
      </rPr>
      <t>sortant,</t>
    </r>
    <r>
      <rPr>
        <b/>
        <sz val="10"/>
        <rFont val="Arial"/>
        <family val="2"/>
      </rPr>
      <t xml:space="preserve"> information GES des prestations de transport</t>
    </r>
  </si>
  <si>
    <t>2 - Déplacements en voiture dans le cadre du travail, information GES des prestations de transport</t>
  </si>
  <si>
    <t>1 - Déplacements des employés en autobus, information GES des prestations de transport</t>
  </si>
  <si>
    <t>2 - Déplacements des employés en train (y compris métro, tram, RER), information GES des prestations de transport</t>
  </si>
  <si>
    <t>2 - Déplacements des employés en avion, information GES des prestations de transport</t>
  </si>
  <si>
    <t>2 - Déplacements des employés en bateau, information GES des prestations de transport</t>
  </si>
  <si>
    <t>Photocopieurs</t>
  </si>
  <si>
    <t>Ordinateur fixe - bureautique</t>
  </si>
  <si>
    <t>Ordinateur portable</t>
  </si>
  <si>
    <t>Photocopieurs, Monde, Base Carbone</t>
  </si>
  <si>
    <t>Polymères de propylène (PP)</t>
  </si>
  <si>
    <t>Acide citrique, monohydrate</t>
  </si>
  <si>
    <t>Acide D,L tartrique</t>
  </si>
  <si>
    <t>Acide nitrtique</t>
  </si>
  <si>
    <t>Acide sorbique</t>
  </si>
  <si>
    <t>Autres acides et sels d'acides</t>
  </si>
  <si>
    <t>Bentonite, kaolin</t>
  </si>
  <si>
    <t>Bisulfite de potassium</t>
  </si>
  <si>
    <t>Carbonate de calcium</t>
  </si>
  <si>
    <t>Dioxyde de carbone d'origine chimique</t>
  </si>
  <si>
    <t>Dioxyde de soufre liquide</t>
  </si>
  <si>
    <t>Ethanol rectifié d'origine viti-vinicole</t>
  </si>
  <si>
    <t>Hypochlorite de sodium 15% (alcalin chloré)</t>
  </si>
  <si>
    <t>Kieselguhr, diatomites, perlites</t>
  </si>
  <si>
    <t>Micro-organismes et extraits (bactéries, levures, écorces de levures)</t>
  </si>
  <si>
    <t>Produits de traitement de la vapeur d'eau</t>
  </si>
  <si>
    <t>Saumure (chlorure de sodium)</t>
  </si>
  <si>
    <t>brine</t>
  </si>
  <si>
    <t>Soude solide (poudre, granulés)</t>
  </si>
  <si>
    <t>Sulfate d'ammonium</t>
  </si>
  <si>
    <t>Sulfate de sodium</t>
  </si>
  <si>
    <t>Sulfochaux</t>
  </si>
  <si>
    <t>Sulfosol</t>
  </si>
  <si>
    <t>Tanins</t>
  </si>
  <si>
    <t>Baies de disques</t>
  </si>
  <si>
    <t>Racks (baies ou cabinets)</t>
  </si>
  <si>
    <t>Serveurs informatiques</t>
  </si>
  <si>
    <t>Switch routeur firewall</t>
  </si>
  <si>
    <t>Groupe électrogène</t>
  </si>
  <si>
    <t>Moteur électrique</t>
  </si>
  <si>
    <t>Tableau électrique</t>
  </si>
  <si>
    <t>Variateur électrique</t>
  </si>
  <si>
    <t>Equipements électriques</t>
  </si>
  <si>
    <t>Consommables de bureau</t>
  </si>
  <si>
    <t>Cartouche jet d'encre noir et blanc re-conditionnée</t>
  </si>
  <si>
    <t>Cartouche toner couleur (CMY) re-conditionnée</t>
  </si>
  <si>
    <t>Cartouche toner noir et blanc re-conditionnée</t>
  </si>
  <si>
    <t>Encre couleur impression offset</t>
  </si>
  <si>
    <t>Encre d'imprimerie en solution toluène</t>
  </si>
  <si>
    <t>kgCO2e/100 feuilles A4</t>
  </si>
  <si>
    <t>Caisse bois</t>
  </si>
  <si>
    <t>Capsule surbouchage étain (FE étain)</t>
  </si>
  <si>
    <t>Colle amidon</t>
  </si>
  <si>
    <t>Fil de palissage inox neuf 18/8</t>
  </si>
  <si>
    <t>Fil de palissage inox recyclé 18/9</t>
  </si>
  <si>
    <t>Pierre à chaud</t>
  </si>
  <si>
    <t>Piquets acacia</t>
  </si>
  <si>
    <t>Piquets acier galvanisé (acier 40% recyclage)</t>
  </si>
  <si>
    <t>Piquets acier galvanisé</t>
  </si>
  <si>
    <t>9,5 g</t>
  </si>
  <si>
    <t>3,5 g</t>
  </si>
  <si>
    <t>5 g</t>
  </si>
  <si>
    <t>6 g</t>
  </si>
  <si>
    <t>4,8 g</t>
  </si>
  <si>
    <t>3,2 g</t>
  </si>
  <si>
    <t>1 g</t>
  </si>
  <si>
    <t>Bouchon LA2R vin effervescent</t>
  </si>
  <si>
    <t>Bouchon liège aggloméré vin tranquille</t>
  </si>
  <si>
    <t xml:space="preserve"> 5,5 g</t>
  </si>
  <si>
    <t>0,80 g</t>
  </si>
  <si>
    <t>5,6 g</t>
  </si>
  <si>
    <t>Bouchon liège naturel vin tranquille</t>
  </si>
  <si>
    <t>Bouchon liège technique vin effervescent</t>
  </si>
  <si>
    <t>Bouchon liège technique vin tranquille</t>
  </si>
  <si>
    <t>Bouchon synthétique PE co-extrudé</t>
  </si>
  <si>
    <t>Capsule à vis (aluminium + joint PE / étain) moyenne</t>
  </si>
  <si>
    <t>Capsule à vis (aluminium 35% recyclage + joint PE / étain)</t>
  </si>
  <si>
    <t>Capsule à vis (aluminium 75% recyclage + joint PE / étain)</t>
  </si>
  <si>
    <t>Capsule surbouchage composite (aluminium 35% recyclage) vin effervescent</t>
  </si>
  <si>
    <t>Capsule surbouchage composite (aluminium 35% recyclé / PEBD) vin tranquille</t>
  </si>
  <si>
    <t>Capsule surbouchage composite (aluminium 70% recyclage) vin effervescent</t>
  </si>
  <si>
    <t>Capsule surbouchage composite (aluminium 70% recyclé / PEBD) vin tranquille</t>
  </si>
  <si>
    <t>Capsule surbouchage PVC extrudé vin tranquille</t>
  </si>
  <si>
    <t>Muselet</t>
  </si>
  <si>
    <t>C25/30CEM II</t>
  </si>
  <si>
    <t>Etiquettes papier imprimé</t>
  </si>
  <si>
    <t>Livre de 300 g</t>
  </si>
  <si>
    <t>kgCO2e/livre</t>
  </si>
  <si>
    <t>Maintenance multitechnique</t>
  </si>
  <si>
    <t>Services</t>
  </si>
  <si>
    <t>1 achat sur le web</t>
  </si>
  <si>
    <t>1 mail</t>
  </si>
  <si>
    <t>1 mail avec pièce jointe</t>
  </si>
  <si>
    <t>1 requête de navigation web</t>
  </si>
  <si>
    <t>1 requête internet</t>
  </si>
  <si>
    <t>1 SPAM</t>
  </si>
  <si>
    <t>1 transaction logiciel classique</t>
  </si>
  <si>
    <t>1 tweet</t>
  </si>
  <si>
    <t>R290</t>
  </si>
  <si>
    <t>Articulé, 34 à 40 T, diesel routier, 7% de biodiesel</t>
  </si>
  <si>
    <t>Articulé, 34 à 40 T, GNC</t>
  </si>
  <si>
    <t>Articulé, 34 à 40 T, GNL</t>
  </si>
  <si>
    <t>Articulé, 34 à 40 T, GNL, 20% bio</t>
  </si>
  <si>
    <t>Articulé, 40 à 44 T, diesel routier, 7% biodiesel</t>
  </si>
  <si>
    <t>Articulé, 44 à 60 T, diesel routier, 7% biodiesel</t>
  </si>
  <si>
    <t>Articulé, 60 à 72 T, diesel routier, 7% biodiesel</t>
  </si>
  <si>
    <t>Articulé, 90 m3</t>
  </si>
  <si>
    <t>Articulé, &lt;34 T, diesel routier, 7% biodiesel</t>
  </si>
  <si>
    <t>Camion porteur, 45 m3</t>
  </si>
  <si>
    <t>Fourgon, 8 m3</t>
  </si>
  <si>
    <t>Rigide, 12 à 20 T, diesel routier, 7% biodiesel</t>
  </si>
  <si>
    <t>Rigide, 12 à 20 T, GNC</t>
  </si>
  <si>
    <t>Rigide, 12 à 20 T, GNL</t>
  </si>
  <si>
    <t>Rigide, 20 à 26 T, diesel routier, 7% biodiesel</t>
  </si>
  <si>
    <t>Rigide, 20 à 26 T, GNC</t>
  </si>
  <si>
    <t>Rigide, 20 à 26 T, GNL</t>
  </si>
  <si>
    <t>Rigide, 26 à 32 T, diesel routier, 7% biodiesel</t>
  </si>
  <si>
    <t>Rigide, 3,5 à 7,5 T, diesel routier, 7% biodiesel</t>
  </si>
  <si>
    <t>Rigide, 3,5 à 7,5 T, électrique</t>
  </si>
  <si>
    <t>Rigide, 3,5 à 7,5 T, GNC</t>
  </si>
  <si>
    <t>Rigide, 3,5 à 7,5 T, hybride parallèle</t>
  </si>
  <si>
    <t>Rigide, 3,5 à 7,5 T, hybride série</t>
  </si>
  <si>
    <t>Rigide, 7,5 à 12 T, diesel routier, 7% biodiesel</t>
  </si>
  <si>
    <t>Rigide, 7,5 à 12 T, diesel routier, GNC</t>
  </si>
  <si>
    <t>Véhicule utilitaire léger, &lt;3,5 T, diesel routier, 7% biodiesel</t>
  </si>
  <si>
    <t>Véhicule utilitaire léger, &lt;3,5 T, essence</t>
  </si>
  <si>
    <t>Véhicule utilitaire léger, &lt;3,5 T, GNC</t>
  </si>
  <si>
    <t>Véhicule utilitaire léger, &lt;3,5 T, GPL</t>
  </si>
  <si>
    <t>Cargo, 10 000 à 20 000 T, HFO-MGO</t>
  </si>
  <si>
    <t>Cargo, &lt;10 000 T, HFO-MGO</t>
  </si>
  <si>
    <t>Cargo inter-îles</t>
  </si>
  <si>
    <t>Mayotte-Anjouan</t>
  </si>
  <si>
    <t>Petit Terre-Grande Terre</t>
  </si>
  <si>
    <t>Polynésie</t>
  </si>
  <si>
    <t>Pétrolier, 5 000 à 60 000 T, HFO-MGO</t>
  </si>
  <si>
    <t>Pétrolier, 60 000 à 200 000 T, HFO-MGO</t>
  </si>
  <si>
    <t>Pétrolier, &lt; 5 000 T, HFO-MGO</t>
  </si>
  <si>
    <t>Pétrolier, &gt;200 000 T, GNL</t>
  </si>
  <si>
    <t>Pétrolier, &gt;200 000 T, HFO-MGO</t>
  </si>
  <si>
    <t>Pirogue</t>
  </si>
  <si>
    <t>Porte-conteneurs, Dry, Asie - Europe du Nord</t>
  </si>
  <si>
    <t>Porte-conteneurs, Dry, Asie - Méditerranée</t>
  </si>
  <si>
    <t>Porte-conteneurs, Dry, Autres liaisons détaillées</t>
  </si>
  <si>
    <t>Porte-conteneurs, Dry, Autres liaisons majeures</t>
  </si>
  <si>
    <t>Porte-conteneurs, Dry, Europe - Afrique</t>
  </si>
  <si>
    <t>Porte-conteneurs, Dry, Europe - Amérique du Sud et Centrale</t>
  </si>
  <si>
    <t>Porte-conteneurs, Dry, Europe - Moyen-Orient et Inde</t>
  </si>
  <si>
    <t>Porte-conteneurs, Dry, Europe - Océanie</t>
  </si>
  <si>
    <t>Porte-conteneurs, Dry, Europe du Nord - Amérique du Nord, façade atlantique</t>
  </si>
  <si>
    <t>Porte-conteneurs, Dry, Europe du Nord - Amérique du Nord, façade pacifique</t>
  </si>
  <si>
    <t>Porte-conteneurs, Dry, Europe du Nord - Méditerranée</t>
  </si>
  <si>
    <t>Porte-conteneurs, Dry, Intra Europe du Nord</t>
  </si>
  <si>
    <t>Porte-conteneurs, Dry, Intra Méditerranée</t>
  </si>
  <si>
    <t>Porte-conteneurs, Dry, Méditerranée - Amérique du Nord, façade atlantique</t>
  </si>
  <si>
    <t>Porte-conteneurs, Dry, Méditerranée - Amérique du Nord, façade pacifique</t>
  </si>
  <si>
    <t>Porte-conteneurs, Dry, Trans-Atlantique</t>
  </si>
  <si>
    <t>Porte-conteneurs, Dry, Trans-Suez</t>
  </si>
  <si>
    <t>Porte-conteneurs, Dry, valeur moyenne</t>
  </si>
  <si>
    <t>Porte-conteneurs, Reefer, Asie - Europe du Nord</t>
  </si>
  <si>
    <t>Porte-conteneurs, Reefer, Asie - Méditerranée</t>
  </si>
  <si>
    <t>Porte-conteneurs, Reefer, Autres liaisons détaillées</t>
  </si>
  <si>
    <t>Porte-conteneurs, Reefer, Autres liaisons majeures</t>
  </si>
  <si>
    <t>Porte-conteneurs, Reefer, Europe - Afrique</t>
  </si>
  <si>
    <t>Porte-conteneurs, Reefer, Europe - Amérique du Sud et Centrale</t>
  </si>
  <si>
    <t>Porte-conteneurs, Reefer, Europe - Moyen-Orient et Inde</t>
  </si>
  <si>
    <t>Porte-conteneurs, Reefer, Europe - Océanie</t>
  </si>
  <si>
    <t>Porte-conteneurs, Reefer, Europe du Nord - Amérique du Nord, façade atlantique</t>
  </si>
  <si>
    <t>Porte-conteneurs, Reefer, Europe du Nord - Amérique du Nord, façade pacifique</t>
  </si>
  <si>
    <t>Porte-conteneurs, Reefer, Europe du Nord - Méditerranée</t>
  </si>
  <si>
    <t>Porte-conteneurs, Reefer, Intra Europe du Nord</t>
  </si>
  <si>
    <t>Porte-conteneurs, Reefer, Intra Méditerranée</t>
  </si>
  <si>
    <t>Porte-conteneurs, Reefer, Méditerranée - Amérique du Nord, façade atlantique</t>
  </si>
  <si>
    <t>Porte-conteneurs, Reefer, Méditerranée - Amérique du Nord, façade pacifique</t>
  </si>
  <si>
    <t>Porte-conteneurs, Reefer, Trans-Atlantique</t>
  </si>
  <si>
    <t>Porte-conteneurs, Reefer, Trans-Suez</t>
  </si>
  <si>
    <t>Porte-conteneurs, Reefer, valeur moyenne</t>
  </si>
  <si>
    <t>Ro-Pax, HFO-MGO</t>
  </si>
  <si>
    <t>Ro-Ro, Camions et remorques, HFO-MGO</t>
  </si>
  <si>
    <t>Ro-Ro, Chargement moyen, HFO-MGO</t>
  </si>
  <si>
    <t>Ro-Ro, Remorques uniquement, HFO-MGO</t>
  </si>
  <si>
    <t>Vraquier, 10 000 à 100 000 T, HFO-MGO</t>
  </si>
  <si>
    <t>Vraquier, &lt;10 000 T, GNL</t>
  </si>
  <si>
    <t>Vraquier, &gt;100 000 T, HFO-MGO</t>
  </si>
  <si>
    <t>Bateau automoteur, &lt; 400 TPL</t>
  </si>
  <si>
    <t>Bateau automoteur, 400 à 649 TPL</t>
  </si>
  <si>
    <t>Bateau automoteur, 650 à 999 TPL</t>
  </si>
  <si>
    <t>Bateau automoteur, 1000 à 1499 TPL</t>
  </si>
  <si>
    <t>Bateau automoteur, 1500 à 2999 TPL</t>
  </si>
  <si>
    <t>Bateau automoteur, &gt; 3000 TPL</t>
  </si>
  <si>
    <t>Bateau pousseur, &lt; 880 kW</t>
  </si>
  <si>
    <t>Bateau pousseur, &gt; 880 kW</t>
  </si>
  <si>
    <t>Avion cargo, 10 à 25 T, 500 - 1000 km, avec trainées</t>
  </si>
  <si>
    <t>Avion cargo, 10 à 25 T, 500 - 1000 km, sans trainées</t>
  </si>
  <si>
    <t>Avion cargo, 10 à 25 T, &lt; 500 km, avec trainées</t>
  </si>
  <si>
    <t>Avion cargo, 10 à 25 T, &lt; 500 km, sans trainées</t>
  </si>
  <si>
    <t>Avion cargo, 26 à 100 T, 500 - 1000 km, sans trainées</t>
  </si>
  <si>
    <t>Avion cargo, 26 à 100 T, 500 - 1000 km, avec trainées</t>
  </si>
  <si>
    <t>Avion cargo, plus de 100 T, 1000 - 3500 km, sans trainées</t>
  </si>
  <si>
    <t>Avion cargo, plus de 100 T, 1000 - 3500 km, avec trainées</t>
  </si>
  <si>
    <t>Avion cargo, plus de 100 T, 500 - 1000 km, avec trainées</t>
  </si>
  <si>
    <t>Avion cargo, plus de 100 T, 500 - 1000 km, sans trainées</t>
  </si>
  <si>
    <t>Avion cargo, plus de 100 T, &lt; 500 km, sans trainées</t>
  </si>
  <si>
    <t>Avion cargo, plus de 100 T, &lt; 500 km, avec trainées</t>
  </si>
  <si>
    <t>Avion cargo, plus de 100 T, &gt; 3500 km, avec trainées</t>
  </si>
  <si>
    <t>Avion cargo, plus de 100 T, &gt; 3500 km, sans trainées</t>
  </si>
  <si>
    <t>Avion cargo, 26 à 100 T, &lt; 500 km, avec trainées</t>
  </si>
  <si>
    <t>Avion cargo, 26 à 100 T, &lt; 500 km, sans trainées</t>
  </si>
  <si>
    <t>Avion passagers, &gt; 220 sièges, 1000 - 3500 km, avec trainées</t>
  </si>
  <si>
    <t>Avion passagers, &gt; 220 sièges, 1000 - 3500 km, sans trainées</t>
  </si>
  <si>
    <t>Avion passagers, &gt; 220 sièges, &gt; 3500 km, avec trainées</t>
  </si>
  <si>
    <t>Avion passagers, &gt; 220 sièges, &gt; 3500 km, sans trainées</t>
  </si>
  <si>
    <t>Avion passagers, court courrier, avec trainées</t>
  </si>
  <si>
    <t>Avion passagers, court courrier, sans trainées</t>
  </si>
  <si>
    <t>Avion passagers, long courrier, avec trainées</t>
  </si>
  <si>
    <t>Avion passagers, long courrier, sans trainées</t>
  </si>
  <si>
    <t>Avion passagers, moyen courrier, avec trainées</t>
  </si>
  <si>
    <t>Avion passagers, moyen courrier, sans trainées</t>
  </si>
  <si>
    <t>Motorisation moyenne, chargement dense</t>
  </si>
  <si>
    <t>Motorisation moyenne, chargement léger</t>
  </si>
  <si>
    <t>Motorisation moyenne, chargement moyen</t>
  </si>
  <si>
    <t>Traction diesel, chargement dense</t>
  </si>
  <si>
    <t>Traction diesel, chargement léger</t>
  </si>
  <si>
    <t>Traction diesel, chargement moyen</t>
  </si>
  <si>
    <t>Traction électrique, chargement dense</t>
  </si>
  <si>
    <t>Traction électrique, chargement léger</t>
  </si>
  <si>
    <t>Traction électrique, chargement moyen</t>
  </si>
  <si>
    <t>Train de marchandises</t>
  </si>
  <si>
    <t>Grece</t>
  </si>
  <si>
    <t>Norvege</t>
  </si>
  <si>
    <t>Suede</t>
  </si>
  <si>
    <t>Deux roues</t>
  </si>
  <si>
    <t>Voiture - motorisation E85 - 2018</t>
  </si>
  <si>
    <t>Voiture - motorisation essence - 2018</t>
  </si>
  <si>
    <t>Voiture - motorisation GNV - 2018</t>
  </si>
  <si>
    <t>Voiture - motorisation GPL - 2018</t>
  </si>
  <si>
    <t>Voiture - motorisation moyenne - 2018</t>
  </si>
  <si>
    <t>Voiture - motorisation gazole - 2018</t>
  </si>
  <si>
    <t>Voiture_moyenne_parc</t>
  </si>
  <si>
    <t>Voiture_particulière_usage</t>
  </si>
  <si>
    <t>Voiture E85 - courte distance - 2018</t>
  </si>
  <si>
    <t>Voiture E85 - longue distance - 2018</t>
  </si>
  <si>
    <t>Voiture E85 - mixte - 2018</t>
  </si>
  <si>
    <t>Voiture essence - courte distance - 2018</t>
  </si>
  <si>
    <t>Voiture essence - longue distance - 2018</t>
  </si>
  <si>
    <t>Voiture essence - mixte - 2018</t>
  </si>
  <si>
    <t>Voiture gazole - courte distance - 2018</t>
  </si>
  <si>
    <t>Voiture gazole - longue distance - 2018</t>
  </si>
  <si>
    <t>Voiture GNV - courte distance - 2018</t>
  </si>
  <si>
    <t>Voiture GNV - longue distance - 2018</t>
  </si>
  <si>
    <t>Voiture GNV - mixte - 2018</t>
  </si>
  <si>
    <t>Voiture GPL - courte distance - 2018</t>
  </si>
  <si>
    <t>Voiture GPL - longue distance - 2018</t>
  </si>
  <si>
    <t>Voiture GPL - mixte - 2018</t>
  </si>
  <si>
    <t>Voiture moyenne - courte distance - 2018</t>
  </si>
  <si>
    <t>Voiture moyenne - longue distance - 2018</t>
  </si>
  <si>
    <t>Voiture moyenne - mixte - 2018</t>
  </si>
  <si>
    <t>Voiture gazole - mixte - 2018</t>
  </si>
  <si>
    <t>Voiture_particulière_gamme</t>
  </si>
  <si>
    <t>Voiture particulière - cœur de gamme - véhicule compact - électrique</t>
  </si>
  <si>
    <t>Voiture particulière - cœur de gamme - véhicule compact - Hybride, full, P2</t>
  </si>
  <si>
    <t>Voiture particulière - cœur de gamme - véhicule compact - Hybride rechargeable, plug in-hybrid, P2/prius</t>
  </si>
  <si>
    <t>Voiture particulière - cœur de gamme - véhicule compact - Hybride, full, Prius</t>
  </si>
  <si>
    <t>Voiture particulière - cœur de gamme - véhicule compact - Hybride, mild, diesel</t>
  </si>
  <si>
    <t>Voiture particulière - cœur de gamme - véhicule compact - Hybride, mild, essence</t>
  </si>
  <si>
    <t>Voiture particulière - entrée de gamme - véhicule léger - électrique</t>
  </si>
  <si>
    <t>Voiture particulière - entrée de gamme - véhicule léger - Hybride rechargeable avec alimentation auxilliaire de puissance</t>
  </si>
  <si>
    <t>Voiture particulière - entrée de gamme - véhicule léger - Hybride, mild essence</t>
  </si>
  <si>
    <t>Voiture particulière - haut de gamme - berline - électrique</t>
  </si>
  <si>
    <t>Voiture particulière - haut de gamme - berline - Hybride rechargeable, plug in-hybrid, P2 / Prius</t>
  </si>
  <si>
    <t>Voiture particulière - haut de gamme - berline - Hybride, full P2</t>
  </si>
  <si>
    <t>Voiture particulière - haut de gamme - berline - Hybride, full Prius</t>
  </si>
  <si>
    <t>Voiture particulière - haut de gamme - berline - Hybride, mild diesel</t>
  </si>
  <si>
    <t>Voiture particulière - haut de gamme - berline - Hybride, mild essence</t>
  </si>
  <si>
    <t>Cyclomoteur - mixte - 2018</t>
  </si>
  <si>
    <t>Cyclomoteur - rural - 2018</t>
  </si>
  <si>
    <t>Cyclomoteur - urbain</t>
  </si>
  <si>
    <t>Moto =&lt; 250 cm3 - mixte - 2018</t>
  </si>
  <si>
    <t>Moto =&lt; 250 cm3 - rural - 2018</t>
  </si>
  <si>
    <t>Moto =&lt; 250 cm3 - urbain - 2018</t>
  </si>
  <si>
    <t>Moto &gt; 250 cm3 - mixte - 2018</t>
  </si>
  <si>
    <t>Moto &gt; 250 cm3 - rural - 2018</t>
  </si>
  <si>
    <t>Moto &gt; 250 cm3 - urbain - 2018</t>
  </si>
  <si>
    <t>Autobus moyen - agglomération moins de 100 000 habitants</t>
  </si>
  <si>
    <t>Autobus moyen - agglomération de 100 000 à 250 000 habitants</t>
  </si>
  <si>
    <t>Autobus moyen - agglomération plus de 250 000 habitants</t>
  </si>
  <si>
    <t>Autobus électrique</t>
  </si>
  <si>
    <t>Autobus gazole</t>
  </si>
  <si>
    <t>Autobus GNV</t>
  </si>
  <si>
    <t>Autobus hybride parallèle</t>
  </si>
  <si>
    <t>Autobus hybride série</t>
  </si>
  <si>
    <t>Autocar gazole</t>
  </si>
  <si>
    <t>Taxi_VTC</t>
  </si>
  <si>
    <t>Taxi brousse, gazole/essence</t>
  </si>
  <si>
    <t>Taxi brousse - véhicule plein - gazole/essence</t>
  </si>
  <si>
    <t>Taxi brousse - véhicule vide - gazole/essence</t>
  </si>
  <si>
    <t>Métro - 2018 - Ile de France</t>
  </si>
  <si>
    <t>Métro - 2019 - Ile de France</t>
  </si>
  <si>
    <t>Métro, tramway, trolleybus - 2018 - Agglomération &gt; 250 000 habitants</t>
  </si>
  <si>
    <t>Métro, tramway, trolleybus - 2018 - Agglomération de 100 000 à 250 000 habitants</t>
  </si>
  <si>
    <t>RER et transilien - 2018 - Ile de France</t>
  </si>
  <si>
    <t>RER et transilien - 2019 - Ile de France</t>
  </si>
  <si>
    <t>TER - 2018 - traction moyenne</t>
  </si>
  <si>
    <t>TER - 2019 - traction moyenne</t>
  </si>
  <si>
    <t>TGV - 2018</t>
  </si>
  <si>
    <t>TGV - 2019</t>
  </si>
  <si>
    <t>Train grandes lignes - 2018</t>
  </si>
  <si>
    <t>Train grandes lignes - 2019</t>
  </si>
  <si>
    <t>Tramway - 2018 - Ile de France</t>
  </si>
  <si>
    <t>Tramway - 2019 - Ile de France</t>
  </si>
  <si>
    <t>Navette maritime liaison inter-îles, Polynésie</t>
  </si>
  <si>
    <t>Navette fluviale - donnée 2009</t>
  </si>
  <si>
    <t>Biométhane - injecté dans les réseau - mix moyen</t>
  </si>
  <si>
    <t>Viticulture</t>
  </si>
  <si>
    <t>Groupe électrogène, Monde, Base Carbone</t>
  </si>
  <si>
    <t>Cartouche jet d'encre noir et blanc re-conditionnée, Monde, Base Carbone</t>
  </si>
  <si>
    <t>Cartouche toner couleur (CMY) re-conditionnée, Monde, Base Carbone</t>
  </si>
  <si>
    <t>Cartouche toner noir et blanc re-conditionnée, Monde, Base Carbone</t>
  </si>
  <si>
    <t>Encre couleur impression offset, France continentale, Base Carbone</t>
  </si>
  <si>
    <t>Petites fournitures, France continentale, Base Carbone</t>
  </si>
  <si>
    <t>Caisse bois, France continentale, Base Carbone</t>
  </si>
  <si>
    <t>Bouchon liège aggloméré vin tranquille, France continentale, Base Carbone</t>
  </si>
  <si>
    <t>Capsule surbouchage PVC extrudé vin tranquille, France continentale, Base Carbone</t>
  </si>
  <si>
    <t>Fil de palissage inox neuf 18/8, France continentale, Base Carbone</t>
  </si>
  <si>
    <t>Piquets acier galvanisé, France continentale, Base Carbone</t>
  </si>
  <si>
    <t>1 achat sur le web, Monde, Base Carbone</t>
  </si>
  <si>
    <t>1 mail, Monde, Base Carbone</t>
  </si>
  <si>
    <t>1 mail avec pièce jointe, Monde, Base Carbone</t>
  </si>
  <si>
    <t>1 requête internet, Monde, Base Carbone</t>
  </si>
  <si>
    <t>1 transaction logiciel classique, Monde, Base Carbone</t>
  </si>
  <si>
    <t>Articulé, 34 à 40 T, diesel routier, 7% de biodiesel, France continentale, Base Carbone</t>
  </si>
  <si>
    <t>Camion porteur, 45 m3, France continentale, Base Carbone</t>
  </si>
  <si>
    <t>Fourgon, 8 m3, France continentale, Base Carbone</t>
  </si>
  <si>
    <t>Rigide, 20 à 26 T, diesel routier, 7% biodiesel, France continentale, Base Carbone</t>
  </si>
  <si>
    <t>Avion cargo, 10 à 25 T, 500 - 1000 km, avec trainées, France continentale, Base Carbone</t>
  </si>
  <si>
    <t>Avion passagers, long courrier, avec trainées, France continentale, Base Carbone</t>
  </si>
  <si>
    <t>Motorisation moyenne, chargement dense, France continentale, Base Carbone</t>
  </si>
  <si>
    <t>Traction diesel, chargement dense, France continentale, Base Carbone</t>
  </si>
  <si>
    <t>Train de marchandises, Allemagne, Base Carbone</t>
  </si>
  <si>
    <t>Iles et autres pays</t>
  </si>
  <si>
    <t>Iles_autres_pays</t>
  </si>
  <si>
    <t>Traction électrique, chargement moyen, France continentale, Base Carbone</t>
  </si>
  <si>
    <t>Train de marchandises, Suede, Base Carbone</t>
  </si>
  <si>
    <t>Train de marchandises, Portugal, Base Carbone</t>
  </si>
  <si>
    <t>Cargo, 10 000 à 20 000 T, HFO-MGO, Outre-mer, Base Carbone</t>
  </si>
  <si>
    <t>Gazier petit GPL, France continentale, Base Carbone</t>
  </si>
  <si>
    <t>Porte-conteneurs, Dry, Asie - Europe du Nord, France continentale, Base Carbone</t>
  </si>
  <si>
    <t>Bateau automoteur, &lt; 400 TPL, France continentale, Base Carbone</t>
  </si>
  <si>
    <t>Bateau automoteur, 400 à 649 TPL, France continentale, Base Carbone</t>
  </si>
  <si>
    <t>Bateau pousseur, &lt; 880 kW, France continentale, Base Carbone</t>
  </si>
  <si>
    <t>Rigide, 20 à 26 T, GNL, France continentale, Base Carbone</t>
  </si>
  <si>
    <t>Traction électrique, chargement dense, France continentale, Base Carbone</t>
  </si>
  <si>
    <t>Moyennes parcs</t>
  </si>
  <si>
    <t>Voiture - motorisation essence - 2018, France continentale, Base Carbone</t>
  </si>
  <si>
    <t>Voiture - motorisation gazole - 2018, France continentale, Base Carbone</t>
  </si>
  <si>
    <t>Voiture - motorisation moyenne - 2018, France continentale, Base Carbone</t>
  </si>
  <si>
    <t>Gamme</t>
  </si>
  <si>
    <t>Voiture particulière - haut de gamme - berline - électrique, France continentale, Base Carbone</t>
  </si>
  <si>
    <t>Voiture particulière - cœur de gamme - véhicule compact - Hybride rechargeable, plug in-hybrid, P2/prius, France continentale, Base Carbone</t>
  </si>
  <si>
    <t>Voiture particulière - entrée de gamme - véhicule léger - Hybride rechargeable avec alimentation auxilliaire de puissance, France continentale, Base Carbone</t>
  </si>
  <si>
    <t>Voiture particulière - entrée de gamme - véhicule léger - Hybride, mild essence, France continentale, Base Carbone</t>
  </si>
  <si>
    <t>Usage (distance)</t>
  </si>
  <si>
    <t>Voiture E85 - courte distance - 2018, France continentale, Base Carbone</t>
  </si>
  <si>
    <t>Voiture essence - longue distance - 2018, France continentale, Base Carbone</t>
  </si>
  <si>
    <t>Voiture gazole - courte distance - 2018, France continentale, Base Carbone</t>
  </si>
  <si>
    <t>Voiture gazole - mixte - 2018, France continentale, Base Carbone</t>
  </si>
  <si>
    <t>Voiture GPL - longue distance - 2018, France continentale, Base Carbone</t>
  </si>
  <si>
    <t>Voiture moyenne - mixte - 2018, France continentale, Base Carbone</t>
  </si>
  <si>
    <t>Autobus moyen - agglomération moins de 100 000 habitants, France continentale, Base Carbone</t>
  </si>
  <si>
    <t>Autobus électrique, France continentale, Base Carbone</t>
  </si>
  <si>
    <t>Autocar gazole, France continentale, Base Carbone</t>
  </si>
  <si>
    <t>7 - Deux roues, domicile-travail</t>
  </si>
  <si>
    <t>Moto =&lt; 250 cm3 - rural - 2018, France continentale, Base Carbone</t>
  </si>
  <si>
    <t>Métro - 2018 - Ile de France, France continentale, Base Carbone</t>
  </si>
  <si>
    <t>TER - 2018 - traction moyenne, France continentale, Base Carbone</t>
  </si>
  <si>
    <t>Train grandes lignes - 2019, France continentale, Base Carbone</t>
  </si>
  <si>
    <t>kgCO2e/passager eq.km</t>
  </si>
  <si>
    <t>Navette maritime liaison inter-îles, Mayotte-Anjouan, France continentale, Base Carbone</t>
  </si>
  <si>
    <t>Navette maritime liaison inter-îles, Petite Terre-Grande Terre, France continentale, Base Carbone</t>
  </si>
  <si>
    <t>Navette maritime liaison inter-îles, Polynésie, France continentale, Base Carbone</t>
  </si>
  <si>
    <r>
      <t xml:space="preserve">2 - Déplacements en voiture des </t>
    </r>
    <r>
      <rPr>
        <b/>
        <sz val="10"/>
        <color rgb="FFC00000"/>
        <rFont val="Arial"/>
        <family val="2"/>
      </rPr>
      <t>visiteurs</t>
    </r>
    <r>
      <rPr>
        <b/>
        <sz val="10"/>
        <rFont val="Arial"/>
        <family val="2"/>
      </rPr>
      <t>: calcul à partir des moyennes parcs et usage</t>
    </r>
  </si>
  <si>
    <r>
      <t xml:space="preserve">5 - </t>
    </r>
    <r>
      <rPr>
        <b/>
        <sz val="10"/>
        <color rgb="FFC00000"/>
        <rFont val="Arial"/>
        <family val="2"/>
      </rPr>
      <t>Visiteurs</t>
    </r>
    <r>
      <rPr>
        <b/>
        <sz val="10"/>
        <rFont val="Arial"/>
        <family val="2"/>
      </rPr>
      <t xml:space="preserve"> en 2 roues</t>
    </r>
  </si>
  <si>
    <r>
      <t xml:space="preserve">6 - </t>
    </r>
    <r>
      <rPr>
        <b/>
        <sz val="10"/>
        <color rgb="FFC00000"/>
        <rFont val="Arial"/>
        <family val="2"/>
      </rPr>
      <t>Visiteurs</t>
    </r>
    <r>
      <rPr>
        <b/>
        <sz val="10"/>
        <rFont val="Arial"/>
        <family val="2"/>
      </rPr>
      <t xml:space="preserve"> en avion, passager.km</t>
    </r>
  </si>
  <si>
    <r>
      <t xml:space="preserve">8 - </t>
    </r>
    <r>
      <rPr>
        <b/>
        <sz val="10"/>
        <color rgb="FFC00000"/>
        <rFont val="Arial"/>
        <family val="2"/>
      </rPr>
      <t>Visiteurs</t>
    </r>
    <r>
      <rPr>
        <b/>
        <sz val="10"/>
        <rFont val="Arial"/>
        <family val="2"/>
      </rPr>
      <t xml:space="preserve"> en bateau</t>
    </r>
  </si>
  <si>
    <r>
      <t xml:space="preserve">9 - </t>
    </r>
    <r>
      <rPr>
        <b/>
        <sz val="10"/>
        <color rgb="FFC00000"/>
        <rFont val="Arial"/>
        <family val="2"/>
      </rPr>
      <t xml:space="preserve">Visiteurs </t>
    </r>
    <r>
      <rPr>
        <b/>
        <sz val="10"/>
        <rFont val="Arial"/>
        <family val="2"/>
      </rPr>
      <t>en train (y compris métro, tram, RER) non possédé par l'organisation</t>
    </r>
  </si>
  <si>
    <t>Ferré</t>
  </si>
  <si>
    <t>5 - Autobus - Autocar, domicile-travail : calcul à partir des passager.km</t>
  </si>
  <si>
    <t>6 - Autobus - Autocar, domicile-travail : calcul approché à partir du nombre d'utilisateurs</t>
  </si>
  <si>
    <t>3 - Voiture, domicile - travail : calcul à partir des moyenne parc, gamme et usage</t>
  </si>
  <si>
    <t>Moyenne parc</t>
  </si>
  <si>
    <r>
      <t xml:space="preserve">4 - Autobus - Autocar, domicile-travail : calcul à partir des véhicule.km </t>
    </r>
    <r>
      <rPr>
        <b/>
        <sz val="10"/>
        <color rgb="FFC00000"/>
        <rFont val="Arial"/>
        <family val="2"/>
      </rPr>
      <t>(cette untité n'est pas disponible dans la Base Carbone pour l'instant!)</t>
    </r>
  </si>
  <si>
    <t>8 - Train (y compris métro, tram, RER), domicile-travail</t>
  </si>
  <si>
    <r>
      <t xml:space="preserve">3 - </t>
    </r>
    <r>
      <rPr>
        <b/>
        <sz val="10"/>
        <color rgb="FFC00000"/>
        <rFont val="Arial"/>
        <family val="2"/>
      </rPr>
      <t xml:space="preserve">Visiteurs </t>
    </r>
    <r>
      <rPr>
        <b/>
        <sz val="10"/>
        <rFont val="Arial"/>
        <family val="2"/>
      </rPr>
      <t>en autobus et autocar, domicile-travail : calcul à partir des passager.km</t>
    </r>
  </si>
  <si>
    <r>
      <t xml:space="preserve">4 - </t>
    </r>
    <r>
      <rPr>
        <b/>
        <sz val="10"/>
        <color rgb="FFC00000"/>
        <rFont val="Arial"/>
        <family val="2"/>
      </rPr>
      <t>Visiteurs</t>
    </r>
    <r>
      <rPr>
        <b/>
        <sz val="10"/>
        <rFont val="Arial"/>
        <family val="2"/>
      </rPr>
      <t xml:space="preserve"> en autobus et autocar : calcul à partir des véhicule.km </t>
    </r>
    <r>
      <rPr>
        <b/>
        <sz val="10"/>
        <color rgb="FFC00000"/>
        <rFont val="Arial"/>
        <family val="2"/>
      </rPr>
      <t>(cette untité n'est pas disponible dans la Base Carbone pour l'instant!)</t>
    </r>
  </si>
  <si>
    <t>Nombre moyen de km par voyage</t>
  </si>
  <si>
    <t>Pneumatiques usagés non réutilisables - mix combustible moyen</t>
  </si>
  <si>
    <t>Pneumatiques usagés non réutilisables - poids lourds</t>
  </si>
  <si>
    <t>Pneumatiques usagés non réutilisables - poids lourds, France continentale, Base Carbone</t>
  </si>
  <si>
    <t>Produits chimiques et Hydrogène</t>
  </si>
  <si>
    <t>Produits chimiques &amp; Hydrogène</t>
  </si>
  <si>
    <t>Hydrogène_production</t>
  </si>
  <si>
    <t>Compression d'hydrogène à 200 bars</t>
  </si>
  <si>
    <t>kgCO2e/kgH2</t>
  </si>
  <si>
    <t>Hydrogène produit sur site - électrolyse UE</t>
  </si>
  <si>
    <t>Hydrogène produit sur site - vaporeformage de biométhane</t>
  </si>
  <si>
    <t>Hydrogène produit sur site - vaporeformage de gaz naturel</t>
  </si>
  <si>
    <t>Transport d'hydrogène à 200 bars</t>
  </si>
  <si>
    <t>Hydrogène_distribution en station</t>
  </si>
  <si>
    <t>amont (production)</t>
  </si>
  <si>
    <t>amont (compression et station)</t>
  </si>
  <si>
    <t>Hydrogène station - électrolyse UE - transport exclus</t>
  </si>
  <si>
    <t>Hydrogène station - vaporeformage de biométhane - transport exclus</t>
  </si>
  <si>
    <t>Hydrogène station - vaporeformage de gaz naturel - transport exclus</t>
  </si>
  <si>
    <t>kgCO2e/kgH2/100km</t>
  </si>
  <si>
    <t>kgCO2/kgH2/100km</t>
  </si>
  <si>
    <t>Hydrogène</t>
  </si>
  <si>
    <r>
      <rPr>
        <i/>
        <sz val="10"/>
        <rFont val="Arial"/>
        <family val="2"/>
      </rPr>
      <t>Production</t>
    </r>
    <r>
      <rPr>
        <sz val="10"/>
        <rFont val="Arial"/>
        <family val="2"/>
      </rPr>
      <t xml:space="preserve"> </t>
    </r>
  </si>
  <si>
    <t>Distribution en station</t>
  </si>
  <si>
    <t>Hydrogène station - électrolyse UE - transport exclus, France continentale, Base Carbone</t>
  </si>
  <si>
    <t>Hydrogène station - vaporeformage de biométhane - transport exclus, France continentale, Base Carbone</t>
  </si>
  <si>
    <t>Transport d'hydrogène à 200 bars, France continentale, Base Carbone</t>
  </si>
  <si>
    <t>Facteur d'émission</t>
  </si>
  <si>
    <t>kgCO2e</t>
  </si>
  <si>
    <t>Compression d'hydrogène à 200 bars France continentale, Base Carbone</t>
  </si>
  <si>
    <t>Hydrogène produit sur site - électrolyse UE Europe, Base Carbone</t>
  </si>
  <si>
    <t>Hydrogène produit sur site - vaporeformage de biométhane France continentale, Base Carbone</t>
  </si>
  <si>
    <t>Utilitaire, &lt;3,5 T, hydrogène électrolyse décentralisée UE</t>
  </si>
  <si>
    <t>Utilitaire, &lt;3,5 T, hydrogène SMR gaz naturel centralisé</t>
  </si>
  <si>
    <t>Utilitaire, &lt;3,5 T, hydrogène SMR biométhane centralisé</t>
  </si>
  <si>
    <t>Utilitaire, &lt;3,5 T, hydrogène électrolyse décentralisée EnR, France continentale, Base Carbone</t>
  </si>
  <si>
    <t>Voiture particulière - berline - hydrogène électrolyse EU décentralisée</t>
  </si>
  <si>
    <t>Voiture particulière - berline - hydrogène SMR biométhane centralisé</t>
  </si>
  <si>
    <t>Voiture particulière - berline - hydrogèbne SMR GN centralisé</t>
  </si>
  <si>
    <t>Voiture particulière - berline - hydrogène électrolyse EnR décentralisée, France continentale, Base Carbone</t>
  </si>
  <si>
    <t>Trottinette - électrique</t>
  </si>
  <si>
    <t>Vélo à assistance électrique</t>
  </si>
  <si>
    <t>Hoverboard</t>
  </si>
  <si>
    <t>kgCO2e/heure</t>
  </si>
  <si>
    <t>Hoverboard, France continentale, Base Carbone</t>
  </si>
  <si>
    <t>2019 - mix moyen</t>
  </si>
  <si>
    <t>2020 - mix moyen</t>
  </si>
  <si>
    <t>2020 - mix moyen, France continentale, Base Carbone</t>
  </si>
  <si>
    <t>2019 - mix moyen, France continentale, Base Carbone</t>
  </si>
  <si>
    <t>Vidéo-projecteur</t>
  </si>
  <si>
    <t>Enceinte à commande vocale</t>
  </si>
  <si>
    <t>Ecran public 2m²</t>
  </si>
  <si>
    <t>Ecran public 2m² (sans casing)</t>
  </si>
  <si>
    <t>Vidéo-projecteur, France continentale, Base Carbone</t>
  </si>
  <si>
    <t>Appareil à raclettes 6-8p</t>
  </si>
  <si>
    <t>Ballon électrique chauffe-eau 200L</t>
  </si>
  <si>
    <t>Bouilloire</t>
  </si>
  <si>
    <t>Climatisateur mobile</t>
  </si>
  <si>
    <t>Hotte décorative à extraction</t>
  </si>
  <si>
    <t>Hotte visière à recyclage d'air</t>
  </si>
  <si>
    <t>Machine à café - dosette</t>
  </si>
  <si>
    <t>Machine à café - expresso</t>
  </si>
  <si>
    <t>Machine à café - filtre</t>
  </si>
  <si>
    <t>Plaques de cuisson à induction 9000W</t>
  </si>
  <si>
    <t>Plaques de cuisson au gaz 9000W</t>
  </si>
  <si>
    <t>Plaques de cuisson vitrocéramique 9000W</t>
  </si>
  <si>
    <t>Radiateur électrique 1000W à inertie</t>
  </si>
  <si>
    <t>Radiateur électrique 1000W à rayonnement</t>
  </si>
  <si>
    <t>Appareil à raclettes 6-8p, France continentale, Base Carbone</t>
  </si>
  <si>
    <t>Perceuse-visseuse (sans fil)</t>
  </si>
  <si>
    <t>Robot tondeuse (Lithium Ion 3.2 Ah)</t>
  </si>
  <si>
    <t>Approvisonnement</t>
  </si>
  <si>
    <t>Scie sauteuse 720 W</t>
  </si>
  <si>
    <t>Tondeuse électrique 1200W</t>
  </si>
  <si>
    <t>Tondeuse thermique 190 cm³</t>
  </si>
  <si>
    <t>Aimant AlNiCo</t>
  </si>
  <si>
    <t>Aimant NdFeB</t>
  </si>
  <si>
    <t>Câble électrique externe - alimentation générale, conducteur cuivre, isolation PE et gaine PVC</t>
  </si>
  <si>
    <t>Câble électrique interne - signal, conducteur cuivre, isolation PE</t>
  </si>
  <si>
    <t>Pile alcaline  AAA 12g</t>
  </si>
  <si>
    <t>Pile alcaline AA 23g</t>
  </si>
  <si>
    <t>Perceuse-visseuse (sans fil), France continentale, Base Carbone</t>
  </si>
  <si>
    <t>Variateur électrique, Monde, Base Carbone</t>
  </si>
  <si>
    <t>Câble électrique interne, Monde, Base Carbone</t>
  </si>
  <si>
    <t>Robot tondeuse (Lithium Ion 3.2 Ah), France continentale, Base Carbone</t>
  </si>
  <si>
    <t>Scie sauteuse 720 W, France continentale, Base Carbone</t>
  </si>
  <si>
    <t>Véhicules et matériels de transport</t>
  </si>
  <si>
    <t>Trottinette électrique</t>
  </si>
  <si>
    <t>Véhicule</t>
  </si>
  <si>
    <t>Trottinette électrique, France continentale, Base Carbone</t>
  </si>
  <si>
    <t>Véhicule, France continentale, Base Carbone</t>
  </si>
  <si>
    <t>Vélo à assistance électrique, France continentale, Base Carbone</t>
  </si>
  <si>
    <t>biologique, système n ° 3</t>
  </si>
  <si>
    <t>conventionnel, moyenne nationale, aliments pour animaux</t>
  </si>
  <si>
    <t>conventionnel, panifiable, 15% d'humidité</t>
  </si>
  <si>
    <t>conventionnel, fourrage intensif</t>
  </si>
  <si>
    <t>biologique, système n ° 1</t>
  </si>
  <si>
    <t>biologique, système n ° 2</t>
  </si>
  <si>
    <t>biologique, système n ° 4</t>
  </si>
  <si>
    <t>système conventionnel, montagne, nourri à l'herbe</t>
  </si>
  <si>
    <t>biologique, moyenne nationale</t>
  </si>
  <si>
    <t>conventionnel, production à l'intérieur</t>
  </si>
  <si>
    <t>conventionnel, 28% d'humidité, moyenne nationale</t>
  </si>
  <si>
    <t>Bleu Blanc Coeur, en plein air</t>
  </si>
  <si>
    <t>de l'association de cultures, biologique</t>
  </si>
  <si>
    <t>biologique, système laitier de plaine, maïs ensilé 5 à 10%</t>
  </si>
  <si>
    <t>Anchois européen</t>
  </si>
  <si>
    <t>Bar ou daurade</t>
  </si>
  <si>
    <t>Coquille Saint-Jacques</t>
  </si>
  <si>
    <t>Gadidae</t>
  </si>
  <si>
    <t>Hareng de l'Atlantique</t>
  </si>
  <si>
    <t>Lieu noir</t>
  </si>
  <si>
    <t>Listao</t>
  </si>
  <si>
    <t>Maquereau Atlantique</t>
  </si>
  <si>
    <t>Moules</t>
  </si>
  <si>
    <t>Petite truite</t>
  </si>
  <si>
    <t>Sardine européenne</t>
  </si>
  <si>
    <t>Sole commune</t>
  </si>
  <si>
    <t>Thon Albacore</t>
  </si>
  <si>
    <t>Thon rouge</t>
  </si>
  <si>
    <t>de l'association de cultures, biologique, système n ° 1</t>
  </si>
  <si>
    <t>200-500g, conventionnel, en cage</t>
  </si>
  <si>
    <t>14 jours, biologique</t>
  </si>
  <si>
    <t>conventionnel, 28% d'humidité, alimentaion animale, moyenne nationale</t>
  </si>
  <si>
    <t>Arbuste Potted</t>
  </si>
  <si>
    <t>Avoine</t>
  </si>
  <si>
    <t>Betteraves</t>
  </si>
  <si>
    <t>Blé d'hiver</t>
  </si>
  <si>
    <t>Blé de printemps</t>
  </si>
  <si>
    <t>Chanvre</t>
  </si>
  <si>
    <t>Chou-fleur</t>
  </si>
  <si>
    <t>Clémentine</t>
  </si>
  <si>
    <t>Colza d'hiver</t>
  </si>
  <si>
    <t>Courge</t>
  </si>
  <si>
    <t>Fibres de chanvre</t>
  </si>
  <si>
    <t>Fraise</t>
  </si>
  <si>
    <t>Grain de café (robusta)</t>
  </si>
  <si>
    <t>Graine de chanvre</t>
  </si>
  <si>
    <t>Graine de tournesol</t>
  </si>
  <si>
    <t>Haricot français</t>
  </si>
  <si>
    <t>Laitue</t>
  </si>
  <si>
    <t>Noix de coco</t>
  </si>
  <si>
    <t>Oignon</t>
  </si>
  <si>
    <t>Pois chiche</t>
  </si>
  <si>
    <t>Pommes de terre</t>
  </si>
  <si>
    <t>riz Jasmine</t>
  </si>
  <si>
    <t>Rose (fleur coupée)</t>
  </si>
  <si>
    <t>Soja</t>
  </si>
  <si>
    <t>Raisin de cuve</t>
  </si>
  <si>
    <t>conventionnel, 15% d'humidité, pour alimentation animale</t>
  </si>
  <si>
    <t>MedSea, Seine, moyenne</t>
  </si>
  <si>
    <t>MedSea, palangre, moyenne, sur le site de production</t>
  </si>
  <si>
    <t>prairie permanente, avec trèfle, région du Nord-Ouest, sortie de ferme</t>
  </si>
  <si>
    <t>conventionnel, moyenne nationale, pour alimentation animale, sortie de ferme</t>
  </si>
  <si>
    <t>prairie permanente, sans trèfle, Auvergne, sortie de ferme</t>
  </si>
  <si>
    <t>de l'association de cultures, biologique, système n ° 2, sortie de ferme</t>
  </si>
  <si>
    <t>biologique, système n ° 1, sortie de ferme</t>
  </si>
  <si>
    <t>hors-sol, faible chauffé, lutte ravageur intégrée, sortie de ferme</t>
  </si>
  <si>
    <t>conventionnel, mélange de variétés, moyenne nationale, sortie de ferme</t>
  </si>
  <si>
    <t>conventionnel, moyenne nationale, aliments pour animaux, au verger</t>
  </si>
  <si>
    <t>biologique, sortie de ferme</t>
  </si>
  <si>
    <t>prairie permanente, biologique, système n ° 2, sortie de ferme</t>
  </si>
  <si>
    <t>prairie permanente, sans trèfle, région du Nord-Ouest, au verger</t>
  </si>
  <si>
    <t>fruit, avec déforestation sur des terres récemment transformé, pour alimentation animale, sortie de ferme</t>
  </si>
  <si>
    <t>prairie permanente, biologique, système n ° 3, sortie de ferme</t>
  </si>
  <si>
    <t>14 jours, biologique, système n ° 5, sortie de ferme</t>
  </si>
  <si>
    <t>pâturage , biologique, sortie de ferme</t>
  </si>
  <si>
    <t>printemps, sortie de ferme</t>
  </si>
  <si>
    <t>conventionnel, serre récente,  gaz naturel,  sans recyclage des drainages, sortie de ferme</t>
  </si>
  <si>
    <t>pâturage , biologique, système n ° 1, sortie de ferme</t>
  </si>
  <si>
    <t>Mer Celtique, chalut de fond, moyenne, sortie de ferme</t>
  </si>
  <si>
    <t>conventionnel, serre récente,  énergie fatale et gaz naturel,  avec recyclage des drainages, sortie de ferme</t>
  </si>
  <si>
    <t>conventionnel, de saison, Aquitaine, au départ de l'exploitation</t>
  </si>
  <si>
    <t>fruit, aliments pour animaux moyen, pour alimentation animale, sortie de ferme</t>
  </si>
  <si>
    <t>14 jours, biologique, système n ° 2, sortie de ferme</t>
  </si>
  <si>
    <t>Mer du Nord, chalut de fond, moyenne, frais, sortie de ferme</t>
  </si>
  <si>
    <t>de saison, biologique, production de racines, sortie de ferme</t>
  </si>
  <si>
    <t>conventionnel, séchée, variétés traditionnelles, sortie de ferme</t>
  </si>
  <si>
    <t>conventionnel, serre semi fermée,  énergie fatale et biomasse,  avec CO2 liquide, avec recyclage, au verger</t>
  </si>
  <si>
    <t>biologique, sous serre, moyenne nationale, sortie de ferme</t>
  </si>
  <si>
    <t>pâturage d'été, biologique, système n ° 1, à l'entepôt régional</t>
  </si>
  <si>
    <t>conventionnel, serre semi fermée,  énergie fatale et biomasse,  sans CO2 liquide, sortie de ferme</t>
  </si>
  <si>
    <t>conventionnel, calibre intermédiaire, sous abri chauffé, au verger</t>
  </si>
  <si>
    <t>NEA, chalut pélagique, moyenne, au verger</t>
  </si>
  <si>
    <t>prairie temporaire, biologique, système n ° 3, sortie de ferme</t>
  </si>
  <si>
    <t>de l'association de cultures, biologique, sortie de ferme</t>
  </si>
  <si>
    <t>silo horizontal, prairie permanente, sans trèfle, Auvergne, au verger</t>
  </si>
  <si>
    <t>prairie permanente, avec trèfle, région du Nord-Ouest, au verger</t>
  </si>
  <si>
    <t>de l'association de cultures, biologique, système n ° 1, sortie de ferme</t>
  </si>
  <si>
    <t>de l'association de cultures, biologique, système n ° 4, sortie de ferme</t>
  </si>
  <si>
    <t>conventionnel, moyenne nationale, Aquitaine, au vignoble</t>
  </si>
  <si>
    <t>fruit, sans déforestation, pour alimentation animale, sortie de ferme</t>
  </si>
  <si>
    <t>biologique, Gers, sortie de ferme</t>
  </si>
  <si>
    <t>MedSea, palangre, sortie de ferme</t>
  </si>
  <si>
    <t>prairie permanente, biologique, sortie de ferme</t>
  </si>
  <si>
    <t>biologique, système n ° 4, sortie de ferme</t>
  </si>
  <si>
    <t>Alcool pur</t>
  </si>
  <si>
    <t>Apéritif à base de vin ou vermouth</t>
  </si>
  <si>
    <t>Boisson à l'amande</t>
  </si>
  <si>
    <t>Boisson au jus de fruit et au lait</t>
  </si>
  <si>
    <t>Champagne</t>
  </si>
  <si>
    <t>Cocktail à base de rhum</t>
  </si>
  <si>
    <t>Cocktail à base de whisky</t>
  </si>
  <si>
    <t>Cocktail sans alcool (à base de jus de fruits et de sirop)</t>
  </si>
  <si>
    <t>Crème de cassis</t>
  </si>
  <si>
    <t>Diabolo (limonade et sirop)</t>
  </si>
  <si>
    <t>Eau embouteillée de source</t>
  </si>
  <si>
    <t>Kir (au vin blanc)</t>
  </si>
  <si>
    <t>Kir royal (au champagne)</t>
  </si>
  <si>
    <t>Lait de coco ou Crème de coco</t>
  </si>
  <si>
    <t>Liqueur</t>
  </si>
  <si>
    <t>Marsala</t>
  </si>
  <si>
    <t>Pastis</t>
  </si>
  <si>
    <t>Pétillant de fruits</t>
  </si>
  <si>
    <t>Saké ou Alcool de riz</t>
  </si>
  <si>
    <t>Sangria</t>
  </si>
  <si>
    <t>Smoothie</t>
  </si>
  <si>
    <t>Vin doux</t>
  </si>
  <si>
    <t>Vin rosé 11°</t>
  </si>
  <si>
    <t>Bière "coeur de marché" (4-5° alcool)</t>
  </si>
  <si>
    <t>Boisson à base d'avoine, nature</t>
  </si>
  <si>
    <t>Boisson à base de riz, nature</t>
  </si>
  <si>
    <t>Boisson à l'eau minérale ou de source, aromatisée, sucrée</t>
  </si>
  <si>
    <t>Boisson au soja, nature</t>
  </si>
  <si>
    <t>Boisson au thé, aromatisée, sucrée</t>
  </si>
  <si>
    <t>Boisson cacaotée ou au chocolat, instantanée, sucrée, prête à boire (reconstituée avec du lait demi-écrémé standard)</t>
  </si>
  <si>
    <t>Boisson énergisante, non sucrée, avec édulcorants</t>
  </si>
  <si>
    <t>Boisson gazeuse aux fruits (à moins de 10% de jus), sucrée</t>
  </si>
  <si>
    <t>Boisson gazeuse, sans jus de fruit, à teneur réduite en sucres</t>
  </si>
  <si>
    <t>Boisson lactée aromatisée à la fraise, sucrée, au lait partiellement écrémé, enrichie à la vitamine D</t>
  </si>
  <si>
    <t>Boisson plate aux fruits (10 à 50% de jus), à teneur réduite en sucres</t>
  </si>
  <si>
    <t>Boisson préparée à partir de sirop à diluer type menthe, fraise, etc, sucré, dilué dans l'eau</t>
  </si>
  <si>
    <t>Cacao, non sucré, poudre soluble</t>
  </si>
  <si>
    <t>Café au lait ou cappuccino au chocolat, poudre soluble</t>
  </si>
  <si>
    <t>Café au lait, café crème ou cappuccino, instantané ou non, non sucré, prêt à boire</t>
  </si>
  <si>
    <t>Café décaféiné, instantané, non sucré, prêt à boire</t>
  </si>
  <si>
    <t>Café décaféiné, non instantané, non sucré, prêt à boire</t>
  </si>
  <si>
    <t>Café expresso, non instantané, non sucré, prêt à boire</t>
  </si>
  <si>
    <t>Café, décaféiné, poudre soluble</t>
  </si>
  <si>
    <t>Café, instantané, non sucré, prêt à boire</t>
  </si>
  <si>
    <t>Café, moulu</t>
  </si>
  <si>
    <t>Café, non instantané, non sucré, prêt à boire</t>
  </si>
  <si>
    <t>Café, poudre soluble</t>
  </si>
  <si>
    <t>Chicorée et café, instantané, non sucré, prête à boire (reconstituée avec du lait demi-écrémé standard)</t>
  </si>
  <si>
    <t>Chicorée et café, poudre soluble</t>
  </si>
  <si>
    <t>Chicorée, instantanée, non sucrée, prête à boire (reconstituée avec du lait demi-écrémé standard)</t>
  </si>
  <si>
    <t>Chicorée, poudre soluble</t>
  </si>
  <si>
    <t>Cidre aromatisé (framboise)</t>
  </si>
  <si>
    <t>Cidre traditionnel</t>
  </si>
  <si>
    <t>Citron ou Lime, spécialité à diluer pour boissons, sans sucres ajoutés</t>
  </si>
  <si>
    <t>Cocktail type punch, 16% alcool</t>
  </si>
  <si>
    <t>Cola, non sucré, avec édulcorants</t>
  </si>
  <si>
    <t>Eau de source Cristaline, embouteillée, non gazeuse</t>
  </si>
  <si>
    <t>Eau de vie</t>
  </si>
  <si>
    <t>Gin</t>
  </si>
  <si>
    <t>Jus de pomme, pur jus</t>
  </si>
  <si>
    <t>Jus d'orange, maison</t>
  </si>
  <si>
    <t>Jus multifruit, pur jus, standard</t>
  </si>
  <si>
    <t>Limonade, sucrée</t>
  </si>
  <si>
    <t>Nectar multifruit, standard</t>
  </si>
  <si>
    <t>Panaché (limonade et bière)</t>
  </si>
  <si>
    <t>Poudre cacaotée ou au chocolat pour boisson, sucrée</t>
  </si>
  <si>
    <t>Rhum</t>
  </si>
  <si>
    <t>Sirop à diluer, sucré</t>
  </si>
  <si>
    <t>Thé infusé, non sucré</t>
  </si>
  <si>
    <t>Tonic ou bitter, non sucré, avec édulcorants</t>
  </si>
  <si>
    <t>Vin blanc sec 11°</t>
  </si>
  <si>
    <t>Vin rouge 10°</t>
  </si>
  <si>
    <t>Vin rouge 11°</t>
  </si>
  <si>
    <t>Vin rouge 12°</t>
  </si>
  <si>
    <t>Vin rouge 13°</t>
  </si>
  <si>
    <t>Vodka</t>
  </si>
  <si>
    <t>Whisky</t>
  </si>
  <si>
    <t>Bouillon de légumes, déshydraté reconstitué</t>
  </si>
  <si>
    <t>Boulettes au bœuf, à la sauce tomate</t>
  </si>
  <si>
    <t>Brick garni (garniture : crevettes, légumes, volaille, viande, poisson, etc.)</t>
  </si>
  <si>
    <t>Brochette de poisson</t>
  </si>
  <si>
    <t>Burger au poisson</t>
  </si>
  <si>
    <t>Burger au poulet</t>
  </si>
  <si>
    <t>Burritos</t>
  </si>
  <si>
    <t>Cake salé (garniture : fromage, légumes, viande, poisson, volaille, etc.)</t>
  </si>
  <si>
    <t>Canard en sauce (poivre vert, chasseur, etc.)</t>
  </si>
  <si>
    <t>Cassoulet au porc, appertisé</t>
  </si>
  <si>
    <t>Céleri rémoulade, préemballé</t>
  </si>
  <si>
    <t>Cheeseburger, provenant de fast food</t>
  </si>
  <si>
    <t>Chou farci</t>
  </si>
  <si>
    <t>Choucroute garnie</t>
  </si>
  <si>
    <t>Choucroute, sans garniture, égouttée</t>
  </si>
  <si>
    <t>Coq au vin</t>
  </si>
  <si>
    <t>Couscous de légumes</t>
  </si>
  <si>
    <t>Couscous royal (avec plusieurs viandes)</t>
  </si>
  <si>
    <t>Crêpe ou Galette complète (œuf, jambon, fromage)</t>
  </si>
  <si>
    <t>Croissant au jambon fromage</t>
  </si>
  <si>
    <t>Croque-monsieur</t>
  </si>
  <si>
    <t>Double cheeseburger, provenant de fast food</t>
  </si>
  <si>
    <t>Endive au jambon</t>
  </si>
  <si>
    <t>Épinards à la crème</t>
  </si>
  <si>
    <t>Fajitas</t>
  </si>
  <si>
    <t>Falafel ou Boulette de pois-chiche et/ou fève, frite</t>
  </si>
  <si>
    <t>Feuilleté au poisson et / ou fruits de mer</t>
  </si>
  <si>
    <t>Feuilleté ou Friand à la viande</t>
  </si>
  <si>
    <t>Feuilleté ou Friand au fromage</t>
  </si>
  <si>
    <t>Ficelle picarde</t>
  </si>
  <si>
    <t>Flammenkueche ou Tarte flambée aux lardons</t>
  </si>
  <si>
    <t>Flan de légumes</t>
  </si>
  <si>
    <t>Focaccia, garnie</t>
  </si>
  <si>
    <t>Fondue savoyarde (fromages, vin, pain)</t>
  </si>
  <si>
    <t>Fougasse, garnie</t>
  </si>
  <si>
    <t>Fromage pané au jambon</t>
  </si>
  <si>
    <t>Gougère</t>
  </si>
  <si>
    <t>Gratin de légumes</t>
  </si>
  <si>
    <t>Gratin de pâtes</t>
  </si>
  <si>
    <t>Gratin de poisson et purée ou brandade aux pommes de terre ou parmentier de poisson</t>
  </si>
  <si>
    <t>Hachis Parmentier à la viande</t>
  </si>
  <si>
    <t>Hamburger, provenant de fast food</t>
  </si>
  <si>
    <t>Haricots blancs à la sauce tomate, appertisés</t>
  </si>
  <si>
    <t>Hot-dog</t>
  </si>
  <si>
    <t>Lasagnes ou canelloni aux légumes et au fromage de chèvre, cuits</t>
  </si>
  <si>
    <t>Lasagnes ou cannelloni à la viande (bolognaise)</t>
  </si>
  <si>
    <t>Lasagnes ou cannelloni au fromage et aux épinards</t>
  </si>
  <si>
    <t>Légumes farcis (sauf tomate)</t>
  </si>
  <si>
    <t>Moules farcies (matière grasse, persillade…), crues</t>
  </si>
  <si>
    <t>Moules marinières (oignons et vin blanc)</t>
  </si>
  <si>
    <t>Moussaka</t>
  </si>
  <si>
    <t>Navarin d'agneau aux légumes</t>
  </si>
  <si>
    <t>Nem ou Pâté impérial</t>
  </si>
  <si>
    <t>Nouilles sautées/poêlées aux crevettes</t>
  </si>
  <si>
    <t>Osso buco</t>
  </si>
  <si>
    <t>Palet ou galette de légumes, préfrit, surgelé</t>
  </si>
  <si>
    <t>Pan bagnat</t>
  </si>
  <si>
    <t>Parmentier de canard</t>
  </si>
  <si>
    <t>Pastilla au poulet</t>
  </si>
  <si>
    <t>Pâtes à la bolognaise (spaghetti, tagliatelles…)</t>
  </si>
  <si>
    <t>Pâtes à la carbonara (spaghetti, tagliatelles…)</t>
  </si>
  <si>
    <t>Pâtes fraîches farcies (ex : raviolis), à la viande (ex : bolognaise), cuites</t>
  </si>
  <si>
    <t>Pâtes fraîches farcies (ex : raviolis), au fromage et aux légumes, cuites</t>
  </si>
  <si>
    <t>Pâtes fraîches farcies (ex : raviolis), aux légumes, cuites</t>
  </si>
  <si>
    <t>Paupiette de veau</t>
  </si>
  <si>
    <t>Paupiette de volaille</t>
  </si>
  <si>
    <t>Petit salé ou saucisse aux lentilles</t>
  </si>
  <si>
    <t>Piperade basquaise</t>
  </si>
  <si>
    <t>Pissaladière</t>
  </si>
  <si>
    <t>Pizza 4 fromages</t>
  </si>
  <si>
    <t>Pizza à la viande, type bolognaise</t>
  </si>
  <si>
    <t>Pizza au chèvre et lardons</t>
  </si>
  <si>
    <t>Pizza aux légumes ou Pizza 4 saisons</t>
  </si>
  <si>
    <t>Poêlée de légumes assaisonnés à l'asiatiques ou wok de légumes, surgelée, crue</t>
  </si>
  <si>
    <t>Poisson blanc à la bordelaise</t>
  </si>
  <si>
    <t>Poisson blanc à la florentine (sauce aux épinards)</t>
  </si>
  <si>
    <t>Poisson en sauce, surgelé</t>
  </si>
  <si>
    <t>Porc au caramel</t>
  </si>
  <si>
    <t>Pot-au-feu</t>
  </si>
  <si>
    <t>Potée auvergnate (chou et porc)</t>
  </si>
  <si>
    <t>Poulet au curry et au lait de coco</t>
  </si>
  <si>
    <t>Poulet basquaise</t>
  </si>
  <si>
    <t>Ratatouille cuisinée</t>
  </si>
  <si>
    <t>Ravioli à la viande, sauce tomate, appertisé</t>
  </si>
  <si>
    <t>Ravioli chinois à la vapeur à la crevette, cuit</t>
  </si>
  <si>
    <t>Risotto, aux fromages</t>
  </si>
  <si>
    <t>Riste d'aubergines (aubergines, tomates, oignons)</t>
  </si>
  <si>
    <t>Riz blanc, cuit, avec légumes et viande</t>
  </si>
  <si>
    <t>Riz cantonais</t>
  </si>
  <si>
    <t>Rouleau de printemps</t>
  </si>
  <si>
    <t>Salade César au poulet (salade verte, fromage, croûtos, sauce)</t>
  </si>
  <si>
    <t>Salade composée avec viande ou poisson, appertisée, égouttée</t>
  </si>
  <si>
    <t>Salade de chou ou Coleslaw, avec sauce, préemballée</t>
  </si>
  <si>
    <t>Salade de pâtes, végétarienne</t>
  </si>
  <si>
    <t>Samossas ou Samoussas</t>
  </si>
  <si>
    <t>Sandwich baguette, jambon, beurre</t>
  </si>
  <si>
    <t>Sandwich baguette, merguez, ketchup moutarde</t>
  </si>
  <si>
    <t>Sandwich baguette, oeuf, crudités (tomate, salade), mayonnaise</t>
  </si>
  <si>
    <t>Sandwich baguette, poulet, crudités (tomate, salade), mayonnaise</t>
  </si>
  <si>
    <t>Sandwich baguette, saumon fumé, beurre</t>
  </si>
  <si>
    <t>Sandwich baguette, thon, crudités (tomate, salade), mayonnaise</t>
  </si>
  <si>
    <t>Sandwich grec ou Kebab, baguette, crudités</t>
  </si>
  <si>
    <t>Sandwich pain de mie complet, thon, crudités, mayonnaise</t>
  </si>
  <si>
    <t>Sandwich pain de mie, garnitures diverses</t>
  </si>
  <si>
    <t>Sandwich panini, jambon cru, mozzarella, tomates</t>
  </si>
  <si>
    <t>Saumon à l'oseille</t>
  </si>
  <si>
    <t>Soufflé au fromage</t>
  </si>
  <si>
    <t>Soupe aux légumes variés, préemballée à réchauffer</t>
  </si>
  <si>
    <t>Soupe de poissons et / ou crustacés, préemballée à réchauffer</t>
  </si>
  <si>
    <t>Sushi ou Maki aux produits de la mer</t>
  </si>
  <si>
    <t>Taboulé ou Salade de couscous, préemballé</t>
  </si>
  <si>
    <t>Tarte au saumon</t>
  </si>
  <si>
    <t>Tarte aux légumes</t>
  </si>
  <si>
    <t>Terrine ou mousse de légumes</t>
  </si>
  <si>
    <t>Toasts ou Canapés salés, garnitures diverses</t>
  </si>
  <si>
    <t>Tofu, nature</t>
  </si>
  <si>
    <t>Tomate à la provençale</t>
  </si>
  <si>
    <t>Tomate farcie</t>
  </si>
  <si>
    <t>Tourte au riesling</t>
  </si>
  <si>
    <t>Tripes à la mode de Caen</t>
  </si>
  <si>
    <t>Tripes à la tomate ou à la provençale</t>
  </si>
  <si>
    <t>Yakitori (brochettes japonaises grillées en sauce)</t>
  </si>
  <si>
    <t>Entrées_Plats composés</t>
  </si>
  <si>
    <t>Lait concentré sucré, entier</t>
  </si>
  <si>
    <t>Lait de brebis, entier</t>
  </si>
  <si>
    <t>Lait de chèvre, demi-écrémé, UHT</t>
  </si>
  <si>
    <t>Lait demi-écrémé, UHT</t>
  </si>
  <si>
    <t>Lait écrémé, UHT</t>
  </si>
  <si>
    <t>Lait entier, UHT</t>
  </si>
  <si>
    <t>Abricot au sirop léger, appertisé, égoutté</t>
  </si>
  <si>
    <t>Amande (avec peau)</t>
  </si>
  <si>
    <t>Ananas au sirop et jus d'ananas, appertisé, égoutté</t>
  </si>
  <si>
    <t>Artichaut, cuit</t>
  </si>
  <si>
    <t>Asperge, bouillie/cuite à l'eau</t>
  </si>
  <si>
    <t>Aubergine, cuite</t>
  </si>
  <si>
    <t>Avocat, pulpe, cru</t>
  </si>
  <si>
    <t>Bambou, pousse, crue</t>
  </si>
  <si>
    <t>Banane plantain, cuite</t>
  </si>
  <si>
    <t>Banane, pulpe, crue</t>
  </si>
  <si>
    <t>Bette ou blette, cuite</t>
  </si>
  <si>
    <t>Betterave rouge, cuite</t>
  </si>
  <si>
    <t>Beurre de cacahuète ou Pâte d'arachide</t>
  </si>
  <si>
    <t>Brocoli, cuit</t>
  </si>
  <si>
    <t>Cacahuète ou Arachide</t>
  </si>
  <si>
    <t>Canneberge ou cranberry, crue</t>
  </si>
  <si>
    <t>Carambole, pulpe, crue</t>
  </si>
  <si>
    <t>Carotte, cuite</t>
  </si>
  <si>
    <t>Cassis, cru</t>
  </si>
  <si>
    <t>Céleri branche, cuit</t>
  </si>
  <si>
    <t>Céleri-rave, cuit</t>
  </si>
  <si>
    <t>Cerise, dénoyautée, crue</t>
  </si>
  <si>
    <t>Champignon, morille, crue</t>
  </si>
  <si>
    <t>Châtaigne, crue</t>
  </si>
  <si>
    <t>Chia, graine, séchée</t>
  </si>
  <si>
    <t>Chicorée rouge, crue</t>
  </si>
  <si>
    <t>Chips de pommes de terre et assimilés, allégées en matière grasse</t>
  </si>
  <si>
    <t>Chou blanc, cru</t>
  </si>
  <si>
    <t>Chou chinois (pak-choi ou pé-tsai), cuit</t>
  </si>
  <si>
    <t>Chou de Bruxelles, cuit</t>
  </si>
  <si>
    <t>Chou frisé, cuit</t>
  </si>
  <si>
    <t>Chou romanesco ou brocoli à pomme, cru</t>
  </si>
  <si>
    <t>Chou rouge, bouilli/cuit à l'eau</t>
  </si>
  <si>
    <t>Chou vert, cuit</t>
  </si>
  <si>
    <t>Chou-fleur, cuit</t>
  </si>
  <si>
    <t>Chou-rave, bouilli/cuit à l'eau</t>
  </si>
  <si>
    <t>Citron, pulpe, cru</t>
  </si>
  <si>
    <t>Citrouille, pulpe, crue</t>
  </si>
  <si>
    <t>Clémentine, pulpe, crue</t>
  </si>
  <si>
    <t>Coeur de palmier, appertisé, égoutté</t>
  </si>
  <si>
    <t>Coing, cru</t>
  </si>
  <si>
    <t>Compote, tout type de fruits</t>
  </si>
  <si>
    <t>Concombre, pulpe, cru</t>
  </si>
  <si>
    <t>Courgette, pulpe et peau, cuite</t>
  </si>
  <si>
    <t>Crème de marrons</t>
  </si>
  <si>
    <t>Cucurbitacées, graine</t>
  </si>
  <si>
    <t>Datte, pulpe et peau, sèche</t>
  </si>
  <si>
    <t>Dessert de fruits, tout type de fruits (en taux de sucres : compotes allégées en sucres &lt; desserts de fruits &lt; compotes allégée)</t>
  </si>
  <si>
    <t>Échalote, cuite</t>
  </si>
  <si>
    <t>Épinard, cuit</t>
  </si>
  <si>
    <t>Farine de châtaigne</t>
  </si>
  <si>
    <t>Fenouil, bouilli/cuit à l'eau</t>
  </si>
  <si>
    <t>Fève à écosser, fraîche</t>
  </si>
  <si>
    <t>Fève, cuite</t>
  </si>
  <si>
    <t>Figue de Barbarie, pulpe et graines, crue</t>
  </si>
  <si>
    <t>Figue, crue</t>
  </si>
  <si>
    <t>Figue, sèche</t>
  </si>
  <si>
    <t>Fraise, crue</t>
  </si>
  <si>
    <t>Framboise, crue</t>
  </si>
  <si>
    <t>Frites de pommes de terre, surgelées, rôties/cuites au four</t>
  </si>
  <si>
    <t>Fruit de la passion ou maracudja, pulpe et pépins, cru</t>
  </si>
  <si>
    <t>Fruits rouges, crus (framboises, fraises, groseilles, cassis)</t>
  </si>
  <si>
    <t>Gombo, fruit, cuit</t>
  </si>
  <si>
    <t>Goyave, pulpe, crue</t>
  </si>
  <si>
    <t>Grenade, pulpe et pépins, crue</t>
  </si>
  <si>
    <t>Griotte, crue</t>
  </si>
  <si>
    <t>Groseille, crue</t>
  </si>
  <si>
    <t>Haricot blanc, cuit</t>
  </si>
  <si>
    <t>Haricot vert, cuit</t>
  </si>
  <si>
    <t>Igname, épluchée, bouillie/cuite à l'eau</t>
  </si>
  <si>
    <t>Julienne ou brunoise de légumes, surgelée, crue</t>
  </si>
  <si>
    <t>Kaki, pulpe, cru</t>
  </si>
  <si>
    <t>Kiwi, pulpe et graines, cru</t>
  </si>
  <si>
    <t>Kumquat, sans pépin, cru</t>
  </si>
  <si>
    <t>Laitue, crue</t>
  </si>
  <si>
    <t>Légumes (3-4 sortes en mélange), purée</t>
  </si>
  <si>
    <t>Lentille, cuite</t>
  </si>
  <si>
    <t>Lin, graine</t>
  </si>
  <si>
    <t>Litchi, pulpe, cru</t>
  </si>
  <si>
    <t>Lupin, graine crue</t>
  </si>
  <si>
    <t>Luzerne, graine</t>
  </si>
  <si>
    <t>Macédoine de légumes, appertisée, égouttée</t>
  </si>
  <si>
    <t>Macédoine ou cocktail ou salade de fruits, au sirop, appertisé, non égoutté</t>
  </si>
  <si>
    <t>Mâche, crue</t>
  </si>
  <si>
    <t>Maïs doux, en épis, cuit</t>
  </si>
  <si>
    <t>Mandarine, pulpe, crue</t>
  </si>
  <si>
    <t>Mangue importée par avion, pulpe, crue</t>
  </si>
  <si>
    <t>Mangue importée par bateau, pulpe, crue</t>
  </si>
  <si>
    <t>Manioc, racine cuite</t>
  </si>
  <si>
    <t>Mélange apéritif de graines (non salées) et fruits séchés</t>
  </si>
  <si>
    <t>Melon cantaloup (par ex.: Charentais, de Cavaillon) pulpe, cru</t>
  </si>
  <si>
    <t>Mesclun ou salade, mélange de jeunes pousses</t>
  </si>
  <si>
    <t>Mûre (de ronce), crue</t>
  </si>
  <si>
    <t>Myrtille, crue</t>
  </si>
  <si>
    <t>Navet, cuit</t>
  </si>
  <si>
    <t>Nectarine ou brugnon, pulpe et peau, crue</t>
  </si>
  <si>
    <t>Noisette</t>
  </si>
  <si>
    <t>Noix de cajou, grillée, salée</t>
  </si>
  <si>
    <t>Noix de coco, amande, sèche</t>
  </si>
  <si>
    <t>Noix de macadamia</t>
  </si>
  <si>
    <t>Noix de pécan</t>
  </si>
  <si>
    <t>Noix du Brésil</t>
  </si>
  <si>
    <t>Noix, fraîche</t>
  </si>
  <si>
    <t>Oignon, cuit</t>
  </si>
  <si>
    <t>Orange, pulpe, crue</t>
  </si>
  <si>
    <t>Oseille, crue</t>
  </si>
  <si>
    <t>Pamplemousse chinois, pulpe, cru</t>
  </si>
  <si>
    <t>Panais, cuit</t>
  </si>
  <si>
    <t>Papaye, pulpe, crue</t>
  </si>
  <si>
    <t>Pastèque, pulpe, crue</t>
  </si>
  <si>
    <t>Patate douce, cuite</t>
  </si>
  <si>
    <t>Pêche au sirop léger, appertisée, non égouttée</t>
  </si>
  <si>
    <t>Pêche, pulpe et peau, crue</t>
  </si>
  <si>
    <t>Petits pois, cuits</t>
  </si>
  <si>
    <t>Pignon de pin</t>
  </si>
  <si>
    <t>Piment, cru</t>
  </si>
  <si>
    <t>Pissenlit, cru</t>
  </si>
  <si>
    <t>Pistache, grillée</t>
  </si>
  <si>
    <t>Poire, pulpe, crue</t>
  </si>
  <si>
    <t>Poireau, cuit</t>
  </si>
  <si>
    <t>Pois cassé, cuit</t>
  </si>
  <si>
    <t>Pois chiche, cuit</t>
  </si>
  <si>
    <t>Poivron vert, cuit</t>
  </si>
  <si>
    <t>Pomelo (dit Pamplemousse), pulpe, cru</t>
  </si>
  <si>
    <t>Pomme de terre, rôtie/cuite au four</t>
  </si>
  <si>
    <t>Pomme de terre, sans peau, crue</t>
  </si>
  <si>
    <t>Pomme, pulpe et peau, crue</t>
  </si>
  <si>
    <t>Potiron, cuit</t>
  </si>
  <si>
    <t>Printanière de légumes, surgelée, crue (haricots verts, carottes, pomme de terre, petits pois, oignons)</t>
  </si>
  <si>
    <t>Prune, crue</t>
  </si>
  <si>
    <t>Pruneau, sec</t>
  </si>
  <si>
    <t>Purée de fruits, tout type de fruits, type "compote sans sucres ajoutés"</t>
  </si>
  <si>
    <t>Radis noir, cru</t>
  </si>
  <si>
    <t>Raisin, cru</t>
  </si>
  <si>
    <t>Rhubarbe, tige, cuite, sucrée</t>
  </si>
  <si>
    <t>Roquette, crue</t>
  </si>
  <si>
    <t>Rostis ou Galette de pomme de terre</t>
  </si>
  <si>
    <t>Rutabaga, cuit</t>
  </si>
  <si>
    <t>Salade de fruits, crue</t>
  </si>
  <si>
    <t>Salade verte, crue, sans assaisonnement</t>
  </si>
  <si>
    <t>Scarole, crue</t>
  </si>
  <si>
    <t>Sésame, graine</t>
  </si>
  <si>
    <t>Sureau, baie, crue</t>
  </si>
  <si>
    <t>Tamarin, fruit immature, pulpe, cru</t>
  </si>
  <si>
    <t>Tapioca ou Perles du Japon, cru</t>
  </si>
  <si>
    <t>Taro, tubercule, cuit</t>
  </si>
  <si>
    <t>Tomate, crue</t>
  </si>
  <si>
    <t>Tomate, pulpe et peau, bouillie/cuite à l'eau</t>
  </si>
  <si>
    <t>Tomate, séchée</t>
  </si>
  <si>
    <t>Topinambour, cuit</t>
  </si>
  <si>
    <t>Tournesol, graine</t>
  </si>
  <si>
    <t>Fruits_légumes_oléagineux</t>
  </si>
  <si>
    <t>Produits_céréaliers</t>
  </si>
  <si>
    <t>Amarante, crue</t>
  </si>
  <si>
    <t>Avoine, crue</t>
  </si>
  <si>
    <t>Blé dur précuit, entier, cru</t>
  </si>
  <si>
    <t>Boulgour de blé, cru</t>
  </si>
  <si>
    <t>Couscous (semoule de blé dur roulée précuite à la vapeur), cuite, non salée</t>
  </si>
  <si>
    <t>Épeautre, cru</t>
  </si>
  <si>
    <t>Gnocchi à la semoule, cuit</t>
  </si>
  <si>
    <t>Maïs entier, cru</t>
  </si>
  <si>
    <t>Mélange de céréales et légumineuses, cru</t>
  </si>
  <si>
    <t>Mil, cuit, non salé</t>
  </si>
  <si>
    <t>Nouilles asiatiques aromatisées, déshydratées</t>
  </si>
  <si>
    <t>Nouilles asiatiques cuites, aromatisées</t>
  </si>
  <si>
    <t>Orge entière, crue</t>
  </si>
  <si>
    <t>Pâtes sèches standard, cuites, non salées</t>
  </si>
  <si>
    <t>Polenta ou semoule de maïs, cuite, non salée</t>
  </si>
  <si>
    <t>Quinoa, bouilli/cuit à l'eau, non salé</t>
  </si>
  <si>
    <t>Riz blanc, cuit, non salé</t>
  </si>
  <si>
    <t>Sarrasin entier, cru</t>
  </si>
  <si>
    <t>Seigle entier, cru</t>
  </si>
  <si>
    <t>Semoule de blé dur, crue</t>
  </si>
  <si>
    <t>Sorgho entier, cru</t>
  </si>
  <si>
    <t>Vermicelle de riz, cuite, non salée</t>
  </si>
  <si>
    <t>kgCO2e/kg de produit</t>
  </si>
  <si>
    <t>Albacore</t>
  </si>
  <si>
    <t>Algue</t>
  </si>
  <si>
    <t>Agneau</t>
  </si>
  <si>
    <t>Boeuf</t>
  </si>
  <si>
    <t>Brebis de réforme</t>
  </si>
  <si>
    <t>Canard à rôtir</t>
  </si>
  <si>
    <t>Canard Engraissement</t>
  </si>
  <si>
    <t>Dinde</t>
  </si>
  <si>
    <t>Génisse allaitante</t>
  </si>
  <si>
    <t>Laine</t>
  </si>
  <si>
    <t>Lait</t>
  </si>
  <si>
    <t>Lait de brebis</t>
  </si>
  <si>
    <t>Lait de chèvre</t>
  </si>
  <si>
    <t>Lait de vache</t>
  </si>
  <si>
    <t>Lapin</t>
  </si>
  <si>
    <t>Oeuf</t>
  </si>
  <si>
    <t>Porc</t>
  </si>
  <si>
    <t>Porcs engraissés</t>
  </si>
  <si>
    <t>Poule de réforme</t>
  </si>
  <si>
    <t>Poulet</t>
  </si>
  <si>
    <t>Truie de réforme</t>
  </si>
  <si>
    <t>Vache de réforme</t>
  </si>
  <si>
    <t>Veau</t>
  </si>
  <si>
    <t>système conventionnel, plaine, maïs ensilage olus de 30 %</t>
  </si>
  <si>
    <t>conventionnel, qualité protéique améliorée, 15% d'humidité</t>
  </si>
  <si>
    <t>production conventionnelle, intérieur,  cage (règles 2012)</t>
  </si>
  <si>
    <t>système conventionnel, à l'intérieur, cage</t>
  </si>
  <si>
    <t>conventionnel, qualité déclassée, alimentation animale</t>
  </si>
  <si>
    <t>Produits céréaliers</t>
  </si>
  <si>
    <t>Fruits, légumes &amp; oléagineux</t>
  </si>
  <si>
    <t>Agneau conventionnel, panifiable, 15% d'humidité, France continentale, Base Carbone</t>
  </si>
  <si>
    <t>Boeuf conventionnel, fourrage intensif, France continentale, Base Carbone</t>
  </si>
  <si>
    <t>Dinde système conventionnel, plaine, maïs ensilage olus de 30 %, France continentale, Base Carbone</t>
  </si>
  <si>
    <t>Oeuf Bleu Blanc Coeur, en plein air, France continentale, Base Carbone</t>
  </si>
  <si>
    <t>Poule de réforme biologique, système n ° 1, France continentale, Base Carbone</t>
  </si>
  <si>
    <t>Albacore biologique, système n ° 1, France continentale, Base Carbone</t>
  </si>
  <si>
    <t>Bar ou daurade 200-500g, conventionnel, en cage, France continentale, Base Carbone</t>
  </si>
  <si>
    <t>Grande truite conventionnel, production à l'intérieur, France continentale, Base Carbone</t>
  </si>
  <si>
    <t>Maquereau Atlantique biologique, système laitier de plaine, maïs ensilé 5 à 10%, France continentale, Base Carbone</t>
  </si>
  <si>
    <t>Thon rouge biologique, système n ° 2, France continentale, Base Carbone</t>
  </si>
  <si>
    <t>Ananas MedSea, palangre, moyenne, sur le site de production, France continentale, Pays de la Loire, Base Carbone</t>
  </si>
  <si>
    <t>Blé tendre conventionnel, mélange de variétés, moyenne nationale, sortie de ferme, France continentale, Base Carbone</t>
  </si>
  <si>
    <t>Carotte biologique, sortie de ferme, Autre pays du monde, Brésil, Etat de Minas Gerais, Base Carbone</t>
  </si>
  <si>
    <t>Pomme de terre fécule de l'association de cultures, biologique, système n ° 1, sortie de ferme, Autre pays du monde, Brésil, Val de San Francisco, Base Carbone</t>
  </si>
  <si>
    <t>Tomate MedSea, palangre, sortie de ferme, France continentale, Base Carbone</t>
  </si>
  <si>
    <t>Amarante, crue, France continentale, Base Carbone</t>
  </si>
  <si>
    <t>Boulgour de blé, cru, France continentale, Base Carbone</t>
  </si>
  <si>
    <t>Couscous (semoule de blé dur roulée précuite à la vapeur), cuite, non salée, France continentale, Base Carbone</t>
  </si>
  <si>
    <t>Mélange de céréales et légumineuses, cru, France continentale, Base Carbone</t>
  </si>
  <si>
    <t>Vermicelle de riz, cuite, non salée, France continentale, Base Carbone</t>
  </si>
  <si>
    <t>Abricot au sirop léger, appertisé, égoutté, France continentale, Base Carbone</t>
  </si>
  <si>
    <t>Bambou, pousse, crue, France continentale, Base Carbone</t>
  </si>
  <si>
    <t>Cacahuète ou Arachide, France continentale, Base Carbone</t>
  </si>
  <si>
    <t>Épinard, cuit, France continentale, Base Carbone</t>
  </si>
  <si>
    <t>Noisette, France continentale, Base Carbone</t>
  </si>
  <si>
    <t>Aligot (purée de pomme de terre à la tomme fraîche)</t>
  </si>
  <si>
    <t>Beignet de légumes</t>
  </si>
  <si>
    <t>Beignet de viande, volaille ou poisson, fait maison</t>
  </si>
  <si>
    <t>Blanquette de veau</t>
  </si>
  <si>
    <t>Blé dur précuit, grains entiers, cuisiné, à poêler</t>
  </si>
  <si>
    <t>Boeuf bourguignon</t>
  </si>
  <si>
    <t>Bouchée à la reine, à la viande/volaille/quenelle</t>
  </si>
  <si>
    <t>Aligot (purée de pomme de terre à la tomme fraîche), France continentale, Base Carbone</t>
  </si>
  <si>
    <t>Blanquette de veau, France continentale, Base Carbone</t>
  </si>
  <si>
    <t>Pâtes fraîches farcies (ex : raviolis), aux légumes, cuites, France continentale, Base Carbone</t>
  </si>
  <si>
    <t>Salade César au poulet (salade verte, fromage, croûtos, sauce), France continentale, Base Carbone</t>
  </si>
  <si>
    <t>Alcool pur, France continentale, Base Carbone</t>
  </si>
  <si>
    <t>Boisson au jus de fruit et au lait, France continentale, Base Carbone</t>
  </si>
  <si>
    <t>Café expresso, non instantané, non sucré, prêt à boire, France continentale, Base Carbone</t>
  </si>
  <si>
    <t>Eau de source Cristaline, embouteillée, non gazeuse, France continentale, Base Carbone</t>
  </si>
  <si>
    <t>Entrées et plats composés</t>
  </si>
  <si>
    <t>Entrées et plats composées</t>
  </si>
  <si>
    <t>kgCO2e/kWh GJ PCI</t>
  </si>
  <si>
    <t>Fioul à base de carbone recyclé - VALORTEC</t>
  </si>
  <si>
    <t>kgCO2e/TEP PCI</t>
  </si>
  <si>
    <t>Biodiesel - mix-moyen (changement d'affectation des sols scénario maximum)</t>
  </si>
  <si>
    <t>Biodiesel - mix moyen (changement d'affectation des sols scénario maximum)</t>
  </si>
  <si>
    <t>Biodiesel - mix moyen (changement d'affectation des sols scénario optimiste)</t>
  </si>
  <si>
    <t>Biodiesel - mix moyen (sans changement d'affectation des sols)</t>
  </si>
  <si>
    <t>Biodiesel - filière colza - sans changement d'affectation des sols</t>
  </si>
  <si>
    <t>Biodiesel - filière EMGA - sans changement d'affectation des sols</t>
  </si>
  <si>
    <t>Biodiesel - filière EMHAU - sans changement d'affectation des sols</t>
  </si>
  <si>
    <t>Biodiesel - filière HVP - sans changement d'affectation des sols</t>
  </si>
  <si>
    <t>Biodiesel - filière palme - sans changement d'affectation des sols</t>
  </si>
  <si>
    <t>Biodiesel - filière soja - sans changement d'affectation des sols</t>
  </si>
  <si>
    <t>Biodiesel - filière tournesol - sans changement d'affectation des sols</t>
  </si>
  <si>
    <t>Hydrogène produit sur site - électrolyse mix EnR</t>
  </si>
  <si>
    <t>Hydrogène produit sur site - électrolyse mix France</t>
  </si>
  <si>
    <t>Hydrogène produit sur site - électrolyse source éolien</t>
  </si>
  <si>
    <t>Hydrogène produit sur site - électrolyse source hydraulique</t>
  </si>
  <si>
    <t>Hydrogène produit sur site - électrolyse source phtovoltaïque</t>
  </si>
  <si>
    <t>kgCO2e/kgH3</t>
  </si>
  <si>
    <t>kgCO2e/kgH4</t>
  </si>
  <si>
    <t>kgCO2e/kgH5</t>
  </si>
  <si>
    <t>Hydrogène station - électrolyse mix EnR - transport exclus</t>
  </si>
  <si>
    <t>Hydrogène station - électrolyse mix France - transport exclus</t>
  </si>
  <si>
    <t>Hydrogène station - électrolyse source éolien - transport exclus</t>
  </si>
  <si>
    <t>Hydrogène station - électrolyse source hydraulique - transport exclus</t>
  </si>
  <si>
    <t>Hydrogène station - électrolyse source photovoltaïque - transport exclus</t>
  </si>
  <si>
    <t>moyenne nationale, sortie de ferme</t>
  </si>
  <si>
    <t>biologique, système n°11, sortie de ferme</t>
  </si>
  <si>
    <t>Hydrogène produit sur site - électrolyse mix EnR France continentale, Base Carbone</t>
  </si>
  <si>
    <t>Hydrogène station - électrolyse mix EnR - transport exclus, France continentale, Base Carbone</t>
  </si>
  <si>
    <t>Hydrogène station - électrolyse mix France - transport exclus, France continentale, Base Carbone</t>
  </si>
  <si>
    <t>Hydrogène produit sur site - électrolyse mix France France continentale, Base Carbone</t>
  </si>
  <si>
    <r>
      <t xml:space="preserve">2 - Autobus - Autocar, dans le cadre du travail : calcul à partir des véhicule.km </t>
    </r>
    <r>
      <rPr>
        <b/>
        <sz val="10"/>
        <color rgb="FFC00000"/>
        <rFont val="Arial"/>
        <family val="2"/>
      </rPr>
      <t>(cette untité n'est pas disponible dans la Base Carbone pour l'instant!)</t>
    </r>
  </si>
  <si>
    <t>3 - Autobus - Autocar, dans le cadre du travail : calcul à partir des passager.km</t>
  </si>
  <si>
    <t>7 - Deux roues, dans le cadre du travail</t>
  </si>
  <si>
    <t>3 - Voiture, dans le cadre du travail : calcul à partir des moyennes parcs et usage</t>
  </si>
  <si>
    <t>Ecran publicitaire 2m²</t>
  </si>
  <si>
    <t>Ecran publicitaire 2m² (sans casing)</t>
  </si>
  <si>
    <t>Vraquier, &lt;10 000 T, HFO-MGO</t>
  </si>
  <si>
    <t>Pneumatiques usagés non réutilisables - véhicules légers</t>
  </si>
  <si>
    <t>Traitement et distribution d'eau</t>
  </si>
  <si>
    <t>Eau de réseau - hors infrastructure</t>
  </si>
  <si>
    <r>
      <t>kgCO2e/m</t>
    </r>
    <r>
      <rPr>
        <vertAlign val="superscript"/>
        <sz val="10"/>
        <rFont val="Arial"/>
        <family val="2"/>
      </rPr>
      <t>3</t>
    </r>
  </si>
  <si>
    <t>Eau de réseau - hors infrastructure, France continentale, Base Carbone</t>
  </si>
  <si>
    <t>kg</t>
  </si>
  <si>
    <t>Avion passagers, moyen courrier, sans trainées, France continentale, Base Carbone</t>
  </si>
  <si>
    <t>R22, Base Carbone</t>
  </si>
  <si>
    <t>Avion passagers, 101-220 sièges, 1000 - 3500 km, avec trainées</t>
  </si>
  <si>
    <t>Avion passagers, 101-220 sièges, 1000 - 3500 km, sans trainées</t>
  </si>
  <si>
    <t>Avion passagers, 101-220 sièges, 500 - 1000 km, avec trainées</t>
  </si>
  <si>
    <t>Avion passagers, 101-220 sièges, 500 - 1000 km, sans trainées</t>
  </si>
  <si>
    <t>Avion passagers, 101-220 sièges, &lt; 500 km jet, avec trainées</t>
  </si>
  <si>
    <t>Avion passagers, 101-220 sièges, &lt; 500 km jet, sans trainées</t>
  </si>
  <si>
    <t>Avion passagers, 101-220 sièges, &gt; 3500 km, avec trainées</t>
  </si>
  <si>
    <t>Avion passagers, 101-220 sièges, &gt; 3500 km, sans trainées</t>
  </si>
  <si>
    <t>Avion passagers, 20-50 sièges, 1000 - 3500 km, avec trainées</t>
  </si>
  <si>
    <t>Avion passagers, 20-50 sièges, 1000 - 3500 km, sans trainées</t>
  </si>
  <si>
    <t>Avion passagers, 20-50 sièges, 500 - 1000 km, avec trainées</t>
  </si>
  <si>
    <t>Avion passagers, 20-50 sièges, 500 - 1000 km, sans trainées</t>
  </si>
  <si>
    <t>Avion passagers, 20-50 sièges, &lt; 500 km jet, avec trainées</t>
  </si>
  <si>
    <t>Avion passagers, 20-50 sièges, &lt; 500 km jet, sans trainées</t>
  </si>
  <si>
    <t>Avion passagers, 20-50 sièges, &lt; 500 km turboprop, avec trainées</t>
  </si>
  <si>
    <t>Avion passagers, 20-50 sièges, &lt; 500 km turboprop, sans trainées</t>
  </si>
  <si>
    <t>Avion passagers, 51-100 sièges, 1000 - 3500 km, avec trainées</t>
  </si>
  <si>
    <t>Avion passagers, 51-100 sièges, 1000 - 3500 km, sans trainées</t>
  </si>
  <si>
    <t>Avion passagers, 51-100 sièges, 500 - 1000 km, avec trainées</t>
  </si>
  <si>
    <t>Avion passagers, 51-100 sièges, 500 - 1000 km, sans trainées</t>
  </si>
  <si>
    <t>Avion passagers, 51-100 sièges, &lt; 500 km jet, avec trainées</t>
  </si>
  <si>
    <t>Avion passagers, 51-100 sièges, &lt; 500 km jet, sans trainées</t>
  </si>
  <si>
    <t>Avion passagers, 51-100 sièges, &lt; 500 km turboprop, avec trainées</t>
  </si>
  <si>
    <t>Avion passagers, 51-100 sièges, &lt; 500 km turboprop, sans trainées</t>
  </si>
  <si>
    <t>Avion passagers, 20-50 sièges, 1000 - 3500 km, avec trainées, France continentale, Base Carbone</t>
  </si>
  <si>
    <t>Avion passagers, 51-100 sièges, 1000 - 3500 km, avec trainées, France continentale, Base Carbone</t>
  </si>
  <si>
    <t>Avion passagers, 101-220 sièges, &gt; 3500 km, sans trainées, France continentale, Base Carbone</t>
  </si>
  <si>
    <t>Avion passagers, 101-220 sièges, 1000 - 3500 km, sans trainées, France continentale, Base Carbone</t>
  </si>
  <si>
    <t>Biodiesel - mix moyen (changement d'affectation des sols scénario maximum), France continentale, Base Carbone</t>
  </si>
  <si>
    <t>Gazole routier (B10)</t>
  </si>
  <si>
    <t>Gazole routier (B100)</t>
  </si>
  <si>
    <t>Gazole routier (B7)</t>
  </si>
  <si>
    <t>Essence (E10)</t>
  </si>
  <si>
    <t>Biocarburants_liquide_gazeux</t>
  </si>
  <si>
    <t>BioGNC - biométhane comprimé pour véhicule routier - mix moyen</t>
  </si>
  <si>
    <t>Biocarburants liquide &amp; gazeux</t>
  </si>
  <si>
    <t>BioGNC - biométhane comprimé pour véhicule routier - mix moyen, France continentale, Base Carbone</t>
  </si>
  <si>
    <t>Biopropane mix annuel - 2020</t>
  </si>
  <si>
    <t>Biopropane mix annuel - 2020, France continentale, Base Carbone</t>
  </si>
  <si>
    <t>DAS (Déchets d'Activités de Soins) - Incinération - Impacts</t>
  </si>
  <si>
    <t>DIS (Déchets Industriels Spéciau) - Incinération - Impacts</t>
  </si>
  <si>
    <t>DIS (Déchets Industriels Spéciaux) - Stockage - Impacts</t>
  </si>
  <si>
    <t>Céramique et autres inertes - Incinération - Impacts</t>
  </si>
  <si>
    <t>Céramique et autres inertes - Stockage - Impacts</t>
  </si>
  <si>
    <t>Céramique et autres inertes - Fin de vie moyenne filière - Impacts</t>
  </si>
  <si>
    <t>Bois - Fin de vie moyenne filière - impacts</t>
  </si>
  <si>
    <t>Bois - Incinération - impacts</t>
  </si>
  <si>
    <t>Bois - Stockage - impacts</t>
  </si>
  <si>
    <t>Carton - Fin de vie moyenne filière - impacts</t>
  </si>
  <si>
    <t>Carton - Incinération - Impacts</t>
  </si>
  <si>
    <t>Carton - Recyclage - Impacts</t>
  </si>
  <si>
    <t>Carton - Stockage - Impacts</t>
  </si>
  <si>
    <t>Acier - Incinération - Impacts</t>
  </si>
  <si>
    <t>Acier - Stockage - Impacts</t>
  </si>
  <si>
    <t>Aluminium - Fin de vie moyenne filière - Impacts</t>
  </si>
  <si>
    <t>Aluminium - Incinération - Impacts</t>
  </si>
  <si>
    <t>Aluminium - Recyclage - Impacts</t>
  </si>
  <si>
    <t>Aluminium - Stockage - Impacts</t>
  </si>
  <si>
    <t>Verre - Fin de vie moyenne filière - Impacts</t>
  </si>
  <si>
    <t>Verre - Incinération - Impacts</t>
  </si>
  <si>
    <t>Verre - Recyclage - Impacts</t>
  </si>
  <si>
    <t>Verre - Stockage - Impacts</t>
  </si>
  <si>
    <t>Autres plastiques et plastiques complexes - Incinération - Impacts</t>
  </si>
  <si>
    <t>Autres plastiques et plastiques complexes - Fin de vie moyenne filière - Impacts</t>
  </si>
  <si>
    <t>Autres plastiques et plastiques complexes - Stockage - Impacts</t>
  </si>
  <si>
    <t>Plastique biosourcé PE - Incinération - Impacts</t>
  </si>
  <si>
    <t>Plastique biosourcé PE - Stockage - Impacts</t>
  </si>
  <si>
    <t>Plastique biosourcé PET - Incinération - Impacts</t>
  </si>
  <si>
    <t>Plastique biosourcé PET - Stockage - Impacts</t>
  </si>
  <si>
    <t>Plastique biosourcé PP - Incinération - Impacts</t>
  </si>
  <si>
    <t>Plastique biosourcé PP - Stockage - Impacts</t>
  </si>
  <si>
    <t>Plastique pétrosourcé PE - Incinéartion - Impacts</t>
  </si>
  <si>
    <t>Plastique pétrosourcé PE - Stockage - Impacts</t>
  </si>
  <si>
    <t>Plastique pétrosourcé PET - Stockage - Impacts</t>
  </si>
  <si>
    <t>Plastique pétrosourcé PP - Stockage - Impacts</t>
  </si>
  <si>
    <t>Plastique pétrosourcé PP - Incinération - Impacts</t>
  </si>
  <si>
    <t>Plastique rigide biosourcé PE autres emballages - Fin de vie moyenne filière - Impacts</t>
  </si>
  <si>
    <t>Plastique rigide biosourcé PE bouteilles - Fin de vie moyenne filière - Impacts</t>
  </si>
  <si>
    <t>Plastique rigide biosourcé PET autres emballages - Fin de vie moyenne filière - Impacts</t>
  </si>
  <si>
    <t>Plastique rigide biosourcé PET bouteilles - Fin de vie moyenne filière - Impacts</t>
  </si>
  <si>
    <t>Plastique rigide biosourcé PP autres emballages - Fin de vie moyenne filière - Impacts</t>
  </si>
  <si>
    <t>Plastique rigide biosourcé PP bouteilles - Fin de vie moyenne filière - Impacts</t>
  </si>
  <si>
    <t>Plastique rigide PE - Recyclage granulés - Impacts</t>
  </si>
  <si>
    <t>Plastique rigide PE - Recyclage paillettes - Impacts</t>
  </si>
  <si>
    <t>Plastique rigide PE autres emballages - Recyclage - Impacts</t>
  </si>
  <si>
    <t>Plastique rigide PE bouteilles - Recyclage - Impacts</t>
  </si>
  <si>
    <t>Plastique rigide PET - Recyclage granulés - Impacts</t>
  </si>
  <si>
    <t>Plastique rigide PET - Recyclage paillettes - Impacts</t>
  </si>
  <si>
    <t>Plastique rigide PET autres emballages - Recyclage - Impacts</t>
  </si>
  <si>
    <t>Plastique rigide PET bouteilles - Recyclage - Impacts</t>
  </si>
  <si>
    <t>Plastique rigide pétrosourcé PE autres emballages - Fin de vie moyenne filière - Impacts</t>
  </si>
  <si>
    <t>Plastique rigide pétrosourcé PE bouteilles - Fin de vie moyenne filière - Impacts</t>
  </si>
  <si>
    <t>Plastique rigide pétrosourcé PET autres emballages - Fin de vie moyenne filière - Impacts</t>
  </si>
  <si>
    <t>Plastique rigide pétrosourcé PET bouteilles - Fin de vie moyenne filière - Impacts</t>
  </si>
  <si>
    <t>Plastique rigide pétrosourcé PP autres emballages - Fin de vie moyenne filière - Impacts</t>
  </si>
  <si>
    <t>Plastique rigide pétrosourcé PP bouteilles - Fin de vie moyenne filière - Impacts</t>
  </si>
  <si>
    <t>Plastique rigide PP - Recyclage granulés - Impacts</t>
  </si>
  <si>
    <t>Plastique rigide PP autres emballages - Recyclage - Impacts</t>
  </si>
  <si>
    <t>Plastique rigide PP bouteilles - Recyclage - Impacts</t>
  </si>
  <si>
    <t>Plastique rigide PS-PSE - Fin de vie moyenne filière - Impacts</t>
  </si>
  <si>
    <t>Plastique rigide PS-PSE - Incinération - Impacts</t>
  </si>
  <si>
    <t>Plastique rigide PS-PSE - Stockage - Impacts</t>
  </si>
  <si>
    <t>Plastique rigide PVC - Fin de vie moyenne filière - Impacts</t>
  </si>
  <si>
    <t>Plastique rigide PVC - Incinération - Impacts</t>
  </si>
  <si>
    <t>Plastique rigide PVC - Stockage - Impacts</t>
  </si>
  <si>
    <t>Plastique souple PE - Recyclage - Impacts</t>
  </si>
  <si>
    <t>Plastique souple PE - Recyclage granulés - Impacts</t>
  </si>
  <si>
    <t>Plastique souple PE biosourcé - Fin de vie moyenne filière - Impacts</t>
  </si>
  <si>
    <t>Plastique souple PE pétrosourcé - Fin de vie moyenne filière - Impacts</t>
  </si>
  <si>
    <t>Plastique souple PET biosourcé - Fin de vie moyenne filière - Impacts</t>
  </si>
  <si>
    <t>Plastique souple PET pétrosourcé - Fin de vie moyenne filière - Impacts</t>
  </si>
  <si>
    <t>Plastique souple PP biosourcé - Fin de vie moyenne filière - Impacts</t>
  </si>
  <si>
    <t>Plastique souple PP pétrosourcé - Fin de vie moyenne filière - Impacts</t>
  </si>
  <si>
    <t>Souple PE - Recyclage granulés - Impacts</t>
  </si>
  <si>
    <t>Emballages autres matériaux_ménages</t>
  </si>
  <si>
    <t>Emballages bois et carton_ménages</t>
  </si>
  <si>
    <t>Emballages métaux_ménages</t>
  </si>
  <si>
    <t>Emballages verre_ménages</t>
  </si>
  <si>
    <t>Emballages plastiques_ménages</t>
  </si>
  <si>
    <t>Emballages plastiques_act. économiques</t>
  </si>
  <si>
    <t>DAS (Déchets d'Activités de Soins) - Incinération - Impacts, France continentale, Base Carbone</t>
  </si>
  <si>
    <t>DIS (Déchets Industriels Spéciau) - Incinération - Impacts, France continentale, Base Carbone</t>
  </si>
  <si>
    <t>Déchets de cuisine - Méthanisation - Impacts</t>
  </si>
  <si>
    <t>Déchets de cuisine et déchets verts - Compostage domestique en bac - Impacts</t>
  </si>
  <si>
    <t>Déchets de cuisine et déchets verts - Compostage domestique en tas - Impacts</t>
  </si>
  <si>
    <t>Déchets de cuisine et déchets verts - Compostage industriel - Impacts</t>
  </si>
  <si>
    <t>Déchets putrescibles - Incinération - Impacts</t>
  </si>
  <si>
    <t>Déchets putrescibles - Stockage - Impacts</t>
  </si>
  <si>
    <t>Déchets verts - Compostage domestique en tas - Impacts</t>
  </si>
  <si>
    <t>Déchets piles, accumulateurs &amp; DEEE</t>
  </si>
  <si>
    <t>DEEE</t>
  </si>
  <si>
    <t>Piles et batteries en mélange - Fin de vie moyenne - Impacts</t>
  </si>
  <si>
    <t>DEEE moyen (par défaut) - Fin de vie moyenne filière - Impacts</t>
  </si>
  <si>
    <t>Ecrans Plats - Fin de vie moyenne filière - Impacts</t>
  </si>
  <si>
    <t>Ecrans Cathode Ray Trade - Fin de vie moyenne filière - Impacts</t>
  </si>
  <si>
    <t>GEMHF (Gros électroménager hors froid) - Fin de vie moyenne filière - Impacts</t>
  </si>
  <si>
    <t>GEMF (Gros électroménager froid) en fin de vie - Fin de vie moyenne filière, dont pertes amont - Impacts</t>
  </si>
  <si>
    <t>GEMF (Gros électroménager froid) en fin de vie - Fin de vie moyenne filière, sans pertes amont - Impacts</t>
  </si>
  <si>
    <t>GEMF (Gros électroménager froid) mis sur le marché - Fin de vie moyenne filière, dont pertes amont - Impacts</t>
  </si>
  <si>
    <t>PAM (petits appareils en mélange) - Fin de vie moyenne filière - Impacts</t>
  </si>
  <si>
    <t>Tubes et lampes - Fin de vie moyenne filière - Impacts</t>
  </si>
  <si>
    <t>Plastique rigide PVC - Recyclage - Impacts</t>
  </si>
  <si>
    <t>Bâtiments_Plastiques</t>
  </si>
  <si>
    <t>Bâtiments_Métaux</t>
  </si>
  <si>
    <t>Bâtiments_Autres</t>
  </si>
  <si>
    <t>Aluminium - Fin de vie moyenne - Impacts</t>
  </si>
  <si>
    <t>Cuivre - Fin de vie moyenne - Impacts</t>
  </si>
  <si>
    <t>Métaux - Fin de vie hors recyclage - Impacts</t>
  </si>
  <si>
    <t>Métaux ferreux - Fin de vie moyenne - Impacts</t>
  </si>
  <si>
    <t>Béton, briques, tuiles et céramiques - Fin de vie hors recyclage - Impacts</t>
  </si>
  <si>
    <t>Béton, briques, tuiles et céramiques - Fin de vie moyenne - Impacts</t>
  </si>
  <si>
    <t>Bois de classe B - Fin de vie hors recyclage - Impacts</t>
  </si>
  <si>
    <t>Bois de classe B - Fin de vie moyenne - Impacts</t>
  </si>
  <si>
    <t>Déchets inertes en mélange (Gravats) - Fin de vie hors recyclage - Impacts</t>
  </si>
  <si>
    <t>Déchets inertes en mélange (Gravats) - Fin de vie moyenne - Impacts</t>
  </si>
  <si>
    <t>Déchets non dangereux en mélange (DIB) - Fin de vie hors recyclage - Impacts</t>
  </si>
  <si>
    <t>Déchets non dangereux en mélange (DIB) - Fin de vie moyenne - Impacts</t>
  </si>
  <si>
    <t>Plâtre et autres contenant du gypse - Fin de vie hors recyclage - Impacts</t>
  </si>
  <si>
    <t>Plâtre et autres contenant du gypse - Fin de vie moyenne - Impacts</t>
  </si>
  <si>
    <t>DEA</t>
  </si>
  <si>
    <t>Déchets d'éléments d'ameublements (DEA), textiles &amp; ordures ménagères</t>
  </si>
  <si>
    <t>DEA Bois - Fin de vie moyenne filière - Impacts</t>
  </si>
  <si>
    <t>DEA Literie - Fin de vie moyenne filière - Impacts</t>
  </si>
  <si>
    <t>DEA Moyen - Fin de vie moyenne filière - Impacts</t>
  </si>
  <si>
    <t>DEA Rembourrés - Fin de vie moyenne filière - Impacts</t>
  </si>
  <si>
    <t>Textiles</t>
  </si>
  <si>
    <t>Textiles et linges de maison usagés - Fin de vie hors recyclage - Impacts</t>
  </si>
  <si>
    <t>Textiles et linges de maison usagés - Fin de vie moyenne filière - Impacts</t>
  </si>
  <si>
    <t>Ordures ménagères résiduelles - Fin de vie moyenne - Impacts</t>
  </si>
  <si>
    <t>Ordures ménagères résiduelles - Incinération - Impacts</t>
  </si>
  <si>
    <t>Ordures ménagères résiduelles - Stockage - Impacts</t>
  </si>
  <si>
    <t>Déchets d'emballages &amp; plastiques</t>
  </si>
  <si>
    <t>Plastiques_act.économiques</t>
  </si>
  <si>
    <t>Plastique rigide PS - Recyclage - Impacts</t>
  </si>
  <si>
    <t>Plastique souple PE, origine agricole - Recyclage granulés - Impacts</t>
  </si>
  <si>
    <t>Déchets des ménages et assimilés</t>
  </si>
  <si>
    <t>Déchets emballages</t>
  </si>
  <si>
    <t>Autres matériaux</t>
  </si>
  <si>
    <t>Céramique et autres inertes - Incinération - Impacts, France continentale, Base Carbone</t>
  </si>
  <si>
    <t>Céramique et autres inertes - Stockage - Impacts, France continentale, Base Carbone</t>
  </si>
  <si>
    <t>Céramique et autres inertes - Fin de vie moyenne filière - Impacts, France continentale, Base Carbone</t>
  </si>
  <si>
    <t>Bois et carton</t>
  </si>
  <si>
    <t>Bois - Incinération - impacts, France continentale, Base Carbone</t>
  </si>
  <si>
    <t>Bois - Stockage - impacts, France continentale, Base Carbone</t>
  </si>
  <si>
    <t>Carton - Fin de vie moyenne filière - impacts, France continentale, Base Carbone</t>
  </si>
  <si>
    <t>Carton - Recyclage - Impacts, France continentale, Base Carbone</t>
  </si>
  <si>
    <t>Acier - Stockage - Impacts, France continentale, Base Carbone</t>
  </si>
  <si>
    <t>Aluminium - Fin de vie moyenne filière - Impacts, France continentale, Base Carbone</t>
  </si>
  <si>
    <t>Aluminium - Recyclage - Impacts, France continentale, Base Carbone</t>
  </si>
  <si>
    <t>Aluminium - Stockage - Impacts, France continentale, Base Carbone</t>
  </si>
  <si>
    <t>Verre - Incinération - Impacts, France continentale, Base Carbone</t>
  </si>
  <si>
    <t>Verre - Recyclage - Impacts, France continentale, Base Carbone</t>
  </si>
  <si>
    <t>Verre - Stockage - Impacts, France continentale, Base Carbone</t>
  </si>
  <si>
    <t>Plastique biosourcé PE - Incinération - Impacts, France continentale, Base Carbone</t>
  </si>
  <si>
    <t>Autres plastiques et plastiques complexes - Fin de vie moyenne filière - Impacts, France continentale, Base Carbone</t>
  </si>
  <si>
    <t>Plastique biosourcé PET - Incinération - Impacts, France continentale, Base Carbone</t>
  </si>
  <si>
    <t>Plastique pétrosourcé PP - Incinération - Impacts, France continentale, Base Carbone</t>
  </si>
  <si>
    <t>Plastique souple PE - Recyclage - Impacts, France continentale, Base Carbone</t>
  </si>
  <si>
    <t>Déchets de cuisine - Méthanisation - Impacts, France continentale, Base Carbone</t>
  </si>
  <si>
    <t>Déchets de cuisine et déchets verts - Compostage domestique en bac - Impacts, France continentale, Base Carbone</t>
  </si>
  <si>
    <t>Déchets de cuisine et déchets verts - Compostage domestique en tas - Impacts, France continentale, Base Carbone</t>
  </si>
  <si>
    <t>Déchets putrescibles - Incinération - Impacts, France continentale, Base Carbone</t>
  </si>
  <si>
    <t>Déchets verts - Compostage domestique en tas - Impacts, France continentale, Base Carbone</t>
  </si>
  <si>
    <t>Déchets piles, accumulateurs et DEEE</t>
  </si>
  <si>
    <t>Piles et accumulateurs</t>
  </si>
  <si>
    <t>Piles et batteries en mélange - Fin de vie moyenne - Impacts, France continentale, Base Carbone</t>
  </si>
  <si>
    <t>DEEE moyen (par défaut) - Fin de vie moyenne filière - Impacts, France continentale, Base Carbone</t>
  </si>
  <si>
    <t>Ecrans Plats - Fin de vie moyenne filière - Impacts, France continentale, Base Carbone</t>
  </si>
  <si>
    <t>GEMF (Gros électroménager froid) en fin de vie - Fin de vie moyenne filière, dont pertes amont - Impacts, France continentale, Base Carbone</t>
  </si>
  <si>
    <t>PAM (petits appareils en mélange) - Fin de vie moyenne filière - Impacts, France continentale, Base Carbone</t>
  </si>
  <si>
    <t>Tubes et lampes - Fin de vie moyenne filière - Impacts, France continentale, Base Carbone</t>
  </si>
  <si>
    <t>Déchets d'éléments d'ameublements</t>
  </si>
  <si>
    <t>DEA Bois - Fin de vie moyenne filière - Impacts, France continentale, Base Carbone</t>
  </si>
  <si>
    <t>DEA Literie - Fin de vie moyenne filière - Impacts, France continentale, Base Carbone</t>
  </si>
  <si>
    <t>DEA Moyen - Fin de vie moyenne filière - Impacts, France continentale, Base Carbone</t>
  </si>
  <si>
    <t>DEA Rembourrés - Fin de vie moyenne filière - Impacts, France continentale, Base Carbone</t>
  </si>
  <si>
    <t>Textiles et linges de maison usagés - Fin de vie hors recyclage - Impacts, France continentale, Base Carbone</t>
  </si>
  <si>
    <t>Textiles et linges de maison usagés - Fin de vie moyenne filière - Impacts, France continentale, Base Carbone</t>
  </si>
  <si>
    <t>Ordures ménagères résiduelles - Fin de vie moyenne - Impacts, France continentale, Base Carbone</t>
  </si>
  <si>
    <t>Ordures ménagères résiduelles - Stockage - Impacts, France continentale, Base Carbone</t>
  </si>
  <si>
    <t>Ordures ménagères résiduelles - Incinération - Impacts, France continentale, Base Carbone</t>
  </si>
  <si>
    <t>Déchets acteurs économiques</t>
  </si>
  <si>
    <t>Déchets piles et accumulateurs</t>
  </si>
  <si>
    <t>Souple PE - Recyclage granulés - Impacts, France continentale, Base Carbone</t>
  </si>
  <si>
    <t>Plastique rigide PE - Recyclage granulés - Impacts, France, Base Carbone</t>
  </si>
  <si>
    <t>Plastique rigide PVC - Recyclage - Impacts, France, Base Carbone</t>
  </si>
  <si>
    <t>Plastique rigide PE - Recyclage paillettes - Impacts, France, Base Carbone</t>
  </si>
  <si>
    <t>Aluminium - Fin de vie moyenne - Impacts, France continentale, Base Carbone</t>
  </si>
  <si>
    <t>Cuivre - Fin de vie moyenne - Impacts, France continentale, Base Carbone</t>
  </si>
  <si>
    <t>Métaux ferreux - Fin de vie moyenne - Impacts, France continentale, Base Carbone</t>
  </si>
  <si>
    <t>Béton, briques, tuiles et céramiques - Fin de vie hors recyclage - Impacts, France continentale, Base Carbone</t>
  </si>
  <si>
    <t>Bois de classe B - Fin de vie moyenne - Impacts, France continentale, Base Carbone</t>
  </si>
  <si>
    <t>Déchets inertes en mélange (Gravats) - Fin de vie moyenne - Impacts, France continentale, Base Carbone</t>
  </si>
  <si>
    <t>Déchets non dangereux en mélange (DIB) - Fin de vie moyenne - Impacts, France continentale, Base Carbone</t>
  </si>
  <si>
    <t>Plâtre et autres contenant du gypse - Fin de vie moyenne - Impacts, France continentale, Base Carbone</t>
  </si>
  <si>
    <t>Déchets organiques &amp; ordures ménagères</t>
  </si>
  <si>
    <t>Déchets d'éléments d'ameublements &amp; textiles</t>
  </si>
  <si>
    <t>Déchets d'emballages ménages</t>
  </si>
  <si>
    <t>Déchets organiques et ordures ménagères</t>
  </si>
  <si>
    <t>Déchets d'éléments d'ameublement et textiles</t>
  </si>
  <si>
    <t>photovoltaïque - fabrication Chine (par défaut utilisé en France)</t>
  </si>
  <si>
    <t>photovoltaïque - fabrication Europe</t>
  </si>
  <si>
    <t>photovoltaïque - fabrication France</t>
  </si>
  <si>
    <t>photovoltaïque - fabrication Chine (par défaut utilisé en France), France continentale, Base Carbone</t>
  </si>
  <si>
    <t>Moyenne saisonnalisée</t>
  </si>
  <si>
    <t>2019 - usage : Autres (BTP. recherche. armée. etc.)</t>
  </si>
  <si>
    <t>2019 - usage : chauffage</t>
  </si>
  <si>
    <t>2019 - usage : Cuisson résidentiel</t>
  </si>
  <si>
    <t>2019 - usage : Eau Chaude Sanitaire</t>
  </si>
  <si>
    <t>2019 - usage : Eclairage public</t>
  </si>
  <si>
    <t>2019 - usage : Eclairage résidentiel</t>
  </si>
  <si>
    <t>2019 - usage : Froid</t>
  </si>
  <si>
    <t>2019 - usage : Industrie base</t>
  </si>
  <si>
    <t>2019 - usage : Transports</t>
  </si>
  <si>
    <t>2020 - usage : Autres (BTP. recherche. armée. etc.)</t>
  </si>
  <si>
    <t>2020 - usage : chauffage</t>
  </si>
  <si>
    <t>2020 - usage : Cuisson résidentiel</t>
  </si>
  <si>
    <t>2020 - usage : Eau Chaude Sanitaire</t>
  </si>
  <si>
    <t>2020 - usage : Eclairage public</t>
  </si>
  <si>
    <t>2020 - usage : Eclairage résidentiel</t>
  </si>
  <si>
    <t>2020 - usage : Froid</t>
  </si>
  <si>
    <t>2020 - usage : Industrie base</t>
  </si>
  <si>
    <t>2020 - usage : Transports</t>
  </si>
  <si>
    <t>2020 - usage : Eau Chaude Sanitaire, France continentale, Base Carbone</t>
  </si>
  <si>
    <t xml:space="preserve">Méthode moyenne </t>
  </si>
  <si>
    <t>Elec_Usage_saisonnalisé</t>
  </si>
  <si>
    <t>Elec_Usage_moyenne</t>
  </si>
  <si>
    <t>2016 - usage : Froid</t>
  </si>
  <si>
    <t>2017 - usage : Froid</t>
  </si>
  <si>
    <t>2018 - usage : Froid</t>
  </si>
  <si>
    <t>2020 - usage : Climatisation tertiaire</t>
  </si>
  <si>
    <t>Méthode moyenne</t>
  </si>
  <si>
    <t>2016 - usage : Autres (BTP. recherche. armée. etc.), France continentale, Base Carbone</t>
  </si>
  <si>
    <t>2019 - usage : chauffage, France continentale, Base Carbone</t>
  </si>
  <si>
    <t>2020 - usage : Transports, France continentale, Base Carbone</t>
  </si>
  <si>
    <t>mix moyen, Guyane, Base Carbone</t>
  </si>
  <si>
    <t>Biopropane à base d'huile de colza</t>
  </si>
  <si>
    <t>Biopropane à base d'huile de palme (avec capture de méthane)</t>
  </si>
  <si>
    <t>Biopropane à base d'huile de palme (sans capture de méthane)</t>
  </si>
  <si>
    <t>Biopropane à base d'huile de tournesol</t>
  </si>
  <si>
    <t>Biopropane à base d'huile de cuisson</t>
  </si>
  <si>
    <t>Biopropane à base de distillat d'acides gras d'huile de palme comme résidu</t>
  </si>
  <si>
    <t>Biopropane à base de graisses animales</t>
  </si>
  <si>
    <t>Fraises</t>
  </si>
  <si>
    <t>Noix sèches en coque</t>
  </si>
  <si>
    <t>Orge de brasserie</t>
  </si>
  <si>
    <t>Orge fouragère</t>
  </si>
  <si>
    <t>Pêche et nectarine</t>
  </si>
  <si>
    <t>Pommes</t>
  </si>
  <si>
    <t>Racines d'endive</t>
  </si>
  <si>
    <t>Tomates</t>
  </si>
  <si>
    <t>Triticale conventionnel</t>
  </si>
  <si>
    <t>Vigne</t>
  </si>
  <si>
    <t>kgCO2e/Ha</t>
  </si>
  <si>
    <t>Cultures_produits_végétaux</t>
  </si>
  <si>
    <t>Blé dur, France continentale, Base Carbone</t>
  </si>
  <si>
    <t>Carotte, France continentale, Base Carbone</t>
  </si>
  <si>
    <t>Fraises, France continentale, Base Carbone</t>
  </si>
  <si>
    <t>Melon, France continentale, Base Carbone</t>
  </si>
  <si>
    <t>Tomates, France continentale, Base Carbone</t>
  </si>
  <si>
    <t>Cultures de produits végétaux</t>
  </si>
  <si>
    <t>mix moyen, Tahiti, Base Carbone</t>
  </si>
  <si>
    <t>mix moyen, Martinique, Base Carbone</t>
  </si>
  <si>
    <t>Avion passagers, long courrier, sans trainées, France continentale, Base Carbone</t>
  </si>
  <si>
    <t>emissions fugitives</t>
  </si>
  <si>
    <t>Train de marchandises, Corse, Base Carbone</t>
  </si>
  <si>
    <t>Autres produits végétaux</t>
  </si>
  <si>
    <t>Autres_produits_végétaux</t>
  </si>
  <si>
    <t>Arbuste potted - prairie permanente, avec trèfle, région du Nord-Ouest</t>
  </si>
  <si>
    <t>Rose (fleur coupée) - prairie permanente, sans trèfle, Auvergne</t>
  </si>
  <si>
    <t>Rose (fleur coupée) - prairie permanente, sans trèfle, région du Nord-Ouest</t>
  </si>
  <si>
    <t>Rose (fleur coupée) - prairie temporaire, sans trèfle, région du Nord-Ouest</t>
  </si>
  <si>
    <t>Basilic conventionnel Avril</t>
  </si>
  <si>
    <t>Basilic conventionnel Mai</t>
  </si>
  <si>
    <t>Basilic intrants durables Avril</t>
  </si>
  <si>
    <t>Basilic intrants durables Mai</t>
  </si>
  <si>
    <t>Dipladenia conventionnel</t>
  </si>
  <si>
    <t>Dipladenia serre bioclimatique</t>
  </si>
  <si>
    <t>Pelargonium conventionnel</t>
  </si>
  <si>
    <t>Pelargonium intrants durables</t>
  </si>
  <si>
    <t>Pelargonium serre froide</t>
  </si>
  <si>
    <t>Pelargonium serre froide intrants durables</t>
  </si>
  <si>
    <t>Tomate conventionnel</t>
  </si>
  <si>
    <t>kgCO2e/plant</t>
  </si>
  <si>
    <t>Arbuste potted - prairie permanente, avec trèfle, région du Nord-Ouest, France continentale, Base Carbone</t>
  </si>
  <si>
    <t>Rose (fleur coupée) - prairie permanente, sans trèfle, région du Nord-Ouest, France continentale, Base Carbone</t>
  </si>
  <si>
    <t>Basilic conventionnel Avril, France continentale, Base Carbone</t>
  </si>
  <si>
    <t>Dipladenia conventionnel, France continentale, Base Carbone</t>
  </si>
  <si>
    <t>Tomate conventionnel, France continentale, Base Carbone</t>
  </si>
  <si>
    <t>Rose (fleur coupée) - prairie permanente, sans trèfle, Auvergne, France continentale, Base Carbone</t>
  </si>
  <si>
    <t>Tourbes</t>
  </si>
  <si>
    <t>Tourbe horticole Blonde</t>
  </si>
  <si>
    <t>Tourbe horticole Brune</t>
  </si>
  <si>
    <t>Tourbe horticole Noire</t>
  </si>
  <si>
    <t>Tourbe horticole Blonde, France continentale, Base Carbone</t>
  </si>
  <si>
    <t>Tourbe horticole Brune, France continentale, Base Carbone</t>
  </si>
  <si>
    <t>Tourbe horticole Noire, France continentale, Base Carbone</t>
  </si>
  <si>
    <t>Déchets des acteurs économiques</t>
  </si>
  <si>
    <t>Plastique biosourcé PP - Incinération - Impacts, France continentale, Base Carbone</t>
  </si>
  <si>
    <t>Plastique rigide pétrosourcé PE autres emballages - Fin de vie moyenne filière - Impacts, France continentale, Base Carbone</t>
  </si>
  <si>
    <t>Plastique rigide PE bouteilles - Recyclage - Impacts, France continentale, Base Carbone</t>
  </si>
  <si>
    <t>donnée d'activité</t>
  </si>
  <si>
    <t>Déchets d'éléments d'ameublements et textiles</t>
  </si>
  <si>
    <t>DIS (Déchets Industriels Spéciaux) - Stockage - Impacts, France continentale, Base Carbone</t>
  </si>
  <si>
    <t>Plastique rigide PE - Recyclage granulés - Impacts, France continentale, Base Carbone</t>
  </si>
  <si>
    <t>Plastique rigide PET - Recyclage granulés - Impacts, France continentale, Base Carbone</t>
  </si>
  <si>
    <t>Plastique rigide PP - Recyclage granulés - Impacts, France continentale, Base Carbone</t>
  </si>
  <si>
    <t>Plastique rigide PS - Recyclage - Impacts, France continentale, Base Carbone</t>
  </si>
  <si>
    <t>Plastique rigide PVC - Recyclage - Impacts, France continentale, Base Carbone</t>
  </si>
  <si>
    <t>Piles, accumulateurs et DEEE</t>
  </si>
  <si>
    <t>Ameublements et textiles</t>
  </si>
  <si>
    <t>Déchets banals des acteurs économiques</t>
  </si>
  <si>
    <t>Base Carbone® v21</t>
  </si>
  <si>
    <t>Depuis octobre 2018, l'ADEME met à disposition des feuilles d'import pour faciliter votre déclaration en ligne. Vous retrouverez ces feuilles d'import dans votre dossier Tableurs BC v8.7. Attention à ne modifier que les cases avec des 0.</t>
  </si>
  <si>
    <t>Gazole routier (B7), France continentale, Base Carbone</t>
  </si>
  <si>
    <t>kgCO2e/m3.km</t>
  </si>
  <si>
    <t>emissiosn fugitives</t>
  </si>
  <si>
    <t>Utilitaire, &lt;3,5 T, hydrogène électrolyse décentralisée mix EnR</t>
  </si>
  <si>
    <t>Utilitaire, &lt;3,5 T, hydrogène élecrolyse décentralisée mix France</t>
  </si>
  <si>
    <t>Voiture particulière - berline - hydrogène électrolyse mix EnR décentralisée</t>
  </si>
  <si>
    <t>Voiture particulière - berline - hydrogène électrolyse mix France décentralisée</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</si>
  <si>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suite à votre action, ne génèrera pas. 
</t>
    </r>
  </si>
  <si>
    <t>Type de fin de vie</t>
  </si>
  <si>
    <t>fin de vie moyenne</t>
  </si>
  <si>
    <t>recyclage</t>
  </si>
  <si>
    <t>stockage</t>
  </si>
  <si>
    <t>Carton, moyenne</t>
  </si>
  <si>
    <t>Carton, incinération</t>
  </si>
  <si>
    <t>Carton, recyclage</t>
  </si>
  <si>
    <t>Carton, stockage</t>
  </si>
  <si>
    <t>Papier, moyenne</t>
  </si>
  <si>
    <t>Papier, incinération</t>
  </si>
  <si>
    <t>Papier, stockage</t>
  </si>
  <si>
    <t>Papier, recyclage</t>
  </si>
  <si>
    <t>Choix</t>
  </si>
  <si>
    <t>Papier, compost</t>
  </si>
  <si>
    <t>Acier - incinération</t>
  </si>
  <si>
    <t>Acier - stockage</t>
  </si>
  <si>
    <t>Aluminium - fin de vie moyenne</t>
  </si>
  <si>
    <t>Aluminium - incinération</t>
  </si>
  <si>
    <t>Aluminium - recyclage</t>
  </si>
  <si>
    <t>Aluminium - stockage</t>
  </si>
  <si>
    <t>Autres métaux - incinération</t>
  </si>
  <si>
    <t>Autres métaux - stockage</t>
  </si>
  <si>
    <t>Déchets ménages</t>
  </si>
  <si>
    <t>Déchets acteurs éco.</t>
  </si>
  <si>
    <t>Biodiesel  - mix moyen (changement d'affectation des sols scénario maximum)</t>
  </si>
  <si>
    <t>GNC, Gaz Naturel Comprimé pour véhicule routier, France continentale, Base Carbone</t>
  </si>
  <si>
    <t>Biodiesel  - mix moyen (changement d'affectation des sols scénario maximum), France continentale, Base Carbone</t>
  </si>
  <si>
    <t>Biodiesel - mix moyen (sans changement d'affectation des sols), France continentale, Base Carbone</t>
  </si>
  <si>
    <t>Gazole routier (B100), France continentale, Base Carbone</t>
  </si>
  <si>
    <t>Essence (Supercarburant sans plomb (95, 95-E10, 98)), France continentale, Base Carbone</t>
  </si>
  <si>
    <t>Essence (E10), France continentale, Base Carbone</t>
  </si>
  <si>
    <t>Métaux - Fin de vie hors recyclage - Impacts, France continentale, Base Carbone</t>
  </si>
  <si>
    <t>Bois de classe B - Fin de vie hors recyclage - Impacts, France continentale, Base Carbone</t>
  </si>
  <si>
    <t>Déchets inertes en mélange (Gravats) - Fin de vie hors recyclage - Impacts, France continentale, Base Carbone</t>
  </si>
  <si>
    <t>Déchets non dangereux en mélange (DIB) - Fin de vie hors recyclage - Impacts, France continentale, Base Carbone</t>
  </si>
  <si>
    <t>Autres plastiques - fin de vie moyenne</t>
  </si>
  <si>
    <t>Autres plastiques - incinération</t>
  </si>
  <si>
    <t>Plastique pétrosourcé PET - Incinération - Impacts</t>
  </si>
  <si>
    <t>PE biosourcé - Incinération</t>
  </si>
  <si>
    <t>PET biosourcé - Incinération</t>
  </si>
  <si>
    <t>PE pétrosourcé - Incinération</t>
  </si>
  <si>
    <t>PE souple - Recyclage</t>
  </si>
  <si>
    <t>PE souple - Recyclage granulés</t>
  </si>
  <si>
    <t>PE souple biosourcé - Fin de vie moyenne filièr</t>
  </si>
  <si>
    <t>PE souple pétrosourcé - Fin de vie moyenne filière</t>
  </si>
  <si>
    <t>PET souple biosourcé - Fin de vie moyenne filière</t>
  </si>
  <si>
    <t>PET souple pétrosourcé - Fin de vie moyenne filière</t>
  </si>
  <si>
    <t>PE rigide biosourcé autres emballages - Fin de vie moyenne filière</t>
  </si>
  <si>
    <t>PE rigide biosourcé bouteilles - Fin de vie moyenne filière</t>
  </si>
  <si>
    <t>PET rigide biosourcé autres emballages - Fin de vie moyenne filière</t>
  </si>
  <si>
    <t>PET rigide biosourcé bouteilles - Fin de vie moyenne filière</t>
  </si>
  <si>
    <t>PE rigide - Recyclage granulés</t>
  </si>
  <si>
    <t>PE rigide - Recyclage paillettes</t>
  </si>
  <si>
    <t>PE rigide autres emballages - Recyclage</t>
  </si>
  <si>
    <t>PE rigide bouteilles - Recyclage</t>
  </si>
  <si>
    <t>PET rigide - Recyclage granulés</t>
  </si>
  <si>
    <t>PET rigide - Recyclage paillettes</t>
  </si>
  <si>
    <t>PET rigide autres emballages - Recyclage</t>
  </si>
  <si>
    <t>PET rigide bouteilles - Recyclage</t>
  </si>
  <si>
    <t>PE rigide pétrosourcé autres emballages - Fin de vie moyenne filière</t>
  </si>
  <si>
    <t>PE rigide pétrosourcé bouteilles - Fin de vie moyenne filière</t>
  </si>
  <si>
    <t>PET rigide pétrosourcé autres emballages - Fin de vie moyenne filiè</t>
  </si>
  <si>
    <t>PET rigide pétrosourcé bouteilles - Fin de vie moyenne filière</t>
  </si>
  <si>
    <t>PS-PSE rigide - Incinération</t>
  </si>
  <si>
    <t>PVC rigide - Fin de vie moyenne filière</t>
  </si>
  <si>
    <t>PVC rigide - Incinération</t>
  </si>
  <si>
    <t>Autres plastiques - stockage</t>
  </si>
  <si>
    <t>PS-PSE rigide - Fin de vie moyenne filière</t>
  </si>
  <si>
    <t>PET pétrosourcé- Incinération</t>
  </si>
  <si>
    <t>Version 8.7.2 - Avril 2022</t>
  </si>
  <si>
    <t>FERMA</t>
  </si>
  <si>
    <t>Voiture particulière - cœur de gamme - véhicule compact - Hybride, full, Prius, France continentale, Base Carbone</t>
  </si>
  <si>
    <t>Voiture gazole - longue distance - 2018, France continentale, Base Carbone</t>
  </si>
  <si>
    <t>Voiture essence - courte distance - 2018, France continentale, Base Carbone</t>
  </si>
  <si>
    <t>TGV - 2019, France continentale, Base Carbone</t>
  </si>
  <si>
    <t>EDF France, France, PWC</t>
  </si>
  <si>
    <t>Télécommunications, France continentale, Base Carbone</t>
  </si>
  <si>
    <t>Services (imprimerie, publicité, architecture et ingénierie, maintenance multi-technique des bâtimen, France continentale, Base Carbone</t>
  </si>
  <si>
    <t>Édition (livres, journaux, revues, etc.), France continentale, Base Carbone</t>
  </si>
  <si>
    <t>Enseignement, France continentale, Base Carbone</t>
  </si>
  <si>
    <t>Bâtiment industriel, structure métallique, France continentale, Base Carbone</t>
  </si>
  <si>
    <t>Parking, classique - bitume, France continentale, Base Carbone</t>
  </si>
  <si>
    <t>Ordinateur fixe - bureautique, France continentale, Base Carbone</t>
  </si>
  <si>
    <t>Porte-conteneurs, Dry, Intra Europe du Nord, France continentale, Base Carbone</t>
  </si>
  <si>
    <t>Rigide, 12 à 20 T, diesel routier, 7% biodiesel, France continentale, Base Carbone</t>
  </si>
  <si>
    <t>Rigide, 7,5 à 12 T, diesel routier, 7% biodiesel, France continentale, Base Carbone</t>
  </si>
  <si>
    <t>R407c, Base Carbone</t>
  </si>
  <si>
    <t>Marseille</t>
  </si>
  <si>
    <t>Plastique rigide PVC - Incinération - Impacts, France continentale, Base Carbone</t>
  </si>
  <si>
    <t>Fabriquant de portes et volets</t>
  </si>
  <si>
    <t>Portes et Volets</t>
  </si>
  <si>
    <t>M€</t>
  </si>
  <si>
    <t>Mobilier, France continentale, Base Carbone</t>
  </si>
  <si>
    <t>Avion passagers, 51-100 sièges, &lt; 500 km jet, avec trainées, France continentale, Base Carbone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</si>
</sst>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0.00&quot;€&quot;;[Red]\-#,##0.00&quot;€&quot;"/>
    <numFmt numFmtId="165" formatCode="#,##0.0"/>
    <numFmt numFmtId="166" formatCode="0.0000"/>
    <numFmt numFmtId="167" formatCode="0.000"/>
    <numFmt numFmtId="168" formatCode="0.0"/>
    <numFmt numFmtId="169" formatCode="#,##0.000"/>
    <numFmt numFmtId="170" formatCode="0.00000"/>
    <numFmt numFmtId="171" formatCode="#,##0.0000"/>
    <numFmt numFmtId="172" formatCode="#,##0.00000"/>
    <numFmt numFmtId="173" formatCode="0.0%"/>
    <numFmt numFmtId="174" formatCode="#,##0;\-#,##0;;"/>
    <numFmt numFmtId="175" formatCode="#,##0.000000"/>
    <numFmt numFmtId="176" formatCode="0.00.E+00"/>
    <numFmt numFmtId="177" formatCode="0.00E+00;\_x0000_"/>
    <numFmt numFmtId="178" formatCode="#,##0;;"/>
    <numFmt numFmtId="179" formatCode="#,##0.000;;"/>
    <numFmt numFmtId="180" formatCode="mmmm\-yy"/>
    <numFmt numFmtId="181" formatCode="0.000000000000000000E+00"/>
    <numFmt numFmtId="182" formatCode="#,##0;\-#,##0;"/>
    <numFmt numFmtId="183" formatCode="#,##0.000000000000000000000000000000000000000000000"/>
    <numFmt numFmtId="184" formatCode="#,##0.0000000"/>
    <numFmt numFmtId="185" formatCode="0.00000000"/>
    <numFmt numFmtId="186" formatCode="0.000000000"/>
    <numFmt numFmtId="187" formatCode="0.0000E+00"/>
    <numFmt numFmtId="188" formatCode="0.0000000"/>
    <numFmt numFmtId="189" formatCode="0.000%"/>
    <numFmt numFmtId="190" formatCode="#,##0.00000;;"/>
  </numFmts>
  <fonts count="101">
    <font>
      <sz val="9"/>
      <name val="Geneva"/>
    </font>
    <font>
      <sz val="11"/>
      <color theme="1"/>
      <name val="Calibri"/>
      <family val="2"/>
      <scheme val="minor"/>
    </font>
    <font>
      <sz val="11"/>
      <color theme="1"/>
      <name val="Calibri"/>
      <family val="2"/>
      <scheme val="minor"/>
    </font>
    <font>
      <sz val="11"/>
      <color theme="1"/>
      <name val="Calibri"/>
      <family val="2"/>
      <scheme val="minor"/>
    </font>
    <font>
      <sz val="9"/>
      <name val="Geneva"/>
    </font>
    <font>
      <b/>
      <sz val="9"/>
      <color indexed="81"/>
      <name val="Geneva"/>
    </font>
    <font>
      <u/>
      <sz val="9"/>
      <color indexed="12"/>
      <name val="Geneva"/>
    </font>
    <font>
      <sz val="8"/>
      <name val="Verdana"/>
      <family val="2"/>
    </font>
    <font>
      <sz val="10"/>
      <name val="Arial"/>
      <family val="2"/>
    </font>
    <font>
      <b/>
      <sz val="10"/>
      <name val="Arial"/>
      <family val="2"/>
    </font>
    <font>
      <sz val="9"/>
      <name val="Arial"/>
      <family val="2"/>
    </font>
    <font>
      <sz val="8"/>
      <name val="Geneva"/>
    </font>
    <font>
      <sz val="10"/>
      <color indexed="10"/>
      <name val="Arial"/>
      <family val="2"/>
    </font>
    <font>
      <sz val="12"/>
      <name val="Arial"/>
      <family val="2"/>
    </font>
    <font>
      <b/>
      <sz val="9"/>
      <name val="Arial"/>
      <family val="2"/>
    </font>
    <font>
      <b/>
      <sz val="12"/>
      <color indexed="16"/>
      <name val="Arial"/>
      <family val="2"/>
    </font>
    <font>
      <b/>
      <sz val="10"/>
      <color indexed="16"/>
      <name val="Arial"/>
      <family val="2"/>
    </font>
    <font>
      <b/>
      <sz val="10"/>
      <color indexed="12"/>
      <name val="Arial"/>
      <family val="2"/>
    </font>
    <font>
      <sz val="9"/>
      <color indexed="12"/>
      <name val="Arial"/>
      <family val="2"/>
    </font>
    <font>
      <sz val="10"/>
      <color indexed="8"/>
      <name val="Arial"/>
      <family val="2"/>
    </font>
    <font>
      <b/>
      <sz val="10"/>
      <color indexed="10"/>
      <name val="Arial"/>
      <family val="2"/>
    </font>
    <font>
      <i/>
      <sz val="10"/>
      <name val="Arial"/>
      <family val="2"/>
    </font>
    <font>
      <sz val="10"/>
      <color indexed="16"/>
      <name val="Arial"/>
      <family val="2"/>
    </font>
    <font>
      <b/>
      <sz val="11"/>
      <color indexed="12"/>
      <name val="Arial"/>
      <family val="2"/>
    </font>
    <font>
      <b/>
      <sz val="9"/>
      <color indexed="8"/>
      <name val="Arial"/>
      <family val="2"/>
    </font>
    <font>
      <b/>
      <sz val="10"/>
      <color indexed="8"/>
      <name val="Arial"/>
      <family val="2"/>
    </font>
    <font>
      <sz val="11"/>
      <name val="Arial"/>
      <family val="2"/>
    </font>
    <font>
      <b/>
      <sz val="11"/>
      <name val="Arial"/>
      <family val="2"/>
    </font>
    <font>
      <b/>
      <sz val="11"/>
      <color indexed="8"/>
      <name val="Arial"/>
      <family val="2"/>
    </font>
    <font>
      <u/>
      <sz val="11"/>
      <color indexed="12"/>
      <name val="Arial"/>
      <family val="2"/>
    </font>
    <font>
      <sz val="11"/>
      <color indexed="16"/>
      <name val="Arial"/>
      <family val="2"/>
    </font>
    <font>
      <b/>
      <vertAlign val="superscript"/>
      <sz val="10"/>
      <name val="Arial"/>
      <family val="2"/>
    </font>
    <font>
      <sz val="10"/>
      <color indexed="19"/>
      <name val="Arial"/>
      <family val="2"/>
    </font>
    <font>
      <b/>
      <sz val="12"/>
      <color indexed="19"/>
      <name val="Arial"/>
      <family val="2"/>
    </font>
    <font>
      <b/>
      <sz val="9"/>
      <color indexed="81"/>
      <name val="Tahoma"/>
      <family val="2"/>
    </font>
    <font>
      <b/>
      <sz val="10"/>
      <color theme="1"/>
      <name val="Arial"/>
      <family val="2"/>
    </font>
    <font>
      <sz val="10"/>
      <color theme="1"/>
      <name val="Arial"/>
      <family val="2"/>
    </font>
    <font>
      <sz val="9"/>
      <color indexed="81"/>
      <name val="Tahoma"/>
      <family val="2"/>
    </font>
    <font>
      <sz val="10"/>
      <color rgb="FF000000"/>
      <name val="Arial"/>
      <family val="2"/>
    </font>
    <font>
      <b/>
      <sz val="12"/>
      <color theme="0"/>
      <name val="Arial"/>
      <family val="2"/>
    </font>
    <font>
      <u/>
      <sz val="11"/>
      <color rgb="FF0070C0"/>
      <name val="Arial"/>
      <family val="2"/>
    </font>
    <font>
      <sz val="11"/>
      <color rgb="FF000000"/>
      <name val="Arial"/>
      <family val="2"/>
    </font>
    <font>
      <b/>
      <sz val="9"/>
      <color theme="1"/>
      <name val="Arial"/>
      <family val="2"/>
    </font>
    <font>
      <sz val="9"/>
      <color theme="1"/>
      <name val="Arial"/>
      <family val="2"/>
    </font>
    <font>
      <b/>
      <sz val="11"/>
      <color theme="1"/>
      <name val="Arial"/>
      <family val="2"/>
    </font>
    <font>
      <sz val="9"/>
      <color theme="4"/>
      <name val="Arial"/>
      <family val="2"/>
    </font>
    <font>
      <sz val="11"/>
      <color theme="1"/>
      <name val="Arial"/>
      <family val="2"/>
    </font>
    <font>
      <b/>
      <sz val="11"/>
      <color theme="0"/>
      <name val="Arial"/>
      <family val="2"/>
    </font>
    <font>
      <b/>
      <sz val="10"/>
      <color theme="3"/>
      <name val="Arial"/>
      <family val="2"/>
    </font>
    <font>
      <sz val="10"/>
      <color theme="3"/>
      <name val="Arial"/>
      <family val="2"/>
    </font>
    <font>
      <b/>
      <sz val="10"/>
      <color rgb="FFC00000"/>
      <name val="Arial"/>
      <family val="2"/>
    </font>
    <font>
      <sz val="9"/>
      <color indexed="81"/>
      <name val="Geneva"/>
    </font>
    <font>
      <sz val="10"/>
      <color theme="9" tint="-0.499984740745262"/>
      <name val="Arial"/>
      <family val="2"/>
    </font>
    <font>
      <b/>
      <sz val="10"/>
      <color theme="9" tint="-0.499984740745262"/>
      <name val="Arial"/>
      <family val="2"/>
    </font>
    <font>
      <b/>
      <u/>
      <sz val="11"/>
      <color rgb="FF0070C0"/>
      <name val="Arial"/>
      <family val="2"/>
    </font>
    <font>
      <b/>
      <sz val="11"/>
      <color theme="3"/>
      <name val="Arial"/>
      <family val="2"/>
    </font>
    <font>
      <b/>
      <sz val="10"/>
      <color theme="0"/>
      <name val="Arial"/>
      <family val="2"/>
    </font>
    <font>
      <b/>
      <sz val="11"/>
      <color rgb="FF0070C0"/>
      <name val="Arial"/>
      <family val="2"/>
    </font>
    <font>
      <b/>
      <sz val="10"/>
      <color rgb="FFFF0000"/>
      <name val="Arial"/>
      <family val="2"/>
    </font>
    <font>
      <b/>
      <sz val="11"/>
      <color theme="2"/>
      <name val="Arial"/>
      <family val="2"/>
    </font>
    <font>
      <u/>
      <sz val="12"/>
      <color rgb="FF0070C0"/>
      <name val="Arial"/>
      <family val="2"/>
    </font>
    <font>
      <u/>
      <sz val="10"/>
      <name val="Arial"/>
      <family val="2"/>
    </font>
    <font>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9"/>
      <color rgb="FFFF0000"/>
      <name val="Geneva"/>
    </font>
    <font>
      <b/>
      <sz val="12"/>
      <name val="Arial"/>
      <family val="2"/>
    </font>
    <font>
      <b/>
      <sz val="9"/>
      <name val="Geneva"/>
    </font>
    <font>
      <sz val="8"/>
      <name val="Arial"/>
      <family val="2"/>
    </font>
    <font>
      <b/>
      <sz val="36"/>
      <name val="Arial"/>
      <family val="2"/>
    </font>
    <font>
      <b/>
      <sz val="14"/>
      <name val="Arial"/>
      <family val="2"/>
    </font>
    <font>
      <b/>
      <sz val="12"/>
      <color theme="1"/>
      <name val="Arial"/>
      <family val="2"/>
    </font>
    <font>
      <b/>
      <u/>
      <sz val="8"/>
      <name val="Geneva"/>
    </font>
    <font>
      <b/>
      <sz val="8"/>
      <name val="Geneva"/>
    </font>
    <font>
      <sz val="11"/>
      <name val="Geneva"/>
    </font>
    <font>
      <sz val="10"/>
      <name val="Calibri"/>
      <family val="2"/>
    </font>
    <font>
      <i/>
      <sz val="10"/>
      <name val="Calibri"/>
      <family val="2"/>
    </font>
    <font>
      <sz val="9"/>
      <color theme="0"/>
      <name val="Geneva"/>
    </font>
    <font>
      <i/>
      <sz val="9"/>
      <name val="Geneva"/>
    </font>
    <font>
      <i/>
      <sz val="10"/>
      <color theme="3"/>
      <name val="Arial"/>
      <family val="2"/>
    </font>
    <font>
      <sz val="9"/>
      <color theme="1"/>
      <name val="Geneva"/>
    </font>
    <font>
      <vertAlign val="superscript"/>
      <sz val="9"/>
      <name val="Geneva"/>
    </font>
    <font>
      <b/>
      <sz val="11"/>
      <color indexed="81"/>
      <name val="Tahoma"/>
      <family val="2"/>
    </font>
    <font>
      <sz val="10"/>
      <color rgb="FFFF0000"/>
      <name val="Arial"/>
      <family val="2"/>
    </font>
    <font>
      <vertAlign val="superscript"/>
      <sz val="10"/>
      <name val="Arial"/>
      <family val="2"/>
    </font>
    <font>
      <i/>
      <sz val="10"/>
      <color indexed="8"/>
      <name val="Arial"/>
      <family val="2"/>
    </font>
  </fonts>
  <fills count="96">
    <fill>
      <patternFill patternType="none"/>
    </fill>
    <fill>
      <patternFill patternType="gray125"/>
    </fill>
    <fill>
      <patternFill patternType="solid">
        <fgColor indexed="9"/>
        <bgColor indexed="64"/>
      </patternFill>
    </fill>
    <fill>
      <patternFill patternType="solid">
        <fgColor rgb="FFCCFFCC"/>
        <bgColor rgb="FF000000"/>
      </patternFill>
    </fill>
    <fill>
      <patternFill patternType="solid">
        <fgColor rgb="FFFFFF99"/>
        <bgColor rgb="FF000000"/>
      </patternFill>
    </fill>
    <fill>
      <patternFill patternType="solid">
        <fgColor rgb="FF99CCFF"/>
        <bgColor rgb="FF000000"/>
      </patternFill>
    </fill>
    <fill>
      <patternFill patternType="solid">
        <fgColor theme="0" tint="-0.14999847407452621"/>
        <bgColor rgb="FF000000"/>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5" tint="0.59999389629810485"/>
        <bgColor indexed="64"/>
      </patternFill>
    </fill>
    <fill>
      <patternFill patternType="solid">
        <fgColor theme="4"/>
        <bgColor indexed="64"/>
      </patternFill>
    </fill>
    <fill>
      <patternFill patternType="solid">
        <fgColor theme="9"/>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FFD833"/>
        <bgColor indexed="64"/>
      </patternFill>
    </fill>
    <fill>
      <patternFill patternType="solid">
        <fgColor rgb="FFE950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009999"/>
        <bgColor indexed="64"/>
      </patternFill>
    </fill>
    <fill>
      <patternFill patternType="solid">
        <fgColor theme="0" tint="-0.249977111117893"/>
        <bgColor rgb="FF000000"/>
      </patternFill>
    </fill>
    <fill>
      <patternFill patternType="solid">
        <fgColor theme="0" tint="-0.499984740745262"/>
        <bgColor rgb="FF000000"/>
      </patternFill>
    </fill>
    <fill>
      <patternFill patternType="solid">
        <fgColor rgb="FF009999"/>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8" tint="0.79998168889431442"/>
        <bgColor rgb="FF000000"/>
      </patternFill>
    </fill>
    <fill>
      <patternFill patternType="solid">
        <fgColor theme="4" tint="0.59999389629810485"/>
        <bgColor rgb="FF000000"/>
      </patternFill>
    </fill>
    <fill>
      <patternFill patternType="solid">
        <fgColor theme="4"/>
        <bgColor rgb="FF000000"/>
      </patternFill>
    </fill>
    <fill>
      <patternFill patternType="solid">
        <fgColor theme="7"/>
        <bgColor rgb="FF000000"/>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theme="1" tint="0.34998626667073579"/>
        <bgColor rgb="FFFFFF99"/>
      </patternFill>
    </fill>
    <fill>
      <patternFill patternType="lightUp">
        <fgColor theme="1" tint="0.34998626667073579"/>
        <bgColor rgb="FF99CCFF"/>
      </patternFill>
    </fill>
    <fill>
      <patternFill patternType="lightUp">
        <fgColor theme="1" tint="0.34998626667073579"/>
        <bgColor theme="8" tint="0.79998168889431442"/>
      </patternFill>
    </fill>
    <fill>
      <patternFill patternType="lightUp">
        <fgColor theme="1" tint="0.34998626667073579"/>
        <bgColor rgb="FF009999"/>
      </patternFill>
    </fill>
    <fill>
      <patternFill patternType="lightUp">
        <fgColor theme="1" tint="0.34998626667073579"/>
        <bgColor theme="7" tint="0.59999389629810485"/>
      </patternFill>
    </fill>
    <fill>
      <patternFill patternType="lightUp">
        <fgColor theme="1" tint="0.34998626667073579"/>
        <bgColor theme="7"/>
      </patternFill>
    </fill>
    <fill>
      <patternFill patternType="solid">
        <fgColor theme="8"/>
        <bgColor indexed="64"/>
      </patternFill>
    </fill>
    <fill>
      <patternFill patternType="solid">
        <fgColor theme="8"/>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lightUp">
        <fgColor theme="1" tint="0.34998626667073579"/>
        <bgColor theme="8" tint="0.59999389629810485"/>
      </patternFill>
    </fill>
    <fill>
      <patternFill patternType="lightUp">
        <fgColor theme="1" tint="0.34998626667073579"/>
        <bgColor theme="6" tint="0.39997558519241921"/>
      </patternFill>
    </fill>
    <fill>
      <patternFill patternType="lightUp">
        <fgColor theme="1" tint="0.34998626667073579"/>
        <bgColor theme="8"/>
      </patternFill>
    </fill>
    <fill>
      <patternFill patternType="lightUp">
        <fgColor theme="1" tint="0.34998626667073579"/>
        <bgColor theme="6"/>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5" tint="-0.249977111117893"/>
        <bgColor indexed="64"/>
      </patternFill>
    </fill>
    <fill>
      <patternFill patternType="solid">
        <fgColor rgb="FFC00000"/>
        <bgColor indexed="64"/>
      </patternFill>
    </fill>
    <fill>
      <patternFill patternType="solid">
        <fgColor theme="2" tint="-0.249977111117893"/>
        <bgColor indexed="64"/>
      </patternFill>
    </fill>
  </fills>
  <borders count="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s>
  <cellStyleXfs count="81">
    <xf numFmtId="0" fontId="0" fillId="0" borderId="0"/>
    <xf numFmtId="0" fontId="6" fillId="0" borderId="0" applyNumberFormat="0" applyFill="0" applyBorder="0" applyAlignment="0" applyProtection="0">
      <alignment vertical="top"/>
      <protection locked="0"/>
    </xf>
    <xf numFmtId="3" fontId="4" fillId="0" borderId="0" applyFont="0" applyFill="0" applyBorder="0" applyAlignment="0" applyProtection="0"/>
    <xf numFmtId="9" fontId="4" fillId="0" borderId="0" applyFont="0" applyFill="0" applyBorder="0" applyAlignment="0" applyProtection="0"/>
    <xf numFmtId="0" fontId="39" fillId="26" borderId="2">
      <alignment horizontal="center" vertical="center"/>
    </xf>
    <xf numFmtId="0" fontId="39" fillId="12" borderId="2">
      <alignment horizontal="center" vertical="center"/>
    </xf>
    <xf numFmtId="0" fontId="39" fillId="10" borderId="2">
      <alignment horizontal="center" vertical="center"/>
    </xf>
    <xf numFmtId="0" fontId="39" fillId="18" borderId="2">
      <alignment horizontal="center" vertical="center"/>
    </xf>
    <xf numFmtId="0" fontId="39" fillId="21" borderId="2">
      <alignment horizontal="center" vertical="center"/>
    </xf>
    <xf numFmtId="0" fontId="39" fillId="14" borderId="2">
      <alignment horizontal="center" vertical="center"/>
    </xf>
    <xf numFmtId="0" fontId="4" fillId="0" borderId="0"/>
    <xf numFmtId="0" fontId="3" fillId="0" borderId="0"/>
    <xf numFmtId="0" fontId="4" fillId="0" borderId="0"/>
    <xf numFmtId="3"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3" fontId="4" fillId="0" borderId="0" applyFont="0" applyFill="0" applyBorder="0" applyAlignment="0" applyProtection="0"/>
    <xf numFmtId="9" fontId="4" fillId="0" borderId="0" applyFont="0" applyFill="0" applyBorder="0" applyAlignment="0" applyProtection="0"/>
    <xf numFmtId="0" fontId="39" fillId="26" borderId="26">
      <alignment horizontal="center" vertical="center"/>
    </xf>
    <xf numFmtId="0" fontId="39" fillId="12" borderId="26">
      <alignment horizontal="center" vertical="center"/>
    </xf>
    <xf numFmtId="0" fontId="39" fillId="10" borderId="26">
      <alignment horizontal="center" vertical="center"/>
    </xf>
    <xf numFmtId="0" fontId="39" fillId="18" borderId="26">
      <alignment horizontal="center" vertical="center"/>
    </xf>
    <xf numFmtId="0" fontId="39" fillId="21" borderId="26">
      <alignment horizontal="center" vertical="center"/>
    </xf>
    <xf numFmtId="0" fontId="39" fillId="14" borderId="26">
      <alignment horizontal="center" vertical="center"/>
    </xf>
    <xf numFmtId="0" fontId="2" fillId="0" borderId="0"/>
    <xf numFmtId="0" fontId="63" fillId="0" borderId="0" applyNumberFormat="0" applyFill="0" applyBorder="0" applyAlignment="0" applyProtection="0"/>
    <xf numFmtId="0" fontId="64" fillId="0" borderId="27" applyNumberFormat="0" applyFill="0" applyAlignment="0" applyProtection="0"/>
    <xf numFmtId="0" fontId="65" fillId="0" borderId="28" applyNumberFormat="0" applyFill="0" applyAlignment="0" applyProtection="0"/>
    <xf numFmtId="0" fontId="66" fillId="0" borderId="29" applyNumberFormat="0" applyFill="0" applyAlignment="0" applyProtection="0"/>
    <xf numFmtId="0" fontId="66" fillId="0" borderId="0" applyNumberFormat="0" applyFill="0" applyBorder="0" applyAlignment="0" applyProtection="0"/>
    <xf numFmtId="0" fontId="67" fillId="41" borderId="0" applyNumberFormat="0" applyBorder="0" applyAlignment="0" applyProtection="0"/>
    <xf numFmtId="0" fontId="68" fillId="42" borderId="0" applyNumberFormat="0" applyBorder="0" applyAlignment="0" applyProtection="0"/>
    <xf numFmtId="0" fontId="69" fillId="43" borderId="0" applyNumberFormat="0" applyBorder="0" applyAlignment="0" applyProtection="0"/>
    <xf numFmtId="0" fontId="70" fillId="44" borderId="30" applyNumberFormat="0" applyAlignment="0" applyProtection="0"/>
    <xf numFmtId="0" fontId="71" fillId="45" borderId="31" applyNumberFormat="0" applyAlignment="0" applyProtection="0"/>
    <xf numFmtId="0" fontId="72" fillId="45" borderId="30" applyNumberFormat="0" applyAlignment="0" applyProtection="0"/>
    <xf numFmtId="0" fontId="73" fillId="0" borderId="32" applyNumberFormat="0" applyFill="0" applyAlignment="0" applyProtection="0"/>
    <xf numFmtId="0" fontId="74" fillId="46" borderId="33"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35" applyNumberFormat="0" applyFill="0" applyAlignment="0" applyProtection="0"/>
    <xf numFmtId="0" fontId="78"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78" fillId="59" borderId="0" applyNumberFormat="0" applyBorder="0" applyAlignment="0" applyProtection="0"/>
    <xf numFmtId="0" fontId="78"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78" fillId="71" borderId="0" applyNumberFormat="0" applyBorder="0" applyAlignment="0" applyProtection="0"/>
    <xf numFmtId="0" fontId="1" fillId="0" borderId="0"/>
    <xf numFmtId="9" fontId="1" fillId="0" borderId="0" applyFont="0" applyFill="0" applyBorder="0" applyAlignment="0" applyProtection="0"/>
    <xf numFmtId="0" fontId="1" fillId="47" borderId="34" applyNumberFormat="0" applyFont="0" applyAlignment="0" applyProtection="0"/>
    <xf numFmtId="3" fontId="4" fillId="0" borderId="0" applyFont="0" applyFill="0" applyBorder="0" applyAlignment="0" applyProtection="0"/>
    <xf numFmtId="0" fontId="1" fillId="0" borderId="0"/>
    <xf numFmtId="0" fontId="4" fillId="0" borderId="0"/>
    <xf numFmtId="9" fontId="4" fillId="0" borderId="0" applyFont="0" applyFill="0" applyBorder="0" applyAlignment="0" applyProtection="0"/>
    <xf numFmtId="0" fontId="1" fillId="0" borderId="0"/>
    <xf numFmtId="0" fontId="39" fillId="26" borderId="2">
      <alignment horizontal="center" vertical="center"/>
    </xf>
    <xf numFmtId="0" fontId="39" fillId="12" borderId="2">
      <alignment horizontal="center" vertical="center"/>
    </xf>
    <xf numFmtId="0" fontId="39" fillId="10" borderId="2">
      <alignment horizontal="center" vertical="center"/>
    </xf>
    <xf numFmtId="0" fontId="39" fillId="18" borderId="2">
      <alignment horizontal="center" vertical="center"/>
    </xf>
    <xf numFmtId="0" fontId="39" fillId="21" borderId="2">
      <alignment horizontal="center" vertical="center"/>
    </xf>
    <xf numFmtId="0" fontId="39" fillId="14" borderId="2">
      <alignment horizontal="center" vertical="center"/>
    </xf>
    <xf numFmtId="0" fontId="1" fillId="0" borderId="0"/>
  </cellStyleXfs>
  <cellXfs count="3245">
    <xf numFmtId="0" fontId="0" fillId="0" borderId="0" xfId="0"/>
    <xf numFmtId="0" fontId="9" fillId="0" borderId="0" xfId="0" applyFont="1"/>
    <xf numFmtId="0" fontId="10" fillId="0" borderId="0" xfId="0" applyFont="1"/>
    <xf numFmtId="0" fontId="10" fillId="0" borderId="0" xfId="0" applyFont="1" applyAlignment="1">
      <alignment horizontal="center"/>
    </xf>
    <xf numFmtId="0" fontId="8" fillId="0" borderId="0" xfId="0" applyFont="1"/>
    <xf numFmtId="3" fontId="8" fillId="0" borderId="0" xfId="0" applyNumberFormat="1" applyFont="1"/>
    <xf numFmtId="0" fontId="8" fillId="0" borderId="0" xfId="0" applyFont="1" applyFill="1"/>
    <xf numFmtId="0" fontId="8" fillId="0" borderId="0" xfId="0" applyFont="1" applyAlignment="1">
      <alignment horizontal="center"/>
    </xf>
    <xf numFmtId="9" fontId="8" fillId="0" borderId="0" xfId="0" applyNumberFormat="1" applyFont="1"/>
    <xf numFmtId="9" fontId="8" fillId="0" borderId="0" xfId="3" applyFont="1"/>
    <xf numFmtId="0" fontId="8" fillId="0" borderId="0" xfId="0" applyFont="1" applyBorder="1"/>
    <xf numFmtId="0" fontId="22" fillId="0" borderId="0" xfId="0" applyFont="1"/>
    <xf numFmtId="0" fontId="8" fillId="0" borderId="0" xfId="0" applyFont="1" applyFill="1" applyBorder="1"/>
    <xf numFmtId="0" fontId="13" fillId="0" borderId="0" xfId="0" applyFont="1"/>
    <xf numFmtId="0" fontId="8" fillId="0" borderId="0" xfId="0" applyFont="1" applyFill="1" applyBorder="1" applyAlignment="1">
      <alignment horizontal="center"/>
    </xf>
    <xf numFmtId="0" fontId="9" fillId="0" borderId="0" xfId="0" applyFont="1" applyAlignment="1">
      <alignment horizontal="center"/>
    </xf>
    <xf numFmtId="0" fontId="8" fillId="0" borderId="0" xfId="0" applyFont="1" applyAlignment="1">
      <alignment wrapText="1"/>
    </xf>
    <xf numFmtId="3" fontId="22" fillId="0" borderId="0" xfId="0" applyNumberFormat="1" applyFont="1" applyFill="1" applyAlignment="1">
      <alignment wrapText="1"/>
    </xf>
    <xf numFmtId="3" fontId="22" fillId="0" borderId="0" xfId="0" applyNumberFormat="1" applyFont="1" applyAlignment="1">
      <alignment wrapText="1"/>
    </xf>
    <xf numFmtId="0" fontId="8" fillId="0" borderId="0" xfId="0" applyFont="1" applyFill="1" applyAlignment="1">
      <alignment wrapText="1"/>
    </xf>
    <xf numFmtId="0" fontId="22" fillId="0" borderId="0" xfId="0" applyFont="1" applyFill="1"/>
    <xf numFmtId="0" fontId="26" fillId="0" borderId="0" xfId="0" applyFont="1"/>
    <xf numFmtId="3" fontId="8" fillId="0" borderId="0" xfId="0" applyNumberFormat="1" applyFont="1" applyFill="1" applyBorder="1"/>
    <xf numFmtId="0" fontId="16" fillId="0" borderId="0" xfId="0" applyFont="1" applyAlignment="1">
      <alignment horizontal="center" wrapText="1"/>
    </xf>
    <xf numFmtId="3" fontId="16" fillId="0" borderId="0" xfId="0" applyNumberFormat="1" applyFont="1" applyFill="1" applyBorder="1" applyAlignment="1">
      <alignment horizontal="center" wrapText="1"/>
    </xf>
    <xf numFmtId="9" fontId="16" fillId="0" borderId="0" xfId="3" applyFont="1" applyFill="1" applyBorder="1" applyAlignment="1">
      <alignment horizontal="center" wrapText="1"/>
    </xf>
    <xf numFmtId="9" fontId="16" fillId="0" borderId="0" xfId="3" applyFont="1" applyAlignment="1">
      <alignment horizontal="center" wrapText="1"/>
    </xf>
    <xf numFmtId="9" fontId="16" fillId="0" borderId="0" xfId="3" applyFont="1" applyFill="1" applyBorder="1" applyAlignment="1">
      <alignment horizontal="center"/>
    </xf>
    <xf numFmtId="1" fontId="8" fillId="0" borderId="0" xfId="0" applyNumberFormat="1" applyFont="1"/>
    <xf numFmtId="9" fontId="22" fillId="0" borderId="0" xfId="3" applyFont="1" applyFill="1" applyAlignment="1">
      <alignment wrapText="1"/>
    </xf>
    <xf numFmtId="9" fontId="8" fillId="0" borderId="0" xfId="3" applyFont="1" applyFill="1" applyAlignment="1">
      <alignment wrapText="1"/>
    </xf>
    <xf numFmtId="9" fontId="16" fillId="0" borderId="0" xfId="3" applyFont="1" applyFill="1" applyAlignment="1">
      <alignment horizontal="center" wrapText="1"/>
    </xf>
    <xf numFmtId="0" fontId="16" fillId="0" borderId="0" xfId="0" applyFont="1" applyFill="1" applyAlignment="1">
      <alignment horizontal="center" wrapText="1"/>
    </xf>
    <xf numFmtId="9" fontId="22" fillId="0" borderId="0" xfId="3" applyFont="1" applyFill="1"/>
    <xf numFmtId="3" fontId="16" fillId="0" borderId="0" xfId="0" applyNumberFormat="1" applyFont="1" applyAlignment="1">
      <alignment horizontal="center" wrapText="1"/>
    </xf>
    <xf numFmtId="0" fontId="8" fillId="0" borderId="0" xfId="0" applyFont="1" applyBorder="1" applyAlignment="1">
      <alignment horizontal="center" wrapText="1"/>
    </xf>
    <xf numFmtId="3" fontId="8" fillId="0" borderId="0" xfId="0" applyNumberFormat="1" applyFont="1" applyAlignment="1">
      <alignment horizontal="center"/>
    </xf>
    <xf numFmtId="0" fontId="9" fillId="0" borderId="5" xfId="0" applyFont="1" applyFill="1" applyBorder="1" applyAlignment="1">
      <alignment horizontal="center" vertical="center" wrapText="1"/>
    </xf>
    <xf numFmtId="3" fontId="9" fillId="0" borderId="0" xfId="0" applyNumberFormat="1" applyFont="1" applyFill="1" applyBorder="1"/>
    <xf numFmtId="0" fontId="9" fillId="3" borderId="2" xfId="0" applyFont="1" applyFill="1" applyBorder="1" applyAlignment="1">
      <alignment horizontal="center" wrapText="1"/>
    </xf>
    <xf numFmtId="0" fontId="9" fillId="4" borderId="2" xfId="0" applyFont="1" applyFill="1" applyBorder="1" applyAlignment="1">
      <alignment horizontal="center" wrapText="1"/>
    </xf>
    <xf numFmtId="0" fontId="9" fillId="5" borderId="2" xfId="0" applyFont="1" applyFill="1" applyBorder="1" applyAlignment="1">
      <alignment horizontal="center" wrapText="1"/>
    </xf>
    <xf numFmtId="0" fontId="38" fillId="3" borderId="2" xfId="0" applyFont="1" applyFill="1" applyBorder="1" applyAlignment="1">
      <alignment horizontal="center" wrapText="1"/>
    </xf>
    <xf numFmtId="0" fontId="38" fillId="4" borderId="2" xfId="0" applyFont="1" applyFill="1" applyBorder="1" applyAlignment="1">
      <alignment horizontal="center" wrapText="1"/>
    </xf>
    <xf numFmtId="0" fontId="38" fillId="5" borderId="2" xfId="0" applyFont="1" applyFill="1" applyBorder="1" applyAlignment="1">
      <alignment horizontal="center" wrapText="1"/>
    </xf>
    <xf numFmtId="0" fontId="38" fillId="0" borderId="0" xfId="0" applyFont="1" applyFill="1" applyBorder="1" applyAlignment="1">
      <alignment wrapText="1"/>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3" borderId="2" xfId="0" applyFont="1" applyFill="1" applyBorder="1" applyAlignment="1">
      <alignment vertical="center" wrapText="1"/>
    </xf>
    <xf numFmtId="0" fontId="8" fillId="4" borderId="2" xfId="0" applyFont="1" applyFill="1" applyBorder="1" applyAlignment="1">
      <alignment vertical="center" wrapText="1"/>
    </xf>
    <xf numFmtId="0" fontId="8" fillId="5" borderId="2" xfId="0" applyFont="1" applyFill="1" applyBorder="1" applyAlignment="1">
      <alignment vertical="center" wrapText="1"/>
    </xf>
    <xf numFmtId="0" fontId="10" fillId="0" borderId="0" xfId="0" applyFont="1" applyAlignment="1">
      <alignment vertical="center"/>
    </xf>
    <xf numFmtId="0" fontId="8" fillId="0" borderId="0" xfId="0" applyFont="1" applyAlignment="1">
      <alignment vertical="center"/>
    </xf>
    <xf numFmtId="0" fontId="26" fillId="0" borderId="0" xfId="0" applyFont="1" applyAlignment="1">
      <alignment vertical="center"/>
    </xf>
    <xf numFmtId="0" fontId="26" fillId="0" borderId="4" xfId="0" applyFont="1" applyBorder="1" applyAlignment="1">
      <alignment horizontal="center" vertical="center"/>
    </xf>
    <xf numFmtId="3" fontId="26" fillId="0" borderId="4" xfId="0" applyNumberFormat="1" applyFont="1" applyBorder="1" applyAlignment="1">
      <alignment horizontal="right" vertical="center"/>
    </xf>
    <xf numFmtId="0" fontId="26" fillId="0" borderId="0" xfId="0" applyFont="1" applyAlignment="1">
      <alignment horizontal="right" vertical="center"/>
    </xf>
    <xf numFmtId="3" fontId="26" fillId="0" borderId="0" xfId="0" applyNumberFormat="1" applyFont="1" applyAlignment="1">
      <alignment horizontal="right" vertical="center"/>
    </xf>
    <xf numFmtId="164" fontId="26" fillId="0" borderId="0" xfId="0" applyNumberFormat="1" applyFont="1" applyAlignment="1">
      <alignment vertical="center"/>
    </xf>
    <xf numFmtId="0" fontId="26" fillId="0" borderId="0" xfId="0" applyFont="1" applyAlignment="1">
      <alignment vertical="center" wrapText="1"/>
    </xf>
    <xf numFmtId="0" fontId="47" fillId="12" borderId="2" xfId="0" applyFont="1" applyFill="1" applyBorder="1" applyAlignment="1">
      <alignment horizontal="center" vertical="center" wrapText="1"/>
    </xf>
    <xf numFmtId="0" fontId="47" fillId="12" borderId="4" xfId="0" applyFont="1" applyFill="1" applyBorder="1" applyAlignment="1">
      <alignment horizontal="center" vertical="center" wrapText="1"/>
    </xf>
    <xf numFmtId="0" fontId="26" fillId="0" borderId="5" xfId="0" applyFont="1" applyFill="1" applyBorder="1" applyAlignment="1">
      <alignment vertical="center"/>
    </xf>
    <xf numFmtId="0" fontId="26" fillId="0" borderId="6" xfId="0" applyFont="1" applyFill="1" applyBorder="1" applyAlignment="1">
      <alignment vertical="center"/>
    </xf>
    <xf numFmtId="0" fontId="8" fillId="9" borderId="2" xfId="0" applyFont="1" applyFill="1" applyBorder="1" applyAlignment="1">
      <alignment vertical="center"/>
    </xf>
    <xf numFmtId="0" fontId="8" fillId="9" borderId="2" xfId="0" applyFont="1" applyFill="1" applyBorder="1" applyAlignment="1">
      <alignment horizontal="center" vertical="center"/>
    </xf>
    <xf numFmtId="0" fontId="26" fillId="13" borderId="5" xfId="0" applyFont="1" applyFill="1" applyBorder="1" applyAlignment="1">
      <alignment horizontal="center" vertical="center"/>
    </xf>
    <xf numFmtId="3" fontId="26" fillId="13" borderId="6" xfId="0" applyNumberFormat="1" applyFont="1" applyFill="1" applyBorder="1" applyAlignment="1">
      <alignment vertical="center"/>
    </xf>
    <xf numFmtId="165" fontId="26" fillId="13" borderId="8" xfId="0" applyNumberFormat="1" applyFont="1" applyFill="1" applyBorder="1" applyAlignment="1">
      <alignment vertical="center"/>
    </xf>
    <xf numFmtId="0" fontId="26" fillId="13" borderId="2" xfId="0" applyFont="1" applyFill="1" applyBorder="1" applyAlignment="1">
      <alignment horizontal="right" vertical="center"/>
    </xf>
    <xf numFmtId="0" fontId="10" fillId="0" borderId="0" xfId="0" applyFont="1" applyAlignment="1">
      <alignment horizontal="center" vertical="center"/>
    </xf>
    <xf numFmtId="0" fontId="14" fillId="0" borderId="0" xfId="0" applyFont="1" applyAlignment="1">
      <alignment vertical="center"/>
    </xf>
    <xf numFmtId="0" fontId="26" fillId="0" borderId="0" xfId="0" applyFont="1" applyBorder="1" applyAlignment="1">
      <alignment vertical="center"/>
    </xf>
    <xf numFmtId="0" fontId="10" fillId="0" borderId="9" xfId="0" applyFont="1" applyBorder="1" applyAlignment="1">
      <alignment horizontal="center" vertical="center"/>
    </xf>
    <xf numFmtId="0" fontId="10" fillId="0" borderId="10" xfId="0" applyFont="1" applyBorder="1" applyAlignment="1">
      <alignment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14" xfId="0" applyFont="1" applyBorder="1" applyAlignment="1">
      <alignment horizontal="center" vertical="center"/>
    </xf>
    <xf numFmtId="0" fontId="27" fillId="0" borderId="10" xfId="0" applyFont="1" applyBorder="1" applyAlignment="1">
      <alignment horizontal="right" vertical="center"/>
    </xf>
    <xf numFmtId="0" fontId="27" fillId="0" borderId="0" xfId="0" applyFont="1" applyBorder="1" applyAlignment="1">
      <alignment vertical="center"/>
    </xf>
    <xf numFmtId="0" fontId="27" fillId="0" borderId="14" xfId="0" applyFont="1" applyBorder="1" applyAlignment="1">
      <alignment horizontal="right" vertical="center"/>
    </xf>
    <xf numFmtId="0" fontId="38" fillId="0" borderId="0" xfId="0" applyFont="1" applyFill="1" applyBorder="1" applyAlignment="1">
      <alignment vertical="center" wrapText="1"/>
    </xf>
    <xf numFmtId="0" fontId="38" fillId="3" borderId="2" xfId="0" applyFont="1" applyFill="1" applyBorder="1" applyAlignment="1">
      <alignment horizontal="center" vertical="center" wrapText="1"/>
    </xf>
    <xf numFmtId="9" fontId="8" fillId="0" borderId="0" xfId="0" applyNumberFormat="1" applyFont="1" applyAlignment="1">
      <alignment horizontal="center" vertical="center"/>
    </xf>
    <xf numFmtId="0" fontId="38" fillId="4"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8" fillId="19" borderId="2" xfId="0" applyFont="1" applyFill="1" applyBorder="1" applyAlignment="1">
      <alignment vertical="center"/>
    </xf>
    <xf numFmtId="9" fontId="8" fillId="0" borderId="21" xfId="0" applyNumberFormat="1" applyFont="1" applyBorder="1" applyAlignment="1">
      <alignment horizontal="center" vertical="center"/>
    </xf>
    <xf numFmtId="0" fontId="8" fillId="0" borderId="21" xfId="0" applyFont="1" applyBorder="1" applyAlignment="1">
      <alignment horizontal="center" vertical="center"/>
    </xf>
    <xf numFmtId="0" fontId="10" fillId="0" borderId="0" xfId="0" applyFont="1"/>
    <xf numFmtId="0" fontId="8" fillId="0" borderId="0" xfId="0" applyFont="1"/>
    <xf numFmtId="3" fontId="8" fillId="0" borderId="0" xfId="0" applyNumberFormat="1" applyFont="1"/>
    <xf numFmtId="0" fontId="8" fillId="0" borderId="0" xfId="0" applyFont="1" applyFill="1"/>
    <xf numFmtId="0" fontId="8" fillId="0" borderId="0" xfId="0" applyFont="1" applyFill="1" applyAlignment="1">
      <alignment horizontal="center"/>
    </xf>
    <xf numFmtId="0" fontId="8" fillId="0" borderId="0" xfId="0" applyFont="1" applyAlignment="1">
      <alignment horizontal="center"/>
    </xf>
    <xf numFmtId="3" fontId="8" fillId="0" borderId="2" xfId="0" applyNumberFormat="1" applyFont="1" applyFill="1" applyBorder="1"/>
    <xf numFmtId="0" fontId="8" fillId="0" borderId="0" xfId="0" applyFont="1" applyFill="1" applyBorder="1"/>
    <xf numFmtId="0" fontId="13" fillId="0" borderId="0" xfId="0" applyFont="1"/>
    <xf numFmtId="0" fontId="9" fillId="0" borderId="0" xfId="0" applyFont="1" applyAlignment="1">
      <alignment horizontal="center"/>
    </xf>
    <xf numFmtId="3" fontId="8" fillId="0" borderId="0" xfId="0" applyNumberFormat="1" applyFont="1" applyAlignment="1">
      <alignment horizontal="center"/>
    </xf>
    <xf numFmtId="0" fontId="9" fillId="0" borderId="5" xfId="0" applyFont="1" applyFill="1" applyBorder="1" applyAlignment="1">
      <alignment horizontal="center" vertical="center" wrapText="1"/>
    </xf>
    <xf numFmtId="0" fontId="9" fillId="3" borderId="2" xfId="0" applyFont="1" applyFill="1" applyBorder="1" applyAlignment="1">
      <alignment horizontal="center" wrapText="1"/>
    </xf>
    <xf numFmtId="0" fontId="9" fillId="4" borderId="2" xfId="0" applyFont="1" applyFill="1" applyBorder="1" applyAlignment="1">
      <alignment horizontal="center" wrapText="1"/>
    </xf>
    <xf numFmtId="0" fontId="9" fillId="5" borderId="2" xfId="0" applyFont="1" applyFill="1" applyBorder="1" applyAlignment="1">
      <alignment horizontal="center" wrapText="1"/>
    </xf>
    <xf numFmtId="0" fontId="38" fillId="3" borderId="2" xfId="0" applyFont="1" applyFill="1" applyBorder="1" applyAlignment="1">
      <alignment horizontal="center" wrapText="1"/>
    </xf>
    <xf numFmtId="0" fontId="38" fillId="4" borderId="2" xfId="0" applyFont="1" applyFill="1" applyBorder="1" applyAlignment="1">
      <alignment horizontal="center" wrapText="1"/>
    </xf>
    <xf numFmtId="0" fontId="38" fillId="5" borderId="2" xfId="0" applyFont="1" applyFill="1" applyBorder="1" applyAlignment="1">
      <alignment horizontal="center" wrapText="1"/>
    </xf>
    <xf numFmtId="0" fontId="38" fillId="0" borderId="0" xfId="0" applyFont="1" applyFill="1" applyBorder="1" applyAlignment="1">
      <alignment wrapText="1"/>
    </xf>
    <xf numFmtId="0" fontId="8" fillId="0" borderId="0" xfId="0" applyFont="1" applyAlignment="1">
      <alignment horizontal="center" vertical="center"/>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10" fillId="0" borderId="0" xfId="0" applyFont="1" applyAlignment="1">
      <alignment vertical="center"/>
    </xf>
    <xf numFmtId="0" fontId="8" fillId="0" borderId="0" xfId="0" applyFont="1" applyAlignment="1">
      <alignment vertical="center"/>
    </xf>
    <xf numFmtId="0" fontId="29" fillId="0" borderId="0" xfId="1" applyFont="1" applyAlignment="1" applyProtection="1">
      <alignment horizontal="center" vertical="center"/>
    </xf>
    <xf numFmtId="0" fontId="8" fillId="0" borderId="0" xfId="0" applyFont="1" applyFill="1" applyAlignment="1">
      <alignment vertical="center"/>
    </xf>
    <xf numFmtId="3" fontId="8" fillId="0" borderId="20" xfId="0" applyNumberFormat="1" applyFont="1" applyFill="1" applyBorder="1" applyAlignment="1">
      <alignment vertical="center"/>
    </xf>
    <xf numFmtId="9" fontId="8" fillId="0" borderId="20" xfId="0" applyNumberFormat="1" applyFont="1" applyFill="1" applyBorder="1" applyAlignment="1">
      <alignment vertical="center"/>
    </xf>
    <xf numFmtId="9" fontId="19" fillId="0" borderId="20" xfId="0" applyNumberFormat="1" applyFont="1" applyFill="1" applyBorder="1" applyAlignment="1">
      <alignment vertical="center"/>
    </xf>
    <xf numFmtId="3" fontId="8" fillId="0" borderId="21" xfId="0" applyNumberFormat="1" applyFont="1" applyFill="1" applyBorder="1" applyAlignment="1">
      <alignment vertical="center"/>
    </xf>
    <xf numFmtId="9" fontId="8" fillId="0" borderId="21" xfId="0" applyNumberFormat="1" applyFont="1" applyFill="1" applyBorder="1" applyAlignment="1">
      <alignment vertical="center"/>
    </xf>
    <xf numFmtId="9" fontId="19" fillId="0" borderId="21" xfId="0" applyNumberFormat="1" applyFont="1" applyFill="1" applyBorder="1" applyAlignment="1">
      <alignment vertical="center"/>
    </xf>
    <xf numFmtId="3" fontId="8" fillId="0" borderId="22" xfId="0" applyNumberFormat="1" applyFont="1" applyFill="1" applyBorder="1" applyAlignment="1">
      <alignment vertical="center"/>
    </xf>
    <xf numFmtId="9" fontId="8" fillId="0" borderId="22" xfId="0" applyNumberFormat="1" applyFont="1" applyFill="1" applyBorder="1" applyAlignment="1">
      <alignment vertical="center"/>
    </xf>
    <xf numFmtId="9" fontId="19" fillId="0" borderId="22" xfId="0" applyNumberFormat="1" applyFont="1" applyFill="1" applyBorder="1" applyAlignment="1">
      <alignment vertical="center"/>
    </xf>
    <xf numFmtId="9" fontId="8" fillId="0" borderId="0" xfId="3" applyFont="1" applyAlignment="1">
      <alignment vertical="center"/>
    </xf>
    <xf numFmtId="0" fontId="8" fillId="0" borderId="0" xfId="0" applyFont="1" applyFill="1" applyAlignment="1">
      <alignment horizontal="center" vertical="center"/>
    </xf>
    <xf numFmtId="0" fontId="19" fillId="0" borderId="0" xfId="0" applyFont="1" applyAlignment="1">
      <alignment vertical="center"/>
    </xf>
    <xf numFmtId="0" fontId="25" fillId="0" borderId="0" xfId="0" applyFont="1" applyAlignment="1">
      <alignment vertical="center"/>
    </xf>
    <xf numFmtId="0" fontId="13" fillId="0" borderId="0" xfId="0" applyFont="1" applyAlignment="1">
      <alignment vertical="center"/>
    </xf>
    <xf numFmtId="0" fontId="24" fillId="0" borderId="0" xfId="0" applyFont="1" applyAlignment="1">
      <alignment vertical="center"/>
    </xf>
    <xf numFmtId="0" fontId="18" fillId="0" borderId="0" xfId="0" applyFont="1" applyAlignment="1">
      <alignment vertical="center"/>
    </xf>
    <xf numFmtId="0" fontId="9" fillId="3"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3" fontId="36" fillId="16" borderId="2" xfId="0" applyNumberFormat="1" applyFont="1" applyFill="1" applyBorder="1" applyAlignment="1">
      <alignment vertical="center"/>
    </xf>
    <xf numFmtId="0" fontId="41" fillId="0" borderId="0" xfId="0" applyFont="1" applyFill="1" applyBorder="1" applyAlignment="1">
      <alignment vertical="center" wrapText="1"/>
    </xf>
    <xf numFmtId="0" fontId="41" fillId="0" borderId="0" xfId="0" applyFont="1" applyFill="1" applyBorder="1" applyAlignment="1">
      <alignment vertical="center"/>
    </xf>
    <xf numFmtId="0" fontId="9" fillId="17" borderId="9" xfId="0" applyFont="1" applyFill="1" applyBorder="1" applyAlignment="1">
      <alignment vertical="center"/>
    </xf>
    <xf numFmtId="0" fontId="9" fillId="17" borderId="10" xfId="0" applyFont="1" applyFill="1" applyBorder="1" applyAlignment="1">
      <alignment vertical="center"/>
    </xf>
    <xf numFmtId="0" fontId="8" fillId="17" borderId="10" xfId="0" applyFont="1" applyFill="1" applyBorder="1" applyAlignment="1">
      <alignment vertical="center"/>
    </xf>
    <xf numFmtId="0" fontId="8" fillId="17" borderId="11" xfId="0" applyFont="1" applyFill="1" applyBorder="1" applyAlignment="1">
      <alignment vertical="center"/>
    </xf>
    <xf numFmtId="0" fontId="8" fillId="17" borderId="1" xfId="0" applyFont="1" applyFill="1" applyBorder="1" applyAlignment="1">
      <alignment vertical="center"/>
    </xf>
    <xf numFmtId="0" fontId="8" fillId="17" borderId="0" xfId="0" applyFont="1" applyFill="1" applyBorder="1" applyAlignment="1">
      <alignment vertical="center"/>
    </xf>
    <xf numFmtId="0" fontId="8" fillId="17" borderId="12" xfId="0" applyFont="1" applyFill="1" applyBorder="1" applyAlignment="1">
      <alignment vertical="center"/>
    </xf>
    <xf numFmtId="0" fontId="8" fillId="17" borderId="1" xfId="0" applyFont="1" applyFill="1" applyBorder="1" applyAlignment="1">
      <alignment horizontal="center" vertical="center"/>
    </xf>
    <xf numFmtId="0" fontId="8" fillId="17" borderId="5" xfId="0" applyFont="1" applyFill="1" applyBorder="1" applyAlignment="1">
      <alignment horizontal="center" vertical="center"/>
    </xf>
    <xf numFmtId="0" fontId="9" fillId="17" borderId="12" xfId="0" applyFont="1" applyFill="1" applyBorder="1" applyAlignment="1">
      <alignment horizontal="center" vertical="center"/>
    </xf>
    <xf numFmtId="0" fontId="8" fillId="17" borderId="8" xfId="0" applyFont="1" applyFill="1" applyBorder="1" applyAlignment="1">
      <alignment horizontal="center" vertical="center"/>
    </xf>
    <xf numFmtId="167" fontId="12" fillId="17" borderId="0" xfId="0" applyNumberFormat="1" applyFont="1" applyFill="1" applyBorder="1" applyAlignment="1">
      <alignment vertical="center"/>
    </xf>
    <xf numFmtId="3" fontId="9" fillId="17" borderId="0" xfId="0" applyNumberFormat="1" applyFont="1" applyFill="1" applyBorder="1" applyAlignment="1">
      <alignment vertical="center"/>
    </xf>
    <xf numFmtId="3" fontId="9" fillId="17" borderId="12" xfId="0" applyNumberFormat="1" applyFont="1" applyFill="1" applyBorder="1" applyAlignment="1">
      <alignment vertical="center"/>
    </xf>
    <xf numFmtId="0" fontId="8" fillId="17" borderId="6" xfId="0" applyFont="1" applyFill="1" applyBorder="1" applyAlignment="1">
      <alignment horizontal="center" vertical="center"/>
    </xf>
    <xf numFmtId="0" fontId="8" fillId="17" borderId="7" xfId="0" applyFont="1" applyFill="1" applyBorder="1" applyAlignment="1">
      <alignment vertical="center"/>
    </xf>
    <xf numFmtId="0" fontId="8" fillId="17" borderId="14" xfId="0" applyFont="1" applyFill="1" applyBorder="1" applyAlignment="1">
      <alignment vertical="center"/>
    </xf>
    <xf numFmtId="3" fontId="9" fillId="17" borderId="15" xfId="0" applyNumberFormat="1" applyFont="1" applyFill="1" applyBorder="1" applyAlignment="1">
      <alignment vertical="center"/>
    </xf>
    <xf numFmtId="0" fontId="20" fillId="17" borderId="10" xfId="0" applyFont="1" applyFill="1" applyBorder="1" applyAlignment="1">
      <alignment horizontal="center" vertical="center"/>
    </xf>
    <xf numFmtId="0" fontId="20" fillId="17" borderId="11" xfId="0" applyFont="1" applyFill="1" applyBorder="1" applyAlignment="1">
      <alignment horizontal="center" vertical="center"/>
    </xf>
    <xf numFmtId="0" fontId="8" fillId="17" borderId="9"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25" fillId="17" borderId="12" xfId="0" applyFont="1" applyFill="1" applyBorder="1" applyAlignment="1">
      <alignment horizontal="center" vertical="center"/>
    </xf>
    <xf numFmtId="9" fontId="12" fillId="17" borderId="1" xfId="0" applyNumberFormat="1" applyFont="1" applyFill="1" applyBorder="1" applyAlignment="1">
      <alignment vertical="center"/>
    </xf>
    <xf numFmtId="3" fontId="8" fillId="17" borderId="0" xfId="0" applyNumberFormat="1" applyFont="1" applyFill="1" applyBorder="1" applyAlignment="1">
      <alignment vertical="center"/>
    </xf>
    <xf numFmtId="3" fontId="8" fillId="17" borderId="12" xfId="0" applyNumberFormat="1" applyFont="1" applyFill="1" applyBorder="1" applyAlignment="1">
      <alignment vertical="center"/>
    </xf>
    <xf numFmtId="0" fontId="25" fillId="17" borderId="0" xfId="0" applyFont="1" applyFill="1" applyBorder="1" applyAlignment="1">
      <alignment horizontal="center" vertical="center"/>
    </xf>
    <xf numFmtId="0" fontId="9" fillId="17" borderId="0" xfId="0" applyFont="1" applyFill="1" applyBorder="1" applyAlignment="1">
      <alignment vertical="center"/>
    </xf>
    <xf numFmtId="0" fontId="9" fillId="17" borderId="12" xfId="0" applyFont="1" applyFill="1" applyBorder="1" applyAlignment="1">
      <alignment vertical="center"/>
    </xf>
    <xf numFmtId="3" fontId="8" fillId="17" borderId="14" xfId="0" applyNumberFormat="1" applyFont="1" applyFill="1" applyBorder="1" applyAlignment="1">
      <alignment vertical="center"/>
    </xf>
    <xf numFmtId="0" fontId="36" fillId="0" borderId="0" xfId="0" applyFont="1" applyAlignment="1">
      <alignment vertical="center"/>
    </xf>
    <xf numFmtId="0" fontId="35" fillId="16" borderId="8" xfId="0" applyFont="1" applyFill="1" applyBorder="1" applyAlignment="1">
      <alignment horizontal="center" vertical="center"/>
    </xf>
    <xf numFmtId="0" fontId="42" fillId="0" borderId="0" xfId="0" applyFont="1" applyAlignment="1">
      <alignment vertical="center"/>
    </xf>
    <xf numFmtId="0" fontId="43" fillId="0" borderId="0" xfId="0" applyFont="1" applyAlignment="1">
      <alignment vertical="center"/>
    </xf>
    <xf numFmtId="0" fontId="43" fillId="0" borderId="0" xfId="0" applyFont="1" applyFill="1" applyAlignment="1">
      <alignment vertical="center"/>
    </xf>
    <xf numFmtId="0" fontId="45" fillId="0" borderId="0" xfId="0" applyFont="1" applyAlignment="1">
      <alignment vertical="center"/>
    </xf>
    <xf numFmtId="0" fontId="36" fillId="0" borderId="0" xfId="0" applyFont="1" applyAlignment="1">
      <alignment horizontal="center" vertical="center"/>
    </xf>
    <xf numFmtId="0" fontId="8" fillId="17" borderId="0" xfId="0" applyFont="1" applyFill="1" applyAlignment="1">
      <alignment vertical="center"/>
    </xf>
    <xf numFmtId="180" fontId="8" fillId="17" borderId="1" xfId="0" applyNumberFormat="1" applyFont="1" applyFill="1" applyBorder="1" applyAlignment="1">
      <alignment vertical="center"/>
    </xf>
    <xf numFmtId="0" fontId="9" fillId="17" borderId="11" xfId="0" applyFont="1" applyFill="1" applyBorder="1" applyAlignment="1">
      <alignment vertical="center"/>
    </xf>
    <xf numFmtId="0" fontId="8" fillId="17" borderId="1" xfId="0" applyFont="1" applyFill="1" applyBorder="1" applyAlignment="1">
      <alignment horizontal="left" vertical="center"/>
    </xf>
    <xf numFmtId="0" fontId="8" fillId="17" borderId="0" xfId="0" applyFont="1" applyFill="1" applyBorder="1" applyAlignment="1">
      <alignment horizontal="left" vertical="center"/>
    </xf>
    <xf numFmtId="3" fontId="8" fillId="17" borderId="2" xfId="0" applyNumberFormat="1" applyFont="1" applyFill="1" applyBorder="1" applyAlignment="1">
      <alignment vertical="center"/>
    </xf>
    <xf numFmtId="3" fontId="36" fillId="16" borderId="8" xfId="0" applyNumberFormat="1" applyFont="1" applyFill="1" applyBorder="1" applyAlignment="1">
      <alignment vertical="center"/>
    </xf>
    <xf numFmtId="3" fontId="36" fillId="16" borderId="7" xfId="0" applyNumberFormat="1" applyFont="1" applyFill="1" applyBorder="1" applyAlignment="1">
      <alignment vertical="center"/>
    </xf>
    <xf numFmtId="9" fontId="36" fillId="16" borderId="2" xfId="3" applyFont="1" applyFill="1" applyBorder="1" applyAlignment="1">
      <alignment vertical="center"/>
    </xf>
    <xf numFmtId="3" fontId="36" fillId="16" borderId="3" xfId="0" applyNumberFormat="1" applyFont="1" applyFill="1" applyBorder="1" applyAlignment="1">
      <alignment vertical="center"/>
    </xf>
    <xf numFmtId="165" fontId="36" fillId="19" borderId="2" xfId="0" applyNumberFormat="1" applyFont="1" applyFill="1" applyBorder="1" applyAlignment="1">
      <alignment vertical="center"/>
    </xf>
    <xf numFmtId="3" fontId="44" fillId="16" borderId="2" xfId="0" applyNumberFormat="1" applyFont="1" applyFill="1" applyBorder="1" applyAlignment="1">
      <alignment vertical="center"/>
    </xf>
    <xf numFmtId="3" fontId="44" fillId="16" borderId="13" xfId="0" applyNumberFormat="1" applyFont="1" applyFill="1" applyBorder="1" applyAlignment="1">
      <alignment vertical="center"/>
    </xf>
    <xf numFmtId="9" fontId="44" fillId="16" borderId="2" xfId="3" applyFont="1" applyFill="1" applyBorder="1" applyAlignment="1">
      <alignment vertical="center"/>
    </xf>
    <xf numFmtId="0" fontId="28" fillId="0" borderId="0" xfId="0" applyFont="1" applyAlignment="1">
      <alignment vertical="center"/>
    </xf>
    <xf numFmtId="0" fontId="46" fillId="0" borderId="0" xfId="0" applyFont="1" applyAlignment="1">
      <alignment vertical="center"/>
    </xf>
    <xf numFmtId="0" fontId="8" fillId="0" borderId="10" xfId="0" applyFont="1" applyBorder="1" applyAlignment="1">
      <alignment vertical="center"/>
    </xf>
    <xf numFmtId="0" fontId="27" fillId="0" borderId="7" xfId="1" applyFont="1" applyBorder="1" applyAlignment="1" applyProtection="1">
      <alignment horizontal="right" vertical="center"/>
    </xf>
    <xf numFmtId="0" fontId="29" fillId="0" borderId="14" xfId="1" applyFont="1" applyBorder="1" applyAlignment="1" applyProtection="1">
      <alignment horizontal="center" vertical="center"/>
    </xf>
    <xf numFmtId="0" fontId="9" fillId="13" borderId="3" xfId="0" applyFont="1" applyFill="1" applyBorder="1" applyAlignment="1">
      <alignment vertical="center"/>
    </xf>
    <xf numFmtId="0" fontId="9" fillId="13" borderId="13" xfId="0" applyFont="1" applyFill="1" applyBorder="1" applyAlignment="1">
      <alignment vertical="center"/>
    </xf>
    <xf numFmtId="3" fontId="17" fillId="13" borderId="13" xfId="0" applyNumberFormat="1" applyFont="1" applyFill="1" applyBorder="1" applyAlignment="1">
      <alignment vertical="center"/>
    </xf>
    <xf numFmtId="0" fontId="8" fillId="13" borderId="13" xfId="0" applyFont="1" applyFill="1" applyBorder="1" applyAlignment="1">
      <alignment vertical="center"/>
    </xf>
    <xf numFmtId="3" fontId="9" fillId="13" borderId="4" xfId="0" applyNumberFormat="1" applyFont="1" applyFill="1" applyBorder="1" applyAlignment="1">
      <alignment vertical="center"/>
    </xf>
    <xf numFmtId="0" fontId="8" fillId="13" borderId="3" xfId="0" applyFont="1" applyFill="1" applyBorder="1" applyAlignment="1">
      <alignment vertical="center"/>
    </xf>
    <xf numFmtId="3" fontId="9" fillId="13" borderId="13" xfId="0" applyNumberFormat="1" applyFont="1" applyFill="1" applyBorder="1" applyAlignment="1">
      <alignment vertical="center"/>
    </xf>
    <xf numFmtId="3" fontId="8" fillId="13" borderId="13" xfId="0" applyNumberFormat="1" applyFont="1" applyFill="1" applyBorder="1" applyAlignment="1">
      <alignment vertical="center"/>
    </xf>
    <xf numFmtId="1" fontId="8" fillId="13" borderId="13" xfId="0" applyNumberFormat="1" applyFont="1" applyFill="1" applyBorder="1" applyAlignment="1">
      <alignment vertical="center"/>
    </xf>
    <xf numFmtId="0" fontId="8" fillId="0" borderId="0" xfId="0" applyFont="1" applyFill="1" applyBorder="1" applyAlignment="1">
      <alignment vertical="center" wrapText="1"/>
    </xf>
    <xf numFmtId="0" fontId="8" fillId="3"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27" fillId="0" borderId="9" xfId="1" applyFont="1" applyBorder="1" applyAlignment="1" applyProtection="1">
      <alignment horizontal="right" vertical="center"/>
    </xf>
    <xf numFmtId="0" fontId="29" fillId="0" borderId="10" xfId="1" applyFont="1" applyBorder="1" applyAlignment="1" applyProtection="1">
      <alignment horizontal="center" vertical="center"/>
    </xf>
    <xf numFmtId="0" fontId="26" fillId="0" borderId="0" xfId="0" applyFont="1" applyAlignment="1">
      <alignment vertical="center"/>
    </xf>
    <xf numFmtId="3" fontId="48" fillId="17" borderId="0" xfId="0" applyNumberFormat="1" applyFont="1" applyFill="1" applyBorder="1" applyAlignment="1">
      <alignment vertical="center"/>
    </xf>
    <xf numFmtId="0" fontId="49" fillId="17" borderId="0" xfId="0" applyFont="1" applyFill="1" applyBorder="1" applyAlignment="1">
      <alignment vertical="center"/>
    </xf>
    <xf numFmtId="3" fontId="48" fillId="13" borderId="13" xfId="0" applyNumberFormat="1" applyFont="1" applyFill="1" applyBorder="1" applyAlignment="1">
      <alignment vertical="center"/>
    </xf>
    <xf numFmtId="0" fontId="9" fillId="17" borderId="14" xfId="0" applyFont="1" applyFill="1" applyBorder="1" applyAlignment="1">
      <alignment vertical="center"/>
    </xf>
    <xf numFmtId="0" fontId="49" fillId="17" borderId="0" xfId="0" applyFont="1" applyFill="1" applyBorder="1" applyAlignment="1">
      <alignment horizontal="center" vertical="center"/>
    </xf>
    <xf numFmtId="178" fontId="49" fillId="17" borderId="0" xfId="0" applyNumberFormat="1" applyFont="1" applyFill="1" applyBorder="1" applyAlignment="1">
      <alignment vertical="center"/>
    </xf>
    <xf numFmtId="167" fontId="49" fillId="17" borderId="0" xfId="0" applyNumberFormat="1" applyFont="1" applyFill="1" applyBorder="1" applyAlignment="1">
      <alignment vertical="center"/>
    </xf>
    <xf numFmtId="3" fontId="49" fillId="17" borderId="0" xfId="0" applyNumberFormat="1" applyFont="1" applyFill="1" applyBorder="1" applyAlignment="1">
      <alignment vertical="center"/>
    </xf>
    <xf numFmtId="0" fontId="48" fillId="17" borderId="12" xfId="0" applyFont="1" applyFill="1" applyBorder="1" applyAlignment="1">
      <alignment horizontal="center" vertical="center"/>
    </xf>
    <xf numFmtId="0" fontId="49" fillId="17" borderId="14" xfId="0" applyFont="1" applyFill="1" applyBorder="1" applyAlignment="1">
      <alignment vertical="center"/>
    </xf>
    <xf numFmtId="1" fontId="49" fillId="17" borderId="0" xfId="0" applyNumberFormat="1" applyFont="1" applyFill="1" applyBorder="1" applyAlignment="1">
      <alignment vertical="center"/>
    </xf>
    <xf numFmtId="179" fontId="49" fillId="17" borderId="0" xfId="0" applyNumberFormat="1" applyFont="1" applyFill="1" applyBorder="1" applyAlignment="1">
      <alignment vertical="center"/>
    </xf>
    <xf numFmtId="168" fontId="49" fillId="17" borderId="0" xfId="0" applyNumberFormat="1" applyFont="1" applyFill="1" applyBorder="1" applyAlignment="1">
      <alignment vertical="center"/>
    </xf>
    <xf numFmtId="9" fontId="49" fillId="17" borderId="0" xfId="3" applyFont="1" applyFill="1" applyBorder="1" applyAlignment="1">
      <alignment vertical="center"/>
    </xf>
    <xf numFmtId="9" fontId="49" fillId="17" borderId="1" xfId="0" applyNumberFormat="1" applyFont="1" applyFill="1" applyBorder="1" applyAlignment="1">
      <alignment vertical="center"/>
    </xf>
    <xf numFmtId="0" fontId="49" fillId="17" borderId="1" xfId="0" applyFont="1" applyFill="1" applyBorder="1" applyAlignment="1">
      <alignment horizontal="center" vertical="center"/>
    </xf>
    <xf numFmtId="0" fontId="14" fillId="0" borderId="0" xfId="0" applyFont="1" applyAlignment="1">
      <alignment vertical="center"/>
    </xf>
    <xf numFmtId="0" fontId="38" fillId="0" borderId="0" xfId="0" applyFont="1" applyFill="1" applyBorder="1" applyAlignment="1">
      <alignment vertical="center" wrapText="1"/>
    </xf>
    <xf numFmtId="0" fontId="38" fillId="3" borderId="2" xfId="0" applyFont="1" applyFill="1" applyBorder="1" applyAlignment="1">
      <alignment horizontal="center" vertical="center" wrapText="1"/>
    </xf>
    <xf numFmtId="0" fontId="38" fillId="4"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0" fillId="0" borderId="0" xfId="0" applyFont="1"/>
    <xf numFmtId="9" fontId="8" fillId="0" borderId="5" xfId="0" applyNumberFormat="1" applyFont="1" applyFill="1" applyBorder="1" applyAlignment="1">
      <alignment vertical="center"/>
    </xf>
    <xf numFmtId="0" fontId="16" fillId="0" borderId="0" xfId="0" applyFont="1" applyAlignment="1">
      <alignment vertical="center"/>
    </xf>
    <xf numFmtId="0" fontId="15" fillId="0" borderId="0" xfId="0" applyFont="1" applyAlignment="1">
      <alignment vertical="center"/>
    </xf>
    <xf numFmtId="3" fontId="10" fillId="0" borderId="0" xfId="0" applyNumberFormat="1" applyFont="1" applyAlignment="1">
      <alignment vertical="center"/>
    </xf>
    <xf numFmtId="3" fontId="44" fillId="16" borderId="4" xfId="0" applyNumberFormat="1" applyFont="1" applyFill="1" applyBorder="1" applyAlignment="1">
      <alignment vertical="center"/>
    </xf>
    <xf numFmtId="0" fontId="26" fillId="16" borderId="9" xfId="0" applyFont="1" applyFill="1" applyBorder="1" applyAlignment="1">
      <alignment vertical="center"/>
    </xf>
    <xf numFmtId="0" fontId="26" fillId="16" borderId="5" xfId="0" applyFont="1" applyFill="1" applyBorder="1" applyAlignment="1">
      <alignment vertical="center"/>
    </xf>
    <xf numFmtId="0" fontId="40" fillId="16" borderId="6" xfId="1" applyFont="1" applyFill="1" applyBorder="1" applyAlignment="1" applyProtection="1">
      <alignment vertical="center"/>
    </xf>
    <xf numFmtId="0" fontId="26" fillId="16" borderId="1" xfId="0" applyFont="1" applyFill="1" applyBorder="1" applyAlignment="1">
      <alignment vertical="center"/>
    </xf>
    <xf numFmtId="0" fontId="26" fillId="16" borderId="6" xfId="0" applyFont="1" applyFill="1" applyBorder="1" applyAlignment="1">
      <alignment vertical="center"/>
    </xf>
    <xf numFmtId="0" fontId="40" fillId="16" borderId="11" xfId="1" applyFont="1" applyFill="1" applyBorder="1" applyAlignment="1" applyProtection="1">
      <alignment vertical="center"/>
    </xf>
    <xf numFmtId="0" fontId="26" fillId="16" borderId="10" xfId="0" applyFont="1" applyFill="1" applyBorder="1" applyAlignment="1">
      <alignment vertical="center"/>
    </xf>
    <xf numFmtId="0" fontId="40" fillId="16" borderId="15" xfId="1" applyFont="1" applyFill="1" applyBorder="1" applyAlignment="1" applyProtection="1">
      <alignment vertical="center"/>
    </xf>
    <xf numFmtId="0" fontId="26" fillId="16" borderId="14" xfId="0" applyFont="1" applyFill="1" applyBorder="1" applyAlignment="1">
      <alignment vertical="center"/>
    </xf>
    <xf numFmtId="0" fontId="26" fillId="16" borderId="8" xfId="0" applyFont="1" applyFill="1" applyBorder="1" applyAlignment="1">
      <alignment vertical="center"/>
    </xf>
    <xf numFmtId="0" fontId="40" fillId="16" borderId="12" xfId="1" applyFont="1" applyFill="1" applyBorder="1" applyAlignment="1" applyProtection="1">
      <alignment vertical="center"/>
    </xf>
    <xf numFmtId="0" fontId="26" fillId="16" borderId="3" xfId="0" applyFont="1" applyFill="1" applyBorder="1" applyAlignment="1">
      <alignment vertical="center"/>
    </xf>
    <xf numFmtId="0" fontId="26" fillId="16" borderId="2" xfId="0" applyFont="1" applyFill="1" applyBorder="1" applyAlignment="1">
      <alignment vertical="center"/>
    </xf>
    <xf numFmtId="0" fontId="26" fillId="16" borderId="7" xfId="0" applyFont="1" applyFill="1" applyBorder="1" applyAlignment="1">
      <alignment vertical="center"/>
    </xf>
    <xf numFmtId="0" fontId="26" fillId="0" borderId="0" xfId="0" applyFont="1" applyAlignment="1">
      <alignment horizontal="center" vertical="center"/>
    </xf>
    <xf numFmtId="3" fontId="8" fillId="0" borderId="0" xfId="0" applyNumberFormat="1" applyFont="1" applyAlignment="1">
      <alignment vertical="center"/>
    </xf>
    <xf numFmtId="9" fontId="8" fillId="0" borderId="0" xfId="0" applyNumberFormat="1" applyFont="1" applyAlignment="1">
      <alignment vertical="center"/>
    </xf>
    <xf numFmtId="0" fontId="8" fillId="0" borderId="0" xfId="0" applyFont="1" applyFill="1" applyBorder="1" applyAlignment="1">
      <alignment vertical="center"/>
    </xf>
    <xf numFmtId="3" fontId="8" fillId="0" borderId="0" xfId="0" applyNumberFormat="1" applyFont="1" applyFill="1" applyBorder="1" applyAlignment="1">
      <alignment vertical="center"/>
    </xf>
    <xf numFmtId="165" fontId="8" fillId="0" borderId="0" xfId="0" applyNumberFormat="1" applyFont="1" applyAlignment="1">
      <alignment vertical="center"/>
    </xf>
    <xf numFmtId="0" fontId="8" fillId="0" borderId="6" xfId="0" applyFont="1" applyFill="1" applyBorder="1" applyAlignment="1">
      <alignment vertical="center"/>
    </xf>
    <xf numFmtId="0" fontId="9" fillId="0" borderId="0" xfId="0" applyFont="1" applyAlignment="1">
      <alignment horizontal="center" vertical="center"/>
    </xf>
    <xf numFmtId="0" fontId="18" fillId="0" borderId="0" xfId="0" applyFont="1" applyFill="1" applyAlignment="1">
      <alignment vertical="center"/>
    </xf>
    <xf numFmtId="3" fontId="8" fillId="0" borderId="0" xfId="0" applyNumberFormat="1" applyFont="1" applyFill="1" applyAlignment="1">
      <alignment vertical="center"/>
    </xf>
    <xf numFmtId="3" fontId="8" fillId="0" borderId="2" xfId="0" applyNumberFormat="1" applyFont="1" applyFill="1" applyBorder="1" applyAlignment="1">
      <alignment vertical="center"/>
    </xf>
    <xf numFmtId="0" fontId="8" fillId="0" borderId="0" xfId="0" applyFont="1" applyBorder="1" applyAlignment="1">
      <alignment vertical="center"/>
    </xf>
    <xf numFmtId="0" fontId="12" fillId="0" borderId="0" xfId="0" applyFont="1" applyAlignment="1">
      <alignment vertical="center"/>
    </xf>
    <xf numFmtId="0" fontId="9" fillId="0" borderId="0" xfId="0" applyFont="1" applyAlignment="1">
      <alignment vertical="center"/>
    </xf>
    <xf numFmtId="9" fontId="8" fillId="0" borderId="0" xfId="3" applyFont="1" applyBorder="1" applyAlignment="1">
      <alignment vertical="center"/>
    </xf>
    <xf numFmtId="0" fontId="21" fillId="0" borderId="0" xfId="0" applyFont="1" applyAlignment="1">
      <alignment vertical="center"/>
    </xf>
    <xf numFmtId="4" fontId="8" fillId="0" borderId="0" xfId="0" applyNumberFormat="1" applyFont="1" applyAlignment="1">
      <alignment vertical="center"/>
    </xf>
    <xf numFmtId="3" fontId="8" fillId="0" borderId="8" xfId="0" applyNumberFormat="1" applyFont="1" applyBorder="1" applyAlignment="1">
      <alignment vertical="center"/>
    </xf>
    <xf numFmtId="171" fontId="8" fillId="0" borderId="0" xfId="0" applyNumberFormat="1" applyFont="1" applyAlignment="1">
      <alignment vertical="center"/>
    </xf>
    <xf numFmtId="2" fontId="8" fillId="0" borderId="0" xfId="0" applyNumberFormat="1" applyFont="1" applyAlignment="1">
      <alignment vertical="center"/>
    </xf>
    <xf numFmtId="0" fontId="35" fillId="16" borderId="2"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0" fontId="35" fillId="16" borderId="3" xfId="0" applyFont="1" applyFill="1" applyBorder="1" applyAlignment="1">
      <alignment horizontal="center" vertical="center"/>
    </xf>
    <xf numFmtId="0" fontId="36" fillId="19" borderId="2"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0" fontId="35" fillId="16" borderId="3" xfId="0" applyFont="1" applyFill="1" applyBorder="1" applyAlignment="1">
      <alignment horizontal="center"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0" fontId="10" fillId="0" borderId="0" xfId="0" applyFont="1" applyBorder="1" applyAlignment="1">
      <alignment vertical="center"/>
    </xf>
    <xf numFmtId="0" fontId="9" fillId="17" borderId="10"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26" fillId="0" borderId="10" xfId="0" applyFont="1" applyBorder="1" applyAlignment="1">
      <alignment horizontal="center" vertical="center"/>
    </xf>
    <xf numFmtId="0" fontId="26" fillId="0" borderId="1" xfId="0" applyFont="1" applyBorder="1" applyAlignment="1">
      <alignment vertical="center"/>
    </xf>
    <xf numFmtId="0" fontId="10" fillId="0" borderId="14" xfId="0" applyFont="1" applyBorder="1" applyAlignment="1">
      <alignment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9" xfId="0" applyFont="1" applyFill="1" applyBorder="1" applyAlignment="1"/>
    <xf numFmtId="0" fontId="9" fillId="17" borderId="10" xfId="0" applyFont="1" applyFill="1" applyBorder="1" applyAlignment="1"/>
    <xf numFmtId="0" fontId="8" fillId="17" borderId="10" xfId="0" applyFont="1" applyFill="1" applyBorder="1" applyAlignment="1">
      <alignment horizontal="center"/>
    </xf>
    <xf numFmtId="0" fontId="8" fillId="17" borderId="11" xfId="0" applyFont="1" applyFill="1" applyBorder="1" applyAlignment="1">
      <alignment horizontal="center"/>
    </xf>
    <xf numFmtId="0" fontId="8" fillId="17" borderId="1" xfId="0" applyFont="1" applyFill="1" applyBorder="1" applyAlignment="1">
      <alignment horizontal="center"/>
    </xf>
    <xf numFmtId="0" fontId="8" fillId="17" borderId="0" xfId="0" applyFont="1" applyFill="1" applyBorder="1" applyAlignment="1">
      <alignment horizontal="center"/>
    </xf>
    <xf numFmtId="0" fontId="8" fillId="17" borderId="12" xfId="0" applyFont="1" applyFill="1" applyBorder="1" applyAlignment="1">
      <alignment horizontal="center"/>
    </xf>
    <xf numFmtId="0" fontId="8" fillId="17" borderId="5" xfId="0" applyFont="1" applyFill="1" applyBorder="1" applyAlignment="1">
      <alignment horizontal="center"/>
    </xf>
    <xf numFmtId="0" fontId="9" fillId="17" borderId="12" xfId="0" applyFont="1" applyFill="1" applyBorder="1" applyAlignment="1">
      <alignment horizontal="center"/>
    </xf>
    <xf numFmtId="0" fontId="8" fillId="17" borderId="8" xfId="0" applyFont="1" applyFill="1" applyBorder="1" applyAlignment="1">
      <alignment horizontal="center"/>
    </xf>
    <xf numFmtId="0" fontId="8" fillId="17" borderId="1" xfId="0" applyFont="1" applyFill="1" applyBorder="1"/>
    <xf numFmtId="0" fontId="8" fillId="17" borderId="0" xfId="0" applyFont="1" applyFill="1" applyBorder="1"/>
    <xf numFmtId="3" fontId="9" fillId="17" borderId="12" xfId="0" applyNumberFormat="1" applyFont="1" applyFill="1" applyBorder="1"/>
    <xf numFmtId="0" fontId="9" fillId="17" borderId="12" xfId="0" applyFont="1" applyFill="1" applyBorder="1"/>
    <xf numFmtId="0" fontId="8" fillId="17" borderId="12" xfId="0" applyFont="1" applyFill="1" applyBorder="1"/>
    <xf numFmtId="0" fontId="8" fillId="17" borderId="7" xfId="0" applyFont="1" applyFill="1" applyBorder="1"/>
    <xf numFmtId="0" fontId="8" fillId="17" borderId="14" xfId="0" applyFont="1" applyFill="1" applyBorder="1"/>
    <xf numFmtId="0" fontId="8" fillId="17" borderId="14" xfId="0" applyFont="1" applyFill="1" applyBorder="1" applyAlignment="1">
      <alignment horizontal="center"/>
    </xf>
    <xf numFmtId="0" fontId="9" fillId="17" borderId="15" xfId="0" applyFont="1" applyFill="1" applyBorder="1"/>
    <xf numFmtId="3" fontId="8" fillId="0" borderId="20" xfId="0" applyNumberFormat="1" applyFont="1" applyFill="1" applyBorder="1" applyAlignment="1">
      <alignment horizontal="center" vertical="center"/>
    </xf>
    <xf numFmtId="3" fontId="8" fillId="0" borderId="21" xfId="0" applyNumberFormat="1" applyFont="1" applyFill="1" applyBorder="1" applyAlignment="1">
      <alignment horizontal="center" vertical="center"/>
    </xf>
    <xf numFmtId="3" fontId="48" fillId="17" borderId="0" xfId="0" applyNumberFormat="1" applyFont="1" applyFill="1" applyBorder="1" applyAlignment="1"/>
    <xf numFmtId="0" fontId="49" fillId="17" borderId="0" xfId="0" applyFont="1" applyFill="1" applyBorder="1"/>
    <xf numFmtId="3" fontId="49" fillId="17" borderId="0" xfId="0" applyNumberFormat="1" applyFont="1" applyFill="1" applyBorder="1"/>
    <xf numFmtId="3" fontId="49" fillId="17" borderId="0" xfId="0" applyNumberFormat="1" applyFont="1" applyFill="1" applyBorder="1" applyAlignment="1"/>
    <xf numFmtId="9" fontId="49" fillId="17" borderId="1" xfId="0" applyNumberFormat="1" applyFont="1" applyFill="1" applyBorder="1"/>
    <xf numFmtId="0" fontId="9" fillId="13" borderId="3" xfId="0" applyFont="1" applyFill="1" applyBorder="1"/>
    <xf numFmtId="0" fontId="9" fillId="13" borderId="13" xfId="0" applyFont="1" applyFill="1" applyBorder="1"/>
    <xf numFmtId="3" fontId="48" fillId="13" borderId="13" xfId="0" applyNumberFormat="1" applyFont="1" applyFill="1" applyBorder="1"/>
    <xf numFmtId="0" fontId="9" fillId="13" borderId="13" xfId="0" applyFont="1" applyFill="1" applyBorder="1" applyAlignment="1">
      <alignment horizontal="center"/>
    </xf>
    <xf numFmtId="3" fontId="9" fillId="13" borderId="4" xfId="0" applyNumberFormat="1" applyFont="1" applyFill="1" applyBorder="1"/>
    <xf numFmtId="3" fontId="9" fillId="13" borderId="13" xfId="0" applyNumberFormat="1" applyFont="1" applyFill="1" applyBorder="1"/>
    <xf numFmtId="3" fontId="12" fillId="17" borderId="0" xfId="0" applyNumberFormat="1" applyFont="1" applyFill="1" applyBorder="1" applyAlignment="1">
      <alignment vertical="center"/>
    </xf>
    <xf numFmtId="3" fontId="25" fillId="17" borderId="12" xfId="0" applyNumberFormat="1" applyFont="1" applyFill="1" applyBorder="1" applyAlignment="1">
      <alignment vertical="center"/>
    </xf>
    <xf numFmtId="0" fontId="9" fillId="17" borderId="14" xfId="0" applyFont="1" applyFill="1" applyBorder="1" applyAlignment="1">
      <alignment horizontal="center" vertical="center"/>
    </xf>
    <xf numFmtId="0" fontId="8" fillId="17" borderId="14" xfId="0" applyFont="1" applyFill="1" applyBorder="1" applyAlignment="1">
      <alignment horizontal="center" vertical="center"/>
    </xf>
    <xf numFmtId="0" fontId="9" fillId="17" borderId="9" xfId="0" applyFont="1" applyFill="1" applyBorder="1" applyAlignment="1">
      <alignment horizontal="left" vertical="center"/>
    </xf>
    <xf numFmtId="0" fontId="9" fillId="17" borderId="10" xfId="0" applyFont="1" applyFill="1" applyBorder="1" applyAlignment="1">
      <alignment horizontal="left" vertical="center"/>
    </xf>
    <xf numFmtId="0" fontId="9" fillId="17" borderId="1" xfId="0" applyFont="1" applyFill="1" applyBorder="1" applyAlignment="1">
      <alignment vertical="center"/>
    </xf>
    <xf numFmtId="0" fontId="9" fillId="17" borderId="1" xfId="0" applyFont="1" applyFill="1" applyBorder="1" applyAlignment="1">
      <alignment horizontal="left" vertical="center"/>
    </xf>
    <xf numFmtId="0" fontId="9" fillId="17" borderId="0" xfId="0" applyFont="1" applyFill="1" applyBorder="1" applyAlignment="1">
      <alignment horizontal="left" vertical="center"/>
    </xf>
    <xf numFmtId="4" fontId="49" fillId="17" borderId="0" xfId="0" applyNumberFormat="1" applyFont="1" applyFill="1" applyBorder="1" applyAlignment="1">
      <alignment vertical="center"/>
    </xf>
    <xf numFmtId="0" fontId="9" fillId="17" borderId="10"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12" xfId="0" applyFont="1" applyFill="1" applyBorder="1" applyAlignment="1">
      <alignment horizontal="center" vertical="center"/>
    </xf>
    <xf numFmtId="3" fontId="8" fillId="13" borderId="4" xfId="0" applyNumberFormat="1" applyFont="1" applyFill="1" applyBorder="1" applyAlignment="1">
      <alignment vertical="center"/>
    </xf>
    <xf numFmtId="3" fontId="19" fillId="17" borderId="0" xfId="0" applyNumberFormat="1" applyFont="1" applyFill="1" applyBorder="1" applyAlignment="1">
      <alignment vertical="center"/>
    </xf>
    <xf numFmtId="9" fontId="49" fillId="17" borderId="0" xfId="0" applyNumberFormat="1" applyFont="1" applyFill="1" applyBorder="1" applyAlignment="1">
      <alignment vertical="center"/>
    </xf>
    <xf numFmtId="9" fontId="8" fillId="0" borderId="20" xfId="3" applyFont="1" applyFill="1" applyBorder="1" applyAlignment="1">
      <alignment vertical="center"/>
    </xf>
    <xf numFmtId="9" fontId="8" fillId="0" borderId="21" xfId="3" applyFont="1" applyFill="1" applyBorder="1" applyAlignment="1">
      <alignment vertical="center"/>
    </xf>
    <xf numFmtId="9" fontId="8" fillId="0" borderId="22" xfId="3" applyFont="1" applyFill="1" applyBorder="1" applyAlignment="1">
      <alignment vertical="center"/>
    </xf>
    <xf numFmtId="0" fontId="8" fillId="0" borderId="21" xfId="0" applyFont="1" applyFill="1" applyBorder="1" applyAlignment="1">
      <alignment vertical="center"/>
    </xf>
    <xf numFmtId="0" fontId="8" fillId="0" borderId="22" xfId="0" applyFont="1" applyFill="1" applyBorder="1" applyAlignment="1">
      <alignment vertical="center"/>
    </xf>
    <xf numFmtId="0" fontId="27" fillId="0" borderId="1" xfId="1" applyFont="1" applyBorder="1" applyAlignment="1" applyProtection="1">
      <alignment horizontal="right" vertical="center"/>
    </xf>
    <xf numFmtId="0" fontId="26" fillId="0" borderId="12" xfId="0" applyFont="1" applyBorder="1" applyAlignment="1">
      <alignment vertical="center"/>
    </xf>
    <xf numFmtId="0" fontId="8" fillId="13" borderId="14" xfId="0" applyFont="1" applyFill="1" applyBorder="1" applyAlignment="1">
      <alignment vertical="center"/>
    </xf>
    <xf numFmtId="3" fontId="9" fillId="13" borderId="14" xfId="0" applyNumberFormat="1" applyFont="1" applyFill="1" applyBorder="1" applyAlignment="1">
      <alignment vertical="center"/>
    </xf>
    <xf numFmtId="0" fontId="8" fillId="17" borderId="1" xfId="0" applyFont="1" applyFill="1" applyBorder="1" applyAlignment="1">
      <alignment horizontal="center" vertical="center"/>
    </xf>
    <xf numFmtId="3" fontId="17" fillId="17" borderId="0" xfId="0" applyNumberFormat="1" applyFont="1" applyFill="1" applyBorder="1" applyAlignment="1">
      <alignment vertical="center"/>
    </xf>
    <xf numFmtId="3" fontId="9" fillId="17" borderId="14" xfId="0" applyNumberFormat="1" applyFont="1" applyFill="1" applyBorder="1" applyAlignment="1">
      <alignment vertical="center"/>
    </xf>
    <xf numFmtId="0" fontId="8" fillId="17" borderId="12" xfId="0" applyFont="1" applyFill="1" applyBorder="1" applyAlignment="1">
      <alignment horizontal="center" vertical="center"/>
    </xf>
    <xf numFmtId="3" fontId="25" fillId="17" borderId="0" xfId="0" applyNumberFormat="1" applyFont="1" applyFill="1" applyBorder="1" applyAlignment="1">
      <alignment vertical="center"/>
    </xf>
    <xf numFmtId="3" fontId="8" fillId="17" borderId="15" xfId="0" applyNumberFormat="1" applyFont="1" applyFill="1" applyBorder="1" applyAlignment="1">
      <alignment vertical="center"/>
    </xf>
    <xf numFmtId="167" fontId="8" fillId="17" borderId="1" xfId="0" applyNumberFormat="1" applyFont="1" applyFill="1" applyBorder="1" applyAlignment="1">
      <alignment vertical="center"/>
    </xf>
    <xf numFmtId="167" fontId="8" fillId="17" borderId="0" xfId="0" applyNumberFormat="1" applyFont="1" applyFill="1" applyBorder="1" applyAlignment="1">
      <alignment vertical="center"/>
    </xf>
    <xf numFmtId="3" fontId="12" fillId="17" borderId="14" xfId="0" applyNumberFormat="1" applyFont="1" applyFill="1" applyBorder="1" applyAlignment="1">
      <alignment vertical="center"/>
    </xf>
    <xf numFmtId="167" fontId="12" fillId="17" borderId="14" xfId="0" applyNumberFormat="1" applyFont="1" applyFill="1" applyBorder="1" applyAlignment="1">
      <alignment vertical="center"/>
    </xf>
    <xf numFmtId="49" fontId="8" fillId="17" borderId="1" xfId="0" applyNumberFormat="1" applyFont="1" applyFill="1" applyBorder="1" applyAlignment="1">
      <alignment vertical="center"/>
    </xf>
    <xf numFmtId="49" fontId="8" fillId="17" borderId="0" xfId="0" applyNumberFormat="1" applyFont="1" applyFill="1" applyBorder="1" applyAlignment="1">
      <alignment vertical="center"/>
    </xf>
    <xf numFmtId="0" fontId="12" fillId="17" borderId="0" xfId="0" applyFont="1" applyFill="1" applyBorder="1" applyAlignment="1">
      <alignment vertical="center"/>
    </xf>
    <xf numFmtId="0" fontId="19" fillId="17" borderId="14" xfId="0" applyFont="1" applyFill="1" applyBorder="1" applyAlignment="1">
      <alignment vertical="center"/>
    </xf>
    <xf numFmtId="9" fontId="12" fillId="17" borderId="7" xfId="0" applyNumberFormat="1" applyFont="1" applyFill="1" applyBorder="1" applyAlignment="1">
      <alignment vertical="center"/>
    </xf>
    <xf numFmtId="0" fontId="8" fillId="17" borderId="15" xfId="0" applyFont="1" applyFill="1" applyBorder="1" applyAlignment="1">
      <alignment vertical="center"/>
    </xf>
    <xf numFmtId="9" fontId="8" fillId="17" borderId="2" xfId="3" applyFont="1" applyFill="1" applyBorder="1" applyAlignment="1">
      <alignment vertical="center"/>
    </xf>
    <xf numFmtId="0" fontId="9" fillId="17" borderId="12" xfId="0" applyFont="1" applyFill="1" applyBorder="1" applyAlignment="1">
      <alignment horizontal="center" vertical="center"/>
    </xf>
    <xf numFmtId="0" fontId="9" fillId="13" borderId="7" xfId="0" applyFont="1" applyFill="1" applyBorder="1" applyAlignment="1">
      <alignment vertical="center"/>
    </xf>
    <xf numFmtId="0" fontId="9" fillId="13" borderId="14" xfId="0" applyFont="1" applyFill="1" applyBorder="1" applyAlignment="1">
      <alignment vertical="center"/>
    </xf>
    <xf numFmtId="3" fontId="8" fillId="13" borderId="15" xfId="0" applyNumberFormat="1" applyFont="1" applyFill="1" applyBorder="1" applyAlignment="1">
      <alignment vertical="center"/>
    </xf>
    <xf numFmtId="0" fontId="20" fillId="13" borderId="13" xfId="0" applyFont="1" applyFill="1" applyBorder="1" applyAlignment="1">
      <alignment vertical="center"/>
    </xf>
    <xf numFmtId="3" fontId="25" fillId="13" borderId="13" xfId="0" applyNumberFormat="1" applyFont="1" applyFill="1" applyBorder="1" applyAlignment="1">
      <alignment vertical="center"/>
    </xf>
    <xf numFmtId="49" fontId="49" fillId="17" borderId="0" xfId="0" applyNumberFormat="1" applyFont="1" applyFill="1" applyBorder="1" applyAlignment="1">
      <alignment vertical="center"/>
    </xf>
    <xf numFmtId="166" fontId="49" fillId="17" borderId="0" xfId="0" applyNumberFormat="1" applyFont="1" applyFill="1" applyBorder="1" applyAlignment="1">
      <alignment horizontal="right"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8" fillId="22" borderId="0" xfId="0" applyFont="1" applyFill="1" applyBorder="1" applyAlignment="1">
      <alignment vertical="center"/>
    </xf>
    <xf numFmtId="0" fontId="9" fillId="17" borderId="3" xfId="0" applyFont="1" applyFill="1" applyBorder="1" applyAlignment="1">
      <alignment vertical="center"/>
    </xf>
    <xf numFmtId="0" fontId="8" fillId="22" borderId="1" xfId="0" applyFont="1" applyFill="1" applyBorder="1" applyAlignment="1">
      <alignment vertical="center"/>
    </xf>
    <xf numFmtId="3" fontId="48" fillId="22" borderId="0" xfId="0" applyNumberFormat="1" applyFont="1" applyFill="1" applyBorder="1" applyAlignment="1">
      <alignment vertical="center"/>
    </xf>
    <xf numFmtId="3" fontId="19" fillId="17" borderId="1" xfId="0" applyNumberFormat="1" applyFont="1" applyFill="1" applyBorder="1" applyAlignment="1">
      <alignment vertical="center"/>
    </xf>
    <xf numFmtId="3" fontId="49" fillId="17" borderId="14" xfId="0" applyNumberFormat="1" applyFont="1" applyFill="1" applyBorder="1" applyAlignment="1">
      <alignment vertical="center"/>
    </xf>
    <xf numFmtId="0" fontId="8" fillId="0" borderId="20" xfId="0" applyNumberFormat="1" applyFont="1" applyFill="1" applyBorder="1" applyAlignment="1">
      <alignment horizontal="center" vertical="center"/>
    </xf>
    <xf numFmtId="0" fontId="8" fillId="0" borderId="21" xfId="0" applyNumberFormat="1" applyFont="1" applyFill="1" applyBorder="1" applyAlignment="1">
      <alignment horizontal="center" vertical="center"/>
    </xf>
    <xf numFmtId="0" fontId="8" fillId="0" borderId="22" xfId="0" applyNumberFormat="1" applyFont="1" applyFill="1" applyBorder="1" applyAlignment="1">
      <alignment horizontal="center" vertical="center"/>
    </xf>
    <xf numFmtId="169" fontId="8" fillId="0" borderId="21" xfId="0" applyNumberFormat="1" applyFont="1" applyFill="1" applyBorder="1" applyAlignment="1">
      <alignment vertical="center"/>
    </xf>
    <xf numFmtId="169" fontId="8" fillId="0" borderId="22" xfId="0" applyNumberFormat="1" applyFont="1" applyFill="1" applyBorder="1" applyAlignment="1">
      <alignment vertical="center"/>
    </xf>
    <xf numFmtId="169" fontId="8" fillId="0" borderId="20" xfId="0" applyNumberFormat="1" applyFont="1" applyFill="1" applyBorder="1" applyAlignment="1">
      <alignment vertical="center"/>
    </xf>
    <xf numFmtId="3" fontId="12" fillId="17" borderId="13" xfId="0" applyNumberFormat="1" applyFont="1" applyFill="1" applyBorder="1" applyAlignment="1">
      <alignment vertical="center"/>
    </xf>
    <xf numFmtId="3" fontId="8" fillId="0" borderId="24" xfId="0" applyNumberFormat="1" applyFont="1" applyFill="1" applyBorder="1" applyAlignment="1">
      <alignment vertical="center"/>
    </xf>
    <xf numFmtId="169" fontId="8" fillId="0" borderId="23" xfId="0" applyNumberFormat="1" applyFont="1" applyFill="1" applyBorder="1" applyAlignment="1">
      <alignment vertical="center"/>
    </xf>
    <xf numFmtId="0" fontId="12" fillId="17" borderId="0" xfId="0" applyFont="1" applyFill="1" applyBorder="1" applyAlignment="1">
      <alignment horizontal="center" vertical="center"/>
    </xf>
    <xf numFmtId="1" fontId="8" fillId="17" borderId="12" xfId="0" applyNumberFormat="1" applyFont="1" applyFill="1" applyBorder="1" applyAlignment="1">
      <alignment vertical="center"/>
    </xf>
    <xf numFmtId="1" fontId="9" fillId="13" borderId="4" xfId="0" applyNumberFormat="1" applyFont="1" applyFill="1" applyBorder="1" applyAlignment="1">
      <alignment vertical="center"/>
    </xf>
    <xf numFmtId="0" fontId="8" fillId="17" borderId="2" xfId="0" applyFont="1" applyFill="1" applyBorder="1" applyAlignment="1">
      <alignment vertical="center"/>
    </xf>
    <xf numFmtId="0" fontId="19" fillId="17" borderId="0" xfId="0" applyFont="1" applyFill="1" applyBorder="1" applyAlignment="1">
      <alignment horizontal="center" vertical="center"/>
    </xf>
    <xf numFmtId="0" fontId="19" fillId="17" borderId="1" xfId="0" applyFont="1" applyFill="1" applyBorder="1" applyAlignment="1">
      <alignment horizontal="left" vertical="center"/>
    </xf>
    <xf numFmtId="0" fontId="19" fillId="17" borderId="0" xfId="0" applyFont="1" applyFill="1" applyBorder="1" applyAlignment="1">
      <alignment horizontal="left" vertical="center"/>
    </xf>
    <xf numFmtId="0" fontId="12" fillId="17" borderId="10" xfId="0" applyFont="1" applyFill="1" applyBorder="1" applyAlignment="1">
      <alignment horizontal="center" vertical="center"/>
    </xf>
    <xf numFmtId="0" fontId="19" fillId="17" borderId="10" xfId="0" applyFont="1" applyFill="1" applyBorder="1" applyAlignment="1">
      <alignment horizontal="center" vertical="center"/>
    </xf>
    <xf numFmtId="0" fontId="8" fillId="0" borderId="20" xfId="0" applyFont="1" applyFill="1" applyBorder="1" applyAlignment="1">
      <alignment vertical="center"/>
    </xf>
    <xf numFmtId="169" fontId="49" fillId="17" borderId="0" xfId="0" applyNumberFormat="1" applyFont="1" applyFill="1" applyBorder="1" applyAlignment="1">
      <alignment vertical="center"/>
    </xf>
    <xf numFmtId="3" fontId="49" fillId="0" borderId="20" xfId="0" applyNumberFormat="1" applyFont="1" applyFill="1" applyBorder="1" applyAlignment="1">
      <alignment vertical="center"/>
    </xf>
    <xf numFmtId="3" fontId="49" fillId="0" borderId="21" xfId="0" applyNumberFormat="1" applyFont="1" applyFill="1" applyBorder="1" applyAlignment="1">
      <alignment vertical="center"/>
    </xf>
    <xf numFmtId="3" fontId="49" fillId="0" borderId="22" xfId="0" applyNumberFormat="1" applyFont="1" applyFill="1" applyBorder="1" applyAlignment="1">
      <alignment vertical="center"/>
    </xf>
    <xf numFmtId="0" fontId="8" fillId="2" borderId="0" xfId="0" applyFont="1" applyFill="1" applyAlignment="1">
      <alignment vertical="center"/>
    </xf>
    <xf numFmtId="3" fontId="8" fillId="0" borderId="2" xfId="0" applyNumberFormat="1" applyFont="1" applyBorder="1" applyAlignment="1">
      <alignment vertical="center"/>
    </xf>
    <xf numFmtId="3" fontId="8" fillId="0" borderId="5" xfId="0" applyNumberFormat="1" applyFont="1" applyBorder="1" applyAlignment="1">
      <alignment vertical="center"/>
    </xf>
    <xf numFmtId="0" fontId="8" fillId="2" borderId="0" xfId="0" applyFont="1" applyFill="1" applyBorder="1" applyAlignment="1">
      <alignment vertical="center"/>
    </xf>
    <xf numFmtId="0" fontId="10" fillId="0" borderId="0" xfId="0" applyFont="1" applyFill="1" applyAlignment="1">
      <alignment vertical="center"/>
    </xf>
    <xf numFmtId="0" fontId="8" fillId="24" borderId="3" xfId="0" applyFont="1" applyFill="1" applyBorder="1" applyAlignment="1">
      <alignment horizontal="center" vertical="center"/>
    </xf>
    <xf numFmtId="0" fontId="8" fillId="24" borderId="2" xfId="0" applyFont="1" applyFill="1" applyBorder="1" applyAlignment="1">
      <alignment horizontal="center" vertical="center"/>
    </xf>
    <xf numFmtId="0" fontId="8" fillId="16" borderId="3" xfId="0" applyFont="1" applyFill="1" applyBorder="1" applyAlignment="1">
      <alignment vertical="center"/>
    </xf>
    <xf numFmtId="3" fontId="8" fillId="16" borderId="2" xfId="0" applyNumberFormat="1" applyFont="1" applyFill="1" applyBorder="1" applyAlignment="1">
      <alignment horizontal="right" vertical="center"/>
    </xf>
    <xf numFmtId="3" fontId="8" fillId="16" borderId="5" xfId="0" applyNumberFormat="1" applyFont="1" applyFill="1" applyBorder="1" applyAlignment="1">
      <alignment horizontal="right" vertical="center"/>
    </xf>
    <xf numFmtId="3" fontId="8" fillId="16" borderId="8" xfId="0" applyNumberFormat="1" applyFont="1" applyFill="1" applyBorder="1" applyAlignment="1">
      <alignment horizontal="right" vertical="center"/>
    </xf>
    <xf numFmtId="0" fontId="8" fillId="16" borderId="2" xfId="0" applyFont="1" applyFill="1" applyBorder="1" applyAlignment="1">
      <alignment horizontal="right" vertical="center"/>
    </xf>
    <xf numFmtId="0" fontId="8" fillId="16" borderId="5" xfId="0" applyFont="1" applyFill="1" applyBorder="1" applyAlignment="1">
      <alignment horizontal="right" vertical="center"/>
    </xf>
    <xf numFmtId="0" fontId="8" fillId="16" borderId="8" xfId="0" applyFont="1" applyFill="1" applyBorder="1" applyAlignment="1">
      <alignment horizontal="right" vertical="center"/>
    </xf>
    <xf numFmtId="165" fontId="8" fillId="16" borderId="2" xfId="0" applyNumberFormat="1" applyFont="1" applyFill="1" applyBorder="1" applyAlignment="1">
      <alignment vertical="center"/>
    </xf>
    <xf numFmtId="3" fontId="8" fillId="16" borderId="2" xfId="0" applyNumberFormat="1" applyFont="1" applyFill="1" applyBorder="1" applyAlignment="1">
      <alignment vertical="center"/>
    </xf>
    <xf numFmtId="4" fontId="8" fillId="16" borderId="2" xfId="0" applyNumberFormat="1" applyFont="1" applyFill="1" applyBorder="1" applyAlignment="1">
      <alignment vertical="center"/>
    </xf>
    <xf numFmtId="11" fontId="8" fillId="16" borderId="2" xfId="0" applyNumberFormat="1" applyFont="1" applyFill="1" applyBorder="1" applyAlignment="1">
      <alignment vertical="center"/>
    </xf>
    <xf numFmtId="169" fontId="8" fillId="16" borderId="2" xfId="0" applyNumberFormat="1" applyFont="1" applyFill="1" applyBorder="1" applyAlignment="1">
      <alignment vertical="center"/>
    </xf>
    <xf numFmtId="176" fontId="8" fillId="16" borderId="2" xfId="0" applyNumberFormat="1" applyFont="1" applyFill="1" applyBorder="1" applyAlignment="1">
      <alignment vertical="center"/>
    </xf>
    <xf numFmtId="177" fontId="8" fillId="16" borderId="2" xfId="0" applyNumberFormat="1" applyFont="1" applyFill="1" applyBorder="1" applyAlignment="1">
      <alignment vertical="center"/>
    </xf>
    <xf numFmtId="175" fontId="8" fillId="16" borderId="2" xfId="0" applyNumberFormat="1" applyFont="1" applyFill="1" applyBorder="1" applyAlignment="1">
      <alignment vertical="center"/>
    </xf>
    <xf numFmtId="172" fontId="8" fillId="16" borderId="2" xfId="0" applyNumberFormat="1" applyFont="1" applyFill="1" applyBorder="1" applyAlignment="1">
      <alignment vertical="center"/>
    </xf>
    <xf numFmtId="170" fontId="8" fillId="16" borderId="2" xfId="0" applyNumberFormat="1" applyFont="1" applyFill="1" applyBorder="1" applyAlignment="1">
      <alignment vertical="center"/>
    </xf>
    <xf numFmtId="167" fontId="8" fillId="16" borderId="2" xfId="0" applyNumberFormat="1" applyFont="1" applyFill="1" applyBorder="1" applyAlignment="1">
      <alignment vertical="center"/>
    </xf>
    <xf numFmtId="0" fontId="8" fillId="24" borderId="2" xfId="0" applyFont="1" applyFill="1" applyBorder="1" applyAlignment="1">
      <alignment horizontal="center" vertical="center" wrapText="1"/>
    </xf>
    <xf numFmtId="0" fontId="8" fillId="24" borderId="2" xfId="0" applyFont="1" applyFill="1" applyBorder="1" applyAlignment="1">
      <alignment horizontal="right" vertical="center"/>
    </xf>
    <xf numFmtId="3" fontId="8" fillId="0" borderId="0" xfId="2" applyFont="1" applyAlignment="1">
      <alignment vertical="center"/>
    </xf>
    <xf numFmtId="3" fontId="8" fillId="0" borderId="0" xfId="2" applyFont="1" applyAlignment="1">
      <alignment horizontal="right" vertical="center"/>
    </xf>
    <xf numFmtId="9" fontId="8" fillId="0" borderId="0" xfId="3" applyFont="1" applyAlignment="1">
      <alignment horizontal="right" vertical="center"/>
    </xf>
    <xf numFmtId="3" fontId="8" fillId="0" borderId="0" xfId="2" applyFont="1" applyFill="1" applyAlignment="1">
      <alignment vertical="center"/>
    </xf>
    <xf numFmtId="3" fontId="26" fillId="0" borderId="0" xfId="2" applyFont="1" applyAlignment="1">
      <alignment vertical="center"/>
    </xf>
    <xf numFmtId="9" fontId="26" fillId="0" borderId="0" xfId="3" applyFont="1" applyAlignment="1">
      <alignment vertical="center"/>
    </xf>
    <xf numFmtId="3" fontId="26" fillId="0" borderId="0" xfId="2" applyFont="1" applyFill="1" applyAlignment="1">
      <alignment vertical="center"/>
    </xf>
    <xf numFmtId="0" fontId="30" fillId="0" borderId="0" xfId="0" applyFont="1" applyAlignment="1">
      <alignment vertical="center"/>
    </xf>
    <xf numFmtId="0" fontId="8" fillId="19" borderId="9" xfId="0" applyFont="1" applyFill="1" applyBorder="1" applyAlignment="1">
      <alignment vertical="center"/>
    </xf>
    <xf numFmtId="0" fontId="8" fillId="19" borderId="10" xfId="0" applyFont="1" applyFill="1" applyBorder="1" applyAlignment="1">
      <alignment vertical="center"/>
    </xf>
    <xf numFmtId="3" fontId="8" fillId="19" borderId="5" xfId="0" applyNumberFormat="1" applyFont="1" applyFill="1" applyBorder="1" applyAlignment="1">
      <alignment vertical="center"/>
    </xf>
    <xf numFmtId="0" fontId="8" fillId="19" borderId="1" xfId="0" applyFont="1" applyFill="1" applyBorder="1" applyAlignment="1">
      <alignment vertical="center"/>
    </xf>
    <xf numFmtId="0" fontId="8" fillId="19" borderId="0" xfId="0" applyFont="1" applyFill="1" applyBorder="1" applyAlignment="1">
      <alignment vertical="center"/>
    </xf>
    <xf numFmtId="3" fontId="8" fillId="19" borderId="6" xfId="0" applyNumberFormat="1" applyFont="1" applyFill="1" applyBorder="1" applyAlignment="1">
      <alignment vertical="center"/>
    </xf>
    <xf numFmtId="0" fontId="8" fillId="19" borderId="7" xfId="0" applyFont="1" applyFill="1" applyBorder="1" applyAlignment="1">
      <alignment vertical="center"/>
    </xf>
    <xf numFmtId="0" fontId="8" fillId="19" borderId="14" xfId="0" applyFont="1" applyFill="1" applyBorder="1" applyAlignment="1">
      <alignment vertical="center"/>
    </xf>
    <xf numFmtId="3" fontId="8" fillId="19" borderId="8" xfId="0" applyNumberFormat="1" applyFont="1" applyFill="1" applyBorder="1" applyAlignment="1">
      <alignment vertical="center"/>
    </xf>
    <xf numFmtId="0" fontId="8" fillId="19" borderId="4" xfId="0" applyFont="1" applyFill="1" applyBorder="1" applyAlignment="1">
      <alignment vertical="center"/>
    </xf>
    <xf numFmtId="3" fontId="33" fillId="0" borderId="0" xfId="0" applyNumberFormat="1" applyFont="1" applyFill="1" applyBorder="1" applyAlignment="1">
      <alignment vertical="center"/>
    </xf>
    <xf numFmtId="3" fontId="32" fillId="0" borderId="0" xfId="0" applyNumberFormat="1" applyFont="1" applyFill="1" applyBorder="1" applyAlignment="1">
      <alignment vertical="center"/>
    </xf>
    <xf numFmtId="3" fontId="32" fillId="0" borderId="0" xfId="0" applyNumberFormat="1" applyFont="1" applyBorder="1" applyAlignment="1">
      <alignment vertical="center"/>
    </xf>
    <xf numFmtId="3" fontId="9" fillId="25" borderId="2" xfId="2" applyFont="1" applyFill="1" applyBorder="1" applyAlignment="1">
      <alignment vertical="center"/>
    </xf>
    <xf numFmtId="3" fontId="9" fillId="23" borderId="2" xfId="2" applyFont="1" applyFill="1" applyBorder="1" applyAlignment="1">
      <alignment vertical="center"/>
    </xf>
    <xf numFmtId="9" fontId="9" fillId="23" borderId="2" xfId="3" applyFont="1" applyFill="1" applyBorder="1" applyAlignment="1">
      <alignment vertical="center"/>
    </xf>
    <xf numFmtId="3" fontId="8" fillId="23" borderId="2" xfId="0" applyNumberFormat="1" applyFont="1" applyFill="1" applyBorder="1" applyAlignment="1">
      <alignment vertical="center"/>
    </xf>
    <xf numFmtId="3" fontId="8" fillId="23" borderId="2" xfId="2" applyFont="1" applyFill="1" applyBorder="1" applyAlignment="1">
      <alignment horizontal="right" vertical="center"/>
    </xf>
    <xf numFmtId="3" fontId="8" fillId="16" borderId="2" xfId="2" applyFont="1" applyFill="1" applyBorder="1" applyAlignment="1">
      <alignment horizontal="right" vertical="center"/>
    </xf>
    <xf numFmtId="3" fontId="47" fillId="12" borderId="2" xfId="0" applyNumberFormat="1" applyFont="1" applyFill="1" applyBorder="1" applyAlignment="1">
      <alignment horizontal="center" vertical="center"/>
    </xf>
    <xf numFmtId="0" fontId="8" fillId="19" borderId="3" xfId="0" applyFont="1" applyFill="1" applyBorder="1" applyAlignment="1">
      <alignment horizontal="left" vertical="center"/>
    </xf>
    <xf numFmtId="0" fontId="47" fillId="21" borderId="2" xfId="0" applyFont="1" applyFill="1" applyBorder="1" applyAlignment="1">
      <alignment horizontal="center" vertical="center" wrapText="1"/>
    </xf>
    <xf numFmtId="3" fontId="8" fillId="11" borderId="2" xfId="2" applyFont="1" applyFill="1" applyBorder="1" applyAlignment="1">
      <alignment horizontal="right" vertical="center"/>
    </xf>
    <xf numFmtId="3" fontId="8" fillId="25" borderId="2" xfId="2" applyFont="1" applyFill="1" applyBorder="1" applyAlignment="1">
      <alignment horizontal="right" vertical="center"/>
    </xf>
    <xf numFmtId="173" fontId="8" fillId="0" borderId="0" xfId="3" applyNumberFormat="1" applyFont="1" applyBorder="1" applyAlignment="1">
      <alignment vertical="center"/>
    </xf>
    <xf numFmtId="3" fontId="55" fillId="22" borderId="2" xfId="0" applyNumberFormat="1" applyFont="1" applyFill="1" applyBorder="1" applyAlignment="1">
      <alignment vertical="center"/>
    </xf>
    <xf numFmtId="3" fontId="48" fillId="27" borderId="2" xfId="0" applyNumberFormat="1" applyFont="1" applyFill="1" applyBorder="1" applyAlignment="1">
      <alignment vertical="center"/>
    </xf>
    <xf numFmtId="0" fontId="8" fillId="22" borderId="5" xfId="0" applyFont="1" applyFill="1" applyBorder="1" applyAlignment="1">
      <alignment vertical="center"/>
    </xf>
    <xf numFmtId="0" fontId="8" fillId="22" borderId="6" xfId="0" applyFont="1" applyFill="1" applyBorder="1" applyAlignment="1">
      <alignment vertical="center"/>
    </xf>
    <xf numFmtId="9" fontId="8" fillId="27" borderId="2" xfId="3" applyFont="1" applyFill="1" applyBorder="1" applyAlignment="1">
      <alignment vertical="center"/>
    </xf>
    <xf numFmtId="0" fontId="8" fillId="27" borderId="2" xfId="0" applyFont="1" applyFill="1" applyBorder="1" applyAlignment="1">
      <alignment vertical="center"/>
    </xf>
    <xf numFmtId="0" fontId="9" fillId="22" borderId="18" xfId="0" applyFont="1" applyFill="1" applyBorder="1" applyAlignment="1">
      <alignment vertical="center"/>
    </xf>
    <xf numFmtId="3" fontId="27" fillId="24" borderId="2" xfId="2" applyFont="1" applyFill="1" applyBorder="1" applyAlignment="1">
      <alignment vertical="center"/>
    </xf>
    <xf numFmtId="9" fontId="27" fillId="24" borderId="2" xfId="3" applyFont="1" applyFill="1" applyBorder="1" applyAlignment="1">
      <alignment vertical="center"/>
    </xf>
    <xf numFmtId="3" fontId="27" fillId="28" borderId="2" xfId="2" applyFont="1" applyFill="1" applyBorder="1" applyAlignment="1">
      <alignment vertical="center"/>
    </xf>
    <xf numFmtId="173" fontId="9" fillId="22" borderId="19" xfId="3" applyNumberFormat="1" applyFont="1" applyFill="1" applyBorder="1" applyAlignment="1">
      <alignment vertical="center"/>
    </xf>
    <xf numFmtId="1" fontId="8" fillId="0" borderId="0" xfId="0" applyNumberFormat="1" applyFont="1" applyAlignment="1">
      <alignment vertical="center"/>
    </xf>
    <xf numFmtId="0" fontId="35" fillId="16" borderId="2" xfId="0" applyFont="1" applyFill="1" applyBorder="1" applyAlignment="1">
      <alignment horizontal="center" vertical="center"/>
    </xf>
    <xf numFmtId="0" fontId="35" fillId="16" borderId="3" xfId="0" applyFont="1" applyFill="1" applyBorder="1" applyAlignment="1">
      <alignment horizontal="center" vertical="center"/>
    </xf>
    <xf numFmtId="9" fontId="8" fillId="0" borderId="0" xfId="3" applyFont="1" applyFill="1" applyAlignment="1">
      <alignment vertical="center"/>
    </xf>
    <xf numFmtId="0" fontId="36" fillId="19" borderId="2" xfId="0" applyFont="1" applyFill="1" applyBorder="1" applyAlignment="1">
      <alignment horizontal="center" vertical="center"/>
    </xf>
    <xf numFmtId="3" fontId="8" fillId="23" borderId="2" xfId="2" applyFont="1" applyFill="1" applyBorder="1" applyAlignment="1">
      <alignment vertical="center"/>
    </xf>
    <xf numFmtId="3" fontId="9" fillId="16" borderId="2" xfId="2" applyFont="1" applyFill="1" applyBorder="1" applyAlignment="1">
      <alignment vertical="center"/>
    </xf>
    <xf numFmtId="9" fontId="9" fillId="16" borderId="2" xfId="3" applyFont="1" applyFill="1" applyBorder="1" applyAlignment="1">
      <alignment vertical="center"/>
    </xf>
    <xf numFmtId="0" fontId="47" fillId="12" borderId="2" xfId="0" applyFont="1" applyFill="1" applyBorder="1" applyAlignment="1">
      <alignment horizontal="center" vertical="center"/>
    </xf>
    <xf numFmtId="0" fontId="54" fillId="16" borderId="2" xfId="1" applyFont="1" applyFill="1" applyBorder="1" applyAlignment="1" applyProtection="1">
      <alignment horizontal="center" vertical="center"/>
    </xf>
    <xf numFmtId="3" fontId="27" fillId="16" borderId="2" xfId="2" applyFont="1" applyFill="1" applyBorder="1" applyAlignment="1">
      <alignment horizontal="right" vertical="center"/>
    </xf>
    <xf numFmtId="9" fontId="27" fillId="16" borderId="2" xfId="3" applyFont="1" applyFill="1" applyBorder="1" applyAlignment="1">
      <alignment horizontal="right" vertical="center"/>
    </xf>
    <xf numFmtId="9" fontId="8" fillId="16" borderId="2" xfId="3" applyFont="1" applyFill="1" applyBorder="1" applyAlignment="1">
      <alignment horizontal="right" vertical="center"/>
    </xf>
    <xf numFmtId="3" fontId="8" fillId="16" borderId="2" xfId="2" applyFont="1" applyFill="1" applyBorder="1" applyAlignment="1">
      <alignment vertical="center"/>
    </xf>
    <xf numFmtId="3" fontId="8" fillId="0" borderId="0" xfId="0" applyNumberFormat="1" applyFont="1" applyAlignment="1">
      <alignment horizontal="right" vertical="center"/>
    </xf>
    <xf numFmtId="0" fontId="54" fillId="23" borderId="2" xfId="1" applyFont="1" applyFill="1" applyBorder="1" applyAlignment="1" applyProtection="1">
      <alignment horizontal="center" vertical="center"/>
    </xf>
    <xf numFmtId="3" fontId="27" fillId="23" borderId="2" xfId="2" applyFont="1" applyFill="1" applyBorder="1" applyAlignment="1">
      <alignment horizontal="right" vertical="center"/>
    </xf>
    <xf numFmtId="9" fontId="27" fillId="23" borderId="2" xfId="3" applyFont="1" applyFill="1" applyBorder="1" applyAlignment="1">
      <alignment horizontal="right" vertical="center"/>
    </xf>
    <xf numFmtId="9" fontId="8" fillId="23" borderId="2" xfId="3" applyFont="1" applyFill="1" applyBorder="1" applyAlignment="1">
      <alignment horizontal="right" vertical="center"/>
    </xf>
    <xf numFmtId="3" fontId="9" fillId="0" borderId="0" xfId="2" applyFont="1" applyAlignment="1">
      <alignment horizontal="right" vertical="center"/>
    </xf>
    <xf numFmtId="9" fontId="9" fillId="0" borderId="0" xfId="3" applyFont="1" applyAlignment="1">
      <alignment horizontal="right" vertical="center"/>
    </xf>
    <xf numFmtId="3" fontId="9" fillId="0" borderId="0" xfId="0" applyNumberFormat="1" applyFont="1" applyAlignment="1">
      <alignment vertical="center"/>
    </xf>
    <xf numFmtId="0" fontId="9" fillId="16" borderId="3" xfId="0" applyFont="1" applyFill="1" applyBorder="1" applyAlignment="1">
      <alignment vertical="center"/>
    </xf>
    <xf numFmtId="0" fontId="9" fillId="23" borderId="3" xfId="0" applyFont="1" applyFill="1" applyBorder="1" applyAlignment="1">
      <alignment vertical="center"/>
    </xf>
    <xf numFmtId="0" fontId="27" fillId="24" borderId="2" xfId="0" applyFont="1" applyFill="1" applyBorder="1" applyAlignment="1">
      <alignment horizontal="center" vertical="center"/>
    </xf>
    <xf numFmtId="3" fontId="27" fillId="11" borderId="2" xfId="2" applyFont="1" applyFill="1" applyBorder="1" applyAlignment="1">
      <alignment horizontal="right" vertical="center"/>
    </xf>
    <xf numFmtId="3" fontId="27" fillId="25" borderId="2" xfId="2" applyFont="1" applyFill="1" applyBorder="1" applyAlignment="1">
      <alignment horizontal="right" vertical="center"/>
    </xf>
    <xf numFmtId="3" fontId="9" fillId="11" borderId="2" xfId="2" applyFont="1" applyFill="1" applyBorder="1" applyAlignment="1">
      <alignment vertical="center"/>
    </xf>
    <xf numFmtId="3" fontId="48" fillId="17" borderId="2" xfId="0" applyNumberFormat="1" applyFont="1" applyFill="1" applyBorder="1" applyAlignment="1">
      <alignment vertical="center"/>
    </xf>
    <xf numFmtId="0" fontId="9" fillId="27" borderId="3" xfId="0" applyFont="1" applyFill="1" applyBorder="1" applyAlignment="1">
      <alignment vertical="center"/>
    </xf>
    <xf numFmtId="0" fontId="27" fillId="22" borderId="2" xfId="0" applyFont="1" applyFill="1" applyBorder="1" applyAlignment="1">
      <alignment horizontal="center" vertical="center"/>
    </xf>
    <xf numFmtId="3" fontId="22" fillId="0" borderId="0" xfId="0" applyNumberFormat="1" applyFont="1" applyAlignment="1">
      <alignment vertical="center"/>
    </xf>
    <xf numFmtId="0" fontId="47" fillId="13" borderId="2" xfId="0" applyFont="1" applyFill="1" applyBorder="1" applyAlignment="1">
      <alignment horizontal="center" vertical="center"/>
    </xf>
    <xf numFmtId="0" fontId="47" fillId="13" borderId="2" xfId="0" applyFont="1" applyFill="1" applyBorder="1" applyAlignment="1">
      <alignment horizontal="center" vertical="center" wrapText="1"/>
    </xf>
    <xf numFmtId="0" fontId="10" fillId="0" borderId="12" xfId="0" applyFont="1" applyFill="1" applyBorder="1" applyAlignment="1">
      <alignment vertical="center"/>
    </xf>
    <xf numFmtId="0" fontId="8" fillId="0" borderId="7" xfId="0" applyFont="1" applyFill="1" applyBorder="1" applyAlignment="1">
      <alignment vertical="center"/>
    </xf>
    <xf numFmtId="0" fontId="8" fillId="0" borderId="14" xfId="0" applyFont="1" applyFill="1" applyBorder="1" applyAlignment="1">
      <alignment vertical="center"/>
    </xf>
    <xf numFmtId="3" fontId="19" fillId="0" borderId="20" xfId="2" applyFont="1" applyFill="1" applyBorder="1" applyAlignment="1">
      <alignment vertical="center"/>
    </xf>
    <xf numFmtId="3" fontId="19" fillId="0" borderId="21" xfId="2" applyFont="1" applyFill="1" applyBorder="1" applyAlignment="1">
      <alignment vertical="center"/>
    </xf>
    <xf numFmtId="3" fontId="19" fillId="0" borderId="22" xfId="2" applyFont="1" applyFill="1" applyBorder="1" applyAlignment="1">
      <alignment vertical="center"/>
    </xf>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0" xfId="0" applyFont="1" applyFill="1" applyBorder="1" applyAlignment="1">
      <alignment horizontal="center"/>
    </xf>
    <xf numFmtId="181" fontId="8" fillId="0" borderId="0" xfId="0" applyNumberFormat="1" applyFont="1" applyAlignment="1">
      <alignment vertical="center"/>
    </xf>
    <xf numFmtId="176" fontId="8" fillId="0" borderId="0" xfId="0" applyNumberFormat="1" applyFont="1" applyAlignment="1">
      <alignment vertical="center"/>
    </xf>
    <xf numFmtId="0" fontId="8" fillId="0" borderId="24" xfId="0" applyFont="1" applyFill="1" applyBorder="1" applyAlignment="1">
      <alignment vertical="center"/>
    </xf>
    <xf numFmtId="9" fontId="8" fillId="0" borderId="0" xfId="3" applyFont="1" applyFill="1" applyBorder="1"/>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 xfId="0" applyFont="1" applyFill="1" applyBorder="1" applyAlignment="1">
      <alignment horizontal="center" vertical="center"/>
    </xf>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2" xfId="0" applyFont="1" applyFill="1" applyBorder="1" applyAlignment="1">
      <alignment horizontal="center" vertical="center"/>
    </xf>
    <xf numFmtId="9" fontId="8" fillId="0" borderId="21" xfId="3" applyFont="1" applyFill="1" applyBorder="1" applyAlignment="1">
      <alignment horizontal="center"/>
    </xf>
    <xf numFmtId="174" fontId="8" fillId="0" borderId="0" xfId="0" applyNumberFormat="1" applyFont="1" applyFill="1" applyAlignment="1">
      <alignment horizontal="center" wrapText="1"/>
    </xf>
    <xf numFmtId="174" fontId="9" fillId="0" borderId="0" xfId="0" applyNumberFormat="1" applyFont="1" applyFill="1" applyAlignment="1">
      <alignment horizontal="center" wrapText="1"/>
    </xf>
    <xf numFmtId="174" fontId="8" fillId="0" borderId="0" xfId="0" applyNumberFormat="1" applyFont="1" applyFill="1" applyAlignment="1">
      <alignment horizontal="center"/>
    </xf>
    <xf numFmtId="174" fontId="26" fillId="0" borderId="0" xfId="0" applyNumberFormat="1" applyFont="1" applyFill="1" applyAlignment="1">
      <alignment horizontal="center"/>
    </xf>
    <xf numFmtId="3" fontId="8" fillId="0" borderId="0" xfId="0" applyNumberFormat="1" applyFont="1" applyFill="1" applyAlignment="1">
      <alignment horizontal="center"/>
    </xf>
    <xf numFmtId="174" fontId="27" fillId="0" borderId="23" xfId="0" applyNumberFormat="1" applyFont="1" applyFill="1" applyBorder="1" applyAlignment="1">
      <alignment horizontal="center" wrapText="1"/>
    </xf>
    <xf numFmtId="174" fontId="27" fillId="0" borderId="23" xfId="0" applyNumberFormat="1" applyFont="1" applyFill="1" applyBorder="1" applyAlignment="1">
      <alignment horizontal="center"/>
    </xf>
    <xf numFmtId="0" fontId="57" fillId="16" borderId="2" xfId="1" applyFont="1" applyFill="1" applyBorder="1" applyAlignment="1" applyProtection="1">
      <alignment horizontal="center" vertical="center"/>
    </xf>
    <xf numFmtId="0" fontId="57" fillId="23" borderId="2" xfId="1" applyFont="1" applyFill="1" applyBorder="1" applyAlignment="1" applyProtection="1">
      <alignment horizontal="center" vertical="center"/>
    </xf>
    <xf numFmtId="3" fontId="16" fillId="0" borderId="0" xfId="0" applyNumberFormat="1" applyFont="1" applyAlignment="1">
      <alignment vertical="center"/>
    </xf>
    <xf numFmtId="0" fontId="22" fillId="0" borderId="0" xfId="0" applyFont="1" applyAlignment="1">
      <alignment vertical="center"/>
    </xf>
    <xf numFmtId="182" fontId="22" fillId="0" borderId="0" xfId="0" applyNumberFormat="1" applyFont="1" applyAlignment="1">
      <alignment vertical="center"/>
    </xf>
    <xf numFmtId="182" fontId="16" fillId="0" borderId="0" xfId="0" applyNumberFormat="1" applyFont="1" applyAlignment="1">
      <alignment vertical="center"/>
    </xf>
    <xf numFmtId="9" fontId="8" fillId="23" borderId="21" xfId="3" applyFont="1" applyFill="1" applyBorder="1" applyAlignment="1">
      <alignment horizontal="center"/>
    </xf>
    <xf numFmtId="9" fontId="8" fillId="16" borderId="21" xfId="3" applyFont="1" applyFill="1" applyBorder="1" applyAlignment="1">
      <alignment horizontal="center"/>
    </xf>
    <xf numFmtId="9" fontId="8" fillId="0" borderId="20" xfId="3" applyFont="1" applyBorder="1" applyAlignment="1">
      <alignment horizontal="center" vertical="center"/>
    </xf>
    <xf numFmtId="0" fontId="26" fillId="0" borderId="0" xfId="0" applyFont="1" applyBorder="1" applyAlignment="1">
      <alignment horizontal="center" vertical="center"/>
    </xf>
    <xf numFmtId="0" fontId="59" fillId="12" borderId="2" xfId="0" applyFont="1" applyFill="1" applyBorder="1" applyAlignment="1">
      <alignment horizontal="center" vertical="center"/>
    </xf>
    <xf numFmtId="0" fontId="59" fillId="12" borderId="2" xfId="0" applyFont="1" applyFill="1" applyBorder="1" applyAlignment="1">
      <alignment horizontal="center" vertical="center" wrapText="1"/>
    </xf>
    <xf numFmtId="0" fontId="26" fillId="0" borderId="0" xfId="0" applyFont="1" applyAlignment="1">
      <alignment wrapText="1"/>
    </xf>
    <xf numFmtId="0" fontId="26" fillId="0" borderId="0" xfId="0" applyFont="1" applyFill="1" applyAlignment="1">
      <alignment horizontal="center" wrapText="1"/>
    </xf>
    <xf numFmtId="0" fontId="23" fillId="0" borderId="0" xfId="0" applyFont="1" applyAlignment="1">
      <alignment horizontal="center" wrapText="1"/>
    </xf>
    <xf numFmtId="0" fontId="36" fillId="19" borderId="2" xfId="0" applyFont="1" applyFill="1" applyBorder="1" applyAlignment="1">
      <alignment horizontal="center" vertical="center"/>
    </xf>
    <xf numFmtId="3" fontId="8" fillId="17" borderId="1" xfId="2" applyFont="1" applyFill="1" applyBorder="1" applyAlignment="1">
      <alignment vertical="center"/>
    </xf>
    <xf numFmtId="3" fontId="8" fillId="17" borderId="0" xfId="2" applyFont="1" applyFill="1" applyBorder="1" applyAlignment="1">
      <alignment vertical="center"/>
    </xf>
    <xf numFmtId="3" fontId="9" fillId="17" borderId="0" xfId="2" applyFont="1" applyFill="1" applyBorder="1" applyAlignment="1">
      <alignment vertical="center"/>
    </xf>
    <xf numFmtId="3" fontId="9" fillId="17" borderId="12" xfId="2" applyFont="1" applyFill="1" applyBorder="1" applyAlignment="1">
      <alignment vertical="center"/>
    </xf>
    <xf numFmtId="3" fontId="8" fillId="17" borderId="12" xfId="2" applyFont="1" applyFill="1" applyBorder="1" applyAlignment="1">
      <alignment vertical="center"/>
    </xf>
    <xf numFmtId="3" fontId="8" fillId="17" borderId="7" xfId="2" applyFont="1" applyFill="1" applyBorder="1" applyAlignment="1">
      <alignment vertical="center"/>
    </xf>
    <xf numFmtId="3" fontId="8" fillId="17" borderId="15" xfId="2" applyFont="1" applyFill="1" applyBorder="1" applyAlignment="1">
      <alignment vertical="center"/>
    </xf>
    <xf numFmtId="3" fontId="8" fillId="13" borderId="3" xfId="2" applyFont="1" applyFill="1" applyBorder="1" applyAlignment="1">
      <alignment vertical="center"/>
    </xf>
    <xf numFmtId="3" fontId="8" fillId="13" borderId="13" xfId="2" applyFont="1" applyFill="1" applyBorder="1" applyAlignment="1">
      <alignment vertical="center"/>
    </xf>
    <xf numFmtId="3" fontId="9" fillId="13" borderId="13" xfId="2" applyFont="1" applyFill="1" applyBorder="1" applyAlignment="1">
      <alignment vertical="center"/>
    </xf>
    <xf numFmtId="3" fontId="9" fillId="13" borderId="4" xfId="2" applyFont="1" applyFill="1" applyBorder="1" applyAlignment="1">
      <alignment vertical="center"/>
    </xf>
    <xf numFmtId="3" fontId="8" fillId="13" borderId="4" xfId="2" applyFont="1" applyFill="1" applyBorder="1" applyAlignment="1">
      <alignment vertical="center"/>
    </xf>
    <xf numFmtId="3" fontId="10" fillId="0" borderId="0" xfId="2" applyFont="1" applyAlignment="1">
      <alignment vertical="center"/>
    </xf>
    <xf numFmtId="3" fontId="9" fillId="17" borderId="9" xfId="2" applyFont="1" applyFill="1" applyBorder="1" applyAlignment="1">
      <alignment vertical="center"/>
    </xf>
    <xf numFmtId="3" fontId="9" fillId="17" borderId="11" xfId="2" applyFont="1" applyFill="1" applyBorder="1" applyAlignment="1">
      <alignmen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8" fillId="17" borderId="0" xfId="2" applyFont="1" applyFill="1" applyBorder="1" applyAlignment="1">
      <alignment horizontal="center" vertical="center"/>
    </xf>
    <xf numFmtId="3" fontId="48" fillId="17" borderId="12" xfId="2" applyFont="1" applyFill="1" applyBorder="1" applyAlignment="1">
      <alignment horizontal="center" vertical="center"/>
    </xf>
    <xf numFmtId="3" fontId="49" fillId="17" borderId="12" xfId="2" applyFont="1" applyFill="1" applyBorder="1" applyAlignment="1">
      <alignment horizontal="center" vertical="center"/>
    </xf>
    <xf numFmtId="3" fontId="8" fillId="17" borderId="9" xfId="2" applyFont="1" applyFill="1" applyBorder="1" applyAlignment="1">
      <alignment vertical="center"/>
    </xf>
    <xf numFmtId="3" fontId="8" fillId="17" borderId="10" xfId="2" applyFont="1" applyFill="1" applyBorder="1" applyAlignment="1">
      <alignment vertical="center"/>
    </xf>
    <xf numFmtId="3" fontId="8" fillId="17" borderId="5" xfId="2" applyFont="1" applyFill="1" applyBorder="1" applyAlignment="1">
      <alignment vertical="center"/>
    </xf>
    <xf numFmtId="3" fontId="9" fillId="17" borderId="6" xfId="2" applyFont="1" applyFill="1" applyBorder="1" applyAlignment="1">
      <alignment vertical="center"/>
    </xf>
    <xf numFmtId="3" fontId="8" fillId="0" borderId="0" xfId="2" applyFont="1" applyAlignment="1">
      <alignment horizontal="center" vertical="center"/>
    </xf>
    <xf numFmtId="3" fontId="36" fillId="17" borderId="6" xfId="2" applyFont="1" applyFill="1" applyBorder="1" applyAlignment="1">
      <alignment horizontal="center" vertical="center"/>
    </xf>
    <xf numFmtId="3" fontId="8" fillId="17" borderId="6" xfId="2" applyFont="1" applyFill="1" applyBorder="1" applyAlignment="1">
      <alignment vertical="center"/>
    </xf>
    <xf numFmtId="3" fontId="8" fillId="17" borderId="8" xfId="2" applyFont="1" applyFill="1" applyBorder="1" applyAlignment="1">
      <alignment vertical="center"/>
    </xf>
    <xf numFmtId="3" fontId="8" fillId="13" borderId="2" xfId="2" applyFont="1" applyFill="1" applyBorder="1" applyAlignment="1">
      <alignment vertical="center"/>
    </xf>
    <xf numFmtId="3" fontId="13" fillId="0" borderId="0" xfId="2" applyFont="1" applyAlignment="1">
      <alignment vertical="center"/>
    </xf>
    <xf numFmtId="3" fontId="10" fillId="0" borderId="0" xfId="2" applyFont="1"/>
    <xf numFmtId="3" fontId="8" fillId="0" borderId="0" xfId="2" applyFont="1"/>
    <xf numFmtId="3" fontId="8" fillId="17" borderId="9" xfId="2" applyFont="1" applyFill="1" applyBorder="1"/>
    <xf numFmtId="3" fontId="8" fillId="17" borderId="10" xfId="2" applyFont="1" applyFill="1" applyBorder="1"/>
    <xf numFmtId="3" fontId="9" fillId="17" borderId="11" xfId="2" applyFont="1" applyFill="1" applyBorder="1" applyAlignment="1">
      <alignment horizontal="center"/>
    </xf>
    <xf numFmtId="3" fontId="8" fillId="17" borderId="5" xfId="2" applyFont="1" applyFill="1" applyBorder="1"/>
    <xf numFmtId="3" fontId="9" fillId="17" borderId="12" xfId="2" applyFont="1" applyFill="1" applyBorder="1" applyAlignment="1">
      <alignment horizontal="center"/>
    </xf>
    <xf numFmtId="3" fontId="9" fillId="17" borderId="6" xfId="2" applyFont="1" applyFill="1" applyBorder="1" applyAlignment="1"/>
    <xf numFmtId="3" fontId="36" fillId="17" borderId="1" xfId="2" applyFont="1" applyFill="1" applyBorder="1" applyAlignment="1">
      <alignment horizontal="center"/>
    </xf>
    <xf numFmtId="3" fontId="36" fillId="17" borderId="0" xfId="2" applyFont="1" applyFill="1" applyBorder="1" applyAlignment="1">
      <alignment horizontal="center"/>
    </xf>
    <xf numFmtId="3" fontId="35" fillId="17" borderId="12" xfId="2" applyFont="1" applyFill="1" applyBorder="1" applyAlignment="1">
      <alignment horizontal="center"/>
    </xf>
    <xf numFmtId="3" fontId="36" fillId="17" borderId="6" xfId="2" applyFont="1" applyFill="1" applyBorder="1" applyAlignment="1">
      <alignment horizontal="center"/>
    </xf>
    <xf numFmtId="3" fontId="8" fillId="17" borderId="1" xfId="2" applyFont="1" applyFill="1" applyBorder="1"/>
    <xf numFmtId="3" fontId="8" fillId="17" borderId="0" xfId="2" applyFont="1" applyFill="1" applyBorder="1"/>
    <xf numFmtId="3" fontId="9" fillId="17" borderId="12" xfId="2" applyFont="1" applyFill="1" applyBorder="1"/>
    <xf numFmtId="3" fontId="8" fillId="17" borderId="6" xfId="2" applyFont="1" applyFill="1" applyBorder="1"/>
    <xf numFmtId="3" fontId="8" fillId="17" borderId="8" xfId="2" applyFont="1" applyFill="1" applyBorder="1"/>
    <xf numFmtId="3" fontId="8" fillId="13" borderId="3" xfId="2" applyFont="1" applyFill="1" applyBorder="1"/>
    <xf numFmtId="3" fontId="8" fillId="13" borderId="13" xfId="2" applyFont="1" applyFill="1" applyBorder="1"/>
    <xf numFmtId="3" fontId="9" fillId="13" borderId="4" xfId="2" applyFont="1" applyFill="1" applyBorder="1"/>
    <xf numFmtId="3" fontId="8" fillId="13" borderId="2" xfId="2" applyFont="1" applyFill="1" applyBorder="1"/>
    <xf numFmtId="3" fontId="8" fillId="0" borderId="0" xfId="2" applyFont="1" applyFill="1" applyBorder="1"/>
    <xf numFmtId="3" fontId="9" fillId="0" borderId="0" xfId="2" applyFont="1" applyFill="1" applyBorder="1"/>
    <xf numFmtId="3" fontId="13" fillId="0" borderId="0" xfId="2" applyFont="1"/>
    <xf numFmtId="3" fontId="26" fillId="0" borderId="0" xfId="2" applyFont="1" applyAlignment="1">
      <alignment horizontal="center" vertical="center"/>
    </xf>
    <xf numFmtId="3" fontId="9" fillId="17" borderId="5" xfId="2" applyFont="1" applyFill="1" applyBorder="1" applyAlignment="1">
      <alignment horizontal="center" vertical="center"/>
    </xf>
    <xf numFmtId="3" fontId="8" fillId="17" borderId="0" xfId="2" applyNumberFormat="1" applyFont="1" applyFill="1" applyBorder="1" applyAlignment="1">
      <alignment vertical="center"/>
    </xf>
    <xf numFmtId="3" fontId="8" fillId="13" borderId="13" xfId="2" applyNumberFormat="1" applyFont="1" applyFill="1" applyBorder="1" applyAlignment="1">
      <alignment vertical="center"/>
    </xf>
    <xf numFmtId="3" fontId="8" fillId="17" borderId="1" xfId="2" applyNumberFormat="1" applyFont="1" applyFill="1" applyBorder="1" applyAlignment="1">
      <alignment vertical="center"/>
    </xf>
    <xf numFmtId="3" fontId="8" fillId="13" borderId="3" xfId="2" applyNumberFormat="1" applyFont="1" applyFill="1" applyBorder="1" applyAlignment="1">
      <alignment vertical="center"/>
    </xf>
    <xf numFmtId="3" fontId="9" fillId="17" borderId="10" xfId="2" applyFont="1" applyFill="1" applyBorder="1" applyAlignment="1">
      <alignment vertical="center"/>
    </xf>
    <xf numFmtId="3" fontId="8" fillId="17" borderId="14" xfId="2" applyFont="1" applyFill="1" applyBorder="1" applyAlignment="1">
      <alignment vertical="center"/>
    </xf>
    <xf numFmtId="3" fontId="21" fillId="0" borderId="0" xfId="2" applyFont="1" applyAlignment="1">
      <alignment vertical="center"/>
    </xf>
    <xf numFmtId="1" fontId="49" fillId="17" borderId="0" xfId="0" applyNumberFormat="1" applyFont="1" applyFill="1" applyBorder="1" applyAlignment="1">
      <alignment horizontal="right" vertical="center"/>
    </xf>
    <xf numFmtId="3" fontId="8" fillId="17" borderId="11" xfId="2" applyFont="1" applyFill="1" applyBorder="1" applyAlignment="1">
      <alignment vertical="center"/>
    </xf>
    <xf numFmtId="3" fontId="27" fillId="23" borderId="5" xfId="2" applyFont="1" applyFill="1" applyBorder="1" applyAlignment="1">
      <alignment vertical="center"/>
    </xf>
    <xf numFmtId="3" fontId="9" fillId="0" borderId="5" xfId="2" applyFont="1" applyFill="1" applyBorder="1" applyAlignment="1">
      <alignment horizontal="center" vertical="center" wrapText="1"/>
    </xf>
    <xf numFmtId="3" fontId="8" fillId="3" borderId="2" xfId="2" applyFont="1" applyFill="1" applyBorder="1" applyAlignment="1">
      <alignment vertical="center" wrapText="1"/>
    </xf>
    <xf numFmtId="3" fontId="8" fillId="6" borderId="2" xfId="2" applyFont="1" applyFill="1" applyBorder="1" applyAlignment="1">
      <alignment vertical="center" wrapText="1"/>
    </xf>
    <xf numFmtId="3" fontId="8" fillId="3" borderId="4" xfId="2" applyFont="1" applyFill="1" applyBorder="1" applyAlignment="1">
      <alignment vertical="center" wrapText="1"/>
    </xf>
    <xf numFmtId="3" fontId="9" fillId="3" borderId="2" xfId="2" applyFont="1" applyFill="1" applyBorder="1" applyAlignment="1">
      <alignment vertical="center" wrapText="1"/>
    </xf>
    <xf numFmtId="3" fontId="9" fillId="6" borderId="2" xfId="2" applyFont="1" applyFill="1" applyBorder="1" applyAlignment="1">
      <alignment vertical="center" wrapText="1"/>
    </xf>
    <xf numFmtId="3" fontId="9" fillId="3" borderId="4" xfId="2" applyFont="1" applyFill="1" applyBorder="1" applyAlignment="1">
      <alignment vertical="center" wrapText="1"/>
    </xf>
    <xf numFmtId="3" fontId="8" fillId="4" borderId="2" xfId="2" applyFont="1" applyFill="1" applyBorder="1" applyAlignment="1">
      <alignment vertical="center" wrapText="1"/>
    </xf>
    <xf numFmtId="3" fontId="8" fillId="4" borderId="4" xfId="2" applyFont="1" applyFill="1" applyBorder="1" applyAlignment="1">
      <alignment vertical="center" wrapText="1"/>
    </xf>
    <xf numFmtId="3" fontId="9" fillId="4" borderId="2" xfId="2" applyFont="1" applyFill="1" applyBorder="1" applyAlignment="1">
      <alignment vertical="center" wrapText="1"/>
    </xf>
    <xf numFmtId="3" fontId="9" fillId="4" borderId="4" xfId="2" applyFont="1" applyFill="1" applyBorder="1" applyAlignment="1">
      <alignment vertical="center" wrapText="1"/>
    </xf>
    <xf numFmtId="3" fontId="38" fillId="5" borderId="2" xfId="2" applyFont="1" applyFill="1" applyBorder="1" applyAlignment="1">
      <alignment vertical="center" wrapText="1"/>
    </xf>
    <xf numFmtId="3" fontId="9" fillId="5" borderId="2" xfId="2" applyFont="1" applyFill="1" applyBorder="1" applyAlignment="1">
      <alignment vertical="center" wrapText="1"/>
    </xf>
    <xf numFmtId="0" fontId="8" fillId="24" borderId="2" xfId="0" applyFont="1" applyFill="1" applyBorder="1" applyAlignment="1">
      <alignment horizontal="center"/>
    </xf>
    <xf numFmtId="0" fontId="8" fillId="24" borderId="5" xfId="0" applyFont="1" applyFill="1" applyBorder="1" applyAlignment="1">
      <alignment horizontal="center"/>
    </xf>
    <xf numFmtId="0" fontId="8" fillId="16" borderId="9" xfId="0" applyFont="1" applyFill="1" applyBorder="1"/>
    <xf numFmtId="0" fontId="8" fillId="16" borderId="1" xfId="0" applyFont="1" applyFill="1" applyBorder="1"/>
    <xf numFmtId="0" fontId="8" fillId="16" borderId="7" xfId="0" applyFont="1" applyFill="1" applyBorder="1"/>
    <xf numFmtId="0" fontId="8" fillId="16" borderId="8" xfId="0" applyFont="1" applyFill="1" applyBorder="1"/>
    <xf numFmtId="9" fontId="12" fillId="16" borderId="8" xfId="0" applyNumberFormat="1" applyFont="1" applyFill="1" applyBorder="1"/>
    <xf numFmtId="0" fontId="8" fillId="16" borderId="5" xfId="0" applyFont="1" applyFill="1" applyBorder="1"/>
    <xf numFmtId="9" fontId="8" fillId="16" borderId="5" xfId="0" applyNumberFormat="1" applyFont="1" applyFill="1" applyBorder="1"/>
    <xf numFmtId="0" fontId="8" fillId="16" borderId="6" xfId="0" applyFont="1" applyFill="1" applyBorder="1"/>
    <xf numFmtId="9" fontId="8" fillId="16" borderId="6" xfId="0" applyNumberFormat="1" applyFont="1" applyFill="1" applyBorder="1"/>
    <xf numFmtId="3" fontId="8" fillId="16" borderId="12" xfId="0" applyNumberFormat="1" applyFont="1" applyFill="1" applyBorder="1"/>
    <xf numFmtId="3" fontId="8" fillId="16" borderId="15" xfId="0" applyNumberFormat="1" applyFont="1" applyFill="1" applyBorder="1"/>
    <xf numFmtId="9" fontId="8" fillId="16" borderId="8" xfId="0" applyNumberFormat="1" applyFont="1" applyFill="1" applyBorder="1"/>
    <xf numFmtId="3" fontId="8" fillId="16" borderId="0" xfId="0" applyNumberFormat="1" applyFont="1" applyFill="1" applyBorder="1"/>
    <xf numFmtId="3" fontId="8" fillId="16" borderId="14" xfId="0" applyNumberFormat="1" applyFont="1" applyFill="1" applyBorder="1"/>
    <xf numFmtId="0" fontId="9" fillId="24" borderId="5" xfId="0" applyFont="1" applyFill="1" applyBorder="1" applyAlignment="1">
      <alignment horizontal="left"/>
    </xf>
    <xf numFmtId="0" fontId="8" fillId="16" borderId="0" xfId="0" applyFont="1" applyFill="1" applyBorder="1"/>
    <xf numFmtId="0" fontId="8" fillId="16" borderId="14" xfId="0" applyFont="1" applyFill="1" applyBorder="1"/>
    <xf numFmtId="0" fontId="8" fillId="16" borderId="15" xfId="0" applyFont="1" applyFill="1" applyBorder="1"/>
    <xf numFmtId="0" fontId="8" fillId="16" borderId="10" xfId="0" applyFont="1" applyFill="1" applyBorder="1"/>
    <xf numFmtId="9" fontId="8" fillId="16" borderId="6" xfId="3" applyFont="1" applyFill="1" applyBorder="1"/>
    <xf numFmtId="9" fontId="8" fillId="16" borderId="8" xfId="3" applyFont="1" applyFill="1" applyBorder="1"/>
    <xf numFmtId="0" fontId="9" fillId="24" borderId="5" xfId="0" applyFont="1" applyFill="1" applyBorder="1"/>
    <xf numFmtId="0" fontId="8" fillId="24" borderId="6" xfId="0" applyFont="1" applyFill="1" applyBorder="1"/>
    <xf numFmtId="0" fontId="8" fillId="24" borderId="8" xfId="0" applyFont="1" applyFill="1" applyBorder="1" applyAlignment="1">
      <alignment horizontal="center"/>
    </xf>
    <xf numFmtId="1" fontId="8" fillId="16" borderId="0" xfId="0" applyNumberFormat="1" applyFont="1" applyFill="1" applyBorder="1"/>
    <xf numFmtId="1" fontId="8" fillId="16" borderId="14" xfId="0" applyNumberFormat="1" applyFont="1" applyFill="1" applyBorder="1"/>
    <xf numFmtId="1" fontId="8" fillId="16" borderId="9" xfId="0" applyNumberFormat="1" applyFont="1" applyFill="1" applyBorder="1"/>
    <xf numFmtId="1" fontId="8" fillId="16" borderId="1" xfId="0" applyNumberFormat="1" applyFont="1" applyFill="1" applyBorder="1"/>
    <xf numFmtId="1" fontId="8" fillId="16" borderId="7" xfId="0" applyNumberFormat="1" applyFont="1" applyFill="1" applyBorder="1"/>
    <xf numFmtId="3" fontId="8" fillId="16" borderId="5" xfId="0" applyNumberFormat="1" applyFont="1" applyFill="1" applyBorder="1"/>
    <xf numFmtId="9" fontId="8" fillId="16" borderId="12" xfId="3" applyFont="1" applyFill="1" applyBorder="1"/>
    <xf numFmtId="0" fontId="8" fillId="24" borderId="14" xfId="0" applyFont="1" applyFill="1" applyBorder="1" applyAlignment="1">
      <alignment horizontal="center" wrapText="1"/>
    </xf>
    <xf numFmtId="3" fontId="8" fillId="16" borderId="10" xfId="0" applyNumberFormat="1" applyFont="1" applyFill="1" applyBorder="1"/>
    <xf numFmtId="9" fontId="8" fillId="16" borderId="11" xfId="3" applyFont="1" applyFill="1" applyBorder="1"/>
    <xf numFmtId="0" fontId="8" fillId="24" borderId="11" xfId="0" applyFont="1" applyFill="1" applyBorder="1"/>
    <xf numFmtId="1" fontId="8" fillId="16" borderId="12" xfId="0" applyNumberFormat="1" applyFont="1" applyFill="1" applyBorder="1"/>
    <xf numFmtId="9" fontId="8" fillId="16" borderId="12" xfId="0" applyNumberFormat="1" applyFont="1" applyFill="1" applyBorder="1"/>
    <xf numFmtId="0" fontId="8" fillId="24" borderId="15" xfId="0" applyFont="1" applyFill="1" applyBorder="1" applyAlignment="1">
      <alignment horizontal="center"/>
    </xf>
    <xf numFmtId="0" fontId="8" fillId="24" borderId="5" xfId="0" applyFont="1" applyFill="1" applyBorder="1"/>
    <xf numFmtId="0" fontId="8" fillId="24" borderId="6" xfId="0" applyFont="1" applyFill="1" applyBorder="1" applyAlignment="1">
      <alignment horizontal="center"/>
    </xf>
    <xf numFmtId="9" fontId="8" fillId="16" borderId="15" xfId="3" applyFont="1" applyFill="1" applyBorder="1"/>
    <xf numFmtId="0" fontId="8" fillId="24" borderId="8" xfId="0" applyFont="1" applyFill="1" applyBorder="1" applyAlignment="1">
      <alignment horizontal="center" wrapText="1"/>
    </xf>
    <xf numFmtId="0" fontId="8" fillId="16" borderId="9" xfId="0" applyFont="1" applyFill="1" applyBorder="1" applyAlignment="1">
      <alignment horizontal="right"/>
    </xf>
    <xf numFmtId="0" fontId="8" fillId="16" borderId="1" xfId="0" applyFont="1" applyFill="1" applyBorder="1" applyAlignment="1">
      <alignment horizontal="right"/>
    </xf>
    <xf numFmtId="1" fontId="8" fillId="16" borderId="10" xfId="0" applyNumberFormat="1" applyFont="1" applyFill="1" applyBorder="1"/>
    <xf numFmtId="1" fontId="8" fillId="16" borderId="11" xfId="0" applyNumberFormat="1" applyFont="1" applyFill="1" applyBorder="1"/>
    <xf numFmtId="0" fontId="8" fillId="16" borderId="1" xfId="0" applyFont="1" applyFill="1" applyBorder="1" applyAlignment="1">
      <alignment horizontal="left"/>
    </xf>
    <xf numFmtId="1" fontId="8" fillId="16" borderId="15" xfId="0" applyNumberFormat="1" applyFont="1" applyFill="1" applyBorder="1"/>
    <xf numFmtId="0" fontId="8" fillId="16" borderId="6" xfId="0" applyFont="1" applyFill="1" applyBorder="1" applyAlignment="1">
      <alignment horizontal="right"/>
    </xf>
    <xf numFmtId="0" fontId="8" fillId="16" borderId="8" xfId="0" applyFont="1" applyFill="1" applyBorder="1" applyAlignment="1">
      <alignment horizontal="right"/>
    </xf>
    <xf numFmtId="9" fontId="8" fillId="16" borderId="11" xfId="0" applyNumberFormat="1" applyFont="1" applyFill="1" applyBorder="1"/>
    <xf numFmtId="3" fontId="12" fillId="16" borderId="8" xfId="0" applyNumberFormat="1" applyFont="1" applyFill="1" applyBorder="1"/>
    <xf numFmtId="0" fontId="8" fillId="24" borderId="2" xfId="0" applyFont="1" applyFill="1" applyBorder="1" applyAlignment="1">
      <alignment horizontal="center" wrapText="1"/>
    </xf>
    <xf numFmtId="0" fontId="8" fillId="24" borderId="12" xfId="0" applyFont="1" applyFill="1" applyBorder="1" applyAlignment="1">
      <alignment horizontal="center"/>
    </xf>
    <xf numFmtId="0" fontId="8" fillId="24" borderId="10" xfId="0" applyFont="1" applyFill="1" applyBorder="1" applyAlignment="1">
      <alignment horizontal="center"/>
    </xf>
    <xf numFmtId="0" fontId="8" fillId="24" borderId="11" xfId="0" applyFont="1" applyFill="1" applyBorder="1" applyAlignment="1">
      <alignment horizontal="center"/>
    </xf>
    <xf numFmtId="3" fontId="8" fillId="16" borderId="9" xfId="0" applyNumberFormat="1" applyFont="1" applyFill="1" applyBorder="1"/>
    <xf numFmtId="3" fontId="8" fillId="16" borderId="11" xfId="0" applyNumberFormat="1" applyFont="1" applyFill="1" applyBorder="1"/>
    <xf numFmtId="3" fontId="8" fillId="16" borderId="1" xfId="0" applyNumberFormat="1" applyFont="1" applyFill="1" applyBorder="1"/>
    <xf numFmtId="3" fontId="8" fillId="16" borderId="6" xfId="0" applyNumberFormat="1" applyFont="1" applyFill="1" applyBorder="1"/>
    <xf numFmtId="0" fontId="8" fillId="16" borderId="5" xfId="0" applyFont="1" applyFill="1" applyBorder="1" applyAlignment="1">
      <alignment horizontal="center"/>
    </xf>
    <xf numFmtId="0" fontId="8" fillId="16" borderId="1" xfId="0" applyFont="1" applyFill="1" applyBorder="1" applyAlignment="1">
      <alignment horizontal="center"/>
    </xf>
    <xf numFmtId="0" fontId="8" fillId="16" borderId="6" xfId="0" applyFont="1" applyFill="1" applyBorder="1" applyAlignment="1">
      <alignment horizontal="center"/>
    </xf>
    <xf numFmtId="0" fontId="8" fillId="16" borderId="7" xfId="0" applyFont="1" applyFill="1" applyBorder="1" applyAlignment="1"/>
    <xf numFmtId="0" fontId="8" fillId="16" borderId="14" xfId="0" applyFont="1" applyFill="1" applyBorder="1" applyAlignment="1"/>
    <xf numFmtId="0" fontId="8" fillId="16" borderId="15" xfId="0" applyFont="1" applyFill="1" applyBorder="1" applyAlignment="1"/>
    <xf numFmtId="0" fontId="8" fillId="16" borderId="6" xfId="0" applyFont="1" applyFill="1" applyBorder="1" applyAlignment="1"/>
    <xf numFmtId="9" fontId="8" fillId="16" borderId="9" xfId="0" applyNumberFormat="1" applyFont="1" applyFill="1" applyBorder="1"/>
    <xf numFmtId="9" fontId="8" fillId="16" borderId="1" xfId="0" applyNumberFormat="1" applyFont="1" applyFill="1" applyBorder="1"/>
    <xf numFmtId="3" fontId="8" fillId="16" borderId="8" xfId="0" applyNumberFormat="1" applyFont="1" applyFill="1" applyBorder="1"/>
    <xf numFmtId="9" fontId="8" fillId="16" borderId="7" xfId="0" applyNumberFormat="1" applyFont="1" applyFill="1" applyBorder="1"/>
    <xf numFmtId="0" fontId="8" fillId="24" borderId="13" xfId="0" applyFont="1" applyFill="1" applyBorder="1" applyAlignment="1">
      <alignment horizontal="center" wrapText="1"/>
    </xf>
    <xf numFmtId="3" fontId="8" fillId="16" borderId="7" xfId="0" applyNumberFormat="1" applyFont="1" applyFill="1" applyBorder="1"/>
    <xf numFmtId="0" fontId="8" fillId="24" borderId="9" xfId="0" applyFont="1" applyFill="1" applyBorder="1" applyAlignment="1">
      <alignment horizontal="center" wrapText="1"/>
    </xf>
    <xf numFmtId="0" fontId="8" fillId="24" borderId="10" xfId="0" applyFont="1" applyFill="1" applyBorder="1" applyAlignment="1">
      <alignment horizontal="center" wrapText="1"/>
    </xf>
    <xf numFmtId="9" fontId="8" fillId="16" borderId="10" xfId="0" applyNumberFormat="1" applyFont="1" applyFill="1" applyBorder="1"/>
    <xf numFmtId="9" fontId="8" fillId="16" borderId="0" xfId="0" applyNumberFormat="1" applyFont="1" applyFill="1" applyBorder="1"/>
    <xf numFmtId="9" fontId="8" fillId="16" borderId="14" xfId="0" applyNumberFormat="1" applyFont="1" applyFill="1" applyBorder="1"/>
    <xf numFmtId="0" fontId="8" fillId="16" borderId="8" xfId="0" applyFont="1" applyFill="1" applyBorder="1" applyAlignment="1">
      <alignment horizontal="center"/>
    </xf>
    <xf numFmtId="0" fontId="8" fillId="24" borderId="15" xfId="0" applyFont="1" applyFill="1" applyBorder="1" applyAlignment="1">
      <alignment horizontal="center" wrapText="1"/>
    </xf>
    <xf numFmtId="9" fontId="8" fillId="16" borderId="15" xfId="0" applyNumberFormat="1" applyFont="1" applyFill="1" applyBorder="1"/>
    <xf numFmtId="0" fontId="8" fillId="24" borderId="4" xfId="0" applyFont="1" applyFill="1" applyBorder="1" applyAlignment="1">
      <alignment horizontal="center" wrapText="1"/>
    </xf>
    <xf numFmtId="0" fontId="9" fillId="24" borderId="5" xfId="0" applyFont="1" applyFill="1" applyBorder="1" applyAlignment="1">
      <alignment vertical="top"/>
    </xf>
    <xf numFmtId="0" fontId="9" fillId="24" borderId="2" xfId="0" applyFont="1" applyFill="1" applyBorder="1" applyAlignment="1">
      <alignment vertical="top"/>
    </xf>
    <xf numFmtId="0" fontId="8" fillId="16" borderId="1" xfId="0" applyFont="1" applyFill="1" applyBorder="1" applyAlignment="1">
      <alignment vertical="center"/>
    </xf>
    <xf numFmtId="0" fontId="9" fillId="24" borderId="9" xfId="0" applyFont="1" applyFill="1" applyBorder="1" applyAlignment="1">
      <alignment wrapText="1"/>
    </xf>
    <xf numFmtId="0" fontId="8" fillId="24" borderId="5" xfId="0" applyFont="1" applyFill="1" applyBorder="1" applyAlignment="1">
      <alignment horizontal="center" wrapText="1"/>
    </xf>
    <xf numFmtId="0" fontId="8" fillId="24" borderId="8" xfId="0" applyFont="1" applyFill="1" applyBorder="1"/>
    <xf numFmtId="0" fontId="8" fillId="24" borderId="7" xfId="0" applyFont="1" applyFill="1" applyBorder="1" applyAlignment="1">
      <alignment horizontal="center" wrapText="1"/>
    </xf>
    <xf numFmtId="0" fontId="8" fillId="16" borderId="5" xfId="0" applyFont="1" applyFill="1" applyBorder="1" applyAlignment="1">
      <alignment horizontal="center" wrapText="1"/>
    </xf>
    <xf numFmtId="0" fontId="8" fillId="16" borderId="6" xfId="0" applyFont="1" applyFill="1" applyBorder="1" applyAlignment="1">
      <alignment horizontal="center" wrapText="1"/>
    </xf>
    <xf numFmtId="0" fontId="8" fillId="16" borderId="9" xfId="0" applyFont="1" applyFill="1" applyBorder="1" applyAlignment="1">
      <alignment horizontal="center"/>
    </xf>
    <xf numFmtId="0" fontId="9" fillId="24" borderId="6" xfId="0" applyFont="1" applyFill="1" applyBorder="1" applyAlignment="1">
      <alignment horizontal="center"/>
    </xf>
    <xf numFmtId="0" fontId="8" fillId="24" borderId="2" xfId="0" applyFont="1" applyFill="1" applyBorder="1"/>
    <xf numFmtId="10" fontId="8" fillId="24" borderId="4" xfId="0" applyNumberFormat="1" applyFont="1" applyFill="1" applyBorder="1"/>
    <xf numFmtId="0" fontId="8" fillId="16" borderId="7" xfId="0" applyFont="1" applyFill="1" applyBorder="1" applyAlignment="1">
      <alignment horizontal="left"/>
    </xf>
    <xf numFmtId="9" fontId="8" fillId="16" borderId="5" xfId="0" applyNumberFormat="1" applyFont="1" applyFill="1" applyBorder="1" applyAlignment="1">
      <alignment horizontal="center"/>
    </xf>
    <xf numFmtId="9" fontId="8" fillId="16" borderId="6" xfId="0" applyNumberFormat="1" applyFont="1" applyFill="1" applyBorder="1" applyAlignment="1">
      <alignment horizontal="center"/>
    </xf>
    <xf numFmtId="9" fontId="8" fillId="16" borderId="8" xfId="0" applyNumberFormat="1" applyFont="1" applyFill="1" applyBorder="1" applyAlignment="1">
      <alignment horizontal="center"/>
    </xf>
    <xf numFmtId="0" fontId="9" fillId="24" borderId="3" xfId="0" applyFont="1" applyFill="1" applyBorder="1" applyAlignment="1">
      <alignment horizontal="left"/>
    </xf>
    <xf numFmtId="0" fontId="8" fillId="16" borderId="7" xfId="0" applyFont="1" applyFill="1" applyBorder="1" applyAlignment="1">
      <alignment horizontal="right"/>
    </xf>
    <xf numFmtId="0" fontId="8" fillId="16" borderId="6" xfId="0" applyFont="1" applyFill="1" applyBorder="1" applyAlignment="1">
      <alignment vertical="center"/>
    </xf>
    <xf numFmtId="0" fontId="8" fillId="16" borderId="6" xfId="0" applyFont="1" applyFill="1" applyBorder="1" applyAlignment="1">
      <alignment vertical="center" wrapText="1"/>
    </xf>
    <xf numFmtId="0" fontId="8" fillId="16" borderId="1" xfId="0" applyFont="1" applyFill="1" applyBorder="1" applyAlignment="1">
      <alignment horizontal="center" wrapText="1"/>
    </xf>
    <xf numFmtId="0" fontId="8" fillId="16" borderId="8" xfId="0" applyFont="1" applyFill="1" applyBorder="1" applyAlignment="1">
      <alignment vertical="center" wrapText="1"/>
    </xf>
    <xf numFmtId="0" fontId="8" fillId="16" borderId="8" xfId="0" applyFont="1" applyFill="1" applyBorder="1" applyAlignment="1">
      <alignment horizontal="center" wrapText="1"/>
    </xf>
    <xf numFmtId="0" fontId="8" fillId="16" borderId="7" xfId="0" applyFont="1" applyFill="1" applyBorder="1" applyAlignment="1">
      <alignment horizontal="center" wrapText="1"/>
    </xf>
    <xf numFmtId="0" fontId="9" fillId="24" borderId="5" xfId="0" applyFont="1" applyFill="1" applyBorder="1" applyAlignment="1">
      <alignment horizontal="left" vertical="center" wrapText="1"/>
    </xf>
    <xf numFmtId="0" fontId="9" fillId="24" borderId="8" xfId="0" applyFont="1" applyFill="1" applyBorder="1" applyAlignment="1">
      <alignment horizontal="left" vertical="center" wrapText="1"/>
    </xf>
    <xf numFmtId="0" fontId="9" fillId="24" borderId="2" xfId="0" applyFont="1" applyFill="1" applyBorder="1" applyAlignment="1">
      <alignment vertical="center"/>
    </xf>
    <xf numFmtId="9" fontId="8" fillId="16" borderId="9" xfId="3" applyFont="1" applyFill="1" applyBorder="1"/>
    <xf numFmtId="9" fontId="8" fillId="16" borderId="1" xfId="3" applyFont="1" applyFill="1" applyBorder="1"/>
    <xf numFmtId="9" fontId="8" fillId="16" borderId="12" xfId="3" applyFont="1" applyFill="1" applyBorder="1" applyAlignment="1">
      <alignment horizontal="right"/>
    </xf>
    <xf numFmtId="9" fontId="8" fillId="16" borderId="7" xfId="3" applyFont="1" applyFill="1" applyBorder="1"/>
    <xf numFmtId="9" fontId="8" fillId="16" borderId="9" xfId="3" applyFont="1" applyFill="1" applyBorder="1" applyAlignment="1">
      <alignment horizontal="right"/>
    </xf>
    <xf numFmtId="9" fontId="8" fillId="16" borderId="11" xfId="3" applyFont="1" applyFill="1" applyBorder="1" applyAlignment="1">
      <alignment horizontal="right"/>
    </xf>
    <xf numFmtId="9" fontId="8" fillId="16" borderId="1" xfId="3" applyFont="1" applyFill="1" applyBorder="1" applyAlignment="1">
      <alignment horizontal="right"/>
    </xf>
    <xf numFmtId="9" fontId="8" fillId="16" borderId="7" xfId="3" applyFont="1" applyFill="1" applyBorder="1" applyAlignment="1">
      <alignment horizontal="right"/>
    </xf>
    <xf numFmtId="9" fontId="8" fillId="16" borderId="15" xfId="3" applyFont="1" applyFill="1" applyBorder="1" applyAlignment="1">
      <alignment horizontal="right"/>
    </xf>
    <xf numFmtId="0" fontId="8" fillId="24" borderId="6" xfId="0" applyFont="1" applyFill="1" applyBorder="1" applyAlignment="1">
      <alignment horizontal="center" vertical="top"/>
    </xf>
    <xf numFmtId="0" fontId="8" fillId="16" borderId="0" xfId="0" applyFont="1" applyFill="1" applyBorder="1" applyAlignment="1">
      <alignment vertical="center"/>
    </xf>
    <xf numFmtId="0" fontId="8" fillId="16" borderId="8" xfId="0" applyFont="1" applyFill="1" applyBorder="1" applyAlignment="1">
      <alignment vertical="center"/>
    </xf>
    <xf numFmtId="0" fontId="8" fillId="16" borderId="14" xfId="0" applyFont="1" applyFill="1" applyBorder="1" applyAlignment="1">
      <alignment vertical="center"/>
    </xf>
    <xf numFmtId="0" fontId="9" fillId="24" borderId="2" xfId="0" applyFont="1" applyFill="1" applyBorder="1"/>
    <xf numFmtId="0" fontId="19" fillId="24" borderId="2" xfId="0" applyFont="1" applyFill="1" applyBorder="1" applyAlignment="1">
      <alignment horizontal="center" wrapText="1"/>
    </xf>
    <xf numFmtId="0" fontId="8" fillId="24" borderId="6" xfId="0" applyFont="1" applyFill="1" applyBorder="1" applyAlignment="1">
      <alignment vertical="center"/>
    </xf>
    <xf numFmtId="1" fontId="8" fillId="16" borderId="0" xfId="0" applyNumberFormat="1" applyFont="1" applyFill="1" applyBorder="1" applyAlignment="1"/>
    <xf numFmtId="1" fontId="8" fillId="16" borderId="12" xfId="0" applyNumberFormat="1" applyFont="1" applyFill="1" applyBorder="1" applyAlignment="1"/>
    <xf numFmtId="1" fontId="8" fillId="16" borderId="11" xfId="0" applyNumberFormat="1" applyFont="1" applyFill="1" applyBorder="1" applyAlignment="1"/>
    <xf numFmtId="0" fontId="9" fillId="24" borderId="8" xfId="0" applyFont="1" applyFill="1" applyBorder="1" applyAlignment="1">
      <alignment horizontal="center"/>
    </xf>
    <xf numFmtId="0" fontId="9" fillId="24" borderId="9" xfId="0" applyNumberFormat="1" applyFont="1" applyFill="1" applyBorder="1" applyAlignment="1">
      <alignment vertical="top" wrapText="1"/>
    </xf>
    <xf numFmtId="0" fontId="8" fillId="24" borderId="16" xfId="0" applyNumberFormat="1" applyFont="1" applyFill="1" applyBorder="1" applyAlignment="1">
      <alignment horizontal="center" wrapText="1"/>
    </xf>
    <xf numFmtId="0" fontId="8" fillId="24" borderId="13" xfId="0" applyNumberFormat="1" applyFont="1" applyFill="1" applyBorder="1" applyAlignment="1">
      <alignment horizontal="center" wrapText="1"/>
    </xf>
    <xf numFmtId="0" fontId="8" fillId="24" borderId="4" xfId="0" applyNumberFormat="1" applyFont="1" applyFill="1" applyBorder="1" applyAlignment="1">
      <alignment horizontal="center" wrapText="1"/>
    </xf>
    <xf numFmtId="0" fontId="8" fillId="24" borderId="11" xfId="0" applyNumberFormat="1" applyFont="1" applyFill="1" applyBorder="1" applyAlignment="1">
      <alignment horizontal="center" wrapText="1"/>
    </xf>
    <xf numFmtId="0" fontId="8" fillId="24" borderId="17" xfId="0" applyNumberFormat="1" applyFont="1" applyFill="1" applyBorder="1" applyAlignment="1">
      <alignment horizontal="center" wrapText="1"/>
    </xf>
    <xf numFmtId="0" fontId="8" fillId="24" borderId="10" xfId="0" applyNumberFormat="1" applyFont="1" applyFill="1" applyBorder="1" applyAlignment="1">
      <alignment horizontal="center" wrapText="1"/>
    </xf>
    <xf numFmtId="1" fontId="8" fillId="16" borderId="9" xfId="0" applyNumberFormat="1" applyFont="1" applyFill="1" applyBorder="1" applyAlignment="1"/>
    <xf numFmtId="1" fontId="8" fillId="16" borderId="10" xfId="0" applyNumberFormat="1" applyFont="1" applyFill="1" applyBorder="1" applyAlignment="1"/>
    <xf numFmtId="1" fontId="8" fillId="16" borderId="1" xfId="0" applyNumberFormat="1" applyFont="1" applyFill="1" applyBorder="1" applyAlignment="1"/>
    <xf numFmtId="0" fontId="9" fillId="24" borderId="2" xfId="0" applyFont="1" applyFill="1" applyBorder="1" applyAlignment="1">
      <alignment horizontal="left" wrapText="1"/>
    </xf>
    <xf numFmtId="4" fontId="8" fillId="16" borderId="5" xfId="0" applyNumberFormat="1" applyFont="1" applyFill="1" applyBorder="1"/>
    <xf numFmtId="4" fontId="8" fillId="16" borderId="6" xfId="0" applyNumberFormat="1" applyFont="1" applyFill="1" applyBorder="1"/>
    <xf numFmtId="0" fontId="9" fillId="24" borderId="2" xfId="0" applyFont="1" applyFill="1" applyBorder="1" applyAlignment="1">
      <alignment horizontal="left" vertical="top" wrapText="1"/>
    </xf>
    <xf numFmtId="9" fontId="8" fillId="16" borderId="10" xfId="3" applyFont="1" applyFill="1" applyBorder="1"/>
    <xf numFmtId="0" fontId="9" fillId="24" borderId="3" xfId="0" applyFont="1" applyFill="1" applyBorder="1" applyAlignment="1">
      <alignment horizontal="left" vertical="top" wrapText="1"/>
    </xf>
    <xf numFmtId="0" fontId="9" fillId="15" borderId="2" xfId="0" applyFont="1" applyFill="1" applyBorder="1" applyAlignment="1">
      <alignment horizontal="center" vertical="center"/>
    </xf>
    <xf numFmtId="0" fontId="8" fillId="29" borderId="2" xfId="0" applyFont="1" applyFill="1" applyBorder="1" applyAlignment="1">
      <alignment horizontal="center" vertical="center"/>
    </xf>
    <xf numFmtId="0" fontId="8" fillId="29" borderId="9" xfId="0" applyFont="1" applyFill="1" applyBorder="1" applyAlignment="1">
      <alignment vertical="center"/>
    </xf>
    <xf numFmtId="0" fontId="8" fillId="29" borderId="11" xfId="0" applyFont="1" applyFill="1" applyBorder="1" applyAlignment="1">
      <alignment vertical="center"/>
    </xf>
    <xf numFmtId="0" fontId="8" fillId="29" borderId="1" xfId="0" applyFont="1" applyFill="1" applyBorder="1" applyAlignment="1">
      <alignment vertical="center"/>
    </xf>
    <xf numFmtId="0" fontId="8" fillId="29" borderId="12" xfId="0" applyFont="1" applyFill="1" applyBorder="1" applyAlignment="1">
      <alignment vertical="center"/>
    </xf>
    <xf numFmtId="0" fontId="8" fillId="29" borderId="7" xfId="0" applyFont="1" applyFill="1" applyBorder="1" applyAlignment="1">
      <alignment vertical="center"/>
    </xf>
    <xf numFmtId="0" fontId="8" fillId="29" borderId="15" xfId="0" applyFont="1" applyFill="1" applyBorder="1" applyAlignment="1">
      <alignment vertical="center"/>
    </xf>
    <xf numFmtId="0" fontId="10" fillId="29" borderId="15" xfId="0" applyFont="1" applyFill="1" applyBorder="1" applyAlignment="1">
      <alignment vertical="center"/>
    </xf>
    <xf numFmtId="0" fontId="10" fillId="29" borderId="7" xfId="0" applyFont="1" applyFill="1" applyBorder="1" applyAlignment="1">
      <alignment vertical="center"/>
    </xf>
    <xf numFmtId="3" fontId="8" fillId="5" borderId="2" xfId="2" applyFont="1" applyFill="1" applyBorder="1" applyAlignment="1">
      <alignment vertical="center" wrapText="1"/>
    </xf>
    <xf numFmtId="3" fontId="8" fillId="3" borderId="2" xfId="2" applyFont="1" applyFill="1" applyBorder="1" applyAlignment="1">
      <alignment wrapText="1"/>
    </xf>
    <xf numFmtId="3" fontId="8" fillId="6" borderId="2" xfId="2" applyFont="1" applyFill="1" applyBorder="1" applyAlignment="1">
      <alignment wrapText="1"/>
    </xf>
    <xf numFmtId="3" fontId="8" fillId="3" borderId="4" xfId="2" applyFont="1" applyFill="1" applyBorder="1" applyAlignment="1">
      <alignment wrapText="1"/>
    </xf>
    <xf numFmtId="3" fontId="9" fillId="3" borderId="2" xfId="2" applyFont="1" applyFill="1" applyBorder="1" applyAlignment="1">
      <alignment wrapText="1"/>
    </xf>
    <xf numFmtId="3" fontId="9" fillId="6" borderId="2" xfId="2" applyFont="1" applyFill="1" applyBorder="1" applyAlignment="1">
      <alignment wrapText="1"/>
    </xf>
    <xf numFmtId="3" fontId="9" fillId="3" borderId="4" xfId="2" applyFont="1" applyFill="1" applyBorder="1" applyAlignment="1">
      <alignment wrapText="1"/>
    </xf>
    <xf numFmtId="3" fontId="8" fillId="4" borderId="2" xfId="2" applyFont="1" applyFill="1" applyBorder="1" applyAlignment="1">
      <alignment wrapText="1"/>
    </xf>
    <xf numFmtId="3" fontId="8" fillId="4" borderId="4" xfId="2" applyFont="1" applyFill="1" applyBorder="1" applyAlignment="1">
      <alignment wrapText="1"/>
    </xf>
    <xf numFmtId="3" fontId="9" fillId="4" borderId="2" xfId="2" applyFont="1" applyFill="1" applyBorder="1" applyAlignment="1">
      <alignment wrapText="1"/>
    </xf>
    <xf numFmtId="3" fontId="9" fillId="4" borderId="4" xfId="2" applyFont="1" applyFill="1" applyBorder="1" applyAlignment="1">
      <alignment wrapText="1"/>
    </xf>
    <xf numFmtId="3" fontId="38" fillId="5" borderId="2" xfId="2" applyFont="1" applyFill="1" applyBorder="1" applyAlignment="1">
      <alignment wrapText="1"/>
    </xf>
    <xf numFmtId="3" fontId="9" fillId="5" borderId="2" xfId="2" applyFont="1" applyFill="1" applyBorder="1" applyAlignment="1">
      <alignment wrapText="1"/>
    </xf>
    <xf numFmtId="3" fontId="38" fillId="5" borderId="4" xfId="2" applyFont="1" applyFill="1" applyBorder="1" applyAlignment="1">
      <alignment vertical="center" wrapText="1"/>
    </xf>
    <xf numFmtId="3" fontId="8" fillId="19" borderId="2" xfId="2" applyFont="1" applyFill="1" applyBorder="1" applyAlignment="1">
      <alignment vertical="center"/>
    </xf>
    <xf numFmtId="9" fontId="8" fillId="0" borderId="2" xfId="3" applyFont="1" applyFill="1" applyBorder="1"/>
    <xf numFmtId="9" fontId="10" fillId="0" borderId="0" xfId="3" applyFont="1" applyAlignment="1">
      <alignment vertical="center"/>
    </xf>
    <xf numFmtId="9" fontId="8" fillId="17" borderId="10" xfId="3" applyFont="1" applyFill="1" applyBorder="1" applyAlignment="1">
      <alignment horizontal="center" vertical="center"/>
    </xf>
    <xf numFmtId="9" fontId="8" fillId="17" borderId="0" xfId="3" applyFont="1" applyFill="1" applyBorder="1" applyAlignment="1">
      <alignment horizontal="center" vertical="center"/>
    </xf>
    <xf numFmtId="9" fontId="8" fillId="17" borderId="0" xfId="3" applyFont="1" applyFill="1" applyBorder="1" applyAlignment="1">
      <alignment vertical="center"/>
    </xf>
    <xf numFmtId="9" fontId="8" fillId="13" borderId="13" xfId="3" applyFont="1" applyFill="1" applyBorder="1" applyAlignment="1">
      <alignment vertical="center"/>
    </xf>
    <xf numFmtId="9" fontId="8" fillId="17" borderId="14" xfId="3" applyFont="1" applyFill="1" applyBorder="1" applyAlignment="1">
      <alignment vertical="center"/>
    </xf>
    <xf numFmtId="9" fontId="8" fillId="17" borderId="0" xfId="3" applyFont="1" applyFill="1" applyAlignment="1">
      <alignment vertical="center"/>
    </xf>
    <xf numFmtId="9" fontId="13" fillId="0" borderId="0" xfId="3" applyFont="1" applyAlignment="1">
      <alignment vertical="center"/>
    </xf>
    <xf numFmtId="9" fontId="8" fillId="17" borderId="1" xfId="3" applyFont="1" applyFill="1" applyBorder="1" applyAlignment="1">
      <alignment vertical="center"/>
    </xf>
    <xf numFmtId="9" fontId="40" fillId="0" borderId="14" xfId="3" applyFont="1" applyBorder="1" applyAlignment="1" applyProtection="1">
      <alignment vertical="center"/>
    </xf>
    <xf numFmtId="9" fontId="8" fillId="17" borderId="0" xfId="3" applyFont="1" applyFill="1" applyBorder="1" applyAlignment="1">
      <alignment horizontal="center"/>
    </xf>
    <xf numFmtId="9" fontId="8" fillId="17" borderId="0" xfId="3" applyFont="1" applyFill="1" applyBorder="1"/>
    <xf numFmtId="9" fontId="8" fillId="13" borderId="13" xfId="3" applyFont="1" applyFill="1" applyBorder="1"/>
    <xf numFmtId="9" fontId="10" fillId="0" borderId="0" xfId="3" applyFont="1"/>
    <xf numFmtId="165" fontId="8" fillId="13" borderId="13" xfId="2" applyNumberFormat="1" applyFont="1" applyFill="1" applyBorder="1" applyAlignment="1">
      <alignment vertical="center"/>
    </xf>
    <xf numFmtId="3" fontId="8" fillId="0" borderId="2" xfId="2" applyFont="1" applyFill="1" applyBorder="1" applyAlignment="1">
      <alignment vertical="center" wrapText="1"/>
    </xf>
    <xf numFmtId="3" fontId="8" fillId="0" borderId="4" xfId="2" applyFont="1" applyFill="1" applyBorder="1" applyAlignment="1">
      <alignment vertical="center" wrapText="1"/>
    </xf>
    <xf numFmtId="3" fontId="27" fillId="24" borderId="2" xfId="2" applyNumberFormat="1" applyFont="1" applyFill="1" applyBorder="1" applyAlignment="1">
      <alignment vertical="center"/>
    </xf>
    <xf numFmtId="183" fontId="32" fillId="0" borderId="0" xfId="0" applyNumberFormat="1" applyFont="1" applyFill="1" applyBorder="1" applyAlignment="1">
      <alignment vertical="center"/>
    </xf>
    <xf numFmtId="0" fontId="58" fillId="0" borderId="0" xfId="0" applyFont="1" applyAlignment="1">
      <alignment vertical="center"/>
    </xf>
    <xf numFmtId="4" fontId="58" fillId="22" borderId="4" xfId="0" applyNumberFormat="1" applyFont="1" applyFill="1" applyBorder="1" applyAlignment="1">
      <alignment vertical="center"/>
    </xf>
    <xf numFmtId="0" fontId="26" fillId="0" borderId="0" xfId="0" applyFont="1" applyAlignment="1">
      <alignment horizontal="left" vertical="center"/>
    </xf>
    <xf numFmtId="0" fontId="8" fillId="29" borderId="10" xfId="0" applyFont="1" applyFill="1" applyBorder="1" applyAlignment="1">
      <alignment vertical="center"/>
    </xf>
    <xf numFmtId="0" fontId="8" fillId="29" borderId="0" xfId="0" applyFont="1" applyFill="1" applyBorder="1" applyAlignment="1">
      <alignment vertical="center"/>
    </xf>
    <xf numFmtId="0" fontId="8" fillId="29" borderId="14" xfId="0" applyFont="1" applyFill="1" applyBorder="1" applyAlignment="1">
      <alignment vertical="center"/>
    </xf>
    <xf numFmtId="0" fontId="10" fillId="29" borderId="14" xfId="0" applyFont="1" applyFill="1" applyBorder="1" applyAlignment="1">
      <alignment vertical="center"/>
    </xf>
    <xf numFmtId="3" fontId="8" fillId="0" borderId="2" xfId="0" applyNumberFormat="1" applyFont="1" applyFill="1" applyBorder="1" applyAlignment="1"/>
    <xf numFmtId="184" fontId="8" fillId="0" borderId="0" xfId="0" applyNumberFormat="1" applyFont="1" applyAlignment="1">
      <alignment vertical="center"/>
    </xf>
    <xf numFmtId="1" fontId="8" fillId="0" borderId="22" xfId="0" applyNumberFormat="1" applyFont="1" applyFill="1" applyBorder="1" applyAlignment="1">
      <alignment vertical="center"/>
    </xf>
    <xf numFmtId="3" fontId="12" fillId="17" borderId="13" xfId="0" applyNumberFormat="1" applyFont="1" applyFill="1" applyBorder="1" applyAlignment="1">
      <alignment horizontal="center" vertical="center"/>
    </xf>
    <xf numFmtId="169" fontId="8" fillId="0" borderId="20" xfId="0" applyNumberFormat="1" applyFont="1" applyFill="1" applyBorder="1" applyAlignment="1">
      <alignment horizontal="center" vertical="center"/>
    </xf>
    <xf numFmtId="169" fontId="8" fillId="0" borderId="21" xfId="0" applyNumberFormat="1" applyFont="1" applyFill="1" applyBorder="1" applyAlignment="1">
      <alignment horizontal="center" vertical="center"/>
    </xf>
    <xf numFmtId="169" fontId="8" fillId="0" borderId="22" xfId="0" applyNumberFormat="1" applyFont="1" applyFill="1" applyBorder="1" applyAlignment="1">
      <alignment horizontal="center" vertical="center"/>
    </xf>
    <xf numFmtId="0" fontId="36" fillId="19" borderId="2" xfId="0" applyFont="1" applyFill="1" applyBorder="1" applyAlignment="1">
      <alignment horizontal="center" vertical="center"/>
    </xf>
    <xf numFmtId="3" fontId="45" fillId="0" borderId="0" xfId="0" applyNumberFormat="1" applyFont="1" applyAlignment="1">
      <alignment vertical="center"/>
    </xf>
    <xf numFmtId="3" fontId="56" fillId="33" borderId="2" xfId="2" applyFont="1" applyFill="1" applyBorder="1" applyAlignment="1">
      <alignment vertical="center" wrapText="1"/>
    </xf>
    <xf numFmtId="3" fontId="8" fillId="35" borderId="2" xfId="2" applyFont="1" applyFill="1" applyBorder="1" applyAlignment="1">
      <alignment vertical="center" wrapText="1"/>
    </xf>
    <xf numFmtId="0" fontId="8" fillId="36" borderId="2" xfId="0" applyFont="1" applyFill="1" applyBorder="1" applyAlignment="1">
      <alignment horizontal="center" vertical="center" wrapText="1"/>
    </xf>
    <xf numFmtId="3" fontId="8" fillId="36" borderId="2" xfId="2" applyFont="1" applyFill="1" applyBorder="1" applyAlignment="1">
      <alignment vertical="center" wrapText="1"/>
    </xf>
    <xf numFmtId="3" fontId="8" fillId="37" borderId="2" xfId="2" applyFont="1" applyFill="1" applyBorder="1" applyAlignment="1">
      <alignment vertical="center" wrapText="1"/>
    </xf>
    <xf numFmtId="3" fontId="8" fillId="37" borderId="4" xfId="2" applyFont="1" applyFill="1" applyBorder="1" applyAlignment="1">
      <alignment vertical="center" wrapText="1"/>
    </xf>
    <xf numFmtId="3" fontId="8" fillId="31" borderId="2" xfId="2" applyFont="1" applyFill="1" applyBorder="1" applyAlignment="1">
      <alignment vertical="center" wrapText="1"/>
    </xf>
    <xf numFmtId="3" fontId="56" fillId="32" borderId="2" xfId="2" applyFont="1" applyFill="1" applyBorder="1" applyAlignment="1">
      <alignment vertical="center" wrapText="1"/>
    </xf>
    <xf numFmtId="3" fontId="56" fillId="38" borderId="4" xfId="2" applyFont="1" applyFill="1" applyBorder="1" applyAlignment="1">
      <alignment vertical="center" wrapText="1"/>
    </xf>
    <xf numFmtId="0" fontId="8" fillId="36" borderId="2" xfId="0" quotePrefix="1" applyNumberFormat="1" applyFont="1" applyFill="1" applyBorder="1" applyAlignment="1">
      <alignment horizontal="center" vertical="center" wrapText="1"/>
    </xf>
    <xf numFmtId="0" fontId="8" fillId="36" borderId="2" xfId="0" quotePrefix="1" applyFont="1" applyFill="1" applyBorder="1" applyAlignment="1">
      <alignment horizontal="center" vertical="center" wrapText="1"/>
    </xf>
    <xf numFmtId="3" fontId="56" fillId="39" borderId="2" xfId="2" applyFont="1" applyFill="1" applyBorder="1" applyAlignment="1">
      <alignment vertical="center" wrapText="1"/>
    </xf>
    <xf numFmtId="3" fontId="9" fillId="34" borderId="2" xfId="2" applyFont="1" applyFill="1" applyBorder="1" applyAlignment="1">
      <alignment vertical="center" wrapText="1"/>
    </xf>
    <xf numFmtId="0" fontId="56" fillId="30" borderId="5" xfId="0" applyFont="1" applyFill="1" applyBorder="1" applyAlignment="1">
      <alignment horizontal="center" vertical="center" wrapText="1"/>
    </xf>
    <xf numFmtId="0" fontId="62" fillId="30" borderId="2" xfId="0" applyFont="1" applyFill="1" applyBorder="1" applyAlignment="1">
      <alignment horizontal="center" vertical="center" wrapText="1"/>
    </xf>
    <xf numFmtId="0" fontId="56" fillId="30" borderId="2" xfId="0" applyFont="1" applyFill="1" applyBorder="1" applyAlignment="1">
      <alignment horizontal="center" vertical="center" wrapText="1"/>
    </xf>
    <xf numFmtId="0" fontId="56" fillId="30" borderId="3" xfId="0" applyFont="1" applyFill="1" applyBorder="1" applyAlignment="1">
      <alignment horizontal="center" vertical="center" wrapText="1"/>
    </xf>
    <xf numFmtId="0" fontId="0" fillId="0" borderId="0" xfId="0" applyAlignment="1">
      <alignment vertical="center"/>
    </xf>
    <xf numFmtId="9" fontId="8" fillId="0" borderId="24" xfId="0" applyNumberFormat="1" applyFont="1" applyBorder="1" applyAlignment="1">
      <alignment horizontal="center" vertical="center"/>
    </xf>
    <xf numFmtId="9" fontId="8" fillId="0" borderId="23" xfId="0" applyNumberFormat="1" applyFont="1" applyBorder="1" applyAlignment="1">
      <alignment horizontal="center" vertical="center"/>
    </xf>
    <xf numFmtId="0" fontId="8" fillId="0" borderId="2" xfId="0" applyFont="1" applyBorder="1" applyAlignment="1">
      <alignment horizontal="center" vertical="center"/>
    </xf>
    <xf numFmtId="3" fontId="26" fillId="0" borderId="14" xfId="2" applyFont="1" applyBorder="1" applyAlignment="1">
      <alignment vertical="center"/>
    </xf>
    <xf numFmtId="0" fontId="8" fillId="4" borderId="2" xfId="0" applyFont="1" applyFill="1" applyBorder="1" applyAlignment="1">
      <alignment vertical="center"/>
    </xf>
    <xf numFmtId="3" fontId="8" fillId="36" borderId="2" xfId="0" quotePrefix="1" applyNumberFormat="1" applyFont="1" applyFill="1" applyBorder="1" applyAlignment="1">
      <alignment horizontal="center" vertical="center" wrapText="1"/>
    </xf>
    <xf numFmtId="3" fontId="8" fillId="36" borderId="3" xfId="0" applyNumberFormat="1" applyFont="1" applyFill="1" applyBorder="1" applyAlignment="1">
      <alignment vertical="center" wrapText="1"/>
    </xf>
    <xf numFmtId="3" fontId="8" fillId="36" borderId="2" xfId="2" applyNumberFormat="1" applyFont="1" applyFill="1" applyBorder="1" applyAlignment="1">
      <alignment vertical="center" wrapText="1"/>
    </xf>
    <xf numFmtId="3" fontId="9" fillId="34" borderId="2" xfId="2" applyNumberFormat="1" applyFont="1" applyFill="1" applyBorder="1" applyAlignment="1">
      <alignment vertical="center" wrapText="1"/>
    </xf>
    <xf numFmtId="3" fontId="8" fillId="35" borderId="2" xfId="2" applyNumberFormat="1" applyFont="1" applyFill="1" applyBorder="1" applyAlignment="1">
      <alignment vertical="center" wrapText="1"/>
    </xf>
    <xf numFmtId="3" fontId="8" fillId="37" borderId="4" xfId="2" applyNumberFormat="1" applyFont="1" applyFill="1" applyBorder="1" applyAlignment="1">
      <alignment vertical="center" wrapText="1"/>
    </xf>
    <xf numFmtId="3" fontId="56" fillId="33" borderId="2" xfId="2" applyNumberFormat="1" applyFont="1" applyFill="1" applyBorder="1" applyAlignment="1">
      <alignment vertical="center" wrapText="1"/>
    </xf>
    <xf numFmtId="3" fontId="56" fillId="39" borderId="2" xfId="2" applyNumberFormat="1" applyFont="1" applyFill="1" applyBorder="1" applyAlignment="1">
      <alignment vertical="center" wrapText="1"/>
    </xf>
    <xf numFmtId="3" fontId="56" fillId="32" borderId="2" xfId="2" applyNumberFormat="1" applyFont="1" applyFill="1" applyBorder="1" applyAlignment="1">
      <alignment vertical="center" wrapText="1"/>
    </xf>
    <xf numFmtId="3" fontId="56" fillId="38" borderId="4" xfId="2" applyNumberFormat="1" applyFont="1" applyFill="1" applyBorder="1" applyAlignment="1">
      <alignment vertical="center" wrapText="1"/>
    </xf>
    <xf numFmtId="3" fontId="8" fillId="36" borderId="3" xfId="0" applyNumberFormat="1" applyFont="1" applyFill="1" applyBorder="1" applyAlignment="1">
      <alignment vertical="center"/>
    </xf>
    <xf numFmtId="3" fontId="8" fillId="36" borderId="2" xfId="0" applyNumberFormat="1" applyFont="1" applyFill="1" applyBorder="1" applyAlignment="1">
      <alignment horizontal="center" vertical="center" wrapText="1"/>
    </xf>
    <xf numFmtId="3" fontId="9" fillId="40" borderId="1" xfId="2" applyFont="1" applyFill="1" applyBorder="1" applyAlignment="1">
      <alignment horizontal="center" vertical="center"/>
    </xf>
    <xf numFmtId="3" fontId="9" fillId="40" borderId="0"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0" xfId="2" applyFont="1" applyFill="1" applyBorder="1" applyAlignment="1">
      <alignment horizontal="center" vertical="center"/>
    </xf>
    <xf numFmtId="3" fontId="8" fillId="40" borderId="1" xfId="2" applyFont="1" applyFill="1" applyBorder="1" applyAlignment="1">
      <alignment vertical="center"/>
    </xf>
    <xf numFmtId="3" fontId="8" fillId="40" borderId="0" xfId="2" applyFont="1" applyFill="1" applyBorder="1" applyAlignment="1">
      <alignment vertical="center"/>
    </xf>
    <xf numFmtId="3" fontId="9" fillId="40" borderId="12" xfId="2" applyFont="1" applyFill="1" applyBorder="1" applyAlignment="1">
      <alignment vertical="center"/>
    </xf>
    <xf numFmtId="3" fontId="8" fillId="10" borderId="3" xfId="2" applyFont="1" applyFill="1" applyBorder="1" applyAlignment="1">
      <alignment vertical="center"/>
    </xf>
    <xf numFmtId="3" fontId="8" fillId="10" borderId="13" xfId="2" applyFont="1" applyFill="1" applyBorder="1" applyAlignment="1">
      <alignment vertical="center"/>
    </xf>
    <xf numFmtId="3" fontId="9" fillId="10" borderId="4" xfId="2" applyFont="1" applyFill="1" applyBorder="1" applyAlignment="1">
      <alignment vertical="center"/>
    </xf>
    <xf numFmtId="3" fontId="9" fillId="10" borderId="13" xfId="2" applyFont="1" applyFill="1" applyBorder="1" applyAlignment="1">
      <alignment vertical="center"/>
    </xf>
    <xf numFmtId="3" fontId="8" fillId="10" borderId="4" xfId="2" applyFont="1" applyFill="1" applyBorder="1" applyAlignment="1">
      <alignment vertical="center"/>
    </xf>
    <xf numFmtId="3" fontId="9" fillId="40" borderId="11" xfId="2" applyFont="1" applyFill="1" applyBorder="1" applyAlignment="1">
      <alignment vertical="center"/>
    </xf>
    <xf numFmtId="3" fontId="9" fillId="40" borderId="0" xfId="2" applyFont="1" applyFill="1" applyBorder="1" applyAlignment="1">
      <alignment vertical="center"/>
    </xf>
    <xf numFmtId="3" fontId="8" fillId="40" borderId="12" xfId="2" applyFont="1" applyFill="1" applyBorder="1" applyAlignment="1">
      <alignment vertical="center"/>
    </xf>
    <xf numFmtId="3" fontId="8" fillId="40" borderId="7" xfId="2" applyFont="1" applyFill="1" applyBorder="1" applyAlignment="1">
      <alignment vertical="center"/>
    </xf>
    <xf numFmtId="3" fontId="8" fillId="40" borderId="15" xfId="2" applyFont="1" applyFill="1" applyBorder="1" applyAlignment="1">
      <alignment vertical="center"/>
    </xf>
    <xf numFmtId="0" fontId="9" fillId="15" borderId="2" xfId="0" applyFont="1" applyFill="1" applyBorder="1" applyAlignment="1">
      <alignment vertical="center"/>
    </xf>
    <xf numFmtId="0" fontId="8" fillId="29" borderId="5" xfId="0" applyFont="1" applyFill="1" applyBorder="1" applyAlignment="1">
      <alignment vertical="center"/>
    </xf>
    <xf numFmtId="0" fontId="8" fillId="29" borderId="6" xfId="0" applyFont="1" applyFill="1" applyBorder="1" applyAlignment="1">
      <alignment vertical="center"/>
    </xf>
    <xf numFmtId="0" fontId="8" fillId="29" borderId="8" xfId="0" applyFont="1" applyFill="1" applyBorder="1" applyAlignment="1">
      <alignment vertical="center"/>
    </xf>
    <xf numFmtId="4" fontId="10" fillId="0" borderId="0" xfId="0" applyNumberFormat="1" applyFont="1" applyAlignment="1">
      <alignment vertical="center"/>
    </xf>
    <xf numFmtId="0" fontId="8" fillId="24" borderId="8" xfId="0" applyFont="1" applyFill="1" applyBorder="1" applyAlignment="1">
      <alignment horizontal="center" wrapText="1"/>
    </xf>
    <xf numFmtId="0" fontId="8" fillId="24" borderId="5" xfId="0" applyFont="1" applyFill="1" applyBorder="1" applyAlignment="1">
      <alignment horizontal="center" wrapText="1"/>
    </xf>
    <xf numFmtId="0" fontId="10" fillId="0" borderId="0" xfId="0" applyFont="1" applyAlignment="1">
      <alignment vertical="center" wrapText="1"/>
    </xf>
    <xf numFmtId="0" fontId="8" fillId="24" borderId="11" xfId="0" applyFont="1" applyFill="1" applyBorder="1" applyAlignment="1">
      <alignment horizontal="center" wrapText="1"/>
    </xf>
    <xf numFmtId="0" fontId="8" fillId="24" borderId="1" xfId="0" applyFont="1" applyFill="1" applyBorder="1" applyAlignment="1">
      <alignment wrapText="1"/>
    </xf>
    <xf numFmtId="0" fontId="8" fillId="24" borderId="12" xfId="0" applyFont="1" applyFill="1" applyBorder="1" applyAlignment="1">
      <alignment horizontal="center" wrapText="1"/>
    </xf>
    <xf numFmtId="0" fontId="9" fillId="0" borderId="0" xfId="0" applyFont="1" applyAlignment="1">
      <alignment horizontal="right" vertical="center"/>
    </xf>
    <xf numFmtId="3" fontId="8" fillId="72" borderId="2" xfId="2" applyFont="1" applyFill="1" applyBorder="1" applyAlignment="1">
      <alignment vertical="center" wrapText="1"/>
    </xf>
    <xf numFmtId="3" fontId="9" fillId="72" borderId="2" xfId="2" applyFont="1" applyFill="1" applyBorder="1" applyAlignment="1">
      <alignment vertical="center" wrapText="1"/>
    </xf>
    <xf numFmtId="3" fontId="38" fillId="73" borderId="2" xfId="2" applyFont="1" applyFill="1" applyBorder="1" applyAlignment="1">
      <alignment vertical="center" wrapText="1"/>
    </xf>
    <xf numFmtId="3" fontId="9" fillId="73" borderId="2" xfId="2" applyFont="1" applyFill="1" applyBorder="1" applyAlignment="1">
      <alignment vertical="center" wrapText="1"/>
    </xf>
    <xf numFmtId="3" fontId="8" fillId="74" borderId="2" xfId="2" applyNumberFormat="1" applyFont="1" applyFill="1" applyBorder="1" applyAlignment="1">
      <alignment vertical="center" wrapText="1"/>
    </xf>
    <xf numFmtId="3" fontId="56" fillId="75" borderId="2" xfId="2" applyNumberFormat="1" applyFont="1" applyFill="1" applyBorder="1" applyAlignment="1">
      <alignment vertical="center" wrapText="1"/>
    </xf>
    <xf numFmtId="3" fontId="8" fillId="76" borderId="2" xfId="2" applyNumberFormat="1" applyFont="1" applyFill="1" applyBorder="1" applyAlignment="1">
      <alignment vertical="center" wrapText="1"/>
    </xf>
    <xf numFmtId="3" fontId="56" fillId="77" borderId="2" xfId="2" applyNumberFormat="1" applyFont="1" applyFill="1" applyBorder="1" applyAlignment="1">
      <alignment vertical="center" wrapText="1"/>
    </xf>
    <xf numFmtId="3" fontId="8" fillId="74" borderId="2" xfId="2" applyFont="1" applyFill="1" applyBorder="1" applyAlignment="1">
      <alignment vertical="center" wrapText="1"/>
    </xf>
    <xf numFmtId="3" fontId="56" fillId="75" borderId="2" xfId="2" applyFont="1" applyFill="1" applyBorder="1" applyAlignment="1">
      <alignment vertical="center" wrapText="1"/>
    </xf>
    <xf numFmtId="3" fontId="8" fillId="76" borderId="2" xfId="2" applyFont="1" applyFill="1" applyBorder="1" applyAlignment="1">
      <alignment vertical="center" wrapText="1"/>
    </xf>
    <xf numFmtId="3" fontId="56" fillId="77" borderId="2" xfId="2" applyFont="1" applyFill="1" applyBorder="1" applyAlignment="1">
      <alignment vertical="center" wrapText="1"/>
    </xf>
    <xf numFmtId="0" fontId="9" fillId="17" borderId="10" xfId="0" applyFont="1" applyFill="1" applyBorder="1" applyAlignment="1">
      <alignment horizontal="center" vertical="center"/>
    </xf>
    <xf numFmtId="9" fontId="8" fillId="17" borderId="8" xfId="3" applyFont="1" applyFill="1" applyBorder="1" applyAlignment="1">
      <alignment vertical="center"/>
    </xf>
    <xf numFmtId="0" fontId="47" fillId="13" borderId="26" xfId="0" applyFont="1" applyFill="1" applyBorder="1" applyAlignment="1">
      <alignment horizontal="center" vertical="center" wrapText="1"/>
    </xf>
    <xf numFmtId="3" fontId="46" fillId="0" borderId="0" xfId="0" applyNumberFormat="1" applyFont="1" applyAlignment="1">
      <alignment vertical="center"/>
    </xf>
    <xf numFmtId="3" fontId="36" fillId="0" borderId="0" xfId="2" applyFont="1" applyAlignment="1">
      <alignment vertical="center"/>
    </xf>
    <xf numFmtId="3" fontId="14" fillId="0" borderId="0" xfId="2" applyFont="1" applyAlignment="1">
      <alignment vertical="center"/>
    </xf>
    <xf numFmtId="185" fontId="10" fillId="0" borderId="0" xfId="0" applyNumberFormat="1" applyFont="1" applyAlignment="1">
      <alignment vertical="center"/>
    </xf>
    <xf numFmtId="0" fontId="14" fillId="0" borderId="0" xfId="0" applyFont="1" applyBorder="1" applyAlignment="1">
      <alignment horizontal="center" vertical="center"/>
    </xf>
    <xf numFmtId="0" fontId="14" fillId="0" borderId="0" xfId="0" applyFont="1" applyBorder="1" applyAlignment="1">
      <alignment horizontal="right" vertical="center"/>
    </xf>
    <xf numFmtId="3" fontId="10" fillId="0" borderId="0" xfId="2" applyNumberFormat="1" applyFont="1" applyBorder="1" applyAlignment="1">
      <alignment vertical="center"/>
    </xf>
    <xf numFmtId="3" fontId="14" fillId="0" borderId="0" xfId="2" applyFont="1" applyBorder="1" applyAlignment="1">
      <alignment horizontal="right" vertical="center"/>
    </xf>
    <xf numFmtId="1" fontId="10" fillId="0" borderId="0" xfId="0" applyNumberFormat="1" applyFont="1" applyAlignment="1">
      <alignment vertical="center"/>
    </xf>
    <xf numFmtId="0" fontId="14" fillId="0" borderId="0" xfId="0" applyFont="1" applyAlignment="1">
      <alignment horizontal="center" vertical="center"/>
    </xf>
    <xf numFmtId="3" fontId="8" fillId="0" borderId="0" xfId="2" applyNumberFormat="1" applyFont="1" applyAlignment="1">
      <alignment vertical="center"/>
    </xf>
    <xf numFmtId="0" fontId="9" fillId="16" borderId="9" xfId="0" applyFont="1" applyFill="1" applyBorder="1" applyAlignment="1">
      <alignment vertical="center"/>
    </xf>
    <xf numFmtId="0" fontId="9" fillId="16" borderId="10" xfId="0" applyFont="1" applyFill="1" applyBorder="1" applyAlignment="1">
      <alignment vertical="center"/>
    </xf>
    <xf numFmtId="0" fontId="9" fillId="16" borderId="10" xfId="0" applyFont="1" applyFill="1" applyBorder="1" applyAlignment="1">
      <alignment horizontal="center" vertical="center"/>
    </xf>
    <xf numFmtId="0" fontId="8" fillId="16" borderId="10" xfId="0" applyFont="1" applyFill="1" applyBorder="1" applyAlignment="1">
      <alignment vertical="center"/>
    </xf>
    <xf numFmtId="0" fontId="8" fillId="16" borderId="11" xfId="0" applyFont="1" applyFill="1" applyBorder="1" applyAlignment="1">
      <alignment vertical="center"/>
    </xf>
    <xf numFmtId="0" fontId="9" fillId="16" borderId="0" xfId="0" applyFont="1" applyFill="1" applyBorder="1" applyAlignment="1">
      <alignment horizontal="center" vertical="center"/>
    </xf>
    <xf numFmtId="0" fontId="8" fillId="16" borderId="12" xfId="0" applyFont="1" applyFill="1" applyBorder="1" applyAlignment="1">
      <alignment vertical="center"/>
    </xf>
    <xf numFmtId="0" fontId="8" fillId="16" borderId="1" xfId="0" applyFont="1" applyFill="1" applyBorder="1" applyAlignment="1">
      <alignment horizontal="center" vertical="center"/>
    </xf>
    <xf numFmtId="0" fontId="8" fillId="16" borderId="0" xfId="0" applyFont="1" applyFill="1" applyBorder="1" applyAlignment="1">
      <alignment horizontal="center" vertical="center"/>
    </xf>
    <xf numFmtId="0" fontId="8" fillId="16" borderId="5" xfId="0" applyFont="1" applyFill="1" applyBorder="1" applyAlignment="1">
      <alignment horizontal="center" vertical="center"/>
    </xf>
    <xf numFmtId="0" fontId="9" fillId="16" borderId="12" xfId="0" applyFont="1" applyFill="1" applyBorder="1" applyAlignment="1">
      <alignment horizontal="center" vertical="center"/>
    </xf>
    <xf numFmtId="0" fontId="8" fillId="16" borderId="8" xfId="0" applyFont="1" applyFill="1" applyBorder="1" applyAlignment="1">
      <alignment horizontal="center" vertical="center"/>
    </xf>
    <xf numFmtId="3" fontId="48" fillId="16" borderId="0" xfId="0" applyNumberFormat="1" applyFont="1" applyFill="1" applyBorder="1" applyAlignment="1">
      <alignment vertical="center"/>
    </xf>
    <xf numFmtId="2" fontId="49" fillId="16" borderId="0" xfId="0" applyNumberFormat="1" applyFont="1" applyFill="1" applyBorder="1" applyAlignment="1">
      <alignment vertical="center"/>
    </xf>
    <xf numFmtId="3" fontId="9" fillId="16" borderId="12" xfId="0" applyNumberFormat="1" applyFont="1" applyFill="1" applyBorder="1" applyAlignment="1">
      <alignment vertical="center"/>
    </xf>
    <xf numFmtId="0" fontId="49" fillId="16" borderId="0" xfId="0" applyFont="1" applyFill="1" applyBorder="1" applyAlignment="1">
      <alignment vertical="center"/>
    </xf>
    <xf numFmtId="0" fontId="9" fillId="16" borderId="12" xfId="0" applyFont="1" applyFill="1" applyBorder="1" applyAlignment="1">
      <alignment vertical="center"/>
    </xf>
    <xf numFmtId="0" fontId="9" fillId="24" borderId="3" xfId="0" applyFont="1" applyFill="1" applyBorder="1" applyAlignment="1">
      <alignment vertical="center"/>
    </xf>
    <xf numFmtId="0" fontId="9" fillId="24" borderId="13" xfId="0" applyFont="1" applyFill="1" applyBorder="1" applyAlignment="1">
      <alignment vertical="center"/>
    </xf>
    <xf numFmtId="3" fontId="48" fillId="24" borderId="13" xfId="0" applyNumberFormat="1" applyFont="1" applyFill="1" applyBorder="1" applyAlignment="1">
      <alignment vertical="center"/>
    </xf>
    <xf numFmtId="0" fontId="8" fillId="24" borderId="13" xfId="0" applyFont="1" applyFill="1" applyBorder="1" applyAlignment="1">
      <alignment vertical="center"/>
    </xf>
    <xf numFmtId="3" fontId="9" fillId="24" borderId="4" xfId="0" applyNumberFormat="1" applyFont="1" applyFill="1" applyBorder="1" applyAlignment="1">
      <alignment vertical="center"/>
    </xf>
    <xf numFmtId="9" fontId="8" fillId="24" borderId="13" xfId="3" applyFont="1" applyFill="1" applyBorder="1" applyAlignment="1">
      <alignment vertical="center"/>
    </xf>
    <xf numFmtId="0" fontId="8" fillId="0" borderId="2" xfId="0" applyFont="1" applyBorder="1" applyAlignment="1">
      <alignment horizontal="center" vertical="center"/>
    </xf>
    <xf numFmtId="0" fontId="36" fillId="19" borderId="2" xfId="0" applyFont="1" applyFill="1" applyBorder="1" applyAlignment="1">
      <alignment horizontal="center" vertical="center"/>
    </xf>
    <xf numFmtId="0" fontId="56" fillId="78" borderId="3" xfId="0" applyFont="1" applyFill="1" applyBorder="1" applyAlignment="1">
      <alignment horizontal="center" vertical="center" wrapText="1"/>
    </xf>
    <xf numFmtId="0" fontId="56" fillId="78" borderId="5" xfId="0" applyFont="1" applyFill="1" applyBorder="1" applyAlignment="1">
      <alignment horizontal="center" vertical="center" wrapText="1"/>
    </xf>
    <xf numFmtId="0" fontId="62" fillId="78" borderId="2" xfId="0" applyFont="1" applyFill="1" applyBorder="1" applyAlignment="1">
      <alignment horizontal="center" vertical="center" wrapText="1"/>
    </xf>
    <xf numFmtId="0" fontId="56" fillId="78" borderId="2" xfId="0" applyFont="1" applyFill="1" applyBorder="1" applyAlignment="1">
      <alignment horizontal="center" vertical="center" wrapText="1"/>
    </xf>
    <xf numFmtId="0" fontId="56" fillId="78" borderId="11" xfId="0" applyFont="1" applyFill="1" applyBorder="1" applyAlignment="1">
      <alignment horizontal="center" vertical="center" wrapText="1"/>
    </xf>
    <xf numFmtId="0" fontId="56" fillId="78" borderId="26" xfId="0" applyFont="1" applyFill="1" applyBorder="1" applyAlignment="1">
      <alignment horizontal="center" vertical="center" wrapText="1"/>
    </xf>
    <xf numFmtId="0" fontId="8" fillId="80" borderId="26" xfId="0" applyFont="1" applyFill="1" applyBorder="1" applyAlignment="1">
      <alignment horizontal="center" vertical="center"/>
    </xf>
    <xf numFmtId="0" fontId="56" fillId="78" borderId="36" xfId="0" applyFont="1" applyFill="1" applyBorder="1" applyAlignment="1">
      <alignment horizontal="center" vertical="center" wrapText="1"/>
    </xf>
    <xf numFmtId="3" fontId="8" fillId="0" borderId="0" xfId="2" applyFont="1" applyBorder="1" applyAlignment="1">
      <alignment vertical="center"/>
    </xf>
    <xf numFmtId="0" fontId="8" fillId="80" borderId="25" xfId="0" applyFont="1" applyFill="1" applyBorder="1" applyAlignment="1">
      <alignment vertical="center"/>
    </xf>
    <xf numFmtId="0" fontId="39" fillId="0" borderId="0" xfId="4" applyFill="1" applyBorder="1" applyAlignment="1">
      <alignment vertical="center"/>
    </xf>
    <xf numFmtId="9" fontId="8" fillId="0" borderId="0" xfId="0" applyNumberFormat="1" applyFont="1" applyBorder="1" applyAlignment="1">
      <alignment horizontal="center" vertical="center"/>
    </xf>
    <xf numFmtId="0" fontId="8" fillId="0" borderId="26" xfId="0" applyFont="1" applyBorder="1" applyAlignment="1">
      <alignment horizontal="center" vertical="center"/>
    </xf>
    <xf numFmtId="3" fontId="8" fillId="80" borderId="26" xfId="2" applyFont="1" applyFill="1" applyBorder="1" applyAlignment="1">
      <alignment vertical="center"/>
    </xf>
    <xf numFmtId="3" fontId="9" fillId="81" borderId="26" xfId="2" applyFont="1" applyFill="1" applyBorder="1" applyAlignment="1">
      <alignment vertical="center"/>
    </xf>
    <xf numFmtId="3" fontId="8" fillId="83" borderId="26" xfId="2" applyFont="1" applyFill="1" applyBorder="1" applyAlignment="1">
      <alignment vertical="center"/>
    </xf>
    <xf numFmtId="3" fontId="8" fillId="29" borderId="26" xfId="2" applyFont="1" applyFill="1" applyBorder="1" applyAlignment="1">
      <alignment vertical="center"/>
    </xf>
    <xf numFmtId="3" fontId="8" fillId="82" borderId="26" xfId="2" applyFont="1" applyFill="1" applyBorder="1" applyAlignment="1">
      <alignment vertical="center"/>
    </xf>
    <xf numFmtId="3" fontId="8" fillId="7" borderId="25" xfId="2" applyFont="1" applyFill="1" applyBorder="1" applyAlignment="1">
      <alignment horizontal="center" vertical="center"/>
    </xf>
    <xf numFmtId="3" fontId="56" fillId="78" borderId="26" xfId="2" applyFont="1" applyFill="1" applyBorder="1" applyAlignment="1">
      <alignment vertical="center"/>
    </xf>
    <xf numFmtId="3" fontId="56" fillId="9" borderId="26" xfId="2" applyFont="1" applyFill="1" applyBorder="1" applyAlignment="1">
      <alignment vertical="center"/>
    </xf>
    <xf numFmtId="3" fontId="56" fillId="15" borderId="26" xfId="2" applyFont="1" applyFill="1" applyBorder="1" applyAlignment="1">
      <alignment vertical="center"/>
    </xf>
    <xf numFmtId="3" fontId="56" fillId="12" borderId="26" xfId="2" applyFont="1" applyFill="1" applyBorder="1" applyAlignment="1">
      <alignment vertical="center"/>
    </xf>
    <xf numFmtId="3" fontId="8" fillId="82" borderId="8" xfId="2" applyFont="1" applyFill="1" applyBorder="1" applyAlignment="1">
      <alignment vertical="center"/>
    </xf>
    <xf numFmtId="3" fontId="8" fillId="0" borderId="26" xfId="2" applyFont="1" applyFill="1" applyBorder="1" applyAlignment="1">
      <alignment vertical="center"/>
    </xf>
    <xf numFmtId="3" fontId="9" fillId="0" borderId="26" xfId="2" applyFont="1" applyFill="1" applyBorder="1" applyAlignment="1">
      <alignment vertical="center"/>
    </xf>
    <xf numFmtId="3" fontId="8" fillId="84" borderId="26" xfId="2" applyFont="1" applyFill="1" applyBorder="1" applyAlignment="1">
      <alignment vertical="center"/>
    </xf>
    <xf numFmtId="3" fontId="8" fillId="85" borderId="26" xfId="2" applyFont="1" applyFill="1" applyBorder="1" applyAlignment="1">
      <alignment vertical="center"/>
    </xf>
    <xf numFmtId="3" fontId="56" fillId="86" borderId="26" xfId="2" applyFont="1" applyFill="1" applyBorder="1" applyAlignment="1">
      <alignment vertical="center"/>
    </xf>
    <xf numFmtId="3" fontId="56" fillId="87" borderId="26" xfId="2" applyFont="1" applyFill="1" applyBorder="1" applyAlignment="1">
      <alignment vertical="center"/>
    </xf>
    <xf numFmtId="3" fontId="56" fillId="12" borderId="25" xfId="2" applyFont="1" applyFill="1" applyBorder="1" applyAlignment="1">
      <alignment vertical="center"/>
    </xf>
    <xf numFmtId="0" fontId="8" fillId="29" borderId="26" xfId="0" applyFont="1" applyFill="1" applyBorder="1" applyAlignment="1">
      <alignment horizontal="center" vertical="center"/>
    </xf>
    <xf numFmtId="0" fontId="8" fillId="0" borderId="2" xfId="0" applyFont="1" applyBorder="1" applyAlignment="1">
      <alignment horizontal="center" vertical="center"/>
    </xf>
    <xf numFmtId="3" fontId="26" fillId="0" borderId="0" xfId="2" applyFont="1" applyBorder="1" applyAlignment="1">
      <alignment vertical="center"/>
    </xf>
    <xf numFmtId="0" fontId="27" fillId="0" borderId="37" xfId="1" applyFont="1" applyBorder="1" applyAlignment="1" applyProtection="1">
      <alignment horizontal="right" vertical="center"/>
    </xf>
    <xf numFmtId="0" fontId="21"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7" borderId="1" xfId="0" applyFont="1" applyFill="1" applyBorder="1" applyAlignment="1">
      <alignment horizontal="center" vertical="center"/>
    </xf>
    <xf numFmtId="0" fontId="36"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4" fontId="8" fillId="0" borderId="0" xfId="0" applyNumberFormat="1" applyFont="1" applyAlignment="1">
      <alignment horizontal="center" vertical="center"/>
    </xf>
    <xf numFmtId="2" fontId="8" fillId="0" borderId="0" xfId="0" applyNumberFormat="1" applyFont="1" applyAlignment="1">
      <alignment horizontal="center" vertical="center"/>
    </xf>
    <xf numFmtId="0" fontId="8" fillId="17" borderId="0" xfId="0" applyFont="1" applyFill="1" applyBorder="1" applyAlignment="1">
      <alignment horizontal="center" vertical="center"/>
    </xf>
    <xf numFmtId="3" fontId="8" fillId="0" borderId="26" xfId="0" applyNumberFormat="1" applyFont="1" applyFill="1" applyBorder="1" applyAlignment="1">
      <alignment vertical="center"/>
    </xf>
    <xf numFmtId="9" fontId="8" fillId="0" borderId="26" xfId="0" applyNumberFormat="1" applyFont="1" applyFill="1" applyBorder="1" applyAlignment="1">
      <alignment vertical="center"/>
    </xf>
    <xf numFmtId="4" fontId="58" fillId="22" borderId="4" xfId="0" applyNumberFormat="1" applyFont="1" applyFill="1" applyBorder="1" applyAlignment="1">
      <alignment horizontal="right" vertical="center"/>
    </xf>
    <xf numFmtId="0" fontId="60" fillId="0" borderId="13" xfId="1" applyFont="1" applyFill="1" applyBorder="1" applyAlignment="1" applyProtection="1">
      <alignment vertical="center" wrapText="1"/>
    </xf>
    <xf numFmtId="0" fontId="40" fillId="88" borderId="26" xfId="1" applyFont="1" applyFill="1" applyBorder="1" applyAlignment="1" applyProtection="1">
      <alignment vertical="center"/>
    </xf>
    <xf numFmtId="0" fontId="39" fillId="0" borderId="10" xfId="4" applyFill="1" applyBorder="1" applyAlignment="1">
      <alignment horizontal="center" vertical="center"/>
    </xf>
    <xf numFmtId="10" fontId="49" fillId="17" borderId="0" xfId="3" applyNumberFormat="1" applyFont="1" applyFill="1" applyBorder="1" applyAlignment="1">
      <alignment vertical="center"/>
    </xf>
    <xf numFmtId="0" fontId="26" fillId="13" borderId="26" xfId="0" applyFont="1" applyFill="1" applyBorder="1" applyAlignment="1">
      <alignment horizontal="right" vertical="center" wrapText="1"/>
    </xf>
    <xf numFmtId="173" fontId="26" fillId="0" borderId="26" xfId="0" applyNumberFormat="1" applyFont="1" applyBorder="1" applyAlignment="1">
      <alignment horizontal="center" vertical="center"/>
    </xf>
    <xf numFmtId="0" fontId="40" fillId="0" borderId="10" xfId="1" applyFont="1" applyBorder="1" applyAlignment="1" applyProtection="1">
      <alignment horizontal="center" vertical="center"/>
    </xf>
    <xf numFmtId="0" fontId="9" fillId="16" borderId="25" xfId="0" applyFont="1" applyFill="1" applyBorder="1" applyAlignment="1">
      <alignment vertical="center"/>
    </xf>
    <xf numFmtId="3" fontId="9" fillId="16" borderId="26" xfId="2" applyFont="1" applyFill="1" applyBorder="1" applyAlignment="1">
      <alignment vertical="center"/>
    </xf>
    <xf numFmtId="0" fontId="9" fillId="17" borderId="25" xfId="0" applyFont="1" applyFill="1" applyBorder="1" applyAlignment="1">
      <alignment vertical="center"/>
    </xf>
    <xf numFmtId="0" fontId="27" fillId="13" borderId="2" xfId="0" applyFont="1" applyFill="1" applyBorder="1" applyAlignment="1">
      <alignment horizontal="right" vertical="center" wrapText="1"/>
    </xf>
    <xf numFmtId="0" fontId="14" fillId="0" borderId="5" xfId="0" applyFont="1" applyFill="1" applyBorder="1" applyAlignment="1">
      <alignment horizontal="center" vertical="center" wrapText="1"/>
    </xf>
    <xf numFmtId="0" fontId="4" fillId="0" borderId="1" xfId="0" applyFont="1" applyFill="1" applyBorder="1"/>
    <xf numFmtId="0" fontId="4" fillId="0" borderId="0" xfId="0" applyFont="1" applyFill="1" applyBorder="1"/>
    <xf numFmtId="9" fontId="4" fillId="0" borderId="0" xfId="0" applyNumberFormat="1" applyFont="1" applyFill="1" applyBorder="1" applyAlignment="1">
      <alignment horizontal="center"/>
    </xf>
    <xf numFmtId="0" fontId="0" fillId="0" borderId="1" xfId="0" applyFont="1" applyFill="1" applyBorder="1"/>
    <xf numFmtId="0" fontId="4" fillId="0" borderId="14" xfId="0" applyFont="1" applyFill="1" applyBorder="1"/>
    <xf numFmtId="0" fontId="4" fillId="0" borderId="0" xfId="0" applyFont="1" applyFill="1" applyBorder="1" applyAlignment="1">
      <alignment horizontal="center"/>
    </xf>
    <xf numFmtId="0" fontId="4" fillId="0" borderId="12" xfId="0" applyFont="1" applyFill="1" applyBorder="1" applyAlignment="1">
      <alignment horizontal="center"/>
    </xf>
    <xf numFmtId="0" fontId="56" fillId="89" borderId="25" xfId="0" applyFont="1" applyFill="1" applyBorder="1" applyAlignment="1">
      <alignment horizontal="center"/>
    </xf>
    <xf numFmtId="166" fontId="56" fillId="89" borderId="13" xfId="0" applyNumberFormat="1" applyFont="1" applyFill="1" applyBorder="1" applyAlignment="1">
      <alignment horizontal="center"/>
    </xf>
    <xf numFmtId="0" fontId="56" fillId="89" borderId="13" xfId="0" applyFont="1" applyFill="1" applyBorder="1" applyAlignment="1">
      <alignment horizontal="center"/>
    </xf>
    <xf numFmtId="167" fontId="56" fillId="89" borderId="13" xfId="0" applyNumberFormat="1" applyFont="1" applyFill="1" applyBorder="1" applyAlignment="1">
      <alignment horizontal="center"/>
    </xf>
    <xf numFmtId="166" fontId="56" fillId="89" borderId="4" xfId="0" applyNumberFormat="1" applyFont="1" applyFill="1" applyBorder="1" applyAlignment="1">
      <alignment horizontal="center"/>
    </xf>
    <xf numFmtId="1" fontId="56" fillId="89" borderId="13" xfId="0" applyNumberFormat="1" applyFont="1" applyFill="1" applyBorder="1" applyAlignment="1">
      <alignment horizontal="center"/>
    </xf>
    <xf numFmtId="0" fontId="0" fillId="0" borderId="0" xfId="0" quotePrefix="1"/>
    <xf numFmtId="0" fontId="0" fillId="0" borderId="0" xfId="0" applyFill="1"/>
    <xf numFmtId="0" fontId="0" fillId="0" borderId="0" xfId="0" quotePrefix="1" applyFill="1"/>
    <xf numFmtId="3" fontId="8" fillId="0" borderId="23" xfId="0" applyNumberFormat="1" applyFont="1" applyFill="1" applyBorder="1" applyAlignment="1">
      <alignment vertical="center"/>
    </xf>
    <xf numFmtId="0" fontId="0" fillId="0" borderId="0" xfId="0" applyBorder="1"/>
    <xf numFmtId="0" fontId="0" fillId="0" borderId="0" xfId="0" applyAlignment="1">
      <alignment horizontal="left" vertical="center"/>
    </xf>
    <xf numFmtId="0" fontId="0" fillId="23" borderId="0" xfId="0" applyFill="1"/>
    <xf numFmtId="0" fontId="0" fillId="29" borderId="0" xfId="0" applyFill="1"/>
    <xf numFmtId="0" fontId="0" fillId="29" borderId="0" xfId="0" applyFill="1" applyAlignment="1">
      <alignment horizontal="center"/>
    </xf>
    <xf numFmtId="0" fontId="0" fillId="29" borderId="0" xfId="0" quotePrefix="1" applyFill="1" applyAlignment="1">
      <alignment horizontal="center"/>
    </xf>
    <xf numFmtId="0" fontId="0" fillId="29" borderId="0" xfId="0" quotePrefix="1" applyFill="1"/>
    <xf numFmtId="0" fontId="0" fillId="29" borderId="0" xfId="0" applyFill="1" applyBorder="1"/>
    <xf numFmtId="0" fontId="0" fillId="29" borderId="0" xfId="0" applyFill="1" applyAlignment="1">
      <alignment horizontal="center"/>
    </xf>
    <xf numFmtId="0" fontId="8" fillId="91" borderId="1" xfId="0" applyFont="1" applyFill="1" applyBorder="1" applyAlignment="1">
      <alignment vertical="center"/>
    </xf>
    <xf numFmtId="0" fontId="8" fillId="91" borderId="7" xfId="0" applyFont="1" applyFill="1" applyBorder="1" applyAlignment="1">
      <alignment vertical="center"/>
    </xf>
    <xf numFmtId="0" fontId="8" fillId="91" borderId="15" xfId="0" applyFont="1" applyFill="1" applyBorder="1" applyAlignment="1">
      <alignment vertical="center"/>
    </xf>
    <xf numFmtId="9" fontId="8" fillId="91" borderId="12" xfId="0" applyNumberFormat="1" applyFont="1" applyFill="1" applyBorder="1" applyAlignment="1">
      <alignment vertical="center"/>
    </xf>
    <xf numFmtId="9" fontId="8" fillId="91" borderId="15" xfId="0" applyNumberFormat="1" applyFont="1" applyFill="1" applyBorder="1" applyAlignment="1">
      <alignment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0"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173" fontId="8" fillId="91" borderId="0" xfId="0" applyNumberFormat="1" applyFont="1" applyFill="1" applyBorder="1" applyAlignment="1">
      <alignment horizontal="center" vertical="center"/>
    </xf>
    <xf numFmtId="173" fontId="8" fillId="91" borderId="1" xfId="0" applyNumberFormat="1" applyFont="1" applyFill="1" applyBorder="1" applyAlignment="1">
      <alignment vertical="center"/>
    </xf>
    <xf numFmtId="173" fontId="8" fillId="91" borderId="0" xfId="0" applyNumberFormat="1" applyFont="1" applyFill="1" applyBorder="1" applyAlignment="1">
      <alignment vertical="center"/>
    </xf>
    <xf numFmtId="173" fontId="8" fillId="91" borderId="12" xfId="0" applyNumberFormat="1" applyFont="1" applyFill="1" applyBorder="1" applyAlignment="1">
      <alignment vertical="center"/>
    </xf>
    <xf numFmtId="0" fontId="8" fillId="91" borderId="14" xfId="0" applyFont="1" applyFill="1" applyBorder="1" applyAlignment="1">
      <alignment vertical="center"/>
    </xf>
    <xf numFmtId="173" fontId="8" fillId="91" borderId="14"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173" fontId="8" fillId="91" borderId="7" xfId="0" applyNumberFormat="1" applyFont="1" applyFill="1" applyBorder="1" applyAlignment="1">
      <alignment vertical="center"/>
    </xf>
    <xf numFmtId="173" fontId="8" fillId="91" borderId="14" xfId="0" applyNumberFormat="1" applyFont="1" applyFill="1" applyBorder="1" applyAlignment="1">
      <alignment vertical="center"/>
    </xf>
    <xf numFmtId="173" fontId="8" fillId="91" borderId="15" xfId="0" applyNumberFormat="1" applyFont="1" applyFill="1" applyBorder="1" applyAlignment="1">
      <alignment vertical="center"/>
    </xf>
    <xf numFmtId="0" fontId="8" fillId="92" borderId="0" xfId="0" applyFont="1" applyFill="1" applyAlignment="1">
      <alignment vertical="center"/>
    </xf>
    <xf numFmtId="0" fontId="8" fillId="92" borderId="0" xfId="0" applyFont="1" applyFill="1" applyBorder="1" applyAlignment="1">
      <alignment vertical="center"/>
    </xf>
    <xf numFmtId="3" fontId="8" fillId="92" borderId="0" xfId="2" applyFont="1" applyFill="1" applyAlignment="1">
      <alignment vertical="center"/>
    </xf>
    <xf numFmtId="3" fontId="9" fillId="17" borderId="37" xfId="2" applyFont="1" applyFill="1" applyBorder="1" applyAlignment="1">
      <alignment vertical="center"/>
    </xf>
    <xf numFmtId="3" fontId="8" fillId="13" borderId="25" xfId="2" applyFont="1" applyFill="1" applyBorder="1" applyAlignment="1">
      <alignment vertical="center"/>
    </xf>
    <xf numFmtId="167" fontId="0" fillId="0" borderId="0" xfId="0" applyNumberFormat="1"/>
    <xf numFmtId="0" fontId="26" fillId="0" borderId="0" xfId="0" applyFont="1" applyFill="1" applyAlignment="1">
      <alignment vertical="center"/>
    </xf>
    <xf numFmtId="0" fontId="8" fillId="0" borderId="20" xfId="3" applyNumberFormat="1" applyFont="1" applyFill="1" applyBorder="1" applyAlignment="1">
      <alignment vertical="center"/>
    </xf>
    <xf numFmtId="0" fontId="8" fillId="0" borderId="22" xfId="3" applyNumberFormat="1" applyFont="1" applyFill="1" applyBorder="1" applyAlignment="1">
      <alignment vertical="center"/>
    </xf>
    <xf numFmtId="9" fontId="8" fillId="91" borderId="7" xfId="0" applyNumberFormat="1" applyFont="1" applyFill="1" applyBorder="1" applyAlignment="1">
      <alignment horizontal="center" vertical="center"/>
    </xf>
    <xf numFmtId="9" fontId="8" fillId="91" borderId="14" xfId="0" applyNumberFormat="1" applyFont="1" applyFill="1" applyBorder="1" applyAlignment="1">
      <alignment horizontal="center" vertical="center"/>
    </xf>
    <xf numFmtId="9" fontId="8" fillId="91" borderId="15" xfId="0" applyNumberFormat="1" applyFont="1" applyFill="1" applyBorder="1" applyAlignment="1">
      <alignment horizontal="center" vertical="center"/>
    </xf>
    <xf numFmtId="0" fontId="8" fillId="91" borderId="0" xfId="0" applyFont="1" applyFill="1" applyBorder="1" applyAlignment="1">
      <alignment horizontal="left" vertical="center"/>
    </xf>
    <xf numFmtId="0" fontId="9" fillId="17" borderId="37" xfId="0" applyFont="1" applyFill="1" applyBorder="1" applyAlignment="1">
      <alignment vertical="center"/>
    </xf>
    <xf numFmtId="9" fontId="49" fillId="17" borderId="1" xfId="0" applyNumberFormat="1" applyFont="1" applyFill="1" applyBorder="1" applyAlignment="1">
      <alignment horizontal="center" vertical="center"/>
    </xf>
    <xf numFmtId="173" fontId="8" fillId="13" borderId="3" xfId="0" applyNumberFormat="1" applyFont="1" applyFill="1" applyBorder="1" applyAlignment="1">
      <alignment horizontal="center" vertical="center"/>
    </xf>
    <xf numFmtId="9" fontId="8" fillId="0" borderId="26" xfId="3" applyFont="1" applyFill="1" applyBorder="1" applyAlignment="1">
      <alignment vertical="center"/>
    </xf>
    <xf numFmtId="0" fontId="0" fillId="0" borderId="14" xfId="0" applyFont="1" applyFill="1" applyBorder="1"/>
    <xf numFmtId="0" fontId="0" fillId="0" borderId="37" xfId="0" applyBorder="1"/>
    <xf numFmtId="0" fontId="0" fillId="0" borderId="10" xfId="0" applyBorder="1"/>
    <xf numFmtId="9" fontId="0" fillId="0" borderId="10" xfId="0" applyNumberFormat="1" applyBorder="1"/>
    <xf numFmtId="0" fontId="0" fillId="0" borderId="11" xfId="0" applyBorder="1"/>
    <xf numFmtId="0" fontId="0" fillId="0" borderId="1" xfId="0" applyBorder="1"/>
    <xf numFmtId="9" fontId="0" fillId="0" borderId="0" xfId="0" applyNumberFormat="1" applyBorder="1"/>
    <xf numFmtId="0" fontId="0" fillId="0" borderId="12" xfId="0" applyBorder="1"/>
    <xf numFmtId="0" fontId="0" fillId="0" borderId="7" xfId="0" applyBorder="1"/>
    <xf numFmtId="0" fontId="0" fillId="0" borderId="14" xfId="0" applyBorder="1"/>
    <xf numFmtId="9" fontId="0" fillId="0" borderId="14" xfId="0" applyNumberFormat="1" applyBorder="1"/>
    <xf numFmtId="0" fontId="0" fillId="0" borderId="15" xfId="0" applyBorder="1"/>
    <xf numFmtId="0" fontId="56" fillId="89" borderId="37" xfId="0" applyFont="1" applyFill="1" applyBorder="1" applyAlignment="1">
      <alignment horizontal="center"/>
    </xf>
    <xf numFmtId="0" fontId="56" fillId="89" borderId="10" xfId="0" applyFont="1" applyFill="1" applyBorder="1" applyAlignment="1">
      <alignment horizontal="center"/>
    </xf>
    <xf numFmtId="1" fontId="56" fillId="89" borderId="10" xfId="0" applyNumberFormat="1" applyFont="1" applyFill="1" applyBorder="1" applyAlignment="1">
      <alignment horizontal="center"/>
    </xf>
    <xf numFmtId="166" fontId="56" fillId="89" borderId="10" xfId="0" applyNumberFormat="1" applyFont="1" applyFill="1" applyBorder="1" applyAlignment="1">
      <alignment horizontal="center"/>
    </xf>
    <xf numFmtId="167" fontId="56" fillId="89" borderId="10" xfId="0" applyNumberFormat="1" applyFont="1" applyFill="1" applyBorder="1" applyAlignment="1">
      <alignment horizontal="center"/>
    </xf>
    <xf numFmtId="166" fontId="56" fillId="89" borderId="11" xfId="0" applyNumberFormat="1" applyFont="1" applyFill="1" applyBorder="1" applyAlignment="1">
      <alignment horizontal="center"/>
    </xf>
    <xf numFmtId="1" fontId="8" fillId="0" borderId="20" xfId="3" applyNumberFormat="1" applyFont="1" applyFill="1" applyBorder="1" applyAlignment="1">
      <alignment vertical="center"/>
    </xf>
    <xf numFmtId="1" fontId="8" fillId="0" borderId="22" xfId="3" applyNumberFormat="1" applyFont="1" applyFill="1" applyBorder="1" applyAlignment="1">
      <alignment vertical="center"/>
    </xf>
    <xf numFmtId="1" fontId="8" fillId="17" borderId="14" xfId="3" applyNumberFormat="1" applyFont="1" applyFill="1" applyBorder="1" applyAlignment="1">
      <alignment vertical="center"/>
    </xf>
    <xf numFmtId="1" fontId="8" fillId="0" borderId="23" xfId="0" applyNumberFormat="1" applyFont="1" applyFill="1" applyBorder="1" applyAlignment="1">
      <alignment vertical="center"/>
    </xf>
    <xf numFmtId="9" fontId="49" fillId="17" borderId="6" xfId="3" applyFont="1" applyFill="1" applyBorder="1" applyAlignment="1">
      <alignment horizontal="center" vertical="center"/>
    </xf>
    <xf numFmtId="0" fontId="0" fillId="29" borderId="0" xfId="0" applyFill="1" applyAlignment="1">
      <alignment horizontal="center"/>
    </xf>
    <xf numFmtId="0" fontId="0" fillId="0" borderId="0" xfId="0" applyFont="1" applyFill="1" applyBorder="1"/>
    <xf numFmtId="0" fontId="49" fillId="17" borderId="0" xfId="0" applyFont="1" applyFill="1" applyBorder="1" applyAlignment="1">
      <alignment horizontal="center" vertical="center" wrapText="1"/>
    </xf>
    <xf numFmtId="3" fontId="8" fillId="0" borderId="36" xfId="0" applyNumberFormat="1" applyFont="1" applyFill="1" applyBorder="1" applyAlignment="1">
      <alignment vertical="center"/>
    </xf>
    <xf numFmtId="179" fontId="49" fillId="17" borderId="0" xfId="0" applyNumberFormat="1" applyFont="1" applyFill="1" applyBorder="1" applyAlignment="1">
      <alignment horizontal="center" vertical="center"/>
    </xf>
    <xf numFmtId="179" fontId="49" fillId="17" borderId="0" xfId="0" applyNumberFormat="1" applyFont="1" applyFill="1" applyBorder="1" applyAlignment="1">
      <alignment horizontal="center" vertical="center" wrapText="1"/>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3" fontId="9" fillId="17" borderId="13" xfId="2" applyFont="1" applyFill="1" applyBorder="1" applyAlignment="1">
      <alignment vertical="center"/>
    </xf>
    <xf numFmtId="3" fontId="9" fillId="17" borderId="4" xfId="2" applyFont="1" applyFill="1" applyBorder="1" applyAlignment="1">
      <alignment vertical="center"/>
    </xf>
    <xf numFmtId="0" fontId="8" fillId="91" borderId="6" xfId="0" applyFont="1" applyFill="1" applyBorder="1" applyAlignment="1">
      <alignment horizontal="center" vertical="center"/>
    </xf>
    <xf numFmtId="173" fontId="8" fillId="91" borderId="6" xfId="0" applyNumberFormat="1" applyFont="1" applyFill="1" applyBorder="1" applyAlignment="1">
      <alignment horizontal="center" vertical="center"/>
    </xf>
    <xf numFmtId="173" fontId="8" fillId="91" borderId="8" xfId="0" applyNumberFormat="1" applyFont="1" applyFill="1" applyBorder="1" applyAlignment="1">
      <alignment vertical="center"/>
    </xf>
    <xf numFmtId="3" fontId="9" fillId="17" borderId="3" xfId="2" applyFont="1" applyFill="1" applyBorder="1" applyAlignment="1">
      <alignment vertical="center"/>
    </xf>
    <xf numFmtId="0" fontId="0" fillId="0" borderId="0" xfId="0" applyFont="1" applyFill="1" applyBorder="1" applyAlignment="1">
      <alignment horizontal="center" vertical="center"/>
    </xf>
    <xf numFmtId="9" fontId="0" fillId="0" borderId="0" xfId="0" applyNumberFormat="1" applyFill="1" applyBorder="1"/>
    <xf numFmtId="0" fontId="0" fillId="0" borderId="0" xfId="0" applyFill="1" applyBorder="1"/>
    <xf numFmtId="9" fontId="0" fillId="0" borderId="0" xfId="0" applyNumberFormat="1" applyFont="1" applyFill="1" applyBorder="1"/>
    <xf numFmtId="0" fontId="8" fillId="17" borderId="1" xfId="0" applyFont="1" applyFill="1" applyBorder="1" applyAlignment="1">
      <alignment horizontal="center" vertical="center"/>
    </xf>
    <xf numFmtId="0" fontId="8" fillId="17" borderId="1" xfId="0" applyFont="1" applyFill="1" applyBorder="1" applyAlignment="1">
      <alignment horizontal="center" vertical="center"/>
    </xf>
    <xf numFmtId="0" fontId="8" fillId="0" borderId="0" xfId="0" applyFont="1" applyAlignment="1">
      <alignment horizontal="center"/>
    </xf>
    <xf numFmtId="0" fontId="8" fillId="91" borderId="37" xfId="0" applyFont="1" applyFill="1" applyBorder="1" applyAlignment="1">
      <alignment vertical="center"/>
    </xf>
    <xf numFmtId="0" fontId="8" fillId="91" borderId="36" xfId="0" applyFont="1" applyFill="1" applyBorder="1" applyAlignment="1">
      <alignment vertical="center"/>
    </xf>
    <xf numFmtId="0" fontId="8" fillId="91" borderId="7" xfId="0" applyFont="1" applyFill="1" applyBorder="1" applyAlignment="1">
      <alignment horizontal="center" vertical="center"/>
    </xf>
    <xf numFmtId="0" fontId="8" fillId="91" borderId="8" xfId="0" applyFont="1" applyFill="1" applyBorder="1" applyAlignment="1">
      <alignment horizontal="center" vertical="center"/>
    </xf>
    <xf numFmtId="9" fontId="0" fillId="0" borderId="0" xfId="0" applyNumberFormat="1"/>
    <xf numFmtId="9" fontId="56" fillId="89" borderId="13" xfId="0" applyNumberFormat="1" applyFont="1" applyFill="1" applyBorder="1" applyAlignment="1">
      <alignment horizontal="center"/>
    </xf>
    <xf numFmtId="168" fontId="0" fillId="0" borderId="0" xfId="0" applyNumberFormat="1"/>
    <xf numFmtId="168" fontId="56" fillId="89" borderId="13" xfId="0" applyNumberFormat="1" applyFont="1" applyFill="1" applyBorder="1" applyAlignment="1">
      <alignment horizontal="center"/>
    </xf>
    <xf numFmtId="168" fontId="0" fillId="0" borderId="0" xfId="0" applyNumberFormat="1" applyAlignment="1">
      <alignment horizontal="center"/>
    </xf>
    <xf numFmtId="168" fontId="56" fillId="89" borderId="4" xfId="0" applyNumberFormat="1" applyFont="1" applyFill="1" applyBorder="1" applyAlignment="1">
      <alignment horizontal="center"/>
    </xf>
    <xf numFmtId="0" fontId="0" fillId="0" borderId="0" xfId="0" applyAlignment="1">
      <alignment horizontal="center"/>
    </xf>
    <xf numFmtId="0" fontId="0" fillId="29" borderId="0" xfId="0" applyFill="1" applyAlignment="1">
      <alignment horizontal="left"/>
    </xf>
    <xf numFmtId="0" fontId="0" fillId="90" borderId="0" xfId="0" applyFill="1"/>
    <xf numFmtId="173" fontId="8" fillId="91" borderId="8" xfId="0" applyNumberFormat="1" applyFont="1" applyFill="1" applyBorder="1" applyAlignment="1">
      <alignment horizontal="center" vertical="center"/>
    </xf>
    <xf numFmtId="0" fontId="4" fillId="0" borderId="7" xfId="0" applyFont="1" applyFill="1" applyBorder="1"/>
    <xf numFmtId="9" fontId="4" fillId="0" borderId="14" xfId="0" applyNumberFormat="1"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167" fontId="0" fillId="0" borderId="0" xfId="0" applyNumberFormat="1" applyBorder="1"/>
    <xf numFmtId="49" fontId="0" fillId="0" borderId="1" xfId="0" applyNumberFormat="1" applyBorder="1"/>
    <xf numFmtId="10" fontId="8" fillId="17" borderId="0" xfId="3" applyNumberFormat="1" applyFont="1" applyFill="1" applyBorder="1"/>
    <xf numFmtId="3" fontId="8" fillId="17" borderId="0" xfId="0" applyNumberFormat="1" applyFont="1" applyFill="1" applyBorder="1"/>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0" borderId="0" xfId="0" applyFont="1" applyAlignment="1">
      <alignment horizontal="center"/>
    </xf>
    <xf numFmtId="0" fontId="8" fillId="17" borderId="1" xfId="0" applyFont="1" applyFill="1" applyBorder="1" applyAlignment="1">
      <alignment horizontal="center" vertical="center"/>
    </xf>
    <xf numFmtId="9" fontId="8" fillId="91" borderId="6"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36" fillId="16" borderId="4" xfId="0" applyFont="1" applyFill="1" applyBorder="1" applyAlignment="1">
      <alignment vertical="center"/>
    </xf>
    <xf numFmtId="0" fontId="8" fillId="17" borderId="37" xfId="0" applyFont="1" applyFill="1" applyBorder="1" applyAlignment="1">
      <alignment horizontal="center" vertical="center"/>
    </xf>
    <xf numFmtId="0" fontId="49" fillId="17" borderId="12" xfId="0" applyFont="1" applyFill="1" applyBorder="1" applyAlignment="1">
      <alignment horizontal="center" vertical="center"/>
    </xf>
    <xf numFmtId="0" fontId="36" fillId="16" borderId="25" xfId="0" applyFont="1" applyFill="1" applyBorder="1" applyAlignment="1">
      <alignment vertical="center"/>
    </xf>
    <xf numFmtId="3" fontId="36" fillId="16" borderId="26" xfId="0" applyNumberFormat="1" applyFont="1" applyFill="1" applyBorder="1" applyAlignment="1">
      <alignment vertical="center"/>
    </xf>
    <xf numFmtId="0" fontId="8" fillId="17" borderId="13" xfId="0" applyFont="1" applyFill="1" applyBorder="1" applyAlignment="1">
      <alignment horizontal="center"/>
    </xf>
    <xf numFmtId="3" fontId="8" fillId="0" borderId="6"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8"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56" fillId="0" borderId="37" xfId="0" applyFont="1" applyFill="1" applyBorder="1" applyAlignment="1">
      <alignment horizontal="center"/>
    </xf>
    <xf numFmtId="0" fontId="56" fillId="0" borderId="10" xfId="0" applyFont="1" applyFill="1" applyBorder="1" applyAlignment="1">
      <alignment horizontal="center"/>
    </xf>
    <xf numFmtId="1" fontId="56" fillId="0" borderId="10" xfId="0" applyNumberFormat="1" applyFont="1" applyFill="1" applyBorder="1" applyAlignment="1">
      <alignment horizontal="center"/>
    </xf>
    <xf numFmtId="166" fontId="56" fillId="0" borderId="10" xfId="0" applyNumberFormat="1" applyFont="1" applyFill="1" applyBorder="1" applyAlignment="1">
      <alignment horizontal="center"/>
    </xf>
    <xf numFmtId="167" fontId="56" fillId="0" borderId="10" xfId="0" applyNumberFormat="1" applyFont="1" applyFill="1" applyBorder="1" applyAlignment="1">
      <alignment horizontal="center"/>
    </xf>
    <xf numFmtId="166" fontId="56" fillId="0" borderId="11" xfId="0" applyNumberFormat="1" applyFont="1" applyFill="1" applyBorder="1" applyAlignment="1">
      <alignment horizontal="center"/>
    </xf>
    <xf numFmtId="11" fontId="0" fillId="0" borderId="12" xfId="0" applyNumberFormat="1" applyBorder="1"/>
    <xf numFmtId="0" fontId="0" fillId="0" borderId="10" xfId="0" applyBorder="1" applyAlignment="1">
      <alignment horizontal="center"/>
    </xf>
    <xf numFmtId="168" fontId="0" fillId="0" borderId="10" xfId="0" applyNumberFormat="1" applyBorder="1" applyAlignment="1">
      <alignment horizontal="center"/>
    </xf>
    <xf numFmtId="0" fontId="0" fillId="0" borderId="0" xfId="0" applyBorder="1" applyAlignment="1">
      <alignment horizontal="center"/>
    </xf>
    <xf numFmtId="168" fontId="0" fillId="0" borderId="0" xfId="0" applyNumberFormat="1" applyBorder="1" applyAlignment="1">
      <alignment horizontal="center"/>
    </xf>
    <xf numFmtId="168" fontId="0" fillId="0" borderId="0" xfId="0" applyNumberFormat="1" applyBorder="1"/>
    <xf numFmtId="168" fontId="0" fillId="0" borderId="12" xfId="0" applyNumberFormat="1" applyBorder="1"/>
    <xf numFmtId="0" fontId="0" fillId="0" borderId="14" xfId="0" applyBorder="1" applyAlignment="1">
      <alignment horizontal="center"/>
    </xf>
    <xf numFmtId="168" fontId="0" fillId="0" borderId="14" xfId="0" applyNumberFormat="1" applyBorder="1" applyAlignment="1">
      <alignment horizontal="center"/>
    </xf>
    <xf numFmtId="168" fontId="0" fillId="0" borderId="14" xfId="0" applyNumberFormat="1" applyBorder="1"/>
    <xf numFmtId="168" fontId="0" fillId="0" borderId="15" xfId="0" applyNumberFormat="1" applyBorder="1"/>
    <xf numFmtId="0" fontId="8" fillId="17" borderId="14" xfId="3" applyNumberFormat="1" applyFont="1" applyFill="1" applyBorder="1" applyAlignment="1">
      <alignment vertical="center"/>
    </xf>
    <xf numFmtId="0" fontId="8" fillId="0" borderId="21" xfId="3" applyNumberFormat="1" applyFont="1" applyFill="1" applyBorder="1" applyAlignment="1">
      <alignment vertical="center"/>
    </xf>
    <xf numFmtId="9" fontId="8" fillId="13" borderId="3" xfId="0" applyNumberFormat="1" applyFont="1" applyFill="1" applyBorder="1"/>
    <xf numFmtId="9" fontId="8" fillId="13" borderId="3" xfId="0" applyNumberFormat="1" applyFont="1" applyFill="1" applyBorder="1" applyAlignment="1">
      <alignment vertical="center"/>
    </xf>
    <xf numFmtId="9" fontId="8" fillId="13" borderId="25" xfId="0" applyNumberFormat="1" applyFont="1" applyFill="1" applyBorder="1" applyAlignment="1">
      <alignment vertical="center"/>
    </xf>
    <xf numFmtId="3" fontId="49" fillId="17" borderId="36" xfId="0" applyNumberFormat="1" applyFont="1" applyFill="1" applyBorder="1" applyAlignment="1">
      <alignment vertical="center"/>
    </xf>
    <xf numFmtId="3" fontId="49" fillId="17" borderId="6" xfId="0" applyNumberFormat="1" applyFont="1" applyFill="1" applyBorder="1" applyAlignment="1">
      <alignment vertical="center"/>
    </xf>
    <xf numFmtId="3" fontId="49" fillId="17" borderId="8"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0" fillId="29" borderId="0" xfId="0" applyFill="1" applyAlignment="1">
      <alignment horizontal="center"/>
    </xf>
    <xf numFmtId="3" fontId="49" fillId="17" borderId="36" xfId="0" applyNumberFormat="1" applyFont="1" applyFill="1" applyBorder="1" applyAlignment="1">
      <alignment vertical="center" wrapText="1"/>
    </xf>
    <xf numFmtId="3" fontId="49" fillId="17" borderId="6" xfId="0" applyNumberFormat="1" applyFont="1" applyFill="1" applyBorder="1" applyAlignment="1">
      <alignment vertical="center" wrapText="1"/>
    </xf>
    <xf numFmtId="3" fontId="49" fillId="17" borderId="8" xfId="0" applyNumberFormat="1" applyFont="1" applyFill="1" applyBorder="1" applyAlignment="1">
      <alignment vertical="center" wrapText="1"/>
    </xf>
    <xf numFmtId="168" fontId="8" fillId="17" borderId="0" xfId="0" applyNumberFormat="1" applyFont="1" applyFill="1" applyBorder="1" applyAlignment="1">
      <alignment vertical="center"/>
    </xf>
    <xf numFmtId="1" fontId="48" fillId="17" borderId="0" xfId="0" applyNumberFormat="1" applyFont="1" applyFill="1" applyBorder="1" applyAlignment="1">
      <alignment vertical="center"/>
    </xf>
    <xf numFmtId="1" fontId="9" fillId="17" borderId="12" xfId="0" applyNumberFormat="1" applyFont="1" applyFill="1" applyBorder="1" applyAlignment="1">
      <alignment vertical="center"/>
    </xf>
    <xf numFmtId="1" fontId="9" fillId="17" borderId="12" xfId="0" applyNumberFormat="1" applyFont="1" applyFill="1" applyBorder="1" applyAlignment="1">
      <alignment horizontal="center" vertical="center"/>
    </xf>
    <xf numFmtId="9" fontId="8" fillId="0" borderId="2" xfId="3"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24" borderId="1" xfId="0" applyFont="1" applyFill="1" applyBorder="1" applyAlignment="1">
      <alignment horizontal="center" wrapText="1"/>
    </xf>
    <xf numFmtId="0" fontId="8" fillId="24" borderId="12" xfId="0" applyFont="1" applyFill="1" applyBorder="1" applyAlignment="1">
      <alignment horizontal="center" wrapText="1"/>
    </xf>
    <xf numFmtId="0" fontId="8" fillId="0" borderId="1" xfId="0" applyFont="1" applyFill="1" applyBorder="1" applyAlignment="1">
      <alignment horizontal="center"/>
    </xf>
    <xf numFmtId="0" fontId="8" fillId="0" borderId="12" xfId="0" applyFont="1" applyFill="1" applyBorder="1" applyAlignment="1">
      <alignment horizontal="center"/>
    </xf>
    <xf numFmtId="0" fontId="19" fillId="0" borderId="1" xfId="0" applyFont="1" applyFill="1" applyBorder="1" applyAlignment="1">
      <alignment horizontal="center"/>
    </xf>
    <xf numFmtId="0" fontId="19" fillId="0" borderId="12" xfId="0" applyFont="1" applyFill="1" applyBorder="1" applyAlignment="1">
      <alignment horizontal="center"/>
    </xf>
    <xf numFmtId="0" fontId="80" fillId="0" borderId="0" xfId="0" applyFont="1" applyBorder="1"/>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26" fillId="0" borderId="0" xfId="0" applyFont="1" applyFill="1" applyAlignment="1">
      <alignment horizontal="center" vertical="center"/>
    </xf>
    <xf numFmtId="0" fontId="13" fillId="0" borderId="0" xfId="0" applyFont="1" applyFill="1" applyAlignment="1">
      <alignment vertical="center"/>
    </xf>
    <xf numFmtId="0" fontId="13" fillId="0" borderId="0" xfId="0" applyFont="1" applyFill="1"/>
    <xf numFmtId="3" fontId="10" fillId="0" borderId="0" xfId="2" applyFont="1" applyFill="1" applyAlignment="1">
      <alignment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0" fillId="29" borderId="0" xfId="0" applyFill="1" applyAlignment="1">
      <alignment horizont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3" xfId="0" applyFont="1" applyFill="1" applyBorder="1" applyAlignment="1">
      <alignment vertical="center"/>
    </xf>
    <xf numFmtId="0" fontId="0" fillId="0" borderId="14" xfId="0" applyFont="1" applyFill="1" applyBorder="1" applyAlignment="1">
      <alignment horizontal="center" vertical="center"/>
    </xf>
    <xf numFmtId="0" fontId="9" fillId="13" borderId="25" xfId="0" applyFont="1" applyFill="1" applyBorder="1" applyAlignment="1">
      <alignment vertical="center"/>
    </xf>
    <xf numFmtId="0" fontId="49" fillId="17" borderId="0" xfId="0" applyFont="1" applyFill="1" applyBorder="1" applyAlignment="1">
      <alignment horizontal="right" vertical="center"/>
    </xf>
    <xf numFmtId="0" fontId="49" fillId="17" borderId="0" xfId="0" applyNumberFormat="1" applyFont="1" applyFill="1" applyBorder="1" applyAlignment="1">
      <alignment vertical="center"/>
    </xf>
    <xf numFmtId="169" fontId="49" fillId="17" borderId="14" xfId="0" applyNumberFormat="1" applyFont="1" applyFill="1" applyBorder="1" applyAlignment="1">
      <alignment vertical="center"/>
    </xf>
    <xf numFmtId="3" fontId="25" fillId="17" borderId="14"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0" fillId="29" borderId="0" xfId="0" applyFill="1" applyAlignment="1">
      <alignment horizont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9" fontId="49" fillId="17" borderId="7" xfId="0" applyNumberFormat="1" applyFont="1" applyFill="1" applyBorder="1" applyAlignment="1">
      <alignment vertical="center"/>
    </xf>
    <xf numFmtId="9" fontId="8" fillId="17" borderId="10" xfId="3" applyFont="1" applyFill="1" applyBorder="1" applyAlignment="1">
      <alignment horizontal="center" vertical="center"/>
    </xf>
    <xf numFmtId="3" fontId="8" fillId="17" borderId="6" xfId="0" applyNumberFormat="1" applyFont="1" applyFill="1" applyBorder="1" applyAlignment="1">
      <alignment vertical="center"/>
    </xf>
    <xf numFmtId="3" fontId="9" fillId="17" borderId="6" xfId="0" applyNumberFormat="1" applyFont="1" applyFill="1" applyBorder="1" applyAlignment="1">
      <alignment vertical="center"/>
    </xf>
    <xf numFmtId="3" fontId="9" fillId="17" borderId="1" xfId="2" applyFont="1" applyFill="1" applyBorder="1" applyAlignment="1">
      <alignment vertical="center"/>
    </xf>
    <xf numFmtId="3" fontId="48" fillId="17" borderId="1" xfId="2" applyFont="1" applyFill="1" applyBorder="1" applyAlignment="1">
      <alignment horizontal="center" vertical="center"/>
    </xf>
    <xf numFmtId="3" fontId="9" fillId="13" borderId="25" xfId="2" applyFont="1" applyFill="1" applyBorder="1" applyAlignment="1">
      <alignment vertical="center"/>
    </xf>
    <xf numFmtId="3" fontId="49" fillId="17" borderId="11" xfId="2"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8" fillId="13" borderId="7" xfId="2" applyFont="1" applyFill="1" applyBorder="1" applyAlignment="1">
      <alignment vertical="center"/>
    </xf>
    <xf numFmtId="3" fontId="8" fillId="13" borderId="14" xfId="2" applyFont="1" applyFill="1" applyBorder="1" applyAlignment="1">
      <alignment vertical="center"/>
    </xf>
    <xf numFmtId="3" fontId="9" fillId="13" borderId="26" xfId="0" applyNumberFormat="1" applyFont="1" applyFill="1" applyBorder="1" applyAlignment="1">
      <alignment vertical="center"/>
    </xf>
    <xf numFmtId="3" fontId="8" fillId="13" borderId="26" xfId="0" applyNumberFormat="1" applyFont="1" applyFill="1" applyBorder="1" applyAlignment="1">
      <alignment vertical="center"/>
    </xf>
    <xf numFmtId="3" fontId="9" fillId="13" borderId="14" xfId="2" applyFont="1" applyFill="1" applyBorder="1" applyAlignment="1">
      <alignment vertical="center"/>
    </xf>
    <xf numFmtId="3" fontId="9" fillId="17" borderId="14" xfId="2" applyFont="1" applyFill="1" applyBorder="1" applyAlignment="1">
      <alignment vertical="center"/>
    </xf>
    <xf numFmtId="3" fontId="9" fillId="17" borderId="15" xfId="2" applyFont="1" applyFill="1" applyBorder="1" applyAlignment="1">
      <alignment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9" fillId="17" borderId="0" xfId="0" applyFont="1" applyFill="1" applyBorder="1" applyAlignment="1">
      <alignment horizontal="center" vertical="center"/>
    </xf>
    <xf numFmtId="3" fontId="9" fillId="13" borderId="8" xfId="0" applyNumberFormat="1" applyFont="1" applyFill="1" applyBorder="1" applyAlignment="1">
      <alignment vertical="center"/>
    </xf>
    <xf numFmtId="3" fontId="8" fillId="17" borderId="8" xfId="0" applyNumberFormat="1" applyFont="1" applyFill="1" applyBorder="1" applyAlignment="1">
      <alignment vertical="center"/>
    </xf>
    <xf numFmtId="0" fontId="9" fillId="17" borderId="12" xfId="0" applyFont="1" applyFill="1" applyBorder="1" applyAlignment="1">
      <alignment horizontal="center" vertical="center"/>
    </xf>
    <xf numFmtId="3" fontId="8" fillId="13" borderId="14" xfId="0" applyNumberFormat="1" applyFont="1" applyFill="1" applyBorder="1" applyAlignment="1">
      <alignment vertical="center"/>
    </xf>
    <xf numFmtId="3" fontId="48" fillId="13" borderId="14" xfId="0" applyNumberFormat="1" applyFont="1" applyFill="1" applyBorder="1" applyAlignment="1">
      <alignment vertical="center"/>
    </xf>
    <xf numFmtId="3" fontId="17" fillId="13" borderId="14" xfId="0" applyNumberFormat="1" applyFont="1" applyFill="1" applyBorder="1" applyAlignment="1">
      <alignment vertical="center"/>
    </xf>
    <xf numFmtId="0" fontId="9" fillId="17" borderId="36" xfId="0" applyFont="1" applyFill="1" applyBorder="1" applyAlignment="1">
      <alignment vertical="center"/>
    </xf>
    <xf numFmtId="0" fontId="12" fillId="17" borderId="14" xfId="0" applyFont="1" applyFill="1" applyBorder="1" applyAlignment="1">
      <alignment vertical="center"/>
    </xf>
    <xf numFmtId="0" fontId="9" fillId="17" borderId="8" xfId="0" applyFont="1" applyFill="1" applyBorder="1" applyAlignment="1">
      <alignment vertical="center"/>
    </xf>
    <xf numFmtId="0" fontId="8" fillId="17" borderId="8" xfId="0" applyFont="1" applyFill="1" applyBorder="1" applyAlignment="1">
      <alignment vertical="center"/>
    </xf>
    <xf numFmtId="49" fontId="8" fillId="17" borderId="7" xfId="0" applyNumberFormat="1" applyFont="1" applyFill="1" applyBorder="1" applyAlignment="1">
      <alignment vertical="center"/>
    </xf>
    <xf numFmtId="49" fontId="8" fillId="17" borderId="14" xfId="0" applyNumberFormat="1" applyFont="1" applyFill="1" applyBorder="1" applyAlignment="1">
      <alignment vertical="center"/>
    </xf>
    <xf numFmtId="49" fontId="49" fillId="17" borderId="14" xfId="0" applyNumberFormat="1" applyFont="1" applyFill="1" applyBorder="1" applyAlignment="1">
      <alignment vertical="center"/>
    </xf>
    <xf numFmtId="0" fontId="9" fillId="17" borderId="12" xfId="0" applyFont="1" applyFill="1" applyBorder="1" applyAlignment="1">
      <alignment horizontal="right" vertical="center"/>
    </xf>
    <xf numFmtId="3" fontId="8" fillId="13" borderId="8" xfId="0" applyNumberFormat="1" applyFont="1" applyFill="1" applyBorder="1" applyAlignment="1">
      <alignment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3" fontId="35" fillId="17" borderId="12" xfId="2"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3" fontId="35" fillId="17" borderId="1" xfId="2" applyFont="1" applyFill="1" applyBorder="1" applyAlignment="1">
      <alignment horizontal="center" vertical="center"/>
    </xf>
    <xf numFmtId="3" fontId="9" fillId="17" borderId="12" xfId="2" applyFont="1" applyFill="1" applyBorder="1" applyAlignment="1">
      <alignment horizontal="center" vertical="center"/>
    </xf>
    <xf numFmtId="3" fontId="49"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3" fontId="36" fillId="17" borderId="0"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48" fillId="17" borderId="0" xfId="0" applyFont="1" applyFill="1" applyBorder="1" applyAlignment="1">
      <alignment horizontal="center" vertical="center"/>
    </xf>
    <xf numFmtId="0" fontId="35" fillId="16" borderId="2" xfId="0" applyFont="1" applyFill="1" applyBorder="1" applyAlignment="1">
      <alignment horizontal="center" vertical="center"/>
    </xf>
    <xf numFmtId="0" fontId="36" fillId="16" borderId="4" xfId="0" applyFont="1" applyFill="1" applyBorder="1" applyAlignment="1">
      <alignment vertical="center"/>
    </xf>
    <xf numFmtId="0" fontId="44" fillId="16" borderId="3" xfId="0" applyFont="1" applyFill="1" applyBorder="1" applyAlignment="1">
      <alignment horizontal="center" vertical="center"/>
    </xf>
    <xf numFmtId="0" fontId="44" fillId="16" borderId="4" xfId="0" applyFont="1" applyFill="1" applyBorder="1" applyAlignment="1">
      <alignment horizontal="center" vertical="center"/>
    </xf>
    <xf numFmtId="0" fontId="36" fillId="19" borderId="2" xfId="0" applyFont="1" applyFill="1" applyBorder="1" applyAlignment="1">
      <alignment horizontal="center" vertical="center"/>
    </xf>
    <xf numFmtId="0" fontId="44" fillId="16" borderId="9" xfId="0" applyFont="1" applyFill="1" applyBorder="1" applyAlignment="1">
      <alignment horizontal="center" vertical="center"/>
    </xf>
    <xf numFmtId="0" fontId="44" fillId="16" borderId="10" xfId="0" applyFont="1" applyFill="1" applyBorder="1" applyAlignment="1">
      <alignment horizontal="center" vertical="center"/>
    </xf>
    <xf numFmtId="0" fontId="44" fillId="16" borderId="7" xfId="0" applyFont="1" applyFill="1" applyBorder="1" applyAlignment="1">
      <alignment horizontal="center" vertical="center"/>
    </xf>
    <xf numFmtId="0" fontId="44" fillId="16" borderId="14" xfId="0" applyFont="1" applyFill="1" applyBorder="1" applyAlignment="1">
      <alignment horizontal="center" vertical="center"/>
    </xf>
    <xf numFmtId="0" fontId="8" fillId="17" borderId="11" xfId="0" applyFont="1" applyFill="1" applyBorder="1" applyAlignment="1">
      <alignment horizontal="center" vertical="center"/>
    </xf>
    <xf numFmtId="3" fontId="35" fillId="17" borderId="0"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0" fontId="8" fillId="17" borderId="12"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35" fillId="17" borderId="1" xfId="2" applyFont="1" applyFill="1" applyBorder="1" applyAlignment="1">
      <alignment horizontal="center" vertical="center"/>
    </xf>
    <xf numFmtId="3" fontId="9" fillId="17" borderId="7" xfId="2" applyFont="1" applyFill="1" applyBorder="1" applyAlignment="1">
      <alignment vertical="center"/>
    </xf>
    <xf numFmtId="3" fontId="36" fillId="17" borderId="10" xfId="2" applyFont="1" applyFill="1" applyBorder="1" applyAlignment="1">
      <alignment horizontal="center" vertical="center"/>
    </xf>
    <xf numFmtId="0" fontId="27" fillId="92" borderId="0" xfId="1" applyFont="1" applyFill="1" applyBorder="1" applyAlignment="1" applyProtection="1">
      <alignment horizontal="right" vertical="center"/>
    </xf>
    <xf numFmtId="0" fontId="29" fillId="92" borderId="0" xfId="1" applyFont="1" applyFill="1" applyBorder="1" applyAlignment="1" applyProtection="1">
      <alignment horizontal="center" vertical="center"/>
    </xf>
    <xf numFmtId="0" fontId="40" fillId="92" borderId="0" xfId="1" applyFont="1" applyFill="1" applyBorder="1" applyAlignment="1" applyProtection="1">
      <alignment horizontal="center" vertical="center"/>
    </xf>
    <xf numFmtId="0" fontId="26" fillId="92" borderId="0" xfId="1" applyFont="1" applyFill="1" applyBorder="1" applyAlignment="1" applyProtection="1">
      <alignment vertical="center"/>
    </xf>
    <xf numFmtId="1" fontId="8" fillId="13" borderId="14" xfId="0" applyNumberFormat="1" applyFont="1" applyFill="1" applyBorder="1" applyAlignment="1">
      <alignment vertical="center"/>
    </xf>
    <xf numFmtId="3" fontId="9" fillId="13" borderId="15" xfId="0" applyNumberFormat="1" applyFont="1" applyFill="1" applyBorder="1" applyAlignment="1">
      <alignment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3" fontId="35" fillId="17" borderId="0" xfId="2" applyFont="1" applyFill="1" applyBorder="1" applyAlignment="1">
      <alignment horizontal="center" vertical="center"/>
    </xf>
    <xf numFmtId="3" fontId="35" fillId="17" borderId="12" xfId="2"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9" fontId="8" fillId="17" borderId="10" xfId="3" applyFont="1" applyFill="1" applyBorder="1" applyAlignment="1">
      <alignment horizontal="center" vertical="center"/>
    </xf>
    <xf numFmtId="9" fontId="8" fillId="17" borderId="14"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9" fillId="17" borderId="12" xfId="2" applyFont="1" applyFill="1" applyBorder="1" applyAlignment="1">
      <alignment horizontal="center" vertical="center"/>
    </xf>
    <xf numFmtId="3" fontId="35" fillId="17" borderId="1"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0" xfId="2" applyFont="1" applyFill="1" applyBorder="1" applyAlignment="1">
      <alignment horizontal="center" vertical="center"/>
    </xf>
    <xf numFmtId="0" fontId="49" fillId="17" borderId="0" xfId="0" applyFont="1" applyFill="1" applyBorder="1" applyAlignment="1">
      <alignment horizontal="center" vertical="center"/>
    </xf>
    <xf numFmtId="3" fontId="8" fillId="17" borderId="1" xfId="0" applyNumberFormat="1" applyFont="1" applyFill="1" applyBorder="1" applyAlignment="1">
      <alignment horizontal="right" vertical="center"/>
    </xf>
    <xf numFmtId="3" fontId="8" fillId="17" borderId="1" xfId="2" applyFont="1" applyFill="1" applyBorder="1" applyAlignment="1">
      <alignment horizontal="right" vertical="center"/>
    </xf>
    <xf numFmtId="0" fontId="48" fillId="17" borderId="0" xfId="0" applyFont="1" applyFill="1" applyBorder="1" applyAlignment="1">
      <alignment horizontal="right" vertical="center"/>
    </xf>
    <xf numFmtId="165" fontId="49" fillId="17" borderId="0" xfId="0" applyNumberFormat="1" applyFont="1" applyFill="1" applyBorder="1" applyAlignment="1">
      <alignment vertical="center"/>
    </xf>
    <xf numFmtId="3" fontId="9" fillId="0" borderId="0" xfId="0" applyNumberFormat="1" applyFont="1" applyFill="1" applyBorder="1" applyAlignment="1">
      <alignment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17" borderId="12" xfId="0" applyFont="1" applyFill="1" applyBorder="1" applyAlignment="1">
      <alignment horizontal="center" vertical="center"/>
    </xf>
    <xf numFmtId="9" fontId="8" fillId="17" borderId="10" xfId="3" applyFont="1" applyFill="1" applyBorder="1" applyAlignment="1">
      <alignment horizontal="center" vertical="center"/>
    </xf>
    <xf numFmtId="9" fontId="8" fillId="17" borderId="14" xfId="3" applyFont="1" applyFill="1" applyBorder="1" applyAlignment="1">
      <alignment horizontal="center" vertical="center"/>
    </xf>
    <xf numFmtId="0" fontId="8" fillId="91" borderId="36"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9" fillId="13" borderId="7" xfId="2" applyFont="1" applyFill="1" applyBorder="1" applyAlignment="1">
      <alignment vertical="center"/>
    </xf>
    <xf numFmtId="3" fontId="9" fillId="13" borderId="15" xfId="2" applyFont="1" applyFill="1" applyBorder="1" applyAlignment="1">
      <alignment vertical="center"/>
    </xf>
    <xf numFmtId="0" fontId="8" fillId="13" borderId="13" xfId="0" applyNumberFormat="1" applyFont="1" applyFill="1" applyBorder="1" applyAlignment="1">
      <alignment vertical="center"/>
    </xf>
    <xf numFmtId="0" fontId="8" fillId="0" borderId="0" xfId="0" applyNumberFormat="1" applyFont="1" applyAlignment="1">
      <alignment vertical="center"/>
    </xf>
    <xf numFmtId="0" fontId="8" fillId="17" borderId="10" xfId="0" applyNumberFormat="1" applyFont="1" applyFill="1" applyBorder="1" applyAlignment="1">
      <alignment vertical="center"/>
    </xf>
    <xf numFmtId="0" fontId="8" fillId="17" borderId="0" xfId="0" applyNumberFormat="1" applyFont="1" applyFill="1" applyBorder="1" applyAlignment="1">
      <alignment vertical="center"/>
    </xf>
    <xf numFmtId="0" fontId="8" fillId="17" borderId="5" xfId="0" applyNumberFormat="1" applyFont="1" applyFill="1" applyBorder="1" applyAlignment="1">
      <alignment horizontal="center" vertical="center"/>
    </xf>
    <xf numFmtId="0" fontId="8" fillId="17" borderId="8" xfId="0" applyNumberFormat="1" applyFont="1" applyFill="1" applyBorder="1" applyAlignment="1">
      <alignment horizontal="center" vertical="center"/>
    </xf>
    <xf numFmtId="0" fontId="8" fillId="0" borderId="23" xfId="0" applyNumberFormat="1" applyFont="1" applyFill="1" applyBorder="1" applyAlignment="1">
      <alignment vertical="center"/>
    </xf>
    <xf numFmtId="0" fontId="8" fillId="0" borderId="22" xfId="0" applyNumberFormat="1" applyFont="1" applyFill="1" applyBorder="1" applyAlignment="1">
      <alignment vertical="center"/>
    </xf>
    <xf numFmtId="0" fontId="9" fillId="17" borderId="4" xfId="0" applyFont="1" applyFill="1" applyBorder="1" applyAlignment="1">
      <alignment vertical="center"/>
    </xf>
    <xf numFmtId="0" fontId="8" fillId="91" borderId="37" xfId="0"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6" fillId="17" borderId="12"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3" fontId="35" fillId="17" borderId="0" xfId="2"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35" fillId="17" borderId="1"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1" fontId="8" fillId="17" borderId="0" xfId="0" applyNumberFormat="1" applyFont="1" applyFill="1" applyBorder="1" applyAlignment="1">
      <alignment vertical="center"/>
    </xf>
    <xf numFmtId="0" fontId="8" fillId="91" borderId="37"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9" fillId="40" borderId="0"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12" xfId="2" applyFont="1" applyFill="1" applyBorder="1" applyAlignment="1">
      <alignment horizontal="center" vertical="center"/>
    </xf>
    <xf numFmtId="3" fontId="9" fillId="40" borderId="10" xfId="2" applyFont="1" applyFill="1" applyBorder="1" applyAlignment="1">
      <alignment horizontal="center" vertical="center"/>
    </xf>
    <xf numFmtId="3" fontId="9" fillId="40" borderId="11" xfId="2" applyFont="1" applyFill="1" applyBorder="1" applyAlignment="1">
      <alignment horizontal="center" vertical="center"/>
    </xf>
    <xf numFmtId="3" fontId="36" fillId="40" borderId="0" xfId="2" applyFont="1" applyFill="1" applyBorder="1" applyAlignment="1">
      <alignment horizontal="center" vertical="center"/>
    </xf>
    <xf numFmtId="3" fontId="35" fillId="40" borderId="0" xfId="2" applyFont="1" applyFill="1" applyBorder="1" applyAlignment="1">
      <alignment horizontal="center" vertical="center"/>
    </xf>
    <xf numFmtId="3" fontId="9" fillId="40" borderId="37" xfId="2" applyFont="1" applyFill="1" applyBorder="1" applyAlignment="1">
      <alignment horizontal="center" vertical="center"/>
    </xf>
    <xf numFmtId="0" fontId="9" fillId="17" borderId="0" xfId="0" applyFont="1" applyFill="1" applyBorder="1"/>
    <xf numFmtId="3" fontId="9" fillId="17" borderId="0" xfId="0" applyNumberFormat="1" applyFont="1" applyFill="1" applyBorder="1"/>
    <xf numFmtId="9" fontId="8" fillId="13" borderId="25" xfId="0" applyNumberFormat="1" applyFont="1" applyFill="1" applyBorder="1"/>
    <xf numFmtId="3" fontId="8" fillId="0" borderId="20" xfId="3" applyNumberFormat="1" applyFont="1" applyFill="1" applyBorder="1" applyAlignment="1">
      <alignment vertical="center"/>
    </xf>
    <xf numFmtId="3" fontId="8" fillId="0" borderId="22" xfId="3" applyNumberFormat="1" applyFont="1" applyFill="1" applyBorder="1" applyAlignment="1">
      <alignment vertical="center"/>
    </xf>
    <xf numFmtId="0" fontId="4" fillId="0" borderId="0" xfId="0" applyFont="1" applyFill="1" applyBorder="1" applyAlignment="1">
      <alignment vertical="center"/>
    </xf>
    <xf numFmtId="0" fontId="8" fillId="91" borderId="37"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0" xfId="2" applyFont="1" applyFill="1" applyBorder="1" applyAlignment="1">
      <alignment horizontal="center" vertical="center"/>
    </xf>
    <xf numFmtId="3" fontId="35" fillId="40" borderId="0" xfId="2" applyFont="1" applyFill="1" applyBorder="1" applyAlignment="1">
      <alignment horizontal="center" vertical="center"/>
    </xf>
    <xf numFmtId="3" fontId="36" fillId="40" borderId="12" xfId="2" applyFont="1" applyFill="1" applyBorder="1" applyAlignment="1">
      <alignment horizontal="center" vertical="center"/>
    </xf>
    <xf numFmtId="3" fontId="8" fillId="10" borderId="25" xfId="2" applyFont="1" applyFill="1" applyBorder="1" applyAlignment="1">
      <alignment vertical="center"/>
    </xf>
    <xf numFmtId="3" fontId="9" fillId="40" borderId="37" xfId="2" applyFont="1" applyFill="1" applyBorder="1" applyAlignment="1">
      <alignment vertical="center"/>
    </xf>
    <xf numFmtId="3" fontId="8" fillId="40" borderId="14" xfId="2" applyFont="1" applyFill="1" applyBorder="1" applyAlignment="1">
      <alignment vertical="center"/>
    </xf>
    <xf numFmtId="3" fontId="9" fillId="40" borderId="14" xfId="2" applyFont="1" applyFill="1" applyBorder="1" applyAlignment="1">
      <alignment vertical="center"/>
    </xf>
    <xf numFmtId="3" fontId="8" fillId="17" borderId="14" xfId="3" applyNumberFormat="1" applyFont="1" applyFill="1" applyBorder="1" applyAlignment="1">
      <alignment vertical="center"/>
    </xf>
    <xf numFmtId="3" fontId="8" fillId="0" borderId="21" xfId="3" applyNumberFormat="1" applyFont="1" applyFill="1" applyBorder="1" applyAlignment="1">
      <alignment vertical="center"/>
    </xf>
    <xf numFmtId="3" fontId="9" fillId="40" borderId="1" xfId="2" applyFont="1" applyFill="1" applyBorder="1" applyAlignment="1">
      <alignment vertical="center"/>
    </xf>
    <xf numFmtId="3" fontId="8" fillId="10" borderId="15" xfId="2" applyFont="1" applyFill="1" applyBorder="1" applyAlignment="1">
      <alignment vertical="center"/>
    </xf>
    <xf numFmtId="3" fontId="8" fillId="10" borderId="14" xfId="2" applyFont="1" applyFill="1" applyBorder="1" applyAlignment="1">
      <alignment vertical="center"/>
    </xf>
    <xf numFmtId="0" fontId="8" fillId="0" borderId="38"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0" fontId="8" fillId="0" borderId="40" xfId="0" applyNumberFormat="1"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91" borderId="37"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9" fillId="17" borderId="0" xfId="2" applyFont="1" applyFill="1" applyBorder="1" applyAlignment="1">
      <alignment horizontal="right" vertical="center"/>
    </xf>
    <xf numFmtId="3" fontId="9" fillId="40" borderId="10" xfId="2" applyFont="1" applyFill="1" applyBorder="1" applyAlignment="1">
      <alignment vertical="center"/>
    </xf>
    <xf numFmtId="3" fontId="9" fillId="40" borderId="15" xfId="2" applyFont="1" applyFill="1" applyBorder="1" applyAlignment="1">
      <alignment vertical="center"/>
    </xf>
    <xf numFmtId="0" fontId="8" fillId="17" borderId="36" xfId="0" applyFont="1" applyFill="1" applyBorder="1" applyAlignment="1">
      <alignment vertical="center"/>
    </xf>
    <xf numFmtId="0" fontId="0" fillId="0" borderId="4" xfId="0" applyBorder="1"/>
    <xf numFmtId="0" fontId="0" fillId="0" borderId="4" xfId="0" applyBorder="1" applyAlignment="1">
      <alignment horizontal="right"/>
    </xf>
    <xf numFmtId="0" fontId="8" fillId="91" borderId="37"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8" fillId="17" borderId="0" xfId="0" applyFont="1" applyFill="1" applyBorder="1" applyAlignment="1">
      <alignment horizontal="center" vertical="center"/>
    </xf>
    <xf numFmtId="0" fontId="36" fillId="19" borderId="2" xfId="0" applyFont="1" applyFill="1" applyBorder="1" applyAlignment="1">
      <alignment horizontal="center"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 xfId="0" applyFont="1" applyFill="1"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0" xfId="0" applyFill="1" applyBorder="1" applyAlignment="1">
      <alignment horizontal="center" vertical="center"/>
    </xf>
    <xf numFmtId="0" fontId="0" fillId="0" borderId="12" xfId="0" applyFill="1" applyBorder="1" applyAlignment="1">
      <alignment horizontal="center" vertical="center"/>
    </xf>
    <xf numFmtId="0" fontId="0" fillId="0" borderId="25" xfId="0" applyBorder="1"/>
    <xf numFmtId="0" fontId="0" fillId="0" borderId="13" xfId="0" applyBorder="1"/>
    <xf numFmtId="9" fontId="4" fillId="0" borderId="13" xfId="0" applyNumberFormat="1" applyFont="1" applyFill="1" applyBorder="1" applyAlignment="1">
      <alignment horizontal="center"/>
    </xf>
    <xf numFmtId="9" fontId="48" fillId="17" borderId="0" xfId="0" applyNumberFormat="1" applyFont="1" applyFill="1" applyBorder="1" applyAlignment="1">
      <alignment vertical="center"/>
    </xf>
    <xf numFmtId="3" fontId="8" fillId="13" borderId="13" xfId="3" applyNumberFormat="1" applyFont="1" applyFill="1" applyBorder="1" applyAlignment="1">
      <alignment vertical="center"/>
    </xf>
    <xf numFmtId="3" fontId="8" fillId="13" borderId="13" xfId="3" applyNumberFormat="1" applyFont="1" applyFill="1" applyBorder="1" applyAlignment="1">
      <alignment horizontal="center" vertical="center"/>
    </xf>
    <xf numFmtId="9" fontId="10" fillId="0" borderId="0" xfId="3" applyFont="1" applyFill="1" applyAlignment="1">
      <alignment vertical="center"/>
    </xf>
    <xf numFmtId="3" fontId="8" fillId="0" borderId="0" xfId="2" applyFont="1" applyFill="1" applyAlignment="1">
      <alignment horizontal="center" vertical="center"/>
    </xf>
    <xf numFmtId="3" fontId="35" fillId="17" borderId="0" xfId="2" applyFont="1" applyFill="1" applyBorder="1" applyAlignment="1">
      <alignment vertical="center"/>
    </xf>
    <xf numFmtId="0" fontId="36" fillId="0" borderId="0" xfId="0" applyFont="1" applyFill="1" applyBorder="1" applyAlignment="1">
      <alignment horizontal="center" vertical="center"/>
    </xf>
    <xf numFmtId="165" fontId="36" fillId="0" borderId="0" xfId="0" applyNumberFormat="1" applyFont="1" applyFill="1" applyBorder="1" applyAlignment="1">
      <alignment vertical="center"/>
    </xf>
    <xf numFmtId="0" fontId="9" fillId="0" borderId="1" xfId="0" applyFont="1" applyFill="1" applyBorder="1" applyAlignment="1">
      <alignment vertical="center"/>
    </xf>
    <xf numFmtId="3" fontId="10" fillId="91" borderId="26" xfId="2" applyFont="1" applyFill="1" applyBorder="1" applyAlignment="1">
      <alignment horizontal="center" vertical="center" wrapText="1"/>
    </xf>
    <xf numFmtId="0" fontId="10" fillId="17" borderId="26" xfId="0" applyFont="1" applyFill="1" applyBorder="1" applyAlignment="1">
      <alignment horizontal="center" vertical="center" wrapText="1"/>
    </xf>
    <xf numFmtId="9" fontId="10" fillId="17" borderId="26" xfId="3" applyFont="1" applyFill="1" applyBorder="1" applyAlignment="1">
      <alignment vertical="center" wrapText="1"/>
    </xf>
    <xf numFmtId="9" fontId="49" fillId="17" borderId="7" xfId="0" applyNumberFormat="1" applyFont="1" applyFill="1" applyBorder="1" applyAlignment="1">
      <alignment horizontal="center" vertical="center"/>
    </xf>
    <xf numFmtId="0" fontId="9" fillId="17" borderId="10" xfId="0"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6" fillId="17" borderId="12" xfId="2" applyFont="1" applyFill="1" applyBorder="1" applyAlignment="1">
      <alignment horizontal="center" vertical="center"/>
    </xf>
    <xf numFmtId="0" fontId="36" fillId="16" borderId="3"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9" fillId="17" borderId="11"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9" fillId="17" borderId="12"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0" fillId="0" borderId="0" xfId="0" applyAlignment="1">
      <alignment horizontal="center"/>
    </xf>
    <xf numFmtId="0" fontId="8" fillId="17" borderId="11" xfId="0" applyFont="1" applyFill="1" applyBorder="1" applyAlignment="1">
      <alignment horizontal="center" vertical="center"/>
    </xf>
    <xf numFmtId="0" fontId="9" fillId="15" borderId="26" xfId="0" applyFont="1" applyFill="1" applyBorder="1" applyAlignment="1">
      <alignment horizontal="center" vertical="center" wrapText="1"/>
    </xf>
    <xf numFmtId="0" fontId="26" fillId="0" borderId="0" xfId="0" applyFont="1" applyBorder="1" applyAlignment="1">
      <alignment horizontal="center" vertical="center"/>
    </xf>
    <xf numFmtId="9" fontId="43" fillId="0" borderId="0" xfId="3" applyFont="1" applyFill="1" applyAlignment="1">
      <alignment vertical="center"/>
    </xf>
    <xf numFmtId="3" fontId="10" fillId="0" borderId="0" xfId="2" applyFont="1" applyFill="1"/>
    <xf numFmtId="0" fontId="10" fillId="0" borderId="0" xfId="0" applyFont="1" applyFill="1"/>
    <xf numFmtId="9" fontId="10" fillId="0" borderId="0" xfId="3" applyFont="1" applyFill="1"/>
    <xf numFmtId="3" fontId="8" fillId="0" borderId="0" xfId="2" applyFont="1" applyFill="1"/>
    <xf numFmtId="9" fontId="36" fillId="0" borderId="0" xfId="3" applyFont="1" applyFill="1" applyAlignment="1">
      <alignment vertical="center"/>
    </xf>
    <xf numFmtId="9" fontId="46" fillId="0" borderId="0" xfId="3" applyFont="1" applyFill="1" applyAlignment="1">
      <alignment vertical="center"/>
    </xf>
    <xf numFmtId="0" fontId="8" fillId="0" borderId="14" xfId="0" applyFont="1" applyBorder="1"/>
    <xf numFmtId="0" fontId="8" fillId="0" borderId="15" xfId="0" applyFont="1" applyBorder="1"/>
    <xf numFmtId="165" fontId="35" fillId="19" borderId="2" xfId="0" applyNumberFormat="1" applyFont="1" applyFill="1" applyBorder="1" applyAlignment="1">
      <alignment vertical="center"/>
    </xf>
    <xf numFmtId="0" fontId="0" fillId="0" borderId="0" xfId="0" applyFill="1" applyAlignment="1">
      <alignment horizontal="left" vertical="center"/>
    </xf>
    <xf numFmtId="0" fontId="56" fillId="19" borderId="37" xfId="0" applyFont="1" applyFill="1" applyBorder="1" applyAlignment="1">
      <alignment horizontal="center"/>
    </xf>
    <xf numFmtId="0" fontId="56" fillId="19" borderId="10" xfId="0" applyFont="1" applyFill="1" applyBorder="1" applyAlignment="1">
      <alignment horizontal="center"/>
    </xf>
    <xf numFmtId="1" fontId="56" fillId="19" borderId="10" xfId="0" applyNumberFormat="1" applyFont="1" applyFill="1" applyBorder="1" applyAlignment="1">
      <alignment horizontal="center"/>
    </xf>
    <xf numFmtId="166" fontId="56" fillId="19" borderId="10" xfId="0" applyNumberFormat="1" applyFont="1" applyFill="1" applyBorder="1" applyAlignment="1">
      <alignment horizontal="center"/>
    </xf>
    <xf numFmtId="167" fontId="56" fillId="19" borderId="10" xfId="0" applyNumberFormat="1" applyFont="1" applyFill="1" applyBorder="1" applyAlignment="1">
      <alignment horizontal="center"/>
    </xf>
    <xf numFmtId="166" fontId="56" fillId="19" borderId="11" xfId="0" applyNumberFormat="1" applyFont="1" applyFill="1" applyBorder="1" applyAlignment="1">
      <alignment horizontal="center"/>
    </xf>
    <xf numFmtId="0" fontId="0" fillId="19" borderId="1" xfId="0" applyFont="1" applyFill="1" applyBorder="1"/>
    <xf numFmtId="0" fontId="4" fillId="19" borderId="0" xfId="0" applyFont="1" applyFill="1" applyBorder="1"/>
    <xf numFmtId="9" fontId="4" fillId="19" borderId="0" xfId="0" applyNumberFormat="1" applyFont="1" applyFill="1" applyBorder="1" applyAlignment="1">
      <alignment horizontal="center"/>
    </xf>
    <xf numFmtId="0" fontId="4" fillId="19" borderId="0" xfId="0" applyFont="1" applyFill="1" applyBorder="1" applyAlignment="1">
      <alignment horizontal="center"/>
    </xf>
    <xf numFmtId="0" fontId="4" fillId="19" borderId="12" xfId="0" applyFont="1" applyFill="1" applyBorder="1" applyAlignment="1">
      <alignment horizontal="center"/>
    </xf>
    <xf numFmtId="0" fontId="4" fillId="19" borderId="1" xfId="0" applyFont="1" applyFill="1" applyBorder="1"/>
    <xf numFmtId="0" fontId="0" fillId="0" borderId="7" xfId="0" applyFont="1" applyFill="1" applyBorder="1"/>
    <xf numFmtId="0" fontId="4" fillId="19" borderId="7" xfId="0" applyFont="1" applyFill="1" applyBorder="1"/>
    <xf numFmtId="0" fontId="4" fillId="19" borderId="14" xfId="0" applyFont="1" applyFill="1" applyBorder="1"/>
    <xf numFmtId="9" fontId="4" fillId="19" borderId="14" xfId="0" applyNumberFormat="1" applyFont="1" applyFill="1" applyBorder="1" applyAlignment="1">
      <alignment horizontal="center"/>
    </xf>
    <xf numFmtId="0" fontId="4" fillId="19" borderId="14" xfId="0" applyFont="1" applyFill="1" applyBorder="1" applyAlignment="1">
      <alignment horizontal="center"/>
    </xf>
    <xf numFmtId="0" fontId="4" fillId="19" borderId="15" xfId="0" applyFont="1" applyFill="1" applyBorder="1" applyAlignment="1">
      <alignment horizontal="center"/>
    </xf>
    <xf numFmtId="0" fontId="0" fillId="19" borderId="37" xfId="0" applyFill="1" applyBorder="1"/>
    <xf numFmtId="0" fontId="0" fillId="19" borderId="10" xfId="0" applyFill="1" applyBorder="1"/>
    <xf numFmtId="0" fontId="4" fillId="19" borderId="10" xfId="0" applyFont="1" applyFill="1" applyBorder="1"/>
    <xf numFmtId="9" fontId="0" fillId="19" borderId="10" xfId="0" applyNumberFormat="1" applyFill="1" applyBorder="1"/>
    <xf numFmtId="0" fontId="0" fillId="19" borderId="11" xfId="0" applyFill="1" applyBorder="1"/>
    <xf numFmtId="0" fontId="0" fillId="19" borderId="1" xfId="0" applyFill="1" applyBorder="1"/>
    <xf numFmtId="0" fontId="0" fillId="19" borderId="0" xfId="0" applyFill="1" applyBorder="1"/>
    <xf numFmtId="9" fontId="0" fillId="19" borderId="0" xfId="0" applyNumberFormat="1" applyFill="1" applyBorder="1"/>
    <xf numFmtId="0" fontId="0" fillId="19" borderId="12" xfId="0" applyFill="1" applyBorder="1"/>
    <xf numFmtId="0" fontId="0" fillId="19" borderId="7" xfId="0" applyFill="1" applyBorder="1"/>
    <xf numFmtId="0" fontId="0" fillId="19" borderId="14" xfId="0" applyFill="1" applyBorder="1"/>
    <xf numFmtId="9" fontId="0" fillId="19" borderId="14" xfId="0" applyNumberFormat="1" applyFill="1" applyBorder="1"/>
    <xf numFmtId="0" fontId="0" fillId="19" borderId="15" xfId="0" applyFill="1" applyBorder="1"/>
    <xf numFmtId="0" fontId="0" fillId="19" borderId="10" xfId="0" applyFont="1" applyFill="1" applyBorder="1"/>
    <xf numFmtId="0" fontId="0" fillId="19" borderId="0" xfId="0" applyFont="1" applyFill="1" applyBorder="1"/>
    <xf numFmtId="167" fontId="0" fillId="19" borderId="0" xfId="0" applyNumberFormat="1" applyFill="1" applyBorder="1"/>
    <xf numFmtId="0" fontId="0" fillId="19" borderId="14" xfId="0" applyFont="1" applyFill="1" applyBorder="1"/>
    <xf numFmtId="167" fontId="0" fillId="19" borderId="14" xfId="0" applyNumberFormat="1" applyFill="1" applyBorder="1"/>
    <xf numFmtId="168" fontId="0" fillId="0" borderId="11" xfId="0" applyNumberFormat="1" applyBorder="1" applyAlignment="1">
      <alignment horizontal="center"/>
    </xf>
    <xf numFmtId="168" fontId="0" fillId="0" borderId="12" xfId="0" applyNumberFormat="1" applyBorder="1" applyAlignment="1">
      <alignment horizontal="center"/>
    </xf>
    <xf numFmtId="0" fontId="0" fillId="19" borderId="0" xfId="0" applyFill="1" applyBorder="1" applyAlignment="1">
      <alignment horizontal="center"/>
    </xf>
    <xf numFmtId="168" fontId="0" fillId="19" borderId="0" xfId="0" applyNumberFormat="1" applyFill="1" applyBorder="1" applyAlignment="1">
      <alignment horizontal="center"/>
    </xf>
    <xf numFmtId="168" fontId="0" fillId="19" borderId="0" xfId="0" applyNumberFormat="1" applyFill="1" applyBorder="1"/>
    <xf numFmtId="168" fontId="0" fillId="19" borderId="12" xfId="0" applyNumberFormat="1" applyFill="1" applyBorder="1"/>
    <xf numFmtId="0" fontId="0" fillId="19" borderId="14" xfId="0" applyFill="1" applyBorder="1" applyAlignment="1">
      <alignment horizontal="center"/>
    </xf>
    <xf numFmtId="168" fontId="0" fillId="19" borderId="14" xfId="0" applyNumberFormat="1" applyFill="1" applyBorder="1" applyAlignment="1">
      <alignment horizontal="center"/>
    </xf>
    <xf numFmtId="168" fontId="0" fillId="19" borderId="14" xfId="0" applyNumberFormat="1" applyFill="1" applyBorder="1"/>
    <xf numFmtId="168" fontId="0" fillId="19" borderId="15" xfId="0" applyNumberFormat="1" applyFill="1" applyBorder="1"/>
    <xf numFmtId="0" fontId="0" fillId="19" borderId="10" xfId="0" applyFill="1" applyBorder="1" applyAlignment="1">
      <alignment horizontal="center"/>
    </xf>
    <xf numFmtId="168" fontId="0" fillId="19" borderId="10" xfId="0" applyNumberFormat="1" applyFill="1" applyBorder="1" applyAlignment="1">
      <alignment horizontal="center"/>
    </xf>
    <xf numFmtId="168" fontId="0" fillId="19" borderId="10" xfId="0" applyNumberFormat="1" applyFill="1" applyBorder="1"/>
    <xf numFmtId="168" fontId="0" fillId="19" borderId="11" xfId="0" applyNumberFormat="1" applyFill="1" applyBorder="1"/>
    <xf numFmtId="9" fontId="56" fillId="89" borderId="10" xfId="0" applyNumberFormat="1" applyFont="1" applyFill="1" applyBorder="1" applyAlignment="1">
      <alignment horizontal="center"/>
    </xf>
    <xf numFmtId="168" fontId="56" fillId="89" borderId="10" xfId="0" applyNumberFormat="1" applyFont="1" applyFill="1" applyBorder="1" applyAlignment="1">
      <alignment horizontal="center"/>
    </xf>
    <xf numFmtId="168" fontId="56" fillId="89" borderId="11" xfId="0" applyNumberFormat="1" applyFont="1" applyFill="1" applyBorder="1" applyAlignment="1">
      <alignment horizontal="center"/>
    </xf>
    <xf numFmtId="0" fontId="0" fillId="0" borderId="0" xfId="0" applyFont="1" applyFill="1"/>
    <xf numFmtId="0" fontId="56" fillId="19" borderId="0" xfId="0" applyFont="1" applyFill="1" applyBorder="1" applyAlignment="1">
      <alignment horizontal="center"/>
    </xf>
    <xf numFmtId="1" fontId="56" fillId="19" borderId="0" xfId="0" applyNumberFormat="1" applyFont="1" applyFill="1" applyBorder="1" applyAlignment="1">
      <alignment horizontal="center"/>
    </xf>
    <xf numFmtId="166" fontId="56" fillId="19" borderId="0" xfId="0" applyNumberFormat="1" applyFont="1" applyFill="1" applyBorder="1" applyAlignment="1">
      <alignment horizontal="center"/>
    </xf>
    <xf numFmtId="167" fontId="56" fillId="19" borderId="0" xfId="0" applyNumberFormat="1" applyFont="1" applyFill="1" applyBorder="1" applyAlignment="1">
      <alignment horizontal="center"/>
    </xf>
    <xf numFmtId="0" fontId="56" fillId="19" borderId="1" xfId="0" applyFont="1" applyFill="1" applyBorder="1" applyAlignment="1">
      <alignment horizontal="center"/>
    </xf>
    <xf numFmtId="166" fontId="56" fillId="19" borderId="12" xfId="0" applyNumberFormat="1" applyFont="1" applyFill="1" applyBorder="1" applyAlignment="1">
      <alignment horizontal="center"/>
    </xf>
    <xf numFmtId="0" fontId="0" fillId="0" borderId="0" xfId="0" applyAlignment="1">
      <alignment horizontal="center" vertical="center"/>
    </xf>
    <xf numFmtId="0" fontId="52" fillId="0" borderId="0" xfId="0" applyFont="1" applyFill="1" applyBorder="1" applyAlignment="1">
      <alignment horizontal="center" vertical="center"/>
    </xf>
    <xf numFmtId="3" fontId="52" fillId="0" borderId="0" xfId="0" applyNumberFormat="1" applyFont="1" applyFill="1" applyBorder="1" applyAlignment="1">
      <alignment vertical="center"/>
    </xf>
    <xf numFmtId="0" fontId="32" fillId="0" borderId="0" xfId="0" applyFont="1" applyFill="1" applyBorder="1" applyAlignment="1">
      <alignment horizontal="center" vertical="center"/>
    </xf>
    <xf numFmtId="0" fontId="53" fillId="0" borderId="0" xfId="0" applyFont="1" applyFill="1" applyBorder="1" applyAlignment="1">
      <alignment horizontal="center" vertical="center"/>
    </xf>
    <xf numFmtId="3" fontId="53" fillId="0" borderId="0" xfId="0" applyNumberFormat="1" applyFont="1" applyFill="1" applyBorder="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2" fillId="0" borderId="0" xfId="0" applyFont="1" applyFill="1" applyBorder="1" applyAlignment="1">
      <alignment vertical="center"/>
    </xf>
    <xf numFmtId="0" fontId="32" fillId="0" borderId="1" xfId="0" applyFont="1" applyFill="1" applyBorder="1" applyAlignment="1">
      <alignment horizontal="center" vertical="center"/>
    </xf>
    <xf numFmtId="0" fontId="52" fillId="0" borderId="1" xfId="0" applyFont="1" applyFill="1" applyBorder="1" applyAlignment="1">
      <alignment horizontal="center" vertical="center"/>
    </xf>
    <xf numFmtId="3" fontId="52" fillId="0" borderId="1" xfId="0" applyNumberFormat="1" applyFont="1" applyFill="1" applyBorder="1" applyAlignment="1">
      <alignment vertical="center"/>
    </xf>
    <xf numFmtId="0" fontId="52" fillId="0" borderId="1" xfId="0" applyFont="1" applyFill="1" applyBorder="1" applyAlignment="1">
      <alignment vertical="center"/>
    </xf>
    <xf numFmtId="0" fontId="8" fillId="0" borderId="1" xfId="0" applyFont="1" applyFill="1" applyBorder="1" applyAlignment="1">
      <alignment vertical="center"/>
    </xf>
    <xf numFmtId="0" fontId="49" fillId="17" borderId="0" xfId="0" applyFont="1" applyFill="1" applyBorder="1" applyAlignment="1">
      <alignment horizontal="right" vertical="center" wrapText="1"/>
    </xf>
    <xf numFmtId="0" fontId="48" fillId="17" borderId="0" xfId="0" applyFont="1" applyFill="1" applyBorder="1" applyAlignment="1">
      <alignment horizontal="right" vertical="center" wrapText="1"/>
    </xf>
    <xf numFmtId="0" fontId="0" fillId="0" borderId="12" xfId="0" applyBorder="1" applyAlignment="1">
      <alignment horizontal="center"/>
    </xf>
    <xf numFmtId="0" fontId="56" fillId="19" borderId="7" xfId="0" applyFont="1" applyFill="1" applyBorder="1" applyAlignment="1">
      <alignment horizontal="center"/>
    </xf>
    <xf numFmtId="0" fontId="56" fillId="19" borderId="14" xfId="0" applyFont="1" applyFill="1" applyBorder="1" applyAlignment="1">
      <alignment horizontal="center"/>
    </xf>
    <xf numFmtId="1" fontId="56" fillId="19" borderId="14" xfId="0" applyNumberFormat="1" applyFont="1" applyFill="1" applyBorder="1" applyAlignment="1">
      <alignment horizontal="center"/>
    </xf>
    <xf numFmtId="166" fontId="56" fillId="19" borderId="14" xfId="0" applyNumberFormat="1" applyFont="1" applyFill="1" applyBorder="1" applyAlignment="1">
      <alignment horizontal="center"/>
    </xf>
    <xf numFmtId="167" fontId="56" fillId="19" borderId="14" xfId="0" applyNumberFormat="1" applyFont="1" applyFill="1" applyBorder="1" applyAlignment="1">
      <alignment horizontal="center"/>
    </xf>
    <xf numFmtId="166" fontId="56" fillId="19" borderId="15" xfId="0" applyNumberFormat="1" applyFont="1" applyFill="1" applyBorder="1" applyAlignment="1">
      <alignment horizontal="center"/>
    </xf>
    <xf numFmtId="9" fontId="9" fillId="13" borderId="25" xfId="0" applyNumberFormat="1" applyFont="1" applyFill="1" applyBorder="1" applyAlignment="1">
      <alignment horizontal="center" vertical="center"/>
    </xf>
    <xf numFmtId="0" fontId="8" fillId="13" borderId="25" xfId="0" applyFont="1" applyFill="1" applyBorder="1" applyAlignment="1">
      <alignment vertical="center"/>
    </xf>
    <xf numFmtId="0" fontId="9" fillId="0" borderId="0" xfId="0" applyFont="1" applyFill="1" applyBorder="1" applyAlignment="1">
      <alignment horizontal="center" vertical="center"/>
    </xf>
    <xf numFmtId="0" fontId="8" fillId="0" borderId="0" xfId="0" applyFont="1" applyFill="1" applyBorder="1" applyAlignment="1">
      <alignment horizontal="center" vertical="center"/>
    </xf>
    <xf numFmtId="3" fontId="13" fillId="0" borderId="0" xfId="2" applyFont="1" applyFill="1"/>
    <xf numFmtId="3" fontId="9" fillId="17" borderId="8" xfId="0" applyNumberFormat="1" applyFont="1" applyFill="1" applyBorder="1" applyAlignment="1">
      <alignment vertical="center"/>
    </xf>
    <xf numFmtId="0" fontId="9" fillId="19" borderId="37" xfId="0" applyFont="1" applyFill="1" applyBorder="1" applyAlignment="1">
      <alignment horizontal="center"/>
    </xf>
    <xf numFmtId="0" fontId="9" fillId="19" borderId="10" xfId="0" applyFont="1" applyFill="1" applyBorder="1" applyAlignment="1">
      <alignment horizontal="center"/>
    </xf>
    <xf numFmtId="1" fontId="9" fillId="19" borderId="10" xfId="0" applyNumberFormat="1" applyFont="1" applyFill="1" applyBorder="1" applyAlignment="1">
      <alignment horizontal="center"/>
    </xf>
    <xf numFmtId="166" fontId="9" fillId="19" borderId="10" xfId="0" applyNumberFormat="1" applyFont="1" applyFill="1" applyBorder="1" applyAlignment="1">
      <alignment horizontal="center"/>
    </xf>
    <xf numFmtId="167" fontId="9" fillId="19" borderId="10" xfId="0" applyNumberFormat="1" applyFont="1" applyFill="1" applyBorder="1" applyAlignment="1">
      <alignment horizontal="center"/>
    </xf>
    <xf numFmtId="166" fontId="9" fillId="19" borderId="11" xfId="0" applyNumberFormat="1" applyFont="1" applyFill="1" applyBorder="1" applyAlignment="1">
      <alignment horizontal="center"/>
    </xf>
    <xf numFmtId="167" fontId="56" fillId="19" borderId="10" xfId="0" applyNumberFormat="1" applyFont="1" applyFill="1" applyBorder="1" applyAlignment="1">
      <alignment horizontal="center" vertical="center"/>
    </xf>
    <xf numFmtId="1" fontId="56" fillId="19" borderId="10" xfId="0" applyNumberFormat="1" applyFont="1" applyFill="1" applyBorder="1" applyAlignment="1">
      <alignment horizontal="center" vertical="center"/>
    </xf>
    <xf numFmtId="166" fontId="56" fillId="19" borderId="11" xfId="0" applyNumberFormat="1" applyFont="1" applyFill="1" applyBorder="1" applyAlignment="1">
      <alignment horizontal="center" vertical="center"/>
    </xf>
    <xf numFmtId="0" fontId="10" fillId="40" borderId="26" xfId="0" applyFont="1" applyFill="1" applyBorder="1" applyAlignment="1">
      <alignment horizontal="center" vertical="center" wrapText="1"/>
    </xf>
    <xf numFmtId="9" fontId="8" fillId="0" borderId="0" xfId="3" applyFont="1" applyFill="1" applyBorder="1" applyAlignment="1">
      <alignment horizontal="center" vertical="center"/>
    </xf>
    <xf numFmtId="9" fontId="19" fillId="0" borderId="0" xfId="3" applyFont="1" applyFill="1" applyBorder="1" applyAlignment="1">
      <alignment vertical="center"/>
    </xf>
    <xf numFmtId="0" fontId="8" fillId="0" borderId="1" xfId="0" applyFont="1" applyFill="1" applyBorder="1" applyAlignment="1">
      <alignment horizontal="center" vertical="center"/>
    </xf>
    <xf numFmtId="0" fontId="8" fillId="0" borderId="12" xfId="0" applyFont="1" applyFill="1" applyBorder="1" applyAlignment="1">
      <alignment vertical="center"/>
    </xf>
    <xf numFmtId="0" fontId="8" fillId="0" borderId="12" xfId="0" applyFont="1" applyFill="1" applyBorder="1" applyAlignment="1">
      <alignment horizontal="center" vertical="center"/>
    </xf>
    <xf numFmtId="0" fontId="9" fillId="17" borderId="11" xfId="0" applyFont="1" applyFill="1" applyBorder="1"/>
    <xf numFmtId="3" fontId="9" fillId="17" borderId="15" xfId="0" applyNumberFormat="1" applyFont="1" applyFill="1" applyBorder="1"/>
    <xf numFmtId="0" fontId="9" fillId="29" borderId="11" xfId="0" applyFont="1" applyFill="1" applyBorder="1" applyAlignment="1">
      <alignment horizontal="center" vertical="center" wrapText="1"/>
    </xf>
    <xf numFmtId="0" fontId="9" fillId="29" borderId="5" xfId="0" applyFont="1" applyFill="1" applyBorder="1" applyAlignment="1">
      <alignment horizontal="center" vertical="center" wrapText="1"/>
    </xf>
    <xf numFmtId="0" fontId="8" fillId="29" borderId="2" xfId="0" applyFont="1" applyFill="1" applyBorder="1" applyAlignment="1">
      <alignment horizontal="center" vertical="center" wrapText="1"/>
    </xf>
    <xf numFmtId="0" fontId="9" fillId="29" borderId="2" xfId="0" applyFont="1" applyFill="1" applyBorder="1" applyAlignment="1">
      <alignment horizontal="center" vertical="center" wrapText="1"/>
    </xf>
    <xf numFmtId="0" fontId="9" fillId="29" borderId="26" xfId="0" applyFont="1" applyFill="1" applyBorder="1" applyAlignment="1">
      <alignment horizontal="center" vertical="center" wrapText="1"/>
    </xf>
    <xf numFmtId="0" fontId="9" fillId="29" borderId="36" xfId="0" applyFont="1" applyFill="1" applyBorder="1" applyAlignment="1">
      <alignment horizontal="center" vertical="center" wrapText="1"/>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0" fontId="8" fillId="17" borderId="10" xfId="0" applyFont="1" applyFill="1" applyBorder="1" applyAlignment="1">
      <alignment horizontal="center" vertical="center"/>
    </xf>
    <xf numFmtId="3" fontId="36" fillId="17" borderId="0" xfId="2" applyFont="1" applyFill="1" applyBorder="1" applyAlignment="1">
      <alignment horizontal="center" vertical="center"/>
    </xf>
    <xf numFmtId="0" fontId="48" fillId="17" borderId="0" xfId="0" applyFont="1" applyFill="1" applyBorder="1" applyAlignment="1">
      <alignment horizontal="center"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0" fontId="9" fillId="17" borderId="10"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56" fillId="30" borderId="5" xfId="0" applyFont="1" applyFill="1" applyBorder="1" applyAlignment="1">
      <alignment horizontal="center" vertical="center" wrapText="1"/>
    </xf>
    <xf numFmtId="0" fontId="9" fillId="17" borderId="1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9" borderId="2" xfId="0" applyFont="1" applyFill="1" applyBorder="1" applyAlignment="1">
      <alignment horizontal="center" vertical="center"/>
    </xf>
    <xf numFmtId="0" fontId="35" fillId="16" borderId="2"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56" fillId="30" borderId="5" xfId="0" applyFont="1" applyFill="1" applyBorder="1" applyAlignment="1">
      <alignment horizontal="center" vertical="center" wrapText="1"/>
    </xf>
    <xf numFmtId="0" fontId="27" fillId="7" borderId="37" xfId="1" applyFont="1" applyFill="1" applyBorder="1" applyAlignment="1" applyProtection="1">
      <alignment horizontal="right" vertical="center"/>
    </xf>
    <xf numFmtId="0" fontId="29" fillId="7" borderId="10" xfId="1" applyFont="1" applyFill="1" applyBorder="1" applyAlignment="1" applyProtection="1">
      <alignment horizontal="center" vertical="center"/>
    </xf>
    <xf numFmtId="0" fontId="8" fillId="7" borderId="10" xfId="0" applyFont="1" applyFill="1" applyBorder="1" applyAlignment="1">
      <alignment vertical="center"/>
    </xf>
    <xf numFmtId="0" fontId="27" fillId="7" borderId="7" xfId="1" applyFont="1" applyFill="1" applyBorder="1" applyAlignment="1" applyProtection="1">
      <alignment horizontal="right" vertical="center"/>
    </xf>
    <xf numFmtId="0" fontId="29" fillId="7" borderId="14" xfId="1" applyFont="1" applyFill="1" applyBorder="1" applyAlignment="1" applyProtection="1">
      <alignment horizontal="center" vertical="center"/>
    </xf>
    <xf numFmtId="0" fontId="26" fillId="16" borderId="37" xfId="0" applyFont="1" applyFill="1" applyBorder="1" applyAlignment="1">
      <alignment vertical="center"/>
    </xf>
    <xf numFmtId="0" fontId="26" fillId="16" borderId="0" xfId="0" applyFont="1" applyFill="1" applyBorder="1" applyAlignment="1">
      <alignment vertical="center"/>
    </xf>
    <xf numFmtId="0" fontId="40" fillId="16" borderId="36" xfId="1" applyFont="1" applyFill="1" applyBorder="1" applyAlignment="1" applyProtection="1">
      <alignment vertical="center"/>
    </xf>
    <xf numFmtId="0" fontId="40" fillId="16" borderId="8" xfId="1" applyFont="1" applyFill="1" applyBorder="1" applyAlignment="1" applyProtection="1">
      <alignment vertical="center"/>
    </xf>
    <xf numFmtId="3" fontId="8" fillId="17" borderId="14" xfId="3" applyNumberFormat="1" applyFont="1" applyFill="1" applyBorder="1" applyAlignment="1">
      <alignment horizontal="center" vertical="center"/>
    </xf>
    <xf numFmtId="0" fontId="8" fillId="17" borderId="0" xfId="0" applyFont="1" applyFill="1" applyBorder="1" applyAlignment="1">
      <alignment horizontal="right" vertical="center"/>
    </xf>
    <xf numFmtId="167" fontId="49" fillId="17" borderId="0" xfId="0" applyNumberFormat="1" applyFont="1" applyFill="1" applyBorder="1" applyAlignment="1">
      <alignment horizontal="center" vertical="center"/>
    </xf>
    <xf numFmtId="168" fontId="49" fillId="17" borderId="0" xfId="0" applyNumberFormat="1"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58" fillId="17" borderId="10" xfId="0" applyFont="1" applyFill="1" applyBorder="1" applyAlignment="1">
      <alignment horizontal="left" vertical="center"/>
    </xf>
    <xf numFmtId="0" fontId="8" fillId="91" borderId="11" xfId="0" applyFont="1" applyFill="1" applyBorder="1" applyAlignment="1">
      <alignment vertical="center"/>
    </xf>
    <xf numFmtId="0" fontId="8" fillId="17" borderId="37" xfId="0" applyFont="1" applyFill="1" applyBorder="1" applyAlignment="1">
      <alignment vertical="center"/>
    </xf>
    <xf numFmtId="0" fontId="8" fillId="17" borderId="6" xfId="0" applyFont="1" applyFill="1" applyBorder="1" applyAlignment="1">
      <alignment vertical="center"/>
    </xf>
    <xf numFmtId="0" fontId="9" fillId="17" borderId="6" xfId="0" applyFont="1" applyFill="1" applyBorder="1" applyAlignment="1">
      <alignment horizontal="center" vertical="center"/>
    </xf>
    <xf numFmtId="0" fontId="48" fillId="17" borderId="6" xfId="0" applyFont="1" applyFill="1" applyBorder="1" applyAlignment="1">
      <alignment horizontal="center" vertical="center"/>
    </xf>
    <xf numFmtId="0" fontId="48" fillId="17" borderId="1" xfId="0" applyFont="1" applyFill="1" applyBorder="1" applyAlignment="1">
      <alignment horizontal="center" vertical="center"/>
    </xf>
    <xf numFmtId="3" fontId="9" fillId="13" borderId="25" xfId="0" applyNumberFormat="1" applyFont="1" applyFill="1" applyBorder="1" applyAlignment="1">
      <alignment vertical="center"/>
    </xf>
    <xf numFmtId="0" fontId="8" fillId="7" borderId="0" xfId="0" applyFont="1" applyFill="1" applyAlignment="1">
      <alignment vertical="center"/>
    </xf>
    <xf numFmtId="0" fontId="8" fillId="91" borderId="1" xfId="0" applyFont="1" applyFill="1" applyBorder="1" applyAlignment="1">
      <alignment horizontal="center" vertical="center"/>
    </xf>
    <xf numFmtId="0" fontId="8" fillId="91" borderId="7"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36" fillId="16" borderId="4" xfId="0" applyFont="1" applyFill="1" applyBorder="1" applyAlignment="1">
      <alignment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3" fontId="21" fillId="7" borderId="11" xfId="2" applyFont="1" applyFill="1" applyBorder="1" applyAlignment="1">
      <alignment horizontal="center" vertical="center" wrapText="1"/>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8" xfId="0" applyFont="1" applyFill="1" applyBorder="1" applyAlignment="1">
      <alignment horizontal="center" vertical="center"/>
    </xf>
    <xf numFmtId="0" fontId="35" fillId="16" borderId="3" xfId="0" applyFont="1" applyFill="1" applyBorder="1" applyAlignment="1">
      <alignment horizontal="center" vertical="center"/>
    </xf>
    <xf numFmtId="0" fontId="40" fillId="0" borderId="10" xfId="1" applyFont="1" applyBorder="1" applyAlignment="1" applyProtection="1">
      <alignment horizontal="center" vertical="center"/>
    </xf>
    <xf numFmtId="0" fontId="9" fillId="17" borderId="0" xfId="0" applyFont="1" applyFill="1" applyBorder="1" applyAlignment="1">
      <alignment horizontal="center" vertical="center"/>
    </xf>
    <xf numFmtId="0" fontId="8" fillId="91" borderId="6" xfId="0" applyFont="1" applyFill="1" applyBorder="1" applyAlignment="1">
      <alignment horizontal="center" vertical="center"/>
    </xf>
    <xf numFmtId="0" fontId="8" fillId="0" borderId="0" xfId="0" applyFont="1" applyAlignment="1">
      <alignment horizontal="center"/>
    </xf>
    <xf numFmtId="0" fontId="56" fillId="30" borderId="5" xfId="0" applyFont="1" applyFill="1" applyBorder="1" applyAlignment="1">
      <alignment horizontal="center" vertical="center" wrapText="1"/>
    </xf>
    <xf numFmtId="16" fontId="8" fillId="80" borderId="26" xfId="0" quotePrefix="1" applyNumberFormat="1" applyFont="1" applyFill="1" applyBorder="1" applyAlignment="1">
      <alignment horizontal="center" vertical="center"/>
    </xf>
    <xf numFmtId="17" fontId="8" fillId="80" borderId="26" xfId="0" quotePrefix="1" applyNumberFormat="1" applyFont="1" applyFill="1" applyBorder="1" applyAlignment="1">
      <alignment horizontal="center" vertical="center"/>
    </xf>
    <xf numFmtId="0" fontId="8" fillId="80" borderId="26" xfId="0" quotePrefix="1" applyFont="1" applyFill="1" applyBorder="1" applyAlignment="1">
      <alignment horizontal="center" vertical="center"/>
    </xf>
    <xf numFmtId="0" fontId="8" fillId="17" borderId="36" xfId="0" applyFont="1" applyFill="1" applyBorder="1" applyAlignment="1">
      <alignment horizontal="center" vertical="center"/>
    </xf>
    <xf numFmtId="0" fontId="8" fillId="0" borderId="0" xfId="0" applyFont="1" applyAlignment="1">
      <alignment horizontal="right" vertical="center"/>
    </xf>
    <xf numFmtId="10" fontId="49" fillId="17" borderId="0" xfId="3" applyNumberFormat="1" applyFont="1" applyFill="1" applyBorder="1" applyAlignment="1">
      <alignment vertical="center" wrapText="1"/>
    </xf>
    <xf numFmtId="9" fontId="8" fillId="17" borderId="26" xfId="3" applyFont="1" applyFill="1" applyBorder="1" applyAlignment="1">
      <alignment horizontal="center" vertical="center"/>
    </xf>
    <xf numFmtId="0" fontId="48" fillId="17" borderId="0" xfId="0" applyFont="1" applyFill="1" applyBorder="1" applyAlignment="1">
      <alignment horizontal="center" vertical="center"/>
    </xf>
    <xf numFmtId="0" fontId="56" fillId="30" borderId="3" xfId="0" applyFont="1" applyFill="1" applyBorder="1" applyAlignment="1">
      <alignment horizontal="center" vertical="center" wrapText="1"/>
    </xf>
    <xf numFmtId="0" fontId="56" fillId="30" borderId="5" xfId="0" applyFont="1" applyFill="1" applyBorder="1" applyAlignment="1">
      <alignment horizontal="center" vertical="center" wrapText="1"/>
    </xf>
    <xf numFmtId="0" fontId="9" fillId="19" borderId="37" xfId="0" applyFont="1" applyFill="1" applyBorder="1" applyAlignment="1">
      <alignment vertical="center"/>
    </xf>
    <xf numFmtId="0" fontId="9" fillId="19" borderId="10" xfId="0" applyFont="1" applyFill="1" applyBorder="1" applyAlignment="1">
      <alignment vertical="center"/>
    </xf>
    <xf numFmtId="0" fontId="9" fillId="19" borderId="10" xfId="0" applyFont="1" applyFill="1" applyBorder="1" applyAlignment="1">
      <alignment horizontal="center" vertical="center"/>
    </xf>
    <xf numFmtId="0" fontId="9" fillId="19" borderId="11" xfId="0" applyFont="1" applyFill="1" applyBorder="1" applyAlignment="1">
      <alignment horizontal="center" vertical="center"/>
    </xf>
    <xf numFmtId="0" fontId="9" fillId="19" borderId="1" xfId="0" applyFont="1" applyFill="1" applyBorder="1" applyAlignment="1">
      <alignment vertical="center"/>
    </xf>
    <xf numFmtId="0" fontId="9" fillId="19" borderId="0" xfId="0" applyFont="1" applyFill="1" applyBorder="1" applyAlignment="1">
      <alignment vertical="center"/>
    </xf>
    <xf numFmtId="0" fontId="9" fillId="19" borderId="0" xfId="0" applyFont="1" applyFill="1" applyBorder="1" applyAlignment="1">
      <alignment horizontal="center" vertical="center"/>
    </xf>
    <xf numFmtId="0" fontId="9" fillId="19" borderId="12" xfId="0" applyFont="1" applyFill="1" applyBorder="1" applyAlignment="1">
      <alignment horizontal="center" vertical="center"/>
    </xf>
    <xf numFmtId="0" fontId="8" fillId="19" borderId="1" xfId="0" applyFont="1" applyFill="1" applyBorder="1" applyAlignment="1">
      <alignment horizontal="center" vertical="center"/>
    </xf>
    <xf numFmtId="0" fontId="8" fillId="19" borderId="0" xfId="0" applyFont="1" applyFill="1" applyBorder="1" applyAlignment="1">
      <alignment horizontal="center" vertical="center"/>
    </xf>
    <xf numFmtId="0" fontId="8" fillId="19" borderId="36" xfId="0" applyFont="1" applyFill="1" applyBorder="1" applyAlignment="1">
      <alignment horizontal="center" vertical="center"/>
    </xf>
    <xf numFmtId="0" fontId="8" fillId="19" borderId="8" xfId="0" applyFont="1" applyFill="1" applyBorder="1" applyAlignment="1">
      <alignment horizontal="center" vertical="center"/>
    </xf>
    <xf numFmtId="0" fontId="49" fillId="19" borderId="0" xfId="0" applyFont="1" applyFill="1" applyBorder="1" applyAlignment="1">
      <alignment horizontal="center" vertical="center"/>
    </xf>
    <xf numFmtId="3" fontId="19" fillId="19" borderId="1" xfId="0" applyNumberFormat="1" applyFont="1" applyFill="1" applyBorder="1" applyAlignment="1">
      <alignment vertical="center"/>
    </xf>
    <xf numFmtId="3" fontId="19" fillId="19" borderId="0" xfId="0" applyNumberFormat="1" applyFont="1" applyFill="1" applyBorder="1" applyAlignment="1">
      <alignment vertical="center"/>
    </xf>
    <xf numFmtId="3" fontId="48" fillId="19" borderId="0" xfId="0" applyNumberFormat="1" applyFont="1" applyFill="1" applyBorder="1" applyAlignment="1">
      <alignment vertical="center"/>
    </xf>
    <xf numFmtId="3" fontId="49" fillId="19" borderId="0" xfId="0" applyNumberFormat="1" applyFont="1" applyFill="1" applyBorder="1" applyAlignment="1">
      <alignment vertical="center"/>
    </xf>
    <xf numFmtId="3" fontId="8" fillId="19" borderId="0" xfId="0" applyNumberFormat="1" applyFont="1" applyFill="1" applyBorder="1" applyAlignment="1">
      <alignment vertical="center"/>
    </xf>
    <xf numFmtId="3" fontId="9" fillId="19" borderId="12" xfId="0" applyNumberFormat="1" applyFont="1" applyFill="1" applyBorder="1" applyAlignment="1">
      <alignment vertical="center"/>
    </xf>
    <xf numFmtId="3" fontId="12" fillId="19" borderId="0" xfId="0" applyNumberFormat="1" applyFont="1" applyFill="1" applyBorder="1" applyAlignment="1">
      <alignment vertical="center"/>
    </xf>
    <xf numFmtId="0" fontId="8" fillId="19" borderId="12" xfId="0" applyFont="1" applyFill="1" applyBorder="1" applyAlignment="1">
      <alignment vertical="center"/>
    </xf>
    <xf numFmtId="9" fontId="49" fillId="19" borderId="1" xfId="0" applyNumberFormat="1" applyFont="1" applyFill="1" applyBorder="1" applyAlignment="1">
      <alignment vertical="center"/>
    </xf>
    <xf numFmtId="0" fontId="8" fillId="19" borderId="15" xfId="0" applyFont="1" applyFill="1" applyBorder="1" applyAlignment="1">
      <alignment vertical="center"/>
    </xf>
    <xf numFmtId="0" fontId="9" fillId="29" borderId="25" xfId="0" applyFont="1" applyFill="1" applyBorder="1" applyAlignment="1">
      <alignment vertical="center"/>
    </xf>
    <xf numFmtId="0" fontId="9" fillId="29" borderId="13" xfId="0" applyFont="1" applyFill="1" applyBorder="1" applyAlignment="1">
      <alignment vertical="center"/>
    </xf>
    <xf numFmtId="3" fontId="48" fillId="29" borderId="13" xfId="0" applyNumberFormat="1" applyFont="1" applyFill="1" applyBorder="1" applyAlignment="1">
      <alignment vertical="center"/>
    </xf>
    <xf numFmtId="3" fontId="8" fillId="29" borderId="13" xfId="0" applyNumberFormat="1" applyFont="1" applyFill="1" applyBorder="1" applyAlignment="1">
      <alignment vertical="center"/>
    </xf>
    <xf numFmtId="3" fontId="9" fillId="29" borderId="4" xfId="0" applyNumberFormat="1" applyFont="1" applyFill="1" applyBorder="1" applyAlignment="1">
      <alignment vertical="center"/>
    </xf>
    <xf numFmtId="9" fontId="8" fillId="29" borderId="25" xfId="0" applyNumberFormat="1" applyFont="1" applyFill="1" applyBorder="1" applyAlignment="1">
      <alignment vertical="center"/>
    </xf>
    <xf numFmtId="0" fontId="9" fillId="89" borderId="25" xfId="0" applyFont="1" applyFill="1" applyBorder="1" applyAlignment="1">
      <alignment vertical="center"/>
    </xf>
    <xf numFmtId="0" fontId="9" fillId="89" borderId="13" xfId="0" applyFont="1" applyFill="1" applyBorder="1" applyAlignment="1">
      <alignment vertical="center"/>
    </xf>
    <xf numFmtId="3" fontId="48" fillId="89" borderId="13" xfId="0" applyNumberFormat="1" applyFont="1" applyFill="1" applyBorder="1" applyAlignment="1">
      <alignment vertical="center"/>
    </xf>
    <xf numFmtId="3" fontId="8" fillId="89" borderId="13" xfId="0" applyNumberFormat="1" applyFont="1" applyFill="1" applyBorder="1" applyAlignment="1">
      <alignment vertical="center"/>
    </xf>
    <xf numFmtId="3" fontId="9" fillId="89" borderId="4" xfId="0" applyNumberFormat="1" applyFont="1" applyFill="1" applyBorder="1" applyAlignment="1">
      <alignment vertical="center"/>
    </xf>
    <xf numFmtId="9" fontId="8" fillId="89" borderId="25" xfId="0" applyNumberFormat="1" applyFont="1" applyFill="1" applyBorder="1" applyAlignment="1">
      <alignment vertical="center"/>
    </xf>
    <xf numFmtId="0" fontId="0" fillId="0" borderId="0" xfId="0" applyAlignment="1">
      <alignment vertical="center" wrapText="1"/>
    </xf>
    <xf numFmtId="0" fontId="8" fillId="0" borderId="26" xfId="0" applyFont="1" applyBorder="1" applyAlignment="1">
      <alignment vertical="center"/>
    </xf>
    <xf numFmtId="0" fontId="0" fillId="0" borderId="26" xfId="0" applyBorder="1" applyAlignment="1">
      <alignment vertical="center" wrapText="1"/>
    </xf>
    <xf numFmtId="0" fontId="56" fillId="15" borderId="26" xfId="0" applyFont="1" applyFill="1" applyBorder="1" applyAlignment="1">
      <alignment horizontal="center" vertical="center"/>
    </xf>
    <xf numFmtId="0" fontId="0" fillId="15" borderId="26" xfId="0" applyFill="1" applyBorder="1" applyAlignment="1">
      <alignment vertical="center" wrapText="1"/>
    </xf>
    <xf numFmtId="0" fontId="0" fillId="13" borderId="0" xfId="0" applyFill="1" applyAlignment="1">
      <alignment vertical="center"/>
    </xf>
    <xf numFmtId="0" fontId="0" fillId="9" borderId="0" xfId="0" applyFill="1" applyAlignment="1">
      <alignment vertical="center"/>
    </xf>
    <xf numFmtId="0" fontId="0" fillId="94" borderId="0" xfId="0" applyFill="1" applyAlignment="1">
      <alignment vertical="center"/>
    </xf>
    <xf numFmtId="0" fontId="8" fillId="9" borderId="26" xfId="0" applyFont="1" applyFill="1" applyBorder="1" applyAlignment="1">
      <alignment vertical="center"/>
    </xf>
    <xf numFmtId="0" fontId="8" fillId="13" borderId="26" xfId="0" applyFont="1" applyFill="1" applyBorder="1" applyAlignment="1">
      <alignment vertical="center"/>
    </xf>
    <xf numFmtId="0" fontId="8" fillId="94" borderId="26" xfId="0" applyFont="1" applyFill="1" applyBorder="1" applyAlignment="1">
      <alignment vertical="center"/>
    </xf>
    <xf numFmtId="0" fontId="8" fillId="0" borderId="20" xfId="0" applyNumberFormat="1" applyFont="1" applyFill="1" applyBorder="1" applyAlignment="1">
      <alignment vertical="center" wrapText="1"/>
    </xf>
    <xf numFmtId="0" fontId="8" fillId="0" borderId="21" xfId="0" applyNumberFormat="1" applyFont="1" applyFill="1" applyBorder="1" applyAlignment="1">
      <alignment vertical="center" wrapText="1"/>
    </xf>
    <xf numFmtId="0" fontId="8" fillId="0" borderId="22" xfId="0" applyNumberFormat="1" applyFont="1" applyFill="1" applyBorder="1" applyAlignment="1">
      <alignment vertical="center" wrapText="1"/>
    </xf>
    <xf numFmtId="3" fontId="8" fillId="0" borderId="20" xfId="0" applyNumberFormat="1" applyFont="1" applyFill="1" applyBorder="1" applyAlignment="1">
      <alignment vertical="center" wrapText="1"/>
    </xf>
    <xf numFmtId="3" fontId="8" fillId="0" borderId="21" xfId="0" applyNumberFormat="1" applyFont="1" applyFill="1" applyBorder="1" applyAlignment="1">
      <alignment vertical="center" wrapText="1"/>
    </xf>
    <xf numFmtId="3" fontId="8" fillId="0" borderId="22" xfId="0" applyNumberFormat="1" applyFont="1" applyFill="1" applyBorder="1" applyAlignment="1">
      <alignment vertical="center" wrapText="1"/>
    </xf>
    <xf numFmtId="9" fontId="8" fillId="17" borderId="7" xfId="3" applyFont="1" applyFill="1" applyBorder="1" applyAlignment="1">
      <alignment horizontal="center" vertical="center"/>
    </xf>
    <xf numFmtId="9" fontId="8" fillId="17" borderId="37" xfId="3" applyFont="1" applyFill="1" applyBorder="1" applyAlignment="1">
      <alignment horizontal="center" vertical="center"/>
    </xf>
    <xf numFmtId="9" fontId="49" fillId="16" borderId="1" xfId="0" applyNumberFormat="1" applyFont="1" applyFill="1" applyBorder="1" applyAlignment="1">
      <alignment horizontal="center" vertical="center"/>
    </xf>
    <xf numFmtId="9" fontId="8" fillId="16" borderId="0" xfId="3" applyFont="1" applyFill="1" applyBorder="1" applyAlignment="1">
      <alignment vertical="center"/>
    </xf>
    <xf numFmtId="0" fontId="8" fillId="16" borderId="37" xfId="0" applyFont="1" applyFill="1" applyBorder="1" applyAlignment="1">
      <alignment horizontal="center" vertical="center"/>
    </xf>
    <xf numFmtId="9" fontId="8" fillId="16" borderId="10" xfId="3" applyFont="1" applyFill="1" applyBorder="1" applyAlignment="1">
      <alignment horizontal="center" vertical="center"/>
    </xf>
    <xf numFmtId="0" fontId="8" fillId="16" borderId="7" xfId="0" applyFont="1" applyFill="1" applyBorder="1" applyAlignment="1">
      <alignment vertical="center"/>
    </xf>
    <xf numFmtId="9" fontId="8" fillId="16" borderId="14" xfId="3" applyFont="1" applyFill="1" applyBorder="1" applyAlignment="1">
      <alignment vertical="center"/>
    </xf>
    <xf numFmtId="9" fontId="8" fillId="16" borderId="15" xfId="3" applyFont="1" applyFill="1" applyBorder="1" applyAlignment="1">
      <alignment vertical="center"/>
    </xf>
    <xf numFmtId="9" fontId="8" fillId="24" borderId="3" xfId="0" applyNumberFormat="1" applyFont="1" applyFill="1" applyBorder="1" applyAlignment="1">
      <alignment vertical="center"/>
    </xf>
    <xf numFmtId="9" fontId="10" fillId="95" borderId="36" xfId="0" applyNumberFormat="1" applyFont="1" applyFill="1" applyBorder="1" applyAlignment="1">
      <alignment vertical="center"/>
    </xf>
    <xf numFmtId="9" fontId="10" fillId="95" borderId="6" xfId="0" applyNumberFormat="1" applyFont="1" applyFill="1" applyBorder="1" applyAlignment="1">
      <alignment vertical="center"/>
    </xf>
    <xf numFmtId="9" fontId="10" fillId="95" borderId="8" xfId="0" applyNumberFormat="1" applyFont="1" applyFill="1" applyBorder="1" applyAlignment="1">
      <alignment vertical="center"/>
    </xf>
    <xf numFmtId="0" fontId="8" fillId="0" borderId="36" xfId="0" applyFont="1" applyFill="1" applyBorder="1" applyAlignment="1">
      <alignment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41" fillId="0" borderId="0" xfId="0" applyNumberFormat="1" applyFont="1" applyFill="1" applyBorder="1" applyAlignment="1">
      <alignment vertical="center" wrapText="1"/>
    </xf>
    <xf numFmtId="0" fontId="0" fillId="0" borderId="0" xfId="0" applyFont="1" applyFill="1" applyBorder="1" applyAlignment="1">
      <alignment horizontal="center"/>
    </xf>
    <xf numFmtId="0" fontId="4" fillId="0" borderId="0" xfId="0" applyFont="1" applyFill="1" applyBorder="1" applyAlignment="1">
      <alignment horizontal="right"/>
    </xf>
    <xf numFmtId="0" fontId="80" fillId="0" borderId="0" xfId="0" applyFont="1"/>
    <xf numFmtId="0" fontId="80" fillId="0" borderId="0" xfId="0" applyFont="1" applyFill="1" applyBorder="1" applyAlignment="1">
      <alignment horizontal="center"/>
    </xf>
    <xf numFmtId="0" fontId="80" fillId="0" borderId="0" xfId="0" applyFont="1" applyFill="1" applyBorder="1" applyAlignment="1">
      <alignment horizontal="right"/>
    </xf>
    <xf numFmtId="0" fontId="8" fillId="17" borderId="0" xfId="0" applyFont="1" applyFill="1" applyBorder="1" applyAlignment="1">
      <alignment horizontal="center" vertical="center"/>
    </xf>
    <xf numFmtId="0" fontId="4" fillId="0" borderId="0" xfId="0" applyFont="1" applyFill="1" applyBorder="1" applyAlignment="1">
      <alignment horizontal="right" vertical="center"/>
    </xf>
    <xf numFmtId="0" fontId="0" fillId="0" borderId="0" xfId="0" applyBorder="1" applyAlignment="1">
      <alignment horizontal="right" vertical="center"/>
    </xf>
    <xf numFmtId="167" fontId="56" fillId="89" borderId="13" xfId="0" applyNumberFormat="1" applyFont="1" applyFill="1" applyBorder="1" applyAlignment="1">
      <alignment horizontal="left"/>
    </xf>
    <xf numFmtId="0" fontId="0" fillId="0" borderId="0" xfId="0" applyFill="1" applyAlignment="1">
      <alignment vertical="center"/>
    </xf>
    <xf numFmtId="0" fontId="0" fillId="0" borderId="26" xfId="0" applyFill="1" applyBorder="1" applyAlignment="1">
      <alignment vertical="center" wrapText="1"/>
    </xf>
    <xf numFmtId="0" fontId="8" fillId="0" borderId="36" xfId="0" applyFont="1" applyBorder="1" applyAlignment="1">
      <alignment wrapText="1"/>
    </xf>
    <xf numFmtId="0" fontId="8" fillId="0" borderId="6" xfId="0" applyFont="1" applyBorder="1" applyAlignment="1">
      <alignment wrapText="1"/>
    </xf>
    <xf numFmtId="0" fontId="8" fillId="0" borderId="8" xfId="0" applyFont="1" applyBorder="1" applyAlignment="1">
      <alignment wrapText="1"/>
    </xf>
    <xf numFmtId="0" fontId="0" fillId="0" borderId="36" xfId="0" applyFill="1" applyBorder="1" applyAlignment="1">
      <alignment vertical="center" wrapText="1"/>
    </xf>
    <xf numFmtId="0" fontId="92" fillId="26" borderId="26" xfId="0" applyFont="1" applyFill="1" applyBorder="1" applyAlignment="1">
      <alignment vertical="center" wrapText="1"/>
    </xf>
    <xf numFmtId="0" fontId="92" fillId="26" borderId="36" xfId="0" applyFont="1" applyFill="1" applyBorder="1" applyAlignment="1">
      <alignment horizontal="left" vertical="center" wrapText="1"/>
    </xf>
    <xf numFmtId="0" fontId="92" fillId="26" borderId="36" xfId="0" applyFont="1" applyFill="1" applyBorder="1" applyAlignment="1">
      <alignment vertical="center" wrapText="1"/>
    </xf>
    <xf numFmtId="0" fontId="8" fillId="0" borderId="13" xfId="0" applyFont="1" applyFill="1" applyBorder="1" applyAlignment="1">
      <alignment vertical="center"/>
    </xf>
    <xf numFmtId="0" fontId="8" fillId="0" borderId="26" xfId="0" applyFont="1" applyBorder="1" applyAlignment="1">
      <alignment wrapText="1"/>
    </xf>
    <xf numFmtId="0" fontId="8" fillId="0" borderId="26" xfId="0" applyFont="1" applyFill="1" applyBorder="1" applyAlignment="1">
      <alignment vertical="center"/>
    </xf>
    <xf numFmtId="0" fontId="21" fillId="0" borderId="26" xfId="0" applyFont="1" applyFill="1" applyBorder="1" applyAlignment="1">
      <alignment vertical="center" wrapText="1"/>
    </xf>
    <xf numFmtId="0" fontId="21" fillId="0" borderId="26" xfId="0" applyFont="1" applyFill="1" applyBorder="1" applyAlignment="1">
      <alignment vertical="center"/>
    </xf>
    <xf numFmtId="10" fontId="21" fillId="0" borderId="26" xfId="0" applyNumberFormat="1" applyFont="1" applyFill="1" applyBorder="1" applyAlignment="1">
      <alignment vertical="center" wrapText="1"/>
    </xf>
    <xf numFmtId="0" fontId="8" fillId="0" borderId="26" xfId="0" applyFont="1" applyBorder="1" applyAlignment="1">
      <alignment horizontal="center" vertical="center" wrapText="1"/>
    </xf>
    <xf numFmtId="0" fontId="8" fillId="0" borderId="36" xfId="0" applyFont="1" applyBorder="1" applyAlignment="1">
      <alignment horizontal="center" vertical="center" wrapText="1"/>
    </xf>
    <xf numFmtId="0" fontId="93" fillId="0" borderId="26" xfId="0" applyFont="1" applyFill="1" applyBorder="1" applyAlignment="1">
      <alignment vertical="center" wrapText="1"/>
    </xf>
    <xf numFmtId="0" fontId="21" fillId="0" borderId="4" xfId="0" applyFont="1" applyFill="1" applyBorder="1" applyAlignment="1">
      <alignment vertical="center"/>
    </xf>
    <xf numFmtId="0" fontId="8" fillId="0" borderId="26" xfId="0" applyFont="1" applyFill="1" applyBorder="1" applyAlignment="1">
      <alignment vertical="center" wrapText="1"/>
    </xf>
    <xf numFmtId="0" fontId="8" fillId="0" borderId="37" xfId="0" applyFont="1" applyBorder="1"/>
    <xf numFmtId="0" fontId="8" fillId="0" borderId="10" xfId="0" applyFont="1" applyBorder="1"/>
    <xf numFmtId="0" fontId="8" fillId="0" borderId="11" xfId="0" applyFont="1" applyBorder="1"/>
    <xf numFmtId="0" fontId="8" fillId="0" borderId="1" xfId="0" applyFont="1" applyBorder="1"/>
    <xf numFmtId="0" fontId="8" fillId="0" borderId="12" xfId="0" applyFont="1" applyBorder="1"/>
    <xf numFmtId="0" fontId="8" fillId="0" borderId="7" xfId="0" applyFont="1" applyBorder="1"/>
    <xf numFmtId="0" fontId="8" fillId="0" borderId="26" xfId="0" applyFont="1" applyFill="1" applyBorder="1" applyAlignment="1">
      <alignment horizontal="left" vertical="center" wrapText="1"/>
    </xf>
    <xf numFmtId="0" fontId="92" fillId="26" borderId="26"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26" xfId="0" applyFont="1" applyFill="1" applyBorder="1" applyAlignment="1">
      <alignment vertical="center" wrapText="1"/>
    </xf>
    <xf numFmtId="0" fontId="6" fillId="0" borderId="0" xfId="1" applyAlignment="1" applyProtection="1">
      <alignment vertical="center"/>
    </xf>
    <xf numFmtId="0" fontId="80" fillId="0" borderId="0" xfId="0" applyFont="1" applyFill="1" applyBorder="1"/>
    <xf numFmtId="0" fontId="0" fillId="0" borderId="1" xfId="0" applyFill="1" applyBorder="1"/>
    <xf numFmtId="0" fontId="8" fillId="0" borderId="26" xfId="0" applyFont="1" applyFill="1" applyBorder="1" applyAlignment="1">
      <alignment horizontal="center" vertical="center"/>
    </xf>
    <xf numFmtId="0" fontId="0" fillId="0" borderId="26" xfId="0" applyFont="1" applyFill="1" applyBorder="1" applyAlignment="1">
      <alignment horizontal="left" vertical="center" wrapText="1"/>
    </xf>
    <xf numFmtId="0" fontId="92" fillId="26" borderId="36" xfId="0" applyFont="1" applyFill="1" applyBorder="1" applyAlignment="1">
      <alignment vertical="center" wrapText="1"/>
    </xf>
    <xf numFmtId="0" fontId="92" fillId="26" borderId="25" xfId="0" applyFont="1" applyFill="1" applyBorder="1" applyAlignment="1">
      <alignment vertical="center" wrapText="1"/>
    </xf>
    <xf numFmtId="0" fontId="8" fillId="0" borderId="25" xfId="0" applyFont="1" applyFill="1" applyBorder="1" applyAlignment="1">
      <alignment vertical="center"/>
    </xf>
    <xf numFmtId="0" fontId="8" fillId="0" borderId="4"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167" fontId="49" fillId="17" borderId="0" xfId="0" applyNumberFormat="1" applyFont="1" applyFill="1" applyBorder="1" applyAlignment="1">
      <alignment horizontal="right" vertical="center"/>
    </xf>
    <xf numFmtId="168" fontId="49" fillId="17" borderId="0" xfId="0" applyNumberFormat="1" applyFont="1" applyFill="1" applyBorder="1" applyAlignment="1">
      <alignment horizontal="right" vertical="center"/>
    </xf>
    <xf numFmtId="0" fontId="80" fillId="0" borderId="12" xfId="0" applyFont="1" applyBorder="1"/>
    <xf numFmtId="1" fontId="80" fillId="0" borderId="12" xfId="0" applyNumberFormat="1" applyFont="1" applyBorder="1"/>
    <xf numFmtId="0" fontId="0" fillId="23" borderId="0" xfId="0" applyFill="1" applyAlignment="1"/>
    <xf numFmtId="0" fontId="80" fillId="0" borderId="12" xfId="0" applyFont="1" applyFill="1" applyBorder="1" applyAlignment="1">
      <alignment horizontal="center"/>
    </xf>
    <xf numFmtId="0" fontId="80" fillId="0" borderId="1" xfId="0" applyFont="1" applyFill="1" applyBorder="1"/>
    <xf numFmtId="9" fontId="80" fillId="0" borderId="0" xfId="0" applyNumberFormat="1" applyFont="1" applyFill="1" applyBorder="1" applyAlignment="1">
      <alignment horizontal="center"/>
    </xf>
    <xf numFmtId="9" fontId="4" fillId="0" borderId="0" xfId="3" applyFont="1" applyFill="1" applyBorder="1" applyAlignment="1">
      <alignment horizontal="center"/>
    </xf>
    <xf numFmtId="167" fontId="0" fillId="0" borderId="0" xfId="0" applyNumberFormat="1" applyFill="1" applyBorder="1"/>
    <xf numFmtId="0" fontId="0" fillId="0" borderId="12" xfId="0" applyFill="1" applyBorder="1"/>
    <xf numFmtId="0" fontId="80" fillId="0" borderId="12" xfId="0" applyFont="1" applyFill="1" applyBorder="1"/>
    <xf numFmtId="9" fontId="0" fillId="0" borderId="0" xfId="0" applyNumberFormat="1" applyFont="1" applyFill="1" applyBorder="1" applyAlignment="1">
      <alignment horizontal="center"/>
    </xf>
    <xf numFmtId="20" fontId="0" fillId="0" borderId="0" xfId="0" applyNumberFormat="1" applyFill="1" applyBorder="1"/>
    <xf numFmtId="0" fontId="0" fillId="0" borderId="0" xfId="0" applyFill="1" applyAlignment="1">
      <alignment horizontal="center"/>
    </xf>
    <xf numFmtId="0" fontId="0" fillId="0" borderId="0" xfId="0" applyFill="1" applyBorder="1" applyAlignment="1">
      <alignment horizontal="center"/>
    </xf>
    <xf numFmtId="0" fontId="80" fillId="0" borderId="0" xfId="0" applyFont="1" applyFill="1" applyBorder="1" applyAlignment="1">
      <alignment horizontal="center" vertical="center"/>
    </xf>
    <xf numFmtId="0" fontId="36" fillId="16" borderId="4" xfId="0" applyFont="1" applyFill="1" applyBorder="1" applyAlignment="1">
      <alignment vertical="center"/>
    </xf>
    <xf numFmtId="165" fontId="36" fillId="19" borderId="26" xfId="0" applyNumberFormat="1" applyFont="1" applyFill="1" applyBorder="1" applyAlignment="1">
      <alignment vertical="center"/>
    </xf>
    <xf numFmtId="186" fontId="80" fillId="0" borderId="0" xfId="0" applyNumberFormat="1" applyFont="1" applyFill="1" applyBorder="1" applyAlignment="1">
      <alignment horizontal="center"/>
    </xf>
    <xf numFmtId="187" fontId="80" fillId="0" borderId="0" xfId="0" applyNumberFormat="1" applyFont="1" applyFill="1" applyBorder="1" applyAlignment="1">
      <alignment horizontal="center"/>
    </xf>
    <xf numFmtId="179" fontId="94" fillId="17" borderId="0" xfId="0" applyNumberFormat="1" applyFont="1" applyFill="1" applyBorder="1" applyAlignment="1">
      <alignment vertical="center"/>
    </xf>
    <xf numFmtId="0" fontId="80" fillId="0" borderId="12" xfId="0" applyFont="1" applyFill="1" applyBorder="1" applyAlignment="1">
      <alignment horizontal="center" vertical="center"/>
    </xf>
    <xf numFmtId="0" fontId="80" fillId="0" borderId="0" xfId="0" applyFont="1" applyBorder="1" applyAlignment="1">
      <alignment horizontal="center" vertical="center"/>
    </xf>
    <xf numFmtId="0" fontId="80" fillId="0" borderId="0" xfId="0" applyFont="1" applyBorder="1" applyAlignment="1">
      <alignment horizontal="center"/>
    </xf>
    <xf numFmtId="0" fontId="80" fillId="0" borderId="12" xfId="0" applyFont="1" applyBorder="1" applyAlignment="1">
      <alignment horizontal="center" vertical="center"/>
    </xf>
    <xf numFmtId="0" fontId="80" fillId="0" borderId="12" xfId="0" applyFont="1" applyBorder="1" applyAlignment="1">
      <alignment horizontal="center"/>
    </xf>
    <xf numFmtId="0" fontId="0" fillId="7" borderId="0" xfId="0" applyFill="1"/>
    <xf numFmtId="0" fontId="0" fillId="23" borderId="0" xfId="0" applyFill="1" applyBorder="1"/>
    <xf numFmtId="0" fontId="80" fillId="0" borderId="0" xfId="0" applyFont="1" applyFill="1"/>
    <xf numFmtId="9" fontId="0" fillId="0" borderId="0" xfId="0" applyNumberFormat="1" applyBorder="1" applyAlignment="1">
      <alignment horizontal="center"/>
    </xf>
    <xf numFmtId="9" fontId="0" fillId="0" borderId="0" xfId="0" applyNumberFormat="1" applyFill="1" applyBorder="1" applyAlignment="1">
      <alignment horizontal="center"/>
    </xf>
    <xf numFmtId="0" fontId="56" fillId="19" borderId="12" xfId="0" applyFont="1" applyFill="1" applyBorder="1" applyAlignment="1">
      <alignment horizontal="center"/>
    </xf>
    <xf numFmtId="0" fontId="56" fillId="19" borderId="15" xfId="0" applyFont="1" applyFill="1" applyBorder="1" applyAlignment="1">
      <alignment horizontal="center"/>
    </xf>
    <xf numFmtId="0" fontId="0" fillId="0" borderId="12" xfId="0" applyFont="1" applyFill="1" applyBorder="1"/>
    <xf numFmtId="0" fontId="8" fillId="17" borderId="1" xfId="0" applyFont="1" applyFill="1" applyBorder="1" applyAlignment="1">
      <alignment horizontal="center" vertical="center"/>
    </xf>
    <xf numFmtId="3" fontId="49" fillId="17" borderId="0" xfId="0" applyNumberFormat="1" applyFont="1" applyFill="1" applyBorder="1" applyAlignment="1">
      <alignment vertical="center" wrapText="1"/>
    </xf>
    <xf numFmtId="0" fontId="8" fillId="91" borderId="7"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4"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3" fontId="9" fillId="17" borderId="12" xfId="2" applyFont="1" applyFill="1" applyBorder="1" applyAlignment="1">
      <alignment horizontal="center" vertical="center"/>
    </xf>
    <xf numFmtId="9" fontId="49" fillId="17" borderId="0" xfId="0" applyNumberFormat="1" applyFont="1" applyFill="1" applyBorder="1"/>
    <xf numFmtId="3" fontId="49" fillId="17" borderId="0" xfId="0" applyNumberFormat="1" applyFont="1" applyFill="1" applyBorder="1" applyAlignment="1">
      <alignment horizontal="center" vertical="center"/>
    </xf>
    <xf numFmtId="3" fontId="48" fillId="17" borderId="1" xfId="0" applyNumberFormat="1" applyFont="1" applyFill="1" applyBorder="1" applyAlignment="1">
      <alignment vertical="center"/>
    </xf>
    <xf numFmtId="9" fontId="8" fillId="91" borderId="1" xfId="0" applyNumberFormat="1" applyFont="1" applyFill="1" applyBorder="1" applyAlignment="1">
      <alignment horizontal="center" vertical="center"/>
    </xf>
    <xf numFmtId="0" fontId="8" fillId="91" borderId="7" xfId="0" applyFont="1" applyFill="1" applyBorder="1" applyAlignment="1">
      <alignment horizontal="center" vertical="center"/>
    </xf>
    <xf numFmtId="0" fontId="8" fillId="91" borderId="37"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36" fillId="16" borderId="4" xfId="0" applyFont="1" applyFill="1" applyBorder="1" applyAlignment="1">
      <alignment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3" fontId="21" fillId="7" borderId="11" xfId="2" applyFont="1" applyFill="1" applyBorder="1" applyAlignment="1">
      <alignment horizontal="center" vertical="center" wrapText="1"/>
    </xf>
    <xf numFmtId="9" fontId="8" fillId="91" borderId="1" xfId="0" applyNumberFormat="1" applyFont="1" applyFill="1" applyBorder="1" applyAlignment="1">
      <alignment horizontal="center" vertical="center"/>
    </xf>
    <xf numFmtId="0" fontId="8" fillId="17" borderId="8" xfId="0" applyFont="1" applyFill="1" applyBorder="1" applyAlignment="1">
      <alignment horizontal="center" vertical="center"/>
    </xf>
    <xf numFmtId="0" fontId="35" fillId="16" borderId="3"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3" fontId="9" fillId="17" borderId="12" xfId="2" applyFont="1" applyFill="1" applyBorder="1" applyAlignment="1">
      <alignment horizontal="center" vertical="center"/>
    </xf>
    <xf numFmtId="0" fontId="9" fillId="17" borderId="10" xfId="0" applyFont="1" applyFill="1" applyBorder="1" applyAlignment="1">
      <alignment horizontal="left" vertical="center"/>
    </xf>
    <xf numFmtId="0" fontId="56" fillId="30" borderId="5" xfId="0" applyFont="1" applyFill="1" applyBorder="1" applyAlignment="1">
      <alignment horizontal="center" vertical="center" wrapText="1"/>
    </xf>
    <xf numFmtId="0" fontId="0" fillId="23" borderId="0" xfId="0" applyFill="1" applyAlignment="1">
      <alignment horizontal="right"/>
    </xf>
    <xf numFmtId="0" fontId="0" fillId="23" borderId="0" xfId="0" applyFill="1" applyAlignment="1">
      <alignment horizontal="left"/>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36" fillId="16" borderId="4" xfId="0" applyFont="1" applyFill="1" applyBorder="1" applyAlignment="1">
      <alignment vertical="center"/>
    </xf>
    <xf numFmtId="0" fontId="8" fillId="17" borderId="1"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36" fillId="16" borderId="25" xfId="0" applyFont="1" applyFill="1" applyBorder="1" applyAlignment="1">
      <alignmen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8" fillId="17" borderId="0" xfId="0" applyNumberFormat="1" applyFont="1" applyFill="1" applyBorder="1" applyAlignment="1">
      <alignment horizontal="center" vertical="center"/>
    </xf>
    <xf numFmtId="9" fontId="8" fillId="17" borderId="1" xfId="0" applyNumberFormat="1" applyFont="1" applyFill="1" applyBorder="1" applyAlignment="1">
      <alignment horizontal="center" vertical="center"/>
    </xf>
    <xf numFmtId="9" fontId="8" fillId="0" borderId="8" xfId="3" applyFont="1" applyFill="1" applyBorder="1" applyAlignment="1">
      <alignment vertical="center"/>
    </xf>
    <xf numFmtId="3" fontId="49" fillId="17" borderId="0" xfId="2" applyFont="1" applyFill="1" applyBorder="1" applyAlignment="1">
      <alignment vertical="center"/>
    </xf>
    <xf numFmtId="9" fontId="8" fillId="0" borderId="0" xfId="0" applyNumberFormat="1" applyFont="1" applyFill="1" applyBorder="1" applyAlignment="1">
      <alignment horizontal="center" vertical="center"/>
    </xf>
    <xf numFmtId="173" fontId="8" fillId="0" borderId="0" xfId="0" applyNumberFormat="1" applyFont="1" applyFill="1" applyBorder="1" applyAlignment="1">
      <alignment horizontal="center" vertical="center"/>
    </xf>
    <xf numFmtId="9" fontId="8" fillId="91" borderId="37" xfId="0" applyNumberFormat="1" applyFont="1" applyFill="1" applyBorder="1" applyAlignment="1">
      <alignment horizontal="center" vertical="center"/>
    </xf>
    <xf numFmtId="173" fontId="8" fillId="91" borderId="36" xfId="0" applyNumberFormat="1" applyFont="1" applyFill="1" applyBorder="1" applyAlignment="1">
      <alignment horizontal="center" vertical="center"/>
    </xf>
    <xf numFmtId="3" fontId="48" fillId="0" borderId="0" xfId="0" applyNumberFormat="1" applyFont="1" applyFill="1" applyBorder="1" applyAlignment="1">
      <alignment vertical="center"/>
    </xf>
    <xf numFmtId="3" fontId="19" fillId="0" borderId="0" xfId="0" applyNumberFormat="1" applyFont="1" applyFill="1" applyBorder="1" applyAlignment="1">
      <alignment vertical="center"/>
    </xf>
    <xf numFmtId="3" fontId="49" fillId="0" borderId="0" xfId="0" applyNumberFormat="1" applyFont="1" applyFill="1" applyBorder="1" applyAlignment="1">
      <alignment vertical="center"/>
    </xf>
    <xf numFmtId="3" fontId="25" fillId="17" borderId="37" xfId="0" applyNumberFormat="1" applyFont="1" applyFill="1" applyBorder="1" applyAlignment="1">
      <alignment vertical="center"/>
    </xf>
    <xf numFmtId="3" fontId="19" fillId="17" borderId="10" xfId="0" applyNumberFormat="1" applyFont="1" applyFill="1" applyBorder="1" applyAlignment="1">
      <alignment vertical="center"/>
    </xf>
    <xf numFmtId="3" fontId="48" fillId="17" borderId="10" xfId="0" applyNumberFormat="1" applyFont="1" applyFill="1" applyBorder="1" applyAlignment="1">
      <alignment vertical="center"/>
    </xf>
    <xf numFmtId="3" fontId="49" fillId="17" borderId="10" xfId="0" applyNumberFormat="1" applyFont="1" applyFill="1" applyBorder="1" applyAlignment="1">
      <alignment vertical="center"/>
    </xf>
    <xf numFmtId="3" fontId="9" fillId="17" borderId="10" xfId="0" applyNumberFormat="1" applyFont="1" applyFill="1" applyBorder="1" applyAlignment="1">
      <alignment vertical="center"/>
    </xf>
    <xf numFmtId="3" fontId="9" fillId="17" borderId="11" xfId="0" applyNumberFormat="1" applyFont="1" applyFill="1" applyBorder="1" applyAlignment="1">
      <alignment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9" fillId="17" borderId="26" xfId="0" applyFont="1" applyFill="1" applyBorder="1" applyAlignment="1">
      <alignment horizontal="center" vertical="center"/>
    </xf>
    <xf numFmtId="0" fontId="9" fillId="17" borderId="37" xfId="0" applyFont="1" applyFill="1" applyBorder="1" applyAlignment="1">
      <alignment horizontal="left" vertical="center"/>
    </xf>
    <xf numFmtId="9" fontId="0" fillId="0" borderId="0" xfId="3" applyFont="1" applyBorder="1"/>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0" fontId="44" fillId="16" borderId="14" xfId="0" applyFont="1" applyFill="1" applyBorder="1" applyAlignment="1">
      <alignment horizontal="center" vertical="center"/>
    </xf>
    <xf numFmtId="3" fontId="9" fillId="17" borderId="1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0" xfId="2" applyFont="1" applyFill="1" applyBorder="1" applyAlignment="1">
      <alignment horizontal="center" vertical="center"/>
    </xf>
    <xf numFmtId="3" fontId="9" fillId="17" borderId="11" xfId="2" applyFont="1" applyFill="1" applyBorder="1" applyAlignment="1">
      <alignment horizontal="center" vertical="center"/>
    </xf>
    <xf numFmtId="3" fontId="9" fillId="17" borderId="37" xfId="2" applyFont="1" applyFill="1" applyBorder="1" applyAlignment="1">
      <alignment horizontal="center" vertical="center"/>
    </xf>
    <xf numFmtId="0" fontId="8" fillId="17" borderId="10" xfId="0" applyFont="1" applyFill="1" applyBorder="1" applyAlignment="1">
      <alignment horizontal="center" vertical="center"/>
    </xf>
    <xf numFmtId="0" fontId="9" fillId="17" borderId="12" xfId="0" applyFont="1" applyFill="1" applyBorder="1" applyAlignment="1">
      <alignment horizontal="center" vertical="center"/>
    </xf>
    <xf numFmtId="3" fontId="35" fillId="17" borderId="1" xfId="2" applyFont="1" applyFill="1" applyBorder="1" applyAlignment="1">
      <alignment horizontal="center" vertical="center"/>
    </xf>
    <xf numFmtId="3" fontId="49" fillId="17" borderId="0" xfId="2" applyFont="1" applyFill="1" applyBorder="1" applyAlignment="1">
      <alignment horizontal="center" vertical="center"/>
    </xf>
    <xf numFmtId="0" fontId="36" fillId="16" borderId="4" xfId="0" applyFont="1" applyFill="1" applyBorder="1" applyAlignment="1">
      <alignment vertical="center"/>
    </xf>
    <xf numFmtId="0" fontId="8" fillId="17" borderId="8" xfId="0" applyFont="1" applyFill="1" applyBorder="1" applyAlignment="1">
      <alignment horizontal="center" vertical="center"/>
    </xf>
    <xf numFmtId="0" fontId="36" fillId="16" borderId="25" xfId="0" applyFont="1" applyFill="1" applyBorder="1" applyAlignment="1">
      <alignment vertical="center"/>
    </xf>
    <xf numFmtId="0" fontId="36" fillId="16" borderId="7" xfId="0" applyFont="1" applyFill="1" applyBorder="1" applyAlignment="1">
      <alignment horizontal="left" vertical="center"/>
    </xf>
    <xf numFmtId="3" fontId="36" fillId="16" borderId="7" xfId="0" applyNumberFormat="1" applyFont="1" applyFill="1" applyBorder="1" applyAlignment="1">
      <alignment horizontal="right" vertical="center"/>
    </xf>
    <xf numFmtId="0" fontId="36" fillId="16" borderId="26" xfId="0" applyFont="1" applyFill="1" applyBorder="1" applyAlignment="1">
      <alignment horizontal="right" vertical="center"/>
    </xf>
    <xf numFmtId="169" fontId="8" fillId="0" borderId="24" xfId="0" applyNumberFormat="1" applyFont="1" applyFill="1" applyBorder="1" applyAlignment="1">
      <alignment horizontal="center" vertical="center"/>
    </xf>
    <xf numFmtId="0" fontId="0" fillId="0" borderId="12" xfId="0" applyFont="1" applyFill="1" applyBorder="1" applyAlignment="1">
      <alignment horizontal="center"/>
    </xf>
    <xf numFmtId="188" fontId="0" fillId="0" borderId="0" xfId="0" applyNumberFormat="1" applyFont="1" applyFill="1" applyBorder="1" applyAlignment="1">
      <alignment horizontal="center"/>
    </xf>
    <xf numFmtId="0" fontId="95" fillId="0" borderId="0" xfId="0" applyFont="1" applyFill="1" applyBorder="1"/>
    <xf numFmtId="0" fontId="95" fillId="0" borderId="12" xfId="0" applyFont="1" applyFill="1" applyBorder="1"/>
    <xf numFmtId="0" fontId="26" fillId="13" borderId="2" xfId="0" applyFont="1" applyFill="1" applyBorder="1" applyAlignment="1">
      <alignment horizontal="center" vertical="center"/>
    </xf>
    <xf numFmtId="3" fontId="8" fillId="16" borderId="26" xfId="2" applyFont="1" applyFill="1" applyBorder="1" applyAlignment="1">
      <alignment horizontal="right" vertical="center"/>
    </xf>
    <xf numFmtId="3" fontId="8" fillId="11" borderId="26" xfId="2" applyFont="1" applyFill="1" applyBorder="1" applyAlignment="1">
      <alignment horizontal="right" vertical="center"/>
    </xf>
    <xf numFmtId="3" fontId="8" fillId="23" borderId="26" xfId="2" applyFont="1" applyFill="1" applyBorder="1" applyAlignment="1">
      <alignment horizontal="right" vertical="center"/>
    </xf>
    <xf numFmtId="3" fontId="8" fillId="25" borderId="26" xfId="2" applyFont="1" applyFill="1" applyBorder="1" applyAlignment="1">
      <alignment horizontal="right" vertical="center"/>
    </xf>
    <xf numFmtId="9" fontId="0" fillId="0" borderId="0" xfId="3" applyFont="1" applyFill="1" applyBorder="1" applyAlignment="1">
      <alignment horizontal="center"/>
    </xf>
    <xf numFmtId="0" fontId="8" fillId="91" borderId="37" xfId="0" applyFont="1" applyFill="1" applyBorder="1" applyAlignment="1">
      <alignment horizontal="center" vertical="center"/>
    </xf>
    <xf numFmtId="9" fontId="0" fillId="0" borderId="0" xfId="0" applyNumberFormat="1" applyAlignment="1">
      <alignment horizontal="center"/>
    </xf>
    <xf numFmtId="189" fontId="8" fillId="91" borderId="6" xfId="0" applyNumberFormat="1" applyFont="1" applyFill="1" applyBorder="1" applyAlignment="1">
      <alignment horizontal="center" vertical="center"/>
    </xf>
    <xf numFmtId="0" fontId="0" fillId="0" borderId="1" xfId="0" quotePrefix="1" applyFill="1" applyBorder="1"/>
    <xf numFmtId="0" fontId="8" fillId="17" borderId="0" xfId="0" applyFont="1" applyFill="1" applyBorder="1" applyAlignment="1">
      <alignment horizontal="center" vertical="center"/>
    </xf>
    <xf numFmtId="1" fontId="49" fillId="17" borderId="12"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36" xfId="0" applyFont="1" applyFill="1" applyBorder="1" applyAlignment="1">
      <alignment horizontal="center" vertical="center"/>
    </xf>
    <xf numFmtId="0" fontId="0" fillId="23" borderId="0" xfId="0" applyFill="1" applyAlignment="1">
      <alignment horizontal="center"/>
    </xf>
    <xf numFmtId="0" fontId="56" fillId="0" borderId="1" xfId="0" applyFont="1" applyFill="1" applyBorder="1" applyAlignment="1">
      <alignment horizontal="center"/>
    </xf>
    <xf numFmtId="0" fontId="56" fillId="0" borderId="0" xfId="0" applyFont="1" applyFill="1" applyBorder="1" applyAlignment="1">
      <alignment horizontal="center"/>
    </xf>
    <xf numFmtId="0" fontId="56" fillId="0" borderId="12" xfId="0" applyFont="1" applyFill="1" applyBorder="1" applyAlignment="1">
      <alignment horizontal="center"/>
    </xf>
    <xf numFmtId="0" fontId="0" fillId="90" borderId="0" xfId="0" applyFill="1" applyAlignment="1">
      <alignment horizontal="center"/>
    </xf>
    <xf numFmtId="0" fontId="9" fillId="0" borderId="0" xfId="0" applyFont="1" applyFill="1" applyBorder="1" applyAlignment="1">
      <alignment horizontal="center"/>
    </xf>
    <xf numFmtId="0" fontId="9" fillId="0" borderId="12" xfId="0" applyFont="1" applyFill="1" applyBorder="1" applyAlignment="1">
      <alignment horizontal="center"/>
    </xf>
    <xf numFmtId="0" fontId="9" fillId="0" borderId="1" xfId="0" applyFont="1" applyFill="1" applyBorder="1" applyAlignment="1">
      <alignment horizontal="left"/>
    </xf>
    <xf numFmtId="9" fontId="8" fillId="17" borderId="7"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9" fontId="8" fillId="91" borderId="1"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9" fillId="17" borderId="0" xfId="0" applyFont="1" applyFill="1" applyBorder="1" applyAlignment="1">
      <alignment horizontal="center" vertical="center"/>
    </xf>
    <xf numFmtId="0" fontId="0" fillId="19" borderId="0" xfId="0" applyFill="1"/>
    <xf numFmtId="9" fontId="0" fillId="0" borderId="0" xfId="0" applyNumberFormat="1" applyFill="1" applyAlignment="1">
      <alignment horizontal="center"/>
    </xf>
    <xf numFmtId="0" fontId="0" fillId="0" borderId="1" xfId="0" applyFont="1" applyFill="1" applyBorder="1" applyAlignment="1">
      <alignment horizontal="left" vertical="top"/>
    </xf>
    <xf numFmtId="0" fontId="0" fillId="0" borderId="0" xfId="0" applyFont="1" applyFill="1" applyBorder="1" applyAlignment="1">
      <alignment horizontal="right"/>
    </xf>
    <xf numFmtId="0" fontId="0" fillId="0" borderId="1" xfId="0" applyFont="1" applyFill="1" applyBorder="1" applyAlignment="1">
      <alignment horizontal="left"/>
    </xf>
    <xf numFmtId="0" fontId="0" fillId="0" borderId="0" xfId="0" applyFont="1" applyFill="1" applyBorder="1" applyAlignment="1">
      <alignment horizontal="left"/>
    </xf>
    <xf numFmtId="2" fontId="49" fillId="17" borderId="0" xfId="0" applyNumberFormat="1" applyFont="1" applyFill="1" applyBorder="1" applyAlignment="1">
      <alignment vertical="center"/>
    </xf>
    <xf numFmtId="0" fontId="8" fillId="91" borderId="11" xfId="0" applyFont="1" applyFill="1" applyBorder="1" applyAlignment="1">
      <alignment horizontal="center" vertical="center"/>
    </xf>
    <xf numFmtId="0" fontId="48" fillId="17"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0" fontId="8" fillId="91" borderId="12" xfId="0" applyFont="1" applyFill="1" applyBorder="1" applyAlignment="1">
      <alignment horizontal="center" vertical="center"/>
    </xf>
    <xf numFmtId="0" fontId="8" fillId="91" borderId="1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9" fontId="8" fillId="13" borderId="25" xfId="0" applyNumberFormat="1"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0" fontId="9" fillId="17" borderId="12" xfId="0" applyFont="1" applyFill="1" applyBorder="1" applyAlignment="1">
      <alignment horizontal="center" vertical="center"/>
    </xf>
    <xf numFmtId="9" fontId="8" fillId="17" borderId="10" xfId="3"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36" xfId="0" applyFont="1" applyFill="1" applyBorder="1" applyAlignment="1">
      <alignment horizontal="center" vertical="center" wrapText="1"/>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9" fillId="17" borderId="37" xfId="0" applyFont="1" applyFill="1" applyBorder="1" applyAlignment="1">
      <alignment horizontal="lef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19" fillId="17" borderId="0" xfId="0"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9" fillId="0" borderId="0" xfId="2" applyFont="1" applyFill="1" applyBorder="1" applyAlignment="1">
      <alignment vertical="center"/>
    </xf>
    <xf numFmtId="169" fontId="49" fillId="0" borderId="0" xfId="0" applyNumberFormat="1" applyFont="1" applyFill="1" applyBorder="1" applyAlignment="1">
      <alignment vertical="center"/>
    </xf>
    <xf numFmtId="3" fontId="25" fillId="0" borderId="0" xfId="0" applyNumberFormat="1" applyFont="1" applyFill="1" applyBorder="1" applyAlignment="1">
      <alignment vertical="center"/>
    </xf>
    <xf numFmtId="9" fontId="8" fillId="0" borderId="0" xfId="3" applyFont="1" applyFill="1" applyBorder="1" applyAlignment="1">
      <alignment vertical="center"/>
    </xf>
    <xf numFmtId="3" fontId="8" fillId="0" borderId="0" xfId="2" applyFont="1" applyFill="1" applyBorder="1" applyAlignment="1">
      <alignment vertical="center"/>
    </xf>
    <xf numFmtId="9" fontId="49" fillId="0" borderId="0" xfId="0" applyNumberFormat="1" applyFont="1" applyFill="1" applyBorder="1" applyAlignment="1">
      <alignment horizontal="center" vertical="center"/>
    </xf>
    <xf numFmtId="0" fontId="9" fillId="0" borderId="0" xfId="0" applyFont="1" applyFill="1" applyBorder="1" applyAlignment="1">
      <alignment vertical="center"/>
    </xf>
    <xf numFmtId="9" fontId="8" fillId="0" borderId="0" xfId="0" applyNumberFormat="1" applyFont="1" applyFill="1" applyBorder="1" applyAlignment="1">
      <alignment vertical="center"/>
    </xf>
    <xf numFmtId="3" fontId="8" fillId="16" borderId="0" xfId="2" applyFont="1" applyFill="1" applyBorder="1" applyAlignment="1">
      <alignment horizontal="right" vertical="center"/>
    </xf>
    <xf numFmtId="3" fontId="8" fillId="23" borderId="0" xfId="2" applyFont="1" applyFill="1" applyBorder="1" applyAlignment="1">
      <alignment horizontal="right" vertical="center"/>
    </xf>
    <xf numFmtId="3" fontId="8" fillId="11" borderId="0" xfId="2" applyFont="1" applyFill="1" applyBorder="1" applyAlignment="1">
      <alignment horizontal="right" vertical="center"/>
    </xf>
    <xf numFmtId="3" fontId="8" fillId="25" borderId="0" xfId="2" applyFont="1" applyFill="1" applyBorder="1" applyAlignment="1">
      <alignment horizontal="right" vertical="center"/>
    </xf>
    <xf numFmtId="9" fontId="0" fillId="0" borderId="0" xfId="3" applyFont="1" applyBorder="1" applyAlignment="1">
      <alignment horizontal="center"/>
    </xf>
    <xf numFmtId="9" fontId="4" fillId="0" borderId="0" xfId="0" applyNumberFormat="1" applyFont="1" applyFill="1" applyAlignment="1">
      <alignment horizontal="center"/>
    </xf>
    <xf numFmtId="0" fontId="80" fillId="0" borderId="0" xfId="0" applyFont="1" applyFill="1" applyAlignment="1">
      <alignment horizontal="center"/>
    </xf>
    <xf numFmtId="0" fontId="0" fillId="0" borderId="0" xfId="0" applyFill="1" applyBorder="1" applyAlignment="1">
      <alignment horizontal="right" vertical="center"/>
    </xf>
    <xf numFmtId="0" fontId="8" fillId="0" borderId="1" xfId="0" applyFont="1" applyFill="1" applyBorder="1" applyAlignment="1">
      <alignment horizontal="left"/>
    </xf>
    <xf numFmtId="0" fontId="8" fillId="0" borderId="0" xfId="0" applyFont="1" applyFill="1" applyBorder="1" applyAlignment="1">
      <alignment horizontal="left"/>
    </xf>
    <xf numFmtId="9" fontId="8" fillId="0" borderId="0" xfId="3" applyFont="1" applyFill="1" applyBorder="1" applyAlignment="1">
      <alignment horizontal="center"/>
    </xf>
    <xf numFmtId="0" fontId="0" fillId="0" borderId="12" xfId="0" applyFill="1" applyBorder="1" applyAlignment="1">
      <alignment horizontal="center"/>
    </xf>
    <xf numFmtId="0" fontId="80" fillId="0" borderId="0" xfId="0" applyNumberFormat="1" applyFont="1" applyFill="1" applyBorder="1"/>
    <xf numFmtId="0" fontId="0" fillId="23" borderId="0" xfId="0" applyFill="1" applyAlignment="1">
      <alignment horizontal="center"/>
    </xf>
    <xf numFmtId="0" fontId="0" fillId="0" borderId="0" xfId="0" applyBorder="1" applyAlignment="1">
      <alignment horizontal="center"/>
    </xf>
    <xf numFmtId="3" fontId="9" fillId="17" borderId="0"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0" fillId="0" borderId="0" xfId="0" applyFill="1" applyAlignment="1">
      <alignment horizontal="left"/>
    </xf>
    <xf numFmtId="9" fontId="8" fillId="91" borderId="1" xfId="0" applyNumberFormat="1" applyFont="1" applyFill="1" applyBorder="1" applyAlignment="1">
      <alignment horizontal="center" vertical="center"/>
    </xf>
    <xf numFmtId="0" fontId="21" fillId="17" borderId="1"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3" fontId="9" fillId="17" borderId="0" xfId="0" applyNumberFormat="1" applyFont="1" applyFill="1" applyBorder="1" applyAlignment="1">
      <alignment horizontal="center" vertical="center"/>
    </xf>
    <xf numFmtId="0" fontId="9" fillId="17" borderId="12" xfId="0" applyFont="1" applyFill="1" applyBorder="1" applyAlignment="1">
      <alignment horizontal="center" vertical="center"/>
    </xf>
    <xf numFmtId="3" fontId="49" fillId="17" borderId="0" xfId="0" applyNumberFormat="1" applyFont="1" applyFill="1" applyBorder="1" applyAlignment="1">
      <alignment horizontal="center" vertical="center"/>
    </xf>
    <xf numFmtId="3" fontId="49" fillId="17" borderId="0" xfId="0" applyNumberFormat="1" applyFont="1" applyFill="1" applyBorder="1" applyAlignment="1">
      <alignment horizontal="right" vertical="center" wrapText="1"/>
    </xf>
    <xf numFmtId="3" fontId="49" fillId="17" borderId="0" xfId="0" applyNumberFormat="1" applyFont="1" applyFill="1" applyBorder="1" applyAlignment="1">
      <alignment horizontal="center" vertical="center" wrapText="1"/>
    </xf>
    <xf numFmtId="0" fontId="0" fillId="23" borderId="0" xfId="0" applyFill="1" applyAlignment="1">
      <alignment horizontal="center"/>
    </xf>
    <xf numFmtId="9" fontId="8" fillId="91" borderId="1" xfId="0" applyNumberFormat="1" applyFont="1" applyFill="1" applyBorder="1" applyAlignment="1">
      <alignment horizontal="center" vertical="center"/>
    </xf>
    <xf numFmtId="0" fontId="8" fillId="91" borderId="6" xfId="0"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0" fillId="0" borderId="0" xfId="0" applyFont="1" applyBorder="1"/>
    <xf numFmtId="0" fontId="0" fillId="0" borderId="12" xfId="0" applyFont="1" applyBorder="1"/>
    <xf numFmtId="0" fontId="0" fillId="0" borderId="0" xfId="0" applyFont="1"/>
    <xf numFmtId="0" fontId="0" fillId="23" borderId="0" xfId="0" applyFill="1" applyBorder="1" applyAlignment="1"/>
    <xf numFmtId="9" fontId="8" fillId="0" borderId="0" xfId="0" applyNumberFormat="1" applyFont="1" applyFill="1" applyBorder="1" applyAlignment="1">
      <alignment horizontal="center"/>
    </xf>
    <xf numFmtId="0" fontId="98" fillId="0" borderId="0" xfId="0" applyFont="1" applyFill="1" applyBorder="1" applyAlignment="1">
      <alignment horizontal="left"/>
    </xf>
    <xf numFmtId="0" fontId="98" fillId="0" borderId="0" xfId="0" applyFont="1" applyFill="1" applyBorder="1" applyAlignment="1">
      <alignment horizontal="center"/>
    </xf>
    <xf numFmtId="0" fontId="98" fillId="0" borderId="12" xfId="0" applyFont="1" applyFill="1" applyBorder="1" applyAlignment="1">
      <alignment horizontal="center"/>
    </xf>
    <xf numFmtId="0" fontId="49" fillId="17" borderId="0" xfId="0" applyFont="1" applyFill="1" applyBorder="1" applyAlignment="1">
      <alignment horizontal="left" vertical="center"/>
    </xf>
    <xf numFmtId="167" fontId="0" fillId="0" borderId="0" xfId="0" applyNumberFormat="1" applyFill="1" applyAlignment="1">
      <alignment horizontal="center"/>
    </xf>
    <xf numFmtId="2" fontId="0" fillId="0" borderId="0" xfId="0" applyNumberFormat="1" applyFill="1" applyBorder="1"/>
    <xf numFmtId="0" fontId="0" fillId="23" borderId="0" xfId="0" applyFill="1" applyAlignment="1">
      <alignment horizontal="center"/>
    </xf>
    <xf numFmtId="0" fontId="4" fillId="0" borderId="0" xfId="0" applyFont="1" applyFill="1" applyBorder="1" applyAlignment="1">
      <alignment horizontal="left"/>
    </xf>
    <xf numFmtId="0" fontId="0" fillId="0" borderId="0" xfId="0" applyAlignment="1">
      <alignment horizontal="left"/>
    </xf>
    <xf numFmtId="9" fontId="8" fillId="91" borderId="1" xfId="0"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80" fillId="0" borderId="0" xfId="0" applyFont="1" applyFill="1" applyAlignment="1">
      <alignment horizontal="left"/>
    </xf>
    <xf numFmtId="3" fontId="8" fillId="13" borderId="8" xfId="2" applyFont="1" applyFill="1" applyBorder="1" applyAlignment="1">
      <alignment vertical="center"/>
    </xf>
    <xf numFmtId="0" fontId="0" fillId="23" borderId="0" xfId="0" applyFill="1" applyAlignment="1">
      <alignment horizontal="center"/>
    </xf>
    <xf numFmtId="2" fontId="80" fillId="0" borderId="0" xfId="0" applyNumberFormat="1" applyFont="1" applyFill="1" applyBorder="1"/>
    <xf numFmtId="0" fontId="4" fillId="0" borderId="1" xfId="0" applyFont="1" applyBorder="1"/>
    <xf numFmtId="0" fontId="4" fillId="0" borderId="0" xfId="0" applyFont="1"/>
    <xf numFmtId="0" fontId="80" fillId="0" borderId="0" xfId="0" applyFont="1" applyAlignment="1">
      <alignment horizontal="center"/>
    </xf>
    <xf numFmtId="0" fontId="4" fillId="0" borderId="0" xfId="0" applyFont="1" applyAlignment="1">
      <alignment horizontal="center"/>
    </xf>
    <xf numFmtId="9" fontId="4" fillId="0" borderId="0" xfId="0" applyNumberFormat="1" applyFont="1" applyAlignment="1">
      <alignment horizontal="center"/>
    </xf>
    <xf numFmtId="0" fontId="4" fillId="0" borderId="12" xfId="0" applyFont="1" applyBorder="1" applyAlignment="1">
      <alignment horizontal="center"/>
    </xf>
    <xf numFmtId="0" fontId="0" fillId="0" borderId="0" xfId="0" applyBorder="1" applyAlignment="1">
      <alignment horizontal="center"/>
    </xf>
    <xf numFmtId="0" fontId="56" fillId="19" borderId="0" xfId="0" applyFont="1" applyFill="1" applyAlignment="1">
      <alignment horizontal="center"/>
    </xf>
    <xf numFmtId="0" fontId="0" fillId="23" borderId="0" xfId="0" applyFill="1" applyAlignment="1">
      <alignment horizont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0" fillId="0" borderId="0" xfId="0" applyFill="1" applyAlignment="1"/>
    <xf numFmtId="0" fontId="80" fillId="27" borderId="0" xfId="0" applyFont="1" applyFill="1" applyBorder="1"/>
    <xf numFmtId="9" fontId="8" fillId="91" borderId="1" xfId="0" applyNumberFormat="1"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0" fillId="0" borderId="1" xfId="0" applyBorder="1" applyAlignment="1">
      <alignment horizontal="left"/>
    </xf>
    <xf numFmtId="0" fontId="56" fillId="0" borderId="1" xfId="0" applyFont="1" applyFill="1" applyBorder="1" applyAlignment="1">
      <alignment horizontal="left"/>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49" fillId="17" borderId="0" xfId="0" applyNumberFormat="1" applyFont="1" applyFill="1" applyBorder="1" applyAlignment="1">
      <alignment horizontal="right" vertical="center"/>
    </xf>
    <xf numFmtId="3" fontId="100" fillId="17" borderId="1" xfId="0" applyNumberFormat="1" applyFont="1" applyFill="1" applyBorder="1" applyAlignment="1">
      <alignment horizontal="center" vertical="center"/>
    </xf>
    <xf numFmtId="173" fontId="8" fillId="0" borderId="0" xfId="0" applyNumberFormat="1" applyFont="1" applyFill="1" applyBorder="1" applyAlignment="1">
      <alignment vertical="center"/>
    </xf>
    <xf numFmtId="3" fontId="8" fillId="0" borderId="20" xfId="0" applyNumberFormat="1" applyFont="1" applyBorder="1" applyAlignment="1">
      <alignment vertical="center"/>
    </xf>
    <xf numFmtId="3" fontId="8" fillId="0" borderId="21" xfId="0" applyNumberFormat="1" applyFont="1" applyBorder="1" applyAlignment="1">
      <alignment vertical="center"/>
    </xf>
    <xf numFmtId="3" fontId="8" fillId="0" borderId="22" xfId="0" applyNumberFormat="1" applyFont="1" applyBorder="1" applyAlignment="1">
      <alignment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0" fontId="8" fillId="0" borderId="12" xfId="0" applyFont="1" applyFill="1" applyBorder="1" applyAlignment="1">
      <alignment horizontal="center"/>
    </xf>
    <xf numFmtId="0" fontId="49" fillId="0"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9" fontId="36" fillId="16" borderId="26" xfId="3" applyFont="1" applyFill="1" applyBorder="1" applyAlignment="1">
      <alignment vertical="center"/>
    </xf>
    <xf numFmtId="0" fontId="0" fillId="0" borderId="0" xfId="0" applyFont="1" applyFill="1" applyAlignment="1">
      <alignment horizontal="center"/>
    </xf>
    <xf numFmtId="0" fontId="0" fillId="0" borderId="1" xfId="0" applyFont="1" applyFill="1" applyBorder="1" applyAlignment="1">
      <alignment horizontal="center"/>
    </xf>
    <xf numFmtId="0" fontId="0" fillId="0" borderId="0" xfId="0" applyBorder="1" applyAlignment="1">
      <alignment horizontal="center"/>
    </xf>
    <xf numFmtId="0" fontId="0" fillId="23" borderId="0" xfId="0" applyFont="1" applyFill="1" applyAlignment="1">
      <alignment horizont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0" fontId="8" fillId="91" borderId="36" xfId="0" applyFont="1" applyFill="1" applyBorder="1" applyAlignment="1">
      <alignment horizontal="center" vertical="center"/>
    </xf>
    <xf numFmtId="190" fontId="49" fillId="17" borderId="0" xfId="0" applyNumberFormat="1" applyFont="1" applyFill="1" applyBorder="1" applyAlignment="1">
      <alignment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0" xfId="2"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173" fontId="8" fillId="91" borderId="1" xfId="0" applyNumberFormat="1"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3" fontId="8" fillId="0" borderId="1" xfId="0" applyNumberFormat="1" applyFont="1" applyFill="1" applyBorder="1" applyAlignment="1">
      <alignment vertical="center"/>
    </xf>
    <xf numFmtId="0" fontId="8" fillId="91" borderId="12" xfId="0" applyFont="1" applyFill="1" applyBorder="1" applyAlignment="1">
      <alignment horizontal="center" vertical="center"/>
    </xf>
    <xf numFmtId="0" fontId="8" fillId="91" borderId="11" xfId="0" applyFont="1" applyFill="1" applyBorder="1" applyAlignment="1">
      <alignment horizontal="center" vertical="center"/>
    </xf>
    <xf numFmtId="0" fontId="8" fillId="17" borderId="0" xfId="0" applyFont="1" applyFill="1" applyBorder="1" applyAlignment="1">
      <alignment horizontal="center" vertical="center"/>
    </xf>
    <xf numFmtId="3" fontId="9" fillId="17" borderId="25" xfId="2" applyFont="1" applyFill="1" applyBorder="1" applyAlignment="1">
      <alignment horizontal="center"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0" fontId="48" fillId="17" borderId="0" xfId="0" applyFont="1" applyFill="1" applyBorder="1" applyAlignment="1">
      <alignment horizontal="center" vertical="center"/>
    </xf>
    <xf numFmtId="9" fontId="8" fillId="91" borderId="7"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0" fontId="8" fillId="91" borderId="36" xfId="0" applyFont="1" applyFill="1" applyBorder="1" applyAlignment="1">
      <alignment horizontal="center" vertical="center" wrapText="1"/>
    </xf>
    <xf numFmtId="171" fontId="49" fillId="17" borderId="0" xfId="0" applyNumberFormat="1" applyFont="1" applyFill="1" applyBorder="1" applyAlignment="1">
      <alignment vertical="center"/>
    </xf>
    <xf numFmtId="3" fontId="8" fillId="13" borderId="0" xfId="2" applyFont="1" applyFill="1" applyBorder="1" applyAlignment="1">
      <alignment vertical="center"/>
    </xf>
    <xf numFmtId="3" fontId="9" fillId="0" borderId="0" xfId="2" applyFont="1" applyFill="1" applyBorder="1" applyAlignment="1">
      <alignment horizontal="center" vertical="center"/>
    </xf>
    <xf numFmtId="3" fontId="49" fillId="0" borderId="0" xfId="2" applyFont="1" applyFill="1" applyBorder="1" applyAlignment="1">
      <alignment horizontal="center" vertical="center"/>
    </xf>
    <xf numFmtId="3" fontId="36" fillId="0" borderId="0" xfId="2" applyFont="1" applyFill="1" applyBorder="1" applyAlignment="1">
      <alignment horizontal="center" vertical="center"/>
    </xf>
    <xf numFmtId="0" fontId="8" fillId="91" borderId="11" xfId="0" applyFont="1" applyFill="1" applyBorder="1" applyAlignment="1">
      <alignment horizontal="center" vertical="center"/>
    </xf>
    <xf numFmtId="0" fontId="48" fillId="17"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49" fillId="17" borderId="0" xfId="0" applyFont="1" applyFill="1" applyBorder="1" applyAlignment="1">
      <alignment horizontal="right" vertical="top" wrapText="1"/>
    </xf>
    <xf numFmtId="0" fontId="48" fillId="17" borderId="0" xfId="0" applyFont="1" applyFill="1" applyBorder="1" applyAlignment="1">
      <alignment horizontal="center" vertical="center" wrapText="1"/>
    </xf>
    <xf numFmtId="3" fontId="49" fillId="17" borderId="0" xfId="2" applyFont="1" applyFill="1" applyBorder="1" applyAlignment="1">
      <alignment horizontal="center" vertical="center" wrapText="1"/>
    </xf>
    <xf numFmtId="3" fontId="48" fillId="17" borderId="0" xfId="2" applyFont="1" applyFill="1" applyBorder="1" applyAlignment="1">
      <alignment horizontal="center" vertical="center" wrapText="1"/>
    </xf>
    <xf numFmtId="166" fontId="49" fillId="17" borderId="0" xfId="0" applyNumberFormat="1" applyFont="1" applyFill="1" applyBorder="1" applyAlignment="1">
      <alignment vertical="center"/>
    </xf>
    <xf numFmtId="3" fontId="48" fillId="17" borderId="12" xfId="0" applyNumberFormat="1" applyFont="1" applyFill="1" applyBorder="1" applyAlignment="1">
      <alignment vertical="center"/>
    </xf>
    <xf numFmtId="0" fontId="8" fillId="0" borderId="1" xfId="0" applyFont="1" applyFill="1" applyBorder="1" applyAlignment="1"/>
    <xf numFmtId="0" fontId="0" fillId="0" borderId="14" xfId="0" applyFill="1" applyBorder="1"/>
    <xf numFmtId="0" fontId="8" fillId="91" borderId="1" xfId="0" applyFont="1" applyFill="1" applyBorder="1" applyAlignment="1">
      <alignment horizontal="center" vertical="center"/>
    </xf>
    <xf numFmtId="0" fontId="8" fillId="91" borderId="37"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91" borderId="1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3" fontId="35"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2" xfId="2" applyFont="1" applyFill="1" applyBorder="1" applyAlignment="1">
      <alignment horizontal="center"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35" fillId="17" borderId="1" xfId="2" applyFont="1" applyFill="1" applyBorder="1" applyAlignment="1">
      <alignment horizontal="center" vertical="center"/>
    </xf>
    <xf numFmtId="0" fontId="8" fillId="91" borderId="37" xfId="0" applyFont="1" applyFill="1" applyBorder="1" applyAlignment="1">
      <alignment horizontal="center" vertical="center" wrapText="1"/>
    </xf>
    <xf numFmtId="0" fontId="0" fillId="23" borderId="0" xfId="0" applyFill="1" applyAlignment="1">
      <alignment horizontal="center"/>
    </xf>
    <xf numFmtId="173" fontId="8" fillId="0" borderId="1" xfId="0" applyNumberFormat="1" applyFont="1" applyFill="1" applyBorder="1" applyAlignment="1">
      <alignment horizontal="center" vertical="center"/>
    </xf>
    <xf numFmtId="173" fontId="8" fillId="0" borderId="1" xfId="0" applyNumberFormat="1" applyFont="1" applyFill="1" applyBorder="1" applyAlignment="1">
      <alignment vertical="center"/>
    </xf>
    <xf numFmtId="3" fontId="8" fillId="0" borderId="26" xfId="0" applyNumberFormat="1" applyFont="1" applyBorder="1" applyAlignment="1">
      <alignment vertical="center"/>
    </xf>
    <xf numFmtId="3" fontId="8" fillId="17" borderId="0" xfId="0" applyNumberFormat="1" applyFont="1" applyFill="1" applyAlignment="1">
      <alignment vertical="center"/>
    </xf>
    <xf numFmtId="0" fontId="8" fillId="0" borderId="12" xfId="0" applyFont="1" applyBorder="1" applyAlignment="1">
      <alignment vertical="center"/>
    </xf>
    <xf numFmtId="0" fontId="0" fillId="0" borderId="1" xfId="0" applyFont="1" applyFill="1" applyBorder="1" applyAlignment="1">
      <alignment horizontal="center"/>
    </xf>
    <xf numFmtId="0" fontId="0" fillId="0" borderId="0" xfId="0" applyFont="1" applyFill="1" applyBorder="1" applyAlignment="1">
      <alignment horizontal="center"/>
    </xf>
    <xf numFmtId="167" fontId="0" fillId="0" borderId="0" xfId="0" applyNumberFormat="1" applyFill="1"/>
    <xf numFmtId="0" fontId="0" fillId="0" borderId="0" xfId="0" applyFont="1" applyFill="1" applyAlignment="1">
      <alignment horizontal="left"/>
    </xf>
    <xf numFmtId="9" fontId="0" fillId="0" borderId="0" xfId="3" applyFont="1" applyFill="1" applyAlignment="1">
      <alignment horizontal="center"/>
    </xf>
    <xf numFmtId="0" fontId="0" fillId="0" borderId="0" xfId="0" applyNumberFormat="1" applyFill="1" applyAlignment="1">
      <alignment horizontal="left"/>
    </xf>
    <xf numFmtId="168" fontId="80" fillId="0" borderId="0" xfId="0" applyNumberFormat="1" applyFont="1" applyFill="1" applyBorder="1"/>
    <xf numFmtId="168" fontId="80" fillId="0" borderId="12" xfId="0" applyNumberFormat="1" applyFont="1" applyFill="1" applyBorder="1"/>
    <xf numFmtId="9" fontId="80" fillId="0" borderId="0" xfId="0" applyNumberFormat="1" applyFont="1" applyFill="1" applyBorder="1"/>
    <xf numFmtId="9" fontId="0" fillId="0" borderId="0" xfId="3" applyNumberFormat="1" applyFont="1" applyFill="1" applyBorder="1"/>
    <xf numFmtId="9" fontId="0" fillId="0" borderId="0" xfId="3" applyNumberFormat="1" applyFont="1" applyFill="1" applyAlignment="1">
      <alignment horizontal="center"/>
    </xf>
    <xf numFmtId="9" fontId="0" fillId="0" borderId="0" xfId="0" applyNumberFormat="1" applyFill="1" applyBorder="1" applyAlignment="1">
      <alignment horizontal="center" vertical="center"/>
    </xf>
    <xf numFmtId="0" fontId="0" fillId="0" borderId="0" xfId="0" applyFill="1" applyBorder="1" applyAlignment="1">
      <alignment horizontal="right"/>
    </xf>
    <xf numFmtId="9" fontId="0" fillId="0" borderId="0" xfId="3" applyFont="1" applyFill="1" applyBorder="1"/>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11" xfId="0" applyFont="1" applyFill="1" applyBorder="1" applyAlignment="1">
      <alignment horizontal="center" vertical="center"/>
    </xf>
    <xf numFmtId="0" fontId="8" fillId="91" borderId="25" xfId="0" applyFont="1" applyFill="1" applyBorder="1" applyAlignment="1">
      <alignment horizontal="center" vertical="center"/>
    </xf>
    <xf numFmtId="0" fontId="8" fillId="91" borderId="13" xfId="0" applyFont="1" applyFill="1" applyBorder="1" applyAlignment="1">
      <alignment horizontal="center" vertical="center"/>
    </xf>
    <xf numFmtId="0" fontId="8" fillId="91" borderId="4"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91" borderId="1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49" fillId="17" borderId="0" xfId="2" applyFont="1" applyFill="1" applyBorder="1" applyAlignment="1">
      <alignment horizontal="left" vertical="center" wrapText="1"/>
    </xf>
    <xf numFmtId="3" fontId="49" fillId="17" borderId="0" xfId="2" applyFont="1" applyFill="1" applyBorder="1" applyAlignment="1">
      <alignment horizontal="left" vertical="top" wrapText="1"/>
    </xf>
    <xf numFmtId="0" fontId="49" fillId="17" borderId="0" xfId="0" applyFont="1" applyFill="1" applyBorder="1" applyAlignment="1">
      <alignment horizontal="left" vertical="top" wrapText="1"/>
    </xf>
    <xf numFmtId="0" fontId="0" fillId="0" borderId="0" xfId="0" applyBorder="1" applyAlignment="1">
      <alignment horizontal="center"/>
    </xf>
    <xf numFmtId="0" fontId="0" fillId="16" borderId="26" xfId="0" applyFill="1" applyBorder="1"/>
    <xf numFmtId="0" fontId="0" fillId="16" borderId="37" xfId="0" applyFill="1" applyBorder="1"/>
    <xf numFmtId="0" fontId="4" fillId="16" borderId="10" xfId="0" applyFont="1" applyFill="1" applyBorder="1"/>
    <xf numFmtId="0" fontId="0" fillId="16" borderId="10" xfId="0" applyFill="1" applyBorder="1"/>
    <xf numFmtId="9" fontId="4" fillId="16" borderId="10" xfId="0" applyNumberFormat="1" applyFont="1" applyFill="1" applyBorder="1" applyAlignment="1">
      <alignment horizontal="center"/>
    </xf>
    <xf numFmtId="0" fontId="0" fillId="16" borderId="10" xfId="0" applyFill="1" applyBorder="1" applyAlignment="1">
      <alignment horizontal="center"/>
    </xf>
    <xf numFmtId="0" fontId="0" fillId="16" borderId="11" xfId="0" applyFill="1" applyBorder="1" applyAlignment="1">
      <alignment horizontal="center"/>
    </xf>
    <xf numFmtId="0" fontId="0" fillId="16" borderId="0" xfId="0" applyFill="1" applyBorder="1"/>
    <xf numFmtId="0" fontId="4" fillId="16" borderId="0" xfId="0" applyFont="1" applyFill="1" applyBorder="1"/>
    <xf numFmtId="9" fontId="4" fillId="16" borderId="0" xfId="0" applyNumberFormat="1" applyFont="1" applyFill="1" applyBorder="1" applyAlignment="1">
      <alignment horizontal="center"/>
    </xf>
    <xf numFmtId="0" fontId="0" fillId="16" borderId="0" xfId="0" applyFill="1" applyBorder="1" applyAlignment="1">
      <alignment horizontal="center"/>
    </xf>
    <xf numFmtId="0" fontId="0" fillId="16" borderId="12" xfId="0" applyFill="1" applyBorder="1" applyAlignment="1">
      <alignment horizontal="center"/>
    </xf>
    <xf numFmtId="0" fontId="0" fillId="16" borderId="1" xfId="0" applyFill="1" applyBorder="1"/>
    <xf numFmtId="9" fontId="0" fillId="16" borderId="0" xfId="0" applyNumberFormat="1" applyFill="1" applyBorder="1" applyAlignment="1">
      <alignment horizontal="center"/>
    </xf>
    <xf numFmtId="0" fontId="80" fillId="16" borderId="0" xfId="0" applyFont="1" applyFill="1" applyBorder="1" applyAlignment="1">
      <alignment horizontal="center"/>
    </xf>
    <xf numFmtId="0" fontId="80" fillId="16" borderId="12" xfId="0" applyFont="1" applyFill="1" applyBorder="1" applyAlignment="1">
      <alignment horizontal="center"/>
    </xf>
    <xf numFmtId="0" fontId="80" fillId="16" borderId="1" xfId="0" applyFont="1" applyFill="1" applyBorder="1"/>
    <xf numFmtId="0" fontId="80" fillId="16" borderId="0" xfId="0" applyFont="1" applyFill="1" applyBorder="1"/>
    <xf numFmtId="9" fontId="80" fillId="16" borderId="0" xfId="0" applyNumberFormat="1" applyFont="1" applyFill="1" applyBorder="1" applyAlignment="1">
      <alignment horizontal="center"/>
    </xf>
    <xf numFmtId="9" fontId="8" fillId="91" borderId="1" xfId="0" applyNumberFormat="1" applyFont="1" applyFill="1" applyBorder="1" applyAlignment="1">
      <alignment horizontal="center" vertical="center"/>
    </xf>
    <xf numFmtId="0" fontId="40" fillId="0" borderId="10" xfId="1" applyFont="1" applyBorder="1" applyAlignment="1" applyProtection="1">
      <alignment horizontal="center" vertical="center"/>
    </xf>
    <xf numFmtId="0" fontId="40" fillId="0" borderId="0" xfId="1" applyFont="1" applyBorder="1" applyAlignment="1" applyProtection="1">
      <alignment horizontal="center" vertical="center"/>
    </xf>
    <xf numFmtId="0" fontId="40" fillId="0" borderId="12" xfId="1" applyFont="1" applyBorder="1" applyAlignment="1" applyProtection="1">
      <alignment horizontal="center" vertical="center"/>
    </xf>
    <xf numFmtId="0" fontId="0" fillId="16" borderId="1" xfId="0" applyFont="1" applyFill="1" applyBorder="1"/>
    <xf numFmtId="0" fontId="0" fillId="16" borderId="0" xfId="0" applyFont="1" applyFill="1" applyBorder="1"/>
    <xf numFmtId="9" fontId="0" fillId="16" borderId="0" xfId="0" applyNumberFormat="1" applyFont="1" applyFill="1" applyBorder="1" applyAlignment="1">
      <alignment horizontal="center"/>
    </xf>
    <xf numFmtId="0" fontId="0" fillId="16" borderId="0" xfId="0" applyFont="1" applyFill="1" applyBorder="1" applyAlignment="1">
      <alignment horizontal="center"/>
    </xf>
    <xf numFmtId="0" fontId="0" fillId="16" borderId="12" xfId="0" applyFont="1" applyFill="1" applyBorder="1" applyAlignment="1">
      <alignment horizontal="center"/>
    </xf>
    <xf numFmtId="0" fontId="0" fillId="0" borderId="0" xfId="0" applyFont="1" applyFill="1" applyBorder="1" applyAlignment="1">
      <alignment horizontal="center"/>
    </xf>
    <xf numFmtId="0" fontId="35" fillId="16" borderId="26" xfId="0" applyFont="1" applyFill="1" applyBorder="1" applyAlignment="1">
      <alignment horizontal="center" vertical="center"/>
    </xf>
    <xf numFmtId="0" fontId="0" fillId="0" borderId="0" xfId="0" applyFont="1" applyFill="1" applyBorder="1" applyAlignment="1">
      <alignment horizontal="center"/>
    </xf>
    <xf numFmtId="170" fontId="0" fillId="0" borderId="12" xfId="0" applyNumberFormat="1" applyFont="1" applyFill="1" applyBorder="1" applyAlignment="1">
      <alignment horizontal="center"/>
    </xf>
    <xf numFmtId="0" fontId="4" fillId="0" borderId="0" xfId="0" applyFont="1" applyFill="1" applyBorder="1" applyAlignment="1"/>
    <xf numFmtId="0" fontId="4" fillId="0" borderId="12" xfId="0" applyFont="1" applyFill="1" applyBorder="1" applyAlignment="1"/>
    <xf numFmtId="0" fontId="0" fillId="0" borderId="0" xfId="0" applyFill="1" applyBorder="1" applyAlignment="1"/>
    <xf numFmtId="0" fontId="0" fillId="0" borderId="12" xfId="0" applyFill="1" applyBorder="1" applyAlignment="1"/>
    <xf numFmtId="0" fontId="0" fillId="0" borderId="12" xfId="0" applyFill="1" applyBorder="1" applyAlignment="1">
      <alignment horizontal="right"/>
    </xf>
    <xf numFmtId="11" fontId="0" fillId="0" borderId="0" xfId="0" applyNumberFormat="1" applyFill="1" applyBorder="1"/>
    <xf numFmtId="0" fontId="4" fillId="0" borderId="0" xfId="0" applyFont="1" applyFill="1"/>
    <xf numFmtId="0" fontId="4" fillId="0" borderId="0" xfId="0" applyFont="1" applyFill="1" applyAlignment="1">
      <alignment horizontal="center"/>
    </xf>
    <xf numFmtId="0" fontId="0" fillId="0" borderId="0" xfId="0" applyNumberFormat="1" applyFill="1" applyAlignment="1">
      <alignment horizontal="center"/>
    </xf>
    <xf numFmtId="9" fontId="0" fillId="0" borderId="0" xfId="3" applyFont="1" applyAlignment="1">
      <alignment horizontal="center"/>
    </xf>
    <xf numFmtId="0" fontId="8" fillId="0" borderId="24" xfId="0" applyNumberFormat="1" applyFont="1" applyFill="1" applyBorder="1" applyAlignment="1">
      <alignment horizontal="center" vertical="center"/>
    </xf>
    <xf numFmtId="9" fontId="8" fillId="91" borderId="1"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xf>
    <xf numFmtId="3" fontId="8" fillId="0" borderId="22" xfId="0" applyNumberFormat="1" applyFont="1" applyFill="1" applyBorder="1" applyAlignment="1">
      <alignment horizontal="center" vertical="center"/>
    </xf>
    <xf numFmtId="0" fontId="8" fillId="15" borderId="36" xfId="0" applyFont="1" applyFill="1" applyBorder="1" applyAlignment="1">
      <alignment horizontal="center" vertical="center"/>
    </xf>
    <xf numFmtId="0" fontId="8" fillId="15" borderId="8" xfId="0" applyFont="1" applyFill="1" applyBorder="1" applyAlignment="1">
      <alignment horizontal="center" vertical="center"/>
    </xf>
    <xf numFmtId="0" fontId="26" fillId="8" borderId="36" xfId="0" applyFont="1" applyFill="1" applyBorder="1" applyAlignment="1">
      <alignment horizontal="center" vertical="center"/>
    </xf>
    <xf numFmtId="0" fontId="26" fillId="8" borderId="6" xfId="0" applyFont="1" applyFill="1" applyBorder="1" applyAlignment="1">
      <alignment horizontal="center" vertical="center"/>
    </xf>
    <xf numFmtId="0" fontId="26" fillId="8" borderId="8" xfId="0" applyFont="1" applyFill="1" applyBorder="1" applyAlignment="1">
      <alignment horizontal="center" vertical="center"/>
    </xf>
    <xf numFmtId="0" fontId="39" fillId="26" borderId="25" xfId="4" applyBorder="1">
      <alignment horizontal="center" vertical="center"/>
    </xf>
    <xf numFmtId="0" fontId="39" fillId="26" borderId="13" xfId="4" applyBorder="1">
      <alignment horizontal="center" vertical="center"/>
    </xf>
    <xf numFmtId="0" fontId="39" fillId="26" borderId="4" xfId="4" applyBorder="1">
      <alignment horizontal="center" vertical="center"/>
    </xf>
    <xf numFmtId="0" fontId="26" fillId="20" borderId="36" xfId="0" applyFont="1" applyFill="1" applyBorder="1" applyAlignment="1">
      <alignment horizontal="center" vertical="center"/>
    </xf>
    <xf numFmtId="0" fontId="26" fillId="20" borderId="6" xfId="0" applyFont="1" applyFill="1" applyBorder="1" applyAlignment="1">
      <alignment horizontal="center" vertical="center"/>
    </xf>
    <xf numFmtId="0" fontId="26" fillId="20" borderId="8" xfId="0" applyFont="1" applyFill="1" applyBorder="1" applyAlignment="1">
      <alignment horizontal="center" vertical="center"/>
    </xf>
    <xf numFmtId="0" fontId="8" fillId="91" borderId="7" xfId="0" applyFont="1" applyFill="1" applyBorder="1" applyAlignment="1">
      <alignment horizontal="center" vertical="center"/>
    </xf>
    <xf numFmtId="0" fontId="8" fillId="91" borderId="15" xfId="0" applyFont="1" applyFill="1" applyBorder="1" applyAlignment="1">
      <alignment horizontal="center" vertical="center"/>
    </xf>
    <xf numFmtId="0" fontId="8" fillId="91" borderId="37" xfId="0" applyFont="1" applyFill="1" applyBorder="1" applyAlignment="1">
      <alignment horizontal="left" vertical="center"/>
    </xf>
    <xf numFmtId="0" fontId="8" fillId="91" borderId="11" xfId="0" applyFont="1" applyFill="1" applyBorder="1" applyAlignment="1">
      <alignment horizontal="left" vertical="center"/>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11" xfId="0" applyFont="1" applyFill="1" applyBorder="1" applyAlignment="1">
      <alignment horizontal="center" vertical="center"/>
    </xf>
    <xf numFmtId="0" fontId="8" fillId="91" borderId="25" xfId="0" applyFont="1" applyFill="1" applyBorder="1" applyAlignment="1">
      <alignment horizontal="center" vertical="center"/>
    </xf>
    <xf numFmtId="0" fontId="8" fillId="91" borderId="13" xfId="0" applyFont="1" applyFill="1" applyBorder="1" applyAlignment="1">
      <alignment horizontal="center" vertical="center"/>
    </xf>
    <xf numFmtId="0" fontId="8" fillId="91" borderId="4" xfId="0" applyFont="1" applyFill="1" applyBorder="1" applyAlignment="1">
      <alignment horizontal="center" vertical="center"/>
    </xf>
    <xf numFmtId="0" fontId="40" fillId="7" borderId="14" xfId="1" applyFont="1" applyFill="1" applyBorder="1" applyAlignment="1" applyProtection="1">
      <alignment horizontal="center" vertical="center"/>
    </xf>
    <xf numFmtId="0" fontId="40" fillId="7" borderId="13" xfId="1" applyFont="1" applyFill="1" applyBorder="1" applyAlignment="1" applyProtection="1">
      <alignment horizontal="center" vertical="center"/>
    </xf>
    <xf numFmtId="0" fontId="40" fillId="7" borderId="4" xfId="1" applyFont="1" applyFill="1" applyBorder="1" applyAlignment="1" applyProtection="1">
      <alignment horizontal="center" vertical="center"/>
    </xf>
    <xf numFmtId="0" fontId="40" fillId="0" borderId="13" xfId="1" applyFont="1" applyFill="1" applyBorder="1" applyAlignment="1" applyProtection="1">
      <alignment horizontal="left" vertical="center"/>
    </xf>
    <xf numFmtId="0" fontId="40" fillId="7" borderId="10" xfId="1" applyFont="1" applyFill="1" applyBorder="1" applyAlignment="1" applyProtection="1">
      <alignment horizontal="center" vertical="center"/>
    </xf>
    <xf numFmtId="0" fontId="40" fillId="19" borderId="25" xfId="1" applyFont="1" applyFill="1" applyBorder="1" applyAlignment="1" applyProtection="1">
      <alignment horizontal="center" vertical="center"/>
    </xf>
    <xf numFmtId="0" fontId="40" fillId="19" borderId="4" xfId="1" applyFont="1" applyFill="1" applyBorder="1" applyAlignment="1" applyProtection="1">
      <alignment horizontal="center" vertical="center"/>
    </xf>
    <xf numFmtId="0" fontId="8" fillId="17" borderId="1"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0" xfId="0"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39" fillId="14" borderId="25" xfId="8" applyFill="1" applyBorder="1" applyAlignment="1">
      <alignment horizontal="center" vertical="center"/>
    </xf>
    <xf numFmtId="0" fontId="39" fillId="14" borderId="13" xfId="8" applyFill="1" applyBorder="1" applyAlignment="1">
      <alignment horizontal="center" vertical="center"/>
    </xf>
    <xf numFmtId="0" fontId="39" fillId="14" borderId="4" xfId="8"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3" fontId="9" fillId="17" borderId="25" xfId="2" applyFont="1" applyFill="1" applyBorder="1" applyAlignment="1">
      <alignment horizontal="center"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91" borderId="1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3" fontId="35"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36" fillId="17" borderId="12" xfId="2" applyFont="1" applyFill="1" applyBorder="1" applyAlignment="1">
      <alignment horizontal="center" vertical="center"/>
    </xf>
    <xf numFmtId="0" fontId="8" fillId="17" borderId="10" xfId="0" applyFont="1" applyFill="1" applyBorder="1" applyAlignment="1">
      <alignment horizontal="center" vertical="center"/>
    </xf>
    <xf numFmtId="0" fontId="39" fillId="14" borderId="25" xfId="9" applyBorder="1">
      <alignment horizontal="center" vertical="center"/>
    </xf>
    <xf numFmtId="0" fontId="39" fillId="14" borderId="13" xfId="9" applyBorder="1">
      <alignment horizontal="center" vertical="center"/>
    </xf>
    <xf numFmtId="0" fontId="39" fillId="14" borderId="4" xfId="9" applyBorder="1">
      <alignment horizontal="center" vertical="center"/>
    </xf>
    <xf numFmtId="0" fontId="48" fillId="17" borderId="0" xfId="0" applyFont="1" applyFill="1" applyBorder="1" applyAlignment="1">
      <alignment horizontal="center" vertical="center"/>
    </xf>
    <xf numFmtId="0" fontId="8" fillId="17" borderId="0" xfId="0" applyFont="1" applyFill="1" applyBorder="1" applyAlignment="1">
      <alignment horizontal="center" vertical="center" wrapText="1"/>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2" xfId="2" applyFont="1" applyFill="1" applyBorder="1" applyAlignment="1">
      <alignment horizontal="center"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0" fontId="44" fillId="16" borderId="25" xfId="0" applyFont="1" applyFill="1" applyBorder="1" applyAlignment="1">
      <alignment horizontal="center" vertical="center"/>
    </xf>
    <xf numFmtId="0" fontId="44" fillId="16" borderId="4" xfId="0" applyFont="1" applyFill="1" applyBorder="1" applyAlignment="1">
      <alignment horizontal="center" vertical="center"/>
    </xf>
    <xf numFmtId="0" fontId="39" fillId="12" borderId="25" xfId="5" applyBorder="1">
      <alignment horizontal="center" vertical="center"/>
    </xf>
    <xf numFmtId="0" fontId="39" fillId="12" borderId="13" xfId="5" applyBorder="1">
      <alignment horizontal="center" vertical="center"/>
    </xf>
    <xf numFmtId="0" fontId="39" fillId="12" borderId="4" xfId="5" applyBorder="1">
      <alignment horizontal="center" vertical="center"/>
    </xf>
    <xf numFmtId="0" fontId="44" fillId="16" borderId="37" xfId="0" applyFont="1" applyFill="1" applyBorder="1" applyAlignment="1">
      <alignment horizontal="center" vertical="center"/>
    </xf>
    <xf numFmtId="0" fontId="44" fillId="16" borderId="11" xfId="0" applyFont="1" applyFill="1" applyBorder="1" applyAlignment="1">
      <alignment horizontal="center" vertical="center"/>
    </xf>
    <xf numFmtId="0" fontId="44" fillId="16" borderId="7" xfId="0" applyFont="1" applyFill="1" applyBorder="1" applyAlignment="1">
      <alignment horizontal="center" vertical="center"/>
    </xf>
    <xf numFmtId="0" fontId="44" fillId="16" borderId="15" xfId="0" applyFont="1" applyFill="1" applyBorder="1" applyAlignment="1">
      <alignment horizontal="center" vertical="center"/>
    </xf>
    <xf numFmtId="0" fontId="35" fillId="16" borderId="25" xfId="0" applyFont="1" applyFill="1" applyBorder="1" applyAlignment="1">
      <alignment horizontal="center" vertical="center"/>
    </xf>
    <xf numFmtId="0" fontId="35" fillId="16" borderId="13" xfId="0" applyFont="1" applyFill="1" applyBorder="1" applyAlignment="1">
      <alignment horizontal="center" vertical="center"/>
    </xf>
    <xf numFmtId="0" fontId="35" fillId="16" borderId="4" xfId="0" applyFont="1" applyFill="1" applyBorder="1" applyAlignment="1">
      <alignment horizontal="center" vertical="center"/>
    </xf>
    <xf numFmtId="0" fontId="36" fillId="19" borderId="25" xfId="0" applyFont="1" applyFill="1" applyBorder="1" applyAlignment="1">
      <alignment horizontal="center" vertical="center"/>
    </xf>
    <xf numFmtId="0" fontId="36" fillId="19" borderId="13" xfId="0" applyFont="1" applyFill="1" applyBorder="1" applyAlignment="1">
      <alignment horizontal="center" vertical="center"/>
    </xf>
    <xf numFmtId="0" fontId="36" fillId="19" borderId="4" xfId="0" applyFont="1" applyFill="1" applyBorder="1" applyAlignment="1">
      <alignment horizontal="center" vertical="center"/>
    </xf>
    <xf numFmtId="0" fontId="39" fillId="10" borderId="25" xfId="0" applyFont="1" applyFill="1" applyBorder="1" applyAlignment="1">
      <alignment horizontal="center" vertical="center"/>
    </xf>
    <xf numFmtId="0" fontId="39" fillId="10" borderId="13" xfId="0" applyFont="1" applyFill="1" applyBorder="1" applyAlignment="1">
      <alignment horizontal="center" vertical="center"/>
    </xf>
    <xf numFmtId="0" fontId="39" fillId="10" borderId="4" xfId="0" applyFont="1" applyFill="1" applyBorder="1" applyAlignment="1">
      <alignment horizontal="center" vertical="center"/>
    </xf>
    <xf numFmtId="0" fontId="8" fillId="3" borderId="25" xfId="0" applyFont="1" applyFill="1" applyBorder="1" applyAlignment="1">
      <alignment horizontal="left" vertical="center" wrapText="1"/>
    </xf>
    <xf numFmtId="0" fontId="8" fillId="3" borderId="4" xfId="0" applyFont="1" applyFill="1" applyBorder="1" applyAlignment="1">
      <alignment horizontal="left" vertical="center" wrapText="1"/>
    </xf>
    <xf numFmtId="0" fontId="9" fillId="3" borderId="25"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8" fillId="4" borderId="25"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25" xfId="0" applyFont="1" applyFill="1" applyBorder="1" applyAlignment="1">
      <alignment horizontal="left" vertical="center"/>
    </xf>
    <xf numFmtId="0" fontId="8" fillId="4" borderId="4" xfId="0" applyFont="1" applyFill="1" applyBorder="1" applyAlignment="1">
      <alignment horizontal="left" vertical="center"/>
    </xf>
    <xf numFmtId="0" fontId="39" fillId="18" borderId="25" xfId="0" applyFont="1" applyFill="1" applyBorder="1" applyAlignment="1">
      <alignment horizontal="center" vertical="center"/>
    </xf>
    <xf numFmtId="0" fontId="39" fillId="18" borderId="13" xfId="0" applyFont="1" applyFill="1" applyBorder="1" applyAlignment="1">
      <alignment horizontal="center" vertical="center"/>
    </xf>
    <xf numFmtId="0" fontId="39" fillId="18" borderId="4" xfId="0" applyFont="1" applyFill="1" applyBorder="1" applyAlignment="1">
      <alignment horizontal="center" vertical="center"/>
    </xf>
    <xf numFmtId="0" fontId="9" fillId="0" borderId="2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8" fillId="5" borderId="2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9" fillId="4" borderId="25"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39" fillId="30" borderId="25" xfId="0" applyFont="1" applyFill="1" applyBorder="1" applyAlignment="1">
      <alignment horizontal="center" vertical="center"/>
    </xf>
    <xf numFmtId="0" fontId="39" fillId="30" borderId="13" xfId="0" applyFont="1" applyFill="1" applyBorder="1" applyAlignment="1">
      <alignment horizontal="center" vertical="center"/>
    </xf>
    <xf numFmtId="0" fontId="39" fillId="30" borderId="4" xfId="0" applyFont="1" applyFill="1" applyBorder="1" applyAlignment="1">
      <alignment horizontal="center" vertical="center"/>
    </xf>
    <xf numFmtId="0" fontId="56" fillId="30" borderId="25" xfId="0" applyFont="1" applyFill="1" applyBorder="1" applyAlignment="1">
      <alignment horizontal="center" vertical="center" wrapText="1"/>
    </xf>
    <xf numFmtId="0" fontId="56" fillId="30" borderId="13" xfId="0" applyFont="1" applyFill="1" applyBorder="1" applyAlignment="1">
      <alignment horizontal="center" vertical="center" wrapText="1"/>
    </xf>
    <xf numFmtId="0" fontId="56" fillId="30" borderId="4" xfId="0" applyFont="1" applyFill="1" applyBorder="1" applyAlignment="1">
      <alignment horizontal="center" vertical="center" wrapText="1"/>
    </xf>
    <xf numFmtId="0" fontId="8" fillId="36" borderId="25" xfId="0" applyFont="1" applyFill="1" applyBorder="1" applyAlignment="1">
      <alignment horizontal="left" vertical="center" wrapText="1"/>
    </xf>
    <xf numFmtId="0" fontId="8" fillId="36" borderId="4" xfId="0" applyFont="1" applyFill="1" applyBorder="1" applyAlignment="1">
      <alignment horizontal="left" vertical="center" wrapText="1"/>
    </xf>
    <xf numFmtId="0" fontId="9" fillId="5" borderId="2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8" fillId="36" borderId="25" xfId="0" applyFont="1" applyFill="1" applyBorder="1" applyAlignment="1">
      <alignment horizontal="left" vertical="center"/>
    </xf>
    <xf numFmtId="0" fontId="8" fillId="36" borderId="4" xfId="0" applyFont="1" applyFill="1" applyBorder="1" applyAlignment="1">
      <alignment horizontal="left" vertical="center"/>
    </xf>
    <xf numFmtId="0" fontId="56" fillId="33" borderId="25" xfId="0" applyFont="1" applyFill="1" applyBorder="1" applyAlignment="1">
      <alignment horizontal="right" vertical="center"/>
    </xf>
    <xf numFmtId="0" fontId="56" fillId="33" borderId="13" xfId="0" applyFont="1" applyFill="1" applyBorder="1" applyAlignment="1">
      <alignment horizontal="right" vertical="center"/>
    </xf>
    <xf numFmtId="0" fontId="56" fillId="33" borderId="4" xfId="0" applyFont="1" applyFill="1" applyBorder="1" applyAlignment="1">
      <alignment horizontal="right" vertical="center"/>
    </xf>
    <xf numFmtId="0" fontId="9" fillId="31" borderId="25" xfId="0" applyFont="1" applyFill="1" applyBorder="1" applyAlignment="1">
      <alignment horizontal="center" vertical="center" wrapText="1"/>
    </xf>
    <xf numFmtId="0" fontId="9" fillId="31" borderId="13" xfId="0" applyFont="1" applyFill="1" applyBorder="1" applyAlignment="1">
      <alignment horizontal="center" vertical="center" wrapText="1"/>
    </xf>
    <xf numFmtId="0" fontId="9" fillId="31" borderId="4" xfId="0" applyFont="1" applyFill="1" applyBorder="1" applyAlignment="1">
      <alignment horizontal="center" vertical="center" wrapText="1"/>
    </xf>
    <xf numFmtId="0" fontId="39" fillId="78" borderId="25" xfId="0" applyFont="1" applyFill="1" applyBorder="1" applyAlignment="1">
      <alignment horizontal="center" vertical="center"/>
    </xf>
    <xf numFmtId="0" fontId="39" fillId="78" borderId="13" xfId="0" applyFont="1" applyFill="1" applyBorder="1" applyAlignment="1">
      <alignment horizontal="center" vertical="center"/>
    </xf>
    <xf numFmtId="0" fontId="39" fillId="78" borderId="4" xfId="0" applyFont="1" applyFill="1" applyBorder="1" applyAlignment="1">
      <alignment horizontal="center" vertical="center"/>
    </xf>
    <xf numFmtId="0" fontId="56" fillId="78" borderId="25" xfId="0" applyFont="1" applyFill="1" applyBorder="1" applyAlignment="1">
      <alignment horizontal="center" vertical="center" wrapText="1"/>
    </xf>
    <xf numFmtId="0" fontId="56" fillId="78" borderId="13" xfId="0" applyFont="1" applyFill="1" applyBorder="1" applyAlignment="1">
      <alignment horizontal="center" vertical="center" wrapText="1"/>
    </xf>
    <xf numFmtId="0" fontId="56" fillId="78" borderId="4" xfId="0" applyFont="1" applyFill="1" applyBorder="1" applyAlignment="1">
      <alignment horizontal="center" vertical="center" wrapText="1"/>
    </xf>
    <xf numFmtId="0" fontId="8" fillId="80" borderId="25" xfId="0" applyFont="1" applyFill="1" applyBorder="1" applyAlignment="1">
      <alignment horizontal="left" vertical="center"/>
    </xf>
    <xf numFmtId="0" fontId="8" fillId="80" borderId="4" xfId="0" applyFont="1" applyFill="1" applyBorder="1" applyAlignment="1">
      <alignment horizontal="left" vertical="center"/>
    </xf>
    <xf numFmtId="3" fontId="21" fillId="7" borderId="11" xfId="2" applyFont="1" applyFill="1" applyBorder="1" applyAlignment="1">
      <alignment horizontal="center" vertical="center" wrapText="1"/>
    </xf>
    <xf numFmtId="3" fontId="21" fillId="7" borderId="12" xfId="2" applyFont="1" applyFill="1" applyBorder="1" applyAlignment="1">
      <alignment horizontal="center" vertical="center" wrapText="1"/>
    </xf>
    <xf numFmtId="3" fontId="21" fillId="7" borderId="15" xfId="2" applyFont="1" applyFill="1" applyBorder="1" applyAlignment="1">
      <alignment horizontal="center" vertical="center" wrapText="1"/>
    </xf>
    <xf numFmtId="0" fontId="56" fillId="79" borderId="25" xfId="0" applyFont="1" applyFill="1" applyBorder="1" applyAlignment="1">
      <alignment horizontal="right" vertical="center"/>
    </xf>
    <xf numFmtId="0" fontId="56" fillId="79" borderId="13" xfId="0" applyFont="1" applyFill="1" applyBorder="1" applyAlignment="1">
      <alignment horizontal="right" vertical="center"/>
    </xf>
    <xf numFmtId="0" fontId="56" fillId="79" borderId="4" xfId="0" applyFont="1" applyFill="1" applyBorder="1" applyAlignment="1">
      <alignment horizontal="right" vertical="center"/>
    </xf>
    <xf numFmtId="0" fontId="39" fillId="93" borderId="25" xfId="0" applyFont="1" applyFill="1" applyBorder="1" applyAlignment="1">
      <alignment horizontal="center" vertical="center"/>
    </xf>
    <xf numFmtId="0" fontId="39" fillId="93" borderId="13" xfId="0" applyFont="1" applyFill="1" applyBorder="1" applyAlignment="1">
      <alignment horizontal="center" vertical="center"/>
    </xf>
    <xf numFmtId="0" fontId="39" fillId="93" borderId="4" xfId="0" applyFont="1" applyFill="1" applyBorder="1" applyAlignment="1">
      <alignment horizontal="center" vertical="center"/>
    </xf>
    <xf numFmtId="0" fontId="86" fillId="29" borderId="25" xfId="0" applyFont="1" applyFill="1" applyBorder="1" applyAlignment="1">
      <alignment horizontal="center" vertical="center"/>
    </xf>
    <xf numFmtId="0" fontId="86" fillId="29" borderId="13" xfId="0" applyFont="1" applyFill="1" applyBorder="1" applyAlignment="1">
      <alignment horizontal="center" vertical="center"/>
    </xf>
    <xf numFmtId="0" fontId="86" fillId="29" borderId="4" xfId="0" applyFont="1" applyFill="1" applyBorder="1" applyAlignment="1">
      <alignment horizontal="center" vertical="center"/>
    </xf>
    <xf numFmtId="0" fontId="9" fillId="29" borderId="25" xfId="0" applyFont="1" applyFill="1" applyBorder="1" applyAlignment="1">
      <alignment horizontal="center" vertical="center" wrapText="1"/>
    </xf>
    <xf numFmtId="0" fontId="9" fillId="29" borderId="13" xfId="0" applyFont="1" applyFill="1" applyBorder="1" applyAlignment="1">
      <alignment horizontal="center" vertical="center" wrapText="1"/>
    </xf>
    <xf numFmtId="0" fontId="9" fillId="29" borderId="4" xfId="0" applyFont="1" applyFill="1" applyBorder="1" applyAlignment="1">
      <alignment horizontal="center" vertical="center" wrapText="1"/>
    </xf>
    <xf numFmtId="0" fontId="8" fillId="80" borderId="25" xfId="0" applyFont="1" applyFill="1" applyBorder="1" applyAlignment="1">
      <alignment horizontal="left" vertical="center" wrapText="1"/>
    </xf>
    <xf numFmtId="0" fontId="8" fillId="80" borderId="4" xfId="0" applyFont="1" applyFill="1" applyBorder="1" applyAlignment="1">
      <alignment horizontal="left" vertical="center" wrapText="1"/>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9" fontId="8" fillId="91" borderId="15" xfId="0" applyNumberFormat="1" applyFont="1" applyFill="1" applyBorder="1" applyAlignment="1">
      <alignment horizontal="center" vertical="center"/>
    </xf>
    <xf numFmtId="0" fontId="40" fillId="0" borderId="14" xfId="1" applyFont="1" applyBorder="1" applyAlignment="1" applyProtection="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25" xfId="0" applyFont="1" applyFill="1" applyBorder="1" applyAlignment="1">
      <alignment horizontal="center"/>
    </xf>
    <xf numFmtId="0" fontId="9" fillId="17" borderId="13" xfId="0" applyFont="1" applyFill="1" applyBorder="1" applyAlignment="1">
      <alignment horizontal="center"/>
    </xf>
    <xf numFmtId="0" fontId="9" fillId="17" borderId="4" xfId="0" applyFont="1" applyFill="1" applyBorder="1" applyAlignment="1">
      <alignment horizontal="center"/>
    </xf>
    <xf numFmtId="3" fontId="9" fillId="17" borderId="25" xfId="2" applyFont="1" applyFill="1" applyBorder="1" applyAlignment="1">
      <alignment horizontal="center"/>
    </xf>
    <xf numFmtId="3" fontId="9" fillId="17" borderId="13" xfId="2" applyFont="1" applyFill="1" applyBorder="1" applyAlignment="1">
      <alignment horizontal="center"/>
    </xf>
    <xf numFmtId="3" fontId="9" fillId="17" borderId="4" xfId="2" applyFont="1" applyFill="1" applyBorder="1" applyAlignment="1">
      <alignment horizontal="center"/>
    </xf>
    <xf numFmtId="3" fontId="9" fillId="17" borderId="1" xfId="2" applyFont="1" applyFill="1" applyBorder="1" applyAlignment="1">
      <alignment horizontal="center"/>
    </xf>
    <xf numFmtId="3" fontId="9" fillId="17" borderId="0" xfId="2" applyFont="1" applyFill="1" applyBorder="1" applyAlignment="1">
      <alignment horizontal="center"/>
    </xf>
    <xf numFmtId="0" fontId="8" fillId="17" borderId="1" xfId="0" applyFont="1" applyFill="1" applyBorder="1" applyAlignment="1">
      <alignment horizontal="center" wrapText="1"/>
    </xf>
    <xf numFmtId="0" fontId="39" fillId="18" borderId="25" xfId="7" applyBorder="1">
      <alignment horizontal="center" vertical="center"/>
    </xf>
    <xf numFmtId="0" fontId="39" fillId="18" borderId="13" xfId="7" applyBorder="1">
      <alignment horizontal="center" vertical="center"/>
    </xf>
    <xf numFmtId="0" fontId="39" fillId="18" borderId="4" xfId="7" applyBorder="1">
      <alignment horizontal="center" vertical="center"/>
    </xf>
    <xf numFmtId="0" fontId="40" fillId="0" borderId="10" xfId="1" applyFont="1" applyBorder="1" applyAlignment="1" applyProtection="1">
      <alignment horizontal="center" vertical="center"/>
    </xf>
    <xf numFmtId="0" fontId="40" fillId="88" borderId="25" xfId="1" applyFont="1" applyFill="1" applyBorder="1" applyAlignment="1" applyProtection="1">
      <alignment horizontal="center" vertical="center"/>
    </xf>
    <xf numFmtId="0" fontId="40" fillId="88" borderId="4" xfId="1" applyFont="1" applyFill="1" applyBorder="1" applyAlignment="1" applyProtection="1">
      <alignment horizontal="center" vertical="center"/>
    </xf>
    <xf numFmtId="0" fontId="39" fillId="14" borderId="25" xfId="9" applyBorder="1" applyAlignment="1">
      <alignment horizontal="center" vertical="center"/>
    </xf>
    <xf numFmtId="0" fontId="39" fillId="14" borderId="13" xfId="9" applyBorder="1" applyAlignment="1">
      <alignment horizontal="center" vertical="center"/>
    </xf>
    <xf numFmtId="0" fontId="39" fillId="14" borderId="4" xfId="9"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9" fillId="17" borderId="0" xfId="0" applyFont="1" applyFill="1" applyBorder="1" applyAlignment="1">
      <alignment horizontal="center" vertical="center"/>
    </xf>
    <xf numFmtId="3" fontId="49" fillId="17" borderId="0"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40" fillId="0" borderId="11" xfId="1" applyFont="1" applyBorder="1" applyAlignment="1" applyProtection="1">
      <alignment horizontal="center" vertical="center"/>
    </xf>
    <xf numFmtId="0" fontId="40" fillId="0" borderId="0" xfId="1" applyFont="1" applyBorder="1" applyAlignment="1" applyProtection="1">
      <alignment horizontal="center" vertical="center"/>
    </xf>
    <xf numFmtId="0" fontId="40" fillId="0" borderId="12" xfId="1" applyFont="1" applyBorder="1" applyAlignment="1" applyProtection="1">
      <alignment horizontal="center" vertical="center"/>
    </xf>
    <xf numFmtId="0" fontId="8" fillId="17" borderId="6" xfId="0" applyFont="1" applyFill="1" applyBorder="1" applyAlignment="1">
      <alignment horizontal="center" vertical="center" wrapText="1"/>
    </xf>
    <xf numFmtId="0" fontId="40" fillId="0" borderId="15" xfId="1" applyFont="1" applyBorder="1" applyAlignment="1" applyProtection="1">
      <alignment horizontal="center" vertical="center"/>
    </xf>
    <xf numFmtId="0" fontId="39" fillId="15" borderId="25" xfId="9" applyFill="1" applyBorder="1">
      <alignment horizontal="center" vertical="center"/>
    </xf>
    <xf numFmtId="0" fontId="39" fillId="15" borderId="13" xfId="9" applyFill="1" applyBorder="1">
      <alignment horizontal="center" vertical="center"/>
    </xf>
    <xf numFmtId="0" fontId="39" fillId="15" borderId="4" xfId="9" applyFill="1" applyBorder="1">
      <alignment horizontal="center" vertical="center"/>
    </xf>
    <xf numFmtId="0" fontId="8" fillId="19" borderId="37" xfId="0" applyFont="1" applyFill="1" applyBorder="1" applyAlignment="1">
      <alignment horizontal="center" vertical="center" wrapText="1"/>
    </xf>
    <xf numFmtId="0" fontId="8" fillId="19" borderId="10" xfId="0" applyFont="1" applyFill="1" applyBorder="1" applyAlignment="1">
      <alignment horizontal="center" vertical="center" wrapText="1"/>
    </xf>
    <xf numFmtId="0" fontId="8" fillId="19" borderId="11" xfId="0"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19" borderId="0" xfId="0" applyFont="1" applyFill="1" applyBorder="1" applyAlignment="1">
      <alignment horizontal="center" vertical="center" wrapText="1"/>
    </xf>
    <xf numFmtId="0" fontId="8" fillId="19" borderId="12"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8" fillId="19" borderId="14" xfId="0" applyFont="1" applyFill="1" applyBorder="1" applyAlignment="1">
      <alignment horizontal="center" vertical="center" wrapText="1"/>
    </xf>
    <xf numFmtId="0" fontId="8" fillId="19" borderId="15" xfId="0" applyFont="1" applyFill="1" applyBorder="1" applyAlignment="1">
      <alignment horizontal="center" vertical="center" wrapText="1"/>
    </xf>
    <xf numFmtId="0" fontId="9" fillId="19" borderId="25" xfId="0" applyFont="1" applyFill="1" applyBorder="1" applyAlignment="1">
      <alignment horizontal="center" vertical="center"/>
    </xf>
    <xf numFmtId="0" fontId="9" fillId="19" borderId="4" xfId="0" applyFont="1" applyFill="1" applyBorder="1" applyAlignment="1">
      <alignment horizontal="center" vertical="center"/>
    </xf>
    <xf numFmtId="3" fontId="8" fillId="17" borderId="1" xfId="2" applyFont="1" applyFill="1" applyBorder="1" applyAlignment="1">
      <alignment horizontal="center" vertical="center"/>
    </xf>
    <xf numFmtId="3" fontId="8" fillId="17" borderId="0" xfId="2" applyFont="1" applyFill="1" applyBorder="1" applyAlignment="1">
      <alignment horizontal="center" vertical="center"/>
    </xf>
    <xf numFmtId="3" fontId="49" fillId="17" borderId="1" xfId="0" applyNumberFormat="1" applyFont="1" applyFill="1" applyBorder="1" applyAlignment="1">
      <alignment horizontal="right" vertical="center"/>
    </xf>
    <xf numFmtId="3" fontId="49" fillId="17" borderId="0" xfId="0" applyNumberFormat="1" applyFont="1" applyFill="1" applyBorder="1" applyAlignment="1">
      <alignment horizontal="right" vertical="center"/>
    </xf>
    <xf numFmtId="9" fontId="8" fillId="17" borderId="0" xfId="3" applyFont="1" applyFill="1" applyBorder="1" applyAlignment="1">
      <alignment horizontal="center" vertical="center"/>
    </xf>
    <xf numFmtId="3" fontId="8" fillId="13" borderId="25" xfId="2" applyFont="1" applyFill="1" applyBorder="1" applyAlignment="1">
      <alignment horizontal="center" vertical="center"/>
    </xf>
    <xf numFmtId="3" fontId="8" fillId="13" borderId="13" xfId="2" applyFont="1" applyFill="1" applyBorder="1" applyAlignment="1">
      <alignment horizontal="center" vertical="center"/>
    </xf>
    <xf numFmtId="3" fontId="8" fillId="13" borderId="4" xfId="2" applyFont="1" applyFill="1" applyBorder="1" applyAlignment="1">
      <alignment horizontal="center" vertical="center"/>
    </xf>
    <xf numFmtId="3" fontId="8" fillId="17" borderId="12" xfId="2" applyFont="1" applyFill="1" applyBorder="1" applyAlignment="1">
      <alignment horizontal="center" vertical="center"/>
    </xf>
    <xf numFmtId="3" fontId="8" fillId="17" borderId="7" xfId="2" applyFont="1" applyFill="1" applyBorder="1" applyAlignment="1">
      <alignment horizontal="center" vertical="center"/>
    </xf>
    <xf numFmtId="3" fontId="8" fillId="17" borderId="14" xfId="2" applyFont="1" applyFill="1" applyBorder="1" applyAlignment="1">
      <alignment horizontal="center" vertical="center"/>
    </xf>
    <xf numFmtId="3" fontId="9" fillId="17" borderId="14" xfId="2" applyFont="1" applyFill="1" applyBorder="1" applyAlignment="1">
      <alignment horizontal="center" vertical="center"/>
    </xf>
    <xf numFmtId="3" fontId="9" fillId="17" borderId="15" xfId="2" applyFont="1" applyFill="1" applyBorder="1" applyAlignment="1">
      <alignment horizontal="center" vertical="center"/>
    </xf>
    <xf numFmtId="3" fontId="9" fillId="13" borderId="13" xfId="2" applyFont="1" applyFill="1" applyBorder="1" applyAlignment="1">
      <alignment horizontal="center" vertical="center"/>
    </xf>
    <xf numFmtId="3" fontId="9" fillId="13" borderId="4" xfId="2" applyFont="1" applyFill="1" applyBorder="1" applyAlignment="1">
      <alignment horizontal="center" vertical="center"/>
    </xf>
    <xf numFmtId="0" fontId="8" fillId="91" borderId="26" xfId="0" applyFont="1" applyFill="1" applyBorder="1" applyAlignment="1">
      <alignment horizontal="center" vertical="center" wrapText="1"/>
    </xf>
    <xf numFmtId="0" fontId="56" fillId="92" borderId="25" xfId="0" applyFont="1" applyFill="1" applyBorder="1" applyAlignment="1">
      <alignment horizontal="right" vertical="center"/>
    </xf>
    <xf numFmtId="0" fontId="56" fillId="92" borderId="4" xfId="0" applyFont="1" applyFill="1" applyBorder="1" applyAlignment="1">
      <alignment horizontal="right" vertical="center"/>
    </xf>
    <xf numFmtId="0" fontId="8" fillId="92" borderId="25" xfId="0" applyFont="1" applyFill="1" applyBorder="1" applyAlignment="1">
      <alignment horizontal="center" vertical="center"/>
    </xf>
    <xf numFmtId="0" fontId="8" fillId="92" borderId="13" xfId="0" applyFont="1" applyFill="1" applyBorder="1" applyAlignment="1">
      <alignment horizontal="center" vertical="center"/>
    </xf>
    <xf numFmtId="0" fontId="8" fillId="92" borderId="4" xfId="0" applyFont="1" applyFill="1" applyBorder="1" applyAlignment="1">
      <alignment horizontal="center" vertical="center"/>
    </xf>
    <xf numFmtId="0" fontId="8" fillId="91" borderId="36" xfId="0" applyFont="1" applyFill="1" applyBorder="1" applyAlignment="1">
      <alignment horizontal="center" vertical="top" wrapText="1"/>
    </xf>
    <xf numFmtId="0" fontId="8" fillId="91" borderId="6" xfId="0" applyFont="1" applyFill="1" applyBorder="1" applyAlignment="1">
      <alignment horizontal="center" vertical="top" wrapText="1"/>
    </xf>
    <xf numFmtId="0" fontId="39" fillId="26" borderId="25" xfId="4" applyFont="1" applyBorder="1">
      <alignment horizontal="center" vertical="center"/>
    </xf>
    <xf numFmtId="0" fontId="39" fillId="26" borderId="13" xfId="4" applyFont="1" applyBorder="1">
      <alignment horizontal="center" vertical="center"/>
    </xf>
    <xf numFmtId="0" fontId="39" fillId="26" borderId="4" xfId="4" applyFont="1" applyBorder="1">
      <alignment horizontal="center" vertical="center"/>
    </xf>
    <xf numFmtId="9" fontId="8" fillId="17" borderId="7" xfId="0" applyNumberFormat="1" applyFont="1" applyFill="1" applyBorder="1" applyAlignment="1">
      <alignment horizontal="center" vertical="center"/>
    </xf>
    <xf numFmtId="9" fontId="8" fillId="17" borderId="15" xfId="0" applyNumberFormat="1" applyFont="1" applyFill="1" applyBorder="1" applyAlignment="1">
      <alignment horizontal="center" vertical="center"/>
    </xf>
    <xf numFmtId="9" fontId="8" fillId="17" borderId="37" xfId="0" applyNumberFormat="1" applyFont="1" applyFill="1" applyBorder="1" applyAlignment="1">
      <alignment horizontal="center" vertical="center"/>
    </xf>
    <xf numFmtId="9" fontId="8" fillId="17" borderId="11" xfId="0" applyNumberFormat="1" applyFont="1" applyFill="1" applyBorder="1" applyAlignment="1">
      <alignment horizontal="center" vertical="center"/>
    </xf>
    <xf numFmtId="9" fontId="9" fillId="0" borderId="13" xfId="0" applyNumberFormat="1" applyFont="1" applyFill="1" applyBorder="1" applyAlignment="1">
      <alignment horizontal="center" vertical="center"/>
    </xf>
    <xf numFmtId="9" fontId="9" fillId="17" borderId="25" xfId="0" applyNumberFormat="1" applyFont="1" applyFill="1" applyBorder="1" applyAlignment="1">
      <alignment horizontal="center" vertical="center"/>
    </xf>
    <xf numFmtId="9" fontId="9" fillId="17" borderId="13" xfId="0" applyNumberFormat="1" applyFont="1" applyFill="1" applyBorder="1" applyAlignment="1">
      <alignment horizontal="center" vertical="center"/>
    </xf>
    <xf numFmtId="9" fontId="9" fillId="17" borderId="4" xfId="0" applyNumberFormat="1" applyFont="1" applyFill="1" applyBorder="1" applyAlignment="1">
      <alignment horizontal="center" vertical="center"/>
    </xf>
    <xf numFmtId="3" fontId="8" fillId="17" borderId="1" xfId="0" applyNumberFormat="1" applyFont="1" applyFill="1" applyBorder="1" applyAlignment="1">
      <alignment horizontal="center" vertical="center"/>
    </xf>
    <xf numFmtId="3" fontId="8" fillId="17" borderId="0" xfId="0" applyNumberFormat="1" applyFont="1" applyFill="1" applyBorder="1" applyAlignment="1">
      <alignment horizontal="center" vertical="center"/>
    </xf>
    <xf numFmtId="0" fontId="8" fillId="5" borderId="25"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91" borderId="25" xfId="0" applyFont="1" applyFill="1" applyBorder="1" applyAlignment="1">
      <alignment horizontal="left" vertical="center"/>
    </xf>
    <xf numFmtId="0" fontId="8" fillId="91" borderId="4" xfId="0" applyFont="1" applyFill="1" applyBorder="1" applyAlignment="1">
      <alignment horizontal="left" vertical="center"/>
    </xf>
    <xf numFmtId="9" fontId="8" fillId="91" borderId="25" xfId="0" applyNumberFormat="1" applyFont="1" applyFill="1" applyBorder="1" applyAlignment="1">
      <alignment horizontal="left" vertical="center"/>
    </xf>
    <xf numFmtId="9" fontId="8" fillId="91" borderId="4" xfId="0" applyNumberFormat="1" applyFont="1" applyFill="1" applyBorder="1" applyAlignment="1">
      <alignment horizontal="left" vertical="center"/>
    </xf>
    <xf numFmtId="3" fontId="9" fillId="0" borderId="13" xfId="2" applyFont="1" applyFill="1" applyBorder="1" applyAlignment="1">
      <alignment horizontal="center" vertical="center"/>
    </xf>
    <xf numFmtId="0" fontId="8" fillId="91" borderId="25" xfId="0" applyFont="1" applyFill="1" applyBorder="1" applyAlignment="1">
      <alignment horizontal="center" vertical="center" wrapText="1"/>
    </xf>
    <xf numFmtId="0" fontId="8" fillId="91" borderId="13" xfId="0" applyFont="1" applyFill="1" applyBorder="1" applyAlignment="1">
      <alignment horizontal="center" vertical="center" wrapText="1"/>
    </xf>
    <xf numFmtId="0" fontId="8" fillId="91" borderId="4" xfId="0" applyFont="1" applyFill="1" applyBorder="1" applyAlignment="1">
      <alignment horizontal="center" vertical="center" wrapText="1"/>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81" fillId="22" borderId="25" xfId="9" applyFont="1" applyFill="1" applyBorder="1">
      <alignment horizontal="center" vertical="center"/>
    </xf>
    <xf numFmtId="0" fontId="81" fillId="22" borderId="13" xfId="9" applyFont="1" applyFill="1" applyBorder="1">
      <alignment horizontal="center" vertical="center"/>
    </xf>
    <xf numFmtId="0" fontId="81" fillId="22" borderId="4" xfId="9" applyFont="1" applyFill="1" applyBorder="1">
      <alignment horizontal="center" vertical="center"/>
    </xf>
    <xf numFmtId="0" fontId="44" fillId="16" borderId="10" xfId="0" applyFont="1" applyFill="1" applyBorder="1" applyAlignment="1">
      <alignment horizontal="center" vertical="center"/>
    </xf>
    <xf numFmtId="0" fontId="44" fillId="16" borderId="14" xfId="0" applyFont="1" applyFill="1" applyBorder="1" applyAlignment="1">
      <alignment horizontal="center" vertical="center"/>
    </xf>
    <xf numFmtId="9" fontId="8" fillId="17" borderId="14" xfId="3" applyFont="1" applyFill="1" applyBorder="1" applyAlignment="1">
      <alignment horizontal="center" vertical="center"/>
    </xf>
    <xf numFmtId="3" fontId="35" fillId="17" borderId="1" xfId="2"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0" fontId="8" fillId="17" borderId="11" xfId="0" applyFont="1" applyFill="1" applyBorder="1" applyAlignment="1">
      <alignment horizontal="center" vertical="center"/>
    </xf>
    <xf numFmtId="169" fontId="8" fillId="17" borderId="0"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0" xfId="0" applyFont="1" applyFill="1" applyBorder="1" applyAlignment="1">
      <alignment horizontal="center" vertical="center"/>
    </xf>
    <xf numFmtId="0" fontId="56" fillId="8" borderId="25" xfId="0" applyFont="1" applyFill="1" applyBorder="1" applyAlignment="1">
      <alignment horizontal="right" vertical="center" wrapText="1"/>
    </xf>
    <xf numFmtId="0" fontId="56" fillId="8" borderId="4" xfId="0" applyFont="1" applyFill="1" applyBorder="1" applyAlignment="1">
      <alignment horizontal="right" vertical="center" wrapText="1"/>
    </xf>
    <xf numFmtId="0" fontId="8" fillId="91" borderId="37" xfId="0" applyFont="1" applyFill="1" applyBorder="1" applyAlignment="1">
      <alignment horizontal="center" vertical="center" wrapText="1"/>
    </xf>
    <xf numFmtId="0" fontId="84" fillId="0" borderId="0" xfId="0" applyFont="1" applyFill="1" applyAlignment="1">
      <alignment horizontal="center" vertical="center"/>
    </xf>
    <xf numFmtId="0" fontId="9" fillId="17" borderId="11" xfId="0" applyFont="1" applyFill="1" applyBorder="1" applyAlignment="1">
      <alignment horizontal="left" vertical="center"/>
    </xf>
    <xf numFmtId="3" fontId="9" fillId="40" borderId="25" xfId="2" applyFont="1" applyFill="1" applyBorder="1" applyAlignment="1">
      <alignment horizontal="center" vertical="center"/>
    </xf>
    <xf numFmtId="3" fontId="9" fillId="40" borderId="13" xfId="2" applyFont="1" applyFill="1" applyBorder="1" applyAlignment="1">
      <alignment horizontal="center" vertical="center"/>
    </xf>
    <xf numFmtId="3" fontId="9" fillId="40" borderId="4" xfId="2" applyFont="1" applyFill="1" applyBorder="1" applyAlignment="1">
      <alignment horizontal="center" vertical="center"/>
    </xf>
    <xf numFmtId="3" fontId="9" fillId="40" borderId="37" xfId="2" applyFont="1" applyFill="1" applyBorder="1" applyAlignment="1">
      <alignment horizontal="center" vertical="center"/>
    </xf>
    <xf numFmtId="3" fontId="9" fillId="40" borderId="10" xfId="2" applyFont="1" applyFill="1" applyBorder="1" applyAlignment="1">
      <alignment horizontal="center" vertical="center"/>
    </xf>
    <xf numFmtId="3" fontId="9" fillId="40" borderId="11" xfId="2" applyFont="1" applyFill="1" applyBorder="1" applyAlignment="1">
      <alignment horizontal="center" vertical="center"/>
    </xf>
    <xf numFmtId="3" fontId="8" fillId="40" borderId="1" xfId="2" applyFont="1" applyFill="1" applyBorder="1" applyAlignment="1">
      <alignment horizontal="center" vertical="center"/>
    </xf>
    <xf numFmtId="3" fontId="8" fillId="40" borderId="0" xfId="2" applyFont="1" applyFill="1" applyBorder="1" applyAlignment="1">
      <alignment horizontal="center" vertical="center"/>
    </xf>
    <xf numFmtId="3" fontId="9" fillId="40" borderId="0" xfId="2" applyFont="1" applyFill="1" applyBorder="1" applyAlignment="1">
      <alignment horizontal="center" vertical="center"/>
    </xf>
    <xf numFmtId="3" fontId="9" fillId="40" borderId="12" xfId="2" applyFont="1" applyFill="1" applyBorder="1" applyAlignment="1">
      <alignment horizontal="center" vertical="center"/>
    </xf>
    <xf numFmtId="3" fontId="8" fillId="40" borderId="12" xfId="2" applyFont="1" applyFill="1" applyBorder="1" applyAlignment="1">
      <alignment horizontal="center" vertical="center"/>
    </xf>
    <xf numFmtId="3" fontId="9" fillId="40" borderId="1" xfId="2" applyFont="1" applyFill="1" applyBorder="1" applyAlignment="1">
      <alignment horizontal="center" vertical="center"/>
    </xf>
    <xf numFmtId="0" fontId="6" fillId="0" borderId="10" xfId="1" applyBorder="1" applyAlignment="1" applyProtection="1">
      <alignment horizontal="center" vertical="center"/>
    </xf>
    <xf numFmtId="3" fontId="35" fillId="17" borderId="10" xfId="2" applyFont="1" applyFill="1" applyBorder="1" applyAlignment="1">
      <alignment horizontal="center" vertical="center"/>
    </xf>
    <xf numFmtId="3" fontId="35" fillId="17" borderId="11" xfId="2" applyFont="1" applyFill="1" applyBorder="1" applyAlignment="1">
      <alignment horizontal="center" vertical="center"/>
    </xf>
    <xf numFmtId="0" fontId="8" fillId="17" borderId="36"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5" fillId="0" borderId="0" xfId="0" applyFont="1" applyFill="1" applyAlignment="1">
      <alignment horizontal="center" vertical="center"/>
    </xf>
    <xf numFmtId="0" fontId="39" fillId="13" borderId="25" xfId="9" applyFont="1" applyFill="1" applyBorder="1" applyAlignment="1">
      <alignment horizontal="center" vertical="center"/>
    </xf>
    <xf numFmtId="0" fontId="39" fillId="13" borderId="13" xfId="9" applyFont="1" applyFill="1" applyBorder="1" applyAlignment="1">
      <alignment horizontal="center" vertical="center"/>
    </xf>
    <xf numFmtId="0" fontId="39" fillId="13" borderId="4" xfId="9" applyFont="1" applyFill="1" applyBorder="1" applyAlignment="1">
      <alignment horizontal="center" vertical="center"/>
    </xf>
    <xf numFmtId="0" fontId="39" fillId="12" borderId="25" xfId="0" applyFont="1" applyFill="1" applyBorder="1" applyAlignment="1">
      <alignment horizontal="center" vertical="center"/>
    </xf>
    <xf numFmtId="0" fontId="39" fillId="12" borderId="13" xfId="0" applyFont="1" applyFill="1" applyBorder="1" applyAlignment="1">
      <alignment horizontal="center" vertical="center"/>
    </xf>
    <xf numFmtId="0" fontId="39" fillId="12" borderId="4" xfId="0" applyFont="1" applyFill="1" applyBorder="1" applyAlignment="1">
      <alignment horizontal="center" vertical="center"/>
    </xf>
    <xf numFmtId="0" fontId="8" fillId="24" borderId="25" xfId="0" applyFont="1" applyFill="1" applyBorder="1" applyAlignment="1">
      <alignment horizontal="center" vertical="center"/>
    </xf>
    <xf numFmtId="0" fontId="8" fillId="24" borderId="4" xfId="0" applyFont="1" applyFill="1" applyBorder="1" applyAlignment="1">
      <alignment horizontal="center" vertical="center"/>
    </xf>
    <xf numFmtId="0" fontId="8" fillId="24" borderId="25" xfId="0" applyFont="1" applyFill="1" applyBorder="1" applyAlignment="1">
      <alignment horizontal="center"/>
    </xf>
    <xf numFmtId="0" fontId="8" fillId="24" borderId="4" xfId="0" applyFont="1" applyFill="1" applyBorder="1" applyAlignment="1">
      <alignment horizontal="center"/>
    </xf>
    <xf numFmtId="0" fontId="8" fillId="24" borderId="36" xfId="0" applyFont="1" applyFill="1" applyBorder="1" applyAlignment="1">
      <alignment horizontal="center"/>
    </xf>
    <xf numFmtId="0" fontId="8" fillId="24" borderId="6" xfId="0" applyFont="1" applyFill="1" applyBorder="1" applyAlignment="1">
      <alignment horizontal="center"/>
    </xf>
    <xf numFmtId="0" fontId="8" fillId="24" borderId="8" xfId="0" applyFont="1" applyFill="1" applyBorder="1" applyAlignment="1">
      <alignment horizontal="center"/>
    </xf>
    <xf numFmtId="0" fontId="47" fillId="13" borderId="25" xfId="0" applyFont="1" applyFill="1" applyBorder="1" applyAlignment="1">
      <alignment horizontal="center" vertical="center"/>
    </xf>
    <xf numFmtId="0" fontId="47" fillId="13" borderId="13" xfId="0" applyFont="1" applyFill="1" applyBorder="1" applyAlignment="1">
      <alignment horizontal="center" vertical="center"/>
    </xf>
    <xf numFmtId="0" fontId="47" fillId="13" borderId="4" xfId="0" applyFont="1" applyFill="1" applyBorder="1" applyAlignment="1">
      <alignment horizontal="center" vertical="center"/>
    </xf>
    <xf numFmtId="0" fontId="39" fillId="12" borderId="25" xfId="9" applyFont="1" applyFill="1" applyBorder="1" applyAlignment="1">
      <alignment horizontal="center" vertical="center"/>
    </xf>
    <xf numFmtId="0" fontId="39" fillId="12" borderId="13" xfId="9" applyFont="1" applyFill="1" applyBorder="1" applyAlignment="1">
      <alignment horizontal="center" vertical="center"/>
    </xf>
    <xf numFmtId="0" fontId="39" fillId="12" borderId="4" xfId="9" applyFont="1" applyFill="1" applyBorder="1" applyAlignment="1">
      <alignment horizontal="center" vertical="center"/>
    </xf>
    <xf numFmtId="0" fontId="8" fillId="24" borderId="13" xfId="0" applyFont="1" applyFill="1" applyBorder="1" applyAlignment="1">
      <alignment horizontal="center" vertical="center"/>
    </xf>
    <xf numFmtId="0" fontId="9" fillId="15" borderId="25" xfId="0" applyFont="1" applyFill="1" applyBorder="1" applyAlignment="1">
      <alignment horizontal="center" vertical="center"/>
    </xf>
    <xf numFmtId="0" fontId="9" fillId="15" borderId="4" xfId="0" applyFont="1" applyFill="1" applyBorder="1" applyAlignment="1">
      <alignment horizontal="center" vertical="center"/>
    </xf>
    <xf numFmtId="0" fontId="9" fillId="15" borderId="13" xfId="0" applyFont="1" applyFill="1" applyBorder="1" applyAlignment="1">
      <alignment horizontal="center" vertical="center"/>
    </xf>
    <xf numFmtId="0" fontId="40" fillId="16" borderId="37" xfId="1" applyFont="1" applyFill="1" applyBorder="1" applyAlignment="1" applyProtection="1">
      <alignment horizontal="center" vertical="center"/>
    </xf>
    <xf numFmtId="0" fontId="40" fillId="16" borderId="10" xfId="1" applyFont="1" applyFill="1" applyBorder="1" applyAlignment="1" applyProtection="1">
      <alignment horizontal="center" vertical="center"/>
    </xf>
    <xf numFmtId="0" fontId="40" fillId="16" borderId="11" xfId="1" applyFont="1" applyFill="1" applyBorder="1" applyAlignment="1" applyProtection="1">
      <alignment horizontal="center" vertical="center"/>
    </xf>
    <xf numFmtId="0" fontId="40" fillId="16" borderId="7" xfId="1" applyFont="1" applyFill="1" applyBorder="1" applyAlignment="1" applyProtection="1">
      <alignment horizontal="center" vertical="center"/>
    </xf>
    <xf numFmtId="0" fontId="40" fillId="16" borderId="14" xfId="1" applyFont="1" applyFill="1" applyBorder="1" applyAlignment="1" applyProtection="1">
      <alignment horizontal="center" vertical="center"/>
    </xf>
    <xf numFmtId="0" fontId="40" fillId="16" borderId="15" xfId="1" applyFont="1" applyFill="1" applyBorder="1" applyAlignment="1" applyProtection="1">
      <alignment horizontal="center" vertical="center"/>
    </xf>
    <xf numFmtId="0" fontId="40" fillId="16" borderId="1" xfId="1" applyFont="1" applyFill="1" applyBorder="1" applyAlignment="1" applyProtection="1">
      <alignment horizontal="center" vertical="center"/>
    </xf>
    <xf numFmtId="0" fontId="40" fillId="16" borderId="0" xfId="1" applyFont="1" applyFill="1" applyBorder="1" applyAlignment="1" applyProtection="1">
      <alignment horizontal="center" vertical="center"/>
    </xf>
    <xf numFmtId="0" fontId="40" fillId="16" borderId="12" xfId="1" applyFont="1" applyFill="1" applyBorder="1" applyAlignment="1" applyProtection="1">
      <alignment horizontal="center" vertical="center"/>
    </xf>
    <xf numFmtId="0" fontId="9" fillId="15" borderId="36" xfId="0" applyFont="1" applyFill="1" applyBorder="1" applyAlignment="1">
      <alignment horizontal="center" vertical="center"/>
    </xf>
    <xf numFmtId="0" fontId="9" fillId="15" borderId="6" xfId="0" applyFont="1" applyFill="1" applyBorder="1" applyAlignment="1">
      <alignment horizontal="center" vertical="center"/>
    </xf>
    <xf numFmtId="0" fontId="9" fillId="15" borderId="8" xfId="0" applyFont="1" applyFill="1" applyBorder="1" applyAlignment="1">
      <alignment horizontal="center" vertical="center"/>
    </xf>
    <xf numFmtId="0" fontId="8" fillId="29" borderId="36" xfId="0" applyFont="1" applyFill="1" applyBorder="1" applyAlignment="1">
      <alignment horizontal="center" vertical="center" wrapText="1"/>
    </xf>
    <xf numFmtId="0" fontId="8" fillId="29" borderId="6" xfId="0" applyFont="1" applyFill="1" applyBorder="1" applyAlignment="1">
      <alignment horizontal="center" vertical="center" wrapText="1"/>
    </xf>
    <xf numFmtId="0" fontId="8" fillId="29" borderId="8" xfId="0" applyFont="1" applyFill="1" applyBorder="1" applyAlignment="1">
      <alignment horizontal="center" vertical="center" wrapText="1"/>
    </xf>
    <xf numFmtId="0" fontId="39" fillId="26" borderId="25" xfId="9" applyFont="1" applyFill="1" applyBorder="1" applyAlignment="1">
      <alignment horizontal="center" vertical="center"/>
    </xf>
    <xf numFmtId="0" fontId="39" fillId="26" borderId="13" xfId="9" applyFont="1" applyFill="1" applyBorder="1" applyAlignment="1">
      <alignment horizontal="center" vertical="center"/>
    </xf>
    <xf numFmtId="0" fontId="39" fillId="26" borderId="4" xfId="9" applyFont="1" applyFill="1" applyBorder="1" applyAlignment="1">
      <alignment horizontal="center" vertical="center"/>
    </xf>
    <xf numFmtId="0" fontId="39" fillId="26" borderId="25" xfId="4" applyFont="1" applyBorder="1" applyAlignment="1">
      <alignment horizontal="center" vertical="center"/>
    </xf>
    <xf numFmtId="0" fontId="39" fillId="26" borderId="13" xfId="4" applyFont="1" applyBorder="1" applyAlignment="1">
      <alignment horizontal="center" vertical="center"/>
    </xf>
    <xf numFmtId="0" fontId="39" fillId="26" borderId="4" xfId="4" applyFont="1" applyBorder="1" applyAlignment="1">
      <alignment horizontal="center" vertical="center"/>
    </xf>
    <xf numFmtId="0" fontId="9" fillId="24" borderId="25" xfId="0" applyFont="1" applyFill="1" applyBorder="1" applyAlignment="1">
      <alignment horizontal="center" vertical="center" wrapText="1"/>
    </xf>
    <xf numFmtId="0" fontId="9" fillId="24" borderId="13" xfId="0" applyFont="1" applyFill="1" applyBorder="1" applyAlignment="1">
      <alignment horizontal="center" vertical="center" wrapText="1"/>
    </xf>
    <xf numFmtId="0" fontId="9" fillId="24" borderId="4" xfId="0" applyFont="1" applyFill="1" applyBorder="1" applyAlignment="1">
      <alignment horizontal="center" vertical="center" wrapText="1"/>
    </xf>
    <xf numFmtId="0" fontId="9" fillId="24" borderId="25" xfId="0" applyFont="1" applyFill="1" applyBorder="1" applyAlignment="1">
      <alignment horizontal="center" vertical="center"/>
    </xf>
    <xf numFmtId="0" fontId="9" fillId="24" borderId="13" xfId="0" applyFont="1" applyFill="1" applyBorder="1" applyAlignment="1">
      <alignment horizontal="center" vertical="center"/>
    </xf>
    <xf numFmtId="0" fontId="9" fillId="24" borderId="4" xfId="0" applyFont="1" applyFill="1" applyBorder="1" applyAlignment="1">
      <alignment horizontal="center" vertical="center"/>
    </xf>
    <xf numFmtId="0" fontId="8" fillId="16" borderId="25" xfId="0" applyFont="1" applyFill="1" applyBorder="1" applyAlignment="1">
      <alignment horizontal="left" vertical="center"/>
    </xf>
    <xf numFmtId="0" fontId="8" fillId="16" borderId="4" xfId="0" applyFont="1" applyFill="1" applyBorder="1" applyAlignment="1">
      <alignment horizontal="left" vertical="center"/>
    </xf>
    <xf numFmtId="0" fontId="60" fillId="0" borderId="13" xfId="1" applyFont="1" applyFill="1" applyBorder="1" applyAlignment="1" applyProtection="1">
      <alignment horizontal="center" vertical="center" wrapText="1"/>
    </xf>
    <xf numFmtId="0" fontId="81" fillId="91" borderId="37" xfId="0" applyFont="1" applyFill="1" applyBorder="1" applyAlignment="1">
      <alignment horizontal="center" vertical="center"/>
    </xf>
    <xf numFmtId="0" fontId="81" fillId="91" borderId="11" xfId="0" applyFont="1" applyFill="1" applyBorder="1" applyAlignment="1">
      <alignment horizontal="center" vertical="center"/>
    </xf>
    <xf numFmtId="0" fontId="60" fillId="0" borderId="25" xfId="1" applyFont="1" applyFill="1" applyBorder="1" applyAlignment="1" applyProtection="1">
      <alignment horizontal="center" vertical="center"/>
    </xf>
    <xf numFmtId="0" fontId="60" fillId="0" borderId="13" xfId="1" applyFont="1" applyFill="1" applyBorder="1" applyAlignment="1" applyProtection="1">
      <alignment horizontal="center" vertical="center"/>
    </xf>
    <xf numFmtId="9" fontId="8" fillId="16" borderId="37" xfId="3" applyFont="1" applyFill="1" applyBorder="1" applyAlignment="1">
      <alignment horizontal="center" vertical="center"/>
    </xf>
    <xf numFmtId="9" fontId="8" fillId="16" borderId="11" xfId="3" applyFont="1" applyFill="1" applyBorder="1" applyAlignment="1">
      <alignment horizontal="center" vertical="center"/>
    </xf>
    <xf numFmtId="9" fontId="8" fillId="16" borderId="7" xfId="3" applyFont="1" applyFill="1" applyBorder="1" applyAlignment="1">
      <alignment horizontal="center" vertical="center"/>
    </xf>
    <xf numFmtId="9" fontId="8" fillId="16" borderId="15" xfId="3" applyFont="1" applyFill="1" applyBorder="1" applyAlignment="1">
      <alignment horizontal="center" vertical="center"/>
    </xf>
    <xf numFmtId="0" fontId="9" fillId="16" borderId="25" xfId="0" applyFont="1" applyFill="1" applyBorder="1" applyAlignment="1">
      <alignment horizontal="center" vertical="center"/>
    </xf>
    <xf numFmtId="0" fontId="9" fillId="16" borderId="13" xfId="0" applyFont="1" applyFill="1" applyBorder="1" applyAlignment="1">
      <alignment horizontal="center" vertical="center"/>
    </xf>
    <xf numFmtId="0" fontId="9" fillId="16" borderId="4" xfId="0" applyFont="1" applyFill="1" applyBorder="1" applyAlignment="1">
      <alignment horizontal="center" vertical="center"/>
    </xf>
    <xf numFmtId="0" fontId="9" fillId="24" borderId="36" xfId="0" applyFont="1" applyFill="1" applyBorder="1" applyAlignment="1">
      <alignment horizontal="left" vertical="top" wrapText="1"/>
    </xf>
    <xf numFmtId="0" fontId="9" fillId="24" borderId="8" xfId="0" applyFont="1" applyFill="1" applyBorder="1" applyAlignment="1">
      <alignment horizontal="left" vertical="top" wrapText="1"/>
    </xf>
    <xf numFmtId="0" fontId="39" fillId="26" borderId="25" xfId="4" applyBorder="1" applyAlignment="1">
      <alignment horizontal="center" vertical="center"/>
    </xf>
    <xf numFmtId="0" fontId="39" fillId="26" borderId="13" xfId="4" applyBorder="1" applyAlignment="1">
      <alignment horizontal="center" vertical="center"/>
    </xf>
    <xf numFmtId="0" fontId="47" fillId="12" borderId="36" xfId="0" applyFont="1" applyFill="1" applyBorder="1" applyAlignment="1">
      <alignment horizontal="center" vertical="center"/>
    </xf>
    <xf numFmtId="0" fontId="47" fillId="12" borderId="8" xfId="0" applyFont="1" applyFill="1" applyBorder="1" applyAlignment="1">
      <alignment horizontal="center" vertical="center"/>
    </xf>
    <xf numFmtId="0" fontId="47" fillId="12" borderId="25" xfId="0" applyFont="1" applyFill="1" applyBorder="1" applyAlignment="1">
      <alignment horizontal="center" vertical="center"/>
    </xf>
    <xf numFmtId="0" fontId="47" fillId="12" borderId="4" xfId="0" applyFont="1" applyFill="1" applyBorder="1" applyAlignment="1">
      <alignment horizontal="center" vertical="center"/>
    </xf>
    <xf numFmtId="0" fontId="47" fillId="13" borderId="36" xfId="0" applyFont="1" applyFill="1" applyBorder="1" applyAlignment="1">
      <alignment horizontal="center" vertical="center"/>
    </xf>
    <xf numFmtId="0" fontId="47" fillId="13" borderId="8" xfId="0" applyFont="1" applyFill="1" applyBorder="1" applyAlignment="1">
      <alignment horizontal="center" vertical="center"/>
    </xf>
    <xf numFmtId="0" fontId="39" fillId="26" borderId="4" xfId="4" applyBorder="1" applyAlignment="1">
      <alignment horizontal="center" vertical="center"/>
    </xf>
    <xf numFmtId="0" fontId="58" fillId="22" borderId="25" xfId="0" applyFont="1" applyFill="1" applyBorder="1" applyAlignment="1">
      <alignment horizontal="right" vertical="center"/>
    </xf>
    <xf numFmtId="0" fontId="58" fillId="22" borderId="13" xfId="0" applyFont="1" applyFill="1" applyBorder="1" applyAlignment="1">
      <alignment horizontal="right" vertical="center"/>
    </xf>
    <xf numFmtId="0" fontId="9" fillId="22" borderId="37" xfId="0" applyFont="1" applyFill="1" applyBorder="1" applyAlignment="1">
      <alignment horizontal="left" vertical="center"/>
    </xf>
    <xf numFmtId="0" fontId="9" fillId="22" borderId="10" xfId="0" applyFont="1" applyFill="1" applyBorder="1" applyAlignment="1">
      <alignment horizontal="left" vertical="center"/>
    </xf>
    <xf numFmtId="0" fontId="9" fillId="22" borderId="11" xfId="0" applyFont="1" applyFill="1" applyBorder="1" applyAlignment="1">
      <alignment horizontal="left" vertical="center"/>
    </xf>
    <xf numFmtId="0" fontId="9" fillId="22" borderId="1" xfId="0" applyFont="1" applyFill="1" applyBorder="1" applyAlignment="1">
      <alignment horizontal="left" vertical="center"/>
    </xf>
    <xf numFmtId="0" fontId="9" fillId="22" borderId="0" xfId="0" applyFont="1" applyFill="1" applyBorder="1" applyAlignment="1">
      <alignment horizontal="left" vertical="center"/>
    </xf>
    <xf numFmtId="0" fontId="9" fillId="22" borderId="12" xfId="0" applyFont="1" applyFill="1" applyBorder="1" applyAlignment="1">
      <alignment horizontal="left" vertical="center"/>
    </xf>
    <xf numFmtId="0" fontId="8" fillId="22" borderId="1" xfId="0" applyFont="1" applyFill="1" applyBorder="1" applyAlignment="1">
      <alignment horizontal="left" vertical="center"/>
    </xf>
    <xf numFmtId="0" fontId="8" fillId="22" borderId="0" xfId="0" applyFont="1" applyFill="1" applyBorder="1" applyAlignment="1">
      <alignment horizontal="left" vertical="center"/>
    </xf>
    <xf numFmtId="0" fontId="8" fillId="22" borderId="12" xfId="0" applyFont="1" applyFill="1" applyBorder="1" applyAlignment="1">
      <alignment horizontal="left" vertical="center"/>
    </xf>
    <xf numFmtId="0" fontId="8" fillId="22" borderId="7" xfId="0" applyFont="1" applyFill="1" applyBorder="1" applyAlignment="1">
      <alignment horizontal="left" vertical="center"/>
    </xf>
    <xf numFmtId="0" fontId="8" fillId="22" borderId="14" xfId="0" applyFont="1" applyFill="1" applyBorder="1" applyAlignment="1">
      <alignment horizontal="left" vertical="center"/>
    </xf>
    <xf numFmtId="0" fontId="8" fillId="22" borderId="15" xfId="0" applyFont="1" applyFill="1" applyBorder="1" applyAlignment="1">
      <alignment horizontal="left" vertical="center"/>
    </xf>
    <xf numFmtId="0" fontId="58" fillId="0" borderId="1" xfId="0" applyFont="1" applyBorder="1" applyAlignment="1">
      <alignment horizontal="left" vertical="center" wrapText="1"/>
    </xf>
    <xf numFmtId="0" fontId="58" fillId="0" borderId="0" xfId="0" applyFont="1" applyBorder="1" applyAlignment="1">
      <alignment horizontal="left" vertical="center" wrapText="1"/>
    </xf>
    <xf numFmtId="0" fontId="8" fillId="5" borderId="3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47" fillId="12" borderId="13" xfId="0" applyFont="1" applyFill="1" applyBorder="1" applyAlignment="1">
      <alignment horizontal="center" vertical="center"/>
    </xf>
    <xf numFmtId="0" fontId="9" fillId="0" borderId="37"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5" xfId="0" applyFont="1" applyFill="1" applyBorder="1" applyAlignment="1">
      <alignment horizontal="left" vertical="center" wrapText="1"/>
    </xf>
    <xf numFmtId="3" fontId="9" fillId="0" borderId="25" xfId="2" applyFont="1" applyFill="1" applyBorder="1" applyAlignment="1">
      <alignment horizontal="center" vertical="center" wrapText="1"/>
    </xf>
    <xf numFmtId="3" fontId="9" fillId="0" borderId="13" xfId="2" applyFont="1" applyFill="1" applyBorder="1" applyAlignment="1">
      <alignment horizontal="center" vertical="center" wrapText="1"/>
    </xf>
    <xf numFmtId="3" fontId="9" fillId="0" borderId="4" xfId="2" applyFont="1" applyFill="1" applyBorder="1" applyAlignment="1">
      <alignment horizontal="center" vertical="center" wrapText="1"/>
    </xf>
    <xf numFmtId="3" fontId="39" fillId="12" borderId="25" xfId="2" applyFont="1" applyFill="1" applyBorder="1" applyAlignment="1">
      <alignment horizontal="center" vertical="center"/>
    </xf>
    <xf numFmtId="3" fontId="39" fillId="12" borderId="13" xfId="2" applyFont="1" applyFill="1" applyBorder="1" applyAlignment="1">
      <alignment horizontal="center" vertical="center"/>
    </xf>
    <xf numFmtId="0" fontId="8" fillId="3" borderId="3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39" fillId="9" borderId="25" xfId="0" applyFont="1" applyFill="1" applyBorder="1" applyAlignment="1">
      <alignment horizontal="center" vertical="center"/>
    </xf>
    <xf numFmtId="0" fontId="39" fillId="9" borderId="13" xfId="0" applyFont="1" applyFill="1" applyBorder="1" applyAlignment="1">
      <alignment horizontal="center" vertical="center"/>
    </xf>
    <xf numFmtId="0" fontId="39" fillId="9" borderId="4" xfId="0" applyFont="1" applyFill="1" applyBorder="1" applyAlignment="1">
      <alignment horizontal="center" vertical="center"/>
    </xf>
    <xf numFmtId="0" fontId="56" fillId="78" borderId="36" xfId="0" applyFont="1" applyFill="1" applyBorder="1" applyAlignment="1">
      <alignment horizontal="center" vertical="center"/>
    </xf>
    <xf numFmtId="0" fontId="56" fillId="78" borderId="6" xfId="0" applyFont="1" applyFill="1" applyBorder="1" applyAlignment="1">
      <alignment horizontal="center" vertical="center"/>
    </xf>
    <xf numFmtId="0" fontId="56" fillId="78" borderId="8" xfId="0" applyFont="1" applyFill="1" applyBorder="1" applyAlignment="1">
      <alignment horizontal="center" vertical="center"/>
    </xf>
    <xf numFmtId="0" fontId="56" fillId="79" borderId="25" xfId="0" applyFont="1" applyFill="1" applyBorder="1" applyAlignment="1">
      <alignment horizontal="center" vertical="center"/>
    </xf>
    <xf numFmtId="0" fontId="56" fillId="79" borderId="4" xfId="0" applyFont="1" applyFill="1" applyBorder="1" applyAlignment="1">
      <alignment horizontal="center" vertical="center"/>
    </xf>
    <xf numFmtId="0" fontId="56" fillId="30" borderId="36" xfId="0" applyFont="1" applyFill="1" applyBorder="1" applyAlignment="1">
      <alignment horizontal="center" vertical="center" wrapText="1"/>
    </xf>
    <xf numFmtId="0" fontId="56" fillId="30" borderId="6" xfId="0" applyFont="1" applyFill="1" applyBorder="1" applyAlignment="1">
      <alignment horizontal="center" vertical="center" wrapText="1"/>
    </xf>
    <xf numFmtId="0" fontId="56" fillId="30" borderId="8" xfId="0" applyFont="1" applyFill="1" applyBorder="1" applyAlignment="1">
      <alignment horizontal="center" vertical="center" wrapText="1"/>
    </xf>
    <xf numFmtId="3" fontId="56" fillId="33" borderId="25" xfId="0" applyNumberFormat="1" applyFont="1" applyFill="1" applyBorder="1" applyAlignment="1">
      <alignment horizontal="center" vertical="center"/>
    </xf>
    <xf numFmtId="3" fontId="56" fillId="33" borderId="4" xfId="0" applyNumberFormat="1" applyFont="1" applyFill="1" applyBorder="1" applyAlignment="1">
      <alignment horizontal="center" vertical="center"/>
    </xf>
    <xf numFmtId="3" fontId="9" fillId="31" borderId="25" xfId="0" applyNumberFormat="1" applyFont="1" applyFill="1" applyBorder="1" applyAlignment="1">
      <alignment horizontal="center" vertical="center" wrapText="1"/>
    </xf>
    <xf numFmtId="3" fontId="9" fillId="31" borderId="13" xfId="0" applyNumberFormat="1" applyFont="1" applyFill="1" applyBorder="1" applyAlignment="1">
      <alignment horizontal="center" vertical="center" wrapText="1"/>
    </xf>
    <xf numFmtId="3" fontId="9" fillId="31" borderId="4" xfId="0" applyNumberFormat="1" applyFont="1" applyFill="1" applyBorder="1" applyAlignment="1">
      <alignment horizontal="center" vertical="center" wrapText="1"/>
    </xf>
    <xf numFmtId="0" fontId="8" fillId="0" borderId="25" xfId="0" applyFont="1" applyBorder="1" applyAlignment="1">
      <alignment horizontal="center"/>
    </xf>
    <xf numFmtId="0" fontId="8" fillId="0" borderId="13" xfId="0" applyFont="1" applyBorder="1" applyAlignment="1">
      <alignment horizontal="center"/>
    </xf>
    <xf numFmtId="0" fontId="8" fillId="0" borderId="4" xfId="0" applyFont="1" applyBorder="1" applyAlignment="1">
      <alignment horizontal="center"/>
    </xf>
    <xf numFmtId="0" fontId="21" fillId="0" borderId="25" xfId="0" applyFont="1" applyFill="1" applyBorder="1" applyAlignment="1">
      <alignment horizontal="left" vertical="center"/>
    </xf>
    <xf numFmtId="0" fontId="21" fillId="0" borderId="4" xfId="0" applyFont="1" applyFill="1" applyBorder="1" applyAlignment="1">
      <alignment horizontal="left" vertical="center"/>
    </xf>
    <xf numFmtId="0" fontId="8" fillId="0" borderId="25"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4" xfId="0" applyFont="1" applyFill="1" applyBorder="1" applyAlignment="1">
      <alignment horizontal="center" vertical="center"/>
    </xf>
    <xf numFmtId="0" fontId="21" fillId="0" borderId="25"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4" xfId="0" applyFont="1" applyFill="1" applyBorder="1" applyAlignment="1">
      <alignment horizontal="center" vertical="center"/>
    </xf>
    <xf numFmtId="0" fontId="8" fillId="15" borderId="25" xfId="0" applyFont="1" applyFill="1" applyBorder="1" applyAlignment="1">
      <alignment horizontal="center" vertical="center"/>
    </xf>
    <xf numFmtId="0" fontId="8" fillId="15" borderId="13" xfId="0" applyFont="1" applyFill="1" applyBorder="1" applyAlignment="1">
      <alignment horizontal="center" vertical="center"/>
    </xf>
    <xf numFmtId="0" fontId="8" fillId="15" borderId="4" xfId="0" applyFont="1" applyFill="1" applyBorder="1" applyAlignment="1">
      <alignment horizontal="center" vertical="center"/>
    </xf>
    <xf numFmtId="3" fontId="62" fillId="26" borderId="25" xfId="0" applyNumberFormat="1" applyFont="1" applyFill="1" applyBorder="1" applyAlignment="1">
      <alignment horizontal="center" vertical="center"/>
    </xf>
    <xf numFmtId="3" fontId="62" fillId="26" borderId="13" xfId="0" applyNumberFormat="1" applyFont="1" applyFill="1" applyBorder="1" applyAlignment="1">
      <alignment horizontal="center" vertical="center"/>
    </xf>
    <xf numFmtId="3" fontId="62" fillId="26" borderId="4" xfId="0" applyNumberFormat="1" applyFont="1" applyFill="1" applyBorder="1" applyAlignment="1">
      <alignment horizontal="center" vertical="center"/>
    </xf>
    <xf numFmtId="0" fontId="21" fillId="0" borderId="13" xfId="0" applyFont="1" applyFill="1" applyBorder="1" applyAlignment="1">
      <alignment horizontal="left" vertical="center"/>
    </xf>
    <xf numFmtId="9" fontId="62" fillId="26" borderId="25" xfId="3" applyFont="1" applyFill="1" applyBorder="1" applyAlignment="1">
      <alignment horizontal="center" vertical="center"/>
    </xf>
    <xf numFmtId="9" fontId="62" fillId="26" borderId="13" xfId="3" applyFont="1" applyFill="1" applyBorder="1" applyAlignment="1">
      <alignment horizontal="center" vertical="center"/>
    </xf>
    <xf numFmtId="9" fontId="62" fillId="26" borderId="4" xfId="3" applyFont="1" applyFill="1" applyBorder="1" applyAlignment="1">
      <alignment horizontal="center" vertical="center"/>
    </xf>
    <xf numFmtId="0" fontId="21" fillId="0" borderId="37"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5" xfId="0" applyFont="1" applyFill="1" applyBorder="1" applyAlignment="1">
      <alignment horizontal="center" vertical="center"/>
    </xf>
    <xf numFmtId="0" fontId="8" fillId="0" borderId="25"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92" fillId="26" borderId="25" xfId="0" applyFont="1" applyFill="1" applyBorder="1" applyAlignment="1">
      <alignment horizontal="center" vertical="center" wrapText="1"/>
    </xf>
    <xf numFmtId="0" fontId="92" fillId="26" borderId="4" xfId="0" applyFont="1" applyFill="1" applyBorder="1" applyAlignment="1">
      <alignment horizontal="center" vertical="center" wrapText="1"/>
    </xf>
    <xf numFmtId="0" fontId="0" fillId="0" borderId="37"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0" xfId="0" applyFill="1" applyBorder="1" applyAlignment="1">
      <alignment horizontal="left" vertical="center" wrapText="1"/>
    </xf>
    <xf numFmtId="0" fontId="0" fillId="0" borderId="12" xfId="0" applyFill="1" applyBorder="1" applyAlignment="1">
      <alignment horizontal="left" vertical="center" wrapText="1"/>
    </xf>
    <xf numFmtId="0" fontId="0" fillId="0" borderId="7" xfId="0"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0" fontId="92" fillId="26" borderId="25" xfId="0" applyFont="1" applyFill="1" applyBorder="1" applyAlignment="1">
      <alignment horizontal="left" vertical="center" wrapText="1"/>
    </xf>
    <xf numFmtId="0" fontId="92" fillId="26" borderId="13" xfId="0" applyFont="1" applyFill="1" applyBorder="1" applyAlignment="1">
      <alignment horizontal="left" vertical="center" wrapText="1"/>
    </xf>
    <xf numFmtId="0" fontId="92" fillId="26" borderId="4" xfId="0" applyFont="1" applyFill="1" applyBorder="1" applyAlignment="1">
      <alignment horizontal="left" vertical="center" wrapText="1"/>
    </xf>
    <xf numFmtId="0" fontId="21" fillId="0" borderId="25" xfId="0" applyFont="1" applyBorder="1" applyAlignment="1">
      <alignment horizontal="center" vertical="center"/>
    </xf>
    <xf numFmtId="0" fontId="21" fillId="0" borderId="13" xfId="0" applyFont="1" applyBorder="1" applyAlignment="1">
      <alignment horizontal="center" vertical="center"/>
    </xf>
    <xf numFmtId="0" fontId="21" fillId="0" borderId="4" xfId="0" applyFont="1" applyBorder="1" applyAlignment="1">
      <alignment horizontal="center" vertical="center"/>
    </xf>
    <xf numFmtId="0" fontId="0" fillId="0" borderId="36" xfId="0" applyFill="1" applyBorder="1" applyAlignment="1">
      <alignment horizontal="center" vertical="center" wrapText="1"/>
    </xf>
    <xf numFmtId="0" fontId="0" fillId="0" borderId="8" xfId="0" applyFill="1" applyBorder="1" applyAlignment="1">
      <alignment horizontal="center" vertical="center" wrapText="1"/>
    </xf>
    <xf numFmtId="0" fontId="8" fillId="0" borderId="37"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Border="1" applyAlignment="1">
      <alignment horizontal="left" vertical="center" wrapText="1"/>
    </xf>
    <xf numFmtId="0" fontId="8" fillId="0" borderId="12" xfId="0" applyFont="1" applyBorder="1" applyAlignment="1">
      <alignment horizontal="left" vertical="center" wrapText="1"/>
    </xf>
    <xf numFmtId="0" fontId="8" fillId="0" borderId="7" xfId="0"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92" fillId="26" borderId="37" xfId="0" applyFont="1" applyFill="1" applyBorder="1" applyAlignment="1">
      <alignment horizontal="left" vertical="center" wrapText="1"/>
    </xf>
    <xf numFmtId="0" fontId="92" fillId="26" borderId="10" xfId="0" applyFont="1" applyFill="1" applyBorder="1" applyAlignment="1">
      <alignment horizontal="left" vertical="center" wrapText="1"/>
    </xf>
    <xf numFmtId="0" fontId="92" fillId="26" borderId="11" xfId="0" applyFont="1" applyFill="1" applyBorder="1" applyAlignment="1">
      <alignment horizontal="left" vertical="center" wrapText="1"/>
    </xf>
    <xf numFmtId="0" fontId="92" fillId="26" borderId="7" xfId="0" applyFont="1" applyFill="1" applyBorder="1" applyAlignment="1">
      <alignment horizontal="left" vertical="center" wrapText="1"/>
    </xf>
    <xf numFmtId="0" fontId="92" fillId="26" borderId="14" xfId="0" applyFont="1" applyFill="1" applyBorder="1" applyAlignment="1">
      <alignment horizontal="left" vertical="center" wrapText="1"/>
    </xf>
    <xf numFmtId="0" fontId="92" fillId="26" borderId="15" xfId="0" applyFont="1" applyFill="1" applyBorder="1" applyAlignment="1">
      <alignment horizontal="left" vertical="center" wrapText="1"/>
    </xf>
    <xf numFmtId="0" fontId="92" fillId="0" borderId="25" xfId="0" applyFont="1" applyFill="1" applyBorder="1" applyAlignment="1">
      <alignment horizontal="left" vertical="center" wrapText="1"/>
    </xf>
    <xf numFmtId="0" fontId="92" fillId="0" borderId="13" xfId="0" applyFont="1" applyFill="1" applyBorder="1" applyAlignment="1">
      <alignment horizontal="left" vertical="center" wrapText="1"/>
    </xf>
    <xf numFmtId="0" fontId="92" fillId="0" borderId="4" xfId="0" applyFont="1" applyFill="1" applyBorder="1" applyAlignment="1">
      <alignment horizontal="left" vertical="center" wrapText="1"/>
    </xf>
    <xf numFmtId="0" fontId="56" fillId="15" borderId="25" xfId="0" applyFont="1" applyFill="1" applyBorder="1" applyAlignment="1">
      <alignment horizontal="center" vertical="center"/>
    </xf>
    <xf numFmtId="0" fontId="56" fillId="15" borderId="13" xfId="0" applyFont="1" applyFill="1" applyBorder="1" applyAlignment="1">
      <alignment horizontal="center" vertical="center"/>
    </xf>
    <xf numFmtId="0" fontId="56" fillId="15" borderId="4" xfId="0" applyFont="1" applyFill="1" applyBorder="1" applyAlignment="1">
      <alignment horizontal="center" vertical="center"/>
    </xf>
    <xf numFmtId="0" fontId="62" fillId="26" borderId="25" xfId="0" applyFont="1" applyFill="1" applyBorder="1" applyAlignment="1">
      <alignment horizontal="center" vertical="center"/>
    </xf>
    <xf numFmtId="0" fontId="62" fillId="26" borderId="13" xfId="0" applyFont="1" applyFill="1" applyBorder="1" applyAlignment="1">
      <alignment horizontal="center" vertical="center"/>
    </xf>
    <xf numFmtId="0" fontId="62" fillId="26" borderId="4" xfId="0" applyFont="1" applyFill="1" applyBorder="1" applyAlignment="1">
      <alignment horizontal="center" vertical="center"/>
    </xf>
    <xf numFmtId="0" fontId="92" fillId="26" borderId="36" xfId="0" applyFont="1" applyFill="1" applyBorder="1" applyAlignment="1">
      <alignment horizontal="left" vertical="center" wrapText="1"/>
    </xf>
    <xf numFmtId="0" fontId="92" fillId="26" borderId="8" xfId="0" applyFont="1" applyFill="1" applyBorder="1" applyAlignment="1">
      <alignment horizontal="left" vertical="center" wrapText="1"/>
    </xf>
    <xf numFmtId="0" fontId="92" fillId="26" borderId="36" xfId="0" applyFont="1" applyFill="1" applyBorder="1" applyAlignment="1">
      <alignment vertical="center" wrapText="1"/>
    </xf>
    <xf numFmtId="0" fontId="92" fillId="26" borderId="8" xfId="0" applyFont="1" applyFill="1" applyBorder="1" applyAlignment="1">
      <alignment vertical="center" wrapText="1"/>
    </xf>
    <xf numFmtId="0" fontId="8" fillId="0" borderId="36" xfId="0" applyFont="1" applyFill="1" applyBorder="1" applyAlignment="1">
      <alignment horizontal="center" vertical="center"/>
    </xf>
    <xf numFmtId="0" fontId="8" fillId="0" borderId="8" xfId="0" applyFont="1" applyFill="1" applyBorder="1" applyAlignment="1">
      <alignment horizontal="center" vertical="center"/>
    </xf>
    <xf numFmtId="0" fontId="62" fillId="26" borderId="36" xfId="0" applyFont="1" applyFill="1" applyBorder="1" applyAlignment="1">
      <alignment horizontal="center" vertical="center" wrapText="1"/>
    </xf>
    <xf numFmtId="0" fontId="62" fillId="26" borderId="8" xfId="0" applyFont="1" applyFill="1" applyBorder="1" applyAlignment="1">
      <alignment horizontal="center" vertical="center" wrapText="1"/>
    </xf>
    <xf numFmtId="0" fontId="21" fillId="7" borderId="36" xfId="0" applyFont="1" applyFill="1" applyBorder="1" applyAlignment="1">
      <alignment horizontal="center" vertical="center" wrapText="1"/>
    </xf>
    <xf numFmtId="0" fontId="21" fillId="7" borderId="8" xfId="0" applyFont="1" applyFill="1" applyBorder="1" applyAlignment="1">
      <alignment horizontal="center" vertical="center" wrapText="1"/>
    </xf>
    <xf numFmtId="0" fontId="8" fillId="7" borderId="36" xfId="0" applyFont="1" applyFill="1" applyBorder="1" applyAlignment="1">
      <alignment horizontal="center" vertical="center"/>
    </xf>
    <xf numFmtId="0" fontId="8" fillId="7" borderId="8"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10" xfId="0" applyFont="1" applyFill="1" applyBorder="1" applyAlignment="1">
      <alignment horizontal="left" vertical="center"/>
    </xf>
    <xf numFmtId="0" fontId="8" fillId="0" borderId="11" xfId="0" applyFont="1" applyFill="1" applyBorder="1" applyAlignment="1">
      <alignment horizontal="left" vertical="center"/>
    </xf>
    <xf numFmtId="0" fontId="8" fillId="0" borderId="7" xfId="0" applyFont="1" applyFill="1" applyBorder="1" applyAlignment="1">
      <alignment horizontal="left" vertical="center"/>
    </xf>
    <xf numFmtId="0" fontId="8" fillId="0" borderId="14" xfId="0" applyFont="1" applyFill="1" applyBorder="1" applyAlignment="1">
      <alignment horizontal="left" vertical="center"/>
    </xf>
    <xf numFmtId="0" fontId="8" fillId="0" borderId="15" xfId="0" applyFont="1" applyFill="1" applyBorder="1" applyAlignment="1">
      <alignment horizontal="left" vertical="center"/>
    </xf>
    <xf numFmtId="0" fontId="0" fillId="0" borderId="6" xfId="0" applyFill="1" applyBorder="1" applyAlignment="1">
      <alignment horizontal="center" vertical="center" wrapText="1"/>
    </xf>
    <xf numFmtId="0" fontId="0" fillId="0" borderId="36" xfId="0" applyFill="1" applyBorder="1" applyAlignment="1">
      <alignment vertical="center" wrapText="1"/>
    </xf>
    <xf numFmtId="0" fontId="0" fillId="0" borderId="6" xfId="0" applyFill="1" applyBorder="1" applyAlignment="1">
      <alignment vertical="center" wrapText="1"/>
    </xf>
    <xf numFmtId="0" fontId="0" fillId="0" borderId="8" xfId="0" applyFill="1" applyBorder="1" applyAlignment="1">
      <alignment vertical="center" wrapText="1"/>
    </xf>
    <xf numFmtId="0" fontId="8" fillId="0" borderId="37"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21" fillId="0" borderId="37"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0" fillId="7" borderId="36"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7" borderId="8" xfId="0" applyFont="1" applyFill="1" applyBorder="1" applyAlignment="1">
      <alignment horizontal="center" vertical="center" wrapText="1"/>
    </xf>
    <xf numFmtId="0" fontId="21" fillId="0" borderId="37"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7"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0" fillId="0" borderId="1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92" fillId="26" borderId="6" xfId="0" applyFont="1" applyFill="1" applyBorder="1" applyAlignment="1">
      <alignment horizontal="left" vertical="center" wrapText="1"/>
    </xf>
    <xf numFmtId="0" fontId="8" fillId="0" borderId="37"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62" fillId="26" borderId="37" xfId="0" applyFont="1" applyFill="1" applyBorder="1" applyAlignment="1">
      <alignment horizontal="center" vertical="center" wrapText="1"/>
    </xf>
    <xf numFmtId="0" fontId="62" fillId="26" borderId="10" xfId="0" applyFont="1" applyFill="1" applyBorder="1" applyAlignment="1">
      <alignment horizontal="center" vertical="center" wrapText="1"/>
    </xf>
    <xf numFmtId="0" fontId="62" fillId="26" borderId="11" xfId="0" applyFont="1" applyFill="1" applyBorder="1" applyAlignment="1">
      <alignment horizontal="center" vertical="center" wrapText="1"/>
    </xf>
    <xf numFmtId="0" fontId="62" fillId="26" borderId="7" xfId="0" applyFont="1" applyFill="1" applyBorder="1" applyAlignment="1">
      <alignment horizontal="center" vertical="center" wrapText="1"/>
    </xf>
    <xf numFmtId="0" fontId="62" fillId="26" borderId="14" xfId="0" applyFont="1" applyFill="1" applyBorder="1" applyAlignment="1">
      <alignment horizontal="center" vertical="center" wrapText="1"/>
    </xf>
    <xf numFmtId="0" fontId="62" fillId="26" borderId="15"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39" fillId="14" borderId="25" xfId="0" applyFont="1" applyFill="1" applyBorder="1" applyAlignment="1">
      <alignment horizontal="center" vertical="center"/>
    </xf>
    <xf numFmtId="0" fontId="39" fillId="14" borderId="13" xfId="0" applyFont="1" applyFill="1" applyBorder="1" applyAlignment="1">
      <alignment horizontal="center" vertical="center"/>
    </xf>
    <xf numFmtId="0" fontId="39" fillId="14" borderId="4" xfId="0" applyFont="1" applyFill="1" applyBorder="1" applyAlignment="1">
      <alignment horizontal="center" vertical="center"/>
    </xf>
    <xf numFmtId="0" fontId="0" fillId="0" borderId="37" xfId="0" applyFill="1" applyBorder="1" applyAlignment="1">
      <alignment horizontal="center" vertical="center"/>
    </xf>
    <xf numFmtId="0" fontId="0" fillId="0" borderId="10" xfId="0" applyFill="1" applyBorder="1" applyAlignment="1">
      <alignment horizontal="center" vertical="center"/>
    </xf>
    <xf numFmtId="0" fontId="0" fillId="0" borderId="7" xfId="0" applyFill="1" applyBorder="1" applyAlignment="1">
      <alignment horizontal="center" vertical="center"/>
    </xf>
    <xf numFmtId="0" fontId="0" fillId="0" borderId="14" xfId="0" applyFill="1" applyBorder="1" applyAlignment="1">
      <alignment horizontal="center" vertical="center"/>
    </xf>
    <xf numFmtId="10" fontId="0" fillId="0" borderId="10" xfId="0" applyNumberFormat="1" applyFill="1" applyBorder="1" applyAlignment="1">
      <alignment horizontal="center" vertical="center"/>
    </xf>
    <xf numFmtId="10" fontId="0" fillId="0" borderId="11" xfId="0" applyNumberFormat="1" applyFill="1" applyBorder="1" applyAlignment="1">
      <alignment horizontal="center" vertical="center"/>
    </xf>
    <xf numFmtId="10" fontId="0" fillId="0" borderId="14" xfId="0" applyNumberFormat="1" applyFill="1" applyBorder="1" applyAlignment="1">
      <alignment horizontal="center" vertical="center"/>
    </xf>
    <xf numFmtId="10" fontId="0" fillId="0" borderId="15" xfId="0" applyNumberFormat="1" applyFill="1" applyBorder="1" applyAlignment="1">
      <alignment horizontal="center" vertical="center"/>
    </xf>
    <xf numFmtId="0" fontId="0" fillId="90" borderId="0" xfId="0" applyFill="1" applyAlignment="1">
      <alignment horizontal="center"/>
    </xf>
    <xf numFmtId="0" fontId="82" fillId="23" borderId="0" xfId="0" applyFont="1"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11" fillId="0" borderId="37"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 xfId="0" applyFont="1" applyBorder="1" applyAlignment="1">
      <alignment horizontal="left" vertical="center" wrapText="1"/>
    </xf>
    <xf numFmtId="0" fontId="11" fillId="0" borderId="0" xfId="0" applyFont="1" applyBorder="1" applyAlignment="1">
      <alignment horizontal="left" vertical="center" wrapText="1"/>
    </xf>
    <xf numFmtId="0" fontId="11" fillId="0" borderId="12" xfId="0" applyFont="1" applyBorder="1" applyAlignment="1">
      <alignment horizontal="left" vertical="center" wrapText="1"/>
    </xf>
    <xf numFmtId="0" fontId="11" fillId="0" borderId="7"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39" fillId="12" borderId="25" xfId="24" applyFont="1" applyFill="1" applyBorder="1" applyAlignment="1">
      <alignment horizontal="center" vertical="center"/>
    </xf>
    <xf numFmtId="0" fontId="39" fillId="12" borderId="13" xfId="24" applyFont="1" applyFill="1" applyBorder="1" applyAlignment="1">
      <alignment horizontal="center" vertical="center"/>
    </xf>
    <xf numFmtId="0" fontId="39" fillId="12" borderId="4" xfId="24" applyFont="1" applyFill="1" applyBorder="1" applyAlignment="1">
      <alignment horizontal="center" vertical="center"/>
    </xf>
    <xf numFmtId="0" fontId="39" fillId="13" borderId="25" xfId="24" applyFont="1" applyFill="1" applyBorder="1" applyAlignment="1">
      <alignment horizontal="center" vertical="center"/>
    </xf>
    <xf numFmtId="0" fontId="39" fillId="13" borderId="13" xfId="24" applyFont="1" applyFill="1" applyBorder="1" applyAlignment="1">
      <alignment horizontal="center" vertical="center"/>
    </xf>
    <xf numFmtId="0" fontId="39" fillId="13" borderId="4" xfId="24" applyFont="1" applyFill="1" applyBorder="1" applyAlignment="1">
      <alignment horizontal="center" vertical="center"/>
    </xf>
    <xf numFmtId="0" fontId="9" fillId="15" borderId="25" xfId="0" applyFont="1" applyFill="1" applyBorder="1" applyAlignment="1">
      <alignment horizontal="center" vertical="center" wrapText="1"/>
    </xf>
    <xf numFmtId="0" fontId="9" fillId="15" borderId="4" xfId="0" applyFont="1" applyFill="1" applyBorder="1" applyAlignment="1">
      <alignment horizontal="center" vertical="center" wrapText="1"/>
    </xf>
    <xf numFmtId="0" fontId="9" fillId="15" borderId="7" xfId="0" applyFont="1" applyFill="1" applyBorder="1" applyAlignment="1">
      <alignment horizontal="center" vertical="center" wrapText="1"/>
    </xf>
    <xf numFmtId="0" fontId="9" fillId="15" borderId="14" xfId="0" applyFont="1" applyFill="1" applyBorder="1" applyAlignment="1">
      <alignment horizontal="center" vertical="center" wrapText="1"/>
    </xf>
    <xf numFmtId="0" fontId="8" fillId="29" borderId="25" xfId="0" applyFont="1" applyFill="1" applyBorder="1" applyAlignment="1">
      <alignment horizontal="center" vertical="center" wrapText="1"/>
    </xf>
    <xf numFmtId="0" fontId="8" fillId="29" borderId="4" xfId="0" applyFont="1" applyFill="1" applyBorder="1" applyAlignment="1">
      <alignment horizontal="center" vertical="center" wrapText="1"/>
    </xf>
    <xf numFmtId="0" fontId="79" fillId="29" borderId="25" xfId="1" applyFont="1" applyFill="1" applyBorder="1" applyAlignment="1" applyProtection="1">
      <alignment horizontal="center" vertical="center" wrapText="1"/>
    </xf>
    <xf numFmtId="0" fontId="79" fillId="29" borderId="13" xfId="1" applyFont="1" applyFill="1" applyBorder="1" applyAlignment="1" applyProtection="1">
      <alignment horizontal="center" vertical="center" wrapText="1"/>
    </xf>
    <xf numFmtId="0" fontId="79" fillId="29" borderId="4" xfId="1" applyFont="1" applyFill="1" applyBorder="1" applyAlignment="1" applyProtection="1">
      <alignment horizontal="center" vertical="center" wrapText="1"/>
    </xf>
    <xf numFmtId="0" fontId="8" fillId="29" borderId="37" xfId="0" applyFont="1" applyFill="1" applyBorder="1" applyAlignment="1">
      <alignment horizontal="center" vertical="center" wrapText="1"/>
    </xf>
    <xf numFmtId="0" fontId="8" fillId="29" borderId="11" xfId="0" applyFont="1" applyFill="1" applyBorder="1" applyAlignment="1">
      <alignment horizontal="center" vertical="center" wrapText="1"/>
    </xf>
    <xf numFmtId="0" fontId="8" fillId="29" borderId="7" xfId="0" applyFont="1" applyFill="1" applyBorder="1" applyAlignment="1">
      <alignment horizontal="center" vertical="center" wrapText="1"/>
    </xf>
    <xf numFmtId="0" fontId="8" fillId="29" borderId="15" xfId="0" applyFont="1" applyFill="1" applyBorder="1" applyAlignment="1">
      <alignment horizontal="center" vertical="center" wrapText="1"/>
    </xf>
    <xf numFmtId="0" fontId="6" fillId="29" borderId="37" xfId="1" applyFill="1" applyBorder="1" applyAlignment="1" applyProtection="1">
      <alignment horizontal="center" vertical="center" wrapText="1"/>
    </xf>
    <xf numFmtId="0" fontId="6" fillId="29" borderId="10" xfId="1" applyFill="1" applyBorder="1" applyAlignment="1" applyProtection="1">
      <alignment horizontal="center" vertical="center" wrapText="1"/>
    </xf>
    <xf numFmtId="0" fontId="6" fillId="29" borderId="11" xfId="1" applyFill="1" applyBorder="1" applyAlignment="1" applyProtection="1">
      <alignment horizontal="center" vertical="center" wrapText="1"/>
    </xf>
    <xf numFmtId="0" fontId="6" fillId="29" borderId="7" xfId="1" applyFill="1" applyBorder="1" applyAlignment="1" applyProtection="1">
      <alignment horizontal="center" vertical="center" wrapText="1"/>
    </xf>
    <xf numFmtId="0" fontId="6" fillId="29" borderId="14" xfId="1" applyFill="1" applyBorder="1" applyAlignment="1" applyProtection="1">
      <alignment horizontal="center" vertical="center" wrapText="1"/>
    </xf>
    <xf numFmtId="0" fontId="6" fillId="29" borderId="15" xfId="1" applyFill="1" applyBorder="1" applyAlignment="1" applyProtection="1">
      <alignment horizontal="center" vertical="center" wrapText="1"/>
    </xf>
    <xf numFmtId="0" fontId="8" fillId="24" borderId="13" xfId="0" applyFont="1" applyFill="1" applyBorder="1" applyAlignment="1">
      <alignment horizontal="center"/>
    </xf>
    <xf numFmtId="0" fontId="0" fillId="23" borderId="0" xfId="0" applyFill="1" applyBorder="1" applyAlignment="1">
      <alignment horizontal="center"/>
    </xf>
    <xf numFmtId="0" fontId="39" fillId="14" borderId="25" xfId="24" applyFont="1" applyFill="1" applyBorder="1" applyAlignment="1">
      <alignment horizontal="center" vertical="center"/>
    </xf>
    <xf numFmtId="0" fontId="39" fillId="14" borderId="13" xfId="24" applyFont="1" applyFill="1" applyBorder="1" applyAlignment="1">
      <alignment horizontal="center" vertical="center"/>
    </xf>
    <xf numFmtId="0" fontId="39" fillId="14" borderId="4" xfId="24" applyFont="1" applyFill="1" applyBorder="1" applyAlignment="1">
      <alignment horizontal="center" vertical="center"/>
    </xf>
    <xf numFmtId="0" fontId="0" fillId="23" borderId="0" xfId="0" applyFill="1" applyAlignment="1">
      <alignment horizontal="right" vertical="center"/>
    </xf>
    <xf numFmtId="0" fontId="0" fillId="23" borderId="0" xfId="0" applyFill="1" applyAlignment="1">
      <alignment horizontal="center" vertical="center"/>
    </xf>
    <xf numFmtId="0" fontId="0" fillId="23" borderId="0" xfId="0" applyFill="1" applyAlignment="1">
      <alignment horizontal="left" vertical="center"/>
    </xf>
    <xf numFmtId="0" fontId="0" fillId="16" borderId="25" xfId="0" applyFill="1" applyBorder="1" applyAlignment="1">
      <alignment horizontal="left"/>
    </xf>
    <xf numFmtId="0" fontId="0" fillId="16" borderId="13" xfId="0" applyFill="1" applyBorder="1" applyAlignment="1">
      <alignment horizontal="left"/>
    </xf>
    <xf numFmtId="0" fontId="0" fillId="16" borderId="4" xfId="0" applyFill="1" applyBorder="1" applyAlignment="1">
      <alignment horizontal="left"/>
    </xf>
    <xf numFmtId="0" fontId="89" fillId="16" borderId="36" xfId="0" applyFont="1" applyFill="1" applyBorder="1" applyAlignment="1">
      <alignment vertical="center" textRotation="90" wrapText="1"/>
    </xf>
    <xf numFmtId="0" fontId="89" fillId="16" borderId="6" xfId="0" applyFont="1" applyFill="1" applyBorder="1" applyAlignment="1">
      <alignment vertical="center" textRotation="90" wrapText="1"/>
    </xf>
    <xf numFmtId="0" fontId="89" fillId="16" borderId="8" xfId="0" applyFont="1" applyFill="1" applyBorder="1" applyAlignment="1">
      <alignment vertical="center" textRotation="90" wrapText="1"/>
    </xf>
    <xf numFmtId="0" fontId="8" fillId="0" borderId="1" xfId="0" applyFont="1" applyFill="1" applyBorder="1" applyAlignment="1">
      <alignment horizontal="center"/>
    </xf>
    <xf numFmtId="0" fontId="8" fillId="0" borderId="12" xfId="0" applyFont="1" applyFill="1" applyBorder="1" applyAlignment="1">
      <alignment horizontal="center"/>
    </xf>
    <xf numFmtId="0" fontId="19" fillId="0" borderId="1" xfId="0" applyFont="1" applyFill="1" applyBorder="1" applyAlignment="1">
      <alignment horizontal="center"/>
    </xf>
    <xf numFmtId="0" fontId="19" fillId="0" borderId="12" xfId="0" applyFont="1" applyFill="1" applyBorder="1" applyAlignment="1">
      <alignment horizontal="center"/>
    </xf>
    <xf numFmtId="0" fontId="8" fillId="24" borderId="1" xfId="0" applyFont="1" applyFill="1" applyBorder="1" applyAlignment="1">
      <alignment horizontal="center" wrapText="1"/>
    </xf>
    <xf numFmtId="0" fontId="8" fillId="24" borderId="12" xfId="0" applyFont="1" applyFill="1" applyBorder="1" applyAlignment="1">
      <alignment horizontal="center" wrapText="1"/>
    </xf>
    <xf numFmtId="0" fontId="9" fillId="24" borderId="25" xfId="0" applyFont="1" applyFill="1" applyBorder="1"/>
    <xf numFmtId="0" fontId="9" fillId="24" borderId="13" xfId="0" applyFont="1" applyFill="1" applyBorder="1"/>
    <xf numFmtId="0" fontId="9" fillId="24" borderId="4" xfId="0" applyFont="1" applyFill="1" applyBorder="1"/>
    <xf numFmtId="0" fontId="8" fillId="24" borderId="37" xfId="0" applyFont="1" applyFill="1" applyBorder="1" applyAlignment="1">
      <alignment horizontal="center" wrapText="1"/>
    </xf>
    <xf numFmtId="0" fontId="8" fillId="24" borderId="11" xfId="0" applyFont="1" applyFill="1" applyBorder="1" applyAlignment="1">
      <alignment horizontal="center" wrapText="1"/>
    </xf>
    <xf numFmtId="0" fontId="8" fillId="24" borderId="37" xfId="0" applyFont="1" applyFill="1" applyBorder="1" applyAlignment="1">
      <alignment horizontal="center"/>
    </xf>
    <xf numFmtId="0" fontId="8" fillId="24" borderId="11" xfId="0" applyFont="1" applyFill="1" applyBorder="1" applyAlignment="1">
      <alignment horizontal="center"/>
    </xf>
    <xf numFmtId="0" fontId="19" fillId="24" borderId="37" xfId="0" applyFont="1" applyFill="1" applyBorder="1" applyAlignment="1">
      <alignment horizontal="center"/>
    </xf>
    <xf numFmtId="0" fontId="19" fillId="24" borderId="11" xfId="0" applyFont="1" applyFill="1" applyBorder="1" applyAlignment="1">
      <alignment horizontal="center"/>
    </xf>
    <xf numFmtId="0" fontId="8" fillId="24" borderId="7" xfId="0" applyFont="1" applyFill="1" applyBorder="1" applyAlignment="1">
      <alignment horizontal="center" vertical="center" wrapText="1"/>
    </xf>
    <xf numFmtId="0" fontId="8" fillId="24" borderId="15" xfId="0" applyFont="1" applyFill="1" applyBorder="1" applyAlignment="1">
      <alignment horizontal="center" vertical="center" wrapText="1"/>
    </xf>
    <xf numFmtId="0" fontId="8" fillId="24" borderId="7" xfId="0" applyFont="1" applyFill="1" applyBorder="1" applyAlignment="1">
      <alignment horizontal="center"/>
    </xf>
    <xf numFmtId="0" fontId="8" fillId="24" borderId="15" xfId="0" applyFont="1" applyFill="1" applyBorder="1" applyAlignment="1">
      <alignment horizontal="center"/>
    </xf>
    <xf numFmtId="0" fontId="19" fillId="24" borderId="7" xfId="0" applyFont="1" applyFill="1" applyBorder="1" applyAlignment="1">
      <alignment horizontal="center"/>
    </xf>
    <xf numFmtId="0" fontId="19" fillId="24" borderId="15" xfId="0" applyFont="1" applyFill="1" applyBorder="1" applyAlignment="1">
      <alignment horizontal="center"/>
    </xf>
    <xf numFmtId="0" fontId="8" fillId="0" borderId="37" xfId="0" applyFont="1" applyFill="1" applyBorder="1" applyAlignment="1">
      <alignment horizontal="center"/>
    </xf>
    <xf numFmtId="0" fontId="8" fillId="0" borderId="11" xfId="0" applyFont="1" applyFill="1" applyBorder="1" applyAlignment="1">
      <alignment horizontal="center"/>
    </xf>
    <xf numFmtId="0" fontId="19" fillId="0" borderId="37" xfId="0" applyFont="1" applyFill="1" applyBorder="1" applyAlignment="1">
      <alignment horizontal="center"/>
    </xf>
    <xf numFmtId="0" fontId="19" fillId="0" borderId="11" xfId="0" applyFont="1" applyFill="1" applyBorder="1" applyAlignment="1">
      <alignment horizontal="center"/>
    </xf>
    <xf numFmtId="0" fontId="8" fillId="24" borderId="7" xfId="0" applyFont="1" applyFill="1" applyBorder="1" applyAlignment="1">
      <alignment horizontal="center" wrapText="1"/>
    </xf>
    <xf numFmtId="0" fontId="8" fillId="24" borderId="15" xfId="0" applyFont="1" applyFill="1" applyBorder="1" applyAlignment="1">
      <alignment horizontal="center" wrapText="1"/>
    </xf>
    <xf numFmtId="0" fontId="8" fillId="0" borderId="7" xfId="0" applyFont="1" applyFill="1" applyBorder="1" applyAlignment="1">
      <alignment horizontal="center"/>
    </xf>
    <xf numFmtId="0" fontId="8" fillId="0" borderId="15" xfId="0" applyFont="1" applyFill="1" applyBorder="1" applyAlignment="1">
      <alignment horizontal="center"/>
    </xf>
    <xf numFmtId="0" fontId="19" fillId="0" borderId="7" xfId="0" applyFont="1" applyFill="1" applyBorder="1" applyAlignment="1">
      <alignment horizontal="center"/>
    </xf>
    <xf numFmtId="0" fontId="19" fillId="0" borderId="15" xfId="0" applyFont="1" applyFill="1" applyBorder="1" applyAlignment="1">
      <alignment horizontal="center"/>
    </xf>
    <xf numFmtId="0" fontId="83" fillId="24" borderId="1" xfId="0" applyFont="1" applyFill="1" applyBorder="1" applyAlignment="1">
      <alignment horizontal="center"/>
    </xf>
    <xf numFmtId="0" fontId="83" fillId="24" borderId="12" xfId="0" applyFont="1" applyFill="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19" borderId="1" xfId="0" applyFill="1" applyBorder="1" applyAlignment="1">
      <alignment horizontal="center" vertical="top" wrapText="1"/>
    </xf>
    <xf numFmtId="0" fontId="0" fillId="19" borderId="0" xfId="0" applyFill="1" applyAlignment="1">
      <alignment horizontal="center" vertical="top" wrapText="1"/>
    </xf>
    <xf numFmtId="0" fontId="0" fillId="0" borderId="1" xfId="0" applyFont="1" applyFill="1" applyBorder="1" applyAlignment="1">
      <alignment horizontal="center"/>
    </xf>
    <xf numFmtId="0" fontId="0" fillId="0" borderId="0" xfId="0" applyFont="1" applyFill="1" applyBorder="1" applyAlignment="1">
      <alignment horizontal="center"/>
    </xf>
  </cellXfs>
  <cellStyles count="81">
    <cellStyle name="20 % - Accent1" xfId="43" builtinId="30" customBuiltin="1"/>
    <cellStyle name="20 % - Accent2" xfId="47" builtinId="34" customBuiltin="1"/>
    <cellStyle name="20 % - Accent3" xfId="51" builtinId="38" customBuiltin="1"/>
    <cellStyle name="20 % - Accent4" xfId="55" builtinId="42" customBuiltin="1"/>
    <cellStyle name="20 % - Accent5" xfId="59" builtinId="46" customBuiltin="1"/>
    <cellStyle name="20 % - Accent6" xfId="63" builtinId="50" customBuiltin="1"/>
    <cellStyle name="40 % - Accent1" xfId="44" builtinId="31" customBuiltin="1"/>
    <cellStyle name="40 % - Accent2" xfId="48" builtinId="35" customBuiltin="1"/>
    <cellStyle name="40 % - Accent3" xfId="52" builtinId="39" customBuiltin="1"/>
    <cellStyle name="40 % - Accent4" xfId="56" builtinId="43" customBuiltin="1"/>
    <cellStyle name="40 % - Accent5" xfId="60" builtinId="47" customBuiltin="1"/>
    <cellStyle name="40 % - Accent6" xfId="64" builtinId="51" customBuiltin="1"/>
    <cellStyle name="60 % - Accent1" xfId="45" builtinId="32" customBuiltin="1"/>
    <cellStyle name="60 % - Accent2" xfId="49" builtinId="36" customBuiltin="1"/>
    <cellStyle name="60 % - Accent3" xfId="53" builtinId="40" customBuiltin="1"/>
    <cellStyle name="60 % - Accent4" xfId="57" builtinId="44" customBuiltin="1"/>
    <cellStyle name="60 % - Accent5" xfId="61" builtinId="48" customBuiltin="1"/>
    <cellStyle name="60 % - Accent6" xfId="65" builtinId="52" customBuiltin="1"/>
    <cellStyle name="Accent1" xfId="42" builtinId="29" customBuiltin="1"/>
    <cellStyle name="Accent2" xfId="46" builtinId="33" customBuiltin="1"/>
    <cellStyle name="Accent3" xfId="50" builtinId="37" customBuiltin="1"/>
    <cellStyle name="Accent4" xfId="54" builtinId="41" customBuiltin="1"/>
    <cellStyle name="Accent5" xfId="58" builtinId="45" customBuiltin="1"/>
    <cellStyle name="Accent6" xfId="62" builtinId="49" customBuiltin="1"/>
    <cellStyle name="Avertissement" xfId="39" builtinId="11" customBuiltin="1"/>
    <cellStyle name="Bilan GES" xfId="7" xr:uid="{00000000-0005-0000-0000-000019000000}"/>
    <cellStyle name="Bilan GES 2" xfId="22" xr:uid="{00000000-0005-0000-0000-00001A000000}"/>
    <cellStyle name="Bilan GES 2 2" xfId="77" xr:uid="{00000000-0005-0000-0000-00001B000000}"/>
    <cellStyle name="Calcul" xfId="36" builtinId="22" customBuiltin="1"/>
    <cellStyle name="Cellule liée" xfId="37" builtinId="24" customBuiltin="1"/>
    <cellStyle name="Commentaire 2" xfId="68" xr:uid="{00000000-0005-0000-0000-00001E000000}"/>
    <cellStyle name="Entrée" xfId="34" builtinId="20" customBuiltin="1"/>
    <cellStyle name="Insatisfaisant" xfId="32" builtinId="27" customBuiltin="1"/>
    <cellStyle name="Lien hypertexte" xfId="1" builtinId="8"/>
    <cellStyle name="Milliers" xfId="2" builtinId="3"/>
    <cellStyle name="Milliers 2" xfId="13" xr:uid="{00000000-0005-0000-0000-000023000000}"/>
    <cellStyle name="Milliers 3" xfId="17" xr:uid="{00000000-0005-0000-0000-000024000000}"/>
    <cellStyle name="Milliers 4" xfId="69" xr:uid="{00000000-0005-0000-0000-000025000000}"/>
    <cellStyle name="Neutre" xfId="33" builtinId="28" customBuiltin="1"/>
    <cellStyle name="Normal" xfId="0" builtinId="0"/>
    <cellStyle name="Normal 2" xfId="10" xr:uid="{00000000-0005-0000-0000-000028000000}"/>
    <cellStyle name="Normal 3" xfId="12" xr:uid="{00000000-0005-0000-0000-000029000000}"/>
    <cellStyle name="Normal 4" xfId="11" xr:uid="{00000000-0005-0000-0000-00002A000000}"/>
    <cellStyle name="Normal 4 2" xfId="25" xr:uid="{00000000-0005-0000-0000-00002B000000}"/>
    <cellStyle name="Normal 4 2 2" xfId="80" xr:uid="{00000000-0005-0000-0000-00002C000000}"/>
    <cellStyle name="Normal 4 3" xfId="70" xr:uid="{00000000-0005-0000-0000-00002D000000}"/>
    <cellStyle name="Normal 5" xfId="16" xr:uid="{00000000-0005-0000-0000-00002E000000}"/>
    <cellStyle name="Normal 6" xfId="15" xr:uid="{00000000-0005-0000-0000-00002F000000}"/>
    <cellStyle name="Normal 6 2" xfId="73" xr:uid="{00000000-0005-0000-0000-000030000000}"/>
    <cellStyle name="Normal 7" xfId="71" xr:uid="{00000000-0005-0000-0000-000031000000}"/>
    <cellStyle name="Normal 8" xfId="66" xr:uid="{00000000-0005-0000-0000-000032000000}"/>
    <cellStyle name="Onglet" xfId="4" xr:uid="{00000000-0005-0000-0000-000033000000}"/>
    <cellStyle name="Onglet 2" xfId="19" xr:uid="{00000000-0005-0000-0000-000034000000}"/>
    <cellStyle name="Onglet 2 2" xfId="74" xr:uid="{00000000-0005-0000-0000-000035000000}"/>
    <cellStyle name="Poste" xfId="9" xr:uid="{00000000-0005-0000-0000-000036000000}"/>
    <cellStyle name="Poste 2" xfId="24" xr:uid="{00000000-0005-0000-0000-000037000000}"/>
    <cellStyle name="Poste 2 2" xfId="79" xr:uid="{00000000-0005-0000-0000-000038000000}"/>
    <cellStyle name="Poste Ce" xfId="8" xr:uid="{00000000-0005-0000-0000-000039000000}"/>
    <cellStyle name="Poste Ce 2" xfId="23" xr:uid="{00000000-0005-0000-0000-00003A000000}"/>
    <cellStyle name="Poste Ce 2 2" xfId="78" xr:uid="{00000000-0005-0000-0000-00003B000000}"/>
    <cellStyle name="Poste CO2e" xfId="5" xr:uid="{00000000-0005-0000-0000-00003C000000}"/>
    <cellStyle name="Poste CO2e 2" xfId="20" xr:uid="{00000000-0005-0000-0000-00003D000000}"/>
    <cellStyle name="Poste CO2e 2 2" xfId="75" xr:uid="{00000000-0005-0000-0000-00003E000000}"/>
    <cellStyle name="Pourcentage" xfId="3" builtinId="5"/>
    <cellStyle name="Pourcentage 2" xfId="14" xr:uid="{00000000-0005-0000-0000-000040000000}"/>
    <cellStyle name="Pourcentage 3" xfId="18" xr:uid="{00000000-0005-0000-0000-000041000000}"/>
    <cellStyle name="Pourcentage 4" xfId="72" xr:uid="{00000000-0005-0000-0000-000042000000}"/>
    <cellStyle name="Pourcentage 5" xfId="67" xr:uid="{00000000-0005-0000-0000-000043000000}"/>
    <cellStyle name="Satisfaisant" xfId="31" builtinId="26" customBuiltin="1"/>
    <cellStyle name="Sortie" xfId="35" builtinId="21" customBuiltin="1"/>
    <cellStyle name="Sous-poste" xfId="6" xr:uid="{00000000-0005-0000-0000-000046000000}"/>
    <cellStyle name="Sous-poste 2" xfId="21" xr:uid="{00000000-0005-0000-0000-000047000000}"/>
    <cellStyle name="Sous-poste 2 2" xfId="76" xr:uid="{00000000-0005-0000-0000-000048000000}"/>
    <cellStyle name="Texte explicatif" xfId="40" builtinId="53" customBuiltin="1"/>
    <cellStyle name="Titre" xfId="26" builtinId="15" customBuiltin="1"/>
    <cellStyle name="Titre 1" xfId="27" builtinId="16" customBuiltin="1"/>
    <cellStyle name="Titre 2" xfId="28" builtinId="17" customBuiltin="1"/>
    <cellStyle name="Titre 3" xfId="29" builtinId="18" customBuiltin="1"/>
    <cellStyle name="Titre 4" xfId="30" builtinId="19" customBuiltin="1"/>
    <cellStyle name="Total" xfId="41" builtinId="25" customBuiltin="1"/>
    <cellStyle name="Vérification" xfId="38" builtinId="23" customBuiltin="1"/>
  </cellStyles>
  <dxfs count="543">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strike val="0"/>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strike val="0"/>
        <color theme="9" tint="0.59996337778862885"/>
      </font>
    </dxf>
    <dxf>
      <font>
        <strike val="0"/>
        <color theme="9" tint="0.59996337778862885"/>
      </font>
    </dxf>
    <dxf>
      <font>
        <strike val="0"/>
        <color theme="9" tint="0.59996337778862885"/>
      </font>
    </dxf>
    <dxf>
      <font>
        <strike val="0"/>
        <color theme="9" tint="0.59996337778862885"/>
      </font>
    </dxf>
    <dxf>
      <font>
        <strike val="0"/>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D9"/>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BFFFF"/>
      <color rgb="FF99FFCC"/>
      <color rgb="FFFFD833"/>
      <color rgb="FFE95042"/>
      <color rgb="FF00CC99"/>
      <color rgb="FF009999"/>
      <color rgb="FF66FFCC"/>
      <color rgb="FF61FFFF"/>
      <color rgb="FF0033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image" Target="../media/image3.jpg"/></Relationships>
</file>

<file path=xl/charts/_rels/chart12.xml.rels><?xml version="1.0" encoding="UTF-8" standalone="yes"?>
<Relationships xmlns="http://schemas.openxmlformats.org/package/2006/relationships"><Relationship Id="rId1" Type="http://schemas.openxmlformats.org/officeDocument/2006/relationships/image" Target="../media/image3.jpg"/></Relationships>
</file>

<file path=xl/charts/_rels/chart14.xml.rels><?xml version="1.0" encoding="UTF-8" standalone="yes"?>
<Relationships xmlns="http://schemas.openxmlformats.org/package/2006/relationships"><Relationship Id="rId1" Type="http://schemas.openxmlformats.org/officeDocument/2006/relationships/image" Target="../media/image3.jpg"/></Relationships>
</file>

<file path=xl/charts/_rels/chart16.xml.rels><?xml version="1.0" encoding="UTF-8" standalone="yes"?>
<Relationships xmlns="http://schemas.openxmlformats.org/package/2006/relationships"><Relationship Id="rId1" Type="http://schemas.openxmlformats.org/officeDocument/2006/relationships/image" Target="../media/image3.jpg"/></Relationships>
</file>

<file path=xl/charts/_rels/chart19.xml.rels><?xml version="1.0" encoding="UTF-8" standalone="yes"?>
<Relationships xmlns="http://schemas.openxmlformats.org/package/2006/relationships"><Relationship Id="rId1" Type="http://schemas.openxmlformats.org/officeDocument/2006/relationships/image" Target="../media/image3.jpg"/></Relationships>
</file>

<file path=xl/charts/_rels/chart2.xml.rels><?xml version="1.0" encoding="UTF-8" standalone="yes"?>
<Relationships xmlns="http://schemas.openxmlformats.org/package/2006/relationships"><Relationship Id="rId1" Type="http://schemas.openxmlformats.org/officeDocument/2006/relationships/image" Target="../media/image3.jpg"/></Relationships>
</file>

<file path=xl/charts/_rels/chart21.xml.rels><?xml version="1.0" encoding="UTF-8" standalone="yes"?>
<Relationships xmlns="http://schemas.openxmlformats.org/package/2006/relationships"><Relationship Id="rId1" Type="http://schemas.openxmlformats.org/officeDocument/2006/relationships/image" Target="../media/image3.jpg"/></Relationships>
</file>

<file path=xl/charts/_rels/chart23.xml.rels><?xml version="1.0" encoding="UTF-8" standalone="yes"?>
<Relationships xmlns="http://schemas.openxmlformats.org/package/2006/relationships"><Relationship Id="rId1" Type="http://schemas.openxmlformats.org/officeDocument/2006/relationships/image" Target="../media/image3.jpg"/></Relationships>
</file>

<file path=xl/charts/_rels/chart25.xml.rels><?xml version="1.0" encoding="UTF-8" standalone="yes"?>
<Relationships xmlns="http://schemas.openxmlformats.org/package/2006/relationships"><Relationship Id="rId1" Type="http://schemas.openxmlformats.org/officeDocument/2006/relationships/image" Target="../media/image3.jpg"/></Relationships>
</file>

<file path=xl/charts/_rels/chart26.xml.rels><?xml version="1.0" encoding="UTF-8" standalone="yes"?>
<Relationships xmlns="http://schemas.openxmlformats.org/package/2006/relationships"><Relationship Id="rId1" Type="http://schemas.openxmlformats.org/officeDocument/2006/relationships/image" Target="../media/image3.jpg"/></Relationships>
</file>

<file path=xl/charts/_rels/chart27.xml.rels><?xml version="1.0" encoding="UTF-8" standalone="yes"?>
<Relationships xmlns="http://schemas.openxmlformats.org/package/2006/relationships"><Relationship Id="rId1" Type="http://schemas.openxmlformats.org/officeDocument/2006/relationships/image" Target="../media/image3.jpg"/></Relationships>
</file>

<file path=xl/charts/_rels/chart28.xml.rels><?xml version="1.0" encoding="UTF-8" standalone="yes"?>
<Relationships xmlns="http://schemas.openxmlformats.org/package/2006/relationships"><Relationship Id="rId1" Type="http://schemas.openxmlformats.org/officeDocument/2006/relationships/image" Target="../media/image3.jpg"/></Relationships>
</file>

<file path=xl/charts/_rels/chart29.xml.rels><?xml version="1.0" encoding="UTF-8" standalone="yes"?>
<Relationships xmlns="http://schemas.openxmlformats.org/package/2006/relationships"><Relationship Id="rId1" Type="http://schemas.openxmlformats.org/officeDocument/2006/relationships/image" Target="../media/image3.jpg"/></Relationships>
</file>

<file path=xl/charts/_rels/chart3.xml.rels><?xml version="1.0" encoding="UTF-8" standalone="yes"?>
<Relationships xmlns="http://schemas.openxmlformats.org/package/2006/relationships"><Relationship Id="rId1" Type="http://schemas.openxmlformats.org/officeDocument/2006/relationships/image" Target="../media/image3.jpg"/></Relationships>
</file>

<file path=xl/charts/_rels/chart31.xml.rels><?xml version="1.0" encoding="UTF-8" standalone="yes"?>
<Relationships xmlns="http://schemas.openxmlformats.org/package/2006/relationships"><Relationship Id="rId1" Type="http://schemas.openxmlformats.org/officeDocument/2006/relationships/image" Target="../media/image3.jpg"/></Relationships>
</file>

<file path=xl/charts/_rels/chart33.xml.rels><?xml version="1.0" encoding="UTF-8" standalone="yes"?>
<Relationships xmlns="http://schemas.openxmlformats.org/package/2006/relationships"><Relationship Id="rId1" Type="http://schemas.openxmlformats.org/officeDocument/2006/relationships/image" Target="../media/image3.jpg"/></Relationships>
</file>

<file path=xl/charts/_rels/chart35.xml.rels><?xml version="1.0" encoding="UTF-8" standalone="yes"?>
<Relationships xmlns="http://schemas.openxmlformats.org/package/2006/relationships"><Relationship Id="rId1" Type="http://schemas.openxmlformats.org/officeDocument/2006/relationships/image" Target="../media/image3.jpg"/></Relationships>
</file>

<file path=xl/charts/_rels/chart36.xml.rels><?xml version="1.0" encoding="UTF-8" standalone="yes"?>
<Relationships xmlns="http://schemas.openxmlformats.org/package/2006/relationships"><Relationship Id="rId1" Type="http://schemas.openxmlformats.org/officeDocument/2006/relationships/image" Target="../media/image3.jpg"/></Relationships>
</file>

<file path=xl/charts/_rels/chart37.xml.rels><?xml version="1.0" encoding="UTF-8" standalone="yes"?>
<Relationships xmlns="http://schemas.openxmlformats.org/package/2006/relationships"><Relationship Id="rId1" Type="http://schemas.openxmlformats.org/officeDocument/2006/relationships/image" Target="../media/image3.jpg"/></Relationships>
</file>

<file path=xl/charts/_rels/chart3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image" Target="../media/image3.jpg"/></Relationships>
</file>

<file path=xl/charts/_rels/chart8.xml.rels><?xml version="1.0" encoding="UTF-8" standalone="yes"?>
<Relationships xmlns="http://schemas.openxmlformats.org/package/2006/relationships"><Relationship Id="rId1" Type="http://schemas.openxmlformats.org/officeDocument/2006/relationships/image" Target="../media/image3.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Bilan GES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de-DE"/>
              </a:p>
            </c:txPr>
            <c:showLegendKey val="0"/>
            <c:showVal val="1"/>
            <c:showCatName val="0"/>
            <c:showSerName val="0"/>
            <c:showPercent val="1"/>
            <c:showBubbleSize val="0"/>
            <c:showLeaderLines val="1"/>
            <c:extLst>
              <c:ext xmlns:c15="http://schemas.microsoft.com/office/drawing/2012/chart" uri="{CE6537A1-D6FC-4f65-9D91-7224C49458BB}"/>
            </c:extLst>
          </c:dLbls>
          <c:cat>
            <c:strRef>
              <c:f>('Bilan GES'!$B$10,'Bilan GES'!$B$16,'Bilan GES'!$B$19)</c:f>
              <c:strCache>
                <c:ptCount val="3"/>
                <c:pt idx="0">
                  <c:v>Emissions directes de GES</c:v>
                </c:pt>
                <c:pt idx="1">
                  <c:v>Emissions indirectes associées à l'énergie</c:v>
                </c:pt>
                <c:pt idx="2">
                  <c:v>Autres émissions indirectes de GES</c:v>
                </c:pt>
              </c:strCache>
            </c:strRef>
          </c:cat>
          <c:val>
            <c:numRef>
              <c:f>('Bilan GES'!$I$15,'Bilan GES'!$I$18,'Bilan GES'!$I$35)</c:f>
              <c:numCache>
                <c:formatCode>#,##0</c:formatCode>
                <c:ptCount val="3"/>
                <c:pt idx="0">
                  <c:v>305.24027791599997</c:v>
                </c:pt>
                <c:pt idx="1">
                  <c:v>19.289968500000001</c:v>
                </c:pt>
                <c:pt idx="2">
                  <c:v>0</c:v>
                </c:pt>
              </c:numCache>
            </c:numRef>
          </c:val>
          <c:extLst>
            <c:ext xmlns:c16="http://schemas.microsoft.com/office/drawing/2014/chart" uri="{C3380CC4-5D6E-409C-BE32-E72D297353CC}">
              <c16:uniqueId val="{00000000-7D4F-4180-B830-B78D33285BB9}"/>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102366255144029"/>
          <c:y val="0.29636064814814816"/>
          <c:w val="0.33652530864197533"/>
          <c:h val="0.4248439814814815"/>
        </c:manualLayout>
      </c:layout>
      <c:overlay val="0"/>
      <c:txPr>
        <a:bodyPr/>
        <a:lstStyle/>
        <a:p>
          <a:pPr>
            <a:defRPr sz="1200" b="1"/>
          </a:pPr>
          <a:endParaRPr lang="de-DE"/>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Hors énergie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819907407407414E-2"/>
          <c:y val="0.11070413911678749"/>
          <c:w val="0.86088194444444444"/>
          <c:h val="0.71232586571255785"/>
        </c:manualLayout>
      </c:layout>
      <c:barChart>
        <c:barDir val="col"/>
        <c:grouping val="clustered"/>
        <c:varyColors val="0"/>
        <c:ser>
          <c:idx val="0"/>
          <c:order val="0"/>
          <c:tx>
            <c:strRef>
              <c:f>'Hors énergie 2'!$L$108</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'Hors énergie 2'!$L$109:$L$114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13D-4EF8-B990-885B5FAED7EC}"/>
            </c:ext>
          </c:extLst>
        </c:ser>
        <c:dLbls>
          <c:showLegendKey val="0"/>
          <c:showVal val="0"/>
          <c:showCatName val="0"/>
          <c:showSerName val="0"/>
          <c:showPercent val="0"/>
          <c:showBubbleSize val="0"/>
        </c:dLbls>
        <c:gapWidth val="100"/>
        <c:axId val="205081984"/>
        <c:axId val="205091968"/>
      </c:barChart>
      <c:stockChart>
        <c:ser>
          <c:idx val="1"/>
          <c:order val="1"/>
          <c:tx>
            <c:strRef>
              <c:f>'Hors énergie 2'!$M$108</c:f>
              <c:strCache>
                <c:ptCount val="1"/>
                <c:pt idx="0">
                  <c:v>Median</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2'!$M$109:$M$114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213D-4EF8-B990-885B5FAED7EC}"/>
            </c:ext>
          </c:extLst>
        </c:ser>
        <c:ser>
          <c:idx val="2"/>
          <c:order val="2"/>
          <c:tx>
            <c:strRef>
              <c:f>'Hors énergie 2'!$K$108</c:f>
              <c:strCache>
                <c:ptCount val="1"/>
                <c:pt idx="0">
                  <c:v>Bas</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2'!$K$109:$K$114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213D-4EF8-B990-885B5FAED7EC}"/>
            </c:ext>
          </c:extLst>
        </c:ser>
        <c:ser>
          <c:idx val="3"/>
          <c:order val="3"/>
          <c:tx>
            <c:strRef>
              <c:f>'Hors énergie 2'!$N$108</c:f>
              <c:strCache>
                <c:ptCount val="1"/>
                <c:pt idx="0">
                  <c:v>Haut</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2'!$N$109:$N$114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213D-4EF8-B990-885B5FAED7E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095296"/>
        <c:axId val="205093504"/>
      </c:stockChart>
      <c:catAx>
        <c:axId val="205081984"/>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091968"/>
        <c:crosses val="autoZero"/>
        <c:auto val="1"/>
        <c:lblAlgn val="ctr"/>
        <c:lblOffset val="100"/>
        <c:noMultiLvlLbl val="0"/>
      </c:catAx>
      <c:valAx>
        <c:axId val="20509196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081984"/>
        <c:crosses val="autoZero"/>
        <c:crossBetween val="between"/>
      </c:valAx>
      <c:valAx>
        <c:axId val="205093504"/>
        <c:scaling>
          <c:orientation val="minMax"/>
        </c:scaling>
        <c:delete val="1"/>
        <c:axPos val="r"/>
        <c:numFmt formatCode="#\ ##0.0" sourceLinked="1"/>
        <c:majorTickMark val="out"/>
        <c:minorTickMark val="none"/>
        <c:tickLblPos val="nextTo"/>
        <c:crossAx val="205095296"/>
        <c:crosses val="max"/>
        <c:crossBetween val="between"/>
      </c:valAx>
      <c:catAx>
        <c:axId val="205095296"/>
        <c:scaling>
          <c:orientation val="minMax"/>
        </c:scaling>
        <c:delete val="1"/>
        <c:axPos val="b"/>
        <c:numFmt formatCode="General" sourceLinked="1"/>
        <c:majorTickMark val="out"/>
        <c:minorTickMark val="none"/>
        <c:tickLblPos val="nextTo"/>
        <c:crossAx val="20509350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Hors énergie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2'!$D$109:$D$114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8BC-4B6D-8633-A45BB9F7845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976697530864191E-2"/>
          <c:y val="0.11070413911678749"/>
          <c:w val="0.85529691358024695"/>
          <c:h val="0.61943661809503203"/>
        </c:manualLayout>
      </c:layout>
      <c:barChart>
        <c:barDir val="col"/>
        <c:grouping val="clustered"/>
        <c:varyColors val="0"/>
        <c:ser>
          <c:idx val="0"/>
          <c:order val="0"/>
          <c:tx>
            <c:strRef>
              <c:f>'Intrants 1'!$L$324</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'Intrants 1'!$B$325:$C$334</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1'!$L$325:$L$334</c:f>
              <c:numCache>
                <c:formatCode>#\ ##0.0</c:formatCode>
                <c:ptCount val="10"/>
                <c:pt idx="0">
                  <c:v>2126.67</c:v>
                </c:pt>
                <c:pt idx="1">
                  <c:v>370.26</c:v>
                </c:pt>
                <c:pt idx="2">
                  <c:v>83.07</c:v>
                </c:pt>
                <c:pt idx="3">
                  <c:v>0</c:v>
                </c:pt>
                <c:pt idx="4">
                  <c:v>0</c:v>
                </c:pt>
                <c:pt idx="5">
                  <c:v>0</c:v>
                </c:pt>
                <c:pt idx="6">
                  <c:v>0</c:v>
                </c:pt>
                <c:pt idx="7">
                  <c:v>27.525000000000002</c:v>
                </c:pt>
                <c:pt idx="8">
                  <c:v>31.73</c:v>
                </c:pt>
                <c:pt idx="9">
                  <c:v>18.927</c:v>
                </c:pt>
              </c:numCache>
            </c:numRef>
          </c:val>
          <c:extLst>
            <c:ext xmlns:c16="http://schemas.microsoft.com/office/drawing/2014/chart" uri="{C3380CC4-5D6E-409C-BE32-E72D297353CC}">
              <c16:uniqueId val="{00000000-5D35-4B57-9669-B07C9CA5D5A0}"/>
            </c:ext>
          </c:extLst>
        </c:ser>
        <c:dLbls>
          <c:showLegendKey val="0"/>
          <c:showVal val="0"/>
          <c:showCatName val="0"/>
          <c:showSerName val="0"/>
          <c:showPercent val="0"/>
          <c:showBubbleSize val="0"/>
        </c:dLbls>
        <c:gapWidth val="100"/>
        <c:axId val="205491200"/>
        <c:axId val="205501184"/>
      </c:barChart>
      <c:stockChart>
        <c:ser>
          <c:idx val="1"/>
          <c:order val="1"/>
          <c:tx>
            <c:strRef>
              <c:f>'Intrants 1'!$L$324</c:f>
              <c:strCache>
                <c:ptCount val="1"/>
                <c:pt idx="0">
                  <c:v>Median</c:v>
                </c:pt>
              </c:strCache>
            </c:strRef>
          </c:tx>
          <c:spPr>
            <a:ln w="47625">
              <a:noFill/>
            </a:ln>
          </c:spPr>
          <c:marker>
            <c:symbol val="none"/>
          </c:marker>
          <c:cat>
            <c:multiLvlStrRef>
              <c:f>#REF!</c:f>
            </c:multiLvlStrRef>
          </c:cat>
          <c:val>
            <c:numRef>
              <c:f>'Intrants 1'!$L$325:$L$334</c:f>
              <c:numCache>
                <c:formatCode>#\ ##0.0</c:formatCode>
                <c:ptCount val="10"/>
                <c:pt idx="0">
                  <c:v>2126.67</c:v>
                </c:pt>
                <c:pt idx="1">
                  <c:v>370.26</c:v>
                </c:pt>
                <c:pt idx="2">
                  <c:v>83.07</c:v>
                </c:pt>
                <c:pt idx="3">
                  <c:v>0</c:v>
                </c:pt>
                <c:pt idx="4">
                  <c:v>0</c:v>
                </c:pt>
                <c:pt idx="5">
                  <c:v>0</c:v>
                </c:pt>
                <c:pt idx="6">
                  <c:v>0</c:v>
                </c:pt>
                <c:pt idx="7">
                  <c:v>27.525000000000002</c:v>
                </c:pt>
                <c:pt idx="8">
                  <c:v>31.73</c:v>
                </c:pt>
                <c:pt idx="9">
                  <c:v>18.927</c:v>
                </c:pt>
              </c:numCache>
            </c:numRef>
          </c:val>
          <c:smooth val="0"/>
          <c:extLst>
            <c:ext xmlns:c16="http://schemas.microsoft.com/office/drawing/2014/chart" uri="{C3380CC4-5D6E-409C-BE32-E72D297353CC}">
              <c16:uniqueId val="{00000001-5D35-4B57-9669-B07C9CA5D5A0}"/>
            </c:ext>
          </c:extLst>
        </c:ser>
        <c:ser>
          <c:idx val="2"/>
          <c:order val="2"/>
          <c:tx>
            <c:strRef>
              <c:f>'Intrants 1'!$K$324</c:f>
              <c:strCache>
                <c:ptCount val="1"/>
                <c:pt idx="0">
                  <c:v>Bas</c:v>
                </c:pt>
              </c:strCache>
            </c:strRef>
          </c:tx>
          <c:spPr>
            <a:ln w="47625">
              <a:noFill/>
            </a:ln>
          </c:spPr>
          <c:marker>
            <c:symbol val="none"/>
          </c:marker>
          <c:cat>
            <c:multiLvlStrRef>
              <c:f>#REF!</c:f>
            </c:multiLvlStrRef>
          </c:cat>
          <c:val>
            <c:numRef>
              <c:f>'Intrants 1'!$K$325:$K$334</c:f>
              <c:numCache>
                <c:formatCode>#\ ##0.0</c:formatCode>
                <c:ptCount val="10"/>
                <c:pt idx="0">
                  <c:v>1756.6856735627168</c:v>
                </c:pt>
                <c:pt idx="1">
                  <c:v>277.69499999999999</c:v>
                </c:pt>
                <c:pt idx="2">
                  <c:v>39.706186915240025</c:v>
                </c:pt>
                <c:pt idx="3">
                  <c:v>0</c:v>
                </c:pt>
                <c:pt idx="4">
                  <c:v>0</c:v>
                </c:pt>
                <c:pt idx="5">
                  <c:v>0</c:v>
                </c:pt>
                <c:pt idx="6">
                  <c:v>0</c:v>
                </c:pt>
                <c:pt idx="7">
                  <c:v>13.762500000000001</c:v>
                </c:pt>
                <c:pt idx="8">
                  <c:v>9.2009758755511104</c:v>
                </c:pt>
                <c:pt idx="9">
                  <c:v>10.396493614093007</c:v>
                </c:pt>
              </c:numCache>
            </c:numRef>
          </c:val>
          <c:smooth val="0"/>
          <c:extLst>
            <c:ext xmlns:c16="http://schemas.microsoft.com/office/drawing/2014/chart" uri="{C3380CC4-5D6E-409C-BE32-E72D297353CC}">
              <c16:uniqueId val="{00000002-5D35-4B57-9669-B07C9CA5D5A0}"/>
            </c:ext>
          </c:extLst>
        </c:ser>
        <c:ser>
          <c:idx val="3"/>
          <c:order val="3"/>
          <c:tx>
            <c:strRef>
              <c:f>'Intrants 1'!$N$324</c:f>
              <c:strCache>
                <c:ptCount val="1"/>
                <c:pt idx="0">
                  <c:v>Haut</c:v>
                </c:pt>
              </c:strCache>
            </c:strRef>
          </c:tx>
          <c:spPr>
            <a:ln w="47625">
              <a:noFill/>
            </a:ln>
          </c:spPr>
          <c:marker>
            <c:symbol val="none"/>
          </c:marker>
          <c:cat>
            <c:multiLvlStrRef>
              <c:f>#REF!</c:f>
            </c:multiLvlStrRef>
          </c:cat>
          <c:val>
            <c:numRef>
              <c:f>'Intrants 1'!$N$325:$N$334</c:f>
              <c:numCache>
                <c:formatCode>#\ ##0.0</c:formatCode>
                <c:ptCount val="10"/>
                <c:pt idx="0">
                  <c:v>2496.6543264372831</c:v>
                </c:pt>
                <c:pt idx="1">
                  <c:v>462.82499999999999</c:v>
                </c:pt>
                <c:pt idx="2">
                  <c:v>126.43381308475998</c:v>
                </c:pt>
                <c:pt idx="3">
                  <c:v>0</c:v>
                </c:pt>
                <c:pt idx="4">
                  <c:v>0</c:v>
                </c:pt>
                <c:pt idx="5">
                  <c:v>0</c:v>
                </c:pt>
                <c:pt idx="6">
                  <c:v>0</c:v>
                </c:pt>
                <c:pt idx="7">
                  <c:v>41.287500000000009</c:v>
                </c:pt>
                <c:pt idx="8">
                  <c:v>54.259024124448885</c:v>
                </c:pt>
                <c:pt idx="9">
                  <c:v>27.457506385906992</c:v>
                </c:pt>
              </c:numCache>
            </c:numRef>
          </c:val>
          <c:smooth val="0"/>
          <c:extLst>
            <c:ext xmlns:c16="http://schemas.microsoft.com/office/drawing/2014/chart" uri="{C3380CC4-5D6E-409C-BE32-E72D297353CC}">
              <c16:uniqueId val="{00000003-5D35-4B57-9669-B07C9CA5D5A0}"/>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504512"/>
        <c:axId val="205502720"/>
      </c:stockChart>
      <c:catAx>
        <c:axId val="2054912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5501184"/>
        <c:crosses val="autoZero"/>
        <c:auto val="1"/>
        <c:lblAlgn val="ctr"/>
        <c:lblOffset val="100"/>
        <c:noMultiLvlLbl val="0"/>
      </c:catAx>
      <c:valAx>
        <c:axId val="2055011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491200"/>
        <c:crosses val="autoZero"/>
        <c:crossBetween val="between"/>
      </c:valAx>
      <c:valAx>
        <c:axId val="205502720"/>
        <c:scaling>
          <c:orientation val="minMax"/>
        </c:scaling>
        <c:delete val="1"/>
        <c:axPos val="r"/>
        <c:numFmt formatCode="#\ ##0.0" sourceLinked="1"/>
        <c:majorTickMark val="out"/>
        <c:minorTickMark val="none"/>
        <c:tickLblPos val="nextTo"/>
        <c:crossAx val="205504512"/>
        <c:crosses val="max"/>
        <c:crossBetween val="between"/>
      </c:valAx>
      <c:catAx>
        <c:axId val="205504512"/>
        <c:scaling>
          <c:orientation val="minMax"/>
        </c:scaling>
        <c:delete val="1"/>
        <c:axPos val="b"/>
        <c:numFmt formatCode="General" sourceLinked="1"/>
        <c:majorTickMark val="out"/>
        <c:minorTickMark val="none"/>
        <c:tickLblPos val="nextTo"/>
        <c:crossAx val="2055027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'Intrants 1'!$B$325:$C$334</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1'!$D$325:$D$334</c:f>
              <c:numCache>
                <c:formatCode>#,##0</c:formatCode>
                <c:ptCount val="10"/>
                <c:pt idx="0">
                  <c:v>2126670</c:v>
                </c:pt>
                <c:pt idx="1">
                  <c:v>370260</c:v>
                </c:pt>
                <c:pt idx="2">
                  <c:v>83070</c:v>
                </c:pt>
                <c:pt idx="3">
                  <c:v>0</c:v>
                </c:pt>
                <c:pt idx="4">
                  <c:v>0</c:v>
                </c:pt>
                <c:pt idx="5">
                  <c:v>0</c:v>
                </c:pt>
                <c:pt idx="6">
                  <c:v>0</c:v>
                </c:pt>
                <c:pt idx="7">
                  <c:v>27525.000000000004</c:v>
                </c:pt>
                <c:pt idx="8">
                  <c:v>31730</c:v>
                </c:pt>
                <c:pt idx="9">
                  <c:v>18927</c:v>
                </c:pt>
              </c:numCache>
            </c:numRef>
          </c:val>
          <c:extLst>
            <c:ext xmlns:c16="http://schemas.microsoft.com/office/drawing/2014/chart" uri="{C3380CC4-5D6E-409C-BE32-E72D297353CC}">
              <c16:uniqueId val="{00000000-44A7-4485-BC26-71DB5D7D53F8}"/>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9249228395061733E-2"/>
          <c:y val="0.11070413911678749"/>
          <c:w val="0.85637314814814813"/>
          <c:h val="0.60204311007595546"/>
        </c:manualLayout>
      </c:layout>
      <c:barChart>
        <c:barDir val="col"/>
        <c:grouping val="clustered"/>
        <c:varyColors val="0"/>
        <c:ser>
          <c:idx val="0"/>
          <c:order val="0"/>
          <c:tx>
            <c:strRef>
              <c:f>Fret!$L$563</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Fret!$B$564:$C$575</c:f>
              <c:strCache>
                <c:ptCount val="12"/>
                <c:pt idx="0">
                  <c:v>Fret routier entrant</c:v>
                </c:pt>
                <c:pt idx="1">
                  <c:v>Fret aérien entrant</c:v>
                </c:pt>
                <c:pt idx="2">
                  <c:v>Fret ferroviaire entrant</c:v>
                </c:pt>
                <c:pt idx="3">
                  <c:v>Fret maritime et fluvial entrant</c:v>
                </c:pt>
                <c:pt idx="4">
                  <c:v>Fret routier interne</c:v>
                </c:pt>
                <c:pt idx="5">
                  <c:v>Fret aérien interne</c:v>
                </c:pt>
                <c:pt idx="6">
                  <c:v>Fret ferroviaire interne</c:v>
                </c:pt>
                <c:pt idx="7">
                  <c:v>Fret maritime et fluvial interne</c:v>
                </c:pt>
                <c:pt idx="8">
                  <c:v>Fret routier sortant</c:v>
                </c:pt>
                <c:pt idx="9">
                  <c:v>Fret aérien sortant</c:v>
                </c:pt>
                <c:pt idx="10">
                  <c:v>Fret ferroviaire sortant</c:v>
                </c:pt>
                <c:pt idx="11">
                  <c:v>Fret maritime et fluvial sortant</c:v>
                </c:pt>
              </c:strCache>
            </c:strRef>
          </c:cat>
          <c:val>
            <c:numRef>
              <c:f>Fret!$L$564:$L$575</c:f>
              <c:numCache>
                <c:formatCode>#\ ##0.0</c:formatCode>
                <c:ptCount val="12"/>
                <c:pt idx="0">
                  <c:v>93.036034999999998</c:v>
                </c:pt>
                <c:pt idx="1">
                  <c:v>0</c:v>
                </c:pt>
                <c:pt idx="2">
                  <c:v>0</c:v>
                </c:pt>
                <c:pt idx="3">
                  <c:v>48.206000000000003</c:v>
                </c:pt>
                <c:pt idx="4">
                  <c:v>0</c:v>
                </c:pt>
                <c:pt idx="5">
                  <c:v>0</c:v>
                </c:pt>
                <c:pt idx="6">
                  <c:v>0</c:v>
                </c:pt>
                <c:pt idx="7">
                  <c:v>0</c:v>
                </c:pt>
                <c:pt idx="8">
                  <c:v>154.49780000000001</c:v>
                </c:pt>
                <c:pt idx="9">
                  <c:v>0</c:v>
                </c:pt>
                <c:pt idx="10">
                  <c:v>0</c:v>
                </c:pt>
                <c:pt idx="11">
                  <c:v>0</c:v>
                </c:pt>
              </c:numCache>
            </c:numRef>
          </c:val>
          <c:extLst>
            <c:ext xmlns:c16="http://schemas.microsoft.com/office/drawing/2014/chart" uri="{C3380CC4-5D6E-409C-BE32-E72D297353CC}">
              <c16:uniqueId val="{00000000-CFB5-40FA-8943-A0A8EF3481CD}"/>
            </c:ext>
          </c:extLst>
        </c:ser>
        <c:dLbls>
          <c:showLegendKey val="0"/>
          <c:showVal val="0"/>
          <c:showCatName val="0"/>
          <c:showSerName val="0"/>
          <c:showPercent val="0"/>
          <c:showBubbleSize val="0"/>
        </c:dLbls>
        <c:gapWidth val="100"/>
        <c:axId val="205916800"/>
        <c:axId val="205918592"/>
      </c:barChart>
      <c:stockChart>
        <c:ser>
          <c:idx val="1"/>
          <c:order val="1"/>
          <c:tx>
            <c:strRef>
              <c:f>Fret!$L$563</c:f>
              <c:strCache>
                <c:ptCount val="1"/>
                <c:pt idx="0">
                  <c:v>Median</c:v>
                </c:pt>
              </c:strCache>
            </c:strRef>
          </c:tx>
          <c:spPr>
            <a:ln w="47625">
              <a:noFill/>
            </a:ln>
          </c:spPr>
          <c:marker>
            <c:symbol val="none"/>
          </c:marker>
          <c:cat>
            <c:multiLvlStrRef>
              <c:f>#REF!</c:f>
            </c:multiLvlStrRef>
          </c:cat>
          <c:val>
            <c:numRef>
              <c:f>Fret!$L$564:$L$575</c:f>
              <c:numCache>
                <c:formatCode>#\ ##0.0</c:formatCode>
                <c:ptCount val="12"/>
                <c:pt idx="0">
                  <c:v>93.036034999999998</c:v>
                </c:pt>
                <c:pt idx="1">
                  <c:v>0</c:v>
                </c:pt>
                <c:pt idx="2">
                  <c:v>0</c:v>
                </c:pt>
                <c:pt idx="3">
                  <c:v>48.206000000000003</c:v>
                </c:pt>
                <c:pt idx="4">
                  <c:v>0</c:v>
                </c:pt>
                <c:pt idx="5">
                  <c:v>0</c:v>
                </c:pt>
                <c:pt idx="6">
                  <c:v>0</c:v>
                </c:pt>
                <c:pt idx="7">
                  <c:v>0</c:v>
                </c:pt>
                <c:pt idx="8">
                  <c:v>154.49780000000001</c:v>
                </c:pt>
                <c:pt idx="9">
                  <c:v>0</c:v>
                </c:pt>
                <c:pt idx="10">
                  <c:v>0</c:v>
                </c:pt>
                <c:pt idx="11">
                  <c:v>0</c:v>
                </c:pt>
              </c:numCache>
            </c:numRef>
          </c:val>
          <c:smooth val="0"/>
          <c:extLst>
            <c:ext xmlns:c16="http://schemas.microsoft.com/office/drawing/2014/chart" uri="{C3380CC4-5D6E-409C-BE32-E72D297353CC}">
              <c16:uniqueId val="{00000001-CFB5-40FA-8943-A0A8EF3481CD}"/>
            </c:ext>
          </c:extLst>
        </c:ser>
        <c:ser>
          <c:idx val="2"/>
          <c:order val="2"/>
          <c:tx>
            <c:strRef>
              <c:f>Fret!$K$563</c:f>
              <c:strCache>
                <c:ptCount val="1"/>
                <c:pt idx="0">
                  <c:v>Bas</c:v>
                </c:pt>
              </c:strCache>
            </c:strRef>
          </c:tx>
          <c:spPr>
            <a:ln w="47625">
              <a:noFill/>
            </a:ln>
          </c:spPr>
          <c:marker>
            <c:symbol val="none"/>
          </c:marker>
          <c:cat>
            <c:multiLvlStrRef>
              <c:f>#REF!</c:f>
            </c:multiLvlStrRef>
          </c:cat>
          <c:val>
            <c:numRef>
              <c:f>Fret!$K$564:$K$575</c:f>
              <c:numCache>
                <c:formatCode>#\ ##0.0</c:formatCode>
                <c:ptCount val="12"/>
                <c:pt idx="0">
                  <c:v>54.73442492441621</c:v>
                </c:pt>
                <c:pt idx="1">
                  <c:v>0</c:v>
                </c:pt>
                <c:pt idx="2">
                  <c:v>0</c:v>
                </c:pt>
                <c:pt idx="3">
                  <c:v>29.201841713982699</c:v>
                </c:pt>
                <c:pt idx="4">
                  <c:v>0</c:v>
                </c:pt>
                <c:pt idx="5">
                  <c:v>0</c:v>
                </c:pt>
                <c:pt idx="6">
                  <c:v>0</c:v>
                </c:pt>
                <c:pt idx="7">
                  <c:v>0</c:v>
                </c:pt>
                <c:pt idx="8">
                  <c:v>86.246276814751297</c:v>
                </c:pt>
                <c:pt idx="9">
                  <c:v>0</c:v>
                </c:pt>
                <c:pt idx="10">
                  <c:v>0</c:v>
                </c:pt>
                <c:pt idx="11">
                  <c:v>0</c:v>
                </c:pt>
              </c:numCache>
            </c:numRef>
          </c:val>
          <c:smooth val="0"/>
          <c:extLst>
            <c:ext xmlns:c16="http://schemas.microsoft.com/office/drawing/2014/chart" uri="{C3380CC4-5D6E-409C-BE32-E72D297353CC}">
              <c16:uniqueId val="{00000002-CFB5-40FA-8943-A0A8EF3481CD}"/>
            </c:ext>
          </c:extLst>
        </c:ser>
        <c:ser>
          <c:idx val="3"/>
          <c:order val="3"/>
          <c:tx>
            <c:strRef>
              <c:f>Fret!$N$563</c:f>
              <c:strCache>
                <c:ptCount val="1"/>
                <c:pt idx="0">
                  <c:v>Haut</c:v>
                </c:pt>
              </c:strCache>
            </c:strRef>
          </c:tx>
          <c:spPr>
            <a:ln w="47625">
              <a:noFill/>
            </a:ln>
          </c:spPr>
          <c:marker>
            <c:symbol val="none"/>
          </c:marker>
          <c:cat>
            <c:multiLvlStrRef>
              <c:f>#REF!</c:f>
            </c:multiLvlStrRef>
          </c:cat>
          <c:val>
            <c:numRef>
              <c:f>Fret!$N$564:$N$575</c:f>
              <c:numCache>
                <c:formatCode>#\ ##0.0</c:formatCode>
                <c:ptCount val="12"/>
                <c:pt idx="0">
                  <c:v>131.33764507558379</c:v>
                </c:pt>
                <c:pt idx="1">
                  <c:v>0</c:v>
                </c:pt>
                <c:pt idx="2">
                  <c:v>0</c:v>
                </c:pt>
                <c:pt idx="3">
                  <c:v>67.210158286017304</c:v>
                </c:pt>
                <c:pt idx="4">
                  <c:v>0</c:v>
                </c:pt>
                <c:pt idx="5">
                  <c:v>0</c:v>
                </c:pt>
                <c:pt idx="6">
                  <c:v>0</c:v>
                </c:pt>
                <c:pt idx="7">
                  <c:v>0</c:v>
                </c:pt>
                <c:pt idx="8">
                  <c:v>222.74932318524873</c:v>
                </c:pt>
                <c:pt idx="9">
                  <c:v>0</c:v>
                </c:pt>
                <c:pt idx="10">
                  <c:v>0</c:v>
                </c:pt>
                <c:pt idx="11">
                  <c:v>0</c:v>
                </c:pt>
              </c:numCache>
            </c:numRef>
          </c:val>
          <c:smooth val="0"/>
          <c:extLst>
            <c:ext xmlns:c16="http://schemas.microsoft.com/office/drawing/2014/chart" uri="{C3380CC4-5D6E-409C-BE32-E72D297353CC}">
              <c16:uniqueId val="{00000003-CFB5-40FA-8943-A0A8EF3481C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921664"/>
        <c:axId val="205920128"/>
      </c:stockChart>
      <c:catAx>
        <c:axId val="205916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5918592"/>
        <c:crosses val="autoZero"/>
        <c:auto val="1"/>
        <c:lblAlgn val="ctr"/>
        <c:lblOffset val="100"/>
        <c:noMultiLvlLbl val="0"/>
      </c:catAx>
      <c:valAx>
        <c:axId val="20591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916800"/>
        <c:crosses val="autoZero"/>
        <c:crossBetween val="between"/>
      </c:valAx>
      <c:valAx>
        <c:axId val="205920128"/>
        <c:scaling>
          <c:orientation val="minMax"/>
        </c:scaling>
        <c:delete val="1"/>
        <c:axPos val="r"/>
        <c:numFmt formatCode="#\ ##0.0" sourceLinked="1"/>
        <c:majorTickMark val="out"/>
        <c:minorTickMark val="none"/>
        <c:tickLblPos val="nextTo"/>
        <c:crossAx val="205921664"/>
        <c:crosses val="max"/>
        <c:crossBetween val="between"/>
      </c:valAx>
      <c:catAx>
        <c:axId val="205921664"/>
        <c:scaling>
          <c:orientation val="minMax"/>
        </c:scaling>
        <c:delete val="1"/>
        <c:axPos val="b"/>
        <c:numFmt formatCode="General" sourceLinked="1"/>
        <c:majorTickMark val="out"/>
        <c:minorTickMark val="none"/>
        <c:tickLblPos val="nextTo"/>
        <c:crossAx val="20592012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Pt>
            <c:idx val="0"/>
            <c:bubble3D val="0"/>
            <c:spPr>
              <a:solidFill>
                <a:schemeClr val="accent4">
                  <a:lumMod val="75000"/>
                </a:schemeClr>
              </a:solidFill>
              <a:effectLst/>
            </c:spPr>
            <c:extLst>
              <c:ext xmlns:c16="http://schemas.microsoft.com/office/drawing/2014/chart" uri="{C3380CC4-5D6E-409C-BE32-E72D297353CC}">
                <c16:uniqueId val="{00000001-BC63-4588-8ACE-6AA38A6DD64E}"/>
              </c:ext>
            </c:extLst>
          </c:dPt>
          <c:dPt>
            <c:idx val="1"/>
            <c:bubble3D val="0"/>
            <c:spPr>
              <a:solidFill>
                <a:schemeClr val="accent5">
                  <a:lumMod val="75000"/>
                </a:schemeClr>
              </a:solidFill>
              <a:effectLst/>
            </c:spPr>
            <c:extLst>
              <c:ext xmlns:c16="http://schemas.microsoft.com/office/drawing/2014/chart" uri="{C3380CC4-5D6E-409C-BE32-E72D297353CC}">
                <c16:uniqueId val="{00000003-BC63-4588-8ACE-6AA38A6DD64E}"/>
              </c:ext>
            </c:extLst>
          </c:dPt>
          <c:dPt>
            <c:idx val="2"/>
            <c:bubble3D val="0"/>
            <c:spPr>
              <a:solidFill>
                <a:schemeClr val="accent3">
                  <a:lumMod val="75000"/>
                </a:schemeClr>
              </a:solidFill>
              <a:effectLst/>
            </c:spPr>
            <c:extLst>
              <c:ext xmlns:c16="http://schemas.microsoft.com/office/drawing/2014/chart" uri="{C3380CC4-5D6E-409C-BE32-E72D297353CC}">
                <c16:uniqueId val="{00000005-BC63-4588-8ACE-6AA38A6DD64E}"/>
              </c:ext>
            </c:extLst>
          </c:dPt>
          <c:dPt>
            <c:idx val="3"/>
            <c:bubble3D val="0"/>
            <c:spPr>
              <a:solidFill>
                <a:schemeClr val="accent6">
                  <a:lumMod val="75000"/>
                </a:schemeClr>
              </a:solidFill>
              <a:effectLst/>
            </c:spPr>
            <c:extLst>
              <c:ext xmlns:c16="http://schemas.microsoft.com/office/drawing/2014/chart" uri="{C3380CC4-5D6E-409C-BE32-E72D297353CC}">
                <c16:uniqueId val="{00000007-BC63-4588-8ACE-6AA38A6DD64E}"/>
              </c:ext>
            </c:extLst>
          </c:dPt>
          <c:dPt>
            <c:idx val="4"/>
            <c:bubble3D val="0"/>
            <c:spPr>
              <a:solidFill>
                <a:schemeClr val="accent4"/>
              </a:solidFill>
              <a:effectLst/>
            </c:spPr>
            <c:extLst>
              <c:ext xmlns:c16="http://schemas.microsoft.com/office/drawing/2014/chart" uri="{C3380CC4-5D6E-409C-BE32-E72D297353CC}">
                <c16:uniqueId val="{00000009-BC63-4588-8ACE-6AA38A6DD64E}"/>
              </c:ext>
            </c:extLst>
          </c:dPt>
          <c:dPt>
            <c:idx val="5"/>
            <c:bubble3D val="0"/>
            <c:spPr>
              <a:solidFill>
                <a:schemeClr val="accent5"/>
              </a:solidFill>
              <a:effectLst/>
            </c:spPr>
            <c:extLst>
              <c:ext xmlns:c16="http://schemas.microsoft.com/office/drawing/2014/chart" uri="{C3380CC4-5D6E-409C-BE32-E72D297353CC}">
                <c16:uniqueId val="{0000000B-BC63-4588-8ACE-6AA38A6DD64E}"/>
              </c:ext>
            </c:extLst>
          </c:dPt>
          <c:dPt>
            <c:idx val="6"/>
            <c:bubble3D val="0"/>
            <c:spPr>
              <a:solidFill>
                <a:schemeClr val="accent3"/>
              </a:solidFill>
              <a:effectLst/>
            </c:spPr>
            <c:extLst>
              <c:ext xmlns:c16="http://schemas.microsoft.com/office/drawing/2014/chart" uri="{C3380CC4-5D6E-409C-BE32-E72D297353CC}">
                <c16:uniqueId val="{0000000D-BC63-4588-8ACE-6AA38A6DD64E}"/>
              </c:ext>
            </c:extLst>
          </c:dPt>
          <c:dPt>
            <c:idx val="7"/>
            <c:bubble3D val="0"/>
            <c:spPr>
              <a:solidFill>
                <a:schemeClr val="accent6"/>
              </a:solidFill>
              <a:effectLst/>
            </c:spPr>
            <c:extLst>
              <c:ext xmlns:c16="http://schemas.microsoft.com/office/drawing/2014/chart" uri="{C3380CC4-5D6E-409C-BE32-E72D297353CC}">
                <c16:uniqueId val="{0000000F-BC63-4588-8ACE-6AA38A6DD64E}"/>
              </c:ext>
            </c:extLst>
          </c:dPt>
          <c:dPt>
            <c:idx val="8"/>
            <c:bubble3D val="0"/>
            <c:spPr>
              <a:solidFill>
                <a:schemeClr val="accent4">
                  <a:lumMod val="60000"/>
                  <a:lumOff val="40000"/>
                </a:schemeClr>
              </a:solidFill>
              <a:effectLst/>
            </c:spPr>
            <c:extLst>
              <c:ext xmlns:c16="http://schemas.microsoft.com/office/drawing/2014/chart" uri="{C3380CC4-5D6E-409C-BE32-E72D297353CC}">
                <c16:uniqueId val="{00000011-BC63-4588-8ACE-6AA38A6DD64E}"/>
              </c:ext>
            </c:extLst>
          </c:dPt>
          <c:dPt>
            <c:idx val="9"/>
            <c:bubble3D val="0"/>
            <c:spPr>
              <a:solidFill>
                <a:schemeClr val="accent5">
                  <a:lumMod val="60000"/>
                  <a:lumOff val="40000"/>
                </a:schemeClr>
              </a:solidFill>
              <a:effectLst/>
            </c:spPr>
            <c:extLst>
              <c:ext xmlns:c16="http://schemas.microsoft.com/office/drawing/2014/chart" uri="{C3380CC4-5D6E-409C-BE32-E72D297353CC}">
                <c16:uniqueId val="{00000013-BC63-4588-8ACE-6AA38A6DD64E}"/>
              </c:ext>
            </c:extLst>
          </c:dPt>
          <c:dPt>
            <c:idx val="10"/>
            <c:bubble3D val="0"/>
            <c:spPr>
              <a:solidFill>
                <a:schemeClr val="accent3">
                  <a:lumMod val="60000"/>
                  <a:lumOff val="40000"/>
                </a:schemeClr>
              </a:solidFill>
              <a:effectLst/>
            </c:spPr>
            <c:extLst>
              <c:ext xmlns:c16="http://schemas.microsoft.com/office/drawing/2014/chart" uri="{C3380CC4-5D6E-409C-BE32-E72D297353CC}">
                <c16:uniqueId val="{00000015-BC63-4588-8ACE-6AA38A6DD64E}"/>
              </c:ext>
            </c:extLst>
          </c:dPt>
          <c:dPt>
            <c:idx val="11"/>
            <c:bubble3D val="0"/>
            <c:spPr>
              <a:solidFill>
                <a:schemeClr val="accent6">
                  <a:lumMod val="60000"/>
                  <a:lumOff val="40000"/>
                </a:schemeClr>
              </a:solidFill>
              <a:effectLst/>
            </c:spPr>
            <c:extLst>
              <c:ext xmlns:c16="http://schemas.microsoft.com/office/drawing/2014/chart" uri="{C3380CC4-5D6E-409C-BE32-E72D297353CC}">
                <c16:uniqueId val="{00000017-BC63-4588-8ACE-6AA38A6DD64E}"/>
              </c:ext>
            </c:extLst>
          </c:dPt>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Fret!$B$564:$C$575</c:f>
              <c:strCache>
                <c:ptCount val="12"/>
                <c:pt idx="0">
                  <c:v>Fret routier entrant</c:v>
                </c:pt>
                <c:pt idx="1">
                  <c:v>Fret aérien entrant</c:v>
                </c:pt>
                <c:pt idx="2">
                  <c:v>Fret ferroviaire entrant</c:v>
                </c:pt>
                <c:pt idx="3">
                  <c:v>Fret maritime et fluvial entrant</c:v>
                </c:pt>
                <c:pt idx="4">
                  <c:v>Fret routier interne</c:v>
                </c:pt>
                <c:pt idx="5">
                  <c:v>Fret aérien interne</c:v>
                </c:pt>
                <c:pt idx="6">
                  <c:v>Fret ferroviaire interne</c:v>
                </c:pt>
                <c:pt idx="7">
                  <c:v>Fret maritime et fluvial interne</c:v>
                </c:pt>
                <c:pt idx="8">
                  <c:v>Fret routier sortant</c:v>
                </c:pt>
                <c:pt idx="9">
                  <c:v>Fret aérien sortant</c:v>
                </c:pt>
                <c:pt idx="10">
                  <c:v>Fret ferroviaire sortant</c:v>
                </c:pt>
                <c:pt idx="11">
                  <c:v>Fret maritime et fluvial sortant</c:v>
                </c:pt>
              </c:strCache>
            </c:strRef>
          </c:cat>
          <c:val>
            <c:numRef>
              <c:f>Fret!$D$564:$D$575</c:f>
              <c:numCache>
                <c:formatCode>#,##0</c:formatCode>
                <c:ptCount val="12"/>
                <c:pt idx="0">
                  <c:v>93036.035000000003</c:v>
                </c:pt>
                <c:pt idx="1">
                  <c:v>0</c:v>
                </c:pt>
                <c:pt idx="2">
                  <c:v>0</c:v>
                </c:pt>
                <c:pt idx="3">
                  <c:v>48206</c:v>
                </c:pt>
                <c:pt idx="4">
                  <c:v>0</c:v>
                </c:pt>
                <c:pt idx="5">
                  <c:v>0</c:v>
                </c:pt>
                <c:pt idx="6">
                  <c:v>0</c:v>
                </c:pt>
                <c:pt idx="7">
                  <c:v>0</c:v>
                </c:pt>
                <c:pt idx="8">
                  <c:v>154497.80000000002</c:v>
                </c:pt>
                <c:pt idx="9">
                  <c:v>0</c:v>
                </c:pt>
                <c:pt idx="10">
                  <c:v>0</c:v>
                </c:pt>
                <c:pt idx="11">
                  <c:v>0</c:v>
                </c:pt>
              </c:numCache>
            </c:numRef>
          </c:val>
          <c:extLst>
            <c:ext xmlns:c16="http://schemas.microsoft.com/office/drawing/2014/chart" uri="{C3380CC4-5D6E-409C-BE32-E72D297353CC}">
              <c16:uniqueId val="{00000018-BC63-4588-8ACE-6AA38A6DD64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121631944444433"/>
          <c:y val="0.16349250000000001"/>
          <c:w val="0.3681612847222222"/>
          <c:h val="0.80189027777777777"/>
        </c:manualLayout>
      </c:layout>
      <c:overlay val="0"/>
      <c:txPr>
        <a:bodyPr/>
        <a:lstStyle/>
        <a:p>
          <a:pPr>
            <a:defRPr sz="105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Déplacements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3860030864197535E-2"/>
          <c:y val="0.11070413911678749"/>
          <c:w val="0.86488148148148147"/>
          <c:h val="0.65321453141789221"/>
        </c:manualLayout>
      </c:layout>
      <c:barChart>
        <c:barDir val="col"/>
        <c:grouping val="clustered"/>
        <c:varyColors val="0"/>
        <c:ser>
          <c:idx val="0"/>
          <c:order val="0"/>
          <c:tx>
            <c:strRef>
              <c:f>Déplacements!$L$440</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Déplacements!$B$441:$C$447</c:f>
              <c:strCache>
                <c:ptCount val="7"/>
                <c:pt idx="0">
                  <c:v>Domicile-travail</c:v>
                </c:pt>
                <c:pt idx="1">
                  <c:v>Employés, voiture</c:v>
                </c:pt>
                <c:pt idx="2">
                  <c:v>Employés, autre route</c:v>
                </c:pt>
                <c:pt idx="3">
                  <c:v>Employés, train</c:v>
                </c:pt>
                <c:pt idx="4">
                  <c:v>Employés, avion</c:v>
                </c:pt>
                <c:pt idx="5">
                  <c:v>Employés, bateau</c:v>
                </c:pt>
                <c:pt idx="6">
                  <c:v>Visiteurs, tous modes</c:v>
                </c:pt>
              </c:strCache>
            </c:strRef>
          </c:cat>
          <c:val>
            <c:numRef>
              <c:f>Déplacements!$L$441:$L$447</c:f>
              <c:numCache>
                <c:formatCode>#\ ##0.0</c:formatCode>
                <c:ptCount val="7"/>
                <c:pt idx="0">
                  <c:v>82.747526600000015</c:v>
                </c:pt>
                <c:pt idx="1">
                  <c:v>38.257154999999997</c:v>
                </c:pt>
                <c:pt idx="2">
                  <c:v>0</c:v>
                </c:pt>
                <c:pt idx="3">
                  <c:v>4.5311999999999998E-2</c:v>
                </c:pt>
                <c:pt idx="4">
                  <c:v>2.6449799999999999</c:v>
                </c:pt>
                <c:pt idx="5">
                  <c:v>0</c:v>
                </c:pt>
                <c:pt idx="6">
                  <c:v>0</c:v>
                </c:pt>
              </c:numCache>
            </c:numRef>
          </c:val>
          <c:extLst>
            <c:ext xmlns:c16="http://schemas.microsoft.com/office/drawing/2014/chart" uri="{C3380CC4-5D6E-409C-BE32-E72D297353CC}">
              <c16:uniqueId val="{00000000-CC70-4088-B32B-4E88F17B4648}"/>
            </c:ext>
          </c:extLst>
        </c:ser>
        <c:dLbls>
          <c:showLegendKey val="0"/>
          <c:showVal val="0"/>
          <c:showCatName val="0"/>
          <c:showSerName val="0"/>
          <c:showPercent val="0"/>
          <c:showBubbleSize val="0"/>
        </c:dLbls>
        <c:gapWidth val="100"/>
        <c:axId val="205998720"/>
        <c:axId val="206025088"/>
      </c:barChart>
      <c:stockChart>
        <c:ser>
          <c:idx val="1"/>
          <c:order val="1"/>
          <c:tx>
            <c:strRef>
              <c:f>Déplacements!$L$440</c:f>
              <c:strCache>
                <c:ptCount val="1"/>
                <c:pt idx="0">
                  <c:v>Median</c:v>
                </c:pt>
              </c:strCache>
            </c:strRef>
          </c:tx>
          <c:spPr>
            <a:ln w="47625">
              <a:noFill/>
            </a:ln>
          </c:spPr>
          <c:marker>
            <c:symbol val="none"/>
          </c:marker>
          <c:cat>
            <c:multiLvlStrRef>
              <c:f>#REF!</c:f>
            </c:multiLvlStrRef>
          </c:cat>
          <c:val>
            <c:numRef>
              <c:f>Déplacements!$L$441:$L$447</c:f>
              <c:numCache>
                <c:formatCode>#\ ##0.0</c:formatCode>
                <c:ptCount val="7"/>
                <c:pt idx="0">
                  <c:v>82.747526600000015</c:v>
                </c:pt>
                <c:pt idx="1">
                  <c:v>38.257154999999997</c:v>
                </c:pt>
                <c:pt idx="2">
                  <c:v>0</c:v>
                </c:pt>
                <c:pt idx="3">
                  <c:v>4.5311999999999998E-2</c:v>
                </c:pt>
                <c:pt idx="4">
                  <c:v>2.6449799999999999</c:v>
                </c:pt>
                <c:pt idx="5">
                  <c:v>0</c:v>
                </c:pt>
                <c:pt idx="6">
                  <c:v>0</c:v>
                </c:pt>
              </c:numCache>
            </c:numRef>
          </c:val>
          <c:smooth val="0"/>
          <c:extLst>
            <c:ext xmlns:c16="http://schemas.microsoft.com/office/drawing/2014/chart" uri="{C3380CC4-5D6E-409C-BE32-E72D297353CC}">
              <c16:uniqueId val="{00000001-CC70-4088-B32B-4E88F17B4648}"/>
            </c:ext>
          </c:extLst>
        </c:ser>
        <c:ser>
          <c:idx val="2"/>
          <c:order val="2"/>
          <c:tx>
            <c:strRef>
              <c:f>Déplacements!$K$440</c:f>
              <c:strCache>
                <c:ptCount val="1"/>
                <c:pt idx="0">
                  <c:v>Bas</c:v>
                </c:pt>
              </c:strCache>
            </c:strRef>
          </c:tx>
          <c:spPr>
            <a:ln w="47625">
              <a:noFill/>
            </a:ln>
          </c:spPr>
          <c:marker>
            <c:symbol val="none"/>
          </c:marker>
          <c:cat>
            <c:multiLvlStrRef>
              <c:f>#REF!</c:f>
            </c:multiLvlStrRef>
          </c:cat>
          <c:val>
            <c:numRef>
              <c:f>Déplacements!$K$441:$K$447</c:f>
              <c:numCache>
                <c:formatCode>#\ ##0.0</c:formatCode>
                <c:ptCount val="7"/>
                <c:pt idx="0">
                  <c:v>62.888326998863789</c:v>
                </c:pt>
                <c:pt idx="1">
                  <c:v>36.674900992505059</c:v>
                </c:pt>
                <c:pt idx="2">
                  <c:v>0</c:v>
                </c:pt>
                <c:pt idx="3">
                  <c:v>3.8242018749671251E-2</c:v>
                </c:pt>
                <c:pt idx="4">
                  <c:v>1.4473159586110971</c:v>
                </c:pt>
                <c:pt idx="5">
                  <c:v>0</c:v>
                </c:pt>
                <c:pt idx="6">
                  <c:v>0</c:v>
                </c:pt>
              </c:numCache>
            </c:numRef>
          </c:val>
          <c:smooth val="0"/>
          <c:extLst>
            <c:ext xmlns:c16="http://schemas.microsoft.com/office/drawing/2014/chart" uri="{C3380CC4-5D6E-409C-BE32-E72D297353CC}">
              <c16:uniqueId val="{00000002-CC70-4088-B32B-4E88F17B4648}"/>
            </c:ext>
          </c:extLst>
        </c:ser>
        <c:ser>
          <c:idx val="3"/>
          <c:order val="3"/>
          <c:tx>
            <c:strRef>
              <c:f>Déplacements!$N$440</c:f>
              <c:strCache>
                <c:ptCount val="1"/>
                <c:pt idx="0">
                  <c:v>Haut</c:v>
                </c:pt>
              </c:strCache>
            </c:strRef>
          </c:tx>
          <c:spPr>
            <a:ln w="47625">
              <a:noFill/>
            </a:ln>
          </c:spPr>
          <c:marker>
            <c:symbol val="none"/>
          </c:marker>
          <c:cat>
            <c:multiLvlStrRef>
              <c:f>#REF!</c:f>
            </c:multiLvlStrRef>
          </c:cat>
          <c:val>
            <c:numRef>
              <c:f>Déplacements!$N$441:$N$447</c:f>
              <c:numCache>
                <c:formatCode>#\ ##0.0</c:formatCode>
                <c:ptCount val="7"/>
                <c:pt idx="0">
                  <c:v>102.60672620113623</c:v>
                </c:pt>
                <c:pt idx="1">
                  <c:v>39.839409007494943</c:v>
                </c:pt>
                <c:pt idx="2">
                  <c:v>0</c:v>
                </c:pt>
                <c:pt idx="3">
                  <c:v>5.2381981250328745E-2</c:v>
                </c:pt>
                <c:pt idx="4">
                  <c:v>3.8426440413889029</c:v>
                </c:pt>
                <c:pt idx="5">
                  <c:v>0</c:v>
                </c:pt>
                <c:pt idx="6">
                  <c:v>0</c:v>
                </c:pt>
              </c:numCache>
            </c:numRef>
          </c:val>
          <c:smooth val="0"/>
          <c:extLst>
            <c:ext xmlns:c16="http://schemas.microsoft.com/office/drawing/2014/chart" uri="{C3380CC4-5D6E-409C-BE32-E72D297353CC}">
              <c16:uniqueId val="{00000003-CC70-4088-B32B-4E88F17B464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028160"/>
        <c:axId val="206026624"/>
      </c:stockChart>
      <c:catAx>
        <c:axId val="20599872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6025088"/>
        <c:crosses val="autoZero"/>
        <c:auto val="1"/>
        <c:lblAlgn val="ctr"/>
        <c:lblOffset val="100"/>
        <c:noMultiLvlLbl val="0"/>
      </c:catAx>
      <c:valAx>
        <c:axId val="20602508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998720"/>
        <c:crosses val="autoZero"/>
        <c:crossBetween val="between"/>
      </c:valAx>
      <c:valAx>
        <c:axId val="206026624"/>
        <c:scaling>
          <c:orientation val="minMax"/>
        </c:scaling>
        <c:delete val="1"/>
        <c:axPos val="r"/>
        <c:numFmt formatCode="#\ ##0.0" sourceLinked="1"/>
        <c:majorTickMark val="out"/>
        <c:minorTickMark val="none"/>
        <c:tickLblPos val="nextTo"/>
        <c:crossAx val="206028160"/>
        <c:crosses val="max"/>
        <c:crossBetween val="between"/>
      </c:valAx>
      <c:catAx>
        <c:axId val="206028160"/>
        <c:scaling>
          <c:orientation val="minMax"/>
        </c:scaling>
        <c:delete val="1"/>
        <c:axPos val="b"/>
        <c:numFmt formatCode="General" sourceLinked="1"/>
        <c:majorTickMark val="out"/>
        <c:minorTickMark val="none"/>
        <c:tickLblPos val="nextTo"/>
        <c:crossAx val="20602662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Déplacements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Pt>
            <c:idx val="0"/>
            <c:bubble3D val="0"/>
            <c:spPr>
              <a:solidFill>
                <a:schemeClr val="accent2"/>
              </a:solidFill>
              <a:effectLst/>
            </c:spPr>
            <c:extLst>
              <c:ext xmlns:c16="http://schemas.microsoft.com/office/drawing/2014/chart" uri="{C3380CC4-5D6E-409C-BE32-E72D297353CC}">
                <c16:uniqueId val="{00000001-3465-4A1A-8C06-6191578C7663}"/>
              </c:ext>
            </c:extLst>
          </c:dPt>
          <c:dPt>
            <c:idx val="1"/>
            <c:bubble3D val="0"/>
            <c:spPr>
              <a:solidFill>
                <a:schemeClr val="accent4">
                  <a:lumMod val="75000"/>
                </a:schemeClr>
              </a:solidFill>
              <a:effectLst/>
            </c:spPr>
            <c:extLst>
              <c:ext xmlns:c16="http://schemas.microsoft.com/office/drawing/2014/chart" uri="{C3380CC4-5D6E-409C-BE32-E72D297353CC}">
                <c16:uniqueId val="{00000003-3465-4A1A-8C06-6191578C7663}"/>
              </c:ext>
            </c:extLst>
          </c:dPt>
          <c:dPt>
            <c:idx val="2"/>
            <c:bubble3D val="0"/>
            <c:spPr>
              <a:solidFill>
                <a:schemeClr val="accent4">
                  <a:lumMod val="60000"/>
                  <a:lumOff val="40000"/>
                </a:schemeClr>
              </a:solidFill>
              <a:effectLst/>
            </c:spPr>
            <c:extLst>
              <c:ext xmlns:c16="http://schemas.microsoft.com/office/drawing/2014/chart" uri="{C3380CC4-5D6E-409C-BE32-E72D297353CC}">
                <c16:uniqueId val="{00000005-3465-4A1A-8C06-6191578C7663}"/>
              </c:ext>
            </c:extLst>
          </c:dPt>
          <c:dPt>
            <c:idx val="3"/>
            <c:bubble3D val="0"/>
            <c:spPr>
              <a:solidFill>
                <a:schemeClr val="accent3"/>
              </a:solidFill>
              <a:effectLst/>
            </c:spPr>
            <c:extLst>
              <c:ext xmlns:c16="http://schemas.microsoft.com/office/drawing/2014/chart" uri="{C3380CC4-5D6E-409C-BE32-E72D297353CC}">
                <c16:uniqueId val="{00000007-3465-4A1A-8C06-6191578C7663}"/>
              </c:ext>
            </c:extLst>
          </c:dPt>
          <c:dPt>
            <c:idx val="4"/>
            <c:bubble3D val="0"/>
            <c:spPr>
              <a:solidFill>
                <a:schemeClr val="accent5"/>
              </a:solidFill>
              <a:effectLst/>
            </c:spPr>
            <c:extLst>
              <c:ext xmlns:c16="http://schemas.microsoft.com/office/drawing/2014/chart" uri="{C3380CC4-5D6E-409C-BE32-E72D297353CC}">
                <c16:uniqueId val="{00000009-3465-4A1A-8C06-6191578C7663}"/>
              </c:ext>
            </c:extLst>
          </c:dPt>
          <c:dPt>
            <c:idx val="5"/>
            <c:bubble3D val="0"/>
            <c:spPr>
              <a:solidFill>
                <a:schemeClr val="accent6"/>
              </a:solidFill>
              <a:effectLst/>
            </c:spPr>
            <c:extLst>
              <c:ext xmlns:c16="http://schemas.microsoft.com/office/drawing/2014/chart" uri="{C3380CC4-5D6E-409C-BE32-E72D297353CC}">
                <c16:uniqueId val="{0000000B-3465-4A1A-8C06-6191578C7663}"/>
              </c:ext>
            </c:extLst>
          </c:dPt>
          <c:dPt>
            <c:idx val="6"/>
            <c:bubble3D val="0"/>
            <c:spPr>
              <a:solidFill>
                <a:schemeClr val="accent1">
                  <a:lumMod val="75000"/>
                </a:schemeClr>
              </a:solidFill>
              <a:effectLst/>
            </c:spPr>
            <c:extLst>
              <c:ext xmlns:c16="http://schemas.microsoft.com/office/drawing/2014/chart" uri="{C3380CC4-5D6E-409C-BE32-E72D297353CC}">
                <c16:uniqueId val="{0000000D-3465-4A1A-8C06-6191578C7663}"/>
              </c:ext>
            </c:extLst>
          </c:dPt>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Déplacements!$B$441:$C$447</c:f>
              <c:strCache>
                <c:ptCount val="7"/>
                <c:pt idx="0">
                  <c:v>Domicile-travail</c:v>
                </c:pt>
                <c:pt idx="1">
                  <c:v>Employés, voiture</c:v>
                </c:pt>
                <c:pt idx="2">
                  <c:v>Employés, autre route</c:v>
                </c:pt>
                <c:pt idx="3">
                  <c:v>Employés, train</c:v>
                </c:pt>
                <c:pt idx="4">
                  <c:v>Employés, avion</c:v>
                </c:pt>
                <c:pt idx="5">
                  <c:v>Employés, bateau</c:v>
                </c:pt>
                <c:pt idx="6">
                  <c:v>Visiteurs, tous modes</c:v>
                </c:pt>
              </c:strCache>
            </c:strRef>
          </c:cat>
          <c:val>
            <c:numRef>
              <c:f>Déplacements!$D$441:$D$447</c:f>
              <c:numCache>
                <c:formatCode>#,##0</c:formatCode>
                <c:ptCount val="7"/>
                <c:pt idx="0">
                  <c:v>82747.526600000012</c:v>
                </c:pt>
                <c:pt idx="1">
                  <c:v>38257.154999999999</c:v>
                </c:pt>
                <c:pt idx="2">
                  <c:v>0</c:v>
                </c:pt>
                <c:pt idx="3">
                  <c:v>45.311999999999998</c:v>
                </c:pt>
                <c:pt idx="4">
                  <c:v>2644.98</c:v>
                </c:pt>
                <c:pt idx="5">
                  <c:v>0</c:v>
                </c:pt>
                <c:pt idx="6">
                  <c:v>0</c:v>
                </c:pt>
              </c:numCache>
            </c:numRef>
          </c:val>
          <c:extLst>
            <c:ext xmlns:c16="http://schemas.microsoft.com/office/drawing/2014/chart" uri="{C3380CC4-5D6E-409C-BE32-E72D297353CC}">
              <c16:uniqueId val="{0000000E-3465-4A1A-8C06-6191578C766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562604166666658"/>
          <c:y val="0.24815916666666665"/>
          <c:w val="0.36375156250000001"/>
          <c:h val="0.63608472222222223"/>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Déchets directs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'Déchets directs'!$E$219</c:f>
              <c:strCache>
                <c:ptCount val="1"/>
                <c:pt idx="0">
                  <c:v>t CO2e</c:v>
                </c:pt>
              </c:strCache>
            </c:strRef>
          </c:tx>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directs'!$E$220:$E$228</c:f>
              <c:numCache>
                <c:formatCode>#,##0</c:formatCode>
                <c:ptCount val="9"/>
                <c:pt idx="0">
                  <c:v>39.17</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0E2E-4065-8DC5-B4AC91230F6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767465277777769"/>
          <c:y val="0.13879805555555555"/>
          <c:w val="0.3417029513888889"/>
          <c:h val="0.74544583333333336"/>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Immobilisations</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br>
              <a:rPr lang="fr-FR" sz="1400">
                <a:solidFill>
                  <a:sysClr val="windowText" lastClr="000000"/>
                </a:solidFill>
              </a:rPr>
            </a:br>
            <a:r>
              <a:rPr lang="fr-FR" sz="1400">
                <a:solidFill>
                  <a:schemeClr val="accent6">
                    <a:lumMod val="75000"/>
                  </a:schemeClr>
                </a:solidFill>
              </a:rPr>
              <a:t>en</a:t>
            </a:r>
            <a:r>
              <a:rPr lang="fr-FR" sz="1400" baseline="0">
                <a:solidFill>
                  <a:schemeClr val="accent6">
                    <a:lumMod val="75000"/>
                  </a:schemeClr>
                </a:solidFill>
              </a:rPr>
              <a:t> </a:t>
            </a:r>
            <a:r>
              <a:rPr lang="fr-FR" sz="1400">
                <a:solidFill>
                  <a:schemeClr val="accent6">
                    <a:lumMod val="75000"/>
                  </a:schemeClr>
                </a:solidFill>
              </a:rPr>
              <a:t>tCO2e</a:t>
            </a:r>
          </a:p>
        </c:rich>
      </c:tx>
      <c:overlay val="0"/>
    </c:title>
    <c:autoTitleDeleted val="0"/>
    <c:plotArea>
      <c:layout>
        <c:manualLayout>
          <c:layoutTarget val="inner"/>
          <c:xMode val="edge"/>
          <c:yMode val="edge"/>
          <c:x val="8.4016820987654325E-2"/>
          <c:y val="0.13910246962149464"/>
          <c:w val="0.86676157407407406"/>
          <c:h val="0.68392745729278059"/>
        </c:manualLayout>
      </c:layout>
      <c:barChart>
        <c:barDir val="col"/>
        <c:grouping val="clustered"/>
        <c:varyColors val="0"/>
        <c:ser>
          <c:idx val="0"/>
          <c:order val="0"/>
          <c:tx>
            <c:strRef>
              <c:f>Immobilisations!$L$249</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Immobilisations!$B$250:$C$253</c:f>
              <c:strCache>
                <c:ptCount val="4"/>
                <c:pt idx="0">
                  <c:v>Bâtiments</c:v>
                </c:pt>
                <c:pt idx="1">
                  <c:v>Infra hors bâtiments</c:v>
                </c:pt>
                <c:pt idx="2">
                  <c:v>Véhicules, machines, mobilier</c:v>
                </c:pt>
                <c:pt idx="3">
                  <c:v>Informatique</c:v>
                </c:pt>
              </c:strCache>
            </c:strRef>
          </c:cat>
          <c:val>
            <c:numRef>
              <c:f>Immobilisations!$L$250:$L$253</c:f>
              <c:numCache>
                <c:formatCode>#\ ##0.0</c:formatCode>
                <c:ptCount val="4"/>
                <c:pt idx="0">
                  <c:v>20.625</c:v>
                </c:pt>
                <c:pt idx="1">
                  <c:v>1.825</c:v>
                </c:pt>
                <c:pt idx="2">
                  <c:v>19.739999999999998</c:v>
                </c:pt>
                <c:pt idx="3">
                  <c:v>1.7383866666666667</c:v>
                </c:pt>
              </c:numCache>
            </c:numRef>
          </c:val>
          <c:extLst>
            <c:ext xmlns:c16="http://schemas.microsoft.com/office/drawing/2014/chart" uri="{C3380CC4-5D6E-409C-BE32-E72D297353CC}">
              <c16:uniqueId val="{00000000-1280-4E27-B717-82348841CE62}"/>
            </c:ext>
          </c:extLst>
        </c:ser>
        <c:dLbls>
          <c:showLegendKey val="0"/>
          <c:showVal val="0"/>
          <c:showCatName val="0"/>
          <c:showSerName val="0"/>
          <c:showPercent val="0"/>
          <c:showBubbleSize val="0"/>
        </c:dLbls>
        <c:gapWidth val="100"/>
        <c:axId val="205767808"/>
        <c:axId val="205769344"/>
      </c:barChart>
      <c:stockChart>
        <c:ser>
          <c:idx val="1"/>
          <c:order val="1"/>
          <c:tx>
            <c:strRef>
              <c:f>Immobilisations!$L$249</c:f>
              <c:strCache>
                <c:ptCount val="1"/>
                <c:pt idx="0">
                  <c:v>Median</c:v>
                </c:pt>
              </c:strCache>
            </c:strRef>
          </c:tx>
          <c:spPr>
            <a:ln w="47625">
              <a:noFill/>
            </a:ln>
          </c:spPr>
          <c:marker>
            <c:symbol val="none"/>
          </c:marker>
          <c:cat>
            <c:multiLvlStrRef>
              <c:f>#REF!</c:f>
            </c:multiLvlStrRef>
          </c:cat>
          <c:val>
            <c:numRef>
              <c:f>Immobilisations!$L$250:$L$253</c:f>
              <c:numCache>
                <c:formatCode>#\ ##0.0</c:formatCode>
                <c:ptCount val="4"/>
                <c:pt idx="0">
                  <c:v>20.625</c:v>
                </c:pt>
                <c:pt idx="1">
                  <c:v>1.825</c:v>
                </c:pt>
                <c:pt idx="2">
                  <c:v>19.739999999999998</c:v>
                </c:pt>
                <c:pt idx="3">
                  <c:v>1.7383866666666667</c:v>
                </c:pt>
              </c:numCache>
            </c:numRef>
          </c:val>
          <c:smooth val="0"/>
          <c:extLst>
            <c:ext xmlns:c16="http://schemas.microsoft.com/office/drawing/2014/chart" uri="{C3380CC4-5D6E-409C-BE32-E72D297353CC}">
              <c16:uniqueId val="{00000001-1280-4E27-B717-82348841CE62}"/>
            </c:ext>
          </c:extLst>
        </c:ser>
        <c:ser>
          <c:idx val="2"/>
          <c:order val="2"/>
          <c:tx>
            <c:strRef>
              <c:f>Immobilisations!$K$249</c:f>
              <c:strCache>
                <c:ptCount val="1"/>
                <c:pt idx="0">
                  <c:v>Bas</c:v>
                </c:pt>
              </c:strCache>
            </c:strRef>
          </c:tx>
          <c:spPr>
            <a:ln w="47625">
              <a:noFill/>
            </a:ln>
          </c:spPr>
          <c:marker>
            <c:symbol val="none"/>
          </c:marker>
          <c:cat>
            <c:multiLvlStrRef>
              <c:f>#REF!</c:f>
            </c:multiLvlStrRef>
          </c:cat>
          <c:val>
            <c:numRef>
              <c:f>Immobilisations!$K$250:$K$253</c:f>
              <c:numCache>
                <c:formatCode>#\ ##0.0</c:formatCode>
                <c:ptCount val="4"/>
                <c:pt idx="0">
                  <c:v>10.3125</c:v>
                </c:pt>
                <c:pt idx="1">
                  <c:v>1.55125</c:v>
                </c:pt>
                <c:pt idx="2">
                  <c:v>13.378523166748149</c:v>
                </c:pt>
                <c:pt idx="3">
                  <c:v>1.1654164855150742</c:v>
                </c:pt>
              </c:numCache>
            </c:numRef>
          </c:val>
          <c:smooth val="0"/>
          <c:extLst>
            <c:ext xmlns:c16="http://schemas.microsoft.com/office/drawing/2014/chart" uri="{C3380CC4-5D6E-409C-BE32-E72D297353CC}">
              <c16:uniqueId val="{00000002-1280-4E27-B717-82348841CE62}"/>
            </c:ext>
          </c:extLst>
        </c:ser>
        <c:ser>
          <c:idx val="3"/>
          <c:order val="3"/>
          <c:tx>
            <c:strRef>
              <c:f>Immobilisations!$N$249</c:f>
              <c:strCache>
                <c:ptCount val="1"/>
                <c:pt idx="0">
                  <c:v>Haut</c:v>
                </c:pt>
              </c:strCache>
            </c:strRef>
          </c:tx>
          <c:spPr>
            <a:ln w="47625">
              <a:noFill/>
            </a:ln>
          </c:spPr>
          <c:marker>
            <c:symbol val="none"/>
          </c:marker>
          <c:cat>
            <c:multiLvlStrRef>
              <c:f>#REF!</c:f>
            </c:multiLvlStrRef>
          </c:cat>
          <c:val>
            <c:numRef>
              <c:f>Immobilisations!$N$250:$N$253</c:f>
              <c:numCache>
                <c:formatCode>#\ ##0.0</c:formatCode>
                <c:ptCount val="4"/>
                <c:pt idx="0">
                  <c:v>30.9375</c:v>
                </c:pt>
                <c:pt idx="1">
                  <c:v>2.0987499999999999</c:v>
                </c:pt>
                <c:pt idx="2">
                  <c:v>26.101476833251851</c:v>
                </c:pt>
                <c:pt idx="3">
                  <c:v>2.3113568478182596</c:v>
                </c:pt>
              </c:numCache>
            </c:numRef>
          </c:val>
          <c:smooth val="0"/>
          <c:extLst>
            <c:ext xmlns:c16="http://schemas.microsoft.com/office/drawing/2014/chart" uri="{C3380CC4-5D6E-409C-BE32-E72D297353CC}">
              <c16:uniqueId val="{00000003-1280-4E27-B717-82348841CE62}"/>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772672"/>
        <c:axId val="205771136"/>
      </c:stockChart>
      <c:catAx>
        <c:axId val="20576780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769344"/>
        <c:crosses val="autoZero"/>
        <c:auto val="1"/>
        <c:lblAlgn val="ctr"/>
        <c:lblOffset val="100"/>
        <c:noMultiLvlLbl val="0"/>
      </c:catAx>
      <c:valAx>
        <c:axId val="20576934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767808"/>
        <c:crosses val="autoZero"/>
        <c:crossBetween val="between"/>
      </c:valAx>
      <c:valAx>
        <c:axId val="205771136"/>
        <c:scaling>
          <c:orientation val="minMax"/>
        </c:scaling>
        <c:delete val="1"/>
        <c:axPos val="r"/>
        <c:numFmt formatCode="#\ ##0.0" sourceLinked="1"/>
        <c:majorTickMark val="out"/>
        <c:minorTickMark val="none"/>
        <c:tickLblPos val="nextTo"/>
        <c:crossAx val="205772672"/>
        <c:crosses val="max"/>
        <c:crossBetween val="between"/>
      </c:valAx>
      <c:catAx>
        <c:axId val="205772672"/>
        <c:scaling>
          <c:orientation val="minMax"/>
        </c:scaling>
        <c:delete val="1"/>
        <c:axPos val="b"/>
        <c:numFmt formatCode="General" sourceLinked="1"/>
        <c:majorTickMark val="out"/>
        <c:minorTickMark val="none"/>
        <c:tickLblPos val="nextTo"/>
        <c:crossAx val="205771136"/>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9.6102469135802462E-2"/>
          <c:y val="0.11070413911678749"/>
          <c:w val="0.84887391975308646"/>
          <c:h val="0.71232586571255785"/>
        </c:manualLayout>
      </c:layout>
      <c:barChart>
        <c:barDir val="col"/>
        <c:grouping val="clustered"/>
        <c:varyColors val="0"/>
        <c:ser>
          <c:idx val="0"/>
          <c:order val="0"/>
          <c:tx>
            <c:strRef>
              <c:f>'Energie 2'!$L$198</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2'!$L$199:$L$203</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D6F8-4AD7-A198-3B636A6E59AC}"/>
            </c:ext>
          </c:extLst>
        </c:ser>
        <c:dLbls>
          <c:showLegendKey val="0"/>
          <c:showVal val="0"/>
          <c:showCatName val="0"/>
          <c:showSerName val="0"/>
          <c:showPercent val="0"/>
          <c:showBubbleSize val="0"/>
        </c:dLbls>
        <c:gapWidth val="100"/>
        <c:axId val="205169792"/>
        <c:axId val="205171328"/>
      </c:barChart>
      <c:stockChart>
        <c:ser>
          <c:idx val="1"/>
          <c:order val="1"/>
          <c:tx>
            <c:strRef>
              <c:f>'Energie 2'!$M$198</c:f>
              <c:strCache>
                <c:ptCount val="1"/>
                <c:pt idx="0">
                  <c:v>Median</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2'!$M$199:$M$203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D6F8-4AD7-A198-3B636A6E59AC}"/>
            </c:ext>
          </c:extLst>
        </c:ser>
        <c:ser>
          <c:idx val="2"/>
          <c:order val="2"/>
          <c:tx>
            <c:strRef>
              <c:f>'Energie 2'!$K$198</c:f>
              <c:strCache>
                <c:ptCount val="1"/>
                <c:pt idx="0">
                  <c:v>Bas</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2'!$K$199:$K$203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6F8-4AD7-A198-3B636A6E59AC}"/>
            </c:ext>
          </c:extLst>
        </c:ser>
        <c:ser>
          <c:idx val="3"/>
          <c:order val="3"/>
          <c:tx>
            <c:strRef>
              <c:f>'Energie 2'!$N$198</c:f>
              <c:strCache>
                <c:ptCount val="1"/>
                <c:pt idx="0">
                  <c:v>Haut</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2'!$N$199:$N$203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D6F8-4AD7-A198-3B636A6E59A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174656"/>
        <c:axId val="205173120"/>
      </c:stockChart>
      <c:catAx>
        <c:axId val="205169792"/>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171328"/>
        <c:crosses val="autoZero"/>
        <c:auto val="1"/>
        <c:lblAlgn val="ctr"/>
        <c:lblOffset val="100"/>
        <c:noMultiLvlLbl val="0"/>
      </c:catAx>
      <c:valAx>
        <c:axId val="20517132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169792"/>
        <c:crosses val="autoZero"/>
        <c:crossBetween val="between"/>
      </c:valAx>
      <c:valAx>
        <c:axId val="205173120"/>
        <c:scaling>
          <c:orientation val="minMax"/>
        </c:scaling>
        <c:delete val="1"/>
        <c:axPos val="r"/>
        <c:numFmt formatCode="#\ ##0.0" sourceLinked="1"/>
        <c:majorTickMark val="out"/>
        <c:minorTickMark val="none"/>
        <c:tickLblPos val="nextTo"/>
        <c:crossAx val="205174656"/>
        <c:crosses val="max"/>
        <c:crossBetween val="between"/>
      </c:valAx>
      <c:catAx>
        <c:axId val="205174656"/>
        <c:scaling>
          <c:orientation val="minMax"/>
        </c:scaling>
        <c:delete val="1"/>
        <c:axPos val="b"/>
        <c:numFmt formatCode="General" sourceLinked="1"/>
        <c:majorTickMark val="out"/>
        <c:minorTickMark val="none"/>
        <c:tickLblPos val="nextTo"/>
        <c:crossAx val="2051731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Immobilisations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Immobilisations!$B$250:$C$253</c:f>
              <c:strCache>
                <c:ptCount val="4"/>
                <c:pt idx="0">
                  <c:v>Bâtiments</c:v>
                </c:pt>
                <c:pt idx="1">
                  <c:v>Infra hors bâtiments</c:v>
                </c:pt>
                <c:pt idx="2">
                  <c:v>Véhicules, machines, mobilier</c:v>
                </c:pt>
                <c:pt idx="3">
                  <c:v>Informatique</c:v>
                </c:pt>
              </c:strCache>
            </c:strRef>
          </c:cat>
          <c:val>
            <c:numRef>
              <c:f>Immobilisations!$D$250:$D$253</c:f>
              <c:numCache>
                <c:formatCode>#,##0</c:formatCode>
                <c:ptCount val="4"/>
                <c:pt idx="0">
                  <c:v>20625</c:v>
                </c:pt>
                <c:pt idx="1">
                  <c:v>1825</c:v>
                </c:pt>
                <c:pt idx="2">
                  <c:v>19740</c:v>
                </c:pt>
                <c:pt idx="3">
                  <c:v>1738.3866666666668</c:v>
                </c:pt>
              </c:numCache>
            </c:numRef>
          </c:val>
          <c:extLst>
            <c:ext xmlns:c16="http://schemas.microsoft.com/office/drawing/2014/chart" uri="{C3380CC4-5D6E-409C-BE32-E72D297353CC}">
              <c16:uniqueId val="{00000000-3DD2-4130-B943-2ED002D2264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07659722222222"/>
          <c:y val="0.22250252525252523"/>
          <c:w val="0.34390781250000002"/>
          <c:h val="0.57354696969696972"/>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Utilisation</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7.9940277777777791E-2"/>
          <c:y val="0.11070413911678749"/>
          <c:w val="0.8687214506172839"/>
          <c:h val="0.71232586571255785"/>
        </c:manualLayout>
      </c:layout>
      <c:barChart>
        <c:barDir val="col"/>
        <c:grouping val="clustered"/>
        <c:varyColors val="0"/>
        <c:ser>
          <c:idx val="0"/>
          <c:order val="0"/>
          <c:tx>
            <c:strRef>
              <c:f>Utilisation!$L$121</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Utilisation!$B$122:$C$125</c:f>
              <c:strCache>
                <c:ptCount val="4"/>
                <c:pt idx="0">
                  <c:v>Combustibles</c:v>
                </c:pt>
                <c:pt idx="1">
                  <c:v>Vapeur et froid</c:v>
                </c:pt>
                <c:pt idx="2">
                  <c:v>Electricité</c:v>
                </c:pt>
                <c:pt idx="3">
                  <c:v>Emissions non énergétiques</c:v>
                </c:pt>
              </c:strCache>
            </c:strRef>
          </c:cat>
          <c:val>
            <c:numRef>
              <c:f>Utilisation!$L$122:$L$125</c:f>
              <c:numCache>
                <c:formatCode>#\ ##0.0</c:formatCode>
                <c:ptCount val="4"/>
                <c:pt idx="0">
                  <c:v>0</c:v>
                </c:pt>
                <c:pt idx="1">
                  <c:v>0</c:v>
                </c:pt>
                <c:pt idx="2">
                  <c:v>5.3314577495621718</c:v>
                </c:pt>
                <c:pt idx="3">
                  <c:v>0</c:v>
                </c:pt>
              </c:numCache>
            </c:numRef>
          </c:val>
          <c:extLst>
            <c:ext xmlns:c16="http://schemas.microsoft.com/office/drawing/2014/chart" uri="{C3380CC4-5D6E-409C-BE32-E72D297353CC}">
              <c16:uniqueId val="{00000000-9F4A-4FD3-BF1A-2B66F4EE270D}"/>
            </c:ext>
          </c:extLst>
        </c:ser>
        <c:dLbls>
          <c:showLegendKey val="0"/>
          <c:showVal val="0"/>
          <c:showCatName val="0"/>
          <c:showSerName val="0"/>
          <c:showPercent val="0"/>
          <c:showBubbleSize val="0"/>
        </c:dLbls>
        <c:gapWidth val="100"/>
        <c:axId val="205837056"/>
        <c:axId val="205838592"/>
      </c:barChart>
      <c:stockChart>
        <c:ser>
          <c:idx val="1"/>
          <c:order val="1"/>
          <c:tx>
            <c:strRef>
              <c:f>Utilisation!$L$121</c:f>
              <c:strCache>
                <c:ptCount val="1"/>
                <c:pt idx="0">
                  <c:v>Median</c:v>
                </c:pt>
              </c:strCache>
            </c:strRef>
          </c:tx>
          <c:spPr>
            <a:ln w="47625">
              <a:noFill/>
            </a:ln>
          </c:spPr>
          <c:marker>
            <c:symbol val="none"/>
          </c:marker>
          <c:cat>
            <c:multiLvlStrRef>
              <c:f>#REF!</c:f>
            </c:multiLvlStrRef>
          </c:cat>
          <c:val>
            <c:numRef>
              <c:f>Utilisation!$L$122:$L$125</c:f>
              <c:numCache>
                <c:formatCode>#\ ##0.0</c:formatCode>
                <c:ptCount val="4"/>
                <c:pt idx="0">
                  <c:v>0</c:v>
                </c:pt>
                <c:pt idx="1">
                  <c:v>0</c:v>
                </c:pt>
                <c:pt idx="2">
                  <c:v>5.3314577495621718</c:v>
                </c:pt>
                <c:pt idx="3">
                  <c:v>0</c:v>
                </c:pt>
              </c:numCache>
            </c:numRef>
          </c:val>
          <c:smooth val="0"/>
          <c:extLst>
            <c:ext xmlns:c16="http://schemas.microsoft.com/office/drawing/2014/chart" uri="{C3380CC4-5D6E-409C-BE32-E72D297353CC}">
              <c16:uniqueId val="{00000001-9F4A-4FD3-BF1A-2B66F4EE270D}"/>
            </c:ext>
          </c:extLst>
        </c:ser>
        <c:ser>
          <c:idx val="2"/>
          <c:order val="2"/>
          <c:tx>
            <c:strRef>
              <c:f>Utilisation!$K$121</c:f>
              <c:strCache>
                <c:ptCount val="1"/>
                <c:pt idx="0">
                  <c:v>Bas</c:v>
                </c:pt>
              </c:strCache>
            </c:strRef>
          </c:tx>
          <c:spPr>
            <a:ln w="47625">
              <a:noFill/>
            </a:ln>
          </c:spPr>
          <c:marker>
            <c:symbol val="none"/>
          </c:marker>
          <c:cat>
            <c:multiLvlStrRef>
              <c:f>#REF!</c:f>
            </c:multiLvlStrRef>
          </c:cat>
          <c:val>
            <c:numRef>
              <c:f>Utilisation!$K$122:$K$125</c:f>
              <c:numCache>
                <c:formatCode>#\ ##0.0</c:formatCode>
                <c:ptCount val="4"/>
                <c:pt idx="0">
                  <c:v>0</c:v>
                </c:pt>
                <c:pt idx="1">
                  <c:v>0</c:v>
                </c:pt>
                <c:pt idx="2">
                  <c:v>4.7807839760070046</c:v>
                </c:pt>
                <c:pt idx="3">
                  <c:v>0</c:v>
                </c:pt>
              </c:numCache>
            </c:numRef>
          </c:val>
          <c:smooth val="0"/>
          <c:extLst>
            <c:ext xmlns:c16="http://schemas.microsoft.com/office/drawing/2014/chart" uri="{C3380CC4-5D6E-409C-BE32-E72D297353CC}">
              <c16:uniqueId val="{00000002-9F4A-4FD3-BF1A-2B66F4EE270D}"/>
            </c:ext>
          </c:extLst>
        </c:ser>
        <c:ser>
          <c:idx val="3"/>
          <c:order val="3"/>
          <c:tx>
            <c:strRef>
              <c:f>Utilisation!$N$121</c:f>
              <c:strCache>
                <c:ptCount val="1"/>
                <c:pt idx="0">
                  <c:v>Haut</c:v>
                </c:pt>
              </c:strCache>
            </c:strRef>
          </c:tx>
          <c:spPr>
            <a:ln w="47625">
              <a:noFill/>
            </a:ln>
          </c:spPr>
          <c:marker>
            <c:symbol val="none"/>
          </c:marker>
          <c:cat>
            <c:multiLvlStrRef>
              <c:f>#REF!</c:f>
            </c:multiLvlStrRef>
          </c:cat>
          <c:val>
            <c:numRef>
              <c:f>Utilisation!$N$122:$N$125</c:f>
              <c:numCache>
                <c:formatCode>#\ ##0.0</c:formatCode>
                <c:ptCount val="4"/>
                <c:pt idx="0">
                  <c:v>0</c:v>
                </c:pt>
                <c:pt idx="1">
                  <c:v>0</c:v>
                </c:pt>
                <c:pt idx="2">
                  <c:v>5.8821315231173381</c:v>
                </c:pt>
                <c:pt idx="3">
                  <c:v>0</c:v>
                </c:pt>
              </c:numCache>
            </c:numRef>
          </c:val>
          <c:smooth val="0"/>
          <c:extLst>
            <c:ext xmlns:c16="http://schemas.microsoft.com/office/drawing/2014/chart" uri="{C3380CC4-5D6E-409C-BE32-E72D297353CC}">
              <c16:uniqueId val="{00000003-9F4A-4FD3-BF1A-2B66F4EE270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177792"/>
        <c:axId val="206176256"/>
      </c:stockChart>
      <c:catAx>
        <c:axId val="205837056"/>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838592"/>
        <c:crosses val="autoZero"/>
        <c:auto val="1"/>
        <c:lblAlgn val="ctr"/>
        <c:lblOffset val="100"/>
        <c:noMultiLvlLbl val="0"/>
      </c:catAx>
      <c:valAx>
        <c:axId val="20583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837056"/>
        <c:crosses val="autoZero"/>
        <c:crossBetween val="between"/>
      </c:valAx>
      <c:valAx>
        <c:axId val="206176256"/>
        <c:scaling>
          <c:orientation val="minMax"/>
        </c:scaling>
        <c:delete val="1"/>
        <c:axPos val="r"/>
        <c:numFmt formatCode="#\ ##0.0" sourceLinked="1"/>
        <c:majorTickMark val="out"/>
        <c:minorTickMark val="none"/>
        <c:tickLblPos val="nextTo"/>
        <c:crossAx val="206177792"/>
        <c:crosses val="max"/>
        <c:crossBetween val="between"/>
      </c:valAx>
      <c:catAx>
        <c:axId val="206177792"/>
        <c:scaling>
          <c:orientation val="minMax"/>
        </c:scaling>
        <c:delete val="1"/>
        <c:axPos val="b"/>
        <c:numFmt formatCode="General" sourceLinked="1"/>
        <c:majorTickMark val="out"/>
        <c:minorTickMark val="none"/>
        <c:tickLblPos val="nextTo"/>
        <c:crossAx val="206176256"/>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Utilisation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Utilisation!$B$122:$C$125</c:f>
              <c:strCache>
                <c:ptCount val="4"/>
                <c:pt idx="0">
                  <c:v>Combustibles</c:v>
                </c:pt>
                <c:pt idx="1">
                  <c:v>Vapeur et froid</c:v>
                </c:pt>
                <c:pt idx="2">
                  <c:v>Electricité</c:v>
                </c:pt>
                <c:pt idx="3">
                  <c:v>Emissions non énergétiques</c:v>
                </c:pt>
              </c:strCache>
            </c:strRef>
          </c:cat>
          <c:val>
            <c:numRef>
              <c:f>Utilisation!$D$122:$D$125</c:f>
              <c:numCache>
                <c:formatCode>#,##0</c:formatCode>
                <c:ptCount val="4"/>
                <c:pt idx="0">
                  <c:v>0</c:v>
                </c:pt>
                <c:pt idx="1">
                  <c:v>0</c:v>
                </c:pt>
                <c:pt idx="2">
                  <c:v>5331.4577495621716</c:v>
                </c:pt>
                <c:pt idx="3">
                  <c:v>0</c:v>
                </c:pt>
              </c:numCache>
            </c:numRef>
          </c:val>
          <c:extLst>
            <c:ext xmlns:c16="http://schemas.microsoft.com/office/drawing/2014/chart" uri="{C3380CC4-5D6E-409C-BE32-E72D297353CC}">
              <c16:uniqueId val="{00000000-2B60-4BD0-8053-8E1E0327BDF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8486319444444443"/>
          <c:y val="0.23757583333333335"/>
          <c:w val="0.29981059027777779"/>
          <c:h val="0.55847361111111116"/>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Fin de vie</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4016820987654325E-2"/>
          <c:y val="0.11070413911678749"/>
          <c:w val="0.88244058641975309"/>
          <c:h val="0.71232586571255785"/>
        </c:manualLayout>
      </c:layout>
      <c:barChart>
        <c:barDir val="col"/>
        <c:grouping val="clustered"/>
        <c:varyColors val="0"/>
        <c:ser>
          <c:idx val="0"/>
          <c:order val="0"/>
          <c:tx>
            <c:strRef>
              <c:f>'Fin de vie'!$L$241</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 de vie'!$B$243:$C$251</c:f>
              <c:strCache>
                <c:ptCount val="8"/>
                <c:pt idx="0">
                  <c:v>Déchets d'emballages ménages</c:v>
                </c:pt>
                <c:pt idx="1">
                  <c:v>Déchets organiques et ordures ménagères</c:v>
                </c:pt>
                <c:pt idx="2">
                  <c:v>Piles, accumulateurs et DEEE</c:v>
                </c:pt>
                <c:pt idx="3">
                  <c:v>Ameublements et textiles</c:v>
                </c:pt>
                <c:pt idx="4">
                  <c:v>Fuites et non énergétique</c:v>
                </c:pt>
                <c:pt idx="5">
                  <c:v>Déchets dangereux</c:v>
                </c:pt>
                <c:pt idx="6">
                  <c:v>Déchets banals des acteurs économiques</c:v>
                </c:pt>
                <c:pt idx="7">
                  <c:v>Déchets bâtiments</c:v>
                </c:pt>
              </c:strCache>
            </c:strRef>
          </c:cat>
          <c:val>
            <c:numRef>
              <c:f>'Fin de vie'!$L$243:$L$251</c:f>
              <c:numCache>
                <c:formatCode>#\ ##0.0</c:formatCode>
                <c:ptCount val="8"/>
                <c:pt idx="0">
                  <c:v>958.13300000000004</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0F5-490A-87E3-B47F1F881636}"/>
            </c:ext>
          </c:extLst>
        </c:ser>
        <c:dLbls>
          <c:showLegendKey val="0"/>
          <c:showVal val="0"/>
          <c:showCatName val="0"/>
          <c:showSerName val="0"/>
          <c:showPercent val="0"/>
          <c:showBubbleSize val="0"/>
        </c:dLbls>
        <c:gapWidth val="100"/>
        <c:axId val="206524800"/>
        <c:axId val="206526336"/>
      </c:barChart>
      <c:stockChart>
        <c:ser>
          <c:idx val="1"/>
          <c:order val="1"/>
          <c:tx>
            <c:strRef>
              <c:f>'Fin de vie'!$L$241</c:f>
              <c:strCache>
                <c:ptCount val="1"/>
                <c:pt idx="0">
                  <c:v>Median</c:v>
                </c:pt>
              </c:strCache>
            </c:strRef>
          </c:tx>
          <c:spPr>
            <a:ln w="47625">
              <a:noFill/>
            </a:ln>
          </c:spPr>
          <c:marker>
            <c:symbol val="none"/>
          </c:marker>
          <c:cat>
            <c:multiLvlStrRef>
              <c:f>#REF!</c:f>
            </c:multiLvlStrRef>
          </c:cat>
          <c:val>
            <c:numRef>
              <c:f>'Fin de vie'!$L$243:$L$251</c:f>
              <c:numCache>
                <c:formatCode>#\ ##0.0</c:formatCode>
                <c:ptCount val="8"/>
                <c:pt idx="0">
                  <c:v>958.13300000000004</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60F5-490A-87E3-B47F1F881636}"/>
            </c:ext>
          </c:extLst>
        </c:ser>
        <c:ser>
          <c:idx val="2"/>
          <c:order val="2"/>
          <c:tx>
            <c:strRef>
              <c:f>'Fin de vie'!$K$241</c:f>
              <c:strCache>
                <c:ptCount val="1"/>
                <c:pt idx="0">
                  <c:v>Bas</c:v>
                </c:pt>
              </c:strCache>
            </c:strRef>
          </c:tx>
          <c:spPr>
            <a:ln w="47625">
              <a:noFill/>
            </a:ln>
          </c:spPr>
          <c:marker>
            <c:symbol val="none"/>
          </c:marker>
          <c:cat>
            <c:multiLvlStrRef>
              <c:f>#REF!</c:f>
            </c:multiLvlStrRef>
          </c:cat>
          <c:val>
            <c:numRef>
              <c:f>'Fin de vie'!$K$243:$K$251</c:f>
              <c:numCache>
                <c:formatCode>#\ ##0.0</c:formatCode>
                <c:ptCount val="8"/>
                <c:pt idx="0">
                  <c:v>780.99380000000008</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60F5-490A-87E3-B47F1F881636}"/>
            </c:ext>
          </c:extLst>
        </c:ser>
        <c:ser>
          <c:idx val="3"/>
          <c:order val="3"/>
          <c:tx>
            <c:strRef>
              <c:f>'Fin de vie'!$N$241</c:f>
              <c:strCache>
                <c:ptCount val="1"/>
                <c:pt idx="0">
                  <c:v>Haut</c:v>
                </c:pt>
              </c:strCache>
            </c:strRef>
          </c:tx>
          <c:spPr>
            <a:ln w="47625">
              <a:noFill/>
            </a:ln>
          </c:spPr>
          <c:marker>
            <c:symbol val="none"/>
          </c:marker>
          <c:cat>
            <c:multiLvlStrRef>
              <c:f>#REF!</c:f>
            </c:multiLvlStrRef>
          </c:cat>
          <c:val>
            <c:numRef>
              <c:f>'Fin de vie'!$N$243:$N$251</c:f>
              <c:numCache>
                <c:formatCode>#\ ##0.0</c:formatCode>
                <c:ptCount val="8"/>
                <c:pt idx="0">
                  <c:v>1135.2721999999999</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60F5-490A-87E3-B47F1F881636}"/>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529664"/>
        <c:axId val="206527872"/>
      </c:stockChart>
      <c:catAx>
        <c:axId val="206524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6526336"/>
        <c:crosses val="autoZero"/>
        <c:auto val="1"/>
        <c:lblAlgn val="ctr"/>
        <c:lblOffset val="100"/>
        <c:noMultiLvlLbl val="0"/>
      </c:catAx>
      <c:valAx>
        <c:axId val="206526336"/>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6524800"/>
        <c:crosses val="autoZero"/>
        <c:crossBetween val="between"/>
      </c:valAx>
      <c:valAx>
        <c:axId val="206527872"/>
        <c:scaling>
          <c:orientation val="minMax"/>
        </c:scaling>
        <c:delete val="1"/>
        <c:axPos val="r"/>
        <c:numFmt formatCode="#\ ##0.0" sourceLinked="1"/>
        <c:majorTickMark val="out"/>
        <c:minorTickMark val="none"/>
        <c:tickLblPos val="nextTo"/>
        <c:crossAx val="206529664"/>
        <c:crosses val="max"/>
        <c:crossBetween val="between"/>
      </c:valAx>
      <c:catAx>
        <c:axId val="206529664"/>
        <c:scaling>
          <c:orientation val="minMax"/>
        </c:scaling>
        <c:delete val="1"/>
        <c:axPos val="b"/>
        <c:numFmt formatCode="General" sourceLinked="1"/>
        <c:majorTickMark val="out"/>
        <c:minorTickMark val="none"/>
        <c:tickLblPos val="nextTo"/>
        <c:crossAx val="2065278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Fin de vie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'Fin de vie'!$B$243:$C$251</c:f>
              <c:strCache>
                <c:ptCount val="8"/>
                <c:pt idx="0">
                  <c:v>Déchets d'emballages ménages</c:v>
                </c:pt>
                <c:pt idx="1">
                  <c:v>Déchets organiques et ordures ménagères</c:v>
                </c:pt>
                <c:pt idx="2">
                  <c:v>Piles, accumulateurs et DEEE</c:v>
                </c:pt>
                <c:pt idx="3">
                  <c:v>Ameublements et textiles</c:v>
                </c:pt>
                <c:pt idx="4">
                  <c:v>Fuites et non énergétique</c:v>
                </c:pt>
                <c:pt idx="5">
                  <c:v>Déchets dangereux</c:v>
                </c:pt>
                <c:pt idx="6">
                  <c:v>Déchets banals des acteurs économiques</c:v>
                </c:pt>
                <c:pt idx="7">
                  <c:v>Déchets bâtiments</c:v>
                </c:pt>
              </c:strCache>
            </c:strRef>
          </c:cat>
          <c:val>
            <c:numRef>
              <c:f>'Fin de vie'!$D$243:$D$251</c:f>
              <c:numCache>
                <c:formatCode>#,##0</c:formatCode>
                <c:ptCount val="8"/>
                <c:pt idx="0">
                  <c:v>958133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EEC-4971-B498-3ACDA50D2E7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312708333333333"/>
          <c:y val="0.23757595010708332"/>
          <c:w val="0.33508836805555553"/>
          <c:h val="0.55847361111111116"/>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Ratios : </a:t>
            </a:r>
            <a:r>
              <a:rPr lang="fr-FR" sz="1400">
                <a:solidFill>
                  <a:srgbClr val="C00000"/>
                </a:solidFill>
              </a:rPr>
              <a:t>équivalent km en voiture par employé </a:t>
            </a:r>
            <a:r>
              <a:rPr lang="fr-FR" sz="1400"/>
              <a:t>par catégorie,</a:t>
            </a:r>
            <a:r>
              <a:rPr lang="fr-FR" sz="1400" baseline="0"/>
              <a:t> </a:t>
            </a:r>
            <a:br>
              <a:rPr lang="fr-FR" sz="1400" baseline="0"/>
            </a:br>
            <a:r>
              <a:rPr lang="fr-FR" sz="1400" baseline="0">
                <a:solidFill>
                  <a:schemeClr val="accent6">
                    <a:lumMod val="75000"/>
                  </a:schemeClr>
                </a:solidFill>
              </a:rPr>
              <a:t>en km</a:t>
            </a:r>
            <a:endParaRPr lang="fr-FR" sz="1400">
              <a:solidFill>
                <a:schemeClr val="accent6">
                  <a:lumMod val="75000"/>
                </a:schemeClr>
              </a:solidFill>
            </a:endParaRPr>
          </a:p>
        </c:rich>
      </c:tx>
      <c:overlay val="0"/>
    </c:title>
    <c:autoTitleDeleted val="0"/>
    <c:plotArea>
      <c:layout>
        <c:manualLayout>
          <c:layoutTarget val="inner"/>
          <c:xMode val="edge"/>
          <c:yMode val="edge"/>
          <c:x val="0.22503839869281045"/>
          <c:y val="0.15250734625612447"/>
          <c:w val="0.73545049019607844"/>
          <c:h val="0.76651915789231051"/>
        </c:manualLayout>
      </c:layout>
      <c:barChart>
        <c:barDir val="bar"/>
        <c:grouping val="clustered"/>
        <c:varyColors val="0"/>
        <c:ser>
          <c:idx val="0"/>
          <c:order val="0"/>
          <c:spPr>
            <a:solidFill>
              <a:schemeClr val="accent1"/>
            </a:solidFill>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Ratios!$B$6:$B$18</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Ratios!$E$6:$E$18</c:f>
              <c:numCache>
                <c:formatCode>#,##0</c:formatCode>
                <c:ptCount val="13"/>
                <c:pt idx="0">
                  <c:v>20757.199380208334</c:v>
                </c:pt>
                <c:pt idx="1">
                  <c:v>0</c:v>
                </c:pt>
                <c:pt idx="2">
                  <c:v>25.3125</c:v>
                </c:pt>
                <c:pt idx="3">
                  <c:v>0</c:v>
                </c:pt>
                <c:pt idx="4">
                  <c:v>138446.97916666669</c:v>
                </c:pt>
                <c:pt idx="5">
                  <c:v>0</c:v>
                </c:pt>
                <c:pt idx="6">
                  <c:v>16103.125</c:v>
                </c:pt>
                <c:pt idx="7">
                  <c:v>15403.116406250001</c:v>
                </c:pt>
                <c:pt idx="8">
                  <c:v>6442.4465416666671</c:v>
                </c:pt>
                <c:pt idx="9">
                  <c:v>2040.1041666666667</c:v>
                </c:pt>
                <c:pt idx="10">
                  <c:v>2287.9368055555556</c:v>
                </c:pt>
                <c:pt idx="11">
                  <c:v>277.6800911230298</c:v>
                </c:pt>
                <c:pt idx="12">
                  <c:v>49902.760416666672</c:v>
                </c:pt>
              </c:numCache>
            </c:numRef>
          </c:val>
          <c:extLst>
            <c:ext xmlns:c16="http://schemas.microsoft.com/office/drawing/2014/chart" uri="{C3380CC4-5D6E-409C-BE32-E72D297353CC}">
              <c16:uniqueId val="{00000000-A397-42F0-B7BC-C701AD499C0D}"/>
            </c:ext>
          </c:extLst>
        </c:ser>
        <c:dLbls>
          <c:showLegendKey val="0"/>
          <c:showVal val="0"/>
          <c:showCatName val="0"/>
          <c:showSerName val="0"/>
          <c:showPercent val="0"/>
          <c:showBubbleSize val="0"/>
        </c:dLbls>
        <c:gapWidth val="100"/>
        <c:axId val="206366976"/>
        <c:axId val="206372864"/>
      </c:barChart>
      <c:catAx>
        <c:axId val="206366976"/>
        <c:scaling>
          <c:orientation val="minMax"/>
        </c:scaling>
        <c:delete val="0"/>
        <c:axPos val="l"/>
        <c:numFmt formatCode="General" sourceLinked="0"/>
        <c:majorTickMark val="out"/>
        <c:minorTickMark val="none"/>
        <c:tickLblPos val="nextTo"/>
        <c:txPr>
          <a:bodyPr/>
          <a:lstStyle/>
          <a:p>
            <a:pPr>
              <a:defRPr sz="1200" b="1"/>
            </a:pPr>
            <a:endParaRPr lang="de-DE"/>
          </a:p>
        </c:txPr>
        <c:crossAx val="206372864"/>
        <c:crosses val="autoZero"/>
        <c:auto val="1"/>
        <c:lblAlgn val="ctr"/>
        <c:lblOffset val="100"/>
        <c:noMultiLvlLbl val="0"/>
      </c:catAx>
      <c:valAx>
        <c:axId val="206372864"/>
        <c:scaling>
          <c:orientation val="minMax"/>
        </c:scaling>
        <c:delete val="0"/>
        <c:axPos val="b"/>
        <c:majorGridlines/>
        <c:numFmt formatCode="#,##0" sourceLinked="1"/>
        <c:majorTickMark val="out"/>
        <c:minorTickMark val="none"/>
        <c:tickLblPos val="nextTo"/>
        <c:txPr>
          <a:bodyPr/>
          <a:lstStyle/>
          <a:p>
            <a:pPr>
              <a:defRPr sz="1200"/>
            </a:pPr>
            <a:endParaRPr lang="de-DE"/>
          </a:p>
        </c:txPr>
        <c:crossAx val="206366976"/>
        <c:crosses val="autoZero"/>
        <c:crossBetween val="between"/>
      </c:val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Ratios :</a:t>
            </a:r>
            <a:r>
              <a:rPr lang="fr-FR" sz="1400" baseline="0">
                <a:solidFill>
                  <a:schemeClr val="tx2"/>
                </a:solidFill>
              </a:rPr>
              <a:t> </a:t>
            </a:r>
            <a:r>
              <a:rPr lang="fr-FR" sz="1400">
                <a:solidFill>
                  <a:srgbClr val="C00000"/>
                </a:solidFill>
              </a:rPr>
              <a:t>émissions</a:t>
            </a:r>
            <a:r>
              <a:rPr lang="fr-FR" sz="1400" baseline="0">
                <a:solidFill>
                  <a:srgbClr val="C00000"/>
                </a:solidFill>
              </a:rPr>
              <a:t> </a:t>
            </a:r>
            <a:r>
              <a:rPr lang="fr-FR" sz="1400">
                <a:solidFill>
                  <a:srgbClr val="C00000"/>
                </a:solidFill>
              </a:rPr>
              <a:t>par €</a:t>
            </a:r>
            <a:r>
              <a:rPr lang="fr-FR" sz="1400" baseline="0">
                <a:solidFill>
                  <a:srgbClr val="C00000"/>
                </a:solidFill>
              </a:rPr>
              <a:t> de CA</a:t>
            </a:r>
            <a:r>
              <a:rPr lang="fr-FR" sz="1400">
                <a:solidFill>
                  <a:srgbClr val="C00000"/>
                </a:solidFill>
              </a:rPr>
              <a:t> </a:t>
            </a:r>
            <a:r>
              <a:rPr lang="fr-FR" sz="1400"/>
              <a:t>par catégorie,</a:t>
            </a:r>
            <a:r>
              <a:rPr lang="fr-FR" sz="1400" baseline="0"/>
              <a:t> </a:t>
            </a:r>
            <a:r>
              <a:rPr lang="fr-FR" sz="1400" baseline="0">
                <a:solidFill>
                  <a:schemeClr val="accent6">
                    <a:lumMod val="75000"/>
                  </a:schemeClr>
                </a:solidFill>
              </a:rPr>
              <a:t>en gCO2e</a:t>
            </a:r>
            <a:endParaRPr lang="fr-FR" sz="1400">
              <a:solidFill>
                <a:schemeClr val="accent6">
                  <a:lumMod val="75000"/>
                </a:schemeClr>
              </a:solidFill>
            </a:endParaRPr>
          </a:p>
        </c:rich>
      </c:tx>
      <c:overlay val="0"/>
    </c:title>
    <c:autoTitleDeleted val="0"/>
    <c:plotArea>
      <c:layout>
        <c:manualLayout>
          <c:layoutTarget val="inner"/>
          <c:xMode val="edge"/>
          <c:yMode val="edge"/>
          <c:x val="0.22503839869281045"/>
          <c:y val="0.104401946708004"/>
          <c:w val="0.73545049019607844"/>
          <c:h val="0.81462455744043094"/>
        </c:manualLayout>
      </c:layout>
      <c:barChart>
        <c:barDir val="bar"/>
        <c:grouping val="clustered"/>
        <c:varyColors val="0"/>
        <c:ser>
          <c:idx val="0"/>
          <c:order val="0"/>
          <c:spPr>
            <a:solidFill>
              <a:schemeClr val="accent1"/>
            </a:solidFill>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Ratios!$B$6:$B$18</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Ratios!$G$6:$G$18</c:f>
              <c:numCache>
                <c:formatCode>#,##0</c:formatCode>
                <c:ptCount val="13"/>
                <c:pt idx="0">
                  <c:v>21.77804525136612</c:v>
                </c:pt>
                <c:pt idx="1">
                  <c:v>0</c:v>
                </c:pt>
                <c:pt idx="2">
                  <c:v>2.6557377049180327E-2</c:v>
                </c:pt>
                <c:pt idx="3">
                  <c:v>0</c:v>
                </c:pt>
                <c:pt idx="4">
                  <c:v>145.25584699453549</c:v>
                </c:pt>
                <c:pt idx="5">
                  <c:v>0</c:v>
                </c:pt>
                <c:pt idx="6">
                  <c:v>16.895081967213116</c:v>
                </c:pt>
                <c:pt idx="7">
                  <c:v>16.160646721311476</c:v>
                </c:pt>
                <c:pt idx="8">
                  <c:v>6.7592881748633884</c:v>
                </c:pt>
                <c:pt idx="9">
                  <c:v>2.1404371584699455</c:v>
                </c:pt>
                <c:pt idx="10">
                  <c:v>2.4004582877959928</c:v>
                </c:pt>
                <c:pt idx="11">
                  <c:v>0.29133648904711318</c:v>
                </c:pt>
                <c:pt idx="12">
                  <c:v>52.356994535519128</c:v>
                </c:pt>
              </c:numCache>
            </c:numRef>
          </c:val>
          <c:extLst>
            <c:ext xmlns:c16="http://schemas.microsoft.com/office/drawing/2014/chart" uri="{C3380CC4-5D6E-409C-BE32-E72D297353CC}">
              <c16:uniqueId val="{00000000-50D5-4D0D-A88E-B77F782A714D}"/>
            </c:ext>
          </c:extLst>
        </c:ser>
        <c:dLbls>
          <c:showLegendKey val="0"/>
          <c:showVal val="0"/>
          <c:showCatName val="0"/>
          <c:showSerName val="0"/>
          <c:showPercent val="0"/>
          <c:showBubbleSize val="0"/>
        </c:dLbls>
        <c:gapWidth val="100"/>
        <c:axId val="206413824"/>
        <c:axId val="206415360"/>
      </c:barChart>
      <c:catAx>
        <c:axId val="206413824"/>
        <c:scaling>
          <c:orientation val="minMax"/>
        </c:scaling>
        <c:delete val="0"/>
        <c:axPos val="l"/>
        <c:numFmt formatCode="General" sourceLinked="0"/>
        <c:majorTickMark val="out"/>
        <c:minorTickMark val="none"/>
        <c:tickLblPos val="nextTo"/>
        <c:txPr>
          <a:bodyPr/>
          <a:lstStyle/>
          <a:p>
            <a:pPr>
              <a:defRPr sz="1200" b="1"/>
            </a:pPr>
            <a:endParaRPr lang="de-DE"/>
          </a:p>
        </c:txPr>
        <c:crossAx val="206415360"/>
        <c:crosses val="autoZero"/>
        <c:auto val="1"/>
        <c:lblAlgn val="ctr"/>
        <c:lblOffset val="100"/>
        <c:noMultiLvlLbl val="0"/>
      </c:catAx>
      <c:valAx>
        <c:axId val="206415360"/>
        <c:scaling>
          <c:orientation val="minMax"/>
        </c:scaling>
        <c:delete val="0"/>
        <c:axPos val="b"/>
        <c:majorGridlines/>
        <c:numFmt formatCode="#,##0" sourceLinked="0"/>
        <c:majorTickMark val="out"/>
        <c:minorTickMark val="none"/>
        <c:tickLblPos val="nextTo"/>
        <c:txPr>
          <a:bodyPr/>
          <a:lstStyle/>
          <a:p>
            <a:pPr>
              <a:defRPr sz="1200"/>
            </a:pPr>
            <a:endParaRPr lang="de-DE"/>
          </a:p>
        </c:txPr>
        <c:crossAx val="206413824"/>
        <c:crosses val="autoZero"/>
        <c:crossBetween val="between"/>
      </c:val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Fret : </a:t>
            </a:r>
            <a:r>
              <a:rPr lang="fr-FR" sz="1400">
                <a:solidFill>
                  <a:srgbClr val="C00000"/>
                </a:solidFill>
              </a:rPr>
              <a:t>émissions de GES </a:t>
            </a:r>
            <a:r>
              <a:rPr lang="fr-FR" sz="1400"/>
              <a:t>par flux et par mode, </a:t>
            </a:r>
          </a:p>
          <a:p>
            <a:pPr>
              <a:defRPr sz="1400"/>
            </a:pP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267400793650798"/>
          <c:h val="0.70582530864197535"/>
        </c:manualLayout>
      </c:layout>
      <c:barChart>
        <c:barDir val="col"/>
        <c:grouping val="stacked"/>
        <c:varyColors val="0"/>
        <c:ser>
          <c:idx val="1"/>
          <c:order val="0"/>
          <c:tx>
            <c:strRef>
              <c:f>Fret!$B$580</c:f>
              <c:strCache>
                <c:ptCount val="1"/>
                <c:pt idx="0">
                  <c:v>Route</c:v>
                </c:pt>
              </c:strCache>
            </c:strRef>
          </c:tx>
          <c:spPr>
            <a:solidFill>
              <a:schemeClr val="accent4"/>
            </a:solidFill>
            <a:effectLst/>
          </c:spPr>
          <c:invertIfNegative val="0"/>
          <c:cat>
            <c:strRef>
              <c:f>Fret!$D$579:$F$579</c:f>
              <c:strCache>
                <c:ptCount val="3"/>
                <c:pt idx="0">
                  <c:v>Entrant</c:v>
                </c:pt>
                <c:pt idx="1">
                  <c:v>Interne</c:v>
                </c:pt>
                <c:pt idx="2">
                  <c:v>Sortant</c:v>
                </c:pt>
              </c:strCache>
            </c:strRef>
          </c:cat>
          <c:val>
            <c:numRef>
              <c:f>Fret!$D$580:$F$580</c:f>
              <c:numCache>
                <c:formatCode>#,##0</c:formatCode>
                <c:ptCount val="3"/>
                <c:pt idx="0">
                  <c:v>93.036034999999998</c:v>
                </c:pt>
                <c:pt idx="1">
                  <c:v>0</c:v>
                </c:pt>
                <c:pt idx="2">
                  <c:v>154.49780000000001</c:v>
                </c:pt>
              </c:numCache>
            </c:numRef>
          </c:val>
          <c:extLst>
            <c:ext xmlns:c16="http://schemas.microsoft.com/office/drawing/2014/chart" uri="{C3380CC4-5D6E-409C-BE32-E72D297353CC}">
              <c16:uniqueId val="{00000000-3E62-47F2-B73C-290E04D3F3B8}"/>
            </c:ext>
          </c:extLst>
        </c:ser>
        <c:ser>
          <c:idx val="2"/>
          <c:order val="1"/>
          <c:tx>
            <c:strRef>
              <c:f>Fret!$B$581</c:f>
              <c:strCache>
                <c:ptCount val="1"/>
                <c:pt idx="0">
                  <c:v>Air</c:v>
                </c:pt>
              </c:strCache>
            </c:strRef>
          </c:tx>
          <c:spPr>
            <a:solidFill>
              <a:schemeClr val="accent5"/>
            </a:solidFill>
          </c:spPr>
          <c:invertIfNegative val="0"/>
          <c:cat>
            <c:strRef>
              <c:f>Fret!$D$579:$F$579</c:f>
              <c:strCache>
                <c:ptCount val="3"/>
                <c:pt idx="0">
                  <c:v>Entrant</c:v>
                </c:pt>
                <c:pt idx="1">
                  <c:v>Interne</c:v>
                </c:pt>
                <c:pt idx="2">
                  <c:v>Sortant</c:v>
                </c:pt>
              </c:strCache>
            </c:strRef>
          </c:cat>
          <c:val>
            <c:numRef>
              <c:f>Fret!$D$581:$F$581</c:f>
              <c:numCache>
                <c:formatCode>#,##0</c:formatCode>
                <c:ptCount val="3"/>
                <c:pt idx="0">
                  <c:v>0</c:v>
                </c:pt>
                <c:pt idx="1">
                  <c:v>0</c:v>
                </c:pt>
                <c:pt idx="2">
                  <c:v>0</c:v>
                </c:pt>
              </c:numCache>
            </c:numRef>
          </c:val>
          <c:extLst>
            <c:ext xmlns:c16="http://schemas.microsoft.com/office/drawing/2014/chart" uri="{C3380CC4-5D6E-409C-BE32-E72D297353CC}">
              <c16:uniqueId val="{00000001-3E62-47F2-B73C-290E04D3F3B8}"/>
            </c:ext>
          </c:extLst>
        </c:ser>
        <c:ser>
          <c:idx val="3"/>
          <c:order val="2"/>
          <c:tx>
            <c:strRef>
              <c:f>Fret!$B$582</c:f>
              <c:strCache>
                <c:ptCount val="1"/>
                <c:pt idx="0">
                  <c:v>Fer</c:v>
                </c:pt>
              </c:strCache>
            </c:strRef>
          </c:tx>
          <c:spPr>
            <a:solidFill>
              <a:schemeClr val="accent3"/>
            </a:solidFill>
          </c:spPr>
          <c:invertIfNegative val="0"/>
          <c:cat>
            <c:strRef>
              <c:f>Fret!$D$579:$F$579</c:f>
              <c:strCache>
                <c:ptCount val="3"/>
                <c:pt idx="0">
                  <c:v>Entrant</c:v>
                </c:pt>
                <c:pt idx="1">
                  <c:v>Interne</c:v>
                </c:pt>
                <c:pt idx="2">
                  <c:v>Sortant</c:v>
                </c:pt>
              </c:strCache>
            </c:strRef>
          </c:cat>
          <c:val>
            <c:numRef>
              <c:f>Fret!$D$582:$F$582</c:f>
              <c:numCache>
                <c:formatCode>#,##0</c:formatCode>
                <c:ptCount val="3"/>
                <c:pt idx="0">
                  <c:v>0</c:v>
                </c:pt>
                <c:pt idx="1">
                  <c:v>0</c:v>
                </c:pt>
                <c:pt idx="2">
                  <c:v>0</c:v>
                </c:pt>
              </c:numCache>
            </c:numRef>
          </c:val>
          <c:extLst>
            <c:ext xmlns:c16="http://schemas.microsoft.com/office/drawing/2014/chart" uri="{C3380CC4-5D6E-409C-BE32-E72D297353CC}">
              <c16:uniqueId val="{00000002-3E62-47F2-B73C-290E04D3F3B8}"/>
            </c:ext>
          </c:extLst>
        </c:ser>
        <c:ser>
          <c:idx val="0"/>
          <c:order val="3"/>
          <c:tx>
            <c:strRef>
              <c:f>Fret!$B$583</c:f>
              <c:strCache>
                <c:ptCount val="1"/>
                <c:pt idx="0">
                  <c:v>Voie d'eau</c:v>
                </c:pt>
              </c:strCache>
            </c:strRef>
          </c:tx>
          <c:spPr>
            <a:solidFill>
              <a:schemeClr val="accent6"/>
            </a:solidFill>
          </c:spPr>
          <c:invertIfNegative val="0"/>
          <c:cat>
            <c:strRef>
              <c:f>Fret!$D$579:$F$579</c:f>
              <c:strCache>
                <c:ptCount val="3"/>
                <c:pt idx="0">
                  <c:v>Entrant</c:v>
                </c:pt>
                <c:pt idx="1">
                  <c:v>Interne</c:v>
                </c:pt>
                <c:pt idx="2">
                  <c:v>Sortant</c:v>
                </c:pt>
              </c:strCache>
            </c:strRef>
          </c:cat>
          <c:val>
            <c:numRef>
              <c:f>Fret!$D$583:$F$583</c:f>
              <c:numCache>
                <c:formatCode>#,##0</c:formatCode>
                <c:ptCount val="3"/>
                <c:pt idx="0">
                  <c:v>48.206000000000003</c:v>
                </c:pt>
                <c:pt idx="1">
                  <c:v>0</c:v>
                </c:pt>
                <c:pt idx="2">
                  <c:v>0</c:v>
                </c:pt>
              </c:numCache>
            </c:numRef>
          </c:val>
          <c:extLst>
            <c:ext xmlns:c16="http://schemas.microsoft.com/office/drawing/2014/chart" uri="{C3380CC4-5D6E-409C-BE32-E72D297353CC}">
              <c16:uniqueId val="{00000003-3E62-47F2-B73C-290E04D3F3B8}"/>
            </c:ext>
          </c:extLst>
        </c:ser>
        <c:dLbls>
          <c:showLegendKey val="0"/>
          <c:showVal val="0"/>
          <c:showCatName val="0"/>
          <c:showSerName val="0"/>
          <c:showPercent val="0"/>
          <c:showBubbleSize val="0"/>
        </c:dLbls>
        <c:gapWidth val="100"/>
        <c:overlap val="100"/>
        <c:axId val="206569856"/>
        <c:axId val="206571392"/>
      </c:barChart>
      <c:catAx>
        <c:axId val="206569856"/>
        <c:scaling>
          <c:orientation val="minMax"/>
        </c:scaling>
        <c:delete val="0"/>
        <c:axPos val="b"/>
        <c:numFmt formatCode="General" sourceLinked="0"/>
        <c:majorTickMark val="out"/>
        <c:minorTickMark val="none"/>
        <c:tickLblPos val="nextTo"/>
        <c:txPr>
          <a:bodyPr/>
          <a:lstStyle/>
          <a:p>
            <a:pPr>
              <a:defRPr sz="1200" b="1"/>
            </a:pPr>
            <a:endParaRPr lang="de-DE"/>
          </a:p>
        </c:txPr>
        <c:crossAx val="206571392"/>
        <c:crosses val="autoZero"/>
        <c:auto val="1"/>
        <c:lblAlgn val="ctr"/>
        <c:lblOffset val="100"/>
        <c:noMultiLvlLbl val="0"/>
      </c:catAx>
      <c:valAx>
        <c:axId val="206571392"/>
        <c:scaling>
          <c:orientation val="minMax"/>
        </c:scaling>
        <c:delete val="0"/>
        <c:axPos val="l"/>
        <c:majorGridlines/>
        <c:numFmt formatCode="#,##0" sourceLinked="1"/>
        <c:majorTickMark val="out"/>
        <c:minorTickMark val="none"/>
        <c:tickLblPos val="nextTo"/>
        <c:txPr>
          <a:bodyPr/>
          <a:lstStyle/>
          <a:p>
            <a:pPr>
              <a:defRPr sz="1200"/>
            </a:pPr>
            <a:endParaRPr lang="de-DE"/>
          </a:p>
        </c:txPr>
        <c:crossAx val="206569856"/>
        <c:crosses val="autoZero"/>
        <c:crossBetween val="between"/>
      </c:valAx>
      <c:spPr>
        <a:blipFill dpi="0" rotWithShape="1">
          <a:blip xmlns:r="http://schemas.openxmlformats.org/officeDocument/2006/relationships" r:embed="rId1">
            <a:alphaModFix amt="25000"/>
          </a:blip>
          <a:srcRect/>
          <a:stretch>
            <a:fillRect/>
          </a:stretch>
        </a:blipFill>
      </c:spPr>
    </c:plotArea>
    <c:legend>
      <c:legendPos val="r"/>
      <c:layout>
        <c:manualLayout>
          <c:xMode val="edge"/>
          <c:yMode val="edge"/>
          <c:x val="0.77806448412698415"/>
          <c:y val="0.36117376543209878"/>
          <c:w val="0.18161805555555555"/>
          <c:h val="0.32147530864197532"/>
        </c:manualLayout>
      </c:layout>
      <c:overlay val="0"/>
      <c:txPr>
        <a:bodyPr/>
        <a:lstStyle/>
        <a:p>
          <a:pPr>
            <a:defRPr sz="1200" b="1"/>
          </a:pPr>
          <a:endParaRPr lang="de-DE"/>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Déplacements : </a:t>
            </a:r>
            <a:r>
              <a:rPr lang="fr-FR" sz="1400">
                <a:solidFill>
                  <a:srgbClr val="C00000"/>
                </a:solidFill>
              </a:rPr>
              <a:t>émissions de GES </a:t>
            </a:r>
            <a:r>
              <a:rPr lang="fr-FR" sz="1400"/>
              <a:t>par type et par mode, </a:t>
            </a: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01541666666667"/>
          <c:h val="0.70582530864197535"/>
        </c:manualLayout>
      </c:layout>
      <c:barChart>
        <c:barDir val="col"/>
        <c:grouping val="stacked"/>
        <c:varyColors val="0"/>
        <c:ser>
          <c:idx val="2"/>
          <c:order val="0"/>
          <c:tx>
            <c:strRef>
              <c:f>Déplacements!$B$452</c:f>
              <c:strCache>
                <c:ptCount val="1"/>
                <c:pt idx="0">
                  <c:v>Route</c:v>
                </c:pt>
              </c:strCache>
            </c:strRef>
          </c:tx>
          <c:spPr>
            <a:solidFill>
              <a:schemeClr val="accent4"/>
            </a:solidFill>
            <a:effectLst/>
          </c:spPr>
          <c:invertIfNegative val="0"/>
          <c:cat>
            <c:strRef>
              <c:f>Déplacements!$D$451:$F$451</c:f>
              <c:strCache>
                <c:ptCount val="3"/>
                <c:pt idx="0">
                  <c:v>Domicile-travail</c:v>
                </c:pt>
                <c:pt idx="1">
                  <c:v>Employés</c:v>
                </c:pt>
                <c:pt idx="2">
                  <c:v>Visiteurs</c:v>
                </c:pt>
              </c:strCache>
            </c:strRef>
          </c:cat>
          <c:val>
            <c:numRef>
              <c:f>Déplacements!$D$452:$F$452</c:f>
              <c:numCache>
                <c:formatCode>#,##0</c:formatCode>
                <c:ptCount val="3"/>
                <c:pt idx="0">
                  <c:v>82.747526600000015</c:v>
                </c:pt>
                <c:pt idx="1">
                  <c:v>38.257154999999997</c:v>
                </c:pt>
                <c:pt idx="2">
                  <c:v>0</c:v>
                </c:pt>
              </c:numCache>
            </c:numRef>
          </c:val>
          <c:extLst>
            <c:ext xmlns:c16="http://schemas.microsoft.com/office/drawing/2014/chart" uri="{C3380CC4-5D6E-409C-BE32-E72D297353CC}">
              <c16:uniqueId val="{00000000-2ACE-4E08-8BE6-51DE3D813387}"/>
            </c:ext>
          </c:extLst>
        </c:ser>
        <c:ser>
          <c:idx val="3"/>
          <c:order val="1"/>
          <c:tx>
            <c:strRef>
              <c:f>Déplacements!$B$453</c:f>
              <c:strCache>
                <c:ptCount val="1"/>
                <c:pt idx="0">
                  <c:v>Air</c:v>
                </c:pt>
              </c:strCache>
            </c:strRef>
          </c:tx>
          <c:spPr>
            <a:solidFill>
              <a:schemeClr val="accent5"/>
            </a:solidFill>
          </c:spPr>
          <c:invertIfNegative val="0"/>
          <c:cat>
            <c:strRef>
              <c:f>Déplacements!$D$451:$F$451</c:f>
              <c:strCache>
                <c:ptCount val="3"/>
                <c:pt idx="0">
                  <c:v>Domicile-travail</c:v>
                </c:pt>
                <c:pt idx="1">
                  <c:v>Employés</c:v>
                </c:pt>
                <c:pt idx="2">
                  <c:v>Visiteurs</c:v>
                </c:pt>
              </c:strCache>
            </c:strRef>
          </c:cat>
          <c:val>
            <c:numRef>
              <c:f>Déplacements!$D$453:$F$453</c:f>
              <c:numCache>
                <c:formatCode>#,##0</c:formatCode>
                <c:ptCount val="3"/>
                <c:pt idx="1">
                  <c:v>2.6449799999999999</c:v>
                </c:pt>
                <c:pt idx="2">
                  <c:v>0</c:v>
                </c:pt>
              </c:numCache>
            </c:numRef>
          </c:val>
          <c:extLst>
            <c:ext xmlns:c16="http://schemas.microsoft.com/office/drawing/2014/chart" uri="{C3380CC4-5D6E-409C-BE32-E72D297353CC}">
              <c16:uniqueId val="{00000001-2ACE-4E08-8BE6-51DE3D813387}"/>
            </c:ext>
          </c:extLst>
        </c:ser>
        <c:ser>
          <c:idx val="0"/>
          <c:order val="2"/>
          <c:tx>
            <c:strRef>
              <c:f>Déplacements!$B$454</c:f>
              <c:strCache>
                <c:ptCount val="1"/>
                <c:pt idx="0">
                  <c:v>Ferré</c:v>
                </c:pt>
              </c:strCache>
            </c:strRef>
          </c:tx>
          <c:spPr>
            <a:solidFill>
              <a:schemeClr val="accent3"/>
            </a:solidFill>
          </c:spPr>
          <c:invertIfNegative val="0"/>
          <c:cat>
            <c:strRef>
              <c:f>Déplacements!$D$451:$F$451</c:f>
              <c:strCache>
                <c:ptCount val="3"/>
                <c:pt idx="0">
                  <c:v>Domicile-travail</c:v>
                </c:pt>
                <c:pt idx="1">
                  <c:v>Employés</c:v>
                </c:pt>
                <c:pt idx="2">
                  <c:v>Visiteurs</c:v>
                </c:pt>
              </c:strCache>
            </c:strRef>
          </c:cat>
          <c:val>
            <c:numRef>
              <c:f>Déplacements!$D$454:$F$454</c:f>
              <c:numCache>
                <c:formatCode>#,##0</c:formatCode>
                <c:ptCount val="3"/>
                <c:pt idx="0">
                  <c:v>0</c:v>
                </c:pt>
                <c:pt idx="1">
                  <c:v>4.5311999999999998E-2</c:v>
                </c:pt>
                <c:pt idx="2">
                  <c:v>0</c:v>
                </c:pt>
              </c:numCache>
            </c:numRef>
          </c:val>
          <c:extLst>
            <c:ext xmlns:c16="http://schemas.microsoft.com/office/drawing/2014/chart" uri="{C3380CC4-5D6E-409C-BE32-E72D297353CC}">
              <c16:uniqueId val="{00000002-2ACE-4E08-8BE6-51DE3D813387}"/>
            </c:ext>
          </c:extLst>
        </c:ser>
        <c:ser>
          <c:idx val="1"/>
          <c:order val="3"/>
          <c:tx>
            <c:strRef>
              <c:f>Déplacements!$B$455</c:f>
              <c:strCache>
                <c:ptCount val="1"/>
                <c:pt idx="0">
                  <c:v>Voie d'eau</c:v>
                </c:pt>
              </c:strCache>
            </c:strRef>
          </c:tx>
          <c:spPr>
            <a:solidFill>
              <a:schemeClr val="accent6"/>
            </a:solidFill>
          </c:spPr>
          <c:invertIfNegative val="0"/>
          <c:cat>
            <c:strRef>
              <c:f>Déplacements!$D$451:$F$451</c:f>
              <c:strCache>
                <c:ptCount val="3"/>
                <c:pt idx="0">
                  <c:v>Domicile-travail</c:v>
                </c:pt>
                <c:pt idx="1">
                  <c:v>Employés</c:v>
                </c:pt>
                <c:pt idx="2">
                  <c:v>Visiteurs</c:v>
                </c:pt>
              </c:strCache>
            </c:strRef>
          </c:cat>
          <c:val>
            <c:numRef>
              <c:f>Déplacements!$D$455:$F$455</c:f>
              <c:numCache>
                <c:formatCode>#,##0</c:formatCode>
                <c:ptCount val="3"/>
                <c:pt idx="1">
                  <c:v>0</c:v>
                </c:pt>
                <c:pt idx="2">
                  <c:v>0</c:v>
                </c:pt>
              </c:numCache>
            </c:numRef>
          </c:val>
          <c:extLst>
            <c:ext xmlns:c16="http://schemas.microsoft.com/office/drawing/2014/chart" uri="{C3380CC4-5D6E-409C-BE32-E72D297353CC}">
              <c16:uniqueId val="{00000003-2ACE-4E08-8BE6-51DE3D813387}"/>
            </c:ext>
          </c:extLst>
        </c:ser>
        <c:dLbls>
          <c:showLegendKey val="0"/>
          <c:showVal val="0"/>
          <c:showCatName val="0"/>
          <c:showSerName val="0"/>
          <c:showPercent val="0"/>
          <c:showBubbleSize val="0"/>
        </c:dLbls>
        <c:gapWidth val="100"/>
        <c:overlap val="100"/>
        <c:axId val="206598528"/>
        <c:axId val="206600064"/>
      </c:barChart>
      <c:catAx>
        <c:axId val="206598528"/>
        <c:scaling>
          <c:orientation val="minMax"/>
        </c:scaling>
        <c:delete val="0"/>
        <c:axPos val="b"/>
        <c:numFmt formatCode="General" sourceLinked="0"/>
        <c:majorTickMark val="out"/>
        <c:minorTickMark val="none"/>
        <c:tickLblPos val="nextTo"/>
        <c:txPr>
          <a:bodyPr/>
          <a:lstStyle/>
          <a:p>
            <a:pPr>
              <a:defRPr sz="1200" b="1"/>
            </a:pPr>
            <a:endParaRPr lang="de-DE"/>
          </a:p>
        </c:txPr>
        <c:crossAx val="206600064"/>
        <c:crosses val="autoZero"/>
        <c:auto val="1"/>
        <c:lblAlgn val="ctr"/>
        <c:lblOffset val="100"/>
        <c:noMultiLvlLbl val="0"/>
      </c:catAx>
      <c:valAx>
        <c:axId val="206600064"/>
        <c:scaling>
          <c:orientation val="minMax"/>
        </c:scaling>
        <c:delete val="0"/>
        <c:axPos val="l"/>
        <c:majorGridlines/>
        <c:numFmt formatCode="#,##0" sourceLinked="1"/>
        <c:majorTickMark val="out"/>
        <c:minorTickMark val="none"/>
        <c:tickLblPos val="nextTo"/>
        <c:txPr>
          <a:bodyPr/>
          <a:lstStyle/>
          <a:p>
            <a:pPr>
              <a:defRPr sz="1200"/>
            </a:pPr>
            <a:endParaRPr lang="de-DE"/>
          </a:p>
        </c:txPr>
        <c:crossAx val="206598528"/>
        <c:crosses val="autoZero"/>
        <c:crossBetween val="between"/>
      </c:valAx>
      <c:spPr>
        <a:blipFill dpi="0" rotWithShape="1">
          <a:blip xmlns:r="http://schemas.openxmlformats.org/officeDocument/2006/relationships" r:embed="rId1">
            <a:alphaModFix amt="25000"/>
          </a:blip>
          <a:srcRect/>
          <a:stretch>
            <a:fillRect/>
          </a:stretch>
        </a:blipFill>
      </c:spPr>
    </c:plotArea>
    <c:legend>
      <c:legendPos val="r"/>
      <c:layout>
        <c:manualLayout>
          <c:xMode val="edge"/>
          <c:yMode val="edge"/>
          <c:x val="0.78058432539682543"/>
          <c:y val="0.38861203703703706"/>
          <c:w val="0.18161805555555552"/>
          <c:h val="0.32147530864197527"/>
        </c:manualLayout>
      </c:layout>
      <c:overlay val="0"/>
      <c:txPr>
        <a:bodyPr/>
        <a:lstStyle/>
        <a:p>
          <a:pPr>
            <a:defRPr sz="1200" b="1"/>
          </a:pPr>
          <a:endParaRPr lang="de-DE"/>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Bilan GES : </a:t>
            </a:r>
            <a:r>
              <a:rPr lang="fr-FR" sz="1400">
                <a:solidFill>
                  <a:srgbClr val="C00000"/>
                </a:solidFill>
              </a:rPr>
              <a:t>Emissions de GES</a:t>
            </a:r>
            <a:r>
              <a:rPr lang="fr-FR" sz="1400"/>
              <a:t> et </a:t>
            </a:r>
            <a:r>
              <a:rPr lang="fr-FR" sz="1400">
                <a:solidFill>
                  <a:srgbClr val="C00000"/>
                </a:solidFill>
              </a:rPr>
              <a:t>incertitudes</a:t>
            </a:r>
            <a:r>
              <a:rPr lang="fr-FR" sz="1400"/>
              <a:t> par poste réglementaire, </a:t>
            </a:r>
            <a:r>
              <a:rPr lang="fr-FR" sz="1400">
                <a:solidFill>
                  <a:schemeClr val="accent6">
                    <a:lumMod val="75000"/>
                  </a:schemeClr>
                </a:solidFill>
              </a:rPr>
              <a:t>en tCO2e</a:t>
            </a:r>
          </a:p>
        </c:rich>
      </c:tx>
      <c:overlay val="0"/>
    </c:title>
    <c:autoTitleDeleted val="0"/>
    <c:plotArea>
      <c:layout>
        <c:manualLayout>
          <c:layoutTarget val="inner"/>
          <c:xMode val="edge"/>
          <c:yMode val="edge"/>
          <c:x val="0.16026560846560847"/>
          <c:y val="7.971748366013072E-2"/>
          <c:w val="0.80277671957671959"/>
          <c:h val="0.53896013071895421"/>
        </c:manualLayout>
      </c:layout>
      <c:barChart>
        <c:barDir val="col"/>
        <c:grouping val="clustered"/>
        <c:varyColors val="0"/>
        <c:ser>
          <c:idx val="0"/>
          <c:order val="0"/>
          <c:tx>
            <c:strRef>
              <c:f>'Bilan GES'!$F$51</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GES'!$F$52:$F$74</c:f>
              <c:numCache>
                <c:formatCode>#,##0</c:formatCode>
                <c:ptCount val="23"/>
                <c:pt idx="0">
                  <c:v>304.75427791599998</c:v>
                </c:pt>
                <c:pt idx="1">
                  <c:v>0</c:v>
                </c:pt>
                <c:pt idx="2">
                  <c:v>0</c:v>
                </c:pt>
                <c:pt idx="3">
                  <c:v>0.48599999999999999</c:v>
                </c:pt>
                <c:pt idx="4">
                  <c:v>0</c:v>
                </c:pt>
                <c:pt idx="5">
                  <c:v>19.289968500000001</c:v>
                </c:pt>
                <c:pt idx="6">
                  <c:v>0</c:v>
                </c:pt>
                <c:pt idx="7">
                  <c:v>74.061055211999985</c:v>
                </c:pt>
                <c:pt idx="8">
                  <c:v>2816.2550000000001</c:v>
                </c:pt>
                <c:pt idx="9">
                  <c:v>43.928386666666668</c:v>
                </c:pt>
                <c:pt idx="10">
                  <c:v>39.17</c:v>
                </c:pt>
                <c:pt idx="11">
                  <c:v>295.73983500000003</c:v>
                </c:pt>
                <c:pt idx="12">
                  <c:v>1.480896</c:v>
                </c:pt>
                <c:pt idx="13">
                  <c:v>0</c:v>
                </c:pt>
                <c:pt idx="14">
                  <c:v>18.927</c:v>
                </c:pt>
                <c:pt idx="15">
                  <c:v>0</c:v>
                </c:pt>
                <c:pt idx="16">
                  <c:v>0</c:v>
                </c:pt>
                <c:pt idx="17">
                  <c:v>5.3314577495621718</c:v>
                </c:pt>
                <c:pt idx="18">
                  <c:v>0</c:v>
                </c:pt>
                <c:pt idx="19">
                  <c:v>0</c:v>
                </c:pt>
                <c:pt idx="20">
                  <c:v>0</c:v>
                </c:pt>
                <c:pt idx="21">
                  <c:v>82.7475266</c:v>
                </c:pt>
                <c:pt idx="22">
                  <c:v>0</c:v>
                </c:pt>
              </c:numCache>
            </c:numRef>
          </c:val>
          <c:extLst>
            <c:ext xmlns:c16="http://schemas.microsoft.com/office/drawing/2014/chart" uri="{C3380CC4-5D6E-409C-BE32-E72D297353CC}">
              <c16:uniqueId val="{00000000-71F2-49B8-807D-E5F1930D9B69}"/>
            </c:ext>
          </c:extLst>
        </c:ser>
        <c:dLbls>
          <c:showLegendKey val="0"/>
          <c:showVal val="0"/>
          <c:showCatName val="0"/>
          <c:showSerName val="0"/>
          <c:showPercent val="0"/>
          <c:showBubbleSize val="0"/>
        </c:dLbls>
        <c:gapWidth val="100"/>
        <c:axId val="206721792"/>
        <c:axId val="206723328"/>
      </c:barChart>
      <c:stockChart>
        <c:ser>
          <c:idx val="1"/>
          <c:order val="1"/>
          <c:tx>
            <c:strRef>
              <c:f>'Bilan GES'!$F$51</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GES'!$F$52:$F$74</c:f>
              <c:numCache>
                <c:formatCode>#,##0</c:formatCode>
                <c:ptCount val="23"/>
                <c:pt idx="0">
                  <c:v>304.75427791599998</c:v>
                </c:pt>
                <c:pt idx="1">
                  <c:v>0</c:v>
                </c:pt>
                <c:pt idx="2">
                  <c:v>0</c:v>
                </c:pt>
                <c:pt idx="3">
                  <c:v>0.48599999999999999</c:v>
                </c:pt>
                <c:pt idx="4">
                  <c:v>0</c:v>
                </c:pt>
                <c:pt idx="5">
                  <c:v>19.289968500000001</c:v>
                </c:pt>
                <c:pt idx="6">
                  <c:v>0</c:v>
                </c:pt>
                <c:pt idx="7">
                  <c:v>74.061055211999985</c:v>
                </c:pt>
                <c:pt idx="8">
                  <c:v>2816.2550000000001</c:v>
                </c:pt>
                <c:pt idx="9">
                  <c:v>43.928386666666668</c:v>
                </c:pt>
                <c:pt idx="10">
                  <c:v>39.17</c:v>
                </c:pt>
                <c:pt idx="11">
                  <c:v>295.73983500000003</c:v>
                </c:pt>
                <c:pt idx="12">
                  <c:v>1.480896</c:v>
                </c:pt>
                <c:pt idx="13">
                  <c:v>0</c:v>
                </c:pt>
                <c:pt idx="14">
                  <c:v>18.927</c:v>
                </c:pt>
                <c:pt idx="15">
                  <c:v>0</c:v>
                </c:pt>
                <c:pt idx="16">
                  <c:v>0</c:v>
                </c:pt>
                <c:pt idx="17">
                  <c:v>5.3314577495621718</c:v>
                </c:pt>
                <c:pt idx="18">
                  <c:v>0</c:v>
                </c:pt>
                <c:pt idx="19">
                  <c:v>0</c:v>
                </c:pt>
                <c:pt idx="20">
                  <c:v>0</c:v>
                </c:pt>
                <c:pt idx="21">
                  <c:v>82.7475266</c:v>
                </c:pt>
                <c:pt idx="22">
                  <c:v>0</c:v>
                </c:pt>
              </c:numCache>
            </c:numRef>
          </c:val>
          <c:smooth val="0"/>
          <c:extLst>
            <c:ext xmlns:c16="http://schemas.microsoft.com/office/drawing/2014/chart" uri="{C3380CC4-5D6E-409C-BE32-E72D297353CC}">
              <c16:uniqueId val="{00000001-71F2-49B8-807D-E5F1930D9B69}"/>
            </c:ext>
          </c:extLst>
        </c:ser>
        <c:ser>
          <c:idx val="2"/>
          <c:order val="2"/>
          <c:tx>
            <c:strRef>
              <c:f>'Bilan GES'!$E$51</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GES'!$E$52:$E$74</c:f>
              <c:numCache>
                <c:formatCode>#,##0</c:formatCode>
                <c:ptCount val="23"/>
                <c:pt idx="0">
                  <c:v>290.00520936134041</c:v>
                </c:pt>
                <c:pt idx="1">
                  <c:v>0</c:v>
                </c:pt>
                <c:pt idx="2">
                  <c:v>0</c:v>
                </c:pt>
                <c:pt idx="3">
                  <c:v>0.2026157379105184</c:v>
                </c:pt>
                <c:pt idx="4">
                  <c:v>0</c:v>
                </c:pt>
                <c:pt idx="5">
                  <c:v>17.36097165</c:v>
                </c:pt>
                <c:pt idx="6">
                  <c:v>0</c:v>
                </c:pt>
                <c:pt idx="7">
                  <c:v>70.846139606139346</c:v>
                </c:pt>
                <c:pt idx="8">
                  <c:v>2430.6416902533706</c:v>
                </c:pt>
                <c:pt idx="9">
                  <c:v>31.794991525940851</c:v>
                </c:pt>
                <c:pt idx="10">
                  <c:v>33.258177681966416</c:v>
                </c:pt>
                <c:pt idx="11">
                  <c:v>215.20138589866332</c:v>
                </c:pt>
                <c:pt idx="12">
                  <c:v>0.62717471848814743</c:v>
                </c:pt>
                <c:pt idx="13">
                  <c:v>0</c:v>
                </c:pt>
                <c:pt idx="14">
                  <c:v>10.396493614093007</c:v>
                </c:pt>
                <c:pt idx="15">
                  <c:v>0</c:v>
                </c:pt>
                <c:pt idx="16">
                  <c:v>0</c:v>
                </c:pt>
                <c:pt idx="17">
                  <c:v>4.7807839760070054</c:v>
                </c:pt>
                <c:pt idx="18">
                  <c:v>0</c:v>
                </c:pt>
                <c:pt idx="19">
                  <c:v>0</c:v>
                </c:pt>
                <c:pt idx="20">
                  <c:v>0</c:v>
                </c:pt>
                <c:pt idx="21">
                  <c:v>62.888326998863775</c:v>
                </c:pt>
                <c:pt idx="22">
                  <c:v>0</c:v>
                </c:pt>
              </c:numCache>
            </c:numRef>
          </c:val>
          <c:smooth val="0"/>
          <c:extLst>
            <c:ext xmlns:c16="http://schemas.microsoft.com/office/drawing/2014/chart" uri="{C3380CC4-5D6E-409C-BE32-E72D297353CC}">
              <c16:uniqueId val="{00000002-71F2-49B8-807D-E5F1930D9B69}"/>
            </c:ext>
          </c:extLst>
        </c:ser>
        <c:ser>
          <c:idx val="3"/>
          <c:order val="3"/>
          <c:tx>
            <c:strRef>
              <c:f>'Bilan GES'!$H$51</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GES'!$H$52:$H$74</c:f>
              <c:numCache>
                <c:formatCode>#,##0</c:formatCode>
                <c:ptCount val="23"/>
                <c:pt idx="0">
                  <c:v>319.50334647065955</c:v>
                </c:pt>
                <c:pt idx="1">
                  <c:v>0</c:v>
                </c:pt>
                <c:pt idx="2">
                  <c:v>0</c:v>
                </c:pt>
                <c:pt idx="3">
                  <c:v>0.76938426208948152</c:v>
                </c:pt>
                <c:pt idx="4">
                  <c:v>0</c:v>
                </c:pt>
                <c:pt idx="5">
                  <c:v>21.218965350000001</c:v>
                </c:pt>
                <c:pt idx="6">
                  <c:v>0</c:v>
                </c:pt>
                <c:pt idx="7">
                  <c:v>77.275970817860625</c:v>
                </c:pt>
                <c:pt idx="8">
                  <c:v>3201.8683097466296</c:v>
                </c:pt>
                <c:pt idx="9">
                  <c:v>56.061781807392485</c:v>
                </c:pt>
                <c:pt idx="10">
                  <c:v>45.081822318033588</c:v>
                </c:pt>
                <c:pt idx="11">
                  <c:v>376.27828410133674</c:v>
                </c:pt>
                <c:pt idx="12">
                  <c:v>2.3346172815118527</c:v>
                </c:pt>
                <c:pt idx="13">
                  <c:v>0</c:v>
                </c:pt>
                <c:pt idx="14">
                  <c:v>27.457506385906992</c:v>
                </c:pt>
                <c:pt idx="15">
                  <c:v>0</c:v>
                </c:pt>
                <c:pt idx="16">
                  <c:v>0</c:v>
                </c:pt>
                <c:pt idx="17">
                  <c:v>5.8821315231173381</c:v>
                </c:pt>
                <c:pt idx="18">
                  <c:v>0</c:v>
                </c:pt>
                <c:pt idx="19">
                  <c:v>0</c:v>
                </c:pt>
                <c:pt idx="20">
                  <c:v>0</c:v>
                </c:pt>
                <c:pt idx="21">
                  <c:v>102.60672620113623</c:v>
                </c:pt>
                <c:pt idx="22">
                  <c:v>0</c:v>
                </c:pt>
              </c:numCache>
            </c:numRef>
          </c:val>
          <c:smooth val="0"/>
          <c:extLst>
            <c:ext xmlns:c16="http://schemas.microsoft.com/office/drawing/2014/chart" uri="{C3380CC4-5D6E-409C-BE32-E72D297353CC}">
              <c16:uniqueId val="{00000003-71F2-49B8-807D-E5F1930D9B69}"/>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6738944"/>
        <c:axId val="206737408"/>
      </c:stockChart>
      <c:catAx>
        <c:axId val="206721792"/>
        <c:scaling>
          <c:orientation val="minMax"/>
        </c:scaling>
        <c:delete val="0"/>
        <c:axPos val="b"/>
        <c:numFmt formatCode="General" sourceLinked="0"/>
        <c:majorTickMark val="out"/>
        <c:minorTickMark val="none"/>
        <c:tickLblPos val="nextTo"/>
        <c:txPr>
          <a:bodyPr/>
          <a:lstStyle/>
          <a:p>
            <a:pPr>
              <a:defRPr sz="1100" b="1"/>
            </a:pPr>
            <a:endParaRPr lang="de-DE"/>
          </a:p>
        </c:txPr>
        <c:crossAx val="206723328"/>
        <c:crosses val="autoZero"/>
        <c:auto val="1"/>
        <c:lblAlgn val="ctr"/>
        <c:lblOffset val="100"/>
        <c:noMultiLvlLbl val="0"/>
      </c:catAx>
      <c:valAx>
        <c:axId val="206723328"/>
        <c:scaling>
          <c:orientation val="minMax"/>
        </c:scaling>
        <c:delete val="0"/>
        <c:axPos val="l"/>
        <c:majorGridlines/>
        <c:numFmt formatCode="#,##0" sourceLinked="1"/>
        <c:majorTickMark val="out"/>
        <c:minorTickMark val="none"/>
        <c:tickLblPos val="nextTo"/>
        <c:txPr>
          <a:bodyPr/>
          <a:lstStyle/>
          <a:p>
            <a:pPr>
              <a:defRPr sz="1200"/>
            </a:pPr>
            <a:endParaRPr lang="de-DE"/>
          </a:p>
        </c:txPr>
        <c:crossAx val="206721792"/>
        <c:crosses val="autoZero"/>
        <c:crossBetween val="between"/>
      </c:valAx>
      <c:valAx>
        <c:axId val="206737408"/>
        <c:scaling>
          <c:orientation val="minMax"/>
        </c:scaling>
        <c:delete val="1"/>
        <c:axPos val="r"/>
        <c:numFmt formatCode="#,##0" sourceLinked="1"/>
        <c:majorTickMark val="out"/>
        <c:minorTickMark val="none"/>
        <c:tickLblPos val="nextTo"/>
        <c:crossAx val="206738944"/>
        <c:crosses val="max"/>
        <c:crossBetween val="between"/>
      </c:valAx>
      <c:catAx>
        <c:axId val="206738944"/>
        <c:scaling>
          <c:orientation val="minMax"/>
        </c:scaling>
        <c:delete val="1"/>
        <c:axPos val="b"/>
        <c:numFmt formatCode="General" sourceLinked="1"/>
        <c:majorTickMark val="out"/>
        <c:minorTickMark val="none"/>
        <c:tickLblPos val="nextTo"/>
        <c:crossAx val="20673740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Energie 1 :</a:t>
            </a:r>
            <a:r>
              <a:rPr lang="fr-FR" sz="1400" i="0" baseline="0">
                <a:solidFill>
                  <a:schemeClr val="tx2"/>
                </a:solidFill>
              </a:rPr>
              <a:t> </a:t>
            </a:r>
            <a:r>
              <a:rPr lang="fr-FR" sz="1400" b="1" i="0" u="none" strike="noStrike" baseline="0">
                <a:solidFill>
                  <a:srgbClr val="C00000"/>
                </a:solidFill>
                <a:effectLst/>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spPr>
        <a:solidFill>
          <a:sysClr val="window" lastClr="FFFFFF"/>
        </a:solidFill>
      </c:spPr>
    </c:title>
    <c:autoTitleDeleted val="0"/>
    <c:plotArea>
      <c:layout>
        <c:manualLayout>
          <c:layoutTarget val="inner"/>
          <c:xMode val="edge"/>
          <c:yMode val="edge"/>
          <c:x val="9.7866358024691361E-2"/>
          <c:y val="0.11070413911678749"/>
          <c:w val="0.85279367283950613"/>
          <c:h val="0.71232586571255785"/>
        </c:manualLayout>
      </c:layout>
      <c:barChart>
        <c:barDir val="col"/>
        <c:grouping val="clustered"/>
        <c:varyColors val="0"/>
        <c:ser>
          <c:idx val="0"/>
          <c:order val="0"/>
          <c:tx>
            <c:strRef>
              <c:f>'Energie 1'!$L$198</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1'!$L$199:$L$203</c:f>
              <c:numCache>
                <c:formatCode>#\ ##0.0</c:formatCode>
                <c:ptCount val="5"/>
                <c:pt idx="0">
                  <c:v>370.14832360000003</c:v>
                </c:pt>
                <c:pt idx="1">
                  <c:v>0</c:v>
                </c:pt>
                <c:pt idx="2">
                  <c:v>0</c:v>
                </c:pt>
                <c:pt idx="3">
                  <c:v>0</c:v>
                </c:pt>
                <c:pt idx="4">
                  <c:v>28.389904499999997</c:v>
                </c:pt>
              </c:numCache>
            </c:numRef>
          </c:val>
          <c:extLst>
            <c:ext xmlns:c16="http://schemas.microsoft.com/office/drawing/2014/chart" uri="{C3380CC4-5D6E-409C-BE32-E72D297353CC}">
              <c16:uniqueId val="{00000000-8E64-4943-9536-AD7A3D0A1413}"/>
            </c:ext>
          </c:extLst>
        </c:ser>
        <c:dLbls>
          <c:showLegendKey val="0"/>
          <c:showVal val="0"/>
          <c:showCatName val="0"/>
          <c:showSerName val="0"/>
          <c:showPercent val="0"/>
          <c:showBubbleSize val="0"/>
        </c:dLbls>
        <c:gapWidth val="100"/>
        <c:axId val="205285248"/>
        <c:axId val="205286784"/>
      </c:barChart>
      <c:stockChart>
        <c:ser>
          <c:idx val="1"/>
          <c:order val="1"/>
          <c:tx>
            <c:strRef>
              <c:f>'Energie 1'!$M$198</c:f>
              <c:strCache>
                <c:ptCount val="1"/>
                <c:pt idx="0">
                  <c:v>Median</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1'!$M$199:$M$203</c:f>
              <c:numCache>
                <c:formatCode>#\ ##0.0</c:formatCode>
                <c:ptCount val="5"/>
                <c:pt idx="0">
                  <c:v>370.14832360000003</c:v>
                </c:pt>
                <c:pt idx="1">
                  <c:v>0</c:v>
                </c:pt>
                <c:pt idx="2">
                  <c:v>0</c:v>
                </c:pt>
                <c:pt idx="3">
                  <c:v>0</c:v>
                </c:pt>
                <c:pt idx="4">
                  <c:v>28.389904499999997</c:v>
                </c:pt>
              </c:numCache>
            </c:numRef>
          </c:val>
          <c:smooth val="0"/>
          <c:extLst>
            <c:ext xmlns:c16="http://schemas.microsoft.com/office/drawing/2014/chart" uri="{C3380CC4-5D6E-409C-BE32-E72D297353CC}">
              <c16:uniqueId val="{00000001-8E64-4943-9536-AD7A3D0A1413}"/>
            </c:ext>
          </c:extLst>
        </c:ser>
        <c:ser>
          <c:idx val="2"/>
          <c:order val="2"/>
          <c:tx>
            <c:strRef>
              <c:f>'Energie 1'!$K$198</c:f>
              <c:strCache>
                <c:ptCount val="1"/>
                <c:pt idx="0">
                  <c:v>Bas</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1'!$K$199:$K$203</c:f>
              <c:numCache>
                <c:formatCode>#\ ##0.0</c:formatCode>
                <c:ptCount val="5"/>
                <c:pt idx="0">
                  <c:v>355.06821032027693</c:v>
                </c:pt>
                <c:pt idx="1">
                  <c:v>0</c:v>
                </c:pt>
                <c:pt idx="2">
                  <c:v>0</c:v>
                </c:pt>
                <c:pt idx="3">
                  <c:v>0</c:v>
                </c:pt>
                <c:pt idx="4">
                  <c:v>25.873506942310566</c:v>
                </c:pt>
              </c:numCache>
            </c:numRef>
          </c:val>
          <c:smooth val="0"/>
          <c:extLst>
            <c:ext xmlns:c16="http://schemas.microsoft.com/office/drawing/2014/chart" uri="{C3380CC4-5D6E-409C-BE32-E72D297353CC}">
              <c16:uniqueId val="{00000002-8E64-4943-9536-AD7A3D0A1413}"/>
            </c:ext>
          </c:extLst>
        </c:ser>
        <c:ser>
          <c:idx val="3"/>
          <c:order val="3"/>
          <c:tx>
            <c:strRef>
              <c:f>'Energie 1'!$N$198</c:f>
              <c:strCache>
                <c:ptCount val="1"/>
                <c:pt idx="0">
                  <c:v>Haut</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1'!$N$199:$N$203</c:f>
              <c:numCache>
                <c:formatCode>#\ ##0.0</c:formatCode>
                <c:ptCount val="5"/>
                <c:pt idx="0">
                  <c:v>385.22843687972312</c:v>
                </c:pt>
                <c:pt idx="1">
                  <c:v>0</c:v>
                </c:pt>
                <c:pt idx="2">
                  <c:v>0</c:v>
                </c:pt>
                <c:pt idx="3">
                  <c:v>0</c:v>
                </c:pt>
                <c:pt idx="4">
                  <c:v>30.906302057689427</c:v>
                </c:pt>
              </c:numCache>
            </c:numRef>
          </c:val>
          <c:smooth val="0"/>
          <c:extLst>
            <c:ext xmlns:c16="http://schemas.microsoft.com/office/drawing/2014/chart" uri="{C3380CC4-5D6E-409C-BE32-E72D297353CC}">
              <c16:uniqueId val="{00000003-8E64-4943-9536-AD7A3D0A1413}"/>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306496"/>
        <c:axId val="205304960"/>
      </c:stockChart>
      <c:catAx>
        <c:axId val="20528524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286784"/>
        <c:crosses val="autoZero"/>
        <c:auto val="1"/>
        <c:lblAlgn val="ctr"/>
        <c:lblOffset val="100"/>
        <c:noMultiLvlLbl val="0"/>
      </c:catAx>
      <c:valAx>
        <c:axId val="2052867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285248"/>
        <c:crosses val="autoZero"/>
        <c:crossBetween val="between"/>
      </c:valAx>
      <c:valAx>
        <c:axId val="205304960"/>
        <c:scaling>
          <c:orientation val="minMax"/>
        </c:scaling>
        <c:delete val="1"/>
        <c:axPos val="r"/>
        <c:numFmt formatCode="#\ ##0.0" sourceLinked="1"/>
        <c:majorTickMark val="out"/>
        <c:minorTickMark val="none"/>
        <c:tickLblPos val="nextTo"/>
        <c:crossAx val="205306496"/>
        <c:crosses val="max"/>
        <c:crossBetween val="between"/>
      </c:valAx>
      <c:catAx>
        <c:axId val="205306496"/>
        <c:scaling>
          <c:orientation val="minMax"/>
        </c:scaling>
        <c:delete val="1"/>
        <c:axPos val="b"/>
        <c:numFmt formatCode="General" sourceLinked="1"/>
        <c:majorTickMark val="out"/>
        <c:minorTickMark val="none"/>
        <c:tickLblPos val="nextTo"/>
        <c:crossAx val="20530496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GHG Protocol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de-DE"/>
              </a:p>
            </c:txPr>
            <c:showLegendKey val="0"/>
            <c:showVal val="1"/>
            <c:showCatName val="0"/>
            <c:showSerName val="0"/>
            <c:showPercent val="1"/>
            <c:showBubbleSize val="0"/>
            <c:showLeaderLines val="1"/>
            <c:extLst>
              <c:ext xmlns:c15="http://schemas.microsoft.com/office/drawing/2012/chart" uri="{CE6537A1-D6FC-4f65-9D91-7224C49458BB}"/>
            </c:extLst>
          </c:dLbls>
          <c:cat>
            <c:strRef>
              <c:f>('GHG Protocol'!$B$10,'GHG Protocol'!$B$15,'GHG Protocol'!$B$18)</c:f>
              <c:strCache>
                <c:ptCount val="3"/>
                <c:pt idx="0">
                  <c:v>Scope 1</c:v>
                </c:pt>
                <c:pt idx="1">
                  <c:v>Scope 2</c:v>
                </c:pt>
                <c:pt idx="2">
                  <c:v>Scope 3</c:v>
                </c:pt>
              </c:strCache>
            </c:strRef>
          </c:cat>
          <c:val>
            <c:numRef>
              <c:f>('GHG Protocol'!$L$14,'GHG Protocol'!$L$17,'GHG Protocol'!$L$37)</c:f>
              <c:numCache>
                <c:formatCode>#,##0</c:formatCode>
                <c:ptCount val="3"/>
                <c:pt idx="0">
                  <c:v>305.24027791599997</c:v>
                </c:pt>
                <c:pt idx="1">
                  <c:v>19.289968500000001</c:v>
                </c:pt>
                <c:pt idx="2">
                  <c:v>0</c:v>
                </c:pt>
              </c:numCache>
            </c:numRef>
          </c:val>
          <c:extLst>
            <c:ext xmlns:c16="http://schemas.microsoft.com/office/drawing/2014/chart" uri="{C3380CC4-5D6E-409C-BE32-E72D297353CC}">
              <c16:uniqueId val="{00000000-F07D-4808-A7FD-9E0194D24EB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2157921810699599"/>
          <c:y val="0.29636053122208805"/>
          <c:w val="0.26074341563786008"/>
          <c:h val="0.41842994484092294"/>
        </c:manualLayout>
      </c:layout>
      <c:overlay val="0"/>
      <c:txPr>
        <a:bodyPr/>
        <a:lstStyle/>
        <a:p>
          <a:pPr>
            <a:defRPr sz="1200" b="1"/>
          </a:pPr>
          <a:endParaRPr lang="de-DE"/>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GHG Protocol : </a:t>
            </a:r>
            <a:r>
              <a:rPr lang="fr-FR" sz="1400">
                <a:solidFill>
                  <a:srgbClr val="C00000"/>
                </a:solidFill>
              </a:rPr>
              <a:t>Emissions de GES</a:t>
            </a:r>
            <a:r>
              <a:rPr lang="fr-FR" sz="1400"/>
              <a:t> et </a:t>
            </a:r>
            <a:r>
              <a:rPr lang="fr-FR" sz="1400">
                <a:solidFill>
                  <a:srgbClr val="C00000"/>
                </a:solidFill>
              </a:rPr>
              <a:t>incertitudes</a:t>
            </a:r>
            <a:r>
              <a:rPr lang="fr-FR" sz="1400"/>
              <a:t> 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0.16026560846560847"/>
          <c:y val="7.971748366013072E-2"/>
          <c:w val="0.80109682539682536"/>
          <c:h val="0.53896013071895421"/>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'GHG Protocol'!$D$42:$D$64</c:f>
              <c:strCache>
                <c:ptCount val="23"/>
                <c:pt idx="0">
                  <c:v>Sources fixes de combustion</c:v>
                </c:pt>
                <c:pt idx="1">
                  <c:v>Sources mobiles de combustion</c:v>
                </c:pt>
                <c:pt idx="2">
                  <c:v>Emissions directes des procédés</c:v>
                </c:pt>
                <c:pt idx="3">
                  <c:v>Emissions directes fugitives</c:v>
                </c:pt>
                <c:pt idx="4">
                  <c:v>Consommation d'électricité</c:v>
                </c:pt>
                <c:pt idx="5">
                  <c:v>Consommation de vapeur, chaleur ou froid</c:v>
                </c:pt>
                <c:pt idx="6">
                  <c:v>Produits et services achetés</c:v>
                </c:pt>
                <c:pt idx="7">
                  <c:v>Biens immobilisés</c:v>
                </c:pt>
                <c:pt idx="8">
                  <c:v>Liées à l'énergie (non inclus dans les scope 1 ou 2)</c:v>
                </c:pt>
                <c:pt idx="9">
                  <c:v>Transport de marchandise amont et distribution</c:v>
                </c:pt>
                <c:pt idx="10">
                  <c:v>Déchets générés</c:v>
                </c:pt>
                <c:pt idx="11">
                  <c:v>Déplacements professionnels</c:v>
                </c:pt>
                <c:pt idx="12">
                  <c:v>Déplacements domicile travail </c:v>
                </c:pt>
                <c:pt idx="13">
                  <c:v>Actifs en leasing amont</c:v>
                </c:pt>
                <c:pt idx="14">
                  <c:v>Autres émissions indirectes amont</c:v>
                </c:pt>
                <c:pt idx="15">
                  <c:v>Transport de marchandise aval et distribution</c:v>
                </c:pt>
                <c:pt idx="16">
                  <c:v>Transformation des produits vendus</c:v>
                </c:pt>
                <c:pt idx="17">
                  <c:v>Utilisation des produits vendus</c:v>
                </c:pt>
                <c:pt idx="18">
                  <c:v>Fin de vie des produits vendus</c:v>
                </c:pt>
                <c:pt idx="19">
                  <c:v>Actifs en leasing aval</c:v>
                </c:pt>
                <c:pt idx="20">
                  <c:v>Franchises</c:v>
                </c:pt>
                <c:pt idx="21">
                  <c:v>Investissements</c:v>
                </c:pt>
                <c:pt idx="22">
                  <c:v>Autres émissions indirectes aval</c:v>
                </c:pt>
              </c:strCache>
            </c:strRef>
          </c:cat>
          <c:val>
            <c:numRef>
              <c:f>'GHG Protocol'!$F$42:$F$64</c:f>
              <c:numCache>
                <c:formatCode>#,##0</c:formatCode>
                <c:ptCount val="23"/>
                <c:pt idx="0">
                  <c:v>304.75427791599998</c:v>
                </c:pt>
                <c:pt idx="1">
                  <c:v>0</c:v>
                </c:pt>
                <c:pt idx="2">
                  <c:v>0</c:v>
                </c:pt>
                <c:pt idx="3">
                  <c:v>0.48599999999999999</c:v>
                </c:pt>
                <c:pt idx="4">
                  <c:v>19.289968500000001</c:v>
                </c:pt>
                <c:pt idx="5">
                  <c:v>0</c:v>
                </c:pt>
                <c:pt idx="6">
                  <c:v>2816.2550000000001</c:v>
                </c:pt>
                <c:pt idx="7">
                  <c:v>0</c:v>
                </c:pt>
                <c:pt idx="8">
                  <c:v>74.061055211999985</c:v>
                </c:pt>
                <c:pt idx="9">
                  <c:v>295.73983500000003</c:v>
                </c:pt>
                <c:pt idx="10">
                  <c:v>39.17</c:v>
                </c:pt>
                <c:pt idx="11">
                  <c:v>1.480896</c:v>
                </c:pt>
                <c:pt idx="12">
                  <c:v>82.7475266</c:v>
                </c:pt>
                <c:pt idx="13">
                  <c:v>0</c:v>
                </c:pt>
                <c:pt idx="14">
                  <c:v>0</c:v>
                </c:pt>
                <c:pt idx="15">
                  <c:v>0</c:v>
                </c:pt>
                <c:pt idx="16">
                  <c:v>0</c:v>
                </c:pt>
                <c:pt idx="17">
                  <c:v>5.3314577495621718</c:v>
                </c:pt>
                <c:pt idx="18">
                  <c:v>0</c:v>
                </c:pt>
                <c:pt idx="19">
                  <c:v>0</c:v>
                </c:pt>
                <c:pt idx="20">
                  <c:v>0</c:v>
                </c:pt>
                <c:pt idx="21">
                  <c:v>18.927</c:v>
                </c:pt>
                <c:pt idx="22">
                  <c:v>0</c:v>
                </c:pt>
              </c:numCache>
            </c:numRef>
          </c:val>
          <c:extLst>
            <c:ext xmlns:c16="http://schemas.microsoft.com/office/drawing/2014/chart" uri="{C3380CC4-5D6E-409C-BE32-E72D297353CC}">
              <c16:uniqueId val="{00000000-0EB1-4430-9F29-D2B43474EDFC}"/>
            </c:ext>
          </c:extLst>
        </c:ser>
        <c:dLbls>
          <c:showLegendKey val="0"/>
          <c:showVal val="0"/>
          <c:showCatName val="0"/>
          <c:showSerName val="0"/>
          <c:showPercent val="0"/>
          <c:showBubbleSize val="0"/>
        </c:dLbls>
        <c:gapWidth val="100"/>
        <c:axId val="207352576"/>
        <c:axId val="207354112"/>
      </c:barChart>
      <c:stockChart>
        <c:ser>
          <c:idx val="1"/>
          <c:order val="1"/>
          <c:tx>
            <c:strRef>
              <c:f>'GHG Protocol'!$F$41</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Protocol'!$F$42:$F$64</c:f>
              <c:numCache>
                <c:formatCode>#,##0</c:formatCode>
                <c:ptCount val="23"/>
                <c:pt idx="0">
                  <c:v>304.75427791599998</c:v>
                </c:pt>
                <c:pt idx="1">
                  <c:v>0</c:v>
                </c:pt>
                <c:pt idx="2">
                  <c:v>0</c:v>
                </c:pt>
                <c:pt idx="3">
                  <c:v>0.48599999999999999</c:v>
                </c:pt>
                <c:pt idx="4">
                  <c:v>19.289968500000001</c:v>
                </c:pt>
                <c:pt idx="5">
                  <c:v>0</c:v>
                </c:pt>
                <c:pt idx="6">
                  <c:v>2816.2550000000001</c:v>
                </c:pt>
                <c:pt idx="7">
                  <c:v>0</c:v>
                </c:pt>
                <c:pt idx="8">
                  <c:v>74.061055211999985</c:v>
                </c:pt>
                <c:pt idx="9">
                  <c:v>295.73983500000003</c:v>
                </c:pt>
                <c:pt idx="10">
                  <c:v>39.17</c:v>
                </c:pt>
                <c:pt idx="11">
                  <c:v>1.480896</c:v>
                </c:pt>
                <c:pt idx="12">
                  <c:v>82.7475266</c:v>
                </c:pt>
                <c:pt idx="13">
                  <c:v>0</c:v>
                </c:pt>
                <c:pt idx="14">
                  <c:v>0</c:v>
                </c:pt>
                <c:pt idx="15">
                  <c:v>0</c:v>
                </c:pt>
                <c:pt idx="16">
                  <c:v>0</c:v>
                </c:pt>
                <c:pt idx="17">
                  <c:v>5.3314577495621718</c:v>
                </c:pt>
                <c:pt idx="18">
                  <c:v>0</c:v>
                </c:pt>
                <c:pt idx="19">
                  <c:v>0</c:v>
                </c:pt>
                <c:pt idx="20">
                  <c:v>0</c:v>
                </c:pt>
                <c:pt idx="21">
                  <c:v>18.927</c:v>
                </c:pt>
                <c:pt idx="22">
                  <c:v>0</c:v>
                </c:pt>
              </c:numCache>
            </c:numRef>
          </c:val>
          <c:smooth val="0"/>
          <c:extLst>
            <c:ext xmlns:c16="http://schemas.microsoft.com/office/drawing/2014/chart" uri="{C3380CC4-5D6E-409C-BE32-E72D297353CC}">
              <c16:uniqueId val="{00000001-0EB1-4430-9F29-D2B43474EDFC}"/>
            </c:ext>
          </c:extLst>
        </c:ser>
        <c:ser>
          <c:idx val="2"/>
          <c:order val="2"/>
          <c:tx>
            <c:strRef>
              <c:f>'GHG Protocol'!$E$41</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Protocol'!$E$42:$E$64</c:f>
              <c:numCache>
                <c:formatCode>#,##0</c:formatCode>
                <c:ptCount val="23"/>
                <c:pt idx="0">
                  <c:v>290.00520936134041</c:v>
                </c:pt>
                <c:pt idx="1">
                  <c:v>0</c:v>
                </c:pt>
                <c:pt idx="2">
                  <c:v>0</c:v>
                </c:pt>
                <c:pt idx="3">
                  <c:v>0.2026157379105184</c:v>
                </c:pt>
                <c:pt idx="4">
                  <c:v>17.36097165</c:v>
                </c:pt>
                <c:pt idx="5">
                  <c:v>0</c:v>
                </c:pt>
                <c:pt idx="6">
                  <c:v>2430.6416902533706</c:v>
                </c:pt>
                <c:pt idx="7">
                  <c:v>-12.133395140725817</c:v>
                </c:pt>
                <c:pt idx="8">
                  <c:v>70.846139606139346</c:v>
                </c:pt>
                <c:pt idx="9">
                  <c:v>215.20138589866332</c:v>
                </c:pt>
                <c:pt idx="10">
                  <c:v>33.258177681966416</c:v>
                </c:pt>
                <c:pt idx="11">
                  <c:v>0.62717471848814743</c:v>
                </c:pt>
                <c:pt idx="12">
                  <c:v>62.888326998863775</c:v>
                </c:pt>
                <c:pt idx="13">
                  <c:v>0</c:v>
                </c:pt>
                <c:pt idx="14">
                  <c:v>0</c:v>
                </c:pt>
                <c:pt idx="15">
                  <c:v>0</c:v>
                </c:pt>
                <c:pt idx="16">
                  <c:v>0</c:v>
                </c:pt>
                <c:pt idx="17">
                  <c:v>4.7807839760070054</c:v>
                </c:pt>
                <c:pt idx="18">
                  <c:v>0</c:v>
                </c:pt>
                <c:pt idx="19">
                  <c:v>0</c:v>
                </c:pt>
                <c:pt idx="20">
                  <c:v>0</c:v>
                </c:pt>
                <c:pt idx="21">
                  <c:v>10.396493614093007</c:v>
                </c:pt>
                <c:pt idx="22">
                  <c:v>0</c:v>
                </c:pt>
              </c:numCache>
            </c:numRef>
          </c:val>
          <c:smooth val="0"/>
          <c:extLst>
            <c:ext xmlns:c16="http://schemas.microsoft.com/office/drawing/2014/chart" uri="{C3380CC4-5D6E-409C-BE32-E72D297353CC}">
              <c16:uniqueId val="{00000002-0EB1-4430-9F29-D2B43474EDFC}"/>
            </c:ext>
          </c:extLst>
        </c:ser>
        <c:ser>
          <c:idx val="3"/>
          <c:order val="3"/>
          <c:tx>
            <c:strRef>
              <c:f>'GHG Protocol'!$H$41</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Protocol'!$H$42:$H$64</c:f>
              <c:numCache>
                <c:formatCode>#,##0</c:formatCode>
                <c:ptCount val="23"/>
                <c:pt idx="0">
                  <c:v>319.50334647065955</c:v>
                </c:pt>
                <c:pt idx="1">
                  <c:v>0</c:v>
                </c:pt>
                <c:pt idx="2">
                  <c:v>0</c:v>
                </c:pt>
                <c:pt idx="3">
                  <c:v>0.76938426208948152</c:v>
                </c:pt>
                <c:pt idx="4">
                  <c:v>21.218965350000001</c:v>
                </c:pt>
                <c:pt idx="5">
                  <c:v>0</c:v>
                </c:pt>
                <c:pt idx="6">
                  <c:v>3201.8683097466296</c:v>
                </c:pt>
                <c:pt idx="7">
                  <c:v>12.133395140725817</c:v>
                </c:pt>
                <c:pt idx="8">
                  <c:v>77.275970817860625</c:v>
                </c:pt>
                <c:pt idx="9">
                  <c:v>376.27828410133674</c:v>
                </c:pt>
                <c:pt idx="10">
                  <c:v>45.081822318033588</c:v>
                </c:pt>
                <c:pt idx="11">
                  <c:v>2.3346172815118527</c:v>
                </c:pt>
                <c:pt idx="12">
                  <c:v>102.60672620113623</c:v>
                </c:pt>
                <c:pt idx="13">
                  <c:v>0</c:v>
                </c:pt>
                <c:pt idx="14">
                  <c:v>0</c:v>
                </c:pt>
                <c:pt idx="15">
                  <c:v>0</c:v>
                </c:pt>
                <c:pt idx="16">
                  <c:v>0</c:v>
                </c:pt>
                <c:pt idx="17">
                  <c:v>5.8821315231173381</c:v>
                </c:pt>
                <c:pt idx="18">
                  <c:v>0</c:v>
                </c:pt>
                <c:pt idx="19">
                  <c:v>0</c:v>
                </c:pt>
                <c:pt idx="20">
                  <c:v>0</c:v>
                </c:pt>
                <c:pt idx="21">
                  <c:v>27.457506385906992</c:v>
                </c:pt>
                <c:pt idx="22">
                  <c:v>0</c:v>
                </c:pt>
              </c:numCache>
            </c:numRef>
          </c:val>
          <c:smooth val="0"/>
          <c:extLst>
            <c:ext xmlns:c16="http://schemas.microsoft.com/office/drawing/2014/chart" uri="{C3380CC4-5D6E-409C-BE32-E72D297353CC}">
              <c16:uniqueId val="{00000003-0EB1-4430-9F29-D2B43474EDFC}"/>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7357440"/>
        <c:axId val="207355904"/>
      </c:stockChart>
      <c:catAx>
        <c:axId val="207352576"/>
        <c:scaling>
          <c:orientation val="minMax"/>
        </c:scaling>
        <c:delete val="0"/>
        <c:axPos val="b"/>
        <c:numFmt formatCode="General" sourceLinked="0"/>
        <c:majorTickMark val="out"/>
        <c:minorTickMark val="none"/>
        <c:tickLblPos val="nextTo"/>
        <c:txPr>
          <a:bodyPr/>
          <a:lstStyle/>
          <a:p>
            <a:pPr>
              <a:defRPr sz="1100" b="1"/>
            </a:pPr>
            <a:endParaRPr lang="de-DE"/>
          </a:p>
        </c:txPr>
        <c:crossAx val="207354112"/>
        <c:crosses val="autoZero"/>
        <c:auto val="1"/>
        <c:lblAlgn val="ctr"/>
        <c:lblOffset val="100"/>
        <c:noMultiLvlLbl val="0"/>
      </c:catAx>
      <c:valAx>
        <c:axId val="207354112"/>
        <c:scaling>
          <c:orientation val="minMax"/>
        </c:scaling>
        <c:delete val="0"/>
        <c:axPos val="l"/>
        <c:majorGridlines/>
        <c:numFmt formatCode="#,##0" sourceLinked="1"/>
        <c:majorTickMark val="out"/>
        <c:minorTickMark val="none"/>
        <c:tickLblPos val="nextTo"/>
        <c:txPr>
          <a:bodyPr/>
          <a:lstStyle/>
          <a:p>
            <a:pPr>
              <a:defRPr sz="1200"/>
            </a:pPr>
            <a:endParaRPr lang="de-DE"/>
          </a:p>
        </c:txPr>
        <c:crossAx val="207352576"/>
        <c:crosses val="autoZero"/>
        <c:crossBetween val="between"/>
      </c:valAx>
      <c:valAx>
        <c:axId val="207355904"/>
        <c:scaling>
          <c:orientation val="minMax"/>
        </c:scaling>
        <c:delete val="1"/>
        <c:axPos val="r"/>
        <c:numFmt formatCode="#,##0" sourceLinked="1"/>
        <c:majorTickMark val="out"/>
        <c:minorTickMark val="none"/>
        <c:tickLblPos val="nextTo"/>
        <c:crossAx val="207357440"/>
        <c:crosses val="max"/>
        <c:crossBetween val="between"/>
      </c:valAx>
      <c:catAx>
        <c:axId val="207357440"/>
        <c:scaling>
          <c:orientation val="minMax"/>
        </c:scaling>
        <c:delete val="1"/>
        <c:axPos val="b"/>
        <c:numFmt formatCode="General" sourceLinked="1"/>
        <c:majorTickMark val="out"/>
        <c:minorTickMark val="none"/>
        <c:tickLblPos val="nextTo"/>
        <c:crossAx val="20735590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ISO 14069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de-DE"/>
              </a:p>
            </c:txPr>
            <c:showLegendKey val="0"/>
            <c:showVal val="1"/>
            <c:showCatName val="0"/>
            <c:showSerName val="0"/>
            <c:showPercent val="1"/>
            <c:showBubbleSize val="0"/>
            <c:showLeaderLines val="1"/>
            <c:extLst>
              <c:ext xmlns:c15="http://schemas.microsoft.com/office/drawing/2012/chart" uri="{CE6537A1-D6FC-4f65-9D91-7224C49458BB}"/>
            </c:extLst>
          </c:dLbls>
          <c:cat>
            <c:strRef>
              <c:f>('ISO 14069'!$B$10,'ISO 14069'!$B$16,'ISO 14069'!$B$19)</c:f>
              <c:strCache>
                <c:ptCount val="3"/>
                <c:pt idx="0">
                  <c:v>Scope 1</c:v>
                </c:pt>
                <c:pt idx="1">
                  <c:v>Scope 2</c:v>
                </c:pt>
                <c:pt idx="2">
                  <c:v>Scope 3</c:v>
                </c:pt>
              </c:strCache>
            </c:strRef>
          </c:cat>
          <c:val>
            <c:numRef>
              <c:f>('ISO 14069'!$J$15,'ISO 14069'!$J$18,'ISO 14069'!$J$35)</c:f>
              <c:numCache>
                <c:formatCode>#,##0</c:formatCode>
                <c:ptCount val="3"/>
                <c:pt idx="0">
                  <c:v>305.24027791599997</c:v>
                </c:pt>
                <c:pt idx="1">
                  <c:v>19.289968500000001</c:v>
                </c:pt>
                <c:pt idx="2">
                  <c:v>0</c:v>
                </c:pt>
              </c:numCache>
            </c:numRef>
          </c:val>
          <c:extLst>
            <c:ext xmlns:c16="http://schemas.microsoft.com/office/drawing/2014/chart" uri="{C3380CC4-5D6E-409C-BE32-E72D297353CC}">
              <c16:uniqueId val="{00000000-0906-4AB9-8678-6FCADED0629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2157921810699599"/>
          <c:y val="0.29636053122208805"/>
          <c:w val="0.26074341563786008"/>
          <c:h val="0.41842994484092294"/>
        </c:manualLayout>
      </c:layout>
      <c:overlay val="0"/>
      <c:txPr>
        <a:bodyPr/>
        <a:lstStyle/>
        <a:p>
          <a:pPr>
            <a:defRPr sz="1200" b="1"/>
          </a:pPr>
          <a:endParaRPr lang="de-DE"/>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ISO 14069 : </a:t>
            </a:r>
            <a:r>
              <a:rPr lang="fr-FR" sz="1400">
                <a:solidFill>
                  <a:srgbClr val="C00000"/>
                </a:solidFill>
              </a:rPr>
              <a:t>Emissions de GES</a:t>
            </a:r>
            <a:r>
              <a:rPr lang="fr-FR" sz="1400"/>
              <a:t> et </a:t>
            </a:r>
            <a:r>
              <a:rPr lang="fr-FR" sz="1400">
                <a:solidFill>
                  <a:srgbClr val="C00000"/>
                </a:solidFill>
              </a:rPr>
              <a:t>incertitudes</a:t>
            </a:r>
            <a:r>
              <a:rPr lang="fr-FR" sz="1400"/>
              <a:t> 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0.26526243386243387"/>
          <c:y val="7.971749668586546E-2"/>
          <c:w val="0.71361787467434246"/>
          <c:h val="0.45611902877761906"/>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'ISO 14069'!$D$40:$D$62</c:f>
              <c:strCache>
                <c:ptCount val="23"/>
                <c:pt idx="0">
                  <c:v>Emissions directes des sources fixes de combustion</c:v>
                </c:pt>
                <c:pt idx="1">
                  <c:v>Emissions directes des sources mobiles de combustion</c:v>
                </c:pt>
                <c:pt idx="2">
                  <c:v>Emissions directes des procédés</c:v>
                </c:pt>
                <c:pt idx="3">
                  <c:v>Emissions directes fugitives</c:v>
                </c:pt>
                <c:pt idx="4">
                  <c:v>Emissions directes issues de l'UTCF</c:v>
                </c:pt>
                <c:pt idx="5">
                  <c:v>Emissions indirectes liées à la consommation d'électricité</c:v>
                </c:pt>
                <c:pt idx="6">
                  <c:v>Emissions indirectes liées à la consommation d'énergie de réseau (hors électricité)</c:v>
                </c:pt>
                <c:pt idx="7">
                  <c:v>Emissions liées à l'énergie non incluses dans les postes 1 à 7</c:v>
                </c:pt>
                <c:pt idx="8">
                  <c:v>Achats de produits</c:v>
                </c:pt>
                <c:pt idx="9">
                  <c:v>Biens immobilisés</c:v>
                </c:pt>
                <c:pt idx="10">
                  <c:v>Déchets générés</c:v>
                </c:pt>
                <c:pt idx="11">
                  <c:v>Transport de marchandise amont et distribution</c:v>
                </c:pt>
                <c:pt idx="12">
                  <c:v>Déplacements professionnels</c:v>
                </c:pt>
                <c:pt idx="13">
                  <c:v>Actifs en leasing amont</c:v>
                </c:pt>
                <c:pt idx="14">
                  <c:v>Investissements</c:v>
                </c:pt>
                <c:pt idx="15">
                  <c:v>Transport des visiteurs et des clients</c:v>
                </c:pt>
                <c:pt idx="16">
                  <c:v>Transport de marchandise aval et distribution</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14069'!$F$40:$F$62</c:f>
              <c:numCache>
                <c:formatCode>#,##0</c:formatCode>
                <c:ptCount val="23"/>
                <c:pt idx="0">
                  <c:v>304.75427791599998</c:v>
                </c:pt>
                <c:pt idx="1">
                  <c:v>0</c:v>
                </c:pt>
                <c:pt idx="2">
                  <c:v>0</c:v>
                </c:pt>
                <c:pt idx="3">
                  <c:v>0.48599999999999999</c:v>
                </c:pt>
                <c:pt idx="4">
                  <c:v>0</c:v>
                </c:pt>
                <c:pt idx="5">
                  <c:v>19.289968500000001</c:v>
                </c:pt>
                <c:pt idx="6">
                  <c:v>0</c:v>
                </c:pt>
                <c:pt idx="7">
                  <c:v>73.38076681199999</c:v>
                </c:pt>
                <c:pt idx="8">
                  <c:v>2816.2550000000001</c:v>
                </c:pt>
                <c:pt idx="9">
                  <c:v>43.928386666666668</c:v>
                </c:pt>
                <c:pt idx="10">
                  <c:v>39.17</c:v>
                </c:pt>
                <c:pt idx="11">
                  <c:v>295.73983500000003</c:v>
                </c:pt>
                <c:pt idx="12">
                  <c:v>1.480896</c:v>
                </c:pt>
                <c:pt idx="13">
                  <c:v>0</c:v>
                </c:pt>
                <c:pt idx="14">
                  <c:v>18.927</c:v>
                </c:pt>
                <c:pt idx="15">
                  <c:v>0</c:v>
                </c:pt>
                <c:pt idx="16">
                  <c:v>0</c:v>
                </c:pt>
                <c:pt idx="17">
                  <c:v>5.3314577495621718</c:v>
                </c:pt>
                <c:pt idx="18">
                  <c:v>0</c:v>
                </c:pt>
                <c:pt idx="19">
                  <c:v>0</c:v>
                </c:pt>
                <c:pt idx="20">
                  <c:v>0</c:v>
                </c:pt>
                <c:pt idx="21">
                  <c:v>82.7475266</c:v>
                </c:pt>
                <c:pt idx="22">
                  <c:v>0</c:v>
                </c:pt>
              </c:numCache>
            </c:numRef>
          </c:val>
          <c:extLst>
            <c:ext xmlns:c16="http://schemas.microsoft.com/office/drawing/2014/chart" uri="{C3380CC4-5D6E-409C-BE32-E72D297353CC}">
              <c16:uniqueId val="{00000000-22CE-46B3-B3B4-35EC3185F31E}"/>
            </c:ext>
          </c:extLst>
        </c:ser>
        <c:dLbls>
          <c:showLegendKey val="0"/>
          <c:showVal val="0"/>
          <c:showCatName val="0"/>
          <c:showSerName val="0"/>
          <c:showPercent val="0"/>
          <c:showBubbleSize val="0"/>
        </c:dLbls>
        <c:gapWidth val="100"/>
        <c:axId val="207446400"/>
        <c:axId val="207447936"/>
      </c:barChart>
      <c:stockChart>
        <c:ser>
          <c:idx val="1"/>
          <c:order val="1"/>
          <c:tx>
            <c:strRef>
              <c:f>'ISO 14069'!$G$39</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14069'!$G$40:$G$62</c:f>
              <c:numCache>
                <c:formatCode>#,##0</c:formatCode>
                <c:ptCount val="23"/>
                <c:pt idx="0">
                  <c:v>304.75427791599998</c:v>
                </c:pt>
                <c:pt idx="1">
                  <c:v>0</c:v>
                </c:pt>
                <c:pt idx="2">
                  <c:v>0</c:v>
                </c:pt>
                <c:pt idx="3">
                  <c:v>0.48599999999999999</c:v>
                </c:pt>
                <c:pt idx="4">
                  <c:v>0</c:v>
                </c:pt>
                <c:pt idx="5">
                  <c:v>19.289968500000001</c:v>
                </c:pt>
                <c:pt idx="6">
                  <c:v>0</c:v>
                </c:pt>
                <c:pt idx="7">
                  <c:v>73.38076681199999</c:v>
                </c:pt>
                <c:pt idx="8">
                  <c:v>2816.2550000000001</c:v>
                </c:pt>
                <c:pt idx="9">
                  <c:v>43.928386666666668</c:v>
                </c:pt>
                <c:pt idx="10">
                  <c:v>39.17</c:v>
                </c:pt>
                <c:pt idx="11">
                  <c:v>295.73983500000003</c:v>
                </c:pt>
                <c:pt idx="12">
                  <c:v>1.480896</c:v>
                </c:pt>
                <c:pt idx="13">
                  <c:v>0</c:v>
                </c:pt>
                <c:pt idx="14">
                  <c:v>18.927</c:v>
                </c:pt>
                <c:pt idx="15">
                  <c:v>0</c:v>
                </c:pt>
                <c:pt idx="16">
                  <c:v>0</c:v>
                </c:pt>
                <c:pt idx="17">
                  <c:v>5.3314577495621718</c:v>
                </c:pt>
                <c:pt idx="18">
                  <c:v>0</c:v>
                </c:pt>
                <c:pt idx="19">
                  <c:v>0</c:v>
                </c:pt>
                <c:pt idx="20">
                  <c:v>0</c:v>
                </c:pt>
                <c:pt idx="21">
                  <c:v>82.7475266</c:v>
                </c:pt>
                <c:pt idx="22">
                  <c:v>0</c:v>
                </c:pt>
              </c:numCache>
            </c:numRef>
          </c:val>
          <c:smooth val="0"/>
          <c:extLst>
            <c:ext xmlns:c16="http://schemas.microsoft.com/office/drawing/2014/chart" uri="{C3380CC4-5D6E-409C-BE32-E72D297353CC}">
              <c16:uniqueId val="{00000001-22CE-46B3-B3B4-35EC3185F31E}"/>
            </c:ext>
          </c:extLst>
        </c:ser>
        <c:ser>
          <c:idx val="2"/>
          <c:order val="2"/>
          <c:tx>
            <c:strRef>
              <c:f>'ISO 14069'!$E$39</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14069'!$E$40:$E$62</c:f>
              <c:numCache>
                <c:formatCode>#,##0</c:formatCode>
                <c:ptCount val="23"/>
                <c:pt idx="0">
                  <c:v>290.00520936134041</c:v>
                </c:pt>
                <c:pt idx="1">
                  <c:v>0</c:v>
                </c:pt>
                <c:pt idx="2">
                  <c:v>0</c:v>
                </c:pt>
                <c:pt idx="3">
                  <c:v>0.2026157379105184</c:v>
                </c:pt>
                <c:pt idx="4">
                  <c:v>0</c:v>
                </c:pt>
                <c:pt idx="5">
                  <c:v>17.36097165</c:v>
                </c:pt>
                <c:pt idx="6">
                  <c:v>0</c:v>
                </c:pt>
                <c:pt idx="7">
                  <c:v>70.165851206139351</c:v>
                </c:pt>
                <c:pt idx="8">
                  <c:v>2430.6416902533706</c:v>
                </c:pt>
                <c:pt idx="9">
                  <c:v>31.794991525940851</c:v>
                </c:pt>
                <c:pt idx="10">
                  <c:v>33.258177681966416</c:v>
                </c:pt>
                <c:pt idx="11">
                  <c:v>215.20138589866332</c:v>
                </c:pt>
                <c:pt idx="12">
                  <c:v>0.62717471848814743</c:v>
                </c:pt>
                <c:pt idx="13">
                  <c:v>0</c:v>
                </c:pt>
                <c:pt idx="14">
                  <c:v>10.396493614093007</c:v>
                </c:pt>
                <c:pt idx="15">
                  <c:v>0</c:v>
                </c:pt>
                <c:pt idx="16">
                  <c:v>0</c:v>
                </c:pt>
                <c:pt idx="17">
                  <c:v>4.7807839760070054</c:v>
                </c:pt>
                <c:pt idx="18">
                  <c:v>0</c:v>
                </c:pt>
                <c:pt idx="19">
                  <c:v>0</c:v>
                </c:pt>
                <c:pt idx="20">
                  <c:v>0</c:v>
                </c:pt>
                <c:pt idx="21">
                  <c:v>62.888326998863775</c:v>
                </c:pt>
                <c:pt idx="22">
                  <c:v>0</c:v>
                </c:pt>
              </c:numCache>
            </c:numRef>
          </c:val>
          <c:smooth val="0"/>
          <c:extLst>
            <c:ext xmlns:c16="http://schemas.microsoft.com/office/drawing/2014/chart" uri="{C3380CC4-5D6E-409C-BE32-E72D297353CC}">
              <c16:uniqueId val="{00000002-22CE-46B3-B3B4-35EC3185F31E}"/>
            </c:ext>
          </c:extLst>
        </c:ser>
        <c:ser>
          <c:idx val="3"/>
          <c:order val="3"/>
          <c:tx>
            <c:strRef>
              <c:f>'ISO 14069'!$H$39</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14069'!$H$40:$H$62</c:f>
              <c:numCache>
                <c:formatCode>#,##0</c:formatCode>
                <c:ptCount val="23"/>
                <c:pt idx="0">
                  <c:v>319.50334647065955</c:v>
                </c:pt>
                <c:pt idx="1">
                  <c:v>0</c:v>
                </c:pt>
                <c:pt idx="2">
                  <c:v>0</c:v>
                </c:pt>
                <c:pt idx="3">
                  <c:v>0.76938426208948152</c:v>
                </c:pt>
                <c:pt idx="4">
                  <c:v>0</c:v>
                </c:pt>
                <c:pt idx="5">
                  <c:v>21.218965350000001</c:v>
                </c:pt>
                <c:pt idx="6">
                  <c:v>0</c:v>
                </c:pt>
                <c:pt idx="7">
                  <c:v>76.59568241786063</c:v>
                </c:pt>
                <c:pt idx="8">
                  <c:v>3201.8683097466296</c:v>
                </c:pt>
                <c:pt idx="9">
                  <c:v>56.061781807392485</c:v>
                </c:pt>
                <c:pt idx="10">
                  <c:v>45.081822318033588</c:v>
                </c:pt>
                <c:pt idx="11">
                  <c:v>376.27828410133674</c:v>
                </c:pt>
                <c:pt idx="12">
                  <c:v>2.3346172815118527</c:v>
                </c:pt>
                <c:pt idx="13">
                  <c:v>0</c:v>
                </c:pt>
                <c:pt idx="14">
                  <c:v>27.457506385906992</c:v>
                </c:pt>
                <c:pt idx="15">
                  <c:v>0</c:v>
                </c:pt>
                <c:pt idx="16">
                  <c:v>0</c:v>
                </c:pt>
                <c:pt idx="17">
                  <c:v>5.8821315231173381</c:v>
                </c:pt>
                <c:pt idx="18">
                  <c:v>0</c:v>
                </c:pt>
                <c:pt idx="19">
                  <c:v>0</c:v>
                </c:pt>
                <c:pt idx="20">
                  <c:v>0</c:v>
                </c:pt>
                <c:pt idx="21">
                  <c:v>102.60672620113623</c:v>
                </c:pt>
                <c:pt idx="22">
                  <c:v>0</c:v>
                </c:pt>
              </c:numCache>
            </c:numRef>
          </c:val>
          <c:smooth val="0"/>
          <c:extLst>
            <c:ext xmlns:c16="http://schemas.microsoft.com/office/drawing/2014/chart" uri="{C3380CC4-5D6E-409C-BE32-E72D297353CC}">
              <c16:uniqueId val="{00000003-22CE-46B3-B3B4-35EC3185F31E}"/>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7459456"/>
        <c:axId val="207449472"/>
      </c:stockChart>
      <c:catAx>
        <c:axId val="207446400"/>
        <c:scaling>
          <c:orientation val="minMax"/>
        </c:scaling>
        <c:delete val="0"/>
        <c:axPos val="b"/>
        <c:numFmt formatCode="General" sourceLinked="0"/>
        <c:majorTickMark val="out"/>
        <c:minorTickMark val="none"/>
        <c:tickLblPos val="nextTo"/>
        <c:txPr>
          <a:bodyPr/>
          <a:lstStyle/>
          <a:p>
            <a:pPr>
              <a:defRPr sz="1100" b="1"/>
            </a:pPr>
            <a:endParaRPr lang="de-DE"/>
          </a:p>
        </c:txPr>
        <c:crossAx val="207447936"/>
        <c:crosses val="autoZero"/>
        <c:auto val="1"/>
        <c:lblAlgn val="ctr"/>
        <c:lblOffset val="100"/>
        <c:noMultiLvlLbl val="0"/>
      </c:catAx>
      <c:valAx>
        <c:axId val="207447936"/>
        <c:scaling>
          <c:orientation val="minMax"/>
        </c:scaling>
        <c:delete val="0"/>
        <c:axPos val="l"/>
        <c:majorGridlines/>
        <c:numFmt formatCode="#,##0" sourceLinked="1"/>
        <c:majorTickMark val="out"/>
        <c:minorTickMark val="none"/>
        <c:tickLblPos val="nextTo"/>
        <c:txPr>
          <a:bodyPr/>
          <a:lstStyle/>
          <a:p>
            <a:pPr>
              <a:defRPr sz="1200"/>
            </a:pPr>
            <a:endParaRPr lang="de-DE"/>
          </a:p>
        </c:txPr>
        <c:crossAx val="207446400"/>
        <c:crosses val="autoZero"/>
        <c:crossBetween val="between"/>
      </c:valAx>
      <c:valAx>
        <c:axId val="207449472"/>
        <c:scaling>
          <c:orientation val="minMax"/>
        </c:scaling>
        <c:delete val="1"/>
        <c:axPos val="r"/>
        <c:numFmt formatCode="#,##0" sourceLinked="1"/>
        <c:majorTickMark val="out"/>
        <c:minorTickMark val="none"/>
        <c:tickLblPos val="nextTo"/>
        <c:crossAx val="207459456"/>
        <c:crosses val="max"/>
        <c:crossBetween val="between"/>
      </c:valAx>
      <c:catAx>
        <c:axId val="207459456"/>
        <c:scaling>
          <c:orientation val="minMax"/>
        </c:scaling>
        <c:delete val="1"/>
        <c:axPos val="b"/>
        <c:numFmt formatCode="General" sourceLinked="1"/>
        <c:majorTickMark val="out"/>
        <c:minorTickMark val="none"/>
        <c:tickLblPos val="nextTo"/>
        <c:crossAx val="2074494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'Intrants 2'!$E$322</c:f>
              <c:strCache>
                <c:ptCount val="1"/>
                <c:pt idx="0">
                  <c:v>t CO2e</c:v>
                </c:pt>
              </c:strCache>
            </c:strRef>
          </c:tx>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val>
            <c:numRef>
              <c:f>'Intrants 2'!$E$323:$E$332</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28B-4AB3-ADFB-3FD958DC0D5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9249228395061733E-2"/>
          <c:y val="0.11070413911678749"/>
          <c:w val="0.85637314814814813"/>
          <c:h val="0.60204311007595546"/>
        </c:manualLayout>
      </c:layout>
      <c:barChart>
        <c:barDir val="col"/>
        <c:grouping val="clustered"/>
        <c:varyColors val="0"/>
        <c:ser>
          <c:idx val="0"/>
          <c:order val="0"/>
          <c:tx>
            <c:strRef>
              <c:f>'Déchets directs'!$L$219</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directs'!$L$220:$L$228</c:f>
              <c:numCache>
                <c:formatCode>#\ ##0.0</c:formatCode>
                <c:ptCount val="9"/>
                <c:pt idx="0">
                  <c:v>39.17</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D6B-4DAE-845E-90F4FF6A8A7C}"/>
            </c:ext>
          </c:extLst>
        </c:ser>
        <c:dLbls>
          <c:showLegendKey val="0"/>
          <c:showVal val="0"/>
          <c:showCatName val="0"/>
          <c:showSerName val="0"/>
          <c:showPercent val="0"/>
          <c:showBubbleSize val="0"/>
        </c:dLbls>
        <c:gapWidth val="100"/>
        <c:axId val="205916800"/>
        <c:axId val="205918592"/>
      </c:barChart>
      <c:stockChart>
        <c:ser>
          <c:idx val="1"/>
          <c:order val="1"/>
          <c:tx>
            <c:strRef>
              <c:f>'Déchets directs'!$M$219</c:f>
              <c:strCache>
                <c:ptCount val="1"/>
                <c:pt idx="0">
                  <c:v>Median</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directs'!$M$220:$M$228</c:f>
              <c:numCache>
                <c:formatCode>#\ ##0.0</c:formatCode>
                <c:ptCount val="9"/>
                <c:pt idx="0">
                  <c:v>39.17</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2D6B-4DAE-845E-90F4FF6A8A7C}"/>
            </c:ext>
          </c:extLst>
        </c:ser>
        <c:ser>
          <c:idx val="2"/>
          <c:order val="2"/>
          <c:tx>
            <c:strRef>
              <c:f>'Déchets directs'!$K$219</c:f>
              <c:strCache>
                <c:ptCount val="1"/>
                <c:pt idx="0">
                  <c:v>Bas</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directs'!$K$220:$K$228</c:f>
              <c:numCache>
                <c:formatCode>#\ ##0.0</c:formatCode>
                <c:ptCount val="9"/>
                <c:pt idx="0">
                  <c:v>33.258177681966416</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2D6B-4DAE-845E-90F4FF6A8A7C}"/>
            </c:ext>
          </c:extLst>
        </c:ser>
        <c:ser>
          <c:idx val="3"/>
          <c:order val="3"/>
          <c:tx>
            <c:strRef>
              <c:f>'Déchets directs'!$N$219</c:f>
              <c:strCache>
                <c:ptCount val="1"/>
                <c:pt idx="0">
                  <c:v>Haut</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directs'!$N$220:$N$228</c:f>
              <c:numCache>
                <c:formatCode>#\ ##0.0</c:formatCode>
                <c:ptCount val="9"/>
                <c:pt idx="0">
                  <c:v>45.081822318033588</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2D6B-4DAE-845E-90F4FF6A8A7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921664"/>
        <c:axId val="205920128"/>
      </c:stockChart>
      <c:catAx>
        <c:axId val="205916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5918592"/>
        <c:crosses val="autoZero"/>
        <c:auto val="1"/>
        <c:lblAlgn val="ctr"/>
        <c:lblOffset val="100"/>
        <c:noMultiLvlLbl val="0"/>
      </c:catAx>
      <c:valAx>
        <c:axId val="20591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916800"/>
        <c:crosses val="autoZero"/>
        <c:crossBetween val="between"/>
      </c:valAx>
      <c:valAx>
        <c:axId val="205920128"/>
        <c:scaling>
          <c:orientation val="minMax"/>
        </c:scaling>
        <c:delete val="1"/>
        <c:axPos val="r"/>
        <c:numFmt formatCode="#\ ##0.0" sourceLinked="1"/>
        <c:majorTickMark val="out"/>
        <c:minorTickMark val="none"/>
        <c:tickLblPos val="nextTo"/>
        <c:crossAx val="205921664"/>
        <c:crosses val="max"/>
        <c:crossBetween val="between"/>
      </c:valAx>
      <c:catAx>
        <c:axId val="205921664"/>
        <c:scaling>
          <c:orientation val="minMax"/>
        </c:scaling>
        <c:delete val="1"/>
        <c:axPos val="b"/>
        <c:numFmt formatCode="General" sourceLinked="1"/>
        <c:majorTickMark val="out"/>
        <c:minorTickMark val="none"/>
        <c:tickLblPos val="nextTo"/>
        <c:crossAx val="20592012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976697530864191E-2"/>
          <c:y val="0.11070413911678749"/>
          <c:w val="0.85529691358024695"/>
          <c:h val="0.61943661809503203"/>
        </c:manualLayout>
      </c:layout>
      <c:barChart>
        <c:barDir val="col"/>
        <c:grouping val="clustered"/>
        <c:varyColors val="0"/>
        <c:ser>
          <c:idx val="0"/>
          <c:order val="0"/>
          <c:tx>
            <c:strRef>
              <c:f>'Intrants 2'!$L$322</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'Intrants 1'!$B$325:$C$334</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2'!$L$323:$L$332</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BAD-4CAA-9D3A-320C57A4DAA7}"/>
            </c:ext>
          </c:extLst>
        </c:ser>
        <c:dLbls>
          <c:showLegendKey val="0"/>
          <c:showVal val="0"/>
          <c:showCatName val="0"/>
          <c:showSerName val="0"/>
          <c:showPercent val="0"/>
          <c:showBubbleSize val="0"/>
        </c:dLbls>
        <c:gapWidth val="100"/>
        <c:axId val="205491200"/>
        <c:axId val="205501184"/>
      </c:barChart>
      <c:stockChart>
        <c:ser>
          <c:idx val="1"/>
          <c:order val="1"/>
          <c:tx>
            <c:strRef>
              <c:f>'Intrants 2'!$L$322</c:f>
              <c:strCache>
                <c:ptCount val="1"/>
                <c:pt idx="0">
                  <c:v>Median</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2'!$L$323:$L$332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BAD-4CAA-9D3A-320C57A4DAA7}"/>
            </c:ext>
          </c:extLst>
        </c:ser>
        <c:ser>
          <c:idx val="2"/>
          <c:order val="2"/>
          <c:tx>
            <c:strRef>
              <c:f>'Intrants 2'!$K$322</c:f>
              <c:strCache>
                <c:ptCount val="1"/>
                <c:pt idx="0">
                  <c:v>Bas</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2'!$K$323:$K$332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6BAD-4CAA-9D3A-320C57A4DAA7}"/>
            </c:ext>
          </c:extLst>
        </c:ser>
        <c:ser>
          <c:idx val="3"/>
          <c:order val="3"/>
          <c:tx>
            <c:strRef>
              <c:f>'Intrants 2'!$N$322</c:f>
              <c:strCache>
                <c:ptCount val="1"/>
                <c:pt idx="0">
                  <c:v>Haut</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2'!$N$323:$N$332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6BAD-4CAA-9D3A-320C57A4DAA7}"/>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504512"/>
        <c:axId val="205502720"/>
      </c:stockChart>
      <c:catAx>
        <c:axId val="2054912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5501184"/>
        <c:crosses val="autoZero"/>
        <c:auto val="1"/>
        <c:lblAlgn val="ctr"/>
        <c:lblOffset val="100"/>
        <c:noMultiLvlLbl val="0"/>
      </c:catAx>
      <c:valAx>
        <c:axId val="2055011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491200"/>
        <c:crosses val="autoZero"/>
        <c:crossBetween val="between"/>
      </c:valAx>
      <c:valAx>
        <c:axId val="205502720"/>
        <c:scaling>
          <c:orientation val="minMax"/>
        </c:scaling>
        <c:delete val="1"/>
        <c:axPos val="r"/>
        <c:numFmt formatCode="#\ ##0.0" sourceLinked="1"/>
        <c:majorTickMark val="out"/>
        <c:minorTickMark val="none"/>
        <c:tickLblPos val="nextTo"/>
        <c:crossAx val="205504512"/>
        <c:crosses val="max"/>
        <c:crossBetween val="between"/>
      </c:valAx>
      <c:catAx>
        <c:axId val="205504512"/>
        <c:scaling>
          <c:orientation val="minMax"/>
        </c:scaling>
        <c:delete val="1"/>
        <c:axPos val="b"/>
        <c:numFmt formatCode="General" sourceLinked="1"/>
        <c:majorTickMark val="out"/>
        <c:minorTickMark val="none"/>
        <c:tickLblPos val="nextTo"/>
        <c:crossAx val="2055027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Recapitulatif</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4016820987654325E-2"/>
          <c:y val="0.11070413911678749"/>
          <c:w val="0.88880290027614073"/>
          <c:h val="0.77211581074394764"/>
        </c:manualLayout>
      </c:layout>
      <c:barChart>
        <c:barDir val="col"/>
        <c:grouping val="clustered"/>
        <c:varyColors val="0"/>
        <c:ser>
          <c:idx val="0"/>
          <c:order val="0"/>
          <c:tx>
            <c:strRef>
              <c:f>'Recap CO2e'!$L$130</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CO2e'!$L$131:$L$143</c:f>
              <c:numCache>
                <c:formatCode>#,##0</c:formatCode>
                <c:ptCount val="13"/>
                <c:pt idx="0">
                  <c:v>398.53822810000003</c:v>
                </c:pt>
                <c:pt idx="1">
                  <c:v>0</c:v>
                </c:pt>
                <c:pt idx="2">
                  <c:v>0.48599999999999999</c:v>
                </c:pt>
                <c:pt idx="3">
                  <c:v>0</c:v>
                </c:pt>
                <c:pt idx="4">
                  <c:v>2658.1819999999998</c:v>
                </c:pt>
                <c:pt idx="5">
                  <c:v>0</c:v>
                </c:pt>
                <c:pt idx="6">
                  <c:v>309.18</c:v>
                </c:pt>
                <c:pt idx="7">
                  <c:v>295.73983500000003</c:v>
                </c:pt>
                <c:pt idx="8">
                  <c:v>123.69497360000001</c:v>
                </c:pt>
                <c:pt idx="9">
                  <c:v>39.17</c:v>
                </c:pt>
                <c:pt idx="10">
                  <c:v>43.928386666666668</c:v>
                </c:pt>
                <c:pt idx="11">
                  <c:v>5.3314577495621718</c:v>
                </c:pt>
                <c:pt idx="12">
                  <c:v>958.13300000000004</c:v>
                </c:pt>
              </c:numCache>
            </c:numRef>
          </c:val>
          <c:extLst>
            <c:ext xmlns:c16="http://schemas.microsoft.com/office/drawing/2014/chart" uri="{C3380CC4-5D6E-409C-BE32-E72D297353CC}">
              <c16:uniqueId val="{00000000-0F81-45BE-AD23-8C44453AAB5C}"/>
            </c:ext>
          </c:extLst>
        </c:ser>
        <c:dLbls>
          <c:showLegendKey val="0"/>
          <c:showVal val="0"/>
          <c:showCatName val="0"/>
          <c:showSerName val="0"/>
          <c:showPercent val="0"/>
          <c:showBubbleSize val="0"/>
        </c:dLbls>
        <c:gapWidth val="100"/>
        <c:axId val="206524800"/>
        <c:axId val="206526336"/>
      </c:barChart>
      <c:stockChart>
        <c:ser>
          <c:idx val="1"/>
          <c:order val="1"/>
          <c:tx>
            <c:strRef>
              <c:f>'Recap CO2e'!$M$130</c:f>
              <c:strCache>
                <c:ptCount val="1"/>
                <c:pt idx="0">
                  <c:v>Median</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CO2e'!$M$131:$M$143</c:f>
              <c:numCache>
                <c:formatCode>#,##0</c:formatCode>
                <c:ptCount val="13"/>
                <c:pt idx="0">
                  <c:v>398.53822810000003</c:v>
                </c:pt>
                <c:pt idx="1">
                  <c:v>0</c:v>
                </c:pt>
                <c:pt idx="2">
                  <c:v>0.48599999999999999</c:v>
                </c:pt>
                <c:pt idx="3">
                  <c:v>0</c:v>
                </c:pt>
                <c:pt idx="4">
                  <c:v>2658.1819999999998</c:v>
                </c:pt>
                <c:pt idx="5">
                  <c:v>0</c:v>
                </c:pt>
                <c:pt idx="6">
                  <c:v>309.18</c:v>
                </c:pt>
                <c:pt idx="7">
                  <c:v>295.73983500000003</c:v>
                </c:pt>
                <c:pt idx="8">
                  <c:v>123.69497360000001</c:v>
                </c:pt>
                <c:pt idx="9">
                  <c:v>39.17</c:v>
                </c:pt>
                <c:pt idx="10">
                  <c:v>43.928386666666668</c:v>
                </c:pt>
                <c:pt idx="11">
                  <c:v>5.3314577495621718</c:v>
                </c:pt>
                <c:pt idx="12">
                  <c:v>958.13300000000004</c:v>
                </c:pt>
              </c:numCache>
            </c:numRef>
          </c:val>
          <c:smooth val="0"/>
          <c:extLst>
            <c:ext xmlns:c16="http://schemas.microsoft.com/office/drawing/2014/chart" uri="{C3380CC4-5D6E-409C-BE32-E72D297353CC}">
              <c16:uniqueId val="{00000001-0F81-45BE-AD23-8C44453AAB5C}"/>
            </c:ext>
          </c:extLst>
        </c:ser>
        <c:ser>
          <c:idx val="2"/>
          <c:order val="2"/>
          <c:tx>
            <c:strRef>
              <c:f>'Recap CO2e'!$K$130</c:f>
              <c:strCache>
                <c:ptCount val="1"/>
                <c:pt idx="0">
                  <c:v>Bas</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CO2e'!$K$131:$K$143</c:f>
              <c:numCache>
                <c:formatCode>#,##0</c:formatCode>
                <c:ptCount val="13"/>
                <c:pt idx="0">
                  <c:v>383.24960248493483</c:v>
                </c:pt>
                <c:pt idx="1">
                  <c:v>0</c:v>
                </c:pt>
                <c:pt idx="2">
                  <c:v>0.2026157379105184</c:v>
                </c:pt>
                <c:pt idx="3">
                  <c:v>0</c:v>
                </c:pt>
                <c:pt idx="4">
                  <c:v>2273.3354926844859</c:v>
                </c:pt>
                <c:pt idx="5">
                  <c:v>0</c:v>
                </c:pt>
                <c:pt idx="6">
                  <c:v>276.66560933986307</c:v>
                </c:pt>
                <c:pt idx="7">
                  <c:v>215.20138589866332</c:v>
                </c:pt>
                <c:pt idx="8">
                  <c:v>103.73687284660481</c:v>
                </c:pt>
                <c:pt idx="9">
                  <c:v>33.258177681966416</c:v>
                </c:pt>
                <c:pt idx="10">
                  <c:v>31.794991525940851</c:v>
                </c:pt>
                <c:pt idx="11">
                  <c:v>4.7807839760070054</c:v>
                </c:pt>
                <c:pt idx="12">
                  <c:v>780.99379999999996</c:v>
                </c:pt>
              </c:numCache>
            </c:numRef>
          </c:val>
          <c:smooth val="0"/>
          <c:extLst>
            <c:ext xmlns:c16="http://schemas.microsoft.com/office/drawing/2014/chart" uri="{C3380CC4-5D6E-409C-BE32-E72D297353CC}">
              <c16:uniqueId val="{00000002-0F81-45BE-AD23-8C44453AAB5C}"/>
            </c:ext>
          </c:extLst>
        </c:ser>
        <c:ser>
          <c:idx val="3"/>
          <c:order val="3"/>
          <c:tx>
            <c:strRef>
              <c:f>'Recap CO2e'!$N$130</c:f>
              <c:strCache>
                <c:ptCount val="1"/>
                <c:pt idx="0">
                  <c:v>Haut</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CO2e'!$N$131:$N$143</c:f>
              <c:numCache>
                <c:formatCode>#,##0</c:formatCode>
                <c:ptCount val="13"/>
                <c:pt idx="0">
                  <c:v>413.82685371506523</c:v>
                </c:pt>
                <c:pt idx="1">
                  <c:v>0</c:v>
                </c:pt>
                <c:pt idx="2">
                  <c:v>0.76938426208948152</c:v>
                </c:pt>
                <c:pt idx="3">
                  <c:v>0</c:v>
                </c:pt>
                <c:pt idx="4">
                  <c:v>3043.0285073155137</c:v>
                </c:pt>
                <c:pt idx="5">
                  <c:v>0</c:v>
                </c:pt>
                <c:pt idx="6">
                  <c:v>341.69439066013695</c:v>
                </c:pt>
                <c:pt idx="7">
                  <c:v>376.27828410133674</c:v>
                </c:pt>
                <c:pt idx="8">
                  <c:v>143.6530743533952</c:v>
                </c:pt>
                <c:pt idx="9">
                  <c:v>45.081822318033588</c:v>
                </c:pt>
                <c:pt idx="10">
                  <c:v>56.061781807392485</c:v>
                </c:pt>
                <c:pt idx="11">
                  <c:v>5.8821315231173381</c:v>
                </c:pt>
                <c:pt idx="12">
                  <c:v>1135.2722000000001</c:v>
                </c:pt>
              </c:numCache>
            </c:numRef>
          </c:val>
          <c:smooth val="0"/>
          <c:extLst>
            <c:ext xmlns:c16="http://schemas.microsoft.com/office/drawing/2014/chart" uri="{C3380CC4-5D6E-409C-BE32-E72D297353CC}">
              <c16:uniqueId val="{00000003-0F81-45BE-AD23-8C44453AAB5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529664"/>
        <c:axId val="206527872"/>
      </c:stockChart>
      <c:catAx>
        <c:axId val="206524800"/>
        <c:scaling>
          <c:orientation val="minMax"/>
        </c:scaling>
        <c:delete val="0"/>
        <c:axPos val="b"/>
        <c:numFmt formatCode="General" sourceLinked="0"/>
        <c:majorTickMark val="out"/>
        <c:minorTickMark val="none"/>
        <c:tickLblPos val="low"/>
        <c:spPr>
          <a:ln w="12700"/>
        </c:spPr>
        <c:txPr>
          <a:bodyPr rot="0" vert="horz" anchor="t" anchorCtr="1"/>
          <a:lstStyle/>
          <a:p>
            <a:pPr>
              <a:defRPr sz="1000" b="1">
                <a:ln>
                  <a:noFill/>
                </a:ln>
                <a:solidFill>
                  <a:sysClr val="windowText" lastClr="000000"/>
                </a:solidFill>
              </a:defRPr>
            </a:pPr>
            <a:endParaRPr lang="de-DE"/>
          </a:p>
        </c:txPr>
        <c:crossAx val="206526336"/>
        <c:crosses val="autoZero"/>
        <c:auto val="1"/>
        <c:lblAlgn val="ctr"/>
        <c:lblOffset val="100"/>
        <c:tickLblSkip val="2"/>
        <c:noMultiLvlLbl val="0"/>
      </c:catAx>
      <c:valAx>
        <c:axId val="206526336"/>
        <c:scaling>
          <c:orientation val="minMax"/>
        </c:scaling>
        <c:delete val="0"/>
        <c:axPos val="l"/>
        <c:majorGridlines/>
        <c:numFmt formatCode="#,##0" sourceLinked="1"/>
        <c:majorTickMark val="out"/>
        <c:minorTickMark val="none"/>
        <c:tickLblPos val="nextTo"/>
        <c:txPr>
          <a:bodyPr/>
          <a:lstStyle/>
          <a:p>
            <a:pPr>
              <a:defRPr sz="1200">
                <a:solidFill>
                  <a:sysClr val="windowText" lastClr="000000"/>
                </a:solidFill>
              </a:defRPr>
            </a:pPr>
            <a:endParaRPr lang="de-DE"/>
          </a:p>
        </c:txPr>
        <c:crossAx val="206524800"/>
        <c:crosses val="autoZero"/>
        <c:crossBetween val="between"/>
      </c:valAx>
      <c:valAx>
        <c:axId val="206527872"/>
        <c:scaling>
          <c:orientation val="minMax"/>
        </c:scaling>
        <c:delete val="1"/>
        <c:axPos val="r"/>
        <c:numFmt formatCode="#,##0" sourceLinked="1"/>
        <c:majorTickMark val="out"/>
        <c:minorTickMark val="none"/>
        <c:tickLblPos val="nextTo"/>
        <c:crossAx val="206529664"/>
        <c:crosses val="max"/>
        <c:crossBetween val="between"/>
      </c:valAx>
      <c:catAx>
        <c:axId val="206529664"/>
        <c:scaling>
          <c:orientation val="minMax"/>
        </c:scaling>
        <c:delete val="1"/>
        <c:axPos val="b"/>
        <c:numFmt formatCode="General" sourceLinked="1"/>
        <c:majorTickMark val="out"/>
        <c:minorTickMark val="none"/>
        <c:tickLblPos val="nextTo"/>
        <c:crossAx val="2065278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FR" sz="1400" i="0">
                <a:solidFill>
                  <a:schemeClr val="tx2"/>
                </a:solidFill>
              </a:rPr>
              <a:t>Recapitulatif</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de-DE"/>
        </a:p>
      </c:txPr>
    </c:title>
    <c:autoTitleDeleted val="0"/>
    <c:plotArea>
      <c:layout/>
      <c:pieChart>
        <c:varyColors val="1"/>
        <c:ser>
          <c:idx val="0"/>
          <c:order val="0"/>
          <c:spPr>
            <a:effectLst/>
          </c:spPr>
          <c:dPt>
            <c:idx val="0"/>
            <c:bubble3D val="0"/>
            <c:spPr>
              <a:solidFill>
                <a:schemeClr val="accent1"/>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1-B0D1-4364-BA7B-C75463F6DC3C}"/>
              </c:ext>
            </c:extLst>
          </c:dPt>
          <c:dPt>
            <c:idx val="1"/>
            <c:bubble3D val="0"/>
            <c:spPr>
              <a:solidFill>
                <a:schemeClr val="accent2"/>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3-B0D1-4364-BA7B-C75463F6DC3C}"/>
              </c:ext>
            </c:extLst>
          </c:dPt>
          <c:dPt>
            <c:idx val="2"/>
            <c:bubble3D val="0"/>
            <c:spPr>
              <a:solidFill>
                <a:schemeClr val="accent3"/>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5-B0D1-4364-BA7B-C75463F6DC3C}"/>
              </c:ext>
            </c:extLst>
          </c:dPt>
          <c:dPt>
            <c:idx val="3"/>
            <c:bubble3D val="0"/>
            <c:spPr>
              <a:solidFill>
                <a:schemeClr val="accent4"/>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7-B0D1-4364-BA7B-C75463F6DC3C}"/>
              </c:ext>
            </c:extLst>
          </c:dPt>
          <c:dPt>
            <c:idx val="4"/>
            <c:bubble3D val="0"/>
            <c:spPr>
              <a:solidFill>
                <a:schemeClr val="accent5"/>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9-B0D1-4364-BA7B-C75463F6DC3C}"/>
              </c:ext>
            </c:extLst>
          </c:dPt>
          <c:dPt>
            <c:idx val="5"/>
            <c:bubble3D val="0"/>
            <c:spPr>
              <a:solidFill>
                <a:schemeClr val="accent6"/>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B-B0D1-4364-BA7B-C75463F6DC3C}"/>
              </c:ext>
            </c:extLst>
          </c:dPt>
          <c:dPt>
            <c:idx val="6"/>
            <c:bubble3D val="0"/>
            <c:spPr>
              <a:solidFill>
                <a:schemeClr val="accent1">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D-B0D1-4364-BA7B-C75463F6DC3C}"/>
              </c:ext>
            </c:extLst>
          </c:dPt>
          <c:dPt>
            <c:idx val="7"/>
            <c:bubble3D val="0"/>
            <c:spPr>
              <a:solidFill>
                <a:schemeClr val="accent2">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F-B0D1-4364-BA7B-C75463F6DC3C}"/>
              </c:ext>
            </c:extLst>
          </c:dPt>
          <c:dPt>
            <c:idx val="8"/>
            <c:bubble3D val="0"/>
            <c:spPr>
              <a:solidFill>
                <a:schemeClr val="accent3">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1-B0D1-4364-BA7B-C75463F6DC3C}"/>
              </c:ext>
            </c:extLst>
          </c:dPt>
          <c:dPt>
            <c:idx val="9"/>
            <c:bubble3D val="0"/>
            <c:spPr>
              <a:solidFill>
                <a:schemeClr val="accent4">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3-B0D1-4364-BA7B-C75463F6DC3C}"/>
              </c:ext>
            </c:extLst>
          </c:dPt>
          <c:dPt>
            <c:idx val="10"/>
            <c:bubble3D val="0"/>
            <c:spPr>
              <a:solidFill>
                <a:schemeClr val="accent5">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5-B0D1-4364-BA7B-C75463F6DC3C}"/>
              </c:ext>
            </c:extLst>
          </c:dPt>
          <c:dPt>
            <c:idx val="11"/>
            <c:bubble3D val="0"/>
            <c:spPr>
              <a:solidFill>
                <a:schemeClr val="accent6">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7-B0D1-4364-BA7B-C75463F6DC3C}"/>
              </c:ext>
            </c:extLst>
          </c:dPt>
          <c:dPt>
            <c:idx val="12"/>
            <c:bubble3D val="0"/>
            <c:spPr>
              <a:solidFill>
                <a:schemeClr val="accent1">
                  <a:lumMod val="80000"/>
                  <a:lumOff val="2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9-B0D1-4364-BA7B-C75463F6DC3C}"/>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'Recap CO2e'!$B$131:$B$143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CO2e'!$C$131:$C$143</c:f>
              <c:numCache>
                <c:formatCode>#,##0</c:formatCode>
                <c:ptCount val="13"/>
                <c:pt idx="0">
                  <c:v>398.53822810000003</c:v>
                </c:pt>
                <c:pt idx="1">
                  <c:v>0</c:v>
                </c:pt>
                <c:pt idx="2">
                  <c:v>0.48599999999999999</c:v>
                </c:pt>
                <c:pt idx="3">
                  <c:v>0</c:v>
                </c:pt>
                <c:pt idx="4">
                  <c:v>2658.1819999999998</c:v>
                </c:pt>
                <c:pt idx="5">
                  <c:v>0</c:v>
                </c:pt>
                <c:pt idx="6">
                  <c:v>309.18</c:v>
                </c:pt>
                <c:pt idx="7">
                  <c:v>295.73983500000003</c:v>
                </c:pt>
                <c:pt idx="8">
                  <c:v>123.69497360000001</c:v>
                </c:pt>
                <c:pt idx="9">
                  <c:v>39.17</c:v>
                </c:pt>
                <c:pt idx="10">
                  <c:v>43.928386666666668</c:v>
                </c:pt>
                <c:pt idx="11">
                  <c:v>5.3314577495621718</c:v>
                </c:pt>
                <c:pt idx="12">
                  <c:v>958.13300000000004</c:v>
                </c:pt>
              </c:numCache>
            </c:numRef>
          </c:val>
          <c:extLst>
            <c:ext xmlns:c16="http://schemas.microsoft.com/office/drawing/2014/chart" uri="{C3380CC4-5D6E-409C-BE32-E72D297353CC}">
              <c16:uniqueId val="{00000000-DCC9-4559-8991-32525BF22E15}"/>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2312708333333333"/>
          <c:y val="0.23757595010708332"/>
          <c:w val="0.33508836805555553"/>
          <c:h val="0.62065482866026678"/>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Energie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'Energie 1'!$E$199:$E$203</c:f>
              <c:strCache>
                <c:ptCount val="5"/>
                <c:pt idx="0">
                  <c:v>370</c:v>
                </c:pt>
                <c:pt idx="1">
                  <c:v>0</c:v>
                </c:pt>
                <c:pt idx="2">
                  <c:v>0</c:v>
                </c:pt>
                <c:pt idx="3">
                  <c:v>0</c:v>
                </c:pt>
                <c:pt idx="4">
                  <c:v>28</c:v>
                </c:pt>
              </c:strCache>
            </c:strRef>
          </c:tx>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1'!$E$199:$E$203</c:f>
              <c:numCache>
                <c:formatCode>#,##0</c:formatCode>
                <c:ptCount val="5"/>
                <c:pt idx="0">
                  <c:v>370.14832360000003</c:v>
                </c:pt>
                <c:pt idx="1">
                  <c:v>0</c:v>
                </c:pt>
                <c:pt idx="2">
                  <c:v>0</c:v>
                </c:pt>
                <c:pt idx="3">
                  <c:v>0</c:v>
                </c:pt>
                <c:pt idx="4">
                  <c:v>28.389904499999997</c:v>
                </c:pt>
              </c:numCache>
            </c:numRef>
          </c:val>
          <c:extLst>
            <c:ext xmlns:c16="http://schemas.microsoft.com/office/drawing/2014/chart" uri="{C3380CC4-5D6E-409C-BE32-E72D297353CC}">
              <c16:uniqueId val="{00000000-4C63-4E47-A6ED-11B510D99C0D}"/>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Energie</a:t>
            </a:r>
            <a:r>
              <a:rPr lang="fr-FR" sz="1400" i="0" baseline="0">
                <a:solidFill>
                  <a:schemeClr val="tx2"/>
                </a:solidFill>
              </a:rPr>
              <a:t> 2 :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'Energie 2'!$E$198</c:f>
              <c:strCache>
                <c:ptCount val="1"/>
                <c:pt idx="0">
                  <c:v>t CO2e</c:v>
                </c:pt>
              </c:strCache>
            </c:strRef>
          </c:tx>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2'!$E$199:$E$203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97D-4445-A169-AF450F299E6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869895833333325"/>
          <c:y val="0.20935371859375393"/>
          <c:w val="0.33067864583333334"/>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Hors énergie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9.1699537037037038E-2"/>
          <c:y val="0.11070413911678749"/>
          <c:w val="0.85108256172839503"/>
          <c:h val="0.71232586571255785"/>
        </c:manualLayout>
      </c:layout>
      <c:barChart>
        <c:barDir val="col"/>
        <c:grouping val="clustered"/>
        <c:varyColors val="0"/>
        <c:ser>
          <c:idx val="0"/>
          <c:order val="0"/>
          <c:tx>
            <c:strRef>
              <c:f>'Hors énergie 1'!$L$108</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'Hors énergie 1'!$B$109:$C$113</c:f>
              <c:strCache>
                <c:ptCount val="5"/>
                <c:pt idx="0">
                  <c:v>CO2 hors énergie</c:v>
                </c:pt>
                <c:pt idx="1">
                  <c:v>Protoxyde d'azote</c:v>
                </c:pt>
                <c:pt idx="2">
                  <c:v>Méthane</c:v>
                </c:pt>
                <c:pt idx="3">
                  <c:v>Halocarbures de Kyoto</c:v>
                </c:pt>
                <c:pt idx="4">
                  <c:v>Gaz hors Kyoto</c:v>
                </c:pt>
              </c:strCache>
            </c:strRef>
          </c:cat>
          <c:val>
            <c:numRef>
              <c:f>'Hors énergie 1'!$L$109:$L$113</c:f>
              <c:numCache>
                <c:formatCode>#\ ##0.0</c:formatCode>
                <c:ptCount val="5"/>
                <c:pt idx="0">
                  <c:v>0</c:v>
                </c:pt>
                <c:pt idx="1">
                  <c:v>0</c:v>
                </c:pt>
                <c:pt idx="2">
                  <c:v>0</c:v>
                </c:pt>
                <c:pt idx="3">
                  <c:v>0.48599999999999999</c:v>
                </c:pt>
                <c:pt idx="4">
                  <c:v>0</c:v>
                </c:pt>
              </c:numCache>
            </c:numRef>
          </c:val>
          <c:extLst>
            <c:ext xmlns:c16="http://schemas.microsoft.com/office/drawing/2014/chart" uri="{C3380CC4-5D6E-409C-BE32-E72D297353CC}">
              <c16:uniqueId val="{00000000-12CF-4574-844B-633057F8C408}"/>
            </c:ext>
          </c:extLst>
        </c:ser>
        <c:dLbls>
          <c:showLegendKey val="0"/>
          <c:showVal val="0"/>
          <c:showCatName val="0"/>
          <c:showSerName val="0"/>
          <c:showPercent val="0"/>
          <c:showBubbleSize val="0"/>
        </c:dLbls>
        <c:gapWidth val="100"/>
        <c:axId val="205410688"/>
        <c:axId val="205412224"/>
      </c:barChart>
      <c:stockChart>
        <c:ser>
          <c:idx val="1"/>
          <c:order val="1"/>
          <c:tx>
            <c:strRef>
              <c:f>'Hors énergie 1'!$L$108</c:f>
              <c:strCache>
                <c:ptCount val="1"/>
                <c:pt idx="0">
                  <c:v>Median</c:v>
                </c:pt>
              </c:strCache>
            </c:strRef>
          </c:tx>
          <c:spPr>
            <a:ln w="47625">
              <a:noFill/>
            </a:ln>
          </c:spPr>
          <c:marker>
            <c:symbol val="none"/>
          </c:marker>
          <c:cat>
            <c:multiLvlStrRef>
              <c:f>#REF!</c:f>
            </c:multiLvlStrRef>
          </c:cat>
          <c:val>
            <c:numRef>
              <c:f>'Hors énergie 1'!$L$109:$L$113</c:f>
              <c:numCache>
                <c:formatCode>#\ ##0.0</c:formatCode>
                <c:ptCount val="5"/>
                <c:pt idx="0">
                  <c:v>0</c:v>
                </c:pt>
                <c:pt idx="1">
                  <c:v>0</c:v>
                </c:pt>
                <c:pt idx="2">
                  <c:v>0</c:v>
                </c:pt>
                <c:pt idx="3">
                  <c:v>0.48599999999999999</c:v>
                </c:pt>
                <c:pt idx="4">
                  <c:v>0</c:v>
                </c:pt>
              </c:numCache>
            </c:numRef>
          </c:val>
          <c:smooth val="0"/>
          <c:extLst>
            <c:ext xmlns:c16="http://schemas.microsoft.com/office/drawing/2014/chart" uri="{C3380CC4-5D6E-409C-BE32-E72D297353CC}">
              <c16:uniqueId val="{00000001-12CF-4574-844B-633057F8C408}"/>
            </c:ext>
          </c:extLst>
        </c:ser>
        <c:ser>
          <c:idx val="2"/>
          <c:order val="2"/>
          <c:tx>
            <c:strRef>
              <c:f>'Hors énergie 1'!$K$108</c:f>
              <c:strCache>
                <c:ptCount val="1"/>
                <c:pt idx="0">
                  <c:v>Bas</c:v>
                </c:pt>
              </c:strCache>
            </c:strRef>
          </c:tx>
          <c:spPr>
            <a:ln w="47625">
              <a:noFill/>
            </a:ln>
          </c:spPr>
          <c:marker>
            <c:symbol val="none"/>
          </c:marker>
          <c:cat>
            <c:multiLvlStrRef>
              <c:f>#REF!</c:f>
            </c:multiLvlStrRef>
          </c:cat>
          <c:val>
            <c:numRef>
              <c:f>'Hors énergie 1'!$K$109:$K$113</c:f>
              <c:numCache>
                <c:formatCode>#\ ##0.0</c:formatCode>
                <c:ptCount val="5"/>
                <c:pt idx="0">
                  <c:v>0</c:v>
                </c:pt>
                <c:pt idx="1">
                  <c:v>0</c:v>
                </c:pt>
                <c:pt idx="2">
                  <c:v>0</c:v>
                </c:pt>
                <c:pt idx="3">
                  <c:v>0.20261573791051843</c:v>
                </c:pt>
                <c:pt idx="4">
                  <c:v>0</c:v>
                </c:pt>
              </c:numCache>
            </c:numRef>
          </c:val>
          <c:smooth val="0"/>
          <c:extLst>
            <c:ext xmlns:c16="http://schemas.microsoft.com/office/drawing/2014/chart" uri="{C3380CC4-5D6E-409C-BE32-E72D297353CC}">
              <c16:uniqueId val="{00000002-12CF-4574-844B-633057F8C408}"/>
            </c:ext>
          </c:extLst>
        </c:ser>
        <c:ser>
          <c:idx val="3"/>
          <c:order val="3"/>
          <c:tx>
            <c:strRef>
              <c:f>'Hors énergie 1'!$N$108</c:f>
              <c:strCache>
                <c:ptCount val="1"/>
                <c:pt idx="0">
                  <c:v>Haut</c:v>
                </c:pt>
              </c:strCache>
            </c:strRef>
          </c:tx>
          <c:spPr>
            <a:ln w="47625">
              <a:noFill/>
            </a:ln>
          </c:spPr>
          <c:marker>
            <c:symbol val="none"/>
          </c:marker>
          <c:cat>
            <c:multiLvlStrRef>
              <c:f>#REF!</c:f>
            </c:multiLvlStrRef>
          </c:cat>
          <c:val>
            <c:numRef>
              <c:f>'Hors énergie 1'!$N$109:$N$113</c:f>
              <c:numCache>
                <c:formatCode>#\ ##0.0</c:formatCode>
                <c:ptCount val="5"/>
                <c:pt idx="0">
                  <c:v>0</c:v>
                </c:pt>
                <c:pt idx="1">
                  <c:v>0</c:v>
                </c:pt>
                <c:pt idx="2">
                  <c:v>0</c:v>
                </c:pt>
                <c:pt idx="3">
                  <c:v>0.76938426208948163</c:v>
                </c:pt>
                <c:pt idx="4">
                  <c:v>0</c:v>
                </c:pt>
              </c:numCache>
            </c:numRef>
          </c:val>
          <c:smooth val="0"/>
          <c:extLst>
            <c:ext xmlns:c16="http://schemas.microsoft.com/office/drawing/2014/chart" uri="{C3380CC4-5D6E-409C-BE32-E72D297353CC}">
              <c16:uniqueId val="{00000003-12CF-4574-844B-633057F8C40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415552"/>
        <c:axId val="205413760"/>
      </c:stockChart>
      <c:catAx>
        <c:axId val="20541068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de-DE"/>
          </a:p>
        </c:txPr>
        <c:crossAx val="205412224"/>
        <c:crosses val="autoZero"/>
        <c:auto val="1"/>
        <c:lblAlgn val="ctr"/>
        <c:lblOffset val="100"/>
        <c:noMultiLvlLbl val="0"/>
      </c:catAx>
      <c:valAx>
        <c:axId val="20541222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5410688"/>
        <c:crosses val="autoZero"/>
        <c:crossBetween val="between"/>
      </c:valAx>
      <c:valAx>
        <c:axId val="205413760"/>
        <c:scaling>
          <c:orientation val="minMax"/>
        </c:scaling>
        <c:delete val="1"/>
        <c:axPos val="r"/>
        <c:numFmt formatCode="#\ ##0.0" sourceLinked="1"/>
        <c:majorTickMark val="out"/>
        <c:minorTickMark val="none"/>
        <c:tickLblPos val="nextTo"/>
        <c:crossAx val="205415552"/>
        <c:crosses val="max"/>
        <c:crossBetween val="between"/>
      </c:valAx>
      <c:catAx>
        <c:axId val="205415552"/>
        <c:scaling>
          <c:orientation val="minMax"/>
        </c:scaling>
        <c:delete val="1"/>
        <c:axPos val="b"/>
        <c:numFmt formatCode="General" sourceLinked="1"/>
        <c:majorTickMark val="out"/>
        <c:minorTickMark val="none"/>
        <c:tickLblPos val="nextTo"/>
        <c:crossAx val="20541376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Hors énergie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'Hors énergie 1'!$B$109:$C$113</c:f>
              <c:strCache>
                <c:ptCount val="5"/>
                <c:pt idx="0">
                  <c:v>CO2 hors énergie</c:v>
                </c:pt>
                <c:pt idx="1">
                  <c:v>Protoxyde d'azote</c:v>
                </c:pt>
                <c:pt idx="2">
                  <c:v>Méthane</c:v>
                </c:pt>
                <c:pt idx="3">
                  <c:v>Halocarbures de Kyoto</c:v>
                </c:pt>
                <c:pt idx="4">
                  <c:v>Gaz hors Kyoto</c:v>
                </c:pt>
              </c:strCache>
            </c:strRef>
          </c:cat>
          <c:val>
            <c:numRef>
              <c:f>'Hors énergie 1'!$D$109:$D$113</c:f>
              <c:numCache>
                <c:formatCode>#,##0</c:formatCode>
                <c:ptCount val="5"/>
                <c:pt idx="0">
                  <c:v>0</c:v>
                </c:pt>
                <c:pt idx="1">
                  <c:v>0</c:v>
                </c:pt>
                <c:pt idx="2">
                  <c:v>0</c:v>
                </c:pt>
                <c:pt idx="3">
                  <c:v>486</c:v>
                </c:pt>
                <c:pt idx="4">
                  <c:v>0</c:v>
                </c:pt>
              </c:numCache>
            </c:numRef>
          </c:val>
          <c:extLst>
            <c:ext xmlns:c16="http://schemas.microsoft.com/office/drawing/2014/chart" uri="{C3380CC4-5D6E-409C-BE32-E72D297353CC}">
              <c16:uniqueId val="{00000000-067D-41DB-A5FB-5CCCD81FACA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106006944444438"/>
          <c:y val="0.20935371859375393"/>
          <c:w val="0.34831753472222221"/>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Futurs</a:t>
            </a:r>
            <a:r>
              <a:rPr lang="fr-FR" sz="1400" i="0" baseline="0">
                <a:solidFill>
                  <a:schemeClr val="tx2"/>
                </a:solidFill>
              </a:rPr>
              <a:t> emballages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br>
              <a:rPr lang="fr-FR" sz="1400">
                <a:solidFill>
                  <a:sysClr val="windowText" lastClr="000000"/>
                </a:solidFill>
              </a:rPr>
            </a:br>
            <a:r>
              <a:rPr lang="fr-FR" sz="1400">
                <a:solidFill>
                  <a:schemeClr val="accent6">
                    <a:lumMod val="75000"/>
                  </a:schemeClr>
                </a:solidFill>
              </a:rPr>
              <a:t>en tCO2e</a:t>
            </a:r>
          </a:p>
        </c:rich>
      </c:tx>
      <c:overlay val="0"/>
    </c:title>
    <c:autoTitleDeleted val="0"/>
    <c:plotArea>
      <c:layout>
        <c:manualLayout>
          <c:layoutTarget val="inner"/>
          <c:xMode val="edge"/>
          <c:yMode val="edge"/>
          <c:x val="7.9940277777777763E-2"/>
          <c:y val="0.1562412452258776"/>
          <c:w val="0.86506003086419758"/>
          <c:h val="0.70056650449849434"/>
        </c:manualLayout>
      </c:layout>
      <c:barChart>
        <c:barDir val="col"/>
        <c:grouping val="clustered"/>
        <c:varyColors val="0"/>
        <c:ser>
          <c:idx val="0"/>
          <c:order val="0"/>
          <c:tx>
            <c:strRef>
              <c:f>'Futurs emballages'!$N$76</c:f>
              <c:strCache>
                <c:ptCount val="1"/>
                <c:pt idx="0">
                  <c:v>Median</c:v>
                </c:pt>
              </c:strCache>
            </c:strRef>
          </c:tx>
          <c:spPr>
            <a:effectLst/>
          </c:spPr>
          <c:invertIfNegative val="0"/>
          <c:dLbls>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'Futurs emballages'!$B$77:$C$80</c:f>
              <c:strCache>
                <c:ptCount val="4"/>
                <c:pt idx="0">
                  <c:v>Métaux</c:v>
                </c:pt>
                <c:pt idx="1">
                  <c:v>Plastiques</c:v>
                </c:pt>
                <c:pt idx="2">
                  <c:v>Verre</c:v>
                </c:pt>
                <c:pt idx="3">
                  <c:v>Papiers et cartons</c:v>
                </c:pt>
              </c:strCache>
            </c:strRef>
          </c:cat>
          <c:val>
            <c:numRef>
              <c:f>'Futurs emballages'!$N$77:$N$80</c:f>
              <c:numCache>
                <c:formatCode>#\ ##0.0</c:formatCode>
                <c:ptCount val="4"/>
                <c:pt idx="0">
                  <c:v>0</c:v>
                </c:pt>
                <c:pt idx="1">
                  <c:v>142.97999999999999</c:v>
                </c:pt>
                <c:pt idx="2">
                  <c:v>0</c:v>
                </c:pt>
                <c:pt idx="3">
                  <c:v>166.2</c:v>
                </c:pt>
              </c:numCache>
            </c:numRef>
          </c:val>
          <c:extLst>
            <c:ext xmlns:c16="http://schemas.microsoft.com/office/drawing/2014/chart" uri="{C3380CC4-5D6E-409C-BE32-E72D297353CC}">
              <c16:uniqueId val="{00000000-ED77-43FD-91C2-8813EB1F61CA}"/>
            </c:ext>
          </c:extLst>
        </c:ser>
        <c:dLbls>
          <c:showLegendKey val="0"/>
          <c:showVal val="0"/>
          <c:showCatName val="0"/>
          <c:showSerName val="0"/>
          <c:showPercent val="0"/>
          <c:showBubbleSize val="0"/>
        </c:dLbls>
        <c:gapWidth val="100"/>
        <c:axId val="204914048"/>
        <c:axId val="204919936"/>
      </c:barChart>
      <c:stockChart>
        <c:ser>
          <c:idx val="1"/>
          <c:order val="1"/>
          <c:tx>
            <c:strRef>
              <c:f>'Futurs emballages'!$N$76</c:f>
              <c:strCache>
                <c:ptCount val="1"/>
                <c:pt idx="0">
                  <c:v>Median</c:v>
                </c:pt>
              </c:strCache>
            </c:strRef>
          </c:tx>
          <c:spPr>
            <a:ln w="47625">
              <a:noFill/>
            </a:ln>
          </c:spPr>
          <c:marker>
            <c:symbol val="none"/>
          </c:marker>
          <c:cat>
            <c:multiLvlStrRef>
              <c:f>#REF!</c:f>
            </c:multiLvlStrRef>
          </c:cat>
          <c:val>
            <c:numRef>
              <c:f>'Futurs emballages'!$N$77:$N$80</c:f>
              <c:numCache>
                <c:formatCode>#\ ##0.0</c:formatCode>
                <c:ptCount val="4"/>
                <c:pt idx="0">
                  <c:v>0</c:v>
                </c:pt>
                <c:pt idx="1">
                  <c:v>142.97999999999999</c:v>
                </c:pt>
                <c:pt idx="2">
                  <c:v>0</c:v>
                </c:pt>
                <c:pt idx="3">
                  <c:v>166.2</c:v>
                </c:pt>
              </c:numCache>
            </c:numRef>
          </c:val>
          <c:smooth val="0"/>
          <c:extLst>
            <c:ext xmlns:c16="http://schemas.microsoft.com/office/drawing/2014/chart" uri="{C3380CC4-5D6E-409C-BE32-E72D297353CC}">
              <c16:uniqueId val="{00000001-ED77-43FD-91C2-8813EB1F61CA}"/>
            </c:ext>
          </c:extLst>
        </c:ser>
        <c:ser>
          <c:idx val="2"/>
          <c:order val="2"/>
          <c:tx>
            <c:strRef>
              <c:f>'Futurs emballages'!$M$76</c:f>
              <c:strCache>
                <c:ptCount val="1"/>
                <c:pt idx="0">
                  <c:v>Bas</c:v>
                </c:pt>
              </c:strCache>
            </c:strRef>
          </c:tx>
          <c:spPr>
            <a:ln w="47625">
              <a:noFill/>
            </a:ln>
          </c:spPr>
          <c:marker>
            <c:symbol val="none"/>
          </c:marker>
          <c:cat>
            <c:multiLvlStrRef>
              <c:f>#REF!</c:f>
            </c:multiLvlStrRef>
          </c:cat>
          <c:val>
            <c:numRef>
              <c:f>'Futurs emballages'!$M$77:$M$80</c:f>
              <c:numCache>
                <c:formatCode>#\ ##0.0</c:formatCode>
                <c:ptCount val="4"/>
                <c:pt idx="0">
                  <c:v>0</c:v>
                </c:pt>
                <c:pt idx="1">
                  <c:v>120.98</c:v>
                </c:pt>
                <c:pt idx="2">
                  <c:v>0</c:v>
                </c:pt>
                <c:pt idx="3">
                  <c:v>142.25870513109203</c:v>
                </c:pt>
              </c:numCache>
            </c:numRef>
          </c:val>
          <c:smooth val="0"/>
          <c:extLst>
            <c:ext xmlns:c16="http://schemas.microsoft.com/office/drawing/2014/chart" uri="{C3380CC4-5D6E-409C-BE32-E72D297353CC}">
              <c16:uniqueId val="{00000002-ED77-43FD-91C2-8813EB1F61CA}"/>
            </c:ext>
          </c:extLst>
        </c:ser>
        <c:ser>
          <c:idx val="3"/>
          <c:order val="3"/>
          <c:tx>
            <c:strRef>
              <c:f>'Futurs emballages'!$P$76</c:f>
              <c:strCache>
                <c:ptCount val="1"/>
                <c:pt idx="0">
                  <c:v>Haut</c:v>
                </c:pt>
              </c:strCache>
            </c:strRef>
          </c:tx>
          <c:spPr>
            <a:ln w="47625">
              <a:noFill/>
            </a:ln>
          </c:spPr>
          <c:marker>
            <c:symbol val="none"/>
          </c:marker>
          <c:cat>
            <c:multiLvlStrRef>
              <c:f>#REF!</c:f>
            </c:multiLvlStrRef>
          </c:cat>
          <c:val>
            <c:numRef>
              <c:f>'Futurs emballages'!$P$77:$P$80</c:f>
              <c:numCache>
                <c:formatCode>#\ ##0.0</c:formatCode>
                <c:ptCount val="4"/>
                <c:pt idx="0">
                  <c:v>0</c:v>
                </c:pt>
                <c:pt idx="1">
                  <c:v>164.98</c:v>
                </c:pt>
                <c:pt idx="2">
                  <c:v>0</c:v>
                </c:pt>
                <c:pt idx="3">
                  <c:v>190.14129486890798</c:v>
                </c:pt>
              </c:numCache>
            </c:numRef>
          </c:val>
          <c:smooth val="0"/>
          <c:extLst>
            <c:ext xmlns:c16="http://schemas.microsoft.com/office/drawing/2014/chart" uri="{C3380CC4-5D6E-409C-BE32-E72D297353CC}">
              <c16:uniqueId val="{00000003-ED77-43FD-91C2-8813EB1F61CA}"/>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4996992"/>
        <c:axId val="204921472"/>
      </c:stockChart>
      <c:catAx>
        <c:axId val="204914048"/>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de-DE"/>
          </a:p>
        </c:txPr>
        <c:crossAx val="204919936"/>
        <c:crosses val="autoZero"/>
        <c:auto val="1"/>
        <c:lblAlgn val="ctr"/>
        <c:lblOffset val="100"/>
        <c:noMultiLvlLbl val="0"/>
      </c:catAx>
      <c:valAx>
        <c:axId val="204919936"/>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de-DE"/>
          </a:p>
        </c:txPr>
        <c:crossAx val="204914048"/>
        <c:crosses val="autoZero"/>
        <c:crossBetween val="between"/>
      </c:valAx>
      <c:valAx>
        <c:axId val="204921472"/>
        <c:scaling>
          <c:orientation val="minMax"/>
        </c:scaling>
        <c:delete val="1"/>
        <c:axPos val="r"/>
        <c:numFmt formatCode="#\ ##0.0" sourceLinked="1"/>
        <c:majorTickMark val="out"/>
        <c:minorTickMark val="none"/>
        <c:tickLblPos val="nextTo"/>
        <c:crossAx val="204996992"/>
        <c:crosses val="max"/>
        <c:crossBetween val="between"/>
      </c:valAx>
      <c:catAx>
        <c:axId val="204996992"/>
        <c:scaling>
          <c:orientation val="minMax"/>
        </c:scaling>
        <c:delete val="1"/>
        <c:axPos val="b"/>
        <c:numFmt formatCode="General" sourceLinked="1"/>
        <c:majorTickMark val="out"/>
        <c:minorTickMark val="none"/>
        <c:tickLblPos val="nextTo"/>
        <c:crossAx val="2049214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Futurs</a:t>
            </a:r>
            <a:r>
              <a:rPr lang="fr-FR" sz="1400" i="0" baseline="0">
                <a:solidFill>
                  <a:schemeClr val="tx2"/>
                </a:solidFill>
              </a:rPr>
              <a:t> emballages :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'Futurs emballages'!$B$77:$C$80</c:f>
              <c:strCache>
                <c:ptCount val="4"/>
                <c:pt idx="0">
                  <c:v>Métaux</c:v>
                </c:pt>
                <c:pt idx="1">
                  <c:v>Plastiques</c:v>
                </c:pt>
                <c:pt idx="2">
                  <c:v>Verre</c:v>
                </c:pt>
                <c:pt idx="3">
                  <c:v>Papiers et cartons</c:v>
                </c:pt>
              </c:strCache>
            </c:strRef>
          </c:cat>
          <c:val>
            <c:numRef>
              <c:f>'Futurs emballages'!$G$77:$G$80</c:f>
              <c:numCache>
                <c:formatCode>#,##0</c:formatCode>
                <c:ptCount val="4"/>
                <c:pt idx="0">
                  <c:v>0</c:v>
                </c:pt>
                <c:pt idx="1">
                  <c:v>142.97999999999999</c:v>
                </c:pt>
                <c:pt idx="2">
                  <c:v>0</c:v>
                </c:pt>
                <c:pt idx="3">
                  <c:v>166.2</c:v>
                </c:pt>
              </c:numCache>
            </c:numRef>
          </c:val>
          <c:extLst>
            <c:ext xmlns:c16="http://schemas.microsoft.com/office/drawing/2014/chart" uri="{C3380CC4-5D6E-409C-BE32-E72D297353CC}">
              <c16:uniqueId val="{00000000-3207-4295-B08B-2806F11EEB6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546979166666663"/>
          <c:y val="0.20935371859375393"/>
          <c:w val="0.34390781250000002"/>
          <c:h val="0.67489018312567539"/>
        </c:manualLayout>
      </c:layout>
      <c:overlay val="0"/>
      <c:txPr>
        <a:bodyPr/>
        <a:lstStyle/>
        <a:p>
          <a:pPr>
            <a:defRPr sz="1200" b="1">
              <a:solidFill>
                <a:sysClr val="windowText" lastClr="000000"/>
              </a:solidFill>
            </a:defRPr>
          </a:pPr>
          <a:endParaRPr lang="de-DE"/>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absolute">
    <xdr:from>
      <xdr:col>4</xdr:col>
      <xdr:colOff>302948</xdr:colOff>
      <xdr:row>125</xdr:row>
      <xdr:rowOff>129480</xdr:rowOff>
    </xdr:from>
    <xdr:to>
      <xdr:col>7</xdr:col>
      <xdr:colOff>174360</xdr:colOff>
      <xdr:row>132</xdr:row>
      <xdr:rowOff>72596</xdr:rowOff>
    </xdr:to>
    <xdr:sp macro="" textlink="">
      <xdr:nvSpPr>
        <xdr:cNvPr id="27836" name="Text Box 188" hidden="1">
          <a:extLst>
            <a:ext uri="{FF2B5EF4-FFF2-40B4-BE49-F238E27FC236}">
              <a16:creationId xmlns:a16="http://schemas.microsoft.com/office/drawing/2014/main" id="{00000000-0008-0000-0F00-0000BC6C0000}"/>
            </a:ext>
          </a:extLst>
        </xdr:cNvPr>
        <xdr:cNvSpPr txBox="1">
          <a:spLocks noChangeArrowheads="1"/>
        </xdr:cNvSpPr>
      </xdr:nvSpPr>
      <xdr:spPr bwMode="auto">
        <a:xfrm>
          <a:off x="5238750" y="20726400"/>
          <a:ext cx="2571750" cy="10477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80808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736087</xdr:colOff>
      <xdr:row>71</xdr:row>
      <xdr:rowOff>119060</xdr:rowOff>
    </xdr:from>
    <xdr:to>
      <xdr:col>16</xdr:col>
      <xdr:colOff>733706</xdr:colOff>
      <xdr:row>101</xdr:row>
      <xdr:rowOff>128586</xdr:rowOff>
    </xdr:to>
    <xdr:pic>
      <xdr:nvPicPr>
        <xdr:cNvPr id="7" name="Picture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8175" y="2875707"/>
          <a:ext cx="9365737" cy="471599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72</xdr:row>
      <xdr:rowOff>0</xdr:rowOff>
    </xdr:from>
    <xdr:to>
      <xdr:col>4</xdr:col>
      <xdr:colOff>416719</xdr:colOff>
      <xdr:row>106</xdr:row>
      <xdr:rowOff>122201</xdr:rowOff>
    </xdr:to>
    <xdr:pic>
      <xdr:nvPicPr>
        <xdr:cNvPr id="6" name="Image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8524875"/>
          <a:ext cx="4869656" cy="5384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507</xdr:row>
      <xdr:rowOff>0</xdr:rowOff>
    </xdr:from>
    <xdr:to>
      <xdr:col>7</xdr:col>
      <xdr:colOff>633281</xdr:colOff>
      <xdr:row>532</xdr:row>
      <xdr:rowOff>90469</xdr:rowOff>
    </xdr:to>
    <xdr:graphicFrame macro="">
      <xdr:nvGraphicFramePr>
        <xdr:cNvPr id="10" name="Graphique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9</xdr:col>
      <xdr:colOff>562594</xdr:colOff>
      <xdr:row>71</xdr:row>
      <xdr:rowOff>11343</xdr:rowOff>
    </xdr:to>
    <xdr:graphicFrame macro="">
      <xdr:nvGraphicFramePr>
        <xdr:cNvPr id="14" name="Graphique 13">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9</xdr:row>
      <xdr:rowOff>0</xdr:rowOff>
    </xdr:from>
    <xdr:to>
      <xdr:col>9</xdr:col>
      <xdr:colOff>562593</xdr:colOff>
      <xdr:row>38</xdr:row>
      <xdr:rowOff>11344</xdr:rowOff>
    </xdr:to>
    <xdr:graphicFrame macro="">
      <xdr:nvGraphicFramePr>
        <xdr:cNvPr id="17" name="Graphique 16">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11</xdr:row>
      <xdr:rowOff>0</xdr:rowOff>
    </xdr:from>
    <xdr:to>
      <xdr:col>16</xdr:col>
      <xdr:colOff>687938</xdr:colOff>
      <xdr:row>36</xdr:row>
      <xdr:rowOff>90469</xdr:rowOff>
    </xdr:to>
    <xdr:graphicFrame macro="">
      <xdr:nvGraphicFramePr>
        <xdr:cNvPr id="26" name="Graphique 25">
          <a:extLst>
            <a:ext uri="{FF2B5EF4-FFF2-40B4-BE49-F238E27FC236}">
              <a16:creationId xmlns:a16="http://schemas.microsoft.com/office/drawing/2014/main" id="{00000000-0008-0000-1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44</xdr:row>
      <xdr:rowOff>0</xdr:rowOff>
    </xdr:from>
    <xdr:to>
      <xdr:col>16</xdr:col>
      <xdr:colOff>687938</xdr:colOff>
      <xdr:row>69</xdr:row>
      <xdr:rowOff>90469</xdr:rowOff>
    </xdr:to>
    <xdr:graphicFrame macro="">
      <xdr:nvGraphicFramePr>
        <xdr:cNvPr id="27" name="Graphique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75</xdr:row>
      <xdr:rowOff>0</xdr:rowOff>
    </xdr:from>
    <xdr:to>
      <xdr:col>9</xdr:col>
      <xdr:colOff>562594</xdr:colOff>
      <xdr:row>104</xdr:row>
      <xdr:rowOff>23167</xdr:rowOff>
    </xdr:to>
    <xdr:graphicFrame macro="">
      <xdr:nvGraphicFramePr>
        <xdr:cNvPr id="28" name="Graphique 27">
          <a:extLst>
            <a:ext uri="{FF2B5EF4-FFF2-40B4-BE49-F238E27FC236}">
              <a16:creationId xmlns:a16="http://schemas.microsoft.com/office/drawing/2014/main" id="{00000000-0008-0000-1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77</xdr:row>
      <xdr:rowOff>0</xdr:rowOff>
    </xdr:from>
    <xdr:to>
      <xdr:col>16</xdr:col>
      <xdr:colOff>687938</xdr:colOff>
      <xdr:row>102</xdr:row>
      <xdr:rowOff>90469</xdr:rowOff>
    </xdr:to>
    <xdr:graphicFrame macro="">
      <xdr:nvGraphicFramePr>
        <xdr:cNvPr id="29" name="Graphique 28">
          <a:extLst>
            <a:ext uri="{FF2B5EF4-FFF2-40B4-BE49-F238E27FC236}">
              <a16:creationId xmlns:a16="http://schemas.microsoft.com/office/drawing/2014/main" id="{00000000-0008-0000-1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207</xdr:row>
      <xdr:rowOff>0</xdr:rowOff>
    </xdr:from>
    <xdr:to>
      <xdr:col>9</xdr:col>
      <xdr:colOff>562594</xdr:colOff>
      <xdr:row>236</xdr:row>
      <xdr:rowOff>23168</xdr:rowOff>
    </xdr:to>
    <xdr:graphicFrame macro="">
      <xdr:nvGraphicFramePr>
        <xdr:cNvPr id="32" name="Graphique 31">
          <a:extLst>
            <a:ext uri="{FF2B5EF4-FFF2-40B4-BE49-F238E27FC236}">
              <a16:creationId xmlns:a16="http://schemas.microsoft.com/office/drawing/2014/main" id="{00000000-0008-0000-1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209</xdr:row>
      <xdr:rowOff>1</xdr:rowOff>
    </xdr:from>
    <xdr:to>
      <xdr:col>16</xdr:col>
      <xdr:colOff>687938</xdr:colOff>
      <xdr:row>234</xdr:row>
      <xdr:rowOff>90470</xdr:rowOff>
    </xdr:to>
    <xdr:graphicFrame macro="">
      <xdr:nvGraphicFramePr>
        <xdr:cNvPr id="33" name="Graphique 32">
          <a:extLst>
            <a:ext uri="{FF2B5EF4-FFF2-40B4-BE49-F238E27FC236}">
              <a16:creationId xmlns:a16="http://schemas.microsoft.com/office/drawing/2014/main" id="{00000000-0008-0000-1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108</xdr:row>
      <xdr:rowOff>0</xdr:rowOff>
    </xdr:from>
    <xdr:to>
      <xdr:col>9</xdr:col>
      <xdr:colOff>562594</xdr:colOff>
      <xdr:row>137</xdr:row>
      <xdr:rowOff>23167</xdr:rowOff>
    </xdr:to>
    <xdr:graphicFrame macro="">
      <xdr:nvGraphicFramePr>
        <xdr:cNvPr id="34" name="Graphique 33">
          <a:extLst>
            <a:ext uri="{FF2B5EF4-FFF2-40B4-BE49-F238E27FC236}">
              <a16:creationId xmlns:a16="http://schemas.microsoft.com/office/drawing/2014/main" id="{00000000-0008-0000-1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110</xdr:row>
      <xdr:rowOff>0</xdr:rowOff>
    </xdr:from>
    <xdr:to>
      <xdr:col>16</xdr:col>
      <xdr:colOff>687938</xdr:colOff>
      <xdr:row>135</xdr:row>
      <xdr:rowOff>90468</xdr:rowOff>
    </xdr:to>
    <xdr:graphicFrame macro="">
      <xdr:nvGraphicFramePr>
        <xdr:cNvPr id="35" name="Graphique 34">
          <a:extLst>
            <a:ext uri="{FF2B5EF4-FFF2-40B4-BE49-F238E27FC236}">
              <a16:creationId xmlns:a16="http://schemas.microsoft.com/office/drawing/2014/main" id="{00000000-0008-0000-1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141</xdr:row>
      <xdr:rowOff>0</xdr:rowOff>
    </xdr:from>
    <xdr:to>
      <xdr:col>9</xdr:col>
      <xdr:colOff>562594</xdr:colOff>
      <xdr:row>170</xdr:row>
      <xdr:rowOff>23167</xdr:rowOff>
    </xdr:to>
    <xdr:graphicFrame macro="">
      <xdr:nvGraphicFramePr>
        <xdr:cNvPr id="36" name="Graphique 35">
          <a:extLst>
            <a:ext uri="{FF2B5EF4-FFF2-40B4-BE49-F238E27FC236}">
              <a16:creationId xmlns:a16="http://schemas.microsoft.com/office/drawing/2014/main" id="{00000000-0008-0000-1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143</xdr:row>
      <xdr:rowOff>0</xdr:rowOff>
    </xdr:from>
    <xdr:to>
      <xdr:col>16</xdr:col>
      <xdr:colOff>687938</xdr:colOff>
      <xdr:row>168</xdr:row>
      <xdr:rowOff>90469</xdr:rowOff>
    </xdr:to>
    <xdr:graphicFrame macro="">
      <xdr:nvGraphicFramePr>
        <xdr:cNvPr id="37" name="Graphique 36">
          <a:extLst>
            <a:ext uri="{FF2B5EF4-FFF2-40B4-BE49-F238E27FC236}">
              <a16:creationId xmlns:a16="http://schemas.microsoft.com/office/drawing/2014/main" id="{00000000-0008-0000-1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240</xdr:row>
      <xdr:rowOff>0</xdr:rowOff>
    </xdr:from>
    <xdr:to>
      <xdr:col>9</xdr:col>
      <xdr:colOff>562594</xdr:colOff>
      <xdr:row>272</xdr:row>
      <xdr:rowOff>23168</xdr:rowOff>
    </xdr:to>
    <xdr:graphicFrame macro="">
      <xdr:nvGraphicFramePr>
        <xdr:cNvPr id="38" name="Graphique 37">
          <a:extLst>
            <a:ext uri="{FF2B5EF4-FFF2-40B4-BE49-F238E27FC236}">
              <a16:creationId xmlns:a16="http://schemas.microsoft.com/office/drawing/2014/main" id="{00000000-0008-0000-1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242</xdr:row>
      <xdr:rowOff>1</xdr:rowOff>
    </xdr:from>
    <xdr:to>
      <xdr:col>16</xdr:col>
      <xdr:colOff>687938</xdr:colOff>
      <xdr:row>267</xdr:row>
      <xdr:rowOff>90470</xdr:rowOff>
    </xdr:to>
    <xdr:graphicFrame macro="">
      <xdr:nvGraphicFramePr>
        <xdr:cNvPr id="39" name="Graphique 38">
          <a:extLst>
            <a:ext uri="{FF2B5EF4-FFF2-40B4-BE49-F238E27FC236}">
              <a16:creationId xmlns:a16="http://schemas.microsoft.com/office/drawing/2014/main" id="{00000000-0008-0000-1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11906</xdr:colOff>
      <xdr:row>276</xdr:row>
      <xdr:rowOff>107156</xdr:rowOff>
    </xdr:from>
    <xdr:to>
      <xdr:col>9</xdr:col>
      <xdr:colOff>395906</xdr:colOff>
      <xdr:row>305</xdr:row>
      <xdr:rowOff>130324</xdr:rowOff>
    </xdr:to>
    <xdr:graphicFrame macro="">
      <xdr:nvGraphicFramePr>
        <xdr:cNvPr id="40" name="Graphique 39">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278</xdr:row>
      <xdr:rowOff>1</xdr:rowOff>
    </xdr:from>
    <xdr:to>
      <xdr:col>16</xdr:col>
      <xdr:colOff>687938</xdr:colOff>
      <xdr:row>303</xdr:row>
      <xdr:rowOff>90470</xdr:rowOff>
    </xdr:to>
    <xdr:graphicFrame macro="">
      <xdr:nvGraphicFramePr>
        <xdr:cNvPr id="41" name="Graphique 40">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311</xdr:row>
      <xdr:rowOff>1</xdr:rowOff>
    </xdr:from>
    <xdr:to>
      <xdr:col>16</xdr:col>
      <xdr:colOff>687938</xdr:colOff>
      <xdr:row>336</xdr:row>
      <xdr:rowOff>90469</xdr:rowOff>
    </xdr:to>
    <xdr:graphicFrame macro="">
      <xdr:nvGraphicFramePr>
        <xdr:cNvPr id="43" name="Graphique 42">
          <a:extLst>
            <a:ext uri="{FF2B5EF4-FFF2-40B4-BE49-F238E27FC236}">
              <a16:creationId xmlns:a16="http://schemas.microsoft.com/office/drawing/2014/main" id="{00000000-0008-0000-1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342</xdr:row>
      <xdr:rowOff>0</xdr:rowOff>
    </xdr:from>
    <xdr:to>
      <xdr:col>9</xdr:col>
      <xdr:colOff>562594</xdr:colOff>
      <xdr:row>371</xdr:row>
      <xdr:rowOff>23168</xdr:rowOff>
    </xdr:to>
    <xdr:graphicFrame macro="">
      <xdr:nvGraphicFramePr>
        <xdr:cNvPr id="44" name="Graphique 43">
          <a:extLst>
            <a:ext uri="{FF2B5EF4-FFF2-40B4-BE49-F238E27FC236}">
              <a16:creationId xmlns:a16="http://schemas.microsoft.com/office/drawing/2014/main" id="{00000000-0008-0000-1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344</xdr:row>
      <xdr:rowOff>1</xdr:rowOff>
    </xdr:from>
    <xdr:to>
      <xdr:col>16</xdr:col>
      <xdr:colOff>687938</xdr:colOff>
      <xdr:row>369</xdr:row>
      <xdr:rowOff>90470</xdr:rowOff>
    </xdr:to>
    <xdr:graphicFrame macro="">
      <xdr:nvGraphicFramePr>
        <xdr:cNvPr id="45" name="Graphique 44">
          <a:extLst>
            <a:ext uri="{FF2B5EF4-FFF2-40B4-BE49-F238E27FC236}">
              <a16:creationId xmlns:a16="http://schemas.microsoft.com/office/drawing/2014/main" id="{00000000-0008-0000-1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375</xdr:row>
      <xdr:rowOff>0</xdr:rowOff>
    </xdr:from>
    <xdr:to>
      <xdr:col>9</xdr:col>
      <xdr:colOff>562594</xdr:colOff>
      <xdr:row>404</xdr:row>
      <xdr:rowOff>23168</xdr:rowOff>
    </xdr:to>
    <xdr:graphicFrame macro="">
      <xdr:nvGraphicFramePr>
        <xdr:cNvPr id="46" name="Graphique 45">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377</xdr:row>
      <xdr:rowOff>1</xdr:rowOff>
    </xdr:from>
    <xdr:to>
      <xdr:col>16</xdr:col>
      <xdr:colOff>687938</xdr:colOff>
      <xdr:row>402</xdr:row>
      <xdr:rowOff>90470</xdr:rowOff>
    </xdr:to>
    <xdr:graphicFrame macro="">
      <xdr:nvGraphicFramePr>
        <xdr:cNvPr id="47" name="Graphique 46">
          <a:extLst>
            <a:ext uri="{FF2B5EF4-FFF2-40B4-BE49-F238E27FC236}">
              <a16:creationId xmlns:a16="http://schemas.microsoft.com/office/drawing/2014/main" id="{00000000-0008-0000-1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408</xdr:row>
      <xdr:rowOff>0</xdr:rowOff>
    </xdr:from>
    <xdr:to>
      <xdr:col>9</xdr:col>
      <xdr:colOff>562594</xdr:colOff>
      <xdr:row>437</xdr:row>
      <xdr:rowOff>23168</xdr:rowOff>
    </xdr:to>
    <xdr:graphicFrame macro="">
      <xdr:nvGraphicFramePr>
        <xdr:cNvPr id="48" name="Graphique 47">
          <a:extLst>
            <a:ext uri="{FF2B5EF4-FFF2-40B4-BE49-F238E27FC236}">
              <a16:creationId xmlns:a16="http://schemas.microsoft.com/office/drawing/2014/main" id="{00000000-0008-0000-1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410</xdr:row>
      <xdr:rowOff>1</xdr:rowOff>
    </xdr:from>
    <xdr:to>
      <xdr:col>16</xdr:col>
      <xdr:colOff>687938</xdr:colOff>
      <xdr:row>435</xdr:row>
      <xdr:rowOff>90470</xdr:rowOff>
    </xdr:to>
    <xdr:graphicFrame macro="">
      <xdr:nvGraphicFramePr>
        <xdr:cNvPr id="49" name="Graphique 48">
          <a:extLst>
            <a:ext uri="{FF2B5EF4-FFF2-40B4-BE49-F238E27FC236}">
              <a16:creationId xmlns:a16="http://schemas.microsoft.com/office/drawing/2014/main" id="{00000000-0008-0000-1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474</xdr:row>
      <xdr:rowOff>0</xdr:rowOff>
    </xdr:from>
    <xdr:to>
      <xdr:col>9</xdr:col>
      <xdr:colOff>202594</xdr:colOff>
      <xdr:row>503</xdr:row>
      <xdr:rowOff>23166</xdr:rowOff>
    </xdr:to>
    <xdr:graphicFrame macro="">
      <xdr:nvGraphicFramePr>
        <xdr:cNvPr id="55" name="Graphique 54">
          <a:extLst>
            <a:ext uri="{FF2B5EF4-FFF2-40B4-BE49-F238E27FC236}">
              <a16:creationId xmlns:a16="http://schemas.microsoft.com/office/drawing/2014/main" id="{00000000-0008-0000-1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395288</xdr:colOff>
      <xdr:row>474</xdr:row>
      <xdr:rowOff>2382</xdr:rowOff>
    </xdr:from>
    <xdr:to>
      <xdr:col>16</xdr:col>
      <xdr:colOff>597882</xdr:colOff>
      <xdr:row>503</xdr:row>
      <xdr:rowOff>25548</xdr:rowOff>
    </xdr:to>
    <xdr:graphicFrame macro="">
      <xdr:nvGraphicFramePr>
        <xdr:cNvPr id="56" name="Graphique 55">
          <a:extLst>
            <a:ext uri="{FF2B5EF4-FFF2-40B4-BE49-F238E27FC236}">
              <a16:creationId xmlns:a16="http://schemas.microsoft.com/office/drawing/2014/main" id="{00000000-0008-0000-1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243</xdr:row>
      <xdr:rowOff>0</xdr:rowOff>
    </xdr:from>
    <xdr:to>
      <xdr:col>23</xdr:col>
      <xdr:colOff>327938</xdr:colOff>
      <xdr:row>266</xdr:row>
      <xdr:rowOff>40031</xdr:rowOff>
    </xdr:to>
    <xdr:graphicFrame macro="">
      <xdr:nvGraphicFramePr>
        <xdr:cNvPr id="68" name="Graphique 67">
          <a:extLst>
            <a:ext uri="{FF2B5EF4-FFF2-40B4-BE49-F238E27FC236}">
              <a16:creationId xmlns:a16="http://schemas.microsoft.com/office/drawing/2014/main" id="{00000000-0008-0000-1D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278</xdr:row>
      <xdr:rowOff>154780</xdr:rowOff>
    </xdr:from>
    <xdr:to>
      <xdr:col>23</xdr:col>
      <xdr:colOff>327938</xdr:colOff>
      <xdr:row>302</xdr:row>
      <xdr:rowOff>40030</xdr:rowOff>
    </xdr:to>
    <xdr:graphicFrame macro="">
      <xdr:nvGraphicFramePr>
        <xdr:cNvPr id="69" name="Graphique 68">
          <a:extLst>
            <a:ext uri="{FF2B5EF4-FFF2-40B4-BE49-F238E27FC236}">
              <a16:creationId xmlns:a16="http://schemas.microsoft.com/office/drawing/2014/main" id="{00000000-0008-0000-1D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507</xdr:row>
      <xdr:rowOff>0</xdr:rowOff>
    </xdr:from>
    <xdr:to>
      <xdr:col>16</xdr:col>
      <xdr:colOff>797250</xdr:colOff>
      <xdr:row>546</xdr:row>
      <xdr:rowOff>83531</xdr:rowOff>
    </xdr:to>
    <xdr:graphicFrame macro="">
      <xdr:nvGraphicFramePr>
        <xdr:cNvPr id="53" name="Graphique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550</xdr:row>
      <xdr:rowOff>0</xdr:rowOff>
    </xdr:from>
    <xdr:to>
      <xdr:col>7</xdr:col>
      <xdr:colOff>633282</xdr:colOff>
      <xdr:row>575</xdr:row>
      <xdr:rowOff>90470</xdr:rowOff>
    </xdr:to>
    <xdr:graphicFrame macro="">
      <xdr:nvGraphicFramePr>
        <xdr:cNvPr id="51" name="Graphique 50">
          <a:extLst>
            <a:ext uri="{FF2B5EF4-FFF2-40B4-BE49-F238E27FC236}">
              <a16:creationId xmlns:a16="http://schemas.microsoft.com/office/drawing/2014/main" id="{00000000-0008-0000-1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1</xdr:colOff>
      <xdr:row>550</xdr:row>
      <xdr:rowOff>0</xdr:rowOff>
    </xdr:from>
    <xdr:to>
      <xdr:col>16</xdr:col>
      <xdr:colOff>797251</xdr:colOff>
      <xdr:row>589</xdr:row>
      <xdr:rowOff>83531</xdr:rowOff>
    </xdr:to>
    <xdr:graphicFrame macro="">
      <xdr:nvGraphicFramePr>
        <xdr:cNvPr id="54" name="Graphique 53">
          <a:extLst>
            <a:ext uri="{FF2B5EF4-FFF2-40B4-BE49-F238E27FC236}">
              <a16:creationId xmlns:a16="http://schemas.microsoft.com/office/drawing/2014/main" id="{00000000-0008-0000-1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0</xdr:colOff>
      <xdr:row>593</xdr:row>
      <xdr:rowOff>0</xdr:rowOff>
    </xdr:from>
    <xdr:to>
      <xdr:col>7</xdr:col>
      <xdr:colOff>633282</xdr:colOff>
      <xdr:row>618</xdr:row>
      <xdr:rowOff>90470</xdr:rowOff>
    </xdr:to>
    <xdr:graphicFrame macro="">
      <xdr:nvGraphicFramePr>
        <xdr:cNvPr id="58" name="Graphique 57">
          <a:extLst>
            <a:ext uri="{FF2B5EF4-FFF2-40B4-BE49-F238E27FC236}">
              <a16:creationId xmlns:a16="http://schemas.microsoft.com/office/drawing/2014/main" id="{00000000-0008-0000-1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0</xdr:colOff>
      <xdr:row>593</xdr:row>
      <xdr:rowOff>0</xdr:rowOff>
    </xdr:from>
    <xdr:to>
      <xdr:col>17</xdr:col>
      <xdr:colOff>237657</xdr:colOff>
      <xdr:row>632</xdr:row>
      <xdr:rowOff>83531</xdr:rowOff>
    </xdr:to>
    <xdr:graphicFrame macro="">
      <xdr:nvGraphicFramePr>
        <xdr:cNvPr id="60" name="Graphique 59">
          <a:extLst>
            <a:ext uri="{FF2B5EF4-FFF2-40B4-BE49-F238E27FC236}">
              <a16:creationId xmlns:a16="http://schemas.microsoft.com/office/drawing/2014/main" id="{00000000-0008-0000-1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0</xdr:colOff>
      <xdr:row>176</xdr:row>
      <xdr:rowOff>0</xdr:rowOff>
    </xdr:from>
    <xdr:to>
      <xdr:col>16</xdr:col>
      <xdr:colOff>687938</xdr:colOff>
      <xdr:row>201</xdr:row>
      <xdr:rowOff>90469</xdr:rowOff>
    </xdr:to>
    <xdr:graphicFrame macro="">
      <xdr:nvGraphicFramePr>
        <xdr:cNvPr id="61" name="Graphique 60">
          <a:extLst>
            <a:ext uri="{FF2B5EF4-FFF2-40B4-BE49-F238E27FC236}">
              <a16:creationId xmlns:a16="http://schemas.microsoft.com/office/drawing/2014/main" id="{00000000-0008-0000-1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309</xdr:row>
      <xdr:rowOff>0</xdr:rowOff>
    </xdr:from>
    <xdr:to>
      <xdr:col>9</xdr:col>
      <xdr:colOff>452437</xdr:colOff>
      <xdr:row>338</xdr:row>
      <xdr:rowOff>59531</xdr:rowOff>
    </xdr:to>
    <xdr:graphicFrame macro="">
      <xdr:nvGraphicFramePr>
        <xdr:cNvPr id="62" name="Graphique 61">
          <a:extLst>
            <a:ext uri="{FF2B5EF4-FFF2-40B4-BE49-F238E27FC236}">
              <a16:creationId xmlns:a16="http://schemas.microsoft.com/office/drawing/2014/main" id="{00000000-0008-0000-1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174</xdr:row>
      <xdr:rowOff>0</xdr:rowOff>
    </xdr:from>
    <xdr:to>
      <xdr:col>9</xdr:col>
      <xdr:colOff>384000</xdr:colOff>
      <xdr:row>203</xdr:row>
      <xdr:rowOff>23167</xdr:rowOff>
    </xdr:to>
    <xdr:graphicFrame macro="">
      <xdr:nvGraphicFramePr>
        <xdr:cNvPr id="65" name="Graphique 64">
          <a:extLst>
            <a:ext uri="{FF2B5EF4-FFF2-40B4-BE49-F238E27FC236}">
              <a16:creationId xmlns:a16="http://schemas.microsoft.com/office/drawing/2014/main" id="{00000000-0008-0000-1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442</xdr:row>
      <xdr:rowOff>0</xdr:rowOff>
    </xdr:from>
    <xdr:to>
      <xdr:col>9</xdr:col>
      <xdr:colOff>583406</xdr:colOff>
      <xdr:row>469</xdr:row>
      <xdr:rowOff>83343</xdr:rowOff>
    </xdr:to>
    <xdr:graphicFrame macro="">
      <xdr:nvGraphicFramePr>
        <xdr:cNvPr id="67" name="Graphique 66">
          <a:extLst>
            <a:ext uri="{FF2B5EF4-FFF2-40B4-BE49-F238E27FC236}">
              <a16:creationId xmlns:a16="http://schemas.microsoft.com/office/drawing/2014/main" id="{00000000-0008-0000-1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0</xdr:colOff>
      <xdr:row>443</xdr:row>
      <xdr:rowOff>0</xdr:rowOff>
    </xdr:from>
    <xdr:to>
      <xdr:col>16</xdr:col>
      <xdr:colOff>687938</xdr:colOff>
      <xdr:row>468</xdr:row>
      <xdr:rowOff>90469</xdr:rowOff>
    </xdr:to>
    <xdr:graphicFrame macro="">
      <xdr:nvGraphicFramePr>
        <xdr:cNvPr id="70" name="Graphique 69">
          <a:extLst>
            <a:ext uri="{FF2B5EF4-FFF2-40B4-BE49-F238E27FC236}">
              <a16:creationId xmlns:a16="http://schemas.microsoft.com/office/drawing/2014/main" id="{00000000-0008-0000-1D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deme.intra\Angers$\Clients%20et%20prospects\Bilan%20Carbone\facteurs%20d'&#233;mission\FE%20des%20combusti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des combustibles.xls"/>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8"/>
  <dimension ref="A1:J51"/>
  <sheetViews>
    <sheetView showGridLines="0" zoomScale="85" zoomScaleNormal="85" workbookViewId="0">
      <selection activeCell="D19" sqref="D19"/>
    </sheetView>
  </sheetViews>
  <sheetFormatPr baseColWidth="10" defaultColWidth="0" defaultRowHeight="13.2" zeroHeight="1"/>
  <cols>
    <col min="1" max="2" width="2.75" style="53" customWidth="1"/>
    <col min="3" max="3" width="52.75" style="53" bestFit="1" customWidth="1"/>
    <col min="4" max="4" width="33.75" style="53" customWidth="1"/>
    <col min="5" max="5" width="21.75" style="53" customWidth="1"/>
    <col min="6" max="6" width="71.75" style="53" customWidth="1"/>
    <col min="7" max="8" width="2.75" style="53" customWidth="1"/>
    <col min="9" max="10" width="0" style="53" hidden="1" customWidth="1"/>
    <col min="11" max="16384" width="10.875" style="53" hidden="1"/>
  </cols>
  <sheetData>
    <row r="1" spans="1:10">
      <c r="A1" s="116"/>
      <c r="F1" s="1900"/>
      <c r="H1" s="1900" t="str">
        <f>H47</f>
        <v>Version 8.7.2 - Avril 2022</v>
      </c>
    </row>
    <row r="2" spans="1:10" ht="30" customHeight="1">
      <c r="C2" s="2602" t="s">
        <v>540</v>
      </c>
      <c r="D2" s="2603"/>
      <c r="E2" s="2603"/>
      <c r="F2" s="2604"/>
      <c r="G2" s="54"/>
      <c r="H2" s="54"/>
      <c r="I2" s="54"/>
      <c r="J2" s="54"/>
    </row>
    <row r="3" spans="1:10" s="54" customFormat="1" ht="13.8"/>
    <row r="4" spans="1:10" s="54" customFormat="1" ht="13.8">
      <c r="C4" s="70" t="s">
        <v>603</v>
      </c>
      <c r="D4" s="55">
        <v>2022</v>
      </c>
    </row>
    <row r="5" spans="1:10" s="54" customFormat="1" ht="13.8">
      <c r="C5" s="70" t="s">
        <v>604</v>
      </c>
      <c r="D5" s="55" t="s">
        <v>5207</v>
      </c>
    </row>
    <row r="6" spans="1:10" s="54" customFormat="1" ht="13.8">
      <c r="C6" s="70" t="s">
        <v>605</v>
      </c>
      <c r="D6" s="55" t="s">
        <v>5224</v>
      </c>
      <c r="F6" s="211"/>
      <c r="G6" s="211"/>
    </row>
    <row r="7" spans="1:10" s="54" customFormat="1" ht="13.8">
      <c r="C7" s="1029" t="s">
        <v>456</v>
      </c>
      <c r="D7" s="55" t="s">
        <v>697</v>
      </c>
      <c r="G7" s="211"/>
    </row>
    <row r="8" spans="1:10" s="211" customFormat="1" ht="27.6">
      <c r="C8" s="1023" t="s">
        <v>1554</v>
      </c>
      <c r="D8" s="1024"/>
    </row>
    <row r="9" spans="1:10" s="54" customFormat="1" ht="13.8">
      <c r="E9" s="211"/>
      <c r="F9" s="838"/>
      <c r="G9" s="211"/>
    </row>
    <row r="10" spans="1:10" s="54" customFormat="1" ht="13.8">
      <c r="C10" s="70" t="s">
        <v>606</v>
      </c>
      <c r="D10" s="55" t="s">
        <v>5226</v>
      </c>
    </row>
    <row r="11" spans="1:10" s="54" customFormat="1" ht="13.8">
      <c r="C11" s="70" t="s">
        <v>607</v>
      </c>
      <c r="D11" s="55" t="s">
        <v>5227</v>
      </c>
    </row>
    <row r="12" spans="1:10" s="54" customFormat="1" ht="13.8">
      <c r="C12" s="70" t="s">
        <v>608</v>
      </c>
      <c r="D12" s="56">
        <v>48000</v>
      </c>
    </row>
    <row r="13" spans="1:10" s="54" customFormat="1" ht="13.8">
      <c r="C13" s="57"/>
      <c r="D13" s="58"/>
    </row>
    <row r="14" spans="1:10" s="54" customFormat="1" ht="13.8">
      <c r="C14" s="57"/>
      <c r="D14" s="58"/>
    </row>
    <row r="15" spans="1:10" s="54" customFormat="1" ht="13.8">
      <c r="C15" s="70" t="s">
        <v>83</v>
      </c>
      <c r="D15" s="56">
        <v>100</v>
      </c>
      <c r="E15" s="54" t="s">
        <v>157</v>
      </c>
      <c r="F15" s="67" t="s">
        <v>171</v>
      </c>
    </row>
    <row r="16" spans="1:10" s="54" customFormat="1" ht="13.8">
      <c r="C16" s="70" t="s">
        <v>796</v>
      </c>
      <c r="D16" s="56">
        <v>18.3</v>
      </c>
      <c r="E16" s="59" t="s">
        <v>5228</v>
      </c>
      <c r="F16" s="68">
        <f>D16*IF(E16="Md€",1000,1)*IF(E16="M€",1,1)*IF(E16="k€",0.001,1)*IF(E16="€",0.000001,1)</f>
        <v>18.3</v>
      </c>
    </row>
    <row r="17" spans="2:7" s="54" customFormat="1" ht="13.8">
      <c r="C17" s="70" t="s">
        <v>797</v>
      </c>
      <c r="D17" s="56">
        <v>5.6</v>
      </c>
      <c r="E17" s="59" t="s">
        <v>5228</v>
      </c>
      <c r="F17" s="68">
        <f>D17*IF(E17="Md€",1000,1)*IF(E17="M€",1,1)*IF(E17="k€",0.001,1)*IF(E17="€",0.000001,1)</f>
        <v>5.6</v>
      </c>
    </row>
    <row r="18" spans="2:7" s="54" customFormat="1" ht="13.8">
      <c r="C18" s="70" t="s">
        <v>798</v>
      </c>
      <c r="D18" s="56">
        <v>1.02</v>
      </c>
      <c r="E18" s="59" t="s">
        <v>5228</v>
      </c>
      <c r="F18" s="69">
        <f>D18*IF(E18="Md€",1000,1)*IF(E18="M€",1,1)*IF(E18="k€",0.001,1)*IF(E18="€",0.000001,1)</f>
        <v>1.02</v>
      </c>
    </row>
    <row r="19" spans="2:7" s="54" customFormat="1" ht="13.8"/>
    <row r="20" spans="2:7" s="54" customFormat="1" ht="13.8">
      <c r="D20" s="2016"/>
    </row>
    <row r="21" spans="2:7" s="54" customFormat="1" ht="13.8"/>
    <row r="22" spans="2:7" s="60" customFormat="1" ht="27.6">
      <c r="C22" s="61" t="s">
        <v>190</v>
      </c>
      <c r="D22" s="62" t="s">
        <v>105</v>
      </c>
      <c r="E22" s="61" t="s">
        <v>621</v>
      </c>
      <c r="F22" s="62" t="s">
        <v>537</v>
      </c>
    </row>
    <row r="23" spans="2:7" s="54" customFormat="1" ht="13.8">
      <c r="B23" s="2599"/>
      <c r="C23" s="63" t="s">
        <v>412</v>
      </c>
      <c r="D23" s="241" t="str">
        <f>C23</f>
        <v>Energie 1</v>
      </c>
      <c r="E23" s="239" t="s">
        <v>412</v>
      </c>
      <c r="F23" s="240" t="s">
        <v>115</v>
      </c>
      <c r="G23" s="2599"/>
    </row>
    <row r="24" spans="2:7" s="54" customFormat="1" ht="13.8">
      <c r="B24" s="2600"/>
      <c r="C24" s="64" t="s">
        <v>338</v>
      </c>
      <c r="D24" s="241" t="str">
        <f t="shared" ref="D24:D37" si="0">C24</f>
        <v>Energie 2</v>
      </c>
      <c r="E24" s="242" t="s">
        <v>338</v>
      </c>
      <c r="F24" s="243" t="s">
        <v>115</v>
      </c>
      <c r="G24" s="2600"/>
    </row>
    <row r="25" spans="2:7" s="54" customFormat="1" ht="13.8">
      <c r="B25" s="2600"/>
      <c r="C25" s="64" t="s">
        <v>59</v>
      </c>
      <c r="D25" s="241" t="str">
        <f t="shared" si="0"/>
        <v>Hors énergie 1</v>
      </c>
      <c r="E25" s="242" t="s">
        <v>59</v>
      </c>
      <c r="F25" s="243" t="s">
        <v>53</v>
      </c>
      <c r="G25" s="2600"/>
    </row>
    <row r="26" spans="2:7" s="54" customFormat="1" ht="13.8">
      <c r="B26" s="2600"/>
      <c r="C26" s="64" t="s">
        <v>60</v>
      </c>
      <c r="D26" s="241" t="str">
        <f t="shared" si="0"/>
        <v>Hors énergie 2</v>
      </c>
      <c r="E26" s="242" t="s">
        <v>60</v>
      </c>
      <c r="F26" s="243" t="s">
        <v>53</v>
      </c>
      <c r="G26" s="2600"/>
    </row>
    <row r="27" spans="2:7" s="54" customFormat="1" ht="13.8">
      <c r="B27" s="2600"/>
      <c r="C27" s="64" t="s">
        <v>899</v>
      </c>
      <c r="D27" s="241" t="str">
        <f t="shared" si="0"/>
        <v>Intrants 1</v>
      </c>
      <c r="E27" s="242" t="s">
        <v>899</v>
      </c>
      <c r="F27" s="243" t="s">
        <v>54</v>
      </c>
      <c r="G27" s="2600"/>
    </row>
    <row r="28" spans="2:7" s="211" customFormat="1" ht="13.8">
      <c r="B28" s="2600"/>
      <c r="C28" s="64" t="s">
        <v>898</v>
      </c>
      <c r="D28" s="241" t="str">
        <f>C28</f>
        <v>Intrants 2</v>
      </c>
      <c r="E28" s="242" t="s">
        <v>898</v>
      </c>
      <c r="F28" s="243" t="s">
        <v>900</v>
      </c>
      <c r="G28" s="2600"/>
    </row>
    <row r="29" spans="2:7" s="54" customFormat="1" ht="13.8">
      <c r="B29" s="2600"/>
      <c r="C29" s="64" t="s">
        <v>186</v>
      </c>
      <c r="D29" s="241" t="str">
        <f t="shared" si="0"/>
        <v>Futurs emballages</v>
      </c>
      <c r="E29" s="242" t="s">
        <v>186</v>
      </c>
      <c r="F29" s="243" t="s">
        <v>55</v>
      </c>
      <c r="G29" s="2600"/>
    </row>
    <row r="30" spans="2:7" s="54" customFormat="1" ht="13.8">
      <c r="B30" s="2600"/>
      <c r="C30" s="64" t="s">
        <v>323</v>
      </c>
      <c r="D30" s="241" t="str">
        <f t="shared" si="0"/>
        <v>Fret</v>
      </c>
      <c r="E30" s="242" t="s">
        <v>323</v>
      </c>
      <c r="F30" s="243" t="s">
        <v>56</v>
      </c>
      <c r="G30" s="2600"/>
    </row>
    <row r="31" spans="2:7" s="54" customFormat="1" ht="13.8">
      <c r="B31" s="2600"/>
      <c r="C31" s="64" t="s">
        <v>150</v>
      </c>
      <c r="D31" s="241" t="str">
        <f t="shared" si="0"/>
        <v>Déplacements</v>
      </c>
      <c r="E31" s="242" t="s">
        <v>150</v>
      </c>
      <c r="F31" s="243" t="s">
        <v>51</v>
      </c>
      <c r="G31" s="2600"/>
    </row>
    <row r="32" spans="2:7" s="54" customFormat="1" ht="13.8">
      <c r="B32" s="2600"/>
      <c r="C32" s="64" t="s">
        <v>346</v>
      </c>
      <c r="D32" s="241" t="str">
        <f t="shared" si="0"/>
        <v>Déchets directs</v>
      </c>
      <c r="E32" s="242" t="s">
        <v>346</v>
      </c>
      <c r="F32" s="243" t="s">
        <v>148</v>
      </c>
      <c r="G32" s="2600"/>
    </row>
    <row r="33" spans="1:8" s="54" customFormat="1" ht="13.8">
      <c r="B33" s="2600"/>
      <c r="C33" s="64" t="s">
        <v>162</v>
      </c>
      <c r="D33" s="241" t="str">
        <f t="shared" si="0"/>
        <v>Immobilisations</v>
      </c>
      <c r="E33" s="242" t="s">
        <v>162</v>
      </c>
      <c r="F33" s="243" t="s">
        <v>52</v>
      </c>
      <c r="G33" s="2600"/>
    </row>
    <row r="34" spans="1:8" s="54" customFormat="1" ht="13.8">
      <c r="B34" s="2600"/>
      <c r="C34" s="64" t="s">
        <v>37</v>
      </c>
      <c r="D34" s="241" t="str">
        <f t="shared" si="0"/>
        <v>Utilisation</v>
      </c>
      <c r="E34" s="242" t="s">
        <v>37</v>
      </c>
      <c r="F34" s="243" t="s">
        <v>147</v>
      </c>
      <c r="G34" s="2600"/>
    </row>
    <row r="35" spans="1:8" s="54" customFormat="1" ht="13.8">
      <c r="B35" s="2601"/>
      <c r="C35" s="64" t="s">
        <v>265</v>
      </c>
      <c r="D35" s="241" t="str">
        <f t="shared" si="0"/>
        <v>Fin de vie</v>
      </c>
      <c r="E35" s="242" t="s">
        <v>265</v>
      </c>
      <c r="F35" s="243" t="s">
        <v>146</v>
      </c>
      <c r="G35" s="2601"/>
    </row>
    <row r="36" spans="1:8" s="54" customFormat="1" ht="13.8">
      <c r="B36" s="2181"/>
      <c r="C36" s="248" t="s">
        <v>498</v>
      </c>
      <c r="D36" s="249" t="str">
        <f>C36</f>
        <v>Utilitaires</v>
      </c>
      <c r="E36" s="247" t="s">
        <v>498</v>
      </c>
      <c r="F36" s="248" t="s">
        <v>498</v>
      </c>
      <c r="G36" s="2181"/>
    </row>
    <row r="37" spans="1:8" s="54" customFormat="1" ht="13.8">
      <c r="B37" s="2605"/>
      <c r="C37" s="1849" t="s">
        <v>495</v>
      </c>
      <c r="D37" s="1851" t="str">
        <f t="shared" si="0"/>
        <v>Recap CO2e</v>
      </c>
      <c r="E37" s="245" t="s">
        <v>495</v>
      </c>
      <c r="F37" s="240" t="s">
        <v>28</v>
      </c>
      <c r="G37" s="2605"/>
    </row>
    <row r="38" spans="1:8" s="1078" customFormat="1" ht="13.8">
      <c r="A38" s="116"/>
      <c r="B38" s="2606"/>
      <c r="C38" s="242" t="s">
        <v>39</v>
      </c>
      <c r="D38" s="241" t="str">
        <f>C38</f>
        <v>Ratios</v>
      </c>
      <c r="E38" s="1850" t="s">
        <v>39</v>
      </c>
      <c r="F38" s="243" t="s">
        <v>617</v>
      </c>
      <c r="G38" s="2606"/>
      <c r="H38" s="116"/>
    </row>
    <row r="39" spans="1:8" ht="13.8">
      <c r="B39" s="2606"/>
      <c r="C39" s="242" t="s">
        <v>484</v>
      </c>
      <c r="D39" s="241" t="str">
        <f>C39</f>
        <v>Bilan GES</v>
      </c>
      <c r="E39" s="1850" t="s">
        <v>484</v>
      </c>
      <c r="F39" s="243" t="s">
        <v>618</v>
      </c>
      <c r="G39" s="2606"/>
    </row>
    <row r="40" spans="1:8" s="114" customFormat="1" ht="13.8">
      <c r="B40" s="2606"/>
      <c r="C40" s="242" t="s">
        <v>758</v>
      </c>
      <c r="D40" s="241" t="str">
        <f>C40</f>
        <v>GHG Protocol</v>
      </c>
      <c r="E40" s="1850" t="s">
        <v>758</v>
      </c>
      <c r="F40" s="243" t="s">
        <v>761</v>
      </c>
      <c r="G40" s="2606"/>
    </row>
    <row r="41" spans="1:8" s="114" customFormat="1" ht="13.8">
      <c r="B41" s="2606"/>
      <c r="C41" s="242" t="s">
        <v>2490</v>
      </c>
      <c r="D41" s="241" t="s">
        <v>818</v>
      </c>
      <c r="E41" s="1850" t="s">
        <v>818</v>
      </c>
      <c r="F41" s="243" t="s">
        <v>819</v>
      </c>
      <c r="G41" s="2606"/>
    </row>
    <row r="42" spans="1:8" s="114" customFormat="1" ht="13.8">
      <c r="B42" s="2607"/>
      <c r="C42" s="242" t="s">
        <v>2491</v>
      </c>
      <c r="D42" s="1852" t="s">
        <v>2444</v>
      </c>
      <c r="E42" s="1850" t="s">
        <v>2444</v>
      </c>
      <c r="F42" s="243" t="s">
        <v>2550</v>
      </c>
      <c r="G42" s="2607"/>
    </row>
    <row r="43" spans="1:8" ht="13.8">
      <c r="B43" s="66"/>
      <c r="C43" s="251" t="s">
        <v>493</v>
      </c>
      <c r="D43" s="246" t="s">
        <v>493</v>
      </c>
      <c r="E43" s="250" t="s">
        <v>493</v>
      </c>
      <c r="F43" s="251" t="s">
        <v>494</v>
      </c>
      <c r="G43" s="65"/>
    </row>
    <row r="44" spans="1:8" ht="13.8">
      <c r="B44" s="2597"/>
      <c r="C44" s="240" t="s">
        <v>96</v>
      </c>
      <c r="D44" s="244" t="str">
        <f>C44</f>
        <v>export postes</v>
      </c>
      <c r="E44" s="239" t="s">
        <v>96</v>
      </c>
      <c r="F44" s="240" t="s">
        <v>619</v>
      </c>
      <c r="G44" s="2597"/>
    </row>
    <row r="45" spans="1:8" ht="13.8">
      <c r="B45" s="2598"/>
      <c r="C45" s="248" t="s">
        <v>61</v>
      </c>
      <c r="D45" s="246" t="str">
        <f>C45</f>
        <v>export sous-postes</v>
      </c>
      <c r="E45" s="252" t="s">
        <v>61</v>
      </c>
      <c r="F45" s="248" t="s">
        <v>620</v>
      </c>
      <c r="G45" s="2598"/>
    </row>
    <row r="46" spans="1:8"/>
    <row r="47" spans="1:8">
      <c r="F47" s="915"/>
      <c r="H47" s="915" t="s">
        <v>5206</v>
      </c>
    </row>
    <row r="51"/>
  </sheetData>
  <mergeCells count="7">
    <mergeCell ref="G44:G45"/>
    <mergeCell ref="B23:B35"/>
    <mergeCell ref="B44:B45"/>
    <mergeCell ref="C2:F2"/>
    <mergeCell ref="G23:G35"/>
    <mergeCell ref="B37:B42"/>
    <mergeCell ref="G37:G42"/>
  </mergeCells>
  <phoneticPr fontId="11" type="noConversion"/>
  <dataValidations count="2">
    <dataValidation type="list" allowBlank="1" showInputMessage="1" showErrorMessage="1" sqref="E16:E18" xr:uid="{00000000-0002-0000-0000-000000000000}">
      <formula1>"€,k€,M€,Md€"</formula1>
    </dataValidation>
    <dataValidation type="list" allowBlank="1" showInputMessage="1" showErrorMessage="1" sqref="D7" xr:uid="{00000000-0002-0000-0000-000001000000}">
      <formula1>Approche_retenue</formula1>
    </dataValidation>
  </dataValidations>
  <hyperlinks>
    <hyperlink ref="D23" location="'Energie 1'!A1" display="'Energie 1'!A1" xr:uid="{00000000-0004-0000-0000-000000000000}"/>
    <hyperlink ref="D24" location="'Energie 2'!A1" display="'Energie 2'!A1" xr:uid="{00000000-0004-0000-0000-000001000000}"/>
    <hyperlink ref="D25" location="procedes1_haut" display="procedes1_haut" xr:uid="{00000000-0004-0000-0000-000002000000}"/>
    <hyperlink ref="D26" location="'Hors énergie 2'!A1" display="'Hors énergie 2'!A1" xr:uid="{00000000-0004-0000-0000-000003000000}"/>
    <hyperlink ref="D27" location="intrants_metaux" display="intrants_metaux" xr:uid="{00000000-0004-0000-0000-000004000000}"/>
    <hyperlink ref="D29" location="emballages_metaux" display="emballages_metaux" xr:uid="{00000000-0004-0000-0000-000005000000}"/>
    <hyperlink ref="D30" location="fret_routier_interne" display="fret_routier_interne" xr:uid="{00000000-0004-0000-0000-000006000000}"/>
    <hyperlink ref="D31" location="deplacements_domicile_travail" display="deplacements_domicile_travail" xr:uid="{00000000-0004-0000-0000-000007000000}"/>
    <hyperlink ref="D32" location="dechets_haut" display="dechets_haut" xr:uid="{00000000-0004-0000-0000-000008000000}"/>
    <hyperlink ref="D33" location="immos_batiments" display="immos_batiments" xr:uid="{00000000-0004-0000-0000-000009000000}"/>
    <hyperlink ref="D34" location="utilisation_haut" display="utilisation_haut" xr:uid="{00000000-0004-0000-0000-00000A000000}"/>
    <hyperlink ref="D35" location="fin_de_vie_haut" display="fin_de_vie_haut" xr:uid="{00000000-0004-0000-0000-00000B000000}"/>
    <hyperlink ref="D37" location="recap_C_haut" display="recap_C_haut" xr:uid="{00000000-0004-0000-0000-00000C000000}"/>
    <hyperlink ref="D44" location="export_haut" display="export_haut" xr:uid="{00000000-0004-0000-0000-00000D000000}"/>
    <hyperlink ref="D45" location="export_ssposte_haut" display="export_ssposte_haut" xr:uid="{00000000-0004-0000-0000-00000E000000}"/>
    <hyperlink ref="D36" location="Convertisseurs" display="Convertisseurs" xr:uid="{00000000-0004-0000-0000-00000F000000}"/>
    <hyperlink ref="D43" location="Graphiques" display="Graphiques" xr:uid="{00000000-0004-0000-0000-000010000000}"/>
    <hyperlink ref="D28" location="'Intrants 2'!A1" display="'Intrants 2'!A1" xr:uid="{00000000-0004-0000-0000-000011000000}"/>
    <hyperlink ref="D41" location="ISO_14069" display="ISO 14069" xr:uid="{00000000-0004-0000-0000-000012000000}"/>
    <hyperlink ref="D40" location="GHG_Protocol" display="GHG Protocol" xr:uid="{00000000-0004-0000-0000-000013000000}"/>
    <hyperlink ref="D39" location="bilan_GES" display="Bilan GES" xr:uid="{00000000-0004-0000-0000-000014000000}"/>
    <hyperlink ref="D38" location="ratios_haut" display="ratios_haut" xr:uid="{00000000-0004-0000-0000-000015000000}"/>
    <hyperlink ref="D42" location="CDP!A1" display="CDP" xr:uid="{00000000-0004-0000-0000-000016000000}"/>
  </hyperlinks>
  <pageMargins left="0.78740157499999996" right="0.78740157499999996" top="0.984251969" bottom="0.984251969" header="0.5" footer="0.5"/>
  <pageSetup paperSize="9" orientation="portrait" horizontalDpi="4294967292" verticalDpi="4294967292"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tabColor theme="5"/>
    <outlinePr summaryBelow="0" summaryRight="0"/>
  </sheetPr>
  <dimension ref="A1:CF759"/>
  <sheetViews>
    <sheetView showGridLines="0" zoomScale="80" zoomScaleNormal="80" workbookViewId="0">
      <pane xSplit="3" ySplit="8" topLeftCell="D34" activePane="bottomRight" state="frozenSplit"/>
      <selection activeCell="E9" sqref="E9"/>
      <selection pane="topRight" activeCell="E9" sqref="E9"/>
      <selection pane="bottomLeft" activeCell="E9" sqref="E9"/>
      <selection pane="bottomRight" activeCell="F40" sqref="F40"/>
    </sheetView>
  </sheetViews>
  <sheetFormatPr baseColWidth="10" defaultColWidth="0" defaultRowHeight="13.2" outlineLevelRow="2" outlineLevelCol="1"/>
  <cols>
    <col min="1" max="1" width="2.75" style="114" customWidth="1"/>
    <col min="2" max="2" width="96.125" style="114" customWidth="1"/>
    <col min="3" max="3" width="2.375" style="114" customWidth="1"/>
    <col min="4" max="4" width="18" style="114" bestFit="1" customWidth="1"/>
    <col min="5" max="5" width="16.375" style="114" bestFit="1" customWidth="1"/>
    <col min="6" max="6" width="15.75" style="114" customWidth="1"/>
    <col min="7" max="7" width="12.25" style="114" customWidth="1"/>
    <col min="8" max="8" width="16.25" style="114" bestFit="1" customWidth="1"/>
    <col min="9" max="9" width="17.625" style="114" customWidth="1"/>
    <col min="10" max="24" width="12.25" style="114" customWidth="1"/>
    <col min="25" max="25" width="15" style="114" bestFit="1" customWidth="1"/>
    <col min="26" max="26" width="12.25" style="114" customWidth="1" collapsed="1"/>
    <col min="27" max="30" width="12.25" style="114" hidden="1" customWidth="1" outlineLevel="1"/>
    <col min="31" max="32" width="12.25" style="114" customWidth="1"/>
    <col min="33" max="33" width="12.25" style="114" customWidth="1" collapsed="1"/>
    <col min="34" max="58" width="12.25" style="441" hidden="1" customWidth="1" outlineLevel="1"/>
    <col min="59" max="59" width="12.25" style="114" customWidth="1" collapsed="1"/>
    <col min="60" max="60" width="16.75" style="114" hidden="1" customWidth="1" outlineLevel="1"/>
    <col min="61" max="71" width="10.875" style="114" hidden="1" customWidth="1" outlineLevel="1"/>
    <col min="72" max="72" width="2.75" style="114" customWidth="1"/>
    <col min="73" max="84" width="0" style="114" hidden="1" customWidth="1"/>
    <col min="85" max="16384" width="10.875" style="114" hidden="1"/>
  </cols>
  <sheetData>
    <row r="1" spans="2:68" s="113" customFormat="1" ht="22.8">
      <c r="Z1" s="1646" t="s">
        <v>2442</v>
      </c>
      <c r="AG1" s="1645" t="s">
        <v>2441</v>
      </c>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1644" t="s">
        <v>2440</v>
      </c>
    </row>
    <row r="2" spans="2:68" s="113" customFormat="1" ht="30" customHeight="1">
      <c r="B2" s="2602" t="str">
        <f>Descriptif!C30</f>
        <v>Fret</v>
      </c>
      <c r="C2" s="2603"/>
      <c r="D2" s="2603"/>
      <c r="E2" s="2603"/>
      <c r="F2" s="2603"/>
      <c r="G2" s="2603"/>
      <c r="H2" s="2603"/>
      <c r="I2" s="2603"/>
      <c r="J2" s="2603"/>
      <c r="K2" s="2603"/>
      <c r="L2" s="2603"/>
      <c r="M2" s="2603"/>
      <c r="N2" s="2603"/>
      <c r="O2" s="2604"/>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row>
    <row r="3" spans="2:68" s="253" customFormat="1" ht="13.8">
      <c r="D3" s="115"/>
      <c r="E3" s="115"/>
      <c r="F3" s="115"/>
      <c r="H3" s="115"/>
      <c r="J3" s="115"/>
      <c r="L3" s="115"/>
      <c r="N3" s="115"/>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row>
    <row r="4" spans="2:68" s="253" customFormat="1" ht="13.8">
      <c r="B4" s="1001" t="s">
        <v>536</v>
      </c>
      <c r="C4" s="287"/>
      <c r="D4" s="2760" t="s">
        <v>352</v>
      </c>
      <c r="E4" s="2760"/>
      <c r="F4" s="2760" t="s">
        <v>424</v>
      </c>
      <c r="G4" s="2760"/>
      <c r="H4" s="2760" t="s">
        <v>425</v>
      </c>
      <c r="I4" s="2760"/>
      <c r="J4" s="2760" t="s">
        <v>427</v>
      </c>
      <c r="K4" s="2760"/>
      <c r="L4" s="287"/>
      <c r="M4" s="287"/>
      <c r="N4" s="2761" t="s">
        <v>893</v>
      </c>
      <c r="O4" s="2762"/>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row>
    <row r="5" spans="2:68" s="253" customFormat="1" ht="13.8">
      <c r="B5" s="348"/>
      <c r="C5" s="1676"/>
      <c r="D5" s="2772" t="s">
        <v>32</v>
      </c>
      <c r="E5" s="2772"/>
      <c r="F5" s="2772" t="s">
        <v>31</v>
      </c>
      <c r="G5" s="2772"/>
      <c r="H5" s="2772" t="s">
        <v>418</v>
      </c>
      <c r="I5" s="2772"/>
      <c r="J5" s="2772" t="s">
        <v>417</v>
      </c>
      <c r="K5" s="2772"/>
      <c r="L5" s="2572"/>
      <c r="M5" s="2572"/>
      <c r="N5" s="2572"/>
      <c r="O5" s="2573"/>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row>
    <row r="6" spans="2:68" s="211" customFormat="1" ht="13.8">
      <c r="B6" s="288"/>
      <c r="C6" s="73"/>
      <c r="D6" s="2772" t="s">
        <v>50</v>
      </c>
      <c r="E6" s="2772"/>
      <c r="F6" s="2772" t="s">
        <v>30</v>
      </c>
      <c r="G6" s="2772"/>
      <c r="H6" s="2772" t="s">
        <v>21</v>
      </c>
      <c r="I6" s="2772"/>
      <c r="J6" s="2772" t="s">
        <v>351</v>
      </c>
      <c r="K6" s="2772"/>
      <c r="O6" s="349"/>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row>
    <row r="7" spans="2:68" s="211" customFormat="1" ht="13.8">
      <c r="B7" s="194" t="s">
        <v>521</v>
      </c>
      <c r="C7" s="195"/>
      <c r="D7" s="2745" t="s">
        <v>212</v>
      </c>
      <c r="E7" s="2745"/>
      <c r="F7" s="2745" t="s">
        <v>428</v>
      </c>
      <c r="G7" s="2745"/>
      <c r="H7" s="2745" t="s">
        <v>484</v>
      </c>
      <c r="I7" s="2745"/>
      <c r="J7" s="2745" t="s">
        <v>758</v>
      </c>
      <c r="K7" s="2745"/>
      <c r="L7" s="2745" t="s">
        <v>818</v>
      </c>
      <c r="M7" s="2745"/>
      <c r="N7" s="2745" t="s">
        <v>2444</v>
      </c>
      <c r="O7" s="2775"/>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row>
    <row r="8" spans="2:68" s="211" customFormat="1" ht="13.8">
      <c r="B8" s="115"/>
      <c r="C8" s="115"/>
      <c r="D8" s="115"/>
      <c r="E8" s="115"/>
      <c r="F8" s="11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c r="BF8" s="445"/>
    </row>
    <row r="9" spans="2:68" s="211" customFormat="1" ht="15.6">
      <c r="B9" s="2652" t="s">
        <v>2511</v>
      </c>
      <c r="C9" s="2653"/>
      <c r="D9" s="2653"/>
      <c r="E9" s="2653"/>
      <c r="F9" s="2653"/>
      <c r="G9" s="2653"/>
      <c r="H9" s="2653"/>
      <c r="I9" s="2653"/>
      <c r="J9" s="2653"/>
      <c r="K9" s="2653"/>
      <c r="L9" s="2653"/>
      <c r="M9" s="2653"/>
      <c r="N9" s="2653"/>
      <c r="O9" s="2654"/>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row>
    <row r="10" spans="2:68" s="211" customFormat="1" ht="13.8" outlineLevel="1">
      <c r="B10" s="115"/>
      <c r="C10" s="115"/>
      <c r="D10" s="115"/>
      <c r="E10" s="115"/>
      <c r="F10" s="11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row>
    <row r="11" spans="2:68" s="109" customFormat="1" ht="15.75" customHeight="1" outlineLevel="1">
      <c r="B11" s="2842" t="s">
        <v>2325</v>
      </c>
      <c r="C11" s="2843"/>
      <c r="D11" s="2843"/>
      <c r="E11" s="2843"/>
      <c r="F11" s="2843"/>
      <c r="G11" s="2843"/>
      <c r="H11" s="2843"/>
      <c r="I11" s="2843"/>
      <c r="J11" s="2843"/>
      <c r="K11" s="2843"/>
      <c r="L11" s="2843"/>
      <c r="M11" s="2843"/>
      <c r="N11" s="2843"/>
      <c r="O11" s="2844"/>
      <c r="Q11" s="130"/>
      <c r="R11" s="130"/>
      <c r="S11" s="130"/>
      <c r="T11" s="130"/>
      <c r="U11" s="130"/>
      <c r="V11" s="130"/>
      <c r="W11" s="130"/>
      <c r="X11" s="130"/>
      <c r="Y11" s="130"/>
      <c r="Z11" s="130"/>
      <c r="AA11" s="130"/>
      <c r="AB11" s="130"/>
      <c r="AC11" s="130"/>
      <c r="AD11" s="130"/>
      <c r="AE11" s="130"/>
      <c r="AF11" s="130"/>
      <c r="AG11" s="114"/>
      <c r="AH11" s="441"/>
      <c r="AI11" s="441"/>
      <c r="AJ11" s="441"/>
      <c r="AK11" s="441"/>
      <c r="AL11" s="441"/>
      <c r="AM11" s="441"/>
      <c r="AN11" s="441"/>
      <c r="AO11" s="441"/>
      <c r="AP11" s="441"/>
      <c r="AQ11" s="441"/>
      <c r="AR11" s="441"/>
      <c r="AS11" s="441"/>
      <c r="AT11" s="588"/>
      <c r="AU11" s="588"/>
      <c r="AV11" s="588"/>
      <c r="AW11" s="588"/>
      <c r="AX11" s="588"/>
      <c r="AY11" s="588"/>
      <c r="AZ11" s="588"/>
      <c r="BA11" s="588"/>
      <c r="BB11" s="588"/>
      <c r="BC11" s="588"/>
      <c r="BD11" s="588"/>
      <c r="BE11" s="588"/>
      <c r="BF11" s="588"/>
    </row>
    <row r="12" spans="2:68" s="109" customFormat="1" ht="12.75" customHeight="1" outlineLevel="2">
      <c r="B12" s="114"/>
      <c r="C12" s="114"/>
      <c r="D12" s="256"/>
      <c r="E12" s="114"/>
      <c r="F12" s="256"/>
      <c r="G12" s="256"/>
      <c r="H12" s="256"/>
      <c r="I12" s="256"/>
      <c r="J12" s="256"/>
      <c r="K12" s="256"/>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444"/>
      <c r="AI12" s="588"/>
      <c r="AJ12" s="588"/>
      <c r="AK12" s="588"/>
      <c r="AL12" s="588"/>
      <c r="AM12" s="588"/>
      <c r="AN12" s="588"/>
      <c r="AO12" s="588"/>
      <c r="AP12" s="588"/>
      <c r="AQ12" s="588"/>
      <c r="AR12" s="588"/>
      <c r="AS12" s="441"/>
      <c r="AT12" s="441"/>
      <c r="AU12" s="588"/>
      <c r="AV12" s="588"/>
      <c r="AW12" s="588"/>
      <c r="AX12" s="588"/>
      <c r="AY12" s="588"/>
      <c r="AZ12" s="588"/>
      <c r="BA12" s="588"/>
      <c r="BB12" s="588"/>
      <c r="BC12" s="588"/>
      <c r="BD12" s="588"/>
      <c r="BE12" s="588"/>
      <c r="BF12" s="588"/>
    </row>
    <row r="13" spans="2:68" ht="12.75" customHeight="1" outlineLevel="2">
      <c r="B13" s="139" t="s">
        <v>570</v>
      </c>
      <c r="C13" s="140"/>
      <c r="D13" s="290"/>
      <c r="E13" s="1648"/>
      <c r="F13" s="290"/>
      <c r="G13" s="141"/>
      <c r="H13" s="141"/>
      <c r="I13" s="141"/>
      <c r="J13" s="141"/>
      <c r="K13" s="141"/>
      <c r="L13" s="141"/>
      <c r="M13" s="141"/>
      <c r="N13" s="141"/>
      <c r="O13" s="141"/>
      <c r="P13" s="141"/>
      <c r="Q13" s="141"/>
      <c r="R13" s="141"/>
      <c r="S13" s="141"/>
      <c r="T13" s="141"/>
      <c r="U13" s="142"/>
      <c r="W13" s="116"/>
      <c r="X13" s="2636" t="s">
        <v>366</v>
      </c>
      <c r="Y13" s="2637"/>
      <c r="Z13" s="2637"/>
      <c r="AA13" s="2637"/>
      <c r="AB13" s="2637"/>
      <c r="AC13" s="2637"/>
      <c r="AD13" s="2637"/>
      <c r="AE13" s="2637"/>
      <c r="AF13" s="2638"/>
      <c r="AH13" s="2639" t="s">
        <v>441</v>
      </c>
      <c r="AI13" s="2640"/>
      <c r="AJ13" s="2640"/>
      <c r="AK13" s="2640"/>
      <c r="AL13" s="2640"/>
      <c r="AM13" s="2640"/>
      <c r="AN13" s="2640"/>
      <c r="AO13" s="2640"/>
      <c r="AP13" s="2640"/>
      <c r="AQ13" s="2640"/>
      <c r="AR13" s="2640"/>
      <c r="AS13" s="2640"/>
      <c r="AT13" s="2640"/>
      <c r="AU13" s="2640"/>
      <c r="AV13" s="2640"/>
      <c r="AW13" s="2640"/>
      <c r="AX13" s="2640"/>
      <c r="AY13" s="2641"/>
      <c r="AZ13" s="2448"/>
      <c r="BA13" s="2448"/>
      <c r="BB13" s="2448"/>
      <c r="BC13" s="2448"/>
      <c r="BD13" s="2448"/>
      <c r="BE13" s="2448"/>
      <c r="BF13" s="2448"/>
    </row>
    <row r="14" spans="2:68" ht="12.75" customHeight="1" outlineLevel="2">
      <c r="B14" s="143"/>
      <c r="C14" s="144"/>
      <c r="D14" s="537" t="s">
        <v>308</v>
      </c>
      <c r="E14" s="1663"/>
      <c r="F14" s="144"/>
      <c r="G14" s="144"/>
      <c r="H14" s="144"/>
      <c r="I14" s="144"/>
      <c r="J14" s="144"/>
      <c r="K14" s="144"/>
      <c r="L14" s="144"/>
      <c r="M14" s="144"/>
      <c r="N14" s="144"/>
      <c r="O14" s="144"/>
      <c r="P14" s="144"/>
      <c r="Q14" s="144"/>
      <c r="R14" s="144"/>
      <c r="S14" s="2628"/>
      <c r="T14" s="2628"/>
      <c r="U14" s="1277" t="s">
        <v>275</v>
      </c>
      <c r="X14" s="1170"/>
      <c r="Y14" s="1285"/>
      <c r="Z14" s="1285"/>
      <c r="AA14" s="141"/>
      <c r="AB14" s="141"/>
      <c r="AC14" s="141"/>
      <c r="AD14" s="141"/>
      <c r="AE14" s="141"/>
      <c r="AF14" s="1274" t="s">
        <v>275</v>
      </c>
      <c r="AG14" s="127"/>
      <c r="AH14" s="2642" t="s">
        <v>444</v>
      </c>
      <c r="AI14" s="2643"/>
      <c r="AJ14" s="2643"/>
      <c r="AK14" s="2643"/>
      <c r="AL14" s="2643"/>
      <c r="AM14" s="2643"/>
      <c r="AN14" s="2643"/>
      <c r="AO14" s="2643"/>
      <c r="AP14" s="2643"/>
      <c r="AQ14" s="2643"/>
      <c r="AR14" s="2643"/>
      <c r="AS14" s="2643"/>
      <c r="AT14" s="2643" t="s">
        <v>444</v>
      </c>
      <c r="AU14" s="2643"/>
      <c r="AV14" s="628"/>
      <c r="AW14" s="624"/>
      <c r="AX14" s="624"/>
      <c r="AY14" s="1291"/>
      <c r="AZ14" s="2449"/>
      <c r="BA14" s="2449"/>
      <c r="BB14" s="2449"/>
      <c r="BC14" s="2449"/>
      <c r="BD14" s="2449"/>
      <c r="BE14" s="2449"/>
      <c r="BF14" s="2449"/>
      <c r="BH14" s="2616" t="s">
        <v>1648</v>
      </c>
      <c r="BI14" s="2617"/>
      <c r="BJ14" s="2617"/>
      <c r="BK14" s="2617"/>
      <c r="BL14" s="2617"/>
      <c r="BM14" s="2617"/>
      <c r="BN14" s="2617"/>
      <c r="BO14" s="2617"/>
      <c r="BP14" s="2618"/>
    </row>
    <row r="15" spans="2:68" s="109" customFormat="1" ht="12.75" customHeight="1" outlineLevel="2">
      <c r="B15" s="1269" t="s">
        <v>2248</v>
      </c>
      <c r="C15" s="1270"/>
      <c r="D15" s="1270" t="s">
        <v>409</v>
      </c>
      <c r="E15" s="1656"/>
      <c r="F15" s="147" t="s">
        <v>452</v>
      </c>
      <c r="G15" s="147" t="s">
        <v>343</v>
      </c>
      <c r="H15" s="2626" t="s">
        <v>1585</v>
      </c>
      <c r="I15" s="2627"/>
      <c r="J15" s="147" t="s">
        <v>343</v>
      </c>
      <c r="K15" s="2626" t="s">
        <v>1573</v>
      </c>
      <c r="L15" s="2627"/>
      <c r="M15" s="147" t="s">
        <v>343</v>
      </c>
      <c r="N15" s="2626" t="s">
        <v>1575</v>
      </c>
      <c r="O15" s="2627"/>
      <c r="P15" s="147" t="s">
        <v>343</v>
      </c>
      <c r="Q15" s="2626" t="s">
        <v>1574</v>
      </c>
      <c r="R15" s="2628"/>
      <c r="S15" s="537" t="s">
        <v>444</v>
      </c>
      <c r="T15" s="537" t="s">
        <v>444</v>
      </c>
      <c r="U15" s="1277" t="s">
        <v>276</v>
      </c>
      <c r="W15" s="114"/>
      <c r="X15" s="1269" t="s">
        <v>316</v>
      </c>
      <c r="Y15" s="2629" t="s">
        <v>316</v>
      </c>
      <c r="Z15" s="2630"/>
      <c r="AA15" s="1656" t="s">
        <v>444</v>
      </c>
      <c r="AB15" s="1656" t="s">
        <v>444</v>
      </c>
      <c r="AC15" s="2419"/>
      <c r="AD15" s="537"/>
      <c r="AE15" s="537" t="s">
        <v>444</v>
      </c>
      <c r="AF15" s="153" t="s">
        <v>276</v>
      </c>
      <c r="AG15" s="127"/>
      <c r="AH15" s="2631" t="s">
        <v>211</v>
      </c>
      <c r="AI15" s="2632"/>
      <c r="AJ15" s="2632"/>
      <c r="AK15" s="2632" t="s">
        <v>442</v>
      </c>
      <c r="AL15" s="2632"/>
      <c r="AM15" s="2632"/>
      <c r="AN15" s="2632" t="s">
        <v>267</v>
      </c>
      <c r="AO15" s="2632"/>
      <c r="AP15" s="2632"/>
      <c r="AQ15" s="2632" t="s">
        <v>443</v>
      </c>
      <c r="AR15" s="2632"/>
      <c r="AS15" s="2632"/>
      <c r="AT15" s="2648" t="s">
        <v>327</v>
      </c>
      <c r="AU15" s="2648"/>
      <c r="AV15" s="568"/>
      <c r="AW15" s="2631" t="s">
        <v>636</v>
      </c>
      <c r="AX15" s="2632"/>
      <c r="AY15" s="568"/>
      <c r="AZ15" s="2292"/>
      <c r="BA15" s="2292"/>
      <c r="BB15" s="2292"/>
      <c r="BC15" s="2292"/>
      <c r="BD15" s="2292"/>
      <c r="BE15" s="2292"/>
      <c r="BF15" s="2292"/>
      <c r="BH15" s="2837" t="s">
        <v>1646</v>
      </c>
      <c r="BI15" s="2614" t="s">
        <v>1644</v>
      </c>
      <c r="BJ15" s="2645"/>
      <c r="BK15" s="2645"/>
      <c r="BL15" s="2615"/>
      <c r="BM15" s="2614" t="s">
        <v>1645</v>
      </c>
      <c r="BN15" s="2645"/>
      <c r="BO15" s="2645"/>
      <c r="BP15" s="2615"/>
    </row>
    <row r="16" spans="2:68" s="109" customFormat="1" ht="12.75" customHeight="1" outlineLevel="2">
      <c r="B16" s="1269"/>
      <c r="C16" s="1270"/>
      <c r="D16" s="1270" t="s">
        <v>444</v>
      </c>
      <c r="E16" s="1656"/>
      <c r="F16" s="1275" t="s">
        <v>445</v>
      </c>
      <c r="G16" s="153" t="s">
        <v>287</v>
      </c>
      <c r="H16" s="1276" t="s">
        <v>411</v>
      </c>
      <c r="I16" s="1276" t="s">
        <v>257</v>
      </c>
      <c r="J16" s="153" t="s">
        <v>790</v>
      </c>
      <c r="K16" s="1276" t="s">
        <v>411</v>
      </c>
      <c r="L16" s="1276" t="s">
        <v>257</v>
      </c>
      <c r="M16" s="153" t="s">
        <v>791</v>
      </c>
      <c r="N16" s="1276" t="s">
        <v>411</v>
      </c>
      <c r="O16" s="1276" t="s">
        <v>257</v>
      </c>
      <c r="P16" s="153" t="s">
        <v>213</v>
      </c>
      <c r="Q16" s="1276" t="s">
        <v>411</v>
      </c>
      <c r="R16" s="1276" t="s">
        <v>257</v>
      </c>
      <c r="S16" s="1271" t="s">
        <v>411</v>
      </c>
      <c r="T16" s="1271" t="s">
        <v>257</v>
      </c>
      <c r="U16" s="1277" t="s">
        <v>444</v>
      </c>
      <c r="W16" s="114"/>
      <c r="X16" s="1269" t="s">
        <v>1649</v>
      </c>
      <c r="Y16" s="2646" t="s">
        <v>1650</v>
      </c>
      <c r="Z16" s="2647"/>
      <c r="AA16" s="1662" t="s">
        <v>411</v>
      </c>
      <c r="AB16" s="1662" t="s">
        <v>257</v>
      </c>
      <c r="AC16" s="1662"/>
      <c r="AD16" s="166"/>
      <c r="AE16" s="166" t="s">
        <v>327</v>
      </c>
      <c r="AF16" s="153" t="s">
        <v>444</v>
      </c>
      <c r="AG16" s="116"/>
      <c r="AH16" s="1331" t="s">
        <v>411</v>
      </c>
      <c r="AI16" s="1332" t="s">
        <v>257</v>
      </c>
      <c r="AJ16" s="1332"/>
      <c r="AK16" s="1332" t="s">
        <v>411</v>
      </c>
      <c r="AL16" s="1332" t="s">
        <v>257</v>
      </c>
      <c r="AM16" s="1332"/>
      <c r="AN16" s="1332" t="s">
        <v>411</v>
      </c>
      <c r="AO16" s="1332" t="s">
        <v>257</v>
      </c>
      <c r="AP16" s="1332"/>
      <c r="AQ16" s="1332" t="s">
        <v>411</v>
      </c>
      <c r="AR16" s="1332" t="s">
        <v>257</v>
      </c>
      <c r="AS16" s="1332"/>
      <c r="AT16" s="581" t="s">
        <v>411</v>
      </c>
      <c r="AU16" s="581" t="s">
        <v>257</v>
      </c>
      <c r="AV16" s="582"/>
      <c r="AW16" s="1332" t="s">
        <v>411</v>
      </c>
      <c r="AX16" s="1332" t="s">
        <v>257</v>
      </c>
      <c r="AY16" s="1333"/>
      <c r="AZ16" s="2449"/>
      <c r="BA16" s="2449"/>
      <c r="BB16" s="2449"/>
      <c r="BC16" s="2449"/>
      <c r="BD16" s="2449"/>
      <c r="BE16" s="2449"/>
      <c r="BF16" s="2449"/>
      <c r="BH16" s="2838"/>
      <c r="BI16" s="1281" t="s">
        <v>199</v>
      </c>
      <c r="BJ16" s="1282" t="s">
        <v>309</v>
      </c>
      <c r="BK16" s="1282" t="s">
        <v>272</v>
      </c>
      <c r="BL16" s="1283" t="s">
        <v>2254</v>
      </c>
      <c r="BM16" s="1281" t="s">
        <v>199</v>
      </c>
      <c r="BN16" s="1282" t="s">
        <v>309</v>
      </c>
      <c r="BO16" s="1282" t="s">
        <v>272</v>
      </c>
      <c r="BP16" s="1283" t="s">
        <v>2254</v>
      </c>
    </row>
    <row r="17" spans="2:68" outlineLevel="2">
      <c r="B17" s="143" t="s">
        <v>2250</v>
      </c>
      <c r="C17" s="144"/>
      <c r="D17" s="212">
        <f t="shared" ref="D17:D22" si="0">S17+T17</f>
        <v>0</v>
      </c>
      <c r="E17" s="212"/>
      <c r="F17" s="117"/>
      <c r="G17" s="117"/>
      <c r="H17" s="335">
        <f>VLOOKUP($B17&amp;"; "&amp;$H$15&amp;", "&amp;H$16,'FE Fret'!$G:$U,9,FALSE)</f>
        <v>991</v>
      </c>
      <c r="I17" s="335">
        <f>VLOOKUP($B17&amp;"; "&amp;$H$15&amp;", "&amp;I$16,'FE Fret'!$G:$U,9,FALSE)</f>
        <v>490</v>
      </c>
      <c r="J17" s="117"/>
      <c r="K17" s="335">
        <f>VLOOKUP($B17&amp;"; "&amp;$K$15&amp;", "&amp;K$16,'FE Fret'!$G:$U,9,FALSE)</f>
        <v>0.11600000000000001</v>
      </c>
      <c r="L17" s="335">
        <f>VLOOKUP($B17&amp;"; "&amp;$K$15&amp;", "&amp;L$16,'FE Fret'!$G:$U,9,FALSE)</f>
        <v>5.8000000000000003E-2</v>
      </c>
      <c r="M17" s="117"/>
      <c r="N17" s="335">
        <f>VLOOKUP($B17&amp;"; "&amp;$N$15&amp;", "&amp;N$16,'FE Fret'!$G:$U,9,FALSE)</f>
        <v>1355</v>
      </c>
      <c r="O17" s="335">
        <f>VLOOKUP($B17&amp;"; "&amp;$N$15&amp;", "&amp;O$16,'FE Fret'!$G:$U,9,FALSE)</f>
        <v>676</v>
      </c>
      <c r="P17" s="117"/>
      <c r="Q17" s="335">
        <f>VLOOKUP($B17&amp;"; "&amp;$Q$15&amp;", "&amp;Q$16,'FE Fret'!$G:$U,9,FALSE)</f>
        <v>0.74099999999999999</v>
      </c>
      <c r="R17" s="335">
        <f>VLOOKUP($B17&amp;"; "&amp;$Q$15&amp;", "&amp;R$16,'FE Fret'!$G:$U,9,FALSE)</f>
        <v>0.36599999999999999</v>
      </c>
      <c r="S17" s="356">
        <f t="shared" ref="S17:T22" si="1">IF(ISNA($G17*H17),0,$G17*H17)+IF(ISNA($J17*K17),0,$J17*K17)+IF(ISNA($M17*N17),0,$M17*N17)+IF(ISNA($P17*Q17),0,$P17*Q17)</f>
        <v>0</v>
      </c>
      <c r="T17" s="356">
        <f t="shared" si="1"/>
        <v>0</v>
      </c>
      <c r="U17" s="165">
        <f>IF(OR(F17=Utilitaires!$I$572,F17=Utilitaires!$I$577),T17,0)</f>
        <v>0</v>
      </c>
      <c r="X17" s="1092">
        <f t="shared" ref="X17:X22" si="2">IF(AE17=0,AE17,AE17/D17)</f>
        <v>0</v>
      </c>
      <c r="Y17" s="343"/>
      <c r="Z17" s="820"/>
      <c r="AA17" s="164">
        <f t="shared" ref="AA17:AA22" si="3">SQRT(SUMSQ(IF(ISNA($G17*H17*BI17),0,$G17*H17*BI17),IF(ISNA($J17*K17*BJ17),0,$J17*K17*BJ17),IF(ISNA($M17*N17*BK17),0,$M17*N17*BK17),IF(ISNA($P17*Q17*BL17),0,$P17*Q17*BL17)))</f>
        <v>0</v>
      </c>
      <c r="AB17" s="164">
        <f t="shared" ref="AB17:AB22" si="4">SQRT(SUMSQ(IF(ISNA($G17*I17*BM17),0,$G17*I17*BM17),IF(ISNA($J17*L17*BN17),0,$J17*L17*BN17),IF(ISNA($M17*O17*BO17),0,$M17*O17*BO17),IF(ISNA($P17*R17*BP17),0,$P17*R17*BP17)))</f>
        <v>0</v>
      </c>
      <c r="AC17" s="164"/>
      <c r="AD17" s="151"/>
      <c r="AE17" s="151">
        <f t="shared" ref="AE17:AE22" si="5">SQRT(SUMSQ(AA17,AB17))</f>
        <v>0</v>
      </c>
      <c r="AF17" s="1286">
        <f t="shared" ref="AF17:AF22" si="6">P17*W17</f>
        <v>0</v>
      </c>
      <c r="AG17" s="116"/>
      <c r="AH17" s="564">
        <f>$G17*IF(ISNA(VLOOKUP($B17&amp;"; "&amp;$H$15&amp;", "&amp;H$16,'FE Fret'!$G:$U,10,FALSE)),0,VLOOKUP($B17&amp;"; "&amp;$H$15&amp;", "&amp;H$16,'FE Fret'!$G:$U,10,FALSE))
+$J17*IF(ISNA(VLOOKUP($B17&amp;"; "&amp;$K$15&amp;", "&amp;H$16,'FE Fret'!$G:$U,10,FALSE)),0,VLOOKUP($B17&amp;"; "&amp;$K$15&amp;", "&amp;H$16,'FE Fret'!$G:$U,10,FALSE))
+$M17*IF(ISNA(VLOOKUP($B17&amp;"; "&amp;$N$15&amp;", "&amp;H$16,'FE Fret'!$G:$U,10,FALSE)),0,VLOOKUP($B17&amp;"; "&amp;$N$15&amp;", "&amp;H$16,'FE Fret'!$G:$U,10,FALSE))
+$P17*IF(ISNA(VLOOKUP($B17&amp;"; "&amp;$Q$15&amp;", "&amp;H$16,'FE Fret'!$G:$U,10,FALSE)),0,VLOOKUP($B17&amp;"; "&amp;$Q$15&amp;", "&amp;H$16,'FE Fret'!$G:$U,10,FALSE))</f>
        <v>0</v>
      </c>
      <c r="AI17" s="565">
        <f>$G17*IF(ISNA(VLOOKUP($B17&amp;"; "&amp;$H$15&amp;", "&amp;I$16,'FE Fret'!$G:$U,10,FALSE)),0,VLOOKUP($B17&amp;"; "&amp;$H$15&amp;", "&amp;I$16,'FE Fret'!$G:$U,10,FALSE))
+$J17*IF(ISNA(VLOOKUP($B17&amp;"; "&amp;$K$15&amp;", "&amp;I$16,'FE Fret'!$G:$U,10,FALSE)),0,VLOOKUP($B17&amp;"; "&amp;$K$15&amp;", "&amp;I$16,'FE Fret'!$G:$U,10,FALSE))
+$M17*IF(ISNA(VLOOKUP($B17&amp;"; "&amp;$N$15&amp;", "&amp;I$16,'FE Fret'!$G:$U,10,FALSE)),0,VLOOKUP($B17&amp;"; "&amp;$N$15&amp;", "&amp;I$16,'FE Fret'!$G:$U,10,FALSE))
+$P17*IF(ISNA(VLOOKUP($B17&amp;"; "&amp;$Q$15&amp;", "&amp;I$16,'FE Fret'!$G:$U,10,FALSE)),0,VLOOKUP($B17&amp;"; "&amp;$Q$15&amp;", "&amp;I$16,'FE Fret'!$G:$U,10,FALSE))</f>
        <v>0</v>
      </c>
      <c r="AJ17" s="565"/>
      <c r="AK17" s="565">
        <f>$G17*IF(ISNA((VLOOKUP($B17&amp;"; "&amp;$H$15&amp;", "&amp;H$16,'FE Fret'!$G:$U,12,FALSE)+VLOOKUP($B17&amp;"; "&amp;$H$15&amp;", "&amp;H$16,'FE Fret'!$G:$U,11,FALSE))),0,(VLOOKUP($B17&amp;"; "&amp;$H$15&amp;", "&amp;H$16,'FE Fret'!$G:$U,12,FALSE)+VLOOKUP($B17&amp;"; "&amp;$H$15&amp;", "&amp;H$16,'FE Fret'!$G:$U,11,FALSE)))
+$J17*IF(ISNA((VLOOKUP($B17&amp;"; "&amp;$K$15&amp;", "&amp;H$16,'FE Fret'!$G:$U,12,FALSE)+VLOOKUP($B17&amp;"; "&amp;$K$15&amp;", "&amp;H$16,'FE Fret'!$G:$U,11,FALSE))),0,(VLOOKUP($B17&amp;"; "&amp;$K$15&amp;", "&amp;H$16,'FE Fret'!$G:$U,12,FALSE)+VLOOKUP($B17&amp;"; "&amp;$K$15&amp;", "&amp;H$16,'FE Fret'!$G:$U,11,FALSE)))
+$M17*IF(ISNA((VLOOKUP($B17&amp;"; "&amp;$N$15&amp;", "&amp;H$16,'FE Fret'!$G:$U,12,FALSE)+VLOOKUP($B17&amp;"; "&amp;$N$15&amp;", "&amp;H$16,'FE Fret'!$G:$U,11,FALSE))),0,(VLOOKUP($B17&amp;"; "&amp;$N$15&amp;", "&amp;H$16,'FE Fret'!$G:$U,12,FALSE)+VLOOKUP($B17&amp;"; "&amp;$N$15&amp;", "&amp;H$16,'FE Fret'!$G:$U,11,FALSE)))
+$P17*IF(ISNA((VLOOKUP($B17&amp;"; "&amp;$Q$15&amp;", "&amp;H$16,'FE Fret'!$G:$U,12,FALSE)+VLOOKUP($B17&amp;"; "&amp;$Q$15&amp;", "&amp;H$16,'FE Fret'!$G:$U,11,FALSE))),0,(VLOOKUP($B17&amp;"; "&amp;$Q$15&amp;", "&amp;H$16,'FE Fret'!$G:$U,12,FALSE)+VLOOKUP($B17&amp;"; "&amp;$Q$15&amp;", "&amp;H$16,'FE Fret'!$G:$U,11,FALSE)))</f>
        <v>0</v>
      </c>
      <c r="AL17" s="565">
        <f>$G17*IF(ISNA((VLOOKUP($B17&amp;"; "&amp;$H$15&amp;", "&amp;I$16,'FE Fret'!$G:$U,12,FALSE)+VLOOKUP($B17&amp;"; "&amp;$H$15&amp;", "&amp;I$16,'FE Fret'!$G:$U,11,FALSE))),0,(VLOOKUP($B17&amp;"; "&amp;$H$15&amp;", "&amp;I$16,'FE Fret'!$G:$U,12,FALSE)+VLOOKUP($B17&amp;"; "&amp;$H$15&amp;", "&amp;I$16,'FE Fret'!$G:$U,11,FALSE)))
+$J17*IF(ISNA((VLOOKUP($B17&amp;"; "&amp;$K$15&amp;", "&amp;I$16,'FE Fret'!$G:$U,12,FALSE)+VLOOKUP($B17&amp;"; "&amp;$K$15&amp;", "&amp;I$16,'FE Fret'!$G:$U,11,FALSE))),0,(VLOOKUP($B17&amp;"; "&amp;$K$15&amp;", "&amp;I$16,'FE Fret'!$G:$U,12,FALSE)+VLOOKUP($B17&amp;"; "&amp;$K$15&amp;", "&amp;I$16,'FE Fret'!$G:$U,11,FALSE)))
+$M17*IF(ISNA((VLOOKUP($B17&amp;"; "&amp;$N$15&amp;", "&amp;I$16,'FE Fret'!$G:$U,12,FALSE)+VLOOKUP($B17&amp;"; "&amp;$N$15&amp;", "&amp;I$16,'FE Fret'!$G:$U,11,FALSE))),0,(VLOOKUP($B17&amp;"; "&amp;$N$15&amp;", "&amp;I$16,'FE Fret'!$G:$U,12,FALSE)+VLOOKUP($B17&amp;"; "&amp;$N$15&amp;", "&amp;I$16,'FE Fret'!$G:$U,11,FALSE)))
+$P17*IF(ISNA((VLOOKUP($B17&amp;"; "&amp;$Q$15&amp;", "&amp;I$16,'FE Fret'!$G:$U,12,FALSE)+VLOOKUP($B17&amp;"; "&amp;$Q$15&amp;", "&amp;I$16,'FE Fret'!$G:$U,11,FALSE))),0,(VLOOKUP($B17&amp;"; "&amp;$Q$15&amp;", "&amp;I$16,'FE Fret'!$G:$U,12,FALSE)+VLOOKUP($B17&amp;"; "&amp;$Q$15&amp;", "&amp;I$16,'FE Fret'!$G:$U,11,FALSE)))</f>
        <v>0</v>
      </c>
      <c r="AM17" s="565"/>
      <c r="AN17" s="565">
        <f>$G17*IF(ISNA(VLOOKUP($B17&amp;"; "&amp;$H$15&amp;", "&amp;H$16,'FE Fret'!$G:$U,13,FALSE)),0,VLOOKUP($B17&amp;"; "&amp;$H$15&amp;", "&amp;H$16,'FE Fret'!$G:$U,13,FALSE))
+$J17*IF(ISNA(VLOOKUP($B17&amp;"; "&amp;$K$15&amp;", "&amp;H$16,'FE Fret'!$G:$U,13,FALSE)),0,VLOOKUP($B17&amp;"; "&amp;$K$15&amp;", "&amp;H$16,'FE Fret'!$G:$U,13,FALSE))
+$M17*IF(ISNA(VLOOKUP($B17&amp;"; "&amp;$N$15&amp;", "&amp;H$16,'FE Fret'!$G:$U,13,FALSE)),0,VLOOKUP($B17&amp;"; "&amp;$N$15&amp;", "&amp;H$16,'FE Fret'!$G:$U,13,FALSE))
+$P17*IF(ISNA(VLOOKUP($B17&amp;"; "&amp;$Q$15&amp;", "&amp;H$16,'FE Fret'!$G:$U,13,FALSE)),0,VLOOKUP($B17&amp;"; "&amp;$Q$15&amp;", "&amp;H$16,'FE Fret'!$G:$U,13,FALSE))</f>
        <v>0</v>
      </c>
      <c r="AO17" s="565">
        <f>$G17*IF(ISNA(VLOOKUP($B17&amp;"; "&amp;$H$15&amp;", "&amp;I$16,'FE Fret'!$G:$U,13,FALSE)),0,VLOOKUP($B17&amp;"; "&amp;$H$15&amp;", "&amp;I$16,'FE Fret'!$G:$U,13,FALSE))
+$J17*IF(ISNA(VLOOKUP($B17&amp;"; "&amp;$K$15&amp;", "&amp;I$16,'FE Fret'!$G:$U,13,FALSE)),0,VLOOKUP($B17&amp;"; "&amp;$K$15&amp;", "&amp;I$16,'FE Fret'!$G:$U,13,FALSE))
+$M17*IF(ISNA(VLOOKUP($B17&amp;"; "&amp;$N$15&amp;", "&amp;I$16,'FE Fret'!$G:$U,13,FALSE)),0,VLOOKUP($B17&amp;"; "&amp;$N$15&amp;", "&amp;I$16,'FE Fret'!$G:$U,13,FALSE))
+$P17*IF(ISNA(VLOOKUP($B17&amp;"; "&amp;$Q$15&amp;", "&amp;I$16,'FE Fret'!$G:$U,13,FALSE)),0,VLOOKUP($B17&amp;"; "&amp;$Q$15&amp;", "&amp;I$16,'FE Fret'!$G:$U,13,FALSE))</f>
        <v>0</v>
      </c>
      <c r="AP17" s="565"/>
      <c r="AQ17" s="565">
        <v>0</v>
      </c>
      <c r="AR17" s="565">
        <v>0</v>
      </c>
      <c r="AS17" s="565"/>
      <c r="AT17" s="566">
        <f t="shared" ref="AT17:AU22" si="7">SUM(AH17,AK17,AN17,AQ17)</f>
        <v>0</v>
      </c>
      <c r="AU17" s="566">
        <f t="shared" si="7"/>
        <v>0</v>
      </c>
      <c r="AV17" s="567"/>
      <c r="AW17" s="565">
        <f>$G17*IF(ISNA(VLOOKUP($B17&amp;"; "&amp;$H$15&amp;", "&amp;H$16,'FE Fret'!$G:$U,15,FALSE)),0,VLOOKUP($B17&amp;"; "&amp;$H$15&amp;", "&amp;H$16,'FE Fret'!$G:$U,15,FALSE))
+$J17*IF(ISNA(VLOOKUP($B17&amp;"; "&amp;$K$15&amp;", "&amp;H$16,'FE Fret'!$G:$U,15,FALSE)),0,VLOOKUP($B17&amp;"; "&amp;$K$15&amp;", "&amp;H$16,'FE Fret'!$G:$U,15,FALSE))
+$M17*IF(ISNA(VLOOKUP($B17&amp;"; "&amp;$N$15&amp;", "&amp;H$16,'FE Fret'!$G:$U,15,FALSE)),0,VLOOKUP($B17&amp;"; "&amp;$N$15&amp;", "&amp;H$16,'FE Fret'!$G:$U,15,FALSE))
+$P17*IF(ISNA(VLOOKUP($B17&amp;"; "&amp;$Q$15&amp;", "&amp;H$16,'FE Fret'!$G:$U,15,FALSE)),0,VLOOKUP($B17&amp;"; "&amp;$Q$15&amp;", "&amp;H$16,'FE Fret'!$G:$U,15,FALSE))</f>
        <v>0</v>
      </c>
      <c r="AX17" s="565">
        <f>$G17*IF(ISNA(VLOOKUP($B17&amp;"; "&amp;$H$15&amp;", "&amp;I$16,'FE Fret'!$G:$U,15,FALSE)),0,VLOOKUP($B17&amp;"; "&amp;$H$15&amp;", "&amp;I$16,'FE Fret'!$G:$U,15,FALSE))
+$J17*IF(ISNA(VLOOKUP($B17&amp;"; "&amp;$K$15&amp;", "&amp;I$16,'FE Fret'!$G:$U,15,FALSE)),0,VLOOKUP($B17&amp;"; "&amp;$K$15&amp;", "&amp;I$16,'FE Fret'!$G:$U,15,FALSE))
+$M17*IF(ISNA(VLOOKUP($B17&amp;"; "&amp;$N$15&amp;", "&amp;I$16,'FE Fret'!$G:$U,15,FALSE)),0,VLOOKUP($B17&amp;"; "&amp;$N$15&amp;", "&amp;I$16,'FE Fret'!$G:$U,15,FALSE))
+$P17*IF(ISNA(VLOOKUP($B17&amp;"; "&amp;$Q$15&amp;", "&amp;I$16,'FE Fret'!$G:$U,15,FALSE)),0,VLOOKUP($B17&amp;"; "&amp;$Q$15&amp;", "&amp;I$16,'FE Fret'!$G:$U,15,FALSE))</f>
        <v>0</v>
      </c>
      <c r="AY17" s="568"/>
      <c r="AZ17" s="2292"/>
      <c r="BA17" s="2292"/>
      <c r="BB17" s="2292"/>
      <c r="BC17" s="2292"/>
      <c r="BD17" s="2292"/>
      <c r="BE17" s="2292"/>
      <c r="BF17" s="2292"/>
      <c r="BH17" s="1065">
        <f>IF($Y17&lt;&gt;"votre valeur :",IF(ISNA(VLOOKUP($Y17,Utilitaires!$N$566:$O$571,2,FALSE)),,VLOOKUP($Y17,Utilitaires!$N$566:$O$571,2,FALSE)),$Z17)</f>
        <v>0</v>
      </c>
      <c r="BI17" s="1124">
        <f>IF(ISNA(SQRT(SUMSQ(VLOOKUP($B17&amp;"; "&amp;$H$15&amp;", "&amp;H$16,'FE Fret'!$G:$U,7,FALSE),$BH17))),0,SQRT(SUMSQ(VLOOKUP($B17&amp;"; "&amp;$H$15&amp;", "&amp;$H$16,'FE Fret'!$G:$U,7,FALSE),$BH17)))</f>
        <v>0.05</v>
      </c>
      <c r="BJ17" s="1068">
        <f>IF(ISNA(SQRT(SUMSQ(VLOOKUP($B17&amp;"; "&amp;$K$15&amp;", "&amp;$K$16,'FE Fret'!$G:$U,7,FALSE),$BH17))),0,SQRT(SUMSQ(VLOOKUP($B17&amp;"; "&amp;$K$15&amp;", "&amp;$K$16,'FE Fret'!$G:$U,7,FALSE),$BH17)))</f>
        <v>0.05</v>
      </c>
      <c r="BK17" s="1068">
        <f>IF(ISNA(SQRT(SUMSQ(VLOOKUP($B17&amp;"; "&amp;$N$15&amp;", "&amp;$N$16,'FE Fret'!$G:$U,7,FALSE),$BH17))),0,SQRT(SUMSQ(VLOOKUP($B17&amp;"; "&amp;$N$15&amp;", "&amp;$N$16,'FE Fret'!$G:$U,7,FALSE),$BH17)))</f>
        <v>0.05</v>
      </c>
      <c r="BL17" s="1068">
        <f>IF(ISNA(SQRT(SUMSQ(VLOOKUP($B17&amp;"; "&amp;$Q$15&amp;", "&amp;$Q$16,'FE Fret'!$G:$U,7,FALSE),$BH17))),0,SQRT(SUMSQ(VLOOKUP($B17&amp;"; "&amp;$Q$15&amp;", "&amp;$Q$16,'FE Fret'!$G:$U,7,FALSE),$BH17)))</f>
        <v>0.1</v>
      </c>
      <c r="BM17" s="1124">
        <f>IF(ISNA(SQRT(SUMSQ(VLOOKUP($B17&amp;"; "&amp;$H$15&amp;", "&amp;I$16,'FE Fret'!$G:$U,7,FALSE),$BH17))),0,SQRT(SUMSQ(VLOOKUP($B17&amp;"; "&amp;$H$15&amp;", "&amp;$I$16,'FE Fret'!$G:$U,7,FALSE),$BH17)))</f>
        <v>0.05</v>
      </c>
      <c r="BN17" s="1068">
        <f>IF(ISNA(SQRT(SUMSQ(VLOOKUP($B17&amp;"; "&amp;$K$15&amp;", "&amp;$L$16,'FE Fret'!$G:$U,7,FALSE),$BH17))),0,SQRT(SUMSQ(VLOOKUP($B17&amp;"; "&amp;$K$15&amp;", "&amp;$L$16,'FE Fret'!$G:$U,7,FALSE),$BH17)))</f>
        <v>0.05</v>
      </c>
      <c r="BO17" s="1068">
        <f>IF(ISNA(SQRT(SUMSQ(VLOOKUP($B17&amp;"; "&amp;$N$15&amp;", "&amp;$O$16,'FE Fret'!$G:$U,7,FALSE),$BH17))),0,SQRT(SUMSQ(VLOOKUP($B17&amp;"; "&amp;$N$15&amp;", "&amp;$O$16,'FE Fret'!$G:$U,7,FALSE),$BH17)))</f>
        <v>0.05</v>
      </c>
      <c r="BP17" s="1125">
        <f>IF(ISNA(SQRT(SUMSQ(VLOOKUP($B17&amp;"; "&amp;$Q$15&amp;", "&amp;$R$16,'FE Fret'!$G:$U,7,FALSE),$BH17))),0,SQRT(SUMSQ(VLOOKUP($B17&amp;"; "&amp;$Q$15&amp;", "&amp;$R$16,'FE Fret'!$G:$U,7,FALSE),$BH17)))</f>
        <v>0.1</v>
      </c>
    </row>
    <row r="18" spans="2:68" outlineLevel="2">
      <c r="B18" s="143" t="s">
        <v>5129</v>
      </c>
      <c r="C18" s="144"/>
      <c r="D18" s="212">
        <f t="shared" si="0"/>
        <v>0</v>
      </c>
      <c r="E18" s="212"/>
      <c r="F18" s="120"/>
      <c r="G18" s="120"/>
      <c r="H18" s="335">
        <f>VLOOKUP($B18&amp;"; "&amp;$H$15&amp;", "&amp;H$16,'FE Fret'!$G:$U,9,FALSE)</f>
        <v>816</v>
      </c>
      <c r="I18" s="335">
        <f>VLOOKUP($B18&amp;"; "&amp;$H$15&amp;", "&amp;I$16,'FE Fret'!$G:$U,9,FALSE)</f>
        <v>3337</v>
      </c>
      <c r="J18" s="120"/>
      <c r="K18" s="335">
        <f>VLOOKUP($B18&amp;"; "&amp;$K$15&amp;", "&amp;K$16,'FE Fret'!$G:$U,9,FALSE)</f>
        <v>6.4600000000000005E-2</v>
      </c>
      <c r="L18" s="335">
        <f>VLOOKUP($B18&amp;"; "&amp;$K$15&amp;", "&amp;L$16,'FE Fret'!$G:$U,9,FALSE)</f>
        <v>0.254</v>
      </c>
      <c r="M18" s="120"/>
      <c r="N18" s="335">
        <f>VLOOKUP($B18&amp;"; "&amp;$N$15&amp;", "&amp;N$16,'FE Fret'!$G:$U,9,FALSE)</f>
        <v>725</v>
      </c>
      <c r="O18" s="335">
        <f>VLOOKUP($B18&amp;"; "&amp;$N$15&amp;", "&amp;O$16,'FE Fret'!$G:$U,9,FALSE)</f>
        <v>2968</v>
      </c>
      <c r="P18" s="120"/>
      <c r="Q18" s="335">
        <f>VLOOKUP($B18&amp;"; "&amp;$Q$15&amp;", "&amp;Q$16,'FE Fret'!$G:$U,9,FALSE)</f>
        <v>0.60899999999999999</v>
      </c>
      <c r="R18" s="335">
        <f>VLOOKUP($B18&amp;"; "&amp;$Q$15&amp;", "&amp;R$16,'FE Fret'!$G:$U,9,FALSE)</f>
        <v>2.4900000000000002</v>
      </c>
      <c r="S18" s="356">
        <f t="shared" si="1"/>
        <v>0</v>
      </c>
      <c r="T18" s="356">
        <f t="shared" si="1"/>
        <v>0</v>
      </c>
      <c r="U18" s="165">
        <f>IF(OR(F18=Utilitaires!$I$572,F18=Utilitaires!$I$577),T18,0)</f>
        <v>0</v>
      </c>
      <c r="X18" s="1092">
        <f t="shared" si="2"/>
        <v>0</v>
      </c>
      <c r="Y18" s="343"/>
      <c r="Z18" s="820"/>
      <c r="AA18" s="164">
        <f t="shared" si="3"/>
        <v>0</v>
      </c>
      <c r="AB18" s="164">
        <f t="shared" si="4"/>
        <v>0</v>
      </c>
      <c r="AC18" s="164"/>
      <c r="AD18" s="151"/>
      <c r="AE18" s="151">
        <f t="shared" si="5"/>
        <v>0</v>
      </c>
      <c r="AF18" s="1286">
        <f t="shared" si="6"/>
        <v>0</v>
      </c>
      <c r="AG18" s="116"/>
      <c r="AH18" s="564">
        <f>$G18*IF(ISNA(VLOOKUP($B18&amp;"; "&amp;$H$15&amp;", "&amp;H$16,'FE Fret'!$G:$U,10,FALSE)),0,VLOOKUP($B18&amp;"; "&amp;$H$15&amp;", "&amp;H$16,'FE Fret'!$G:$U,10,FALSE))
+$J18*IF(ISNA(VLOOKUP($B18&amp;"; "&amp;$K$15&amp;", "&amp;H$16,'FE Fret'!$G:$U,10,FALSE)),0,VLOOKUP($B18&amp;"; "&amp;$K$15&amp;", "&amp;H$16,'FE Fret'!$G:$U,10,FALSE))
+$M18*IF(ISNA(VLOOKUP($B18&amp;"; "&amp;$N$15&amp;", "&amp;H$16,'FE Fret'!$G:$U,10,FALSE)),0,VLOOKUP($B18&amp;"; "&amp;$N$15&amp;", "&amp;H$16,'FE Fret'!$G:$U,10,FALSE))
+$P18*IF(ISNA(VLOOKUP($B18&amp;"; "&amp;$Q$15&amp;", "&amp;H$16,'FE Fret'!$G:$U,10,FALSE)),0,VLOOKUP($B18&amp;"; "&amp;$Q$15&amp;", "&amp;H$16,'FE Fret'!$G:$U,10,FALSE))</f>
        <v>0</v>
      </c>
      <c r="AI18" s="565">
        <f>$G18*IF(ISNA(VLOOKUP($B18&amp;"; "&amp;$H$15&amp;", "&amp;I$16,'FE Fret'!$G:$U,10,FALSE)),0,VLOOKUP($B18&amp;"; "&amp;$H$15&amp;", "&amp;I$16,'FE Fret'!$G:$U,10,FALSE))
+$J18*IF(ISNA(VLOOKUP($B18&amp;"; "&amp;$K$15&amp;", "&amp;I$16,'FE Fret'!$G:$U,10,FALSE)),0,VLOOKUP($B18&amp;"; "&amp;$K$15&amp;", "&amp;I$16,'FE Fret'!$G:$U,10,FALSE))
+$M18*IF(ISNA(VLOOKUP($B18&amp;"; "&amp;$N$15&amp;", "&amp;I$16,'FE Fret'!$G:$U,10,FALSE)),0,VLOOKUP($B18&amp;"; "&amp;$N$15&amp;", "&amp;I$16,'FE Fret'!$G:$U,10,FALSE))
+$P18*IF(ISNA(VLOOKUP($B18&amp;"; "&amp;$Q$15&amp;", "&amp;I$16,'FE Fret'!$G:$U,10,FALSE)),0,VLOOKUP($B18&amp;"; "&amp;$Q$15&amp;", "&amp;I$16,'FE Fret'!$G:$U,10,FALSE))</f>
        <v>0</v>
      </c>
      <c r="AJ18" s="565"/>
      <c r="AK18" s="565">
        <f>$G18*IF(ISNA((VLOOKUP($B18&amp;"; "&amp;$H$15&amp;", "&amp;H$16,'FE Fret'!$G:$U,12,FALSE)+VLOOKUP($B18&amp;"; "&amp;$H$15&amp;", "&amp;H$16,'FE Fret'!$G:$U,11,FALSE))),0,(VLOOKUP($B18&amp;"; "&amp;$H$15&amp;", "&amp;H$16,'FE Fret'!$G:$U,12,FALSE)+VLOOKUP($B18&amp;"; "&amp;$H$15&amp;", "&amp;H$16,'FE Fret'!$G:$U,11,FALSE)))
+$J18*IF(ISNA((VLOOKUP($B18&amp;"; "&amp;$K$15&amp;", "&amp;H$16,'FE Fret'!$G:$U,12,FALSE)+VLOOKUP($B18&amp;"; "&amp;$K$15&amp;", "&amp;H$16,'FE Fret'!$G:$U,11,FALSE))),0,(VLOOKUP($B18&amp;"; "&amp;$K$15&amp;", "&amp;H$16,'FE Fret'!$G:$U,12,FALSE)+VLOOKUP($B18&amp;"; "&amp;$K$15&amp;", "&amp;H$16,'FE Fret'!$G:$U,11,FALSE)))
+$M18*IF(ISNA((VLOOKUP($B18&amp;"; "&amp;$N$15&amp;", "&amp;H$16,'FE Fret'!$G:$U,12,FALSE)+VLOOKUP($B18&amp;"; "&amp;$N$15&amp;", "&amp;H$16,'FE Fret'!$G:$U,11,FALSE))),0,(VLOOKUP($B18&amp;"; "&amp;$N$15&amp;", "&amp;H$16,'FE Fret'!$G:$U,12,FALSE)+VLOOKUP($B18&amp;"; "&amp;$N$15&amp;", "&amp;H$16,'FE Fret'!$G:$U,11,FALSE)))
+$P18*IF(ISNA((VLOOKUP($B18&amp;"; "&amp;$Q$15&amp;", "&amp;H$16,'FE Fret'!$G:$U,12,FALSE)+VLOOKUP($B18&amp;"; "&amp;$Q$15&amp;", "&amp;H$16,'FE Fret'!$G:$U,11,FALSE))),0,(VLOOKUP($B18&amp;"; "&amp;$Q$15&amp;", "&amp;H$16,'FE Fret'!$G:$U,12,FALSE)+VLOOKUP($B18&amp;"; "&amp;$Q$15&amp;", "&amp;H$16,'FE Fret'!$G:$U,11,FALSE)))</f>
        <v>0</v>
      </c>
      <c r="AL18" s="565">
        <f>$G18*IF(ISNA((VLOOKUP($B18&amp;"; "&amp;$H$15&amp;", "&amp;I$16,'FE Fret'!$G:$U,12,FALSE)+VLOOKUP($B18&amp;"; "&amp;$H$15&amp;", "&amp;I$16,'FE Fret'!$G:$U,11,FALSE))),0,(VLOOKUP($B18&amp;"; "&amp;$H$15&amp;", "&amp;I$16,'FE Fret'!$G:$U,12,FALSE)+VLOOKUP($B18&amp;"; "&amp;$H$15&amp;", "&amp;I$16,'FE Fret'!$G:$U,11,FALSE)))
+$J18*IF(ISNA((VLOOKUP($B18&amp;"; "&amp;$K$15&amp;", "&amp;I$16,'FE Fret'!$G:$U,12,FALSE)+VLOOKUP($B18&amp;"; "&amp;$K$15&amp;", "&amp;I$16,'FE Fret'!$G:$U,11,FALSE))),0,(VLOOKUP($B18&amp;"; "&amp;$K$15&amp;", "&amp;I$16,'FE Fret'!$G:$U,12,FALSE)+VLOOKUP($B18&amp;"; "&amp;$K$15&amp;", "&amp;I$16,'FE Fret'!$G:$U,11,FALSE)))
+$M18*IF(ISNA((VLOOKUP($B18&amp;"; "&amp;$N$15&amp;", "&amp;I$16,'FE Fret'!$G:$U,12,FALSE)+VLOOKUP($B18&amp;"; "&amp;$N$15&amp;", "&amp;I$16,'FE Fret'!$G:$U,11,FALSE))),0,(VLOOKUP($B18&amp;"; "&amp;$N$15&amp;", "&amp;I$16,'FE Fret'!$G:$U,12,FALSE)+VLOOKUP($B18&amp;"; "&amp;$N$15&amp;", "&amp;I$16,'FE Fret'!$G:$U,11,FALSE)))
+$P18*IF(ISNA((VLOOKUP($B18&amp;"; "&amp;$Q$15&amp;", "&amp;I$16,'FE Fret'!$G:$U,12,FALSE)+VLOOKUP($B18&amp;"; "&amp;$Q$15&amp;", "&amp;I$16,'FE Fret'!$G:$U,11,FALSE))),0,(VLOOKUP($B18&amp;"; "&amp;$Q$15&amp;", "&amp;I$16,'FE Fret'!$G:$U,12,FALSE)+VLOOKUP($B18&amp;"; "&amp;$Q$15&amp;", "&amp;I$16,'FE Fret'!$G:$U,11,FALSE)))</f>
        <v>0</v>
      </c>
      <c r="AM18" s="565"/>
      <c r="AN18" s="565">
        <f>$G18*IF(ISNA(VLOOKUP($B18&amp;"; "&amp;$H$15&amp;", "&amp;H$16,'FE Fret'!$G:$U,13,FALSE)),0,VLOOKUP($B18&amp;"; "&amp;$H$15&amp;", "&amp;H$16,'FE Fret'!$G:$U,13,FALSE))
+$J18*IF(ISNA(VLOOKUP($B18&amp;"; "&amp;$K$15&amp;", "&amp;H$16,'FE Fret'!$G:$U,13,FALSE)),0,VLOOKUP($B18&amp;"; "&amp;$K$15&amp;", "&amp;H$16,'FE Fret'!$G:$U,13,FALSE))
+$M18*IF(ISNA(VLOOKUP($B18&amp;"; "&amp;$N$15&amp;", "&amp;H$16,'FE Fret'!$G:$U,13,FALSE)),0,VLOOKUP($B18&amp;"; "&amp;$N$15&amp;", "&amp;H$16,'FE Fret'!$G:$U,13,FALSE))
+$P18*IF(ISNA(VLOOKUP($B18&amp;"; "&amp;$Q$15&amp;", "&amp;H$16,'FE Fret'!$G:$U,13,FALSE)),0,VLOOKUP($B18&amp;"; "&amp;$Q$15&amp;", "&amp;H$16,'FE Fret'!$G:$U,13,FALSE))</f>
        <v>0</v>
      </c>
      <c r="AO18" s="565">
        <f>$G18*IF(ISNA(VLOOKUP($B18&amp;"; "&amp;$H$15&amp;", "&amp;I$16,'FE Fret'!$G:$U,13,FALSE)),0,VLOOKUP($B18&amp;"; "&amp;$H$15&amp;", "&amp;I$16,'FE Fret'!$G:$U,13,FALSE))
+$J18*IF(ISNA(VLOOKUP($B18&amp;"; "&amp;$K$15&amp;", "&amp;I$16,'FE Fret'!$G:$U,13,FALSE)),0,VLOOKUP($B18&amp;"; "&amp;$K$15&amp;", "&amp;I$16,'FE Fret'!$G:$U,13,FALSE))
+$M18*IF(ISNA(VLOOKUP($B18&amp;"; "&amp;$N$15&amp;", "&amp;I$16,'FE Fret'!$G:$U,13,FALSE)),0,VLOOKUP($B18&amp;"; "&amp;$N$15&amp;", "&amp;I$16,'FE Fret'!$G:$U,13,FALSE))
+$P18*IF(ISNA(VLOOKUP($B18&amp;"; "&amp;$Q$15&amp;", "&amp;I$16,'FE Fret'!$G:$U,13,FALSE)),0,VLOOKUP($B18&amp;"; "&amp;$Q$15&amp;", "&amp;I$16,'FE Fret'!$G:$U,13,FALSE))</f>
        <v>0</v>
      </c>
      <c r="AP18" s="565"/>
      <c r="AQ18" s="565">
        <v>0</v>
      </c>
      <c r="AR18" s="565">
        <v>0</v>
      </c>
      <c r="AS18" s="565"/>
      <c r="AT18" s="566">
        <f t="shared" si="7"/>
        <v>0</v>
      </c>
      <c r="AU18" s="566">
        <f t="shared" si="7"/>
        <v>0</v>
      </c>
      <c r="AV18" s="567"/>
      <c r="AW18" s="565">
        <f>$G18*IF(ISNA(VLOOKUP($B18&amp;"; "&amp;$H$15&amp;", "&amp;H$16,'FE Fret'!$G:$U,15,FALSE)),0,VLOOKUP($B18&amp;"; "&amp;$H$15&amp;", "&amp;H$16,'FE Fret'!$G:$U,15,FALSE))
+$J18*IF(ISNA(VLOOKUP($B18&amp;"; "&amp;$K$15&amp;", "&amp;H$16,'FE Fret'!$G:$U,15,FALSE)),0,VLOOKUP($B18&amp;"; "&amp;$K$15&amp;", "&amp;H$16,'FE Fret'!$G:$U,15,FALSE))
+$M18*IF(ISNA(VLOOKUP($B18&amp;"; "&amp;$N$15&amp;", "&amp;H$16,'FE Fret'!$G:$U,15,FALSE)),0,VLOOKUP($B18&amp;"; "&amp;$N$15&amp;", "&amp;H$16,'FE Fret'!$G:$U,15,FALSE))
+$P18*IF(ISNA(VLOOKUP($B18&amp;"; "&amp;$Q$15&amp;", "&amp;H$16,'FE Fret'!$G:$U,15,FALSE)),0,VLOOKUP($B18&amp;"; "&amp;$Q$15&amp;", "&amp;H$16,'FE Fret'!$G:$U,15,FALSE))</f>
        <v>0</v>
      </c>
      <c r="AX18" s="565">
        <f>$G18*IF(ISNA(VLOOKUP($B18&amp;"; "&amp;$H$15&amp;", "&amp;I$16,'FE Fret'!$G:$U,15,FALSE)),0,VLOOKUP($B18&amp;"; "&amp;$H$15&amp;", "&amp;I$16,'FE Fret'!$G:$U,15,FALSE))
+$J18*IF(ISNA(VLOOKUP($B18&amp;"; "&amp;$K$15&amp;", "&amp;I$16,'FE Fret'!$G:$U,15,FALSE)),0,VLOOKUP($B18&amp;"; "&amp;$K$15&amp;", "&amp;I$16,'FE Fret'!$G:$U,15,FALSE))
+$M18*IF(ISNA(VLOOKUP($B18&amp;"; "&amp;$N$15&amp;", "&amp;I$16,'FE Fret'!$G:$U,15,FALSE)),0,VLOOKUP($B18&amp;"; "&amp;$N$15&amp;", "&amp;I$16,'FE Fret'!$G:$U,15,FALSE))
+$P18*IF(ISNA(VLOOKUP($B18&amp;"; "&amp;$Q$15&amp;", "&amp;I$16,'FE Fret'!$G:$U,15,FALSE)),0,VLOOKUP($B18&amp;"; "&amp;$Q$15&amp;", "&amp;I$16,'FE Fret'!$G:$U,15,FALSE))</f>
        <v>0</v>
      </c>
      <c r="AY18" s="568"/>
      <c r="AZ18" s="2292"/>
      <c r="BA18" s="2292"/>
      <c r="BB18" s="2292"/>
      <c r="BC18" s="2292"/>
      <c r="BD18" s="2292"/>
      <c r="BE18" s="2292"/>
      <c r="BF18" s="2292"/>
      <c r="BH18" s="1065">
        <f>IF($Y18&lt;&gt;"votre valeur :",IF(ISNA(VLOOKUP($Y18,Utilitaires!$N$566:$O$571,2,FALSE)),,VLOOKUP($Y18,Utilitaires!$N$566:$O$571,2,FALSE)),$Z18)</f>
        <v>0</v>
      </c>
      <c r="BI18" s="1124">
        <f>IF(ISNA(SQRT(SUMSQ(VLOOKUP($B18&amp;"; "&amp;$H$15&amp;", "&amp;H$16,'FE Fret'!$G:$U,7,FALSE),$BH18))),0,SQRT(SUMSQ(VLOOKUP($B18&amp;"; "&amp;$H$15&amp;", "&amp;$H$16,'FE Fret'!$G:$U,7,FALSE),$BH18)))</f>
        <v>0.05</v>
      </c>
      <c r="BJ18" s="1068">
        <f>IF(ISNA(SQRT(SUMSQ(VLOOKUP($B18&amp;"; "&amp;$K$15&amp;", "&amp;$K$16,'FE Fret'!$G:$U,7,FALSE),$BH18))),0,SQRT(SUMSQ(VLOOKUP($B18&amp;"; "&amp;$K$15&amp;", "&amp;$K$16,'FE Fret'!$G:$U,7,FALSE),$BH18)))</f>
        <v>0.05</v>
      </c>
      <c r="BK18" s="1068">
        <f>IF(ISNA(SQRT(SUMSQ(VLOOKUP($B18&amp;"; "&amp;$N$15&amp;", "&amp;$N$16,'FE Fret'!$G:$U,7,FALSE),$BH18))),0,SQRT(SUMSQ(VLOOKUP($B18&amp;"; "&amp;$N$15&amp;", "&amp;$N$16,'FE Fret'!$G:$U,7,FALSE),$BH18)))</f>
        <v>0.05</v>
      </c>
      <c r="BL18" s="1068">
        <f>IF(ISNA(SQRT(SUMSQ(VLOOKUP($B18&amp;"; "&amp;$Q$15&amp;", "&amp;$Q$16,'FE Fret'!$G:$U,7,FALSE),$BH18))),0,SQRT(SUMSQ(VLOOKUP($B18&amp;"; "&amp;$Q$15&amp;", "&amp;$Q$16,'FE Fret'!$G:$U,7,FALSE),$BH18)))</f>
        <v>0.1</v>
      </c>
      <c r="BM18" s="1124">
        <f>IF(ISNA(SQRT(SUMSQ(VLOOKUP($B18&amp;"; "&amp;$H$15&amp;", "&amp;I$16,'FE Fret'!$G:$U,7,FALSE),$BH18))),0,SQRT(SUMSQ(VLOOKUP($B18&amp;"; "&amp;$H$15&amp;", "&amp;$I$16,'FE Fret'!$G:$U,7,FALSE),$BH18)))</f>
        <v>0.05</v>
      </c>
      <c r="BN18" s="1068">
        <f>IF(ISNA(SQRT(SUMSQ(VLOOKUP($B18&amp;"; "&amp;$K$15&amp;", "&amp;$L$16,'FE Fret'!$G:$U,7,FALSE),$BH18))),0,SQRT(SUMSQ(VLOOKUP($B18&amp;"; "&amp;$K$15&amp;", "&amp;$L$16,'FE Fret'!$G:$U,7,FALSE),$BH18)))</f>
        <v>0.05</v>
      </c>
      <c r="BO18" s="1068">
        <f>IF(ISNA(SQRT(SUMSQ(VLOOKUP($B18&amp;"; "&amp;$N$15&amp;", "&amp;$O$16,'FE Fret'!$G:$U,7,FALSE),$BH18))),0,SQRT(SUMSQ(VLOOKUP($B18&amp;"; "&amp;$N$15&amp;", "&amp;$O$16,'FE Fret'!$G:$U,7,FALSE),$BH18)))</f>
        <v>0.05</v>
      </c>
      <c r="BP18" s="1125">
        <f>IF(ISNA(SQRT(SUMSQ(VLOOKUP($B18&amp;"; "&amp;$Q$15&amp;", "&amp;$R$16,'FE Fret'!$G:$U,7,FALSE),$BH18))),0,SQRT(SUMSQ(VLOOKUP($B18&amp;"; "&amp;$Q$15&amp;", "&amp;$R$16,'FE Fret'!$G:$U,7,FALSE),$BH18)))</f>
        <v>0.1</v>
      </c>
    </row>
    <row r="19" spans="2:68" outlineLevel="2">
      <c r="B19" s="143" t="s">
        <v>5162</v>
      </c>
      <c r="C19" s="144"/>
      <c r="D19" s="212">
        <f t="shared" si="0"/>
        <v>0</v>
      </c>
      <c r="E19" s="212"/>
      <c r="F19" s="120"/>
      <c r="G19" s="120"/>
      <c r="H19" s="335" t="e">
        <f>VLOOKUP($B19&amp;"; "&amp;$H$15&amp;", "&amp;H$16,'FE Fret'!$G:$U,9,FALSE)</f>
        <v>#N/A</v>
      </c>
      <c r="I19" s="335" t="e">
        <f>VLOOKUP($B19&amp;"; "&amp;$H$15&amp;", "&amp;I$16,'FE Fret'!$G:$U,9,FALSE)</f>
        <v>#N/A</v>
      </c>
      <c r="J19" s="120"/>
      <c r="K19" s="335">
        <f>VLOOKUP($B19&amp;"; "&amp;$K$15&amp;", "&amp;K$16,'FE Fret'!$G:$U,9,FALSE)</f>
        <v>4.2799999999999998E-2</v>
      </c>
      <c r="L19" s="335">
        <f>VLOOKUP($B19&amp;"; "&amp;$K$15&amp;", "&amp;L$16,'FE Fret'!$G:$U,9,FALSE)</f>
        <v>0.187</v>
      </c>
      <c r="M19" s="120"/>
      <c r="N19" s="335">
        <f>VLOOKUP($B19&amp;"; "&amp;$N$15&amp;", "&amp;N$16,'FE Fret'!$G:$U,9,FALSE)</f>
        <v>497</v>
      </c>
      <c r="O19" s="335">
        <f>VLOOKUP($B19&amp;"; "&amp;$N$15&amp;", "&amp;O$16,'FE Fret'!$G:$U,9,FALSE)</f>
        <v>2180</v>
      </c>
      <c r="P19" s="120"/>
      <c r="Q19" s="335" t="e">
        <f>VLOOKUP($B19&amp;"; "&amp;$Q$15&amp;", "&amp;Q$16,'FE Fret'!$G:$U,9,FALSE)</f>
        <v>#N/A</v>
      </c>
      <c r="R19" s="335" t="e">
        <f>VLOOKUP($B19&amp;"; "&amp;$Q$15&amp;", "&amp;R$16,'FE Fret'!$G:$U,9,FALSE)</f>
        <v>#N/A</v>
      </c>
      <c r="S19" s="356">
        <f t="shared" si="1"/>
        <v>0</v>
      </c>
      <c r="T19" s="356">
        <f t="shared" si="1"/>
        <v>0</v>
      </c>
      <c r="U19" s="165">
        <f>IF(OR(F19=Utilitaires!$I$572,F19=Utilitaires!$I$577),T19,0)</f>
        <v>0</v>
      </c>
      <c r="X19" s="1092">
        <f t="shared" si="2"/>
        <v>0</v>
      </c>
      <c r="Y19" s="343"/>
      <c r="Z19" s="820"/>
      <c r="AA19" s="164">
        <f t="shared" si="3"/>
        <v>0</v>
      </c>
      <c r="AB19" s="164">
        <f t="shared" si="4"/>
        <v>0</v>
      </c>
      <c r="AC19" s="164"/>
      <c r="AD19" s="151"/>
      <c r="AE19" s="151">
        <f t="shared" si="5"/>
        <v>0</v>
      </c>
      <c r="AF19" s="1286">
        <f t="shared" si="6"/>
        <v>0</v>
      </c>
      <c r="AG19" s="116"/>
      <c r="AH19" s="564">
        <f>$G19*IF(ISNA(VLOOKUP($B19&amp;"; "&amp;$H$15&amp;", "&amp;H$16,'FE Fret'!$G:$U,10,FALSE)),0,VLOOKUP($B19&amp;"; "&amp;$H$15&amp;", "&amp;H$16,'FE Fret'!$G:$U,10,FALSE))
+$J19*IF(ISNA(VLOOKUP($B19&amp;"; "&amp;$K$15&amp;", "&amp;H$16,'FE Fret'!$G:$U,10,FALSE)),0,VLOOKUP($B19&amp;"; "&amp;$K$15&amp;", "&amp;H$16,'FE Fret'!$G:$U,10,FALSE))
+$M19*IF(ISNA(VLOOKUP($B19&amp;"; "&amp;$N$15&amp;", "&amp;H$16,'FE Fret'!$G:$U,10,FALSE)),0,VLOOKUP($B19&amp;"; "&amp;$N$15&amp;", "&amp;H$16,'FE Fret'!$G:$U,10,FALSE))
+$P19*IF(ISNA(VLOOKUP($B19&amp;"; "&amp;$Q$15&amp;", "&amp;H$16,'FE Fret'!$G:$U,10,FALSE)),0,VLOOKUP($B19&amp;"; "&amp;$Q$15&amp;", "&amp;H$16,'FE Fret'!$G:$U,10,FALSE))</f>
        <v>0</v>
      </c>
      <c r="AI19" s="565">
        <f>$G19*IF(ISNA(VLOOKUP($B19&amp;"; "&amp;$H$15&amp;", "&amp;I$16,'FE Fret'!$G:$U,10,FALSE)),0,VLOOKUP($B19&amp;"; "&amp;$H$15&amp;", "&amp;I$16,'FE Fret'!$G:$U,10,FALSE))
+$J19*IF(ISNA(VLOOKUP($B19&amp;"; "&amp;$K$15&amp;", "&amp;I$16,'FE Fret'!$G:$U,10,FALSE)),0,VLOOKUP($B19&amp;"; "&amp;$K$15&amp;", "&amp;I$16,'FE Fret'!$G:$U,10,FALSE))
+$M19*IF(ISNA(VLOOKUP($B19&amp;"; "&amp;$N$15&amp;", "&amp;I$16,'FE Fret'!$G:$U,10,FALSE)),0,VLOOKUP($B19&amp;"; "&amp;$N$15&amp;", "&amp;I$16,'FE Fret'!$G:$U,10,FALSE))
+$P19*IF(ISNA(VLOOKUP($B19&amp;"; "&amp;$Q$15&amp;", "&amp;I$16,'FE Fret'!$G:$U,10,FALSE)),0,VLOOKUP($B19&amp;"; "&amp;$Q$15&amp;", "&amp;I$16,'FE Fret'!$G:$U,10,FALSE))</f>
        <v>0</v>
      </c>
      <c r="AJ19" s="565"/>
      <c r="AK19" s="565">
        <f>$G19*IF(ISNA((VLOOKUP($B19&amp;"; "&amp;$H$15&amp;", "&amp;H$16,'FE Fret'!$G:$U,12,FALSE)+VLOOKUP($B19&amp;"; "&amp;$H$15&amp;", "&amp;H$16,'FE Fret'!$G:$U,11,FALSE))),0,(VLOOKUP($B19&amp;"; "&amp;$H$15&amp;", "&amp;H$16,'FE Fret'!$G:$U,12,FALSE)+VLOOKUP($B19&amp;"; "&amp;$H$15&amp;", "&amp;H$16,'FE Fret'!$G:$U,11,FALSE)))
+$J19*IF(ISNA((VLOOKUP($B19&amp;"; "&amp;$K$15&amp;", "&amp;H$16,'FE Fret'!$G:$U,12,FALSE)+VLOOKUP($B19&amp;"; "&amp;$K$15&amp;", "&amp;H$16,'FE Fret'!$G:$U,11,FALSE))),0,(VLOOKUP($B19&amp;"; "&amp;$K$15&amp;", "&amp;H$16,'FE Fret'!$G:$U,12,FALSE)+VLOOKUP($B19&amp;"; "&amp;$K$15&amp;", "&amp;H$16,'FE Fret'!$G:$U,11,FALSE)))
+$M19*IF(ISNA((VLOOKUP($B19&amp;"; "&amp;$N$15&amp;", "&amp;H$16,'FE Fret'!$G:$U,12,FALSE)+VLOOKUP($B19&amp;"; "&amp;$N$15&amp;", "&amp;H$16,'FE Fret'!$G:$U,11,FALSE))),0,(VLOOKUP($B19&amp;"; "&amp;$N$15&amp;", "&amp;H$16,'FE Fret'!$G:$U,12,FALSE)+VLOOKUP($B19&amp;"; "&amp;$N$15&amp;", "&amp;H$16,'FE Fret'!$G:$U,11,FALSE)))
+$P19*IF(ISNA((VLOOKUP($B19&amp;"; "&amp;$Q$15&amp;", "&amp;H$16,'FE Fret'!$G:$U,12,FALSE)+VLOOKUP($B19&amp;"; "&amp;$Q$15&amp;", "&amp;H$16,'FE Fret'!$G:$U,11,FALSE))),0,(VLOOKUP($B19&amp;"; "&amp;$Q$15&amp;", "&amp;H$16,'FE Fret'!$G:$U,12,FALSE)+VLOOKUP($B19&amp;"; "&amp;$Q$15&amp;", "&amp;H$16,'FE Fret'!$G:$U,11,FALSE)))</f>
        <v>0</v>
      </c>
      <c r="AL19" s="565">
        <f>$G19*IF(ISNA((VLOOKUP($B19&amp;"; "&amp;$H$15&amp;", "&amp;I$16,'FE Fret'!$G:$U,12,FALSE)+VLOOKUP($B19&amp;"; "&amp;$H$15&amp;", "&amp;I$16,'FE Fret'!$G:$U,11,FALSE))),0,(VLOOKUP($B19&amp;"; "&amp;$H$15&amp;", "&amp;I$16,'FE Fret'!$G:$U,12,FALSE)+VLOOKUP($B19&amp;"; "&amp;$H$15&amp;", "&amp;I$16,'FE Fret'!$G:$U,11,FALSE)))
+$J19*IF(ISNA((VLOOKUP($B19&amp;"; "&amp;$K$15&amp;", "&amp;I$16,'FE Fret'!$G:$U,12,FALSE)+VLOOKUP($B19&amp;"; "&amp;$K$15&amp;", "&amp;I$16,'FE Fret'!$G:$U,11,FALSE))),0,(VLOOKUP($B19&amp;"; "&amp;$K$15&amp;", "&amp;I$16,'FE Fret'!$G:$U,12,FALSE)+VLOOKUP($B19&amp;"; "&amp;$K$15&amp;", "&amp;I$16,'FE Fret'!$G:$U,11,FALSE)))
+$M19*IF(ISNA((VLOOKUP($B19&amp;"; "&amp;$N$15&amp;", "&amp;I$16,'FE Fret'!$G:$U,12,FALSE)+VLOOKUP($B19&amp;"; "&amp;$N$15&amp;", "&amp;I$16,'FE Fret'!$G:$U,11,FALSE))),0,(VLOOKUP($B19&amp;"; "&amp;$N$15&amp;", "&amp;I$16,'FE Fret'!$G:$U,12,FALSE)+VLOOKUP($B19&amp;"; "&amp;$N$15&amp;", "&amp;I$16,'FE Fret'!$G:$U,11,FALSE)))
+$P19*IF(ISNA((VLOOKUP($B19&amp;"; "&amp;$Q$15&amp;", "&amp;I$16,'FE Fret'!$G:$U,12,FALSE)+VLOOKUP($B19&amp;"; "&amp;$Q$15&amp;", "&amp;I$16,'FE Fret'!$G:$U,11,FALSE))),0,(VLOOKUP($B19&amp;"; "&amp;$Q$15&amp;", "&amp;I$16,'FE Fret'!$G:$U,12,FALSE)+VLOOKUP($B19&amp;"; "&amp;$Q$15&amp;", "&amp;I$16,'FE Fret'!$G:$U,11,FALSE)))</f>
        <v>0</v>
      </c>
      <c r="AM19" s="565"/>
      <c r="AN19" s="565">
        <f>$G19*IF(ISNA(VLOOKUP($B19&amp;"; "&amp;$H$15&amp;", "&amp;H$16,'FE Fret'!$G:$U,13,FALSE)),0,VLOOKUP($B19&amp;"; "&amp;$H$15&amp;", "&amp;H$16,'FE Fret'!$G:$U,13,FALSE))
+$J19*IF(ISNA(VLOOKUP($B19&amp;"; "&amp;$K$15&amp;", "&amp;H$16,'FE Fret'!$G:$U,13,FALSE)),0,VLOOKUP($B19&amp;"; "&amp;$K$15&amp;", "&amp;H$16,'FE Fret'!$G:$U,13,FALSE))
+$M19*IF(ISNA(VLOOKUP($B19&amp;"; "&amp;$N$15&amp;", "&amp;H$16,'FE Fret'!$G:$U,13,FALSE)),0,VLOOKUP($B19&amp;"; "&amp;$N$15&amp;", "&amp;H$16,'FE Fret'!$G:$U,13,FALSE))
+$P19*IF(ISNA(VLOOKUP($B19&amp;"; "&amp;$Q$15&amp;", "&amp;H$16,'FE Fret'!$G:$U,13,FALSE)),0,VLOOKUP($B19&amp;"; "&amp;$Q$15&amp;", "&amp;H$16,'FE Fret'!$G:$U,13,FALSE))</f>
        <v>0</v>
      </c>
      <c r="AO19" s="565">
        <f>$G19*IF(ISNA(VLOOKUP($B19&amp;"; "&amp;$H$15&amp;", "&amp;I$16,'FE Fret'!$G:$U,13,FALSE)),0,VLOOKUP($B19&amp;"; "&amp;$H$15&amp;", "&amp;I$16,'FE Fret'!$G:$U,13,FALSE))
+$J19*IF(ISNA(VLOOKUP($B19&amp;"; "&amp;$K$15&amp;", "&amp;I$16,'FE Fret'!$G:$U,13,FALSE)),0,VLOOKUP($B19&amp;"; "&amp;$K$15&amp;", "&amp;I$16,'FE Fret'!$G:$U,13,FALSE))
+$M19*IF(ISNA(VLOOKUP($B19&amp;"; "&amp;$N$15&amp;", "&amp;I$16,'FE Fret'!$G:$U,13,FALSE)),0,VLOOKUP($B19&amp;"; "&amp;$N$15&amp;", "&amp;I$16,'FE Fret'!$G:$U,13,FALSE))
+$P19*IF(ISNA(VLOOKUP($B19&amp;"; "&amp;$Q$15&amp;", "&amp;I$16,'FE Fret'!$G:$U,13,FALSE)),0,VLOOKUP($B19&amp;"; "&amp;$Q$15&amp;", "&amp;I$16,'FE Fret'!$G:$U,13,FALSE))</f>
        <v>0</v>
      </c>
      <c r="AP19" s="565"/>
      <c r="AQ19" s="565">
        <v>0</v>
      </c>
      <c r="AR19" s="565">
        <v>0</v>
      </c>
      <c r="AS19" s="565"/>
      <c r="AT19" s="566">
        <f t="shared" si="7"/>
        <v>0</v>
      </c>
      <c r="AU19" s="566">
        <f t="shared" si="7"/>
        <v>0</v>
      </c>
      <c r="AV19" s="567"/>
      <c r="AW19" s="565">
        <f>$G19*IF(ISNA(VLOOKUP($B19&amp;"; "&amp;$H$15&amp;", "&amp;H$16,'FE Fret'!$G:$U,15,FALSE)),0,VLOOKUP($B19&amp;"; "&amp;$H$15&amp;", "&amp;H$16,'FE Fret'!$G:$U,15,FALSE))
+$J19*IF(ISNA(VLOOKUP($B19&amp;"; "&amp;$K$15&amp;", "&amp;H$16,'FE Fret'!$G:$U,15,FALSE)),0,VLOOKUP($B19&amp;"; "&amp;$K$15&amp;", "&amp;H$16,'FE Fret'!$G:$U,15,FALSE))
+$M19*IF(ISNA(VLOOKUP($B19&amp;"; "&amp;$N$15&amp;", "&amp;H$16,'FE Fret'!$G:$U,15,FALSE)),0,VLOOKUP($B19&amp;"; "&amp;$N$15&amp;", "&amp;H$16,'FE Fret'!$G:$U,15,FALSE))
+$P19*IF(ISNA(VLOOKUP($B19&amp;"; "&amp;$Q$15&amp;", "&amp;H$16,'FE Fret'!$G:$U,15,FALSE)),0,VLOOKUP($B19&amp;"; "&amp;$Q$15&amp;", "&amp;H$16,'FE Fret'!$G:$U,15,FALSE))</f>
        <v>0</v>
      </c>
      <c r="AX19" s="565">
        <f>$G19*IF(ISNA(VLOOKUP($B19&amp;"; "&amp;$H$15&amp;", "&amp;I$16,'FE Fret'!$G:$U,15,FALSE)),0,VLOOKUP($B19&amp;"; "&amp;$H$15&amp;", "&amp;I$16,'FE Fret'!$G:$U,15,FALSE))
+$J19*IF(ISNA(VLOOKUP($B19&amp;"; "&amp;$K$15&amp;", "&amp;I$16,'FE Fret'!$G:$U,15,FALSE)),0,VLOOKUP($B19&amp;"; "&amp;$K$15&amp;", "&amp;I$16,'FE Fret'!$G:$U,15,FALSE))
+$M19*IF(ISNA(VLOOKUP($B19&amp;"; "&amp;$N$15&amp;", "&amp;I$16,'FE Fret'!$G:$U,15,FALSE)),0,VLOOKUP($B19&amp;"; "&amp;$N$15&amp;", "&amp;I$16,'FE Fret'!$G:$U,15,FALSE))
+$P19*IF(ISNA(VLOOKUP($B19&amp;"; "&amp;$Q$15&amp;", "&amp;I$16,'FE Fret'!$G:$U,15,FALSE)),0,VLOOKUP($B19&amp;"; "&amp;$Q$15&amp;", "&amp;I$16,'FE Fret'!$G:$U,15,FALSE))</f>
        <v>0</v>
      </c>
      <c r="AY19" s="568"/>
      <c r="AZ19" s="2292"/>
      <c r="BA19" s="2292"/>
      <c r="BB19" s="2292"/>
      <c r="BC19" s="2292"/>
      <c r="BD19" s="2292"/>
      <c r="BE19" s="2292"/>
      <c r="BF19" s="2292"/>
      <c r="BH19" s="1065">
        <f>IF($Y19&lt;&gt;"votre valeur :",IF(ISNA(VLOOKUP($Y19,Utilitaires!$N$566:$O$571,2,FALSE)),,VLOOKUP($Y19,Utilitaires!$N$566:$O$571,2,FALSE)),$Z19)</f>
        <v>0</v>
      </c>
      <c r="BI19" s="1124">
        <f>IF(ISNA(SQRT(SUMSQ(VLOOKUP($B19&amp;"; "&amp;$H$15&amp;", "&amp;H$16,'FE Fret'!$G:$U,7,FALSE),$BH19))),0,SQRT(SUMSQ(VLOOKUP($B19&amp;"; "&amp;$H$15&amp;", "&amp;$H$16,'FE Fret'!$G:$U,7,FALSE),$BH19)))</f>
        <v>0</v>
      </c>
      <c r="BJ19" s="1068">
        <f>IF(ISNA(SQRT(SUMSQ(VLOOKUP($B19&amp;"; "&amp;$K$15&amp;", "&amp;$K$16,'FE Fret'!$G:$U,7,FALSE),$BH19))),0,SQRT(SUMSQ(VLOOKUP($B19&amp;"; "&amp;$K$15&amp;", "&amp;$K$16,'FE Fret'!$G:$U,7,FALSE),$BH19)))</f>
        <v>0.1</v>
      </c>
      <c r="BK19" s="1068">
        <f>IF(ISNA(SQRT(SUMSQ(VLOOKUP($B19&amp;"; "&amp;$N$15&amp;", "&amp;$N$16,'FE Fret'!$G:$U,7,FALSE),$BH19))),0,SQRT(SUMSQ(VLOOKUP($B19&amp;"; "&amp;$N$15&amp;", "&amp;$N$16,'FE Fret'!$G:$U,7,FALSE),$BH19)))</f>
        <v>0.1</v>
      </c>
      <c r="BL19" s="1068">
        <f>IF(ISNA(SQRT(SUMSQ(VLOOKUP($B19&amp;"; "&amp;$Q$15&amp;", "&amp;$Q$16,'FE Fret'!$G:$U,7,FALSE),$BH19))),0,SQRT(SUMSQ(VLOOKUP($B19&amp;"; "&amp;$Q$15&amp;", "&amp;$Q$16,'FE Fret'!$G:$U,7,FALSE),$BH19)))</f>
        <v>0</v>
      </c>
      <c r="BM19" s="1124">
        <f>IF(ISNA(SQRT(SUMSQ(VLOOKUP($B19&amp;"; "&amp;$H$15&amp;", "&amp;I$16,'FE Fret'!$G:$U,7,FALSE),$BH19))),0,SQRT(SUMSQ(VLOOKUP($B19&amp;"; "&amp;$H$15&amp;", "&amp;$I$16,'FE Fret'!$G:$U,7,FALSE),$BH19)))</f>
        <v>0</v>
      </c>
      <c r="BN19" s="1068">
        <f>IF(ISNA(SQRT(SUMSQ(VLOOKUP($B19&amp;"; "&amp;$K$15&amp;", "&amp;$L$16,'FE Fret'!$G:$U,7,FALSE),$BH19))),0,SQRT(SUMSQ(VLOOKUP($B19&amp;"; "&amp;$K$15&amp;", "&amp;$L$16,'FE Fret'!$G:$U,7,FALSE),$BH19)))</f>
        <v>0.1</v>
      </c>
      <c r="BO19" s="1068">
        <f>IF(ISNA(SQRT(SUMSQ(VLOOKUP($B19&amp;"; "&amp;$N$15&amp;", "&amp;$O$16,'FE Fret'!$G:$U,7,FALSE),$BH19))),0,SQRT(SUMSQ(VLOOKUP($B19&amp;"; "&amp;$N$15&amp;", "&amp;$O$16,'FE Fret'!$G:$U,7,FALSE),$BH19)))</f>
        <v>0.1</v>
      </c>
      <c r="BP19" s="1125">
        <f>IF(ISNA(SQRT(SUMSQ(VLOOKUP($B19&amp;"; "&amp;$Q$15&amp;", "&amp;$R$16,'FE Fret'!$G:$U,7,FALSE),$BH19))),0,SQRT(SUMSQ(VLOOKUP($B19&amp;"; "&amp;$Q$15&amp;", "&amp;$R$16,'FE Fret'!$G:$U,7,FALSE),$BH19)))</f>
        <v>0</v>
      </c>
    </row>
    <row r="20" spans="2:68" outlineLevel="2">
      <c r="B20" s="143" t="s">
        <v>5163</v>
      </c>
      <c r="C20" s="144"/>
      <c r="D20" s="212">
        <f t="shared" si="0"/>
        <v>0</v>
      </c>
      <c r="E20" s="212"/>
      <c r="F20" s="120"/>
      <c r="G20" s="120"/>
      <c r="H20" s="335">
        <f>VLOOKUP($B20&amp;"; "&amp;$H$15&amp;", "&amp;H$16,'FE Fret'!$G:$U,9,FALSE)</f>
        <v>8060</v>
      </c>
      <c r="I20" s="335" t="e">
        <f>VLOOKUP($B20&amp;"; "&amp;$H$15&amp;", "&amp;I$16,'FE Fret'!$G:$U,9,FALSE)</f>
        <v>#N/A</v>
      </c>
      <c r="J20" s="120"/>
      <c r="K20" s="335">
        <f>VLOOKUP($B20&amp;"; "&amp;$K$15&amp;", "&amp;K$16,'FE Fret'!$G:$U,9,FALSE)</f>
        <v>0.78</v>
      </c>
      <c r="L20" s="335" t="e">
        <f>VLOOKUP($B20&amp;"; "&amp;$K$15&amp;", "&amp;L$16,'FE Fret'!$G:$U,9,FALSE)</f>
        <v>#N/A</v>
      </c>
      <c r="M20" s="120"/>
      <c r="N20" s="335">
        <f>VLOOKUP($B20&amp;"; "&amp;$N$15&amp;", "&amp;N$16,'FE Fret'!$G:$U,9,FALSE)</f>
        <v>9070</v>
      </c>
      <c r="O20" s="335" t="e">
        <f>VLOOKUP($B20&amp;"; "&amp;$N$15&amp;", "&amp;O$16,'FE Fret'!$G:$U,9,FALSE)</f>
        <v>#N/A</v>
      </c>
      <c r="P20" s="120"/>
      <c r="Q20" s="335">
        <f>VLOOKUP($B20&amp;"; "&amp;$Q$15&amp;", "&amp;Q$16,'FE Fret'!$G:$U,9,FALSE)</f>
        <v>7.17</v>
      </c>
      <c r="R20" s="335" t="e">
        <f>VLOOKUP($B20&amp;"; "&amp;$Q$15&amp;", "&amp;R$16,'FE Fret'!$G:$U,9,FALSE)</f>
        <v>#N/A</v>
      </c>
      <c r="S20" s="356">
        <f t="shared" si="1"/>
        <v>0</v>
      </c>
      <c r="T20" s="356">
        <f t="shared" si="1"/>
        <v>0</v>
      </c>
      <c r="U20" s="165">
        <f>IF(OR(F20=Utilitaires!$I$572,F20=Utilitaires!$I$577),T20,0)</f>
        <v>0</v>
      </c>
      <c r="X20" s="1092">
        <f t="shared" si="2"/>
        <v>0</v>
      </c>
      <c r="Y20" s="343"/>
      <c r="Z20" s="820"/>
      <c r="AA20" s="164">
        <f t="shared" si="3"/>
        <v>0</v>
      </c>
      <c r="AB20" s="164">
        <f t="shared" si="4"/>
        <v>0</v>
      </c>
      <c r="AC20" s="164"/>
      <c r="AD20" s="151"/>
      <c r="AE20" s="151">
        <f t="shared" si="5"/>
        <v>0</v>
      </c>
      <c r="AF20" s="1286">
        <f t="shared" si="6"/>
        <v>0</v>
      </c>
      <c r="AG20" s="116"/>
      <c r="AH20" s="564">
        <f>$G20*IF(ISNA(VLOOKUP($B20&amp;"; "&amp;$H$15&amp;", "&amp;H$16,'FE Fret'!$G:$U,10,FALSE)),0,VLOOKUP($B20&amp;"; "&amp;$H$15&amp;", "&amp;H$16,'FE Fret'!$G:$U,10,FALSE))
+$J20*IF(ISNA(VLOOKUP($B20&amp;"; "&amp;$K$15&amp;", "&amp;H$16,'FE Fret'!$G:$U,10,FALSE)),0,VLOOKUP($B20&amp;"; "&amp;$K$15&amp;", "&amp;H$16,'FE Fret'!$G:$U,10,FALSE))
+$M20*IF(ISNA(VLOOKUP($B20&amp;"; "&amp;$N$15&amp;", "&amp;H$16,'FE Fret'!$G:$U,10,FALSE)),0,VLOOKUP($B20&amp;"; "&amp;$N$15&amp;", "&amp;H$16,'FE Fret'!$G:$U,10,FALSE))
+$P20*IF(ISNA(VLOOKUP($B20&amp;"; "&amp;$Q$15&amp;", "&amp;H$16,'FE Fret'!$G:$U,10,FALSE)),0,VLOOKUP($B20&amp;"; "&amp;$Q$15&amp;", "&amp;H$16,'FE Fret'!$G:$U,10,FALSE))</f>
        <v>0</v>
      </c>
      <c r="AI20" s="565">
        <f>$G20*IF(ISNA(VLOOKUP($B20&amp;"; "&amp;$H$15&amp;", "&amp;I$16,'FE Fret'!$G:$U,10,FALSE)),0,VLOOKUP($B20&amp;"; "&amp;$H$15&amp;", "&amp;I$16,'FE Fret'!$G:$U,10,FALSE))
+$J20*IF(ISNA(VLOOKUP($B20&amp;"; "&amp;$K$15&amp;", "&amp;I$16,'FE Fret'!$G:$U,10,FALSE)),0,VLOOKUP($B20&amp;"; "&amp;$K$15&amp;", "&amp;I$16,'FE Fret'!$G:$U,10,FALSE))
+$M20*IF(ISNA(VLOOKUP($B20&amp;"; "&amp;$N$15&amp;", "&amp;I$16,'FE Fret'!$G:$U,10,FALSE)),0,VLOOKUP($B20&amp;"; "&amp;$N$15&amp;", "&amp;I$16,'FE Fret'!$G:$U,10,FALSE))
+$P20*IF(ISNA(VLOOKUP($B20&amp;"; "&amp;$Q$15&amp;", "&amp;I$16,'FE Fret'!$G:$U,10,FALSE)),0,VLOOKUP($B20&amp;"; "&amp;$Q$15&amp;", "&amp;I$16,'FE Fret'!$G:$U,10,FALSE))</f>
        <v>0</v>
      </c>
      <c r="AJ20" s="565"/>
      <c r="AK20" s="565">
        <f>$G20*IF(ISNA((VLOOKUP($B20&amp;"; "&amp;$H$15&amp;", "&amp;H$16,'FE Fret'!$G:$U,12,FALSE)+VLOOKUP($B20&amp;"; "&amp;$H$15&amp;", "&amp;H$16,'FE Fret'!$G:$U,11,FALSE))),0,(VLOOKUP($B20&amp;"; "&amp;$H$15&amp;", "&amp;H$16,'FE Fret'!$G:$U,12,FALSE)+VLOOKUP($B20&amp;"; "&amp;$H$15&amp;", "&amp;H$16,'FE Fret'!$G:$U,11,FALSE)))
+$J20*IF(ISNA((VLOOKUP($B20&amp;"; "&amp;$K$15&amp;", "&amp;H$16,'FE Fret'!$G:$U,12,FALSE)+VLOOKUP($B20&amp;"; "&amp;$K$15&amp;", "&amp;H$16,'FE Fret'!$G:$U,11,FALSE))),0,(VLOOKUP($B20&amp;"; "&amp;$K$15&amp;", "&amp;H$16,'FE Fret'!$G:$U,12,FALSE)+VLOOKUP($B20&amp;"; "&amp;$K$15&amp;", "&amp;H$16,'FE Fret'!$G:$U,11,FALSE)))
+$M20*IF(ISNA((VLOOKUP($B20&amp;"; "&amp;$N$15&amp;", "&amp;H$16,'FE Fret'!$G:$U,12,FALSE)+VLOOKUP($B20&amp;"; "&amp;$N$15&amp;", "&amp;H$16,'FE Fret'!$G:$U,11,FALSE))),0,(VLOOKUP($B20&amp;"; "&amp;$N$15&amp;", "&amp;H$16,'FE Fret'!$G:$U,12,FALSE)+VLOOKUP($B20&amp;"; "&amp;$N$15&amp;", "&amp;H$16,'FE Fret'!$G:$U,11,FALSE)))
+$P20*IF(ISNA((VLOOKUP($B20&amp;"; "&amp;$Q$15&amp;", "&amp;H$16,'FE Fret'!$G:$U,12,FALSE)+VLOOKUP($B20&amp;"; "&amp;$Q$15&amp;", "&amp;H$16,'FE Fret'!$G:$U,11,FALSE))),0,(VLOOKUP($B20&amp;"; "&amp;$Q$15&amp;", "&amp;H$16,'FE Fret'!$G:$U,12,FALSE)+VLOOKUP($B20&amp;"; "&amp;$Q$15&amp;", "&amp;H$16,'FE Fret'!$G:$U,11,FALSE)))</f>
        <v>0</v>
      </c>
      <c r="AL20" s="565">
        <f>$G20*IF(ISNA((VLOOKUP($B20&amp;"; "&amp;$H$15&amp;", "&amp;I$16,'FE Fret'!$G:$U,12,FALSE)+VLOOKUP($B20&amp;"; "&amp;$H$15&amp;", "&amp;I$16,'FE Fret'!$G:$U,11,FALSE))),0,(VLOOKUP($B20&amp;"; "&amp;$H$15&amp;", "&amp;I$16,'FE Fret'!$G:$U,12,FALSE)+VLOOKUP($B20&amp;"; "&amp;$H$15&amp;", "&amp;I$16,'FE Fret'!$G:$U,11,FALSE)))
+$J20*IF(ISNA((VLOOKUP($B20&amp;"; "&amp;$K$15&amp;", "&amp;I$16,'FE Fret'!$G:$U,12,FALSE)+VLOOKUP($B20&amp;"; "&amp;$K$15&amp;", "&amp;I$16,'FE Fret'!$G:$U,11,FALSE))),0,(VLOOKUP($B20&amp;"; "&amp;$K$15&amp;", "&amp;I$16,'FE Fret'!$G:$U,12,FALSE)+VLOOKUP($B20&amp;"; "&amp;$K$15&amp;", "&amp;I$16,'FE Fret'!$G:$U,11,FALSE)))
+$M20*IF(ISNA((VLOOKUP($B20&amp;"; "&amp;$N$15&amp;", "&amp;I$16,'FE Fret'!$G:$U,12,FALSE)+VLOOKUP($B20&amp;"; "&amp;$N$15&amp;", "&amp;I$16,'FE Fret'!$G:$U,11,FALSE))),0,(VLOOKUP($B20&amp;"; "&amp;$N$15&amp;", "&amp;I$16,'FE Fret'!$G:$U,12,FALSE)+VLOOKUP($B20&amp;"; "&amp;$N$15&amp;", "&amp;I$16,'FE Fret'!$G:$U,11,FALSE)))
+$P20*IF(ISNA((VLOOKUP($B20&amp;"; "&amp;$Q$15&amp;", "&amp;I$16,'FE Fret'!$G:$U,12,FALSE)+VLOOKUP($B20&amp;"; "&amp;$Q$15&amp;", "&amp;I$16,'FE Fret'!$G:$U,11,FALSE))),0,(VLOOKUP($B20&amp;"; "&amp;$Q$15&amp;", "&amp;I$16,'FE Fret'!$G:$U,12,FALSE)+VLOOKUP($B20&amp;"; "&amp;$Q$15&amp;", "&amp;I$16,'FE Fret'!$G:$U,11,FALSE)))</f>
        <v>0</v>
      </c>
      <c r="AM20" s="565"/>
      <c r="AN20" s="565">
        <f>$G20*IF(ISNA(VLOOKUP($B20&amp;"; "&amp;$H$15&amp;", "&amp;H$16,'FE Fret'!$G:$U,13,FALSE)),0,VLOOKUP($B20&amp;"; "&amp;$H$15&amp;", "&amp;H$16,'FE Fret'!$G:$U,13,FALSE))
+$J20*IF(ISNA(VLOOKUP($B20&amp;"; "&amp;$K$15&amp;", "&amp;H$16,'FE Fret'!$G:$U,13,FALSE)),0,VLOOKUP($B20&amp;"; "&amp;$K$15&amp;", "&amp;H$16,'FE Fret'!$G:$U,13,FALSE))
+$M20*IF(ISNA(VLOOKUP($B20&amp;"; "&amp;$N$15&amp;", "&amp;H$16,'FE Fret'!$G:$U,13,FALSE)),0,VLOOKUP($B20&amp;"; "&amp;$N$15&amp;", "&amp;H$16,'FE Fret'!$G:$U,13,FALSE))
+$P20*IF(ISNA(VLOOKUP($B20&amp;"; "&amp;$Q$15&amp;", "&amp;H$16,'FE Fret'!$G:$U,13,FALSE)),0,VLOOKUP($B20&amp;"; "&amp;$Q$15&amp;", "&amp;H$16,'FE Fret'!$G:$U,13,FALSE))</f>
        <v>0</v>
      </c>
      <c r="AO20" s="565">
        <f>$G20*IF(ISNA(VLOOKUP($B20&amp;"; "&amp;$H$15&amp;", "&amp;I$16,'FE Fret'!$G:$U,13,FALSE)),0,VLOOKUP($B20&amp;"; "&amp;$H$15&amp;", "&amp;I$16,'FE Fret'!$G:$U,13,FALSE))
+$J20*IF(ISNA(VLOOKUP($B20&amp;"; "&amp;$K$15&amp;", "&amp;I$16,'FE Fret'!$G:$U,13,FALSE)),0,VLOOKUP($B20&amp;"; "&amp;$K$15&amp;", "&amp;I$16,'FE Fret'!$G:$U,13,FALSE))
+$M20*IF(ISNA(VLOOKUP($B20&amp;"; "&amp;$N$15&amp;", "&amp;I$16,'FE Fret'!$G:$U,13,FALSE)),0,VLOOKUP($B20&amp;"; "&amp;$N$15&amp;", "&amp;I$16,'FE Fret'!$G:$U,13,FALSE))
+$P20*IF(ISNA(VLOOKUP($B20&amp;"; "&amp;$Q$15&amp;", "&amp;I$16,'FE Fret'!$G:$U,13,FALSE)),0,VLOOKUP($B20&amp;"; "&amp;$Q$15&amp;", "&amp;I$16,'FE Fret'!$G:$U,13,FALSE))</f>
        <v>0</v>
      </c>
      <c r="AP20" s="565"/>
      <c r="AQ20" s="565">
        <v>0</v>
      </c>
      <c r="AR20" s="565">
        <v>0</v>
      </c>
      <c r="AS20" s="565"/>
      <c r="AT20" s="566">
        <f t="shared" si="7"/>
        <v>0</v>
      </c>
      <c r="AU20" s="566">
        <f t="shared" si="7"/>
        <v>0</v>
      </c>
      <c r="AV20" s="567"/>
      <c r="AW20" s="565">
        <f>$G20*IF(ISNA(VLOOKUP($B20&amp;"; "&amp;$H$15&amp;", "&amp;H$16,'FE Fret'!$G:$U,15,FALSE)),0,VLOOKUP($B20&amp;"; "&amp;$H$15&amp;", "&amp;H$16,'FE Fret'!$G:$U,15,FALSE))
+$J20*IF(ISNA(VLOOKUP($B20&amp;"; "&amp;$K$15&amp;", "&amp;H$16,'FE Fret'!$G:$U,15,FALSE)),0,VLOOKUP($B20&amp;"; "&amp;$K$15&amp;", "&amp;H$16,'FE Fret'!$G:$U,15,FALSE))
+$M20*IF(ISNA(VLOOKUP($B20&amp;"; "&amp;$N$15&amp;", "&amp;H$16,'FE Fret'!$G:$U,15,FALSE)),0,VLOOKUP($B20&amp;"; "&amp;$N$15&amp;", "&amp;H$16,'FE Fret'!$G:$U,15,FALSE))
+$P20*IF(ISNA(VLOOKUP($B20&amp;"; "&amp;$Q$15&amp;", "&amp;H$16,'FE Fret'!$G:$U,15,FALSE)),0,VLOOKUP($B20&amp;"; "&amp;$Q$15&amp;", "&amp;H$16,'FE Fret'!$G:$U,15,FALSE))</f>
        <v>0</v>
      </c>
      <c r="AX20" s="565">
        <f>$G20*IF(ISNA(VLOOKUP($B20&amp;"; "&amp;$H$15&amp;", "&amp;I$16,'FE Fret'!$G:$U,15,FALSE)),0,VLOOKUP($B20&amp;"; "&amp;$H$15&amp;", "&amp;I$16,'FE Fret'!$G:$U,15,FALSE))
+$J20*IF(ISNA(VLOOKUP($B20&amp;"; "&amp;$K$15&amp;", "&amp;I$16,'FE Fret'!$G:$U,15,FALSE)),0,VLOOKUP($B20&amp;"; "&amp;$K$15&amp;", "&amp;I$16,'FE Fret'!$G:$U,15,FALSE))
+$M20*IF(ISNA(VLOOKUP($B20&amp;"; "&amp;$N$15&amp;", "&amp;I$16,'FE Fret'!$G:$U,15,FALSE)),0,VLOOKUP($B20&amp;"; "&amp;$N$15&amp;", "&amp;I$16,'FE Fret'!$G:$U,15,FALSE))
+$P20*IF(ISNA(VLOOKUP($B20&amp;"; "&amp;$Q$15&amp;", "&amp;I$16,'FE Fret'!$G:$U,15,FALSE)),0,VLOOKUP($B20&amp;"; "&amp;$Q$15&amp;", "&amp;I$16,'FE Fret'!$G:$U,15,FALSE))</f>
        <v>0</v>
      </c>
      <c r="AY20" s="568"/>
      <c r="AZ20" s="2292"/>
      <c r="BA20" s="2292"/>
      <c r="BB20" s="2292"/>
      <c r="BC20" s="2292"/>
      <c r="BD20" s="2292"/>
      <c r="BE20" s="2292"/>
      <c r="BF20" s="2292"/>
      <c r="BH20" s="1065">
        <f>IF($Y20&lt;&gt;"votre valeur :",IF(ISNA(VLOOKUP($Y20,Utilitaires!$N$566:$O$571,2,FALSE)),,VLOOKUP($Y20,Utilitaires!$N$566:$O$571,2,FALSE)),$Z20)</f>
        <v>0</v>
      </c>
      <c r="BI20" s="1124">
        <f>IF(ISNA(SQRT(SUMSQ(VLOOKUP($B20&amp;"; "&amp;$H$15&amp;", "&amp;H$16,'FE Fret'!$G:$U,7,FALSE),$BH20))),0,SQRT(SUMSQ(VLOOKUP($B20&amp;"; "&amp;$H$15&amp;", "&amp;$H$16,'FE Fret'!$G:$U,7,FALSE),$BH20)))</f>
        <v>0.2</v>
      </c>
      <c r="BJ20" s="1068">
        <f>IF(ISNA(SQRT(SUMSQ(VLOOKUP($B20&amp;"; "&amp;$K$15&amp;", "&amp;$K$16,'FE Fret'!$G:$U,7,FALSE),$BH20))),0,SQRT(SUMSQ(VLOOKUP($B20&amp;"; "&amp;$K$15&amp;", "&amp;$K$16,'FE Fret'!$G:$U,7,FALSE),$BH20)))</f>
        <v>0.2</v>
      </c>
      <c r="BK20" s="1068">
        <f>IF(ISNA(SQRT(SUMSQ(VLOOKUP($B20&amp;"; "&amp;$N$15&amp;", "&amp;$N$16,'FE Fret'!$G:$U,7,FALSE),$BH20))),0,SQRT(SUMSQ(VLOOKUP($B20&amp;"; "&amp;$N$15&amp;", "&amp;$N$16,'FE Fret'!$G:$U,7,FALSE),$BH20)))</f>
        <v>0.2</v>
      </c>
      <c r="BL20" s="1068">
        <f>IF(ISNA(SQRT(SUMSQ(VLOOKUP($B20&amp;"; "&amp;$Q$15&amp;", "&amp;$Q$16,'FE Fret'!$G:$U,7,FALSE),$BH20))),0,SQRT(SUMSQ(VLOOKUP($B20&amp;"; "&amp;$Q$15&amp;", "&amp;$Q$16,'FE Fret'!$G:$U,7,FALSE),$BH20)))</f>
        <v>0.2</v>
      </c>
      <c r="BM20" s="1124">
        <f>IF(ISNA(SQRT(SUMSQ(VLOOKUP($B20&amp;"; "&amp;$H$15&amp;", "&amp;I$16,'FE Fret'!$G:$U,7,FALSE),$BH20))),0,SQRT(SUMSQ(VLOOKUP($B20&amp;"; "&amp;$H$15&amp;", "&amp;$I$16,'FE Fret'!$G:$U,7,FALSE),$BH20)))</f>
        <v>0</v>
      </c>
      <c r="BN20" s="1068">
        <f>IF(ISNA(SQRT(SUMSQ(VLOOKUP($B20&amp;"; "&amp;$K$15&amp;", "&amp;$L$16,'FE Fret'!$G:$U,7,FALSE),$BH20))),0,SQRT(SUMSQ(VLOOKUP($B20&amp;"; "&amp;$K$15&amp;", "&amp;$L$16,'FE Fret'!$G:$U,7,FALSE),$BH20)))</f>
        <v>0</v>
      </c>
      <c r="BO20" s="1068">
        <f>IF(ISNA(SQRT(SUMSQ(VLOOKUP($B20&amp;"; "&amp;$N$15&amp;", "&amp;$O$16,'FE Fret'!$G:$U,7,FALSE),$BH20))),0,SQRT(SUMSQ(VLOOKUP($B20&amp;"; "&amp;$N$15&amp;", "&amp;$O$16,'FE Fret'!$G:$U,7,FALSE),$BH20)))</f>
        <v>0</v>
      </c>
      <c r="BP20" s="1125">
        <f>IF(ISNA(SQRT(SUMSQ(VLOOKUP($B20&amp;"; "&amp;$Q$15&amp;", "&amp;$R$16,'FE Fret'!$G:$U,7,FALSE),$BH20))),0,SQRT(SUMSQ(VLOOKUP($B20&amp;"; "&amp;$Q$15&amp;", "&amp;$R$16,'FE Fret'!$G:$U,7,FALSE),$BH20)))</f>
        <v>0</v>
      </c>
    </row>
    <row r="21" spans="2:68" outlineLevel="2">
      <c r="B21" s="143" t="s">
        <v>5164</v>
      </c>
      <c r="C21" s="144"/>
      <c r="D21" s="212">
        <f t="shared" si="0"/>
        <v>0</v>
      </c>
      <c r="E21" s="212"/>
      <c r="F21" s="120"/>
      <c r="G21" s="120"/>
      <c r="H21" s="335">
        <f>VLOOKUP($B21&amp;"; "&amp;$H$15&amp;", "&amp;H$16,'FE Fret'!$G:$U,9,FALSE)</f>
        <v>1130</v>
      </c>
      <c r="I21" s="335" t="e">
        <f>VLOOKUP($B21&amp;"; "&amp;$H$15&amp;", "&amp;I$16,'FE Fret'!$G:$U,9,FALSE)</f>
        <v>#N/A</v>
      </c>
      <c r="J21" s="120"/>
      <c r="K21" s="335">
        <f>VLOOKUP($B21&amp;"; "&amp;$K$15&amp;", "&amp;K$16,'FE Fret'!$G:$U,9,FALSE)</f>
        <v>0.11</v>
      </c>
      <c r="L21" s="335" t="e">
        <f>VLOOKUP($B21&amp;"; "&amp;$K$15&amp;", "&amp;L$16,'FE Fret'!$G:$U,9,FALSE)</f>
        <v>#N/A</v>
      </c>
      <c r="M21" s="120"/>
      <c r="N21" s="335">
        <f>VLOOKUP($B21&amp;"; "&amp;$N$15&amp;", "&amp;N$16,'FE Fret'!$G:$U,9,FALSE)</f>
        <v>1280</v>
      </c>
      <c r="O21" s="335" t="e">
        <f>VLOOKUP($B21&amp;"; "&amp;$N$15&amp;", "&amp;O$16,'FE Fret'!$G:$U,9,FALSE)</f>
        <v>#N/A</v>
      </c>
      <c r="P21" s="120"/>
      <c r="Q21" s="335">
        <f>VLOOKUP($B21&amp;"; "&amp;$Q$15&amp;", "&amp;Q$16,'FE Fret'!$G:$U,9,FALSE)</f>
        <v>1.01</v>
      </c>
      <c r="R21" s="335" t="e">
        <f>VLOOKUP($B21&amp;"; "&amp;$Q$15&amp;", "&amp;R$16,'FE Fret'!$G:$U,9,FALSE)</f>
        <v>#N/A</v>
      </c>
      <c r="S21" s="356">
        <f t="shared" si="1"/>
        <v>0</v>
      </c>
      <c r="T21" s="356">
        <f t="shared" si="1"/>
        <v>0</v>
      </c>
      <c r="U21" s="165">
        <f>IF(OR(F21=Utilitaires!$I$572,F21=Utilitaires!$I$577),T21,0)</f>
        <v>0</v>
      </c>
      <c r="X21" s="1092">
        <f t="shared" si="2"/>
        <v>0</v>
      </c>
      <c r="Y21" s="343"/>
      <c r="Z21" s="820"/>
      <c r="AA21" s="164">
        <f t="shared" si="3"/>
        <v>0</v>
      </c>
      <c r="AB21" s="164">
        <f t="shared" si="4"/>
        <v>0</v>
      </c>
      <c r="AC21" s="164"/>
      <c r="AD21" s="151"/>
      <c r="AE21" s="151">
        <f t="shared" si="5"/>
        <v>0</v>
      </c>
      <c r="AF21" s="1286">
        <f t="shared" si="6"/>
        <v>0</v>
      </c>
      <c r="AG21" s="116"/>
      <c r="AH21" s="564">
        <f>$G21*IF(ISNA(VLOOKUP($B21&amp;"; "&amp;$H$15&amp;", "&amp;H$16,'FE Fret'!$G:$U,10,FALSE)),0,VLOOKUP($B21&amp;"; "&amp;$H$15&amp;", "&amp;H$16,'FE Fret'!$G:$U,10,FALSE))
+$J21*IF(ISNA(VLOOKUP($B21&amp;"; "&amp;$K$15&amp;", "&amp;H$16,'FE Fret'!$G:$U,10,FALSE)),0,VLOOKUP($B21&amp;"; "&amp;$K$15&amp;", "&amp;H$16,'FE Fret'!$G:$U,10,FALSE))
+$M21*IF(ISNA(VLOOKUP($B21&amp;"; "&amp;$N$15&amp;", "&amp;H$16,'FE Fret'!$G:$U,10,FALSE)),0,VLOOKUP($B21&amp;"; "&amp;$N$15&amp;", "&amp;H$16,'FE Fret'!$G:$U,10,FALSE))
+$P21*IF(ISNA(VLOOKUP($B21&amp;"; "&amp;$Q$15&amp;", "&amp;H$16,'FE Fret'!$G:$U,10,FALSE)),0,VLOOKUP($B21&amp;"; "&amp;$Q$15&amp;", "&amp;H$16,'FE Fret'!$G:$U,10,FALSE))</f>
        <v>0</v>
      </c>
      <c r="AI21" s="565">
        <f>$G21*IF(ISNA(VLOOKUP($B21&amp;"; "&amp;$H$15&amp;", "&amp;I$16,'FE Fret'!$G:$U,10,FALSE)),0,VLOOKUP($B21&amp;"; "&amp;$H$15&amp;", "&amp;I$16,'FE Fret'!$G:$U,10,FALSE))
+$J21*IF(ISNA(VLOOKUP($B21&amp;"; "&amp;$K$15&amp;", "&amp;I$16,'FE Fret'!$G:$U,10,FALSE)),0,VLOOKUP($B21&amp;"; "&amp;$K$15&amp;", "&amp;I$16,'FE Fret'!$G:$U,10,FALSE))
+$M21*IF(ISNA(VLOOKUP($B21&amp;"; "&amp;$N$15&amp;", "&amp;I$16,'FE Fret'!$G:$U,10,FALSE)),0,VLOOKUP($B21&amp;"; "&amp;$N$15&amp;", "&amp;I$16,'FE Fret'!$G:$U,10,FALSE))
+$P21*IF(ISNA(VLOOKUP($B21&amp;"; "&amp;$Q$15&amp;", "&amp;I$16,'FE Fret'!$G:$U,10,FALSE)),0,VLOOKUP($B21&amp;"; "&amp;$Q$15&amp;", "&amp;I$16,'FE Fret'!$G:$U,10,FALSE))</f>
        <v>0</v>
      </c>
      <c r="AJ21" s="565"/>
      <c r="AK21" s="565">
        <f>$G21*IF(ISNA((VLOOKUP($B21&amp;"; "&amp;$H$15&amp;", "&amp;H$16,'FE Fret'!$G:$U,12,FALSE)+VLOOKUP($B21&amp;"; "&amp;$H$15&amp;", "&amp;H$16,'FE Fret'!$G:$U,11,FALSE))),0,(VLOOKUP($B21&amp;"; "&amp;$H$15&amp;", "&amp;H$16,'FE Fret'!$G:$U,12,FALSE)+VLOOKUP($B21&amp;"; "&amp;$H$15&amp;", "&amp;H$16,'FE Fret'!$G:$U,11,FALSE)))
+$J21*IF(ISNA((VLOOKUP($B21&amp;"; "&amp;$K$15&amp;", "&amp;H$16,'FE Fret'!$G:$U,12,FALSE)+VLOOKUP($B21&amp;"; "&amp;$K$15&amp;", "&amp;H$16,'FE Fret'!$G:$U,11,FALSE))),0,(VLOOKUP($B21&amp;"; "&amp;$K$15&amp;", "&amp;H$16,'FE Fret'!$G:$U,12,FALSE)+VLOOKUP($B21&amp;"; "&amp;$K$15&amp;", "&amp;H$16,'FE Fret'!$G:$U,11,FALSE)))
+$M21*IF(ISNA((VLOOKUP($B21&amp;"; "&amp;$N$15&amp;", "&amp;H$16,'FE Fret'!$G:$U,12,FALSE)+VLOOKUP($B21&amp;"; "&amp;$N$15&amp;", "&amp;H$16,'FE Fret'!$G:$U,11,FALSE))),0,(VLOOKUP($B21&amp;"; "&amp;$N$15&amp;", "&amp;H$16,'FE Fret'!$G:$U,12,FALSE)+VLOOKUP($B21&amp;"; "&amp;$N$15&amp;", "&amp;H$16,'FE Fret'!$G:$U,11,FALSE)))
+$P21*IF(ISNA((VLOOKUP($B21&amp;"; "&amp;$Q$15&amp;", "&amp;H$16,'FE Fret'!$G:$U,12,FALSE)+VLOOKUP($B21&amp;"; "&amp;$Q$15&amp;", "&amp;H$16,'FE Fret'!$G:$U,11,FALSE))),0,(VLOOKUP($B21&amp;"; "&amp;$Q$15&amp;", "&amp;H$16,'FE Fret'!$G:$U,12,FALSE)+VLOOKUP($B21&amp;"; "&amp;$Q$15&amp;", "&amp;H$16,'FE Fret'!$G:$U,11,FALSE)))</f>
        <v>0</v>
      </c>
      <c r="AL21" s="565">
        <f>$G21*IF(ISNA((VLOOKUP($B21&amp;"; "&amp;$H$15&amp;", "&amp;I$16,'FE Fret'!$G:$U,12,FALSE)+VLOOKUP($B21&amp;"; "&amp;$H$15&amp;", "&amp;I$16,'FE Fret'!$G:$U,11,FALSE))),0,(VLOOKUP($B21&amp;"; "&amp;$H$15&amp;", "&amp;I$16,'FE Fret'!$G:$U,12,FALSE)+VLOOKUP($B21&amp;"; "&amp;$H$15&amp;", "&amp;I$16,'FE Fret'!$G:$U,11,FALSE)))
+$J21*IF(ISNA((VLOOKUP($B21&amp;"; "&amp;$K$15&amp;", "&amp;I$16,'FE Fret'!$G:$U,12,FALSE)+VLOOKUP($B21&amp;"; "&amp;$K$15&amp;", "&amp;I$16,'FE Fret'!$G:$U,11,FALSE))),0,(VLOOKUP($B21&amp;"; "&amp;$K$15&amp;", "&amp;I$16,'FE Fret'!$G:$U,12,FALSE)+VLOOKUP($B21&amp;"; "&amp;$K$15&amp;", "&amp;I$16,'FE Fret'!$G:$U,11,FALSE)))
+$M21*IF(ISNA((VLOOKUP($B21&amp;"; "&amp;$N$15&amp;", "&amp;I$16,'FE Fret'!$G:$U,12,FALSE)+VLOOKUP($B21&amp;"; "&amp;$N$15&amp;", "&amp;I$16,'FE Fret'!$G:$U,11,FALSE))),0,(VLOOKUP($B21&amp;"; "&amp;$N$15&amp;", "&amp;I$16,'FE Fret'!$G:$U,12,FALSE)+VLOOKUP($B21&amp;"; "&amp;$N$15&amp;", "&amp;I$16,'FE Fret'!$G:$U,11,FALSE)))
+$P21*IF(ISNA((VLOOKUP($B21&amp;"; "&amp;$Q$15&amp;", "&amp;I$16,'FE Fret'!$G:$U,12,FALSE)+VLOOKUP($B21&amp;"; "&amp;$Q$15&amp;", "&amp;I$16,'FE Fret'!$G:$U,11,FALSE))),0,(VLOOKUP($B21&amp;"; "&amp;$Q$15&amp;", "&amp;I$16,'FE Fret'!$G:$U,12,FALSE)+VLOOKUP($B21&amp;"; "&amp;$Q$15&amp;", "&amp;I$16,'FE Fret'!$G:$U,11,FALSE)))</f>
        <v>0</v>
      </c>
      <c r="AM21" s="565"/>
      <c r="AN21" s="565">
        <f>$G21*IF(ISNA(VLOOKUP($B21&amp;"; "&amp;$H$15&amp;", "&amp;H$16,'FE Fret'!$G:$U,13,FALSE)),0,VLOOKUP($B21&amp;"; "&amp;$H$15&amp;", "&amp;H$16,'FE Fret'!$G:$U,13,FALSE))
+$J21*IF(ISNA(VLOOKUP($B21&amp;"; "&amp;$K$15&amp;", "&amp;H$16,'FE Fret'!$G:$U,13,FALSE)),0,VLOOKUP($B21&amp;"; "&amp;$K$15&amp;", "&amp;H$16,'FE Fret'!$G:$U,13,FALSE))
+$M21*IF(ISNA(VLOOKUP($B21&amp;"; "&amp;$N$15&amp;", "&amp;H$16,'FE Fret'!$G:$U,13,FALSE)),0,VLOOKUP($B21&amp;"; "&amp;$N$15&amp;", "&amp;H$16,'FE Fret'!$G:$U,13,FALSE))
+$P21*IF(ISNA(VLOOKUP($B21&amp;"; "&amp;$Q$15&amp;", "&amp;H$16,'FE Fret'!$G:$U,13,FALSE)),0,VLOOKUP($B21&amp;"; "&amp;$Q$15&amp;", "&amp;H$16,'FE Fret'!$G:$U,13,FALSE))</f>
        <v>0</v>
      </c>
      <c r="AO21" s="565">
        <f>$G21*IF(ISNA(VLOOKUP($B21&amp;"; "&amp;$H$15&amp;", "&amp;I$16,'FE Fret'!$G:$U,13,FALSE)),0,VLOOKUP($B21&amp;"; "&amp;$H$15&amp;", "&amp;I$16,'FE Fret'!$G:$U,13,FALSE))
+$J21*IF(ISNA(VLOOKUP($B21&amp;"; "&amp;$K$15&amp;", "&amp;I$16,'FE Fret'!$G:$U,13,FALSE)),0,VLOOKUP($B21&amp;"; "&amp;$K$15&amp;", "&amp;I$16,'FE Fret'!$G:$U,13,FALSE))
+$M21*IF(ISNA(VLOOKUP($B21&amp;"; "&amp;$N$15&amp;", "&amp;I$16,'FE Fret'!$G:$U,13,FALSE)),0,VLOOKUP($B21&amp;"; "&amp;$N$15&amp;", "&amp;I$16,'FE Fret'!$G:$U,13,FALSE))
+$P21*IF(ISNA(VLOOKUP($B21&amp;"; "&amp;$Q$15&amp;", "&amp;I$16,'FE Fret'!$G:$U,13,FALSE)),0,VLOOKUP($B21&amp;"; "&amp;$Q$15&amp;", "&amp;I$16,'FE Fret'!$G:$U,13,FALSE))</f>
        <v>0</v>
      </c>
      <c r="AP21" s="565"/>
      <c r="AQ21" s="565">
        <v>0</v>
      </c>
      <c r="AR21" s="565">
        <v>0</v>
      </c>
      <c r="AS21" s="565"/>
      <c r="AT21" s="566">
        <f t="shared" si="7"/>
        <v>0</v>
      </c>
      <c r="AU21" s="566">
        <f t="shared" si="7"/>
        <v>0</v>
      </c>
      <c r="AV21" s="567"/>
      <c r="AW21" s="565">
        <f>$G21*IF(ISNA(VLOOKUP($B21&amp;"; "&amp;$H$15&amp;", "&amp;H$16,'FE Fret'!$G:$U,15,FALSE)),0,VLOOKUP($B21&amp;"; "&amp;$H$15&amp;", "&amp;H$16,'FE Fret'!$G:$U,15,FALSE))
+$J21*IF(ISNA(VLOOKUP($B21&amp;"; "&amp;$K$15&amp;", "&amp;H$16,'FE Fret'!$G:$U,15,FALSE)),0,VLOOKUP($B21&amp;"; "&amp;$K$15&amp;", "&amp;H$16,'FE Fret'!$G:$U,15,FALSE))
+$M21*IF(ISNA(VLOOKUP($B21&amp;"; "&amp;$N$15&amp;", "&amp;H$16,'FE Fret'!$G:$U,15,FALSE)),0,VLOOKUP($B21&amp;"; "&amp;$N$15&amp;", "&amp;H$16,'FE Fret'!$G:$U,15,FALSE))
+$P21*IF(ISNA(VLOOKUP($B21&amp;"; "&amp;$Q$15&amp;", "&amp;H$16,'FE Fret'!$G:$U,15,FALSE)),0,VLOOKUP($B21&amp;"; "&amp;$Q$15&amp;", "&amp;H$16,'FE Fret'!$G:$U,15,FALSE))</f>
        <v>0</v>
      </c>
      <c r="AX21" s="565">
        <f>$G21*IF(ISNA(VLOOKUP($B21&amp;"; "&amp;$H$15&amp;", "&amp;I$16,'FE Fret'!$G:$U,15,FALSE)),0,VLOOKUP($B21&amp;"; "&amp;$H$15&amp;", "&amp;I$16,'FE Fret'!$G:$U,15,FALSE))
+$J21*IF(ISNA(VLOOKUP($B21&amp;"; "&amp;$K$15&amp;", "&amp;I$16,'FE Fret'!$G:$U,15,FALSE)),0,VLOOKUP($B21&amp;"; "&amp;$K$15&amp;", "&amp;I$16,'FE Fret'!$G:$U,15,FALSE))
+$M21*IF(ISNA(VLOOKUP($B21&amp;"; "&amp;$N$15&amp;", "&amp;I$16,'FE Fret'!$G:$U,15,FALSE)),0,VLOOKUP($B21&amp;"; "&amp;$N$15&amp;", "&amp;I$16,'FE Fret'!$G:$U,15,FALSE))
+$P21*IF(ISNA(VLOOKUP($B21&amp;"; "&amp;$Q$15&amp;", "&amp;I$16,'FE Fret'!$G:$U,15,FALSE)),0,VLOOKUP($B21&amp;"; "&amp;$Q$15&amp;", "&amp;I$16,'FE Fret'!$G:$U,15,FALSE))</f>
        <v>0</v>
      </c>
      <c r="AY21" s="568"/>
      <c r="AZ21" s="2292"/>
      <c r="BA21" s="2292"/>
      <c r="BB21" s="2292"/>
      <c r="BC21" s="2292"/>
      <c r="BD21" s="2292"/>
      <c r="BE21" s="2292"/>
      <c r="BF21" s="2292"/>
      <c r="BH21" s="1065">
        <f>IF($Y21&lt;&gt;"votre valeur :",IF(ISNA(VLOOKUP($Y21,Utilitaires!$N$566:$O$571,2,FALSE)),,VLOOKUP($Y21,Utilitaires!$N$566:$O$571,2,FALSE)),$Z21)</f>
        <v>0</v>
      </c>
      <c r="BI21" s="1124">
        <f>IF(ISNA(SQRT(SUMSQ(VLOOKUP($B21&amp;"; "&amp;$H$15&amp;", "&amp;H$16,'FE Fret'!$G:$U,7,FALSE),$BH21))),0,SQRT(SUMSQ(VLOOKUP($B21&amp;"; "&amp;$H$15&amp;", "&amp;$H$16,'FE Fret'!$G:$U,7,FALSE),$BH21)))</f>
        <v>0.2</v>
      </c>
      <c r="BJ21" s="1068">
        <f>IF(ISNA(SQRT(SUMSQ(VLOOKUP($B21&amp;"; "&amp;$K$15&amp;", "&amp;$K$16,'FE Fret'!$G:$U,7,FALSE),$BH21))),0,SQRT(SUMSQ(VLOOKUP($B21&amp;"; "&amp;$K$15&amp;", "&amp;$K$16,'FE Fret'!$G:$U,7,FALSE),$BH21)))</f>
        <v>0.2</v>
      </c>
      <c r="BK21" s="1068">
        <f>IF(ISNA(SQRT(SUMSQ(VLOOKUP($B21&amp;"; "&amp;$N$15&amp;", "&amp;$N$16,'FE Fret'!$G:$U,7,FALSE),$BH21))),0,SQRT(SUMSQ(VLOOKUP($B21&amp;"; "&amp;$N$15&amp;", "&amp;$N$16,'FE Fret'!$G:$U,7,FALSE),$BH21)))</f>
        <v>0.2</v>
      </c>
      <c r="BL21" s="1068">
        <f>IF(ISNA(SQRT(SUMSQ(VLOOKUP($B21&amp;"; "&amp;$Q$15&amp;", "&amp;$Q$16,'FE Fret'!$G:$U,7,FALSE),$BH21))),0,SQRT(SUMSQ(VLOOKUP($B21&amp;"; "&amp;$Q$15&amp;", "&amp;$Q$16,'FE Fret'!$G:$U,7,FALSE),$BH21)))</f>
        <v>0.2</v>
      </c>
      <c r="BM21" s="1124">
        <f>IF(ISNA(SQRT(SUMSQ(VLOOKUP($B21&amp;"; "&amp;$H$15&amp;", "&amp;I$16,'FE Fret'!$G:$U,7,FALSE),$BH21))),0,SQRT(SUMSQ(VLOOKUP($B21&amp;"; "&amp;$H$15&amp;", "&amp;$I$16,'FE Fret'!$G:$U,7,FALSE),$BH21)))</f>
        <v>0</v>
      </c>
      <c r="BN21" s="1068">
        <f>IF(ISNA(SQRT(SUMSQ(VLOOKUP($B21&amp;"; "&amp;$K$15&amp;", "&amp;$L$16,'FE Fret'!$G:$U,7,FALSE),$BH21))),0,SQRT(SUMSQ(VLOOKUP($B21&amp;"; "&amp;$K$15&amp;", "&amp;$L$16,'FE Fret'!$G:$U,7,FALSE),$BH21)))</f>
        <v>0</v>
      </c>
      <c r="BO21" s="1068">
        <f>IF(ISNA(SQRT(SUMSQ(VLOOKUP($B21&amp;"; "&amp;$N$15&amp;", "&amp;$O$16,'FE Fret'!$G:$U,7,FALSE),$BH21))),0,SQRT(SUMSQ(VLOOKUP($B21&amp;"; "&amp;$N$15&amp;", "&amp;$O$16,'FE Fret'!$G:$U,7,FALSE),$BH21)))</f>
        <v>0</v>
      </c>
      <c r="BP21" s="1125">
        <f>IF(ISNA(SQRT(SUMSQ(VLOOKUP($B21&amp;"; "&amp;$Q$15&amp;", "&amp;$R$16,'FE Fret'!$G:$U,7,FALSE),$BH21))),0,SQRT(SUMSQ(VLOOKUP($B21&amp;"; "&amp;$Q$15&amp;", "&amp;$R$16,'FE Fret'!$G:$U,7,FALSE),$BH21)))</f>
        <v>0</v>
      </c>
    </row>
    <row r="22" spans="2:68" outlineLevel="2">
      <c r="B22" s="143" t="s">
        <v>2253</v>
      </c>
      <c r="C22" s="144"/>
      <c r="D22" s="212">
        <f t="shared" si="0"/>
        <v>0</v>
      </c>
      <c r="E22" s="212"/>
      <c r="F22" s="123"/>
      <c r="G22" s="123"/>
      <c r="H22" s="335">
        <f>VLOOKUP($B22&amp;"; "&amp;$H$15&amp;", "&amp;H$16,'FE Fret'!$G:$U,9,FALSE)</f>
        <v>1070</v>
      </c>
      <c r="I22" s="335" t="e">
        <f>VLOOKUP($B22&amp;"; "&amp;$H$15&amp;", "&amp;I$16,'FE Fret'!$G:$U,9,FALSE)</f>
        <v>#N/A</v>
      </c>
      <c r="J22" s="123"/>
      <c r="K22" s="335">
        <f>VLOOKUP($B22&amp;"; "&amp;$K$15&amp;", "&amp;K$16,'FE Fret'!$G:$U,9,FALSE)</f>
        <v>0.14399999999999999</v>
      </c>
      <c r="L22" s="335" t="e">
        <f>VLOOKUP($B22&amp;"; "&amp;$K$15&amp;", "&amp;L$16,'FE Fret'!$G:$U,9,FALSE)</f>
        <v>#N/A</v>
      </c>
      <c r="M22" s="123"/>
      <c r="N22" s="335">
        <f>VLOOKUP($B22&amp;"; "&amp;$N$15&amp;", "&amp;N$16,'FE Fret'!$G:$U,9,FALSE)</f>
        <v>1670</v>
      </c>
      <c r="O22" s="335" t="e">
        <f>VLOOKUP($B22&amp;"; "&amp;$N$15&amp;", "&amp;O$16,'FE Fret'!$G:$U,9,FALSE)</f>
        <v>#N/A</v>
      </c>
      <c r="P22" s="123"/>
      <c r="Q22" s="335">
        <f>VLOOKUP($B22&amp;"; "&amp;$Q$15&amp;", "&amp;Q$16,'FE Fret'!$G:$U,9,FALSE)</f>
        <v>0.84799999999999998</v>
      </c>
      <c r="R22" s="335" t="e">
        <f>VLOOKUP($B22&amp;"; "&amp;$Q$15&amp;", "&amp;R$16,'FE Fret'!$G:$U,9,FALSE)</f>
        <v>#N/A</v>
      </c>
      <c r="S22" s="356">
        <f t="shared" si="1"/>
        <v>0</v>
      </c>
      <c r="T22" s="356">
        <f t="shared" si="1"/>
        <v>0</v>
      </c>
      <c r="U22" s="165">
        <f>IF(OR(F22=Utilitaires!$I$572,F22=Utilitaires!$I$577),T22,0)</f>
        <v>0</v>
      </c>
      <c r="X22" s="1092">
        <f t="shared" si="2"/>
        <v>0</v>
      </c>
      <c r="Y22" s="1218"/>
      <c r="Z22" s="820"/>
      <c r="AA22" s="164">
        <f t="shared" si="3"/>
        <v>0</v>
      </c>
      <c r="AB22" s="164">
        <f t="shared" si="4"/>
        <v>0</v>
      </c>
      <c r="AC22" s="164"/>
      <c r="AD22" s="151"/>
      <c r="AE22" s="151">
        <f t="shared" si="5"/>
        <v>0</v>
      </c>
      <c r="AF22" s="1286">
        <f t="shared" si="6"/>
        <v>0</v>
      </c>
      <c r="AG22" s="116"/>
      <c r="AH22" s="564">
        <f>$G22*IF(ISNA(VLOOKUP($B22&amp;"; "&amp;$H$15&amp;", "&amp;H$16,'FE Fret'!$G:$U,10,FALSE)),0,VLOOKUP($B22&amp;"; "&amp;$H$15&amp;", "&amp;H$16,'FE Fret'!$G:$U,10,FALSE))
+$J22*IF(ISNA(VLOOKUP($B22&amp;"; "&amp;$K$15&amp;", "&amp;H$16,'FE Fret'!$G:$U,10,FALSE)),0,VLOOKUP($B22&amp;"; "&amp;$K$15&amp;", "&amp;H$16,'FE Fret'!$G:$U,10,FALSE))
+$M22*IF(ISNA(VLOOKUP($B22&amp;"; "&amp;$N$15&amp;", "&amp;H$16,'FE Fret'!$G:$U,10,FALSE)),0,VLOOKUP($B22&amp;"; "&amp;$N$15&amp;", "&amp;H$16,'FE Fret'!$G:$U,10,FALSE))
+$P22*IF(ISNA(VLOOKUP($B22&amp;"; "&amp;$Q$15&amp;", "&amp;H$16,'FE Fret'!$G:$U,10,FALSE)),0,VLOOKUP($B22&amp;"; "&amp;$Q$15&amp;", "&amp;H$16,'FE Fret'!$G:$U,10,FALSE))</f>
        <v>0</v>
      </c>
      <c r="AI22" s="565">
        <f>$G22*IF(ISNA(VLOOKUP($B22&amp;"; "&amp;$H$15&amp;", "&amp;I$16,'FE Fret'!$G:$U,10,FALSE)),0,VLOOKUP($B22&amp;"; "&amp;$H$15&amp;", "&amp;I$16,'FE Fret'!$G:$U,10,FALSE))
+$J22*IF(ISNA(VLOOKUP($B22&amp;"; "&amp;$K$15&amp;", "&amp;I$16,'FE Fret'!$G:$U,10,FALSE)),0,VLOOKUP($B22&amp;"; "&amp;$K$15&amp;", "&amp;I$16,'FE Fret'!$G:$U,10,FALSE))
+$M22*IF(ISNA(VLOOKUP($B22&amp;"; "&amp;$N$15&amp;", "&amp;I$16,'FE Fret'!$G:$U,10,FALSE)),0,VLOOKUP($B22&amp;"; "&amp;$N$15&amp;", "&amp;I$16,'FE Fret'!$G:$U,10,FALSE))
+$P22*IF(ISNA(VLOOKUP($B22&amp;"; "&amp;$Q$15&amp;", "&amp;I$16,'FE Fret'!$G:$U,10,FALSE)),0,VLOOKUP($B22&amp;"; "&amp;$Q$15&amp;", "&amp;I$16,'FE Fret'!$G:$U,10,FALSE))</f>
        <v>0</v>
      </c>
      <c r="AJ22" s="565"/>
      <c r="AK22" s="565">
        <f>$G22*IF(ISNA((VLOOKUP($B22&amp;"; "&amp;$H$15&amp;", "&amp;H$16,'FE Fret'!$G:$U,12,FALSE)+VLOOKUP($B22&amp;"; "&amp;$H$15&amp;", "&amp;H$16,'FE Fret'!$G:$U,11,FALSE))),0,(VLOOKUP($B22&amp;"; "&amp;$H$15&amp;", "&amp;H$16,'FE Fret'!$G:$U,12,FALSE)+VLOOKUP($B22&amp;"; "&amp;$H$15&amp;", "&amp;H$16,'FE Fret'!$G:$U,11,FALSE)))
+$J22*IF(ISNA((VLOOKUP($B22&amp;"; "&amp;$K$15&amp;", "&amp;H$16,'FE Fret'!$G:$U,12,FALSE)+VLOOKUP($B22&amp;"; "&amp;$K$15&amp;", "&amp;H$16,'FE Fret'!$G:$U,11,FALSE))),0,(VLOOKUP($B22&amp;"; "&amp;$K$15&amp;", "&amp;H$16,'FE Fret'!$G:$U,12,FALSE)+VLOOKUP($B22&amp;"; "&amp;$K$15&amp;", "&amp;H$16,'FE Fret'!$G:$U,11,FALSE)))
+$M22*IF(ISNA((VLOOKUP($B22&amp;"; "&amp;$N$15&amp;", "&amp;H$16,'FE Fret'!$G:$U,12,FALSE)+VLOOKUP($B22&amp;"; "&amp;$N$15&amp;", "&amp;H$16,'FE Fret'!$G:$U,11,FALSE))),0,(VLOOKUP($B22&amp;"; "&amp;$N$15&amp;", "&amp;H$16,'FE Fret'!$G:$U,12,FALSE)+VLOOKUP($B22&amp;"; "&amp;$N$15&amp;", "&amp;H$16,'FE Fret'!$G:$U,11,FALSE)))
+$P22*IF(ISNA((VLOOKUP($B22&amp;"; "&amp;$Q$15&amp;", "&amp;H$16,'FE Fret'!$G:$U,12,FALSE)+VLOOKUP($B22&amp;"; "&amp;$Q$15&amp;", "&amp;H$16,'FE Fret'!$G:$U,11,FALSE))),0,(VLOOKUP($B22&amp;"; "&amp;$Q$15&amp;", "&amp;H$16,'FE Fret'!$G:$U,12,FALSE)+VLOOKUP($B22&amp;"; "&amp;$Q$15&amp;", "&amp;H$16,'FE Fret'!$G:$U,11,FALSE)))</f>
        <v>0</v>
      </c>
      <c r="AL22" s="565">
        <f>$G22*IF(ISNA((VLOOKUP($B22&amp;"; "&amp;$H$15&amp;", "&amp;I$16,'FE Fret'!$G:$U,12,FALSE)+VLOOKUP($B22&amp;"; "&amp;$H$15&amp;", "&amp;I$16,'FE Fret'!$G:$U,11,FALSE))),0,(VLOOKUP($B22&amp;"; "&amp;$H$15&amp;", "&amp;I$16,'FE Fret'!$G:$U,12,FALSE)+VLOOKUP($B22&amp;"; "&amp;$H$15&amp;", "&amp;I$16,'FE Fret'!$G:$U,11,FALSE)))
+$J22*IF(ISNA((VLOOKUP($B22&amp;"; "&amp;$K$15&amp;", "&amp;I$16,'FE Fret'!$G:$U,12,FALSE)+VLOOKUP($B22&amp;"; "&amp;$K$15&amp;", "&amp;I$16,'FE Fret'!$G:$U,11,FALSE))),0,(VLOOKUP($B22&amp;"; "&amp;$K$15&amp;", "&amp;I$16,'FE Fret'!$G:$U,12,FALSE)+VLOOKUP($B22&amp;"; "&amp;$K$15&amp;", "&amp;I$16,'FE Fret'!$G:$U,11,FALSE)))
+$M22*IF(ISNA((VLOOKUP($B22&amp;"; "&amp;$N$15&amp;", "&amp;I$16,'FE Fret'!$G:$U,12,FALSE)+VLOOKUP($B22&amp;"; "&amp;$N$15&amp;", "&amp;I$16,'FE Fret'!$G:$U,11,FALSE))),0,(VLOOKUP($B22&amp;"; "&amp;$N$15&amp;", "&amp;I$16,'FE Fret'!$G:$U,12,FALSE)+VLOOKUP($B22&amp;"; "&amp;$N$15&amp;", "&amp;I$16,'FE Fret'!$G:$U,11,FALSE)))
+$P22*IF(ISNA((VLOOKUP($B22&amp;"; "&amp;$Q$15&amp;", "&amp;I$16,'FE Fret'!$G:$U,12,FALSE)+VLOOKUP($B22&amp;"; "&amp;$Q$15&amp;", "&amp;I$16,'FE Fret'!$G:$U,11,FALSE))),0,(VLOOKUP($B22&amp;"; "&amp;$Q$15&amp;", "&amp;I$16,'FE Fret'!$G:$U,12,FALSE)+VLOOKUP($B22&amp;"; "&amp;$Q$15&amp;", "&amp;I$16,'FE Fret'!$G:$U,11,FALSE)))</f>
        <v>0</v>
      </c>
      <c r="AM22" s="565"/>
      <c r="AN22" s="565">
        <f>$G22*IF(ISNA(VLOOKUP($B22&amp;"; "&amp;$H$15&amp;", "&amp;H$16,'FE Fret'!$G:$U,13,FALSE)),0,VLOOKUP($B22&amp;"; "&amp;$H$15&amp;", "&amp;H$16,'FE Fret'!$G:$U,13,FALSE))
+$J22*IF(ISNA(VLOOKUP($B22&amp;"; "&amp;$K$15&amp;", "&amp;H$16,'FE Fret'!$G:$U,13,FALSE)),0,VLOOKUP($B22&amp;"; "&amp;$K$15&amp;", "&amp;H$16,'FE Fret'!$G:$U,13,FALSE))
+$M22*IF(ISNA(VLOOKUP($B22&amp;"; "&amp;$N$15&amp;", "&amp;H$16,'FE Fret'!$G:$U,13,FALSE)),0,VLOOKUP($B22&amp;"; "&amp;$N$15&amp;", "&amp;H$16,'FE Fret'!$G:$U,13,FALSE))
+$P22*IF(ISNA(VLOOKUP($B22&amp;"; "&amp;$Q$15&amp;", "&amp;H$16,'FE Fret'!$G:$U,13,FALSE)),0,VLOOKUP($B22&amp;"; "&amp;$Q$15&amp;", "&amp;H$16,'FE Fret'!$G:$U,13,FALSE))</f>
        <v>0</v>
      </c>
      <c r="AO22" s="565">
        <f>$G22*IF(ISNA(VLOOKUP($B22&amp;"; "&amp;$H$15&amp;", "&amp;I$16,'FE Fret'!$G:$U,13,FALSE)),0,VLOOKUP($B22&amp;"; "&amp;$H$15&amp;", "&amp;I$16,'FE Fret'!$G:$U,13,FALSE))
+$J22*IF(ISNA(VLOOKUP($B22&amp;"; "&amp;$K$15&amp;", "&amp;I$16,'FE Fret'!$G:$U,13,FALSE)),0,VLOOKUP($B22&amp;"; "&amp;$K$15&amp;", "&amp;I$16,'FE Fret'!$G:$U,13,FALSE))
+$M22*IF(ISNA(VLOOKUP($B22&amp;"; "&amp;$N$15&amp;", "&amp;I$16,'FE Fret'!$G:$U,13,FALSE)),0,VLOOKUP($B22&amp;"; "&amp;$N$15&amp;", "&amp;I$16,'FE Fret'!$G:$U,13,FALSE))
+$P22*IF(ISNA(VLOOKUP($B22&amp;"; "&amp;$Q$15&amp;", "&amp;I$16,'FE Fret'!$G:$U,13,FALSE)),0,VLOOKUP($B22&amp;"; "&amp;$Q$15&amp;", "&amp;I$16,'FE Fret'!$G:$U,13,FALSE))</f>
        <v>0</v>
      </c>
      <c r="AP22" s="565"/>
      <c r="AQ22" s="565">
        <v>0</v>
      </c>
      <c r="AR22" s="565">
        <v>0</v>
      </c>
      <c r="AS22" s="565"/>
      <c r="AT22" s="566">
        <f t="shared" si="7"/>
        <v>0</v>
      </c>
      <c r="AU22" s="566">
        <f t="shared" si="7"/>
        <v>0</v>
      </c>
      <c r="AV22" s="567"/>
      <c r="AW22" s="565">
        <f>$G22*IF(ISNA(VLOOKUP($B22&amp;"; "&amp;$H$15&amp;", "&amp;H$16,'FE Fret'!$G:$U,15,FALSE)),0,VLOOKUP($B22&amp;"; "&amp;$H$15&amp;", "&amp;H$16,'FE Fret'!$G:$U,15,FALSE))
+$J22*IF(ISNA(VLOOKUP($B22&amp;"; "&amp;$K$15&amp;", "&amp;H$16,'FE Fret'!$G:$U,15,FALSE)),0,VLOOKUP($B22&amp;"; "&amp;$K$15&amp;", "&amp;H$16,'FE Fret'!$G:$U,15,FALSE))
+$M22*IF(ISNA(VLOOKUP($B22&amp;"; "&amp;$N$15&amp;", "&amp;H$16,'FE Fret'!$G:$U,15,FALSE)),0,VLOOKUP($B22&amp;"; "&amp;$N$15&amp;", "&amp;H$16,'FE Fret'!$G:$U,15,FALSE))
+$P22*IF(ISNA(VLOOKUP($B22&amp;"; "&amp;$Q$15&amp;", "&amp;H$16,'FE Fret'!$G:$U,15,FALSE)),0,VLOOKUP($B22&amp;"; "&amp;$Q$15&amp;", "&amp;H$16,'FE Fret'!$G:$U,15,FALSE))</f>
        <v>0</v>
      </c>
      <c r="AX22" s="565">
        <f>$G22*IF(ISNA(VLOOKUP($B22&amp;"; "&amp;$H$15&amp;", "&amp;I$16,'FE Fret'!$G:$U,15,FALSE)),0,VLOOKUP($B22&amp;"; "&amp;$H$15&amp;", "&amp;I$16,'FE Fret'!$G:$U,15,FALSE))
+$J22*IF(ISNA(VLOOKUP($B22&amp;"; "&amp;$K$15&amp;", "&amp;I$16,'FE Fret'!$G:$U,15,FALSE)),0,VLOOKUP($B22&amp;"; "&amp;$K$15&amp;", "&amp;I$16,'FE Fret'!$G:$U,15,FALSE))
+$M22*IF(ISNA(VLOOKUP($B22&amp;"; "&amp;$N$15&amp;", "&amp;I$16,'FE Fret'!$G:$U,15,FALSE)),0,VLOOKUP($B22&amp;"; "&amp;$N$15&amp;", "&amp;I$16,'FE Fret'!$G:$U,15,FALSE))
+$P22*IF(ISNA(VLOOKUP($B22&amp;"; "&amp;$Q$15&amp;", "&amp;I$16,'FE Fret'!$G:$U,15,FALSE)),0,VLOOKUP($B22&amp;"; "&amp;$Q$15&amp;", "&amp;I$16,'FE Fret'!$G:$U,15,FALSE))</f>
        <v>0</v>
      </c>
      <c r="AY22" s="568"/>
      <c r="AZ22" s="2292"/>
      <c r="BA22" s="2292"/>
      <c r="BB22" s="2292"/>
      <c r="BC22" s="2292"/>
      <c r="BD22" s="2292"/>
      <c r="BE22" s="2292"/>
      <c r="BF22" s="2292"/>
      <c r="BH22" s="1065">
        <f>IF($Y22&lt;&gt;"votre valeur :",IF(ISNA(VLOOKUP($Y22,Utilitaires!$N$566:$O$571,2,FALSE)),,VLOOKUP($Y22,Utilitaires!$N$566:$O$571,2,FALSE)),$Z22)</f>
        <v>0</v>
      </c>
      <c r="BI22" s="1124">
        <f>IF(ISNA(SQRT(SUMSQ(VLOOKUP($B22&amp;"; "&amp;$H$15&amp;", "&amp;H$16,'FE Fret'!$G:$U,7,FALSE),$BH22))),0,SQRT(SUMSQ(VLOOKUP($B22&amp;"; "&amp;$H$15&amp;", "&amp;$H$16,'FE Fret'!$G:$U,7,FALSE),$BH22)))</f>
        <v>0.2</v>
      </c>
      <c r="BJ22" s="1068">
        <f>IF(ISNA(SQRT(SUMSQ(VLOOKUP($B22&amp;"; "&amp;$K$15&amp;", "&amp;$K$16,'FE Fret'!$G:$U,7,FALSE),$BH22))),0,SQRT(SUMSQ(VLOOKUP($B22&amp;"; "&amp;$K$15&amp;", "&amp;$K$16,'FE Fret'!$G:$U,7,FALSE),$BH22)))</f>
        <v>0.2</v>
      </c>
      <c r="BK22" s="1068">
        <f>IF(ISNA(SQRT(SUMSQ(VLOOKUP($B22&amp;"; "&amp;$N$15&amp;", "&amp;$N$16,'FE Fret'!$G:$U,7,FALSE),$BH22))),0,SQRT(SUMSQ(VLOOKUP($B22&amp;"; "&amp;$N$15&amp;", "&amp;$N$16,'FE Fret'!$G:$U,7,FALSE),$BH22)))</f>
        <v>0.2</v>
      </c>
      <c r="BL22" s="1068">
        <f>IF(ISNA(SQRT(SUMSQ(VLOOKUP($B22&amp;"; "&amp;$Q$15&amp;", "&amp;$Q$16,'FE Fret'!$G:$U,7,FALSE),$BH22))),0,SQRT(SUMSQ(VLOOKUP($B22&amp;"; "&amp;$Q$15&amp;", "&amp;$Q$16,'FE Fret'!$G:$U,7,FALSE),$BH22)))</f>
        <v>0.2</v>
      </c>
      <c r="BM22" s="1124">
        <f>IF(ISNA(SQRT(SUMSQ(VLOOKUP($B22&amp;"; "&amp;$H$15&amp;", "&amp;I$16,'FE Fret'!$G:$U,7,FALSE),$BH22))),0,SQRT(SUMSQ(VLOOKUP($B22&amp;"; "&amp;$H$15&amp;", "&amp;$I$16,'FE Fret'!$G:$U,7,FALSE),$BH22)))</f>
        <v>0</v>
      </c>
      <c r="BN22" s="1068">
        <f>IF(ISNA(SQRT(SUMSQ(VLOOKUP($B22&amp;"; "&amp;$K$15&amp;", "&amp;$L$16,'FE Fret'!$G:$U,7,FALSE),$BH22))),0,SQRT(SUMSQ(VLOOKUP($B22&amp;"; "&amp;$K$15&amp;", "&amp;$L$16,'FE Fret'!$G:$U,7,FALSE),$BH22)))</f>
        <v>0</v>
      </c>
      <c r="BO22" s="1068">
        <f>IF(ISNA(SQRT(SUMSQ(VLOOKUP($B22&amp;"; "&amp;$N$15&amp;", "&amp;$O$16,'FE Fret'!$G:$U,7,FALSE),$BH22))),0,SQRT(SUMSQ(VLOOKUP($B22&amp;"; "&amp;$N$15&amp;", "&amp;$O$16,'FE Fret'!$G:$U,7,FALSE),$BH22)))</f>
        <v>0</v>
      </c>
      <c r="BP22" s="1125">
        <f>IF(ISNA(SQRT(SUMSQ(VLOOKUP($B22&amp;"; "&amp;$Q$15&amp;", "&amp;$R$16,'FE Fret'!$G:$U,7,FALSE),$BH22))),0,SQRT(SUMSQ(VLOOKUP($B22&amp;"; "&amp;$Q$15&amp;", "&amp;$R$16,'FE Fret'!$G:$U,7,FALSE),$BH22)))</f>
        <v>0</v>
      </c>
    </row>
    <row r="23" spans="2:68" outlineLevel="2">
      <c r="B23" s="154"/>
      <c r="C23" s="155"/>
      <c r="D23" s="221"/>
      <c r="E23" s="221"/>
      <c r="F23" s="155"/>
      <c r="G23" s="155"/>
      <c r="H23" s="155"/>
      <c r="I23" s="155"/>
      <c r="J23" s="155"/>
      <c r="K23" s="155"/>
      <c r="L23" s="155"/>
      <c r="M23" s="155"/>
      <c r="N23" s="155"/>
      <c r="O23" s="155"/>
      <c r="P23" s="155"/>
      <c r="Q23" s="155"/>
      <c r="R23" s="155"/>
      <c r="S23" s="356"/>
      <c r="T23" s="151"/>
      <c r="U23" s="165"/>
      <c r="X23" s="143"/>
      <c r="Y23" s="144"/>
      <c r="Z23" s="144"/>
      <c r="AA23" s="164"/>
      <c r="AB23" s="164"/>
      <c r="AC23" s="164"/>
      <c r="AD23" s="151"/>
      <c r="AE23" s="151"/>
      <c r="AF23" s="1287"/>
      <c r="AG23" s="116"/>
      <c r="AH23" s="564"/>
      <c r="AI23" s="565"/>
      <c r="AJ23" s="565"/>
      <c r="AK23" s="565"/>
      <c r="AL23" s="565"/>
      <c r="AM23" s="565"/>
      <c r="AN23" s="565"/>
      <c r="AO23" s="565"/>
      <c r="AP23" s="565"/>
      <c r="AQ23" s="565"/>
      <c r="AR23" s="565"/>
      <c r="AS23" s="565"/>
      <c r="AT23" s="566"/>
      <c r="AU23" s="566"/>
      <c r="AV23" s="567"/>
      <c r="AW23" s="565"/>
      <c r="AX23" s="565"/>
      <c r="AY23" s="568"/>
      <c r="AZ23" s="2292"/>
      <c r="BA23" s="2292"/>
      <c r="BB23" s="2292"/>
      <c r="BC23" s="2292"/>
      <c r="BD23" s="2292"/>
      <c r="BE23" s="2292"/>
      <c r="BF23" s="2292"/>
      <c r="BH23" s="1087"/>
      <c r="BI23" s="1126"/>
      <c r="BJ23" s="1073"/>
      <c r="BK23" s="1073"/>
      <c r="BL23" s="1074"/>
      <c r="BM23" s="1075"/>
      <c r="BN23" s="1076"/>
      <c r="BO23" s="1076"/>
      <c r="BP23" s="1077"/>
    </row>
    <row r="24" spans="2:68" ht="12.75" customHeight="1" outlineLevel="2">
      <c r="B24" s="196" t="s">
        <v>348</v>
      </c>
      <c r="C24" s="197"/>
      <c r="D24" s="214">
        <f>SUM(D17:D23)</f>
        <v>0</v>
      </c>
      <c r="E24" s="214"/>
      <c r="F24" s="198"/>
      <c r="G24" s="199"/>
      <c r="H24" s="199"/>
      <c r="I24" s="199"/>
      <c r="J24" s="199"/>
      <c r="K24" s="199"/>
      <c r="L24" s="199"/>
      <c r="M24" s="199"/>
      <c r="N24" s="199"/>
      <c r="O24" s="199"/>
      <c r="P24" s="199"/>
      <c r="Q24" s="199"/>
      <c r="R24" s="199"/>
      <c r="S24" s="202">
        <f>SUM(S17:S23)</f>
        <v>0</v>
      </c>
      <c r="T24" s="202">
        <f>SUM(T17:T23)</f>
        <v>0</v>
      </c>
      <c r="U24" s="340">
        <f>SUM(U17:U23)</f>
        <v>0</v>
      </c>
      <c r="X24" s="1203">
        <f>IF(AE24=0,AE24,AE24/D24)</f>
        <v>0</v>
      </c>
      <c r="Y24" s="199"/>
      <c r="Z24" s="203"/>
      <c r="AA24" s="203">
        <f>SQRT(SUMSQ(AA17:AA23))</f>
        <v>0</v>
      </c>
      <c r="AB24" s="202">
        <f>SQRT(SUMSQ(AB17:AB23))</f>
        <v>0</v>
      </c>
      <c r="AC24" s="202"/>
      <c r="AD24" s="203"/>
      <c r="AE24" s="203">
        <f>SQRT(SUMSQ(AE17:AE23))</f>
        <v>0</v>
      </c>
      <c r="AF24" s="1310">
        <f>SQRT(SUMSQ(AF17:AF23))</f>
        <v>0</v>
      </c>
      <c r="AH24" s="571">
        <f t="shared" ref="AH24:AY24" si="8">SUM(AH17:AH23)</f>
        <v>0</v>
      </c>
      <c r="AI24" s="572">
        <f t="shared" si="8"/>
        <v>0</v>
      </c>
      <c r="AJ24" s="572">
        <f t="shared" si="8"/>
        <v>0</v>
      </c>
      <c r="AK24" s="572">
        <f t="shared" si="8"/>
        <v>0</v>
      </c>
      <c r="AL24" s="572">
        <f t="shared" si="8"/>
        <v>0</v>
      </c>
      <c r="AM24" s="572">
        <f t="shared" si="8"/>
        <v>0</v>
      </c>
      <c r="AN24" s="572">
        <f t="shared" si="8"/>
        <v>0</v>
      </c>
      <c r="AO24" s="572">
        <f t="shared" si="8"/>
        <v>0</v>
      </c>
      <c r="AP24" s="572">
        <f t="shared" si="8"/>
        <v>0</v>
      </c>
      <c r="AQ24" s="572">
        <f t="shared" si="8"/>
        <v>0</v>
      </c>
      <c r="AR24" s="572">
        <f t="shared" si="8"/>
        <v>0</v>
      </c>
      <c r="AS24" s="572">
        <f t="shared" si="8"/>
        <v>0</v>
      </c>
      <c r="AT24" s="573">
        <f t="shared" si="8"/>
        <v>0</v>
      </c>
      <c r="AU24" s="573">
        <f t="shared" si="8"/>
        <v>0</v>
      </c>
      <c r="AV24" s="574">
        <f t="shared" si="8"/>
        <v>0</v>
      </c>
      <c r="AW24" s="1082">
        <f t="shared" si="8"/>
        <v>0</v>
      </c>
      <c r="AX24" s="572">
        <f t="shared" si="8"/>
        <v>0</v>
      </c>
      <c r="AY24" s="575">
        <f t="shared" si="8"/>
        <v>0</v>
      </c>
      <c r="AZ24" s="2292"/>
      <c r="BA24" s="2292"/>
      <c r="BB24" s="2292"/>
      <c r="BC24" s="2292"/>
      <c r="BD24" s="2292"/>
      <c r="BE24" s="2292"/>
      <c r="BF24" s="2292"/>
    </row>
    <row r="25" spans="2:68" ht="12.75" customHeight="1" outlineLevel="2">
      <c r="Q25" s="116"/>
      <c r="AZ25" s="444"/>
      <c r="BA25" s="444"/>
      <c r="BB25" s="444"/>
      <c r="BC25" s="444"/>
      <c r="BD25" s="444"/>
      <c r="BE25" s="444"/>
      <c r="BF25" s="444"/>
    </row>
    <row r="26" spans="2:68" ht="12.75" customHeight="1" outlineLevel="2">
      <c r="B26" s="139" t="s">
        <v>3668</v>
      </c>
      <c r="C26" s="140"/>
      <c r="D26" s="1003"/>
      <c r="E26" s="1648"/>
      <c r="F26" s="1003"/>
      <c r="G26" s="141"/>
      <c r="H26" s="141"/>
      <c r="I26" s="142"/>
      <c r="T26" s="116"/>
      <c r="U26" s="116"/>
      <c r="V26" s="116"/>
      <c r="W26" s="116"/>
      <c r="X26" s="2636" t="s">
        <v>366</v>
      </c>
      <c r="Y26" s="2637"/>
      <c r="Z26" s="2637"/>
      <c r="AA26" s="2637"/>
      <c r="AB26" s="2637"/>
      <c r="AC26" s="2637"/>
      <c r="AD26" s="2637"/>
      <c r="AE26" s="2638"/>
      <c r="AF26" s="116"/>
      <c r="AH26" s="2639" t="s">
        <v>441</v>
      </c>
      <c r="AI26" s="2640"/>
      <c r="AJ26" s="2640"/>
      <c r="AK26" s="2640"/>
      <c r="AL26" s="2640"/>
      <c r="AM26" s="2640"/>
      <c r="AN26" s="2640"/>
      <c r="AO26" s="2640"/>
      <c r="AP26" s="2640"/>
      <c r="AQ26" s="2640"/>
      <c r="AR26" s="2640"/>
      <c r="AS26" s="2640"/>
      <c r="AT26" s="2640"/>
      <c r="AU26" s="2640"/>
      <c r="AV26" s="2640"/>
      <c r="AW26" s="2640"/>
      <c r="AX26" s="2640"/>
      <c r="AY26" s="2641"/>
      <c r="AZ26" s="2448"/>
      <c r="BA26" s="2448"/>
      <c r="BB26" s="2448"/>
      <c r="BC26" s="2448"/>
      <c r="BD26" s="2448"/>
      <c r="BE26" s="2448"/>
      <c r="BF26" s="2448"/>
    </row>
    <row r="27" spans="2:68" ht="12.75" customHeight="1" outlineLevel="2">
      <c r="B27" s="143"/>
      <c r="C27" s="144"/>
      <c r="D27" s="537" t="s">
        <v>308</v>
      </c>
      <c r="E27" s="1663"/>
      <c r="F27" s="144"/>
      <c r="G27" s="144"/>
      <c r="H27" s="1005"/>
      <c r="I27" s="539" t="s">
        <v>444</v>
      </c>
      <c r="T27" s="116"/>
      <c r="U27" s="116"/>
      <c r="X27" s="1295"/>
      <c r="Y27" s="1296"/>
      <c r="Z27" s="1296"/>
      <c r="AA27" s="1296"/>
      <c r="AB27" s="1296"/>
      <c r="AC27" s="2419"/>
      <c r="AD27" s="1296"/>
      <c r="AE27" s="539" t="s">
        <v>444</v>
      </c>
      <c r="AG27" s="109"/>
      <c r="AH27" s="2642" t="s">
        <v>444</v>
      </c>
      <c r="AI27" s="2643"/>
      <c r="AJ27" s="2643"/>
      <c r="AK27" s="2643"/>
      <c r="AL27" s="2643"/>
      <c r="AM27" s="2643"/>
      <c r="AN27" s="2643"/>
      <c r="AO27" s="2643"/>
      <c r="AP27" s="2643"/>
      <c r="AQ27" s="2643"/>
      <c r="AR27" s="2643"/>
      <c r="AS27" s="2643"/>
      <c r="AT27" s="2643" t="s">
        <v>444</v>
      </c>
      <c r="AU27" s="2643"/>
      <c r="AV27" s="628"/>
      <c r="AW27" s="624"/>
      <c r="AX27" s="624"/>
      <c r="AY27" s="1291"/>
      <c r="AZ27" s="2449"/>
      <c r="BA27" s="2449"/>
      <c r="BB27" s="2449"/>
      <c r="BC27" s="2449"/>
      <c r="BD27" s="2449"/>
      <c r="BE27" s="2449"/>
      <c r="BF27" s="2449"/>
      <c r="BH27" s="2616" t="s">
        <v>1648</v>
      </c>
      <c r="BI27" s="2618"/>
    </row>
    <row r="28" spans="2:68" ht="12.75" customHeight="1" outlineLevel="2">
      <c r="B28" s="1004"/>
      <c r="C28" s="1005"/>
      <c r="D28" s="1005" t="s">
        <v>409</v>
      </c>
      <c r="E28" s="1656"/>
      <c r="F28" s="147" t="s">
        <v>452</v>
      </c>
      <c r="G28" s="147" t="s">
        <v>3670</v>
      </c>
      <c r="H28" s="1006"/>
      <c r="I28" s="220" t="s">
        <v>880</v>
      </c>
      <c r="T28" s="116"/>
      <c r="U28" s="116"/>
      <c r="V28" s="109"/>
      <c r="W28" s="109"/>
      <c r="X28" s="1269" t="s">
        <v>316</v>
      </c>
      <c r="Y28" s="2629" t="s">
        <v>316</v>
      </c>
      <c r="Z28" s="2630"/>
      <c r="AA28" s="1296"/>
      <c r="AB28" s="1296"/>
      <c r="AC28" s="2419"/>
      <c r="AD28" s="1296"/>
      <c r="AE28" s="220" t="s">
        <v>880</v>
      </c>
      <c r="AF28" s="109"/>
      <c r="AG28" s="109"/>
      <c r="AH28" s="2631" t="s">
        <v>211</v>
      </c>
      <c r="AI28" s="2632"/>
      <c r="AJ28" s="2632"/>
      <c r="AK28" s="2632" t="s">
        <v>442</v>
      </c>
      <c r="AL28" s="2632"/>
      <c r="AM28" s="2632"/>
      <c r="AN28" s="2632" t="s">
        <v>267</v>
      </c>
      <c r="AO28" s="2632"/>
      <c r="AP28" s="2632"/>
      <c r="AQ28" s="2632" t="s">
        <v>443</v>
      </c>
      <c r="AR28" s="2632"/>
      <c r="AS28" s="2632"/>
      <c r="AT28" s="2648" t="s">
        <v>327</v>
      </c>
      <c r="AU28" s="2648"/>
      <c r="AV28" s="568"/>
      <c r="AW28" s="2631" t="s">
        <v>636</v>
      </c>
      <c r="AX28" s="2632"/>
      <c r="AY28" s="568"/>
      <c r="AZ28" s="2292"/>
      <c r="BA28" s="2292"/>
      <c r="BB28" s="2292"/>
      <c r="BC28" s="2292"/>
      <c r="BD28" s="2292"/>
      <c r="BE28" s="2292"/>
      <c r="BF28" s="2292"/>
      <c r="BH28" s="2837" t="s">
        <v>1646</v>
      </c>
      <c r="BI28" s="1141"/>
    </row>
    <row r="29" spans="2:68" ht="12.75" customHeight="1" outlineLevel="2">
      <c r="B29" s="1004"/>
      <c r="C29" s="1005"/>
      <c r="D29" s="1005" t="s">
        <v>444</v>
      </c>
      <c r="E29" s="1656"/>
      <c r="F29" s="149" t="s">
        <v>445</v>
      </c>
      <c r="G29" s="149" t="s">
        <v>881</v>
      </c>
      <c r="H29" s="1007"/>
      <c r="I29" s="220" t="s">
        <v>257</v>
      </c>
      <c r="T29" s="116"/>
      <c r="U29" s="116"/>
      <c r="V29" s="109"/>
      <c r="W29" s="109"/>
      <c r="X29" s="1269" t="s">
        <v>1649</v>
      </c>
      <c r="Y29" s="2646" t="s">
        <v>1650</v>
      </c>
      <c r="Z29" s="2647"/>
      <c r="AA29" s="1300"/>
      <c r="AB29" s="1300"/>
      <c r="AC29" s="1662"/>
      <c r="AD29" s="1300"/>
      <c r="AE29" s="220" t="s">
        <v>257</v>
      </c>
      <c r="AF29" s="109"/>
      <c r="AH29" s="1331"/>
      <c r="AI29" s="1332"/>
      <c r="AJ29" s="1332"/>
      <c r="AK29" s="1332"/>
      <c r="AL29" s="1332"/>
      <c r="AM29" s="1332"/>
      <c r="AN29" s="1332"/>
      <c r="AO29" s="1332"/>
      <c r="AP29" s="1332"/>
      <c r="AQ29" s="1332"/>
      <c r="AR29" s="1332"/>
      <c r="AS29" s="1332"/>
      <c r="AT29" s="581"/>
      <c r="AU29" s="581"/>
      <c r="AV29" s="582"/>
      <c r="AW29" s="1332"/>
      <c r="AX29" s="1332"/>
      <c r="AY29" s="1333"/>
      <c r="AZ29" s="2449"/>
      <c r="BA29" s="2449"/>
      <c r="BB29" s="2449"/>
      <c r="BC29" s="2449"/>
      <c r="BD29" s="2449"/>
      <c r="BE29" s="2449"/>
      <c r="BF29" s="2449"/>
      <c r="BH29" s="2838"/>
      <c r="BI29" s="1279"/>
    </row>
    <row r="30" spans="2:68" ht="12.75" customHeight="1" outlineLevel="2">
      <c r="B30" s="143" t="s">
        <v>3669</v>
      </c>
      <c r="C30" s="144"/>
      <c r="D30" s="212">
        <f>I30</f>
        <v>0</v>
      </c>
      <c r="E30" s="212"/>
      <c r="F30" s="117"/>
      <c r="G30" s="117"/>
      <c r="H30" s="225"/>
      <c r="I30" s="152">
        <f>G30</f>
        <v>0</v>
      </c>
      <c r="T30" s="116"/>
      <c r="U30" s="116"/>
      <c r="X30" s="1092">
        <f>IF(AE30=0,AE30,AE30/D30)</f>
        <v>0</v>
      </c>
      <c r="Y30" s="343"/>
      <c r="Z30" s="820"/>
      <c r="AA30" s="164"/>
      <c r="AB30" s="164"/>
      <c r="AC30" s="164"/>
      <c r="AD30" s="164"/>
      <c r="AE30" s="152">
        <f>I30*BI30</f>
        <v>0</v>
      </c>
      <c r="AH30" s="564">
        <f>D30</f>
        <v>0</v>
      </c>
      <c r="AI30" s="565"/>
      <c r="AJ30" s="565"/>
      <c r="AK30" s="565"/>
      <c r="AL30" s="565"/>
      <c r="AM30" s="565"/>
      <c r="AN30" s="565"/>
      <c r="AO30" s="565"/>
      <c r="AP30" s="565"/>
      <c r="AQ30" s="565"/>
      <c r="AR30" s="565"/>
      <c r="AS30" s="565"/>
      <c r="AT30" s="566">
        <f>SUM(AH30:AQ30)</f>
        <v>0</v>
      </c>
      <c r="AU30" s="566"/>
      <c r="AV30" s="567"/>
      <c r="AW30" s="565"/>
      <c r="AX30" s="565"/>
      <c r="AY30" s="568"/>
      <c r="AZ30" s="2292"/>
      <c r="BA30" s="2292"/>
      <c r="BB30" s="2292"/>
      <c r="BC30" s="2292"/>
      <c r="BD30" s="2292"/>
      <c r="BE30" s="2292"/>
      <c r="BF30" s="2292"/>
      <c r="BH30" s="1065">
        <f>IF($Y30&lt;&gt;"votre valeur :",IF(ISNA(VLOOKUP($Y30,Utilitaires!$N$566:$O$571,2,FALSE)),,VLOOKUP($Y30,Utilitaires!$N$566:$O$571,2,FALSE)),$Z30)</f>
        <v>0</v>
      </c>
      <c r="BI30" s="1130">
        <f>SQRT(SUMSQ(0,BH30))</f>
        <v>0</v>
      </c>
    </row>
    <row r="31" spans="2:68" ht="12.75" customHeight="1" outlineLevel="2">
      <c r="B31" s="143" t="s">
        <v>3669</v>
      </c>
      <c r="C31" s="144"/>
      <c r="D31" s="212">
        <f>I31</f>
        <v>0</v>
      </c>
      <c r="E31" s="212"/>
      <c r="F31" s="120"/>
      <c r="G31" s="120"/>
      <c r="H31" s="225"/>
      <c r="I31" s="152">
        <f>G31</f>
        <v>0</v>
      </c>
      <c r="T31" s="116"/>
      <c r="U31" s="116"/>
      <c r="X31" s="1092">
        <f>IF(AE31=0,AE31,AE31/D31)</f>
        <v>0</v>
      </c>
      <c r="Y31" s="343"/>
      <c r="Z31" s="820"/>
      <c r="AA31" s="164"/>
      <c r="AB31" s="164"/>
      <c r="AC31" s="164"/>
      <c r="AD31" s="164"/>
      <c r="AE31" s="152">
        <f>I31*BI31</f>
        <v>0</v>
      </c>
      <c r="AH31" s="564">
        <f>D31</f>
        <v>0</v>
      </c>
      <c r="AI31" s="565"/>
      <c r="AJ31" s="565"/>
      <c r="AK31" s="565"/>
      <c r="AL31" s="565"/>
      <c r="AM31" s="565"/>
      <c r="AN31" s="565"/>
      <c r="AO31" s="565"/>
      <c r="AP31" s="565"/>
      <c r="AQ31" s="565"/>
      <c r="AR31" s="565"/>
      <c r="AS31" s="565"/>
      <c r="AT31" s="566">
        <f>SUM(AH31:AQ31)</f>
        <v>0</v>
      </c>
      <c r="AU31" s="566"/>
      <c r="AV31" s="567"/>
      <c r="AW31" s="565"/>
      <c r="AX31" s="565"/>
      <c r="AY31" s="568"/>
      <c r="AZ31" s="2292"/>
      <c r="BA31" s="2292"/>
      <c r="BB31" s="2292"/>
      <c r="BC31" s="2292"/>
      <c r="BD31" s="2292"/>
      <c r="BE31" s="2292"/>
      <c r="BF31" s="2292"/>
      <c r="BH31" s="1065">
        <f>IF($Y31&lt;&gt;"votre valeur :",IF(ISNA(VLOOKUP($Y31,Utilitaires!$N$566:$O$571,2,FALSE)),,VLOOKUP($Y31,Utilitaires!$N$566:$O$571,2,FALSE)),$Z31)</f>
        <v>0</v>
      </c>
      <c r="BI31" s="1130">
        <f>SQRT(SUMSQ(0,BH31))</f>
        <v>0</v>
      </c>
    </row>
    <row r="32" spans="2:68" ht="12.75" customHeight="1" outlineLevel="2">
      <c r="B32" s="143" t="s">
        <v>3669</v>
      </c>
      <c r="C32" s="144"/>
      <c r="D32" s="212">
        <f>I32</f>
        <v>0</v>
      </c>
      <c r="E32" s="212"/>
      <c r="F32" s="123"/>
      <c r="G32" s="123"/>
      <c r="H32" s="225"/>
      <c r="I32" s="152">
        <f>G32</f>
        <v>0</v>
      </c>
      <c r="T32" s="116"/>
      <c r="U32" s="116"/>
      <c r="X32" s="1092">
        <f>IF(AE32=0,AE32,AE32/D32)</f>
        <v>0</v>
      </c>
      <c r="Y32" s="1094"/>
      <c r="Z32" s="820"/>
      <c r="AA32" s="164"/>
      <c r="AB32" s="164"/>
      <c r="AC32" s="164"/>
      <c r="AD32" s="164"/>
      <c r="AE32" s="152">
        <f>I32*BI32</f>
        <v>0</v>
      </c>
      <c r="AH32" s="564">
        <f>D32</f>
        <v>0</v>
      </c>
      <c r="AI32" s="565"/>
      <c r="AJ32" s="565"/>
      <c r="AK32" s="565"/>
      <c r="AL32" s="565"/>
      <c r="AM32" s="565"/>
      <c r="AN32" s="565"/>
      <c r="AO32" s="565"/>
      <c r="AP32" s="565"/>
      <c r="AQ32" s="565"/>
      <c r="AR32" s="565"/>
      <c r="AS32" s="565"/>
      <c r="AT32" s="566">
        <f>SUM(AH32:AQ32)</f>
        <v>0</v>
      </c>
      <c r="AU32" s="566"/>
      <c r="AV32" s="567"/>
      <c r="AW32" s="565"/>
      <c r="AX32" s="565"/>
      <c r="AY32" s="568"/>
      <c r="AZ32" s="2292"/>
      <c r="BA32" s="2292"/>
      <c r="BB32" s="2292"/>
      <c r="BC32" s="2292"/>
      <c r="BD32" s="2292"/>
      <c r="BE32" s="2292"/>
      <c r="BF32" s="2292"/>
      <c r="BH32" s="1065">
        <f>IF($Y32&lt;&gt;"votre valeur :",IF(ISNA(VLOOKUP($Y32,Utilitaires!$N$566:$O$571,2,FALSE)),,VLOOKUP($Y32,Utilitaires!$N$566:$O$571,2,FALSE)),$Z32)</f>
        <v>0</v>
      </c>
      <c r="BI32" s="1130">
        <f>SQRT(SUMSQ(0,BH32))</f>
        <v>0</v>
      </c>
    </row>
    <row r="33" spans="1:66" ht="12.75" customHeight="1" outlineLevel="2">
      <c r="B33" s="154"/>
      <c r="C33" s="155"/>
      <c r="D33" s="221"/>
      <c r="E33" s="221"/>
      <c r="F33" s="155"/>
      <c r="G33" s="155"/>
      <c r="H33" s="155"/>
      <c r="I33" s="156"/>
      <c r="T33" s="116"/>
      <c r="U33" s="116"/>
      <c r="X33" s="1092"/>
      <c r="Y33" s="155"/>
      <c r="Z33" s="169"/>
      <c r="AA33" s="164"/>
      <c r="AB33" s="164"/>
      <c r="AC33" s="164"/>
      <c r="AD33" s="164"/>
      <c r="AE33" s="165"/>
      <c r="AH33" s="569"/>
      <c r="AI33" s="625"/>
      <c r="AJ33" s="625"/>
      <c r="AK33" s="625"/>
      <c r="AL33" s="625"/>
      <c r="AM33" s="625"/>
      <c r="AN33" s="625"/>
      <c r="AO33" s="625"/>
      <c r="AP33" s="625"/>
      <c r="AQ33" s="625"/>
      <c r="AR33" s="625"/>
      <c r="AS33" s="625"/>
      <c r="AT33" s="1313"/>
      <c r="AU33" s="1313"/>
      <c r="AV33" s="1314"/>
      <c r="AW33" s="565"/>
      <c r="AX33" s="565"/>
      <c r="AY33" s="568"/>
      <c r="AZ33" s="2292"/>
      <c r="BA33" s="2292"/>
      <c r="BB33" s="2292"/>
      <c r="BC33" s="2292"/>
      <c r="BD33" s="2292"/>
      <c r="BE33" s="2292"/>
      <c r="BF33" s="2292"/>
      <c r="BH33" s="1087"/>
      <c r="BI33" s="1153"/>
    </row>
    <row r="34" spans="1:66" ht="12.75" customHeight="1" outlineLevel="2">
      <c r="B34" s="196" t="s">
        <v>348</v>
      </c>
      <c r="C34" s="197"/>
      <c r="D34" s="214">
        <f>SUM(D30:D33)</f>
        <v>0</v>
      </c>
      <c r="E34" s="214"/>
      <c r="F34" s="198"/>
      <c r="G34" s="199"/>
      <c r="H34" s="199"/>
      <c r="I34" s="200">
        <f>SUM(I30:I33)</f>
        <v>0</v>
      </c>
      <c r="T34" s="116"/>
      <c r="U34" s="116"/>
      <c r="X34" s="1203">
        <f>IF(AE34=0,AE34,AE34/D34)</f>
        <v>0</v>
      </c>
      <c r="Y34" s="199"/>
      <c r="Z34" s="199"/>
      <c r="AA34" s="203"/>
      <c r="AB34" s="203"/>
      <c r="AC34" s="203"/>
      <c r="AD34" s="203"/>
      <c r="AE34" s="200">
        <f>SQRT(SUMSQ(AE30:AE33))</f>
        <v>0</v>
      </c>
      <c r="AH34" s="1308">
        <f>SUM(AH30:AH33)</f>
        <v>0</v>
      </c>
      <c r="AI34" s="1309"/>
      <c r="AJ34" s="1309"/>
      <c r="AK34" s="1309">
        <f>SUM(AK30:AK33)</f>
        <v>0</v>
      </c>
      <c r="AL34" s="1309"/>
      <c r="AM34" s="1309"/>
      <c r="AN34" s="1309">
        <f>SUM(AN30:AN33)</f>
        <v>0</v>
      </c>
      <c r="AO34" s="1309"/>
      <c r="AP34" s="1309"/>
      <c r="AQ34" s="1309">
        <f>SUM(AQ30:AQ33)</f>
        <v>0</v>
      </c>
      <c r="AR34" s="572"/>
      <c r="AS34" s="572"/>
      <c r="AT34" s="573">
        <f>SUM(AT30:AT33)</f>
        <v>0</v>
      </c>
      <c r="AU34" s="1312"/>
      <c r="AV34" s="1312"/>
      <c r="AW34" s="1082">
        <f>SUM(AW30:AW33)</f>
        <v>0</v>
      </c>
      <c r="AX34" s="572"/>
      <c r="AY34" s="575"/>
      <c r="AZ34" s="2292"/>
      <c r="BA34" s="2292"/>
      <c r="BB34" s="2292"/>
      <c r="BC34" s="2292"/>
      <c r="BD34" s="2292"/>
      <c r="BE34" s="2292"/>
      <c r="BF34" s="2292"/>
    </row>
    <row r="35" spans="1:66" ht="12.75" customHeight="1" outlineLevel="2">
      <c r="Q35" s="116"/>
      <c r="AZ35" s="444"/>
      <c r="BA35" s="444"/>
      <c r="BB35" s="444"/>
      <c r="BC35" s="444"/>
      <c r="BD35" s="444"/>
      <c r="BE35" s="444"/>
      <c r="BF35" s="444"/>
    </row>
    <row r="36" spans="1:66" ht="12.75" customHeight="1" outlineLevel="2">
      <c r="B36" s="1091" t="s">
        <v>2517</v>
      </c>
      <c r="C36" s="140"/>
      <c r="D36" s="1272"/>
      <c r="E36" s="1648"/>
      <c r="F36" s="140"/>
      <c r="G36" s="140"/>
      <c r="H36" s="140"/>
      <c r="I36" s="140"/>
      <c r="J36" s="140"/>
      <c r="K36" s="140"/>
      <c r="L36" s="140"/>
      <c r="M36" s="140"/>
      <c r="N36" s="140"/>
      <c r="O36" s="141"/>
      <c r="P36" s="141"/>
      <c r="Q36" s="142"/>
      <c r="R36" s="142"/>
      <c r="W36" s="116"/>
      <c r="X36" s="2636" t="s">
        <v>366</v>
      </c>
      <c r="Y36" s="2637"/>
      <c r="Z36" s="2637"/>
      <c r="AA36" s="2637"/>
      <c r="AB36" s="2637"/>
      <c r="AC36" s="2637"/>
      <c r="AD36" s="2637"/>
      <c r="AE36" s="2637"/>
      <c r="AF36" s="2638"/>
      <c r="AH36" s="2639" t="s">
        <v>441</v>
      </c>
      <c r="AI36" s="2640"/>
      <c r="AJ36" s="2640"/>
      <c r="AK36" s="2640"/>
      <c r="AL36" s="2640"/>
      <c r="AM36" s="2640"/>
      <c r="AN36" s="2640"/>
      <c r="AO36" s="2640"/>
      <c r="AP36" s="2640"/>
      <c r="AQ36" s="2640"/>
      <c r="AR36" s="2640"/>
      <c r="AS36" s="2640"/>
      <c r="AT36" s="2640"/>
      <c r="AU36" s="2640"/>
      <c r="AV36" s="2640"/>
      <c r="AW36" s="2640"/>
      <c r="AX36" s="2640"/>
      <c r="AY36" s="2641"/>
      <c r="AZ36" s="2448"/>
      <c r="BA36" s="2448"/>
      <c r="BB36" s="2448"/>
      <c r="BC36" s="2448"/>
      <c r="BD36" s="2448"/>
      <c r="BE36" s="2448"/>
      <c r="BF36" s="2448"/>
    </row>
    <row r="37" spans="1:66" s="116" customFormat="1" ht="12.75" customHeight="1" outlineLevel="2">
      <c r="A37" s="114"/>
      <c r="B37" s="143"/>
      <c r="C37" s="144"/>
      <c r="D37" s="1334" t="s">
        <v>308</v>
      </c>
      <c r="E37" s="1663"/>
      <c r="F37" s="1296"/>
      <c r="G37" s="155"/>
      <c r="H37" s="2628"/>
      <c r="I37" s="2628"/>
      <c r="J37" s="2628"/>
      <c r="K37" s="155"/>
      <c r="L37" s="2628"/>
      <c r="M37" s="2628"/>
      <c r="N37" s="2628"/>
      <c r="O37" s="2768" t="s">
        <v>233</v>
      </c>
      <c r="P37" s="2768"/>
      <c r="Q37" s="2841"/>
      <c r="R37" s="1664" t="s">
        <v>275</v>
      </c>
      <c r="W37" s="262"/>
      <c r="X37" s="1295"/>
      <c r="Y37" s="819"/>
      <c r="Z37" s="819"/>
      <c r="AA37" s="144"/>
      <c r="AB37" s="1270"/>
      <c r="AC37" s="2419"/>
      <c r="AD37" s="1270"/>
      <c r="AE37" s="537"/>
      <c r="AF37" s="153" t="s">
        <v>275</v>
      </c>
      <c r="AG37" s="114"/>
      <c r="AH37" s="2642" t="s">
        <v>444</v>
      </c>
      <c r="AI37" s="2643"/>
      <c r="AJ37" s="2643"/>
      <c r="AK37" s="2643"/>
      <c r="AL37" s="2643"/>
      <c r="AM37" s="2643"/>
      <c r="AN37" s="2643"/>
      <c r="AO37" s="2643"/>
      <c r="AP37" s="2643"/>
      <c r="AQ37" s="2643"/>
      <c r="AR37" s="2643"/>
      <c r="AS37" s="2643"/>
      <c r="AT37" s="2643" t="s">
        <v>444</v>
      </c>
      <c r="AU37" s="2643"/>
      <c r="AV37" s="565"/>
      <c r="AW37" s="1288"/>
      <c r="AX37" s="566"/>
      <c r="AY37" s="1672"/>
      <c r="AZ37" s="2449"/>
      <c r="BA37" s="2449"/>
      <c r="BB37" s="2449"/>
      <c r="BC37" s="2449"/>
      <c r="BD37" s="2449"/>
      <c r="BE37" s="2449"/>
      <c r="BF37" s="2449"/>
      <c r="BG37" s="114"/>
      <c r="BH37" s="2616" t="s">
        <v>1648</v>
      </c>
      <c r="BI37" s="2617"/>
      <c r="BJ37" s="2617"/>
      <c r="BK37" s="2617"/>
      <c r="BL37" s="2617"/>
      <c r="BM37" s="2617"/>
      <c r="BN37" s="2618"/>
    </row>
    <row r="38" spans="1:66" ht="12.75" customHeight="1" outlineLevel="2">
      <c r="B38" s="143"/>
      <c r="C38" s="144"/>
      <c r="D38" s="1317" t="s">
        <v>409</v>
      </c>
      <c r="E38" s="1656"/>
      <c r="F38" s="1274" t="s">
        <v>452</v>
      </c>
      <c r="G38" s="153"/>
      <c r="H38" s="2626" t="s">
        <v>2222</v>
      </c>
      <c r="I38" s="2628"/>
      <c r="J38" s="2627"/>
      <c r="K38" s="153"/>
      <c r="L38" s="2626" t="s">
        <v>2324</v>
      </c>
      <c r="M38" s="2628"/>
      <c r="N38" s="2628"/>
      <c r="O38" s="537" t="s">
        <v>444</v>
      </c>
      <c r="P38" s="537" t="s">
        <v>444</v>
      </c>
      <c r="Q38" s="539" t="s">
        <v>444</v>
      </c>
      <c r="R38" s="1664" t="s">
        <v>276</v>
      </c>
      <c r="W38" s="262"/>
      <c r="X38" s="1269" t="s">
        <v>316</v>
      </c>
      <c r="Y38" s="2629" t="s">
        <v>316</v>
      </c>
      <c r="Z38" s="2630"/>
      <c r="AA38" s="1270" t="s">
        <v>444</v>
      </c>
      <c r="AB38" s="1270" t="s">
        <v>444</v>
      </c>
      <c r="AC38" s="1270" t="s">
        <v>444</v>
      </c>
      <c r="AD38" s="177"/>
      <c r="AE38" s="537" t="s">
        <v>444</v>
      </c>
      <c r="AF38" s="153" t="s">
        <v>276</v>
      </c>
      <c r="AH38" s="2631" t="s">
        <v>211</v>
      </c>
      <c r="AI38" s="2632"/>
      <c r="AJ38" s="2632"/>
      <c r="AK38" s="2632" t="s">
        <v>442</v>
      </c>
      <c r="AL38" s="2632"/>
      <c r="AM38" s="2632"/>
      <c r="AN38" s="2632" t="s">
        <v>267</v>
      </c>
      <c r="AO38" s="2632"/>
      <c r="AP38" s="2632"/>
      <c r="AQ38" s="2632" t="s">
        <v>443</v>
      </c>
      <c r="AR38" s="2632"/>
      <c r="AS38" s="2632"/>
      <c r="AT38" s="2648" t="s">
        <v>327</v>
      </c>
      <c r="AU38" s="2648"/>
      <c r="AV38" s="565"/>
      <c r="AW38" s="2631" t="s">
        <v>636</v>
      </c>
      <c r="AX38" s="2632"/>
      <c r="AY38" s="568"/>
      <c r="AZ38" s="2292"/>
      <c r="BA38" s="2292"/>
      <c r="BB38" s="2292"/>
      <c r="BC38" s="2292"/>
      <c r="BD38" s="2292"/>
      <c r="BE38" s="2292"/>
      <c r="BF38" s="2292"/>
      <c r="BH38" s="2837" t="s">
        <v>1646</v>
      </c>
      <c r="BI38" s="2833" t="s">
        <v>2222</v>
      </c>
      <c r="BJ38" s="2834"/>
      <c r="BK38" s="2835"/>
      <c r="BL38" s="2833" t="s">
        <v>2324</v>
      </c>
      <c r="BM38" s="2834"/>
      <c r="BN38" s="2835"/>
    </row>
    <row r="39" spans="1:66" ht="12.75" customHeight="1" outlineLevel="2">
      <c r="B39" s="536"/>
      <c r="C39" s="144"/>
      <c r="D39" s="1317" t="s">
        <v>444</v>
      </c>
      <c r="E39" s="1656"/>
      <c r="F39" s="1275" t="s">
        <v>445</v>
      </c>
      <c r="G39" s="1275" t="s">
        <v>38</v>
      </c>
      <c r="H39" s="1276" t="s">
        <v>411</v>
      </c>
      <c r="I39" s="1276" t="s">
        <v>257</v>
      </c>
      <c r="J39" s="1276" t="s">
        <v>422</v>
      </c>
      <c r="K39" s="153" t="s">
        <v>2330</v>
      </c>
      <c r="L39" s="1276" t="s">
        <v>411</v>
      </c>
      <c r="M39" s="1276" t="s">
        <v>257</v>
      </c>
      <c r="N39" s="1276" t="s">
        <v>422</v>
      </c>
      <c r="O39" s="1271" t="s">
        <v>411</v>
      </c>
      <c r="P39" s="1271" t="s">
        <v>257</v>
      </c>
      <c r="Q39" s="220" t="s">
        <v>422</v>
      </c>
      <c r="R39" s="1664" t="s">
        <v>444</v>
      </c>
      <c r="W39" s="262"/>
      <c r="X39" s="1269" t="s">
        <v>1649</v>
      </c>
      <c r="Y39" s="2646" t="s">
        <v>1650</v>
      </c>
      <c r="Z39" s="2647"/>
      <c r="AA39" s="1276" t="s">
        <v>411</v>
      </c>
      <c r="AB39" s="1276" t="s">
        <v>257</v>
      </c>
      <c r="AC39" s="1276" t="s">
        <v>422</v>
      </c>
      <c r="AD39" s="177"/>
      <c r="AE39" s="166" t="s">
        <v>327</v>
      </c>
      <c r="AF39" s="153" t="s">
        <v>444</v>
      </c>
      <c r="AH39" s="1292" t="s">
        <v>411</v>
      </c>
      <c r="AI39" s="1293" t="s">
        <v>257</v>
      </c>
      <c r="AJ39" s="1293" t="s">
        <v>422</v>
      </c>
      <c r="AK39" s="1293" t="s">
        <v>411</v>
      </c>
      <c r="AL39" s="1293" t="s">
        <v>257</v>
      </c>
      <c r="AM39" s="1293" t="s">
        <v>422</v>
      </c>
      <c r="AN39" s="1293" t="s">
        <v>411</v>
      </c>
      <c r="AO39" s="1293" t="s">
        <v>257</v>
      </c>
      <c r="AP39" s="1293" t="s">
        <v>422</v>
      </c>
      <c r="AQ39" s="1293" t="s">
        <v>411</v>
      </c>
      <c r="AR39" s="1293" t="s">
        <v>257</v>
      </c>
      <c r="AS39" s="1293" t="s">
        <v>422</v>
      </c>
      <c r="AT39" s="581" t="s">
        <v>411</v>
      </c>
      <c r="AU39" s="581" t="s">
        <v>257</v>
      </c>
      <c r="AV39" s="581" t="s">
        <v>422</v>
      </c>
      <c r="AW39" s="1292" t="s">
        <v>411</v>
      </c>
      <c r="AX39" s="1293" t="s">
        <v>257</v>
      </c>
      <c r="AY39" s="1294" t="s">
        <v>422</v>
      </c>
      <c r="AZ39" s="2449"/>
      <c r="BA39" s="2449"/>
      <c r="BB39" s="2449"/>
      <c r="BC39" s="2449"/>
      <c r="BD39" s="2449"/>
      <c r="BE39" s="2449"/>
      <c r="BF39" s="2449"/>
      <c r="BH39" s="2838"/>
      <c r="BI39" s="1278" t="s">
        <v>411</v>
      </c>
      <c r="BJ39" s="1278" t="s">
        <v>257</v>
      </c>
      <c r="BK39" s="1280" t="s">
        <v>422</v>
      </c>
      <c r="BL39" s="1278" t="s">
        <v>411</v>
      </c>
      <c r="BM39" s="1278" t="s">
        <v>257</v>
      </c>
      <c r="BN39" s="1304" t="s">
        <v>422</v>
      </c>
    </row>
    <row r="40" spans="1:66" ht="12.75" customHeight="1" outlineLevel="2">
      <c r="B40" s="143" t="s">
        <v>4013</v>
      </c>
      <c r="C40" s="144"/>
      <c r="D40" s="212">
        <f>SUM(O40:Q40)</f>
        <v>61725</v>
      </c>
      <c r="E40" s="212"/>
      <c r="F40" s="409" t="s">
        <v>634</v>
      </c>
      <c r="G40" s="117"/>
      <c r="H40" s="335" t="e">
        <f>VLOOKUP($B40&amp;"; "&amp;$H$38&amp;", "&amp;H$39,'FE Fret'!$G:$U,9,FALSE)</f>
        <v>#N/A</v>
      </c>
      <c r="I40" s="335" t="e">
        <f>VLOOKUP($B40&amp;"; "&amp;$H$38&amp;", "&amp;I$39,'FE Fret'!$G:$U,9,FALSE)</f>
        <v>#N/A</v>
      </c>
      <c r="J40" s="335" t="e">
        <f>VLOOKUP($B40&amp;"; "&amp;$H$38&amp;", "&amp;J$39,'FE Fret'!$G:$U,9,FALSE)</f>
        <v>#N/A</v>
      </c>
      <c r="K40" s="117">
        <v>750000</v>
      </c>
      <c r="L40" s="335">
        <f>VLOOKUP($B40&amp;"; "&amp;$L$38&amp;", "&amp;L$39,'FE Fret'!$G:$U,9,FALSE)</f>
        <v>1.54E-2</v>
      </c>
      <c r="M40" s="335">
        <f>VLOOKUP($B40&amp;"; "&amp;$L$38&amp;", "&amp;M$39,'FE Fret'!$G:$U,9,FALSE)</f>
        <v>6.3100000000000003E-2</v>
      </c>
      <c r="N40" s="335">
        <f>VLOOKUP($B40&amp;"; "&amp;$L$38&amp;", "&amp;N$39,'FE Fret'!$G:$U,9,FALSE)</f>
        <v>3.8E-3</v>
      </c>
      <c r="O40" s="356">
        <f t="shared" ref="O40:Q44" si="9">IF(ISNA($G40*H40),0,$G40*H40)+IF(ISNA($K40*L40),0,$K40*L40)</f>
        <v>11550</v>
      </c>
      <c r="P40" s="356">
        <f t="shared" si="9"/>
        <v>47325</v>
      </c>
      <c r="Q40" s="327">
        <f t="shared" si="9"/>
        <v>2850</v>
      </c>
      <c r="R40" s="165">
        <f>IF(OR(F40=Utilitaires!$G$572,F40=Utilitaires!$G$577),P40,0)</f>
        <v>0</v>
      </c>
      <c r="W40" s="262"/>
      <c r="X40" s="1092">
        <f>IF(AE40=0,AE40,AE40/D40)</f>
        <v>0.55339229935727641</v>
      </c>
      <c r="Y40" s="343"/>
      <c r="Z40" s="820"/>
      <c r="AA40" s="164">
        <f t="shared" ref="AA40:AC44" si="10">SQRT(SUMSQ(IF(ISNA($G40*H40*BI40),0,$G40*H40*BI40),IF(ISNA($K40*L40*BL40),0,$K40*L40*BL40)))</f>
        <v>8084.9999999999991</v>
      </c>
      <c r="AB40" s="164">
        <f t="shared" si="10"/>
        <v>33127.5</v>
      </c>
      <c r="AC40" s="164">
        <f t="shared" si="10"/>
        <v>1994.9999999999998</v>
      </c>
      <c r="AD40" s="177"/>
      <c r="AE40" s="151">
        <f>SQRT(SUMSQ(AA40:AC40))</f>
        <v>34158.139677827887</v>
      </c>
      <c r="AF40" s="1286">
        <f>R40*X40</f>
        <v>0</v>
      </c>
      <c r="AH40" s="564">
        <f>$G40*IF(ISNA(VLOOKUP($B40&amp;"; "&amp;$H$38&amp;", "&amp;H$39,'FE Fret'!$G:$U,10,FALSE)),0,VLOOKUP($B40&amp;"; "&amp;$H$38&amp;", "&amp;H$39,'FE Fret'!$G:$U,10,FALSE))
+$K40*IF(ISNA(VLOOKUP($B40&amp;"; "&amp;$L$38&amp;", "&amp;H$39,'FE Fret'!$G:$U,10,FALSE)),0,VLOOKUP($B40&amp;"; "&amp;$L$38&amp;", "&amp;H$39,'FE Fret'!$G:$U,10,FALSE))</f>
        <v>11550</v>
      </c>
      <c r="AI40" s="565">
        <f>$G40*IF(ISNA(VLOOKUP($B40&amp;"; "&amp;$H$38&amp;", "&amp;I$39,'FE Fret'!$G:$U,10,FALSE)),0,VLOOKUP($B40&amp;"; "&amp;$H$38&amp;", "&amp;I$39,'FE Fret'!$G:$U,10,FALSE))
+$K40*IF(ISNA(VLOOKUP($B40&amp;"; "&amp;$L$38&amp;", "&amp;I$39,'FE Fret'!$G:$U,10,FALSE)),0,VLOOKUP($B40&amp;"; "&amp;$L$38&amp;", "&amp;I$39,'FE Fret'!$G:$U,10,FALSE))</f>
        <v>47325</v>
      </c>
      <c r="AJ40" s="565">
        <f>$G40*IF(ISNA(VLOOKUP($B40&amp;"; "&amp;$H$38&amp;", "&amp;J$39,'FE Fret'!$G:$U,10,FALSE)),0,VLOOKUP($B40&amp;"; "&amp;$H$38&amp;", "&amp;J$39,'FE Fret'!$G:$U,10,FALSE))
+$K40*IF(ISNA(VLOOKUP($B40&amp;"; "&amp;$L$38&amp;", "&amp;J$39,'FE Fret'!$G:$U,10,FALSE)),0,VLOOKUP($B40&amp;"; "&amp;$L$38&amp;", "&amp;J$39,'FE Fret'!$G:$U,10,FALSE))</f>
        <v>2850</v>
      </c>
      <c r="AK40" s="565">
        <f>$G40*IF(ISNA((VLOOKUP($B40&amp;"; "&amp;$H$38&amp;", "&amp;H$39,'FE Fret'!$G:$U,12,FALSE)+VLOOKUP($B40&amp;"; "&amp;$H$38&amp;", "&amp;H$39,'FE Fret'!$G:$U,11,FALSE))),0,(VLOOKUP($B40&amp;"; "&amp;$H$38&amp;", "&amp;H$39,'FE Fret'!$G:$U,12,FALSE)+VLOOKUP($B40&amp;"; "&amp;$H$38&amp;", "&amp;H$39,'FE Fret'!$G:$U,11,FALSE)))
+$K40*IF(ISNA((VLOOKUP($B40&amp;"; "&amp;$L$38&amp;", "&amp;H$39,'FE Fret'!$G:$U,12,FALSE)+VLOOKUP($B40&amp;"; "&amp;$L$38&amp;", "&amp;H$39,'FE Fret'!$G:$U,11,FALSE))),0,(VLOOKUP($B40&amp;"; "&amp;$L$38&amp;", "&amp;H$39,'FE Fret'!$G:$U,12,FALSE)+VLOOKUP($B40&amp;"; "&amp;$L$38&amp;", "&amp;H$39,'FE Fret'!$G:$U,11,FALSE)))</f>
        <v>0</v>
      </c>
      <c r="AL40" s="565">
        <f>$G40*IF(ISNA((VLOOKUP($B40&amp;"; "&amp;$H$38&amp;", "&amp;I$39,'FE Fret'!$G:$U,12,FALSE)+VLOOKUP($B40&amp;"; "&amp;$H$38&amp;", "&amp;I$39,'FE Fret'!$G:$U,11,FALSE))),0,(VLOOKUP($B40&amp;"; "&amp;$H$38&amp;", "&amp;I$39,'FE Fret'!$G:$U,12,FALSE)+VLOOKUP($B40&amp;"; "&amp;$H$38&amp;", "&amp;I$39,'FE Fret'!$G:$U,11,FALSE)))
+$K40*IF(ISNA((VLOOKUP($B40&amp;"; "&amp;$L$38&amp;", "&amp;I$39,'FE Fret'!$G:$U,12,FALSE)+VLOOKUP($B40&amp;"; "&amp;$L$38&amp;", "&amp;I$39,'FE Fret'!$G:$U,11,FALSE))),0,(VLOOKUP($B40&amp;"; "&amp;$L$38&amp;", "&amp;I$39,'FE Fret'!$G:$U,12,FALSE)+VLOOKUP($B40&amp;"; "&amp;$L$38&amp;", "&amp;I$39,'FE Fret'!$G:$U,11,FALSE)))</f>
        <v>0</v>
      </c>
      <c r="AM40" s="565">
        <f>$G40*IF(ISNA((VLOOKUP($B40&amp;"; "&amp;$H$38&amp;", "&amp;J$39,'FE Fret'!$G:$U,12,FALSE)+VLOOKUP($B40&amp;"; "&amp;$H$38&amp;", "&amp;J$39,'FE Fret'!$G:$U,11,FALSE))),0,(VLOOKUP($B40&amp;"; "&amp;$H$38&amp;", "&amp;J$39,'FE Fret'!$G:$U,12,FALSE)+VLOOKUP($B40&amp;"; "&amp;$H$38&amp;", "&amp;J$39,'FE Fret'!$G:$U,11,FALSE)))
+$K40*IF(ISNA((VLOOKUP($B40&amp;"; "&amp;$L$38&amp;", "&amp;J$39,'FE Fret'!$G:$U,12,FALSE)+VLOOKUP($B40&amp;"; "&amp;$L$38&amp;", "&amp;J$39,'FE Fret'!$G:$U,11,FALSE))),0,(VLOOKUP($B40&amp;"; "&amp;$L$38&amp;", "&amp;J$39,'FE Fret'!$G:$U,12,FALSE)+VLOOKUP($B40&amp;"; "&amp;$L$38&amp;", "&amp;J$39,'FE Fret'!$G:$U,11,FALSE)))</f>
        <v>0</v>
      </c>
      <c r="AN40" s="565">
        <f>$G40*IF(ISNA(VLOOKUP($B40&amp;"; "&amp;$H$38&amp;", "&amp;H$39,'FE Fret'!$G:$U,13,FALSE)),0,VLOOKUP($B40&amp;"; "&amp;$H$38&amp;", "&amp;H$39,'FE Fret'!$G:$U,13,FALSE))
+$K40*IF(ISNA(VLOOKUP($B40&amp;"; "&amp;$L$38&amp;", "&amp;H$39,'FE Fret'!$G:$U,13,FALSE)),0,VLOOKUP($B40&amp;"; "&amp;$L$38&amp;", "&amp;H$39,'FE Fret'!$G:$U,13,FALSE))</f>
        <v>0</v>
      </c>
      <c r="AO40" s="565">
        <f>$G40*IF(ISNA(VLOOKUP($B40&amp;"; "&amp;$H$38&amp;", "&amp;I$39,'FE Fret'!$G:$U,13,FALSE)),0,VLOOKUP($B40&amp;"; "&amp;$H$38&amp;", "&amp;I$39,'FE Fret'!$G:$U,13,FALSE))
+$K40*IF(ISNA(VLOOKUP($B40&amp;"; "&amp;$L$38&amp;", "&amp;I$39,'FE Fret'!$G:$U,13,FALSE)),0,VLOOKUP($B40&amp;"; "&amp;$L$38&amp;", "&amp;I$39,'FE Fret'!$G:$U,13,FALSE))</f>
        <v>0</v>
      </c>
      <c r="AP40" s="565">
        <f>$G40*IF(ISNA(VLOOKUP($B40&amp;"; "&amp;$H$38&amp;", "&amp;J$39,'FE Fret'!$G:$U,13,FALSE)),0,VLOOKUP($B40&amp;"; "&amp;$H$38&amp;", "&amp;J$39,'FE Fret'!$G:$U,13,FALSE))
+$K40*IF(ISNA(VLOOKUP($B40&amp;"; "&amp;$L$38&amp;", "&amp;J$39,'FE Fret'!$G:$U,13,FALSE)),0,VLOOKUP($B40&amp;"; "&amp;$L$38&amp;", "&amp;J$39,'FE Fret'!$G:$U,13,FALSE))</f>
        <v>0</v>
      </c>
      <c r="AQ40" s="565">
        <v>0</v>
      </c>
      <c r="AR40" s="565">
        <v>0</v>
      </c>
      <c r="AS40" s="565">
        <v>0</v>
      </c>
      <c r="AT40" s="566">
        <f t="shared" ref="AT40:AV44" si="11">SUM(AH40,AK40,AN40,AQ40)</f>
        <v>11550</v>
      </c>
      <c r="AU40" s="566">
        <f t="shared" si="11"/>
        <v>47325</v>
      </c>
      <c r="AV40" s="566">
        <f t="shared" si="11"/>
        <v>2850</v>
      </c>
      <c r="AW40" s="564">
        <f>$G40*IF(ISNA(VLOOKUP($B40&amp;"; "&amp;$H$38&amp;", "&amp;H$39,'FE Fret'!$G:$U,15,FALSE)),0,VLOOKUP($B40&amp;"; "&amp;$H$38&amp;", "&amp;H$39,'FE Fret'!$G:$U,15,FALSE))
+$K40*IF(ISNA(VLOOKUP($B40&amp;"; "&amp;$L$38&amp;", "&amp;H$39,'FE Fret'!$G:$U,15,FALSE)),0,VLOOKUP($B40&amp;"; "&amp;$L$38&amp;", "&amp;H$39,'FE Fret'!$G:$U,15,FALSE))</f>
        <v>0</v>
      </c>
      <c r="AX40" s="565">
        <f>$G40*IF(ISNA(VLOOKUP($B40&amp;"; "&amp;$H$38&amp;", "&amp;I$39,'FE Fret'!$G:$U,15,FALSE)),0,VLOOKUP($B40&amp;"; "&amp;$H$38&amp;", "&amp;I$39,'FE Fret'!$G:$U,15,FALSE))
+$K40*IF(ISNA(VLOOKUP($B40&amp;"; "&amp;$L$38&amp;", "&amp;I$39,'FE Fret'!$G:$U,15,FALSE)),0,VLOOKUP($B40&amp;"; "&amp;$L$38&amp;", "&amp;I$39,'FE Fret'!$G:$U,15,FALSE))</f>
        <v>0</v>
      </c>
      <c r="AY40" s="568">
        <f>$G40*IF(ISNA(VLOOKUP($B40&amp;"; "&amp;$H$38&amp;", "&amp;J$39,'FE Fret'!$G:$U,15,FALSE)),0,VLOOKUP($B40&amp;"; "&amp;$H$38&amp;", "&amp;J$39,'FE Fret'!$G:$U,15,FALSE))
+$K40*IF(ISNA(VLOOKUP($B40&amp;"; "&amp;$L$38&amp;", "&amp;J$39,'FE Fret'!$G:$U,15,FALSE)),0,VLOOKUP($B40&amp;"; "&amp;$L$38&amp;", "&amp;J$39,'FE Fret'!$G:$U,15,FALSE))</f>
        <v>0</v>
      </c>
      <c r="AZ40" s="2292"/>
      <c r="BA40" s="2292"/>
      <c r="BB40" s="2292"/>
      <c r="BC40" s="2292"/>
      <c r="BD40" s="2292"/>
      <c r="BE40" s="2292"/>
      <c r="BF40" s="2292"/>
      <c r="BH40" s="1065">
        <f>IF($Y40&lt;&gt;"votre valeur :",IF(ISNA(VLOOKUP($Y40,Utilitaires!$N$566:$O$571,2,FALSE)),,VLOOKUP($Y40,Utilitaires!$N$566:$O$571,2,FALSE)),$Z40)</f>
        <v>0</v>
      </c>
      <c r="BI40" s="1124">
        <f>IF(ISNA(SQRT(SUMSQ(VLOOKUP($B40&amp;"; "&amp;$H$38&amp;", "&amp;H$39,'FE Fret'!$G:$U,7,FALSE),$BH40))),0,SQRT(SUMSQ(VLOOKUP($B40&amp;"; "&amp;$H$38&amp;", "&amp;H$39,'FE Fret'!$G:$U,7,FALSE),$BH40)))</f>
        <v>0</v>
      </c>
      <c r="BJ40" s="1124">
        <f>IF(ISNA(SQRT(SUMSQ(VLOOKUP($B40&amp;"; "&amp;$H$38&amp;", "&amp;I$39,'FE Fret'!$G:$U,7,FALSE),$BH40))),0,SQRT(SUMSQ(VLOOKUP($B40&amp;"; "&amp;$H$38&amp;", "&amp;I$39,'FE Fret'!$G:$U,7,FALSE),$BH40)))</f>
        <v>0</v>
      </c>
      <c r="BK40" s="1124">
        <f>IF(ISNA(SQRT(SUMSQ(VLOOKUP($B40&amp;"; "&amp;$H$38&amp;", "&amp;J$39,'FE Fret'!$G:$U,7,FALSE),$BH40))),0,SQRT(SUMSQ(VLOOKUP($B40&amp;"; "&amp;$H$38&amp;", "&amp;J$39,'FE Fret'!$G:$U,7,FALSE),$BH40)))</f>
        <v>0</v>
      </c>
      <c r="BL40" s="1124">
        <f>IF(ISNA(SQRT(SUMSQ(VLOOKUP($B40&amp;"; "&amp;$L$38&amp;", "&amp;L$39,'FE Fret'!$G:$U,7,FALSE),$BH40))),0,SQRT(SUMSQ(VLOOKUP($B40&amp;"; "&amp;$L$38&amp;", "&amp;L$39,'FE Fret'!$G:$U,7,FALSE),$BH40)))</f>
        <v>0.7</v>
      </c>
      <c r="BM40" s="1130">
        <f>IF(ISNA(SQRT(SUMSQ(VLOOKUP($B40&amp;"; "&amp;$L$38&amp;", "&amp;M$39,'FE Fret'!$G:$U,7,FALSE),$BH40))),0,SQRT(SUMSQ(VLOOKUP($B40&amp;"; "&amp;$L$38&amp;", "&amp;M$39,'FE Fret'!$G:$U,7,FALSE),$BH40)))</f>
        <v>0.7</v>
      </c>
      <c r="BN40" s="1130">
        <f>IF(ISNA(SQRT(SUMSQ(VLOOKUP($B40&amp;"; "&amp;$L$38&amp;", "&amp;N$39,'FE Fret'!$G:$U,7,FALSE),$BH40))),0,SQRT(SUMSQ(VLOOKUP($B40&amp;"; "&amp;$L$38&amp;", "&amp;N$39,'FE Fret'!$G:$U,7,FALSE),$BH40)))</f>
        <v>0.7</v>
      </c>
    </row>
    <row r="41" spans="1:66" ht="12.75" customHeight="1" outlineLevel="2">
      <c r="B41" s="143" t="s">
        <v>4013</v>
      </c>
      <c r="C41" s="144"/>
      <c r="D41" s="212">
        <f>SUM(O41:Q41)</f>
        <v>31311.035</v>
      </c>
      <c r="E41" s="212"/>
      <c r="F41" s="530" t="s">
        <v>634</v>
      </c>
      <c r="G41" s="120"/>
      <c r="H41" s="335" t="e">
        <f>VLOOKUP($B41&amp;"; "&amp;$H$38&amp;", "&amp;H$39,'FE Fret'!$G:$U,9,FALSE)</f>
        <v>#N/A</v>
      </c>
      <c r="I41" s="335" t="e">
        <f>VLOOKUP($B41&amp;"; "&amp;$H$38&amp;", "&amp;I$39,'FE Fret'!$G:$U,9,FALSE)</f>
        <v>#N/A</v>
      </c>
      <c r="J41" s="335" t="e">
        <f>VLOOKUP($B41&amp;"; "&amp;$H$38&amp;", "&amp;J$39,'FE Fret'!$G:$U,9,FALSE)</f>
        <v>#N/A</v>
      </c>
      <c r="K41" s="120">
        <v>380450</v>
      </c>
      <c r="L41" s="335">
        <f>VLOOKUP($B41&amp;"; "&amp;$L$38&amp;", "&amp;L$39,'FE Fret'!$G:$U,9,FALSE)</f>
        <v>1.54E-2</v>
      </c>
      <c r="M41" s="335">
        <f>VLOOKUP($B41&amp;"; "&amp;$L$38&amp;", "&amp;M$39,'FE Fret'!$G:$U,9,FALSE)</f>
        <v>6.3100000000000003E-2</v>
      </c>
      <c r="N41" s="335">
        <f>VLOOKUP($B41&amp;"; "&amp;$L$38&amp;", "&amp;N$39,'FE Fret'!$G:$U,9,FALSE)</f>
        <v>3.8E-3</v>
      </c>
      <c r="O41" s="356">
        <f t="shared" si="9"/>
        <v>5858.93</v>
      </c>
      <c r="P41" s="356">
        <f t="shared" si="9"/>
        <v>24006.395</v>
      </c>
      <c r="Q41" s="327">
        <f t="shared" si="9"/>
        <v>1445.71</v>
      </c>
      <c r="R41" s="165">
        <f>IF(OR(F41=Utilitaires!$G$572,F41=Utilitaires!$G$577),P41,0)</f>
        <v>0</v>
      </c>
      <c r="W41" s="262"/>
      <c r="X41" s="1092">
        <f>IF(AE41=0,AE41,AE41/D41)</f>
        <v>0.55339229935727652</v>
      </c>
      <c r="Y41" s="343"/>
      <c r="Z41" s="820"/>
      <c r="AA41" s="164">
        <f t="shared" si="10"/>
        <v>4101.2510000000002</v>
      </c>
      <c r="AB41" s="164">
        <f t="shared" si="10"/>
        <v>16804.476500000001</v>
      </c>
      <c r="AC41" s="164">
        <f t="shared" si="10"/>
        <v>1011.997</v>
      </c>
      <c r="AD41" s="177"/>
      <c r="AE41" s="151">
        <f>SQRT(SUMSQ(AA41:AC41))</f>
        <v>17327.285653906161</v>
      </c>
      <c r="AF41" s="1286">
        <f>R41*X41</f>
        <v>0</v>
      </c>
      <c r="AH41" s="564">
        <f>$G41*IF(ISNA(VLOOKUP($B41&amp;"; "&amp;$H$38&amp;", "&amp;H$39,'FE Fret'!$G:$U,10,FALSE)),0,VLOOKUP($B41&amp;"; "&amp;$H$38&amp;", "&amp;H$39,'FE Fret'!$G:$U,10,FALSE))
+$K41*IF(ISNA(VLOOKUP($B41&amp;"; "&amp;$L$38&amp;", "&amp;H$39,'FE Fret'!$G:$U,10,FALSE)),0,VLOOKUP($B41&amp;"; "&amp;$L$38&amp;", "&amp;H$39,'FE Fret'!$G:$U,10,FALSE))</f>
        <v>5858.93</v>
      </c>
      <c r="AI41" s="565">
        <f>$G41*IF(ISNA(VLOOKUP($B41&amp;"; "&amp;$H$38&amp;", "&amp;I$39,'FE Fret'!$G:$U,10,FALSE)),0,VLOOKUP($B41&amp;"; "&amp;$H$38&amp;", "&amp;I$39,'FE Fret'!$G:$U,10,FALSE))
+$K41*IF(ISNA(VLOOKUP($B41&amp;"; "&amp;$L$38&amp;", "&amp;I$39,'FE Fret'!$G:$U,10,FALSE)),0,VLOOKUP($B41&amp;"; "&amp;$L$38&amp;", "&amp;I$39,'FE Fret'!$G:$U,10,FALSE))</f>
        <v>24006.395</v>
      </c>
      <c r="AJ41" s="565">
        <f>$G41*IF(ISNA(VLOOKUP($B41&amp;"; "&amp;$H$38&amp;", "&amp;J$39,'FE Fret'!$G:$U,10,FALSE)),0,VLOOKUP($B41&amp;"; "&amp;$H$38&amp;", "&amp;J$39,'FE Fret'!$G:$U,10,FALSE))
+$K41*IF(ISNA(VLOOKUP($B41&amp;"; "&amp;$L$38&amp;", "&amp;J$39,'FE Fret'!$G:$U,10,FALSE)),0,VLOOKUP($B41&amp;"; "&amp;$L$38&amp;", "&amp;J$39,'FE Fret'!$G:$U,10,FALSE))</f>
        <v>1445.71</v>
      </c>
      <c r="AK41" s="565">
        <f>$G41*IF(ISNA((VLOOKUP($B41&amp;"; "&amp;$H$38&amp;", "&amp;H$39,'FE Fret'!$G:$U,12,FALSE)+VLOOKUP($B41&amp;"; "&amp;$H$38&amp;", "&amp;H$39,'FE Fret'!$G:$U,11,FALSE))),0,(VLOOKUP($B41&amp;"; "&amp;$H$38&amp;", "&amp;H$39,'FE Fret'!$G:$U,12,FALSE)+VLOOKUP($B41&amp;"; "&amp;$H$38&amp;", "&amp;H$39,'FE Fret'!$G:$U,11,FALSE)))
+$K41*IF(ISNA((VLOOKUP($B41&amp;"; "&amp;$L$38&amp;", "&amp;H$39,'FE Fret'!$G:$U,12,FALSE)+VLOOKUP($B41&amp;"; "&amp;$L$38&amp;", "&amp;H$39,'FE Fret'!$G:$U,11,FALSE))),0,(VLOOKUP($B41&amp;"; "&amp;$L$38&amp;", "&amp;H$39,'FE Fret'!$G:$U,12,FALSE)+VLOOKUP($B41&amp;"; "&amp;$L$38&amp;", "&amp;H$39,'FE Fret'!$G:$U,11,FALSE)))</f>
        <v>0</v>
      </c>
      <c r="AL41" s="565">
        <f>$G41*IF(ISNA((VLOOKUP($B41&amp;"; "&amp;$H$38&amp;", "&amp;I$39,'FE Fret'!$G:$U,12,FALSE)+VLOOKUP($B41&amp;"; "&amp;$H$38&amp;", "&amp;I$39,'FE Fret'!$G:$U,11,FALSE))),0,(VLOOKUP($B41&amp;"; "&amp;$H$38&amp;", "&amp;I$39,'FE Fret'!$G:$U,12,FALSE)+VLOOKUP($B41&amp;"; "&amp;$H$38&amp;", "&amp;I$39,'FE Fret'!$G:$U,11,FALSE)))
+$K41*IF(ISNA((VLOOKUP($B41&amp;"; "&amp;$L$38&amp;", "&amp;I$39,'FE Fret'!$G:$U,12,FALSE)+VLOOKUP($B41&amp;"; "&amp;$L$38&amp;", "&amp;I$39,'FE Fret'!$G:$U,11,FALSE))),0,(VLOOKUP($B41&amp;"; "&amp;$L$38&amp;", "&amp;I$39,'FE Fret'!$G:$U,12,FALSE)+VLOOKUP($B41&amp;"; "&amp;$L$38&amp;", "&amp;I$39,'FE Fret'!$G:$U,11,FALSE)))</f>
        <v>0</v>
      </c>
      <c r="AM41" s="565">
        <f>$G41*IF(ISNA((VLOOKUP($B41&amp;"; "&amp;$H$38&amp;", "&amp;J$39,'FE Fret'!$G:$U,12,FALSE)+VLOOKUP($B41&amp;"; "&amp;$H$38&amp;", "&amp;J$39,'FE Fret'!$G:$U,11,FALSE))),0,(VLOOKUP($B41&amp;"; "&amp;$H$38&amp;", "&amp;J$39,'FE Fret'!$G:$U,12,FALSE)+VLOOKUP($B41&amp;"; "&amp;$H$38&amp;", "&amp;J$39,'FE Fret'!$G:$U,11,FALSE)))
+$K41*IF(ISNA((VLOOKUP($B41&amp;"; "&amp;$L$38&amp;", "&amp;J$39,'FE Fret'!$G:$U,12,FALSE)+VLOOKUP($B41&amp;"; "&amp;$L$38&amp;", "&amp;J$39,'FE Fret'!$G:$U,11,FALSE))),0,(VLOOKUP($B41&amp;"; "&amp;$L$38&amp;", "&amp;J$39,'FE Fret'!$G:$U,12,FALSE)+VLOOKUP($B41&amp;"; "&amp;$L$38&amp;", "&amp;J$39,'FE Fret'!$G:$U,11,FALSE)))</f>
        <v>0</v>
      </c>
      <c r="AN41" s="565">
        <f>$G41*IF(ISNA(VLOOKUP($B41&amp;"; "&amp;$H$38&amp;", "&amp;H$39,'FE Fret'!$G:$U,13,FALSE)),0,VLOOKUP($B41&amp;"; "&amp;$H$38&amp;", "&amp;H$39,'FE Fret'!$G:$U,13,FALSE))
+$K41*IF(ISNA(VLOOKUP($B41&amp;"; "&amp;$L$38&amp;", "&amp;H$39,'FE Fret'!$G:$U,13,FALSE)),0,VLOOKUP($B41&amp;"; "&amp;$L$38&amp;", "&amp;H$39,'FE Fret'!$G:$U,13,FALSE))</f>
        <v>0</v>
      </c>
      <c r="AO41" s="565">
        <f>$G41*IF(ISNA(VLOOKUP($B41&amp;"; "&amp;$H$38&amp;", "&amp;I$39,'FE Fret'!$G:$U,13,FALSE)),0,VLOOKUP($B41&amp;"; "&amp;$H$38&amp;", "&amp;I$39,'FE Fret'!$G:$U,13,FALSE))
+$K41*IF(ISNA(VLOOKUP($B41&amp;"; "&amp;$L$38&amp;", "&amp;I$39,'FE Fret'!$G:$U,13,FALSE)),0,VLOOKUP($B41&amp;"; "&amp;$L$38&amp;", "&amp;I$39,'FE Fret'!$G:$U,13,FALSE))</f>
        <v>0</v>
      </c>
      <c r="AP41" s="565">
        <f>$G41*IF(ISNA(VLOOKUP($B41&amp;"; "&amp;$H$38&amp;", "&amp;J$39,'FE Fret'!$G:$U,13,FALSE)),0,VLOOKUP($B41&amp;"; "&amp;$H$38&amp;", "&amp;J$39,'FE Fret'!$G:$U,13,FALSE))
+$K41*IF(ISNA(VLOOKUP($B41&amp;"; "&amp;$L$38&amp;", "&amp;J$39,'FE Fret'!$G:$U,13,FALSE)),0,VLOOKUP($B41&amp;"; "&amp;$L$38&amp;", "&amp;J$39,'FE Fret'!$G:$U,13,FALSE))</f>
        <v>0</v>
      </c>
      <c r="AQ41" s="565">
        <v>0</v>
      </c>
      <c r="AR41" s="565">
        <v>0</v>
      </c>
      <c r="AS41" s="565">
        <v>0</v>
      </c>
      <c r="AT41" s="566">
        <f t="shared" si="11"/>
        <v>5858.93</v>
      </c>
      <c r="AU41" s="566">
        <f t="shared" si="11"/>
        <v>24006.395</v>
      </c>
      <c r="AV41" s="566">
        <f t="shared" si="11"/>
        <v>1445.71</v>
      </c>
      <c r="AW41" s="564">
        <f>$G41*IF(ISNA(VLOOKUP($B41&amp;"; "&amp;$H$38&amp;", "&amp;H$39,'FE Fret'!$G:$U,15,FALSE)),0,VLOOKUP($B41&amp;"; "&amp;$H$38&amp;", "&amp;H$39,'FE Fret'!$G:$U,15,FALSE))
+$K41*IF(ISNA(VLOOKUP($B41&amp;"; "&amp;$L$38&amp;", "&amp;H$39,'FE Fret'!$G:$U,15,FALSE)),0,VLOOKUP($B41&amp;"; "&amp;$L$38&amp;", "&amp;H$39,'FE Fret'!$G:$U,15,FALSE))</f>
        <v>0</v>
      </c>
      <c r="AX41" s="565">
        <f>$G41*IF(ISNA(VLOOKUP($B41&amp;"; "&amp;$H$38&amp;", "&amp;I$39,'FE Fret'!$G:$U,15,FALSE)),0,VLOOKUP($B41&amp;"; "&amp;$H$38&amp;", "&amp;I$39,'FE Fret'!$G:$U,15,FALSE))
+$K41*IF(ISNA(VLOOKUP($B41&amp;"; "&amp;$L$38&amp;", "&amp;I$39,'FE Fret'!$G:$U,15,FALSE)),0,VLOOKUP($B41&amp;"; "&amp;$L$38&amp;", "&amp;I$39,'FE Fret'!$G:$U,15,FALSE))</f>
        <v>0</v>
      </c>
      <c r="AY41" s="568">
        <f>$G41*IF(ISNA(VLOOKUP($B41&amp;"; "&amp;$H$38&amp;", "&amp;J$39,'FE Fret'!$G:$U,15,FALSE)),0,VLOOKUP($B41&amp;"; "&amp;$H$38&amp;", "&amp;J$39,'FE Fret'!$G:$U,15,FALSE))
+$K41*IF(ISNA(VLOOKUP($B41&amp;"; "&amp;$L$38&amp;", "&amp;J$39,'FE Fret'!$G:$U,15,FALSE)),0,VLOOKUP($B41&amp;"; "&amp;$L$38&amp;", "&amp;J$39,'FE Fret'!$G:$U,15,FALSE))</f>
        <v>0</v>
      </c>
      <c r="AZ41" s="2292"/>
      <c r="BA41" s="2292"/>
      <c r="BB41" s="2292"/>
      <c r="BC41" s="2292"/>
      <c r="BD41" s="2292"/>
      <c r="BE41" s="2292"/>
      <c r="BF41" s="2292"/>
      <c r="BH41" s="1065">
        <f>IF($Y41&lt;&gt;"votre valeur :",IF(ISNA(VLOOKUP($Y41,Utilitaires!$N$566:$O$571,2,FALSE)),,VLOOKUP($Y41,Utilitaires!$N$566:$O$571,2,FALSE)),$Z41)</f>
        <v>0</v>
      </c>
      <c r="BI41" s="1124">
        <f>IF(ISNA(SQRT(SUMSQ(VLOOKUP($B41&amp;"; "&amp;$H$38&amp;", "&amp;H$39,'FE Fret'!$G:$U,7,FALSE),$BH41))),0,SQRT(SUMSQ(VLOOKUP($B41&amp;"; "&amp;$H$38&amp;", "&amp;H$39,'FE Fret'!$G:$U,7,FALSE),$BH41)))</f>
        <v>0</v>
      </c>
      <c r="BJ41" s="1124">
        <f>IF(ISNA(SQRT(SUMSQ(VLOOKUP($B41&amp;"; "&amp;$H$38&amp;", "&amp;I$39,'FE Fret'!$G:$U,7,FALSE),$BH41))),0,SQRT(SUMSQ(VLOOKUP($B41&amp;"; "&amp;$H$38&amp;", "&amp;I$39,'FE Fret'!$G:$U,7,FALSE),$BH41)))</f>
        <v>0</v>
      </c>
      <c r="BK41" s="1124">
        <f>IF(ISNA(SQRT(SUMSQ(VLOOKUP($B41&amp;"; "&amp;$H$38&amp;", "&amp;J$39,'FE Fret'!$G:$U,7,FALSE),$BH41))),0,SQRT(SUMSQ(VLOOKUP($B41&amp;"; "&amp;$H$38&amp;", "&amp;J$39,'FE Fret'!$G:$U,7,FALSE),$BH41)))</f>
        <v>0</v>
      </c>
      <c r="BL41" s="1124">
        <f>IF(ISNA(SQRT(SUMSQ(VLOOKUP($B41&amp;"; "&amp;$L$38&amp;", "&amp;L$39,'FE Fret'!$G:$U,7,FALSE),$BH41))),0,SQRT(SUMSQ(VLOOKUP($B41&amp;"; "&amp;$L$38&amp;", "&amp;L$39,'FE Fret'!$G:$U,7,FALSE),$BH41)))</f>
        <v>0.7</v>
      </c>
      <c r="BM41" s="1130">
        <f>IF(ISNA(SQRT(SUMSQ(VLOOKUP($B41&amp;"; "&amp;$L$38&amp;", "&amp;M$39,'FE Fret'!$G:$U,7,FALSE),$BH41))),0,SQRT(SUMSQ(VLOOKUP($B41&amp;"; "&amp;$L$38&amp;", "&amp;M$39,'FE Fret'!$G:$U,7,FALSE),$BH41)))</f>
        <v>0.7</v>
      </c>
      <c r="BN41" s="1130">
        <f>IF(ISNA(SQRT(SUMSQ(VLOOKUP($B41&amp;"; "&amp;$L$38&amp;", "&amp;N$39,'FE Fret'!$G:$U,7,FALSE),$BH41))),0,SQRT(SUMSQ(VLOOKUP($B41&amp;"; "&amp;$L$38&amp;", "&amp;N$39,'FE Fret'!$G:$U,7,FALSE),$BH41)))</f>
        <v>0.7</v>
      </c>
    </row>
    <row r="42" spans="1:66" ht="12.75" customHeight="1" outlineLevel="2">
      <c r="B42" s="143" t="s">
        <v>4015</v>
      </c>
      <c r="C42" s="144"/>
      <c r="D42" s="212">
        <f>SUM(O42:Q42)</f>
        <v>0</v>
      </c>
      <c r="E42" s="212"/>
      <c r="F42" s="530"/>
      <c r="G42" s="120"/>
      <c r="H42" s="335" t="e">
        <f>VLOOKUP($B42&amp;"; "&amp;$H$38&amp;", "&amp;H$39,'FE Fret'!$G:$U,9,FALSE)</f>
        <v>#N/A</v>
      </c>
      <c r="I42" s="335" t="e">
        <f>VLOOKUP($B42&amp;"; "&amp;$H$38&amp;", "&amp;I$39,'FE Fret'!$G:$U,9,FALSE)</f>
        <v>#N/A</v>
      </c>
      <c r="J42" s="335" t="e">
        <f>VLOOKUP($B42&amp;"; "&amp;$H$38&amp;", "&amp;J$39,'FE Fret'!$G:$U,9,FALSE)</f>
        <v>#N/A</v>
      </c>
      <c r="K42" s="120"/>
      <c r="L42" s="335">
        <f>VLOOKUP($B42&amp;"; "&amp;$L$38&amp;", "&amp;L$39,'FE Fret'!$G:$U,9,FALSE)</f>
        <v>4.2200000000000001E-2</v>
      </c>
      <c r="M42" s="335">
        <f>VLOOKUP($B42&amp;"; "&amp;$L$38&amp;", "&amp;M$39,'FE Fret'!$G:$U,9,FALSE)</f>
        <v>0.14399999999999999</v>
      </c>
      <c r="N42" s="335">
        <f>VLOOKUP($B42&amp;"; "&amp;$L$38&amp;", "&amp;N$39,'FE Fret'!$G:$U,9,FALSE)</f>
        <v>3.3E-3</v>
      </c>
      <c r="O42" s="356">
        <f t="shared" si="9"/>
        <v>0</v>
      </c>
      <c r="P42" s="356">
        <f t="shared" si="9"/>
        <v>0</v>
      </c>
      <c r="Q42" s="327">
        <f t="shared" si="9"/>
        <v>0</v>
      </c>
      <c r="R42" s="165">
        <f>IF(OR(F42=Utilitaires!$G$572,F42=Utilitaires!$G$577),P42,0)</f>
        <v>0</v>
      </c>
      <c r="W42" s="262"/>
      <c r="X42" s="1092">
        <f>IF(AE42=0,AE42,AE42/D42)</f>
        <v>0</v>
      </c>
      <c r="Y42" s="1094"/>
      <c r="Z42" s="820"/>
      <c r="AA42" s="164">
        <f t="shared" si="10"/>
        <v>0</v>
      </c>
      <c r="AB42" s="164">
        <f t="shared" si="10"/>
        <v>0</v>
      </c>
      <c r="AC42" s="164">
        <f t="shared" si="10"/>
        <v>0</v>
      </c>
      <c r="AD42" s="177"/>
      <c r="AE42" s="151">
        <f>SQRT(SUMSQ(AA42:AC42))</f>
        <v>0</v>
      </c>
      <c r="AF42" s="1286">
        <f>R42*X42</f>
        <v>0</v>
      </c>
      <c r="AH42" s="564">
        <f>$G42*IF(ISNA(VLOOKUP($B42&amp;"; "&amp;$H$38&amp;", "&amp;H$39,'FE Fret'!$G:$U,10,FALSE)),0,VLOOKUP($B42&amp;"; "&amp;$H$38&amp;", "&amp;H$39,'FE Fret'!$G:$U,10,FALSE))
+$K42*IF(ISNA(VLOOKUP($B42&amp;"; "&amp;$L$38&amp;", "&amp;H$39,'FE Fret'!$G:$U,10,FALSE)),0,VLOOKUP($B42&amp;"; "&amp;$L$38&amp;", "&amp;H$39,'FE Fret'!$G:$U,10,FALSE))</f>
        <v>0</v>
      </c>
      <c r="AI42" s="565">
        <f>$G42*IF(ISNA(VLOOKUP($B42&amp;"; "&amp;$H$38&amp;", "&amp;I$39,'FE Fret'!$G:$U,10,FALSE)),0,VLOOKUP($B42&amp;"; "&amp;$H$38&amp;", "&amp;I$39,'FE Fret'!$G:$U,10,FALSE))
+$K42*IF(ISNA(VLOOKUP($B42&amp;"; "&amp;$L$38&amp;", "&amp;I$39,'FE Fret'!$G:$U,10,FALSE)),0,VLOOKUP($B42&amp;"; "&amp;$L$38&amp;", "&amp;I$39,'FE Fret'!$G:$U,10,FALSE))</f>
        <v>0</v>
      </c>
      <c r="AJ42" s="565">
        <f>$G42*IF(ISNA(VLOOKUP($B42&amp;"; "&amp;$H$38&amp;", "&amp;J$39,'FE Fret'!$G:$U,10,FALSE)),0,VLOOKUP($B42&amp;"; "&amp;$H$38&amp;", "&amp;J$39,'FE Fret'!$G:$U,10,FALSE))
+$K42*IF(ISNA(VLOOKUP($B42&amp;"; "&amp;$L$38&amp;", "&amp;J$39,'FE Fret'!$G:$U,10,FALSE)),0,VLOOKUP($B42&amp;"; "&amp;$L$38&amp;", "&amp;J$39,'FE Fret'!$G:$U,10,FALSE))</f>
        <v>0</v>
      </c>
      <c r="AK42" s="565">
        <f>$G42*IF(ISNA((VLOOKUP($B42&amp;"; "&amp;$H$38&amp;", "&amp;H$39,'FE Fret'!$G:$U,12,FALSE)+VLOOKUP($B42&amp;"; "&amp;$H$38&amp;", "&amp;H$39,'FE Fret'!$G:$U,11,FALSE))),0,(VLOOKUP($B42&amp;"; "&amp;$H$38&amp;", "&amp;H$39,'FE Fret'!$G:$U,12,FALSE)+VLOOKUP($B42&amp;"; "&amp;$H$38&amp;", "&amp;H$39,'FE Fret'!$G:$U,11,FALSE)))
+$K42*IF(ISNA((VLOOKUP($B42&amp;"; "&amp;$L$38&amp;", "&amp;H$39,'FE Fret'!$G:$U,12,FALSE)+VLOOKUP($B42&amp;"; "&amp;$L$38&amp;", "&amp;H$39,'FE Fret'!$G:$U,11,FALSE))),0,(VLOOKUP($B42&amp;"; "&amp;$L$38&amp;", "&amp;H$39,'FE Fret'!$G:$U,12,FALSE)+VLOOKUP($B42&amp;"; "&amp;$L$38&amp;", "&amp;H$39,'FE Fret'!$G:$U,11,FALSE)))</f>
        <v>0</v>
      </c>
      <c r="AL42" s="565">
        <f>$G42*IF(ISNA((VLOOKUP($B42&amp;"; "&amp;$H$38&amp;", "&amp;I$39,'FE Fret'!$G:$U,12,FALSE)+VLOOKUP($B42&amp;"; "&amp;$H$38&amp;", "&amp;I$39,'FE Fret'!$G:$U,11,FALSE))),0,(VLOOKUP($B42&amp;"; "&amp;$H$38&amp;", "&amp;I$39,'FE Fret'!$G:$U,12,FALSE)+VLOOKUP($B42&amp;"; "&amp;$H$38&amp;", "&amp;I$39,'FE Fret'!$G:$U,11,FALSE)))
+$K42*IF(ISNA((VLOOKUP($B42&amp;"; "&amp;$L$38&amp;", "&amp;I$39,'FE Fret'!$G:$U,12,FALSE)+VLOOKUP($B42&amp;"; "&amp;$L$38&amp;", "&amp;I$39,'FE Fret'!$G:$U,11,FALSE))),0,(VLOOKUP($B42&amp;"; "&amp;$L$38&amp;", "&amp;I$39,'FE Fret'!$G:$U,12,FALSE)+VLOOKUP($B42&amp;"; "&amp;$L$38&amp;", "&amp;I$39,'FE Fret'!$G:$U,11,FALSE)))</f>
        <v>0</v>
      </c>
      <c r="AM42" s="565">
        <f>$G42*IF(ISNA((VLOOKUP($B42&amp;"; "&amp;$H$38&amp;", "&amp;J$39,'FE Fret'!$G:$U,12,FALSE)+VLOOKUP($B42&amp;"; "&amp;$H$38&amp;", "&amp;J$39,'FE Fret'!$G:$U,11,FALSE))),0,(VLOOKUP($B42&amp;"; "&amp;$H$38&amp;", "&amp;J$39,'FE Fret'!$G:$U,12,FALSE)+VLOOKUP($B42&amp;"; "&amp;$H$38&amp;", "&amp;J$39,'FE Fret'!$G:$U,11,FALSE)))
+$K42*IF(ISNA((VLOOKUP($B42&amp;"; "&amp;$L$38&amp;", "&amp;J$39,'FE Fret'!$G:$U,12,FALSE)+VLOOKUP($B42&amp;"; "&amp;$L$38&amp;", "&amp;J$39,'FE Fret'!$G:$U,11,FALSE))),0,(VLOOKUP($B42&amp;"; "&amp;$L$38&amp;", "&amp;J$39,'FE Fret'!$G:$U,12,FALSE)+VLOOKUP($B42&amp;"; "&amp;$L$38&amp;", "&amp;J$39,'FE Fret'!$G:$U,11,FALSE)))</f>
        <v>0</v>
      </c>
      <c r="AN42" s="565">
        <f>$G42*IF(ISNA(VLOOKUP($B42&amp;"; "&amp;$H$38&amp;", "&amp;H$39,'FE Fret'!$G:$U,13,FALSE)),0,VLOOKUP($B42&amp;"; "&amp;$H$38&amp;", "&amp;H$39,'FE Fret'!$G:$U,13,FALSE))
+$K42*IF(ISNA(VLOOKUP($B42&amp;"; "&amp;$L$38&amp;", "&amp;H$39,'FE Fret'!$G:$U,13,FALSE)),0,VLOOKUP($B42&amp;"; "&amp;$L$38&amp;", "&amp;H$39,'FE Fret'!$G:$U,13,FALSE))</f>
        <v>0</v>
      </c>
      <c r="AO42" s="565">
        <f>$G42*IF(ISNA(VLOOKUP($B42&amp;"; "&amp;$H$38&amp;", "&amp;I$39,'FE Fret'!$G:$U,13,FALSE)),0,VLOOKUP($B42&amp;"; "&amp;$H$38&amp;", "&amp;I$39,'FE Fret'!$G:$U,13,FALSE))
+$K42*IF(ISNA(VLOOKUP($B42&amp;"; "&amp;$L$38&amp;", "&amp;I$39,'FE Fret'!$G:$U,13,FALSE)),0,VLOOKUP($B42&amp;"; "&amp;$L$38&amp;", "&amp;I$39,'FE Fret'!$G:$U,13,FALSE))</f>
        <v>0</v>
      </c>
      <c r="AP42" s="565">
        <f>$G42*IF(ISNA(VLOOKUP($B42&amp;"; "&amp;$H$38&amp;", "&amp;J$39,'FE Fret'!$G:$U,13,FALSE)),0,VLOOKUP($B42&amp;"; "&amp;$H$38&amp;", "&amp;J$39,'FE Fret'!$G:$U,13,FALSE))
+$K42*IF(ISNA(VLOOKUP($B42&amp;"; "&amp;$L$38&amp;", "&amp;J$39,'FE Fret'!$G:$U,13,FALSE)),0,VLOOKUP($B42&amp;"; "&amp;$L$38&amp;", "&amp;J$39,'FE Fret'!$G:$U,13,FALSE))</f>
        <v>0</v>
      </c>
      <c r="AQ42" s="565">
        <v>0</v>
      </c>
      <c r="AR42" s="565">
        <v>0</v>
      </c>
      <c r="AS42" s="565">
        <v>0</v>
      </c>
      <c r="AT42" s="566">
        <f t="shared" si="11"/>
        <v>0</v>
      </c>
      <c r="AU42" s="566">
        <f t="shared" si="11"/>
        <v>0</v>
      </c>
      <c r="AV42" s="566">
        <f t="shared" si="11"/>
        <v>0</v>
      </c>
      <c r="AW42" s="564">
        <f>$G42*IF(ISNA(VLOOKUP($B42&amp;"; "&amp;$H$38&amp;", "&amp;H$39,'FE Fret'!$G:$U,15,FALSE)),0,VLOOKUP($B42&amp;"; "&amp;$H$38&amp;", "&amp;H$39,'FE Fret'!$G:$U,15,FALSE))
+$K42*IF(ISNA(VLOOKUP($B42&amp;"; "&amp;$L$38&amp;", "&amp;H$39,'FE Fret'!$G:$U,15,FALSE)),0,VLOOKUP($B42&amp;"; "&amp;$L$38&amp;", "&amp;H$39,'FE Fret'!$G:$U,15,FALSE))</f>
        <v>0</v>
      </c>
      <c r="AX42" s="565">
        <f>$G42*IF(ISNA(VLOOKUP($B42&amp;"; "&amp;$H$38&amp;", "&amp;I$39,'FE Fret'!$G:$U,15,FALSE)),0,VLOOKUP($B42&amp;"; "&amp;$H$38&amp;", "&amp;I$39,'FE Fret'!$G:$U,15,FALSE))
+$K42*IF(ISNA(VLOOKUP($B42&amp;"; "&amp;$L$38&amp;", "&amp;I$39,'FE Fret'!$G:$U,15,FALSE)),0,VLOOKUP($B42&amp;"; "&amp;$L$38&amp;", "&amp;I$39,'FE Fret'!$G:$U,15,FALSE))</f>
        <v>0</v>
      </c>
      <c r="AY42" s="568">
        <f>$G42*IF(ISNA(VLOOKUP($B42&amp;"; "&amp;$H$38&amp;", "&amp;J$39,'FE Fret'!$G:$U,15,FALSE)),0,VLOOKUP($B42&amp;"; "&amp;$H$38&amp;", "&amp;J$39,'FE Fret'!$G:$U,15,FALSE))
+$K42*IF(ISNA(VLOOKUP($B42&amp;"; "&amp;$L$38&amp;", "&amp;J$39,'FE Fret'!$G:$U,15,FALSE)),0,VLOOKUP($B42&amp;"; "&amp;$L$38&amp;", "&amp;J$39,'FE Fret'!$G:$U,15,FALSE))</f>
        <v>0</v>
      </c>
      <c r="AZ42" s="2292"/>
      <c r="BA42" s="2292"/>
      <c r="BB42" s="2292"/>
      <c r="BC42" s="2292"/>
      <c r="BD42" s="2292"/>
      <c r="BE42" s="2292"/>
      <c r="BF42" s="2292"/>
      <c r="BH42" s="1065">
        <f>IF($Y42&lt;&gt;"votre valeur :",IF(ISNA(VLOOKUP($Y42,Utilitaires!$N$566:$O$571,2,FALSE)),,VLOOKUP($Y42,Utilitaires!$N$566:$O$571,2,FALSE)),$Z42)</f>
        <v>0</v>
      </c>
      <c r="BI42" s="1124">
        <f>IF(ISNA(SQRT(SUMSQ(VLOOKUP($B42&amp;"; "&amp;$H$38&amp;", "&amp;H$39,'FE Fret'!$G:$U,7,FALSE),$BH42))),0,SQRT(SUMSQ(VLOOKUP($B42&amp;"; "&amp;$H$38&amp;", "&amp;H$39,'FE Fret'!$G:$U,7,FALSE),$BH42)))</f>
        <v>0</v>
      </c>
      <c r="BJ42" s="1124">
        <f>IF(ISNA(SQRT(SUMSQ(VLOOKUP($B42&amp;"; "&amp;$H$38&amp;", "&amp;I$39,'FE Fret'!$G:$U,7,FALSE),$BH42))),0,SQRT(SUMSQ(VLOOKUP($B42&amp;"; "&amp;$H$38&amp;", "&amp;I$39,'FE Fret'!$G:$U,7,FALSE),$BH42)))</f>
        <v>0</v>
      </c>
      <c r="BK42" s="1124">
        <f>IF(ISNA(SQRT(SUMSQ(VLOOKUP($B42&amp;"; "&amp;$H$38&amp;", "&amp;J$39,'FE Fret'!$G:$U,7,FALSE),$BH42))),0,SQRT(SUMSQ(VLOOKUP($B42&amp;"; "&amp;$H$38&amp;", "&amp;J$39,'FE Fret'!$G:$U,7,FALSE),$BH42)))</f>
        <v>0</v>
      </c>
      <c r="BL42" s="1124">
        <f>IF(ISNA(SQRT(SUMSQ(VLOOKUP($B42&amp;"; "&amp;$L$38&amp;", "&amp;L$39,'FE Fret'!$G:$U,7,FALSE),$BH42))),0,SQRT(SUMSQ(VLOOKUP($B42&amp;"; "&amp;$L$38&amp;", "&amp;L$39,'FE Fret'!$G:$U,7,FALSE),$BH42)))</f>
        <v>0.7</v>
      </c>
      <c r="BM42" s="1130">
        <f>IF(ISNA(SQRT(SUMSQ(VLOOKUP($B42&amp;"; "&amp;$L$38&amp;", "&amp;M$39,'FE Fret'!$G:$U,7,FALSE),$BH42))),0,SQRT(SUMSQ(VLOOKUP($B42&amp;"; "&amp;$L$38&amp;", "&amp;M$39,'FE Fret'!$G:$U,7,FALSE),$BH42)))</f>
        <v>0.7</v>
      </c>
      <c r="BN42" s="1130">
        <f>IF(ISNA(SQRT(SUMSQ(VLOOKUP($B42&amp;"; "&amp;$L$38&amp;", "&amp;N$39,'FE Fret'!$G:$U,7,FALSE),$BH42))),0,SQRT(SUMSQ(VLOOKUP($B42&amp;"; "&amp;$L$38&amp;", "&amp;N$39,'FE Fret'!$G:$U,7,FALSE),$BH42)))</f>
        <v>0.7</v>
      </c>
    </row>
    <row r="43" spans="1:66" ht="12.75" customHeight="1" outlineLevel="2">
      <c r="B43" s="143" t="s">
        <v>4016</v>
      </c>
      <c r="C43" s="144"/>
      <c r="D43" s="212">
        <f>SUM(O43:Q43)</f>
        <v>0</v>
      </c>
      <c r="E43" s="212"/>
      <c r="F43" s="530"/>
      <c r="G43" s="120"/>
      <c r="H43" s="335" t="e">
        <f>VLOOKUP($B43&amp;"; "&amp;$H$38&amp;", "&amp;H$39,'FE Fret'!$G:$U,9,FALSE)</f>
        <v>#N/A</v>
      </c>
      <c r="I43" s="335" t="e">
        <f>VLOOKUP($B43&amp;"; "&amp;$H$38&amp;", "&amp;I$39,'FE Fret'!$G:$U,9,FALSE)</f>
        <v>#N/A</v>
      </c>
      <c r="J43" s="335" t="e">
        <f>VLOOKUP($B43&amp;"; "&amp;$H$38&amp;", "&amp;J$39,'FE Fret'!$G:$U,9,FALSE)</f>
        <v>#N/A</v>
      </c>
      <c r="K43" s="120"/>
      <c r="L43" s="335">
        <f>VLOOKUP($B43&amp;"; "&amp;$L$38&amp;", "&amp;L$39,'FE Fret'!$G:$U,9,FALSE)</f>
        <v>2.4199999999999999E-2</v>
      </c>
      <c r="M43" s="335">
        <f>VLOOKUP($B43&amp;"; "&amp;$L$38&amp;", "&amp;M$39,'FE Fret'!$G:$U,9,FALSE)</f>
        <v>9.9099999999999994E-2</v>
      </c>
      <c r="N43" s="335">
        <f>VLOOKUP($B43&amp;"; "&amp;$L$38&amp;", "&amp;N$39,'FE Fret'!$G:$U,9,FALSE)</f>
        <v>1.1299999999999999E-2</v>
      </c>
      <c r="O43" s="356">
        <f t="shared" si="9"/>
        <v>0</v>
      </c>
      <c r="P43" s="356">
        <f t="shared" si="9"/>
        <v>0</v>
      </c>
      <c r="Q43" s="327">
        <f t="shared" si="9"/>
        <v>0</v>
      </c>
      <c r="R43" s="165">
        <f>IF(OR(F43=Utilitaires!$G$572,F43=Utilitaires!$G$577),P43,0)</f>
        <v>0</v>
      </c>
      <c r="W43" s="262"/>
      <c r="X43" s="1092">
        <f>IF(AE43=0,AE43,AE43/D43)</f>
        <v>0</v>
      </c>
      <c r="Y43" s="1094"/>
      <c r="Z43" s="820"/>
      <c r="AA43" s="164">
        <f t="shared" si="10"/>
        <v>0</v>
      </c>
      <c r="AB43" s="164">
        <f t="shared" si="10"/>
        <v>0</v>
      </c>
      <c r="AC43" s="164">
        <f t="shared" si="10"/>
        <v>0</v>
      </c>
      <c r="AD43" s="177"/>
      <c r="AE43" s="151">
        <f>SQRT(SUMSQ(AA43:AC43))</f>
        <v>0</v>
      </c>
      <c r="AF43" s="1286">
        <f>R43*X43</f>
        <v>0</v>
      </c>
      <c r="AH43" s="564">
        <f>$G43*IF(ISNA(VLOOKUP($B43&amp;"; "&amp;$H$38&amp;", "&amp;H$39,'FE Fret'!$G:$U,10,FALSE)),0,VLOOKUP($B43&amp;"; "&amp;$H$38&amp;", "&amp;H$39,'FE Fret'!$G:$U,10,FALSE))
+$K43*IF(ISNA(VLOOKUP($B43&amp;"; "&amp;$L$38&amp;", "&amp;H$39,'FE Fret'!$G:$U,10,FALSE)),0,VLOOKUP($B43&amp;"; "&amp;$L$38&amp;", "&amp;H$39,'FE Fret'!$G:$U,10,FALSE))</f>
        <v>0</v>
      </c>
      <c r="AI43" s="565">
        <f>$G43*IF(ISNA(VLOOKUP($B43&amp;"; "&amp;$H$38&amp;", "&amp;I$39,'FE Fret'!$G:$U,10,FALSE)),0,VLOOKUP($B43&amp;"; "&amp;$H$38&amp;", "&amp;I$39,'FE Fret'!$G:$U,10,FALSE))
+$K43*IF(ISNA(VLOOKUP($B43&amp;"; "&amp;$L$38&amp;", "&amp;I$39,'FE Fret'!$G:$U,10,FALSE)),0,VLOOKUP($B43&amp;"; "&amp;$L$38&amp;", "&amp;I$39,'FE Fret'!$G:$U,10,FALSE))</f>
        <v>0</v>
      </c>
      <c r="AJ43" s="565">
        <f>$G43*IF(ISNA(VLOOKUP($B43&amp;"; "&amp;$H$38&amp;", "&amp;J$39,'FE Fret'!$G:$U,10,FALSE)),0,VLOOKUP($B43&amp;"; "&amp;$H$38&amp;", "&amp;J$39,'FE Fret'!$G:$U,10,FALSE))
+$K43*IF(ISNA(VLOOKUP($B43&amp;"; "&amp;$L$38&amp;", "&amp;J$39,'FE Fret'!$G:$U,10,FALSE)),0,VLOOKUP($B43&amp;"; "&amp;$L$38&amp;", "&amp;J$39,'FE Fret'!$G:$U,10,FALSE))</f>
        <v>0</v>
      </c>
      <c r="AK43" s="565">
        <f>$G43*IF(ISNA((VLOOKUP($B43&amp;"; "&amp;$H$38&amp;", "&amp;H$39,'FE Fret'!$G:$U,12,FALSE)+VLOOKUP($B43&amp;"; "&amp;$H$38&amp;", "&amp;H$39,'FE Fret'!$G:$U,11,FALSE))),0,(VLOOKUP($B43&amp;"; "&amp;$H$38&amp;", "&amp;H$39,'FE Fret'!$G:$U,12,FALSE)+VLOOKUP($B43&amp;"; "&amp;$H$38&amp;", "&amp;H$39,'FE Fret'!$G:$U,11,FALSE)))
+$K43*IF(ISNA((VLOOKUP($B43&amp;"; "&amp;$L$38&amp;", "&amp;H$39,'FE Fret'!$G:$U,12,FALSE)+VLOOKUP($B43&amp;"; "&amp;$L$38&amp;", "&amp;H$39,'FE Fret'!$G:$U,11,FALSE))),0,(VLOOKUP($B43&amp;"; "&amp;$L$38&amp;", "&amp;H$39,'FE Fret'!$G:$U,12,FALSE)+VLOOKUP($B43&amp;"; "&amp;$L$38&amp;", "&amp;H$39,'FE Fret'!$G:$U,11,FALSE)))</f>
        <v>0</v>
      </c>
      <c r="AL43" s="565">
        <f>$G43*IF(ISNA((VLOOKUP($B43&amp;"; "&amp;$H$38&amp;", "&amp;I$39,'FE Fret'!$G:$U,12,FALSE)+VLOOKUP($B43&amp;"; "&amp;$H$38&amp;", "&amp;I$39,'FE Fret'!$G:$U,11,FALSE))),0,(VLOOKUP($B43&amp;"; "&amp;$H$38&amp;", "&amp;I$39,'FE Fret'!$G:$U,12,FALSE)+VLOOKUP($B43&amp;"; "&amp;$H$38&amp;", "&amp;I$39,'FE Fret'!$G:$U,11,FALSE)))
+$K43*IF(ISNA((VLOOKUP($B43&amp;"; "&amp;$L$38&amp;", "&amp;I$39,'FE Fret'!$G:$U,12,FALSE)+VLOOKUP($B43&amp;"; "&amp;$L$38&amp;", "&amp;I$39,'FE Fret'!$G:$U,11,FALSE))),0,(VLOOKUP($B43&amp;"; "&amp;$L$38&amp;", "&amp;I$39,'FE Fret'!$G:$U,12,FALSE)+VLOOKUP($B43&amp;"; "&amp;$L$38&amp;", "&amp;I$39,'FE Fret'!$G:$U,11,FALSE)))</f>
        <v>0</v>
      </c>
      <c r="AM43" s="565">
        <f>$G43*IF(ISNA((VLOOKUP($B43&amp;"; "&amp;$H$38&amp;", "&amp;J$39,'FE Fret'!$G:$U,12,FALSE)+VLOOKUP($B43&amp;"; "&amp;$H$38&amp;", "&amp;J$39,'FE Fret'!$G:$U,11,FALSE))),0,(VLOOKUP($B43&amp;"; "&amp;$H$38&amp;", "&amp;J$39,'FE Fret'!$G:$U,12,FALSE)+VLOOKUP($B43&amp;"; "&amp;$H$38&amp;", "&amp;J$39,'FE Fret'!$G:$U,11,FALSE)))
+$K43*IF(ISNA((VLOOKUP($B43&amp;"; "&amp;$L$38&amp;", "&amp;J$39,'FE Fret'!$G:$U,12,FALSE)+VLOOKUP($B43&amp;"; "&amp;$L$38&amp;", "&amp;J$39,'FE Fret'!$G:$U,11,FALSE))),0,(VLOOKUP($B43&amp;"; "&amp;$L$38&amp;", "&amp;J$39,'FE Fret'!$G:$U,12,FALSE)+VLOOKUP($B43&amp;"; "&amp;$L$38&amp;", "&amp;J$39,'FE Fret'!$G:$U,11,FALSE)))</f>
        <v>0</v>
      </c>
      <c r="AN43" s="565">
        <f>$G43*IF(ISNA(VLOOKUP($B43&amp;"; "&amp;$H$38&amp;", "&amp;H$39,'FE Fret'!$G:$U,13,FALSE)),0,VLOOKUP($B43&amp;"; "&amp;$H$38&amp;", "&amp;H$39,'FE Fret'!$G:$U,13,FALSE))
+$K43*IF(ISNA(VLOOKUP($B43&amp;"; "&amp;$L$38&amp;", "&amp;H$39,'FE Fret'!$G:$U,13,FALSE)),0,VLOOKUP($B43&amp;"; "&amp;$L$38&amp;", "&amp;H$39,'FE Fret'!$G:$U,13,FALSE))</f>
        <v>0</v>
      </c>
      <c r="AO43" s="565">
        <f>$G43*IF(ISNA(VLOOKUP($B43&amp;"; "&amp;$H$38&amp;", "&amp;I$39,'FE Fret'!$G:$U,13,FALSE)),0,VLOOKUP($B43&amp;"; "&amp;$H$38&amp;", "&amp;I$39,'FE Fret'!$G:$U,13,FALSE))
+$K43*IF(ISNA(VLOOKUP($B43&amp;"; "&amp;$L$38&amp;", "&amp;I$39,'FE Fret'!$G:$U,13,FALSE)),0,VLOOKUP($B43&amp;"; "&amp;$L$38&amp;", "&amp;I$39,'FE Fret'!$G:$U,13,FALSE))</f>
        <v>0</v>
      </c>
      <c r="AP43" s="565">
        <f>$G43*IF(ISNA(VLOOKUP($B43&amp;"; "&amp;$H$38&amp;", "&amp;J$39,'FE Fret'!$G:$U,13,FALSE)),0,VLOOKUP($B43&amp;"; "&amp;$H$38&amp;", "&amp;J$39,'FE Fret'!$G:$U,13,FALSE))
+$K43*IF(ISNA(VLOOKUP($B43&amp;"; "&amp;$L$38&amp;", "&amp;J$39,'FE Fret'!$G:$U,13,FALSE)),0,VLOOKUP($B43&amp;"; "&amp;$L$38&amp;", "&amp;J$39,'FE Fret'!$G:$U,13,FALSE))</f>
        <v>0</v>
      </c>
      <c r="AQ43" s="565">
        <v>0</v>
      </c>
      <c r="AR43" s="565">
        <v>0</v>
      </c>
      <c r="AS43" s="565">
        <v>0</v>
      </c>
      <c r="AT43" s="566">
        <f t="shared" si="11"/>
        <v>0</v>
      </c>
      <c r="AU43" s="566">
        <f t="shared" si="11"/>
        <v>0</v>
      </c>
      <c r="AV43" s="566">
        <f t="shared" si="11"/>
        <v>0</v>
      </c>
      <c r="AW43" s="564">
        <f>$G43*IF(ISNA(VLOOKUP($B43&amp;"; "&amp;$H$38&amp;", "&amp;H$39,'FE Fret'!$G:$U,15,FALSE)),0,VLOOKUP($B43&amp;"; "&amp;$H$38&amp;", "&amp;H$39,'FE Fret'!$G:$U,15,FALSE))
+$K43*IF(ISNA(VLOOKUP($B43&amp;"; "&amp;$L$38&amp;", "&amp;H$39,'FE Fret'!$G:$U,15,FALSE)),0,VLOOKUP($B43&amp;"; "&amp;$L$38&amp;", "&amp;H$39,'FE Fret'!$G:$U,15,FALSE))</f>
        <v>0</v>
      </c>
      <c r="AX43" s="565">
        <f>$G43*IF(ISNA(VLOOKUP($B43&amp;"; "&amp;$H$38&amp;", "&amp;I$39,'FE Fret'!$G:$U,15,FALSE)),0,VLOOKUP($B43&amp;"; "&amp;$H$38&amp;", "&amp;I$39,'FE Fret'!$G:$U,15,FALSE))
+$K43*IF(ISNA(VLOOKUP($B43&amp;"; "&amp;$L$38&amp;", "&amp;I$39,'FE Fret'!$G:$U,15,FALSE)),0,VLOOKUP($B43&amp;"; "&amp;$L$38&amp;", "&amp;I$39,'FE Fret'!$G:$U,15,FALSE))</f>
        <v>0</v>
      </c>
      <c r="AY43" s="568">
        <f>$G43*IF(ISNA(VLOOKUP($B43&amp;"; "&amp;$H$38&amp;", "&amp;J$39,'FE Fret'!$G:$U,15,FALSE)),0,VLOOKUP($B43&amp;"; "&amp;$H$38&amp;", "&amp;J$39,'FE Fret'!$G:$U,15,FALSE))
+$K43*IF(ISNA(VLOOKUP($B43&amp;"; "&amp;$L$38&amp;", "&amp;J$39,'FE Fret'!$G:$U,15,FALSE)),0,VLOOKUP($B43&amp;"; "&amp;$L$38&amp;", "&amp;J$39,'FE Fret'!$G:$U,15,FALSE))</f>
        <v>0</v>
      </c>
      <c r="AZ43" s="2292"/>
      <c r="BA43" s="2292"/>
      <c r="BB43" s="2292"/>
      <c r="BC43" s="2292"/>
      <c r="BD43" s="2292"/>
      <c r="BE43" s="2292"/>
      <c r="BF43" s="2292"/>
      <c r="BH43" s="1065">
        <f>IF($Y43&lt;&gt;"votre valeur :",IF(ISNA(VLOOKUP($Y43,Utilitaires!$N$566:$O$571,2,FALSE)),,VLOOKUP($Y43,Utilitaires!$N$566:$O$571,2,FALSE)),$Z43)</f>
        <v>0</v>
      </c>
      <c r="BI43" s="1124">
        <f>IF(ISNA(SQRT(SUMSQ(VLOOKUP($B43&amp;"; "&amp;$H$38&amp;", "&amp;H$39,'FE Fret'!$G:$U,7,FALSE),$BH43))),0,SQRT(SUMSQ(VLOOKUP($B43&amp;"; "&amp;$H$38&amp;", "&amp;H$39,'FE Fret'!$G:$U,7,FALSE),$BH43)))</f>
        <v>0</v>
      </c>
      <c r="BJ43" s="1124">
        <f>IF(ISNA(SQRT(SUMSQ(VLOOKUP($B43&amp;"; "&amp;$H$38&amp;", "&amp;I$39,'FE Fret'!$G:$U,7,FALSE),$BH43))),0,SQRT(SUMSQ(VLOOKUP($B43&amp;"; "&amp;$H$38&amp;", "&amp;I$39,'FE Fret'!$G:$U,7,FALSE),$BH43)))</f>
        <v>0</v>
      </c>
      <c r="BK43" s="1124">
        <f>IF(ISNA(SQRT(SUMSQ(VLOOKUP($B43&amp;"; "&amp;$H$38&amp;", "&amp;J$39,'FE Fret'!$G:$U,7,FALSE),$BH43))),0,SQRT(SUMSQ(VLOOKUP($B43&amp;"; "&amp;$H$38&amp;", "&amp;J$39,'FE Fret'!$G:$U,7,FALSE),$BH43)))</f>
        <v>0</v>
      </c>
      <c r="BL43" s="1124">
        <f>IF(ISNA(SQRT(SUMSQ(VLOOKUP($B43&amp;"; "&amp;$L$38&amp;", "&amp;L$39,'FE Fret'!$G:$U,7,FALSE),$BH43))),0,SQRT(SUMSQ(VLOOKUP($B43&amp;"; "&amp;$L$38&amp;", "&amp;L$39,'FE Fret'!$G:$U,7,FALSE),$BH43)))</f>
        <v>0.7</v>
      </c>
      <c r="BM43" s="1130">
        <f>IF(ISNA(SQRT(SUMSQ(VLOOKUP($B43&amp;"; "&amp;$L$38&amp;", "&amp;M$39,'FE Fret'!$G:$U,7,FALSE),$BH43))),0,SQRT(SUMSQ(VLOOKUP($B43&amp;"; "&amp;$L$38&amp;", "&amp;M$39,'FE Fret'!$G:$U,7,FALSE),$BH43)))</f>
        <v>0.7</v>
      </c>
      <c r="BN43" s="1130">
        <f>IF(ISNA(SQRT(SUMSQ(VLOOKUP($B43&amp;"; "&amp;$L$38&amp;", "&amp;N$39,'FE Fret'!$G:$U,7,FALSE),$BH43))),0,SQRT(SUMSQ(VLOOKUP($B43&amp;"; "&amp;$L$38&amp;", "&amp;N$39,'FE Fret'!$G:$U,7,FALSE),$BH43)))</f>
        <v>0.7</v>
      </c>
    </row>
    <row r="44" spans="1:66" ht="12.75" customHeight="1" outlineLevel="2">
      <c r="B44" s="143" t="s">
        <v>4112</v>
      </c>
      <c r="C44" s="144"/>
      <c r="D44" s="212">
        <f>SUM(O44:Q44)</f>
        <v>0</v>
      </c>
      <c r="E44" s="212"/>
      <c r="F44" s="347"/>
      <c r="G44" s="123"/>
      <c r="H44" s="335" t="e">
        <f>VLOOKUP($B44&amp;"; "&amp;$H$38&amp;", "&amp;H$39,'FE Fret'!$G:$U,9,FALSE)</f>
        <v>#N/A</v>
      </c>
      <c r="I44" s="335" t="e">
        <f>VLOOKUP($B44&amp;"; "&amp;$H$38&amp;", "&amp;I$39,'FE Fret'!$G:$U,9,FALSE)</f>
        <v>#N/A</v>
      </c>
      <c r="J44" s="335" t="e">
        <f>VLOOKUP($B44&amp;"; "&amp;$H$38&amp;", "&amp;J$39,'FE Fret'!$G:$U,9,FALSE)</f>
        <v>#N/A</v>
      </c>
      <c r="K44" s="123"/>
      <c r="L44" s="335" t="e">
        <f>VLOOKUP($B44&amp;"; "&amp;$L$38&amp;", "&amp;L$39,'FE Fret'!$G:$U,9,FALSE)</f>
        <v>#N/A</v>
      </c>
      <c r="M44" s="335" t="e">
        <f>VLOOKUP($B44&amp;"; "&amp;$L$38&amp;", "&amp;M$39,'FE Fret'!$G:$U,9,FALSE)</f>
        <v>#N/A</v>
      </c>
      <c r="N44" s="335" t="e">
        <f>VLOOKUP($B44&amp;"; "&amp;$L$38&amp;", "&amp;N$39,'FE Fret'!$G:$U,9,FALSE)</f>
        <v>#N/A</v>
      </c>
      <c r="O44" s="356">
        <f t="shared" si="9"/>
        <v>0</v>
      </c>
      <c r="P44" s="356">
        <f t="shared" si="9"/>
        <v>0</v>
      </c>
      <c r="Q44" s="327">
        <f t="shared" si="9"/>
        <v>0</v>
      </c>
      <c r="R44" s="165">
        <f>IF(OR(F44=Utilitaires!$G$572,F44=Utilitaires!$G$577),P44,0)</f>
        <v>0</v>
      </c>
      <c r="W44" s="116"/>
      <c r="X44" s="1092">
        <f>IF(AE44=0,AE44,AE44/D44)</f>
        <v>0</v>
      </c>
      <c r="Y44" s="1094"/>
      <c r="Z44" s="820"/>
      <c r="AA44" s="164">
        <f t="shared" si="10"/>
        <v>0</v>
      </c>
      <c r="AB44" s="164">
        <f t="shared" si="10"/>
        <v>0</v>
      </c>
      <c r="AC44" s="164">
        <f t="shared" si="10"/>
        <v>0</v>
      </c>
      <c r="AD44" s="177"/>
      <c r="AE44" s="151">
        <f>SQRT(SUMSQ(AA44:AC44))</f>
        <v>0</v>
      </c>
      <c r="AF44" s="1286">
        <f>R44*X44</f>
        <v>0</v>
      </c>
      <c r="AH44" s="564">
        <f>$G44*IF(ISNA(VLOOKUP($B44&amp;"; "&amp;$H$38&amp;", "&amp;H$39,'FE Fret'!$G:$U,10,FALSE)),0,VLOOKUP($B44&amp;"; "&amp;$H$38&amp;", "&amp;H$39,'FE Fret'!$G:$U,10,FALSE))
+$K44*IF(ISNA(VLOOKUP($B44&amp;"; "&amp;$L$38&amp;", "&amp;H$39,'FE Fret'!$G:$U,10,FALSE)),0,VLOOKUP($B44&amp;"; "&amp;$L$38&amp;", "&amp;H$39,'FE Fret'!$G:$U,10,FALSE))</f>
        <v>0</v>
      </c>
      <c r="AI44" s="565">
        <f>$G44*IF(ISNA(VLOOKUP($B44&amp;"; "&amp;$H$38&amp;", "&amp;I$39,'FE Fret'!$G:$U,10,FALSE)),0,VLOOKUP($B44&amp;"; "&amp;$H$38&amp;", "&amp;I$39,'FE Fret'!$G:$U,10,FALSE))
+$K44*IF(ISNA(VLOOKUP($B44&amp;"; "&amp;$L$38&amp;", "&amp;I$39,'FE Fret'!$G:$U,10,FALSE)),0,VLOOKUP($B44&amp;"; "&amp;$L$38&amp;", "&amp;I$39,'FE Fret'!$G:$U,10,FALSE))</f>
        <v>0</v>
      </c>
      <c r="AJ44" s="565">
        <f>$G44*IF(ISNA(VLOOKUP($B44&amp;"; "&amp;$H$38&amp;", "&amp;J$39,'FE Fret'!$G:$U,10,FALSE)),0,VLOOKUP($B44&amp;"; "&amp;$H$38&amp;", "&amp;J$39,'FE Fret'!$G:$U,10,FALSE))
+$K44*IF(ISNA(VLOOKUP($B44&amp;"; "&amp;$L$38&amp;", "&amp;J$39,'FE Fret'!$G:$U,10,FALSE)),0,VLOOKUP($B44&amp;"; "&amp;$L$38&amp;", "&amp;J$39,'FE Fret'!$G:$U,10,FALSE))</f>
        <v>0</v>
      </c>
      <c r="AK44" s="565">
        <f>$G44*IF(ISNA((VLOOKUP($B44&amp;"; "&amp;$H$38&amp;", "&amp;H$39,'FE Fret'!$G:$U,12,FALSE)+VLOOKUP($B44&amp;"; "&amp;$H$38&amp;", "&amp;H$39,'FE Fret'!$G:$U,11,FALSE))),0,(VLOOKUP($B44&amp;"; "&amp;$H$38&amp;", "&amp;H$39,'FE Fret'!$G:$U,12,FALSE)+VLOOKUP($B44&amp;"; "&amp;$H$38&amp;", "&amp;H$39,'FE Fret'!$G:$U,11,FALSE)))
+$K44*IF(ISNA((VLOOKUP($B44&amp;"; "&amp;$L$38&amp;", "&amp;H$39,'FE Fret'!$G:$U,12,FALSE)+VLOOKUP($B44&amp;"; "&amp;$L$38&amp;", "&amp;H$39,'FE Fret'!$G:$U,11,FALSE))),0,(VLOOKUP($B44&amp;"; "&amp;$L$38&amp;", "&amp;H$39,'FE Fret'!$G:$U,12,FALSE)+VLOOKUP($B44&amp;"; "&amp;$L$38&amp;", "&amp;H$39,'FE Fret'!$G:$U,11,FALSE)))</f>
        <v>0</v>
      </c>
      <c r="AL44" s="565">
        <f>$G44*IF(ISNA((VLOOKUP($B44&amp;"; "&amp;$H$38&amp;", "&amp;I$39,'FE Fret'!$G:$U,12,FALSE)+VLOOKUP($B44&amp;"; "&amp;$H$38&amp;", "&amp;I$39,'FE Fret'!$G:$U,11,FALSE))),0,(VLOOKUP($B44&amp;"; "&amp;$H$38&amp;", "&amp;I$39,'FE Fret'!$G:$U,12,FALSE)+VLOOKUP($B44&amp;"; "&amp;$H$38&amp;", "&amp;I$39,'FE Fret'!$G:$U,11,FALSE)))
+$K44*IF(ISNA((VLOOKUP($B44&amp;"; "&amp;$L$38&amp;", "&amp;I$39,'FE Fret'!$G:$U,12,FALSE)+VLOOKUP($B44&amp;"; "&amp;$L$38&amp;", "&amp;I$39,'FE Fret'!$G:$U,11,FALSE))),0,(VLOOKUP($B44&amp;"; "&amp;$L$38&amp;", "&amp;I$39,'FE Fret'!$G:$U,12,FALSE)+VLOOKUP($B44&amp;"; "&amp;$L$38&amp;", "&amp;I$39,'FE Fret'!$G:$U,11,FALSE)))</f>
        <v>0</v>
      </c>
      <c r="AM44" s="565">
        <f>$G44*IF(ISNA((VLOOKUP($B44&amp;"; "&amp;$H$38&amp;", "&amp;J$39,'FE Fret'!$G:$U,12,FALSE)+VLOOKUP($B44&amp;"; "&amp;$H$38&amp;", "&amp;J$39,'FE Fret'!$G:$U,11,FALSE))),0,(VLOOKUP($B44&amp;"; "&amp;$H$38&amp;", "&amp;J$39,'FE Fret'!$G:$U,12,FALSE)+VLOOKUP($B44&amp;"; "&amp;$H$38&amp;", "&amp;J$39,'FE Fret'!$G:$U,11,FALSE)))
+$K44*IF(ISNA((VLOOKUP($B44&amp;"; "&amp;$L$38&amp;", "&amp;J$39,'FE Fret'!$G:$U,12,FALSE)+VLOOKUP($B44&amp;"; "&amp;$L$38&amp;", "&amp;J$39,'FE Fret'!$G:$U,11,FALSE))),0,(VLOOKUP($B44&amp;"; "&amp;$L$38&amp;", "&amp;J$39,'FE Fret'!$G:$U,12,FALSE)+VLOOKUP($B44&amp;"; "&amp;$L$38&amp;", "&amp;J$39,'FE Fret'!$G:$U,11,FALSE)))</f>
        <v>0</v>
      </c>
      <c r="AN44" s="565">
        <f>$G44*IF(ISNA(VLOOKUP($B44&amp;"; "&amp;$H$38&amp;", "&amp;H$39,'FE Fret'!$G:$U,13,FALSE)),0,VLOOKUP($B44&amp;"; "&amp;$H$38&amp;", "&amp;H$39,'FE Fret'!$G:$U,13,FALSE))
+$K44*IF(ISNA(VLOOKUP($B44&amp;"; "&amp;$L$38&amp;", "&amp;H$39,'FE Fret'!$G:$U,13,FALSE)),0,VLOOKUP($B44&amp;"; "&amp;$L$38&amp;", "&amp;H$39,'FE Fret'!$G:$U,13,FALSE))</f>
        <v>0</v>
      </c>
      <c r="AO44" s="565">
        <f>$G44*IF(ISNA(VLOOKUP($B44&amp;"; "&amp;$H$38&amp;", "&amp;I$39,'FE Fret'!$G:$U,13,FALSE)),0,VLOOKUP($B44&amp;"; "&amp;$H$38&amp;", "&amp;I$39,'FE Fret'!$G:$U,13,FALSE))
+$K44*IF(ISNA(VLOOKUP($B44&amp;"; "&amp;$L$38&amp;", "&amp;I$39,'FE Fret'!$G:$U,13,FALSE)),0,VLOOKUP($B44&amp;"; "&amp;$L$38&amp;", "&amp;I$39,'FE Fret'!$G:$U,13,FALSE))</f>
        <v>0</v>
      </c>
      <c r="AP44" s="565">
        <f>$G44*IF(ISNA(VLOOKUP($B44&amp;"; "&amp;$H$38&amp;", "&amp;J$39,'FE Fret'!$G:$U,13,FALSE)),0,VLOOKUP($B44&amp;"; "&amp;$H$38&amp;", "&amp;J$39,'FE Fret'!$G:$U,13,FALSE))
+$K44*IF(ISNA(VLOOKUP($B44&amp;"; "&amp;$L$38&amp;", "&amp;J$39,'FE Fret'!$G:$U,13,FALSE)),0,VLOOKUP($B44&amp;"; "&amp;$L$38&amp;", "&amp;J$39,'FE Fret'!$G:$U,13,FALSE))</f>
        <v>0</v>
      </c>
      <c r="AQ44" s="565">
        <v>0</v>
      </c>
      <c r="AR44" s="565">
        <v>0</v>
      </c>
      <c r="AS44" s="565">
        <v>0</v>
      </c>
      <c r="AT44" s="566">
        <f t="shared" si="11"/>
        <v>0</v>
      </c>
      <c r="AU44" s="566">
        <f t="shared" si="11"/>
        <v>0</v>
      </c>
      <c r="AV44" s="566">
        <f t="shared" si="11"/>
        <v>0</v>
      </c>
      <c r="AW44" s="564">
        <f>$G44*IF(ISNA(VLOOKUP($B44&amp;"; "&amp;$H$38&amp;", "&amp;H$39,'FE Fret'!$G:$U,15,FALSE)),0,VLOOKUP($B44&amp;"; "&amp;$H$38&amp;", "&amp;H$39,'FE Fret'!$G:$U,15,FALSE))
+$K44*IF(ISNA(VLOOKUP($B44&amp;"; "&amp;$L$38&amp;", "&amp;H$39,'FE Fret'!$G:$U,15,FALSE)),0,VLOOKUP($B44&amp;"; "&amp;$L$38&amp;", "&amp;H$39,'FE Fret'!$G:$U,15,FALSE))</f>
        <v>0</v>
      </c>
      <c r="AX44" s="565">
        <f>$G44*IF(ISNA(VLOOKUP($B44&amp;"; "&amp;$H$38&amp;", "&amp;I$39,'FE Fret'!$G:$U,15,FALSE)),0,VLOOKUP($B44&amp;"; "&amp;$H$38&amp;", "&amp;I$39,'FE Fret'!$G:$U,15,FALSE))
+$K44*IF(ISNA(VLOOKUP($B44&amp;"; "&amp;$L$38&amp;", "&amp;I$39,'FE Fret'!$G:$U,15,FALSE)),0,VLOOKUP($B44&amp;"; "&amp;$L$38&amp;", "&amp;I$39,'FE Fret'!$G:$U,15,FALSE))</f>
        <v>0</v>
      </c>
      <c r="AY44" s="568">
        <f>$G44*IF(ISNA(VLOOKUP($B44&amp;"; "&amp;$H$38&amp;", "&amp;J$39,'FE Fret'!$G:$U,15,FALSE)),0,VLOOKUP($B44&amp;"; "&amp;$H$38&amp;", "&amp;J$39,'FE Fret'!$G:$U,15,FALSE))
+$K44*IF(ISNA(VLOOKUP($B44&amp;"; "&amp;$L$38&amp;", "&amp;J$39,'FE Fret'!$G:$U,15,FALSE)),0,VLOOKUP($B44&amp;"; "&amp;$L$38&amp;", "&amp;J$39,'FE Fret'!$G:$U,15,FALSE))</f>
        <v>0</v>
      </c>
      <c r="AZ44" s="2292"/>
      <c r="BA44" s="2292"/>
      <c r="BB44" s="2292"/>
      <c r="BC44" s="2292"/>
      <c r="BD44" s="2292"/>
      <c r="BE44" s="2292"/>
      <c r="BF44" s="2292"/>
      <c r="BH44" s="1065">
        <f>IF($Y44&lt;&gt;"votre valeur :",IF(ISNA(VLOOKUP($Y44,Utilitaires!$N$566:$O$571,2,FALSE)),,VLOOKUP($Y44,Utilitaires!$N$566:$O$571,2,FALSE)),$Z44)</f>
        <v>0</v>
      </c>
      <c r="BI44" s="1124">
        <f>IF(ISNA(SQRT(SUMSQ(VLOOKUP($B44&amp;"; "&amp;$H$38&amp;", "&amp;H$39,'FE Fret'!$G:$U,7,FALSE),$BH44))),0,SQRT(SUMSQ(VLOOKUP($B44&amp;"; "&amp;$H$38&amp;", "&amp;H$39,'FE Fret'!$G:$U,7,FALSE),$BH44)))</f>
        <v>0</v>
      </c>
      <c r="BJ44" s="1124">
        <f>IF(ISNA(SQRT(SUMSQ(VLOOKUP($B44&amp;"; "&amp;$H$38&amp;", "&amp;I$39,'FE Fret'!$G:$U,7,FALSE),$BH44))),0,SQRT(SUMSQ(VLOOKUP($B44&amp;"; "&amp;$H$38&amp;", "&amp;I$39,'FE Fret'!$G:$U,7,FALSE),$BH44)))</f>
        <v>0</v>
      </c>
      <c r="BK44" s="1124">
        <f>IF(ISNA(SQRT(SUMSQ(VLOOKUP($B44&amp;"; "&amp;$H$38&amp;", "&amp;J$39,'FE Fret'!$G:$U,7,FALSE),$BH44))),0,SQRT(SUMSQ(VLOOKUP($B44&amp;"; "&amp;$H$38&amp;", "&amp;J$39,'FE Fret'!$G:$U,7,FALSE),$BH44)))</f>
        <v>0</v>
      </c>
      <c r="BL44" s="1124">
        <f>IF(ISNA(SQRT(SUMSQ(VLOOKUP($B44&amp;"; "&amp;$L$38&amp;", "&amp;L$39,'FE Fret'!$G:$U,7,FALSE),$BH44))),0,SQRT(SUMSQ(VLOOKUP($B44&amp;"; "&amp;$L$38&amp;", "&amp;L$39,'FE Fret'!$G:$U,7,FALSE),$BH44)))</f>
        <v>0</v>
      </c>
      <c r="BM44" s="1130">
        <f>IF(ISNA(SQRT(SUMSQ(VLOOKUP($B44&amp;"; "&amp;$L$38&amp;", "&amp;M$39,'FE Fret'!$G:$U,7,FALSE),$BH44))),0,SQRT(SUMSQ(VLOOKUP($B44&amp;"; "&amp;$L$38&amp;", "&amp;M$39,'FE Fret'!$G:$U,7,FALSE),$BH44)))</f>
        <v>0</v>
      </c>
      <c r="BN44" s="1130">
        <f>IF(ISNA(SQRT(SUMSQ(VLOOKUP($B44&amp;"; "&amp;$L$38&amp;", "&amp;N$39,'FE Fret'!$G:$U,7,FALSE),$BH44))),0,SQRT(SUMSQ(VLOOKUP($B44&amp;"; "&amp;$L$38&amp;", "&amp;N$39,'FE Fret'!$G:$U,7,FALSE),$BH44)))</f>
        <v>0</v>
      </c>
    </row>
    <row r="45" spans="1:66" ht="12.75" customHeight="1" outlineLevel="2">
      <c r="B45" s="143"/>
      <c r="C45" s="144"/>
      <c r="D45" s="213"/>
      <c r="E45" s="213"/>
      <c r="F45" s="144"/>
      <c r="G45" s="144"/>
      <c r="H45" s="144"/>
      <c r="I45" s="144"/>
      <c r="J45" s="144"/>
      <c r="K45" s="144"/>
      <c r="L45" s="144"/>
      <c r="M45" s="144"/>
      <c r="N45" s="144"/>
      <c r="O45" s="144"/>
      <c r="P45" s="164"/>
      <c r="Q45" s="145"/>
      <c r="R45" s="145"/>
      <c r="W45" s="116"/>
      <c r="X45" s="143"/>
      <c r="Y45" s="144"/>
      <c r="Z45" s="144"/>
      <c r="AA45" s="144"/>
      <c r="AB45" s="164"/>
      <c r="AC45" s="164"/>
      <c r="AD45" s="177"/>
      <c r="AE45" s="164"/>
      <c r="AF45" s="1286"/>
      <c r="AH45" s="564"/>
      <c r="AI45" s="565"/>
      <c r="AJ45" s="565"/>
      <c r="AK45" s="565"/>
      <c r="AL45" s="565"/>
      <c r="AM45" s="565"/>
      <c r="AN45" s="565"/>
      <c r="AO45" s="565"/>
      <c r="AP45" s="565"/>
      <c r="AQ45" s="565"/>
      <c r="AR45" s="565"/>
      <c r="AS45" s="565"/>
      <c r="AT45" s="566"/>
      <c r="AU45" s="566"/>
      <c r="AV45" s="566"/>
      <c r="AW45" s="564"/>
      <c r="AX45" s="565"/>
      <c r="AY45" s="568"/>
      <c r="AZ45" s="2292"/>
      <c r="BA45" s="2292"/>
      <c r="BB45" s="2292"/>
      <c r="BC45" s="2292"/>
      <c r="BD45" s="2292"/>
      <c r="BE45" s="2292"/>
      <c r="BF45" s="2292"/>
      <c r="BH45" s="1087"/>
      <c r="BI45" s="1075"/>
      <c r="BJ45" s="1131"/>
      <c r="BK45" s="1126"/>
      <c r="BL45" s="1075"/>
      <c r="BM45" s="1131"/>
      <c r="BN45" s="1153"/>
    </row>
    <row r="46" spans="1:66" ht="12.75" customHeight="1" outlineLevel="2">
      <c r="B46" s="1264" t="s">
        <v>348</v>
      </c>
      <c r="C46" s="197"/>
      <c r="D46" s="214">
        <f>SUM(D37:D45)</f>
        <v>93036.035000000003</v>
      </c>
      <c r="E46" s="214"/>
      <c r="F46" s="197"/>
      <c r="G46" s="197"/>
      <c r="H46" s="197"/>
      <c r="I46" s="197"/>
      <c r="J46" s="197"/>
      <c r="K46" s="197"/>
      <c r="L46" s="197"/>
      <c r="M46" s="197"/>
      <c r="N46" s="197"/>
      <c r="O46" s="202">
        <f>SUM(O37:O45)</f>
        <v>17408.93</v>
      </c>
      <c r="P46" s="202">
        <f>SUM(P37:P45)</f>
        <v>71331.395000000004</v>
      </c>
      <c r="Q46" s="200">
        <f>SUM(Q37:Q45)</f>
        <v>4295.71</v>
      </c>
      <c r="R46" s="340">
        <f>SUM(R37:R45)</f>
        <v>0</v>
      </c>
      <c r="W46" s="116"/>
      <c r="X46" s="1203">
        <f>IF(AE46=0,AE46,AE46/D46)</f>
        <v>0.4116857524676733</v>
      </c>
      <c r="Y46" s="199"/>
      <c r="Z46" s="203"/>
      <c r="AA46" s="203">
        <f>SQRT(SUMSQ(AA40:AA45))</f>
        <v>9065.731341982344</v>
      </c>
      <c r="AB46" s="203">
        <f>SQRT(SUMSQ(AB40:AB45))</f>
        <v>37145.951147992593</v>
      </c>
      <c r="AC46" s="203">
        <f>SQRT(SUMSQ(AC40:AC45))</f>
        <v>2236.9986428268121</v>
      </c>
      <c r="AD46" s="203"/>
      <c r="AE46" s="202">
        <f>SQRT(SUMSQ(AE40:AE45))</f>
        <v>38301.610075583791</v>
      </c>
      <c r="AF46" s="1311">
        <f>SQRT(SUMSQ(AF40:AF45))</f>
        <v>0</v>
      </c>
      <c r="AH46" s="1082">
        <f t="shared" ref="AH46:AS46" si="12">SUM(AH37:AH45)</f>
        <v>17408.93</v>
      </c>
      <c r="AI46" s="572">
        <f t="shared" si="12"/>
        <v>71331.395000000004</v>
      </c>
      <c r="AJ46" s="572">
        <f t="shared" si="12"/>
        <v>4295.71</v>
      </c>
      <c r="AK46" s="572">
        <f t="shared" si="12"/>
        <v>0</v>
      </c>
      <c r="AL46" s="572">
        <f t="shared" si="12"/>
        <v>0</v>
      </c>
      <c r="AM46" s="572">
        <f t="shared" si="12"/>
        <v>0</v>
      </c>
      <c r="AN46" s="572">
        <f t="shared" si="12"/>
        <v>0</v>
      </c>
      <c r="AO46" s="572">
        <f t="shared" si="12"/>
        <v>0</v>
      </c>
      <c r="AP46" s="572">
        <f t="shared" si="12"/>
        <v>0</v>
      </c>
      <c r="AQ46" s="572">
        <f t="shared" si="12"/>
        <v>0</v>
      </c>
      <c r="AR46" s="572">
        <f t="shared" si="12"/>
        <v>0</v>
      </c>
      <c r="AS46" s="572">
        <f t="shared" si="12"/>
        <v>0</v>
      </c>
      <c r="AT46" s="573">
        <f t="shared" ref="AT46:AY46" si="13">SUM(AT40:AT45)</f>
        <v>17408.93</v>
      </c>
      <c r="AU46" s="573">
        <f t="shared" si="13"/>
        <v>71331.395000000004</v>
      </c>
      <c r="AV46" s="573">
        <f t="shared" si="13"/>
        <v>4295.71</v>
      </c>
      <c r="AW46" s="1082">
        <f t="shared" si="13"/>
        <v>0</v>
      </c>
      <c r="AX46" s="572">
        <f t="shared" si="13"/>
        <v>0</v>
      </c>
      <c r="AY46" s="575">
        <f t="shared" si="13"/>
        <v>0</v>
      </c>
      <c r="AZ46" s="2292"/>
      <c r="BA46" s="2292"/>
      <c r="BB46" s="2292"/>
      <c r="BC46" s="2292"/>
      <c r="BD46" s="2292"/>
      <c r="BE46" s="2292"/>
      <c r="BF46" s="2292"/>
    </row>
    <row r="47" spans="1:66" ht="12.75" customHeight="1" outlineLevel="2">
      <c r="B47" s="256"/>
      <c r="C47" s="256"/>
      <c r="D47" s="256"/>
      <c r="E47" s="256"/>
      <c r="F47" s="256"/>
      <c r="G47" s="256"/>
      <c r="H47" s="256"/>
      <c r="I47" s="256"/>
      <c r="J47" s="256"/>
      <c r="K47" s="256"/>
      <c r="L47" s="116"/>
      <c r="AQ47" s="588"/>
      <c r="AR47" s="588"/>
      <c r="AS47" s="588"/>
      <c r="AT47" s="588"/>
      <c r="AU47" s="588"/>
      <c r="AV47" s="588"/>
      <c r="AZ47" s="444"/>
      <c r="BA47" s="444"/>
      <c r="BB47" s="444"/>
      <c r="BC47" s="444"/>
      <c r="BD47" s="444"/>
      <c r="BE47" s="444"/>
      <c r="BF47" s="444"/>
    </row>
    <row r="48" spans="1:66" ht="15" customHeight="1" outlineLevel="1">
      <c r="AG48" s="130"/>
      <c r="AQ48" s="588"/>
      <c r="AR48" s="588"/>
      <c r="AS48" s="588"/>
      <c r="AT48" s="588"/>
      <c r="AU48" s="588"/>
      <c r="AV48" s="588"/>
      <c r="AZ48" s="444"/>
      <c r="BA48" s="444"/>
      <c r="BB48" s="444"/>
      <c r="BC48" s="444"/>
      <c r="BD48" s="444"/>
      <c r="BE48" s="444"/>
      <c r="BF48" s="444"/>
    </row>
    <row r="49" spans="1:71" s="109" customFormat="1" ht="15.75" customHeight="1" outlineLevel="1" collapsed="1">
      <c r="A49" s="114"/>
      <c r="B49" s="2842" t="s">
        <v>2231</v>
      </c>
      <c r="C49" s="2843"/>
      <c r="D49" s="2843"/>
      <c r="E49" s="2843"/>
      <c r="F49" s="2843"/>
      <c r="G49" s="2843"/>
      <c r="H49" s="2843"/>
      <c r="I49" s="2843"/>
      <c r="J49" s="2843"/>
      <c r="K49" s="2843"/>
      <c r="L49" s="2843"/>
      <c r="M49" s="2843"/>
      <c r="N49" s="2843"/>
      <c r="O49" s="2844"/>
      <c r="P49" s="130"/>
      <c r="Q49" s="130"/>
      <c r="R49" s="130"/>
      <c r="S49" s="130"/>
      <c r="T49" s="130"/>
      <c r="U49" s="130"/>
      <c r="V49" s="130"/>
      <c r="W49" s="130"/>
      <c r="X49" s="130"/>
      <c r="Y49" s="130"/>
      <c r="Z49" s="130"/>
      <c r="AA49" s="130"/>
      <c r="AB49" s="130"/>
      <c r="AC49" s="130"/>
      <c r="AD49" s="130"/>
      <c r="AE49" s="130"/>
      <c r="AF49" s="130"/>
      <c r="AG49" s="114"/>
      <c r="AH49" s="441"/>
      <c r="AI49" s="441"/>
      <c r="AJ49" s="441"/>
      <c r="AK49" s="441"/>
      <c r="AL49" s="441"/>
      <c r="AM49" s="441"/>
      <c r="AN49" s="441"/>
      <c r="AO49" s="441"/>
      <c r="AP49" s="441"/>
      <c r="AQ49" s="588"/>
      <c r="AR49" s="588"/>
      <c r="AS49" s="588"/>
      <c r="AT49" s="588"/>
      <c r="AU49" s="588"/>
      <c r="AV49" s="588"/>
      <c r="AW49" s="441"/>
      <c r="AX49" s="441"/>
      <c r="AY49" s="441"/>
      <c r="AZ49" s="444"/>
      <c r="BA49" s="444"/>
      <c r="BB49" s="444"/>
      <c r="BC49" s="444"/>
      <c r="BD49" s="444"/>
      <c r="BE49" s="444"/>
      <c r="BF49" s="444"/>
    </row>
    <row r="50" spans="1:71" s="109" customFormat="1" ht="12.75" hidden="1" customHeight="1" outlineLevel="2">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441"/>
      <c r="AI50" s="441"/>
      <c r="AJ50" s="441"/>
      <c r="AK50" s="441"/>
      <c r="AL50" s="441"/>
      <c r="AM50" s="441"/>
      <c r="AN50" s="441"/>
      <c r="AO50" s="441"/>
      <c r="AP50" s="441"/>
      <c r="AQ50" s="588"/>
      <c r="AR50" s="588"/>
      <c r="AS50" s="588"/>
      <c r="AT50" s="588"/>
      <c r="AU50" s="588"/>
      <c r="AV50" s="588"/>
      <c r="AW50" s="441"/>
      <c r="AX50" s="441"/>
      <c r="AY50" s="441"/>
      <c r="AZ50" s="444"/>
      <c r="BA50" s="444"/>
      <c r="BB50" s="444"/>
      <c r="BC50" s="444"/>
      <c r="BD50" s="444"/>
      <c r="BE50" s="444"/>
      <c r="BF50" s="444"/>
    </row>
    <row r="51" spans="1:71" ht="12.75" hidden="1" customHeight="1" outlineLevel="2">
      <c r="B51" s="1091" t="s">
        <v>571</v>
      </c>
      <c r="C51" s="140"/>
      <c r="D51" s="140"/>
      <c r="E51" s="140"/>
      <c r="F51" s="140"/>
      <c r="G51" s="140"/>
      <c r="H51" s="140"/>
      <c r="I51" s="140"/>
      <c r="J51" s="140"/>
      <c r="K51" s="140"/>
      <c r="L51" s="140"/>
      <c r="M51" s="140"/>
      <c r="N51" s="140"/>
      <c r="O51" s="140"/>
      <c r="P51" s="140"/>
      <c r="Q51" s="140"/>
      <c r="R51" s="140"/>
      <c r="S51" s="140"/>
      <c r="T51" s="140"/>
      <c r="U51" s="179"/>
      <c r="X51" s="2636" t="s">
        <v>366</v>
      </c>
      <c r="Y51" s="2637"/>
      <c r="Z51" s="2637"/>
      <c r="AA51" s="2637"/>
      <c r="AB51" s="2637"/>
      <c r="AC51" s="2637"/>
      <c r="AD51" s="2637"/>
      <c r="AE51" s="2637"/>
      <c r="AF51" s="2638"/>
      <c r="AH51" s="2639" t="s">
        <v>441</v>
      </c>
      <c r="AI51" s="2640"/>
      <c r="AJ51" s="2640"/>
      <c r="AK51" s="2640"/>
      <c r="AL51" s="2640"/>
      <c r="AM51" s="2640"/>
      <c r="AN51" s="2640"/>
      <c r="AO51" s="2640"/>
      <c r="AP51" s="2640"/>
      <c r="AQ51" s="2640"/>
      <c r="AR51" s="2640"/>
      <c r="AS51" s="2640"/>
      <c r="AT51" s="2640"/>
      <c r="AU51" s="2640"/>
      <c r="AV51" s="2640"/>
      <c r="AW51" s="2640"/>
      <c r="AX51" s="2640"/>
      <c r="AY51" s="2641"/>
      <c r="AZ51" s="2448"/>
      <c r="BA51" s="2448"/>
      <c r="BB51" s="2448"/>
      <c r="BC51" s="2448"/>
      <c r="BD51" s="2448"/>
      <c r="BE51" s="2448"/>
      <c r="BF51" s="2448"/>
    </row>
    <row r="52" spans="1:71" s="116" customFormat="1" ht="12.75" hidden="1" customHeight="1" outlineLevel="2">
      <c r="A52" s="114"/>
      <c r="B52" s="143"/>
      <c r="C52" s="144"/>
      <c r="D52" s="537" t="s">
        <v>308</v>
      </c>
      <c r="E52" s="1663"/>
      <c r="F52" s="1296"/>
      <c r="G52" s="144"/>
      <c r="H52" s="144"/>
      <c r="I52" s="144"/>
      <c r="J52" s="144"/>
      <c r="K52" s="144"/>
      <c r="L52" s="144"/>
      <c r="M52" s="144"/>
      <c r="N52" s="144"/>
      <c r="O52" s="144"/>
      <c r="P52" s="144"/>
      <c r="Q52" s="144"/>
      <c r="R52" s="144"/>
      <c r="S52" s="144"/>
      <c r="T52" s="144"/>
      <c r="U52" s="1301" t="s">
        <v>275</v>
      </c>
      <c r="X52" s="1295"/>
      <c r="Y52" s="819"/>
      <c r="Z52" s="819"/>
      <c r="AA52" s="144"/>
      <c r="AB52" s="144"/>
      <c r="AC52" s="144"/>
      <c r="AD52" s="1296"/>
      <c r="AE52" s="145"/>
      <c r="AF52" s="1301" t="s">
        <v>275</v>
      </c>
      <c r="AH52" s="2642" t="s">
        <v>444</v>
      </c>
      <c r="AI52" s="2643"/>
      <c r="AJ52" s="2643"/>
      <c r="AK52" s="2643"/>
      <c r="AL52" s="2643"/>
      <c r="AM52" s="2643"/>
      <c r="AN52" s="2643"/>
      <c r="AO52" s="2643"/>
      <c r="AP52" s="2643"/>
      <c r="AQ52" s="2643"/>
      <c r="AR52" s="2643"/>
      <c r="AS52" s="2643"/>
      <c r="AT52" s="2643" t="s">
        <v>444</v>
      </c>
      <c r="AU52" s="2643"/>
      <c r="AV52" s="628"/>
      <c r="AW52" s="1288"/>
      <c r="AX52" s="566"/>
      <c r="AY52" s="1307"/>
      <c r="AZ52" s="2449"/>
      <c r="BA52" s="2449"/>
      <c r="BB52" s="2449"/>
      <c r="BC52" s="2449"/>
      <c r="BD52" s="2449"/>
      <c r="BE52" s="2449"/>
      <c r="BF52" s="2449"/>
      <c r="BH52" s="2616" t="s">
        <v>1648</v>
      </c>
      <c r="BI52" s="2617"/>
      <c r="BJ52" s="2617"/>
      <c r="BK52" s="2617"/>
      <c r="BL52" s="2617"/>
      <c r="BM52" s="2617"/>
      <c r="BN52" s="2617"/>
      <c r="BO52" s="2617"/>
      <c r="BP52" s="2617"/>
      <c r="BQ52" s="2617"/>
      <c r="BR52" s="2617"/>
      <c r="BS52" s="2618"/>
    </row>
    <row r="53" spans="1:71" s="127" customFormat="1" ht="12.75" hidden="1" customHeight="1" outlineLevel="2">
      <c r="A53" s="109"/>
      <c r="B53" s="536"/>
      <c r="C53" s="144"/>
      <c r="D53" s="537" t="s">
        <v>409</v>
      </c>
      <c r="E53" s="1663"/>
      <c r="F53" s="1298" t="s">
        <v>452</v>
      </c>
      <c r="G53" s="1298" t="s">
        <v>343</v>
      </c>
      <c r="H53" s="2626" t="s">
        <v>1572</v>
      </c>
      <c r="I53" s="2627"/>
      <c r="J53" s="1298" t="s">
        <v>343</v>
      </c>
      <c r="K53" s="2626" t="s">
        <v>1573</v>
      </c>
      <c r="L53" s="2627"/>
      <c r="M53" s="1298" t="s">
        <v>343</v>
      </c>
      <c r="N53" s="2626" t="s">
        <v>1575</v>
      </c>
      <c r="O53" s="2627"/>
      <c r="P53" s="1298" t="s">
        <v>343</v>
      </c>
      <c r="Q53" s="2626" t="s">
        <v>1574</v>
      </c>
      <c r="R53" s="2628"/>
      <c r="S53" s="537" t="s">
        <v>444</v>
      </c>
      <c r="T53" s="537" t="s">
        <v>444</v>
      </c>
      <c r="U53" s="1301" t="s">
        <v>276</v>
      </c>
      <c r="X53" s="1295" t="s">
        <v>316</v>
      </c>
      <c r="Y53" s="2629" t="s">
        <v>316</v>
      </c>
      <c r="Z53" s="2630"/>
      <c r="AA53" s="1656" t="s">
        <v>444</v>
      </c>
      <c r="AB53" s="1656" t="s">
        <v>444</v>
      </c>
      <c r="AC53" s="2419"/>
      <c r="AD53" s="1296"/>
      <c r="AE53" s="539" t="s">
        <v>444</v>
      </c>
      <c r="AF53" s="1301" t="s">
        <v>276</v>
      </c>
      <c r="AH53" s="2631" t="s">
        <v>211</v>
      </c>
      <c r="AI53" s="2632"/>
      <c r="AJ53" s="2632"/>
      <c r="AK53" s="2632" t="s">
        <v>442</v>
      </c>
      <c r="AL53" s="2632"/>
      <c r="AM53" s="2632"/>
      <c r="AN53" s="2632" t="s">
        <v>267</v>
      </c>
      <c r="AO53" s="2632"/>
      <c r="AP53" s="2632"/>
      <c r="AQ53" s="2632" t="s">
        <v>443</v>
      </c>
      <c r="AR53" s="2632"/>
      <c r="AS53" s="2632"/>
      <c r="AT53" s="2648" t="s">
        <v>327</v>
      </c>
      <c r="AU53" s="2648"/>
      <c r="AV53" s="568"/>
      <c r="AW53" s="2631" t="s">
        <v>636</v>
      </c>
      <c r="AX53" s="2632"/>
      <c r="AY53" s="568"/>
      <c r="AZ53" s="2292"/>
      <c r="BA53" s="2292"/>
      <c r="BB53" s="2292"/>
      <c r="BC53" s="2292"/>
      <c r="BD53" s="2292"/>
      <c r="BE53" s="2292"/>
      <c r="BF53" s="2292"/>
      <c r="BH53" s="2614" t="s">
        <v>1646</v>
      </c>
      <c r="BI53" s="2645"/>
      <c r="BJ53" s="2645"/>
      <c r="BK53" s="2615"/>
      <c r="BL53" s="2614" t="s">
        <v>1644</v>
      </c>
      <c r="BM53" s="2645"/>
      <c r="BN53" s="2645"/>
      <c r="BO53" s="2615"/>
      <c r="BP53" s="2614" t="s">
        <v>1645</v>
      </c>
      <c r="BQ53" s="2645"/>
      <c r="BR53" s="2645"/>
      <c r="BS53" s="2615"/>
    </row>
    <row r="54" spans="1:71" s="116" customFormat="1" ht="12.75" hidden="1" customHeight="1" outlineLevel="2">
      <c r="A54" s="114"/>
      <c r="B54" s="536" t="s">
        <v>1628</v>
      </c>
      <c r="C54" s="144"/>
      <c r="D54" s="315"/>
      <c r="E54" s="315"/>
      <c r="F54" s="1299" t="s">
        <v>453</v>
      </c>
      <c r="G54" s="1299" t="s">
        <v>1621</v>
      </c>
      <c r="H54" s="1300" t="s">
        <v>411</v>
      </c>
      <c r="I54" s="1300" t="s">
        <v>257</v>
      </c>
      <c r="J54" s="1299" t="s">
        <v>790</v>
      </c>
      <c r="K54" s="1300" t="s">
        <v>411</v>
      </c>
      <c r="L54" s="1300" t="s">
        <v>257</v>
      </c>
      <c r="M54" s="1299" t="s">
        <v>791</v>
      </c>
      <c r="N54" s="1300" t="s">
        <v>411</v>
      </c>
      <c r="O54" s="1300" t="s">
        <v>257</v>
      </c>
      <c r="P54" s="1299" t="s">
        <v>213</v>
      </c>
      <c r="Q54" s="1300" t="s">
        <v>411</v>
      </c>
      <c r="R54" s="1300" t="s">
        <v>257</v>
      </c>
      <c r="S54" s="1297" t="s">
        <v>411</v>
      </c>
      <c r="T54" s="1297" t="s">
        <v>257</v>
      </c>
      <c r="U54" s="1301" t="s">
        <v>444</v>
      </c>
      <c r="X54" s="1295" t="s">
        <v>1649</v>
      </c>
      <c r="Y54" s="2646" t="s">
        <v>1650</v>
      </c>
      <c r="Z54" s="2647"/>
      <c r="AA54" s="1662" t="s">
        <v>411</v>
      </c>
      <c r="AB54" s="1662" t="s">
        <v>257</v>
      </c>
      <c r="AC54" s="1662"/>
      <c r="AD54" s="1306"/>
      <c r="AE54" s="162" t="s">
        <v>327</v>
      </c>
      <c r="AF54" s="1301" t="s">
        <v>444</v>
      </c>
      <c r="AH54" s="1331" t="s">
        <v>411</v>
      </c>
      <c r="AI54" s="1332" t="s">
        <v>257</v>
      </c>
      <c r="AJ54" s="1332"/>
      <c r="AK54" s="1332" t="s">
        <v>411</v>
      </c>
      <c r="AL54" s="1332" t="s">
        <v>257</v>
      </c>
      <c r="AM54" s="1332"/>
      <c r="AN54" s="1332" t="s">
        <v>411</v>
      </c>
      <c r="AO54" s="1332" t="s">
        <v>257</v>
      </c>
      <c r="AP54" s="1332"/>
      <c r="AQ54" s="1332" t="s">
        <v>411</v>
      </c>
      <c r="AR54" s="1332" t="s">
        <v>257</v>
      </c>
      <c r="AS54" s="1332"/>
      <c r="AT54" s="581" t="s">
        <v>411</v>
      </c>
      <c r="AU54" s="581" t="s">
        <v>257</v>
      </c>
      <c r="AV54" s="582"/>
      <c r="AW54" s="1305" t="s">
        <v>411</v>
      </c>
      <c r="AX54" s="1306" t="s">
        <v>257</v>
      </c>
      <c r="AY54" s="1307"/>
      <c r="AZ54" s="2449"/>
      <c r="BA54" s="2449"/>
      <c r="BB54" s="2449"/>
      <c r="BC54" s="2449"/>
      <c r="BD54" s="2449"/>
      <c r="BE54" s="2449"/>
      <c r="BF54" s="2449"/>
      <c r="BH54" s="1065"/>
      <c r="BI54" s="1065"/>
      <c r="BJ54" s="1065"/>
      <c r="BK54" s="1065"/>
      <c r="BL54" s="1124"/>
      <c r="BM54" s="1068"/>
      <c r="BN54" s="1068"/>
      <c r="BO54" s="1068"/>
      <c r="BP54" s="1069"/>
      <c r="BQ54" s="1070"/>
      <c r="BR54" s="1070"/>
      <c r="BS54" s="1071"/>
    </row>
    <row r="55" spans="1:71" s="116" customFormat="1" ht="12.75" hidden="1" customHeight="1" outlineLevel="2">
      <c r="A55" s="114"/>
      <c r="B55" s="143" t="s">
        <v>1630</v>
      </c>
      <c r="C55" s="144"/>
      <c r="D55" s="315">
        <f>SUM(S55,T55)</f>
        <v>0</v>
      </c>
      <c r="E55" s="315"/>
      <c r="F55" s="344"/>
      <c r="G55" s="1201"/>
      <c r="H55" s="335" t="e">
        <f>VLOOKUP($B55&amp;"; "&amp;$H$53&amp;", "&amp;H$54,'FE Energie'!$G:$U,9,FALSE)</f>
        <v>#N/A</v>
      </c>
      <c r="I55" s="335" t="e">
        <f>VLOOKUP($B55&amp;"; "&amp;$H$53&amp;", "&amp;I$54,'FE Energie'!$G:$U,9,FALSE)</f>
        <v>#N/A</v>
      </c>
      <c r="J55" s="1201"/>
      <c r="K55" s="223">
        <f>VLOOKUP($B55&amp;"; "&amp;$K$53&amp;", "&amp;K$54,'FE Energie'!$G:$U,9,FALSE)</f>
        <v>7.8399999999999997E-2</v>
      </c>
      <c r="L55" s="223">
        <f>VLOOKUP($B55&amp;"; "&amp;$K$53&amp;", "&amp;L$54,'FE Energie'!$G:$U,9,FALSE)</f>
        <v>0.19500000000000001</v>
      </c>
      <c r="M55" s="1201"/>
      <c r="N55" s="217">
        <f>VLOOKUP($B55&amp;"; "&amp;$N$53&amp;", "&amp;N$54,'FE Energie'!$G:$U,9,FALSE)</f>
        <v>916</v>
      </c>
      <c r="O55" s="217">
        <f>VLOOKUP($B55&amp;"; "&amp;$N$53&amp;", "&amp;O$54,'FE Energie'!$G:$U,9,FALSE)</f>
        <v>2269</v>
      </c>
      <c r="P55" s="1201"/>
      <c r="Q55" s="223">
        <f>VLOOKUP($B55&amp;"; "&amp;$Q$53&amp;", "&amp;Q$54,'FE Energie'!$G:$U,9,FALSE)</f>
        <v>0.75800000000000001</v>
      </c>
      <c r="R55" s="223">
        <f>VLOOKUP($B55&amp;"; "&amp;$Q$53&amp;", "&amp;R$54,'FE Energie'!$G:$U,9,FALSE)</f>
        <v>1.88</v>
      </c>
      <c r="S55" s="566">
        <f>IF(ISNA(G55*H55),0,G55*H55)+IF(ISNA(J55*K55),0,J55*K55)+IF(ISNA(M55*N55),0,M55*N55)+IF(ISNA(P55*Q55),0,P55*Q55)</f>
        <v>0</v>
      </c>
      <c r="T55" s="566">
        <f>IF(ISNA(G55*I55),0,G55*I55)+IF(ISNA(J55*L55),0,J55*L55)+IF(ISNA(M55*O55),0,M55*O55)+IF(ISNA(P55*R55),0,P55*R55)</f>
        <v>0</v>
      </c>
      <c r="U55" s="165">
        <f>IF(OR(F55=Utilitaires!$I$572,F55=Utilitaires!$I$577),T55,0)</f>
        <v>0</v>
      </c>
      <c r="X55" s="1092">
        <f>IF(AE55=0,AE55,AE55/(S55+T55))</f>
        <v>0</v>
      </c>
      <c r="Y55" s="343"/>
      <c r="Z55" s="820"/>
      <c r="AA55" s="164">
        <f>SQRT(SUMSQ(IF(ISNA($G55*H55*BL55),0,$G55*H55*BL55),IF(ISNA($J55*K55*BM55),0,$J55*K55*BM55),IF(ISNA($M55*N55*BN55),0,$M55*N55*BN55),IF(ISNA($P55*Q55*BO55),0,$P55*Q55*BO55)))</f>
        <v>0</v>
      </c>
      <c r="AB55" s="164">
        <f>SQRT(SUMSQ(IF(ISNA($G55*I55*BP55),0,$G55*I55*BP55),IF(ISNA($J55*L55*BQ55),0,$J55*L55*BQ55),IF(ISNA($M55*O55*BR55),0,$M55*O55*BR55),IF(ISNA($P55*R55*BS55),0,$P55*R55*BS55)))</f>
        <v>0</v>
      </c>
      <c r="AC55" s="164"/>
      <c r="AD55" s="164"/>
      <c r="AE55" s="152">
        <f>SQRT(SUMSQ(AA55,AB55))</f>
        <v>0</v>
      </c>
      <c r="AF55" s="165">
        <f>U55*X55</f>
        <v>0</v>
      </c>
      <c r="AH55" s="564">
        <f>$G55*IF(ISNA(VLOOKUP($B55&amp;"; "&amp;$H$53&amp;", "&amp;H$54,'FE Energie'!$G:$U,10,FALSE)),0,VLOOKUP($B55&amp;"; "&amp;$H$53&amp;", "&amp;H$54,'FE Energie'!$G:$U,10,FALSE))
+$J55*IF(ISNA(VLOOKUP($B55&amp;"; "&amp;$K$53&amp;", "&amp;H$54,'FE Energie'!$G:$U,10,FALSE)),0,VLOOKUP($B55&amp;"; "&amp;$K$53&amp;", "&amp;H$54,'FE Energie'!$G:$U,10,FALSE))
+$M55*IF(ISNA(VLOOKUP($B55&amp;"; "&amp;$N$53&amp;", "&amp;H$54,'FE Energie'!$G:$U,10,FALSE)),0,VLOOKUP($B55&amp;"; "&amp;$N$53&amp;", "&amp;H$54,'FE Energie'!$G:$U,10,FALSE))
+$P55*IF(ISNA(VLOOKUP($B55&amp;"; "&amp;$Q$53&amp;", "&amp;H$54,'FE Energie'!$G:$U,10,FALSE)),0,VLOOKUP($B55&amp;"; "&amp;$Q$53&amp;", "&amp;H$54,'FE Energie'!$G:$U,10,FALSE))</f>
        <v>0</v>
      </c>
      <c r="AI55" s="565">
        <f>$G55*IF(ISNA(VLOOKUP($B55&amp;"; "&amp;$H$53&amp;", "&amp;I$54,'FE Energie'!$G:$U,10,FALSE)),0,VLOOKUP($B55&amp;"; "&amp;$H$53&amp;", "&amp;I$54,'FE Energie'!$G:$U,10,FALSE))
+$J55*IF(ISNA(VLOOKUP($B55&amp;"; "&amp;$K$53&amp;", "&amp;I$54,'FE Energie'!$G:$U,10,FALSE)),0,VLOOKUP($B55&amp;"; "&amp;$K$53&amp;", "&amp;I$54,'FE Energie'!$G:$U,10,FALSE))
+$M55*IF(ISNA(VLOOKUP($B55&amp;"; "&amp;$N$53&amp;", "&amp;I$54,'FE Energie'!$G:$U,10,FALSE)),0,VLOOKUP($B55&amp;"; "&amp;$N$53&amp;", "&amp;I$54,'FE Energie'!$G:$U,10,FALSE))
+$P55*IF(ISNA(VLOOKUP($B55&amp;"; "&amp;$Q$53&amp;", "&amp;I$54,'FE Energie'!$G:$U,10,FALSE)),0,VLOOKUP($B55&amp;"; "&amp;$Q$53&amp;", "&amp;I$54,'FE Energie'!$G:$U,10,FALSE))</f>
        <v>0</v>
      </c>
      <c r="AJ55" s="565"/>
      <c r="AK55" s="565">
        <f>$G55*IF(ISNA((VLOOKUP($B55&amp;"; "&amp;$H$53&amp;", "&amp;H$54,'FE Energie'!$G:$U,11,FALSE)+VLOOKUP($B55&amp;"; "&amp;$H$53&amp;", "&amp;H$54,'FE Energie'!$G:$U,12,FALSE))),0,(VLOOKUP($B55&amp;"; "&amp;$H$53&amp;", "&amp;H$54,'FE Energie'!$G:$U,11,FALSE)+VLOOKUP($B55&amp;"; "&amp;$H$53&amp;", "&amp;H$54,'FE Energie'!$G:$U,12,FALSE)))
+$J55*IF(ISNA((VLOOKUP($B55&amp;"; "&amp;$K$53&amp;", "&amp;H$54,'FE Energie'!$G:$U,11,FALSE)+VLOOKUP($B55&amp;"; "&amp;$K$53&amp;", "&amp;H$54,'FE Energie'!$G:$U,12,FALSE))),0,(VLOOKUP($B55&amp;"; "&amp;$K$53&amp;", "&amp;H$54,'FE Energie'!$G:$U,11,FALSE)+VLOOKUP($B55&amp;"; "&amp;$K$53&amp;", "&amp;H$54,'FE Energie'!$G:$U,12,FALSE)))
+$M55*IF(ISNA((VLOOKUP($B55&amp;"; "&amp;$N$53&amp;", "&amp;H$54,'FE Energie'!$G:$U,11,FALSE)+VLOOKUP($B55&amp;"; "&amp;$N$53&amp;", "&amp;H$54,'FE Energie'!$G:$U,12,FALSE))),0,(VLOOKUP($B55&amp;"; "&amp;$N$53&amp;", "&amp;H$54,'FE Energie'!$G:$U,11,FALSE)+VLOOKUP($B55&amp;"; "&amp;$N$53&amp;", "&amp;H$54,'FE Energie'!$G:$U,12,FALSE)))
+$P55*IF(ISNA((VLOOKUP($B55&amp;"; "&amp;$Q$53&amp;", "&amp;H$54,'FE Energie'!$G:$U,11,FALSE)+VLOOKUP($B55&amp;"; "&amp;$Q$53&amp;", "&amp;H$54,'FE Energie'!$G:$U,12,FALSE))),0,(VLOOKUP($B55&amp;"; "&amp;$Q$53&amp;", "&amp;H$54,'FE Energie'!$G:$U,11,FALSE)+VLOOKUP($B55&amp;"; "&amp;$Q$53&amp;", "&amp;H$54,'FE Energie'!$G:$U,12,FALSE)))</f>
        <v>0</v>
      </c>
      <c r="AL55" s="565">
        <f>$G55*IF(ISNA((VLOOKUP($B55&amp;"; "&amp;$H$53&amp;", "&amp;I$54,'FE Energie'!$G:$U,11,FALSE)+VLOOKUP($B55&amp;"; "&amp;$H$53&amp;", "&amp;I$54,'FE Energie'!$G:$U,12,FALSE))),0,(VLOOKUP($B55&amp;"; "&amp;$H$53&amp;", "&amp;I$54,'FE Energie'!$G:$U,11,FALSE)+VLOOKUP($B55&amp;"; "&amp;$H$53&amp;", "&amp;I$54,'FE Energie'!$G:$U,12,FALSE)))
+$J55*IF(ISNA((VLOOKUP($B55&amp;"; "&amp;$K$53&amp;", "&amp;I$54,'FE Energie'!$G:$U,11,FALSE)+VLOOKUP($B55&amp;"; "&amp;$K$53&amp;", "&amp;I$54,'FE Energie'!$G:$U,12,FALSE))),0,(VLOOKUP($B55&amp;"; "&amp;$K$53&amp;", "&amp;I$54,'FE Energie'!$G:$U,11,FALSE)+VLOOKUP($B55&amp;"; "&amp;$K$53&amp;", "&amp;I$54,'FE Energie'!$G:$U,12,FALSE)))
+$M55*IF(ISNA((VLOOKUP($B55&amp;"; "&amp;$N$53&amp;", "&amp;I$54,'FE Energie'!$G:$U,11,FALSE)+VLOOKUP($B55&amp;"; "&amp;$N$53&amp;", "&amp;I$54,'FE Energie'!$G:$U,12,FALSE))),0,(VLOOKUP($B55&amp;"; "&amp;$N$53&amp;", "&amp;I$54,'FE Energie'!$G:$U,11,FALSE)+VLOOKUP($B55&amp;"; "&amp;$N$53&amp;", "&amp;I$54,'FE Energie'!$G:$U,12,FALSE)))
+$P55*IF(ISNA((VLOOKUP($B55&amp;"; "&amp;$Q$53&amp;", "&amp;I$54,'FE Energie'!$G:$U,11,FALSE)+VLOOKUP($B55&amp;"; "&amp;$Q$53&amp;", "&amp;I$54,'FE Energie'!$G:$U,12,FALSE))),0,(VLOOKUP($B55&amp;"; "&amp;$Q$53&amp;", "&amp;I$54,'FE Energie'!$G:$U,11,FALSE)+VLOOKUP($B55&amp;"; "&amp;$Q$53&amp;", "&amp;I$54,'FE Energie'!$G:$U,12,FALSE)))</f>
        <v>0</v>
      </c>
      <c r="AM55" s="565"/>
      <c r="AN55" s="565">
        <f>$G55*IF(ISNA(VLOOKUP($B55&amp;"; "&amp;$H$53&amp;", "&amp;H$54,'FE Energie'!$G:$U,13,FALSE)),0,VLOOKUP($B55&amp;"; "&amp;$H$53&amp;", "&amp;H$54,'FE Energie'!$G:$U,13,FALSE))
+$J55*IF(ISNA(VLOOKUP($B55&amp;"; "&amp;$K$53&amp;", "&amp;H$54,'FE Energie'!$G:$U,13,FALSE)),0,VLOOKUP($B55&amp;"; "&amp;$K$53&amp;", "&amp;H$54,'FE Energie'!$G:$U,13,FALSE))
+$M55*IF(ISNA(VLOOKUP($B55&amp;"; "&amp;$N$53&amp;", "&amp;H$54,'FE Energie'!$G:$U,13,FALSE)),0,VLOOKUP($B55&amp;"; "&amp;$N$53&amp;", "&amp;H$54,'FE Energie'!$G:$U,13,FALSE))
+$P55*IF(ISNA(VLOOKUP($B55&amp;"; "&amp;$Q$53&amp;", "&amp;H$54,'FE Energie'!$G:$U,13,FALSE)),0,VLOOKUP($B55&amp;"; "&amp;$Q$53&amp;", "&amp;H$54,'FE Energie'!$G:$U,13,FALSE))</f>
        <v>0</v>
      </c>
      <c r="AO55" s="565">
        <f>$G55*IF(ISNA(VLOOKUP($B55&amp;"; "&amp;$H$53&amp;", "&amp;I$54,'FE Energie'!$G:$U,13,FALSE)),0,VLOOKUP($B55&amp;"; "&amp;$H$53&amp;", "&amp;I$54,'FE Energie'!$G:$U,13,FALSE))
+$J55*IF(ISNA(VLOOKUP($B55&amp;"; "&amp;$K$53&amp;", "&amp;I$54,'FE Energie'!$G:$U,13,FALSE)),0,VLOOKUP($B55&amp;"; "&amp;$K$53&amp;", "&amp;I$54,'FE Energie'!$G:$U,13,FALSE))
+$M55*IF(ISNA(VLOOKUP($B55&amp;"; "&amp;$N$53&amp;", "&amp;I$54,'FE Energie'!$G:$U,13,FALSE)),0,VLOOKUP($B55&amp;"; "&amp;$N$53&amp;", "&amp;I$54,'FE Energie'!$G:$U,13,FALSE))
+$P55*IF(ISNA(VLOOKUP($B55&amp;"; "&amp;$Q$53&amp;", "&amp;I$54,'FE Energie'!$G:$U,13,FALSE)),0,VLOOKUP($B55&amp;"; "&amp;$Q$53&amp;", "&amp;I$54,'FE Energie'!$G:$U,13,FALSE))</f>
        <v>0</v>
      </c>
      <c r="AP55" s="565"/>
      <c r="AQ55" s="565">
        <f>$G55*IF(ISNA(VLOOKUP($B55&amp;"; "&amp;$H$53&amp;", "&amp;H$54,'FE Energie'!$G:$U,14,FALSE)),0,VLOOKUP($B55&amp;"; "&amp;$H$53&amp;", "&amp;H$54,'FE Energie'!$G:$U,14,FALSE))
+$J55*IF(ISNA(VLOOKUP($B55&amp;"; "&amp;$K$53&amp;", "&amp;H$54,'FE Energie'!$G:$U,14,FALSE)),0,VLOOKUP($B55&amp;"; "&amp;$K$53&amp;", "&amp;H$54,'FE Energie'!$G:$U,14,FALSE))
+$M55*IF(ISNA(VLOOKUP($B55&amp;"; "&amp;$N$53&amp;", "&amp;H$54,'FE Energie'!$G:$U,14,FALSE)),0,VLOOKUP($B55&amp;"; "&amp;$N$53&amp;", "&amp;H$54,'FE Energie'!$G:$U,14,FALSE))
+$P55*IF(ISNA(VLOOKUP($B55&amp;"; "&amp;$Q$53&amp;", "&amp;H$54,'FE Energie'!$G:$U,14,FALSE)),0,VLOOKUP($B55&amp;"; "&amp;$Q$53&amp;", "&amp;H$54,'FE Energie'!$G:$U,14,FALSE))</f>
        <v>0</v>
      </c>
      <c r="AR55" s="565">
        <f>$G55*IF(ISNA(VLOOKUP($B55&amp;"; "&amp;$H$53&amp;", "&amp;I$54,'FE Energie'!$G:$U,14,FALSE)),0,VLOOKUP($B55&amp;"; "&amp;$H$53&amp;", "&amp;I$54,'FE Energie'!$G:$U,14,FALSE))
+$J55*IF(ISNA(VLOOKUP($B55&amp;"; "&amp;$K$53&amp;", "&amp;I$54,'FE Energie'!$G:$U,14,FALSE)),0,VLOOKUP($B55&amp;"; "&amp;$K$53&amp;", "&amp;I$54,'FE Energie'!$G:$U,14,FALSE))
+$M55*IF(ISNA(VLOOKUP($B55&amp;"; "&amp;$N$53&amp;", "&amp;I$54,'FE Energie'!$G:$U,14,FALSE)),0,VLOOKUP($B55&amp;"; "&amp;$N$53&amp;", "&amp;I$54,'FE Energie'!$G:$U,14,FALSE))
+$P55*IF(ISNA(VLOOKUP($B55&amp;"; "&amp;$Q$53&amp;", "&amp;I$54,'FE Energie'!$G:$U,14,FALSE)),0,VLOOKUP($B55&amp;"; "&amp;$Q$53&amp;", "&amp;I$54,'FE Energie'!$G:$U,14,FALSE))</f>
        <v>0</v>
      </c>
      <c r="AS55" s="565"/>
      <c r="AT55" s="566">
        <f>SUM(AH55,AK55,AN55,AQ55)</f>
        <v>0</v>
      </c>
      <c r="AU55" s="566">
        <f>SUM(AI55,AL55,AO55,AR55)</f>
        <v>0</v>
      </c>
      <c r="AV55" s="567"/>
      <c r="AW55" s="564">
        <f>$G55*IF(ISNA(VLOOKUP($B55&amp;"; "&amp;$H$53&amp;", "&amp;H$54,'FE Energie'!$G:$U,15,FALSE)),0,VLOOKUP($B55&amp;"; "&amp;$H$53&amp;", "&amp;H$54,'FE Energie'!$G:$U,15,FALSE))
+$J55*IF(ISNA(VLOOKUP($B55&amp;"; "&amp;$K$53&amp;", "&amp;H$54,'FE Energie'!$G:$U,15,FALSE)),0,VLOOKUP($B55&amp;"; "&amp;$K$53&amp;", "&amp;H$54,'FE Energie'!$G:$U,15,FALSE))
+$M55*IF(ISNA(VLOOKUP($B55&amp;"; "&amp;$N$53&amp;", "&amp;H$54,'FE Energie'!$G:$U,15,FALSE)),0,VLOOKUP($B55&amp;"; "&amp;$N$53&amp;", "&amp;H$54,'FE Energie'!$G:$U,15,FALSE))
+$P55*IF(ISNA(VLOOKUP($B55&amp;"; "&amp;$Q$53&amp;", "&amp;H$54,'FE Energie'!$G:$U,15,FALSE)),0,VLOOKUP($B55&amp;"; "&amp;$Q$53&amp;", "&amp;H$54,'FE Energie'!$G:$U,15,FALSE))</f>
        <v>0</v>
      </c>
      <c r="AX55" s="565">
        <f>$G55*IF(ISNA(VLOOKUP($B55&amp;"; "&amp;$H$53&amp;", "&amp;I$54,'FE Energie'!$G:$U,15,FALSE)),0,VLOOKUP($B55&amp;"; "&amp;$H$53&amp;", "&amp;I$54,'FE Energie'!$G:$U,15,FALSE))
+$J55*IF(ISNA(VLOOKUP($B55&amp;"; "&amp;$K$53&amp;", "&amp;I$54,'FE Energie'!$G:$U,15,FALSE)),0,VLOOKUP($B55&amp;"; "&amp;$K$53&amp;", "&amp;I$54,'FE Energie'!$G:$U,15,FALSE))
+$M55*IF(ISNA(VLOOKUP($B55&amp;"; "&amp;$N$53&amp;", "&amp;I$54,'FE Energie'!$G:$U,15,FALSE)),0,VLOOKUP($B55&amp;"; "&amp;$N$53&amp;", "&amp;I$54,'FE Energie'!$G:$U,15,FALSE))
+$P55*IF(ISNA(VLOOKUP($B55&amp;"; "&amp;$Q$53&amp;", "&amp;I$54,'FE Energie'!$G:$U,15,FALSE)),0,VLOOKUP($B55&amp;"; "&amp;$Q$53&amp;", "&amp;I$54,'FE Energie'!$G:$U,15,FALSE))</f>
        <v>0</v>
      </c>
      <c r="AY55" s="568"/>
      <c r="AZ55" s="2292"/>
      <c r="BA55" s="2292"/>
      <c r="BB55" s="2292"/>
      <c r="BC55" s="2292"/>
      <c r="BD55" s="2292"/>
      <c r="BE55" s="2292"/>
      <c r="BF55" s="2292"/>
      <c r="BH55" s="1065">
        <f>IF($Y55&lt;&gt;"votre valeur :",IF(ISNA(VLOOKUP($Y55,Utilitaires!$N$566:$O$571,2,FALSE)),,VLOOKUP($Y55,Utilitaires!$N$566:$O$571,2,FALSE)),$Z55)</f>
        <v>0</v>
      </c>
      <c r="BI55" s="1065">
        <f>IF($Y55&lt;&gt;"votre valeur :",IF(ISNA(VLOOKUP($Y55,Utilitaires!$N$566:$O$571,2,FALSE)),,VLOOKUP($Y55,Utilitaires!$N$566:$O$571,2,FALSE)),$Z55)</f>
        <v>0</v>
      </c>
      <c r="BJ55" s="1065">
        <f>IF($Y55&lt;&gt;"votre valeur :",IF(ISNA(VLOOKUP($Y55,Utilitaires!$N$566:$O$571,2,FALSE)),,VLOOKUP($Y55,Utilitaires!$N$566:$O$571,2,FALSE)),$Z55)</f>
        <v>0</v>
      </c>
      <c r="BK55" s="1065">
        <f>IF($Y55&lt;&gt;"votre valeur :",IF(ISNA(VLOOKUP($Y55,Utilitaires!$N$566:$O$571,2,FALSE)),,VLOOKUP($Y55,Utilitaires!$N$566:$O$571,2,FALSE)),$Z55)</f>
        <v>0</v>
      </c>
      <c r="BL55" s="1124">
        <f>IF(ISNA(SQRT(SUMSQ(VLOOKUP($B55&amp;"; "&amp;$H$53&amp;", "&amp;$H$54,'FE Energie'!$G:$U,7,FALSE),$BH55))),0,SQRT(SUMSQ(VLOOKUP($B55&amp;"; "&amp;$H$53&amp;", "&amp;$H$54,'FE Energie'!$G:$U,7,FALSE),$BH55)))</f>
        <v>0</v>
      </c>
      <c r="BM55" s="1068">
        <f>IF(ISNA(SQRT(SUMSQ(VLOOKUP($B55&amp;"; "&amp;$K$53&amp;", "&amp;$K$54,'FE Energie'!$G:$U,7,FALSE),$BI55))),0,SQRT(SUMSQ(VLOOKUP($B55&amp;"; "&amp;$K$53&amp;", "&amp;$K$54,'FE Energie'!$G:$U,7,FALSE),$BI55)))</f>
        <v>0.05</v>
      </c>
      <c r="BN55" s="1068">
        <f>IF(ISNA(SQRT(SUMSQ(VLOOKUP($B55&amp;"; "&amp;$N$53&amp;", "&amp;$N$54,'FE Energie'!$G:$U,7,FALSE),$BJ55))),0,SQRT(SUMSQ(VLOOKUP($B55&amp;"; "&amp;$N$53&amp;", "&amp;$N$54,'FE Energie'!$G:$U,7,FALSE),$BJ55)))</f>
        <v>0.05</v>
      </c>
      <c r="BO55" s="1068">
        <f>IF(ISNA(SQRT(SUMSQ(VLOOKUP($B55&amp;"; "&amp;$Q$53&amp;", "&amp;$Q$54,'FE Energie'!$G:$U,7,FALSE),$BK55))),0,SQRT(SUMSQ(VLOOKUP($B55&amp;"; "&amp;$Q$53&amp;", "&amp;$Q$54,'FE Energie'!$G:$U,7,FALSE),$BK55)))</f>
        <v>0.1</v>
      </c>
      <c r="BP55" s="1069">
        <f>IF(ISNA(SQRT(SUMSQ(VLOOKUP($B55&amp;"; "&amp;$H$53&amp;", "&amp;$I$54,'FE Energie'!$G:$U,7,FALSE),$BH55))),0,SQRT(SUMSQ(VLOOKUP($B55&amp;"; "&amp;$H$53&amp;", "&amp;$I$54,'FE Energie'!$G:$U,7,FALSE),$BH55)))</f>
        <v>0</v>
      </c>
      <c r="BQ55" s="1070">
        <f>IF(ISNA(SQRT(SUMSQ(VLOOKUP($B55&amp;"; "&amp;$K$53&amp;", "&amp;$L$54,'FE Energie'!$G:$U,7,FALSE),$BI55))),0,SQRT(SUMSQ(VLOOKUP($B55&amp;"; "&amp;$K$53&amp;", "&amp;$L$54,'FE Energie'!$G:$U,7,FALSE),$BI55)))</f>
        <v>0.05</v>
      </c>
      <c r="BR55" s="1070">
        <f>IF(ISNA(SQRT(SUMSQ(VLOOKUP($B55&amp;"; "&amp;$N$53&amp;", "&amp;$O$54,'FE Energie'!$G:$U,7,FALSE),$BJ55))),0,SQRT(SUMSQ(VLOOKUP($B55&amp;"; "&amp;$N$53&amp;", "&amp;$O$54,'FE Energie'!$G:$U,7,FALSE),$BJ55)))</f>
        <v>0.05</v>
      </c>
      <c r="BS55" s="1071">
        <f>IF(ISNA(SQRT(SUMSQ(VLOOKUP($B55&amp;"; "&amp;$Q$53&amp;", "&amp;$R$54,'FE Energie'!$G:$U,7,FALSE),$BK55))),0,SQRT(SUMSQ(VLOOKUP($B55&amp;"; "&amp;$Q$53&amp;", "&amp;$R$54,'FE Energie'!$G:$U,7,FALSE),$BK55)))</f>
        <v>0.1</v>
      </c>
    </row>
    <row r="56" spans="1:71" s="116" customFormat="1" ht="12.75" hidden="1" customHeight="1" outlineLevel="2">
      <c r="A56" s="114"/>
      <c r="B56" s="143" t="s">
        <v>1631</v>
      </c>
      <c r="C56" s="144"/>
      <c r="D56" s="315">
        <f>SUM(S56,T56)</f>
        <v>0</v>
      </c>
      <c r="E56" s="315"/>
      <c r="F56" s="345"/>
      <c r="G56" s="1086"/>
      <c r="H56" s="335">
        <f>VLOOKUP($B56&amp;"; "&amp;$H$53&amp;", "&amp;H$54,'FE Energie'!$G:$U,9,FALSE)</f>
        <v>0.27</v>
      </c>
      <c r="I56" s="335">
        <f>VLOOKUP($B56&amp;"; "&amp;$H$53&amp;", "&amp;I$54,'FE Energie'!$G:$U,9,FALSE)</f>
        <v>3.07</v>
      </c>
      <c r="J56" s="1086"/>
      <c r="K56" s="223" t="e">
        <f>VLOOKUP($B56&amp;"; "&amp;$K$53&amp;", "&amp;K$54,'FE Energie'!$G:$U,9,FALSE)</f>
        <v>#N/A</v>
      </c>
      <c r="L56" s="223" t="e">
        <f>VLOOKUP($B56&amp;"; "&amp;$K$53&amp;", "&amp;L$54,'FE Energie'!$G:$U,9,FALSE)</f>
        <v>#N/A</v>
      </c>
      <c r="M56" s="1086"/>
      <c r="N56" s="217" t="e">
        <f>VLOOKUP($B56&amp;"; "&amp;$N$53&amp;", "&amp;N$54,'FE Energie'!$G:$U,9,FALSE)</f>
        <v>#N/A</v>
      </c>
      <c r="O56" s="217" t="e">
        <f>VLOOKUP($B56&amp;"; "&amp;$N$53&amp;", "&amp;O$54,'FE Energie'!$G:$U,9,FALSE)</f>
        <v>#N/A</v>
      </c>
      <c r="P56" s="1086"/>
      <c r="Q56" s="223" t="e">
        <f>VLOOKUP($B56&amp;"; "&amp;$Q$53&amp;", "&amp;Q$54,'FE Energie'!$G:$U,9,FALSE)</f>
        <v>#N/A</v>
      </c>
      <c r="R56" s="223" t="e">
        <f>VLOOKUP($B56&amp;"; "&amp;$Q$53&amp;", "&amp;R$54,'FE Energie'!$G:$U,9,FALSE)</f>
        <v>#N/A</v>
      </c>
      <c r="S56" s="566">
        <f>IF(ISNA(G56*H56),0,G56*H56)+IF(ISNA(J56*K56),0,J56*K56)+IF(ISNA(M56*N56),0,M56*N56)+IF(ISNA(P56*Q56),0,P56*Q56)</f>
        <v>0</v>
      </c>
      <c r="T56" s="566">
        <f>IF(ISNA(G56*I56),0,G56*I56)+IF(ISNA(J56*L56),0,J56*L56)+IF(ISNA(M56*O56),0,M56*O56)+IF(ISNA(P56*R56),0,P56*R56)</f>
        <v>0</v>
      </c>
      <c r="U56" s="165">
        <f>IF(OR(F56=Utilitaires!$I$572,F56=Utilitaires!$I$577),T56,0)</f>
        <v>0</v>
      </c>
      <c r="X56" s="1092">
        <f>IF(AE56=0,AE56,AE56/(S56+T56))</f>
        <v>0</v>
      </c>
      <c r="Y56" s="1094"/>
      <c r="Z56" s="820"/>
      <c r="AA56" s="164">
        <f>SQRT(SUMSQ(IF(ISNA($G56*H56*BL56),0,$G56*H56*BL56),IF(ISNA($J56*K56*BM56),0,$J56*K56*BM56),IF(ISNA($M56*N56*BN56),0,$M56*N56*BN56),IF(ISNA($P56*Q56*BO56),0,$P56*Q56*BO56)))</f>
        <v>0</v>
      </c>
      <c r="AB56" s="164">
        <f>SQRT(SUMSQ(IF(ISNA($G56*I56*BP56),0,$G56*I56*BP56),IF(ISNA($J56*L56*BQ56),0,$J56*L56*BQ56),IF(ISNA($M56*O56*BR56),0,$M56*O56*BR56),IF(ISNA($P56*R56*BS56),0,$P56*R56*BS56)))</f>
        <v>0</v>
      </c>
      <c r="AC56" s="164"/>
      <c r="AD56" s="164"/>
      <c r="AE56" s="152">
        <f>SQRT(SUMSQ(AA56,AB56))</f>
        <v>0</v>
      </c>
      <c r="AF56" s="165">
        <f>U56*X56</f>
        <v>0</v>
      </c>
      <c r="AH56" s="564">
        <f>$G56*IF(ISNA(VLOOKUP($B56&amp;"; "&amp;$H$53&amp;", "&amp;H$54,'FE Energie'!$G:$U,10,FALSE)),0,VLOOKUP($B56&amp;"; "&amp;$H$53&amp;", "&amp;H$54,'FE Energie'!$G:$U,10,FALSE))
+$J56*IF(ISNA(VLOOKUP($B56&amp;"; "&amp;$K$53&amp;", "&amp;H$54,'FE Energie'!$G:$U,10,FALSE)),0,VLOOKUP($B56&amp;"; "&amp;$K$53&amp;", "&amp;H$54,'FE Energie'!$G:$U,10,FALSE))
+$M56*IF(ISNA(VLOOKUP($B56&amp;"; "&amp;$N$53&amp;", "&amp;H$54,'FE Energie'!$G:$U,10,FALSE)),0,VLOOKUP($B56&amp;"; "&amp;$N$53&amp;", "&amp;H$54,'FE Energie'!$G:$U,10,FALSE))
+$P56*IF(ISNA(VLOOKUP($B56&amp;"; "&amp;$Q$53&amp;", "&amp;H$54,'FE Energie'!$G:$U,10,FALSE)),0,VLOOKUP($B56&amp;"; "&amp;$Q$53&amp;", "&amp;H$54,'FE Energie'!$G:$U,10,FALSE))</f>
        <v>0</v>
      </c>
      <c r="AI56" s="565">
        <f>$G56*IF(ISNA(VLOOKUP($B56&amp;"; "&amp;$H$53&amp;", "&amp;I$54,'FE Energie'!$G:$U,10,FALSE)),0,VLOOKUP($B56&amp;"; "&amp;$H$53&amp;", "&amp;I$54,'FE Energie'!$G:$U,10,FALSE))
+$J56*IF(ISNA(VLOOKUP($B56&amp;"; "&amp;$K$53&amp;", "&amp;I$54,'FE Energie'!$G:$U,10,FALSE)),0,VLOOKUP($B56&amp;"; "&amp;$K$53&amp;", "&amp;I$54,'FE Energie'!$G:$U,10,FALSE))
+$M56*IF(ISNA(VLOOKUP($B56&amp;"; "&amp;$N$53&amp;", "&amp;I$54,'FE Energie'!$G:$U,10,FALSE)),0,VLOOKUP($B56&amp;"; "&amp;$N$53&amp;", "&amp;I$54,'FE Energie'!$G:$U,10,FALSE))
+$P56*IF(ISNA(VLOOKUP($B56&amp;"; "&amp;$Q$53&amp;", "&amp;I$54,'FE Energie'!$G:$U,10,FALSE)),0,VLOOKUP($B56&amp;"; "&amp;$Q$53&amp;", "&amp;I$54,'FE Energie'!$G:$U,10,FALSE))</f>
        <v>0</v>
      </c>
      <c r="AJ56" s="565"/>
      <c r="AK56" s="565">
        <f>$G56*IF(ISNA((VLOOKUP($B56&amp;"; "&amp;$H$53&amp;", "&amp;H$54,'FE Energie'!$G:$U,11,FALSE)+VLOOKUP($B56&amp;"; "&amp;$H$53&amp;", "&amp;H$54,'FE Energie'!$G:$U,12,FALSE))),0,(VLOOKUP($B56&amp;"; "&amp;$H$53&amp;", "&amp;H$54,'FE Energie'!$G:$U,11,FALSE)+VLOOKUP($B56&amp;"; "&amp;$H$53&amp;", "&amp;H$54,'FE Energie'!$G:$U,12,FALSE)))
+$J56*IF(ISNA((VLOOKUP($B56&amp;"; "&amp;$K$53&amp;", "&amp;H$54,'FE Energie'!$G:$U,11,FALSE)+VLOOKUP($B56&amp;"; "&amp;$K$53&amp;", "&amp;H$54,'FE Energie'!$G:$U,12,FALSE))),0,(VLOOKUP($B56&amp;"; "&amp;$K$53&amp;", "&amp;H$54,'FE Energie'!$G:$U,11,FALSE)+VLOOKUP($B56&amp;"; "&amp;$K$53&amp;", "&amp;H$54,'FE Energie'!$G:$U,12,FALSE)))
+$M56*IF(ISNA((VLOOKUP($B56&amp;"; "&amp;$N$53&amp;", "&amp;H$54,'FE Energie'!$G:$U,11,FALSE)+VLOOKUP($B56&amp;"; "&amp;$N$53&amp;", "&amp;H$54,'FE Energie'!$G:$U,12,FALSE))),0,(VLOOKUP($B56&amp;"; "&amp;$N$53&amp;", "&amp;H$54,'FE Energie'!$G:$U,11,FALSE)+VLOOKUP($B56&amp;"; "&amp;$N$53&amp;", "&amp;H$54,'FE Energie'!$G:$U,12,FALSE)))
+$P56*IF(ISNA((VLOOKUP($B56&amp;"; "&amp;$Q$53&amp;", "&amp;H$54,'FE Energie'!$G:$U,11,FALSE)+VLOOKUP($B56&amp;"; "&amp;$Q$53&amp;", "&amp;H$54,'FE Energie'!$G:$U,12,FALSE))),0,(VLOOKUP($B56&amp;"; "&amp;$Q$53&amp;", "&amp;H$54,'FE Energie'!$G:$U,11,FALSE)+VLOOKUP($B56&amp;"; "&amp;$Q$53&amp;", "&amp;H$54,'FE Energie'!$G:$U,12,FALSE)))</f>
        <v>0</v>
      </c>
      <c r="AL56" s="565">
        <f>$G56*IF(ISNA((VLOOKUP($B56&amp;"; "&amp;$H$53&amp;", "&amp;I$54,'FE Energie'!$G:$U,11,FALSE)+VLOOKUP($B56&amp;"; "&amp;$H$53&amp;", "&amp;I$54,'FE Energie'!$G:$U,12,FALSE))),0,(VLOOKUP($B56&amp;"; "&amp;$H$53&amp;", "&amp;I$54,'FE Energie'!$G:$U,11,FALSE)+VLOOKUP($B56&amp;"; "&amp;$H$53&amp;", "&amp;I$54,'FE Energie'!$G:$U,12,FALSE)))
+$J56*IF(ISNA((VLOOKUP($B56&amp;"; "&amp;$K$53&amp;", "&amp;I$54,'FE Energie'!$G:$U,11,FALSE)+VLOOKUP($B56&amp;"; "&amp;$K$53&amp;", "&amp;I$54,'FE Energie'!$G:$U,12,FALSE))),0,(VLOOKUP($B56&amp;"; "&amp;$K$53&amp;", "&amp;I$54,'FE Energie'!$G:$U,11,FALSE)+VLOOKUP($B56&amp;"; "&amp;$K$53&amp;", "&amp;I$54,'FE Energie'!$G:$U,12,FALSE)))
+$M56*IF(ISNA((VLOOKUP($B56&amp;"; "&amp;$N$53&amp;", "&amp;I$54,'FE Energie'!$G:$U,11,FALSE)+VLOOKUP($B56&amp;"; "&amp;$N$53&amp;", "&amp;I$54,'FE Energie'!$G:$U,12,FALSE))),0,(VLOOKUP($B56&amp;"; "&amp;$N$53&amp;", "&amp;I$54,'FE Energie'!$G:$U,11,FALSE)+VLOOKUP($B56&amp;"; "&amp;$N$53&amp;", "&amp;I$54,'FE Energie'!$G:$U,12,FALSE)))
+$P56*IF(ISNA((VLOOKUP($B56&amp;"; "&amp;$Q$53&amp;", "&amp;I$54,'FE Energie'!$G:$U,11,FALSE)+VLOOKUP($B56&amp;"; "&amp;$Q$53&amp;", "&amp;I$54,'FE Energie'!$G:$U,12,FALSE))),0,(VLOOKUP($B56&amp;"; "&amp;$Q$53&amp;", "&amp;I$54,'FE Energie'!$G:$U,11,FALSE)+VLOOKUP($B56&amp;"; "&amp;$Q$53&amp;", "&amp;I$54,'FE Energie'!$G:$U,12,FALSE)))</f>
        <v>0</v>
      </c>
      <c r="AM56" s="565"/>
      <c r="AN56" s="565">
        <f>$G56*IF(ISNA(VLOOKUP($B56&amp;"; "&amp;$H$53&amp;", "&amp;H$54,'FE Energie'!$G:$U,13,FALSE)),0,VLOOKUP($B56&amp;"; "&amp;$H$53&amp;", "&amp;H$54,'FE Energie'!$G:$U,13,FALSE))
+$J56*IF(ISNA(VLOOKUP($B56&amp;"; "&amp;$K$53&amp;", "&amp;H$54,'FE Energie'!$G:$U,13,FALSE)),0,VLOOKUP($B56&amp;"; "&amp;$K$53&amp;", "&amp;H$54,'FE Energie'!$G:$U,13,FALSE))
+$M56*IF(ISNA(VLOOKUP($B56&amp;"; "&amp;$N$53&amp;", "&amp;H$54,'FE Energie'!$G:$U,13,FALSE)),0,VLOOKUP($B56&amp;"; "&amp;$N$53&amp;", "&amp;H$54,'FE Energie'!$G:$U,13,FALSE))
+$P56*IF(ISNA(VLOOKUP($B56&amp;"; "&amp;$Q$53&amp;", "&amp;H$54,'FE Energie'!$G:$U,13,FALSE)),0,VLOOKUP($B56&amp;"; "&amp;$Q$53&amp;", "&amp;H$54,'FE Energie'!$G:$U,13,FALSE))</f>
        <v>0</v>
      </c>
      <c r="AO56" s="565">
        <f>$G56*IF(ISNA(VLOOKUP($B56&amp;"; "&amp;$H$53&amp;", "&amp;I$54,'FE Energie'!$G:$U,13,FALSE)),0,VLOOKUP($B56&amp;"; "&amp;$H$53&amp;", "&amp;I$54,'FE Energie'!$G:$U,13,FALSE))
+$J56*IF(ISNA(VLOOKUP($B56&amp;"; "&amp;$K$53&amp;", "&amp;I$54,'FE Energie'!$G:$U,13,FALSE)),0,VLOOKUP($B56&amp;"; "&amp;$K$53&amp;", "&amp;I$54,'FE Energie'!$G:$U,13,FALSE))
+$M56*IF(ISNA(VLOOKUP($B56&amp;"; "&amp;$N$53&amp;", "&amp;I$54,'FE Energie'!$G:$U,13,FALSE)),0,VLOOKUP($B56&amp;"; "&amp;$N$53&amp;", "&amp;I$54,'FE Energie'!$G:$U,13,FALSE))
+$P56*IF(ISNA(VLOOKUP($B56&amp;"; "&amp;$Q$53&amp;", "&amp;I$54,'FE Energie'!$G:$U,13,FALSE)),0,VLOOKUP($B56&amp;"; "&amp;$Q$53&amp;", "&amp;I$54,'FE Energie'!$G:$U,13,FALSE))</f>
        <v>0</v>
      </c>
      <c r="AP56" s="565"/>
      <c r="AQ56" s="565">
        <f>$G56*IF(ISNA(VLOOKUP($B56&amp;"; "&amp;$H$53&amp;", "&amp;H$54,'FE Energie'!$G:$U,14,FALSE)),0,VLOOKUP($B56&amp;"; "&amp;$H$53&amp;", "&amp;H$54,'FE Energie'!$G:$U,14,FALSE))
+$J56*IF(ISNA(VLOOKUP($B56&amp;"; "&amp;$K$53&amp;", "&amp;H$54,'FE Energie'!$G:$U,14,FALSE)),0,VLOOKUP($B56&amp;"; "&amp;$K$53&amp;", "&amp;H$54,'FE Energie'!$G:$U,14,FALSE))
+$M56*IF(ISNA(VLOOKUP($B56&amp;"; "&amp;$N$53&amp;", "&amp;H$54,'FE Energie'!$G:$U,14,FALSE)),0,VLOOKUP($B56&amp;"; "&amp;$N$53&amp;", "&amp;H$54,'FE Energie'!$G:$U,14,FALSE))
+$P56*IF(ISNA(VLOOKUP($B56&amp;"; "&amp;$Q$53&amp;", "&amp;H$54,'FE Energie'!$G:$U,14,FALSE)),0,VLOOKUP($B56&amp;"; "&amp;$Q$53&amp;", "&amp;H$54,'FE Energie'!$G:$U,14,FALSE))</f>
        <v>0</v>
      </c>
      <c r="AR56" s="565">
        <f>$G56*IF(ISNA(VLOOKUP($B56&amp;"; "&amp;$H$53&amp;", "&amp;I$54,'FE Energie'!$G:$U,14,FALSE)),0,VLOOKUP($B56&amp;"; "&amp;$H$53&amp;", "&amp;I$54,'FE Energie'!$G:$U,14,FALSE))
+$J56*IF(ISNA(VLOOKUP($B56&amp;"; "&amp;$K$53&amp;", "&amp;I$54,'FE Energie'!$G:$U,14,FALSE)),0,VLOOKUP($B56&amp;"; "&amp;$K$53&amp;", "&amp;I$54,'FE Energie'!$G:$U,14,FALSE))
+$M56*IF(ISNA(VLOOKUP($B56&amp;"; "&amp;$N$53&amp;", "&amp;I$54,'FE Energie'!$G:$U,14,FALSE)),0,VLOOKUP($B56&amp;"; "&amp;$N$53&amp;", "&amp;I$54,'FE Energie'!$G:$U,14,FALSE))
+$P56*IF(ISNA(VLOOKUP($B56&amp;"; "&amp;$Q$53&amp;", "&amp;I$54,'FE Energie'!$G:$U,14,FALSE)),0,VLOOKUP($B56&amp;"; "&amp;$Q$53&amp;", "&amp;I$54,'FE Energie'!$G:$U,14,FALSE))</f>
        <v>0</v>
      </c>
      <c r="AS56" s="565"/>
      <c r="AT56" s="566">
        <f>SUM(AH56,AK56,AN56,AQ56)</f>
        <v>0</v>
      </c>
      <c r="AU56" s="566">
        <f>SUM(AI56,AL56,AO56,AR56)</f>
        <v>0</v>
      </c>
      <c r="AV56" s="567"/>
      <c r="AW56" s="564">
        <f>$G56*IF(ISNA(VLOOKUP($B56&amp;"; "&amp;$H$53&amp;", "&amp;H$54,'FE Energie'!$G:$U,15,FALSE)),0,VLOOKUP($B56&amp;"; "&amp;$H$53&amp;", "&amp;H$54,'FE Energie'!$G:$U,15,FALSE))
+$J56*IF(ISNA(VLOOKUP($B56&amp;"; "&amp;$K$53&amp;", "&amp;H$54,'FE Energie'!$G:$U,15,FALSE)),0,VLOOKUP($B56&amp;"; "&amp;$K$53&amp;", "&amp;H$54,'FE Energie'!$G:$U,15,FALSE))
+$M56*IF(ISNA(VLOOKUP($B56&amp;"; "&amp;$N$53&amp;", "&amp;H$54,'FE Energie'!$G:$U,15,FALSE)),0,VLOOKUP($B56&amp;"; "&amp;$N$53&amp;", "&amp;H$54,'FE Energie'!$G:$U,15,FALSE))
+$P56*IF(ISNA(VLOOKUP($B56&amp;"; "&amp;$Q$53&amp;", "&amp;H$54,'FE Energie'!$G:$U,15,FALSE)),0,VLOOKUP($B56&amp;"; "&amp;$Q$53&amp;", "&amp;H$54,'FE Energie'!$G:$U,15,FALSE))</f>
        <v>0</v>
      </c>
      <c r="AX56" s="565">
        <f>$G56*IF(ISNA(VLOOKUP($B56&amp;"; "&amp;$H$53&amp;", "&amp;I$54,'FE Energie'!$G:$U,15,FALSE)),0,VLOOKUP($B56&amp;"; "&amp;$H$53&amp;", "&amp;I$54,'FE Energie'!$G:$U,15,FALSE))
+$J56*IF(ISNA(VLOOKUP($B56&amp;"; "&amp;$K$53&amp;", "&amp;I$54,'FE Energie'!$G:$U,15,FALSE)),0,VLOOKUP($B56&amp;"; "&amp;$K$53&amp;", "&amp;I$54,'FE Energie'!$G:$U,15,FALSE))
+$M56*IF(ISNA(VLOOKUP($B56&amp;"; "&amp;$N$53&amp;", "&amp;I$54,'FE Energie'!$G:$U,15,FALSE)),0,VLOOKUP($B56&amp;"; "&amp;$N$53&amp;", "&amp;I$54,'FE Energie'!$G:$U,15,FALSE))
+$P56*IF(ISNA(VLOOKUP($B56&amp;"; "&amp;$Q$53&amp;", "&amp;I$54,'FE Energie'!$G:$U,15,FALSE)),0,VLOOKUP($B56&amp;"; "&amp;$Q$53&amp;", "&amp;I$54,'FE Energie'!$G:$U,15,FALSE))</f>
        <v>0</v>
      </c>
      <c r="AY56" s="568"/>
      <c r="AZ56" s="2292"/>
      <c r="BA56" s="2292"/>
      <c r="BB56" s="2292"/>
      <c r="BC56" s="2292"/>
      <c r="BD56" s="2292"/>
      <c r="BE56" s="2292"/>
      <c r="BF56" s="2292"/>
      <c r="BH56" s="1065">
        <f>IF($Y56&lt;&gt;"votre valeur :",IF(ISNA(VLOOKUP($Y56,Utilitaires!$N$566:$O$571,2,FALSE)),,VLOOKUP($Y56,Utilitaires!$N$566:$O$571,2,FALSE)),$Z56)</f>
        <v>0</v>
      </c>
      <c r="BI56" s="1065">
        <f>IF($Y56&lt;&gt;"votre valeur :",IF(ISNA(VLOOKUP($Y56,Utilitaires!$N$566:$O$571,2,FALSE)),,VLOOKUP($Y56,Utilitaires!$N$566:$O$571,2,FALSE)),$Z56)</f>
        <v>0</v>
      </c>
      <c r="BJ56" s="1065">
        <f>IF($Y56&lt;&gt;"votre valeur :",IF(ISNA(VLOOKUP($Y56,Utilitaires!$N$566:$O$571,2,FALSE)),,VLOOKUP($Y56,Utilitaires!$N$566:$O$571,2,FALSE)),$Z56)</f>
        <v>0</v>
      </c>
      <c r="BK56" s="1065">
        <f>IF($Y56&lt;&gt;"votre valeur :",IF(ISNA(VLOOKUP($Y56,Utilitaires!$N$566:$O$571,2,FALSE)),,VLOOKUP($Y56,Utilitaires!$N$566:$O$571,2,FALSE)),$Z56)</f>
        <v>0</v>
      </c>
      <c r="BL56" s="1124">
        <f>IF(ISNA(SQRT(SUMSQ(VLOOKUP($B56&amp;"; "&amp;$H$53&amp;", "&amp;$H$54,'FE Energie'!$G:$U,7,FALSE),$BH56))),0,SQRT(SUMSQ(VLOOKUP($B56&amp;"; "&amp;$H$53&amp;", "&amp;$H$54,'FE Energie'!$G:$U,7,FALSE),$BH56)))</f>
        <v>0.05</v>
      </c>
      <c r="BM56" s="1068">
        <f>IF(ISNA(SQRT(SUMSQ(VLOOKUP($B56&amp;"; "&amp;$K$53&amp;", "&amp;$K$54,'FE Energie'!$G:$U,7,FALSE),$BI56))),0,SQRT(SUMSQ(VLOOKUP($B56&amp;"; "&amp;$K$53&amp;", "&amp;$K$54,'FE Energie'!$G:$U,7,FALSE),$BI56)))</f>
        <v>0</v>
      </c>
      <c r="BN56" s="1068">
        <f>IF(ISNA(SQRT(SUMSQ(VLOOKUP($B56&amp;"; "&amp;$N$53&amp;", "&amp;$N$54,'FE Energie'!$G:$U,7,FALSE),$BJ56))),0,SQRT(SUMSQ(VLOOKUP($B56&amp;"; "&amp;$N$53&amp;", "&amp;$N$54,'FE Energie'!$G:$U,7,FALSE),$BJ56)))</f>
        <v>0</v>
      </c>
      <c r="BO56" s="1068">
        <f>IF(ISNA(SQRT(SUMSQ(VLOOKUP($B56&amp;"; "&amp;$Q$53&amp;", "&amp;$Q$54,'FE Energie'!$G:$U,7,FALSE),$BK56))),0,SQRT(SUMSQ(VLOOKUP($B56&amp;"; "&amp;$Q$53&amp;", "&amp;$Q$54,'FE Energie'!$G:$U,7,FALSE),$BK56)))</f>
        <v>0</v>
      </c>
      <c r="BP56" s="1069">
        <f>IF(ISNA(SQRT(SUMSQ(VLOOKUP($B56&amp;"; "&amp;$H$53&amp;", "&amp;$I$54,'FE Energie'!$G:$U,7,FALSE),$BH56))),0,SQRT(SUMSQ(VLOOKUP($B56&amp;"; "&amp;$H$53&amp;", "&amp;$I$54,'FE Energie'!$G:$U,7,FALSE),$BH56)))</f>
        <v>0.05</v>
      </c>
      <c r="BQ56" s="1070">
        <f>IF(ISNA(SQRT(SUMSQ(VLOOKUP($B56&amp;"; "&amp;$K$53&amp;", "&amp;$L$54,'FE Energie'!$G:$U,7,FALSE),$BI56))),0,SQRT(SUMSQ(VLOOKUP($B56&amp;"; "&amp;$K$53&amp;", "&amp;$L$54,'FE Energie'!$G:$U,7,FALSE),$BI56)))</f>
        <v>0</v>
      </c>
      <c r="BR56" s="1070">
        <f>IF(ISNA(SQRT(SUMSQ(VLOOKUP($B56&amp;"; "&amp;$N$53&amp;", "&amp;$O$54,'FE Energie'!$G:$U,7,FALSE),$BJ56))),0,SQRT(SUMSQ(VLOOKUP($B56&amp;"; "&amp;$N$53&amp;", "&amp;$O$54,'FE Energie'!$G:$U,7,FALSE),$BJ56)))</f>
        <v>0</v>
      </c>
      <c r="BS56" s="1071">
        <f>IF(ISNA(SQRT(SUMSQ(VLOOKUP($B56&amp;"; "&amp;$Q$53&amp;", "&amp;$R$54,'FE Energie'!$G:$U,7,FALSE),$BK56))),0,SQRT(SUMSQ(VLOOKUP($B56&amp;"; "&amp;$Q$53&amp;", "&amp;$R$54,'FE Energie'!$G:$U,7,FALSE),$BK56)))</f>
        <v>0</v>
      </c>
    </row>
    <row r="57" spans="1:71" ht="12.75" hidden="1" customHeight="1" outlineLevel="2">
      <c r="B57" s="154"/>
      <c r="C57" s="155"/>
      <c r="D57" s="221"/>
      <c r="E57" s="221"/>
      <c r="F57" s="155"/>
      <c r="G57" s="360"/>
      <c r="H57" s="360"/>
      <c r="I57" s="360"/>
      <c r="J57" s="360"/>
      <c r="K57" s="360"/>
      <c r="L57" s="360"/>
      <c r="M57" s="360"/>
      <c r="N57" s="360"/>
      <c r="O57" s="360"/>
      <c r="P57" s="360"/>
      <c r="Q57" s="360"/>
      <c r="R57" s="361"/>
      <c r="S57" s="354"/>
      <c r="T57" s="354"/>
      <c r="U57" s="156"/>
      <c r="W57" s="116"/>
      <c r="X57" s="366"/>
      <c r="Y57" s="169"/>
      <c r="Z57" s="169"/>
      <c r="AA57" s="169"/>
      <c r="AB57" s="169"/>
      <c r="AC57" s="169"/>
      <c r="AD57" s="169"/>
      <c r="AE57" s="367"/>
      <c r="AF57" s="1286"/>
      <c r="AH57" s="564"/>
      <c r="AI57" s="565"/>
      <c r="AJ57" s="565"/>
      <c r="AK57" s="565"/>
      <c r="AL57" s="565"/>
      <c r="AM57" s="565"/>
      <c r="AN57" s="565"/>
      <c r="AO57" s="565"/>
      <c r="AP57" s="565"/>
      <c r="AQ57" s="565"/>
      <c r="AR57" s="565"/>
      <c r="AS57" s="565"/>
      <c r="AT57" s="566"/>
      <c r="AU57" s="566"/>
      <c r="AV57" s="567"/>
      <c r="AW57" s="569"/>
      <c r="AX57" s="625"/>
      <c r="AY57" s="570"/>
      <c r="AZ57" s="2292"/>
      <c r="BA57" s="2292"/>
      <c r="BB57" s="2292"/>
      <c r="BC57" s="2292"/>
      <c r="BD57" s="2292"/>
      <c r="BE57" s="2292"/>
      <c r="BF57" s="2292"/>
      <c r="BH57" s="1087"/>
      <c r="BI57" s="1075"/>
      <c r="BJ57" s="1131"/>
      <c r="BK57" s="1126"/>
      <c r="BL57" s="1075"/>
      <c r="BM57" s="1076"/>
      <c r="BN57" s="1073"/>
      <c r="BO57" s="1076"/>
      <c r="BP57" s="1126"/>
      <c r="BQ57" s="1076"/>
      <c r="BR57" s="1076"/>
      <c r="BS57" s="1074"/>
    </row>
    <row r="58" spans="1:71" ht="12.75" hidden="1" customHeight="1" outlineLevel="2">
      <c r="B58" s="196" t="s">
        <v>348</v>
      </c>
      <c r="C58" s="197"/>
      <c r="D58" s="214">
        <f>SUM(D55:D57)</f>
        <v>0</v>
      </c>
      <c r="E58" s="214"/>
      <c r="F58" s="198"/>
      <c r="G58" s="199"/>
      <c r="H58" s="199"/>
      <c r="I58" s="199"/>
      <c r="J58" s="199"/>
      <c r="K58" s="199"/>
      <c r="L58" s="199"/>
      <c r="M58" s="199"/>
      <c r="N58" s="199"/>
      <c r="O58" s="199"/>
      <c r="P58" s="199"/>
      <c r="Q58" s="199"/>
      <c r="R58" s="199"/>
      <c r="S58" s="202">
        <f>SUM(S55:S57)</f>
        <v>0</v>
      </c>
      <c r="T58" s="202">
        <f>SUM(T55:T57)</f>
        <v>0</v>
      </c>
      <c r="U58" s="1335">
        <f>SUM(U55:U57)</f>
        <v>0</v>
      </c>
      <c r="X58" s="1203">
        <f>IF(AE58=0,AE58,AE58/D58)</f>
        <v>0</v>
      </c>
      <c r="Y58" s="350"/>
      <c r="Z58" s="203"/>
      <c r="AA58" s="203">
        <f>SQRT(SUMSQ(AA55:AA57))</f>
        <v>0</v>
      </c>
      <c r="AB58" s="203">
        <f>SQRT(SUMSQ(AB55:AB57))</f>
        <v>0</v>
      </c>
      <c r="AC58" s="203"/>
      <c r="AD58" s="203"/>
      <c r="AE58" s="200">
        <f>SQRT(SUMSQ(AD55:AD57))</f>
        <v>0</v>
      </c>
      <c r="AF58" s="1311">
        <f>SQRT(SUMSQ(AF52:AF57))</f>
        <v>0</v>
      </c>
      <c r="AH58" s="571">
        <f t="shared" ref="AH58:AY58" si="14">SUM(AH57:AH57)</f>
        <v>0</v>
      </c>
      <c r="AI58" s="572">
        <f t="shared" si="14"/>
        <v>0</v>
      </c>
      <c r="AJ58" s="572"/>
      <c r="AK58" s="572">
        <f t="shared" si="14"/>
        <v>0</v>
      </c>
      <c r="AL58" s="572">
        <f t="shared" si="14"/>
        <v>0</v>
      </c>
      <c r="AM58" s="572"/>
      <c r="AN58" s="572">
        <f t="shared" si="14"/>
        <v>0</v>
      </c>
      <c r="AO58" s="572">
        <f t="shared" si="14"/>
        <v>0</v>
      </c>
      <c r="AP58" s="572"/>
      <c r="AQ58" s="572">
        <f t="shared" si="14"/>
        <v>0</v>
      </c>
      <c r="AR58" s="572">
        <f t="shared" si="14"/>
        <v>0</v>
      </c>
      <c r="AS58" s="572"/>
      <c r="AT58" s="573">
        <f t="shared" si="14"/>
        <v>0</v>
      </c>
      <c r="AU58" s="573">
        <f t="shared" si="14"/>
        <v>0</v>
      </c>
      <c r="AV58" s="574">
        <f t="shared" si="14"/>
        <v>0</v>
      </c>
      <c r="AW58" s="571">
        <f t="shared" si="14"/>
        <v>0</v>
      </c>
      <c r="AX58" s="572">
        <f t="shared" si="14"/>
        <v>0</v>
      </c>
      <c r="AY58" s="575">
        <f t="shared" si="14"/>
        <v>0</v>
      </c>
      <c r="AZ58" s="2292"/>
      <c r="BA58" s="2292"/>
      <c r="BB58" s="2292"/>
      <c r="BC58" s="2292"/>
      <c r="BD58" s="2292"/>
      <c r="BE58" s="2292"/>
      <c r="BF58" s="2292"/>
    </row>
    <row r="59" spans="1:71" ht="15" hidden="1" customHeight="1" outlineLevel="2">
      <c r="AP59" s="593"/>
      <c r="AZ59" s="444"/>
      <c r="BA59" s="444"/>
      <c r="BB59" s="444"/>
      <c r="BC59" s="444"/>
      <c r="BD59" s="444"/>
      <c r="BE59" s="444"/>
      <c r="BF59" s="444"/>
    </row>
    <row r="60" spans="1:71" ht="12.75" hidden="1" customHeight="1" outlineLevel="2">
      <c r="B60" s="139" t="s">
        <v>3671</v>
      </c>
      <c r="C60" s="140"/>
      <c r="D60" s="1003"/>
      <c r="E60" s="1648"/>
      <c r="F60" s="1003"/>
      <c r="G60" s="141"/>
      <c r="H60" s="141"/>
      <c r="I60" s="142"/>
      <c r="T60" s="116"/>
      <c r="U60" s="116"/>
      <c r="V60" s="116"/>
      <c r="W60" s="116"/>
      <c r="X60" s="2636" t="s">
        <v>366</v>
      </c>
      <c r="Y60" s="2637"/>
      <c r="Z60" s="2637"/>
      <c r="AA60" s="2637"/>
      <c r="AB60" s="2637"/>
      <c r="AC60" s="2637"/>
      <c r="AD60" s="2637"/>
      <c r="AE60" s="2638"/>
      <c r="AF60" s="116"/>
      <c r="AH60" s="2639" t="s">
        <v>441</v>
      </c>
      <c r="AI60" s="2640"/>
      <c r="AJ60" s="2640"/>
      <c r="AK60" s="2640"/>
      <c r="AL60" s="2640"/>
      <c r="AM60" s="2640"/>
      <c r="AN60" s="2640"/>
      <c r="AO60" s="2640"/>
      <c r="AP60" s="2640"/>
      <c r="AQ60" s="2640"/>
      <c r="AR60" s="2640"/>
      <c r="AS60" s="2640"/>
      <c r="AT60" s="2640"/>
      <c r="AU60" s="2640"/>
      <c r="AV60" s="2640"/>
      <c r="AW60" s="2640"/>
      <c r="AX60" s="2640"/>
      <c r="AY60" s="2641"/>
      <c r="AZ60" s="2448"/>
      <c r="BA60" s="2448"/>
      <c r="BB60" s="2448"/>
      <c r="BC60" s="2448"/>
      <c r="BD60" s="2448"/>
      <c r="BE60" s="2448"/>
      <c r="BF60" s="2448"/>
    </row>
    <row r="61" spans="1:71" ht="12.75" hidden="1" customHeight="1" outlineLevel="2">
      <c r="B61" s="143"/>
      <c r="C61" s="144"/>
      <c r="D61" s="537" t="s">
        <v>308</v>
      </c>
      <c r="E61" s="1663"/>
      <c r="F61" s="144"/>
      <c r="G61" s="144"/>
      <c r="H61" s="1005"/>
      <c r="I61" s="539" t="s">
        <v>444</v>
      </c>
      <c r="T61" s="116"/>
      <c r="U61" s="116"/>
      <c r="X61" s="1295"/>
      <c r="Y61" s="1296"/>
      <c r="Z61" s="1296"/>
      <c r="AA61" s="537"/>
      <c r="AB61" s="537"/>
      <c r="AC61" s="2423"/>
      <c r="AD61" s="537"/>
      <c r="AE61" s="539" t="s">
        <v>444</v>
      </c>
      <c r="AG61" s="109"/>
      <c r="AH61" s="2642" t="s">
        <v>444</v>
      </c>
      <c r="AI61" s="2643"/>
      <c r="AJ61" s="2643"/>
      <c r="AK61" s="2643"/>
      <c r="AL61" s="2643"/>
      <c r="AM61" s="2643"/>
      <c r="AN61" s="2643"/>
      <c r="AO61" s="2643"/>
      <c r="AP61" s="2643"/>
      <c r="AQ61" s="2643"/>
      <c r="AR61" s="2643"/>
      <c r="AS61" s="2643"/>
      <c r="AT61" s="2643" t="s">
        <v>444</v>
      </c>
      <c r="AU61" s="2643"/>
      <c r="AV61" s="628"/>
      <c r="AW61" s="624"/>
      <c r="AX61" s="624"/>
      <c r="AY61" s="1291"/>
      <c r="AZ61" s="2449"/>
      <c r="BA61" s="2449"/>
      <c r="BB61" s="2449"/>
      <c r="BC61" s="2449"/>
      <c r="BD61" s="2449"/>
      <c r="BE61" s="2449"/>
      <c r="BF61" s="2449"/>
      <c r="BH61" s="2616" t="s">
        <v>1648</v>
      </c>
      <c r="BI61" s="2618"/>
    </row>
    <row r="62" spans="1:71" ht="12.75" hidden="1" customHeight="1" outlineLevel="2">
      <c r="B62" s="1004"/>
      <c r="C62" s="1005"/>
      <c r="D62" s="1005" t="s">
        <v>409</v>
      </c>
      <c r="E62" s="1656"/>
      <c r="F62" s="147" t="s">
        <v>452</v>
      </c>
      <c r="G62" s="147" t="s">
        <v>3670</v>
      </c>
      <c r="H62" s="1006"/>
      <c r="I62" s="220" t="s">
        <v>880</v>
      </c>
      <c r="T62" s="116"/>
      <c r="U62" s="116"/>
      <c r="V62" s="109"/>
      <c r="W62" s="109"/>
      <c r="X62" s="1295" t="s">
        <v>316</v>
      </c>
      <c r="Y62" s="2629" t="s">
        <v>316</v>
      </c>
      <c r="Z62" s="2630"/>
      <c r="AA62" s="1296"/>
      <c r="AB62" s="1296"/>
      <c r="AC62" s="2419"/>
      <c r="AD62" s="1296"/>
      <c r="AE62" s="220" t="s">
        <v>880</v>
      </c>
      <c r="AF62" s="109"/>
      <c r="AG62" s="109"/>
      <c r="AH62" s="2631" t="s">
        <v>211</v>
      </c>
      <c r="AI62" s="2632"/>
      <c r="AJ62" s="2632"/>
      <c r="AK62" s="2632" t="s">
        <v>442</v>
      </c>
      <c r="AL62" s="2632"/>
      <c r="AM62" s="2632"/>
      <c r="AN62" s="2632" t="s">
        <v>267</v>
      </c>
      <c r="AO62" s="2632"/>
      <c r="AP62" s="2632"/>
      <c r="AQ62" s="2632" t="s">
        <v>443</v>
      </c>
      <c r="AR62" s="2632"/>
      <c r="AS62" s="2632"/>
      <c r="AT62" s="2648" t="s">
        <v>327</v>
      </c>
      <c r="AU62" s="2648"/>
      <c r="AV62" s="568"/>
      <c r="AW62" s="2631" t="s">
        <v>636</v>
      </c>
      <c r="AX62" s="2632"/>
      <c r="AY62" s="568"/>
      <c r="AZ62" s="2292"/>
      <c r="BA62" s="2292"/>
      <c r="BB62" s="2292"/>
      <c r="BC62" s="2292"/>
      <c r="BD62" s="2292"/>
      <c r="BE62" s="2292"/>
      <c r="BF62" s="2292"/>
      <c r="BH62" s="2837" t="s">
        <v>1646</v>
      </c>
      <c r="BI62" s="1141"/>
    </row>
    <row r="63" spans="1:71" ht="12.75" hidden="1" customHeight="1" outlineLevel="2">
      <c r="B63" s="1004"/>
      <c r="C63" s="1005"/>
      <c r="D63" s="1005" t="s">
        <v>444</v>
      </c>
      <c r="E63" s="1656"/>
      <c r="F63" s="149" t="s">
        <v>445</v>
      </c>
      <c r="G63" s="149" t="s">
        <v>881</v>
      </c>
      <c r="H63" s="1007"/>
      <c r="I63" s="220" t="s">
        <v>257</v>
      </c>
      <c r="T63" s="116"/>
      <c r="U63" s="116"/>
      <c r="V63" s="109"/>
      <c r="W63" s="109"/>
      <c r="X63" s="1295" t="s">
        <v>1649</v>
      </c>
      <c r="Y63" s="2646" t="s">
        <v>1650</v>
      </c>
      <c r="Z63" s="2647"/>
      <c r="AA63" s="1300"/>
      <c r="AB63" s="1300"/>
      <c r="AC63" s="1662"/>
      <c r="AD63" s="1300"/>
      <c r="AE63" s="220" t="s">
        <v>257</v>
      </c>
      <c r="AF63" s="109"/>
      <c r="AH63" s="1305"/>
      <c r="AI63" s="1306"/>
      <c r="AJ63" s="1306"/>
      <c r="AK63" s="1306"/>
      <c r="AL63" s="1306"/>
      <c r="AM63" s="1306"/>
      <c r="AN63" s="1306"/>
      <c r="AO63" s="1306"/>
      <c r="AP63" s="1306"/>
      <c r="AQ63" s="1306"/>
      <c r="AR63" s="1306"/>
      <c r="AS63" s="1306"/>
      <c r="AT63" s="581"/>
      <c r="AU63" s="581"/>
      <c r="AV63" s="582"/>
      <c r="AW63" s="1306"/>
      <c r="AX63" s="1306"/>
      <c r="AY63" s="1307"/>
      <c r="AZ63" s="2449"/>
      <c r="BA63" s="2449"/>
      <c r="BB63" s="2449"/>
      <c r="BC63" s="2449"/>
      <c r="BD63" s="2449"/>
      <c r="BE63" s="2449"/>
      <c r="BF63" s="2449"/>
      <c r="BH63" s="2838"/>
      <c r="BI63" s="1303"/>
    </row>
    <row r="64" spans="1:71" ht="12.75" hidden="1" customHeight="1" outlineLevel="2">
      <c r="B64" s="143" t="s">
        <v>3669</v>
      </c>
      <c r="C64" s="144"/>
      <c r="D64" s="212">
        <f>I64</f>
        <v>0</v>
      </c>
      <c r="E64" s="212"/>
      <c r="F64" s="117"/>
      <c r="G64" s="117"/>
      <c r="H64" s="225"/>
      <c r="I64" s="152">
        <f>G64</f>
        <v>0</v>
      </c>
      <c r="T64" s="116"/>
      <c r="U64" s="116"/>
      <c r="X64" s="1092">
        <f>IF(AE64=0,AE64,AE64/D64)</f>
        <v>0</v>
      </c>
      <c r="Y64" s="343"/>
      <c r="Z64" s="820"/>
      <c r="AA64" s="164"/>
      <c r="AB64" s="164"/>
      <c r="AC64" s="164"/>
      <c r="AD64" s="164"/>
      <c r="AE64" s="152">
        <f>I64*BI64</f>
        <v>0</v>
      </c>
      <c r="AH64" s="564">
        <f>D64</f>
        <v>0</v>
      </c>
      <c r="AI64" s="565"/>
      <c r="AJ64" s="565"/>
      <c r="AK64" s="565"/>
      <c r="AL64" s="565"/>
      <c r="AM64" s="565"/>
      <c r="AN64" s="565"/>
      <c r="AO64" s="565"/>
      <c r="AP64" s="565"/>
      <c r="AQ64" s="565"/>
      <c r="AR64" s="565"/>
      <c r="AS64" s="565"/>
      <c r="AT64" s="566">
        <f>SUM(AH64:AQ64)</f>
        <v>0</v>
      </c>
      <c r="AU64" s="566"/>
      <c r="AV64" s="567"/>
      <c r="AW64" s="565"/>
      <c r="AX64" s="565"/>
      <c r="AY64" s="568"/>
      <c r="AZ64" s="2292"/>
      <c r="BA64" s="2292"/>
      <c r="BB64" s="2292"/>
      <c r="BC64" s="2292"/>
      <c r="BD64" s="2292"/>
      <c r="BE64" s="2292"/>
      <c r="BF64" s="2292"/>
      <c r="BH64" s="1065">
        <f>IF($Y64&lt;&gt;"votre valeur :",IF(ISNA(VLOOKUP($Y64,Utilitaires!$N$566:$O$571,2,FALSE)),,VLOOKUP($Y64,Utilitaires!$N$566:$O$571,2,FALSE)),$Z64)</f>
        <v>0</v>
      </c>
      <c r="BI64" s="1130">
        <f>SQRT(SUMSQ(0,BH64))</f>
        <v>0</v>
      </c>
    </row>
    <row r="65" spans="1:64" ht="12.75" hidden="1" customHeight="1" outlineLevel="2">
      <c r="B65" s="143" t="s">
        <v>3669</v>
      </c>
      <c r="C65" s="144"/>
      <c r="D65" s="212">
        <f>I65</f>
        <v>0</v>
      </c>
      <c r="E65" s="212"/>
      <c r="F65" s="120"/>
      <c r="G65" s="120"/>
      <c r="H65" s="225"/>
      <c r="I65" s="152">
        <f t="shared" ref="I65:I66" si="15">G65</f>
        <v>0</v>
      </c>
      <c r="T65" s="116"/>
      <c r="U65" s="116"/>
      <c r="X65" s="1092">
        <f>IF(AE65=0,AE65,AE65/D65)</f>
        <v>0</v>
      </c>
      <c r="Y65" s="343"/>
      <c r="Z65" s="820"/>
      <c r="AA65" s="164"/>
      <c r="AB65" s="164"/>
      <c r="AC65" s="164"/>
      <c r="AD65" s="164"/>
      <c r="AE65" s="152">
        <f>I65*BI65</f>
        <v>0</v>
      </c>
      <c r="AH65" s="564">
        <f>D65</f>
        <v>0</v>
      </c>
      <c r="AI65" s="565"/>
      <c r="AJ65" s="565"/>
      <c r="AK65" s="565"/>
      <c r="AL65" s="565"/>
      <c r="AM65" s="565"/>
      <c r="AN65" s="565"/>
      <c r="AO65" s="565"/>
      <c r="AP65" s="565"/>
      <c r="AQ65" s="565"/>
      <c r="AR65" s="565"/>
      <c r="AS65" s="565"/>
      <c r="AT65" s="566">
        <f>SUM(AH65:AQ65)</f>
        <v>0</v>
      </c>
      <c r="AU65" s="566"/>
      <c r="AV65" s="567"/>
      <c r="AW65" s="565"/>
      <c r="AX65" s="565"/>
      <c r="AY65" s="568"/>
      <c r="AZ65" s="2292"/>
      <c r="BA65" s="2292"/>
      <c r="BB65" s="2292"/>
      <c r="BC65" s="2292"/>
      <c r="BD65" s="2292"/>
      <c r="BE65" s="2292"/>
      <c r="BF65" s="2292"/>
      <c r="BH65" s="1065">
        <f>IF($Y65&lt;&gt;"votre valeur :",IF(ISNA(VLOOKUP($Y65,Utilitaires!$N$566:$O$571,2,FALSE)),,VLOOKUP($Y65,Utilitaires!$N$566:$O$571,2,FALSE)),$Z65)</f>
        <v>0</v>
      </c>
      <c r="BI65" s="1130">
        <f>SQRT(SUMSQ(0,BH65))</f>
        <v>0</v>
      </c>
    </row>
    <row r="66" spans="1:64" ht="12.75" hidden="1" customHeight="1" outlineLevel="2">
      <c r="B66" s="143" t="s">
        <v>3669</v>
      </c>
      <c r="C66" s="144"/>
      <c r="D66" s="212">
        <f>I66</f>
        <v>0</v>
      </c>
      <c r="E66" s="212"/>
      <c r="F66" s="123"/>
      <c r="G66" s="123"/>
      <c r="H66" s="225"/>
      <c r="I66" s="152">
        <f t="shared" si="15"/>
        <v>0</v>
      </c>
      <c r="T66" s="116"/>
      <c r="U66" s="116"/>
      <c r="X66" s="1092">
        <f>IF(AE66=0,AE66,AE66/D66)</f>
        <v>0</v>
      </c>
      <c r="Y66" s="1094"/>
      <c r="Z66" s="820"/>
      <c r="AA66" s="164"/>
      <c r="AB66" s="164"/>
      <c r="AC66" s="164"/>
      <c r="AD66" s="164"/>
      <c r="AE66" s="152">
        <f>I66*BI66</f>
        <v>0</v>
      </c>
      <c r="AH66" s="564">
        <f>D66</f>
        <v>0</v>
      </c>
      <c r="AI66" s="565"/>
      <c r="AJ66" s="565"/>
      <c r="AK66" s="565"/>
      <c r="AL66" s="565"/>
      <c r="AM66" s="565"/>
      <c r="AN66" s="565"/>
      <c r="AO66" s="565"/>
      <c r="AP66" s="565"/>
      <c r="AQ66" s="565"/>
      <c r="AR66" s="565"/>
      <c r="AS66" s="565"/>
      <c r="AT66" s="566">
        <f>SUM(AH66:AQ66)</f>
        <v>0</v>
      </c>
      <c r="AU66" s="566"/>
      <c r="AV66" s="567"/>
      <c r="AW66" s="565"/>
      <c r="AX66" s="565"/>
      <c r="AY66" s="568"/>
      <c r="AZ66" s="2292"/>
      <c r="BA66" s="2292"/>
      <c r="BB66" s="2292"/>
      <c r="BC66" s="2292"/>
      <c r="BD66" s="2292"/>
      <c r="BE66" s="2292"/>
      <c r="BF66" s="2292"/>
      <c r="BH66" s="1065">
        <f>IF($Y66&lt;&gt;"votre valeur :",IF(ISNA(VLOOKUP($Y66,Utilitaires!$N$566:$O$571,2,FALSE)),,VLOOKUP($Y66,Utilitaires!$N$566:$O$571,2,FALSE)),$Z66)</f>
        <v>0</v>
      </c>
      <c r="BI66" s="1130">
        <f>SQRT(SUMSQ(0,BH66))</f>
        <v>0</v>
      </c>
    </row>
    <row r="67" spans="1:64" ht="12.75" hidden="1" customHeight="1" outlineLevel="2">
      <c r="B67" s="154"/>
      <c r="C67" s="155"/>
      <c r="D67" s="221"/>
      <c r="E67" s="221"/>
      <c r="F67" s="155"/>
      <c r="G67" s="155"/>
      <c r="H67" s="155"/>
      <c r="I67" s="156"/>
      <c r="T67" s="116"/>
      <c r="U67" s="116"/>
      <c r="X67" s="1092"/>
      <c r="Y67" s="155"/>
      <c r="Z67" s="169"/>
      <c r="AA67" s="155"/>
      <c r="AB67" s="155"/>
      <c r="AC67" s="155"/>
      <c r="AD67" s="155"/>
      <c r="AE67" s="165"/>
      <c r="AH67" s="569"/>
      <c r="AI67" s="625"/>
      <c r="AJ67" s="625"/>
      <c r="AK67" s="625"/>
      <c r="AL67" s="625"/>
      <c r="AM67" s="625"/>
      <c r="AN67" s="625"/>
      <c r="AO67" s="625"/>
      <c r="AP67" s="625"/>
      <c r="AQ67" s="625"/>
      <c r="AR67" s="625"/>
      <c r="AS67" s="625"/>
      <c r="AT67" s="1313"/>
      <c r="AU67" s="1313"/>
      <c r="AV67" s="1314"/>
      <c r="AW67" s="565"/>
      <c r="AX67" s="565"/>
      <c r="AY67" s="568"/>
      <c r="AZ67" s="2292"/>
      <c r="BA67" s="2292"/>
      <c r="BB67" s="2292"/>
      <c r="BC67" s="2292"/>
      <c r="BD67" s="2292"/>
      <c r="BE67" s="2292"/>
      <c r="BF67" s="2292"/>
      <c r="BH67" s="1087"/>
      <c r="BI67" s="1153"/>
    </row>
    <row r="68" spans="1:64" ht="12.75" hidden="1" customHeight="1" outlineLevel="2">
      <c r="B68" s="196" t="s">
        <v>348</v>
      </c>
      <c r="C68" s="197"/>
      <c r="D68" s="214">
        <f>SUM(D64:D67)</f>
        <v>0</v>
      </c>
      <c r="E68" s="214"/>
      <c r="F68" s="198"/>
      <c r="G68" s="199"/>
      <c r="H68" s="199"/>
      <c r="I68" s="200">
        <f>SUM(I64:I67)</f>
        <v>0</v>
      </c>
      <c r="T68" s="116"/>
      <c r="U68" s="116"/>
      <c r="X68" s="1203">
        <f>IF(AE68=0,AE68,AE68/D68)</f>
        <v>0</v>
      </c>
      <c r="Y68" s="199"/>
      <c r="Z68" s="199"/>
      <c r="AA68" s="203"/>
      <c r="AB68" s="203"/>
      <c r="AC68" s="203"/>
      <c r="AD68" s="203"/>
      <c r="AE68" s="200">
        <f>SQRT(SUMSQ(AE64:AE67))</f>
        <v>0</v>
      </c>
      <c r="AH68" s="1308">
        <f>SUM(AH64:AH67)</f>
        <v>0</v>
      </c>
      <c r="AI68" s="1309"/>
      <c r="AJ68" s="1309"/>
      <c r="AK68" s="1309">
        <f>SUM(AK64:AK67)</f>
        <v>0</v>
      </c>
      <c r="AL68" s="1309"/>
      <c r="AM68" s="1309"/>
      <c r="AN68" s="1309">
        <f>SUM(AN64:AN67)</f>
        <v>0</v>
      </c>
      <c r="AO68" s="1309"/>
      <c r="AP68" s="1309"/>
      <c r="AQ68" s="1309">
        <f>SUM(AQ64:AQ67)</f>
        <v>0</v>
      </c>
      <c r="AR68" s="572"/>
      <c r="AS68" s="572"/>
      <c r="AT68" s="573">
        <f>SUM(AT64:AT67)</f>
        <v>0</v>
      </c>
      <c r="AU68" s="1312"/>
      <c r="AV68" s="1312"/>
      <c r="AW68" s="1082">
        <f>SUM(AW64:AW67)</f>
        <v>0</v>
      </c>
      <c r="AX68" s="572"/>
      <c r="AY68" s="575"/>
      <c r="AZ68" s="2292"/>
      <c r="BA68" s="2292"/>
      <c r="BB68" s="2292"/>
      <c r="BC68" s="2292"/>
      <c r="BD68" s="2292"/>
      <c r="BE68" s="2292"/>
      <c r="BF68" s="2292"/>
    </row>
    <row r="69" spans="1:64" ht="15" hidden="1" customHeight="1" outlineLevel="2">
      <c r="AP69" s="593"/>
      <c r="AZ69" s="444"/>
      <c r="BA69" s="444"/>
      <c r="BB69" s="444"/>
      <c r="BC69" s="444"/>
      <c r="BD69" s="444"/>
      <c r="BE69" s="444"/>
      <c r="BF69" s="444"/>
    </row>
    <row r="70" spans="1:64" ht="12.75" hidden="1" customHeight="1" outlineLevel="2">
      <c r="B70" s="139" t="s">
        <v>2331</v>
      </c>
      <c r="C70" s="140"/>
      <c r="D70" s="290"/>
      <c r="E70" s="1648"/>
      <c r="F70" s="141"/>
      <c r="G70" s="141"/>
      <c r="H70" s="160"/>
      <c r="I70" s="160"/>
      <c r="J70" s="160"/>
      <c r="K70" s="2421"/>
      <c r="L70" s="290"/>
      <c r="M70" s="290"/>
      <c r="N70" s="290"/>
      <c r="O70" s="2265"/>
      <c r="P70" s="1298"/>
      <c r="X70" s="1028" t="s">
        <v>366</v>
      </c>
      <c r="Y70" s="1262"/>
      <c r="Z70" s="1262"/>
      <c r="AA70" s="1262"/>
      <c r="AB70" s="1262"/>
      <c r="AC70" s="1262"/>
      <c r="AD70" s="1262"/>
      <c r="AE70" s="1262"/>
      <c r="AF70" s="1497"/>
      <c r="AH70" s="2639" t="s">
        <v>441</v>
      </c>
      <c r="AI70" s="2640"/>
      <c r="AJ70" s="2640"/>
      <c r="AK70" s="2640"/>
      <c r="AL70" s="2640"/>
      <c r="AM70" s="2640"/>
      <c r="AN70" s="2640"/>
      <c r="AO70" s="2640"/>
      <c r="AP70" s="2640"/>
      <c r="AQ70" s="2640"/>
      <c r="AR70" s="2640"/>
      <c r="AS70" s="2640"/>
      <c r="AT70" s="2640"/>
      <c r="AU70" s="2640"/>
      <c r="AV70" s="2640"/>
      <c r="AW70" s="2640"/>
      <c r="AX70" s="2640"/>
      <c r="AY70" s="2640"/>
      <c r="AZ70" s="2640"/>
      <c r="BA70" s="2641"/>
      <c r="BB70" s="2416"/>
      <c r="BC70" s="2416"/>
      <c r="BD70" s="2416"/>
      <c r="BE70" s="2417"/>
      <c r="BF70" s="2448"/>
    </row>
    <row r="71" spans="1:64" ht="12.75" hidden="1" customHeight="1" outlineLevel="2">
      <c r="B71" s="332"/>
      <c r="C71" s="167"/>
      <c r="D71" s="291" t="s">
        <v>308</v>
      </c>
      <c r="E71" s="1663"/>
      <c r="F71" s="155"/>
      <c r="G71" s="144"/>
      <c r="H71" s="177"/>
      <c r="I71" s="177"/>
      <c r="J71" s="177"/>
      <c r="K71" s="177"/>
      <c r="L71" s="291"/>
      <c r="M71" s="291"/>
      <c r="N71" s="291"/>
      <c r="O71" s="2423"/>
      <c r="P71" s="153" t="s">
        <v>275</v>
      </c>
      <c r="X71" s="1295"/>
      <c r="Y71" s="1296"/>
      <c r="Z71" s="1296"/>
      <c r="AA71" s="291"/>
      <c r="AB71" s="291"/>
      <c r="AC71" s="2423"/>
      <c r="AD71" s="291"/>
      <c r="AE71" s="291"/>
      <c r="AF71" s="339" t="s">
        <v>275</v>
      </c>
      <c r="AH71" s="2642" t="s">
        <v>444</v>
      </c>
      <c r="AI71" s="2643"/>
      <c r="AJ71" s="2643"/>
      <c r="AK71" s="2643"/>
      <c r="AL71" s="2643"/>
      <c r="AM71" s="2643"/>
      <c r="AN71" s="2643"/>
      <c r="AO71" s="2643"/>
      <c r="AP71" s="2643"/>
      <c r="AQ71" s="2643"/>
      <c r="AR71" s="2643"/>
      <c r="AS71" s="2643"/>
      <c r="AT71" s="2643"/>
      <c r="AU71" s="2643"/>
      <c r="AV71" s="2643"/>
      <c r="AW71" s="2643"/>
      <c r="AX71" s="2643"/>
      <c r="AY71" s="2643"/>
      <c r="AZ71" s="2643"/>
      <c r="BA71" s="2644"/>
      <c r="BB71" s="624"/>
      <c r="BC71" s="624"/>
      <c r="BD71" s="624"/>
      <c r="BE71" s="578"/>
      <c r="BF71" s="2288"/>
      <c r="BH71" s="2616" t="s">
        <v>1648</v>
      </c>
      <c r="BI71" s="2617"/>
      <c r="BJ71" s="2617"/>
      <c r="BK71" s="2617"/>
      <c r="BL71" s="2618"/>
    </row>
    <row r="72" spans="1:64" ht="12.75" hidden="1" customHeight="1" outlineLevel="2">
      <c r="B72" s="143"/>
      <c r="C72" s="144"/>
      <c r="D72" s="292" t="s">
        <v>409</v>
      </c>
      <c r="E72" s="1656"/>
      <c r="F72" s="147" t="s">
        <v>452</v>
      </c>
      <c r="G72" s="147"/>
      <c r="H72" s="2626" t="s">
        <v>2324</v>
      </c>
      <c r="I72" s="2628"/>
      <c r="J72" s="2628"/>
      <c r="K72" s="2628"/>
      <c r="L72" s="2768" t="s">
        <v>444</v>
      </c>
      <c r="M72" s="2768"/>
      <c r="N72" s="2768"/>
      <c r="O72" s="2841"/>
      <c r="P72" s="153" t="s">
        <v>276</v>
      </c>
      <c r="X72" s="1295" t="s">
        <v>316</v>
      </c>
      <c r="Y72" s="2629" t="s">
        <v>316</v>
      </c>
      <c r="Z72" s="2630"/>
      <c r="AA72" s="2626" t="s">
        <v>444</v>
      </c>
      <c r="AB72" s="2628"/>
      <c r="AC72" s="2628"/>
      <c r="AD72" s="2628"/>
      <c r="AE72" s="291" t="s">
        <v>444</v>
      </c>
      <c r="AF72" s="339" t="s">
        <v>276</v>
      </c>
      <c r="AH72" s="2631" t="s">
        <v>211</v>
      </c>
      <c r="AI72" s="2632"/>
      <c r="AJ72" s="2632"/>
      <c r="AK72" s="2632"/>
      <c r="AL72" s="2632" t="s">
        <v>442</v>
      </c>
      <c r="AM72" s="2632"/>
      <c r="AN72" s="2632"/>
      <c r="AO72" s="2632"/>
      <c r="AP72" s="2632" t="s">
        <v>267</v>
      </c>
      <c r="AQ72" s="2632"/>
      <c r="AR72" s="2632"/>
      <c r="AS72" s="2632"/>
      <c r="AT72" s="2632" t="s">
        <v>443</v>
      </c>
      <c r="AU72" s="2632"/>
      <c r="AV72" s="2632"/>
      <c r="AW72" s="2632"/>
      <c r="AX72" s="2648" t="s">
        <v>327</v>
      </c>
      <c r="AY72" s="2648"/>
      <c r="AZ72" s="2648"/>
      <c r="BA72" s="2649"/>
      <c r="BB72" s="2632" t="s">
        <v>636</v>
      </c>
      <c r="BC72" s="2632"/>
      <c r="BD72" s="2632"/>
      <c r="BE72" s="2650"/>
      <c r="BF72" s="2450"/>
      <c r="BH72" s="2837" t="s">
        <v>1646</v>
      </c>
      <c r="BI72" s="2833" t="s">
        <v>2222</v>
      </c>
      <c r="BJ72" s="2834"/>
      <c r="BK72" s="2834"/>
      <c r="BL72" s="2835"/>
    </row>
    <row r="73" spans="1:64" ht="27" hidden="1" customHeight="1" outlineLevel="2">
      <c r="B73" s="143"/>
      <c r="C73" s="144"/>
      <c r="D73" s="292" t="s">
        <v>444</v>
      </c>
      <c r="E73" s="1656"/>
      <c r="F73" s="149" t="s">
        <v>445</v>
      </c>
      <c r="G73" s="149" t="s">
        <v>415</v>
      </c>
      <c r="H73" s="1265" t="s">
        <v>411</v>
      </c>
      <c r="I73" s="1265" t="s">
        <v>257</v>
      </c>
      <c r="J73" s="2462" t="s">
        <v>5079</v>
      </c>
      <c r="K73" s="1762" t="s">
        <v>422</v>
      </c>
      <c r="L73" s="293" t="s">
        <v>411</v>
      </c>
      <c r="M73" s="293" t="s">
        <v>257</v>
      </c>
      <c r="N73" s="2463" t="s">
        <v>5079</v>
      </c>
      <c r="O73" s="2420" t="s">
        <v>422</v>
      </c>
      <c r="P73" s="153" t="s">
        <v>444</v>
      </c>
      <c r="X73" s="1295" t="s">
        <v>1649</v>
      </c>
      <c r="Y73" s="2646" t="s">
        <v>1650</v>
      </c>
      <c r="Z73" s="2647"/>
      <c r="AA73" s="216" t="s">
        <v>411</v>
      </c>
      <c r="AB73" s="216" t="s">
        <v>257</v>
      </c>
      <c r="AC73" s="1120" t="s">
        <v>5079</v>
      </c>
      <c r="AD73" s="1662" t="s">
        <v>422</v>
      </c>
      <c r="AE73" s="291" t="s">
        <v>327</v>
      </c>
      <c r="AF73" s="339" t="s">
        <v>444</v>
      </c>
      <c r="AH73" s="579" t="s">
        <v>411</v>
      </c>
      <c r="AI73" s="580" t="s">
        <v>257</v>
      </c>
      <c r="AJ73" s="2464" t="s">
        <v>5079</v>
      </c>
      <c r="AK73" s="2286" t="s">
        <v>422</v>
      </c>
      <c r="AL73" s="580" t="s">
        <v>411</v>
      </c>
      <c r="AM73" s="580" t="s">
        <v>257</v>
      </c>
      <c r="AN73" s="2464" t="s">
        <v>5079</v>
      </c>
      <c r="AO73" s="2286" t="s">
        <v>422</v>
      </c>
      <c r="AP73" s="580" t="s">
        <v>411</v>
      </c>
      <c r="AQ73" s="580" t="s">
        <v>257</v>
      </c>
      <c r="AR73" s="2464" t="s">
        <v>5079</v>
      </c>
      <c r="AS73" s="2286" t="s">
        <v>422</v>
      </c>
      <c r="AT73" s="580" t="s">
        <v>411</v>
      </c>
      <c r="AU73" s="580" t="s">
        <v>257</v>
      </c>
      <c r="AV73" s="2464" t="s">
        <v>5079</v>
      </c>
      <c r="AW73" s="2286" t="s">
        <v>422</v>
      </c>
      <c r="AX73" s="581" t="s">
        <v>411</v>
      </c>
      <c r="AY73" s="581" t="s">
        <v>257</v>
      </c>
      <c r="AZ73" s="2465" t="s">
        <v>5079</v>
      </c>
      <c r="BA73" s="582" t="s">
        <v>422</v>
      </c>
      <c r="BB73" s="2286" t="s">
        <v>411</v>
      </c>
      <c r="BC73" s="580" t="s">
        <v>257</v>
      </c>
      <c r="BD73" s="2464" t="s">
        <v>5079</v>
      </c>
      <c r="BE73" s="2287" t="s">
        <v>422</v>
      </c>
      <c r="BF73" s="2449"/>
      <c r="BH73" s="2838"/>
      <c r="BI73" s="1302" t="s">
        <v>411</v>
      </c>
      <c r="BJ73" s="1302" t="s">
        <v>257</v>
      </c>
      <c r="BK73" s="1304" t="s">
        <v>5079</v>
      </c>
      <c r="BL73" s="2424" t="s">
        <v>422</v>
      </c>
    </row>
    <row r="74" spans="1:64" ht="12.75" hidden="1" customHeight="1" outlineLevel="2">
      <c r="B74" s="143" t="s">
        <v>4017</v>
      </c>
      <c r="C74" s="144"/>
      <c r="D74" s="212">
        <f>SUM(L74:O74)</f>
        <v>0</v>
      </c>
      <c r="E74" s="212"/>
      <c r="F74" s="409"/>
      <c r="G74" s="117"/>
      <c r="H74" s="335">
        <f>VLOOKUP($B74&amp;"; "&amp;$H$72&amp;", "&amp;H$73,'FE Fret'!$G:$U,9,FALSE)</f>
        <v>0.31</v>
      </c>
      <c r="I74" s="335">
        <f>VLOOKUP($B74&amp;"; "&amp;$H$72&amp;", "&amp;I$73,'FE Fret'!$G:$U,9,FALSE)</f>
        <v>1.59</v>
      </c>
      <c r="J74" s="335">
        <f>IF(ISNA(VLOOKUP($B74&amp;"; "&amp;$H$72&amp;", "&amp;J$73,'FE Fret'!$G:$U,9,FALSE)),0,VLOOKUP($B74&amp;"; "&amp;$H$72&amp;", "&amp;J$73,'FE Fret'!$G:$U,9,FALSE))</f>
        <v>1.57</v>
      </c>
      <c r="K74" s="2446">
        <f>IF(ISNA(VLOOKUP($B74&amp;"; "&amp;$H$72&amp;", "&amp;K$73,'FE Fret'!$G:$U,9,FALSE)),0,VLOOKUP($B74&amp;"; "&amp;$H$72&amp;", "&amp;K$73,'FE Fret'!$G:$U,9,FALSE))</f>
        <v>2.2899999999999999E-3</v>
      </c>
      <c r="L74" s="356">
        <f>G74*H74</f>
        <v>0</v>
      </c>
      <c r="M74" s="356">
        <f>G74*I74</f>
        <v>0</v>
      </c>
      <c r="N74" s="151">
        <f>G74*J74</f>
        <v>0</v>
      </c>
      <c r="O74" s="151">
        <f>G74*K74</f>
        <v>0</v>
      </c>
      <c r="P74" s="1286">
        <f>IF(OR(F74=Utilitaires!$G$572,F74=Utilitaires!$G$577),M74,0)</f>
        <v>0</v>
      </c>
      <c r="X74" s="1092">
        <f>IF(AE74=0,AE74,AE74/D74)</f>
        <v>0</v>
      </c>
      <c r="Y74" s="343"/>
      <c r="Z74" s="820"/>
      <c r="AA74" s="164">
        <f t="shared" ref="AA74:AD76" si="16">IF(ISNA(L74*BI74),0,L74*BI74)</f>
        <v>0</v>
      </c>
      <c r="AB74" s="164">
        <f t="shared" si="16"/>
        <v>0</v>
      </c>
      <c r="AC74" s="164">
        <f t="shared" si="16"/>
        <v>0</v>
      </c>
      <c r="AD74" s="177">
        <f t="shared" si="16"/>
        <v>0</v>
      </c>
      <c r="AE74" s="151">
        <f>SQRT(SUMSQ(AA74:AD74))</f>
        <v>0</v>
      </c>
      <c r="AF74" s="165">
        <f>X74*P74</f>
        <v>0</v>
      </c>
      <c r="AH74" s="564">
        <f>$G74*IF(ISNA(VLOOKUP($B74&amp;"; "&amp;$H$72&amp;", "&amp;H$73,'FE Fret'!$G:$U,10,FALSE)),0,VLOOKUP($B74&amp;"; "&amp;$H$72&amp;", "&amp;H$73,'FE Fret'!$G:$U,10,FALSE))</f>
        <v>0</v>
      </c>
      <c r="AI74" s="565">
        <f>$G74*IF(ISNA(VLOOKUP($B74&amp;"; "&amp;$H$72&amp;", "&amp;I$73,'FE Fret'!$G:$U,10,FALSE)),0,VLOOKUP($B74&amp;"; "&amp;$H$72&amp;", "&amp;I$73,'FE Fret'!$G:$U,10,FALSE))</f>
        <v>0</v>
      </c>
      <c r="AJ74" s="565">
        <f>$G74*IF(ISNA(VLOOKUP($B74&amp;"; "&amp;$H$72&amp;", "&amp;J$73,'FE Fret'!$G:$U,10,FALSE)),0,VLOOKUP($B74&amp;"; "&amp;$H$72&amp;", "&amp;J$73,'FE Fret'!$G:$U,10,FALSE))</f>
        <v>0</v>
      </c>
      <c r="AK74" s="565">
        <f>$G74*IF(ISNA((VLOOKUP($B74&amp;"; "&amp;$H$72&amp;", "&amp;K$73,'FE Fret'!$G:$U,11,FALSE)+VLOOKUP($B74&amp;"; "&amp;$H$72&amp;", "&amp;K$73,'FE Fret'!$G:$U,12,FALSE))),0,(VLOOKUP($B74&amp;"; "&amp;$H$72&amp;", "&amp;K$73,'FE Fret'!$G:$U,11,FALSE)+VLOOKUP($B74&amp;"; "&amp;$H$72&amp;", "&amp;K$73,'FE Fret'!$G:$U,12,FALSE)))</f>
        <v>0</v>
      </c>
      <c r="AL74" s="565">
        <f>$G74*IF(ISNA((VLOOKUP($B74&amp;"; "&amp;$H$72&amp;", "&amp;H$73,'FE Fret'!$G:$U,11,FALSE)+VLOOKUP($B74&amp;"; "&amp;$H$72&amp;", "&amp;H$73,'FE Fret'!$G:$U,12,FALSE))),0,(VLOOKUP($B74&amp;"; "&amp;$H$72&amp;", "&amp;H$73,'FE Fret'!$G:$U,11,FALSE)+VLOOKUP($B74&amp;"; "&amp;$H$72&amp;", "&amp;H$73,'FE Fret'!$G:$U,12,FALSE)))</f>
        <v>0</v>
      </c>
      <c r="AM74" s="565">
        <f>$G74*IF(ISNA((VLOOKUP($B74&amp;"; "&amp;$H$72&amp;", "&amp;I$73,'FE Fret'!$G:$U,11,FALSE)+VLOOKUP($B74&amp;"; "&amp;$H$72&amp;", "&amp;I$73,'FE Fret'!$G:$U,12,FALSE))),0,(VLOOKUP($B74&amp;"; "&amp;$H$72&amp;", "&amp;I$73,'FE Fret'!$G:$U,11,FALSE)+VLOOKUP($B74&amp;"; "&amp;$H$72&amp;", "&amp;I$73,'FE Fret'!$G:$U,12,FALSE)))</f>
        <v>0</v>
      </c>
      <c r="AN74" s="565">
        <f>$G74*IF(ISNA((VLOOKUP($B74&amp;"; "&amp;$H$72&amp;", "&amp;J$73,'FE Fret'!$G:$U,11,FALSE)+VLOOKUP($B74&amp;"; "&amp;$H$72&amp;", "&amp;J$73,'FE Fret'!$G:$U,12,FALSE))),0,(VLOOKUP($B74&amp;"; "&amp;$H$72&amp;", "&amp;J$73,'FE Fret'!$G:$U,11,FALSE)+VLOOKUP($B74&amp;"; "&amp;$H$72&amp;", "&amp;J$73,'FE Fret'!$G:$U,12,FALSE)))</f>
        <v>0</v>
      </c>
      <c r="AO74" s="565">
        <f>$G74*IF(ISNA((VLOOKUP($B74&amp;"; "&amp;$H$72&amp;", "&amp;K$73,'FE Fret'!$G:$U,11,FALSE)+VLOOKUP($B74&amp;"; "&amp;$H$72&amp;", "&amp;K$73,'FE Fret'!$G:$U,12,FALSE))),0,(VLOOKUP($B74&amp;"; "&amp;$H$72&amp;", "&amp;K$73,'FE Fret'!$G:$U,11,FALSE)+VLOOKUP($B74&amp;"; "&amp;$H$72&amp;", "&amp;K$73,'FE Fret'!$G:$U,12,FALSE)))</f>
        <v>0</v>
      </c>
      <c r="AP74" s="565">
        <f>$G74*IF(ISNA(VLOOKUP($B74&amp;"; "&amp;$H$72&amp;", "&amp;H$73,'FE Fret'!$G:$U,13,FALSE)),0,VLOOKUP($B74&amp;"; "&amp;$H$72&amp;", "&amp;H$73,'FE Fret'!$G:$U,13,FALSE))</f>
        <v>0</v>
      </c>
      <c r="AQ74" s="565">
        <f>$G74*IF(ISNA(VLOOKUP($B74&amp;"; "&amp;$H$72&amp;", "&amp;I$73,'FE Fret'!$G:$U,13,FALSE)),0,VLOOKUP($B74&amp;"; "&amp;$H$72&amp;", "&amp;I$73,'FE Fret'!$G:$U,13,FALSE))</f>
        <v>0</v>
      </c>
      <c r="AR74" s="565">
        <f>$G74*IF(ISNA(VLOOKUP($B74&amp;"; "&amp;$H$72&amp;", "&amp;J$73,'FE Fret'!$G:$U,13,FALSE)),0,VLOOKUP($B74&amp;"; "&amp;$H$72&amp;", "&amp;J$73,'FE Fret'!$G:$U,13,FALSE))</f>
        <v>0</v>
      </c>
      <c r="AS74" s="565">
        <f>$G74*IF(ISNA(VLOOKUP($B74&amp;"; "&amp;$H$72&amp;", "&amp;K$73,'FE Fret'!$G:$U,13,FALSE)),0,VLOOKUP($B74&amp;"; "&amp;$H$72&amp;", "&amp;K$73,'FE Fret'!$G:$U,13,FALSE))</f>
        <v>0</v>
      </c>
      <c r="AT74" s="565">
        <f>$G74*IF(ISNA(VLOOKUP($B74&amp;"; "&amp;$H$72&amp;", "&amp;H$73,'FE Fret'!$G:$U,14,FALSE)),0,VLOOKUP($B74&amp;"; "&amp;$H$72&amp;", "&amp;H$73,'FE Fret'!$G:$U,14,FALSE))</f>
        <v>0</v>
      </c>
      <c r="AU74" s="565">
        <f>$G74*IF(ISNA(VLOOKUP($B74&amp;"; "&amp;$H$72&amp;", "&amp;I$73,'FE Fret'!$G:$U,14,FALSE)),0,VLOOKUP($B74&amp;"; "&amp;$H$72&amp;", "&amp;I$73,'FE Fret'!$G:$U,14,FALSE))</f>
        <v>0</v>
      </c>
      <c r="AV74" s="565">
        <f>$G74*IF(ISNA(VLOOKUP($B74&amp;"; "&amp;$H$72&amp;", "&amp;J$73,'FE Fret'!$G:$U,14,FALSE)),0,VLOOKUP($B74&amp;"; "&amp;$H$72&amp;", "&amp;J$73,'FE Fret'!$G:$U,14,FALSE))</f>
        <v>0</v>
      </c>
      <c r="AW74" s="565">
        <f>$G74*IF(ISNA(VLOOKUP($B74&amp;"; "&amp;$H$72&amp;", "&amp;K$73,'FE Fret'!$G:$U,14,FALSE)),0,VLOOKUP($B74&amp;"; "&amp;$H$72&amp;", "&amp;K$73,'FE Fret'!$G:$U,14,FALSE))</f>
        <v>0</v>
      </c>
      <c r="AX74" s="566">
        <f>L74</f>
        <v>0</v>
      </c>
      <c r="AY74" s="566">
        <f>M74</f>
        <v>0</v>
      </c>
      <c r="AZ74" s="566">
        <f>N74</f>
        <v>0</v>
      </c>
      <c r="BA74" s="567">
        <f>O74</f>
        <v>0</v>
      </c>
      <c r="BB74" s="565">
        <f>$G74*IF(ISNA(VLOOKUP($B74&amp;"; "&amp;$H$72&amp;", "&amp;H$73,'FE Fret'!$G:$U,15,FALSE)),0,VLOOKUP($B74&amp;"; "&amp;$H$72&amp;", "&amp;H$73,'FE Fret'!$G:$U,15,FALSE))</f>
        <v>0</v>
      </c>
      <c r="BC74" s="565">
        <f>$G74*IF(ISNA(VLOOKUP($B74&amp;"; "&amp;$H$72&amp;", "&amp;I$73,'FE Fret'!$G:$U,15,FALSE)),0,VLOOKUP($B74&amp;"; "&amp;$H$72&amp;", "&amp;I$73,'FE Fret'!$G:$U,15,FALSE))</f>
        <v>0</v>
      </c>
      <c r="BD74" s="565">
        <f>$G74*IF(ISNA(VLOOKUP($B74&amp;"; "&amp;$H$72&amp;", "&amp;J$73,'FE Fret'!$G:$U,15,FALSE)),0,VLOOKUP($B74&amp;"; "&amp;$H$72&amp;", "&amp;J$73,'FE Fret'!$G:$U,15,FALSE))</f>
        <v>0</v>
      </c>
      <c r="BE74" s="568">
        <f>$G74*IF(ISNA(VLOOKUP($B74&amp;"; "&amp;$H$72&amp;", "&amp;K$73,'FE Fret'!$G:$U,15,FALSE)),0,VLOOKUP($B74&amp;"; "&amp;$H$72&amp;", "&amp;K$73,'FE Fret'!$G:$U,15,FALSE))</f>
        <v>0</v>
      </c>
      <c r="BF74" s="2292"/>
      <c r="BH74" s="1065">
        <f>IF($Y74&lt;&gt;"votre valeur :",IF(ISNA(VLOOKUP($Y74,Utilitaires!$N$566:$O$571,2,FALSE)),,VLOOKUP($Y74,Utilitaires!$N$566:$O$571,2,FALSE)),$Z74)</f>
        <v>0</v>
      </c>
      <c r="BI74" s="1124">
        <f>IF(ISNA(SQRT(SUMSQ(VLOOKUP($B74&amp;"; "&amp;$H$72&amp;", "&amp;H$73,'FE Fret'!$G:$U,7,FALSE),$BH74))),0,SQRT(SUMSQ(VLOOKUP($B74&amp;"; "&amp;$H$72&amp;", "&amp;H$73,'FE Fret'!$G:$U,7,FALSE),$BH74)))</f>
        <v>0.7</v>
      </c>
      <c r="BJ74" s="1124">
        <f>IF(ISNA(SQRT(SUMSQ(VLOOKUP($B74&amp;"; "&amp;$H$72&amp;", "&amp;I$73,'FE Fret'!$G:$U,7,FALSE),$BH74))),0,SQRT(SUMSQ(VLOOKUP($B74&amp;"; "&amp;$H$72&amp;", "&amp;I$73,'FE Fret'!$G:$U,7,FALSE),$BH74)))</f>
        <v>0.7</v>
      </c>
      <c r="BK74" s="1130">
        <f>IF(ISNA(SQRT(SUMSQ(VLOOKUP($B74&amp;"; "&amp;$H$72&amp;", "&amp;J$73,'FE Fret'!$G:$U,7,FALSE),$BH74))),0,SQRT(SUMSQ(VLOOKUP($B74&amp;"; "&amp;$H$72&amp;", "&amp;J$73,'FE Fret'!$G:$U,7,FALSE),$BH74)))</f>
        <v>0.7</v>
      </c>
      <c r="BL74" s="1130">
        <f>IF(ISNA(SQRT(SUMSQ(VLOOKUP($B74&amp;"; "&amp;$H$72&amp;", "&amp;K$73,'FE Fret'!$G:$U,7,FALSE),$BH74))),0,SQRT(SUMSQ(VLOOKUP($B74&amp;"; "&amp;$H$72&amp;", "&amp;K$73,'FE Fret'!$G:$U,7,FALSE),$BH74)))</f>
        <v>0.7</v>
      </c>
    </row>
    <row r="75" spans="1:64" ht="12.75" hidden="1" customHeight="1" outlineLevel="2">
      <c r="B75" s="143" t="s">
        <v>4802</v>
      </c>
      <c r="C75" s="144"/>
      <c r="D75" s="212">
        <f t="shared" ref="D75:D76" si="17">SUM(L75:O75)</f>
        <v>0</v>
      </c>
      <c r="E75" s="212"/>
      <c r="F75" s="346"/>
      <c r="G75" s="120"/>
      <c r="H75" s="335">
        <f>VLOOKUP($B75&amp;"; "&amp;$H$72&amp;", "&amp;H$73,'FE Fret'!$G:$U,9,FALSE)</f>
        <v>0.17499999999999999</v>
      </c>
      <c r="I75" s="335">
        <f>VLOOKUP($B75&amp;"; "&amp;$H$72&amp;", "&amp;I$73,'FE Fret'!$G:$U,9,FALSE)</f>
        <v>0.84099999999999997</v>
      </c>
      <c r="J75" s="335">
        <f>IF(ISNA(VLOOKUP($B75&amp;"; "&amp;$H$72&amp;", "&amp;J$73,'FE Fret'!$G:$U,9,FALSE)),0,VLOOKUP($B75&amp;"; "&amp;$H$72&amp;", "&amp;J$73,'FE Fret'!$G:$U,9,FALSE))</f>
        <v>0</v>
      </c>
      <c r="K75" s="2446">
        <f>IF(ISNA(VLOOKUP($B75&amp;"; "&amp;$H$72&amp;", "&amp;K$73,'FE Fret'!$G:$U,9,FALSE)),0,VLOOKUP($B75&amp;"; "&amp;$H$72&amp;", "&amp;K$73,'FE Fret'!$G:$U,9,FALSE))</f>
        <v>3.6600000000000001E-3</v>
      </c>
      <c r="L75" s="356">
        <f t="shared" ref="L75:L76" si="18">G75*H75</f>
        <v>0</v>
      </c>
      <c r="M75" s="356">
        <f t="shared" ref="M75:M76" si="19">G75*I75</f>
        <v>0</v>
      </c>
      <c r="N75" s="151">
        <f t="shared" ref="N75:N76" si="20">G75*J75</f>
        <v>0</v>
      </c>
      <c r="O75" s="151">
        <f t="shared" ref="O75:O76" si="21">G75*K75</f>
        <v>0</v>
      </c>
      <c r="P75" s="1286">
        <f>IF(OR(F75=Utilitaires!$G$572,F75=Utilitaires!$G$577),M75,0)</f>
        <v>0</v>
      </c>
      <c r="X75" s="1092">
        <f>IF(AE75=0,AE75,AE75/D75)</f>
        <v>0</v>
      </c>
      <c r="Y75" s="343"/>
      <c r="Z75" s="820"/>
      <c r="AA75" s="164">
        <f t="shared" si="16"/>
        <v>0</v>
      </c>
      <c r="AB75" s="164">
        <f t="shared" si="16"/>
        <v>0</v>
      </c>
      <c r="AC75" s="164">
        <f t="shared" si="16"/>
        <v>0</v>
      </c>
      <c r="AD75" s="177">
        <f t="shared" si="16"/>
        <v>0</v>
      </c>
      <c r="AE75" s="151">
        <f t="shared" ref="AE75:AE76" si="22">SQRT(SUMSQ(AA75:AD75))</f>
        <v>0</v>
      </c>
      <c r="AF75" s="165">
        <f>X75*P75</f>
        <v>0</v>
      </c>
      <c r="AH75" s="564">
        <f>$G75*IF(ISNA(VLOOKUP($B75&amp;"; "&amp;$H$72&amp;", "&amp;H$73,'FE Fret'!$G:$U,10,FALSE)),0,VLOOKUP($B75&amp;"; "&amp;$H$72&amp;", "&amp;H$73,'FE Fret'!$G:$U,10,FALSE))</f>
        <v>0</v>
      </c>
      <c r="AI75" s="565">
        <f>$G75*IF(ISNA(VLOOKUP($B75&amp;"; "&amp;$H$72&amp;", "&amp;I$73,'FE Fret'!$G:$U,10,FALSE)),0,VLOOKUP($B75&amp;"; "&amp;$H$72&amp;", "&amp;I$73,'FE Fret'!$G:$U,10,FALSE))</f>
        <v>0</v>
      </c>
      <c r="AJ75" s="565">
        <f>$G75*IF(ISNA(VLOOKUP($B75&amp;"; "&amp;$H$72&amp;", "&amp;J$73,'FE Fret'!$G:$U,10,FALSE)),0,VLOOKUP($B75&amp;"; "&amp;$H$72&amp;", "&amp;J$73,'FE Fret'!$G:$U,10,FALSE))</f>
        <v>0</v>
      </c>
      <c r="AK75" s="565">
        <f>$G75*IF(ISNA((VLOOKUP($B75&amp;"; "&amp;$H$72&amp;", "&amp;K$73,'FE Fret'!$G:$U,11,FALSE)+VLOOKUP($B75&amp;"; "&amp;$H$72&amp;", "&amp;K$73,'FE Fret'!$G:$U,12,FALSE))),0,(VLOOKUP($B75&amp;"; "&amp;$H$72&amp;", "&amp;K$73,'FE Fret'!$G:$U,11,FALSE)+VLOOKUP($B75&amp;"; "&amp;$H$72&amp;", "&amp;K$73,'FE Fret'!$G:$U,12,FALSE)))</f>
        <v>0</v>
      </c>
      <c r="AL75" s="565">
        <f>$G75*IF(ISNA((VLOOKUP($B75&amp;"; "&amp;$H$72&amp;", "&amp;H$73,'FE Fret'!$G:$U,11,FALSE)+VLOOKUP($B75&amp;"; "&amp;$H$72&amp;", "&amp;H$73,'FE Fret'!$G:$U,12,FALSE))),0,(VLOOKUP($B75&amp;"; "&amp;$H$72&amp;", "&amp;H$73,'FE Fret'!$G:$U,11,FALSE)+VLOOKUP($B75&amp;"; "&amp;$H$72&amp;", "&amp;H$73,'FE Fret'!$G:$U,12,FALSE)))</f>
        <v>0</v>
      </c>
      <c r="AM75" s="565">
        <f>$G75*IF(ISNA((VLOOKUP($B75&amp;"; "&amp;$H$72&amp;", "&amp;I$73,'FE Fret'!$G:$U,11,FALSE)+VLOOKUP($B75&amp;"; "&amp;$H$72&amp;", "&amp;I$73,'FE Fret'!$G:$U,12,FALSE))),0,(VLOOKUP($B75&amp;"; "&amp;$H$72&amp;", "&amp;I$73,'FE Fret'!$G:$U,11,FALSE)+VLOOKUP($B75&amp;"; "&amp;$H$72&amp;", "&amp;I$73,'FE Fret'!$G:$U,12,FALSE)))</f>
        <v>0</v>
      </c>
      <c r="AN75" s="565">
        <f>$G75*IF(ISNA((VLOOKUP($B75&amp;"; "&amp;$H$72&amp;", "&amp;J$73,'FE Fret'!$G:$U,11,FALSE)+VLOOKUP($B75&amp;"; "&amp;$H$72&amp;", "&amp;J$73,'FE Fret'!$G:$U,12,FALSE))),0,(VLOOKUP($B75&amp;"; "&amp;$H$72&amp;", "&amp;J$73,'FE Fret'!$G:$U,11,FALSE)+VLOOKUP($B75&amp;"; "&amp;$H$72&amp;", "&amp;J$73,'FE Fret'!$G:$U,12,FALSE)))</f>
        <v>0</v>
      </c>
      <c r="AO75" s="565">
        <f>$G75*IF(ISNA((VLOOKUP($B75&amp;"; "&amp;$H$72&amp;", "&amp;K$73,'FE Fret'!$G:$U,11,FALSE)+VLOOKUP($B75&amp;"; "&amp;$H$72&amp;", "&amp;K$73,'FE Fret'!$G:$U,12,FALSE))),0,(VLOOKUP($B75&amp;"; "&amp;$H$72&amp;", "&amp;K$73,'FE Fret'!$G:$U,11,FALSE)+VLOOKUP($B75&amp;"; "&amp;$H$72&amp;", "&amp;K$73,'FE Fret'!$G:$U,12,FALSE)))</f>
        <v>0</v>
      </c>
      <c r="AP75" s="565">
        <f>$G75*IF(ISNA(VLOOKUP($B75&amp;"; "&amp;$H$72&amp;", "&amp;H$73,'FE Fret'!$G:$U,13,FALSE)),0,VLOOKUP($B75&amp;"; "&amp;$H$72&amp;", "&amp;H$73,'FE Fret'!$G:$U,13,FALSE))</f>
        <v>0</v>
      </c>
      <c r="AQ75" s="565">
        <f>$G75*IF(ISNA(VLOOKUP($B75&amp;"; "&amp;$H$72&amp;", "&amp;I$73,'FE Fret'!$G:$U,13,FALSE)),0,VLOOKUP($B75&amp;"; "&amp;$H$72&amp;", "&amp;I$73,'FE Fret'!$G:$U,13,FALSE))</f>
        <v>0</v>
      </c>
      <c r="AR75" s="565">
        <f>$G75*IF(ISNA(VLOOKUP($B75&amp;"; "&amp;$H$72&amp;", "&amp;J$73,'FE Fret'!$G:$U,13,FALSE)),0,VLOOKUP($B75&amp;"; "&amp;$H$72&amp;", "&amp;J$73,'FE Fret'!$G:$U,13,FALSE))</f>
        <v>0</v>
      </c>
      <c r="AS75" s="565">
        <f>$G75*IF(ISNA(VLOOKUP($B75&amp;"; "&amp;$H$72&amp;", "&amp;K$73,'FE Fret'!$G:$U,13,FALSE)),0,VLOOKUP($B75&amp;"; "&amp;$H$72&amp;", "&amp;K$73,'FE Fret'!$G:$U,13,FALSE))</f>
        <v>0</v>
      </c>
      <c r="AT75" s="565">
        <f>$G75*IF(ISNA(VLOOKUP($B75&amp;"; "&amp;$H$72&amp;", "&amp;H$73,'FE Fret'!$G:$U,14,FALSE)),0,VLOOKUP($B75&amp;"; "&amp;$H$72&amp;", "&amp;H$73,'FE Fret'!$G:$U,14,FALSE))</f>
        <v>0</v>
      </c>
      <c r="AU75" s="565">
        <f>$G75*IF(ISNA(VLOOKUP($B75&amp;"; "&amp;$H$72&amp;", "&amp;I$73,'FE Fret'!$G:$U,14,FALSE)),0,VLOOKUP($B75&amp;"; "&amp;$H$72&amp;", "&amp;I$73,'FE Fret'!$G:$U,14,FALSE))</f>
        <v>0</v>
      </c>
      <c r="AV75" s="565">
        <f>$G75*IF(ISNA(VLOOKUP($B75&amp;"; "&amp;$H$72&amp;", "&amp;J$73,'FE Fret'!$G:$U,14,FALSE)),0,VLOOKUP($B75&amp;"; "&amp;$H$72&amp;", "&amp;J$73,'FE Fret'!$G:$U,14,FALSE))</f>
        <v>0</v>
      </c>
      <c r="AW75" s="565">
        <f>$G75*IF(ISNA(VLOOKUP($B75&amp;"; "&amp;$H$72&amp;", "&amp;K$73,'FE Fret'!$G:$U,14,FALSE)),0,VLOOKUP($B75&amp;"; "&amp;$H$72&amp;", "&amp;K$73,'FE Fret'!$G:$U,14,FALSE))</f>
        <v>0</v>
      </c>
      <c r="AX75" s="566">
        <f t="shared" ref="AX75:AX76" si="23">L75</f>
        <v>0</v>
      </c>
      <c r="AY75" s="566">
        <f t="shared" ref="AY75:AY76" si="24">M75</f>
        <v>0</v>
      </c>
      <c r="AZ75" s="566">
        <f t="shared" ref="AZ75:AZ76" si="25">N75</f>
        <v>0</v>
      </c>
      <c r="BA75" s="567">
        <f t="shared" ref="BA75:BA76" si="26">O75</f>
        <v>0</v>
      </c>
      <c r="BB75" s="565">
        <f>$G75*IF(ISNA(VLOOKUP($B75&amp;"; "&amp;$H$72&amp;", "&amp;H$73,'FE Fret'!$G:$U,15,FALSE)),0,VLOOKUP($B75&amp;"; "&amp;$H$72&amp;", "&amp;H$73,'FE Fret'!$G:$U,15,FALSE))</f>
        <v>0</v>
      </c>
      <c r="BC75" s="565">
        <f>$G75*IF(ISNA(VLOOKUP($B75&amp;"; "&amp;$H$72&amp;", "&amp;I$73,'FE Fret'!$G:$U,15,FALSE)),0,VLOOKUP($B75&amp;"; "&amp;$H$72&amp;", "&amp;I$73,'FE Fret'!$G:$U,15,FALSE))</f>
        <v>0</v>
      </c>
      <c r="BD75" s="565">
        <f>$G75*IF(ISNA(VLOOKUP($B75&amp;"; "&amp;$H$72&amp;", "&amp;J$73,'FE Fret'!$G:$U,15,FALSE)),0,VLOOKUP($B75&amp;"; "&amp;$H$72&amp;", "&amp;J$73,'FE Fret'!$G:$U,15,FALSE))</f>
        <v>0</v>
      </c>
      <c r="BE75" s="568">
        <f>$G75*IF(ISNA(VLOOKUP($B75&amp;"; "&amp;$H$72&amp;", "&amp;K$73,'FE Fret'!$G:$U,15,FALSE)),0,VLOOKUP($B75&amp;"; "&amp;$H$72&amp;", "&amp;K$73,'FE Fret'!$G:$U,15,FALSE))</f>
        <v>0</v>
      </c>
      <c r="BF75" s="2292"/>
      <c r="BH75" s="1065">
        <f>IF($Y75&lt;&gt;"votre valeur :",IF(ISNA(VLOOKUP($Y75,Utilitaires!$N$566:$O$571,2,FALSE)),,VLOOKUP($Y75,Utilitaires!$N$566:$O$571,2,FALSE)),$Z75)</f>
        <v>0</v>
      </c>
      <c r="BI75" s="1124">
        <f>IF(ISNA(SQRT(SUMSQ(VLOOKUP($B75&amp;"; "&amp;$H$72&amp;", "&amp;H$73,'FE Fret'!$G:$U,7,FALSE),$BH75))),0,SQRT(SUMSQ(VLOOKUP($B75&amp;"; "&amp;$H$72&amp;", "&amp;H$73,'FE Fret'!$G:$U,7,FALSE),$BH75)))</f>
        <v>0.1</v>
      </c>
      <c r="BJ75" s="1124">
        <f>IF(ISNA(SQRT(SUMSQ(VLOOKUP($B75&amp;"; "&amp;$H$72&amp;", "&amp;I$73,'FE Fret'!$G:$U,7,FALSE),$BH75))),0,SQRT(SUMSQ(VLOOKUP($B75&amp;"; "&amp;$H$72&amp;", "&amp;I$73,'FE Fret'!$G:$U,7,FALSE),$BH75)))</f>
        <v>0.1</v>
      </c>
      <c r="BK75" s="1130">
        <f>IF(ISNA(SQRT(SUMSQ(VLOOKUP($B75&amp;"; "&amp;$H$72&amp;", "&amp;J$73,'FE Fret'!$G:$U,7,FALSE),$BH75))),0,SQRT(SUMSQ(VLOOKUP($B75&amp;"; "&amp;$H$72&amp;", "&amp;J$73,'FE Fret'!$G:$U,7,FALSE),$BH75)))</f>
        <v>0</v>
      </c>
      <c r="BL75" s="1130">
        <f>IF(ISNA(SQRT(SUMSQ(VLOOKUP($B75&amp;"; "&amp;$H$72&amp;", "&amp;K$73,'FE Fret'!$G:$U,7,FALSE),$BH75))),0,SQRT(SUMSQ(VLOOKUP($B75&amp;"; "&amp;$H$72&amp;", "&amp;K$73,'FE Fret'!$G:$U,7,FALSE),$BH75)))</f>
        <v>0.1</v>
      </c>
    </row>
    <row r="76" spans="1:64" s="130" customFormat="1" ht="15" hidden="1" customHeight="1" outlineLevel="2">
      <c r="A76" s="114"/>
      <c r="B76" s="143" t="s">
        <v>5078</v>
      </c>
      <c r="C76" s="144"/>
      <c r="D76" s="212">
        <f t="shared" si="17"/>
        <v>0</v>
      </c>
      <c r="E76" s="212"/>
      <c r="F76" s="347"/>
      <c r="G76" s="123"/>
      <c r="H76" s="335">
        <f>VLOOKUP($B76&amp;"; "&amp;$H$72&amp;", "&amp;H$73,'FE Fret'!$G:$U,9,FALSE)</f>
        <v>0.14299999999999999</v>
      </c>
      <c r="I76" s="335">
        <f>VLOOKUP($B76&amp;"; "&amp;$H$72&amp;", "&amp;I$73,'FE Fret'!$G:$U,9,FALSE)</f>
        <v>0.68700000000000006</v>
      </c>
      <c r="J76" s="335">
        <f>IF(ISNA(VLOOKUP($B76&amp;"; "&amp;$H$72&amp;", "&amp;J$73,'FE Fret'!$G:$U,9,FALSE)),0,VLOOKUP($B76&amp;"; "&amp;$H$72&amp;", "&amp;J$73,'FE Fret'!$G:$U,9,FALSE))</f>
        <v>0</v>
      </c>
      <c r="K76" s="2446">
        <f>IF(ISNA(VLOOKUP($B76&amp;"; "&amp;$H$72&amp;", "&amp;K$73,'FE Fret'!$G:$U,9,FALSE)),0,VLOOKUP($B76&amp;"; "&amp;$H$72&amp;", "&amp;K$73,'FE Fret'!$G:$U,9,FALSE))</f>
        <v>2.3900000000000002E-3</v>
      </c>
      <c r="L76" s="356">
        <f t="shared" si="18"/>
        <v>0</v>
      </c>
      <c r="M76" s="356">
        <f t="shared" si="19"/>
        <v>0</v>
      </c>
      <c r="N76" s="151">
        <f t="shared" si="20"/>
        <v>0</v>
      </c>
      <c r="O76" s="151">
        <f t="shared" si="21"/>
        <v>0</v>
      </c>
      <c r="P76" s="1286">
        <f>IF(OR(F76=Utilitaires!$G$572,F76=Utilitaires!$G$577),M76,0)</f>
        <v>0</v>
      </c>
      <c r="W76" s="114"/>
      <c r="X76" s="1092">
        <f>IF(AE76=0,AE76,AE76/D76)</f>
        <v>0</v>
      </c>
      <c r="Y76" s="1094"/>
      <c r="Z76" s="820"/>
      <c r="AA76" s="164">
        <f t="shared" si="16"/>
        <v>0</v>
      </c>
      <c r="AB76" s="164">
        <f t="shared" si="16"/>
        <v>0</v>
      </c>
      <c r="AC76" s="164">
        <f t="shared" si="16"/>
        <v>0</v>
      </c>
      <c r="AD76" s="177">
        <f t="shared" si="16"/>
        <v>0</v>
      </c>
      <c r="AE76" s="151">
        <f t="shared" si="22"/>
        <v>0</v>
      </c>
      <c r="AF76" s="165">
        <f>X76*P76</f>
        <v>0</v>
      </c>
      <c r="AG76" s="114"/>
      <c r="AH76" s="564">
        <f>$G76*IF(ISNA(VLOOKUP($B76&amp;"; "&amp;$H$72&amp;", "&amp;H$73,'FE Fret'!$G:$U,10,FALSE)),0,VLOOKUP($B76&amp;"; "&amp;$H$72&amp;", "&amp;H$73,'FE Fret'!$G:$U,10,FALSE))</f>
        <v>0</v>
      </c>
      <c r="AI76" s="565">
        <f>$G76*IF(ISNA(VLOOKUP($B76&amp;"; "&amp;$H$72&amp;", "&amp;I$73,'FE Fret'!$G:$U,10,FALSE)),0,VLOOKUP($B76&amp;"; "&amp;$H$72&amp;", "&amp;I$73,'FE Fret'!$G:$U,10,FALSE))</f>
        <v>0</v>
      </c>
      <c r="AJ76" s="565">
        <f>$G76*IF(ISNA(VLOOKUP($B76&amp;"; "&amp;$H$72&amp;", "&amp;J$73,'FE Fret'!$G:$U,10,FALSE)),0,VLOOKUP($B76&amp;"; "&amp;$H$72&amp;", "&amp;J$73,'FE Fret'!$G:$U,10,FALSE))</f>
        <v>0</v>
      </c>
      <c r="AK76" s="565">
        <f>$G76*IF(ISNA((VLOOKUP($B76&amp;"; "&amp;$H$72&amp;", "&amp;K$73,'FE Fret'!$G:$U,11,FALSE)+VLOOKUP($B76&amp;"; "&amp;$H$72&amp;", "&amp;K$73,'FE Fret'!$G:$U,12,FALSE))),0,(VLOOKUP($B76&amp;"; "&amp;$H$72&amp;", "&amp;K$73,'FE Fret'!$G:$U,11,FALSE)+VLOOKUP($B76&amp;"; "&amp;$H$72&amp;", "&amp;K$73,'FE Fret'!$G:$U,12,FALSE)))</f>
        <v>0</v>
      </c>
      <c r="AL76" s="565">
        <f>$G76*IF(ISNA((VLOOKUP($B76&amp;"; "&amp;$H$72&amp;", "&amp;H$73,'FE Fret'!$G:$U,11,FALSE)+VLOOKUP($B76&amp;"; "&amp;$H$72&amp;", "&amp;H$73,'FE Fret'!$G:$U,12,FALSE))),0,(VLOOKUP($B76&amp;"; "&amp;$H$72&amp;", "&amp;H$73,'FE Fret'!$G:$U,11,FALSE)+VLOOKUP($B76&amp;"; "&amp;$H$72&amp;", "&amp;H$73,'FE Fret'!$G:$U,12,FALSE)))</f>
        <v>0</v>
      </c>
      <c r="AM76" s="565">
        <f>$G76*IF(ISNA((VLOOKUP($B76&amp;"; "&amp;$H$72&amp;", "&amp;I$73,'FE Fret'!$G:$U,11,FALSE)+VLOOKUP($B76&amp;"; "&amp;$H$72&amp;", "&amp;I$73,'FE Fret'!$G:$U,12,FALSE))),0,(VLOOKUP($B76&amp;"; "&amp;$H$72&amp;", "&amp;I$73,'FE Fret'!$G:$U,11,FALSE)+VLOOKUP($B76&amp;"; "&amp;$H$72&amp;", "&amp;I$73,'FE Fret'!$G:$U,12,FALSE)))</f>
        <v>0</v>
      </c>
      <c r="AN76" s="565">
        <f>$G76*IF(ISNA((VLOOKUP($B76&amp;"; "&amp;$H$72&amp;", "&amp;J$73,'FE Fret'!$G:$U,11,FALSE)+VLOOKUP($B76&amp;"; "&amp;$H$72&amp;", "&amp;J$73,'FE Fret'!$G:$U,12,FALSE))),0,(VLOOKUP($B76&amp;"; "&amp;$H$72&amp;", "&amp;J$73,'FE Fret'!$G:$U,11,FALSE)+VLOOKUP($B76&amp;"; "&amp;$H$72&amp;", "&amp;J$73,'FE Fret'!$G:$U,12,FALSE)))</f>
        <v>0</v>
      </c>
      <c r="AO76" s="565">
        <f>$G76*IF(ISNA((VLOOKUP($B76&amp;"; "&amp;$H$72&amp;", "&amp;K$73,'FE Fret'!$G:$U,11,FALSE)+VLOOKUP($B76&amp;"; "&amp;$H$72&amp;", "&amp;K$73,'FE Fret'!$G:$U,12,FALSE))),0,(VLOOKUP($B76&amp;"; "&amp;$H$72&amp;", "&amp;K$73,'FE Fret'!$G:$U,11,FALSE)+VLOOKUP($B76&amp;"; "&amp;$H$72&amp;", "&amp;K$73,'FE Fret'!$G:$U,12,FALSE)))</f>
        <v>0</v>
      </c>
      <c r="AP76" s="565">
        <f>$G76*IF(ISNA(VLOOKUP($B76&amp;"; "&amp;$H$72&amp;", "&amp;H$73,'FE Fret'!$G:$U,13,FALSE)),0,VLOOKUP($B76&amp;"; "&amp;$H$72&amp;", "&amp;H$73,'FE Fret'!$G:$U,13,FALSE))</f>
        <v>0</v>
      </c>
      <c r="AQ76" s="565">
        <f>$G76*IF(ISNA(VLOOKUP($B76&amp;"; "&amp;$H$72&amp;", "&amp;I$73,'FE Fret'!$G:$U,13,FALSE)),0,VLOOKUP($B76&amp;"; "&amp;$H$72&amp;", "&amp;I$73,'FE Fret'!$G:$U,13,FALSE))</f>
        <v>0</v>
      </c>
      <c r="AR76" s="565">
        <f>$G76*IF(ISNA(VLOOKUP($B76&amp;"; "&amp;$H$72&amp;", "&amp;J$73,'FE Fret'!$G:$U,13,FALSE)),0,VLOOKUP($B76&amp;"; "&amp;$H$72&amp;", "&amp;J$73,'FE Fret'!$G:$U,13,FALSE))</f>
        <v>0</v>
      </c>
      <c r="AS76" s="565">
        <f>$G76*IF(ISNA(VLOOKUP($B76&amp;"; "&amp;$H$72&amp;", "&amp;K$73,'FE Fret'!$G:$U,13,FALSE)),0,VLOOKUP($B76&amp;"; "&amp;$H$72&amp;", "&amp;K$73,'FE Fret'!$G:$U,13,FALSE))</f>
        <v>0</v>
      </c>
      <c r="AT76" s="565">
        <f>$G76*IF(ISNA(VLOOKUP($B76&amp;"; "&amp;$H$72&amp;", "&amp;H$73,'FE Fret'!$G:$U,14,FALSE)),0,VLOOKUP($B76&amp;"; "&amp;$H$72&amp;", "&amp;H$73,'FE Fret'!$G:$U,14,FALSE))</f>
        <v>0</v>
      </c>
      <c r="AU76" s="565">
        <f>$G76*IF(ISNA(VLOOKUP($B76&amp;"; "&amp;$H$72&amp;", "&amp;I$73,'FE Fret'!$G:$U,14,FALSE)),0,VLOOKUP($B76&amp;"; "&amp;$H$72&amp;", "&amp;I$73,'FE Fret'!$G:$U,14,FALSE))</f>
        <v>0</v>
      </c>
      <c r="AV76" s="565">
        <f>$G76*IF(ISNA(VLOOKUP($B76&amp;"; "&amp;$H$72&amp;", "&amp;J$73,'FE Fret'!$G:$U,14,FALSE)),0,VLOOKUP($B76&amp;"; "&amp;$H$72&amp;", "&amp;J$73,'FE Fret'!$G:$U,14,FALSE))</f>
        <v>0</v>
      </c>
      <c r="AW76" s="565">
        <f>$G76*IF(ISNA(VLOOKUP($B76&amp;"; "&amp;$H$72&amp;", "&amp;K$73,'FE Fret'!$G:$U,14,FALSE)),0,VLOOKUP($B76&amp;"; "&amp;$H$72&amp;", "&amp;K$73,'FE Fret'!$G:$U,14,FALSE))</f>
        <v>0</v>
      </c>
      <c r="AX76" s="566">
        <f t="shared" si="23"/>
        <v>0</v>
      </c>
      <c r="AY76" s="566">
        <f t="shared" si="24"/>
        <v>0</v>
      </c>
      <c r="AZ76" s="566">
        <f t="shared" si="25"/>
        <v>0</v>
      </c>
      <c r="BA76" s="567">
        <f t="shared" si="26"/>
        <v>0</v>
      </c>
      <c r="BB76" s="565">
        <f>$G76*IF(ISNA(VLOOKUP($B76&amp;"; "&amp;$H$72&amp;", "&amp;H$73,'FE Fret'!$G:$U,15,FALSE)),0,VLOOKUP($B76&amp;"; "&amp;$H$72&amp;", "&amp;H$73,'FE Fret'!$G:$U,15,FALSE))</f>
        <v>0</v>
      </c>
      <c r="BC76" s="565">
        <f>$G76*IF(ISNA(VLOOKUP($B76&amp;"; "&amp;$H$72&amp;", "&amp;I$73,'FE Fret'!$G:$U,15,FALSE)),0,VLOOKUP($B76&amp;"; "&amp;$H$72&amp;", "&amp;I$73,'FE Fret'!$G:$U,15,FALSE))</f>
        <v>0</v>
      </c>
      <c r="BD76" s="565">
        <f>$G76*IF(ISNA(VLOOKUP($B76&amp;"; "&amp;$H$72&amp;", "&amp;J$73,'FE Fret'!$G:$U,15,FALSE)),0,VLOOKUP($B76&amp;"; "&amp;$H$72&amp;", "&amp;J$73,'FE Fret'!$G:$U,15,FALSE))</f>
        <v>0</v>
      </c>
      <c r="BE76" s="568">
        <f>$G76*IF(ISNA(VLOOKUP($B76&amp;"; "&amp;$H$72&amp;", "&amp;K$73,'FE Fret'!$G:$U,15,FALSE)),0,VLOOKUP($B76&amp;"; "&amp;$H$72&amp;", "&amp;K$73,'FE Fret'!$G:$U,15,FALSE))</f>
        <v>0</v>
      </c>
      <c r="BF76" s="2292"/>
      <c r="BH76" s="1065">
        <f>IF($Y76&lt;&gt;"votre valeur :",IF(ISNA(VLOOKUP($Y76,Utilitaires!$N$566:$O$571,2,FALSE)),,VLOOKUP($Y76,Utilitaires!$N$566:$O$571,2,FALSE)),$Z76)</f>
        <v>0</v>
      </c>
      <c r="BI76" s="1124">
        <f>IF(ISNA(SQRT(SUMSQ(VLOOKUP($B76&amp;"; "&amp;$H$72&amp;", "&amp;H$73,'FE Fret'!$G:$U,7,FALSE),$BH76))),0,SQRT(SUMSQ(VLOOKUP($B76&amp;"; "&amp;$H$72&amp;", "&amp;H$73,'FE Fret'!$G:$U,7,FALSE),$BH76)))</f>
        <v>0.1</v>
      </c>
      <c r="BJ76" s="1124">
        <f>IF(ISNA(SQRT(SUMSQ(VLOOKUP($B76&amp;"; "&amp;$H$72&amp;", "&amp;I$73,'FE Fret'!$G:$U,7,FALSE),$BH76))),0,SQRT(SUMSQ(VLOOKUP($B76&amp;"; "&amp;$H$72&amp;", "&amp;I$73,'FE Fret'!$G:$U,7,FALSE),$BH76)))</f>
        <v>0.1</v>
      </c>
      <c r="BK76" s="1130">
        <f>IF(ISNA(SQRT(SUMSQ(VLOOKUP($B76&amp;"; "&amp;$H$72&amp;", "&amp;J$73,'FE Fret'!$G:$U,7,FALSE),$BH76))),0,SQRT(SUMSQ(VLOOKUP($B76&amp;"; "&amp;$H$72&amp;", "&amp;J$73,'FE Fret'!$G:$U,7,FALSE),$BH76)))</f>
        <v>0</v>
      </c>
      <c r="BL76" s="1130">
        <f>IF(ISNA(SQRT(SUMSQ(VLOOKUP($B76&amp;"; "&amp;$H$72&amp;", "&amp;K$73,'FE Fret'!$G:$U,7,FALSE),$BH76))),0,SQRT(SUMSQ(VLOOKUP($B76&amp;"; "&amp;$H$72&amp;", "&amp;K$73,'FE Fret'!$G:$U,7,FALSE),$BH76)))</f>
        <v>0.1</v>
      </c>
    </row>
    <row r="77" spans="1:64" ht="12.75" hidden="1" customHeight="1" outlineLevel="2">
      <c r="B77" s="154"/>
      <c r="C77" s="155"/>
      <c r="D77" s="221"/>
      <c r="E77" s="221"/>
      <c r="F77" s="155"/>
      <c r="G77" s="155"/>
      <c r="H77" s="155"/>
      <c r="I77" s="155"/>
      <c r="J77" s="155"/>
      <c r="K77" s="155"/>
      <c r="L77" s="155"/>
      <c r="M77" s="155"/>
      <c r="N77" s="169"/>
      <c r="O77" s="169"/>
      <c r="P77" s="1336"/>
      <c r="X77" s="1092"/>
      <c r="Y77" s="155"/>
      <c r="Z77" s="155"/>
      <c r="AA77" s="155"/>
      <c r="AB77" s="155"/>
      <c r="AC77" s="169"/>
      <c r="AD77" s="177"/>
      <c r="AE77" s="144"/>
      <c r="AF77" s="357"/>
      <c r="AH77" s="564"/>
      <c r="AI77" s="565"/>
      <c r="AJ77" s="565"/>
      <c r="AK77" s="565"/>
      <c r="AL77" s="565"/>
      <c r="AM77" s="565"/>
      <c r="AN77" s="565"/>
      <c r="AO77" s="565"/>
      <c r="AP77" s="565"/>
      <c r="AQ77" s="565"/>
      <c r="AR77" s="565"/>
      <c r="AS77" s="565"/>
      <c r="AT77" s="565"/>
      <c r="AU77" s="565"/>
      <c r="AV77" s="565"/>
      <c r="AW77" s="565"/>
      <c r="AX77" s="566"/>
      <c r="AY77" s="566"/>
      <c r="AZ77" s="566"/>
      <c r="BA77" s="567"/>
      <c r="BB77" s="625"/>
      <c r="BC77" s="625"/>
      <c r="BD77" s="625"/>
      <c r="BE77" s="570"/>
      <c r="BF77" s="2292"/>
      <c r="BH77" s="1087"/>
      <c r="BI77" s="1075"/>
      <c r="BJ77" s="1131"/>
      <c r="BK77" s="1153"/>
      <c r="BL77" s="1153"/>
    </row>
    <row r="78" spans="1:64" ht="12.75" hidden="1" customHeight="1" outlineLevel="2">
      <c r="B78" s="370" t="s">
        <v>348</v>
      </c>
      <c r="C78" s="371"/>
      <c r="D78" s="214">
        <f>SUM(D74:D77)</f>
        <v>0</v>
      </c>
      <c r="E78" s="214"/>
      <c r="F78" s="350"/>
      <c r="G78" s="350"/>
      <c r="H78" s="350"/>
      <c r="I78" s="350"/>
      <c r="J78" s="350"/>
      <c r="K78" s="350"/>
      <c r="L78" s="351">
        <f>SUM(L74:L77)</f>
        <v>0</v>
      </c>
      <c r="M78" s="351">
        <f>SUM(M74:M77)</f>
        <v>0</v>
      </c>
      <c r="N78" s="351">
        <f>SUM(N74:N77)</f>
        <v>0</v>
      </c>
      <c r="O78" s="351">
        <f>SUM(O74:O77)</f>
        <v>0</v>
      </c>
      <c r="P78" s="372">
        <f>SUM(P74:P77)</f>
        <v>0</v>
      </c>
      <c r="X78" s="1203">
        <f>IF(AE78=0,AE78,AE78/D78)</f>
        <v>0</v>
      </c>
      <c r="Y78" s="199"/>
      <c r="Z78" s="199"/>
      <c r="AA78" s="203">
        <f t="shared" ref="AA78:AF78" si="27">SQRT(SUMSQ(AA74:AA77))</f>
        <v>0</v>
      </c>
      <c r="AB78" s="203">
        <f t="shared" si="27"/>
        <v>0</v>
      </c>
      <c r="AC78" s="203">
        <f t="shared" si="27"/>
        <v>0</v>
      </c>
      <c r="AD78" s="203">
        <f t="shared" si="27"/>
        <v>0</v>
      </c>
      <c r="AE78" s="202">
        <f t="shared" si="27"/>
        <v>0</v>
      </c>
      <c r="AF78" s="340">
        <f t="shared" si="27"/>
        <v>0</v>
      </c>
      <c r="AH78" s="571">
        <f t="shared" ref="AH78:AJ78" si="28">SUM(AH74:AH77)</f>
        <v>0</v>
      </c>
      <c r="AI78" s="572">
        <f t="shared" si="28"/>
        <v>0</v>
      </c>
      <c r="AJ78" s="572">
        <f t="shared" si="28"/>
        <v>0</v>
      </c>
      <c r="AK78" s="572">
        <f>SUM(AK74:AK77)</f>
        <v>0</v>
      </c>
      <c r="AL78" s="572">
        <f>SUM(AL74:AL77)</f>
        <v>0</v>
      </c>
      <c r="AM78" s="572">
        <f>SUM(AM74:AM77)</f>
        <v>0</v>
      </c>
      <c r="AN78" s="572">
        <f>SUM(AN74:AN77)</f>
        <v>0</v>
      </c>
      <c r="AO78" s="572">
        <f t="shared" ref="AO78" si="29">SUM(AO74:AO77)</f>
        <v>0</v>
      </c>
      <c r="AP78" s="572">
        <f>SUM(AP74:AP77)</f>
        <v>0</v>
      </c>
      <c r="AQ78" s="572">
        <f>SUM(AQ74:AQ77)</f>
        <v>0</v>
      </c>
      <c r="AR78" s="572">
        <f>SUM(AR74:AR77)</f>
        <v>0</v>
      </c>
      <c r="AS78" s="572">
        <f t="shared" ref="AS78" si="30">SUM(AS74:AS77)</f>
        <v>0</v>
      </c>
      <c r="AT78" s="572">
        <f t="shared" ref="AT78:BE78" si="31">SUM(AT74:AT77)</f>
        <v>0</v>
      </c>
      <c r="AU78" s="572">
        <f t="shared" si="31"/>
        <v>0</v>
      </c>
      <c r="AV78" s="572">
        <f t="shared" si="31"/>
        <v>0</v>
      </c>
      <c r="AW78" s="572">
        <f t="shared" si="31"/>
        <v>0</v>
      </c>
      <c r="AX78" s="573">
        <f t="shared" si="31"/>
        <v>0</v>
      </c>
      <c r="AY78" s="573">
        <f t="shared" si="31"/>
        <v>0</v>
      </c>
      <c r="AZ78" s="572">
        <f t="shared" si="31"/>
        <v>0</v>
      </c>
      <c r="BA78" s="575">
        <f t="shared" si="31"/>
        <v>0</v>
      </c>
      <c r="BB78" s="572">
        <f t="shared" si="31"/>
        <v>0</v>
      </c>
      <c r="BC78" s="572">
        <f t="shared" si="31"/>
        <v>0</v>
      </c>
      <c r="BD78" s="572">
        <f t="shared" si="31"/>
        <v>0</v>
      </c>
      <c r="BE78" s="575">
        <f t="shared" si="31"/>
        <v>0</v>
      </c>
      <c r="BF78" s="2292"/>
    </row>
    <row r="79" spans="1:64" ht="12.75" hidden="1" customHeight="1" outlineLevel="2">
      <c r="AG79" s="130"/>
    </row>
    <row r="80" spans="1:64" ht="15" outlineLevel="1" collapsed="1">
      <c r="AR80" s="593"/>
    </row>
    <row r="81" spans="1:63" ht="15.75" customHeight="1" outlineLevel="1" collapsed="1">
      <c r="B81" s="2842" t="s">
        <v>2228</v>
      </c>
      <c r="C81" s="2843"/>
      <c r="D81" s="2843"/>
      <c r="E81" s="2843"/>
      <c r="F81" s="2843"/>
      <c r="G81" s="2843"/>
      <c r="H81" s="2843"/>
      <c r="I81" s="2843"/>
      <c r="J81" s="2843"/>
      <c r="K81" s="2843"/>
      <c r="L81" s="2843"/>
      <c r="M81" s="2843"/>
      <c r="N81" s="2843"/>
      <c r="O81" s="2844"/>
      <c r="P81" s="130"/>
      <c r="Q81" s="130"/>
      <c r="R81" s="130"/>
      <c r="S81" s="130"/>
      <c r="T81" s="130"/>
      <c r="U81" s="130"/>
      <c r="V81" s="130"/>
      <c r="W81" s="130"/>
      <c r="X81" s="130"/>
      <c r="Y81" s="130"/>
      <c r="Z81" s="130"/>
      <c r="AA81" s="130"/>
      <c r="AB81" s="130"/>
      <c r="AC81" s="130"/>
      <c r="AD81" s="130"/>
      <c r="AE81" s="130"/>
      <c r="AF81" s="130"/>
      <c r="AR81" s="593"/>
    </row>
    <row r="82" spans="1:63" ht="12.75" hidden="1" customHeight="1" outlineLevel="2"/>
    <row r="83" spans="1:63" ht="12.75" hidden="1" customHeight="1" outlineLevel="2">
      <c r="B83" s="139" t="s">
        <v>573</v>
      </c>
      <c r="C83" s="140"/>
      <c r="D83" s="140"/>
      <c r="E83" s="140"/>
      <c r="F83" s="140"/>
      <c r="G83" s="141"/>
      <c r="H83" s="141"/>
      <c r="I83" s="142"/>
      <c r="X83" s="2636" t="s">
        <v>366</v>
      </c>
      <c r="Y83" s="2637"/>
      <c r="Z83" s="2637"/>
      <c r="AA83" s="2637"/>
      <c r="AB83" s="2637"/>
      <c r="AC83" s="2637"/>
      <c r="AD83" s="2637"/>
      <c r="AE83" s="2638"/>
      <c r="AH83" s="2639" t="s">
        <v>441</v>
      </c>
      <c r="AI83" s="2640"/>
      <c r="AJ83" s="2640"/>
      <c r="AK83" s="2640"/>
      <c r="AL83" s="2640"/>
      <c r="AM83" s="2640"/>
      <c r="AN83" s="2640"/>
      <c r="AO83" s="2640"/>
      <c r="AP83" s="2640"/>
      <c r="AQ83" s="2640"/>
      <c r="AR83" s="2640"/>
      <c r="AS83" s="2640"/>
      <c r="AT83" s="2640"/>
      <c r="AU83" s="2640"/>
      <c r="AV83" s="2640"/>
      <c r="AW83" s="2640"/>
      <c r="AX83" s="2640"/>
      <c r="AY83" s="2641"/>
      <c r="AZ83" s="2448"/>
      <c r="BA83" s="2448"/>
      <c r="BB83" s="2448"/>
      <c r="BC83" s="2448"/>
      <c r="BD83" s="2448"/>
      <c r="BE83" s="2448"/>
      <c r="BF83" s="2448"/>
    </row>
    <row r="84" spans="1:63" ht="12.75" hidden="1" customHeight="1" outlineLevel="2">
      <c r="B84" s="143"/>
      <c r="C84" s="144"/>
      <c r="D84" s="1334" t="s">
        <v>308</v>
      </c>
      <c r="E84" s="1663"/>
      <c r="F84" s="144"/>
      <c r="G84" s="144"/>
      <c r="H84" s="144"/>
      <c r="I84" s="145"/>
      <c r="X84" s="1316"/>
      <c r="Y84" s="819"/>
      <c r="Z84" s="819"/>
      <c r="AA84" s="1334"/>
      <c r="AB84" s="1334"/>
      <c r="AC84" s="2423"/>
      <c r="AD84" s="1334"/>
      <c r="AE84" s="145"/>
      <c r="AH84" s="2642" t="s">
        <v>444</v>
      </c>
      <c r="AI84" s="2643"/>
      <c r="AJ84" s="2643"/>
      <c r="AK84" s="2643"/>
      <c r="AL84" s="2643"/>
      <c r="AM84" s="2643"/>
      <c r="AN84" s="2643"/>
      <c r="AO84" s="2643"/>
      <c r="AP84" s="2643"/>
      <c r="AQ84" s="2643"/>
      <c r="AR84" s="2643"/>
      <c r="AS84" s="2643"/>
      <c r="AT84" s="2643" t="s">
        <v>444</v>
      </c>
      <c r="AU84" s="2643"/>
      <c r="AV84" s="2644"/>
      <c r="AW84" s="624"/>
      <c r="AX84" s="624"/>
      <c r="AY84" s="1291"/>
      <c r="AZ84" s="2449"/>
      <c r="BA84" s="2449"/>
      <c r="BB84" s="2449"/>
      <c r="BC84" s="2449"/>
      <c r="BD84" s="2449"/>
      <c r="BE84" s="2449"/>
      <c r="BF84" s="2449"/>
      <c r="BH84" s="2616" t="s">
        <v>1648</v>
      </c>
      <c r="BI84" s="2617"/>
      <c r="BJ84" s="2618"/>
    </row>
    <row r="85" spans="1:63" ht="12.75" hidden="1" customHeight="1" outlineLevel="2">
      <c r="B85" s="1316"/>
      <c r="C85" s="1317"/>
      <c r="D85" s="1317" t="s">
        <v>409</v>
      </c>
      <c r="E85" s="1656"/>
      <c r="F85" s="147" t="s">
        <v>452</v>
      </c>
      <c r="G85" s="147" t="s">
        <v>343</v>
      </c>
      <c r="H85" s="1317" t="s">
        <v>444</v>
      </c>
      <c r="I85" s="1337" t="s">
        <v>444</v>
      </c>
      <c r="X85" s="1316" t="s">
        <v>316</v>
      </c>
      <c r="Y85" s="2629" t="s">
        <v>316</v>
      </c>
      <c r="Z85" s="2630"/>
      <c r="AA85" s="1317"/>
      <c r="AB85" s="1317"/>
      <c r="AC85" s="2419"/>
      <c r="AD85" s="1317"/>
      <c r="AE85" s="1337" t="s">
        <v>444</v>
      </c>
      <c r="AH85" s="2631" t="s">
        <v>211</v>
      </c>
      <c r="AI85" s="2632"/>
      <c r="AJ85" s="2632"/>
      <c r="AK85" s="2632" t="s">
        <v>442</v>
      </c>
      <c r="AL85" s="2632"/>
      <c r="AM85" s="2632"/>
      <c r="AN85" s="2632" t="s">
        <v>267</v>
      </c>
      <c r="AO85" s="2632"/>
      <c r="AP85" s="2632"/>
      <c r="AQ85" s="2632" t="s">
        <v>443</v>
      </c>
      <c r="AR85" s="2632"/>
      <c r="AS85" s="2632"/>
      <c r="AT85" s="2648" t="s">
        <v>327</v>
      </c>
      <c r="AU85" s="2648"/>
      <c r="AV85" s="2649"/>
      <c r="AW85" s="2631"/>
      <c r="AX85" s="2632"/>
      <c r="AY85" s="568"/>
      <c r="AZ85" s="2292"/>
      <c r="BA85" s="2292"/>
      <c r="BB85" s="2292"/>
      <c r="BC85" s="2292"/>
      <c r="BD85" s="2292"/>
      <c r="BE85" s="2292"/>
      <c r="BF85" s="2292"/>
      <c r="BH85" s="2837" t="s">
        <v>1646</v>
      </c>
      <c r="BI85" s="2839" t="s">
        <v>411</v>
      </c>
      <c r="BJ85" s="2839" t="s">
        <v>257</v>
      </c>
    </row>
    <row r="86" spans="1:63" ht="12.75" hidden="1" customHeight="1" outlineLevel="2">
      <c r="B86" s="1316"/>
      <c r="C86" s="1317"/>
      <c r="D86" s="1317" t="s">
        <v>444</v>
      </c>
      <c r="E86" s="1656"/>
      <c r="F86" s="1321" t="s">
        <v>445</v>
      </c>
      <c r="G86" s="153" t="s">
        <v>533</v>
      </c>
      <c r="H86" s="1317" t="s">
        <v>258</v>
      </c>
      <c r="I86" s="1337"/>
      <c r="X86" s="1316" t="s">
        <v>1649</v>
      </c>
      <c r="Y86" s="2646" t="s">
        <v>1650</v>
      </c>
      <c r="Z86" s="2647"/>
      <c r="AA86" s="1322"/>
      <c r="AB86" s="1322"/>
      <c r="AC86" s="1662"/>
      <c r="AD86" s="1322"/>
      <c r="AE86" s="1337"/>
      <c r="AH86" s="1331"/>
      <c r="AI86" s="1332"/>
      <c r="AJ86" s="1332"/>
      <c r="AK86" s="1332"/>
      <c r="AL86" s="1332"/>
      <c r="AM86" s="1332"/>
      <c r="AN86" s="1332"/>
      <c r="AO86" s="1332"/>
      <c r="AP86" s="1332"/>
      <c r="AQ86" s="1332"/>
      <c r="AR86" s="1332"/>
      <c r="AS86" s="1332"/>
      <c r="AT86" s="581"/>
      <c r="AU86" s="581"/>
      <c r="AV86" s="582"/>
      <c r="AW86" s="1332" t="s">
        <v>636</v>
      </c>
      <c r="AX86" s="1332"/>
      <c r="AY86" s="1333"/>
      <c r="AZ86" s="2449"/>
      <c r="BA86" s="2449"/>
      <c r="BB86" s="2449"/>
      <c r="BC86" s="2449"/>
      <c r="BD86" s="2449"/>
      <c r="BE86" s="2449"/>
      <c r="BF86" s="2449"/>
      <c r="BH86" s="2838"/>
      <c r="BI86" s="2840"/>
      <c r="BJ86" s="2840"/>
    </row>
    <row r="87" spans="1:63" ht="12.75" hidden="1" customHeight="1" outlineLevel="2">
      <c r="B87" s="362" t="s">
        <v>1552</v>
      </c>
      <c r="C87" s="363"/>
      <c r="D87" s="212">
        <f>I87</f>
        <v>0</v>
      </c>
      <c r="E87" s="212"/>
      <c r="F87" s="263"/>
      <c r="G87" s="263"/>
      <c r="H87" s="218">
        <f>IF(ISNA(VLOOKUP(Descriptif!D4&amp;" - usage : Transports, France continentale, Base Carbone; kgCO2e/kWh, Combustion à la centrale",'FE Déplacements'!G:U,9,FALSE)),'FE Déplacements'!$O$974,
VLOOKUP(Descriptif!D4&amp;" - usage : Transports, France continentale, Base Carbone; kgCO2e/kWh, Combustion à la centrale",'FE Déplacements'!G:U,9,FALSE)
+ VLOOKUP(Descriptif!D4&amp;" - usage : Transports, France continentale, Base Carbone; kgCO2e/kWh, Amont",'FE Déplacements'!G:U,9,FALSE))</f>
        <v>5.9979999999999999E-2</v>
      </c>
      <c r="I87" s="152">
        <f>G87*H87</f>
        <v>0</v>
      </c>
      <c r="X87" s="226">
        <f>IF(AE87=0,AE87,AE87/I87)</f>
        <v>0</v>
      </c>
      <c r="Y87" s="1094"/>
      <c r="Z87" s="820"/>
      <c r="AA87" s="164"/>
      <c r="AB87" s="164"/>
      <c r="AC87" s="164"/>
      <c r="AD87" s="164"/>
      <c r="AE87" s="152">
        <f>IF(ISNA(SQRT(SUMSQ($G87*0.01*BI87,G87*(H87-0.01)*BJ87))),0,SQRT(SUMSQ($G87*0.01*BI87,G87*(H87-0.01)*BJ87)))</f>
        <v>0</v>
      </c>
      <c r="AH87" s="564">
        <f>D87</f>
        <v>0</v>
      </c>
      <c r="AI87" s="565"/>
      <c r="AJ87" s="565"/>
      <c r="AK87" s="565"/>
      <c r="AL87" s="565"/>
      <c r="AM87" s="565"/>
      <c r="AN87" s="565"/>
      <c r="AO87" s="565"/>
      <c r="AP87" s="565"/>
      <c r="AQ87" s="565"/>
      <c r="AR87" s="565"/>
      <c r="AS87" s="565"/>
      <c r="AT87" s="566">
        <f>SUM(AH87:AQ87)</f>
        <v>0</v>
      </c>
      <c r="AU87" s="566"/>
      <c r="AV87" s="567"/>
      <c r="AW87" s="565"/>
      <c r="AX87" s="565"/>
      <c r="AY87" s="568"/>
      <c r="AZ87" s="2292"/>
      <c r="BA87" s="2292"/>
      <c r="BB87" s="2292"/>
      <c r="BC87" s="2292"/>
      <c r="BD87" s="2292"/>
      <c r="BE87" s="2292"/>
      <c r="BF87" s="2292"/>
      <c r="BH87" s="1065">
        <f>IF($Y87&lt;&gt;"votre valeur :",IF(ISNA(VLOOKUP($Y87,Utilitaires!$N$566:$O$571,2,FALSE)),,VLOOKUP($Y87,Utilitaires!$N$566:$O$571,2,FALSE)),$Z87)</f>
        <v>0</v>
      </c>
      <c r="BI87" s="1124">
        <f>IF(ISNA(SQRT(SUMSQ(VLOOKUP(Descriptif!D4&amp;" - usage : Transports, France continentale, Base Carbone; kgCO2e/kWh, Amont",'FE Déplacements'!$G:$U,7,FALSE),$BH87))),0,SQRT(SUMSQ(VLOOKUP(Descriptif!D4&amp;" - usage : Transports, France continentale, Base Carbone; kgCO2e/kWh, Amont",'FE Déplacements'!$G:$U,7,FALSE),$BH87)))</f>
        <v>0</v>
      </c>
      <c r="BJ87" s="1130">
        <f>IF(
ISNA(
SQRT(SUMSQ(
VLOOKUP(Descriptif!D4&amp;" - usage : Transports, France continentale, Base Carbone; kgCO2e/kWh, Combustion à la centrale",'FE Déplacements'!$G:$U,7,FALSE),$BH87))),
0,SQRT(SUMSQ(VLOOKUP(Descriptif!D4&amp;" - usage : Transports, France continentale, Base Carbone; kgCO2e/kWh, Combustion à la centrale",'FE Déplacements'!$G:$U,7,FALSE),$BH87)))</f>
        <v>0</v>
      </c>
    </row>
    <row r="88" spans="1:63" ht="12.75" hidden="1" customHeight="1" outlineLevel="2">
      <c r="B88" s="362"/>
      <c r="C88" s="363"/>
      <c r="D88" s="375"/>
      <c r="E88" s="375"/>
      <c r="F88" s="363"/>
      <c r="G88" s="164"/>
      <c r="H88" s="150"/>
      <c r="I88" s="152"/>
      <c r="X88" s="143"/>
      <c r="Y88" s="144"/>
      <c r="Z88" s="169"/>
      <c r="AA88" s="169"/>
      <c r="AB88" s="164"/>
      <c r="AC88" s="164"/>
      <c r="AD88" s="164"/>
      <c r="AE88" s="357"/>
      <c r="AH88" s="569"/>
      <c r="AI88" s="625"/>
      <c r="AJ88" s="625"/>
      <c r="AK88" s="625"/>
      <c r="AL88" s="625"/>
      <c r="AM88" s="625"/>
      <c r="AN88" s="625"/>
      <c r="AO88" s="625"/>
      <c r="AP88" s="625"/>
      <c r="AQ88" s="625"/>
      <c r="AR88" s="625"/>
      <c r="AS88" s="625"/>
      <c r="AT88" s="1313"/>
      <c r="AU88" s="1313"/>
      <c r="AV88" s="1314"/>
      <c r="AW88" s="565"/>
      <c r="AX88" s="565"/>
      <c r="AY88" s="568"/>
      <c r="AZ88" s="2292"/>
      <c r="BA88" s="2292"/>
      <c r="BB88" s="2292"/>
      <c r="BC88" s="2292"/>
      <c r="BD88" s="2292"/>
      <c r="BE88" s="2292"/>
      <c r="BF88" s="2292"/>
      <c r="BH88" s="1087"/>
      <c r="BI88" s="1075"/>
      <c r="BJ88" s="1131"/>
      <c r="BK88" s="109"/>
    </row>
    <row r="89" spans="1:63" s="109" customFormat="1" ht="12.75" hidden="1" customHeight="1" outlineLevel="2">
      <c r="A89" s="114"/>
      <c r="B89" s="196" t="s">
        <v>348</v>
      </c>
      <c r="C89" s="197"/>
      <c r="D89" s="214">
        <f>SUM(D87:D88)</f>
        <v>0</v>
      </c>
      <c r="E89" s="214"/>
      <c r="F89" s="198"/>
      <c r="G89" s="199"/>
      <c r="H89" s="199"/>
      <c r="I89" s="200">
        <f>SUM(I87:I88)</f>
        <v>0</v>
      </c>
      <c r="V89" s="114"/>
      <c r="W89" s="114"/>
      <c r="X89" s="1203">
        <f>IF(AE89=0,AE89,AE89/D89)</f>
        <v>0</v>
      </c>
      <c r="Y89" s="199"/>
      <c r="Z89" s="350"/>
      <c r="AA89" s="1338"/>
      <c r="AB89" s="203"/>
      <c r="AC89" s="203"/>
      <c r="AD89" s="203"/>
      <c r="AE89" s="200">
        <f>SQRT(SUMSQ(AE87:AE88))</f>
        <v>0</v>
      </c>
      <c r="AF89" s="114"/>
      <c r="AG89" s="114"/>
      <c r="AH89" s="1308">
        <f>SUM(AH87:AH88)</f>
        <v>0</v>
      </c>
      <c r="AI89" s="1309"/>
      <c r="AJ89" s="1309"/>
      <c r="AK89" s="1309">
        <f>SUM(AK87:AK88)</f>
        <v>0</v>
      </c>
      <c r="AL89" s="1309"/>
      <c r="AM89" s="1309"/>
      <c r="AN89" s="1309">
        <f>SUM(AN87:AN88)</f>
        <v>0</v>
      </c>
      <c r="AO89" s="1309"/>
      <c r="AP89" s="1309"/>
      <c r="AQ89" s="1309">
        <f>SUM(AQ87:AQ88)</f>
        <v>0</v>
      </c>
      <c r="AR89" s="572"/>
      <c r="AS89" s="572"/>
      <c r="AT89" s="573">
        <f>SUM(AT87:AT88)</f>
        <v>0</v>
      </c>
      <c r="AU89" s="1312"/>
      <c r="AV89" s="1312"/>
      <c r="AW89" s="1082">
        <f>SUM(AW87:AW88)</f>
        <v>0</v>
      </c>
      <c r="AX89" s="572"/>
      <c r="AY89" s="575"/>
      <c r="AZ89" s="2292"/>
      <c r="BA89" s="2292"/>
      <c r="BB89" s="2292"/>
      <c r="BC89" s="2292"/>
      <c r="BD89" s="2292"/>
      <c r="BE89" s="2292"/>
      <c r="BF89" s="2292"/>
      <c r="BH89" s="114"/>
      <c r="BI89" s="114"/>
      <c r="BJ89" s="114"/>
      <c r="BK89" s="114"/>
    </row>
    <row r="90" spans="1:63" s="109" customFormat="1" ht="12.75" hidden="1" customHeight="1" outlineLevel="2">
      <c r="A90" s="114"/>
      <c r="B90" s="116"/>
      <c r="C90" s="116"/>
      <c r="D90" s="114"/>
      <c r="E90" s="114"/>
      <c r="F90" s="116"/>
      <c r="G90" s="116"/>
      <c r="H90" s="262"/>
      <c r="I90" s="116"/>
      <c r="J90" s="116"/>
      <c r="K90" s="114"/>
      <c r="L90" s="114"/>
      <c r="M90" s="114"/>
      <c r="N90" s="114"/>
      <c r="O90" s="114"/>
      <c r="P90" s="114"/>
      <c r="Q90" s="114"/>
      <c r="R90" s="114"/>
      <c r="S90" s="114"/>
      <c r="T90" s="114"/>
      <c r="U90" s="114"/>
      <c r="V90" s="114"/>
      <c r="W90" s="114"/>
      <c r="X90" s="116"/>
      <c r="Y90" s="116"/>
      <c r="Z90" s="260"/>
      <c r="AA90" s="260"/>
      <c r="AB90" s="114"/>
      <c r="AC90" s="114"/>
      <c r="AD90" s="114"/>
      <c r="AE90" s="114"/>
      <c r="AF90" s="114"/>
      <c r="AG90" s="114"/>
      <c r="AH90" s="441"/>
      <c r="AI90" s="441"/>
      <c r="AJ90" s="441"/>
      <c r="AK90" s="441"/>
      <c r="AL90" s="441"/>
      <c r="AM90" s="441"/>
      <c r="AN90" s="441"/>
      <c r="AO90" s="441"/>
      <c r="AP90" s="441"/>
      <c r="AQ90" s="444"/>
      <c r="AR90" s="441"/>
      <c r="AS90" s="588"/>
      <c r="AT90" s="588"/>
      <c r="AU90" s="588"/>
      <c r="AV90" s="588"/>
      <c r="AW90" s="588"/>
      <c r="AX90" s="588"/>
      <c r="AY90" s="588"/>
      <c r="AZ90" s="1639"/>
      <c r="BA90" s="1639"/>
      <c r="BB90" s="1639"/>
      <c r="BC90" s="1639"/>
      <c r="BD90" s="1639"/>
      <c r="BE90" s="1639"/>
      <c r="BF90" s="1639"/>
      <c r="BH90" s="114"/>
      <c r="BI90" s="114"/>
      <c r="BJ90" s="114"/>
      <c r="BK90" s="114"/>
    </row>
    <row r="91" spans="1:63" ht="12" hidden="1" customHeight="1" outlineLevel="2">
      <c r="B91" s="139" t="s">
        <v>2332</v>
      </c>
      <c r="C91" s="140"/>
      <c r="D91" s="140"/>
      <c r="E91" s="140"/>
      <c r="F91" s="141"/>
      <c r="G91" s="141"/>
      <c r="H91" s="141"/>
      <c r="I91" s="179"/>
      <c r="X91" s="2636" t="s">
        <v>366</v>
      </c>
      <c r="Y91" s="2637"/>
      <c r="Z91" s="2637"/>
      <c r="AA91" s="2637"/>
      <c r="AB91" s="2637"/>
      <c r="AC91" s="2637"/>
      <c r="AD91" s="2637"/>
      <c r="AE91" s="2638"/>
      <c r="AH91" s="2639" t="s">
        <v>441</v>
      </c>
      <c r="AI91" s="2640"/>
      <c r="AJ91" s="2640"/>
      <c r="AK91" s="2640"/>
      <c r="AL91" s="2640"/>
      <c r="AM91" s="2640"/>
      <c r="AN91" s="2640"/>
      <c r="AO91" s="2640"/>
      <c r="AP91" s="2640"/>
      <c r="AQ91" s="2640"/>
      <c r="AR91" s="2640"/>
      <c r="AS91" s="2640"/>
      <c r="AT91" s="2640"/>
      <c r="AU91" s="2640"/>
      <c r="AV91" s="2640"/>
      <c r="AW91" s="2640"/>
      <c r="AX91" s="2640"/>
      <c r="AY91" s="2641"/>
      <c r="AZ91" s="2448"/>
      <c r="BA91" s="2448"/>
      <c r="BB91" s="2448"/>
      <c r="BC91" s="2448"/>
      <c r="BD91" s="2448"/>
      <c r="BE91" s="2448"/>
      <c r="BF91" s="2448"/>
    </row>
    <row r="92" spans="1:63" ht="15" hidden="1" customHeight="1" outlineLevel="2">
      <c r="B92" s="143"/>
      <c r="C92" s="144"/>
      <c r="D92" s="291" t="s">
        <v>308</v>
      </c>
      <c r="E92" s="1663"/>
      <c r="F92" s="144"/>
      <c r="G92" s="144"/>
      <c r="H92" s="144"/>
      <c r="I92" s="168"/>
      <c r="X92" s="1316"/>
      <c r="Y92" s="819"/>
      <c r="Z92" s="819"/>
      <c r="AA92" s="1334"/>
      <c r="AB92" s="1334"/>
      <c r="AC92" s="2423"/>
      <c r="AD92" s="1334"/>
      <c r="AE92" s="145"/>
      <c r="AG92" s="109"/>
      <c r="AH92" s="2642" t="s">
        <v>444</v>
      </c>
      <c r="AI92" s="2643"/>
      <c r="AJ92" s="2643"/>
      <c r="AK92" s="2643"/>
      <c r="AL92" s="2643"/>
      <c r="AM92" s="2643"/>
      <c r="AN92" s="2643"/>
      <c r="AO92" s="2643"/>
      <c r="AP92" s="2643"/>
      <c r="AQ92" s="2643"/>
      <c r="AR92" s="2643"/>
      <c r="AS92" s="2643"/>
      <c r="AT92" s="2643" t="s">
        <v>444</v>
      </c>
      <c r="AU92" s="2643"/>
      <c r="AV92" s="2644"/>
      <c r="AW92" s="624"/>
      <c r="AX92" s="624"/>
      <c r="AY92" s="1291"/>
      <c r="AZ92" s="2449"/>
      <c r="BA92" s="2449"/>
      <c r="BB92" s="2449"/>
      <c r="BC92" s="2449"/>
      <c r="BD92" s="2449"/>
      <c r="BE92" s="2449"/>
      <c r="BF92" s="2449"/>
      <c r="BH92" s="2616" t="s">
        <v>1648</v>
      </c>
      <c r="BI92" s="2617"/>
      <c r="BJ92" s="2618"/>
      <c r="BK92" s="116"/>
    </row>
    <row r="93" spans="1:63" ht="12.75" hidden="1" customHeight="1" outlineLevel="2">
      <c r="B93" s="146"/>
      <c r="C93" s="292"/>
      <c r="D93" s="292" t="s">
        <v>409</v>
      </c>
      <c r="E93" s="1656"/>
      <c r="F93" s="147" t="s">
        <v>308</v>
      </c>
      <c r="G93" s="147"/>
      <c r="H93" s="292" t="s">
        <v>8</v>
      </c>
      <c r="I93" s="148" t="s">
        <v>444</v>
      </c>
      <c r="X93" s="1316" t="s">
        <v>529</v>
      </c>
      <c r="Y93" s="2629" t="s">
        <v>530</v>
      </c>
      <c r="Z93" s="2630"/>
      <c r="AA93" s="1317"/>
      <c r="AB93" s="1317"/>
      <c r="AC93" s="2419"/>
      <c r="AD93" s="1317"/>
      <c r="AE93" s="1337" t="s">
        <v>444</v>
      </c>
      <c r="AG93" s="109"/>
      <c r="AH93" s="2631" t="s">
        <v>211</v>
      </c>
      <c r="AI93" s="2632"/>
      <c r="AJ93" s="2632"/>
      <c r="AK93" s="2632" t="s">
        <v>442</v>
      </c>
      <c r="AL93" s="2632"/>
      <c r="AM93" s="2632"/>
      <c r="AN93" s="2632" t="s">
        <v>267</v>
      </c>
      <c r="AO93" s="2632"/>
      <c r="AP93" s="2632"/>
      <c r="AQ93" s="2632" t="s">
        <v>443</v>
      </c>
      <c r="AR93" s="2632"/>
      <c r="AS93" s="2632"/>
      <c r="AT93" s="2648" t="s">
        <v>327</v>
      </c>
      <c r="AU93" s="2648"/>
      <c r="AV93" s="2649"/>
      <c r="AW93" s="2631" t="s">
        <v>636</v>
      </c>
      <c r="AX93" s="2632"/>
      <c r="AY93" s="568"/>
      <c r="AZ93" s="2292"/>
      <c r="BA93" s="2292"/>
      <c r="BB93" s="2292"/>
      <c r="BC93" s="2292"/>
      <c r="BD93" s="2292"/>
      <c r="BE93" s="2292"/>
      <c r="BF93" s="2292"/>
      <c r="BH93" s="2837" t="s">
        <v>1646</v>
      </c>
      <c r="BI93" s="2839" t="s">
        <v>411</v>
      </c>
      <c r="BJ93" s="2839" t="s">
        <v>257</v>
      </c>
      <c r="BK93" s="116"/>
    </row>
    <row r="94" spans="1:63" s="116" customFormat="1" ht="12.75" hidden="1" customHeight="1" outlineLevel="2">
      <c r="A94" s="114"/>
      <c r="B94" s="146"/>
      <c r="C94" s="292"/>
      <c r="D94" s="292" t="s">
        <v>444</v>
      </c>
      <c r="E94" s="1656"/>
      <c r="F94" s="149" t="s">
        <v>309</v>
      </c>
      <c r="G94" s="149" t="s">
        <v>444</v>
      </c>
      <c r="H94" s="292" t="s">
        <v>183</v>
      </c>
      <c r="I94" s="1348" t="s">
        <v>2338</v>
      </c>
      <c r="V94" s="114"/>
      <c r="W94" s="109"/>
      <c r="X94" s="1316" t="s">
        <v>531</v>
      </c>
      <c r="Y94" s="2646"/>
      <c r="Z94" s="2647"/>
      <c r="AA94" s="1322"/>
      <c r="AB94" s="1322"/>
      <c r="AC94" s="1662"/>
      <c r="AD94" s="1322"/>
      <c r="AE94" s="1337"/>
      <c r="AF94" s="109"/>
      <c r="AG94" s="114"/>
      <c r="AH94" s="1331"/>
      <c r="AI94" s="1332"/>
      <c r="AJ94" s="1332"/>
      <c r="AK94" s="1332"/>
      <c r="AL94" s="1332"/>
      <c r="AM94" s="1332"/>
      <c r="AN94" s="1332"/>
      <c r="AO94" s="1332"/>
      <c r="AP94" s="1332"/>
      <c r="AQ94" s="1332"/>
      <c r="AR94" s="1332"/>
      <c r="AS94" s="1332"/>
      <c r="AT94" s="581"/>
      <c r="AU94" s="581"/>
      <c r="AV94" s="582"/>
      <c r="AW94" s="1332"/>
      <c r="AX94" s="1332"/>
      <c r="AY94" s="1333"/>
      <c r="AZ94" s="2449"/>
      <c r="BA94" s="2449"/>
      <c r="BB94" s="2449"/>
      <c r="BC94" s="2449"/>
      <c r="BD94" s="2449"/>
      <c r="BE94" s="2449"/>
      <c r="BF94" s="2449"/>
      <c r="BH94" s="2838"/>
      <c r="BI94" s="2840"/>
      <c r="BJ94" s="2840"/>
      <c r="BK94" s="114"/>
    </row>
    <row r="95" spans="1:63" s="116" customFormat="1" ht="12.75" hidden="1" customHeight="1" outlineLevel="2">
      <c r="A95" s="114"/>
      <c r="B95" s="143" t="s">
        <v>831</v>
      </c>
      <c r="C95" s="177"/>
      <c r="D95" s="212">
        <f>I95</f>
        <v>0</v>
      </c>
      <c r="E95" s="212"/>
      <c r="F95" s="182">
        <f>G87</f>
        <v>0</v>
      </c>
      <c r="G95" s="182">
        <f>I89</f>
        <v>0</v>
      </c>
      <c r="H95" s="225">
        <v>0.03</v>
      </c>
      <c r="I95" s="152">
        <f>G95*H95</f>
        <v>0</v>
      </c>
      <c r="V95" s="114"/>
      <c r="W95" s="109"/>
      <c r="X95" s="226">
        <f>IF(AE95=0,AE95,AE95/I95)</f>
        <v>0</v>
      </c>
      <c r="Y95" s="1094"/>
      <c r="Z95" s="820"/>
      <c r="AA95" s="164"/>
      <c r="AB95" s="164"/>
      <c r="AC95" s="164"/>
      <c r="AD95" s="164"/>
      <c r="AE95" s="152">
        <f>IF(ISNA(SQRT(SUMSQ($G95*0.01*BI95,G95*(H95-0.01)*BJ95))),0,SQRT(SUMSQ($G95*0.01*BI95,G95*(H95-0.01)*BJ95)))</f>
        <v>0</v>
      </c>
      <c r="AF95" s="109"/>
      <c r="AG95" s="114"/>
      <c r="AH95" s="564">
        <f>AH89*H95</f>
        <v>0</v>
      </c>
      <c r="AI95" s="565"/>
      <c r="AJ95" s="565"/>
      <c r="AK95" s="565">
        <f>AK89*H95</f>
        <v>0</v>
      </c>
      <c r="AL95" s="565"/>
      <c r="AM95" s="565"/>
      <c r="AN95" s="565">
        <f>AN89*H95</f>
        <v>0</v>
      </c>
      <c r="AO95" s="565"/>
      <c r="AP95" s="565"/>
      <c r="AQ95" s="565">
        <f>AQ89*H95</f>
        <v>0</v>
      </c>
      <c r="AR95" s="565"/>
      <c r="AS95" s="565"/>
      <c r="AT95" s="566">
        <f>SUM(AH95:AS95)</f>
        <v>0</v>
      </c>
      <c r="AU95" s="566"/>
      <c r="AV95" s="567"/>
      <c r="AW95" s="565">
        <f>AW89*H95</f>
        <v>0</v>
      </c>
      <c r="AX95" s="565"/>
      <c r="AY95" s="568"/>
      <c r="AZ95" s="2292"/>
      <c r="BA95" s="2292"/>
      <c r="BB95" s="2292"/>
      <c r="BC95" s="2292"/>
      <c r="BD95" s="2292"/>
      <c r="BE95" s="2292"/>
      <c r="BF95" s="2292"/>
      <c r="BH95" s="1065">
        <f>IF($Y95&lt;&gt;"votre valeur :",IF(ISNA(VLOOKUP($Y95,Utilitaires!$N$566:$O$571,2,FALSE)),,VLOOKUP($Y95,Utilitaires!$N$566:$O$571,2,FALSE)),$Z95)</f>
        <v>0</v>
      </c>
      <c r="BI95" s="1124">
        <f>IF(ISNA(SQRT(SUMSQ(VLOOKUP(Descriptif!D4&amp;" - usage : Transports, France continentale, Base Carbone; kgCO2e/kWh, Amont",'FE Déplacements'!$G:$U,7,FALSE),$BH95))),0,SQRT(SUMSQ(VLOOKUP(Descriptif!D4&amp;" - usage : Transports, France continentale, Base Carbone; kgCO2e/kWh, Amont",'FE Déplacements'!$G:$U,7,FALSE),$BH95)))</f>
        <v>0</v>
      </c>
      <c r="BJ95" s="1130">
        <f>IF(
ISNA(
SQRT(SUMSQ(
VLOOKUP(Descriptif!D4&amp;" - usage : Transports, France continentale, Base Carbone; kgCO2e/kWh, Combustion à la centrale",'FE Déplacements'!$G:$U,7,FALSE),$BH95))),
0,SQRT(SUMSQ(VLOOKUP(Descriptif!D4&amp;" - usage : Transports, France continentale, Base Carbone; kgCO2e/kWh, Combustion à la centrale",'FE Déplacements'!$G:$U,7,FALSE),$BH95)))</f>
        <v>0</v>
      </c>
      <c r="BK95" s="109"/>
    </row>
    <row r="96" spans="1:63" ht="12.75" hidden="1" customHeight="1" outlineLevel="2">
      <c r="B96" s="143"/>
      <c r="C96" s="144"/>
      <c r="D96" s="375"/>
      <c r="E96" s="375"/>
      <c r="F96" s="144"/>
      <c r="G96" s="144"/>
      <c r="H96" s="144"/>
      <c r="I96" s="152"/>
      <c r="X96" s="143"/>
      <c r="Y96" s="144"/>
      <c r="Z96" s="169"/>
      <c r="AA96" s="169"/>
      <c r="AB96" s="164"/>
      <c r="AC96" s="164"/>
      <c r="AD96" s="164"/>
      <c r="AE96" s="357"/>
      <c r="AH96" s="569"/>
      <c r="AI96" s="625"/>
      <c r="AJ96" s="625"/>
      <c r="AK96" s="625"/>
      <c r="AL96" s="625"/>
      <c r="AM96" s="625"/>
      <c r="AN96" s="625"/>
      <c r="AO96" s="625"/>
      <c r="AP96" s="625"/>
      <c r="AQ96" s="625"/>
      <c r="AR96" s="625"/>
      <c r="AS96" s="625"/>
      <c r="AT96" s="1313"/>
      <c r="AU96" s="1313"/>
      <c r="AV96" s="1314"/>
      <c r="AW96" s="565"/>
      <c r="AX96" s="565"/>
      <c r="AY96" s="568"/>
      <c r="AZ96" s="2292"/>
      <c r="BA96" s="2292"/>
      <c r="BB96" s="2292"/>
      <c r="BC96" s="2292"/>
      <c r="BD96" s="2292"/>
      <c r="BE96" s="2292"/>
      <c r="BF96" s="2292"/>
      <c r="BH96" s="1087"/>
      <c r="BI96" s="1075"/>
      <c r="BJ96" s="1131"/>
      <c r="BK96" s="109"/>
    </row>
    <row r="97" spans="1:71" s="109" customFormat="1" ht="15" hidden="1" customHeight="1" outlineLevel="2">
      <c r="A97" s="114"/>
      <c r="B97" s="196" t="s">
        <v>348</v>
      </c>
      <c r="C97" s="197"/>
      <c r="D97" s="214">
        <f>SUM(D95:D96)</f>
        <v>0</v>
      </c>
      <c r="E97" s="214"/>
      <c r="F97" s="199"/>
      <c r="G97" s="199"/>
      <c r="H97" s="199"/>
      <c r="I97" s="200">
        <f>SUM(I95:I96)</f>
        <v>0</v>
      </c>
      <c r="V97" s="114"/>
      <c r="W97" s="114"/>
      <c r="X97" s="1204">
        <f>IF(AE97=0,AE97,AE97/D97)</f>
        <v>0</v>
      </c>
      <c r="Y97" s="199"/>
      <c r="Z97" s="350"/>
      <c r="AA97" s="1338"/>
      <c r="AB97" s="203"/>
      <c r="AC97" s="203"/>
      <c r="AD97" s="203"/>
      <c r="AE97" s="200">
        <f>SQRT(SUMSQ(AE95:AE96))</f>
        <v>0</v>
      </c>
      <c r="AF97" s="114"/>
      <c r="AG97" s="116"/>
      <c r="AH97" s="1308">
        <f>SUM(AH95:AH96)</f>
        <v>0</v>
      </c>
      <c r="AI97" s="1309"/>
      <c r="AJ97" s="1309"/>
      <c r="AK97" s="1309">
        <f>SUM(AK95:AK96)</f>
        <v>0</v>
      </c>
      <c r="AL97" s="1309"/>
      <c r="AM97" s="1309"/>
      <c r="AN97" s="1309">
        <f>SUM(AN95:AN96)</f>
        <v>0</v>
      </c>
      <c r="AO97" s="1309"/>
      <c r="AP97" s="1309"/>
      <c r="AQ97" s="1309">
        <f>SUM(AQ95:AQ96)</f>
        <v>0</v>
      </c>
      <c r="AR97" s="572"/>
      <c r="AS97" s="572"/>
      <c r="AT97" s="573">
        <f>SUM(AT95:AT96)</f>
        <v>0</v>
      </c>
      <c r="AU97" s="1312"/>
      <c r="AV97" s="1312"/>
      <c r="AW97" s="1082">
        <f>SUM(AW95:AW96)</f>
        <v>0</v>
      </c>
      <c r="AX97" s="572"/>
      <c r="AY97" s="575"/>
      <c r="AZ97" s="2292"/>
      <c r="BA97" s="2292"/>
      <c r="BB97" s="2292"/>
      <c r="BC97" s="2292"/>
      <c r="BD97" s="2292"/>
      <c r="BE97" s="2292"/>
      <c r="BF97" s="2292"/>
      <c r="BH97" s="114"/>
      <c r="BI97" s="114"/>
      <c r="BJ97" s="114"/>
      <c r="BK97" s="114"/>
    </row>
    <row r="98" spans="1:71" s="109" customFormat="1" ht="12.75" hidden="1" customHeight="1" outlineLevel="2">
      <c r="A98" s="114"/>
      <c r="B98" s="114"/>
      <c r="C98" s="114"/>
      <c r="D98" s="114"/>
      <c r="E98" s="114"/>
      <c r="F98" s="114"/>
      <c r="G98" s="114"/>
      <c r="H98" s="114"/>
      <c r="I98" s="114"/>
      <c r="J98" s="114"/>
      <c r="K98" s="114"/>
      <c r="L98" s="116"/>
      <c r="M98" s="114"/>
      <c r="N98" s="114"/>
      <c r="O98" s="114"/>
      <c r="P98" s="114"/>
      <c r="Q98" s="114"/>
      <c r="R98" s="114"/>
      <c r="S98" s="114"/>
      <c r="T98" s="114"/>
      <c r="U98" s="114"/>
      <c r="V98" s="114"/>
      <c r="W98" s="114"/>
      <c r="X98" s="114"/>
      <c r="Y98" s="114"/>
      <c r="Z98" s="114"/>
      <c r="AA98" s="114"/>
      <c r="AB98" s="114"/>
      <c r="AC98" s="114"/>
      <c r="AD98" s="114"/>
      <c r="AE98" s="114"/>
      <c r="AF98" s="114"/>
      <c r="AG98" s="114"/>
      <c r="AH98" s="444"/>
      <c r="AI98" s="441"/>
      <c r="AJ98" s="441"/>
      <c r="AK98" s="441"/>
      <c r="AL98" s="441"/>
      <c r="AM98" s="441"/>
      <c r="AN98" s="441"/>
      <c r="AO98" s="441"/>
      <c r="AP98" s="441"/>
      <c r="AQ98" s="441"/>
      <c r="AR98" s="441"/>
      <c r="AS98" s="441"/>
      <c r="AT98" s="441"/>
      <c r="AU98" s="588"/>
      <c r="AV98" s="588"/>
      <c r="AW98" s="588"/>
      <c r="AX98" s="588"/>
      <c r="AY98" s="588"/>
      <c r="AZ98" s="1639"/>
      <c r="BA98" s="1639"/>
      <c r="BB98" s="1639"/>
      <c r="BC98" s="1639"/>
      <c r="BD98" s="1639"/>
      <c r="BE98" s="1639"/>
      <c r="BF98" s="1639"/>
      <c r="BH98" s="114"/>
      <c r="BI98" s="114"/>
      <c r="BJ98" s="114"/>
      <c r="BK98" s="114"/>
    </row>
    <row r="99" spans="1:71" ht="12.75" hidden="1" customHeight="1" outlineLevel="2">
      <c r="B99" s="139" t="s">
        <v>2333</v>
      </c>
      <c r="C99" s="140"/>
      <c r="D99" s="1319"/>
      <c r="E99" s="1648"/>
      <c r="F99" s="141"/>
      <c r="G99" s="141"/>
      <c r="H99" s="1315"/>
      <c r="I99" s="1315"/>
      <c r="J99" s="1315"/>
      <c r="K99" s="1315"/>
      <c r="L99" s="1315"/>
      <c r="M99" s="1315"/>
      <c r="N99" s="1315"/>
      <c r="O99" s="1315"/>
      <c r="P99" s="1315"/>
      <c r="Q99" s="1315"/>
      <c r="R99" s="1315"/>
      <c r="S99" s="1319"/>
      <c r="T99" s="1319"/>
      <c r="U99" s="1859"/>
      <c r="W99" s="116"/>
      <c r="X99" s="2636" t="s">
        <v>366</v>
      </c>
      <c r="Y99" s="2637"/>
      <c r="Z99" s="2637"/>
      <c r="AA99" s="2637"/>
      <c r="AB99" s="2637"/>
      <c r="AC99" s="2637"/>
      <c r="AD99" s="2637"/>
      <c r="AE99" s="2637"/>
      <c r="AF99" s="2638"/>
      <c r="AH99" s="2639" t="s">
        <v>441</v>
      </c>
      <c r="AI99" s="2640"/>
      <c r="AJ99" s="2640"/>
      <c r="AK99" s="2640"/>
      <c r="AL99" s="2640"/>
      <c r="AM99" s="2640"/>
      <c r="AN99" s="2640"/>
      <c r="AO99" s="2640"/>
      <c r="AP99" s="2640"/>
      <c r="AQ99" s="2640"/>
      <c r="AR99" s="2640"/>
      <c r="AS99" s="2640"/>
      <c r="AT99" s="2640"/>
      <c r="AU99" s="2640"/>
      <c r="AV99" s="2640"/>
      <c r="AW99" s="2640"/>
      <c r="AX99" s="2640"/>
      <c r="AY99" s="2641"/>
      <c r="AZ99" s="2448"/>
      <c r="BA99" s="2448"/>
      <c r="BB99" s="2448"/>
      <c r="BC99" s="2448"/>
      <c r="BD99" s="2448"/>
      <c r="BE99" s="2448"/>
      <c r="BF99" s="2448"/>
    </row>
    <row r="100" spans="1:71" s="116" customFormat="1" ht="12.75" hidden="1" customHeight="1" outlineLevel="2">
      <c r="A100" s="114"/>
      <c r="B100" s="143"/>
      <c r="C100" s="144"/>
      <c r="D100" s="1334" t="s">
        <v>308</v>
      </c>
      <c r="E100" s="1663"/>
      <c r="F100" s="1317"/>
      <c r="G100" s="144"/>
      <c r="H100" s="144"/>
      <c r="I100" s="144"/>
      <c r="J100" s="144"/>
      <c r="K100" s="144"/>
      <c r="L100" s="144"/>
      <c r="M100" s="144"/>
      <c r="N100" s="144"/>
      <c r="O100" s="144"/>
      <c r="P100" s="144"/>
      <c r="Q100" s="144"/>
      <c r="R100" s="144"/>
      <c r="S100" s="144"/>
      <c r="T100" s="144"/>
      <c r="U100" s="153" t="s">
        <v>275</v>
      </c>
      <c r="X100" s="1316"/>
      <c r="Y100" s="819"/>
      <c r="Z100" s="819"/>
      <c r="AA100" s="144"/>
      <c r="AB100" s="144"/>
      <c r="AC100" s="144"/>
      <c r="AD100" s="1317"/>
      <c r="AE100" s="145"/>
      <c r="AF100" s="1324" t="s">
        <v>275</v>
      </c>
      <c r="AH100" s="2642" t="s">
        <v>444</v>
      </c>
      <c r="AI100" s="2643"/>
      <c r="AJ100" s="2643"/>
      <c r="AK100" s="2643"/>
      <c r="AL100" s="2643"/>
      <c r="AM100" s="2643"/>
      <c r="AN100" s="2643"/>
      <c r="AO100" s="2643"/>
      <c r="AP100" s="2643"/>
      <c r="AQ100" s="2643"/>
      <c r="AR100" s="2643"/>
      <c r="AS100" s="2643"/>
      <c r="AT100" s="2643" t="s">
        <v>444</v>
      </c>
      <c r="AU100" s="2643"/>
      <c r="AV100" s="628"/>
      <c r="AW100" s="1288"/>
      <c r="AX100" s="566"/>
      <c r="AY100" s="1333"/>
      <c r="AZ100" s="2449"/>
      <c r="BA100" s="2449"/>
      <c r="BB100" s="2449"/>
      <c r="BC100" s="2449"/>
      <c r="BD100" s="2449"/>
      <c r="BE100" s="2449"/>
      <c r="BF100" s="2449"/>
      <c r="BH100" s="2616" t="s">
        <v>1648</v>
      </c>
      <c r="BI100" s="2617"/>
      <c r="BJ100" s="2617"/>
      <c r="BK100" s="2617"/>
      <c r="BL100" s="2617"/>
      <c r="BM100" s="2617"/>
      <c r="BN100" s="2617"/>
      <c r="BO100" s="2617"/>
      <c r="BP100" s="2617"/>
      <c r="BQ100" s="2617"/>
      <c r="BR100" s="2617"/>
      <c r="BS100" s="2618"/>
    </row>
    <row r="101" spans="1:71" s="127" customFormat="1" ht="12.75" hidden="1" customHeight="1" outlineLevel="2">
      <c r="A101" s="109"/>
      <c r="B101" s="536"/>
      <c r="C101" s="144"/>
      <c r="D101" s="1334" t="s">
        <v>409</v>
      </c>
      <c r="E101" s="1663"/>
      <c r="F101" s="1320" t="s">
        <v>452</v>
      </c>
      <c r="G101" s="1320" t="s">
        <v>343</v>
      </c>
      <c r="H101" s="2626" t="s">
        <v>1572</v>
      </c>
      <c r="I101" s="2627"/>
      <c r="J101" s="1320" t="s">
        <v>343</v>
      </c>
      <c r="K101" s="2626" t="s">
        <v>1573</v>
      </c>
      <c r="L101" s="2627"/>
      <c r="M101" s="1320" t="s">
        <v>343</v>
      </c>
      <c r="N101" s="2626" t="s">
        <v>1575</v>
      </c>
      <c r="O101" s="2627"/>
      <c r="P101" s="1320" t="s">
        <v>343</v>
      </c>
      <c r="Q101" s="2626" t="s">
        <v>1574</v>
      </c>
      <c r="R101" s="2628"/>
      <c r="S101" s="1334" t="s">
        <v>444</v>
      </c>
      <c r="T101" s="1334" t="s">
        <v>444</v>
      </c>
      <c r="U101" s="153" t="s">
        <v>276</v>
      </c>
      <c r="X101" s="1316" t="s">
        <v>316</v>
      </c>
      <c r="Y101" s="2629" t="s">
        <v>316</v>
      </c>
      <c r="Z101" s="2630"/>
      <c r="AA101" s="1656" t="s">
        <v>444</v>
      </c>
      <c r="AB101" s="1656" t="s">
        <v>444</v>
      </c>
      <c r="AC101" s="2419"/>
      <c r="AD101" s="1317"/>
      <c r="AE101" s="1337" t="s">
        <v>444</v>
      </c>
      <c r="AF101" s="1324" t="s">
        <v>276</v>
      </c>
      <c r="AH101" s="2631" t="s">
        <v>211</v>
      </c>
      <c r="AI101" s="2632"/>
      <c r="AJ101" s="2632"/>
      <c r="AK101" s="2632" t="s">
        <v>442</v>
      </c>
      <c r="AL101" s="2632"/>
      <c r="AM101" s="2632"/>
      <c r="AN101" s="2632" t="s">
        <v>267</v>
      </c>
      <c r="AO101" s="2632"/>
      <c r="AP101" s="2632"/>
      <c r="AQ101" s="2632" t="s">
        <v>443</v>
      </c>
      <c r="AR101" s="2632"/>
      <c r="AS101" s="2632"/>
      <c r="AT101" s="2648" t="s">
        <v>327</v>
      </c>
      <c r="AU101" s="2648"/>
      <c r="AV101" s="568"/>
      <c r="AW101" s="2631" t="s">
        <v>636</v>
      </c>
      <c r="AX101" s="2632"/>
      <c r="AY101" s="568"/>
      <c r="AZ101" s="2292"/>
      <c r="BA101" s="2292"/>
      <c r="BB101" s="2292"/>
      <c r="BC101" s="2292"/>
      <c r="BD101" s="2292"/>
      <c r="BE101" s="2292"/>
      <c r="BF101" s="2292"/>
      <c r="BH101" s="2614" t="s">
        <v>1646</v>
      </c>
      <c r="BI101" s="2645"/>
      <c r="BJ101" s="2645"/>
      <c r="BK101" s="2615"/>
      <c r="BL101" s="2614" t="s">
        <v>1644</v>
      </c>
      <c r="BM101" s="2645"/>
      <c r="BN101" s="2645"/>
      <c r="BO101" s="2615"/>
      <c r="BP101" s="2614" t="s">
        <v>1645</v>
      </c>
      <c r="BQ101" s="2645"/>
      <c r="BR101" s="2645"/>
      <c r="BS101" s="2615"/>
    </row>
    <row r="102" spans="1:71" s="116" customFormat="1" ht="12.75" hidden="1" customHeight="1" outlineLevel="2">
      <c r="A102" s="114"/>
      <c r="B102" s="536" t="s">
        <v>1628</v>
      </c>
      <c r="C102" s="144"/>
      <c r="D102" s="315"/>
      <c r="E102" s="315"/>
      <c r="F102" s="1321" t="s">
        <v>453</v>
      </c>
      <c r="G102" s="1321" t="s">
        <v>1621</v>
      </c>
      <c r="H102" s="1322" t="s">
        <v>411</v>
      </c>
      <c r="I102" s="1322" t="s">
        <v>257</v>
      </c>
      <c r="J102" s="1321" t="s">
        <v>790</v>
      </c>
      <c r="K102" s="1322" t="s">
        <v>411</v>
      </c>
      <c r="L102" s="1322" t="s">
        <v>257</v>
      </c>
      <c r="M102" s="1321" t="s">
        <v>791</v>
      </c>
      <c r="N102" s="1322" t="s">
        <v>411</v>
      </c>
      <c r="O102" s="1322" t="s">
        <v>257</v>
      </c>
      <c r="P102" s="1321" t="s">
        <v>213</v>
      </c>
      <c r="Q102" s="1322" t="s">
        <v>411</v>
      </c>
      <c r="R102" s="1322" t="s">
        <v>257</v>
      </c>
      <c r="S102" s="1318" t="s">
        <v>411</v>
      </c>
      <c r="T102" s="1318" t="s">
        <v>257</v>
      </c>
      <c r="U102" s="153" t="s">
        <v>444</v>
      </c>
      <c r="X102" s="1316" t="s">
        <v>1649</v>
      </c>
      <c r="Y102" s="2646" t="s">
        <v>1650</v>
      </c>
      <c r="Z102" s="2647"/>
      <c r="AA102" s="1662" t="s">
        <v>411</v>
      </c>
      <c r="AB102" s="1662" t="s">
        <v>257</v>
      </c>
      <c r="AC102" s="1662"/>
      <c r="AD102" s="1332"/>
      <c r="AE102" s="162" t="s">
        <v>327</v>
      </c>
      <c r="AF102" s="1324" t="s">
        <v>444</v>
      </c>
      <c r="AH102" s="1331" t="s">
        <v>411</v>
      </c>
      <c r="AI102" s="1332" t="s">
        <v>257</v>
      </c>
      <c r="AJ102" s="1332"/>
      <c r="AK102" s="1332" t="s">
        <v>411</v>
      </c>
      <c r="AL102" s="1332" t="s">
        <v>257</v>
      </c>
      <c r="AM102" s="1332"/>
      <c r="AN102" s="1332" t="s">
        <v>411</v>
      </c>
      <c r="AO102" s="1332" t="s">
        <v>257</v>
      </c>
      <c r="AP102" s="1332"/>
      <c r="AQ102" s="1332" t="s">
        <v>411</v>
      </c>
      <c r="AR102" s="1332" t="s">
        <v>257</v>
      </c>
      <c r="AS102" s="1332"/>
      <c r="AT102" s="581" t="s">
        <v>411</v>
      </c>
      <c r="AU102" s="581" t="s">
        <v>257</v>
      </c>
      <c r="AV102" s="582"/>
      <c r="AW102" s="1331" t="s">
        <v>411</v>
      </c>
      <c r="AX102" s="1332" t="s">
        <v>257</v>
      </c>
      <c r="AY102" s="1333"/>
      <c r="AZ102" s="2449"/>
      <c r="BA102" s="2449"/>
      <c r="BB102" s="2449"/>
      <c r="BC102" s="2449"/>
      <c r="BD102" s="2449"/>
      <c r="BE102" s="2449"/>
      <c r="BF102" s="2449"/>
      <c r="BH102" s="1065"/>
      <c r="BI102" s="1065"/>
      <c r="BJ102" s="1065"/>
      <c r="BK102" s="1065"/>
      <c r="BL102" s="1124"/>
      <c r="BM102" s="1068"/>
      <c r="BN102" s="1068"/>
      <c r="BO102" s="1068"/>
      <c r="BP102" s="1069"/>
      <c r="BQ102" s="1070"/>
      <c r="BR102" s="1070"/>
      <c r="BS102" s="1071"/>
    </row>
    <row r="103" spans="1:71" s="116" customFormat="1" ht="12.75" hidden="1" customHeight="1" outlineLevel="2">
      <c r="A103" s="114"/>
      <c r="B103" s="143" t="s">
        <v>1630</v>
      </c>
      <c r="C103" s="144"/>
      <c r="D103" s="315">
        <f>SUM(S103,T103)</f>
        <v>0</v>
      </c>
      <c r="E103" s="315"/>
      <c r="F103" s="344"/>
      <c r="G103" s="1201"/>
      <c r="H103" s="335" t="e">
        <f>VLOOKUP($B103&amp;"; "&amp;$H$101&amp;", "&amp;H$102,'FE Energie'!$G:$U,9,FALSE)</f>
        <v>#N/A</v>
      </c>
      <c r="I103" s="335" t="e">
        <f>VLOOKUP($B103&amp;"; "&amp;$H$101&amp;", "&amp;I$102,'FE Energie'!$G:$U,9,FALSE)</f>
        <v>#N/A</v>
      </c>
      <c r="J103" s="1201"/>
      <c r="K103" s="223">
        <f>VLOOKUP($B103&amp;"; "&amp;$K$101&amp;", "&amp;K$102,'FE Energie'!$G:$U,9,FALSE)</f>
        <v>7.8399999999999997E-2</v>
      </c>
      <c r="L103" s="223">
        <f>VLOOKUP($B103&amp;"; "&amp;$K$101&amp;", "&amp;L$102,'FE Energie'!$G:$U,9,FALSE)</f>
        <v>0.19500000000000001</v>
      </c>
      <c r="M103" s="1201"/>
      <c r="N103" s="217">
        <f>VLOOKUP($B103&amp;"; "&amp;$N$101&amp;", "&amp;N$102,'FE Energie'!$G:$U,9,FALSE)</f>
        <v>916</v>
      </c>
      <c r="O103" s="217">
        <f>VLOOKUP($B103&amp;"; "&amp;$N$101&amp;", "&amp;O$102,'FE Energie'!$G:$U,9,FALSE)</f>
        <v>2269</v>
      </c>
      <c r="P103" s="1201"/>
      <c r="Q103" s="223">
        <f>VLOOKUP($B103&amp;"; "&amp;$Q$101&amp;", "&amp;Q$102,'FE Energie'!$G:$U,9,FALSE)</f>
        <v>0.75800000000000001</v>
      </c>
      <c r="R103" s="223">
        <f>VLOOKUP($B103&amp;"; "&amp;$Q$101&amp;", "&amp;R$102,'FE Energie'!$G:$U,9,FALSE)</f>
        <v>1.88</v>
      </c>
      <c r="S103" s="566">
        <f>IF(ISNA(G103*H103),0,G103*H103)+IF(ISNA(J103*K103),0,J103*K103)+IF(ISNA(M103*N103),0,M103*N103)+IF(ISNA(P103*Q103),0,P103*Q103)</f>
        <v>0</v>
      </c>
      <c r="T103" s="566">
        <f>IF(ISNA(G103*I103),0,G103*I103)+IF(ISNA(J103*L103),0,J103*L103)+IF(ISNA(M103*O103),0,M103*O103)+IF(ISNA(P103*R103),0,P103*R103)</f>
        <v>0</v>
      </c>
      <c r="U103" s="1286">
        <f>IF(OR(F103=Utilitaires!$I$572,F103=Utilitaires!$I$577),T103,0)</f>
        <v>0</v>
      </c>
      <c r="X103" s="1092">
        <f>IF(AE103=0,AE103,AE103/(S103+T103))</f>
        <v>0</v>
      </c>
      <c r="Y103" s="343"/>
      <c r="Z103" s="820"/>
      <c r="AA103" s="164">
        <f>SQRT(SUMSQ(IF(ISNA($G103*H103*BL103),0,$G103*H103*BL103),IF(ISNA($J103*K103*BM103),0,$J103*K103*BM103),IF(ISNA($M103*N103*BN103),0,$M103*N103*BN103),IF(ISNA($P103*Q103*BO103),0,$P103*Q103*BO103)))</f>
        <v>0</v>
      </c>
      <c r="AB103" s="164">
        <f>SQRT(SUMSQ(IF(ISNA($G103*I103*BP103),0,$G103*I103*BP103),IF(ISNA($J103*L103*BQ103),0,$J103*L103*BQ103),IF(ISNA($M103*O103*BR103),0,$M103*O103*BR103),IF(ISNA($P103*R103*BS103),0,$P103*R103*BS103)))</f>
        <v>0</v>
      </c>
      <c r="AC103" s="164"/>
      <c r="AD103" s="164"/>
      <c r="AE103" s="152">
        <f>SQRT(SUMSQ(AA103,AB103))</f>
        <v>0</v>
      </c>
      <c r="AF103" s="165">
        <f>U103*X103</f>
        <v>0</v>
      </c>
      <c r="AH103" s="564">
        <f>$G103*IF(ISNA(VLOOKUP($B103&amp;"; "&amp;$H$53&amp;", "&amp;H$54,'FE Energie'!$G:$U,10,FALSE)),0,VLOOKUP($B103&amp;"; "&amp;$H$53&amp;", "&amp;H$54,'FE Energie'!$G:$U,10,FALSE))
+$J103*IF(ISNA(VLOOKUP($B103&amp;"; "&amp;$K$53&amp;", "&amp;H$54,'FE Energie'!$G:$U,10,FALSE)),0,VLOOKUP($B103&amp;"; "&amp;$K$53&amp;", "&amp;H$54,'FE Energie'!$G:$U,10,FALSE))
+$M103*IF(ISNA(VLOOKUP($B103&amp;"; "&amp;$N$53&amp;", "&amp;H$54,'FE Energie'!$G:$U,10,FALSE)),0,VLOOKUP($B103&amp;"; "&amp;$N$53&amp;", "&amp;H$54,'FE Energie'!$G:$U,10,FALSE))
+$P103*IF(ISNA(VLOOKUP($B103&amp;"; "&amp;$Q$53&amp;", "&amp;H$54,'FE Energie'!$G:$U,10,FALSE)),0,VLOOKUP($B103&amp;"; "&amp;$Q$53&amp;", "&amp;H$54,'FE Energie'!$G:$U,10,FALSE))</f>
        <v>0</v>
      </c>
      <c r="AI103" s="565">
        <f>$G103*IF(ISNA(VLOOKUP($B103&amp;"; "&amp;$H$53&amp;", "&amp;I$54,'FE Energie'!$G:$U,10,FALSE)),0,VLOOKUP($B103&amp;"; "&amp;$H$53&amp;", "&amp;I$54,'FE Energie'!$G:$U,10,FALSE))
+$J103*IF(ISNA(VLOOKUP($B103&amp;"; "&amp;$K$53&amp;", "&amp;I$54,'FE Energie'!$G:$U,10,FALSE)),0,VLOOKUP($B103&amp;"; "&amp;$K$53&amp;", "&amp;I$54,'FE Energie'!$G:$U,10,FALSE))
+$M103*IF(ISNA(VLOOKUP($B103&amp;"; "&amp;$N$53&amp;", "&amp;I$54,'FE Energie'!$G:$U,10,FALSE)),0,VLOOKUP($B103&amp;"; "&amp;$N$53&amp;", "&amp;I$54,'FE Energie'!$G:$U,10,FALSE))
+$P103*IF(ISNA(VLOOKUP($B103&amp;"; "&amp;$Q$53&amp;", "&amp;I$54,'FE Energie'!$G:$U,10,FALSE)),0,VLOOKUP($B103&amp;"; "&amp;$Q$53&amp;", "&amp;I$54,'FE Energie'!$G:$U,10,FALSE))</f>
        <v>0</v>
      </c>
      <c r="AJ103" s="565"/>
      <c r="AK103" s="565">
        <f>$G103*IF(ISNA((VLOOKUP($B103&amp;"; "&amp;$H$53&amp;", "&amp;H$54,'FE Energie'!$G:$U,11,FALSE)+VLOOKUP($B103&amp;"; "&amp;$H$53&amp;", "&amp;H$54,'FE Energie'!$G:$U,12,FALSE))),0,(VLOOKUP($B103&amp;"; "&amp;$H$53&amp;", "&amp;H$54,'FE Energie'!$G:$U,11,FALSE)+VLOOKUP($B103&amp;"; "&amp;$H$53&amp;", "&amp;H$54,'FE Energie'!$G:$U,12,FALSE)))
+$J103*IF(ISNA((VLOOKUP($B103&amp;"; "&amp;$K$53&amp;", "&amp;H$54,'FE Energie'!$G:$U,11,FALSE)+VLOOKUP($B103&amp;"; "&amp;$K$53&amp;", "&amp;H$54,'FE Energie'!$G:$U,12,FALSE))),0,(VLOOKUP($B103&amp;"; "&amp;$K$53&amp;", "&amp;H$54,'FE Energie'!$G:$U,11,FALSE)+VLOOKUP($B103&amp;"; "&amp;$K$53&amp;", "&amp;H$54,'FE Energie'!$G:$U,12,FALSE)))
+$M103*IF(ISNA((VLOOKUP($B103&amp;"; "&amp;$N$53&amp;", "&amp;H$54,'FE Energie'!$G:$U,11,FALSE)+VLOOKUP($B103&amp;"; "&amp;$N$53&amp;", "&amp;H$54,'FE Energie'!$G:$U,12,FALSE))),0,(VLOOKUP($B103&amp;"; "&amp;$N$53&amp;", "&amp;H$54,'FE Energie'!$G:$U,11,FALSE)+VLOOKUP($B103&amp;"; "&amp;$N$53&amp;", "&amp;H$54,'FE Energie'!$G:$U,12,FALSE)))
+$P103*IF(ISNA((VLOOKUP($B103&amp;"; "&amp;$Q$53&amp;", "&amp;H$54,'FE Energie'!$G:$U,11,FALSE)+VLOOKUP($B103&amp;"; "&amp;$Q$53&amp;", "&amp;H$54,'FE Energie'!$G:$U,12,FALSE))),0,(VLOOKUP($B103&amp;"; "&amp;$Q$53&amp;", "&amp;H$54,'FE Energie'!$G:$U,11,FALSE)+VLOOKUP($B103&amp;"; "&amp;$Q$53&amp;", "&amp;H$54,'FE Energie'!$G:$U,12,FALSE)))</f>
        <v>0</v>
      </c>
      <c r="AL103" s="565">
        <f>$G103*IF(ISNA((VLOOKUP($B103&amp;"; "&amp;$H$53&amp;", "&amp;I$54,'FE Energie'!$G:$U,11,FALSE)+VLOOKUP($B103&amp;"; "&amp;$H$53&amp;", "&amp;I$54,'FE Energie'!$G:$U,12,FALSE))),0,(VLOOKUP($B103&amp;"; "&amp;$H$53&amp;", "&amp;I$54,'FE Energie'!$G:$U,11,FALSE)+VLOOKUP($B103&amp;"; "&amp;$H$53&amp;", "&amp;I$54,'FE Energie'!$G:$U,12,FALSE)))
+$J103*IF(ISNA((VLOOKUP($B103&amp;"; "&amp;$K$53&amp;", "&amp;I$54,'FE Energie'!$G:$U,11,FALSE)+VLOOKUP($B103&amp;"; "&amp;$K$53&amp;", "&amp;I$54,'FE Energie'!$G:$U,12,FALSE))),0,(VLOOKUP($B103&amp;"; "&amp;$K$53&amp;", "&amp;I$54,'FE Energie'!$G:$U,11,FALSE)+VLOOKUP($B103&amp;"; "&amp;$K$53&amp;", "&amp;I$54,'FE Energie'!$G:$U,12,FALSE)))
+$M103*IF(ISNA((VLOOKUP($B103&amp;"; "&amp;$N$53&amp;", "&amp;I$54,'FE Energie'!$G:$U,11,FALSE)+VLOOKUP($B103&amp;"; "&amp;$N$53&amp;", "&amp;I$54,'FE Energie'!$G:$U,12,FALSE))),0,(VLOOKUP($B103&amp;"; "&amp;$N$53&amp;", "&amp;I$54,'FE Energie'!$G:$U,11,FALSE)+VLOOKUP($B103&amp;"; "&amp;$N$53&amp;", "&amp;I$54,'FE Energie'!$G:$U,12,FALSE)))
+$P103*IF(ISNA((VLOOKUP($B103&amp;"; "&amp;$Q$53&amp;", "&amp;I$54,'FE Energie'!$G:$U,11,FALSE)+VLOOKUP($B103&amp;"; "&amp;$Q$53&amp;", "&amp;I$54,'FE Energie'!$G:$U,12,FALSE))),0,(VLOOKUP($B103&amp;"; "&amp;$Q$53&amp;", "&amp;I$54,'FE Energie'!$G:$U,11,FALSE)+VLOOKUP($B103&amp;"; "&amp;$Q$53&amp;", "&amp;I$54,'FE Energie'!$G:$U,12,FALSE)))</f>
        <v>0</v>
      </c>
      <c r="AM103" s="565"/>
      <c r="AN103" s="565">
        <f>$G103*IF(ISNA(VLOOKUP($B103&amp;"; "&amp;$H$53&amp;", "&amp;H$54,'FE Energie'!$G:$U,13,FALSE)),0,VLOOKUP($B103&amp;"; "&amp;$H$53&amp;", "&amp;H$54,'FE Energie'!$G:$U,13,FALSE))
+$J103*IF(ISNA(VLOOKUP($B103&amp;"; "&amp;$K$53&amp;", "&amp;H$54,'FE Energie'!$G:$U,13,FALSE)),0,VLOOKUP($B103&amp;"; "&amp;$K$53&amp;", "&amp;H$54,'FE Energie'!$G:$U,13,FALSE))
+$M103*IF(ISNA(VLOOKUP($B103&amp;"; "&amp;$N$53&amp;", "&amp;H$54,'FE Energie'!$G:$U,13,FALSE)),0,VLOOKUP($B103&amp;"; "&amp;$N$53&amp;", "&amp;H$54,'FE Energie'!$G:$U,13,FALSE))
+$P103*IF(ISNA(VLOOKUP($B103&amp;"; "&amp;$Q$53&amp;", "&amp;H$54,'FE Energie'!$G:$U,13,FALSE)),0,VLOOKUP($B103&amp;"; "&amp;$Q$53&amp;", "&amp;H$54,'FE Energie'!$G:$U,13,FALSE))</f>
        <v>0</v>
      </c>
      <c r="AO103" s="565">
        <f>$G103*IF(ISNA(VLOOKUP($B103&amp;"; "&amp;$H$53&amp;", "&amp;I$54,'FE Energie'!$G:$U,13,FALSE)),0,VLOOKUP($B103&amp;"; "&amp;$H$53&amp;", "&amp;I$54,'FE Energie'!$G:$U,13,FALSE))
+$J103*IF(ISNA(VLOOKUP($B103&amp;"; "&amp;$K$53&amp;", "&amp;I$54,'FE Energie'!$G:$U,13,FALSE)),0,VLOOKUP($B103&amp;"; "&amp;$K$53&amp;", "&amp;I$54,'FE Energie'!$G:$U,13,FALSE))
+$M103*IF(ISNA(VLOOKUP($B103&amp;"; "&amp;$N$53&amp;", "&amp;I$54,'FE Energie'!$G:$U,13,FALSE)),0,VLOOKUP($B103&amp;"; "&amp;$N$53&amp;", "&amp;I$54,'FE Energie'!$G:$U,13,FALSE))
+$P103*IF(ISNA(VLOOKUP($B103&amp;"; "&amp;$Q$53&amp;", "&amp;I$54,'FE Energie'!$G:$U,13,FALSE)),0,VLOOKUP($B103&amp;"; "&amp;$Q$53&amp;", "&amp;I$54,'FE Energie'!$G:$U,13,FALSE))</f>
        <v>0</v>
      </c>
      <c r="AP103" s="565"/>
      <c r="AQ103" s="565">
        <f>$G103*IF(ISNA(VLOOKUP($B103&amp;"; "&amp;$H$53&amp;", "&amp;H$54,'FE Energie'!$G:$U,14,FALSE)),0,VLOOKUP($B103&amp;"; "&amp;$H$53&amp;", "&amp;H$54,'FE Energie'!$G:$U,14,FALSE))
+$J103*IF(ISNA(VLOOKUP($B103&amp;"; "&amp;$K$53&amp;", "&amp;H$54,'FE Energie'!$G:$U,14,FALSE)),0,VLOOKUP($B103&amp;"; "&amp;$K$53&amp;", "&amp;H$54,'FE Energie'!$G:$U,14,FALSE))
+$M103*IF(ISNA(VLOOKUP($B103&amp;"; "&amp;$N$53&amp;", "&amp;H$54,'FE Energie'!$G:$U,14,FALSE)),0,VLOOKUP($B103&amp;"; "&amp;$N$53&amp;", "&amp;H$54,'FE Energie'!$G:$U,14,FALSE))
+$P103*IF(ISNA(VLOOKUP($B103&amp;"; "&amp;$Q$53&amp;", "&amp;H$54,'FE Energie'!$G:$U,14,FALSE)),0,VLOOKUP($B103&amp;"; "&amp;$Q$53&amp;", "&amp;H$54,'FE Energie'!$G:$U,14,FALSE))</f>
        <v>0</v>
      </c>
      <c r="AR103" s="565">
        <f>$G103*IF(ISNA(VLOOKUP($B103&amp;"; "&amp;$H$53&amp;", "&amp;I$54,'FE Energie'!$G:$U,14,FALSE)),0,VLOOKUP($B103&amp;"; "&amp;$H$53&amp;", "&amp;I$54,'FE Energie'!$G:$U,14,FALSE))
+$J103*IF(ISNA(VLOOKUP($B103&amp;"; "&amp;$K$53&amp;", "&amp;I$54,'FE Energie'!$G:$U,14,FALSE)),0,VLOOKUP($B103&amp;"; "&amp;$K$53&amp;", "&amp;I$54,'FE Energie'!$G:$U,14,FALSE))
+$M103*IF(ISNA(VLOOKUP($B103&amp;"; "&amp;$N$53&amp;", "&amp;I$54,'FE Energie'!$G:$U,14,FALSE)),0,VLOOKUP($B103&amp;"; "&amp;$N$53&amp;", "&amp;I$54,'FE Energie'!$G:$U,14,FALSE))
+$P103*IF(ISNA(VLOOKUP($B103&amp;"; "&amp;$Q$53&amp;", "&amp;I$54,'FE Energie'!$G:$U,14,FALSE)),0,VLOOKUP($B103&amp;"; "&amp;$Q$53&amp;", "&amp;I$54,'FE Energie'!$G:$U,14,FALSE))</f>
        <v>0</v>
      </c>
      <c r="AS103" s="565"/>
      <c r="AT103" s="566">
        <f>SUM(AH103,AK103,AN103,AQ103)</f>
        <v>0</v>
      </c>
      <c r="AU103" s="566">
        <f>SUM(AI103,AL103,AO103,AR103)</f>
        <v>0</v>
      </c>
      <c r="AV103" s="567"/>
      <c r="AW103" s="564">
        <f>$G103*IF(ISNA(VLOOKUP($B103&amp;"; "&amp;$H$53&amp;", "&amp;H$54,'FE Energie'!$G:$U,15,FALSE)),0,VLOOKUP($B103&amp;"; "&amp;$H$53&amp;", "&amp;H$54,'FE Energie'!$G:$U,15,FALSE))
+$J103*IF(ISNA(VLOOKUP($B103&amp;"; "&amp;$K$53&amp;", "&amp;H$54,'FE Energie'!$G:$U,15,FALSE)),0,VLOOKUP($B103&amp;"; "&amp;$K$53&amp;", "&amp;H$54,'FE Energie'!$G:$U,15,FALSE))
+$M103*IF(ISNA(VLOOKUP($B103&amp;"; "&amp;$N$53&amp;", "&amp;H$54,'FE Energie'!$G:$U,15,FALSE)),0,VLOOKUP($B103&amp;"; "&amp;$N$53&amp;", "&amp;H$54,'FE Energie'!$G:$U,15,FALSE))
+$P103*IF(ISNA(VLOOKUP($B103&amp;"; "&amp;$Q$53&amp;", "&amp;H$54,'FE Energie'!$G:$U,15,FALSE)),0,VLOOKUP($B103&amp;"; "&amp;$Q$53&amp;", "&amp;H$54,'FE Energie'!$G:$U,15,FALSE))</f>
        <v>0</v>
      </c>
      <c r="AX103" s="565">
        <f>$G103*IF(ISNA(VLOOKUP($B103&amp;"; "&amp;$H$53&amp;", "&amp;I$54,'FE Energie'!$G:$U,15,FALSE)),0,VLOOKUP($B103&amp;"; "&amp;$H$53&amp;", "&amp;I$54,'FE Energie'!$G:$U,15,FALSE))
+$J103*IF(ISNA(VLOOKUP($B103&amp;"; "&amp;$K$53&amp;", "&amp;I$54,'FE Energie'!$G:$U,15,FALSE)),0,VLOOKUP($B103&amp;"; "&amp;$K$53&amp;", "&amp;I$54,'FE Energie'!$G:$U,15,FALSE))
+$M103*IF(ISNA(VLOOKUP($B103&amp;"; "&amp;$N$53&amp;", "&amp;I$54,'FE Energie'!$G:$U,15,FALSE)),0,VLOOKUP($B103&amp;"; "&amp;$N$53&amp;", "&amp;I$54,'FE Energie'!$G:$U,15,FALSE))
+$P103*IF(ISNA(VLOOKUP($B103&amp;"; "&amp;$Q$53&amp;", "&amp;I$54,'FE Energie'!$G:$U,15,FALSE)),0,VLOOKUP($B103&amp;"; "&amp;$Q$53&amp;", "&amp;I$54,'FE Energie'!$G:$U,15,FALSE))</f>
        <v>0</v>
      </c>
      <c r="AY103" s="568"/>
      <c r="AZ103" s="2292"/>
      <c r="BA103" s="2292"/>
      <c r="BB103" s="2292"/>
      <c r="BC103" s="2292"/>
      <c r="BD103" s="2292"/>
      <c r="BE103" s="2292"/>
      <c r="BF103" s="2292"/>
      <c r="BH103" s="1065">
        <f>IF($Y103&lt;&gt;"votre valeur :",IF(ISNA(VLOOKUP($Y103,Utilitaires!$N$566:$O$571,2,FALSE)),,VLOOKUP($Y103,Utilitaires!$N$566:$O$571,2,FALSE)),$Z103)</f>
        <v>0</v>
      </c>
      <c r="BI103" s="1065">
        <f>IF($Y103&lt;&gt;"votre valeur :",IF(ISNA(VLOOKUP($Y103,Utilitaires!$N$566:$O$571,2,FALSE)),,VLOOKUP($Y103,Utilitaires!$N$566:$O$571,2,FALSE)),$Z103)</f>
        <v>0</v>
      </c>
      <c r="BJ103" s="1065">
        <f>IF($Y103&lt;&gt;"votre valeur :",IF(ISNA(VLOOKUP($Y103,Utilitaires!$N$566:$O$571,2,FALSE)),,VLOOKUP($Y103,Utilitaires!$N$566:$O$571,2,FALSE)),$Z103)</f>
        <v>0</v>
      </c>
      <c r="BK103" s="1065">
        <f>IF($Y103&lt;&gt;"votre valeur :",IF(ISNA(VLOOKUP($Y103,Utilitaires!$N$566:$O$571,2,FALSE)),,VLOOKUP($Y103,Utilitaires!$N$566:$O$571,2,FALSE)),$Z103)</f>
        <v>0</v>
      </c>
      <c r="BL103" s="1124">
        <f>IF(ISNA(SQRT(SUMSQ(VLOOKUP($B103&amp;"; "&amp;$H$53&amp;", "&amp;$H$54,'FE Energie'!$G:$U,7,FALSE),$BH103))),0,SQRT(SUMSQ(VLOOKUP($B103&amp;"; "&amp;$H$53&amp;", "&amp;$H$54,'FE Energie'!$G:$U,7,FALSE),$BH103)))</f>
        <v>0</v>
      </c>
      <c r="BM103" s="1068">
        <f>IF(ISNA(SQRT(SUMSQ(VLOOKUP($B103&amp;"; "&amp;$K$53&amp;", "&amp;$K$54,'FE Energie'!$G:$U,7,FALSE),$BI103))),0,SQRT(SUMSQ(VLOOKUP($B103&amp;"; "&amp;$K$53&amp;", "&amp;$K$54,'FE Energie'!$G:$U,7,FALSE),$BI103)))</f>
        <v>0.05</v>
      </c>
      <c r="BN103" s="1068">
        <f>IF(ISNA(SQRT(SUMSQ(VLOOKUP($B103&amp;"; "&amp;$N$53&amp;", "&amp;$N$54,'FE Energie'!$G:$U,7,FALSE),$BJ103))),0,SQRT(SUMSQ(VLOOKUP($B103&amp;"; "&amp;$N$53&amp;", "&amp;$N$54,'FE Energie'!$G:$U,7,FALSE),$BJ103)))</f>
        <v>0.05</v>
      </c>
      <c r="BO103" s="1068">
        <f>IF(ISNA(SQRT(SUMSQ(VLOOKUP($B103&amp;"; "&amp;$Q$53&amp;", "&amp;$Q$54,'FE Energie'!$G:$U,7,FALSE),$BK103))),0,SQRT(SUMSQ(VLOOKUP($B103&amp;"; "&amp;$Q$53&amp;", "&amp;$Q$54,'FE Energie'!$G:$U,7,FALSE),$BK103)))</f>
        <v>0.1</v>
      </c>
      <c r="BP103" s="1069">
        <f>IF(ISNA(SQRT(SUMSQ(VLOOKUP($B103&amp;"; "&amp;$H$53&amp;", "&amp;$I$54,'FE Energie'!$G:$U,7,FALSE),$BH103))),0,SQRT(SUMSQ(VLOOKUP($B103&amp;"; "&amp;$H$53&amp;", "&amp;$I$54,'FE Energie'!$G:$U,7,FALSE),$BH103)))</f>
        <v>0</v>
      </c>
      <c r="BQ103" s="1070">
        <f>IF(ISNA(SQRT(SUMSQ(VLOOKUP($B103&amp;"; "&amp;$K$53&amp;", "&amp;$L$54,'FE Energie'!$G:$U,7,FALSE),$BI103))),0,SQRT(SUMSQ(VLOOKUP($B103&amp;"; "&amp;$K$53&amp;", "&amp;$L$54,'FE Energie'!$G:$U,7,FALSE),$BI103)))</f>
        <v>0.05</v>
      </c>
      <c r="BR103" s="1070">
        <f>IF(ISNA(SQRT(SUMSQ(VLOOKUP($B103&amp;"; "&amp;$N$53&amp;", "&amp;$O$54,'FE Energie'!$G:$U,7,FALSE),$BJ103))),0,SQRT(SUMSQ(VLOOKUP($B103&amp;"; "&amp;$N$53&amp;", "&amp;$O$54,'FE Energie'!$G:$U,7,FALSE),$BJ103)))</f>
        <v>0.05</v>
      </c>
      <c r="BS103" s="1071">
        <f>IF(ISNA(SQRT(SUMSQ(VLOOKUP($B103&amp;"; "&amp;$Q$53&amp;", "&amp;$R$54,'FE Energie'!$G:$U,7,FALSE),$BK103))),0,SQRT(SUMSQ(VLOOKUP($B103&amp;"; "&amp;$Q$53&amp;", "&amp;$R$54,'FE Energie'!$G:$U,7,FALSE),$BK103)))</f>
        <v>0.1</v>
      </c>
    </row>
    <row r="104" spans="1:71" s="116" customFormat="1" ht="12.75" hidden="1" customHeight="1" outlineLevel="2">
      <c r="A104" s="114"/>
      <c r="B104" s="143" t="s">
        <v>1631</v>
      </c>
      <c r="C104" s="144"/>
      <c r="D104" s="315">
        <f>SUM(S104,T104)</f>
        <v>0</v>
      </c>
      <c r="E104" s="315"/>
      <c r="F104" s="345"/>
      <c r="G104" s="1086"/>
      <c r="H104" s="335">
        <f>VLOOKUP($B104&amp;"; "&amp;$H$101&amp;", "&amp;H$102,'FE Energie'!$G:$U,9,FALSE)</f>
        <v>0.27</v>
      </c>
      <c r="I104" s="335">
        <f>VLOOKUP($B104&amp;"; "&amp;$H$101&amp;", "&amp;I$102,'FE Energie'!$G:$U,9,FALSE)</f>
        <v>3.07</v>
      </c>
      <c r="J104" s="1086"/>
      <c r="K104" s="223" t="e">
        <f>VLOOKUP($B104&amp;"; "&amp;$K$101&amp;", "&amp;K$102,'FE Energie'!$G:$U,9,FALSE)</f>
        <v>#N/A</v>
      </c>
      <c r="L104" s="223" t="e">
        <f>VLOOKUP($B104&amp;"; "&amp;$K$101&amp;", "&amp;L$102,'FE Energie'!$G:$U,9,FALSE)</f>
        <v>#N/A</v>
      </c>
      <c r="M104" s="1086"/>
      <c r="N104" s="217" t="e">
        <f>VLOOKUP($B104&amp;"; "&amp;$N$101&amp;", "&amp;N$102,'FE Energie'!$G:$U,9,FALSE)</f>
        <v>#N/A</v>
      </c>
      <c r="O104" s="217" t="e">
        <f>VLOOKUP($B104&amp;"; "&amp;$N$101&amp;", "&amp;O$102,'FE Energie'!$G:$U,9,FALSE)</f>
        <v>#N/A</v>
      </c>
      <c r="P104" s="1086"/>
      <c r="Q104" s="223" t="e">
        <f>VLOOKUP($B104&amp;"; "&amp;$Q$101&amp;", "&amp;Q$102,'FE Energie'!$G:$U,9,FALSE)</f>
        <v>#N/A</v>
      </c>
      <c r="R104" s="223" t="e">
        <f>VLOOKUP($B104&amp;"; "&amp;$Q$101&amp;", "&amp;R$102,'FE Energie'!$G:$U,9,FALSE)</f>
        <v>#N/A</v>
      </c>
      <c r="S104" s="566">
        <f>IF(ISNA(G104*H104),0,G104*H104)+IF(ISNA(J104*K104),0,J104*K104)+IF(ISNA(M104*N104),0,M104*N104)+IF(ISNA(P104*Q104),0,P104*Q104)</f>
        <v>0</v>
      </c>
      <c r="T104" s="566">
        <f>IF(ISNA(G104*I104),0,G104*I104)+IF(ISNA(J104*L104),0,J104*L104)+IF(ISNA(M104*O104),0,M104*O104)+IF(ISNA(P104*R104),0,P104*R104)</f>
        <v>0</v>
      </c>
      <c r="U104" s="1286">
        <f>IF(OR(F104=Utilitaires!$I$572,F104=Utilitaires!$I$577),T104,0)</f>
        <v>0</v>
      </c>
      <c r="X104" s="1092">
        <f>IF(AE104=0,AE104,AE104/(S104+T104))</f>
        <v>0</v>
      </c>
      <c r="Y104" s="1094"/>
      <c r="Z104" s="820"/>
      <c r="AA104" s="164">
        <f>SQRT(SUMSQ(IF(ISNA($G104*H104*BL104),0,$G104*H104*BL104),IF(ISNA($J104*K104*BM104),0,$J104*K104*BM104),IF(ISNA($M104*N104*BN104),0,$M104*N104*BN104),IF(ISNA($P104*Q104*BO104),0,$P104*Q104*BO104)))</f>
        <v>0</v>
      </c>
      <c r="AB104" s="164">
        <f>SQRT(SUMSQ(IF(ISNA($G104*I104*BP104),0,$G104*I104*BP104),IF(ISNA($J104*L104*BQ104),0,$J104*L104*BQ104),IF(ISNA($M104*O104*BR104),0,$M104*O104*BR104),IF(ISNA($P104*R104*BS104),0,$P104*R104*BS104)))</f>
        <v>0</v>
      </c>
      <c r="AC104" s="164"/>
      <c r="AD104" s="164"/>
      <c r="AE104" s="152">
        <f>SQRT(SUMSQ(AA104,AB104))</f>
        <v>0</v>
      </c>
      <c r="AF104" s="165">
        <f>U104*X104</f>
        <v>0</v>
      </c>
      <c r="AH104" s="564">
        <f>$G104*IF(ISNA(VLOOKUP($B104&amp;"; "&amp;$H$53&amp;", "&amp;H$54,'FE Energie'!$G:$U,10,FALSE)),0,VLOOKUP($B104&amp;"; "&amp;$H$53&amp;", "&amp;H$54,'FE Energie'!$G:$U,10,FALSE))
+$J104*IF(ISNA(VLOOKUP($B104&amp;"; "&amp;$K$53&amp;", "&amp;H$54,'FE Energie'!$G:$U,10,FALSE)),0,VLOOKUP($B104&amp;"; "&amp;$K$53&amp;", "&amp;H$54,'FE Energie'!$G:$U,10,FALSE))
+$M104*IF(ISNA(VLOOKUP($B104&amp;"; "&amp;$N$53&amp;", "&amp;H$54,'FE Energie'!$G:$U,10,FALSE)),0,VLOOKUP($B104&amp;"; "&amp;$N$53&amp;", "&amp;H$54,'FE Energie'!$G:$U,10,FALSE))
+$P104*IF(ISNA(VLOOKUP($B104&amp;"; "&amp;$Q$53&amp;", "&amp;H$54,'FE Energie'!$G:$U,10,FALSE)),0,VLOOKUP($B104&amp;"; "&amp;$Q$53&amp;", "&amp;H$54,'FE Energie'!$G:$U,10,FALSE))</f>
        <v>0</v>
      </c>
      <c r="AI104" s="565">
        <f>$G104*IF(ISNA(VLOOKUP($B104&amp;"; "&amp;$H$53&amp;", "&amp;I$54,'FE Energie'!$G:$U,10,FALSE)),0,VLOOKUP($B104&amp;"; "&amp;$H$53&amp;", "&amp;I$54,'FE Energie'!$G:$U,10,FALSE))
+$J104*IF(ISNA(VLOOKUP($B104&amp;"; "&amp;$K$53&amp;", "&amp;I$54,'FE Energie'!$G:$U,10,FALSE)),0,VLOOKUP($B104&amp;"; "&amp;$K$53&amp;", "&amp;I$54,'FE Energie'!$G:$U,10,FALSE))
+$M104*IF(ISNA(VLOOKUP($B104&amp;"; "&amp;$N$53&amp;", "&amp;I$54,'FE Energie'!$G:$U,10,FALSE)),0,VLOOKUP($B104&amp;"; "&amp;$N$53&amp;", "&amp;I$54,'FE Energie'!$G:$U,10,FALSE))
+$P104*IF(ISNA(VLOOKUP($B104&amp;"; "&amp;$Q$53&amp;", "&amp;I$54,'FE Energie'!$G:$U,10,FALSE)),0,VLOOKUP($B104&amp;"; "&amp;$Q$53&amp;", "&amp;I$54,'FE Energie'!$G:$U,10,FALSE))</f>
        <v>0</v>
      </c>
      <c r="AJ104" s="565"/>
      <c r="AK104" s="565">
        <f>$G104*IF(ISNA((VLOOKUP($B104&amp;"; "&amp;$H$53&amp;", "&amp;H$54,'FE Energie'!$G:$U,11,FALSE)+VLOOKUP($B104&amp;"; "&amp;$H$53&amp;", "&amp;H$54,'FE Energie'!$G:$U,12,FALSE))),0,(VLOOKUP($B104&amp;"; "&amp;$H$53&amp;", "&amp;H$54,'FE Energie'!$G:$U,11,FALSE)+VLOOKUP($B104&amp;"; "&amp;$H$53&amp;", "&amp;H$54,'FE Energie'!$G:$U,12,FALSE)))
+$J104*IF(ISNA((VLOOKUP($B104&amp;"; "&amp;$K$53&amp;", "&amp;H$54,'FE Energie'!$G:$U,11,FALSE)+VLOOKUP($B104&amp;"; "&amp;$K$53&amp;", "&amp;H$54,'FE Energie'!$G:$U,12,FALSE))),0,(VLOOKUP($B104&amp;"; "&amp;$K$53&amp;", "&amp;H$54,'FE Energie'!$G:$U,11,FALSE)+VLOOKUP($B104&amp;"; "&amp;$K$53&amp;", "&amp;H$54,'FE Energie'!$G:$U,12,FALSE)))
+$M104*IF(ISNA((VLOOKUP($B104&amp;"; "&amp;$N$53&amp;", "&amp;H$54,'FE Energie'!$G:$U,11,FALSE)+VLOOKUP($B104&amp;"; "&amp;$N$53&amp;", "&amp;H$54,'FE Energie'!$G:$U,12,FALSE))),0,(VLOOKUP($B104&amp;"; "&amp;$N$53&amp;", "&amp;H$54,'FE Energie'!$G:$U,11,FALSE)+VLOOKUP($B104&amp;"; "&amp;$N$53&amp;", "&amp;H$54,'FE Energie'!$G:$U,12,FALSE)))
+$P104*IF(ISNA((VLOOKUP($B104&amp;"; "&amp;$Q$53&amp;", "&amp;H$54,'FE Energie'!$G:$U,11,FALSE)+VLOOKUP($B104&amp;"; "&amp;$Q$53&amp;", "&amp;H$54,'FE Energie'!$G:$U,12,FALSE))),0,(VLOOKUP($B104&amp;"; "&amp;$Q$53&amp;", "&amp;H$54,'FE Energie'!$G:$U,11,FALSE)+VLOOKUP($B104&amp;"; "&amp;$Q$53&amp;", "&amp;H$54,'FE Energie'!$G:$U,12,FALSE)))</f>
        <v>0</v>
      </c>
      <c r="AL104" s="565">
        <f>$G104*IF(ISNA((VLOOKUP($B104&amp;"; "&amp;$H$53&amp;", "&amp;I$54,'FE Energie'!$G:$U,11,FALSE)+VLOOKUP($B104&amp;"; "&amp;$H$53&amp;", "&amp;I$54,'FE Energie'!$G:$U,12,FALSE))),0,(VLOOKUP($B104&amp;"; "&amp;$H$53&amp;", "&amp;I$54,'FE Energie'!$G:$U,11,FALSE)+VLOOKUP($B104&amp;"; "&amp;$H$53&amp;", "&amp;I$54,'FE Energie'!$G:$U,12,FALSE)))
+$J104*IF(ISNA((VLOOKUP($B104&amp;"; "&amp;$K$53&amp;", "&amp;I$54,'FE Energie'!$G:$U,11,FALSE)+VLOOKUP($B104&amp;"; "&amp;$K$53&amp;", "&amp;I$54,'FE Energie'!$G:$U,12,FALSE))),0,(VLOOKUP($B104&amp;"; "&amp;$K$53&amp;", "&amp;I$54,'FE Energie'!$G:$U,11,FALSE)+VLOOKUP($B104&amp;"; "&amp;$K$53&amp;", "&amp;I$54,'FE Energie'!$G:$U,12,FALSE)))
+$M104*IF(ISNA((VLOOKUP($B104&amp;"; "&amp;$N$53&amp;", "&amp;I$54,'FE Energie'!$G:$U,11,FALSE)+VLOOKUP($B104&amp;"; "&amp;$N$53&amp;", "&amp;I$54,'FE Energie'!$G:$U,12,FALSE))),0,(VLOOKUP($B104&amp;"; "&amp;$N$53&amp;", "&amp;I$54,'FE Energie'!$G:$U,11,FALSE)+VLOOKUP($B104&amp;"; "&amp;$N$53&amp;", "&amp;I$54,'FE Energie'!$G:$U,12,FALSE)))
+$P104*IF(ISNA((VLOOKUP($B104&amp;"; "&amp;$Q$53&amp;", "&amp;I$54,'FE Energie'!$G:$U,11,FALSE)+VLOOKUP($B104&amp;"; "&amp;$Q$53&amp;", "&amp;I$54,'FE Energie'!$G:$U,12,FALSE))),0,(VLOOKUP($B104&amp;"; "&amp;$Q$53&amp;", "&amp;I$54,'FE Energie'!$G:$U,11,FALSE)+VLOOKUP($B104&amp;"; "&amp;$Q$53&amp;", "&amp;I$54,'FE Energie'!$G:$U,12,FALSE)))</f>
        <v>0</v>
      </c>
      <c r="AM104" s="565"/>
      <c r="AN104" s="565">
        <f>$G104*IF(ISNA(VLOOKUP($B104&amp;"; "&amp;$H$53&amp;", "&amp;H$54,'FE Energie'!$G:$U,13,FALSE)),0,VLOOKUP($B104&amp;"; "&amp;$H$53&amp;", "&amp;H$54,'FE Energie'!$G:$U,13,FALSE))
+$J104*IF(ISNA(VLOOKUP($B104&amp;"; "&amp;$K$53&amp;", "&amp;H$54,'FE Energie'!$G:$U,13,FALSE)),0,VLOOKUP($B104&amp;"; "&amp;$K$53&amp;", "&amp;H$54,'FE Energie'!$G:$U,13,FALSE))
+$M104*IF(ISNA(VLOOKUP($B104&amp;"; "&amp;$N$53&amp;", "&amp;H$54,'FE Energie'!$G:$U,13,FALSE)),0,VLOOKUP($B104&amp;"; "&amp;$N$53&amp;", "&amp;H$54,'FE Energie'!$G:$U,13,FALSE))
+$P104*IF(ISNA(VLOOKUP($B104&amp;"; "&amp;$Q$53&amp;", "&amp;H$54,'FE Energie'!$G:$U,13,FALSE)),0,VLOOKUP($B104&amp;"; "&amp;$Q$53&amp;", "&amp;H$54,'FE Energie'!$G:$U,13,FALSE))</f>
        <v>0</v>
      </c>
      <c r="AO104" s="565">
        <f>$G104*IF(ISNA(VLOOKUP($B104&amp;"; "&amp;$H$53&amp;", "&amp;I$54,'FE Energie'!$G:$U,13,FALSE)),0,VLOOKUP($B104&amp;"; "&amp;$H$53&amp;", "&amp;I$54,'FE Energie'!$G:$U,13,FALSE))
+$J104*IF(ISNA(VLOOKUP($B104&amp;"; "&amp;$K$53&amp;", "&amp;I$54,'FE Energie'!$G:$U,13,FALSE)),0,VLOOKUP($B104&amp;"; "&amp;$K$53&amp;", "&amp;I$54,'FE Energie'!$G:$U,13,FALSE))
+$M104*IF(ISNA(VLOOKUP($B104&amp;"; "&amp;$N$53&amp;", "&amp;I$54,'FE Energie'!$G:$U,13,FALSE)),0,VLOOKUP($B104&amp;"; "&amp;$N$53&amp;", "&amp;I$54,'FE Energie'!$G:$U,13,FALSE))
+$P104*IF(ISNA(VLOOKUP($B104&amp;"; "&amp;$Q$53&amp;", "&amp;I$54,'FE Energie'!$G:$U,13,FALSE)),0,VLOOKUP($B104&amp;"; "&amp;$Q$53&amp;", "&amp;I$54,'FE Energie'!$G:$U,13,FALSE))</f>
        <v>0</v>
      </c>
      <c r="AP104" s="565"/>
      <c r="AQ104" s="565">
        <f>$G104*IF(ISNA(VLOOKUP($B104&amp;"; "&amp;$H$53&amp;", "&amp;H$54,'FE Energie'!$G:$U,14,FALSE)),0,VLOOKUP($B104&amp;"; "&amp;$H$53&amp;", "&amp;H$54,'FE Energie'!$G:$U,14,FALSE))
+$J104*IF(ISNA(VLOOKUP($B104&amp;"; "&amp;$K$53&amp;", "&amp;H$54,'FE Energie'!$G:$U,14,FALSE)),0,VLOOKUP($B104&amp;"; "&amp;$K$53&amp;", "&amp;H$54,'FE Energie'!$G:$U,14,FALSE))
+$M104*IF(ISNA(VLOOKUP($B104&amp;"; "&amp;$N$53&amp;", "&amp;H$54,'FE Energie'!$G:$U,14,FALSE)),0,VLOOKUP($B104&amp;"; "&amp;$N$53&amp;", "&amp;H$54,'FE Energie'!$G:$U,14,FALSE))
+$P104*IF(ISNA(VLOOKUP($B104&amp;"; "&amp;$Q$53&amp;", "&amp;H$54,'FE Energie'!$G:$U,14,FALSE)),0,VLOOKUP($B104&amp;"; "&amp;$Q$53&amp;", "&amp;H$54,'FE Energie'!$G:$U,14,FALSE))</f>
        <v>0</v>
      </c>
      <c r="AR104" s="565">
        <f>$G104*IF(ISNA(VLOOKUP($B104&amp;"; "&amp;$H$53&amp;", "&amp;I$54,'FE Energie'!$G:$U,14,FALSE)),0,VLOOKUP($B104&amp;"; "&amp;$H$53&amp;", "&amp;I$54,'FE Energie'!$G:$U,14,FALSE))
+$J104*IF(ISNA(VLOOKUP($B104&amp;"; "&amp;$K$53&amp;", "&amp;I$54,'FE Energie'!$G:$U,14,FALSE)),0,VLOOKUP($B104&amp;"; "&amp;$K$53&amp;", "&amp;I$54,'FE Energie'!$G:$U,14,FALSE))
+$M104*IF(ISNA(VLOOKUP($B104&amp;"; "&amp;$N$53&amp;", "&amp;I$54,'FE Energie'!$G:$U,14,FALSE)),0,VLOOKUP($B104&amp;"; "&amp;$N$53&amp;", "&amp;I$54,'FE Energie'!$G:$U,14,FALSE))
+$P104*IF(ISNA(VLOOKUP($B104&amp;"; "&amp;$Q$53&amp;", "&amp;I$54,'FE Energie'!$G:$U,14,FALSE)),0,VLOOKUP($B104&amp;"; "&amp;$Q$53&amp;", "&amp;I$54,'FE Energie'!$G:$U,14,FALSE))</f>
        <v>0</v>
      </c>
      <c r="AS104" s="565"/>
      <c r="AT104" s="566">
        <f>SUM(AH104,AK104,AN104,AQ104)</f>
        <v>0</v>
      </c>
      <c r="AU104" s="566">
        <f>SUM(AI104,AL104,AO104,AR104)</f>
        <v>0</v>
      </c>
      <c r="AV104" s="567"/>
      <c r="AW104" s="564">
        <f>$G104*IF(ISNA(VLOOKUP($B104&amp;"; "&amp;$H$53&amp;", "&amp;H$54,'FE Energie'!$G:$U,15,FALSE)),0,VLOOKUP($B104&amp;"; "&amp;$H$53&amp;", "&amp;H$54,'FE Energie'!$G:$U,15,FALSE))
+$J104*IF(ISNA(VLOOKUP($B104&amp;"; "&amp;$K$53&amp;", "&amp;H$54,'FE Energie'!$G:$U,15,FALSE)),0,VLOOKUP($B104&amp;"; "&amp;$K$53&amp;", "&amp;H$54,'FE Energie'!$G:$U,15,FALSE))
+$M104*IF(ISNA(VLOOKUP($B104&amp;"; "&amp;$N$53&amp;", "&amp;H$54,'FE Energie'!$G:$U,15,FALSE)),0,VLOOKUP($B104&amp;"; "&amp;$N$53&amp;", "&amp;H$54,'FE Energie'!$G:$U,15,FALSE))
+$P104*IF(ISNA(VLOOKUP($B104&amp;"; "&amp;$Q$53&amp;", "&amp;H$54,'FE Energie'!$G:$U,15,FALSE)),0,VLOOKUP($B104&amp;"; "&amp;$Q$53&amp;", "&amp;H$54,'FE Energie'!$G:$U,15,FALSE))</f>
        <v>0</v>
      </c>
      <c r="AX104" s="565">
        <f>$G104*IF(ISNA(VLOOKUP($B104&amp;"; "&amp;$H$53&amp;", "&amp;I$54,'FE Energie'!$G:$U,15,FALSE)),0,VLOOKUP($B104&amp;"; "&amp;$H$53&amp;", "&amp;I$54,'FE Energie'!$G:$U,15,FALSE))
+$J104*IF(ISNA(VLOOKUP($B104&amp;"; "&amp;$K$53&amp;", "&amp;I$54,'FE Energie'!$G:$U,15,FALSE)),0,VLOOKUP($B104&amp;"; "&amp;$K$53&amp;", "&amp;I$54,'FE Energie'!$G:$U,15,FALSE))
+$M104*IF(ISNA(VLOOKUP($B104&amp;"; "&amp;$N$53&amp;", "&amp;I$54,'FE Energie'!$G:$U,15,FALSE)),0,VLOOKUP($B104&amp;"; "&amp;$N$53&amp;", "&amp;I$54,'FE Energie'!$G:$U,15,FALSE))
+$P104*IF(ISNA(VLOOKUP($B104&amp;"; "&amp;$Q$53&amp;", "&amp;I$54,'FE Energie'!$G:$U,15,FALSE)),0,VLOOKUP($B104&amp;"; "&amp;$Q$53&amp;", "&amp;I$54,'FE Energie'!$G:$U,15,FALSE))</f>
        <v>0</v>
      </c>
      <c r="AY104" s="568"/>
      <c r="AZ104" s="2292"/>
      <c r="BA104" s="2292"/>
      <c r="BB104" s="2292"/>
      <c r="BC104" s="2292"/>
      <c r="BD104" s="2292"/>
      <c r="BE104" s="2292"/>
      <c r="BF104" s="2292"/>
      <c r="BH104" s="1065">
        <f>IF($Y104&lt;&gt;"votre valeur :",IF(ISNA(VLOOKUP($Y104,Utilitaires!$N$566:$O$571,2,FALSE)),,VLOOKUP($Y104,Utilitaires!$N$566:$O$571,2,FALSE)),$Z104)</f>
        <v>0</v>
      </c>
      <c r="BI104" s="1065">
        <f>IF($Y104&lt;&gt;"votre valeur :",IF(ISNA(VLOOKUP($Y104,Utilitaires!$N$566:$O$571,2,FALSE)),,VLOOKUP($Y104,Utilitaires!$N$566:$O$571,2,FALSE)),$Z104)</f>
        <v>0</v>
      </c>
      <c r="BJ104" s="1065">
        <f>IF($Y104&lt;&gt;"votre valeur :",IF(ISNA(VLOOKUP($Y104,Utilitaires!$N$566:$O$571,2,FALSE)),,VLOOKUP($Y104,Utilitaires!$N$566:$O$571,2,FALSE)),$Z104)</f>
        <v>0</v>
      </c>
      <c r="BK104" s="1065">
        <f>IF($Y104&lt;&gt;"votre valeur :",IF(ISNA(VLOOKUP($Y104,Utilitaires!$N$566:$O$571,2,FALSE)),,VLOOKUP($Y104,Utilitaires!$N$566:$O$571,2,FALSE)),$Z104)</f>
        <v>0</v>
      </c>
      <c r="BL104" s="1124">
        <f>IF(ISNA(SQRT(SUMSQ(VLOOKUP($B104&amp;"; "&amp;$H$53&amp;", "&amp;$H$54,'FE Energie'!$G:$U,7,FALSE),$BH104))),0,SQRT(SUMSQ(VLOOKUP($B104&amp;"; "&amp;$H$53&amp;", "&amp;$H$54,'FE Energie'!$G:$U,7,FALSE),$BH104)))</f>
        <v>0.05</v>
      </c>
      <c r="BM104" s="1068">
        <f>IF(ISNA(SQRT(SUMSQ(VLOOKUP($B104&amp;"; "&amp;$K$53&amp;", "&amp;$K$54,'FE Energie'!$G:$U,7,FALSE),$BI104))),0,SQRT(SUMSQ(VLOOKUP($B104&amp;"; "&amp;$K$53&amp;", "&amp;$K$54,'FE Energie'!$G:$U,7,FALSE),$BI104)))</f>
        <v>0</v>
      </c>
      <c r="BN104" s="1068">
        <f>IF(ISNA(SQRT(SUMSQ(VLOOKUP($B104&amp;"; "&amp;$N$53&amp;", "&amp;$N$54,'FE Energie'!$G:$U,7,FALSE),$BJ104))),0,SQRT(SUMSQ(VLOOKUP($B104&amp;"; "&amp;$N$53&amp;", "&amp;$N$54,'FE Energie'!$G:$U,7,FALSE),$BJ104)))</f>
        <v>0</v>
      </c>
      <c r="BO104" s="1068">
        <f>IF(ISNA(SQRT(SUMSQ(VLOOKUP($B104&amp;"; "&amp;$Q$53&amp;", "&amp;$Q$54,'FE Energie'!$G:$U,7,FALSE),$BK104))),0,SQRT(SUMSQ(VLOOKUP($B104&amp;"; "&amp;$Q$53&amp;", "&amp;$Q$54,'FE Energie'!$G:$U,7,FALSE),$BK104)))</f>
        <v>0</v>
      </c>
      <c r="BP104" s="1069">
        <f>IF(ISNA(SQRT(SUMSQ(VLOOKUP($B104&amp;"; "&amp;$H$53&amp;", "&amp;$I$54,'FE Energie'!$G:$U,7,FALSE),$BH104))),0,SQRT(SUMSQ(VLOOKUP($B104&amp;"; "&amp;$H$53&amp;", "&amp;$I$54,'FE Energie'!$G:$U,7,FALSE),$BH104)))</f>
        <v>0.05</v>
      </c>
      <c r="BQ104" s="1070">
        <f>IF(ISNA(SQRT(SUMSQ(VLOOKUP($B104&amp;"; "&amp;$K$53&amp;", "&amp;$L$54,'FE Energie'!$G:$U,7,FALSE),$BI104))),0,SQRT(SUMSQ(VLOOKUP($B104&amp;"; "&amp;$K$53&amp;", "&amp;$L$54,'FE Energie'!$G:$U,7,FALSE),$BI104)))</f>
        <v>0</v>
      </c>
      <c r="BR104" s="1070">
        <f>IF(ISNA(SQRT(SUMSQ(VLOOKUP($B104&amp;"; "&amp;$N$53&amp;", "&amp;$O$54,'FE Energie'!$G:$U,7,FALSE),$BJ104))),0,SQRT(SUMSQ(VLOOKUP($B104&amp;"; "&amp;$N$53&amp;", "&amp;$O$54,'FE Energie'!$G:$U,7,FALSE),$BJ104)))</f>
        <v>0</v>
      </c>
      <c r="BS104" s="1071">
        <f>IF(ISNA(SQRT(SUMSQ(VLOOKUP($B104&amp;"; "&amp;$Q$53&amp;", "&amp;$R$54,'FE Energie'!$G:$U,7,FALSE),$BK104))),0,SQRT(SUMSQ(VLOOKUP($B104&amp;"; "&amp;$Q$53&amp;", "&amp;$R$54,'FE Energie'!$G:$U,7,FALSE),$BK104)))</f>
        <v>0</v>
      </c>
    </row>
    <row r="105" spans="1:71" ht="12.75" hidden="1" customHeight="1" outlineLevel="2">
      <c r="B105" s="154"/>
      <c r="C105" s="155"/>
      <c r="D105" s="221"/>
      <c r="E105" s="221"/>
      <c r="F105" s="155"/>
      <c r="G105" s="360"/>
      <c r="H105" s="360"/>
      <c r="I105" s="360"/>
      <c r="J105" s="360"/>
      <c r="K105" s="360"/>
      <c r="L105" s="360"/>
      <c r="M105" s="360"/>
      <c r="N105" s="360"/>
      <c r="O105" s="360"/>
      <c r="P105" s="360"/>
      <c r="Q105" s="360"/>
      <c r="R105" s="361"/>
      <c r="S105" s="354"/>
      <c r="T105" s="354"/>
      <c r="U105" s="1776"/>
      <c r="X105" s="366"/>
      <c r="Y105" s="169"/>
      <c r="Z105" s="169"/>
      <c r="AA105" s="169"/>
      <c r="AB105" s="169"/>
      <c r="AC105" s="169"/>
      <c r="AD105" s="169"/>
      <c r="AE105" s="367"/>
      <c r="AF105" s="1286"/>
      <c r="AH105" s="564"/>
      <c r="AI105" s="565"/>
      <c r="AJ105" s="565"/>
      <c r="AK105" s="565"/>
      <c r="AL105" s="565"/>
      <c r="AM105" s="565"/>
      <c r="AN105" s="565"/>
      <c r="AO105" s="565"/>
      <c r="AP105" s="565"/>
      <c r="AQ105" s="565"/>
      <c r="AR105" s="565"/>
      <c r="AS105" s="565"/>
      <c r="AT105" s="566"/>
      <c r="AU105" s="566"/>
      <c r="AV105" s="567"/>
      <c r="AW105" s="569"/>
      <c r="AX105" s="625"/>
      <c r="AY105" s="570"/>
      <c r="AZ105" s="2292"/>
      <c r="BA105" s="2292"/>
      <c r="BB105" s="2292"/>
      <c r="BC105" s="2292"/>
      <c r="BD105" s="2292"/>
      <c r="BE105" s="2292"/>
      <c r="BF105" s="2292"/>
      <c r="BH105" s="1087"/>
      <c r="BI105" s="1075"/>
      <c r="BJ105" s="1131"/>
      <c r="BK105" s="1126"/>
      <c r="BL105" s="1075"/>
      <c r="BM105" s="1076"/>
      <c r="BN105" s="1073"/>
      <c r="BO105" s="1076"/>
      <c r="BP105" s="1126"/>
      <c r="BQ105" s="1076"/>
      <c r="BR105" s="1076"/>
      <c r="BS105" s="1074"/>
    </row>
    <row r="106" spans="1:71" ht="12.75" hidden="1" customHeight="1" outlineLevel="2">
      <c r="B106" s="196" t="s">
        <v>348</v>
      </c>
      <c r="C106" s="197"/>
      <c r="D106" s="214">
        <f>SUM(D103:D105)</f>
        <v>0</v>
      </c>
      <c r="E106" s="214"/>
      <c r="F106" s="198"/>
      <c r="G106" s="199"/>
      <c r="H106" s="199"/>
      <c r="I106" s="199"/>
      <c r="J106" s="199"/>
      <c r="K106" s="199"/>
      <c r="L106" s="199"/>
      <c r="M106" s="199"/>
      <c r="N106" s="199"/>
      <c r="O106" s="199"/>
      <c r="P106" s="199"/>
      <c r="Q106" s="199"/>
      <c r="R106" s="199"/>
      <c r="S106" s="202">
        <f>SUM(S103:S105)</f>
        <v>0</v>
      </c>
      <c r="T106" s="202">
        <f>SUM(T103:T105)</f>
        <v>0</v>
      </c>
      <c r="U106" s="1349">
        <f>SUM(U103:U105)</f>
        <v>0</v>
      </c>
      <c r="X106" s="1204">
        <f>IF(AE106=0,AE106,AE106/D106)</f>
        <v>0</v>
      </c>
      <c r="Y106" s="350"/>
      <c r="Z106" s="203">
        <f>SQRT(SUMSQ(Z103:Z105))</f>
        <v>0</v>
      </c>
      <c r="AA106" s="203">
        <f>SQRT(SUMSQ(AA103:AA105))</f>
        <v>0</v>
      </c>
      <c r="AB106" s="203">
        <f>SQRT(SUMSQ(AB103:AB105))</f>
        <v>0</v>
      </c>
      <c r="AC106" s="203"/>
      <c r="AD106" s="203"/>
      <c r="AE106" s="200">
        <f>SQRT(SUMSQ(AE103:AE105))</f>
        <v>0</v>
      </c>
      <c r="AF106" s="1311"/>
      <c r="AH106" s="571">
        <f>SUM(AH103:AH105)</f>
        <v>0</v>
      </c>
      <c r="AI106" s="572">
        <f>SUM(AI103:AI105)</f>
        <v>0</v>
      </c>
      <c r="AJ106" s="572"/>
      <c r="AK106" s="572">
        <f>SUM(AK103:AK105)</f>
        <v>0</v>
      </c>
      <c r="AL106" s="572">
        <f>SUM(AL103:AL105)</f>
        <v>0</v>
      </c>
      <c r="AM106" s="572"/>
      <c r="AN106" s="572">
        <f>SUM(AN103:AN105)</f>
        <v>0</v>
      </c>
      <c r="AO106" s="572">
        <f>SUM(AO103:AO105)</f>
        <v>0</v>
      </c>
      <c r="AP106" s="572"/>
      <c r="AQ106" s="572">
        <f>SUM(AQ103:AQ105)</f>
        <v>0</v>
      </c>
      <c r="AR106" s="572">
        <f>SUM(AR103:AR105)</f>
        <v>0</v>
      </c>
      <c r="AS106" s="572"/>
      <c r="AT106" s="573">
        <f>SUM(AT104:AT105)</f>
        <v>0</v>
      </c>
      <c r="AU106" s="573">
        <f>SUM(AU104:AU105)</f>
        <v>0</v>
      </c>
      <c r="AV106" s="574"/>
      <c r="AW106" s="1082">
        <f>SUM(AW103:AW105)</f>
        <v>0</v>
      </c>
      <c r="AX106" s="572">
        <f>SUM(AX103:AX105)</f>
        <v>0</v>
      </c>
      <c r="AY106" s="575"/>
      <c r="AZ106" s="2292"/>
      <c r="BA106" s="2292"/>
      <c r="BB106" s="2292"/>
      <c r="BC106" s="2292"/>
      <c r="BD106" s="2292"/>
      <c r="BE106" s="2292"/>
      <c r="BF106" s="2292"/>
    </row>
    <row r="107" spans="1:71" ht="12.75" hidden="1" customHeight="1" outlineLevel="2">
      <c r="AZ107" s="444"/>
      <c r="BA107" s="444"/>
      <c r="BB107" s="444"/>
      <c r="BC107" s="444"/>
      <c r="BD107" s="444"/>
      <c r="BE107" s="444"/>
      <c r="BF107" s="444"/>
    </row>
    <row r="108" spans="1:71" ht="12.75" hidden="1" customHeight="1" outlineLevel="2">
      <c r="B108" s="1091" t="s">
        <v>3672</v>
      </c>
      <c r="C108" s="140"/>
      <c r="D108" s="140"/>
      <c r="E108" s="140"/>
      <c r="F108" s="140"/>
      <c r="G108" s="140"/>
      <c r="H108" s="140"/>
      <c r="I108" s="179"/>
      <c r="T108" s="116"/>
      <c r="U108" s="116"/>
      <c r="V108" s="116"/>
      <c r="W108" s="116"/>
      <c r="X108" s="2636" t="s">
        <v>366</v>
      </c>
      <c r="Y108" s="2637"/>
      <c r="Z108" s="2637"/>
      <c r="AA108" s="2637"/>
      <c r="AB108" s="2637"/>
      <c r="AC108" s="2637"/>
      <c r="AD108" s="2637"/>
      <c r="AE108" s="2638"/>
      <c r="AF108" s="116"/>
      <c r="AH108" s="2639" t="s">
        <v>441</v>
      </c>
      <c r="AI108" s="2640"/>
      <c r="AJ108" s="2640"/>
      <c r="AK108" s="2640"/>
      <c r="AL108" s="2640"/>
      <c r="AM108" s="2640"/>
      <c r="AN108" s="2640"/>
      <c r="AO108" s="2640"/>
      <c r="AP108" s="2640"/>
      <c r="AQ108" s="2640"/>
      <c r="AR108" s="2640"/>
      <c r="AS108" s="2640"/>
      <c r="AT108" s="2640"/>
      <c r="AU108" s="2640"/>
      <c r="AV108" s="2640"/>
      <c r="AW108" s="2640"/>
      <c r="AX108" s="2640"/>
      <c r="AY108" s="2641"/>
      <c r="AZ108" s="2448"/>
      <c r="BA108" s="2448"/>
      <c r="BB108" s="2448"/>
      <c r="BC108" s="2448"/>
      <c r="BD108" s="2448"/>
      <c r="BE108" s="2448"/>
      <c r="BF108" s="2448"/>
    </row>
    <row r="109" spans="1:71" ht="12.75" hidden="1" customHeight="1" outlineLevel="2">
      <c r="B109" s="143"/>
      <c r="C109" s="144"/>
      <c r="D109" s="1334" t="s">
        <v>308</v>
      </c>
      <c r="E109" s="1663"/>
      <c r="F109" s="144"/>
      <c r="G109" s="144"/>
      <c r="H109" s="1317"/>
      <c r="I109" s="1337" t="s">
        <v>444</v>
      </c>
      <c r="T109" s="116"/>
      <c r="U109" s="116"/>
      <c r="X109" s="1316"/>
      <c r="Y109" s="1317"/>
      <c r="Z109" s="1317"/>
      <c r="AA109" s="1334"/>
      <c r="AB109" s="1334"/>
      <c r="AC109" s="2423"/>
      <c r="AD109" s="1334"/>
      <c r="AE109" s="1337" t="s">
        <v>444</v>
      </c>
      <c r="AG109" s="109"/>
      <c r="AH109" s="2642" t="s">
        <v>444</v>
      </c>
      <c r="AI109" s="2643"/>
      <c r="AJ109" s="2643"/>
      <c r="AK109" s="2643"/>
      <c r="AL109" s="2643"/>
      <c r="AM109" s="2643"/>
      <c r="AN109" s="2643"/>
      <c r="AO109" s="2643"/>
      <c r="AP109" s="2643"/>
      <c r="AQ109" s="2643"/>
      <c r="AR109" s="2643"/>
      <c r="AS109" s="2643"/>
      <c r="AT109" s="2643" t="s">
        <v>444</v>
      </c>
      <c r="AU109" s="2643"/>
      <c r="AV109" s="628"/>
      <c r="AW109" s="624"/>
      <c r="AX109" s="624"/>
      <c r="AY109" s="1291"/>
      <c r="AZ109" s="2449"/>
      <c r="BA109" s="2449"/>
      <c r="BB109" s="2449"/>
      <c r="BC109" s="2449"/>
      <c r="BD109" s="2449"/>
      <c r="BE109" s="2449"/>
      <c r="BF109" s="2449"/>
      <c r="BH109" s="2616" t="s">
        <v>1648</v>
      </c>
      <c r="BI109" s="2618"/>
    </row>
    <row r="110" spans="1:71" ht="12.75" hidden="1" customHeight="1" outlineLevel="2">
      <c r="B110" s="1316"/>
      <c r="C110" s="1317"/>
      <c r="D110" s="1317" t="s">
        <v>409</v>
      </c>
      <c r="E110" s="1656"/>
      <c r="F110" s="1320" t="s">
        <v>452</v>
      </c>
      <c r="G110" s="1320" t="s">
        <v>3670</v>
      </c>
      <c r="H110" s="1006"/>
      <c r="I110" s="220" t="s">
        <v>880</v>
      </c>
      <c r="T110" s="116"/>
      <c r="U110" s="116"/>
      <c r="V110" s="109"/>
      <c r="W110" s="109"/>
      <c r="X110" s="1316" t="s">
        <v>316</v>
      </c>
      <c r="Y110" s="2629" t="s">
        <v>316</v>
      </c>
      <c r="Z110" s="2630"/>
      <c r="AA110" s="1317"/>
      <c r="AB110" s="1317"/>
      <c r="AC110" s="2419"/>
      <c r="AD110" s="1317"/>
      <c r="AE110" s="220" t="s">
        <v>880</v>
      </c>
      <c r="AF110" s="109"/>
      <c r="AG110" s="109"/>
      <c r="AH110" s="2631" t="s">
        <v>211</v>
      </c>
      <c r="AI110" s="2632"/>
      <c r="AJ110" s="2632"/>
      <c r="AK110" s="2632" t="s">
        <v>442</v>
      </c>
      <c r="AL110" s="2632"/>
      <c r="AM110" s="2632"/>
      <c r="AN110" s="2632" t="s">
        <v>267</v>
      </c>
      <c r="AO110" s="2632"/>
      <c r="AP110" s="2632"/>
      <c r="AQ110" s="2632" t="s">
        <v>443</v>
      </c>
      <c r="AR110" s="2632"/>
      <c r="AS110" s="2632"/>
      <c r="AT110" s="2648" t="s">
        <v>327</v>
      </c>
      <c r="AU110" s="2648"/>
      <c r="AV110" s="568"/>
      <c r="AW110" s="2631" t="s">
        <v>636</v>
      </c>
      <c r="AX110" s="2632"/>
      <c r="AY110" s="568"/>
      <c r="AZ110" s="2292"/>
      <c r="BA110" s="2292"/>
      <c r="BB110" s="2292"/>
      <c r="BC110" s="2292"/>
      <c r="BD110" s="2292"/>
      <c r="BE110" s="2292"/>
      <c r="BF110" s="2292"/>
      <c r="BH110" s="2837" t="s">
        <v>1646</v>
      </c>
      <c r="BI110" s="1141"/>
    </row>
    <row r="111" spans="1:71" ht="12.75" hidden="1" customHeight="1" outlineLevel="2">
      <c r="B111" s="1316"/>
      <c r="C111" s="1317"/>
      <c r="D111" s="1317" t="s">
        <v>444</v>
      </c>
      <c r="E111" s="1656"/>
      <c r="F111" s="1321" t="s">
        <v>445</v>
      </c>
      <c r="G111" s="1321" t="s">
        <v>881</v>
      </c>
      <c r="H111" s="1007"/>
      <c r="I111" s="220" t="s">
        <v>257</v>
      </c>
      <c r="T111" s="116"/>
      <c r="U111" s="116"/>
      <c r="V111" s="109"/>
      <c r="W111" s="109"/>
      <c r="X111" s="1316" t="s">
        <v>1649</v>
      </c>
      <c r="Y111" s="2646" t="s">
        <v>1650</v>
      </c>
      <c r="Z111" s="2647"/>
      <c r="AA111" s="1322"/>
      <c r="AB111" s="1322"/>
      <c r="AC111" s="1662"/>
      <c r="AD111" s="1322"/>
      <c r="AE111" s="220" t="s">
        <v>257</v>
      </c>
      <c r="AF111" s="109"/>
      <c r="AH111" s="1331"/>
      <c r="AI111" s="1332"/>
      <c r="AJ111" s="1332"/>
      <c r="AK111" s="1332"/>
      <c r="AL111" s="1332"/>
      <c r="AM111" s="1332"/>
      <c r="AN111" s="1332"/>
      <c r="AO111" s="1332"/>
      <c r="AP111" s="1332"/>
      <c r="AQ111" s="1332"/>
      <c r="AR111" s="1332"/>
      <c r="AS111" s="1332"/>
      <c r="AT111" s="581"/>
      <c r="AU111" s="581"/>
      <c r="AV111" s="582"/>
      <c r="AW111" s="1332"/>
      <c r="AX111" s="1332"/>
      <c r="AY111" s="1333"/>
      <c r="AZ111" s="2449"/>
      <c r="BA111" s="2449"/>
      <c r="BB111" s="2449"/>
      <c r="BC111" s="2449"/>
      <c r="BD111" s="2449"/>
      <c r="BE111" s="2449"/>
      <c r="BF111" s="2449"/>
      <c r="BH111" s="2838"/>
      <c r="BI111" s="1326"/>
    </row>
    <row r="112" spans="1:71" ht="12.75" hidden="1" customHeight="1" outlineLevel="2">
      <c r="B112" s="143" t="s">
        <v>3669</v>
      </c>
      <c r="C112" s="144"/>
      <c r="D112" s="212">
        <f>I112</f>
        <v>0</v>
      </c>
      <c r="E112" s="212"/>
      <c r="F112" s="117"/>
      <c r="G112" s="117"/>
      <c r="H112" s="225"/>
      <c r="I112" s="152">
        <f>G112</f>
        <v>0</v>
      </c>
      <c r="T112" s="116"/>
      <c r="U112" s="116"/>
      <c r="X112" s="1092">
        <f>IF(AE112=0,AE112,AE112/D112)</f>
        <v>0</v>
      </c>
      <c r="Y112" s="343"/>
      <c r="Z112" s="820"/>
      <c r="AA112" s="164"/>
      <c r="AB112" s="164"/>
      <c r="AC112" s="164"/>
      <c r="AD112" s="164"/>
      <c r="AE112" s="152">
        <f>I112*BI112</f>
        <v>0</v>
      </c>
      <c r="AH112" s="564">
        <f>D112</f>
        <v>0</v>
      </c>
      <c r="AI112" s="565"/>
      <c r="AJ112" s="565"/>
      <c r="AK112" s="565"/>
      <c r="AL112" s="565"/>
      <c r="AM112" s="565"/>
      <c r="AN112" s="565"/>
      <c r="AO112" s="565"/>
      <c r="AP112" s="565"/>
      <c r="AQ112" s="565"/>
      <c r="AR112" s="565"/>
      <c r="AS112" s="565"/>
      <c r="AT112" s="566">
        <f>SUM(AH112:AQ112)</f>
        <v>0</v>
      </c>
      <c r="AU112" s="566"/>
      <c r="AV112" s="567"/>
      <c r="AW112" s="565"/>
      <c r="AX112" s="565"/>
      <c r="AY112" s="568"/>
      <c r="AZ112" s="2292"/>
      <c r="BA112" s="2292"/>
      <c r="BB112" s="2292"/>
      <c r="BC112" s="2292"/>
      <c r="BD112" s="2292"/>
      <c r="BE112" s="2292"/>
      <c r="BF112" s="2292"/>
      <c r="BH112" s="1065">
        <f>IF($Y112&lt;&gt;"votre valeur :",IF(ISNA(VLOOKUP($Y112,Utilitaires!$N$566:$O$571,2,FALSE)),,VLOOKUP($Y112,Utilitaires!$N$566:$O$571,2,FALSE)),$Z112)</f>
        <v>0</v>
      </c>
      <c r="BI112" s="1130">
        <f>SQRT(SUMSQ(0,BH112))</f>
        <v>0</v>
      </c>
    </row>
    <row r="113" spans="1:63" ht="12.75" hidden="1" customHeight="1" outlineLevel="2">
      <c r="B113" s="143" t="s">
        <v>3669</v>
      </c>
      <c r="C113" s="144"/>
      <c r="D113" s="212">
        <f>I113</f>
        <v>0</v>
      </c>
      <c r="E113" s="212"/>
      <c r="F113" s="120"/>
      <c r="G113" s="120"/>
      <c r="H113" s="225"/>
      <c r="I113" s="152">
        <f t="shared" ref="I113:I114" si="32">G113</f>
        <v>0</v>
      </c>
      <c r="T113" s="116"/>
      <c r="U113" s="116"/>
      <c r="X113" s="1092">
        <f>IF(AE113=0,AE113,AE113/D113)</f>
        <v>0</v>
      </c>
      <c r="Y113" s="343"/>
      <c r="Z113" s="820"/>
      <c r="AA113" s="164"/>
      <c r="AB113" s="164"/>
      <c r="AC113" s="164"/>
      <c r="AD113" s="164"/>
      <c r="AE113" s="152">
        <f>I113*BI113</f>
        <v>0</v>
      </c>
      <c r="AH113" s="564">
        <f>D113</f>
        <v>0</v>
      </c>
      <c r="AI113" s="565"/>
      <c r="AJ113" s="565"/>
      <c r="AK113" s="565"/>
      <c r="AL113" s="565"/>
      <c r="AM113" s="565"/>
      <c r="AN113" s="565"/>
      <c r="AO113" s="565"/>
      <c r="AP113" s="565"/>
      <c r="AQ113" s="565"/>
      <c r="AR113" s="565"/>
      <c r="AS113" s="565"/>
      <c r="AT113" s="566">
        <f>SUM(AH113:AQ113)</f>
        <v>0</v>
      </c>
      <c r="AU113" s="566"/>
      <c r="AV113" s="567"/>
      <c r="AW113" s="565"/>
      <c r="AX113" s="565"/>
      <c r="AY113" s="568"/>
      <c r="AZ113" s="2292"/>
      <c r="BA113" s="2292"/>
      <c r="BB113" s="2292"/>
      <c r="BC113" s="2292"/>
      <c r="BD113" s="2292"/>
      <c r="BE113" s="2292"/>
      <c r="BF113" s="2292"/>
      <c r="BH113" s="1065">
        <f>IF($Y113&lt;&gt;"votre valeur :",IF(ISNA(VLOOKUP($Y113,Utilitaires!$N$566:$O$571,2,FALSE)),,VLOOKUP($Y113,Utilitaires!$N$566:$O$571,2,FALSE)),$Z113)</f>
        <v>0</v>
      </c>
      <c r="BI113" s="1130">
        <f>SQRT(SUMSQ(0,BH113))</f>
        <v>0</v>
      </c>
    </row>
    <row r="114" spans="1:63" ht="12.75" hidden="1" customHeight="1" outlineLevel="2">
      <c r="B114" s="143" t="s">
        <v>3669</v>
      </c>
      <c r="C114" s="144"/>
      <c r="D114" s="212">
        <f>I114</f>
        <v>0</v>
      </c>
      <c r="E114" s="212"/>
      <c r="F114" s="123"/>
      <c r="G114" s="123"/>
      <c r="H114" s="225"/>
      <c r="I114" s="152">
        <f t="shared" si="32"/>
        <v>0</v>
      </c>
      <c r="T114" s="116"/>
      <c r="U114" s="116"/>
      <c r="X114" s="1092">
        <f>IF(AE114=0,AE114,AE114/D114)</f>
        <v>0</v>
      </c>
      <c r="Y114" s="1094"/>
      <c r="Z114" s="820"/>
      <c r="AA114" s="164"/>
      <c r="AB114" s="164"/>
      <c r="AC114" s="164"/>
      <c r="AD114" s="164"/>
      <c r="AE114" s="152">
        <f>I114*BI114</f>
        <v>0</v>
      </c>
      <c r="AH114" s="564">
        <f>D114</f>
        <v>0</v>
      </c>
      <c r="AI114" s="565"/>
      <c r="AJ114" s="565"/>
      <c r="AK114" s="565"/>
      <c r="AL114" s="565"/>
      <c r="AM114" s="565"/>
      <c r="AN114" s="565"/>
      <c r="AO114" s="565"/>
      <c r="AP114" s="565"/>
      <c r="AQ114" s="565"/>
      <c r="AR114" s="565"/>
      <c r="AS114" s="565"/>
      <c r="AT114" s="566">
        <f>SUM(AH114:AQ114)</f>
        <v>0</v>
      </c>
      <c r="AU114" s="566"/>
      <c r="AV114" s="567"/>
      <c r="AW114" s="565"/>
      <c r="AX114" s="565"/>
      <c r="AY114" s="568"/>
      <c r="AZ114" s="2292"/>
      <c r="BA114" s="2292"/>
      <c r="BB114" s="2292"/>
      <c r="BC114" s="2292"/>
      <c r="BD114" s="2292"/>
      <c r="BE114" s="2292"/>
      <c r="BF114" s="2292"/>
      <c r="BH114" s="1065">
        <f>IF($Y114&lt;&gt;"votre valeur :",IF(ISNA(VLOOKUP($Y114,Utilitaires!$N$566:$O$571,2,FALSE)),,VLOOKUP($Y114,Utilitaires!$N$566:$O$571,2,FALSE)),$Z114)</f>
        <v>0</v>
      </c>
      <c r="BI114" s="1130">
        <f>SQRT(SUMSQ(0,BH114))</f>
        <v>0</v>
      </c>
    </row>
    <row r="115" spans="1:63" ht="12.75" hidden="1" customHeight="1" outlineLevel="2">
      <c r="B115" s="154"/>
      <c r="C115" s="155"/>
      <c r="D115" s="221"/>
      <c r="E115" s="221"/>
      <c r="F115" s="155"/>
      <c r="G115" s="155"/>
      <c r="H115" s="155"/>
      <c r="I115" s="156"/>
      <c r="T115" s="116"/>
      <c r="U115" s="116"/>
      <c r="X115" s="1092"/>
      <c r="Y115" s="155"/>
      <c r="Z115" s="169"/>
      <c r="AA115" s="155"/>
      <c r="AB115" s="155"/>
      <c r="AC115" s="155"/>
      <c r="AD115" s="155"/>
      <c r="AE115" s="165"/>
      <c r="AH115" s="569"/>
      <c r="AI115" s="625"/>
      <c r="AJ115" s="625"/>
      <c r="AK115" s="625"/>
      <c r="AL115" s="625"/>
      <c r="AM115" s="625"/>
      <c r="AN115" s="625"/>
      <c r="AO115" s="625"/>
      <c r="AP115" s="625"/>
      <c r="AQ115" s="625"/>
      <c r="AR115" s="625"/>
      <c r="AS115" s="625"/>
      <c r="AT115" s="1313"/>
      <c r="AU115" s="1313"/>
      <c r="AV115" s="1314"/>
      <c r="AW115" s="565"/>
      <c r="AX115" s="565"/>
      <c r="AY115" s="568"/>
      <c r="AZ115" s="2292"/>
      <c r="BA115" s="2292"/>
      <c r="BB115" s="2292"/>
      <c r="BC115" s="2292"/>
      <c r="BD115" s="2292"/>
      <c r="BE115" s="2292"/>
      <c r="BF115" s="2292"/>
      <c r="BH115" s="1087"/>
      <c r="BI115" s="1153"/>
    </row>
    <row r="116" spans="1:63" ht="12.75" hidden="1" customHeight="1" outlineLevel="2">
      <c r="B116" s="196" t="s">
        <v>348</v>
      </c>
      <c r="C116" s="197"/>
      <c r="D116" s="214">
        <f>SUM(D112:D115)</f>
        <v>0</v>
      </c>
      <c r="E116" s="214"/>
      <c r="F116" s="198"/>
      <c r="G116" s="199"/>
      <c r="H116" s="199"/>
      <c r="I116" s="200">
        <f>SUM(I112:I115)</f>
        <v>0</v>
      </c>
      <c r="T116" s="116"/>
      <c r="U116" s="116"/>
      <c r="X116" s="1204">
        <f>IF(AE116=0,AE116,AE116/D116)</f>
        <v>0</v>
      </c>
      <c r="Y116" s="199"/>
      <c r="Z116" s="199"/>
      <c r="AA116" s="203"/>
      <c r="AB116" s="203"/>
      <c r="AC116" s="203"/>
      <c r="AD116" s="203"/>
      <c r="AE116" s="200">
        <f>SQRT(SUMSQ(AE112:AE115))</f>
        <v>0</v>
      </c>
      <c r="AH116" s="1308">
        <f>SUM(AH112:AH115)</f>
        <v>0</v>
      </c>
      <c r="AI116" s="1309"/>
      <c r="AJ116" s="1309"/>
      <c r="AK116" s="1309">
        <f>SUM(AK112:AK115)</f>
        <v>0</v>
      </c>
      <c r="AL116" s="1309"/>
      <c r="AM116" s="1309"/>
      <c r="AN116" s="1309">
        <f>SUM(AN112:AN115)</f>
        <v>0</v>
      </c>
      <c r="AO116" s="1309"/>
      <c r="AP116" s="1309"/>
      <c r="AQ116" s="1309">
        <f>SUM(AQ112:AQ115)</f>
        <v>0</v>
      </c>
      <c r="AR116" s="572"/>
      <c r="AS116" s="572"/>
      <c r="AT116" s="573">
        <f>SUM(AT112:AT115)</f>
        <v>0</v>
      </c>
      <c r="AU116" s="1312"/>
      <c r="AV116" s="1312"/>
      <c r="AW116" s="1082">
        <f>SUM(AW112:AW115)</f>
        <v>0</v>
      </c>
      <c r="AX116" s="572"/>
      <c r="AY116" s="575"/>
      <c r="AZ116" s="2292"/>
      <c r="BA116" s="2292"/>
      <c r="BB116" s="2292"/>
      <c r="BC116" s="2292"/>
      <c r="BD116" s="2292"/>
      <c r="BE116" s="2292"/>
      <c r="BF116" s="2292"/>
    </row>
    <row r="117" spans="1:63" ht="12.75" hidden="1" customHeight="1" outlineLevel="2">
      <c r="AZ117" s="444"/>
      <c r="BA117" s="444"/>
      <c r="BB117" s="444"/>
      <c r="BC117" s="444"/>
      <c r="BD117" s="444"/>
      <c r="BE117" s="444"/>
      <c r="BF117" s="444"/>
    </row>
    <row r="118" spans="1:63" ht="12.75" hidden="1" customHeight="1" outlineLevel="2">
      <c r="B118" s="139" t="s">
        <v>2334</v>
      </c>
      <c r="C118" s="140"/>
      <c r="D118" s="140"/>
      <c r="E118" s="140"/>
      <c r="F118" s="140"/>
      <c r="G118" s="141"/>
      <c r="H118" s="141"/>
      <c r="I118" s="140"/>
      <c r="J118" s="140"/>
      <c r="K118" s="140"/>
      <c r="L118" s="140"/>
      <c r="M118" s="142"/>
      <c r="X118" s="2636" t="s">
        <v>366</v>
      </c>
      <c r="Y118" s="2637"/>
      <c r="Z118" s="2637"/>
      <c r="AA118" s="2637"/>
      <c r="AB118" s="2637"/>
      <c r="AC118" s="2637"/>
      <c r="AD118" s="2637"/>
      <c r="AE118" s="2638"/>
      <c r="AH118" s="2639" t="s">
        <v>441</v>
      </c>
      <c r="AI118" s="2640"/>
      <c r="AJ118" s="2640"/>
      <c r="AK118" s="2640"/>
      <c r="AL118" s="2640"/>
      <c r="AM118" s="2640"/>
      <c r="AN118" s="2640"/>
      <c r="AO118" s="2640"/>
      <c r="AP118" s="2640"/>
      <c r="AQ118" s="2640"/>
      <c r="AR118" s="2640"/>
      <c r="AS118" s="2640"/>
      <c r="AT118" s="2640"/>
      <c r="AU118" s="2640"/>
      <c r="AV118" s="2640"/>
      <c r="AW118" s="2640"/>
      <c r="AX118" s="2640"/>
      <c r="AY118" s="2641"/>
      <c r="AZ118" s="2448"/>
      <c r="BA118" s="2448"/>
      <c r="BB118" s="2448"/>
      <c r="BC118" s="2448"/>
      <c r="BD118" s="2448"/>
      <c r="BE118" s="2448"/>
      <c r="BF118" s="2448"/>
    </row>
    <row r="119" spans="1:63" ht="12.75" hidden="1" customHeight="1" outlineLevel="2">
      <c r="B119" s="332"/>
      <c r="C119" s="167"/>
      <c r="D119" s="291" t="s">
        <v>308</v>
      </c>
      <c r="E119" s="1663"/>
      <c r="F119" s="144"/>
      <c r="G119" s="144"/>
      <c r="H119" s="144"/>
      <c r="I119" s="2213"/>
      <c r="J119" s="2441"/>
      <c r="K119" s="2441"/>
      <c r="L119" s="2225"/>
      <c r="M119" s="145"/>
      <c r="X119" s="1316"/>
      <c r="Y119" s="1317"/>
      <c r="Z119" s="1317"/>
      <c r="AA119" s="1334"/>
      <c r="AB119" s="1334"/>
      <c r="AC119" s="2423"/>
      <c r="AD119" s="1334"/>
      <c r="AE119" s="145"/>
      <c r="AH119" s="2642" t="s">
        <v>444</v>
      </c>
      <c r="AI119" s="2643"/>
      <c r="AJ119" s="2643"/>
      <c r="AK119" s="2643"/>
      <c r="AL119" s="2643"/>
      <c r="AM119" s="2643"/>
      <c r="AN119" s="2643"/>
      <c r="AO119" s="2643"/>
      <c r="AP119" s="2643"/>
      <c r="AQ119" s="2643"/>
      <c r="AR119" s="2643"/>
      <c r="AS119" s="2643"/>
      <c r="AT119" s="2643" t="s">
        <v>444</v>
      </c>
      <c r="AU119" s="2643"/>
      <c r="AV119" s="2644"/>
      <c r="AW119" s="624"/>
      <c r="AX119" s="624"/>
      <c r="AY119" s="1291"/>
      <c r="AZ119" s="2449"/>
      <c r="BA119" s="2449"/>
      <c r="BB119" s="2449"/>
      <c r="BC119" s="2449"/>
      <c r="BD119" s="2449"/>
      <c r="BE119" s="2449"/>
      <c r="BF119" s="2449"/>
      <c r="BH119" s="2616" t="s">
        <v>1648</v>
      </c>
      <c r="BI119" s="2617"/>
      <c r="BJ119" s="2617"/>
      <c r="BK119" s="2618"/>
    </row>
    <row r="120" spans="1:63" ht="12.75" hidden="1" customHeight="1" outlineLevel="2">
      <c r="B120" s="143"/>
      <c r="C120" s="144"/>
      <c r="D120" s="292" t="s">
        <v>409</v>
      </c>
      <c r="E120" s="1656"/>
      <c r="F120" s="147" t="s">
        <v>452</v>
      </c>
      <c r="G120" s="147"/>
      <c r="H120" s="2626" t="s">
        <v>2324</v>
      </c>
      <c r="I120" s="2628"/>
      <c r="J120" s="2628"/>
      <c r="K120" s="2433"/>
      <c r="L120" s="167" t="s">
        <v>444</v>
      </c>
      <c r="M120" s="168"/>
      <c r="X120" s="1316" t="s">
        <v>316</v>
      </c>
      <c r="Y120" s="2629" t="s">
        <v>316</v>
      </c>
      <c r="Z120" s="2630"/>
      <c r="AA120" s="2626" t="s">
        <v>444</v>
      </c>
      <c r="AB120" s="2628"/>
      <c r="AC120" s="2628"/>
      <c r="AD120" s="1317"/>
      <c r="AE120" s="1337" t="s">
        <v>444</v>
      </c>
      <c r="AH120" s="2631" t="s">
        <v>211</v>
      </c>
      <c r="AI120" s="2632"/>
      <c r="AJ120" s="2632"/>
      <c r="AK120" s="2632" t="s">
        <v>442</v>
      </c>
      <c r="AL120" s="2632"/>
      <c r="AM120" s="2632"/>
      <c r="AN120" s="2632" t="s">
        <v>267</v>
      </c>
      <c r="AO120" s="2632"/>
      <c r="AP120" s="2632"/>
      <c r="AQ120" s="2632" t="s">
        <v>443</v>
      </c>
      <c r="AR120" s="2632"/>
      <c r="AS120" s="2632"/>
      <c r="AT120" s="2648" t="s">
        <v>327</v>
      </c>
      <c r="AU120" s="2648"/>
      <c r="AV120" s="2649"/>
      <c r="AW120" s="2631" t="s">
        <v>636</v>
      </c>
      <c r="AX120" s="2632"/>
      <c r="AY120" s="568"/>
      <c r="AZ120" s="2292"/>
      <c r="BA120" s="2292"/>
      <c r="BB120" s="2292"/>
      <c r="BC120" s="2292"/>
      <c r="BD120" s="2292"/>
      <c r="BE120" s="2292"/>
      <c r="BF120" s="2292"/>
      <c r="BH120" s="2837" t="s">
        <v>1646</v>
      </c>
      <c r="BI120" s="2221" t="s">
        <v>1570</v>
      </c>
      <c r="BJ120" s="2221" t="s">
        <v>1569</v>
      </c>
      <c r="BK120" s="2432" t="s">
        <v>332</v>
      </c>
    </row>
    <row r="121" spans="1:63" ht="12.75" hidden="1" customHeight="1" outlineLevel="2">
      <c r="B121" s="333" t="s">
        <v>239</v>
      </c>
      <c r="C121" s="144"/>
      <c r="D121" s="292" t="s">
        <v>444</v>
      </c>
      <c r="E121" s="1656"/>
      <c r="F121" s="149" t="s">
        <v>445</v>
      </c>
      <c r="G121" s="149" t="s">
        <v>415</v>
      </c>
      <c r="H121" s="1662" t="s">
        <v>411</v>
      </c>
      <c r="I121" s="1662" t="s">
        <v>257</v>
      </c>
      <c r="J121" s="1662" t="s">
        <v>422</v>
      </c>
      <c r="K121" s="2439" t="s">
        <v>411</v>
      </c>
      <c r="L121" s="2222" t="s">
        <v>257</v>
      </c>
      <c r="M121" s="220" t="s">
        <v>422</v>
      </c>
      <c r="X121" s="1316" t="s">
        <v>1649</v>
      </c>
      <c r="Y121" s="2646" t="s">
        <v>1650</v>
      </c>
      <c r="Z121" s="2647"/>
      <c r="AA121" s="1662" t="s">
        <v>411</v>
      </c>
      <c r="AB121" s="1662" t="s">
        <v>257</v>
      </c>
      <c r="AC121" s="1662" t="s">
        <v>422</v>
      </c>
      <c r="AD121" s="1322"/>
      <c r="AE121" s="1337"/>
      <c r="AH121" s="2226" t="s">
        <v>411</v>
      </c>
      <c r="AI121" s="2227" t="s">
        <v>257</v>
      </c>
      <c r="AJ121" s="1332" t="s">
        <v>422</v>
      </c>
      <c r="AK121" s="2227" t="s">
        <v>411</v>
      </c>
      <c r="AL121" s="2227" t="s">
        <v>257</v>
      </c>
      <c r="AM121" s="1332" t="s">
        <v>422</v>
      </c>
      <c r="AN121" s="2227" t="s">
        <v>411</v>
      </c>
      <c r="AO121" s="2227" t="s">
        <v>257</v>
      </c>
      <c r="AP121" s="1332" t="s">
        <v>422</v>
      </c>
      <c r="AQ121" s="2227" t="s">
        <v>411</v>
      </c>
      <c r="AR121" s="2227" t="s">
        <v>257</v>
      </c>
      <c r="AS121" s="1332" t="s">
        <v>422</v>
      </c>
      <c r="AT121" s="581" t="s">
        <v>411</v>
      </c>
      <c r="AU121" s="581" t="s">
        <v>257</v>
      </c>
      <c r="AV121" s="582" t="s">
        <v>422</v>
      </c>
      <c r="AW121" s="2226" t="s">
        <v>411</v>
      </c>
      <c r="AX121" s="2227" t="s">
        <v>257</v>
      </c>
      <c r="AY121" s="1333" t="s">
        <v>422</v>
      </c>
      <c r="AZ121" s="2449"/>
      <c r="BA121" s="2449"/>
      <c r="BB121" s="2449"/>
      <c r="BC121" s="2449"/>
      <c r="BD121" s="2449"/>
      <c r="BE121" s="2449"/>
      <c r="BF121" s="2449"/>
      <c r="BH121" s="2838"/>
      <c r="BI121" s="2223"/>
      <c r="BJ121" s="2223"/>
      <c r="BK121" s="2431"/>
    </row>
    <row r="122" spans="1:63" ht="12.75" hidden="1" customHeight="1" outlineLevel="2">
      <c r="B122" s="143" t="s">
        <v>4019</v>
      </c>
      <c r="C122" s="144"/>
      <c r="D122" s="212">
        <f>SUM(K122:M122)</f>
        <v>0</v>
      </c>
      <c r="E122" s="212"/>
      <c r="F122" s="117"/>
      <c r="G122" s="117"/>
      <c r="H122" s="2466">
        <f>IF(ISNA(VLOOKUP($B122&amp;"; "&amp;$H$120&amp;", "&amp;H$121,'FE Fret'!$G:$U,9,FALSE)),0,VLOOKUP($B122&amp;"; "&amp;$H$120&amp;", "&amp;H$121,'FE Fret'!$G:$U,9,FALSE))</f>
        <v>1.33E-3</v>
      </c>
      <c r="I122" s="2446">
        <f>IF(ISNA(VLOOKUP($B122&amp;"; "&amp;$H$120&amp;", "&amp;I$121,'FE Fret'!$G:$U,9,FALSE)),0,VLOOKUP($B122&amp;"; "&amp;$H$120&amp;", "&amp;I$121,'FE Fret'!$G:$U,9,FALSE))</f>
        <v>4.3699999999999998E-3</v>
      </c>
      <c r="J122" s="2446">
        <f>IF(ISNA(VLOOKUP($B122&amp;"; "&amp;$H$120&amp;", "&amp;J$121,'FE Fret'!$G:$U,9,FALSE)),0,VLOOKUP($B122&amp;"; "&amp;$H$120&amp;", "&amp;J$121,'FE Fret'!$G:$U,9,FALSE))</f>
        <v>2.5999999999999999E-3</v>
      </c>
      <c r="K122" s="212">
        <f>IF(ISNA(G122),0,G122*H122)</f>
        <v>0</v>
      </c>
      <c r="L122" s="212">
        <f>IF(ISNA(G122),0,G122*I122)</f>
        <v>0</v>
      </c>
      <c r="M122" s="2467">
        <f>IF(ISNA(G122),0,G122*J122)</f>
        <v>0</v>
      </c>
      <c r="X122" s="1092">
        <f>IF(AE122=0,AE122,AE122/D122)</f>
        <v>0</v>
      </c>
      <c r="Y122" s="343"/>
      <c r="Z122" s="820"/>
      <c r="AA122" s="164">
        <f>K122*BI122</f>
        <v>0</v>
      </c>
      <c r="AB122" s="164">
        <f>L122*BJ122</f>
        <v>0</v>
      </c>
      <c r="AC122" s="164">
        <f>M122*BK122</f>
        <v>0</v>
      </c>
      <c r="AD122" s="212"/>
      <c r="AE122" s="152">
        <f>SQRT(SUMSQ(AA122:AC122))</f>
        <v>0</v>
      </c>
      <c r="AH122" s="564">
        <f>$G122*IF(ISNA(VLOOKUP($B122&amp;"; "&amp;$H$120&amp;", "&amp;H$121,'FE Fret'!$G:$U,10,FALSE)),0,VLOOKUP($B122&amp;"; "&amp;$H$120&amp;", "&amp;H$121,'FE Fret'!$G:$U,10,FALSE))</f>
        <v>0</v>
      </c>
      <c r="AI122" s="565">
        <f>$G122*IF(ISNA(VLOOKUP($B122&amp;"; "&amp;$H$120&amp;", "&amp;I$121,'FE Fret'!$G:$U,10,FALSE)),0,VLOOKUP($B122&amp;"; "&amp;$H$120&amp;", "&amp;I$121,'FE Fret'!$G:$U,10,FALSE))</f>
        <v>0</v>
      </c>
      <c r="AJ122" s="565">
        <f>$G122*IF(ISNA(VLOOKUP($B122&amp;"; "&amp;$H$120&amp;", "&amp;J$121,'FE Fret'!$G:$U,10,FALSE)),0,VLOOKUP($B122&amp;"; "&amp;$H$120&amp;", "&amp;J$121,'FE Fret'!$G:$U,10,FALSE))</f>
        <v>0</v>
      </c>
      <c r="AK122" s="565">
        <f>$G122*IF(ISNA(VLOOKUP($B122&amp;"; "&amp;$H$120&amp;", "&amp;H$121,'FE Fret'!$G:$U,11,FALSE)),0,VLOOKUP($B122&amp;"; "&amp;$H$120&amp;", "&amp;H$121,'FE Fret'!$G:$U,11,FALSE))+
$G122*IF(ISNA(VLOOKUP($B122&amp;"; "&amp;$H$120&amp;", "&amp;H$121,'FE Fret'!$G:$U,12,FALSE)),0,VLOOKUP($B122&amp;"; "&amp;$H$120&amp;", "&amp;H$121,'FE Fret'!$G:$U,12,FALSE))</f>
        <v>0</v>
      </c>
      <c r="AL122" s="565">
        <f>$G122*IF(ISNA(VLOOKUP($B122&amp;"; "&amp;$H$120&amp;", "&amp;I$121,'FE Fret'!$G:$U,11,FALSE)),0,VLOOKUP($B122&amp;"; "&amp;$H$120&amp;", "&amp;I$121,'FE Fret'!$G:$U,11,FALSE))+
$G122*IF(ISNA(VLOOKUP($B122&amp;"; "&amp;$H$120&amp;", "&amp;I$121,'FE Fret'!$G:$U,12,FALSE)),0,VLOOKUP($B122&amp;"; "&amp;$H$120&amp;", "&amp;I$121,'FE Fret'!$G:$U,12,FALSE))</f>
        <v>0</v>
      </c>
      <c r="AM122" s="565">
        <f>$G122*IF(ISNA(VLOOKUP($B122&amp;"; "&amp;$H$120&amp;", "&amp;J$121,'FE Fret'!$G:$U,11,FALSE)),0,VLOOKUP($B122&amp;"; "&amp;$H$120&amp;", "&amp;J$121,'FE Fret'!$G:$U,11,FALSE))+
$G122*IF(ISNA(VLOOKUP($B122&amp;"; "&amp;$H$120&amp;", "&amp;J$121,'FE Fret'!$G:$U,12,FALSE)),0,VLOOKUP($B122&amp;"; "&amp;$H$120&amp;", "&amp;J$121,'FE Fret'!$G:$U,12,FALSE))</f>
        <v>0</v>
      </c>
      <c r="AN122" s="565">
        <f>$G122*IF(ISNA(VLOOKUP($B122&amp;"; "&amp;$H$120&amp;", "&amp;H$121,'FE Fret'!$G:$U,13,FALSE)),0,VLOOKUP($B122&amp;"; "&amp;$H$120&amp;", "&amp;H$121,'FE Fret'!$G:$U,13,FALSE))</f>
        <v>0</v>
      </c>
      <c r="AO122" s="565">
        <f>$G122*IF(ISNA(VLOOKUP($B122&amp;"; "&amp;$H$120&amp;", "&amp;I$121,'FE Fret'!$G:$U,13,FALSE)),0,VLOOKUP($B122&amp;"; "&amp;$H$120&amp;", "&amp;I$121,'FE Fret'!$G:$U,13,FALSE))</f>
        <v>0</v>
      </c>
      <c r="AP122" s="565">
        <f>$G122*IF(ISNA(VLOOKUP($B122&amp;"; "&amp;$H$120&amp;", "&amp;J$121,'FE Fret'!$G:$U,13,FALSE)),0,VLOOKUP($B122&amp;"; "&amp;$H$120&amp;", "&amp;J$121,'FE Fret'!$G:$U,13,FALSE))</f>
        <v>0</v>
      </c>
      <c r="AQ122" s="565">
        <f>$G122*IF(ISNA(VLOOKUP($B122&amp;"; "&amp;$H$120&amp;", "&amp;H$121,'FE Fret'!$G:$U,14,FALSE)),0,VLOOKUP($B122&amp;"; "&amp;$H$120&amp;", "&amp;H$121,'FE Fret'!$G:$U,14,FALSE))</f>
        <v>0</v>
      </c>
      <c r="AR122" s="565">
        <f>$G122*IF(ISNA(VLOOKUP($B122&amp;"; "&amp;$H$120&amp;", "&amp;I$121,'FE Fret'!$G:$U,14,FALSE)),0,VLOOKUP($B122&amp;"; "&amp;$H$120&amp;", "&amp;I$121,'FE Fret'!$G:$U,14,FALSE))</f>
        <v>0</v>
      </c>
      <c r="AS122" s="565">
        <f>$G122*IF(ISNA(VLOOKUP($B122&amp;"; "&amp;$H$120&amp;", "&amp;J$121,'FE Fret'!$G:$U,14,FALSE)),0,VLOOKUP($B122&amp;"; "&amp;$H$120&amp;", "&amp;J$121,'FE Fret'!$G:$U,14,FALSE))</f>
        <v>0</v>
      </c>
      <c r="AT122" s="566">
        <f>SUM(AH122,AK122,AN122,AQ122)</f>
        <v>0</v>
      </c>
      <c r="AU122" s="566">
        <f>SUM(AI122,AL122,AO122,AR122)</f>
        <v>0</v>
      </c>
      <c r="AV122" s="567">
        <f>SUM(AJ122,AM122,AP122,AS122)</f>
        <v>0</v>
      </c>
      <c r="AW122" s="565">
        <f>$G122*IF(ISNA(VLOOKUP($B122&amp;"; "&amp;$H$120&amp;", "&amp;H$121,'FE Fret'!$G:$U,15,FALSE)),0,VLOOKUP($B122&amp;"; "&amp;$H$120&amp;", "&amp;H$121,'FE Fret'!$G:$U,15,FALSE))</f>
        <v>0</v>
      </c>
      <c r="AX122" s="565">
        <f>$G122*IF(ISNA(VLOOKUP($B122&amp;"; "&amp;$H$120&amp;", "&amp;I$121,'FE Fret'!$G:$U,15,FALSE)),0,VLOOKUP($B122&amp;"; "&amp;$H$120&amp;", "&amp;I$121,'FE Fret'!$G:$U,15,FALSE))</f>
        <v>0</v>
      </c>
      <c r="AY122" s="568">
        <f>$G122*IF(ISNA(VLOOKUP($B122&amp;"; "&amp;$H$120&amp;", "&amp;J$121,'FE Fret'!$G:$U,15,FALSE)),0,VLOOKUP($B122&amp;"; "&amp;$H$120&amp;", "&amp;J$121,'FE Fret'!$G:$U,15,FALSE))</f>
        <v>0</v>
      </c>
      <c r="AZ122" s="2292"/>
      <c r="BA122" s="2292"/>
      <c r="BB122" s="2292"/>
      <c r="BC122" s="2292"/>
      <c r="BD122" s="2292"/>
      <c r="BE122" s="2292"/>
      <c r="BF122" s="2292"/>
      <c r="BH122" s="1167">
        <f>IF($Y122&lt;&gt;"votre valeur :",IF(ISNA(VLOOKUP($Y122,Utilitaires!$N$566:$O$571,2,FALSE)),,VLOOKUP($Y122,Utilitaires!$N$566:$O$571,2,FALSE)),$Z122)</f>
        <v>0</v>
      </c>
      <c r="BI122" s="1125">
        <f>IF(ISNA(SQRT(SUMSQ(VLOOKUP($B122&amp;"; "&amp;$H$120&amp;", "&amp;H$121,'FE Fret'!$G:$U,7,FALSE),$BH122))),0,SQRT(SUMSQ(VLOOKUP($B122&amp;"; "&amp;$H$120&amp;", "&amp;H$121,'FE Fret'!$G:$U,7,FALSE),$BH122)))</f>
        <v>0.7</v>
      </c>
      <c r="BJ122" s="1125">
        <f>IF(ISNA(SQRT(SUMSQ(VLOOKUP($B122&amp;"; "&amp;$H$120&amp;", "&amp;I$121,'FE Fret'!$G:$U,7,FALSE),$BH122))),0,SQRT(SUMSQ(VLOOKUP($B122&amp;"; "&amp;$H$120&amp;", "&amp;I$121,'FE Fret'!$G:$U,7,FALSE),$BH122)))</f>
        <v>0.7</v>
      </c>
      <c r="BK122" s="2443">
        <f>IF(ISNA(SQRT(SUMSQ(VLOOKUP($B122&amp;"; "&amp;$H$120&amp;", "&amp;L$121,'FE Fret'!$G:$U,7,FALSE),$BH122))),0,SQRT(SUMSQ(VLOOKUP($B122&amp;"; "&amp;$H$120&amp;", "&amp;L$121,'FE Fret'!$G:$U,7,FALSE),$BH122)))</f>
        <v>0.7</v>
      </c>
    </row>
    <row r="123" spans="1:63" ht="12.75" hidden="1" customHeight="1" outlineLevel="2">
      <c r="B123" s="143" t="s">
        <v>4020</v>
      </c>
      <c r="C123" s="144"/>
      <c r="D123" s="212">
        <f t="shared" ref="D123:D124" si="33">SUM(K123:M123)</f>
        <v>0</v>
      </c>
      <c r="E123" s="212"/>
      <c r="F123" s="120"/>
      <c r="G123" s="120"/>
      <c r="H123" s="2466">
        <f>IF(ISNA(VLOOKUP($B123&amp;"; "&amp;$H$120&amp;", "&amp;H$121,'FE Fret'!$G:$U,9,FALSE)),0,VLOOKUP($B123&amp;"; "&amp;$H$120&amp;", "&amp;H$121,'FE Fret'!$G:$U,9,FALSE))</f>
        <v>5.0000000000000001E-3</v>
      </c>
      <c r="I123" s="2446">
        <f>IF(ISNA(VLOOKUP($B123&amp;"; "&amp;$H$120&amp;", "&amp;I$121,'FE Fret'!$G:$U,9,FALSE)),0,VLOOKUP($B123&amp;"; "&amp;$H$120&amp;", "&amp;I$121,'FE Fret'!$G:$U,9,FALSE))</f>
        <v>1.9199999999999998E-2</v>
      </c>
      <c r="J123" s="2446">
        <f>IF(ISNA(VLOOKUP($B123&amp;"; "&amp;$H$120&amp;", "&amp;J$121,'FE Fret'!$G:$U,9,FALSE)),0,VLOOKUP($B123&amp;"; "&amp;$H$120&amp;", "&amp;J$121,'FE Fret'!$G:$U,9,FALSE))</f>
        <v>2.5999999999999999E-3</v>
      </c>
      <c r="K123" s="212">
        <f t="shared" ref="K123:K130" si="34">IF(ISNA(G123),0,G123*H123)</f>
        <v>0</v>
      </c>
      <c r="L123" s="212">
        <f t="shared" ref="L123:L130" si="35">IF(ISNA(G123),0,G123*I123)</f>
        <v>0</v>
      </c>
      <c r="M123" s="2467">
        <f t="shared" ref="M123:M130" si="36">IF(ISNA(G123),0,G123*J123)</f>
        <v>0</v>
      </c>
      <c r="X123" s="1092">
        <f>IF(AE123=0,AE123,AE123/D123)</f>
        <v>0</v>
      </c>
      <c r="Y123" s="343"/>
      <c r="Z123" s="820"/>
      <c r="AA123" s="164">
        <f t="shared" ref="AA123:AA130" si="37">K123*BI123</f>
        <v>0</v>
      </c>
      <c r="AB123" s="164">
        <f t="shared" ref="AB123:AB130" si="38">L123*BJ123</f>
        <v>0</v>
      </c>
      <c r="AC123" s="164">
        <f t="shared" ref="AC123:AC130" si="39">M123*BK123</f>
        <v>0</v>
      </c>
      <c r="AD123" s="212"/>
      <c r="AE123" s="152">
        <f t="shared" ref="AE123:AE130" si="40">SQRT(SUMSQ(AA123:AC123))</f>
        <v>0</v>
      </c>
      <c r="AH123" s="564">
        <f>$G123*IF(ISNA(VLOOKUP($B123&amp;"; "&amp;$H$120&amp;", "&amp;H$121,'FE Fret'!$G:$U,10,FALSE)),0,VLOOKUP($B123&amp;"; "&amp;$H$120&amp;", "&amp;H$121,'FE Fret'!$G:$U,10,FALSE))</f>
        <v>0</v>
      </c>
      <c r="AI123" s="565">
        <f>$G123*IF(ISNA(VLOOKUP($B123&amp;"; "&amp;$H$120&amp;", "&amp;I$121,'FE Fret'!$G:$U,10,FALSE)),0,VLOOKUP($B123&amp;"; "&amp;$H$120&amp;", "&amp;I$121,'FE Fret'!$G:$U,10,FALSE))</f>
        <v>0</v>
      </c>
      <c r="AJ123" s="565">
        <f>$G123*IF(ISNA(VLOOKUP($B123&amp;"; "&amp;$H$120&amp;", "&amp;J$121,'FE Fret'!$G:$U,10,FALSE)),0,VLOOKUP($B123&amp;"; "&amp;$H$120&amp;", "&amp;J$121,'FE Fret'!$G:$U,10,FALSE))</f>
        <v>0</v>
      </c>
      <c r="AK123" s="565">
        <f>$G123*IF(ISNA(VLOOKUP($B123&amp;"; "&amp;$H$120&amp;", "&amp;H$121,'FE Fret'!$G:$U,11,FALSE)),0,VLOOKUP($B123&amp;"; "&amp;$H$120&amp;", "&amp;H$121,'FE Fret'!$G:$U,11,FALSE))+
$G123*IF(ISNA(VLOOKUP($B123&amp;"; "&amp;$H$120&amp;", "&amp;H$121,'FE Fret'!$G:$U,12,FALSE)),0,VLOOKUP($B123&amp;"; "&amp;$H$120&amp;", "&amp;H$121,'FE Fret'!$G:$U,12,FALSE))</f>
        <v>0</v>
      </c>
      <c r="AL123" s="565">
        <f>$G123*IF(ISNA(VLOOKUP($B123&amp;"; "&amp;$H$120&amp;", "&amp;I$121,'FE Fret'!$G:$U,11,FALSE)),0,VLOOKUP($B123&amp;"; "&amp;$H$120&amp;", "&amp;I$121,'FE Fret'!$G:$U,11,FALSE))+
$G123*IF(ISNA(VLOOKUP($B123&amp;"; "&amp;$H$120&amp;", "&amp;I$121,'FE Fret'!$G:$U,12,FALSE)),0,VLOOKUP($B123&amp;"; "&amp;$H$120&amp;", "&amp;I$121,'FE Fret'!$G:$U,12,FALSE))</f>
        <v>0</v>
      </c>
      <c r="AM123" s="565">
        <f>$G123*IF(ISNA(VLOOKUP($B123&amp;"; "&amp;$H$120&amp;", "&amp;J$121,'FE Fret'!$G:$U,11,FALSE)),0,VLOOKUP($B123&amp;"; "&amp;$H$120&amp;", "&amp;J$121,'FE Fret'!$G:$U,11,FALSE))+
$G123*IF(ISNA(VLOOKUP($B123&amp;"; "&amp;$H$120&amp;", "&amp;J$121,'FE Fret'!$G:$U,12,FALSE)),0,VLOOKUP($B123&amp;"; "&amp;$H$120&amp;", "&amp;J$121,'FE Fret'!$G:$U,12,FALSE))</f>
        <v>0</v>
      </c>
      <c r="AN123" s="565">
        <f>$G123*IF(ISNA(VLOOKUP($B123&amp;"; "&amp;$H$120&amp;", "&amp;H$121,'FE Fret'!$G:$U,13,FALSE)),0,VLOOKUP($B123&amp;"; "&amp;$H$120&amp;", "&amp;H$121,'FE Fret'!$G:$U,13,FALSE))</f>
        <v>0</v>
      </c>
      <c r="AO123" s="565">
        <f>$G123*IF(ISNA(VLOOKUP($B123&amp;"; "&amp;$H$120&amp;", "&amp;I$121,'FE Fret'!$G:$U,13,FALSE)),0,VLOOKUP($B123&amp;"; "&amp;$H$120&amp;", "&amp;I$121,'FE Fret'!$G:$U,13,FALSE))</f>
        <v>0</v>
      </c>
      <c r="AP123" s="565">
        <f>$G123*IF(ISNA(VLOOKUP($B123&amp;"; "&amp;$H$120&amp;", "&amp;J$121,'FE Fret'!$G:$U,13,FALSE)),0,VLOOKUP($B123&amp;"; "&amp;$H$120&amp;", "&amp;J$121,'FE Fret'!$G:$U,13,FALSE))</f>
        <v>0</v>
      </c>
      <c r="AQ123" s="565">
        <f>$G123*IF(ISNA(VLOOKUP($B123&amp;"; "&amp;$H$120&amp;", "&amp;H$121,'FE Fret'!$G:$U,14,FALSE)),0,VLOOKUP($B123&amp;"; "&amp;$H$120&amp;", "&amp;H$121,'FE Fret'!$G:$U,14,FALSE))</f>
        <v>0</v>
      </c>
      <c r="AR123" s="565">
        <f>$G123*IF(ISNA(VLOOKUP($B123&amp;"; "&amp;$H$120&amp;", "&amp;I$121,'FE Fret'!$G:$U,14,FALSE)),0,VLOOKUP($B123&amp;"; "&amp;$H$120&amp;", "&amp;I$121,'FE Fret'!$G:$U,14,FALSE))</f>
        <v>0</v>
      </c>
      <c r="AS123" s="565">
        <f>$G123*IF(ISNA(VLOOKUP($B123&amp;"; "&amp;$H$120&amp;", "&amp;J$121,'FE Fret'!$G:$U,14,FALSE)),0,VLOOKUP($B123&amp;"; "&amp;$H$120&amp;", "&amp;J$121,'FE Fret'!$G:$U,14,FALSE))</f>
        <v>0</v>
      </c>
      <c r="AT123" s="566">
        <f t="shared" ref="AT123:AT130" si="41">SUM(AH123,AK123,AN123,AQ123)</f>
        <v>0</v>
      </c>
      <c r="AU123" s="566">
        <f t="shared" ref="AU123:AU130" si="42">SUM(AI123,AL123,AO123,AR123)</f>
        <v>0</v>
      </c>
      <c r="AV123" s="567">
        <f t="shared" ref="AV123:AV130" si="43">SUM(AJ123,AM123,AP123,AS123)</f>
        <v>0</v>
      </c>
      <c r="AW123" s="565">
        <f>$G123*IF(ISNA(VLOOKUP($B123&amp;"; "&amp;$H$120&amp;", "&amp;H$121,'FE Fret'!$G:$U,15,FALSE)),0,VLOOKUP($B123&amp;"; "&amp;$H$120&amp;", "&amp;H$121,'FE Fret'!$G:$U,15,FALSE))</f>
        <v>0</v>
      </c>
      <c r="AX123" s="565">
        <f>$G123*IF(ISNA(VLOOKUP($B123&amp;"; "&amp;$H$120&amp;", "&amp;I$121,'FE Fret'!$G:$U,15,FALSE)),0,VLOOKUP($B123&amp;"; "&amp;$H$120&amp;", "&amp;I$121,'FE Fret'!$G:$U,15,FALSE))</f>
        <v>0</v>
      </c>
      <c r="AY123" s="568">
        <f>$G123*IF(ISNA(VLOOKUP($B123&amp;"; "&amp;$H$120&amp;", "&amp;J$121,'FE Fret'!$G:$U,15,FALSE)),0,VLOOKUP($B123&amp;"; "&amp;$H$120&amp;", "&amp;J$121,'FE Fret'!$G:$U,15,FALSE))</f>
        <v>0</v>
      </c>
      <c r="AZ123" s="2292"/>
      <c r="BA123" s="2292"/>
      <c r="BB123" s="2292"/>
      <c r="BC123" s="2292"/>
      <c r="BD123" s="2292"/>
      <c r="BE123" s="2292"/>
      <c r="BF123" s="2292"/>
      <c r="BH123" s="1167">
        <f>IF($Y123&lt;&gt;"votre valeur :",IF(ISNA(VLOOKUP($Y123,Utilitaires!$N$566:$O$571,2,FALSE)),,VLOOKUP($Y123,Utilitaires!$N$566:$O$571,2,FALSE)),$Z123)</f>
        <v>0</v>
      </c>
      <c r="BI123" s="1125">
        <f>IF(ISNA(SQRT(SUMSQ(VLOOKUP($B123&amp;"; "&amp;$H$120&amp;", "&amp;H$121,'FE Fret'!$G:$U,7,FALSE),$BH123))),0,SQRT(SUMSQ(VLOOKUP($B123&amp;"; "&amp;$H$120&amp;", "&amp;H$121,'FE Fret'!$G:$U,7,FALSE),$BH123)))</f>
        <v>0.7</v>
      </c>
      <c r="BJ123" s="1125">
        <f>IF(ISNA(SQRT(SUMSQ(VLOOKUP($B123&amp;"; "&amp;$H$120&amp;", "&amp;I$121,'FE Fret'!$G:$U,7,FALSE),$BH123))),0,SQRT(SUMSQ(VLOOKUP($B123&amp;"; "&amp;$H$120&amp;", "&amp;I$121,'FE Fret'!$G:$U,7,FALSE),$BH123)))</f>
        <v>0.7</v>
      </c>
      <c r="BK123" s="2443">
        <f>IF(ISNA(SQRT(SUMSQ(VLOOKUP($B123&amp;"; "&amp;$H$120&amp;", "&amp;L$121,'FE Fret'!$G:$U,7,FALSE),$BH123))),0,SQRT(SUMSQ(VLOOKUP($B123&amp;"; "&amp;$H$120&amp;", "&amp;L$121,'FE Fret'!$G:$U,7,FALSE),$BH123)))</f>
        <v>0.7</v>
      </c>
    </row>
    <row r="124" spans="1:63" s="130" customFormat="1" ht="15" hidden="1" customHeight="1" outlineLevel="2">
      <c r="A124" s="114"/>
      <c r="B124" s="143" t="s">
        <v>4024</v>
      </c>
      <c r="C124" s="144"/>
      <c r="D124" s="212">
        <f t="shared" si="33"/>
        <v>0</v>
      </c>
      <c r="E124" s="212"/>
      <c r="F124" s="123"/>
      <c r="G124" s="123"/>
      <c r="H124" s="2466">
        <f>IF(ISNA(VLOOKUP($B124&amp;"; "&amp;$H$120&amp;", "&amp;H$121,'FE Fret'!$G:$U,9,FALSE)),0,VLOOKUP($B124&amp;"; "&amp;$H$120&amp;", "&amp;H$121,'FE Fret'!$G:$U,9,FALSE))</f>
        <v>4.8000000000000001E-4</v>
      </c>
      <c r="I124" s="2446">
        <f>IF(ISNA(VLOOKUP($B124&amp;"; "&amp;$H$120&amp;", "&amp;I$121,'FE Fret'!$G:$U,9,FALSE)),0,VLOOKUP($B124&amp;"; "&amp;$H$120&amp;", "&amp;I$121,'FE Fret'!$G:$U,9,FALSE))</f>
        <v>7.6300000000000001E-4</v>
      </c>
      <c r="J124" s="2446">
        <f>IF(ISNA(VLOOKUP($B124&amp;"; "&amp;$H$120&amp;", "&amp;J$121,'FE Fret'!$G:$U,9,FALSE)),0,VLOOKUP($B124&amp;"; "&amp;$H$120&amp;", "&amp;J$121,'FE Fret'!$G:$U,9,FALSE))</f>
        <v>3.0000000000000001E-3</v>
      </c>
      <c r="K124" s="212">
        <f t="shared" si="34"/>
        <v>0</v>
      </c>
      <c r="L124" s="212">
        <f t="shared" si="35"/>
        <v>0</v>
      </c>
      <c r="M124" s="2467">
        <f t="shared" si="36"/>
        <v>0</v>
      </c>
      <c r="T124" s="114"/>
      <c r="U124" s="114"/>
      <c r="V124" s="114"/>
      <c r="W124" s="114"/>
      <c r="X124" s="1092">
        <f>IF(AE124=0,AE124,AE124/D124)</f>
        <v>0</v>
      </c>
      <c r="Y124" s="1094"/>
      <c r="Z124" s="212"/>
      <c r="AA124" s="164">
        <f t="shared" si="37"/>
        <v>0</v>
      </c>
      <c r="AB124" s="164">
        <f t="shared" si="38"/>
        <v>0</v>
      </c>
      <c r="AC124" s="164">
        <f t="shared" si="39"/>
        <v>0</v>
      </c>
      <c r="AD124" s="212"/>
      <c r="AE124" s="152">
        <f t="shared" si="40"/>
        <v>0</v>
      </c>
      <c r="AF124" s="114"/>
      <c r="AG124" s="114"/>
      <c r="AH124" s="564">
        <f>$G124*IF(ISNA(VLOOKUP($B124&amp;"; "&amp;$H$120&amp;", "&amp;H$121,'FE Fret'!$G:$U,10,FALSE)),0,VLOOKUP($B124&amp;"; "&amp;$H$120&amp;", "&amp;H$121,'FE Fret'!$G:$U,10,FALSE))</f>
        <v>0</v>
      </c>
      <c r="AI124" s="565">
        <f>$G124*IF(ISNA(VLOOKUP($B124&amp;"; "&amp;$H$120&amp;", "&amp;I$121,'FE Fret'!$G:$U,10,FALSE)),0,VLOOKUP($B124&amp;"; "&amp;$H$120&amp;", "&amp;I$121,'FE Fret'!$G:$U,10,FALSE))</f>
        <v>0</v>
      </c>
      <c r="AJ124" s="565">
        <f>$G124*IF(ISNA(VLOOKUP($B124&amp;"; "&amp;$H$120&amp;", "&amp;J$121,'FE Fret'!$G:$U,10,FALSE)),0,VLOOKUP($B124&amp;"; "&amp;$H$120&amp;", "&amp;J$121,'FE Fret'!$G:$U,10,FALSE))</f>
        <v>0</v>
      </c>
      <c r="AK124" s="565">
        <f>$G124*IF(ISNA(VLOOKUP($B124&amp;"; "&amp;$H$120&amp;", "&amp;H$121,'FE Fret'!$G:$U,11,FALSE)),0,VLOOKUP($B124&amp;"; "&amp;$H$120&amp;", "&amp;H$121,'FE Fret'!$G:$U,11,FALSE))+
$G124*IF(ISNA(VLOOKUP($B124&amp;"; "&amp;$H$120&amp;", "&amp;H$121,'FE Fret'!$G:$U,12,FALSE)),0,VLOOKUP($B124&amp;"; "&amp;$H$120&amp;", "&amp;H$121,'FE Fret'!$G:$U,12,FALSE))</f>
        <v>0</v>
      </c>
      <c r="AL124" s="565">
        <f>$G124*IF(ISNA(VLOOKUP($B124&amp;"; "&amp;$H$120&amp;", "&amp;I$121,'FE Fret'!$G:$U,11,FALSE)),0,VLOOKUP($B124&amp;"; "&amp;$H$120&amp;", "&amp;I$121,'FE Fret'!$G:$U,11,FALSE))+
$G124*IF(ISNA(VLOOKUP($B124&amp;"; "&amp;$H$120&amp;", "&amp;I$121,'FE Fret'!$G:$U,12,FALSE)),0,VLOOKUP($B124&amp;"; "&amp;$H$120&amp;", "&amp;I$121,'FE Fret'!$G:$U,12,FALSE))</f>
        <v>0</v>
      </c>
      <c r="AM124" s="565">
        <f>$G124*IF(ISNA(VLOOKUP($B124&amp;"; "&amp;$H$120&amp;", "&amp;J$121,'FE Fret'!$G:$U,11,FALSE)),0,VLOOKUP($B124&amp;"; "&amp;$H$120&amp;", "&amp;J$121,'FE Fret'!$G:$U,11,FALSE))+
$G124*IF(ISNA(VLOOKUP($B124&amp;"; "&amp;$H$120&amp;", "&amp;J$121,'FE Fret'!$G:$U,12,FALSE)),0,VLOOKUP($B124&amp;"; "&amp;$H$120&amp;", "&amp;J$121,'FE Fret'!$G:$U,12,FALSE))</f>
        <v>0</v>
      </c>
      <c r="AN124" s="565">
        <f>$G124*IF(ISNA(VLOOKUP($B124&amp;"; "&amp;$H$120&amp;", "&amp;H$121,'FE Fret'!$G:$U,13,FALSE)),0,VLOOKUP($B124&amp;"; "&amp;$H$120&amp;", "&amp;H$121,'FE Fret'!$G:$U,13,FALSE))</f>
        <v>0</v>
      </c>
      <c r="AO124" s="565">
        <f>$G124*IF(ISNA(VLOOKUP($B124&amp;"; "&amp;$H$120&amp;", "&amp;I$121,'FE Fret'!$G:$U,13,FALSE)),0,VLOOKUP($B124&amp;"; "&amp;$H$120&amp;", "&amp;I$121,'FE Fret'!$G:$U,13,FALSE))</f>
        <v>0</v>
      </c>
      <c r="AP124" s="565">
        <f>$G124*IF(ISNA(VLOOKUP($B124&amp;"; "&amp;$H$120&amp;", "&amp;J$121,'FE Fret'!$G:$U,13,FALSE)),0,VLOOKUP($B124&amp;"; "&amp;$H$120&amp;", "&amp;J$121,'FE Fret'!$G:$U,13,FALSE))</f>
        <v>0</v>
      </c>
      <c r="AQ124" s="565">
        <f>$G124*IF(ISNA(VLOOKUP($B124&amp;"; "&amp;$H$120&amp;", "&amp;H$121,'FE Fret'!$G:$U,14,FALSE)),0,VLOOKUP($B124&amp;"; "&amp;$H$120&amp;", "&amp;H$121,'FE Fret'!$G:$U,14,FALSE))</f>
        <v>0</v>
      </c>
      <c r="AR124" s="565">
        <f>$G124*IF(ISNA(VLOOKUP($B124&amp;"; "&amp;$H$120&amp;", "&amp;I$121,'FE Fret'!$G:$U,14,FALSE)),0,VLOOKUP($B124&amp;"; "&amp;$H$120&amp;", "&amp;I$121,'FE Fret'!$G:$U,14,FALSE))</f>
        <v>0</v>
      </c>
      <c r="AS124" s="565">
        <f>$G124*IF(ISNA(VLOOKUP($B124&amp;"; "&amp;$H$120&amp;", "&amp;J$121,'FE Fret'!$G:$U,14,FALSE)),0,VLOOKUP($B124&amp;"; "&amp;$H$120&amp;", "&amp;J$121,'FE Fret'!$G:$U,14,FALSE))</f>
        <v>0</v>
      </c>
      <c r="AT124" s="566">
        <f t="shared" si="41"/>
        <v>0</v>
      </c>
      <c r="AU124" s="566">
        <f t="shared" si="42"/>
        <v>0</v>
      </c>
      <c r="AV124" s="567">
        <f t="shared" si="43"/>
        <v>0</v>
      </c>
      <c r="AW124" s="565">
        <f>$G124*IF(ISNA(VLOOKUP($B124&amp;"; "&amp;$H$120&amp;", "&amp;H$121,'FE Fret'!$G:$U,15,FALSE)),0,VLOOKUP($B124&amp;"; "&amp;$H$120&amp;", "&amp;H$121,'FE Fret'!$G:$U,15,FALSE))</f>
        <v>0</v>
      </c>
      <c r="AX124" s="565">
        <f>$G124*IF(ISNA(VLOOKUP($B124&amp;"; "&amp;$H$120&amp;", "&amp;I$121,'FE Fret'!$G:$U,15,FALSE)),0,VLOOKUP($B124&amp;"; "&amp;$H$120&amp;", "&amp;I$121,'FE Fret'!$G:$U,15,FALSE))</f>
        <v>0</v>
      </c>
      <c r="AY124" s="568">
        <f>$G124*IF(ISNA(VLOOKUP($B124&amp;"; "&amp;$H$120&amp;", "&amp;J$121,'FE Fret'!$G:$U,15,FALSE)),0,VLOOKUP($B124&amp;"; "&amp;$H$120&amp;", "&amp;J$121,'FE Fret'!$G:$U,15,FALSE))</f>
        <v>0</v>
      </c>
      <c r="AZ124" s="2292"/>
      <c r="BA124" s="2292"/>
      <c r="BB124" s="2292"/>
      <c r="BC124" s="2292"/>
      <c r="BD124" s="2292"/>
      <c r="BE124" s="2292"/>
      <c r="BF124" s="2292"/>
      <c r="BH124" s="1167">
        <f>IF($Y124&lt;&gt;"votre valeur :",IF(ISNA(VLOOKUP($Y124,Utilitaires!$N$566:$O$571,2,FALSE)),,VLOOKUP($Y124,Utilitaires!$N$566:$O$571,2,FALSE)),$Z124)</f>
        <v>0</v>
      </c>
      <c r="BI124" s="1125">
        <f>IF(ISNA(SQRT(SUMSQ(VLOOKUP($B124&amp;"; "&amp;$H$120&amp;", "&amp;H$121,'FE Fret'!$G:$U,7,FALSE),$BH124))),0,SQRT(SUMSQ(VLOOKUP($B124&amp;"; "&amp;$H$120&amp;", "&amp;H$121,'FE Fret'!$G:$U,7,FALSE),$BH124)))</f>
        <v>0.7</v>
      </c>
      <c r="BJ124" s="1125">
        <f>IF(ISNA(SQRT(SUMSQ(VLOOKUP($B124&amp;"; "&amp;$H$120&amp;", "&amp;I$121,'FE Fret'!$G:$U,7,FALSE),$BH124))),0,SQRT(SUMSQ(VLOOKUP($B124&amp;"; "&amp;$H$120&amp;", "&amp;I$121,'FE Fret'!$G:$U,7,FALSE),$BH124)))</f>
        <v>0.7</v>
      </c>
      <c r="BK124" s="2443">
        <f>IF(ISNA(SQRT(SUMSQ(VLOOKUP($B124&amp;"; "&amp;$H$120&amp;", "&amp;L$121,'FE Fret'!$G:$U,7,FALSE),$BH124))),0,SQRT(SUMSQ(VLOOKUP($B124&amp;"; "&amp;$H$120&amp;", "&amp;L$121,'FE Fret'!$G:$U,7,FALSE),$BH124)))</f>
        <v>0.7</v>
      </c>
    </row>
    <row r="125" spans="1:63" ht="12.75" hidden="1" customHeight="1" outlineLevel="2">
      <c r="B125" s="143"/>
      <c r="C125" s="144"/>
      <c r="D125" s="212"/>
      <c r="E125" s="212"/>
      <c r="F125" s="353"/>
      <c r="G125" s="144"/>
      <c r="H125" s="2466"/>
      <c r="I125" s="2446"/>
      <c r="J125" s="2446"/>
      <c r="K125" s="212"/>
      <c r="L125" s="212"/>
      <c r="M125" s="2467"/>
      <c r="X125" s="2083"/>
      <c r="Y125" s="212"/>
      <c r="Z125" s="212"/>
      <c r="AA125" s="164"/>
      <c r="AB125" s="164"/>
      <c r="AC125" s="164"/>
      <c r="AD125" s="212"/>
      <c r="AE125" s="152"/>
      <c r="AH125" s="564"/>
      <c r="AI125" s="565"/>
      <c r="AJ125" s="565"/>
      <c r="AK125" s="565"/>
      <c r="AL125" s="565"/>
      <c r="AM125" s="565"/>
      <c r="AN125" s="565"/>
      <c r="AO125" s="565"/>
      <c r="AP125" s="565"/>
      <c r="AQ125" s="565"/>
      <c r="AR125" s="565"/>
      <c r="AS125" s="565"/>
      <c r="AT125" s="566"/>
      <c r="AU125" s="566"/>
      <c r="AV125" s="567"/>
      <c r="AW125" s="565"/>
      <c r="AX125" s="565"/>
      <c r="AY125" s="568"/>
      <c r="AZ125" s="2292"/>
      <c r="BA125" s="2292"/>
      <c r="BB125" s="2292"/>
      <c r="BC125" s="2292"/>
      <c r="BD125" s="2292"/>
      <c r="BE125" s="2292"/>
      <c r="BF125" s="2292"/>
      <c r="BH125" s="2224"/>
      <c r="BI125" s="1130"/>
      <c r="BJ125" s="1068"/>
      <c r="BK125" s="1130"/>
    </row>
    <row r="126" spans="1:63" ht="12.75" hidden="1" customHeight="1" outlineLevel="2">
      <c r="B126" s="333" t="s">
        <v>4022</v>
      </c>
      <c r="C126" s="144"/>
      <c r="D126" s="212"/>
      <c r="E126" s="212"/>
      <c r="F126" s="353"/>
      <c r="G126" s="144"/>
      <c r="H126" s="2466"/>
      <c r="I126" s="2446"/>
      <c r="J126" s="2446"/>
      <c r="K126" s="212"/>
      <c r="L126" s="212"/>
      <c r="M126" s="2467"/>
      <c r="X126" s="1092"/>
      <c r="Y126" s="212"/>
      <c r="Z126" s="212"/>
      <c r="AA126" s="164"/>
      <c r="AB126" s="164"/>
      <c r="AC126" s="164"/>
      <c r="AD126" s="212"/>
      <c r="AE126" s="152"/>
      <c r="AH126" s="564"/>
      <c r="AI126" s="565"/>
      <c r="AJ126" s="565"/>
      <c r="AK126" s="565"/>
      <c r="AL126" s="565"/>
      <c r="AM126" s="565"/>
      <c r="AN126" s="565"/>
      <c r="AO126" s="565"/>
      <c r="AP126" s="565"/>
      <c r="AQ126" s="565"/>
      <c r="AR126" s="565"/>
      <c r="AS126" s="565"/>
      <c r="AT126" s="566"/>
      <c r="AU126" s="566"/>
      <c r="AV126" s="567"/>
      <c r="AW126" s="565"/>
      <c r="AX126" s="565"/>
      <c r="AY126" s="568"/>
      <c r="AZ126" s="2292"/>
      <c r="BA126" s="2292"/>
      <c r="BB126" s="2292"/>
      <c r="BC126" s="2292"/>
      <c r="BD126" s="2292"/>
      <c r="BE126" s="2292"/>
      <c r="BF126" s="2292"/>
      <c r="BH126" s="2224"/>
      <c r="BI126" s="1130"/>
      <c r="BJ126" s="1068"/>
      <c r="BK126" s="1130"/>
    </row>
    <row r="127" spans="1:63" ht="12.75" hidden="1" customHeight="1" outlineLevel="2">
      <c r="B127" s="143" t="s">
        <v>5080</v>
      </c>
      <c r="C127" s="144"/>
      <c r="D127" s="212">
        <f>SUM(K127:M127)</f>
        <v>0</v>
      </c>
      <c r="E127" s="212"/>
      <c r="F127" s="117"/>
      <c r="G127" s="117"/>
      <c r="H127" s="2466">
        <f>IF(ISNA(VLOOKUP($B127&amp;"; "&amp;$H$120&amp;", "&amp;H$121,'FE Fret'!$G:$U,9,FALSE)),0,VLOOKUP($B127&amp;"; "&amp;$H$120&amp;", "&amp;H$121,'FE Fret'!$G:$U,9,FALSE))</f>
        <v>0</v>
      </c>
      <c r="I127" s="2446">
        <f>IF(ISNA(VLOOKUP($B127&amp;"; "&amp;$H$120&amp;", "&amp;I$121,'FE Fret'!$G:$U,9,FALSE)),0,VLOOKUP($B127&amp;"; "&amp;$H$120&amp;", "&amp;I$121,'FE Fret'!$G:$U,9,FALSE))</f>
        <v>7.6999999999999999E-2</v>
      </c>
      <c r="J127" s="2446">
        <f>IF(ISNA(VLOOKUP($B127&amp;"; "&amp;$H$120&amp;", "&amp;J$121,'FE Fret'!$G:$U,9,FALSE)),0,VLOOKUP($B127&amp;"; "&amp;$H$120&amp;", "&amp;J$121,'FE Fret'!$G:$U,9,FALSE))</f>
        <v>3.0999999999999999E-3</v>
      </c>
      <c r="K127" s="212">
        <f t="shared" si="34"/>
        <v>0</v>
      </c>
      <c r="L127" s="212">
        <f t="shared" si="35"/>
        <v>0</v>
      </c>
      <c r="M127" s="2467">
        <f t="shared" si="36"/>
        <v>0</v>
      </c>
      <c r="X127" s="1092">
        <f t="shared" ref="X127:X130" si="44">IF(AE127=0,AE127,AE127/D127)</f>
        <v>0</v>
      </c>
      <c r="Y127" s="1094"/>
      <c r="Z127" s="212"/>
      <c r="AA127" s="164">
        <f t="shared" si="37"/>
        <v>0</v>
      </c>
      <c r="AB127" s="164">
        <f t="shared" si="38"/>
        <v>0</v>
      </c>
      <c r="AC127" s="164">
        <f t="shared" si="39"/>
        <v>0</v>
      </c>
      <c r="AD127" s="212"/>
      <c r="AE127" s="152">
        <f t="shared" si="40"/>
        <v>0</v>
      </c>
      <c r="AH127" s="564">
        <f>$G127*IF(ISNA(VLOOKUP($B127&amp;"; "&amp;$H$120&amp;", "&amp;H$121,'FE Fret'!$G:$U,10,FALSE)),0,VLOOKUP($B127&amp;"; "&amp;$H$120&amp;", "&amp;H$121,'FE Fret'!$G:$U,10,FALSE))</f>
        <v>0</v>
      </c>
      <c r="AI127" s="565">
        <f>$G127*IF(ISNA(VLOOKUP($B127&amp;"; "&amp;$H$120&amp;", "&amp;I$121,'FE Fret'!$G:$U,10,FALSE)),0,VLOOKUP($B127&amp;"; "&amp;$H$120&amp;", "&amp;I$121,'FE Fret'!$G:$U,10,FALSE))</f>
        <v>0</v>
      </c>
      <c r="AJ127" s="565">
        <f>$G127*IF(ISNA(VLOOKUP($B127&amp;"; "&amp;$H$120&amp;", "&amp;J$121,'FE Fret'!$G:$U,10,FALSE)),0,VLOOKUP($B127&amp;"; "&amp;$H$120&amp;", "&amp;J$121,'FE Fret'!$G:$U,10,FALSE))</f>
        <v>0</v>
      </c>
      <c r="AK127" s="565">
        <f>$G127*IF(ISNA(VLOOKUP($B127&amp;"; "&amp;$H$120&amp;", "&amp;H$121,'FE Fret'!$G:$U,11,FALSE)),0,VLOOKUP($B127&amp;"; "&amp;$H$120&amp;", "&amp;H$121,'FE Fret'!$G:$U,11,FALSE))+
$G127*IF(ISNA(VLOOKUP($B127&amp;"; "&amp;$H$120&amp;", "&amp;H$121,'FE Fret'!$G:$U,12,FALSE)),0,VLOOKUP($B127&amp;"; "&amp;$H$120&amp;", "&amp;H$121,'FE Fret'!$G:$U,12,FALSE))</f>
        <v>0</v>
      </c>
      <c r="AL127" s="565">
        <f>$G127*IF(ISNA(VLOOKUP($B127&amp;"; "&amp;$H$120&amp;", "&amp;I$121,'FE Fret'!$G:$U,11,FALSE)),0,VLOOKUP($B127&amp;"; "&amp;$H$120&amp;", "&amp;I$121,'FE Fret'!$G:$U,11,FALSE))+
$G127*IF(ISNA(VLOOKUP($B127&amp;"; "&amp;$H$120&amp;", "&amp;I$121,'FE Fret'!$G:$U,12,FALSE)),0,VLOOKUP($B127&amp;"; "&amp;$H$120&amp;", "&amp;I$121,'FE Fret'!$G:$U,12,FALSE))</f>
        <v>0</v>
      </c>
      <c r="AM127" s="565">
        <f>$G127*IF(ISNA(VLOOKUP($B127&amp;"; "&amp;$H$120&amp;", "&amp;J$121,'FE Fret'!$G:$U,11,FALSE)),0,VLOOKUP($B127&amp;"; "&amp;$H$120&amp;", "&amp;J$121,'FE Fret'!$G:$U,11,FALSE))+
$G127*IF(ISNA(VLOOKUP($B127&amp;"; "&amp;$H$120&amp;", "&amp;J$121,'FE Fret'!$G:$U,12,FALSE)),0,VLOOKUP($B127&amp;"; "&amp;$H$120&amp;", "&amp;J$121,'FE Fret'!$G:$U,12,FALSE))</f>
        <v>0</v>
      </c>
      <c r="AN127" s="565">
        <f>$G127*IF(ISNA(VLOOKUP($B127&amp;"; "&amp;$H$120&amp;", "&amp;H$121,'FE Fret'!$G:$U,13,FALSE)),0,VLOOKUP($B127&amp;"; "&amp;$H$120&amp;", "&amp;H$121,'FE Fret'!$G:$U,13,FALSE))</f>
        <v>0</v>
      </c>
      <c r="AO127" s="565">
        <f>$G127*IF(ISNA(VLOOKUP($B127&amp;"; "&amp;$H$120&amp;", "&amp;I$121,'FE Fret'!$G:$U,13,FALSE)),0,VLOOKUP($B127&amp;"; "&amp;$H$120&amp;", "&amp;I$121,'FE Fret'!$G:$U,13,FALSE))</f>
        <v>0</v>
      </c>
      <c r="AP127" s="565">
        <f>$G127*IF(ISNA(VLOOKUP($B127&amp;"; "&amp;$H$120&amp;", "&amp;J$121,'FE Fret'!$G:$U,13,FALSE)),0,VLOOKUP($B127&amp;"; "&amp;$H$120&amp;", "&amp;J$121,'FE Fret'!$G:$U,13,FALSE))</f>
        <v>0</v>
      </c>
      <c r="AQ127" s="565">
        <f>$G127*IF(ISNA(VLOOKUP($B127&amp;"; "&amp;$H$120&amp;", "&amp;H$121,'FE Fret'!$G:$U,14,FALSE)),0,VLOOKUP($B127&amp;"; "&amp;$H$120&amp;", "&amp;H$121,'FE Fret'!$G:$U,14,FALSE))</f>
        <v>0</v>
      </c>
      <c r="AR127" s="565">
        <f>$G127*IF(ISNA(VLOOKUP($B127&amp;"; "&amp;$H$120&amp;", "&amp;I$121,'FE Fret'!$G:$U,14,FALSE)),0,VLOOKUP($B127&amp;"; "&amp;$H$120&amp;", "&amp;I$121,'FE Fret'!$G:$U,14,FALSE))</f>
        <v>0</v>
      </c>
      <c r="AS127" s="565">
        <f>$G127*IF(ISNA(VLOOKUP($B127&amp;"; "&amp;$H$120&amp;", "&amp;J$121,'FE Fret'!$G:$U,14,FALSE)),0,VLOOKUP($B127&amp;"; "&amp;$H$120&amp;", "&amp;J$121,'FE Fret'!$G:$U,14,FALSE))</f>
        <v>0</v>
      </c>
      <c r="AT127" s="566">
        <f t="shared" si="41"/>
        <v>0</v>
      </c>
      <c r="AU127" s="566">
        <f t="shared" si="42"/>
        <v>0</v>
      </c>
      <c r="AV127" s="567">
        <f t="shared" si="43"/>
        <v>0</v>
      </c>
      <c r="AW127" s="565">
        <f>$G127*IF(ISNA(VLOOKUP($B127&amp;"; "&amp;$H$120&amp;", "&amp;H$121,'FE Fret'!$G:$U,15,FALSE)),0,VLOOKUP($B127&amp;"; "&amp;$H$120&amp;", "&amp;H$121,'FE Fret'!$G:$U,15,FALSE))</f>
        <v>0</v>
      </c>
      <c r="AX127" s="565">
        <f>$G127*IF(ISNA(VLOOKUP($B127&amp;"; "&amp;$H$120&amp;", "&amp;I$121,'FE Fret'!$G:$U,15,FALSE)),0,VLOOKUP($B127&amp;"; "&amp;$H$120&amp;", "&amp;I$121,'FE Fret'!$G:$U,15,FALSE))</f>
        <v>0</v>
      </c>
      <c r="AY127" s="568">
        <f>$G127*IF(ISNA(VLOOKUP($B127&amp;"; "&amp;$H$120&amp;", "&amp;J$121,'FE Fret'!$G:$U,15,FALSE)),0,VLOOKUP($B127&amp;"; "&amp;$H$120&amp;", "&amp;J$121,'FE Fret'!$G:$U,15,FALSE))</f>
        <v>0</v>
      </c>
      <c r="AZ127" s="2292"/>
      <c r="BA127" s="2292"/>
      <c r="BB127" s="2292"/>
      <c r="BC127" s="2292"/>
      <c r="BD127" s="2292"/>
      <c r="BE127" s="2292"/>
      <c r="BF127" s="2292"/>
      <c r="BH127" s="2224">
        <f>IF($Y127&lt;&gt;"votre valeur :",IF(ISNA(VLOOKUP($Y127,Utilitaires!$N$566:$O$571,2,FALSE)),,VLOOKUP($Y127,Utilitaires!$N$566:$O$571,2,FALSE)),$Z127)</f>
        <v>0</v>
      </c>
      <c r="BI127" s="1130">
        <f>IF(ISNA(SQRT(SUMSQ(VLOOKUP($B127&amp;"; "&amp;$H$120&amp;", "&amp;H$121,'FE Fret'!$G:$U,7,FALSE),$BH127))),0,SQRT(SUMSQ(VLOOKUP($B127&amp;"; "&amp;$H$120&amp;", "&amp;H$121,'FE Fret'!$G:$U,7,FALSE),$BH127)))</f>
        <v>0</v>
      </c>
      <c r="BJ127" s="2443">
        <f>IF(ISNA(SQRT(SUMSQ(VLOOKUP($B127&amp;"; "&amp;$H$120&amp;", "&amp;I$121,'FE Fret'!$G:$U,7,FALSE),$BH127))),0,SQRT(SUMSQ(VLOOKUP($B127&amp;"; "&amp;$H$120&amp;", "&amp;I$121,'FE Fret'!$G:$U,7,FALSE),$BH127)))</f>
        <v>0.4</v>
      </c>
      <c r="BK127" s="2443">
        <f>IF(ISNA(SQRT(SUMSQ(VLOOKUP($B127&amp;"; "&amp;$H$120&amp;", "&amp;L$121,'FE Fret'!$G:$U,7,FALSE),$BH127))),0,SQRT(SUMSQ(VLOOKUP($B127&amp;"; "&amp;$H$120&amp;", "&amp;L$121,'FE Fret'!$G:$U,7,FALSE),$BH127)))</f>
        <v>0.4</v>
      </c>
    </row>
    <row r="128" spans="1:63" ht="12.75" hidden="1" customHeight="1" outlineLevel="2">
      <c r="B128" s="143" t="s">
        <v>4021</v>
      </c>
      <c r="C128" s="144"/>
      <c r="D128" s="212">
        <f t="shared" ref="D128:D130" si="45">SUM(K128:M128)</f>
        <v>0</v>
      </c>
      <c r="E128" s="212"/>
      <c r="F128" s="120"/>
      <c r="G128" s="120"/>
      <c r="H128" s="2466">
        <f>IF(ISNA(VLOOKUP($B128&amp;"; "&amp;$H$120&amp;", "&amp;H$121,'FE Fret'!$G:$U,9,FALSE)),0,VLOOKUP($B128&amp;"; "&amp;$H$120&amp;", "&amp;H$121,'FE Fret'!$G:$U,9,FALSE))</f>
        <v>0</v>
      </c>
      <c r="I128" s="2446">
        <f>IF(ISNA(VLOOKUP($B128&amp;"; "&amp;$H$120&amp;", "&amp;I$121,'FE Fret'!$G:$U,9,FALSE)),0,VLOOKUP($B128&amp;"; "&amp;$H$120&amp;", "&amp;I$121,'FE Fret'!$G:$U,9,FALSE))</f>
        <v>3.2000000000000001E-2</v>
      </c>
      <c r="J128" s="2446">
        <f>IF(ISNA(VLOOKUP($B128&amp;"; "&amp;$H$120&amp;", "&amp;J$121,'FE Fret'!$G:$U,9,FALSE)),0,VLOOKUP($B128&amp;"; "&amp;$H$120&amp;", "&amp;J$121,'FE Fret'!$G:$U,9,FALSE))</f>
        <v>0</v>
      </c>
      <c r="K128" s="212">
        <f t="shared" si="34"/>
        <v>0</v>
      </c>
      <c r="L128" s="212">
        <f t="shared" si="35"/>
        <v>0</v>
      </c>
      <c r="M128" s="2467">
        <f t="shared" si="36"/>
        <v>0</v>
      </c>
      <c r="X128" s="1092">
        <f t="shared" si="44"/>
        <v>0</v>
      </c>
      <c r="Y128" s="343"/>
      <c r="Z128" s="212"/>
      <c r="AA128" s="164">
        <f t="shared" si="37"/>
        <v>0</v>
      </c>
      <c r="AB128" s="164">
        <f t="shared" si="38"/>
        <v>0</v>
      </c>
      <c r="AC128" s="164">
        <f t="shared" si="39"/>
        <v>0</v>
      </c>
      <c r="AD128" s="212"/>
      <c r="AE128" s="152">
        <f t="shared" si="40"/>
        <v>0</v>
      </c>
      <c r="AH128" s="564">
        <f>$G128*IF(ISNA(VLOOKUP($B128&amp;"; "&amp;$H$120&amp;", "&amp;H$121,'FE Fret'!$G:$U,10,FALSE)),0,VLOOKUP($B128&amp;"; "&amp;$H$120&amp;", "&amp;H$121,'FE Fret'!$G:$U,10,FALSE))</f>
        <v>0</v>
      </c>
      <c r="AI128" s="565">
        <f>$G128*IF(ISNA(VLOOKUP($B128&amp;"; "&amp;$H$120&amp;", "&amp;I$121,'FE Fret'!$G:$U,10,FALSE)),0,VLOOKUP($B128&amp;"; "&amp;$H$120&amp;", "&amp;I$121,'FE Fret'!$G:$U,10,FALSE))</f>
        <v>0</v>
      </c>
      <c r="AJ128" s="565">
        <f>$G128*IF(ISNA(VLOOKUP($B128&amp;"; "&amp;$H$120&amp;", "&amp;J$121,'FE Fret'!$G:$U,10,FALSE)),0,VLOOKUP($B128&amp;"; "&amp;$H$120&amp;", "&amp;J$121,'FE Fret'!$G:$U,10,FALSE))</f>
        <v>0</v>
      </c>
      <c r="AK128" s="565">
        <f>$G128*IF(ISNA(VLOOKUP($B128&amp;"; "&amp;$H$120&amp;", "&amp;H$121,'FE Fret'!$G:$U,11,FALSE)),0,VLOOKUP($B128&amp;"; "&amp;$H$120&amp;", "&amp;H$121,'FE Fret'!$G:$U,11,FALSE))+
$G128*IF(ISNA(VLOOKUP($B128&amp;"; "&amp;$H$120&amp;", "&amp;H$121,'FE Fret'!$G:$U,12,FALSE)),0,VLOOKUP($B128&amp;"; "&amp;$H$120&amp;", "&amp;H$121,'FE Fret'!$G:$U,12,FALSE))</f>
        <v>0</v>
      </c>
      <c r="AL128" s="565">
        <f>$G128*IF(ISNA(VLOOKUP($B128&amp;"; "&amp;$H$120&amp;", "&amp;I$121,'FE Fret'!$G:$U,11,FALSE)),0,VLOOKUP($B128&amp;"; "&amp;$H$120&amp;", "&amp;I$121,'FE Fret'!$G:$U,11,FALSE))+
$G128*IF(ISNA(VLOOKUP($B128&amp;"; "&amp;$H$120&amp;", "&amp;I$121,'FE Fret'!$G:$U,12,FALSE)),0,VLOOKUP($B128&amp;"; "&amp;$H$120&amp;", "&amp;I$121,'FE Fret'!$G:$U,12,FALSE))</f>
        <v>0</v>
      </c>
      <c r="AM128" s="565">
        <f>$G128*IF(ISNA(VLOOKUP($B128&amp;"; "&amp;$H$120&amp;", "&amp;J$121,'FE Fret'!$G:$U,11,FALSE)),0,VLOOKUP($B128&amp;"; "&amp;$H$120&amp;", "&amp;J$121,'FE Fret'!$G:$U,11,FALSE))+
$G128*IF(ISNA(VLOOKUP($B128&amp;"; "&amp;$H$120&amp;", "&amp;J$121,'FE Fret'!$G:$U,12,FALSE)),0,VLOOKUP($B128&amp;"; "&amp;$H$120&amp;", "&amp;J$121,'FE Fret'!$G:$U,12,FALSE))</f>
        <v>0</v>
      </c>
      <c r="AN128" s="565">
        <f>$G128*IF(ISNA(VLOOKUP($B128&amp;"; "&amp;$H$120&amp;", "&amp;H$121,'FE Fret'!$G:$U,13,FALSE)),0,VLOOKUP($B128&amp;"; "&amp;$H$120&amp;", "&amp;H$121,'FE Fret'!$G:$U,13,FALSE))</f>
        <v>0</v>
      </c>
      <c r="AO128" s="565">
        <f>$G128*IF(ISNA(VLOOKUP($B128&amp;"; "&amp;$H$120&amp;", "&amp;I$121,'FE Fret'!$G:$U,13,FALSE)),0,VLOOKUP($B128&amp;"; "&amp;$H$120&amp;", "&amp;I$121,'FE Fret'!$G:$U,13,FALSE))</f>
        <v>0</v>
      </c>
      <c r="AP128" s="565">
        <f>$G128*IF(ISNA(VLOOKUP($B128&amp;"; "&amp;$H$120&amp;", "&amp;J$121,'FE Fret'!$G:$U,13,FALSE)),0,VLOOKUP($B128&amp;"; "&amp;$H$120&amp;", "&amp;J$121,'FE Fret'!$G:$U,13,FALSE))</f>
        <v>0</v>
      </c>
      <c r="AQ128" s="565">
        <f>$G128*IF(ISNA(VLOOKUP($B128&amp;"; "&amp;$H$120&amp;", "&amp;H$121,'FE Fret'!$G:$U,14,FALSE)),0,VLOOKUP($B128&amp;"; "&amp;$H$120&amp;", "&amp;H$121,'FE Fret'!$G:$U,14,FALSE))</f>
        <v>0</v>
      </c>
      <c r="AR128" s="565">
        <f>$G128*IF(ISNA(VLOOKUP($B128&amp;"; "&amp;$H$120&amp;", "&amp;I$121,'FE Fret'!$G:$U,14,FALSE)),0,VLOOKUP($B128&amp;"; "&amp;$H$120&amp;", "&amp;I$121,'FE Fret'!$G:$U,14,FALSE))</f>
        <v>0</v>
      </c>
      <c r="AS128" s="565">
        <f>$G128*IF(ISNA(VLOOKUP($B128&amp;"; "&amp;$H$120&amp;", "&amp;J$121,'FE Fret'!$G:$U,14,FALSE)),0,VLOOKUP($B128&amp;"; "&amp;$H$120&amp;", "&amp;J$121,'FE Fret'!$G:$U,14,FALSE))</f>
        <v>0</v>
      </c>
      <c r="AT128" s="566">
        <f t="shared" si="41"/>
        <v>0</v>
      </c>
      <c r="AU128" s="566">
        <f t="shared" si="42"/>
        <v>0</v>
      </c>
      <c r="AV128" s="567">
        <f t="shared" si="43"/>
        <v>0</v>
      </c>
      <c r="AW128" s="565">
        <f>$G128*IF(ISNA(VLOOKUP($B128&amp;"; "&amp;$H$120&amp;", "&amp;H$121,'FE Fret'!$G:$U,15,FALSE)),0,VLOOKUP($B128&amp;"; "&amp;$H$120&amp;", "&amp;H$121,'FE Fret'!$G:$U,15,FALSE))</f>
        <v>0</v>
      </c>
      <c r="AX128" s="565">
        <f>$G128*IF(ISNA(VLOOKUP($B128&amp;"; "&amp;$H$120&amp;", "&amp;I$121,'FE Fret'!$G:$U,15,FALSE)),0,VLOOKUP($B128&amp;"; "&amp;$H$120&amp;", "&amp;I$121,'FE Fret'!$G:$U,15,FALSE))</f>
        <v>0</v>
      </c>
      <c r="AY128" s="568">
        <f>$G128*IF(ISNA(VLOOKUP($B128&amp;"; "&amp;$H$120&amp;", "&amp;J$121,'FE Fret'!$G:$U,15,FALSE)),0,VLOOKUP($B128&amp;"; "&amp;$H$120&amp;", "&amp;J$121,'FE Fret'!$G:$U,15,FALSE))</f>
        <v>0</v>
      </c>
      <c r="AZ128" s="2292"/>
      <c r="BA128" s="2292"/>
      <c r="BB128" s="2292"/>
      <c r="BC128" s="2292"/>
      <c r="BD128" s="2292"/>
      <c r="BE128" s="2292"/>
      <c r="BF128" s="2292"/>
      <c r="BH128" s="2224">
        <f>IF($Y128&lt;&gt;"votre valeur :",IF(ISNA(VLOOKUP($Y128,Utilitaires!$N$566:$O$571,2,FALSE)),,VLOOKUP($Y128,Utilitaires!$N$566:$O$571,2,FALSE)),$Z128)</f>
        <v>0</v>
      </c>
      <c r="BI128" s="1130">
        <f>IF(ISNA(SQRT(SUMSQ(VLOOKUP($B128&amp;"; "&amp;$H$120&amp;", "&amp;H$121,'FE Fret'!$G:$U,7,FALSE),$BH128))),0,SQRT(SUMSQ(VLOOKUP($B128&amp;"; "&amp;$H$120&amp;", "&amp;H$121,'FE Fret'!$G:$U,7,FALSE),$BH128)))</f>
        <v>0</v>
      </c>
      <c r="BJ128" s="2443">
        <f>IF(ISNA(SQRT(SUMSQ(VLOOKUP($B128&amp;"; "&amp;$H$120&amp;", "&amp;I$121,'FE Fret'!$G:$U,7,FALSE),$BH128))),0,SQRT(SUMSQ(VLOOKUP($B128&amp;"; "&amp;$H$120&amp;", "&amp;I$121,'FE Fret'!$G:$U,7,FALSE),$BH128)))</f>
        <v>0.5</v>
      </c>
      <c r="BK128" s="2443">
        <f>IF(ISNA(SQRT(SUMSQ(VLOOKUP($B128&amp;"; "&amp;$H$120&amp;", "&amp;L$121,'FE Fret'!$G:$U,7,FALSE),$BH128))),0,SQRT(SUMSQ(VLOOKUP($B128&amp;"; "&amp;$H$120&amp;", "&amp;L$121,'FE Fret'!$G:$U,7,FALSE),$BH128)))</f>
        <v>0.5</v>
      </c>
    </row>
    <row r="129" spans="1:68" ht="12.75" hidden="1" customHeight="1" outlineLevel="2">
      <c r="B129" s="143" t="s">
        <v>4025</v>
      </c>
      <c r="C129" s="144"/>
      <c r="D129" s="212">
        <f t="shared" si="45"/>
        <v>0</v>
      </c>
      <c r="E129" s="212"/>
      <c r="F129" s="120"/>
      <c r="G129" s="120"/>
      <c r="H129" s="2466">
        <f>IF(ISNA(VLOOKUP($B129&amp;"; "&amp;$H$120&amp;", "&amp;H$121,'FE Fret'!$G:$U,9,FALSE)),0,VLOOKUP($B129&amp;"; "&amp;$H$120&amp;", "&amp;H$121,'FE Fret'!$G:$U,9,FALSE))</f>
        <v>0</v>
      </c>
      <c r="I129" s="2446">
        <f>IF(ISNA(VLOOKUP($B129&amp;"; "&amp;$H$120&amp;", "&amp;I$121,'FE Fret'!$G:$U,9,FALSE)),0,VLOOKUP($B129&amp;"; "&amp;$H$120&amp;", "&amp;I$121,'FE Fret'!$G:$U,9,FALSE))</f>
        <v>4.28E-3</v>
      </c>
      <c r="J129" s="2446">
        <f>IF(ISNA(VLOOKUP($B129&amp;"; "&amp;$H$120&amp;", "&amp;J$121,'FE Fret'!$G:$U,9,FALSE)),0,VLOOKUP($B129&amp;"; "&amp;$H$120&amp;", "&amp;J$121,'FE Fret'!$G:$U,9,FALSE))</f>
        <v>0</v>
      </c>
      <c r="K129" s="212">
        <f t="shared" si="34"/>
        <v>0</v>
      </c>
      <c r="L129" s="212">
        <f t="shared" si="35"/>
        <v>0</v>
      </c>
      <c r="M129" s="2467">
        <f t="shared" si="36"/>
        <v>0</v>
      </c>
      <c r="X129" s="1092">
        <f t="shared" si="44"/>
        <v>0</v>
      </c>
      <c r="Y129" s="343"/>
      <c r="Z129" s="212"/>
      <c r="AA129" s="164">
        <f t="shared" si="37"/>
        <v>0</v>
      </c>
      <c r="AB129" s="164">
        <f t="shared" si="38"/>
        <v>0</v>
      </c>
      <c r="AC129" s="164">
        <f t="shared" si="39"/>
        <v>0</v>
      </c>
      <c r="AD129" s="212"/>
      <c r="AE129" s="152">
        <f t="shared" si="40"/>
        <v>0</v>
      </c>
      <c r="AH129" s="564">
        <f>$G129*IF(ISNA(VLOOKUP($B129&amp;"; "&amp;$H$120&amp;", "&amp;H$121,'FE Fret'!$G:$U,10,FALSE)),0,VLOOKUP($B129&amp;"; "&amp;$H$120&amp;", "&amp;H$121,'FE Fret'!$G:$U,10,FALSE))</f>
        <v>0</v>
      </c>
      <c r="AI129" s="565">
        <f>$G129*IF(ISNA(VLOOKUP($B129&amp;"; "&amp;$H$120&amp;", "&amp;I$121,'FE Fret'!$G:$U,10,FALSE)),0,VLOOKUP($B129&amp;"; "&amp;$H$120&amp;", "&amp;I$121,'FE Fret'!$G:$U,10,FALSE))</f>
        <v>0</v>
      </c>
      <c r="AJ129" s="565">
        <f>$G129*IF(ISNA(VLOOKUP($B129&amp;"; "&amp;$H$120&amp;", "&amp;J$121,'FE Fret'!$G:$U,10,FALSE)),0,VLOOKUP($B129&amp;"; "&amp;$H$120&amp;", "&amp;J$121,'FE Fret'!$G:$U,10,FALSE))</f>
        <v>0</v>
      </c>
      <c r="AK129" s="565">
        <f>$G129*IF(ISNA(VLOOKUP($B129&amp;"; "&amp;$H$120&amp;", "&amp;H$121,'FE Fret'!$G:$U,11,FALSE)),0,VLOOKUP($B129&amp;"; "&amp;$H$120&amp;", "&amp;H$121,'FE Fret'!$G:$U,11,FALSE))+
$G129*IF(ISNA(VLOOKUP($B129&amp;"; "&amp;$H$120&amp;", "&amp;H$121,'FE Fret'!$G:$U,12,FALSE)),0,VLOOKUP($B129&amp;"; "&amp;$H$120&amp;", "&amp;H$121,'FE Fret'!$G:$U,12,FALSE))</f>
        <v>0</v>
      </c>
      <c r="AL129" s="565">
        <f>$G129*IF(ISNA(VLOOKUP($B129&amp;"; "&amp;$H$120&amp;", "&amp;I$121,'FE Fret'!$G:$U,11,FALSE)),0,VLOOKUP($B129&amp;"; "&amp;$H$120&amp;", "&amp;I$121,'FE Fret'!$G:$U,11,FALSE))+
$G129*IF(ISNA(VLOOKUP($B129&amp;"; "&amp;$H$120&amp;", "&amp;I$121,'FE Fret'!$G:$U,12,FALSE)),0,VLOOKUP($B129&amp;"; "&amp;$H$120&amp;", "&amp;I$121,'FE Fret'!$G:$U,12,FALSE))</f>
        <v>0</v>
      </c>
      <c r="AM129" s="565">
        <f>$G129*IF(ISNA(VLOOKUP($B129&amp;"; "&amp;$H$120&amp;", "&amp;J$121,'FE Fret'!$G:$U,11,FALSE)),0,VLOOKUP($B129&amp;"; "&amp;$H$120&amp;", "&amp;J$121,'FE Fret'!$G:$U,11,FALSE))+
$G129*IF(ISNA(VLOOKUP($B129&amp;"; "&amp;$H$120&amp;", "&amp;J$121,'FE Fret'!$G:$U,12,FALSE)),0,VLOOKUP($B129&amp;"; "&amp;$H$120&amp;", "&amp;J$121,'FE Fret'!$G:$U,12,FALSE))</f>
        <v>0</v>
      </c>
      <c r="AN129" s="565">
        <f>$G129*IF(ISNA(VLOOKUP($B129&amp;"; "&amp;$H$120&amp;", "&amp;H$121,'FE Fret'!$G:$U,13,FALSE)),0,VLOOKUP($B129&amp;"; "&amp;$H$120&amp;", "&amp;H$121,'FE Fret'!$G:$U,13,FALSE))</f>
        <v>0</v>
      </c>
      <c r="AO129" s="565">
        <f>$G129*IF(ISNA(VLOOKUP($B129&amp;"; "&amp;$H$120&amp;", "&amp;I$121,'FE Fret'!$G:$U,13,FALSE)),0,VLOOKUP($B129&amp;"; "&amp;$H$120&amp;", "&amp;I$121,'FE Fret'!$G:$U,13,FALSE))</f>
        <v>0</v>
      </c>
      <c r="AP129" s="565">
        <f>$G129*IF(ISNA(VLOOKUP($B129&amp;"; "&amp;$H$120&amp;", "&amp;J$121,'FE Fret'!$G:$U,13,FALSE)),0,VLOOKUP($B129&amp;"; "&amp;$H$120&amp;", "&amp;J$121,'FE Fret'!$G:$U,13,FALSE))</f>
        <v>0</v>
      </c>
      <c r="AQ129" s="565">
        <f>$G129*IF(ISNA(VLOOKUP($B129&amp;"; "&amp;$H$120&amp;", "&amp;H$121,'FE Fret'!$G:$U,14,FALSE)),0,VLOOKUP($B129&amp;"; "&amp;$H$120&amp;", "&amp;H$121,'FE Fret'!$G:$U,14,FALSE))</f>
        <v>0</v>
      </c>
      <c r="AR129" s="565">
        <f>$G129*IF(ISNA(VLOOKUP($B129&amp;"; "&amp;$H$120&amp;", "&amp;I$121,'FE Fret'!$G:$U,14,FALSE)),0,VLOOKUP($B129&amp;"; "&amp;$H$120&amp;", "&amp;I$121,'FE Fret'!$G:$U,14,FALSE))</f>
        <v>0</v>
      </c>
      <c r="AS129" s="565">
        <f>$G129*IF(ISNA(VLOOKUP($B129&amp;"; "&amp;$H$120&amp;", "&amp;J$121,'FE Fret'!$G:$U,14,FALSE)),0,VLOOKUP($B129&amp;"; "&amp;$H$120&amp;", "&amp;J$121,'FE Fret'!$G:$U,14,FALSE))</f>
        <v>0</v>
      </c>
      <c r="AT129" s="566">
        <f t="shared" si="41"/>
        <v>0</v>
      </c>
      <c r="AU129" s="566">
        <f t="shared" si="42"/>
        <v>0</v>
      </c>
      <c r="AV129" s="567">
        <f t="shared" si="43"/>
        <v>0</v>
      </c>
      <c r="AW129" s="565">
        <f>$G129*IF(ISNA(VLOOKUP($B129&amp;"; "&amp;$H$120&amp;", "&amp;H$121,'FE Fret'!$G:$U,15,FALSE)),0,VLOOKUP($B129&amp;"; "&amp;$H$120&amp;", "&amp;H$121,'FE Fret'!$G:$U,15,FALSE))</f>
        <v>0</v>
      </c>
      <c r="AX129" s="565">
        <f>$G129*IF(ISNA(VLOOKUP($B129&amp;"; "&amp;$H$120&amp;", "&amp;I$121,'FE Fret'!$G:$U,15,FALSE)),0,VLOOKUP($B129&amp;"; "&amp;$H$120&amp;", "&amp;I$121,'FE Fret'!$G:$U,15,FALSE))</f>
        <v>0</v>
      </c>
      <c r="AY129" s="568">
        <f>$G129*IF(ISNA(VLOOKUP($B129&amp;"; "&amp;$H$120&amp;", "&amp;J$121,'FE Fret'!$G:$U,15,FALSE)),0,VLOOKUP($B129&amp;"; "&amp;$H$120&amp;", "&amp;J$121,'FE Fret'!$G:$U,15,FALSE))</f>
        <v>0</v>
      </c>
      <c r="AZ129" s="2292"/>
      <c r="BA129" s="2292"/>
      <c r="BB129" s="2292"/>
      <c r="BC129" s="2292"/>
      <c r="BD129" s="2292"/>
      <c r="BE129" s="2292"/>
      <c r="BF129" s="2292"/>
      <c r="BH129" s="2224">
        <f>IF($Y129&lt;&gt;"votre valeur :",IF(ISNA(VLOOKUP($Y129,Utilitaires!$N$566:$O$571,2,FALSE)),,VLOOKUP($Y129,Utilitaires!$N$566:$O$571,2,FALSE)),$Z129)</f>
        <v>0</v>
      </c>
      <c r="BI129" s="1130">
        <f>IF(ISNA(SQRT(SUMSQ(VLOOKUP($B129&amp;"; "&amp;$H$120&amp;", "&amp;H$121,'FE Fret'!$G:$U,7,FALSE),$BH129))),0,SQRT(SUMSQ(VLOOKUP($B129&amp;"; "&amp;$H$120&amp;", "&amp;H$121,'FE Fret'!$G:$U,7,FALSE),$BH129)))</f>
        <v>0</v>
      </c>
      <c r="BJ129" s="2443">
        <f>IF(ISNA(SQRT(SUMSQ(VLOOKUP($B129&amp;"; "&amp;$H$120&amp;", "&amp;I$121,'FE Fret'!$G:$U,7,FALSE),$BH129))),0,SQRT(SUMSQ(VLOOKUP($B129&amp;"; "&amp;$H$120&amp;", "&amp;I$121,'FE Fret'!$G:$U,7,FALSE),$BH129)))</f>
        <v>0.5</v>
      </c>
      <c r="BK129" s="2443">
        <f>IF(ISNA(SQRT(SUMSQ(VLOOKUP($B129&amp;"; "&amp;$H$120&amp;", "&amp;L$121,'FE Fret'!$G:$U,7,FALSE),$BH129))),0,SQRT(SUMSQ(VLOOKUP($B129&amp;"; "&amp;$H$120&amp;", "&amp;L$121,'FE Fret'!$G:$U,7,FALSE),$BH129)))</f>
        <v>0.5</v>
      </c>
    </row>
    <row r="130" spans="1:68" ht="12.75" hidden="1" customHeight="1" outlineLevel="2">
      <c r="B130" s="143" t="s">
        <v>4026</v>
      </c>
      <c r="C130" s="144"/>
      <c r="D130" s="212">
        <f t="shared" si="45"/>
        <v>0</v>
      </c>
      <c r="E130" s="212"/>
      <c r="F130" s="123"/>
      <c r="G130" s="123"/>
      <c r="H130" s="2466">
        <f>IF(ISNA(VLOOKUP($B130&amp;"; "&amp;$H$120&amp;", "&amp;H$121,'FE Fret'!$G:$U,9,FALSE)),0,VLOOKUP($B130&amp;"; "&amp;$H$120&amp;", "&amp;H$121,'FE Fret'!$G:$U,9,FALSE))</f>
        <v>0</v>
      </c>
      <c r="I130" s="2446">
        <f>IF(ISNA(VLOOKUP($B130&amp;"; "&amp;$H$120&amp;", "&amp;I$121,'FE Fret'!$G:$U,9,FALSE)),0,VLOOKUP($B130&amp;"; "&amp;$H$120&amp;", "&amp;I$121,'FE Fret'!$G:$U,9,FALSE))</f>
        <v>4.4400000000000002E-2</v>
      </c>
      <c r="J130" s="2446">
        <f>IF(ISNA(VLOOKUP($B130&amp;"; "&amp;$H$120&amp;", "&amp;J$121,'FE Fret'!$G:$U,9,FALSE)),0,VLOOKUP($B130&amp;"; "&amp;$H$120&amp;", "&amp;J$121,'FE Fret'!$G:$U,9,FALSE))</f>
        <v>0</v>
      </c>
      <c r="K130" s="212">
        <f t="shared" si="34"/>
        <v>0</v>
      </c>
      <c r="L130" s="212">
        <f t="shared" si="35"/>
        <v>0</v>
      </c>
      <c r="M130" s="2467">
        <f t="shared" si="36"/>
        <v>0</v>
      </c>
      <c r="X130" s="1092">
        <f t="shared" si="44"/>
        <v>0</v>
      </c>
      <c r="Y130" s="1094"/>
      <c r="Z130" s="212"/>
      <c r="AA130" s="164">
        <f t="shared" si="37"/>
        <v>0</v>
      </c>
      <c r="AB130" s="164">
        <f t="shared" si="38"/>
        <v>0</v>
      </c>
      <c r="AC130" s="164">
        <f t="shared" si="39"/>
        <v>0</v>
      </c>
      <c r="AD130" s="212"/>
      <c r="AE130" s="152">
        <f t="shared" si="40"/>
        <v>0</v>
      </c>
      <c r="AH130" s="564">
        <f>$G130*IF(ISNA(VLOOKUP($B130&amp;"; "&amp;$H$120&amp;", "&amp;H$121,'FE Fret'!$G:$U,10,FALSE)),0,VLOOKUP($B130&amp;"; "&amp;$H$120&amp;", "&amp;H$121,'FE Fret'!$G:$U,10,FALSE))</f>
        <v>0</v>
      </c>
      <c r="AI130" s="565">
        <f>$G130*IF(ISNA(VLOOKUP($B130&amp;"; "&amp;$H$120&amp;", "&amp;I$121,'FE Fret'!$G:$U,10,FALSE)),0,VLOOKUP($B130&amp;"; "&amp;$H$120&amp;", "&amp;I$121,'FE Fret'!$G:$U,10,FALSE))</f>
        <v>0</v>
      </c>
      <c r="AJ130" s="565">
        <f>$G130*IF(ISNA(VLOOKUP($B130&amp;"; "&amp;$H$120&amp;", "&amp;J$121,'FE Fret'!$G:$U,10,FALSE)),0,VLOOKUP($B130&amp;"; "&amp;$H$120&amp;", "&amp;J$121,'FE Fret'!$G:$U,10,FALSE))</f>
        <v>0</v>
      </c>
      <c r="AK130" s="565">
        <f>$G130*IF(ISNA(VLOOKUP($B130&amp;"; "&amp;$H$120&amp;", "&amp;H$121,'FE Fret'!$G:$U,11,FALSE)),0,VLOOKUP($B130&amp;"; "&amp;$H$120&amp;", "&amp;H$121,'FE Fret'!$G:$U,11,FALSE))+
$G130*IF(ISNA(VLOOKUP($B130&amp;"; "&amp;$H$120&amp;", "&amp;H$121,'FE Fret'!$G:$U,12,FALSE)),0,VLOOKUP($B130&amp;"; "&amp;$H$120&amp;", "&amp;H$121,'FE Fret'!$G:$U,12,FALSE))</f>
        <v>0</v>
      </c>
      <c r="AL130" s="565">
        <f>$G130*IF(ISNA(VLOOKUP($B130&amp;"; "&amp;$H$120&amp;", "&amp;I$121,'FE Fret'!$G:$U,11,FALSE)),0,VLOOKUP($B130&amp;"; "&amp;$H$120&amp;", "&amp;I$121,'FE Fret'!$G:$U,11,FALSE))+
$G130*IF(ISNA(VLOOKUP($B130&amp;"; "&amp;$H$120&amp;", "&amp;I$121,'FE Fret'!$G:$U,12,FALSE)),0,VLOOKUP($B130&amp;"; "&amp;$H$120&amp;", "&amp;I$121,'FE Fret'!$G:$U,12,FALSE))</f>
        <v>0</v>
      </c>
      <c r="AM130" s="565">
        <f>$G130*IF(ISNA(VLOOKUP($B130&amp;"; "&amp;$H$120&amp;", "&amp;J$121,'FE Fret'!$G:$U,11,FALSE)),0,VLOOKUP($B130&amp;"; "&amp;$H$120&amp;", "&amp;J$121,'FE Fret'!$G:$U,11,FALSE))+
$G130*IF(ISNA(VLOOKUP($B130&amp;"; "&amp;$H$120&amp;", "&amp;J$121,'FE Fret'!$G:$U,12,FALSE)),0,VLOOKUP($B130&amp;"; "&amp;$H$120&amp;", "&amp;J$121,'FE Fret'!$G:$U,12,FALSE))</f>
        <v>0</v>
      </c>
      <c r="AN130" s="565">
        <f>$G130*IF(ISNA(VLOOKUP($B130&amp;"; "&amp;$H$120&amp;", "&amp;H$121,'FE Fret'!$G:$U,13,FALSE)),0,VLOOKUP($B130&amp;"; "&amp;$H$120&amp;", "&amp;H$121,'FE Fret'!$G:$U,13,FALSE))</f>
        <v>0</v>
      </c>
      <c r="AO130" s="565">
        <f>$G130*IF(ISNA(VLOOKUP($B130&amp;"; "&amp;$H$120&amp;", "&amp;I$121,'FE Fret'!$G:$U,13,FALSE)),0,VLOOKUP($B130&amp;"; "&amp;$H$120&amp;", "&amp;I$121,'FE Fret'!$G:$U,13,FALSE))</f>
        <v>0</v>
      </c>
      <c r="AP130" s="565">
        <f>$G130*IF(ISNA(VLOOKUP($B130&amp;"; "&amp;$H$120&amp;", "&amp;J$121,'FE Fret'!$G:$U,13,FALSE)),0,VLOOKUP($B130&amp;"; "&amp;$H$120&amp;", "&amp;J$121,'FE Fret'!$G:$U,13,FALSE))</f>
        <v>0</v>
      </c>
      <c r="AQ130" s="565">
        <f>$G130*IF(ISNA(VLOOKUP($B130&amp;"; "&amp;$H$120&amp;", "&amp;H$121,'FE Fret'!$G:$U,14,FALSE)),0,VLOOKUP($B130&amp;"; "&amp;$H$120&amp;", "&amp;H$121,'FE Fret'!$G:$U,14,FALSE))</f>
        <v>0</v>
      </c>
      <c r="AR130" s="565">
        <f>$G130*IF(ISNA(VLOOKUP($B130&amp;"; "&amp;$H$120&amp;", "&amp;I$121,'FE Fret'!$G:$U,14,FALSE)),0,VLOOKUP($B130&amp;"; "&amp;$H$120&amp;", "&amp;I$121,'FE Fret'!$G:$U,14,FALSE))</f>
        <v>0</v>
      </c>
      <c r="AS130" s="565">
        <f>$G130*IF(ISNA(VLOOKUP($B130&amp;"; "&amp;$H$120&amp;", "&amp;J$121,'FE Fret'!$G:$U,14,FALSE)),0,VLOOKUP($B130&amp;"; "&amp;$H$120&amp;", "&amp;J$121,'FE Fret'!$G:$U,14,FALSE))</f>
        <v>0</v>
      </c>
      <c r="AT130" s="566">
        <f t="shared" si="41"/>
        <v>0</v>
      </c>
      <c r="AU130" s="566">
        <f t="shared" si="42"/>
        <v>0</v>
      </c>
      <c r="AV130" s="567">
        <f t="shared" si="43"/>
        <v>0</v>
      </c>
      <c r="AW130" s="565">
        <f>$G130*IF(ISNA(VLOOKUP($B130&amp;"; "&amp;$H$120&amp;", "&amp;H$121,'FE Fret'!$G:$U,15,FALSE)),0,VLOOKUP($B130&amp;"; "&amp;$H$120&amp;", "&amp;H$121,'FE Fret'!$G:$U,15,FALSE))</f>
        <v>0</v>
      </c>
      <c r="AX130" s="565">
        <f>$G130*IF(ISNA(VLOOKUP($B130&amp;"; "&amp;$H$120&amp;", "&amp;I$121,'FE Fret'!$G:$U,15,FALSE)),0,VLOOKUP($B130&amp;"; "&amp;$H$120&amp;", "&amp;I$121,'FE Fret'!$G:$U,15,FALSE))</f>
        <v>0</v>
      </c>
      <c r="AY130" s="568">
        <f>$G130*IF(ISNA(VLOOKUP($B130&amp;"; "&amp;$H$120&amp;", "&amp;J$121,'FE Fret'!$G:$U,15,FALSE)),0,VLOOKUP($B130&amp;"; "&amp;$H$120&amp;", "&amp;J$121,'FE Fret'!$G:$U,15,FALSE))</f>
        <v>0</v>
      </c>
      <c r="AZ130" s="2292"/>
      <c r="BA130" s="2292"/>
      <c r="BB130" s="2292"/>
      <c r="BC130" s="2292"/>
      <c r="BD130" s="2292"/>
      <c r="BE130" s="2292"/>
      <c r="BF130" s="2292"/>
      <c r="BH130" s="2224">
        <f>IF($Y130&lt;&gt;"votre valeur :",IF(ISNA(VLOOKUP($Y130,Utilitaires!$N$566:$O$571,2,FALSE)),,VLOOKUP($Y130,Utilitaires!$N$566:$O$571,2,FALSE)),$Z130)</f>
        <v>0</v>
      </c>
      <c r="BI130" s="1130">
        <f>IF(ISNA(SQRT(SUMSQ(VLOOKUP($B130&amp;"; "&amp;$H$120&amp;", "&amp;H$121,'FE Fret'!$G:$U,7,FALSE),$BH130))),0,SQRT(SUMSQ(VLOOKUP($B130&amp;"; "&amp;$H$120&amp;", "&amp;H$121,'FE Fret'!$G:$U,7,FALSE),$BH130)))</f>
        <v>0</v>
      </c>
      <c r="BJ130" s="2443">
        <f>IF(ISNA(SQRT(SUMSQ(VLOOKUP($B130&amp;"; "&amp;$H$120&amp;", "&amp;I$121,'FE Fret'!$G:$U,7,FALSE),$BH130))),0,SQRT(SUMSQ(VLOOKUP($B130&amp;"; "&amp;$H$120&amp;", "&amp;I$121,'FE Fret'!$G:$U,7,FALSE),$BH130)))</f>
        <v>0.5</v>
      </c>
      <c r="BK130" s="2443">
        <f>IF(ISNA(SQRT(SUMSQ(VLOOKUP($B130&amp;"; "&amp;$H$120&amp;", "&amp;L$121,'FE Fret'!$G:$U,7,FALSE),$BH130))),0,SQRT(SUMSQ(VLOOKUP($B130&amp;"; "&amp;$H$120&amp;", "&amp;L$121,'FE Fret'!$G:$U,7,FALSE),$BH130)))</f>
        <v>0.5</v>
      </c>
    </row>
    <row r="131" spans="1:68" ht="12.75" hidden="1" customHeight="1" outlineLevel="2">
      <c r="B131" s="143"/>
      <c r="C131" s="144"/>
      <c r="D131" s="212"/>
      <c r="E131" s="212"/>
      <c r="F131" s="353"/>
      <c r="G131" s="144"/>
      <c r="H131" s="144"/>
      <c r="I131" s="212"/>
      <c r="J131" s="212"/>
      <c r="K131" s="212"/>
      <c r="L131" s="212"/>
      <c r="M131" s="165"/>
      <c r="X131" s="1092"/>
      <c r="Y131" s="155"/>
      <c r="Z131" s="169"/>
      <c r="AA131" s="155"/>
      <c r="AB131" s="155"/>
      <c r="AC131" s="155"/>
      <c r="AD131" s="155"/>
      <c r="AE131" s="165"/>
      <c r="AH131" s="564"/>
      <c r="AI131" s="565"/>
      <c r="AJ131" s="565"/>
      <c r="AK131" s="565"/>
      <c r="AL131" s="565"/>
      <c r="AM131" s="565"/>
      <c r="AN131" s="565"/>
      <c r="AO131" s="565"/>
      <c r="AP131" s="565"/>
      <c r="AQ131" s="565"/>
      <c r="AR131" s="565"/>
      <c r="AS131" s="565"/>
      <c r="AT131" s="566"/>
      <c r="AU131" s="566"/>
      <c r="AV131" s="567"/>
      <c r="AW131" s="565"/>
      <c r="AX131" s="565"/>
      <c r="AY131" s="568"/>
      <c r="AZ131" s="2292"/>
      <c r="BA131" s="2292"/>
      <c r="BB131" s="2292"/>
      <c r="BC131" s="2292"/>
      <c r="BD131" s="2292"/>
      <c r="BE131" s="2292"/>
      <c r="BF131" s="2292"/>
      <c r="BH131" s="2224"/>
      <c r="BI131" s="1130"/>
      <c r="BJ131" s="2443"/>
      <c r="BK131" s="2443"/>
    </row>
    <row r="132" spans="1:68" s="116" customFormat="1" ht="12.75" hidden="1" customHeight="1" outlineLevel="2">
      <c r="A132" s="114"/>
      <c r="B132" s="196" t="s">
        <v>348</v>
      </c>
      <c r="C132" s="197"/>
      <c r="D132" s="214">
        <f>SUM(D122:D131)</f>
        <v>0</v>
      </c>
      <c r="E132" s="214"/>
      <c r="F132" s="198"/>
      <c r="G132" s="197"/>
      <c r="H132" s="197"/>
      <c r="I132" s="214"/>
      <c r="J132" s="214"/>
      <c r="K132" s="202">
        <f>SUM(K122:K131)</f>
        <v>0</v>
      </c>
      <c r="L132" s="202">
        <f>SUM(L122:L131)</f>
        <v>0</v>
      </c>
      <c r="M132" s="200">
        <f>SUM(M122:M131)</f>
        <v>0</v>
      </c>
      <c r="T132" s="114"/>
      <c r="U132" s="114"/>
      <c r="V132" s="114"/>
      <c r="W132" s="114"/>
      <c r="X132" s="1204">
        <f>IF(AE132=0,AE132,AE132/D132)</f>
        <v>0</v>
      </c>
      <c r="Y132" s="199"/>
      <c r="Z132" s="199"/>
      <c r="AA132" s="203">
        <f>SQRT(SUMSQ(AA122:AA131))</f>
        <v>0</v>
      </c>
      <c r="AB132" s="203">
        <f>SQRT(SUMSQ(AB122:AB131))</f>
        <v>0</v>
      </c>
      <c r="AC132" s="203">
        <f>SQRT(SUMSQ(AC122:AC131))</f>
        <v>0</v>
      </c>
      <c r="AD132" s="203"/>
      <c r="AE132" s="200">
        <f>SQRT(SUMSQ(AE122:AE131))</f>
        <v>0</v>
      </c>
      <c r="AF132" s="114"/>
      <c r="AG132" s="114"/>
      <c r="AH132" s="1082">
        <f t="shared" ref="AH132:AR132" si="46">SUM(AH122:AH131)</f>
        <v>0</v>
      </c>
      <c r="AI132" s="572">
        <f t="shared" si="46"/>
        <v>0</v>
      </c>
      <c r="AJ132" s="572">
        <f t="shared" si="46"/>
        <v>0</v>
      </c>
      <c r="AK132" s="572">
        <f t="shared" si="46"/>
        <v>0</v>
      </c>
      <c r="AL132" s="572">
        <f t="shared" si="46"/>
        <v>0</v>
      </c>
      <c r="AM132" s="572">
        <f t="shared" si="46"/>
        <v>0</v>
      </c>
      <c r="AN132" s="572">
        <f t="shared" si="46"/>
        <v>0</v>
      </c>
      <c r="AO132" s="572">
        <f t="shared" si="46"/>
        <v>0</v>
      </c>
      <c r="AP132" s="572">
        <f t="shared" si="46"/>
        <v>0</v>
      </c>
      <c r="AQ132" s="572">
        <f t="shared" si="46"/>
        <v>0</v>
      </c>
      <c r="AR132" s="572">
        <f t="shared" si="46"/>
        <v>0</v>
      </c>
      <c r="AS132" s="572">
        <f>SUM(AS122:AS130)</f>
        <v>0</v>
      </c>
      <c r="AT132" s="573">
        <f t="shared" ref="AT132:AY132" si="47">SUM(AT122:AT131)</f>
        <v>0</v>
      </c>
      <c r="AU132" s="573">
        <f t="shared" si="47"/>
        <v>0</v>
      </c>
      <c r="AV132" s="574">
        <f t="shared" si="47"/>
        <v>0</v>
      </c>
      <c r="AW132" s="1082">
        <f t="shared" si="47"/>
        <v>0</v>
      </c>
      <c r="AX132" s="572">
        <f t="shared" si="47"/>
        <v>0</v>
      </c>
      <c r="AY132" s="575">
        <f t="shared" si="47"/>
        <v>0</v>
      </c>
      <c r="AZ132" s="2292"/>
      <c r="BA132" s="2292"/>
      <c r="BB132" s="2292"/>
      <c r="BC132" s="2292"/>
      <c r="BD132" s="2292"/>
      <c r="BE132" s="2292"/>
      <c r="BF132" s="2292"/>
      <c r="BH132" s="2440"/>
      <c r="BI132" s="1153"/>
      <c r="BJ132" s="2444"/>
      <c r="BK132" s="2444"/>
    </row>
    <row r="133" spans="1:68" ht="15" hidden="1" customHeight="1" outlineLevel="2">
      <c r="AG133" s="130"/>
      <c r="AT133" s="588"/>
      <c r="BH133" s="109"/>
      <c r="BI133" s="109"/>
      <c r="BJ133" s="109"/>
      <c r="BK133" s="109"/>
    </row>
    <row r="134" spans="1:68" s="109" customFormat="1" outlineLevel="1" collapsed="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441"/>
      <c r="AI134" s="441"/>
      <c r="AJ134" s="441"/>
      <c r="AK134" s="441"/>
      <c r="AL134" s="441"/>
      <c r="AM134" s="441"/>
      <c r="AN134" s="441"/>
      <c r="AO134" s="441"/>
      <c r="AP134" s="441"/>
      <c r="AQ134" s="441"/>
      <c r="AR134" s="444"/>
      <c r="AS134" s="441"/>
      <c r="AT134" s="588"/>
      <c r="AU134" s="588"/>
      <c r="AV134" s="588"/>
      <c r="AW134" s="588"/>
      <c r="AX134" s="588"/>
      <c r="AY134" s="588"/>
      <c r="AZ134" s="588"/>
      <c r="BA134" s="588"/>
      <c r="BB134" s="588"/>
      <c r="BC134" s="588"/>
      <c r="BD134" s="588"/>
      <c r="BE134" s="588"/>
      <c r="BF134" s="588"/>
      <c r="BH134" s="114"/>
      <c r="BI134" s="114"/>
      <c r="BJ134" s="114"/>
      <c r="BK134" s="114"/>
    </row>
    <row r="135" spans="1:68" s="109" customFormat="1" ht="15.75" customHeight="1" outlineLevel="1">
      <c r="A135" s="114"/>
      <c r="B135" s="2842" t="s">
        <v>2326</v>
      </c>
      <c r="C135" s="2843"/>
      <c r="D135" s="2843"/>
      <c r="E135" s="2843"/>
      <c r="F135" s="2843"/>
      <c r="G135" s="2843"/>
      <c r="H135" s="2843"/>
      <c r="I135" s="2843"/>
      <c r="J135" s="2843"/>
      <c r="K135" s="2843"/>
      <c r="L135" s="2843"/>
      <c r="M135" s="2843"/>
      <c r="N135" s="2843"/>
      <c r="O135" s="2844"/>
      <c r="P135" s="130"/>
      <c r="Q135" s="130"/>
      <c r="R135" s="130"/>
      <c r="S135" s="130"/>
      <c r="T135" s="130"/>
      <c r="U135" s="130"/>
      <c r="V135" s="130"/>
      <c r="W135" s="130"/>
      <c r="X135" s="130"/>
      <c r="Y135" s="130"/>
      <c r="Z135" s="130"/>
      <c r="AA135" s="130"/>
      <c r="AB135" s="130"/>
      <c r="AC135" s="130"/>
      <c r="AD135" s="130"/>
      <c r="AE135" s="130"/>
      <c r="AF135" s="130"/>
      <c r="AG135" s="116"/>
      <c r="AH135" s="441"/>
      <c r="AI135" s="441"/>
      <c r="AJ135" s="441"/>
      <c r="AK135" s="441"/>
      <c r="AL135" s="441"/>
      <c r="AM135" s="441"/>
      <c r="AN135" s="441"/>
      <c r="AO135" s="441"/>
      <c r="AP135" s="441"/>
      <c r="AQ135" s="441"/>
      <c r="AR135" s="444"/>
      <c r="AS135" s="441"/>
      <c r="AT135" s="588"/>
      <c r="AU135" s="588"/>
      <c r="AV135" s="588"/>
      <c r="AW135" s="588"/>
      <c r="AX135" s="588"/>
      <c r="AY135" s="588"/>
      <c r="AZ135" s="588"/>
      <c r="BA135" s="588"/>
      <c r="BB135" s="588"/>
      <c r="BC135" s="588"/>
      <c r="BD135" s="588"/>
      <c r="BE135" s="588"/>
      <c r="BF135" s="588"/>
      <c r="BH135" s="114"/>
      <c r="BI135" s="114"/>
      <c r="BJ135" s="114"/>
      <c r="BK135" s="114"/>
    </row>
    <row r="136" spans="1:68" ht="12.75" customHeight="1" outlineLevel="2">
      <c r="D136" s="256"/>
      <c r="E136" s="256"/>
      <c r="F136" s="256"/>
      <c r="G136" s="256"/>
      <c r="H136" s="256"/>
      <c r="I136" s="256"/>
      <c r="J136" s="256"/>
      <c r="K136" s="256"/>
      <c r="T136" s="116"/>
      <c r="AH136" s="588"/>
      <c r="AI136" s="588"/>
      <c r="AJ136" s="588"/>
      <c r="AK136" s="588"/>
      <c r="AL136" s="588"/>
      <c r="AM136" s="588"/>
      <c r="AN136" s="588"/>
      <c r="AO136" s="588"/>
      <c r="AP136" s="588"/>
      <c r="AQ136" s="588"/>
    </row>
    <row r="137" spans="1:68" ht="12.75" customHeight="1" outlineLevel="2">
      <c r="B137" s="1091" t="s">
        <v>569</v>
      </c>
      <c r="C137" s="140"/>
      <c r="D137" s="140"/>
      <c r="E137" s="140"/>
      <c r="F137" s="140"/>
      <c r="G137" s="140"/>
      <c r="H137" s="140"/>
      <c r="I137" s="140"/>
      <c r="J137" s="140"/>
      <c r="K137" s="140"/>
      <c r="L137" s="140"/>
      <c r="M137" s="140"/>
      <c r="N137" s="140"/>
      <c r="O137" s="140"/>
      <c r="P137" s="140"/>
      <c r="Q137" s="140"/>
      <c r="R137" s="140"/>
      <c r="S137" s="140"/>
      <c r="T137" s="140"/>
      <c r="U137" s="1341"/>
      <c r="W137" s="116"/>
      <c r="X137" s="2636" t="s">
        <v>366</v>
      </c>
      <c r="Y137" s="2637"/>
      <c r="Z137" s="2637"/>
      <c r="AA137" s="2637"/>
      <c r="AB137" s="2637"/>
      <c r="AC137" s="2637"/>
      <c r="AD137" s="2637"/>
      <c r="AE137" s="2637"/>
      <c r="AF137" s="2638"/>
      <c r="AG137" s="109"/>
      <c r="AH137" s="2639" t="s">
        <v>441</v>
      </c>
      <c r="AI137" s="2640"/>
      <c r="AJ137" s="2640"/>
      <c r="AK137" s="2640"/>
      <c r="AL137" s="2640"/>
      <c r="AM137" s="2640"/>
      <c r="AN137" s="2640"/>
      <c r="AO137" s="2640"/>
      <c r="AP137" s="2640"/>
      <c r="AQ137" s="2640"/>
      <c r="AR137" s="2640"/>
      <c r="AS137" s="2640"/>
      <c r="AT137" s="2640"/>
      <c r="AU137" s="2640"/>
      <c r="AV137" s="2640"/>
      <c r="AW137" s="2640"/>
      <c r="AX137" s="2640"/>
      <c r="AY137" s="2641"/>
      <c r="AZ137" s="2418"/>
      <c r="BA137" s="2418"/>
      <c r="BB137" s="2418"/>
      <c r="BC137" s="2418"/>
      <c r="BD137" s="2418"/>
      <c r="BE137" s="2418"/>
      <c r="BF137" s="2418"/>
    </row>
    <row r="138" spans="1:68" ht="12.75" customHeight="1" outlineLevel="2">
      <c r="B138" s="143"/>
      <c r="C138" s="144"/>
      <c r="D138" s="1334" t="s">
        <v>308</v>
      </c>
      <c r="E138" s="1663"/>
      <c r="F138" s="144"/>
      <c r="G138" s="144"/>
      <c r="H138" s="144"/>
      <c r="I138" s="144"/>
      <c r="J138" s="144"/>
      <c r="K138" s="144"/>
      <c r="L138" s="144"/>
      <c r="M138" s="144"/>
      <c r="N138" s="144"/>
      <c r="O138" s="144"/>
      <c r="P138" s="144"/>
      <c r="Q138" s="144"/>
      <c r="R138" s="144"/>
      <c r="S138" s="2628"/>
      <c r="T138" s="2627"/>
      <c r="U138" s="153" t="s">
        <v>275</v>
      </c>
      <c r="X138" s="1170"/>
      <c r="Y138" s="1323"/>
      <c r="Z138" s="1323"/>
      <c r="AA138" s="141"/>
      <c r="AB138" s="141"/>
      <c r="AC138" s="141"/>
      <c r="AD138" s="141"/>
      <c r="AE138" s="141"/>
      <c r="AF138" s="1320" t="s">
        <v>275</v>
      </c>
      <c r="AG138" s="127"/>
      <c r="AH138" s="2642" t="s">
        <v>444</v>
      </c>
      <c r="AI138" s="2643"/>
      <c r="AJ138" s="2643"/>
      <c r="AK138" s="2643"/>
      <c r="AL138" s="2643"/>
      <c r="AM138" s="2643"/>
      <c r="AN138" s="2643"/>
      <c r="AO138" s="2643"/>
      <c r="AP138" s="2643"/>
      <c r="AQ138" s="2643"/>
      <c r="AR138" s="2643"/>
      <c r="AS138" s="2643"/>
      <c r="AT138" s="2643" t="s">
        <v>444</v>
      </c>
      <c r="AU138" s="2643"/>
      <c r="AV138" s="628"/>
      <c r="AW138" s="624"/>
      <c r="AX138" s="624"/>
      <c r="AY138" s="1291"/>
      <c r="AZ138" s="2286"/>
      <c r="BA138" s="2286"/>
      <c r="BB138" s="2286"/>
      <c r="BC138" s="2286"/>
      <c r="BD138" s="2286"/>
      <c r="BE138" s="2286"/>
      <c r="BF138" s="2286"/>
      <c r="BH138" s="2616" t="s">
        <v>1648</v>
      </c>
      <c r="BI138" s="2617"/>
      <c r="BJ138" s="2617"/>
      <c r="BK138" s="2617"/>
      <c r="BL138" s="2617"/>
      <c r="BM138" s="2617"/>
      <c r="BN138" s="2617"/>
      <c r="BO138" s="2617"/>
      <c r="BP138" s="2618"/>
    </row>
    <row r="139" spans="1:68" s="109" customFormat="1" ht="12.75" customHeight="1" outlineLevel="2">
      <c r="B139" s="1316" t="s">
        <v>2248</v>
      </c>
      <c r="C139" s="1317"/>
      <c r="D139" s="1317" t="s">
        <v>409</v>
      </c>
      <c r="E139" s="1656"/>
      <c r="F139" s="1320" t="s">
        <v>452</v>
      </c>
      <c r="G139" s="1320" t="s">
        <v>343</v>
      </c>
      <c r="H139" s="2626" t="s">
        <v>1585</v>
      </c>
      <c r="I139" s="2627"/>
      <c r="J139" s="1320" t="s">
        <v>343</v>
      </c>
      <c r="K139" s="2626" t="s">
        <v>1573</v>
      </c>
      <c r="L139" s="2627"/>
      <c r="M139" s="1320" t="s">
        <v>343</v>
      </c>
      <c r="N139" s="2626" t="s">
        <v>1575</v>
      </c>
      <c r="O139" s="2627"/>
      <c r="P139" s="1320" t="s">
        <v>343</v>
      </c>
      <c r="Q139" s="2626" t="s">
        <v>1574</v>
      </c>
      <c r="R139" s="2628"/>
      <c r="S139" s="1334" t="s">
        <v>444</v>
      </c>
      <c r="T139" s="1334" t="s">
        <v>444</v>
      </c>
      <c r="U139" s="153" t="s">
        <v>276</v>
      </c>
      <c r="W139" s="114"/>
      <c r="X139" s="1316" t="s">
        <v>316</v>
      </c>
      <c r="Y139" s="2629" t="s">
        <v>316</v>
      </c>
      <c r="Z139" s="2836"/>
      <c r="AA139" s="1656" t="s">
        <v>444</v>
      </c>
      <c r="AB139" s="1656" t="s">
        <v>444</v>
      </c>
      <c r="AC139" s="2419"/>
      <c r="AD139" s="1334"/>
      <c r="AE139" s="1334" t="s">
        <v>444</v>
      </c>
      <c r="AF139" s="153" t="s">
        <v>276</v>
      </c>
      <c r="AG139" s="127"/>
      <c r="AH139" s="2631" t="s">
        <v>211</v>
      </c>
      <c r="AI139" s="2632"/>
      <c r="AJ139" s="2632"/>
      <c r="AK139" s="2632" t="s">
        <v>442</v>
      </c>
      <c r="AL139" s="2632"/>
      <c r="AM139" s="2632"/>
      <c r="AN139" s="2632" t="s">
        <v>267</v>
      </c>
      <c r="AO139" s="2632"/>
      <c r="AP139" s="2632"/>
      <c r="AQ139" s="2632" t="s">
        <v>443</v>
      </c>
      <c r="AR139" s="2632"/>
      <c r="AS139" s="2632"/>
      <c r="AT139" s="2648" t="s">
        <v>327</v>
      </c>
      <c r="AU139" s="2648"/>
      <c r="AV139" s="568"/>
      <c r="AW139" s="2631" t="s">
        <v>636</v>
      </c>
      <c r="AX139" s="2632"/>
      <c r="AY139" s="568"/>
      <c r="AZ139" s="565"/>
      <c r="BA139" s="565"/>
      <c r="BB139" s="565"/>
      <c r="BC139" s="565"/>
      <c r="BD139" s="565"/>
      <c r="BE139" s="565"/>
      <c r="BF139" s="565"/>
      <c r="BH139" s="2837" t="s">
        <v>1646</v>
      </c>
      <c r="BI139" s="2614" t="s">
        <v>1644</v>
      </c>
      <c r="BJ139" s="2645"/>
      <c r="BK139" s="2645"/>
      <c r="BL139" s="2615"/>
      <c r="BM139" s="2614" t="s">
        <v>1645</v>
      </c>
      <c r="BN139" s="2645"/>
      <c r="BO139" s="2645"/>
      <c r="BP139" s="2615"/>
    </row>
    <row r="140" spans="1:68" s="109" customFormat="1" ht="12.75" customHeight="1" outlineLevel="2">
      <c r="B140" s="1316"/>
      <c r="C140" s="1317"/>
      <c r="D140" s="1317" t="s">
        <v>444</v>
      </c>
      <c r="E140" s="1656"/>
      <c r="F140" s="1321" t="s">
        <v>445</v>
      </c>
      <c r="G140" s="153" t="s">
        <v>287</v>
      </c>
      <c r="H140" s="1322" t="s">
        <v>411</v>
      </c>
      <c r="I140" s="1322" t="s">
        <v>257</v>
      </c>
      <c r="J140" s="153" t="s">
        <v>790</v>
      </c>
      <c r="K140" s="1322" t="s">
        <v>411</v>
      </c>
      <c r="L140" s="1322" t="s">
        <v>257</v>
      </c>
      <c r="M140" s="153" t="s">
        <v>791</v>
      </c>
      <c r="N140" s="1322" t="s">
        <v>411</v>
      </c>
      <c r="O140" s="1322" t="s">
        <v>257</v>
      </c>
      <c r="P140" s="153" t="s">
        <v>213</v>
      </c>
      <c r="Q140" s="1322" t="s">
        <v>411</v>
      </c>
      <c r="R140" s="1322" t="s">
        <v>257</v>
      </c>
      <c r="S140" s="1318" t="s">
        <v>411</v>
      </c>
      <c r="T140" s="1318" t="s">
        <v>257</v>
      </c>
      <c r="U140" s="153" t="s">
        <v>444</v>
      </c>
      <c r="W140" s="114"/>
      <c r="X140" s="1316" t="s">
        <v>1649</v>
      </c>
      <c r="Y140" s="2646" t="s">
        <v>1650</v>
      </c>
      <c r="Z140" s="2847"/>
      <c r="AA140" s="1662" t="s">
        <v>411</v>
      </c>
      <c r="AB140" s="1662" t="s">
        <v>257</v>
      </c>
      <c r="AC140" s="1662"/>
      <c r="AD140" s="166"/>
      <c r="AE140" s="166" t="s">
        <v>327</v>
      </c>
      <c r="AF140" s="153" t="s">
        <v>444</v>
      </c>
      <c r="AG140" s="116"/>
      <c r="AH140" s="1331" t="s">
        <v>411</v>
      </c>
      <c r="AI140" s="1332" t="s">
        <v>257</v>
      </c>
      <c r="AJ140" s="1332"/>
      <c r="AK140" s="1332" t="s">
        <v>411</v>
      </c>
      <c r="AL140" s="1332" t="s">
        <v>257</v>
      </c>
      <c r="AM140" s="1332"/>
      <c r="AN140" s="1332" t="s">
        <v>411</v>
      </c>
      <c r="AO140" s="1332" t="s">
        <v>257</v>
      </c>
      <c r="AP140" s="1332"/>
      <c r="AQ140" s="1332" t="s">
        <v>411</v>
      </c>
      <c r="AR140" s="1332" t="s">
        <v>257</v>
      </c>
      <c r="AS140" s="1332"/>
      <c r="AT140" s="581" t="s">
        <v>411</v>
      </c>
      <c r="AU140" s="581" t="s">
        <v>257</v>
      </c>
      <c r="AV140" s="582"/>
      <c r="AW140" s="1332" t="s">
        <v>411</v>
      </c>
      <c r="AX140" s="1332" t="s">
        <v>257</v>
      </c>
      <c r="AY140" s="1333"/>
      <c r="AZ140" s="2286"/>
      <c r="BA140" s="2286"/>
      <c r="BB140" s="2286"/>
      <c r="BC140" s="2286"/>
      <c r="BD140" s="2286"/>
      <c r="BE140" s="2286"/>
      <c r="BF140" s="2286"/>
      <c r="BH140" s="2838"/>
      <c r="BI140" s="1328" t="s">
        <v>199</v>
      </c>
      <c r="BJ140" s="1330" t="s">
        <v>309</v>
      </c>
      <c r="BK140" s="1330" t="s">
        <v>272</v>
      </c>
      <c r="BL140" s="1329" t="s">
        <v>2254</v>
      </c>
      <c r="BM140" s="1328" t="s">
        <v>199</v>
      </c>
      <c r="BN140" s="1330" t="s">
        <v>309</v>
      </c>
      <c r="BO140" s="1330" t="s">
        <v>272</v>
      </c>
      <c r="BP140" s="1329" t="s">
        <v>2254</v>
      </c>
    </row>
    <row r="141" spans="1:68" outlineLevel="2">
      <c r="B141" s="143" t="s">
        <v>2250</v>
      </c>
      <c r="C141" s="144"/>
      <c r="D141" s="212">
        <f t="shared" ref="D141:D146" si="48">S141+T141</f>
        <v>0</v>
      </c>
      <c r="E141" s="212"/>
      <c r="F141" s="117"/>
      <c r="G141" s="117"/>
      <c r="H141" s="335">
        <f>VLOOKUP($B141&amp;"; "&amp;$H$139&amp;", "&amp;H$140,'FE Fret'!$G:$U,9,FALSE)</f>
        <v>991</v>
      </c>
      <c r="I141" s="335">
        <f>VLOOKUP($B141&amp;"; "&amp;$H$139&amp;", "&amp;I$140,'FE Fret'!$G:$U,9,FALSE)</f>
        <v>490</v>
      </c>
      <c r="J141" s="117"/>
      <c r="K141" s="335">
        <f>VLOOKUP($B141&amp;"; "&amp;$K$139&amp;", "&amp;K$140,'FE Fret'!$G:$U,9,FALSE)</f>
        <v>0.11600000000000001</v>
      </c>
      <c r="L141" s="335">
        <f>VLOOKUP($B141&amp;"; "&amp;$K$139&amp;", "&amp;L$140,'FE Fret'!$G:$U,9,FALSE)</f>
        <v>5.8000000000000003E-2</v>
      </c>
      <c r="M141" s="117"/>
      <c r="N141" s="335">
        <f>VLOOKUP($B141&amp;"; "&amp;$N$139&amp;", "&amp;N$140,'FE Fret'!$G:$U,9,FALSE)</f>
        <v>1355</v>
      </c>
      <c r="O141" s="335">
        <f>VLOOKUP($B141&amp;"; "&amp;$N$139&amp;", "&amp;O$140,'FE Fret'!$G:$U,9,FALSE)</f>
        <v>676</v>
      </c>
      <c r="P141" s="117"/>
      <c r="Q141" s="335">
        <f>VLOOKUP($B141&amp;"; "&amp;$Q$139&amp;", "&amp;Q$140,'FE Fret'!$G:$U,9,FALSE)</f>
        <v>0.74099999999999999</v>
      </c>
      <c r="R141" s="335">
        <f>VLOOKUP($B141&amp;"; "&amp;$Q$139&amp;", "&amp;R$140,'FE Fret'!$G:$U,9,FALSE)</f>
        <v>0.36599999999999999</v>
      </c>
      <c r="S141" s="356">
        <f t="shared" ref="S141:T146" si="49">IF(ISNA($G141*H141),0,$G141*H141)+IF(ISNA($J141*K141),0,$J141*K141)+IF(ISNA($M141*N141),0,$M141*N141)+IF(ISNA($P141*Q141),0,$P141*Q141)</f>
        <v>0</v>
      </c>
      <c r="T141" s="356">
        <f t="shared" si="49"/>
        <v>0</v>
      </c>
      <c r="U141" s="1286">
        <f>IF(OR(F141=Utilitaires!$I$572,F141=Utilitaires!$I$577),T141,0)</f>
        <v>0</v>
      </c>
      <c r="X141" s="1092">
        <f t="shared" ref="X141:X146" si="50">IF(AE141=0,AE141,AE141/D141)</f>
        <v>0</v>
      </c>
      <c r="Y141" s="343"/>
      <c r="Z141" s="820"/>
      <c r="AA141" s="164">
        <f t="shared" ref="AA141:AA146" si="51">SQRT(SUMSQ(IF(ISNA($G141*H141*BI141),0,$G141*H141*BI141),IF(ISNA($J141*K141*BJ141),0,$J141*K141*BJ141),IF(ISNA($M141*N141*BK141),0,$M141*N141*BK141),IF(ISNA($P141*Q141*BL141),0,$P141*Q141*BL141)))</f>
        <v>0</v>
      </c>
      <c r="AB141" s="164">
        <f t="shared" ref="AB141:AB146" si="52">SQRT(SUMSQ(IF(ISNA($G141*I141*BM141),0,$G141*I141*BM141),IF(ISNA($J141*L141*BN141),0,$J141*L141*BN141),IF(ISNA($M141*O141*BO141),0,$M141*O141*BO141),IF(ISNA($P141*R141*BP141),0,$P141*R141*BP141)))</f>
        <v>0</v>
      </c>
      <c r="AC141" s="164"/>
      <c r="AD141" s="151"/>
      <c r="AE141" s="151">
        <f t="shared" ref="AE141:AE146" si="53">SQRT(SUMSQ(AA141,AB141))</f>
        <v>0</v>
      </c>
      <c r="AF141" s="1286">
        <f t="shared" ref="AF141:AF146" si="54">P141*W141</f>
        <v>0</v>
      </c>
      <c r="AG141" s="116"/>
      <c r="AH141" s="564">
        <f>$G141*IF(ISNA(VLOOKUP($B141&amp;"; "&amp;$H$139&amp;", "&amp;H$140,'FE Fret'!$G:$U,10,FALSE)),0,VLOOKUP($B141&amp;"; "&amp;$H$139&amp;", "&amp;H$140,'FE Fret'!$G:$U,10,FALSE))
+$J141*IF(ISNA(VLOOKUP($B141&amp;"; "&amp;$K$139&amp;", "&amp;H$140,'FE Fret'!$G:$U,10,FALSE)),0,VLOOKUP($B141&amp;"; "&amp;$K$139&amp;", "&amp;H$140,'FE Fret'!$G:$U,10,FALSE))
+$M141*IF(ISNA(VLOOKUP($B141&amp;"; "&amp;$N$139&amp;", "&amp;H$140,'FE Fret'!$G:$U,10,FALSE)),0,VLOOKUP($B141&amp;"; "&amp;$N$139&amp;", "&amp;H$140,'FE Fret'!$G:$U,10,FALSE))
+$P141*IF(ISNA(VLOOKUP($B141&amp;"; "&amp;$Q$139&amp;", "&amp;H$140,'FE Fret'!$G:$U,10,FALSE)),0,VLOOKUP($B141&amp;"; "&amp;$Q$139&amp;", "&amp;H$140,'FE Fret'!$G:$U,10,FALSE))</f>
        <v>0</v>
      </c>
      <c r="AI141" s="565">
        <f>$G141*IF(ISNA(VLOOKUP($B141&amp;"; "&amp;$H$139&amp;", "&amp;I$140,'FE Fret'!$G:$U,10,FALSE)),0,VLOOKUP($B141&amp;"; "&amp;$H$139&amp;", "&amp;I$140,'FE Fret'!$G:$U,10,FALSE))
+$J141*IF(ISNA(VLOOKUP($B141&amp;"; "&amp;$K$139&amp;", "&amp;I$140,'FE Fret'!$G:$U,10,FALSE)),0,VLOOKUP($B141&amp;"; "&amp;$K$139&amp;", "&amp;I$140,'FE Fret'!$G:$U,10,FALSE))
+$M141*IF(ISNA(VLOOKUP($B141&amp;"; "&amp;$N$139&amp;", "&amp;I$140,'FE Fret'!$G:$U,10,FALSE)),0,VLOOKUP($B141&amp;"; "&amp;$N$139&amp;", "&amp;I$140,'FE Fret'!$G:$U,10,FALSE))
+$P141*IF(ISNA(VLOOKUP($B141&amp;"; "&amp;$Q$139&amp;", "&amp;I$140,'FE Fret'!$G:$U,10,FALSE)),0,VLOOKUP($B141&amp;"; "&amp;$Q$139&amp;", "&amp;I$140,'FE Fret'!$G:$U,10,FALSE))</f>
        <v>0</v>
      </c>
      <c r="AJ141" s="565"/>
      <c r="AK141" s="565">
        <f>$G141*IF(ISNA((VLOOKUP($B141&amp;"; "&amp;$H$139&amp;", "&amp;H$140,'FE Fret'!$G:$U,12,FALSE)+VLOOKUP($B141&amp;"; "&amp;$H$139&amp;", "&amp;H$140,'FE Fret'!$G:$U,11,FALSE))),0,(VLOOKUP($B141&amp;"; "&amp;$H$139&amp;", "&amp;H$140,'FE Fret'!$G:$U,12,FALSE)+VLOOKUP($B141&amp;"; "&amp;$H$139&amp;", "&amp;H$140,'FE Fret'!$G:$U,11,FALSE)))
+$J141*IF(ISNA((VLOOKUP($B141&amp;"; "&amp;$K$139&amp;", "&amp;H$140,'FE Fret'!$G:$U,12,FALSE)+VLOOKUP($B141&amp;"; "&amp;$K$139&amp;", "&amp;H$140,'FE Fret'!$G:$U,11,FALSE))),0,(VLOOKUP($B141&amp;"; "&amp;$K$139&amp;", "&amp;H$140,'FE Fret'!$G:$U,12,FALSE)+VLOOKUP($B141&amp;"; "&amp;$K$139&amp;", "&amp;H$140,'FE Fret'!$G:$U,11,FALSE)))
+$M141*IF(ISNA((VLOOKUP($B141&amp;"; "&amp;$N$139&amp;", "&amp;H$140,'FE Fret'!$G:$U,12,FALSE)+VLOOKUP($B141&amp;"; "&amp;$N$139&amp;", "&amp;H$140,'FE Fret'!$G:$U,11,FALSE))),0,(VLOOKUP($B141&amp;"; "&amp;$N$139&amp;", "&amp;H$140,'FE Fret'!$G:$U,12,FALSE)+VLOOKUP($B141&amp;"; "&amp;$N$139&amp;", "&amp;H$140,'FE Fret'!$G:$U,11,FALSE)))
+$P141*IF(ISNA((VLOOKUP($B141&amp;"; "&amp;$Q$139&amp;", "&amp;H$140,'FE Fret'!$G:$U,12,FALSE)+VLOOKUP($B141&amp;"; "&amp;$Q$139&amp;", "&amp;H$140,'FE Fret'!$G:$U,11,FALSE))),0,(VLOOKUP($B141&amp;"; "&amp;$Q$139&amp;", "&amp;H$140,'FE Fret'!$G:$U,12,FALSE)+VLOOKUP($B141&amp;"; "&amp;$Q$139&amp;", "&amp;H$140,'FE Fret'!$G:$U,11,FALSE)))</f>
        <v>0</v>
      </c>
      <c r="AL141" s="565">
        <f>$G141*IF(ISNA((VLOOKUP($B141&amp;"; "&amp;$H$139&amp;", "&amp;I$140,'FE Fret'!$G:$U,12,FALSE)+VLOOKUP($B141&amp;"; "&amp;$H$139&amp;", "&amp;I$140,'FE Fret'!$G:$U,11,FALSE))),0,(VLOOKUP($B141&amp;"; "&amp;$H$139&amp;", "&amp;I$140,'FE Fret'!$G:$U,12,FALSE)+VLOOKUP($B141&amp;"; "&amp;$H$139&amp;", "&amp;I$140,'FE Fret'!$G:$U,11,FALSE)))
+$J141*IF(ISNA((VLOOKUP($B141&amp;"; "&amp;$K$139&amp;", "&amp;I$140,'FE Fret'!$G:$U,12,FALSE)+VLOOKUP($B141&amp;"; "&amp;$K$139&amp;", "&amp;I$140,'FE Fret'!$G:$U,11,FALSE))),0,(VLOOKUP($B141&amp;"; "&amp;$K$139&amp;", "&amp;I$140,'FE Fret'!$G:$U,12,FALSE)+VLOOKUP($B141&amp;"; "&amp;$K$139&amp;", "&amp;I$140,'FE Fret'!$G:$U,11,FALSE)))
+$M141*IF(ISNA((VLOOKUP($B141&amp;"; "&amp;$N$139&amp;", "&amp;I$140,'FE Fret'!$G:$U,12,FALSE)+VLOOKUP($B141&amp;"; "&amp;$N$139&amp;", "&amp;I$140,'FE Fret'!$G:$U,11,FALSE))),0,(VLOOKUP($B141&amp;"; "&amp;$N$139&amp;", "&amp;I$140,'FE Fret'!$G:$U,12,FALSE)+VLOOKUP($B141&amp;"; "&amp;$N$139&amp;", "&amp;I$140,'FE Fret'!$G:$U,11,FALSE)))
+$P141*IF(ISNA((VLOOKUP($B141&amp;"; "&amp;$Q$139&amp;", "&amp;I$140,'FE Fret'!$G:$U,12,FALSE)+VLOOKUP($B141&amp;"; "&amp;$Q$139&amp;", "&amp;I$140,'FE Fret'!$G:$U,11,FALSE))),0,(VLOOKUP($B141&amp;"; "&amp;$Q$139&amp;", "&amp;I$140,'FE Fret'!$G:$U,12,FALSE)+VLOOKUP($B141&amp;"; "&amp;$Q$139&amp;", "&amp;I$140,'FE Fret'!$G:$U,11,FALSE)))</f>
        <v>0</v>
      </c>
      <c r="AM141" s="565"/>
      <c r="AN141" s="565">
        <f>$G141*IF(ISNA(VLOOKUP($B141&amp;"; "&amp;$H$139&amp;", "&amp;H$140,'FE Fret'!$G:$U,13,FALSE)),0,VLOOKUP($B141&amp;"; "&amp;$H$139&amp;", "&amp;H$140,'FE Fret'!$G:$U,13,FALSE))
+$J141*IF(ISNA(VLOOKUP($B141&amp;"; "&amp;$K$139&amp;", "&amp;H$140,'FE Fret'!$G:$U,13,FALSE)),0,VLOOKUP($B141&amp;"; "&amp;$K$139&amp;", "&amp;H$140,'FE Fret'!$G:$U,13,FALSE))
+$M141*IF(ISNA(VLOOKUP($B141&amp;"; "&amp;$N$139&amp;", "&amp;H$140,'FE Fret'!$G:$U,13,FALSE)),0,VLOOKUP($B141&amp;"; "&amp;$N$139&amp;", "&amp;H$140,'FE Fret'!$G:$U,13,FALSE))
+$P141*IF(ISNA(VLOOKUP($B141&amp;"; "&amp;$Q$139&amp;", "&amp;H$140,'FE Fret'!$G:$U,13,FALSE)),0,VLOOKUP($B141&amp;"; "&amp;$Q$139&amp;", "&amp;H$140,'FE Fret'!$G:$U,13,FALSE))</f>
        <v>0</v>
      </c>
      <c r="AO141" s="565">
        <f>$G141*IF(ISNA(VLOOKUP($B141&amp;"; "&amp;$H$139&amp;", "&amp;I$140,'FE Fret'!$G:$U,13,FALSE)),0,VLOOKUP($B141&amp;"; "&amp;$H$139&amp;", "&amp;I$140,'FE Fret'!$G:$U,13,FALSE))
+$J141*IF(ISNA(VLOOKUP($B141&amp;"; "&amp;$K$139&amp;", "&amp;I$140,'FE Fret'!$G:$U,13,FALSE)),0,VLOOKUP($B141&amp;"; "&amp;$K$139&amp;", "&amp;I$140,'FE Fret'!$G:$U,13,FALSE))
+$M141*IF(ISNA(VLOOKUP($B141&amp;"; "&amp;$N$139&amp;", "&amp;I$140,'FE Fret'!$G:$U,13,FALSE)),0,VLOOKUP($B141&amp;"; "&amp;$N$139&amp;", "&amp;I$140,'FE Fret'!$G:$U,13,FALSE))
+$P141*IF(ISNA(VLOOKUP($B141&amp;"; "&amp;$Q$139&amp;", "&amp;I$140,'FE Fret'!$G:$U,13,FALSE)),0,VLOOKUP($B141&amp;"; "&amp;$Q$139&amp;", "&amp;I$140,'FE Fret'!$G:$U,13,FALSE))</f>
        <v>0</v>
      </c>
      <c r="AP141" s="565"/>
      <c r="AQ141" s="565">
        <v>0</v>
      </c>
      <c r="AR141" s="565">
        <v>0</v>
      </c>
      <c r="AS141" s="565"/>
      <c r="AT141" s="566">
        <f t="shared" ref="AT141:AT146" si="55">SUM(AH141,AK141,AN141,AQ141)</f>
        <v>0</v>
      </c>
      <c r="AU141" s="566">
        <f t="shared" ref="AU141:AU146" si="56">SUM(AI141,AL141,AO141,AR141)</f>
        <v>0</v>
      </c>
      <c r="AV141" s="567"/>
      <c r="AW141" s="565">
        <f>$G141*IF(ISNA(VLOOKUP($B141&amp;"; "&amp;$H$139&amp;", "&amp;H$140,'FE Fret'!$G:$U,15,FALSE)),0,VLOOKUP($B141&amp;"; "&amp;$H$139&amp;", "&amp;H$140,'FE Fret'!$G:$U,15,FALSE))
+$J141*IF(ISNA(VLOOKUP($B141&amp;"; "&amp;$K$139&amp;", "&amp;H$140,'FE Fret'!$G:$U,15,FALSE)),0,VLOOKUP($B141&amp;"; "&amp;$K$139&amp;", "&amp;H$140,'FE Fret'!$G:$U,15,FALSE))
+$M141*IF(ISNA(VLOOKUP($B141&amp;"; "&amp;$N$139&amp;", "&amp;H$140,'FE Fret'!$G:$U,15,FALSE)),0,VLOOKUP($B141&amp;"; "&amp;$N$139&amp;", "&amp;H$140,'FE Fret'!$G:$U,15,FALSE))
+$P141*IF(ISNA(VLOOKUP($B141&amp;"; "&amp;$Q$139&amp;", "&amp;H$140,'FE Fret'!$G:$U,15,FALSE)),0,VLOOKUP($B141&amp;"; "&amp;$Q$139&amp;", "&amp;H$140,'FE Fret'!$G:$U,15,FALSE))</f>
        <v>0</v>
      </c>
      <c r="AX141" s="565">
        <f>$G141*IF(ISNA(VLOOKUP($B141&amp;"; "&amp;$H$139&amp;", "&amp;I$140,'FE Fret'!$G:$U,15,FALSE)),0,VLOOKUP($B141&amp;"; "&amp;$H$139&amp;", "&amp;I$140,'FE Fret'!$G:$U,15,FALSE))
+$J141*IF(ISNA(VLOOKUP($B141&amp;"; "&amp;$K$139&amp;", "&amp;I$140,'FE Fret'!$G:$U,15,FALSE)),0,VLOOKUP($B141&amp;"; "&amp;$K$139&amp;", "&amp;I$140,'FE Fret'!$G:$U,15,FALSE))
+$M141*IF(ISNA(VLOOKUP($B141&amp;"; "&amp;$N$139&amp;", "&amp;I$140,'FE Fret'!$G:$U,15,FALSE)),0,VLOOKUP($B141&amp;"; "&amp;$N$139&amp;", "&amp;I$140,'FE Fret'!$G:$U,15,FALSE))
+$P141*IF(ISNA(VLOOKUP($B141&amp;"; "&amp;$Q$139&amp;", "&amp;I$140,'FE Fret'!$G:$U,15,FALSE)),0,VLOOKUP($B141&amp;"; "&amp;$Q$139&amp;", "&amp;I$140,'FE Fret'!$G:$U,15,FALSE))</f>
        <v>0</v>
      </c>
      <c r="AY141" s="568"/>
      <c r="AZ141" s="565"/>
      <c r="BA141" s="565"/>
      <c r="BB141" s="565"/>
      <c r="BC141" s="565"/>
      <c r="BD141" s="565"/>
      <c r="BE141" s="565"/>
      <c r="BF141" s="565"/>
      <c r="BH141" s="1065">
        <f>IF($Y141&lt;&gt;"votre valeur :",IF(ISNA(VLOOKUP($Y141,Utilitaires!$N$566:$O$571,2,FALSE)),,VLOOKUP($Y141,Utilitaires!$N$566:$O$571,2,FALSE)),$Z141)</f>
        <v>0</v>
      </c>
      <c r="BI141" s="1124">
        <f>IF(ISNA(SQRT(SUMSQ(VLOOKUP($B141&amp;"; "&amp;$H$15&amp;", "&amp;H$16,'FE Fret'!$G:$U,7,FALSE),$BH141))),0,SQRT(SUMSQ(VLOOKUP($B141&amp;"; "&amp;$H$15&amp;", "&amp;$H$16,'FE Fret'!$G:$U,7,FALSE),$BH141)))</f>
        <v>0.05</v>
      </c>
      <c r="BJ141" s="1068">
        <f>IF(ISNA(SQRT(SUMSQ(VLOOKUP($B141&amp;"; "&amp;$K$15&amp;", "&amp;$K$16,'FE Fret'!$G:$U,7,FALSE),$BH141))),0,SQRT(SUMSQ(VLOOKUP($B141&amp;"; "&amp;$K$15&amp;", "&amp;$K$16,'FE Fret'!$G:$U,7,FALSE),$BH141)))</f>
        <v>0.05</v>
      </c>
      <c r="BK141" s="1068">
        <f>IF(ISNA(SQRT(SUMSQ(VLOOKUP($B141&amp;"; "&amp;$N$15&amp;", "&amp;$N$16,'FE Fret'!$G:$U,7,FALSE),$BH141))),0,SQRT(SUMSQ(VLOOKUP($B141&amp;"; "&amp;$N$15&amp;", "&amp;$N$16,'FE Fret'!$G:$U,7,FALSE),$BH141)))</f>
        <v>0.05</v>
      </c>
      <c r="BL141" s="1068">
        <f>IF(ISNA(SQRT(SUMSQ(VLOOKUP($B141&amp;"; "&amp;$Q$15&amp;", "&amp;$Q$16,'FE Fret'!$G:$U,7,FALSE),$BH141))),0,SQRT(SUMSQ(VLOOKUP($B141&amp;"; "&amp;$Q$15&amp;", "&amp;$Q$16,'FE Fret'!$G:$U,7,FALSE),$BH141)))</f>
        <v>0.1</v>
      </c>
      <c r="BM141" s="1124">
        <f>IF(ISNA(SQRT(SUMSQ(VLOOKUP($B141&amp;"; "&amp;$H$15&amp;", "&amp;I$16,'FE Fret'!$G:$U,7,FALSE),$BH141))),0,SQRT(SUMSQ(VLOOKUP($B141&amp;"; "&amp;$H$15&amp;", "&amp;$I$16,'FE Fret'!$G:$U,7,FALSE),$BH141)))</f>
        <v>0.05</v>
      </c>
      <c r="BN141" s="1068">
        <f>IF(ISNA(SQRT(SUMSQ(VLOOKUP($B141&amp;"; "&amp;$K$15&amp;", "&amp;$L$16,'FE Fret'!$G:$U,7,FALSE),$BH141))),0,SQRT(SUMSQ(VLOOKUP($B141&amp;"; "&amp;$K$15&amp;", "&amp;$L$16,'FE Fret'!$G:$U,7,FALSE),$BH141)))</f>
        <v>0.05</v>
      </c>
      <c r="BO141" s="1068">
        <f>IF(ISNA(SQRT(SUMSQ(VLOOKUP($B141&amp;"; "&amp;$N$15&amp;", "&amp;$O$16,'FE Fret'!$G:$U,7,FALSE),$BH141))),0,SQRT(SUMSQ(VLOOKUP($B141&amp;"; "&amp;$N$15&amp;", "&amp;$O$16,'FE Fret'!$G:$U,7,FALSE),$BH141)))</f>
        <v>0.05</v>
      </c>
      <c r="BP141" s="1125">
        <f>IF(ISNA(SQRT(SUMSQ(VLOOKUP($B141&amp;"; "&amp;$Q$15&amp;", "&amp;$R$16,'FE Fret'!$G:$U,7,FALSE),$BH141))),0,SQRT(SUMSQ(VLOOKUP($B141&amp;"; "&amp;$Q$15&amp;", "&amp;$R$16,'FE Fret'!$G:$U,7,FALSE),$BH141)))</f>
        <v>0.1</v>
      </c>
    </row>
    <row r="142" spans="1:68" outlineLevel="2">
      <c r="B142" s="143" t="s">
        <v>2327</v>
      </c>
      <c r="C142" s="144"/>
      <c r="D142" s="212">
        <f t="shared" si="48"/>
        <v>0</v>
      </c>
      <c r="E142" s="212"/>
      <c r="F142" s="120"/>
      <c r="G142" s="120"/>
      <c r="H142" s="335" t="e">
        <f>VLOOKUP($B142&amp;"; "&amp;$H$139&amp;", "&amp;H$140,'FE Fret'!$G:$U,9,FALSE)</f>
        <v>#N/A</v>
      </c>
      <c r="I142" s="335" t="e">
        <f>VLOOKUP($B142&amp;"; "&amp;$H$139&amp;", "&amp;I$140,'FE Fret'!$G:$U,9,FALSE)</f>
        <v>#N/A</v>
      </c>
      <c r="J142" s="120"/>
      <c r="K142" s="335" t="e">
        <f>VLOOKUP($B142&amp;"; "&amp;$K$139&amp;", "&amp;K$140,'FE Fret'!$G:$U,9,FALSE)</f>
        <v>#N/A</v>
      </c>
      <c r="L142" s="335" t="e">
        <f>VLOOKUP($B142&amp;"; "&amp;$K$139&amp;", "&amp;L$140,'FE Fret'!$G:$U,9,FALSE)</f>
        <v>#N/A</v>
      </c>
      <c r="M142" s="120"/>
      <c r="N142" s="335" t="e">
        <f>VLOOKUP($B142&amp;"; "&amp;$N$139&amp;", "&amp;N$140,'FE Fret'!$G:$U,9,FALSE)</f>
        <v>#N/A</v>
      </c>
      <c r="O142" s="335" t="e">
        <f>VLOOKUP($B142&amp;"; "&amp;$N$139&amp;", "&amp;O$140,'FE Fret'!$G:$U,9,FALSE)</f>
        <v>#N/A</v>
      </c>
      <c r="P142" s="120"/>
      <c r="Q142" s="335" t="e">
        <f>VLOOKUP($B142&amp;"; "&amp;$Q$139&amp;", "&amp;Q$140,'FE Fret'!$G:$U,9,FALSE)</f>
        <v>#N/A</v>
      </c>
      <c r="R142" s="335" t="e">
        <f>VLOOKUP($B142&amp;"; "&amp;$Q$139&amp;", "&amp;R$140,'FE Fret'!$G:$U,9,FALSE)</f>
        <v>#N/A</v>
      </c>
      <c r="S142" s="356">
        <f t="shared" si="49"/>
        <v>0</v>
      </c>
      <c r="T142" s="356">
        <f t="shared" si="49"/>
        <v>0</v>
      </c>
      <c r="U142" s="1286">
        <f>IF(OR(F142=Utilitaires!$I$572,F142=Utilitaires!$I$577),T142,0)</f>
        <v>0</v>
      </c>
      <c r="X142" s="1092">
        <f t="shared" si="50"/>
        <v>0</v>
      </c>
      <c r="Y142" s="343"/>
      <c r="Z142" s="820"/>
      <c r="AA142" s="164">
        <f t="shared" si="51"/>
        <v>0</v>
      </c>
      <c r="AB142" s="164">
        <f t="shared" si="52"/>
        <v>0</v>
      </c>
      <c r="AC142" s="164"/>
      <c r="AD142" s="151"/>
      <c r="AE142" s="151">
        <f t="shared" si="53"/>
        <v>0</v>
      </c>
      <c r="AF142" s="1286">
        <f t="shared" si="54"/>
        <v>0</v>
      </c>
      <c r="AG142" s="116"/>
      <c r="AH142" s="564">
        <f>$G142*IF(ISNA(VLOOKUP($B142&amp;"; "&amp;$H$139&amp;", "&amp;H$140,'FE Fret'!$G:$U,10,FALSE)),0,VLOOKUP($B142&amp;"; "&amp;$H$139&amp;", "&amp;H$140,'FE Fret'!$G:$U,10,FALSE))
+$J142*IF(ISNA(VLOOKUP($B142&amp;"; "&amp;$K$139&amp;", "&amp;H$140,'FE Fret'!$G:$U,10,FALSE)),0,VLOOKUP($B142&amp;"; "&amp;$K$139&amp;", "&amp;H$140,'FE Fret'!$G:$U,10,FALSE))
+$M142*IF(ISNA(VLOOKUP($B142&amp;"; "&amp;$N$139&amp;", "&amp;H$140,'FE Fret'!$G:$U,10,FALSE)),0,VLOOKUP($B142&amp;"; "&amp;$N$139&amp;", "&amp;H$140,'FE Fret'!$G:$U,10,FALSE))
+$P142*IF(ISNA(VLOOKUP($B142&amp;"; "&amp;$Q$139&amp;", "&amp;H$140,'FE Fret'!$G:$U,10,FALSE)),0,VLOOKUP($B142&amp;"; "&amp;$Q$139&amp;", "&amp;H$140,'FE Fret'!$G:$U,10,FALSE))</f>
        <v>0</v>
      </c>
      <c r="AI142" s="565">
        <f>$G142*IF(ISNA(VLOOKUP($B142&amp;"; "&amp;$H$139&amp;", "&amp;I$140,'FE Fret'!$G:$U,10,FALSE)),0,VLOOKUP($B142&amp;"; "&amp;$H$139&amp;", "&amp;I$140,'FE Fret'!$G:$U,10,FALSE))
+$J142*IF(ISNA(VLOOKUP($B142&amp;"; "&amp;$K$139&amp;", "&amp;I$140,'FE Fret'!$G:$U,10,FALSE)),0,VLOOKUP($B142&amp;"; "&amp;$K$139&amp;", "&amp;I$140,'FE Fret'!$G:$U,10,FALSE))
+$M142*IF(ISNA(VLOOKUP($B142&amp;"; "&amp;$N$139&amp;", "&amp;I$140,'FE Fret'!$G:$U,10,FALSE)),0,VLOOKUP($B142&amp;"; "&amp;$N$139&amp;", "&amp;I$140,'FE Fret'!$G:$U,10,FALSE))
+$P142*IF(ISNA(VLOOKUP($B142&amp;"; "&amp;$Q$139&amp;", "&amp;I$140,'FE Fret'!$G:$U,10,FALSE)),0,VLOOKUP($B142&amp;"; "&amp;$Q$139&amp;", "&amp;I$140,'FE Fret'!$G:$U,10,FALSE))</f>
        <v>0</v>
      </c>
      <c r="AJ142" s="565"/>
      <c r="AK142" s="565">
        <f>$G142*IF(ISNA((VLOOKUP($B142&amp;"; "&amp;$H$139&amp;", "&amp;H$140,'FE Fret'!$G:$U,12,FALSE)+VLOOKUP($B142&amp;"; "&amp;$H$139&amp;", "&amp;H$140,'FE Fret'!$G:$U,11,FALSE))),0,(VLOOKUP($B142&amp;"; "&amp;$H$139&amp;", "&amp;H$140,'FE Fret'!$G:$U,12,FALSE)+VLOOKUP($B142&amp;"; "&amp;$H$139&amp;", "&amp;H$140,'FE Fret'!$G:$U,11,FALSE)))
+$J142*IF(ISNA((VLOOKUP($B142&amp;"; "&amp;$K$139&amp;", "&amp;H$140,'FE Fret'!$G:$U,12,FALSE)+VLOOKUP($B142&amp;"; "&amp;$K$139&amp;", "&amp;H$140,'FE Fret'!$G:$U,11,FALSE))),0,(VLOOKUP($B142&amp;"; "&amp;$K$139&amp;", "&amp;H$140,'FE Fret'!$G:$U,12,FALSE)+VLOOKUP($B142&amp;"; "&amp;$K$139&amp;", "&amp;H$140,'FE Fret'!$G:$U,11,FALSE)))
+$M142*IF(ISNA((VLOOKUP($B142&amp;"; "&amp;$N$139&amp;", "&amp;H$140,'FE Fret'!$G:$U,12,FALSE)+VLOOKUP($B142&amp;"; "&amp;$N$139&amp;", "&amp;H$140,'FE Fret'!$G:$U,11,FALSE))),0,(VLOOKUP($B142&amp;"; "&amp;$N$139&amp;", "&amp;H$140,'FE Fret'!$G:$U,12,FALSE)+VLOOKUP($B142&amp;"; "&amp;$N$139&amp;", "&amp;H$140,'FE Fret'!$G:$U,11,FALSE)))
+$P142*IF(ISNA((VLOOKUP($B142&amp;"; "&amp;$Q$139&amp;", "&amp;H$140,'FE Fret'!$G:$U,12,FALSE)+VLOOKUP($B142&amp;"; "&amp;$Q$139&amp;", "&amp;H$140,'FE Fret'!$G:$U,11,FALSE))),0,(VLOOKUP($B142&amp;"; "&amp;$Q$139&amp;", "&amp;H$140,'FE Fret'!$G:$U,12,FALSE)+VLOOKUP($B142&amp;"; "&amp;$Q$139&amp;", "&amp;H$140,'FE Fret'!$G:$U,11,FALSE)))</f>
        <v>0</v>
      </c>
      <c r="AL142" s="565">
        <f>$G142*IF(ISNA((VLOOKUP($B142&amp;"; "&amp;$H$139&amp;", "&amp;I$140,'FE Fret'!$G:$U,12,FALSE)+VLOOKUP($B142&amp;"; "&amp;$H$139&amp;", "&amp;I$140,'FE Fret'!$G:$U,11,FALSE))),0,(VLOOKUP($B142&amp;"; "&amp;$H$139&amp;", "&amp;I$140,'FE Fret'!$G:$U,12,FALSE)+VLOOKUP($B142&amp;"; "&amp;$H$139&amp;", "&amp;I$140,'FE Fret'!$G:$U,11,FALSE)))
+$J142*IF(ISNA((VLOOKUP($B142&amp;"; "&amp;$K$139&amp;", "&amp;I$140,'FE Fret'!$G:$U,12,FALSE)+VLOOKUP($B142&amp;"; "&amp;$K$139&amp;", "&amp;I$140,'FE Fret'!$G:$U,11,FALSE))),0,(VLOOKUP($B142&amp;"; "&amp;$K$139&amp;", "&amp;I$140,'FE Fret'!$G:$U,12,FALSE)+VLOOKUP($B142&amp;"; "&amp;$K$139&amp;", "&amp;I$140,'FE Fret'!$G:$U,11,FALSE)))
+$M142*IF(ISNA((VLOOKUP($B142&amp;"; "&amp;$N$139&amp;", "&amp;I$140,'FE Fret'!$G:$U,12,FALSE)+VLOOKUP($B142&amp;"; "&amp;$N$139&amp;", "&amp;I$140,'FE Fret'!$G:$U,11,FALSE))),0,(VLOOKUP($B142&amp;"; "&amp;$N$139&amp;", "&amp;I$140,'FE Fret'!$G:$U,12,FALSE)+VLOOKUP($B142&amp;"; "&amp;$N$139&amp;", "&amp;I$140,'FE Fret'!$G:$U,11,FALSE)))
+$P142*IF(ISNA((VLOOKUP($B142&amp;"; "&amp;$Q$139&amp;", "&amp;I$140,'FE Fret'!$G:$U,12,FALSE)+VLOOKUP($B142&amp;"; "&amp;$Q$139&amp;", "&amp;I$140,'FE Fret'!$G:$U,11,FALSE))),0,(VLOOKUP($B142&amp;"; "&amp;$Q$139&amp;", "&amp;I$140,'FE Fret'!$G:$U,12,FALSE)+VLOOKUP($B142&amp;"; "&amp;$Q$139&amp;", "&amp;I$140,'FE Fret'!$G:$U,11,FALSE)))</f>
        <v>0</v>
      </c>
      <c r="AM142" s="565"/>
      <c r="AN142" s="565">
        <f>$G142*IF(ISNA(VLOOKUP($B142&amp;"; "&amp;$H$139&amp;", "&amp;H$140,'FE Fret'!$G:$U,13,FALSE)),0,VLOOKUP($B142&amp;"; "&amp;$H$139&amp;", "&amp;H$140,'FE Fret'!$G:$U,13,FALSE))
+$J142*IF(ISNA(VLOOKUP($B142&amp;"; "&amp;$K$139&amp;", "&amp;H$140,'FE Fret'!$G:$U,13,FALSE)),0,VLOOKUP($B142&amp;"; "&amp;$K$139&amp;", "&amp;H$140,'FE Fret'!$G:$U,13,FALSE))
+$M142*IF(ISNA(VLOOKUP($B142&amp;"; "&amp;$N$139&amp;", "&amp;H$140,'FE Fret'!$G:$U,13,FALSE)),0,VLOOKUP($B142&amp;"; "&amp;$N$139&amp;", "&amp;H$140,'FE Fret'!$G:$U,13,FALSE))
+$P142*IF(ISNA(VLOOKUP($B142&amp;"; "&amp;$Q$139&amp;", "&amp;H$140,'FE Fret'!$G:$U,13,FALSE)),0,VLOOKUP($B142&amp;"; "&amp;$Q$139&amp;", "&amp;H$140,'FE Fret'!$G:$U,13,FALSE))</f>
        <v>0</v>
      </c>
      <c r="AO142" s="565">
        <f>$G142*IF(ISNA(VLOOKUP($B142&amp;"; "&amp;$H$139&amp;", "&amp;I$140,'FE Fret'!$G:$U,13,FALSE)),0,VLOOKUP($B142&amp;"; "&amp;$H$139&amp;", "&amp;I$140,'FE Fret'!$G:$U,13,FALSE))
+$J142*IF(ISNA(VLOOKUP($B142&amp;"; "&amp;$K$139&amp;", "&amp;I$140,'FE Fret'!$G:$U,13,FALSE)),0,VLOOKUP($B142&amp;"; "&amp;$K$139&amp;", "&amp;I$140,'FE Fret'!$G:$U,13,FALSE))
+$M142*IF(ISNA(VLOOKUP($B142&amp;"; "&amp;$N$139&amp;", "&amp;I$140,'FE Fret'!$G:$U,13,FALSE)),0,VLOOKUP($B142&amp;"; "&amp;$N$139&amp;", "&amp;I$140,'FE Fret'!$G:$U,13,FALSE))
+$P142*IF(ISNA(VLOOKUP($B142&amp;"; "&amp;$Q$139&amp;", "&amp;I$140,'FE Fret'!$G:$U,13,FALSE)),0,VLOOKUP($B142&amp;"; "&amp;$Q$139&amp;", "&amp;I$140,'FE Fret'!$G:$U,13,FALSE))</f>
        <v>0</v>
      </c>
      <c r="AP142" s="565"/>
      <c r="AQ142" s="565">
        <v>0</v>
      </c>
      <c r="AR142" s="565">
        <v>0</v>
      </c>
      <c r="AS142" s="565"/>
      <c r="AT142" s="566">
        <f t="shared" si="55"/>
        <v>0</v>
      </c>
      <c r="AU142" s="566">
        <f t="shared" si="56"/>
        <v>0</v>
      </c>
      <c r="AV142" s="567"/>
      <c r="AW142" s="565">
        <f>$G142*IF(ISNA(VLOOKUP($B142&amp;"; "&amp;$H$139&amp;", "&amp;H$140,'FE Fret'!$G:$U,15,FALSE)),0,VLOOKUP($B142&amp;"; "&amp;$H$139&amp;", "&amp;H$140,'FE Fret'!$G:$U,15,FALSE))
+$J142*IF(ISNA(VLOOKUP($B142&amp;"; "&amp;$K$139&amp;", "&amp;H$140,'FE Fret'!$G:$U,15,FALSE)),0,VLOOKUP($B142&amp;"; "&amp;$K$139&amp;", "&amp;H$140,'FE Fret'!$G:$U,15,FALSE))
+$M142*IF(ISNA(VLOOKUP($B142&amp;"; "&amp;$N$139&amp;", "&amp;H$140,'FE Fret'!$G:$U,15,FALSE)),0,VLOOKUP($B142&amp;"; "&amp;$N$139&amp;", "&amp;H$140,'FE Fret'!$G:$U,15,FALSE))
+$P142*IF(ISNA(VLOOKUP($B142&amp;"; "&amp;$Q$139&amp;", "&amp;H$140,'FE Fret'!$G:$U,15,FALSE)),0,VLOOKUP($B142&amp;"; "&amp;$Q$139&amp;", "&amp;H$140,'FE Fret'!$G:$U,15,FALSE))</f>
        <v>0</v>
      </c>
      <c r="AX142" s="565">
        <f>$G142*IF(ISNA(VLOOKUP($B142&amp;"; "&amp;$H$139&amp;", "&amp;I$140,'FE Fret'!$G:$U,15,FALSE)),0,VLOOKUP($B142&amp;"; "&amp;$H$139&amp;", "&amp;I$140,'FE Fret'!$G:$U,15,FALSE))
+$J142*IF(ISNA(VLOOKUP($B142&amp;"; "&amp;$K$139&amp;", "&amp;I$140,'FE Fret'!$G:$U,15,FALSE)),0,VLOOKUP($B142&amp;"; "&amp;$K$139&amp;", "&amp;I$140,'FE Fret'!$G:$U,15,FALSE))
+$M142*IF(ISNA(VLOOKUP($B142&amp;"; "&amp;$N$139&amp;", "&amp;I$140,'FE Fret'!$G:$U,15,FALSE)),0,VLOOKUP($B142&amp;"; "&amp;$N$139&amp;", "&amp;I$140,'FE Fret'!$G:$U,15,FALSE))
+$P142*IF(ISNA(VLOOKUP($B142&amp;"; "&amp;$Q$139&amp;", "&amp;I$140,'FE Fret'!$G:$U,15,FALSE)),0,VLOOKUP($B142&amp;"; "&amp;$Q$139&amp;", "&amp;I$140,'FE Fret'!$G:$U,15,FALSE))</f>
        <v>0</v>
      </c>
      <c r="AY142" s="568"/>
      <c r="AZ142" s="565"/>
      <c r="BA142" s="565"/>
      <c r="BB142" s="565"/>
      <c r="BC142" s="565"/>
      <c r="BD142" s="565"/>
      <c r="BE142" s="565"/>
      <c r="BF142" s="565"/>
      <c r="BH142" s="1065">
        <f>IF($Y142&lt;&gt;"votre valeur :",IF(ISNA(VLOOKUP($Y142,Utilitaires!$N$566:$O$571,2,FALSE)),,VLOOKUP($Y142,Utilitaires!$N$566:$O$571,2,FALSE)),$Z142)</f>
        <v>0</v>
      </c>
      <c r="BI142" s="1124">
        <f>IF(ISNA(SQRT(SUMSQ(VLOOKUP($B142&amp;"; "&amp;$H$15&amp;", "&amp;H$16,'FE Fret'!$G:$U,7,FALSE),$BH142))),0,SQRT(SUMSQ(VLOOKUP($B142&amp;"; "&amp;$H$15&amp;", "&amp;$H$16,'FE Fret'!$G:$U,7,FALSE),$BH142)))</f>
        <v>0</v>
      </c>
      <c r="BJ142" s="1068">
        <f>IF(ISNA(SQRT(SUMSQ(VLOOKUP($B142&amp;"; "&amp;$K$15&amp;", "&amp;$K$16,'FE Fret'!$G:$U,7,FALSE),$BH142))),0,SQRT(SUMSQ(VLOOKUP($B142&amp;"; "&amp;$K$15&amp;", "&amp;$K$16,'FE Fret'!$G:$U,7,FALSE),$BH142)))</f>
        <v>0</v>
      </c>
      <c r="BK142" s="1068">
        <f>IF(ISNA(SQRT(SUMSQ(VLOOKUP($B142&amp;"; "&amp;$N$15&amp;", "&amp;$N$16,'FE Fret'!$G:$U,7,FALSE),$BH142))),0,SQRT(SUMSQ(VLOOKUP($B142&amp;"; "&amp;$N$15&amp;", "&amp;$N$16,'FE Fret'!$G:$U,7,FALSE),$BH142)))</f>
        <v>0</v>
      </c>
      <c r="BL142" s="1068">
        <f>IF(ISNA(SQRT(SUMSQ(VLOOKUP($B142&amp;"; "&amp;$Q$15&amp;", "&amp;$Q$16,'FE Fret'!$G:$U,7,FALSE),$BH142))),0,SQRT(SUMSQ(VLOOKUP($B142&amp;"; "&amp;$Q$15&amp;", "&amp;$Q$16,'FE Fret'!$G:$U,7,FALSE),$BH142)))</f>
        <v>0</v>
      </c>
      <c r="BM142" s="1124">
        <f>IF(ISNA(SQRT(SUMSQ(VLOOKUP($B142&amp;"; "&amp;$H$15&amp;", "&amp;I$16,'FE Fret'!$G:$U,7,FALSE),$BH142))),0,SQRT(SUMSQ(VLOOKUP($B142&amp;"; "&amp;$H$15&amp;", "&amp;$I$16,'FE Fret'!$G:$U,7,FALSE),$BH142)))</f>
        <v>0</v>
      </c>
      <c r="BN142" s="1068">
        <f>IF(ISNA(SQRT(SUMSQ(VLOOKUP($B142&amp;"; "&amp;$K$15&amp;", "&amp;$L$16,'FE Fret'!$G:$U,7,FALSE),$BH142))),0,SQRT(SUMSQ(VLOOKUP($B142&amp;"; "&amp;$K$15&amp;", "&amp;$L$16,'FE Fret'!$G:$U,7,FALSE),$BH142)))</f>
        <v>0</v>
      </c>
      <c r="BO142" s="1068">
        <f>IF(ISNA(SQRT(SUMSQ(VLOOKUP($B142&amp;"; "&amp;$N$15&amp;", "&amp;$O$16,'FE Fret'!$G:$U,7,FALSE),$BH142))),0,SQRT(SUMSQ(VLOOKUP($B142&amp;"; "&amp;$N$15&amp;", "&amp;$O$16,'FE Fret'!$G:$U,7,FALSE),$BH142)))</f>
        <v>0</v>
      </c>
      <c r="BP142" s="1125">
        <f>IF(ISNA(SQRT(SUMSQ(VLOOKUP($B142&amp;"; "&amp;$Q$15&amp;", "&amp;$R$16,'FE Fret'!$G:$U,7,FALSE),$BH142))),0,SQRT(SUMSQ(VLOOKUP($B142&amp;"; "&amp;$Q$15&amp;", "&amp;$R$16,'FE Fret'!$G:$U,7,FALSE),$BH142)))</f>
        <v>0</v>
      </c>
    </row>
    <row r="143" spans="1:68" outlineLevel="2">
      <c r="B143" s="143" t="s">
        <v>2328</v>
      </c>
      <c r="C143" s="144"/>
      <c r="D143" s="212">
        <f t="shared" si="48"/>
        <v>0</v>
      </c>
      <c r="E143" s="212"/>
      <c r="F143" s="120"/>
      <c r="G143" s="120"/>
      <c r="H143" s="335" t="e">
        <f>VLOOKUP($B143&amp;"; "&amp;$H$139&amp;", "&amp;H$140,'FE Fret'!$G:$U,9,FALSE)</f>
        <v>#N/A</v>
      </c>
      <c r="I143" s="335" t="e">
        <f>VLOOKUP($B143&amp;"; "&amp;$H$139&amp;", "&amp;I$140,'FE Fret'!$G:$U,9,FALSE)</f>
        <v>#N/A</v>
      </c>
      <c r="J143" s="120"/>
      <c r="K143" s="335" t="e">
        <f>VLOOKUP($B143&amp;"; "&amp;$K$139&amp;", "&amp;K$140,'FE Fret'!$G:$U,9,FALSE)</f>
        <v>#N/A</v>
      </c>
      <c r="L143" s="335" t="e">
        <f>VLOOKUP($B143&amp;"; "&amp;$K$139&amp;", "&amp;L$140,'FE Fret'!$G:$U,9,FALSE)</f>
        <v>#N/A</v>
      </c>
      <c r="M143" s="120"/>
      <c r="N143" s="335" t="e">
        <f>VLOOKUP($B143&amp;"; "&amp;$N$139&amp;", "&amp;N$140,'FE Fret'!$G:$U,9,FALSE)</f>
        <v>#N/A</v>
      </c>
      <c r="O143" s="335" t="e">
        <f>VLOOKUP($B143&amp;"; "&amp;$N$139&amp;", "&amp;O$140,'FE Fret'!$G:$U,9,FALSE)</f>
        <v>#N/A</v>
      </c>
      <c r="P143" s="120"/>
      <c r="Q143" s="335" t="e">
        <f>VLOOKUP($B143&amp;"; "&amp;$Q$139&amp;", "&amp;Q$140,'FE Fret'!$G:$U,9,FALSE)</f>
        <v>#N/A</v>
      </c>
      <c r="R143" s="335" t="e">
        <f>VLOOKUP($B143&amp;"; "&amp;$Q$139&amp;", "&amp;R$140,'FE Fret'!$G:$U,9,FALSE)</f>
        <v>#N/A</v>
      </c>
      <c r="S143" s="356">
        <f t="shared" si="49"/>
        <v>0</v>
      </c>
      <c r="T143" s="356">
        <f t="shared" si="49"/>
        <v>0</v>
      </c>
      <c r="U143" s="1286">
        <f>IF(OR(F143=Utilitaires!$I$572,F143=Utilitaires!$I$577),T143,0)</f>
        <v>0</v>
      </c>
      <c r="X143" s="1092">
        <f t="shared" si="50"/>
        <v>0</v>
      </c>
      <c r="Y143" s="343"/>
      <c r="Z143" s="820"/>
      <c r="AA143" s="164">
        <f t="shared" si="51"/>
        <v>0</v>
      </c>
      <c r="AB143" s="164">
        <f t="shared" si="52"/>
        <v>0</v>
      </c>
      <c r="AC143" s="164"/>
      <c r="AD143" s="151"/>
      <c r="AE143" s="151">
        <f t="shared" si="53"/>
        <v>0</v>
      </c>
      <c r="AF143" s="1286">
        <f t="shared" si="54"/>
        <v>0</v>
      </c>
      <c r="AG143" s="116"/>
      <c r="AH143" s="564">
        <f>$G143*IF(ISNA(VLOOKUP($B143&amp;"; "&amp;$H$139&amp;", "&amp;H$140,'FE Fret'!$G:$U,10,FALSE)),0,VLOOKUP($B143&amp;"; "&amp;$H$139&amp;", "&amp;H$140,'FE Fret'!$G:$U,10,FALSE))
+$J143*IF(ISNA(VLOOKUP($B143&amp;"; "&amp;$K$139&amp;", "&amp;H$140,'FE Fret'!$G:$U,10,FALSE)),0,VLOOKUP($B143&amp;"; "&amp;$K$139&amp;", "&amp;H$140,'FE Fret'!$G:$U,10,FALSE))
+$M143*IF(ISNA(VLOOKUP($B143&amp;"; "&amp;$N$139&amp;", "&amp;H$140,'FE Fret'!$G:$U,10,FALSE)),0,VLOOKUP($B143&amp;"; "&amp;$N$139&amp;", "&amp;H$140,'FE Fret'!$G:$U,10,FALSE))
+$P143*IF(ISNA(VLOOKUP($B143&amp;"; "&amp;$Q$139&amp;", "&amp;H$140,'FE Fret'!$G:$U,10,FALSE)),0,VLOOKUP($B143&amp;"; "&amp;$Q$139&amp;", "&amp;H$140,'FE Fret'!$G:$U,10,FALSE))</f>
        <v>0</v>
      </c>
      <c r="AI143" s="565">
        <f>$G143*IF(ISNA(VLOOKUP($B143&amp;"; "&amp;$H$139&amp;", "&amp;I$140,'FE Fret'!$G:$U,10,FALSE)),0,VLOOKUP($B143&amp;"; "&amp;$H$139&amp;", "&amp;I$140,'FE Fret'!$G:$U,10,FALSE))
+$J143*IF(ISNA(VLOOKUP($B143&amp;"; "&amp;$K$139&amp;", "&amp;I$140,'FE Fret'!$G:$U,10,FALSE)),0,VLOOKUP($B143&amp;"; "&amp;$K$139&amp;", "&amp;I$140,'FE Fret'!$G:$U,10,FALSE))
+$M143*IF(ISNA(VLOOKUP($B143&amp;"; "&amp;$N$139&amp;", "&amp;I$140,'FE Fret'!$G:$U,10,FALSE)),0,VLOOKUP($B143&amp;"; "&amp;$N$139&amp;", "&amp;I$140,'FE Fret'!$G:$U,10,FALSE))
+$P143*IF(ISNA(VLOOKUP($B143&amp;"; "&amp;$Q$139&amp;", "&amp;I$140,'FE Fret'!$G:$U,10,FALSE)),0,VLOOKUP($B143&amp;"; "&amp;$Q$139&amp;", "&amp;I$140,'FE Fret'!$G:$U,10,FALSE))</f>
        <v>0</v>
      </c>
      <c r="AJ143" s="565"/>
      <c r="AK143" s="565">
        <f>$G143*IF(ISNA((VLOOKUP($B143&amp;"; "&amp;$H$139&amp;", "&amp;H$140,'FE Fret'!$G:$U,12,FALSE)+VLOOKUP($B143&amp;"; "&amp;$H$139&amp;", "&amp;H$140,'FE Fret'!$G:$U,11,FALSE))),0,(VLOOKUP($B143&amp;"; "&amp;$H$139&amp;", "&amp;H$140,'FE Fret'!$G:$U,12,FALSE)+VLOOKUP($B143&amp;"; "&amp;$H$139&amp;", "&amp;H$140,'FE Fret'!$G:$U,11,FALSE)))
+$J143*IF(ISNA((VLOOKUP($B143&amp;"; "&amp;$K$139&amp;", "&amp;H$140,'FE Fret'!$G:$U,12,FALSE)+VLOOKUP($B143&amp;"; "&amp;$K$139&amp;", "&amp;H$140,'FE Fret'!$G:$U,11,FALSE))),0,(VLOOKUP($B143&amp;"; "&amp;$K$139&amp;", "&amp;H$140,'FE Fret'!$G:$U,12,FALSE)+VLOOKUP($B143&amp;"; "&amp;$K$139&amp;", "&amp;H$140,'FE Fret'!$G:$U,11,FALSE)))
+$M143*IF(ISNA((VLOOKUP($B143&amp;"; "&amp;$N$139&amp;", "&amp;H$140,'FE Fret'!$G:$U,12,FALSE)+VLOOKUP($B143&amp;"; "&amp;$N$139&amp;", "&amp;H$140,'FE Fret'!$G:$U,11,FALSE))),0,(VLOOKUP($B143&amp;"; "&amp;$N$139&amp;", "&amp;H$140,'FE Fret'!$G:$U,12,FALSE)+VLOOKUP($B143&amp;"; "&amp;$N$139&amp;", "&amp;H$140,'FE Fret'!$G:$U,11,FALSE)))
+$P143*IF(ISNA((VLOOKUP($B143&amp;"; "&amp;$Q$139&amp;", "&amp;H$140,'FE Fret'!$G:$U,12,FALSE)+VLOOKUP($B143&amp;"; "&amp;$Q$139&amp;", "&amp;H$140,'FE Fret'!$G:$U,11,FALSE))),0,(VLOOKUP($B143&amp;"; "&amp;$Q$139&amp;", "&amp;H$140,'FE Fret'!$G:$U,12,FALSE)+VLOOKUP($B143&amp;"; "&amp;$Q$139&amp;", "&amp;H$140,'FE Fret'!$G:$U,11,FALSE)))</f>
        <v>0</v>
      </c>
      <c r="AL143" s="565">
        <f>$G143*IF(ISNA((VLOOKUP($B143&amp;"; "&amp;$H$139&amp;", "&amp;I$140,'FE Fret'!$G:$U,12,FALSE)+VLOOKUP($B143&amp;"; "&amp;$H$139&amp;", "&amp;I$140,'FE Fret'!$G:$U,11,FALSE))),0,(VLOOKUP($B143&amp;"; "&amp;$H$139&amp;", "&amp;I$140,'FE Fret'!$G:$U,12,FALSE)+VLOOKUP($B143&amp;"; "&amp;$H$139&amp;", "&amp;I$140,'FE Fret'!$G:$U,11,FALSE)))
+$J143*IF(ISNA((VLOOKUP($B143&amp;"; "&amp;$K$139&amp;", "&amp;I$140,'FE Fret'!$G:$U,12,FALSE)+VLOOKUP($B143&amp;"; "&amp;$K$139&amp;", "&amp;I$140,'FE Fret'!$G:$U,11,FALSE))),0,(VLOOKUP($B143&amp;"; "&amp;$K$139&amp;", "&amp;I$140,'FE Fret'!$G:$U,12,FALSE)+VLOOKUP($B143&amp;"; "&amp;$K$139&amp;", "&amp;I$140,'FE Fret'!$G:$U,11,FALSE)))
+$M143*IF(ISNA((VLOOKUP($B143&amp;"; "&amp;$N$139&amp;", "&amp;I$140,'FE Fret'!$G:$U,12,FALSE)+VLOOKUP($B143&amp;"; "&amp;$N$139&amp;", "&amp;I$140,'FE Fret'!$G:$U,11,FALSE))),0,(VLOOKUP($B143&amp;"; "&amp;$N$139&amp;", "&amp;I$140,'FE Fret'!$G:$U,12,FALSE)+VLOOKUP($B143&amp;"; "&amp;$N$139&amp;", "&amp;I$140,'FE Fret'!$G:$U,11,FALSE)))
+$P143*IF(ISNA((VLOOKUP($B143&amp;"; "&amp;$Q$139&amp;", "&amp;I$140,'FE Fret'!$G:$U,12,FALSE)+VLOOKUP($B143&amp;"; "&amp;$Q$139&amp;", "&amp;I$140,'FE Fret'!$G:$U,11,FALSE))),0,(VLOOKUP($B143&amp;"; "&amp;$Q$139&amp;", "&amp;I$140,'FE Fret'!$G:$U,12,FALSE)+VLOOKUP($B143&amp;"; "&amp;$Q$139&amp;", "&amp;I$140,'FE Fret'!$G:$U,11,FALSE)))</f>
        <v>0</v>
      </c>
      <c r="AM143" s="565"/>
      <c r="AN143" s="565">
        <f>$G143*IF(ISNA(VLOOKUP($B143&amp;"; "&amp;$H$139&amp;", "&amp;H$140,'FE Fret'!$G:$U,13,FALSE)),0,VLOOKUP($B143&amp;"; "&amp;$H$139&amp;", "&amp;H$140,'FE Fret'!$G:$U,13,FALSE))
+$J143*IF(ISNA(VLOOKUP($B143&amp;"; "&amp;$K$139&amp;", "&amp;H$140,'FE Fret'!$G:$U,13,FALSE)),0,VLOOKUP($B143&amp;"; "&amp;$K$139&amp;", "&amp;H$140,'FE Fret'!$G:$U,13,FALSE))
+$M143*IF(ISNA(VLOOKUP($B143&amp;"; "&amp;$N$139&amp;", "&amp;H$140,'FE Fret'!$G:$U,13,FALSE)),0,VLOOKUP($B143&amp;"; "&amp;$N$139&amp;", "&amp;H$140,'FE Fret'!$G:$U,13,FALSE))
+$P143*IF(ISNA(VLOOKUP($B143&amp;"; "&amp;$Q$139&amp;", "&amp;H$140,'FE Fret'!$G:$U,13,FALSE)),0,VLOOKUP($B143&amp;"; "&amp;$Q$139&amp;", "&amp;H$140,'FE Fret'!$G:$U,13,FALSE))</f>
        <v>0</v>
      </c>
      <c r="AO143" s="565">
        <f>$G143*IF(ISNA(VLOOKUP($B143&amp;"; "&amp;$H$139&amp;", "&amp;I$140,'FE Fret'!$G:$U,13,FALSE)),0,VLOOKUP($B143&amp;"; "&amp;$H$139&amp;", "&amp;I$140,'FE Fret'!$G:$U,13,FALSE))
+$J143*IF(ISNA(VLOOKUP($B143&amp;"; "&amp;$K$139&amp;", "&amp;I$140,'FE Fret'!$G:$U,13,FALSE)),0,VLOOKUP($B143&amp;"; "&amp;$K$139&amp;", "&amp;I$140,'FE Fret'!$G:$U,13,FALSE))
+$M143*IF(ISNA(VLOOKUP($B143&amp;"; "&amp;$N$139&amp;", "&amp;I$140,'FE Fret'!$G:$U,13,FALSE)),0,VLOOKUP($B143&amp;"; "&amp;$N$139&amp;", "&amp;I$140,'FE Fret'!$G:$U,13,FALSE))
+$P143*IF(ISNA(VLOOKUP($B143&amp;"; "&amp;$Q$139&amp;", "&amp;I$140,'FE Fret'!$G:$U,13,FALSE)),0,VLOOKUP($B143&amp;"; "&amp;$Q$139&amp;", "&amp;I$140,'FE Fret'!$G:$U,13,FALSE))</f>
        <v>0</v>
      </c>
      <c r="AP143" s="565"/>
      <c r="AQ143" s="565">
        <v>0</v>
      </c>
      <c r="AR143" s="565">
        <v>0</v>
      </c>
      <c r="AS143" s="565"/>
      <c r="AT143" s="566">
        <f t="shared" si="55"/>
        <v>0</v>
      </c>
      <c r="AU143" s="566">
        <f t="shared" si="56"/>
        <v>0</v>
      </c>
      <c r="AV143" s="567"/>
      <c r="AW143" s="565">
        <f>$G143*IF(ISNA(VLOOKUP($B143&amp;"; "&amp;$H$139&amp;", "&amp;H$140,'FE Fret'!$G:$U,15,FALSE)),0,VLOOKUP($B143&amp;"; "&amp;$H$139&amp;", "&amp;H$140,'FE Fret'!$G:$U,15,FALSE))
+$J143*IF(ISNA(VLOOKUP($B143&amp;"; "&amp;$K$139&amp;", "&amp;H$140,'FE Fret'!$G:$U,15,FALSE)),0,VLOOKUP($B143&amp;"; "&amp;$K$139&amp;", "&amp;H$140,'FE Fret'!$G:$U,15,FALSE))
+$M143*IF(ISNA(VLOOKUP($B143&amp;"; "&amp;$N$139&amp;", "&amp;H$140,'FE Fret'!$G:$U,15,FALSE)),0,VLOOKUP($B143&amp;"; "&amp;$N$139&amp;", "&amp;H$140,'FE Fret'!$G:$U,15,FALSE))
+$P143*IF(ISNA(VLOOKUP($B143&amp;"; "&amp;$Q$139&amp;", "&amp;H$140,'FE Fret'!$G:$U,15,FALSE)),0,VLOOKUP($B143&amp;"; "&amp;$Q$139&amp;", "&amp;H$140,'FE Fret'!$G:$U,15,FALSE))</f>
        <v>0</v>
      </c>
      <c r="AX143" s="565">
        <f>$G143*IF(ISNA(VLOOKUP($B143&amp;"; "&amp;$H$139&amp;", "&amp;I$140,'FE Fret'!$G:$U,15,FALSE)),0,VLOOKUP($B143&amp;"; "&amp;$H$139&amp;", "&amp;I$140,'FE Fret'!$G:$U,15,FALSE))
+$J143*IF(ISNA(VLOOKUP($B143&amp;"; "&amp;$K$139&amp;", "&amp;I$140,'FE Fret'!$G:$U,15,FALSE)),0,VLOOKUP($B143&amp;"; "&amp;$K$139&amp;", "&amp;I$140,'FE Fret'!$G:$U,15,FALSE))
+$M143*IF(ISNA(VLOOKUP($B143&amp;"; "&amp;$N$139&amp;", "&amp;I$140,'FE Fret'!$G:$U,15,FALSE)),0,VLOOKUP($B143&amp;"; "&amp;$N$139&amp;", "&amp;I$140,'FE Fret'!$G:$U,15,FALSE))
+$P143*IF(ISNA(VLOOKUP($B143&amp;"; "&amp;$Q$139&amp;", "&amp;I$140,'FE Fret'!$G:$U,15,FALSE)),0,VLOOKUP($B143&amp;"; "&amp;$Q$139&amp;", "&amp;I$140,'FE Fret'!$G:$U,15,FALSE))</f>
        <v>0</v>
      </c>
      <c r="AY143" s="568"/>
      <c r="AZ143" s="565"/>
      <c r="BA143" s="565"/>
      <c r="BB143" s="565"/>
      <c r="BC143" s="565"/>
      <c r="BD143" s="565"/>
      <c r="BE143" s="565"/>
      <c r="BF143" s="565"/>
      <c r="BH143" s="1065">
        <f>IF($Y143&lt;&gt;"votre valeur :",IF(ISNA(VLOOKUP($Y143,Utilitaires!$N$566:$O$571,2,FALSE)),,VLOOKUP($Y143,Utilitaires!$N$566:$O$571,2,FALSE)),$Z143)</f>
        <v>0</v>
      </c>
      <c r="BI143" s="1124">
        <f>IF(ISNA(SQRT(SUMSQ(VLOOKUP($B143&amp;"; "&amp;$H$15&amp;", "&amp;H$16,'FE Fret'!$G:$U,7,FALSE),$BH143))),0,SQRT(SUMSQ(VLOOKUP($B143&amp;"; "&amp;$H$15&amp;", "&amp;$H$16,'FE Fret'!$G:$U,7,FALSE),$BH143)))</f>
        <v>0</v>
      </c>
      <c r="BJ143" s="1068">
        <f>IF(ISNA(SQRT(SUMSQ(VLOOKUP($B143&amp;"; "&amp;$K$15&amp;", "&amp;$K$16,'FE Fret'!$G:$U,7,FALSE),$BH143))),0,SQRT(SUMSQ(VLOOKUP($B143&amp;"; "&amp;$K$15&amp;", "&amp;$K$16,'FE Fret'!$G:$U,7,FALSE),$BH143)))</f>
        <v>0</v>
      </c>
      <c r="BK143" s="1068">
        <f>IF(ISNA(SQRT(SUMSQ(VLOOKUP($B143&amp;"; "&amp;$N$15&amp;", "&amp;$N$16,'FE Fret'!$G:$U,7,FALSE),$BH143))),0,SQRT(SUMSQ(VLOOKUP($B143&amp;"; "&amp;$N$15&amp;", "&amp;$N$16,'FE Fret'!$G:$U,7,FALSE),$BH143)))</f>
        <v>0</v>
      </c>
      <c r="BL143" s="1068">
        <f>IF(ISNA(SQRT(SUMSQ(VLOOKUP($B143&amp;"; "&amp;$Q$15&amp;", "&amp;$Q$16,'FE Fret'!$G:$U,7,FALSE),$BH143))),0,SQRT(SUMSQ(VLOOKUP($B143&amp;"; "&amp;$Q$15&amp;", "&amp;$Q$16,'FE Fret'!$G:$U,7,FALSE),$BH143)))</f>
        <v>0</v>
      </c>
      <c r="BM143" s="1124">
        <f>IF(ISNA(SQRT(SUMSQ(VLOOKUP($B143&amp;"; "&amp;$H$15&amp;", "&amp;I$16,'FE Fret'!$G:$U,7,FALSE),$BH143))),0,SQRT(SUMSQ(VLOOKUP($B143&amp;"; "&amp;$H$15&amp;", "&amp;$I$16,'FE Fret'!$G:$U,7,FALSE),$BH143)))</f>
        <v>0</v>
      </c>
      <c r="BN143" s="1068">
        <f>IF(ISNA(SQRT(SUMSQ(VLOOKUP($B143&amp;"; "&amp;$K$15&amp;", "&amp;$L$16,'FE Fret'!$G:$U,7,FALSE),$BH143))),0,SQRT(SUMSQ(VLOOKUP($B143&amp;"; "&amp;$K$15&amp;", "&amp;$L$16,'FE Fret'!$G:$U,7,FALSE),$BH143)))</f>
        <v>0</v>
      </c>
      <c r="BO143" s="1068">
        <f>IF(ISNA(SQRT(SUMSQ(VLOOKUP($B143&amp;"; "&amp;$N$15&amp;", "&amp;$O$16,'FE Fret'!$G:$U,7,FALSE),$BH143))),0,SQRT(SUMSQ(VLOOKUP($B143&amp;"; "&amp;$N$15&amp;", "&amp;$O$16,'FE Fret'!$G:$U,7,FALSE),$BH143)))</f>
        <v>0</v>
      </c>
      <c r="BP143" s="1125">
        <f>IF(ISNA(SQRT(SUMSQ(VLOOKUP($B143&amp;"; "&amp;$Q$15&amp;", "&amp;$R$16,'FE Fret'!$G:$U,7,FALSE),$BH143))),0,SQRT(SUMSQ(VLOOKUP($B143&amp;"; "&amp;$Q$15&amp;", "&amp;$R$16,'FE Fret'!$G:$U,7,FALSE),$BH143)))</f>
        <v>0</v>
      </c>
    </row>
    <row r="144" spans="1:68" outlineLevel="2">
      <c r="B144" s="143" t="s">
        <v>2329</v>
      </c>
      <c r="C144" s="144"/>
      <c r="D144" s="212">
        <f t="shared" si="48"/>
        <v>0</v>
      </c>
      <c r="E144" s="212"/>
      <c r="F144" s="120"/>
      <c r="G144" s="120"/>
      <c r="H144" s="335" t="e">
        <f>VLOOKUP($B144&amp;"; "&amp;$H$139&amp;", "&amp;H$140,'FE Fret'!$G:$U,9,FALSE)</f>
        <v>#N/A</v>
      </c>
      <c r="I144" s="335" t="e">
        <f>VLOOKUP($B144&amp;"; "&amp;$H$139&amp;", "&amp;I$140,'FE Fret'!$G:$U,9,FALSE)</f>
        <v>#N/A</v>
      </c>
      <c r="J144" s="120"/>
      <c r="K144" s="335" t="e">
        <f>VLOOKUP($B144&amp;"; "&amp;$K$139&amp;", "&amp;K$140,'FE Fret'!$G:$U,9,FALSE)</f>
        <v>#N/A</v>
      </c>
      <c r="L144" s="335" t="e">
        <f>VLOOKUP($B144&amp;"; "&amp;$K$139&amp;", "&amp;L$140,'FE Fret'!$G:$U,9,FALSE)</f>
        <v>#N/A</v>
      </c>
      <c r="M144" s="120"/>
      <c r="N144" s="335" t="e">
        <f>VLOOKUP($B144&amp;"; "&amp;$N$139&amp;", "&amp;N$140,'FE Fret'!$G:$U,9,FALSE)</f>
        <v>#N/A</v>
      </c>
      <c r="O144" s="335" t="e">
        <f>VLOOKUP($B144&amp;"; "&amp;$N$139&amp;", "&amp;O$140,'FE Fret'!$G:$U,9,FALSE)</f>
        <v>#N/A</v>
      </c>
      <c r="P144" s="120"/>
      <c r="Q144" s="335" t="e">
        <f>VLOOKUP($B144&amp;"; "&amp;$Q$139&amp;", "&amp;Q$140,'FE Fret'!$G:$U,9,FALSE)</f>
        <v>#N/A</v>
      </c>
      <c r="R144" s="335" t="e">
        <f>VLOOKUP($B144&amp;"; "&amp;$Q$139&amp;", "&amp;R$140,'FE Fret'!$G:$U,9,FALSE)</f>
        <v>#N/A</v>
      </c>
      <c r="S144" s="356">
        <f t="shared" si="49"/>
        <v>0</v>
      </c>
      <c r="T144" s="356">
        <f t="shared" si="49"/>
        <v>0</v>
      </c>
      <c r="U144" s="1286">
        <f>IF(OR(F144=Utilitaires!$I$572,F144=Utilitaires!$I$577),T144,0)</f>
        <v>0</v>
      </c>
      <c r="X144" s="1092">
        <f t="shared" si="50"/>
        <v>0</v>
      </c>
      <c r="Y144" s="343"/>
      <c r="Z144" s="820"/>
      <c r="AA144" s="164">
        <f t="shared" si="51"/>
        <v>0</v>
      </c>
      <c r="AB144" s="164">
        <f t="shared" si="52"/>
        <v>0</v>
      </c>
      <c r="AC144" s="164"/>
      <c r="AD144" s="151"/>
      <c r="AE144" s="151">
        <f t="shared" si="53"/>
        <v>0</v>
      </c>
      <c r="AF144" s="1286">
        <f t="shared" si="54"/>
        <v>0</v>
      </c>
      <c r="AG144" s="116"/>
      <c r="AH144" s="564">
        <f>$G144*IF(ISNA(VLOOKUP($B144&amp;"; "&amp;$H$139&amp;", "&amp;H$140,'FE Fret'!$G:$U,10,FALSE)),0,VLOOKUP($B144&amp;"; "&amp;$H$139&amp;", "&amp;H$140,'FE Fret'!$G:$U,10,FALSE))
+$J144*IF(ISNA(VLOOKUP($B144&amp;"; "&amp;$K$139&amp;", "&amp;H$140,'FE Fret'!$G:$U,10,FALSE)),0,VLOOKUP($B144&amp;"; "&amp;$K$139&amp;", "&amp;H$140,'FE Fret'!$G:$U,10,FALSE))
+$M144*IF(ISNA(VLOOKUP($B144&amp;"; "&amp;$N$139&amp;", "&amp;H$140,'FE Fret'!$G:$U,10,FALSE)),0,VLOOKUP($B144&amp;"; "&amp;$N$139&amp;", "&amp;H$140,'FE Fret'!$G:$U,10,FALSE))
+$P144*IF(ISNA(VLOOKUP($B144&amp;"; "&amp;$Q$139&amp;", "&amp;H$140,'FE Fret'!$G:$U,10,FALSE)),0,VLOOKUP($B144&amp;"; "&amp;$Q$139&amp;", "&amp;H$140,'FE Fret'!$G:$U,10,FALSE))</f>
        <v>0</v>
      </c>
      <c r="AI144" s="565">
        <f>$G144*IF(ISNA(VLOOKUP($B144&amp;"; "&amp;$H$139&amp;", "&amp;I$140,'FE Fret'!$G:$U,10,FALSE)),0,VLOOKUP($B144&amp;"; "&amp;$H$139&amp;", "&amp;I$140,'FE Fret'!$G:$U,10,FALSE))
+$J144*IF(ISNA(VLOOKUP($B144&amp;"; "&amp;$K$139&amp;", "&amp;I$140,'FE Fret'!$G:$U,10,FALSE)),0,VLOOKUP($B144&amp;"; "&amp;$K$139&amp;", "&amp;I$140,'FE Fret'!$G:$U,10,FALSE))
+$M144*IF(ISNA(VLOOKUP($B144&amp;"; "&amp;$N$139&amp;", "&amp;I$140,'FE Fret'!$G:$U,10,FALSE)),0,VLOOKUP($B144&amp;"; "&amp;$N$139&amp;", "&amp;I$140,'FE Fret'!$G:$U,10,FALSE))
+$P144*IF(ISNA(VLOOKUP($B144&amp;"; "&amp;$Q$139&amp;", "&amp;I$140,'FE Fret'!$G:$U,10,FALSE)),0,VLOOKUP($B144&amp;"; "&amp;$Q$139&amp;", "&amp;I$140,'FE Fret'!$G:$U,10,FALSE))</f>
        <v>0</v>
      </c>
      <c r="AJ144" s="565"/>
      <c r="AK144" s="565">
        <f>$G144*IF(ISNA((VLOOKUP($B144&amp;"; "&amp;$H$139&amp;", "&amp;H$140,'FE Fret'!$G:$U,12,FALSE)+VLOOKUP($B144&amp;"; "&amp;$H$139&amp;", "&amp;H$140,'FE Fret'!$G:$U,11,FALSE))),0,(VLOOKUP($B144&amp;"; "&amp;$H$139&amp;", "&amp;H$140,'FE Fret'!$G:$U,12,FALSE)+VLOOKUP($B144&amp;"; "&amp;$H$139&amp;", "&amp;H$140,'FE Fret'!$G:$U,11,FALSE)))
+$J144*IF(ISNA((VLOOKUP($B144&amp;"; "&amp;$K$139&amp;", "&amp;H$140,'FE Fret'!$G:$U,12,FALSE)+VLOOKUP($B144&amp;"; "&amp;$K$139&amp;", "&amp;H$140,'FE Fret'!$G:$U,11,FALSE))),0,(VLOOKUP($B144&amp;"; "&amp;$K$139&amp;", "&amp;H$140,'FE Fret'!$G:$U,12,FALSE)+VLOOKUP($B144&amp;"; "&amp;$K$139&amp;", "&amp;H$140,'FE Fret'!$G:$U,11,FALSE)))
+$M144*IF(ISNA((VLOOKUP($B144&amp;"; "&amp;$N$139&amp;", "&amp;H$140,'FE Fret'!$G:$U,12,FALSE)+VLOOKUP($B144&amp;"; "&amp;$N$139&amp;", "&amp;H$140,'FE Fret'!$G:$U,11,FALSE))),0,(VLOOKUP($B144&amp;"; "&amp;$N$139&amp;", "&amp;H$140,'FE Fret'!$G:$U,12,FALSE)+VLOOKUP($B144&amp;"; "&amp;$N$139&amp;", "&amp;H$140,'FE Fret'!$G:$U,11,FALSE)))
+$P144*IF(ISNA((VLOOKUP($B144&amp;"; "&amp;$Q$139&amp;", "&amp;H$140,'FE Fret'!$G:$U,12,FALSE)+VLOOKUP($B144&amp;"; "&amp;$Q$139&amp;", "&amp;H$140,'FE Fret'!$G:$U,11,FALSE))),0,(VLOOKUP($B144&amp;"; "&amp;$Q$139&amp;", "&amp;H$140,'FE Fret'!$G:$U,12,FALSE)+VLOOKUP($B144&amp;"; "&amp;$Q$139&amp;", "&amp;H$140,'FE Fret'!$G:$U,11,FALSE)))</f>
        <v>0</v>
      </c>
      <c r="AL144" s="565">
        <f>$G144*IF(ISNA((VLOOKUP($B144&amp;"; "&amp;$H$139&amp;", "&amp;I$140,'FE Fret'!$G:$U,12,FALSE)+VLOOKUP($B144&amp;"; "&amp;$H$139&amp;", "&amp;I$140,'FE Fret'!$G:$U,11,FALSE))),0,(VLOOKUP($B144&amp;"; "&amp;$H$139&amp;", "&amp;I$140,'FE Fret'!$G:$U,12,FALSE)+VLOOKUP($B144&amp;"; "&amp;$H$139&amp;", "&amp;I$140,'FE Fret'!$G:$U,11,FALSE)))
+$J144*IF(ISNA((VLOOKUP($B144&amp;"; "&amp;$K$139&amp;", "&amp;I$140,'FE Fret'!$G:$U,12,FALSE)+VLOOKUP($B144&amp;"; "&amp;$K$139&amp;", "&amp;I$140,'FE Fret'!$G:$U,11,FALSE))),0,(VLOOKUP($B144&amp;"; "&amp;$K$139&amp;", "&amp;I$140,'FE Fret'!$G:$U,12,FALSE)+VLOOKUP($B144&amp;"; "&amp;$K$139&amp;", "&amp;I$140,'FE Fret'!$G:$U,11,FALSE)))
+$M144*IF(ISNA((VLOOKUP($B144&amp;"; "&amp;$N$139&amp;", "&amp;I$140,'FE Fret'!$G:$U,12,FALSE)+VLOOKUP($B144&amp;"; "&amp;$N$139&amp;", "&amp;I$140,'FE Fret'!$G:$U,11,FALSE))),0,(VLOOKUP($B144&amp;"; "&amp;$N$139&amp;", "&amp;I$140,'FE Fret'!$G:$U,12,FALSE)+VLOOKUP($B144&amp;"; "&amp;$N$139&amp;", "&amp;I$140,'FE Fret'!$G:$U,11,FALSE)))
+$P144*IF(ISNA((VLOOKUP($B144&amp;"; "&amp;$Q$139&amp;", "&amp;I$140,'FE Fret'!$G:$U,12,FALSE)+VLOOKUP($B144&amp;"; "&amp;$Q$139&amp;", "&amp;I$140,'FE Fret'!$G:$U,11,FALSE))),0,(VLOOKUP($B144&amp;"; "&amp;$Q$139&amp;", "&amp;I$140,'FE Fret'!$G:$U,12,FALSE)+VLOOKUP($B144&amp;"; "&amp;$Q$139&amp;", "&amp;I$140,'FE Fret'!$G:$U,11,FALSE)))</f>
        <v>0</v>
      </c>
      <c r="AM144" s="565"/>
      <c r="AN144" s="565">
        <f>$G144*IF(ISNA(VLOOKUP($B144&amp;"; "&amp;$H$139&amp;", "&amp;H$140,'FE Fret'!$G:$U,13,FALSE)),0,VLOOKUP($B144&amp;"; "&amp;$H$139&amp;", "&amp;H$140,'FE Fret'!$G:$U,13,FALSE))
+$J144*IF(ISNA(VLOOKUP($B144&amp;"; "&amp;$K$139&amp;", "&amp;H$140,'FE Fret'!$G:$U,13,FALSE)),0,VLOOKUP($B144&amp;"; "&amp;$K$139&amp;", "&amp;H$140,'FE Fret'!$G:$U,13,FALSE))
+$M144*IF(ISNA(VLOOKUP($B144&amp;"; "&amp;$N$139&amp;", "&amp;H$140,'FE Fret'!$G:$U,13,FALSE)),0,VLOOKUP($B144&amp;"; "&amp;$N$139&amp;", "&amp;H$140,'FE Fret'!$G:$U,13,FALSE))
+$P144*IF(ISNA(VLOOKUP($B144&amp;"; "&amp;$Q$139&amp;", "&amp;H$140,'FE Fret'!$G:$U,13,FALSE)),0,VLOOKUP($B144&amp;"; "&amp;$Q$139&amp;", "&amp;H$140,'FE Fret'!$G:$U,13,FALSE))</f>
        <v>0</v>
      </c>
      <c r="AO144" s="565">
        <f>$G144*IF(ISNA(VLOOKUP($B144&amp;"; "&amp;$H$139&amp;", "&amp;I$140,'FE Fret'!$G:$U,13,FALSE)),0,VLOOKUP($B144&amp;"; "&amp;$H$139&amp;", "&amp;I$140,'FE Fret'!$G:$U,13,FALSE))
+$J144*IF(ISNA(VLOOKUP($B144&amp;"; "&amp;$K$139&amp;", "&amp;I$140,'FE Fret'!$G:$U,13,FALSE)),0,VLOOKUP($B144&amp;"; "&amp;$K$139&amp;", "&amp;I$140,'FE Fret'!$G:$U,13,FALSE))
+$M144*IF(ISNA(VLOOKUP($B144&amp;"; "&amp;$N$139&amp;", "&amp;I$140,'FE Fret'!$G:$U,13,FALSE)),0,VLOOKUP($B144&amp;"; "&amp;$N$139&amp;", "&amp;I$140,'FE Fret'!$G:$U,13,FALSE))
+$P144*IF(ISNA(VLOOKUP($B144&amp;"; "&amp;$Q$139&amp;", "&amp;I$140,'FE Fret'!$G:$U,13,FALSE)),0,VLOOKUP($B144&amp;"; "&amp;$Q$139&amp;", "&amp;I$140,'FE Fret'!$G:$U,13,FALSE))</f>
        <v>0</v>
      </c>
      <c r="AP144" s="565"/>
      <c r="AQ144" s="565">
        <v>0</v>
      </c>
      <c r="AR144" s="565">
        <v>0</v>
      </c>
      <c r="AS144" s="565"/>
      <c r="AT144" s="566">
        <f t="shared" si="55"/>
        <v>0</v>
      </c>
      <c r="AU144" s="566">
        <f t="shared" si="56"/>
        <v>0</v>
      </c>
      <c r="AV144" s="567"/>
      <c r="AW144" s="565">
        <f>$G144*IF(ISNA(VLOOKUP($B144&amp;"; "&amp;$H$139&amp;", "&amp;H$140,'FE Fret'!$G:$U,15,FALSE)),0,VLOOKUP($B144&amp;"; "&amp;$H$139&amp;", "&amp;H$140,'FE Fret'!$G:$U,15,FALSE))
+$J144*IF(ISNA(VLOOKUP($B144&amp;"; "&amp;$K$139&amp;", "&amp;H$140,'FE Fret'!$G:$U,15,FALSE)),0,VLOOKUP($B144&amp;"; "&amp;$K$139&amp;", "&amp;H$140,'FE Fret'!$G:$U,15,FALSE))
+$M144*IF(ISNA(VLOOKUP($B144&amp;"; "&amp;$N$139&amp;", "&amp;H$140,'FE Fret'!$G:$U,15,FALSE)),0,VLOOKUP($B144&amp;"; "&amp;$N$139&amp;", "&amp;H$140,'FE Fret'!$G:$U,15,FALSE))
+$P144*IF(ISNA(VLOOKUP($B144&amp;"; "&amp;$Q$139&amp;", "&amp;H$140,'FE Fret'!$G:$U,15,FALSE)),0,VLOOKUP($B144&amp;"; "&amp;$Q$139&amp;", "&amp;H$140,'FE Fret'!$G:$U,15,FALSE))</f>
        <v>0</v>
      </c>
      <c r="AX144" s="565">
        <f>$G144*IF(ISNA(VLOOKUP($B144&amp;"; "&amp;$H$139&amp;", "&amp;I$140,'FE Fret'!$G:$U,15,FALSE)),0,VLOOKUP($B144&amp;"; "&amp;$H$139&amp;", "&amp;I$140,'FE Fret'!$G:$U,15,FALSE))
+$J144*IF(ISNA(VLOOKUP($B144&amp;"; "&amp;$K$139&amp;", "&amp;I$140,'FE Fret'!$G:$U,15,FALSE)),0,VLOOKUP($B144&amp;"; "&amp;$K$139&amp;", "&amp;I$140,'FE Fret'!$G:$U,15,FALSE))
+$M144*IF(ISNA(VLOOKUP($B144&amp;"; "&amp;$N$139&amp;", "&amp;I$140,'FE Fret'!$G:$U,15,FALSE)),0,VLOOKUP($B144&amp;"; "&amp;$N$139&amp;", "&amp;I$140,'FE Fret'!$G:$U,15,FALSE))
+$P144*IF(ISNA(VLOOKUP($B144&amp;"; "&amp;$Q$139&amp;", "&amp;I$140,'FE Fret'!$G:$U,15,FALSE)),0,VLOOKUP($B144&amp;"; "&amp;$Q$139&amp;", "&amp;I$140,'FE Fret'!$G:$U,15,FALSE))</f>
        <v>0</v>
      </c>
      <c r="AY144" s="568"/>
      <c r="AZ144" s="565"/>
      <c r="BA144" s="565"/>
      <c r="BB144" s="565"/>
      <c r="BC144" s="565"/>
      <c r="BD144" s="565"/>
      <c r="BE144" s="565"/>
      <c r="BF144" s="565"/>
      <c r="BH144" s="1065">
        <f>IF($Y144&lt;&gt;"votre valeur :",IF(ISNA(VLOOKUP($Y144,Utilitaires!$N$566:$O$571,2,FALSE)),,VLOOKUP($Y144,Utilitaires!$N$566:$O$571,2,FALSE)),$Z144)</f>
        <v>0</v>
      </c>
      <c r="BI144" s="1124">
        <f>IF(ISNA(SQRT(SUMSQ(VLOOKUP($B144&amp;"; "&amp;$H$15&amp;", "&amp;H$16,'FE Fret'!$G:$U,7,FALSE),$BH144))),0,SQRT(SUMSQ(VLOOKUP($B144&amp;"; "&amp;$H$15&amp;", "&amp;$H$16,'FE Fret'!$G:$U,7,FALSE),$BH144)))</f>
        <v>0</v>
      </c>
      <c r="BJ144" s="1068">
        <f>IF(ISNA(SQRT(SUMSQ(VLOOKUP($B144&amp;"; "&amp;$K$15&amp;", "&amp;$K$16,'FE Fret'!$G:$U,7,FALSE),$BH144))),0,SQRT(SUMSQ(VLOOKUP($B144&amp;"; "&amp;$K$15&amp;", "&amp;$K$16,'FE Fret'!$G:$U,7,FALSE),$BH144)))</f>
        <v>0</v>
      </c>
      <c r="BK144" s="1068">
        <f>IF(ISNA(SQRT(SUMSQ(VLOOKUP($B144&amp;"; "&amp;$N$15&amp;", "&amp;$N$16,'FE Fret'!$G:$U,7,FALSE),$BH144))),0,SQRT(SUMSQ(VLOOKUP($B144&amp;"; "&amp;$N$15&amp;", "&amp;$N$16,'FE Fret'!$G:$U,7,FALSE),$BH144)))</f>
        <v>0</v>
      </c>
      <c r="BL144" s="1068">
        <f>IF(ISNA(SQRT(SUMSQ(VLOOKUP($B144&amp;"; "&amp;$Q$15&amp;", "&amp;$Q$16,'FE Fret'!$G:$U,7,FALSE),$BH144))),0,SQRT(SUMSQ(VLOOKUP($B144&amp;"; "&amp;$Q$15&amp;", "&amp;$Q$16,'FE Fret'!$G:$U,7,FALSE),$BH144)))</f>
        <v>0</v>
      </c>
      <c r="BM144" s="1124">
        <f>IF(ISNA(SQRT(SUMSQ(VLOOKUP($B144&amp;"; "&amp;$H$15&amp;", "&amp;I$16,'FE Fret'!$G:$U,7,FALSE),$BH144))),0,SQRT(SUMSQ(VLOOKUP($B144&amp;"; "&amp;$H$15&amp;", "&amp;$I$16,'FE Fret'!$G:$U,7,FALSE),$BH144)))</f>
        <v>0</v>
      </c>
      <c r="BN144" s="1068">
        <f>IF(ISNA(SQRT(SUMSQ(VLOOKUP($B144&amp;"; "&amp;$K$15&amp;", "&amp;$L$16,'FE Fret'!$G:$U,7,FALSE),$BH144))),0,SQRT(SUMSQ(VLOOKUP($B144&amp;"; "&amp;$K$15&amp;", "&amp;$L$16,'FE Fret'!$G:$U,7,FALSE),$BH144)))</f>
        <v>0</v>
      </c>
      <c r="BO144" s="1068">
        <f>IF(ISNA(SQRT(SUMSQ(VLOOKUP($B144&amp;"; "&amp;$N$15&amp;", "&amp;$O$16,'FE Fret'!$G:$U,7,FALSE),$BH144))),0,SQRT(SUMSQ(VLOOKUP($B144&amp;"; "&amp;$N$15&amp;", "&amp;$O$16,'FE Fret'!$G:$U,7,FALSE),$BH144)))</f>
        <v>0</v>
      </c>
      <c r="BP144" s="1125">
        <f>IF(ISNA(SQRT(SUMSQ(VLOOKUP($B144&amp;"; "&amp;$Q$15&amp;", "&amp;$R$16,'FE Fret'!$G:$U,7,FALSE),$BH144))),0,SQRT(SUMSQ(VLOOKUP($B144&amp;"; "&amp;$Q$15&amp;", "&amp;$R$16,'FE Fret'!$G:$U,7,FALSE),$BH144)))</f>
        <v>0</v>
      </c>
    </row>
    <row r="145" spans="2:68" outlineLevel="2">
      <c r="B145" s="143" t="s">
        <v>1663</v>
      </c>
      <c r="C145" s="144"/>
      <c r="D145" s="212">
        <f t="shared" si="48"/>
        <v>0</v>
      </c>
      <c r="E145" s="212"/>
      <c r="F145" s="120"/>
      <c r="G145" s="120"/>
      <c r="H145" s="335" t="e">
        <f>VLOOKUP($B145&amp;"; "&amp;$H$139&amp;", "&amp;H$140,'FE Fret'!$G:$U,9,FALSE)</f>
        <v>#N/A</v>
      </c>
      <c r="I145" s="335" t="e">
        <f>VLOOKUP($B145&amp;"; "&amp;$H$139&amp;", "&amp;I$140,'FE Fret'!$G:$U,9,FALSE)</f>
        <v>#N/A</v>
      </c>
      <c r="J145" s="120"/>
      <c r="K145" s="335" t="e">
        <f>VLOOKUP($B145&amp;"; "&amp;$K$139&amp;", "&amp;K$140,'FE Fret'!$G:$U,9,FALSE)</f>
        <v>#N/A</v>
      </c>
      <c r="L145" s="335" t="e">
        <f>VLOOKUP($B145&amp;"; "&amp;$K$139&amp;", "&amp;L$140,'FE Fret'!$G:$U,9,FALSE)</f>
        <v>#N/A</v>
      </c>
      <c r="M145" s="120"/>
      <c r="N145" s="335" t="e">
        <f>VLOOKUP($B145&amp;"; "&amp;$N$139&amp;", "&amp;N$140,'FE Fret'!$G:$U,9,FALSE)</f>
        <v>#N/A</v>
      </c>
      <c r="O145" s="335" t="e">
        <f>VLOOKUP($B145&amp;"; "&amp;$N$139&amp;", "&amp;O$140,'FE Fret'!$G:$U,9,FALSE)</f>
        <v>#N/A</v>
      </c>
      <c r="P145" s="120"/>
      <c r="Q145" s="335" t="e">
        <f>VLOOKUP($B145&amp;"; "&amp;$Q$139&amp;", "&amp;Q$140,'FE Fret'!$G:$U,9,FALSE)</f>
        <v>#N/A</v>
      </c>
      <c r="R145" s="335" t="e">
        <f>VLOOKUP($B145&amp;"; "&amp;$Q$139&amp;", "&amp;R$140,'FE Fret'!$G:$U,9,FALSE)</f>
        <v>#N/A</v>
      </c>
      <c r="S145" s="356">
        <f t="shared" si="49"/>
        <v>0</v>
      </c>
      <c r="T145" s="356">
        <f t="shared" si="49"/>
        <v>0</v>
      </c>
      <c r="U145" s="1286">
        <f>IF(OR(F145=Utilitaires!$I$572,F145=Utilitaires!$I$577),T145,0)</f>
        <v>0</v>
      </c>
      <c r="X145" s="1092">
        <f t="shared" si="50"/>
        <v>0</v>
      </c>
      <c r="Y145" s="343"/>
      <c r="Z145" s="820"/>
      <c r="AA145" s="164">
        <f t="shared" si="51"/>
        <v>0</v>
      </c>
      <c r="AB145" s="164">
        <f t="shared" si="52"/>
        <v>0</v>
      </c>
      <c r="AC145" s="164"/>
      <c r="AD145" s="151"/>
      <c r="AE145" s="151">
        <f t="shared" si="53"/>
        <v>0</v>
      </c>
      <c r="AF145" s="1286">
        <f t="shared" si="54"/>
        <v>0</v>
      </c>
      <c r="AG145" s="116"/>
      <c r="AH145" s="564">
        <f>$G145*IF(ISNA(VLOOKUP($B145&amp;"; "&amp;$H$139&amp;", "&amp;H$140,'FE Fret'!$G:$U,10,FALSE)),0,VLOOKUP($B145&amp;"; "&amp;$H$139&amp;", "&amp;H$140,'FE Fret'!$G:$U,10,FALSE))
+$J145*IF(ISNA(VLOOKUP($B145&amp;"; "&amp;$K$139&amp;", "&amp;H$140,'FE Fret'!$G:$U,10,FALSE)),0,VLOOKUP($B145&amp;"; "&amp;$K$139&amp;", "&amp;H$140,'FE Fret'!$G:$U,10,FALSE))
+$M145*IF(ISNA(VLOOKUP($B145&amp;"; "&amp;$N$139&amp;", "&amp;H$140,'FE Fret'!$G:$U,10,FALSE)),0,VLOOKUP($B145&amp;"; "&amp;$N$139&amp;", "&amp;H$140,'FE Fret'!$G:$U,10,FALSE))
+$P145*IF(ISNA(VLOOKUP($B145&amp;"; "&amp;$Q$139&amp;", "&amp;H$140,'FE Fret'!$G:$U,10,FALSE)),0,VLOOKUP($B145&amp;"; "&amp;$Q$139&amp;", "&amp;H$140,'FE Fret'!$G:$U,10,FALSE))</f>
        <v>0</v>
      </c>
      <c r="AI145" s="565">
        <f>$G145*IF(ISNA(VLOOKUP($B145&amp;"; "&amp;$H$139&amp;", "&amp;I$140,'FE Fret'!$G:$U,10,FALSE)),0,VLOOKUP($B145&amp;"; "&amp;$H$139&amp;", "&amp;I$140,'FE Fret'!$G:$U,10,FALSE))
+$J145*IF(ISNA(VLOOKUP($B145&amp;"; "&amp;$K$139&amp;", "&amp;I$140,'FE Fret'!$G:$U,10,FALSE)),0,VLOOKUP($B145&amp;"; "&amp;$K$139&amp;", "&amp;I$140,'FE Fret'!$G:$U,10,FALSE))
+$M145*IF(ISNA(VLOOKUP($B145&amp;"; "&amp;$N$139&amp;", "&amp;I$140,'FE Fret'!$G:$U,10,FALSE)),0,VLOOKUP($B145&amp;"; "&amp;$N$139&amp;", "&amp;I$140,'FE Fret'!$G:$U,10,FALSE))
+$P145*IF(ISNA(VLOOKUP($B145&amp;"; "&amp;$Q$139&amp;", "&amp;I$140,'FE Fret'!$G:$U,10,FALSE)),0,VLOOKUP($B145&amp;"; "&amp;$Q$139&amp;", "&amp;I$140,'FE Fret'!$G:$U,10,FALSE))</f>
        <v>0</v>
      </c>
      <c r="AJ145" s="565"/>
      <c r="AK145" s="565">
        <f>$G145*IF(ISNA((VLOOKUP($B145&amp;"; "&amp;$H$139&amp;", "&amp;H$140,'FE Fret'!$G:$U,12,FALSE)+VLOOKUP($B145&amp;"; "&amp;$H$139&amp;", "&amp;H$140,'FE Fret'!$G:$U,11,FALSE))),0,(VLOOKUP($B145&amp;"; "&amp;$H$139&amp;", "&amp;H$140,'FE Fret'!$G:$U,12,FALSE)+VLOOKUP($B145&amp;"; "&amp;$H$139&amp;", "&amp;H$140,'FE Fret'!$G:$U,11,FALSE)))
+$J145*IF(ISNA((VLOOKUP($B145&amp;"; "&amp;$K$139&amp;", "&amp;H$140,'FE Fret'!$G:$U,12,FALSE)+VLOOKUP($B145&amp;"; "&amp;$K$139&amp;", "&amp;H$140,'FE Fret'!$G:$U,11,FALSE))),0,(VLOOKUP($B145&amp;"; "&amp;$K$139&amp;", "&amp;H$140,'FE Fret'!$G:$U,12,FALSE)+VLOOKUP($B145&amp;"; "&amp;$K$139&amp;", "&amp;H$140,'FE Fret'!$G:$U,11,FALSE)))
+$M145*IF(ISNA((VLOOKUP($B145&amp;"; "&amp;$N$139&amp;", "&amp;H$140,'FE Fret'!$G:$U,12,FALSE)+VLOOKUP($B145&amp;"; "&amp;$N$139&amp;", "&amp;H$140,'FE Fret'!$G:$U,11,FALSE))),0,(VLOOKUP($B145&amp;"; "&amp;$N$139&amp;", "&amp;H$140,'FE Fret'!$G:$U,12,FALSE)+VLOOKUP($B145&amp;"; "&amp;$N$139&amp;", "&amp;H$140,'FE Fret'!$G:$U,11,FALSE)))
+$P145*IF(ISNA((VLOOKUP($B145&amp;"; "&amp;$Q$139&amp;", "&amp;H$140,'FE Fret'!$G:$U,12,FALSE)+VLOOKUP($B145&amp;"; "&amp;$Q$139&amp;", "&amp;H$140,'FE Fret'!$G:$U,11,FALSE))),0,(VLOOKUP($B145&amp;"; "&amp;$Q$139&amp;", "&amp;H$140,'FE Fret'!$G:$U,12,FALSE)+VLOOKUP($B145&amp;"; "&amp;$Q$139&amp;", "&amp;H$140,'FE Fret'!$G:$U,11,FALSE)))</f>
        <v>0</v>
      </c>
      <c r="AL145" s="565">
        <f>$G145*IF(ISNA((VLOOKUP($B145&amp;"; "&amp;$H$139&amp;", "&amp;I$140,'FE Fret'!$G:$U,12,FALSE)+VLOOKUP($B145&amp;"; "&amp;$H$139&amp;", "&amp;I$140,'FE Fret'!$G:$U,11,FALSE))),0,(VLOOKUP($B145&amp;"; "&amp;$H$139&amp;", "&amp;I$140,'FE Fret'!$G:$U,12,FALSE)+VLOOKUP($B145&amp;"; "&amp;$H$139&amp;", "&amp;I$140,'FE Fret'!$G:$U,11,FALSE)))
+$J145*IF(ISNA((VLOOKUP($B145&amp;"; "&amp;$K$139&amp;", "&amp;I$140,'FE Fret'!$G:$U,12,FALSE)+VLOOKUP($B145&amp;"; "&amp;$K$139&amp;", "&amp;I$140,'FE Fret'!$G:$U,11,FALSE))),0,(VLOOKUP($B145&amp;"; "&amp;$K$139&amp;", "&amp;I$140,'FE Fret'!$G:$U,12,FALSE)+VLOOKUP($B145&amp;"; "&amp;$K$139&amp;", "&amp;I$140,'FE Fret'!$G:$U,11,FALSE)))
+$M145*IF(ISNA((VLOOKUP($B145&amp;"; "&amp;$N$139&amp;", "&amp;I$140,'FE Fret'!$G:$U,12,FALSE)+VLOOKUP($B145&amp;"; "&amp;$N$139&amp;", "&amp;I$140,'FE Fret'!$G:$U,11,FALSE))),0,(VLOOKUP($B145&amp;"; "&amp;$N$139&amp;", "&amp;I$140,'FE Fret'!$G:$U,12,FALSE)+VLOOKUP($B145&amp;"; "&amp;$N$139&amp;", "&amp;I$140,'FE Fret'!$G:$U,11,FALSE)))
+$P145*IF(ISNA((VLOOKUP($B145&amp;"; "&amp;$Q$139&amp;", "&amp;I$140,'FE Fret'!$G:$U,12,FALSE)+VLOOKUP($B145&amp;"; "&amp;$Q$139&amp;", "&amp;I$140,'FE Fret'!$G:$U,11,FALSE))),0,(VLOOKUP($B145&amp;"; "&amp;$Q$139&amp;", "&amp;I$140,'FE Fret'!$G:$U,12,FALSE)+VLOOKUP($B145&amp;"; "&amp;$Q$139&amp;", "&amp;I$140,'FE Fret'!$G:$U,11,FALSE)))</f>
        <v>0</v>
      </c>
      <c r="AM145" s="565"/>
      <c r="AN145" s="565">
        <f>$G145*IF(ISNA(VLOOKUP($B145&amp;"; "&amp;$H$139&amp;", "&amp;H$140,'FE Fret'!$G:$U,13,FALSE)),0,VLOOKUP($B145&amp;"; "&amp;$H$139&amp;", "&amp;H$140,'FE Fret'!$G:$U,13,FALSE))
+$J145*IF(ISNA(VLOOKUP($B145&amp;"; "&amp;$K$139&amp;", "&amp;H$140,'FE Fret'!$G:$U,13,FALSE)),0,VLOOKUP($B145&amp;"; "&amp;$K$139&amp;", "&amp;H$140,'FE Fret'!$G:$U,13,FALSE))
+$M145*IF(ISNA(VLOOKUP($B145&amp;"; "&amp;$N$139&amp;", "&amp;H$140,'FE Fret'!$G:$U,13,FALSE)),0,VLOOKUP($B145&amp;"; "&amp;$N$139&amp;", "&amp;H$140,'FE Fret'!$G:$U,13,FALSE))
+$P145*IF(ISNA(VLOOKUP($B145&amp;"; "&amp;$Q$139&amp;", "&amp;H$140,'FE Fret'!$G:$U,13,FALSE)),0,VLOOKUP($B145&amp;"; "&amp;$Q$139&amp;", "&amp;H$140,'FE Fret'!$G:$U,13,FALSE))</f>
        <v>0</v>
      </c>
      <c r="AO145" s="565">
        <f>$G145*IF(ISNA(VLOOKUP($B145&amp;"; "&amp;$H$139&amp;", "&amp;I$140,'FE Fret'!$G:$U,13,FALSE)),0,VLOOKUP($B145&amp;"; "&amp;$H$139&amp;", "&amp;I$140,'FE Fret'!$G:$U,13,FALSE))
+$J145*IF(ISNA(VLOOKUP($B145&amp;"; "&amp;$K$139&amp;", "&amp;I$140,'FE Fret'!$G:$U,13,FALSE)),0,VLOOKUP($B145&amp;"; "&amp;$K$139&amp;", "&amp;I$140,'FE Fret'!$G:$U,13,FALSE))
+$M145*IF(ISNA(VLOOKUP($B145&amp;"; "&amp;$N$139&amp;", "&amp;I$140,'FE Fret'!$G:$U,13,FALSE)),0,VLOOKUP($B145&amp;"; "&amp;$N$139&amp;", "&amp;I$140,'FE Fret'!$G:$U,13,FALSE))
+$P145*IF(ISNA(VLOOKUP($B145&amp;"; "&amp;$Q$139&amp;", "&amp;I$140,'FE Fret'!$G:$U,13,FALSE)),0,VLOOKUP($B145&amp;"; "&amp;$Q$139&amp;", "&amp;I$140,'FE Fret'!$G:$U,13,FALSE))</f>
        <v>0</v>
      </c>
      <c r="AP145" s="565"/>
      <c r="AQ145" s="565">
        <v>0</v>
      </c>
      <c r="AR145" s="565">
        <v>0</v>
      </c>
      <c r="AS145" s="565"/>
      <c r="AT145" s="566">
        <f t="shared" si="55"/>
        <v>0</v>
      </c>
      <c r="AU145" s="566">
        <f t="shared" si="56"/>
        <v>0</v>
      </c>
      <c r="AV145" s="567"/>
      <c r="AW145" s="565">
        <f>$G145*IF(ISNA(VLOOKUP($B145&amp;"; "&amp;$H$139&amp;", "&amp;H$140,'FE Fret'!$G:$U,15,FALSE)),0,VLOOKUP($B145&amp;"; "&amp;$H$139&amp;", "&amp;H$140,'FE Fret'!$G:$U,15,FALSE))
+$J145*IF(ISNA(VLOOKUP($B145&amp;"; "&amp;$K$139&amp;", "&amp;H$140,'FE Fret'!$G:$U,15,FALSE)),0,VLOOKUP($B145&amp;"; "&amp;$K$139&amp;", "&amp;H$140,'FE Fret'!$G:$U,15,FALSE))
+$M145*IF(ISNA(VLOOKUP($B145&amp;"; "&amp;$N$139&amp;", "&amp;H$140,'FE Fret'!$G:$U,15,FALSE)),0,VLOOKUP($B145&amp;"; "&amp;$N$139&amp;", "&amp;H$140,'FE Fret'!$G:$U,15,FALSE))
+$P145*IF(ISNA(VLOOKUP($B145&amp;"; "&amp;$Q$139&amp;", "&amp;H$140,'FE Fret'!$G:$U,15,FALSE)),0,VLOOKUP($B145&amp;"; "&amp;$Q$139&amp;", "&amp;H$140,'FE Fret'!$G:$U,15,FALSE))</f>
        <v>0</v>
      </c>
      <c r="AX145" s="565">
        <f>$G145*IF(ISNA(VLOOKUP($B145&amp;"; "&amp;$H$139&amp;", "&amp;I$140,'FE Fret'!$G:$U,15,FALSE)),0,VLOOKUP($B145&amp;"; "&amp;$H$139&amp;", "&amp;I$140,'FE Fret'!$G:$U,15,FALSE))
+$J145*IF(ISNA(VLOOKUP($B145&amp;"; "&amp;$K$139&amp;", "&amp;I$140,'FE Fret'!$G:$U,15,FALSE)),0,VLOOKUP($B145&amp;"; "&amp;$K$139&amp;", "&amp;I$140,'FE Fret'!$G:$U,15,FALSE))
+$M145*IF(ISNA(VLOOKUP($B145&amp;"; "&amp;$N$139&amp;", "&amp;I$140,'FE Fret'!$G:$U,15,FALSE)),0,VLOOKUP($B145&amp;"; "&amp;$N$139&amp;", "&amp;I$140,'FE Fret'!$G:$U,15,FALSE))
+$P145*IF(ISNA(VLOOKUP($B145&amp;"; "&amp;$Q$139&amp;", "&amp;I$140,'FE Fret'!$G:$U,15,FALSE)),0,VLOOKUP($B145&amp;"; "&amp;$Q$139&amp;", "&amp;I$140,'FE Fret'!$G:$U,15,FALSE))</f>
        <v>0</v>
      </c>
      <c r="AY145" s="568"/>
      <c r="AZ145" s="565"/>
      <c r="BA145" s="565"/>
      <c r="BB145" s="565"/>
      <c r="BC145" s="565"/>
      <c r="BD145" s="565"/>
      <c r="BE145" s="565"/>
      <c r="BF145" s="565"/>
      <c r="BH145" s="1065">
        <f>IF($Y145&lt;&gt;"votre valeur :",IF(ISNA(VLOOKUP($Y145,Utilitaires!$N$566:$O$571,2,FALSE)),,VLOOKUP($Y145,Utilitaires!$N$566:$O$571,2,FALSE)),$Z145)</f>
        <v>0</v>
      </c>
      <c r="BI145" s="1124">
        <f>IF(ISNA(SQRT(SUMSQ(VLOOKUP($B145&amp;"; "&amp;$H$15&amp;", "&amp;H$16,'FE Fret'!$G:$U,7,FALSE),$BH145))),0,SQRT(SUMSQ(VLOOKUP($B145&amp;"; "&amp;$H$15&amp;", "&amp;$H$16,'FE Fret'!$G:$U,7,FALSE),$BH145)))</f>
        <v>0</v>
      </c>
      <c r="BJ145" s="1068">
        <f>IF(ISNA(SQRT(SUMSQ(VLOOKUP($B145&amp;"; "&amp;$K$15&amp;", "&amp;$K$16,'FE Fret'!$G:$U,7,FALSE),$BH145))),0,SQRT(SUMSQ(VLOOKUP($B145&amp;"; "&amp;$K$15&amp;", "&amp;$K$16,'FE Fret'!$G:$U,7,FALSE),$BH145)))</f>
        <v>0</v>
      </c>
      <c r="BK145" s="1068">
        <f>IF(ISNA(SQRT(SUMSQ(VLOOKUP($B145&amp;"; "&amp;$N$15&amp;", "&amp;$N$16,'FE Fret'!$G:$U,7,FALSE),$BH145))),0,SQRT(SUMSQ(VLOOKUP($B145&amp;"; "&amp;$N$15&amp;", "&amp;$N$16,'FE Fret'!$G:$U,7,FALSE),$BH145)))</f>
        <v>0</v>
      </c>
      <c r="BL145" s="1068">
        <f>IF(ISNA(SQRT(SUMSQ(VLOOKUP($B145&amp;"; "&amp;$Q$15&amp;", "&amp;$Q$16,'FE Fret'!$G:$U,7,FALSE),$BH145))),0,SQRT(SUMSQ(VLOOKUP($B145&amp;"; "&amp;$Q$15&amp;", "&amp;$Q$16,'FE Fret'!$G:$U,7,FALSE),$BH145)))</f>
        <v>0</v>
      </c>
      <c r="BM145" s="1124">
        <f>IF(ISNA(SQRT(SUMSQ(VLOOKUP($B145&amp;"; "&amp;$H$15&amp;", "&amp;I$16,'FE Fret'!$G:$U,7,FALSE),$BH145))),0,SQRT(SUMSQ(VLOOKUP($B145&amp;"; "&amp;$H$15&amp;", "&amp;$I$16,'FE Fret'!$G:$U,7,FALSE),$BH145)))</f>
        <v>0</v>
      </c>
      <c r="BN145" s="1068">
        <f>IF(ISNA(SQRT(SUMSQ(VLOOKUP($B145&amp;"; "&amp;$K$15&amp;", "&amp;$L$16,'FE Fret'!$G:$U,7,FALSE),$BH145))),0,SQRT(SUMSQ(VLOOKUP($B145&amp;"; "&amp;$K$15&amp;", "&amp;$L$16,'FE Fret'!$G:$U,7,FALSE),$BH145)))</f>
        <v>0</v>
      </c>
      <c r="BO145" s="1068">
        <f>IF(ISNA(SQRT(SUMSQ(VLOOKUP($B145&amp;"; "&amp;$N$15&amp;", "&amp;$O$16,'FE Fret'!$G:$U,7,FALSE),$BH145))),0,SQRT(SUMSQ(VLOOKUP($B145&amp;"; "&amp;$N$15&amp;", "&amp;$O$16,'FE Fret'!$G:$U,7,FALSE),$BH145)))</f>
        <v>0</v>
      </c>
      <c r="BP145" s="1125">
        <f>IF(ISNA(SQRT(SUMSQ(VLOOKUP($B145&amp;"; "&amp;$Q$15&amp;", "&amp;$R$16,'FE Fret'!$G:$U,7,FALSE),$BH145))),0,SQRT(SUMSQ(VLOOKUP($B145&amp;"; "&amp;$Q$15&amp;", "&amp;$R$16,'FE Fret'!$G:$U,7,FALSE),$BH145)))</f>
        <v>0</v>
      </c>
    </row>
    <row r="146" spans="2:68" outlineLevel="2">
      <c r="B146" s="143" t="s">
        <v>1664</v>
      </c>
      <c r="C146" s="144"/>
      <c r="D146" s="212">
        <f t="shared" si="48"/>
        <v>0</v>
      </c>
      <c r="E146" s="212"/>
      <c r="F146" s="123"/>
      <c r="G146" s="123"/>
      <c r="H146" s="335">
        <f>VLOOKUP($B146&amp;"; "&amp;$H$139&amp;", "&amp;H$140,'FE Fret'!$G:$U,9,FALSE)</f>
        <v>902</v>
      </c>
      <c r="I146" s="335" t="e">
        <f>VLOOKUP($B146&amp;"; "&amp;$H$139&amp;", "&amp;I$140,'FE Fret'!$G:$U,9,FALSE)</f>
        <v>#N/A</v>
      </c>
      <c r="J146" s="123"/>
      <c r="K146" s="335">
        <f>VLOOKUP($B146&amp;"; "&amp;$K$139&amp;", "&amp;K$140,'FE Fret'!$G:$U,9,FALSE)</f>
        <v>0.121</v>
      </c>
      <c r="L146" s="335" t="e">
        <f>VLOOKUP($B146&amp;"; "&amp;$K$139&amp;", "&amp;L$140,'FE Fret'!$G:$U,9,FALSE)</f>
        <v>#N/A</v>
      </c>
      <c r="M146" s="123"/>
      <c r="N146" s="335">
        <f>VLOOKUP($B146&amp;"; "&amp;$N$139&amp;", "&amp;N$140,'FE Fret'!$G:$U,9,FALSE)</f>
        <v>1410</v>
      </c>
      <c r="O146" s="335" t="e">
        <f>VLOOKUP($B146&amp;"; "&amp;$N$139&amp;", "&amp;O$140,'FE Fret'!$G:$U,9,FALSE)</f>
        <v>#N/A</v>
      </c>
      <c r="P146" s="123"/>
      <c r="Q146" s="335">
        <f>VLOOKUP($B146&amp;"; "&amp;$Q$139&amp;", "&amp;Q$140,'FE Fret'!$G:$U,9,FALSE)</f>
        <v>0.71299999999999997</v>
      </c>
      <c r="R146" s="335" t="e">
        <f>VLOOKUP($B146&amp;"; "&amp;$Q$139&amp;", "&amp;R$140,'FE Fret'!$G:$U,9,FALSE)</f>
        <v>#N/A</v>
      </c>
      <c r="S146" s="356">
        <f t="shared" si="49"/>
        <v>0</v>
      </c>
      <c r="T146" s="356">
        <f t="shared" si="49"/>
        <v>0</v>
      </c>
      <c r="U146" s="1286">
        <f>IF(OR(F146=Utilitaires!$I$572,F146=Utilitaires!$I$577),T146,0)</f>
        <v>0</v>
      </c>
      <c r="X146" s="1092">
        <f t="shared" si="50"/>
        <v>0</v>
      </c>
      <c r="Y146" s="1218"/>
      <c r="Z146" s="820"/>
      <c r="AA146" s="164">
        <f t="shared" si="51"/>
        <v>0</v>
      </c>
      <c r="AB146" s="164">
        <f t="shared" si="52"/>
        <v>0</v>
      </c>
      <c r="AC146" s="164"/>
      <c r="AD146" s="151"/>
      <c r="AE146" s="151">
        <f t="shared" si="53"/>
        <v>0</v>
      </c>
      <c r="AF146" s="1286">
        <f t="shared" si="54"/>
        <v>0</v>
      </c>
      <c r="AG146" s="116"/>
      <c r="AH146" s="564">
        <f>$G146*IF(ISNA(VLOOKUP($B146&amp;"; "&amp;$H$139&amp;", "&amp;H$140,'FE Fret'!$G:$U,10,FALSE)),0,VLOOKUP($B146&amp;"; "&amp;$H$139&amp;", "&amp;H$140,'FE Fret'!$G:$U,10,FALSE))
+$J146*IF(ISNA(VLOOKUP($B146&amp;"; "&amp;$K$139&amp;", "&amp;H$140,'FE Fret'!$G:$U,10,FALSE)),0,VLOOKUP($B146&amp;"; "&amp;$K$139&amp;", "&amp;H$140,'FE Fret'!$G:$U,10,FALSE))
+$M146*IF(ISNA(VLOOKUP($B146&amp;"; "&amp;$N$139&amp;", "&amp;H$140,'FE Fret'!$G:$U,10,FALSE)),0,VLOOKUP($B146&amp;"; "&amp;$N$139&amp;", "&amp;H$140,'FE Fret'!$G:$U,10,FALSE))
+$P146*IF(ISNA(VLOOKUP($B146&amp;"; "&amp;$Q$139&amp;", "&amp;H$140,'FE Fret'!$G:$U,10,FALSE)),0,VLOOKUP($B146&amp;"; "&amp;$Q$139&amp;", "&amp;H$140,'FE Fret'!$G:$U,10,FALSE))</f>
        <v>0</v>
      </c>
      <c r="AI146" s="565">
        <f>$G146*IF(ISNA(VLOOKUP($B146&amp;"; "&amp;$H$139&amp;", "&amp;I$140,'FE Fret'!$G:$U,10,FALSE)),0,VLOOKUP($B146&amp;"; "&amp;$H$139&amp;", "&amp;I$140,'FE Fret'!$G:$U,10,FALSE))
+$J146*IF(ISNA(VLOOKUP($B146&amp;"; "&amp;$K$139&amp;", "&amp;I$140,'FE Fret'!$G:$U,10,FALSE)),0,VLOOKUP($B146&amp;"; "&amp;$K$139&amp;", "&amp;I$140,'FE Fret'!$G:$U,10,FALSE))
+$M146*IF(ISNA(VLOOKUP($B146&amp;"; "&amp;$N$139&amp;", "&amp;I$140,'FE Fret'!$G:$U,10,FALSE)),0,VLOOKUP($B146&amp;"; "&amp;$N$139&amp;", "&amp;I$140,'FE Fret'!$G:$U,10,FALSE))
+$P146*IF(ISNA(VLOOKUP($B146&amp;"; "&amp;$Q$139&amp;", "&amp;I$140,'FE Fret'!$G:$U,10,FALSE)),0,VLOOKUP($B146&amp;"; "&amp;$Q$139&amp;", "&amp;I$140,'FE Fret'!$G:$U,10,FALSE))</f>
        <v>0</v>
      </c>
      <c r="AJ146" s="565"/>
      <c r="AK146" s="565">
        <f>$G146*IF(ISNA((VLOOKUP($B146&amp;"; "&amp;$H$139&amp;", "&amp;H$140,'FE Fret'!$G:$U,12,FALSE)+VLOOKUP($B146&amp;"; "&amp;$H$139&amp;", "&amp;H$140,'FE Fret'!$G:$U,11,FALSE))),0,(VLOOKUP($B146&amp;"; "&amp;$H$139&amp;", "&amp;H$140,'FE Fret'!$G:$U,12,FALSE)+VLOOKUP($B146&amp;"; "&amp;$H$139&amp;", "&amp;H$140,'FE Fret'!$G:$U,11,FALSE)))
+$J146*IF(ISNA((VLOOKUP($B146&amp;"; "&amp;$K$139&amp;", "&amp;H$140,'FE Fret'!$G:$U,12,FALSE)+VLOOKUP($B146&amp;"; "&amp;$K$139&amp;", "&amp;H$140,'FE Fret'!$G:$U,11,FALSE))),0,(VLOOKUP($B146&amp;"; "&amp;$K$139&amp;", "&amp;H$140,'FE Fret'!$G:$U,12,FALSE)+VLOOKUP($B146&amp;"; "&amp;$K$139&amp;", "&amp;H$140,'FE Fret'!$G:$U,11,FALSE)))
+$M146*IF(ISNA((VLOOKUP($B146&amp;"; "&amp;$N$139&amp;", "&amp;H$140,'FE Fret'!$G:$U,12,FALSE)+VLOOKUP($B146&amp;"; "&amp;$N$139&amp;", "&amp;H$140,'FE Fret'!$G:$U,11,FALSE))),0,(VLOOKUP($B146&amp;"; "&amp;$N$139&amp;", "&amp;H$140,'FE Fret'!$G:$U,12,FALSE)+VLOOKUP($B146&amp;"; "&amp;$N$139&amp;", "&amp;H$140,'FE Fret'!$G:$U,11,FALSE)))
+$P146*IF(ISNA((VLOOKUP($B146&amp;"; "&amp;$Q$139&amp;", "&amp;H$140,'FE Fret'!$G:$U,12,FALSE)+VLOOKUP($B146&amp;"; "&amp;$Q$139&amp;", "&amp;H$140,'FE Fret'!$G:$U,11,FALSE))),0,(VLOOKUP($B146&amp;"; "&amp;$Q$139&amp;", "&amp;H$140,'FE Fret'!$G:$U,12,FALSE)+VLOOKUP($B146&amp;"; "&amp;$Q$139&amp;", "&amp;H$140,'FE Fret'!$G:$U,11,FALSE)))</f>
        <v>0</v>
      </c>
      <c r="AL146" s="565">
        <f>$G146*IF(ISNA((VLOOKUP($B146&amp;"; "&amp;$H$139&amp;", "&amp;I$140,'FE Fret'!$G:$U,12,FALSE)+VLOOKUP($B146&amp;"; "&amp;$H$139&amp;", "&amp;I$140,'FE Fret'!$G:$U,11,FALSE))),0,(VLOOKUP($B146&amp;"; "&amp;$H$139&amp;", "&amp;I$140,'FE Fret'!$G:$U,12,FALSE)+VLOOKUP($B146&amp;"; "&amp;$H$139&amp;", "&amp;I$140,'FE Fret'!$G:$U,11,FALSE)))
+$J146*IF(ISNA((VLOOKUP($B146&amp;"; "&amp;$K$139&amp;", "&amp;I$140,'FE Fret'!$G:$U,12,FALSE)+VLOOKUP($B146&amp;"; "&amp;$K$139&amp;", "&amp;I$140,'FE Fret'!$G:$U,11,FALSE))),0,(VLOOKUP($B146&amp;"; "&amp;$K$139&amp;", "&amp;I$140,'FE Fret'!$G:$U,12,FALSE)+VLOOKUP($B146&amp;"; "&amp;$K$139&amp;", "&amp;I$140,'FE Fret'!$G:$U,11,FALSE)))
+$M146*IF(ISNA((VLOOKUP($B146&amp;"; "&amp;$N$139&amp;", "&amp;I$140,'FE Fret'!$G:$U,12,FALSE)+VLOOKUP($B146&amp;"; "&amp;$N$139&amp;", "&amp;I$140,'FE Fret'!$G:$U,11,FALSE))),0,(VLOOKUP($B146&amp;"; "&amp;$N$139&amp;", "&amp;I$140,'FE Fret'!$G:$U,12,FALSE)+VLOOKUP($B146&amp;"; "&amp;$N$139&amp;", "&amp;I$140,'FE Fret'!$G:$U,11,FALSE)))
+$P146*IF(ISNA((VLOOKUP($B146&amp;"; "&amp;$Q$139&amp;", "&amp;I$140,'FE Fret'!$G:$U,12,FALSE)+VLOOKUP($B146&amp;"; "&amp;$Q$139&amp;", "&amp;I$140,'FE Fret'!$G:$U,11,FALSE))),0,(VLOOKUP($B146&amp;"; "&amp;$Q$139&amp;", "&amp;I$140,'FE Fret'!$G:$U,12,FALSE)+VLOOKUP($B146&amp;"; "&amp;$Q$139&amp;", "&amp;I$140,'FE Fret'!$G:$U,11,FALSE)))</f>
        <v>0</v>
      </c>
      <c r="AM146" s="565"/>
      <c r="AN146" s="565">
        <f>$G146*IF(ISNA(VLOOKUP($B146&amp;"; "&amp;$H$139&amp;", "&amp;H$140,'FE Fret'!$G:$U,13,FALSE)),0,VLOOKUP($B146&amp;"; "&amp;$H$139&amp;", "&amp;H$140,'FE Fret'!$G:$U,13,FALSE))
+$J146*IF(ISNA(VLOOKUP($B146&amp;"; "&amp;$K$139&amp;", "&amp;H$140,'FE Fret'!$G:$U,13,FALSE)),0,VLOOKUP($B146&amp;"; "&amp;$K$139&amp;", "&amp;H$140,'FE Fret'!$G:$U,13,FALSE))
+$M146*IF(ISNA(VLOOKUP($B146&amp;"; "&amp;$N$139&amp;", "&amp;H$140,'FE Fret'!$G:$U,13,FALSE)),0,VLOOKUP($B146&amp;"; "&amp;$N$139&amp;", "&amp;H$140,'FE Fret'!$G:$U,13,FALSE))
+$P146*IF(ISNA(VLOOKUP($B146&amp;"; "&amp;$Q$139&amp;", "&amp;H$140,'FE Fret'!$G:$U,13,FALSE)),0,VLOOKUP($B146&amp;"; "&amp;$Q$139&amp;", "&amp;H$140,'FE Fret'!$G:$U,13,FALSE))</f>
        <v>0</v>
      </c>
      <c r="AO146" s="565">
        <f>$G146*IF(ISNA(VLOOKUP($B146&amp;"; "&amp;$H$139&amp;", "&amp;I$140,'FE Fret'!$G:$U,13,FALSE)),0,VLOOKUP($B146&amp;"; "&amp;$H$139&amp;", "&amp;I$140,'FE Fret'!$G:$U,13,FALSE))
+$J146*IF(ISNA(VLOOKUP($B146&amp;"; "&amp;$K$139&amp;", "&amp;I$140,'FE Fret'!$G:$U,13,FALSE)),0,VLOOKUP($B146&amp;"; "&amp;$K$139&amp;", "&amp;I$140,'FE Fret'!$G:$U,13,FALSE))
+$M146*IF(ISNA(VLOOKUP($B146&amp;"; "&amp;$N$139&amp;", "&amp;I$140,'FE Fret'!$G:$U,13,FALSE)),0,VLOOKUP($B146&amp;"; "&amp;$N$139&amp;", "&amp;I$140,'FE Fret'!$G:$U,13,FALSE))
+$P146*IF(ISNA(VLOOKUP($B146&amp;"; "&amp;$Q$139&amp;", "&amp;I$140,'FE Fret'!$G:$U,13,FALSE)),0,VLOOKUP($B146&amp;"; "&amp;$Q$139&amp;", "&amp;I$140,'FE Fret'!$G:$U,13,FALSE))</f>
        <v>0</v>
      </c>
      <c r="AP146" s="565"/>
      <c r="AQ146" s="565">
        <v>0</v>
      </c>
      <c r="AR146" s="565">
        <v>0</v>
      </c>
      <c r="AS146" s="565"/>
      <c r="AT146" s="566">
        <f t="shared" si="55"/>
        <v>0</v>
      </c>
      <c r="AU146" s="566">
        <f t="shared" si="56"/>
        <v>0</v>
      </c>
      <c r="AV146" s="567"/>
      <c r="AW146" s="565">
        <f>$G146*IF(ISNA(VLOOKUP($B146&amp;"; "&amp;$H$139&amp;", "&amp;H$140,'FE Fret'!$G:$U,15,FALSE)),0,VLOOKUP($B146&amp;"; "&amp;$H$139&amp;", "&amp;H$140,'FE Fret'!$G:$U,15,FALSE))
+$J146*IF(ISNA(VLOOKUP($B146&amp;"; "&amp;$K$139&amp;", "&amp;H$140,'FE Fret'!$G:$U,15,FALSE)),0,VLOOKUP($B146&amp;"; "&amp;$K$139&amp;", "&amp;H$140,'FE Fret'!$G:$U,15,FALSE))
+$M146*IF(ISNA(VLOOKUP($B146&amp;"; "&amp;$N$139&amp;", "&amp;H$140,'FE Fret'!$G:$U,15,FALSE)),0,VLOOKUP($B146&amp;"; "&amp;$N$139&amp;", "&amp;H$140,'FE Fret'!$G:$U,15,FALSE))
+$P146*IF(ISNA(VLOOKUP($B146&amp;"; "&amp;$Q$139&amp;", "&amp;H$140,'FE Fret'!$G:$U,15,FALSE)),0,VLOOKUP($B146&amp;"; "&amp;$Q$139&amp;", "&amp;H$140,'FE Fret'!$G:$U,15,FALSE))</f>
        <v>0</v>
      </c>
      <c r="AX146" s="565">
        <f>$G146*IF(ISNA(VLOOKUP($B146&amp;"; "&amp;$H$139&amp;", "&amp;I$140,'FE Fret'!$G:$U,15,FALSE)),0,VLOOKUP($B146&amp;"; "&amp;$H$139&amp;", "&amp;I$140,'FE Fret'!$G:$U,15,FALSE))
+$J146*IF(ISNA(VLOOKUP($B146&amp;"; "&amp;$K$139&amp;", "&amp;I$140,'FE Fret'!$G:$U,15,FALSE)),0,VLOOKUP($B146&amp;"; "&amp;$K$139&amp;", "&amp;I$140,'FE Fret'!$G:$U,15,FALSE))
+$M146*IF(ISNA(VLOOKUP($B146&amp;"; "&amp;$N$139&amp;", "&amp;I$140,'FE Fret'!$G:$U,15,FALSE)),0,VLOOKUP($B146&amp;"; "&amp;$N$139&amp;", "&amp;I$140,'FE Fret'!$G:$U,15,FALSE))
+$P146*IF(ISNA(VLOOKUP($B146&amp;"; "&amp;$Q$139&amp;", "&amp;I$140,'FE Fret'!$G:$U,15,FALSE)),0,VLOOKUP($B146&amp;"; "&amp;$Q$139&amp;", "&amp;I$140,'FE Fret'!$G:$U,15,FALSE))</f>
        <v>0</v>
      </c>
      <c r="AY146" s="568"/>
      <c r="AZ146" s="565"/>
      <c r="BA146" s="565"/>
      <c r="BB146" s="565"/>
      <c r="BC146" s="565"/>
      <c r="BD146" s="565"/>
      <c r="BE146" s="565"/>
      <c r="BF146" s="565"/>
      <c r="BH146" s="1065">
        <f>IF($Y146&lt;&gt;"votre valeur :",IF(ISNA(VLOOKUP($Y146,Utilitaires!$N$566:$O$571,2,FALSE)),,VLOOKUP($Y146,Utilitaires!$N$566:$O$571,2,FALSE)),$Z146)</f>
        <v>0</v>
      </c>
      <c r="BI146" s="1124">
        <f>IF(ISNA(SQRT(SUMSQ(VLOOKUP($B146&amp;"; "&amp;$H$15&amp;", "&amp;H$16,'FE Fret'!$G:$U,7,FALSE),$BH146))),0,SQRT(SUMSQ(VLOOKUP($B146&amp;"; "&amp;$H$15&amp;", "&amp;$H$16,'FE Fret'!$G:$U,7,FALSE),$BH146)))</f>
        <v>0.2</v>
      </c>
      <c r="BJ146" s="1068">
        <f>IF(ISNA(SQRT(SUMSQ(VLOOKUP($B146&amp;"; "&amp;$K$15&amp;", "&amp;$K$16,'FE Fret'!$G:$U,7,FALSE),$BH146))),0,SQRT(SUMSQ(VLOOKUP($B146&amp;"; "&amp;$K$15&amp;", "&amp;$K$16,'FE Fret'!$G:$U,7,FALSE),$BH146)))</f>
        <v>0.2</v>
      </c>
      <c r="BK146" s="1068">
        <f>IF(ISNA(SQRT(SUMSQ(VLOOKUP($B146&amp;"; "&amp;$N$15&amp;", "&amp;$N$16,'FE Fret'!$G:$U,7,FALSE),$BH146))),0,SQRT(SUMSQ(VLOOKUP($B146&amp;"; "&amp;$N$15&amp;", "&amp;$N$16,'FE Fret'!$G:$U,7,FALSE),$BH146)))</f>
        <v>0.2</v>
      </c>
      <c r="BL146" s="1068">
        <f>IF(ISNA(SQRT(SUMSQ(VLOOKUP($B146&amp;"; "&amp;$Q$15&amp;", "&amp;$Q$16,'FE Fret'!$G:$U,7,FALSE),$BH146))),0,SQRT(SUMSQ(VLOOKUP($B146&amp;"; "&amp;$Q$15&amp;", "&amp;$Q$16,'FE Fret'!$G:$U,7,FALSE),$BH146)))</f>
        <v>0.2</v>
      </c>
      <c r="BM146" s="1124">
        <f>IF(ISNA(SQRT(SUMSQ(VLOOKUP($B146&amp;"; "&amp;$H$15&amp;", "&amp;I$16,'FE Fret'!$G:$U,7,FALSE),$BH146))),0,SQRT(SUMSQ(VLOOKUP($B146&amp;"; "&amp;$H$15&amp;", "&amp;$I$16,'FE Fret'!$G:$U,7,FALSE),$BH146)))</f>
        <v>0</v>
      </c>
      <c r="BN146" s="1068">
        <f>IF(ISNA(SQRT(SUMSQ(VLOOKUP($B146&amp;"; "&amp;$K$15&amp;", "&amp;$L$16,'FE Fret'!$G:$U,7,FALSE),$BH146))),0,SQRT(SUMSQ(VLOOKUP($B146&amp;"; "&amp;$K$15&amp;", "&amp;$L$16,'FE Fret'!$G:$U,7,FALSE),$BH146)))</f>
        <v>0</v>
      </c>
      <c r="BO146" s="1068">
        <f>IF(ISNA(SQRT(SUMSQ(VLOOKUP($B146&amp;"; "&amp;$N$15&amp;", "&amp;$O$16,'FE Fret'!$G:$U,7,FALSE),$BH146))),0,SQRT(SUMSQ(VLOOKUP($B146&amp;"; "&amp;$N$15&amp;", "&amp;$O$16,'FE Fret'!$G:$U,7,FALSE),$BH146)))</f>
        <v>0</v>
      </c>
      <c r="BP146" s="1125">
        <f>IF(ISNA(SQRT(SUMSQ(VLOOKUP($B146&amp;"; "&amp;$Q$15&amp;", "&amp;$R$16,'FE Fret'!$G:$U,7,FALSE),$BH146))),0,SQRT(SUMSQ(VLOOKUP($B146&amp;"; "&amp;$Q$15&amp;", "&amp;$R$16,'FE Fret'!$G:$U,7,FALSE),$BH146)))</f>
        <v>0</v>
      </c>
    </row>
    <row r="147" spans="2:68" outlineLevel="2">
      <c r="B147" s="154"/>
      <c r="C147" s="155"/>
      <c r="D147" s="221"/>
      <c r="E147" s="221"/>
      <c r="F147" s="155"/>
      <c r="G147" s="155"/>
      <c r="H147" s="155"/>
      <c r="I147" s="155"/>
      <c r="J147" s="155"/>
      <c r="K147" s="155"/>
      <c r="L147" s="155"/>
      <c r="M147" s="155"/>
      <c r="N147" s="155"/>
      <c r="O147" s="155"/>
      <c r="P147" s="155"/>
      <c r="Q147" s="155"/>
      <c r="R147" s="155"/>
      <c r="S147" s="1268"/>
      <c r="T147" s="354"/>
      <c r="U147" s="1336"/>
      <c r="X147" s="143"/>
      <c r="Y147" s="144"/>
      <c r="Z147" s="144"/>
      <c r="AA147" s="164"/>
      <c r="AB147" s="164"/>
      <c r="AC147" s="164"/>
      <c r="AD147" s="151"/>
      <c r="AE147" s="151"/>
      <c r="AF147" s="1287"/>
      <c r="AG147" s="116"/>
      <c r="AH147" s="564"/>
      <c r="AI147" s="565"/>
      <c r="AJ147" s="565"/>
      <c r="AK147" s="565"/>
      <c r="AL147" s="565"/>
      <c r="AM147" s="565"/>
      <c r="AN147" s="565"/>
      <c r="AO147" s="565"/>
      <c r="AP147" s="565"/>
      <c r="AQ147" s="565"/>
      <c r="AR147" s="565"/>
      <c r="AS147" s="565"/>
      <c r="AT147" s="566"/>
      <c r="AU147" s="566"/>
      <c r="AV147" s="567"/>
      <c r="AW147" s="565"/>
      <c r="AX147" s="565"/>
      <c r="AY147" s="568"/>
      <c r="AZ147" s="565"/>
      <c r="BA147" s="565"/>
      <c r="BB147" s="565"/>
      <c r="BC147" s="565"/>
      <c r="BD147" s="565"/>
      <c r="BE147" s="565"/>
      <c r="BF147" s="565"/>
      <c r="BH147" s="1087"/>
      <c r="BI147" s="1126"/>
      <c r="BJ147" s="1073"/>
      <c r="BK147" s="1073"/>
      <c r="BL147" s="1074"/>
      <c r="BM147" s="1075"/>
      <c r="BN147" s="1076"/>
      <c r="BO147" s="1076"/>
      <c r="BP147" s="1077"/>
    </row>
    <row r="148" spans="2:68" ht="12.75" customHeight="1" outlineLevel="2">
      <c r="B148" s="370" t="s">
        <v>348</v>
      </c>
      <c r="C148" s="371"/>
      <c r="D148" s="1339">
        <f>SUM(D141:D147)</f>
        <v>0</v>
      </c>
      <c r="E148" s="1339"/>
      <c r="F148" s="1340"/>
      <c r="G148" s="350"/>
      <c r="H148" s="350"/>
      <c r="I148" s="350"/>
      <c r="J148" s="350"/>
      <c r="K148" s="350"/>
      <c r="L148" s="350"/>
      <c r="M148" s="350"/>
      <c r="N148" s="350"/>
      <c r="O148" s="350"/>
      <c r="P148" s="350"/>
      <c r="Q148" s="199"/>
      <c r="R148" s="202"/>
      <c r="S148" s="202">
        <f>SUM(S141:S147)</f>
        <v>0</v>
      </c>
      <c r="T148" s="202">
        <f>SUM(T141:T147)</f>
        <v>0</v>
      </c>
      <c r="U148" s="1311">
        <f>SUM(U141:U147)</f>
        <v>0</v>
      </c>
      <c r="X148" s="1204">
        <f>IF(AE148=0,AE148,AE148/D148)</f>
        <v>0</v>
      </c>
      <c r="Y148" s="199"/>
      <c r="Z148" s="199"/>
      <c r="AA148" s="203">
        <f>SQRT(SUMSQ(AA141:AA147))</f>
        <v>0</v>
      </c>
      <c r="AB148" s="203">
        <f>SQRT(SUMSQ(AB141:AB147))</f>
        <v>0</v>
      </c>
      <c r="AC148" s="203"/>
      <c r="AD148" s="203"/>
      <c r="AE148" s="202">
        <f>SQRT(SUMSQ(AE141:AE147))</f>
        <v>0</v>
      </c>
      <c r="AF148" s="340">
        <f>SQRT(SUMSQ(AF141:AF147))</f>
        <v>0</v>
      </c>
      <c r="AH148" s="571">
        <f>SUM(AH141:AH147)</f>
        <v>0</v>
      </c>
      <c r="AI148" s="572">
        <f>SUM(AI141:AI147)</f>
        <v>0</v>
      </c>
      <c r="AJ148" s="572"/>
      <c r="AK148" s="572">
        <f>SUM(AK141:AK147)</f>
        <v>0</v>
      </c>
      <c r="AL148" s="572">
        <f>SUM(AL141:AL147)</f>
        <v>0</v>
      </c>
      <c r="AM148" s="572"/>
      <c r="AN148" s="572">
        <f>SUM(AN141:AN147)</f>
        <v>0</v>
      </c>
      <c r="AO148" s="572">
        <f>SUM(AO141:AO147)</f>
        <v>0</v>
      </c>
      <c r="AP148" s="572"/>
      <c r="AQ148" s="572">
        <f>SUM(AQ141:AQ147)</f>
        <v>0</v>
      </c>
      <c r="AR148" s="572">
        <f>SUM(AR141:AR147)</f>
        <v>0</v>
      </c>
      <c r="AS148" s="572"/>
      <c r="AT148" s="573">
        <f>SUM(AT141:AT147)</f>
        <v>0</v>
      </c>
      <c r="AU148" s="573">
        <f>SUM(AU141:AU147)</f>
        <v>0</v>
      </c>
      <c r="AV148" s="574"/>
      <c r="AW148" s="1082">
        <f>SUM(AW141:AW147)</f>
        <v>0</v>
      </c>
      <c r="AX148" s="572">
        <f>SUM(AX141:AX147)</f>
        <v>0</v>
      </c>
      <c r="AY148" s="575"/>
      <c r="AZ148" s="2447"/>
      <c r="BA148" s="2447"/>
      <c r="BB148" s="2447"/>
      <c r="BC148" s="2447"/>
      <c r="BD148" s="2447"/>
      <c r="BE148" s="2447"/>
      <c r="BF148" s="2447"/>
    </row>
    <row r="149" spans="2:68" ht="12.75" customHeight="1" outlineLevel="2">
      <c r="P149" s="116"/>
      <c r="V149" s="109"/>
      <c r="W149" s="109"/>
      <c r="X149" s="109"/>
      <c r="Y149" s="109"/>
      <c r="Z149" s="109"/>
      <c r="AA149" s="109"/>
      <c r="AB149" s="109"/>
      <c r="AC149" s="109"/>
      <c r="AP149" s="588"/>
    </row>
    <row r="150" spans="2:68" ht="12.75" customHeight="1" outlineLevel="2">
      <c r="B150" s="139" t="s">
        <v>3673</v>
      </c>
      <c r="C150" s="140"/>
      <c r="D150" s="140"/>
      <c r="E150" s="140"/>
      <c r="F150" s="140"/>
      <c r="G150" s="141"/>
      <c r="H150" s="141"/>
      <c r="I150" s="179"/>
      <c r="J150" s="116"/>
      <c r="K150" s="116"/>
      <c r="L150" s="116"/>
      <c r="M150" s="116"/>
      <c r="N150" s="116"/>
      <c r="O150" s="116"/>
      <c r="P150" s="116"/>
      <c r="Q150" s="116"/>
      <c r="R150" s="116"/>
      <c r="S150" s="116"/>
      <c r="T150" s="116"/>
      <c r="U150" s="116"/>
      <c r="V150" s="116"/>
      <c r="W150" s="116"/>
      <c r="X150" s="2636" t="s">
        <v>366</v>
      </c>
      <c r="Y150" s="2637"/>
      <c r="Z150" s="2637"/>
      <c r="AA150" s="2637"/>
      <c r="AB150" s="2637"/>
      <c r="AC150" s="2637"/>
      <c r="AD150" s="2637"/>
      <c r="AE150" s="2638"/>
      <c r="AF150" s="116"/>
      <c r="AH150" s="2639" t="s">
        <v>441</v>
      </c>
      <c r="AI150" s="2640"/>
      <c r="AJ150" s="2640"/>
      <c r="AK150" s="2640"/>
      <c r="AL150" s="2640"/>
      <c r="AM150" s="2640"/>
      <c r="AN150" s="2640"/>
      <c r="AO150" s="2640"/>
      <c r="AP150" s="2640"/>
      <c r="AQ150" s="2640"/>
      <c r="AR150" s="2640"/>
      <c r="AS150" s="2640"/>
      <c r="AT150" s="2640"/>
      <c r="AU150" s="2640"/>
      <c r="AV150" s="2640"/>
      <c r="AW150" s="2640"/>
      <c r="AX150" s="2640"/>
      <c r="AY150" s="2641"/>
      <c r="AZ150" s="2418"/>
      <c r="BA150" s="2418"/>
      <c r="BB150" s="2418"/>
      <c r="BC150" s="2418"/>
      <c r="BD150" s="2418"/>
      <c r="BE150" s="2418"/>
      <c r="BF150" s="2418"/>
    </row>
    <row r="151" spans="2:68" ht="12.75" customHeight="1" outlineLevel="2">
      <c r="B151" s="332"/>
      <c r="C151" s="167"/>
      <c r="D151" s="1334" t="s">
        <v>308</v>
      </c>
      <c r="E151" s="1663"/>
      <c r="F151" s="144"/>
      <c r="G151" s="144"/>
      <c r="H151" s="144"/>
      <c r="I151" s="1337" t="s">
        <v>444</v>
      </c>
      <c r="X151" s="1316"/>
      <c r="Y151" s="1317"/>
      <c r="Z151" s="1317"/>
      <c r="AA151" s="1334"/>
      <c r="AB151" s="1334"/>
      <c r="AC151" s="2423"/>
      <c r="AD151" s="1334"/>
      <c r="AE151" s="1337" t="s">
        <v>444</v>
      </c>
      <c r="AG151" s="109"/>
      <c r="AH151" s="2642" t="s">
        <v>444</v>
      </c>
      <c r="AI151" s="2643"/>
      <c r="AJ151" s="2643"/>
      <c r="AK151" s="2643"/>
      <c r="AL151" s="2643"/>
      <c r="AM151" s="2643"/>
      <c r="AN151" s="2643"/>
      <c r="AO151" s="2643"/>
      <c r="AP151" s="2643"/>
      <c r="AQ151" s="2643"/>
      <c r="AR151" s="2643"/>
      <c r="AS151" s="2643"/>
      <c r="AT151" s="2643" t="s">
        <v>444</v>
      </c>
      <c r="AU151" s="2643"/>
      <c r="AV151" s="628"/>
      <c r="AW151" s="624"/>
      <c r="AX151" s="624"/>
      <c r="AY151" s="1291"/>
      <c r="AZ151" s="2286"/>
      <c r="BA151" s="2286"/>
      <c r="BB151" s="2286"/>
      <c r="BC151" s="2286"/>
      <c r="BD151" s="2286"/>
      <c r="BE151" s="2286"/>
      <c r="BF151" s="2286"/>
      <c r="BH151" s="2616" t="s">
        <v>1648</v>
      </c>
      <c r="BI151" s="2618"/>
    </row>
    <row r="152" spans="2:68" ht="12.75" customHeight="1" outlineLevel="2">
      <c r="B152" s="143"/>
      <c r="C152" s="144"/>
      <c r="D152" s="1317" t="s">
        <v>409</v>
      </c>
      <c r="E152" s="1656"/>
      <c r="F152" s="147" t="s">
        <v>452</v>
      </c>
      <c r="G152" s="147" t="s">
        <v>3670</v>
      </c>
      <c r="H152" s="1317"/>
      <c r="I152" s="220" t="s">
        <v>880</v>
      </c>
      <c r="J152" s="109"/>
      <c r="K152" s="109"/>
      <c r="L152" s="109"/>
      <c r="M152" s="109"/>
      <c r="N152" s="109"/>
      <c r="O152" s="109"/>
      <c r="P152" s="109"/>
      <c r="Q152" s="109"/>
      <c r="R152" s="109"/>
      <c r="S152" s="109"/>
      <c r="T152" s="109"/>
      <c r="U152" s="109"/>
      <c r="V152" s="109"/>
      <c r="W152" s="109"/>
      <c r="X152" s="1316" t="s">
        <v>316</v>
      </c>
      <c r="Y152" s="2629" t="s">
        <v>316</v>
      </c>
      <c r="Z152" s="2630"/>
      <c r="AA152" s="1317"/>
      <c r="AB152" s="1317"/>
      <c r="AC152" s="2419"/>
      <c r="AD152" s="1317"/>
      <c r="AE152" s="220" t="s">
        <v>880</v>
      </c>
      <c r="AF152" s="109"/>
      <c r="AG152" s="109"/>
      <c r="AH152" s="2631" t="s">
        <v>211</v>
      </c>
      <c r="AI152" s="2632"/>
      <c r="AJ152" s="2632"/>
      <c r="AK152" s="2632" t="s">
        <v>442</v>
      </c>
      <c r="AL152" s="2632"/>
      <c r="AM152" s="2632"/>
      <c r="AN152" s="2632" t="s">
        <v>267</v>
      </c>
      <c r="AO152" s="2632"/>
      <c r="AP152" s="2632"/>
      <c r="AQ152" s="2632" t="s">
        <v>443</v>
      </c>
      <c r="AR152" s="2632"/>
      <c r="AS152" s="2632"/>
      <c r="AT152" s="2648" t="s">
        <v>327</v>
      </c>
      <c r="AU152" s="2648"/>
      <c r="AV152" s="568"/>
      <c r="AW152" s="2631" t="s">
        <v>636</v>
      </c>
      <c r="AX152" s="2632"/>
      <c r="AY152" s="568"/>
      <c r="AZ152" s="565"/>
      <c r="BA152" s="565"/>
      <c r="BB152" s="565"/>
      <c r="BC152" s="565"/>
      <c r="BD152" s="565"/>
      <c r="BE152" s="565"/>
      <c r="BF152" s="565"/>
      <c r="BH152" s="2837" t="s">
        <v>1646</v>
      </c>
      <c r="BI152" s="1141"/>
    </row>
    <row r="153" spans="2:68" ht="12.75" customHeight="1" outlineLevel="2">
      <c r="B153" s="143"/>
      <c r="C153" s="144"/>
      <c r="D153" s="1317" t="s">
        <v>444</v>
      </c>
      <c r="E153" s="1656"/>
      <c r="F153" s="1321" t="s">
        <v>445</v>
      </c>
      <c r="G153" s="1321" t="s">
        <v>881</v>
      </c>
      <c r="H153" s="1317"/>
      <c r="I153" s="220" t="s">
        <v>257</v>
      </c>
      <c r="J153" s="109"/>
      <c r="K153" s="109"/>
      <c r="L153" s="109"/>
      <c r="M153" s="109"/>
      <c r="N153" s="109"/>
      <c r="O153" s="109"/>
      <c r="P153" s="109"/>
      <c r="Q153" s="109"/>
      <c r="R153" s="109"/>
      <c r="S153" s="109"/>
      <c r="T153" s="109"/>
      <c r="U153" s="109"/>
      <c r="V153" s="109"/>
      <c r="W153" s="109"/>
      <c r="X153" s="1316" t="s">
        <v>1649</v>
      </c>
      <c r="Y153" s="2646" t="s">
        <v>1650</v>
      </c>
      <c r="Z153" s="2647"/>
      <c r="AA153" s="1322"/>
      <c r="AB153" s="1322"/>
      <c r="AC153" s="1662"/>
      <c r="AD153" s="1322"/>
      <c r="AE153" s="220" t="s">
        <v>257</v>
      </c>
      <c r="AF153" s="109"/>
      <c r="AH153" s="1331"/>
      <c r="AI153" s="1332"/>
      <c r="AJ153" s="1332"/>
      <c r="AK153" s="1332"/>
      <c r="AL153" s="1332"/>
      <c r="AM153" s="1332"/>
      <c r="AN153" s="1332"/>
      <c r="AO153" s="1332"/>
      <c r="AP153" s="1332"/>
      <c r="AQ153" s="1332"/>
      <c r="AR153" s="1332"/>
      <c r="AS153" s="1332"/>
      <c r="AT153" s="581"/>
      <c r="AU153" s="581"/>
      <c r="AV153" s="582"/>
      <c r="AW153" s="1332"/>
      <c r="AX153" s="1332"/>
      <c r="AY153" s="1333"/>
      <c r="AZ153" s="2286"/>
      <c r="BA153" s="2286"/>
      <c r="BB153" s="2286"/>
      <c r="BC153" s="2286"/>
      <c r="BD153" s="2286"/>
      <c r="BE153" s="2286"/>
      <c r="BF153" s="2286"/>
      <c r="BH153" s="2838"/>
      <c r="BI153" s="1326"/>
    </row>
    <row r="154" spans="2:68" ht="12.75" customHeight="1" outlineLevel="2">
      <c r="B154" s="143" t="s">
        <v>3669</v>
      </c>
      <c r="C154" s="144"/>
      <c r="D154" s="212">
        <f>I154</f>
        <v>0</v>
      </c>
      <c r="E154" s="212"/>
      <c r="F154" s="117"/>
      <c r="G154" s="117"/>
      <c r="H154" s="218"/>
      <c r="I154" s="152">
        <f>G154</f>
        <v>0</v>
      </c>
      <c r="X154" s="1092">
        <f>IF(AE154=0,AE154,AE154/D154)</f>
        <v>0</v>
      </c>
      <c r="Y154" s="343"/>
      <c r="Z154" s="820"/>
      <c r="AA154" s="164"/>
      <c r="AB154" s="164"/>
      <c r="AC154" s="164"/>
      <c r="AD154" s="164"/>
      <c r="AE154" s="152">
        <f>I154*BI154</f>
        <v>0</v>
      </c>
      <c r="AH154" s="564">
        <f>D154</f>
        <v>0</v>
      </c>
      <c r="AI154" s="565"/>
      <c r="AJ154" s="565"/>
      <c r="AK154" s="565"/>
      <c r="AL154" s="565"/>
      <c r="AM154" s="565"/>
      <c r="AN154" s="565"/>
      <c r="AO154" s="565"/>
      <c r="AP154" s="565"/>
      <c r="AQ154" s="565"/>
      <c r="AR154" s="565"/>
      <c r="AS154" s="565"/>
      <c r="AT154" s="566">
        <f>SUM(AH154:AQ154)</f>
        <v>0</v>
      </c>
      <c r="AU154" s="566"/>
      <c r="AV154" s="567"/>
      <c r="AW154" s="565"/>
      <c r="AX154" s="565"/>
      <c r="AY154" s="568"/>
      <c r="AZ154" s="565"/>
      <c r="BA154" s="565"/>
      <c r="BB154" s="565"/>
      <c r="BC154" s="565"/>
      <c r="BD154" s="565"/>
      <c r="BE154" s="565"/>
      <c r="BF154" s="565"/>
      <c r="BH154" s="1065">
        <f>IF($Y154&lt;&gt;"votre valeur :",IF(ISNA(VLOOKUP($Y154,Utilitaires!$N$566:$O$571,2,FALSE)),,VLOOKUP($Y154,Utilitaires!$N$566:$O$571,2,FALSE)),$Z154)</f>
        <v>0</v>
      </c>
      <c r="BI154" s="1130">
        <f>SQRT(SUMSQ(0,BH154))</f>
        <v>0</v>
      </c>
    </row>
    <row r="155" spans="2:68" ht="12.75" customHeight="1" outlineLevel="2">
      <c r="B155" s="143" t="s">
        <v>3669</v>
      </c>
      <c r="C155" s="144"/>
      <c r="D155" s="212">
        <f>I155</f>
        <v>0</v>
      </c>
      <c r="E155" s="212"/>
      <c r="F155" s="120"/>
      <c r="G155" s="120"/>
      <c r="H155" s="218"/>
      <c r="I155" s="152">
        <f t="shared" ref="I155:I156" si="57">G155</f>
        <v>0</v>
      </c>
      <c r="X155" s="1092">
        <f>IF(AE155=0,AE155,AE155/D155)</f>
        <v>0</v>
      </c>
      <c r="Y155" s="343"/>
      <c r="Z155" s="820"/>
      <c r="AA155" s="164"/>
      <c r="AB155" s="164"/>
      <c r="AC155" s="164"/>
      <c r="AD155" s="164"/>
      <c r="AE155" s="152">
        <f>I155*BI155</f>
        <v>0</v>
      </c>
      <c r="AH155" s="564">
        <f>D155</f>
        <v>0</v>
      </c>
      <c r="AI155" s="565"/>
      <c r="AJ155" s="565"/>
      <c r="AK155" s="565"/>
      <c r="AL155" s="565"/>
      <c r="AM155" s="565"/>
      <c r="AN155" s="565"/>
      <c r="AO155" s="565"/>
      <c r="AP155" s="565"/>
      <c r="AQ155" s="565"/>
      <c r="AR155" s="565"/>
      <c r="AS155" s="565"/>
      <c r="AT155" s="566">
        <f>SUM(AH155:AQ155)</f>
        <v>0</v>
      </c>
      <c r="AU155" s="566"/>
      <c r="AV155" s="567"/>
      <c r="AW155" s="565"/>
      <c r="AX155" s="565"/>
      <c r="AY155" s="568"/>
      <c r="AZ155" s="565"/>
      <c r="BA155" s="565"/>
      <c r="BB155" s="565"/>
      <c r="BC155" s="565"/>
      <c r="BD155" s="565"/>
      <c r="BE155" s="565"/>
      <c r="BF155" s="565"/>
      <c r="BH155" s="1065">
        <f>IF($Y155&lt;&gt;"votre valeur :",IF(ISNA(VLOOKUP($Y155,Utilitaires!$N$566:$O$571,2,FALSE)),,VLOOKUP($Y155,Utilitaires!$N$566:$O$571,2,FALSE)),$Z155)</f>
        <v>0</v>
      </c>
      <c r="BI155" s="1130">
        <f>SQRT(SUMSQ(0,BH155))</f>
        <v>0</v>
      </c>
    </row>
    <row r="156" spans="2:68" ht="12.75" customHeight="1" outlineLevel="2">
      <c r="B156" s="143" t="s">
        <v>3669</v>
      </c>
      <c r="C156" s="144"/>
      <c r="D156" s="212">
        <f>I156</f>
        <v>0</v>
      </c>
      <c r="E156" s="212"/>
      <c r="F156" s="123"/>
      <c r="G156" s="123"/>
      <c r="H156" s="218"/>
      <c r="I156" s="152">
        <f t="shared" si="57"/>
        <v>0</v>
      </c>
      <c r="X156" s="1092">
        <f>IF(AE156=0,AE156,AE156/D156)</f>
        <v>0</v>
      </c>
      <c r="Y156" s="1094"/>
      <c r="Z156" s="820"/>
      <c r="AA156" s="164"/>
      <c r="AB156" s="164"/>
      <c r="AC156" s="164"/>
      <c r="AD156" s="164"/>
      <c r="AE156" s="152">
        <f>I156*BI156</f>
        <v>0</v>
      </c>
      <c r="AH156" s="564">
        <f>D156</f>
        <v>0</v>
      </c>
      <c r="AI156" s="565"/>
      <c r="AJ156" s="565"/>
      <c r="AK156" s="565"/>
      <c r="AL156" s="565"/>
      <c r="AM156" s="565"/>
      <c r="AN156" s="565"/>
      <c r="AO156" s="565"/>
      <c r="AP156" s="565"/>
      <c r="AQ156" s="565"/>
      <c r="AR156" s="565"/>
      <c r="AS156" s="565"/>
      <c r="AT156" s="566">
        <f>SUM(AH156:AQ156)</f>
        <v>0</v>
      </c>
      <c r="AU156" s="566"/>
      <c r="AV156" s="567"/>
      <c r="AW156" s="565"/>
      <c r="AX156" s="565"/>
      <c r="AY156" s="568"/>
      <c r="AZ156" s="565"/>
      <c r="BA156" s="565"/>
      <c r="BB156" s="565"/>
      <c r="BC156" s="565"/>
      <c r="BD156" s="565"/>
      <c r="BE156" s="565"/>
      <c r="BF156" s="565"/>
      <c r="BH156" s="1065">
        <f>IF($Y156&lt;&gt;"votre valeur :",IF(ISNA(VLOOKUP($Y156,Utilitaires!$N$566:$O$571,2,FALSE)),,VLOOKUP($Y156,Utilitaires!$N$566:$O$571,2,FALSE)),$Z156)</f>
        <v>0</v>
      </c>
      <c r="BI156" s="1130">
        <f>SQRT(SUMSQ(0,BH156))</f>
        <v>0</v>
      </c>
    </row>
    <row r="157" spans="2:68" ht="12.75" customHeight="1" outlineLevel="2">
      <c r="B157" s="143"/>
      <c r="C157" s="144"/>
      <c r="D157" s="212"/>
      <c r="E157" s="212"/>
      <c r="F157" s="353"/>
      <c r="G157" s="144"/>
      <c r="H157" s="144"/>
      <c r="I157" s="156"/>
      <c r="X157" s="1092"/>
      <c r="Y157" s="155"/>
      <c r="Z157" s="169"/>
      <c r="AA157" s="155"/>
      <c r="AB157" s="155"/>
      <c r="AC157" s="155"/>
      <c r="AD157" s="155"/>
      <c r="AE157" s="165"/>
      <c r="AH157" s="569"/>
      <c r="AI157" s="625"/>
      <c r="AJ157" s="625"/>
      <c r="AK157" s="625"/>
      <c r="AL157" s="625"/>
      <c r="AM157" s="625"/>
      <c r="AN157" s="625"/>
      <c r="AO157" s="625"/>
      <c r="AP157" s="625"/>
      <c r="AQ157" s="625"/>
      <c r="AR157" s="625"/>
      <c r="AS157" s="625"/>
      <c r="AT157" s="1313"/>
      <c r="AU157" s="1313"/>
      <c r="AV157" s="1314"/>
      <c r="AW157" s="565"/>
      <c r="AX157" s="565"/>
      <c r="AY157" s="568"/>
      <c r="AZ157" s="565"/>
      <c r="BA157" s="565"/>
      <c r="BB157" s="565"/>
      <c r="BC157" s="565"/>
      <c r="BD157" s="565"/>
      <c r="BE157" s="565"/>
      <c r="BF157" s="565"/>
      <c r="BH157" s="1087"/>
      <c r="BI157" s="1153"/>
    </row>
    <row r="158" spans="2:68" ht="12.75" customHeight="1" outlineLevel="2">
      <c r="B158" s="196" t="s">
        <v>348</v>
      </c>
      <c r="C158" s="197"/>
      <c r="D158" s="214">
        <f>SUM(D154:D157)</f>
        <v>0</v>
      </c>
      <c r="E158" s="214"/>
      <c r="F158" s="198"/>
      <c r="G158" s="197"/>
      <c r="H158" s="197"/>
      <c r="I158" s="200">
        <f>SUM(I154:I157)</f>
        <v>0</v>
      </c>
      <c r="X158" s="1204">
        <f>IF(AE158=0,AE158,AE158/D158)</f>
        <v>0</v>
      </c>
      <c r="Y158" s="199"/>
      <c r="Z158" s="199"/>
      <c r="AA158" s="199"/>
      <c r="AB158" s="199"/>
      <c r="AC158" s="199"/>
      <c r="AD158" s="199"/>
      <c r="AE158" s="200">
        <f>SQRT(SUMSQ(AE154:AE157))</f>
        <v>0</v>
      </c>
      <c r="AH158" s="1308">
        <f>SUM(AH154:AH157)</f>
        <v>0</v>
      </c>
      <c r="AI158" s="1309"/>
      <c r="AJ158" s="1309"/>
      <c r="AK158" s="1309"/>
      <c r="AL158" s="1309"/>
      <c r="AM158" s="1309"/>
      <c r="AN158" s="1309"/>
      <c r="AO158" s="1309"/>
      <c r="AP158" s="1309"/>
      <c r="AQ158" s="1309"/>
      <c r="AR158" s="1309"/>
      <c r="AS158" s="1309"/>
      <c r="AT158" s="1312">
        <f>SUM(AT154:AT157)</f>
        <v>0</v>
      </c>
      <c r="AU158" s="1312"/>
      <c r="AV158" s="1312"/>
      <c r="AW158" s="1082"/>
      <c r="AX158" s="572"/>
      <c r="AY158" s="575"/>
      <c r="AZ158" s="2447"/>
      <c r="BA158" s="2447"/>
      <c r="BB158" s="2447"/>
      <c r="BC158" s="2447"/>
      <c r="BD158" s="2447"/>
      <c r="BE158" s="2447"/>
      <c r="BF158" s="2447"/>
    </row>
    <row r="159" spans="2:68" ht="12.75" customHeight="1" outlineLevel="2">
      <c r="AG159" s="109"/>
      <c r="AH159" s="588"/>
      <c r="AI159" s="588"/>
      <c r="AJ159" s="588"/>
      <c r="AK159" s="588"/>
      <c r="AL159" s="588"/>
      <c r="AM159" s="588"/>
      <c r="AN159" s="588"/>
      <c r="AR159" s="588"/>
      <c r="AS159" s="588"/>
    </row>
    <row r="160" spans="2:68" ht="12.75" customHeight="1" outlineLevel="2">
      <c r="B160" s="1091" t="s">
        <v>2339</v>
      </c>
      <c r="C160" s="140"/>
      <c r="D160" s="140"/>
      <c r="E160" s="140"/>
      <c r="F160" s="140"/>
      <c r="G160" s="140"/>
      <c r="H160" s="140"/>
      <c r="I160" s="140"/>
      <c r="J160" s="140"/>
      <c r="K160" s="140"/>
      <c r="L160" s="140"/>
      <c r="M160" s="140"/>
      <c r="N160" s="140"/>
      <c r="O160" s="1341"/>
      <c r="X160" s="2636" t="s">
        <v>366</v>
      </c>
      <c r="Y160" s="2637"/>
      <c r="Z160" s="2637"/>
      <c r="AA160" s="2637"/>
      <c r="AB160" s="2637"/>
      <c r="AC160" s="2637"/>
      <c r="AD160" s="2637"/>
      <c r="AE160" s="2637"/>
      <c r="AF160" s="2638"/>
      <c r="AH160" s="2639" t="s">
        <v>441</v>
      </c>
      <c r="AI160" s="2640"/>
      <c r="AJ160" s="2640"/>
      <c r="AK160" s="2640"/>
      <c r="AL160" s="2640"/>
      <c r="AM160" s="2640"/>
      <c r="AN160" s="2640"/>
      <c r="AO160" s="2640"/>
      <c r="AP160" s="2640"/>
      <c r="AQ160" s="2640"/>
      <c r="AR160" s="2640"/>
      <c r="AS160" s="2640"/>
      <c r="AT160" s="2640"/>
      <c r="AU160" s="2640"/>
      <c r="AV160" s="2640"/>
      <c r="AW160" s="2640"/>
      <c r="AX160" s="2640"/>
      <c r="AY160" s="2641"/>
      <c r="AZ160" s="2418"/>
      <c r="BA160" s="2418"/>
      <c r="BB160" s="2418"/>
      <c r="BC160" s="2418"/>
      <c r="BD160" s="2418"/>
      <c r="BE160" s="2418"/>
      <c r="BF160" s="2418"/>
    </row>
    <row r="161" spans="1:72" s="1078" customFormat="1" ht="12.75" customHeight="1" outlineLevel="2">
      <c r="A161" s="114"/>
      <c r="B161" s="143"/>
      <c r="C161" s="144"/>
      <c r="D161" s="1334" t="s">
        <v>308</v>
      </c>
      <c r="E161" s="1663"/>
      <c r="F161" s="1317"/>
      <c r="G161" s="155"/>
      <c r="H161" s="1857"/>
      <c r="I161" s="1857"/>
      <c r="J161" s="155"/>
      <c r="K161" s="1857"/>
      <c r="L161" s="1857"/>
      <c r="M161" s="2768" t="s">
        <v>233</v>
      </c>
      <c r="N161" s="2841"/>
      <c r="O161" s="153" t="s">
        <v>275</v>
      </c>
      <c r="P161" s="1877"/>
      <c r="Q161" s="1877"/>
      <c r="R161" s="1877"/>
      <c r="S161" s="1877"/>
      <c r="T161" s="1877"/>
      <c r="U161" s="1877"/>
      <c r="V161" s="1877"/>
      <c r="W161" s="262"/>
      <c r="X161" s="1316"/>
      <c r="Y161" s="819"/>
      <c r="Z161" s="819"/>
      <c r="AA161" s="144"/>
      <c r="AB161" s="1317"/>
      <c r="AC161" s="2419"/>
      <c r="AD161" s="1317"/>
      <c r="AE161" s="1334"/>
      <c r="AF161" s="1320" t="s">
        <v>275</v>
      </c>
      <c r="AG161" s="114"/>
      <c r="AH161" s="2642" t="s">
        <v>444</v>
      </c>
      <c r="AI161" s="2643"/>
      <c r="AJ161" s="2643"/>
      <c r="AK161" s="2643"/>
      <c r="AL161" s="2643"/>
      <c r="AM161" s="2643"/>
      <c r="AN161" s="2643"/>
      <c r="AO161" s="2643"/>
      <c r="AP161" s="2643"/>
      <c r="AQ161" s="2643"/>
      <c r="AR161" s="2643"/>
      <c r="AS161" s="2643"/>
      <c r="AT161" s="2643" t="s">
        <v>444</v>
      </c>
      <c r="AU161" s="2643"/>
      <c r="AV161" s="565"/>
      <c r="AW161" s="1288"/>
      <c r="AX161" s="566"/>
      <c r="AY161" s="1333"/>
      <c r="AZ161" s="2286"/>
      <c r="BA161" s="2286"/>
      <c r="BB161" s="2286"/>
      <c r="BC161" s="2286"/>
      <c r="BD161" s="2286"/>
      <c r="BE161" s="2286"/>
      <c r="BF161" s="2286"/>
      <c r="BG161" s="114"/>
      <c r="BH161" s="2616" t="s">
        <v>1648</v>
      </c>
      <c r="BI161" s="2617"/>
      <c r="BJ161" s="2617"/>
      <c r="BK161" s="2617"/>
      <c r="BL161" s="2617"/>
      <c r="BM161" s="2617"/>
      <c r="BN161" s="2618"/>
      <c r="BO161" s="116"/>
      <c r="BP161" s="116"/>
      <c r="BQ161" s="116"/>
      <c r="BR161" s="116"/>
      <c r="BS161" s="116"/>
      <c r="BT161" s="116"/>
    </row>
    <row r="162" spans="1:72" ht="12.75" customHeight="1" outlineLevel="2">
      <c r="B162" s="143"/>
      <c r="C162" s="144"/>
      <c r="D162" s="1317" t="s">
        <v>409</v>
      </c>
      <c r="E162" s="1656"/>
      <c r="F162" s="1320" t="s">
        <v>452</v>
      </c>
      <c r="G162" s="2194"/>
      <c r="H162" s="2193" t="s">
        <v>2247</v>
      </c>
      <c r="I162" s="1857"/>
      <c r="J162" s="153"/>
      <c r="K162" s="2626" t="s">
        <v>2324</v>
      </c>
      <c r="L162" s="2628"/>
      <c r="M162" s="1860" t="s">
        <v>444</v>
      </c>
      <c r="N162" s="1860" t="s">
        <v>444</v>
      </c>
      <c r="O162" s="153" t="s">
        <v>276</v>
      </c>
      <c r="W162" s="262"/>
      <c r="X162" s="1316" t="s">
        <v>316</v>
      </c>
      <c r="Y162" s="2629" t="s">
        <v>316</v>
      </c>
      <c r="Z162" s="2630"/>
      <c r="AA162" s="1317" t="s">
        <v>444</v>
      </c>
      <c r="AB162" s="1317" t="s">
        <v>444</v>
      </c>
      <c r="AC162" s="2419"/>
      <c r="AD162" s="1317"/>
      <c r="AE162" s="1334" t="s">
        <v>444</v>
      </c>
      <c r="AF162" s="153" t="s">
        <v>276</v>
      </c>
      <c r="AH162" s="2631" t="s">
        <v>211</v>
      </c>
      <c r="AI162" s="2632"/>
      <c r="AJ162" s="2632"/>
      <c r="AK162" s="2632" t="s">
        <v>442</v>
      </c>
      <c r="AL162" s="2632"/>
      <c r="AM162" s="2632"/>
      <c r="AN162" s="2632" t="s">
        <v>267</v>
      </c>
      <c r="AO162" s="2632"/>
      <c r="AP162" s="2632"/>
      <c r="AQ162" s="2632" t="s">
        <v>443</v>
      </c>
      <c r="AR162" s="2632"/>
      <c r="AS162" s="2632"/>
      <c r="AT162" s="2648" t="s">
        <v>327</v>
      </c>
      <c r="AU162" s="2648"/>
      <c r="AV162" s="565"/>
      <c r="AW162" s="2631" t="s">
        <v>636</v>
      </c>
      <c r="AX162" s="2632"/>
      <c r="AY162" s="568"/>
      <c r="AZ162" s="565"/>
      <c r="BA162" s="565"/>
      <c r="BB162" s="565"/>
      <c r="BC162" s="565"/>
      <c r="BD162" s="565"/>
      <c r="BE162" s="565"/>
      <c r="BF162" s="565"/>
      <c r="BH162" s="2837" t="s">
        <v>1646</v>
      </c>
      <c r="BI162" s="2833" t="s">
        <v>2222</v>
      </c>
      <c r="BJ162" s="2834"/>
      <c r="BK162" s="2835"/>
      <c r="BL162" s="2833" t="s">
        <v>2324</v>
      </c>
      <c r="BM162" s="2834"/>
      <c r="BN162" s="2835"/>
    </row>
    <row r="163" spans="1:72" ht="12.75" customHeight="1" outlineLevel="2">
      <c r="B163" s="536"/>
      <c r="C163" s="144"/>
      <c r="D163" s="1317" t="s">
        <v>444</v>
      </c>
      <c r="E163" s="1656"/>
      <c r="F163" s="1321" t="s">
        <v>445</v>
      </c>
      <c r="G163" s="1321" t="s">
        <v>38</v>
      </c>
      <c r="H163" s="1662" t="s">
        <v>411</v>
      </c>
      <c r="I163" s="1662" t="s">
        <v>257</v>
      </c>
      <c r="J163" s="153" t="s">
        <v>2330</v>
      </c>
      <c r="K163" s="1662" t="s">
        <v>411</v>
      </c>
      <c r="L163" s="1662" t="s">
        <v>257</v>
      </c>
      <c r="M163" s="1858" t="s">
        <v>411</v>
      </c>
      <c r="N163" s="1858" t="s">
        <v>257</v>
      </c>
      <c r="O163" s="153" t="s">
        <v>444</v>
      </c>
      <c r="W163" s="262"/>
      <c r="X163" s="1316" t="s">
        <v>1649</v>
      </c>
      <c r="Y163" s="2646" t="s">
        <v>1650</v>
      </c>
      <c r="Z163" s="2647"/>
      <c r="AA163" s="1322" t="s">
        <v>411</v>
      </c>
      <c r="AB163" s="1322" t="s">
        <v>257</v>
      </c>
      <c r="AC163" s="1662"/>
      <c r="AD163" s="1322"/>
      <c r="AE163" s="166" t="s">
        <v>327</v>
      </c>
      <c r="AF163" s="153" t="s">
        <v>444</v>
      </c>
      <c r="AH163" s="1331" t="s">
        <v>411</v>
      </c>
      <c r="AI163" s="1332" t="s">
        <v>257</v>
      </c>
      <c r="AJ163" s="1332"/>
      <c r="AK163" s="1332" t="s">
        <v>411</v>
      </c>
      <c r="AL163" s="1332" t="s">
        <v>257</v>
      </c>
      <c r="AM163" s="1332"/>
      <c r="AN163" s="1332" t="s">
        <v>411</v>
      </c>
      <c r="AO163" s="1332" t="s">
        <v>257</v>
      </c>
      <c r="AP163" s="1332"/>
      <c r="AQ163" s="1332" t="s">
        <v>411</v>
      </c>
      <c r="AR163" s="1332" t="s">
        <v>257</v>
      </c>
      <c r="AS163" s="1332"/>
      <c r="AT163" s="581" t="s">
        <v>411</v>
      </c>
      <c r="AU163" s="581" t="s">
        <v>257</v>
      </c>
      <c r="AV163" s="581"/>
      <c r="AW163" s="1331" t="s">
        <v>411</v>
      </c>
      <c r="AX163" s="1332" t="s">
        <v>257</v>
      </c>
      <c r="AY163" s="1333"/>
      <c r="AZ163" s="2286"/>
      <c r="BA163" s="2286"/>
      <c r="BB163" s="2286"/>
      <c r="BC163" s="2286"/>
      <c r="BD163" s="2286"/>
      <c r="BE163" s="2286"/>
      <c r="BF163" s="2286"/>
      <c r="BH163" s="2838"/>
      <c r="BI163" s="1325" t="s">
        <v>411</v>
      </c>
      <c r="BJ163" s="1325" t="s">
        <v>257</v>
      </c>
      <c r="BK163" s="1327"/>
      <c r="BL163" s="1325" t="s">
        <v>411</v>
      </c>
      <c r="BM163" s="1325" t="s">
        <v>257</v>
      </c>
      <c r="BN163" s="1327"/>
    </row>
    <row r="164" spans="1:72" ht="12.75" customHeight="1" outlineLevel="2">
      <c r="B164" s="143" t="s">
        <v>5220</v>
      </c>
      <c r="C164" s="144"/>
      <c r="D164" s="212">
        <f>SUM(M164:N164)</f>
        <v>26600</v>
      </c>
      <c r="E164" s="212"/>
      <c r="F164" s="409" t="s">
        <v>634</v>
      </c>
      <c r="G164" s="117"/>
      <c r="H164" s="335" t="e">
        <f>VLOOKUP($B164&amp;"; "&amp;$H$162&amp;", "&amp;H$163,'FE Fret'!$G:$U,9,FALSE)</f>
        <v>#N/A</v>
      </c>
      <c r="I164" s="335" t="e">
        <f>VLOOKUP($B164&amp;"; "&amp;$H$162&amp;", "&amp;I$163,'FE Fret'!$G:$U,9,FALSE)</f>
        <v>#N/A</v>
      </c>
      <c r="J164" s="117">
        <v>1750000</v>
      </c>
      <c r="K164" s="335">
        <f>VLOOKUP($B164&amp;"; "&amp;$K$162&amp;", "&amp;K$163,'FE Fret'!$G:$U,9,FALSE)</f>
        <v>1.1999999999999999E-3</v>
      </c>
      <c r="L164" s="335">
        <f>VLOOKUP($B164&amp;"; "&amp;$K$162&amp;", "&amp;L$163,'FE Fret'!$G:$U,9,FALSE)</f>
        <v>1.4E-2</v>
      </c>
      <c r="M164" s="356">
        <f t="shared" ref="M164:N164" si="58">IF(ISNA($G164*H164),0,$G164*H164)+IF(ISNA($J164*K164),0,$J164*K164)</f>
        <v>2100</v>
      </c>
      <c r="N164" s="356">
        <f t="shared" si="58"/>
        <v>24500</v>
      </c>
      <c r="O164" s="1286">
        <f>IF(OR(F164=Utilitaires!$G$572,F164=Utilitaires!$G$577),N164,0)</f>
        <v>0</v>
      </c>
      <c r="W164" s="262"/>
      <c r="X164" s="1092">
        <f>IF(AE164=0,AE164,AE164/D164)</f>
        <v>0.55465793906053562</v>
      </c>
      <c r="Y164" s="343"/>
      <c r="Z164" s="820"/>
      <c r="AA164" s="164">
        <f t="shared" ref="AA164:AB164" si="59">SQRT(SUMSQ(IF(ISNA($G164*H164*BI164),0,$G164*H164*BI164),IF(ISNA($J164*K164*BL164),0,$J164*K164*BL164)))</f>
        <v>1260</v>
      </c>
      <c r="AB164" s="164">
        <f t="shared" si="59"/>
        <v>14700</v>
      </c>
      <c r="AC164" s="164"/>
      <c r="AD164" s="164"/>
      <c r="AE164" s="151">
        <f>SQRT(SUMSQ(AA164:AD164))</f>
        <v>14753.901179010249</v>
      </c>
      <c r="AF164" s="1286">
        <f>O164*X164</f>
        <v>0</v>
      </c>
      <c r="AH164" s="564">
        <f>$G164*IF(ISNA(VLOOKUP($B164&amp;"; "&amp;$H$162&amp;", "&amp;H$163,'FE Fret'!$G:$U,10,FALSE)),0,VLOOKUP($B164&amp;"; "&amp;$H$162&amp;", "&amp;H$163,'FE Fret'!$G:$U,10,FALSE))
+$J164*IF(ISNA(VLOOKUP($B164&amp;"; "&amp;$K$162&amp;", "&amp;H$163,'FE Fret'!$G:$U,10,FALSE)),0,VLOOKUP($B164&amp;"; "&amp;$K$162&amp;", "&amp;H$163,'FE Fret'!$G:$U,10,FALSE))</f>
        <v>2100</v>
      </c>
      <c r="AI164" s="565">
        <f>$G164*IF(ISNA(VLOOKUP($B164&amp;"; "&amp;$H$162&amp;", "&amp;I$163,'FE Fret'!$G:$U,10,FALSE)),0,VLOOKUP($B164&amp;"; "&amp;$H$162&amp;", "&amp;I$163,'FE Fret'!$G:$U,10,FALSE))
+$J164*IF(ISNA(VLOOKUP($B164&amp;"; "&amp;$K$162&amp;", "&amp;I$163,'FE Fret'!$G:$U,10,FALSE)),0,VLOOKUP($B164&amp;"; "&amp;$K$162&amp;", "&amp;I$163,'FE Fret'!$G:$U,10,FALSE))</f>
        <v>24500</v>
      </c>
      <c r="AJ164" s="565"/>
      <c r="AK164" s="565">
        <f>$G164*IF(ISNA((VLOOKUP($B164&amp;"; "&amp;$H$162&amp;", "&amp;H$163,'FE Fret'!$G:$U,12,FALSE)+VLOOKUP($B164&amp;"; "&amp;$H$162&amp;", "&amp;H$163,'FE Fret'!$G:$U,11,FALSE))),0,(VLOOKUP($B164&amp;"; "&amp;$H$162&amp;", "&amp;H$163,'FE Fret'!$G:$U,12,FALSE)+VLOOKUP($B164&amp;"; "&amp;$H$162&amp;", "&amp;H$163,'FE Fret'!$G:$U,11,FALSE)))
+$J164*IF(ISNA((VLOOKUP($B164&amp;"; "&amp;$K$162&amp;", "&amp;H$163,'FE Fret'!$G:$U,12,FALSE)+VLOOKUP($B164&amp;"; "&amp;$K$162&amp;", "&amp;H$163,'FE Fret'!$G:$U,11,FALSE))),0,(VLOOKUP($B164&amp;"; "&amp;$K$162&amp;", "&amp;H$163,'FE Fret'!$G:$U,12,FALSE)+VLOOKUP($B164&amp;"; "&amp;$K$162&amp;", "&amp;H$163,'FE Fret'!$G:$U,11,FALSE)))</f>
        <v>0</v>
      </c>
      <c r="AL164" s="565">
        <f>$G164*IF(ISNA((VLOOKUP($B164&amp;"; "&amp;$H$162&amp;", "&amp;I$163,'FE Fret'!$G:$U,12,FALSE)+VLOOKUP($B164&amp;"; "&amp;$H$162&amp;", "&amp;I$163,'FE Fret'!$G:$U,11,FALSE))),0,(VLOOKUP($B164&amp;"; "&amp;$H$162&amp;", "&amp;I$163,'FE Fret'!$G:$U,12,FALSE)+VLOOKUP($B164&amp;"; "&amp;$H$162&amp;", "&amp;I$163,'FE Fret'!$G:$U,11,FALSE)))
+$J164*IF(ISNA((VLOOKUP($B164&amp;"; "&amp;$K$162&amp;", "&amp;I$163,'FE Fret'!$G:$U,12,FALSE)+VLOOKUP($B164&amp;"; "&amp;$K$162&amp;", "&amp;I$163,'FE Fret'!$G:$U,11,FALSE))),0,(VLOOKUP($B164&amp;"; "&amp;$K$162&amp;", "&amp;I$163,'FE Fret'!$G:$U,12,FALSE)+VLOOKUP($B164&amp;"; "&amp;$K$162&amp;", "&amp;I$163,'FE Fret'!$G:$U,11,FALSE)))</f>
        <v>0</v>
      </c>
      <c r="AM164" s="565"/>
      <c r="AN164" s="565">
        <f>$G164*IF(ISNA(VLOOKUP($B164&amp;"; "&amp;$H$162&amp;", "&amp;H$163,'FE Fret'!$G:$U,13,FALSE)),0,VLOOKUP($B164&amp;"; "&amp;$H$162&amp;", "&amp;H$163,'FE Fret'!$G:$U,13,FALSE))
+$J164*IF(ISNA(VLOOKUP($B164&amp;"; "&amp;$K$162&amp;", "&amp;H$163,'FE Fret'!$G:$U,13,FALSE)),0,VLOOKUP($B164&amp;"; "&amp;$K$162&amp;", "&amp;H$163,'FE Fret'!$G:$U,13,FALSE))</f>
        <v>0</v>
      </c>
      <c r="AO164" s="565">
        <f>$G164*IF(ISNA(VLOOKUP($B164&amp;"; "&amp;$H$162&amp;", "&amp;I$163,'FE Fret'!$G:$U,13,FALSE)),0,VLOOKUP($B164&amp;"; "&amp;$H$162&amp;", "&amp;I$163,'FE Fret'!$G:$U,13,FALSE))
+$J164*IF(ISNA(VLOOKUP($B164&amp;"; "&amp;$K$162&amp;", "&amp;I$163,'FE Fret'!$G:$U,13,FALSE)),0,VLOOKUP($B164&amp;"; "&amp;$K$162&amp;", "&amp;I$163,'FE Fret'!$G:$U,13,FALSE))</f>
        <v>0</v>
      </c>
      <c r="AP164" s="565"/>
      <c r="AQ164" s="565">
        <v>0</v>
      </c>
      <c r="AR164" s="565">
        <v>0</v>
      </c>
      <c r="AS164" s="565"/>
      <c r="AT164" s="566">
        <f t="shared" ref="AT164:AU166" si="60">SUM(AH164,AK164,AN164,AQ164)</f>
        <v>2100</v>
      </c>
      <c r="AU164" s="566">
        <f t="shared" si="60"/>
        <v>24500</v>
      </c>
      <c r="AV164" s="566"/>
      <c r="AW164" s="564">
        <f>$G164*IF(ISNA(VLOOKUP($B164&amp;"; "&amp;$H$162&amp;", "&amp;H$163,'FE Fret'!$G:$U,15,FALSE)),0,VLOOKUP($B164&amp;"; "&amp;$H$162&amp;", "&amp;H$163,'FE Fret'!$G:$U,15,FALSE))
+$J164*IF(ISNA(VLOOKUP($B164&amp;"; "&amp;$K$162&amp;", "&amp;H$163,'FE Fret'!$G:$U,15,FALSE)),0,VLOOKUP($B164&amp;"; "&amp;$K$162&amp;", "&amp;H$163,'FE Fret'!$G:$U,15,FALSE))</f>
        <v>0</v>
      </c>
      <c r="AX164" s="565">
        <f>$G164*IF(ISNA(VLOOKUP($B164&amp;"; "&amp;$H$162&amp;", "&amp;I$163,'FE Fret'!$G:$U,15,FALSE)),0,VLOOKUP($B164&amp;"; "&amp;$H$162&amp;", "&amp;I$163,'FE Fret'!$G:$U,15,FALSE))
+$J164*IF(ISNA(VLOOKUP($B164&amp;"; "&amp;$K$162&amp;", "&amp;I$163,'FE Fret'!$G:$U,15,FALSE)),0,VLOOKUP($B164&amp;"; "&amp;$K$162&amp;", "&amp;I$163,'FE Fret'!$G:$U,15,FALSE))</f>
        <v>0</v>
      </c>
      <c r="AY164" s="568"/>
      <c r="AZ164" s="565"/>
      <c r="BA164" s="565"/>
      <c r="BB164" s="565"/>
      <c r="BC164" s="565"/>
      <c r="BD164" s="565"/>
      <c r="BE164" s="565"/>
      <c r="BF164" s="565"/>
      <c r="BH164" s="1065">
        <f>IF($Y164&lt;&gt;"votre valeur :",IF(ISNA(VLOOKUP($Y164,Utilitaires!$N$566:$O$571,2,FALSE)),,VLOOKUP($Y164,Utilitaires!$N$566:$O$571,2,FALSE)),$Z164)</f>
        <v>0</v>
      </c>
      <c r="BI164" s="1124">
        <f>IF(ISNA(SQRT(SUMSQ(VLOOKUP($B164&amp;"; "&amp;$H$162&amp;", "&amp;H$163,'FE Fret'!$G:$U,7,FALSE),$BH164))),0,SQRT(SUMSQ(VLOOKUP($B164&amp;"; "&amp;$H$162&amp;", "&amp;H$163,'FE Fret'!$G:$U,7,FALSE),$BH164)))</f>
        <v>0</v>
      </c>
      <c r="BJ164" s="1124">
        <f>IF(ISNA(SQRT(SUMSQ(VLOOKUP($B164&amp;"; "&amp;$H$162&amp;", "&amp;I$163,'FE Fret'!$G:$U,7,FALSE),$BH164))),0,SQRT(SUMSQ(VLOOKUP($B164&amp;"; "&amp;$H$162&amp;", "&amp;I$163,'FE Fret'!$G:$U,7,FALSE),$BH164)))</f>
        <v>0</v>
      </c>
      <c r="BK164" s="1124"/>
      <c r="BL164" s="1124">
        <f>IF(ISNA(SQRT(SUMSQ(VLOOKUP($B164&amp;"; "&amp;$K$162&amp;", "&amp;K$163,'FE Fret'!$G:$U,7,FALSE),$BH164))),0,SQRT(SUMSQ(VLOOKUP($B164&amp;"; "&amp;$K$162&amp;", "&amp;K$163,'FE Fret'!$G:$U,7,FALSE),$BH164)))</f>
        <v>0.6</v>
      </c>
      <c r="BM164" s="1130">
        <f>IF(ISNA(SQRT(SUMSQ(VLOOKUP($B164&amp;"; "&amp;$K$162&amp;", "&amp;L$163,'FE Fret'!$G:$U,7,FALSE),$BH164))),0,SQRT(SUMSQ(VLOOKUP($B164&amp;"; "&amp;$K$162&amp;", "&amp;L$163,'FE Fret'!$G:$U,7,FALSE),$BH164)))</f>
        <v>0.6</v>
      </c>
      <c r="BN164" s="1130"/>
    </row>
    <row r="165" spans="1:72" ht="12.75" customHeight="1" outlineLevel="2">
      <c r="B165" s="143" t="s">
        <v>4029</v>
      </c>
      <c r="C165" s="144"/>
      <c r="D165" s="212">
        <f t="shared" ref="D165:D166" si="61">SUM(M165:N165)</f>
        <v>21606</v>
      </c>
      <c r="E165" s="212"/>
      <c r="F165" s="530" t="s">
        <v>634</v>
      </c>
      <c r="G165" s="120"/>
      <c r="H165" s="335" t="e">
        <f>VLOOKUP($B165&amp;"; "&amp;$H$162&amp;", "&amp;H$163,'FE Fret'!$G:$U,9,FALSE)</f>
        <v>#N/A</v>
      </c>
      <c r="I165" s="335" t="e">
        <f>VLOOKUP($B165&amp;"; "&amp;$H$162&amp;", "&amp;I$163,'FE Fret'!$G:$U,9,FALSE)</f>
        <v>#N/A</v>
      </c>
      <c r="J165" s="120">
        <v>3900000</v>
      </c>
      <c r="K165" s="335">
        <f>VLOOKUP($B165&amp;"; "&amp;$K$162&amp;", "&amp;K$163,'FE Fret'!$G:$U,9,FALSE)</f>
        <v>4.4000000000000002E-4</v>
      </c>
      <c r="L165" s="335">
        <f>VLOOKUP($B165&amp;"; "&amp;$K$162&amp;", "&amp;L$163,'FE Fret'!$G:$U,9,FALSE)</f>
        <v>5.1000000000000004E-3</v>
      </c>
      <c r="M165" s="356">
        <f>IF(ISNA($G165*H165),0,$G165*H165)+IF(ISNA($J165*K165),0,$J165*K165)</f>
        <v>1716</v>
      </c>
      <c r="N165" s="356">
        <f>IF(ISNA($G165*I165),0,$G165*I165)+IF(ISNA($J165*L165),0,$J165*L165)</f>
        <v>19890</v>
      </c>
      <c r="O165" s="1286">
        <f>IF(OR(F165=Utilitaires!$G$572,F165=Utilitaires!$G$577),N165,0)</f>
        <v>0</v>
      </c>
      <c r="W165" s="262"/>
      <c r="X165" s="1092">
        <f>IF(AE165=0,AE165,AE165/D165)</f>
        <v>0.5543983975286807</v>
      </c>
      <c r="Y165" s="343"/>
      <c r="Z165" s="820"/>
      <c r="AA165" s="164">
        <f>SQRT(SUMSQ(IF(ISNA($G165*H165*BI165),0,$G165*H165*BI165),IF(ISNA($J165*K165*BL165),0,$J165*K165*BL165)))</f>
        <v>1029.5999999999999</v>
      </c>
      <c r="AB165" s="164">
        <f>SQRT(SUMSQ(IF(ISNA($G165*I165*BJ165),0,$G165*I165*BJ165),IF(ISNA($J165*L165*BM165),0,$J165*L165*BM165)))</f>
        <v>11934</v>
      </c>
      <c r="AC165" s="164"/>
      <c r="AD165" s="164"/>
      <c r="AE165" s="151">
        <f>SQRT(SUMSQ(AA165:AD165))</f>
        <v>11978.331777004676</v>
      </c>
      <c r="AF165" s="1286">
        <f>O165*X165</f>
        <v>0</v>
      </c>
      <c r="AH165" s="564">
        <f>$G165*IF(ISNA(VLOOKUP($B165&amp;"; "&amp;$H$162&amp;", "&amp;H$163,'FE Fret'!$G:$U,10,FALSE)),0,VLOOKUP($B165&amp;"; "&amp;$H$162&amp;", "&amp;H$163,'FE Fret'!$G:$U,10,FALSE))
+$J165*IF(ISNA(VLOOKUP($B165&amp;"; "&amp;$K$162&amp;", "&amp;H$163,'FE Fret'!$G:$U,10,FALSE)),0,VLOOKUP($B165&amp;"; "&amp;$K$162&amp;", "&amp;H$163,'FE Fret'!$G:$U,10,FALSE))</f>
        <v>1716</v>
      </c>
      <c r="AI165" s="565">
        <f>$G165*IF(ISNA(VLOOKUP($B165&amp;"; "&amp;$H$162&amp;", "&amp;I$163,'FE Fret'!$G:$U,10,FALSE)),0,VLOOKUP($B165&amp;"; "&amp;$H$162&amp;", "&amp;I$163,'FE Fret'!$G:$U,10,FALSE))
+$J165*IF(ISNA(VLOOKUP($B165&amp;"; "&amp;$K$162&amp;", "&amp;I$163,'FE Fret'!$G:$U,10,FALSE)),0,VLOOKUP($B165&amp;"; "&amp;$K$162&amp;", "&amp;I$163,'FE Fret'!$G:$U,10,FALSE))</f>
        <v>19890</v>
      </c>
      <c r="AJ165" s="565"/>
      <c r="AK165" s="565">
        <f>$G165*IF(ISNA((VLOOKUP($B165&amp;"; "&amp;$H$162&amp;", "&amp;H$163,'FE Fret'!$G:$U,12,FALSE)+VLOOKUP($B165&amp;"; "&amp;$H$162&amp;", "&amp;H$163,'FE Fret'!$G:$U,11,FALSE))),0,(VLOOKUP($B165&amp;"; "&amp;$H$162&amp;", "&amp;H$163,'FE Fret'!$G:$U,12,FALSE)+VLOOKUP($B165&amp;"; "&amp;$H$162&amp;", "&amp;H$163,'FE Fret'!$G:$U,11,FALSE)))
+$J165*IF(ISNA((VLOOKUP($B165&amp;"; "&amp;$K$162&amp;", "&amp;H$163,'FE Fret'!$G:$U,12,FALSE)+VLOOKUP($B165&amp;"; "&amp;$K$162&amp;", "&amp;H$163,'FE Fret'!$G:$U,11,FALSE))),0,(VLOOKUP($B165&amp;"; "&amp;$K$162&amp;", "&amp;H$163,'FE Fret'!$G:$U,12,FALSE)+VLOOKUP($B165&amp;"; "&amp;$K$162&amp;", "&amp;H$163,'FE Fret'!$G:$U,11,FALSE)))</f>
        <v>0</v>
      </c>
      <c r="AL165" s="565">
        <f>$G165*IF(ISNA((VLOOKUP($B165&amp;"; "&amp;$H$162&amp;", "&amp;I$163,'FE Fret'!$G:$U,12,FALSE)+VLOOKUP($B165&amp;"; "&amp;$H$162&amp;", "&amp;I$163,'FE Fret'!$G:$U,11,FALSE))),0,(VLOOKUP($B165&amp;"; "&amp;$H$162&amp;", "&amp;I$163,'FE Fret'!$G:$U,12,FALSE)+VLOOKUP($B165&amp;"; "&amp;$H$162&amp;", "&amp;I$163,'FE Fret'!$G:$U,11,FALSE)))
+$J165*IF(ISNA((VLOOKUP($B165&amp;"; "&amp;$K$162&amp;", "&amp;I$163,'FE Fret'!$G:$U,12,FALSE)+VLOOKUP($B165&amp;"; "&amp;$K$162&amp;", "&amp;I$163,'FE Fret'!$G:$U,11,FALSE))),0,(VLOOKUP($B165&amp;"; "&amp;$K$162&amp;", "&amp;I$163,'FE Fret'!$G:$U,12,FALSE)+VLOOKUP($B165&amp;"; "&amp;$K$162&amp;", "&amp;I$163,'FE Fret'!$G:$U,11,FALSE)))</f>
        <v>0</v>
      </c>
      <c r="AM165" s="565"/>
      <c r="AN165" s="565">
        <f>$G165*IF(ISNA(VLOOKUP($B165&amp;"; "&amp;$H$162&amp;", "&amp;H$163,'FE Fret'!$G:$U,13,FALSE)),0,VLOOKUP($B165&amp;"; "&amp;$H$162&amp;", "&amp;H$163,'FE Fret'!$G:$U,13,FALSE))
+$J165*IF(ISNA(VLOOKUP($B165&amp;"; "&amp;$K$162&amp;", "&amp;H$163,'FE Fret'!$G:$U,13,FALSE)),0,VLOOKUP($B165&amp;"; "&amp;$K$162&amp;", "&amp;H$163,'FE Fret'!$G:$U,13,FALSE))</f>
        <v>0</v>
      </c>
      <c r="AO165" s="565">
        <f>$G165*IF(ISNA(VLOOKUP($B165&amp;"; "&amp;$H$162&amp;", "&amp;I$163,'FE Fret'!$G:$U,13,FALSE)),0,VLOOKUP($B165&amp;"; "&amp;$H$162&amp;", "&amp;I$163,'FE Fret'!$G:$U,13,FALSE))
+$J165*IF(ISNA(VLOOKUP($B165&amp;"; "&amp;$K$162&amp;", "&amp;I$163,'FE Fret'!$G:$U,13,FALSE)),0,VLOOKUP($B165&amp;"; "&amp;$K$162&amp;", "&amp;I$163,'FE Fret'!$G:$U,13,FALSE))</f>
        <v>0</v>
      </c>
      <c r="AP165" s="565"/>
      <c r="AQ165" s="565">
        <v>0</v>
      </c>
      <c r="AR165" s="565">
        <v>0</v>
      </c>
      <c r="AS165" s="565"/>
      <c r="AT165" s="566">
        <f t="shared" si="60"/>
        <v>1716</v>
      </c>
      <c r="AU165" s="566">
        <f t="shared" si="60"/>
        <v>19890</v>
      </c>
      <c r="AV165" s="566"/>
      <c r="AW165" s="564">
        <f>$G165*IF(ISNA(VLOOKUP($B165&amp;"; "&amp;$H$162&amp;", "&amp;H$163,'FE Fret'!$G:$U,15,FALSE)),0,VLOOKUP($B165&amp;"; "&amp;$H$162&amp;", "&amp;H$163,'FE Fret'!$G:$U,15,FALSE))
+$J165*IF(ISNA(VLOOKUP($B165&amp;"; "&amp;$K$162&amp;", "&amp;H$163,'FE Fret'!$G:$U,15,FALSE)),0,VLOOKUP($B165&amp;"; "&amp;$K$162&amp;", "&amp;H$163,'FE Fret'!$G:$U,15,FALSE))</f>
        <v>0</v>
      </c>
      <c r="AX165" s="565">
        <f>$G165*IF(ISNA(VLOOKUP($B165&amp;"; "&amp;$H$162&amp;", "&amp;I$163,'FE Fret'!$G:$U,15,FALSE)),0,VLOOKUP($B165&amp;"; "&amp;$H$162&amp;", "&amp;I$163,'FE Fret'!$G:$U,15,FALSE))
+$J165*IF(ISNA(VLOOKUP($B165&amp;"; "&amp;$K$162&amp;", "&amp;I$163,'FE Fret'!$G:$U,15,FALSE)),0,VLOOKUP($B165&amp;"; "&amp;$K$162&amp;", "&amp;I$163,'FE Fret'!$G:$U,15,FALSE))</f>
        <v>0</v>
      </c>
      <c r="AY165" s="568"/>
      <c r="AZ165" s="565"/>
      <c r="BA165" s="565"/>
      <c r="BB165" s="565"/>
      <c r="BC165" s="565"/>
      <c r="BD165" s="565"/>
      <c r="BE165" s="565"/>
      <c r="BF165" s="565"/>
      <c r="BH165" s="1065">
        <f>IF($Y165&lt;&gt;"votre valeur :",IF(ISNA(VLOOKUP($Y165,Utilitaires!$N$566:$O$571,2,FALSE)),,VLOOKUP($Y165,Utilitaires!$N$566:$O$571,2,FALSE)),$Z165)</f>
        <v>0</v>
      </c>
      <c r="BI165" s="1124">
        <f>IF(ISNA(SQRT(SUMSQ(VLOOKUP($B165&amp;"; "&amp;$H$162&amp;", "&amp;H$163,'FE Fret'!$G:$U,7,FALSE),$BH165))),0,SQRT(SUMSQ(VLOOKUP($B165&amp;"; "&amp;$H$162&amp;", "&amp;H$163,'FE Fret'!$G:$U,7,FALSE),$BH165)))</f>
        <v>0</v>
      </c>
      <c r="BJ165" s="1124">
        <f>IF(ISNA(SQRT(SUMSQ(VLOOKUP($B165&amp;"; "&amp;$H$162&amp;", "&amp;I$163,'FE Fret'!$G:$U,7,FALSE),$BH165))),0,SQRT(SUMSQ(VLOOKUP($B165&amp;"; "&amp;$H$162&amp;", "&amp;I$163,'FE Fret'!$G:$U,7,FALSE),$BH165)))</f>
        <v>0</v>
      </c>
      <c r="BK165" s="1124"/>
      <c r="BL165" s="1124">
        <f>IF(ISNA(SQRT(SUMSQ(VLOOKUP($B165&amp;"; "&amp;$K$162&amp;", "&amp;K$163,'FE Fret'!$G:$U,7,FALSE),$BH165))),0,SQRT(SUMSQ(VLOOKUP($B165&amp;"; "&amp;$K$162&amp;", "&amp;K$163,'FE Fret'!$G:$U,7,FALSE),$BH165)))</f>
        <v>0.6</v>
      </c>
      <c r="BM165" s="1130">
        <f>IF(ISNA(SQRT(SUMSQ(VLOOKUP($B165&amp;"; "&amp;$K$162&amp;", "&amp;L$163,'FE Fret'!$G:$U,7,FALSE),$BH165))),0,SQRT(SUMSQ(VLOOKUP($B165&amp;"; "&amp;$K$162&amp;", "&amp;L$163,'FE Fret'!$G:$U,7,FALSE),$BH165)))</f>
        <v>0.6</v>
      </c>
      <c r="BN165" s="1130"/>
    </row>
    <row r="166" spans="1:72" ht="12.75" customHeight="1" outlineLevel="2">
      <c r="B166" s="143" t="s">
        <v>4029</v>
      </c>
      <c r="C166" s="144"/>
      <c r="D166" s="212">
        <f t="shared" si="61"/>
        <v>0</v>
      </c>
      <c r="E166" s="212"/>
      <c r="F166" s="347"/>
      <c r="G166" s="123"/>
      <c r="H166" s="335" t="e">
        <f>VLOOKUP($B166&amp;"; "&amp;$H$162&amp;", "&amp;H$163,'FE Fret'!$G:$U,9,FALSE)</f>
        <v>#N/A</v>
      </c>
      <c r="I166" s="335" t="e">
        <f>VLOOKUP($B166&amp;"; "&amp;$H$162&amp;", "&amp;I$163,'FE Fret'!$G:$U,9,FALSE)</f>
        <v>#N/A</v>
      </c>
      <c r="J166" s="123"/>
      <c r="K166" s="335">
        <f>VLOOKUP($B166&amp;"; "&amp;$K$162&amp;", "&amp;K$163,'FE Fret'!$G:$U,9,FALSE)</f>
        <v>4.4000000000000002E-4</v>
      </c>
      <c r="L166" s="335">
        <f>VLOOKUP($B166&amp;"; "&amp;$K$162&amp;", "&amp;L$163,'FE Fret'!$G:$U,9,FALSE)</f>
        <v>5.1000000000000004E-3</v>
      </c>
      <c r="M166" s="356">
        <f>IF(ISNA($G166*H166),0,$G166*H166)+IF(ISNA($J166*K166),0,$J166*K166)</f>
        <v>0</v>
      </c>
      <c r="N166" s="356">
        <f>IF(ISNA($G166*I166),0,$G166*I166)+IF(ISNA($J166*L166),0,$J166*L166)</f>
        <v>0</v>
      </c>
      <c r="O166" s="1286">
        <f>IF(OR(F166=Utilitaires!$G$572,F166=Utilitaires!$G$577),N166,0)</f>
        <v>0</v>
      </c>
      <c r="W166" s="262"/>
      <c r="X166" s="1092">
        <f>IF(AE166=0,AE166,AE166/D166)</f>
        <v>0</v>
      </c>
      <c r="Y166" s="1094"/>
      <c r="Z166" s="820"/>
      <c r="AA166" s="164">
        <f>SQRT(SUMSQ(IF(ISNA($G166*H166*BI166),0,$G166*H166*BI166),IF(ISNA($J166*K166*BL166),0,$J166*K166*BL166)))</f>
        <v>0</v>
      </c>
      <c r="AB166" s="164">
        <f>SQRT(SUMSQ(IF(ISNA($G166*I166*BJ166),0,$G166*I166*BJ166),IF(ISNA($J166*L166*BM166),0,$J166*L166*BM166)))</f>
        <v>0</v>
      </c>
      <c r="AC166" s="164"/>
      <c r="AD166" s="164"/>
      <c r="AE166" s="151">
        <f>SQRT(SUMSQ(AA166:AD166))</f>
        <v>0</v>
      </c>
      <c r="AF166" s="1286">
        <f>O166*X166</f>
        <v>0</v>
      </c>
      <c r="AH166" s="564">
        <f>$G166*IF(ISNA(VLOOKUP($B166&amp;"; "&amp;$H$162&amp;", "&amp;H$163,'FE Fret'!$G:$U,10,FALSE)),0,VLOOKUP($B166&amp;"; "&amp;$H$162&amp;", "&amp;H$163,'FE Fret'!$G:$U,10,FALSE))
+$J166*IF(ISNA(VLOOKUP($B166&amp;"; "&amp;$K$162&amp;", "&amp;H$163,'FE Fret'!$G:$U,10,FALSE)),0,VLOOKUP($B166&amp;"; "&amp;$K$162&amp;", "&amp;H$163,'FE Fret'!$G:$U,10,FALSE))</f>
        <v>0</v>
      </c>
      <c r="AI166" s="565">
        <f>$G166*IF(ISNA(VLOOKUP($B166&amp;"; "&amp;$H$162&amp;", "&amp;I$163,'FE Fret'!$G:$U,10,FALSE)),0,VLOOKUP($B166&amp;"; "&amp;$H$162&amp;", "&amp;I$163,'FE Fret'!$G:$U,10,FALSE))
+$J166*IF(ISNA(VLOOKUP($B166&amp;"; "&amp;$K$162&amp;", "&amp;I$163,'FE Fret'!$G:$U,10,FALSE)),0,VLOOKUP($B166&amp;"; "&amp;$K$162&amp;", "&amp;I$163,'FE Fret'!$G:$U,10,FALSE))</f>
        <v>0</v>
      </c>
      <c r="AJ166" s="565"/>
      <c r="AK166" s="565">
        <f>$G166*IF(ISNA((VLOOKUP($B166&amp;"; "&amp;$H$162&amp;", "&amp;H$163,'FE Fret'!$G:$U,12,FALSE)+VLOOKUP($B166&amp;"; "&amp;$H$162&amp;", "&amp;H$163,'FE Fret'!$G:$U,11,FALSE))),0,(VLOOKUP($B166&amp;"; "&amp;$H$162&amp;", "&amp;H$163,'FE Fret'!$G:$U,12,FALSE)+VLOOKUP($B166&amp;"; "&amp;$H$162&amp;", "&amp;H$163,'FE Fret'!$G:$U,11,FALSE)))
+$J166*IF(ISNA((VLOOKUP($B166&amp;"; "&amp;$K$162&amp;", "&amp;H$163,'FE Fret'!$G:$U,12,FALSE)+VLOOKUP($B166&amp;"; "&amp;$K$162&amp;", "&amp;H$163,'FE Fret'!$G:$U,11,FALSE))),0,(VLOOKUP($B166&amp;"; "&amp;$K$162&amp;", "&amp;H$163,'FE Fret'!$G:$U,12,FALSE)+VLOOKUP($B166&amp;"; "&amp;$K$162&amp;", "&amp;H$163,'FE Fret'!$G:$U,11,FALSE)))</f>
        <v>0</v>
      </c>
      <c r="AL166" s="565">
        <f>$G166*IF(ISNA((VLOOKUP($B166&amp;"; "&amp;$H$162&amp;", "&amp;I$163,'FE Fret'!$G:$U,12,FALSE)+VLOOKUP($B166&amp;"; "&amp;$H$162&amp;", "&amp;I$163,'FE Fret'!$G:$U,11,FALSE))),0,(VLOOKUP($B166&amp;"; "&amp;$H$162&amp;", "&amp;I$163,'FE Fret'!$G:$U,12,FALSE)+VLOOKUP($B166&amp;"; "&amp;$H$162&amp;", "&amp;I$163,'FE Fret'!$G:$U,11,FALSE)))
+$J166*IF(ISNA((VLOOKUP($B166&amp;"; "&amp;$K$162&amp;", "&amp;I$163,'FE Fret'!$G:$U,12,FALSE)+VLOOKUP($B166&amp;"; "&amp;$K$162&amp;", "&amp;I$163,'FE Fret'!$G:$U,11,FALSE))),0,(VLOOKUP($B166&amp;"; "&amp;$K$162&amp;", "&amp;I$163,'FE Fret'!$G:$U,12,FALSE)+VLOOKUP($B166&amp;"; "&amp;$K$162&amp;", "&amp;I$163,'FE Fret'!$G:$U,11,FALSE)))</f>
        <v>0</v>
      </c>
      <c r="AM166" s="565"/>
      <c r="AN166" s="565">
        <f>$G166*IF(ISNA(VLOOKUP($B166&amp;"; "&amp;$H$162&amp;", "&amp;H$163,'FE Fret'!$G:$U,13,FALSE)),0,VLOOKUP($B166&amp;"; "&amp;$H$162&amp;", "&amp;H$163,'FE Fret'!$G:$U,13,FALSE))
+$J166*IF(ISNA(VLOOKUP($B166&amp;"; "&amp;$K$162&amp;", "&amp;H$163,'FE Fret'!$G:$U,13,FALSE)),0,VLOOKUP($B166&amp;"; "&amp;$K$162&amp;", "&amp;H$163,'FE Fret'!$G:$U,13,FALSE))</f>
        <v>0</v>
      </c>
      <c r="AO166" s="565">
        <f>$G166*IF(ISNA(VLOOKUP($B166&amp;"; "&amp;$H$162&amp;", "&amp;I$163,'FE Fret'!$G:$U,13,FALSE)),0,VLOOKUP($B166&amp;"; "&amp;$H$162&amp;", "&amp;I$163,'FE Fret'!$G:$U,13,FALSE))
+$J166*IF(ISNA(VLOOKUP($B166&amp;"; "&amp;$K$162&amp;", "&amp;I$163,'FE Fret'!$G:$U,13,FALSE)),0,VLOOKUP($B166&amp;"; "&amp;$K$162&amp;", "&amp;I$163,'FE Fret'!$G:$U,13,FALSE))</f>
        <v>0</v>
      </c>
      <c r="AP166" s="565"/>
      <c r="AQ166" s="565">
        <v>0</v>
      </c>
      <c r="AR166" s="565">
        <v>0</v>
      </c>
      <c r="AS166" s="565"/>
      <c r="AT166" s="566">
        <f t="shared" si="60"/>
        <v>0</v>
      </c>
      <c r="AU166" s="566">
        <f t="shared" si="60"/>
        <v>0</v>
      </c>
      <c r="AV166" s="566"/>
      <c r="AW166" s="564">
        <f>$G166*IF(ISNA(VLOOKUP($B166&amp;"; "&amp;$H$162&amp;", "&amp;H$163,'FE Fret'!$G:$U,15,FALSE)),0,VLOOKUP($B166&amp;"; "&amp;$H$162&amp;", "&amp;H$163,'FE Fret'!$G:$U,15,FALSE))
+$J166*IF(ISNA(VLOOKUP($B166&amp;"; "&amp;$K$162&amp;", "&amp;H$163,'FE Fret'!$G:$U,15,FALSE)),0,VLOOKUP($B166&amp;"; "&amp;$K$162&amp;", "&amp;H$163,'FE Fret'!$G:$U,15,FALSE))</f>
        <v>0</v>
      </c>
      <c r="AX166" s="565">
        <f>$G166*IF(ISNA(VLOOKUP($B166&amp;"; "&amp;$H$162&amp;", "&amp;I$163,'FE Fret'!$G:$U,15,FALSE)),0,VLOOKUP($B166&amp;"; "&amp;$H$162&amp;", "&amp;I$163,'FE Fret'!$G:$U,15,FALSE))
+$J166*IF(ISNA(VLOOKUP($B166&amp;"; "&amp;$K$162&amp;", "&amp;I$163,'FE Fret'!$G:$U,15,FALSE)),0,VLOOKUP($B166&amp;"; "&amp;$K$162&amp;", "&amp;I$163,'FE Fret'!$G:$U,15,FALSE))</f>
        <v>0</v>
      </c>
      <c r="AY166" s="568"/>
      <c r="AZ166" s="565"/>
      <c r="BA166" s="565"/>
      <c r="BB166" s="565"/>
      <c r="BC166" s="565"/>
      <c r="BD166" s="565"/>
      <c r="BE166" s="565"/>
      <c r="BF166" s="565"/>
      <c r="BH166" s="1065">
        <f>IF($Y166&lt;&gt;"votre valeur :",IF(ISNA(VLOOKUP($Y166,Utilitaires!$N$566:$O$571,2,FALSE)),,VLOOKUP($Y166,Utilitaires!$N$566:$O$571,2,FALSE)),$Z166)</f>
        <v>0</v>
      </c>
      <c r="BI166" s="1124">
        <f>IF(ISNA(SQRT(SUMSQ(VLOOKUP($B166&amp;"; "&amp;$H$162&amp;", "&amp;H$163,'FE Fret'!$G:$U,7,FALSE),$BH166))),0,SQRT(SUMSQ(VLOOKUP($B166&amp;"; "&amp;$H$162&amp;", "&amp;H$163,'FE Fret'!$G:$U,7,FALSE),$BH166)))</f>
        <v>0</v>
      </c>
      <c r="BJ166" s="1124">
        <f>IF(ISNA(SQRT(SUMSQ(VLOOKUP($B166&amp;"; "&amp;$H$162&amp;", "&amp;I$163,'FE Fret'!$G:$U,7,FALSE),$BH166))),0,SQRT(SUMSQ(VLOOKUP($B166&amp;"; "&amp;$H$162&amp;", "&amp;I$163,'FE Fret'!$G:$U,7,FALSE),$BH166)))</f>
        <v>0</v>
      </c>
      <c r="BK166" s="1124"/>
      <c r="BL166" s="1124">
        <f>IF(ISNA(SQRT(SUMSQ(VLOOKUP($B166&amp;"; "&amp;$K$162&amp;", "&amp;K$163,'FE Fret'!$G:$U,7,FALSE),$BH166))),0,SQRT(SUMSQ(VLOOKUP($B166&amp;"; "&amp;$K$162&amp;", "&amp;K$163,'FE Fret'!$G:$U,7,FALSE),$BH166)))</f>
        <v>0.6</v>
      </c>
      <c r="BM166" s="1130">
        <f>IF(ISNA(SQRT(SUMSQ(VLOOKUP($B166&amp;"; "&amp;$K$162&amp;", "&amp;L$163,'FE Fret'!$G:$U,7,FALSE),$BH166))),0,SQRT(SUMSQ(VLOOKUP($B166&amp;"; "&amp;$K$162&amp;", "&amp;L$163,'FE Fret'!$G:$U,7,FALSE),$BH166)))</f>
        <v>0.6</v>
      </c>
      <c r="BN166" s="1130"/>
    </row>
    <row r="167" spans="1:72" ht="12.75" customHeight="1" outlineLevel="2">
      <c r="B167" s="154"/>
      <c r="C167" s="155"/>
      <c r="D167" s="221"/>
      <c r="E167" s="221"/>
      <c r="F167" s="155"/>
      <c r="G167" s="155"/>
      <c r="H167" s="155"/>
      <c r="I167" s="155"/>
      <c r="J167" s="1342"/>
      <c r="K167" s="1342"/>
      <c r="L167" s="365"/>
      <c r="M167" s="365"/>
      <c r="N167" s="365"/>
      <c r="O167" s="1343"/>
      <c r="X167" s="143"/>
      <c r="Y167" s="144"/>
      <c r="Z167" s="155"/>
      <c r="AA167" s="155"/>
      <c r="AB167" s="155"/>
      <c r="AC167" s="155"/>
      <c r="AD167" s="155"/>
      <c r="AE167" s="155"/>
      <c r="AF167" s="1344"/>
      <c r="AH167" s="564"/>
      <c r="AI167" s="565"/>
      <c r="AJ167" s="565"/>
      <c r="AK167" s="565"/>
      <c r="AL167" s="565"/>
      <c r="AM167" s="565"/>
      <c r="AN167" s="565"/>
      <c r="AO167" s="565"/>
      <c r="AP167" s="565"/>
      <c r="AQ167" s="565"/>
      <c r="AR167" s="565"/>
      <c r="AS167" s="565"/>
      <c r="AT167" s="566"/>
      <c r="AU167" s="566"/>
      <c r="AV167" s="567"/>
      <c r="AW167" s="565"/>
      <c r="AX167" s="565"/>
      <c r="AY167" s="568"/>
      <c r="AZ167" s="565"/>
      <c r="BA167" s="565"/>
      <c r="BB167" s="565"/>
      <c r="BC167" s="565"/>
      <c r="BD167" s="565"/>
      <c r="BE167" s="565"/>
      <c r="BF167" s="565"/>
      <c r="BH167" s="1087"/>
      <c r="BI167" s="1075"/>
      <c r="BJ167" s="1131"/>
      <c r="BK167" s="1126"/>
      <c r="BL167" s="1075"/>
      <c r="BM167" s="1131"/>
      <c r="BN167" s="1153"/>
    </row>
    <row r="168" spans="1:72" ht="12.75" customHeight="1" outlineLevel="2">
      <c r="B168" s="196" t="s">
        <v>348</v>
      </c>
      <c r="C168" s="197"/>
      <c r="D168" s="214">
        <f>SUM(D164:D167)</f>
        <v>48206</v>
      </c>
      <c r="E168" s="214"/>
      <c r="F168" s="197"/>
      <c r="G168" s="197"/>
      <c r="H168" s="197"/>
      <c r="I168" s="197"/>
      <c r="J168" s="373"/>
      <c r="K168" s="373"/>
      <c r="L168" s="374"/>
      <c r="M168" s="374">
        <f>SUM(M164:M167)</f>
        <v>3816</v>
      </c>
      <c r="N168" s="202">
        <f>SUM(N164:N167)</f>
        <v>44390</v>
      </c>
      <c r="O168" s="1349">
        <f>SUM(O164:O167)</f>
        <v>0</v>
      </c>
      <c r="X168" s="1204">
        <f>IF(AE168=0,AE168,AE168/D168)</f>
        <v>0.39422806882996514</v>
      </c>
      <c r="Y168" s="199"/>
      <c r="Z168" s="199"/>
      <c r="AA168" s="203">
        <f>SQRT(SUMSQ(AA164:AA167))</f>
        <v>1627.1681412810417</v>
      </c>
      <c r="AB168" s="203">
        <f>SQRT(SUMSQ(AB164:AB167))</f>
        <v>18934.369701682706</v>
      </c>
      <c r="AC168" s="203"/>
      <c r="AD168" s="203">
        <f>SQRT(SUMSQ(AD164:AD167))</f>
        <v>0</v>
      </c>
      <c r="AE168" s="202">
        <f>SQRT(SUMSQ(AE164:AE167))</f>
        <v>19004.1582860173</v>
      </c>
      <c r="AF168" s="340">
        <f>SQRT(SUMSQ(AF164:AF167))</f>
        <v>0</v>
      </c>
      <c r="AH168" s="571">
        <f t="shared" ref="AH168:AX168" si="62">SUM(AH164:AH167)</f>
        <v>3816</v>
      </c>
      <c r="AI168" s="572">
        <f t="shared" si="62"/>
        <v>44390</v>
      </c>
      <c r="AJ168" s="572"/>
      <c r="AK168" s="572">
        <f t="shared" si="62"/>
        <v>0</v>
      </c>
      <c r="AL168" s="572">
        <f t="shared" si="62"/>
        <v>0</v>
      </c>
      <c r="AM168" s="572">
        <f t="shared" si="62"/>
        <v>0</v>
      </c>
      <c r="AN168" s="572">
        <f t="shared" si="62"/>
        <v>0</v>
      </c>
      <c r="AO168" s="572">
        <f t="shared" si="62"/>
        <v>0</v>
      </c>
      <c r="AP168" s="572"/>
      <c r="AQ168" s="572">
        <f t="shared" si="62"/>
        <v>0</v>
      </c>
      <c r="AR168" s="572">
        <f t="shared" si="62"/>
        <v>0</v>
      </c>
      <c r="AS168" s="572"/>
      <c r="AT168" s="573">
        <f t="shared" si="62"/>
        <v>3816</v>
      </c>
      <c r="AU168" s="573">
        <f t="shared" si="62"/>
        <v>44390</v>
      </c>
      <c r="AV168" s="574"/>
      <c r="AW168" s="1082">
        <f t="shared" si="62"/>
        <v>0</v>
      </c>
      <c r="AX168" s="572">
        <f t="shared" si="62"/>
        <v>0</v>
      </c>
      <c r="AY168" s="575"/>
      <c r="AZ168" s="2447"/>
      <c r="BA168" s="2447"/>
      <c r="BB168" s="2447"/>
      <c r="BC168" s="2447"/>
      <c r="BD168" s="2447"/>
      <c r="BE168" s="2447"/>
      <c r="BF168" s="2447"/>
    </row>
    <row r="169" spans="1:72" ht="12.75" customHeight="1" outlineLevel="2">
      <c r="F169" s="264"/>
      <c r="G169" s="265"/>
      <c r="H169" s="254"/>
    </row>
    <row r="170" spans="1:72" ht="12.75" customHeight="1" outlineLevel="2">
      <c r="B170" s="139" t="s">
        <v>3674</v>
      </c>
      <c r="C170" s="140"/>
      <c r="D170" s="140"/>
      <c r="E170" s="140"/>
      <c r="F170" s="140"/>
      <c r="G170" s="141"/>
      <c r="H170" s="141"/>
      <c r="I170" s="179"/>
      <c r="T170" s="116"/>
      <c r="U170" s="116"/>
      <c r="V170" s="116"/>
      <c r="W170" s="116"/>
      <c r="X170" s="2636" t="s">
        <v>366</v>
      </c>
      <c r="Y170" s="2637"/>
      <c r="Z170" s="2637"/>
      <c r="AA170" s="2637"/>
      <c r="AB170" s="2637"/>
      <c r="AC170" s="2637"/>
      <c r="AD170" s="2637"/>
      <c r="AE170" s="2638"/>
      <c r="AF170" s="116"/>
      <c r="AH170" s="2639" t="s">
        <v>441</v>
      </c>
      <c r="AI170" s="2640"/>
      <c r="AJ170" s="2640"/>
      <c r="AK170" s="2640"/>
      <c r="AL170" s="2640"/>
      <c r="AM170" s="2640"/>
      <c r="AN170" s="2640"/>
      <c r="AO170" s="2640"/>
      <c r="AP170" s="2640"/>
      <c r="AQ170" s="2640"/>
      <c r="AR170" s="2640"/>
      <c r="AS170" s="2640"/>
      <c r="AT170" s="2640"/>
      <c r="AU170" s="2640"/>
      <c r="AV170" s="2640"/>
      <c r="AW170" s="2640"/>
      <c r="AX170" s="2640"/>
      <c r="AY170" s="2641"/>
      <c r="AZ170" s="2418"/>
      <c r="BA170" s="2418"/>
      <c r="BB170" s="2418"/>
      <c r="BC170" s="2418"/>
      <c r="BD170" s="2418"/>
      <c r="BE170" s="2418"/>
      <c r="BF170" s="2418"/>
    </row>
    <row r="171" spans="1:72" ht="12.75" customHeight="1" outlineLevel="2">
      <c r="B171" s="332"/>
      <c r="C171" s="167"/>
      <c r="D171" s="1334" t="s">
        <v>308</v>
      </c>
      <c r="E171" s="1663"/>
      <c r="F171" s="144"/>
      <c r="G171" s="144"/>
      <c r="H171" s="144"/>
      <c r="I171" s="1337" t="s">
        <v>444</v>
      </c>
      <c r="T171" s="116"/>
      <c r="U171" s="116"/>
      <c r="X171" s="1316"/>
      <c r="Y171" s="1317"/>
      <c r="Z171" s="1317"/>
      <c r="AA171" s="1334"/>
      <c r="AB171" s="1334"/>
      <c r="AC171" s="2423"/>
      <c r="AD171" s="1334"/>
      <c r="AE171" s="1337" t="s">
        <v>444</v>
      </c>
      <c r="AG171" s="109"/>
      <c r="AH171" s="2642" t="s">
        <v>444</v>
      </c>
      <c r="AI171" s="2643"/>
      <c r="AJ171" s="2643"/>
      <c r="AK171" s="2643"/>
      <c r="AL171" s="2643"/>
      <c r="AM171" s="2643"/>
      <c r="AN171" s="2643"/>
      <c r="AO171" s="2643"/>
      <c r="AP171" s="2643"/>
      <c r="AQ171" s="2643"/>
      <c r="AR171" s="2643"/>
      <c r="AS171" s="2643"/>
      <c r="AT171" s="2643" t="s">
        <v>444</v>
      </c>
      <c r="AU171" s="2643"/>
      <c r="AV171" s="628"/>
      <c r="AW171" s="624"/>
      <c r="AX171" s="624"/>
      <c r="AY171" s="1291"/>
      <c r="AZ171" s="2286"/>
      <c r="BA171" s="2286"/>
      <c r="BB171" s="2286"/>
      <c r="BC171" s="2286"/>
      <c r="BD171" s="2286"/>
      <c r="BE171" s="2286"/>
      <c r="BF171" s="2286"/>
      <c r="BH171" s="2616" t="s">
        <v>1648</v>
      </c>
      <c r="BI171" s="2618"/>
    </row>
    <row r="172" spans="1:72" ht="12.75" customHeight="1" outlineLevel="2">
      <c r="B172" s="143"/>
      <c r="C172" s="144"/>
      <c r="D172" s="1317" t="s">
        <v>409</v>
      </c>
      <c r="E172" s="1656"/>
      <c r="F172" s="147" t="s">
        <v>452</v>
      </c>
      <c r="G172" s="147" t="s">
        <v>3670</v>
      </c>
      <c r="H172" s="1317"/>
      <c r="I172" s="220" t="s">
        <v>880</v>
      </c>
      <c r="T172" s="116"/>
      <c r="U172" s="116"/>
      <c r="V172" s="109"/>
      <c r="W172" s="109"/>
      <c r="X172" s="1316" t="s">
        <v>316</v>
      </c>
      <c r="Y172" s="2629" t="s">
        <v>316</v>
      </c>
      <c r="Z172" s="2630"/>
      <c r="AA172" s="1317"/>
      <c r="AB172" s="1317"/>
      <c r="AC172" s="2419"/>
      <c r="AD172" s="1317"/>
      <c r="AE172" s="220" t="s">
        <v>880</v>
      </c>
      <c r="AF172" s="109"/>
      <c r="AG172" s="109"/>
      <c r="AH172" s="2631" t="s">
        <v>211</v>
      </c>
      <c r="AI172" s="2632"/>
      <c r="AJ172" s="2632"/>
      <c r="AK172" s="2632" t="s">
        <v>442</v>
      </c>
      <c r="AL172" s="2632"/>
      <c r="AM172" s="2632"/>
      <c r="AN172" s="2632" t="s">
        <v>267</v>
      </c>
      <c r="AO172" s="2632"/>
      <c r="AP172" s="2632"/>
      <c r="AQ172" s="2632" t="s">
        <v>443</v>
      </c>
      <c r="AR172" s="2632"/>
      <c r="AS172" s="2632"/>
      <c r="AT172" s="2648" t="s">
        <v>327</v>
      </c>
      <c r="AU172" s="2648"/>
      <c r="AV172" s="568"/>
      <c r="AW172" s="2631" t="s">
        <v>636</v>
      </c>
      <c r="AX172" s="2632"/>
      <c r="AY172" s="568"/>
      <c r="AZ172" s="565"/>
      <c r="BA172" s="565"/>
      <c r="BB172" s="565"/>
      <c r="BC172" s="565"/>
      <c r="BD172" s="565"/>
      <c r="BE172" s="565"/>
      <c r="BF172" s="565"/>
      <c r="BH172" s="2837" t="s">
        <v>1646</v>
      </c>
      <c r="BI172" s="1141"/>
    </row>
    <row r="173" spans="1:72" ht="12.75" customHeight="1" outlineLevel="2">
      <c r="B173" s="143"/>
      <c r="C173" s="144"/>
      <c r="D173" s="1317" t="s">
        <v>444</v>
      </c>
      <c r="E173" s="1656"/>
      <c r="F173" s="1321" t="s">
        <v>445</v>
      </c>
      <c r="G173" s="1321" t="s">
        <v>881</v>
      </c>
      <c r="H173" s="1317"/>
      <c r="I173" s="220" t="s">
        <v>257</v>
      </c>
      <c r="T173" s="116"/>
      <c r="U173" s="116"/>
      <c r="V173" s="109"/>
      <c r="W173" s="109"/>
      <c r="X173" s="1316" t="s">
        <v>1649</v>
      </c>
      <c r="Y173" s="2646" t="s">
        <v>1650</v>
      </c>
      <c r="Z173" s="2647"/>
      <c r="AA173" s="1322"/>
      <c r="AB173" s="1322"/>
      <c r="AC173" s="1662"/>
      <c r="AD173" s="1322"/>
      <c r="AE173" s="220" t="s">
        <v>257</v>
      </c>
      <c r="AF173" s="109"/>
      <c r="AH173" s="1331"/>
      <c r="AI173" s="1332"/>
      <c r="AJ173" s="1332"/>
      <c r="AK173" s="1332"/>
      <c r="AL173" s="1332"/>
      <c r="AM173" s="1332"/>
      <c r="AN173" s="1332"/>
      <c r="AO173" s="1332"/>
      <c r="AP173" s="1332"/>
      <c r="AQ173" s="1332"/>
      <c r="AR173" s="1332"/>
      <c r="AS173" s="1332"/>
      <c r="AT173" s="581"/>
      <c r="AU173" s="581"/>
      <c r="AV173" s="582"/>
      <c r="AW173" s="1332"/>
      <c r="AX173" s="1332"/>
      <c r="AY173" s="1333"/>
      <c r="AZ173" s="2286"/>
      <c r="BA173" s="2286"/>
      <c r="BB173" s="2286"/>
      <c r="BC173" s="2286"/>
      <c r="BD173" s="2286"/>
      <c r="BE173" s="2286"/>
      <c r="BF173" s="2286"/>
      <c r="BH173" s="2838"/>
      <c r="BI173" s="1326"/>
    </row>
    <row r="174" spans="1:72" ht="12.75" customHeight="1" outlineLevel="2">
      <c r="B174" s="143" t="s">
        <v>3669</v>
      </c>
      <c r="C174" s="144"/>
      <c r="D174" s="212">
        <f>I174</f>
        <v>0</v>
      </c>
      <c r="E174" s="212"/>
      <c r="F174" s="117"/>
      <c r="G174" s="117"/>
      <c r="H174" s="218"/>
      <c r="I174" s="152">
        <f>G174</f>
        <v>0</v>
      </c>
      <c r="T174" s="116"/>
      <c r="U174" s="116"/>
      <c r="X174" s="1092">
        <f>IF(AE174=0,AE174,AE174/D174)</f>
        <v>0</v>
      </c>
      <c r="Y174" s="343"/>
      <c r="Z174" s="820"/>
      <c r="AA174" s="164"/>
      <c r="AB174" s="164"/>
      <c r="AC174" s="164"/>
      <c r="AD174" s="164"/>
      <c r="AE174" s="152">
        <f>I174*BI174</f>
        <v>0</v>
      </c>
      <c r="AH174" s="564">
        <f>D174</f>
        <v>0</v>
      </c>
      <c r="AI174" s="565"/>
      <c r="AJ174" s="565"/>
      <c r="AK174" s="565"/>
      <c r="AL174" s="565"/>
      <c r="AM174" s="565"/>
      <c r="AN174" s="565"/>
      <c r="AO174" s="565"/>
      <c r="AP174" s="565"/>
      <c r="AQ174" s="565"/>
      <c r="AR174" s="565"/>
      <c r="AS174" s="565"/>
      <c r="AT174" s="566">
        <f>SUM(AH174:AQ174)</f>
        <v>0</v>
      </c>
      <c r="AU174" s="566"/>
      <c r="AV174" s="567"/>
      <c r="AW174" s="565"/>
      <c r="AX174" s="565"/>
      <c r="AY174" s="568"/>
      <c r="AZ174" s="565"/>
      <c r="BA174" s="565"/>
      <c r="BB174" s="565"/>
      <c r="BC174" s="565"/>
      <c r="BD174" s="565"/>
      <c r="BE174" s="565"/>
      <c r="BF174" s="565"/>
      <c r="BH174" s="1065">
        <f>IF($Y174&lt;&gt;"votre valeur :",IF(ISNA(VLOOKUP($Y174,Utilitaires!$N$566:$O$571,2,FALSE)),,VLOOKUP($Y174,Utilitaires!$N$566:$O$571,2,FALSE)),$Z174)</f>
        <v>0</v>
      </c>
      <c r="BI174" s="1130">
        <f>SQRT(SUMSQ(0,BH174))</f>
        <v>0</v>
      </c>
    </row>
    <row r="175" spans="1:72" ht="12.75" customHeight="1" outlineLevel="2">
      <c r="B175" s="143" t="s">
        <v>3669</v>
      </c>
      <c r="C175" s="144"/>
      <c r="D175" s="212">
        <f>I175</f>
        <v>0</v>
      </c>
      <c r="E175" s="212"/>
      <c r="F175" s="120"/>
      <c r="G175" s="120"/>
      <c r="H175" s="218"/>
      <c r="I175" s="152">
        <f t="shared" ref="I175:I176" si="63">G175</f>
        <v>0</v>
      </c>
      <c r="T175" s="116"/>
      <c r="U175" s="116"/>
      <c r="X175" s="1092">
        <f>IF(AE175=0,AE175,AE175/D175)</f>
        <v>0</v>
      </c>
      <c r="Y175" s="343"/>
      <c r="Z175" s="820"/>
      <c r="AA175" s="164"/>
      <c r="AB175" s="164"/>
      <c r="AC175" s="164"/>
      <c r="AD175" s="164"/>
      <c r="AE175" s="152">
        <f>I175*BI175</f>
        <v>0</v>
      </c>
      <c r="AH175" s="564">
        <f>D175</f>
        <v>0</v>
      </c>
      <c r="AI175" s="565"/>
      <c r="AJ175" s="565"/>
      <c r="AK175" s="565"/>
      <c r="AL175" s="565"/>
      <c r="AM175" s="565"/>
      <c r="AN175" s="565"/>
      <c r="AO175" s="565"/>
      <c r="AP175" s="565"/>
      <c r="AQ175" s="565"/>
      <c r="AR175" s="565"/>
      <c r="AS175" s="565"/>
      <c r="AT175" s="566">
        <f>SUM(AH175:AQ175)</f>
        <v>0</v>
      </c>
      <c r="AU175" s="566"/>
      <c r="AV175" s="567"/>
      <c r="AW175" s="565"/>
      <c r="AX175" s="565"/>
      <c r="AY175" s="568"/>
      <c r="AZ175" s="565"/>
      <c r="BA175" s="565"/>
      <c r="BB175" s="565"/>
      <c r="BC175" s="565"/>
      <c r="BD175" s="565"/>
      <c r="BE175" s="565"/>
      <c r="BF175" s="565"/>
      <c r="BH175" s="1065">
        <f>IF($Y175&lt;&gt;"votre valeur :",IF(ISNA(VLOOKUP($Y175,Utilitaires!$N$566:$O$571,2,FALSE)),,VLOOKUP($Y175,Utilitaires!$N$566:$O$571,2,FALSE)),$Z175)</f>
        <v>0</v>
      </c>
      <c r="BI175" s="1130">
        <f>SQRT(SUMSQ(0,BH175))</f>
        <v>0</v>
      </c>
    </row>
    <row r="176" spans="1:72" ht="12.75" customHeight="1" outlineLevel="2">
      <c r="B176" s="143" t="s">
        <v>3669</v>
      </c>
      <c r="C176" s="144"/>
      <c r="D176" s="212">
        <f>I176</f>
        <v>0</v>
      </c>
      <c r="E176" s="212"/>
      <c r="F176" s="123"/>
      <c r="G176" s="123"/>
      <c r="H176" s="218"/>
      <c r="I176" s="152">
        <f t="shared" si="63"/>
        <v>0</v>
      </c>
      <c r="T176" s="116"/>
      <c r="U176" s="116"/>
      <c r="X176" s="1092">
        <f>IF(AE176=0,AE176,AE176/D176)</f>
        <v>0</v>
      </c>
      <c r="Y176" s="1094"/>
      <c r="Z176" s="820"/>
      <c r="AA176" s="164"/>
      <c r="AB176" s="164"/>
      <c r="AC176" s="164"/>
      <c r="AD176" s="164"/>
      <c r="AE176" s="152">
        <f>I176*BI176</f>
        <v>0</v>
      </c>
      <c r="AH176" s="564">
        <f>D176</f>
        <v>0</v>
      </c>
      <c r="AI176" s="565"/>
      <c r="AJ176" s="565"/>
      <c r="AK176" s="565"/>
      <c r="AL176" s="565"/>
      <c r="AM176" s="565"/>
      <c r="AN176" s="565"/>
      <c r="AO176" s="565"/>
      <c r="AP176" s="565"/>
      <c r="AQ176" s="565"/>
      <c r="AR176" s="565"/>
      <c r="AS176" s="565"/>
      <c r="AT176" s="566">
        <f>SUM(AH176:AQ176)</f>
        <v>0</v>
      </c>
      <c r="AU176" s="566"/>
      <c r="AV176" s="567"/>
      <c r="AW176" s="565"/>
      <c r="AX176" s="565"/>
      <c r="AY176" s="568"/>
      <c r="AZ176" s="565"/>
      <c r="BA176" s="565"/>
      <c r="BB176" s="565"/>
      <c r="BC176" s="565"/>
      <c r="BD176" s="565"/>
      <c r="BE176" s="565"/>
      <c r="BF176" s="565"/>
      <c r="BH176" s="1065">
        <f>IF($Y176&lt;&gt;"votre valeur :",IF(ISNA(VLOOKUP($Y176,Utilitaires!$N$566:$O$571,2,FALSE)),,VLOOKUP($Y176,Utilitaires!$N$566:$O$571,2,FALSE)),$Z176)</f>
        <v>0</v>
      </c>
      <c r="BI176" s="1130">
        <f>SQRT(SUMSQ(0,BH176))</f>
        <v>0</v>
      </c>
    </row>
    <row r="177" spans="2:66" ht="12.75" customHeight="1" outlineLevel="2">
      <c r="B177" s="143"/>
      <c r="C177" s="144"/>
      <c r="D177" s="212"/>
      <c r="E177" s="212"/>
      <c r="F177" s="353"/>
      <c r="G177" s="144"/>
      <c r="H177" s="144"/>
      <c r="I177" s="156"/>
      <c r="T177" s="116"/>
      <c r="U177" s="116"/>
      <c r="X177" s="143"/>
      <c r="Y177" s="144"/>
      <c r="Z177" s="144"/>
      <c r="AA177" s="144"/>
      <c r="AB177" s="144"/>
      <c r="AC177" s="144"/>
      <c r="AD177" s="144"/>
      <c r="AE177" s="165"/>
      <c r="AH177" s="569"/>
      <c r="AI177" s="625"/>
      <c r="AJ177" s="625"/>
      <c r="AK177" s="625"/>
      <c r="AL177" s="625"/>
      <c r="AM177" s="625"/>
      <c r="AN177" s="625"/>
      <c r="AO177" s="625"/>
      <c r="AP177" s="625"/>
      <c r="AQ177" s="625"/>
      <c r="AR177" s="625"/>
      <c r="AS177" s="625"/>
      <c r="AT177" s="1313"/>
      <c r="AU177" s="1313"/>
      <c r="AV177" s="1314"/>
      <c r="AW177" s="565"/>
      <c r="AX177" s="565"/>
      <c r="AY177" s="568"/>
      <c r="AZ177" s="565"/>
      <c r="BA177" s="565"/>
      <c r="BB177" s="565"/>
      <c r="BC177" s="565"/>
      <c r="BD177" s="565"/>
      <c r="BE177" s="565"/>
      <c r="BF177" s="565"/>
      <c r="BH177" s="1087"/>
      <c r="BI177" s="1131"/>
    </row>
    <row r="178" spans="2:66" ht="12.75" customHeight="1" outlineLevel="2">
      <c r="B178" s="196" t="s">
        <v>348</v>
      </c>
      <c r="C178" s="197"/>
      <c r="D178" s="214">
        <f>SUM(D174:D177)</f>
        <v>0</v>
      </c>
      <c r="E178" s="214"/>
      <c r="F178" s="198"/>
      <c r="G178" s="197"/>
      <c r="H178" s="197"/>
      <c r="I178" s="200">
        <f>SUM(I174:I177)</f>
        <v>0</v>
      </c>
      <c r="T178" s="116"/>
      <c r="U178" s="116"/>
      <c r="X178" s="1204">
        <f>IF(AE178=0,AE178,AE178/D178)</f>
        <v>0</v>
      </c>
      <c r="Y178" s="199"/>
      <c r="Z178" s="199"/>
      <c r="AA178" s="199"/>
      <c r="AB178" s="199"/>
      <c r="AC178" s="199"/>
      <c r="AD178" s="199"/>
      <c r="AE178" s="200">
        <f>SQRT(SUMSQ(AE174:AE177))</f>
        <v>0</v>
      </c>
      <c r="AH178" s="1308">
        <f>SUM(AH174:AH177)</f>
        <v>0</v>
      </c>
      <c r="AI178" s="1309"/>
      <c r="AJ178" s="1309"/>
      <c r="AK178" s="1309"/>
      <c r="AL178" s="1309"/>
      <c r="AM178" s="1309"/>
      <c r="AN178" s="1309"/>
      <c r="AO178" s="1309"/>
      <c r="AP178" s="1309"/>
      <c r="AQ178" s="1309"/>
      <c r="AR178" s="1309"/>
      <c r="AS178" s="1309"/>
      <c r="AT178" s="1312">
        <f>SUM(AT174:AT177)</f>
        <v>0</v>
      </c>
      <c r="AU178" s="1312"/>
      <c r="AV178" s="1312"/>
      <c r="AW178" s="1082"/>
      <c r="AX178" s="572"/>
      <c r="AY178" s="575"/>
      <c r="AZ178" s="2447"/>
      <c r="BA178" s="2447"/>
      <c r="BB178" s="2447"/>
      <c r="BC178" s="2447"/>
      <c r="BD178" s="2447"/>
      <c r="BE178" s="2447"/>
      <c r="BF178" s="2447"/>
    </row>
    <row r="179" spans="2:66" ht="12.75" customHeight="1" outlineLevel="2">
      <c r="F179" s="264"/>
      <c r="G179" s="265"/>
      <c r="H179" s="254"/>
    </row>
    <row r="180" spans="2:66" ht="12.75" customHeight="1" outlineLevel="2">
      <c r="B180" s="139" t="s">
        <v>2340</v>
      </c>
      <c r="C180" s="140"/>
      <c r="D180" s="140"/>
      <c r="E180" s="140"/>
      <c r="F180" s="140"/>
      <c r="G180" s="141"/>
      <c r="H180" s="141"/>
      <c r="I180" s="141"/>
      <c r="J180" s="141"/>
      <c r="K180" s="141"/>
      <c r="L180" s="141"/>
      <c r="M180" s="140"/>
      <c r="N180" s="140"/>
      <c r="O180" s="1320"/>
      <c r="X180" s="2636" t="s">
        <v>366</v>
      </c>
      <c r="Y180" s="2637"/>
      <c r="Z180" s="2637"/>
      <c r="AA180" s="2637"/>
      <c r="AB180" s="2637"/>
      <c r="AC180" s="2637"/>
      <c r="AD180" s="2637"/>
      <c r="AE180" s="2637"/>
      <c r="AF180" s="2638"/>
      <c r="AH180" s="2639" t="s">
        <v>441</v>
      </c>
      <c r="AI180" s="2640"/>
      <c r="AJ180" s="2640"/>
      <c r="AK180" s="2640"/>
      <c r="AL180" s="2640"/>
      <c r="AM180" s="2640"/>
      <c r="AN180" s="2640"/>
      <c r="AO180" s="2640"/>
      <c r="AP180" s="2640"/>
      <c r="AQ180" s="2640"/>
      <c r="AR180" s="2640"/>
      <c r="AS180" s="2640"/>
      <c r="AT180" s="2640"/>
      <c r="AU180" s="2640"/>
      <c r="AV180" s="2640"/>
      <c r="AW180" s="2640"/>
      <c r="AX180" s="2640"/>
      <c r="AY180" s="2641"/>
      <c r="AZ180" s="2418"/>
      <c r="BA180" s="2418"/>
      <c r="BB180" s="2418"/>
      <c r="BC180" s="2418"/>
      <c r="BD180" s="2418"/>
      <c r="BE180" s="2418"/>
      <c r="BF180" s="2418"/>
    </row>
    <row r="181" spans="2:66" ht="12.75" customHeight="1" outlineLevel="2">
      <c r="B181" s="332"/>
      <c r="C181" s="167"/>
      <c r="D181" s="291" t="s">
        <v>308</v>
      </c>
      <c r="E181" s="1663"/>
      <c r="F181" s="144"/>
      <c r="G181" s="144"/>
      <c r="H181" s="144"/>
      <c r="I181" s="144"/>
      <c r="J181" s="144"/>
      <c r="K181" s="144"/>
      <c r="L181" s="144"/>
      <c r="M181" s="2768" t="s">
        <v>233</v>
      </c>
      <c r="N181" s="2841"/>
      <c r="O181" s="153" t="s">
        <v>275</v>
      </c>
      <c r="X181" s="1316"/>
      <c r="Y181" s="1317"/>
      <c r="Z181" s="1317"/>
      <c r="AA181" s="291"/>
      <c r="AB181" s="291"/>
      <c r="AC181" s="2423"/>
      <c r="AD181" s="1334"/>
      <c r="AE181" s="291"/>
      <c r="AF181" s="1320" t="s">
        <v>275</v>
      </c>
      <c r="AH181" s="2642" t="s">
        <v>444</v>
      </c>
      <c r="AI181" s="2643"/>
      <c r="AJ181" s="2643"/>
      <c r="AK181" s="2643"/>
      <c r="AL181" s="2643"/>
      <c r="AM181" s="2643"/>
      <c r="AN181" s="2643"/>
      <c r="AO181" s="2643"/>
      <c r="AP181" s="2643"/>
      <c r="AQ181" s="2643"/>
      <c r="AR181" s="2643"/>
      <c r="AS181" s="2643"/>
      <c r="AT181" s="2643" t="s">
        <v>444</v>
      </c>
      <c r="AU181" s="2643"/>
      <c r="AV181" s="565"/>
      <c r="AW181" s="1288"/>
      <c r="AX181" s="566"/>
      <c r="AY181" s="1333"/>
      <c r="AZ181" s="2286"/>
      <c r="BA181" s="2286"/>
      <c r="BB181" s="2286"/>
      <c r="BC181" s="2286"/>
      <c r="BD181" s="2286"/>
      <c r="BE181" s="2286"/>
      <c r="BF181" s="2286"/>
      <c r="BH181" s="2616" t="s">
        <v>1648</v>
      </c>
      <c r="BI181" s="2617"/>
      <c r="BJ181" s="2617"/>
      <c r="BK181" s="2617"/>
      <c r="BL181" s="2617"/>
      <c r="BM181" s="2617"/>
      <c r="BN181" s="2618"/>
    </row>
    <row r="182" spans="2:66" ht="12.75" customHeight="1" outlineLevel="2">
      <c r="B182" s="146" t="s">
        <v>185</v>
      </c>
      <c r="C182" s="292"/>
      <c r="D182" s="292" t="s">
        <v>409</v>
      </c>
      <c r="E182" s="1656"/>
      <c r="F182" s="147" t="s">
        <v>452</v>
      </c>
      <c r="G182" s="147"/>
      <c r="H182" s="2626" t="s">
        <v>2324</v>
      </c>
      <c r="I182" s="2627"/>
      <c r="J182" s="1170"/>
      <c r="K182" s="2626" t="s">
        <v>2247</v>
      </c>
      <c r="L182" s="2628"/>
      <c r="M182" s="1334" t="s">
        <v>444</v>
      </c>
      <c r="N182" s="1334" t="s">
        <v>444</v>
      </c>
      <c r="O182" s="153" t="s">
        <v>276</v>
      </c>
      <c r="X182" s="1316" t="s">
        <v>316</v>
      </c>
      <c r="Y182" s="2629" t="s">
        <v>316</v>
      </c>
      <c r="Z182" s="2630"/>
      <c r="AA182" s="292" t="s">
        <v>444</v>
      </c>
      <c r="AB182" s="292" t="s">
        <v>444</v>
      </c>
      <c r="AC182" s="2419"/>
      <c r="AD182" s="1317"/>
      <c r="AE182" s="291" t="s">
        <v>444</v>
      </c>
      <c r="AF182" s="153" t="s">
        <v>276</v>
      </c>
      <c r="AH182" s="2631" t="s">
        <v>211</v>
      </c>
      <c r="AI182" s="2632"/>
      <c r="AJ182" s="2632"/>
      <c r="AK182" s="2632" t="s">
        <v>442</v>
      </c>
      <c r="AL182" s="2632"/>
      <c r="AM182" s="2632"/>
      <c r="AN182" s="2632" t="s">
        <v>267</v>
      </c>
      <c r="AO182" s="2632"/>
      <c r="AP182" s="2632"/>
      <c r="AQ182" s="2632" t="s">
        <v>443</v>
      </c>
      <c r="AR182" s="2632"/>
      <c r="AS182" s="2632"/>
      <c r="AT182" s="2648" t="s">
        <v>327</v>
      </c>
      <c r="AU182" s="2648"/>
      <c r="AV182" s="565"/>
      <c r="AW182" s="2631" t="s">
        <v>636</v>
      </c>
      <c r="AX182" s="2632"/>
      <c r="AY182" s="568"/>
      <c r="AZ182" s="565"/>
      <c r="BA182" s="565"/>
      <c r="BB182" s="565"/>
      <c r="BC182" s="565"/>
      <c r="BD182" s="565"/>
      <c r="BE182" s="565"/>
      <c r="BF182" s="565"/>
      <c r="BH182" s="2837" t="s">
        <v>1646</v>
      </c>
      <c r="BI182" s="2833" t="s">
        <v>2222</v>
      </c>
      <c r="BJ182" s="2834"/>
      <c r="BK182" s="2835"/>
      <c r="BL182" s="2833" t="s">
        <v>2324</v>
      </c>
      <c r="BM182" s="2834"/>
      <c r="BN182" s="2835"/>
    </row>
    <row r="183" spans="2:66" ht="12.75" customHeight="1" outlineLevel="2">
      <c r="B183" s="146"/>
      <c r="C183" s="292"/>
      <c r="D183" s="292" t="s">
        <v>444</v>
      </c>
      <c r="E183" s="1656"/>
      <c r="F183" s="149" t="s">
        <v>445</v>
      </c>
      <c r="G183" s="149" t="s">
        <v>415</v>
      </c>
      <c r="H183" s="1662" t="s">
        <v>411</v>
      </c>
      <c r="I183" s="1662" t="s">
        <v>257</v>
      </c>
      <c r="J183" s="149" t="s">
        <v>271</v>
      </c>
      <c r="K183" s="1322" t="s">
        <v>411</v>
      </c>
      <c r="L183" s="1322" t="s">
        <v>257</v>
      </c>
      <c r="M183" s="1318" t="s">
        <v>411</v>
      </c>
      <c r="N183" s="1318" t="s">
        <v>257</v>
      </c>
      <c r="O183" s="153" t="s">
        <v>444</v>
      </c>
      <c r="X183" s="1316" t="s">
        <v>1649</v>
      </c>
      <c r="Y183" s="2646" t="s">
        <v>1650</v>
      </c>
      <c r="Z183" s="2647"/>
      <c r="AA183" s="216" t="s">
        <v>411</v>
      </c>
      <c r="AB183" s="216" t="s">
        <v>257</v>
      </c>
      <c r="AC183" s="1662"/>
      <c r="AD183" s="1322"/>
      <c r="AE183" s="166" t="s">
        <v>327</v>
      </c>
      <c r="AF183" s="153" t="s">
        <v>444</v>
      </c>
      <c r="AH183" s="1331" t="s">
        <v>411</v>
      </c>
      <c r="AI183" s="1332" t="s">
        <v>257</v>
      </c>
      <c r="AJ183" s="1332"/>
      <c r="AK183" s="1332" t="s">
        <v>411</v>
      </c>
      <c r="AL183" s="1332" t="s">
        <v>257</v>
      </c>
      <c r="AM183" s="1332"/>
      <c r="AN183" s="1332" t="s">
        <v>411</v>
      </c>
      <c r="AO183" s="1332" t="s">
        <v>257</v>
      </c>
      <c r="AP183" s="1332"/>
      <c r="AQ183" s="1332" t="s">
        <v>411</v>
      </c>
      <c r="AR183" s="1332" t="s">
        <v>257</v>
      </c>
      <c r="AS183" s="1332"/>
      <c r="AT183" s="581" t="s">
        <v>411</v>
      </c>
      <c r="AU183" s="581" t="s">
        <v>257</v>
      </c>
      <c r="AV183" s="581"/>
      <c r="AW183" s="1331" t="s">
        <v>411</v>
      </c>
      <c r="AX183" s="1332" t="s">
        <v>257</v>
      </c>
      <c r="AY183" s="1333"/>
      <c r="AZ183" s="2286"/>
      <c r="BA183" s="2286"/>
      <c r="BB183" s="2286"/>
      <c r="BC183" s="2286"/>
      <c r="BD183" s="2286"/>
      <c r="BE183" s="2286"/>
      <c r="BF183" s="2286"/>
      <c r="BH183" s="2838"/>
      <c r="BI183" s="1325" t="s">
        <v>411</v>
      </c>
      <c r="BJ183" s="1325" t="s">
        <v>257</v>
      </c>
      <c r="BK183" s="1327"/>
      <c r="BL183" s="1325" t="s">
        <v>411</v>
      </c>
      <c r="BM183" s="1325" t="s">
        <v>257</v>
      </c>
      <c r="BN183" s="1327"/>
    </row>
    <row r="184" spans="2:66" ht="12.75" customHeight="1" outlineLevel="2">
      <c r="B184" s="143" t="s">
        <v>4030</v>
      </c>
      <c r="C184" s="144"/>
      <c r="D184" s="212">
        <f>M184+N184</f>
        <v>0</v>
      </c>
      <c r="E184" s="212"/>
      <c r="F184" s="409"/>
      <c r="G184" s="117"/>
      <c r="H184" s="376">
        <f>VLOOKUP($B184&amp;"; "&amp;$H$182&amp;", "&amp;H$183,'FE Fret'!$G:$U,9,FALSE)</f>
        <v>6.8100000000000001E-3</v>
      </c>
      <c r="I184" s="376">
        <f>VLOOKUP($B184&amp;"; "&amp;$H$182&amp;", "&amp;I$183,'FE Fret'!$G:$U,9,FALSE)</f>
        <v>2.6200000000000001E-2</v>
      </c>
      <c r="J184" s="117"/>
      <c r="K184" s="627">
        <f>IF(ISNA(VLOOKUP($B184&amp;"; "&amp;$K$182&amp;", "&amp;K$183,'FE Fret'!$G:$U,9,FALSE)),0,VLOOKUP($B184&amp;"; "&amp;$K$182&amp;", "&amp;K$183,'FE Fret'!$G:$U,9,FALSE))</f>
        <v>0</v>
      </c>
      <c r="L184" s="627">
        <f>IF(ISNA(VLOOKUP($B184&amp;"; "&amp;$K$182&amp;", "&amp;L$183,'FE Fret'!$G:$U,9,FALSE)),0,VLOOKUP($B184&amp;"; "&amp;$K$182&amp;", "&amp;L$183,'FE Fret'!$G:$U,9,FALSE))</f>
        <v>0</v>
      </c>
      <c r="M184" s="356">
        <f>G184*H184+J184*K184</f>
        <v>0</v>
      </c>
      <c r="N184" s="356">
        <f>G184*I184+J184*L184</f>
        <v>0</v>
      </c>
      <c r="O184" s="1286">
        <f>IF(OR(F184=Utilitaires!$G$572,F184=Utilitaires!$G$577),N184,0)</f>
        <v>0</v>
      </c>
      <c r="X184" s="1092">
        <f>IF(AE184=0,AE184,AE184/D184)</f>
        <v>0</v>
      </c>
      <c r="Y184" s="343"/>
      <c r="Z184" s="820"/>
      <c r="AA184" s="164">
        <f t="shared" ref="AA184:AB186" si="64">SQRT(SUMSQ(IF(ISNA($G184*H184*BI184),0,$G184*H184*BI184),IF(ISNA($J184*K184*BL184),0,$J184*K184*BL184)))</f>
        <v>0</v>
      </c>
      <c r="AB184" s="164">
        <f t="shared" si="64"/>
        <v>0</v>
      </c>
      <c r="AC184" s="164"/>
      <c r="AD184" s="164"/>
      <c r="AE184" s="151">
        <f>SQRT(SUMSQ(AA184:AD184))</f>
        <v>0</v>
      </c>
      <c r="AF184" s="1286">
        <f>O184*X184</f>
        <v>0</v>
      </c>
      <c r="AH184" s="564">
        <f>$G184*IF(ISNA(VLOOKUP($B184&amp;"; "&amp;$H$182&amp;", "&amp;H$183,'FE Fret'!$G:$U,10,FALSE)),0,VLOOKUP($B184&amp;"; "&amp;$H$182&amp;", "&amp;H$183,'FE Fret'!$G:$U,10,FALSE))
+$J184*IF(ISNA(VLOOKUP($B184&amp;"; "&amp;$K$182&amp;", "&amp;H$183,'FE Fret'!$G:$U,10,FALSE)),0,VLOOKUP($B184&amp;"; "&amp;$K$182&amp;", "&amp;H$183,'FE Fret'!$G:$U,10,FALSE))</f>
        <v>0</v>
      </c>
      <c r="AI184" s="565">
        <f>$G184*IF(ISNA(VLOOKUP($B184&amp;"; "&amp;$H$182&amp;", "&amp;I$183,'FE Fret'!$G:$U,10,FALSE)),0,VLOOKUP($B184&amp;"; "&amp;$H$182&amp;", "&amp;I$183,'FE Fret'!$G:$U,10,FALSE))
+$J184*IF(ISNA(VLOOKUP($B184&amp;"; "&amp;$K$182&amp;", "&amp;I$183,'FE Fret'!$G:$U,10,FALSE)),0,VLOOKUP($B184&amp;"; "&amp;$K$182&amp;", "&amp;I$183,'FE Fret'!$G:$U,10,FALSE))</f>
        <v>0</v>
      </c>
      <c r="AJ184" s="565"/>
      <c r="AK184" s="565">
        <f>$G184*IF(ISNA((VLOOKUP($B184&amp;"; "&amp;$H$182&amp;", "&amp;H$183,'FE Fret'!$G:$U,12,FALSE)+VLOOKUP($B184&amp;"; "&amp;$H$182&amp;", "&amp;H$183,'FE Fret'!$G:$U,11,FALSE))),0,(VLOOKUP($B184&amp;"; "&amp;$H$182&amp;", "&amp;H$183,'FE Fret'!$G:$U,12,FALSE)+VLOOKUP($B184&amp;"; "&amp;$H$182&amp;", "&amp;H$183,'FE Fret'!$G:$U,11,FALSE)))
+$J184*IF(ISNA((VLOOKUP($B184&amp;"; "&amp;$K$182&amp;", "&amp;H$183,'FE Fret'!$G:$U,12,FALSE)+VLOOKUP($B184&amp;"; "&amp;$K$182&amp;", "&amp;H$183,'FE Fret'!$G:$U,11,FALSE))),0,(VLOOKUP($B184&amp;"; "&amp;$K$182&amp;", "&amp;H$183,'FE Fret'!$G:$U,12,FALSE)+VLOOKUP($B184&amp;"; "&amp;$K$182&amp;", "&amp;H$183,'FE Fret'!$G:$U,11,FALSE)))</f>
        <v>0</v>
      </c>
      <c r="AL184" s="565">
        <f>$G184*IF(ISNA((VLOOKUP($B184&amp;"; "&amp;$H$182&amp;", "&amp;I$183,'FE Fret'!$G:$U,12,FALSE)+VLOOKUP($B184&amp;"; "&amp;$H$182&amp;", "&amp;I$183,'FE Fret'!$G:$U,11,FALSE))),0,(VLOOKUP($B184&amp;"; "&amp;$H$182&amp;", "&amp;I$183,'FE Fret'!$G:$U,12,FALSE)+VLOOKUP($B184&amp;"; "&amp;$H$182&amp;", "&amp;I$183,'FE Fret'!$G:$U,11,FALSE)))
+$J184*IF(ISNA((VLOOKUP($B184&amp;"; "&amp;$K$182&amp;", "&amp;I$183,'FE Fret'!$G:$U,12,FALSE)+VLOOKUP($B184&amp;"; "&amp;$K$182&amp;", "&amp;I$183,'FE Fret'!$G:$U,11,FALSE))),0,(VLOOKUP($B184&amp;"; "&amp;$K$182&amp;", "&amp;I$183,'FE Fret'!$G:$U,12,FALSE)+VLOOKUP($B184&amp;"; "&amp;$K$182&amp;", "&amp;I$183,'FE Fret'!$G:$U,11,FALSE)))</f>
        <v>0</v>
      </c>
      <c r="AM184" s="565"/>
      <c r="AN184" s="565">
        <f>$G184*IF(ISNA(VLOOKUP($B184&amp;"; "&amp;$H$182&amp;", "&amp;H$183,'FE Fret'!$G:$U,13,FALSE)),0,VLOOKUP($B184&amp;"; "&amp;$H$182&amp;", "&amp;H$183,'FE Fret'!$G:$U,13,FALSE))
+$J184*IF(ISNA(VLOOKUP($B184&amp;"; "&amp;$K$182&amp;", "&amp;H$183,'FE Fret'!$G:$U,13,FALSE)),0,VLOOKUP($B184&amp;"; "&amp;$K$182&amp;", "&amp;H$183,'FE Fret'!$G:$U,13,FALSE))</f>
        <v>0</v>
      </c>
      <c r="AO184" s="565">
        <f>$G184*IF(ISNA(VLOOKUP($B184&amp;"; "&amp;$H$182&amp;", "&amp;I$183,'FE Fret'!$G:$U,13,FALSE)),0,VLOOKUP($B184&amp;"; "&amp;$H$182&amp;", "&amp;I$183,'FE Fret'!$G:$U,13,FALSE))
+$J184*IF(ISNA(VLOOKUP($B184&amp;"; "&amp;$K$182&amp;", "&amp;I$183,'FE Fret'!$G:$U,13,FALSE)),0,VLOOKUP($B184&amp;"; "&amp;$K$182&amp;", "&amp;I$183,'FE Fret'!$G:$U,13,FALSE))</f>
        <v>0</v>
      </c>
      <c r="AP184" s="565"/>
      <c r="AQ184" s="565">
        <v>0</v>
      </c>
      <c r="AR184" s="565">
        <v>0</v>
      </c>
      <c r="AS184" s="565"/>
      <c r="AT184" s="566">
        <f>SUM(AH184,AK184,AN184,AQ184)</f>
        <v>0</v>
      </c>
      <c r="AU184" s="566">
        <f>SUM(AI184,AL184,AO184,AR184)</f>
        <v>0</v>
      </c>
      <c r="AV184" s="566"/>
      <c r="AW184" s="564">
        <f>$G184*IF(ISNA(VLOOKUP($B184&amp;"; "&amp;$H$182&amp;", "&amp;H$183,'FE Fret'!$G:$U,15,FALSE)),0,VLOOKUP($B184&amp;"; "&amp;$H$182&amp;", "&amp;H$183,'FE Fret'!$G:$U,15,FALSE))
+$J184*IF(ISNA(VLOOKUP($B184&amp;"; "&amp;$K$182&amp;", "&amp;H$183,'FE Fret'!$G:$U,15,FALSE)),0,VLOOKUP($B184&amp;"; "&amp;$K$182&amp;", "&amp;H$183,'FE Fret'!$G:$U,15,FALSE))</f>
        <v>0</v>
      </c>
      <c r="AX184" s="565">
        <f>$G184*IF(ISNA(VLOOKUP($B184&amp;"; "&amp;$H$182&amp;", "&amp;I$183,'FE Fret'!$G:$U,15,FALSE)),0,VLOOKUP($B184&amp;"; "&amp;$H$182&amp;", "&amp;I$183,'FE Fret'!$G:$U,15,FALSE))
+$J184*IF(ISNA(VLOOKUP($B184&amp;"; "&amp;$K$182&amp;", "&amp;I$183,'FE Fret'!$G:$U,15,FALSE)),0,VLOOKUP($B184&amp;"; "&amp;$K$182&amp;", "&amp;I$183,'FE Fret'!$G:$U,15,FALSE))</f>
        <v>0</v>
      </c>
      <c r="AY184" s="568"/>
      <c r="AZ184" s="565"/>
      <c r="BA184" s="565"/>
      <c r="BB184" s="565"/>
      <c r="BC184" s="565"/>
      <c r="BD184" s="565"/>
      <c r="BE184" s="565"/>
      <c r="BF184" s="565"/>
      <c r="BH184" s="1065">
        <f>IF($Y184&lt;&gt;"votre valeur :",IF(ISNA(VLOOKUP($Y184,Utilitaires!$N$566:$O$571,2,FALSE)),,VLOOKUP($Y184,Utilitaires!$N$566:$O$571,2,FALSE)),$Z184)</f>
        <v>0</v>
      </c>
      <c r="BI184" s="1124">
        <f>IF(ISNA(SQRT(SUMSQ(VLOOKUP($B184&amp;"; "&amp;$H$182&amp;", "&amp;H$183,'FE Fret'!$G:$U,7,FALSE),$BH184))),0,SQRT(SUMSQ(VLOOKUP($B184&amp;"; "&amp;$H$182&amp;", "&amp;H$183,'FE Fret'!$G:$U,7,FALSE),$BH184)))</f>
        <v>0.7</v>
      </c>
      <c r="BJ184" s="1124">
        <f>IF(ISNA(SQRT(SUMSQ(VLOOKUP($B184&amp;"; "&amp;$H$182&amp;", "&amp;I$183,'FE Fret'!$G:$U,7,FALSE),$BH184))),0,SQRT(SUMSQ(VLOOKUP($B184&amp;"; "&amp;$H$182&amp;", "&amp;I$183,'FE Fret'!$G:$U,7,FALSE),$BH184)))</f>
        <v>0.7</v>
      </c>
      <c r="BK184" s="1124"/>
      <c r="BL184" s="1124">
        <f>IF(ISNA(SQRT(SUMSQ(VLOOKUP($B184&amp;"; "&amp;$K$182&amp;", "&amp;K$183,'FE Fret'!$G:$U,7,FALSE),$BH184))),0,SQRT(SUMSQ(VLOOKUP($B184&amp;"; "&amp;$K$182&amp;", "&amp;K$183,'FE Fret'!$G:$U,7,FALSE),$BH184)))</f>
        <v>0</v>
      </c>
      <c r="BM184" s="1130">
        <f>IF(ISNA(SQRT(SUMSQ(VLOOKUP($B184&amp;"; "&amp;$K$182&amp;", "&amp;L$183,'FE Fret'!$G:$U,7,FALSE),$BH184))),0,SQRT(SUMSQ(VLOOKUP($B184&amp;"; "&amp;$K$182&amp;", "&amp;L$183,'FE Fret'!$G:$U,7,FALSE),$BH184)))</f>
        <v>0</v>
      </c>
      <c r="BN184" s="1130"/>
    </row>
    <row r="185" spans="2:66" ht="12.75" customHeight="1" outlineLevel="2">
      <c r="B185" s="143" t="s">
        <v>4031</v>
      </c>
      <c r="C185" s="144"/>
      <c r="D185" s="212">
        <f>M185+N185</f>
        <v>0</v>
      </c>
      <c r="E185" s="212"/>
      <c r="F185" s="346"/>
      <c r="G185" s="120"/>
      <c r="H185" s="376">
        <f>VLOOKUP($B185&amp;"; "&amp;$H$182&amp;", "&amp;H$183,'FE Fret'!$G:$U,9,FALSE)</f>
        <v>7.4099999999999999E-3</v>
      </c>
      <c r="I185" s="376">
        <f>VLOOKUP($B185&amp;"; "&amp;$H$182&amp;", "&amp;I$183,'FE Fret'!$G:$U,9,FALSE)</f>
        <v>2.8500000000000001E-2</v>
      </c>
      <c r="J185" s="120"/>
      <c r="K185" s="627">
        <f>IF(ISNA(VLOOKUP($B185&amp;"; "&amp;$K$182&amp;", "&amp;K$183,'FE Fret'!$G:$U,9,FALSE)),0,VLOOKUP($B185&amp;"; "&amp;$K$182&amp;", "&amp;K$183,'FE Fret'!$G:$U,9,FALSE))</f>
        <v>0</v>
      </c>
      <c r="L185" s="627">
        <f>IF(ISNA(VLOOKUP($B185&amp;"; "&amp;$K$182&amp;", "&amp;L$183,'FE Fret'!$G:$U,9,FALSE)),0,VLOOKUP($B185&amp;"; "&amp;$K$182&amp;", "&amp;L$183,'FE Fret'!$G:$U,9,FALSE))</f>
        <v>0</v>
      </c>
      <c r="M185" s="356">
        <f>G185*H185+J185*K185</f>
        <v>0</v>
      </c>
      <c r="N185" s="356">
        <f>G185*I185+J185*L185</f>
        <v>0</v>
      </c>
      <c r="O185" s="1286">
        <f>IF(OR(F185=Utilitaires!$G$572,F185=Utilitaires!$G$577),N185,0)</f>
        <v>0</v>
      </c>
      <c r="X185" s="1092">
        <f>IF(AE185=0,AE185,AE185/D185)</f>
        <v>0</v>
      </c>
      <c r="Y185" s="343"/>
      <c r="Z185" s="820"/>
      <c r="AA185" s="164">
        <f t="shared" si="64"/>
        <v>0</v>
      </c>
      <c r="AB185" s="164">
        <f t="shared" si="64"/>
        <v>0</v>
      </c>
      <c r="AC185" s="164"/>
      <c r="AD185" s="164"/>
      <c r="AE185" s="151">
        <f>SQRT(SUMSQ(AA185:AD185))</f>
        <v>0</v>
      </c>
      <c r="AF185" s="1286">
        <f>O185*X185</f>
        <v>0</v>
      </c>
      <c r="AH185" s="564">
        <f>$G185*IF(ISNA(VLOOKUP($B185&amp;"; "&amp;$H$182&amp;", "&amp;H$183,'FE Fret'!$G:$U,10,FALSE)),0,VLOOKUP($B185&amp;"; "&amp;$H$182&amp;", "&amp;H$183,'FE Fret'!$G:$U,10,FALSE))
+$J185*IF(ISNA(VLOOKUP($B185&amp;"; "&amp;$K$182&amp;", "&amp;H$183,'FE Fret'!$G:$U,10,FALSE)),0,VLOOKUP($B185&amp;"; "&amp;$K$182&amp;", "&amp;H$183,'FE Fret'!$G:$U,10,FALSE))</f>
        <v>0</v>
      </c>
      <c r="AI185" s="565">
        <f>$G185*IF(ISNA(VLOOKUP($B185&amp;"; "&amp;$H$182&amp;", "&amp;I$183,'FE Fret'!$G:$U,10,FALSE)),0,VLOOKUP($B185&amp;"; "&amp;$H$182&amp;", "&amp;I$183,'FE Fret'!$G:$U,10,FALSE))
+$J185*IF(ISNA(VLOOKUP($B185&amp;"; "&amp;$K$182&amp;", "&amp;I$183,'FE Fret'!$G:$U,10,FALSE)),0,VLOOKUP($B185&amp;"; "&amp;$K$182&amp;", "&amp;I$183,'FE Fret'!$G:$U,10,FALSE))</f>
        <v>0</v>
      </c>
      <c r="AJ185" s="565"/>
      <c r="AK185" s="565">
        <f>$G185*IF(ISNA((VLOOKUP($B185&amp;"; "&amp;$H$182&amp;", "&amp;H$183,'FE Fret'!$G:$U,12,FALSE)+VLOOKUP($B185&amp;"; "&amp;$H$182&amp;", "&amp;H$183,'FE Fret'!$G:$U,11,FALSE))),0,(VLOOKUP($B185&amp;"; "&amp;$H$182&amp;", "&amp;H$183,'FE Fret'!$G:$U,12,FALSE)+VLOOKUP($B185&amp;"; "&amp;$H$182&amp;", "&amp;H$183,'FE Fret'!$G:$U,11,FALSE)))
+$J185*IF(ISNA((VLOOKUP($B185&amp;"; "&amp;$K$182&amp;", "&amp;H$183,'FE Fret'!$G:$U,12,FALSE)+VLOOKUP($B185&amp;"; "&amp;$K$182&amp;", "&amp;H$183,'FE Fret'!$G:$U,11,FALSE))),0,(VLOOKUP($B185&amp;"; "&amp;$K$182&amp;", "&amp;H$183,'FE Fret'!$G:$U,12,FALSE)+VLOOKUP($B185&amp;"; "&amp;$K$182&amp;", "&amp;H$183,'FE Fret'!$G:$U,11,FALSE)))</f>
        <v>0</v>
      </c>
      <c r="AL185" s="565">
        <f>$G185*IF(ISNA((VLOOKUP($B185&amp;"; "&amp;$H$182&amp;", "&amp;I$183,'FE Fret'!$G:$U,12,FALSE)+VLOOKUP($B185&amp;"; "&amp;$H$182&amp;", "&amp;I$183,'FE Fret'!$G:$U,11,FALSE))),0,(VLOOKUP($B185&amp;"; "&amp;$H$182&amp;", "&amp;I$183,'FE Fret'!$G:$U,12,FALSE)+VLOOKUP($B185&amp;"; "&amp;$H$182&amp;", "&amp;I$183,'FE Fret'!$G:$U,11,FALSE)))
+$J185*IF(ISNA((VLOOKUP($B185&amp;"; "&amp;$K$182&amp;", "&amp;I$183,'FE Fret'!$G:$U,12,FALSE)+VLOOKUP($B185&amp;"; "&amp;$K$182&amp;", "&amp;I$183,'FE Fret'!$G:$U,11,FALSE))),0,(VLOOKUP($B185&amp;"; "&amp;$K$182&amp;", "&amp;I$183,'FE Fret'!$G:$U,12,FALSE)+VLOOKUP($B185&amp;"; "&amp;$K$182&amp;", "&amp;I$183,'FE Fret'!$G:$U,11,FALSE)))</f>
        <v>0</v>
      </c>
      <c r="AM185" s="565"/>
      <c r="AN185" s="565">
        <f>$G185*IF(ISNA(VLOOKUP($B185&amp;"; "&amp;$H$182&amp;", "&amp;H$183,'FE Fret'!$G:$U,13,FALSE)),0,VLOOKUP($B185&amp;"; "&amp;$H$182&amp;", "&amp;H$183,'FE Fret'!$G:$U,13,FALSE))
+$J185*IF(ISNA(VLOOKUP($B185&amp;"; "&amp;$K$182&amp;", "&amp;H$183,'FE Fret'!$G:$U,13,FALSE)),0,VLOOKUP($B185&amp;"; "&amp;$K$182&amp;", "&amp;H$183,'FE Fret'!$G:$U,13,FALSE))</f>
        <v>0</v>
      </c>
      <c r="AO185" s="565">
        <f>$G185*IF(ISNA(VLOOKUP($B185&amp;"; "&amp;$H$182&amp;", "&amp;I$183,'FE Fret'!$G:$U,13,FALSE)),0,VLOOKUP($B185&amp;"; "&amp;$H$182&amp;", "&amp;I$183,'FE Fret'!$G:$U,13,FALSE))
+$J185*IF(ISNA(VLOOKUP($B185&amp;"; "&amp;$K$182&amp;", "&amp;I$183,'FE Fret'!$G:$U,13,FALSE)),0,VLOOKUP($B185&amp;"; "&amp;$K$182&amp;", "&amp;I$183,'FE Fret'!$G:$U,13,FALSE))</f>
        <v>0</v>
      </c>
      <c r="AP185" s="565"/>
      <c r="AQ185" s="565">
        <v>0</v>
      </c>
      <c r="AR185" s="565">
        <v>0</v>
      </c>
      <c r="AS185" s="565"/>
      <c r="AT185" s="566">
        <f>SUM(AH185,AK185,AN185,AQ185)</f>
        <v>0</v>
      </c>
      <c r="AU185" s="566">
        <f>SUM(AI185,AL185,AO185,AR185)</f>
        <v>0</v>
      </c>
      <c r="AV185" s="566"/>
      <c r="AW185" s="564">
        <f>$G185*IF(ISNA(VLOOKUP($B185&amp;"; "&amp;$H$182&amp;", "&amp;H$183,'FE Fret'!$G:$U,15,FALSE)),0,VLOOKUP($B185&amp;"; "&amp;$H$182&amp;", "&amp;H$183,'FE Fret'!$G:$U,15,FALSE))
+$J185*IF(ISNA(VLOOKUP($B185&amp;"; "&amp;$K$182&amp;", "&amp;H$183,'FE Fret'!$G:$U,15,FALSE)),0,VLOOKUP($B185&amp;"; "&amp;$K$182&amp;", "&amp;H$183,'FE Fret'!$G:$U,15,FALSE))</f>
        <v>0</v>
      </c>
      <c r="AX185" s="565">
        <f>$G185*IF(ISNA(VLOOKUP($B185&amp;"; "&amp;$H$182&amp;", "&amp;I$183,'FE Fret'!$G:$U,15,FALSE)),0,VLOOKUP($B185&amp;"; "&amp;$H$182&amp;", "&amp;I$183,'FE Fret'!$G:$U,15,FALSE))
+$J185*IF(ISNA(VLOOKUP($B185&amp;"; "&amp;$K$182&amp;", "&amp;I$183,'FE Fret'!$G:$U,15,FALSE)),0,VLOOKUP($B185&amp;"; "&amp;$K$182&amp;", "&amp;I$183,'FE Fret'!$G:$U,15,FALSE))</f>
        <v>0</v>
      </c>
      <c r="AY185" s="568"/>
      <c r="AZ185" s="565"/>
      <c r="BA185" s="565"/>
      <c r="BB185" s="565"/>
      <c r="BC185" s="565"/>
      <c r="BD185" s="565"/>
      <c r="BE185" s="565"/>
      <c r="BF185" s="565"/>
      <c r="BH185" s="1065">
        <f>IF($Y185&lt;&gt;"votre valeur :",IF(ISNA(VLOOKUP($Y185,Utilitaires!$N$566:$O$571,2,FALSE)),,VLOOKUP($Y185,Utilitaires!$N$566:$O$571,2,FALSE)),$Z185)</f>
        <v>0</v>
      </c>
      <c r="BI185" s="1124">
        <f>IF(ISNA(SQRT(SUMSQ(VLOOKUP($B185&amp;"; "&amp;$H$182&amp;", "&amp;H$183,'FE Fret'!$G:$U,7,FALSE),$BH185))),0,SQRT(SUMSQ(VLOOKUP($B185&amp;"; "&amp;$H$182&amp;", "&amp;H$183,'FE Fret'!$G:$U,7,FALSE),$BH185)))</f>
        <v>0.7</v>
      </c>
      <c r="BJ185" s="1124">
        <f>IF(ISNA(SQRT(SUMSQ(VLOOKUP($B185&amp;"; "&amp;$H$182&amp;", "&amp;I$183,'FE Fret'!$G:$U,7,FALSE),$BH185))),0,SQRT(SUMSQ(VLOOKUP($B185&amp;"; "&amp;$H$182&amp;", "&amp;I$183,'FE Fret'!$G:$U,7,FALSE),$BH185)))</f>
        <v>0.7</v>
      </c>
      <c r="BK185" s="1124"/>
      <c r="BL185" s="1124">
        <f>IF(ISNA(SQRT(SUMSQ(VLOOKUP($B185&amp;"; "&amp;$K$182&amp;", "&amp;K$183,'FE Fret'!$G:$U,7,FALSE),$BH185))),0,SQRT(SUMSQ(VLOOKUP($B185&amp;"; "&amp;$K$182&amp;", "&amp;K$183,'FE Fret'!$G:$U,7,FALSE),$BH185)))</f>
        <v>0</v>
      </c>
      <c r="BM185" s="1130">
        <f>IF(ISNA(SQRT(SUMSQ(VLOOKUP($B185&amp;"; "&amp;$K$182&amp;", "&amp;L$183,'FE Fret'!$G:$U,7,FALSE),$BH185))),0,SQRT(SUMSQ(VLOOKUP($B185&amp;"; "&amp;$K$182&amp;", "&amp;L$183,'FE Fret'!$G:$U,7,FALSE),$BH185)))</f>
        <v>0</v>
      </c>
      <c r="BN185" s="1130"/>
    </row>
    <row r="186" spans="2:66" ht="12.75" customHeight="1" outlineLevel="2">
      <c r="B186" s="143" t="s">
        <v>4032</v>
      </c>
      <c r="C186" s="144"/>
      <c r="D186" s="212">
        <f>M186+N186</f>
        <v>0</v>
      </c>
      <c r="E186" s="212"/>
      <c r="F186" s="347"/>
      <c r="G186" s="123"/>
      <c r="H186" s="376">
        <f>VLOOKUP($B186&amp;"; "&amp;$H$182&amp;", "&amp;H$183,'FE Fret'!$G:$U,9,FALSE)</f>
        <v>1E-3</v>
      </c>
      <c r="I186" s="376">
        <f>VLOOKUP($B186&amp;"; "&amp;$H$182&amp;", "&amp;I$183,'FE Fret'!$G:$U,9,FALSE)</f>
        <v>3.15E-2</v>
      </c>
      <c r="J186" s="123"/>
      <c r="K186" s="627">
        <f>IF(ISNA(VLOOKUP($B186&amp;"; "&amp;$K$182&amp;", "&amp;K$183,'FE Fret'!$G:$U,9,FALSE)),0,VLOOKUP($B186&amp;"; "&amp;$K$182&amp;", "&amp;K$183,'FE Fret'!$G:$U,9,FALSE))</f>
        <v>0</v>
      </c>
      <c r="L186" s="627">
        <f>IF(ISNA(VLOOKUP($B186&amp;"; "&amp;$K$182&amp;", "&amp;L$183,'FE Fret'!$G:$U,9,FALSE)),0,VLOOKUP($B186&amp;"; "&amp;$K$182&amp;", "&amp;L$183,'FE Fret'!$G:$U,9,FALSE))</f>
        <v>0</v>
      </c>
      <c r="M186" s="356">
        <f>G186*H186+J186*K186</f>
        <v>0</v>
      </c>
      <c r="N186" s="356">
        <f>G186*I186+J186*L186</f>
        <v>0</v>
      </c>
      <c r="O186" s="1286">
        <f>IF(OR(F186=Utilitaires!$G$572,F186=Utilitaires!$G$577),N186,0)</f>
        <v>0</v>
      </c>
      <c r="X186" s="1092">
        <f>IF(AE186=0,AE186,AE186/D186)</f>
        <v>0</v>
      </c>
      <c r="Y186" s="1094"/>
      <c r="Z186" s="820"/>
      <c r="AA186" s="164">
        <f t="shared" si="64"/>
        <v>0</v>
      </c>
      <c r="AB186" s="164">
        <f t="shared" si="64"/>
        <v>0</v>
      </c>
      <c r="AC186" s="164"/>
      <c r="AD186" s="164"/>
      <c r="AE186" s="151">
        <f>SQRT(SUMSQ(AA186:AD186))</f>
        <v>0</v>
      </c>
      <c r="AF186" s="1286">
        <f>O186*X186</f>
        <v>0</v>
      </c>
      <c r="AH186" s="564">
        <f>$G1939*IF(ISNA(VLOOKUP($B1939&amp;"; "&amp;$H$182&amp;", "&amp;H$183,'FE Fret'!$G:$U,10,FALSE)),0,VLOOKUP($B1939&amp;"; "&amp;$H$182&amp;", "&amp;H$183,'FE Fret'!$G:$U,10,FALSE))
+$K1939*IF(ISNA(VLOOKUP($B1939&amp;"; "&amp;$K$182&amp;", "&amp;H$183,'FE Fret'!$G:$U,10,FALSE)),0,VLOOKUP($B1939&amp;"; "&amp;$K$182&amp;", "&amp;H$183,'FE Fret'!$G:$U,10,FALSE))</f>
        <v>0</v>
      </c>
      <c r="AI186" s="565">
        <f>$G1939*IF(ISNA(VLOOKUP($B1939&amp;"; "&amp;$H$182&amp;", "&amp;I$183,'FE Fret'!$G:$U,10,FALSE)),0,VLOOKUP($B1939&amp;"; "&amp;$H$182&amp;", "&amp;I$183,'FE Fret'!$G:$U,10,FALSE))
+$K1939*IF(ISNA(VLOOKUP($B1939&amp;"; "&amp;$K$182&amp;", "&amp;I$183,'FE Fret'!$G:$U,10,FALSE)),0,VLOOKUP($B1939&amp;"; "&amp;$K$182&amp;", "&amp;I$183,'FE Fret'!$G:$U,10,FALSE))</f>
        <v>0</v>
      </c>
      <c r="AJ186" s="565"/>
      <c r="AK186" s="565">
        <f>$G1939*IF(ISNA((VLOOKUP($B1939&amp;"; "&amp;$H$182&amp;", "&amp;H$183,'FE Fret'!$G:$U,12,FALSE)+VLOOKUP($B1939&amp;"; "&amp;$H$182&amp;", "&amp;H$183,'FE Fret'!$G:$U,11,FALSE))),0,(VLOOKUP($B1939&amp;"; "&amp;$H$182&amp;", "&amp;H$183,'FE Fret'!$G:$U,12,FALSE)+VLOOKUP($B1939&amp;"; "&amp;$H$182&amp;", "&amp;H$183,'FE Fret'!$G:$U,11,FALSE)))
+$K1939*IF(ISNA((VLOOKUP($B1939&amp;"; "&amp;$K$182&amp;", "&amp;H$183,'FE Fret'!$G:$U,12,FALSE)+VLOOKUP($B1939&amp;"; "&amp;$K$182&amp;", "&amp;H$183,'FE Fret'!$G:$U,11,FALSE))),0,(VLOOKUP($B1939&amp;"; "&amp;$K$182&amp;", "&amp;H$183,'FE Fret'!$G:$U,12,FALSE)+VLOOKUP($B1939&amp;"; "&amp;$K$182&amp;", "&amp;H$183,'FE Fret'!$G:$U,11,FALSE)))</f>
        <v>0</v>
      </c>
      <c r="AL186" s="565">
        <f>$G1939*IF(ISNA((VLOOKUP($B1939&amp;"; "&amp;$H$182&amp;", "&amp;I$183,'FE Fret'!$G:$U,12,FALSE)+VLOOKUP($B1939&amp;"; "&amp;$H$182&amp;", "&amp;I$183,'FE Fret'!$G:$U,11,FALSE))),0,(VLOOKUP($B1939&amp;"; "&amp;$H$182&amp;", "&amp;I$183,'FE Fret'!$G:$U,12,FALSE)+VLOOKUP($B1939&amp;"; "&amp;$H$182&amp;", "&amp;I$183,'FE Fret'!$G:$U,11,FALSE)))
+$K1939*IF(ISNA((VLOOKUP($B1939&amp;"; "&amp;$K$182&amp;", "&amp;I$183,'FE Fret'!$G:$U,12,FALSE)+VLOOKUP($B1939&amp;"; "&amp;$K$182&amp;", "&amp;I$183,'FE Fret'!$G:$U,11,FALSE))),0,(VLOOKUP($B1939&amp;"; "&amp;$K$182&amp;", "&amp;I$183,'FE Fret'!$G:$U,12,FALSE)+VLOOKUP($B1939&amp;"; "&amp;$K$182&amp;", "&amp;I$183,'FE Fret'!$G:$U,11,FALSE)))</f>
        <v>0</v>
      </c>
      <c r="AM186" s="565"/>
      <c r="AN186" s="565">
        <f>$G1939*IF(ISNA(VLOOKUP($B1939&amp;"; "&amp;$H$182&amp;", "&amp;H$183,'FE Fret'!$G:$U,13,FALSE)),0,VLOOKUP($B1939&amp;"; "&amp;$H$182&amp;", "&amp;H$183,'FE Fret'!$G:$U,13,FALSE))
+$K1939*IF(ISNA(VLOOKUP($B1939&amp;"; "&amp;$K$182&amp;", "&amp;H$183,'FE Fret'!$G:$U,13,FALSE)),0,VLOOKUP($B1939&amp;"; "&amp;$K$182&amp;", "&amp;H$183,'FE Fret'!$G:$U,13,FALSE))</f>
        <v>0</v>
      </c>
      <c r="AO186" s="565">
        <f>$G1939*IF(ISNA(VLOOKUP($B1939&amp;"; "&amp;$H$182&amp;", "&amp;I$183,'FE Fret'!$G:$U,13,FALSE)),0,VLOOKUP($B1939&amp;"; "&amp;$H$182&amp;", "&amp;I$183,'FE Fret'!$G:$U,13,FALSE))
+$K1939*IF(ISNA(VLOOKUP($B1939&amp;"; "&amp;$K$182&amp;", "&amp;I$183,'FE Fret'!$G:$U,13,FALSE)),0,VLOOKUP($B1939&amp;"; "&amp;$K$182&amp;", "&amp;I$183,'FE Fret'!$G:$U,13,FALSE))</f>
        <v>0</v>
      </c>
      <c r="AP186" s="565"/>
      <c r="AQ186" s="565">
        <v>0</v>
      </c>
      <c r="AR186" s="565">
        <v>0</v>
      </c>
      <c r="AS186" s="565"/>
      <c r="AT186" s="566">
        <f>SUM(AH1939,AK1939,AN1939,AQ1939)</f>
        <v>0</v>
      </c>
      <c r="AU186" s="566">
        <f>SUM(AI1939,AL1939,AO1939,AR1939)</f>
        <v>0</v>
      </c>
      <c r="AV186" s="566"/>
      <c r="AW186" s="564">
        <f>$G1939*IF(ISNA(VLOOKUP($B1939&amp;"; "&amp;$H$182&amp;", "&amp;H$183,'FE Fret'!$G:$U,15,FALSE)),0,VLOOKUP($B1939&amp;"; "&amp;$H$182&amp;", "&amp;H$183,'FE Fret'!$G:$U,15,FALSE))
+$K1939*IF(ISNA(VLOOKUP($B1939&amp;"; "&amp;$K$182&amp;", "&amp;H$183,'FE Fret'!$G:$U,15,FALSE)),0,VLOOKUP($B1939&amp;"; "&amp;$K$182&amp;", "&amp;H$183,'FE Fret'!$G:$U,15,FALSE))</f>
        <v>0</v>
      </c>
      <c r="AX186" s="565">
        <f>$G1939*IF(ISNA(VLOOKUP($B1939&amp;"; "&amp;$H$182&amp;", "&amp;I$183,'FE Fret'!$G:$U,15,FALSE)),0,VLOOKUP($B1939&amp;"; "&amp;$H$182&amp;", "&amp;I$183,'FE Fret'!$G:$U,15,FALSE))
+$K1939*IF(ISNA(VLOOKUP($B1939&amp;"; "&amp;$K$182&amp;", "&amp;I$183,'FE Fret'!$G:$U,15,FALSE)),0,VLOOKUP($B1939&amp;"; "&amp;$K$182&amp;", "&amp;I$183,'FE Fret'!$G:$U,15,FALSE))</f>
        <v>0</v>
      </c>
      <c r="AY186" s="568"/>
      <c r="AZ186" s="565"/>
      <c r="BA186" s="565"/>
      <c r="BB186" s="565"/>
      <c r="BC186" s="565"/>
      <c r="BD186" s="565"/>
      <c r="BE186" s="565"/>
      <c r="BF186" s="565"/>
      <c r="BH186" s="1065">
        <f>IF($Y186&lt;&gt;"votre valeur :",IF(ISNA(VLOOKUP($Y186,Utilitaires!$N$566:$O$571,2,FALSE)),,VLOOKUP($Y186,Utilitaires!$N$566:$O$571,2,FALSE)),$Z186)</f>
        <v>0</v>
      </c>
      <c r="BI186" s="1124">
        <f>IF(ISNA(SQRT(SUMSQ(VLOOKUP($B186&amp;"; "&amp;$H$182&amp;", "&amp;H$183,'FE Fret'!$G:$U,7,FALSE),$BH186))),0,SQRT(SUMSQ(VLOOKUP($B186&amp;"; "&amp;$H$182&amp;", "&amp;H$183,'FE Fret'!$G:$U,7,FALSE),$BH186)))</f>
        <v>0.7</v>
      </c>
      <c r="BJ186" s="1124">
        <f>IF(ISNA(SQRT(SUMSQ(VLOOKUP($B186&amp;"; "&amp;$H$182&amp;", "&amp;I$183,'FE Fret'!$G:$U,7,FALSE),$BH186))),0,SQRT(SUMSQ(VLOOKUP($B186&amp;"; "&amp;$H$182&amp;", "&amp;I$183,'FE Fret'!$G:$U,7,FALSE),$BH186)))</f>
        <v>0.7</v>
      </c>
      <c r="BK186" s="1124"/>
      <c r="BL186" s="1124">
        <f>IF(ISNA(SQRT(SUMSQ(VLOOKUP($B186&amp;"; "&amp;$K$182&amp;", "&amp;K$183,'FE Fret'!$G:$U,7,FALSE),$BH186))),0,SQRT(SUMSQ(VLOOKUP($B186&amp;"; "&amp;$K$182&amp;", "&amp;K$183,'FE Fret'!$G:$U,7,FALSE),$BH186)))</f>
        <v>0</v>
      </c>
      <c r="BM186" s="1130">
        <f>IF(ISNA(SQRT(SUMSQ(VLOOKUP($B186&amp;"; "&amp;$K$182&amp;", "&amp;L$183,'FE Fret'!$G:$U,7,FALSE),$BH186))),0,SQRT(SUMSQ(VLOOKUP($B186&amp;"; "&amp;$K$182&amp;", "&amp;L$183,'FE Fret'!$G:$U,7,FALSE),$BH186)))</f>
        <v>0</v>
      </c>
      <c r="BN186" s="1130"/>
    </row>
    <row r="187" spans="2:66" ht="12.75" customHeight="1" outlineLevel="2">
      <c r="B187" s="143"/>
      <c r="C187" s="144"/>
      <c r="D187" s="221"/>
      <c r="E187" s="221"/>
      <c r="F187" s="144"/>
      <c r="G187" s="364"/>
      <c r="H187" s="364"/>
      <c r="I187" s="364"/>
      <c r="J187" s="364"/>
      <c r="K187" s="364"/>
      <c r="L187" s="364"/>
      <c r="M187" s="365"/>
      <c r="N187" s="365"/>
      <c r="O187" s="1286"/>
      <c r="X187" s="143"/>
      <c r="Y187" s="144"/>
      <c r="Z187" s="144"/>
      <c r="AA187" s="155"/>
      <c r="AB187" s="155"/>
      <c r="AC187" s="155"/>
      <c r="AD187" s="155"/>
      <c r="AE187" s="215"/>
      <c r="AF187" s="1336"/>
      <c r="AH187" s="564"/>
      <c r="AI187" s="565"/>
      <c r="AJ187" s="565"/>
      <c r="AK187" s="565"/>
      <c r="AL187" s="565"/>
      <c r="AM187" s="565"/>
      <c r="AN187" s="565"/>
      <c r="AO187" s="565"/>
      <c r="AP187" s="565"/>
      <c r="AQ187" s="565"/>
      <c r="AR187" s="565"/>
      <c r="AS187" s="565"/>
      <c r="AT187" s="566"/>
      <c r="AU187" s="566"/>
      <c r="AV187" s="567"/>
      <c r="AW187" s="565"/>
      <c r="AX187" s="565"/>
      <c r="AY187" s="568"/>
      <c r="AZ187" s="565"/>
      <c r="BA187" s="565"/>
      <c r="BB187" s="565"/>
      <c r="BC187" s="565"/>
      <c r="BD187" s="565"/>
      <c r="BE187" s="565"/>
      <c r="BF187" s="565"/>
      <c r="BH187" s="1087"/>
      <c r="BI187" s="1075"/>
      <c r="BJ187" s="1131"/>
      <c r="BK187" s="1126"/>
      <c r="BL187" s="1075"/>
      <c r="BM187" s="1131"/>
      <c r="BN187" s="1153"/>
    </row>
    <row r="188" spans="2:66" ht="12.75" customHeight="1" outlineLevel="2">
      <c r="B188" s="196" t="s">
        <v>348</v>
      </c>
      <c r="C188" s="197"/>
      <c r="D188" s="214">
        <f>SUM(D184:D187)</f>
        <v>0</v>
      </c>
      <c r="E188" s="214"/>
      <c r="F188" s="197"/>
      <c r="G188" s="197"/>
      <c r="H188" s="373"/>
      <c r="I188" s="373"/>
      <c r="J188" s="197"/>
      <c r="K188" s="373"/>
      <c r="L188" s="373"/>
      <c r="M188" s="374">
        <f>SUM(M184:M187)</f>
        <v>0</v>
      </c>
      <c r="N188" s="202">
        <f>SUM(N184:N187)</f>
        <v>0</v>
      </c>
      <c r="O188" s="1311">
        <f>SUM(O184:O187)</f>
        <v>0</v>
      </c>
      <c r="X188" s="1204">
        <f>IF(AE188=0,AE188,AE188/D188)</f>
        <v>0</v>
      </c>
      <c r="Y188" s="199"/>
      <c r="Z188" s="199"/>
      <c r="AA188" s="203">
        <f>SQRT(SUMSQ(AA184:AA187))</f>
        <v>0</v>
      </c>
      <c r="AB188" s="203">
        <f>SQRT(SUMSQ(AB184:AB187))</f>
        <v>0</v>
      </c>
      <c r="AC188" s="203"/>
      <c r="AD188" s="203"/>
      <c r="AE188" s="202">
        <f>SQRT(SUMSQ(AE184:AE187))</f>
        <v>0</v>
      </c>
      <c r="AF188" s="340">
        <f>SQRT(SUMSQ(AF184:AF187))</f>
        <v>0</v>
      </c>
      <c r="AH188" s="571">
        <f>SUM(AH184:AH187)</f>
        <v>0</v>
      </c>
      <c r="AI188" s="572">
        <f>SUM(AI184:AI187)</f>
        <v>0</v>
      </c>
      <c r="AJ188" s="572"/>
      <c r="AK188" s="572">
        <f>SUM(AK184:AK187)</f>
        <v>0</v>
      </c>
      <c r="AL188" s="572">
        <f>SUM(AL184:AL187)</f>
        <v>0</v>
      </c>
      <c r="AM188" s="572">
        <f>SUM(AM184:AM187)</f>
        <v>0</v>
      </c>
      <c r="AN188" s="572">
        <f>SUM(AN184:AN187)</f>
        <v>0</v>
      </c>
      <c r="AO188" s="572">
        <f>SUM(AO184:AO187)</f>
        <v>0</v>
      </c>
      <c r="AP188" s="572"/>
      <c r="AQ188" s="572">
        <f>SUM(AQ184:AQ187)</f>
        <v>0</v>
      </c>
      <c r="AR188" s="572">
        <f>SUM(AR184:AR187)</f>
        <v>0</v>
      </c>
      <c r="AS188" s="572"/>
      <c r="AT188" s="573">
        <f>SUM(AT184:AT187)</f>
        <v>0</v>
      </c>
      <c r="AU188" s="573">
        <f>SUM(AU184:AU187)</f>
        <v>0</v>
      </c>
      <c r="AV188" s="574"/>
      <c r="AW188" s="1082">
        <f>SUM(AW184:AW187)</f>
        <v>0</v>
      </c>
      <c r="AX188" s="572">
        <f>SUM(AX184:AX187)</f>
        <v>0</v>
      </c>
      <c r="AY188" s="575"/>
      <c r="AZ188" s="2447"/>
      <c r="BA188" s="2447"/>
      <c r="BB188" s="2447"/>
      <c r="BC188" s="2447"/>
      <c r="BD188" s="2447"/>
      <c r="BE188" s="2447"/>
      <c r="BF188" s="2447"/>
    </row>
    <row r="189" spans="2:66" ht="12.75" customHeight="1" outlineLevel="2">
      <c r="B189" s="260"/>
      <c r="C189" s="260"/>
      <c r="D189" s="260"/>
      <c r="E189" s="260"/>
      <c r="F189" s="260"/>
      <c r="G189" s="260"/>
      <c r="H189" s="260"/>
      <c r="I189" s="260"/>
      <c r="J189" s="260"/>
      <c r="K189" s="260"/>
      <c r="L189" s="260"/>
      <c r="M189" s="260"/>
      <c r="N189" s="260"/>
      <c r="O189" s="260"/>
      <c r="P189" s="260"/>
      <c r="Q189" s="260"/>
      <c r="V189" s="116"/>
    </row>
    <row r="190" spans="2:66" ht="12.75" customHeight="1" outlineLevel="1" collapsed="1">
      <c r="B190" s="260"/>
      <c r="C190" s="260"/>
      <c r="D190" s="260"/>
      <c r="E190" s="260"/>
      <c r="F190" s="260"/>
      <c r="G190" s="260"/>
      <c r="H190" s="260"/>
      <c r="I190" s="260"/>
      <c r="J190" s="260"/>
      <c r="K190" s="260"/>
      <c r="L190" s="260"/>
      <c r="M190" s="260"/>
      <c r="N190" s="260"/>
      <c r="O190" s="260"/>
      <c r="P190" s="260"/>
      <c r="Q190" s="260"/>
      <c r="V190" s="116"/>
    </row>
    <row r="191" spans="2:66" ht="12.75" customHeight="1">
      <c r="B191" s="260"/>
      <c r="C191" s="260"/>
      <c r="D191" s="260"/>
      <c r="E191" s="260"/>
      <c r="F191" s="260"/>
      <c r="G191" s="260"/>
      <c r="H191" s="260"/>
      <c r="I191" s="260"/>
      <c r="J191" s="260"/>
      <c r="K191" s="260"/>
      <c r="L191" s="260"/>
      <c r="M191" s="260"/>
      <c r="N191" s="260"/>
      <c r="O191" s="260"/>
      <c r="P191" s="260"/>
      <c r="Q191" s="260"/>
      <c r="V191" s="116"/>
    </row>
    <row r="192" spans="2:66" ht="12.75" customHeight="1" collapsed="1">
      <c r="B192" s="2652" t="s">
        <v>2512</v>
      </c>
      <c r="C192" s="2653"/>
      <c r="D192" s="2653"/>
      <c r="E192" s="2653"/>
      <c r="F192" s="2653"/>
      <c r="G192" s="2653"/>
      <c r="H192" s="2653"/>
      <c r="I192" s="2653"/>
      <c r="J192" s="2653"/>
      <c r="K192" s="2653"/>
      <c r="L192" s="2653"/>
      <c r="M192" s="2653"/>
      <c r="N192" s="2653"/>
      <c r="O192" s="2654"/>
      <c r="P192" s="260"/>
      <c r="Q192" s="260"/>
      <c r="V192" s="116"/>
    </row>
    <row r="193" spans="1:68" ht="12.75" hidden="1" customHeight="1" outlineLevel="1">
      <c r="B193" s="260"/>
      <c r="C193" s="260"/>
      <c r="D193" s="260"/>
      <c r="E193" s="260"/>
      <c r="F193" s="260"/>
      <c r="G193" s="260"/>
      <c r="H193" s="260"/>
      <c r="I193" s="260"/>
      <c r="J193" s="260"/>
      <c r="K193" s="260"/>
      <c r="L193" s="260"/>
      <c r="M193" s="260"/>
      <c r="N193" s="260"/>
      <c r="O193" s="260"/>
      <c r="P193" s="260"/>
      <c r="Q193" s="260"/>
      <c r="V193" s="116"/>
    </row>
    <row r="194" spans="1:68" ht="15.75" hidden="1" customHeight="1" outlineLevel="1" collapsed="1">
      <c r="B194" s="2842" t="s">
        <v>2325</v>
      </c>
      <c r="C194" s="2843"/>
      <c r="D194" s="2843"/>
      <c r="E194" s="2843"/>
      <c r="F194" s="2843"/>
      <c r="G194" s="2843"/>
      <c r="H194" s="2843"/>
      <c r="I194" s="2843"/>
      <c r="J194" s="2843"/>
      <c r="K194" s="2843"/>
      <c r="L194" s="2843"/>
      <c r="M194" s="2843"/>
      <c r="N194" s="2843"/>
      <c r="O194" s="2844"/>
      <c r="P194" s="109"/>
      <c r="Q194" s="130"/>
      <c r="R194" s="130"/>
      <c r="S194" s="130"/>
      <c r="T194" s="130"/>
      <c r="U194" s="130"/>
      <c r="V194" s="130"/>
      <c r="W194" s="130"/>
      <c r="X194" s="130"/>
      <c r="Y194" s="130"/>
      <c r="Z194" s="130"/>
      <c r="AA194" s="130"/>
      <c r="AB194" s="130"/>
      <c r="AC194" s="130"/>
      <c r="AD194" s="130"/>
      <c r="AE194" s="130"/>
      <c r="AF194" s="130"/>
      <c r="AT194" s="588"/>
      <c r="AU194" s="588"/>
      <c r="AV194" s="588"/>
      <c r="AW194" s="588"/>
      <c r="AX194" s="588"/>
      <c r="AY194" s="588"/>
      <c r="AZ194" s="588"/>
      <c r="BA194" s="588"/>
      <c r="BB194" s="588"/>
      <c r="BC194" s="588"/>
      <c r="BD194" s="588"/>
      <c r="BE194" s="588"/>
      <c r="BF194" s="588"/>
      <c r="BH194" s="116"/>
      <c r="BI194" s="116"/>
      <c r="BJ194" s="116"/>
      <c r="BK194" s="116"/>
    </row>
    <row r="195" spans="1:68" ht="12.75" hidden="1" customHeight="1" outlineLevel="2">
      <c r="D195" s="256"/>
      <c r="F195" s="256"/>
      <c r="G195" s="256"/>
      <c r="H195" s="256"/>
      <c r="I195" s="256"/>
      <c r="J195" s="256"/>
      <c r="K195" s="256"/>
      <c r="AH195" s="444"/>
      <c r="AI195" s="588"/>
      <c r="AJ195" s="588"/>
      <c r="AK195" s="588"/>
      <c r="AL195" s="588"/>
      <c r="AM195" s="588"/>
      <c r="AN195" s="588"/>
      <c r="AO195" s="588"/>
      <c r="AP195" s="588"/>
      <c r="AQ195" s="588"/>
      <c r="AR195" s="588"/>
      <c r="AU195" s="588"/>
      <c r="AV195" s="588"/>
      <c r="AW195" s="588"/>
      <c r="AX195" s="588"/>
      <c r="AY195" s="588"/>
      <c r="AZ195" s="588"/>
      <c r="BA195" s="588"/>
      <c r="BB195" s="588"/>
      <c r="BC195" s="588"/>
      <c r="BD195" s="588"/>
      <c r="BE195" s="588"/>
      <c r="BF195" s="588"/>
    </row>
    <row r="196" spans="1:68" s="116" customFormat="1" ht="12.75" hidden="1" customHeight="1" outlineLevel="2">
      <c r="A196" s="114"/>
      <c r="B196" s="1091" t="s">
        <v>793</v>
      </c>
      <c r="C196" s="140"/>
      <c r="D196" s="140"/>
      <c r="E196" s="140"/>
      <c r="F196" s="140"/>
      <c r="G196" s="140"/>
      <c r="H196" s="140"/>
      <c r="I196" s="140"/>
      <c r="J196" s="140"/>
      <c r="K196" s="140"/>
      <c r="L196" s="140"/>
      <c r="M196" s="140"/>
      <c r="N196" s="140"/>
      <c r="O196" s="140"/>
      <c r="P196" s="140"/>
      <c r="Q196" s="140"/>
      <c r="R196" s="140"/>
      <c r="S196" s="140"/>
      <c r="T196" s="140"/>
      <c r="U196" s="1341"/>
      <c r="X196" s="2636" t="s">
        <v>366</v>
      </c>
      <c r="Y196" s="2637"/>
      <c r="Z196" s="2637"/>
      <c r="AA196" s="2637"/>
      <c r="AB196" s="2637"/>
      <c r="AC196" s="2637"/>
      <c r="AD196" s="2637"/>
      <c r="AE196" s="2637"/>
      <c r="AF196" s="2638"/>
      <c r="AG196" s="114"/>
      <c r="AH196" s="2639" t="s">
        <v>441</v>
      </c>
      <c r="AI196" s="2640"/>
      <c r="AJ196" s="2640"/>
      <c r="AK196" s="2640"/>
      <c r="AL196" s="2640"/>
      <c r="AM196" s="2640"/>
      <c r="AN196" s="2640"/>
      <c r="AO196" s="2640"/>
      <c r="AP196" s="2640"/>
      <c r="AQ196" s="2640"/>
      <c r="AR196" s="2640"/>
      <c r="AS196" s="2640"/>
      <c r="AT196" s="2640"/>
      <c r="AU196" s="2640"/>
      <c r="AV196" s="2640"/>
      <c r="AW196" s="2640"/>
      <c r="AX196" s="2640"/>
      <c r="AY196" s="2641"/>
      <c r="AZ196" s="2418"/>
      <c r="BA196" s="2418"/>
      <c r="BB196" s="2418"/>
      <c r="BC196" s="2418"/>
      <c r="BD196" s="2418"/>
      <c r="BE196" s="2418"/>
      <c r="BF196" s="2418"/>
      <c r="BH196" s="109"/>
      <c r="BI196" s="109"/>
      <c r="BJ196" s="109"/>
      <c r="BK196" s="109"/>
    </row>
    <row r="197" spans="1:68" ht="12.75" hidden="1" customHeight="1" outlineLevel="2">
      <c r="B197" s="143"/>
      <c r="C197" s="144"/>
      <c r="D197" s="1334" t="s">
        <v>308</v>
      </c>
      <c r="E197" s="1663"/>
      <c r="F197" s="144"/>
      <c r="G197" s="144"/>
      <c r="H197" s="144"/>
      <c r="I197" s="144"/>
      <c r="J197" s="144"/>
      <c r="K197" s="144"/>
      <c r="L197" s="144"/>
      <c r="M197" s="144"/>
      <c r="N197" s="144"/>
      <c r="O197" s="144"/>
      <c r="P197" s="144"/>
      <c r="Q197" s="144"/>
      <c r="R197" s="144"/>
      <c r="S197" s="2628"/>
      <c r="T197" s="2627"/>
      <c r="U197" s="153" t="s">
        <v>275</v>
      </c>
      <c r="X197" s="1170"/>
      <c r="Y197" s="1323"/>
      <c r="Z197" s="1323"/>
      <c r="AA197" s="141"/>
      <c r="AB197" s="141"/>
      <c r="AC197" s="141"/>
      <c r="AD197" s="141"/>
      <c r="AE197" s="141"/>
      <c r="AF197" s="1320" t="s">
        <v>275</v>
      </c>
      <c r="AG197" s="127"/>
      <c r="AH197" s="2642" t="s">
        <v>444</v>
      </c>
      <c r="AI197" s="2643"/>
      <c r="AJ197" s="2643"/>
      <c r="AK197" s="2643"/>
      <c r="AL197" s="2643"/>
      <c r="AM197" s="2643"/>
      <c r="AN197" s="2643"/>
      <c r="AO197" s="2643"/>
      <c r="AP197" s="2643"/>
      <c r="AQ197" s="2643"/>
      <c r="AR197" s="2643"/>
      <c r="AS197" s="2643"/>
      <c r="AT197" s="2643" t="s">
        <v>444</v>
      </c>
      <c r="AU197" s="2643"/>
      <c r="AV197" s="628"/>
      <c r="AW197" s="624"/>
      <c r="AX197" s="624"/>
      <c r="AY197" s="1291"/>
      <c r="AZ197" s="2286"/>
      <c r="BA197" s="2286"/>
      <c r="BB197" s="2286"/>
      <c r="BC197" s="2286"/>
      <c r="BD197" s="2286"/>
      <c r="BE197" s="2286"/>
      <c r="BF197" s="2286"/>
      <c r="BH197" s="2616" t="s">
        <v>1648</v>
      </c>
      <c r="BI197" s="2617"/>
      <c r="BJ197" s="2617"/>
      <c r="BK197" s="2617"/>
      <c r="BL197" s="2617"/>
      <c r="BM197" s="2617"/>
      <c r="BN197" s="2617"/>
      <c r="BO197" s="2617"/>
      <c r="BP197" s="2618"/>
    </row>
    <row r="198" spans="1:68" s="109" customFormat="1" ht="12.75" hidden="1" customHeight="1" outlineLevel="2">
      <c r="B198" s="1316" t="s">
        <v>2248</v>
      </c>
      <c r="C198" s="1317"/>
      <c r="D198" s="1317" t="s">
        <v>409</v>
      </c>
      <c r="E198" s="1656"/>
      <c r="F198" s="1320" t="s">
        <v>452</v>
      </c>
      <c r="G198" s="1320" t="s">
        <v>343</v>
      </c>
      <c r="H198" s="2626" t="s">
        <v>1585</v>
      </c>
      <c r="I198" s="2627"/>
      <c r="J198" s="1320" t="s">
        <v>343</v>
      </c>
      <c r="K198" s="2626" t="s">
        <v>1573</v>
      </c>
      <c r="L198" s="2627"/>
      <c r="M198" s="1320" t="s">
        <v>343</v>
      </c>
      <c r="N198" s="2626" t="s">
        <v>1575</v>
      </c>
      <c r="O198" s="2627"/>
      <c r="P198" s="1320" t="s">
        <v>343</v>
      </c>
      <c r="Q198" s="2626" t="s">
        <v>1574</v>
      </c>
      <c r="R198" s="2628"/>
      <c r="S198" s="1334" t="s">
        <v>444</v>
      </c>
      <c r="T198" s="1334" t="s">
        <v>444</v>
      </c>
      <c r="U198" s="153" t="s">
        <v>276</v>
      </c>
      <c r="W198" s="114"/>
      <c r="X198" s="1316" t="s">
        <v>316</v>
      </c>
      <c r="Y198" s="2629" t="s">
        <v>316</v>
      </c>
      <c r="Z198" s="2630"/>
      <c r="AA198" s="1656" t="s">
        <v>444</v>
      </c>
      <c r="AB198" s="1656" t="s">
        <v>444</v>
      </c>
      <c r="AC198" s="2419"/>
      <c r="AD198" s="1334"/>
      <c r="AE198" s="1334" t="s">
        <v>444</v>
      </c>
      <c r="AF198" s="153" t="s">
        <v>276</v>
      </c>
      <c r="AG198" s="127"/>
      <c r="AH198" s="2631" t="s">
        <v>211</v>
      </c>
      <c r="AI198" s="2632"/>
      <c r="AJ198" s="2632"/>
      <c r="AK198" s="2632" t="s">
        <v>442</v>
      </c>
      <c r="AL198" s="2632"/>
      <c r="AM198" s="2632"/>
      <c r="AN198" s="2632" t="s">
        <v>267</v>
      </c>
      <c r="AO198" s="2632"/>
      <c r="AP198" s="2632"/>
      <c r="AQ198" s="2632" t="s">
        <v>443</v>
      </c>
      <c r="AR198" s="2632"/>
      <c r="AS198" s="2632"/>
      <c r="AT198" s="2648" t="s">
        <v>327</v>
      </c>
      <c r="AU198" s="2648"/>
      <c r="AV198" s="568"/>
      <c r="AW198" s="2631" t="s">
        <v>636</v>
      </c>
      <c r="AX198" s="2632"/>
      <c r="AY198" s="568"/>
      <c r="AZ198" s="565"/>
      <c r="BA198" s="565"/>
      <c r="BB198" s="565"/>
      <c r="BC198" s="565"/>
      <c r="BD198" s="565"/>
      <c r="BE198" s="565"/>
      <c r="BF198" s="565"/>
      <c r="BH198" s="2837" t="s">
        <v>1646</v>
      </c>
      <c r="BI198" s="2614" t="s">
        <v>1644</v>
      </c>
      <c r="BJ198" s="2645"/>
      <c r="BK198" s="2645"/>
      <c r="BL198" s="2615"/>
      <c r="BM198" s="2614" t="s">
        <v>1645</v>
      </c>
      <c r="BN198" s="2645"/>
      <c r="BO198" s="2645"/>
      <c r="BP198" s="2615"/>
    </row>
    <row r="199" spans="1:68" s="109" customFormat="1" ht="12.75" hidden="1" customHeight="1" outlineLevel="2">
      <c r="B199" s="1316"/>
      <c r="C199" s="1317"/>
      <c r="D199" s="1317" t="s">
        <v>444</v>
      </c>
      <c r="E199" s="1656"/>
      <c r="F199" s="1321" t="s">
        <v>445</v>
      </c>
      <c r="G199" s="153" t="s">
        <v>287</v>
      </c>
      <c r="H199" s="1322" t="s">
        <v>411</v>
      </c>
      <c r="I199" s="1322" t="s">
        <v>257</v>
      </c>
      <c r="J199" s="153" t="s">
        <v>790</v>
      </c>
      <c r="K199" s="1322" t="s">
        <v>411</v>
      </c>
      <c r="L199" s="1322" t="s">
        <v>257</v>
      </c>
      <c r="M199" s="153" t="s">
        <v>791</v>
      </c>
      <c r="N199" s="1322" t="s">
        <v>411</v>
      </c>
      <c r="O199" s="1322" t="s">
        <v>257</v>
      </c>
      <c r="P199" s="153" t="s">
        <v>213</v>
      </c>
      <c r="Q199" s="1322" t="s">
        <v>411</v>
      </c>
      <c r="R199" s="1322" t="s">
        <v>257</v>
      </c>
      <c r="S199" s="1318" t="s">
        <v>411</v>
      </c>
      <c r="T199" s="1318" t="s">
        <v>257</v>
      </c>
      <c r="U199" s="153" t="s">
        <v>444</v>
      </c>
      <c r="W199" s="114"/>
      <c r="X199" s="1316" t="s">
        <v>1649</v>
      </c>
      <c r="Y199" s="2646" t="s">
        <v>1650</v>
      </c>
      <c r="Z199" s="2647"/>
      <c r="AA199" s="1662" t="s">
        <v>411</v>
      </c>
      <c r="AB199" s="1662" t="s">
        <v>257</v>
      </c>
      <c r="AC199" s="1662"/>
      <c r="AD199" s="166"/>
      <c r="AE199" s="166" t="s">
        <v>327</v>
      </c>
      <c r="AF199" s="153" t="s">
        <v>444</v>
      </c>
      <c r="AG199" s="116"/>
      <c r="AH199" s="1331" t="s">
        <v>411</v>
      </c>
      <c r="AI199" s="1332" t="s">
        <v>257</v>
      </c>
      <c r="AJ199" s="1332"/>
      <c r="AK199" s="1332" t="s">
        <v>411</v>
      </c>
      <c r="AL199" s="1332" t="s">
        <v>257</v>
      </c>
      <c r="AM199" s="1332"/>
      <c r="AN199" s="1332" t="s">
        <v>411</v>
      </c>
      <c r="AO199" s="1332" t="s">
        <v>257</v>
      </c>
      <c r="AP199" s="1332"/>
      <c r="AQ199" s="1332" t="s">
        <v>411</v>
      </c>
      <c r="AR199" s="1332" t="s">
        <v>257</v>
      </c>
      <c r="AS199" s="1332"/>
      <c r="AT199" s="581" t="s">
        <v>411</v>
      </c>
      <c r="AU199" s="581" t="s">
        <v>257</v>
      </c>
      <c r="AV199" s="582"/>
      <c r="AW199" s="1332" t="s">
        <v>411</v>
      </c>
      <c r="AX199" s="1332" t="s">
        <v>257</v>
      </c>
      <c r="AY199" s="1333"/>
      <c r="AZ199" s="2286"/>
      <c r="BA199" s="2286"/>
      <c r="BB199" s="2286"/>
      <c r="BC199" s="2286"/>
      <c r="BD199" s="2286"/>
      <c r="BE199" s="2286"/>
      <c r="BF199" s="2286"/>
      <c r="BH199" s="2838"/>
      <c r="BI199" s="1328" t="s">
        <v>199</v>
      </c>
      <c r="BJ199" s="1330" t="s">
        <v>309</v>
      </c>
      <c r="BK199" s="1330" t="s">
        <v>272</v>
      </c>
      <c r="BL199" s="1329" t="s">
        <v>2254</v>
      </c>
      <c r="BM199" s="1328" t="s">
        <v>199</v>
      </c>
      <c r="BN199" s="1330" t="s">
        <v>309</v>
      </c>
      <c r="BO199" s="1330" t="s">
        <v>272</v>
      </c>
      <c r="BP199" s="1329" t="s">
        <v>2254</v>
      </c>
    </row>
    <row r="200" spans="1:68" hidden="1" outlineLevel="2">
      <c r="B200" s="143" t="s">
        <v>2250</v>
      </c>
      <c r="C200" s="144"/>
      <c r="D200" s="212">
        <f t="shared" ref="D200:D205" si="65">S200+T200</f>
        <v>0</v>
      </c>
      <c r="E200" s="212"/>
      <c r="F200" s="117"/>
      <c r="G200" s="117"/>
      <c r="H200" s="335">
        <f>VLOOKUP($B200&amp;"; "&amp;$H$198&amp;", "&amp;H$199,'FE Fret'!$G:$U,9,FALSE)</f>
        <v>991</v>
      </c>
      <c r="I200" s="335">
        <f>VLOOKUP($B200&amp;"; "&amp;$H$198&amp;", "&amp;I$199,'FE Fret'!$G:$U,9,FALSE)</f>
        <v>490</v>
      </c>
      <c r="J200" s="117"/>
      <c r="K200" s="335">
        <f>VLOOKUP($B200&amp;"; "&amp;$K$198&amp;", "&amp;K$199,'FE Fret'!$G:$U,9,FALSE)</f>
        <v>0.11600000000000001</v>
      </c>
      <c r="L200" s="335">
        <f>VLOOKUP($B200&amp;"; "&amp;$K$198&amp;", "&amp;L$199,'FE Fret'!$G:$U,9,FALSE)</f>
        <v>5.8000000000000003E-2</v>
      </c>
      <c r="M200" s="117"/>
      <c r="N200" s="335">
        <f>VLOOKUP($B200&amp;"; "&amp;$N$198&amp;", "&amp;N$199,'FE Fret'!$G:$U,9,FALSE)</f>
        <v>1355</v>
      </c>
      <c r="O200" s="335">
        <f>VLOOKUP($B200&amp;"; "&amp;$N$198&amp;", "&amp;O$199,'FE Fret'!$G:$U,9,FALSE)</f>
        <v>676</v>
      </c>
      <c r="P200" s="117"/>
      <c r="Q200" s="335">
        <f>VLOOKUP($B200&amp;"; "&amp;$Q$198&amp;", "&amp;Q$199,'FE Fret'!$G:$U,9,FALSE)</f>
        <v>0.74099999999999999</v>
      </c>
      <c r="R200" s="335">
        <f>VLOOKUP($B200&amp;"; "&amp;$Q$198&amp;", "&amp;R$199,'FE Fret'!$G:$U,9,FALSE)</f>
        <v>0.36599999999999999</v>
      </c>
      <c r="S200" s="356">
        <f t="shared" ref="S200:T205" si="66">IF(ISNA($G200*H200),0,$G200*H200)+IF(ISNA($J200*K200),0,$J200*K200)+IF(ISNA($M200*N200),0,$M200*N200)+IF(ISNA($P200*Q200),0,$P200*Q200)</f>
        <v>0</v>
      </c>
      <c r="T200" s="356">
        <f t="shared" si="66"/>
        <v>0</v>
      </c>
      <c r="U200" s="1286">
        <f>IF(OR(F200=Utilitaires!$I$572,F200=Utilitaires!$I$577),T200,0)</f>
        <v>0</v>
      </c>
      <c r="X200" s="1092">
        <f t="shared" ref="X200:X205" si="67">IF(AE200=0,AE200,AE200/D200)</f>
        <v>0</v>
      </c>
      <c r="Y200" s="343"/>
      <c r="Z200" s="820"/>
      <c r="AA200" s="164">
        <f t="shared" ref="AA200:AA205" si="68">SQRT(SUMSQ(IF(ISNA($G200*H200*BI200),0,$G200*H200*BI200),IF(ISNA($J200*K200*BJ200),0,$J200*K200*BJ200),IF(ISNA($M200*N200*BK200),0,$M200*N200*BK200),IF(ISNA($P200*Q200*BL200),0,$P200*Q200*BL200)))</f>
        <v>0</v>
      </c>
      <c r="AB200" s="164">
        <f t="shared" ref="AB200:AB205" si="69">SQRT(SUMSQ(IF(ISNA($G200*I200*BM200),0,$G200*I200*BM200),IF(ISNA($J200*L200*BN200),0,$J200*L200*BN200),IF(ISNA($M200*O200*BO200),0,$M200*O200*BO200),IF(ISNA($P200*R200*BP200),0,$P200*R200*BP200)))</f>
        <v>0</v>
      </c>
      <c r="AC200" s="164"/>
      <c r="AD200" s="151"/>
      <c r="AE200" s="151">
        <f t="shared" ref="AE200:AE205" si="70">SQRT(SUMSQ(AA200,AB200))</f>
        <v>0</v>
      </c>
      <c r="AF200" s="1286">
        <f t="shared" ref="AF200:AF205" si="71">P200*W200</f>
        <v>0</v>
      </c>
      <c r="AG200" s="116"/>
      <c r="AH200" s="564">
        <f>$G200*IF(ISNA(VLOOKUP($B200&amp;"; "&amp;$H$198&amp;", "&amp;H$199,'FE Fret'!$G:$U,10,FALSE)),0,VLOOKUP($B200&amp;"; "&amp;$H$198&amp;", "&amp;H$199,'FE Fret'!$G:$U,10,FALSE))
+$J200*IF(ISNA(VLOOKUP($B200&amp;"; "&amp;$K$198&amp;", "&amp;H$199,'FE Fret'!$G:$U,10,FALSE)),0,VLOOKUP($B200&amp;"; "&amp;$K$198&amp;", "&amp;H$199,'FE Fret'!$G:$U,10,FALSE))
+$M200*IF(ISNA(VLOOKUP($B200&amp;"; "&amp;$N$198&amp;", "&amp;H$199,'FE Fret'!$G:$U,10,FALSE)),0,VLOOKUP($B200&amp;"; "&amp;$N$198&amp;", "&amp;H$199,'FE Fret'!$G:$U,10,FALSE))
+$P200*IF(ISNA(VLOOKUP($B200&amp;"; "&amp;$Q$198&amp;", "&amp;H$199,'FE Fret'!$G:$U,10,FALSE)),0,VLOOKUP($B200&amp;"; "&amp;$Q$198&amp;", "&amp;H$199,'FE Fret'!$G:$U,10,FALSE))</f>
        <v>0</v>
      </c>
      <c r="AI200" s="565">
        <f>$G200*IF(ISNA(VLOOKUP($B200&amp;"; "&amp;$H$198&amp;", "&amp;I$199,'FE Fret'!$G:$U,10,FALSE)),0,VLOOKUP($B200&amp;"; "&amp;$H$198&amp;", "&amp;I$199,'FE Fret'!$G:$U,10,FALSE))
+$J200*IF(ISNA(VLOOKUP($B200&amp;"; "&amp;$K$198&amp;", "&amp;I$199,'FE Fret'!$G:$U,10,FALSE)),0,VLOOKUP($B200&amp;"; "&amp;$K$198&amp;", "&amp;I$199,'FE Fret'!$G:$U,10,FALSE))
+$M200*IF(ISNA(VLOOKUP($B200&amp;"; "&amp;$N$198&amp;", "&amp;I$199,'FE Fret'!$G:$U,10,FALSE)),0,VLOOKUP($B200&amp;"; "&amp;$N$198&amp;", "&amp;I$199,'FE Fret'!$G:$U,10,FALSE))
+$P200*IF(ISNA(VLOOKUP($B200&amp;"; "&amp;$Q$198&amp;", "&amp;I$199,'FE Fret'!$G:$U,10,FALSE)),0,VLOOKUP($B200&amp;"; "&amp;$Q$198&amp;", "&amp;I$199,'FE Fret'!$G:$U,10,FALSE))</f>
        <v>0</v>
      </c>
      <c r="AJ200" s="565"/>
      <c r="AK200" s="565">
        <f>$G200*IF(ISNA((VLOOKUP($B200&amp;"; "&amp;$H$198&amp;", "&amp;H$199,'FE Fret'!$G:$U,12,FALSE)+VLOOKUP($B200&amp;"; "&amp;$H$198&amp;", "&amp;H$199,'FE Fret'!$G:$U,11,FALSE))),0,(VLOOKUP($B200&amp;"; "&amp;$H$198&amp;", "&amp;H$199,'FE Fret'!$G:$U,12,FALSE)+VLOOKUP($B200&amp;"; "&amp;$H$198&amp;", "&amp;H$199,'FE Fret'!$G:$U,11,FALSE)))
+$J200*IF(ISNA((VLOOKUP($B200&amp;"; "&amp;$K$198&amp;", "&amp;H$199,'FE Fret'!$G:$U,12,FALSE)+VLOOKUP($B200&amp;"; "&amp;$K$198&amp;", "&amp;H$199,'FE Fret'!$G:$U,11,FALSE))),0,(VLOOKUP($B200&amp;"; "&amp;$K$198&amp;", "&amp;H$199,'FE Fret'!$G:$U,12,FALSE)+VLOOKUP($B200&amp;"; "&amp;$K$198&amp;", "&amp;H$199,'FE Fret'!$G:$U,11,FALSE)))
+$M200*IF(ISNA((VLOOKUP($B200&amp;"; "&amp;$N$198&amp;", "&amp;H$199,'FE Fret'!$G:$U,12,FALSE)+VLOOKUP($B200&amp;"; "&amp;$N$198&amp;", "&amp;H$199,'FE Fret'!$G:$U,11,FALSE))),0,(VLOOKUP($B200&amp;"; "&amp;$N$198&amp;", "&amp;H$199,'FE Fret'!$G:$U,12,FALSE)+VLOOKUP($B200&amp;"; "&amp;$N$198&amp;", "&amp;H$199,'FE Fret'!$G:$U,11,FALSE)))
+$P200*IF(ISNA((VLOOKUP($B200&amp;"; "&amp;$Q$198&amp;", "&amp;H$199,'FE Fret'!$G:$U,12,FALSE)+VLOOKUP($B200&amp;"; "&amp;$Q$198&amp;", "&amp;H$199,'FE Fret'!$G:$U,11,FALSE))),0,(VLOOKUP($B200&amp;"; "&amp;$Q$198&amp;", "&amp;H$199,'FE Fret'!$G:$U,12,FALSE)+VLOOKUP($B200&amp;"; "&amp;$Q$198&amp;", "&amp;H$199,'FE Fret'!$G:$U,11,FALSE)))</f>
        <v>0</v>
      </c>
      <c r="AL200" s="565">
        <f>$G200*IF(ISNA((VLOOKUP($B200&amp;"; "&amp;$H$198&amp;", "&amp;I$199,'FE Fret'!$G:$U,12,FALSE)+VLOOKUP($B200&amp;"; "&amp;$H$198&amp;", "&amp;I$199,'FE Fret'!$G:$U,11,FALSE))),0,(VLOOKUP($B200&amp;"; "&amp;$H$198&amp;", "&amp;I$199,'FE Fret'!$G:$U,12,FALSE)+VLOOKUP($B200&amp;"; "&amp;$H$198&amp;", "&amp;I$199,'FE Fret'!$G:$U,11,FALSE)))
+$J200*IF(ISNA((VLOOKUP($B200&amp;"; "&amp;$K$198&amp;", "&amp;I$199,'FE Fret'!$G:$U,12,FALSE)+VLOOKUP($B200&amp;"; "&amp;$K$198&amp;", "&amp;I$199,'FE Fret'!$G:$U,11,FALSE))),0,(VLOOKUP($B200&amp;"; "&amp;$K$198&amp;", "&amp;I$199,'FE Fret'!$G:$U,12,FALSE)+VLOOKUP($B200&amp;"; "&amp;$K$198&amp;", "&amp;I$199,'FE Fret'!$G:$U,11,FALSE)))
+$M200*IF(ISNA((VLOOKUP($B200&amp;"; "&amp;$N$198&amp;", "&amp;I$199,'FE Fret'!$G:$U,12,FALSE)+VLOOKUP($B200&amp;"; "&amp;$N$198&amp;", "&amp;I$199,'FE Fret'!$G:$U,11,FALSE))),0,(VLOOKUP($B200&amp;"; "&amp;$N$198&amp;", "&amp;I$199,'FE Fret'!$G:$U,12,FALSE)+VLOOKUP($B200&amp;"; "&amp;$N$198&amp;", "&amp;I$199,'FE Fret'!$G:$U,11,FALSE)))
+$P200*IF(ISNA((VLOOKUP($B200&amp;"; "&amp;$Q$198&amp;", "&amp;I$199,'FE Fret'!$G:$U,12,FALSE)+VLOOKUP($B200&amp;"; "&amp;$Q$198&amp;", "&amp;I$199,'FE Fret'!$G:$U,11,FALSE))),0,(VLOOKUP($B200&amp;"; "&amp;$Q$198&amp;", "&amp;I$199,'FE Fret'!$G:$U,12,FALSE)+VLOOKUP($B200&amp;"; "&amp;$Q$198&amp;", "&amp;I$199,'FE Fret'!$G:$U,11,FALSE)))</f>
        <v>0</v>
      </c>
      <c r="AM200" s="565"/>
      <c r="AN200" s="565">
        <f>$G200*IF(ISNA(VLOOKUP($B200&amp;"; "&amp;$H$198&amp;", "&amp;H$199,'FE Fret'!$G:$U,13,FALSE)),0,VLOOKUP($B200&amp;"; "&amp;$H$198&amp;", "&amp;H$199,'FE Fret'!$G:$U,13,FALSE))
+$J200*IF(ISNA(VLOOKUP($B200&amp;"; "&amp;$K$198&amp;", "&amp;H$199,'FE Fret'!$G:$U,13,FALSE)),0,VLOOKUP($B200&amp;"; "&amp;$K$198&amp;", "&amp;H$199,'FE Fret'!$G:$U,13,FALSE))
+$M200*IF(ISNA(VLOOKUP($B200&amp;"; "&amp;$N$198&amp;", "&amp;H$199,'FE Fret'!$G:$U,13,FALSE)),0,VLOOKUP($B200&amp;"; "&amp;$N$198&amp;", "&amp;H$199,'FE Fret'!$G:$U,13,FALSE))
+$P200*IF(ISNA(VLOOKUP($B200&amp;"; "&amp;$Q$198&amp;", "&amp;H$199,'FE Fret'!$G:$U,13,FALSE)),0,VLOOKUP($B200&amp;"; "&amp;$Q$198&amp;", "&amp;H$199,'FE Fret'!$G:$U,13,FALSE))</f>
        <v>0</v>
      </c>
      <c r="AO200" s="565">
        <f>$G200*IF(ISNA(VLOOKUP($B200&amp;"; "&amp;$H$198&amp;", "&amp;I$199,'FE Fret'!$G:$U,13,FALSE)),0,VLOOKUP($B200&amp;"; "&amp;$H$198&amp;", "&amp;I$199,'FE Fret'!$G:$U,13,FALSE))
+$J200*IF(ISNA(VLOOKUP($B200&amp;"; "&amp;$K$198&amp;", "&amp;I$199,'FE Fret'!$G:$U,13,FALSE)),0,VLOOKUP($B200&amp;"; "&amp;$K$198&amp;", "&amp;I$199,'FE Fret'!$G:$U,13,FALSE))
+$M200*IF(ISNA(VLOOKUP($B200&amp;"; "&amp;$N$198&amp;", "&amp;I$199,'FE Fret'!$G:$U,13,FALSE)),0,VLOOKUP($B200&amp;"; "&amp;$N$198&amp;", "&amp;I$199,'FE Fret'!$G:$U,13,FALSE))
+$P200*IF(ISNA(VLOOKUP($B200&amp;"; "&amp;$Q$198&amp;", "&amp;I$199,'FE Fret'!$G:$U,13,FALSE)),0,VLOOKUP($B200&amp;"; "&amp;$Q$198&amp;", "&amp;I$199,'FE Fret'!$G:$U,13,FALSE))</f>
        <v>0</v>
      </c>
      <c r="AP200" s="565"/>
      <c r="AQ200" s="565">
        <v>0</v>
      </c>
      <c r="AR200" s="565">
        <v>0</v>
      </c>
      <c r="AS200" s="565"/>
      <c r="AT200" s="566">
        <f t="shared" ref="AT200:AT205" si="72">SUM(AH200,AK200,AN200,AQ200)</f>
        <v>0</v>
      </c>
      <c r="AU200" s="566">
        <f t="shared" ref="AU200:AU205" si="73">SUM(AI200,AL200,AO200,AR200)</f>
        <v>0</v>
      </c>
      <c r="AV200" s="567"/>
      <c r="AW200" s="565">
        <f>$G200*IF(ISNA(VLOOKUP($B200&amp;"; "&amp;$H$198&amp;", "&amp;H$199,'FE Fret'!$G:$U,15,FALSE)),0,VLOOKUP($B200&amp;"; "&amp;$H$198&amp;", "&amp;H$199,'FE Fret'!$G:$U,15,FALSE))
+$J200*IF(ISNA(VLOOKUP($B200&amp;"; "&amp;$K$198&amp;", "&amp;H$199,'FE Fret'!$G:$U,15,FALSE)),0,VLOOKUP($B200&amp;"; "&amp;$K$198&amp;", "&amp;H$199,'FE Fret'!$G:$U,15,FALSE))
+$M200*IF(ISNA(VLOOKUP($B200&amp;"; "&amp;$N$198&amp;", "&amp;H$199,'FE Fret'!$G:$U,15,FALSE)),0,VLOOKUP($B200&amp;"; "&amp;$N$198&amp;", "&amp;H$199,'FE Fret'!$G:$U,15,FALSE))
+$P200*IF(ISNA(VLOOKUP($B200&amp;"; "&amp;$Q$198&amp;", "&amp;H$199,'FE Fret'!$G:$U,15,FALSE)),0,VLOOKUP($B200&amp;"; "&amp;$Q$198&amp;", "&amp;H$199,'FE Fret'!$G:$U,15,FALSE))</f>
        <v>0</v>
      </c>
      <c r="AX200" s="565">
        <f>$G200*IF(ISNA(VLOOKUP($B200&amp;"; "&amp;$H$198&amp;", "&amp;I$199,'FE Fret'!$G:$U,15,FALSE)),0,VLOOKUP($B200&amp;"; "&amp;$H$198&amp;", "&amp;I$199,'FE Fret'!$G:$U,15,FALSE))
+$J200*IF(ISNA(VLOOKUP($B200&amp;"; "&amp;$K$198&amp;", "&amp;I$199,'FE Fret'!$G:$U,15,FALSE)),0,VLOOKUP($B200&amp;"; "&amp;$K$198&amp;", "&amp;I$199,'FE Fret'!$G:$U,15,FALSE))
+$M200*IF(ISNA(VLOOKUP($B200&amp;"; "&amp;$N$198&amp;", "&amp;I$199,'FE Fret'!$G:$U,15,FALSE)),0,VLOOKUP($B200&amp;"; "&amp;$N$198&amp;", "&amp;I$199,'FE Fret'!$G:$U,15,FALSE))
+$P200*IF(ISNA(VLOOKUP($B200&amp;"; "&amp;$Q$198&amp;", "&amp;I$199,'FE Fret'!$G:$U,15,FALSE)),0,VLOOKUP($B200&amp;"; "&amp;$Q$198&amp;", "&amp;I$199,'FE Fret'!$G:$U,15,FALSE))</f>
        <v>0</v>
      </c>
      <c r="AY200" s="568"/>
      <c r="AZ200" s="565"/>
      <c r="BA200" s="565"/>
      <c r="BB200" s="565"/>
      <c r="BC200" s="565"/>
      <c r="BD200" s="565"/>
      <c r="BE200" s="565"/>
      <c r="BF200" s="565"/>
      <c r="BH200" s="1065">
        <f>IF($Y200&lt;&gt;"votre valeur :",IF(ISNA(VLOOKUP($Y200,Utilitaires!$N$566:$O$571,2,FALSE)),,VLOOKUP($Y200,Utilitaires!$N$566:$O$571,2,FALSE)),$Z200)</f>
        <v>0</v>
      </c>
      <c r="BI200" s="1124">
        <f>IF(ISNA(SQRT(SUMSQ(VLOOKUP($B200&amp;"; "&amp;$H$198&amp;", "&amp;H$199,'FE Fret'!$G:$U,7,FALSE),$BH200))),0,SQRT(SUMSQ(VLOOKUP($B200&amp;"; "&amp;$H$198&amp;", "&amp;$H$199,'FE Fret'!$G:$U,7,FALSE),$BH200)))</f>
        <v>0.05</v>
      </c>
      <c r="BJ200" s="1068">
        <f>IF(ISNA(SQRT(SUMSQ(VLOOKUP($B200&amp;"; "&amp;$K$198&amp;", "&amp;$K$199,'FE Fret'!$G:$U,7,FALSE),$BH200))),0,SQRT(SUMSQ(VLOOKUP($B200&amp;"; "&amp;$K$198&amp;", "&amp;$K$199,'FE Fret'!$G:$U,7,FALSE),$BH200)))</f>
        <v>0.05</v>
      </c>
      <c r="BK200" s="1068">
        <f>IF(ISNA(SQRT(SUMSQ(VLOOKUP($B200&amp;"; "&amp;$N$198&amp;", "&amp;$N$199,'FE Fret'!$G:$U,7,FALSE),$BH200))),0,SQRT(SUMSQ(VLOOKUP($B200&amp;"; "&amp;$N$198&amp;", "&amp;$N$199,'FE Fret'!$G:$U,7,FALSE),$BH200)))</f>
        <v>0.05</v>
      </c>
      <c r="BL200" s="1068">
        <f>IF(ISNA(SQRT(SUMSQ(VLOOKUP($B200&amp;"; "&amp;$Q$198&amp;", "&amp;$Q$199,'FE Fret'!$G:$U,7,FALSE),$BH200))),0,SQRT(SUMSQ(VLOOKUP($B200&amp;"; "&amp;$Q$198&amp;", "&amp;$Q$199,'FE Fret'!$G:$U,7,FALSE),$BH200)))</f>
        <v>0.1</v>
      </c>
      <c r="BM200" s="1124">
        <f>IF(ISNA(SQRT(SUMSQ(VLOOKUP($B200&amp;"; "&amp;$H$198&amp;", "&amp;I$199,'FE Fret'!$G:$U,7,FALSE),$BH200))),0,SQRT(SUMSQ(VLOOKUP($B200&amp;"; "&amp;$H$198&amp;", "&amp;$I$199,'FE Fret'!$G:$U,7,FALSE),$BH200)))</f>
        <v>0.05</v>
      </c>
      <c r="BN200" s="1068">
        <f>IF(ISNA(SQRT(SUMSQ(VLOOKUP($B200&amp;"; "&amp;$K$198&amp;", "&amp;$L$199,'FE Fret'!$G:$U,7,FALSE),$BH200))),0,SQRT(SUMSQ(VLOOKUP($B200&amp;"; "&amp;$K$198&amp;", "&amp;$L$199,'FE Fret'!$G:$U,7,FALSE),$BH200)))</f>
        <v>0.05</v>
      </c>
      <c r="BO200" s="1068">
        <f>IF(ISNA(SQRT(SUMSQ(VLOOKUP($B200&amp;"; "&amp;$N$198&amp;", "&amp;$O$199,'FE Fret'!$G:$U,7,FALSE),$BH200))),0,SQRT(SUMSQ(VLOOKUP($B200&amp;"; "&amp;$N$198&amp;", "&amp;$O$199,'FE Fret'!$G:$U,7,FALSE),$BH200)))</f>
        <v>0.05</v>
      </c>
      <c r="BP200" s="1125">
        <f>IF(ISNA(SQRT(SUMSQ(VLOOKUP($B200&amp;"; "&amp;$Q$198&amp;", "&amp;$R$199,'FE Fret'!$G:$U,7,FALSE),$BH200))),0,SQRT(SUMSQ(VLOOKUP($B200&amp;"; "&amp;$Q$198&amp;", "&amp;$R$199,'FE Fret'!$G:$U,7,FALSE),$BH200)))</f>
        <v>0.1</v>
      </c>
    </row>
    <row r="201" spans="1:68" hidden="1" outlineLevel="2">
      <c r="B201" s="143" t="s">
        <v>5129</v>
      </c>
      <c r="C201" s="144"/>
      <c r="D201" s="212">
        <f t="shared" si="65"/>
        <v>0</v>
      </c>
      <c r="E201" s="212"/>
      <c r="F201" s="120"/>
      <c r="G201" s="120"/>
      <c r="H201" s="335">
        <f>VLOOKUP($B201&amp;"; "&amp;$H$198&amp;", "&amp;H$199,'FE Fret'!$G:$U,9,FALSE)</f>
        <v>816</v>
      </c>
      <c r="I201" s="335">
        <f>VLOOKUP($B201&amp;"; "&amp;$H$198&amp;", "&amp;I$199,'FE Fret'!$G:$U,9,FALSE)</f>
        <v>3337</v>
      </c>
      <c r="J201" s="120"/>
      <c r="K201" s="335">
        <f>VLOOKUP($B201&amp;"; "&amp;$K$198&amp;", "&amp;K$199,'FE Fret'!$G:$U,9,FALSE)</f>
        <v>6.4600000000000005E-2</v>
      </c>
      <c r="L201" s="335">
        <f>VLOOKUP($B201&amp;"; "&amp;$K$198&amp;", "&amp;L$199,'FE Fret'!$G:$U,9,FALSE)</f>
        <v>0.254</v>
      </c>
      <c r="M201" s="120"/>
      <c r="N201" s="335">
        <f>VLOOKUP($B201&amp;"; "&amp;$N$198&amp;", "&amp;N$199,'FE Fret'!$G:$U,9,FALSE)</f>
        <v>725</v>
      </c>
      <c r="O201" s="335">
        <f>VLOOKUP($B201&amp;"; "&amp;$N$198&amp;", "&amp;O$199,'FE Fret'!$G:$U,9,FALSE)</f>
        <v>2968</v>
      </c>
      <c r="P201" s="120"/>
      <c r="Q201" s="335">
        <f>VLOOKUP($B201&amp;"; "&amp;$Q$198&amp;", "&amp;Q$199,'FE Fret'!$G:$U,9,FALSE)</f>
        <v>0.60899999999999999</v>
      </c>
      <c r="R201" s="335">
        <f>VLOOKUP($B201&amp;"; "&amp;$Q$198&amp;", "&amp;R$199,'FE Fret'!$G:$U,9,FALSE)</f>
        <v>2.4900000000000002</v>
      </c>
      <c r="S201" s="356">
        <f t="shared" si="66"/>
        <v>0</v>
      </c>
      <c r="T201" s="356">
        <f t="shared" si="66"/>
        <v>0</v>
      </c>
      <c r="U201" s="1286">
        <f>IF(OR(F201=Utilitaires!$I$572,F201=Utilitaires!$I$577),T201,0)</f>
        <v>0</v>
      </c>
      <c r="X201" s="1092">
        <f t="shared" si="67"/>
        <v>0</v>
      </c>
      <c r="Y201" s="343"/>
      <c r="Z201" s="820"/>
      <c r="AA201" s="164">
        <f t="shared" si="68"/>
        <v>0</v>
      </c>
      <c r="AB201" s="164">
        <f t="shared" si="69"/>
        <v>0</v>
      </c>
      <c r="AC201" s="164"/>
      <c r="AD201" s="151"/>
      <c r="AE201" s="151">
        <f t="shared" si="70"/>
        <v>0</v>
      </c>
      <c r="AF201" s="1286">
        <f t="shared" si="71"/>
        <v>0</v>
      </c>
      <c r="AG201" s="116"/>
      <c r="AH201" s="564">
        <f>$G201*IF(ISNA(VLOOKUP($B201&amp;"; "&amp;$H$198&amp;", "&amp;H$199,'FE Fret'!$G:$U,10,FALSE)),0,VLOOKUP($B201&amp;"; "&amp;$H$198&amp;", "&amp;H$199,'FE Fret'!$G:$U,10,FALSE))
+$J201*IF(ISNA(VLOOKUP($B201&amp;"; "&amp;$K$198&amp;", "&amp;H$199,'FE Fret'!$G:$U,10,FALSE)),0,VLOOKUP($B201&amp;"; "&amp;$K$198&amp;", "&amp;H$199,'FE Fret'!$G:$U,10,FALSE))
+$M201*IF(ISNA(VLOOKUP($B201&amp;"; "&amp;$N$198&amp;", "&amp;H$199,'FE Fret'!$G:$U,10,FALSE)),0,VLOOKUP($B201&amp;"; "&amp;$N$198&amp;", "&amp;H$199,'FE Fret'!$G:$U,10,FALSE))
+$P201*IF(ISNA(VLOOKUP($B201&amp;"; "&amp;$Q$198&amp;", "&amp;H$199,'FE Fret'!$G:$U,10,FALSE)),0,VLOOKUP($B201&amp;"; "&amp;$Q$198&amp;", "&amp;H$199,'FE Fret'!$G:$U,10,FALSE))</f>
        <v>0</v>
      </c>
      <c r="AI201" s="565">
        <f>$G201*IF(ISNA(VLOOKUP($B201&amp;"; "&amp;$H$198&amp;", "&amp;I$199,'FE Fret'!$G:$U,10,FALSE)),0,VLOOKUP($B201&amp;"; "&amp;$H$198&amp;", "&amp;I$199,'FE Fret'!$G:$U,10,FALSE))
+$J201*IF(ISNA(VLOOKUP($B201&amp;"; "&amp;$K$198&amp;", "&amp;I$199,'FE Fret'!$G:$U,10,FALSE)),0,VLOOKUP($B201&amp;"; "&amp;$K$198&amp;", "&amp;I$199,'FE Fret'!$G:$U,10,FALSE))
+$M201*IF(ISNA(VLOOKUP($B201&amp;"; "&amp;$N$198&amp;", "&amp;I$199,'FE Fret'!$G:$U,10,FALSE)),0,VLOOKUP($B201&amp;"; "&amp;$N$198&amp;", "&amp;I$199,'FE Fret'!$G:$U,10,FALSE))
+$P201*IF(ISNA(VLOOKUP($B201&amp;"; "&amp;$Q$198&amp;", "&amp;I$199,'FE Fret'!$G:$U,10,FALSE)),0,VLOOKUP($B201&amp;"; "&amp;$Q$198&amp;", "&amp;I$199,'FE Fret'!$G:$U,10,FALSE))</f>
        <v>0</v>
      </c>
      <c r="AJ201" s="565"/>
      <c r="AK201" s="565">
        <f>$G201*IF(ISNA((VLOOKUP($B201&amp;"; "&amp;$H$198&amp;", "&amp;H$199,'FE Fret'!$G:$U,12,FALSE)+VLOOKUP($B201&amp;"; "&amp;$H$198&amp;", "&amp;H$199,'FE Fret'!$G:$U,11,FALSE))),0,(VLOOKUP($B201&amp;"; "&amp;$H$198&amp;", "&amp;H$199,'FE Fret'!$G:$U,12,FALSE)+VLOOKUP($B201&amp;"; "&amp;$H$198&amp;", "&amp;H$199,'FE Fret'!$G:$U,11,FALSE)))
+$J201*IF(ISNA((VLOOKUP($B201&amp;"; "&amp;$K$198&amp;", "&amp;H$199,'FE Fret'!$G:$U,12,FALSE)+VLOOKUP($B201&amp;"; "&amp;$K$198&amp;", "&amp;H$199,'FE Fret'!$G:$U,11,FALSE))),0,(VLOOKUP($B201&amp;"; "&amp;$K$198&amp;", "&amp;H$199,'FE Fret'!$G:$U,12,FALSE)+VLOOKUP($B201&amp;"; "&amp;$K$198&amp;", "&amp;H$199,'FE Fret'!$G:$U,11,FALSE)))
+$M201*IF(ISNA((VLOOKUP($B201&amp;"; "&amp;$N$198&amp;", "&amp;H$199,'FE Fret'!$G:$U,12,FALSE)+VLOOKUP($B201&amp;"; "&amp;$N$198&amp;", "&amp;H$199,'FE Fret'!$G:$U,11,FALSE))),0,(VLOOKUP($B201&amp;"; "&amp;$N$198&amp;", "&amp;H$199,'FE Fret'!$G:$U,12,FALSE)+VLOOKUP($B201&amp;"; "&amp;$N$198&amp;", "&amp;H$199,'FE Fret'!$G:$U,11,FALSE)))
+$P201*IF(ISNA((VLOOKUP($B201&amp;"; "&amp;$Q$198&amp;", "&amp;H$199,'FE Fret'!$G:$U,12,FALSE)+VLOOKUP($B201&amp;"; "&amp;$Q$198&amp;", "&amp;H$199,'FE Fret'!$G:$U,11,FALSE))),0,(VLOOKUP($B201&amp;"; "&amp;$Q$198&amp;", "&amp;H$199,'FE Fret'!$G:$U,12,FALSE)+VLOOKUP($B201&amp;"; "&amp;$Q$198&amp;", "&amp;H$199,'FE Fret'!$G:$U,11,FALSE)))</f>
        <v>0</v>
      </c>
      <c r="AL201" s="565">
        <f>$G201*IF(ISNA((VLOOKUP($B201&amp;"; "&amp;$H$198&amp;", "&amp;I$199,'FE Fret'!$G:$U,12,FALSE)+VLOOKUP($B201&amp;"; "&amp;$H$198&amp;", "&amp;I$199,'FE Fret'!$G:$U,11,FALSE))),0,(VLOOKUP($B201&amp;"; "&amp;$H$198&amp;", "&amp;I$199,'FE Fret'!$G:$U,12,FALSE)+VLOOKUP($B201&amp;"; "&amp;$H$198&amp;", "&amp;I$199,'FE Fret'!$G:$U,11,FALSE)))
+$J201*IF(ISNA((VLOOKUP($B201&amp;"; "&amp;$K$198&amp;", "&amp;I$199,'FE Fret'!$G:$U,12,FALSE)+VLOOKUP($B201&amp;"; "&amp;$K$198&amp;", "&amp;I$199,'FE Fret'!$G:$U,11,FALSE))),0,(VLOOKUP($B201&amp;"; "&amp;$K$198&amp;", "&amp;I$199,'FE Fret'!$G:$U,12,FALSE)+VLOOKUP($B201&amp;"; "&amp;$K$198&amp;", "&amp;I$199,'FE Fret'!$G:$U,11,FALSE)))
+$M201*IF(ISNA((VLOOKUP($B201&amp;"; "&amp;$N$198&amp;", "&amp;I$199,'FE Fret'!$G:$U,12,FALSE)+VLOOKUP($B201&amp;"; "&amp;$N$198&amp;", "&amp;I$199,'FE Fret'!$G:$U,11,FALSE))),0,(VLOOKUP($B201&amp;"; "&amp;$N$198&amp;", "&amp;I$199,'FE Fret'!$G:$U,12,FALSE)+VLOOKUP($B201&amp;"; "&amp;$N$198&amp;", "&amp;I$199,'FE Fret'!$G:$U,11,FALSE)))
+$P201*IF(ISNA((VLOOKUP($B201&amp;"; "&amp;$Q$198&amp;", "&amp;I$199,'FE Fret'!$G:$U,12,FALSE)+VLOOKUP($B201&amp;"; "&amp;$Q$198&amp;", "&amp;I$199,'FE Fret'!$G:$U,11,FALSE))),0,(VLOOKUP($B201&amp;"; "&amp;$Q$198&amp;", "&amp;I$199,'FE Fret'!$G:$U,12,FALSE)+VLOOKUP($B201&amp;"; "&amp;$Q$198&amp;", "&amp;I$199,'FE Fret'!$G:$U,11,FALSE)))</f>
        <v>0</v>
      </c>
      <c r="AM201" s="565"/>
      <c r="AN201" s="565">
        <f>$G201*IF(ISNA(VLOOKUP($B201&amp;"; "&amp;$H$198&amp;", "&amp;H$199,'FE Fret'!$G:$U,13,FALSE)),0,VLOOKUP($B201&amp;"; "&amp;$H$198&amp;", "&amp;H$199,'FE Fret'!$G:$U,13,FALSE))
+$J201*IF(ISNA(VLOOKUP($B201&amp;"; "&amp;$K$198&amp;", "&amp;H$199,'FE Fret'!$G:$U,13,FALSE)),0,VLOOKUP($B201&amp;"; "&amp;$K$198&amp;", "&amp;H$199,'FE Fret'!$G:$U,13,FALSE))
+$M201*IF(ISNA(VLOOKUP($B201&amp;"; "&amp;$N$198&amp;", "&amp;H$199,'FE Fret'!$G:$U,13,FALSE)),0,VLOOKUP($B201&amp;"; "&amp;$N$198&amp;", "&amp;H$199,'FE Fret'!$G:$U,13,FALSE))
+$P201*IF(ISNA(VLOOKUP($B201&amp;"; "&amp;$Q$198&amp;", "&amp;H$199,'FE Fret'!$G:$U,13,FALSE)),0,VLOOKUP($B201&amp;"; "&amp;$Q$198&amp;", "&amp;H$199,'FE Fret'!$G:$U,13,FALSE))</f>
        <v>0</v>
      </c>
      <c r="AO201" s="565">
        <f>$G201*IF(ISNA(VLOOKUP($B201&amp;"; "&amp;$H$198&amp;", "&amp;I$199,'FE Fret'!$G:$U,13,FALSE)),0,VLOOKUP($B201&amp;"; "&amp;$H$198&amp;", "&amp;I$199,'FE Fret'!$G:$U,13,FALSE))
+$J201*IF(ISNA(VLOOKUP($B201&amp;"; "&amp;$K$198&amp;", "&amp;I$199,'FE Fret'!$G:$U,13,FALSE)),0,VLOOKUP($B201&amp;"; "&amp;$K$198&amp;", "&amp;I$199,'FE Fret'!$G:$U,13,FALSE))
+$M201*IF(ISNA(VLOOKUP($B201&amp;"; "&amp;$N$198&amp;", "&amp;I$199,'FE Fret'!$G:$U,13,FALSE)),0,VLOOKUP($B201&amp;"; "&amp;$N$198&amp;", "&amp;I$199,'FE Fret'!$G:$U,13,FALSE))
+$P201*IF(ISNA(VLOOKUP($B201&amp;"; "&amp;$Q$198&amp;", "&amp;I$199,'FE Fret'!$G:$U,13,FALSE)),0,VLOOKUP($B201&amp;"; "&amp;$Q$198&amp;", "&amp;I$199,'FE Fret'!$G:$U,13,FALSE))</f>
        <v>0</v>
      </c>
      <c r="AP201" s="565"/>
      <c r="AQ201" s="565">
        <v>0</v>
      </c>
      <c r="AR201" s="565">
        <v>0</v>
      </c>
      <c r="AS201" s="565"/>
      <c r="AT201" s="566">
        <f t="shared" si="72"/>
        <v>0</v>
      </c>
      <c r="AU201" s="566">
        <f t="shared" si="73"/>
        <v>0</v>
      </c>
      <c r="AV201" s="567"/>
      <c r="AW201" s="565">
        <f>$G201*IF(ISNA(VLOOKUP($B201&amp;"; "&amp;$H$198&amp;", "&amp;H$199,'FE Fret'!$G:$U,15,FALSE)),0,VLOOKUP($B201&amp;"; "&amp;$H$198&amp;", "&amp;H$199,'FE Fret'!$G:$U,15,FALSE))
+$J201*IF(ISNA(VLOOKUP($B201&amp;"; "&amp;$K$198&amp;", "&amp;H$199,'FE Fret'!$G:$U,15,FALSE)),0,VLOOKUP($B201&amp;"; "&amp;$K$198&amp;", "&amp;H$199,'FE Fret'!$G:$U,15,FALSE))
+$M201*IF(ISNA(VLOOKUP($B201&amp;"; "&amp;$N$198&amp;", "&amp;H$199,'FE Fret'!$G:$U,15,FALSE)),0,VLOOKUP($B201&amp;"; "&amp;$N$198&amp;", "&amp;H$199,'FE Fret'!$G:$U,15,FALSE))
+$P201*IF(ISNA(VLOOKUP($B201&amp;"; "&amp;$Q$198&amp;", "&amp;H$199,'FE Fret'!$G:$U,15,FALSE)),0,VLOOKUP($B201&amp;"; "&amp;$Q$198&amp;", "&amp;H$199,'FE Fret'!$G:$U,15,FALSE))</f>
        <v>0</v>
      </c>
      <c r="AX201" s="565">
        <f>$G201*IF(ISNA(VLOOKUP($B201&amp;"; "&amp;$H$198&amp;", "&amp;I$199,'FE Fret'!$G:$U,15,FALSE)),0,VLOOKUP($B201&amp;"; "&amp;$H$198&amp;", "&amp;I$199,'FE Fret'!$G:$U,15,FALSE))
+$J201*IF(ISNA(VLOOKUP($B201&amp;"; "&amp;$K$198&amp;", "&amp;I$199,'FE Fret'!$G:$U,15,FALSE)),0,VLOOKUP($B201&amp;"; "&amp;$K$198&amp;", "&amp;I$199,'FE Fret'!$G:$U,15,FALSE))
+$M201*IF(ISNA(VLOOKUP($B201&amp;"; "&amp;$N$198&amp;", "&amp;I$199,'FE Fret'!$G:$U,15,FALSE)),0,VLOOKUP($B201&amp;"; "&amp;$N$198&amp;", "&amp;I$199,'FE Fret'!$G:$U,15,FALSE))
+$P201*IF(ISNA(VLOOKUP($B201&amp;"; "&amp;$Q$198&amp;", "&amp;I$199,'FE Fret'!$G:$U,15,FALSE)),0,VLOOKUP($B201&amp;"; "&amp;$Q$198&amp;", "&amp;I$199,'FE Fret'!$G:$U,15,FALSE))</f>
        <v>0</v>
      </c>
      <c r="AY201" s="568"/>
      <c r="AZ201" s="565"/>
      <c r="BA201" s="565"/>
      <c r="BB201" s="565"/>
      <c r="BC201" s="565"/>
      <c r="BD201" s="565"/>
      <c r="BE201" s="565"/>
      <c r="BF201" s="565"/>
      <c r="BH201" s="1065">
        <f>IF($Y201&lt;&gt;"votre valeur :",IF(ISNA(VLOOKUP($Y201,Utilitaires!$N$566:$O$571,2,FALSE)),,VLOOKUP($Y201,Utilitaires!$N$566:$O$571,2,FALSE)),$Z201)</f>
        <v>0</v>
      </c>
      <c r="BI201" s="1124">
        <f>IF(ISNA(SQRT(SUMSQ(VLOOKUP($B201&amp;"; "&amp;$H$198&amp;", "&amp;H$199,'FE Fret'!$G:$U,7,FALSE),$BH201))),0,SQRT(SUMSQ(VLOOKUP($B201&amp;"; "&amp;$H$198&amp;", "&amp;$H$199,'FE Fret'!$G:$U,7,FALSE),$BH201)))</f>
        <v>0.05</v>
      </c>
      <c r="BJ201" s="1068">
        <f>IF(ISNA(SQRT(SUMSQ(VLOOKUP($B201&amp;"; "&amp;$K$198&amp;", "&amp;$K$199,'FE Fret'!$G:$U,7,FALSE),$BH201))),0,SQRT(SUMSQ(VLOOKUP($B201&amp;"; "&amp;$K$198&amp;", "&amp;$K$199,'FE Fret'!$G:$U,7,FALSE),$BH201)))</f>
        <v>0.05</v>
      </c>
      <c r="BK201" s="1068">
        <f>IF(ISNA(SQRT(SUMSQ(VLOOKUP($B201&amp;"; "&amp;$N$198&amp;", "&amp;$N$199,'FE Fret'!$G:$U,7,FALSE),$BH201))),0,SQRT(SUMSQ(VLOOKUP($B201&amp;"; "&amp;$N$198&amp;", "&amp;$N$199,'FE Fret'!$G:$U,7,FALSE),$BH201)))</f>
        <v>0.05</v>
      </c>
      <c r="BL201" s="1068">
        <f>IF(ISNA(SQRT(SUMSQ(VLOOKUP($B201&amp;"; "&amp;$Q$198&amp;", "&amp;$Q$199,'FE Fret'!$G:$U,7,FALSE),$BH201))),0,SQRT(SUMSQ(VLOOKUP($B201&amp;"; "&amp;$Q$198&amp;", "&amp;$Q$199,'FE Fret'!$G:$U,7,FALSE),$BH201)))</f>
        <v>0.1</v>
      </c>
      <c r="BM201" s="1124">
        <f>IF(ISNA(SQRT(SUMSQ(VLOOKUP($B201&amp;"; "&amp;$H$198&amp;", "&amp;I$199,'FE Fret'!$G:$U,7,FALSE),$BH201))),0,SQRT(SUMSQ(VLOOKUP($B201&amp;"; "&amp;$H$198&amp;", "&amp;$I$199,'FE Fret'!$G:$U,7,FALSE),$BH201)))</f>
        <v>0.05</v>
      </c>
      <c r="BN201" s="1068">
        <f>IF(ISNA(SQRT(SUMSQ(VLOOKUP($B201&amp;"; "&amp;$K$198&amp;", "&amp;$L$199,'FE Fret'!$G:$U,7,FALSE),$BH201))),0,SQRT(SUMSQ(VLOOKUP($B201&amp;"; "&amp;$K$198&amp;", "&amp;$L$199,'FE Fret'!$G:$U,7,FALSE),$BH201)))</f>
        <v>0.05</v>
      </c>
      <c r="BO201" s="1068">
        <f>IF(ISNA(SQRT(SUMSQ(VLOOKUP($B201&amp;"; "&amp;$N$198&amp;", "&amp;$O$199,'FE Fret'!$G:$U,7,FALSE),$BH201))),0,SQRT(SUMSQ(VLOOKUP($B201&amp;"; "&amp;$N$198&amp;", "&amp;$O$199,'FE Fret'!$G:$U,7,FALSE),$BH201)))</f>
        <v>0.05</v>
      </c>
      <c r="BP201" s="1125">
        <f>IF(ISNA(SQRT(SUMSQ(VLOOKUP($B201&amp;"; "&amp;$Q$198&amp;", "&amp;$R$199,'FE Fret'!$G:$U,7,FALSE),$BH201))),0,SQRT(SUMSQ(VLOOKUP($B201&amp;"; "&amp;$Q$198&amp;", "&amp;$R$199,'FE Fret'!$G:$U,7,FALSE),$BH201)))</f>
        <v>0.1</v>
      </c>
    </row>
    <row r="202" spans="1:68" hidden="1" outlineLevel="2">
      <c r="B202" s="143" t="s">
        <v>5162</v>
      </c>
      <c r="C202" s="144"/>
      <c r="D202" s="212">
        <f t="shared" si="65"/>
        <v>0</v>
      </c>
      <c r="E202" s="212"/>
      <c r="F202" s="120"/>
      <c r="G202" s="120"/>
      <c r="H202" s="335" t="e">
        <f>VLOOKUP($B202&amp;"; "&amp;$H$198&amp;", "&amp;H$199,'FE Fret'!$G:$U,9,FALSE)</f>
        <v>#N/A</v>
      </c>
      <c r="I202" s="335" t="e">
        <f>VLOOKUP($B202&amp;"; "&amp;$H$198&amp;", "&amp;I$199,'FE Fret'!$G:$U,9,FALSE)</f>
        <v>#N/A</v>
      </c>
      <c r="J202" s="120"/>
      <c r="K202" s="335">
        <f>VLOOKUP($B202&amp;"; "&amp;$K$198&amp;", "&amp;K$199,'FE Fret'!$G:$U,9,FALSE)</f>
        <v>4.2799999999999998E-2</v>
      </c>
      <c r="L202" s="335">
        <f>VLOOKUP($B202&amp;"; "&amp;$K$198&amp;", "&amp;L$199,'FE Fret'!$G:$U,9,FALSE)</f>
        <v>0.187</v>
      </c>
      <c r="M202" s="120"/>
      <c r="N202" s="335">
        <f>VLOOKUP($B202&amp;"; "&amp;$N$198&amp;", "&amp;N$199,'FE Fret'!$G:$U,9,FALSE)</f>
        <v>497</v>
      </c>
      <c r="O202" s="335">
        <f>VLOOKUP($B202&amp;"; "&amp;$N$198&amp;", "&amp;O$199,'FE Fret'!$G:$U,9,FALSE)</f>
        <v>2180</v>
      </c>
      <c r="P202" s="120"/>
      <c r="Q202" s="335" t="e">
        <f>VLOOKUP($B202&amp;"; "&amp;$Q$198&amp;", "&amp;Q$199,'FE Fret'!$G:$U,9,FALSE)</f>
        <v>#N/A</v>
      </c>
      <c r="R202" s="335" t="e">
        <f>VLOOKUP($B202&amp;"; "&amp;$Q$198&amp;", "&amp;R$199,'FE Fret'!$G:$U,9,FALSE)</f>
        <v>#N/A</v>
      </c>
      <c r="S202" s="356">
        <f t="shared" si="66"/>
        <v>0</v>
      </c>
      <c r="T202" s="356">
        <f t="shared" si="66"/>
        <v>0</v>
      </c>
      <c r="U202" s="1286">
        <f>IF(OR(F202=Utilitaires!$I$572,F202=Utilitaires!$I$577),T202,0)</f>
        <v>0</v>
      </c>
      <c r="X202" s="1092">
        <f t="shared" si="67"/>
        <v>0</v>
      </c>
      <c r="Y202" s="343"/>
      <c r="Z202" s="820"/>
      <c r="AA202" s="164">
        <f t="shared" si="68"/>
        <v>0</v>
      </c>
      <c r="AB202" s="164">
        <f t="shared" si="69"/>
        <v>0</v>
      </c>
      <c r="AC202" s="164"/>
      <c r="AD202" s="151"/>
      <c r="AE202" s="151">
        <f t="shared" si="70"/>
        <v>0</v>
      </c>
      <c r="AF202" s="1286">
        <f t="shared" si="71"/>
        <v>0</v>
      </c>
      <c r="AG202" s="116"/>
      <c r="AH202" s="564">
        <f>$G202*IF(ISNA(VLOOKUP($B202&amp;"; "&amp;$H$198&amp;", "&amp;H$199,'FE Fret'!$G:$U,10,FALSE)),0,VLOOKUP($B202&amp;"; "&amp;$H$198&amp;", "&amp;H$199,'FE Fret'!$G:$U,10,FALSE))
+$J202*IF(ISNA(VLOOKUP($B202&amp;"; "&amp;$K$198&amp;", "&amp;H$199,'FE Fret'!$G:$U,10,FALSE)),0,VLOOKUP($B202&amp;"; "&amp;$K$198&amp;", "&amp;H$199,'FE Fret'!$G:$U,10,FALSE))
+$M202*IF(ISNA(VLOOKUP($B202&amp;"; "&amp;$N$198&amp;", "&amp;H$199,'FE Fret'!$G:$U,10,FALSE)),0,VLOOKUP($B202&amp;"; "&amp;$N$198&amp;", "&amp;H$199,'FE Fret'!$G:$U,10,FALSE))
+$P202*IF(ISNA(VLOOKUP($B202&amp;"; "&amp;$Q$198&amp;", "&amp;H$199,'FE Fret'!$G:$U,10,FALSE)),0,VLOOKUP($B202&amp;"; "&amp;$Q$198&amp;", "&amp;H$199,'FE Fret'!$G:$U,10,FALSE))</f>
        <v>0</v>
      </c>
      <c r="AI202" s="565">
        <f>$G202*IF(ISNA(VLOOKUP($B202&amp;"; "&amp;$H$198&amp;", "&amp;I$199,'FE Fret'!$G:$U,10,FALSE)),0,VLOOKUP($B202&amp;"; "&amp;$H$198&amp;", "&amp;I$199,'FE Fret'!$G:$U,10,FALSE))
+$J202*IF(ISNA(VLOOKUP($B202&amp;"; "&amp;$K$198&amp;", "&amp;I$199,'FE Fret'!$G:$U,10,FALSE)),0,VLOOKUP($B202&amp;"; "&amp;$K$198&amp;", "&amp;I$199,'FE Fret'!$G:$U,10,FALSE))
+$M202*IF(ISNA(VLOOKUP($B202&amp;"; "&amp;$N$198&amp;", "&amp;I$199,'FE Fret'!$G:$U,10,FALSE)),0,VLOOKUP($B202&amp;"; "&amp;$N$198&amp;", "&amp;I$199,'FE Fret'!$G:$U,10,FALSE))
+$P202*IF(ISNA(VLOOKUP($B202&amp;"; "&amp;$Q$198&amp;", "&amp;I$199,'FE Fret'!$G:$U,10,FALSE)),0,VLOOKUP($B202&amp;"; "&amp;$Q$198&amp;", "&amp;I$199,'FE Fret'!$G:$U,10,FALSE))</f>
        <v>0</v>
      </c>
      <c r="AJ202" s="565"/>
      <c r="AK202" s="565">
        <f>$G202*IF(ISNA((VLOOKUP($B202&amp;"; "&amp;$H$198&amp;", "&amp;H$199,'FE Fret'!$G:$U,12,FALSE)+VLOOKUP($B202&amp;"; "&amp;$H$198&amp;", "&amp;H$199,'FE Fret'!$G:$U,11,FALSE))),0,(VLOOKUP($B202&amp;"; "&amp;$H$198&amp;", "&amp;H$199,'FE Fret'!$G:$U,12,FALSE)+VLOOKUP($B202&amp;"; "&amp;$H$198&amp;", "&amp;H$199,'FE Fret'!$G:$U,11,FALSE)))
+$J202*IF(ISNA((VLOOKUP($B202&amp;"; "&amp;$K$198&amp;", "&amp;H$199,'FE Fret'!$G:$U,12,FALSE)+VLOOKUP($B202&amp;"; "&amp;$K$198&amp;", "&amp;H$199,'FE Fret'!$G:$U,11,FALSE))),0,(VLOOKUP($B202&amp;"; "&amp;$K$198&amp;", "&amp;H$199,'FE Fret'!$G:$U,12,FALSE)+VLOOKUP($B202&amp;"; "&amp;$K$198&amp;", "&amp;H$199,'FE Fret'!$G:$U,11,FALSE)))
+$M202*IF(ISNA((VLOOKUP($B202&amp;"; "&amp;$N$198&amp;", "&amp;H$199,'FE Fret'!$G:$U,12,FALSE)+VLOOKUP($B202&amp;"; "&amp;$N$198&amp;", "&amp;H$199,'FE Fret'!$G:$U,11,FALSE))),0,(VLOOKUP($B202&amp;"; "&amp;$N$198&amp;", "&amp;H$199,'FE Fret'!$G:$U,12,FALSE)+VLOOKUP($B202&amp;"; "&amp;$N$198&amp;", "&amp;H$199,'FE Fret'!$G:$U,11,FALSE)))
+$P202*IF(ISNA((VLOOKUP($B202&amp;"; "&amp;$Q$198&amp;", "&amp;H$199,'FE Fret'!$G:$U,12,FALSE)+VLOOKUP($B202&amp;"; "&amp;$Q$198&amp;", "&amp;H$199,'FE Fret'!$G:$U,11,FALSE))),0,(VLOOKUP($B202&amp;"; "&amp;$Q$198&amp;", "&amp;H$199,'FE Fret'!$G:$U,12,FALSE)+VLOOKUP($B202&amp;"; "&amp;$Q$198&amp;", "&amp;H$199,'FE Fret'!$G:$U,11,FALSE)))</f>
        <v>0</v>
      </c>
      <c r="AL202" s="565">
        <f>$G202*IF(ISNA((VLOOKUP($B202&amp;"; "&amp;$H$198&amp;", "&amp;I$199,'FE Fret'!$G:$U,12,FALSE)+VLOOKUP($B202&amp;"; "&amp;$H$198&amp;", "&amp;I$199,'FE Fret'!$G:$U,11,FALSE))),0,(VLOOKUP($B202&amp;"; "&amp;$H$198&amp;", "&amp;I$199,'FE Fret'!$G:$U,12,FALSE)+VLOOKUP($B202&amp;"; "&amp;$H$198&amp;", "&amp;I$199,'FE Fret'!$G:$U,11,FALSE)))
+$J202*IF(ISNA((VLOOKUP($B202&amp;"; "&amp;$K$198&amp;", "&amp;I$199,'FE Fret'!$G:$U,12,FALSE)+VLOOKUP($B202&amp;"; "&amp;$K$198&amp;", "&amp;I$199,'FE Fret'!$G:$U,11,FALSE))),0,(VLOOKUP($B202&amp;"; "&amp;$K$198&amp;", "&amp;I$199,'FE Fret'!$G:$U,12,FALSE)+VLOOKUP($B202&amp;"; "&amp;$K$198&amp;", "&amp;I$199,'FE Fret'!$G:$U,11,FALSE)))
+$M202*IF(ISNA((VLOOKUP($B202&amp;"; "&amp;$N$198&amp;", "&amp;I$199,'FE Fret'!$G:$U,12,FALSE)+VLOOKUP($B202&amp;"; "&amp;$N$198&amp;", "&amp;I$199,'FE Fret'!$G:$U,11,FALSE))),0,(VLOOKUP($B202&amp;"; "&amp;$N$198&amp;", "&amp;I$199,'FE Fret'!$G:$U,12,FALSE)+VLOOKUP($B202&amp;"; "&amp;$N$198&amp;", "&amp;I$199,'FE Fret'!$G:$U,11,FALSE)))
+$P202*IF(ISNA((VLOOKUP($B202&amp;"; "&amp;$Q$198&amp;", "&amp;I$199,'FE Fret'!$G:$U,12,FALSE)+VLOOKUP($B202&amp;"; "&amp;$Q$198&amp;", "&amp;I$199,'FE Fret'!$G:$U,11,FALSE))),0,(VLOOKUP($B202&amp;"; "&amp;$Q$198&amp;", "&amp;I$199,'FE Fret'!$G:$U,12,FALSE)+VLOOKUP($B202&amp;"; "&amp;$Q$198&amp;", "&amp;I$199,'FE Fret'!$G:$U,11,FALSE)))</f>
        <v>0</v>
      </c>
      <c r="AM202" s="565"/>
      <c r="AN202" s="565">
        <f>$G202*IF(ISNA(VLOOKUP($B202&amp;"; "&amp;$H$198&amp;", "&amp;H$199,'FE Fret'!$G:$U,13,FALSE)),0,VLOOKUP($B202&amp;"; "&amp;$H$198&amp;", "&amp;H$199,'FE Fret'!$G:$U,13,FALSE))
+$J202*IF(ISNA(VLOOKUP($B202&amp;"; "&amp;$K$198&amp;", "&amp;H$199,'FE Fret'!$G:$U,13,FALSE)),0,VLOOKUP($B202&amp;"; "&amp;$K$198&amp;", "&amp;H$199,'FE Fret'!$G:$U,13,FALSE))
+$M202*IF(ISNA(VLOOKUP($B202&amp;"; "&amp;$N$198&amp;", "&amp;H$199,'FE Fret'!$G:$U,13,FALSE)),0,VLOOKUP($B202&amp;"; "&amp;$N$198&amp;", "&amp;H$199,'FE Fret'!$G:$U,13,FALSE))
+$P202*IF(ISNA(VLOOKUP($B202&amp;"; "&amp;$Q$198&amp;", "&amp;H$199,'FE Fret'!$G:$U,13,FALSE)),0,VLOOKUP($B202&amp;"; "&amp;$Q$198&amp;", "&amp;H$199,'FE Fret'!$G:$U,13,FALSE))</f>
        <v>0</v>
      </c>
      <c r="AO202" s="565">
        <f>$G202*IF(ISNA(VLOOKUP($B202&amp;"; "&amp;$H$198&amp;", "&amp;I$199,'FE Fret'!$G:$U,13,FALSE)),0,VLOOKUP($B202&amp;"; "&amp;$H$198&amp;", "&amp;I$199,'FE Fret'!$G:$U,13,FALSE))
+$J202*IF(ISNA(VLOOKUP($B202&amp;"; "&amp;$K$198&amp;", "&amp;I$199,'FE Fret'!$G:$U,13,FALSE)),0,VLOOKUP($B202&amp;"; "&amp;$K$198&amp;", "&amp;I$199,'FE Fret'!$G:$U,13,FALSE))
+$M202*IF(ISNA(VLOOKUP($B202&amp;"; "&amp;$N$198&amp;", "&amp;I$199,'FE Fret'!$G:$U,13,FALSE)),0,VLOOKUP($B202&amp;"; "&amp;$N$198&amp;", "&amp;I$199,'FE Fret'!$G:$U,13,FALSE))
+$P202*IF(ISNA(VLOOKUP($B202&amp;"; "&amp;$Q$198&amp;", "&amp;I$199,'FE Fret'!$G:$U,13,FALSE)),0,VLOOKUP($B202&amp;"; "&amp;$Q$198&amp;", "&amp;I$199,'FE Fret'!$G:$U,13,FALSE))</f>
        <v>0</v>
      </c>
      <c r="AP202" s="565"/>
      <c r="AQ202" s="565">
        <v>0</v>
      </c>
      <c r="AR202" s="565">
        <v>0</v>
      </c>
      <c r="AS202" s="565"/>
      <c r="AT202" s="566">
        <f t="shared" si="72"/>
        <v>0</v>
      </c>
      <c r="AU202" s="566">
        <f t="shared" si="73"/>
        <v>0</v>
      </c>
      <c r="AV202" s="567"/>
      <c r="AW202" s="565">
        <f>$G202*IF(ISNA(VLOOKUP($B202&amp;"; "&amp;$H$198&amp;", "&amp;H$199,'FE Fret'!$G:$U,15,FALSE)),0,VLOOKUP($B202&amp;"; "&amp;$H$198&amp;", "&amp;H$199,'FE Fret'!$G:$U,15,FALSE))
+$J202*IF(ISNA(VLOOKUP($B202&amp;"; "&amp;$K$198&amp;", "&amp;H$199,'FE Fret'!$G:$U,15,FALSE)),0,VLOOKUP($B202&amp;"; "&amp;$K$198&amp;", "&amp;H$199,'FE Fret'!$G:$U,15,FALSE))
+$M202*IF(ISNA(VLOOKUP($B202&amp;"; "&amp;$N$198&amp;", "&amp;H$199,'FE Fret'!$G:$U,15,FALSE)),0,VLOOKUP($B202&amp;"; "&amp;$N$198&amp;", "&amp;H$199,'FE Fret'!$G:$U,15,FALSE))
+$P202*IF(ISNA(VLOOKUP($B202&amp;"; "&amp;$Q$198&amp;", "&amp;H$199,'FE Fret'!$G:$U,15,FALSE)),0,VLOOKUP($B202&amp;"; "&amp;$Q$198&amp;", "&amp;H$199,'FE Fret'!$G:$U,15,FALSE))</f>
        <v>0</v>
      </c>
      <c r="AX202" s="565">
        <f>$G202*IF(ISNA(VLOOKUP($B202&amp;"; "&amp;$H$198&amp;", "&amp;I$199,'FE Fret'!$G:$U,15,FALSE)),0,VLOOKUP($B202&amp;"; "&amp;$H$198&amp;", "&amp;I$199,'FE Fret'!$G:$U,15,FALSE))
+$J202*IF(ISNA(VLOOKUP($B202&amp;"; "&amp;$K$198&amp;", "&amp;I$199,'FE Fret'!$G:$U,15,FALSE)),0,VLOOKUP($B202&amp;"; "&amp;$K$198&amp;", "&amp;I$199,'FE Fret'!$G:$U,15,FALSE))
+$M202*IF(ISNA(VLOOKUP($B202&amp;"; "&amp;$N$198&amp;", "&amp;I$199,'FE Fret'!$G:$U,15,FALSE)),0,VLOOKUP($B202&amp;"; "&amp;$N$198&amp;", "&amp;I$199,'FE Fret'!$G:$U,15,FALSE))
+$P202*IF(ISNA(VLOOKUP($B202&amp;"; "&amp;$Q$198&amp;", "&amp;I$199,'FE Fret'!$G:$U,15,FALSE)),0,VLOOKUP($B202&amp;"; "&amp;$Q$198&amp;", "&amp;I$199,'FE Fret'!$G:$U,15,FALSE))</f>
        <v>0</v>
      </c>
      <c r="AY202" s="568"/>
      <c r="AZ202" s="565"/>
      <c r="BA202" s="565"/>
      <c r="BB202" s="565"/>
      <c r="BC202" s="565"/>
      <c r="BD202" s="565"/>
      <c r="BE202" s="565"/>
      <c r="BF202" s="565"/>
      <c r="BH202" s="1065">
        <f>IF($Y202&lt;&gt;"votre valeur :",IF(ISNA(VLOOKUP($Y202,Utilitaires!$N$566:$O$571,2,FALSE)),,VLOOKUP($Y202,Utilitaires!$N$566:$O$571,2,FALSE)),$Z202)</f>
        <v>0</v>
      </c>
      <c r="BI202" s="1124">
        <f>IF(ISNA(SQRT(SUMSQ(VLOOKUP($B202&amp;"; "&amp;$H$198&amp;", "&amp;H$199,'FE Fret'!$G:$U,7,FALSE),$BH202))),0,SQRT(SUMSQ(VLOOKUP($B202&amp;"; "&amp;$H$198&amp;", "&amp;$H$199,'FE Fret'!$G:$U,7,FALSE),$BH202)))</f>
        <v>0</v>
      </c>
      <c r="BJ202" s="1068">
        <f>IF(ISNA(SQRT(SUMSQ(VLOOKUP($B202&amp;"; "&amp;$K$198&amp;", "&amp;$K$199,'FE Fret'!$G:$U,7,FALSE),$BH202))),0,SQRT(SUMSQ(VLOOKUP($B202&amp;"; "&amp;$K$198&amp;", "&amp;$K$199,'FE Fret'!$G:$U,7,FALSE),$BH202)))</f>
        <v>0.1</v>
      </c>
      <c r="BK202" s="1068">
        <f>IF(ISNA(SQRT(SUMSQ(VLOOKUP($B202&amp;"; "&amp;$N$198&amp;", "&amp;$N$199,'FE Fret'!$G:$U,7,FALSE),$BH202))),0,SQRT(SUMSQ(VLOOKUP($B202&amp;"; "&amp;$N$198&amp;", "&amp;$N$199,'FE Fret'!$G:$U,7,FALSE),$BH202)))</f>
        <v>0.1</v>
      </c>
      <c r="BL202" s="1068">
        <f>IF(ISNA(SQRT(SUMSQ(VLOOKUP($B202&amp;"; "&amp;$Q$198&amp;", "&amp;$Q$199,'FE Fret'!$G:$U,7,FALSE),$BH202))),0,SQRT(SUMSQ(VLOOKUP($B202&amp;"; "&amp;$Q$198&amp;", "&amp;$Q$199,'FE Fret'!$G:$U,7,FALSE),$BH202)))</f>
        <v>0</v>
      </c>
      <c r="BM202" s="1124">
        <f>IF(ISNA(SQRT(SUMSQ(VLOOKUP($B202&amp;"; "&amp;$H$198&amp;", "&amp;I$199,'FE Fret'!$G:$U,7,FALSE),$BH202))),0,SQRT(SUMSQ(VLOOKUP($B202&amp;"; "&amp;$H$198&amp;", "&amp;$I$199,'FE Fret'!$G:$U,7,FALSE),$BH202)))</f>
        <v>0</v>
      </c>
      <c r="BN202" s="1068">
        <f>IF(ISNA(SQRT(SUMSQ(VLOOKUP($B202&amp;"; "&amp;$K$198&amp;", "&amp;$L$199,'FE Fret'!$G:$U,7,FALSE),$BH202))),0,SQRT(SUMSQ(VLOOKUP($B202&amp;"; "&amp;$K$198&amp;", "&amp;$L$199,'FE Fret'!$G:$U,7,FALSE),$BH202)))</f>
        <v>0.1</v>
      </c>
      <c r="BO202" s="1068">
        <f>IF(ISNA(SQRT(SUMSQ(VLOOKUP($B202&amp;"; "&amp;$N$198&amp;", "&amp;$O$199,'FE Fret'!$G:$U,7,FALSE),$BH202))),0,SQRT(SUMSQ(VLOOKUP($B202&amp;"; "&amp;$N$198&amp;", "&amp;$O$199,'FE Fret'!$G:$U,7,FALSE),$BH202)))</f>
        <v>0.1</v>
      </c>
      <c r="BP202" s="1125">
        <f>IF(ISNA(SQRT(SUMSQ(VLOOKUP($B202&amp;"; "&amp;$Q$198&amp;", "&amp;$R$199,'FE Fret'!$G:$U,7,FALSE),$BH202))),0,SQRT(SUMSQ(VLOOKUP($B202&amp;"; "&amp;$Q$198&amp;", "&amp;$R$199,'FE Fret'!$G:$U,7,FALSE),$BH202)))</f>
        <v>0</v>
      </c>
    </row>
    <row r="203" spans="1:68" hidden="1" outlineLevel="2">
      <c r="B203" s="143" t="s">
        <v>5165</v>
      </c>
      <c r="C203" s="144"/>
      <c r="D203" s="212">
        <f t="shared" si="65"/>
        <v>0</v>
      </c>
      <c r="E203" s="212"/>
      <c r="F203" s="120"/>
      <c r="G203" s="120"/>
      <c r="H203" s="335" t="e">
        <f>VLOOKUP($B203&amp;"; "&amp;$H$198&amp;", "&amp;H$199,'FE Fret'!$G:$U,9,FALSE)</f>
        <v>#N/A</v>
      </c>
      <c r="I203" s="335" t="e">
        <f>VLOOKUP($B203&amp;"; "&amp;$H$198&amp;", "&amp;I$199,'FE Fret'!$G:$U,9,FALSE)</f>
        <v>#N/A</v>
      </c>
      <c r="J203" s="120"/>
      <c r="K203" s="335">
        <f>VLOOKUP($B203&amp;"; "&amp;$K$198&amp;", "&amp;K$199,'FE Fret'!$G:$U,9,FALSE)</f>
        <v>0.13200000000000001</v>
      </c>
      <c r="L203" s="335">
        <f>VLOOKUP($B203&amp;"; "&amp;$K$198&amp;", "&amp;L$199,'FE Fret'!$G:$U,9,FALSE)</f>
        <v>0</v>
      </c>
      <c r="M203" s="120"/>
      <c r="N203" s="335">
        <f>VLOOKUP($B203&amp;"; "&amp;$N$198&amp;", "&amp;N$199,'FE Fret'!$G:$U,9,FALSE)</f>
        <v>1538</v>
      </c>
      <c r="O203" s="335">
        <f>VLOOKUP($B203&amp;"; "&amp;$N$198&amp;", "&amp;O$199,'FE Fret'!$G:$U,9,FALSE)</f>
        <v>0</v>
      </c>
      <c r="P203" s="120"/>
      <c r="Q203" s="335">
        <f>VLOOKUP($B203&amp;"; "&amp;$Q$198&amp;", "&amp;Q$199,'FE Fret'!$G:$U,9,FALSE)</f>
        <v>1.21</v>
      </c>
      <c r="R203" s="335">
        <f>VLOOKUP($B203&amp;"; "&amp;$Q$198&amp;", "&amp;R$199,'FE Fret'!$G:$U,9,FALSE)</f>
        <v>0</v>
      </c>
      <c r="S203" s="356">
        <f t="shared" si="66"/>
        <v>0</v>
      </c>
      <c r="T203" s="356">
        <f t="shared" si="66"/>
        <v>0</v>
      </c>
      <c r="U203" s="1286">
        <f>IF(OR(F203=Utilitaires!$I$572,F203=Utilitaires!$I$577),T203,0)</f>
        <v>0</v>
      </c>
      <c r="X203" s="1092">
        <f t="shared" si="67"/>
        <v>0</v>
      </c>
      <c r="Y203" s="343"/>
      <c r="Z203" s="820"/>
      <c r="AA203" s="164">
        <f t="shared" si="68"/>
        <v>0</v>
      </c>
      <c r="AB203" s="164">
        <f t="shared" si="69"/>
        <v>0</v>
      </c>
      <c r="AC203" s="164"/>
      <c r="AD203" s="151"/>
      <c r="AE203" s="151">
        <f t="shared" si="70"/>
        <v>0</v>
      </c>
      <c r="AF203" s="1286">
        <f t="shared" si="71"/>
        <v>0</v>
      </c>
      <c r="AG203" s="116"/>
      <c r="AH203" s="564">
        <f>$G203*IF(ISNA(VLOOKUP($B203&amp;"; "&amp;$H$198&amp;", "&amp;H$199,'FE Fret'!$G:$U,10,FALSE)),0,VLOOKUP($B203&amp;"; "&amp;$H$198&amp;", "&amp;H$199,'FE Fret'!$G:$U,10,FALSE))
+$J203*IF(ISNA(VLOOKUP($B203&amp;"; "&amp;$K$198&amp;", "&amp;H$199,'FE Fret'!$G:$U,10,FALSE)),0,VLOOKUP($B203&amp;"; "&amp;$K$198&amp;", "&amp;H$199,'FE Fret'!$G:$U,10,FALSE))
+$M203*IF(ISNA(VLOOKUP($B203&amp;"; "&amp;$N$198&amp;", "&amp;H$199,'FE Fret'!$G:$U,10,FALSE)),0,VLOOKUP($B203&amp;"; "&amp;$N$198&amp;", "&amp;H$199,'FE Fret'!$G:$U,10,FALSE))
+$P203*IF(ISNA(VLOOKUP($B203&amp;"; "&amp;$Q$198&amp;", "&amp;H$199,'FE Fret'!$G:$U,10,FALSE)),0,VLOOKUP($B203&amp;"; "&amp;$Q$198&amp;", "&amp;H$199,'FE Fret'!$G:$U,10,FALSE))</f>
        <v>0</v>
      </c>
      <c r="AI203" s="565">
        <f>$G203*IF(ISNA(VLOOKUP($B203&amp;"; "&amp;$H$198&amp;", "&amp;I$199,'FE Fret'!$G:$U,10,FALSE)),0,VLOOKUP($B203&amp;"; "&amp;$H$198&amp;", "&amp;I$199,'FE Fret'!$G:$U,10,FALSE))
+$J203*IF(ISNA(VLOOKUP($B203&amp;"; "&amp;$K$198&amp;", "&amp;I$199,'FE Fret'!$G:$U,10,FALSE)),0,VLOOKUP($B203&amp;"; "&amp;$K$198&amp;", "&amp;I$199,'FE Fret'!$G:$U,10,FALSE))
+$M203*IF(ISNA(VLOOKUP($B203&amp;"; "&amp;$N$198&amp;", "&amp;I$199,'FE Fret'!$G:$U,10,FALSE)),0,VLOOKUP($B203&amp;"; "&amp;$N$198&amp;", "&amp;I$199,'FE Fret'!$G:$U,10,FALSE))
+$P203*IF(ISNA(VLOOKUP($B203&amp;"; "&amp;$Q$198&amp;", "&amp;I$199,'FE Fret'!$G:$U,10,FALSE)),0,VLOOKUP($B203&amp;"; "&amp;$Q$198&amp;", "&amp;I$199,'FE Fret'!$G:$U,10,FALSE))</f>
        <v>0</v>
      </c>
      <c r="AJ203" s="565"/>
      <c r="AK203" s="565">
        <f>$G203*IF(ISNA((VLOOKUP($B203&amp;"; "&amp;$H$198&amp;", "&amp;H$199,'FE Fret'!$G:$U,12,FALSE)+VLOOKUP($B203&amp;"; "&amp;$H$198&amp;", "&amp;H$199,'FE Fret'!$G:$U,11,FALSE))),0,(VLOOKUP($B203&amp;"; "&amp;$H$198&amp;", "&amp;H$199,'FE Fret'!$G:$U,12,FALSE)+VLOOKUP($B203&amp;"; "&amp;$H$198&amp;", "&amp;H$199,'FE Fret'!$G:$U,11,FALSE)))
+$J203*IF(ISNA((VLOOKUP($B203&amp;"; "&amp;$K$198&amp;", "&amp;H$199,'FE Fret'!$G:$U,12,FALSE)+VLOOKUP($B203&amp;"; "&amp;$K$198&amp;", "&amp;H$199,'FE Fret'!$G:$U,11,FALSE))),0,(VLOOKUP($B203&amp;"; "&amp;$K$198&amp;", "&amp;H$199,'FE Fret'!$G:$U,12,FALSE)+VLOOKUP($B203&amp;"; "&amp;$K$198&amp;", "&amp;H$199,'FE Fret'!$G:$U,11,FALSE)))
+$M203*IF(ISNA((VLOOKUP($B203&amp;"; "&amp;$N$198&amp;", "&amp;H$199,'FE Fret'!$G:$U,12,FALSE)+VLOOKUP($B203&amp;"; "&amp;$N$198&amp;", "&amp;H$199,'FE Fret'!$G:$U,11,FALSE))),0,(VLOOKUP($B203&amp;"; "&amp;$N$198&amp;", "&amp;H$199,'FE Fret'!$G:$U,12,FALSE)+VLOOKUP($B203&amp;"; "&amp;$N$198&amp;", "&amp;H$199,'FE Fret'!$G:$U,11,FALSE)))
+$P203*IF(ISNA((VLOOKUP($B203&amp;"; "&amp;$Q$198&amp;", "&amp;H$199,'FE Fret'!$G:$U,12,FALSE)+VLOOKUP($B203&amp;"; "&amp;$Q$198&amp;", "&amp;H$199,'FE Fret'!$G:$U,11,FALSE))),0,(VLOOKUP($B203&amp;"; "&amp;$Q$198&amp;", "&amp;H$199,'FE Fret'!$G:$U,12,FALSE)+VLOOKUP($B203&amp;"; "&amp;$Q$198&amp;", "&amp;H$199,'FE Fret'!$G:$U,11,FALSE)))</f>
        <v>0</v>
      </c>
      <c r="AL203" s="565">
        <f>$G203*IF(ISNA((VLOOKUP($B203&amp;"; "&amp;$H$198&amp;", "&amp;I$199,'FE Fret'!$G:$U,12,FALSE)+VLOOKUP($B203&amp;"; "&amp;$H$198&amp;", "&amp;I$199,'FE Fret'!$G:$U,11,FALSE))),0,(VLOOKUP($B203&amp;"; "&amp;$H$198&amp;", "&amp;I$199,'FE Fret'!$G:$U,12,FALSE)+VLOOKUP($B203&amp;"; "&amp;$H$198&amp;", "&amp;I$199,'FE Fret'!$G:$U,11,FALSE)))
+$J203*IF(ISNA((VLOOKUP($B203&amp;"; "&amp;$K$198&amp;", "&amp;I$199,'FE Fret'!$G:$U,12,FALSE)+VLOOKUP($B203&amp;"; "&amp;$K$198&amp;", "&amp;I$199,'FE Fret'!$G:$U,11,FALSE))),0,(VLOOKUP($B203&amp;"; "&amp;$K$198&amp;", "&amp;I$199,'FE Fret'!$G:$U,12,FALSE)+VLOOKUP($B203&amp;"; "&amp;$K$198&amp;", "&amp;I$199,'FE Fret'!$G:$U,11,FALSE)))
+$M203*IF(ISNA((VLOOKUP($B203&amp;"; "&amp;$N$198&amp;", "&amp;I$199,'FE Fret'!$G:$U,12,FALSE)+VLOOKUP($B203&amp;"; "&amp;$N$198&amp;", "&amp;I$199,'FE Fret'!$G:$U,11,FALSE))),0,(VLOOKUP($B203&amp;"; "&amp;$N$198&amp;", "&amp;I$199,'FE Fret'!$G:$U,12,FALSE)+VLOOKUP($B203&amp;"; "&amp;$N$198&amp;", "&amp;I$199,'FE Fret'!$G:$U,11,FALSE)))
+$P203*IF(ISNA((VLOOKUP($B203&amp;"; "&amp;$Q$198&amp;", "&amp;I$199,'FE Fret'!$G:$U,12,FALSE)+VLOOKUP($B203&amp;"; "&amp;$Q$198&amp;", "&amp;I$199,'FE Fret'!$G:$U,11,FALSE))),0,(VLOOKUP($B203&amp;"; "&amp;$Q$198&amp;", "&amp;I$199,'FE Fret'!$G:$U,12,FALSE)+VLOOKUP($B203&amp;"; "&amp;$Q$198&amp;", "&amp;I$199,'FE Fret'!$G:$U,11,FALSE)))</f>
        <v>0</v>
      </c>
      <c r="AM203" s="565"/>
      <c r="AN203" s="565">
        <f>$G203*IF(ISNA(VLOOKUP($B203&amp;"; "&amp;$H$198&amp;", "&amp;H$199,'FE Fret'!$G:$U,13,FALSE)),0,VLOOKUP($B203&amp;"; "&amp;$H$198&amp;", "&amp;H$199,'FE Fret'!$G:$U,13,FALSE))
+$J203*IF(ISNA(VLOOKUP($B203&amp;"; "&amp;$K$198&amp;", "&amp;H$199,'FE Fret'!$G:$U,13,FALSE)),0,VLOOKUP($B203&amp;"; "&amp;$K$198&amp;", "&amp;H$199,'FE Fret'!$G:$U,13,FALSE))
+$M203*IF(ISNA(VLOOKUP($B203&amp;"; "&amp;$N$198&amp;", "&amp;H$199,'FE Fret'!$G:$U,13,FALSE)),0,VLOOKUP($B203&amp;"; "&amp;$N$198&amp;", "&amp;H$199,'FE Fret'!$G:$U,13,FALSE))
+$P203*IF(ISNA(VLOOKUP($B203&amp;"; "&amp;$Q$198&amp;", "&amp;H$199,'FE Fret'!$G:$U,13,FALSE)),0,VLOOKUP($B203&amp;"; "&amp;$Q$198&amp;", "&amp;H$199,'FE Fret'!$G:$U,13,FALSE))</f>
        <v>0</v>
      </c>
      <c r="AO203" s="565">
        <f>$G203*IF(ISNA(VLOOKUP($B203&amp;"; "&amp;$H$198&amp;", "&amp;I$199,'FE Fret'!$G:$U,13,FALSE)),0,VLOOKUP($B203&amp;"; "&amp;$H$198&amp;", "&amp;I$199,'FE Fret'!$G:$U,13,FALSE))
+$J203*IF(ISNA(VLOOKUP($B203&amp;"; "&amp;$K$198&amp;", "&amp;I$199,'FE Fret'!$G:$U,13,FALSE)),0,VLOOKUP($B203&amp;"; "&amp;$K$198&amp;", "&amp;I$199,'FE Fret'!$G:$U,13,FALSE))
+$M203*IF(ISNA(VLOOKUP($B203&amp;"; "&amp;$N$198&amp;", "&amp;I$199,'FE Fret'!$G:$U,13,FALSE)),0,VLOOKUP($B203&amp;"; "&amp;$N$198&amp;", "&amp;I$199,'FE Fret'!$G:$U,13,FALSE))
+$P203*IF(ISNA(VLOOKUP($B203&amp;"; "&amp;$Q$198&amp;", "&amp;I$199,'FE Fret'!$G:$U,13,FALSE)),0,VLOOKUP($B203&amp;"; "&amp;$Q$198&amp;", "&amp;I$199,'FE Fret'!$G:$U,13,FALSE))</f>
        <v>0</v>
      </c>
      <c r="AP203" s="565"/>
      <c r="AQ203" s="565">
        <v>0</v>
      </c>
      <c r="AR203" s="565">
        <v>0</v>
      </c>
      <c r="AS203" s="565"/>
      <c r="AT203" s="566">
        <f t="shared" si="72"/>
        <v>0</v>
      </c>
      <c r="AU203" s="566">
        <f t="shared" si="73"/>
        <v>0</v>
      </c>
      <c r="AV203" s="567"/>
      <c r="AW203" s="565">
        <f>$G203*IF(ISNA(VLOOKUP($B203&amp;"; "&amp;$H$198&amp;", "&amp;H$199,'FE Fret'!$G:$U,15,FALSE)),0,VLOOKUP($B203&amp;"; "&amp;$H$198&amp;", "&amp;H$199,'FE Fret'!$G:$U,15,FALSE))
+$J203*IF(ISNA(VLOOKUP($B203&amp;"; "&amp;$K$198&amp;", "&amp;H$199,'FE Fret'!$G:$U,15,FALSE)),0,VLOOKUP($B203&amp;"; "&amp;$K$198&amp;", "&amp;H$199,'FE Fret'!$G:$U,15,FALSE))
+$M203*IF(ISNA(VLOOKUP($B203&amp;"; "&amp;$N$198&amp;", "&amp;H$199,'FE Fret'!$G:$U,15,FALSE)),0,VLOOKUP($B203&amp;"; "&amp;$N$198&amp;", "&amp;H$199,'FE Fret'!$G:$U,15,FALSE))
+$P203*IF(ISNA(VLOOKUP($B203&amp;"; "&amp;$Q$198&amp;", "&amp;H$199,'FE Fret'!$G:$U,15,FALSE)),0,VLOOKUP($B203&amp;"; "&amp;$Q$198&amp;", "&amp;H$199,'FE Fret'!$G:$U,15,FALSE))</f>
        <v>0</v>
      </c>
      <c r="AX203" s="565">
        <f>$G203*IF(ISNA(VLOOKUP($B203&amp;"; "&amp;$H$198&amp;", "&amp;I$199,'FE Fret'!$G:$U,15,FALSE)),0,VLOOKUP($B203&amp;"; "&amp;$H$198&amp;", "&amp;I$199,'FE Fret'!$G:$U,15,FALSE))
+$J203*IF(ISNA(VLOOKUP($B203&amp;"; "&amp;$K$198&amp;", "&amp;I$199,'FE Fret'!$G:$U,15,FALSE)),0,VLOOKUP($B203&amp;"; "&amp;$K$198&amp;", "&amp;I$199,'FE Fret'!$G:$U,15,FALSE))
+$M203*IF(ISNA(VLOOKUP($B203&amp;"; "&amp;$N$198&amp;", "&amp;I$199,'FE Fret'!$G:$U,15,FALSE)),0,VLOOKUP($B203&amp;"; "&amp;$N$198&amp;", "&amp;I$199,'FE Fret'!$G:$U,15,FALSE))
+$P203*IF(ISNA(VLOOKUP($B203&amp;"; "&amp;$Q$198&amp;", "&amp;I$199,'FE Fret'!$G:$U,15,FALSE)),0,VLOOKUP($B203&amp;"; "&amp;$Q$198&amp;", "&amp;I$199,'FE Fret'!$G:$U,15,FALSE))</f>
        <v>0</v>
      </c>
      <c r="AY203" s="568"/>
      <c r="AZ203" s="565"/>
      <c r="BA203" s="565"/>
      <c r="BB203" s="565"/>
      <c r="BC203" s="565"/>
      <c r="BD203" s="565"/>
      <c r="BE203" s="565"/>
      <c r="BF203" s="565"/>
      <c r="BH203" s="1065">
        <f>IF($Y203&lt;&gt;"votre valeur :",IF(ISNA(VLOOKUP($Y203,Utilitaires!$N$566:$O$571,2,FALSE)),,VLOOKUP($Y203,Utilitaires!$N$566:$O$571,2,FALSE)),$Z203)</f>
        <v>0</v>
      </c>
      <c r="BI203" s="1124">
        <f>IF(ISNA(SQRT(SUMSQ(VLOOKUP($B203&amp;"; "&amp;$H$198&amp;", "&amp;H$199,'FE Fret'!$G:$U,7,FALSE),$BH203))),0,SQRT(SUMSQ(VLOOKUP($B203&amp;"; "&amp;$H$198&amp;", "&amp;$H$199,'FE Fret'!$G:$U,7,FALSE),$BH203)))</f>
        <v>0</v>
      </c>
      <c r="BJ203" s="1068">
        <f>IF(ISNA(SQRT(SUMSQ(VLOOKUP($B203&amp;"; "&amp;$K$198&amp;", "&amp;$K$199,'FE Fret'!$G:$U,7,FALSE),$BH203))),0,SQRT(SUMSQ(VLOOKUP($B203&amp;"; "&amp;$K$198&amp;", "&amp;$K$199,'FE Fret'!$G:$U,7,FALSE),$BH203)))</f>
        <v>0.05</v>
      </c>
      <c r="BK203" s="1068">
        <f>IF(ISNA(SQRT(SUMSQ(VLOOKUP($B203&amp;"; "&amp;$N$198&amp;", "&amp;$N$199,'FE Fret'!$G:$U,7,FALSE),$BH203))),0,SQRT(SUMSQ(VLOOKUP($B203&amp;"; "&amp;$N$198&amp;", "&amp;$N$199,'FE Fret'!$G:$U,7,FALSE),$BH203)))</f>
        <v>0.05</v>
      </c>
      <c r="BL203" s="1068">
        <f>IF(ISNA(SQRT(SUMSQ(VLOOKUP($B203&amp;"; "&amp;$Q$198&amp;", "&amp;$Q$199,'FE Fret'!$G:$U,7,FALSE),$BH203))),0,SQRT(SUMSQ(VLOOKUP($B203&amp;"; "&amp;$Q$198&amp;", "&amp;$Q$199,'FE Fret'!$G:$U,7,FALSE),$BH203)))</f>
        <v>0.05</v>
      </c>
      <c r="BM203" s="1124">
        <f>IF(ISNA(SQRT(SUMSQ(VLOOKUP($B203&amp;"; "&amp;$H$198&amp;", "&amp;I$199,'FE Fret'!$G:$U,7,FALSE),$BH203))),0,SQRT(SUMSQ(VLOOKUP($B203&amp;"; "&amp;$H$198&amp;", "&amp;$I$199,'FE Fret'!$G:$U,7,FALSE),$BH203)))</f>
        <v>0</v>
      </c>
      <c r="BN203" s="1068">
        <f>IF(ISNA(SQRT(SUMSQ(VLOOKUP($B203&amp;"; "&amp;$K$198&amp;", "&amp;$L$199,'FE Fret'!$G:$U,7,FALSE),$BH203))),0,SQRT(SUMSQ(VLOOKUP($B203&amp;"; "&amp;$K$198&amp;", "&amp;$L$199,'FE Fret'!$G:$U,7,FALSE),$BH203)))</f>
        <v>0.05</v>
      </c>
      <c r="BO203" s="1068">
        <f>IF(ISNA(SQRT(SUMSQ(VLOOKUP($B203&amp;"; "&amp;$N$198&amp;", "&amp;$O$199,'FE Fret'!$G:$U,7,FALSE),$BH203))),0,SQRT(SUMSQ(VLOOKUP($B203&amp;"; "&amp;$N$198&amp;", "&amp;$O$199,'FE Fret'!$G:$U,7,FALSE),$BH203)))</f>
        <v>0.05</v>
      </c>
      <c r="BP203" s="1125">
        <f>IF(ISNA(SQRT(SUMSQ(VLOOKUP($B203&amp;"; "&amp;$Q$198&amp;", "&amp;$R$199,'FE Fret'!$G:$U,7,FALSE),$BH203))),0,SQRT(SUMSQ(VLOOKUP($B203&amp;"; "&amp;$Q$198&amp;", "&amp;$R$199,'FE Fret'!$G:$U,7,FALSE),$BH203)))</f>
        <v>0.05</v>
      </c>
    </row>
    <row r="204" spans="1:68" hidden="1" outlineLevel="2">
      <c r="B204" s="143" t="s">
        <v>5163</v>
      </c>
      <c r="C204" s="144"/>
      <c r="D204" s="212">
        <f t="shared" si="65"/>
        <v>0</v>
      </c>
      <c r="E204" s="212"/>
      <c r="F204" s="120"/>
      <c r="G204" s="120"/>
      <c r="H204" s="335">
        <f>VLOOKUP($B204&amp;"; "&amp;$H$198&amp;", "&amp;H$199,'FE Fret'!$G:$U,9,FALSE)</f>
        <v>8060</v>
      </c>
      <c r="I204" s="335" t="e">
        <f>VLOOKUP($B204&amp;"; "&amp;$H$198&amp;", "&amp;I$199,'FE Fret'!$G:$U,9,FALSE)</f>
        <v>#N/A</v>
      </c>
      <c r="J204" s="120"/>
      <c r="K204" s="335">
        <f>VLOOKUP($B204&amp;"; "&amp;$K$198&amp;", "&amp;K$199,'FE Fret'!$G:$U,9,FALSE)</f>
        <v>0.78</v>
      </c>
      <c r="L204" s="335" t="e">
        <f>VLOOKUP($B204&amp;"; "&amp;$K$198&amp;", "&amp;L$199,'FE Fret'!$G:$U,9,FALSE)</f>
        <v>#N/A</v>
      </c>
      <c r="M204" s="120"/>
      <c r="N204" s="335">
        <f>VLOOKUP($B204&amp;"; "&amp;$N$198&amp;", "&amp;N$199,'FE Fret'!$G:$U,9,FALSE)</f>
        <v>9070</v>
      </c>
      <c r="O204" s="335" t="e">
        <f>VLOOKUP($B204&amp;"; "&amp;$N$198&amp;", "&amp;O$199,'FE Fret'!$G:$U,9,FALSE)</f>
        <v>#N/A</v>
      </c>
      <c r="P204" s="120"/>
      <c r="Q204" s="335">
        <f>VLOOKUP($B204&amp;"; "&amp;$Q$198&amp;", "&amp;Q$199,'FE Fret'!$G:$U,9,FALSE)</f>
        <v>7.17</v>
      </c>
      <c r="R204" s="335" t="e">
        <f>VLOOKUP($B204&amp;"; "&amp;$Q$198&amp;", "&amp;R$199,'FE Fret'!$G:$U,9,FALSE)</f>
        <v>#N/A</v>
      </c>
      <c r="S204" s="356">
        <f t="shared" si="66"/>
        <v>0</v>
      </c>
      <c r="T204" s="356">
        <f t="shared" si="66"/>
        <v>0</v>
      </c>
      <c r="U204" s="1286">
        <f>IF(OR(F204=Utilitaires!$I$572,F204=Utilitaires!$I$577),T204,0)</f>
        <v>0</v>
      </c>
      <c r="X204" s="1092">
        <f t="shared" si="67"/>
        <v>0</v>
      </c>
      <c r="Y204" s="343"/>
      <c r="Z204" s="820"/>
      <c r="AA204" s="164">
        <f t="shared" si="68"/>
        <v>0</v>
      </c>
      <c r="AB204" s="164">
        <f t="shared" si="69"/>
        <v>0</v>
      </c>
      <c r="AC204" s="164"/>
      <c r="AD204" s="151"/>
      <c r="AE204" s="151">
        <f t="shared" si="70"/>
        <v>0</v>
      </c>
      <c r="AF204" s="1286">
        <f t="shared" si="71"/>
        <v>0</v>
      </c>
      <c r="AG204" s="116"/>
      <c r="AH204" s="564">
        <f>$G204*IF(ISNA(VLOOKUP($B204&amp;"; "&amp;$H$198&amp;", "&amp;H$199,'FE Fret'!$G:$U,10,FALSE)),0,VLOOKUP($B204&amp;"; "&amp;$H$198&amp;", "&amp;H$199,'FE Fret'!$G:$U,10,FALSE))
+$J204*IF(ISNA(VLOOKUP($B204&amp;"; "&amp;$K$198&amp;", "&amp;H$199,'FE Fret'!$G:$U,10,FALSE)),0,VLOOKUP($B204&amp;"; "&amp;$K$198&amp;", "&amp;H$199,'FE Fret'!$G:$U,10,FALSE))
+$M204*IF(ISNA(VLOOKUP($B204&amp;"; "&amp;$N$198&amp;", "&amp;H$199,'FE Fret'!$G:$U,10,FALSE)),0,VLOOKUP($B204&amp;"; "&amp;$N$198&amp;", "&amp;H$199,'FE Fret'!$G:$U,10,FALSE))
+$P204*IF(ISNA(VLOOKUP($B204&amp;"; "&amp;$Q$198&amp;", "&amp;H$199,'FE Fret'!$G:$U,10,FALSE)),0,VLOOKUP($B204&amp;"; "&amp;$Q$198&amp;", "&amp;H$199,'FE Fret'!$G:$U,10,FALSE))</f>
        <v>0</v>
      </c>
      <c r="AI204" s="565">
        <f>$G204*IF(ISNA(VLOOKUP($B204&amp;"; "&amp;$H$198&amp;", "&amp;I$199,'FE Fret'!$G:$U,10,FALSE)),0,VLOOKUP($B204&amp;"; "&amp;$H$198&amp;", "&amp;I$199,'FE Fret'!$G:$U,10,FALSE))
+$J204*IF(ISNA(VLOOKUP($B204&amp;"; "&amp;$K$198&amp;", "&amp;I$199,'FE Fret'!$G:$U,10,FALSE)),0,VLOOKUP($B204&amp;"; "&amp;$K$198&amp;", "&amp;I$199,'FE Fret'!$G:$U,10,FALSE))
+$M204*IF(ISNA(VLOOKUP($B204&amp;"; "&amp;$N$198&amp;", "&amp;I$199,'FE Fret'!$G:$U,10,FALSE)),0,VLOOKUP($B204&amp;"; "&amp;$N$198&amp;", "&amp;I$199,'FE Fret'!$G:$U,10,FALSE))
+$P204*IF(ISNA(VLOOKUP($B204&amp;"; "&amp;$Q$198&amp;", "&amp;I$199,'FE Fret'!$G:$U,10,FALSE)),0,VLOOKUP($B204&amp;"; "&amp;$Q$198&amp;", "&amp;I$199,'FE Fret'!$G:$U,10,FALSE))</f>
        <v>0</v>
      </c>
      <c r="AJ204" s="565"/>
      <c r="AK204" s="565">
        <f>$G204*IF(ISNA((VLOOKUP($B204&amp;"; "&amp;$H$198&amp;", "&amp;H$199,'FE Fret'!$G:$U,12,FALSE)+VLOOKUP($B204&amp;"; "&amp;$H$198&amp;", "&amp;H$199,'FE Fret'!$G:$U,11,FALSE))),0,(VLOOKUP($B204&amp;"; "&amp;$H$198&amp;", "&amp;H$199,'FE Fret'!$G:$U,12,FALSE)+VLOOKUP($B204&amp;"; "&amp;$H$198&amp;", "&amp;H$199,'FE Fret'!$G:$U,11,FALSE)))
+$J204*IF(ISNA((VLOOKUP($B204&amp;"; "&amp;$K$198&amp;", "&amp;H$199,'FE Fret'!$G:$U,12,FALSE)+VLOOKUP($B204&amp;"; "&amp;$K$198&amp;", "&amp;H$199,'FE Fret'!$G:$U,11,FALSE))),0,(VLOOKUP($B204&amp;"; "&amp;$K$198&amp;", "&amp;H$199,'FE Fret'!$G:$U,12,FALSE)+VLOOKUP($B204&amp;"; "&amp;$K$198&amp;", "&amp;H$199,'FE Fret'!$G:$U,11,FALSE)))
+$M204*IF(ISNA((VLOOKUP($B204&amp;"; "&amp;$N$198&amp;", "&amp;H$199,'FE Fret'!$G:$U,12,FALSE)+VLOOKUP($B204&amp;"; "&amp;$N$198&amp;", "&amp;H$199,'FE Fret'!$G:$U,11,FALSE))),0,(VLOOKUP($B204&amp;"; "&amp;$N$198&amp;", "&amp;H$199,'FE Fret'!$G:$U,12,FALSE)+VLOOKUP($B204&amp;"; "&amp;$N$198&amp;", "&amp;H$199,'FE Fret'!$G:$U,11,FALSE)))
+$P204*IF(ISNA((VLOOKUP($B204&amp;"; "&amp;$Q$198&amp;", "&amp;H$199,'FE Fret'!$G:$U,12,FALSE)+VLOOKUP($B204&amp;"; "&amp;$Q$198&amp;", "&amp;H$199,'FE Fret'!$G:$U,11,FALSE))),0,(VLOOKUP($B204&amp;"; "&amp;$Q$198&amp;", "&amp;H$199,'FE Fret'!$G:$U,12,FALSE)+VLOOKUP($B204&amp;"; "&amp;$Q$198&amp;", "&amp;H$199,'FE Fret'!$G:$U,11,FALSE)))</f>
        <v>0</v>
      </c>
      <c r="AL204" s="565">
        <f>$G204*IF(ISNA((VLOOKUP($B204&amp;"; "&amp;$H$198&amp;", "&amp;I$199,'FE Fret'!$G:$U,12,FALSE)+VLOOKUP($B204&amp;"; "&amp;$H$198&amp;", "&amp;I$199,'FE Fret'!$G:$U,11,FALSE))),0,(VLOOKUP($B204&amp;"; "&amp;$H$198&amp;", "&amp;I$199,'FE Fret'!$G:$U,12,FALSE)+VLOOKUP($B204&amp;"; "&amp;$H$198&amp;", "&amp;I$199,'FE Fret'!$G:$U,11,FALSE)))
+$J204*IF(ISNA((VLOOKUP($B204&amp;"; "&amp;$K$198&amp;", "&amp;I$199,'FE Fret'!$G:$U,12,FALSE)+VLOOKUP($B204&amp;"; "&amp;$K$198&amp;", "&amp;I$199,'FE Fret'!$G:$U,11,FALSE))),0,(VLOOKUP($B204&amp;"; "&amp;$K$198&amp;", "&amp;I$199,'FE Fret'!$G:$U,12,FALSE)+VLOOKUP($B204&amp;"; "&amp;$K$198&amp;", "&amp;I$199,'FE Fret'!$G:$U,11,FALSE)))
+$M204*IF(ISNA((VLOOKUP($B204&amp;"; "&amp;$N$198&amp;", "&amp;I$199,'FE Fret'!$G:$U,12,FALSE)+VLOOKUP($B204&amp;"; "&amp;$N$198&amp;", "&amp;I$199,'FE Fret'!$G:$U,11,FALSE))),0,(VLOOKUP($B204&amp;"; "&amp;$N$198&amp;", "&amp;I$199,'FE Fret'!$G:$U,12,FALSE)+VLOOKUP($B204&amp;"; "&amp;$N$198&amp;", "&amp;I$199,'FE Fret'!$G:$U,11,FALSE)))
+$P204*IF(ISNA((VLOOKUP($B204&amp;"; "&amp;$Q$198&amp;", "&amp;I$199,'FE Fret'!$G:$U,12,FALSE)+VLOOKUP($B204&amp;"; "&amp;$Q$198&amp;", "&amp;I$199,'FE Fret'!$G:$U,11,FALSE))),0,(VLOOKUP($B204&amp;"; "&amp;$Q$198&amp;", "&amp;I$199,'FE Fret'!$G:$U,12,FALSE)+VLOOKUP($B204&amp;"; "&amp;$Q$198&amp;", "&amp;I$199,'FE Fret'!$G:$U,11,FALSE)))</f>
        <v>0</v>
      </c>
      <c r="AM204" s="565"/>
      <c r="AN204" s="565">
        <f>$G204*IF(ISNA(VLOOKUP($B204&amp;"; "&amp;$H$198&amp;", "&amp;H$199,'FE Fret'!$G:$U,13,FALSE)),0,VLOOKUP($B204&amp;"; "&amp;$H$198&amp;", "&amp;H$199,'FE Fret'!$G:$U,13,FALSE))
+$J204*IF(ISNA(VLOOKUP($B204&amp;"; "&amp;$K$198&amp;", "&amp;H$199,'FE Fret'!$G:$U,13,FALSE)),0,VLOOKUP($B204&amp;"; "&amp;$K$198&amp;", "&amp;H$199,'FE Fret'!$G:$U,13,FALSE))
+$M204*IF(ISNA(VLOOKUP($B204&amp;"; "&amp;$N$198&amp;", "&amp;H$199,'FE Fret'!$G:$U,13,FALSE)),0,VLOOKUP($B204&amp;"; "&amp;$N$198&amp;", "&amp;H$199,'FE Fret'!$G:$U,13,FALSE))
+$P204*IF(ISNA(VLOOKUP($B204&amp;"; "&amp;$Q$198&amp;", "&amp;H$199,'FE Fret'!$G:$U,13,FALSE)),0,VLOOKUP($B204&amp;"; "&amp;$Q$198&amp;", "&amp;H$199,'FE Fret'!$G:$U,13,FALSE))</f>
        <v>0</v>
      </c>
      <c r="AO204" s="565">
        <f>$G204*IF(ISNA(VLOOKUP($B204&amp;"; "&amp;$H$198&amp;", "&amp;I$199,'FE Fret'!$G:$U,13,FALSE)),0,VLOOKUP($B204&amp;"; "&amp;$H$198&amp;", "&amp;I$199,'FE Fret'!$G:$U,13,FALSE))
+$J204*IF(ISNA(VLOOKUP($B204&amp;"; "&amp;$K$198&amp;", "&amp;I$199,'FE Fret'!$G:$U,13,FALSE)),0,VLOOKUP($B204&amp;"; "&amp;$K$198&amp;", "&amp;I$199,'FE Fret'!$G:$U,13,FALSE))
+$M204*IF(ISNA(VLOOKUP($B204&amp;"; "&amp;$N$198&amp;", "&amp;I$199,'FE Fret'!$G:$U,13,FALSE)),0,VLOOKUP($B204&amp;"; "&amp;$N$198&amp;", "&amp;I$199,'FE Fret'!$G:$U,13,FALSE))
+$P204*IF(ISNA(VLOOKUP($B204&amp;"; "&amp;$Q$198&amp;", "&amp;I$199,'FE Fret'!$G:$U,13,FALSE)),0,VLOOKUP($B204&amp;"; "&amp;$Q$198&amp;", "&amp;I$199,'FE Fret'!$G:$U,13,FALSE))</f>
        <v>0</v>
      </c>
      <c r="AP204" s="565"/>
      <c r="AQ204" s="565">
        <v>0</v>
      </c>
      <c r="AR204" s="565">
        <v>0</v>
      </c>
      <c r="AS204" s="565"/>
      <c r="AT204" s="566">
        <f t="shared" si="72"/>
        <v>0</v>
      </c>
      <c r="AU204" s="566">
        <f t="shared" si="73"/>
        <v>0</v>
      </c>
      <c r="AV204" s="567"/>
      <c r="AW204" s="565">
        <f>$G204*IF(ISNA(VLOOKUP($B204&amp;"; "&amp;$H$198&amp;", "&amp;H$199,'FE Fret'!$G:$U,15,FALSE)),0,VLOOKUP($B204&amp;"; "&amp;$H$198&amp;", "&amp;H$199,'FE Fret'!$G:$U,15,FALSE))
+$J204*IF(ISNA(VLOOKUP($B204&amp;"; "&amp;$K$198&amp;", "&amp;H$199,'FE Fret'!$G:$U,15,FALSE)),0,VLOOKUP($B204&amp;"; "&amp;$K$198&amp;", "&amp;H$199,'FE Fret'!$G:$U,15,FALSE))
+$M204*IF(ISNA(VLOOKUP($B204&amp;"; "&amp;$N$198&amp;", "&amp;H$199,'FE Fret'!$G:$U,15,FALSE)),0,VLOOKUP($B204&amp;"; "&amp;$N$198&amp;", "&amp;H$199,'FE Fret'!$G:$U,15,FALSE))
+$P204*IF(ISNA(VLOOKUP($B204&amp;"; "&amp;$Q$198&amp;", "&amp;H$199,'FE Fret'!$G:$U,15,FALSE)),0,VLOOKUP($B204&amp;"; "&amp;$Q$198&amp;", "&amp;H$199,'FE Fret'!$G:$U,15,FALSE))</f>
        <v>0</v>
      </c>
      <c r="AX204" s="565">
        <f>$G204*IF(ISNA(VLOOKUP($B204&amp;"; "&amp;$H$198&amp;", "&amp;I$199,'FE Fret'!$G:$U,15,FALSE)),0,VLOOKUP($B204&amp;"; "&amp;$H$198&amp;", "&amp;I$199,'FE Fret'!$G:$U,15,FALSE))
+$J204*IF(ISNA(VLOOKUP($B204&amp;"; "&amp;$K$198&amp;", "&amp;I$199,'FE Fret'!$G:$U,15,FALSE)),0,VLOOKUP($B204&amp;"; "&amp;$K$198&amp;", "&amp;I$199,'FE Fret'!$G:$U,15,FALSE))
+$M204*IF(ISNA(VLOOKUP($B204&amp;"; "&amp;$N$198&amp;", "&amp;I$199,'FE Fret'!$G:$U,15,FALSE)),0,VLOOKUP($B204&amp;"; "&amp;$N$198&amp;", "&amp;I$199,'FE Fret'!$G:$U,15,FALSE))
+$P204*IF(ISNA(VLOOKUP($B204&amp;"; "&amp;$Q$198&amp;", "&amp;I$199,'FE Fret'!$G:$U,15,FALSE)),0,VLOOKUP($B204&amp;"; "&amp;$Q$198&amp;", "&amp;I$199,'FE Fret'!$G:$U,15,FALSE))</f>
        <v>0</v>
      </c>
      <c r="AY204" s="568"/>
      <c r="AZ204" s="565"/>
      <c r="BA204" s="565"/>
      <c r="BB204" s="565"/>
      <c r="BC204" s="565"/>
      <c r="BD204" s="565"/>
      <c r="BE204" s="565"/>
      <c r="BF204" s="565"/>
      <c r="BH204" s="1065">
        <f>IF($Y204&lt;&gt;"votre valeur :",IF(ISNA(VLOOKUP($Y204,Utilitaires!$N$566:$O$571,2,FALSE)),,VLOOKUP($Y204,Utilitaires!$N$566:$O$571,2,FALSE)),$Z204)</f>
        <v>0</v>
      </c>
      <c r="BI204" s="1124">
        <f>IF(ISNA(SQRT(SUMSQ(VLOOKUP($B204&amp;"; "&amp;$H$198&amp;", "&amp;H$199,'FE Fret'!$G:$U,7,FALSE),$BH204))),0,SQRT(SUMSQ(VLOOKUP($B204&amp;"; "&amp;$H$198&amp;", "&amp;$H$199,'FE Fret'!$G:$U,7,FALSE),$BH204)))</f>
        <v>0.2</v>
      </c>
      <c r="BJ204" s="1068">
        <f>IF(ISNA(SQRT(SUMSQ(VLOOKUP($B204&amp;"; "&amp;$K$198&amp;", "&amp;$K$199,'FE Fret'!$G:$U,7,FALSE),$BH204))),0,SQRT(SUMSQ(VLOOKUP($B204&amp;"; "&amp;$K$198&amp;", "&amp;$K$199,'FE Fret'!$G:$U,7,FALSE),$BH204)))</f>
        <v>0.2</v>
      </c>
      <c r="BK204" s="1068">
        <f>IF(ISNA(SQRT(SUMSQ(VLOOKUP($B204&amp;"; "&amp;$N$198&amp;", "&amp;$N$199,'FE Fret'!$G:$U,7,FALSE),$BH204))),0,SQRT(SUMSQ(VLOOKUP($B204&amp;"; "&amp;$N$198&amp;", "&amp;$N$199,'FE Fret'!$G:$U,7,FALSE),$BH204)))</f>
        <v>0.2</v>
      </c>
      <c r="BL204" s="1068">
        <f>IF(ISNA(SQRT(SUMSQ(VLOOKUP($B204&amp;"; "&amp;$Q$198&amp;", "&amp;$Q$199,'FE Fret'!$G:$U,7,FALSE),$BH204))),0,SQRT(SUMSQ(VLOOKUP($B204&amp;"; "&amp;$Q$198&amp;", "&amp;$Q$199,'FE Fret'!$G:$U,7,FALSE),$BH204)))</f>
        <v>0.2</v>
      </c>
      <c r="BM204" s="1124">
        <f>IF(ISNA(SQRT(SUMSQ(VLOOKUP($B204&amp;"; "&amp;$H$198&amp;", "&amp;I$199,'FE Fret'!$G:$U,7,FALSE),$BH204))),0,SQRT(SUMSQ(VLOOKUP($B204&amp;"; "&amp;$H$198&amp;", "&amp;$I$199,'FE Fret'!$G:$U,7,FALSE),$BH204)))</f>
        <v>0</v>
      </c>
      <c r="BN204" s="1068">
        <f>IF(ISNA(SQRT(SUMSQ(VLOOKUP($B204&amp;"; "&amp;$K$198&amp;", "&amp;$L$199,'FE Fret'!$G:$U,7,FALSE),$BH204))),0,SQRT(SUMSQ(VLOOKUP($B204&amp;"; "&amp;$K$198&amp;", "&amp;$L$199,'FE Fret'!$G:$U,7,FALSE),$BH204)))</f>
        <v>0</v>
      </c>
      <c r="BO204" s="1068">
        <f>IF(ISNA(SQRT(SUMSQ(VLOOKUP($B204&amp;"; "&amp;$N$198&amp;", "&amp;$O$199,'FE Fret'!$G:$U,7,FALSE),$BH204))),0,SQRT(SUMSQ(VLOOKUP($B204&amp;"; "&amp;$N$198&amp;", "&amp;$O$199,'FE Fret'!$G:$U,7,FALSE),$BH204)))</f>
        <v>0</v>
      </c>
      <c r="BP204" s="1125">
        <f>IF(ISNA(SQRT(SUMSQ(VLOOKUP($B204&amp;"; "&amp;$Q$198&amp;", "&amp;$R$199,'FE Fret'!$G:$U,7,FALSE),$BH204))),0,SQRT(SUMSQ(VLOOKUP($B204&amp;"; "&amp;$Q$198&amp;", "&amp;$R$199,'FE Fret'!$G:$U,7,FALSE),$BH204)))</f>
        <v>0</v>
      </c>
    </row>
    <row r="205" spans="1:68" hidden="1" outlineLevel="2">
      <c r="B205" s="143" t="s">
        <v>2253</v>
      </c>
      <c r="C205" s="144"/>
      <c r="D205" s="212">
        <f t="shared" si="65"/>
        <v>0</v>
      </c>
      <c r="E205" s="212"/>
      <c r="F205" s="123"/>
      <c r="G205" s="123"/>
      <c r="H205" s="335">
        <f>VLOOKUP($B205&amp;"; "&amp;$H$198&amp;", "&amp;H$199,'FE Fret'!$G:$U,9,FALSE)</f>
        <v>1070</v>
      </c>
      <c r="I205" s="335" t="e">
        <f>VLOOKUP($B205&amp;"; "&amp;$H$198&amp;", "&amp;I$199,'FE Fret'!$G:$U,9,FALSE)</f>
        <v>#N/A</v>
      </c>
      <c r="J205" s="123"/>
      <c r="K205" s="335">
        <f>VLOOKUP($B205&amp;"; "&amp;$K$198&amp;", "&amp;K$199,'FE Fret'!$G:$U,9,FALSE)</f>
        <v>0.14399999999999999</v>
      </c>
      <c r="L205" s="335" t="e">
        <f>VLOOKUP($B205&amp;"; "&amp;$K$198&amp;", "&amp;L$199,'FE Fret'!$G:$U,9,FALSE)</f>
        <v>#N/A</v>
      </c>
      <c r="M205" s="123"/>
      <c r="N205" s="335">
        <f>VLOOKUP($B205&amp;"; "&amp;$N$198&amp;", "&amp;N$199,'FE Fret'!$G:$U,9,FALSE)</f>
        <v>1670</v>
      </c>
      <c r="O205" s="335" t="e">
        <f>VLOOKUP($B205&amp;"; "&amp;$N$198&amp;", "&amp;O$199,'FE Fret'!$G:$U,9,FALSE)</f>
        <v>#N/A</v>
      </c>
      <c r="P205" s="123"/>
      <c r="Q205" s="335">
        <f>VLOOKUP($B205&amp;"; "&amp;$Q$198&amp;", "&amp;Q$199,'FE Fret'!$G:$U,9,FALSE)</f>
        <v>0.84799999999999998</v>
      </c>
      <c r="R205" s="335" t="e">
        <f>VLOOKUP($B205&amp;"; "&amp;$Q$198&amp;", "&amp;R$199,'FE Fret'!$G:$U,9,FALSE)</f>
        <v>#N/A</v>
      </c>
      <c r="S205" s="356">
        <f t="shared" si="66"/>
        <v>0</v>
      </c>
      <c r="T205" s="356">
        <f t="shared" si="66"/>
        <v>0</v>
      </c>
      <c r="U205" s="1286">
        <f>IF(OR(F205=Utilitaires!$I$572,F205=Utilitaires!$I$577),T205,0)</f>
        <v>0</v>
      </c>
      <c r="X205" s="1092">
        <f t="shared" si="67"/>
        <v>0</v>
      </c>
      <c r="Y205" s="1218"/>
      <c r="Z205" s="820"/>
      <c r="AA205" s="164">
        <f t="shared" si="68"/>
        <v>0</v>
      </c>
      <c r="AB205" s="164">
        <f t="shared" si="69"/>
        <v>0</v>
      </c>
      <c r="AC205" s="164"/>
      <c r="AD205" s="151"/>
      <c r="AE205" s="151">
        <f t="shared" si="70"/>
        <v>0</v>
      </c>
      <c r="AF205" s="1286">
        <f t="shared" si="71"/>
        <v>0</v>
      </c>
      <c r="AG205" s="116"/>
      <c r="AH205" s="564">
        <f>$G205*IF(ISNA(VLOOKUP($B205&amp;"; "&amp;$H$198&amp;", "&amp;H$199,'FE Fret'!$G:$U,10,FALSE)),0,VLOOKUP($B205&amp;"; "&amp;$H$198&amp;", "&amp;H$199,'FE Fret'!$G:$U,10,FALSE))
+$J205*IF(ISNA(VLOOKUP($B205&amp;"; "&amp;$K$198&amp;", "&amp;H$199,'FE Fret'!$G:$U,10,FALSE)),0,VLOOKUP($B205&amp;"; "&amp;$K$198&amp;", "&amp;H$199,'FE Fret'!$G:$U,10,FALSE))
+$M205*IF(ISNA(VLOOKUP($B205&amp;"; "&amp;$N$198&amp;", "&amp;H$199,'FE Fret'!$G:$U,10,FALSE)),0,VLOOKUP($B205&amp;"; "&amp;$N$198&amp;", "&amp;H$199,'FE Fret'!$G:$U,10,FALSE))
+$P205*IF(ISNA(VLOOKUP($B205&amp;"; "&amp;$Q$198&amp;", "&amp;H$199,'FE Fret'!$G:$U,10,FALSE)),0,VLOOKUP($B205&amp;"; "&amp;$Q$198&amp;", "&amp;H$199,'FE Fret'!$G:$U,10,FALSE))</f>
        <v>0</v>
      </c>
      <c r="AI205" s="565">
        <f>$G205*IF(ISNA(VLOOKUP($B205&amp;"; "&amp;$H$198&amp;", "&amp;I$199,'FE Fret'!$G:$U,10,FALSE)),0,VLOOKUP($B205&amp;"; "&amp;$H$198&amp;", "&amp;I$199,'FE Fret'!$G:$U,10,FALSE))
+$J205*IF(ISNA(VLOOKUP($B205&amp;"; "&amp;$K$198&amp;", "&amp;I$199,'FE Fret'!$G:$U,10,FALSE)),0,VLOOKUP($B205&amp;"; "&amp;$K$198&amp;", "&amp;I$199,'FE Fret'!$G:$U,10,FALSE))
+$M205*IF(ISNA(VLOOKUP($B205&amp;"; "&amp;$N$198&amp;", "&amp;I$199,'FE Fret'!$G:$U,10,FALSE)),0,VLOOKUP($B205&amp;"; "&amp;$N$198&amp;", "&amp;I$199,'FE Fret'!$G:$U,10,FALSE))
+$P205*IF(ISNA(VLOOKUP($B205&amp;"; "&amp;$Q$198&amp;", "&amp;I$199,'FE Fret'!$G:$U,10,FALSE)),0,VLOOKUP($B205&amp;"; "&amp;$Q$198&amp;", "&amp;I$199,'FE Fret'!$G:$U,10,FALSE))</f>
        <v>0</v>
      </c>
      <c r="AJ205" s="565"/>
      <c r="AK205" s="565">
        <f>$G205*IF(ISNA((VLOOKUP($B205&amp;"; "&amp;$H$198&amp;", "&amp;H$199,'FE Fret'!$G:$U,12,FALSE)+VLOOKUP($B205&amp;"; "&amp;$H$198&amp;", "&amp;H$199,'FE Fret'!$G:$U,11,FALSE))),0,(VLOOKUP($B205&amp;"; "&amp;$H$198&amp;", "&amp;H$199,'FE Fret'!$G:$U,12,FALSE)+VLOOKUP($B205&amp;"; "&amp;$H$198&amp;", "&amp;H$199,'FE Fret'!$G:$U,11,FALSE)))
+$J205*IF(ISNA((VLOOKUP($B205&amp;"; "&amp;$K$198&amp;", "&amp;H$199,'FE Fret'!$G:$U,12,FALSE)+VLOOKUP($B205&amp;"; "&amp;$K$198&amp;", "&amp;H$199,'FE Fret'!$G:$U,11,FALSE))),0,(VLOOKUP($B205&amp;"; "&amp;$K$198&amp;", "&amp;H$199,'FE Fret'!$G:$U,12,FALSE)+VLOOKUP($B205&amp;"; "&amp;$K$198&amp;", "&amp;H$199,'FE Fret'!$G:$U,11,FALSE)))
+$M205*IF(ISNA((VLOOKUP($B205&amp;"; "&amp;$N$198&amp;", "&amp;H$199,'FE Fret'!$G:$U,12,FALSE)+VLOOKUP($B205&amp;"; "&amp;$N$198&amp;", "&amp;H$199,'FE Fret'!$G:$U,11,FALSE))),0,(VLOOKUP($B205&amp;"; "&amp;$N$198&amp;", "&amp;H$199,'FE Fret'!$G:$U,12,FALSE)+VLOOKUP($B205&amp;"; "&amp;$N$198&amp;", "&amp;H$199,'FE Fret'!$G:$U,11,FALSE)))
+$P205*IF(ISNA((VLOOKUP($B205&amp;"; "&amp;$Q$198&amp;", "&amp;H$199,'FE Fret'!$G:$U,12,FALSE)+VLOOKUP($B205&amp;"; "&amp;$Q$198&amp;", "&amp;H$199,'FE Fret'!$G:$U,11,FALSE))),0,(VLOOKUP($B205&amp;"; "&amp;$Q$198&amp;", "&amp;H$199,'FE Fret'!$G:$U,12,FALSE)+VLOOKUP($B205&amp;"; "&amp;$Q$198&amp;", "&amp;H$199,'FE Fret'!$G:$U,11,FALSE)))</f>
        <v>0</v>
      </c>
      <c r="AL205" s="565">
        <f>$G205*IF(ISNA((VLOOKUP($B205&amp;"; "&amp;$H$198&amp;", "&amp;I$199,'FE Fret'!$G:$U,12,FALSE)+VLOOKUP($B205&amp;"; "&amp;$H$198&amp;", "&amp;I$199,'FE Fret'!$G:$U,11,FALSE))),0,(VLOOKUP($B205&amp;"; "&amp;$H$198&amp;", "&amp;I$199,'FE Fret'!$G:$U,12,FALSE)+VLOOKUP($B205&amp;"; "&amp;$H$198&amp;", "&amp;I$199,'FE Fret'!$G:$U,11,FALSE)))
+$J205*IF(ISNA((VLOOKUP($B205&amp;"; "&amp;$K$198&amp;", "&amp;I$199,'FE Fret'!$G:$U,12,FALSE)+VLOOKUP($B205&amp;"; "&amp;$K$198&amp;", "&amp;I$199,'FE Fret'!$G:$U,11,FALSE))),0,(VLOOKUP($B205&amp;"; "&amp;$K$198&amp;", "&amp;I$199,'FE Fret'!$G:$U,12,FALSE)+VLOOKUP($B205&amp;"; "&amp;$K$198&amp;", "&amp;I$199,'FE Fret'!$G:$U,11,FALSE)))
+$M205*IF(ISNA((VLOOKUP($B205&amp;"; "&amp;$N$198&amp;", "&amp;I$199,'FE Fret'!$G:$U,12,FALSE)+VLOOKUP($B205&amp;"; "&amp;$N$198&amp;", "&amp;I$199,'FE Fret'!$G:$U,11,FALSE))),0,(VLOOKUP($B205&amp;"; "&amp;$N$198&amp;", "&amp;I$199,'FE Fret'!$G:$U,12,FALSE)+VLOOKUP($B205&amp;"; "&amp;$N$198&amp;", "&amp;I$199,'FE Fret'!$G:$U,11,FALSE)))
+$P205*IF(ISNA((VLOOKUP($B205&amp;"; "&amp;$Q$198&amp;", "&amp;I$199,'FE Fret'!$G:$U,12,FALSE)+VLOOKUP($B205&amp;"; "&amp;$Q$198&amp;", "&amp;I$199,'FE Fret'!$G:$U,11,FALSE))),0,(VLOOKUP($B205&amp;"; "&amp;$Q$198&amp;", "&amp;I$199,'FE Fret'!$G:$U,12,FALSE)+VLOOKUP($B205&amp;"; "&amp;$Q$198&amp;", "&amp;I$199,'FE Fret'!$G:$U,11,FALSE)))</f>
        <v>0</v>
      </c>
      <c r="AM205" s="565"/>
      <c r="AN205" s="565">
        <f>$G205*IF(ISNA(VLOOKUP($B205&amp;"; "&amp;$H$198&amp;", "&amp;H$199,'FE Fret'!$G:$U,13,FALSE)),0,VLOOKUP($B205&amp;"; "&amp;$H$198&amp;", "&amp;H$199,'FE Fret'!$G:$U,13,FALSE))
+$J205*IF(ISNA(VLOOKUP($B205&amp;"; "&amp;$K$198&amp;", "&amp;H$199,'FE Fret'!$G:$U,13,FALSE)),0,VLOOKUP($B205&amp;"; "&amp;$K$198&amp;", "&amp;H$199,'FE Fret'!$G:$U,13,FALSE))
+$M205*IF(ISNA(VLOOKUP($B205&amp;"; "&amp;$N$198&amp;", "&amp;H$199,'FE Fret'!$G:$U,13,FALSE)),0,VLOOKUP($B205&amp;"; "&amp;$N$198&amp;", "&amp;H$199,'FE Fret'!$G:$U,13,FALSE))
+$P205*IF(ISNA(VLOOKUP($B205&amp;"; "&amp;$Q$198&amp;", "&amp;H$199,'FE Fret'!$G:$U,13,FALSE)),0,VLOOKUP($B205&amp;"; "&amp;$Q$198&amp;", "&amp;H$199,'FE Fret'!$G:$U,13,FALSE))</f>
        <v>0</v>
      </c>
      <c r="AO205" s="565">
        <f>$G205*IF(ISNA(VLOOKUP($B205&amp;"; "&amp;$H$198&amp;", "&amp;I$199,'FE Fret'!$G:$U,13,FALSE)),0,VLOOKUP($B205&amp;"; "&amp;$H$198&amp;", "&amp;I$199,'FE Fret'!$G:$U,13,FALSE))
+$J205*IF(ISNA(VLOOKUP($B205&amp;"; "&amp;$K$198&amp;", "&amp;I$199,'FE Fret'!$G:$U,13,FALSE)),0,VLOOKUP($B205&amp;"; "&amp;$K$198&amp;", "&amp;I$199,'FE Fret'!$G:$U,13,FALSE))
+$M205*IF(ISNA(VLOOKUP($B205&amp;"; "&amp;$N$198&amp;", "&amp;I$199,'FE Fret'!$G:$U,13,FALSE)),0,VLOOKUP($B205&amp;"; "&amp;$N$198&amp;", "&amp;I$199,'FE Fret'!$G:$U,13,FALSE))
+$P205*IF(ISNA(VLOOKUP($B205&amp;"; "&amp;$Q$198&amp;", "&amp;I$199,'FE Fret'!$G:$U,13,FALSE)),0,VLOOKUP($B205&amp;"; "&amp;$Q$198&amp;", "&amp;I$199,'FE Fret'!$G:$U,13,FALSE))</f>
        <v>0</v>
      </c>
      <c r="AP205" s="565"/>
      <c r="AQ205" s="565">
        <v>0</v>
      </c>
      <c r="AR205" s="565">
        <v>0</v>
      </c>
      <c r="AS205" s="565"/>
      <c r="AT205" s="566">
        <f t="shared" si="72"/>
        <v>0</v>
      </c>
      <c r="AU205" s="566">
        <f t="shared" si="73"/>
        <v>0</v>
      </c>
      <c r="AV205" s="567"/>
      <c r="AW205" s="565">
        <f>$G205*IF(ISNA(VLOOKUP($B205&amp;"; "&amp;$H$198&amp;", "&amp;H$199,'FE Fret'!$G:$U,15,FALSE)),0,VLOOKUP($B205&amp;"; "&amp;$H$198&amp;", "&amp;H$199,'FE Fret'!$G:$U,15,FALSE))
+$J205*IF(ISNA(VLOOKUP($B205&amp;"; "&amp;$K$198&amp;", "&amp;H$199,'FE Fret'!$G:$U,15,FALSE)),0,VLOOKUP($B205&amp;"; "&amp;$K$198&amp;", "&amp;H$199,'FE Fret'!$G:$U,15,FALSE))
+$M205*IF(ISNA(VLOOKUP($B205&amp;"; "&amp;$N$198&amp;", "&amp;H$199,'FE Fret'!$G:$U,15,FALSE)),0,VLOOKUP($B205&amp;"; "&amp;$N$198&amp;", "&amp;H$199,'FE Fret'!$G:$U,15,FALSE))
+$P205*IF(ISNA(VLOOKUP($B205&amp;"; "&amp;$Q$198&amp;", "&amp;H$199,'FE Fret'!$G:$U,15,FALSE)),0,VLOOKUP($B205&amp;"; "&amp;$Q$198&amp;", "&amp;H$199,'FE Fret'!$G:$U,15,FALSE))</f>
        <v>0</v>
      </c>
      <c r="AX205" s="565">
        <f>$G205*IF(ISNA(VLOOKUP($B205&amp;"; "&amp;$H$198&amp;", "&amp;I$199,'FE Fret'!$G:$U,15,FALSE)),0,VLOOKUP($B205&amp;"; "&amp;$H$198&amp;", "&amp;I$199,'FE Fret'!$G:$U,15,FALSE))
+$J205*IF(ISNA(VLOOKUP($B205&amp;"; "&amp;$K$198&amp;", "&amp;I$199,'FE Fret'!$G:$U,15,FALSE)),0,VLOOKUP($B205&amp;"; "&amp;$K$198&amp;", "&amp;I$199,'FE Fret'!$G:$U,15,FALSE))
+$M205*IF(ISNA(VLOOKUP($B205&amp;"; "&amp;$N$198&amp;", "&amp;I$199,'FE Fret'!$G:$U,15,FALSE)),0,VLOOKUP($B205&amp;"; "&amp;$N$198&amp;", "&amp;I$199,'FE Fret'!$G:$U,15,FALSE))
+$P205*IF(ISNA(VLOOKUP($B205&amp;"; "&amp;$Q$198&amp;", "&amp;I$199,'FE Fret'!$G:$U,15,FALSE)),0,VLOOKUP($B205&amp;"; "&amp;$Q$198&amp;", "&amp;I$199,'FE Fret'!$G:$U,15,FALSE))</f>
        <v>0</v>
      </c>
      <c r="AY205" s="568"/>
      <c r="AZ205" s="565"/>
      <c r="BA205" s="565"/>
      <c r="BB205" s="565"/>
      <c r="BC205" s="565"/>
      <c r="BD205" s="565"/>
      <c r="BE205" s="565"/>
      <c r="BF205" s="565"/>
      <c r="BH205" s="1065">
        <f>IF($Y205&lt;&gt;"votre valeur :",IF(ISNA(VLOOKUP($Y205,Utilitaires!$N$566:$O$571,2,FALSE)),,VLOOKUP($Y205,Utilitaires!$N$566:$O$571,2,FALSE)),$Z205)</f>
        <v>0</v>
      </c>
      <c r="BI205" s="1124">
        <f>IF(ISNA(SQRT(SUMSQ(VLOOKUP($B205&amp;"; "&amp;$H$198&amp;", "&amp;H$199,'FE Fret'!$G:$U,7,FALSE),$BH205))),0,SQRT(SUMSQ(VLOOKUP($B205&amp;"; "&amp;$H$198&amp;", "&amp;$H$199,'FE Fret'!$G:$U,7,FALSE),$BH205)))</f>
        <v>0.2</v>
      </c>
      <c r="BJ205" s="1068">
        <f>IF(ISNA(SQRT(SUMSQ(VLOOKUP($B205&amp;"; "&amp;$K$198&amp;", "&amp;$K$199,'FE Fret'!$G:$U,7,FALSE),$BH205))),0,SQRT(SUMSQ(VLOOKUP($B205&amp;"; "&amp;$K$198&amp;", "&amp;$K$199,'FE Fret'!$G:$U,7,FALSE),$BH205)))</f>
        <v>0.2</v>
      </c>
      <c r="BK205" s="1068">
        <f>IF(ISNA(SQRT(SUMSQ(VLOOKUP($B205&amp;"; "&amp;$N$198&amp;", "&amp;$N$199,'FE Fret'!$G:$U,7,FALSE),$BH205))),0,SQRT(SUMSQ(VLOOKUP($B205&amp;"; "&amp;$N$198&amp;", "&amp;$N$199,'FE Fret'!$G:$U,7,FALSE),$BH205)))</f>
        <v>0.2</v>
      </c>
      <c r="BL205" s="1068">
        <f>IF(ISNA(SQRT(SUMSQ(VLOOKUP($B205&amp;"; "&amp;$Q$198&amp;", "&amp;$Q$199,'FE Fret'!$G:$U,7,FALSE),$BH205))),0,SQRT(SUMSQ(VLOOKUP($B205&amp;"; "&amp;$Q$198&amp;", "&amp;$Q$199,'FE Fret'!$G:$U,7,FALSE),$BH205)))</f>
        <v>0.2</v>
      </c>
      <c r="BM205" s="1124">
        <f>IF(ISNA(SQRT(SUMSQ(VLOOKUP($B205&amp;"; "&amp;$H$198&amp;", "&amp;I$199,'FE Fret'!$G:$U,7,FALSE),$BH205))),0,SQRT(SUMSQ(VLOOKUP($B205&amp;"; "&amp;$H$198&amp;", "&amp;$I$199,'FE Fret'!$G:$U,7,FALSE),$BH205)))</f>
        <v>0</v>
      </c>
      <c r="BN205" s="1068">
        <f>IF(ISNA(SQRT(SUMSQ(VLOOKUP($B205&amp;"; "&amp;$K$198&amp;", "&amp;$L$199,'FE Fret'!$G:$U,7,FALSE),$BH205))),0,SQRT(SUMSQ(VLOOKUP($B205&amp;"; "&amp;$K$198&amp;", "&amp;$L$199,'FE Fret'!$G:$U,7,FALSE),$BH205)))</f>
        <v>0</v>
      </c>
      <c r="BO205" s="1068">
        <f>IF(ISNA(SQRT(SUMSQ(VLOOKUP($B205&amp;"; "&amp;$N$198&amp;", "&amp;$O$199,'FE Fret'!$G:$U,7,FALSE),$BH205))),0,SQRT(SUMSQ(VLOOKUP($B205&amp;"; "&amp;$N$198&amp;", "&amp;$O$199,'FE Fret'!$G:$U,7,FALSE),$BH205)))</f>
        <v>0</v>
      </c>
      <c r="BP205" s="1125">
        <f>IF(ISNA(SQRT(SUMSQ(VLOOKUP($B205&amp;"; "&amp;$Q$198&amp;", "&amp;$R$199,'FE Fret'!$G:$U,7,FALSE),$BH205))),0,SQRT(SUMSQ(VLOOKUP($B205&amp;"; "&amp;$Q$198&amp;", "&amp;$R$199,'FE Fret'!$G:$U,7,FALSE),$BH205)))</f>
        <v>0</v>
      </c>
    </row>
    <row r="206" spans="1:68" hidden="1" outlineLevel="2">
      <c r="B206" s="154"/>
      <c r="C206" s="155"/>
      <c r="D206" s="221"/>
      <c r="E206" s="221"/>
      <c r="F206" s="155"/>
      <c r="G206" s="155"/>
      <c r="H206" s="155"/>
      <c r="I206" s="155"/>
      <c r="J206" s="155"/>
      <c r="K206" s="155"/>
      <c r="L206" s="155"/>
      <c r="M206" s="155"/>
      <c r="N206" s="155"/>
      <c r="O206" s="155"/>
      <c r="P206" s="155"/>
      <c r="Q206" s="155"/>
      <c r="R206" s="155"/>
      <c r="S206" s="1268"/>
      <c r="T206" s="354"/>
      <c r="U206" s="1336"/>
      <c r="X206" s="143"/>
      <c r="Y206" s="144"/>
      <c r="Z206" s="144"/>
      <c r="AA206" s="164"/>
      <c r="AB206" s="164"/>
      <c r="AC206" s="164"/>
      <c r="AD206" s="151"/>
      <c r="AE206" s="151"/>
      <c r="AF206" s="1287"/>
      <c r="AG206" s="116"/>
      <c r="AH206" s="564"/>
      <c r="AI206" s="565"/>
      <c r="AJ206" s="565"/>
      <c r="AK206" s="565"/>
      <c r="AL206" s="565"/>
      <c r="AM206" s="565"/>
      <c r="AN206" s="565"/>
      <c r="AO206" s="565"/>
      <c r="AP206" s="565"/>
      <c r="AQ206" s="565"/>
      <c r="AR206" s="565"/>
      <c r="AS206" s="565"/>
      <c r="AT206" s="566"/>
      <c r="AU206" s="566"/>
      <c r="AV206" s="567"/>
      <c r="AW206" s="565"/>
      <c r="AX206" s="565"/>
      <c r="AY206" s="568"/>
      <c r="AZ206" s="565"/>
      <c r="BA206" s="565"/>
      <c r="BB206" s="565"/>
      <c r="BC206" s="565"/>
      <c r="BD206" s="565"/>
      <c r="BE206" s="565"/>
      <c r="BF206" s="565"/>
      <c r="BH206" s="1087"/>
      <c r="BI206" s="1126"/>
      <c r="BJ206" s="1073"/>
      <c r="BK206" s="1073"/>
      <c r="BL206" s="1074"/>
      <c r="BM206" s="1075"/>
      <c r="BN206" s="1076"/>
      <c r="BO206" s="1076"/>
      <c r="BP206" s="1077"/>
    </row>
    <row r="207" spans="1:68" ht="12.75" hidden="1" customHeight="1" outlineLevel="2">
      <c r="B207" s="196" t="s">
        <v>348</v>
      </c>
      <c r="C207" s="197"/>
      <c r="D207" s="214">
        <f>SUM(D200:D206)</f>
        <v>0</v>
      </c>
      <c r="E207" s="214"/>
      <c r="F207" s="198"/>
      <c r="G207" s="199"/>
      <c r="H207" s="199"/>
      <c r="I207" s="199"/>
      <c r="J207" s="199"/>
      <c r="K207" s="199"/>
      <c r="L207" s="199"/>
      <c r="M207" s="199"/>
      <c r="N207" s="199"/>
      <c r="O207" s="199"/>
      <c r="P207" s="199"/>
      <c r="Q207" s="199"/>
      <c r="R207" s="199"/>
      <c r="S207" s="202">
        <f>SUM(S200:S206)</f>
        <v>0</v>
      </c>
      <c r="T207" s="202">
        <f>SUM(T200:T206)</f>
        <v>0</v>
      </c>
      <c r="U207" s="340">
        <f>SUM(U200:U206)</f>
        <v>0</v>
      </c>
      <c r="X207" s="1203">
        <f>IF(AE207=0,AE207,AE207/D207)</f>
        <v>0</v>
      </c>
      <c r="Y207" s="199"/>
      <c r="Z207" s="203"/>
      <c r="AA207" s="203">
        <f>SQRT(SUMSQ(AA200:AA206))</f>
        <v>0</v>
      </c>
      <c r="AB207" s="202">
        <f>SQRT(SUMSQ(AB200:AB206))</f>
        <v>0</v>
      </c>
      <c r="AC207" s="202"/>
      <c r="AD207" s="203"/>
      <c r="AE207" s="203">
        <f>SQRT(SUMSQ(AE200:AE206))</f>
        <v>0</v>
      </c>
      <c r="AF207" s="1310">
        <f>SQRT(SUMSQ(AF200:AF206))</f>
        <v>0</v>
      </c>
      <c r="AH207" s="571">
        <f t="shared" ref="AH207:AY207" si="74">SUM(AH200:AH206)</f>
        <v>0</v>
      </c>
      <c r="AI207" s="572">
        <f t="shared" si="74"/>
        <v>0</v>
      </c>
      <c r="AJ207" s="572">
        <f t="shared" si="74"/>
        <v>0</v>
      </c>
      <c r="AK207" s="572">
        <f t="shared" si="74"/>
        <v>0</v>
      </c>
      <c r="AL207" s="572">
        <f t="shared" si="74"/>
        <v>0</v>
      </c>
      <c r="AM207" s="572">
        <f t="shared" si="74"/>
        <v>0</v>
      </c>
      <c r="AN207" s="572">
        <f t="shared" si="74"/>
        <v>0</v>
      </c>
      <c r="AO207" s="572">
        <f t="shared" si="74"/>
        <v>0</v>
      </c>
      <c r="AP207" s="572">
        <f t="shared" si="74"/>
        <v>0</v>
      </c>
      <c r="AQ207" s="572">
        <f t="shared" si="74"/>
        <v>0</v>
      </c>
      <c r="AR207" s="572">
        <f t="shared" si="74"/>
        <v>0</v>
      </c>
      <c r="AS207" s="572">
        <f t="shared" si="74"/>
        <v>0</v>
      </c>
      <c r="AT207" s="573">
        <f t="shared" si="74"/>
        <v>0</v>
      </c>
      <c r="AU207" s="573">
        <f t="shared" si="74"/>
        <v>0</v>
      </c>
      <c r="AV207" s="574">
        <f t="shared" si="74"/>
        <v>0</v>
      </c>
      <c r="AW207" s="1082">
        <f t="shared" si="74"/>
        <v>0</v>
      </c>
      <c r="AX207" s="572">
        <f t="shared" si="74"/>
        <v>0</v>
      </c>
      <c r="AY207" s="575">
        <f t="shared" si="74"/>
        <v>0</v>
      </c>
      <c r="AZ207" s="2447"/>
      <c r="BA207" s="2447"/>
      <c r="BB207" s="2447"/>
      <c r="BC207" s="2447"/>
      <c r="BD207" s="2447"/>
      <c r="BE207" s="2447"/>
      <c r="BF207" s="2447"/>
    </row>
    <row r="208" spans="1:68" ht="12.75" hidden="1" customHeight="1" outlineLevel="2">
      <c r="Q208" s="116"/>
    </row>
    <row r="209" spans="1:72" ht="12.75" hidden="1" customHeight="1" outlineLevel="2">
      <c r="B209" s="1091" t="s">
        <v>3675</v>
      </c>
      <c r="C209" s="140"/>
      <c r="D209" s="140"/>
      <c r="E209" s="140"/>
      <c r="F209" s="140"/>
      <c r="G209" s="140"/>
      <c r="H209" s="140"/>
      <c r="I209" s="179"/>
      <c r="T209" s="116"/>
      <c r="U209" s="116"/>
      <c r="V209" s="116"/>
      <c r="W209" s="116"/>
      <c r="X209" s="2636" t="s">
        <v>366</v>
      </c>
      <c r="Y209" s="2637"/>
      <c r="Z209" s="2637"/>
      <c r="AA209" s="2637"/>
      <c r="AB209" s="2637"/>
      <c r="AC209" s="2637"/>
      <c r="AD209" s="2637"/>
      <c r="AE209" s="2638"/>
      <c r="AF209" s="116"/>
      <c r="AH209" s="2639" t="s">
        <v>441</v>
      </c>
      <c r="AI209" s="2640"/>
      <c r="AJ209" s="2640"/>
      <c r="AK209" s="2640"/>
      <c r="AL209" s="2640"/>
      <c r="AM209" s="2640"/>
      <c r="AN209" s="2640"/>
      <c r="AO209" s="2640"/>
      <c r="AP209" s="2640"/>
      <c r="AQ209" s="2640"/>
      <c r="AR209" s="2640"/>
      <c r="AS209" s="2640"/>
      <c r="AT209" s="2640"/>
      <c r="AU209" s="2640"/>
      <c r="AV209" s="2640"/>
      <c r="AW209" s="2640"/>
      <c r="AX209" s="2640"/>
      <c r="AY209" s="2641"/>
      <c r="AZ209" s="2418"/>
      <c r="BA209" s="2418"/>
      <c r="BB209" s="2418"/>
      <c r="BC209" s="2418"/>
      <c r="BD209" s="2418"/>
      <c r="BE209" s="2418"/>
      <c r="BF209" s="2418"/>
    </row>
    <row r="210" spans="1:72" ht="12.75" hidden="1" customHeight="1" outlineLevel="2">
      <c r="B210" s="143"/>
      <c r="C210" s="144"/>
      <c r="D210" s="1334" t="s">
        <v>308</v>
      </c>
      <c r="E210" s="1663"/>
      <c r="F210" s="144"/>
      <c r="G210" s="144"/>
      <c r="H210" s="1317"/>
      <c r="I210" s="1337" t="s">
        <v>444</v>
      </c>
      <c r="T210" s="116"/>
      <c r="U210" s="116"/>
      <c r="X210" s="1316"/>
      <c r="Y210" s="1317"/>
      <c r="Z210" s="1317"/>
      <c r="AA210" s="1317"/>
      <c r="AB210" s="1317"/>
      <c r="AC210" s="2419"/>
      <c r="AD210" s="1317"/>
      <c r="AE210" s="1337" t="s">
        <v>444</v>
      </c>
      <c r="AG210" s="109"/>
      <c r="AH210" s="2642" t="s">
        <v>444</v>
      </c>
      <c r="AI210" s="2643"/>
      <c r="AJ210" s="2643"/>
      <c r="AK210" s="2643"/>
      <c r="AL210" s="2643"/>
      <c r="AM210" s="2643"/>
      <c r="AN210" s="2643"/>
      <c r="AO210" s="2643"/>
      <c r="AP210" s="2643"/>
      <c r="AQ210" s="2643"/>
      <c r="AR210" s="2643"/>
      <c r="AS210" s="2643"/>
      <c r="AT210" s="2643" t="s">
        <v>444</v>
      </c>
      <c r="AU210" s="2643"/>
      <c r="AV210" s="628"/>
      <c r="AW210" s="624"/>
      <c r="AX210" s="624"/>
      <c r="AY210" s="1291"/>
      <c r="AZ210" s="2286"/>
      <c r="BA210" s="2286"/>
      <c r="BB210" s="2286"/>
      <c r="BC210" s="2286"/>
      <c r="BD210" s="2286"/>
      <c r="BE210" s="2286"/>
      <c r="BF210" s="2286"/>
      <c r="BH210" s="2616" t="s">
        <v>1648</v>
      </c>
      <c r="BI210" s="2618"/>
    </row>
    <row r="211" spans="1:72" ht="12.75" hidden="1" customHeight="1" outlineLevel="2">
      <c r="B211" s="1316"/>
      <c r="C211" s="1317"/>
      <c r="D211" s="1317" t="s">
        <v>409</v>
      </c>
      <c r="E211" s="1656"/>
      <c r="F211" s="1320" t="s">
        <v>452</v>
      </c>
      <c r="G211" s="1320" t="s">
        <v>3670</v>
      </c>
      <c r="H211" s="1006"/>
      <c r="I211" s="220" t="s">
        <v>880</v>
      </c>
      <c r="T211" s="116"/>
      <c r="U211" s="116"/>
      <c r="V211" s="109"/>
      <c r="W211" s="109"/>
      <c r="X211" s="1316" t="s">
        <v>316</v>
      </c>
      <c r="Y211" s="2629" t="s">
        <v>316</v>
      </c>
      <c r="Z211" s="2630"/>
      <c r="AA211" s="1317"/>
      <c r="AB211" s="1317"/>
      <c r="AC211" s="2419"/>
      <c r="AD211" s="1317"/>
      <c r="AE211" s="220" t="s">
        <v>880</v>
      </c>
      <c r="AF211" s="109"/>
      <c r="AG211" s="109"/>
      <c r="AH211" s="2631" t="s">
        <v>211</v>
      </c>
      <c r="AI211" s="2632"/>
      <c r="AJ211" s="2632"/>
      <c r="AK211" s="2632" t="s">
        <v>442</v>
      </c>
      <c r="AL211" s="2632"/>
      <c r="AM211" s="2632"/>
      <c r="AN211" s="2632" t="s">
        <v>267</v>
      </c>
      <c r="AO211" s="2632"/>
      <c r="AP211" s="2632"/>
      <c r="AQ211" s="2632" t="s">
        <v>443</v>
      </c>
      <c r="AR211" s="2632"/>
      <c r="AS211" s="2632"/>
      <c r="AT211" s="2648" t="s">
        <v>327</v>
      </c>
      <c r="AU211" s="2648"/>
      <c r="AV211" s="568"/>
      <c r="AW211" s="2631" t="s">
        <v>636</v>
      </c>
      <c r="AX211" s="2632"/>
      <c r="AY211" s="568"/>
      <c r="AZ211" s="565"/>
      <c r="BA211" s="565"/>
      <c r="BB211" s="565"/>
      <c r="BC211" s="565"/>
      <c r="BD211" s="565"/>
      <c r="BE211" s="565"/>
      <c r="BF211" s="565"/>
      <c r="BH211" s="2837" t="s">
        <v>1646</v>
      </c>
      <c r="BI211" s="1141"/>
    </row>
    <row r="212" spans="1:72" ht="12.75" hidden="1" customHeight="1" outlineLevel="2">
      <c r="B212" s="1316"/>
      <c r="C212" s="1317"/>
      <c r="D212" s="1317" t="s">
        <v>444</v>
      </c>
      <c r="E212" s="1656"/>
      <c r="F212" s="1321" t="s">
        <v>445</v>
      </c>
      <c r="G212" s="1321" t="s">
        <v>881</v>
      </c>
      <c r="H212" s="1007"/>
      <c r="I212" s="220" t="s">
        <v>257</v>
      </c>
      <c r="T212" s="116"/>
      <c r="U212" s="116"/>
      <c r="V212" s="109"/>
      <c r="W212" s="109"/>
      <c r="X212" s="1316" t="s">
        <v>1649</v>
      </c>
      <c r="Y212" s="2646" t="s">
        <v>1650</v>
      </c>
      <c r="Z212" s="2647"/>
      <c r="AA212" s="1322"/>
      <c r="AB212" s="1322"/>
      <c r="AC212" s="1662"/>
      <c r="AD212" s="1322"/>
      <c r="AE212" s="220" t="s">
        <v>257</v>
      </c>
      <c r="AF212" s="109"/>
      <c r="AH212" s="1331"/>
      <c r="AI212" s="1332"/>
      <c r="AJ212" s="1332"/>
      <c r="AK212" s="1332"/>
      <c r="AL212" s="1332"/>
      <c r="AM212" s="1332"/>
      <c r="AN212" s="1332"/>
      <c r="AO212" s="1332"/>
      <c r="AP212" s="1332"/>
      <c r="AQ212" s="1332"/>
      <c r="AR212" s="1332"/>
      <c r="AS212" s="1332"/>
      <c r="AT212" s="581"/>
      <c r="AU212" s="581"/>
      <c r="AV212" s="582"/>
      <c r="AW212" s="1332"/>
      <c r="AX212" s="1332"/>
      <c r="AY212" s="1333"/>
      <c r="AZ212" s="2286"/>
      <c r="BA212" s="2286"/>
      <c r="BB212" s="2286"/>
      <c r="BC212" s="2286"/>
      <c r="BD212" s="2286"/>
      <c r="BE212" s="2286"/>
      <c r="BF212" s="2286"/>
      <c r="BH212" s="2838"/>
      <c r="BI212" s="1326"/>
    </row>
    <row r="213" spans="1:72" ht="12.75" hidden="1" customHeight="1" outlineLevel="2">
      <c r="B213" s="143" t="s">
        <v>3669</v>
      </c>
      <c r="C213" s="144"/>
      <c r="D213" s="212">
        <f>I213</f>
        <v>0</v>
      </c>
      <c r="E213" s="212"/>
      <c r="F213" s="117"/>
      <c r="G213" s="117"/>
      <c r="H213" s="225"/>
      <c r="I213" s="152">
        <f>G213</f>
        <v>0</v>
      </c>
      <c r="T213" s="116"/>
      <c r="U213" s="116"/>
      <c r="X213" s="1092">
        <f>IF(AE213=0,AE213,AE213/D213)</f>
        <v>0</v>
      </c>
      <c r="Y213" s="343"/>
      <c r="Z213" s="820"/>
      <c r="AA213" s="164"/>
      <c r="AB213" s="164"/>
      <c r="AC213" s="164"/>
      <c r="AD213" s="164"/>
      <c r="AE213" s="152">
        <f>I213*BI213</f>
        <v>0</v>
      </c>
      <c r="AH213" s="564">
        <f>D213</f>
        <v>0</v>
      </c>
      <c r="AI213" s="565"/>
      <c r="AJ213" s="565"/>
      <c r="AK213" s="565"/>
      <c r="AL213" s="565"/>
      <c r="AM213" s="565"/>
      <c r="AN213" s="565"/>
      <c r="AO213" s="565"/>
      <c r="AP213" s="565"/>
      <c r="AQ213" s="565"/>
      <c r="AR213" s="565"/>
      <c r="AS213" s="565"/>
      <c r="AT213" s="566">
        <f>SUM(AH213:AQ213)</f>
        <v>0</v>
      </c>
      <c r="AU213" s="566"/>
      <c r="AV213" s="567"/>
      <c r="AW213" s="565"/>
      <c r="AX213" s="565"/>
      <c r="AY213" s="568"/>
      <c r="AZ213" s="565"/>
      <c r="BA213" s="565"/>
      <c r="BB213" s="565"/>
      <c r="BC213" s="565"/>
      <c r="BD213" s="565"/>
      <c r="BE213" s="565"/>
      <c r="BF213" s="565"/>
      <c r="BH213" s="1065">
        <f>IF($Y213&lt;&gt;"votre valeur :",IF(ISNA(VLOOKUP($Y213,Utilitaires!$N$566:$O$571,2,FALSE)),,VLOOKUP($Y213,Utilitaires!$N$566:$O$571,2,FALSE)),$Z213)</f>
        <v>0</v>
      </c>
      <c r="BI213" s="1130">
        <f>SQRT(SUMSQ(0,BH213))</f>
        <v>0</v>
      </c>
    </row>
    <row r="214" spans="1:72" ht="12.75" hidden="1" customHeight="1" outlineLevel="2">
      <c r="B214" s="143" t="s">
        <v>3669</v>
      </c>
      <c r="C214" s="144"/>
      <c r="D214" s="212">
        <f>I214</f>
        <v>0</v>
      </c>
      <c r="E214" s="212"/>
      <c r="F214" s="120"/>
      <c r="G214" s="120"/>
      <c r="H214" s="225"/>
      <c r="I214" s="152">
        <f t="shared" ref="I214:I215" si="75">G214</f>
        <v>0</v>
      </c>
      <c r="T214" s="116"/>
      <c r="U214" s="116"/>
      <c r="X214" s="1092">
        <f>IF(AE214=0,AE214,AE214/D214)</f>
        <v>0</v>
      </c>
      <c r="Y214" s="343"/>
      <c r="Z214" s="820"/>
      <c r="AA214" s="164"/>
      <c r="AB214" s="164"/>
      <c r="AC214" s="164"/>
      <c r="AD214" s="164"/>
      <c r="AE214" s="152">
        <f>I214*BI214</f>
        <v>0</v>
      </c>
      <c r="AH214" s="564">
        <f>D214</f>
        <v>0</v>
      </c>
      <c r="AI214" s="565"/>
      <c r="AJ214" s="565"/>
      <c r="AK214" s="565"/>
      <c r="AL214" s="565"/>
      <c r="AM214" s="565"/>
      <c r="AN214" s="565"/>
      <c r="AO214" s="565"/>
      <c r="AP214" s="565"/>
      <c r="AQ214" s="565"/>
      <c r="AR214" s="565"/>
      <c r="AS214" s="565"/>
      <c r="AT214" s="566">
        <f>SUM(AH214:AQ214)</f>
        <v>0</v>
      </c>
      <c r="AU214" s="566"/>
      <c r="AV214" s="567"/>
      <c r="AW214" s="565"/>
      <c r="AX214" s="565"/>
      <c r="AY214" s="568"/>
      <c r="AZ214" s="565"/>
      <c r="BA214" s="565"/>
      <c r="BB214" s="565"/>
      <c r="BC214" s="565"/>
      <c r="BD214" s="565"/>
      <c r="BE214" s="565"/>
      <c r="BF214" s="565"/>
      <c r="BH214" s="1065">
        <f>IF($Y214&lt;&gt;"votre valeur :",IF(ISNA(VLOOKUP($Y214,Utilitaires!$N$566:$O$571,2,FALSE)),,VLOOKUP($Y214,Utilitaires!$N$566:$O$571,2,FALSE)),$Z214)</f>
        <v>0</v>
      </c>
      <c r="BI214" s="1130">
        <f>SQRT(SUMSQ(0,BH214))</f>
        <v>0</v>
      </c>
    </row>
    <row r="215" spans="1:72" ht="12.75" hidden="1" customHeight="1" outlineLevel="2">
      <c r="B215" s="143" t="s">
        <v>3669</v>
      </c>
      <c r="C215" s="144"/>
      <c r="D215" s="212">
        <f>I215</f>
        <v>0</v>
      </c>
      <c r="E215" s="212"/>
      <c r="F215" s="123"/>
      <c r="G215" s="123"/>
      <c r="H215" s="225"/>
      <c r="I215" s="152">
        <f t="shared" si="75"/>
        <v>0</v>
      </c>
      <c r="T215" s="116"/>
      <c r="U215" s="116"/>
      <c r="X215" s="1092">
        <f>IF(AE215=0,AE215,AE215/D215)</f>
        <v>0</v>
      </c>
      <c r="Y215" s="1094"/>
      <c r="Z215" s="820"/>
      <c r="AA215" s="164"/>
      <c r="AB215" s="164"/>
      <c r="AC215" s="164"/>
      <c r="AD215" s="164"/>
      <c r="AE215" s="152">
        <f>I215*BI215</f>
        <v>0</v>
      </c>
      <c r="AH215" s="564">
        <f>D215</f>
        <v>0</v>
      </c>
      <c r="AI215" s="565"/>
      <c r="AJ215" s="565"/>
      <c r="AK215" s="565"/>
      <c r="AL215" s="565"/>
      <c r="AM215" s="565"/>
      <c r="AN215" s="565"/>
      <c r="AO215" s="565"/>
      <c r="AP215" s="565"/>
      <c r="AQ215" s="565"/>
      <c r="AR215" s="565"/>
      <c r="AS215" s="565"/>
      <c r="AT215" s="566">
        <f>SUM(AH215:AQ215)</f>
        <v>0</v>
      </c>
      <c r="AU215" s="566"/>
      <c r="AV215" s="567"/>
      <c r="AW215" s="565"/>
      <c r="AX215" s="565"/>
      <c r="AY215" s="568"/>
      <c r="AZ215" s="565"/>
      <c r="BA215" s="565"/>
      <c r="BB215" s="565"/>
      <c r="BC215" s="565"/>
      <c r="BD215" s="565"/>
      <c r="BE215" s="565"/>
      <c r="BF215" s="565"/>
      <c r="BH215" s="1065">
        <f>IF($Y215&lt;&gt;"votre valeur :",IF(ISNA(VLOOKUP($Y215,Utilitaires!$N$566:$O$571,2,FALSE)),,VLOOKUP($Y215,Utilitaires!$N$566:$O$571,2,FALSE)),$Z215)</f>
        <v>0</v>
      </c>
      <c r="BI215" s="1130">
        <f>SQRT(SUMSQ(0,BH215))</f>
        <v>0</v>
      </c>
    </row>
    <row r="216" spans="1:72" ht="12.75" hidden="1" customHeight="1" outlineLevel="2">
      <c r="B216" s="154"/>
      <c r="C216" s="155"/>
      <c r="D216" s="221"/>
      <c r="E216" s="221"/>
      <c r="F216" s="155"/>
      <c r="G216" s="155"/>
      <c r="H216" s="155"/>
      <c r="I216" s="156"/>
      <c r="T216" s="116"/>
      <c r="U216" s="116"/>
      <c r="X216" s="1092"/>
      <c r="Y216" s="155"/>
      <c r="Z216" s="169"/>
      <c r="AA216" s="164"/>
      <c r="AB216" s="164"/>
      <c r="AC216" s="164"/>
      <c r="AD216" s="164"/>
      <c r="AE216" s="165"/>
      <c r="AH216" s="569"/>
      <c r="AI216" s="625"/>
      <c r="AJ216" s="625"/>
      <c r="AK216" s="625"/>
      <c r="AL216" s="625"/>
      <c r="AM216" s="625"/>
      <c r="AN216" s="625"/>
      <c r="AO216" s="625"/>
      <c r="AP216" s="625"/>
      <c r="AQ216" s="625"/>
      <c r="AR216" s="625"/>
      <c r="AS216" s="625"/>
      <c r="AT216" s="1313"/>
      <c r="AU216" s="1313"/>
      <c r="AV216" s="1314"/>
      <c r="AW216" s="565"/>
      <c r="AX216" s="565"/>
      <c r="AY216" s="568"/>
      <c r="AZ216" s="565"/>
      <c r="BA216" s="565"/>
      <c r="BB216" s="565"/>
      <c r="BC216" s="565"/>
      <c r="BD216" s="565"/>
      <c r="BE216" s="565"/>
      <c r="BF216" s="565"/>
      <c r="BH216" s="1087"/>
      <c r="BI216" s="1153"/>
    </row>
    <row r="217" spans="1:72" ht="12.75" hidden="1" customHeight="1" outlineLevel="2">
      <c r="B217" s="196" t="s">
        <v>348</v>
      </c>
      <c r="C217" s="197"/>
      <c r="D217" s="214">
        <f>SUM(D213:D216)</f>
        <v>0</v>
      </c>
      <c r="E217" s="214"/>
      <c r="F217" s="198"/>
      <c r="G217" s="199"/>
      <c r="H217" s="199"/>
      <c r="I217" s="200">
        <f>SUM(I213:I216)</f>
        <v>0</v>
      </c>
      <c r="T217" s="116"/>
      <c r="U217" s="116"/>
      <c r="X217" s="1203">
        <f>IF(AE217=0,AE217,AE217/D217)</f>
        <v>0</v>
      </c>
      <c r="Y217" s="199"/>
      <c r="Z217" s="199"/>
      <c r="AA217" s="203"/>
      <c r="AB217" s="203"/>
      <c r="AC217" s="203"/>
      <c r="AD217" s="203"/>
      <c r="AE217" s="200">
        <f>SQRT(SUMSQ(AE213:AE216))</f>
        <v>0</v>
      </c>
      <c r="AH217" s="1308">
        <f>SUM(AH213:AH216)</f>
        <v>0</v>
      </c>
      <c r="AI217" s="1309"/>
      <c r="AJ217" s="1309"/>
      <c r="AK217" s="1309">
        <f>SUM(AK213:AK216)</f>
        <v>0</v>
      </c>
      <c r="AL217" s="1309"/>
      <c r="AM217" s="1309"/>
      <c r="AN217" s="1309">
        <f>SUM(AN213:AN216)</f>
        <v>0</v>
      </c>
      <c r="AO217" s="1309"/>
      <c r="AP217" s="1309"/>
      <c r="AQ217" s="1309">
        <f>SUM(AQ213:AQ216)</f>
        <v>0</v>
      </c>
      <c r="AR217" s="572"/>
      <c r="AS217" s="572"/>
      <c r="AT217" s="573">
        <f>SUM(AT213:AT216)</f>
        <v>0</v>
      </c>
      <c r="AU217" s="1312"/>
      <c r="AV217" s="1312"/>
      <c r="AW217" s="1082">
        <f>SUM(AW213:AW216)</f>
        <v>0</v>
      </c>
      <c r="AX217" s="572"/>
      <c r="AY217" s="575"/>
      <c r="AZ217" s="2447"/>
      <c r="BA217" s="2447"/>
      <c r="BB217" s="2447"/>
      <c r="BC217" s="2447"/>
      <c r="BD217" s="2447"/>
      <c r="BE217" s="2447"/>
      <c r="BF217" s="2447"/>
    </row>
    <row r="218" spans="1:72" ht="12.75" hidden="1" customHeight="1" outlineLevel="2">
      <c r="Q218" s="116"/>
    </row>
    <row r="219" spans="1:72" ht="12.75" hidden="1" customHeight="1" outlineLevel="2">
      <c r="B219" s="1091" t="s">
        <v>2518</v>
      </c>
      <c r="C219" s="140"/>
      <c r="D219" s="140"/>
      <c r="E219" s="140"/>
      <c r="F219" s="140"/>
      <c r="G219" s="140"/>
      <c r="H219" s="140"/>
      <c r="I219" s="140"/>
      <c r="J219" s="140"/>
      <c r="K219" s="140"/>
      <c r="L219" s="140"/>
      <c r="M219" s="140"/>
      <c r="N219" s="140"/>
      <c r="O219" s="140"/>
      <c r="P219" s="140"/>
      <c r="Q219" s="140"/>
      <c r="R219" s="1341"/>
      <c r="W219" s="116"/>
      <c r="X219" s="2636" t="s">
        <v>366</v>
      </c>
      <c r="Y219" s="2637"/>
      <c r="Z219" s="2637"/>
      <c r="AA219" s="2637"/>
      <c r="AB219" s="2637"/>
      <c r="AC219" s="2637"/>
      <c r="AD219" s="2637"/>
      <c r="AE219" s="2637"/>
      <c r="AF219" s="2638"/>
      <c r="AH219" s="2639" t="s">
        <v>441</v>
      </c>
      <c r="AI219" s="2640"/>
      <c r="AJ219" s="2640"/>
      <c r="AK219" s="2640"/>
      <c r="AL219" s="2640"/>
      <c r="AM219" s="2640"/>
      <c r="AN219" s="2640"/>
      <c r="AO219" s="2640"/>
      <c r="AP219" s="2640"/>
      <c r="AQ219" s="2640"/>
      <c r="AR219" s="2640"/>
      <c r="AS219" s="2640"/>
      <c r="AT219" s="2640"/>
      <c r="AU219" s="2640"/>
      <c r="AV219" s="2640"/>
      <c r="AW219" s="2640"/>
      <c r="AX219" s="2640"/>
      <c r="AY219" s="2641"/>
      <c r="AZ219" s="2418"/>
      <c r="BA219" s="2418"/>
      <c r="BB219" s="2418"/>
      <c r="BC219" s="2418"/>
      <c r="BD219" s="2418"/>
      <c r="BE219" s="2418"/>
      <c r="BF219" s="2418"/>
    </row>
    <row r="220" spans="1:72" s="1078" customFormat="1" ht="12.75" hidden="1" customHeight="1" outlineLevel="2">
      <c r="A220" s="114"/>
      <c r="B220" s="143"/>
      <c r="C220" s="144"/>
      <c r="D220" s="1334" t="s">
        <v>308</v>
      </c>
      <c r="E220" s="1663"/>
      <c r="F220" s="1317"/>
      <c r="G220" s="155"/>
      <c r="H220" s="2628"/>
      <c r="I220" s="2628"/>
      <c r="J220" s="2628"/>
      <c r="K220" s="155"/>
      <c r="L220" s="2628"/>
      <c r="M220" s="2628"/>
      <c r="N220" s="2628"/>
      <c r="O220" s="2768" t="s">
        <v>233</v>
      </c>
      <c r="P220" s="2768"/>
      <c r="Q220" s="2841"/>
      <c r="R220" s="153" t="s">
        <v>275</v>
      </c>
      <c r="S220" s="1877"/>
      <c r="T220" s="1877"/>
      <c r="U220" s="1877"/>
      <c r="V220" s="1877"/>
      <c r="W220" s="262"/>
      <c r="X220" s="1316"/>
      <c r="Y220" s="819"/>
      <c r="Z220" s="819"/>
      <c r="AA220" s="144"/>
      <c r="AB220" s="1317"/>
      <c r="AC220" s="2419"/>
      <c r="AD220" s="1317"/>
      <c r="AE220" s="1334"/>
      <c r="AF220" s="153" t="s">
        <v>275</v>
      </c>
      <c r="AG220" s="114"/>
      <c r="AH220" s="2642" t="s">
        <v>444</v>
      </c>
      <c r="AI220" s="2643"/>
      <c r="AJ220" s="2643"/>
      <c r="AK220" s="2643"/>
      <c r="AL220" s="2643"/>
      <c r="AM220" s="2643"/>
      <c r="AN220" s="2643"/>
      <c r="AO220" s="2643"/>
      <c r="AP220" s="2643"/>
      <c r="AQ220" s="2643"/>
      <c r="AR220" s="2643"/>
      <c r="AS220" s="2643"/>
      <c r="AT220" s="2643" t="s">
        <v>444</v>
      </c>
      <c r="AU220" s="2643"/>
      <c r="AV220" s="565"/>
      <c r="AW220" s="1081"/>
      <c r="AX220" s="624"/>
      <c r="AY220" s="1291"/>
      <c r="AZ220" s="2286"/>
      <c r="BA220" s="2286"/>
      <c r="BB220" s="2286"/>
      <c r="BC220" s="2286"/>
      <c r="BD220" s="2286"/>
      <c r="BE220" s="2286"/>
      <c r="BF220" s="2286"/>
      <c r="BG220" s="114"/>
      <c r="BH220" s="2616" t="s">
        <v>1648</v>
      </c>
      <c r="BI220" s="2617"/>
      <c r="BJ220" s="2617"/>
      <c r="BK220" s="2617"/>
      <c r="BL220" s="2617"/>
      <c r="BM220" s="2617"/>
      <c r="BN220" s="2618"/>
      <c r="BO220" s="116"/>
      <c r="BP220" s="116"/>
      <c r="BQ220" s="116"/>
      <c r="BR220" s="116"/>
      <c r="BS220" s="116"/>
      <c r="BT220" s="116"/>
    </row>
    <row r="221" spans="1:72" ht="12.75" hidden="1" customHeight="1" outlineLevel="2">
      <c r="B221" s="143"/>
      <c r="C221" s="144"/>
      <c r="D221" s="1317" t="s">
        <v>409</v>
      </c>
      <c r="E221" s="1656"/>
      <c r="F221" s="1320" t="s">
        <v>452</v>
      </c>
      <c r="G221" s="153"/>
      <c r="H221" s="2626" t="s">
        <v>2222</v>
      </c>
      <c r="I221" s="2628"/>
      <c r="J221" s="2627"/>
      <c r="K221" s="153"/>
      <c r="L221" s="2626" t="s">
        <v>2324</v>
      </c>
      <c r="M221" s="2628"/>
      <c r="N221" s="2628"/>
      <c r="O221" s="1334" t="s">
        <v>444</v>
      </c>
      <c r="P221" s="1334" t="s">
        <v>444</v>
      </c>
      <c r="Q221" s="1860" t="s">
        <v>444</v>
      </c>
      <c r="R221" s="153" t="s">
        <v>276</v>
      </c>
      <c r="W221" s="262"/>
      <c r="X221" s="1316" t="s">
        <v>316</v>
      </c>
      <c r="Y221" s="2629" t="s">
        <v>316</v>
      </c>
      <c r="Z221" s="2630"/>
      <c r="AA221" s="1317" t="s">
        <v>444</v>
      </c>
      <c r="AB221" s="1317" t="s">
        <v>444</v>
      </c>
      <c r="AC221" s="2419"/>
      <c r="AD221" s="1317" t="s">
        <v>444</v>
      </c>
      <c r="AE221" s="1334" t="s">
        <v>444</v>
      </c>
      <c r="AF221" s="153" t="s">
        <v>276</v>
      </c>
      <c r="AH221" s="2631" t="s">
        <v>211</v>
      </c>
      <c r="AI221" s="2632"/>
      <c r="AJ221" s="2632"/>
      <c r="AK221" s="2632" t="s">
        <v>442</v>
      </c>
      <c r="AL221" s="2632"/>
      <c r="AM221" s="2632"/>
      <c r="AN221" s="2632" t="s">
        <v>267</v>
      </c>
      <c r="AO221" s="2632"/>
      <c r="AP221" s="2632"/>
      <c r="AQ221" s="2632" t="s">
        <v>443</v>
      </c>
      <c r="AR221" s="2632"/>
      <c r="AS221" s="2632"/>
      <c r="AT221" s="2648" t="s">
        <v>327</v>
      </c>
      <c r="AU221" s="2648"/>
      <c r="AV221" s="565"/>
      <c r="AW221" s="2631" t="s">
        <v>636</v>
      </c>
      <c r="AX221" s="2632"/>
      <c r="AY221" s="568"/>
      <c r="AZ221" s="565"/>
      <c r="BA221" s="565"/>
      <c r="BB221" s="565"/>
      <c r="BC221" s="565"/>
      <c r="BD221" s="565"/>
      <c r="BE221" s="565"/>
      <c r="BF221" s="565"/>
      <c r="BH221" s="2837" t="s">
        <v>1646</v>
      </c>
      <c r="BI221" s="2833" t="s">
        <v>2222</v>
      </c>
      <c r="BJ221" s="2834"/>
      <c r="BK221" s="2835"/>
      <c r="BL221" s="2833" t="s">
        <v>2324</v>
      </c>
      <c r="BM221" s="2834"/>
      <c r="BN221" s="2835"/>
    </row>
    <row r="222" spans="1:72" ht="12.75" hidden="1" customHeight="1" outlineLevel="2">
      <c r="B222" s="536"/>
      <c r="C222" s="144"/>
      <c r="D222" s="1317" t="s">
        <v>444</v>
      </c>
      <c r="E222" s="1656"/>
      <c r="F222" s="1321" t="s">
        <v>445</v>
      </c>
      <c r="G222" s="1321" t="s">
        <v>38</v>
      </c>
      <c r="H222" s="1322" t="s">
        <v>411</v>
      </c>
      <c r="I222" s="1322" t="s">
        <v>257</v>
      </c>
      <c r="J222" s="1322" t="s">
        <v>422</v>
      </c>
      <c r="K222" s="153" t="s">
        <v>2330</v>
      </c>
      <c r="L222" s="1322" t="s">
        <v>411</v>
      </c>
      <c r="M222" s="1322" t="s">
        <v>257</v>
      </c>
      <c r="N222" s="1322" t="s">
        <v>422</v>
      </c>
      <c r="O222" s="1318" t="s">
        <v>411</v>
      </c>
      <c r="P222" s="1318" t="s">
        <v>257</v>
      </c>
      <c r="Q222" s="1858" t="s">
        <v>422</v>
      </c>
      <c r="R222" s="153" t="s">
        <v>444</v>
      </c>
      <c r="W222" s="262"/>
      <c r="X222" s="1316" t="s">
        <v>1649</v>
      </c>
      <c r="Y222" s="2646" t="s">
        <v>1650</v>
      </c>
      <c r="Z222" s="2647"/>
      <c r="AA222" s="1322" t="s">
        <v>411</v>
      </c>
      <c r="AB222" s="1322" t="s">
        <v>257</v>
      </c>
      <c r="AC222" s="1662"/>
      <c r="AD222" s="1322" t="s">
        <v>422</v>
      </c>
      <c r="AE222" s="166" t="s">
        <v>327</v>
      </c>
      <c r="AF222" s="153" t="s">
        <v>444</v>
      </c>
      <c r="AH222" s="1331" t="s">
        <v>411</v>
      </c>
      <c r="AI222" s="1332" t="s">
        <v>257</v>
      </c>
      <c r="AJ222" s="1332" t="s">
        <v>422</v>
      </c>
      <c r="AK222" s="1332" t="s">
        <v>411</v>
      </c>
      <c r="AL222" s="1332" t="s">
        <v>257</v>
      </c>
      <c r="AM222" s="1332" t="s">
        <v>422</v>
      </c>
      <c r="AN222" s="1332" t="s">
        <v>411</v>
      </c>
      <c r="AO222" s="1332" t="s">
        <v>257</v>
      </c>
      <c r="AP222" s="1332" t="s">
        <v>422</v>
      </c>
      <c r="AQ222" s="1332" t="s">
        <v>411</v>
      </c>
      <c r="AR222" s="1332" t="s">
        <v>257</v>
      </c>
      <c r="AS222" s="1332" t="s">
        <v>422</v>
      </c>
      <c r="AT222" s="581" t="s">
        <v>411</v>
      </c>
      <c r="AU222" s="581" t="s">
        <v>257</v>
      </c>
      <c r="AV222" s="581" t="s">
        <v>422</v>
      </c>
      <c r="AW222" s="1331" t="s">
        <v>411</v>
      </c>
      <c r="AX222" s="1332" t="s">
        <v>257</v>
      </c>
      <c r="AY222" s="1333" t="s">
        <v>422</v>
      </c>
      <c r="AZ222" s="2286"/>
      <c r="BA222" s="2286"/>
      <c r="BB222" s="2286"/>
      <c r="BC222" s="2286"/>
      <c r="BD222" s="2286"/>
      <c r="BE222" s="2286"/>
      <c r="BF222" s="2286"/>
      <c r="BH222" s="2838"/>
      <c r="BI222" s="1325" t="s">
        <v>411</v>
      </c>
      <c r="BJ222" s="1325" t="s">
        <v>257</v>
      </c>
      <c r="BK222" s="1327" t="s">
        <v>422</v>
      </c>
      <c r="BL222" s="1325" t="s">
        <v>411</v>
      </c>
      <c r="BM222" s="1325" t="s">
        <v>257</v>
      </c>
      <c r="BN222" s="1327" t="s">
        <v>422</v>
      </c>
    </row>
    <row r="223" spans="1:72" ht="12.75" hidden="1" customHeight="1" outlineLevel="2">
      <c r="B223" s="143" t="s">
        <v>4013</v>
      </c>
      <c r="C223" s="144"/>
      <c r="D223" s="212">
        <f>SUM(O223:Q223)</f>
        <v>0</v>
      </c>
      <c r="E223" s="212"/>
      <c r="F223" s="409"/>
      <c r="G223" s="117"/>
      <c r="H223" s="335" t="e">
        <f>VLOOKUP($B223&amp;"; "&amp;$H$221&amp;", "&amp;H$222,'FE Fret'!$G:$U,9,FALSE)</f>
        <v>#N/A</v>
      </c>
      <c r="I223" s="335" t="e">
        <f>VLOOKUP($B223&amp;"; "&amp;$H$221&amp;", "&amp;I$222,'FE Fret'!$G:$U,9,FALSE)</f>
        <v>#N/A</v>
      </c>
      <c r="J223" s="335" t="e">
        <f>VLOOKUP($B223&amp;"; "&amp;$H$221&amp;", "&amp;J$222,'FE Fret'!$G:$U,9,FALSE)</f>
        <v>#N/A</v>
      </c>
      <c r="K223" s="117"/>
      <c r="L223" s="335">
        <f>VLOOKUP($B223&amp;"; "&amp;$L$221&amp;", "&amp;L$222,'FE Fret'!$G:$U,9,FALSE)</f>
        <v>1.54E-2</v>
      </c>
      <c r="M223" s="335">
        <f>VLOOKUP($B223&amp;"; "&amp;$L$221&amp;", "&amp;M$222,'FE Fret'!$G:$U,9,FALSE)</f>
        <v>6.3100000000000003E-2</v>
      </c>
      <c r="N223" s="335">
        <f>VLOOKUP($B223&amp;"; "&amp;$L$221&amp;", "&amp;N$222,'FE Fret'!$G:$U,9,FALSE)</f>
        <v>3.8E-3</v>
      </c>
      <c r="O223" s="356">
        <f t="shared" ref="O223:Q227" si="76">IF(ISNA($G223*H223),0,$G223*H223)+IF(ISNA($K223*L223),0,$K223*L223)</f>
        <v>0</v>
      </c>
      <c r="P223" s="356">
        <f t="shared" si="76"/>
        <v>0</v>
      </c>
      <c r="Q223" s="356">
        <f t="shared" si="76"/>
        <v>0</v>
      </c>
      <c r="R223" s="1286">
        <f>IF(OR(F223=Utilitaires!$G$572,F223=Utilitaires!$G$577),P223,0)</f>
        <v>0</v>
      </c>
      <c r="W223" s="262"/>
      <c r="X223" s="1092">
        <f>IF(AE223=0,AE223,AE223/D223)</f>
        <v>0</v>
      </c>
      <c r="Y223" s="343"/>
      <c r="Z223" s="820"/>
      <c r="AA223" s="164">
        <f t="shared" ref="AA223:AB227" si="77">SQRT(SUMSQ(IF(ISNA($G223*H223*BI223),0,$G223*H223*BI223),IF(ISNA($K223*L223*BL223),0,$K223*L223*BL223)))</f>
        <v>0</v>
      </c>
      <c r="AB223" s="164">
        <f t="shared" si="77"/>
        <v>0</v>
      </c>
      <c r="AC223" s="164"/>
      <c r="AD223" s="164">
        <f>SQRT(SUMSQ(IF(ISNA($G223*J223*BK223),0,$G223*J223*BK223),IF(ISNA($K223*N223*BN223),0,$K223*N223*BN223)))</f>
        <v>0</v>
      </c>
      <c r="AE223" s="151">
        <f>SQRT(SUMSQ(AA223:AD223))</f>
        <v>0</v>
      </c>
      <c r="AF223" s="1286">
        <f>R223*X223</f>
        <v>0</v>
      </c>
      <c r="AH223" s="564">
        <f>$G223*IF(ISNA(VLOOKUP($B223&amp;"; "&amp;$H$221&amp;", "&amp;H$222,'FE Fret'!$G:$U,10,FALSE)),0,VLOOKUP($B223&amp;"; "&amp;$H$221&amp;", "&amp;H$222,'FE Fret'!$G:$U,10,FALSE))
+$K223*IF(ISNA(VLOOKUP($B223&amp;"; "&amp;$L$221&amp;", "&amp;H$222,'FE Fret'!$G:$U,10,FALSE)),0,VLOOKUP($B223&amp;"; "&amp;$L$221&amp;", "&amp;H$222,'FE Fret'!$G:$U,10,FALSE))</f>
        <v>0</v>
      </c>
      <c r="AI223" s="565">
        <f>$G223*IF(ISNA(VLOOKUP($B223&amp;"; "&amp;$H$221&amp;", "&amp;I$222,'FE Fret'!$G:$U,10,FALSE)),0,VLOOKUP($B223&amp;"; "&amp;$H$221&amp;", "&amp;I$222,'FE Fret'!$G:$U,10,FALSE))
+$K223*IF(ISNA(VLOOKUP($B223&amp;"; "&amp;$L$221&amp;", "&amp;I$222,'FE Fret'!$G:$U,10,FALSE)),0,VLOOKUP($B223&amp;"; "&amp;$L$221&amp;", "&amp;I$222,'FE Fret'!$G:$U,10,FALSE))</f>
        <v>0</v>
      </c>
      <c r="AJ223" s="565">
        <f>$G223*IF(ISNA(VLOOKUP($B223&amp;"; "&amp;$H$221&amp;", "&amp;J$222,'FE Fret'!$G:$U,10,FALSE)),0,VLOOKUP($B223&amp;"; "&amp;$H$221&amp;", "&amp;J$222,'FE Fret'!$G:$U,10,FALSE))
+$K223*IF(ISNA(VLOOKUP($B223&amp;"; "&amp;$L$221&amp;", "&amp;J$222,'FE Fret'!$G:$U,10,FALSE)),0,VLOOKUP($B223&amp;"; "&amp;$L$221&amp;", "&amp;J$222,'FE Fret'!$G:$U,10,FALSE))</f>
        <v>0</v>
      </c>
      <c r="AK223" s="565">
        <f>$G223*IF(ISNA((VLOOKUP($B223&amp;"; "&amp;$H$221&amp;", "&amp;H$222,'FE Fret'!$G:$U,12,FALSE)+VLOOKUP($B223&amp;"; "&amp;$H$221&amp;", "&amp;H$222,'FE Fret'!$G:$U,11,FALSE))),0,(VLOOKUP($B223&amp;"; "&amp;$H$221&amp;", "&amp;H$222,'FE Fret'!$G:$U,12,FALSE)+VLOOKUP($B223&amp;"; "&amp;$H$221&amp;", "&amp;H$222,'FE Fret'!$G:$U,11,FALSE)))
+$K223*IF(ISNA((VLOOKUP($B223&amp;"; "&amp;$L$221&amp;", "&amp;H$222,'FE Fret'!$G:$U,12,FALSE)+VLOOKUP($B223&amp;"; "&amp;$L$221&amp;", "&amp;H$222,'FE Fret'!$G:$U,11,FALSE))),0,(VLOOKUP($B223&amp;"; "&amp;$L$221&amp;", "&amp;H$222,'FE Fret'!$G:$U,12,FALSE)+VLOOKUP($B223&amp;"; "&amp;$L$221&amp;", "&amp;H$222,'FE Fret'!$G:$U,11,FALSE)))</f>
        <v>0</v>
      </c>
      <c r="AL223" s="565">
        <f>$G223*IF(ISNA((VLOOKUP($B223&amp;"; "&amp;$H$221&amp;", "&amp;I$222,'FE Fret'!$G:$U,12,FALSE)+VLOOKUP($B223&amp;"; "&amp;$H$221&amp;", "&amp;I$222,'FE Fret'!$G:$U,11,FALSE))),0,(VLOOKUP($B223&amp;"; "&amp;$H$221&amp;", "&amp;I$222,'FE Fret'!$G:$U,12,FALSE)+VLOOKUP($B223&amp;"; "&amp;$H$221&amp;", "&amp;I$222,'FE Fret'!$G:$U,11,FALSE)))
+$K223*IF(ISNA((VLOOKUP($B223&amp;"; "&amp;$L$221&amp;", "&amp;I$222,'FE Fret'!$G:$U,12,FALSE)+VLOOKUP($B223&amp;"; "&amp;$L$221&amp;", "&amp;I$222,'FE Fret'!$G:$U,11,FALSE))),0,(VLOOKUP($B223&amp;"; "&amp;$L$221&amp;", "&amp;I$222,'FE Fret'!$G:$U,12,FALSE)+VLOOKUP($B223&amp;"; "&amp;$L$221&amp;", "&amp;I$222,'FE Fret'!$G:$U,11,FALSE)))</f>
        <v>0</v>
      </c>
      <c r="AM223" s="565">
        <f>$G223*IF(ISNA((VLOOKUP($B223&amp;"; "&amp;$H$221&amp;", "&amp;J$222,'FE Fret'!$G:$U,12,FALSE)+VLOOKUP($B223&amp;"; "&amp;$H$221&amp;", "&amp;J$222,'FE Fret'!$G:$U,11,FALSE))),0,(VLOOKUP($B223&amp;"; "&amp;$H$221&amp;", "&amp;J$222,'FE Fret'!$G:$U,12,FALSE)+VLOOKUP($B223&amp;"; "&amp;$H$221&amp;", "&amp;J$222,'FE Fret'!$G:$U,11,FALSE)))
+$K223*IF(ISNA((VLOOKUP($B223&amp;"; "&amp;$L$221&amp;", "&amp;J$222,'FE Fret'!$G:$U,12,FALSE)+VLOOKUP($B223&amp;"; "&amp;$L$221&amp;", "&amp;J$222,'FE Fret'!$G:$U,11,FALSE))),0,(VLOOKUP($B223&amp;"; "&amp;$L$221&amp;", "&amp;J$222,'FE Fret'!$G:$U,12,FALSE)+VLOOKUP($B223&amp;"; "&amp;$L$221&amp;", "&amp;J$222,'FE Fret'!$G:$U,11,FALSE)))</f>
        <v>0</v>
      </c>
      <c r="AN223" s="565">
        <f>$G223*IF(ISNA(VLOOKUP($B223&amp;"; "&amp;$H$221&amp;", "&amp;H$222,'FE Fret'!$G:$U,13,FALSE)),0,VLOOKUP($B223&amp;"; "&amp;$H$221&amp;", "&amp;H$222,'FE Fret'!$G:$U,13,FALSE))
+$K223*IF(ISNA(VLOOKUP($B223&amp;"; "&amp;$L$221&amp;", "&amp;H$222,'FE Fret'!$G:$U,13,FALSE)),0,VLOOKUP($B223&amp;"; "&amp;$L$221&amp;", "&amp;H$222,'FE Fret'!$G:$U,13,FALSE))</f>
        <v>0</v>
      </c>
      <c r="AO223" s="565">
        <f>$G223*IF(ISNA(VLOOKUP($B223&amp;"; "&amp;$H$221&amp;", "&amp;I$222,'FE Fret'!$G:$U,13,FALSE)),0,VLOOKUP($B223&amp;"; "&amp;$H$221&amp;", "&amp;I$222,'FE Fret'!$G:$U,13,FALSE))
+$K223*IF(ISNA(VLOOKUP($B223&amp;"; "&amp;$L$221&amp;", "&amp;I$222,'FE Fret'!$G:$U,13,FALSE)),0,VLOOKUP($B223&amp;"; "&amp;$L$221&amp;", "&amp;I$222,'FE Fret'!$G:$U,13,FALSE))</f>
        <v>0</v>
      </c>
      <c r="AP223" s="565">
        <f>$G223*IF(ISNA(VLOOKUP($B223&amp;"; "&amp;$H$221&amp;", "&amp;J$222,'FE Fret'!$G:$U,13,FALSE)),0,VLOOKUP($B223&amp;"; "&amp;$H$221&amp;", "&amp;J$222,'FE Fret'!$G:$U,13,FALSE))
+$K223*IF(ISNA(VLOOKUP($B223&amp;"; "&amp;$L$221&amp;", "&amp;J$222,'FE Fret'!$G:$U,13,FALSE)),0,VLOOKUP($B223&amp;"; "&amp;$L$221&amp;", "&amp;J$222,'FE Fret'!$G:$U,13,FALSE))</f>
        <v>0</v>
      </c>
      <c r="AQ223" s="565">
        <v>0</v>
      </c>
      <c r="AR223" s="565">
        <v>0</v>
      </c>
      <c r="AS223" s="565">
        <v>0</v>
      </c>
      <c r="AT223" s="566">
        <f t="shared" ref="AT223:AV227" si="78">SUM(AH223,AK223,AN223,AQ223)</f>
        <v>0</v>
      </c>
      <c r="AU223" s="566">
        <f t="shared" si="78"/>
        <v>0</v>
      </c>
      <c r="AV223" s="566">
        <f t="shared" si="78"/>
        <v>0</v>
      </c>
      <c r="AW223" s="564">
        <f>$G223*IF(ISNA(VLOOKUP($B223&amp;"; "&amp;$H$221&amp;", "&amp;H$222,'FE Fret'!$G:$U,15,FALSE)),0,VLOOKUP($B223&amp;"; "&amp;$H$221&amp;", "&amp;H$222,'FE Fret'!$G:$U,15,FALSE))
+$K223*IF(ISNA(VLOOKUP($B223&amp;"; "&amp;$L$221&amp;", "&amp;H$222,'FE Fret'!$G:$U,15,FALSE)),0,VLOOKUP($B223&amp;"; "&amp;$L$221&amp;", "&amp;H$222,'FE Fret'!$G:$U,15,FALSE))</f>
        <v>0</v>
      </c>
      <c r="AX223" s="565">
        <f>$G223*IF(ISNA(VLOOKUP($B223&amp;"; "&amp;$H$221&amp;", "&amp;I$222,'FE Fret'!$G:$U,15,FALSE)),0,VLOOKUP($B223&amp;"; "&amp;$H$221&amp;", "&amp;I$222,'FE Fret'!$G:$U,15,FALSE))
+$K223*IF(ISNA(VLOOKUP($B223&amp;"; "&amp;$L$221&amp;", "&amp;I$222,'FE Fret'!$G:$U,15,FALSE)),0,VLOOKUP($B223&amp;"; "&amp;$L$221&amp;", "&amp;I$222,'FE Fret'!$G:$U,15,FALSE))</f>
        <v>0</v>
      </c>
      <c r="AY223" s="568">
        <f>$G223*IF(ISNA(VLOOKUP($B223&amp;"; "&amp;$H$221&amp;", "&amp;J$222,'FE Fret'!$G:$U,15,FALSE)),0,VLOOKUP($B223&amp;"; "&amp;$H$221&amp;", "&amp;J$222,'FE Fret'!$G:$U,15,FALSE))
+$K223*IF(ISNA(VLOOKUP($B223&amp;"; "&amp;$L$221&amp;", "&amp;J$222,'FE Fret'!$G:$U,15,FALSE)),0,VLOOKUP($B223&amp;"; "&amp;$L$221&amp;", "&amp;J$222,'FE Fret'!$G:$U,15,FALSE))</f>
        <v>0</v>
      </c>
      <c r="AZ223" s="565"/>
      <c r="BA223" s="565"/>
      <c r="BB223" s="565"/>
      <c r="BC223" s="565"/>
      <c r="BD223" s="565"/>
      <c r="BE223" s="565"/>
      <c r="BF223" s="565"/>
      <c r="BH223" s="1065">
        <f>IF($Y223&lt;&gt;"votre valeur :",IF(ISNA(VLOOKUP($Y223,Utilitaires!$N$566:$O$571,2,FALSE)),,VLOOKUP($Y223,Utilitaires!$N$566:$O$571,2,FALSE)),$Z223)</f>
        <v>0</v>
      </c>
      <c r="BI223" s="1124">
        <f>IF(ISNA(SQRT(SUMSQ(VLOOKUP($B223&amp;"; "&amp;$H$221&amp;", "&amp;H$222,'FE Fret'!$G:$U,7,FALSE),$BH223))),0,SQRT(SUMSQ(VLOOKUP($B223&amp;"; "&amp;$H$221&amp;", "&amp;H$222,'FE Fret'!$G:$U,7,FALSE),$BH223)))</f>
        <v>0</v>
      </c>
      <c r="BJ223" s="1124">
        <f>IF(ISNA(SQRT(SUMSQ(VLOOKUP($B223&amp;"; "&amp;$H$221&amp;", "&amp;I$222,'FE Fret'!$G:$U,7,FALSE),$BH223))),0,SQRT(SUMSQ(VLOOKUP($B223&amp;"; "&amp;$H$221&amp;", "&amp;I$222,'FE Fret'!$G:$U,7,FALSE),$BH223)))</f>
        <v>0</v>
      </c>
      <c r="BK223" s="1124">
        <f>IF(ISNA(SQRT(SUMSQ(VLOOKUP($B223&amp;"; "&amp;$H$221&amp;", "&amp;J$222,'FE Fret'!$G:$U,7,FALSE),$BH223))),0,SQRT(SUMSQ(VLOOKUP($B223&amp;"; "&amp;$H$221&amp;", "&amp;J$222,'FE Fret'!$G:$U,7,FALSE),$BH223)))</f>
        <v>0</v>
      </c>
      <c r="BL223" s="1124">
        <f>IF(ISNA(SQRT(SUMSQ(VLOOKUP($B223&amp;"; "&amp;$L$221&amp;", "&amp;L$222,'FE Fret'!$G:$U,7,FALSE),$BH223))),0,SQRT(SUMSQ(VLOOKUP($B223&amp;"; "&amp;$L$221&amp;", "&amp;L$222,'FE Fret'!$G:$U,7,FALSE),$BH223)))</f>
        <v>0.7</v>
      </c>
      <c r="BM223" s="1130">
        <f>IF(ISNA(SQRT(SUMSQ(VLOOKUP($B223&amp;"; "&amp;$L$221&amp;", "&amp;M$222,'FE Fret'!$G:$U,7,FALSE),$BH223))),0,SQRT(SUMSQ(VLOOKUP($B223&amp;"; "&amp;$L$221&amp;", "&amp;M$222,'FE Fret'!$G:$U,7,FALSE),$BH223)))</f>
        <v>0.7</v>
      </c>
      <c r="BN223" s="1130">
        <f>IF(ISNA(SQRT(SUMSQ(VLOOKUP($B223&amp;"; "&amp;$L$221&amp;", "&amp;N$222,'FE Fret'!$G:$U,7,FALSE),$BH223))),0,SQRT(SUMSQ(VLOOKUP($B223&amp;"; "&amp;$L$221&amp;", "&amp;N$222,'FE Fret'!$G:$U,7,FALSE),$BH223)))</f>
        <v>0.7</v>
      </c>
    </row>
    <row r="224" spans="1:72" ht="12.75" hidden="1" customHeight="1" outlineLevel="2">
      <c r="B224" s="143" t="s">
        <v>4014</v>
      </c>
      <c r="C224" s="144"/>
      <c r="D224" s="212">
        <f>SUM(O224:Q224)</f>
        <v>0</v>
      </c>
      <c r="E224" s="212"/>
      <c r="F224" s="530"/>
      <c r="G224" s="120"/>
      <c r="H224" s="335" t="e">
        <f>VLOOKUP($B224&amp;"; "&amp;$H$221&amp;", "&amp;H$222,'FE Fret'!$G:$U,9,FALSE)</f>
        <v>#N/A</v>
      </c>
      <c r="I224" s="335" t="e">
        <f>VLOOKUP($B224&amp;"; "&amp;$H$221&amp;", "&amp;I$222,'FE Fret'!$G:$U,9,FALSE)</f>
        <v>#N/A</v>
      </c>
      <c r="J224" s="335" t="e">
        <f>VLOOKUP($B224&amp;"; "&amp;$H$221&amp;", "&amp;J$222,'FE Fret'!$G:$U,9,FALSE)</f>
        <v>#N/A</v>
      </c>
      <c r="K224" s="120"/>
      <c r="L224" s="335" t="e">
        <f>VLOOKUP($B224&amp;"; "&amp;$L$221&amp;", "&amp;L$222,'FE Fret'!$G:$U,9,FALSE)</f>
        <v>#N/A</v>
      </c>
      <c r="M224" s="335" t="e">
        <f>VLOOKUP($B224&amp;"; "&amp;$L$221&amp;", "&amp;M$222,'FE Fret'!$G:$U,9,FALSE)</f>
        <v>#N/A</v>
      </c>
      <c r="N224" s="335" t="e">
        <f>VLOOKUP($B224&amp;"; "&amp;$L$221&amp;", "&amp;N$222,'FE Fret'!$G:$U,9,FALSE)</f>
        <v>#N/A</v>
      </c>
      <c r="O224" s="356">
        <f t="shared" si="76"/>
        <v>0</v>
      </c>
      <c r="P224" s="356">
        <f t="shared" si="76"/>
        <v>0</v>
      </c>
      <c r="Q224" s="356">
        <f t="shared" si="76"/>
        <v>0</v>
      </c>
      <c r="R224" s="1286">
        <f>IF(OR(F224=Utilitaires!$G$572,F224=Utilitaires!$G$577),P224,0)</f>
        <v>0</v>
      </c>
      <c r="W224" s="262"/>
      <c r="X224" s="1092">
        <f>IF(AE224=0,AE224,AE224/D224)</f>
        <v>0</v>
      </c>
      <c r="Y224" s="343"/>
      <c r="Z224" s="820"/>
      <c r="AA224" s="164">
        <f t="shared" si="77"/>
        <v>0</v>
      </c>
      <c r="AB224" s="164">
        <f t="shared" si="77"/>
        <v>0</v>
      </c>
      <c r="AC224" s="164"/>
      <c r="AD224" s="164">
        <f>SQRT(SUMSQ(IF(ISNA($G224*J224*BK224),0,$G224*J224*BK224),IF(ISNA($K224*N224*BN224),0,$K224*N224*BN224)))</f>
        <v>0</v>
      </c>
      <c r="AE224" s="151">
        <f>SQRT(SUMSQ(AA224:AD224))</f>
        <v>0</v>
      </c>
      <c r="AF224" s="1286">
        <f>R224*X224</f>
        <v>0</v>
      </c>
      <c r="AH224" s="564">
        <f>$G224*IF(ISNA(VLOOKUP($B224&amp;"; "&amp;$H$221&amp;", "&amp;H$222,'FE Fret'!$G:$U,10,FALSE)),0,VLOOKUP($B224&amp;"; "&amp;$H$221&amp;", "&amp;H$222,'FE Fret'!$G:$U,10,FALSE))
+$K224*IF(ISNA(VLOOKUP($B224&amp;"; "&amp;$L$221&amp;", "&amp;H$222,'FE Fret'!$G:$U,10,FALSE)),0,VLOOKUP($B224&amp;"; "&amp;$L$221&amp;", "&amp;H$222,'FE Fret'!$G:$U,10,FALSE))</f>
        <v>0</v>
      </c>
      <c r="AI224" s="565">
        <f>$G224*IF(ISNA(VLOOKUP($B224&amp;"; "&amp;$H$221&amp;", "&amp;I$222,'FE Fret'!$G:$U,10,FALSE)),0,VLOOKUP($B224&amp;"; "&amp;$H$221&amp;", "&amp;I$222,'FE Fret'!$G:$U,10,FALSE))
+$K224*IF(ISNA(VLOOKUP($B224&amp;"; "&amp;$L$221&amp;", "&amp;I$222,'FE Fret'!$G:$U,10,FALSE)),0,VLOOKUP($B224&amp;"; "&amp;$L$221&amp;", "&amp;I$222,'FE Fret'!$G:$U,10,FALSE))</f>
        <v>0</v>
      </c>
      <c r="AJ224" s="565">
        <f>$G224*IF(ISNA(VLOOKUP($B224&amp;"; "&amp;$H$221&amp;", "&amp;J$222,'FE Fret'!$G:$U,10,FALSE)),0,VLOOKUP($B224&amp;"; "&amp;$H$221&amp;", "&amp;J$222,'FE Fret'!$G:$U,10,FALSE))
+$K224*IF(ISNA(VLOOKUP($B224&amp;"; "&amp;$L$221&amp;", "&amp;J$222,'FE Fret'!$G:$U,10,FALSE)),0,VLOOKUP($B224&amp;"; "&amp;$L$221&amp;", "&amp;J$222,'FE Fret'!$G:$U,10,FALSE))</f>
        <v>0</v>
      </c>
      <c r="AK224" s="565">
        <f>$G224*IF(ISNA((VLOOKUP($B224&amp;"; "&amp;$H$221&amp;", "&amp;H$222,'FE Fret'!$G:$U,12,FALSE)+VLOOKUP($B224&amp;"; "&amp;$H$221&amp;", "&amp;H$222,'FE Fret'!$G:$U,11,FALSE))),0,(VLOOKUP($B224&amp;"; "&amp;$H$221&amp;", "&amp;H$222,'FE Fret'!$G:$U,12,FALSE)+VLOOKUP($B224&amp;"; "&amp;$H$221&amp;", "&amp;H$222,'FE Fret'!$G:$U,11,FALSE)))
+$K224*IF(ISNA((VLOOKUP($B224&amp;"; "&amp;$L$221&amp;", "&amp;H$222,'FE Fret'!$G:$U,12,FALSE)+VLOOKUP($B224&amp;"; "&amp;$L$221&amp;", "&amp;H$222,'FE Fret'!$G:$U,11,FALSE))),0,(VLOOKUP($B224&amp;"; "&amp;$L$221&amp;", "&amp;H$222,'FE Fret'!$G:$U,12,FALSE)+VLOOKUP($B224&amp;"; "&amp;$L$221&amp;", "&amp;H$222,'FE Fret'!$G:$U,11,FALSE)))</f>
        <v>0</v>
      </c>
      <c r="AL224" s="565">
        <f>$G224*IF(ISNA((VLOOKUP($B224&amp;"; "&amp;$H$221&amp;", "&amp;I$222,'FE Fret'!$G:$U,12,FALSE)+VLOOKUP($B224&amp;"; "&amp;$H$221&amp;", "&amp;I$222,'FE Fret'!$G:$U,11,FALSE))),0,(VLOOKUP($B224&amp;"; "&amp;$H$221&amp;", "&amp;I$222,'FE Fret'!$G:$U,12,FALSE)+VLOOKUP($B224&amp;"; "&amp;$H$221&amp;", "&amp;I$222,'FE Fret'!$G:$U,11,FALSE)))
+$K224*IF(ISNA((VLOOKUP($B224&amp;"; "&amp;$L$221&amp;", "&amp;I$222,'FE Fret'!$G:$U,12,FALSE)+VLOOKUP($B224&amp;"; "&amp;$L$221&amp;", "&amp;I$222,'FE Fret'!$G:$U,11,FALSE))),0,(VLOOKUP($B224&amp;"; "&amp;$L$221&amp;", "&amp;I$222,'FE Fret'!$G:$U,12,FALSE)+VLOOKUP($B224&amp;"; "&amp;$L$221&amp;", "&amp;I$222,'FE Fret'!$G:$U,11,FALSE)))</f>
        <v>0</v>
      </c>
      <c r="AM224" s="565">
        <f>$G224*IF(ISNA((VLOOKUP($B224&amp;"; "&amp;$H$221&amp;", "&amp;J$222,'FE Fret'!$G:$U,12,FALSE)+VLOOKUP($B224&amp;"; "&amp;$H$221&amp;", "&amp;J$222,'FE Fret'!$G:$U,11,FALSE))),0,(VLOOKUP($B224&amp;"; "&amp;$H$221&amp;", "&amp;J$222,'FE Fret'!$G:$U,12,FALSE)+VLOOKUP($B224&amp;"; "&amp;$H$221&amp;", "&amp;J$222,'FE Fret'!$G:$U,11,FALSE)))
+$K224*IF(ISNA((VLOOKUP($B224&amp;"; "&amp;$L$221&amp;", "&amp;J$222,'FE Fret'!$G:$U,12,FALSE)+VLOOKUP($B224&amp;"; "&amp;$L$221&amp;", "&amp;J$222,'FE Fret'!$G:$U,11,FALSE))),0,(VLOOKUP($B224&amp;"; "&amp;$L$221&amp;", "&amp;J$222,'FE Fret'!$G:$U,12,FALSE)+VLOOKUP($B224&amp;"; "&amp;$L$221&amp;", "&amp;J$222,'FE Fret'!$G:$U,11,FALSE)))</f>
        <v>0</v>
      </c>
      <c r="AN224" s="565">
        <f>$G224*IF(ISNA(VLOOKUP($B224&amp;"; "&amp;$H$221&amp;", "&amp;H$222,'FE Fret'!$G:$U,13,FALSE)),0,VLOOKUP($B224&amp;"; "&amp;$H$221&amp;", "&amp;H$222,'FE Fret'!$G:$U,13,FALSE))
+$K224*IF(ISNA(VLOOKUP($B224&amp;"; "&amp;$L$221&amp;", "&amp;H$222,'FE Fret'!$G:$U,13,FALSE)),0,VLOOKUP($B224&amp;"; "&amp;$L$221&amp;", "&amp;H$222,'FE Fret'!$G:$U,13,FALSE))</f>
        <v>0</v>
      </c>
      <c r="AO224" s="565">
        <f>$G224*IF(ISNA(VLOOKUP($B224&amp;"; "&amp;$H$221&amp;", "&amp;I$222,'FE Fret'!$G:$U,13,FALSE)),0,VLOOKUP($B224&amp;"; "&amp;$H$221&amp;", "&amp;I$222,'FE Fret'!$G:$U,13,FALSE))
+$K224*IF(ISNA(VLOOKUP($B224&amp;"; "&amp;$L$221&amp;", "&amp;I$222,'FE Fret'!$G:$U,13,FALSE)),0,VLOOKUP($B224&amp;"; "&amp;$L$221&amp;", "&amp;I$222,'FE Fret'!$G:$U,13,FALSE))</f>
        <v>0</v>
      </c>
      <c r="AP224" s="565">
        <f>$G224*IF(ISNA(VLOOKUP($B224&amp;"; "&amp;$H$221&amp;", "&amp;J$222,'FE Fret'!$G:$U,13,FALSE)),0,VLOOKUP($B224&amp;"; "&amp;$H$221&amp;", "&amp;J$222,'FE Fret'!$G:$U,13,FALSE))
+$K224*IF(ISNA(VLOOKUP($B224&amp;"; "&amp;$L$221&amp;", "&amp;J$222,'FE Fret'!$G:$U,13,FALSE)),0,VLOOKUP($B224&amp;"; "&amp;$L$221&amp;", "&amp;J$222,'FE Fret'!$G:$U,13,FALSE))</f>
        <v>0</v>
      </c>
      <c r="AQ224" s="565">
        <v>0</v>
      </c>
      <c r="AR224" s="565">
        <v>0</v>
      </c>
      <c r="AS224" s="565">
        <v>0</v>
      </c>
      <c r="AT224" s="566">
        <f t="shared" si="78"/>
        <v>0</v>
      </c>
      <c r="AU224" s="566">
        <f t="shared" si="78"/>
        <v>0</v>
      </c>
      <c r="AV224" s="566">
        <f t="shared" si="78"/>
        <v>0</v>
      </c>
      <c r="AW224" s="564">
        <f>$G224*IF(ISNA(VLOOKUP($B224&amp;"; "&amp;$H$221&amp;", "&amp;H$222,'FE Fret'!$G:$U,15,FALSE)),0,VLOOKUP($B224&amp;"; "&amp;$H$221&amp;", "&amp;H$222,'FE Fret'!$G:$U,15,FALSE))
+$K224*IF(ISNA(VLOOKUP($B224&amp;"; "&amp;$L$221&amp;", "&amp;H$222,'FE Fret'!$G:$U,15,FALSE)),0,VLOOKUP($B224&amp;"; "&amp;$L$221&amp;", "&amp;H$222,'FE Fret'!$G:$U,15,FALSE))</f>
        <v>0</v>
      </c>
      <c r="AX224" s="565">
        <f>$G224*IF(ISNA(VLOOKUP($B224&amp;"; "&amp;$H$221&amp;", "&amp;I$222,'FE Fret'!$G:$U,15,FALSE)),0,VLOOKUP($B224&amp;"; "&amp;$H$221&amp;", "&amp;I$222,'FE Fret'!$G:$U,15,FALSE))
+$K224*IF(ISNA(VLOOKUP($B224&amp;"; "&amp;$L$221&amp;", "&amp;I$222,'FE Fret'!$G:$U,15,FALSE)),0,VLOOKUP($B224&amp;"; "&amp;$L$221&amp;", "&amp;I$222,'FE Fret'!$G:$U,15,FALSE))</f>
        <v>0</v>
      </c>
      <c r="AY224" s="568">
        <f>$G224*IF(ISNA(VLOOKUP($B224&amp;"; "&amp;$H$221&amp;", "&amp;J$222,'FE Fret'!$G:$U,15,FALSE)),0,VLOOKUP($B224&amp;"; "&amp;$H$221&amp;", "&amp;J$222,'FE Fret'!$G:$U,15,FALSE))
+$K224*IF(ISNA(VLOOKUP($B224&amp;"; "&amp;$L$221&amp;", "&amp;J$222,'FE Fret'!$G:$U,15,FALSE)),0,VLOOKUP($B224&amp;"; "&amp;$L$221&amp;", "&amp;J$222,'FE Fret'!$G:$U,15,FALSE))</f>
        <v>0</v>
      </c>
      <c r="AZ224" s="565"/>
      <c r="BA224" s="565"/>
      <c r="BB224" s="565"/>
      <c r="BC224" s="565"/>
      <c r="BD224" s="565"/>
      <c r="BE224" s="565"/>
      <c r="BF224" s="565"/>
      <c r="BH224" s="1065">
        <f>IF($Y224&lt;&gt;"votre valeur :",IF(ISNA(VLOOKUP($Y224,Utilitaires!$N$566:$O$571,2,FALSE)),,VLOOKUP($Y224,Utilitaires!$N$566:$O$571,2,FALSE)),$Z224)</f>
        <v>0</v>
      </c>
      <c r="BI224" s="1124">
        <f>IF(ISNA(SQRT(SUMSQ(VLOOKUP($B224&amp;"; "&amp;$H$221&amp;", "&amp;H$222,'FE Fret'!$G:$U,7,FALSE),$BH224))),0,SQRT(SUMSQ(VLOOKUP($B224&amp;"; "&amp;$H$221&amp;", "&amp;H$222,'FE Fret'!$G:$U,7,FALSE),$BH224)))</f>
        <v>0</v>
      </c>
      <c r="BJ224" s="1124">
        <f>IF(ISNA(SQRT(SUMSQ(VLOOKUP($B224&amp;"; "&amp;$H$221&amp;", "&amp;I$222,'FE Fret'!$G:$U,7,FALSE),$BH224))),0,SQRT(SUMSQ(VLOOKUP($B224&amp;"; "&amp;$H$221&amp;", "&amp;I$222,'FE Fret'!$G:$U,7,FALSE),$BH224)))</f>
        <v>0</v>
      </c>
      <c r="BK224" s="1124">
        <f>IF(ISNA(SQRT(SUMSQ(VLOOKUP($B224&amp;"; "&amp;$H$221&amp;", "&amp;J$222,'FE Fret'!$G:$U,7,FALSE),$BH224))),0,SQRT(SUMSQ(VLOOKUP($B224&amp;"; "&amp;$H$221&amp;", "&amp;J$222,'FE Fret'!$G:$U,7,FALSE),$BH224)))</f>
        <v>0</v>
      </c>
      <c r="BL224" s="1124">
        <f>IF(ISNA(SQRT(SUMSQ(VLOOKUP($B224&amp;"; "&amp;$L$221&amp;", "&amp;L$222,'FE Fret'!$G:$U,7,FALSE),$BH224))),0,SQRT(SUMSQ(VLOOKUP($B224&amp;"; "&amp;$L$221&amp;", "&amp;L$222,'FE Fret'!$G:$U,7,FALSE),$BH224)))</f>
        <v>0</v>
      </c>
      <c r="BM224" s="1130">
        <f>IF(ISNA(SQRT(SUMSQ(VLOOKUP($B224&amp;"; "&amp;$L$221&amp;", "&amp;M$222,'FE Fret'!$G:$U,7,FALSE),$BH224))),0,SQRT(SUMSQ(VLOOKUP($B224&amp;"; "&amp;$L$221&amp;", "&amp;M$222,'FE Fret'!$G:$U,7,FALSE),$BH224)))</f>
        <v>0</v>
      </c>
      <c r="BN224" s="1130">
        <f>IF(ISNA(SQRT(SUMSQ(VLOOKUP($B224&amp;"; "&amp;$L$221&amp;", "&amp;N$222,'FE Fret'!$G:$U,7,FALSE),$BH224))),0,SQRT(SUMSQ(VLOOKUP($B224&amp;"; "&amp;$L$221&amp;", "&amp;N$222,'FE Fret'!$G:$U,7,FALSE),$BH224)))</f>
        <v>0</v>
      </c>
    </row>
    <row r="225" spans="1:71" ht="12.75" hidden="1" customHeight="1" outlineLevel="2">
      <c r="B225" s="143" t="s">
        <v>4015</v>
      </c>
      <c r="C225" s="144"/>
      <c r="D225" s="212">
        <f>SUM(O225:Q225)</f>
        <v>0</v>
      </c>
      <c r="E225" s="212"/>
      <c r="F225" s="530"/>
      <c r="G225" s="120"/>
      <c r="H225" s="335" t="e">
        <f>VLOOKUP($B225&amp;"; "&amp;$H$221&amp;", "&amp;H$222,'FE Fret'!$G:$U,9,FALSE)</f>
        <v>#N/A</v>
      </c>
      <c r="I225" s="335" t="e">
        <f>VLOOKUP($B225&amp;"; "&amp;$H$221&amp;", "&amp;I$222,'FE Fret'!$G:$U,9,FALSE)</f>
        <v>#N/A</v>
      </c>
      <c r="J225" s="335" t="e">
        <f>VLOOKUP($B225&amp;"; "&amp;$H$221&amp;", "&amp;J$222,'FE Fret'!$G:$U,9,FALSE)</f>
        <v>#N/A</v>
      </c>
      <c r="K225" s="120"/>
      <c r="L225" s="335">
        <f>VLOOKUP($B225&amp;"; "&amp;$L$221&amp;", "&amp;L$222,'FE Fret'!$G:$U,9,FALSE)</f>
        <v>4.2200000000000001E-2</v>
      </c>
      <c r="M225" s="335">
        <f>VLOOKUP($B225&amp;"; "&amp;$L$221&amp;", "&amp;M$222,'FE Fret'!$G:$U,9,FALSE)</f>
        <v>0.14399999999999999</v>
      </c>
      <c r="N225" s="335">
        <f>VLOOKUP($B225&amp;"; "&amp;$L$221&amp;", "&amp;N$222,'FE Fret'!$G:$U,9,FALSE)</f>
        <v>3.3E-3</v>
      </c>
      <c r="O225" s="356">
        <f t="shared" si="76"/>
        <v>0</v>
      </c>
      <c r="P225" s="356">
        <f t="shared" si="76"/>
        <v>0</v>
      </c>
      <c r="Q225" s="356">
        <f t="shared" si="76"/>
        <v>0</v>
      </c>
      <c r="R225" s="1286">
        <f>IF(OR(F225=Utilitaires!$G$572,F225=Utilitaires!$G$577),P225,0)</f>
        <v>0</v>
      </c>
      <c r="W225" s="262"/>
      <c r="X225" s="1092">
        <f>IF(AE225=0,AE225,AE225/D225)</f>
        <v>0</v>
      </c>
      <c r="Y225" s="1094"/>
      <c r="Z225" s="820"/>
      <c r="AA225" s="164">
        <f t="shared" si="77"/>
        <v>0</v>
      </c>
      <c r="AB225" s="164">
        <f t="shared" si="77"/>
        <v>0</v>
      </c>
      <c r="AC225" s="164"/>
      <c r="AD225" s="164">
        <f>SQRT(SUMSQ(IF(ISNA($G225*J225*BK225),0,$G225*J225*BK225),IF(ISNA($K225*N225*BN225),0,$K225*N225*BN225)))</f>
        <v>0</v>
      </c>
      <c r="AE225" s="151">
        <f>SQRT(SUMSQ(AA225:AD225))</f>
        <v>0</v>
      </c>
      <c r="AF225" s="1286">
        <f>R225*X225</f>
        <v>0</v>
      </c>
      <c r="AH225" s="564">
        <f>$G225*IF(ISNA(VLOOKUP($B225&amp;"; "&amp;$H$221&amp;", "&amp;H$222,'FE Fret'!$G:$U,10,FALSE)),0,VLOOKUP($B225&amp;"; "&amp;$H$221&amp;", "&amp;H$222,'FE Fret'!$G:$U,10,FALSE))
+$K225*IF(ISNA(VLOOKUP($B225&amp;"; "&amp;$L$221&amp;", "&amp;H$222,'FE Fret'!$G:$U,10,FALSE)),0,VLOOKUP($B225&amp;"; "&amp;$L$221&amp;", "&amp;H$222,'FE Fret'!$G:$U,10,FALSE))</f>
        <v>0</v>
      </c>
      <c r="AI225" s="565">
        <f>$G225*IF(ISNA(VLOOKUP($B225&amp;"; "&amp;$H$221&amp;", "&amp;I$222,'FE Fret'!$G:$U,10,FALSE)),0,VLOOKUP($B225&amp;"; "&amp;$H$221&amp;", "&amp;I$222,'FE Fret'!$G:$U,10,FALSE))
+$K225*IF(ISNA(VLOOKUP($B225&amp;"; "&amp;$L$221&amp;", "&amp;I$222,'FE Fret'!$G:$U,10,FALSE)),0,VLOOKUP($B225&amp;"; "&amp;$L$221&amp;", "&amp;I$222,'FE Fret'!$G:$U,10,FALSE))</f>
        <v>0</v>
      </c>
      <c r="AJ225" s="565">
        <f>$G225*IF(ISNA(VLOOKUP($B225&amp;"; "&amp;$H$221&amp;", "&amp;J$222,'FE Fret'!$G:$U,10,FALSE)),0,VLOOKUP($B225&amp;"; "&amp;$H$221&amp;", "&amp;J$222,'FE Fret'!$G:$U,10,FALSE))
+$K225*IF(ISNA(VLOOKUP($B225&amp;"; "&amp;$L$221&amp;", "&amp;J$222,'FE Fret'!$G:$U,10,FALSE)),0,VLOOKUP($B225&amp;"; "&amp;$L$221&amp;", "&amp;J$222,'FE Fret'!$G:$U,10,FALSE))</f>
        <v>0</v>
      </c>
      <c r="AK225" s="565">
        <f>$G225*IF(ISNA((VLOOKUP($B225&amp;"; "&amp;$H$221&amp;", "&amp;H$222,'FE Fret'!$G:$U,12,FALSE)+VLOOKUP($B225&amp;"; "&amp;$H$221&amp;", "&amp;H$222,'FE Fret'!$G:$U,11,FALSE))),0,(VLOOKUP($B225&amp;"; "&amp;$H$221&amp;", "&amp;H$222,'FE Fret'!$G:$U,12,FALSE)+VLOOKUP($B225&amp;"; "&amp;$H$221&amp;", "&amp;H$222,'FE Fret'!$G:$U,11,FALSE)))
+$K225*IF(ISNA((VLOOKUP($B225&amp;"; "&amp;$L$221&amp;", "&amp;H$222,'FE Fret'!$G:$U,12,FALSE)+VLOOKUP($B225&amp;"; "&amp;$L$221&amp;", "&amp;H$222,'FE Fret'!$G:$U,11,FALSE))),0,(VLOOKUP($B225&amp;"; "&amp;$L$221&amp;", "&amp;H$222,'FE Fret'!$G:$U,12,FALSE)+VLOOKUP($B225&amp;"; "&amp;$L$221&amp;", "&amp;H$222,'FE Fret'!$G:$U,11,FALSE)))</f>
        <v>0</v>
      </c>
      <c r="AL225" s="565">
        <f>$G225*IF(ISNA((VLOOKUP($B225&amp;"; "&amp;$H$221&amp;", "&amp;I$222,'FE Fret'!$G:$U,12,FALSE)+VLOOKUP($B225&amp;"; "&amp;$H$221&amp;", "&amp;I$222,'FE Fret'!$G:$U,11,FALSE))),0,(VLOOKUP($B225&amp;"; "&amp;$H$221&amp;", "&amp;I$222,'FE Fret'!$G:$U,12,FALSE)+VLOOKUP($B225&amp;"; "&amp;$H$221&amp;", "&amp;I$222,'FE Fret'!$G:$U,11,FALSE)))
+$K225*IF(ISNA((VLOOKUP($B225&amp;"; "&amp;$L$221&amp;", "&amp;I$222,'FE Fret'!$G:$U,12,FALSE)+VLOOKUP($B225&amp;"; "&amp;$L$221&amp;", "&amp;I$222,'FE Fret'!$G:$U,11,FALSE))),0,(VLOOKUP($B225&amp;"; "&amp;$L$221&amp;", "&amp;I$222,'FE Fret'!$G:$U,12,FALSE)+VLOOKUP($B225&amp;"; "&amp;$L$221&amp;", "&amp;I$222,'FE Fret'!$G:$U,11,FALSE)))</f>
        <v>0</v>
      </c>
      <c r="AM225" s="565">
        <f>$G225*IF(ISNA((VLOOKUP($B225&amp;"; "&amp;$H$221&amp;", "&amp;J$222,'FE Fret'!$G:$U,12,FALSE)+VLOOKUP($B225&amp;"; "&amp;$H$221&amp;", "&amp;J$222,'FE Fret'!$G:$U,11,FALSE))),0,(VLOOKUP($B225&amp;"; "&amp;$H$221&amp;", "&amp;J$222,'FE Fret'!$G:$U,12,FALSE)+VLOOKUP($B225&amp;"; "&amp;$H$221&amp;", "&amp;J$222,'FE Fret'!$G:$U,11,FALSE)))
+$K225*IF(ISNA((VLOOKUP($B225&amp;"; "&amp;$L$221&amp;", "&amp;J$222,'FE Fret'!$G:$U,12,FALSE)+VLOOKUP($B225&amp;"; "&amp;$L$221&amp;", "&amp;J$222,'FE Fret'!$G:$U,11,FALSE))),0,(VLOOKUP($B225&amp;"; "&amp;$L$221&amp;", "&amp;J$222,'FE Fret'!$G:$U,12,FALSE)+VLOOKUP($B225&amp;"; "&amp;$L$221&amp;", "&amp;J$222,'FE Fret'!$G:$U,11,FALSE)))</f>
        <v>0</v>
      </c>
      <c r="AN225" s="565">
        <f>$G225*IF(ISNA(VLOOKUP($B225&amp;"; "&amp;$H$221&amp;", "&amp;H$222,'FE Fret'!$G:$U,13,FALSE)),0,VLOOKUP($B225&amp;"; "&amp;$H$221&amp;", "&amp;H$222,'FE Fret'!$G:$U,13,FALSE))
+$K225*IF(ISNA(VLOOKUP($B225&amp;"; "&amp;$L$221&amp;", "&amp;H$222,'FE Fret'!$G:$U,13,FALSE)),0,VLOOKUP($B225&amp;"; "&amp;$L$221&amp;", "&amp;H$222,'FE Fret'!$G:$U,13,FALSE))</f>
        <v>0</v>
      </c>
      <c r="AO225" s="565">
        <f>$G225*IF(ISNA(VLOOKUP($B225&amp;"; "&amp;$H$221&amp;", "&amp;I$222,'FE Fret'!$G:$U,13,FALSE)),0,VLOOKUP($B225&amp;"; "&amp;$H$221&amp;", "&amp;I$222,'FE Fret'!$G:$U,13,FALSE))
+$K225*IF(ISNA(VLOOKUP($B225&amp;"; "&amp;$L$221&amp;", "&amp;I$222,'FE Fret'!$G:$U,13,FALSE)),0,VLOOKUP($B225&amp;"; "&amp;$L$221&amp;", "&amp;I$222,'FE Fret'!$G:$U,13,FALSE))</f>
        <v>0</v>
      </c>
      <c r="AP225" s="565">
        <f>$G225*IF(ISNA(VLOOKUP($B225&amp;"; "&amp;$H$221&amp;", "&amp;J$222,'FE Fret'!$G:$U,13,FALSE)),0,VLOOKUP($B225&amp;"; "&amp;$H$221&amp;", "&amp;J$222,'FE Fret'!$G:$U,13,FALSE))
+$K225*IF(ISNA(VLOOKUP($B225&amp;"; "&amp;$L$221&amp;", "&amp;J$222,'FE Fret'!$G:$U,13,FALSE)),0,VLOOKUP($B225&amp;"; "&amp;$L$221&amp;", "&amp;J$222,'FE Fret'!$G:$U,13,FALSE))</f>
        <v>0</v>
      </c>
      <c r="AQ225" s="565">
        <v>0</v>
      </c>
      <c r="AR225" s="565">
        <v>0</v>
      </c>
      <c r="AS225" s="565">
        <v>0</v>
      </c>
      <c r="AT225" s="566">
        <f t="shared" si="78"/>
        <v>0</v>
      </c>
      <c r="AU225" s="566">
        <f t="shared" si="78"/>
        <v>0</v>
      </c>
      <c r="AV225" s="566">
        <f t="shared" si="78"/>
        <v>0</v>
      </c>
      <c r="AW225" s="564">
        <f>$G225*IF(ISNA(VLOOKUP($B225&amp;"; "&amp;$H$221&amp;", "&amp;H$222,'FE Fret'!$G:$U,15,FALSE)),0,VLOOKUP($B225&amp;"; "&amp;$H$221&amp;", "&amp;H$222,'FE Fret'!$G:$U,15,FALSE))
+$K225*IF(ISNA(VLOOKUP($B225&amp;"; "&amp;$L$221&amp;", "&amp;H$222,'FE Fret'!$G:$U,15,FALSE)),0,VLOOKUP($B225&amp;"; "&amp;$L$221&amp;", "&amp;H$222,'FE Fret'!$G:$U,15,FALSE))</f>
        <v>0</v>
      </c>
      <c r="AX225" s="565">
        <f>$G225*IF(ISNA(VLOOKUP($B225&amp;"; "&amp;$H$221&amp;", "&amp;I$222,'FE Fret'!$G:$U,15,FALSE)),0,VLOOKUP($B225&amp;"; "&amp;$H$221&amp;", "&amp;I$222,'FE Fret'!$G:$U,15,FALSE))
+$K225*IF(ISNA(VLOOKUP($B225&amp;"; "&amp;$L$221&amp;", "&amp;I$222,'FE Fret'!$G:$U,15,FALSE)),0,VLOOKUP($B225&amp;"; "&amp;$L$221&amp;", "&amp;I$222,'FE Fret'!$G:$U,15,FALSE))</f>
        <v>0</v>
      </c>
      <c r="AY225" s="568">
        <f>$G225*IF(ISNA(VLOOKUP($B225&amp;"; "&amp;$H$221&amp;", "&amp;J$222,'FE Fret'!$G:$U,15,FALSE)),0,VLOOKUP($B225&amp;"; "&amp;$H$221&amp;", "&amp;J$222,'FE Fret'!$G:$U,15,FALSE))
+$K225*IF(ISNA(VLOOKUP($B225&amp;"; "&amp;$L$221&amp;", "&amp;J$222,'FE Fret'!$G:$U,15,FALSE)),0,VLOOKUP($B225&amp;"; "&amp;$L$221&amp;", "&amp;J$222,'FE Fret'!$G:$U,15,FALSE))</f>
        <v>0</v>
      </c>
      <c r="AZ225" s="565"/>
      <c r="BA225" s="565"/>
      <c r="BB225" s="565"/>
      <c r="BC225" s="565"/>
      <c r="BD225" s="565"/>
      <c r="BE225" s="565"/>
      <c r="BF225" s="565"/>
      <c r="BH225" s="1065">
        <f>IF($Y225&lt;&gt;"votre valeur :",IF(ISNA(VLOOKUP($Y225,Utilitaires!$N$566:$O$571,2,FALSE)),,VLOOKUP($Y225,Utilitaires!$N$566:$O$571,2,FALSE)),$Z225)</f>
        <v>0</v>
      </c>
      <c r="BI225" s="1124">
        <f>IF(ISNA(SQRT(SUMSQ(VLOOKUP($B225&amp;"; "&amp;$H$221&amp;", "&amp;H$222,'FE Fret'!$G:$U,7,FALSE),$BH225))),0,SQRT(SUMSQ(VLOOKUP($B225&amp;"; "&amp;$H$221&amp;", "&amp;H$222,'FE Fret'!$G:$U,7,FALSE),$BH225)))</f>
        <v>0</v>
      </c>
      <c r="BJ225" s="1124">
        <f>IF(ISNA(SQRT(SUMSQ(VLOOKUP($B225&amp;"; "&amp;$H$221&amp;", "&amp;I$222,'FE Fret'!$G:$U,7,FALSE),$BH225))),0,SQRT(SUMSQ(VLOOKUP($B225&amp;"; "&amp;$H$221&amp;", "&amp;I$222,'FE Fret'!$G:$U,7,FALSE),$BH225)))</f>
        <v>0</v>
      </c>
      <c r="BK225" s="1124">
        <f>IF(ISNA(SQRT(SUMSQ(VLOOKUP($B225&amp;"; "&amp;$H$221&amp;", "&amp;J$222,'FE Fret'!$G:$U,7,FALSE),$BH225))),0,SQRT(SUMSQ(VLOOKUP($B225&amp;"; "&amp;$H$221&amp;", "&amp;J$222,'FE Fret'!$G:$U,7,FALSE),$BH225)))</f>
        <v>0</v>
      </c>
      <c r="BL225" s="1124">
        <f>IF(ISNA(SQRT(SUMSQ(VLOOKUP($B225&amp;"; "&amp;$L$221&amp;", "&amp;L$222,'FE Fret'!$G:$U,7,FALSE),$BH225))),0,SQRT(SUMSQ(VLOOKUP($B225&amp;"; "&amp;$L$221&amp;", "&amp;L$222,'FE Fret'!$G:$U,7,FALSE),$BH225)))</f>
        <v>0.7</v>
      </c>
      <c r="BM225" s="1130">
        <f>IF(ISNA(SQRT(SUMSQ(VLOOKUP($B225&amp;"; "&amp;$L$221&amp;", "&amp;M$222,'FE Fret'!$G:$U,7,FALSE),$BH225))),0,SQRT(SUMSQ(VLOOKUP($B225&amp;"; "&amp;$L$221&amp;", "&amp;M$222,'FE Fret'!$G:$U,7,FALSE),$BH225)))</f>
        <v>0.7</v>
      </c>
      <c r="BN225" s="1130">
        <f>IF(ISNA(SQRT(SUMSQ(VLOOKUP($B225&amp;"; "&amp;$L$221&amp;", "&amp;N$222,'FE Fret'!$G:$U,7,FALSE),$BH225))),0,SQRT(SUMSQ(VLOOKUP($B225&amp;"; "&amp;$L$221&amp;", "&amp;N$222,'FE Fret'!$G:$U,7,FALSE),$BH225)))</f>
        <v>0.7</v>
      </c>
    </row>
    <row r="226" spans="1:71" ht="12.75" hidden="1" customHeight="1" outlineLevel="2">
      <c r="B226" s="143" t="s">
        <v>4033</v>
      </c>
      <c r="C226" s="144"/>
      <c r="D226" s="212">
        <f>SUM(O226:Q226)</f>
        <v>0</v>
      </c>
      <c r="E226" s="212"/>
      <c r="F226" s="530"/>
      <c r="G226" s="120"/>
      <c r="H226" s="335" t="e">
        <f>VLOOKUP($B226&amp;"; "&amp;$H$221&amp;", "&amp;H$222,'FE Fret'!$G:$U,9,FALSE)</f>
        <v>#N/A</v>
      </c>
      <c r="I226" s="335" t="e">
        <f>VLOOKUP($B226&amp;"; "&amp;$H$221&amp;", "&amp;I$222,'FE Fret'!$G:$U,9,FALSE)</f>
        <v>#N/A</v>
      </c>
      <c r="J226" s="335" t="e">
        <f>VLOOKUP($B226&amp;"; "&amp;$H$221&amp;", "&amp;J$222,'FE Fret'!$G:$U,9,FALSE)</f>
        <v>#N/A</v>
      </c>
      <c r="K226" s="120"/>
      <c r="L226" s="335">
        <f>VLOOKUP($B226&amp;"; "&amp;$L$221&amp;", "&amp;L$222,'FE Fret'!$G:$U,9,FALSE)</f>
        <v>3.5999999999999997E-2</v>
      </c>
      <c r="M226" s="335">
        <f>VLOOKUP($B226&amp;"; "&amp;$L$221&amp;", "&amp;M$222,'FE Fret'!$G:$U,9,FALSE)</f>
        <v>0.14000000000000001</v>
      </c>
      <c r="N226" s="335">
        <f>VLOOKUP($B226&amp;"; "&amp;$L$221&amp;", "&amp;N$222,'FE Fret'!$G:$U,9,FALSE)</f>
        <v>1.1299999999999999E-2</v>
      </c>
      <c r="O226" s="356">
        <f t="shared" si="76"/>
        <v>0</v>
      </c>
      <c r="P226" s="356">
        <f t="shared" si="76"/>
        <v>0</v>
      </c>
      <c r="Q226" s="356">
        <f t="shared" si="76"/>
        <v>0</v>
      </c>
      <c r="R226" s="1286">
        <f>IF(OR(F226=Utilitaires!$G$572,F226=Utilitaires!$G$577),P226,0)</f>
        <v>0</v>
      </c>
      <c r="W226" s="262"/>
      <c r="X226" s="1092">
        <f>IF(AE226=0,AE226,AE226/D226)</f>
        <v>0</v>
      </c>
      <c r="Y226" s="1094"/>
      <c r="Z226" s="820"/>
      <c r="AA226" s="164">
        <f t="shared" si="77"/>
        <v>0</v>
      </c>
      <c r="AB226" s="164">
        <f t="shared" si="77"/>
        <v>0</v>
      </c>
      <c r="AC226" s="164"/>
      <c r="AD226" s="164">
        <f>SQRT(SUMSQ(IF(ISNA($G226*J226*BK226),0,$G226*J226*BK226),IF(ISNA($K226*N226*BN226),0,$K226*N226*BN226)))</f>
        <v>0</v>
      </c>
      <c r="AE226" s="151">
        <f>SQRT(SUMSQ(AA226:AD226))</f>
        <v>0</v>
      </c>
      <c r="AF226" s="1286">
        <f>R226*X226</f>
        <v>0</v>
      </c>
      <c r="AH226" s="564">
        <f>$G226*IF(ISNA(VLOOKUP($B226&amp;"; "&amp;$H$221&amp;", "&amp;H$222,'FE Fret'!$G:$U,10,FALSE)),0,VLOOKUP($B226&amp;"; "&amp;$H$221&amp;", "&amp;H$222,'FE Fret'!$G:$U,10,FALSE))
+$K226*IF(ISNA(VLOOKUP($B226&amp;"; "&amp;$L$221&amp;", "&amp;H$222,'FE Fret'!$G:$U,10,FALSE)),0,VLOOKUP($B226&amp;"; "&amp;$L$221&amp;", "&amp;H$222,'FE Fret'!$G:$U,10,FALSE))</f>
        <v>0</v>
      </c>
      <c r="AI226" s="565">
        <f>$G226*IF(ISNA(VLOOKUP($B226&amp;"; "&amp;$H$221&amp;", "&amp;I$222,'FE Fret'!$G:$U,10,FALSE)),0,VLOOKUP($B226&amp;"; "&amp;$H$221&amp;", "&amp;I$222,'FE Fret'!$G:$U,10,FALSE))
+$K226*IF(ISNA(VLOOKUP($B226&amp;"; "&amp;$L$221&amp;", "&amp;I$222,'FE Fret'!$G:$U,10,FALSE)),0,VLOOKUP($B226&amp;"; "&amp;$L$221&amp;", "&amp;I$222,'FE Fret'!$G:$U,10,FALSE))</f>
        <v>0</v>
      </c>
      <c r="AJ226" s="565">
        <f>$G226*IF(ISNA(VLOOKUP($B226&amp;"; "&amp;$H$221&amp;", "&amp;J$222,'FE Fret'!$G:$U,10,FALSE)),0,VLOOKUP($B226&amp;"; "&amp;$H$221&amp;", "&amp;J$222,'FE Fret'!$G:$U,10,FALSE))
+$K226*IF(ISNA(VLOOKUP($B226&amp;"; "&amp;$L$221&amp;", "&amp;J$222,'FE Fret'!$G:$U,10,FALSE)),0,VLOOKUP($B226&amp;"; "&amp;$L$221&amp;", "&amp;J$222,'FE Fret'!$G:$U,10,FALSE))</f>
        <v>0</v>
      </c>
      <c r="AK226" s="565">
        <f>$G226*IF(ISNA((VLOOKUP($B226&amp;"; "&amp;$H$221&amp;", "&amp;H$222,'FE Fret'!$G:$U,12,FALSE)+VLOOKUP($B226&amp;"; "&amp;$H$221&amp;", "&amp;H$222,'FE Fret'!$G:$U,11,FALSE))),0,(VLOOKUP($B226&amp;"; "&amp;$H$221&amp;", "&amp;H$222,'FE Fret'!$G:$U,12,FALSE)+VLOOKUP($B226&amp;"; "&amp;$H$221&amp;", "&amp;H$222,'FE Fret'!$G:$U,11,FALSE)))
+$K226*IF(ISNA((VLOOKUP($B226&amp;"; "&amp;$L$221&amp;", "&amp;H$222,'FE Fret'!$G:$U,12,FALSE)+VLOOKUP($B226&amp;"; "&amp;$L$221&amp;", "&amp;H$222,'FE Fret'!$G:$U,11,FALSE))),0,(VLOOKUP($B226&amp;"; "&amp;$L$221&amp;", "&amp;H$222,'FE Fret'!$G:$U,12,FALSE)+VLOOKUP($B226&amp;"; "&amp;$L$221&amp;", "&amp;H$222,'FE Fret'!$G:$U,11,FALSE)))</f>
        <v>0</v>
      </c>
      <c r="AL226" s="565">
        <f>$G226*IF(ISNA((VLOOKUP($B226&amp;"; "&amp;$H$221&amp;", "&amp;I$222,'FE Fret'!$G:$U,12,FALSE)+VLOOKUP($B226&amp;"; "&amp;$H$221&amp;", "&amp;I$222,'FE Fret'!$G:$U,11,FALSE))),0,(VLOOKUP($B226&amp;"; "&amp;$H$221&amp;", "&amp;I$222,'FE Fret'!$G:$U,12,FALSE)+VLOOKUP($B226&amp;"; "&amp;$H$221&amp;", "&amp;I$222,'FE Fret'!$G:$U,11,FALSE)))
+$K226*IF(ISNA((VLOOKUP($B226&amp;"; "&amp;$L$221&amp;", "&amp;I$222,'FE Fret'!$G:$U,12,FALSE)+VLOOKUP($B226&amp;"; "&amp;$L$221&amp;", "&amp;I$222,'FE Fret'!$G:$U,11,FALSE))),0,(VLOOKUP($B226&amp;"; "&amp;$L$221&amp;", "&amp;I$222,'FE Fret'!$G:$U,12,FALSE)+VLOOKUP($B226&amp;"; "&amp;$L$221&amp;", "&amp;I$222,'FE Fret'!$G:$U,11,FALSE)))</f>
        <v>0</v>
      </c>
      <c r="AM226" s="565">
        <f>$G226*IF(ISNA((VLOOKUP($B226&amp;"; "&amp;$H$221&amp;", "&amp;J$222,'FE Fret'!$G:$U,12,FALSE)+VLOOKUP($B226&amp;"; "&amp;$H$221&amp;", "&amp;J$222,'FE Fret'!$G:$U,11,FALSE))),0,(VLOOKUP($B226&amp;"; "&amp;$H$221&amp;", "&amp;J$222,'FE Fret'!$G:$U,12,FALSE)+VLOOKUP($B226&amp;"; "&amp;$H$221&amp;", "&amp;J$222,'FE Fret'!$G:$U,11,FALSE)))
+$K226*IF(ISNA((VLOOKUP($B226&amp;"; "&amp;$L$221&amp;", "&amp;J$222,'FE Fret'!$G:$U,12,FALSE)+VLOOKUP($B226&amp;"; "&amp;$L$221&amp;", "&amp;J$222,'FE Fret'!$G:$U,11,FALSE))),0,(VLOOKUP($B226&amp;"; "&amp;$L$221&amp;", "&amp;J$222,'FE Fret'!$G:$U,12,FALSE)+VLOOKUP($B226&amp;"; "&amp;$L$221&amp;", "&amp;J$222,'FE Fret'!$G:$U,11,FALSE)))</f>
        <v>0</v>
      </c>
      <c r="AN226" s="565">
        <f>$G226*IF(ISNA(VLOOKUP($B226&amp;"; "&amp;$H$221&amp;", "&amp;H$222,'FE Fret'!$G:$U,13,FALSE)),0,VLOOKUP($B226&amp;"; "&amp;$H$221&amp;", "&amp;H$222,'FE Fret'!$G:$U,13,FALSE))
+$K226*IF(ISNA(VLOOKUP($B226&amp;"; "&amp;$L$221&amp;", "&amp;H$222,'FE Fret'!$G:$U,13,FALSE)),0,VLOOKUP($B226&amp;"; "&amp;$L$221&amp;", "&amp;H$222,'FE Fret'!$G:$U,13,FALSE))</f>
        <v>0</v>
      </c>
      <c r="AO226" s="565">
        <f>$G226*IF(ISNA(VLOOKUP($B226&amp;"; "&amp;$H$221&amp;", "&amp;I$222,'FE Fret'!$G:$U,13,FALSE)),0,VLOOKUP($B226&amp;"; "&amp;$H$221&amp;", "&amp;I$222,'FE Fret'!$G:$U,13,FALSE))
+$K226*IF(ISNA(VLOOKUP($B226&amp;"; "&amp;$L$221&amp;", "&amp;I$222,'FE Fret'!$G:$U,13,FALSE)),0,VLOOKUP($B226&amp;"; "&amp;$L$221&amp;", "&amp;I$222,'FE Fret'!$G:$U,13,FALSE))</f>
        <v>0</v>
      </c>
      <c r="AP226" s="565">
        <f>$G226*IF(ISNA(VLOOKUP($B226&amp;"; "&amp;$H$221&amp;", "&amp;J$222,'FE Fret'!$G:$U,13,FALSE)),0,VLOOKUP($B226&amp;"; "&amp;$H$221&amp;", "&amp;J$222,'FE Fret'!$G:$U,13,FALSE))
+$K226*IF(ISNA(VLOOKUP($B226&amp;"; "&amp;$L$221&amp;", "&amp;J$222,'FE Fret'!$G:$U,13,FALSE)),0,VLOOKUP($B226&amp;"; "&amp;$L$221&amp;", "&amp;J$222,'FE Fret'!$G:$U,13,FALSE))</f>
        <v>0</v>
      </c>
      <c r="AQ226" s="565">
        <v>0</v>
      </c>
      <c r="AR226" s="565">
        <v>0</v>
      </c>
      <c r="AS226" s="565">
        <v>0</v>
      </c>
      <c r="AT226" s="566">
        <f t="shared" si="78"/>
        <v>0</v>
      </c>
      <c r="AU226" s="566">
        <f t="shared" si="78"/>
        <v>0</v>
      </c>
      <c r="AV226" s="566">
        <f t="shared" si="78"/>
        <v>0</v>
      </c>
      <c r="AW226" s="564">
        <f>$G226*IF(ISNA(VLOOKUP($B226&amp;"; "&amp;$H$221&amp;", "&amp;H$222,'FE Fret'!$G:$U,15,FALSE)),0,VLOOKUP($B226&amp;"; "&amp;$H$221&amp;", "&amp;H$222,'FE Fret'!$G:$U,15,FALSE))
+$K226*IF(ISNA(VLOOKUP($B226&amp;"; "&amp;$L$221&amp;", "&amp;H$222,'FE Fret'!$G:$U,15,FALSE)),0,VLOOKUP($B226&amp;"; "&amp;$L$221&amp;", "&amp;H$222,'FE Fret'!$G:$U,15,FALSE))</f>
        <v>0</v>
      </c>
      <c r="AX226" s="565">
        <f>$G226*IF(ISNA(VLOOKUP($B226&amp;"; "&amp;$H$221&amp;", "&amp;I$222,'FE Fret'!$G:$U,15,FALSE)),0,VLOOKUP($B226&amp;"; "&amp;$H$221&amp;", "&amp;I$222,'FE Fret'!$G:$U,15,FALSE))
+$K226*IF(ISNA(VLOOKUP($B226&amp;"; "&amp;$L$221&amp;", "&amp;I$222,'FE Fret'!$G:$U,15,FALSE)),0,VLOOKUP($B226&amp;"; "&amp;$L$221&amp;", "&amp;I$222,'FE Fret'!$G:$U,15,FALSE))</f>
        <v>0</v>
      </c>
      <c r="AY226" s="568">
        <f>$G226*IF(ISNA(VLOOKUP($B226&amp;"; "&amp;$H$221&amp;", "&amp;J$222,'FE Fret'!$G:$U,15,FALSE)),0,VLOOKUP($B226&amp;"; "&amp;$H$221&amp;", "&amp;J$222,'FE Fret'!$G:$U,15,FALSE))
+$K226*IF(ISNA(VLOOKUP($B226&amp;"; "&amp;$L$221&amp;", "&amp;J$222,'FE Fret'!$G:$U,15,FALSE)),0,VLOOKUP($B226&amp;"; "&amp;$L$221&amp;", "&amp;J$222,'FE Fret'!$G:$U,15,FALSE))</f>
        <v>0</v>
      </c>
      <c r="AZ226" s="565"/>
      <c r="BA226" s="565"/>
      <c r="BB226" s="565"/>
      <c r="BC226" s="565"/>
      <c r="BD226" s="565"/>
      <c r="BE226" s="565"/>
      <c r="BF226" s="565"/>
      <c r="BH226" s="1065">
        <f>IF($Y226&lt;&gt;"votre valeur :",IF(ISNA(VLOOKUP($Y226,Utilitaires!$N$566:$O$571,2,FALSE)),,VLOOKUP($Y226,Utilitaires!$N$566:$O$571,2,FALSE)),$Z226)</f>
        <v>0</v>
      </c>
      <c r="BI226" s="1124">
        <f>IF(ISNA(SQRT(SUMSQ(VLOOKUP($B226&amp;"; "&amp;$H$221&amp;", "&amp;H$222,'FE Fret'!$G:$U,7,FALSE),$BH226))),0,SQRT(SUMSQ(VLOOKUP($B226&amp;"; "&amp;$H$221&amp;", "&amp;H$222,'FE Fret'!$G:$U,7,FALSE),$BH226)))</f>
        <v>0</v>
      </c>
      <c r="BJ226" s="1124">
        <f>IF(ISNA(SQRT(SUMSQ(VLOOKUP($B226&amp;"; "&amp;$H$221&amp;", "&amp;I$222,'FE Fret'!$G:$U,7,FALSE),$BH226))),0,SQRT(SUMSQ(VLOOKUP($B226&amp;"; "&amp;$H$221&amp;", "&amp;I$222,'FE Fret'!$G:$U,7,FALSE),$BH226)))</f>
        <v>0</v>
      </c>
      <c r="BK226" s="1124">
        <f>IF(ISNA(SQRT(SUMSQ(VLOOKUP($B226&amp;"; "&amp;$H$221&amp;", "&amp;J$222,'FE Fret'!$G:$U,7,FALSE),$BH226))),0,SQRT(SUMSQ(VLOOKUP($B226&amp;"; "&amp;$H$221&amp;", "&amp;J$222,'FE Fret'!$G:$U,7,FALSE),$BH226)))</f>
        <v>0</v>
      </c>
      <c r="BL226" s="1124">
        <f>IF(ISNA(SQRT(SUMSQ(VLOOKUP($B226&amp;"; "&amp;$L$221&amp;", "&amp;L$222,'FE Fret'!$G:$U,7,FALSE),$BH226))),0,SQRT(SUMSQ(VLOOKUP($B226&amp;"; "&amp;$L$221&amp;", "&amp;L$222,'FE Fret'!$G:$U,7,FALSE),$BH226)))</f>
        <v>0.7</v>
      </c>
      <c r="BM226" s="1130">
        <f>IF(ISNA(SQRT(SUMSQ(VLOOKUP($B226&amp;"; "&amp;$L$221&amp;", "&amp;M$222,'FE Fret'!$G:$U,7,FALSE),$BH226))),0,SQRT(SUMSQ(VLOOKUP($B226&amp;"; "&amp;$L$221&amp;", "&amp;M$222,'FE Fret'!$G:$U,7,FALSE),$BH226)))</f>
        <v>0.7</v>
      </c>
      <c r="BN226" s="1130">
        <f>IF(ISNA(SQRT(SUMSQ(VLOOKUP($B226&amp;"; "&amp;$L$221&amp;", "&amp;N$222,'FE Fret'!$G:$U,7,FALSE),$BH226))),0,SQRT(SUMSQ(VLOOKUP($B226&amp;"; "&amp;$L$221&amp;", "&amp;N$222,'FE Fret'!$G:$U,7,FALSE),$BH226)))</f>
        <v>0.7</v>
      </c>
    </row>
    <row r="227" spans="1:71" ht="12.75" hidden="1" customHeight="1" outlineLevel="2">
      <c r="B227" s="143" t="s">
        <v>4112</v>
      </c>
      <c r="C227" s="144"/>
      <c r="D227" s="212">
        <f>SUM(O227:Q227)</f>
        <v>0</v>
      </c>
      <c r="E227" s="212"/>
      <c r="F227" s="347"/>
      <c r="G227" s="123"/>
      <c r="H227" s="335" t="e">
        <f>VLOOKUP($B227&amp;"; "&amp;$H$221&amp;", "&amp;H$222,'FE Fret'!$G:$U,9,FALSE)</f>
        <v>#N/A</v>
      </c>
      <c r="I227" s="335" t="e">
        <f>VLOOKUP($B227&amp;"; "&amp;$H$221&amp;", "&amp;I$222,'FE Fret'!$G:$U,9,FALSE)</f>
        <v>#N/A</v>
      </c>
      <c r="J227" s="335" t="e">
        <f>VLOOKUP($B227&amp;"; "&amp;$H$221&amp;", "&amp;J$222,'FE Fret'!$G:$U,9,FALSE)</f>
        <v>#N/A</v>
      </c>
      <c r="K227" s="123"/>
      <c r="L227" s="335" t="e">
        <f>VLOOKUP($B227&amp;"; "&amp;$L$221&amp;", "&amp;L$222,'FE Fret'!$G:$U,9,FALSE)</f>
        <v>#N/A</v>
      </c>
      <c r="M227" s="335" t="e">
        <f>VLOOKUP($B227&amp;"; "&amp;$L$221&amp;", "&amp;M$222,'FE Fret'!$G:$U,9,FALSE)</f>
        <v>#N/A</v>
      </c>
      <c r="N227" s="335" t="e">
        <f>VLOOKUP($B227&amp;"; "&amp;$L$221&amp;", "&amp;N$222,'FE Fret'!$G:$U,9,FALSE)</f>
        <v>#N/A</v>
      </c>
      <c r="O227" s="356">
        <f t="shared" si="76"/>
        <v>0</v>
      </c>
      <c r="P227" s="356">
        <f t="shared" si="76"/>
        <v>0</v>
      </c>
      <c r="Q227" s="356">
        <f t="shared" si="76"/>
        <v>0</v>
      </c>
      <c r="R227" s="1286">
        <f>IF(OR(F227=Utilitaires!$G$572,F227=Utilitaires!$G$577),P227,0)</f>
        <v>0</v>
      </c>
      <c r="W227" s="116"/>
      <c r="X227" s="1092">
        <f>IF(AE227=0,AE227,AE227/D227)</f>
        <v>0</v>
      </c>
      <c r="Y227" s="1094"/>
      <c r="Z227" s="820"/>
      <c r="AA227" s="164">
        <f t="shared" si="77"/>
        <v>0</v>
      </c>
      <c r="AB227" s="164">
        <f t="shared" si="77"/>
        <v>0</v>
      </c>
      <c r="AC227" s="164"/>
      <c r="AD227" s="164">
        <f>SQRT(SUMSQ(IF(ISNA($G227*J227*BK227),0,$G227*J227*BK227),IF(ISNA($K227*N227*BN227),0,$K227*N227*BN227)))</f>
        <v>0</v>
      </c>
      <c r="AE227" s="151">
        <f>SQRT(SUMSQ(AA227:AD227))</f>
        <v>0</v>
      </c>
      <c r="AF227" s="1286">
        <f>R227*X227</f>
        <v>0</v>
      </c>
      <c r="AH227" s="564">
        <f>$G227*IF(ISNA(VLOOKUP($B227&amp;"; "&amp;$H$221&amp;", "&amp;H$222,'FE Fret'!$G:$U,10,FALSE)),0,VLOOKUP($B227&amp;"; "&amp;$H$221&amp;", "&amp;H$222,'FE Fret'!$G:$U,10,FALSE))
+$K227*IF(ISNA(VLOOKUP($B227&amp;"; "&amp;$L$221&amp;", "&amp;H$222,'FE Fret'!$G:$U,10,FALSE)),0,VLOOKUP($B227&amp;"; "&amp;$L$221&amp;", "&amp;H$222,'FE Fret'!$G:$U,10,FALSE))</f>
        <v>0</v>
      </c>
      <c r="AI227" s="565">
        <f>$G227*IF(ISNA(VLOOKUP($B227&amp;"; "&amp;$H$221&amp;", "&amp;I$222,'FE Fret'!$G:$U,10,FALSE)),0,VLOOKUP($B227&amp;"; "&amp;$H$221&amp;", "&amp;I$222,'FE Fret'!$G:$U,10,FALSE))
+$K227*IF(ISNA(VLOOKUP($B227&amp;"; "&amp;$L$221&amp;", "&amp;I$222,'FE Fret'!$G:$U,10,FALSE)),0,VLOOKUP($B227&amp;"; "&amp;$L$221&amp;", "&amp;I$222,'FE Fret'!$G:$U,10,FALSE))</f>
        <v>0</v>
      </c>
      <c r="AJ227" s="565">
        <f>$G227*IF(ISNA(VLOOKUP($B227&amp;"; "&amp;$H$221&amp;", "&amp;J$222,'FE Fret'!$G:$U,10,FALSE)),0,VLOOKUP($B227&amp;"; "&amp;$H$221&amp;", "&amp;J$222,'FE Fret'!$G:$U,10,FALSE))
+$K227*IF(ISNA(VLOOKUP($B227&amp;"; "&amp;$L$221&amp;", "&amp;J$222,'FE Fret'!$G:$U,10,FALSE)),0,VLOOKUP($B227&amp;"; "&amp;$L$221&amp;", "&amp;J$222,'FE Fret'!$G:$U,10,FALSE))</f>
        <v>0</v>
      </c>
      <c r="AK227" s="565">
        <f>$G227*IF(ISNA((VLOOKUP($B227&amp;"; "&amp;$H$221&amp;", "&amp;H$222,'FE Fret'!$G:$U,12,FALSE)+VLOOKUP($B227&amp;"; "&amp;$H$221&amp;", "&amp;H$222,'FE Fret'!$G:$U,11,FALSE))),0,(VLOOKUP($B227&amp;"; "&amp;$H$221&amp;", "&amp;H$222,'FE Fret'!$G:$U,12,FALSE)+VLOOKUP($B227&amp;"; "&amp;$H$221&amp;", "&amp;H$222,'FE Fret'!$G:$U,11,FALSE)))
+$K227*IF(ISNA((VLOOKUP($B227&amp;"; "&amp;$L$221&amp;", "&amp;H$222,'FE Fret'!$G:$U,12,FALSE)+VLOOKUP($B227&amp;"; "&amp;$L$221&amp;", "&amp;H$222,'FE Fret'!$G:$U,11,FALSE))),0,(VLOOKUP($B227&amp;"; "&amp;$L$221&amp;", "&amp;H$222,'FE Fret'!$G:$U,12,FALSE)+VLOOKUP($B227&amp;"; "&amp;$L$221&amp;", "&amp;H$222,'FE Fret'!$G:$U,11,FALSE)))</f>
        <v>0</v>
      </c>
      <c r="AL227" s="565">
        <f>$G227*IF(ISNA((VLOOKUP($B227&amp;"; "&amp;$H$221&amp;", "&amp;I$222,'FE Fret'!$G:$U,12,FALSE)+VLOOKUP($B227&amp;"; "&amp;$H$221&amp;", "&amp;I$222,'FE Fret'!$G:$U,11,FALSE))),0,(VLOOKUP($B227&amp;"; "&amp;$H$221&amp;", "&amp;I$222,'FE Fret'!$G:$U,12,FALSE)+VLOOKUP($B227&amp;"; "&amp;$H$221&amp;", "&amp;I$222,'FE Fret'!$G:$U,11,FALSE)))
+$K227*IF(ISNA((VLOOKUP($B227&amp;"; "&amp;$L$221&amp;", "&amp;I$222,'FE Fret'!$G:$U,12,FALSE)+VLOOKUP($B227&amp;"; "&amp;$L$221&amp;", "&amp;I$222,'FE Fret'!$G:$U,11,FALSE))),0,(VLOOKUP($B227&amp;"; "&amp;$L$221&amp;", "&amp;I$222,'FE Fret'!$G:$U,12,FALSE)+VLOOKUP($B227&amp;"; "&amp;$L$221&amp;", "&amp;I$222,'FE Fret'!$G:$U,11,FALSE)))</f>
        <v>0</v>
      </c>
      <c r="AM227" s="565">
        <f>$G227*IF(ISNA((VLOOKUP($B227&amp;"; "&amp;$H$221&amp;", "&amp;J$222,'FE Fret'!$G:$U,12,FALSE)+VLOOKUP($B227&amp;"; "&amp;$H$221&amp;", "&amp;J$222,'FE Fret'!$G:$U,11,FALSE))),0,(VLOOKUP($B227&amp;"; "&amp;$H$221&amp;", "&amp;J$222,'FE Fret'!$G:$U,12,FALSE)+VLOOKUP($B227&amp;"; "&amp;$H$221&amp;", "&amp;J$222,'FE Fret'!$G:$U,11,FALSE)))
+$K227*IF(ISNA((VLOOKUP($B227&amp;"; "&amp;$L$221&amp;", "&amp;J$222,'FE Fret'!$G:$U,12,FALSE)+VLOOKUP($B227&amp;"; "&amp;$L$221&amp;", "&amp;J$222,'FE Fret'!$G:$U,11,FALSE))),0,(VLOOKUP($B227&amp;"; "&amp;$L$221&amp;", "&amp;J$222,'FE Fret'!$G:$U,12,FALSE)+VLOOKUP($B227&amp;"; "&amp;$L$221&amp;", "&amp;J$222,'FE Fret'!$G:$U,11,FALSE)))</f>
        <v>0</v>
      </c>
      <c r="AN227" s="565">
        <f>$G227*IF(ISNA(VLOOKUP($B227&amp;"; "&amp;$H$221&amp;", "&amp;H$222,'FE Fret'!$G:$U,13,FALSE)),0,VLOOKUP($B227&amp;"; "&amp;$H$221&amp;", "&amp;H$222,'FE Fret'!$G:$U,13,FALSE))
+$K227*IF(ISNA(VLOOKUP($B227&amp;"; "&amp;$L$221&amp;", "&amp;H$222,'FE Fret'!$G:$U,13,FALSE)),0,VLOOKUP($B227&amp;"; "&amp;$L$221&amp;", "&amp;H$222,'FE Fret'!$G:$U,13,FALSE))</f>
        <v>0</v>
      </c>
      <c r="AO227" s="565">
        <f>$G227*IF(ISNA(VLOOKUP($B227&amp;"; "&amp;$H$221&amp;", "&amp;I$222,'FE Fret'!$G:$U,13,FALSE)),0,VLOOKUP($B227&amp;"; "&amp;$H$221&amp;", "&amp;I$222,'FE Fret'!$G:$U,13,FALSE))
+$K227*IF(ISNA(VLOOKUP($B227&amp;"; "&amp;$L$221&amp;", "&amp;I$222,'FE Fret'!$G:$U,13,FALSE)),0,VLOOKUP($B227&amp;"; "&amp;$L$221&amp;", "&amp;I$222,'FE Fret'!$G:$U,13,FALSE))</f>
        <v>0</v>
      </c>
      <c r="AP227" s="565">
        <f>$G227*IF(ISNA(VLOOKUP($B227&amp;"; "&amp;$H$221&amp;", "&amp;J$222,'FE Fret'!$G:$U,13,FALSE)),0,VLOOKUP($B227&amp;"; "&amp;$H$221&amp;", "&amp;J$222,'FE Fret'!$G:$U,13,FALSE))
+$K227*IF(ISNA(VLOOKUP($B227&amp;"; "&amp;$L$221&amp;", "&amp;J$222,'FE Fret'!$G:$U,13,FALSE)),0,VLOOKUP($B227&amp;"; "&amp;$L$221&amp;", "&amp;J$222,'FE Fret'!$G:$U,13,FALSE))</f>
        <v>0</v>
      </c>
      <c r="AQ227" s="565">
        <v>0</v>
      </c>
      <c r="AR227" s="565">
        <v>0</v>
      </c>
      <c r="AS227" s="565">
        <v>0</v>
      </c>
      <c r="AT227" s="566">
        <f t="shared" si="78"/>
        <v>0</v>
      </c>
      <c r="AU227" s="566">
        <f t="shared" si="78"/>
        <v>0</v>
      </c>
      <c r="AV227" s="566">
        <f t="shared" si="78"/>
        <v>0</v>
      </c>
      <c r="AW227" s="564">
        <f>$G227*IF(ISNA(VLOOKUP($B227&amp;"; "&amp;$H$221&amp;", "&amp;H$222,'FE Fret'!$G:$U,15,FALSE)),0,VLOOKUP($B227&amp;"; "&amp;$H$221&amp;", "&amp;H$222,'FE Fret'!$G:$U,15,FALSE))
+$K227*IF(ISNA(VLOOKUP($B227&amp;"; "&amp;$L$221&amp;", "&amp;H$222,'FE Fret'!$G:$U,15,FALSE)),0,VLOOKUP($B227&amp;"; "&amp;$L$221&amp;", "&amp;H$222,'FE Fret'!$G:$U,15,FALSE))</f>
        <v>0</v>
      </c>
      <c r="AX227" s="565">
        <f>$G227*IF(ISNA(VLOOKUP($B227&amp;"; "&amp;$H$221&amp;", "&amp;I$222,'FE Fret'!$G:$U,15,FALSE)),0,VLOOKUP($B227&amp;"; "&amp;$H$221&amp;", "&amp;I$222,'FE Fret'!$G:$U,15,FALSE))
+$K227*IF(ISNA(VLOOKUP($B227&amp;"; "&amp;$L$221&amp;", "&amp;I$222,'FE Fret'!$G:$U,15,FALSE)),0,VLOOKUP($B227&amp;"; "&amp;$L$221&amp;", "&amp;I$222,'FE Fret'!$G:$U,15,FALSE))</f>
        <v>0</v>
      </c>
      <c r="AY227" s="568">
        <f>$G227*IF(ISNA(VLOOKUP($B227&amp;"; "&amp;$H$221&amp;", "&amp;J$222,'FE Fret'!$G:$U,15,FALSE)),0,VLOOKUP($B227&amp;"; "&amp;$H$221&amp;", "&amp;J$222,'FE Fret'!$G:$U,15,FALSE))
+$K227*IF(ISNA(VLOOKUP($B227&amp;"; "&amp;$L$221&amp;", "&amp;J$222,'FE Fret'!$G:$U,15,FALSE)),0,VLOOKUP($B227&amp;"; "&amp;$L$221&amp;", "&amp;J$222,'FE Fret'!$G:$U,15,FALSE))</f>
        <v>0</v>
      </c>
      <c r="AZ227" s="565"/>
      <c r="BA227" s="565"/>
      <c r="BB227" s="565"/>
      <c r="BC227" s="565"/>
      <c r="BD227" s="565"/>
      <c r="BE227" s="565"/>
      <c r="BF227" s="565"/>
      <c r="BH227" s="1065">
        <f>IF($Y227&lt;&gt;"votre valeur :",IF(ISNA(VLOOKUP($Y227,Utilitaires!$N$566:$O$571,2,FALSE)),,VLOOKUP($Y227,Utilitaires!$N$566:$O$571,2,FALSE)),$Z227)</f>
        <v>0</v>
      </c>
      <c r="BI227" s="1124">
        <f>IF(ISNA(SQRT(SUMSQ(VLOOKUP($B227&amp;"; "&amp;$H$221&amp;", "&amp;H$222,'FE Fret'!$G:$U,7,FALSE),$BH227))),0,SQRT(SUMSQ(VLOOKUP($B227&amp;"; "&amp;$H$221&amp;", "&amp;H$222,'FE Fret'!$G:$U,7,FALSE),$BH227)))</f>
        <v>0</v>
      </c>
      <c r="BJ227" s="1124">
        <f>IF(ISNA(SQRT(SUMSQ(VLOOKUP($B227&amp;"; "&amp;$H$221&amp;", "&amp;I$222,'FE Fret'!$G:$U,7,FALSE),$BH227))),0,SQRT(SUMSQ(VLOOKUP($B227&amp;"; "&amp;$H$221&amp;", "&amp;I$222,'FE Fret'!$G:$U,7,FALSE),$BH227)))</f>
        <v>0</v>
      </c>
      <c r="BK227" s="1124">
        <f>IF(ISNA(SQRT(SUMSQ(VLOOKUP($B227&amp;"; "&amp;$H$221&amp;", "&amp;J$222,'FE Fret'!$G:$U,7,FALSE),$BH227))),0,SQRT(SUMSQ(VLOOKUP($B227&amp;"; "&amp;$H$221&amp;", "&amp;J$222,'FE Fret'!$G:$U,7,FALSE),$BH227)))</f>
        <v>0</v>
      </c>
      <c r="BL227" s="1124">
        <f>IF(ISNA(SQRT(SUMSQ(VLOOKUP($B227&amp;"; "&amp;$L$221&amp;", "&amp;L$222,'FE Fret'!$G:$U,7,FALSE),$BH227))),0,SQRT(SUMSQ(VLOOKUP($B227&amp;"; "&amp;$L$221&amp;", "&amp;L$222,'FE Fret'!$G:$U,7,FALSE),$BH227)))</f>
        <v>0</v>
      </c>
      <c r="BM227" s="1130">
        <f>IF(ISNA(SQRT(SUMSQ(VLOOKUP($B227&amp;"; "&amp;$L$221&amp;", "&amp;M$222,'FE Fret'!$G:$U,7,FALSE),$BH227))),0,SQRT(SUMSQ(VLOOKUP($B227&amp;"; "&amp;$L$221&amp;", "&amp;M$222,'FE Fret'!$G:$U,7,FALSE),$BH227)))</f>
        <v>0</v>
      </c>
      <c r="BN227" s="1130">
        <f>IF(ISNA(SQRT(SUMSQ(VLOOKUP($B227&amp;"; "&amp;$L$221&amp;", "&amp;N$222,'FE Fret'!$G:$U,7,FALSE),$BH227))),0,SQRT(SUMSQ(VLOOKUP($B227&amp;"; "&amp;$L$221&amp;", "&amp;N$222,'FE Fret'!$G:$U,7,FALSE),$BH227)))</f>
        <v>0</v>
      </c>
    </row>
    <row r="228" spans="1:71" ht="12.75" hidden="1" customHeight="1" outlineLevel="2">
      <c r="B228" s="154"/>
      <c r="C228" s="155"/>
      <c r="D228" s="221"/>
      <c r="E228" s="221"/>
      <c r="F228" s="155"/>
      <c r="G228" s="155"/>
      <c r="H228" s="155"/>
      <c r="I228" s="155"/>
      <c r="J228" s="155"/>
      <c r="K228" s="155"/>
      <c r="L228" s="155"/>
      <c r="M228" s="155"/>
      <c r="N228" s="155"/>
      <c r="O228" s="155"/>
      <c r="P228" s="169"/>
      <c r="Q228" s="155"/>
      <c r="R228" s="1344"/>
      <c r="W228" s="116"/>
      <c r="X228" s="143"/>
      <c r="Y228" s="144"/>
      <c r="Z228" s="144"/>
      <c r="AA228" s="144"/>
      <c r="AB228" s="164"/>
      <c r="AC228" s="164"/>
      <c r="AD228" s="164"/>
      <c r="AE228" s="164"/>
      <c r="AF228" s="1286"/>
      <c r="AH228" s="564"/>
      <c r="AI228" s="565"/>
      <c r="AJ228" s="565"/>
      <c r="AK228" s="565"/>
      <c r="AL228" s="565"/>
      <c r="AM228" s="565"/>
      <c r="AN228" s="565"/>
      <c r="AO228" s="565"/>
      <c r="AP228" s="565"/>
      <c r="AQ228" s="565"/>
      <c r="AR228" s="565"/>
      <c r="AS228" s="565"/>
      <c r="AT228" s="566"/>
      <c r="AU228" s="566"/>
      <c r="AV228" s="566"/>
      <c r="AW228" s="564"/>
      <c r="AX228" s="565"/>
      <c r="AY228" s="568"/>
      <c r="AZ228" s="565"/>
      <c r="BA228" s="565"/>
      <c r="BB228" s="565"/>
      <c r="BC228" s="565"/>
      <c r="BD228" s="565"/>
      <c r="BE228" s="565"/>
      <c r="BF228" s="565"/>
      <c r="BH228" s="1087"/>
      <c r="BI228" s="1075"/>
      <c r="BJ228" s="1131"/>
      <c r="BK228" s="1126"/>
      <c r="BL228" s="1075"/>
      <c r="BM228" s="1131"/>
      <c r="BN228" s="1153"/>
    </row>
    <row r="229" spans="1:71" ht="12.75" hidden="1" customHeight="1" outlineLevel="2">
      <c r="B229" s="1264" t="s">
        <v>348</v>
      </c>
      <c r="C229" s="197"/>
      <c r="D229" s="214">
        <f>SUM(D220:D228)</f>
        <v>0</v>
      </c>
      <c r="E229" s="214"/>
      <c r="F229" s="197"/>
      <c r="G229" s="197"/>
      <c r="H229" s="197"/>
      <c r="I229" s="197"/>
      <c r="J229" s="197"/>
      <c r="K229" s="197"/>
      <c r="L229" s="197"/>
      <c r="M229" s="197"/>
      <c r="N229" s="197"/>
      <c r="O229" s="202">
        <f>SUM(O220:O228)</f>
        <v>0</v>
      </c>
      <c r="P229" s="202">
        <f>SUM(P220:P228)</f>
        <v>0</v>
      </c>
      <c r="Q229" s="202">
        <f>SUM(Q220:Q228)</f>
        <v>0</v>
      </c>
      <c r="R229" s="1311">
        <f>SUM(R220:R228)</f>
        <v>0</v>
      </c>
      <c r="W229" s="116"/>
      <c r="X229" s="1203">
        <f>IF(AE229=0,AE229,AE229/D229)</f>
        <v>0</v>
      </c>
      <c r="Y229" s="199"/>
      <c r="Z229" s="203"/>
      <c r="AA229" s="203">
        <f>SQRT(SUMSQ(AA223:AA228))</f>
        <v>0</v>
      </c>
      <c r="AB229" s="203">
        <f>SQRT(SUMSQ(AB223:AB228))</f>
        <v>0</v>
      </c>
      <c r="AC229" s="203"/>
      <c r="AD229" s="203">
        <f>SQRT(SUMSQ(AD223:AD228))</f>
        <v>0</v>
      </c>
      <c r="AE229" s="202">
        <f>SQRT(SUMSQ(AE223:AE228))</f>
        <v>0</v>
      </c>
      <c r="AF229" s="1311">
        <f>SQRT(SUMSQ(AF223:AF228))</f>
        <v>0</v>
      </c>
      <c r="AH229" s="1082">
        <f t="shared" ref="AH229:AS229" si="79">SUM(AH220:AH228)</f>
        <v>0</v>
      </c>
      <c r="AI229" s="572">
        <f t="shared" si="79"/>
        <v>0</v>
      </c>
      <c r="AJ229" s="572">
        <f t="shared" si="79"/>
        <v>0</v>
      </c>
      <c r="AK229" s="572">
        <f t="shared" si="79"/>
        <v>0</v>
      </c>
      <c r="AL229" s="572">
        <f t="shared" si="79"/>
        <v>0</v>
      </c>
      <c r="AM229" s="572">
        <f t="shared" si="79"/>
        <v>0</v>
      </c>
      <c r="AN229" s="572">
        <f t="shared" si="79"/>
        <v>0</v>
      </c>
      <c r="AO229" s="572">
        <f t="shared" si="79"/>
        <v>0</v>
      </c>
      <c r="AP229" s="572">
        <f t="shared" si="79"/>
        <v>0</v>
      </c>
      <c r="AQ229" s="572">
        <f t="shared" si="79"/>
        <v>0</v>
      </c>
      <c r="AR229" s="572">
        <f t="shared" si="79"/>
        <v>0</v>
      </c>
      <c r="AS229" s="572">
        <f t="shared" si="79"/>
        <v>0</v>
      </c>
      <c r="AT229" s="573">
        <f t="shared" ref="AT229:AY229" si="80">SUM(AT223:AT228)</f>
        <v>0</v>
      </c>
      <c r="AU229" s="573">
        <f t="shared" si="80"/>
        <v>0</v>
      </c>
      <c r="AV229" s="573">
        <f t="shared" si="80"/>
        <v>0</v>
      </c>
      <c r="AW229" s="1082">
        <f t="shared" si="80"/>
        <v>0</v>
      </c>
      <c r="AX229" s="572">
        <f t="shared" si="80"/>
        <v>0</v>
      </c>
      <c r="AY229" s="575">
        <f t="shared" si="80"/>
        <v>0</v>
      </c>
      <c r="AZ229" s="2447"/>
      <c r="BA229" s="2447"/>
      <c r="BB229" s="2447"/>
      <c r="BC229" s="2447"/>
      <c r="BD229" s="2447"/>
      <c r="BE229" s="2447"/>
      <c r="BF229" s="2447"/>
    </row>
    <row r="230" spans="1:71" ht="12.75" hidden="1" customHeight="1" outlineLevel="2"/>
    <row r="231" spans="1:71" ht="12.75" hidden="1" customHeight="1" outlineLevel="2">
      <c r="B231" s="256"/>
      <c r="C231" s="256"/>
      <c r="D231" s="256"/>
      <c r="E231" s="256"/>
      <c r="F231" s="256"/>
      <c r="G231" s="256"/>
      <c r="H231" s="256"/>
      <c r="I231" s="256"/>
      <c r="J231" s="256"/>
      <c r="K231" s="256"/>
      <c r="L231" s="116"/>
      <c r="AQ231" s="588"/>
      <c r="AR231" s="588"/>
      <c r="AS231" s="588"/>
      <c r="AT231" s="588"/>
      <c r="AU231" s="588"/>
      <c r="AV231" s="588"/>
      <c r="BH231" s="109"/>
      <c r="BI231" s="109"/>
      <c r="BJ231" s="109"/>
      <c r="BK231" s="109"/>
    </row>
    <row r="232" spans="1:71" ht="12.75" hidden="1" customHeight="1" outlineLevel="1" collapsed="1">
      <c r="AG232" s="130"/>
      <c r="AQ232" s="588"/>
      <c r="AR232" s="588"/>
      <c r="AS232" s="588"/>
      <c r="AT232" s="588"/>
      <c r="AU232" s="588"/>
      <c r="AV232" s="588"/>
      <c r="BH232" s="109"/>
      <c r="BI232" s="109"/>
      <c r="BJ232" s="109"/>
      <c r="BK232" s="109"/>
    </row>
    <row r="233" spans="1:71" s="109" customFormat="1" ht="15.75" hidden="1" customHeight="1" outlineLevel="1" collapsed="1">
      <c r="A233" s="114"/>
      <c r="B233" s="2842" t="s">
        <v>2231</v>
      </c>
      <c r="C233" s="2843"/>
      <c r="D233" s="2843"/>
      <c r="E233" s="2843"/>
      <c r="F233" s="2843"/>
      <c r="G233" s="2843"/>
      <c r="H233" s="2843"/>
      <c r="I233" s="2843"/>
      <c r="J233" s="2843"/>
      <c r="K233" s="2843"/>
      <c r="L233" s="2843"/>
      <c r="M233" s="2843"/>
      <c r="N233" s="2843"/>
      <c r="O233" s="2844"/>
      <c r="P233" s="130"/>
      <c r="Q233" s="130"/>
      <c r="R233" s="130"/>
      <c r="S233" s="130"/>
      <c r="T233" s="130"/>
      <c r="U233" s="130"/>
      <c r="V233" s="130"/>
      <c r="W233" s="130"/>
      <c r="X233" s="130"/>
      <c r="Y233" s="130"/>
      <c r="Z233" s="130"/>
      <c r="AA233" s="130"/>
      <c r="AB233" s="130"/>
      <c r="AC233" s="130"/>
      <c r="AD233" s="130"/>
      <c r="AE233" s="130"/>
      <c r="AF233" s="130"/>
      <c r="AG233" s="114"/>
      <c r="AH233" s="441"/>
      <c r="AI233" s="441"/>
      <c r="AJ233" s="441"/>
      <c r="AK233" s="441"/>
      <c r="AL233" s="441"/>
      <c r="AM233" s="441"/>
      <c r="AN233" s="441"/>
      <c r="AO233" s="441"/>
      <c r="AP233" s="441"/>
      <c r="AQ233" s="588"/>
      <c r="AR233" s="588"/>
      <c r="AS233" s="588"/>
      <c r="AT233" s="588"/>
      <c r="AU233" s="588"/>
      <c r="AV233" s="588"/>
      <c r="AW233" s="441"/>
      <c r="AX233" s="441"/>
      <c r="AY233" s="441"/>
      <c r="AZ233" s="441"/>
      <c r="BA233" s="441"/>
      <c r="BB233" s="441"/>
      <c r="BC233" s="441"/>
      <c r="BD233" s="441"/>
      <c r="BE233" s="441"/>
      <c r="BF233" s="441"/>
      <c r="BH233" s="114"/>
      <c r="BI233" s="114"/>
      <c r="BJ233" s="114"/>
      <c r="BK233" s="114"/>
    </row>
    <row r="234" spans="1:71" s="109" customFormat="1" ht="12.75" hidden="1" customHeight="1" outlineLevel="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441"/>
      <c r="AI234" s="441"/>
      <c r="AJ234" s="441"/>
      <c r="AK234" s="441"/>
      <c r="AL234" s="441"/>
      <c r="AM234" s="441"/>
      <c r="AN234" s="441"/>
      <c r="AO234" s="441"/>
      <c r="AP234" s="441"/>
      <c r="AQ234" s="588"/>
      <c r="AR234" s="588"/>
      <c r="AS234" s="588"/>
      <c r="AT234" s="588"/>
      <c r="AU234" s="588"/>
      <c r="AV234" s="588"/>
      <c r="AW234" s="441"/>
      <c r="AX234" s="441"/>
      <c r="AY234" s="441"/>
      <c r="AZ234" s="441"/>
      <c r="BA234" s="441"/>
      <c r="BB234" s="441"/>
      <c r="BC234" s="441"/>
      <c r="BD234" s="441"/>
      <c r="BE234" s="441"/>
      <c r="BF234" s="441"/>
      <c r="BH234" s="114"/>
      <c r="BI234" s="114"/>
      <c r="BJ234" s="114"/>
      <c r="BK234" s="114"/>
    </row>
    <row r="235" spans="1:71" ht="12.75" hidden="1" customHeight="1" outlineLevel="2">
      <c r="B235" s="139" t="s">
        <v>626</v>
      </c>
      <c r="C235" s="140"/>
      <c r="D235" s="928"/>
      <c r="E235" s="1648"/>
      <c r="F235" s="928"/>
      <c r="G235" s="141"/>
      <c r="H235" s="141"/>
      <c r="I235" s="141"/>
      <c r="J235" s="141"/>
      <c r="K235" s="141"/>
      <c r="L235" s="141"/>
      <c r="M235" s="141"/>
      <c r="N235" s="141"/>
      <c r="O235" s="141"/>
      <c r="P235" s="141"/>
      <c r="Q235" s="141"/>
      <c r="R235" s="141"/>
      <c r="S235" s="928"/>
      <c r="T235" s="928"/>
      <c r="U235" s="1859"/>
      <c r="X235" s="2636" t="s">
        <v>366</v>
      </c>
      <c r="Y235" s="2637"/>
      <c r="Z235" s="2637"/>
      <c r="AA235" s="2637"/>
      <c r="AB235" s="2637"/>
      <c r="AC235" s="2637"/>
      <c r="AD235" s="2637"/>
      <c r="AE235" s="2637"/>
      <c r="AF235" s="2638"/>
      <c r="AH235" s="2639" t="s">
        <v>441</v>
      </c>
      <c r="AI235" s="2640"/>
      <c r="AJ235" s="2640"/>
      <c r="AK235" s="2640"/>
      <c r="AL235" s="2640"/>
      <c r="AM235" s="2640"/>
      <c r="AN235" s="2640"/>
      <c r="AO235" s="2640"/>
      <c r="AP235" s="2640"/>
      <c r="AQ235" s="2640"/>
      <c r="AR235" s="2640"/>
      <c r="AS235" s="2640"/>
      <c r="AT235" s="2640"/>
      <c r="AU235" s="2640"/>
      <c r="AV235" s="2640"/>
      <c r="AW235" s="2640"/>
      <c r="AX235" s="2640"/>
      <c r="AY235" s="2641"/>
      <c r="AZ235" s="2448"/>
      <c r="BA235" s="2448"/>
      <c r="BB235" s="2448"/>
      <c r="BC235" s="2448"/>
      <c r="BD235" s="2448"/>
      <c r="BE235" s="2448"/>
      <c r="BF235" s="2448"/>
    </row>
    <row r="236" spans="1:71" s="116" customFormat="1" ht="12.75" hidden="1" customHeight="1" outlineLevel="2">
      <c r="A236" s="114"/>
      <c r="B236" s="143"/>
      <c r="C236" s="144"/>
      <c r="D236" s="1334" t="s">
        <v>308</v>
      </c>
      <c r="E236" s="1663"/>
      <c r="F236" s="1317"/>
      <c r="G236" s="144"/>
      <c r="H236" s="144"/>
      <c r="I236" s="144"/>
      <c r="J236" s="144"/>
      <c r="K236" s="144"/>
      <c r="L236" s="144"/>
      <c r="M236" s="144"/>
      <c r="N236" s="144"/>
      <c r="O236" s="144"/>
      <c r="P236" s="144"/>
      <c r="Q236" s="144"/>
      <c r="R236" s="144"/>
      <c r="S236" s="144"/>
      <c r="T236" s="144"/>
      <c r="U236" s="153" t="s">
        <v>275</v>
      </c>
      <c r="X236" s="1316"/>
      <c r="Y236" s="819"/>
      <c r="Z236" s="819"/>
      <c r="AA236" s="144"/>
      <c r="AB236" s="144"/>
      <c r="AC236" s="144"/>
      <c r="AD236" s="1317"/>
      <c r="AE236" s="145"/>
      <c r="AF236" s="1324" t="s">
        <v>275</v>
      </c>
      <c r="AH236" s="2642" t="s">
        <v>444</v>
      </c>
      <c r="AI236" s="2643"/>
      <c r="AJ236" s="2643"/>
      <c r="AK236" s="2643"/>
      <c r="AL236" s="2643"/>
      <c r="AM236" s="2643"/>
      <c r="AN236" s="2643"/>
      <c r="AO236" s="2643"/>
      <c r="AP236" s="2643"/>
      <c r="AQ236" s="2643"/>
      <c r="AR236" s="2643"/>
      <c r="AS236" s="2643"/>
      <c r="AT236" s="2643" t="s">
        <v>444</v>
      </c>
      <c r="AU236" s="2643"/>
      <c r="AV236" s="628"/>
      <c r="AW236" s="1288"/>
      <c r="AX236" s="566"/>
      <c r="AY236" s="1333"/>
      <c r="AZ236" s="2449"/>
      <c r="BA236" s="2449"/>
      <c r="BB236" s="2449"/>
      <c r="BC236" s="2449"/>
      <c r="BD236" s="2449"/>
      <c r="BE236" s="2449"/>
      <c r="BF236" s="2449"/>
      <c r="BH236" s="2616" t="s">
        <v>1648</v>
      </c>
      <c r="BI236" s="2617"/>
      <c r="BJ236" s="2617"/>
      <c r="BK236" s="2617"/>
      <c r="BL236" s="2617"/>
      <c r="BM236" s="2617"/>
      <c r="BN236" s="2617"/>
      <c r="BO236" s="2617"/>
      <c r="BP236" s="2617"/>
      <c r="BQ236" s="2617"/>
      <c r="BR236" s="2617"/>
      <c r="BS236" s="2618"/>
    </row>
    <row r="237" spans="1:71" s="127" customFormat="1" ht="12.75" hidden="1" customHeight="1" outlineLevel="2">
      <c r="A237" s="109"/>
      <c r="B237" s="536"/>
      <c r="C237" s="144"/>
      <c r="D237" s="1334" t="s">
        <v>409</v>
      </c>
      <c r="E237" s="1663"/>
      <c r="F237" s="1320" t="s">
        <v>452</v>
      </c>
      <c r="G237" s="1320" t="s">
        <v>343</v>
      </c>
      <c r="H237" s="2626" t="s">
        <v>1572</v>
      </c>
      <c r="I237" s="2627"/>
      <c r="J237" s="1320" t="s">
        <v>343</v>
      </c>
      <c r="K237" s="2626" t="s">
        <v>1573</v>
      </c>
      <c r="L237" s="2627"/>
      <c r="M237" s="1320" t="s">
        <v>343</v>
      </c>
      <c r="N237" s="2626" t="s">
        <v>1575</v>
      </c>
      <c r="O237" s="2627"/>
      <c r="P237" s="1320" t="s">
        <v>343</v>
      </c>
      <c r="Q237" s="2626" t="s">
        <v>1574</v>
      </c>
      <c r="R237" s="2628"/>
      <c r="S237" s="1334" t="s">
        <v>444</v>
      </c>
      <c r="T237" s="1334" t="s">
        <v>444</v>
      </c>
      <c r="U237" s="153" t="s">
        <v>276</v>
      </c>
      <c r="X237" s="1316" t="s">
        <v>316</v>
      </c>
      <c r="Y237" s="2629" t="s">
        <v>316</v>
      </c>
      <c r="Z237" s="2630"/>
      <c r="AA237" s="1656" t="s">
        <v>444</v>
      </c>
      <c r="AB237" s="1656" t="s">
        <v>444</v>
      </c>
      <c r="AC237" s="2419"/>
      <c r="AD237" s="1317"/>
      <c r="AE237" s="1337" t="s">
        <v>444</v>
      </c>
      <c r="AF237" s="1324" t="s">
        <v>276</v>
      </c>
      <c r="AH237" s="2631" t="s">
        <v>211</v>
      </c>
      <c r="AI237" s="2632"/>
      <c r="AJ237" s="2632"/>
      <c r="AK237" s="2632" t="s">
        <v>442</v>
      </c>
      <c r="AL237" s="2632"/>
      <c r="AM237" s="2632"/>
      <c r="AN237" s="2632" t="s">
        <v>267</v>
      </c>
      <c r="AO237" s="2632"/>
      <c r="AP237" s="2632"/>
      <c r="AQ237" s="2632" t="s">
        <v>443</v>
      </c>
      <c r="AR237" s="2632"/>
      <c r="AS237" s="2632"/>
      <c r="AT237" s="2648" t="s">
        <v>327</v>
      </c>
      <c r="AU237" s="2648"/>
      <c r="AV237" s="568"/>
      <c r="AW237" s="2631" t="s">
        <v>636</v>
      </c>
      <c r="AX237" s="2632"/>
      <c r="AY237" s="568"/>
      <c r="AZ237" s="2292"/>
      <c r="BA237" s="2292"/>
      <c r="BB237" s="2292"/>
      <c r="BC237" s="2292"/>
      <c r="BD237" s="2292"/>
      <c r="BE237" s="2292"/>
      <c r="BF237" s="2292"/>
      <c r="BH237" s="2614" t="s">
        <v>1646</v>
      </c>
      <c r="BI237" s="2645"/>
      <c r="BJ237" s="2645"/>
      <c r="BK237" s="2615"/>
      <c r="BL237" s="2614" t="s">
        <v>1644</v>
      </c>
      <c r="BM237" s="2645"/>
      <c r="BN237" s="2645"/>
      <c r="BO237" s="2615"/>
      <c r="BP237" s="2614" t="s">
        <v>1645</v>
      </c>
      <c r="BQ237" s="2645"/>
      <c r="BR237" s="2645"/>
      <c r="BS237" s="2615"/>
    </row>
    <row r="238" spans="1:71" s="116" customFormat="1" ht="12.75" hidden="1" customHeight="1" outlineLevel="2">
      <c r="A238" s="114"/>
      <c r="B238" s="536" t="s">
        <v>1628</v>
      </c>
      <c r="C238" s="144"/>
      <c r="D238" s="315"/>
      <c r="E238" s="315"/>
      <c r="F238" s="1321" t="s">
        <v>453</v>
      </c>
      <c r="G238" s="1321" t="s">
        <v>1621</v>
      </c>
      <c r="H238" s="1322" t="s">
        <v>411</v>
      </c>
      <c r="I238" s="1322" t="s">
        <v>257</v>
      </c>
      <c r="J238" s="1321" t="s">
        <v>790</v>
      </c>
      <c r="K238" s="1322" t="s">
        <v>411</v>
      </c>
      <c r="L238" s="1322" t="s">
        <v>257</v>
      </c>
      <c r="M238" s="1321" t="s">
        <v>791</v>
      </c>
      <c r="N238" s="1322" t="s">
        <v>411</v>
      </c>
      <c r="O238" s="1322" t="s">
        <v>257</v>
      </c>
      <c r="P238" s="1321" t="s">
        <v>213</v>
      </c>
      <c r="Q238" s="1322" t="s">
        <v>411</v>
      </c>
      <c r="R238" s="1322" t="s">
        <v>257</v>
      </c>
      <c r="S238" s="1318" t="s">
        <v>411</v>
      </c>
      <c r="T238" s="1318" t="s">
        <v>257</v>
      </c>
      <c r="U238" s="153" t="s">
        <v>444</v>
      </c>
      <c r="X238" s="1316" t="s">
        <v>1649</v>
      </c>
      <c r="Y238" s="2646" t="s">
        <v>1650</v>
      </c>
      <c r="Z238" s="2647"/>
      <c r="AA238" s="1662" t="s">
        <v>411</v>
      </c>
      <c r="AB238" s="1662" t="s">
        <v>257</v>
      </c>
      <c r="AC238" s="1662"/>
      <c r="AD238" s="1332"/>
      <c r="AE238" s="162" t="s">
        <v>327</v>
      </c>
      <c r="AF238" s="1324" t="s">
        <v>444</v>
      </c>
      <c r="AH238" s="1331" t="s">
        <v>411</v>
      </c>
      <c r="AI238" s="1332" t="s">
        <v>257</v>
      </c>
      <c r="AJ238" s="1332"/>
      <c r="AK238" s="1332" t="s">
        <v>411</v>
      </c>
      <c r="AL238" s="1332" t="s">
        <v>257</v>
      </c>
      <c r="AM238" s="1332"/>
      <c r="AN238" s="1332" t="s">
        <v>411</v>
      </c>
      <c r="AO238" s="1332" t="s">
        <v>257</v>
      </c>
      <c r="AP238" s="1332"/>
      <c r="AQ238" s="1332" t="s">
        <v>411</v>
      </c>
      <c r="AR238" s="1332" t="s">
        <v>257</v>
      </c>
      <c r="AS238" s="1332"/>
      <c r="AT238" s="581" t="s">
        <v>411</v>
      </c>
      <c r="AU238" s="581" t="s">
        <v>257</v>
      </c>
      <c r="AV238" s="582"/>
      <c r="AW238" s="1331" t="s">
        <v>411</v>
      </c>
      <c r="AX238" s="1332" t="s">
        <v>257</v>
      </c>
      <c r="AY238" s="1333"/>
      <c r="AZ238" s="2449"/>
      <c r="BA238" s="2449"/>
      <c r="BB238" s="2449"/>
      <c r="BC238" s="2449"/>
      <c r="BD238" s="2449"/>
      <c r="BE238" s="2449"/>
      <c r="BF238" s="2449"/>
      <c r="BH238" s="1065"/>
      <c r="BI238" s="1065"/>
      <c r="BJ238" s="1065"/>
      <c r="BK238" s="1065"/>
      <c r="BL238" s="1124"/>
      <c r="BM238" s="1068"/>
      <c r="BN238" s="1068"/>
      <c r="BO238" s="1068"/>
      <c r="BP238" s="1069"/>
      <c r="BQ238" s="1070"/>
      <c r="BR238" s="1070"/>
      <c r="BS238" s="1071"/>
    </row>
    <row r="239" spans="1:71" s="116" customFormat="1" ht="12.75" hidden="1" customHeight="1" outlineLevel="2">
      <c r="A239" s="114"/>
      <c r="B239" s="143" t="s">
        <v>1630</v>
      </c>
      <c r="C239" s="144"/>
      <c r="D239" s="315">
        <f>SUM(S239,T239)</f>
        <v>0</v>
      </c>
      <c r="E239" s="315"/>
      <c r="F239" s="344"/>
      <c r="G239" s="117"/>
      <c r="H239" s="335" t="e">
        <f>VLOOKUP($B239&amp;"; "&amp;$H$237&amp;", "&amp;H$238,'FE Energie'!$G:$U,9,FALSE)</f>
        <v>#N/A</v>
      </c>
      <c r="I239" s="335" t="e">
        <f>VLOOKUP($B239&amp;"; "&amp;$H$237&amp;", "&amp;I$238,'FE Energie'!$G:$U,9,FALSE)</f>
        <v>#N/A</v>
      </c>
      <c r="J239" s="117"/>
      <c r="K239" s="223">
        <f>VLOOKUP($B239&amp;"; "&amp;$K$237&amp;", "&amp;K$238,'FE Energie'!$G:$U,9,FALSE)</f>
        <v>7.8399999999999997E-2</v>
      </c>
      <c r="L239" s="223">
        <f>VLOOKUP($B239&amp;"; "&amp;$K$237&amp;", "&amp;L$238,'FE Energie'!$G:$U,9,FALSE)</f>
        <v>0.19500000000000001</v>
      </c>
      <c r="M239" s="117"/>
      <c r="N239" s="217">
        <f>VLOOKUP($B239&amp;"; "&amp;$N$237&amp;", "&amp;N$238,'FE Energie'!$G:$U,9,FALSE)</f>
        <v>916</v>
      </c>
      <c r="O239" s="217">
        <f>VLOOKUP($B239&amp;"; "&amp;$N$237&amp;", "&amp;O$238,'FE Energie'!$G:$U,9,FALSE)</f>
        <v>2269</v>
      </c>
      <c r="P239" s="117"/>
      <c r="Q239" s="223">
        <f>VLOOKUP($B239&amp;"; "&amp;$Q$237&amp;", "&amp;Q$238,'FE Energie'!$G:$U,9,FALSE)</f>
        <v>0.75800000000000001</v>
      </c>
      <c r="R239" s="223">
        <f>VLOOKUP($B239&amp;"; "&amp;$Q$237&amp;", "&amp;R$238,'FE Energie'!$G:$U,9,FALSE)</f>
        <v>1.88</v>
      </c>
      <c r="S239" s="566">
        <f>IF(ISNA(G239*H239),0,G239*H239)+IF(ISNA(J239*K239),0,J239*K239)+IF(ISNA(M239*N239),0,M239*N239)+IF(ISNA(P239*Q239),0,P239*Q239)</f>
        <v>0</v>
      </c>
      <c r="T239" s="566">
        <f>IF(ISNA(G239*I239),0,G239*I239)+IF(ISNA(J239*L239),0,J239*L239)+IF(ISNA(M239*O239),0,M239*O239)+IF(ISNA(P239*R239),0,P239*R239)</f>
        <v>0</v>
      </c>
      <c r="U239" s="1286">
        <f>IF(OR(F239=Utilitaires!$I$572,F239=Utilitaires!$I$577),T239,0)</f>
        <v>0</v>
      </c>
      <c r="X239" s="1092">
        <f>IF(AE239=0,AE239,AE239/(S239+T239))</f>
        <v>0</v>
      </c>
      <c r="Y239" s="343"/>
      <c r="Z239" s="820"/>
      <c r="AA239" s="164">
        <f>SQRT(SUMSQ(IF(ISNA($G239*H239*BL239),0,$G239*H239*BL239),IF(ISNA($J239*K239*BM239),0,$J239*K239*BM239),IF(ISNA($M239*N239*BN239),0,$M239*N239*BN239),IF(ISNA($P239*Q239*BO239),0,$P239*Q239*BO239)))</f>
        <v>0</v>
      </c>
      <c r="AB239" s="164">
        <f>SQRT(SUMSQ(IF(ISNA($G239*I239*BP239),0,$G239*I239*BP239),IF(ISNA($J239*L239*BQ239),0,$J239*L239*BQ239),IF(ISNA($M239*O239*BR239),0,$M239*O239*BR239),IF(ISNA($P239*R239*BS239),0,$P239*R239*BS239)))</f>
        <v>0</v>
      </c>
      <c r="AC239" s="164"/>
      <c r="AD239" s="164"/>
      <c r="AE239" s="152">
        <f>SQRT(SUMSQ(AA239,AB239))</f>
        <v>0</v>
      </c>
      <c r="AF239" s="165">
        <f>U239*X239</f>
        <v>0</v>
      </c>
      <c r="AH239" s="564">
        <f>$G239*IF(ISNA(VLOOKUP($B239&amp;"; "&amp;$H$237&amp;", "&amp;H$238,'FE Energie'!$G:$U,10,FALSE)),0,VLOOKUP($B239&amp;"; "&amp;$H$237&amp;", "&amp;H$238,'FE Energie'!$G:$U,10,FALSE))
+$J239*IF(ISNA(VLOOKUP($B239&amp;"; "&amp;$K$237&amp;", "&amp;H$238,'FE Energie'!$G:$U,10,FALSE)),0,VLOOKUP($B239&amp;"; "&amp;$K$237&amp;", "&amp;H$238,'FE Energie'!$G:$U,10,FALSE))
+$M239*IF(ISNA(VLOOKUP($B239&amp;"; "&amp;$N$237&amp;", "&amp;H$238,'FE Energie'!$G:$U,10,FALSE)),0,VLOOKUP($B239&amp;"; "&amp;$N$237&amp;", "&amp;H$238,'FE Energie'!$G:$U,10,FALSE))
+$P239*IF(ISNA(VLOOKUP($B239&amp;"; "&amp;$Q$237&amp;", "&amp;H$238,'FE Energie'!$G:$U,10,FALSE)),0,VLOOKUP($B239&amp;"; "&amp;$Q$237&amp;", "&amp;H$238,'FE Energie'!$G:$U,10,FALSE))</f>
        <v>0</v>
      </c>
      <c r="AI239" s="565">
        <f>$G239*IF(ISNA(VLOOKUP($B239&amp;"; "&amp;$H$237&amp;", "&amp;I$238,'FE Energie'!$G:$U,10,FALSE)),0,VLOOKUP($B239&amp;"; "&amp;$H$237&amp;", "&amp;I$238,'FE Energie'!$G:$U,10,FALSE))
+$J239*IF(ISNA(VLOOKUP($B239&amp;"; "&amp;$K$237&amp;", "&amp;I$238,'FE Energie'!$G:$U,10,FALSE)),0,VLOOKUP($B239&amp;"; "&amp;$K$237&amp;", "&amp;I$238,'FE Energie'!$G:$U,10,FALSE))
+$M239*IF(ISNA(VLOOKUP($B239&amp;"; "&amp;$N$237&amp;", "&amp;I$238,'FE Energie'!$G:$U,10,FALSE)),0,VLOOKUP($B239&amp;"; "&amp;$N$237&amp;", "&amp;I$238,'FE Energie'!$G:$U,10,FALSE))
+$P239*IF(ISNA(VLOOKUP($B239&amp;"; "&amp;$Q$237&amp;", "&amp;I$238,'FE Energie'!$G:$U,10,FALSE)),0,VLOOKUP($B239&amp;"; "&amp;$Q$237&amp;", "&amp;I$238,'FE Energie'!$G:$U,10,FALSE))</f>
        <v>0</v>
      </c>
      <c r="AJ239" s="565"/>
      <c r="AK239" s="565">
        <f>$G239*IF(ISNA((VLOOKUP($B239&amp;"; "&amp;$H$237&amp;", "&amp;H$238,'FE Energie'!$G:$U,11,FALSE)+VLOOKUP($B239&amp;"; "&amp;$H$237&amp;", "&amp;H$238,'FE Energie'!$G:$U,12,FALSE))),0,(VLOOKUP($B239&amp;"; "&amp;$H$237&amp;", "&amp;H$238,'FE Energie'!$G:$U,11,FALSE)+VLOOKUP($B239&amp;"; "&amp;$H$237&amp;", "&amp;H$238,'FE Energie'!$G:$U,12,FALSE)))
+$J239*IF(ISNA((VLOOKUP($B239&amp;"; "&amp;$K$237&amp;", "&amp;H$238,'FE Energie'!$G:$U,11,FALSE)+VLOOKUP($B239&amp;"; "&amp;$K$237&amp;", "&amp;H$238,'FE Energie'!$G:$U,12,FALSE))),0,(VLOOKUP($B239&amp;"; "&amp;$K$237&amp;", "&amp;H$238,'FE Energie'!$G:$U,11,FALSE)+VLOOKUP($B239&amp;"; "&amp;$K$237&amp;", "&amp;H$238,'FE Energie'!$G:$U,12,FALSE)))
+$M239*IF(ISNA((VLOOKUP($B239&amp;"; "&amp;$N$237&amp;", "&amp;H$238,'FE Energie'!$G:$U,11,FALSE)+VLOOKUP($B239&amp;"; "&amp;$N$237&amp;", "&amp;H$238,'FE Energie'!$G:$U,12,FALSE))),0,(VLOOKUP($B239&amp;"; "&amp;$N$237&amp;", "&amp;H$238,'FE Energie'!$G:$U,11,FALSE)+VLOOKUP($B239&amp;"; "&amp;$N$237&amp;", "&amp;H$238,'FE Energie'!$G:$U,12,FALSE)))
+$P239*IF(ISNA((VLOOKUP($B239&amp;"; "&amp;$Q$237&amp;", "&amp;H$238,'FE Energie'!$G:$U,11,FALSE)+VLOOKUP($B239&amp;"; "&amp;$Q$237&amp;", "&amp;H$238,'FE Energie'!$G:$U,12,FALSE))),0,(VLOOKUP($B239&amp;"; "&amp;$Q$237&amp;", "&amp;H$238,'FE Energie'!$G:$U,11,FALSE)+VLOOKUP($B239&amp;"; "&amp;$Q$237&amp;", "&amp;H$238,'FE Energie'!$G:$U,12,FALSE)))</f>
        <v>0</v>
      </c>
      <c r="AL239" s="565">
        <f>$G239*IF(ISNA((VLOOKUP($B239&amp;"; "&amp;$H$237&amp;", "&amp;I$238,'FE Energie'!$G:$U,11,FALSE)+VLOOKUP($B239&amp;"; "&amp;$H$237&amp;", "&amp;I$238,'FE Energie'!$G:$U,12,FALSE))),0,(VLOOKUP($B239&amp;"; "&amp;$H$237&amp;", "&amp;I$238,'FE Energie'!$G:$U,11,FALSE)+VLOOKUP($B239&amp;"; "&amp;$H$237&amp;", "&amp;I$238,'FE Energie'!$G:$U,12,FALSE)))
+$J239*IF(ISNA((VLOOKUP($B239&amp;"; "&amp;$K$237&amp;", "&amp;I$238,'FE Energie'!$G:$U,11,FALSE)+VLOOKUP($B239&amp;"; "&amp;$K$237&amp;", "&amp;I$238,'FE Energie'!$G:$U,12,FALSE))),0,(VLOOKUP($B239&amp;"; "&amp;$K$237&amp;", "&amp;I$238,'FE Energie'!$G:$U,11,FALSE)+VLOOKUP($B239&amp;"; "&amp;$K$237&amp;", "&amp;I$238,'FE Energie'!$G:$U,12,FALSE)))
+$M239*IF(ISNA((VLOOKUP($B239&amp;"; "&amp;$N$237&amp;", "&amp;I$238,'FE Energie'!$G:$U,11,FALSE)+VLOOKUP($B239&amp;"; "&amp;$N$237&amp;", "&amp;I$238,'FE Energie'!$G:$U,12,FALSE))),0,(VLOOKUP($B239&amp;"; "&amp;$N$237&amp;", "&amp;I$238,'FE Energie'!$G:$U,11,FALSE)+VLOOKUP($B239&amp;"; "&amp;$N$237&amp;", "&amp;I$238,'FE Energie'!$G:$U,12,FALSE)))
+$P239*IF(ISNA((VLOOKUP($B239&amp;"; "&amp;$Q$237&amp;", "&amp;I$238,'FE Energie'!$G:$U,11,FALSE)+VLOOKUP($B239&amp;"; "&amp;$Q$237&amp;", "&amp;I$238,'FE Energie'!$G:$U,12,FALSE))),0,(VLOOKUP($B239&amp;"; "&amp;$Q$237&amp;", "&amp;I$238,'FE Energie'!$G:$U,11,FALSE)+VLOOKUP($B239&amp;"; "&amp;$Q$237&amp;", "&amp;I$238,'FE Energie'!$G:$U,12,FALSE)))</f>
        <v>0</v>
      </c>
      <c r="AM239" s="565"/>
      <c r="AN239" s="565">
        <f>$G239*IF(ISNA(VLOOKUP($B239&amp;"; "&amp;$H$237&amp;", "&amp;H$238,'FE Energie'!$G:$U,13,FALSE)),0,VLOOKUP($B239&amp;"; "&amp;$H$237&amp;", "&amp;H$238,'FE Energie'!$G:$U,13,FALSE))
+$J239*IF(ISNA(VLOOKUP($B239&amp;"; "&amp;$K$237&amp;", "&amp;H$238,'FE Energie'!$G:$U,13,FALSE)),0,VLOOKUP($B239&amp;"; "&amp;$K$237&amp;", "&amp;H$238,'FE Energie'!$G:$U,13,FALSE))
+$M239*IF(ISNA(VLOOKUP($B239&amp;"; "&amp;$N$237&amp;", "&amp;H$238,'FE Energie'!$G:$U,13,FALSE)),0,VLOOKUP($B239&amp;"; "&amp;$N$237&amp;", "&amp;H$238,'FE Energie'!$G:$U,13,FALSE))
+$P239*IF(ISNA(VLOOKUP($B239&amp;"; "&amp;$Q$237&amp;", "&amp;H$238,'FE Energie'!$G:$U,13,FALSE)),0,VLOOKUP($B239&amp;"; "&amp;$Q$237&amp;", "&amp;H$238,'FE Energie'!$G:$U,13,FALSE))</f>
        <v>0</v>
      </c>
      <c r="AO239" s="565">
        <f>$G239*IF(ISNA(VLOOKUP($B239&amp;"; "&amp;$H$237&amp;", "&amp;I$238,'FE Energie'!$G:$U,13,FALSE)),0,VLOOKUP($B239&amp;"; "&amp;$H$237&amp;", "&amp;I$238,'FE Energie'!$G:$U,13,FALSE))
+$J239*IF(ISNA(VLOOKUP($B239&amp;"; "&amp;$K$237&amp;", "&amp;I$238,'FE Energie'!$G:$U,13,FALSE)),0,VLOOKUP($B239&amp;"; "&amp;$K$237&amp;", "&amp;I$238,'FE Energie'!$G:$U,13,FALSE))
+$M239*IF(ISNA(VLOOKUP($B239&amp;"; "&amp;$N$237&amp;", "&amp;I$238,'FE Energie'!$G:$U,13,FALSE)),0,VLOOKUP($B239&amp;"; "&amp;$N$237&amp;", "&amp;I$238,'FE Energie'!$G:$U,13,FALSE))
+$P239*IF(ISNA(VLOOKUP($B239&amp;"; "&amp;$Q$237&amp;", "&amp;I$238,'FE Energie'!$G:$U,13,FALSE)),0,VLOOKUP($B239&amp;"; "&amp;$Q$237&amp;", "&amp;I$238,'FE Energie'!$G:$U,13,FALSE))</f>
        <v>0</v>
      </c>
      <c r="AP239" s="565"/>
      <c r="AQ239" s="565">
        <f>$G239*IF(ISNA(VLOOKUP($B239&amp;"; "&amp;$H$237&amp;", "&amp;H$238,'FE Energie'!$G:$U,14,FALSE)),0,VLOOKUP($B239&amp;"; "&amp;$H$237&amp;", "&amp;H$238,'FE Energie'!$G:$U,14,FALSE))
+$J239*IF(ISNA(VLOOKUP($B239&amp;"; "&amp;$K$237&amp;", "&amp;H$238,'FE Energie'!$G:$U,14,FALSE)),0,VLOOKUP($B239&amp;"; "&amp;$K$237&amp;", "&amp;H$238,'FE Energie'!$G:$U,14,FALSE))
+$M239*IF(ISNA(VLOOKUP($B239&amp;"; "&amp;$N$237&amp;", "&amp;H$238,'FE Energie'!$G:$U,14,FALSE)),0,VLOOKUP($B239&amp;"; "&amp;$N$237&amp;", "&amp;H$238,'FE Energie'!$G:$U,14,FALSE))
+$P239*IF(ISNA(VLOOKUP($B239&amp;"; "&amp;$Q$237&amp;", "&amp;H$238,'FE Energie'!$G:$U,14,FALSE)),0,VLOOKUP($B239&amp;"; "&amp;$Q$237&amp;", "&amp;H$238,'FE Energie'!$G:$U,14,FALSE))</f>
        <v>0</v>
      </c>
      <c r="AR239" s="565">
        <f>$G239*IF(ISNA(VLOOKUP($B239&amp;"; "&amp;$H$237&amp;", "&amp;I$238,'FE Energie'!$G:$U,14,FALSE)),0,VLOOKUP($B239&amp;"; "&amp;$H$237&amp;", "&amp;I$238,'FE Energie'!$G:$U,14,FALSE))
+$J239*IF(ISNA(VLOOKUP($B239&amp;"; "&amp;$K$237&amp;", "&amp;I$238,'FE Energie'!$G:$U,14,FALSE)),0,VLOOKUP($B239&amp;"; "&amp;$K$237&amp;", "&amp;I$238,'FE Energie'!$G:$U,14,FALSE))
+$M239*IF(ISNA(VLOOKUP($B239&amp;"; "&amp;$N$237&amp;", "&amp;I$238,'FE Energie'!$G:$U,14,FALSE)),0,VLOOKUP($B239&amp;"; "&amp;$N$237&amp;", "&amp;I$238,'FE Energie'!$G:$U,14,FALSE))
+$P239*IF(ISNA(VLOOKUP($B239&amp;"; "&amp;$Q$237&amp;", "&amp;I$238,'FE Energie'!$G:$U,14,FALSE)),0,VLOOKUP($B239&amp;"; "&amp;$Q$237&amp;", "&amp;I$238,'FE Energie'!$G:$U,14,FALSE))</f>
        <v>0</v>
      </c>
      <c r="AS239" s="565"/>
      <c r="AT239" s="566">
        <f>SUM(AH239,AK239,AN239,AQ239)</f>
        <v>0</v>
      </c>
      <c r="AU239" s="566">
        <f>SUM(AI239,AL239,AO239,AR239)</f>
        <v>0</v>
      </c>
      <c r="AV239" s="567"/>
      <c r="AW239" s="564">
        <f>$G239*IF(ISNA(VLOOKUP($B239&amp;"; "&amp;$H$237&amp;", "&amp;H$238,'FE Energie'!$G:$U,15,FALSE)),0,VLOOKUP($B239&amp;"; "&amp;$H$237&amp;", "&amp;H$238,'FE Energie'!$G:$U,15,FALSE))
+$J239*IF(ISNA(VLOOKUP($B239&amp;"; "&amp;$K$237&amp;", "&amp;H$238,'FE Energie'!$G:$U,15,FALSE)),0,VLOOKUP($B239&amp;"; "&amp;$K$237&amp;", "&amp;H$238,'FE Energie'!$G:$U,15,FALSE))
+$M239*IF(ISNA(VLOOKUP($B239&amp;"; "&amp;$N$237&amp;", "&amp;H$238,'FE Energie'!$G:$U,15,FALSE)),0,VLOOKUP($B239&amp;"; "&amp;$N$237&amp;", "&amp;H$238,'FE Energie'!$G:$U,15,FALSE))
+$P239*IF(ISNA(VLOOKUP($B239&amp;"; "&amp;$Q$237&amp;", "&amp;H$238,'FE Energie'!$G:$U,15,FALSE)),0,VLOOKUP($B239&amp;"; "&amp;$Q$237&amp;", "&amp;H$238,'FE Energie'!$G:$U,15,FALSE))</f>
        <v>0</v>
      </c>
      <c r="AX239" s="565">
        <f>$G239*IF(ISNA(VLOOKUP($B239&amp;"; "&amp;$H$237&amp;", "&amp;I$238,'FE Energie'!$G:$U,15,FALSE)),0,VLOOKUP($B239&amp;"; "&amp;$H$237&amp;", "&amp;I$238,'FE Energie'!$G:$U,15,FALSE))
+$J239*IF(ISNA(VLOOKUP($B239&amp;"; "&amp;$K$237&amp;", "&amp;I$238,'FE Energie'!$G:$U,15,FALSE)),0,VLOOKUP($B239&amp;"; "&amp;$K$237&amp;", "&amp;I$238,'FE Energie'!$G:$U,15,FALSE))
+$M239*IF(ISNA(VLOOKUP($B239&amp;"; "&amp;$N$237&amp;", "&amp;I$238,'FE Energie'!$G:$U,15,FALSE)),0,VLOOKUP($B239&amp;"; "&amp;$N$237&amp;", "&amp;I$238,'FE Energie'!$G:$U,15,FALSE))
+$P239*IF(ISNA(VLOOKUP($B239&amp;"; "&amp;$Q$237&amp;", "&amp;I$238,'FE Energie'!$G:$U,15,FALSE)),0,VLOOKUP($B239&amp;"; "&amp;$Q$237&amp;", "&amp;I$238,'FE Energie'!$G:$U,15,FALSE))</f>
        <v>0</v>
      </c>
      <c r="AY239" s="568"/>
      <c r="AZ239" s="2292"/>
      <c r="BA239" s="2292"/>
      <c r="BB239" s="2292"/>
      <c r="BC239" s="2292"/>
      <c r="BD239" s="2292"/>
      <c r="BE239" s="2292"/>
      <c r="BF239" s="2292"/>
      <c r="BH239" s="1065">
        <f>IF($Y239&lt;&gt;"votre valeur :",IF(ISNA(VLOOKUP($Y239,Utilitaires!$N$566:$O$571,2,FALSE)),,VLOOKUP($Y239,Utilitaires!$N$566:$O$571,2,FALSE)),$Z239)</f>
        <v>0</v>
      </c>
      <c r="BI239" s="1065">
        <f>IF($Y239&lt;&gt;"votre valeur :",IF(ISNA(VLOOKUP($Y239,Utilitaires!$N$566:$O$571,2,FALSE)),,VLOOKUP($Y239,Utilitaires!$N$566:$O$571,2,FALSE)),$Z239)</f>
        <v>0</v>
      </c>
      <c r="BJ239" s="1065">
        <f>IF($Y239&lt;&gt;"votre valeur :",IF(ISNA(VLOOKUP($Y239,Utilitaires!$N$566:$O$571,2,FALSE)),,VLOOKUP($Y239,Utilitaires!$N$566:$O$571,2,FALSE)),$Z239)</f>
        <v>0</v>
      </c>
      <c r="BK239" s="1065">
        <f>IF($Y239&lt;&gt;"votre valeur :",IF(ISNA(VLOOKUP($Y239,Utilitaires!$N$566:$O$571,2,FALSE)),,VLOOKUP($Y239,Utilitaires!$N$566:$O$571,2,FALSE)),$Z239)</f>
        <v>0</v>
      </c>
      <c r="BL239" s="1124">
        <f>IF(ISNA(SQRT(SUMSQ(VLOOKUP($B239&amp;"; "&amp;$H$237&amp;", "&amp;$H$238,'FE Energie'!$G:$U,7,FALSE),$BH239))),0,SQRT(SUMSQ(VLOOKUP($B239&amp;"; "&amp;$H$237&amp;", "&amp;$H$238,'FE Energie'!$G:$U,7,FALSE),$BH239)))</f>
        <v>0</v>
      </c>
      <c r="BM239" s="1068">
        <f>IF(ISNA(SQRT(SUMSQ(VLOOKUP($B239&amp;"; "&amp;$K$237&amp;", "&amp;$K$238,'FE Energie'!$G:$U,7,FALSE),$BI239))),0,SQRT(SUMSQ(VLOOKUP($B239&amp;"; "&amp;$K$237&amp;", "&amp;$K$238,'FE Energie'!$G:$U,7,FALSE),$BI239)))</f>
        <v>0.05</v>
      </c>
      <c r="BN239" s="1068">
        <f>IF(ISNA(SQRT(SUMSQ(VLOOKUP($B239&amp;"; "&amp;$N$237&amp;", "&amp;$N$238,'FE Energie'!$G:$U,7,FALSE),$BJ239))),0,SQRT(SUMSQ(VLOOKUP($B239&amp;"; "&amp;$N$237&amp;", "&amp;$N$238,'FE Energie'!$G:$U,7,FALSE),$BJ239)))</f>
        <v>0.05</v>
      </c>
      <c r="BO239" s="1068">
        <f>IF(ISNA(SQRT(SUMSQ(VLOOKUP($B239&amp;"; "&amp;$Q$237&amp;", "&amp;$Q$238,'FE Energie'!$G:$U,7,FALSE),$BK239))),0,SQRT(SUMSQ(VLOOKUP($B239&amp;"; "&amp;$Q$237&amp;", "&amp;$Q$238,'FE Energie'!$G:$U,7,FALSE),$BK239)))</f>
        <v>0.1</v>
      </c>
      <c r="BP239" s="1069">
        <f>IF(ISNA(SQRT(SUMSQ(VLOOKUP($B239&amp;"; "&amp;$H$237&amp;", "&amp;$I$238,'FE Energie'!$G:$U,7,FALSE),$BH239))),0,SQRT(SUMSQ(VLOOKUP($B239&amp;"; "&amp;$H$237&amp;", "&amp;$I$238,'FE Energie'!$G:$U,7,FALSE),$BH239)))</f>
        <v>0</v>
      </c>
      <c r="BQ239" s="1070">
        <f>IF(ISNA(SQRT(SUMSQ(VLOOKUP($B239&amp;"; "&amp;$K$237&amp;", "&amp;$L$238,'FE Energie'!$G:$U,7,FALSE),$BI239))),0,SQRT(SUMSQ(VLOOKUP($B239&amp;"; "&amp;$K$237&amp;", "&amp;$L$238,'FE Energie'!$G:$U,7,FALSE),$BI239)))</f>
        <v>0.05</v>
      </c>
      <c r="BR239" s="1070">
        <f>IF(ISNA(SQRT(SUMSQ(VLOOKUP($B239&amp;"; "&amp;$N$237&amp;", "&amp;$O$238,'FE Energie'!$G:$U,7,FALSE),$BJ239))),0,SQRT(SUMSQ(VLOOKUP($B239&amp;"; "&amp;$N$237&amp;", "&amp;$O$238,'FE Energie'!$G:$U,7,FALSE),$BJ239)))</f>
        <v>0.05</v>
      </c>
      <c r="BS239" s="1071">
        <f>IF(ISNA(SQRT(SUMSQ(VLOOKUP($B239&amp;"; "&amp;$Q$237&amp;", "&amp;$R$238,'FE Energie'!$G:$U,7,FALSE),$BK239))),0,SQRT(SUMSQ(VLOOKUP($B239&amp;"; "&amp;$Q$237&amp;", "&amp;$R$238,'FE Energie'!$G:$U,7,FALSE),$BK239)))</f>
        <v>0.1</v>
      </c>
    </row>
    <row r="240" spans="1:71" s="116" customFormat="1" ht="12.75" hidden="1" customHeight="1" outlineLevel="2">
      <c r="A240" s="114"/>
      <c r="B240" s="143" t="s">
        <v>1631</v>
      </c>
      <c r="C240" s="144"/>
      <c r="D240" s="315">
        <f>SUM(S240,T240)</f>
        <v>0</v>
      </c>
      <c r="E240" s="315"/>
      <c r="F240" s="345"/>
      <c r="G240" s="123"/>
      <c r="H240" s="335">
        <f>VLOOKUP($B240&amp;"; "&amp;$H$237&amp;", "&amp;H$238,'FE Energie'!$G:$U,9,FALSE)</f>
        <v>0.27</v>
      </c>
      <c r="I240" s="335">
        <f>VLOOKUP($B240&amp;"; "&amp;$H$237&amp;", "&amp;I$238,'FE Energie'!$G:$U,9,FALSE)</f>
        <v>3.07</v>
      </c>
      <c r="J240" s="123"/>
      <c r="K240" s="223" t="e">
        <f>VLOOKUP($B240&amp;"; "&amp;$K$237&amp;", "&amp;K$238,'FE Energie'!$G:$U,9,FALSE)</f>
        <v>#N/A</v>
      </c>
      <c r="L240" s="223" t="e">
        <f>VLOOKUP($B240&amp;"; "&amp;$K$237&amp;", "&amp;L$238,'FE Energie'!$G:$U,9,FALSE)</f>
        <v>#N/A</v>
      </c>
      <c r="M240" s="123"/>
      <c r="N240" s="217" t="e">
        <f>VLOOKUP($B240&amp;"; "&amp;$N$237&amp;", "&amp;N$238,'FE Energie'!$G:$U,9,FALSE)</f>
        <v>#N/A</v>
      </c>
      <c r="O240" s="217" t="e">
        <f>VLOOKUP($B240&amp;"; "&amp;$N$237&amp;", "&amp;O$238,'FE Energie'!$G:$U,9,FALSE)</f>
        <v>#N/A</v>
      </c>
      <c r="P240" s="123"/>
      <c r="Q240" s="223" t="e">
        <f>VLOOKUP($B240&amp;"; "&amp;$Q$237&amp;", "&amp;Q$238,'FE Energie'!$G:$U,9,FALSE)</f>
        <v>#N/A</v>
      </c>
      <c r="R240" s="223" t="e">
        <f>VLOOKUP($B240&amp;"; "&amp;$Q$237&amp;", "&amp;R$238,'FE Energie'!$G:$U,9,FALSE)</f>
        <v>#N/A</v>
      </c>
      <c r="S240" s="566">
        <f>IF(ISNA(G240*H240),0,G240*H240)+IF(ISNA(J240*K240),0,J240*K240)+IF(ISNA(M240*N240),0,M240*N240)+IF(ISNA(P240*Q240),0,P240*Q240)</f>
        <v>0</v>
      </c>
      <c r="T240" s="566">
        <f>IF(ISNA(G240*I240),0,G240*I240)+IF(ISNA(J240*L240),0,J240*L240)+IF(ISNA(M240*O240),0,M240*O240)+IF(ISNA(P240*R240),0,P240*R240)</f>
        <v>0</v>
      </c>
      <c r="U240" s="1286">
        <f>IF(OR(F240=Utilitaires!$I$572,F240=Utilitaires!$I$577),T240,0)</f>
        <v>0</v>
      </c>
      <c r="X240" s="1092">
        <f>IF(AE240=0,AE240,AE240/(S240+T240))</f>
        <v>0</v>
      </c>
      <c r="Y240" s="1094"/>
      <c r="Z240" s="820"/>
      <c r="AA240" s="164">
        <f>SQRT(SUMSQ(IF(ISNA($G240*H240*BL240),0,$G240*H240*BL240),IF(ISNA($J240*K240*BM240),0,$J240*K240*BM240),IF(ISNA($M240*N240*BN240),0,$M240*N240*BN240),IF(ISNA($P240*Q240*BO240),0,$P240*Q240*BO240)))</f>
        <v>0</v>
      </c>
      <c r="AB240" s="164">
        <f>SQRT(SUMSQ(IF(ISNA($G240*I240*BP240),0,$G240*I240*BP240),IF(ISNA($J240*L240*BQ240),0,$J240*L240*BQ240),IF(ISNA($M240*O240*BR240),0,$M240*O240*BR240),IF(ISNA($P240*R240*BS240),0,$P240*R240*BS240)))</f>
        <v>0</v>
      </c>
      <c r="AC240" s="164"/>
      <c r="AD240" s="164"/>
      <c r="AE240" s="152">
        <f>SQRT(SUMSQ(AA240,AB240))</f>
        <v>0</v>
      </c>
      <c r="AF240" s="165">
        <f>U240*X240</f>
        <v>0</v>
      </c>
      <c r="AH240" s="564">
        <f>$G240*IF(ISNA(VLOOKUP($B240&amp;"; "&amp;$H$237&amp;", "&amp;H$238,'FE Energie'!$G:$U,10,FALSE)),0,VLOOKUP($B240&amp;"; "&amp;$H$237&amp;", "&amp;H$238,'FE Energie'!$G:$U,10,FALSE))
+$J240*IF(ISNA(VLOOKUP($B240&amp;"; "&amp;$K$237&amp;", "&amp;H$238,'FE Energie'!$G:$U,10,FALSE)),0,VLOOKUP($B240&amp;"; "&amp;$K$237&amp;", "&amp;H$238,'FE Energie'!$G:$U,10,FALSE))
+$M240*IF(ISNA(VLOOKUP($B240&amp;"; "&amp;$N$237&amp;", "&amp;H$238,'FE Energie'!$G:$U,10,FALSE)),0,VLOOKUP($B240&amp;"; "&amp;$N$237&amp;", "&amp;H$238,'FE Energie'!$G:$U,10,FALSE))
+$P240*IF(ISNA(VLOOKUP($B240&amp;"; "&amp;$Q$237&amp;", "&amp;H$238,'FE Energie'!$G:$U,10,FALSE)),0,VLOOKUP($B240&amp;"; "&amp;$Q$237&amp;", "&amp;H$238,'FE Energie'!$G:$U,10,FALSE))</f>
        <v>0</v>
      </c>
      <c r="AI240" s="565">
        <f>$G240*IF(ISNA(VLOOKUP($B240&amp;"; "&amp;$H$237&amp;", "&amp;I$238,'FE Energie'!$G:$U,10,FALSE)),0,VLOOKUP($B240&amp;"; "&amp;$H$237&amp;", "&amp;I$238,'FE Energie'!$G:$U,10,FALSE))
+$J240*IF(ISNA(VLOOKUP($B240&amp;"; "&amp;$K$237&amp;", "&amp;I$238,'FE Energie'!$G:$U,10,FALSE)),0,VLOOKUP($B240&amp;"; "&amp;$K$237&amp;", "&amp;I$238,'FE Energie'!$G:$U,10,FALSE))
+$M240*IF(ISNA(VLOOKUP($B240&amp;"; "&amp;$N$237&amp;", "&amp;I$238,'FE Energie'!$G:$U,10,FALSE)),0,VLOOKUP($B240&amp;"; "&amp;$N$237&amp;", "&amp;I$238,'FE Energie'!$G:$U,10,FALSE))
+$P240*IF(ISNA(VLOOKUP($B240&amp;"; "&amp;$Q$237&amp;", "&amp;I$238,'FE Energie'!$G:$U,10,FALSE)),0,VLOOKUP($B240&amp;"; "&amp;$Q$237&amp;", "&amp;I$238,'FE Energie'!$G:$U,10,FALSE))</f>
        <v>0</v>
      </c>
      <c r="AJ240" s="565"/>
      <c r="AK240" s="565">
        <f>$G240*IF(ISNA((VLOOKUP($B240&amp;"; "&amp;$H$237&amp;", "&amp;H$238,'FE Energie'!$G:$U,11,FALSE)+VLOOKUP($B240&amp;"; "&amp;$H$237&amp;", "&amp;H$238,'FE Energie'!$G:$U,12,FALSE))),0,(VLOOKUP($B240&amp;"; "&amp;$H$237&amp;", "&amp;H$238,'FE Energie'!$G:$U,11,FALSE)+VLOOKUP($B240&amp;"; "&amp;$H$237&amp;", "&amp;H$238,'FE Energie'!$G:$U,12,FALSE)))
+$J240*IF(ISNA((VLOOKUP($B240&amp;"; "&amp;$K$237&amp;", "&amp;H$238,'FE Energie'!$G:$U,11,FALSE)+VLOOKUP($B240&amp;"; "&amp;$K$237&amp;", "&amp;H$238,'FE Energie'!$G:$U,12,FALSE))),0,(VLOOKUP($B240&amp;"; "&amp;$K$237&amp;", "&amp;H$238,'FE Energie'!$G:$U,11,FALSE)+VLOOKUP($B240&amp;"; "&amp;$K$237&amp;", "&amp;H$238,'FE Energie'!$G:$U,12,FALSE)))
+$M240*IF(ISNA((VLOOKUP($B240&amp;"; "&amp;$N$237&amp;", "&amp;H$238,'FE Energie'!$G:$U,11,FALSE)+VLOOKUP($B240&amp;"; "&amp;$N$237&amp;", "&amp;H$238,'FE Energie'!$G:$U,12,FALSE))),0,(VLOOKUP($B240&amp;"; "&amp;$N$237&amp;", "&amp;H$238,'FE Energie'!$G:$U,11,FALSE)+VLOOKUP($B240&amp;"; "&amp;$N$237&amp;", "&amp;H$238,'FE Energie'!$G:$U,12,FALSE)))
+$P240*IF(ISNA((VLOOKUP($B240&amp;"; "&amp;$Q$237&amp;", "&amp;H$238,'FE Energie'!$G:$U,11,FALSE)+VLOOKUP($B240&amp;"; "&amp;$Q$237&amp;", "&amp;H$238,'FE Energie'!$G:$U,12,FALSE))),0,(VLOOKUP($B240&amp;"; "&amp;$Q$237&amp;", "&amp;H$238,'FE Energie'!$G:$U,11,FALSE)+VLOOKUP($B240&amp;"; "&amp;$Q$237&amp;", "&amp;H$238,'FE Energie'!$G:$U,12,FALSE)))</f>
        <v>0</v>
      </c>
      <c r="AL240" s="565">
        <f>$G240*IF(ISNA((VLOOKUP($B240&amp;"; "&amp;$H$237&amp;", "&amp;I$238,'FE Energie'!$G:$U,11,FALSE)+VLOOKUP($B240&amp;"; "&amp;$H$237&amp;", "&amp;I$238,'FE Energie'!$G:$U,12,FALSE))),0,(VLOOKUP($B240&amp;"; "&amp;$H$237&amp;", "&amp;I$238,'FE Energie'!$G:$U,11,FALSE)+VLOOKUP($B240&amp;"; "&amp;$H$237&amp;", "&amp;I$238,'FE Energie'!$G:$U,12,FALSE)))
+$J240*IF(ISNA((VLOOKUP($B240&amp;"; "&amp;$K$237&amp;", "&amp;I$238,'FE Energie'!$G:$U,11,FALSE)+VLOOKUP($B240&amp;"; "&amp;$K$237&amp;", "&amp;I$238,'FE Energie'!$G:$U,12,FALSE))),0,(VLOOKUP($B240&amp;"; "&amp;$K$237&amp;", "&amp;I$238,'FE Energie'!$G:$U,11,FALSE)+VLOOKUP($B240&amp;"; "&amp;$K$237&amp;", "&amp;I$238,'FE Energie'!$G:$U,12,FALSE)))
+$M240*IF(ISNA((VLOOKUP($B240&amp;"; "&amp;$N$237&amp;", "&amp;I$238,'FE Energie'!$G:$U,11,FALSE)+VLOOKUP($B240&amp;"; "&amp;$N$237&amp;", "&amp;I$238,'FE Energie'!$G:$U,12,FALSE))),0,(VLOOKUP($B240&amp;"; "&amp;$N$237&amp;", "&amp;I$238,'FE Energie'!$G:$U,11,FALSE)+VLOOKUP($B240&amp;"; "&amp;$N$237&amp;", "&amp;I$238,'FE Energie'!$G:$U,12,FALSE)))
+$P240*IF(ISNA((VLOOKUP($B240&amp;"; "&amp;$Q$237&amp;", "&amp;I$238,'FE Energie'!$G:$U,11,FALSE)+VLOOKUP($B240&amp;"; "&amp;$Q$237&amp;", "&amp;I$238,'FE Energie'!$G:$U,12,FALSE))),0,(VLOOKUP($B240&amp;"; "&amp;$Q$237&amp;", "&amp;I$238,'FE Energie'!$G:$U,11,FALSE)+VLOOKUP($B240&amp;"; "&amp;$Q$237&amp;", "&amp;I$238,'FE Energie'!$G:$U,12,FALSE)))</f>
        <v>0</v>
      </c>
      <c r="AM240" s="565"/>
      <c r="AN240" s="565">
        <f>$G240*IF(ISNA(VLOOKUP($B240&amp;"; "&amp;$H$237&amp;", "&amp;H$238,'FE Energie'!$G:$U,13,FALSE)),0,VLOOKUP($B240&amp;"; "&amp;$H$237&amp;", "&amp;H$238,'FE Energie'!$G:$U,13,FALSE))
+$J240*IF(ISNA(VLOOKUP($B240&amp;"; "&amp;$K$237&amp;", "&amp;H$238,'FE Energie'!$G:$U,13,FALSE)),0,VLOOKUP($B240&amp;"; "&amp;$K$237&amp;", "&amp;H$238,'FE Energie'!$G:$U,13,FALSE))
+$M240*IF(ISNA(VLOOKUP($B240&amp;"; "&amp;$N$237&amp;", "&amp;H$238,'FE Energie'!$G:$U,13,FALSE)),0,VLOOKUP($B240&amp;"; "&amp;$N$237&amp;", "&amp;H$238,'FE Energie'!$G:$U,13,FALSE))
+$P240*IF(ISNA(VLOOKUP($B240&amp;"; "&amp;$Q$237&amp;", "&amp;H$238,'FE Energie'!$G:$U,13,FALSE)),0,VLOOKUP($B240&amp;"; "&amp;$Q$237&amp;", "&amp;H$238,'FE Energie'!$G:$U,13,FALSE))</f>
        <v>0</v>
      </c>
      <c r="AO240" s="565">
        <f>$G240*IF(ISNA(VLOOKUP($B240&amp;"; "&amp;$H$237&amp;", "&amp;I$238,'FE Energie'!$G:$U,13,FALSE)),0,VLOOKUP($B240&amp;"; "&amp;$H$237&amp;", "&amp;I$238,'FE Energie'!$G:$U,13,FALSE))
+$J240*IF(ISNA(VLOOKUP($B240&amp;"; "&amp;$K$237&amp;", "&amp;I$238,'FE Energie'!$G:$U,13,FALSE)),0,VLOOKUP($B240&amp;"; "&amp;$K$237&amp;", "&amp;I$238,'FE Energie'!$G:$U,13,FALSE))
+$M240*IF(ISNA(VLOOKUP($B240&amp;"; "&amp;$N$237&amp;", "&amp;I$238,'FE Energie'!$G:$U,13,FALSE)),0,VLOOKUP($B240&amp;"; "&amp;$N$237&amp;", "&amp;I$238,'FE Energie'!$G:$U,13,FALSE))
+$P240*IF(ISNA(VLOOKUP($B240&amp;"; "&amp;$Q$237&amp;", "&amp;I$238,'FE Energie'!$G:$U,13,FALSE)),0,VLOOKUP($B240&amp;"; "&amp;$Q$237&amp;", "&amp;I$238,'FE Energie'!$G:$U,13,FALSE))</f>
        <v>0</v>
      </c>
      <c r="AP240" s="565"/>
      <c r="AQ240" s="565">
        <f>$G240*IF(ISNA(VLOOKUP($B240&amp;"; "&amp;$H$237&amp;", "&amp;H$238,'FE Energie'!$G:$U,14,FALSE)),0,VLOOKUP($B240&amp;"; "&amp;$H$237&amp;", "&amp;H$238,'FE Energie'!$G:$U,14,FALSE))
+$J240*IF(ISNA(VLOOKUP($B240&amp;"; "&amp;$K$237&amp;", "&amp;H$238,'FE Energie'!$G:$U,14,FALSE)),0,VLOOKUP($B240&amp;"; "&amp;$K$237&amp;", "&amp;H$238,'FE Energie'!$G:$U,14,FALSE))
+$M240*IF(ISNA(VLOOKUP($B240&amp;"; "&amp;$N$237&amp;", "&amp;H$238,'FE Energie'!$G:$U,14,FALSE)),0,VLOOKUP($B240&amp;"; "&amp;$N$237&amp;", "&amp;H$238,'FE Energie'!$G:$U,14,FALSE))
+$P240*IF(ISNA(VLOOKUP($B240&amp;"; "&amp;$Q$237&amp;", "&amp;H$238,'FE Energie'!$G:$U,14,FALSE)),0,VLOOKUP($B240&amp;"; "&amp;$Q$237&amp;", "&amp;H$238,'FE Energie'!$G:$U,14,FALSE))</f>
        <v>0</v>
      </c>
      <c r="AR240" s="565">
        <f>$G240*IF(ISNA(VLOOKUP($B240&amp;"; "&amp;$H$237&amp;", "&amp;I$238,'FE Energie'!$G:$U,14,FALSE)),0,VLOOKUP($B240&amp;"; "&amp;$H$237&amp;", "&amp;I$238,'FE Energie'!$G:$U,14,FALSE))
+$J240*IF(ISNA(VLOOKUP($B240&amp;"; "&amp;$K$237&amp;", "&amp;I$238,'FE Energie'!$G:$U,14,FALSE)),0,VLOOKUP($B240&amp;"; "&amp;$K$237&amp;", "&amp;I$238,'FE Energie'!$G:$U,14,FALSE))
+$M240*IF(ISNA(VLOOKUP($B240&amp;"; "&amp;$N$237&amp;", "&amp;I$238,'FE Energie'!$G:$U,14,FALSE)),0,VLOOKUP($B240&amp;"; "&amp;$N$237&amp;", "&amp;I$238,'FE Energie'!$G:$U,14,FALSE))
+$P240*IF(ISNA(VLOOKUP($B240&amp;"; "&amp;$Q$237&amp;", "&amp;I$238,'FE Energie'!$G:$U,14,FALSE)),0,VLOOKUP($B240&amp;"; "&amp;$Q$237&amp;", "&amp;I$238,'FE Energie'!$G:$U,14,FALSE))</f>
        <v>0</v>
      </c>
      <c r="AS240" s="565"/>
      <c r="AT240" s="566">
        <f>SUM(AH240,AK240,AN240,AQ240)</f>
        <v>0</v>
      </c>
      <c r="AU240" s="566">
        <f>SUM(AI240,AL240,AO240,AR240)</f>
        <v>0</v>
      </c>
      <c r="AV240" s="567"/>
      <c r="AW240" s="564">
        <f>$G240*IF(ISNA(VLOOKUP($B240&amp;"; "&amp;$H$237&amp;", "&amp;H$238,'FE Energie'!$G:$U,15,FALSE)),0,VLOOKUP($B240&amp;"; "&amp;$H$237&amp;", "&amp;H$238,'FE Energie'!$G:$U,15,FALSE))
+$J240*IF(ISNA(VLOOKUP($B240&amp;"; "&amp;$K$237&amp;", "&amp;H$238,'FE Energie'!$G:$U,15,FALSE)),0,VLOOKUP($B240&amp;"; "&amp;$K$237&amp;", "&amp;H$238,'FE Energie'!$G:$U,15,FALSE))
+$M240*IF(ISNA(VLOOKUP($B240&amp;"; "&amp;$N$237&amp;", "&amp;H$238,'FE Energie'!$G:$U,15,FALSE)),0,VLOOKUP($B240&amp;"; "&amp;$N$237&amp;", "&amp;H$238,'FE Energie'!$G:$U,15,FALSE))
+$P240*IF(ISNA(VLOOKUP($B240&amp;"; "&amp;$Q$237&amp;", "&amp;H$238,'FE Energie'!$G:$U,15,FALSE)),0,VLOOKUP($B240&amp;"; "&amp;$Q$237&amp;", "&amp;H$238,'FE Energie'!$G:$U,15,FALSE))</f>
        <v>0</v>
      </c>
      <c r="AX240" s="565">
        <f>$G240*IF(ISNA(VLOOKUP($B240&amp;"; "&amp;$H$237&amp;", "&amp;I$238,'FE Energie'!$G:$U,15,FALSE)),0,VLOOKUP($B240&amp;"; "&amp;$H$237&amp;", "&amp;I$238,'FE Energie'!$G:$U,15,FALSE))
+$J240*IF(ISNA(VLOOKUP($B240&amp;"; "&amp;$K$237&amp;", "&amp;I$238,'FE Energie'!$G:$U,15,FALSE)),0,VLOOKUP($B240&amp;"; "&amp;$K$237&amp;", "&amp;I$238,'FE Energie'!$G:$U,15,FALSE))
+$M240*IF(ISNA(VLOOKUP($B240&amp;"; "&amp;$N$237&amp;", "&amp;I$238,'FE Energie'!$G:$U,15,FALSE)),0,VLOOKUP($B240&amp;"; "&amp;$N$237&amp;", "&amp;I$238,'FE Energie'!$G:$U,15,FALSE))
+$P240*IF(ISNA(VLOOKUP($B240&amp;"; "&amp;$Q$237&amp;", "&amp;I$238,'FE Energie'!$G:$U,15,FALSE)),0,VLOOKUP($B240&amp;"; "&amp;$Q$237&amp;", "&amp;I$238,'FE Energie'!$G:$U,15,FALSE))</f>
        <v>0</v>
      </c>
      <c r="AY240" s="568"/>
      <c r="AZ240" s="2292"/>
      <c r="BA240" s="2292"/>
      <c r="BB240" s="2292"/>
      <c r="BC240" s="2292"/>
      <c r="BD240" s="2292"/>
      <c r="BE240" s="2292"/>
      <c r="BF240" s="2292"/>
      <c r="BH240" s="1065">
        <f>IF($Y240&lt;&gt;"votre valeur :",IF(ISNA(VLOOKUP($Y240,Utilitaires!$N$566:$O$571,2,FALSE)),,VLOOKUP($Y240,Utilitaires!$N$566:$O$571,2,FALSE)),$Z240)</f>
        <v>0</v>
      </c>
      <c r="BI240" s="1065">
        <f>IF($Y240&lt;&gt;"votre valeur :",IF(ISNA(VLOOKUP($Y240,Utilitaires!$N$566:$O$571,2,FALSE)),,VLOOKUP($Y240,Utilitaires!$N$566:$O$571,2,FALSE)),$Z240)</f>
        <v>0</v>
      </c>
      <c r="BJ240" s="1065">
        <f>IF($Y240&lt;&gt;"votre valeur :",IF(ISNA(VLOOKUP($Y240,Utilitaires!$N$566:$O$571,2,FALSE)),,VLOOKUP($Y240,Utilitaires!$N$566:$O$571,2,FALSE)),$Z240)</f>
        <v>0</v>
      </c>
      <c r="BK240" s="1065">
        <f>IF($Y240&lt;&gt;"votre valeur :",IF(ISNA(VLOOKUP($Y240,Utilitaires!$N$566:$O$571,2,FALSE)),,VLOOKUP($Y240,Utilitaires!$N$566:$O$571,2,FALSE)),$Z240)</f>
        <v>0</v>
      </c>
      <c r="BL240" s="1124">
        <f>IF(ISNA(SQRT(SUMSQ(VLOOKUP($B240&amp;"; "&amp;$H$237&amp;", "&amp;$H$238,'FE Energie'!$G:$U,7,FALSE),$BH240))),0,SQRT(SUMSQ(VLOOKUP($B240&amp;"; "&amp;$H$237&amp;", "&amp;$H$238,'FE Energie'!$G:$U,7,FALSE),$BH240)))</f>
        <v>0.05</v>
      </c>
      <c r="BM240" s="1068">
        <f>IF(ISNA(SQRT(SUMSQ(VLOOKUP($B240&amp;"; "&amp;$K$237&amp;", "&amp;$K$238,'FE Energie'!$G:$U,7,FALSE),$BI240))),0,SQRT(SUMSQ(VLOOKUP($B240&amp;"; "&amp;$K$237&amp;", "&amp;$K$238,'FE Energie'!$G:$U,7,FALSE),$BI240)))</f>
        <v>0</v>
      </c>
      <c r="BN240" s="1068">
        <f>IF(ISNA(SQRT(SUMSQ(VLOOKUP($B240&amp;"; "&amp;$N$237&amp;", "&amp;$N$238,'FE Energie'!$G:$U,7,FALSE),$BJ240))),0,SQRT(SUMSQ(VLOOKUP($B240&amp;"; "&amp;$N$237&amp;", "&amp;$N$238,'FE Energie'!$G:$U,7,FALSE),$BJ240)))</f>
        <v>0</v>
      </c>
      <c r="BO240" s="1068">
        <f>IF(ISNA(SQRT(SUMSQ(VLOOKUP($B240&amp;"; "&amp;$Q$237&amp;", "&amp;$Q$238,'FE Energie'!$G:$U,7,FALSE),$BK240))),0,SQRT(SUMSQ(VLOOKUP($B240&amp;"; "&amp;$Q$237&amp;", "&amp;$Q$238,'FE Energie'!$G:$U,7,FALSE),$BK240)))</f>
        <v>0</v>
      </c>
      <c r="BP240" s="1069">
        <f>IF(ISNA(SQRT(SUMSQ(VLOOKUP($B240&amp;"; "&amp;$H$237&amp;", "&amp;$I$238,'FE Energie'!$G:$U,7,FALSE),$BH240))),0,SQRT(SUMSQ(VLOOKUP($B240&amp;"; "&amp;$H$237&amp;", "&amp;$I$238,'FE Energie'!$G:$U,7,FALSE),$BH240)))</f>
        <v>0.05</v>
      </c>
      <c r="BQ240" s="1070">
        <f>IF(ISNA(SQRT(SUMSQ(VLOOKUP($B240&amp;"; "&amp;$K$237&amp;", "&amp;$L$238,'FE Energie'!$G:$U,7,FALSE),$BI240))),0,SQRT(SUMSQ(VLOOKUP($B240&amp;"; "&amp;$K$237&amp;", "&amp;$L$238,'FE Energie'!$G:$U,7,FALSE),$BI240)))</f>
        <v>0</v>
      </c>
      <c r="BR240" s="1070">
        <f>IF(ISNA(SQRT(SUMSQ(VLOOKUP($B240&amp;"; "&amp;$N$237&amp;", "&amp;$O$238,'FE Energie'!$G:$U,7,FALSE),$BJ240))),0,SQRT(SUMSQ(VLOOKUP($B240&amp;"; "&amp;$N$237&amp;", "&amp;$O$238,'FE Energie'!$G:$U,7,FALSE),$BJ240)))</f>
        <v>0</v>
      </c>
      <c r="BS240" s="1071">
        <f>IF(ISNA(SQRT(SUMSQ(VLOOKUP($B240&amp;"; "&amp;$Q$237&amp;", "&amp;$R$238,'FE Energie'!$G:$U,7,FALSE),$BK240))),0,SQRT(SUMSQ(VLOOKUP($B240&amp;"; "&amp;$Q$237&amp;", "&amp;$R$238,'FE Energie'!$G:$U,7,FALSE),$BK240)))</f>
        <v>0</v>
      </c>
    </row>
    <row r="241" spans="2:71" ht="12.75" hidden="1" customHeight="1" outlineLevel="2">
      <c r="B241" s="154"/>
      <c r="C241" s="155"/>
      <c r="D241" s="221"/>
      <c r="E241" s="221"/>
      <c r="F241" s="155"/>
      <c r="G241" s="360"/>
      <c r="H241" s="360"/>
      <c r="I241" s="360"/>
      <c r="J241" s="360"/>
      <c r="K241" s="360"/>
      <c r="L241" s="360"/>
      <c r="M241" s="360"/>
      <c r="N241" s="360"/>
      <c r="O241" s="360"/>
      <c r="P241" s="360"/>
      <c r="Q241" s="360"/>
      <c r="R241" s="361"/>
      <c r="S241" s="354"/>
      <c r="T241" s="354"/>
      <c r="U241" s="1336"/>
      <c r="W241" s="116"/>
      <c r="X241" s="366"/>
      <c r="Y241" s="169"/>
      <c r="Z241" s="169"/>
      <c r="AA241" s="169"/>
      <c r="AB241" s="169"/>
      <c r="AC241" s="169"/>
      <c r="AD241" s="169"/>
      <c r="AE241" s="367"/>
      <c r="AF241" s="1286"/>
      <c r="AH241" s="564"/>
      <c r="AI241" s="565"/>
      <c r="AJ241" s="565"/>
      <c r="AK241" s="565"/>
      <c r="AL241" s="565"/>
      <c r="AM241" s="565"/>
      <c r="AN241" s="565"/>
      <c r="AO241" s="565"/>
      <c r="AP241" s="565"/>
      <c r="AQ241" s="565"/>
      <c r="AR241" s="565"/>
      <c r="AS241" s="565"/>
      <c r="AT241" s="566"/>
      <c r="AU241" s="566"/>
      <c r="AV241" s="567"/>
      <c r="AW241" s="569"/>
      <c r="AX241" s="625"/>
      <c r="AY241" s="570"/>
      <c r="AZ241" s="2292"/>
      <c r="BA241" s="2292"/>
      <c r="BB241" s="2292"/>
      <c r="BC241" s="2292"/>
      <c r="BD241" s="2292"/>
      <c r="BE241" s="2292"/>
      <c r="BF241" s="2292"/>
      <c r="BH241" s="1087"/>
      <c r="BI241" s="1075"/>
      <c r="BJ241" s="1131"/>
      <c r="BK241" s="1126"/>
      <c r="BL241" s="1075"/>
      <c r="BM241" s="1076"/>
      <c r="BN241" s="1073"/>
      <c r="BO241" s="1076"/>
      <c r="BP241" s="1126"/>
      <c r="BQ241" s="1076"/>
      <c r="BR241" s="1076"/>
      <c r="BS241" s="1074"/>
    </row>
    <row r="242" spans="2:71" ht="12.75" hidden="1" customHeight="1" outlineLevel="2">
      <c r="B242" s="196" t="s">
        <v>348</v>
      </c>
      <c r="C242" s="197"/>
      <c r="D242" s="214">
        <f>SUM(D239:D241)</f>
        <v>0</v>
      </c>
      <c r="E242" s="214"/>
      <c r="F242" s="198"/>
      <c r="G242" s="199"/>
      <c r="H242" s="199"/>
      <c r="I242" s="199"/>
      <c r="J242" s="199"/>
      <c r="K242" s="199"/>
      <c r="L242" s="199"/>
      <c r="M242" s="199"/>
      <c r="N242" s="199"/>
      <c r="O242" s="199"/>
      <c r="P242" s="199"/>
      <c r="Q242" s="199"/>
      <c r="R242" s="199"/>
      <c r="S242" s="202">
        <f>SUM(S239:S241)</f>
        <v>0</v>
      </c>
      <c r="T242" s="202">
        <f>SUM(T239:T241)</f>
        <v>0</v>
      </c>
      <c r="U242" s="1349">
        <f>SUM(U239:U241)</f>
        <v>0</v>
      </c>
      <c r="X242" s="1203">
        <f>IF(AE242=0,AE242,AE242/D242)</f>
        <v>0</v>
      </c>
      <c r="Y242" s="350"/>
      <c r="Z242" s="203"/>
      <c r="AA242" s="203">
        <f>SQRT(SUMSQ(AA239:AA241))</f>
        <v>0</v>
      </c>
      <c r="AB242" s="203">
        <f>SQRT(SUMSQ(AB239:AB241))</f>
        <v>0</v>
      </c>
      <c r="AC242" s="203"/>
      <c r="AD242" s="203"/>
      <c r="AE242" s="200">
        <f>SQRT(SUMSQ(AD239:AD241))</f>
        <v>0</v>
      </c>
      <c r="AF242" s="1311">
        <f>SQRT(SUMSQ(AF236:AF241))</f>
        <v>0</v>
      </c>
      <c r="AH242" s="571">
        <f>SUM(AH241:AH241)</f>
        <v>0</v>
      </c>
      <c r="AI242" s="572">
        <f>SUM(AI241:AI241)</f>
        <v>0</v>
      </c>
      <c r="AJ242" s="572"/>
      <c r="AK242" s="572">
        <f>SUM(AK241:AK241)</f>
        <v>0</v>
      </c>
      <c r="AL242" s="572">
        <f>SUM(AL241:AL241)</f>
        <v>0</v>
      </c>
      <c r="AM242" s="572"/>
      <c r="AN242" s="572">
        <f>SUM(AN241:AN241)</f>
        <v>0</v>
      </c>
      <c r="AO242" s="572">
        <f>SUM(AO241:AO241)</f>
        <v>0</v>
      </c>
      <c r="AP242" s="572"/>
      <c r="AQ242" s="572">
        <f>SUM(AQ241:AQ241)</f>
        <v>0</v>
      </c>
      <c r="AR242" s="572">
        <f>SUM(AR241:AR241)</f>
        <v>0</v>
      </c>
      <c r="AS242" s="572"/>
      <c r="AT242" s="573">
        <f t="shared" ref="AT242:AY242" si="81">SUM(AT241:AT241)</f>
        <v>0</v>
      </c>
      <c r="AU242" s="573">
        <f t="shared" si="81"/>
        <v>0</v>
      </c>
      <c r="AV242" s="574">
        <f t="shared" si="81"/>
        <v>0</v>
      </c>
      <c r="AW242" s="571">
        <f t="shared" si="81"/>
        <v>0</v>
      </c>
      <c r="AX242" s="572">
        <f t="shared" si="81"/>
        <v>0</v>
      </c>
      <c r="AY242" s="575">
        <f t="shared" si="81"/>
        <v>0</v>
      </c>
      <c r="AZ242" s="2292"/>
      <c r="BA242" s="2292"/>
      <c r="BB242" s="2292"/>
      <c r="BC242" s="2292"/>
      <c r="BD242" s="2292"/>
      <c r="BE242" s="2292"/>
      <c r="BF242" s="2292"/>
    </row>
    <row r="243" spans="2:71" ht="15" hidden="1" customHeight="1" outlineLevel="2">
      <c r="AP243" s="593"/>
      <c r="AZ243" s="444"/>
      <c r="BA243" s="444"/>
      <c r="BB243" s="444"/>
      <c r="BC243" s="444"/>
      <c r="BD243" s="444"/>
      <c r="BE243" s="444"/>
      <c r="BF243" s="444"/>
    </row>
    <row r="244" spans="2:71" ht="12.75" hidden="1" customHeight="1" outlineLevel="2">
      <c r="B244" s="1091" t="s">
        <v>3676</v>
      </c>
      <c r="C244" s="140"/>
      <c r="D244" s="140"/>
      <c r="E244" s="140"/>
      <c r="F244" s="140"/>
      <c r="G244" s="140"/>
      <c r="H244" s="140"/>
      <c r="I244" s="179"/>
      <c r="T244" s="116"/>
      <c r="U244" s="116"/>
      <c r="V244" s="116"/>
      <c r="W244" s="116"/>
      <c r="X244" s="2636" t="s">
        <v>366</v>
      </c>
      <c r="Y244" s="2637"/>
      <c r="Z244" s="2637"/>
      <c r="AA244" s="2637"/>
      <c r="AB244" s="2637"/>
      <c r="AC244" s="2637"/>
      <c r="AD244" s="2637"/>
      <c r="AE244" s="2638"/>
      <c r="AF244" s="116"/>
      <c r="AH244" s="2639" t="s">
        <v>441</v>
      </c>
      <c r="AI244" s="2640"/>
      <c r="AJ244" s="2640"/>
      <c r="AK244" s="2640"/>
      <c r="AL244" s="2640"/>
      <c r="AM244" s="2640"/>
      <c r="AN244" s="2640"/>
      <c r="AO244" s="2640"/>
      <c r="AP244" s="2640"/>
      <c r="AQ244" s="2640"/>
      <c r="AR244" s="2640"/>
      <c r="AS244" s="2640"/>
      <c r="AT244" s="2640"/>
      <c r="AU244" s="2640"/>
      <c r="AV244" s="2640"/>
      <c r="AW244" s="2640"/>
      <c r="AX244" s="2640"/>
      <c r="AY244" s="2641"/>
      <c r="AZ244" s="2448"/>
      <c r="BA244" s="2448"/>
      <c r="BB244" s="2448"/>
      <c r="BC244" s="2448"/>
      <c r="BD244" s="2448"/>
      <c r="BE244" s="2448"/>
      <c r="BF244" s="2448"/>
    </row>
    <row r="245" spans="2:71" ht="12.75" hidden="1" customHeight="1" outlineLevel="2">
      <c r="B245" s="143"/>
      <c r="C245" s="144"/>
      <c r="D245" s="1334" t="s">
        <v>308</v>
      </c>
      <c r="E245" s="1663"/>
      <c r="F245" s="144"/>
      <c r="G245" s="144"/>
      <c r="H245" s="1317"/>
      <c r="I245" s="1337" t="s">
        <v>444</v>
      </c>
      <c r="T245" s="116"/>
      <c r="U245" s="116"/>
      <c r="X245" s="1316"/>
      <c r="Y245" s="1317"/>
      <c r="Z245" s="1317"/>
      <c r="AA245" s="1334"/>
      <c r="AB245" s="1334"/>
      <c r="AC245" s="2423"/>
      <c r="AD245" s="1334"/>
      <c r="AE245" s="1337" t="s">
        <v>444</v>
      </c>
      <c r="AG245" s="109"/>
      <c r="AH245" s="2642" t="s">
        <v>444</v>
      </c>
      <c r="AI245" s="2643"/>
      <c r="AJ245" s="2643"/>
      <c r="AK245" s="2643"/>
      <c r="AL245" s="2643"/>
      <c r="AM245" s="2643"/>
      <c r="AN245" s="2643"/>
      <c r="AO245" s="2643"/>
      <c r="AP245" s="2643"/>
      <c r="AQ245" s="2643"/>
      <c r="AR245" s="2643"/>
      <c r="AS245" s="2643"/>
      <c r="AT245" s="2643" t="s">
        <v>444</v>
      </c>
      <c r="AU245" s="2643"/>
      <c r="AV245" s="628"/>
      <c r="AW245" s="624"/>
      <c r="AX245" s="624"/>
      <c r="AY245" s="1291"/>
      <c r="AZ245" s="2449"/>
      <c r="BA245" s="2449"/>
      <c r="BB245" s="2449"/>
      <c r="BC245" s="2449"/>
      <c r="BD245" s="2449"/>
      <c r="BE245" s="2449"/>
      <c r="BF245" s="2449"/>
      <c r="BH245" s="2616" t="s">
        <v>1648</v>
      </c>
      <c r="BI245" s="2618"/>
    </row>
    <row r="246" spans="2:71" ht="12.75" hidden="1" customHeight="1" outlineLevel="2">
      <c r="B246" s="1316"/>
      <c r="C246" s="1317"/>
      <c r="D246" s="1317" t="s">
        <v>409</v>
      </c>
      <c r="E246" s="1656"/>
      <c r="F246" s="1320" t="s">
        <v>452</v>
      </c>
      <c r="G246" s="1320" t="s">
        <v>3670</v>
      </c>
      <c r="H246" s="1006"/>
      <c r="I246" s="220" t="s">
        <v>880</v>
      </c>
      <c r="T246" s="116"/>
      <c r="U246" s="116"/>
      <c r="V246" s="109"/>
      <c r="W246" s="109"/>
      <c r="X246" s="1316" t="s">
        <v>316</v>
      </c>
      <c r="Y246" s="2629" t="s">
        <v>316</v>
      </c>
      <c r="Z246" s="2630"/>
      <c r="AA246" s="1317"/>
      <c r="AB246" s="1317"/>
      <c r="AC246" s="2419"/>
      <c r="AD246" s="1317"/>
      <c r="AE246" s="220" t="s">
        <v>880</v>
      </c>
      <c r="AF246" s="109"/>
      <c r="AG246" s="109"/>
      <c r="AH246" s="2631" t="s">
        <v>211</v>
      </c>
      <c r="AI246" s="2632"/>
      <c r="AJ246" s="2632"/>
      <c r="AK246" s="2632" t="s">
        <v>442</v>
      </c>
      <c r="AL246" s="2632"/>
      <c r="AM246" s="2632"/>
      <c r="AN246" s="2632" t="s">
        <v>267</v>
      </c>
      <c r="AO246" s="2632"/>
      <c r="AP246" s="2632"/>
      <c r="AQ246" s="2632" t="s">
        <v>443</v>
      </c>
      <c r="AR246" s="2632"/>
      <c r="AS246" s="2632"/>
      <c r="AT246" s="2648" t="s">
        <v>327</v>
      </c>
      <c r="AU246" s="2648"/>
      <c r="AV246" s="568"/>
      <c r="AW246" s="2631" t="s">
        <v>636</v>
      </c>
      <c r="AX246" s="2632"/>
      <c r="AY246" s="568"/>
      <c r="AZ246" s="2292"/>
      <c r="BA246" s="2292"/>
      <c r="BB246" s="2292"/>
      <c r="BC246" s="2292"/>
      <c r="BD246" s="2292"/>
      <c r="BE246" s="2292"/>
      <c r="BF246" s="2292"/>
      <c r="BH246" s="2837" t="s">
        <v>1646</v>
      </c>
      <c r="BI246" s="1141"/>
    </row>
    <row r="247" spans="2:71" ht="12.75" hidden="1" customHeight="1" outlineLevel="2">
      <c r="B247" s="1316"/>
      <c r="C247" s="1317"/>
      <c r="D247" s="1317" t="s">
        <v>444</v>
      </c>
      <c r="E247" s="1656"/>
      <c r="F247" s="1321" t="s">
        <v>445</v>
      </c>
      <c r="G247" s="1321" t="s">
        <v>881</v>
      </c>
      <c r="H247" s="1007"/>
      <c r="I247" s="220" t="s">
        <v>257</v>
      </c>
      <c r="T247" s="116"/>
      <c r="U247" s="116"/>
      <c r="V247" s="109"/>
      <c r="W247" s="109"/>
      <c r="X247" s="1316" t="s">
        <v>1649</v>
      </c>
      <c r="Y247" s="2646" t="s">
        <v>1650</v>
      </c>
      <c r="Z247" s="2647"/>
      <c r="AA247" s="1322"/>
      <c r="AB247" s="1322"/>
      <c r="AC247" s="1662"/>
      <c r="AD247" s="1322"/>
      <c r="AE247" s="220" t="s">
        <v>257</v>
      </c>
      <c r="AF247" s="109"/>
      <c r="AH247" s="1331"/>
      <c r="AI247" s="1332"/>
      <c r="AJ247" s="1332"/>
      <c r="AK247" s="1332"/>
      <c r="AL247" s="1332"/>
      <c r="AM247" s="1332"/>
      <c r="AN247" s="1332"/>
      <c r="AO247" s="1332"/>
      <c r="AP247" s="1332"/>
      <c r="AQ247" s="1332"/>
      <c r="AR247" s="1332"/>
      <c r="AS247" s="1332"/>
      <c r="AT247" s="581"/>
      <c r="AU247" s="581"/>
      <c r="AV247" s="582"/>
      <c r="AW247" s="1332"/>
      <c r="AX247" s="1332"/>
      <c r="AY247" s="1333"/>
      <c r="AZ247" s="2449"/>
      <c r="BA247" s="2449"/>
      <c r="BB247" s="2449"/>
      <c r="BC247" s="2449"/>
      <c r="BD247" s="2449"/>
      <c r="BE247" s="2449"/>
      <c r="BF247" s="2449"/>
      <c r="BH247" s="2838"/>
      <c r="BI247" s="1326"/>
    </row>
    <row r="248" spans="2:71" ht="12.75" hidden="1" customHeight="1" outlineLevel="2">
      <c r="B248" s="143" t="s">
        <v>3669</v>
      </c>
      <c r="C248" s="144"/>
      <c r="D248" s="212">
        <f>I248</f>
        <v>0</v>
      </c>
      <c r="E248" s="212"/>
      <c r="F248" s="117"/>
      <c r="G248" s="117"/>
      <c r="H248" s="225"/>
      <c r="I248" s="152">
        <f>G248</f>
        <v>0</v>
      </c>
      <c r="T248" s="116"/>
      <c r="U248" s="116"/>
      <c r="X248" s="1092">
        <f>IF(AE248=0,AE248,AE248/D248)</f>
        <v>0</v>
      </c>
      <c r="Y248" s="343"/>
      <c r="Z248" s="820"/>
      <c r="AA248" s="164"/>
      <c r="AB248" s="164"/>
      <c r="AC248" s="164"/>
      <c r="AD248" s="164"/>
      <c r="AE248" s="152">
        <f>I248*BI248</f>
        <v>0</v>
      </c>
      <c r="AH248" s="564">
        <f>D248</f>
        <v>0</v>
      </c>
      <c r="AI248" s="565"/>
      <c r="AJ248" s="565"/>
      <c r="AK248" s="565"/>
      <c r="AL248" s="565"/>
      <c r="AM248" s="565"/>
      <c r="AN248" s="565"/>
      <c r="AO248" s="565"/>
      <c r="AP248" s="565"/>
      <c r="AQ248" s="565"/>
      <c r="AR248" s="565"/>
      <c r="AS248" s="565"/>
      <c r="AT248" s="566">
        <f>SUM(AH248:AQ248)</f>
        <v>0</v>
      </c>
      <c r="AU248" s="566"/>
      <c r="AV248" s="567"/>
      <c r="AW248" s="565"/>
      <c r="AX248" s="565"/>
      <c r="AY248" s="568"/>
      <c r="AZ248" s="2292"/>
      <c r="BA248" s="2292"/>
      <c r="BB248" s="2292"/>
      <c r="BC248" s="2292"/>
      <c r="BD248" s="2292"/>
      <c r="BE248" s="2292"/>
      <c r="BF248" s="2292"/>
      <c r="BH248" s="1065">
        <f>IF($Y248&lt;&gt;"votre valeur :",IF(ISNA(VLOOKUP($Y248,Utilitaires!$N$566:$O$571,2,FALSE)),,VLOOKUP($Y248,Utilitaires!$N$566:$O$571,2,FALSE)),$Z248)</f>
        <v>0</v>
      </c>
      <c r="BI248" s="1130">
        <f>SQRT(SUMSQ(0,BH248))</f>
        <v>0</v>
      </c>
    </row>
    <row r="249" spans="2:71" ht="12.75" hidden="1" customHeight="1" outlineLevel="2">
      <c r="B249" s="143" t="s">
        <v>3669</v>
      </c>
      <c r="C249" s="144"/>
      <c r="D249" s="212">
        <f>I249</f>
        <v>0</v>
      </c>
      <c r="E249" s="212"/>
      <c r="F249" s="120"/>
      <c r="G249" s="120"/>
      <c r="H249" s="225"/>
      <c r="I249" s="152">
        <f t="shared" ref="I249:I250" si="82">G249</f>
        <v>0</v>
      </c>
      <c r="T249" s="116"/>
      <c r="U249" s="116"/>
      <c r="X249" s="1092">
        <f>IF(AE249=0,AE249,AE249/D249)</f>
        <v>0</v>
      </c>
      <c r="Y249" s="343"/>
      <c r="Z249" s="820"/>
      <c r="AA249" s="164"/>
      <c r="AB249" s="164"/>
      <c r="AC249" s="164"/>
      <c r="AD249" s="164"/>
      <c r="AE249" s="152">
        <f>I249*BI249</f>
        <v>0</v>
      </c>
      <c r="AH249" s="564">
        <f>D249</f>
        <v>0</v>
      </c>
      <c r="AI249" s="565"/>
      <c r="AJ249" s="565"/>
      <c r="AK249" s="565"/>
      <c r="AL249" s="565"/>
      <c r="AM249" s="565"/>
      <c r="AN249" s="565"/>
      <c r="AO249" s="565"/>
      <c r="AP249" s="565"/>
      <c r="AQ249" s="565"/>
      <c r="AR249" s="565"/>
      <c r="AS249" s="565"/>
      <c r="AT249" s="566">
        <f>SUM(AH249:AQ249)</f>
        <v>0</v>
      </c>
      <c r="AU249" s="566"/>
      <c r="AV249" s="567"/>
      <c r="AW249" s="565"/>
      <c r="AX249" s="565"/>
      <c r="AY249" s="568"/>
      <c r="AZ249" s="2292"/>
      <c r="BA249" s="2292"/>
      <c r="BB249" s="2292"/>
      <c r="BC249" s="2292"/>
      <c r="BD249" s="2292"/>
      <c r="BE249" s="2292"/>
      <c r="BF249" s="2292"/>
      <c r="BH249" s="1065">
        <f>IF($Y249&lt;&gt;"votre valeur :",IF(ISNA(VLOOKUP($Y249,Utilitaires!$N$566:$O$571,2,FALSE)),,VLOOKUP($Y249,Utilitaires!$N$566:$O$571,2,FALSE)),$Z249)</f>
        <v>0</v>
      </c>
      <c r="BI249" s="1130">
        <f>SQRT(SUMSQ(0,BH249))</f>
        <v>0</v>
      </c>
    </row>
    <row r="250" spans="2:71" ht="12.75" hidden="1" customHeight="1" outlineLevel="2">
      <c r="B250" s="143" t="s">
        <v>3669</v>
      </c>
      <c r="C250" s="144"/>
      <c r="D250" s="212">
        <f>I250</f>
        <v>0</v>
      </c>
      <c r="E250" s="212"/>
      <c r="F250" s="123"/>
      <c r="G250" s="123"/>
      <c r="H250" s="225"/>
      <c r="I250" s="152">
        <f t="shared" si="82"/>
        <v>0</v>
      </c>
      <c r="T250" s="116"/>
      <c r="U250" s="116"/>
      <c r="X250" s="1092">
        <f>IF(AE250=0,AE250,AE250/D250)</f>
        <v>0</v>
      </c>
      <c r="Y250" s="1094"/>
      <c r="Z250" s="820"/>
      <c r="AA250" s="164"/>
      <c r="AB250" s="164"/>
      <c r="AC250" s="164"/>
      <c r="AD250" s="164"/>
      <c r="AE250" s="152">
        <f>I250*BI250</f>
        <v>0</v>
      </c>
      <c r="AH250" s="564">
        <f>D250</f>
        <v>0</v>
      </c>
      <c r="AI250" s="565"/>
      <c r="AJ250" s="565"/>
      <c r="AK250" s="565"/>
      <c r="AL250" s="565"/>
      <c r="AM250" s="565"/>
      <c r="AN250" s="565"/>
      <c r="AO250" s="565"/>
      <c r="AP250" s="565"/>
      <c r="AQ250" s="565"/>
      <c r="AR250" s="565"/>
      <c r="AS250" s="565"/>
      <c r="AT250" s="566">
        <f>SUM(AH250:AQ250)</f>
        <v>0</v>
      </c>
      <c r="AU250" s="566"/>
      <c r="AV250" s="567"/>
      <c r="AW250" s="565"/>
      <c r="AX250" s="565"/>
      <c r="AY250" s="568"/>
      <c r="AZ250" s="2292"/>
      <c r="BA250" s="2292"/>
      <c r="BB250" s="2292"/>
      <c r="BC250" s="2292"/>
      <c r="BD250" s="2292"/>
      <c r="BE250" s="2292"/>
      <c r="BF250" s="2292"/>
      <c r="BH250" s="1065">
        <f>IF($Y250&lt;&gt;"votre valeur :",IF(ISNA(VLOOKUP($Y250,Utilitaires!$N$566:$O$571,2,FALSE)),,VLOOKUP($Y250,Utilitaires!$N$566:$O$571,2,FALSE)),$Z250)</f>
        <v>0</v>
      </c>
      <c r="BI250" s="1130">
        <f>SQRT(SUMSQ(0,BH250))</f>
        <v>0</v>
      </c>
    </row>
    <row r="251" spans="2:71" ht="12.75" hidden="1" customHeight="1" outlineLevel="2">
      <c r="B251" s="154"/>
      <c r="C251" s="155"/>
      <c r="D251" s="221"/>
      <c r="E251" s="221"/>
      <c r="F251" s="155"/>
      <c r="G251" s="155"/>
      <c r="H251" s="155"/>
      <c r="I251" s="156"/>
      <c r="T251" s="116"/>
      <c r="U251" s="116"/>
      <c r="X251" s="1092"/>
      <c r="Y251" s="155"/>
      <c r="Z251" s="169"/>
      <c r="AA251" s="155"/>
      <c r="AB251" s="155"/>
      <c r="AC251" s="155"/>
      <c r="AD251" s="155"/>
      <c r="AE251" s="165"/>
      <c r="AH251" s="569"/>
      <c r="AI251" s="625"/>
      <c r="AJ251" s="625"/>
      <c r="AK251" s="625"/>
      <c r="AL251" s="625"/>
      <c r="AM251" s="625"/>
      <c r="AN251" s="625"/>
      <c r="AO251" s="625"/>
      <c r="AP251" s="625"/>
      <c r="AQ251" s="625"/>
      <c r="AR251" s="625"/>
      <c r="AS251" s="625"/>
      <c r="AT251" s="1313"/>
      <c r="AU251" s="1313"/>
      <c r="AV251" s="1314"/>
      <c r="AW251" s="565"/>
      <c r="AX251" s="565"/>
      <c r="AY251" s="568"/>
      <c r="AZ251" s="2292"/>
      <c r="BA251" s="2292"/>
      <c r="BB251" s="2292"/>
      <c r="BC251" s="2292"/>
      <c r="BD251" s="2292"/>
      <c r="BE251" s="2292"/>
      <c r="BF251" s="2292"/>
      <c r="BH251" s="1087"/>
      <c r="BI251" s="1153"/>
    </row>
    <row r="252" spans="2:71" ht="12.75" hidden="1" customHeight="1" outlineLevel="2">
      <c r="B252" s="196" t="s">
        <v>348</v>
      </c>
      <c r="C252" s="197"/>
      <c r="D252" s="214">
        <f>SUM(D248:D251)</f>
        <v>0</v>
      </c>
      <c r="E252" s="214"/>
      <c r="F252" s="198"/>
      <c r="G252" s="199"/>
      <c r="H252" s="199"/>
      <c r="I252" s="200">
        <f>SUM(I248:I251)</f>
        <v>0</v>
      </c>
      <c r="T252" s="116"/>
      <c r="U252" s="116"/>
      <c r="X252" s="1203">
        <f>IF(AE252=0,AE252,AE252/D252)</f>
        <v>0</v>
      </c>
      <c r="Y252" s="199"/>
      <c r="Z252" s="199"/>
      <c r="AA252" s="203"/>
      <c r="AB252" s="203"/>
      <c r="AC252" s="203"/>
      <c r="AD252" s="203"/>
      <c r="AE252" s="200">
        <f>SQRT(SUMSQ(AE248:AE251))</f>
        <v>0</v>
      </c>
      <c r="AH252" s="1308">
        <f>SUM(AH248:AH251)</f>
        <v>0</v>
      </c>
      <c r="AI252" s="1309"/>
      <c r="AJ252" s="1309"/>
      <c r="AK252" s="1309">
        <f>SUM(AK248:AK251)</f>
        <v>0</v>
      </c>
      <c r="AL252" s="1309"/>
      <c r="AM252" s="1309"/>
      <c r="AN252" s="1309">
        <f>SUM(AN248:AN251)</f>
        <v>0</v>
      </c>
      <c r="AO252" s="1309"/>
      <c r="AP252" s="1309"/>
      <c r="AQ252" s="1309">
        <f>SUM(AQ248:AQ251)</f>
        <v>0</v>
      </c>
      <c r="AR252" s="572"/>
      <c r="AS252" s="572"/>
      <c r="AT252" s="573">
        <f>SUM(AT248:AT251)</f>
        <v>0</v>
      </c>
      <c r="AU252" s="1312"/>
      <c r="AV252" s="1312"/>
      <c r="AW252" s="1082">
        <f>SUM(AW248:AW251)</f>
        <v>0</v>
      </c>
      <c r="AX252" s="572"/>
      <c r="AY252" s="575"/>
      <c r="AZ252" s="2292"/>
      <c r="BA252" s="2292"/>
      <c r="BB252" s="2292"/>
      <c r="BC252" s="2292"/>
      <c r="BD252" s="2292"/>
      <c r="BE252" s="2292"/>
      <c r="BF252" s="2292"/>
    </row>
    <row r="253" spans="2:71" ht="15" hidden="1" customHeight="1" outlineLevel="2">
      <c r="AP253" s="593"/>
      <c r="AZ253" s="444"/>
      <c r="BA253" s="444"/>
      <c r="BB253" s="444"/>
      <c r="BC253" s="444"/>
      <c r="BD253" s="444"/>
      <c r="BE253" s="444"/>
      <c r="BF253" s="444"/>
    </row>
    <row r="254" spans="2:71" ht="12.75" hidden="1" customHeight="1" outlineLevel="2">
      <c r="B254" s="1091" t="s">
        <v>2337</v>
      </c>
      <c r="C254" s="140"/>
      <c r="D254" s="140"/>
      <c r="E254" s="140"/>
      <c r="F254" s="140"/>
      <c r="G254" s="140"/>
      <c r="H254" s="140"/>
      <c r="I254" s="140"/>
      <c r="J254" s="140"/>
      <c r="K254" s="140"/>
      <c r="L254" s="140"/>
      <c r="M254" s="140"/>
      <c r="N254" s="140"/>
      <c r="O254" s="140"/>
      <c r="P254" s="1341"/>
      <c r="X254" s="2636" t="s">
        <v>366</v>
      </c>
      <c r="Y254" s="2637"/>
      <c r="Z254" s="2637"/>
      <c r="AA254" s="2637"/>
      <c r="AB254" s="2637"/>
      <c r="AC254" s="2637"/>
      <c r="AD254" s="2637"/>
      <c r="AE254" s="2637"/>
      <c r="AF254" s="2638"/>
      <c r="AH254" s="2639" t="s">
        <v>441</v>
      </c>
      <c r="AI254" s="2640"/>
      <c r="AJ254" s="2640"/>
      <c r="AK254" s="2640"/>
      <c r="AL254" s="2640"/>
      <c r="AM254" s="2640"/>
      <c r="AN254" s="2640"/>
      <c r="AO254" s="2640"/>
      <c r="AP254" s="2640"/>
      <c r="AQ254" s="2640"/>
      <c r="AR254" s="2640"/>
      <c r="AS254" s="2640"/>
      <c r="AT254" s="2640"/>
      <c r="AU254" s="2640"/>
      <c r="AV254" s="2640"/>
      <c r="AW254" s="2640"/>
      <c r="AX254" s="2640"/>
      <c r="AY254" s="2640"/>
      <c r="AZ254" s="2640"/>
      <c r="BA254" s="2438"/>
      <c r="BB254" s="2434"/>
      <c r="BC254" s="2435"/>
      <c r="BD254" s="2435"/>
      <c r="BE254" s="2436"/>
      <c r="BF254" s="2448"/>
    </row>
    <row r="255" spans="2:71" ht="12.75" hidden="1" customHeight="1" outlineLevel="2">
      <c r="B255" s="332"/>
      <c r="C255" s="167"/>
      <c r="D255" s="1334" t="s">
        <v>308</v>
      </c>
      <c r="E255" s="1663"/>
      <c r="F255" s="155"/>
      <c r="G255" s="144"/>
      <c r="H255" s="144"/>
      <c r="I255" s="144"/>
      <c r="J255" s="144"/>
      <c r="K255" s="144"/>
      <c r="L255" s="1334"/>
      <c r="M255" s="1334"/>
      <c r="N255" s="2441"/>
      <c r="O255" s="1334"/>
      <c r="P255" s="153" t="s">
        <v>275</v>
      </c>
      <c r="X255" s="1316"/>
      <c r="Y255" s="1317"/>
      <c r="Z255" s="1317"/>
      <c r="AA255" s="1334"/>
      <c r="AB255" s="1334"/>
      <c r="AC255" s="2423"/>
      <c r="AD255" s="1334"/>
      <c r="AE255" s="1334"/>
      <c r="AF255" s="1320" t="s">
        <v>275</v>
      </c>
      <c r="AH255" s="2642" t="s">
        <v>444</v>
      </c>
      <c r="AI255" s="2643"/>
      <c r="AJ255" s="2643"/>
      <c r="AK255" s="2643"/>
      <c r="AL255" s="2643"/>
      <c r="AM255" s="2643"/>
      <c r="AN255" s="2643"/>
      <c r="AO255" s="2643"/>
      <c r="AP255" s="2643"/>
      <c r="AQ255" s="2643"/>
      <c r="AR255" s="2643"/>
      <c r="AS255" s="2643"/>
      <c r="AT255" s="2643"/>
      <c r="AU255" s="2643"/>
      <c r="AV255" s="2643"/>
      <c r="AW255" s="2643"/>
      <c r="AX255" s="2643" t="s">
        <v>444</v>
      </c>
      <c r="AY255" s="2643"/>
      <c r="AZ255" s="2643"/>
      <c r="BA255" s="2644"/>
      <c r="BB255" s="1081"/>
      <c r="BC255" s="624"/>
      <c r="BD255" s="624"/>
      <c r="BE255" s="578"/>
      <c r="BF255" s="2288"/>
      <c r="BH255" s="2616" t="s">
        <v>1648</v>
      </c>
      <c r="BI255" s="2617"/>
      <c r="BJ255" s="2617"/>
      <c r="BK255" s="2617"/>
      <c r="BL255" s="2618"/>
    </row>
    <row r="256" spans="2:71" ht="12.75" hidden="1" customHeight="1" outlineLevel="2">
      <c r="B256" s="143"/>
      <c r="C256" s="144"/>
      <c r="D256" s="1317" t="s">
        <v>409</v>
      </c>
      <c r="E256" s="1656"/>
      <c r="F256" s="1320" t="s">
        <v>452</v>
      </c>
      <c r="G256" s="1320"/>
      <c r="H256" s="2626" t="s">
        <v>2324</v>
      </c>
      <c r="I256" s="2628"/>
      <c r="J256" s="2628"/>
      <c r="K256" s="2628"/>
      <c r="L256" s="2768" t="s">
        <v>444</v>
      </c>
      <c r="M256" s="2768"/>
      <c r="N256" s="2768"/>
      <c r="O256" s="2841"/>
      <c r="P256" s="153" t="s">
        <v>276</v>
      </c>
      <c r="X256" s="1316" t="s">
        <v>316</v>
      </c>
      <c r="Y256" s="2629" t="s">
        <v>316</v>
      </c>
      <c r="Z256" s="2630"/>
      <c r="AA256" s="2626" t="s">
        <v>444</v>
      </c>
      <c r="AB256" s="2628"/>
      <c r="AC256" s="2628"/>
      <c r="AD256" s="2628"/>
      <c r="AE256" s="1334" t="s">
        <v>444</v>
      </c>
      <c r="AF256" s="153" t="s">
        <v>276</v>
      </c>
      <c r="AH256" s="2631" t="s">
        <v>211</v>
      </c>
      <c r="AI256" s="2632"/>
      <c r="AJ256" s="2632"/>
      <c r="AK256" s="2632"/>
      <c r="AL256" s="2632" t="s">
        <v>442</v>
      </c>
      <c r="AM256" s="2632"/>
      <c r="AN256" s="2632"/>
      <c r="AO256" s="2632"/>
      <c r="AP256" s="2632" t="s">
        <v>267</v>
      </c>
      <c r="AQ256" s="2632"/>
      <c r="AR256" s="2632"/>
      <c r="AS256" s="2632"/>
      <c r="AT256" s="2632" t="s">
        <v>443</v>
      </c>
      <c r="AU256" s="2632"/>
      <c r="AV256" s="2632"/>
      <c r="AW256" s="2632"/>
      <c r="AX256" s="2648" t="s">
        <v>327</v>
      </c>
      <c r="AY256" s="2648"/>
      <c r="AZ256" s="2648"/>
      <c r="BA256" s="2648"/>
      <c r="BB256" s="2631" t="s">
        <v>636</v>
      </c>
      <c r="BC256" s="2632"/>
      <c r="BD256" s="2632"/>
      <c r="BE256" s="2650"/>
      <c r="BF256" s="2450"/>
      <c r="BH256" s="2837" t="s">
        <v>1646</v>
      </c>
      <c r="BI256" s="2833" t="s">
        <v>2222</v>
      </c>
      <c r="BJ256" s="2834"/>
      <c r="BK256" s="2834"/>
      <c r="BL256" s="2835"/>
    </row>
    <row r="257" spans="1:64" ht="27" hidden="1" customHeight="1" outlineLevel="2">
      <c r="B257" s="143"/>
      <c r="C257" s="144"/>
      <c r="D257" s="1317" t="s">
        <v>444</v>
      </c>
      <c r="E257" s="1656"/>
      <c r="F257" s="1321" t="s">
        <v>445</v>
      </c>
      <c r="G257" s="1321" t="s">
        <v>415</v>
      </c>
      <c r="H257" s="1322" t="s">
        <v>411</v>
      </c>
      <c r="I257" s="1322" t="s">
        <v>257</v>
      </c>
      <c r="J257" s="1762" t="s">
        <v>5079</v>
      </c>
      <c r="K257" s="1762" t="s">
        <v>422</v>
      </c>
      <c r="L257" s="1318" t="s">
        <v>411</v>
      </c>
      <c r="M257" s="1318" t="s">
        <v>257</v>
      </c>
      <c r="N257" s="2463" t="s">
        <v>5079</v>
      </c>
      <c r="O257" s="1318" t="s">
        <v>422</v>
      </c>
      <c r="P257" s="153" t="s">
        <v>444</v>
      </c>
      <c r="X257" s="1316" t="s">
        <v>1649</v>
      </c>
      <c r="Y257" s="2646" t="s">
        <v>1650</v>
      </c>
      <c r="Z257" s="2647"/>
      <c r="AA257" s="1322" t="s">
        <v>411</v>
      </c>
      <c r="AB257" s="1322" t="s">
        <v>257</v>
      </c>
      <c r="AC257" s="1120" t="s">
        <v>5079</v>
      </c>
      <c r="AD257" s="1322" t="s">
        <v>422</v>
      </c>
      <c r="AE257" s="1334" t="s">
        <v>327</v>
      </c>
      <c r="AF257" s="153" t="s">
        <v>444</v>
      </c>
      <c r="AH257" s="1331" t="s">
        <v>411</v>
      </c>
      <c r="AI257" s="1332" t="s">
        <v>257</v>
      </c>
      <c r="AJ257" s="2464" t="s">
        <v>5079</v>
      </c>
      <c r="AK257" s="1332" t="s">
        <v>422</v>
      </c>
      <c r="AL257" s="1332" t="s">
        <v>411</v>
      </c>
      <c r="AM257" s="2464" t="s">
        <v>257</v>
      </c>
      <c r="AN257" s="2464" t="s">
        <v>5079</v>
      </c>
      <c r="AO257" s="2464" t="s">
        <v>422</v>
      </c>
      <c r="AP257" s="1332" t="s">
        <v>411</v>
      </c>
      <c r="AQ257" s="1332" t="s">
        <v>257</v>
      </c>
      <c r="AR257" s="2464" t="s">
        <v>5079</v>
      </c>
      <c r="AS257" s="2464" t="s">
        <v>422</v>
      </c>
      <c r="AT257" s="1332" t="s">
        <v>411</v>
      </c>
      <c r="AU257" s="1332" t="s">
        <v>257</v>
      </c>
      <c r="AV257" s="2464" t="s">
        <v>5079</v>
      </c>
      <c r="AW257" s="2286" t="s">
        <v>422</v>
      </c>
      <c r="AX257" s="581" t="s">
        <v>411</v>
      </c>
      <c r="AY257" s="581" t="s">
        <v>257</v>
      </c>
      <c r="AZ257" s="2465" t="s">
        <v>5079</v>
      </c>
      <c r="BA257" s="581" t="s">
        <v>422</v>
      </c>
      <c r="BB257" s="2285" t="s">
        <v>411</v>
      </c>
      <c r="BC257" s="2286" t="s">
        <v>257</v>
      </c>
      <c r="BD257" s="2464" t="s">
        <v>5079</v>
      </c>
      <c r="BE257" s="2287" t="s">
        <v>422</v>
      </c>
      <c r="BF257" s="2449"/>
      <c r="BH257" s="2838"/>
      <c r="BI257" s="1325" t="s">
        <v>411</v>
      </c>
      <c r="BJ257" s="1325" t="s">
        <v>257</v>
      </c>
      <c r="BK257" s="2445" t="s">
        <v>5079</v>
      </c>
      <c r="BL257" s="1327" t="s">
        <v>422</v>
      </c>
    </row>
    <row r="258" spans="1:64" ht="12.75" hidden="1" customHeight="1" outlineLevel="2">
      <c r="B258" s="143" t="s">
        <v>4017</v>
      </c>
      <c r="C258" s="144"/>
      <c r="D258" s="212">
        <f>SUM(L258:O258)</f>
        <v>0</v>
      </c>
      <c r="E258" s="212"/>
      <c r="F258" s="409"/>
      <c r="G258" s="117"/>
      <c r="H258" s="335">
        <f>VLOOKUP($B258&amp;"; "&amp;$H$256&amp;", "&amp;H$257,'FE Fret'!$G:$U,9,FALSE)</f>
        <v>0.31</v>
      </c>
      <c r="I258" s="335">
        <f>VLOOKUP($B258&amp;"; "&amp;$H$256&amp;", "&amp;I$257,'FE Fret'!$G:$U,9,FALSE)</f>
        <v>1.59</v>
      </c>
      <c r="J258" s="335">
        <f>IF(ISNA(VLOOKUP($B258&amp;"; "&amp;$H$256&amp;", "&amp;J$257,'FE Fret'!$G:$U,9,FALSE)),0,VLOOKUP($B258&amp;"; "&amp;$H$256&amp;", "&amp;J$257,'FE Fret'!$G:$U,9,FALSE))</f>
        <v>1.57</v>
      </c>
      <c r="K258" s="2446">
        <f>IF(ISNA(VLOOKUP($B258&amp;"; "&amp;$H$256&amp;", "&amp;K$257,'FE Fret'!$G:$U,9,FALSE)),0,VLOOKUP($B258&amp;"; "&amp;$H$256&amp;", "&amp;K$257,'FE Fret'!$G:$U,9,FALSE))</f>
        <v>2.2899999999999999E-3</v>
      </c>
      <c r="L258" s="356">
        <f>G258*H258</f>
        <v>0</v>
      </c>
      <c r="M258" s="356">
        <f>G258*I258</f>
        <v>0</v>
      </c>
      <c r="N258" s="356">
        <f>G258*J258</f>
        <v>0</v>
      </c>
      <c r="O258" s="151">
        <f>G258*K258</f>
        <v>0</v>
      </c>
      <c r="P258" s="1286">
        <f>IF(OR(F258=Utilitaires!$G$572,F258=Utilitaires!$G$577),M258,0)</f>
        <v>0</v>
      </c>
      <c r="X258" s="1092">
        <f>IF(AE258=0,AE258,AE258/D258)</f>
        <v>0</v>
      </c>
      <c r="Y258" s="343"/>
      <c r="Z258" s="820"/>
      <c r="AA258" s="164">
        <f>IF(ISNA(L258*BI258),0,L258*BI258)</f>
        <v>0</v>
      </c>
      <c r="AB258" s="164">
        <f>IF(ISNA(M258*BJ258),0,M258*BJ258)</f>
        <v>0</v>
      </c>
      <c r="AC258" s="164">
        <f>IF(ISNA(N258*BK258),0,N258*BK258)</f>
        <v>0</v>
      </c>
      <c r="AD258" s="164">
        <f>IF(ISNA(O258*BL258),0,O258*BL258)</f>
        <v>0</v>
      </c>
      <c r="AE258" s="151">
        <f>SQRT(SUMSQ(AA258:AD258))</f>
        <v>0</v>
      </c>
      <c r="AF258" s="1286">
        <f>X258*P258</f>
        <v>0</v>
      </c>
      <c r="AH258" s="564">
        <f>$G258*IF(ISNA(VLOOKUP($B258&amp;"; "&amp;$H$256&amp;", "&amp;H$257,'FE Fret'!$G:$U,10,FALSE)),0,VLOOKUP($B258&amp;"; "&amp;$H$256&amp;", "&amp;H$257,'FE Fret'!$G:$U,10,FALSE))</f>
        <v>0</v>
      </c>
      <c r="AI258" s="565">
        <f>$G258*IF(ISNA(VLOOKUP($B258&amp;"; "&amp;$H$256&amp;", "&amp;I$257,'FE Fret'!$G:$U,10,FALSE)),0,VLOOKUP($B258&amp;"; "&amp;$H$256&amp;", "&amp;I$257,'FE Fret'!$G:$U,10,FALSE))</f>
        <v>0</v>
      </c>
      <c r="AJ258" s="565">
        <f>$G258*IF(ISNA(VLOOKUP($B258&amp;"; "&amp;$H$256&amp;", "&amp;J$257,'FE Fret'!$G:$U,10,FALSE)),0,VLOOKUP($B258&amp;"; "&amp;$H$256&amp;", "&amp;J$257,'FE Fret'!$G:$U,10,FALSE))</f>
        <v>0</v>
      </c>
      <c r="AK258" s="565">
        <f>$G258*IF(ISNA((VLOOKUP($B258&amp;"; "&amp;$H$256&amp;", "&amp;K$257,'FE Fret'!$G:$U,11,FALSE)+VLOOKUP($B258&amp;"; "&amp;$H$256&amp;", "&amp;K$257,'FE Fret'!$G:$U,12,FALSE))),0,(VLOOKUP($B258&amp;"; "&amp;$H$256&amp;", "&amp;K$257,'FE Fret'!$G:$U,11,FALSE)+VLOOKUP($B258&amp;"; "&amp;$H$256&amp;", "&amp;K$257,'FE Fret'!$G:$U,12,FALSE)))</f>
        <v>0</v>
      </c>
      <c r="AL258" s="565">
        <f>$G258*IF(ISNA((VLOOKUP($B258&amp;"; "&amp;$H$256&amp;", "&amp;H$257,'FE Fret'!$G:$U,11,FALSE)+VLOOKUP($B258&amp;"; "&amp;$H$256&amp;", "&amp;H$257,'FE Fret'!$G:$U,12,FALSE))),0,(VLOOKUP($B258&amp;"; "&amp;$H$256&amp;", "&amp;H$257,'FE Fret'!$G:$U,11,FALSE)+VLOOKUP($B258&amp;"; "&amp;$H$256&amp;", "&amp;H$257,'FE Fret'!$G:$U,12,FALSE)))</f>
        <v>0</v>
      </c>
      <c r="AM258" s="565">
        <f>$G258*IF(ISNA((VLOOKUP($B258&amp;"; "&amp;$H$256&amp;", "&amp;I$257,'FE Fret'!$G:$U,11,FALSE)+VLOOKUP($B258&amp;"; "&amp;$H$256&amp;", "&amp;I$257,'FE Fret'!$G:$U,12,FALSE))),0,(VLOOKUP($B258&amp;"; "&amp;$H$256&amp;", "&amp;I$257,'FE Fret'!$G:$U,11,FALSE)+VLOOKUP($B258&amp;"; "&amp;$H$256&amp;", "&amp;I$257,'FE Fret'!$G:$U,12,FALSE)))</f>
        <v>0</v>
      </c>
      <c r="AN258" s="565">
        <f>$G258*IF(ISNA((VLOOKUP($B258&amp;"; "&amp;$H$256&amp;", "&amp;J$257,'FE Fret'!$G:$U,11,FALSE)+VLOOKUP($B258&amp;"; "&amp;$H$256&amp;", "&amp;J$257,'FE Fret'!$G:$U,12,FALSE))),0,(VLOOKUP($B258&amp;"; "&amp;$H$256&amp;", "&amp;J$257,'FE Fret'!$G:$U,11,FALSE)+VLOOKUP($B258&amp;"; "&amp;$H$256&amp;", "&amp;J$257,'FE Fret'!$G:$U,12,FALSE)))</f>
        <v>0</v>
      </c>
      <c r="AO258" s="565">
        <f>$G258*IF(ISNA((VLOOKUP($B258&amp;"; "&amp;$H$256&amp;", "&amp;K$257,'FE Fret'!$G:$U,11,FALSE)+VLOOKUP($B258&amp;"; "&amp;$H$256&amp;", "&amp;K$257,'FE Fret'!$G:$U,12,FALSE))),0,(VLOOKUP($B258&amp;"; "&amp;$H$256&amp;", "&amp;K$257,'FE Fret'!$G:$U,11,FALSE)+VLOOKUP($B258&amp;"; "&amp;$H$256&amp;", "&amp;K$257,'FE Fret'!$G:$U,12,FALSE)))</f>
        <v>0</v>
      </c>
      <c r="AP258" s="565">
        <f>$G258*IF(ISNA(VLOOKUP($B258&amp;"; "&amp;$H$256&amp;", "&amp;H$257,'FE Fret'!$G:$U,13,FALSE)),0,VLOOKUP($B258&amp;"; "&amp;$H$256&amp;", "&amp;H$257,'FE Fret'!$G:$U,13,FALSE))</f>
        <v>0</v>
      </c>
      <c r="AQ258" s="565">
        <f>$G258*IF(ISNA(VLOOKUP($B258&amp;"; "&amp;$H$256&amp;", "&amp;I$257,'FE Fret'!$G:$U,13,FALSE)),0,VLOOKUP($B258&amp;"; "&amp;$H$256&amp;", "&amp;I$257,'FE Fret'!$G:$U,13,FALSE))</f>
        <v>0</v>
      </c>
      <c r="AR258" s="565">
        <f>$G258*IF(ISNA(VLOOKUP($B258&amp;"; "&amp;$H$256&amp;", "&amp;J$257,'FE Fret'!$G:$U,13,FALSE)),0,VLOOKUP($B258&amp;"; "&amp;$H$256&amp;", "&amp;J$257,'FE Fret'!$G:$U,13,FALSE))</f>
        <v>0</v>
      </c>
      <c r="AS258" s="565">
        <f>$G258*IF(ISNA(VLOOKUP($B258&amp;"; "&amp;$H$256&amp;", "&amp;K$257,'FE Fret'!$G:$U,13,FALSE)),0,VLOOKUP($B258&amp;"; "&amp;$H$256&amp;", "&amp;K$257,'FE Fret'!$G:$U,13,FALSE))</f>
        <v>0</v>
      </c>
      <c r="AT258" s="565">
        <f>$G258*IF(ISNA(VLOOKUP($B258&amp;"; "&amp;$H$256&amp;", "&amp;H$257,'FE Fret'!$G:$U,14,FALSE)),0,VLOOKUP($B258&amp;"; "&amp;$H$256&amp;", "&amp;H$257,'FE Fret'!$G:$U,14,FALSE))</f>
        <v>0</v>
      </c>
      <c r="AU258" s="565">
        <f>$G258*IF(ISNA(VLOOKUP($B258&amp;"; "&amp;$H$256&amp;", "&amp;I$257,'FE Fret'!$G:$U,14,FALSE)),0,VLOOKUP($B258&amp;"; "&amp;$H$256&amp;", "&amp;I$257,'FE Fret'!$G:$U,14,FALSE))</f>
        <v>0</v>
      </c>
      <c r="AV258" s="565">
        <f>$G258*IF(ISNA(VLOOKUP($B258&amp;"; "&amp;$H$256&amp;", "&amp;J$257,'FE Fret'!$G:$U,14,FALSE)),0,VLOOKUP($B258&amp;"; "&amp;$H$256&amp;", "&amp;J$257,'FE Fret'!$G:$U,14,FALSE))</f>
        <v>0</v>
      </c>
      <c r="AW258" s="565">
        <f>$G258*IF(ISNA(VLOOKUP($B258&amp;"; "&amp;$H$256&amp;", "&amp;K$257,'FE Fret'!$G:$U,14,FALSE)),0,VLOOKUP($B258&amp;"; "&amp;$H$256&amp;", "&amp;K$257,'FE Fret'!$G:$U,14,FALSE))</f>
        <v>0</v>
      </c>
      <c r="AX258" s="566">
        <f>L258</f>
        <v>0</v>
      </c>
      <c r="AY258" s="566">
        <f>M258</f>
        <v>0</v>
      </c>
      <c r="AZ258" s="566">
        <f>N258</f>
        <v>0</v>
      </c>
      <c r="BA258" s="566">
        <f>O258</f>
        <v>0</v>
      </c>
      <c r="BB258" s="564">
        <f>$G258*IF(ISNA(VLOOKUP($B258&amp;"; "&amp;$H$256&amp;", "&amp;H$257,'FE Fret'!$G:$U,15,FALSE)),0,VLOOKUP($B258&amp;"; "&amp;$H$256&amp;", "&amp;H$257,'FE Fret'!$G:$U,15,FALSE))</f>
        <v>0</v>
      </c>
      <c r="BC258" s="565">
        <f>$G258*IF(ISNA(VLOOKUP($B258&amp;"; "&amp;$H$256&amp;", "&amp;I$257,'FE Fret'!$G:$U,15,FALSE)),0,VLOOKUP($B258&amp;"; "&amp;$H$256&amp;", "&amp;I$257,'FE Fret'!$G:$U,15,FALSE))</f>
        <v>0</v>
      </c>
      <c r="BD258" s="565">
        <f>$G258*IF(ISNA(VLOOKUP($B258&amp;"; "&amp;$H$256&amp;", "&amp;J$257,'FE Fret'!$G:$U,15,FALSE)),0,VLOOKUP($B258&amp;"; "&amp;$H$256&amp;", "&amp;J$257,'FE Fret'!$G:$U,15,FALSE))</f>
        <v>0</v>
      </c>
      <c r="BE258" s="568">
        <f>$G258*IF(ISNA(VLOOKUP($B258&amp;"; "&amp;$H$256&amp;", "&amp;K$257,'FE Fret'!$G:$U,15,FALSE)),0,VLOOKUP($B258&amp;"; "&amp;$H$256&amp;", "&amp;K$257,'FE Fret'!$G:$U,15,FALSE))</f>
        <v>0</v>
      </c>
      <c r="BF258" s="2292"/>
      <c r="BH258" s="1065">
        <f>IF($Y258&lt;&gt;"votre valeur :",IF(ISNA(VLOOKUP($Y258,Utilitaires!$N$566:$O$571,2,FALSE)),,VLOOKUP($Y258,Utilitaires!$N$566:$O$571,2,FALSE)),$Z258)</f>
        <v>0</v>
      </c>
      <c r="BI258" s="1124">
        <f>IF(ISNA(SQRT(SUMSQ(VLOOKUP($B258&amp;"; "&amp;$H$256&amp;", "&amp;H$257,'FE Fret'!$G:$U,7,FALSE),$BH258))),0,SQRT(SUMSQ(VLOOKUP($B258&amp;"; "&amp;$H$256&amp;", "&amp;H$257,'FE Fret'!$G:$U,7,FALSE),$BH258)))</f>
        <v>0.7</v>
      </c>
      <c r="BJ258" s="1124">
        <f>IF(ISNA(SQRT(SUMSQ(VLOOKUP($B258&amp;"; "&amp;$H$256&amp;", "&amp;I$257,'FE Fret'!$G:$U,7,FALSE),$BH258))),0,SQRT(SUMSQ(VLOOKUP($B258&amp;"; "&amp;$H$256&amp;", "&amp;I$257,'FE Fret'!$G:$U,7,FALSE),$BH258)))</f>
        <v>0.7</v>
      </c>
      <c r="BK258" s="2442">
        <f>IF(ISNA(SQRT(SUMSQ(VLOOKUP($B258&amp;"; "&amp;$H$256&amp;", "&amp;J$257,'FE Fret'!$G:$U,7,FALSE),$BH258))),0,SQRT(SUMSQ(VLOOKUP($B258&amp;"; "&amp;$H$256&amp;", "&amp;J$257,'FE Fret'!$G:$U,7,FALSE),$BH258)))</f>
        <v>0.7</v>
      </c>
      <c r="BL258" s="1130">
        <f>IF(ISNA(SQRT(SUMSQ(VLOOKUP($B258&amp;"; "&amp;$H$256&amp;", "&amp;K$257,'FE Fret'!$G:$U,7,FALSE),$BH258))),0,SQRT(SUMSQ(VLOOKUP($B258&amp;"; "&amp;$H$256&amp;", "&amp;K$257,'FE Fret'!$G:$U,7,FALSE),$BH258)))</f>
        <v>0.7</v>
      </c>
    </row>
    <row r="259" spans="1:64" ht="12.75" hidden="1" customHeight="1" outlineLevel="2">
      <c r="B259" s="143" t="s">
        <v>4802</v>
      </c>
      <c r="C259" s="144"/>
      <c r="D259" s="212">
        <f>SUM(L259:O259)</f>
        <v>0</v>
      </c>
      <c r="E259" s="212"/>
      <c r="F259" s="346"/>
      <c r="G259" s="120"/>
      <c r="H259" s="335">
        <f>VLOOKUP($B259&amp;"; "&amp;$H$256&amp;", "&amp;H$257,'FE Fret'!$G:$U,9,FALSE)</f>
        <v>0.17499999999999999</v>
      </c>
      <c r="I259" s="335">
        <f>VLOOKUP($B259&amp;"; "&amp;$H$256&amp;", "&amp;I$257,'FE Fret'!$G:$U,9,FALSE)</f>
        <v>0.84099999999999997</v>
      </c>
      <c r="J259" s="335">
        <f>IF(ISNA(VLOOKUP($B259&amp;"; "&amp;$H$256&amp;", "&amp;J$257,'FE Fret'!$G:$U,9,FALSE)),0,VLOOKUP($B259&amp;"; "&amp;$H$256&amp;", "&amp;J$257,'FE Fret'!$G:$U,9,FALSE))</f>
        <v>0</v>
      </c>
      <c r="K259" s="2446">
        <f>IF(ISNA(VLOOKUP($B259&amp;"; "&amp;$H$256&amp;", "&amp;K$257,'FE Fret'!$G:$U,9,FALSE)),0,VLOOKUP($B259&amp;"; "&amp;$H$256&amp;", "&amp;K$257,'FE Fret'!$G:$U,9,FALSE))</f>
        <v>3.6600000000000001E-3</v>
      </c>
      <c r="L259" s="356">
        <f t="shared" ref="L259:L260" si="83">G259*H259</f>
        <v>0</v>
      </c>
      <c r="M259" s="356">
        <f t="shared" ref="M259:M260" si="84">G259*I259</f>
        <v>0</v>
      </c>
      <c r="N259" s="356">
        <f t="shared" ref="N259:N260" si="85">G259*J259</f>
        <v>0</v>
      </c>
      <c r="O259" s="151">
        <f t="shared" ref="O259:O260" si="86">G259*K259</f>
        <v>0</v>
      </c>
      <c r="P259" s="1286">
        <f>IF(OR(F259=Utilitaires!$G$572,F259=Utilitaires!$G$577),M259,0)</f>
        <v>0</v>
      </c>
      <c r="X259" s="1092">
        <f>IF(AE259=0,AE259,AE259/D259)</f>
        <v>0</v>
      </c>
      <c r="Y259" s="343"/>
      <c r="Z259" s="820"/>
      <c r="AA259" s="164">
        <f t="shared" ref="AA259:AA260" si="87">IF(ISNA(L259*BI259),0,L259*BI259)</f>
        <v>0</v>
      </c>
      <c r="AB259" s="164">
        <f t="shared" ref="AB259:AB260" si="88">IF(ISNA(M259*BJ259),0,M259*BJ259)</f>
        <v>0</v>
      </c>
      <c r="AC259" s="164">
        <f t="shared" ref="AC259:AC260" si="89">IF(ISNA(N259*BK259),0,N259*BK259)</f>
        <v>0</v>
      </c>
      <c r="AD259" s="164">
        <f t="shared" ref="AD259:AD260" si="90">IF(ISNA(O259*BL259),0,O259*BL259)</f>
        <v>0</v>
      </c>
      <c r="AE259" s="151">
        <f>SQRT(SUMSQ(AA259:AD259))</f>
        <v>0</v>
      </c>
      <c r="AF259" s="1286">
        <f>X259*P259</f>
        <v>0</v>
      </c>
      <c r="AH259" s="564">
        <f>$G259*IF(ISNA(VLOOKUP($B259&amp;"; "&amp;$H$256&amp;", "&amp;H$257,'FE Fret'!$G:$U,10,FALSE)),0,VLOOKUP($B259&amp;"; "&amp;$H$256&amp;", "&amp;H$257,'FE Fret'!$G:$U,10,FALSE))</f>
        <v>0</v>
      </c>
      <c r="AI259" s="565">
        <f>$G259*IF(ISNA(VLOOKUP($B259&amp;"; "&amp;$H$256&amp;", "&amp;I$257,'FE Fret'!$G:$U,10,FALSE)),0,VLOOKUP($B259&amp;"; "&amp;$H$256&amp;", "&amp;I$257,'FE Fret'!$G:$U,10,FALSE))</f>
        <v>0</v>
      </c>
      <c r="AJ259" s="565">
        <f>$G259*IF(ISNA(VLOOKUP($B259&amp;"; "&amp;$H$256&amp;", "&amp;J$257,'FE Fret'!$G:$U,10,FALSE)),0,VLOOKUP($B259&amp;"; "&amp;$H$256&amp;", "&amp;J$257,'FE Fret'!$G:$U,10,FALSE))</f>
        <v>0</v>
      </c>
      <c r="AK259" s="565">
        <f>$G259*IF(ISNA((VLOOKUP($B259&amp;"; "&amp;$H$256&amp;", "&amp;K$257,'FE Fret'!$G:$U,11,FALSE)+VLOOKUP($B259&amp;"; "&amp;$H$256&amp;", "&amp;K$257,'FE Fret'!$G:$U,12,FALSE))),0,(VLOOKUP($B259&amp;"; "&amp;$H$256&amp;", "&amp;K$257,'FE Fret'!$G:$U,11,FALSE)+VLOOKUP($B259&amp;"; "&amp;$H$256&amp;", "&amp;K$257,'FE Fret'!$G:$U,12,FALSE)))</f>
        <v>0</v>
      </c>
      <c r="AL259" s="565">
        <f>$G259*IF(ISNA((VLOOKUP($B259&amp;"; "&amp;$H$256&amp;", "&amp;H$257,'FE Fret'!$G:$U,11,FALSE)+VLOOKUP($B259&amp;"; "&amp;$H$256&amp;", "&amp;H$257,'FE Fret'!$G:$U,12,FALSE))),0,(VLOOKUP($B259&amp;"; "&amp;$H$256&amp;", "&amp;H$257,'FE Fret'!$G:$U,11,FALSE)+VLOOKUP($B259&amp;"; "&amp;$H$256&amp;", "&amp;H$257,'FE Fret'!$G:$U,12,FALSE)))</f>
        <v>0</v>
      </c>
      <c r="AM259" s="565">
        <f>$G259*IF(ISNA((VLOOKUP($B259&amp;"; "&amp;$H$256&amp;", "&amp;I$257,'FE Fret'!$G:$U,11,FALSE)+VLOOKUP($B259&amp;"; "&amp;$H$256&amp;", "&amp;I$257,'FE Fret'!$G:$U,12,FALSE))),0,(VLOOKUP($B259&amp;"; "&amp;$H$256&amp;", "&amp;I$257,'FE Fret'!$G:$U,11,FALSE)+VLOOKUP($B259&amp;"; "&amp;$H$256&amp;", "&amp;I$257,'FE Fret'!$G:$U,12,FALSE)))</f>
        <v>0</v>
      </c>
      <c r="AN259" s="565">
        <f>$G259*IF(ISNA((VLOOKUP($B259&amp;"; "&amp;$H$256&amp;", "&amp;J$257,'FE Fret'!$G:$U,11,FALSE)+VLOOKUP($B259&amp;"; "&amp;$H$256&amp;", "&amp;J$257,'FE Fret'!$G:$U,12,FALSE))),0,(VLOOKUP($B259&amp;"; "&amp;$H$256&amp;", "&amp;J$257,'FE Fret'!$G:$U,11,FALSE)+VLOOKUP($B259&amp;"; "&amp;$H$256&amp;", "&amp;J$257,'FE Fret'!$G:$U,12,FALSE)))</f>
        <v>0</v>
      </c>
      <c r="AO259" s="565">
        <f>$G259*IF(ISNA((VLOOKUP($B259&amp;"; "&amp;$H$256&amp;", "&amp;K$257,'FE Fret'!$G:$U,11,FALSE)+VLOOKUP($B259&amp;"; "&amp;$H$256&amp;", "&amp;K$257,'FE Fret'!$G:$U,12,FALSE))),0,(VLOOKUP($B259&amp;"; "&amp;$H$256&amp;", "&amp;K$257,'FE Fret'!$G:$U,11,FALSE)+VLOOKUP($B259&amp;"; "&amp;$H$256&amp;", "&amp;K$257,'FE Fret'!$G:$U,12,FALSE)))</f>
        <v>0</v>
      </c>
      <c r="AP259" s="565">
        <f>$G259*IF(ISNA(VLOOKUP($B259&amp;"; "&amp;$H$256&amp;", "&amp;H$257,'FE Fret'!$G:$U,13,FALSE)),0,VLOOKUP($B259&amp;"; "&amp;$H$256&amp;", "&amp;H$257,'FE Fret'!$G:$U,13,FALSE))</f>
        <v>0</v>
      </c>
      <c r="AQ259" s="565">
        <f>$G259*IF(ISNA(VLOOKUP($B259&amp;"; "&amp;$H$256&amp;", "&amp;I$257,'FE Fret'!$G:$U,13,FALSE)),0,VLOOKUP($B259&amp;"; "&amp;$H$256&amp;", "&amp;I$257,'FE Fret'!$G:$U,13,FALSE))</f>
        <v>0</v>
      </c>
      <c r="AR259" s="565">
        <f>$G259*IF(ISNA(VLOOKUP($B259&amp;"; "&amp;$H$256&amp;", "&amp;J$257,'FE Fret'!$G:$U,13,FALSE)),0,VLOOKUP($B259&amp;"; "&amp;$H$256&amp;", "&amp;J$257,'FE Fret'!$G:$U,13,FALSE))</f>
        <v>0</v>
      </c>
      <c r="AS259" s="565">
        <f>$G259*IF(ISNA(VLOOKUP($B259&amp;"; "&amp;$H$256&amp;", "&amp;K$257,'FE Fret'!$G:$U,13,FALSE)),0,VLOOKUP($B259&amp;"; "&amp;$H$256&amp;", "&amp;K$257,'FE Fret'!$G:$U,13,FALSE))</f>
        <v>0</v>
      </c>
      <c r="AT259" s="565">
        <f>$G259*IF(ISNA(VLOOKUP($B259&amp;"; "&amp;$H$256&amp;", "&amp;H$257,'FE Fret'!$G:$U,14,FALSE)),0,VLOOKUP($B259&amp;"; "&amp;$H$256&amp;", "&amp;H$257,'FE Fret'!$G:$U,14,FALSE))</f>
        <v>0</v>
      </c>
      <c r="AU259" s="565">
        <f>$G259*IF(ISNA(VLOOKUP($B259&amp;"; "&amp;$H$256&amp;", "&amp;I$257,'FE Fret'!$G:$U,14,FALSE)),0,VLOOKUP($B259&amp;"; "&amp;$H$256&amp;", "&amp;I$257,'FE Fret'!$G:$U,14,FALSE))</f>
        <v>0</v>
      </c>
      <c r="AV259" s="565">
        <f>$G259*IF(ISNA(VLOOKUP($B259&amp;"; "&amp;$H$256&amp;", "&amp;J$257,'FE Fret'!$G:$U,14,FALSE)),0,VLOOKUP($B259&amp;"; "&amp;$H$256&amp;", "&amp;J$257,'FE Fret'!$G:$U,14,FALSE))</f>
        <v>0</v>
      </c>
      <c r="AW259" s="565">
        <f>$G259*IF(ISNA(VLOOKUP($B259&amp;"; "&amp;$H$256&amp;", "&amp;K$257,'FE Fret'!$G:$U,14,FALSE)),0,VLOOKUP($B259&amp;"; "&amp;$H$256&amp;", "&amp;K$257,'FE Fret'!$G:$U,14,FALSE))</f>
        <v>0</v>
      </c>
      <c r="AX259" s="566">
        <f t="shared" ref="AX259:AX260" si="91">L259</f>
        <v>0</v>
      </c>
      <c r="AY259" s="566">
        <f t="shared" ref="AY259:AY260" si="92">M259</f>
        <v>0</v>
      </c>
      <c r="AZ259" s="566">
        <f t="shared" ref="AZ259:AZ260" si="93">N259</f>
        <v>0</v>
      </c>
      <c r="BA259" s="566">
        <f t="shared" ref="BA259:BA260" si="94">O259</f>
        <v>0</v>
      </c>
      <c r="BB259" s="564">
        <f>$G259*IF(ISNA(VLOOKUP($B259&amp;"; "&amp;$H$256&amp;", "&amp;H$257,'FE Fret'!$G:$U,15,FALSE)),0,VLOOKUP($B259&amp;"; "&amp;$H$256&amp;", "&amp;H$257,'FE Fret'!$G:$U,15,FALSE))</f>
        <v>0</v>
      </c>
      <c r="BC259" s="565">
        <f>$G259*IF(ISNA(VLOOKUP($B259&amp;"; "&amp;$H$256&amp;", "&amp;I$257,'FE Fret'!$G:$U,15,FALSE)),0,VLOOKUP($B259&amp;"; "&amp;$H$256&amp;", "&amp;I$257,'FE Fret'!$G:$U,15,FALSE))</f>
        <v>0</v>
      </c>
      <c r="BD259" s="565">
        <f>$G259*IF(ISNA(VLOOKUP($B259&amp;"; "&amp;$H$256&amp;", "&amp;J$257,'FE Fret'!$G:$U,15,FALSE)),0,VLOOKUP($B259&amp;"; "&amp;$H$256&amp;", "&amp;J$257,'FE Fret'!$G:$U,15,FALSE))</f>
        <v>0</v>
      </c>
      <c r="BE259" s="568">
        <f>$G259*IF(ISNA(VLOOKUP($B259&amp;"; "&amp;$H$256&amp;", "&amp;K$257,'FE Fret'!$G:$U,15,FALSE)),0,VLOOKUP($B259&amp;"; "&amp;$H$256&amp;", "&amp;K$257,'FE Fret'!$G:$U,15,FALSE))</f>
        <v>0</v>
      </c>
      <c r="BF259" s="2292"/>
      <c r="BH259" s="1065">
        <f>IF($Y259&lt;&gt;"votre valeur :",IF(ISNA(VLOOKUP($Y259,Utilitaires!$N$566:$O$571,2,FALSE)),,VLOOKUP($Y259,Utilitaires!$N$566:$O$571,2,FALSE)),$Z259)</f>
        <v>0</v>
      </c>
      <c r="BI259" s="2442">
        <f>IF(ISNA(SQRT(SUMSQ(VLOOKUP($B259&amp;"; "&amp;$H$256&amp;", "&amp;H$257,'FE Fret'!$G:$U,7,FALSE),$BH259))),0,SQRT(SUMSQ(VLOOKUP($B259&amp;"; "&amp;$H$256&amp;", "&amp;H$257,'FE Fret'!$G:$U,7,FALSE),$BH259)))</f>
        <v>0.1</v>
      </c>
      <c r="BJ259" s="2442">
        <f>IF(ISNA(SQRT(SUMSQ(VLOOKUP($B259&amp;"; "&amp;$H$256&amp;", "&amp;I$257,'FE Fret'!$G:$U,7,FALSE),$BH259))),0,SQRT(SUMSQ(VLOOKUP($B259&amp;"; "&amp;$H$256&amp;", "&amp;I$257,'FE Fret'!$G:$U,7,FALSE),$BH259)))</f>
        <v>0.1</v>
      </c>
      <c r="BK259" s="2442">
        <f>IF(ISNA(SQRT(SUMSQ(VLOOKUP($B259&amp;"; "&amp;$H$256&amp;", "&amp;J$257,'FE Fret'!$G:$U,7,FALSE),$BH259))),0,SQRT(SUMSQ(VLOOKUP($B259&amp;"; "&amp;$H$256&amp;", "&amp;J$257,'FE Fret'!$G:$U,7,FALSE),$BH259)))</f>
        <v>0</v>
      </c>
      <c r="BL259" s="1130">
        <f>IF(ISNA(SQRT(SUMSQ(VLOOKUP($B259&amp;"; "&amp;$H$256&amp;", "&amp;K$257,'FE Fret'!$G:$U,7,FALSE),$BH259))),0,SQRT(SUMSQ(VLOOKUP($B259&amp;"; "&amp;$H$256&amp;", "&amp;K$257,'FE Fret'!$G:$U,7,FALSE),$BH259)))</f>
        <v>0.1</v>
      </c>
    </row>
    <row r="260" spans="1:64" s="130" customFormat="1" ht="15" hidden="1" customHeight="1" outlineLevel="2">
      <c r="A260" s="114"/>
      <c r="B260" s="143" t="s">
        <v>5078</v>
      </c>
      <c r="C260" s="144"/>
      <c r="D260" s="212">
        <f>SUM(L260:O260)</f>
        <v>0</v>
      </c>
      <c r="E260" s="212"/>
      <c r="F260" s="347"/>
      <c r="G260" s="123"/>
      <c r="H260" s="335">
        <f>VLOOKUP($B260&amp;"; "&amp;$H$256&amp;", "&amp;H$257,'FE Fret'!$G:$U,9,FALSE)</f>
        <v>0.14299999999999999</v>
      </c>
      <c r="I260" s="335">
        <f>VLOOKUP($B260&amp;"; "&amp;$H$256&amp;", "&amp;I$257,'FE Fret'!$G:$U,9,FALSE)</f>
        <v>0.68700000000000006</v>
      </c>
      <c r="J260" s="335">
        <f>IF(ISNA(VLOOKUP($B260&amp;"; "&amp;$H$256&amp;", "&amp;J$257,'FE Fret'!$G:$U,9,FALSE)),0,VLOOKUP($B260&amp;"; "&amp;$H$256&amp;", "&amp;J$257,'FE Fret'!$G:$U,9,FALSE))</f>
        <v>0</v>
      </c>
      <c r="K260" s="2446">
        <f>IF(ISNA(VLOOKUP($B260&amp;"; "&amp;$H$256&amp;", "&amp;K$257,'FE Fret'!$G:$U,9,FALSE)),0,VLOOKUP($B260&amp;"; "&amp;$H$256&amp;", "&amp;K$257,'FE Fret'!$G:$U,9,FALSE))</f>
        <v>2.3900000000000002E-3</v>
      </c>
      <c r="L260" s="356">
        <f t="shared" si="83"/>
        <v>0</v>
      </c>
      <c r="M260" s="356">
        <f t="shared" si="84"/>
        <v>0</v>
      </c>
      <c r="N260" s="356">
        <f t="shared" si="85"/>
        <v>0</v>
      </c>
      <c r="O260" s="151">
        <f t="shared" si="86"/>
        <v>0</v>
      </c>
      <c r="P260" s="1286">
        <f>IF(OR(F260=Utilitaires!$G$572,F260=Utilitaires!$G$577),M260,0)</f>
        <v>0</v>
      </c>
      <c r="W260" s="114"/>
      <c r="X260" s="1092">
        <f>IF(AE260=0,AE260,AE260/D260)</f>
        <v>0</v>
      </c>
      <c r="Y260" s="1094"/>
      <c r="Z260" s="820"/>
      <c r="AA260" s="164">
        <f t="shared" si="87"/>
        <v>0</v>
      </c>
      <c r="AB260" s="164">
        <f t="shared" si="88"/>
        <v>0</v>
      </c>
      <c r="AC260" s="164">
        <f t="shared" si="89"/>
        <v>0</v>
      </c>
      <c r="AD260" s="164">
        <f t="shared" si="90"/>
        <v>0</v>
      </c>
      <c r="AE260" s="151">
        <f>SQRT(SUMSQ(AA260:AD260))</f>
        <v>0</v>
      </c>
      <c r="AF260" s="1286">
        <f>X260*P260</f>
        <v>0</v>
      </c>
      <c r="AG260" s="114"/>
      <c r="AH260" s="564">
        <f>$G260*IF(ISNA(VLOOKUP($B260&amp;"; "&amp;$H$256&amp;", "&amp;H$257,'FE Fret'!$G:$U,10,FALSE)),0,VLOOKUP($B260&amp;"; "&amp;$H$256&amp;", "&amp;H$257,'FE Fret'!$G:$U,10,FALSE))</f>
        <v>0</v>
      </c>
      <c r="AI260" s="565">
        <f>$G260*IF(ISNA(VLOOKUP($B260&amp;"; "&amp;$H$256&amp;", "&amp;I$257,'FE Fret'!$G:$U,10,FALSE)),0,VLOOKUP($B260&amp;"; "&amp;$H$256&amp;", "&amp;I$257,'FE Fret'!$G:$U,10,FALSE))</f>
        <v>0</v>
      </c>
      <c r="AJ260" s="565">
        <f>$G260*IF(ISNA(VLOOKUP($B260&amp;"; "&amp;$H$256&amp;", "&amp;J$257,'FE Fret'!$G:$U,10,FALSE)),0,VLOOKUP($B260&amp;"; "&amp;$H$256&amp;", "&amp;J$257,'FE Fret'!$G:$U,10,FALSE))</f>
        <v>0</v>
      </c>
      <c r="AK260" s="565">
        <f>$G260*IF(ISNA((VLOOKUP($B260&amp;"; "&amp;$H$256&amp;", "&amp;K$257,'FE Fret'!$G:$U,11,FALSE)+VLOOKUP($B260&amp;"; "&amp;$H$256&amp;", "&amp;K$257,'FE Fret'!$G:$U,12,FALSE))),0,(VLOOKUP($B260&amp;"; "&amp;$H$256&amp;", "&amp;K$257,'FE Fret'!$G:$U,11,FALSE)+VLOOKUP($B260&amp;"; "&amp;$H$256&amp;", "&amp;K$257,'FE Fret'!$G:$U,12,FALSE)))</f>
        <v>0</v>
      </c>
      <c r="AL260" s="565">
        <f>$G260*IF(ISNA((VLOOKUP($B260&amp;"; "&amp;$H$256&amp;", "&amp;H$257,'FE Fret'!$G:$U,11,FALSE)+VLOOKUP($B260&amp;"; "&amp;$H$256&amp;", "&amp;H$257,'FE Fret'!$G:$U,12,FALSE))),0,(VLOOKUP($B260&amp;"; "&amp;$H$256&amp;", "&amp;H$257,'FE Fret'!$G:$U,11,FALSE)+VLOOKUP($B260&amp;"; "&amp;$H$256&amp;", "&amp;H$257,'FE Fret'!$G:$U,12,FALSE)))</f>
        <v>0</v>
      </c>
      <c r="AM260" s="565">
        <f>$G260*IF(ISNA((VLOOKUP($B260&amp;"; "&amp;$H$256&amp;", "&amp;I$257,'FE Fret'!$G:$U,11,FALSE)+VLOOKUP($B260&amp;"; "&amp;$H$256&amp;", "&amp;I$257,'FE Fret'!$G:$U,12,FALSE))),0,(VLOOKUP($B260&amp;"; "&amp;$H$256&amp;", "&amp;I$257,'FE Fret'!$G:$U,11,FALSE)+VLOOKUP($B260&amp;"; "&amp;$H$256&amp;", "&amp;I$257,'FE Fret'!$G:$U,12,FALSE)))</f>
        <v>0</v>
      </c>
      <c r="AN260" s="565">
        <f>$G260*IF(ISNA((VLOOKUP($B260&amp;"; "&amp;$H$256&amp;", "&amp;J$257,'FE Fret'!$G:$U,11,FALSE)+VLOOKUP($B260&amp;"; "&amp;$H$256&amp;", "&amp;J$257,'FE Fret'!$G:$U,12,FALSE))),0,(VLOOKUP($B260&amp;"; "&amp;$H$256&amp;", "&amp;J$257,'FE Fret'!$G:$U,11,FALSE)+VLOOKUP($B260&amp;"; "&amp;$H$256&amp;", "&amp;J$257,'FE Fret'!$G:$U,12,FALSE)))</f>
        <v>0</v>
      </c>
      <c r="AO260" s="565">
        <f>$G260*IF(ISNA((VLOOKUP($B260&amp;"; "&amp;$H$256&amp;", "&amp;K$257,'FE Fret'!$G:$U,11,FALSE)+VLOOKUP($B260&amp;"; "&amp;$H$256&amp;", "&amp;K$257,'FE Fret'!$G:$U,12,FALSE))),0,(VLOOKUP($B260&amp;"; "&amp;$H$256&amp;", "&amp;K$257,'FE Fret'!$G:$U,11,FALSE)+VLOOKUP($B260&amp;"; "&amp;$H$256&amp;", "&amp;K$257,'FE Fret'!$G:$U,12,FALSE)))</f>
        <v>0</v>
      </c>
      <c r="AP260" s="565">
        <f>$G260*IF(ISNA(VLOOKUP($B260&amp;"; "&amp;$H$256&amp;", "&amp;H$257,'FE Fret'!$G:$U,13,FALSE)),0,VLOOKUP($B260&amp;"; "&amp;$H$256&amp;", "&amp;H$257,'FE Fret'!$G:$U,13,FALSE))</f>
        <v>0</v>
      </c>
      <c r="AQ260" s="565">
        <f>$G260*IF(ISNA(VLOOKUP($B260&amp;"; "&amp;$H$256&amp;", "&amp;I$257,'FE Fret'!$G:$U,13,FALSE)),0,VLOOKUP($B260&amp;"; "&amp;$H$256&amp;", "&amp;I$257,'FE Fret'!$G:$U,13,FALSE))</f>
        <v>0</v>
      </c>
      <c r="AR260" s="565">
        <f>$G260*IF(ISNA(VLOOKUP($B260&amp;"; "&amp;$H$256&amp;", "&amp;J$257,'FE Fret'!$G:$U,13,FALSE)),0,VLOOKUP($B260&amp;"; "&amp;$H$256&amp;", "&amp;J$257,'FE Fret'!$G:$U,13,FALSE))</f>
        <v>0</v>
      </c>
      <c r="AS260" s="565">
        <f>$G260*IF(ISNA(VLOOKUP($B260&amp;"; "&amp;$H$256&amp;", "&amp;K$257,'FE Fret'!$G:$U,13,FALSE)),0,VLOOKUP($B260&amp;"; "&amp;$H$256&amp;", "&amp;K$257,'FE Fret'!$G:$U,13,FALSE))</f>
        <v>0</v>
      </c>
      <c r="AT260" s="565">
        <f>$G260*IF(ISNA(VLOOKUP($B260&amp;"; "&amp;$H$256&amp;", "&amp;H$257,'FE Fret'!$G:$U,14,FALSE)),0,VLOOKUP($B260&amp;"; "&amp;$H$256&amp;", "&amp;H$257,'FE Fret'!$G:$U,14,FALSE))</f>
        <v>0</v>
      </c>
      <c r="AU260" s="565">
        <f>$G260*IF(ISNA(VLOOKUP($B260&amp;"; "&amp;$H$256&amp;", "&amp;I$257,'FE Fret'!$G:$U,14,FALSE)),0,VLOOKUP($B260&amp;"; "&amp;$H$256&amp;", "&amp;I$257,'FE Fret'!$G:$U,14,FALSE))</f>
        <v>0</v>
      </c>
      <c r="AV260" s="565">
        <f>$G260*IF(ISNA(VLOOKUP($B260&amp;"; "&amp;$H$256&amp;", "&amp;J$257,'FE Fret'!$G:$U,14,FALSE)),0,VLOOKUP($B260&amp;"; "&amp;$H$256&amp;", "&amp;J$257,'FE Fret'!$G:$U,14,FALSE))</f>
        <v>0</v>
      </c>
      <c r="AW260" s="565">
        <f>$G260*IF(ISNA(VLOOKUP($B260&amp;"; "&amp;$H$256&amp;", "&amp;K$257,'FE Fret'!$G:$U,14,FALSE)),0,VLOOKUP($B260&amp;"; "&amp;$H$256&amp;", "&amp;K$257,'FE Fret'!$G:$U,14,FALSE))</f>
        <v>0</v>
      </c>
      <c r="AX260" s="566">
        <f t="shared" si="91"/>
        <v>0</v>
      </c>
      <c r="AY260" s="566">
        <f t="shared" si="92"/>
        <v>0</v>
      </c>
      <c r="AZ260" s="566">
        <f t="shared" si="93"/>
        <v>0</v>
      </c>
      <c r="BA260" s="566">
        <f t="shared" si="94"/>
        <v>0</v>
      </c>
      <c r="BB260" s="564">
        <f>$G260*IF(ISNA(VLOOKUP($B260&amp;"; "&amp;$H$256&amp;", "&amp;H$257,'FE Fret'!$G:$U,15,FALSE)),0,VLOOKUP($B260&amp;"; "&amp;$H$256&amp;", "&amp;H$257,'FE Fret'!$G:$U,15,FALSE))</f>
        <v>0</v>
      </c>
      <c r="BC260" s="565">
        <f>$G260*IF(ISNA(VLOOKUP($B260&amp;"; "&amp;$H$256&amp;", "&amp;I$257,'FE Fret'!$G:$U,15,FALSE)),0,VLOOKUP($B260&amp;"; "&amp;$H$256&amp;", "&amp;I$257,'FE Fret'!$G:$U,15,FALSE))</f>
        <v>0</v>
      </c>
      <c r="BD260" s="565">
        <f>$G260*IF(ISNA(VLOOKUP($B260&amp;"; "&amp;$H$256&amp;", "&amp;J$257,'FE Fret'!$G:$U,15,FALSE)),0,VLOOKUP($B260&amp;"; "&amp;$H$256&amp;", "&amp;J$257,'FE Fret'!$G:$U,15,FALSE))</f>
        <v>0</v>
      </c>
      <c r="BE260" s="568">
        <f>$G260*IF(ISNA(VLOOKUP($B260&amp;"; "&amp;$H$256&amp;", "&amp;K$257,'FE Fret'!$G:$U,15,FALSE)),0,VLOOKUP($B260&amp;"; "&amp;$H$256&amp;", "&amp;K$257,'FE Fret'!$G:$U,15,FALSE))</f>
        <v>0</v>
      </c>
      <c r="BF260" s="2292"/>
      <c r="BH260" s="1065">
        <f>IF($Y260&lt;&gt;"votre valeur :",IF(ISNA(VLOOKUP($Y260,Utilitaires!$N$566:$O$571,2,FALSE)),,VLOOKUP($Y260,Utilitaires!$N$566:$O$571,2,FALSE)),$Z260)</f>
        <v>0</v>
      </c>
      <c r="BI260" s="2442">
        <f>IF(ISNA(SQRT(SUMSQ(VLOOKUP($B260&amp;"; "&amp;$H$256&amp;", "&amp;H$257,'FE Fret'!$G:$U,7,FALSE),$BH260))),0,SQRT(SUMSQ(VLOOKUP($B260&amp;"; "&amp;$H$256&amp;", "&amp;H$257,'FE Fret'!$G:$U,7,FALSE),$BH260)))</f>
        <v>0.1</v>
      </c>
      <c r="BJ260" s="2442">
        <f>IF(ISNA(SQRT(SUMSQ(VLOOKUP($B260&amp;"; "&amp;$H$256&amp;", "&amp;I$257,'FE Fret'!$G:$U,7,FALSE),$BH260))),0,SQRT(SUMSQ(VLOOKUP($B260&amp;"; "&amp;$H$256&amp;", "&amp;I$257,'FE Fret'!$G:$U,7,FALSE),$BH260)))</f>
        <v>0.1</v>
      </c>
      <c r="BK260" s="2442">
        <f>IF(ISNA(SQRT(SUMSQ(VLOOKUP($B260&amp;"; "&amp;$H$256&amp;", "&amp;J$257,'FE Fret'!$G:$U,7,FALSE),$BH260))),0,SQRT(SUMSQ(VLOOKUP($B260&amp;"; "&amp;$H$256&amp;", "&amp;J$257,'FE Fret'!$G:$U,7,FALSE),$BH260)))</f>
        <v>0</v>
      </c>
      <c r="BL260" s="1130">
        <f>IF(ISNA(SQRT(SUMSQ(VLOOKUP($B260&amp;"; "&amp;$H$256&amp;", "&amp;K$257,'FE Fret'!$G:$U,7,FALSE),$BH260))),0,SQRT(SUMSQ(VLOOKUP($B260&amp;"; "&amp;$H$256&amp;", "&amp;K$257,'FE Fret'!$G:$U,7,FALSE),$BH260)))</f>
        <v>0.1</v>
      </c>
    </row>
    <row r="261" spans="1:64" ht="12.75" hidden="1" customHeight="1" outlineLevel="2">
      <c r="B261" s="154"/>
      <c r="C261" s="155"/>
      <c r="D261" s="221"/>
      <c r="E261" s="221"/>
      <c r="F261" s="155"/>
      <c r="G261" s="155"/>
      <c r="H261" s="155"/>
      <c r="I261" s="155"/>
      <c r="J261" s="155"/>
      <c r="K261" s="155"/>
      <c r="L261" s="155"/>
      <c r="M261" s="155"/>
      <c r="N261" s="155"/>
      <c r="O261" s="169"/>
      <c r="P261" s="1336"/>
      <c r="X261" s="1092"/>
      <c r="Y261" s="155"/>
      <c r="Z261" s="155"/>
      <c r="AA261" s="155"/>
      <c r="AB261" s="155"/>
      <c r="AC261" s="155"/>
      <c r="AD261" s="169"/>
      <c r="AE261" s="144"/>
      <c r="AF261" s="1336"/>
      <c r="AH261" s="564"/>
      <c r="AI261" s="565"/>
      <c r="AJ261" s="565"/>
      <c r="AK261" s="565"/>
      <c r="AL261" s="565"/>
      <c r="AM261" s="565"/>
      <c r="AN261" s="565"/>
      <c r="AO261" s="565"/>
      <c r="AP261" s="565"/>
      <c r="AQ261" s="565"/>
      <c r="AR261" s="565"/>
      <c r="AS261" s="565"/>
      <c r="AT261" s="565"/>
      <c r="AU261" s="565"/>
      <c r="AV261" s="565"/>
      <c r="AW261" s="565"/>
      <c r="AX261" s="566"/>
      <c r="AY261" s="566"/>
      <c r="AZ261" s="566"/>
      <c r="BA261" s="565"/>
      <c r="BB261" s="569"/>
      <c r="BC261" s="625"/>
      <c r="BD261" s="625"/>
      <c r="BE261" s="570"/>
      <c r="BF261" s="2292"/>
      <c r="BH261" s="1087"/>
      <c r="BI261" s="1075"/>
      <c r="BJ261" s="1131"/>
      <c r="BK261" s="1131"/>
      <c r="BL261" s="1153"/>
    </row>
    <row r="262" spans="1:64" ht="12.75" hidden="1" customHeight="1" outlineLevel="2">
      <c r="B262" s="370" t="s">
        <v>348</v>
      </c>
      <c r="C262" s="371"/>
      <c r="D262" s="214">
        <f>SUM(D258:D261)</f>
        <v>0</v>
      </c>
      <c r="E262" s="214"/>
      <c r="F262" s="350"/>
      <c r="G262" s="350"/>
      <c r="H262" s="350"/>
      <c r="I262" s="350"/>
      <c r="J262" s="350"/>
      <c r="K262" s="350"/>
      <c r="L262" s="351">
        <f>SUM(L258:L261)</f>
        <v>0</v>
      </c>
      <c r="M262" s="351">
        <f>SUM(M258:M261)</f>
        <v>0</v>
      </c>
      <c r="N262" s="351">
        <f>SUM(N258:N261)</f>
        <v>0</v>
      </c>
      <c r="O262" s="351">
        <f>SUM(O258:O261)</f>
        <v>0</v>
      </c>
      <c r="P262" s="1349">
        <f>SUM(P258:P261)</f>
        <v>0</v>
      </c>
      <c r="X262" s="1203">
        <f>IF(AE262=0,AE262,AE262/D262)</f>
        <v>0</v>
      </c>
      <c r="Y262" s="199"/>
      <c r="Z262" s="199"/>
      <c r="AA262" s="203">
        <f t="shared" ref="AA262:AF262" si="95">SQRT(SUMSQ(AA258:AA261))</f>
        <v>0</v>
      </c>
      <c r="AB262" s="203">
        <f t="shared" si="95"/>
        <v>0</v>
      </c>
      <c r="AC262" s="203">
        <f t="shared" si="95"/>
        <v>0</v>
      </c>
      <c r="AD262" s="203">
        <f t="shared" si="95"/>
        <v>0</v>
      </c>
      <c r="AE262" s="202">
        <f t="shared" si="95"/>
        <v>0</v>
      </c>
      <c r="AF262" s="340">
        <f t="shared" si="95"/>
        <v>0</v>
      </c>
      <c r="AH262" s="571">
        <f t="shared" ref="AH262:AM262" si="96">SUM(AH258:AH261)</f>
        <v>0</v>
      </c>
      <c r="AI262" s="572">
        <f t="shared" si="96"/>
        <v>0</v>
      </c>
      <c r="AJ262" s="572">
        <f t="shared" si="96"/>
        <v>0</v>
      </c>
      <c r="AK262" s="572">
        <f t="shared" si="96"/>
        <v>0</v>
      </c>
      <c r="AL262" s="572">
        <f t="shared" si="96"/>
        <v>0</v>
      </c>
      <c r="AM262" s="572">
        <f t="shared" si="96"/>
        <v>0</v>
      </c>
      <c r="AN262" s="572">
        <f t="shared" ref="AN262:BE262" si="97">SUM(AN258:AN261)</f>
        <v>0</v>
      </c>
      <c r="AO262" s="572">
        <f t="shared" si="97"/>
        <v>0</v>
      </c>
      <c r="AP262" s="572">
        <f t="shared" si="97"/>
        <v>0</v>
      </c>
      <c r="AQ262" s="572">
        <f t="shared" si="97"/>
        <v>0</v>
      </c>
      <c r="AR262" s="572">
        <f t="shared" si="97"/>
        <v>0</v>
      </c>
      <c r="AS262" s="572">
        <f t="shared" si="97"/>
        <v>0</v>
      </c>
      <c r="AT262" s="572">
        <f t="shared" si="97"/>
        <v>0</v>
      </c>
      <c r="AU262" s="572">
        <f t="shared" si="97"/>
        <v>0</v>
      </c>
      <c r="AV262" s="572">
        <f t="shared" si="97"/>
        <v>0</v>
      </c>
      <c r="AW262" s="572">
        <f t="shared" si="97"/>
        <v>0</v>
      </c>
      <c r="AX262" s="573">
        <f t="shared" si="97"/>
        <v>0</v>
      </c>
      <c r="AY262" s="573">
        <f t="shared" si="97"/>
        <v>0</v>
      </c>
      <c r="AZ262" s="573">
        <f t="shared" si="97"/>
        <v>0</v>
      </c>
      <c r="BA262" s="572">
        <f t="shared" si="97"/>
        <v>0</v>
      </c>
      <c r="BB262" s="1082">
        <f t="shared" si="97"/>
        <v>0</v>
      </c>
      <c r="BC262" s="572">
        <f t="shared" si="97"/>
        <v>0</v>
      </c>
      <c r="BD262" s="572">
        <f t="shared" si="97"/>
        <v>0</v>
      </c>
      <c r="BE262" s="575">
        <f t="shared" si="97"/>
        <v>0</v>
      </c>
      <c r="BF262" s="2292"/>
    </row>
    <row r="263" spans="1:64" ht="12.75" hidden="1" customHeight="1" outlineLevel="2">
      <c r="AG263" s="130"/>
    </row>
    <row r="264" spans="1:64" ht="15" hidden="1" outlineLevel="1" collapsed="1">
      <c r="AR264" s="593"/>
    </row>
    <row r="265" spans="1:64" ht="15.75" hidden="1" customHeight="1" outlineLevel="1" collapsed="1">
      <c r="B265" s="2842" t="s">
        <v>2228</v>
      </c>
      <c r="C265" s="2843"/>
      <c r="D265" s="2843"/>
      <c r="E265" s="2843"/>
      <c r="F265" s="2843"/>
      <c r="G265" s="2843"/>
      <c r="H265" s="2843"/>
      <c r="I265" s="2843"/>
      <c r="J265" s="2843"/>
      <c r="K265" s="2843"/>
      <c r="L265" s="2843"/>
      <c r="M265" s="2843"/>
      <c r="N265" s="2843"/>
      <c r="O265" s="2844"/>
      <c r="P265" s="130"/>
      <c r="Q265" s="130"/>
      <c r="R265" s="130"/>
      <c r="S265" s="130"/>
      <c r="T265" s="130"/>
      <c r="U265" s="130"/>
      <c r="V265" s="130"/>
      <c r="W265" s="130"/>
      <c r="X265" s="130"/>
      <c r="Y265" s="130"/>
      <c r="Z265" s="130"/>
      <c r="AA265" s="130"/>
      <c r="AB265" s="130"/>
      <c r="AC265" s="130"/>
      <c r="AD265" s="130"/>
      <c r="AE265" s="130"/>
      <c r="AF265" s="130"/>
      <c r="AR265" s="593"/>
    </row>
    <row r="266" spans="1:64" ht="12.75" hidden="1" customHeight="1" outlineLevel="2"/>
    <row r="267" spans="1:64" ht="12.75" hidden="1" customHeight="1" outlineLevel="2">
      <c r="B267" s="1091" t="s">
        <v>628</v>
      </c>
      <c r="C267" s="140"/>
      <c r="D267" s="140"/>
      <c r="E267" s="140"/>
      <c r="F267" s="140"/>
      <c r="G267" s="140"/>
      <c r="H267" s="140"/>
      <c r="I267" s="179"/>
      <c r="X267" s="2636" t="s">
        <v>366</v>
      </c>
      <c r="Y267" s="2637"/>
      <c r="Z267" s="2637"/>
      <c r="AA267" s="2637"/>
      <c r="AB267" s="2637"/>
      <c r="AC267" s="2637"/>
      <c r="AD267" s="2637"/>
      <c r="AE267" s="2638"/>
      <c r="AH267" s="2639" t="s">
        <v>441</v>
      </c>
      <c r="AI267" s="2640"/>
      <c r="AJ267" s="2640"/>
      <c r="AK267" s="2640"/>
      <c r="AL267" s="2640"/>
      <c r="AM267" s="2641"/>
    </row>
    <row r="268" spans="1:64" ht="12.75" hidden="1" customHeight="1" outlineLevel="2">
      <c r="B268" s="143"/>
      <c r="C268" s="144"/>
      <c r="D268" s="1334" t="s">
        <v>308</v>
      </c>
      <c r="E268" s="1663"/>
      <c r="F268" s="144"/>
      <c r="G268" s="144"/>
      <c r="H268" s="144"/>
      <c r="I268" s="145"/>
      <c r="X268" s="1316"/>
      <c r="Y268" s="819"/>
      <c r="Z268" s="819"/>
      <c r="AA268" s="1334"/>
      <c r="AB268" s="1334"/>
      <c r="AC268" s="2423"/>
      <c r="AD268" s="1334"/>
      <c r="AE268" s="145"/>
      <c r="AH268" s="2642" t="s">
        <v>444</v>
      </c>
      <c r="AI268" s="2643"/>
      <c r="AJ268" s="2643"/>
      <c r="AK268" s="2643"/>
      <c r="AL268" s="2643"/>
      <c r="AM268" s="2643"/>
      <c r="AN268" s="2643"/>
      <c r="AO268" s="2643"/>
      <c r="AP268" s="2643"/>
      <c r="AQ268" s="2643"/>
      <c r="AR268" s="2643"/>
      <c r="AS268" s="2643"/>
      <c r="AT268" s="2643" t="s">
        <v>444</v>
      </c>
      <c r="AU268" s="2643"/>
      <c r="AV268" s="2644"/>
      <c r="AW268" s="624"/>
      <c r="AX268" s="624"/>
      <c r="AY268" s="1291"/>
      <c r="AZ268" s="2286"/>
      <c r="BA268" s="2286"/>
      <c r="BB268" s="2286"/>
      <c r="BC268" s="2286"/>
      <c r="BD268" s="2286"/>
      <c r="BE268" s="2286"/>
      <c r="BF268" s="2286"/>
      <c r="BH268" s="2616" t="s">
        <v>1648</v>
      </c>
      <c r="BI268" s="2617"/>
      <c r="BJ268" s="2618"/>
    </row>
    <row r="269" spans="1:64" ht="12.75" hidden="1" customHeight="1" outlineLevel="2">
      <c r="B269" s="1316"/>
      <c r="C269" s="1317"/>
      <c r="D269" s="1317" t="s">
        <v>409</v>
      </c>
      <c r="E269" s="1656"/>
      <c r="F269" s="1320" t="s">
        <v>452</v>
      </c>
      <c r="G269" s="1320" t="s">
        <v>343</v>
      </c>
      <c r="H269" s="1317" t="s">
        <v>444</v>
      </c>
      <c r="I269" s="1337" t="s">
        <v>444</v>
      </c>
      <c r="X269" s="1316" t="s">
        <v>316</v>
      </c>
      <c r="Y269" s="2629" t="s">
        <v>316</v>
      </c>
      <c r="Z269" s="2630"/>
      <c r="AA269" s="1317"/>
      <c r="AB269" s="1317"/>
      <c r="AC269" s="2419"/>
      <c r="AD269" s="1317"/>
      <c r="AE269" s="1337" t="s">
        <v>444</v>
      </c>
      <c r="AH269" s="2631" t="s">
        <v>211</v>
      </c>
      <c r="AI269" s="2632"/>
      <c r="AJ269" s="2632"/>
      <c r="AK269" s="2632" t="s">
        <v>442</v>
      </c>
      <c r="AL269" s="2632"/>
      <c r="AM269" s="2632"/>
      <c r="AN269" s="2632" t="s">
        <v>267</v>
      </c>
      <c r="AO269" s="2632"/>
      <c r="AP269" s="2632"/>
      <c r="AQ269" s="2632" t="s">
        <v>443</v>
      </c>
      <c r="AR269" s="2632"/>
      <c r="AS269" s="2632"/>
      <c r="AT269" s="2648" t="s">
        <v>327</v>
      </c>
      <c r="AU269" s="2648"/>
      <c r="AV269" s="2649"/>
      <c r="AW269" s="2631"/>
      <c r="AX269" s="2632"/>
      <c r="AY269" s="568"/>
      <c r="AZ269" s="565"/>
      <c r="BA269" s="565"/>
      <c r="BB269" s="565"/>
      <c r="BC269" s="565"/>
      <c r="BD269" s="565"/>
      <c r="BE269" s="565"/>
      <c r="BF269" s="565"/>
      <c r="BH269" s="2837" t="s">
        <v>1646</v>
      </c>
      <c r="BI269" s="2839" t="s">
        <v>411</v>
      </c>
      <c r="BJ269" s="2839" t="s">
        <v>257</v>
      </c>
    </row>
    <row r="270" spans="1:64" ht="12.75" hidden="1" customHeight="1" outlineLevel="2">
      <c r="B270" s="1316"/>
      <c r="C270" s="1317"/>
      <c r="D270" s="1317" t="s">
        <v>444</v>
      </c>
      <c r="E270" s="1656"/>
      <c r="F270" s="1321" t="s">
        <v>445</v>
      </c>
      <c r="G270" s="153" t="s">
        <v>533</v>
      </c>
      <c r="H270" s="1317" t="s">
        <v>258</v>
      </c>
      <c r="I270" s="1337"/>
      <c r="X270" s="1316" t="s">
        <v>1649</v>
      </c>
      <c r="Y270" s="2646" t="s">
        <v>1650</v>
      </c>
      <c r="Z270" s="2647"/>
      <c r="AA270" s="1322"/>
      <c r="AB270" s="1322"/>
      <c r="AC270" s="1662"/>
      <c r="AD270" s="1322"/>
      <c r="AE270" s="1337"/>
      <c r="AH270" s="1331"/>
      <c r="AI270" s="1332"/>
      <c r="AJ270" s="1332"/>
      <c r="AK270" s="1332"/>
      <c r="AL270" s="1332"/>
      <c r="AM270" s="1332"/>
      <c r="AN270" s="1332"/>
      <c r="AO270" s="1332"/>
      <c r="AP270" s="1332"/>
      <c r="AQ270" s="1332"/>
      <c r="AR270" s="1332"/>
      <c r="AS270" s="1332"/>
      <c r="AT270" s="581"/>
      <c r="AU270" s="581"/>
      <c r="AV270" s="582"/>
      <c r="AW270" s="1332" t="s">
        <v>636</v>
      </c>
      <c r="AX270" s="1332"/>
      <c r="AY270" s="1333"/>
      <c r="AZ270" s="2286"/>
      <c r="BA270" s="2286"/>
      <c r="BB270" s="2286"/>
      <c r="BC270" s="2286"/>
      <c r="BD270" s="2286"/>
      <c r="BE270" s="2286"/>
      <c r="BF270" s="2286"/>
      <c r="BH270" s="2838"/>
      <c r="BI270" s="2840"/>
      <c r="BJ270" s="2840"/>
    </row>
    <row r="271" spans="1:64" ht="12.75" hidden="1" customHeight="1" outlineLevel="2">
      <c r="B271" s="362" t="s">
        <v>1552</v>
      </c>
      <c r="C271" s="363"/>
      <c r="D271" s="212">
        <f>I271</f>
        <v>0</v>
      </c>
      <c r="E271" s="212"/>
      <c r="F271" s="1016"/>
      <c r="G271" s="1016"/>
      <c r="H271" s="218">
        <f>IF(ISNA(VLOOKUP(Descriptif!D252&amp;" - usage : Transports, France continentale, Base Carbone; kgCO2e/kWh, Combustion à la centrale",'FE Déplacements'!G:U,9,FALSE)),'FE Déplacements'!$O$974,
VLOOKUP(Descriptif!D252&amp;" - usage : Transports, France continentale, Base Carbone; kgCO2e/kWh, Combustion à la centrale",'FE Déplacements'!G:U,9,FALSE)
+ VLOOKUP(Descriptif!D252&amp;" - usage : Transports, France continentale, Base Carbone; kgCO2e/kWh, Amont",'FE Déplacements'!G:U,9,FALSE))</f>
        <v>5.9979999999999999E-2</v>
      </c>
      <c r="I271" s="152">
        <f>G271*H271</f>
        <v>0</v>
      </c>
      <c r="X271" s="226">
        <f>IF(AE271=0,AE271,AE271/I271)</f>
        <v>0</v>
      </c>
      <c r="Y271" s="1094"/>
      <c r="Z271" s="820"/>
      <c r="AA271" s="164"/>
      <c r="AB271" s="164"/>
      <c r="AC271" s="164"/>
      <c r="AD271" s="164"/>
      <c r="AE271" s="152">
        <f>IF(ISNA(SQRT(SUMSQ($G271*0.01*BI271,G271*(H271-0.01)*BJ271))),0,SQRT(SUMSQ($G271*0.01*BI271,G271*(H271-0.01)*BJ271)))</f>
        <v>0</v>
      </c>
      <c r="AH271" s="564">
        <f>D271</f>
        <v>0</v>
      </c>
      <c r="AI271" s="565"/>
      <c r="AJ271" s="565"/>
      <c r="AK271" s="565"/>
      <c r="AL271" s="565"/>
      <c r="AM271" s="565"/>
      <c r="AN271" s="565"/>
      <c r="AO271" s="565"/>
      <c r="AP271" s="565"/>
      <c r="AQ271" s="565"/>
      <c r="AR271" s="565"/>
      <c r="AS271" s="565"/>
      <c r="AT271" s="566">
        <f>SUM(AH271:AQ271)</f>
        <v>0</v>
      </c>
      <c r="AU271" s="566"/>
      <c r="AV271" s="567"/>
      <c r="AW271" s="565"/>
      <c r="AX271" s="565"/>
      <c r="AY271" s="568"/>
      <c r="AZ271" s="565"/>
      <c r="BA271" s="565"/>
      <c r="BB271" s="565"/>
      <c r="BC271" s="565"/>
      <c r="BD271" s="565"/>
      <c r="BE271" s="565"/>
      <c r="BF271" s="565"/>
      <c r="BH271" s="1065">
        <f>IF($Y271&lt;&gt;"votre valeur :",IF(ISNA(VLOOKUP($Y271,Utilitaires!$N$566:$O$571,2,FALSE)),,VLOOKUP($Y271,Utilitaires!$N$566:$O$571,2,FALSE)),$Z271)</f>
        <v>0</v>
      </c>
      <c r="BI271" s="1124">
        <f>IF(ISNA(SQRT(SUMSQ(VLOOKUP(Descriptif!D252&amp;" - usage : Transports, France continentale, Base Carbone; kgCO2e/kWh, Amont",'FE Déplacements'!$G:$U,7,FALSE),$BH271))),0,SQRT(SUMSQ(VLOOKUP(Descriptif!D252&amp;" - usage : Transports, France continentale, Base Carbone; kgCO2e/kWh, Amont",'FE Déplacements'!$G:$U,7,FALSE),$BH271)))</f>
        <v>0</v>
      </c>
      <c r="BJ271" s="1130">
        <f>IF(
ISNA(
SQRT(SUMSQ(
VLOOKUP(Descriptif!D252&amp;" - usage : Transports, France continentale, Base Carbone; kgCO2e/kWh, Combustion à la centrale",'FE Déplacements'!$G:$U,7,FALSE),$BH271))),
0,SQRT(SUMSQ(VLOOKUP(Descriptif!D252&amp;" - usage : Transports, France continentale, Base Carbone; kgCO2e/kWh, Combustion à la centrale",'FE Déplacements'!$G:$U,7,FALSE),$BH271)))</f>
        <v>0</v>
      </c>
    </row>
    <row r="272" spans="1:64" ht="12.75" hidden="1" customHeight="1" outlineLevel="2">
      <c r="B272" s="1345"/>
      <c r="C272" s="1346"/>
      <c r="D272" s="1347"/>
      <c r="E272" s="1347"/>
      <c r="F272" s="1346"/>
      <c r="G272" s="169"/>
      <c r="H272" s="361"/>
      <c r="I272" s="156"/>
      <c r="X272" s="143"/>
      <c r="Y272" s="144"/>
      <c r="Z272" s="169"/>
      <c r="AA272" s="169"/>
      <c r="AB272" s="164"/>
      <c r="AC272" s="164"/>
      <c r="AD272" s="164"/>
      <c r="AE272" s="357"/>
      <c r="AH272" s="569"/>
      <c r="AI272" s="625"/>
      <c r="AJ272" s="625"/>
      <c r="AK272" s="625"/>
      <c r="AL272" s="625"/>
      <c r="AM272" s="625"/>
      <c r="AN272" s="625"/>
      <c r="AO272" s="625"/>
      <c r="AP272" s="625"/>
      <c r="AQ272" s="625"/>
      <c r="AR272" s="625"/>
      <c r="AS272" s="625"/>
      <c r="AT272" s="1313"/>
      <c r="AU272" s="1313"/>
      <c r="AV272" s="1314"/>
      <c r="AW272" s="565"/>
      <c r="AX272" s="565"/>
      <c r="AY272" s="568"/>
      <c r="AZ272" s="565"/>
      <c r="BA272" s="565"/>
      <c r="BB272" s="565"/>
      <c r="BC272" s="565"/>
      <c r="BD272" s="565"/>
      <c r="BE272" s="565"/>
      <c r="BF272" s="565"/>
      <c r="BH272" s="1087"/>
      <c r="BI272" s="1075"/>
      <c r="BJ272" s="1131"/>
      <c r="BK272" s="109"/>
    </row>
    <row r="273" spans="1:71" s="109" customFormat="1" ht="12.75" hidden="1" customHeight="1" outlineLevel="2">
      <c r="A273" s="114"/>
      <c r="B273" s="196" t="s">
        <v>348</v>
      </c>
      <c r="C273" s="197"/>
      <c r="D273" s="214">
        <f>SUM(D271:D272)</f>
        <v>0</v>
      </c>
      <c r="E273" s="214"/>
      <c r="F273" s="198"/>
      <c r="G273" s="199"/>
      <c r="H273" s="199"/>
      <c r="I273" s="200">
        <f>SUM(I271:I272)</f>
        <v>0</v>
      </c>
      <c r="V273" s="114"/>
      <c r="W273" s="114"/>
      <c r="X273" s="1203">
        <f>IF(AE273=0,AE273,AE273/D273)</f>
        <v>0</v>
      </c>
      <c r="Y273" s="199"/>
      <c r="Z273" s="350"/>
      <c r="AA273" s="1338"/>
      <c r="AB273" s="203"/>
      <c r="AC273" s="203"/>
      <c r="AD273" s="203"/>
      <c r="AE273" s="200">
        <f>SQRT(SUMSQ(AE271:AE272))</f>
        <v>0</v>
      </c>
      <c r="AF273" s="114"/>
      <c r="AG273" s="114"/>
      <c r="AH273" s="1308">
        <f>SUM(AH271:AH272)</f>
        <v>0</v>
      </c>
      <c r="AI273" s="1309"/>
      <c r="AJ273" s="1309"/>
      <c r="AK273" s="1309">
        <f>SUM(AK271:AK272)</f>
        <v>0</v>
      </c>
      <c r="AL273" s="1309"/>
      <c r="AM273" s="1309"/>
      <c r="AN273" s="1309">
        <f>SUM(AN271:AN272)</f>
        <v>0</v>
      </c>
      <c r="AO273" s="1309"/>
      <c r="AP273" s="1309"/>
      <c r="AQ273" s="1309">
        <f>SUM(AQ271:AQ272)</f>
        <v>0</v>
      </c>
      <c r="AR273" s="572"/>
      <c r="AS273" s="572"/>
      <c r="AT273" s="573">
        <f>SUM(AT271:AT272)</f>
        <v>0</v>
      </c>
      <c r="AU273" s="1312"/>
      <c r="AV273" s="1312"/>
      <c r="AW273" s="1082">
        <f>SUM(AW271:AW272)</f>
        <v>0</v>
      </c>
      <c r="AX273" s="572"/>
      <c r="AY273" s="575"/>
      <c r="AZ273" s="2447"/>
      <c r="BA273" s="2447"/>
      <c r="BB273" s="2447"/>
      <c r="BC273" s="2447"/>
      <c r="BD273" s="2447"/>
      <c r="BE273" s="2447"/>
      <c r="BF273" s="2447"/>
      <c r="BH273" s="114"/>
      <c r="BI273" s="114"/>
      <c r="BJ273" s="114"/>
      <c r="BK273" s="114"/>
    </row>
    <row r="274" spans="1:71" s="109" customFormat="1" ht="12.75" hidden="1" customHeight="1" outlineLevel="2">
      <c r="A274" s="114"/>
      <c r="B274" s="116"/>
      <c r="C274" s="116"/>
      <c r="D274" s="114"/>
      <c r="E274" s="114"/>
      <c r="F274" s="116"/>
      <c r="G274" s="116"/>
      <c r="H274" s="262"/>
      <c r="I274" s="116"/>
      <c r="J274" s="116"/>
      <c r="K274" s="114"/>
      <c r="L274" s="114"/>
      <c r="M274" s="114"/>
      <c r="N274" s="114"/>
      <c r="O274" s="114"/>
      <c r="P274" s="114"/>
      <c r="Q274" s="114"/>
      <c r="R274" s="114"/>
      <c r="S274" s="114"/>
      <c r="T274" s="114"/>
      <c r="U274" s="114"/>
      <c r="V274" s="114"/>
      <c r="W274" s="114"/>
      <c r="X274" s="116"/>
      <c r="Y274" s="116"/>
      <c r="Z274" s="260"/>
      <c r="AA274" s="260"/>
      <c r="AB274" s="114"/>
      <c r="AC274" s="114"/>
      <c r="AD274" s="114"/>
      <c r="AE274" s="114"/>
      <c r="AF274" s="114"/>
      <c r="AG274" s="114"/>
      <c r="AH274" s="441"/>
      <c r="AI274" s="441"/>
      <c r="AJ274" s="441"/>
      <c r="AK274" s="441"/>
      <c r="AL274" s="441"/>
      <c r="AM274" s="441"/>
      <c r="AN274" s="441"/>
      <c r="AO274" s="441"/>
      <c r="AP274" s="441"/>
      <c r="AQ274" s="444"/>
      <c r="AR274" s="441"/>
      <c r="AS274" s="588"/>
      <c r="AT274" s="588"/>
      <c r="AU274" s="588"/>
      <c r="AV274" s="588"/>
      <c r="AW274" s="588"/>
      <c r="AX274" s="588"/>
      <c r="AY274" s="588"/>
      <c r="AZ274" s="588"/>
      <c r="BA274" s="588"/>
      <c r="BB274" s="588"/>
      <c r="BC274" s="588"/>
      <c r="BD274" s="588"/>
      <c r="BE274" s="588"/>
      <c r="BF274" s="588"/>
      <c r="BH274" s="114"/>
      <c r="BI274" s="114"/>
      <c r="BJ274" s="114"/>
      <c r="BK274" s="114"/>
    </row>
    <row r="275" spans="1:71" ht="12" hidden="1" customHeight="1" outlineLevel="2">
      <c r="B275" s="139" t="s">
        <v>2332</v>
      </c>
      <c r="C275" s="140"/>
      <c r="D275" s="140"/>
      <c r="E275" s="140"/>
      <c r="F275" s="141"/>
      <c r="G275" s="141"/>
      <c r="H275" s="141"/>
      <c r="I275" s="179"/>
      <c r="X275" s="2636" t="s">
        <v>366</v>
      </c>
      <c r="Y275" s="2637"/>
      <c r="Z275" s="2637"/>
      <c r="AA275" s="2637"/>
      <c r="AB275" s="2637"/>
      <c r="AC275" s="2637"/>
      <c r="AD275" s="2637"/>
      <c r="AE275" s="2638"/>
      <c r="AH275" s="2639" t="s">
        <v>441</v>
      </c>
      <c r="AI275" s="2640"/>
      <c r="AJ275" s="2640"/>
      <c r="AK275" s="2640"/>
      <c r="AL275" s="2640"/>
      <c r="AM275" s="2640"/>
      <c r="AN275" s="2640"/>
      <c r="AO275" s="2640"/>
      <c r="AP275" s="2640"/>
      <c r="AQ275" s="2640"/>
      <c r="AR275" s="2640"/>
      <c r="AS275" s="2640"/>
      <c r="AT275" s="2640"/>
      <c r="AU275" s="2640"/>
      <c r="AV275" s="2640"/>
      <c r="AW275" s="2640"/>
      <c r="AX275" s="2640"/>
      <c r="AY275" s="2641"/>
      <c r="AZ275" s="2418"/>
      <c r="BA275" s="2418"/>
      <c r="BB275" s="2418"/>
      <c r="BC275" s="2418"/>
      <c r="BD275" s="2418"/>
      <c r="BE275" s="2418"/>
      <c r="BF275" s="2418"/>
    </row>
    <row r="276" spans="1:71" ht="15" hidden="1" customHeight="1" outlineLevel="2">
      <c r="B276" s="143"/>
      <c r="C276" s="144"/>
      <c r="D276" s="1334" t="s">
        <v>308</v>
      </c>
      <c r="E276" s="1663"/>
      <c r="F276" s="144"/>
      <c r="G276" s="144"/>
      <c r="H276" s="144"/>
      <c r="I276" s="168"/>
      <c r="X276" s="1316"/>
      <c r="Y276" s="819"/>
      <c r="Z276" s="819"/>
      <c r="AA276" s="1334"/>
      <c r="AB276" s="1334"/>
      <c r="AC276" s="2423"/>
      <c r="AD276" s="1334"/>
      <c r="AE276" s="145"/>
      <c r="AG276" s="109"/>
      <c r="AH276" s="2642" t="s">
        <v>444</v>
      </c>
      <c r="AI276" s="2643"/>
      <c r="AJ276" s="2643"/>
      <c r="AK276" s="2643"/>
      <c r="AL276" s="2643"/>
      <c r="AM276" s="2643"/>
      <c r="AN276" s="2643"/>
      <c r="AO276" s="2643"/>
      <c r="AP276" s="2643"/>
      <c r="AQ276" s="2643"/>
      <c r="AR276" s="2643"/>
      <c r="AS276" s="2643"/>
      <c r="AT276" s="2643" t="s">
        <v>444</v>
      </c>
      <c r="AU276" s="2643"/>
      <c r="AV276" s="2644"/>
      <c r="AW276" s="624"/>
      <c r="AX276" s="624"/>
      <c r="AY276" s="1291"/>
      <c r="AZ276" s="2286"/>
      <c r="BA276" s="2286"/>
      <c r="BB276" s="2286"/>
      <c r="BC276" s="2286"/>
      <c r="BD276" s="2286"/>
      <c r="BE276" s="2286"/>
      <c r="BF276" s="2286"/>
      <c r="BH276" s="2616" t="s">
        <v>1648</v>
      </c>
      <c r="BI276" s="2617"/>
      <c r="BJ276" s="2618"/>
      <c r="BK276" s="116"/>
    </row>
    <row r="277" spans="1:71" ht="12.75" hidden="1" customHeight="1" outlineLevel="2">
      <c r="B277" s="1316"/>
      <c r="C277" s="1317"/>
      <c r="D277" s="1317" t="s">
        <v>409</v>
      </c>
      <c r="E277" s="1656"/>
      <c r="F277" s="147" t="s">
        <v>308</v>
      </c>
      <c r="G277" s="147"/>
      <c r="H277" s="1317" t="s">
        <v>8</v>
      </c>
      <c r="I277" s="1337" t="s">
        <v>444</v>
      </c>
      <c r="X277" s="1316" t="s">
        <v>529</v>
      </c>
      <c r="Y277" s="2629" t="s">
        <v>530</v>
      </c>
      <c r="Z277" s="2630"/>
      <c r="AA277" s="1317"/>
      <c r="AB277" s="1317"/>
      <c r="AC277" s="2419"/>
      <c r="AD277" s="1317"/>
      <c r="AE277" s="1337" t="s">
        <v>444</v>
      </c>
      <c r="AG277" s="109"/>
      <c r="AH277" s="2631" t="s">
        <v>211</v>
      </c>
      <c r="AI277" s="2632"/>
      <c r="AJ277" s="2632"/>
      <c r="AK277" s="2632" t="s">
        <v>442</v>
      </c>
      <c r="AL277" s="2632"/>
      <c r="AM277" s="2632"/>
      <c r="AN277" s="2632" t="s">
        <v>267</v>
      </c>
      <c r="AO277" s="2632"/>
      <c r="AP277" s="2632"/>
      <c r="AQ277" s="2632" t="s">
        <v>443</v>
      </c>
      <c r="AR277" s="2632"/>
      <c r="AS277" s="2632"/>
      <c r="AT277" s="2648" t="s">
        <v>327</v>
      </c>
      <c r="AU277" s="2648"/>
      <c r="AV277" s="2649"/>
      <c r="AW277" s="2631" t="s">
        <v>636</v>
      </c>
      <c r="AX277" s="2632"/>
      <c r="AY277" s="568"/>
      <c r="AZ277" s="565"/>
      <c r="BA277" s="565"/>
      <c r="BB277" s="565"/>
      <c r="BC277" s="565"/>
      <c r="BD277" s="565"/>
      <c r="BE277" s="565"/>
      <c r="BF277" s="565"/>
      <c r="BH277" s="2837" t="s">
        <v>1646</v>
      </c>
      <c r="BI277" s="2839" t="s">
        <v>411</v>
      </c>
      <c r="BJ277" s="2839" t="s">
        <v>257</v>
      </c>
      <c r="BK277" s="116"/>
    </row>
    <row r="278" spans="1:71" s="116" customFormat="1" ht="12.75" hidden="1" customHeight="1" outlineLevel="2">
      <c r="A278" s="114"/>
      <c r="B278" s="1316"/>
      <c r="C278" s="1317"/>
      <c r="D278" s="1317" t="s">
        <v>444</v>
      </c>
      <c r="E278" s="1656"/>
      <c r="F278" s="1321" t="s">
        <v>309</v>
      </c>
      <c r="G278" s="1321" t="s">
        <v>444</v>
      </c>
      <c r="H278" s="1317" t="s">
        <v>183</v>
      </c>
      <c r="I278" s="1348" t="s">
        <v>2338</v>
      </c>
      <c r="V278" s="114"/>
      <c r="W278" s="109"/>
      <c r="X278" s="1316" t="s">
        <v>531</v>
      </c>
      <c r="Y278" s="2646"/>
      <c r="Z278" s="2647"/>
      <c r="AA278" s="1322"/>
      <c r="AB278" s="1322"/>
      <c r="AC278" s="1662"/>
      <c r="AD278" s="1322"/>
      <c r="AE278" s="1337"/>
      <c r="AF278" s="109"/>
      <c r="AG278" s="114"/>
      <c r="AH278" s="1331"/>
      <c r="AI278" s="1332"/>
      <c r="AJ278" s="1332"/>
      <c r="AK278" s="1332"/>
      <c r="AL278" s="1332"/>
      <c r="AM278" s="1332"/>
      <c r="AN278" s="1332"/>
      <c r="AO278" s="1332"/>
      <c r="AP278" s="1332"/>
      <c r="AQ278" s="1332"/>
      <c r="AR278" s="1332"/>
      <c r="AS278" s="1332"/>
      <c r="AT278" s="581"/>
      <c r="AU278" s="581"/>
      <c r="AV278" s="582"/>
      <c r="AW278" s="1332"/>
      <c r="AX278" s="1332"/>
      <c r="AY278" s="1333"/>
      <c r="AZ278" s="2286"/>
      <c r="BA278" s="2286"/>
      <c r="BB278" s="2286"/>
      <c r="BC278" s="2286"/>
      <c r="BD278" s="2286"/>
      <c r="BE278" s="2286"/>
      <c r="BF278" s="2286"/>
      <c r="BH278" s="2838"/>
      <c r="BI278" s="2840"/>
      <c r="BJ278" s="2840"/>
      <c r="BK278" s="114"/>
    </row>
    <row r="279" spans="1:71" s="116" customFormat="1" ht="12.75" hidden="1" customHeight="1" outlineLevel="2">
      <c r="A279" s="114"/>
      <c r="B279" s="143" t="s">
        <v>831</v>
      </c>
      <c r="C279" s="177"/>
      <c r="D279" s="212">
        <f>I279</f>
        <v>0</v>
      </c>
      <c r="E279" s="212"/>
      <c r="F279" s="182">
        <f>G271</f>
        <v>0</v>
      </c>
      <c r="G279" s="182">
        <f>I273</f>
        <v>0</v>
      </c>
      <c r="H279" s="225">
        <v>0.03</v>
      </c>
      <c r="I279" s="152">
        <f>G279*H279</f>
        <v>0</v>
      </c>
      <c r="V279" s="114"/>
      <c r="W279" s="109"/>
      <c r="X279" s="226">
        <f>IF(AE279=0,AE279,AE279/I279)</f>
        <v>0</v>
      </c>
      <c r="Y279" s="1094"/>
      <c r="Z279" s="820"/>
      <c r="AA279" s="164"/>
      <c r="AB279" s="164"/>
      <c r="AC279" s="164"/>
      <c r="AD279" s="164"/>
      <c r="AE279" s="152">
        <f>IF(ISNA(SQRT(SUMSQ($G279*0.01*BI279,G279*(H279-0.01)*BJ279))),0,SQRT(SUMSQ($G279*0.01*BI279,G279*(H279-0.01)*BJ279)))</f>
        <v>0</v>
      </c>
      <c r="AF279" s="109"/>
      <c r="AG279" s="114"/>
      <c r="AH279" s="564">
        <f>AH273*H279</f>
        <v>0</v>
      </c>
      <c r="AI279" s="565"/>
      <c r="AJ279" s="565"/>
      <c r="AK279" s="565">
        <f>AK273*H279</f>
        <v>0</v>
      </c>
      <c r="AL279" s="565"/>
      <c r="AM279" s="565"/>
      <c r="AN279" s="565">
        <f>AN273*H279</f>
        <v>0</v>
      </c>
      <c r="AO279" s="565"/>
      <c r="AP279" s="565"/>
      <c r="AQ279" s="565">
        <f>AQ273*H279</f>
        <v>0</v>
      </c>
      <c r="AR279" s="565"/>
      <c r="AS279" s="565"/>
      <c r="AT279" s="566">
        <f>SUM(AH279:AS279)</f>
        <v>0</v>
      </c>
      <c r="AU279" s="566"/>
      <c r="AV279" s="567"/>
      <c r="AW279" s="565">
        <f>AW273*H279</f>
        <v>0</v>
      </c>
      <c r="AX279" s="565"/>
      <c r="AY279" s="568"/>
      <c r="AZ279" s="565"/>
      <c r="BA279" s="565"/>
      <c r="BB279" s="565"/>
      <c r="BC279" s="565"/>
      <c r="BD279" s="565"/>
      <c r="BE279" s="565"/>
      <c r="BF279" s="565"/>
      <c r="BH279" s="1065">
        <f>IF($Y279&lt;&gt;"votre valeur :",IF(ISNA(VLOOKUP($Y279,Utilitaires!$N$566:$O$571,2,FALSE)),,VLOOKUP($Y279,Utilitaires!$N$566:$O$571,2,FALSE)),$Z279)</f>
        <v>0</v>
      </c>
      <c r="BI279" s="1124">
        <f>IF(ISNA(SQRT(SUMSQ(VLOOKUP(Descriptif!D252&amp;" - usage : Transports, France continentale, Base Carbone; kgCO2e/kWh, Amont",'FE Déplacements'!$G:$U,7,FALSE),$BH279))),0,SQRT(SUMSQ(VLOOKUP(Descriptif!D252&amp;" - usage : Transports, France continentale, Base Carbone; kgCO2e/kWh, Amont",'FE Déplacements'!$G:$U,7,FALSE),$BH279)))</f>
        <v>0</v>
      </c>
      <c r="BJ279" s="1130">
        <f>IF(
ISNA(
SQRT(SUMSQ(
VLOOKUP(Descriptif!D252&amp;" - usage : Transports, France continentale, Base Carbone; kgCO2e/kWh, Combustion à la centrale",'FE Déplacements'!$G:$U,7,FALSE),$BH279))),
0,SQRT(SUMSQ(VLOOKUP(Descriptif!D252&amp;" - usage : Transports, France continentale, Base Carbone; kgCO2e/kWh, Combustion à la centrale",'FE Déplacements'!$G:$U,7,FALSE),$BH279)))</f>
        <v>0</v>
      </c>
      <c r="BK279" s="109"/>
    </row>
    <row r="280" spans="1:71" ht="12.75" hidden="1" customHeight="1" outlineLevel="2">
      <c r="B280" s="143"/>
      <c r="C280" s="144"/>
      <c r="D280" s="375"/>
      <c r="E280" s="375"/>
      <c r="F280" s="144"/>
      <c r="G280" s="144"/>
      <c r="H280" s="144"/>
      <c r="I280" s="152"/>
      <c r="X280" s="143"/>
      <c r="Y280" s="144"/>
      <c r="Z280" s="169"/>
      <c r="AA280" s="169"/>
      <c r="AB280" s="164"/>
      <c r="AC280" s="164"/>
      <c r="AD280" s="164"/>
      <c r="AE280" s="357"/>
      <c r="AH280" s="569"/>
      <c r="AI280" s="625"/>
      <c r="AJ280" s="625"/>
      <c r="AK280" s="625"/>
      <c r="AL280" s="625"/>
      <c r="AM280" s="625"/>
      <c r="AN280" s="625"/>
      <c r="AO280" s="625"/>
      <c r="AP280" s="625"/>
      <c r="AQ280" s="625"/>
      <c r="AR280" s="625"/>
      <c r="AS280" s="625"/>
      <c r="AT280" s="1313"/>
      <c r="AU280" s="1313"/>
      <c r="AV280" s="1314"/>
      <c r="AW280" s="565"/>
      <c r="AX280" s="565"/>
      <c r="AY280" s="568"/>
      <c r="AZ280" s="565"/>
      <c r="BA280" s="565"/>
      <c r="BB280" s="565"/>
      <c r="BC280" s="565"/>
      <c r="BD280" s="565"/>
      <c r="BE280" s="565"/>
      <c r="BF280" s="565"/>
      <c r="BH280" s="1087"/>
      <c r="BI280" s="1075"/>
      <c r="BJ280" s="1131"/>
      <c r="BK280" s="109"/>
    </row>
    <row r="281" spans="1:71" s="109" customFormat="1" ht="15" hidden="1" customHeight="1" outlineLevel="2">
      <c r="A281" s="114"/>
      <c r="B281" s="196" t="s">
        <v>348</v>
      </c>
      <c r="C281" s="197"/>
      <c r="D281" s="214">
        <f>SUM(D279:D280)</f>
        <v>0</v>
      </c>
      <c r="E281" s="214"/>
      <c r="F281" s="199"/>
      <c r="G281" s="199"/>
      <c r="H281" s="199"/>
      <c r="I281" s="200">
        <f>SUM(I279:I280)</f>
        <v>0</v>
      </c>
      <c r="V281" s="114"/>
      <c r="W281" s="114"/>
      <c r="X281" s="1204">
        <f>IF(AE281=0,AE281,AE281/D281)</f>
        <v>0</v>
      </c>
      <c r="Y281" s="199"/>
      <c r="Z281" s="350"/>
      <c r="AA281" s="1338"/>
      <c r="AB281" s="203"/>
      <c r="AC281" s="203"/>
      <c r="AD281" s="203"/>
      <c r="AE281" s="200">
        <f>SQRT(SUMSQ(AE279:AE280))</f>
        <v>0</v>
      </c>
      <c r="AF281" s="114"/>
      <c r="AG281" s="116"/>
      <c r="AH281" s="1308">
        <f>SUM(AH279:AH280)</f>
        <v>0</v>
      </c>
      <c r="AI281" s="1309"/>
      <c r="AJ281" s="1309"/>
      <c r="AK281" s="1309">
        <f>SUM(AK279:AK280)</f>
        <v>0</v>
      </c>
      <c r="AL281" s="1309"/>
      <c r="AM281" s="1309"/>
      <c r="AN281" s="1309">
        <f>SUM(AN279:AN280)</f>
        <v>0</v>
      </c>
      <c r="AO281" s="1309"/>
      <c r="AP281" s="1309"/>
      <c r="AQ281" s="1309">
        <f>SUM(AQ279:AQ280)</f>
        <v>0</v>
      </c>
      <c r="AR281" s="572"/>
      <c r="AS281" s="572"/>
      <c r="AT281" s="573">
        <f>SUM(AT279:AT280)</f>
        <v>0</v>
      </c>
      <c r="AU281" s="1312"/>
      <c r="AV281" s="1312"/>
      <c r="AW281" s="1082">
        <f>SUM(AW279:AW280)</f>
        <v>0</v>
      </c>
      <c r="AX281" s="572"/>
      <c r="AY281" s="575"/>
      <c r="AZ281" s="2447"/>
      <c r="BA281" s="2447"/>
      <c r="BB281" s="2447"/>
      <c r="BC281" s="2447"/>
      <c r="BD281" s="2447"/>
      <c r="BE281" s="2447"/>
      <c r="BF281" s="2447"/>
      <c r="BH281" s="114"/>
      <c r="BI281" s="114"/>
      <c r="BJ281" s="114"/>
      <c r="BK281" s="114"/>
    </row>
    <row r="282" spans="1:71" s="109" customFormat="1" ht="12.75" hidden="1" customHeight="1" outlineLevel="2">
      <c r="A282" s="114"/>
      <c r="B282" s="114"/>
      <c r="C282" s="114"/>
      <c r="D282" s="114"/>
      <c r="E282" s="114"/>
      <c r="F282" s="114"/>
      <c r="G282" s="114"/>
      <c r="H282" s="114"/>
      <c r="I282" s="114"/>
      <c r="J282" s="114"/>
      <c r="K282" s="114"/>
      <c r="L282" s="116"/>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444"/>
      <c r="AI282" s="441"/>
      <c r="AJ282" s="441"/>
      <c r="AK282" s="441"/>
      <c r="AL282" s="441"/>
      <c r="AM282" s="441"/>
      <c r="AN282" s="441"/>
      <c r="AO282" s="441"/>
      <c r="AP282" s="441"/>
      <c r="AQ282" s="441"/>
      <c r="AR282" s="441"/>
      <c r="AS282" s="441"/>
      <c r="AT282" s="441"/>
      <c r="AU282" s="588"/>
      <c r="AV282" s="588"/>
      <c r="AW282" s="588"/>
      <c r="AX282" s="588"/>
      <c r="AY282" s="588"/>
      <c r="AZ282" s="588"/>
      <c r="BA282" s="588"/>
      <c r="BB282" s="588"/>
      <c r="BC282" s="588"/>
      <c r="BD282" s="588"/>
      <c r="BE282" s="588"/>
      <c r="BF282" s="588"/>
      <c r="BH282" s="114"/>
      <c r="BI282" s="114"/>
      <c r="BJ282" s="114"/>
      <c r="BK282" s="114"/>
    </row>
    <row r="283" spans="1:71" ht="12.75" hidden="1" customHeight="1" outlineLevel="2">
      <c r="B283" s="139" t="s">
        <v>2341</v>
      </c>
      <c r="C283" s="140"/>
      <c r="D283" s="1319"/>
      <c r="E283" s="1648"/>
      <c r="F283" s="141"/>
      <c r="G283" s="141"/>
      <c r="H283" s="1315"/>
      <c r="I283" s="1315"/>
      <c r="J283" s="1315"/>
      <c r="K283" s="1315"/>
      <c r="L283" s="1315"/>
      <c r="M283" s="1315"/>
      <c r="N283" s="1315"/>
      <c r="O283" s="1315"/>
      <c r="P283" s="1315"/>
      <c r="Q283" s="1315"/>
      <c r="R283" s="1315"/>
      <c r="S283" s="1319"/>
      <c r="T283" s="1319"/>
      <c r="U283" s="1859"/>
      <c r="W283" s="116"/>
      <c r="X283" s="2636" t="s">
        <v>366</v>
      </c>
      <c r="Y283" s="2637"/>
      <c r="Z283" s="2637"/>
      <c r="AA283" s="2637"/>
      <c r="AB283" s="2637"/>
      <c r="AC283" s="2637"/>
      <c r="AD283" s="2637"/>
      <c r="AE283" s="2637"/>
      <c r="AF283" s="2638"/>
      <c r="AH283" s="2639" t="s">
        <v>441</v>
      </c>
      <c r="AI283" s="2640"/>
      <c r="AJ283" s="2640"/>
      <c r="AK283" s="2640"/>
      <c r="AL283" s="2640"/>
      <c r="AM283" s="2640"/>
      <c r="AN283" s="2640"/>
      <c r="AO283" s="2640"/>
      <c r="AP283" s="2640"/>
      <c r="AQ283" s="2640"/>
      <c r="AR283" s="2640"/>
      <c r="AS283" s="2640"/>
      <c r="AT283" s="2640"/>
      <c r="AU283" s="2640"/>
      <c r="AV283" s="2640"/>
      <c r="AW283" s="2640"/>
      <c r="AX283" s="2640"/>
      <c r="AY283" s="2641"/>
      <c r="AZ283" s="2418"/>
      <c r="BA283" s="2418"/>
      <c r="BB283" s="2418"/>
      <c r="BC283" s="2418"/>
      <c r="BD283" s="2418"/>
      <c r="BE283" s="2418"/>
      <c r="BF283" s="2418"/>
    </row>
    <row r="284" spans="1:71" s="116" customFormat="1" ht="12.75" hidden="1" customHeight="1" outlineLevel="2">
      <c r="A284" s="114"/>
      <c r="B284" s="143"/>
      <c r="C284" s="144"/>
      <c r="D284" s="1334" t="s">
        <v>308</v>
      </c>
      <c r="E284" s="1663"/>
      <c r="F284" s="1317"/>
      <c r="G284" s="144"/>
      <c r="H284" s="144"/>
      <c r="I284" s="144"/>
      <c r="J284" s="144"/>
      <c r="K284" s="144"/>
      <c r="L284" s="144"/>
      <c r="M284" s="144"/>
      <c r="N284" s="144"/>
      <c r="O284" s="144"/>
      <c r="P284" s="144"/>
      <c r="Q284" s="144"/>
      <c r="R284" s="144"/>
      <c r="S284" s="144"/>
      <c r="T284" s="144"/>
      <c r="U284" s="153" t="s">
        <v>275</v>
      </c>
      <c r="X284" s="1316"/>
      <c r="Y284" s="819"/>
      <c r="Z284" s="819"/>
      <c r="AA284" s="144"/>
      <c r="AB284" s="144"/>
      <c r="AC284" s="144"/>
      <c r="AD284" s="1317"/>
      <c r="AE284" s="145"/>
      <c r="AF284" s="1324" t="s">
        <v>275</v>
      </c>
      <c r="AH284" s="2642" t="s">
        <v>444</v>
      </c>
      <c r="AI284" s="2643"/>
      <c r="AJ284" s="2643"/>
      <c r="AK284" s="2643"/>
      <c r="AL284" s="2643"/>
      <c r="AM284" s="2643"/>
      <c r="AN284" s="2643"/>
      <c r="AO284" s="2643"/>
      <c r="AP284" s="2643"/>
      <c r="AQ284" s="2643"/>
      <c r="AR284" s="2643"/>
      <c r="AS284" s="2643"/>
      <c r="AT284" s="2643" t="s">
        <v>444</v>
      </c>
      <c r="AU284" s="2643"/>
      <c r="AV284" s="628"/>
      <c r="AW284" s="1288"/>
      <c r="AX284" s="566"/>
      <c r="AY284" s="1333"/>
      <c r="AZ284" s="2286"/>
      <c r="BA284" s="2286"/>
      <c r="BB284" s="2286"/>
      <c r="BC284" s="2286"/>
      <c r="BD284" s="2286"/>
      <c r="BE284" s="2286"/>
      <c r="BF284" s="2286"/>
      <c r="BH284" s="2616" t="s">
        <v>1648</v>
      </c>
      <c r="BI284" s="2617"/>
      <c r="BJ284" s="2617"/>
      <c r="BK284" s="2617"/>
      <c r="BL284" s="2617"/>
      <c r="BM284" s="2617"/>
      <c r="BN284" s="2617"/>
      <c r="BO284" s="2617"/>
      <c r="BP284" s="2617"/>
      <c r="BQ284" s="2617"/>
      <c r="BR284" s="2617"/>
      <c r="BS284" s="2618"/>
    </row>
    <row r="285" spans="1:71" s="127" customFormat="1" ht="12.75" hidden="1" customHeight="1" outlineLevel="2">
      <c r="A285" s="109"/>
      <c r="B285" s="536"/>
      <c r="C285" s="144"/>
      <c r="D285" s="1334" t="s">
        <v>409</v>
      </c>
      <c r="E285" s="1663"/>
      <c r="F285" s="1320" t="s">
        <v>452</v>
      </c>
      <c r="G285" s="1320" t="s">
        <v>343</v>
      </c>
      <c r="H285" s="2626" t="s">
        <v>1572</v>
      </c>
      <c r="I285" s="2627"/>
      <c r="J285" s="1320" t="s">
        <v>343</v>
      </c>
      <c r="K285" s="2626" t="s">
        <v>1573</v>
      </c>
      <c r="L285" s="2627"/>
      <c r="M285" s="1320" t="s">
        <v>343</v>
      </c>
      <c r="N285" s="2626" t="s">
        <v>1575</v>
      </c>
      <c r="O285" s="2627"/>
      <c r="P285" s="1320" t="s">
        <v>343</v>
      </c>
      <c r="Q285" s="2626" t="s">
        <v>1574</v>
      </c>
      <c r="R285" s="2628"/>
      <c r="S285" s="1334" t="s">
        <v>444</v>
      </c>
      <c r="T285" s="1334" t="s">
        <v>444</v>
      </c>
      <c r="U285" s="153" t="s">
        <v>276</v>
      </c>
      <c r="X285" s="1316" t="s">
        <v>316</v>
      </c>
      <c r="Y285" s="2629" t="s">
        <v>316</v>
      </c>
      <c r="Z285" s="2630"/>
      <c r="AA285" s="1656" t="s">
        <v>444</v>
      </c>
      <c r="AB285" s="1656" t="s">
        <v>444</v>
      </c>
      <c r="AC285" s="2419"/>
      <c r="AD285" s="1317"/>
      <c r="AE285" s="1337" t="s">
        <v>444</v>
      </c>
      <c r="AF285" s="1324" t="s">
        <v>276</v>
      </c>
      <c r="AH285" s="2631" t="s">
        <v>211</v>
      </c>
      <c r="AI285" s="2632"/>
      <c r="AJ285" s="2632"/>
      <c r="AK285" s="2632" t="s">
        <v>442</v>
      </c>
      <c r="AL285" s="2632"/>
      <c r="AM285" s="2632"/>
      <c r="AN285" s="2632" t="s">
        <v>267</v>
      </c>
      <c r="AO285" s="2632"/>
      <c r="AP285" s="2632"/>
      <c r="AQ285" s="2632" t="s">
        <v>443</v>
      </c>
      <c r="AR285" s="2632"/>
      <c r="AS285" s="2632"/>
      <c r="AT285" s="2648" t="s">
        <v>327</v>
      </c>
      <c r="AU285" s="2648"/>
      <c r="AV285" s="568"/>
      <c r="AW285" s="2631" t="s">
        <v>636</v>
      </c>
      <c r="AX285" s="2632"/>
      <c r="AY285" s="568"/>
      <c r="AZ285" s="565"/>
      <c r="BA285" s="565"/>
      <c r="BB285" s="565"/>
      <c r="BC285" s="565"/>
      <c r="BD285" s="565"/>
      <c r="BE285" s="565"/>
      <c r="BF285" s="565"/>
      <c r="BH285" s="2614" t="s">
        <v>1646</v>
      </c>
      <c r="BI285" s="2645"/>
      <c r="BJ285" s="2645"/>
      <c r="BK285" s="2615"/>
      <c r="BL285" s="2614" t="s">
        <v>1644</v>
      </c>
      <c r="BM285" s="2645"/>
      <c r="BN285" s="2645"/>
      <c r="BO285" s="2615"/>
      <c r="BP285" s="2614" t="s">
        <v>1645</v>
      </c>
      <c r="BQ285" s="2645"/>
      <c r="BR285" s="2645"/>
      <c r="BS285" s="2615"/>
    </row>
    <row r="286" spans="1:71" s="116" customFormat="1" ht="12.75" hidden="1" customHeight="1" outlineLevel="2">
      <c r="A286" s="114"/>
      <c r="B286" s="536" t="s">
        <v>1628</v>
      </c>
      <c r="C286" s="144"/>
      <c r="D286" s="315"/>
      <c r="E286" s="315"/>
      <c r="F286" s="1321" t="s">
        <v>453</v>
      </c>
      <c r="G286" s="1321" t="s">
        <v>1621</v>
      </c>
      <c r="H286" s="1322" t="s">
        <v>411</v>
      </c>
      <c r="I286" s="1322" t="s">
        <v>257</v>
      </c>
      <c r="J286" s="1321" t="s">
        <v>790</v>
      </c>
      <c r="K286" s="1322" t="s">
        <v>411</v>
      </c>
      <c r="L286" s="1322" t="s">
        <v>257</v>
      </c>
      <c r="M286" s="1321" t="s">
        <v>791</v>
      </c>
      <c r="N286" s="1322" t="s">
        <v>411</v>
      </c>
      <c r="O286" s="1322" t="s">
        <v>257</v>
      </c>
      <c r="P286" s="1321" t="s">
        <v>213</v>
      </c>
      <c r="Q286" s="1322" t="s">
        <v>411</v>
      </c>
      <c r="R286" s="1322" t="s">
        <v>257</v>
      </c>
      <c r="S286" s="1318" t="s">
        <v>411</v>
      </c>
      <c r="T286" s="1318" t="s">
        <v>257</v>
      </c>
      <c r="U286" s="153" t="s">
        <v>444</v>
      </c>
      <c r="X286" s="1316" t="s">
        <v>1649</v>
      </c>
      <c r="Y286" s="2646" t="s">
        <v>1650</v>
      </c>
      <c r="Z286" s="2647"/>
      <c r="AA286" s="1662" t="s">
        <v>411</v>
      </c>
      <c r="AB286" s="1662" t="s">
        <v>257</v>
      </c>
      <c r="AC286" s="1662"/>
      <c r="AD286" s="1332"/>
      <c r="AE286" s="162" t="s">
        <v>327</v>
      </c>
      <c r="AF286" s="1324" t="s">
        <v>444</v>
      </c>
      <c r="AH286" s="1331" t="s">
        <v>411</v>
      </c>
      <c r="AI286" s="1332" t="s">
        <v>257</v>
      </c>
      <c r="AJ286" s="1332"/>
      <c r="AK286" s="1332" t="s">
        <v>411</v>
      </c>
      <c r="AL286" s="1332" t="s">
        <v>257</v>
      </c>
      <c r="AM286" s="1332"/>
      <c r="AN286" s="1332" t="s">
        <v>411</v>
      </c>
      <c r="AO286" s="1332" t="s">
        <v>257</v>
      </c>
      <c r="AP286" s="1332"/>
      <c r="AQ286" s="1332" t="s">
        <v>411</v>
      </c>
      <c r="AR286" s="1332" t="s">
        <v>257</v>
      </c>
      <c r="AS286" s="1332"/>
      <c r="AT286" s="581" t="s">
        <v>411</v>
      </c>
      <c r="AU286" s="581" t="s">
        <v>257</v>
      </c>
      <c r="AV286" s="582"/>
      <c r="AW286" s="1331" t="s">
        <v>411</v>
      </c>
      <c r="AX286" s="1332" t="s">
        <v>257</v>
      </c>
      <c r="AY286" s="1333"/>
      <c r="AZ286" s="2286"/>
      <c r="BA286" s="2286"/>
      <c r="BB286" s="2286"/>
      <c r="BC286" s="2286"/>
      <c r="BD286" s="2286"/>
      <c r="BE286" s="2286"/>
      <c r="BF286" s="2286"/>
      <c r="BH286" s="1065"/>
      <c r="BI286" s="1065"/>
      <c r="BJ286" s="1065"/>
      <c r="BK286" s="1065"/>
      <c r="BL286" s="1124"/>
      <c r="BM286" s="1068"/>
      <c r="BN286" s="1068"/>
      <c r="BO286" s="1068"/>
      <c r="BP286" s="1069"/>
      <c r="BQ286" s="1070"/>
      <c r="BR286" s="1070"/>
      <c r="BS286" s="1071"/>
    </row>
    <row r="287" spans="1:71" s="116" customFormat="1" ht="12.75" hidden="1" customHeight="1" outlineLevel="2">
      <c r="A287" s="114"/>
      <c r="B287" s="143" t="s">
        <v>1630</v>
      </c>
      <c r="C287" s="144"/>
      <c r="D287" s="315">
        <f>SUM(S287,T287)</f>
        <v>0</v>
      </c>
      <c r="E287" s="315"/>
      <c r="F287" s="344"/>
      <c r="G287" s="1201"/>
      <c r="H287" s="335" t="e">
        <f>VLOOKUP($B287&amp;"; "&amp;$H$285&amp;", "&amp;H$286,'FE Energie'!$G:$U,9,FALSE)</f>
        <v>#N/A</v>
      </c>
      <c r="I287" s="335" t="e">
        <f>VLOOKUP($B287&amp;"; "&amp;$H$285&amp;", "&amp;I$286,'FE Energie'!$G:$U,9,FALSE)</f>
        <v>#N/A</v>
      </c>
      <c r="J287" s="1201"/>
      <c r="K287" s="223">
        <f>VLOOKUP($B287&amp;"; "&amp;$K$285&amp;", "&amp;K$286,'FE Energie'!$G:$U,9,FALSE)</f>
        <v>7.8399999999999997E-2</v>
      </c>
      <c r="L287" s="223">
        <f>VLOOKUP($B287&amp;"; "&amp;$K$285&amp;", "&amp;L$286,'FE Energie'!$G:$U,9,FALSE)</f>
        <v>0.19500000000000001</v>
      </c>
      <c r="M287" s="1201"/>
      <c r="N287" s="217">
        <f>VLOOKUP($B287&amp;"; "&amp;$N$285&amp;", "&amp;N$286,'FE Energie'!$G:$U,9,FALSE)</f>
        <v>916</v>
      </c>
      <c r="O287" s="217">
        <f>VLOOKUP($B287&amp;"; "&amp;$N$285&amp;", "&amp;O$286,'FE Energie'!$G:$U,9,FALSE)</f>
        <v>2269</v>
      </c>
      <c r="P287" s="1201"/>
      <c r="Q287" s="223">
        <f>VLOOKUP($B287&amp;"; "&amp;$Q$285&amp;", "&amp;Q$286,'FE Energie'!$G:$U,9,FALSE)</f>
        <v>0.75800000000000001</v>
      </c>
      <c r="R287" s="223">
        <f>VLOOKUP($B287&amp;"; "&amp;$Q$285&amp;", "&amp;R$286,'FE Energie'!$G:$U,9,FALSE)</f>
        <v>1.88</v>
      </c>
      <c r="S287" s="566">
        <f>IF(ISNA(G287*H287),0,G287*H287)+IF(ISNA(J287*K287),0,J287*K287)+IF(ISNA(M287*N287),0,M287*N287)+IF(ISNA(P287*Q287),0,P287*Q287)</f>
        <v>0</v>
      </c>
      <c r="T287" s="566">
        <f>IF(ISNA(G287*I287),0,G287*I287)+IF(ISNA(J287*L287),0,J287*L287)+IF(ISNA(M287*O287),0,M287*O287)+IF(ISNA(P287*R287),0,P287*R287)</f>
        <v>0</v>
      </c>
      <c r="U287" s="1286">
        <f>IF(OR(F287=Utilitaires!$I$572,F287=Utilitaires!$I$577),T287,0)</f>
        <v>0</v>
      </c>
      <c r="X287" s="1092">
        <f>IF(AE287=0,AE287,AE287/(S287+T287))</f>
        <v>0</v>
      </c>
      <c r="Y287" s="343"/>
      <c r="Z287" s="820"/>
      <c r="AA287" s="164">
        <f>SQRT(SUMSQ(IF(ISNA($G287*H287*BL287),0,$G287*H287*BL287),IF(ISNA($J287*K287*BM287),0,$J287*K287*BM287),IF(ISNA($M287*N287*BN287),0,$M287*N287*BN287),IF(ISNA($P287*Q287*BO287),0,$P287*Q287*BO287)))</f>
        <v>0</v>
      </c>
      <c r="AB287" s="164">
        <f>SQRT(SUMSQ(IF(ISNA($G287*I287*BP287),0,$G287*I287*BP287),IF(ISNA($J287*L287*BQ287),0,$J287*L287*BQ287),IF(ISNA($M287*O287*BR287),0,$M287*O287*BR287),IF(ISNA($P287*R287*BS287),0,$P287*R287*BS287)))</f>
        <v>0</v>
      </c>
      <c r="AC287" s="164"/>
      <c r="AD287" s="164"/>
      <c r="AE287" s="152">
        <f>SQRT(SUMSQ(AA287,AB287))</f>
        <v>0</v>
      </c>
      <c r="AF287" s="165">
        <f>U287*X287</f>
        <v>0</v>
      </c>
      <c r="AH287" s="564">
        <f>$G287*IF(ISNA(VLOOKUP($B287&amp;"; "&amp;$H$53&amp;", "&amp;H$54,'FE Energie'!$G:$U,10,FALSE)),0,VLOOKUP($B287&amp;"; "&amp;$H$53&amp;", "&amp;H$54,'FE Energie'!$G:$U,10,FALSE))
+$J287*IF(ISNA(VLOOKUP($B287&amp;"; "&amp;$K$53&amp;", "&amp;H$54,'FE Energie'!$G:$U,10,FALSE)),0,VLOOKUP($B287&amp;"; "&amp;$K$53&amp;", "&amp;H$54,'FE Energie'!$G:$U,10,FALSE))
+$M287*IF(ISNA(VLOOKUP($B287&amp;"; "&amp;$N$53&amp;", "&amp;H$54,'FE Energie'!$G:$U,10,FALSE)),0,VLOOKUP($B287&amp;"; "&amp;$N$53&amp;", "&amp;H$54,'FE Energie'!$G:$U,10,FALSE))
+$P287*IF(ISNA(VLOOKUP($B287&amp;"; "&amp;$Q$53&amp;", "&amp;H$54,'FE Energie'!$G:$U,10,FALSE)),0,VLOOKUP($B287&amp;"; "&amp;$Q$53&amp;", "&amp;H$54,'FE Energie'!$G:$U,10,FALSE))</f>
        <v>0</v>
      </c>
      <c r="AI287" s="565">
        <f>$G287*IF(ISNA(VLOOKUP($B287&amp;"; "&amp;$H$53&amp;", "&amp;I$54,'FE Energie'!$G:$U,10,FALSE)),0,VLOOKUP($B287&amp;"; "&amp;$H$53&amp;", "&amp;I$54,'FE Energie'!$G:$U,10,FALSE))
+$J287*IF(ISNA(VLOOKUP($B287&amp;"; "&amp;$K$53&amp;", "&amp;I$54,'FE Energie'!$G:$U,10,FALSE)),0,VLOOKUP($B287&amp;"; "&amp;$K$53&amp;", "&amp;I$54,'FE Energie'!$G:$U,10,FALSE))
+$M287*IF(ISNA(VLOOKUP($B287&amp;"; "&amp;$N$53&amp;", "&amp;I$54,'FE Energie'!$G:$U,10,FALSE)),0,VLOOKUP($B287&amp;"; "&amp;$N$53&amp;", "&amp;I$54,'FE Energie'!$G:$U,10,FALSE))
+$P287*IF(ISNA(VLOOKUP($B287&amp;"; "&amp;$Q$53&amp;", "&amp;I$54,'FE Energie'!$G:$U,10,FALSE)),0,VLOOKUP($B287&amp;"; "&amp;$Q$53&amp;", "&amp;I$54,'FE Energie'!$G:$U,10,FALSE))</f>
        <v>0</v>
      </c>
      <c r="AJ287" s="565"/>
      <c r="AK287" s="565">
        <f>$G287*IF(ISNA((VLOOKUP($B287&amp;"; "&amp;$H$53&amp;", "&amp;H$54,'FE Energie'!$G:$U,11,FALSE)+VLOOKUP($B287&amp;"; "&amp;$H$53&amp;", "&amp;H$54,'FE Energie'!$G:$U,12,FALSE))),0,(VLOOKUP($B287&amp;"; "&amp;$H$53&amp;", "&amp;H$54,'FE Energie'!$G:$U,11,FALSE)+VLOOKUP($B287&amp;"; "&amp;$H$53&amp;", "&amp;H$54,'FE Energie'!$G:$U,12,FALSE)))
+$J287*IF(ISNA((VLOOKUP($B287&amp;"; "&amp;$K$53&amp;", "&amp;H$54,'FE Energie'!$G:$U,11,FALSE)+VLOOKUP($B287&amp;"; "&amp;$K$53&amp;", "&amp;H$54,'FE Energie'!$G:$U,12,FALSE))),0,(VLOOKUP($B287&amp;"; "&amp;$K$53&amp;", "&amp;H$54,'FE Energie'!$G:$U,11,FALSE)+VLOOKUP($B287&amp;"; "&amp;$K$53&amp;", "&amp;H$54,'FE Energie'!$G:$U,12,FALSE)))
+$M287*IF(ISNA((VLOOKUP($B287&amp;"; "&amp;$N$53&amp;", "&amp;H$54,'FE Energie'!$G:$U,11,FALSE)+VLOOKUP($B287&amp;"; "&amp;$N$53&amp;", "&amp;H$54,'FE Energie'!$G:$U,12,FALSE))),0,(VLOOKUP($B287&amp;"; "&amp;$N$53&amp;", "&amp;H$54,'FE Energie'!$G:$U,11,FALSE)+VLOOKUP($B287&amp;"; "&amp;$N$53&amp;", "&amp;H$54,'FE Energie'!$G:$U,12,FALSE)))
+$P287*IF(ISNA((VLOOKUP($B287&amp;"; "&amp;$Q$53&amp;", "&amp;H$54,'FE Energie'!$G:$U,11,FALSE)+VLOOKUP($B287&amp;"; "&amp;$Q$53&amp;", "&amp;H$54,'FE Energie'!$G:$U,12,FALSE))),0,(VLOOKUP($B287&amp;"; "&amp;$Q$53&amp;", "&amp;H$54,'FE Energie'!$G:$U,11,FALSE)+VLOOKUP($B287&amp;"; "&amp;$Q$53&amp;", "&amp;H$54,'FE Energie'!$G:$U,12,FALSE)))</f>
        <v>0</v>
      </c>
      <c r="AL287" s="565">
        <f>$G287*IF(ISNA((VLOOKUP($B287&amp;"; "&amp;$H$53&amp;", "&amp;I$54,'FE Energie'!$G:$U,11,FALSE)+VLOOKUP($B287&amp;"; "&amp;$H$53&amp;", "&amp;I$54,'FE Energie'!$G:$U,12,FALSE))),0,(VLOOKUP($B287&amp;"; "&amp;$H$53&amp;", "&amp;I$54,'FE Energie'!$G:$U,11,FALSE)+VLOOKUP($B287&amp;"; "&amp;$H$53&amp;", "&amp;I$54,'FE Energie'!$G:$U,12,FALSE)))
+$J287*IF(ISNA((VLOOKUP($B287&amp;"; "&amp;$K$53&amp;", "&amp;I$54,'FE Energie'!$G:$U,11,FALSE)+VLOOKUP($B287&amp;"; "&amp;$K$53&amp;", "&amp;I$54,'FE Energie'!$G:$U,12,FALSE))),0,(VLOOKUP($B287&amp;"; "&amp;$K$53&amp;", "&amp;I$54,'FE Energie'!$G:$U,11,FALSE)+VLOOKUP($B287&amp;"; "&amp;$K$53&amp;", "&amp;I$54,'FE Energie'!$G:$U,12,FALSE)))
+$M287*IF(ISNA((VLOOKUP($B287&amp;"; "&amp;$N$53&amp;", "&amp;I$54,'FE Energie'!$G:$U,11,FALSE)+VLOOKUP($B287&amp;"; "&amp;$N$53&amp;", "&amp;I$54,'FE Energie'!$G:$U,12,FALSE))),0,(VLOOKUP($B287&amp;"; "&amp;$N$53&amp;", "&amp;I$54,'FE Energie'!$G:$U,11,FALSE)+VLOOKUP($B287&amp;"; "&amp;$N$53&amp;", "&amp;I$54,'FE Energie'!$G:$U,12,FALSE)))
+$P287*IF(ISNA((VLOOKUP($B287&amp;"; "&amp;$Q$53&amp;", "&amp;I$54,'FE Energie'!$G:$U,11,FALSE)+VLOOKUP($B287&amp;"; "&amp;$Q$53&amp;", "&amp;I$54,'FE Energie'!$G:$U,12,FALSE))),0,(VLOOKUP($B287&amp;"; "&amp;$Q$53&amp;", "&amp;I$54,'FE Energie'!$G:$U,11,FALSE)+VLOOKUP($B287&amp;"; "&amp;$Q$53&amp;", "&amp;I$54,'FE Energie'!$G:$U,12,FALSE)))</f>
        <v>0</v>
      </c>
      <c r="AM287" s="565"/>
      <c r="AN287" s="565">
        <f>$G287*IF(ISNA(VLOOKUP($B287&amp;"; "&amp;$H$53&amp;", "&amp;H$54,'FE Energie'!$G:$U,13,FALSE)),0,VLOOKUP($B287&amp;"; "&amp;$H$53&amp;", "&amp;H$54,'FE Energie'!$G:$U,13,FALSE))
+$J287*IF(ISNA(VLOOKUP($B287&amp;"; "&amp;$K$53&amp;", "&amp;H$54,'FE Energie'!$G:$U,13,FALSE)),0,VLOOKUP($B287&amp;"; "&amp;$K$53&amp;", "&amp;H$54,'FE Energie'!$G:$U,13,FALSE))
+$M287*IF(ISNA(VLOOKUP($B287&amp;"; "&amp;$N$53&amp;", "&amp;H$54,'FE Energie'!$G:$U,13,FALSE)),0,VLOOKUP($B287&amp;"; "&amp;$N$53&amp;", "&amp;H$54,'FE Energie'!$G:$U,13,FALSE))
+$P287*IF(ISNA(VLOOKUP($B287&amp;"; "&amp;$Q$53&amp;", "&amp;H$54,'FE Energie'!$G:$U,13,FALSE)),0,VLOOKUP($B287&amp;"; "&amp;$Q$53&amp;", "&amp;H$54,'FE Energie'!$G:$U,13,FALSE))</f>
        <v>0</v>
      </c>
      <c r="AO287" s="565">
        <f>$G287*IF(ISNA(VLOOKUP($B287&amp;"; "&amp;$H$53&amp;", "&amp;I$54,'FE Energie'!$G:$U,13,FALSE)),0,VLOOKUP($B287&amp;"; "&amp;$H$53&amp;", "&amp;I$54,'FE Energie'!$G:$U,13,FALSE))
+$J287*IF(ISNA(VLOOKUP($B287&amp;"; "&amp;$K$53&amp;", "&amp;I$54,'FE Energie'!$G:$U,13,FALSE)),0,VLOOKUP($B287&amp;"; "&amp;$K$53&amp;", "&amp;I$54,'FE Energie'!$G:$U,13,FALSE))
+$M287*IF(ISNA(VLOOKUP($B287&amp;"; "&amp;$N$53&amp;", "&amp;I$54,'FE Energie'!$G:$U,13,FALSE)),0,VLOOKUP($B287&amp;"; "&amp;$N$53&amp;", "&amp;I$54,'FE Energie'!$G:$U,13,FALSE))
+$P287*IF(ISNA(VLOOKUP($B287&amp;"; "&amp;$Q$53&amp;", "&amp;I$54,'FE Energie'!$G:$U,13,FALSE)),0,VLOOKUP($B287&amp;"; "&amp;$Q$53&amp;", "&amp;I$54,'FE Energie'!$G:$U,13,FALSE))</f>
        <v>0</v>
      </c>
      <c r="AP287" s="565"/>
      <c r="AQ287" s="565">
        <f>$G287*IF(ISNA(VLOOKUP($B287&amp;"; "&amp;$H$53&amp;", "&amp;H$54,'FE Energie'!$G:$U,14,FALSE)),0,VLOOKUP($B287&amp;"; "&amp;$H$53&amp;", "&amp;H$54,'FE Energie'!$G:$U,14,FALSE))
+$J287*IF(ISNA(VLOOKUP($B287&amp;"; "&amp;$K$53&amp;", "&amp;H$54,'FE Energie'!$G:$U,14,FALSE)),0,VLOOKUP($B287&amp;"; "&amp;$K$53&amp;", "&amp;H$54,'FE Energie'!$G:$U,14,FALSE))
+$M287*IF(ISNA(VLOOKUP($B287&amp;"; "&amp;$N$53&amp;", "&amp;H$54,'FE Energie'!$G:$U,14,FALSE)),0,VLOOKUP($B287&amp;"; "&amp;$N$53&amp;", "&amp;H$54,'FE Energie'!$G:$U,14,FALSE))
+$P287*IF(ISNA(VLOOKUP($B287&amp;"; "&amp;$Q$53&amp;", "&amp;H$54,'FE Energie'!$G:$U,14,FALSE)),0,VLOOKUP($B287&amp;"; "&amp;$Q$53&amp;", "&amp;H$54,'FE Energie'!$G:$U,14,FALSE))</f>
        <v>0</v>
      </c>
      <c r="AR287" s="565">
        <f>$G287*IF(ISNA(VLOOKUP($B287&amp;"; "&amp;$H$53&amp;", "&amp;I$54,'FE Energie'!$G:$U,14,FALSE)),0,VLOOKUP($B287&amp;"; "&amp;$H$53&amp;", "&amp;I$54,'FE Energie'!$G:$U,14,FALSE))
+$J287*IF(ISNA(VLOOKUP($B287&amp;"; "&amp;$K$53&amp;", "&amp;I$54,'FE Energie'!$G:$U,14,FALSE)),0,VLOOKUP($B287&amp;"; "&amp;$K$53&amp;", "&amp;I$54,'FE Energie'!$G:$U,14,FALSE))
+$M287*IF(ISNA(VLOOKUP($B287&amp;"; "&amp;$N$53&amp;", "&amp;I$54,'FE Energie'!$G:$U,14,FALSE)),0,VLOOKUP($B287&amp;"; "&amp;$N$53&amp;", "&amp;I$54,'FE Energie'!$G:$U,14,FALSE))
+$P287*IF(ISNA(VLOOKUP($B287&amp;"; "&amp;$Q$53&amp;", "&amp;I$54,'FE Energie'!$G:$U,14,FALSE)),0,VLOOKUP($B287&amp;"; "&amp;$Q$53&amp;", "&amp;I$54,'FE Energie'!$G:$U,14,FALSE))</f>
        <v>0</v>
      </c>
      <c r="AS287" s="565"/>
      <c r="AT287" s="566">
        <f>SUM(AH287,AK287,AN287,AQ287)</f>
        <v>0</v>
      </c>
      <c r="AU287" s="566">
        <f>SUM(AI287,AL287,AO287,AR287)</f>
        <v>0</v>
      </c>
      <c r="AV287" s="567"/>
      <c r="AW287" s="564">
        <f>$G287*IF(ISNA(VLOOKUP($B287&amp;"; "&amp;$H$53&amp;", "&amp;H$54,'FE Energie'!$G:$U,15,FALSE)),0,VLOOKUP($B287&amp;"; "&amp;$H$53&amp;", "&amp;H$54,'FE Energie'!$G:$U,15,FALSE))
+$J287*IF(ISNA(VLOOKUP($B287&amp;"; "&amp;$K$53&amp;", "&amp;H$54,'FE Energie'!$G:$U,15,FALSE)),0,VLOOKUP($B287&amp;"; "&amp;$K$53&amp;", "&amp;H$54,'FE Energie'!$G:$U,15,FALSE))
+$M287*IF(ISNA(VLOOKUP($B287&amp;"; "&amp;$N$53&amp;", "&amp;H$54,'FE Energie'!$G:$U,15,FALSE)),0,VLOOKUP($B287&amp;"; "&amp;$N$53&amp;", "&amp;H$54,'FE Energie'!$G:$U,15,FALSE))
+$P287*IF(ISNA(VLOOKUP($B287&amp;"; "&amp;$Q$53&amp;", "&amp;H$54,'FE Energie'!$G:$U,15,FALSE)),0,VLOOKUP($B287&amp;"; "&amp;$Q$53&amp;", "&amp;H$54,'FE Energie'!$G:$U,15,FALSE))</f>
        <v>0</v>
      </c>
      <c r="AX287" s="565">
        <f>$G287*IF(ISNA(VLOOKUP($B287&amp;"; "&amp;$H$53&amp;", "&amp;I$54,'FE Energie'!$G:$U,15,FALSE)),0,VLOOKUP($B287&amp;"; "&amp;$H$53&amp;", "&amp;I$54,'FE Energie'!$G:$U,15,FALSE))
+$J287*IF(ISNA(VLOOKUP($B287&amp;"; "&amp;$K$53&amp;", "&amp;I$54,'FE Energie'!$G:$U,15,FALSE)),0,VLOOKUP($B287&amp;"; "&amp;$K$53&amp;", "&amp;I$54,'FE Energie'!$G:$U,15,FALSE))
+$M287*IF(ISNA(VLOOKUP($B287&amp;"; "&amp;$N$53&amp;", "&amp;I$54,'FE Energie'!$G:$U,15,FALSE)),0,VLOOKUP($B287&amp;"; "&amp;$N$53&amp;", "&amp;I$54,'FE Energie'!$G:$U,15,FALSE))
+$P287*IF(ISNA(VLOOKUP($B287&amp;"; "&amp;$Q$53&amp;", "&amp;I$54,'FE Energie'!$G:$U,15,FALSE)),0,VLOOKUP($B287&amp;"; "&amp;$Q$53&amp;", "&amp;I$54,'FE Energie'!$G:$U,15,FALSE))</f>
        <v>0</v>
      </c>
      <c r="AY287" s="568"/>
      <c r="AZ287" s="565"/>
      <c r="BA287" s="565"/>
      <c r="BB287" s="565"/>
      <c r="BC287" s="565"/>
      <c r="BD287" s="565"/>
      <c r="BE287" s="565"/>
      <c r="BF287" s="565"/>
      <c r="BH287" s="1065">
        <f>IF($Y287&lt;&gt;"votre valeur :",IF(ISNA(VLOOKUP($Y287,Utilitaires!$N$566:$O$571,2,FALSE)),,VLOOKUP($Y287,Utilitaires!$N$566:$O$571,2,FALSE)),$Z287)</f>
        <v>0</v>
      </c>
      <c r="BI287" s="1065">
        <f>IF($Y287&lt;&gt;"votre valeur :",IF(ISNA(VLOOKUP($Y287,Utilitaires!$N$566:$O$571,2,FALSE)),,VLOOKUP($Y287,Utilitaires!$N$566:$O$571,2,FALSE)),$Z287)</f>
        <v>0</v>
      </c>
      <c r="BJ287" s="1065">
        <f>IF($Y287&lt;&gt;"votre valeur :",IF(ISNA(VLOOKUP($Y287,Utilitaires!$N$566:$O$571,2,FALSE)),,VLOOKUP($Y287,Utilitaires!$N$566:$O$571,2,FALSE)),$Z287)</f>
        <v>0</v>
      </c>
      <c r="BK287" s="1065">
        <f>IF($Y287&lt;&gt;"votre valeur :",IF(ISNA(VLOOKUP($Y287,Utilitaires!$N$566:$O$571,2,FALSE)),,VLOOKUP($Y287,Utilitaires!$N$566:$O$571,2,FALSE)),$Z287)</f>
        <v>0</v>
      </c>
      <c r="BL287" s="1124">
        <f>IF(ISNA(SQRT(SUMSQ(VLOOKUP($B287&amp;"; "&amp;$H$53&amp;", "&amp;$H$54,'FE Energie'!$G:$U,7,FALSE),$BH287))),0,SQRT(SUMSQ(VLOOKUP($B287&amp;"; "&amp;$H$53&amp;", "&amp;$H$54,'FE Energie'!$G:$U,7,FALSE),$BH287)))</f>
        <v>0</v>
      </c>
      <c r="BM287" s="1068">
        <f>IF(ISNA(SQRT(SUMSQ(VLOOKUP($B287&amp;"; "&amp;$K$53&amp;", "&amp;$K$54,'FE Energie'!$G:$U,7,FALSE),$BI287))),0,SQRT(SUMSQ(VLOOKUP($B287&amp;"; "&amp;$K$53&amp;", "&amp;$K$54,'FE Energie'!$G:$U,7,FALSE),$BI287)))</f>
        <v>0.05</v>
      </c>
      <c r="BN287" s="1068">
        <f>IF(ISNA(SQRT(SUMSQ(VLOOKUP($B287&amp;"; "&amp;$N$53&amp;", "&amp;$N$54,'FE Energie'!$G:$U,7,FALSE),$BJ287))),0,SQRT(SUMSQ(VLOOKUP($B287&amp;"; "&amp;$N$53&amp;", "&amp;$N$54,'FE Energie'!$G:$U,7,FALSE),$BJ287)))</f>
        <v>0.05</v>
      </c>
      <c r="BO287" s="1068">
        <f>IF(ISNA(SQRT(SUMSQ(VLOOKUP($B287&amp;"; "&amp;$Q$53&amp;", "&amp;$Q$54,'FE Energie'!$G:$U,7,FALSE),$BK287))),0,SQRT(SUMSQ(VLOOKUP($B287&amp;"; "&amp;$Q$53&amp;", "&amp;$Q$54,'FE Energie'!$G:$U,7,FALSE),$BK287)))</f>
        <v>0.1</v>
      </c>
      <c r="BP287" s="1069">
        <f>IF(ISNA(SQRT(SUMSQ(VLOOKUP($B287&amp;"; "&amp;$H$53&amp;", "&amp;$I$54,'FE Energie'!$G:$U,7,FALSE),$BH287))),0,SQRT(SUMSQ(VLOOKUP($B287&amp;"; "&amp;$H$53&amp;", "&amp;$I$54,'FE Energie'!$G:$U,7,FALSE),$BH287)))</f>
        <v>0</v>
      </c>
      <c r="BQ287" s="1070">
        <f>IF(ISNA(SQRT(SUMSQ(VLOOKUP($B287&amp;"; "&amp;$K$53&amp;", "&amp;$L$54,'FE Energie'!$G:$U,7,FALSE),$BI287))),0,SQRT(SUMSQ(VLOOKUP($B287&amp;"; "&amp;$K$53&amp;", "&amp;$L$54,'FE Energie'!$G:$U,7,FALSE),$BI287)))</f>
        <v>0.05</v>
      </c>
      <c r="BR287" s="1070">
        <f>IF(ISNA(SQRT(SUMSQ(VLOOKUP($B287&amp;"; "&amp;$N$53&amp;", "&amp;$O$54,'FE Energie'!$G:$U,7,FALSE),$BJ287))),0,SQRT(SUMSQ(VLOOKUP($B287&amp;"; "&amp;$N$53&amp;", "&amp;$O$54,'FE Energie'!$G:$U,7,FALSE),$BJ287)))</f>
        <v>0.05</v>
      </c>
      <c r="BS287" s="1071">
        <f>IF(ISNA(SQRT(SUMSQ(VLOOKUP($B287&amp;"; "&amp;$Q$53&amp;", "&amp;$R$54,'FE Energie'!$G:$U,7,FALSE),$BK287))),0,SQRT(SUMSQ(VLOOKUP($B287&amp;"; "&amp;$Q$53&amp;", "&amp;$R$54,'FE Energie'!$G:$U,7,FALSE),$BK287)))</f>
        <v>0.1</v>
      </c>
    </row>
    <row r="288" spans="1:71" s="116" customFormat="1" ht="12.75" hidden="1" customHeight="1" outlineLevel="2">
      <c r="A288" s="114"/>
      <c r="B288" s="143" t="s">
        <v>1631</v>
      </c>
      <c r="C288" s="144"/>
      <c r="D288" s="315">
        <f>SUM(S288,T288)</f>
        <v>0</v>
      </c>
      <c r="E288" s="315"/>
      <c r="F288" s="345"/>
      <c r="G288" s="1086"/>
      <c r="H288" s="335">
        <f>VLOOKUP($B288&amp;"; "&amp;$H$285&amp;", "&amp;H$286,'FE Energie'!$G:$U,9,FALSE)</f>
        <v>0.27</v>
      </c>
      <c r="I288" s="335">
        <f>VLOOKUP($B288&amp;"; "&amp;$H$285&amp;", "&amp;I$286,'FE Energie'!$G:$U,9,FALSE)</f>
        <v>3.07</v>
      </c>
      <c r="J288" s="1086"/>
      <c r="K288" s="223" t="e">
        <f>VLOOKUP($B288&amp;"; "&amp;$K$285&amp;", "&amp;K$286,'FE Energie'!$G:$U,9,FALSE)</f>
        <v>#N/A</v>
      </c>
      <c r="L288" s="223" t="e">
        <f>VLOOKUP($B288&amp;"; "&amp;$K$285&amp;", "&amp;L$286,'FE Energie'!$G:$U,9,FALSE)</f>
        <v>#N/A</v>
      </c>
      <c r="M288" s="1086"/>
      <c r="N288" s="217" t="e">
        <f>VLOOKUP($B288&amp;"; "&amp;$N$285&amp;", "&amp;N$286,'FE Energie'!$G:$U,9,FALSE)</f>
        <v>#N/A</v>
      </c>
      <c r="O288" s="217" t="e">
        <f>VLOOKUP($B288&amp;"; "&amp;$N$285&amp;", "&amp;O$286,'FE Energie'!$G:$U,9,FALSE)</f>
        <v>#N/A</v>
      </c>
      <c r="P288" s="1086"/>
      <c r="Q288" s="223" t="e">
        <f>VLOOKUP($B288&amp;"; "&amp;$Q$285&amp;", "&amp;Q$286,'FE Energie'!$G:$U,9,FALSE)</f>
        <v>#N/A</v>
      </c>
      <c r="R288" s="223" t="e">
        <f>VLOOKUP($B288&amp;"; "&amp;$Q$285&amp;", "&amp;R$286,'FE Energie'!$G:$U,9,FALSE)</f>
        <v>#N/A</v>
      </c>
      <c r="S288" s="566">
        <f>IF(ISNA(G288*H288),0,G288*H288)+IF(ISNA(J288*K288),0,J288*K288)+IF(ISNA(M288*N288),0,M288*N288)+IF(ISNA(P288*Q288),0,P288*Q288)</f>
        <v>0</v>
      </c>
      <c r="T288" s="566">
        <f>IF(ISNA(G288*I288),0,G288*I288)+IF(ISNA(J288*L288),0,J288*L288)+IF(ISNA(M288*O288),0,M288*O288)+IF(ISNA(P288*R288),0,P288*R288)</f>
        <v>0</v>
      </c>
      <c r="U288" s="1286">
        <f>IF(OR(F288=Utilitaires!$I$572,F288=Utilitaires!$I$577),T288,0)</f>
        <v>0</v>
      </c>
      <c r="X288" s="1092">
        <f>IF(AE288=0,AE288,AE288/(S288+T288))</f>
        <v>0</v>
      </c>
      <c r="Y288" s="1094"/>
      <c r="Z288" s="820"/>
      <c r="AA288" s="164">
        <f>SQRT(SUMSQ(IF(ISNA($G288*H288*BL288),0,$G288*H288*BL288),IF(ISNA($J288*K288*BM288),0,$J288*K288*BM288),IF(ISNA($M288*N288*BN288),0,$M288*N288*BN288),IF(ISNA($P288*Q288*BO288),0,$P288*Q288*BO288)))</f>
        <v>0</v>
      </c>
      <c r="AB288" s="164">
        <f>SQRT(SUMSQ(IF(ISNA($G288*I288*BP288),0,$G288*I288*BP288),IF(ISNA($J288*L288*BQ288),0,$J288*L288*BQ288),IF(ISNA($M288*O288*BR288),0,$M288*O288*BR288),IF(ISNA($P288*R288*BS288),0,$P288*R288*BS288)))</f>
        <v>0</v>
      </c>
      <c r="AC288" s="164"/>
      <c r="AD288" s="164"/>
      <c r="AE288" s="152">
        <f>SQRT(SUMSQ(AA288,AB288))</f>
        <v>0</v>
      </c>
      <c r="AF288" s="165">
        <f>U288*X288</f>
        <v>0</v>
      </c>
      <c r="AH288" s="564">
        <f>$G288*IF(ISNA(VLOOKUP($B288&amp;"; "&amp;$H$53&amp;", "&amp;H$54,'FE Energie'!$G:$U,10,FALSE)),0,VLOOKUP($B288&amp;"; "&amp;$H$53&amp;", "&amp;H$54,'FE Energie'!$G:$U,10,FALSE))
+$J288*IF(ISNA(VLOOKUP($B288&amp;"; "&amp;$K$53&amp;", "&amp;H$54,'FE Energie'!$G:$U,10,FALSE)),0,VLOOKUP($B288&amp;"; "&amp;$K$53&amp;", "&amp;H$54,'FE Energie'!$G:$U,10,FALSE))
+$M288*IF(ISNA(VLOOKUP($B288&amp;"; "&amp;$N$53&amp;", "&amp;H$54,'FE Energie'!$G:$U,10,FALSE)),0,VLOOKUP($B288&amp;"; "&amp;$N$53&amp;", "&amp;H$54,'FE Energie'!$G:$U,10,FALSE))
+$P288*IF(ISNA(VLOOKUP($B288&amp;"; "&amp;$Q$53&amp;", "&amp;H$54,'FE Energie'!$G:$U,10,FALSE)),0,VLOOKUP($B288&amp;"; "&amp;$Q$53&amp;", "&amp;H$54,'FE Energie'!$G:$U,10,FALSE))</f>
        <v>0</v>
      </c>
      <c r="AI288" s="565">
        <f>$G288*IF(ISNA(VLOOKUP($B288&amp;"; "&amp;$H$53&amp;", "&amp;I$54,'FE Energie'!$G:$U,10,FALSE)),0,VLOOKUP($B288&amp;"; "&amp;$H$53&amp;", "&amp;I$54,'FE Energie'!$G:$U,10,FALSE))
+$J288*IF(ISNA(VLOOKUP($B288&amp;"; "&amp;$K$53&amp;", "&amp;I$54,'FE Energie'!$G:$U,10,FALSE)),0,VLOOKUP($B288&amp;"; "&amp;$K$53&amp;", "&amp;I$54,'FE Energie'!$G:$U,10,FALSE))
+$M288*IF(ISNA(VLOOKUP($B288&amp;"; "&amp;$N$53&amp;", "&amp;I$54,'FE Energie'!$G:$U,10,FALSE)),0,VLOOKUP($B288&amp;"; "&amp;$N$53&amp;", "&amp;I$54,'FE Energie'!$G:$U,10,FALSE))
+$P288*IF(ISNA(VLOOKUP($B288&amp;"; "&amp;$Q$53&amp;", "&amp;I$54,'FE Energie'!$G:$U,10,FALSE)),0,VLOOKUP($B288&amp;"; "&amp;$Q$53&amp;", "&amp;I$54,'FE Energie'!$G:$U,10,FALSE))</f>
        <v>0</v>
      </c>
      <c r="AJ288" s="565"/>
      <c r="AK288" s="565">
        <f>$G288*IF(ISNA((VLOOKUP($B288&amp;"; "&amp;$H$53&amp;", "&amp;H$54,'FE Energie'!$G:$U,11,FALSE)+VLOOKUP($B288&amp;"; "&amp;$H$53&amp;", "&amp;H$54,'FE Energie'!$G:$U,12,FALSE))),0,(VLOOKUP($B288&amp;"; "&amp;$H$53&amp;", "&amp;H$54,'FE Energie'!$G:$U,11,FALSE)+VLOOKUP($B288&amp;"; "&amp;$H$53&amp;", "&amp;H$54,'FE Energie'!$G:$U,12,FALSE)))
+$J288*IF(ISNA((VLOOKUP($B288&amp;"; "&amp;$K$53&amp;", "&amp;H$54,'FE Energie'!$G:$U,11,FALSE)+VLOOKUP($B288&amp;"; "&amp;$K$53&amp;", "&amp;H$54,'FE Energie'!$G:$U,12,FALSE))),0,(VLOOKUP($B288&amp;"; "&amp;$K$53&amp;", "&amp;H$54,'FE Energie'!$G:$U,11,FALSE)+VLOOKUP($B288&amp;"; "&amp;$K$53&amp;", "&amp;H$54,'FE Energie'!$G:$U,12,FALSE)))
+$M288*IF(ISNA((VLOOKUP($B288&amp;"; "&amp;$N$53&amp;", "&amp;H$54,'FE Energie'!$G:$U,11,FALSE)+VLOOKUP($B288&amp;"; "&amp;$N$53&amp;", "&amp;H$54,'FE Energie'!$G:$U,12,FALSE))),0,(VLOOKUP($B288&amp;"; "&amp;$N$53&amp;", "&amp;H$54,'FE Energie'!$G:$U,11,FALSE)+VLOOKUP($B288&amp;"; "&amp;$N$53&amp;", "&amp;H$54,'FE Energie'!$G:$U,12,FALSE)))
+$P288*IF(ISNA((VLOOKUP($B288&amp;"; "&amp;$Q$53&amp;", "&amp;H$54,'FE Energie'!$G:$U,11,FALSE)+VLOOKUP($B288&amp;"; "&amp;$Q$53&amp;", "&amp;H$54,'FE Energie'!$G:$U,12,FALSE))),0,(VLOOKUP($B288&amp;"; "&amp;$Q$53&amp;", "&amp;H$54,'FE Energie'!$G:$U,11,FALSE)+VLOOKUP($B288&amp;"; "&amp;$Q$53&amp;", "&amp;H$54,'FE Energie'!$G:$U,12,FALSE)))</f>
        <v>0</v>
      </c>
      <c r="AL288" s="565">
        <f>$G288*IF(ISNA((VLOOKUP($B288&amp;"; "&amp;$H$53&amp;", "&amp;I$54,'FE Energie'!$G:$U,11,FALSE)+VLOOKUP($B288&amp;"; "&amp;$H$53&amp;", "&amp;I$54,'FE Energie'!$G:$U,12,FALSE))),0,(VLOOKUP($B288&amp;"; "&amp;$H$53&amp;", "&amp;I$54,'FE Energie'!$G:$U,11,FALSE)+VLOOKUP($B288&amp;"; "&amp;$H$53&amp;", "&amp;I$54,'FE Energie'!$G:$U,12,FALSE)))
+$J288*IF(ISNA((VLOOKUP($B288&amp;"; "&amp;$K$53&amp;", "&amp;I$54,'FE Energie'!$G:$U,11,FALSE)+VLOOKUP($B288&amp;"; "&amp;$K$53&amp;", "&amp;I$54,'FE Energie'!$G:$U,12,FALSE))),0,(VLOOKUP($B288&amp;"; "&amp;$K$53&amp;", "&amp;I$54,'FE Energie'!$G:$U,11,FALSE)+VLOOKUP($B288&amp;"; "&amp;$K$53&amp;", "&amp;I$54,'FE Energie'!$G:$U,12,FALSE)))
+$M288*IF(ISNA((VLOOKUP($B288&amp;"; "&amp;$N$53&amp;", "&amp;I$54,'FE Energie'!$G:$U,11,FALSE)+VLOOKUP($B288&amp;"; "&amp;$N$53&amp;", "&amp;I$54,'FE Energie'!$G:$U,12,FALSE))),0,(VLOOKUP($B288&amp;"; "&amp;$N$53&amp;", "&amp;I$54,'FE Energie'!$G:$U,11,FALSE)+VLOOKUP($B288&amp;"; "&amp;$N$53&amp;", "&amp;I$54,'FE Energie'!$G:$U,12,FALSE)))
+$P288*IF(ISNA((VLOOKUP($B288&amp;"; "&amp;$Q$53&amp;", "&amp;I$54,'FE Energie'!$G:$U,11,FALSE)+VLOOKUP($B288&amp;"; "&amp;$Q$53&amp;", "&amp;I$54,'FE Energie'!$G:$U,12,FALSE))),0,(VLOOKUP($B288&amp;"; "&amp;$Q$53&amp;", "&amp;I$54,'FE Energie'!$G:$U,11,FALSE)+VLOOKUP($B288&amp;"; "&amp;$Q$53&amp;", "&amp;I$54,'FE Energie'!$G:$U,12,FALSE)))</f>
        <v>0</v>
      </c>
      <c r="AM288" s="565"/>
      <c r="AN288" s="565">
        <f>$G288*IF(ISNA(VLOOKUP($B288&amp;"; "&amp;$H$53&amp;", "&amp;H$54,'FE Energie'!$G:$U,13,FALSE)),0,VLOOKUP($B288&amp;"; "&amp;$H$53&amp;", "&amp;H$54,'FE Energie'!$G:$U,13,FALSE))
+$J288*IF(ISNA(VLOOKUP($B288&amp;"; "&amp;$K$53&amp;", "&amp;H$54,'FE Energie'!$G:$U,13,FALSE)),0,VLOOKUP($B288&amp;"; "&amp;$K$53&amp;", "&amp;H$54,'FE Energie'!$G:$U,13,FALSE))
+$M288*IF(ISNA(VLOOKUP($B288&amp;"; "&amp;$N$53&amp;", "&amp;H$54,'FE Energie'!$G:$U,13,FALSE)),0,VLOOKUP($B288&amp;"; "&amp;$N$53&amp;", "&amp;H$54,'FE Energie'!$G:$U,13,FALSE))
+$P288*IF(ISNA(VLOOKUP($B288&amp;"; "&amp;$Q$53&amp;", "&amp;H$54,'FE Energie'!$G:$U,13,FALSE)),0,VLOOKUP($B288&amp;"; "&amp;$Q$53&amp;", "&amp;H$54,'FE Energie'!$G:$U,13,FALSE))</f>
        <v>0</v>
      </c>
      <c r="AO288" s="565">
        <f>$G288*IF(ISNA(VLOOKUP($B288&amp;"; "&amp;$H$53&amp;", "&amp;I$54,'FE Energie'!$G:$U,13,FALSE)),0,VLOOKUP($B288&amp;"; "&amp;$H$53&amp;", "&amp;I$54,'FE Energie'!$G:$U,13,FALSE))
+$J288*IF(ISNA(VLOOKUP($B288&amp;"; "&amp;$K$53&amp;", "&amp;I$54,'FE Energie'!$G:$U,13,FALSE)),0,VLOOKUP($B288&amp;"; "&amp;$K$53&amp;", "&amp;I$54,'FE Energie'!$G:$U,13,FALSE))
+$M288*IF(ISNA(VLOOKUP($B288&amp;"; "&amp;$N$53&amp;", "&amp;I$54,'FE Energie'!$G:$U,13,FALSE)),0,VLOOKUP($B288&amp;"; "&amp;$N$53&amp;", "&amp;I$54,'FE Energie'!$G:$U,13,FALSE))
+$P288*IF(ISNA(VLOOKUP($B288&amp;"; "&amp;$Q$53&amp;", "&amp;I$54,'FE Energie'!$G:$U,13,FALSE)),0,VLOOKUP($B288&amp;"; "&amp;$Q$53&amp;", "&amp;I$54,'FE Energie'!$G:$U,13,FALSE))</f>
        <v>0</v>
      </c>
      <c r="AP288" s="565"/>
      <c r="AQ288" s="565">
        <f>$G288*IF(ISNA(VLOOKUP($B288&amp;"; "&amp;$H$53&amp;", "&amp;H$54,'FE Energie'!$G:$U,14,FALSE)),0,VLOOKUP($B288&amp;"; "&amp;$H$53&amp;", "&amp;H$54,'FE Energie'!$G:$U,14,FALSE))
+$J288*IF(ISNA(VLOOKUP($B288&amp;"; "&amp;$K$53&amp;", "&amp;H$54,'FE Energie'!$G:$U,14,FALSE)),0,VLOOKUP($B288&amp;"; "&amp;$K$53&amp;", "&amp;H$54,'FE Energie'!$G:$U,14,FALSE))
+$M288*IF(ISNA(VLOOKUP($B288&amp;"; "&amp;$N$53&amp;", "&amp;H$54,'FE Energie'!$G:$U,14,FALSE)),0,VLOOKUP($B288&amp;"; "&amp;$N$53&amp;", "&amp;H$54,'FE Energie'!$G:$U,14,FALSE))
+$P288*IF(ISNA(VLOOKUP($B288&amp;"; "&amp;$Q$53&amp;", "&amp;H$54,'FE Energie'!$G:$U,14,FALSE)),0,VLOOKUP($B288&amp;"; "&amp;$Q$53&amp;", "&amp;H$54,'FE Energie'!$G:$U,14,FALSE))</f>
        <v>0</v>
      </c>
      <c r="AR288" s="565">
        <f>$G288*IF(ISNA(VLOOKUP($B288&amp;"; "&amp;$H$53&amp;", "&amp;I$54,'FE Energie'!$G:$U,14,FALSE)),0,VLOOKUP($B288&amp;"; "&amp;$H$53&amp;", "&amp;I$54,'FE Energie'!$G:$U,14,FALSE))
+$J288*IF(ISNA(VLOOKUP($B288&amp;"; "&amp;$K$53&amp;", "&amp;I$54,'FE Energie'!$G:$U,14,FALSE)),0,VLOOKUP($B288&amp;"; "&amp;$K$53&amp;", "&amp;I$54,'FE Energie'!$G:$U,14,FALSE))
+$M288*IF(ISNA(VLOOKUP($B288&amp;"; "&amp;$N$53&amp;", "&amp;I$54,'FE Energie'!$G:$U,14,FALSE)),0,VLOOKUP($B288&amp;"; "&amp;$N$53&amp;", "&amp;I$54,'FE Energie'!$G:$U,14,FALSE))
+$P288*IF(ISNA(VLOOKUP($B288&amp;"; "&amp;$Q$53&amp;", "&amp;I$54,'FE Energie'!$G:$U,14,FALSE)),0,VLOOKUP($B288&amp;"; "&amp;$Q$53&amp;", "&amp;I$54,'FE Energie'!$G:$U,14,FALSE))</f>
        <v>0</v>
      </c>
      <c r="AS288" s="565"/>
      <c r="AT288" s="566">
        <f>SUM(AH288,AK288,AN288,AQ288)</f>
        <v>0</v>
      </c>
      <c r="AU288" s="566">
        <f>SUM(AI288,AL288,AO288,AR288)</f>
        <v>0</v>
      </c>
      <c r="AV288" s="567"/>
      <c r="AW288" s="564">
        <f>$G288*IF(ISNA(VLOOKUP($B288&amp;"; "&amp;$H$53&amp;", "&amp;H$54,'FE Energie'!$G:$U,15,FALSE)),0,VLOOKUP($B288&amp;"; "&amp;$H$53&amp;", "&amp;H$54,'FE Energie'!$G:$U,15,FALSE))
+$J288*IF(ISNA(VLOOKUP($B288&amp;"; "&amp;$K$53&amp;", "&amp;H$54,'FE Energie'!$G:$U,15,FALSE)),0,VLOOKUP($B288&amp;"; "&amp;$K$53&amp;", "&amp;H$54,'FE Energie'!$G:$U,15,FALSE))
+$M288*IF(ISNA(VLOOKUP($B288&amp;"; "&amp;$N$53&amp;", "&amp;H$54,'FE Energie'!$G:$U,15,FALSE)),0,VLOOKUP($B288&amp;"; "&amp;$N$53&amp;", "&amp;H$54,'FE Energie'!$G:$U,15,FALSE))
+$P288*IF(ISNA(VLOOKUP($B288&amp;"; "&amp;$Q$53&amp;", "&amp;H$54,'FE Energie'!$G:$U,15,FALSE)),0,VLOOKUP($B288&amp;"; "&amp;$Q$53&amp;", "&amp;H$54,'FE Energie'!$G:$U,15,FALSE))</f>
        <v>0</v>
      </c>
      <c r="AX288" s="565">
        <f>$G288*IF(ISNA(VLOOKUP($B288&amp;"; "&amp;$H$53&amp;", "&amp;I$54,'FE Energie'!$G:$U,15,FALSE)),0,VLOOKUP($B288&amp;"; "&amp;$H$53&amp;", "&amp;I$54,'FE Energie'!$G:$U,15,FALSE))
+$J288*IF(ISNA(VLOOKUP($B288&amp;"; "&amp;$K$53&amp;", "&amp;I$54,'FE Energie'!$G:$U,15,FALSE)),0,VLOOKUP($B288&amp;"; "&amp;$K$53&amp;", "&amp;I$54,'FE Energie'!$G:$U,15,FALSE))
+$M288*IF(ISNA(VLOOKUP($B288&amp;"; "&amp;$N$53&amp;", "&amp;I$54,'FE Energie'!$G:$U,15,FALSE)),0,VLOOKUP($B288&amp;"; "&amp;$N$53&amp;", "&amp;I$54,'FE Energie'!$G:$U,15,FALSE))
+$P288*IF(ISNA(VLOOKUP($B288&amp;"; "&amp;$Q$53&amp;", "&amp;I$54,'FE Energie'!$G:$U,15,FALSE)),0,VLOOKUP($B288&amp;"; "&amp;$Q$53&amp;", "&amp;I$54,'FE Energie'!$G:$U,15,FALSE))</f>
        <v>0</v>
      </c>
      <c r="AY288" s="568"/>
      <c r="AZ288" s="565"/>
      <c r="BA288" s="565"/>
      <c r="BB288" s="565"/>
      <c r="BC288" s="565"/>
      <c r="BD288" s="565"/>
      <c r="BE288" s="565"/>
      <c r="BF288" s="565"/>
      <c r="BH288" s="1065">
        <f>IF($Y288&lt;&gt;"votre valeur :",IF(ISNA(VLOOKUP($Y288,Utilitaires!$N$566:$O$571,2,FALSE)),,VLOOKUP($Y288,Utilitaires!$N$566:$O$571,2,FALSE)),$Z288)</f>
        <v>0</v>
      </c>
      <c r="BI288" s="1065">
        <f>IF($Y288&lt;&gt;"votre valeur :",IF(ISNA(VLOOKUP($Y288,Utilitaires!$N$566:$O$571,2,FALSE)),,VLOOKUP($Y288,Utilitaires!$N$566:$O$571,2,FALSE)),$Z288)</f>
        <v>0</v>
      </c>
      <c r="BJ288" s="1065">
        <f>IF($Y288&lt;&gt;"votre valeur :",IF(ISNA(VLOOKUP($Y288,Utilitaires!$N$566:$O$571,2,FALSE)),,VLOOKUP($Y288,Utilitaires!$N$566:$O$571,2,FALSE)),$Z288)</f>
        <v>0</v>
      </c>
      <c r="BK288" s="1065">
        <f>IF($Y288&lt;&gt;"votre valeur :",IF(ISNA(VLOOKUP($Y288,Utilitaires!$N$566:$O$571,2,FALSE)),,VLOOKUP($Y288,Utilitaires!$N$566:$O$571,2,FALSE)),$Z288)</f>
        <v>0</v>
      </c>
      <c r="BL288" s="1124">
        <f>IF(ISNA(SQRT(SUMSQ(VLOOKUP($B288&amp;"; "&amp;$H$53&amp;", "&amp;$H$54,'FE Energie'!$G:$U,7,FALSE),$BH288))),0,SQRT(SUMSQ(VLOOKUP($B288&amp;"; "&amp;$H$53&amp;", "&amp;$H$54,'FE Energie'!$G:$U,7,FALSE),$BH288)))</f>
        <v>0.05</v>
      </c>
      <c r="BM288" s="1068">
        <f>IF(ISNA(SQRT(SUMSQ(VLOOKUP($B288&amp;"; "&amp;$K$53&amp;", "&amp;$K$54,'FE Energie'!$G:$U,7,FALSE),$BI288))),0,SQRT(SUMSQ(VLOOKUP($B288&amp;"; "&amp;$K$53&amp;", "&amp;$K$54,'FE Energie'!$G:$U,7,FALSE),$BI288)))</f>
        <v>0</v>
      </c>
      <c r="BN288" s="1068">
        <f>IF(ISNA(SQRT(SUMSQ(VLOOKUP($B288&amp;"; "&amp;$N$53&amp;", "&amp;$N$54,'FE Energie'!$G:$U,7,FALSE),$BJ288))),0,SQRT(SUMSQ(VLOOKUP($B288&amp;"; "&amp;$N$53&amp;", "&amp;$N$54,'FE Energie'!$G:$U,7,FALSE),$BJ288)))</f>
        <v>0</v>
      </c>
      <c r="BO288" s="1068">
        <f>IF(ISNA(SQRT(SUMSQ(VLOOKUP($B288&amp;"; "&amp;$Q$53&amp;", "&amp;$Q$54,'FE Energie'!$G:$U,7,FALSE),$BK288))),0,SQRT(SUMSQ(VLOOKUP($B288&amp;"; "&amp;$Q$53&amp;", "&amp;$Q$54,'FE Energie'!$G:$U,7,FALSE),$BK288)))</f>
        <v>0</v>
      </c>
      <c r="BP288" s="1069">
        <f>IF(ISNA(SQRT(SUMSQ(VLOOKUP($B288&amp;"; "&amp;$H$53&amp;", "&amp;$I$54,'FE Energie'!$G:$U,7,FALSE),$BH288))),0,SQRT(SUMSQ(VLOOKUP($B288&amp;"; "&amp;$H$53&amp;", "&amp;$I$54,'FE Energie'!$G:$U,7,FALSE),$BH288)))</f>
        <v>0.05</v>
      </c>
      <c r="BQ288" s="1070">
        <f>IF(ISNA(SQRT(SUMSQ(VLOOKUP($B288&amp;"; "&amp;$K$53&amp;", "&amp;$L$54,'FE Energie'!$G:$U,7,FALSE),$BI288))),0,SQRT(SUMSQ(VLOOKUP($B288&amp;"; "&amp;$K$53&amp;", "&amp;$L$54,'FE Energie'!$G:$U,7,FALSE),$BI288)))</f>
        <v>0</v>
      </c>
      <c r="BR288" s="1070">
        <f>IF(ISNA(SQRT(SUMSQ(VLOOKUP($B288&amp;"; "&amp;$N$53&amp;", "&amp;$O$54,'FE Energie'!$G:$U,7,FALSE),$BJ288))),0,SQRT(SUMSQ(VLOOKUP($B288&amp;"; "&amp;$N$53&amp;", "&amp;$O$54,'FE Energie'!$G:$U,7,FALSE),$BJ288)))</f>
        <v>0</v>
      </c>
      <c r="BS288" s="1071">
        <f>IF(ISNA(SQRT(SUMSQ(VLOOKUP($B288&amp;"; "&amp;$Q$53&amp;", "&amp;$R$54,'FE Energie'!$G:$U,7,FALSE),$BK288))),0,SQRT(SUMSQ(VLOOKUP($B288&amp;"; "&amp;$Q$53&amp;", "&amp;$R$54,'FE Energie'!$G:$U,7,FALSE),$BK288)))</f>
        <v>0</v>
      </c>
    </row>
    <row r="289" spans="2:71" ht="12.75" hidden="1" customHeight="1" outlineLevel="2">
      <c r="B289" s="154"/>
      <c r="C289" s="155"/>
      <c r="D289" s="221"/>
      <c r="E289" s="221"/>
      <c r="F289" s="155"/>
      <c r="G289" s="360"/>
      <c r="H289" s="360"/>
      <c r="I289" s="360"/>
      <c r="J289" s="360"/>
      <c r="K289" s="360"/>
      <c r="L289" s="360"/>
      <c r="M289" s="360"/>
      <c r="N289" s="360"/>
      <c r="O289" s="360"/>
      <c r="P289" s="360"/>
      <c r="Q289" s="360"/>
      <c r="R289" s="361"/>
      <c r="S289" s="354"/>
      <c r="T289" s="354"/>
      <c r="U289" s="1776"/>
      <c r="X289" s="366"/>
      <c r="Y289" s="169"/>
      <c r="Z289" s="169"/>
      <c r="AA289" s="169"/>
      <c r="AB289" s="169"/>
      <c r="AC289" s="169"/>
      <c r="AD289" s="169"/>
      <c r="AE289" s="367"/>
      <c r="AF289" s="1286"/>
      <c r="AH289" s="564"/>
      <c r="AI289" s="565"/>
      <c r="AJ289" s="565"/>
      <c r="AK289" s="565"/>
      <c r="AL289" s="565"/>
      <c r="AM289" s="565"/>
      <c r="AN289" s="565"/>
      <c r="AO289" s="565"/>
      <c r="AP289" s="565"/>
      <c r="AQ289" s="565"/>
      <c r="AR289" s="565"/>
      <c r="AS289" s="565"/>
      <c r="AT289" s="566"/>
      <c r="AU289" s="566"/>
      <c r="AV289" s="567"/>
      <c r="AW289" s="569"/>
      <c r="AX289" s="625"/>
      <c r="AY289" s="570"/>
      <c r="AZ289" s="565"/>
      <c r="BA289" s="565"/>
      <c r="BB289" s="565"/>
      <c r="BC289" s="565"/>
      <c r="BD289" s="565"/>
      <c r="BE289" s="565"/>
      <c r="BF289" s="565"/>
      <c r="BH289" s="1087"/>
      <c r="BI289" s="1075"/>
      <c r="BJ289" s="1131"/>
      <c r="BK289" s="1126"/>
      <c r="BL289" s="1075"/>
      <c r="BM289" s="1076"/>
      <c r="BN289" s="1073"/>
      <c r="BO289" s="1076"/>
      <c r="BP289" s="1126"/>
      <c r="BQ289" s="1076"/>
      <c r="BR289" s="1076"/>
      <c r="BS289" s="1074"/>
    </row>
    <row r="290" spans="2:71" ht="12.75" hidden="1" customHeight="1" outlineLevel="2">
      <c r="B290" s="196" t="s">
        <v>348</v>
      </c>
      <c r="C290" s="197"/>
      <c r="D290" s="214">
        <f>SUM(D287:D289)</f>
        <v>0</v>
      </c>
      <c r="E290" s="214"/>
      <c r="F290" s="198"/>
      <c r="G290" s="199"/>
      <c r="H290" s="199"/>
      <c r="I290" s="199"/>
      <c r="J290" s="199"/>
      <c r="K290" s="199"/>
      <c r="L290" s="199"/>
      <c r="M290" s="199"/>
      <c r="N290" s="199"/>
      <c r="O290" s="199"/>
      <c r="P290" s="199"/>
      <c r="Q290" s="199"/>
      <c r="R290" s="199"/>
      <c r="S290" s="202">
        <f>SUM(S287:S289)</f>
        <v>0</v>
      </c>
      <c r="T290" s="202">
        <f>SUM(T287:T289)</f>
        <v>0</v>
      </c>
      <c r="U290" s="1349">
        <f>SUM(U287:U289)</f>
        <v>0</v>
      </c>
      <c r="X290" s="1204">
        <f>IF(AE290=0,AE290,AE290/D290)</f>
        <v>0</v>
      </c>
      <c r="Y290" s="350"/>
      <c r="Z290" s="203">
        <f>SQRT(SUMSQ(Z287:Z289))</f>
        <v>0</v>
      </c>
      <c r="AA290" s="203">
        <f>SQRT(SUMSQ(AA287:AA289))</f>
        <v>0</v>
      </c>
      <c r="AB290" s="203">
        <f>SQRT(SUMSQ(AB287:AB289))</f>
        <v>0</v>
      </c>
      <c r="AC290" s="203"/>
      <c r="AD290" s="203"/>
      <c r="AE290" s="200">
        <f>SQRT(SUMSQ(AE287:AE289))</f>
        <v>0</v>
      </c>
      <c r="AF290" s="1311">
        <f>SUM(AF287:AF289)</f>
        <v>0</v>
      </c>
      <c r="AH290" s="571">
        <f>SUM(AH287:AH289)</f>
        <v>0</v>
      </c>
      <c r="AI290" s="572">
        <f>SUM(AI287:AI289)</f>
        <v>0</v>
      </c>
      <c r="AJ290" s="572"/>
      <c r="AK290" s="572">
        <f>SUM(AK287:AK289)</f>
        <v>0</v>
      </c>
      <c r="AL290" s="572">
        <f>SUM(AL287:AL289)</f>
        <v>0</v>
      </c>
      <c r="AM290" s="572"/>
      <c r="AN290" s="572">
        <f>SUM(AN287:AN289)</f>
        <v>0</v>
      </c>
      <c r="AO290" s="572">
        <f>SUM(AO287:AO289)</f>
        <v>0</v>
      </c>
      <c r="AP290" s="572"/>
      <c r="AQ290" s="572">
        <f>SUM(AQ287:AQ289)</f>
        <v>0</v>
      </c>
      <c r="AR290" s="572">
        <f>SUM(AR287:AR289)</f>
        <v>0</v>
      </c>
      <c r="AS290" s="572"/>
      <c r="AT290" s="573">
        <f>SUM(AT288:AT289)</f>
        <v>0</v>
      </c>
      <c r="AU290" s="573">
        <f>SUM(AU288:AU289)</f>
        <v>0</v>
      </c>
      <c r="AV290" s="574"/>
      <c r="AW290" s="1082">
        <f>SUM(AW287:AW289)</f>
        <v>0</v>
      </c>
      <c r="AX290" s="572">
        <f>SUM(AX287:AX289)</f>
        <v>0</v>
      </c>
      <c r="AY290" s="575"/>
      <c r="AZ290" s="2447"/>
      <c r="BA290" s="2447"/>
      <c r="BB290" s="2447"/>
      <c r="BC290" s="2447"/>
      <c r="BD290" s="2447"/>
      <c r="BE290" s="2447"/>
      <c r="BF290" s="2447"/>
    </row>
    <row r="291" spans="2:71" ht="12.75" hidden="1" customHeight="1" outlineLevel="2"/>
    <row r="292" spans="2:71" ht="12.75" hidden="1" customHeight="1" outlineLevel="2">
      <c r="B292" s="1091" t="s">
        <v>3677</v>
      </c>
      <c r="C292" s="140"/>
      <c r="D292" s="140"/>
      <c r="E292" s="140"/>
      <c r="F292" s="140"/>
      <c r="G292" s="140"/>
      <c r="H292" s="140"/>
      <c r="I292" s="179"/>
      <c r="T292" s="116"/>
      <c r="U292" s="116"/>
      <c r="V292" s="116"/>
      <c r="W292" s="116"/>
      <c r="X292" s="2636" t="s">
        <v>366</v>
      </c>
      <c r="Y292" s="2637"/>
      <c r="Z292" s="2637"/>
      <c r="AA292" s="2637"/>
      <c r="AB292" s="2637"/>
      <c r="AC292" s="2637"/>
      <c r="AD292" s="2637"/>
      <c r="AE292" s="2638"/>
      <c r="AF292" s="116"/>
      <c r="AH292" s="2639" t="s">
        <v>441</v>
      </c>
      <c r="AI292" s="2640"/>
      <c r="AJ292" s="2640"/>
      <c r="AK292" s="2640"/>
      <c r="AL292" s="2640"/>
      <c r="AM292" s="2640"/>
      <c r="AN292" s="2640"/>
      <c r="AO292" s="2640"/>
      <c r="AP292" s="2640"/>
      <c r="AQ292" s="2640"/>
      <c r="AR292" s="2640"/>
      <c r="AS292" s="2640"/>
      <c r="AT292" s="2640"/>
      <c r="AU292" s="2640"/>
      <c r="AV292" s="2640"/>
      <c r="AW292" s="2640"/>
      <c r="AX292" s="2640"/>
      <c r="AY292" s="2641"/>
      <c r="AZ292" s="2418"/>
      <c r="BA292" s="2418"/>
      <c r="BB292" s="2418"/>
      <c r="BC292" s="2418"/>
      <c r="BD292" s="2418"/>
      <c r="BE292" s="2418"/>
      <c r="BF292" s="2418"/>
    </row>
    <row r="293" spans="2:71" ht="12.75" hidden="1" customHeight="1" outlineLevel="2">
      <c r="B293" s="143"/>
      <c r="C293" s="144"/>
      <c r="D293" s="1334" t="s">
        <v>308</v>
      </c>
      <c r="E293" s="1663"/>
      <c r="F293" s="144"/>
      <c r="G293" s="144"/>
      <c r="H293" s="1317"/>
      <c r="I293" s="1337" t="s">
        <v>444</v>
      </c>
      <c r="T293" s="116"/>
      <c r="U293" s="116"/>
      <c r="X293" s="1316"/>
      <c r="Y293" s="1317"/>
      <c r="Z293" s="1317"/>
      <c r="AA293" s="1334"/>
      <c r="AB293" s="1334"/>
      <c r="AC293" s="2423"/>
      <c r="AD293" s="1334"/>
      <c r="AE293" s="1337" t="s">
        <v>444</v>
      </c>
      <c r="AG293" s="109"/>
      <c r="AH293" s="2642" t="s">
        <v>444</v>
      </c>
      <c r="AI293" s="2643"/>
      <c r="AJ293" s="2643"/>
      <c r="AK293" s="2643"/>
      <c r="AL293" s="2643"/>
      <c r="AM293" s="2643"/>
      <c r="AN293" s="2643"/>
      <c r="AO293" s="2643"/>
      <c r="AP293" s="2643"/>
      <c r="AQ293" s="2643"/>
      <c r="AR293" s="2643"/>
      <c r="AS293" s="2643"/>
      <c r="AT293" s="2643" t="s">
        <v>444</v>
      </c>
      <c r="AU293" s="2643"/>
      <c r="AV293" s="628"/>
      <c r="AW293" s="624"/>
      <c r="AX293" s="624"/>
      <c r="AY293" s="1291"/>
      <c r="AZ293" s="2286"/>
      <c r="BA293" s="2286"/>
      <c r="BB293" s="2286"/>
      <c r="BC293" s="2286"/>
      <c r="BD293" s="2286"/>
      <c r="BE293" s="2286"/>
      <c r="BF293" s="2286"/>
      <c r="BH293" s="2616" t="s">
        <v>1648</v>
      </c>
      <c r="BI293" s="2618"/>
    </row>
    <row r="294" spans="2:71" ht="12.75" hidden="1" customHeight="1" outlineLevel="2">
      <c r="B294" s="1316"/>
      <c r="C294" s="1317"/>
      <c r="D294" s="1317" t="s">
        <v>409</v>
      </c>
      <c r="E294" s="1656"/>
      <c r="F294" s="1320" t="s">
        <v>452</v>
      </c>
      <c r="G294" s="1320" t="s">
        <v>3670</v>
      </c>
      <c r="H294" s="1006"/>
      <c r="I294" s="220" t="s">
        <v>880</v>
      </c>
      <c r="T294" s="116"/>
      <c r="U294" s="116"/>
      <c r="V294" s="109"/>
      <c r="W294" s="109"/>
      <c r="X294" s="1316" t="s">
        <v>316</v>
      </c>
      <c r="Y294" s="2629" t="s">
        <v>316</v>
      </c>
      <c r="Z294" s="2630"/>
      <c r="AA294" s="1317"/>
      <c r="AB294" s="1317"/>
      <c r="AC294" s="2419"/>
      <c r="AD294" s="1317"/>
      <c r="AE294" s="220" t="s">
        <v>880</v>
      </c>
      <c r="AF294" s="109"/>
      <c r="AG294" s="109"/>
      <c r="AH294" s="2631" t="s">
        <v>211</v>
      </c>
      <c r="AI294" s="2632"/>
      <c r="AJ294" s="2632"/>
      <c r="AK294" s="2632" t="s">
        <v>442</v>
      </c>
      <c r="AL294" s="2632"/>
      <c r="AM294" s="2632"/>
      <c r="AN294" s="2632" t="s">
        <v>267</v>
      </c>
      <c r="AO294" s="2632"/>
      <c r="AP294" s="2632"/>
      <c r="AQ294" s="2632" t="s">
        <v>443</v>
      </c>
      <c r="AR294" s="2632"/>
      <c r="AS294" s="2632"/>
      <c r="AT294" s="2648" t="s">
        <v>327</v>
      </c>
      <c r="AU294" s="2648"/>
      <c r="AV294" s="568"/>
      <c r="AW294" s="2631" t="s">
        <v>636</v>
      </c>
      <c r="AX294" s="2632"/>
      <c r="AY294" s="568"/>
      <c r="AZ294" s="565"/>
      <c r="BA294" s="565"/>
      <c r="BB294" s="565"/>
      <c r="BC294" s="565"/>
      <c r="BD294" s="565"/>
      <c r="BE294" s="565"/>
      <c r="BF294" s="565"/>
      <c r="BH294" s="2837" t="s">
        <v>1646</v>
      </c>
      <c r="BI294" s="1141"/>
    </row>
    <row r="295" spans="2:71" ht="12.75" hidden="1" customHeight="1" outlineLevel="2">
      <c r="B295" s="1316"/>
      <c r="C295" s="1317"/>
      <c r="D295" s="1317" t="s">
        <v>444</v>
      </c>
      <c r="E295" s="1656"/>
      <c r="F295" s="1321" t="s">
        <v>445</v>
      </c>
      <c r="G295" s="1321" t="s">
        <v>881</v>
      </c>
      <c r="H295" s="1007"/>
      <c r="I295" s="220" t="s">
        <v>257</v>
      </c>
      <c r="T295" s="116"/>
      <c r="U295" s="116"/>
      <c r="V295" s="109"/>
      <c r="W295" s="109"/>
      <c r="X295" s="1316" t="s">
        <v>1649</v>
      </c>
      <c r="Y295" s="2646" t="s">
        <v>1650</v>
      </c>
      <c r="Z295" s="2647"/>
      <c r="AA295" s="1322"/>
      <c r="AB295" s="1322"/>
      <c r="AC295" s="1662"/>
      <c r="AD295" s="1322"/>
      <c r="AE295" s="220" t="s">
        <v>257</v>
      </c>
      <c r="AF295" s="109"/>
      <c r="AH295" s="1331"/>
      <c r="AI295" s="1332"/>
      <c r="AJ295" s="1332"/>
      <c r="AK295" s="1332"/>
      <c r="AL295" s="1332"/>
      <c r="AM295" s="1332"/>
      <c r="AN295" s="1332"/>
      <c r="AO295" s="1332"/>
      <c r="AP295" s="1332"/>
      <c r="AQ295" s="1332"/>
      <c r="AR295" s="1332"/>
      <c r="AS295" s="1332"/>
      <c r="AT295" s="581"/>
      <c r="AU295" s="581"/>
      <c r="AV295" s="582"/>
      <c r="AW295" s="1332"/>
      <c r="AX295" s="1332"/>
      <c r="AY295" s="1333"/>
      <c r="AZ295" s="2286"/>
      <c r="BA295" s="2286"/>
      <c r="BB295" s="2286"/>
      <c r="BC295" s="2286"/>
      <c r="BD295" s="2286"/>
      <c r="BE295" s="2286"/>
      <c r="BF295" s="2286"/>
      <c r="BH295" s="2838"/>
      <c r="BI295" s="1326"/>
    </row>
    <row r="296" spans="2:71" ht="12.75" hidden="1" customHeight="1" outlineLevel="2">
      <c r="B296" s="143" t="s">
        <v>3669</v>
      </c>
      <c r="C296" s="144"/>
      <c r="D296" s="212">
        <f>I296</f>
        <v>0</v>
      </c>
      <c r="E296" s="212"/>
      <c r="F296" s="117"/>
      <c r="G296" s="117"/>
      <c r="H296" s="225"/>
      <c r="I296" s="152">
        <f>G296</f>
        <v>0</v>
      </c>
      <c r="T296" s="116"/>
      <c r="U296" s="116"/>
      <c r="X296" s="1092">
        <f>IF(AE296=0,AE296,AE296/D296)</f>
        <v>0</v>
      </c>
      <c r="Y296" s="343"/>
      <c r="Z296" s="820"/>
      <c r="AA296" s="164"/>
      <c r="AB296" s="164"/>
      <c r="AC296" s="164"/>
      <c r="AD296" s="164"/>
      <c r="AE296" s="152">
        <f>I296*BI296</f>
        <v>0</v>
      </c>
      <c r="AH296" s="564">
        <f>D296</f>
        <v>0</v>
      </c>
      <c r="AI296" s="565"/>
      <c r="AJ296" s="565"/>
      <c r="AK296" s="565"/>
      <c r="AL296" s="565"/>
      <c r="AM296" s="565"/>
      <c r="AN296" s="565"/>
      <c r="AO296" s="565"/>
      <c r="AP296" s="565"/>
      <c r="AQ296" s="565"/>
      <c r="AR296" s="565"/>
      <c r="AS296" s="565"/>
      <c r="AT296" s="566">
        <f>SUM(AH296:AQ296)</f>
        <v>0</v>
      </c>
      <c r="AU296" s="566"/>
      <c r="AV296" s="567"/>
      <c r="AW296" s="565"/>
      <c r="AX296" s="565"/>
      <c r="AY296" s="568"/>
      <c r="AZ296" s="565"/>
      <c r="BA296" s="565"/>
      <c r="BB296" s="565"/>
      <c r="BC296" s="565"/>
      <c r="BD296" s="565"/>
      <c r="BE296" s="565"/>
      <c r="BF296" s="565"/>
      <c r="BH296" s="1065">
        <f>IF($Y296&lt;&gt;"votre valeur :",IF(ISNA(VLOOKUP($Y296,Utilitaires!$N$566:$O$571,2,FALSE)),,VLOOKUP($Y296,Utilitaires!$N$566:$O$571,2,FALSE)),$Z296)</f>
        <v>0</v>
      </c>
      <c r="BI296" s="1130">
        <f>SQRT(SUMSQ(0,BH296))</f>
        <v>0</v>
      </c>
    </row>
    <row r="297" spans="2:71" ht="12.75" hidden="1" customHeight="1" outlineLevel="2">
      <c r="B297" s="143" t="s">
        <v>3669</v>
      </c>
      <c r="C297" s="144"/>
      <c r="D297" s="212">
        <f>I297</f>
        <v>0</v>
      </c>
      <c r="E297" s="212"/>
      <c r="F297" s="120"/>
      <c r="G297" s="120"/>
      <c r="H297" s="225"/>
      <c r="I297" s="152">
        <f t="shared" ref="I297:I298" si="98">G297</f>
        <v>0</v>
      </c>
      <c r="T297" s="116"/>
      <c r="U297" s="116"/>
      <c r="X297" s="1092">
        <f>IF(AE297=0,AE297,AE297/D297)</f>
        <v>0</v>
      </c>
      <c r="Y297" s="343"/>
      <c r="Z297" s="820"/>
      <c r="AA297" s="164"/>
      <c r="AB297" s="164"/>
      <c r="AC297" s="164"/>
      <c r="AD297" s="164"/>
      <c r="AE297" s="152">
        <f>I297*BI297</f>
        <v>0</v>
      </c>
      <c r="AH297" s="564">
        <f>D297</f>
        <v>0</v>
      </c>
      <c r="AI297" s="565"/>
      <c r="AJ297" s="565"/>
      <c r="AK297" s="565"/>
      <c r="AL297" s="565"/>
      <c r="AM297" s="565"/>
      <c r="AN297" s="565"/>
      <c r="AO297" s="565"/>
      <c r="AP297" s="565"/>
      <c r="AQ297" s="565"/>
      <c r="AR297" s="565"/>
      <c r="AS297" s="565"/>
      <c r="AT297" s="566">
        <f>SUM(AH297:AQ297)</f>
        <v>0</v>
      </c>
      <c r="AU297" s="566"/>
      <c r="AV297" s="567"/>
      <c r="AW297" s="565"/>
      <c r="AX297" s="565"/>
      <c r="AY297" s="568"/>
      <c r="AZ297" s="565"/>
      <c r="BA297" s="565"/>
      <c r="BB297" s="565"/>
      <c r="BC297" s="565"/>
      <c r="BD297" s="565"/>
      <c r="BE297" s="565"/>
      <c r="BF297" s="565"/>
      <c r="BH297" s="1065">
        <f>IF($Y297&lt;&gt;"votre valeur :",IF(ISNA(VLOOKUP($Y297,Utilitaires!$N$566:$O$571,2,FALSE)),,VLOOKUP($Y297,Utilitaires!$N$566:$O$571,2,FALSE)),$Z297)</f>
        <v>0</v>
      </c>
      <c r="BI297" s="1130">
        <f>SQRT(SUMSQ(0,BH297))</f>
        <v>0</v>
      </c>
    </row>
    <row r="298" spans="2:71" ht="12.75" hidden="1" customHeight="1" outlineLevel="2">
      <c r="B298" s="143" t="s">
        <v>3669</v>
      </c>
      <c r="C298" s="144"/>
      <c r="D298" s="212">
        <f>I298</f>
        <v>0</v>
      </c>
      <c r="E298" s="212"/>
      <c r="F298" s="123"/>
      <c r="G298" s="123"/>
      <c r="H298" s="225"/>
      <c r="I298" s="152">
        <f t="shared" si="98"/>
        <v>0</v>
      </c>
      <c r="T298" s="116"/>
      <c r="U298" s="116"/>
      <c r="X298" s="1092">
        <f>IF(AE298=0,AE298,AE298/D298)</f>
        <v>0</v>
      </c>
      <c r="Y298" s="1094"/>
      <c r="Z298" s="820"/>
      <c r="AA298" s="164"/>
      <c r="AB298" s="164"/>
      <c r="AC298" s="164"/>
      <c r="AD298" s="164"/>
      <c r="AE298" s="152">
        <f>I298*BI298</f>
        <v>0</v>
      </c>
      <c r="AH298" s="564">
        <f>D298</f>
        <v>0</v>
      </c>
      <c r="AI298" s="565"/>
      <c r="AJ298" s="565"/>
      <c r="AK298" s="565"/>
      <c r="AL298" s="565"/>
      <c r="AM298" s="565"/>
      <c r="AN298" s="565"/>
      <c r="AO298" s="565"/>
      <c r="AP298" s="565"/>
      <c r="AQ298" s="565"/>
      <c r="AR298" s="565"/>
      <c r="AS298" s="565"/>
      <c r="AT298" s="566">
        <f>SUM(AH298:AQ298)</f>
        <v>0</v>
      </c>
      <c r="AU298" s="566"/>
      <c r="AV298" s="567"/>
      <c r="AW298" s="565"/>
      <c r="AX298" s="565"/>
      <c r="AY298" s="568"/>
      <c r="AZ298" s="565"/>
      <c r="BA298" s="565"/>
      <c r="BB298" s="565"/>
      <c r="BC298" s="565"/>
      <c r="BD298" s="565"/>
      <c r="BE298" s="565"/>
      <c r="BF298" s="565"/>
      <c r="BH298" s="1065">
        <f>IF($Y298&lt;&gt;"votre valeur :",IF(ISNA(VLOOKUP($Y298,Utilitaires!$N$566:$O$571,2,FALSE)),,VLOOKUP($Y298,Utilitaires!$N$566:$O$571,2,FALSE)),$Z298)</f>
        <v>0</v>
      </c>
      <c r="BI298" s="1130">
        <f>SQRT(SUMSQ(0,BH298))</f>
        <v>0</v>
      </c>
    </row>
    <row r="299" spans="2:71" ht="12.75" hidden="1" customHeight="1" outlineLevel="2">
      <c r="B299" s="154"/>
      <c r="C299" s="155"/>
      <c r="D299" s="221"/>
      <c r="E299" s="221"/>
      <c r="F299" s="155"/>
      <c r="G299" s="155"/>
      <c r="H299" s="155"/>
      <c r="I299" s="156"/>
      <c r="T299" s="116"/>
      <c r="U299" s="116"/>
      <c r="X299" s="1092"/>
      <c r="Y299" s="155"/>
      <c r="Z299" s="169"/>
      <c r="AA299" s="155"/>
      <c r="AB299" s="155"/>
      <c r="AC299" s="155"/>
      <c r="AD299" s="155"/>
      <c r="AE299" s="165"/>
      <c r="AH299" s="569"/>
      <c r="AI299" s="625"/>
      <c r="AJ299" s="625"/>
      <c r="AK299" s="625"/>
      <c r="AL299" s="625"/>
      <c r="AM299" s="625"/>
      <c r="AN299" s="625"/>
      <c r="AO299" s="625"/>
      <c r="AP299" s="625"/>
      <c r="AQ299" s="625"/>
      <c r="AR299" s="625"/>
      <c r="AS299" s="625"/>
      <c r="AT299" s="1313"/>
      <c r="AU299" s="1313"/>
      <c r="AV299" s="1314"/>
      <c r="AW299" s="565"/>
      <c r="AX299" s="565"/>
      <c r="AY299" s="568"/>
      <c r="AZ299" s="565"/>
      <c r="BA299" s="565"/>
      <c r="BB299" s="565"/>
      <c r="BC299" s="565"/>
      <c r="BD299" s="565"/>
      <c r="BE299" s="565"/>
      <c r="BF299" s="565"/>
      <c r="BH299" s="1087"/>
      <c r="BI299" s="1153"/>
    </row>
    <row r="300" spans="2:71" ht="12.75" hidden="1" customHeight="1" outlineLevel="2">
      <c r="B300" s="196" t="s">
        <v>348</v>
      </c>
      <c r="C300" s="197"/>
      <c r="D300" s="214">
        <f>SUM(D296:D299)</f>
        <v>0</v>
      </c>
      <c r="E300" s="214"/>
      <c r="F300" s="198"/>
      <c r="G300" s="199"/>
      <c r="H300" s="199"/>
      <c r="I300" s="200">
        <f>SUM(I296:I299)</f>
        <v>0</v>
      </c>
      <c r="T300" s="116"/>
      <c r="U300" s="116"/>
      <c r="X300" s="1204">
        <f>IF(AE300=0,AE300,AE300/D300)</f>
        <v>0</v>
      </c>
      <c r="Y300" s="199"/>
      <c r="Z300" s="199"/>
      <c r="AA300" s="203"/>
      <c r="AB300" s="203"/>
      <c r="AC300" s="203"/>
      <c r="AD300" s="203"/>
      <c r="AE300" s="200">
        <f>SQRT(SUMSQ(AE296:AE299))</f>
        <v>0</v>
      </c>
      <c r="AH300" s="1308">
        <f>SUM(AH296:AH299)</f>
        <v>0</v>
      </c>
      <c r="AI300" s="1309"/>
      <c r="AJ300" s="1309"/>
      <c r="AK300" s="1309">
        <f>SUM(AK296:AK299)</f>
        <v>0</v>
      </c>
      <c r="AL300" s="1309"/>
      <c r="AM300" s="1309"/>
      <c r="AN300" s="1309">
        <f>SUM(AN296:AN299)</f>
        <v>0</v>
      </c>
      <c r="AO300" s="1309"/>
      <c r="AP300" s="1309"/>
      <c r="AQ300" s="1309">
        <f>SUM(AQ296:AQ299)</f>
        <v>0</v>
      </c>
      <c r="AR300" s="572"/>
      <c r="AS300" s="572"/>
      <c r="AT300" s="573">
        <f>SUM(AT296:AT299)</f>
        <v>0</v>
      </c>
      <c r="AU300" s="1312"/>
      <c r="AV300" s="1312"/>
      <c r="AW300" s="1082">
        <f>SUM(AW296:AW299)</f>
        <v>0</v>
      </c>
      <c r="AX300" s="572"/>
      <c r="AY300" s="575"/>
      <c r="AZ300" s="2447"/>
      <c r="BA300" s="2447"/>
      <c r="BB300" s="2447"/>
      <c r="BC300" s="2447"/>
      <c r="BD300" s="2447"/>
      <c r="BE300" s="2447"/>
      <c r="BF300" s="2447"/>
    </row>
    <row r="301" spans="2:71" ht="12.75" hidden="1" customHeight="1" outlineLevel="2"/>
    <row r="302" spans="2:71" ht="12.75" hidden="1" customHeight="1" outlineLevel="2">
      <c r="B302" s="139" t="s">
        <v>2342</v>
      </c>
      <c r="C302" s="140"/>
      <c r="D302" s="140"/>
      <c r="E302" s="140"/>
      <c r="F302" s="140"/>
      <c r="G302" s="141"/>
      <c r="H302" s="141"/>
      <c r="I302" s="140"/>
      <c r="J302" s="140"/>
      <c r="K302" s="140"/>
      <c r="L302" s="140"/>
      <c r="M302" s="142"/>
      <c r="X302" s="2636" t="s">
        <v>366</v>
      </c>
      <c r="Y302" s="2637"/>
      <c r="Z302" s="2637"/>
      <c r="AA302" s="2637"/>
      <c r="AB302" s="2637"/>
      <c r="AC302" s="2637"/>
      <c r="AD302" s="2637"/>
      <c r="AE302" s="2638"/>
      <c r="AH302" s="2639" t="s">
        <v>441</v>
      </c>
      <c r="AI302" s="2640"/>
      <c r="AJ302" s="2640"/>
      <c r="AK302" s="2640"/>
      <c r="AL302" s="2640"/>
      <c r="AM302" s="2640"/>
      <c r="AN302" s="2640"/>
      <c r="AO302" s="2640"/>
      <c r="AP302" s="2640"/>
      <c r="AQ302" s="2640"/>
      <c r="AR302" s="2640"/>
      <c r="AS302" s="2640"/>
      <c r="AT302" s="2640"/>
      <c r="AU302" s="2640"/>
      <c r="AV302" s="2640"/>
      <c r="AW302" s="2640"/>
      <c r="AX302" s="2640"/>
      <c r="AY302" s="2641"/>
      <c r="AZ302" s="2448"/>
      <c r="BA302" s="2448"/>
      <c r="BB302" s="2448"/>
      <c r="BC302" s="2448"/>
      <c r="BD302" s="2448"/>
      <c r="BE302" s="2448"/>
      <c r="BF302" s="2448"/>
    </row>
    <row r="303" spans="2:71" ht="12.75" hidden="1" customHeight="1" outlineLevel="2">
      <c r="B303" s="332"/>
      <c r="C303" s="167"/>
      <c r="D303" s="1334" t="s">
        <v>308</v>
      </c>
      <c r="E303" s="1663"/>
      <c r="F303" s="144"/>
      <c r="G303" s="144"/>
      <c r="H303" s="144"/>
      <c r="I303" s="2235"/>
      <c r="J303" s="2456"/>
      <c r="K303" s="2456"/>
      <c r="L303" s="2235"/>
      <c r="M303" s="145"/>
      <c r="X303" s="1316"/>
      <c r="Y303" s="1317"/>
      <c r="Z303" s="1317"/>
      <c r="AA303" s="1334"/>
      <c r="AB303" s="1334"/>
      <c r="AC303" s="2423"/>
      <c r="AD303" s="1334"/>
      <c r="AE303" s="145"/>
      <c r="AH303" s="2642" t="s">
        <v>444</v>
      </c>
      <c r="AI303" s="2643"/>
      <c r="AJ303" s="2643"/>
      <c r="AK303" s="2643"/>
      <c r="AL303" s="2643"/>
      <c r="AM303" s="2643"/>
      <c r="AN303" s="2643"/>
      <c r="AO303" s="2643"/>
      <c r="AP303" s="2643"/>
      <c r="AQ303" s="2643"/>
      <c r="AR303" s="2643"/>
      <c r="AS303" s="2643"/>
      <c r="AT303" s="2643" t="s">
        <v>444</v>
      </c>
      <c r="AU303" s="2643"/>
      <c r="AV303" s="628"/>
      <c r="AW303" s="624"/>
      <c r="AX303" s="624"/>
      <c r="AY303" s="1291"/>
      <c r="AZ303" s="2449"/>
      <c r="BA303" s="2449"/>
      <c r="BB303" s="2449"/>
      <c r="BC303" s="2449"/>
      <c r="BD303" s="2449"/>
      <c r="BE303" s="2449"/>
      <c r="BF303" s="2449"/>
      <c r="BH303" s="2616" t="s">
        <v>1648</v>
      </c>
      <c r="BI303" s="2617"/>
      <c r="BJ303" s="2617"/>
      <c r="BK303" s="2618"/>
    </row>
    <row r="304" spans="2:71" ht="12.75" hidden="1" customHeight="1" outlineLevel="2">
      <c r="B304" s="143"/>
      <c r="C304" s="144"/>
      <c r="D304" s="1317" t="s">
        <v>409</v>
      </c>
      <c r="E304" s="1656"/>
      <c r="F304" s="147" t="s">
        <v>452</v>
      </c>
      <c r="G304" s="147"/>
      <c r="H304" s="2626" t="s">
        <v>2324</v>
      </c>
      <c r="I304" s="2628"/>
      <c r="J304" s="2628"/>
      <c r="K304" s="2768" t="s">
        <v>444</v>
      </c>
      <c r="L304" s="2768"/>
      <c r="M304" s="2841"/>
      <c r="X304" s="1316" t="s">
        <v>316</v>
      </c>
      <c r="Y304" s="2629" t="s">
        <v>316</v>
      </c>
      <c r="Z304" s="2630"/>
      <c r="AA304" s="2626" t="s">
        <v>444</v>
      </c>
      <c r="AB304" s="2628"/>
      <c r="AC304" s="2628"/>
      <c r="AD304" s="1317"/>
      <c r="AE304" s="1337" t="s">
        <v>444</v>
      </c>
      <c r="AH304" s="2631" t="s">
        <v>211</v>
      </c>
      <c r="AI304" s="2632"/>
      <c r="AJ304" s="2632"/>
      <c r="AK304" s="2632" t="s">
        <v>442</v>
      </c>
      <c r="AL304" s="2632"/>
      <c r="AM304" s="2632"/>
      <c r="AN304" s="2632" t="s">
        <v>267</v>
      </c>
      <c r="AO304" s="2632"/>
      <c r="AP304" s="2632"/>
      <c r="AQ304" s="2632" t="s">
        <v>443</v>
      </c>
      <c r="AR304" s="2632"/>
      <c r="AS304" s="2632"/>
      <c r="AT304" s="2648" t="s">
        <v>327</v>
      </c>
      <c r="AU304" s="2648"/>
      <c r="AV304" s="568"/>
      <c r="AW304" s="2631" t="s">
        <v>636</v>
      </c>
      <c r="AX304" s="2632"/>
      <c r="AY304" s="568"/>
      <c r="AZ304" s="2292"/>
      <c r="BA304" s="2292"/>
      <c r="BB304" s="2292"/>
      <c r="BC304" s="2292"/>
      <c r="BD304" s="2292"/>
      <c r="BE304" s="2292"/>
      <c r="BF304" s="2292"/>
      <c r="BH304" s="2837" t="s">
        <v>1646</v>
      </c>
      <c r="BI304" s="2229" t="s">
        <v>1570</v>
      </c>
      <c r="BJ304" s="2229" t="s">
        <v>1569</v>
      </c>
      <c r="BK304" s="2451" t="s">
        <v>332</v>
      </c>
    </row>
    <row r="305" spans="1:63" ht="12.75" hidden="1" customHeight="1" outlineLevel="2">
      <c r="B305" s="333" t="s">
        <v>239</v>
      </c>
      <c r="C305" s="144"/>
      <c r="D305" s="1317" t="s">
        <v>444</v>
      </c>
      <c r="E305" s="1656"/>
      <c r="F305" s="1321" t="s">
        <v>445</v>
      </c>
      <c r="G305" s="1321" t="s">
        <v>415</v>
      </c>
      <c r="H305" s="1662" t="s">
        <v>411</v>
      </c>
      <c r="I305" s="1662" t="s">
        <v>257</v>
      </c>
      <c r="J305" s="1662" t="s">
        <v>422</v>
      </c>
      <c r="K305" s="2452" t="s">
        <v>411</v>
      </c>
      <c r="L305" s="2231" t="s">
        <v>257</v>
      </c>
      <c r="M305" s="220" t="s">
        <v>422</v>
      </c>
      <c r="X305" s="1316" t="s">
        <v>1649</v>
      </c>
      <c r="Y305" s="2646" t="s">
        <v>1650</v>
      </c>
      <c r="Z305" s="2647"/>
      <c r="AA305" s="1662" t="s">
        <v>411</v>
      </c>
      <c r="AB305" s="1662" t="s">
        <v>257</v>
      </c>
      <c r="AC305" s="1662" t="s">
        <v>422</v>
      </c>
      <c r="AD305" s="1322"/>
      <c r="AE305" s="1337"/>
      <c r="AH305" s="2237" t="s">
        <v>411</v>
      </c>
      <c r="AI305" s="2238" t="s">
        <v>257</v>
      </c>
      <c r="AJ305" s="2238" t="s">
        <v>422</v>
      </c>
      <c r="AK305" s="2238" t="s">
        <v>411</v>
      </c>
      <c r="AL305" s="2238" t="s">
        <v>257</v>
      </c>
      <c r="AM305" s="2238" t="s">
        <v>422</v>
      </c>
      <c r="AN305" s="2238" t="s">
        <v>411</v>
      </c>
      <c r="AO305" s="2238" t="s">
        <v>257</v>
      </c>
      <c r="AP305" s="2238" t="s">
        <v>422</v>
      </c>
      <c r="AQ305" s="2238" t="s">
        <v>411</v>
      </c>
      <c r="AR305" s="2238" t="s">
        <v>257</v>
      </c>
      <c r="AS305" s="1332" t="s">
        <v>422</v>
      </c>
      <c r="AT305" s="581" t="s">
        <v>411</v>
      </c>
      <c r="AU305" s="581" t="s">
        <v>257</v>
      </c>
      <c r="AV305" s="582" t="s">
        <v>422</v>
      </c>
      <c r="AW305" s="2237" t="s">
        <v>411</v>
      </c>
      <c r="AX305" s="2238" t="s">
        <v>257</v>
      </c>
      <c r="AY305" s="1333" t="s">
        <v>422</v>
      </c>
      <c r="AZ305" s="2449"/>
      <c r="BA305" s="2449"/>
      <c r="BB305" s="2449"/>
      <c r="BC305" s="2449"/>
      <c r="BD305" s="2449"/>
      <c r="BE305" s="2449"/>
      <c r="BF305" s="2449"/>
      <c r="BH305" s="2838"/>
      <c r="BI305" s="2228"/>
      <c r="BJ305" s="2228"/>
      <c r="BK305" s="2453"/>
    </row>
    <row r="306" spans="1:63" ht="12.75" hidden="1" customHeight="1" outlineLevel="2">
      <c r="B306" s="143" t="s">
        <v>4019</v>
      </c>
      <c r="C306" s="144"/>
      <c r="D306" s="212">
        <f>SUM(K306:M306)</f>
        <v>0</v>
      </c>
      <c r="E306" s="212"/>
      <c r="F306" s="117"/>
      <c r="G306" s="117"/>
      <c r="H306" s="2466">
        <f>IF(ISNA(VLOOKUP($B306&amp;"; "&amp;$H$304&amp;", "&amp;H$305,'FE Fret'!$G:$U,9,FALSE)),0,VLOOKUP($B306&amp;"; "&amp;$H$304&amp;", "&amp;H$305,'FE Fret'!$G:$U,9,FALSE))</f>
        <v>1.33E-3</v>
      </c>
      <c r="I306" s="2466">
        <f>IF(ISNA(VLOOKUP($B306&amp;"; "&amp;$H$304&amp;", "&amp;I$305,'FE Fret'!$G:$U,9,FALSE)),0,VLOOKUP($B306&amp;"; "&amp;$H$304&amp;", "&amp;I$305,'FE Fret'!$G:$U,9,FALSE))</f>
        <v>4.3699999999999998E-3</v>
      </c>
      <c r="J306" s="2466">
        <f>IF(ISNA(VLOOKUP($B306&amp;"; "&amp;$H$304&amp;", "&amp;J$305,'FE Fret'!$G:$U,9,FALSE)),0,VLOOKUP($B306&amp;"; "&amp;$H$304&amp;", "&amp;J$305,'FE Fret'!$G:$U,9,FALSE))</f>
        <v>2.5999999999999999E-3</v>
      </c>
      <c r="K306" s="212">
        <f>IF(ISNA(G306),0,G306*H306)</f>
        <v>0</v>
      </c>
      <c r="L306" s="212">
        <f>IF(ISNA(G306),0,G306*I306)</f>
        <v>0</v>
      </c>
      <c r="M306" s="2467">
        <f>IF(ISNA(G306),0,G306*J306)</f>
        <v>0</v>
      </c>
      <c r="X306" s="1092">
        <f>IF(AE306=0,AE306,AE306/D306)</f>
        <v>0</v>
      </c>
      <c r="Y306" s="343"/>
      <c r="Z306" s="820"/>
      <c r="AA306" s="164">
        <f>K306*BI306</f>
        <v>0</v>
      </c>
      <c r="AB306" s="164">
        <f>L306*BJ306</f>
        <v>0</v>
      </c>
      <c r="AC306" s="164">
        <f>M306*BK306</f>
        <v>0</v>
      </c>
      <c r="AD306" s="164"/>
      <c r="AE306" s="152">
        <f>SQRT(SUMSQ(AA306:AC306))</f>
        <v>0</v>
      </c>
      <c r="AH306" s="564">
        <f>$G306*IF(ISNA(VLOOKUP($B306&amp;"; "&amp;$H$304&amp;", "&amp;H$305,'FE Fret'!$G:$U,10,FALSE)),0,VLOOKUP($B306&amp;"; "&amp;$H$304&amp;", "&amp;H$305,'FE Fret'!$G:$U,10,FALSE))</f>
        <v>0</v>
      </c>
      <c r="AI306" s="565">
        <f>$G306*IF(ISNA(VLOOKUP($B306&amp;"; "&amp;$H$304&amp;", "&amp;I$305,'FE Fret'!$G:$U,10,FALSE)),0,VLOOKUP($B306&amp;"; "&amp;$H$304&amp;", "&amp;I$305,'FE Fret'!$G:$U,10,FALSE))</f>
        <v>0</v>
      </c>
      <c r="AJ306" s="565">
        <f>$G306*IF(ISNA(VLOOKUP($B306&amp;"; "&amp;$H$304&amp;", "&amp;J$305,'FE Fret'!$G:$U,10,FALSE)),0,VLOOKUP($B306&amp;"; "&amp;$H$304&amp;", "&amp;J$305,'FE Fret'!$G:$U,10,FALSE))</f>
        <v>0</v>
      </c>
      <c r="AK306" s="565">
        <f>$G306*IF(ISNA(VLOOKUP($B306&amp;"; "&amp;$H$304&amp;", "&amp;H$305,'FE Fret'!$G:$U,11,FALSE)),0,VLOOKUP($B306&amp;"; "&amp;$H$304&amp;", "&amp;H$305,'FE Fret'!$G:$U,11,FALSE))+
$G306*IF(ISNA(VLOOKUP($B306&amp;"; "&amp;$H$304&amp;", "&amp;H$305,'FE Fret'!$G:$U,12,FALSE)),0,VLOOKUP($B306&amp;"; "&amp;$H$304&amp;", "&amp;H$305,'FE Fret'!$G:$U,12,FALSE))</f>
        <v>0</v>
      </c>
      <c r="AL306" s="565">
        <f>$G306*IF(ISNA(VLOOKUP($B306&amp;"; "&amp;$H$304&amp;", "&amp;I$305,'FE Fret'!$G:$U,11,FALSE)),0,VLOOKUP($B306&amp;"; "&amp;$H$304&amp;", "&amp;I$305,'FE Fret'!$G:$U,11,FALSE))+
$G306*IF(ISNA(VLOOKUP($B306&amp;"; "&amp;$H$304&amp;", "&amp;I$305,'FE Fret'!$G:$U,12,FALSE)),0,VLOOKUP($B306&amp;"; "&amp;$H$304&amp;", "&amp;I$305,'FE Fret'!$G:$U,12,FALSE))</f>
        <v>0</v>
      </c>
      <c r="AM306" s="565">
        <f>$G306*IF(ISNA(VLOOKUP($B306&amp;"; "&amp;$H$304&amp;", "&amp;J$305,'FE Fret'!$G:$U,11,FALSE)),0,VLOOKUP($B306&amp;"; "&amp;$H$304&amp;", "&amp;J$305,'FE Fret'!$G:$U,11,FALSE))+
$G306*IF(ISNA(VLOOKUP($B306&amp;"; "&amp;$H$304&amp;", "&amp;J$305,'FE Fret'!$G:$U,12,FALSE)),0,VLOOKUP($B306&amp;"; "&amp;$H$304&amp;", "&amp;J$305,'FE Fret'!$G:$U,12,FALSE))</f>
        <v>0</v>
      </c>
      <c r="AN306" s="565">
        <f>$G306*IF(ISNA(VLOOKUP($B306&amp;"; "&amp;$H$304&amp;", "&amp;H$305,'FE Fret'!$G:$U,13,FALSE)),0,VLOOKUP($B306&amp;"; "&amp;$H$304&amp;", "&amp;H$305,'FE Fret'!$G:$U,13,FALSE))</f>
        <v>0</v>
      </c>
      <c r="AO306" s="565">
        <f>$G306*IF(ISNA(VLOOKUP($B306&amp;"; "&amp;$H$304&amp;", "&amp;I$305,'FE Fret'!$G:$U,13,FALSE)),0,VLOOKUP($B306&amp;"; "&amp;$H$304&amp;", "&amp;I$305,'FE Fret'!$G:$U,13,FALSE))</f>
        <v>0</v>
      </c>
      <c r="AP306" s="565">
        <f>$G306*IF(ISNA(VLOOKUP($B306&amp;"; "&amp;$H$304&amp;", "&amp;J$305,'FE Fret'!$G:$U,13,FALSE)),0,VLOOKUP($B306&amp;"; "&amp;$H$304&amp;", "&amp;J$305,'FE Fret'!$G:$U,13,FALSE))</f>
        <v>0</v>
      </c>
      <c r="AQ306" s="565">
        <f>$G306*IF(ISNA(VLOOKUP($B306&amp;"; "&amp;$H$304&amp;", "&amp;H$305,'FE Fret'!$G:$U,14,FALSE)),0,VLOOKUP($B306&amp;"; "&amp;$H$304&amp;", "&amp;H$305,'FE Fret'!$G:$U,14,FALSE))</f>
        <v>0</v>
      </c>
      <c r="AR306" s="565">
        <f>$G306*IF(ISNA(VLOOKUP($B306&amp;"; "&amp;$H$304&amp;", "&amp;I$305,'FE Fret'!$G:$U,14,FALSE)),0,VLOOKUP($B306&amp;"; "&amp;$H$304&amp;", "&amp;I$305,'FE Fret'!$G:$U,14,FALSE))</f>
        <v>0</v>
      </c>
      <c r="AS306" s="565">
        <f>$G306*IF(ISNA(VLOOKUP($B306&amp;"; "&amp;$H$304&amp;", "&amp;J$305,'FE Fret'!$G:$U,14,FALSE)),0,VLOOKUP($B306&amp;"; "&amp;$H$304&amp;", "&amp;J$305,'FE Fret'!$G:$U,14,FALSE))</f>
        <v>0</v>
      </c>
      <c r="AT306" s="566">
        <f>SUM(AH306,AK306,AN306,AQ306)</f>
        <v>0</v>
      </c>
      <c r="AU306" s="566">
        <f>SUM(AI306,AL306,AO306,AR306)</f>
        <v>0</v>
      </c>
      <c r="AV306" s="567">
        <f>SUM(AJ306,AM306,AP306,AS306)</f>
        <v>0</v>
      </c>
      <c r="AW306" s="565">
        <f>$G306*IF(ISNA(VLOOKUP($B306&amp;"; "&amp;$H$304&amp;", "&amp;H$305,'FE Fret'!$G:$U,15,FALSE)),0,VLOOKUP($B306&amp;"; "&amp;$H$304&amp;", "&amp;H$305,'FE Fret'!$G:$U,15,FALSE))</f>
        <v>0</v>
      </c>
      <c r="AX306" s="565">
        <f>$G306*IF(ISNA(VLOOKUP($B306&amp;"; "&amp;$H$304&amp;", "&amp;I$305,'FE Fret'!$G:$U,15,FALSE)),0,VLOOKUP($B306&amp;"; "&amp;$H$304&amp;", "&amp;I$305,'FE Fret'!$G:$U,15,FALSE))</f>
        <v>0</v>
      </c>
      <c r="AY306" s="568">
        <f>$G306*IF(ISNA(VLOOKUP($B306&amp;"; "&amp;$H$304&amp;", "&amp;J$305,'FE Fret'!$G:$U,15,FALSE)),0,VLOOKUP($B306&amp;"; "&amp;$H$304&amp;", "&amp;J$305,'FE Fret'!$G:$U,15,FALSE))</f>
        <v>0</v>
      </c>
      <c r="AZ306" s="2292"/>
      <c r="BA306" s="2292"/>
      <c r="BB306" s="2292"/>
      <c r="BC306" s="2292"/>
      <c r="BD306" s="2292"/>
      <c r="BE306" s="2292"/>
      <c r="BF306" s="2292"/>
      <c r="BH306" s="1167">
        <f>IF($Y306&lt;&gt;"votre valeur :",IF(ISNA(VLOOKUP($Y306,Utilitaires!$N$566:$O$571,2,FALSE)),,VLOOKUP($Y306,Utilitaires!$N$566:$O$571,2,FALSE)),$Z306)</f>
        <v>0</v>
      </c>
      <c r="BI306" s="2241">
        <f>IF(ISNA(SQRT(SUMSQ(VLOOKUP($B306&amp;"; "&amp;$H$304&amp;", "&amp;$H$305,'FE Fret'!$G:$U,7,FALSE),$BH306))),0,SQRT(SUMSQ(VLOOKUP($B306&amp;"; "&amp;$H$304&amp;", "&amp;$H$305,'FE Fret'!$G:$U,7,FALSE),$BH306)))</f>
        <v>0.7</v>
      </c>
      <c r="BJ306" s="2241">
        <f>IF(ISNA(SQRT(SUMSQ(VLOOKUP($B306&amp;"; "&amp;$H$304&amp;", "&amp;$I$305,'FE Fret'!$G:$U,7,FALSE),$BH306))),0,SQRT(SUMSQ(VLOOKUP($B306&amp;"; "&amp;$H$304&amp;", "&amp;$I$305,'FE Fret'!$G:$U,7,FALSE),$BH306)))</f>
        <v>0.7</v>
      </c>
      <c r="BK306" s="2457">
        <f>IF(ISNA(SQRT(SUMSQ(VLOOKUP($B306&amp;"; "&amp;$H$304&amp;", "&amp;$I$305,'FE Fret'!$G:$U,7,FALSE),$BH306))),0,SQRT(SUMSQ(VLOOKUP($B306&amp;"; "&amp;$H$304&amp;", "&amp;$I$305,'FE Fret'!$G:$U,7,FALSE),$BH306)))</f>
        <v>0.7</v>
      </c>
    </row>
    <row r="307" spans="1:63" ht="12.75" hidden="1" customHeight="1" outlineLevel="2">
      <c r="B307" s="143" t="s">
        <v>4020</v>
      </c>
      <c r="C307" s="144"/>
      <c r="D307" s="212">
        <f t="shared" ref="D307:D314" si="99">SUM(K307:M307)</f>
        <v>0</v>
      </c>
      <c r="E307" s="212"/>
      <c r="F307" s="120"/>
      <c r="G307" s="120"/>
      <c r="H307" s="2466">
        <f>IF(ISNA(VLOOKUP($B307&amp;"; "&amp;$H$304&amp;", "&amp;H$305,'FE Fret'!$G:$U,9,FALSE)),0,VLOOKUP($B307&amp;"; "&amp;$H$304&amp;", "&amp;H$305,'FE Fret'!$G:$U,9,FALSE))</f>
        <v>5.0000000000000001E-3</v>
      </c>
      <c r="I307" s="2466">
        <f>IF(ISNA(VLOOKUP($B307&amp;"; "&amp;$H$304&amp;", "&amp;I$305,'FE Fret'!$G:$U,9,FALSE)),0,VLOOKUP($B307&amp;"; "&amp;$H$304&amp;", "&amp;I$305,'FE Fret'!$G:$U,9,FALSE))</f>
        <v>1.9199999999999998E-2</v>
      </c>
      <c r="J307" s="2466">
        <f>IF(ISNA(VLOOKUP($B307&amp;"; "&amp;$H$304&amp;", "&amp;J$305,'FE Fret'!$G:$U,9,FALSE)),0,VLOOKUP($B307&amp;"; "&amp;$H$304&amp;", "&amp;J$305,'FE Fret'!$G:$U,9,FALSE))</f>
        <v>2.5999999999999999E-3</v>
      </c>
      <c r="K307" s="212">
        <f t="shared" ref="K307:K314" si="100">IF(ISNA(G307),0,G307*H307)</f>
        <v>0</v>
      </c>
      <c r="L307" s="212">
        <f t="shared" ref="L307:L314" si="101">IF(ISNA(G307),0,G307*I307)</f>
        <v>0</v>
      </c>
      <c r="M307" s="2467">
        <f t="shared" ref="M307:M314" si="102">IF(ISNA(G307),0,G307*J307)</f>
        <v>0</v>
      </c>
      <c r="X307" s="1092">
        <f>IF(AE307=0,AE307,AE307/D307)</f>
        <v>0</v>
      </c>
      <c r="Y307" s="343"/>
      <c r="Z307" s="820"/>
      <c r="AA307" s="164">
        <f t="shared" ref="AA307:AA314" si="103">SQRT(SUMSQ(IF(ISNA($G307*H307*BI307),0,$G307*H307*BI307)))</f>
        <v>0</v>
      </c>
      <c r="AB307" s="164">
        <f t="shared" ref="AB307:AB314" si="104">SQRT(SUMSQ(IF(ISNA($G307*I307*BJ307),0,$G307*I307*BJ307)))</f>
        <v>0</v>
      </c>
      <c r="AC307" s="164">
        <f t="shared" ref="AC307:AC314" si="105">M307*BK307</f>
        <v>0</v>
      </c>
      <c r="AD307" s="164"/>
      <c r="AE307" s="152">
        <f t="shared" ref="AE307:AE314" si="106">SQRT(SUMSQ(AA307:AC307))</f>
        <v>0</v>
      </c>
      <c r="AH307" s="564">
        <f>$G307*IF(ISNA(VLOOKUP($B307&amp;"; "&amp;$H$304&amp;", "&amp;H$305,'FE Fret'!$G:$U,10,FALSE)),0,VLOOKUP($B307&amp;"; "&amp;$H$304&amp;", "&amp;H$305,'FE Fret'!$G:$U,10,FALSE))</f>
        <v>0</v>
      </c>
      <c r="AI307" s="565">
        <f>$G307*IF(ISNA(VLOOKUP($B307&amp;"; "&amp;$H$304&amp;", "&amp;I$305,'FE Fret'!$G:$U,10,FALSE)),0,VLOOKUP($B307&amp;"; "&amp;$H$304&amp;", "&amp;I$305,'FE Fret'!$G:$U,10,FALSE))</f>
        <v>0</v>
      </c>
      <c r="AJ307" s="565">
        <f>$G307*IF(ISNA(VLOOKUP($B307&amp;"; "&amp;$H$304&amp;", "&amp;J$305,'FE Fret'!$G:$U,10,FALSE)),0,VLOOKUP($B307&amp;"; "&amp;$H$304&amp;", "&amp;J$305,'FE Fret'!$G:$U,10,FALSE))</f>
        <v>0</v>
      </c>
      <c r="AK307" s="565">
        <f>$G307*IF(ISNA(VLOOKUP($B307&amp;"; "&amp;$H$304&amp;", "&amp;H$305,'FE Fret'!$G:$U,11,FALSE)),0,VLOOKUP($B307&amp;"; "&amp;$H$304&amp;", "&amp;H$305,'FE Fret'!$G:$U,11,FALSE))+
$G307*IF(ISNA(VLOOKUP($B307&amp;"; "&amp;$H$304&amp;", "&amp;H$305,'FE Fret'!$G:$U,12,FALSE)),0,VLOOKUP($B307&amp;"; "&amp;$H$304&amp;", "&amp;H$305,'FE Fret'!$G:$U,12,FALSE))</f>
        <v>0</v>
      </c>
      <c r="AL307" s="565">
        <f>$G307*IF(ISNA(VLOOKUP($B307&amp;"; "&amp;$H$304&amp;", "&amp;I$305,'FE Fret'!$G:$U,11,FALSE)),0,VLOOKUP($B307&amp;"; "&amp;$H$304&amp;", "&amp;I$305,'FE Fret'!$G:$U,11,FALSE))+
$G307*IF(ISNA(VLOOKUP($B307&amp;"; "&amp;$H$304&amp;", "&amp;I$305,'FE Fret'!$G:$U,12,FALSE)),0,VLOOKUP($B307&amp;"; "&amp;$H$304&amp;", "&amp;I$305,'FE Fret'!$G:$U,12,FALSE))</f>
        <v>0</v>
      </c>
      <c r="AM307" s="565">
        <f>$G307*IF(ISNA(VLOOKUP($B307&amp;"; "&amp;$H$304&amp;", "&amp;J$305,'FE Fret'!$G:$U,11,FALSE)),0,VLOOKUP($B307&amp;"; "&amp;$H$304&amp;", "&amp;J$305,'FE Fret'!$G:$U,11,FALSE))+
$G307*IF(ISNA(VLOOKUP($B307&amp;"; "&amp;$H$304&amp;", "&amp;J$305,'FE Fret'!$G:$U,12,FALSE)),0,VLOOKUP($B307&amp;"; "&amp;$H$304&amp;", "&amp;J$305,'FE Fret'!$G:$U,12,FALSE))</f>
        <v>0</v>
      </c>
      <c r="AN307" s="565">
        <f>$G307*IF(ISNA(VLOOKUP($B307&amp;"; "&amp;$H$304&amp;", "&amp;H$305,'FE Fret'!$G:$U,13,FALSE)),0,VLOOKUP($B307&amp;"; "&amp;$H$304&amp;", "&amp;H$305,'FE Fret'!$G:$U,13,FALSE))</f>
        <v>0</v>
      </c>
      <c r="AO307" s="565">
        <f>$G307*IF(ISNA(VLOOKUP($B307&amp;"; "&amp;$H$304&amp;", "&amp;I$305,'FE Fret'!$G:$U,13,FALSE)),0,VLOOKUP($B307&amp;"; "&amp;$H$304&amp;", "&amp;I$305,'FE Fret'!$G:$U,13,FALSE))</f>
        <v>0</v>
      </c>
      <c r="AP307" s="565">
        <f>$G307*IF(ISNA(VLOOKUP($B307&amp;"; "&amp;$H$304&amp;", "&amp;J$305,'FE Fret'!$G:$U,13,FALSE)),0,VLOOKUP($B307&amp;"; "&amp;$H$304&amp;", "&amp;J$305,'FE Fret'!$G:$U,13,FALSE))</f>
        <v>0</v>
      </c>
      <c r="AQ307" s="565">
        <f>$G307*IF(ISNA(VLOOKUP($B307&amp;"; "&amp;$H$304&amp;", "&amp;H$305,'FE Fret'!$G:$U,14,FALSE)),0,VLOOKUP($B307&amp;"; "&amp;$H$304&amp;", "&amp;H$305,'FE Fret'!$G:$U,14,FALSE))</f>
        <v>0</v>
      </c>
      <c r="AR307" s="565">
        <f>$G307*IF(ISNA(VLOOKUP($B307&amp;"; "&amp;$H$304&amp;", "&amp;I$305,'FE Fret'!$G:$U,14,FALSE)),0,VLOOKUP($B307&amp;"; "&amp;$H$304&amp;", "&amp;I$305,'FE Fret'!$G:$U,14,FALSE))</f>
        <v>0</v>
      </c>
      <c r="AS307" s="565">
        <f>$G307*IF(ISNA(VLOOKUP($B307&amp;"; "&amp;$H$304&amp;", "&amp;J$305,'FE Fret'!$G:$U,14,FALSE)),0,VLOOKUP($B307&amp;"; "&amp;$H$304&amp;", "&amp;J$305,'FE Fret'!$G:$U,14,FALSE))</f>
        <v>0</v>
      </c>
      <c r="AT307" s="566">
        <f t="shared" ref="AT307:AT314" si="107">SUM(AH307,AK307,AN307,AQ307)</f>
        <v>0</v>
      </c>
      <c r="AU307" s="566">
        <f t="shared" ref="AU307:AU314" si="108">SUM(AI307,AL307,AO307,AR307)</f>
        <v>0</v>
      </c>
      <c r="AV307" s="567">
        <f t="shared" ref="AV307:AV314" si="109">SUM(AJ307,AM307,AP307,AS307)</f>
        <v>0</v>
      </c>
      <c r="AW307" s="565">
        <f>$G307*IF(ISNA(VLOOKUP($B307&amp;"; "&amp;$H$304&amp;", "&amp;H$305,'FE Fret'!$G:$U,15,FALSE)),0,VLOOKUP($B307&amp;"; "&amp;$H$304&amp;", "&amp;H$305,'FE Fret'!$G:$U,15,FALSE))</f>
        <v>0</v>
      </c>
      <c r="AX307" s="565">
        <f>$G307*IF(ISNA(VLOOKUP($B307&amp;"; "&amp;$H$304&amp;", "&amp;I$305,'FE Fret'!$G:$U,15,FALSE)),0,VLOOKUP($B307&amp;"; "&amp;$H$304&amp;", "&amp;I$305,'FE Fret'!$G:$U,15,FALSE))</f>
        <v>0</v>
      </c>
      <c r="AY307" s="568">
        <f>$G307*IF(ISNA(VLOOKUP($B307&amp;"; "&amp;$H$304&amp;", "&amp;J$305,'FE Fret'!$G:$U,15,FALSE)),0,VLOOKUP($B307&amp;"; "&amp;$H$304&amp;", "&amp;J$305,'FE Fret'!$G:$U,15,FALSE))</f>
        <v>0</v>
      </c>
      <c r="AZ307" s="2292"/>
      <c r="BA307" s="2292"/>
      <c r="BB307" s="2292"/>
      <c r="BC307" s="2292"/>
      <c r="BD307" s="2292"/>
      <c r="BE307" s="2292"/>
      <c r="BF307" s="2292"/>
      <c r="BH307" s="1167">
        <f>IF($Y307&lt;&gt;"votre valeur :",IF(ISNA(VLOOKUP($Y307,Utilitaires!$N$566:$O$571,2,FALSE)),,VLOOKUP($Y307,Utilitaires!$N$566:$O$571,2,FALSE)),$Z307)</f>
        <v>0</v>
      </c>
      <c r="BI307" s="2241">
        <f>IF(ISNA(SQRT(SUMSQ(VLOOKUP($B307&amp;"; "&amp;$H$304&amp;", "&amp;$H$305,'FE Fret'!$G:$U,7,FALSE),$BH307))),0,SQRT(SUMSQ(VLOOKUP($B307&amp;"; "&amp;$H$304&amp;", "&amp;$H$305,'FE Fret'!$G:$U,7,FALSE),$BH307)))</f>
        <v>0.7</v>
      </c>
      <c r="BJ307" s="2241">
        <f>IF(ISNA(SQRT(SUMSQ(VLOOKUP($B307&amp;"; "&amp;$H$304&amp;", "&amp;$I$305,'FE Fret'!$G:$U,7,FALSE),$BH307))),0,SQRT(SUMSQ(VLOOKUP($B307&amp;"; "&amp;$H$304&amp;", "&amp;$I$305,'FE Fret'!$G:$U,7,FALSE),$BH307)))</f>
        <v>0.7</v>
      </c>
      <c r="BK307" s="2457">
        <f>IF(ISNA(SQRT(SUMSQ(VLOOKUP($B307&amp;"; "&amp;$H$304&amp;", "&amp;$I$305,'FE Fret'!$G:$U,7,FALSE),$BH307))),0,SQRT(SUMSQ(VLOOKUP($B307&amp;"; "&amp;$H$304&amp;", "&amp;$I$305,'FE Fret'!$G:$U,7,FALSE),$BH307)))</f>
        <v>0.7</v>
      </c>
    </row>
    <row r="308" spans="1:63" s="130" customFormat="1" ht="15" hidden="1" customHeight="1" outlineLevel="2">
      <c r="A308" s="114"/>
      <c r="B308" s="143" t="s">
        <v>4034</v>
      </c>
      <c r="C308" s="144"/>
      <c r="D308" s="212">
        <f t="shared" si="99"/>
        <v>0</v>
      </c>
      <c r="E308" s="212"/>
      <c r="F308" s="123"/>
      <c r="G308" s="123"/>
      <c r="H308" s="2466">
        <f>IF(ISNA(VLOOKUP($B308&amp;"; "&amp;$H$304&amp;", "&amp;H$305,'FE Fret'!$G:$U,9,FALSE)),0,VLOOKUP($B308&amp;"; "&amp;$H$304&amp;", "&amp;H$305,'FE Fret'!$G:$U,9,FALSE))</f>
        <v>4.1399999999999998E-4</v>
      </c>
      <c r="I308" s="2466">
        <f>IF(ISNA(VLOOKUP($B308&amp;"; "&amp;$H$304&amp;", "&amp;I$305,'FE Fret'!$G:$U,9,FALSE)),0,VLOOKUP($B308&amp;"; "&amp;$H$304&amp;", "&amp;I$305,'FE Fret'!$G:$U,9,FALSE))</f>
        <v>6.5899999999999997E-4</v>
      </c>
      <c r="J308" s="2466">
        <f>IF(ISNA(VLOOKUP($B308&amp;"; "&amp;$H$304&amp;", "&amp;J$305,'FE Fret'!$G:$U,9,FALSE)),0,VLOOKUP($B308&amp;"; "&amp;$H$304&amp;", "&amp;J$305,'FE Fret'!$G:$U,9,FALSE))</f>
        <v>2.5999999999999999E-3</v>
      </c>
      <c r="K308" s="212">
        <f t="shared" si="100"/>
        <v>0</v>
      </c>
      <c r="L308" s="212">
        <f t="shared" si="101"/>
        <v>0</v>
      </c>
      <c r="M308" s="2467">
        <f t="shared" si="102"/>
        <v>0</v>
      </c>
      <c r="T308" s="114"/>
      <c r="U308" s="114"/>
      <c r="V308" s="114"/>
      <c r="W308" s="114"/>
      <c r="X308" s="1092">
        <f>IF(AE308=0,AE308,AE308/D308)</f>
        <v>0</v>
      </c>
      <c r="Y308" s="1094"/>
      <c r="Z308" s="820"/>
      <c r="AA308" s="164">
        <f t="shared" si="103"/>
        <v>0</v>
      </c>
      <c r="AB308" s="164">
        <f t="shared" si="104"/>
        <v>0</v>
      </c>
      <c r="AC308" s="164">
        <f t="shared" si="105"/>
        <v>0</v>
      </c>
      <c r="AD308" s="164"/>
      <c r="AE308" s="152">
        <f t="shared" si="106"/>
        <v>0</v>
      </c>
      <c r="AF308" s="114"/>
      <c r="AG308" s="114"/>
      <c r="AH308" s="564">
        <f>$G308*IF(ISNA(VLOOKUP($B308&amp;"; "&amp;$H$304&amp;", "&amp;H$305,'FE Fret'!$G:$U,10,FALSE)),0,VLOOKUP($B308&amp;"; "&amp;$H$304&amp;", "&amp;H$305,'FE Fret'!$G:$U,10,FALSE))</f>
        <v>0</v>
      </c>
      <c r="AI308" s="565">
        <f>$G308*IF(ISNA(VLOOKUP($B308&amp;"; "&amp;$H$304&amp;", "&amp;I$305,'FE Fret'!$G:$U,10,FALSE)),0,VLOOKUP($B308&amp;"; "&amp;$H$304&amp;", "&amp;I$305,'FE Fret'!$G:$U,10,FALSE))</f>
        <v>0</v>
      </c>
      <c r="AJ308" s="565">
        <f>$G308*IF(ISNA(VLOOKUP($B308&amp;"; "&amp;$H$304&amp;", "&amp;J$305,'FE Fret'!$G:$U,10,FALSE)),0,VLOOKUP($B308&amp;"; "&amp;$H$304&amp;", "&amp;J$305,'FE Fret'!$G:$U,10,FALSE))</f>
        <v>0</v>
      </c>
      <c r="AK308" s="565">
        <f>$G308*IF(ISNA(VLOOKUP($B308&amp;"; "&amp;$H$304&amp;", "&amp;H$305,'FE Fret'!$G:$U,11,FALSE)),0,VLOOKUP($B308&amp;"; "&amp;$H$304&amp;", "&amp;H$305,'FE Fret'!$G:$U,11,FALSE))+
$G308*IF(ISNA(VLOOKUP($B308&amp;"; "&amp;$H$304&amp;", "&amp;H$305,'FE Fret'!$G:$U,12,FALSE)),0,VLOOKUP($B308&amp;"; "&amp;$H$304&amp;", "&amp;H$305,'FE Fret'!$G:$U,12,FALSE))</f>
        <v>0</v>
      </c>
      <c r="AL308" s="565">
        <f>$G308*IF(ISNA(VLOOKUP($B308&amp;"; "&amp;$H$304&amp;", "&amp;I$305,'FE Fret'!$G:$U,11,FALSE)),0,VLOOKUP($B308&amp;"; "&amp;$H$304&amp;", "&amp;I$305,'FE Fret'!$G:$U,11,FALSE))+
$G308*IF(ISNA(VLOOKUP($B308&amp;"; "&amp;$H$304&amp;", "&amp;I$305,'FE Fret'!$G:$U,12,FALSE)),0,VLOOKUP($B308&amp;"; "&amp;$H$304&amp;", "&amp;I$305,'FE Fret'!$G:$U,12,FALSE))</f>
        <v>0</v>
      </c>
      <c r="AM308" s="565">
        <f>$G308*IF(ISNA(VLOOKUP($B308&amp;"; "&amp;$H$304&amp;", "&amp;J$305,'FE Fret'!$G:$U,11,FALSE)),0,VLOOKUP($B308&amp;"; "&amp;$H$304&amp;", "&amp;J$305,'FE Fret'!$G:$U,11,FALSE))+
$G308*IF(ISNA(VLOOKUP($B308&amp;"; "&amp;$H$304&amp;", "&amp;J$305,'FE Fret'!$G:$U,12,FALSE)),0,VLOOKUP($B308&amp;"; "&amp;$H$304&amp;", "&amp;J$305,'FE Fret'!$G:$U,12,FALSE))</f>
        <v>0</v>
      </c>
      <c r="AN308" s="565">
        <f>$G308*IF(ISNA(VLOOKUP($B308&amp;"; "&amp;$H$304&amp;", "&amp;H$305,'FE Fret'!$G:$U,13,FALSE)),0,VLOOKUP($B308&amp;"; "&amp;$H$304&amp;", "&amp;H$305,'FE Fret'!$G:$U,13,FALSE))</f>
        <v>0</v>
      </c>
      <c r="AO308" s="565">
        <f>$G308*IF(ISNA(VLOOKUP($B308&amp;"; "&amp;$H$304&amp;", "&amp;I$305,'FE Fret'!$G:$U,13,FALSE)),0,VLOOKUP($B308&amp;"; "&amp;$H$304&amp;", "&amp;I$305,'FE Fret'!$G:$U,13,FALSE))</f>
        <v>0</v>
      </c>
      <c r="AP308" s="565">
        <f>$G308*IF(ISNA(VLOOKUP($B308&amp;"; "&amp;$H$304&amp;", "&amp;J$305,'FE Fret'!$G:$U,13,FALSE)),0,VLOOKUP($B308&amp;"; "&amp;$H$304&amp;", "&amp;J$305,'FE Fret'!$G:$U,13,FALSE))</f>
        <v>0</v>
      </c>
      <c r="AQ308" s="565">
        <f>$G308*IF(ISNA(VLOOKUP($B308&amp;"; "&amp;$H$304&amp;", "&amp;H$305,'FE Fret'!$G:$U,14,FALSE)),0,VLOOKUP($B308&amp;"; "&amp;$H$304&amp;", "&amp;H$305,'FE Fret'!$G:$U,14,FALSE))</f>
        <v>0</v>
      </c>
      <c r="AR308" s="565">
        <f>$G308*IF(ISNA(VLOOKUP($B308&amp;"; "&amp;$H$304&amp;", "&amp;I$305,'FE Fret'!$G:$U,14,FALSE)),0,VLOOKUP($B308&amp;"; "&amp;$H$304&amp;", "&amp;I$305,'FE Fret'!$G:$U,14,FALSE))</f>
        <v>0</v>
      </c>
      <c r="AS308" s="565">
        <f>$G308*IF(ISNA(VLOOKUP($B308&amp;"; "&amp;$H$304&amp;", "&amp;J$305,'FE Fret'!$G:$U,14,FALSE)),0,VLOOKUP($B308&amp;"; "&amp;$H$304&amp;", "&amp;J$305,'FE Fret'!$G:$U,14,FALSE))</f>
        <v>0</v>
      </c>
      <c r="AT308" s="566">
        <f t="shared" si="107"/>
        <v>0</v>
      </c>
      <c r="AU308" s="566">
        <f t="shared" si="108"/>
        <v>0</v>
      </c>
      <c r="AV308" s="567">
        <f t="shared" si="109"/>
        <v>0</v>
      </c>
      <c r="AW308" s="565">
        <f>$G308*IF(ISNA(VLOOKUP($B308&amp;"; "&amp;$H$304&amp;", "&amp;H$305,'FE Fret'!$G:$U,15,FALSE)),0,VLOOKUP($B308&amp;"; "&amp;$H$304&amp;", "&amp;H$305,'FE Fret'!$G:$U,15,FALSE))</f>
        <v>0</v>
      </c>
      <c r="AX308" s="565">
        <f>$G308*IF(ISNA(VLOOKUP($B308&amp;"; "&amp;$H$304&amp;", "&amp;I$305,'FE Fret'!$G:$U,15,FALSE)),0,VLOOKUP($B308&amp;"; "&amp;$H$304&amp;", "&amp;I$305,'FE Fret'!$G:$U,15,FALSE))</f>
        <v>0</v>
      </c>
      <c r="AY308" s="568">
        <f>$G308*IF(ISNA(VLOOKUP($B308&amp;"; "&amp;$H$304&amp;", "&amp;J$305,'FE Fret'!$G:$U,15,FALSE)),0,VLOOKUP($B308&amp;"; "&amp;$H$304&amp;", "&amp;J$305,'FE Fret'!$G:$U,15,FALSE))</f>
        <v>0</v>
      </c>
      <c r="AZ308" s="2292"/>
      <c r="BA308" s="2292"/>
      <c r="BB308" s="2292"/>
      <c r="BC308" s="2292"/>
      <c r="BD308" s="2292"/>
      <c r="BE308" s="2292"/>
      <c r="BF308" s="2292"/>
      <c r="BH308" s="1167">
        <f>IF($Y308&lt;&gt;"votre valeur :",IF(ISNA(VLOOKUP($Y308,Utilitaires!$N$566:$O$571,2,FALSE)),,VLOOKUP($Y308,Utilitaires!$N$566:$O$571,2,FALSE)),$Z308)</f>
        <v>0</v>
      </c>
      <c r="BI308" s="2241">
        <f>IF(ISNA(SQRT(SUMSQ(VLOOKUP($B308&amp;"; "&amp;$H$304&amp;", "&amp;$H$305,'FE Fret'!$G:$U,7,FALSE),$BH308))),0,SQRT(SUMSQ(VLOOKUP($B308&amp;"; "&amp;$H$304&amp;", "&amp;$H$305,'FE Fret'!$G:$U,7,FALSE),$BH308)))</f>
        <v>0.7</v>
      </c>
      <c r="BJ308" s="2241">
        <f>IF(ISNA(SQRT(SUMSQ(VLOOKUP($B308&amp;"; "&amp;$H$304&amp;", "&amp;$I$305,'FE Fret'!$G:$U,7,FALSE),$BH308))),0,SQRT(SUMSQ(VLOOKUP($B308&amp;"; "&amp;$H$304&amp;", "&amp;$I$305,'FE Fret'!$G:$U,7,FALSE),$BH308)))</f>
        <v>0.7</v>
      </c>
      <c r="BK308" s="2457">
        <f>IF(ISNA(SQRT(SUMSQ(VLOOKUP($B308&amp;"; "&amp;$H$304&amp;", "&amp;$I$305,'FE Fret'!$G:$U,7,FALSE),$BH308))),0,SQRT(SUMSQ(VLOOKUP($B308&amp;"; "&amp;$H$304&amp;", "&amp;$I$305,'FE Fret'!$G:$U,7,FALSE),$BH308)))</f>
        <v>0.7</v>
      </c>
    </row>
    <row r="309" spans="1:63" s="130" customFormat="1" ht="15" hidden="1" customHeight="1" outlineLevel="2">
      <c r="A309" s="114"/>
      <c r="B309" s="143"/>
      <c r="C309" s="144"/>
      <c r="D309" s="212"/>
      <c r="E309" s="212"/>
      <c r="F309" s="212"/>
      <c r="G309" s="212"/>
      <c r="H309" s="2466"/>
      <c r="I309" s="2466"/>
      <c r="J309" s="2466"/>
      <c r="K309" s="212"/>
      <c r="L309" s="212"/>
      <c r="M309" s="2467"/>
      <c r="T309" s="114"/>
      <c r="U309" s="114"/>
      <c r="V309" s="114"/>
      <c r="W309" s="114"/>
      <c r="X309" s="1092"/>
      <c r="Y309" s="212"/>
      <c r="Z309" s="820"/>
      <c r="AA309" s="164"/>
      <c r="AB309" s="164"/>
      <c r="AC309" s="164"/>
      <c r="AD309" s="164"/>
      <c r="AE309" s="152"/>
      <c r="AF309" s="114"/>
      <c r="AG309" s="114"/>
      <c r="AH309" s="564"/>
      <c r="AI309" s="565"/>
      <c r="AJ309" s="565"/>
      <c r="AK309" s="565"/>
      <c r="AL309" s="565"/>
      <c r="AM309" s="565"/>
      <c r="AN309" s="565"/>
      <c r="AO309" s="565"/>
      <c r="AP309" s="565"/>
      <c r="AQ309" s="565"/>
      <c r="AR309" s="565"/>
      <c r="AS309" s="565"/>
      <c r="AT309" s="566"/>
      <c r="AU309" s="566"/>
      <c r="AV309" s="567"/>
      <c r="AW309" s="565"/>
      <c r="AX309" s="565"/>
      <c r="AY309" s="568"/>
      <c r="AZ309" s="2292"/>
      <c r="BA309" s="2292"/>
      <c r="BB309" s="2292"/>
      <c r="BC309" s="2292"/>
      <c r="BD309" s="2292"/>
      <c r="BE309" s="2292"/>
      <c r="BF309" s="2292"/>
      <c r="BH309" s="1167"/>
      <c r="BI309" s="2457"/>
      <c r="BJ309" s="2457"/>
      <c r="BK309" s="2457"/>
    </row>
    <row r="310" spans="1:63" s="130" customFormat="1" ht="15" hidden="1" customHeight="1" outlineLevel="2">
      <c r="A310" s="114"/>
      <c r="B310" s="333" t="s">
        <v>4022</v>
      </c>
      <c r="C310" s="144"/>
      <c r="D310" s="212"/>
      <c r="E310" s="212"/>
      <c r="F310" s="212"/>
      <c r="G310" s="212"/>
      <c r="H310" s="2466"/>
      <c r="I310" s="2466"/>
      <c r="J310" s="2466"/>
      <c r="K310" s="212"/>
      <c r="L310" s="212"/>
      <c r="M310" s="2467"/>
      <c r="T310" s="114"/>
      <c r="U310" s="114"/>
      <c r="V310" s="114"/>
      <c r="W310" s="114"/>
      <c r="X310" s="1092"/>
      <c r="Y310" s="212"/>
      <c r="Z310" s="820"/>
      <c r="AA310" s="164"/>
      <c r="AB310" s="164"/>
      <c r="AC310" s="164"/>
      <c r="AD310" s="164"/>
      <c r="AE310" s="152"/>
      <c r="AF310" s="114"/>
      <c r="AG310" s="114"/>
      <c r="AH310" s="564"/>
      <c r="AI310" s="565"/>
      <c r="AJ310" s="565"/>
      <c r="AK310" s="565"/>
      <c r="AL310" s="565"/>
      <c r="AM310" s="565"/>
      <c r="AN310" s="565"/>
      <c r="AO310" s="565"/>
      <c r="AP310" s="565"/>
      <c r="AQ310" s="565"/>
      <c r="AR310" s="565"/>
      <c r="AS310" s="565"/>
      <c r="AT310" s="566"/>
      <c r="AU310" s="566"/>
      <c r="AV310" s="567"/>
      <c r="AW310" s="565"/>
      <c r="AX310" s="565"/>
      <c r="AY310" s="568"/>
      <c r="AZ310" s="2292"/>
      <c r="BA310" s="2292"/>
      <c r="BB310" s="2292"/>
      <c r="BC310" s="2292"/>
      <c r="BD310" s="2292"/>
      <c r="BE310" s="2292"/>
      <c r="BF310" s="2292"/>
      <c r="BH310" s="1167"/>
      <c r="BI310" s="2457"/>
      <c r="BJ310" s="2457"/>
      <c r="BK310" s="2457"/>
    </row>
    <row r="311" spans="1:63" s="130" customFormat="1" ht="15" hidden="1" customHeight="1" outlineLevel="2">
      <c r="A311" s="114"/>
      <c r="B311" s="143" t="s">
        <v>5080</v>
      </c>
      <c r="C311" s="144"/>
      <c r="D311" s="212">
        <f t="shared" si="99"/>
        <v>0</v>
      </c>
      <c r="E311" s="212"/>
      <c r="F311" s="117"/>
      <c r="G311" s="117"/>
      <c r="H311" s="2466">
        <f>IF(ISNA(VLOOKUP($B311&amp;"; "&amp;$H$304&amp;", "&amp;H$305,'FE Fret'!$G:$U,9,FALSE)),0,VLOOKUP($B311&amp;"; "&amp;$H$304&amp;", "&amp;H$305,'FE Fret'!$G:$U,9,FALSE))</f>
        <v>0</v>
      </c>
      <c r="I311" s="2466">
        <f>IF(ISNA(VLOOKUP($B311&amp;"; "&amp;$H$304&amp;", "&amp;I$305,'FE Fret'!$G:$U,9,FALSE)),0,VLOOKUP($B311&amp;"; "&amp;$H$304&amp;", "&amp;I$305,'FE Fret'!$G:$U,9,FALSE))</f>
        <v>7.6999999999999999E-2</v>
      </c>
      <c r="J311" s="2466">
        <f>IF(ISNA(VLOOKUP($B311&amp;"; "&amp;$H$304&amp;", "&amp;J$305,'FE Fret'!$G:$U,9,FALSE)),0,VLOOKUP($B311&amp;"; "&amp;$H$304&amp;", "&amp;J$305,'FE Fret'!$G:$U,9,FALSE))</f>
        <v>3.0999999999999999E-3</v>
      </c>
      <c r="K311" s="212">
        <f t="shared" si="100"/>
        <v>0</v>
      </c>
      <c r="L311" s="212">
        <f t="shared" si="101"/>
        <v>0</v>
      </c>
      <c r="M311" s="2467">
        <f t="shared" si="102"/>
        <v>0</v>
      </c>
      <c r="T311" s="114"/>
      <c r="U311" s="114"/>
      <c r="V311" s="114"/>
      <c r="W311" s="114"/>
      <c r="X311" s="1092">
        <f t="shared" ref="X311:X314" si="110">IF(AE311=0,AE311,AE311/D311)</f>
        <v>0</v>
      </c>
      <c r="Y311" s="343"/>
      <c r="Z311" s="820"/>
      <c r="AA311" s="164">
        <f t="shared" si="103"/>
        <v>0</v>
      </c>
      <c r="AB311" s="164">
        <f t="shared" si="104"/>
        <v>0</v>
      </c>
      <c r="AC311" s="164">
        <f t="shared" si="105"/>
        <v>0</v>
      </c>
      <c r="AD311" s="164"/>
      <c r="AE311" s="152">
        <f t="shared" si="106"/>
        <v>0</v>
      </c>
      <c r="AF311" s="114"/>
      <c r="AG311" s="114"/>
      <c r="AH311" s="564">
        <f>$G311*IF(ISNA(VLOOKUP($B311&amp;"; "&amp;$H$304&amp;", "&amp;H$305,'FE Fret'!$G:$U,10,FALSE)),0,VLOOKUP($B311&amp;"; "&amp;$H$304&amp;", "&amp;H$305,'FE Fret'!$G:$U,10,FALSE))</f>
        <v>0</v>
      </c>
      <c r="AI311" s="565">
        <f>$G311*IF(ISNA(VLOOKUP($B311&amp;"; "&amp;$H$304&amp;", "&amp;I$305,'FE Fret'!$G:$U,10,FALSE)),0,VLOOKUP($B311&amp;"; "&amp;$H$304&amp;", "&amp;I$305,'FE Fret'!$G:$U,10,FALSE))</f>
        <v>0</v>
      </c>
      <c r="AJ311" s="565">
        <f>$G311*IF(ISNA(VLOOKUP($B311&amp;"; "&amp;$H$304&amp;", "&amp;J$305,'FE Fret'!$G:$U,10,FALSE)),0,VLOOKUP($B311&amp;"; "&amp;$H$304&amp;", "&amp;J$305,'FE Fret'!$G:$U,10,FALSE))</f>
        <v>0</v>
      </c>
      <c r="AK311" s="565">
        <f>$G311*IF(ISNA(VLOOKUP($B311&amp;"; "&amp;$H$304&amp;", "&amp;H$305,'FE Fret'!$G:$U,11,FALSE)),0,VLOOKUP($B311&amp;"; "&amp;$H$304&amp;", "&amp;H$305,'FE Fret'!$G:$U,11,FALSE))+
$G311*IF(ISNA(VLOOKUP($B311&amp;"; "&amp;$H$304&amp;", "&amp;H$305,'FE Fret'!$G:$U,12,FALSE)),0,VLOOKUP($B311&amp;"; "&amp;$H$304&amp;", "&amp;H$305,'FE Fret'!$G:$U,12,FALSE))</f>
        <v>0</v>
      </c>
      <c r="AL311" s="565">
        <f>$G311*IF(ISNA(VLOOKUP($B311&amp;"; "&amp;$H$304&amp;", "&amp;I$305,'FE Fret'!$G:$U,11,FALSE)),0,VLOOKUP($B311&amp;"; "&amp;$H$304&amp;", "&amp;I$305,'FE Fret'!$G:$U,11,FALSE))+
$G311*IF(ISNA(VLOOKUP($B311&amp;"; "&amp;$H$304&amp;", "&amp;I$305,'FE Fret'!$G:$U,12,FALSE)),0,VLOOKUP($B311&amp;"; "&amp;$H$304&amp;", "&amp;I$305,'FE Fret'!$G:$U,12,FALSE))</f>
        <v>0</v>
      </c>
      <c r="AM311" s="565">
        <f>$G311*IF(ISNA(VLOOKUP($B311&amp;"; "&amp;$H$304&amp;", "&amp;J$305,'FE Fret'!$G:$U,11,FALSE)),0,VLOOKUP($B311&amp;"; "&amp;$H$304&amp;", "&amp;J$305,'FE Fret'!$G:$U,11,FALSE))+
$G311*IF(ISNA(VLOOKUP($B311&amp;"; "&amp;$H$304&amp;", "&amp;J$305,'FE Fret'!$G:$U,12,FALSE)),0,VLOOKUP($B311&amp;"; "&amp;$H$304&amp;", "&amp;J$305,'FE Fret'!$G:$U,12,FALSE))</f>
        <v>0</v>
      </c>
      <c r="AN311" s="565">
        <f>$G311*IF(ISNA(VLOOKUP($B311&amp;"; "&amp;$H$304&amp;", "&amp;H$305,'FE Fret'!$G:$U,13,FALSE)),0,VLOOKUP($B311&amp;"; "&amp;$H$304&amp;", "&amp;H$305,'FE Fret'!$G:$U,13,FALSE))</f>
        <v>0</v>
      </c>
      <c r="AO311" s="565">
        <f>$G311*IF(ISNA(VLOOKUP($B311&amp;"; "&amp;$H$304&amp;", "&amp;I$305,'FE Fret'!$G:$U,13,FALSE)),0,VLOOKUP($B311&amp;"; "&amp;$H$304&amp;", "&amp;I$305,'FE Fret'!$G:$U,13,FALSE))</f>
        <v>0</v>
      </c>
      <c r="AP311" s="565">
        <f>$G311*IF(ISNA(VLOOKUP($B311&amp;"; "&amp;$H$304&amp;", "&amp;J$305,'FE Fret'!$G:$U,13,FALSE)),0,VLOOKUP($B311&amp;"; "&amp;$H$304&amp;", "&amp;J$305,'FE Fret'!$G:$U,13,FALSE))</f>
        <v>0</v>
      </c>
      <c r="AQ311" s="565">
        <f>$G311*IF(ISNA(VLOOKUP($B311&amp;"; "&amp;$H$304&amp;", "&amp;H$305,'FE Fret'!$G:$U,14,FALSE)),0,VLOOKUP($B311&amp;"; "&amp;$H$304&amp;", "&amp;H$305,'FE Fret'!$G:$U,14,FALSE))</f>
        <v>0</v>
      </c>
      <c r="AR311" s="565">
        <f>$G311*IF(ISNA(VLOOKUP($B311&amp;"; "&amp;$H$304&amp;", "&amp;I$305,'FE Fret'!$G:$U,14,FALSE)),0,VLOOKUP($B311&amp;"; "&amp;$H$304&amp;", "&amp;I$305,'FE Fret'!$G:$U,14,FALSE))</f>
        <v>0</v>
      </c>
      <c r="AS311" s="565">
        <f>$G311*IF(ISNA(VLOOKUP($B311&amp;"; "&amp;$H$304&amp;", "&amp;J$305,'FE Fret'!$G:$U,14,FALSE)),0,VLOOKUP($B311&amp;"; "&amp;$H$304&amp;", "&amp;J$305,'FE Fret'!$G:$U,14,FALSE))</f>
        <v>0</v>
      </c>
      <c r="AT311" s="566">
        <f t="shared" si="107"/>
        <v>0</v>
      </c>
      <c r="AU311" s="566">
        <f t="shared" si="108"/>
        <v>0</v>
      </c>
      <c r="AV311" s="567">
        <f t="shared" si="109"/>
        <v>0</v>
      </c>
      <c r="AW311" s="565">
        <f>$G311*IF(ISNA(VLOOKUP($B311&amp;"; "&amp;$H$304&amp;", "&amp;H$305,'FE Fret'!$G:$U,15,FALSE)),0,VLOOKUP($B311&amp;"; "&amp;$H$304&amp;", "&amp;H$305,'FE Fret'!$G:$U,15,FALSE))</f>
        <v>0</v>
      </c>
      <c r="AX311" s="565">
        <f>$G311*IF(ISNA(VLOOKUP($B311&amp;"; "&amp;$H$304&amp;", "&amp;I$305,'FE Fret'!$G:$U,15,FALSE)),0,VLOOKUP($B311&amp;"; "&amp;$H$304&amp;", "&amp;I$305,'FE Fret'!$G:$U,15,FALSE))</f>
        <v>0</v>
      </c>
      <c r="AY311" s="568">
        <f>$G311*IF(ISNA(VLOOKUP($B311&amp;"; "&amp;$H$304&amp;", "&amp;J$305,'FE Fret'!$G:$U,15,FALSE)),0,VLOOKUP($B311&amp;"; "&amp;$H$304&amp;", "&amp;J$305,'FE Fret'!$G:$U,15,FALSE))</f>
        <v>0</v>
      </c>
      <c r="AZ311" s="2292"/>
      <c r="BA311" s="2292"/>
      <c r="BB311" s="2292"/>
      <c r="BC311" s="2292"/>
      <c r="BD311" s="2292"/>
      <c r="BE311" s="2292"/>
      <c r="BF311" s="2292"/>
      <c r="BH311" s="1167">
        <f>IF($Y311&lt;&gt;"votre valeur :",IF(ISNA(VLOOKUP($Y311,Utilitaires!$N$566:$O$571,2,FALSE)),,VLOOKUP($Y311,Utilitaires!$N$566:$O$571,2,FALSE)),$Z311)</f>
        <v>0</v>
      </c>
      <c r="BI311" s="2457">
        <f>IF(ISNA(SQRT(SUMSQ(VLOOKUP($B311&amp;"; "&amp;$H$304&amp;", "&amp;$H$305,'FE Fret'!$G:$U,7,FALSE),$BH311))),0,SQRT(SUMSQ(VLOOKUP($B311&amp;"; "&amp;$H$304&amp;", "&amp;$H$305,'FE Fret'!$G:$U,7,FALSE),$BH311)))</f>
        <v>0</v>
      </c>
      <c r="BJ311" s="2457">
        <f>IF(ISNA(SQRT(SUMSQ(VLOOKUP($B311&amp;"; "&amp;$H$304&amp;", "&amp;$I$305,'FE Fret'!$G:$U,7,FALSE),$BH311))),0,SQRT(SUMSQ(VLOOKUP($B311&amp;"; "&amp;$H$304&amp;", "&amp;$I$305,'FE Fret'!$G:$U,7,FALSE),$BH311)))</f>
        <v>0.4</v>
      </c>
      <c r="BK311" s="2457">
        <f>IF(ISNA(SQRT(SUMSQ(VLOOKUP($B311&amp;"; "&amp;$H$304&amp;", "&amp;$I$305,'FE Fret'!$G:$U,7,FALSE),$BH311))),0,SQRT(SUMSQ(VLOOKUP($B311&amp;"; "&amp;$H$304&amp;", "&amp;$I$305,'FE Fret'!$G:$U,7,FALSE),$BH311)))</f>
        <v>0.4</v>
      </c>
    </row>
    <row r="312" spans="1:63" s="130" customFormat="1" ht="15" hidden="1" customHeight="1" outlineLevel="2">
      <c r="A312" s="114"/>
      <c r="B312" s="143" t="s">
        <v>4021</v>
      </c>
      <c r="C312" s="144"/>
      <c r="D312" s="212">
        <f t="shared" si="99"/>
        <v>0</v>
      </c>
      <c r="E312" s="212"/>
      <c r="F312" s="120"/>
      <c r="G312" s="120"/>
      <c r="H312" s="2466">
        <f>IF(ISNA(VLOOKUP($B312&amp;"; "&amp;$H$304&amp;", "&amp;H$305,'FE Fret'!$G:$U,9,FALSE)),0,VLOOKUP($B312&amp;"; "&amp;$H$304&amp;", "&amp;H$305,'FE Fret'!$G:$U,9,FALSE))</f>
        <v>0</v>
      </c>
      <c r="I312" s="2466">
        <f>IF(ISNA(VLOOKUP($B312&amp;"; "&amp;$H$304&amp;", "&amp;I$305,'FE Fret'!$G:$U,9,FALSE)),0,VLOOKUP($B312&amp;"; "&amp;$H$304&amp;", "&amp;I$305,'FE Fret'!$G:$U,9,FALSE))</f>
        <v>3.2000000000000001E-2</v>
      </c>
      <c r="J312" s="2466">
        <f>IF(ISNA(VLOOKUP($B312&amp;"; "&amp;$H$304&amp;", "&amp;J$305,'FE Fret'!$G:$U,9,FALSE)),0,VLOOKUP($B312&amp;"; "&amp;$H$304&amp;", "&amp;J$305,'FE Fret'!$G:$U,9,FALSE))</f>
        <v>0</v>
      </c>
      <c r="K312" s="212">
        <f t="shared" si="100"/>
        <v>0</v>
      </c>
      <c r="L312" s="212">
        <f t="shared" si="101"/>
        <v>0</v>
      </c>
      <c r="M312" s="2467">
        <f t="shared" si="102"/>
        <v>0</v>
      </c>
      <c r="T312" s="114"/>
      <c r="U312" s="114"/>
      <c r="V312" s="114"/>
      <c r="W312" s="114"/>
      <c r="X312" s="1092">
        <f t="shared" si="110"/>
        <v>0</v>
      </c>
      <c r="Y312" s="343"/>
      <c r="Z312" s="820"/>
      <c r="AA312" s="164">
        <f t="shared" si="103"/>
        <v>0</v>
      </c>
      <c r="AB312" s="164">
        <f t="shared" si="104"/>
        <v>0</v>
      </c>
      <c r="AC312" s="164">
        <f t="shared" si="105"/>
        <v>0</v>
      </c>
      <c r="AD312" s="164"/>
      <c r="AE312" s="152">
        <f t="shared" si="106"/>
        <v>0</v>
      </c>
      <c r="AF312" s="114"/>
      <c r="AG312" s="114"/>
      <c r="AH312" s="564">
        <f>$G312*IF(ISNA(VLOOKUP($B312&amp;"; "&amp;$H$304&amp;", "&amp;H$305,'FE Fret'!$G:$U,10,FALSE)),0,VLOOKUP($B312&amp;"; "&amp;$H$304&amp;", "&amp;H$305,'FE Fret'!$G:$U,10,FALSE))</f>
        <v>0</v>
      </c>
      <c r="AI312" s="565">
        <f>$G312*IF(ISNA(VLOOKUP($B312&amp;"; "&amp;$H$304&amp;", "&amp;I$305,'FE Fret'!$G:$U,10,FALSE)),0,VLOOKUP($B312&amp;"; "&amp;$H$304&amp;", "&amp;I$305,'FE Fret'!$G:$U,10,FALSE))</f>
        <v>0</v>
      </c>
      <c r="AJ312" s="565">
        <f>$G312*IF(ISNA(VLOOKUP($B312&amp;"; "&amp;$H$304&amp;", "&amp;J$305,'FE Fret'!$G:$U,10,FALSE)),0,VLOOKUP($B312&amp;"; "&amp;$H$304&amp;", "&amp;J$305,'FE Fret'!$G:$U,10,FALSE))</f>
        <v>0</v>
      </c>
      <c r="AK312" s="565">
        <f>$G312*IF(ISNA(VLOOKUP($B312&amp;"; "&amp;$H$304&amp;", "&amp;H$305,'FE Fret'!$G:$U,11,FALSE)),0,VLOOKUP($B312&amp;"; "&amp;$H$304&amp;", "&amp;H$305,'FE Fret'!$G:$U,11,FALSE))+
$G312*IF(ISNA(VLOOKUP($B312&amp;"; "&amp;$H$304&amp;", "&amp;H$305,'FE Fret'!$G:$U,12,FALSE)),0,VLOOKUP($B312&amp;"; "&amp;$H$304&amp;", "&amp;H$305,'FE Fret'!$G:$U,12,FALSE))</f>
        <v>0</v>
      </c>
      <c r="AL312" s="565">
        <f>$G312*IF(ISNA(VLOOKUP($B312&amp;"; "&amp;$H$304&amp;", "&amp;I$305,'FE Fret'!$G:$U,11,FALSE)),0,VLOOKUP($B312&amp;"; "&amp;$H$304&amp;", "&amp;I$305,'FE Fret'!$G:$U,11,FALSE))+
$G312*IF(ISNA(VLOOKUP($B312&amp;"; "&amp;$H$304&amp;", "&amp;I$305,'FE Fret'!$G:$U,12,FALSE)),0,VLOOKUP($B312&amp;"; "&amp;$H$304&amp;", "&amp;I$305,'FE Fret'!$G:$U,12,FALSE))</f>
        <v>0</v>
      </c>
      <c r="AM312" s="565">
        <f>$G312*IF(ISNA(VLOOKUP($B312&amp;"; "&amp;$H$304&amp;", "&amp;J$305,'FE Fret'!$G:$U,11,FALSE)),0,VLOOKUP($B312&amp;"; "&amp;$H$304&amp;", "&amp;J$305,'FE Fret'!$G:$U,11,FALSE))+
$G312*IF(ISNA(VLOOKUP($B312&amp;"; "&amp;$H$304&amp;", "&amp;J$305,'FE Fret'!$G:$U,12,FALSE)),0,VLOOKUP($B312&amp;"; "&amp;$H$304&amp;", "&amp;J$305,'FE Fret'!$G:$U,12,FALSE))</f>
        <v>0</v>
      </c>
      <c r="AN312" s="565">
        <f>$G312*IF(ISNA(VLOOKUP($B312&amp;"; "&amp;$H$304&amp;", "&amp;H$305,'FE Fret'!$G:$U,13,FALSE)),0,VLOOKUP($B312&amp;"; "&amp;$H$304&amp;", "&amp;H$305,'FE Fret'!$G:$U,13,FALSE))</f>
        <v>0</v>
      </c>
      <c r="AO312" s="565">
        <f>$G312*IF(ISNA(VLOOKUP($B312&amp;"; "&amp;$H$304&amp;", "&amp;I$305,'FE Fret'!$G:$U,13,FALSE)),0,VLOOKUP($B312&amp;"; "&amp;$H$304&amp;", "&amp;I$305,'FE Fret'!$G:$U,13,FALSE))</f>
        <v>0</v>
      </c>
      <c r="AP312" s="565">
        <f>$G312*IF(ISNA(VLOOKUP($B312&amp;"; "&amp;$H$304&amp;", "&amp;J$305,'FE Fret'!$G:$U,13,FALSE)),0,VLOOKUP($B312&amp;"; "&amp;$H$304&amp;", "&amp;J$305,'FE Fret'!$G:$U,13,FALSE))</f>
        <v>0</v>
      </c>
      <c r="AQ312" s="565">
        <f>$G312*IF(ISNA(VLOOKUP($B312&amp;"; "&amp;$H$304&amp;", "&amp;H$305,'FE Fret'!$G:$U,14,FALSE)),0,VLOOKUP($B312&amp;"; "&amp;$H$304&amp;", "&amp;H$305,'FE Fret'!$G:$U,14,FALSE))</f>
        <v>0</v>
      </c>
      <c r="AR312" s="565">
        <f>$G312*IF(ISNA(VLOOKUP($B312&amp;"; "&amp;$H$304&amp;", "&amp;I$305,'FE Fret'!$G:$U,14,FALSE)),0,VLOOKUP($B312&amp;"; "&amp;$H$304&amp;", "&amp;I$305,'FE Fret'!$G:$U,14,FALSE))</f>
        <v>0</v>
      </c>
      <c r="AS312" s="565">
        <f>$G312*IF(ISNA(VLOOKUP($B312&amp;"; "&amp;$H$304&amp;", "&amp;J$305,'FE Fret'!$G:$U,14,FALSE)),0,VLOOKUP($B312&amp;"; "&amp;$H$304&amp;", "&amp;J$305,'FE Fret'!$G:$U,14,FALSE))</f>
        <v>0</v>
      </c>
      <c r="AT312" s="566">
        <f t="shared" si="107"/>
        <v>0</v>
      </c>
      <c r="AU312" s="566">
        <f t="shared" si="108"/>
        <v>0</v>
      </c>
      <c r="AV312" s="567">
        <f t="shared" si="109"/>
        <v>0</v>
      </c>
      <c r="AW312" s="565">
        <f>$G312*IF(ISNA(VLOOKUP($B312&amp;"; "&amp;$H$304&amp;", "&amp;H$305,'FE Fret'!$G:$U,15,FALSE)),0,VLOOKUP($B312&amp;"; "&amp;$H$304&amp;", "&amp;H$305,'FE Fret'!$G:$U,15,FALSE))</f>
        <v>0</v>
      </c>
      <c r="AX312" s="565">
        <f>$G312*IF(ISNA(VLOOKUP($B312&amp;"; "&amp;$H$304&amp;", "&amp;I$305,'FE Fret'!$G:$U,15,FALSE)),0,VLOOKUP($B312&amp;"; "&amp;$H$304&amp;", "&amp;I$305,'FE Fret'!$G:$U,15,FALSE))</f>
        <v>0</v>
      </c>
      <c r="AY312" s="568">
        <f>$G312*IF(ISNA(VLOOKUP($B312&amp;"; "&amp;$H$304&amp;", "&amp;J$305,'FE Fret'!$G:$U,15,FALSE)),0,VLOOKUP($B312&amp;"; "&amp;$H$304&amp;", "&amp;J$305,'FE Fret'!$G:$U,15,FALSE))</f>
        <v>0</v>
      </c>
      <c r="AZ312" s="2292"/>
      <c r="BA312" s="2292"/>
      <c r="BB312" s="2292"/>
      <c r="BC312" s="2292"/>
      <c r="BD312" s="2292"/>
      <c r="BE312" s="2292"/>
      <c r="BF312" s="2292"/>
      <c r="BH312" s="1167">
        <f>IF($Y312&lt;&gt;"votre valeur :",IF(ISNA(VLOOKUP($Y312,Utilitaires!$N$566:$O$571,2,FALSE)),,VLOOKUP($Y312,Utilitaires!$N$566:$O$571,2,FALSE)),$Z312)</f>
        <v>0</v>
      </c>
      <c r="BI312" s="2457">
        <f>IF(ISNA(SQRT(SUMSQ(VLOOKUP($B312&amp;"; "&amp;$H$304&amp;", "&amp;$H$305,'FE Fret'!$G:$U,7,FALSE),$BH312))),0,SQRT(SUMSQ(VLOOKUP($B312&amp;"; "&amp;$H$304&amp;", "&amp;$H$305,'FE Fret'!$G:$U,7,FALSE),$BH312)))</f>
        <v>0</v>
      </c>
      <c r="BJ312" s="2457">
        <f>IF(ISNA(SQRT(SUMSQ(VLOOKUP($B312&amp;"; "&amp;$H$304&amp;", "&amp;$I$305,'FE Fret'!$G:$U,7,FALSE),$BH312))),0,SQRT(SUMSQ(VLOOKUP($B312&amp;"; "&amp;$H$304&amp;", "&amp;$I$305,'FE Fret'!$G:$U,7,FALSE),$BH312)))</f>
        <v>0.5</v>
      </c>
      <c r="BK312" s="2457">
        <f>IF(ISNA(SQRT(SUMSQ(VLOOKUP($B312&amp;"; "&amp;$H$304&amp;", "&amp;$I$305,'FE Fret'!$G:$U,7,FALSE),$BH312))),0,SQRT(SUMSQ(VLOOKUP($B312&amp;"; "&amp;$H$304&amp;", "&amp;$I$305,'FE Fret'!$G:$U,7,FALSE),$BH312)))</f>
        <v>0.5</v>
      </c>
    </row>
    <row r="313" spans="1:63" s="130" customFormat="1" ht="15" hidden="1" customHeight="1" outlineLevel="2">
      <c r="A313" s="114"/>
      <c r="B313" s="143" t="s">
        <v>4025</v>
      </c>
      <c r="C313" s="144"/>
      <c r="D313" s="212">
        <f t="shared" si="99"/>
        <v>0</v>
      </c>
      <c r="E313" s="212"/>
      <c r="F313" s="120"/>
      <c r="G313" s="120"/>
      <c r="H313" s="2466">
        <f>IF(ISNA(VLOOKUP($B313&amp;"; "&amp;$H$304&amp;", "&amp;H$305,'FE Fret'!$G:$U,9,FALSE)),0,VLOOKUP($B313&amp;"; "&amp;$H$304&amp;", "&amp;H$305,'FE Fret'!$G:$U,9,FALSE))</f>
        <v>0</v>
      </c>
      <c r="I313" s="2466">
        <f>IF(ISNA(VLOOKUP($B313&amp;"; "&amp;$H$304&amp;", "&amp;I$305,'FE Fret'!$G:$U,9,FALSE)),0,VLOOKUP($B313&amp;"; "&amp;$H$304&amp;", "&amp;I$305,'FE Fret'!$G:$U,9,FALSE))</f>
        <v>4.28E-3</v>
      </c>
      <c r="J313" s="2466">
        <f>IF(ISNA(VLOOKUP($B313&amp;"; "&amp;$H$304&amp;", "&amp;J$305,'FE Fret'!$G:$U,9,FALSE)),0,VLOOKUP($B313&amp;"; "&amp;$H$304&amp;", "&amp;J$305,'FE Fret'!$G:$U,9,FALSE))</f>
        <v>0</v>
      </c>
      <c r="K313" s="212">
        <f t="shared" si="100"/>
        <v>0</v>
      </c>
      <c r="L313" s="212">
        <f t="shared" si="101"/>
        <v>0</v>
      </c>
      <c r="M313" s="2467">
        <f t="shared" si="102"/>
        <v>0</v>
      </c>
      <c r="T313" s="114"/>
      <c r="U313" s="114"/>
      <c r="V313" s="114"/>
      <c r="W313" s="114"/>
      <c r="X313" s="1092">
        <f t="shared" si="110"/>
        <v>0</v>
      </c>
      <c r="Y313" s="1094"/>
      <c r="Z313" s="820"/>
      <c r="AA313" s="164">
        <f t="shared" si="103"/>
        <v>0</v>
      </c>
      <c r="AB313" s="164">
        <f t="shared" si="104"/>
        <v>0</v>
      </c>
      <c r="AC313" s="164">
        <f t="shared" si="105"/>
        <v>0</v>
      </c>
      <c r="AD313" s="164"/>
      <c r="AE313" s="152">
        <f t="shared" si="106"/>
        <v>0</v>
      </c>
      <c r="AF313" s="114"/>
      <c r="AG313" s="114"/>
      <c r="AH313" s="564">
        <f>$G313*IF(ISNA(VLOOKUP($B313&amp;"; "&amp;$H$304&amp;", "&amp;H$305,'FE Fret'!$G:$U,10,FALSE)),0,VLOOKUP($B313&amp;"; "&amp;$H$304&amp;", "&amp;H$305,'FE Fret'!$G:$U,10,FALSE))</f>
        <v>0</v>
      </c>
      <c r="AI313" s="565">
        <f>$G313*IF(ISNA(VLOOKUP($B313&amp;"; "&amp;$H$304&amp;", "&amp;I$305,'FE Fret'!$G:$U,10,FALSE)),0,VLOOKUP($B313&amp;"; "&amp;$H$304&amp;", "&amp;I$305,'FE Fret'!$G:$U,10,FALSE))</f>
        <v>0</v>
      </c>
      <c r="AJ313" s="565">
        <f>$G313*IF(ISNA(VLOOKUP($B313&amp;"; "&amp;$H$304&amp;", "&amp;J$305,'FE Fret'!$G:$U,10,FALSE)),0,VLOOKUP($B313&amp;"; "&amp;$H$304&amp;", "&amp;J$305,'FE Fret'!$G:$U,10,FALSE))</f>
        <v>0</v>
      </c>
      <c r="AK313" s="565">
        <f>$G313*IF(ISNA(VLOOKUP($B313&amp;"; "&amp;$H$304&amp;", "&amp;H$305,'FE Fret'!$G:$U,11,FALSE)),0,VLOOKUP($B313&amp;"; "&amp;$H$304&amp;", "&amp;H$305,'FE Fret'!$G:$U,11,FALSE))+
$G313*IF(ISNA(VLOOKUP($B313&amp;"; "&amp;$H$304&amp;", "&amp;H$305,'FE Fret'!$G:$U,12,FALSE)),0,VLOOKUP($B313&amp;"; "&amp;$H$304&amp;", "&amp;H$305,'FE Fret'!$G:$U,12,FALSE))</f>
        <v>0</v>
      </c>
      <c r="AL313" s="565">
        <f>$G313*IF(ISNA(VLOOKUP($B313&amp;"; "&amp;$H$304&amp;", "&amp;I$305,'FE Fret'!$G:$U,11,FALSE)),0,VLOOKUP($B313&amp;"; "&amp;$H$304&amp;", "&amp;I$305,'FE Fret'!$G:$U,11,FALSE))+
$G313*IF(ISNA(VLOOKUP($B313&amp;"; "&amp;$H$304&amp;", "&amp;I$305,'FE Fret'!$G:$U,12,FALSE)),0,VLOOKUP($B313&amp;"; "&amp;$H$304&amp;", "&amp;I$305,'FE Fret'!$G:$U,12,FALSE))</f>
        <v>0</v>
      </c>
      <c r="AM313" s="565">
        <f>$G313*IF(ISNA(VLOOKUP($B313&amp;"; "&amp;$H$304&amp;", "&amp;J$305,'FE Fret'!$G:$U,11,FALSE)),0,VLOOKUP($B313&amp;"; "&amp;$H$304&amp;", "&amp;J$305,'FE Fret'!$G:$U,11,FALSE))+
$G313*IF(ISNA(VLOOKUP($B313&amp;"; "&amp;$H$304&amp;", "&amp;J$305,'FE Fret'!$G:$U,12,FALSE)),0,VLOOKUP($B313&amp;"; "&amp;$H$304&amp;", "&amp;J$305,'FE Fret'!$G:$U,12,FALSE))</f>
        <v>0</v>
      </c>
      <c r="AN313" s="565">
        <f>$G313*IF(ISNA(VLOOKUP($B313&amp;"; "&amp;$H$304&amp;", "&amp;H$305,'FE Fret'!$G:$U,13,FALSE)),0,VLOOKUP($B313&amp;"; "&amp;$H$304&amp;", "&amp;H$305,'FE Fret'!$G:$U,13,FALSE))</f>
        <v>0</v>
      </c>
      <c r="AO313" s="565">
        <f>$G313*IF(ISNA(VLOOKUP($B313&amp;"; "&amp;$H$304&amp;", "&amp;I$305,'FE Fret'!$G:$U,13,FALSE)),0,VLOOKUP($B313&amp;"; "&amp;$H$304&amp;", "&amp;I$305,'FE Fret'!$G:$U,13,FALSE))</f>
        <v>0</v>
      </c>
      <c r="AP313" s="565">
        <f>$G313*IF(ISNA(VLOOKUP($B313&amp;"; "&amp;$H$304&amp;", "&amp;J$305,'FE Fret'!$G:$U,13,FALSE)),0,VLOOKUP($B313&amp;"; "&amp;$H$304&amp;", "&amp;J$305,'FE Fret'!$G:$U,13,FALSE))</f>
        <v>0</v>
      </c>
      <c r="AQ313" s="565">
        <f>$G313*IF(ISNA(VLOOKUP($B313&amp;"; "&amp;$H$304&amp;", "&amp;H$305,'FE Fret'!$G:$U,14,FALSE)),0,VLOOKUP($B313&amp;"; "&amp;$H$304&amp;", "&amp;H$305,'FE Fret'!$G:$U,14,FALSE))</f>
        <v>0</v>
      </c>
      <c r="AR313" s="565">
        <f>$G313*IF(ISNA(VLOOKUP($B313&amp;"; "&amp;$H$304&amp;", "&amp;I$305,'FE Fret'!$G:$U,14,FALSE)),0,VLOOKUP($B313&amp;"; "&amp;$H$304&amp;", "&amp;I$305,'FE Fret'!$G:$U,14,FALSE))</f>
        <v>0</v>
      </c>
      <c r="AS313" s="565">
        <f>$G313*IF(ISNA(VLOOKUP($B313&amp;"; "&amp;$H$304&amp;", "&amp;J$305,'FE Fret'!$G:$U,14,FALSE)),0,VLOOKUP($B313&amp;"; "&amp;$H$304&amp;", "&amp;J$305,'FE Fret'!$G:$U,14,FALSE))</f>
        <v>0</v>
      </c>
      <c r="AT313" s="566">
        <f t="shared" si="107"/>
        <v>0</v>
      </c>
      <c r="AU313" s="566">
        <f t="shared" si="108"/>
        <v>0</v>
      </c>
      <c r="AV313" s="567">
        <f t="shared" si="109"/>
        <v>0</v>
      </c>
      <c r="AW313" s="565">
        <f>$G313*IF(ISNA(VLOOKUP($B313&amp;"; "&amp;$H$304&amp;", "&amp;H$305,'FE Fret'!$G:$U,15,FALSE)),0,VLOOKUP($B313&amp;"; "&amp;$H$304&amp;", "&amp;H$305,'FE Fret'!$G:$U,15,FALSE))</f>
        <v>0</v>
      </c>
      <c r="AX313" s="565">
        <f>$G313*IF(ISNA(VLOOKUP($B313&amp;"; "&amp;$H$304&amp;", "&amp;I$305,'FE Fret'!$G:$U,15,FALSE)),0,VLOOKUP($B313&amp;"; "&amp;$H$304&amp;", "&amp;I$305,'FE Fret'!$G:$U,15,FALSE))</f>
        <v>0</v>
      </c>
      <c r="AY313" s="568">
        <f>$G313*IF(ISNA(VLOOKUP($B313&amp;"; "&amp;$H$304&amp;", "&amp;J$305,'FE Fret'!$G:$U,15,FALSE)),0,VLOOKUP($B313&amp;"; "&amp;$H$304&amp;", "&amp;J$305,'FE Fret'!$G:$U,15,FALSE))</f>
        <v>0</v>
      </c>
      <c r="AZ313" s="2292"/>
      <c r="BA313" s="2292"/>
      <c r="BB313" s="2292"/>
      <c r="BC313" s="2292"/>
      <c r="BD313" s="2292"/>
      <c r="BE313" s="2292"/>
      <c r="BF313" s="2292"/>
      <c r="BH313" s="1167">
        <f>IF($Y313&lt;&gt;"votre valeur :",IF(ISNA(VLOOKUP($Y313,Utilitaires!$N$566:$O$571,2,FALSE)),,VLOOKUP($Y313,Utilitaires!$N$566:$O$571,2,FALSE)),$Z313)</f>
        <v>0</v>
      </c>
      <c r="BI313" s="2457">
        <f>IF(ISNA(SQRT(SUMSQ(VLOOKUP($B313&amp;"; "&amp;$H$304&amp;", "&amp;$H$305,'FE Fret'!$G:$U,7,FALSE),$BH313))),0,SQRT(SUMSQ(VLOOKUP($B313&amp;"; "&amp;$H$304&amp;", "&amp;$H$305,'FE Fret'!$G:$U,7,FALSE),$BH313)))</f>
        <v>0</v>
      </c>
      <c r="BJ313" s="2457">
        <f>IF(ISNA(SQRT(SUMSQ(VLOOKUP($B313&amp;"; "&amp;$H$304&amp;", "&amp;$I$305,'FE Fret'!$G:$U,7,FALSE),$BH313))),0,SQRT(SUMSQ(VLOOKUP($B313&amp;"; "&amp;$H$304&amp;", "&amp;$I$305,'FE Fret'!$G:$U,7,FALSE),$BH313)))</f>
        <v>0.5</v>
      </c>
      <c r="BK313" s="2457">
        <f>IF(ISNA(SQRT(SUMSQ(VLOOKUP($B313&amp;"; "&amp;$H$304&amp;", "&amp;$I$305,'FE Fret'!$G:$U,7,FALSE),$BH313))),0,SQRT(SUMSQ(VLOOKUP($B313&amp;"; "&amp;$H$304&amp;", "&amp;$I$305,'FE Fret'!$G:$U,7,FALSE),$BH313)))</f>
        <v>0.5</v>
      </c>
    </row>
    <row r="314" spans="1:63" s="130" customFormat="1" ht="15" hidden="1" customHeight="1" outlineLevel="2">
      <c r="A314" s="114"/>
      <c r="B314" s="143" t="s">
        <v>4026</v>
      </c>
      <c r="C314" s="144"/>
      <c r="D314" s="212">
        <f t="shared" si="99"/>
        <v>0</v>
      </c>
      <c r="E314" s="212"/>
      <c r="F314" s="123"/>
      <c r="G314" s="123"/>
      <c r="H314" s="2466">
        <f>IF(ISNA(VLOOKUP($B314&amp;"; "&amp;$H$304&amp;", "&amp;H$305,'FE Fret'!$G:$U,9,FALSE)),0,VLOOKUP($B314&amp;"; "&amp;$H$304&amp;", "&amp;H$305,'FE Fret'!$G:$U,9,FALSE))</f>
        <v>0</v>
      </c>
      <c r="I314" s="2466">
        <f>IF(ISNA(VLOOKUP($B314&amp;"; "&amp;$H$304&amp;", "&amp;I$305,'FE Fret'!$G:$U,9,FALSE)),0,VLOOKUP($B314&amp;"; "&amp;$H$304&amp;", "&amp;I$305,'FE Fret'!$G:$U,9,FALSE))</f>
        <v>4.4400000000000002E-2</v>
      </c>
      <c r="J314" s="2466">
        <f>IF(ISNA(VLOOKUP($B314&amp;"; "&amp;$H$304&amp;", "&amp;J$305,'FE Fret'!$G:$U,9,FALSE)),0,VLOOKUP($B314&amp;"; "&amp;$H$304&amp;", "&amp;J$305,'FE Fret'!$G:$U,9,FALSE))</f>
        <v>0</v>
      </c>
      <c r="K314" s="212">
        <f t="shared" si="100"/>
        <v>0</v>
      </c>
      <c r="L314" s="212">
        <f t="shared" si="101"/>
        <v>0</v>
      </c>
      <c r="M314" s="2467">
        <f t="shared" si="102"/>
        <v>0</v>
      </c>
      <c r="T314" s="114"/>
      <c r="U314" s="114"/>
      <c r="V314" s="114"/>
      <c r="W314" s="114"/>
      <c r="X314" s="1092">
        <f t="shared" si="110"/>
        <v>0</v>
      </c>
      <c r="Y314" s="1094"/>
      <c r="Z314" s="820"/>
      <c r="AA314" s="164">
        <f t="shared" si="103"/>
        <v>0</v>
      </c>
      <c r="AB314" s="164">
        <f t="shared" si="104"/>
        <v>0</v>
      </c>
      <c r="AC314" s="164">
        <f t="shared" si="105"/>
        <v>0</v>
      </c>
      <c r="AD314" s="164"/>
      <c r="AE314" s="152">
        <f t="shared" si="106"/>
        <v>0</v>
      </c>
      <c r="AF314" s="114"/>
      <c r="AG314" s="114"/>
      <c r="AH314" s="564">
        <f>$G314*IF(ISNA(VLOOKUP($B314&amp;"; "&amp;$H$304&amp;", "&amp;H$305,'FE Fret'!$G:$U,10,FALSE)),0,VLOOKUP($B314&amp;"; "&amp;$H$304&amp;", "&amp;H$305,'FE Fret'!$G:$U,10,FALSE))</f>
        <v>0</v>
      </c>
      <c r="AI314" s="565">
        <f>$G314*IF(ISNA(VLOOKUP($B314&amp;"; "&amp;$H$304&amp;", "&amp;I$305,'FE Fret'!$G:$U,10,FALSE)),0,VLOOKUP($B314&amp;"; "&amp;$H$304&amp;", "&amp;I$305,'FE Fret'!$G:$U,10,FALSE))</f>
        <v>0</v>
      </c>
      <c r="AJ314" s="565">
        <f>$G314*IF(ISNA(VLOOKUP($B314&amp;"; "&amp;$H$304&amp;", "&amp;J$305,'FE Fret'!$G:$U,10,FALSE)),0,VLOOKUP($B314&amp;"; "&amp;$H$304&amp;", "&amp;J$305,'FE Fret'!$G:$U,10,FALSE))</f>
        <v>0</v>
      </c>
      <c r="AK314" s="565">
        <f>$G314*IF(ISNA(VLOOKUP($B314&amp;"; "&amp;$H$304&amp;", "&amp;H$305,'FE Fret'!$G:$U,11,FALSE)),0,VLOOKUP($B314&amp;"; "&amp;$H$304&amp;", "&amp;H$305,'FE Fret'!$G:$U,11,FALSE))+
$G314*IF(ISNA(VLOOKUP($B314&amp;"; "&amp;$H$304&amp;", "&amp;H$305,'FE Fret'!$G:$U,12,FALSE)),0,VLOOKUP($B314&amp;"; "&amp;$H$304&amp;", "&amp;H$305,'FE Fret'!$G:$U,12,FALSE))</f>
        <v>0</v>
      </c>
      <c r="AL314" s="565">
        <f>$G314*IF(ISNA(VLOOKUP($B314&amp;"; "&amp;$H$304&amp;", "&amp;I$305,'FE Fret'!$G:$U,11,FALSE)),0,VLOOKUP($B314&amp;"; "&amp;$H$304&amp;", "&amp;I$305,'FE Fret'!$G:$U,11,FALSE))+
$G314*IF(ISNA(VLOOKUP($B314&amp;"; "&amp;$H$304&amp;", "&amp;I$305,'FE Fret'!$G:$U,12,FALSE)),0,VLOOKUP($B314&amp;"; "&amp;$H$304&amp;", "&amp;I$305,'FE Fret'!$G:$U,12,FALSE))</f>
        <v>0</v>
      </c>
      <c r="AM314" s="565">
        <f>$G314*IF(ISNA(VLOOKUP($B314&amp;"; "&amp;$H$304&amp;", "&amp;J$305,'FE Fret'!$G:$U,11,FALSE)),0,VLOOKUP($B314&amp;"; "&amp;$H$304&amp;", "&amp;J$305,'FE Fret'!$G:$U,11,FALSE))+
$G314*IF(ISNA(VLOOKUP($B314&amp;"; "&amp;$H$304&amp;", "&amp;J$305,'FE Fret'!$G:$U,12,FALSE)),0,VLOOKUP($B314&amp;"; "&amp;$H$304&amp;", "&amp;J$305,'FE Fret'!$G:$U,12,FALSE))</f>
        <v>0</v>
      </c>
      <c r="AN314" s="565">
        <f>$G314*IF(ISNA(VLOOKUP($B314&amp;"; "&amp;$H$304&amp;", "&amp;H$305,'FE Fret'!$G:$U,13,FALSE)),0,VLOOKUP($B314&amp;"; "&amp;$H$304&amp;", "&amp;H$305,'FE Fret'!$G:$U,13,FALSE))</f>
        <v>0</v>
      </c>
      <c r="AO314" s="565">
        <f>$G314*IF(ISNA(VLOOKUP($B314&amp;"; "&amp;$H$304&amp;", "&amp;I$305,'FE Fret'!$G:$U,13,FALSE)),0,VLOOKUP($B314&amp;"; "&amp;$H$304&amp;", "&amp;I$305,'FE Fret'!$G:$U,13,FALSE))</f>
        <v>0</v>
      </c>
      <c r="AP314" s="565">
        <f>$G314*IF(ISNA(VLOOKUP($B314&amp;"; "&amp;$H$304&amp;", "&amp;J$305,'FE Fret'!$G:$U,13,FALSE)),0,VLOOKUP($B314&amp;"; "&amp;$H$304&amp;", "&amp;J$305,'FE Fret'!$G:$U,13,FALSE))</f>
        <v>0</v>
      </c>
      <c r="AQ314" s="565">
        <f>$G314*IF(ISNA(VLOOKUP($B314&amp;"; "&amp;$H$304&amp;", "&amp;H$305,'FE Fret'!$G:$U,14,FALSE)),0,VLOOKUP($B314&amp;"; "&amp;$H$304&amp;", "&amp;H$305,'FE Fret'!$G:$U,14,FALSE))</f>
        <v>0</v>
      </c>
      <c r="AR314" s="565">
        <f>$G314*IF(ISNA(VLOOKUP($B314&amp;"; "&amp;$H$304&amp;", "&amp;I$305,'FE Fret'!$G:$U,14,FALSE)),0,VLOOKUP($B314&amp;"; "&amp;$H$304&amp;", "&amp;I$305,'FE Fret'!$G:$U,14,FALSE))</f>
        <v>0</v>
      </c>
      <c r="AS314" s="565">
        <f>$G314*IF(ISNA(VLOOKUP($B314&amp;"; "&amp;$H$304&amp;", "&amp;J$305,'FE Fret'!$G:$U,14,FALSE)),0,VLOOKUP($B314&amp;"; "&amp;$H$304&amp;", "&amp;J$305,'FE Fret'!$G:$U,14,FALSE))</f>
        <v>0</v>
      </c>
      <c r="AT314" s="566">
        <f t="shared" si="107"/>
        <v>0</v>
      </c>
      <c r="AU314" s="566">
        <f t="shared" si="108"/>
        <v>0</v>
      </c>
      <c r="AV314" s="567">
        <f t="shared" si="109"/>
        <v>0</v>
      </c>
      <c r="AW314" s="565">
        <f>$G314*IF(ISNA(VLOOKUP($B314&amp;"; "&amp;$H$304&amp;", "&amp;H$305,'FE Fret'!$G:$U,15,FALSE)),0,VLOOKUP($B314&amp;"; "&amp;$H$304&amp;", "&amp;H$305,'FE Fret'!$G:$U,15,FALSE))</f>
        <v>0</v>
      </c>
      <c r="AX314" s="565">
        <f>$G314*IF(ISNA(VLOOKUP($B314&amp;"; "&amp;$H$304&amp;", "&amp;I$305,'FE Fret'!$G:$U,15,FALSE)),0,VLOOKUP($B314&amp;"; "&amp;$H$304&amp;", "&amp;I$305,'FE Fret'!$G:$U,15,FALSE))</f>
        <v>0</v>
      </c>
      <c r="AY314" s="568">
        <f>$G314*IF(ISNA(VLOOKUP($B314&amp;"; "&amp;$H$304&amp;", "&amp;J$305,'FE Fret'!$G:$U,15,FALSE)),0,VLOOKUP($B314&amp;"; "&amp;$H$304&amp;", "&amp;J$305,'FE Fret'!$G:$U,15,FALSE))</f>
        <v>0</v>
      </c>
      <c r="AZ314" s="2292"/>
      <c r="BA314" s="2292"/>
      <c r="BB314" s="2292"/>
      <c r="BC314" s="2292"/>
      <c r="BD314" s="2292"/>
      <c r="BE314" s="2292"/>
      <c r="BF314" s="2292"/>
      <c r="BH314" s="1167">
        <f>IF($Y314&lt;&gt;"votre valeur :",IF(ISNA(VLOOKUP($Y314,Utilitaires!$N$566:$O$571,2,FALSE)),,VLOOKUP($Y314,Utilitaires!$N$566:$O$571,2,FALSE)),$Z314)</f>
        <v>0</v>
      </c>
      <c r="BI314" s="2457">
        <f>IF(ISNA(SQRT(SUMSQ(VLOOKUP($B314&amp;"; "&amp;$H$304&amp;", "&amp;$H$305,'FE Fret'!$G:$U,7,FALSE),$BH314))),0,SQRT(SUMSQ(VLOOKUP($B314&amp;"; "&amp;$H$304&amp;", "&amp;$H$305,'FE Fret'!$G:$U,7,FALSE),$BH314)))</f>
        <v>0</v>
      </c>
      <c r="BJ314" s="2457">
        <f>IF(ISNA(SQRT(SUMSQ(VLOOKUP($B314&amp;"; "&amp;$H$304&amp;", "&amp;$I$305,'FE Fret'!$G:$U,7,FALSE),$BH314))),0,SQRT(SUMSQ(VLOOKUP($B314&amp;"; "&amp;$H$304&amp;", "&amp;$I$305,'FE Fret'!$G:$U,7,FALSE),$BH314)))</f>
        <v>0.5</v>
      </c>
      <c r="BK314" s="2457">
        <f>IF(ISNA(SQRT(SUMSQ(VLOOKUP($B314&amp;"; "&amp;$H$304&amp;", "&amp;$I$305,'FE Fret'!$G:$U,7,FALSE),$BH314))),0,SQRT(SUMSQ(VLOOKUP($B314&amp;"; "&amp;$H$304&amp;", "&amp;$I$305,'FE Fret'!$G:$U,7,FALSE),$BH314)))</f>
        <v>0.5</v>
      </c>
    </row>
    <row r="315" spans="1:63" ht="12.75" hidden="1" customHeight="1" outlineLevel="2">
      <c r="B315" s="143"/>
      <c r="C315" s="144"/>
      <c r="D315" s="212"/>
      <c r="E315" s="212"/>
      <c r="F315" s="353"/>
      <c r="G315" s="144"/>
      <c r="H315" s="144"/>
      <c r="I315" s="212"/>
      <c r="J315" s="212"/>
      <c r="K315" s="212"/>
      <c r="L315" s="212"/>
      <c r="M315" s="165"/>
      <c r="X315" s="1092"/>
      <c r="Y315" s="155"/>
      <c r="Z315" s="169"/>
      <c r="AA315" s="155"/>
      <c r="AB315" s="155"/>
      <c r="AC315" s="155"/>
      <c r="AD315" s="155"/>
      <c r="AE315" s="165"/>
      <c r="AH315" s="569"/>
      <c r="AI315" s="625"/>
      <c r="AJ315" s="625"/>
      <c r="AK315" s="625"/>
      <c r="AL315" s="625"/>
      <c r="AM315" s="625"/>
      <c r="AN315" s="625"/>
      <c r="AO315" s="625"/>
      <c r="AP315" s="625"/>
      <c r="AQ315" s="625"/>
      <c r="AR315" s="625"/>
      <c r="AS315" s="625"/>
      <c r="AT315" s="1313"/>
      <c r="AU315" s="1313"/>
      <c r="AV315" s="1314"/>
      <c r="AW315" s="565"/>
      <c r="AX315" s="565"/>
      <c r="AY315" s="568"/>
      <c r="AZ315" s="2292"/>
      <c r="BA315" s="2292"/>
      <c r="BB315" s="2292"/>
      <c r="BC315" s="2292"/>
      <c r="BD315" s="2292"/>
      <c r="BE315" s="2292"/>
      <c r="BF315" s="2292"/>
      <c r="BH315" s="1167"/>
      <c r="BI315" s="2457"/>
      <c r="BJ315" s="2457"/>
      <c r="BK315" s="2457"/>
    </row>
    <row r="316" spans="1:63" s="116" customFormat="1" ht="12.75" hidden="1" customHeight="1" outlineLevel="2">
      <c r="A316" s="114"/>
      <c r="B316" s="196" t="s">
        <v>348</v>
      </c>
      <c r="C316" s="197"/>
      <c r="D316" s="214">
        <f>SUM(D306:D315)</f>
        <v>0</v>
      </c>
      <c r="E316" s="214"/>
      <c r="F316" s="198"/>
      <c r="G316" s="197"/>
      <c r="H316" s="197"/>
      <c r="I316" s="214"/>
      <c r="J316" s="214"/>
      <c r="K316" s="202">
        <f>SUM(K306:K315)</f>
        <v>0</v>
      </c>
      <c r="L316" s="202">
        <f>SUM(L306:L315)</f>
        <v>0</v>
      </c>
      <c r="M316" s="200">
        <f>SUM(M306:M315)</f>
        <v>0</v>
      </c>
      <c r="T316" s="114"/>
      <c r="U316" s="114"/>
      <c r="V316" s="114"/>
      <c r="W316" s="114"/>
      <c r="X316" s="1204">
        <f>IF(AE316=0,AE316,AE316/D316)</f>
        <v>0</v>
      </c>
      <c r="Y316" s="199"/>
      <c r="Z316" s="199"/>
      <c r="AA316" s="203"/>
      <c r="AB316" s="203"/>
      <c r="AC316" s="203"/>
      <c r="AD316" s="203"/>
      <c r="AE316" s="200">
        <f>SQRT(SUMSQ(AE306:AE315))</f>
        <v>0</v>
      </c>
      <c r="AF316" s="114"/>
      <c r="AG316" s="114"/>
      <c r="AH316" s="1308">
        <f t="shared" ref="AH316:AY316" si="111">SUM(AH306:AH315)</f>
        <v>0</v>
      </c>
      <c r="AI316" s="1309">
        <f t="shared" si="111"/>
        <v>0</v>
      </c>
      <c r="AJ316" s="1309">
        <f t="shared" si="111"/>
        <v>0</v>
      </c>
      <c r="AK316" s="1309">
        <f t="shared" si="111"/>
        <v>0</v>
      </c>
      <c r="AL316" s="1309">
        <f t="shared" si="111"/>
        <v>0</v>
      </c>
      <c r="AM316" s="1309">
        <f t="shared" si="111"/>
        <v>0</v>
      </c>
      <c r="AN316" s="1309">
        <f t="shared" si="111"/>
        <v>0</v>
      </c>
      <c r="AO316" s="1309">
        <f t="shared" si="111"/>
        <v>0</v>
      </c>
      <c r="AP316" s="1309">
        <f t="shared" si="111"/>
        <v>0</v>
      </c>
      <c r="AQ316" s="1309">
        <f t="shared" si="111"/>
        <v>0</v>
      </c>
      <c r="AR316" s="572">
        <f t="shared" si="111"/>
        <v>0</v>
      </c>
      <c r="AS316" s="572">
        <f t="shared" si="111"/>
        <v>0</v>
      </c>
      <c r="AT316" s="573">
        <f t="shared" si="111"/>
        <v>0</v>
      </c>
      <c r="AU316" s="1312">
        <f t="shared" si="111"/>
        <v>0</v>
      </c>
      <c r="AV316" s="1312">
        <f t="shared" si="111"/>
        <v>0</v>
      </c>
      <c r="AW316" s="1082">
        <f t="shared" si="111"/>
        <v>0</v>
      </c>
      <c r="AX316" s="572">
        <f t="shared" si="111"/>
        <v>0</v>
      </c>
      <c r="AY316" s="575">
        <f t="shared" si="111"/>
        <v>0</v>
      </c>
      <c r="AZ316" s="2292"/>
      <c r="BA316" s="2292"/>
      <c r="BB316" s="2292"/>
      <c r="BC316" s="2292"/>
      <c r="BD316" s="2292"/>
      <c r="BE316" s="2292"/>
      <c r="BF316" s="2292"/>
      <c r="BH316" s="2233"/>
      <c r="BI316" s="2458"/>
      <c r="BJ316" s="1153"/>
      <c r="BK316" s="2459"/>
    </row>
    <row r="317" spans="1:63" ht="15" hidden="1" customHeight="1" outlineLevel="2">
      <c r="AG317" s="130"/>
      <c r="AT317" s="588"/>
      <c r="BH317" s="109"/>
      <c r="BI317" s="109"/>
      <c r="BJ317" s="109"/>
      <c r="BK317" s="109"/>
    </row>
    <row r="318" spans="1:63" hidden="1" outlineLevel="1" collapsed="1">
      <c r="AR318" s="444"/>
      <c r="AT318" s="588"/>
      <c r="AU318" s="588"/>
      <c r="AV318" s="588"/>
      <c r="AW318" s="588"/>
      <c r="AX318" s="588"/>
      <c r="AY318" s="588"/>
      <c r="AZ318" s="588"/>
      <c r="BA318" s="588"/>
      <c r="BB318" s="588"/>
      <c r="BC318" s="588"/>
      <c r="BD318" s="588"/>
      <c r="BE318" s="588"/>
      <c r="BF318" s="588"/>
    </row>
    <row r="319" spans="1:63" s="109" customFormat="1" ht="15.75" hidden="1" customHeight="1" outlineLevel="1" collapsed="1">
      <c r="A319" s="114"/>
      <c r="B319" s="2842" t="s">
        <v>2326</v>
      </c>
      <c r="C319" s="2843"/>
      <c r="D319" s="2843"/>
      <c r="E319" s="2843"/>
      <c r="F319" s="2843"/>
      <c r="G319" s="2843"/>
      <c r="H319" s="2843"/>
      <c r="I319" s="2843"/>
      <c r="J319" s="2843"/>
      <c r="K319" s="2843"/>
      <c r="L319" s="2843"/>
      <c r="M319" s="2843"/>
      <c r="N319" s="2843"/>
      <c r="O319" s="2844"/>
      <c r="P319" s="130"/>
      <c r="Q319" s="130"/>
      <c r="R319" s="130"/>
      <c r="S319" s="130"/>
      <c r="T319" s="130"/>
      <c r="U319" s="130"/>
      <c r="V319" s="130"/>
      <c r="W319" s="130"/>
      <c r="X319" s="130"/>
      <c r="Y319" s="130"/>
      <c r="Z319" s="130"/>
      <c r="AA319" s="130"/>
      <c r="AB319" s="130"/>
      <c r="AC319" s="130"/>
      <c r="AD319" s="130"/>
      <c r="AE319" s="130"/>
      <c r="AF319" s="130"/>
      <c r="AG319" s="116"/>
      <c r="AH319" s="441"/>
      <c r="AI319" s="441"/>
      <c r="AJ319" s="441"/>
      <c r="AK319" s="441"/>
      <c r="AL319" s="441"/>
      <c r="AM319" s="441"/>
      <c r="AN319" s="441"/>
      <c r="AO319" s="441"/>
      <c r="AP319" s="441"/>
      <c r="AQ319" s="441"/>
      <c r="AR319" s="444"/>
      <c r="AS319" s="441"/>
      <c r="AT319" s="588"/>
      <c r="AU319" s="588"/>
      <c r="AV319" s="588"/>
      <c r="AW319" s="588"/>
      <c r="AX319" s="588"/>
      <c r="AY319" s="588"/>
      <c r="AZ319" s="588"/>
      <c r="BA319" s="588"/>
      <c r="BB319" s="588"/>
      <c r="BC319" s="588"/>
      <c r="BD319" s="588"/>
      <c r="BE319" s="588"/>
      <c r="BF319" s="588"/>
      <c r="BH319" s="114"/>
      <c r="BI319" s="114"/>
      <c r="BJ319" s="114"/>
      <c r="BK319" s="114"/>
    </row>
    <row r="320" spans="1:63" ht="12.75" hidden="1" customHeight="1" outlineLevel="2">
      <c r="D320" s="256"/>
      <c r="E320" s="256"/>
      <c r="F320" s="256"/>
      <c r="G320" s="256"/>
      <c r="H320" s="256"/>
      <c r="I320" s="256"/>
      <c r="J320" s="256"/>
      <c r="K320" s="256"/>
      <c r="T320" s="116"/>
      <c r="AH320" s="588"/>
      <c r="AI320" s="588"/>
      <c r="AJ320" s="588"/>
      <c r="AK320" s="588"/>
      <c r="AL320" s="588"/>
      <c r="AM320" s="588"/>
      <c r="AN320" s="588"/>
      <c r="AO320" s="588"/>
      <c r="AP320" s="588"/>
      <c r="AQ320" s="588"/>
    </row>
    <row r="321" spans="2:68" ht="12.75" hidden="1" customHeight="1" outlineLevel="2">
      <c r="B321" s="1091" t="s">
        <v>629</v>
      </c>
      <c r="C321" s="140"/>
      <c r="D321" s="140"/>
      <c r="E321" s="140"/>
      <c r="F321" s="140"/>
      <c r="G321" s="140"/>
      <c r="H321" s="140"/>
      <c r="I321" s="140"/>
      <c r="J321" s="140"/>
      <c r="K321" s="140"/>
      <c r="L321" s="140"/>
      <c r="M321" s="140"/>
      <c r="N321" s="140"/>
      <c r="O321" s="140"/>
      <c r="P321" s="140"/>
      <c r="Q321" s="140"/>
      <c r="R321" s="140"/>
      <c r="S321" s="140"/>
      <c r="T321" s="140"/>
      <c r="U321" s="1341"/>
      <c r="W321" s="116"/>
      <c r="X321" s="2636" t="s">
        <v>366</v>
      </c>
      <c r="Y321" s="2637"/>
      <c r="Z321" s="2637"/>
      <c r="AA321" s="2637"/>
      <c r="AB321" s="2637"/>
      <c r="AC321" s="2637"/>
      <c r="AD321" s="2637"/>
      <c r="AE321" s="2637"/>
      <c r="AF321" s="2638"/>
      <c r="AG321" s="109"/>
      <c r="AH321" s="2639" t="s">
        <v>441</v>
      </c>
      <c r="AI321" s="2640"/>
      <c r="AJ321" s="2640"/>
      <c r="AK321" s="2640"/>
      <c r="AL321" s="2640"/>
      <c r="AM321" s="2640"/>
      <c r="AN321" s="2640"/>
      <c r="AO321" s="2640"/>
      <c r="AP321" s="2640"/>
      <c r="AQ321" s="2640"/>
      <c r="AR321" s="2640"/>
      <c r="AS321" s="2640"/>
      <c r="AT321" s="2640"/>
      <c r="AU321" s="2640"/>
      <c r="AV321" s="2640"/>
      <c r="AW321" s="2640"/>
      <c r="AX321" s="2640"/>
      <c r="AY321" s="2641"/>
      <c r="AZ321" s="2418"/>
      <c r="BA321" s="2418"/>
      <c r="BB321" s="2418"/>
      <c r="BC321" s="2418"/>
      <c r="BD321" s="2418"/>
      <c r="BE321" s="2418"/>
      <c r="BF321" s="2418"/>
    </row>
    <row r="322" spans="2:68" ht="12.75" hidden="1" customHeight="1" outlineLevel="2">
      <c r="B322" s="143"/>
      <c r="C322" s="144"/>
      <c r="D322" s="1334" t="s">
        <v>308</v>
      </c>
      <c r="E322" s="1663"/>
      <c r="F322" s="144"/>
      <c r="G322" s="144"/>
      <c r="H322" s="144"/>
      <c r="I322" s="144"/>
      <c r="J322" s="144"/>
      <c r="K322" s="144"/>
      <c r="L322" s="144"/>
      <c r="M322" s="144"/>
      <c r="N322" s="144"/>
      <c r="O322" s="144"/>
      <c r="P322" s="144"/>
      <c r="Q322" s="144"/>
      <c r="R322" s="144"/>
      <c r="S322" s="2628"/>
      <c r="T322" s="2627"/>
      <c r="U322" s="153" t="s">
        <v>275</v>
      </c>
      <c r="X322" s="1170"/>
      <c r="Y322" s="1323"/>
      <c r="Z322" s="1323"/>
      <c r="AA322" s="141"/>
      <c r="AB322" s="141"/>
      <c r="AC322" s="141"/>
      <c r="AD322" s="141"/>
      <c r="AE322" s="141"/>
      <c r="AF322" s="1320" t="s">
        <v>275</v>
      </c>
      <c r="AG322" s="127"/>
      <c r="AH322" s="2642" t="s">
        <v>444</v>
      </c>
      <c r="AI322" s="2643"/>
      <c r="AJ322" s="2643"/>
      <c r="AK322" s="2643"/>
      <c r="AL322" s="2643"/>
      <c r="AM322" s="2643"/>
      <c r="AN322" s="2643"/>
      <c r="AO322" s="2643"/>
      <c r="AP322" s="2643"/>
      <c r="AQ322" s="2643"/>
      <c r="AR322" s="2643"/>
      <c r="AS322" s="2643"/>
      <c r="AT322" s="2643" t="s">
        <v>444</v>
      </c>
      <c r="AU322" s="2643"/>
      <c r="AV322" s="628"/>
      <c r="AW322" s="624"/>
      <c r="AX322" s="624"/>
      <c r="AY322" s="1291"/>
      <c r="AZ322" s="2286"/>
      <c r="BA322" s="2286"/>
      <c r="BB322" s="2286"/>
      <c r="BC322" s="2286"/>
      <c r="BD322" s="2286"/>
      <c r="BE322" s="2286"/>
      <c r="BF322" s="2286"/>
      <c r="BH322" s="2616" t="s">
        <v>1648</v>
      </c>
      <c r="BI322" s="2617"/>
      <c r="BJ322" s="2617"/>
      <c r="BK322" s="2617"/>
      <c r="BL322" s="2617"/>
      <c r="BM322" s="2617"/>
      <c r="BN322" s="2617"/>
      <c r="BO322" s="2617"/>
      <c r="BP322" s="2618"/>
    </row>
    <row r="323" spans="2:68" s="109" customFormat="1" ht="12.75" hidden="1" customHeight="1" outlineLevel="2">
      <c r="B323" s="1316" t="s">
        <v>2248</v>
      </c>
      <c r="C323" s="1317"/>
      <c r="D323" s="1317" t="s">
        <v>409</v>
      </c>
      <c r="E323" s="1656"/>
      <c r="F323" s="1320" t="s">
        <v>452</v>
      </c>
      <c r="G323" s="1320" t="s">
        <v>343</v>
      </c>
      <c r="H323" s="2626" t="s">
        <v>1585</v>
      </c>
      <c r="I323" s="2627"/>
      <c r="J323" s="1320" t="s">
        <v>343</v>
      </c>
      <c r="K323" s="2626" t="s">
        <v>1573</v>
      </c>
      <c r="L323" s="2627"/>
      <c r="M323" s="1320" t="s">
        <v>343</v>
      </c>
      <c r="N323" s="2626" t="s">
        <v>1575</v>
      </c>
      <c r="O323" s="2627"/>
      <c r="P323" s="1320" t="s">
        <v>343</v>
      </c>
      <c r="Q323" s="2626" t="s">
        <v>1574</v>
      </c>
      <c r="R323" s="2628"/>
      <c r="S323" s="1334" t="s">
        <v>444</v>
      </c>
      <c r="T323" s="1334" t="s">
        <v>444</v>
      </c>
      <c r="U323" s="153" t="s">
        <v>276</v>
      </c>
      <c r="W323" s="114"/>
      <c r="X323" s="1316" t="s">
        <v>316</v>
      </c>
      <c r="Y323" s="2629" t="s">
        <v>316</v>
      </c>
      <c r="Z323" s="2836"/>
      <c r="AA323" s="1656" t="s">
        <v>444</v>
      </c>
      <c r="AB323" s="1656" t="s">
        <v>444</v>
      </c>
      <c r="AC323" s="2419"/>
      <c r="AD323" s="1334"/>
      <c r="AE323" s="1334" t="s">
        <v>444</v>
      </c>
      <c r="AF323" s="153" t="s">
        <v>276</v>
      </c>
      <c r="AG323" s="127"/>
      <c r="AH323" s="2631" t="s">
        <v>211</v>
      </c>
      <c r="AI323" s="2632"/>
      <c r="AJ323" s="2632"/>
      <c r="AK323" s="2632" t="s">
        <v>442</v>
      </c>
      <c r="AL323" s="2632"/>
      <c r="AM323" s="2632"/>
      <c r="AN323" s="2632" t="s">
        <v>267</v>
      </c>
      <c r="AO323" s="2632"/>
      <c r="AP323" s="2632"/>
      <c r="AQ323" s="2632" t="s">
        <v>443</v>
      </c>
      <c r="AR323" s="2632"/>
      <c r="AS323" s="2632"/>
      <c r="AT323" s="2648" t="s">
        <v>327</v>
      </c>
      <c r="AU323" s="2648"/>
      <c r="AV323" s="568"/>
      <c r="AW323" s="2631" t="s">
        <v>636</v>
      </c>
      <c r="AX323" s="2632"/>
      <c r="AY323" s="568"/>
      <c r="AZ323" s="565"/>
      <c r="BA323" s="565"/>
      <c r="BB323" s="565"/>
      <c r="BC323" s="565"/>
      <c r="BD323" s="565"/>
      <c r="BE323" s="565"/>
      <c r="BF323" s="565"/>
      <c r="BH323" s="2837" t="s">
        <v>1646</v>
      </c>
      <c r="BI323" s="2614" t="s">
        <v>1644</v>
      </c>
      <c r="BJ323" s="2645"/>
      <c r="BK323" s="2645"/>
      <c r="BL323" s="2615"/>
      <c r="BM323" s="2614" t="s">
        <v>1645</v>
      </c>
      <c r="BN323" s="2645"/>
      <c r="BO323" s="2645"/>
      <c r="BP323" s="2615"/>
    </row>
    <row r="324" spans="2:68" s="109" customFormat="1" ht="12.75" hidden="1" customHeight="1" outlineLevel="2">
      <c r="B324" s="1316"/>
      <c r="C324" s="1317"/>
      <c r="D324" s="1317" t="s">
        <v>444</v>
      </c>
      <c r="E324" s="1656"/>
      <c r="F324" s="1321" t="s">
        <v>445</v>
      </c>
      <c r="G324" s="153" t="s">
        <v>287</v>
      </c>
      <c r="H324" s="1322" t="s">
        <v>411</v>
      </c>
      <c r="I324" s="1322" t="s">
        <v>257</v>
      </c>
      <c r="J324" s="153" t="s">
        <v>790</v>
      </c>
      <c r="K324" s="1322" t="s">
        <v>411</v>
      </c>
      <c r="L324" s="1322" t="s">
        <v>257</v>
      </c>
      <c r="M324" s="153" t="s">
        <v>791</v>
      </c>
      <c r="N324" s="1322" t="s">
        <v>411</v>
      </c>
      <c r="O324" s="1322" t="s">
        <v>257</v>
      </c>
      <c r="P324" s="153" t="s">
        <v>213</v>
      </c>
      <c r="Q324" s="1322" t="s">
        <v>411</v>
      </c>
      <c r="R324" s="1322" t="s">
        <v>257</v>
      </c>
      <c r="S324" s="1318" t="s">
        <v>411</v>
      </c>
      <c r="T324" s="1318" t="s">
        <v>257</v>
      </c>
      <c r="U324" s="153" t="s">
        <v>444</v>
      </c>
      <c r="W324" s="114"/>
      <c r="X324" s="1316" t="s">
        <v>1649</v>
      </c>
      <c r="Y324" s="2646" t="s">
        <v>1650</v>
      </c>
      <c r="Z324" s="2847"/>
      <c r="AA324" s="1662" t="s">
        <v>411</v>
      </c>
      <c r="AB324" s="1662" t="s">
        <v>257</v>
      </c>
      <c r="AC324" s="1662"/>
      <c r="AD324" s="166"/>
      <c r="AE324" s="166" t="s">
        <v>327</v>
      </c>
      <c r="AF324" s="153" t="s">
        <v>444</v>
      </c>
      <c r="AG324" s="116"/>
      <c r="AH324" s="1331" t="s">
        <v>411</v>
      </c>
      <c r="AI324" s="1332" t="s">
        <v>257</v>
      </c>
      <c r="AJ324" s="1332"/>
      <c r="AK324" s="1332" t="s">
        <v>411</v>
      </c>
      <c r="AL324" s="1332" t="s">
        <v>257</v>
      </c>
      <c r="AM324" s="1332"/>
      <c r="AN324" s="1332" t="s">
        <v>411</v>
      </c>
      <c r="AO324" s="1332" t="s">
        <v>257</v>
      </c>
      <c r="AP324" s="1332"/>
      <c r="AQ324" s="1332" t="s">
        <v>411</v>
      </c>
      <c r="AR324" s="1332" t="s">
        <v>257</v>
      </c>
      <c r="AS324" s="1332"/>
      <c r="AT324" s="581" t="s">
        <v>411</v>
      </c>
      <c r="AU324" s="581" t="s">
        <v>257</v>
      </c>
      <c r="AV324" s="582"/>
      <c r="AW324" s="1332" t="s">
        <v>411</v>
      </c>
      <c r="AX324" s="1332" t="s">
        <v>257</v>
      </c>
      <c r="AY324" s="1333"/>
      <c r="AZ324" s="2286"/>
      <c r="BA324" s="2286"/>
      <c r="BB324" s="2286"/>
      <c r="BC324" s="2286"/>
      <c r="BD324" s="2286"/>
      <c r="BE324" s="2286"/>
      <c r="BF324" s="2286"/>
      <c r="BH324" s="2838"/>
      <c r="BI324" s="1328" t="s">
        <v>199</v>
      </c>
      <c r="BJ324" s="1330" t="s">
        <v>309</v>
      </c>
      <c r="BK324" s="1330" t="s">
        <v>272</v>
      </c>
      <c r="BL324" s="1329" t="s">
        <v>2254</v>
      </c>
      <c r="BM324" s="1328" t="s">
        <v>199</v>
      </c>
      <c r="BN324" s="1330" t="s">
        <v>309</v>
      </c>
      <c r="BO324" s="1330" t="s">
        <v>272</v>
      </c>
      <c r="BP324" s="1329" t="s">
        <v>2254</v>
      </c>
    </row>
    <row r="325" spans="2:68" hidden="1" outlineLevel="2">
      <c r="B325" s="143" t="s">
        <v>2250</v>
      </c>
      <c r="C325" s="144"/>
      <c r="D325" s="212">
        <f t="shared" ref="D325:D330" si="112">S325+T325</f>
        <v>0</v>
      </c>
      <c r="E325" s="212"/>
      <c r="F325" s="117"/>
      <c r="G325" s="117"/>
      <c r="H325" s="335">
        <f>VLOOKUP($B325&amp;"; "&amp;$H$323&amp;", "&amp;H$324,'FE Fret'!$G:$U,9,FALSE)</f>
        <v>991</v>
      </c>
      <c r="I325" s="335">
        <f>VLOOKUP($B325&amp;"; "&amp;$H$323&amp;", "&amp;I$324,'FE Fret'!$G:$U,9,FALSE)</f>
        <v>490</v>
      </c>
      <c r="J325" s="117"/>
      <c r="K325" s="335">
        <f>VLOOKUP($B325&amp;"; "&amp;$K$323&amp;", "&amp;K$324,'FE Fret'!$G:$U,9,FALSE)</f>
        <v>0.11600000000000001</v>
      </c>
      <c r="L325" s="335">
        <f>VLOOKUP($B325&amp;"; "&amp;$K$323&amp;", "&amp;L$324,'FE Fret'!$G:$U,9,FALSE)</f>
        <v>5.8000000000000003E-2</v>
      </c>
      <c r="M325" s="117"/>
      <c r="N325" s="335">
        <f>VLOOKUP($B325&amp;"; "&amp;$N$323&amp;", "&amp;N$324,'FE Fret'!$G:$U,9,FALSE)</f>
        <v>1355</v>
      </c>
      <c r="O325" s="335">
        <f>VLOOKUP($B325&amp;"; "&amp;$N$323&amp;", "&amp;O$324,'FE Fret'!$G:$U,9,FALSE)</f>
        <v>676</v>
      </c>
      <c r="P325" s="117"/>
      <c r="Q325" s="335">
        <f>VLOOKUP($B325&amp;"; "&amp;$Q$323&amp;", "&amp;Q$324,'FE Fret'!$G:$U,9,FALSE)</f>
        <v>0.74099999999999999</v>
      </c>
      <c r="R325" s="335">
        <f>VLOOKUP($B325&amp;"; "&amp;$Q$323&amp;", "&amp;R$324,'FE Fret'!$G:$U,9,FALSE)</f>
        <v>0.36599999999999999</v>
      </c>
      <c r="S325" s="356">
        <f t="shared" ref="S325:T330" si="113">IF(ISNA($G325*H325),0,$G325*H325)+IF(ISNA($J325*K325),0,$J325*K325)+IF(ISNA($M325*N325),0,$M325*N325)+IF(ISNA($P325*Q325),0,$P325*Q325)</f>
        <v>0</v>
      </c>
      <c r="T325" s="356">
        <f t="shared" si="113"/>
        <v>0</v>
      </c>
      <c r="U325" s="1286">
        <f>IF(OR(F325=Utilitaires!$I$572,F325=Utilitaires!$I$577),T325,0)</f>
        <v>0</v>
      </c>
      <c r="X325" s="1092">
        <f t="shared" ref="X325:X330" si="114">IF(AE325=0,AE325,AE325/D325)</f>
        <v>0</v>
      </c>
      <c r="Y325" s="343"/>
      <c r="Z325" s="820"/>
      <c r="AA325" s="164">
        <f t="shared" ref="AA325:AA330" si="115">SQRT(SUMSQ(IF(ISNA($G325*H325*BI325),0,$G325*H325*BI325),IF(ISNA($J325*K325*BJ325),0,$J325*K325*BJ325),IF(ISNA($M325*N325*BK325),0,$M325*N325*BK325),IF(ISNA($P325*Q325*BL325),0,$P325*Q325*BL325)))</f>
        <v>0</v>
      </c>
      <c r="AB325" s="164">
        <f t="shared" ref="AB325:AB330" si="116">SQRT(SUMSQ(IF(ISNA($G325*I325*BM325),0,$G325*I325*BM325),IF(ISNA($J325*L325*BN325),0,$J325*L325*BN325),IF(ISNA($M325*O325*BO325),0,$M325*O325*BO325),IF(ISNA($P325*R325*BP325),0,$P325*R325*BP325)))</f>
        <v>0</v>
      </c>
      <c r="AC325" s="164"/>
      <c r="AD325" s="151"/>
      <c r="AE325" s="151">
        <f t="shared" ref="AE325:AE330" si="117">SQRT(SUMSQ(AA325,AB325))</f>
        <v>0</v>
      </c>
      <c r="AF325" s="1286">
        <f t="shared" ref="AF325:AF330" si="118">P325*W325</f>
        <v>0</v>
      </c>
      <c r="AG325" s="116"/>
      <c r="AH325" s="564">
        <f>$G325*IF(ISNA(VLOOKUP($B325&amp;"; "&amp;$H$323&amp;", "&amp;H$324,'FE Fret'!$G:$U,10,FALSE)),0,VLOOKUP($B325&amp;"; "&amp;$H$323&amp;", "&amp;H$324,'FE Fret'!$G:$U,10,FALSE))
+$J325*IF(ISNA(VLOOKUP($B325&amp;"; "&amp;$K$323&amp;", "&amp;H$324,'FE Fret'!$G:$U,10,FALSE)),0,VLOOKUP($B325&amp;"; "&amp;$K$323&amp;", "&amp;H$324,'FE Fret'!$G:$U,10,FALSE))
+$M325*IF(ISNA(VLOOKUP($B325&amp;"; "&amp;$N$323&amp;", "&amp;H$324,'FE Fret'!$G:$U,10,FALSE)),0,VLOOKUP($B325&amp;"; "&amp;$N$323&amp;", "&amp;H$324,'FE Fret'!$G:$U,10,FALSE))
+$P325*IF(ISNA(VLOOKUP($B325&amp;"; "&amp;$Q$323&amp;", "&amp;H$324,'FE Fret'!$G:$U,10,FALSE)),0,VLOOKUP($B325&amp;"; "&amp;$Q$323&amp;", "&amp;H$324,'FE Fret'!$G:$U,10,FALSE))</f>
        <v>0</v>
      </c>
      <c r="AI325" s="565">
        <f>$G325*IF(ISNA(VLOOKUP($B325&amp;"; "&amp;$H$323&amp;", "&amp;I$324,'FE Fret'!$G:$U,10,FALSE)),0,VLOOKUP($B325&amp;"; "&amp;$H$323&amp;", "&amp;I$324,'FE Fret'!$G:$U,10,FALSE))
+$J325*IF(ISNA(VLOOKUP($B325&amp;"; "&amp;$K$323&amp;", "&amp;I$324,'FE Fret'!$G:$U,10,FALSE)),0,VLOOKUP($B325&amp;"; "&amp;$K$323&amp;", "&amp;I$324,'FE Fret'!$G:$U,10,FALSE))
+$M325*IF(ISNA(VLOOKUP($B325&amp;"; "&amp;$N$323&amp;", "&amp;I$324,'FE Fret'!$G:$U,10,FALSE)),0,VLOOKUP($B325&amp;"; "&amp;$N$323&amp;", "&amp;I$324,'FE Fret'!$G:$U,10,FALSE))
+$P325*IF(ISNA(VLOOKUP($B325&amp;"; "&amp;$Q$323&amp;", "&amp;I$324,'FE Fret'!$G:$U,10,FALSE)),0,VLOOKUP($B325&amp;"; "&amp;$Q$323&amp;", "&amp;I$324,'FE Fret'!$G:$U,10,FALSE))</f>
        <v>0</v>
      </c>
      <c r="AJ325" s="565"/>
      <c r="AK325" s="565">
        <f>$G325*IF(ISNA((VLOOKUP($B325&amp;"; "&amp;$H$323&amp;", "&amp;H$324,'FE Fret'!$G:$U,12,FALSE)+VLOOKUP($B325&amp;"; "&amp;$H$323&amp;", "&amp;H$324,'FE Fret'!$G:$U,11,FALSE))),0,(VLOOKUP($B325&amp;"; "&amp;$H$323&amp;", "&amp;H$324,'FE Fret'!$G:$U,12,FALSE)+VLOOKUP($B325&amp;"; "&amp;$H$323&amp;", "&amp;H$324,'FE Fret'!$G:$U,11,FALSE)))
+$J325*IF(ISNA((VLOOKUP($B325&amp;"; "&amp;$K$323&amp;", "&amp;H$324,'FE Fret'!$G:$U,12,FALSE)+VLOOKUP($B325&amp;"; "&amp;$K$323&amp;", "&amp;H$324,'FE Fret'!$G:$U,11,FALSE))),0,(VLOOKUP($B325&amp;"; "&amp;$K$323&amp;", "&amp;H$324,'FE Fret'!$G:$U,12,FALSE)+VLOOKUP($B325&amp;"; "&amp;$K$323&amp;", "&amp;H$324,'FE Fret'!$G:$U,11,FALSE)))
+$M325*IF(ISNA((VLOOKUP($B325&amp;"; "&amp;$N$323&amp;", "&amp;H$324,'FE Fret'!$G:$U,12,FALSE)+VLOOKUP($B325&amp;"; "&amp;$N$323&amp;", "&amp;H$324,'FE Fret'!$G:$U,11,FALSE))),0,(VLOOKUP($B325&amp;"; "&amp;$N$323&amp;", "&amp;H$324,'FE Fret'!$G:$U,12,FALSE)+VLOOKUP($B325&amp;"; "&amp;$N$323&amp;", "&amp;H$324,'FE Fret'!$G:$U,11,FALSE)))
+$P325*IF(ISNA((VLOOKUP($B325&amp;"; "&amp;$Q$323&amp;", "&amp;H$324,'FE Fret'!$G:$U,12,FALSE)+VLOOKUP($B325&amp;"; "&amp;$Q$323&amp;", "&amp;H$324,'FE Fret'!$G:$U,11,FALSE))),0,(VLOOKUP($B325&amp;"; "&amp;$Q$323&amp;", "&amp;H$324,'FE Fret'!$G:$U,12,FALSE)+VLOOKUP($B325&amp;"; "&amp;$Q$323&amp;", "&amp;H$324,'FE Fret'!$G:$U,11,FALSE)))</f>
        <v>0</v>
      </c>
      <c r="AL325" s="565">
        <f>$G325*IF(ISNA((VLOOKUP($B325&amp;"; "&amp;$H$323&amp;", "&amp;I$324,'FE Fret'!$G:$U,12,FALSE)+VLOOKUP($B325&amp;"; "&amp;$H$323&amp;", "&amp;I$324,'FE Fret'!$G:$U,11,FALSE))),0,(VLOOKUP($B325&amp;"; "&amp;$H$323&amp;", "&amp;I$324,'FE Fret'!$G:$U,12,FALSE)+VLOOKUP($B325&amp;"; "&amp;$H$323&amp;", "&amp;I$324,'FE Fret'!$G:$U,11,FALSE)))
+$J325*IF(ISNA((VLOOKUP($B325&amp;"; "&amp;$K$323&amp;", "&amp;I$324,'FE Fret'!$G:$U,12,FALSE)+VLOOKUP($B325&amp;"; "&amp;$K$323&amp;", "&amp;I$324,'FE Fret'!$G:$U,11,FALSE))),0,(VLOOKUP($B325&amp;"; "&amp;$K$323&amp;", "&amp;I$324,'FE Fret'!$G:$U,12,FALSE)+VLOOKUP($B325&amp;"; "&amp;$K$323&amp;", "&amp;I$324,'FE Fret'!$G:$U,11,FALSE)))
+$M325*IF(ISNA((VLOOKUP($B325&amp;"; "&amp;$N$323&amp;", "&amp;I$324,'FE Fret'!$G:$U,12,FALSE)+VLOOKUP($B325&amp;"; "&amp;$N$323&amp;", "&amp;I$324,'FE Fret'!$G:$U,11,FALSE))),0,(VLOOKUP($B325&amp;"; "&amp;$N$323&amp;", "&amp;I$324,'FE Fret'!$G:$U,12,FALSE)+VLOOKUP($B325&amp;"; "&amp;$N$323&amp;", "&amp;I$324,'FE Fret'!$G:$U,11,FALSE)))
+$P325*IF(ISNA((VLOOKUP($B325&amp;"; "&amp;$Q$323&amp;", "&amp;I$324,'FE Fret'!$G:$U,12,FALSE)+VLOOKUP($B325&amp;"; "&amp;$Q$323&amp;", "&amp;I$324,'FE Fret'!$G:$U,11,FALSE))),0,(VLOOKUP($B325&amp;"; "&amp;$Q$323&amp;", "&amp;I$324,'FE Fret'!$G:$U,12,FALSE)+VLOOKUP($B325&amp;"; "&amp;$Q$323&amp;", "&amp;I$324,'FE Fret'!$G:$U,11,FALSE)))</f>
        <v>0</v>
      </c>
      <c r="AM325" s="565"/>
      <c r="AN325" s="565">
        <f>$G325*IF(ISNA(VLOOKUP($B325&amp;"; "&amp;$H$323&amp;", "&amp;H$324,'FE Fret'!$G:$U,13,FALSE)),0,VLOOKUP($B325&amp;"; "&amp;$H$323&amp;", "&amp;H$324,'FE Fret'!$G:$U,13,FALSE))
+$J325*IF(ISNA(VLOOKUP($B325&amp;"; "&amp;$K$323&amp;", "&amp;H$324,'FE Fret'!$G:$U,13,FALSE)),0,VLOOKUP($B325&amp;"; "&amp;$K$323&amp;", "&amp;H$324,'FE Fret'!$G:$U,13,FALSE))
+$M325*IF(ISNA(VLOOKUP($B325&amp;"; "&amp;$N$323&amp;", "&amp;H$324,'FE Fret'!$G:$U,13,FALSE)),0,VLOOKUP($B325&amp;"; "&amp;$N$323&amp;", "&amp;H$324,'FE Fret'!$G:$U,13,FALSE))
+$P325*IF(ISNA(VLOOKUP($B325&amp;"; "&amp;$Q$323&amp;", "&amp;H$324,'FE Fret'!$G:$U,13,FALSE)),0,VLOOKUP($B325&amp;"; "&amp;$Q$323&amp;", "&amp;H$324,'FE Fret'!$G:$U,13,FALSE))</f>
        <v>0</v>
      </c>
      <c r="AO325" s="565">
        <f>$G325*IF(ISNA(VLOOKUP($B325&amp;"; "&amp;$H$323&amp;", "&amp;I$324,'FE Fret'!$G:$U,13,FALSE)),0,VLOOKUP($B325&amp;"; "&amp;$H$323&amp;", "&amp;I$324,'FE Fret'!$G:$U,13,FALSE))
+$J325*IF(ISNA(VLOOKUP($B325&amp;"; "&amp;$K$323&amp;", "&amp;I$324,'FE Fret'!$G:$U,13,FALSE)),0,VLOOKUP($B325&amp;"; "&amp;$K$323&amp;", "&amp;I$324,'FE Fret'!$G:$U,13,FALSE))
+$M325*IF(ISNA(VLOOKUP($B325&amp;"; "&amp;$N$323&amp;", "&amp;I$324,'FE Fret'!$G:$U,13,FALSE)),0,VLOOKUP($B325&amp;"; "&amp;$N$323&amp;", "&amp;I$324,'FE Fret'!$G:$U,13,FALSE))
+$P325*IF(ISNA(VLOOKUP($B325&amp;"; "&amp;$Q$323&amp;", "&amp;I$324,'FE Fret'!$G:$U,13,FALSE)),0,VLOOKUP($B325&amp;"; "&amp;$Q$323&amp;", "&amp;I$324,'FE Fret'!$G:$U,13,FALSE))</f>
        <v>0</v>
      </c>
      <c r="AP325" s="565"/>
      <c r="AQ325" s="565">
        <v>0</v>
      </c>
      <c r="AR325" s="565">
        <v>0</v>
      </c>
      <c r="AS325" s="565"/>
      <c r="AT325" s="566">
        <f t="shared" ref="AT325:AT330" si="119">SUM(AH325,AK325,AN325,AQ325)</f>
        <v>0</v>
      </c>
      <c r="AU325" s="566">
        <f t="shared" ref="AU325:AU330" si="120">SUM(AI325,AL325,AO325,AR325)</f>
        <v>0</v>
      </c>
      <c r="AV325" s="567"/>
      <c r="AW325" s="565">
        <f>$G325*IF(ISNA(VLOOKUP($B325&amp;"; "&amp;$H$323&amp;", "&amp;H$324,'FE Fret'!$G:$U,15,FALSE)),0,VLOOKUP($B325&amp;"; "&amp;$H$323&amp;", "&amp;H$324,'FE Fret'!$G:$U,15,FALSE))
+$J325*IF(ISNA(VLOOKUP($B325&amp;"; "&amp;$K$323&amp;", "&amp;H$324,'FE Fret'!$G:$U,15,FALSE)),0,VLOOKUP($B325&amp;"; "&amp;$K$323&amp;", "&amp;H$324,'FE Fret'!$G:$U,15,FALSE))
+$M325*IF(ISNA(VLOOKUP($B325&amp;"; "&amp;$N$323&amp;", "&amp;H$324,'FE Fret'!$G:$U,15,FALSE)),0,VLOOKUP($B325&amp;"; "&amp;$N$323&amp;", "&amp;H$324,'FE Fret'!$G:$U,15,FALSE))
+$P325*IF(ISNA(VLOOKUP($B325&amp;"; "&amp;$Q$323&amp;", "&amp;H$324,'FE Fret'!$G:$U,15,FALSE)),0,VLOOKUP($B325&amp;"; "&amp;$Q$323&amp;", "&amp;H$324,'FE Fret'!$G:$U,15,FALSE))</f>
        <v>0</v>
      </c>
      <c r="AX325" s="565">
        <f>$G325*IF(ISNA(VLOOKUP($B325&amp;"; "&amp;$H$323&amp;", "&amp;I$324,'FE Fret'!$G:$U,15,FALSE)),0,VLOOKUP($B325&amp;"; "&amp;$H$323&amp;", "&amp;I$324,'FE Fret'!$G:$U,15,FALSE))
+$J325*IF(ISNA(VLOOKUP($B325&amp;"; "&amp;$K$323&amp;", "&amp;I$324,'FE Fret'!$G:$U,15,FALSE)),0,VLOOKUP($B325&amp;"; "&amp;$K$323&amp;", "&amp;I$324,'FE Fret'!$G:$U,15,FALSE))
+$M325*IF(ISNA(VLOOKUP($B325&amp;"; "&amp;$N$323&amp;", "&amp;I$324,'FE Fret'!$G:$U,15,FALSE)),0,VLOOKUP($B325&amp;"; "&amp;$N$323&amp;", "&amp;I$324,'FE Fret'!$G:$U,15,FALSE))
+$P325*IF(ISNA(VLOOKUP($B325&amp;"; "&amp;$Q$323&amp;", "&amp;I$324,'FE Fret'!$G:$U,15,FALSE)),0,VLOOKUP($B325&amp;"; "&amp;$Q$323&amp;", "&amp;I$324,'FE Fret'!$G:$U,15,FALSE))</f>
        <v>0</v>
      </c>
      <c r="AY325" s="568"/>
      <c r="AZ325" s="565"/>
      <c r="BA325" s="565"/>
      <c r="BB325" s="565"/>
      <c r="BC325" s="565"/>
      <c r="BD325" s="565"/>
      <c r="BE325" s="565"/>
      <c r="BF325" s="565"/>
      <c r="BH325" s="1065">
        <f>IF($Y325&lt;&gt;"votre valeur :",IF(ISNA(VLOOKUP($Y325,Utilitaires!$N$566:$O$571,2,FALSE)),,VLOOKUP($Y325,Utilitaires!$N$566:$O$571,2,FALSE)),$Z325)</f>
        <v>0</v>
      </c>
      <c r="BI325" s="1124">
        <f>IF(ISNA(SQRT(SUMSQ(VLOOKUP($B325&amp;"; "&amp;$H$15&amp;", "&amp;H$16,'FE Fret'!$G:$U,7,FALSE),$BH325))),0,SQRT(SUMSQ(VLOOKUP($B325&amp;"; "&amp;$H$15&amp;", "&amp;$H$16,'FE Fret'!$G:$U,7,FALSE),$BH325)))</f>
        <v>0.05</v>
      </c>
      <c r="BJ325" s="1068">
        <f>IF(ISNA(SQRT(SUMSQ(VLOOKUP($B325&amp;"; "&amp;$K$15&amp;", "&amp;$K$16,'FE Fret'!$G:$U,7,FALSE),$BH325))),0,SQRT(SUMSQ(VLOOKUP($B325&amp;"; "&amp;$K$15&amp;", "&amp;$K$16,'FE Fret'!$G:$U,7,FALSE),$BH325)))</f>
        <v>0.05</v>
      </c>
      <c r="BK325" s="1068">
        <f>IF(ISNA(SQRT(SUMSQ(VLOOKUP($B325&amp;"; "&amp;$N$15&amp;", "&amp;$N$16,'FE Fret'!$G:$U,7,FALSE),$BH325))),0,SQRT(SUMSQ(VLOOKUP($B325&amp;"; "&amp;$N$15&amp;", "&amp;$N$16,'FE Fret'!$G:$U,7,FALSE),$BH325)))</f>
        <v>0.05</v>
      </c>
      <c r="BL325" s="1068">
        <f>IF(ISNA(SQRT(SUMSQ(VLOOKUP($B325&amp;"; "&amp;$Q$15&amp;", "&amp;$Q$16,'FE Fret'!$G:$U,7,FALSE),$BH325))),0,SQRT(SUMSQ(VLOOKUP($B325&amp;"; "&amp;$Q$15&amp;", "&amp;$Q$16,'FE Fret'!$G:$U,7,FALSE),$BH325)))</f>
        <v>0.1</v>
      </c>
      <c r="BM325" s="1124">
        <f>IF(ISNA(SQRT(SUMSQ(VLOOKUP($B325&amp;"; "&amp;$H$15&amp;", "&amp;I$16,'FE Fret'!$G:$U,7,FALSE),$BH325))),0,SQRT(SUMSQ(VLOOKUP($B325&amp;"; "&amp;$H$15&amp;", "&amp;$I$16,'FE Fret'!$G:$U,7,FALSE),$BH325)))</f>
        <v>0.05</v>
      </c>
      <c r="BN325" s="1068">
        <f>IF(ISNA(SQRT(SUMSQ(VLOOKUP($B325&amp;"; "&amp;$K$15&amp;", "&amp;$L$16,'FE Fret'!$G:$U,7,FALSE),$BH325))),0,SQRT(SUMSQ(VLOOKUP($B325&amp;"; "&amp;$K$15&amp;", "&amp;$L$16,'FE Fret'!$G:$U,7,FALSE),$BH325)))</f>
        <v>0.05</v>
      </c>
      <c r="BO325" s="1068">
        <f>IF(ISNA(SQRT(SUMSQ(VLOOKUP($B325&amp;"; "&amp;$N$15&amp;", "&amp;$O$16,'FE Fret'!$G:$U,7,FALSE),$BH325))),0,SQRT(SUMSQ(VLOOKUP($B325&amp;"; "&amp;$N$15&amp;", "&amp;$O$16,'FE Fret'!$G:$U,7,FALSE),$BH325)))</f>
        <v>0.05</v>
      </c>
      <c r="BP325" s="1125">
        <f>IF(ISNA(SQRT(SUMSQ(VLOOKUP($B325&amp;"; "&amp;$Q$15&amp;", "&amp;$R$16,'FE Fret'!$G:$U,7,FALSE),$BH325))),0,SQRT(SUMSQ(VLOOKUP($B325&amp;"; "&amp;$Q$15&amp;", "&amp;$R$16,'FE Fret'!$G:$U,7,FALSE),$BH325)))</f>
        <v>0.1</v>
      </c>
    </row>
    <row r="326" spans="2:68" hidden="1" outlineLevel="2">
      <c r="B326" s="143" t="s">
        <v>2327</v>
      </c>
      <c r="C326" s="144"/>
      <c r="D326" s="212">
        <f t="shared" si="112"/>
        <v>0</v>
      </c>
      <c r="E326" s="212"/>
      <c r="F326" s="120"/>
      <c r="G326" s="120"/>
      <c r="H326" s="335" t="e">
        <f>VLOOKUP($B326&amp;"; "&amp;$H$323&amp;", "&amp;H$324,'FE Fret'!$G:$U,9,FALSE)</f>
        <v>#N/A</v>
      </c>
      <c r="I326" s="335" t="e">
        <f>VLOOKUP($B326&amp;"; "&amp;$H$323&amp;", "&amp;I$324,'FE Fret'!$G:$U,9,FALSE)</f>
        <v>#N/A</v>
      </c>
      <c r="J326" s="120"/>
      <c r="K326" s="335" t="e">
        <f>VLOOKUP($B326&amp;"; "&amp;$K$323&amp;", "&amp;K$324,'FE Fret'!$G:$U,9,FALSE)</f>
        <v>#N/A</v>
      </c>
      <c r="L326" s="335" t="e">
        <f>VLOOKUP($B326&amp;"; "&amp;$K$323&amp;", "&amp;L$324,'FE Fret'!$G:$U,9,FALSE)</f>
        <v>#N/A</v>
      </c>
      <c r="M326" s="120"/>
      <c r="N326" s="335" t="e">
        <f>VLOOKUP($B326&amp;"; "&amp;$N$323&amp;", "&amp;N$324,'FE Fret'!$G:$U,9,FALSE)</f>
        <v>#N/A</v>
      </c>
      <c r="O326" s="335" t="e">
        <f>VLOOKUP($B326&amp;"; "&amp;$N$323&amp;", "&amp;O$324,'FE Fret'!$G:$U,9,FALSE)</f>
        <v>#N/A</v>
      </c>
      <c r="P326" s="120"/>
      <c r="Q326" s="335" t="e">
        <f>VLOOKUP($B326&amp;"; "&amp;$Q$323&amp;", "&amp;Q$324,'FE Fret'!$G:$U,9,FALSE)</f>
        <v>#N/A</v>
      </c>
      <c r="R326" s="335" t="e">
        <f>VLOOKUP($B326&amp;"; "&amp;$Q$323&amp;", "&amp;R$324,'FE Fret'!$G:$U,9,FALSE)</f>
        <v>#N/A</v>
      </c>
      <c r="S326" s="356">
        <f t="shared" si="113"/>
        <v>0</v>
      </c>
      <c r="T326" s="356">
        <f t="shared" si="113"/>
        <v>0</v>
      </c>
      <c r="U326" s="1286">
        <f>IF(OR(F326=Utilitaires!$I$572,F326=Utilitaires!$I$577),T326,0)</f>
        <v>0</v>
      </c>
      <c r="X326" s="1092">
        <f t="shared" si="114"/>
        <v>0</v>
      </c>
      <c r="Y326" s="343"/>
      <c r="Z326" s="820"/>
      <c r="AA326" s="164">
        <f t="shared" si="115"/>
        <v>0</v>
      </c>
      <c r="AB326" s="164">
        <f t="shared" si="116"/>
        <v>0</v>
      </c>
      <c r="AC326" s="164"/>
      <c r="AD326" s="151"/>
      <c r="AE326" s="151">
        <f t="shared" si="117"/>
        <v>0</v>
      </c>
      <c r="AF326" s="1286">
        <f t="shared" si="118"/>
        <v>0</v>
      </c>
      <c r="AG326" s="116"/>
      <c r="AH326" s="564">
        <f>$G326*IF(ISNA(VLOOKUP($B326&amp;"; "&amp;$H$323&amp;", "&amp;H$324,'FE Fret'!$G:$U,10,FALSE)),0,VLOOKUP($B326&amp;"; "&amp;$H$323&amp;", "&amp;H$324,'FE Fret'!$G:$U,10,FALSE))
+$J326*IF(ISNA(VLOOKUP($B326&amp;"; "&amp;$K$323&amp;", "&amp;H$324,'FE Fret'!$G:$U,10,FALSE)),0,VLOOKUP($B326&amp;"; "&amp;$K$323&amp;", "&amp;H$324,'FE Fret'!$G:$U,10,FALSE))
+$M326*IF(ISNA(VLOOKUP($B326&amp;"; "&amp;$N$323&amp;", "&amp;H$324,'FE Fret'!$G:$U,10,FALSE)),0,VLOOKUP($B326&amp;"; "&amp;$N$323&amp;", "&amp;H$324,'FE Fret'!$G:$U,10,FALSE))
+$P326*IF(ISNA(VLOOKUP($B326&amp;"; "&amp;$Q$323&amp;", "&amp;H$324,'FE Fret'!$G:$U,10,FALSE)),0,VLOOKUP($B326&amp;"; "&amp;$Q$323&amp;", "&amp;H$324,'FE Fret'!$G:$U,10,FALSE))</f>
        <v>0</v>
      </c>
      <c r="AI326" s="565">
        <f>$G326*IF(ISNA(VLOOKUP($B326&amp;"; "&amp;$H$323&amp;", "&amp;I$324,'FE Fret'!$G:$U,10,FALSE)),0,VLOOKUP($B326&amp;"; "&amp;$H$323&amp;", "&amp;I$324,'FE Fret'!$G:$U,10,FALSE))
+$J326*IF(ISNA(VLOOKUP($B326&amp;"; "&amp;$K$323&amp;", "&amp;I$324,'FE Fret'!$G:$U,10,FALSE)),0,VLOOKUP($B326&amp;"; "&amp;$K$323&amp;", "&amp;I$324,'FE Fret'!$G:$U,10,FALSE))
+$M326*IF(ISNA(VLOOKUP($B326&amp;"; "&amp;$N$323&amp;", "&amp;I$324,'FE Fret'!$G:$U,10,FALSE)),0,VLOOKUP($B326&amp;"; "&amp;$N$323&amp;", "&amp;I$324,'FE Fret'!$G:$U,10,FALSE))
+$P326*IF(ISNA(VLOOKUP($B326&amp;"; "&amp;$Q$323&amp;", "&amp;I$324,'FE Fret'!$G:$U,10,FALSE)),0,VLOOKUP($B326&amp;"; "&amp;$Q$323&amp;", "&amp;I$324,'FE Fret'!$G:$U,10,FALSE))</f>
        <v>0</v>
      </c>
      <c r="AJ326" s="565"/>
      <c r="AK326" s="565">
        <f>$G326*IF(ISNA((VLOOKUP($B326&amp;"; "&amp;$H$323&amp;", "&amp;H$324,'FE Fret'!$G:$U,12,FALSE)+VLOOKUP($B326&amp;"; "&amp;$H$323&amp;", "&amp;H$324,'FE Fret'!$G:$U,11,FALSE))),0,(VLOOKUP($B326&amp;"; "&amp;$H$323&amp;", "&amp;H$324,'FE Fret'!$G:$U,12,FALSE)+VLOOKUP($B326&amp;"; "&amp;$H$323&amp;", "&amp;H$324,'FE Fret'!$G:$U,11,FALSE)))
+$J326*IF(ISNA((VLOOKUP($B326&amp;"; "&amp;$K$323&amp;", "&amp;H$324,'FE Fret'!$G:$U,12,FALSE)+VLOOKUP($B326&amp;"; "&amp;$K$323&amp;", "&amp;H$324,'FE Fret'!$G:$U,11,FALSE))),0,(VLOOKUP($B326&amp;"; "&amp;$K$323&amp;", "&amp;H$324,'FE Fret'!$G:$U,12,FALSE)+VLOOKUP($B326&amp;"; "&amp;$K$323&amp;", "&amp;H$324,'FE Fret'!$G:$U,11,FALSE)))
+$M326*IF(ISNA((VLOOKUP($B326&amp;"; "&amp;$N$323&amp;", "&amp;H$324,'FE Fret'!$G:$U,12,FALSE)+VLOOKUP($B326&amp;"; "&amp;$N$323&amp;", "&amp;H$324,'FE Fret'!$G:$U,11,FALSE))),0,(VLOOKUP($B326&amp;"; "&amp;$N$323&amp;", "&amp;H$324,'FE Fret'!$G:$U,12,FALSE)+VLOOKUP($B326&amp;"; "&amp;$N$323&amp;", "&amp;H$324,'FE Fret'!$G:$U,11,FALSE)))
+$P326*IF(ISNA((VLOOKUP($B326&amp;"; "&amp;$Q$323&amp;", "&amp;H$324,'FE Fret'!$G:$U,12,FALSE)+VLOOKUP($B326&amp;"; "&amp;$Q$323&amp;", "&amp;H$324,'FE Fret'!$G:$U,11,FALSE))),0,(VLOOKUP($B326&amp;"; "&amp;$Q$323&amp;", "&amp;H$324,'FE Fret'!$G:$U,12,FALSE)+VLOOKUP($B326&amp;"; "&amp;$Q$323&amp;", "&amp;H$324,'FE Fret'!$G:$U,11,FALSE)))</f>
        <v>0</v>
      </c>
      <c r="AL326" s="565">
        <f>$G326*IF(ISNA((VLOOKUP($B326&amp;"; "&amp;$H$323&amp;", "&amp;I$324,'FE Fret'!$G:$U,12,FALSE)+VLOOKUP($B326&amp;"; "&amp;$H$323&amp;", "&amp;I$324,'FE Fret'!$G:$U,11,FALSE))),0,(VLOOKUP($B326&amp;"; "&amp;$H$323&amp;", "&amp;I$324,'FE Fret'!$G:$U,12,FALSE)+VLOOKUP($B326&amp;"; "&amp;$H$323&amp;", "&amp;I$324,'FE Fret'!$G:$U,11,FALSE)))
+$J326*IF(ISNA((VLOOKUP($B326&amp;"; "&amp;$K$323&amp;", "&amp;I$324,'FE Fret'!$G:$U,12,FALSE)+VLOOKUP($B326&amp;"; "&amp;$K$323&amp;", "&amp;I$324,'FE Fret'!$G:$U,11,FALSE))),0,(VLOOKUP($B326&amp;"; "&amp;$K$323&amp;", "&amp;I$324,'FE Fret'!$G:$U,12,FALSE)+VLOOKUP($B326&amp;"; "&amp;$K$323&amp;", "&amp;I$324,'FE Fret'!$G:$U,11,FALSE)))
+$M326*IF(ISNA((VLOOKUP($B326&amp;"; "&amp;$N$323&amp;", "&amp;I$324,'FE Fret'!$G:$U,12,FALSE)+VLOOKUP($B326&amp;"; "&amp;$N$323&amp;", "&amp;I$324,'FE Fret'!$G:$U,11,FALSE))),0,(VLOOKUP($B326&amp;"; "&amp;$N$323&amp;", "&amp;I$324,'FE Fret'!$G:$U,12,FALSE)+VLOOKUP($B326&amp;"; "&amp;$N$323&amp;", "&amp;I$324,'FE Fret'!$G:$U,11,FALSE)))
+$P326*IF(ISNA((VLOOKUP($B326&amp;"; "&amp;$Q$323&amp;", "&amp;I$324,'FE Fret'!$G:$U,12,FALSE)+VLOOKUP($B326&amp;"; "&amp;$Q$323&amp;", "&amp;I$324,'FE Fret'!$G:$U,11,FALSE))),0,(VLOOKUP($B326&amp;"; "&amp;$Q$323&amp;", "&amp;I$324,'FE Fret'!$G:$U,12,FALSE)+VLOOKUP($B326&amp;"; "&amp;$Q$323&amp;", "&amp;I$324,'FE Fret'!$G:$U,11,FALSE)))</f>
        <v>0</v>
      </c>
      <c r="AM326" s="565"/>
      <c r="AN326" s="565">
        <f>$G326*IF(ISNA(VLOOKUP($B326&amp;"; "&amp;$H$323&amp;", "&amp;H$324,'FE Fret'!$G:$U,13,FALSE)),0,VLOOKUP($B326&amp;"; "&amp;$H$323&amp;", "&amp;H$324,'FE Fret'!$G:$U,13,FALSE))
+$J326*IF(ISNA(VLOOKUP($B326&amp;"; "&amp;$K$323&amp;", "&amp;H$324,'FE Fret'!$G:$U,13,FALSE)),0,VLOOKUP($B326&amp;"; "&amp;$K$323&amp;", "&amp;H$324,'FE Fret'!$G:$U,13,FALSE))
+$M326*IF(ISNA(VLOOKUP($B326&amp;"; "&amp;$N$323&amp;", "&amp;H$324,'FE Fret'!$G:$U,13,FALSE)),0,VLOOKUP($B326&amp;"; "&amp;$N$323&amp;", "&amp;H$324,'FE Fret'!$G:$U,13,FALSE))
+$P326*IF(ISNA(VLOOKUP($B326&amp;"; "&amp;$Q$323&amp;", "&amp;H$324,'FE Fret'!$G:$U,13,FALSE)),0,VLOOKUP($B326&amp;"; "&amp;$Q$323&amp;", "&amp;H$324,'FE Fret'!$G:$U,13,FALSE))</f>
        <v>0</v>
      </c>
      <c r="AO326" s="565">
        <f>$G326*IF(ISNA(VLOOKUP($B326&amp;"; "&amp;$H$323&amp;", "&amp;I$324,'FE Fret'!$G:$U,13,FALSE)),0,VLOOKUP($B326&amp;"; "&amp;$H$323&amp;", "&amp;I$324,'FE Fret'!$G:$U,13,FALSE))
+$J326*IF(ISNA(VLOOKUP($B326&amp;"; "&amp;$K$323&amp;", "&amp;I$324,'FE Fret'!$G:$U,13,FALSE)),0,VLOOKUP($B326&amp;"; "&amp;$K$323&amp;", "&amp;I$324,'FE Fret'!$G:$U,13,FALSE))
+$M326*IF(ISNA(VLOOKUP($B326&amp;"; "&amp;$N$323&amp;", "&amp;I$324,'FE Fret'!$G:$U,13,FALSE)),0,VLOOKUP($B326&amp;"; "&amp;$N$323&amp;", "&amp;I$324,'FE Fret'!$G:$U,13,FALSE))
+$P326*IF(ISNA(VLOOKUP($B326&amp;"; "&amp;$Q$323&amp;", "&amp;I$324,'FE Fret'!$G:$U,13,FALSE)),0,VLOOKUP($B326&amp;"; "&amp;$Q$323&amp;", "&amp;I$324,'FE Fret'!$G:$U,13,FALSE))</f>
        <v>0</v>
      </c>
      <c r="AP326" s="565"/>
      <c r="AQ326" s="565">
        <v>0</v>
      </c>
      <c r="AR326" s="565">
        <v>0</v>
      </c>
      <c r="AS326" s="565"/>
      <c r="AT326" s="566">
        <f t="shared" si="119"/>
        <v>0</v>
      </c>
      <c r="AU326" s="566">
        <f t="shared" si="120"/>
        <v>0</v>
      </c>
      <c r="AV326" s="567"/>
      <c r="AW326" s="565">
        <f>$G326*IF(ISNA(VLOOKUP($B326&amp;"; "&amp;$H$323&amp;", "&amp;H$324,'FE Fret'!$G:$U,15,FALSE)),0,VLOOKUP($B326&amp;"; "&amp;$H$323&amp;", "&amp;H$324,'FE Fret'!$G:$U,15,FALSE))
+$J326*IF(ISNA(VLOOKUP($B326&amp;"; "&amp;$K$323&amp;", "&amp;H$324,'FE Fret'!$G:$U,15,FALSE)),0,VLOOKUP($B326&amp;"; "&amp;$K$323&amp;", "&amp;H$324,'FE Fret'!$G:$U,15,FALSE))
+$M326*IF(ISNA(VLOOKUP($B326&amp;"; "&amp;$N$323&amp;", "&amp;H$324,'FE Fret'!$G:$U,15,FALSE)),0,VLOOKUP($B326&amp;"; "&amp;$N$323&amp;", "&amp;H$324,'FE Fret'!$G:$U,15,FALSE))
+$P326*IF(ISNA(VLOOKUP($B326&amp;"; "&amp;$Q$323&amp;", "&amp;H$324,'FE Fret'!$G:$U,15,FALSE)),0,VLOOKUP($B326&amp;"; "&amp;$Q$323&amp;", "&amp;H$324,'FE Fret'!$G:$U,15,FALSE))</f>
        <v>0</v>
      </c>
      <c r="AX326" s="565">
        <f>$G326*IF(ISNA(VLOOKUP($B326&amp;"; "&amp;$H$323&amp;", "&amp;I$324,'FE Fret'!$G:$U,15,FALSE)),0,VLOOKUP($B326&amp;"; "&amp;$H$323&amp;", "&amp;I$324,'FE Fret'!$G:$U,15,FALSE))
+$J326*IF(ISNA(VLOOKUP($B326&amp;"; "&amp;$K$323&amp;", "&amp;I$324,'FE Fret'!$G:$U,15,FALSE)),0,VLOOKUP($B326&amp;"; "&amp;$K$323&amp;", "&amp;I$324,'FE Fret'!$G:$U,15,FALSE))
+$M326*IF(ISNA(VLOOKUP($B326&amp;"; "&amp;$N$323&amp;", "&amp;I$324,'FE Fret'!$G:$U,15,FALSE)),0,VLOOKUP($B326&amp;"; "&amp;$N$323&amp;", "&amp;I$324,'FE Fret'!$G:$U,15,FALSE))
+$P326*IF(ISNA(VLOOKUP($B326&amp;"; "&amp;$Q$323&amp;", "&amp;I$324,'FE Fret'!$G:$U,15,FALSE)),0,VLOOKUP($B326&amp;"; "&amp;$Q$323&amp;", "&amp;I$324,'FE Fret'!$G:$U,15,FALSE))</f>
        <v>0</v>
      </c>
      <c r="AY326" s="568"/>
      <c r="AZ326" s="565"/>
      <c r="BA326" s="565"/>
      <c r="BB326" s="565"/>
      <c r="BC326" s="565"/>
      <c r="BD326" s="565"/>
      <c r="BE326" s="565"/>
      <c r="BF326" s="565"/>
      <c r="BH326" s="1065">
        <f>IF($Y326&lt;&gt;"votre valeur :",IF(ISNA(VLOOKUP($Y326,Utilitaires!$N$566:$O$571,2,FALSE)),,VLOOKUP($Y326,Utilitaires!$N$566:$O$571,2,FALSE)),$Z326)</f>
        <v>0</v>
      </c>
      <c r="BI326" s="1124">
        <f>IF(ISNA(SQRT(SUMSQ(VLOOKUP($B326&amp;"; "&amp;$H$15&amp;", "&amp;H$16,'FE Fret'!$G:$U,7,FALSE),$BH326))),0,SQRT(SUMSQ(VLOOKUP($B326&amp;"; "&amp;$H$15&amp;", "&amp;$H$16,'FE Fret'!$G:$U,7,FALSE),$BH326)))</f>
        <v>0</v>
      </c>
      <c r="BJ326" s="1068">
        <f>IF(ISNA(SQRT(SUMSQ(VLOOKUP($B326&amp;"; "&amp;$K$15&amp;", "&amp;$K$16,'FE Fret'!$G:$U,7,FALSE),$BH326))),0,SQRT(SUMSQ(VLOOKUP($B326&amp;"; "&amp;$K$15&amp;", "&amp;$K$16,'FE Fret'!$G:$U,7,FALSE),$BH326)))</f>
        <v>0</v>
      </c>
      <c r="BK326" s="1068">
        <f>IF(ISNA(SQRT(SUMSQ(VLOOKUP($B326&amp;"; "&amp;$N$15&amp;", "&amp;$N$16,'FE Fret'!$G:$U,7,FALSE),$BH326))),0,SQRT(SUMSQ(VLOOKUP($B326&amp;"; "&amp;$N$15&amp;", "&amp;$N$16,'FE Fret'!$G:$U,7,FALSE),$BH326)))</f>
        <v>0</v>
      </c>
      <c r="BL326" s="1068">
        <f>IF(ISNA(SQRT(SUMSQ(VLOOKUP($B326&amp;"; "&amp;$Q$15&amp;", "&amp;$Q$16,'FE Fret'!$G:$U,7,FALSE),$BH326))),0,SQRT(SUMSQ(VLOOKUP($B326&amp;"; "&amp;$Q$15&amp;", "&amp;$Q$16,'FE Fret'!$G:$U,7,FALSE),$BH326)))</f>
        <v>0</v>
      </c>
      <c r="BM326" s="1124">
        <f>IF(ISNA(SQRT(SUMSQ(VLOOKUP($B326&amp;"; "&amp;$H$15&amp;", "&amp;I$16,'FE Fret'!$G:$U,7,FALSE),$BH326))),0,SQRT(SUMSQ(VLOOKUP($B326&amp;"; "&amp;$H$15&amp;", "&amp;$I$16,'FE Fret'!$G:$U,7,FALSE),$BH326)))</f>
        <v>0</v>
      </c>
      <c r="BN326" s="1068">
        <f>IF(ISNA(SQRT(SUMSQ(VLOOKUP($B326&amp;"; "&amp;$K$15&amp;", "&amp;$L$16,'FE Fret'!$G:$U,7,FALSE),$BH326))),0,SQRT(SUMSQ(VLOOKUP($B326&amp;"; "&amp;$K$15&amp;", "&amp;$L$16,'FE Fret'!$G:$U,7,FALSE),$BH326)))</f>
        <v>0</v>
      </c>
      <c r="BO326" s="1068">
        <f>IF(ISNA(SQRT(SUMSQ(VLOOKUP($B326&amp;"; "&amp;$N$15&amp;", "&amp;$O$16,'FE Fret'!$G:$U,7,FALSE),$BH326))),0,SQRT(SUMSQ(VLOOKUP($B326&amp;"; "&amp;$N$15&amp;", "&amp;$O$16,'FE Fret'!$G:$U,7,FALSE),$BH326)))</f>
        <v>0</v>
      </c>
      <c r="BP326" s="1125">
        <f>IF(ISNA(SQRT(SUMSQ(VLOOKUP($B326&amp;"; "&amp;$Q$15&amp;", "&amp;$R$16,'FE Fret'!$G:$U,7,FALSE),$BH326))),0,SQRT(SUMSQ(VLOOKUP($B326&amp;"; "&amp;$Q$15&amp;", "&amp;$R$16,'FE Fret'!$G:$U,7,FALSE),$BH326)))</f>
        <v>0</v>
      </c>
    </row>
    <row r="327" spans="2:68" hidden="1" outlineLevel="2">
      <c r="B327" s="143" t="s">
        <v>2328</v>
      </c>
      <c r="C327" s="144"/>
      <c r="D327" s="212">
        <f t="shared" si="112"/>
        <v>0</v>
      </c>
      <c r="E327" s="212"/>
      <c r="F327" s="120"/>
      <c r="G327" s="120"/>
      <c r="H327" s="335" t="e">
        <f>VLOOKUP($B327&amp;"; "&amp;$H$323&amp;", "&amp;H$324,'FE Fret'!$G:$U,9,FALSE)</f>
        <v>#N/A</v>
      </c>
      <c r="I327" s="335" t="e">
        <f>VLOOKUP($B327&amp;"; "&amp;$H$323&amp;", "&amp;I$324,'FE Fret'!$G:$U,9,FALSE)</f>
        <v>#N/A</v>
      </c>
      <c r="J327" s="120"/>
      <c r="K327" s="335" t="e">
        <f>VLOOKUP($B327&amp;"; "&amp;$K$323&amp;", "&amp;K$324,'FE Fret'!$G:$U,9,FALSE)</f>
        <v>#N/A</v>
      </c>
      <c r="L327" s="335" t="e">
        <f>VLOOKUP($B327&amp;"; "&amp;$K$323&amp;", "&amp;L$324,'FE Fret'!$G:$U,9,FALSE)</f>
        <v>#N/A</v>
      </c>
      <c r="M327" s="120"/>
      <c r="N327" s="335" t="e">
        <f>VLOOKUP($B327&amp;"; "&amp;$N$323&amp;", "&amp;N$324,'FE Fret'!$G:$U,9,FALSE)</f>
        <v>#N/A</v>
      </c>
      <c r="O327" s="335" t="e">
        <f>VLOOKUP($B327&amp;"; "&amp;$N$323&amp;", "&amp;O$324,'FE Fret'!$G:$U,9,FALSE)</f>
        <v>#N/A</v>
      </c>
      <c r="P327" s="120"/>
      <c r="Q327" s="335" t="e">
        <f>VLOOKUP($B327&amp;"; "&amp;$Q$323&amp;", "&amp;Q$324,'FE Fret'!$G:$U,9,FALSE)</f>
        <v>#N/A</v>
      </c>
      <c r="R327" s="335" t="e">
        <f>VLOOKUP($B327&amp;"; "&amp;$Q$323&amp;", "&amp;R$324,'FE Fret'!$G:$U,9,FALSE)</f>
        <v>#N/A</v>
      </c>
      <c r="S327" s="356">
        <f t="shared" si="113"/>
        <v>0</v>
      </c>
      <c r="T327" s="356">
        <f t="shared" si="113"/>
        <v>0</v>
      </c>
      <c r="U327" s="1286">
        <f>IF(OR(F327=Utilitaires!$I$572,F327=Utilitaires!$I$577),T327,0)</f>
        <v>0</v>
      </c>
      <c r="X327" s="1092">
        <f t="shared" si="114"/>
        <v>0</v>
      </c>
      <c r="Y327" s="343"/>
      <c r="Z327" s="820"/>
      <c r="AA327" s="164">
        <f t="shared" si="115"/>
        <v>0</v>
      </c>
      <c r="AB327" s="164">
        <f t="shared" si="116"/>
        <v>0</v>
      </c>
      <c r="AC327" s="164"/>
      <c r="AD327" s="151"/>
      <c r="AE327" s="151">
        <f t="shared" si="117"/>
        <v>0</v>
      </c>
      <c r="AF327" s="1286">
        <f t="shared" si="118"/>
        <v>0</v>
      </c>
      <c r="AG327" s="116"/>
      <c r="AH327" s="564">
        <f>$G327*IF(ISNA(VLOOKUP($B327&amp;"; "&amp;$H$323&amp;", "&amp;H$324,'FE Fret'!$G:$U,10,FALSE)),0,VLOOKUP($B327&amp;"; "&amp;$H$323&amp;", "&amp;H$324,'FE Fret'!$G:$U,10,FALSE))
+$J327*IF(ISNA(VLOOKUP($B327&amp;"; "&amp;$K$323&amp;", "&amp;H$324,'FE Fret'!$G:$U,10,FALSE)),0,VLOOKUP($B327&amp;"; "&amp;$K$323&amp;", "&amp;H$324,'FE Fret'!$G:$U,10,FALSE))
+$M327*IF(ISNA(VLOOKUP($B327&amp;"; "&amp;$N$323&amp;", "&amp;H$324,'FE Fret'!$G:$U,10,FALSE)),0,VLOOKUP($B327&amp;"; "&amp;$N$323&amp;", "&amp;H$324,'FE Fret'!$G:$U,10,FALSE))
+$P327*IF(ISNA(VLOOKUP($B327&amp;"; "&amp;$Q$323&amp;", "&amp;H$324,'FE Fret'!$G:$U,10,FALSE)),0,VLOOKUP($B327&amp;"; "&amp;$Q$323&amp;", "&amp;H$324,'FE Fret'!$G:$U,10,FALSE))</f>
        <v>0</v>
      </c>
      <c r="AI327" s="565">
        <f>$G327*IF(ISNA(VLOOKUP($B327&amp;"; "&amp;$H$323&amp;", "&amp;I$324,'FE Fret'!$G:$U,10,FALSE)),0,VLOOKUP($B327&amp;"; "&amp;$H$323&amp;", "&amp;I$324,'FE Fret'!$G:$U,10,FALSE))
+$J327*IF(ISNA(VLOOKUP($B327&amp;"; "&amp;$K$323&amp;", "&amp;I$324,'FE Fret'!$G:$U,10,FALSE)),0,VLOOKUP($B327&amp;"; "&amp;$K$323&amp;", "&amp;I$324,'FE Fret'!$G:$U,10,FALSE))
+$M327*IF(ISNA(VLOOKUP($B327&amp;"; "&amp;$N$323&amp;", "&amp;I$324,'FE Fret'!$G:$U,10,FALSE)),0,VLOOKUP($B327&amp;"; "&amp;$N$323&amp;", "&amp;I$324,'FE Fret'!$G:$U,10,FALSE))
+$P327*IF(ISNA(VLOOKUP($B327&amp;"; "&amp;$Q$323&amp;", "&amp;I$324,'FE Fret'!$G:$U,10,FALSE)),0,VLOOKUP($B327&amp;"; "&amp;$Q$323&amp;", "&amp;I$324,'FE Fret'!$G:$U,10,FALSE))</f>
        <v>0</v>
      </c>
      <c r="AJ327" s="565"/>
      <c r="AK327" s="565">
        <f>$G327*IF(ISNA((VLOOKUP($B327&amp;"; "&amp;$H$323&amp;", "&amp;H$324,'FE Fret'!$G:$U,12,FALSE)+VLOOKUP($B327&amp;"; "&amp;$H$323&amp;", "&amp;H$324,'FE Fret'!$G:$U,11,FALSE))),0,(VLOOKUP($B327&amp;"; "&amp;$H$323&amp;", "&amp;H$324,'FE Fret'!$G:$U,12,FALSE)+VLOOKUP($B327&amp;"; "&amp;$H$323&amp;", "&amp;H$324,'FE Fret'!$G:$U,11,FALSE)))
+$J327*IF(ISNA((VLOOKUP($B327&amp;"; "&amp;$K$323&amp;", "&amp;H$324,'FE Fret'!$G:$U,12,FALSE)+VLOOKUP($B327&amp;"; "&amp;$K$323&amp;", "&amp;H$324,'FE Fret'!$G:$U,11,FALSE))),0,(VLOOKUP($B327&amp;"; "&amp;$K$323&amp;", "&amp;H$324,'FE Fret'!$G:$U,12,FALSE)+VLOOKUP($B327&amp;"; "&amp;$K$323&amp;", "&amp;H$324,'FE Fret'!$G:$U,11,FALSE)))
+$M327*IF(ISNA((VLOOKUP($B327&amp;"; "&amp;$N$323&amp;", "&amp;H$324,'FE Fret'!$G:$U,12,FALSE)+VLOOKUP($B327&amp;"; "&amp;$N$323&amp;", "&amp;H$324,'FE Fret'!$G:$U,11,FALSE))),0,(VLOOKUP($B327&amp;"; "&amp;$N$323&amp;", "&amp;H$324,'FE Fret'!$G:$U,12,FALSE)+VLOOKUP($B327&amp;"; "&amp;$N$323&amp;", "&amp;H$324,'FE Fret'!$G:$U,11,FALSE)))
+$P327*IF(ISNA((VLOOKUP($B327&amp;"; "&amp;$Q$323&amp;", "&amp;H$324,'FE Fret'!$G:$U,12,FALSE)+VLOOKUP($B327&amp;"; "&amp;$Q$323&amp;", "&amp;H$324,'FE Fret'!$G:$U,11,FALSE))),0,(VLOOKUP($B327&amp;"; "&amp;$Q$323&amp;", "&amp;H$324,'FE Fret'!$G:$U,12,FALSE)+VLOOKUP($B327&amp;"; "&amp;$Q$323&amp;", "&amp;H$324,'FE Fret'!$G:$U,11,FALSE)))</f>
        <v>0</v>
      </c>
      <c r="AL327" s="565">
        <f>$G327*IF(ISNA((VLOOKUP($B327&amp;"; "&amp;$H$323&amp;", "&amp;I$324,'FE Fret'!$G:$U,12,FALSE)+VLOOKUP($B327&amp;"; "&amp;$H$323&amp;", "&amp;I$324,'FE Fret'!$G:$U,11,FALSE))),0,(VLOOKUP($B327&amp;"; "&amp;$H$323&amp;", "&amp;I$324,'FE Fret'!$G:$U,12,FALSE)+VLOOKUP($B327&amp;"; "&amp;$H$323&amp;", "&amp;I$324,'FE Fret'!$G:$U,11,FALSE)))
+$J327*IF(ISNA((VLOOKUP($B327&amp;"; "&amp;$K$323&amp;", "&amp;I$324,'FE Fret'!$G:$U,12,FALSE)+VLOOKUP($B327&amp;"; "&amp;$K$323&amp;", "&amp;I$324,'FE Fret'!$G:$U,11,FALSE))),0,(VLOOKUP($B327&amp;"; "&amp;$K$323&amp;", "&amp;I$324,'FE Fret'!$G:$U,12,FALSE)+VLOOKUP($B327&amp;"; "&amp;$K$323&amp;", "&amp;I$324,'FE Fret'!$G:$U,11,FALSE)))
+$M327*IF(ISNA((VLOOKUP($B327&amp;"; "&amp;$N$323&amp;", "&amp;I$324,'FE Fret'!$G:$U,12,FALSE)+VLOOKUP($B327&amp;"; "&amp;$N$323&amp;", "&amp;I$324,'FE Fret'!$G:$U,11,FALSE))),0,(VLOOKUP($B327&amp;"; "&amp;$N$323&amp;", "&amp;I$324,'FE Fret'!$G:$U,12,FALSE)+VLOOKUP($B327&amp;"; "&amp;$N$323&amp;", "&amp;I$324,'FE Fret'!$G:$U,11,FALSE)))
+$P327*IF(ISNA((VLOOKUP($B327&amp;"; "&amp;$Q$323&amp;", "&amp;I$324,'FE Fret'!$G:$U,12,FALSE)+VLOOKUP($B327&amp;"; "&amp;$Q$323&amp;", "&amp;I$324,'FE Fret'!$G:$U,11,FALSE))),0,(VLOOKUP($B327&amp;"; "&amp;$Q$323&amp;", "&amp;I$324,'FE Fret'!$G:$U,12,FALSE)+VLOOKUP($B327&amp;"; "&amp;$Q$323&amp;", "&amp;I$324,'FE Fret'!$G:$U,11,FALSE)))</f>
        <v>0</v>
      </c>
      <c r="AM327" s="565"/>
      <c r="AN327" s="565">
        <f>$G327*IF(ISNA(VLOOKUP($B327&amp;"; "&amp;$H$323&amp;", "&amp;H$324,'FE Fret'!$G:$U,13,FALSE)),0,VLOOKUP($B327&amp;"; "&amp;$H$323&amp;", "&amp;H$324,'FE Fret'!$G:$U,13,FALSE))
+$J327*IF(ISNA(VLOOKUP($B327&amp;"; "&amp;$K$323&amp;", "&amp;H$324,'FE Fret'!$G:$U,13,FALSE)),0,VLOOKUP($B327&amp;"; "&amp;$K$323&amp;", "&amp;H$324,'FE Fret'!$G:$U,13,FALSE))
+$M327*IF(ISNA(VLOOKUP($B327&amp;"; "&amp;$N$323&amp;", "&amp;H$324,'FE Fret'!$G:$U,13,FALSE)),0,VLOOKUP($B327&amp;"; "&amp;$N$323&amp;", "&amp;H$324,'FE Fret'!$G:$U,13,FALSE))
+$P327*IF(ISNA(VLOOKUP($B327&amp;"; "&amp;$Q$323&amp;", "&amp;H$324,'FE Fret'!$G:$U,13,FALSE)),0,VLOOKUP($B327&amp;"; "&amp;$Q$323&amp;", "&amp;H$324,'FE Fret'!$G:$U,13,FALSE))</f>
        <v>0</v>
      </c>
      <c r="AO327" s="565">
        <f>$G327*IF(ISNA(VLOOKUP($B327&amp;"; "&amp;$H$323&amp;", "&amp;I$324,'FE Fret'!$G:$U,13,FALSE)),0,VLOOKUP($B327&amp;"; "&amp;$H$323&amp;", "&amp;I$324,'FE Fret'!$G:$U,13,FALSE))
+$J327*IF(ISNA(VLOOKUP($B327&amp;"; "&amp;$K$323&amp;", "&amp;I$324,'FE Fret'!$G:$U,13,FALSE)),0,VLOOKUP($B327&amp;"; "&amp;$K$323&amp;", "&amp;I$324,'FE Fret'!$G:$U,13,FALSE))
+$M327*IF(ISNA(VLOOKUP($B327&amp;"; "&amp;$N$323&amp;", "&amp;I$324,'FE Fret'!$G:$U,13,FALSE)),0,VLOOKUP($B327&amp;"; "&amp;$N$323&amp;", "&amp;I$324,'FE Fret'!$G:$U,13,FALSE))
+$P327*IF(ISNA(VLOOKUP($B327&amp;"; "&amp;$Q$323&amp;", "&amp;I$324,'FE Fret'!$G:$U,13,FALSE)),0,VLOOKUP($B327&amp;"; "&amp;$Q$323&amp;", "&amp;I$324,'FE Fret'!$G:$U,13,FALSE))</f>
        <v>0</v>
      </c>
      <c r="AP327" s="565"/>
      <c r="AQ327" s="565">
        <v>0</v>
      </c>
      <c r="AR327" s="565">
        <v>0</v>
      </c>
      <c r="AS327" s="565"/>
      <c r="AT327" s="566">
        <f t="shared" si="119"/>
        <v>0</v>
      </c>
      <c r="AU327" s="566">
        <f t="shared" si="120"/>
        <v>0</v>
      </c>
      <c r="AV327" s="567"/>
      <c r="AW327" s="565">
        <f>$G327*IF(ISNA(VLOOKUP($B327&amp;"; "&amp;$H$323&amp;", "&amp;H$324,'FE Fret'!$G:$U,15,FALSE)),0,VLOOKUP($B327&amp;"; "&amp;$H$323&amp;", "&amp;H$324,'FE Fret'!$G:$U,15,FALSE))
+$J327*IF(ISNA(VLOOKUP($B327&amp;"; "&amp;$K$323&amp;", "&amp;H$324,'FE Fret'!$G:$U,15,FALSE)),0,VLOOKUP($B327&amp;"; "&amp;$K$323&amp;", "&amp;H$324,'FE Fret'!$G:$U,15,FALSE))
+$M327*IF(ISNA(VLOOKUP($B327&amp;"; "&amp;$N$323&amp;", "&amp;H$324,'FE Fret'!$G:$U,15,FALSE)),0,VLOOKUP($B327&amp;"; "&amp;$N$323&amp;", "&amp;H$324,'FE Fret'!$G:$U,15,FALSE))
+$P327*IF(ISNA(VLOOKUP($B327&amp;"; "&amp;$Q$323&amp;", "&amp;H$324,'FE Fret'!$G:$U,15,FALSE)),0,VLOOKUP($B327&amp;"; "&amp;$Q$323&amp;", "&amp;H$324,'FE Fret'!$G:$U,15,FALSE))</f>
        <v>0</v>
      </c>
      <c r="AX327" s="565">
        <f>$G327*IF(ISNA(VLOOKUP($B327&amp;"; "&amp;$H$323&amp;", "&amp;I$324,'FE Fret'!$G:$U,15,FALSE)),0,VLOOKUP($B327&amp;"; "&amp;$H$323&amp;", "&amp;I$324,'FE Fret'!$G:$U,15,FALSE))
+$J327*IF(ISNA(VLOOKUP($B327&amp;"; "&amp;$K$323&amp;", "&amp;I$324,'FE Fret'!$G:$U,15,FALSE)),0,VLOOKUP($B327&amp;"; "&amp;$K$323&amp;", "&amp;I$324,'FE Fret'!$G:$U,15,FALSE))
+$M327*IF(ISNA(VLOOKUP($B327&amp;"; "&amp;$N$323&amp;", "&amp;I$324,'FE Fret'!$G:$U,15,FALSE)),0,VLOOKUP($B327&amp;"; "&amp;$N$323&amp;", "&amp;I$324,'FE Fret'!$G:$U,15,FALSE))
+$P327*IF(ISNA(VLOOKUP($B327&amp;"; "&amp;$Q$323&amp;", "&amp;I$324,'FE Fret'!$G:$U,15,FALSE)),0,VLOOKUP($B327&amp;"; "&amp;$Q$323&amp;", "&amp;I$324,'FE Fret'!$G:$U,15,FALSE))</f>
        <v>0</v>
      </c>
      <c r="AY327" s="568"/>
      <c r="AZ327" s="565"/>
      <c r="BA327" s="565"/>
      <c r="BB327" s="565"/>
      <c r="BC327" s="565"/>
      <c r="BD327" s="565"/>
      <c r="BE327" s="565"/>
      <c r="BF327" s="565"/>
      <c r="BH327" s="1065">
        <f>IF($Y327&lt;&gt;"votre valeur :",IF(ISNA(VLOOKUP($Y327,Utilitaires!$N$566:$O$571,2,FALSE)),,VLOOKUP($Y327,Utilitaires!$N$566:$O$571,2,FALSE)),$Z327)</f>
        <v>0</v>
      </c>
      <c r="BI327" s="1124">
        <f>IF(ISNA(SQRT(SUMSQ(VLOOKUP($B327&amp;"; "&amp;$H$15&amp;", "&amp;H$16,'FE Fret'!$G:$U,7,FALSE),$BH327))),0,SQRT(SUMSQ(VLOOKUP($B327&amp;"; "&amp;$H$15&amp;", "&amp;$H$16,'FE Fret'!$G:$U,7,FALSE),$BH327)))</f>
        <v>0</v>
      </c>
      <c r="BJ327" s="1068">
        <f>IF(ISNA(SQRT(SUMSQ(VLOOKUP($B327&amp;"; "&amp;$K$15&amp;", "&amp;$K$16,'FE Fret'!$G:$U,7,FALSE),$BH327))),0,SQRT(SUMSQ(VLOOKUP($B327&amp;"; "&amp;$K$15&amp;", "&amp;$K$16,'FE Fret'!$G:$U,7,FALSE),$BH327)))</f>
        <v>0</v>
      </c>
      <c r="BK327" s="1068">
        <f>IF(ISNA(SQRT(SUMSQ(VLOOKUP($B327&amp;"; "&amp;$N$15&amp;", "&amp;$N$16,'FE Fret'!$G:$U,7,FALSE),$BH327))),0,SQRT(SUMSQ(VLOOKUP($B327&amp;"; "&amp;$N$15&amp;", "&amp;$N$16,'FE Fret'!$G:$U,7,FALSE),$BH327)))</f>
        <v>0</v>
      </c>
      <c r="BL327" s="1068">
        <f>IF(ISNA(SQRT(SUMSQ(VLOOKUP($B327&amp;"; "&amp;$Q$15&amp;", "&amp;$Q$16,'FE Fret'!$G:$U,7,FALSE),$BH327))),0,SQRT(SUMSQ(VLOOKUP($B327&amp;"; "&amp;$Q$15&amp;", "&amp;$Q$16,'FE Fret'!$G:$U,7,FALSE),$BH327)))</f>
        <v>0</v>
      </c>
      <c r="BM327" s="1124">
        <f>IF(ISNA(SQRT(SUMSQ(VLOOKUP($B327&amp;"; "&amp;$H$15&amp;", "&amp;I$16,'FE Fret'!$G:$U,7,FALSE),$BH327))),0,SQRT(SUMSQ(VLOOKUP($B327&amp;"; "&amp;$H$15&amp;", "&amp;$I$16,'FE Fret'!$G:$U,7,FALSE),$BH327)))</f>
        <v>0</v>
      </c>
      <c r="BN327" s="1068">
        <f>IF(ISNA(SQRT(SUMSQ(VLOOKUP($B327&amp;"; "&amp;$K$15&amp;", "&amp;$L$16,'FE Fret'!$G:$U,7,FALSE),$BH327))),0,SQRT(SUMSQ(VLOOKUP($B327&amp;"; "&amp;$K$15&amp;", "&amp;$L$16,'FE Fret'!$G:$U,7,FALSE),$BH327)))</f>
        <v>0</v>
      </c>
      <c r="BO327" s="1068">
        <f>IF(ISNA(SQRT(SUMSQ(VLOOKUP($B327&amp;"; "&amp;$N$15&amp;", "&amp;$O$16,'FE Fret'!$G:$U,7,FALSE),$BH327))),0,SQRT(SUMSQ(VLOOKUP($B327&amp;"; "&amp;$N$15&amp;", "&amp;$O$16,'FE Fret'!$G:$U,7,FALSE),$BH327)))</f>
        <v>0</v>
      </c>
      <c r="BP327" s="1125">
        <f>IF(ISNA(SQRT(SUMSQ(VLOOKUP($B327&amp;"; "&amp;$Q$15&amp;", "&amp;$R$16,'FE Fret'!$G:$U,7,FALSE),$BH327))),0,SQRT(SUMSQ(VLOOKUP($B327&amp;"; "&amp;$Q$15&amp;", "&amp;$R$16,'FE Fret'!$G:$U,7,FALSE),$BH327)))</f>
        <v>0</v>
      </c>
    </row>
    <row r="328" spans="2:68" hidden="1" outlineLevel="2">
      <c r="B328" s="143" t="s">
        <v>2329</v>
      </c>
      <c r="C328" s="144"/>
      <c r="D328" s="212">
        <f t="shared" si="112"/>
        <v>0</v>
      </c>
      <c r="E328" s="212"/>
      <c r="F328" s="120"/>
      <c r="G328" s="120"/>
      <c r="H328" s="335" t="e">
        <f>VLOOKUP($B328&amp;"; "&amp;$H$323&amp;", "&amp;H$324,'FE Fret'!$G:$U,9,FALSE)</f>
        <v>#N/A</v>
      </c>
      <c r="I328" s="335" t="e">
        <f>VLOOKUP($B328&amp;"; "&amp;$H$323&amp;", "&amp;I$324,'FE Fret'!$G:$U,9,FALSE)</f>
        <v>#N/A</v>
      </c>
      <c r="J328" s="120"/>
      <c r="K328" s="335" t="e">
        <f>VLOOKUP($B328&amp;"; "&amp;$K$323&amp;", "&amp;K$324,'FE Fret'!$G:$U,9,FALSE)</f>
        <v>#N/A</v>
      </c>
      <c r="L328" s="335" t="e">
        <f>VLOOKUP($B328&amp;"; "&amp;$K$323&amp;", "&amp;L$324,'FE Fret'!$G:$U,9,FALSE)</f>
        <v>#N/A</v>
      </c>
      <c r="M328" s="120"/>
      <c r="N328" s="335" t="e">
        <f>VLOOKUP($B328&amp;"; "&amp;$N$323&amp;", "&amp;N$324,'FE Fret'!$G:$U,9,FALSE)</f>
        <v>#N/A</v>
      </c>
      <c r="O328" s="335" t="e">
        <f>VLOOKUP($B328&amp;"; "&amp;$N$323&amp;", "&amp;O$324,'FE Fret'!$G:$U,9,FALSE)</f>
        <v>#N/A</v>
      </c>
      <c r="P328" s="120"/>
      <c r="Q328" s="335" t="e">
        <f>VLOOKUP($B328&amp;"; "&amp;$Q$323&amp;", "&amp;Q$324,'FE Fret'!$G:$U,9,FALSE)</f>
        <v>#N/A</v>
      </c>
      <c r="R328" s="335" t="e">
        <f>VLOOKUP($B328&amp;"; "&amp;$Q$323&amp;", "&amp;R$324,'FE Fret'!$G:$U,9,FALSE)</f>
        <v>#N/A</v>
      </c>
      <c r="S328" s="356">
        <f t="shared" si="113"/>
        <v>0</v>
      </c>
      <c r="T328" s="356">
        <f t="shared" si="113"/>
        <v>0</v>
      </c>
      <c r="U328" s="1286">
        <f>IF(OR(F328=Utilitaires!$I$572,F328=Utilitaires!$I$577),T328,0)</f>
        <v>0</v>
      </c>
      <c r="X328" s="1092">
        <f t="shared" si="114"/>
        <v>0</v>
      </c>
      <c r="Y328" s="343"/>
      <c r="Z328" s="820"/>
      <c r="AA328" s="164">
        <f t="shared" si="115"/>
        <v>0</v>
      </c>
      <c r="AB328" s="164">
        <f t="shared" si="116"/>
        <v>0</v>
      </c>
      <c r="AC328" s="164"/>
      <c r="AD328" s="151"/>
      <c r="AE328" s="151">
        <f t="shared" si="117"/>
        <v>0</v>
      </c>
      <c r="AF328" s="1286">
        <f t="shared" si="118"/>
        <v>0</v>
      </c>
      <c r="AG328" s="116"/>
      <c r="AH328" s="564">
        <f>$G328*IF(ISNA(VLOOKUP($B328&amp;"; "&amp;$H$323&amp;", "&amp;H$324,'FE Fret'!$G:$U,10,FALSE)),0,VLOOKUP($B328&amp;"; "&amp;$H$323&amp;", "&amp;H$324,'FE Fret'!$G:$U,10,FALSE))
+$J328*IF(ISNA(VLOOKUP($B328&amp;"; "&amp;$K$323&amp;", "&amp;H$324,'FE Fret'!$G:$U,10,FALSE)),0,VLOOKUP($B328&amp;"; "&amp;$K$323&amp;", "&amp;H$324,'FE Fret'!$G:$U,10,FALSE))
+$M328*IF(ISNA(VLOOKUP($B328&amp;"; "&amp;$N$323&amp;", "&amp;H$324,'FE Fret'!$G:$U,10,FALSE)),0,VLOOKUP($B328&amp;"; "&amp;$N$323&amp;", "&amp;H$324,'FE Fret'!$G:$U,10,FALSE))
+$P328*IF(ISNA(VLOOKUP($B328&amp;"; "&amp;$Q$323&amp;", "&amp;H$324,'FE Fret'!$G:$U,10,FALSE)),0,VLOOKUP($B328&amp;"; "&amp;$Q$323&amp;", "&amp;H$324,'FE Fret'!$G:$U,10,FALSE))</f>
        <v>0</v>
      </c>
      <c r="AI328" s="565">
        <f>$G328*IF(ISNA(VLOOKUP($B328&amp;"; "&amp;$H$323&amp;", "&amp;I$324,'FE Fret'!$G:$U,10,FALSE)),0,VLOOKUP($B328&amp;"; "&amp;$H$323&amp;", "&amp;I$324,'FE Fret'!$G:$U,10,FALSE))
+$J328*IF(ISNA(VLOOKUP($B328&amp;"; "&amp;$K$323&amp;", "&amp;I$324,'FE Fret'!$G:$U,10,FALSE)),0,VLOOKUP($B328&amp;"; "&amp;$K$323&amp;", "&amp;I$324,'FE Fret'!$G:$U,10,FALSE))
+$M328*IF(ISNA(VLOOKUP($B328&amp;"; "&amp;$N$323&amp;", "&amp;I$324,'FE Fret'!$G:$U,10,FALSE)),0,VLOOKUP($B328&amp;"; "&amp;$N$323&amp;", "&amp;I$324,'FE Fret'!$G:$U,10,FALSE))
+$P328*IF(ISNA(VLOOKUP($B328&amp;"; "&amp;$Q$323&amp;", "&amp;I$324,'FE Fret'!$G:$U,10,FALSE)),0,VLOOKUP($B328&amp;"; "&amp;$Q$323&amp;", "&amp;I$324,'FE Fret'!$G:$U,10,FALSE))</f>
        <v>0</v>
      </c>
      <c r="AJ328" s="565"/>
      <c r="AK328" s="565">
        <f>$G328*IF(ISNA((VLOOKUP($B328&amp;"; "&amp;$H$323&amp;", "&amp;H$324,'FE Fret'!$G:$U,12,FALSE)+VLOOKUP($B328&amp;"; "&amp;$H$323&amp;", "&amp;H$324,'FE Fret'!$G:$U,11,FALSE))),0,(VLOOKUP($B328&amp;"; "&amp;$H$323&amp;", "&amp;H$324,'FE Fret'!$G:$U,12,FALSE)+VLOOKUP($B328&amp;"; "&amp;$H$323&amp;", "&amp;H$324,'FE Fret'!$G:$U,11,FALSE)))
+$J328*IF(ISNA((VLOOKUP($B328&amp;"; "&amp;$K$323&amp;", "&amp;H$324,'FE Fret'!$G:$U,12,FALSE)+VLOOKUP($B328&amp;"; "&amp;$K$323&amp;", "&amp;H$324,'FE Fret'!$G:$U,11,FALSE))),0,(VLOOKUP($B328&amp;"; "&amp;$K$323&amp;", "&amp;H$324,'FE Fret'!$G:$U,12,FALSE)+VLOOKUP($B328&amp;"; "&amp;$K$323&amp;", "&amp;H$324,'FE Fret'!$G:$U,11,FALSE)))
+$M328*IF(ISNA((VLOOKUP($B328&amp;"; "&amp;$N$323&amp;", "&amp;H$324,'FE Fret'!$G:$U,12,FALSE)+VLOOKUP($B328&amp;"; "&amp;$N$323&amp;", "&amp;H$324,'FE Fret'!$G:$U,11,FALSE))),0,(VLOOKUP($B328&amp;"; "&amp;$N$323&amp;", "&amp;H$324,'FE Fret'!$G:$U,12,FALSE)+VLOOKUP($B328&amp;"; "&amp;$N$323&amp;", "&amp;H$324,'FE Fret'!$G:$U,11,FALSE)))
+$P328*IF(ISNA((VLOOKUP($B328&amp;"; "&amp;$Q$323&amp;", "&amp;H$324,'FE Fret'!$G:$U,12,FALSE)+VLOOKUP($B328&amp;"; "&amp;$Q$323&amp;", "&amp;H$324,'FE Fret'!$G:$U,11,FALSE))),0,(VLOOKUP($B328&amp;"; "&amp;$Q$323&amp;", "&amp;H$324,'FE Fret'!$G:$U,12,FALSE)+VLOOKUP($B328&amp;"; "&amp;$Q$323&amp;", "&amp;H$324,'FE Fret'!$G:$U,11,FALSE)))</f>
        <v>0</v>
      </c>
      <c r="AL328" s="565">
        <f>$G328*IF(ISNA((VLOOKUP($B328&amp;"; "&amp;$H$323&amp;", "&amp;I$324,'FE Fret'!$G:$U,12,FALSE)+VLOOKUP($B328&amp;"; "&amp;$H$323&amp;", "&amp;I$324,'FE Fret'!$G:$U,11,FALSE))),0,(VLOOKUP($B328&amp;"; "&amp;$H$323&amp;", "&amp;I$324,'FE Fret'!$G:$U,12,FALSE)+VLOOKUP($B328&amp;"; "&amp;$H$323&amp;", "&amp;I$324,'FE Fret'!$G:$U,11,FALSE)))
+$J328*IF(ISNA((VLOOKUP($B328&amp;"; "&amp;$K$323&amp;", "&amp;I$324,'FE Fret'!$G:$U,12,FALSE)+VLOOKUP($B328&amp;"; "&amp;$K$323&amp;", "&amp;I$324,'FE Fret'!$G:$U,11,FALSE))),0,(VLOOKUP($B328&amp;"; "&amp;$K$323&amp;", "&amp;I$324,'FE Fret'!$G:$U,12,FALSE)+VLOOKUP($B328&amp;"; "&amp;$K$323&amp;", "&amp;I$324,'FE Fret'!$G:$U,11,FALSE)))
+$M328*IF(ISNA((VLOOKUP($B328&amp;"; "&amp;$N$323&amp;", "&amp;I$324,'FE Fret'!$G:$U,12,FALSE)+VLOOKUP($B328&amp;"; "&amp;$N$323&amp;", "&amp;I$324,'FE Fret'!$G:$U,11,FALSE))),0,(VLOOKUP($B328&amp;"; "&amp;$N$323&amp;", "&amp;I$324,'FE Fret'!$G:$U,12,FALSE)+VLOOKUP($B328&amp;"; "&amp;$N$323&amp;", "&amp;I$324,'FE Fret'!$G:$U,11,FALSE)))
+$P328*IF(ISNA((VLOOKUP($B328&amp;"; "&amp;$Q$323&amp;", "&amp;I$324,'FE Fret'!$G:$U,12,FALSE)+VLOOKUP($B328&amp;"; "&amp;$Q$323&amp;", "&amp;I$324,'FE Fret'!$G:$U,11,FALSE))),0,(VLOOKUP($B328&amp;"; "&amp;$Q$323&amp;", "&amp;I$324,'FE Fret'!$G:$U,12,FALSE)+VLOOKUP($B328&amp;"; "&amp;$Q$323&amp;", "&amp;I$324,'FE Fret'!$G:$U,11,FALSE)))</f>
        <v>0</v>
      </c>
      <c r="AM328" s="565"/>
      <c r="AN328" s="565">
        <f>$G328*IF(ISNA(VLOOKUP($B328&amp;"; "&amp;$H$323&amp;", "&amp;H$324,'FE Fret'!$G:$U,13,FALSE)),0,VLOOKUP($B328&amp;"; "&amp;$H$323&amp;", "&amp;H$324,'FE Fret'!$G:$U,13,FALSE))
+$J328*IF(ISNA(VLOOKUP($B328&amp;"; "&amp;$K$323&amp;", "&amp;H$324,'FE Fret'!$G:$U,13,FALSE)),0,VLOOKUP($B328&amp;"; "&amp;$K$323&amp;", "&amp;H$324,'FE Fret'!$G:$U,13,FALSE))
+$M328*IF(ISNA(VLOOKUP($B328&amp;"; "&amp;$N$323&amp;", "&amp;H$324,'FE Fret'!$G:$U,13,FALSE)),0,VLOOKUP($B328&amp;"; "&amp;$N$323&amp;", "&amp;H$324,'FE Fret'!$G:$U,13,FALSE))
+$P328*IF(ISNA(VLOOKUP($B328&amp;"; "&amp;$Q$323&amp;", "&amp;H$324,'FE Fret'!$G:$U,13,FALSE)),0,VLOOKUP($B328&amp;"; "&amp;$Q$323&amp;", "&amp;H$324,'FE Fret'!$G:$U,13,FALSE))</f>
        <v>0</v>
      </c>
      <c r="AO328" s="565">
        <f>$G328*IF(ISNA(VLOOKUP($B328&amp;"; "&amp;$H$323&amp;", "&amp;I$324,'FE Fret'!$G:$U,13,FALSE)),0,VLOOKUP($B328&amp;"; "&amp;$H$323&amp;", "&amp;I$324,'FE Fret'!$G:$U,13,FALSE))
+$J328*IF(ISNA(VLOOKUP($B328&amp;"; "&amp;$K$323&amp;", "&amp;I$324,'FE Fret'!$G:$U,13,FALSE)),0,VLOOKUP($B328&amp;"; "&amp;$K$323&amp;", "&amp;I$324,'FE Fret'!$G:$U,13,FALSE))
+$M328*IF(ISNA(VLOOKUP($B328&amp;"; "&amp;$N$323&amp;", "&amp;I$324,'FE Fret'!$G:$U,13,FALSE)),0,VLOOKUP($B328&amp;"; "&amp;$N$323&amp;", "&amp;I$324,'FE Fret'!$G:$U,13,FALSE))
+$P328*IF(ISNA(VLOOKUP($B328&amp;"; "&amp;$Q$323&amp;", "&amp;I$324,'FE Fret'!$G:$U,13,FALSE)),0,VLOOKUP($B328&amp;"; "&amp;$Q$323&amp;", "&amp;I$324,'FE Fret'!$G:$U,13,FALSE))</f>
        <v>0</v>
      </c>
      <c r="AP328" s="565"/>
      <c r="AQ328" s="565">
        <v>0</v>
      </c>
      <c r="AR328" s="565">
        <v>0</v>
      </c>
      <c r="AS328" s="565"/>
      <c r="AT328" s="566">
        <f t="shared" si="119"/>
        <v>0</v>
      </c>
      <c r="AU328" s="566">
        <f t="shared" si="120"/>
        <v>0</v>
      </c>
      <c r="AV328" s="567"/>
      <c r="AW328" s="565">
        <f>$G328*IF(ISNA(VLOOKUP($B328&amp;"; "&amp;$H$323&amp;", "&amp;H$324,'FE Fret'!$G:$U,15,FALSE)),0,VLOOKUP($B328&amp;"; "&amp;$H$323&amp;", "&amp;H$324,'FE Fret'!$G:$U,15,FALSE))
+$J328*IF(ISNA(VLOOKUP($B328&amp;"; "&amp;$K$323&amp;", "&amp;H$324,'FE Fret'!$G:$U,15,FALSE)),0,VLOOKUP($B328&amp;"; "&amp;$K$323&amp;", "&amp;H$324,'FE Fret'!$G:$U,15,FALSE))
+$M328*IF(ISNA(VLOOKUP($B328&amp;"; "&amp;$N$323&amp;", "&amp;H$324,'FE Fret'!$G:$U,15,FALSE)),0,VLOOKUP($B328&amp;"; "&amp;$N$323&amp;", "&amp;H$324,'FE Fret'!$G:$U,15,FALSE))
+$P328*IF(ISNA(VLOOKUP($B328&amp;"; "&amp;$Q$323&amp;", "&amp;H$324,'FE Fret'!$G:$U,15,FALSE)),0,VLOOKUP($B328&amp;"; "&amp;$Q$323&amp;", "&amp;H$324,'FE Fret'!$G:$U,15,FALSE))</f>
        <v>0</v>
      </c>
      <c r="AX328" s="565">
        <f>$G328*IF(ISNA(VLOOKUP($B328&amp;"; "&amp;$H$323&amp;", "&amp;I$324,'FE Fret'!$G:$U,15,FALSE)),0,VLOOKUP($B328&amp;"; "&amp;$H$323&amp;", "&amp;I$324,'FE Fret'!$G:$U,15,FALSE))
+$J328*IF(ISNA(VLOOKUP($B328&amp;"; "&amp;$K$323&amp;", "&amp;I$324,'FE Fret'!$G:$U,15,FALSE)),0,VLOOKUP($B328&amp;"; "&amp;$K$323&amp;", "&amp;I$324,'FE Fret'!$G:$U,15,FALSE))
+$M328*IF(ISNA(VLOOKUP($B328&amp;"; "&amp;$N$323&amp;", "&amp;I$324,'FE Fret'!$G:$U,15,FALSE)),0,VLOOKUP($B328&amp;"; "&amp;$N$323&amp;", "&amp;I$324,'FE Fret'!$G:$U,15,FALSE))
+$P328*IF(ISNA(VLOOKUP($B328&amp;"; "&amp;$Q$323&amp;", "&amp;I$324,'FE Fret'!$G:$U,15,FALSE)),0,VLOOKUP($B328&amp;"; "&amp;$Q$323&amp;", "&amp;I$324,'FE Fret'!$G:$U,15,FALSE))</f>
        <v>0</v>
      </c>
      <c r="AY328" s="568"/>
      <c r="AZ328" s="565"/>
      <c r="BA328" s="565"/>
      <c r="BB328" s="565"/>
      <c r="BC328" s="565"/>
      <c r="BD328" s="565"/>
      <c r="BE328" s="565"/>
      <c r="BF328" s="565"/>
      <c r="BH328" s="1065">
        <f>IF($Y328&lt;&gt;"votre valeur :",IF(ISNA(VLOOKUP($Y328,Utilitaires!$N$566:$O$571,2,FALSE)),,VLOOKUP($Y328,Utilitaires!$N$566:$O$571,2,FALSE)),$Z328)</f>
        <v>0</v>
      </c>
      <c r="BI328" s="1124">
        <f>IF(ISNA(SQRT(SUMSQ(VLOOKUP($B328&amp;"; "&amp;$H$15&amp;", "&amp;H$16,'FE Fret'!$G:$U,7,FALSE),$BH328))),0,SQRT(SUMSQ(VLOOKUP($B328&amp;"; "&amp;$H$15&amp;", "&amp;$H$16,'FE Fret'!$G:$U,7,FALSE),$BH328)))</f>
        <v>0</v>
      </c>
      <c r="BJ328" s="1068">
        <f>IF(ISNA(SQRT(SUMSQ(VLOOKUP($B328&amp;"; "&amp;$K$15&amp;", "&amp;$K$16,'FE Fret'!$G:$U,7,FALSE),$BH328))),0,SQRT(SUMSQ(VLOOKUP($B328&amp;"; "&amp;$K$15&amp;", "&amp;$K$16,'FE Fret'!$G:$U,7,FALSE),$BH328)))</f>
        <v>0</v>
      </c>
      <c r="BK328" s="1068">
        <f>IF(ISNA(SQRT(SUMSQ(VLOOKUP($B328&amp;"; "&amp;$N$15&amp;", "&amp;$N$16,'FE Fret'!$G:$U,7,FALSE),$BH328))),0,SQRT(SUMSQ(VLOOKUP($B328&amp;"; "&amp;$N$15&amp;", "&amp;$N$16,'FE Fret'!$G:$U,7,FALSE),$BH328)))</f>
        <v>0</v>
      </c>
      <c r="BL328" s="1068">
        <f>IF(ISNA(SQRT(SUMSQ(VLOOKUP($B328&amp;"; "&amp;$Q$15&amp;", "&amp;$Q$16,'FE Fret'!$G:$U,7,FALSE),$BH328))),0,SQRT(SUMSQ(VLOOKUP($B328&amp;"; "&amp;$Q$15&amp;", "&amp;$Q$16,'FE Fret'!$G:$U,7,FALSE),$BH328)))</f>
        <v>0</v>
      </c>
      <c r="BM328" s="1124">
        <f>IF(ISNA(SQRT(SUMSQ(VLOOKUP($B328&amp;"; "&amp;$H$15&amp;", "&amp;I$16,'FE Fret'!$G:$U,7,FALSE),$BH328))),0,SQRT(SUMSQ(VLOOKUP($B328&amp;"; "&amp;$H$15&amp;", "&amp;$I$16,'FE Fret'!$G:$U,7,FALSE),$BH328)))</f>
        <v>0</v>
      </c>
      <c r="BN328" s="1068">
        <f>IF(ISNA(SQRT(SUMSQ(VLOOKUP($B328&amp;"; "&amp;$K$15&amp;", "&amp;$L$16,'FE Fret'!$G:$U,7,FALSE),$BH328))),0,SQRT(SUMSQ(VLOOKUP($B328&amp;"; "&amp;$K$15&amp;", "&amp;$L$16,'FE Fret'!$G:$U,7,FALSE),$BH328)))</f>
        <v>0</v>
      </c>
      <c r="BO328" s="1068">
        <f>IF(ISNA(SQRT(SUMSQ(VLOOKUP($B328&amp;"; "&amp;$N$15&amp;", "&amp;$O$16,'FE Fret'!$G:$U,7,FALSE),$BH328))),0,SQRT(SUMSQ(VLOOKUP($B328&amp;"; "&amp;$N$15&amp;", "&amp;$O$16,'FE Fret'!$G:$U,7,FALSE),$BH328)))</f>
        <v>0</v>
      </c>
      <c r="BP328" s="1125">
        <f>IF(ISNA(SQRT(SUMSQ(VLOOKUP($B328&amp;"; "&amp;$Q$15&amp;", "&amp;$R$16,'FE Fret'!$G:$U,7,FALSE),$BH328))),0,SQRT(SUMSQ(VLOOKUP($B328&amp;"; "&amp;$Q$15&amp;", "&amp;$R$16,'FE Fret'!$G:$U,7,FALSE),$BH328)))</f>
        <v>0</v>
      </c>
    </row>
    <row r="329" spans="2:68" hidden="1" outlineLevel="2">
      <c r="B329" s="143" t="s">
        <v>1663</v>
      </c>
      <c r="C329" s="144"/>
      <c r="D329" s="212">
        <f t="shared" si="112"/>
        <v>0</v>
      </c>
      <c r="E329" s="212"/>
      <c r="F329" s="120"/>
      <c r="G329" s="120"/>
      <c r="H329" s="335" t="e">
        <f>VLOOKUP($B329&amp;"; "&amp;$H$323&amp;", "&amp;H$324,'FE Fret'!$G:$U,9,FALSE)</f>
        <v>#N/A</v>
      </c>
      <c r="I329" s="335" t="e">
        <f>VLOOKUP($B329&amp;"; "&amp;$H$323&amp;", "&amp;I$324,'FE Fret'!$G:$U,9,FALSE)</f>
        <v>#N/A</v>
      </c>
      <c r="J329" s="120"/>
      <c r="K329" s="335" t="e">
        <f>VLOOKUP($B329&amp;"; "&amp;$K$323&amp;", "&amp;K$324,'FE Fret'!$G:$U,9,FALSE)</f>
        <v>#N/A</v>
      </c>
      <c r="L329" s="335" t="e">
        <f>VLOOKUP($B329&amp;"; "&amp;$K$323&amp;", "&amp;L$324,'FE Fret'!$G:$U,9,FALSE)</f>
        <v>#N/A</v>
      </c>
      <c r="M329" s="120"/>
      <c r="N329" s="335" t="e">
        <f>VLOOKUP($B329&amp;"; "&amp;$N$323&amp;", "&amp;N$324,'FE Fret'!$G:$U,9,FALSE)</f>
        <v>#N/A</v>
      </c>
      <c r="O329" s="335" t="e">
        <f>VLOOKUP($B329&amp;"; "&amp;$N$323&amp;", "&amp;O$324,'FE Fret'!$G:$U,9,FALSE)</f>
        <v>#N/A</v>
      </c>
      <c r="P329" s="120"/>
      <c r="Q329" s="335" t="e">
        <f>VLOOKUP($B329&amp;"; "&amp;$Q$323&amp;", "&amp;Q$324,'FE Fret'!$G:$U,9,FALSE)</f>
        <v>#N/A</v>
      </c>
      <c r="R329" s="335" t="e">
        <f>VLOOKUP($B329&amp;"; "&amp;$Q$323&amp;", "&amp;R$324,'FE Fret'!$G:$U,9,FALSE)</f>
        <v>#N/A</v>
      </c>
      <c r="S329" s="356">
        <f t="shared" si="113"/>
        <v>0</v>
      </c>
      <c r="T329" s="356">
        <f t="shared" si="113"/>
        <v>0</v>
      </c>
      <c r="U329" s="1286">
        <f>IF(OR(F329=Utilitaires!$I$572,F329=Utilitaires!$I$577),T329,0)</f>
        <v>0</v>
      </c>
      <c r="X329" s="1092">
        <f t="shared" si="114"/>
        <v>0</v>
      </c>
      <c r="Y329" s="343"/>
      <c r="Z329" s="820"/>
      <c r="AA329" s="164">
        <f t="shared" si="115"/>
        <v>0</v>
      </c>
      <c r="AB329" s="164">
        <f t="shared" si="116"/>
        <v>0</v>
      </c>
      <c r="AC329" s="164"/>
      <c r="AD329" s="151"/>
      <c r="AE329" s="151">
        <f t="shared" si="117"/>
        <v>0</v>
      </c>
      <c r="AF329" s="1286">
        <f t="shared" si="118"/>
        <v>0</v>
      </c>
      <c r="AG329" s="116"/>
      <c r="AH329" s="564">
        <f>$G329*IF(ISNA(VLOOKUP($B329&amp;"; "&amp;$H$323&amp;", "&amp;H$324,'FE Fret'!$G:$U,10,FALSE)),0,VLOOKUP($B329&amp;"; "&amp;$H$323&amp;", "&amp;H$324,'FE Fret'!$G:$U,10,FALSE))
+$J329*IF(ISNA(VLOOKUP($B329&amp;"; "&amp;$K$323&amp;", "&amp;H$324,'FE Fret'!$G:$U,10,FALSE)),0,VLOOKUP($B329&amp;"; "&amp;$K$323&amp;", "&amp;H$324,'FE Fret'!$G:$U,10,FALSE))
+$M329*IF(ISNA(VLOOKUP($B329&amp;"; "&amp;$N$323&amp;", "&amp;H$324,'FE Fret'!$G:$U,10,FALSE)),0,VLOOKUP($B329&amp;"; "&amp;$N$323&amp;", "&amp;H$324,'FE Fret'!$G:$U,10,FALSE))
+$P329*IF(ISNA(VLOOKUP($B329&amp;"; "&amp;$Q$323&amp;", "&amp;H$324,'FE Fret'!$G:$U,10,FALSE)),0,VLOOKUP($B329&amp;"; "&amp;$Q$323&amp;", "&amp;H$324,'FE Fret'!$G:$U,10,FALSE))</f>
        <v>0</v>
      </c>
      <c r="AI329" s="565">
        <f>$G329*IF(ISNA(VLOOKUP($B329&amp;"; "&amp;$H$323&amp;", "&amp;I$324,'FE Fret'!$G:$U,10,FALSE)),0,VLOOKUP($B329&amp;"; "&amp;$H$323&amp;", "&amp;I$324,'FE Fret'!$G:$U,10,FALSE))
+$J329*IF(ISNA(VLOOKUP($B329&amp;"; "&amp;$K$323&amp;", "&amp;I$324,'FE Fret'!$G:$U,10,FALSE)),0,VLOOKUP($B329&amp;"; "&amp;$K$323&amp;", "&amp;I$324,'FE Fret'!$G:$U,10,FALSE))
+$M329*IF(ISNA(VLOOKUP($B329&amp;"; "&amp;$N$323&amp;", "&amp;I$324,'FE Fret'!$G:$U,10,FALSE)),0,VLOOKUP($B329&amp;"; "&amp;$N$323&amp;", "&amp;I$324,'FE Fret'!$G:$U,10,FALSE))
+$P329*IF(ISNA(VLOOKUP($B329&amp;"; "&amp;$Q$323&amp;", "&amp;I$324,'FE Fret'!$G:$U,10,FALSE)),0,VLOOKUP($B329&amp;"; "&amp;$Q$323&amp;", "&amp;I$324,'FE Fret'!$G:$U,10,FALSE))</f>
        <v>0</v>
      </c>
      <c r="AJ329" s="565"/>
      <c r="AK329" s="565">
        <f>$G329*IF(ISNA((VLOOKUP($B329&amp;"; "&amp;$H$323&amp;", "&amp;H$324,'FE Fret'!$G:$U,12,FALSE)+VLOOKUP($B329&amp;"; "&amp;$H$323&amp;", "&amp;H$324,'FE Fret'!$G:$U,11,FALSE))),0,(VLOOKUP($B329&amp;"; "&amp;$H$323&amp;", "&amp;H$324,'FE Fret'!$G:$U,12,FALSE)+VLOOKUP($B329&amp;"; "&amp;$H$323&amp;", "&amp;H$324,'FE Fret'!$G:$U,11,FALSE)))
+$J329*IF(ISNA((VLOOKUP($B329&amp;"; "&amp;$K$323&amp;", "&amp;H$324,'FE Fret'!$G:$U,12,FALSE)+VLOOKUP($B329&amp;"; "&amp;$K$323&amp;", "&amp;H$324,'FE Fret'!$G:$U,11,FALSE))),0,(VLOOKUP($B329&amp;"; "&amp;$K$323&amp;", "&amp;H$324,'FE Fret'!$G:$U,12,FALSE)+VLOOKUP($B329&amp;"; "&amp;$K$323&amp;", "&amp;H$324,'FE Fret'!$G:$U,11,FALSE)))
+$M329*IF(ISNA((VLOOKUP($B329&amp;"; "&amp;$N$323&amp;", "&amp;H$324,'FE Fret'!$G:$U,12,FALSE)+VLOOKUP($B329&amp;"; "&amp;$N$323&amp;", "&amp;H$324,'FE Fret'!$G:$U,11,FALSE))),0,(VLOOKUP($B329&amp;"; "&amp;$N$323&amp;", "&amp;H$324,'FE Fret'!$G:$U,12,FALSE)+VLOOKUP($B329&amp;"; "&amp;$N$323&amp;", "&amp;H$324,'FE Fret'!$G:$U,11,FALSE)))
+$P329*IF(ISNA((VLOOKUP($B329&amp;"; "&amp;$Q$323&amp;", "&amp;H$324,'FE Fret'!$G:$U,12,FALSE)+VLOOKUP($B329&amp;"; "&amp;$Q$323&amp;", "&amp;H$324,'FE Fret'!$G:$U,11,FALSE))),0,(VLOOKUP($B329&amp;"; "&amp;$Q$323&amp;", "&amp;H$324,'FE Fret'!$G:$U,12,FALSE)+VLOOKUP($B329&amp;"; "&amp;$Q$323&amp;", "&amp;H$324,'FE Fret'!$G:$U,11,FALSE)))</f>
        <v>0</v>
      </c>
      <c r="AL329" s="565">
        <f>$G329*IF(ISNA((VLOOKUP($B329&amp;"; "&amp;$H$323&amp;", "&amp;I$324,'FE Fret'!$G:$U,12,FALSE)+VLOOKUP($B329&amp;"; "&amp;$H$323&amp;", "&amp;I$324,'FE Fret'!$G:$U,11,FALSE))),0,(VLOOKUP($B329&amp;"; "&amp;$H$323&amp;", "&amp;I$324,'FE Fret'!$G:$U,12,FALSE)+VLOOKUP($B329&amp;"; "&amp;$H$323&amp;", "&amp;I$324,'FE Fret'!$G:$U,11,FALSE)))
+$J329*IF(ISNA((VLOOKUP($B329&amp;"; "&amp;$K$323&amp;", "&amp;I$324,'FE Fret'!$G:$U,12,FALSE)+VLOOKUP($B329&amp;"; "&amp;$K$323&amp;", "&amp;I$324,'FE Fret'!$G:$U,11,FALSE))),0,(VLOOKUP($B329&amp;"; "&amp;$K$323&amp;", "&amp;I$324,'FE Fret'!$G:$U,12,FALSE)+VLOOKUP($B329&amp;"; "&amp;$K$323&amp;", "&amp;I$324,'FE Fret'!$G:$U,11,FALSE)))
+$M329*IF(ISNA((VLOOKUP($B329&amp;"; "&amp;$N$323&amp;", "&amp;I$324,'FE Fret'!$G:$U,12,FALSE)+VLOOKUP($B329&amp;"; "&amp;$N$323&amp;", "&amp;I$324,'FE Fret'!$G:$U,11,FALSE))),0,(VLOOKUP($B329&amp;"; "&amp;$N$323&amp;", "&amp;I$324,'FE Fret'!$G:$U,12,FALSE)+VLOOKUP($B329&amp;"; "&amp;$N$323&amp;", "&amp;I$324,'FE Fret'!$G:$U,11,FALSE)))
+$P329*IF(ISNA((VLOOKUP($B329&amp;"; "&amp;$Q$323&amp;", "&amp;I$324,'FE Fret'!$G:$U,12,FALSE)+VLOOKUP($B329&amp;"; "&amp;$Q$323&amp;", "&amp;I$324,'FE Fret'!$G:$U,11,FALSE))),0,(VLOOKUP($B329&amp;"; "&amp;$Q$323&amp;", "&amp;I$324,'FE Fret'!$G:$U,12,FALSE)+VLOOKUP($B329&amp;"; "&amp;$Q$323&amp;", "&amp;I$324,'FE Fret'!$G:$U,11,FALSE)))</f>
        <v>0</v>
      </c>
      <c r="AM329" s="565"/>
      <c r="AN329" s="565">
        <f>$G329*IF(ISNA(VLOOKUP($B329&amp;"; "&amp;$H$323&amp;", "&amp;H$324,'FE Fret'!$G:$U,13,FALSE)),0,VLOOKUP($B329&amp;"; "&amp;$H$323&amp;", "&amp;H$324,'FE Fret'!$G:$U,13,FALSE))
+$J329*IF(ISNA(VLOOKUP($B329&amp;"; "&amp;$K$323&amp;", "&amp;H$324,'FE Fret'!$G:$U,13,FALSE)),0,VLOOKUP($B329&amp;"; "&amp;$K$323&amp;", "&amp;H$324,'FE Fret'!$G:$U,13,FALSE))
+$M329*IF(ISNA(VLOOKUP($B329&amp;"; "&amp;$N$323&amp;", "&amp;H$324,'FE Fret'!$G:$U,13,FALSE)),0,VLOOKUP($B329&amp;"; "&amp;$N$323&amp;", "&amp;H$324,'FE Fret'!$G:$U,13,FALSE))
+$P329*IF(ISNA(VLOOKUP($B329&amp;"; "&amp;$Q$323&amp;", "&amp;H$324,'FE Fret'!$G:$U,13,FALSE)),0,VLOOKUP($B329&amp;"; "&amp;$Q$323&amp;", "&amp;H$324,'FE Fret'!$G:$U,13,FALSE))</f>
        <v>0</v>
      </c>
      <c r="AO329" s="565">
        <f>$G329*IF(ISNA(VLOOKUP($B329&amp;"; "&amp;$H$323&amp;", "&amp;I$324,'FE Fret'!$G:$U,13,FALSE)),0,VLOOKUP($B329&amp;"; "&amp;$H$323&amp;", "&amp;I$324,'FE Fret'!$G:$U,13,FALSE))
+$J329*IF(ISNA(VLOOKUP($B329&amp;"; "&amp;$K$323&amp;", "&amp;I$324,'FE Fret'!$G:$U,13,FALSE)),0,VLOOKUP($B329&amp;"; "&amp;$K$323&amp;", "&amp;I$324,'FE Fret'!$G:$U,13,FALSE))
+$M329*IF(ISNA(VLOOKUP($B329&amp;"; "&amp;$N$323&amp;", "&amp;I$324,'FE Fret'!$G:$U,13,FALSE)),0,VLOOKUP($B329&amp;"; "&amp;$N$323&amp;", "&amp;I$324,'FE Fret'!$G:$U,13,FALSE))
+$P329*IF(ISNA(VLOOKUP($B329&amp;"; "&amp;$Q$323&amp;", "&amp;I$324,'FE Fret'!$G:$U,13,FALSE)),0,VLOOKUP($B329&amp;"; "&amp;$Q$323&amp;", "&amp;I$324,'FE Fret'!$G:$U,13,FALSE))</f>
        <v>0</v>
      </c>
      <c r="AP329" s="565"/>
      <c r="AQ329" s="565">
        <v>0</v>
      </c>
      <c r="AR329" s="565">
        <v>0</v>
      </c>
      <c r="AS329" s="565"/>
      <c r="AT329" s="566">
        <f t="shared" si="119"/>
        <v>0</v>
      </c>
      <c r="AU329" s="566">
        <f t="shared" si="120"/>
        <v>0</v>
      </c>
      <c r="AV329" s="567"/>
      <c r="AW329" s="565">
        <f>$G329*IF(ISNA(VLOOKUP($B329&amp;"; "&amp;$H$323&amp;", "&amp;H$324,'FE Fret'!$G:$U,15,FALSE)),0,VLOOKUP($B329&amp;"; "&amp;$H$323&amp;", "&amp;H$324,'FE Fret'!$G:$U,15,FALSE))
+$J329*IF(ISNA(VLOOKUP($B329&amp;"; "&amp;$K$323&amp;", "&amp;H$324,'FE Fret'!$G:$U,15,FALSE)),0,VLOOKUP($B329&amp;"; "&amp;$K$323&amp;", "&amp;H$324,'FE Fret'!$G:$U,15,FALSE))
+$M329*IF(ISNA(VLOOKUP($B329&amp;"; "&amp;$N$323&amp;", "&amp;H$324,'FE Fret'!$G:$U,15,FALSE)),0,VLOOKUP($B329&amp;"; "&amp;$N$323&amp;", "&amp;H$324,'FE Fret'!$G:$U,15,FALSE))
+$P329*IF(ISNA(VLOOKUP($B329&amp;"; "&amp;$Q$323&amp;", "&amp;H$324,'FE Fret'!$G:$U,15,FALSE)),0,VLOOKUP($B329&amp;"; "&amp;$Q$323&amp;", "&amp;H$324,'FE Fret'!$G:$U,15,FALSE))</f>
        <v>0</v>
      </c>
      <c r="AX329" s="565">
        <f>$G329*IF(ISNA(VLOOKUP($B329&amp;"; "&amp;$H$323&amp;", "&amp;I$324,'FE Fret'!$G:$U,15,FALSE)),0,VLOOKUP($B329&amp;"; "&amp;$H$323&amp;", "&amp;I$324,'FE Fret'!$G:$U,15,FALSE))
+$J329*IF(ISNA(VLOOKUP($B329&amp;"; "&amp;$K$323&amp;", "&amp;I$324,'FE Fret'!$G:$U,15,FALSE)),0,VLOOKUP($B329&amp;"; "&amp;$K$323&amp;", "&amp;I$324,'FE Fret'!$G:$U,15,FALSE))
+$M329*IF(ISNA(VLOOKUP($B329&amp;"; "&amp;$N$323&amp;", "&amp;I$324,'FE Fret'!$G:$U,15,FALSE)),0,VLOOKUP($B329&amp;"; "&amp;$N$323&amp;", "&amp;I$324,'FE Fret'!$G:$U,15,FALSE))
+$P329*IF(ISNA(VLOOKUP($B329&amp;"; "&amp;$Q$323&amp;", "&amp;I$324,'FE Fret'!$G:$U,15,FALSE)),0,VLOOKUP($B329&amp;"; "&amp;$Q$323&amp;", "&amp;I$324,'FE Fret'!$G:$U,15,FALSE))</f>
        <v>0</v>
      </c>
      <c r="AY329" s="568"/>
      <c r="AZ329" s="565"/>
      <c r="BA329" s="565"/>
      <c r="BB329" s="565"/>
      <c r="BC329" s="565"/>
      <c r="BD329" s="565"/>
      <c r="BE329" s="565"/>
      <c r="BF329" s="565"/>
      <c r="BH329" s="1065">
        <f>IF($Y329&lt;&gt;"votre valeur :",IF(ISNA(VLOOKUP($Y329,Utilitaires!$N$566:$O$571,2,FALSE)),,VLOOKUP($Y329,Utilitaires!$N$566:$O$571,2,FALSE)),$Z329)</f>
        <v>0</v>
      </c>
      <c r="BI329" s="1124">
        <f>IF(ISNA(SQRT(SUMSQ(VLOOKUP($B329&amp;"; "&amp;$H$15&amp;", "&amp;H$16,'FE Fret'!$G:$U,7,FALSE),$BH329))),0,SQRT(SUMSQ(VLOOKUP($B329&amp;"; "&amp;$H$15&amp;", "&amp;$H$16,'FE Fret'!$G:$U,7,FALSE),$BH329)))</f>
        <v>0</v>
      </c>
      <c r="BJ329" s="1068">
        <f>IF(ISNA(SQRT(SUMSQ(VLOOKUP($B329&amp;"; "&amp;$K$15&amp;", "&amp;$K$16,'FE Fret'!$G:$U,7,FALSE),$BH329))),0,SQRT(SUMSQ(VLOOKUP($B329&amp;"; "&amp;$K$15&amp;", "&amp;$K$16,'FE Fret'!$G:$U,7,FALSE),$BH329)))</f>
        <v>0</v>
      </c>
      <c r="BK329" s="1068">
        <f>IF(ISNA(SQRT(SUMSQ(VLOOKUP($B329&amp;"; "&amp;$N$15&amp;", "&amp;$N$16,'FE Fret'!$G:$U,7,FALSE),$BH329))),0,SQRT(SUMSQ(VLOOKUP($B329&amp;"; "&amp;$N$15&amp;", "&amp;$N$16,'FE Fret'!$G:$U,7,FALSE),$BH329)))</f>
        <v>0</v>
      </c>
      <c r="BL329" s="1068">
        <f>IF(ISNA(SQRT(SUMSQ(VLOOKUP($B329&amp;"; "&amp;$Q$15&amp;", "&amp;$Q$16,'FE Fret'!$G:$U,7,FALSE),$BH329))),0,SQRT(SUMSQ(VLOOKUP($B329&amp;"; "&amp;$Q$15&amp;", "&amp;$Q$16,'FE Fret'!$G:$U,7,FALSE),$BH329)))</f>
        <v>0</v>
      </c>
      <c r="BM329" s="1124">
        <f>IF(ISNA(SQRT(SUMSQ(VLOOKUP($B329&amp;"; "&amp;$H$15&amp;", "&amp;I$16,'FE Fret'!$G:$U,7,FALSE),$BH329))),0,SQRT(SUMSQ(VLOOKUP($B329&amp;"; "&amp;$H$15&amp;", "&amp;$I$16,'FE Fret'!$G:$U,7,FALSE),$BH329)))</f>
        <v>0</v>
      </c>
      <c r="BN329" s="1068">
        <f>IF(ISNA(SQRT(SUMSQ(VLOOKUP($B329&amp;"; "&amp;$K$15&amp;", "&amp;$L$16,'FE Fret'!$G:$U,7,FALSE),$BH329))),0,SQRT(SUMSQ(VLOOKUP($B329&amp;"; "&amp;$K$15&amp;", "&amp;$L$16,'FE Fret'!$G:$U,7,FALSE),$BH329)))</f>
        <v>0</v>
      </c>
      <c r="BO329" s="1068">
        <f>IF(ISNA(SQRT(SUMSQ(VLOOKUP($B329&amp;"; "&amp;$N$15&amp;", "&amp;$O$16,'FE Fret'!$G:$U,7,FALSE),$BH329))),0,SQRT(SUMSQ(VLOOKUP($B329&amp;"; "&amp;$N$15&amp;", "&amp;$O$16,'FE Fret'!$G:$U,7,FALSE),$BH329)))</f>
        <v>0</v>
      </c>
      <c r="BP329" s="1125">
        <f>IF(ISNA(SQRT(SUMSQ(VLOOKUP($B329&amp;"; "&amp;$Q$15&amp;", "&amp;$R$16,'FE Fret'!$G:$U,7,FALSE),$BH329))),0,SQRT(SUMSQ(VLOOKUP($B329&amp;"; "&amp;$Q$15&amp;", "&amp;$R$16,'FE Fret'!$G:$U,7,FALSE),$BH329)))</f>
        <v>0</v>
      </c>
    </row>
    <row r="330" spans="2:68" hidden="1" outlineLevel="2">
      <c r="B330" s="143" t="s">
        <v>1664</v>
      </c>
      <c r="C330" s="144"/>
      <c r="D330" s="212">
        <f t="shared" si="112"/>
        <v>0</v>
      </c>
      <c r="E330" s="212"/>
      <c r="F330" s="123"/>
      <c r="G330" s="123"/>
      <c r="H330" s="335">
        <f>VLOOKUP($B330&amp;"; "&amp;$H$323&amp;", "&amp;H$324,'FE Fret'!$G:$U,9,FALSE)</f>
        <v>902</v>
      </c>
      <c r="I330" s="335" t="e">
        <f>VLOOKUP($B330&amp;"; "&amp;$H$323&amp;", "&amp;I$324,'FE Fret'!$G:$U,9,FALSE)</f>
        <v>#N/A</v>
      </c>
      <c r="J330" s="123"/>
      <c r="K330" s="335">
        <f>VLOOKUP($B330&amp;"; "&amp;$K$323&amp;", "&amp;K$324,'FE Fret'!$G:$U,9,FALSE)</f>
        <v>0.121</v>
      </c>
      <c r="L330" s="335" t="e">
        <f>VLOOKUP($B330&amp;"; "&amp;$K$323&amp;", "&amp;L$324,'FE Fret'!$G:$U,9,FALSE)</f>
        <v>#N/A</v>
      </c>
      <c r="M330" s="123"/>
      <c r="N330" s="335">
        <f>VLOOKUP($B330&amp;"; "&amp;$N$323&amp;", "&amp;N$324,'FE Fret'!$G:$U,9,FALSE)</f>
        <v>1410</v>
      </c>
      <c r="O330" s="335" t="e">
        <f>VLOOKUP($B330&amp;"; "&amp;$N$323&amp;", "&amp;O$324,'FE Fret'!$G:$U,9,FALSE)</f>
        <v>#N/A</v>
      </c>
      <c r="P330" s="123"/>
      <c r="Q330" s="335">
        <f>VLOOKUP($B330&amp;"; "&amp;$Q$323&amp;", "&amp;Q$324,'FE Fret'!$G:$U,9,FALSE)</f>
        <v>0.71299999999999997</v>
      </c>
      <c r="R330" s="335" t="e">
        <f>VLOOKUP($B330&amp;"; "&amp;$Q$323&amp;", "&amp;R$324,'FE Fret'!$G:$U,9,FALSE)</f>
        <v>#N/A</v>
      </c>
      <c r="S330" s="356">
        <f t="shared" si="113"/>
        <v>0</v>
      </c>
      <c r="T330" s="356">
        <f t="shared" si="113"/>
        <v>0</v>
      </c>
      <c r="U330" s="1286">
        <f>IF(OR(F330=Utilitaires!$I$572,F330=Utilitaires!$I$577),T330,0)</f>
        <v>0</v>
      </c>
      <c r="X330" s="1092">
        <f t="shared" si="114"/>
        <v>0</v>
      </c>
      <c r="Y330" s="1218"/>
      <c r="Z330" s="820"/>
      <c r="AA330" s="164">
        <f t="shared" si="115"/>
        <v>0</v>
      </c>
      <c r="AB330" s="164">
        <f t="shared" si="116"/>
        <v>0</v>
      </c>
      <c r="AC330" s="164"/>
      <c r="AD330" s="151"/>
      <c r="AE330" s="151">
        <f t="shared" si="117"/>
        <v>0</v>
      </c>
      <c r="AF330" s="1286">
        <f t="shared" si="118"/>
        <v>0</v>
      </c>
      <c r="AG330" s="116"/>
      <c r="AH330" s="564">
        <f>$G330*IF(ISNA(VLOOKUP($B330&amp;"; "&amp;$H$323&amp;", "&amp;H$324,'FE Fret'!$G:$U,10,FALSE)),0,VLOOKUP($B330&amp;"; "&amp;$H$323&amp;", "&amp;H$324,'FE Fret'!$G:$U,10,FALSE))
+$J330*IF(ISNA(VLOOKUP($B330&amp;"; "&amp;$K$323&amp;", "&amp;H$324,'FE Fret'!$G:$U,10,FALSE)),0,VLOOKUP($B330&amp;"; "&amp;$K$323&amp;", "&amp;H$324,'FE Fret'!$G:$U,10,FALSE))
+$M330*IF(ISNA(VLOOKUP($B330&amp;"; "&amp;$N$323&amp;", "&amp;H$324,'FE Fret'!$G:$U,10,FALSE)),0,VLOOKUP($B330&amp;"; "&amp;$N$323&amp;", "&amp;H$324,'FE Fret'!$G:$U,10,FALSE))
+$P330*IF(ISNA(VLOOKUP($B330&amp;"; "&amp;$Q$323&amp;", "&amp;H$324,'FE Fret'!$G:$U,10,FALSE)),0,VLOOKUP($B330&amp;"; "&amp;$Q$323&amp;", "&amp;H$324,'FE Fret'!$G:$U,10,FALSE))</f>
        <v>0</v>
      </c>
      <c r="AI330" s="565">
        <f>$G330*IF(ISNA(VLOOKUP($B330&amp;"; "&amp;$H$323&amp;", "&amp;I$324,'FE Fret'!$G:$U,10,FALSE)),0,VLOOKUP($B330&amp;"; "&amp;$H$323&amp;", "&amp;I$324,'FE Fret'!$G:$U,10,FALSE))
+$J330*IF(ISNA(VLOOKUP($B330&amp;"; "&amp;$K$323&amp;", "&amp;I$324,'FE Fret'!$G:$U,10,FALSE)),0,VLOOKUP($B330&amp;"; "&amp;$K$323&amp;", "&amp;I$324,'FE Fret'!$G:$U,10,FALSE))
+$M330*IF(ISNA(VLOOKUP($B330&amp;"; "&amp;$N$323&amp;", "&amp;I$324,'FE Fret'!$G:$U,10,FALSE)),0,VLOOKUP($B330&amp;"; "&amp;$N$323&amp;", "&amp;I$324,'FE Fret'!$G:$U,10,FALSE))
+$P330*IF(ISNA(VLOOKUP($B330&amp;"; "&amp;$Q$323&amp;", "&amp;I$324,'FE Fret'!$G:$U,10,FALSE)),0,VLOOKUP($B330&amp;"; "&amp;$Q$323&amp;", "&amp;I$324,'FE Fret'!$G:$U,10,FALSE))</f>
        <v>0</v>
      </c>
      <c r="AJ330" s="565"/>
      <c r="AK330" s="565">
        <f>$G330*IF(ISNA((VLOOKUP($B330&amp;"; "&amp;$H$323&amp;", "&amp;H$324,'FE Fret'!$G:$U,12,FALSE)+VLOOKUP($B330&amp;"; "&amp;$H$323&amp;", "&amp;H$324,'FE Fret'!$G:$U,11,FALSE))),0,(VLOOKUP($B330&amp;"; "&amp;$H$323&amp;", "&amp;H$324,'FE Fret'!$G:$U,12,FALSE)+VLOOKUP($B330&amp;"; "&amp;$H$323&amp;", "&amp;H$324,'FE Fret'!$G:$U,11,FALSE)))
+$J330*IF(ISNA((VLOOKUP($B330&amp;"; "&amp;$K$323&amp;", "&amp;H$324,'FE Fret'!$G:$U,12,FALSE)+VLOOKUP($B330&amp;"; "&amp;$K$323&amp;", "&amp;H$324,'FE Fret'!$G:$U,11,FALSE))),0,(VLOOKUP($B330&amp;"; "&amp;$K$323&amp;", "&amp;H$324,'FE Fret'!$G:$U,12,FALSE)+VLOOKUP($B330&amp;"; "&amp;$K$323&amp;", "&amp;H$324,'FE Fret'!$G:$U,11,FALSE)))
+$M330*IF(ISNA((VLOOKUP($B330&amp;"; "&amp;$N$323&amp;", "&amp;H$324,'FE Fret'!$G:$U,12,FALSE)+VLOOKUP($B330&amp;"; "&amp;$N$323&amp;", "&amp;H$324,'FE Fret'!$G:$U,11,FALSE))),0,(VLOOKUP($B330&amp;"; "&amp;$N$323&amp;", "&amp;H$324,'FE Fret'!$G:$U,12,FALSE)+VLOOKUP($B330&amp;"; "&amp;$N$323&amp;", "&amp;H$324,'FE Fret'!$G:$U,11,FALSE)))
+$P330*IF(ISNA((VLOOKUP($B330&amp;"; "&amp;$Q$323&amp;", "&amp;H$324,'FE Fret'!$G:$U,12,FALSE)+VLOOKUP($B330&amp;"; "&amp;$Q$323&amp;", "&amp;H$324,'FE Fret'!$G:$U,11,FALSE))),0,(VLOOKUP($B330&amp;"; "&amp;$Q$323&amp;", "&amp;H$324,'FE Fret'!$G:$U,12,FALSE)+VLOOKUP($B330&amp;"; "&amp;$Q$323&amp;", "&amp;H$324,'FE Fret'!$G:$U,11,FALSE)))</f>
        <v>0</v>
      </c>
      <c r="AL330" s="565">
        <f>$G330*IF(ISNA((VLOOKUP($B330&amp;"; "&amp;$H$323&amp;", "&amp;I$324,'FE Fret'!$G:$U,12,FALSE)+VLOOKUP($B330&amp;"; "&amp;$H$323&amp;", "&amp;I$324,'FE Fret'!$G:$U,11,FALSE))),0,(VLOOKUP($B330&amp;"; "&amp;$H$323&amp;", "&amp;I$324,'FE Fret'!$G:$U,12,FALSE)+VLOOKUP($B330&amp;"; "&amp;$H$323&amp;", "&amp;I$324,'FE Fret'!$G:$U,11,FALSE)))
+$J330*IF(ISNA((VLOOKUP($B330&amp;"; "&amp;$K$323&amp;", "&amp;I$324,'FE Fret'!$G:$U,12,FALSE)+VLOOKUP($B330&amp;"; "&amp;$K$323&amp;", "&amp;I$324,'FE Fret'!$G:$U,11,FALSE))),0,(VLOOKUP($B330&amp;"; "&amp;$K$323&amp;", "&amp;I$324,'FE Fret'!$G:$U,12,FALSE)+VLOOKUP($B330&amp;"; "&amp;$K$323&amp;", "&amp;I$324,'FE Fret'!$G:$U,11,FALSE)))
+$M330*IF(ISNA((VLOOKUP($B330&amp;"; "&amp;$N$323&amp;", "&amp;I$324,'FE Fret'!$G:$U,12,FALSE)+VLOOKUP($B330&amp;"; "&amp;$N$323&amp;", "&amp;I$324,'FE Fret'!$G:$U,11,FALSE))),0,(VLOOKUP($B330&amp;"; "&amp;$N$323&amp;", "&amp;I$324,'FE Fret'!$G:$U,12,FALSE)+VLOOKUP($B330&amp;"; "&amp;$N$323&amp;", "&amp;I$324,'FE Fret'!$G:$U,11,FALSE)))
+$P330*IF(ISNA((VLOOKUP($B330&amp;"; "&amp;$Q$323&amp;", "&amp;I$324,'FE Fret'!$G:$U,12,FALSE)+VLOOKUP($B330&amp;"; "&amp;$Q$323&amp;", "&amp;I$324,'FE Fret'!$G:$U,11,FALSE))),0,(VLOOKUP($B330&amp;"; "&amp;$Q$323&amp;", "&amp;I$324,'FE Fret'!$G:$U,12,FALSE)+VLOOKUP($B330&amp;"; "&amp;$Q$323&amp;", "&amp;I$324,'FE Fret'!$G:$U,11,FALSE)))</f>
        <v>0</v>
      </c>
      <c r="AM330" s="565"/>
      <c r="AN330" s="565">
        <f>$G330*IF(ISNA(VLOOKUP($B330&amp;"; "&amp;$H$323&amp;", "&amp;H$324,'FE Fret'!$G:$U,13,FALSE)),0,VLOOKUP($B330&amp;"; "&amp;$H$323&amp;", "&amp;H$324,'FE Fret'!$G:$U,13,FALSE))
+$J330*IF(ISNA(VLOOKUP($B330&amp;"; "&amp;$K$323&amp;", "&amp;H$324,'FE Fret'!$G:$U,13,FALSE)),0,VLOOKUP($B330&amp;"; "&amp;$K$323&amp;", "&amp;H$324,'FE Fret'!$G:$U,13,FALSE))
+$M330*IF(ISNA(VLOOKUP($B330&amp;"; "&amp;$N$323&amp;", "&amp;H$324,'FE Fret'!$G:$U,13,FALSE)),0,VLOOKUP($B330&amp;"; "&amp;$N$323&amp;", "&amp;H$324,'FE Fret'!$G:$U,13,FALSE))
+$P330*IF(ISNA(VLOOKUP($B330&amp;"; "&amp;$Q$323&amp;", "&amp;H$324,'FE Fret'!$G:$U,13,FALSE)),0,VLOOKUP($B330&amp;"; "&amp;$Q$323&amp;", "&amp;H$324,'FE Fret'!$G:$U,13,FALSE))</f>
        <v>0</v>
      </c>
      <c r="AO330" s="565">
        <f>$G330*IF(ISNA(VLOOKUP($B330&amp;"; "&amp;$H$323&amp;", "&amp;I$324,'FE Fret'!$G:$U,13,FALSE)),0,VLOOKUP($B330&amp;"; "&amp;$H$323&amp;", "&amp;I$324,'FE Fret'!$G:$U,13,FALSE))
+$J330*IF(ISNA(VLOOKUP($B330&amp;"; "&amp;$K$323&amp;", "&amp;I$324,'FE Fret'!$G:$U,13,FALSE)),0,VLOOKUP($B330&amp;"; "&amp;$K$323&amp;", "&amp;I$324,'FE Fret'!$G:$U,13,FALSE))
+$M330*IF(ISNA(VLOOKUP($B330&amp;"; "&amp;$N$323&amp;", "&amp;I$324,'FE Fret'!$G:$U,13,FALSE)),0,VLOOKUP($B330&amp;"; "&amp;$N$323&amp;", "&amp;I$324,'FE Fret'!$G:$U,13,FALSE))
+$P330*IF(ISNA(VLOOKUP($B330&amp;"; "&amp;$Q$323&amp;", "&amp;I$324,'FE Fret'!$G:$U,13,FALSE)),0,VLOOKUP($B330&amp;"; "&amp;$Q$323&amp;", "&amp;I$324,'FE Fret'!$G:$U,13,FALSE))</f>
        <v>0</v>
      </c>
      <c r="AP330" s="565"/>
      <c r="AQ330" s="565">
        <v>0</v>
      </c>
      <c r="AR330" s="565">
        <v>0</v>
      </c>
      <c r="AS330" s="565"/>
      <c r="AT330" s="566">
        <f t="shared" si="119"/>
        <v>0</v>
      </c>
      <c r="AU330" s="566">
        <f t="shared" si="120"/>
        <v>0</v>
      </c>
      <c r="AV330" s="567"/>
      <c r="AW330" s="565">
        <f>$G330*IF(ISNA(VLOOKUP($B330&amp;"; "&amp;$H$323&amp;", "&amp;H$324,'FE Fret'!$G:$U,15,FALSE)),0,VLOOKUP($B330&amp;"; "&amp;$H$323&amp;", "&amp;H$324,'FE Fret'!$G:$U,15,FALSE))
+$J330*IF(ISNA(VLOOKUP($B330&amp;"; "&amp;$K$323&amp;", "&amp;H$324,'FE Fret'!$G:$U,15,FALSE)),0,VLOOKUP($B330&amp;"; "&amp;$K$323&amp;", "&amp;H$324,'FE Fret'!$G:$U,15,FALSE))
+$M330*IF(ISNA(VLOOKUP($B330&amp;"; "&amp;$N$323&amp;", "&amp;H$324,'FE Fret'!$G:$U,15,FALSE)),0,VLOOKUP($B330&amp;"; "&amp;$N$323&amp;", "&amp;H$324,'FE Fret'!$G:$U,15,FALSE))
+$P330*IF(ISNA(VLOOKUP($B330&amp;"; "&amp;$Q$323&amp;", "&amp;H$324,'FE Fret'!$G:$U,15,FALSE)),0,VLOOKUP($B330&amp;"; "&amp;$Q$323&amp;", "&amp;H$324,'FE Fret'!$G:$U,15,FALSE))</f>
        <v>0</v>
      </c>
      <c r="AX330" s="565">
        <f>$G330*IF(ISNA(VLOOKUP($B330&amp;"; "&amp;$H$323&amp;", "&amp;I$324,'FE Fret'!$G:$U,15,FALSE)),0,VLOOKUP($B330&amp;"; "&amp;$H$323&amp;", "&amp;I$324,'FE Fret'!$G:$U,15,FALSE))
+$J330*IF(ISNA(VLOOKUP($B330&amp;"; "&amp;$K$323&amp;", "&amp;I$324,'FE Fret'!$G:$U,15,FALSE)),0,VLOOKUP($B330&amp;"; "&amp;$K$323&amp;", "&amp;I$324,'FE Fret'!$G:$U,15,FALSE))
+$M330*IF(ISNA(VLOOKUP($B330&amp;"; "&amp;$N$323&amp;", "&amp;I$324,'FE Fret'!$G:$U,15,FALSE)),0,VLOOKUP($B330&amp;"; "&amp;$N$323&amp;", "&amp;I$324,'FE Fret'!$G:$U,15,FALSE))
+$P330*IF(ISNA(VLOOKUP($B330&amp;"; "&amp;$Q$323&amp;", "&amp;I$324,'FE Fret'!$G:$U,15,FALSE)),0,VLOOKUP($B330&amp;"; "&amp;$Q$323&amp;", "&amp;I$324,'FE Fret'!$G:$U,15,FALSE))</f>
        <v>0</v>
      </c>
      <c r="AY330" s="568"/>
      <c r="AZ330" s="565"/>
      <c r="BA330" s="565"/>
      <c r="BB330" s="565"/>
      <c r="BC330" s="565"/>
      <c r="BD330" s="565"/>
      <c r="BE330" s="565"/>
      <c r="BF330" s="565"/>
      <c r="BH330" s="1065">
        <f>IF($Y330&lt;&gt;"votre valeur :",IF(ISNA(VLOOKUP($Y330,Utilitaires!$N$566:$O$571,2,FALSE)),,VLOOKUP($Y330,Utilitaires!$N$566:$O$571,2,FALSE)),$Z330)</f>
        <v>0</v>
      </c>
      <c r="BI330" s="1124">
        <f>IF(ISNA(SQRT(SUMSQ(VLOOKUP($B330&amp;"; "&amp;$H$15&amp;", "&amp;H$16,'FE Fret'!$G:$U,7,FALSE),$BH330))),0,SQRT(SUMSQ(VLOOKUP($B330&amp;"; "&amp;$H$15&amp;", "&amp;$H$16,'FE Fret'!$G:$U,7,FALSE),$BH330)))</f>
        <v>0.2</v>
      </c>
      <c r="BJ330" s="1068">
        <f>IF(ISNA(SQRT(SUMSQ(VLOOKUP($B330&amp;"; "&amp;$K$15&amp;", "&amp;$K$16,'FE Fret'!$G:$U,7,FALSE),$BH330))),0,SQRT(SUMSQ(VLOOKUP($B330&amp;"; "&amp;$K$15&amp;", "&amp;$K$16,'FE Fret'!$G:$U,7,FALSE),$BH330)))</f>
        <v>0.2</v>
      </c>
      <c r="BK330" s="1068">
        <f>IF(ISNA(SQRT(SUMSQ(VLOOKUP($B330&amp;"; "&amp;$N$15&amp;", "&amp;$N$16,'FE Fret'!$G:$U,7,FALSE),$BH330))),0,SQRT(SUMSQ(VLOOKUP($B330&amp;"; "&amp;$N$15&amp;", "&amp;$N$16,'FE Fret'!$G:$U,7,FALSE),$BH330)))</f>
        <v>0.2</v>
      </c>
      <c r="BL330" s="1068">
        <f>IF(ISNA(SQRT(SUMSQ(VLOOKUP($B330&amp;"; "&amp;$Q$15&amp;", "&amp;$Q$16,'FE Fret'!$G:$U,7,FALSE),$BH330))),0,SQRT(SUMSQ(VLOOKUP($B330&amp;"; "&amp;$Q$15&amp;", "&amp;$Q$16,'FE Fret'!$G:$U,7,FALSE),$BH330)))</f>
        <v>0.2</v>
      </c>
      <c r="BM330" s="1124">
        <f>IF(ISNA(SQRT(SUMSQ(VLOOKUP($B330&amp;"; "&amp;$H$15&amp;", "&amp;I$16,'FE Fret'!$G:$U,7,FALSE),$BH330))),0,SQRT(SUMSQ(VLOOKUP($B330&amp;"; "&amp;$H$15&amp;", "&amp;$I$16,'FE Fret'!$G:$U,7,FALSE),$BH330)))</f>
        <v>0</v>
      </c>
      <c r="BN330" s="1068">
        <f>IF(ISNA(SQRT(SUMSQ(VLOOKUP($B330&amp;"; "&amp;$K$15&amp;", "&amp;$L$16,'FE Fret'!$G:$U,7,FALSE),$BH330))),0,SQRT(SUMSQ(VLOOKUP($B330&amp;"; "&amp;$K$15&amp;", "&amp;$L$16,'FE Fret'!$G:$U,7,FALSE),$BH330)))</f>
        <v>0</v>
      </c>
      <c r="BO330" s="1068">
        <f>IF(ISNA(SQRT(SUMSQ(VLOOKUP($B330&amp;"; "&amp;$N$15&amp;", "&amp;$O$16,'FE Fret'!$G:$U,7,FALSE),$BH330))),0,SQRT(SUMSQ(VLOOKUP($B330&amp;"; "&amp;$N$15&amp;", "&amp;$O$16,'FE Fret'!$G:$U,7,FALSE),$BH330)))</f>
        <v>0</v>
      </c>
      <c r="BP330" s="1125">
        <f>IF(ISNA(SQRT(SUMSQ(VLOOKUP($B330&amp;"; "&amp;$Q$15&amp;", "&amp;$R$16,'FE Fret'!$G:$U,7,FALSE),$BH330))),0,SQRT(SUMSQ(VLOOKUP($B330&amp;"; "&amp;$Q$15&amp;", "&amp;$R$16,'FE Fret'!$G:$U,7,FALSE),$BH330)))</f>
        <v>0</v>
      </c>
    </row>
    <row r="331" spans="2:68" hidden="1" outlineLevel="2">
      <c r="B331" s="154"/>
      <c r="C331" s="155"/>
      <c r="D331" s="221"/>
      <c r="E331" s="221"/>
      <c r="F331" s="155"/>
      <c r="G331" s="155"/>
      <c r="H331" s="155"/>
      <c r="I331" s="155"/>
      <c r="J331" s="155"/>
      <c r="K331" s="155"/>
      <c r="L331" s="155"/>
      <c r="M331" s="155"/>
      <c r="N331" s="155"/>
      <c r="O331" s="155"/>
      <c r="P331" s="155"/>
      <c r="Q331" s="155"/>
      <c r="R331" s="155"/>
      <c r="S331" s="1268"/>
      <c r="T331" s="354"/>
      <c r="U331" s="1336"/>
      <c r="X331" s="143"/>
      <c r="Y331" s="144"/>
      <c r="Z331" s="144"/>
      <c r="AA331" s="164"/>
      <c r="AB331" s="164"/>
      <c r="AC331" s="164"/>
      <c r="AD331" s="151"/>
      <c r="AE331" s="151"/>
      <c r="AF331" s="1287"/>
      <c r="AG331" s="116"/>
      <c r="AH331" s="564"/>
      <c r="AI331" s="565"/>
      <c r="AJ331" s="565"/>
      <c r="AK331" s="565"/>
      <c r="AL331" s="565"/>
      <c r="AM331" s="565"/>
      <c r="AN331" s="565"/>
      <c r="AO331" s="565"/>
      <c r="AP331" s="565"/>
      <c r="AQ331" s="565"/>
      <c r="AR331" s="565"/>
      <c r="AS331" s="565"/>
      <c r="AT331" s="566"/>
      <c r="AU331" s="566"/>
      <c r="AV331" s="567"/>
      <c r="AW331" s="565"/>
      <c r="AX331" s="565"/>
      <c r="AY331" s="568"/>
      <c r="AZ331" s="565"/>
      <c r="BA331" s="565"/>
      <c r="BB331" s="565"/>
      <c r="BC331" s="565"/>
      <c r="BD331" s="565"/>
      <c r="BE331" s="565"/>
      <c r="BF331" s="565"/>
      <c r="BH331" s="1087"/>
      <c r="BI331" s="1126"/>
      <c r="BJ331" s="1073"/>
      <c r="BK331" s="1073"/>
      <c r="BL331" s="1074"/>
      <c r="BM331" s="1075"/>
      <c r="BN331" s="1076"/>
      <c r="BO331" s="1076"/>
      <c r="BP331" s="1077"/>
    </row>
    <row r="332" spans="2:68" ht="12.75" hidden="1" customHeight="1" outlineLevel="2">
      <c r="B332" s="370" t="s">
        <v>348</v>
      </c>
      <c r="C332" s="371"/>
      <c r="D332" s="1339">
        <f>SUM(D325:D331)</f>
        <v>0</v>
      </c>
      <c r="E332" s="1339"/>
      <c r="F332" s="1340"/>
      <c r="G332" s="350"/>
      <c r="H332" s="350"/>
      <c r="I332" s="350"/>
      <c r="J332" s="350"/>
      <c r="K332" s="350"/>
      <c r="L332" s="350"/>
      <c r="M332" s="350"/>
      <c r="N332" s="350"/>
      <c r="O332" s="350"/>
      <c r="P332" s="350"/>
      <c r="Q332" s="199"/>
      <c r="R332" s="202"/>
      <c r="S332" s="202">
        <f>SUM(S325:S331)</f>
        <v>0</v>
      </c>
      <c r="T332" s="202">
        <f>SUM(T325:T331)</f>
        <v>0</v>
      </c>
      <c r="U332" s="1311">
        <f>SUM(U325:U331)</f>
        <v>0</v>
      </c>
      <c r="X332" s="1204">
        <f>IF(AE332=0,AE332,AE332/D332)</f>
        <v>0</v>
      </c>
      <c r="Y332" s="199"/>
      <c r="Z332" s="199"/>
      <c r="AA332" s="203">
        <f>SQRT(SUMSQ(AA325:AA331))</f>
        <v>0</v>
      </c>
      <c r="AB332" s="203">
        <f>SQRT(SUMSQ(AB325:AB331))</f>
        <v>0</v>
      </c>
      <c r="AC332" s="203"/>
      <c r="AD332" s="203"/>
      <c r="AE332" s="202">
        <f>SQRT(SUMSQ(AE325:AE331))</f>
        <v>0</v>
      </c>
      <c r="AF332" s="340">
        <f>SQRT(SUMSQ(AF325:AF331))</f>
        <v>0</v>
      </c>
      <c r="AH332" s="571">
        <f>SUM(AH325:AH331)</f>
        <v>0</v>
      </c>
      <c r="AI332" s="572">
        <f>SUM(AI325:AI331)</f>
        <v>0</v>
      </c>
      <c r="AJ332" s="572"/>
      <c r="AK332" s="572">
        <f>SUM(AK325:AK331)</f>
        <v>0</v>
      </c>
      <c r="AL332" s="572">
        <f>SUM(AL325:AL331)</f>
        <v>0</v>
      </c>
      <c r="AM332" s="572"/>
      <c r="AN332" s="572">
        <f>SUM(AN325:AN331)</f>
        <v>0</v>
      </c>
      <c r="AO332" s="572">
        <f>SUM(AO325:AO331)</f>
        <v>0</v>
      </c>
      <c r="AP332" s="572"/>
      <c r="AQ332" s="572">
        <f>SUM(AQ325:AQ331)</f>
        <v>0</v>
      </c>
      <c r="AR332" s="572">
        <f>SUM(AR325:AR331)</f>
        <v>0</v>
      </c>
      <c r="AS332" s="572"/>
      <c r="AT332" s="573">
        <f>SUM(AT325:AT331)</f>
        <v>0</v>
      </c>
      <c r="AU332" s="573">
        <f>SUM(AU325:AU331)</f>
        <v>0</v>
      </c>
      <c r="AV332" s="574"/>
      <c r="AW332" s="1082">
        <f>SUM(AW325:AW331)</f>
        <v>0</v>
      </c>
      <c r="AX332" s="572">
        <f>SUM(AX325:AX331)</f>
        <v>0</v>
      </c>
      <c r="AY332" s="575"/>
      <c r="AZ332" s="2447"/>
      <c r="BA332" s="2447"/>
      <c r="BB332" s="2447"/>
      <c r="BC332" s="2447"/>
      <c r="BD332" s="2447"/>
      <c r="BE332" s="2447"/>
      <c r="BF332" s="2447"/>
    </row>
    <row r="333" spans="2:68" ht="12.75" hidden="1" customHeight="1" outlineLevel="2">
      <c r="P333" s="116"/>
      <c r="V333" s="109"/>
      <c r="W333" s="109"/>
      <c r="X333" s="109"/>
      <c r="Y333" s="109"/>
      <c r="Z333" s="109"/>
      <c r="AA333" s="109"/>
      <c r="AB333" s="109"/>
      <c r="AC333" s="109"/>
      <c r="AP333" s="588"/>
    </row>
    <row r="334" spans="2:68" ht="12.75" hidden="1" customHeight="1" outlineLevel="2">
      <c r="B334" s="139" t="s">
        <v>3678</v>
      </c>
      <c r="C334" s="140"/>
      <c r="D334" s="140"/>
      <c r="E334" s="140"/>
      <c r="F334" s="140"/>
      <c r="G334" s="141"/>
      <c r="H334" s="141"/>
      <c r="I334" s="179"/>
      <c r="T334" s="116"/>
      <c r="U334" s="116"/>
      <c r="V334" s="116"/>
      <c r="W334" s="116"/>
      <c r="X334" s="2636" t="s">
        <v>366</v>
      </c>
      <c r="Y334" s="2637"/>
      <c r="Z334" s="2637"/>
      <c r="AA334" s="2637"/>
      <c r="AB334" s="2637"/>
      <c r="AC334" s="2637"/>
      <c r="AD334" s="2637"/>
      <c r="AE334" s="2638"/>
      <c r="AF334" s="116"/>
      <c r="AH334" s="2639" t="s">
        <v>441</v>
      </c>
      <c r="AI334" s="2640"/>
      <c r="AJ334" s="2640"/>
      <c r="AK334" s="2640"/>
      <c r="AL334" s="2640"/>
      <c r="AM334" s="2640"/>
      <c r="AN334" s="2640"/>
      <c r="AO334" s="2640"/>
      <c r="AP334" s="2640"/>
      <c r="AQ334" s="2640"/>
      <c r="AR334" s="2640"/>
      <c r="AS334" s="2640"/>
      <c r="AT334" s="2640"/>
      <c r="AU334" s="2640"/>
      <c r="AV334" s="2640"/>
      <c r="AW334" s="2640"/>
      <c r="AX334" s="2640"/>
      <c r="AY334" s="2641"/>
      <c r="AZ334" s="2418"/>
      <c r="BA334" s="2418"/>
      <c r="BB334" s="2418"/>
      <c r="BC334" s="2418"/>
      <c r="BD334" s="2418"/>
      <c r="BE334" s="2418"/>
      <c r="BF334" s="2418"/>
    </row>
    <row r="335" spans="2:68" ht="12.75" hidden="1" customHeight="1" outlineLevel="2">
      <c r="B335" s="332"/>
      <c r="C335" s="167"/>
      <c r="D335" s="1334" t="s">
        <v>308</v>
      </c>
      <c r="E335" s="1663"/>
      <c r="F335" s="144"/>
      <c r="G335" s="144"/>
      <c r="H335" s="144"/>
      <c r="I335" s="1337" t="s">
        <v>444</v>
      </c>
      <c r="T335" s="116"/>
      <c r="U335" s="116"/>
      <c r="X335" s="1316"/>
      <c r="Y335" s="1317"/>
      <c r="Z335" s="1317"/>
      <c r="AA335" s="1334"/>
      <c r="AB335" s="1334"/>
      <c r="AC335" s="2423"/>
      <c r="AD335" s="1334"/>
      <c r="AE335" s="1337" t="s">
        <v>444</v>
      </c>
      <c r="AG335" s="109"/>
      <c r="AH335" s="2642" t="s">
        <v>444</v>
      </c>
      <c r="AI335" s="2643"/>
      <c r="AJ335" s="2643"/>
      <c r="AK335" s="2643"/>
      <c r="AL335" s="2643"/>
      <c r="AM335" s="2643"/>
      <c r="AN335" s="2643"/>
      <c r="AO335" s="2643"/>
      <c r="AP335" s="2643"/>
      <c r="AQ335" s="2643"/>
      <c r="AR335" s="2643"/>
      <c r="AS335" s="2643"/>
      <c r="AT335" s="2643" t="s">
        <v>444</v>
      </c>
      <c r="AU335" s="2643"/>
      <c r="AV335" s="628"/>
      <c r="AW335" s="624"/>
      <c r="AX335" s="624"/>
      <c r="AY335" s="1291"/>
      <c r="AZ335" s="2286"/>
      <c r="BA335" s="2286"/>
      <c r="BB335" s="2286"/>
      <c r="BC335" s="2286"/>
      <c r="BD335" s="2286"/>
      <c r="BE335" s="2286"/>
      <c r="BF335" s="2286"/>
      <c r="BH335" s="2616" t="s">
        <v>1648</v>
      </c>
      <c r="BI335" s="2618"/>
    </row>
    <row r="336" spans="2:68" ht="12.75" hidden="1" customHeight="1" outlineLevel="2">
      <c r="B336" s="143"/>
      <c r="C336" s="144"/>
      <c r="D336" s="1317" t="s">
        <v>409</v>
      </c>
      <c r="E336" s="1656"/>
      <c r="F336" s="147" t="s">
        <v>452</v>
      </c>
      <c r="G336" s="147" t="s">
        <v>3670</v>
      </c>
      <c r="H336" s="1317"/>
      <c r="I336" s="220" t="s">
        <v>880</v>
      </c>
      <c r="T336" s="116"/>
      <c r="U336" s="116"/>
      <c r="V336" s="109"/>
      <c r="W336" s="109"/>
      <c r="X336" s="1316" t="s">
        <v>316</v>
      </c>
      <c r="Y336" s="2629" t="s">
        <v>316</v>
      </c>
      <c r="Z336" s="2630"/>
      <c r="AA336" s="1317"/>
      <c r="AB336" s="1317"/>
      <c r="AC336" s="2419"/>
      <c r="AD336" s="1317"/>
      <c r="AE336" s="220" t="s">
        <v>880</v>
      </c>
      <c r="AF336" s="109"/>
      <c r="AG336" s="109"/>
      <c r="AH336" s="2631" t="s">
        <v>211</v>
      </c>
      <c r="AI336" s="2632"/>
      <c r="AJ336" s="2632"/>
      <c r="AK336" s="2632" t="s">
        <v>442</v>
      </c>
      <c r="AL336" s="2632"/>
      <c r="AM336" s="2632"/>
      <c r="AN336" s="2632" t="s">
        <v>267</v>
      </c>
      <c r="AO336" s="2632"/>
      <c r="AP336" s="2632"/>
      <c r="AQ336" s="2632" t="s">
        <v>443</v>
      </c>
      <c r="AR336" s="2632"/>
      <c r="AS336" s="2632"/>
      <c r="AT336" s="2648" t="s">
        <v>327</v>
      </c>
      <c r="AU336" s="2648"/>
      <c r="AV336" s="568"/>
      <c r="AW336" s="2631" t="s">
        <v>636</v>
      </c>
      <c r="AX336" s="2632"/>
      <c r="AY336" s="568"/>
      <c r="AZ336" s="565"/>
      <c r="BA336" s="565"/>
      <c r="BB336" s="565"/>
      <c r="BC336" s="565"/>
      <c r="BD336" s="565"/>
      <c r="BE336" s="565"/>
      <c r="BF336" s="565"/>
      <c r="BH336" s="2837" t="s">
        <v>1646</v>
      </c>
      <c r="BI336" s="1141"/>
    </row>
    <row r="337" spans="1:72" ht="12.75" hidden="1" customHeight="1" outlineLevel="2">
      <c r="B337" s="143"/>
      <c r="C337" s="144"/>
      <c r="D337" s="1317" t="s">
        <v>444</v>
      </c>
      <c r="E337" s="1656"/>
      <c r="F337" s="1321" t="s">
        <v>445</v>
      </c>
      <c r="G337" s="1321" t="s">
        <v>881</v>
      </c>
      <c r="H337" s="1317"/>
      <c r="I337" s="220" t="s">
        <v>257</v>
      </c>
      <c r="T337" s="116"/>
      <c r="U337" s="116"/>
      <c r="V337" s="109"/>
      <c r="W337" s="109"/>
      <c r="X337" s="1316" t="s">
        <v>1649</v>
      </c>
      <c r="Y337" s="2646" t="s">
        <v>1650</v>
      </c>
      <c r="Z337" s="2647"/>
      <c r="AA337" s="1322"/>
      <c r="AB337" s="1322"/>
      <c r="AC337" s="1662"/>
      <c r="AD337" s="1322"/>
      <c r="AE337" s="220" t="s">
        <v>257</v>
      </c>
      <c r="AF337" s="109"/>
      <c r="AH337" s="1331"/>
      <c r="AI337" s="1332"/>
      <c r="AJ337" s="1332"/>
      <c r="AK337" s="1332"/>
      <c r="AL337" s="1332"/>
      <c r="AM337" s="1332"/>
      <c r="AN337" s="1332"/>
      <c r="AO337" s="1332"/>
      <c r="AP337" s="1332"/>
      <c r="AQ337" s="1332"/>
      <c r="AR337" s="1332"/>
      <c r="AS337" s="1332"/>
      <c r="AT337" s="581"/>
      <c r="AU337" s="581"/>
      <c r="AV337" s="582"/>
      <c r="AW337" s="1332"/>
      <c r="AX337" s="1332"/>
      <c r="AY337" s="1333"/>
      <c r="AZ337" s="2286"/>
      <c r="BA337" s="2286"/>
      <c r="BB337" s="2286"/>
      <c r="BC337" s="2286"/>
      <c r="BD337" s="2286"/>
      <c r="BE337" s="2286"/>
      <c r="BF337" s="2286"/>
      <c r="BH337" s="2838"/>
      <c r="BI337" s="1326"/>
    </row>
    <row r="338" spans="1:72" ht="12.75" hidden="1" customHeight="1" outlineLevel="2">
      <c r="B338" s="143" t="s">
        <v>3669</v>
      </c>
      <c r="C338" s="144"/>
      <c r="D338" s="212">
        <f>I338</f>
        <v>0</v>
      </c>
      <c r="E338" s="212"/>
      <c r="F338" s="117"/>
      <c r="G338" s="117"/>
      <c r="H338" s="218"/>
      <c r="I338" s="152">
        <f>G338</f>
        <v>0</v>
      </c>
      <c r="T338" s="116"/>
      <c r="U338" s="116"/>
      <c r="X338" s="1092">
        <f>IF(AE338=0,AE338,AE338/D338)</f>
        <v>0</v>
      </c>
      <c r="Y338" s="343"/>
      <c r="Z338" s="820"/>
      <c r="AA338" s="164"/>
      <c r="AB338" s="164"/>
      <c r="AC338" s="164"/>
      <c r="AD338" s="164"/>
      <c r="AE338" s="152">
        <f>I338*BI338</f>
        <v>0</v>
      </c>
      <c r="AH338" s="564">
        <f>D338</f>
        <v>0</v>
      </c>
      <c r="AI338" s="565"/>
      <c r="AJ338" s="565"/>
      <c r="AK338" s="565"/>
      <c r="AL338" s="565"/>
      <c r="AM338" s="565"/>
      <c r="AN338" s="565"/>
      <c r="AO338" s="565"/>
      <c r="AP338" s="565"/>
      <c r="AQ338" s="565"/>
      <c r="AR338" s="565"/>
      <c r="AS338" s="565"/>
      <c r="AT338" s="566">
        <f>SUM(AH338:AQ338)</f>
        <v>0</v>
      </c>
      <c r="AU338" s="566"/>
      <c r="AV338" s="567"/>
      <c r="AW338" s="565"/>
      <c r="AX338" s="565"/>
      <c r="AY338" s="568"/>
      <c r="AZ338" s="565"/>
      <c r="BA338" s="565"/>
      <c r="BB338" s="565"/>
      <c r="BC338" s="565"/>
      <c r="BD338" s="565"/>
      <c r="BE338" s="565"/>
      <c r="BF338" s="565"/>
      <c r="BH338" s="1065">
        <f>IF($Y338&lt;&gt;"votre valeur :",IF(ISNA(VLOOKUP($Y338,Utilitaires!$N$566:$O$571,2,FALSE)),,VLOOKUP($Y338,Utilitaires!$N$566:$O$571,2,FALSE)),$Z338)</f>
        <v>0</v>
      </c>
      <c r="BI338" s="1130">
        <f>SQRT(SUMSQ(0,BH338))</f>
        <v>0</v>
      </c>
    </row>
    <row r="339" spans="1:72" ht="12.75" hidden="1" customHeight="1" outlineLevel="2">
      <c r="B339" s="143" t="s">
        <v>3669</v>
      </c>
      <c r="C339" s="144"/>
      <c r="D339" s="212">
        <f>I339</f>
        <v>0</v>
      </c>
      <c r="E339" s="212"/>
      <c r="F339" s="120"/>
      <c r="G339" s="120"/>
      <c r="H339" s="218"/>
      <c r="I339" s="152">
        <f t="shared" ref="I339:I340" si="121">G339</f>
        <v>0</v>
      </c>
      <c r="T339" s="116"/>
      <c r="U339" s="116"/>
      <c r="X339" s="1092">
        <f>IF(AE339=0,AE339,AE339/D339)</f>
        <v>0</v>
      </c>
      <c r="Y339" s="343"/>
      <c r="Z339" s="820"/>
      <c r="AA339" s="164"/>
      <c r="AB339" s="164"/>
      <c r="AC339" s="164"/>
      <c r="AD339" s="164"/>
      <c r="AE339" s="152">
        <f>I339*BI339</f>
        <v>0</v>
      </c>
      <c r="AH339" s="564">
        <f>D339</f>
        <v>0</v>
      </c>
      <c r="AI339" s="565"/>
      <c r="AJ339" s="565"/>
      <c r="AK339" s="565"/>
      <c r="AL339" s="565"/>
      <c r="AM339" s="565"/>
      <c r="AN339" s="565"/>
      <c r="AO339" s="565"/>
      <c r="AP339" s="565"/>
      <c r="AQ339" s="565"/>
      <c r="AR339" s="565"/>
      <c r="AS339" s="565"/>
      <c r="AT339" s="566">
        <f>SUM(AH339:AQ339)</f>
        <v>0</v>
      </c>
      <c r="AU339" s="566"/>
      <c r="AV339" s="567"/>
      <c r="AW339" s="565"/>
      <c r="AX339" s="565"/>
      <c r="AY339" s="568"/>
      <c r="AZ339" s="565"/>
      <c r="BA339" s="565"/>
      <c r="BB339" s="565"/>
      <c r="BC339" s="565"/>
      <c r="BD339" s="565"/>
      <c r="BE339" s="565"/>
      <c r="BF339" s="565"/>
      <c r="BH339" s="1065">
        <f>IF($Y339&lt;&gt;"votre valeur :",IF(ISNA(VLOOKUP($Y339,Utilitaires!$N$566:$O$571,2,FALSE)),,VLOOKUP($Y339,Utilitaires!$N$566:$O$571,2,FALSE)),$Z339)</f>
        <v>0</v>
      </c>
      <c r="BI339" s="1130">
        <f>SQRT(SUMSQ(0,BH339))</f>
        <v>0</v>
      </c>
    </row>
    <row r="340" spans="1:72" ht="12.75" hidden="1" customHeight="1" outlineLevel="2">
      <c r="B340" s="143" t="s">
        <v>3669</v>
      </c>
      <c r="C340" s="144"/>
      <c r="D340" s="212">
        <f>I340</f>
        <v>0</v>
      </c>
      <c r="E340" s="212"/>
      <c r="F340" s="123"/>
      <c r="G340" s="123"/>
      <c r="H340" s="218"/>
      <c r="I340" s="152">
        <f t="shared" si="121"/>
        <v>0</v>
      </c>
      <c r="T340" s="116"/>
      <c r="U340" s="116"/>
      <c r="X340" s="1092">
        <f>IF(AE340=0,AE340,AE340/D340)</f>
        <v>0</v>
      </c>
      <c r="Y340" s="1094"/>
      <c r="Z340" s="820"/>
      <c r="AA340" s="164"/>
      <c r="AB340" s="164"/>
      <c r="AC340" s="164"/>
      <c r="AD340" s="164"/>
      <c r="AE340" s="152">
        <f>I340*BI340</f>
        <v>0</v>
      </c>
      <c r="AH340" s="564">
        <f>D340</f>
        <v>0</v>
      </c>
      <c r="AI340" s="565"/>
      <c r="AJ340" s="565"/>
      <c r="AK340" s="565"/>
      <c r="AL340" s="565"/>
      <c r="AM340" s="565"/>
      <c r="AN340" s="565"/>
      <c r="AO340" s="565"/>
      <c r="AP340" s="565"/>
      <c r="AQ340" s="565"/>
      <c r="AR340" s="565"/>
      <c r="AS340" s="565"/>
      <c r="AT340" s="566">
        <f>SUM(AH340:AQ340)</f>
        <v>0</v>
      </c>
      <c r="AU340" s="566"/>
      <c r="AV340" s="567"/>
      <c r="AW340" s="565"/>
      <c r="AX340" s="565"/>
      <c r="AY340" s="568"/>
      <c r="AZ340" s="565"/>
      <c r="BA340" s="565"/>
      <c r="BB340" s="565"/>
      <c r="BC340" s="565"/>
      <c r="BD340" s="565"/>
      <c r="BE340" s="565"/>
      <c r="BF340" s="565"/>
      <c r="BH340" s="1065">
        <f>IF($Y340&lt;&gt;"votre valeur :",IF(ISNA(VLOOKUP($Y340,Utilitaires!$N$566:$O$571,2,FALSE)),,VLOOKUP($Y340,Utilitaires!$N$566:$O$571,2,FALSE)),$Z340)</f>
        <v>0</v>
      </c>
      <c r="BI340" s="1130">
        <f>SQRT(SUMSQ(0,BH340))</f>
        <v>0</v>
      </c>
    </row>
    <row r="341" spans="1:72" ht="12.75" hidden="1" customHeight="1" outlineLevel="2">
      <c r="B341" s="143"/>
      <c r="C341" s="144"/>
      <c r="D341" s="212"/>
      <c r="E341" s="212"/>
      <c r="F341" s="353"/>
      <c r="G341" s="144"/>
      <c r="H341" s="144"/>
      <c r="I341" s="156"/>
      <c r="T341" s="116"/>
      <c r="U341" s="116"/>
      <c r="X341" s="1092"/>
      <c r="Y341" s="155"/>
      <c r="Z341" s="169"/>
      <c r="AA341" s="155"/>
      <c r="AB341" s="155"/>
      <c r="AC341" s="155"/>
      <c r="AD341" s="155"/>
      <c r="AE341" s="165"/>
      <c r="AH341" s="569"/>
      <c r="AI341" s="625"/>
      <c r="AJ341" s="625"/>
      <c r="AK341" s="625"/>
      <c r="AL341" s="625"/>
      <c r="AM341" s="625"/>
      <c r="AN341" s="625"/>
      <c r="AO341" s="625"/>
      <c r="AP341" s="625"/>
      <c r="AQ341" s="625"/>
      <c r="AR341" s="625"/>
      <c r="AS341" s="625"/>
      <c r="AT341" s="1313"/>
      <c r="AU341" s="1313"/>
      <c r="AV341" s="1314"/>
      <c r="AW341" s="565"/>
      <c r="AX341" s="565"/>
      <c r="AY341" s="568"/>
      <c r="AZ341" s="565"/>
      <c r="BA341" s="565"/>
      <c r="BB341" s="565"/>
      <c r="BC341" s="565"/>
      <c r="BD341" s="565"/>
      <c r="BE341" s="565"/>
      <c r="BF341" s="565"/>
      <c r="BH341" s="1087"/>
      <c r="BI341" s="1153"/>
    </row>
    <row r="342" spans="1:72" ht="12.75" hidden="1" customHeight="1" outlineLevel="2">
      <c r="B342" s="196" t="s">
        <v>348</v>
      </c>
      <c r="C342" s="197"/>
      <c r="D342" s="214">
        <f>SUM(D338:D341)</f>
        <v>0</v>
      </c>
      <c r="E342" s="214"/>
      <c r="F342" s="198"/>
      <c r="G342" s="197"/>
      <c r="H342" s="197"/>
      <c r="I342" s="200">
        <f>SUM(I338:I341)</f>
        <v>0</v>
      </c>
      <c r="T342" s="116"/>
      <c r="U342" s="116"/>
      <c r="X342" s="1204">
        <f>IF(AE342=0,AE342,AE342/D342)</f>
        <v>0</v>
      </c>
      <c r="Y342" s="199"/>
      <c r="Z342" s="199"/>
      <c r="AA342" s="199"/>
      <c r="AB342" s="199"/>
      <c r="AC342" s="199"/>
      <c r="AD342" s="199"/>
      <c r="AE342" s="200">
        <f>SQRT(SUMSQ(AE338:AE341))</f>
        <v>0</v>
      </c>
      <c r="AH342" s="1308">
        <f>SUM(AH338:AH341)</f>
        <v>0</v>
      </c>
      <c r="AI342" s="1309"/>
      <c r="AJ342" s="1309"/>
      <c r="AK342" s="1309"/>
      <c r="AL342" s="1309"/>
      <c r="AM342" s="1309"/>
      <c r="AN342" s="1309"/>
      <c r="AO342" s="1309"/>
      <c r="AP342" s="1309"/>
      <c r="AQ342" s="1309"/>
      <c r="AR342" s="1309"/>
      <c r="AS342" s="1309"/>
      <c r="AT342" s="1312">
        <f>SUM(AT338:AT341)</f>
        <v>0</v>
      </c>
      <c r="AU342" s="1312"/>
      <c r="AV342" s="1312"/>
      <c r="AW342" s="1082"/>
      <c r="AX342" s="572"/>
      <c r="AY342" s="575"/>
      <c r="AZ342" s="2447"/>
      <c r="BA342" s="2447"/>
      <c r="BB342" s="2447"/>
      <c r="BC342" s="2447"/>
      <c r="BD342" s="2447"/>
      <c r="BE342" s="2447"/>
      <c r="BF342" s="2447"/>
    </row>
    <row r="343" spans="1:72" ht="12.75" hidden="1" customHeight="1" outlineLevel="2">
      <c r="AG343" s="109"/>
      <c r="AH343" s="588"/>
      <c r="AI343" s="588"/>
      <c r="AJ343" s="588"/>
      <c r="AK343" s="588"/>
      <c r="AL343" s="588"/>
      <c r="AM343" s="588"/>
      <c r="AN343" s="588"/>
      <c r="AR343" s="588"/>
      <c r="AS343" s="588"/>
    </row>
    <row r="344" spans="1:72" ht="12.75" hidden="1" customHeight="1" outlineLevel="2">
      <c r="B344" s="1091" t="s">
        <v>2343</v>
      </c>
      <c r="C344" s="140"/>
      <c r="D344" s="140"/>
      <c r="E344" s="140"/>
      <c r="F344" s="140"/>
      <c r="G344" s="140"/>
      <c r="H344" s="140"/>
      <c r="I344" s="140"/>
      <c r="J344" s="140"/>
      <c r="K344" s="140"/>
      <c r="L344" s="140"/>
      <c r="M344" s="140"/>
      <c r="N344" s="140"/>
      <c r="O344" s="1341"/>
      <c r="P344" s="1877"/>
      <c r="Q344" s="1877"/>
      <c r="R344" s="1877"/>
      <c r="S344" s="1877"/>
      <c r="T344" s="1877"/>
      <c r="U344" s="1877"/>
      <c r="V344" s="1877"/>
      <c r="X344" s="2636" t="s">
        <v>366</v>
      </c>
      <c r="Y344" s="2637"/>
      <c r="Z344" s="2637"/>
      <c r="AA344" s="2637"/>
      <c r="AB344" s="2637"/>
      <c r="AC344" s="2637"/>
      <c r="AD344" s="2637"/>
      <c r="AE344" s="2637"/>
      <c r="AF344" s="2638"/>
      <c r="AH344" s="2639" t="s">
        <v>441</v>
      </c>
      <c r="AI344" s="2640"/>
      <c r="AJ344" s="2640"/>
      <c r="AK344" s="2640"/>
      <c r="AL344" s="2640"/>
      <c r="AM344" s="2640"/>
      <c r="AN344" s="2640"/>
      <c r="AO344" s="2640"/>
      <c r="AP344" s="2640"/>
      <c r="AQ344" s="2640"/>
      <c r="AR344" s="2640"/>
      <c r="AS344" s="2640"/>
      <c r="AT344" s="2640"/>
      <c r="AU344" s="2640"/>
      <c r="AV344" s="2640"/>
      <c r="AW344" s="2640"/>
      <c r="AX344" s="2640"/>
      <c r="AY344" s="2641"/>
      <c r="AZ344" s="2418"/>
      <c r="BA344" s="2418"/>
      <c r="BB344" s="2418"/>
      <c r="BC344" s="2418"/>
      <c r="BD344" s="2418"/>
      <c r="BE344" s="2418"/>
      <c r="BF344" s="2418"/>
    </row>
    <row r="345" spans="1:72" s="1078" customFormat="1" ht="12.75" hidden="1" customHeight="1" outlineLevel="2">
      <c r="A345" s="114"/>
      <c r="B345" s="143"/>
      <c r="C345" s="144"/>
      <c r="D345" s="1334" t="s">
        <v>308</v>
      </c>
      <c r="E345" s="1663"/>
      <c r="F345" s="1317"/>
      <c r="G345" s="155"/>
      <c r="H345" s="1857"/>
      <c r="I345" s="1857"/>
      <c r="J345" s="155"/>
      <c r="K345" s="144"/>
      <c r="L345" s="144"/>
      <c r="M345" s="167" t="s">
        <v>233</v>
      </c>
      <c r="N345" s="167"/>
      <c r="O345" s="153" t="s">
        <v>275</v>
      </c>
      <c r="P345" s="1877"/>
      <c r="Q345" s="1877"/>
      <c r="R345" s="1877"/>
      <c r="S345" s="1877"/>
      <c r="T345" s="1877"/>
      <c r="U345" s="1877"/>
      <c r="V345" s="1877"/>
      <c r="W345" s="262"/>
      <c r="X345" s="1316"/>
      <c r="Y345" s="819"/>
      <c r="Z345" s="819"/>
      <c r="AA345" s="144"/>
      <c r="AB345" s="1317"/>
      <c r="AC345" s="2419"/>
      <c r="AD345" s="1317"/>
      <c r="AE345" s="1334"/>
      <c r="AF345" s="1320" t="s">
        <v>275</v>
      </c>
      <c r="AG345" s="114"/>
      <c r="AH345" s="2642" t="s">
        <v>444</v>
      </c>
      <c r="AI345" s="2643"/>
      <c r="AJ345" s="2643"/>
      <c r="AK345" s="2643"/>
      <c r="AL345" s="2643"/>
      <c r="AM345" s="2643"/>
      <c r="AN345" s="2643"/>
      <c r="AO345" s="2643"/>
      <c r="AP345" s="2643"/>
      <c r="AQ345" s="2643"/>
      <c r="AR345" s="2643"/>
      <c r="AS345" s="2643"/>
      <c r="AT345" s="2643" t="s">
        <v>444</v>
      </c>
      <c r="AU345" s="2643"/>
      <c r="AV345" s="565"/>
      <c r="AW345" s="1288"/>
      <c r="AX345" s="566"/>
      <c r="AY345" s="1333"/>
      <c r="AZ345" s="2286"/>
      <c r="BA345" s="2286"/>
      <c r="BB345" s="2286"/>
      <c r="BC345" s="2286"/>
      <c r="BD345" s="2286"/>
      <c r="BE345" s="2286"/>
      <c r="BF345" s="2286"/>
      <c r="BG345" s="114"/>
      <c r="BH345" s="2616" t="s">
        <v>1648</v>
      </c>
      <c r="BI345" s="2617"/>
      <c r="BJ345" s="2617"/>
      <c r="BK345" s="2617"/>
      <c r="BL345" s="2617"/>
      <c r="BM345" s="2617"/>
      <c r="BN345" s="2618"/>
      <c r="BT345" s="116"/>
    </row>
    <row r="346" spans="1:72" ht="12.75" hidden="1" customHeight="1" outlineLevel="2">
      <c r="B346" s="143"/>
      <c r="C346" s="144"/>
      <c r="D346" s="1317" t="s">
        <v>409</v>
      </c>
      <c r="E346" s="1656"/>
      <c r="F346" s="1320" t="s">
        <v>452</v>
      </c>
      <c r="G346" s="153"/>
      <c r="H346" s="2626" t="s">
        <v>2247</v>
      </c>
      <c r="I346" s="2627"/>
      <c r="J346" s="153"/>
      <c r="K346" s="2626" t="s">
        <v>2324</v>
      </c>
      <c r="L346" s="2628"/>
      <c r="M346" s="1334" t="s">
        <v>444</v>
      </c>
      <c r="N346" s="1334" t="s">
        <v>444</v>
      </c>
      <c r="O346" s="153" t="s">
        <v>276</v>
      </c>
      <c r="P346" s="1877"/>
      <c r="Q346" s="1877"/>
      <c r="R346" s="1877"/>
      <c r="S346" s="1877"/>
      <c r="T346" s="1877"/>
      <c r="U346" s="1877"/>
      <c r="V346" s="1877"/>
      <c r="W346" s="262"/>
      <c r="X346" s="1316" t="s">
        <v>316</v>
      </c>
      <c r="Y346" s="2629" t="s">
        <v>316</v>
      </c>
      <c r="Z346" s="2630"/>
      <c r="AA346" s="1317" t="s">
        <v>444</v>
      </c>
      <c r="AB346" s="1317" t="s">
        <v>444</v>
      </c>
      <c r="AC346" s="2419"/>
      <c r="AD346" s="1317"/>
      <c r="AE346" s="1334" t="s">
        <v>444</v>
      </c>
      <c r="AF346" s="153" t="s">
        <v>276</v>
      </c>
      <c r="AH346" s="2631" t="s">
        <v>211</v>
      </c>
      <c r="AI346" s="2632"/>
      <c r="AJ346" s="2632"/>
      <c r="AK346" s="2632" t="s">
        <v>442</v>
      </c>
      <c r="AL346" s="2632"/>
      <c r="AM346" s="2632"/>
      <c r="AN346" s="2632" t="s">
        <v>267</v>
      </c>
      <c r="AO346" s="2632"/>
      <c r="AP346" s="2632"/>
      <c r="AQ346" s="2632" t="s">
        <v>443</v>
      </c>
      <c r="AR346" s="2632"/>
      <c r="AS346" s="2632"/>
      <c r="AT346" s="2648" t="s">
        <v>327</v>
      </c>
      <c r="AU346" s="2648"/>
      <c r="AV346" s="565"/>
      <c r="AW346" s="2631" t="s">
        <v>636</v>
      </c>
      <c r="AX346" s="2632"/>
      <c r="AY346" s="568"/>
      <c r="AZ346" s="565"/>
      <c r="BA346" s="565"/>
      <c r="BB346" s="565"/>
      <c r="BC346" s="565"/>
      <c r="BD346" s="565"/>
      <c r="BE346" s="565"/>
      <c r="BF346" s="565"/>
      <c r="BH346" s="2837" t="s">
        <v>1646</v>
      </c>
      <c r="BI346" s="2833" t="s">
        <v>2222</v>
      </c>
      <c r="BJ346" s="2834"/>
      <c r="BK346" s="2835"/>
      <c r="BL346" s="2833" t="s">
        <v>2324</v>
      </c>
      <c r="BM346" s="2834"/>
      <c r="BN346" s="2835"/>
    </row>
    <row r="347" spans="1:72" ht="12.75" hidden="1" customHeight="1" outlineLevel="2">
      <c r="B347" s="536"/>
      <c r="C347" s="144"/>
      <c r="D347" s="1317" t="s">
        <v>444</v>
      </c>
      <c r="E347" s="1656"/>
      <c r="F347" s="1321" t="s">
        <v>445</v>
      </c>
      <c r="G347" s="1321" t="s">
        <v>38</v>
      </c>
      <c r="H347" s="1662" t="s">
        <v>411</v>
      </c>
      <c r="I347" s="1662" t="s">
        <v>257</v>
      </c>
      <c r="J347" s="153" t="s">
        <v>2330</v>
      </c>
      <c r="K347" s="1662" t="s">
        <v>411</v>
      </c>
      <c r="L347" s="1322" t="s">
        <v>257</v>
      </c>
      <c r="M347" s="1318" t="s">
        <v>411</v>
      </c>
      <c r="N347" s="1318" t="s">
        <v>257</v>
      </c>
      <c r="O347" s="153" t="s">
        <v>444</v>
      </c>
      <c r="P347" s="1877"/>
      <c r="Q347" s="1877"/>
      <c r="R347" s="1877"/>
      <c r="S347" s="1877"/>
      <c r="T347" s="1877"/>
      <c r="U347" s="1877"/>
      <c r="V347" s="1877"/>
      <c r="W347" s="262"/>
      <c r="X347" s="1316" t="s">
        <v>1649</v>
      </c>
      <c r="Y347" s="2646" t="s">
        <v>1650</v>
      </c>
      <c r="Z347" s="2647"/>
      <c r="AA347" s="1322" t="s">
        <v>411</v>
      </c>
      <c r="AB347" s="1322" t="s">
        <v>257</v>
      </c>
      <c r="AC347" s="1662"/>
      <c r="AD347" s="1322"/>
      <c r="AE347" s="166" t="s">
        <v>327</v>
      </c>
      <c r="AF347" s="153" t="s">
        <v>444</v>
      </c>
      <c r="AH347" s="1331" t="s">
        <v>411</v>
      </c>
      <c r="AI347" s="1332" t="s">
        <v>257</v>
      </c>
      <c r="AJ347" s="1332"/>
      <c r="AK347" s="1332" t="s">
        <v>411</v>
      </c>
      <c r="AL347" s="1332" t="s">
        <v>257</v>
      </c>
      <c r="AM347" s="1332"/>
      <c r="AN347" s="1332" t="s">
        <v>411</v>
      </c>
      <c r="AO347" s="1332" t="s">
        <v>257</v>
      </c>
      <c r="AP347" s="1332"/>
      <c r="AQ347" s="1332" t="s">
        <v>411</v>
      </c>
      <c r="AR347" s="1332" t="s">
        <v>257</v>
      </c>
      <c r="AS347" s="1332"/>
      <c r="AT347" s="581" t="s">
        <v>411</v>
      </c>
      <c r="AU347" s="581" t="s">
        <v>257</v>
      </c>
      <c r="AV347" s="581"/>
      <c r="AW347" s="1331" t="s">
        <v>411</v>
      </c>
      <c r="AX347" s="1332" t="s">
        <v>257</v>
      </c>
      <c r="AY347" s="1333"/>
      <c r="AZ347" s="2286"/>
      <c r="BA347" s="2286"/>
      <c r="BB347" s="2286"/>
      <c r="BC347" s="2286"/>
      <c r="BD347" s="2286"/>
      <c r="BE347" s="2286"/>
      <c r="BF347" s="2286"/>
      <c r="BH347" s="2838"/>
      <c r="BI347" s="1325" t="s">
        <v>411</v>
      </c>
      <c r="BJ347" s="1325" t="s">
        <v>257</v>
      </c>
      <c r="BK347" s="1327"/>
      <c r="BL347" s="1325" t="s">
        <v>411</v>
      </c>
      <c r="BM347" s="1325" t="s">
        <v>257</v>
      </c>
      <c r="BN347" s="1327"/>
    </row>
    <row r="348" spans="1:72" ht="12.75" hidden="1" customHeight="1" outlineLevel="2">
      <c r="B348" s="143" t="s">
        <v>4027</v>
      </c>
      <c r="C348" s="144"/>
      <c r="D348" s="212">
        <f>SUM(M348:N348)</f>
        <v>0</v>
      </c>
      <c r="E348" s="212"/>
      <c r="F348" s="409"/>
      <c r="G348" s="117"/>
      <c r="H348" s="335" t="e">
        <f>VLOOKUP($B348&amp;"; "&amp;$H$346&amp;", "&amp;H$347,'FE Fret'!$G:$U,9,FALSE)</f>
        <v>#N/A</v>
      </c>
      <c r="I348" s="335" t="e">
        <f>VLOOKUP($B348&amp;"; "&amp;$H$346&amp;", "&amp;I$347,'FE Fret'!$G:$U,9,FALSE)</f>
        <v>#N/A</v>
      </c>
      <c r="J348" s="117"/>
      <c r="K348" s="335">
        <f>VLOOKUP($B348&amp;"; "&amp;$K$346&amp;", "&amp;K$347,'FE Fret'!$G:$U,9,FALSE)</f>
        <v>1.2099999999999999E-3</v>
      </c>
      <c r="L348" s="335">
        <f>VLOOKUP($B348&amp;"; "&amp;$K$346&amp;", "&amp;L$347,'FE Fret'!$G:$U,9,FALSE)</f>
        <v>1.2E-2</v>
      </c>
      <c r="M348" s="356">
        <f t="shared" ref="M348:N350" si="122">IF(ISNA($G348*H348),0,$G348*H348)+IF(ISNA($J348*K348),0,$J348*K348)</f>
        <v>0</v>
      </c>
      <c r="N348" s="356">
        <f t="shared" si="122"/>
        <v>0</v>
      </c>
      <c r="O348" s="1286">
        <f>IF(OR(F348=Utilitaires!$G$572,F348=Utilitaires!$G$577),N348,0)</f>
        <v>0</v>
      </c>
      <c r="P348" s="1877"/>
      <c r="Q348" s="1877"/>
      <c r="R348" s="1877"/>
      <c r="S348" s="1877"/>
      <c r="T348" s="1877"/>
      <c r="U348" s="1877"/>
      <c r="V348" s="1877"/>
      <c r="W348" s="262"/>
      <c r="X348" s="1092">
        <f>IF(AE348=0,AE348,AE348/D348)</f>
        <v>0</v>
      </c>
      <c r="Y348" s="343"/>
      <c r="Z348" s="820"/>
      <c r="AA348" s="164">
        <f t="shared" ref="AA348:AB350" si="123">SQRT(SUMSQ(IF(ISNA($G348*H348*BI348),0,$G348*H348*BI348),IF(ISNA($J348*K348*BL348),0,$J348*K348*BL348)))</f>
        <v>0</v>
      </c>
      <c r="AB348" s="164">
        <f t="shared" si="123"/>
        <v>0</v>
      </c>
      <c r="AC348" s="164"/>
      <c r="AD348" s="164"/>
      <c r="AE348" s="151">
        <f>SQRT(SUMSQ(AA348:AD348))</f>
        <v>0</v>
      </c>
      <c r="AF348" s="1286">
        <f>O348*X348</f>
        <v>0</v>
      </c>
      <c r="AH348" s="564">
        <f>$G348*IF(ISNA(VLOOKUP($B348&amp;"; "&amp;$H$346&amp;", "&amp;H$347,'FE Fret'!$G:$U,10,FALSE)),0,VLOOKUP($B348&amp;"; "&amp;$H$346&amp;", "&amp;H$347,'FE Fret'!$G:$U,10,FALSE))
+$J348*IF(ISNA(VLOOKUP($B348&amp;"; "&amp;$K$346&amp;", "&amp;H$347,'FE Fret'!$G:$U,10,FALSE)),0,VLOOKUP($B348&amp;"; "&amp;$K$346&amp;", "&amp;H$347,'FE Fret'!$G:$U,10,FALSE))</f>
        <v>0</v>
      </c>
      <c r="AI348" s="565">
        <f>$G348*IF(ISNA(VLOOKUP($B348&amp;"; "&amp;$H$346&amp;", "&amp;I$347,'FE Fret'!$G:$U,10,FALSE)),0,VLOOKUP($B348&amp;"; "&amp;$H$346&amp;", "&amp;I$347,'FE Fret'!$G:$U,10,FALSE))
+$J348*IF(ISNA(VLOOKUP($B348&amp;"; "&amp;$K$346&amp;", "&amp;I$347,'FE Fret'!$G:$U,10,FALSE)),0,VLOOKUP($B348&amp;"; "&amp;$K$346&amp;", "&amp;I$347,'FE Fret'!$G:$U,10,FALSE))</f>
        <v>0</v>
      </c>
      <c r="AJ348" s="565"/>
      <c r="AK348" s="565">
        <f>$G348*IF(ISNA((VLOOKUP($B348&amp;"; "&amp;$H$346&amp;", "&amp;H$347,'FE Fret'!$G:$U,12,FALSE)+VLOOKUP($B348&amp;"; "&amp;$H$346&amp;", "&amp;H$347,'FE Fret'!$G:$U,11,FALSE))),0,(VLOOKUP($B348&amp;"; "&amp;$H$346&amp;", "&amp;H$347,'FE Fret'!$G:$U,12,FALSE)+VLOOKUP($B348&amp;"; "&amp;$H$346&amp;", "&amp;H$347,'FE Fret'!$G:$U,11,FALSE)))
+$J348*IF(ISNA((VLOOKUP($B348&amp;"; "&amp;$K$346&amp;", "&amp;H$347,'FE Fret'!$G:$U,12,FALSE)+VLOOKUP($B348&amp;"; "&amp;$K$346&amp;", "&amp;H$347,'FE Fret'!$G:$U,11,FALSE))),0,(VLOOKUP($B348&amp;"; "&amp;$K$346&amp;", "&amp;H$347,'FE Fret'!$G:$U,12,FALSE)+VLOOKUP($B348&amp;"; "&amp;$K$346&amp;", "&amp;H$347,'FE Fret'!$G:$U,11,FALSE)))</f>
        <v>0</v>
      </c>
      <c r="AL348" s="565">
        <f>$G348*IF(ISNA((VLOOKUP($B348&amp;"; "&amp;$H$346&amp;", "&amp;I$347,'FE Fret'!$G:$U,12,FALSE)+VLOOKUP($B348&amp;"; "&amp;$H$346&amp;", "&amp;I$347,'FE Fret'!$G:$U,11,FALSE))),0,(VLOOKUP($B348&amp;"; "&amp;$H$346&amp;", "&amp;I$347,'FE Fret'!$G:$U,12,FALSE)+VLOOKUP($B348&amp;"; "&amp;$H$346&amp;", "&amp;I$347,'FE Fret'!$G:$U,11,FALSE)))
+$J348*IF(ISNA((VLOOKUP($B348&amp;"; "&amp;$K$346&amp;", "&amp;I$347,'FE Fret'!$G:$U,12,FALSE)+VLOOKUP($B348&amp;"; "&amp;$K$346&amp;", "&amp;I$347,'FE Fret'!$G:$U,11,FALSE))),0,(VLOOKUP($B348&amp;"; "&amp;$K$346&amp;", "&amp;I$347,'FE Fret'!$G:$U,12,FALSE)+VLOOKUP($B348&amp;"; "&amp;$K$346&amp;", "&amp;I$347,'FE Fret'!$G:$U,11,FALSE)))</f>
        <v>0</v>
      </c>
      <c r="AM348" s="565"/>
      <c r="AN348" s="565">
        <f>$G348*IF(ISNA(VLOOKUP($B348&amp;"; "&amp;$H$346&amp;", "&amp;H$347,'FE Fret'!$G:$U,13,FALSE)),0,VLOOKUP($B348&amp;"; "&amp;$H$346&amp;", "&amp;H$347,'FE Fret'!$G:$U,13,FALSE))
+$J348*IF(ISNA(VLOOKUP($B348&amp;"; "&amp;$K$346&amp;", "&amp;H$347,'FE Fret'!$G:$U,13,FALSE)),0,VLOOKUP($B348&amp;"; "&amp;$K$346&amp;", "&amp;H$347,'FE Fret'!$G:$U,13,FALSE))</f>
        <v>0</v>
      </c>
      <c r="AO348" s="565">
        <f>$G348*IF(ISNA(VLOOKUP($B348&amp;"; "&amp;$H$346&amp;", "&amp;I$347,'FE Fret'!$G:$U,13,FALSE)),0,VLOOKUP($B348&amp;"; "&amp;$H$346&amp;", "&amp;I$347,'FE Fret'!$G:$U,13,FALSE))
+$J348*IF(ISNA(VLOOKUP($B348&amp;"; "&amp;$K$346&amp;", "&amp;I$347,'FE Fret'!$G:$U,13,FALSE)),0,VLOOKUP($B348&amp;"; "&amp;$K$346&amp;", "&amp;I$347,'FE Fret'!$G:$U,13,FALSE))</f>
        <v>0</v>
      </c>
      <c r="AP348" s="565"/>
      <c r="AQ348" s="565">
        <v>0</v>
      </c>
      <c r="AR348" s="565">
        <v>0</v>
      </c>
      <c r="AS348" s="565"/>
      <c r="AT348" s="566">
        <f t="shared" ref="AT348:AU350" si="124">SUM(AH348,AK348,AN348,AQ348)</f>
        <v>0</v>
      </c>
      <c r="AU348" s="566">
        <f t="shared" si="124"/>
        <v>0</v>
      </c>
      <c r="AV348" s="566"/>
      <c r="AW348" s="564">
        <f>$G348*IF(ISNA(VLOOKUP($B348&amp;"; "&amp;$H$346&amp;", "&amp;H$347,'FE Fret'!$G:$U,15,FALSE)),0,VLOOKUP($B348&amp;"; "&amp;$H$346&amp;", "&amp;H$347,'FE Fret'!$G:$U,15,FALSE))
+$J348*IF(ISNA(VLOOKUP($B348&amp;"; "&amp;$K$346&amp;", "&amp;H$347,'FE Fret'!$G:$U,15,FALSE)),0,VLOOKUP($B348&amp;"; "&amp;$K$346&amp;", "&amp;H$347,'FE Fret'!$G:$U,15,FALSE))</f>
        <v>0</v>
      </c>
      <c r="AX348" s="565">
        <f>$G348*IF(ISNA(VLOOKUP($B348&amp;"; "&amp;$H$346&amp;", "&amp;I$347,'FE Fret'!$G:$U,15,FALSE)),0,VLOOKUP($B348&amp;"; "&amp;$H$346&amp;", "&amp;I$347,'FE Fret'!$G:$U,15,FALSE))
+$J348*IF(ISNA(VLOOKUP($B348&amp;"; "&amp;$K$346&amp;", "&amp;I$347,'FE Fret'!$G:$U,15,FALSE)),0,VLOOKUP($B348&amp;"; "&amp;$K$346&amp;", "&amp;I$347,'FE Fret'!$G:$U,15,FALSE))</f>
        <v>0</v>
      </c>
      <c r="AY348" s="568"/>
      <c r="AZ348" s="565"/>
      <c r="BA348" s="565"/>
      <c r="BB348" s="565"/>
      <c r="BC348" s="565"/>
      <c r="BD348" s="565"/>
      <c r="BE348" s="565"/>
      <c r="BF348" s="565"/>
      <c r="BH348" s="1065">
        <f>IF($Y348&lt;&gt;"votre valeur :",IF(ISNA(VLOOKUP($Y348,Utilitaires!$N$566:$O$571,2,FALSE)),,VLOOKUP($Y348,Utilitaires!$N$566:$O$571,2,FALSE)),$Z348)</f>
        <v>0</v>
      </c>
      <c r="BI348" s="1124">
        <f>IF(ISNA(SQRT(SUMSQ(VLOOKUP($B348&amp;"; "&amp;$H$346&amp;", "&amp;H$347,'FE Fret'!$G:$U,7,FALSE),$BH348))),0,SQRT(SUMSQ(VLOOKUP($B348&amp;"; "&amp;$H$346&amp;", "&amp;H$347,'FE Fret'!$G:$U,7,FALSE),$BH348)))</f>
        <v>0</v>
      </c>
      <c r="BJ348" s="1124">
        <f>IF(ISNA(SQRT(SUMSQ(VLOOKUP($B348&amp;"; "&amp;$H$346&amp;", "&amp;I$347,'FE Fret'!$G:$U,7,FALSE),$BH348))),0,SQRT(SUMSQ(VLOOKUP($B348&amp;"; "&amp;$H$346&amp;", "&amp;I$347,'FE Fret'!$G:$U,7,FALSE),$BH348)))</f>
        <v>0</v>
      </c>
      <c r="BK348" s="1124"/>
      <c r="BL348" s="1124">
        <f>IF(ISNA(SQRT(SUMSQ(VLOOKUP($B348&amp;"; "&amp;$K$346&amp;", "&amp;K$347,'FE Fret'!$G:$U,7,FALSE),$BH348))),0,SQRT(SUMSQ(VLOOKUP($B348&amp;"; "&amp;$K$346&amp;", "&amp;K$347,'FE Fret'!$G:$U,7,FALSE),$BH348)))</f>
        <v>0.6</v>
      </c>
      <c r="BM348" s="1130">
        <f>IF(ISNA(SQRT(SUMSQ(VLOOKUP($B348&amp;"; "&amp;$K$346&amp;", "&amp;L$347,'FE Fret'!$G:$U,7,FALSE),$BH348))),0,SQRT(SUMSQ(VLOOKUP($B348&amp;"; "&amp;$K$346&amp;", "&amp;L$347,'FE Fret'!$G:$U,7,FALSE),$BH348)))</f>
        <v>0.6</v>
      </c>
      <c r="BN348" s="1130"/>
    </row>
    <row r="349" spans="1:72" ht="12.75" hidden="1" customHeight="1" outlineLevel="2">
      <c r="B349" s="143" t="s">
        <v>4028</v>
      </c>
      <c r="C349" s="144"/>
      <c r="D349" s="212">
        <f t="shared" ref="D349:D350" si="125">SUM(M349:N349)</f>
        <v>0</v>
      </c>
      <c r="E349" s="212"/>
      <c r="F349" s="530"/>
      <c r="G349" s="120"/>
      <c r="H349" s="335" t="e">
        <f>VLOOKUP($B349&amp;"; "&amp;$H$346&amp;", "&amp;H$347,'FE Fret'!$G:$U,9,FALSE)</f>
        <v>#N/A</v>
      </c>
      <c r="I349" s="335" t="e">
        <f>VLOOKUP($B349&amp;"; "&amp;$H$346&amp;", "&amp;I$347,'FE Fret'!$G:$U,9,FALSE)</f>
        <v>#N/A</v>
      </c>
      <c r="J349" s="120"/>
      <c r="K349" s="335">
        <f>VLOOKUP($B349&amp;"; "&amp;$K$346&amp;", "&amp;K$347,'FE Fret'!$G:$U,9,FALSE)</f>
        <v>7.6699999999999997E-3</v>
      </c>
      <c r="L349" s="335">
        <f>VLOOKUP($B349&amp;"; "&amp;$K$346&amp;", "&amp;L$347,'FE Fret'!$G:$U,9,FALSE)</f>
        <v>4.6899999999999997E-2</v>
      </c>
      <c r="M349" s="356">
        <f t="shared" si="122"/>
        <v>0</v>
      </c>
      <c r="N349" s="356">
        <f t="shared" si="122"/>
        <v>0</v>
      </c>
      <c r="O349" s="1286">
        <f>IF(OR(F349=Utilitaires!$G$572,F349=Utilitaires!$G$577),N349,0)</f>
        <v>0</v>
      </c>
      <c r="P349" s="1877"/>
      <c r="Q349" s="1877"/>
      <c r="R349" s="1877"/>
      <c r="S349" s="1877"/>
      <c r="T349" s="1877"/>
      <c r="U349" s="1877"/>
      <c r="V349" s="1877"/>
      <c r="W349" s="262"/>
      <c r="X349" s="1092">
        <f>IF(AE349=0,AE349,AE349/D349)</f>
        <v>0</v>
      </c>
      <c r="Y349" s="343"/>
      <c r="Z349" s="820"/>
      <c r="AA349" s="164">
        <f t="shared" si="123"/>
        <v>0</v>
      </c>
      <c r="AB349" s="164">
        <f t="shared" si="123"/>
        <v>0</v>
      </c>
      <c r="AC349" s="164"/>
      <c r="AD349" s="164"/>
      <c r="AE349" s="151">
        <f>SQRT(SUMSQ(AA349:AD349))</f>
        <v>0</v>
      </c>
      <c r="AF349" s="1286">
        <f>O349*X349</f>
        <v>0</v>
      </c>
      <c r="AH349" s="564">
        <f>$G349*IF(ISNA(VLOOKUP($B349&amp;"; "&amp;$H$346&amp;", "&amp;H$347,'FE Fret'!$G:$U,10,FALSE)),0,VLOOKUP($B349&amp;"; "&amp;$H$346&amp;", "&amp;H$347,'FE Fret'!$G:$U,10,FALSE))
+$J349*IF(ISNA(VLOOKUP($B349&amp;"; "&amp;$K$346&amp;", "&amp;H$347,'FE Fret'!$G:$U,10,FALSE)),0,VLOOKUP($B349&amp;"; "&amp;$K$346&amp;", "&amp;H$347,'FE Fret'!$G:$U,10,FALSE))</f>
        <v>0</v>
      </c>
      <c r="AI349" s="565">
        <f>$G349*IF(ISNA(VLOOKUP($B349&amp;"; "&amp;$H$346&amp;", "&amp;I$347,'FE Fret'!$G:$U,10,FALSE)),0,VLOOKUP($B349&amp;"; "&amp;$H$346&amp;", "&amp;I$347,'FE Fret'!$G:$U,10,FALSE))
+$J349*IF(ISNA(VLOOKUP($B349&amp;"; "&amp;$K$346&amp;", "&amp;I$347,'FE Fret'!$G:$U,10,FALSE)),0,VLOOKUP($B349&amp;"; "&amp;$K$346&amp;", "&amp;I$347,'FE Fret'!$G:$U,10,FALSE))</f>
        <v>0</v>
      </c>
      <c r="AJ349" s="565"/>
      <c r="AK349" s="565">
        <f>$G349*IF(ISNA((VLOOKUP($B349&amp;"; "&amp;$H$346&amp;", "&amp;H$347,'FE Fret'!$G:$U,12,FALSE)+VLOOKUP($B349&amp;"; "&amp;$H$346&amp;", "&amp;H$347,'FE Fret'!$G:$U,11,FALSE))),0,(VLOOKUP($B349&amp;"; "&amp;$H$346&amp;", "&amp;H$347,'FE Fret'!$G:$U,12,FALSE)+VLOOKUP($B349&amp;"; "&amp;$H$346&amp;", "&amp;H$347,'FE Fret'!$G:$U,11,FALSE)))
+$J349*IF(ISNA((VLOOKUP($B349&amp;"; "&amp;$K$346&amp;", "&amp;H$347,'FE Fret'!$G:$U,12,FALSE)+VLOOKUP($B349&amp;"; "&amp;$K$346&amp;", "&amp;H$347,'FE Fret'!$G:$U,11,FALSE))),0,(VLOOKUP($B349&amp;"; "&amp;$K$346&amp;", "&amp;H$347,'FE Fret'!$G:$U,12,FALSE)+VLOOKUP($B349&amp;"; "&amp;$K$346&amp;", "&amp;H$347,'FE Fret'!$G:$U,11,FALSE)))</f>
        <v>0</v>
      </c>
      <c r="AL349" s="565">
        <f>$G349*IF(ISNA((VLOOKUP($B349&amp;"; "&amp;$H$346&amp;", "&amp;I$347,'FE Fret'!$G:$U,12,FALSE)+VLOOKUP($B349&amp;"; "&amp;$H$346&amp;", "&amp;I$347,'FE Fret'!$G:$U,11,FALSE))),0,(VLOOKUP($B349&amp;"; "&amp;$H$346&amp;", "&amp;I$347,'FE Fret'!$G:$U,12,FALSE)+VLOOKUP($B349&amp;"; "&amp;$H$346&amp;", "&amp;I$347,'FE Fret'!$G:$U,11,FALSE)))
+$J349*IF(ISNA((VLOOKUP($B349&amp;"; "&amp;$K$346&amp;", "&amp;I$347,'FE Fret'!$G:$U,12,FALSE)+VLOOKUP($B349&amp;"; "&amp;$K$346&amp;", "&amp;I$347,'FE Fret'!$G:$U,11,FALSE))),0,(VLOOKUP($B349&amp;"; "&amp;$K$346&amp;", "&amp;I$347,'FE Fret'!$G:$U,12,FALSE)+VLOOKUP($B349&amp;"; "&amp;$K$346&amp;", "&amp;I$347,'FE Fret'!$G:$U,11,FALSE)))</f>
        <v>0</v>
      </c>
      <c r="AM349" s="565"/>
      <c r="AN349" s="565">
        <f>$G349*IF(ISNA(VLOOKUP($B349&amp;"; "&amp;$H$346&amp;", "&amp;H$347,'FE Fret'!$G:$U,13,FALSE)),0,VLOOKUP($B349&amp;"; "&amp;$H$346&amp;", "&amp;H$347,'FE Fret'!$G:$U,13,FALSE))
+$J349*IF(ISNA(VLOOKUP($B349&amp;"; "&amp;$K$346&amp;", "&amp;H$347,'FE Fret'!$G:$U,13,FALSE)),0,VLOOKUP($B349&amp;"; "&amp;$K$346&amp;", "&amp;H$347,'FE Fret'!$G:$U,13,FALSE))</f>
        <v>0</v>
      </c>
      <c r="AO349" s="565">
        <f>$G349*IF(ISNA(VLOOKUP($B349&amp;"; "&amp;$H$346&amp;", "&amp;I$347,'FE Fret'!$G:$U,13,FALSE)),0,VLOOKUP($B349&amp;"; "&amp;$H$346&amp;", "&amp;I$347,'FE Fret'!$G:$U,13,FALSE))
+$J349*IF(ISNA(VLOOKUP($B349&amp;"; "&amp;$K$346&amp;", "&amp;I$347,'FE Fret'!$G:$U,13,FALSE)),0,VLOOKUP($B349&amp;"; "&amp;$K$346&amp;", "&amp;I$347,'FE Fret'!$G:$U,13,FALSE))</f>
        <v>0</v>
      </c>
      <c r="AP349" s="565"/>
      <c r="AQ349" s="565">
        <v>0</v>
      </c>
      <c r="AR349" s="565">
        <v>0</v>
      </c>
      <c r="AS349" s="565"/>
      <c r="AT349" s="566">
        <f t="shared" si="124"/>
        <v>0</v>
      </c>
      <c r="AU349" s="566">
        <f t="shared" si="124"/>
        <v>0</v>
      </c>
      <c r="AV349" s="566"/>
      <c r="AW349" s="564">
        <f>$G349*IF(ISNA(VLOOKUP($B349&amp;"; "&amp;$H$346&amp;", "&amp;H$347,'FE Fret'!$G:$U,15,FALSE)),0,VLOOKUP($B349&amp;"; "&amp;$H$346&amp;", "&amp;H$347,'FE Fret'!$G:$U,15,FALSE))
+$J349*IF(ISNA(VLOOKUP($B349&amp;"; "&amp;$K$346&amp;", "&amp;H$347,'FE Fret'!$G:$U,15,FALSE)),0,VLOOKUP($B349&amp;"; "&amp;$K$346&amp;", "&amp;H$347,'FE Fret'!$G:$U,15,FALSE))</f>
        <v>0</v>
      </c>
      <c r="AX349" s="565">
        <f>$G349*IF(ISNA(VLOOKUP($B349&amp;"; "&amp;$H$346&amp;", "&amp;I$347,'FE Fret'!$G:$U,15,FALSE)),0,VLOOKUP($B349&amp;"; "&amp;$H$346&amp;", "&amp;I$347,'FE Fret'!$G:$U,15,FALSE))
+$J349*IF(ISNA(VLOOKUP($B349&amp;"; "&amp;$K$346&amp;", "&amp;I$347,'FE Fret'!$G:$U,15,FALSE)),0,VLOOKUP($B349&amp;"; "&amp;$K$346&amp;", "&amp;I$347,'FE Fret'!$G:$U,15,FALSE))</f>
        <v>0</v>
      </c>
      <c r="AY349" s="568"/>
      <c r="AZ349" s="565"/>
      <c r="BA349" s="565"/>
      <c r="BB349" s="565"/>
      <c r="BC349" s="565"/>
      <c r="BD349" s="565"/>
      <c r="BE349" s="565"/>
      <c r="BF349" s="565"/>
      <c r="BH349" s="1065">
        <f>IF($Y349&lt;&gt;"votre valeur :",IF(ISNA(VLOOKUP($Y349,Utilitaires!$N$566:$O$571,2,FALSE)),,VLOOKUP($Y349,Utilitaires!$N$566:$O$571,2,FALSE)),$Z349)</f>
        <v>0</v>
      </c>
      <c r="BI349" s="1124">
        <f>IF(ISNA(SQRT(SUMSQ(VLOOKUP($B349&amp;"; "&amp;$H$346&amp;", "&amp;H$347,'FE Fret'!$G:$U,7,FALSE),$BH349))),0,SQRT(SUMSQ(VLOOKUP($B349&amp;"; "&amp;$H$346&amp;", "&amp;H$347,'FE Fret'!$G:$U,7,FALSE),$BH349)))</f>
        <v>0</v>
      </c>
      <c r="BJ349" s="1124">
        <f>IF(ISNA(SQRT(SUMSQ(VLOOKUP($B349&amp;"; "&amp;$H$346&amp;", "&amp;I$347,'FE Fret'!$G:$U,7,FALSE),$BH349))),0,SQRT(SUMSQ(VLOOKUP($B349&amp;"; "&amp;$H$346&amp;", "&amp;I$347,'FE Fret'!$G:$U,7,FALSE),$BH349)))</f>
        <v>0</v>
      </c>
      <c r="BK349" s="1124"/>
      <c r="BL349" s="1124">
        <f>IF(ISNA(SQRT(SUMSQ(VLOOKUP($B349&amp;"; "&amp;$K$346&amp;", "&amp;K$347,'FE Fret'!$G:$U,7,FALSE),$BH349))),0,SQRT(SUMSQ(VLOOKUP($B349&amp;"; "&amp;$K$346&amp;", "&amp;K$347,'FE Fret'!$G:$U,7,FALSE),$BH349)))</f>
        <v>0.6</v>
      </c>
      <c r="BM349" s="1130">
        <f>IF(ISNA(SQRT(SUMSQ(VLOOKUP($B349&amp;"; "&amp;$K$346&amp;", "&amp;L$347,'FE Fret'!$G:$U,7,FALSE),$BH349))),0,SQRT(SUMSQ(VLOOKUP($B349&amp;"; "&amp;$K$346&amp;", "&amp;L$347,'FE Fret'!$G:$U,7,FALSE),$BH349)))</f>
        <v>0.6</v>
      </c>
      <c r="BN349" s="1130"/>
    </row>
    <row r="350" spans="1:72" ht="12.75" hidden="1" customHeight="1" outlineLevel="2">
      <c r="B350" s="143" t="s">
        <v>4029</v>
      </c>
      <c r="C350" s="144"/>
      <c r="D350" s="212">
        <f t="shared" si="125"/>
        <v>0</v>
      </c>
      <c r="E350" s="212"/>
      <c r="F350" s="347"/>
      <c r="G350" s="123"/>
      <c r="H350" s="335" t="e">
        <f>VLOOKUP($B350&amp;"; "&amp;$H$346&amp;", "&amp;H$347,'FE Fret'!$G:$U,9,FALSE)</f>
        <v>#N/A</v>
      </c>
      <c r="I350" s="335" t="e">
        <f>VLOOKUP($B350&amp;"; "&amp;$H$346&amp;", "&amp;I$347,'FE Fret'!$G:$U,9,FALSE)</f>
        <v>#N/A</v>
      </c>
      <c r="J350" s="123"/>
      <c r="K350" s="335">
        <f>VLOOKUP($B350&amp;"; "&amp;$K$346&amp;", "&amp;K$347,'FE Fret'!$G:$U,9,FALSE)</f>
        <v>4.4000000000000002E-4</v>
      </c>
      <c r="L350" s="335">
        <f>VLOOKUP($B350&amp;"; "&amp;$K$346&amp;", "&amp;L$347,'FE Fret'!$G:$U,9,FALSE)</f>
        <v>5.1000000000000004E-3</v>
      </c>
      <c r="M350" s="356">
        <f t="shared" si="122"/>
        <v>0</v>
      </c>
      <c r="N350" s="356">
        <f t="shared" si="122"/>
        <v>0</v>
      </c>
      <c r="O350" s="1286">
        <f>IF(OR(F350=Utilitaires!$G$572,F350=Utilitaires!$G$577),N350,0)</f>
        <v>0</v>
      </c>
      <c r="P350" s="1877"/>
      <c r="Q350" s="1877"/>
      <c r="R350" s="1877"/>
      <c r="S350" s="1877"/>
      <c r="T350" s="1877"/>
      <c r="U350" s="1877"/>
      <c r="V350" s="1877"/>
      <c r="W350" s="262"/>
      <c r="X350" s="1092">
        <f>IF(AE350=0,AE350,AE350/D350)</f>
        <v>0</v>
      </c>
      <c r="Y350" s="1094"/>
      <c r="Z350" s="820"/>
      <c r="AA350" s="164">
        <f t="shared" si="123"/>
        <v>0</v>
      </c>
      <c r="AB350" s="164">
        <f t="shared" si="123"/>
        <v>0</v>
      </c>
      <c r="AC350" s="164"/>
      <c r="AD350" s="164"/>
      <c r="AE350" s="151">
        <f>SQRT(SUMSQ(AA350:AD350))</f>
        <v>0</v>
      </c>
      <c r="AF350" s="1286">
        <f>O350*X350</f>
        <v>0</v>
      </c>
      <c r="AH350" s="564">
        <f>$G350*IF(ISNA(VLOOKUP($B350&amp;"; "&amp;$H$346&amp;", "&amp;H$347,'FE Fret'!$G:$U,10,FALSE)),0,VLOOKUP($B350&amp;"; "&amp;$H$346&amp;", "&amp;H$347,'FE Fret'!$G:$U,10,FALSE))
+$J350*IF(ISNA(VLOOKUP($B350&amp;"; "&amp;$K$346&amp;", "&amp;H$347,'FE Fret'!$G:$U,10,FALSE)),0,VLOOKUP($B350&amp;"; "&amp;$K$346&amp;", "&amp;H$347,'FE Fret'!$G:$U,10,FALSE))</f>
        <v>0</v>
      </c>
      <c r="AI350" s="565">
        <f>$G350*IF(ISNA(VLOOKUP($B350&amp;"; "&amp;$H$346&amp;", "&amp;I$347,'FE Fret'!$G:$U,10,FALSE)),0,VLOOKUP($B350&amp;"; "&amp;$H$346&amp;", "&amp;I$347,'FE Fret'!$G:$U,10,FALSE))
+$J350*IF(ISNA(VLOOKUP($B350&amp;"; "&amp;$K$346&amp;", "&amp;I$347,'FE Fret'!$G:$U,10,FALSE)),0,VLOOKUP($B350&amp;"; "&amp;$K$346&amp;", "&amp;I$347,'FE Fret'!$G:$U,10,FALSE))</f>
        <v>0</v>
      </c>
      <c r="AJ350" s="565"/>
      <c r="AK350" s="565">
        <f>$G350*IF(ISNA((VLOOKUP($B350&amp;"; "&amp;$H$346&amp;", "&amp;H$347,'FE Fret'!$G:$U,12,FALSE)+VLOOKUP($B350&amp;"; "&amp;$H$346&amp;", "&amp;H$347,'FE Fret'!$G:$U,11,FALSE))),0,(VLOOKUP($B350&amp;"; "&amp;$H$346&amp;", "&amp;H$347,'FE Fret'!$G:$U,12,FALSE)+VLOOKUP($B350&amp;"; "&amp;$H$346&amp;", "&amp;H$347,'FE Fret'!$G:$U,11,FALSE)))
+$J350*IF(ISNA((VLOOKUP($B350&amp;"; "&amp;$K$346&amp;", "&amp;H$347,'FE Fret'!$G:$U,12,FALSE)+VLOOKUP($B350&amp;"; "&amp;$K$346&amp;", "&amp;H$347,'FE Fret'!$G:$U,11,FALSE))),0,(VLOOKUP($B350&amp;"; "&amp;$K$346&amp;", "&amp;H$347,'FE Fret'!$G:$U,12,FALSE)+VLOOKUP($B350&amp;"; "&amp;$K$346&amp;", "&amp;H$347,'FE Fret'!$G:$U,11,FALSE)))</f>
        <v>0</v>
      </c>
      <c r="AL350" s="565">
        <f>$G350*IF(ISNA((VLOOKUP($B350&amp;"; "&amp;$H$346&amp;", "&amp;I$347,'FE Fret'!$G:$U,12,FALSE)+VLOOKUP($B350&amp;"; "&amp;$H$346&amp;", "&amp;I$347,'FE Fret'!$G:$U,11,FALSE))),0,(VLOOKUP($B350&amp;"; "&amp;$H$346&amp;", "&amp;I$347,'FE Fret'!$G:$U,12,FALSE)+VLOOKUP($B350&amp;"; "&amp;$H$346&amp;", "&amp;I$347,'FE Fret'!$G:$U,11,FALSE)))
+$J350*IF(ISNA((VLOOKUP($B350&amp;"; "&amp;$K$346&amp;", "&amp;I$347,'FE Fret'!$G:$U,12,FALSE)+VLOOKUP($B350&amp;"; "&amp;$K$346&amp;", "&amp;I$347,'FE Fret'!$G:$U,11,FALSE))),0,(VLOOKUP($B350&amp;"; "&amp;$K$346&amp;", "&amp;I$347,'FE Fret'!$G:$U,12,FALSE)+VLOOKUP($B350&amp;"; "&amp;$K$346&amp;", "&amp;I$347,'FE Fret'!$G:$U,11,FALSE)))</f>
        <v>0</v>
      </c>
      <c r="AM350" s="565"/>
      <c r="AN350" s="565">
        <f>$G350*IF(ISNA(VLOOKUP($B350&amp;"; "&amp;$H$346&amp;", "&amp;H$347,'FE Fret'!$G:$U,13,FALSE)),0,VLOOKUP($B350&amp;"; "&amp;$H$346&amp;", "&amp;H$347,'FE Fret'!$G:$U,13,FALSE))
+$J350*IF(ISNA(VLOOKUP($B350&amp;"; "&amp;$K$346&amp;", "&amp;H$347,'FE Fret'!$G:$U,13,FALSE)),0,VLOOKUP($B350&amp;"; "&amp;$K$346&amp;", "&amp;H$347,'FE Fret'!$G:$U,13,FALSE))</f>
        <v>0</v>
      </c>
      <c r="AO350" s="565">
        <f>$G350*IF(ISNA(VLOOKUP($B350&amp;"; "&amp;$H$346&amp;", "&amp;I$347,'FE Fret'!$G:$U,13,FALSE)),0,VLOOKUP($B350&amp;"; "&amp;$H$346&amp;", "&amp;I$347,'FE Fret'!$G:$U,13,FALSE))
+$J350*IF(ISNA(VLOOKUP($B350&amp;"; "&amp;$K$346&amp;", "&amp;I$347,'FE Fret'!$G:$U,13,FALSE)),0,VLOOKUP($B350&amp;"; "&amp;$K$346&amp;", "&amp;I$347,'FE Fret'!$G:$U,13,FALSE))</f>
        <v>0</v>
      </c>
      <c r="AP350" s="565"/>
      <c r="AQ350" s="565">
        <v>0</v>
      </c>
      <c r="AR350" s="565">
        <v>0</v>
      </c>
      <c r="AS350" s="565"/>
      <c r="AT350" s="566">
        <f t="shared" si="124"/>
        <v>0</v>
      </c>
      <c r="AU350" s="566">
        <f t="shared" si="124"/>
        <v>0</v>
      </c>
      <c r="AV350" s="566"/>
      <c r="AW350" s="564">
        <f>$G350*IF(ISNA(VLOOKUP($B350&amp;"; "&amp;$H$346&amp;", "&amp;H$347,'FE Fret'!$G:$U,15,FALSE)),0,VLOOKUP($B350&amp;"; "&amp;$H$346&amp;", "&amp;H$347,'FE Fret'!$G:$U,15,FALSE))
+$J350*IF(ISNA(VLOOKUP($B350&amp;"; "&amp;$K$346&amp;", "&amp;H$347,'FE Fret'!$G:$U,15,FALSE)),0,VLOOKUP($B350&amp;"; "&amp;$K$346&amp;", "&amp;H$347,'FE Fret'!$G:$U,15,FALSE))</f>
        <v>0</v>
      </c>
      <c r="AX350" s="565">
        <f>$G350*IF(ISNA(VLOOKUP($B350&amp;"; "&amp;$H$346&amp;", "&amp;I$347,'FE Fret'!$G:$U,15,FALSE)),0,VLOOKUP($B350&amp;"; "&amp;$H$346&amp;", "&amp;I$347,'FE Fret'!$G:$U,15,FALSE))
+$J350*IF(ISNA(VLOOKUP($B350&amp;"; "&amp;$K$346&amp;", "&amp;I$347,'FE Fret'!$G:$U,15,FALSE)),0,VLOOKUP($B350&amp;"; "&amp;$K$346&amp;", "&amp;I$347,'FE Fret'!$G:$U,15,FALSE))</f>
        <v>0</v>
      </c>
      <c r="AY350" s="568"/>
      <c r="AZ350" s="565"/>
      <c r="BA350" s="565"/>
      <c r="BB350" s="565"/>
      <c r="BC350" s="565"/>
      <c r="BD350" s="565"/>
      <c r="BE350" s="565"/>
      <c r="BF350" s="565"/>
      <c r="BH350" s="1065">
        <f>IF($Y350&lt;&gt;"votre valeur :",IF(ISNA(VLOOKUP($Y350,Utilitaires!$N$566:$O$571,2,FALSE)),,VLOOKUP($Y350,Utilitaires!$N$566:$O$571,2,FALSE)),$Z350)</f>
        <v>0</v>
      </c>
      <c r="BI350" s="1124">
        <f>IF(ISNA(SQRT(SUMSQ(VLOOKUP($B350&amp;"; "&amp;$H$346&amp;", "&amp;H$347,'FE Fret'!$G:$U,7,FALSE),$BH350))),0,SQRT(SUMSQ(VLOOKUP($B350&amp;"; "&amp;$H$346&amp;", "&amp;H$347,'FE Fret'!$G:$U,7,FALSE),$BH350)))</f>
        <v>0</v>
      </c>
      <c r="BJ350" s="1124">
        <f>IF(ISNA(SQRT(SUMSQ(VLOOKUP($B350&amp;"; "&amp;$H$346&amp;", "&amp;I$347,'FE Fret'!$G:$U,7,FALSE),$BH350))),0,SQRT(SUMSQ(VLOOKUP($B350&amp;"; "&amp;$H$346&amp;", "&amp;I$347,'FE Fret'!$G:$U,7,FALSE),$BH350)))</f>
        <v>0</v>
      </c>
      <c r="BK350" s="1124"/>
      <c r="BL350" s="1124">
        <f>IF(ISNA(SQRT(SUMSQ(VLOOKUP($B350&amp;"; "&amp;$K$346&amp;", "&amp;K$347,'FE Fret'!$G:$U,7,FALSE),$BH350))),0,SQRT(SUMSQ(VLOOKUP($B350&amp;"; "&amp;$K$346&amp;", "&amp;K$347,'FE Fret'!$G:$U,7,FALSE),$BH350)))</f>
        <v>0.6</v>
      </c>
      <c r="BM350" s="1130">
        <f>IF(ISNA(SQRT(SUMSQ(VLOOKUP($B350&amp;"; "&amp;$K$346&amp;", "&amp;L$347,'FE Fret'!$G:$U,7,FALSE),$BH350))),0,SQRT(SUMSQ(VLOOKUP($B350&amp;"; "&amp;$K$346&amp;", "&amp;L$347,'FE Fret'!$G:$U,7,FALSE),$BH350)))</f>
        <v>0.6</v>
      </c>
      <c r="BN350" s="1130"/>
    </row>
    <row r="351" spans="1:72" ht="12.75" hidden="1" customHeight="1" outlineLevel="2">
      <c r="B351" s="154"/>
      <c r="C351" s="155"/>
      <c r="D351" s="221"/>
      <c r="E351" s="221"/>
      <c r="F351" s="155"/>
      <c r="G351" s="155"/>
      <c r="H351" s="155"/>
      <c r="I351" s="155"/>
      <c r="J351" s="1342"/>
      <c r="K351" s="1342"/>
      <c r="L351" s="365"/>
      <c r="M351" s="365"/>
      <c r="N351" s="365"/>
      <c r="O351" s="1343"/>
      <c r="P351" s="1877"/>
      <c r="Q351" s="1877"/>
      <c r="R351" s="1877"/>
      <c r="S351" s="1877"/>
      <c r="T351" s="1877"/>
      <c r="U351" s="1877"/>
      <c r="V351" s="1877"/>
      <c r="X351" s="143"/>
      <c r="Y351" s="144"/>
      <c r="Z351" s="155"/>
      <c r="AA351" s="155"/>
      <c r="AB351" s="155"/>
      <c r="AC351" s="155"/>
      <c r="AD351" s="155"/>
      <c r="AE351" s="155"/>
      <c r="AF351" s="1344"/>
      <c r="AH351" s="564"/>
      <c r="AI351" s="565"/>
      <c r="AJ351" s="565"/>
      <c r="AK351" s="565"/>
      <c r="AL351" s="565"/>
      <c r="AM351" s="565"/>
      <c r="AN351" s="565"/>
      <c r="AO351" s="565"/>
      <c r="AP351" s="565"/>
      <c r="AQ351" s="565"/>
      <c r="AR351" s="565"/>
      <c r="AS351" s="565"/>
      <c r="AT351" s="566"/>
      <c r="AU351" s="566"/>
      <c r="AV351" s="567"/>
      <c r="AW351" s="565"/>
      <c r="AX351" s="565"/>
      <c r="AY351" s="568"/>
      <c r="AZ351" s="565"/>
      <c r="BA351" s="565"/>
      <c r="BB351" s="565"/>
      <c r="BC351" s="565"/>
      <c r="BD351" s="565"/>
      <c r="BE351" s="565"/>
      <c r="BF351" s="565"/>
      <c r="BH351" s="1087"/>
      <c r="BI351" s="1075"/>
      <c r="BJ351" s="1131"/>
      <c r="BK351" s="1126"/>
      <c r="BL351" s="1075"/>
      <c r="BM351" s="1131"/>
      <c r="BN351" s="1153"/>
    </row>
    <row r="352" spans="1:72" ht="12.75" hidden="1" customHeight="1" outlineLevel="2">
      <c r="B352" s="196" t="s">
        <v>348</v>
      </c>
      <c r="C352" s="197"/>
      <c r="D352" s="214">
        <f>SUM(D348:D351)</f>
        <v>0</v>
      </c>
      <c r="E352" s="214"/>
      <c r="F352" s="197"/>
      <c r="G352" s="197"/>
      <c r="H352" s="197"/>
      <c r="I352" s="197"/>
      <c r="J352" s="373"/>
      <c r="K352" s="373"/>
      <c r="L352" s="374"/>
      <c r="M352" s="374">
        <f>SUM(M348:M351)</f>
        <v>0</v>
      </c>
      <c r="N352" s="202">
        <f>SUM(N348:N351)</f>
        <v>0</v>
      </c>
      <c r="O352" s="1311">
        <f>SUM(O348:O351)</f>
        <v>0</v>
      </c>
      <c r="P352" s="1877"/>
      <c r="Q352" s="1877"/>
      <c r="R352" s="1877"/>
      <c r="S352" s="1877"/>
      <c r="T352" s="1877"/>
      <c r="U352" s="1877"/>
      <c r="V352" s="1877"/>
      <c r="X352" s="1204">
        <f>IF(AE352=0,AE352,AE352/D352)</f>
        <v>0</v>
      </c>
      <c r="Y352" s="199"/>
      <c r="Z352" s="199"/>
      <c r="AA352" s="203">
        <f>SQRT(SUMSQ(AA348:AA351))</f>
        <v>0</v>
      </c>
      <c r="AB352" s="203">
        <f>SQRT(SUMSQ(AB348:AB351))</f>
        <v>0</v>
      </c>
      <c r="AC352" s="203"/>
      <c r="AD352" s="203"/>
      <c r="AE352" s="202">
        <f>SQRT(SUMSQ(AE348:AE351))</f>
        <v>0</v>
      </c>
      <c r="AF352" s="340">
        <f>SQRT(SUMSQ(AF348:AF351))</f>
        <v>0</v>
      </c>
      <c r="AH352" s="571">
        <f>SUM(AH348:AH351)</f>
        <v>0</v>
      </c>
      <c r="AI352" s="572">
        <f>SUM(AI348:AI351)</f>
        <v>0</v>
      </c>
      <c r="AJ352" s="572"/>
      <c r="AK352" s="572">
        <f>SUM(AK348:AK351)</f>
        <v>0</v>
      </c>
      <c r="AL352" s="572">
        <f>SUM(AL348:AL351)</f>
        <v>0</v>
      </c>
      <c r="AM352" s="572">
        <f>SUM(AM348:AM351)</f>
        <v>0</v>
      </c>
      <c r="AN352" s="572">
        <f>SUM(AN348:AN351)</f>
        <v>0</v>
      </c>
      <c r="AO352" s="572">
        <f>SUM(AO348:AO351)</f>
        <v>0</v>
      </c>
      <c r="AP352" s="572"/>
      <c r="AQ352" s="572">
        <f>SUM(AQ348:AQ351)</f>
        <v>0</v>
      </c>
      <c r="AR352" s="572">
        <f>SUM(AR348:AR351)</f>
        <v>0</v>
      </c>
      <c r="AS352" s="572"/>
      <c r="AT352" s="573">
        <f>SUM(AT348:AT351)</f>
        <v>0</v>
      </c>
      <c r="AU352" s="573">
        <f>SUM(AU348:AU351)</f>
        <v>0</v>
      </c>
      <c r="AV352" s="574"/>
      <c r="AW352" s="1082">
        <f>SUM(AW348:AW351)</f>
        <v>0</v>
      </c>
      <c r="AX352" s="572">
        <f>SUM(AX348:AX351)</f>
        <v>0</v>
      </c>
      <c r="AY352" s="575"/>
      <c r="AZ352" s="2447"/>
      <c r="BA352" s="2447"/>
      <c r="BB352" s="2447"/>
      <c r="BC352" s="2447"/>
      <c r="BD352" s="2447"/>
      <c r="BE352" s="2447"/>
      <c r="BF352" s="2447"/>
    </row>
    <row r="353" spans="2:66" ht="12.75" hidden="1" customHeight="1" outlineLevel="2">
      <c r="F353" s="264"/>
      <c r="G353" s="265"/>
      <c r="H353" s="254"/>
    </row>
    <row r="354" spans="2:66" ht="12.75" hidden="1" customHeight="1" outlineLevel="2">
      <c r="B354" s="139" t="s">
        <v>3679</v>
      </c>
      <c r="C354" s="140"/>
      <c r="D354" s="140"/>
      <c r="E354" s="140"/>
      <c r="F354" s="140"/>
      <c r="G354" s="141"/>
      <c r="H354" s="141"/>
      <c r="I354" s="179"/>
      <c r="T354" s="116"/>
      <c r="U354" s="116"/>
      <c r="V354" s="116"/>
      <c r="W354" s="116"/>
      <c r="X354" s="2636" t="s">
        <v>366</v>
      </c>
      <c r="Y354" s="2637"/>
      <c r="Z354" s="2637"/>
      <c r="AA354" s="2637"/>
      <c r="AB354" s="2637"/>
      <c r="AC354" s="2637"/>
      <c r="AD354" s="2637"/>
      <c r="AE354" s="2638"/>
      <c r="AF354" s="116"/>
      <c r="AH354" s="2639" t="s">
        <v>441</v>
      </c>
      <c r="AI354" s="2640"/>
      <c r="AJ354" s="2640"/>
      <c r="AK354" s="2640"/>
      <c r="AL354" s="2640"/>
      <c r="AM354" s="2640"/>
      <c r="AN354" s="2640"/>
      <c r="AO354" s="2640"/>
      <c r="AP354" s="2640"/>
      <c r="AQ354" s="2640"/>
      <c r="AR354" s="2640"/>
      <c r="AS354" s="2640"/>
      <c r="AT354" s="2640"/>
      <c r="AU354" s="2640"/>
      <c r="AV354" s="2640"/>
      <c r="AW354" s="2640"/>
      <c r="AX354" s="2640"/>
      <c r="AY354" s="2641"/>
      <c r="AZ354" s="2418"/>
      <c r="BA354" s="2418"/>
      <c r="BB354" s="2418"/>
      <c r="BC354" s="2418"/>
      <c r="BD354" s="2418"/>
      <c r="BE354" s="2418"/>
      <c r="BF354" s="2418"/>
    </row>
    <row r="355" spans="2:66" ht="12.75" hidden="1" customHeight="1" outlineLevel="2">
      <c r="B355" s="332"/>
      <c r="C355" s="167"/>
      <c r="D355" s="1334" t="s">
        <v>308</v>
      </c>
      <c r="E355" s="1663"/>
      <c r="F355" s="144"/>
      <c r="G355" s="144"/>
      <c r="H355" s="144"/>
      <c r="I355" s="1337" t="s">
        <v>444</v>
      </c>
      <c r="T355" s="116"/>
      <c r="U355" s="116"/>
      <c r="X355" s="1316"/>
      <c r="Y355" s="1317"/>
      <c r="Z355" s="1317"/>
      <c r="AA355" s="1334"/>
      <c r="AB355" s="1334"/>
      <c r="AC355" s="2423"/>
      <c r="AD355" s="1334"/>
      <c r="AE355" s="1337" t="s">
        <v>444</v>
      </c>
      <c r="AG355" s="109"/>
      <c r="AH355" s="2642" t="s">
        <v>444</v>
      </c>
      <c r="AI355" s="2643"/>
      <c r="AJ355" s="2643"/>
      <c r="AK355" s="2643"/>
      <c r="AL355" s="2643"/>
      <c r="AM355" s="2643"/>
      <c r="AN355" s="2643"/>
      <c r="AO355" s="2643"/>
      <c r="AP355" s="2643"/>
      <c r="AQ355" s="2643"/>
      <c r="AR355" s="2643"/>
      <c r="AS355" s="2643"/>
      <c r="AT355" s="2643" t="s">
        <v>444</v>
      </c>
      <c r="AU355" s="2643"/>
      <c r="AV355" s="628"/>
      <c r="AW355" s="624"/>
      <c r="AX355" s="624"/>
      <c r="AY355" s="1291"/>
      <c r="AZ355" s="2286"/>
      <c r="BA355" s="2286"/>
      <c r="BB355" s="2286"/>
      <c r="BC355" s="2286"/>
      <c r="BD355" s="2286"/>
      <c r="BE355" s="2286"/>
      <c r="BF355" s="2286"/>
      <c r="BH355" s="2616" t="s">
        <v>1648</v>
      </c>
      <c r="BI355" s="2618"/>
    </row>
    <row r="356" spans="2:66" ht="12.75" hidden="1" customHeight="1" outlineLevel="2">
      <c r="B356" s="143"/>
      <c r="C356" s="144"/>
      <c r="D356" s="1317" t="s">
        <v>409</v>
      </c>
      <c r="E356" s="1656"/>
      <c r="F356" s="147" t="s">
        <v>452</v>
      </c>
      <c r="G356" s="147" t="s">
        <v>3670</v>
      </c>
      <c r="H356" s="1317"/>
      <c r="I356" s="220" t="s">
        <v>880</v>
      </c>
      <c r="T356" s="116"/>
      <c r="U356" s="116"/>
      <c r="V356" s="109"/>
      <c r="W356" s="109"/>
      <c r="X356" s="1316" t="s">
        <v>316</v>
      </c>
      <c r="Y356" s="2629" t="s">
        <v>316</v>
      </c>
      <c r="Z356" s="2630"/>
      <c r="AA356" s="1317"/>
      <c r="AB356" s="1317"/>
      <c r="AC356" s="2419"/>
      <c r="AD356" s="1317"/>
      <c r="AE356" s="220" t="s">
        <v>880</v>
      </c>
      <c r="AF356" s="109"/>
      <c r="AG356" s="109"/>
      <c r="AH356" s="2631" t="s">
        <v>211</v>
      </c>
      <c r="AI356" s="2632"/>
      <c r="AJ356" s="2632"/>
      <c r="AK356" s="2632" t="s">
        <v>442</v>
      </c>
      <c r="AL356" s="2632"/>
      <c r="AM356" s="2632"/>
      <c r="AN356" s="2632" t="s">
        <v>267</v>
      </c>
      <c r="AO356" s="2632"/>
      <c r="AP356" s="2632"/>
      <c r="AQ356" s="2632" t="s">
        <v>443</v>
      </c>
      <c r="AR356" s="2632"/>
      <c r="AS356" s="2632"/>
      <c r="AT356" s="2648" t="s">
        <v>327</v>
      </c>
      <c r="AU356" s="2648"/>
      <c r="AV356" s="568"/>
      <c r="AW356" s="2631" t="s">
        <v>636</v>
      </c>
      <c r="AX356" s="2632"/>
      <c r="AY356" s="568"/>
      <c r="AZ356" s="565"/>
      <c r="BA356" s="565"/>
      <c r="BB356" s="565"/>
      <c r="BC356" s="565"/>
      <c r="BD356" s="565"/>
      <c r="BE356" s="565"/>
      <c r="BF356" s="565"/>
      <c r="BH356" s="2837" t="s">
        <v>1646</v>
      </c>
      <c r="BI356" s="1141"/>
    </row>
    <row r="357" spans="2:66" ht="12.75" hidden="1" customHeight="1" outlineLevel="2">
      <c r="B357" s="143"/>
      <c r="C357" s="144"/>
      <c r="D357" s="1317" t="s">
        <v>444</v>
      </c>
      <c r="E357" s="1656"/>
      <c r="F357" s="1321" t="s">
        <v>445</v>
      </c>
      <c r="G357" s="1321" t="s">
        <v>881</v>
      </c>
      <c r="H357" s="1317"/>
      <c r="I357" s="220" t="s">
        <v>257</v>
      </c>
      <c r="T357" s="116"/>
      <c r="U357" s="116"/>
      <c r="V357" s="109"/>
      <c r="W357" s="109"/>
      <c r="X357" s="1316" t="s">
        <v>1649</v>
      </c>
      <c r="Y357" s="2646" t="s">
        <v>1650</v>
      </c>
      <c r="Z357" s="2647"/>
      <c r="AA357" s="1322"/>
      <c r="AB357" s="1322"/>
      <c r="AC357" s="1662"/>
      <c r="AD357" s="1322"/>
      <c r="AE357" s="220" t="s">
        <v>257</v>
      </c>
      <c r="AF357" s="109"/>
      <c r="AH357" s="1331"/>
      <c r="AI357" s="1332"/>
      <c r="AJ357" s="1332"/>
      <c r="AK357" s="1332"/>
      <c r="AL357" s="1332"/>
      <c r="AM357" s="1332"/>
      <c r="AN357" s="1332"/>
      <c r="AO357" s="1332"/>
      <c r="AP357" s="1332"/>
      <c r="AQ357" s="1332"/>
      <c r="AR357" s="1332"/>
      <c r="AS357" s="1332"/>
      <c r="AT357" s="581"/>
      <c r="AU357" s="581"/>
      <c r="AV357" s="582"/>
      <c r="AW357" s="1332"/>
      <c r="AX357" s="1332"/>
      <c r="AY357" s="1333"/>
      <c r="AZ357" s="2286"/>
      <c r="BA357" s="2286"/>
      <c r="BB357" s="2286"/>
      <c r="BC357" s="2286"/>
      <c r="BD357" s="2286"/>
      <c r="BE357" s="2286"/>
      <c r="BF357" s="2286"/>
      <c r="BH357" s="2838"/>
      <c r="BI357" s="1326"/>
    </row>
    <row r="358" spans="2:66" ht="12.75" hidden="1" customHeight="1" outlineLevel="2">
      <c r="B358" s="143" t="s">
        <v>3669</v>
      </c>
      <c r="C358" s="144"/>
      <c r="D358" s="212">
        <f>I358</f>
        <v>0</v>
      </c>
      <c r="E358" s="212"/>
      <c r="F358" s="117"/>
      <c r="G358" s="117"/>
      <c r="H358" s="342"/>
      <c r="I358" s="152">
        <f>G358</f>
        <v>0</v>
      </c>
      <c r="T358" s="116"/>
      <c r="U358" s="116"/>
      <c r="X358" s="1092">
        <f>IF(AE358=0,AE358,AE358/D358)</f>
        <v>0</v>
      </c>
      <c r="Y358" s="343"/>
      <c r="Z358" s="820"/>
      <c r="AA358" s="164"/>
      <c r="AB358" s="164"/>
      <c r="AC358" s="164"/>
      <c r="AD358" s="164"/>
      <c r="AE358" s="152">
        <f>I358*BI358</f>
        <v>0</v>
      </c>
      <c r="AH358" s="564">
        <f>D358</f>
        <v>0</v>
      </c>
      <c r="AI358" s="565"/>
      <c r="AJ358" s="565"/>
      <c r="AK358" s="565"/>
      <c r="AL358" s="565"/>
      <c r="AM358" s="565"/>
      <c r="AN358" s="565"/>
      <c r="AO358" s="565"/>
      <c r="AP358" s="565"/>
      <c r="AQ358" s="565"/>
      <c r="AR358" s="565"/>
      <c r="AS358" s="565"/>
      <c r="AT358" s="566">
        <f>SUM(AH358:AQ358)</f>
        <v>0</v>
      </c>
      <c r="AU358" s="566"/>
      <c r="AV358" s="567"/>
      <c r="AW358" s="565"/>
      <c r="AX358" s="565"/>
      <c r="AY358" s="568"/>
      <c r="AZ358" s="565"/>
      <c r="BA358" s="565"/>
      <c r="BB358" s="565"/>
      <c r="BC358" s="565"/>
      <c r="BD358" s="565"/>
      <c r="BE358" s="565"/>
      <c r="BF358" s="565"/>
      <c r="BH358" s="1065">
        <f>IF($Y358&lt;&gt;"votre valeur :",IF(ISNA(VLOOKUP($Y358,Utilitaires!$N$566:$O$571,2,FALSE)),,VLOOKUP($Y358,Utilitaires!$N$566:$O$571,2,FALSE)),$Z358)</f>
        <v>0</v>
      </c>
      <c r="BI358" s="1130">
        <f>SQRT(SUMSQ(0,BH358))</f>
        <v>0</v>
      </c>
    </row>
    <row r="359" spans="2:66" ht="12.75" hidden="1" customHeight="1" outlineLevel="2">
      <c r="B359" s="143" t="s">
        <v>3669</v>
      </c>
      <c r="C359" s="144"/>
      <c r="D359" s="212">
        <f>I359</f>
        <v>0</v>
      </c>
      <c r="E359" s="212"/>
      <c r="F359" s="120"/>
      <c r="G359" s="120"/>
      <c r="H359" s="342"/>
      <c r="I359" s="152">
        <f t="shared" ref="I359:I360" si="126">G359</f>
        <v>0</v>
      </c>
      <c r="T359" s="116"/>
      <c r="U359" s="116"/>
      <c r="X359" s="1092">
        <f>IF(AE359=0,AE359,AE359/D359)</f>
        <v>0</v>
      </c>
      <c r="Y359" s="343"/>
      <c r="Z359" s="820"/>
      <c r="AA359" s="164"/>
      <c r="AB359" s="164"/>
      <c r="AC359" s="164"/>
      <c r="AD359" s="164"/>
      <c r="AE359" s="152">
        <f>I359*BI359</f>
        <v>0</v>
      </c>
      <c r="AH359" s="564">
        <f>D359</f>
        <v>0</v>
      </c>
      <c r="AI359" s="565"/>
      <c r="AJ359" s="565"/>
      <c r="AK359" s="565"/>
      <c r="AL359" s="565"/>
      <c r="AM359" s="565"/>
      <c r="AN359" s="565"/>
      <c r="AO359" s="565"/>
      <c r="AP359" s="565"/>
      <c r="AQ359" s="565"/>
      <c r="AR359" s="565"/>
      <c r="AS359" s="565"/>
      <c r="AT359" s="566">
        <f>SUM(AH359:AQ359)</f>
        <v>0</v>
      </c>
      <c r="AU359" s="566"/>
      <c r="AV359" s="567"/>
      <c r="AW359" s="565"/>
      <c r="AX359" s="565"/>
      <c r="AY359" s="568"/>
      <c r="AZ359" s="565"/>
      <c r="BA359" s="565"/>
      <c r="BB359" s="565"/>
      <c r="BC359" s="565"/>
      <c r="BD359" s="565"/>
      <c r="BE359" s="565"/>
      <c r="BF359" s="565"/>
      <c r="BH359" s="1065">
        <f>IF($Y359&lt;&gt;"votre valeur :",IF(ISNA(VLOOKUP($Y359,Utilitaires!$N$566:$O$571,2,FALSE)),,VLOOKUP($Y359,Utilitaires!$N$566:$O$571,2,FALSE)),$Z359)</f>
        <v>0</v>
      </c>
      <c r="BI359" s="1130">
        <f>SQRT(SUMSQ(0,BH359))</f>
        <v>0</v>
      </c>
    </row>
    <row r="360" spans="2:66" ht="12.75" hidden="1" customHeight="1" outlineLevel="2">
      <c r="B360" s="143" t="s">
        <v>3669</v>
      </c>
      <c r="C360" s="144"/>
      <c r="D360" s="212">
        <f>I360</f>
        <v>0</v>
      </c>
      <c r="E360" s="212"/>
      <c r="F360" s="123"/>
      <c r="G360" s="123"/>
      <c r="H360" s="342"/>
      <c r="I360" s="152">
        <f t="shared" si="126"/>
        <v>0</v>
      </c>
      <c r="T360" s="116"/>
      <c r="U360" s="116"/>
      <c r="X360" s="1092">
        <f>IF(AE360=0,AE360,AE360/D360)</f>
        <v>0</v>
      </c>
      <c r="Y360" s="1094"/>
      <c r="Z360" s="820"/>
      <c r="AA360" s="164"/>
      <c r="AB360" s="164"/>
      <c r="AC360" s="164"/>
      <c r="AD360" s="164"/>
      <c r="AE360" s="152">
        <f>I360*BI360</f>
        <v>0</v>
      </c>
      <c r="AH360" s="564">
        <f>D360</f>
        <v>0</v>
      </c>
      <c r="AI360" s="565"/>
      <c r="AJ360" s="565"/>
      <c r="AK360" s="565"/>
      <c r="AL360" s="565"/>
      <c r="AM360" s="565"/>
      <c r="AN360" s="565"/>
      <c r="AO360" s="565"/>
      <c r="AP360" s="565"/>
      <c r="AQ360" s="565"/>
      <c r="AR360" s="565"/>
      <c r="AS360" s="565"/>
      <c r="AT360" s="566">
        <f>SUM(AH360:AQ360)</f>
        <v>0</v>
      </c>
      <c r="AU360" s="566"/>
      <c r="AV360" s="567"/>
      <c r="AW360" s="565"/>
      <c r="AX360" s="565"/>
      <c r="AY360" s="568"/>
      <c r="AZ360" s="565"/>
      <c r="BA360" s="565"/>
      <c r="BB360" s="565"/>
      <c r="BC360" s="565"/>
      <c r="BD360" s="565"/>
      <c r="BE360" s="565"/>
      <c r="BF360" s="565"/>
      <c r="BH360" s="1065">
        <f>IF($Y360&lt;&gt;"votre valeur :",IF(ISNA(VLOOKUP($Y360,Utilitaires!$N$566:$O$571,2,FALSE)),,VLOOKUP($Y360,Utilitaires!$N$566:$O$571,2,FALSE)),$Z360)</f>
        <v>0</v>
      </c>
      <c r="BI360" s="1130">
        <f>SQRT(SUMSQ(0,BH360))</f>
        <v>0</v>
      </c>
    </row>
    <row r="361" spans="2:66" ht="12.75" hidden="1" customHeight="1" outlineLevel="2">
      <c r="B361" s="143"/>
      <c r="C361" s="144"/>
      <c r="D361" s="212"/>
      <c r="E361" s="212"/>
      <c r="F361" s="353"/>
      <c r="G361" s="144"/>
      <c r="H361" s="144"/>
      <c r="I361" s="156"/>
      <c r="T361" s="116"/>
      <c r="U361" s="116"/>
      <c r="X361" s="143"/>
      <c r="Y361" s="144"/>
      <c r="Z361" s="144"/>
      <c r="AA361" s="144"/>
      <c r="AB361" s="144"/>
      <c r="AC361" s="144"/>
      <c r="AD361" s="144"/>
      <c r="AE361" s="165"/>
      <c r="AH361" s="569"/>
      <c r="AI361" s="625"/>
      <c r="AJ361" s="625"/>
      <c r="AK361" s="625"/>
      <c r="AL361" s="625"/>
      <c r="AM361" s="625"/>
      <c r="AN361" s="625"/>
      <c r="AO361" s="625"/>
      <c r="AP361" s="625"/>
      <c r="AQ361" s="625"/>
      <c r="AR361" s="625"/>
      <c r="AS361" s="625"/>
      <c r="AT361" s="1313"/>
      <c r="AU361" s="1313"/>
      <c r="AV361" s="1314"/>
      <c r="AW361" s="565"/>
      <c r="AX361" s="565"/>
      <c r="AY361" s="568"/>
      <c r="AZ361" s="565"/>
      <c r="BA361" s="565"/>
      <c r="BB361" s="565"/>
      <c r="BC361" s="565"/>
      <c r="BD361" s="565"/>
      <c r="BE361" s="565"/>
      <c r="BF361" s="565"/>
      <c r="BH361" s="1087"/>
      <c r="BI361" s="1131"/>
    </row>
    <row r="362" spans="2:66" ht="12.75" hidden="1" customHeight="1" outlineLevel="2">
      <c r="B362" s="196" t="s">
        <v>348</v>
      </c>
      <c r="C362" s="197"/>
      <c r="D362" s="214">
        <f>SUM(D358:D361)</f>
        <v>0</v>
      </c>
      <c r="E362" s="214"/>
      <c r="F362" s="198"/>
      <c r="G362" s="197"/>
      <c r="H362" s="197"/>
      <c r="I362" s="200">
        <f>SUM(I358:I361)</f>
        <v>0</v>
      </c>
      <c r="T362" s="116"/>
      <c r="U362" s="116"/>
      <c r="X362" s="1204">
        <f>IF(AE362=0,AE362,AE362/D362)</f>
        <v>0</v>
      </c>
      <c r="Y362" s="199"/>
      <c r="Z362" s="199"/>
      <c r="AA362" s="199"/>
      <c r="AB362" s="199"/>
      <c r="AC362" s="199"/>
      <c r="AD362" s="199"/>
      <c r="AE362" s="200">
        <f>SQRT(SUMSQ(AE358:AE361))</f>
        <v>0</v>
      </c>
      <c r="AH362" s="1308">
        <f>SUM(AH358:AH361)</f>
        <v>0</v>
      </c>
      <c r="AI362" s="1309"/>
      <c r="AJ362" s="1309"/>
      <c r="AK362" s="1309"/>
      <c r="AL362" s="1309"/>
      <c r="AM362" s="1309"/>
      <c r="AN362" s="1309"/>
      <c r="AO362" s="1309"/>
      <c r="AP362" s="1309"/>
      <c r="AQ362" s="1309"/>
      <c r="AR362" s="1309"/>
      <c r="AS362" s="1309"/>
      <c r="AT362" s="1312">
        <f>SUM(AT358:AT361)</f>
        <v>0</v>
      </c>
      <c r="AU362" s="1312"/>
      <c r="AV362" s="1312"/>
      <c r="AW362" s="1082"/>
      <c r="AX362" s="572"/>
      <c r="AY362" s="575"/>
      <c r="AZ362" s="2447"/>
      <c r="BA362" s="2447"/>
      <c r="BB362" s="2447"/>
      <c r="BC362" s="2447"/>
      <c r="BD362" s="2447"/>
      <c r="BE362" s="2447"/>
      <c r="BF362" s="2447"/>
    </row>
    <row r="363" spans="2:66" ht="12.75" hidden="1" customHeight="1" outlineLevel="2">
      <c r="F363" s="264"/>
      <c r="G363" s="265"/>
      <c r="H363" s="254"/>
    </row>
    <row r="364" spans="2:66" ht="12.75" hidden="1" customHeight="1" outlineLevel="2">
      <c r="B364" s="139" t="s">
        <v>2344</v>
      </c>
      <c r="C364" s="140"/>
      <c r="D364" s="140"/>
      <c r="E364" s="140"/>
      <c r="F364" s="140"/>
      <c r="G364" s="141"/>
      <c r="H364" s="141"/>
      <c r="I364" s="141"/>
      <c r="J364" s="141"/>
      <c r="K364" s="141"/>
      <c r="L364" s="141"/>
      <c r="M364" s="140"/>
      <c r="N364" s="140"/>
      <c r="O364" s="1320"/>
      <c r="X364" s="2636" t="s">
        <v>366</v>
      </c>
      <c r="Y364" s="2637"/>
      <c r="Z364" s="2637"/>
      <c r="AA364" s="2637"/>
      <c r="AB364" s="2637"/>
      <c r="AC364" s="2637"/>
      <c r="AD364" s="2637"/>
      <c r="AE364" s="2637"/>
      <c r="AF364" s="2638"/>
      <c r="AH364" s="2639" t="s">
        <v>441</v>
      </c>
      <c r="AI364" s="2640"/>
      <c r="AJ364" s="2640"/>
      <c r="AK364" s="2640"/>
      <c r="AL364" s="2640"/>
      <c r="AM364" s="2640"/>
      <c r="AN364" s="2640"/>
      <c r="AO364" s="2640"/>
      <c r="AP364" s="2640"/>
      <c r="AQ364" s="2640"/>
      <c r="AR364" s="2640"/>
      <c r="AS364" s="2640"/>
      <c r="AT364" s="2640"/>
      <c r="AU364" s="2640"/>
      <c r="AV364" s="2640"/>
      <c r="AW364" s="2640"/>
      <c r="AX364" s="2640"/>
      <c r="AY364" s="2641"/>
      <c r="AZ364" s="2418"/>
      <c r="BA364" s="2418"/>
      <c r="BB364" s="2418"/>
      <c r="BC364" s="2418"/>
      <c r="BD364" s="2418"/>
      <c r="BE364" s="2418"/>
      <c r="BF364" s="2418"/>
    </row>
    <row r="365" spans="2:66" ht="12.75" hidden="1" customHeight="1" outlineLevel="2">
      <c r="B365" s="332"/>
      <c r="C365" s="167"/>
      <c r="D365" s="1334" t="s">
        <v>308</v>
      </c>
      <c r="E365" s="1663"/>
      <c r="F365" s="144"/>
      <c r="G365" s="144"/>
      <c r="H365" s="144"/>
      <c r="I365" s="144"/>
      <c r="J365" s="144"/>
      <c r="K365" s="144"/>
      <c r="L365" s="144"/>
      <c r="M365" s="2768" t="s">
        <v>233</v>
      </c>
      <c r="N365" s="2841"/>
      <c r="O365" s="153" t="s">
        <v>275</v>
      </c>
      <c r="X365" s="1316"/>
      <c r="Y365" s="1317"/>
      <c r="Z365" s="1317"/>
      <c r="AA365" s="1334"/>
      <c r="AB365" s="1334"/>
      <c r="AC365" s="2423"/>
      <c r="AD365" s="1334"/>
      <c r="AE365" s="1334"/>
      <c r="AF365" s="1320" t="s">
        <v>275</v>
      </c>
      <c r="AH365" s="2642" t="s">
        <v>444</v>
      </c>
      <c r="AI365" s="2643"/>
      <c r="AJ365" s="2643"/>
      <c r="AK365" s="2643"/>
      <c r="AL365" s="2643"/>
      <c r="AM365" s="2643"/>
      <c r="AN365" s="2643"/>
      <c r="AO365" s="2643"/>
      <c r="AP365" s="2643"/>
      <c r="AQ365" s="2643"/>
      <c r="AR365" s="2643"/>
      <c r="AS365" s="2643"/>
      <c r="AT365" s="2643" t="s">
        <v>444</v>
      </c>
      <c r="AU365" s="2643"/>
      <c r="AV365" s="565"/>
      <c r="AW365" s="1288"/>
      <c r="AX365" s="566"/>
      <c r="AY365" s="1333"/>
      <c r="AZ365" s="2286"/>
      <c r="BA365" s="2286"/>
      <c r="BB365" s="2286"/>
      <c r="BC365" s="2286"/>
      <c r="BD365" s="2286"/>
      <c r="BE365" s="2286"/>
      <c r="BF365" s="2286"/>
      <c r="BH365" s="2616" t="s">
        <v>1648</v>
      </c>
      <c r="BI365" s="2617"/>
      <c r="BJ365" s="2617"/>
      <c r="BK365" s="2617"/>
      <c r="BL365" s="2617"/>
      <c r="BM365" s="2617"/>
      <c r="BN365" s="2618"/>
    </row>
    <row r="366" spans="2:66" ht="12.75" hidden="1" customHeight="1" outlineLevel="2">
      <c r="B366" s="1316" t="s">
        <v>185</v>
      </c>
      <c r="C366" s="1317"/>
      <c r="D366" s="1317" t="s">
        <v>409</v>
      </c>
      <c r="E366" s="1656"/>
      <c r="F366" s="147" t="s">
        <v>452</v>
      </c>
      <c r="G366" s="147"/>
      <c r="H366" s="2626" t="s">
        <v>2324</v>
      </c>
      <c r="I366" s="2627"/>
      <c r="J366" s="1170"/>
      <c r="K366" s="2626" t="s">
        <v>2247</v>
      </c>
      <c r="L366" s="2628"/>
      <c r="M366" s="1334" t="s">
        <v>444</v>
      </c>
      <c r="N366" s="1334" t="s">
        <v>444</v>
      </c>
      <c r="O366" s="153" t="s">
        <v>276</v>
      </c>
      <c r="X366" s="1316" t="s">
        <v>316</v>
      </c>
      <c r="Y366" s="2629" t="s">
        <v>316</v>
      </c>
      <c r="Z366" s="2630"/>
      <c r="AA366" s="1317" t="s">
        <v>444</v>
      </c>
      <c r="AB366" s="1317" t="s">
        <v>444</v>
      </c>
      <c r="AC366" s="2419"/>
      <c r="AD366" s="1317"/>
      <c r="AE366" s="1334" t="s">
        <v>444</v>
      </c>
      <c r="AF366" s="153" t="s">
        <v>276</v>
      </c>
      <c r="AH366" s="2631" t="s">
        <v>211</v>
      </c>
      <c r="AI366" s="2632"/>
      <c r="AJ366" s="2632"/>
      <c r="AK366" s="2632" t="s">
        <v>442</v>
      </c>
      <c r="AL366" s="2632"/>
      <c r="AM366" s="2632"/>
      <c r="AN366" s="2632" t="s">
        <v>267</v>
      </c>
      <c r="AO366" s="2632"/>
      <c r="AP366" s="2632"/>
      <c r="AQ366" s="2632" t="s">
        <v>443</v>
      </c>
      <c r="AR366" s="2632"/>
      <c r="AS366" s="2632"/>
      <c r="AT366" s="2648" t="s">
        <v>327</v>
      </c>
      <c r="AU366" s="2648"/>
      <c r="AV366" s="565"/>
      <c r="AW366" s="2631" t="s">
        <v>636</v>
      </c>
      <c r="AX366" s="2632"/>
      <c r="AY366" s="568"/>
      <c r="AZ366" s="565"/>
      <c r="BA366" s="565"/>
      <c r="BB366" s="565"/>
      <c r="BC366" s="565"/>
      <c r="BD366" s="565"/>
      <c r="BE366" s="565"/>
      <c r="BF366" s="565"/>
      <c r="BH366" s="2837" t="s">
        <v>1646</v>
      </c>
      <c r="BI366" s="2833" t="s">
        <v>2222</v>
      </c>
      <c r="BJ366" s="2834"/>
      <c r="BK366" s="2835"/>
      <c r="BL366" s="2833" t="s">
        <v>2324</v>
      </c>
      <c r="BM366" s="2834"/>
      <c r="BN366" s="2835"/>
    </row>
    <row r="367" spans="2:66" ht="12.75" hidden="1" customHeight="1" outlineLevel="2">
      <c r="B367" s="1316"/>
      <c r="C367" s="1317"/>
      <c r="D367" s="1317" t="s">
        <v>444</v>
      </c>
      <c r="E367" s="1656"/>
      <c r="F367" s="1321" t="s">
        <v>445</v>
      </c>
      <c r="G367" s="1321" t="s">
        <v>415</v>
      </c>
      <c r="H367" s="1322" t="s">
        <v>411</v>
      </c>
      <c r="I367" s="1322" t="s">
        <v>257</v>
      </c>
      <c r="J367" s="1321" t="s">
        <v>271</v>
      </c>
      <c r="K367" s="1322" t="s">
        <v>411</v>
      </c>
      <c r="L367" s="1322" t="s">
        <v>257</v>
      </c>
      <c r="M367" s="1318" t="s">
        <v>411</v>
      </c>
      <c r="N367" s="1318" t="s">
        <v>257</v>
      </c>
      <c r="O367" s="153" t="s">
        <v>444</v>
      </c>
      <c r="X367" s="1316" t="s">
        <v>1649</v>
      </c>
      <c r="Y367" s="2646" t="s">
        <v>1650</v>
      </c>
      <c r="Z367" s="2647"/>
      <c r="AA367" s="1322" t="s">
        <v>411</v>
      </c>
      <c r="AB367" s="1322" t="s">
        <v>257</v>
      </c>
      <c r="AC367" s="1662"/>
      <c r="AD367" s="1322"/>
      <c r="AE367" s="166" t="s">
        <v>327</v>
      </c>
      <c r="AF367" s="153" t="s">
        <v>444</v>
      </c>
      <c r="AH367" s="1331" t="s">
        <v>411</v>
      </c>
      <c r="AI367" s="1332" t="s">
        <v>257</v>
      </c>
      <c r="AJ367" s="1332"/>
      <c r="AK367" s="1332" t="s">
        <v>411</v>
      </c>
      <c r="AL367" s="1332" t="s">
        <v>257</v>
      </c>
      <c r="AM367" s="1332"/>
      <c r="AN367" s="1332" t="s">
        <v>411</v>
      </c>
      <c r="AO367" s="1332" t="s">
        <v>257</v>
      </c>
      <c r="AP367" s="1332"/>
      <c r="AQ367" s="1332" t="s">
        <v>411</v>
      </c>
      <c r="AR367" s="1332" t="s">
        <v>257</v>
      </c>
      <c r="AS367" s="1332"/>
      <c r="AT367" s="581" t="s">
        <v>411</v>
      </c>
      <c r="AU367" s="581" t="s">
        <v>257</v>
      </c>
      <c r="AV367" s="581"/>
      <c r="AW367" s="1331" t="s">
        <v>411</v>
      </c>
      <c r="AX367" s="1332" t="s">
        <v>257</v>
      </c>
      <c r="AY367" s="1333"/>
      <c r="AZ367" s="2286"/>
      <c r="BA367" s="2286"/>
      <c r="BB367" s="2286"/>
      <c r="BC367" s="2286"/>
      <c r="BD367" s="2286"/>
      <c r="BE367" s="2286"/>
      <c r="BF367" s="2286"/>
      <c r="BH367" s="2838"/>
      <c r="BI367" s="1325" t="s">
        <v>411</v>
      </c>
      <c r="BJ367" s="1325" t="s">
        <v>257</v>
      </c>
      <c r="BK367" s="1327"/>
      <c r="BL367" s="1325" t="s">
        <v>411</v>
      </c>
      <c r="BM367" s="1325" t="s">
        <v>257</v>
      </c>
      <c r="BN367" s="1327"/>
    </row>
    <row r="368" spans="2:66" ht="12.75" hidden="1" customHeight="1" outlineLevel="2">
      <c r="B368" s="143" t="s">
        <v>4030</v>
      </c>
      <c r="C368" s="144"/>
      <c r="D368" s="212">
        <f>M368+N368</f>
        <v>0</v>
      </c>
      <c r="E368" s="212"/>
      <c r="F368" s="409"/>
      <c r="G368" s="117"/>
      <c r="H368" s="376">
        <f>VLOOKUP($B368&amp;"; "&amp;$H$366&amp;", "&amp;H$367,'FE Fret'!$G:$U,9,FALSE)</f>
        <v>6.8100000000000001E-3</v>
      </c>
      <c r="I368" s="376">
        <f>VLOOKUP($B368&amp;"; "&amp;$H$366&amp;", "&amp;I$367,'FE Fret'!$G:$U,9,FALSE)</f>
        <v>2.6200000000000001E-2</v>
      </c>
      <c r="J368" s="117"/>
      <c r="K368" s="627">
        <f>IF(ISNA(VLOOKUP($B368&amp;"; "&amp;$K$366&amp;", "&amp;K$367,'FE Fret'!$G:$U,9,FALSE)),0,VLOOKUP($B368&amp;"; "&amp;$K$366&amp;", "&amp;K$367,'FE Fret'!$G:$U,9,FALSE))</f>
        <v>0</v>
      </c>
      <c r="L368" s="627">
        <f>IF(ISNA(VLOOKUP($B368&amp;"; "&amp;$K$366&amp;", "&amp;L$367,'FE Fret'!$G:$U,9,FALSE)),0,VLOOKUP($B368&amp;"; "&amp;$K$366&amp;", "&amp;L$367,'FE Fret'!$G:$U,9,FALSE))</f>
        <v>0</v>
      </c>
      <c r="M368" s="356">
        <f>G368*H368+J368*K368</f>
        <v>0</v>
      </c>
      <c r="N368" s="356">
        <f>G368*I368+J368*L368</f>
        <v>0</v>
      </c>
      <c r="O368" s="1286">
        <f>IF(OR(F368=Utilitaires!$G$572,F368=Utilitaires!$G$577),N368,0)</f>
        <v>0</v>
      </c>
      <c r="X368" s="1092">
        <f>IF(AE368=0,AE368,AE368/D368)</f>
        <v>0</v>
      </c>
      <c r="Y368" s="343"/>
      <c r="Z368" s="820"/>
      <c r="AA368" s="164">
        <f t="shared" ref="AA368:AB370" si="127">SQRT(SUMSQ(IF(ISNA($G368*H368*BI368),0,$G368*H368*BI368),IF(ISNA($J368*K368*BL368),0,$J368*K368*BL368)))</f>
        <v>0</v>
      </c>
      <c r="AB368" s="164">
        <f t="shared" si="127"/>
        <v>0</v>
      </c>
      <c r="AC368" s="164"/>
      <c r="AD368" s="164"/>
      <c r="AE368" s="151">
        <f>SQRT(SUMSQ(AA368:AD368))</f>
        <v>0</v>
      </c>
      <c r="AF368" s="1286">
        <f>O368*X368</f>
        <v>0</v>
      </c>
      <c r="AH368" s="564">
        <f>$G368*IF(ISNA(VLOOKUP($B368&amp;"; "&amp;$H$366&amp;", "&amp;H$367,'FE Fret'!$G:$U,10,FALSE)),0,VLOOKUP($B368&amp;"; "&amp;$H$366&amp;", "&amp;H$367,'FE Fret'!$G:$U,10,FALSE))
+$J368*IF(ISNA(VLOOKUP($B368&amp;"; "&amp;$K$366&amp;", "&amp;H$367,'FE Fret'!$G:$U,10,FALSE)),0,VLOOKUP($B368&amp;"; "&amp;$K$366&amp;", "&amp;H$367,'FE Fret'!$G:$U,10,FALSE))</f>
        <v>0</v>
      </c>
      <c r="AI368" s="565">
        <f>$G368*IF(ISNA(VLOOKUP($B368&amp;"; "&amp;$H$366&amp;", "&amp;I$367,'FE Fret'!$G:$U,10,FALSE)),0,VLOOKUP($B368&amp;"; "&amp;$H$366&amp;", "&amp;I$367,'FE Fret'!$G:$U,10,FALSE))
+$J368*IF(ISNA(VLOOKUP($B368&amp;"; "&amp;$K$366&amp;", "&amp;I$367,'FE Fret'!$G:$U,10,FALSE)),0,VLOOKUP($B368&amp;"; "&amp;$K$366&amp;", "&amp;I$367,'FE Fret'!$G:$U,10,FALSE))</f>
        <v>0</v>
      </c>
      <c r="AJ368" s="565"/>
      <c r="AK368" s="565">
        <f>$G368*IF(ISNA((VLOOKUP($B368&amp;"; "&amp;$H$366&amp;", "&amp;H$367,'FE Fret'!$G:$U,12,FALSE)+VLOOKUP($B368&amp;"; "&amp;$H$366&amp;", "&amp;H$367,'FE Fret'!$G:$U,11,FALSE))),0,(VLOOKUP($B368&amp;"; "&amp;$H$366&amp;", "&amp;H$367,'FE Fret'!$G:$U,12,FALSE)+VLOOKUP($B368&amp;"; "&amp;$H$366&amp;", "&amp;H$367,'FE Fret'!$G:$U,11,FALSE)))
+$J368*IF(ISNA((VLOOKUP($B368&amp;"; "&amp;$K$366&amp;", "&amp;H$367,'FE Fret'!$G:$U,12,FALSE)+VLOOKUP($B368&amp;"; "&amp;$K$366&amp;", "&amp;H$367,'FE Fret'!$G:$U,11,FALSE))),0,(VLOOKUP($B368&amp;"; "&amp;$K$366&amp;", "&amp;H$367,'FE Fret'!$G:$U,12,FALSE)+VLOOKUP($B368&amp;"; "&amp;$K$366&amp;", "&amp;H$367,'FE Fret'!$G:$U,11,FALSE)))</f>
        <v>0</v>
      </c>
      <c r="AL368" s="565">
        <f>$G368*IF(ISNA((VLOOKUP($B368&amp;"; "&amp;$H$366&amp;", "&amp;I$367,'FE Fret'!$G:$U,12,FALSE)+VLOOKUP($B368&amp;"; "&amp;$H$366&amp;", "&amp;I$367,'FE Fret'!$G:$U,11,FALSE))),0,(VLOOKUP($B368&amp;"; "&amp;$H$366&amp;", "&amp;I$367,'FE Fret'!$G:$U,12,FALSE)+VLOOKUP($B368&amp;"; "&amp;$H$366&amp;", "&amp;I$367,'FE Fret'!$G:$U,11,FALSE)))
+$J368*IF(ISNA((VLOOKUP($B368&amp;"; "&amp;$K$366&amp;", "&amp;I$367,'FE Fret'!$G:$U,12,FALSE)+VLOOKUP($B368&amp;"; "&amp;$K$366&amp;", "&amp;I$367,'FE Fret'!$G:$U,11,FALSE))),0,(VLOOKUP($B368&amp;"; "&amp;$K$366&amp;", "&amp;I$367,'FE Fret'!$G:$U,12,FALSE)+VLOOKUP($B368&amp;"; "&amp;$K$366&amp;", "&amp;I$367,'FE Fret'!$G:$U,11,FALSE)))</f>
        <v>0</v>
      </c>
      <c r="AM368" s="565"/>
      <c r="AN368" s="565">
        <f>$G368*IF(ISNA(VLOOKUP($B368&amp;"; "&amp;$H$366&amp;", "&amp;H$367,'FE Fret'!$G:$U,13,FALSE)),0,VLOOKUP($B368&amp;"; "&amp;$H$366&amp;", "&amp;H$367,'FE Fret'!$G:$U,13,FALSE))
+$J368*IF(ISNA(VLOOKUP($B368&amp;"; "&amp;$K$366&amp;", "&amp;H$367,'FE Fret'!$G:$U,13,FALSE)),0,VLOOKUP($B368&amp;"; "&amp;$K$366&amp;", "&amp;H$367,'FE Fret'!$G:$U,13,FALSE))</f>
        <v>0</v>
      </c>
      <c r="AO368" s="565">
        <f>$G368*IF(ISNA(VLOOKUP($B368&amp;"; "&amp;$H$366&amp;", "&amp;I$367,'FE Fret'!$G:$U,13,FALSE)),0,VLOOKUP($B368&amp;"; "&amp;$H$366&amp;", "&amp;I$367,'FE Fret'!$G:$U,13,FALSE))
+$J368*IF(ISNA(VLOOKUP($B368&amp;"; "&amp;$K$366&amp;", "&amp;I$367,'FE Fret'!$G:$U,13,FALSE)),0,VLOOKUP($B368&amp;"; "&amp;$K$366&amp;", "&amp;I$367,'FE Fret'!$G:$U,13,FALSE))</f>
        <v>0</v>
      </c>
      <c r="AP368" s="565"/>
      <c r="AQ368" s="565">
        <v>0</v>
      </c>
      <c r="AR368" s="565">
        <v>0</v>
      </c>
      <c r="AS368" s="565"/>
      <c r="AT368" s="566">
        <f>SUM(AH368,AK368,AN368,AQ368)</f>
        <v>0</v>
      </c>
      <c r="AU368" s="566">
        <f>SUM(AI368,AL368,AO368,AR368)</f>
        <v>0</v>
      </c>
      <c r="AV368" s="566"/>
      <c r="AW368" s="564">
        <f>$G368*IF(ISNA(VLOOKUP($B368&amp;"; "&amp;$H$366&amp;", "&amp;H$367,'FE Fret'!$G:$U,15,FALSE)),0,VLOOKUP($B368&amp;"; "&amp;$H$366&amp;", "&amp;H$367,'FE Fret'!$G:$U,15,FALSE))
+$J368*IF(ISNA(VLOOKUP($B368&amp;"; "&amp;$K$366&amp;", "&amp;H$367,'FE Fret'!$G:$U,15,FALSE)),0,VLOOKUP($B368&amp;"; "&amp;$K$366&amp;", "&amp;H$367,'FE Fret'!$G:$U,15,FALSE))</f>
        <v>0</v>
      </c>
      <c r="AX368" s="565">
        <f>$G368*IF(ISNA(VLOOKUP($B368&amp;"; "&amp;$H$366&amp;", "&amp;I$367,'FE Fret'!$G:$U,15,FALSE)),0,VLOOKUP($B368&amp;"; "&amp;$H$366&amp;", "&amp;I$367,'FE Fret'!$G:$U,15,FALSE))
+$J368*IF(ISNA(VLOOKUP($B368&amp;"; "&amp;$K$366&amp;", "&amp;I$367,'FE Fret'!$G:$U,15,FALSE)),0,VLOOKUP($B368&amp;"; "&amp;$K$366&amp;", "&amp;I$367,'FE Fret'!$G:$U,15,FALSE))</f>
        <v>0</v>
      </c>
      <c r="AY368" s="568"/>
      <c r="AZ368" s="565"/>
      <c r="BA368" s="565"/>
      <c r="BB368" s="565"/>
      <c r="BC368" s="565"/>
      <c r="BD368" s="565"/>
      <c r="BE368" s="565"/>
      <c r="BF368" s="565"/>
      <c r="BH368" s="1065">
        <f>IF($Y368&lt;&gt;"votre valeur :",IF(ISNA(VLOOKUP($Y368,Utilitaires!$N$566:$O$571,2,FALSE)),,VLOOKUP($Y368,Utilitaires!$N$566:$O$571,2,FALSE)),$Z368)</f>
        <v>0</v>
      </c>
      <c r="BI368" s="1124">
        <f>IF(ISNA(SQRT(SUMSQ(VLOOKUP($B368&amp;"; "&amp;$H$366&amp;", "&amp;H$367,'FE Fret'!$G:$U,7,FALSE),$BH368))),0,SQRT(SUMSQ(VLOOKUP($B368&amp;"; "&amp;$H$366&amp;", "&amp;H$367,'FE Fret'!$G:$U,7,FALSE),$BH368)))</f>
        <v>0.7</v>
      </c>
      <c r="BJ368" s="1124">
        <f>IF(ISNA(SQRT(SUMSQ(VLOOKUP($B368&amp;"; "&amp;$H$366&amp;", "&amp;I$367,'FE Fret'!$G:$U,7,FALSE),$BH368))),0,SQRT(SUMSQ(VLOOKUP($B368&amp;"; "&amp;$H$366&amp;", "&amp;I$367,'FE Fret'!$G:$U,7,FALSE),$BH368)))</f>
        <v>0.7</v>
      </c>
      <c r="BK368" s="1124"/>
      <c r="BL368" s="1124">
        <f>IF(ISNA(SQRT(SUMSQ(VLOOKUP($B368&amp;"; "&amp;$K$366&amp;", "&amp;K$367,'FE Fret'!$G:$U,7,FALSE),$BH368))),0,SQRT(SUMSQ(VLOOKUP($B368&amp;"; "&amp;$K$366&amp;", "&amp;K$367,'FE Fret'!$G:$U,7,FALSE),$BH368)))</f>
        <v>0</v>
      </c>
      <c r="BM368" s="1130">
        <f>IF(ISNA(SQRT(SUMSQ(VLOOKUP($B368&amp;"; "&amp;$K$366&amp;", "&amp;L$367,'FE Fret'!$G:$U,7,FALSE),$BH368))),0,SQRT(SUMSQ(VLOOKUP($B368&amp;"; "&amp;$K$366&amp;", "&amp;L$367,'FE Fret'!$G:$U,7,FALSE),$BH368)))</f>
        <v>0</v>
      </c>
      <c r="BN368" s="1130"/>
    </row>
    <row r="369" spans="1:68" ht="12.75" hidden="1" customHeight="1" outlineLevel="2">
      <c r="B369" s="143" t="s">
        <v>4031</v>
      </c>
      <c r="C369" s="144"/>
      <c r="D369" s="212">
        <f>M369+N369</f>
        <v>0</v>
      </c>
      <c r="E369" s="212"/>
      <c r="F369" s="346"/>
      <c r="G369" s="120"/>
      <c r="H369" s="376">
        <f>VLOOKUP($B369&amp;"; "&amp;$H$366&amp;", "&amp;H$367,'FE Fret'!$G:$U,9,FALSE)</f>
        <v>7.4099999999999999E-3</v>
      </c>
      <c r="I369" s="376">
        <f>VLOOKUP($B369&amp;"; "&amp;$H$366&amp;", "&amp;I$367,'FE Fret'!$G:$U,9,FALSE)</f>
        <v>2.8500000000000001E-2</v>
      </c>
      <c r="J369" s="120"/>
      <c r="K369" s="627">
        <f>IF(ISNA(VLOOKUP($B369&amp;"; "&amp;$K$366&amp;", "&amp;K$367,'FE Fret'!$G:$U,9,FALSE)),0,VLOOKUP($B369&amp;"; "&amp;$K$366&amp;", "&amp;K$367,'FE Fret'!$G:$U,9,FALSE))</f>
        <v>0</v>
      </c>
      <c r="L369" s="627">
        <f>IF(ISNA(VLOOKUP($B369&amp;"; "&amp;$K$366&amp;", "&amp;L$367,'FE Fret'!$G:$U,9,FALSE)),0,VLOOKUP($B369&amp;"; "&amp;$K$366&amp;", "&amp;L$367,'FE Fret'!$G:$U,9,FALSE))</f>
        <v>0</v>
      </c>
      <c r="M369" s="356">
        <f>G369*H369+J369*K369</f>
        <v>0</v>
      </c>
      <c r="N369" s="356">
        <f>G369*I369+J369*L369</f>
        <v>0</v>
      </c>
      <c r="O369" s="1286">
        <f>IF(OR(F369=Utilitaires!$G$572,F369=Utilitaires!$G$577),N369,0)</f>
        <v>0</v>
      </c>
      <c r="X369" s="1092">
        <f>IF(AE369=0,AE369,AE369/D369)</f>
        <v>0</v>
      </c>
      <c r="Y369" s="343"/>
      <c r="Z369" s="820"/>
      <c r="AA369" s="164">
        <f t="shared" si="127"/>
        <v>0</v>
      </c>
      <c r="AB369" s="164">
        <f t="shared" si="127"/>
        <v>0</v>
      </c>
      <c r="AC369" s="164"/>
      <c r="AD369" s="164"/>
      <c r="AE369" s="151">
        <f>SQRT(SUMSQ(AA369:AD369))</f>
        <v>0</v>
      </c>
      <c r="AF369" s="1286">
        <f>O369*X369</f>
        <v>0</v>
      </c>
      <c r="AH369" s="564">
        <f>$G369*IF(ISNA(VLOOKUP($B369&amp;"; "&amp;$H$366&amp;", "&amp;H$367,'FE Fret'!$G:$U,10,FALSE)),0,VLOOKUP($B369&amp;"; "&amp;$H$366&amp;", "&amp;H$367,'FE Fret'!$G:$U,10,FALSE))
+$J369*IF(ISNA(VLOOKUP($B369&amp;"; "&amp;$K$366&amp;", "&amp;H$367,'FE Fret'!$G:$U,10,FALSE)),0,VLOOKUP($B369&amp;"; "&amp;$K$366&amp;", "&amp;H$367,'FE Fret'!$G:$U,10,FALSE))</f>
        <v>0</v>
      </c>
      <c r="AI369" s="565">
        <f>$G369*IF(ISNA(VLOOKUP($B369&amp;"; "&amp;$H$366&amp;", "&amp;I$367,'FE Fret'!$G:$U,10,FALSE)),0,VLOOKUP($B369&amp;"; "&amp;$H$366&amp;", "&amp;I$367,'FE Fret'!$G:$U,10,FALSE))
+$J369*IF(ISNA(VLOOKUP($B369&amp;"; "&amp;$K$366&amp;", "&amp;I$367,'FE Fret'!$G:$U,10,FALSE)),0,VLOOKUP($B369&amp;"; "&amp;$K$366&amp;", "&amp;I$367,'FE Fret'!$G:$U,10,FALSE))</f>
        <v>0</v>
      </c>
      <c r="AJ369" s="565"/>
      <c r="AK369" s="565">
        <f>$G369*IF(ISNA((VLOOKUP($B369&amp;"; "&amp;$H$366&amp;", "&amp;H$367,'FE Fret'!$G:$U,12,FALSE)+VLOOKUP($B369&amp;"; "&amp;$H$366&amp;", "&amp;H$367,'FE Fret'!$G:$U,11,FALSE))),0,(VLOOKUP($B369&amp;"; "&amp;$H$366&amp;", "&amp;H$367,'FE Fret'!$G:$U,12,FALSE)+VLOOKUP($B369&amp;"; "&amp;$H$366&amp;", "&amp;H$367,'FE Fret'!$G:$U,11,FALSE)))
+$J369*IF(ISNA((VLOOKUP($B369&amp;"; "&amp;$K$366&amp;", "&amp;H$367,'FE Fret'!$G:$U,12,FALSE)+VLOOKUP($B369&amp;"; "&amp;$K$366&amp;", "&amp;H$367,'FE Fret'!$G:$U,11,FALSE))),0,(VLOOKUP($B369&amp;"; "&amp;$K$366&amp;", "&amp;H$367,'FE Fret'!$G:$U,12,FALSE)+VLOOKUP($B369&amp;"; "&amp;$K$366&amp;", "&amp;H$367,'FE Fret'!$G:$U,11,FALSE)))</f>
        <v>0</v>
      </c>
      <c r="AL369" s="565">
        <f>$G369*IF(ISNA((VLOOKUP($B369&amp;"; "&amp;$H$366&amp;", "&amp;I$367,'FE Fret'!$G:$U,12,FALSE)+VLOOKUP($B369&amp;"; "&amp;$H$366&amp;", "&amp;I$367,'FE Fret'!$G:$U,11,FALSE))),0,(VLOOKUP($B369&amp;"; "&amp;$H$366&amp;", "&amp;I$367,'FE Fret'!$G:$U,12,FALSE)+VLOOKUP($B369&amp;"; "&amp;$H$366&amp;", "&amp;I$367,'FE Fret'!$G:$U,11,FALSE)))
+$J369*IF(ISNA((VLOOKUP($B369&amp;"; "&amp;$K$366&amp;", "&amp;I$367,'FE Fret'!$G:$U,12,FALSE)+VLOOKUP($B369&amp;"; "&amp;$K$366&amp;", "&amp;I$367,'FE Fret'!$G:$U,11,FALSE))),0,(VLOOKUP($B369&amp;"; "&amp;$K$366&amp;", "&amp;I$367,'FE Fret'!$G:$U,12,FALSE)+VLOOKUP($B369&amp;"; "&amp;$K$366&amp;", "&amp;I$367,'FE Fret'!$G:$U,11,FALSE)))</f>
        <v>0</v>
      </c>
      <c r="AM369" s="565"/>
      <c r="AN369" s="565">
        <f>$G369*IF(ISNA(VLOOKUP($B369&amp;"; "&amp;$H$366&amp;", "&amp;H$367,'FE Fret'!$G:$U,13,FALSE)),0,VLOOKUP($B369&amp;"; "&amp;$H$366&amp;", "&amp;H$367,'FE Fret'!$G:$U,13,FALSE))
+$J369*IF(ISNA(VLOOKUP($B369&amp;"; "&amp;$K$366&amp;", "&amp;H$367,'FE Fret'!$G:$U,13,FALSE)),0,VLOOKUP($B369&amp;"; "&amp;$K$366&amp;", "&amp;H$367,'FE Fret'!$G:$U,13,FALSE))</f>
        <v>0</v>
      </c>
      <c r="AO369" s="565">
        <f>$G369*IF(ISNA(VLOOKUP($B369&amp;"; "&amp;$H$366&amp;", "&amp;I$367,'FE Fret'!$G:$U,13,FALSE)),0,VLOOKUP($B369&amp;"; "&amp;$H$366&amp;", "&amp;I$367,'FE Fret'!$G:$U,13,FALSE))
+$J369*IF(ISNA(VLOOKUP($B369&amp;"; "&amp;$K$366&amp;", "&amp;I$367,'FE Fret'!$G:$U,13,FALSE)),0,VLOOKUP($B369&amp;"; "&amp;$K$366&amp;", "&amp;I$367,'FE Fret'!$G:$U,13,FALSE))</f>
        <v>0</v>
      </c>
      <c r="AP369" s="565"/>
      <c r="AQ369" s="565">
        <v>0</v>
      </c>
      <c r="AR369" s="565">
        <v>0</v>
      </c>
      <c r="AS369" s="565"/>
      <c r="AT369" s="566">
        <f>SUM(AH369,AK369,AN369,AQ369)</f>
        <v>0</v>
      </c>
      <c r="AU369" s="566">
        <f>SUM(AI369,AL369,AO369,AR369)</f>
        <v>0</v>
      </c>
      <c r="AV369" s="566"/>
      <c r="AW369" s="564">
        <f>$G369*IF(ISNA(VLOOKUP($B369&amp;"; "&amp;$H$366&amp;", "&amp;H$367,'FE Fret'!$G:$U,15,FALSE)),0,VLOOKUP($B369&amp;"; "&amp;$H$366&amp;", "&amp;H$367,'FE Fret'!$G:$U,15,FALSE))
+$J369*IF(ISNA(VLOOKUP($B369&amp;"; "&amp;$K$366&amp;", "&amp;H$367,'FE Fret'!$G:$U,15,FALSE)),0,VLOOKUP($B369&amp;"; "&amp;$K$366&amp;", "&amp;H$367,'FE Fret'!$G:$U,15,FALSE))</f>
        <v>0</v>
      </c>
      <c r="AX369" s="565">
        <f>$G369*IF(ISNA(VLOOKUP($B369&amp;"; "&amp;$H$366&amp;", "&amp;I$367,'FE Fret'!$G:$U,15,FALSE)),0,VLOOKUP($B369&amp;"; "&amp;$H$366&amp;", "&amp;I$367,'FE Fret'!$G:$U,15,FALSE))
+$J369*IF(ISNA(VLOOKUP($B369&amp;"; "&amp;$K$366&amp;", "&amp;I$367,'FE Fret'!$G:$U,15,FALSE)),0,VLOOKUP($B369&amp;"; "&amp;$K$366&amp;", "&amp;I$367,'FE Fret'!$G:$U,15,FALSE))</f>
        <v>0</v>
      </c>
      <c r="AY369" s="568"/>
      <c r="AZ369" s="565"/>
      <c r="BA369" s="565"/>
      <c r="BB369" s="565"/>
      <c r="BC369" s="565"/>
      <c r="BD369" s="565"/>
      <c r="BE369" s="565"/>
      <c r="BF369" s="565"/>
      <c r="BH369" s="1065">
        <f>IF($Y369&lt;&gt;"votre valeur :",IF(ISNA(VLOOKUP($Y369,Utilitaires!$N$566:$O$571,2,FALSE)),,VLOOKUP($Y369,Utilitaires!$N$566:$O$571,2,FALSE)),$Z369)</f>
        <v>0</v>
      </c>
      <c r="BI369" s="1124">
        <f>IF(ISNA(SQRT(SUMSQ(VLOOKUP($B369&amp;"; "&amp;$H$366&amp;", "&amp;H$367,'FE Fret'!$G:$U,7,FALSE),$BH369))),0,SQRT(SUMSQ(VLOOKUP($B369&amp;"; "&amp;$H$366&amp;", "&amp;H$367,'FE Fret'!$G:$U,7,FALSE),$BH369)))</f>
        <v>0.7</v>
      </c>
      <c r="BJ369" s="1124">
        <f>IF(ISNA(SQRT(SUMSQ(VLOOKUP($B369&amp;"; "&amp;$H$366&amp;", "&amp;I$367,'FE Fret'!$G:$U,7,FALSE),$BH369))),0,SQRT(SUMSQ(VLOOKUP($B369&amp;"; "&amp;$H$366&amp;", "&amp;I$367,'FE Fret'!$G:$U,7,FALSE),$BH369)))</f>
        <v>0.7</v>
      </c>
      <c r="BK369" s="1124"/>
      <c r="BL369" s="1124">
        <f>IF(ISNA(SQRT(SUMSQ(VLOOKUP($B369&amp;"; "&amp;$K$366&amp;", "&amp;K$367,'FE Fret'!$G:$U,7,FALSE),$BH369))),0,SQRT(SUMSQ(VLOOKUP($B369&amp;"; "&amp;$K$366&amp;", "&amp;K$367,'FE Fret'!$G:$U,7,FALSE),$BH369)))</f>
        <v>0</v>
      </c>
      <c r="BM369" s="1130">
        <f>IF(ISNA(SQRT(SUMSQ(VLOOKUP($B369&amp;"; "&amp;$K$366&amp;", "&amp;L$367,'FE Fret'!$G:$U,7,FALSE),$BH369))),0,SQRT(SUMSQ(VLOOKUP($B369&amp;"; "&amp;$K$366&amp;", "&amp;L$367,'FE Fret'!$G:$U,7,FALSE),$BH369)))</f>
        <v>0</v>
      </c>
      <c r="BN369" s="1130"/>
    </row>
    <row r="370" spans="1:68" ht="12.75" hidden="1" customHeight="1" outlineLevel="2">
      <c r="B370" s="143" t="s">
        <v>4032</v>
      </c>
      <c r="C370" s="144"/>
      <c r="D370" s="212">
        <f>M370+N370</f>
        <v>0</v>
      </c>
      <c r="E370" s="212"/>
      <c r="F370" s="347"/>
      <c r="G370" s="123"/>
      <c r="H370" s="376">
        <f>VLOOKUP($B370&amp;"; "&amp;$H$366&amp;", "&amp;H$367,'FE Fret'!$G:$U,9,FALSE)</f>
        <v>1E-3</v>
      </c>
      <c r="I370" s="376">
        <f>VLOOKUP($B370&amp;"; "&amp;$H$366&amp;", "&amp;I$367,'FE Fret'!$G:$U,9,FALSE)</f>
        <v>3.15E-2</v>
      </c>
      <c r="J370" s="123"/>
      <c r="K370" s="627">
        <f>IF(ISNA(VLOOKUP($B370&amp;"; "&amp;$K$366&amp;", "&amp;K$367,'FE Fret'!$G:$U,9,FALSE)),0,VLOOKUP($B370&amp;"; "&amp;$K$366&amp;", "&amp;K$367,'FE Fret'!$G:$U,9,FALSE))</f>
        <v>0</v>
      </c>
      <c r="L370" s="627">
        <f>IF(ISNA(VLOOKUP($B370&amp;"; "&amp;$K$366&amp;", "&amp;L$367,'FE Fret'!$G:$U,9,FALSE)),0,VLOOKUP($B370&amp;"; "&amp;$K$366&amp;", "&amp;L$367,'FE Fret'!$G:$U,9,FALSE))</f>
        <v>0</v>
      </c>
      <c r="M370" s="356">
        <f>G370*H370+J370*K370</f>
        <v>0</v>
      </c>
      <c r="N370" s="356">
        <f>G370*I370+J370*L370</f>
        <v>0</v>
      </c>
      <c r="O370" s="1286">
        <f>IF(OR(F370=Utilitaires!$G$572,F370=Utilitaires!$G$577),N370,0)</f>
        <v>0</v>
      </c>
      <c r="X370" s="1092">
        <f>IF(AE370=0,AE370,AE370/D370)</f>
        <v>0</v>
      </c>
      <c r="Y370" s="1094"/>
      <c r="Z370" s="820"/>
      <c r="AA370" s="164">
        <f t="shared" si="127"/>
        <v>0</v>
      </c>
      <c r="AB370" s="164">
        <f t="shared" si="127"/>
        <v>0</v>
      </c>
      <c r="AC370" s="164"/>
      <c r="AD370" s="164"/>
      <c r="AE370" s="151">
        <f>SQRT(SUMSQ(AA370:AD370))</f>
        <v>0</v>
      </c>
      <c r="AF370" s="1286">
        <f>O370*X370</f>
        <v>0</v>
      </c>
      <c r="AH370" s="564">
        <f>$G2189*IF(ISNA(VLOOKUP($B2189&amp;"; "&amp;$H$366&amp;", "&amp;H$367,'FE Fret'!$G:$U,10,FALSE)),0,VLOOKUP($B2189&amp;"; "&amp;$H$366&amp;", "&amp;H$367,'FE Fret'!$G:$U,10,FALSE))
+$K2189*IF(ISNA(VLOOKUP($B2189&amp;"; "&amp;$K$366&amp;", "&amp;H$367,'FE Fret'!$G:$U,10,FALSE)),0,VLOOKUP($B2189&amp;"; "&amp;$K$366&amp;", "&amp;H$367,'FE Fret'!$G:$U,10,FALSE))</f>
        <v>0</v>
      </c>
      <c r="AI370" s="565">
        <f>$G2189*IF(ISNA(VLOOKUP($B2189&amp;"; "&amp;$H$366&amp;", "&amp;I$367,'FE Fret'!$G:$U,10,FALSE)),0,VLOOKUP($B2189&amp;"; "&amp;$H$366&amp;", "&amp;I$367,'FE Fret'!$G:$U,10,FALSE))
+$K2189*IF(ISNA(VLOOKUP($B2189&amp;"; "&amp;$K$366&amp;", "&amp;I$367,'FE Fret'!$G:$U,10,FALSE)),0,VLOOKUP($B2189&amp;"; "&amp;$K$366&amp;", "&amp;I$367,'FE Fret'!$G:$U,10,FALSE))</f>
        <v>0</v>
      </c>
      <c r="AJ370" s="565"/>
      <c r="AK370" s="565">
        <f>$G2189*IF(ISNA((VLOOKUP($B2189&amp;"; "&amp;$H$366&amp;", "&amp;H$367,'FE Fret'!$G:$U,12,FALSE)+VLOOKUP($B2189&amp;"; "&amp;$H$366&amp;", "&amp;H$367,'FE Fret'!$G:$U,11,FALSE))),0,(VLOOKUP($B2189&amp;"; "&amp;$H$366&amp;", "&amp;H$367,'FE Fret'!$G:$U,12,FALSE)+VLOOKUP($B2189&amp;"; "&amp;$H$366&amp;", "&amp;H$367,'FE Fret'!$G:$U,11,FALSE)))
+$K2189*IF(ISNA((VLOOKUP($B2189&amp;"; "&amp;$K$366&amp;", "&amp;H$367,'FE Fret'!$G:$U,12,FALSE)+VLOOKUP($B2189&amp;"; "&amp;$K$366&amp;", "&amp;H$367,'FE Fret'!$G:$U,11,FALSE))),0,(VLOOKUP($B2189&amp;"; "&amp;$K$366&amp;", "&amp;H$367,'FE Fret'!$G:$U,12,FALSE)+VLOOKUP($B2189&amp;"; "&amp;$K$366&amp;", "&amp;H$367,'FE Fret'!$G:$U,11,FALSE)))</f>
        <v>0</v>
      </c>
      <c r="AL370" s="565">
        <f>$G2189*IF(ISNA((VLOOKUP($B2189&amp;"; "&amp;$H$366&amp;", "&amp;I$367,'FE Fret'!$G:$U,12,FALSE)+VLOOKUP($B2189&amp;"; "&amp;$H$366&amp;", "&amp;I$367,'FE Fret'!$G:$U,11,FALSE))),0,(VLOOKUP($B2189&amp;"; "&amp;$H$366&amp;", "&amp;I$367,'FE Fret'!$G:$U,12,FALSE)+VLOOKUP($B2189&amp;"; "&amp;$H$366&amp;", "&amp;I$367,'FE Fret'!$G:$U,11,FALSE)))
+$K2189*IF(ISNA((VLOOKUP($B2189&amp;"; "&amp;$K$366&amp;", "&amp;I$367,'FE Fret'!$G:$U,12,FALSE)+VLOOKUP($B2189&amp;"; "&amp;$K$366&amp;", "&amp;I$367,'FE Fret'!$G:$U,11,FALSE))),0,(VLOOKUP($B2189&amp;"; "&amp;$K$366&amp;", "&amp;I$367,'FE Fret'!$G:$U,12,FALSE)+VLOOKUP($B2189&amp;"; "&amp;$K$366&amp;", "&amp;I$367,'FE Fret'!$G:$U,11,FALSE)))</f>
        <v>0</v>
      </c>
      <c r="AM370" s="565"/>
      <c r="AN370" s="565">
        <f>$G2189*IF(ISNA(VLOOKUP($B2189&amp;"; "&amp;$H$366&amp;", "&amp;H$367,'FE Fret'!$G:$U,13,FALSE)),0,VLOOKUP($B2189&amp;"; "&amp;$H$366&amp;", "&amp;H$367,'FE Fret'!$G:$U,13,FALSE))
+$K2189*IF(ISNA(VLOOKUP($B2189&amp;"; "&amp;$K$366&amp;", "&amp;H$367,'FE Fret'!$G:$U,13,FALSE)),0,VLOOKUP($B2189&amp;"; "&amp;$K$366&amp;", "&amp;H$367,'FE Fret'!$G:$U,13,FALSE))</f>
        <v>0</v>
      </c>
      <c r="AO370" s="565">
        <f>$G2189*IF(ISNA(VLOOKUP($B2189&amp;"; "&amp;$H$366&amp;", "&amp;I$367,'FE Fret'!$G:$U,13,FALSE)),0,VLOOKUP($B2189&amp;"; "&amp;$H$366&amp;", "&amp;I$367,'FE Fret'!$G:$U,13,FALSE))
+$K2189*IF(ISNA(VLOOKUP($B2189&amp;"; "&amp;$K$366&amp;", "&amp;I$367,'FE Fret'!$G:$U,13,FALSE)),0,VLOOKUP($B2189&amp;"; "&amp;$K$366&amp;", "&amp;I$367,'FE Fret'!$G:$U,13,FALSE))</f>
        <v>0</v>
      </c>
      <c r="AP370" s="565"/>
      <c r="AQ370" s="565">
        <v>0</v>
      </c>
      <c r="AR370" s="565">
        <v>0</v>
      </c>
      <c r="AS370" s="565"/>
      <c r="AT370" s="566">
        <f>SUM(AH2189,AK2189,AN2189,AQ2189)</f>
        <v>0</v>
      </c>
      <c r="AU370" s="566">
        <f>SUM(AI2189,AL2189,AO2189,AR2189)</f>
        <v>0</v>
      </c>
      <c r="AV370" s="566"/>
      <c r="AW370" s="564">
        <f>$G2189*IF(ISNA(VLOOKUP($B2189&amp;"; "&amp;$H$366&amp;", "&amp;H$367,'FE Fret'!$G:$U,15,FALSE)),0,VLOOKUP($B2189&amp;"; "&amp;$H$366&amp;", "&amp;H$367,'FE Fret'!$G:$U,15,FALSE))
+$K2189*IF(ISNA(VLOOKUP($B2189&amp;"; "&amp;$K$366&amp;", "&amp;H$367,'FE Fret'!$G:$U,15,FALSE)),0,VLOOKUP($B2189&amp;"; "&amp;$K$366&amp;", "&amp;H$367,'FE Fret'!$G:$U,15,FALSE))</f>
        <v>0</v>
      </c>
      <c r="AX370" s="565">
        <f>$G2189*IF(ISNA(VLOOKUP($B2189&amp;"; "&amp;$H$366&amp;", "&amp;I$367,'FE Fret'!$G:$U,15,FALSE)),0,VLOOKUP($B2189&amp;"; "&amp;$H$366&amp;", "&amp;I$367,'FE Fret'!$G:$U,15,FALSE))
+$K2189*IF(ISNA(VLOOKUP($B2189&amp;"; "&amp;$K$366&amp;", "&amp;I$367,'FE Fret'!$G:$U,15,FALSE)),0,VLOOKUP($B2189&amp;"; "&amp;$K$366&amp;", "&amp;I$367,'FE Fret'!$G:$U,15,FALSE))</f>
        <v>0</v>
      </c>
      <c r="AY370" s="568"/>
      <c r="AZ370" s="565"/>
      <c r="BA370" s="565"/>
      <c r="BB370" s="565"/>
      <c r="BC370" s="565"/>
      <c r="BD370" s="565"/>
      <c r="BE370" s="565"/>
      <c r="BF370" s="565"/>
      <c r="BH370" s="1065">
        <f>IF($Y370&lt;&gt;"votre valeur :",IF(ISNA(VLOOKUP($Y370,Utilitaires!$N$566:$O$571,2,FALSE)),,VLOOKUP($Y370,Utilitaires!$N$566:$O$571,2,FALSE)),$Z370)</f>
        <v>0</v>
      </c>
      <c r="BI370" s="1124">
        <f>IF(ISNA(SQRT(SUMSQ(VLOOKUP($B370&amp;"; "&amp;$H$366&amp;", "&amp;H$367,'FE Fret'!$G:$U,7,FALSE),$BH370))),0,SQRT(SUMSQ(VLOOKUP($B370&amp;"; "&amp;$H$366&amp;", "&amp;H$367,'FE Fret'!$G:$U,7,FALSE),$BH370)))</f>
        <v>0.7</v>
      </c>
      <c r="BJ370" s="1124">
        <f>IF(ISNA(SQRT(SUMSQ(VLOOKUP($B370&amp;"; "&amp;$H$366&amp;", "&amp;I$367,'FE Fret'!$G:$U,7,FALSE),$BH370))),0,SQRT(SUMSQ(VLOOKUP($B370&amp;"; "&amp;$H$366&amp;", "&amp;I$367,'FE Fret'!$G:$U,7,FALSE),$BH370)))</f>
        <v>0.7</v>
      </c>
      <c r="BK370" s="1124"/>
      <c r="BL370" s="1124">
        <f>IF(ISNA(SQRT(SUMSQ(VLOOKUP($B370&amp;"; "&amp;$K$366&amp;", "&amp;K$367,'FE Fret'!$G:$U,7,FALSE),$BH370))),0,SQRT(SUMSQ(VLOOKUP($B370&amp;"; "&amp;$K$366&amp;", "&amp;K$367,'FE Fret'!$G:$U,7,FALSE),$BH370)))</f>
        <v>0</v>
      </c>
      <c r="BM370" s="1130">
        <f>IF(ISNA(SQRT(SUMSQ(VLOOKUP($B370&amp;"; "&amp;$K$366&amp;", "&amp;L$367,'FE Fret'!$G:$U,7,FALSE),$BH370))),0,SQRT(SUMSQ(VLOOKUP($B370&amp;"; "&amp;$K$366&amp;", "&amp;L$367,'FE Fret'!$G:$U,7,FALSE),$BH370)))</f>
        <v>0</v>
      </c>
      <c r="BN370" s="1130"/>
    </row>
    <row r="371" spans="1:68" ht="12.75" hidden="1" customHeight="1" outlineLevel="2">
      <c r="B371" s="143"/>
      <c r="C371" s="144"/>
      <c r="D371" s="221"/>
      <c r="E371" s="221"/>
      <c r="F371" s="144"/>
      <c r="G371" s="364"/>
      <c r="H371" s="364"/>
      <c r="I371" s="364"/>
      <c r="J371" s="364"/>
      <c r="K371" s="364"/>
      <c r="L371" s="364"/>
      <c r="M371" s="365"/>
      <c r="N371" s="365"/>
      <c r="O371" s="1286"/>
      <c r="X371" s="143"/>
      <c r="Y371" s="144"/>
      <c r="Z371" s="144"/>
      <c r="AA371" s="155"/>
      <c r="AB371" s="155"/>
      <c r="AC371" s="155"/>
      <c r="AD371" s="155"/>
      <c r="AE371" s="215"/>
      <c r="AF371" s="1336"/>
      <c r="AH371" s="564"/>
      <c r="AI371" s="565"/>
      <c r="AJ371" s="565"/>
      <c r="AK371" s="565"/>
      <c r="AL371" s="565"/>
      <c r="AM371" s="565"/>
      <c r="AN371" s="565"/>
      <c r="AO371" s="565"/>
      <c r="AP371" s="565"/>
      <c r="AQ371" s="565"/>
      <c r="AR371" s="565"/>
      <c r="AS371" s="565"/>
      <c r="AT371" s="566"/>
      <c r="AU371" s="566"/>
      <c r="AV371" s="567"/>
      <c r="AW371" s="565"/>
      <c r="AX371" s="565"/>
      <c r="AY371" s="568"/>
      <c r="AZ371" s="565"/>
      <c r="BA371" s="565"/>
      <c r="BB371" s="565"/>
      <c r="BC371" s="565"/>
      <c r="BD371" s="565"/>
      <c r="BE371" s="565"/>
      <c r="BF371" s="565"/>
      <c r="BH371" s="1087"/>
      <c r="BI371" s="1075"/>
      <c r="BJ371" s="1131"/>
      <c r="BK371" s="1126"/>
      <c r="BL371" s="1075"/>
      <c r="BM371" s="1131"/>
      <c r="BN371" s="1153"/>
    </row>
    <row r="372" spans="1:68" ht="12.75" hidden="1" customHeight="1" outlineLevel="2">
      <c r="B372" s="196" t="s">
        <v>348</v>
      </c>
      <c r="C372" s="197"/>
      <c r="D372" s="214">
        <f>SUM(D368:D371)</f>
        <v>0</v>
      </c>
      <c r="E372" s="214"/>
      <c r="F372" s="197"/>
      <c r="G372" s="197"/>
      <c r="H372" s="373"/>
      <c r="I372" s="373"/>
      <c r="J372" s="197"/>
      <c r="K372" s="373"/>
      <c r="L372" s="373"/>
      <c r="M372" s="374">
        <f>SUM(M368:M371)</f>
        <v>0</v>
      </c>
      <c r="N372" s="202">
        <f>SUM(N368:N371)</f>
        <v>0</v>
      </c>
      <c r="O372" s="1311">
        <f>SUM(O368:O371)</f>
        <v>0</v>
      </c>
      <c r="X372" s="1204">
        <f>IF(AE372=0,AE372,AE372/D372)</f>
        <v>0</v>
      </c>
      <c r="Y372" s="199"/>
      <c r="Z372" s="199"/>
      <c r="AA372" s="203">
        <f>SQRT(SUMSQ(AA368:AA371))</f>
        <v>0</v>
      </c>
      <c r="AB372" s="203">
        <f>SQRT(SUMSQ(AB368:AB371))</f>
        <v>0</v>
      </c>
      <c r="AC372" s="203"/>
      <c r="AD372" s="203"/>
      <c r="AE372" s="202">
        <f>SQRT(SUMSQ(AE368:AE371))</f>
        <v>0</v>
      </c>
      <c r="AF372" s="340">
        <f>SQRT(SUMSQ(AF368:AF371))</f>
        <v>0</v>
      </c>
      <c r="AH372" s="571">
        <f>SUM(AH368:AH371)</f>
        <v>0</v>
      </c>
      <c r="AI372" s="572">
        <f>SUM(AI368:AI371)</f>
        <v>0</v>
      </c>
      <c r="AJ372" s="572"/>
      <c r="AK372" s="572">
        <f>SUM(AK368:AK371)</f>
        <v>0</v>
      </c>
      <c r="AL372" s="572">
        <f>SUM(AL368:AL371)</f>
        <v>0</v>
      </c>
      <c r="AM372" s="572">
        <f>SUM(AM368:AM371)</f>
        <v>0</v>
      </c>
      <c r="AN372" s="572">
        <f>SUM(AN368:AN371)</f>
        <v>0</v>
      </c>
      <c r="AO372" s="572">
        <f>SUM(AO368:AO371)</f>
        <v>0</v>
      </c>
      <c r="AP372" s="572"/>
      <c r="AQ372" s="572">
        <f>SUM(AQ368:AQ371)</f>
        <v>0</v>
      </c>
      <c r="AR372" s="572">
        <f>SUM(AR368:AR371)</f>
        <v>0</v>
      </c>
      <c r="AS372" s="572"/>
      <c r="AT372" s="573">
        <f>SUM(AT368:AT371)</f>
        <v>0</v>
      </c>
      <c r="AU372" s="573">
        <f>SUM(AU368:AU371)</f>
        <v>0</v>
      </c>
      <c r="AV372" s="574"/>
      <c r="AW372" s="1082">
        <f>SUM(AW368:AW371)</f>
        <v>0</v>
      </c>
      <c r="AX372" s="572">
        <f>SUM(AX368:AX371)</f>
        <v>0</v>
      </c>
      <c r="AY372" s="575"/>
      <c r="AZ372" s="2447"/>
      <c r="BA372" s="2447"/>
      <c r="BB372" s="2447"/>
      <c r="BC372" s="2447"/>
      <c r="BD372" s="2447"/>
      <c r="BE372" s="2447"/>
      <c r="BF372" s="2447"/>
    </row>
    <row r="373" spans="1:68" ht="12.75" hidden="1" customHeight="1" outlineLevel="2">
      <c r="B373" s="260"/>
      <c r="C373" s="260"/>
      <c r="D373" s="260"/>
      <c r="E373" s="260"/>
      <c r="F373" s="260"/>
      <c r="G373" s="260"/>
      <c r="H373" s="260"/>
      <c r="I373" s="260"/>
      <c r="J373" s="260"/>
      <c r="K373" s="260"/>
      <c r="L373" s="260"/>
      <c r="M373" s="260"/>
      <c r="N373" s="260"/>
      <c r="O373" s="260"/>
      <c r="P373" s="260"/>
      <c r="Q373" s="260"/>
      <c r="V373" s="116"/>
    </row>
    <row r="374" spans="1:68" ht="15" hidden="1" outlineLevel="1">
      <c r="B374" s="260"/>
      <c r="C374" s="260"/>
      <c r="D374" s="260"/>
      <c r="E374" s="260"/>
      <c r="F374" s="260"/>
      <c r="G374" s="260"/>
      <c r="H374" s="260"/>
      <c r="I374" s="260"/>
      <c r="J374" s="260"/>
      <c r="K374" s="260"/>
      <c r="L374" s="116"/>
      <c r="AG374" s="130"/>
      <c r="AP374" s="593"/>
      <c r="AQ374" s="593"/>
    </row>
    <row r="375" spans="1:68" ht="15">
      <c r="B375" s="260"/>
      <c r="C375" s="260"/>
      <c r="D375" s="260"/>
      <c r="E375" s="260"/>
      <c r="F375" s="260"/>
      <c r="G375" s="260"/>
      <c r="H375" s="260"/>
      <c r="I375" s="260"/>
      <c r="J375" s="260"/>
      <c r="K375" s="260"/>
      <c r="L375" s="116"/>
      <c r="AG375" s="130"/>
      <c r="AP375" s="593"/>
      <c r="AQ375" s="593"/>
    </row>
    <row r="376" spans="1:68" ht="15.6">
      <c r="B376" s="2652" t="s">
        <v>2513</v>
      </c>
      <c r="C376" s="2653"/>
      <c r="D376" s="2653"/>
      <c r="E376" s="2653"/>
      <c r="F376" s="2653"/>
      <c r="G376" s="2653"/>
      <c r="H376" s="2653"/>
      <c r="I376" s="2653"/>
      <c r="J376" s="2653"/>
      <c r="K376" s="2653"/>
      <c r="L376" s="2653"/>
      <c r="M376" s="2653"/>
      <c r="N376" s="2653"/>
      <c r="O376" s="2654"/>
      <c r="AG376" s="130"/>
      <c r="AP376" s="593"/>
      <c r="AQ376" s="593"/>
    </row>
    <row r="377" spans="1:68" ht="15" outlineLevel="1">
      <c r="B377" s="260"/>
      <c r="C377" s="260"/>
      <c r="D377" s="260"/>
      <c r="E377" s="260"/>
      <c r="F377" s="260"/>
      <c r="G377" s="260"/>
      <c r="H377" s="260"/>
      <c r="I377" s="260"/>
      <c r="J377" s="260"/>
      <c r="K377" s="260"/>
      <c r="L377" s="116"/>
      <c r="AG377" s="130"/>
      <c r="AP377" s="593"/>
      <c r="AQ377" s="593"/>
    </row>
    <row r="378" spans="1:68" s="116" customFormat="1" ht="15.75" customHeight="1" outlineLevel="1">
      <c r="A378" s="114"/>
      <c r="B378" s="2842" t="s">
        <v>2325</v>
      </c>
      <c r="C378" s="2843"/>
      <c r="D378" s="2843"/>
      <c r="E378" s="2843"/>
      <c r="F378" s="2843"/>
      <c r="G378" s="2843"/>
      <c r="H378" s="2843"/>
      <c r="I378" s="2843"/>
      <c r="J378" s="2843"/>
      <c r="K378" s="2843"/>
      <c r="L378" s="2843"/>
      <c r="M378" s="2843"/>
      <c r="N378" s="2843"/>
      <c r="O378" s="2844"/>
      <c r="P378" s="109"/>
      <c r="Q378" s="130"/>
      <c r="R378" s="130"/>
      <c r="S378" s="130"/>
      <c r="T378" s="130"/>
      <c r="U378" s="130"/>
      <c r="V378" s="130"/>
      <c r="W378" s="130"/>
      <c r="X378" s="130"/>
      <c r="Y378" s="130"/>
      <c r="Z378" s="130"/>
      <c r="AA378" s="130"/>
      <c r="AB378" s="130"/>
      <c r="AC378" s="130"/>
      <c r="AD378" s="130"/>
      <c r="AE378" s="130"/>
      <c r="AF378" s="130"/>
      <c r="AG378" s="114"/>
      <c r="AH378" s="441"/>
      <c r="AI378" s="441"/>
      <c r="AJ378" s="441"/>
      <c r="AK378" s="441"/>
      <c r="AL378" s="441"/>
      <c r="AM378" s="441"/>
      <c r="AN378" s="441"/>
      <c r="AO378" s="441"/>
      <c r="AP378" s="441"/>
      <c r="AQ378" s="441"/>
      <c r="AR378" s="441"/>
      <c r="AS378" s="441"/>
      <c r="AT378" s="588"/>
      <c r="AU378" s="588"/>
      <c r="AV378" s="588"/>
      <c r="AW378" s="588"/>
      <c r="AX378" s="588"/>
      <c r="AY378" s="588"/>
      <c r="AZ378" s="588"/>
      <c r="BA378" s="588"/>
      <c r="BB378" s="588"/>
      <c r="BC378" s="588"/>
      <c r="BD378" s="588"/>
      <c r="BE378" s="588"/>
      <c r="BF378" s="588"/>
      <c r="BG378" s="109"/>
      <c r="BH378" s="109"/>
      <c r="BI378" s="109"/>
      <c r="BJ378" s="109"/>
      <c r="BK378" s="109"/>
    </row>
    <row r="379" spans="1:68" ht="12.75" customHeight="1" outlineLevel="2">
      <c r="D379" s="256"/>
      <c r="F379" s="256"/>
      <c r="G379" s="256"/>
      <c r="H379" s="256"/>
      <c r="I379" s="256"/>
      <c r="J379" s="256"/>
      <c r="K379" s="256"/>
      <c r="AH379" s="444"/>
      <c r="AI379" s="588"/>
      <c r="AJ379" s="588"/>
      <c r="AK379" s="588"/>
      <c r="AL379" s="588"/>
      <c r="AM379" s="588"/>
      <c r="AN379" s="588"/>
      <c r="AO379" s="588"/>
      <c r="AP379" s="588"/>
      <c r="AQ379" s="588"/>
      <c r="AR379" s="588"/>
      <c r="AU379" s="588"/>
      <c r="AV379" s="588"/>
      <c r="AW379" s="588"/>
      <c r="AX379" s="588"/>
      <c r="AY379" s="588"/>
      <c r="AZ379" s="588"/>
      <c r="BA379" s="588"/>
      <c r="BB379" s="588"/>
      <c r="BC379" s="588"/>
      <c r="BD379" s="588"/>
      <c r="BE379" s="588"/>
      <c r="BF379" s="588"/>
      <c r="BG379" s="109"/>
      <c r="BH379" s="109"/>
      <c r="BI379" s="109"/>
      <c r="BJ379" s="109"/>
      <c r="BK379" s="109"/>
    </row>
    <row r="380" spans="1:68" s="116" customFormat="1" ht="12.75" customHeight="1" outlineLevel="2">
      <c r="A380" s="114"/>
      <c r="B380" s="1091" t="s">
        <v>572</v>
      </c>
      <c r="C380" s="140"/>
      <c r="D380" s="140"/>
      <c r="E380" s="140"/>
      <c r="F380" s="140"/>
      <c r="G380" s="140"/>
      <c r="H380" s="140"/>
      <c r="I380" s="140"/>
      <c r="J380" s="140"/>
      <c r="K380" s="140"/>
      <c r="L380" s="140"/>
      <c r="M380" s="140"/>
      <c r="N380" s="140"/>
      <c r="O380" s="140"/>
      <c r="P380" s="140"/>
      <c r="Q380" s="140"/>
      <c r="R380" s="140"/>
      <c r="S380" s="140"/>
      <c r="T380" s="140"/>
      <c r="U380" s="1341"/>
      <c r="X380" s="2636" t="s">
        <v>366</v>
      </c>
      <c r="Y380" s="2637"/>
      <c r="Z380" s="2637"/>
      <c r="AA380" s="2637"/>
      <c r="AB380" s="2637"/>
      <c r="AC380" s="2637"/>
      <c r="AD380" s="2637"/>
      <c r="AE380" s="2637"/>
      <c r="AF380" s="2638"/>
      <c r="AG380" s="114"/>
      <c r="AH380" s="2639" t="s">
        <v>441</v>
      </c>
      <c r="AI380" s="2640"/>
      <c r="AJ380" s="2640"/>
      <c r="AK380" s="2640"/>
      <c r="AL380" s="2640"/>
      <c r="AM380" s="2640"/>
      <c r="AN380" s="2640"/>
      <c r="AO380" s="2640"/>
      <c r="AP380" s="2640"/>
      <c r="AQ380" s="2640"/>
      <c r="AR380" s="2640"/>
      <c r="AS380" s="2640"/>
      <c r="AT380" s="2640"/>
      <c r="AU380" s="2640"/>
      <c r="AV380" s="2640"/>
      <c r="AW380" s="2640"/>
      <c r="AX380" s="2640"/>
      <c r="AY380" s="2641"/>
      <c r="AZ380" s="2418"/>
      <c r="BA380" s="2418"/>
      <c r="BB380" s="2418"/>
      <c r="BC380" s="2418"/>
      <c r="BD380" s="2418"/>
      <c r="BE380" s="2418"/>
      <c r="BF380" s="2418"/>
      <c r="BH380" s="109"/>
      <c r="BI380" s="109"/>
      <c r="BJ380" s="109"/>
      <c r="BK380" s="109"/>
    </row>
    <row r="381" spans="1:68" ht="12.75" customHeight="1" outlineLevel="2">
      <c r="B381" s="143"/>
      <c r="C381" s="144"/>
      <c r="D381" s="1334" t="s">
        <v>308</v>
      </c>
      <c r="E381" s="1663"/>
      <c r="F381" s="144"/>
      <c r="G381" s="144"/>
      <c r="H381" s="144"/>
      <c r="I381" s="144"/>
      <c r="J381" s="144"/>
      <c r="K381" s="144"/>
      <c r="L381" s="144"/>
      <c r="M381" s="144"/>
      <c r="N381" s="144"/>
      <c r="O381" s="144"/>
      <c r="P381" s="144"/>
      <c r="Q381" s="144"/>
      <c r="R381" s="144"/>
      <c r="S381" s="2628"/>
      <c r="T381" s="2627"/>
      <c r="U381" s="153" t="s">
        <v>275</v>
      </c>
      <c r="X381" s="1170"/>
      <c r="Y381" s="1323"/>
      <c r="Z381" s="1323"/>
      <c r="AA381" s="141"/>
      <c r="AB381" s="141"/>
      <c r="AC381" s="141"/>
      <c r="AD381" s="141"/>
      <c r="AE381" s="141"/>
      <c r="AF381" s="1320" t="s">
        <v>275</v>
      </c>
      <c r="AG381" s="127"/>
      <c r="AH381" s="2642" t="s">
        <v>444</v>
      </c>
      <c r="AI381" s="2643"/>
      <c r="AJ381" s="2643"/>
      <c r="AK381" s="2643"/>
      <c r="AL381" s="2643"/>
      <c r="AM381" s="2643"/>
      <c r="AN381" s="2643"/>
      <c r="AO381" s="2643"/>
      <c r="AP381" s="2643"/>
      <c r="AQ381" s="2643"/>
      <c r="AR381" s="2643"/>
      <c r="AS381" s="2643"/>
      <c r="AT381" s="2643" t="s">
        <v>444</v>
      </c>
      <c r="AU381" s="2643"/>
      <c r="AV381" s="628"/>
      <c r="AW381" s="624"/>
      <c r="AX381" s="624"/>
      <c r="AY381" s="1291"/>
      <c r="AZ381" s="2286"/>
      <c r="BA381" s="2286"/>
      <c r="BB381" s="2286"/>
      <c r="BC381" s="2286"/>
      <c r="BD381" s="2286"/>
      <c r="BE381" s="2286"/>
      <c r="BF381" s="2286"/>
      <c r="BH381" s="2616" t="s">
        <v>1648</v>
      </c>
      <c r="BI381" s="2617"/>
      <c r="BJ381" s="2617"/>
      <c r="BK381" s="2617"/>
      <c r="BL381" s="2617"/>
      <c r="BM381" s="2617"/>
      <c r="BN381" s="2617"/>
      <c r="BO381" s="2617"/>
      <c r="BP381" s="2618"/>
    </row>
    <row r="382" spans="1:68" s="109" customFormat="1" ht="12.75" customHeight="1" outlineLevel="2">
      <c r="B382" s="1316" t="s">
        <v>2248</v>
      </c>
      <c r="C382" s="1317"/>
      <c r="D382" s="1317" t="s">
        <v>409</v>
      </c>
      <c r="E382" s="1656"/>
      <c r="F382" s="1320" t="s">
        <v>452</v>
      </c>
      <c r="G382" s="1320" t="s">
        <v>343</v>
      </c>
      <c r="H382" s="2626" t="s">
        <v>1585</v>
      </c>
      <c r="I382" s="2627"/>
      <c r="J382" s="1320" t="s">
        <v>343</v>
      </c>
      <c r="K382" s="2626" t="s">
        <v>1573</v>
      </c>
      <c r="L382" s="2627"/>
      <c r="M382" s="1320" t="s">
        <v>343</v>
      </c>
      <c r="N382" s="2626" t="s">
        <v>1575</v>
      </c>
      <c r="O382" s="2627"/>
      <c r="P382" s="1320" t="s">
        <v>343</v>
      </c>
      <c r="Q382" s="2626" t="s">
        <v>1574</v>
      </c>
      <c r="R382" s="2628"/>
      <c r="S382" s="1334" t="s">
        <v>444</v>
      </c>
      <c r="T382" s="1334" t="s">
        <v>444</v>
      </c>
      <c r="U382" s="153" t="s">
        <v>276</v>
      </c>
      <c r="W382" s="114"/>
      <c r="X382" s="1316" t="s">
        <v>316</v>
      </c>
      <c r="Y382" s="2629" t="s">
        <v>316</v>
      </c>
      <c r="Z382" s="2836"/>
      <c r="AA382" s="1656" t="s">
        <v>444</v>
      </c>
      <c r="AB382" s="1656" t="s">
        <v>444</v>
      </c>
      <c r="AC382" s="2419"/>
      <c r="AD382" s="1334"/>
      <c r="AE382" s="1334" t="s">
        <v>444</v>
      </c>
      <c r="AF382" s="153" t="s">
        <v>276</v>
      </c>
      <c r="AG382" s="127"/>
      <c r="AH382" s="2631" t="s">
        <v>211</v>
      </c>
      <c r="AI382" s="2632"/>
      <c r="AJ382" s="2632"/>
      <c r="AK382" s="2632" t="s">
        <v>442</v>
      </c>
      <c r="AL382" s="2632"/>
      <c r="AM382" s="2632"/>
      <c r="AN382" s="2632" t="s">
        <v>267</v>
      </c>
      <c r="AO382" s="2632"/>
      <c r="AP382" s="2632"/>
      <c r="AQ382" s="2632" t="s">
        <v>443</v>
      </c>
      <c r="AR382" s="2632"/>
      <c r="AS382" s="2632"/>
      <c r="AT382" s="2648" t="s">
        <v>327</v>
      </c>
      <c r="AU382" s="2648"/>
      <c r="AV382" s="568"/>
      <c r="AW382" s="2631" t="s">
        <v>636</v>
      </c>
      <c r="AX382" s="2632"/>
      <c r="AY382" s="568"/>
      <c r="AZ382" s="565"/>
      <c r="BA382" s="565"/>
      <c r="BB382" s="565"/>
      <c r="BC382" s="565"/>
      <c r="BD382" s="565"/>
      <c r="BE382" s="565"/>
      <c r="BF382" s="565"/>
      <c r="BH382" s="2837" t="s">
        <v>1646</v>
      </c>
      <c r="BI382" s="2614" t="s">
        <v>1644</v>
      </c>
      <c r="BJ382" s="2645"/>
      <c r="BK382" s="2645"/>
      <c r="BL382" s="2615"/>
      <c r="BM382" s="2614" t="s">
        <v>1645</v>
      </c>
      <c r="BN382" s="2645"/>
      <c r="BO382" s="2645"/>
      <c r="BP382" s="2615"/>
    </row>
    <row r="383" spans="1:68" s="109" customFormat="1" ht="12.75" customHeight="1" outlineLevel="2">
      <c r="B383" s="1316"/>
      <c r="C383" s="1317"/>
      <c r="D383" s="1317" t="s">
        <v>444</v>
      </c>
      <c r="E383" s="1656"/>
      <c r="F383" s="1321" t="s">
        <v>445</v>
      </c>
      <c r="G383" s="153" t="s">
        <v>287</v>
      </c>
      <c r="H383" s="1322" t="s">
        <v>411</v>
      </c>
      <c r="I383" s="1322" t="s">
        <v>257</v>
      </c>
      <c r="J383" s="153" t="s">
        <v>790</v>
      </c>
      <c r="K383" s="1322" t="s">
        <v>411</v>
      </c>
      <c r="L383" s="1322" t="s">
        <v>257</v>
      </c>
      <c r="M383" s="153" t="s">
        <v>791</v>
      </c>
      <c r="N383" s="1322" t="s">
        <v>411</v>
      </c>
      <c r="O383" s="1322" t="s">
        <v>257</v>
      </c>
      <c r="P383" s="153" t="s">
        <v>213</v>
      </c>
      <c r="Q383" s="1322" t="s">
        <v>411</v>
      </c>
      <c r="R383" s="1322" t="s">
        <v>257</v>
      </c>
      <c r="S383" s="1318" t="s">
        <v>411</v>
      </c>
      <c r="T383" s="1318" t="s">
        <v>257</v>
      </c>
      <c r="U383" s="153" t="s">
        <v>444</v>
      </c>
      <c r="W383" s="114"/>
      <c r="X383" s="1316" t="s">
        <v>1649</v>
      </c>
      <c r="Y383" s="2646" t="s">
        <v>1650</v>
      </c>
      <c r="Z383" s="2847"/>
      <c r="AA383" s="1662" t="s">
        <v>411</v>
      </c>
      <c r="AB383" s="1662" t="s">
        <v>257</v>
      </c>
      <c r="AC383" s="1662"/>
      <c r="AD383" s="166"/>
      <c r="AE383" s="166" t="s">
        <v>327</v>
      </c>
      <c r="AF383" s="153" t="s">
        <v>444</v>
      </c>
      <c r="AG383" s="116"/>
      <c r="AH383" s="1331" t="s">
        <v>411</v>
      </c>
      <c r="AI383" s="1332" t="s">
        <v>257</v>
      </c>
      <c r="AJ383" s="1332"/>
      <c r="AK383" s="1332" t="s">
        <v>411</v>
      </c>
      <c r="AL383" s="1332" t="s">
        <v>257</v>
      </c>
      <c r="AM383" s="1332"/>
      <c r="AN383" s="1332" t="s">
        <v>411</v>
      </c>
      <c r="AO383" s="1332" t="s">
        <v>257</v>
      </c>
      <c r="AP383" s="1332"/>
      <c r="AQ383" s="1332" t="s">
        <v>411</v>
      </c>
      <c r="AR383" s="1332" t="s">
        <v>257</v>
      </c>
      <c r="AS383" s="1332"/>
      <c r="AT383" s="581" t="s">
        <v>411</v>
      </c>
      <c r="AU383" s="581" t="s">
        <v>257</v>
      </c>
      <c r="AV383" s="582"/>
      <c r="AW383" s="1332" t="s">
        <v>411</v>
      </c>
      <c r="AX383" s="1332" t="s">
        <v>257</v>
      </c>
      <c r="AY383" s="1333"/>
      <c r="AZ383" s="2286"/>
      <c r="BA383" s="2286"/>
      <c r="BB383" s="2286"/>
      <c r="BC383" s="2286"/>
      <c r="BD383" s="2286"/>
      <c r="BE383" s="2286"/>
      <c r="BF383" s="2286"/>
      <c r="BH383" s="2838"/>
      <c r="BI383" s="1328" t="s">
        <v>199</v>
      </c>
      <c r="BJ383" s="1330" t="s">
        <v>309</v>
      </c>
      <c r="BK383" s="1330" t="s">
        <v>272</v>
      </c>
      <c r="BL383" s="1329" t="s">
        <v>2254</v>
      </c>
      <c r="BM383" s="1328" t="s">
        <v>199</v>
      </c>
      <c r="BN383" s="1330" t="s">
        <v>309</v>
      </c>
      <c r="BO383" s="1330" t="s">
        <v>272</v>
      </c>
      <c r="BP383" s="1329" t="s">
        <v>2254</v>
      </c>
    </row>
    <row r="384" spans="1:68" outlineLevel="2">
      <c r="B384" s="143" t="s">
        <v>2250</v>
      </c>
      <c r="C384" s="144"/>
      <c r="D384" s="212">
        <f t="shared" ref="D384:D389" si="128">S384+T384</f>
        <v>0</v>
      </c>
      <c r="E384" s="212"/>
      <c r="F384" s="117"/>
      <c r="G384" s="117"/>
      <c r="H384" s="335">
        <f>VLOOKUP($B384&amp;"; "&amp;$H$382&amp;", "&amp;H$383,'FE Fret'!$G:$U,9,FALSE)</f>
        <v>991</v>
      </c>
      <c r="I384" s="335">
        <f>VLOOKUP($B384&amp;"; "&amp;$H$382&amp;", "&amp;I$383,'FE Fret'!$G:$U,9,FALSE)</f>
        <v>490</v>
      </c>
      <c r="J384" s="117"/>
      <c r="K384" s="335">
        <f>VLOOKUP($B384&amp;"; "&amp;$K$382&amp;", "&amp;K$383,'FE Fret'!$G:$U,9,FALSE)</f>
        <v>0.11600000000000001</v>
      </c>
      <c r="L384" s="335">
        <f>VLOOKUP($B384&amp;"; "&amp;$K$382&amp;", "&amp;L$383,'FE Fret'!$G:$U,9,FALSE)</f>
        <v>5.8000000000000003E-2</v>
      </c>
      <c r="M384" s="117"/>
      <c r="N384" s="335">
        <f>VLOOKUP($B384&amp;"; "&amp;$N$382&amp;", "&amp;N$383,'FE Fret'!$G:$U,9,FALSE)</f>
        <v>1355</v>
      </c>
      <c r="O384" s="335">
        <f>VLOOKUP($B384&amp;"; "&amp;$N$382&amp;", "&amp;O$383,'FE Fret'!$G:$U,9,FALSE)</f>
        <v>676</v>
      </c>
      <c r="P384" s="117"/>
      <c r="Q384" s="335">
        <f>VLOOKUP($B384&amp;"; "&amp;$Q$382&amp;", "&amp;Q$383,'FE Fret'!$G:$U,9,FALSE)</f>
        <v>0.74099999999999999</v>
      </c>
      <c r="R384" s="335">
        <f>VLOOKUP($B384&amp;"; "&amp;$Q$382&amp;", "&amp;R$383,'FE Fret'!$G:$U,9,FALSE)</f>
        <v>0.36599999999999999</v>
      </c>
      <c r="S384" s="356">
        <f t="shared" ref="S384:T389" si="129">IF(ISNA($G384*H384),0,$G384*H384)+IF(ISNA($J384*K384),0,$J384*K384)+IF(ISNA($M384*N384),0,$M384*N384)+IF(ISNA($P384*Q384),0,$P384*Q384)</f>
        <v>0</v>
      </c>
      <c r="T384" s="356">
        <f t="shared" si="129"/>
        <v>0</v>
      </c>
      <c r="U384" s="1286">
        <f>IF(OR(F384=Utilitaires!$I$572,F384=Utilitaires!$I$577),T384,0)</f>
        <v>0</v>
      </c>
      <c r="X384" s="1092">
        <f t="shared" ref="X384:X389" si="130">IF(AE384=0,AE384,AE384/D384)</f>
        <v>0</v>
      </c>
      <c r="Y384" s="343"/>
      <c r="Z384" s="820"/>
      <c r="AA384" s="164">
        <f t="shared" ref="AA384:AA389" si="131">SQRT(SUMSQ(IF(ISNA($G384*H384*BI384),0,$G384*H384*BI384),IF(ISNA($J384*K384*BJ384),0,$J384*K384*BJ384),IF(ISNA($M384*N384*BK384),0,$M384*N384*BK384),IF(ISNA($P384*Q384*BL384),0,$P384*Q384*BL384)))</f>
        <v>0</v>
      </c>
      <c r="AB384" s="164">
        <f t="shared" ref="AB384:AB389" si="132">SQRT(SUMSQ(IF(ISNA($G384*I384*BM384),0,$G384*I384*BM384),IF(ISNA($J384*L384*BN384),0,$J384*L384*BN384),IF(ISNA($M384*O384*BO384),0,$M384*O384*BO384),IF(ISNA($P384*R384*BP384),0,$P384*R384*BP384)))</f>
        <v>0</v>
      </c>
      <c r="AC384" s="164"/>
      <c r="AD384" s="151"/>
      <c r="AE384" s="151">
        <f t="shared" ref="AE384:AE389" si="133">SQRT(SUMSQ(AA384,AB384))</f>
        <v>0</v>
      </c>
      <c r="AF384" s="1286">
        <f t="shared" ref="AF384:AF389" si="134">P384*W384</f>
        <v>0</v>
      </c>
      <c r="AG384" s="116"/>
      <c r="AH384" s="564">
        <f>$G384*IF(ISNA(VLOOKUP($B384&amp;"; "&amp;$H$382&amp;", "&amp;H$383,'FE Fret'!$G:$U,10,FALSE)),0,VLOOKUP($B384&amp;"; "&amp;$H$382&amp;", "&amp;H$383,'FE Fret'!$G:$U,10,FALSE))
+$J384*IF(ISNA(VLOOKUP($B384&amp;"; "&amp;$K$382&amp;", "&amp;H$383,'FE Fret'!$G:$U,10,FALSE)),0,VLOOKUP($B384&amp;"; "&amp;$K$382&amp;", "&amp;H$383,'FE Fret'!$G:$U,10,FALSE))
+$M384*IF(ISNA(VLOOKUP($B384&amp;"; "&amp;$N$382&amp;", "&amp;H$383,'FE Fret'!$G:$U,10,FALSE)),0,VLOOKUP($B384&amp;"; "&amp;$N$382&amp;", "&amp;H$383,'FE Fret'!$G:$U,10,FALSE))
+$P384*IF(ISNA(VLOOKUP($B384&amp;"; "&amp;$Q$382&amp;", "&amp;H$383,'FE Fret'!$G:$U,10,FALSE)),0,VLOOKUP($B384&amp;"; "&amp;$Q$382&amp;", "&amp;H$383,'FE Fret'!$G:$U,10,FALSE))</f>
        <v>0</v>
      </c>
      <c r="AI384" s="565">
        <f>$G384*IF(ISNA(VLOOKUP($B384&amp;"; "&amp;$H$382&amp;", "&amp;I$383,'FE Fret'!$G:$U,10,FALSE)),0,VLOOKUP($B384&amp;"; "&amp;$H$382&amp;", "&amp;I$383,'FE Fret'!$G:$U,10,FALSE))
+$J384*IF(ISNA(VLOOKUP($B384&amp;"; "&amp;$K$382&amp;", "&amp;I$383,'FE Fret'!$G:$U,10,FALSE)),0,VLOOKUP($B384&amp;"; "&amp;$K$382&amp;", "&amp;I$383,'FE Fret'!$G:$U,10,FALSE))
+$M384*IF(ISNA(VLOOKUP($B384&amp;"; "&amp;$N$382&amp;", "&amp;I$383,'FE Fret'!$G:$U,10,FALSE)),0,VLOOKUP($B384&amp;"; "&amp;$N$382&amp;", "&amp;I$383,'FE Fret'!$G:$U,10,FALSE))
+$P384*IF(ISNA(VLOOKUP($B384&amp;"; "&amp;$Q$382&amp;", "&amp;I$383,'FE Fret'!$G:$U,10,FALSE)),0,VLOOKUP($B384&amp;"; "&amp;$Q$382&amp;", "&amp;I$383,'FE Fret'!$G:$U,10,FALSE))</f>
        <v>0</v>
      </c>
      <c r="AJ384" s="565"/>
      <c r="AK384" s="565">
        <f>$G384*IF(ISNA((VLOOKUP($B384&amp;"; "&amp;$H$382&amp;", "&amp;H$383,'FE Fret'!$G:$U,12,FALSE)+VLOOKUP($B384&amp;"; "&amp;$H$382&amp;", "&amp;H$383,'FE Fret'!$G:$U,11,FALSE))),0,(VLOOKUP($B384&amp;"; "&amp;$H$382&amp;", "&amp;H$383,'FE Fret'!$G:$U,12,FALSE)+VLOOKUP($B384&amp;"; "&amp;$H$382&amp;", "&amp;H$383,'FE Fret'!$G:$U,11,FALSE)))
+$J384*IF(ISNA((VLOOKUP($B384&amp;"; "&amp;$K$382&amp;", "&amp;H$383,'FE Fret'!$G:$U,12,FALSE)+VLOOKUP($B384&amp;"; "&amp;$K$382&amp;", "&amp;H$383,'FE Fret'!$G:$U,11,FALSE))),0,(VLOOKUP($B384&amp;"; "&amp;$K$382&amp;", "&amp;H$383,'FE Fret'!$G:$U,12,FALSE)+VLOOKUP($B384&amp;"; "&amp;$K$382&amp;", "&amp;H$383,'FE Fret'!$G:$U,11,FALSE)))
+$M384*IF(ISNA((VLOOKUP($B384&amp;"; "&amp;$N$382&amp;", "&amp;H$383,'FE Fret'!$G:$U,12,FALSE)+VLOOKUP($B384&amp;"; "&amp;$N$382&amp;", "&amp;H$383,'FE Fret'!$G:$U,11,FALSE))),0,(VLOOKUP($B384&amp;"; "&amp;$N$382&amp;", "&amp;H$383,'FE Fret'!$G:$U,12,FALSE)+VLOOKUP($B384&amp;"; "&amp;$N$382&amp;", "&amp;H$383,'FE Fret'!$G:$U,11,FALSE)))
+$P384*IF(ISNA((VLOOKUP($B384&amp;"; "&amp;$Q$382&amp;", "&amp;H$383,'FE Fret'!$G:$U,12,FALSE)+VLOOKUP($B384&amp;"; "&amp;$Q$382&amp;", "&amp;H$383,'FE Fret'!$G:$U,11,FALSE))),0,(VLOOKUP($B384&amp;"; "&amp;$Q$382&amp;", "&amp;H$383,'FE Fret'!$G:$U,12,FALSE)+VLOOKUP($B384&amp;"; "&amp;$Q$382&amp;", "&amp;H$383,'FE Fret'!$G:$U,11,FALSE)))</f>
        <v>0</v>
      </c>
      <c r="AL384" s="565">
        <f>$G384*IF(ISNA((VLOOKUP($B384&amp;"; "&amp;$H$382&amp;", "&amp;I$383,'FE Fret'!$G:$U,12,FALSE)+VLOOKUP($B384&amp;"; "&amp;$H$382&amp;", "&amp;I$383,'FE Fret'!$G:$U,11,FALSE))),0,(VLOOKUP($B384&amp;"; "&amp;$H$382&amp;", "&amp;I$383,'FE Fret'!$G:$U,12,FALSE)+VLOOKUP($B384&amp;"; "&amp;$H$382&amp;", "&amp;I$383,'FE Fret'!$G:$U,11,FALSE)))
+$J384*IF(ISNA((VLOOKUP($B384&amp;"; "&amp;$K$382&amp;", "&amp;I$383,'FE Fret'!$G:$U,12,FALSE)+VLOOKUP($B384&amp;"; "&amp;$K$382&amp;", "&amp;I$383,'FE Fret'!$G:$U,11,FALSE))),0,(VLOOKUP($B384&amp;"; "&amp;$K$382&amp;", "&amp;I$383,'FE Fret'!$G:$U,12,FALSE)+VLOOKUP($B384&amp;"; "&amp;$K$382&amp;", "&amp;I$383,'FE Fret'!$G:$U,11,FALSE)))
+$M384*IF(ISNA((VLOOKUP($B384&amp;"; "&amp;$N$382&amp;", "&amp;I$383,'FE Fret'!$G:$U,12,FALSE)+VLOOKUP($B384&amp;"; "&amp;$N$382&amp;", "&amp;I$383,'FE Fret'!$G:$U,11,FALSE))),0,(VLOOKUP($B384&amp;"; "&amp;$N$382&amp;", "&amp;I$383,'FE Fret'!$G:$U,12,FALSE)+VLOOKUP($B384&amp;"; "&amp;$N$382&amp;", "&amp;I$383,'FE Fret'!$G:$U,11,FALSE)))
+$P384*IF(ISNA((VLOOKUP($B384&amp;"; "&amp;$Q$382&amp;", "&amp;I$383,'FE Fret'!$G:$U,12,FALSE)+VLOOKUP($B384&amp;"; "&amp;$Q$382&amp;", "&amp;I$383,'FE Fret'!$G:$U,11,FALSE))),0,(VLOOKUP($B384&amp;"; "&amp;$Q$382&amp;", "&amp;I$383,'FE Fret'!$G:$U,12,FALSE)+VLOOKUP($B384&amp;"; "&amp;$Q$382&amp;", "&amp;I$383,'FE Fret'!$G:$U,11,FALSE)))</f>
        <v>0</v>
      </c>
      <c r="AM384" s="565"/>
      <c r="AN384" s="565">
        <f>$G384*IF(ISNA(VLOOKUP($B384&amp;"; "&amp;$H$382&amp;", "&amp;H$383,'FE Fret'!$G:$U,13,FALSE)),0,VLOOKUP($B384&amp;"; "&amp;$H$382&amp;", "&amp;H$383,'FE Fret'!$G:$U,13,FALSE))
+$J384*IF(ISNA(VLOOKUP($B384&amp;"; "&amp;$K$382&amp;", "&amp;H$383,'FE Fret'!$G:$U,13,FALSE)),0,VLOOKUP($B384&amp;"; "&amp;$K$382&amp;", "&amp;H$383,'FE Fret'!$G:$U,13,FALSE))
+$M384*IF(ISNA(VLOOKUP($B384&amp;"; "&amp;$N$382&amp;", "&amp;H$383,'FE Fret'!$G:$U,13,FALSE)),0,VLOOKUP($B384&amp;"; "&amp;$N$382&amp;", "&amp;H$383,'FE Fret'!$G:$U,13,FALSE))
+$P384*IF(ISNA(VLOOKUP($B384&amp;"; "&amp;$Q$382&amp;", "&amp;H$383,'FE Fret'!$G:$U,13,FALSE)),0,VLOOKUP($B384&amp;"; "&amp;$Q$382&amp;", "&amp;H$383,'FE Fret'!$G:$U,13,FALSE))</f>
        <v>0</v>
      </c>
      <c r="AO384" s="565">
        <f>$G384*IF(ISNA(VLOOKUP($B384&amp;"; "&amp;$H$382&amp;", "&amp;I$383,'FE Fret'!$G:$U,13,FALSE)),0,VLOOKUP($B384&amp;"; "&amp;$H$382&amp;", "&amp;I$383,'FE Fret'!$G:$U,13,FALSE))
+$J384*IF(ISNA(VLOOKUP($B384&amp;"; "&amp;$K$382&amp;", "&amp;I$383,'FE Fret'!$G:$U,13,FALSE)),0,VLOOKUP($B384&amp;"; "&amp;$K$382&amp;", "&amp;I$383,'FE Fret'!$G:$U,13,FALSE))
+$M384*IF(ISNA(VLOOKUP($B384&amp;"; "&amp;$N$382&amp;", "&amp;I$383,'FE Fret'!$G:$U,13,FALSE)),0,VLOOKUP($B384&amp;"; "&amp;$N$382&amp;", "&amp;I$383,'FE Fret'!$G:$U,13,FALSE))
+$P384*IF(ISNA(VLOOKUP($B384&amp;"; "&amp;$Q$382&amp;", "&amp;I$383,'FE Fret'!$G:$U,13,FALSE)),0,VLOOKUP($B384&amp;"; "&amp;$Q$382&amp;", "&amp;I$383,'FE Fret'!$G:$U,13,FALSE))</f>
        <v>0</v>
      </c>
      <c r="AP384" s="565"/>
      <c r="AQ384" s="565">
        <v>0</v>
      </c>
      <c r="AR384" s="565">
        <v>0</v>
      </c>
      <c r="AS384" s="565"/>
      <c r="AT384" s="566">
        <f t="shared" ref="AT384:AT389" si="135">SUM(AH384,AK384,AN384,AQ384)</f>
        <v>0</v>
      </c>
      <c r="AU384" s="566">
        <f t="shared" ref="AU384:AU389" si="136">SUM(AI384,AL384,AO384,AR384)</f>
        <v>0</v>
      </c>
      <c r="AV384" s="567"/>
      <c r="AW384" s="565">
        <f>$G384*IF(ISNA(VLOOKUP($B384&amp;"; "&amp;$H$382&amp;", "&amp;H$383,'FE Fret'!$G:$U,15,FALSE)),0,VLOOKUP($B384&amp;"; "&amp;$H$382&amp;", "&amp;H$383,'FE Fret'!$G:$U,15,FALSE))
+$J384*IF(ISNA(VLOOKUP($B384&amp;"; "&amp;$K$382&amp;", "&amp;H$383,'FE Fret'!$G:$U,15,FALSE)),0,VLOOKUP($B384&amp;"; "&amp;$K$382&amp;", "&amp;H$383,'FE Fret'!$G:$U,15,FALSE))
+$M384*IF(ISNA(VLOOKUP($B384&amp;"; "&amp;$N$382&amp;", "&amp;H$383,'FE Fret'!$G:$U,15,FALSE)),0,VLOOKUP($B384&amp;"; "&amp;$N$382&amp;", "&amp;H$383,'FE Fret'!$G:$U,15,FALSE))
+$P384*IF(ISNA(VLOOKUP($B384&amp;"; "&amp;$Q$382&amp;", "&amp;H$383,'FE Fret'!$G:$U,15,FALSE)),0,VLOOKUP($B384&amp;"; "&amp;$Q$382&amp;", "&amp;H$383,'FE Fret'!$G:$U,15,FALSE))</f>
        <v>0</v>
      </c>
      <c r="AX384" s="565">
        <f>$G384*IF(ISNA(VLOOKUP($B384&amp;"; "&amp;$H$382&amp;", "&amp;I$383,'FE Fret'!$G:$U,15,FALSE)),0,VLOOKUP($B384&amp;"; "&amp;$H$382&amp;", "&amp;I$383,'FE Fret'!$G:$U,15,FALSE))
+$J384*IF(ISNA(VLOOKUP($B384&amp;"; "&amp;$K$382&amp;", "&amp;I$383,'FE Fret'!$G:$U,15,FALSE)),0,VLOOKUP($B384&amp;"; "&amp;$K$382&amp;", "&amp;I$383,'FE Fret'!$G:$U,15,FALSE))
+$M384*IF(ISNA(VLOOKUP($B384&amp;"; "&amp;$N$382&amp;", "&amp;I$383,'FE Fret'!$G:$U,15,FALSE)),0,VLOOKUP($B384&amp;"; "&amp;$N$382&amp;", "&amp;I$383,'FE Fret'!$G:$U,15,FALSE))
+$P384*IF(ISNA(VLOOKUP($B384&amp;"; "&amp;$Q$382&amp;", "&amp;I$383,'FE Fret'!$G:$U,15,FALSE)),0,VLOOKUP($B384&amp;"; "&amp;$Q$382&amp;", "&amp;I$383,'FE Fret'!$G:$U,15,FALSE))</f>
        <v>0</v>
      </c>
      <c r="AY384" s="568"/>
      <c r="AZ384" s="565"/>
      <c r="BA384" s="565"/>
      <c r="BB384" s="565"/>
      <c r="BC384" s="565"/>
      <c r="BD384" s="565"/>
      <c r="BE384" s="565"/>
      <c r="BF384" s="565"/>
      <c r="BH384" s="1065">
        <f>IF($Y384&lt;&gt;"votre valeur :",IF(ISNA(VLOOKUP($Y384,Utilitaires!$N$566:$O$571,2,FALSE)),,VLOOKUP($Y384,Utilitaires!$N$566:$O$571,2,FALSE)),$Z384)</f>
        <v>0</v>
      </c>
      <c r="BI384" s="1124">
        <f>IF(ISNA(SQRT(SUMSQ(VLOOKUP($B384&amp;"; "&amp;$H$382&amp;", "&amp;H$383,'FE Fret'!$G:$U,7,FALSE),$BH384))),0,SQRT(SUMSQ(VLOOKUP($B384&amp;"; "&amp;$H$382&amp;", "&amp;$H$383,'FE Fret'!$G:$U,7,FALSE),$BH384)))</f>
        <v>0.05</v>
      </c>
      <c r="BJ384" s="1068">
        <f>IF(ISNA(SQRT(SUMSQ(VLOOKUP($B384&amp;"; "&amp;$K$382&amp;", "&amp;$K$383,'FE Fret'!$G:$U,7,FALSE),$BH384))),0,SQRT(SUMSQ(VLOOKUP($B384&amp;"; "&amp;$K$382&amp;", "&amp;$K$383,'FE Fret'!$G:$U,7,FALSE),$BH384)))</f>
        <v>0.05</v>
      </c>
      <c r="BK384" s="1068">
        <f>IF(ISNA(SQRT(SUMSQ(VLOOKUP($B384&amp;"; "&amp;$N$382&amp;", "&amp;$N$383,'FE Fret'!$G:$U,7,FALSE),$BH384))),0,SQRT(SUMSQ(VLOOKUP($B384&amp;"; "&amp;$N$382&amp;", "&amp;$N$383,'FE Fret'!$G:$U,7,FALSE),$BH384)))</f>
        <v>0.05</v>
      </c>
      <c r="BL384" s="1068">
        <f>IF(ISNA(SQRT(SUMSQ(VLOOKUP($B384&amp;"; "&amp;$Q$382&amp;", "&amp;$Q$383,'FE Fret'!$G:$U,7,FALSE),$BH384))),0,SQRT(SUMSQ(VLOOKUP($B384&amp;"; "&amp;$Q$382&amp;", "&amp;$Q$383,'FE Fret'!$G:$U,7,FALSE),$BH384)))</f>
        <v>0.1</v>
      </c>
      <c r="BM384" s="1124">
        <f>IF(ISNA(SQRT(SUMSQ(VLOOKUP($B384&amp;"; "&amp;$H$382&amp;", "&amp;I$383,'FE Fret'!$G:$U,7,FALSE),$BH384))),0,SQRT(SUMSQ(VLOOKUP($B384&amp;"; "&amp;$H$382&amp;", "&amp;$I$383,'FE Fret'!$G:$U,7,FALSE),$BH384)))</f>
        <v>0.05</v>
      </c>
      <c r="BN384" s="1068">
        <f>IF(ISNA(SQRT(SUMSQ(VLOOKUP($B384&amp;"; "&amp;$K$382&amp;", "&amp;$L$383,'FE Fret'!$G:$U,7,FALSE),$BH384))),0,SQRT(SUMSQ(VLOOKUP($B384&amp;"; "&amp;$K$382&amp;", "&amp;$L$383,'FE Fret'!$G:$U,7,FALSE),$BH384)))</f>
        <v>0.05</v>
      </c>
      <c r="BO384" s="1068">
        <f>IF(ISNA(SQRT(SUMSQ(VLOOKUP($B384&amp;"; "&amp;$N$382&amp;", "&amp;$O$383,'FE Fret'!$G:$U,7,FALSE),$BH384))),0,SQRT(SUMSQ(VLOOKUP($B384&amp;"; "&amp;$N$382&amp;", "&amp;$O$383,'FE Fret'!$G:$U,7,FALSE),$BH384)))</f>
        <v>0.05</v>
      </c>
      <c r="BP384" s="1125">
        <f>IF(ISNA(SQRT(SUMSQ(VLOOKUP($B384&amp;"; "&amp;$Q$382&amp;", "&amp;$R$383,'FE Fret'!$G:$U,7,FALSE),$BH384))),0,SQRT(SUMSQ(VLOOKUP($B384&amp;"; "&amp;$Q$382&amp;", "&amp;$R$383,'FE Fret'!$G:$U,7,FALSE),$BH384)))</f>
        <v>0.1</v>
      </c>
    </row>
    <row r="385" spans="2:68" outlineLevel="2">
      <c r="B385" s="143" t="s">
        <v>5129</v>
      </c>
      <c r="C385" s="144"/>
      <c r="D385" s="212">
        <f t="shared" si="128"/>
        <v>0</v>
      </c>
      <c r="E385" s="212"/>
      <c r="F385" s="120"/>
      <c r="G385" s="120"/>
      <c r="H385" s="335">
        <f>VLOOKUP($B385&amp;"; "&amp;$H$382&amp;", "&amp;H$383,'FE Fret'!$G:$U,9,FALSE)</f>
        <v>816</v>
      </c>
      <c r="I385" s="335">
        <f>VLOOKUP($B385&amp;"; "&amp;$H$382&amp;", "&amp;I$383,'FE Fret'!$G:$U,9,FALSE)</f>
        <v>3337</v>
      </c>
      <c r="J385" s="120"/>
      <c r="K385" s="335">
        <f>VLOOKUP($B385&amp;"; "&amp;$K$382&amp;", "&amp;K$383,'FE Fret'!$G:$U,9,FALSE)</f>
        <v>6.4600000000000005E-2</v>
      </c>
      <c r="L385" s="335">
        <f>VLOOKUP($B385&amp;"; "&amp;$K$382&amp;", "&amp;L$383,'FE Fret'!$G:$U,9,FALSE)</f>
        <v>0.254</v>
      </c>
      <c r="M385" s="120"/>
      <c r="N385" s="335">
        <f>VLOOKUP($B385&amp;"; "&amp;$N$382&amp;", "&amp;N$383,'FE Fret'!$G:$U,9,FALSE)</f>
        <v>725</v>
      </c>
      <c r="O385" s="335">
        <f>VLOOKUP($B385&amp;"; "&amp;$N$382&amp;", "&amp;O$383,'FE Fret'!$G:$U,9,FALSE)</f>
        <v>2968</v>
      </c>
      <c r="P385" s="120"/>
      <c r="Q385" s="335">
        <f>VLOOKUP($B385&amp;"; "&amp;$Q$382&amp;", "&amp;Q$383,'FE Fret'!$G:$U,9,FALSE)</f>
        <v>0.60899999999999999</v>
      </c>
      <c r="R385" s="335">
        <f>VLOOKUP($B385&amp;"; "&amp;$Q$382&amp;", "&amp;R$383,'FE Fret'!$G:$U,9,FALSE)</f>
        <v>2.4900000000000002</v>
      </c>
      <c r="S385" s="356">
        <f t="shared" si="129"/>
        <v>0</v>
      </c>
      <c r="T385" s="356">
        <f t="shared" si="129"/>
        <v>0</v>
      </c>
      <c r="U385" s="1286">
        <f>IF(OR(F385=Utilitaires!$I$572,F385=Utilitaires!$I$577),T385,0)</f>
        <v>0</v>
      </c>
      <c r="X385" s="1092">
        <f t="shared" si="130"/>
        <v>0</v>
      </c>
      <c r="Y385" s="343"/>
      <c r="Z385" s="820"/>
      <c r="AA385" s="164">
        <f t="shared" si="131"/>
        <v>0</v>
      </c>
      <c r="AB385" s="164">
        <f t="shared" si="132"/>
        <v>0</v>
      </c>
      <c r="AC385" s="164"/>
      <c r="AD385" s="151"/>
      <c r="AE385" s="151">
        <f t="shared" si="133"/>
        <v>0</v>
      </c>
      <c r="AF385" s="1286">
        <f t="shared" si="134"/>
        <v>0</v>
      </c>
      <c r="AG385" s="116"/>
      <c r="AH385" s="564">
        <f>$G385*IF(ISNA(VLOOKUP($B385&amp;"; "&amp;$H$382&amp;", "&amp;H$383,'FE Fret'!$G:$U,10,FALSE)),0,VLOOKUP($B385&amp;"; "&amp;$H$382&amp;", "&amp;H$383,'FE Fret'!$G:$U,10,FALSE))
+$J385*IF(ISNA(VLOOKUP($B385&amp;"; "&amp;$K$382&amp;", "&amp;H$383,'FE Fret'!$G:$U,10,FALSE)),0,VLOOKUP($B385&amp;"; "&amp;$K$382&amp;", "&amp;H$383,'FE Fret'!$G:$U,10,FALSE))
+$M385*IF(ISNA(VLOOKUP($B385&amp;"; "&amp;$N$382&amp;", "&amp;H$383,'FE Fret'!$G:$U,10,FALSE)),0,VLOOKUP($B385&amp;"; "&amp;$N$382&amp;", "&amp;H$383,'FE Fret'!$G:$U,10,FALSE))
+$P385*IF(ISNA(VLOOKUP($B385&amp;"; "&amp;$Q$382&amp;", "&amp;H$383,'FE Fret'!$G:$U,10,FALSE)),0,VLOOKUP($B385&amp;"; "&amp;$Q$382&amp;", "&amp;H$383,'FE Fret'!$G:$U,10,FALSE))</f>
        <v>0</v>
      </c>
      <c r="AI385" s="565">
        <f>$G385*IF(ISNA(VLOOKUP($B385&amp;"; "&amp;$H$382&amp;", "&amp;I$383,'FE Fret'!$G:$U,10,FALSE)),0,VLOOKUP($B385&amp;"; "&amp;$H$382&amp;", "&amp;I$383,'FE Fret'!$G:$U,10,FALSE))
+$J385*IF(ISNA(VLOOKUP($B385&amp;"; "&amp;$K$382&amp;", "&amp;I$383,'FE Fret'!$G:$U,10,FALSE)),0,VLOOKUP($B385&amp;"; "&amp;$K$382&amp;", "&amp;I$383,'FE Fret'!$G:$U,10,FALSE))
+$M385*IF(ISNA(VLOOKUP($B385&amp;"; "&amp;$N$382&amp;", "&amp;I$383,'FE Fret'!$G:$U,10,FALSE)),0,VLOOKUP($B385&amp;"; "&amp;$N$382&amp;", "&amp;I$383,'FE Fret'!$G:$U,10,FALSE))
+$P385*IF(ISNA(VLOOKUP($B385&amp;"; "&amp;$Q$382&amp;", "&amp;I$383,'FE Fret'!$G:$U,10,FALSE)),0,VLOOKUP($B385&amp;"; "&amp;$Q$382&amp;", "&amp;I$383,'FE Fret'!$G:$U,10,FALSE))</f>
        <v>0</v>
      </c>
      <c r="AJ385" s="565"/>
      <c r="AK385" s="565">
        <f>$G385*IF(ISNA((VLOOKUP($B385&amp;"; "&amp;$H$382&amp;", "&amp;H$383,'FE Fret'!$G:$U,12,FALSE)+VLOOKUP($B385&amp;"; "&amp;$H$382&amp;", "&amp;H$383,'FE Fret'!$G:$U,11,FALSE))),0,(VLOOKUP($B385&amp;"; "&amp;$H$382&amp;", "&amp;H$383,'FE Fret'!$G:$U,12,FALSE)+VLOOKUP($B385&amp;"; "&amp;$H$382&amp;", "&amp;H$383,'FE Fret'!$G:$U,11,FALSE)))
+$J385*IF(ISNA((VLOOKUP($B385&amp;"; "&amp;$K$382&amp;", "&amp;H$383,'FE Fret'!$G:$U,12,FALSE)+VLOOKUP($B385&amp;"; "&amp;$K$382&amp;", "&amp;H$383,'FE Fret'!$G:$U,11,FALSE))),0,(VLOOKUP($B385&amp;"; "&amp;$K$382&amp;", "&amp;H$383,'FE Fret'!$G:$U,12,FALSE)+VLOOKUP($B385&amp;"; "&amp;$K$382&amp;", "&amp;H$383,'FE Fret'!$G:$U,11,FALSE)))
+$M385*IF(ISNA((VLOOKUP($B385&amp;"; "&amp;$N$382&amp;", "&amp;H$383,'FE Fret'!$G:$U,12,FALSE)+VLOOKUP($B385&amp;"; "&amp;$N$382&amp;", "&amp;H$383,'FE Fret'!$G:$U,11,FALSE))),0,(VLOOKUP($B385&amp;"; "&amp;$N$382&amp;", "&amp;H$383,'FE Fret'!$G:$U,12,FALSE)+VLOOKUP($B385&amp;"; "&amp;$N$382&amp;", "&amp;H$383,'FE Fret'!$G:$U,11,FALSE)))
+$P385*IF(ISNA((VLOOKUP($B385&amp;"; "&amp;$Q$382&amp;", "&amp;H$383,'FE Fret'!$G:$U,12,FALSE)+VLOOKUP($B385&amp;"; "&amp;$Q$382&amp;", "&amp;H$383,'FE Fret'!$G:$U,11,FALSE))),0,(VLOOKUP($B385&amp;"; "&amp;$Q$382&amp;", "&amp;H$383,'FE Fret'!$G:$U,12,FALSE)+VLOOKUP($B385&amp;"; "&amp;$Q$382&amp;", "&amp;H$383,'FE Fret'!$G:$U,11,FALSE)))</f>
        <v>0</v>
      </c>
      <c r="AL385" s="565">
        <f>$G385*IF(ISNA((VLOOKUP($B385&amp;"; "&amp;$H$382&amp;", "&amp;I$383,'FE Fret'!$G:$U,12,FALSE)+VLOOKUP($B385&amp;"; "&amp;$H$382&amp;", "&amp;I$383,'FE Fret'!$G:$U,11,FALSE))),0,(VLOOKUP($B385&amp;"; "&amp;$H$382&amp;", "&amp;I$383,'FE Fret'!$G:$U,12,FALSE)+VLOOKUP($B385&amp;"; "&amp;$H$382&amp;", "&amp;I$383,'FE Fret'!$G:$U,11,FALSE)))
+$J385*IF(ISNA((VLOOKUP($B385&amp;"; "&amp;$K$382&amp;", "&amp;I$383,'FE Fret'!$G:$U,12,FALSE)+VLOOKUP($B385&amp;"; "&amp;$K$382&amp;", "&amp;I$383,'FE Fret'!$G:$U,11,FALSE))),0,(VLOOKUP($B385&amp;"; "&amp;$K$382&amp;", "&amp;I$383,'FE Fret'!$G:$U,12,FALSE)+VLOOKUP($B385&amp;"; "&amp;$K$382&amp;", "&amp;I$383,'FE Fret'!$G:$U,11,FALSE)))
+$M385*IF(ISNA((VLOOKUP($B385&amp;"; "&amp;$N$382&amp;", "&amp;I$383,'FE Fret'!$G:$U,12,FALSE)+VLOOKUP($B385&amp;"; "&amp;$N$382&amp;", "&amp;I$383,'FE Fret'!$G:$U,11,FALSE))),0,(VLOOKUP($B385&amp;"; "&amp;$N$382&amp;", "&amp;I$383,'FE Fret'!$G:$U,12,FALSE)+VLOOKUP($B385&amp;"; "&amp;$N$382&amp;", "&amp;I$383,'FE Fret'!$G:$U,11,FALSE)))
+$P385*IF(ISNA((VLOOKUP($B385&amp;"; "&amp;$Q$382&amp;", "&amp;I$383,'FE Fret'!$G:$U,12,FALSE)+VLOOKUP($B385&amp;"; "&amp;$Q$382&amp;", "&amp;I$383,'FE Fret'!$G:$U,11,FALSE))),0,(VLOOKUP($B385&amp;"; "&amp;$Q$382&amp;", "&amp;I$383,'FE Fret'!$G:$U,12,FALSE)+VLOOKUP($B385&amp;"; "&amp;$Q$382&amp;", "&amp;I$383,'FE Fret'!$G:$U,11,FALSE)))</f>
        <v>0</v>
      </c>
      <c r="AM385" s="565"/>
      <c r="AN385" s="565">
        <f>$G385*IF(ISNA(VLOOKUP($B385&amp;"; "&amp;$H$382&amp;", "&amp;H$383,'FE Fret'!$G:$U,13,FALSE)),0,VLOOKUP($B385&amp;"; "&amp;$H$382&amp;", "&amp;H$383,'FE Fret'!$G:$U,13,FALSE))
+$J385*IF(ISNA(VLOOKUP($B385&amp;"; "&amp;$K$382&amp;", "&amp;H$383,'FE Fret'!$G:$U,13,FALSE)),0,VLOOKUP($B385&amp;"; "&amp;$K$382&amp;", "&amp;H$383,'FE Fret'!$G:$U,13,FALSE))
+$M385*IF(ISNA(VLOOKUP($B385&amp;"; "&amp;$N$382&amp;", "&amp;H$383,'FE Fret'!$G:$U,13,FALSE)),0,VLOOKUP($B385&amp;"; "&amp;$N$382&amp;", "&amp;H$383,'FE Fret'!$G:$U,13,FALSE))
+$P385*IF(ISNA(VLOOKUP($B385&amp;"; "&amp;$Q$382&amp;", "&amp;H$383,'FE Fret'!$G:$U,13,FALSE)),0,VLOOKUP($B385&amp;"; "&amp;$Q$382&amp;", "&amp;H$383,'FE Fret'!$G:$U,13,FALSE))</f>
        <v>0</v>
      </c>
      <c r="AO385" s="565">
        <f>$G385*IF(ISNA(VLOOKUP($B385&amp;"; "&amp;$H$382&amp;", "&amp;I$383,'FE Fret'!$G:$U,13,FALSE)),0,VLOOKUP($B385&amp;"; "&amp;$H$382&amp;", "&amp;I$383,'FE Fret'!$G:$U,13,FALSE))
+$J385*IF(ISNA(VLOOKUP($B385&amp;"; "&amp;$K$382&amp;", "&amp;I$383,'FE Fret'!$G:$U,13,FALSE)),0,VLOOKUP($B385&amp;"; "&amp;$K$382&amp;", "&amp;I$383,'FE Fret'!$G:$U,13,FALSE))
+$M385*IF(ISNA(VLOOKUP($B385&amp;"; "&amp;$N$382&amp;", "&amp;I$383,'FE Fret'!$G:$U,13,FALSE)),0,VLOOKUP($B385&amp;"; "&amp;$N$382&amp;", "&amp;I$383,'FE Fret'!$G:$U,13,FALSE))
+$P385*IF(ISNA(VLOOKUP($B385&amp;"; "&amp;$Q$382&amp;", "&amp;I$383,'FE Fret'!$G:$U,13,FALSE)),0,VLOOKUP($B385&amp;"; "&amp;$Q$382&amp;", "&amp;I$383,'FE Fret'!$G:$U,13,FALSE))</f>
        <v>0</v>
      </c>
      <c r="AP385" s="565"/>
      <c r="AQ385" s="565">
        <v>0</v>
      </c>
      <c r="AR385" s="565">
        <v>0</v>
      </c>
      <c r="AS385" s="565"/>
      <c r="AT385" s="566">
        <f t="shared" si="135"/>
        <v>0</v>
      </c>
      <c r="AU385" s="566">
        <f t="shared" si="136"/>
        <v>0</v>
      </c>
      <c r="AV385" s="567"/>
      <c r="AW385" s="565">
        <f>$G385*IF(ISNA(VLOOKUP($B385&amp;"; "&amp;$H$382&amp;", "&amp;H$383,'FE Fret'!$G:$U,15,FALSE)),0,VLOOKUP($B385&amp;"; "&amp;$H$382&amp;", "&amp;H$383,'FE Fret'!$G:$U,15,FALSE))
+$J385*IF(ISNA(VLOOKUP($B385&amp;"; "&amp;$K$382&amp;", "&amp;H$383,'FE Fret'!$G:$U,15,FALSE)),0,VLOOKUP($B385&amp;"; "&amp;$K$382&amp;", "&amp;H$383,'FE Fret'!$G:$U,15,FALSE))
+$M385*IF(ISNA(VLOOKUP($B385&amp;"; "&amp;$N$382&amp;", "&amp;H$383,'FE Fret'!$G:$U,15,FALSE)),0,VLOOKUP($B385&amp;"; "&amp;$N$382&amp;", "&amp;H$383,'FE Fret'!$G:$U,15,FALSE))
+$P385*IF(ISNA(VLOOKUP($B385&amp;"; "&amp;$Q$382&amp;", "&amp;H$383,'FE Fret'!$G:$U,15,FALSE)),0,VLOOKUP($B385&amp;"; "&amp;$Q$382&amp;", "&amp;H$383,'FE Fret'!$G:$U,15,FALSE))</f>
        <v>0</v>
      </c>
      <c r="AX385" s="565">
        <f>$G385*IF(ISNA(VLOOKUP($B385&amp;"; "&amp;$H$382&amp;", "&amp;I$383,'FE Fret'!$G:$U,15,FALSE)),0,VLOOKUP($B385&amp;"; "&amp;$H$382&amp;", "&amp;I$383,'FE Fret'!$G:$U,15,FALSE))
+$J385*IF(ISNA(VLOOKUP($B385&amp;"; "&amp;$K$382&amp;", "&amp;I$383,'FE Fret'!$G:$U,15,FALSE)),0,VLOOKUP($B385&amp;"; "&amp;$K$382&amp;", "&amp;I$383,'FE Fret'!$G:$U,15,FALSE))
+$M385*IF(ISNA(VLOOKUP($B385&amp;"; "&amp;$N$382&amp;", "&amp;I$383,'FE Fret'!$G:$U,15,FALSE)),0,VLOOKUP($B385&amp;"; "&amp;$N$382&amp;", "&amp;I$383,'FE Fret'!$G:$U,15,FALSE))
+$P385*IF(ISNA(VLOOKUP($B385&amp;"; "&amp;$Q$382&amp;", "&amp;I$383,'FE Fret'!$G:$U,15,FALSE)),0,VLOOKUP($B385&amp;"; "&amp;$Q$382&amp;", "&amp;I$383,'FE Fret'!$G:$U,15,FALSE))</f>
        <v>0</v>
      </c>
      <c r="AY385" s="568"/>
      <c r="AZ385" s="565"/>
      <c r="BA385" s="565"/>
      <c r="BB385" s="565"/>
      <c r="BC385" s="565"/>
      <c r="BD385" s="565"/>
      <c r="BE385" s="565"/>
      <c r="BF385" s="565"/>
      <c r="BH385" s="1065">
        <f>IF($Y385&lt;&gt;"votre valeur :",IF(ISNA(VLOOKUP($Y385,Utilitaires!$N$566:$O$571,2,FALSE)),,VLOOKUP($Y385,Utilitaires!$N$566:$O$571,2,FALSE)),$Z385)</f>
        <v>0</v>
      </c>
      <c r="BI385" s="1124">
        <f>IF(ISNA(SQRT(SUMSQ(VLOOKUP($B385&amp;"; "&amp;$H$382&amp;", "&amp;H$383,'FE Fret'!$G:$U,7,FALSE),$BH385))),0,SQRT(SUMSQ(VLOOKUP($B385&amp;"; "&amp;$H$382&amp;", "&amp;$H$383,'FE Fret'!$G:$U,7,FALSE),$BH385)))</f>
        <v>0.05</v>
      </c>
      <c r="BJ385" s="1068">
        <f>IF(ISNA(SQRT(SUMSQ(VLOOKUP($B385&amp;"; "&amp;$K$382&amp;", "&amp;$K$383,'FE Fret'!$G:$U,7,FALSE),$BH385))),0,SQRT(SUMSQ(VLOOKUP($B385&amp;"; "&amp;$K$382&amp;", "&amp;$K$383,'FE Fret'!$G:$U,7,FALSE),$BH385)))</f>
        <v>0.05</v>
      </c>
      <c r="BK385" s="1068">
        <f>IF(ISNA(SQRT(SUMSQ(VLOOKUP($B385&amp;"; "&amp;$N$382&amp;", "&amp;$N$383,'FE Fret'!$G:$U,7,FALSE),$BH385))),0,SQRT(SUMSQ(VLOOKUP($B385&amp;"; "&amp;$N$382&amp;", "&amp;$N$383,'FE Fret'!$G:$U,7,FALSE),$BH385)))</f>
        <v>0.05</v>
      </c>
      <c r="BL385" s="1068">
        <f>IF(ISNA(SQRT(SUMSQ(VLOOKUP($B385&amp;"; "&amp;$Q$382&amp;", "&amp;$Q$383,'FE Fret'!$G:$U,7,FALSE),$BH385))),0,SQRT(SUMSQ(VLOOKUP($B385&amp;"; "&amp;$Q$382&amp;", "&amp;$Q$383,'FE Fret'!$G:$U,7,FALSE),$BH385)))</f>
        <v>0.1</v>
      </c>
      <c r="BM385" s="1124">
        <f>IF(ISNA(SQRT(SUMSQ(VLOOKUP($B385&amp;"; "&amp;$H$382&amp;", "&amp;I$383,'FE Fret'!$G:$U,7,FALSE),$BH385))),0,SQRT(SUMSQ(VLOOKUP($B385&amp;"; "&amp;$H$382&amp;", "&amp;$I$383,'FE Fret'!$G:$U,7,FALSE),$BH385)))</f>
        <v>0.05</v>
      </c>
      <c r="BN385" s="1068">
        <f>IF(ISNA(SQRT(SUMSQ(VLOOKUP($B385&amp;"; "&amp;$K$382&amp;", "&amp;$L$383,'FE Fret'!$G:$U,7,FALSE),$BH385))),0,SQRT(SUMSQ(VLOOKUP($B385&amp;"; "&amp;$K$382&amp;", "&amp;$L$383,'FE Fret'!$G:$U,7,FALSE),$BH385)))</f>
        <v>0.05</v>
      </c>
      <c r="BO385" s="1068">
        <f>IF(ISNA(SQRT(SUMSQ(VLOOKUP($B385&amp;"; "&amp;$N$382&amp;", "&amp;$O$383,'FE Fret'!$G:$U,7,FALSE),$BH385))),0,SQRT(SUMSQ(VLOOKUP($B385&amp;"; "&amp;$N$382&amp;", "&amp;$O$383,'FE Fret'!$G:$U,7,FALSE),$BH385)))</f>
        <v>0.05</v>
      </c>
      <c r="BP385" s="1125">
        <f>IF(ISNA(SQRT(SUMSQ(VLOOKUP($B385&amp;"; "&amp;$Q$382&amp;", "&amp;$R$383,'FE Fret'!$G:$U,7,FALSE),$BH385))),0,SQRT(SUMSQ(VLOOKUP($B385&amp;"; "&amp;$Q$382&amp;", "&amp;$R$383,'FE Fret'!$G:$U,7,FALSE),$BH385)))</f>
        <v>0.1</v>
      </c>
    </row>
    <row r="386" spans="2:68" outlineLevel="2">
      <c r="B386" s="143" t="s">
        <v>5162</v>
      </c>
      <c r="C386" s="144"/>
      <c r="D386" s="212">
        <f t="shared" si="128"/>
        <v>0</v>
      </c>
      <c r="E386" s="212"/>
      <c r="F386" s="120"/>
      <c r="G386" s="120"/>
      <c r="H386" s="335" t="e">
        <f>VLOOKUP($B386&amp;"; "&amp;$H$382&amp;", "&amp;H$383,'FE Fret'!$G:$U,9,FALSE)</f>
        <v>#N/A</v>
      </c>
      <c r="I386" s="335" t="e">
        <f>VLOOKUP($B386&amp;"; "&amp;$H$382&amp;", "&amp;I$383,'FE Fret'!$G:$U,9,FALSE)</f>
        <v>#N/A</v>
      </c>
      <c r="J386" s="120"/>
      <c r="K386" s="335">
        <f>VLOOKUP($B386&amp;"; "&amp;$K$382&amp;", "&amp;K$383,'FE Fret'!$G:$U,9,FALSE)</f>
        <v>4.2799999999999998E-2</v>
      </c>
      <c r="L386" s="335">
        <f>VLOOKUP($B386&amp;"; "&amp;$K$382&amp;", "&amp;L$383,'FE Fret'!$G:$U,9,FALSE)</f>
        <v>0.187</v>
      </c>
      <c r="M386" s="120"/>
      <c r="N386" s="335">
        <f>VLOOKUP($B386&amp;"; "&amp;$N$382&amp;", "&amp;N$383,'FE Fret'!$G:$U,9,FALSE)</f>
        <v>497</v>
      </c>
      <c r="O386" s="335">
        <f>VLOOKUP($B386&amp;"; "&amp;$N$382&amp;", "&amp;O$383,'FE Fret'!$G:$U,9,FALSE)</f>
        <v>2180</v>
      </c>
      <c r="P386" s="120"/>
      <c r="Q386" s="335" t="e">
        <f>VLOOKUP($B386&amp;"; "&amp;$Q$382&amp;", "&amp;Q$383,'FE Fret'!$G:$U,9,FALSE)</f>
        <v>#N/A</v>
      </c>
      <c r="R386" s="335" t="e">
        <f>VLOOKUP($B386&amp;"; "&amp;$Q$382&amp;", "&amp;R$383,'FE Fret'!$G:$U,9,FALSE)</f>
        <v>#N/A</v>
      </c>
      <c r="S386" s="356">
        <f t="shared" si="129"/>
        <v>0</v>
      </c>
      <c r="T386" s="356">
        <f t="shared" si="129"/>
        <v>0</v>
      </c>
      <c r="U386" s="1286">
        <f>IF(OR(F386=Utilitaires!$I$572,F386=Utilitaires!$I$577),T386,0)</f>
        <v>0</v>
      </c>
      <c r="X386" s="1092">
        <f t="shared" si="130"/>
        <v>0</v>
      </c>
      <c r="Y386" s="343"/>
      <c r="Z386" s="820"/>
      <c r="AA386" s="164">
        <f t="shared" si="131"/>
        <v>0</v>
      </c>
      <c r="AB386" s="164">
        <f t="shared" si="132"/>
        <v>0</v>
      </c>
      <c r="AC386" s="164"/>
      <c r="AD386" s="151"/>
      <c r="AE386" s="151">
        <f t="shared" si="133"/>
        <v>0</v>
      </c>
      <c r="AF386" s="1286">
        <f t="shared" si="134"/>
        <v>0</v>
      </c>
      <c r="AG386" s="116"/>
      <c r="AH386" s="564">
        <f>$G386*IF(ISNA(VLOOKUP($B386&amp;"; "&amp;$H$382&amp;", "&amp;H$383,'FE Fret'!$G:$U,10,FALSE)),0,VLOOKUP($B386&amp;"; "&amp;$H$382&amp;", "&amp;H$383,'FE Fret'!$G:$U,10,FALSE))
+$J386*IF(ISNA(VLOOKUP($B386&amp;"; "&amp;$K$382&amp;", "&amp;H$383,'FE Fret'!$G:$U,10,FALSE)),0,VLOOKUP($B386&amp;"; "&amp;$K$382&amp;", "&amp;H$383,'FE Fret'!$G:$U,10,FALSE))
+$M386*IF(ISNA(VLOOKUP($B386&amp;"; "&amp;$N$382&amp;", "&amp;H$383,'FE Fret'!$G:$U,10,FALSE)),0,VLOOKUP($B386&amp;"; "&amp;$N$382&amp;", "&amp;H$383,'FE Fret'!$G:$U,10,FALSE))
+$P386*IF(ISNA(VLOOKUP($B386&amp;"; "&amp;$Q$382&amp;", "&amp;H$383,'FE Fret'!$G:$U,10,FALSE)),0,VLOOKUP($B386&amp;"; "&amp;$Q$382&amp;", "&amp;H$383,'FE Fret'!$G:$U,10,FALSE))</f>
        <v>0</v>
      </c>
      <c r="AI386" s="565">
        <f>$G386*IF(ISNA(VLOOKUP($B386&amp;"; "&amp;$H$382&amp;", "&amp;I$383,'FE Fret'!$G:$U,10,FALSE)),0,VLOOKUP($B386&amp;"; "&amp;$H$382&amp;", "&amp;I$383,'FE Fret'!$G:$U,10,FALSE))
+$J386*IF(ISNA(VLOOKUP($B386&amp;"; "&amp;$K$382&amp;", "&amp;I$383,'FE Fret'!$G:$U,10,FALSE)),0,VLOOKUP($B386&amp;"; "&amp;$K$382&amp;", "&amp;I$383,'FE Fret'!$G:$U,10,FALSE))
+$M386*IF(ISNA(VLOOKUP($B386&amp;"; "&amp;$N$382&amp;", "&amp;I$383,'FE Fret'!$G:$U,10,FALSE)),0,VLOOKUP($B386&amp;"; "&amp;$N$382&amp;", "&amp;I$383,'FE Fret'!$G:$U,10,FALSE))
+$P386*IF(ISNA(VLOOKUP($B386&amp;"; "&amp;$Q$382&amp;", "&amp;I$383,'FE Fret'!$G:$U,10,FALSE)),0,VLOOKUP($B386&amp;"; "&amp;$Q$382&amp;", "&amp;I$383,'FE Fret'!$G:$U,10,FALSE))</f>
        <v>0</v>
      </c>
      <c r="AJ386" s="565"/>
      <c r="AK386" s="565">
        <f>$G386*IF(ISNA((VLOOKUP($B386&amp;"; "&amp;$H$382&amp;", "&amp;H$383,'FE Fret'!$G:$U,12,FALSE)+VLOOKUP($B386&amp;"; "&amp;$H$382&amp;", "&amp;H$383,'FE Fret'!$G:$U,11,FALSE))),0,(VLOOKUP($B386&amp;"; "&amp;$H$382&amp;", "&amp;H$383,'FE Fret'!$G:$U,12,FALSE)+VLOOKUP($B386&amp;"; "&amp;$H$382&amp;", "&amp;H$383,'FE Fret'!$G:$U,11,FALSE)))
+$J386*IF(ISNA((VLOOKUP($B386&amp;"; "&amp;$K$382&amp;", "&amp;H$383,'FE Fret'!$G:$U,12,FALSE)+VLOOKUP($B386&amp;"; "&amp;$K$382&amp;", "&amp;H$383,'FE Fret'!$G:$U,11,FALSE))),0,(VLOOKUP($B386&amp;"; "&amp;$K$382&amp;", "&amp;H$383,'FE Fret'!$G:$U,12,FALSE)+VLOOKUP($B386&amp;"; "&amp;$K$382&amp;", "&amp;H$383,'FE Fret'!$G:$U,11,FALSE)))
+$M386*IF(ISNA((VLOOKUP($B386&amp;"; "&amp;$N$382&amp;", "&amp;H$383,'FE Fret'!$G:$U,12,FALSE)+VLOOKUP($B386&amp;"; "&amp;$N$382&amp;", "&amp;H$383,'FE Fret'!$G:$U,11,FALSE))),0,(VLOOKUP($B386&amp;"; "&amp;$N$382&amp;", "&amp;H$383,'FE Fret'!$G:$U,12,FALSE)+VLOOKUP($B386&amp;"; "&amp;$N$382&amp;", "&amp;H$383,'FE Fret'!$G:$U,11,FALSE)))
+$P386*IF(ISNA((VLOOKUP($B386&amp;"; "&amp;$Q$382&amp;", "&amp;H$383,'FE Fret'!$G:$U,12,FALSE)+VLOOKUP($B386&amp;"; "&amp;$Q$382&amp;", "&amp;H$383,'FE Fret'!$G:$U,11,FALSE))),0,(VLOOKUP($B386&amp;"; "&amp;$Q$382&amp;", "&amp;H$383,'FE Fret'!$G:$U,12,FALSE)+VLOOKUP($B386&amp;"; "&amp;$Q$382&amp;", "&amp;H$383,'FE Fret'!$G:$U,11,FALSE)))</f>
        <v>0</v>
      </c>
      <c r="AL386" s="565">
        <f>$G386*IF(ISNA((VLOOKUP($B386&amp;"; "&amp;$H$382&amp;", "&amp;I$383,'FE Fret'!$G:$U,12,FALSE)+VLOOKUP($B386&amp;"; "&amp;$H$382&amp;", "&amp;I$383,'FE Fret'!$G:$U,11,FALSE))),0,(VLOOKUP($B386&amp;"; "&amp;$H$382&amp;", "&amp;I$383,'FE Fret'!$G:$U,12,FALSE)+VLOOKUP($B386&amp;"; "&amp;$H$382&amp;", "&amp;I$383,'FE Fret'!$G:$U,11,FALSE)))
+$J386*IF(ISNA((VLOOKUP($B386&amp;"; "&amp;$K$382&amp;", "&amp;I$383,'FE Fret'!$G:$U,12,FALSE)+VLOOKUP($B386&amp;"; "&amp;$K$382&amp;", "&amp;I$383,'FE Fret'!$G:$U,11,FALSE))),0,(VLOOKUP($B386&amp;"; "&amp;$K$382&amp;", "&amp;I$383,'FE Fret'!$G:$U,12,FALSE)+VLOOKUP($B386&amp;"; "&amp;$K$382&amp;", "&amp;I$383,'FE Fret'!$G:$U,11,FALSE)))
+$M386*IF(ISNA((VLOOKUP($B386&amp;"; "&amp;$N$382&amp;", "&amp;I$383,'FE Fret'!$G:$U,12,FALSE)+VLOOKUP($B386&amp;"; "&amp;$N$382&amp;", "&amp;I$383,'FE Fret'!$G:$U,11,FALSE))),0,(VLOOKUP($B386&amp;"; "&amp;$N$382&amp;", "&amp;I$383,'FE Fret'!$G:$U,12,FALSE)+VLOOKUP($B386&amp;"; "&amp;$N$382&amp;", "&amp;I$383,'FE Fret'!$G:$U,11,FALSE)))
+$P386*IF(ISNA((VLOOKUP($B386&amp;"; "&amp;$Q$382&amp;", "&amp;I$383,'FE Fret'!$G:$U,12,FALSE)+VLOOKUP($B386&amp;"; "&amp;$Q$382&amp;", "&amp;I$383,'FE Fret'!$G:$U,11,FALSE))),0,(VLOOKUP($B386&amp;"; "&amp;$Q$382&amp;", "&amp;I$383,'FE Fret'!$G:$U,12,FALSE)+VLOOKUP($B386&amp;"; "&amp;$Q$382&amp;", "&amp;I$383,'FE Fret'!$G:$U,11,FALSE)))</f>
        <v>0</v>
      </c>
      <c r="AM386" s="565"/>
      <c r="AN386" s="565">
        <f>$G386*IF(ISNA(VLOOKUP($B386&amp;"; "&amp;$H$382&amp;", "&amp;H$383,'FE Fret'!$G:$U,13,FALSE)),0,VLOOKUP($B386&amp;"; "&amp;$H$382&amp;", "&amp;H$383,'FE Fret'!$G:$U,13,FALSE))
+$J386*IF(ISNA(VLOOKUP($B386&amp;"; "&amp;$K$382&amp;", "&amp;H$383,'FE Fret'!$G:$U,13,FALSE)),0,VLOOKUP($B386&amp;"; "&amp;$K$382&amp;", "&amp;H$383,'FE Fret'!$G:$U,13,FALSE))
+$M386*IF(ISNA(VLOOKUP($B386&amp;"; "&amp;$N$382&amp;", "&amp;H$383,'FE Fret'!$G:$U,13,FALSE)),0,VLOOKUP($B386&amp;"; "&amp;$N$382&amp;", "&amp;H$383,'FE Fret'!$G:$U,13,FALSE))
+$P386*IF(ISNA(VLOOKUP($B386&amp;"; "&amp;$Q$382&amp;", "&amp;H$383,'FE Fret'!$G:$U,13,FALSE)),0,VLOOKUP($B386&amp;"; "&amp;$Q$382&amp;", "&amp;H$383,'FE Fret'!$G:$U,13,FALSE))</f>
        <v>0</v>
      </c>
      <c r="AO386" s="565">
        <f>$G386*IF(ISNA(VLOOKUP($B386&amp;"; "&amp;$H$382&amp;", "&amp;I$383,'FE Fret'!$G:$U,13,FALSE)),0,VLOOKUP($B386&amp;"; "&amp;$H$382&amp;", "&amp;I$383,'FE Fret'!$G:$U,13,FALSE))
+$J386*IF(ISNA(VLOOKUP($B386&amp;"; "&amp;$K$382&amp;", "&amp;I$383,'FE Fret'!$G:$U,13,FALSE)),0,VLOOKUP($B386&amp;"; "&amp;$K$382&amp;", "&amp;I$383,'FE Fret'!$G:$U,13,FALSE))
+$M386*IF(ISNA(VLOOKUP($B386&amp;"; "&amp;$N$382&amp;", "&amp;I$383,'FE Fret'!$G:$U,13,FALSE)),0,VLOOKUP($B386&amp;"; "&amp;$N$382&amp;", "&amp;I$383,'FE Fret'!$G:$U,13,FALSE))
+$P386*IF(ISNA(VLOOKUP($B386&amp;"; "&amp;$Q$382&amp;", "&amp;I$383,'FE Fret'!$G:$U,13,FALSE)),0,VLOOKUP($B386&amp;"; "&amp;$Q$382&amp;", "&amp;I$383,'FE Fret'!$G:$U,13,FALSE))</f>
        <v>0</v>
      </c>
      <c r="AP386" s="565"/>
      <c r="AQ386" s="565">
        <v>0</v>
      </c>
      <c r="AR386" s="565">
        <v>0</v>
      </c>
      <c r="AS386" s="565"/>
      <c r="AT386" s="566">
        <f t="shared" si="135"/>
        <v>0</v>
      </c>
      <c r="AU386" s="566">
        <f t="shared" si="136"/>
        <v>0</v>
      </c>
      <c r="AV386" s="567"/>
      <c r="AW386" s="565">
        <f>$G386*IF(ISNA(VLOOKUP($B386&amp;"; "&amp;$H$382&amp;", "&amp;H$383,'FE Fret'!$G:$U,15,FALSE)),0,VLOOKUP($B386&amp;"; "&amp;$H$382&amp;", "&amp;H$383,'FE Fret'!$G:$U,15,FALSE))
+$J386*IF(ISNA(VLOOKUP($B386&amp;"; "&amp;$K$382&amp;", "&amp;H$383,'FE Fret'!$G:$U,15,FALSE)),0,VLOOKUP($B386&amp;"; "&amp;$K$382&amp;", "&amp;H$383,'FE Fret'!$G:$U,15,FALSE))
+$M386*IF(ISNA(VLOOKUP($B386&amp;"; "&amp;$N$382&amp;", "&amp;H$383,'FE Fret'!$G:$U,15,FALSE)),0,VLOOKUP($B386&amp;"; "&amp;$N$382&amp;", "&amp;H$383,'FE Fret'!$G:$U,15,FALSE))
+$P386*IF(ISNA(VLOOKUP($B386&amp;"; "&amp;$Q$382&amp;", "&amp;H$383,'FE Fret'!$G:$U,15,FALSE)),0,VLOOKUP($B386&amp;"; "&amp;$Q$382&amp;", "&amp;H$383,'FE Fret'!$G:$U,15,FALSE))</f>
        <v>0</v>
      </c>
      <c r="AX386" s="565">
        <f>$G386*IF(ISNA(VLOOKUP($B386&amp;"; "&amp;$H$382&amp;", "&amp;I$383,'FE Fret'!$G:$U,15,FALSE)),0,VLOOKUP($B386&amp;"; "&amp;$H$382&amp;", "&amp;I$383,'FE Fret'!$G:$U,15,FALSE))
+$J386*IF(ISNA(VLOOKUP($B386&amp;"; "&amp;$K$382&amp;", "&amp;I$383,'FE Fret'!$G:$U,15,FALSE)),0,VLOOKUP($B386&amp;"; "&amp;$K$382&amp;", "&amp;I$383,'FE Fret'!$G:$U,15,FALSE))
+$M386*IF(ISNA(VLOOKUP($B386&amp;"; "&amp;$N$382&amp;", "&amp;I$383,'FE Fret'!$G:$U,15,FALSE)),0,VLOOKUP($B386&amp;"; "&amp;$N$382&amp;", "&amp;I$383,'FE Fret'!$G:$U,15,FALSE))
+$P386*IF(ISNA(VLOOKUP($B386&amp;"; "&amp;$Q$382&amp;", "&amp;I$383,'FE Fret'!$G:$U,15,FALSE)),0,VLOOKUP($B386&amp;"; "&amp;$Q$382&amp;", "&amp;I$383,'FE Fret'!$G:$U,15,FALSE))</f>
        <v>0</v>
      </c>
      <c r="AY386" s="568"/>
      <c r="AZ386" s="565"/>
      <c r="BA386" s="565"/>
      <c r="BB386" s="565"/>
      <c r="BC386" s="565"/>
      <c r="BD386" s="565"/>
      <c r="BE386" s="565"/>
      <c r="BF386" s="565"/>
      <c r="BH386" s="1065">
        <f>IF($Y386&lt;&gt;"votre valeur :",IF(ISNA(VLOOKUP($Y386,Utilitaires!$N$566:$O$571,2,FALSE)),,VLOOKUP($Y386,Utilitaires!$N$566:$O$571,2,FALSE)),$Z386)</f>
        <v>0</v>
      </c>
      <c r="BI386" s="1124">
        <f>IF(ISNA(SQRT(SUMSQ(VLOOKUP($B386&amp;"; "&amp;$H$382&amp;", "&amp;H$383,'FE Fret'!$G:$U,7,FALSE),$BH386))),0,SQRT(SUMSQ(VLOOKUP($B386&amp;"; "&amp;$H$382&amp;", "&amp;$H$383,'FE Fret'!$G:$U,7,FALSE),$BH386)))</f>
        <v>0</v>
      </c>
      <c r="BJ386" s="1068">
        <f>IF(ISNA(SQRT(SUMSQ(VLOOKUP($B386&amp;"; "&amp;$K$382&amp;", "&amp;$K$383,'FE Fret'!$G:$U,7,FALSE),$BH386))),0,SQRT(SUMSQ(VLOOKUP($B386&amp;"; "&amp;$K$382&amp;", "&amp;$K$383,'FE Fret'!$G:$U,7,FALSE),$BH386)))</f>
        <v>0.1</v>
      </c>
      <c r="BK386" s="1068">
        <f>IF(ISNA(SQRT(SUMSQ(VLOOKUP($B386&amp;"; "&amp;$N$382&amp;", "&amp;$N$383,'FE Fret'!$G:$U,7,FALSE),$BH386))),0,SQRT(SUMSQ(VLOOKUP($B386&amp;"; "&amp;$N$382&amp;", "&amp;$N$383,'FE Fret'!$G:$U,7,FALSE),$BH386)))</f>
        <v>0.1</v>
      </c>
      <c r="BL386" s="1068">
        <f>IF(ISNA(SQRT(SUMSQ(VLOOKUP($B386&amp;"; "&amp;$Q$382&amp;", "&amp;$Q$383,'FE Fret'!$G:$U,7,FALSE),$BH386))),0,SQRT(SUMSQ(VLOOKUP($B386&amp;"; "&amp;$Q$382&amp;", "&amp;$Q$383,'FE Fret'!$G:$U,7,FALSE),$BH386)))</f>
        <v>0</v>
      </c>
      <c r="BM386" s="1124">
        <f>IF(ISNA(SQRT(SUMSQ(VLOOKUP($B386&amp;"; "&amp;$H$382&amp;", "&amp;I$383,'FE Fret'!$G:$U,7,FALSE),$BH386))),0,SQRT(SUMSQ(VLOOKUP($B386&amp;"; "&amp;$H$382&amp;", "&amp;$I$383,'FE Fret'!$G:$U,7,FALSE),$BH386)))</f>
        <v>0</v>
      </c>
      <c r="BN386" s="1068">
        <f>IF(ISNA(SQRT(SUMSQ(VLOOKUP($B386&amp;"; "&amp;$K$382&amp;", "&amp;$L$383,'FE Fret'!$G:$U,7,FALSE),$BH386))),0,SQRT(SUMSQ(VLOOKUP($B386&amp;"; "&amp;$K$382&amp;", "&amp;$L$383,'FE Fret'!$G:$U,7,FALSE),$BH386)))</f>
        <v>0.1</v>
      </c>
      <c r="BO386" s="1068">
        <f>IF(ISNA(SQRT(SUMSQ(VLOOKUP($B386&amp;"; "&amp;$N$382&amp;", "&amp;$O$383,'FE Fret'!$G:$U,7,FALSE),$BH386))),0,SQRT(SUMSQ(VLOOKUP($B386&amp;"; "&amp;$N$382&amp;", "&amp;$O$383,'FE Fret'!$G:$U,7,FALSE),$BH386)))</f>
        <v>0.1</v>
      </c>
      <c r="BP386" s="1125">
        <f>IF(ISNA(SQRT(SUMSQ(VLOOKUP($B386&amp;"; "&amp;$Q$382&amp;", "&amp;$R$383,'FE Fret'!$G:$U,7,FALSE),$BH386))),0,SQRT(SUMSQ(VLOOKUP($B386&amp;"; "&amp;$Q$382&amp;", "&amp;$R$383,'FE Fret'!$G:$U,7,FALSE),$BH386)))</f>
        <v>0</v>
      </c>
    </row>
    <row r="387" spans="2:68" outlineLevel="2">
      <c r="B387" s="143" t="s">
        <v>5163</v>
      </c>
      <c r="C387" s="144"/>
      <c r="D387" s="212">
        <f t="shared" si="128"/>
        <v>0</v>
      </c>
      <c r="E387" s="212"/>
      <c r="F387" s="120"/>
      <c r="G387" s="120"/>
      <c r="H387" s="335">
        <f>VLOOKUP($B387&amp;"; "&amp;$H$382&amp;", "&amp;H$383,'FE Fret'!$G:$U,9,FALSE)</f>
        <v>8060</v>
      </c>
      <c r="I387" s="335" t="e">
        <f>VLOOKUP($B387&amp;"; "&amp;$H$382&amp;", "&amp;I$383,'FE Fret'!$G:$U,9,FALSE)</f>
        <v>#N/A</v>
      </c>
      <c r="J387" s="120"/>
      <c r="K387" s="335">
        <f>VLOOKUP($B387&amp;"; "&amp;$K$382&amp;", "&amp;K$383,'FE Fret'!$G:$U,9,FALSE)</f>
        <v>0.78</v>
      </c>
      <c r="L387" s="335" t="e">
        <f>VLOOKUP($B387&amp;"; "&amp;$K$382&amp;", "&amp;L$383,'FE Fret'!$G:$U,9,FALSE)</f>
        <v>#N/A</v>
      </c>
      <c r="M387" s="120"/>
      <c r="N387" s="335">
        <f>VLOOKUP($B387&amp;"; "&amp;$N$382&amp;", "&amp;N$383,'FE Fret'!$G:$U,9,FALSE)</f>
        <v>9070</v>
      </c>
      <c r="O387" s="335" t="e">
        <f>VLOOKUP($B387&amp;"; "&amp;$N$382&amp;", "&amp;O$383,'FE Fret'!$G:$U,9,FALSE)</f>
        <v>#N/A</v>
      </c>
      <c r="P387" s="120"/>
      <c r="Q387" s="335">
        <f>VLOOKUP($B387&amp;"; "&amp;$Q$382&amp;", "&amp;Q$383,'FE Fret'!$G:$U,9,FALSE)</f>
        <v>7.17</v>
      </c>
      <c r="R387" s="335" t="e">
        <f>VLOOKUP($B387&amp;"; "&amp;$Q$382&amp;", "&amp;R$383,'FE Fret'!$G:$U,9,FALSE)</f>
        <v>#N/A</v>
      </c>
      <c r="S387" s="356">
        <f t="shared" si="129"/>
        <v>0</v>
      </c>
      <c r="T387" s="356">
        <f t="shared" si="129"/>
        <v>0</v>
      </c>
      <c r="U387" s="1286">
        <f>IF(OR(F387=Utilitaires!$I$572,F387=Utilitaires!$I$577),T387,0)</f>
        <v>0</v>
      </c>
      <c r="X387" s="1092">
        <f t="shared" si="130"/>
        <v>0</v>
      </c>
      <c r="Y387" s="343"/>
      <c r="Z387" s="820"/>
      <c r="AA387" s="164">
        <f t="shared" si="131"/>
        <v>0</v>
      </c>
      <c r="AB387" s="164">
        <f t="shared" si="132"/>
        <v>0</v>
      </c>
      <c r="AC387" s="164"/>
      <c r="AD387" s="151"/>
      <c r="AE387" s="151">
        <f t="shared" si="133"/>
        <v>0</v>
      </c>
      <c r="AF387" s="1286">
        <f t="shared" si="134"/>
        <v>0</v>
      </c>
      <c r="AG387" s="116"/>
      <c r="AH387" s="564">
        <f>$G387*IF(ISNA(VLOOKUP($B387&amp;"; "&amp;$H$382&amp;", "&amp;H$383,'FE Fret'!$G:$U,10,FALSE)),0,VLOOKUP($B387&amp;"; "&amp;$H$382&amp;", "&amp;H$383,'FE Fret'!$G:$U,10,FALSE))
+$J387*IF(ISNA(VLOOKUP($B387&amp;"; "&amp;$K$382&amp;", "&amp;H$383,'FE Fret'!$G:$U,10,FALSE)),0,VLOOKUP($B387&amp;"; "&amp;$K$382&amp;", "&amp;H$383,'FE Fret'!$G:$U,10,FALSE))
+$M387*IF(ISNA(VLOOKUP($B387&amp;"; "&amp;$N$382&amp;", "&amp;H$383,'FE Fret'!$G:$U,10,FALSE)),0,VLOOKUP($B387&amp;"; "&amp;$N$382&amp;", "&amp;H$383,'FE Fret'!$G:$U,10,FALSE))
+$P387*IF(ISNA(VLOOKUP($B387&amp;"; "&amp;$Q$382&amp;", "&amp;H$383,'FE Fret'!$G:$U,10,FALSE)),0,VLOOKUP($B387&amp;"; "&amp;$Q$382&amp;", "&amp;H$383,'FE Fret'!$G:$U,10,FALSE))</f>
        <v>0</v>
      </c>
      <c r="AI387" s="565">
        <f>$G387*IF(ISNA(VLOOKUP($B387&amp;"; "&amp;$H$382&amp;", "&amp;I$383,'FE Fret'!$G:$U,10,FALSE)),0,VLOOKUP($B387&amp;"; "&amp;$H$382&amp;", "&amp;I$383,'FE Fret'!$G:$U,10,FALSE))
+$J387*IF(ISNA(VLOOKUP($B387&amp;"; "&amp;$K$382&amp;", "&amp;I$383,'FE Fret'!$G:$U,10,FALSE)),0,VLOOKUP($B387&amp;"; "&amp;$K$382&amp;", "&amp;I$383,'FE Fret'!$G:$U,10,FALSE))
+$M387*IF(ISNA(VLOOKUP($B387&amp;"; "&amp;$N$382&amp;", "&amp;I$383,'FE Fret'!$G:$U,10,FALSE)),0,VLOOKUP($B387&amp;"; "&amp;$N$382&amp;", "&amp;I$383,'FE Fret'!$G:$U,10,FALSE))
+$P387*IF(ISNA(VLOOKUP($B387&amp;"; "&amp;$Q$382&amp;", "&amp;I$383,'FE Fret'!$G:$U,10,FALSE)),0,VLOOKUP($B387&amp;"; "&amp;$Q$382&amp;", "&amp;I$383,'FE Fret'!$G:$U,10,FALSE))</f>
        <v>0</v>
      </c>
      <c r="AJ387" s="565"/>
      <c r="AK387" s="565">
        <f>$G387*IF(ISNA((VLOOKUP($B387&amp;"; "&amp;$H$382&amp;", "&amp;H$383,'FE Fret'!$G:$U,12,FALSE)+VLOOKUP($B387&amp;"; "&amp;$H$382&amp;", "&amp;H$383,'FE Fret'!$G:$U,11,FALSE))),0,(VLOOKUP($B387&amp;"; "&amp;$H$382&amp;", "&amp;H$383,'FE Fret'!$G:$U,12,FALSE)+VLOOKUP($B387&amp;"; "&amp;$H$382&amp;", "&amp;H$383,'FE Fret'!$G:$U,11,FALSE)))
+$J387*IF(ISNA((VLOOKUP($B387&amp;"; "&amp;$K$382&amp;", "&amp;H$383,'FE Fret'!$G:$U,12,FALSE)+VLOOKUP($B387&amp;"; "&amp;$K$382&amp;", "&amp;H$383,'FE Fret'!$G:$U,11,FALSE))),0,(VLOOKUP($B387&amp;"; "&amp;$K$382&amp;", "&amp;H$383,'FE Fret'!$G:$U,12,FALSE)+VLOOKUP($B387&amp;"; "&amp;$K$382&amp;", "&amp;H$383,'FE Fret'!$G:$U,11,FALSE)))
+$M387*IF(ISNA((VLOOKUP($B387&amp;"; "&amp;$N$382&amp;", "&amp;H$383,'FE Fret'!$G:$U,12,FALSE)+VLOOKUP($B387&amp;"; "&amp;$N$382&amp;", "&amp;H$383,'FE Fret'!$G:$U,11,FALSE))),0,(VLOOKUP($B387&amp;"; "&amp;$N$382&amp;", "&amp;H$383,'FE Fret'!$G:$U,12,FALSE)+VLOOKUP($B387&amp;"; "&amp;$N$382&amp;", "&amp;H$383,'FE Fret'!$G:$U,11,FALSE)))
+$P387*IF(ISNA((VLOOKUP($B387&amp;"; "&amp;$Q$382&amp;", "&amp;H$383,'FE Fret'!$G:$U,12,FALSE)+VLOOKUP($B387&amp;"; "&amp;$Q$382&amp;", "&amp;H$383,'FE Fret'!$G:$U,11,FALSE))),0,(VLOOKUP($B387&amp;"; "&amp;$Q$382&amp;", "&amp;H$383,'FE Fret'!$G:$U,12,FALSE)+VLOOKUP($B387&amp;"; "&amp;$Q$382&amp;", "&amp;H$383,'FE Fret'!$G:$U,11,FALSE)))</f>
        <v>0</v>
      </c>
      <c r="AL387" s="565">
        <f>$G387*IF(ISNA((VLOOKUP($B387&amp;"; "&amp;$H$382&amp;", "&amp;I$383,'FE Fret'!$G:$U,12,FALSE)+VLOOKUP($B387&amp;"; "&amp;$H$382&amp;", "&amp;I$383,'FE Fret'!$G:$U,11,FALSE))),0,(VLOOKUP($B387&amp;"; "&amp;$H$382&amp;", "&amp;I$383,'FE Fret'!$G:$U,12,FALSE)+VLOOKUP($B387&amp;"; "&amp;$H$382&amp;", "&amp;I$383,'FE Fret'!$G:$U,11,FALSE)))
+$J387*IF(ISNA((VLOOKUP($B387&amp;"; "&amp;$K$382&amp;", "&amp;I$383,'FE Fret'!$G:$U,12,FALSE)+VLOOKUP($B387&amp;"; "&amp;$K$382&amp;", "&amp;I$383,'FE Fret'!$G:$U,11,FALSE))),0,(VLOOKUP($B387&amp;"; "&amp;$K$382&amp;", "&amp;I$383,'FE Fret'!$G:$U,12,FALSE)+VLOOKUP($B387&amp;"; "&amp;$K$382&amp;", "&amp;I$383,'FE Fret'!$G:$U,11,FALSE)))
+$M387*IF(ISNA((VLOOKUP($B387&amp;"; "&amp;$N$382&amp;", "&amp;I$383,'FE Fret'!$G:$U,12,FALSE)+VLOOKUP($B387&amp;"; "&amp;$N$382&amp;", "&amp;I$383,'FE Fret'!$G:$U,11,FALSE))),0,(VLOOKUP($B387&amp;"; "&amp;$N$382&amp;", "&amp;I$383,'FE Fret'!$G:$U,12,FALSE)+VLOOKUP($B387&amp;"; "&amp;$N$382&amp;", "&amp;I$383,'FE Fret'!$G:$U,11,FALSE)))
+$P387*IF(ISNA((VLOOKUP($B387&amp;"; "&amp;$Q$382&amp;", "&amp;I$383,'FE Fret'!$G:$U,12,FALSE)+VLOOKUP($B387&amp;"; "&amp;$Q$382&amp;", "&amp;I$383,'FE Fret'!$G:$U,11,FALSE))),0,(VLOOKUP($B387&amp;"; "&amp;$Q$382&amp;", "&amp;I$383,'FE Fret'!$G:$U,12,FALSE)+VLOOKUP($B387&amp;"; "&amp;$Q$382&amp;", "&amp;I$383,'FE Fret'!$G:$U,11,FALSE)))</f>
        <v>0</v>
      </c>
      <c r="AM387" s="565"/>
      <c r="AN387" s="565">
        <f>$G387*IF(ISNA(VLOOKUP($B387&amp;"; "&amp;$H$382&amp;", "&amp;H$383,'FE Fret'!$G:$U,13,FALSE)),0,VLOOKUP($B387&amp;"; "&amp;$H$382&amp;", "&amp;H$383,'FE Fret'!$G:$U,13,FALSE))
+$J387*IF(ISNA(VLOOKUP($B387&amp;"; "&amp;$K$382&amp;", "&amp;H$383,'FE Fret'!$G:$U,13,FALSE)),0,VLOOKUP($B387&amp;"; "&amp;$K$382&amp;", "&amp;H$383,'FE Fret'!$G:$U,13,FALSE))
+$M387*IF(ISNA(VLOOKUP($B387&amp;"; "&amp;$N$382&amp;", "&amp;H$383,'FE Fret'!$G:$U,13,FALSE)),0,VLOOKUP($B387&amp;"; "&amp;$N$382&amp;", "&amp;H$383,'FE Fret'!$G:$U,13,FALSE))
+$P387*IF(ISNA(VLOOKUP($B387&amp;"; "&amp;$Q$382&amp;", "&amp;H$383,'FE Fret'!$G:$U,13,FALSE)),0,VLOOKUP($B387&amp;"; "&amp;$Q$382&amp;", "&amp;H$383,'FE Fret'!$G:$U,13,FALSE))</f>
        <v>0</v>
      </c>
      <c r="AO387" s="565">
        <f>$G387*IF(ISNA(VLOOKUP($B387&amp;"; "&amp;$H$382&amp;", "&amp;I$383,'FE Fret'!$G:$U,13,FALSE)),0,VLOOKUP($B387&amp;"; "&amp;$H$382&amp;", "&amp;I$383,'FE Fret'!$G:$U,13,FALSE))
+$J387*IF(ISNA(VLOOKUP($B387&amp;"; "&amp;$K$382&amp;", "&amp;I$383,'FE Fret'!$G:$U,13,FALSE)),0,VLOOKUP($B387&amp;"; "&amp;$K$382&amp;", "&amp;I$383,'FE Fret'!$G:$U,13,FALSE))
+$M387*IF(ISNA(VLOOKUP($B387&amp;"; "&amp;$N$382&amp;", "&amp;I$383,'FE Fret'!$G:$U,13,FALSE)),0,VLOOKUP($B387&amp;"; "&amp;$N$382&amp;", "&amp;I$383,'FE Fret'!$G:$U,13,FALSE))
+$P387*IF(ISNA(VLOOKUP($B387&amp;"; "&amp;$Q$382&amp;", "&amp;I$383,'FE Fret'!$G:$U,13,FALSE)),0,VLOOKUP($B387&amp;"; "&amp;$Q$382&amp;", "&amp;I$383,'FE Fret'!$G:$U,13,FALSE))</f>
        <v>0</v>
      </c>
      <c r="AP387" s="565"/>
      <c r="AQ387" s="565">
        <v>0</v>
      </c>
      <c r="AR387" s="565">
        <v>0</v>
      </c>
      <c r="AS387" s="565"/>
      <c r="AT387" s="566">
        <f t="shared" si="135"/>
        <v>0</v>
      </c>
      <c r="AU387" s="566">
        <f t="shared" si="136"/>
        <v>0</v>
      </c>
      <c r="AV387" s="567"/>
      <c r="AW387" s="565">
        <f>$G387*IF(ISNA(VLOOKUP($B387&amp;"; "&amp;$H$382&amp;", "&amp;H$383,'FE Fret'!$G:$U,15,FALSE)),0,VLOOKUP($B387&amp;"; "&amp;$H$382&amp;", "&amp;H$383,'FE Fret'!$G:$U,15,FALSE))
+$J387*IF(ISNA(VLOOKUP($B387&amp;"; "&amp;$K$382&amp;", "&amp;H$383,'FE Fret'!$G:$U,15,FALSE)),0,VLOOKUP($B387&amp;"; "&amp;$K$382&amp;", "&amp;H$383,'FE Fret'!$G:$U,15,FALSE))
+$M387*IF(ISNA(VLOOKUP($B387&amp;"; "&amp;$N$382&amp;", "&amp;H$383,'FE Fret'!$G:$U,15,FALSE)),0,VLOOKUP($B387&amp;"; "&amp;$N$382&amp;", "&amp;H$383,'FE Fret'!$G:$U,15,FALSE))
+$P387*IF(ISNA(VLOOKUP($B387&amp;"; "&amp;$Q$382&amp;", "&amp;H$383,'FE Fret'!$G:$U,15,FALSE)),0,VLOOKUP($B387&amp;"; "&amp;$Q$382&amp;", "&amp;H$383,'FE Fret'!$G:$U,15,FALSE))</f>
        <v>0</v>
      </c>
      <c r="AX387" s="565">
        <f>$G387*IF(ISNA(VLOOKUP($B387&amp;"; "&amp;$H$382&amp;", "&amp;I$383,'FE Fret'!$G:$U,15,FALSE)),0,VLOOKUP($B387&amp;"; "&amp;$H$382&amp;", "&amp;I$383,'FE Fret'!$G:$U,15,FALSE))
+$J387*IF(ISNA(VLOOKUP($B387&amp;"; "&amp;$K$382&amp;", "&amp;I$383,'FE Fret'!$G:$U,15,FALSE)),0,VLOOKUP($B387&amp;"; "&amp;$K$382&amp;", "&amp;I$383,'FE Fret'!$G:$U,15,FALSE))
+$M387*IF(ISNA(VLOOKUP($B387&amp;"; "&amp;$N$382&amp;", "&amp;I$383,'FE Fret'!$G:$U,15,FALSE)),0,VLOOKUP($B387&amp;"; "&amp;$N$382&amp;", "&amp;I$383,'FE Fret'!$G:$U,15,FALSE))
+$P387*IF(ISNA(VLOOKUP($B387&amp;"; "&amp;$Q$382&amp;", "&amp;I$383,'FE Fret'!$G:$U,15,FALSE)),0,VLOOKUP($B387&amp;"; "&amp;$Q$382&amp;", "&amp;I$383,'FE Fret'!$G:$U,15,FALSE))</f>
        <v>0</v>
      </c>
      <c r="AY387" s="568"/>
      <c r="AZ387" s="565"/>
      <c r="BA387" s="565"/>
      <c r="BB387" s="565"/>
      <c r="BC387" s="565"/>
      <c r="BD387" s="565"/>
      <c r="BE387" s="565"/>
      <c r="BF387" s="565"/>
      <c r="BH387" s="1065">
        <f>IF($Y387&lt;&gt;"votre valeur :",IF(ISNA(VLOOKUP($Y387,Utilitaires!$N$566:$O$571,2,FALSE)),,VLOOKUP($Y387,Utilitaires!$N$566:$O$571,2,FALSE)),$Z387)</f>
        <v>0</v>
      </c>
      <c r="BI387" s="1124">
        <f>IF(ISNA(SQRT(SUMSQ(VLOOKUP($B387&amp;"; "&amp;$H$382&amp;", "&amp;H$383,'FE Fret'!$G:$U,7,FALSE),$BH387))),0,SQRT(SUMSQ(VLOOKUP($B387&amp;"; "&amp;$H$382&amp;", "&amp;$H$383,'FE Fret'!$G:$U,7,FALSE),$BH387)))</f>
        <v>0.2</v>
      </c>
      <c r="BJ387" s="1068">
        <f>IF(ISNA(SQRT(SUMSQ(VLOOKUP($B387&amp;"; "&amp;$K$382&amp;", "&amp;$K$383,'FE Fret'!$G:$U,7,FALSE),$BH387))),0,SQRT(SUMSQ(VLOOKUP($B387&amp;"; "&amp;$K$382&amp;", "&amp;$K$383,'FE Fret'!$G:$U,7,FALSE),$BH387)))</f>
        <v>0.2</v>
      </c>
      <c r="BK387" s="1068">
        <f>IF(ISNA(SQRT(SUMSQ(VLOOKUP($B387&amp;"; "&amp;$N$382&amp;", "&amp;$N$383,'FE Fret'!$G:$U,7,FALSE),$BH387))),0,SQRT(SUMSQ(VLOOKUP($B387&amp;"; "&amp;$N$382&amp;", "&amp;$N$383,'FE Fret'!$G:$U,7,FALSE),$BH387)))</f>
        <v>0.2</v>
      </c>
      <c r="BL387" s="1068">
        <f>IF(ISNA(SQRT(SUMSQ(VLOOKUP($B387&amp;"; "&amp;$Q$382&amp;", "&amp;$Q$383,'FE Fret'!$G:$U,7,FALSE),$BH387))),0,SQRT(SUMSQ(VLOOKUP($B387&amp;"; "&amp;$Q$382&amp;", "&amp;$Q$383,'FE Fret'!$G:$U,7,FALSE),$BH387)))</f>
        <v>0.2</v>
      </c>
      <c r="BM387" s="1124">
        <f>IF(ISNA(SQRT(SUMSQ(VLOOKUP($B387&amp;"; "&amp;$H$382&amp;", "&amp;I$383,'FE Fret'!$G:$U,7,FALSE),$BH387))),0,SQRT(SUMSQ(VLOOKUP($B387&amp;"; "&amp;$H$382&amp;", "&amp;$I$383,'FE Fret'!$G:$U,7,FALSE),$BH387)))</f>
        <v>0</v>
      </c>
      <c r="BN387" s="1068">
        <f>IF(ISNA(SQRT(SUMSQ(VLOOKUP($B387&amp;"; "&amp;$K$382&amp;", "&amp;$L$383,'FE Fret'!$G:$U,7,FALSE),$BH387))),0,SQRT(SUMSQ(VLOOKUP($B387&amp;"; "&amp;$K$382&amp;", "&amp;$L$383,'FE Fret'!$G:$U,7,FALSE),$BH387)))</f>
        <v>0</v>
      </c>
      <c r="BO387" s="1068">
        <f>IF(ISNA(SQRT(SUMSQ(VLOOKUP($B387&amp;"; "&amp;$N$382&amp;", "&amp;$O$383,'FE Fret'!$G:$U,7,FALSE),$BH387))),0,SQRT(SUMSQ(VLOOKUP($B387&amp;"; "&amp;$N$382&amp;", "&amp;$O$383,'FE Fret'!$G:$U,7,FALSE),$BH387)))</f>
        <v>0</v>
      </c>
      <c r="BP387" s="1125">
        <f>IF(ISNA(SQRT(SUMSQ(VLOOKUP($B387&amp;"; "&amp;$Q$382&amp;", "&amp;$R$383,'FE Fret'!$G:$U,7,FALSE),$BH387))),0,SQRT(SUMSQ(VLOOKUP($B387&amp;"; "&amp;$Q$382&amp;", "&amp;$R$383,'FE Fret'!$G:$U,7,FALSE),$BH387)))</f>
        <v>0</v>
      </c>
    </row>
    <row r="388" spans="2:68" outlineLevel="2">
      <c r="B388" s="143" t="s">
        <v>5166</v>
      </c>
      <c r="C388" s="144"/>
      <c r="D388" s="212">
        <f t="shared" si="128"/>
        <v>0</v>
      </c>
      <c r="E388" s="212"/>
      <c r="F388" s="120"/>
      <c r="G388" s="120"/>
      <c r="H388" s="335">
        <f>VLOOKUP($B388&amp;"; "&amp;$H$382&amp;", "&amp;H$383,'FE Fret'!$G:$U,9,FALSE)</f>
        <v>651</v>
      </c>
      <c r="I388" s="335">
        <f>VLOOKUP($B388&amp;"; "&amp;$H$382&amp;", "&amp;I$383,'FE Fret'!$G:$U,9,FALSE)</f>
        <v>2908</v>
      </c>
      <c r="J388" s="120"/>
      <c r="K388" s="335">
        <f>VLOOKUP($B388&amp;"; "&amp;$K$382&amp;", "&amp;K$383,'FE Fret'!$G:$U,9,FALSE)</f>
        <v>5.7099999999999998E-2</v>
      </c>
      <c r="L388" s="335">
        <f>VLOOKUP($B388&amp;"; "&amp;$K$382&amp;", "&amp;L$383,'FE Fret'!$G:$U,9,FALSE)</f>
        <v>0.254</v>
      </c>
      <c r="M388" s="120"/>
      <c r="N388" s="335">
        <f>VLOOKUP($B388&amp;"; "&amp;$N$382&amp;", "&amp;N$383,'FE Fret'!$G:$U,9,FALSE)</f>
        <v>651</v>
      </c>
      <c r="O388" s="335">
        <f>VLOOKUP($B388&amp;"; "&amp;$N$382&amp;", "&amp;O$383,'FE Fret'!$G:$U,9,FALSE)</f>
        <v>2907</v>
      </c>
      <c r="P388" s="120"/>
      <c r="Q388" s="335">
        <f>VLOOKUP($B388&amp;"; "&amp;$Q$382&amp;", "&amp;Q$383,'FE Fret'!$G:$U,9,FALSE)</f>
        <v>0.49399999999999999</v>
      </c>
      <c r="R388" s="335">
        <f>VLOOKUP($B388&amp;"; "&amp;$Q$382&amp;", "&amp;R$383,'FE Fret'!$G:$U,9,FALSE)</f>
        <v>2.21</v>
      </c>
      <c r="S388" s="356">
        <f t="shared" si="129"/>
        <v>0</v>
      </c>
      <c r="T388" s="356">
        <f t="shared" si="129"/>
        <v>0</v>
      </c>
      <c r="U388" s="1286">
        <f>IF(OR(F388=Utilitaires!$I$572,F388=Utilitaires!$I$577),T388,0)</f>
        <v>0</v>
      </c>
      <c r="X388" s="1092">
        <f t="shared" si="130"/>
        <v>0</v>
      </c>
      <c r="Y388" s="343"/>
      <c r="Z388" s="820"/>
      <c r="AA388" s="164">
        <f t="shared" si="131"/>
        <v>0</v>
      </c>
      <c r="AB388" s="164">
        <f t="shared" si="132"/>
        <v>0</v>
      </c>
      <c r="AC388" s="164"/>
      <c r="AD388" s="151"/>
      <c r="AE388" s="151">
        <f t="shared" si="133"/>
        <v>0</v>
      </c>
      <c r="AF388" s="1286">
        <f t="shared" si="134"/>
        <v>0</v>
      </c>
      <c r="AG388" s="116"/>
      <c r="AH388" s="564">
        <f>$G388*IF(ISNA(VLOOKUP($B388&amp;"; "&amp;$H$382&amp;", "&amp;H$383,'FE Fret'!$G:$U,10,FALSE)),0,VLOOKUP($B388&amp;"; "&amp;$H$382&amp;", "&amp;H$383,'FE Fret'!$G:$U,10,FALSE))
+$J388*IF(ISNA(VLOOKUP($B388&amp;"; "&amp;$K$382&amp;", "&amp;H$383,'FE Fret'!$G:$U,10,FALSE)),0,VLOOKUP($B388&amp;"; "&amp;$K$382&amp;", "&amp;H$383,'FE Fret'!$G:$U,10,FALSE))
+$M388*IF(ISNA(VLOOKUP($B388&amp;"; "&amp;$N$382&amp;", "&amp;H$383,'FE Fret'!$G:$U,10,FALSE)),0,VLOOKUP($B388&amp;"; "&amp;$N$382&amp;", "&amp;H$383,'FE Fret'!$G:$U,10,FALSE))
+$P388*IF(ISNA(VLOOKUP($B388&amp;"; "&amp;$Q$382&amp;", "&amp;H$383,'FE Fret'!$G:$U,10,FALSE)),0,VLOOKUP($B388&amp;"; "&amp;$Q$382&amp;", "&amp;H$383,'FE Fret'!$G:$U,10,FALSE))</f>
        <v>0</v>
      </c>
      <c r="AI388" s="565">
        <f>$G388*IF(ISNA(VLOOKUP($B388&amp;"; "&amp;$H$382&amp;", "&amp;I$383,'FE Fret'!$G:$U,10,FALSE)),0,VLOOKUP($B388&amp;"; "&amp;$H$382&amp;", "&amp;I$383,'FE Fret'!$G:$U,10,FALSE))
+$J388*IF(ISNA(VLOOKUP($B388&amp;"; "&amp;$K$382&amp;", "&amp;I$383,'FE Fret'!$G:$U,10,FALSE)),0,VLOOKUP($B388&amp;"; "&amp;$K$382&amp;", "&amp;I$383,'FE Fret'!$G:$U,10,FALSE))
+$M388*IF(ISNA(VLOOKUP($B388&amp;"; "&amp;$N$382&amp;", "&amp;I$383,'FE Fret'!$G:$U,10,FALSE)),0,VLOOKUP($B388&amp;"; "&amp;$N$382&amp;", "&amp;I$383,'FE Fret'!$G:$U,10,FALSE))
+$P388*IF(ISNA(VLOOKUP($B388&amp;"; "&amp;$Q$382&amp;", "&amp;I$383,'FE Fret'!$G:$U,10,FALSE)),0,VLOOKUP($B388&amp;"; "&amp;$Q$382&amp;", "&amp;I$383,'FE Fret'!$G:$U,10,FALSE))</f>
        <v>0</v>
      </c>
      <c r="AJ388" s="565"/>
      <c r="AK388" s="565">
        <f>$G388*IF(ISNA((VLOOKUP($B388&amp;"; "&amp;$H$382&amp;", "&amp;H$383,'FE Fret'!$G:$U,12,FALSE)+VLOOKUP($B388&amp;"; "&amp;$H$382&amp;", "&amp;H$383,'FE Fret'!$G:$U,11,FALSE))),0,(VLOOKUP($B388&amp;"; "&amp;$H$382&amp;", "&amp;H$383,'FE Fret'!$G:$U,12,FALSE)+VLOOKUP($B388&amp;"; "&amp;$H$382&amp;", "&amp;H$383,'FE Fret'!$G:$U,11,FALSE)))
+$J388*IF(ISNA((VLOOKUP($B388&amp;"; "&amp;$K$382&amp;", "&amp;H$383,'FE Fret'!$G:$U,12,FALSE)+VLOOKUP($B388&amp;"; "&amp;$K$382&amp;", "&amp;H$383,'FE Fret'!$G:$U,11,FALSE))),0,(VLOOKUP($B388&amp;"; "&amp;$K$382&amp;", "&amp;H$383,'FE Fret'!$G:$U,12,FALSE)+VLOOKUP($B388&amp;"; "&amp;$K$382&amp;", "&amp;H$383,'FE Fret'!$G:$U,11,FALSE)))
+$M388*IF(ISNA((VLOOKUP($B388&amp;"; "&amp;$N$382&amp;", "&amp;H$383,'FE Fret'!$G:$U,12,FALSE)+VLOOKUP($B388&amp;"; "&amp;$N$382&amp;", "&amp;H$383,'FE Fret'!$G:$U,11,FALSE))),0,(VLOOKUP($B388&amp;"; "&amp;$N$382&amp;", "&amp;H$383,'FE Fret'!$G:$U,12,FALSE)+VLOOKUP($B388&amp;"; "&amp;$N$382&amp;", "&amp;H$383,'FE Fret'!$G:$U,11,FALSE)))
+$P388*IF(ISNA((VLOOKUP($B388&amp;"; "&amp;$Q$382&amp;", "&amp;H$383,'FE Fret'!$G:$U,12,FALSE)+VLOOKUP($B388&amp;"; "&amp;$Q$382&amp;", "&amp;H$383,'FE Fret'!$G:$U,11,FALSE))),0,(VLOOKUP($B388&amp;"; "&amp;$Q$382&amp;", "&amp;H$383,'FE Fret'!$G:$U,12,FALSE)+VLOOKUP($B388&amp;"; "&amp;$Q$382&amp;", "&amp;H$383,'FE Fret'!$G:$U,11,FALSE)))</f>
        <v>0</v>
      </c>
      <c r="AL388" s="565">
        <f>$G388*IF(ISNA((VLOOKUP($B388&amp;"; "&amp;$H$382&amp;", "&amp;I$383,'FE Fret'!$G:$U,12,FALSE)+VLOOKUP($B388&amp;"; "&amp;$H$382&amp;", "&amp;I$383,'FE Fret'!$G:$U,11,FALSE))),0,(VLOOKUP($B388&amp;"; "&amp;$H$382&amp;", "&amp;I$383,'FE Fret'!$G:$U,12,FALSE)+VLOOKUP($B388&amp;"; "&amp;$H$382&amp;", "&amp;I$383,'FE Fret'!$G:$U,11,FALSE)))
+$J388*IF(ISNA((VLOOKUP($B388&amp;"; "&amp;$K$382&amp;", "&amp;I$383,'FE Fret'!$G:$U,12,FALSE)+VLOOKUP($B388&amp;"; "&amp;$K$382&amp;", "&amp;I$383,'FE Fret'!$G:$U,11,FALSE))),0,(VLOOKUP($B388&amp;"; "&amp;$K$382&amp;", "&amp;I$383,'FE Fret'!$G:$U,12,FALSE)+VLOOKUP($B388&amp;"; "&amp;$K$382&amp;", "&amp;I$383,'FE Fret'!$G:$U,11,FALSE)))
+$M388*IF(ISNA((VLOOKUP($B388&amp;"; "&amp;$N$382&amp;", "&amp;I$383,'FE Fret'!$G:$U,12,FALSE)+VLOOKUP($B388&amp;"; "&amp;$N$382&amp;", "&amp;I$383,'FE Fret'!$G:$U,11,FALSE))),0,(VLOOKUP($B388&amp;"; "&amp;$N$382&amp;", "&amp;I$383,'FE Fret'!$G:$U,12,FALSE)+VLOOKUP($B388&amp;"; "&amp;$N$382&amp;", "&amp;I$383,'FE Fret'!$G:$U,11,FALSE)))
+$P388*IF(ISNA((VLOOKUP($B388&amp;"; "&amp;$Q$382&amp;", "&amp;I$383,'FE Fret'!$G:$U,12,FALSE)+VLOOKUP($B388&amp;"; "&amp;$Q$382&amp;", "&amp;I$383,'FE Fret'!$G:$U,11,FALSE))),0,(VLOOKUP($B388&amp;"; "&amp;$Q$382&amp;", "&amp;I$383,'FE Fret'!$G:$U,12,FALSE)+VLOOKUP($B388&amp;"; "&amp;$Q$382&amp;", "&amp;I$383,'FE Fret'!$G:$U,11,FALSE)))</f>
        <v>0</v>
      </c>
      <c r="AM388" s="565"/>
      <c r="AN388" s="565">
        <f>$G388*IF(ISNA(VLOOKUP($B388&amp;"; "&amp;$H$382&amp;", "&amp;H$383,'FE Fret'!$G:$U,13,FALSE)),0,VLOOKUP($B388&amp;"; "&amp;$H$382&amp;", "&amp;H$383,'FE Fret'!$G:$U,13,FALSE))
+$J388*IF(ISNA(VLOOKUP($B388&amp;"; "&amp;$K$382&amp;", "&amp;H$383,'FE Fret'!$G:$U,13,FALSE)),0,VLOOKUP($B388&amp;"; "&amp;$K$382&amp;", "&amp;H$383,'FE Fret'!$G:$U,13,FALSE))
+$M388*IF(ISNA(VLOOKUP($B388&amp;"; "&amp;$N$382&amp;", "&amp;H$383,'FE Fret'!$G:$U,13,FALSE)),0,VLOOKUP($B388&amp;"; "&amp;$N$382&amp;", "&amp;H$383,'FE Fret'!$G:$U,13,FALSE))
+$P388*IF(ISNA(VLOOKUP($B388&amp;"; "&amp;$Q$382&amp;", "&amp;H$383,'FE Fret'!$G:$U,13,FALSE)),0,VLOOKUP($B388&amp;"; "&amp;$Q$382&amp;", "&amp;H$383,'FE Fret'!$G:$U,13,FALSE))</f>
        <v>0</v>
      </c>
      <c r="AO388" s="565">
        <f>$G388*IF(ISNA(VLOOKUP($B388&amp;"; "&amp;$H$382&amp;", "&amp;I$383,'FE Fret'!$G:$U,13,FALSE)),0,VLOOKUP($B388&amp;"; "&amp;$H$382&amp;", "&amp;I$383,'FE Fret'!$G:$U,13,FALSE))
+$J388*IF(ISNA(VLOOKUP($B388&amp;"; "&amp;$K$382&amp;", "&amp;I$383,'FE Fret'!$G:$U,13,FALSE)),0,VLOOKUP($B388&amp;"; "&amp;$K$382&amp;", "&amp;I$383,'FE Fret'!$G:$U,13,FALSE))
+$M388*IF(ISNA(VLOOKUP($B388&amp;"; "&amp;$N$382&amp;", "&amp;I$383,'FE Fret'!$G:$U,13,FALSE)),0,VLOOKUP($B388&amp;"; "&amp;$N$382&amp;", "&amp;I$383,'FE Fret'!$G:$U,13,FALSE))
+$P388*IF(ISNA(VLOOKUP($B388&amp;"; "&amp;$Q$382&amp;", "&amp;I$383,'FE Fret'!$G:$U,13,FALSE)),0,VLOOKUP($B388&amp;"; "&amp;$Q$382&amp;", "&amp;I$383,'FE Fret'!$G:$U,13,FALSE))</f>
        <v>0</v>
      </c>
      <c r="AP388" s="565"/>
      <c r="AQ388" s="565">
        <v>0</v>
      </c>
      <c r="AR388" s="565">
        <v>0</v>
      </c>
      <c r="AS388" s="565"/>
      <c r="AT388" s="566">
        <f t="shared" si="135"/>
        <v>0</v>
      </c>
      <c r="AU388" s="566">
        <f t="shared" si="136"/>
        <v>0</v>
      </c>
      <c r="AV388" s="567"/>
      <c r="AW388" s="565">
        <f>$G388*IF(ISNA(VLOOKUP($B388&amp;"; "&amp;$H$382&amp;", "&amp;H$383,'FE Fret'!$G:$U,15,FALSE)),0,VLOOKUP($B388&amp;"; "&amp;$H$382&amp;", "&amp;H$383,'FE Fret'!$G:$U,15,FALSE))
+$J388*IF(ISNA(VLOOKUP($B388&amp;"; "&amp;$K$382&amp;", "&amp;H$383,'FE Fret'!$G:$U,15,FALSE)),0,VLOOKUP($B388&amp;"; "&amp;$K$382&amp;", "&amp;H$383,'FE Fret'!$G:$U,15,FALSE))
+$M388*IF(ISNA(VLOOKUP($B388&amp;"; "&amp;$N$382&amp;", "&amp;H$383,'FE Fret'!$G:$U,15,FALSE)),0,VLOOKUP($B388&amp;"; "&amp;$N$382&amp;", "&amp;H$383,'FE Fret'!$G:$U,15,FALSE))
+$P388*IF(ISNA(VLOOKUP($B388&amp;"; "&amp;$Q$382&amp;", "&amp;H$383,'FE Fret'!$G:$U,15,FALSE)),0,VLOOKUP($B388&amp;"; "&amp;$Q$382&amp;", "&amp;H$383,'FE Fret'!$G:$U,15,FALSE))</f>
        <v>0</v>
      </c>
      <c r="AX388" s="565">
        <f>$G388*IF(ISNA(VLOOKUP($B388&amp;"; "&amp;$H$382&amp;", "&amp;I$383,'FE Fret'!$G:$U,15,FALSE)),0,VLOOKUP($B388&amp;"; "&amp;$H$382&amp;", "&amp;I$383,'FE Fret'!$G:$U,15,FALSE))
+$J388*IF(ISNA(VLOOKUP($B388&amp;"; "&amp;$K$382&amp;", "&amp;I$383,'FE Fret'!$G:$U,15,FALSE)),0,VLOOKUP($B388&amp;"; "&amp;$K$382&amp;", "&amp;I$383,'FE Fret'!$G:$U,15,FALSE))
+$M388*IF(ISNA(VLOOKUP($B388&amp;"; "&amp;$N$382&amp;", "&amp;I$383,'FE Fret'!$G:$U,15,FALSE)),0,VLOOKUP($B388&amp;"; "&amp;$N$382&amp;", "&amp;I$383,'FE Fret'!$G:$U,15,FALSE))
+$P388*IF(ISNA(VLOOKUP($B388&amp;"; "&amp;$Q$382&amp;", "&amp;I$383,'FE Fret'!$G:$U,15,FALSE)),0,VLOOKUP($B388&amp;"; "&amp;$Q$382&amp;", "&amp;I$383,'FE Fret'!$G:$U,15,FALSE))</f>
        <v>0</v>
      </c>
      <c r="AY388" s="568"/>
      <c r="AZ388" s="565"/>
      <c r="BA388" s="565"/>
      <c r="BB388" s="565"/>
      <c r="BC388" s="565"/>
      <c r="BD388" s="565"/>
      <c r="BE388" s="565"/>
      <c r="BF388" s="565"/>
      <c r="BH388" s="1065">
        <f>IF($Y388&lt;&gt;"votre valeur :",IF(ISNA(VLOOKUP($Y388,Utilitaires!$N$566:$O$571,2,FALSE)),,VLOOKUP($Y388,Utilitaires!$N$566:$O$571,2,FALSE)),$Z388)</f>
        <v>0</v>
      </c>
      <c r="BI388" s="1124">
        <f>IF(ISNA(SQRT(SUMSQ(VLOOKUP($B388&amp;"; "&amp;$H$382&amp;", "&amp;H$383,'FE Fret'!$G:$U,7,FALSE),$BH388))),0,SQRT(SUMSQ(VLOOKUP($B388&amp;"; "&amp;$H$382&amp;", "&amp;$H$383,'FE Fret'!$G:$U,7,FALSE),$BH388)))</f>
        <v>0.05</v>
      </c>
      <c r="BJ388" s="1068">
        <f>IF(ISNA(SQRT(SUMSQ(VLOOKUP($B388&amp;"; "&amp;$K$382&amp;", "&amp;$K$383,'FE Fret'!$G:$U,7,FALSE),$BH388))),0,SQRT(SUMSQ(VLOOKUP($B388&amp;"; "&amp;$K$382&amp;", "&amp;$K$383,'FE Fret'!$G:$U,7,FALSE),$BH388)))</f>
        <v>0.05</v>
      </c>
      <c r="BK388" s="1068">
        <f>IF(ISNA(SQRT(SUMSQ(VLOOKUP($B388&amp;"; "&amp;$N$382&amp;", "&amp;$N$383,'FE Fret'!$G:$U,7,FALSE),$BH388))),0,SQRT(SUMSQ(VLOOKUP($B388&amp;"; "&amp;$N$382&amp;", "&amp;$N$383,'FE Fret'!$G:$U,7,FALSE),$BH388)))</f>
        <v>0.05</v>
      </c>
      <c r="BL388" s="1068">
        <f>IF(ISNA(SQRT(SUMSQ(VLOOKUP($B388&amp;"; "&amp;$Q$382&amp;", "&amp;$Q$383,'FE Fret'!$G:$U,7,FALSE),$BH388))),0,SQRT(SUMSQ(VLOOKUP($B388&amp;"; "&amp;$Q$382&amp;", "&amp;$Q$383,'FE Fret'!$G:$U,7,FALSE),$BH388)))</f>
        <v>0.1</v>
      </c>
      <c r="BM388" s="1124">
        <f>IF(ISNA(SQRT(SUMSQ(VLOOKUP($B388&amp;"; "&amp;$H$382&amp;", "&amp;I$383,'FE Fret'!$G:$U,7,FALSE),$BH388))),0,SQRT(SUMSQ(VLOOKUP($B388&amp;"; "&amp;$H$382&amp;", "&amp;$I$383,'FE Fret'!$G:$U,7,FALSE),$BH388)))</f>
        <v>0.05</v>
      </c>
      <c r="BN388" s="1068">
        <f>IF(ISNA(SQRT(SUMSQ(VLOOKUP($B388&amp;"; "&amp;$K$382&amp;", "&amp;$L$383,'FE Fret'!$G:$U,7,FALSE),$BH388))),0,SQRT(SUMSQ(VLOOKUP($B388&amp;"; "&amp;$K$382&amp;", "&amp;$L$383,'FE Fret'!$G:$U,7,FALSE),$BH388)))</f>
        <v>0.05</v>
      </c>
      <c r="BO388" s="1068">
        <f>IF(ISNA(SQRT(SUMSQ(VLOOKUP($B388&amp;"; "&amp;$N$382&amp;", "&amp;$O$383,'FE Fret'!$G:$U,7,FALSE),$BH388))),0,SQRT(SUMSQ(VLOOKUP($B388&amp;"; "&amp;$N$382&amp;", "&amp;$O$383,'FE Fret'!$G:$U,7,FALSE),$BH388)))</f>
        <v>0.05</v>
      </c>
      <c r="BP388" s="1125">
        <f>IF(ISNA(SQRT(SUMSQ(VLOOKUP($B388&amp;"; "&amp;$Q$382&amp;", "&amp;$R$383,'FE Fret'!$G:$U,7,FALSE),$BH388))),0,SQRT(SUMSQ(VLOOKUP($B388&amp;"; "&amp;$Q$382&amp;", "&amp;$R$383,'FE Fret'!$G:$U,7,FALSE),$BH388)))</f>
        <v>0.1</v>
      </c>
    </row>
    <row r="389" spans="2:68" outlineLevel="2">
      <c r="B389" s="143" t="s">
        <v>2253</v>
      </c>
      <c r="C389" s="144"/>
      <c r="D389" s="212">
        <f t="shared" si="128"/>
        <v>0</v>
      </c>
      <c r="E389" s="212"/>
      <c r="F389" s="123"/>
      <c r="G389" s="123"/>
      <c r="H389" s="335">
        <f>VLOOKUP($B389&amp;"; "&amp;$H$382&amp;", "&amp;H$383,'FE Fret'!$G:$U,9,FALSE)</f>
        <v>1070</v>
      </c>
      <c r="I389" s="335" t="e">
        <f>VLOOKUP($B389&amp;"; "&amp;$H$382&amp;", "&amp;I$383,'FE Fret'!$G:$U,9,FALSE)</f>
        <v>#N/A</v>
      </c>
      <c r="J389" s="123"/>
      <c r="K389" s="335">
        <f>VLOOKUP($B389&amp;"; "&amp;$K$382&amp;", "&amp;K$383,'FE Fret'!$G:$U,9,FALSE)</f>
        <v>0.14399999999999999</v>
      </c>
      <c r="L389" s="335" t="e">
        <f>VLOOKUP($B389&amp;"; "&amp;$K$382&amp;", "&amp;L$383,'FE Fret'!$G:$U,9,FALSE)</f>
        <v>#N/A</v>
      </c>
      <c r="M389" s="123"/>
      <c r="N389" s="335">
        <f>VLOOKUP($B389&amp;"; "&amp;$N$382&amp;", "&amp;N$383,'FE Fret'!$G:$U,9,FALSE)</f>
        <v>1670</v>
      </c>
      <c r="O389" s="335" t="e">
        <f>VLOOKUP($B389&amp;"; "&amp;$N$382&amp;", "&amp;O$383,'FE Fret'!$G:$U,9,FALSE)</f>
        <v>#N/A</v>
      </c>
      <c r="P389" s="123"/>
      <c r="Q389" s="335">
        <f>VLOOKUP($B389&amp;"; "&amp;$Q$382&amp;", "&amp;Q$383,'FE Fret'!$G:$U,9,FALSE)</f>
        <v>0.84799999999999998</v>
      </c>
      <c r="R389" s="335" t="e">
        <f>VLOOKUP($B389&amp;"; "&amp;$Q$382&amp;", "&amp;R$383,'FE Fret'!$G:$U,9,FALSE)</f>
        <v>#N/A</v>
      </c>
      <c r="S389" s="356">
        <f t="shared" si="129"/>
        <v>0</v>
      </c>
      <c r="T389" s="356">
        <f t="shared" si="129"/>
        <v>0</v>
      </c>
      <c r="U389" s="1286">
        <f>IF(OR(F389=Utilitaires!$I$572,F389=Utilitaires!$I$577),T389,0)</f>
        <v>0</v>
      </c>
      <c r="X389" s="1092">
        <f t="shared" si="130"/>
        <v>0</v>
      </c>
      <c r="Y389" s="1218"/>
      <c r="Z389" s="820"/>
      <c r="AA389" s="164">
        <f t="shared" si="131"/>
        <v>0</v>
      </c>
      <c r="AB389" s="164">
        <f t="shared" si="132"/>
        <v>0</v>
      </c>
      <c r="AC389" s="164"/>
      <c r="AD389" s="151"/>
      <c r="AE389" s="151">
        <f t="shared" si="133"/>
        <v>0</v>
      </c>
      <c r="AF389" s="1286">
        <f t="shared" si="134"/>
        <v>0</v>
      </c>
      <c r="AG389" s="116"/>
      <c r="AH389" s="564">
        <f>$G389*IF(ISNA(VLOOKUP($B389&amp;"; "&amp;$H$382&amp;", "&amp;H$383,'FE Fret'!$G:$U,10,FALSE)),0,VLOOKUP($B389&amp;"; "&amp;$H$382&amp;", "&amp;H$383,'FE Fret'!$G:$U,10,FALSE))
+$J389*IF(ISNA(VLOOKUP($B389&amp;"; "&amp;$K$382&amp;", "&amp;H$383,'FE Fret'!$G:$U,10,FALSE)),0,VLOOKUP($B389&amp;"; "&amp;$K$382&amp;", "&amp;H$383,'FE Fret'!$G:$U,10,FALSE))
+$M389*IF(ISNA(VLOOKUP($B389&amp;"; "&amp;$N$382&amp;", "&amp;H$383,'FE Fret'!$G:$U,10,FALSE)),0,VLOOKUP($B389&amp;"; "&amp;$N$382&amp;", "&amp;H$383,'FE Fret'!$G:$U,10,FALSE))
+$P389*IF(ISNA(VLOOKUP($B389&amp;"; "&amp;$Q$382&amp;", "&amp;H$383,'FE Fret'!$G:$U,10,FALSE)),0,VLOOKUP($B389&amp;"; "&amp;$Q$382&amp;", "&amp;H$383,'FE Fret'!$G:$U,10,FALSE))</f>
        <v>0</v>
      </c>
      <c r="AI389" s="565">
        <f>$G389*IF(ISNA(VLOOKUP($B389&amp;"; "&amp;$H$382&amp;", "&amp;I$383,'FE Fret'!$G:$U,10,FALSE)),0,VLOOKUP($B389&amp;"; "&amp;$H$382&amp;", "&amp;I$383,'FE Fret'!$G:$U,10,FALSE))
+$J389*IF(ISNA(VLOOKUP($B389&amp;"; "&amp;$K$382&amp;", "&amp;I$383,'FE Fret'!$G:$U,10,FALSE)),0,VLOOKUP($B389&amp;"; "&amp;$K$382&amp;", "&amp;I$383,'FE Fret'!$G:$U,10,FALSE))
+$M389*IF(ISNA(VLOOKUP($B389&amp;"; "&amp;$N$382&amp;", "&amp;I$383,'FE Fret'!$G:$U,10,FALSE)),0,VLOOKUP($B389&amp;"; "&amp;$N$382&amp;", "&amp;I$383,'FE Fret'!$G:$U,10,FALSE))
+$P389*IF(ISNA(VLOOKUP($B389&amp;"; "&amp;$Q$382&amp;", "&amp;I$383,'FE Fret'!$G:$U,10,FALSE)),0,VLOOKUP($B389&amp;"; "&amp;$Q$382&amp;", "&amp;I$383,'FE Fret'!$G:$U,10,FALSE))</f>
        <v>0</v>
      </c>
      <c r="AJ389" s="565"/>
      <c r="AK389" s="565">
        <f>$G389*IF(ISNA((VLOOKUP($B389&amp;"; "&amp;$H$382&amp;", "&amp;H$383,'FE Fret'!$G:$U,12,FALSE)+VLOOKUP($B389&amp;"; "&amp;$H$382&amp;", "&amp;H$383,'FE Fret'!$G:$U,11,FALSE))),0,(VLOOKUP($B389&amp;"; "&amp;$H$382&amp;", "&amp;H$383,'FE Fret'!$G:$U,12,FALSE)+VLOOKUP($B389&amp;"; "&amp;$H$382&amp;", "&amp;H$383,'FE Fret'!$G:$U,11,FALSE)))
+$J389*IF(ISNA((VLOOKUP($B389&amp;"; "&amp;$K$382&amp;", "&amp;H$383,'FE Fret'!$G:$U,12,FALSE)+VLOOKUP($B389&amp;"; "&amp;$K$382&amp;", "&amp;H$383,'FE Fret'!$G:$U,11,FALSE))),0,(VLOOKUP($B389&amp;"; "&amp;$K$382&amp;", "&amp;H$383,'FE Fret'!$G:$U,12,FALSE)+VLOOKUP($B389&amp;"; "&amp;$K$382&amp;", "&amp;H$383,'FE Fret'!$G:$U,11,FALSE)))
+$M389*IF(ISNA((VLOOKUP($B389&amp;"; "&amp;$N$382&amp;", "&amp;H$383,'FE Fret'!$G:$U,12,FALSE)+VLOOKUP($B389&amp;"; "&amp;$N$382&amp;", "&amp;H$383,'FE Fret'!$G:$U,11,FALSE))),0,(VLOOKUP($B389&amp;"; "&amp;$N$382&amp;", "&amp;H$383,'FE Fret'!$G:$U,12,FALSE)+VLOOKUP($B389&amp;"; "&amp;$N$382&amp;", "&amp;H$383,'FE Fret'!$G:$U,11,FALSE)))
+$P389*IF(ISNA((VLOOKUP($B389&amp;"; "&amp;$Q$382&amp;", "&amp;H$383,'FE Fret'!$G:$U,12,FALSE)+VLOOKUP($B389&amp;"; "&amp;$Q$382&amp;", "&amp;H$383,'FE Fret'!$G:$U,11,FALSE))),0,(VLOOKUP($B389&amp;"; "&amp;$Q$382&amp;", "&amp;H$383,'FE Fret'!$G:$U,12,FALSE)+VLOOKUP($B389&amp;"; "&amp;$Q$382&amp;", "&amp;H$383,'FE Fret'!$G:$U,11,FALSE)))</f>
        <v>0</v>
      </c>
      <c r="AL389" s="565">
        <f>$G389*IF(ISNA((VLOOKUP($B389&amp;"; "&amp;$H$382&amp;", "&amp;I$383,'FE Fret'!$G:$U,12,FALSE)+VLOOKUP($B389&amp;"; "&amp;$H$382&amp;", "&amp;I$383,'FE Fret'!$G:$U,11,FALSE))),0,(VLOOKUP($B389&amp;"; "&amp;$H$382&amp;", "&amp;I$383,'FE Fret'!$G:$U,12,FALSE)+VLOOKUP($B389&amp;"; "&amp;$H$382&amp;", "&amp;I$383,'FE Fret'!$G:$U,11,FALSE)))
+$J389*IF(ISNA((VLOOKUP($B389&amp;"; "&amp;$K$382&amp;", "&amp;I$383,'FE Fret'!$G:$U,12,FALSE)+VLOOKUP($B389&amp;"; "&amp;$K$382&amp;", "&amp;I$383,'FE Fret'!$G:$U,11,FALSE))),0,(VLOOKUP($B389&amp;"; "&amp;$K$382&amp;", "&amp;I$383,'FE Fret'!$G:$U,12,FALSE)+VLOOKUP($B389&amp;"; "&amp;$K$382&amp;", "&amp;I$383,'FE Fret'!$G:$U,11,FALSE)))
+$M389*IF(ISNA((VLOOKUP($B389&amp;"; "&amp;$N$382&amp;", "&amp;I$383,'FE Fret'!$G:$U,12,FALSE)+VLOOKUP($B389&amp;"; "&amp;$N$382&amp;", "&amp;I$383,'FE Fret'!$G:$U,11,FALSE))),0,(VLOOKUP($B389&amp;"; "&amp;$N$382&amp;", "&amp;I$383,'FE Fret'!$G:$U,12,FALSE)+VLOOKUP($B389&amp;"; "&amp;$N$382&amp;", "&amp;I$383,'FE Fret'!$G:$U,11,FALSE)))
+$P389*IF(ISNA((VLOOKUP($B389&amp;"; "&amp;$Q$382&amp;", "&amp;I$383,'FE Fret'!$G:$U,12,FALSE)+VLOOKUP($B389&amp;"; "&amp;$Q$382&amp;", "&amp;I$383,'FE Fret'!$G:$U,11,FALSE))),0,(VLOOKUP($B389&amp;"; "&amp;$Q$382&amp;", "&amp;I$383,'FE Fret'!$G:$U,12,FALSE)+VLOOKUP($B389&amp;"; "&amp;$Q$382&amp;", "&amp;I$383,'FE Fret'!$G:$U,11,FALSE)))</f>
        <v>0</v>
      </c>
      <c r="AM389" s="565"/>
      <c r="AN389" s="565">
        <f>$G389*IF(ISNA(VLOOKUP($B389&amp;"; "&amp;$H$382&amp;", "&amp;H$383,'FE Fret'!$G:$U,13,FALSE)),0,VLOOKUP($B389&amp;"; "&amp;$H$382&amp;", "&amp;H$383,'FE Fret'!$G:$U,13,FALSE))
+$J389*IF(ISNA(VLOOKUP($B389&amp;"; "&amp;$K$382&amp;", "&amp;H$383,'FE Fret'!$G:$U,13,FALSE)),0,VLOOKUP($B389&amp;"; "&amp;$K$382&amp;", "&amp;H$383,'FE Fret'!$G:$U,13,FALSE))
+$M389*IF(ISNA(VLOOKUP($B389&amp;"; "&amp;$N$382&amp;", "&amp;H$383,'FE Fret'!$G:$U,13,FALSE)),0,VLOOKUP($B389&amp;"; "&amp;$N$382&amp;", "&amp;H$383,'FE Fret'!$G:$U,13,FALSE))
+$P389*IF(ISNA(VLOOKUP($B389&amp;"; "&amp;$Q$382&amp;", "&amp;H$383,'FE Fret'!$G:$U,13,FALSE)),0,VLOOKUP($B389&amp;"; "&amp;$Q$382&amp;", "&amp;H$383,'FE Fret'!$G:$U,13,FALSE))</f>
        <v>0</v>
      </c>
      <c r="AO389" s="565">
        <f>$G389*IF(ISNA(VLOOKUP($B389&amp;"; "&amp;$H$382&amp;", "&amp;I$383,'FE Fret'!$G:$U,13,FALSE)),0,VLOOKUP($B389&amp;"; "&amp;$H$382&amp;", "&amp;I$383,'FE Fret'!$G:$U,13,FALSE))
+$J389*IF(ISNA(VLOOKUP($B389&amp;"; "&amp;$K$382&amp;", "&amp;I$383,'FE Fret'!$G:$U,13,FALSE)),0,VLOOKUP($B389&amp;"; "&amp;$K$382&amp;", "&amp;I$383,'FE Fret'!$G:$U,13,FALSE))
+$M389*IF(ISNA(VLOOKUP($B389&amp;"; "&amp;$N$382&amp;", "&amp;I$383,'FE Fret'!$G:$U,13,FALSE)),0,VLOOKUP($B389&amp;"; "&amp;$N$382&amp;", "&amp;I$383,'FE Fret'!$G:$U,13,FALSE))
+$P389*IF(ISNA(VLOOKUP($B389&amp;"; "&amp;$Q$382&amp;", "&amp;I$383,'FE Fret'!$G:$U,13,FALSE)),0,VLOOKUP($B389&amp;"; "&amp;$Q$382&amp;", "&amp;I$383,'FE Fret'!$G:$U,13,FALSE))</f>
        <v>0</v>
      </c>
      <c r="AP389" s="565"/>
      <c r="AQ389" s="565">
        <v>0</v>
      </c>
      <c r="AR389" s="565">
        <v>0</v>
      </c>
      <c r="AS389" s="565"/>
      <c r="AT389" s="566">
        <f t="shared" si="135"/>
        <v>0</v>
      </c>
      <c r="AU389" s="566">
        <f t="shared" si="136"/>
        <v>0</v>
      </c>
      <c r="AV389" s="567"/>
      <c r="AW389" s="565">
        <f>$G389*IF(ISNA(VLOOKUP($B389&amp;"; "&amp;$H$382&amp;", "&amp;H$383,'FE Fret'!$G:$U,15,FALSE)),0,VLOOKUP($B389&amp;"; "&amp;$H$382&amp;", "&amp;H$383,'FE Fret'!$G:$U,15,FALSE))
+$J389*IF(ISNA(VLOOKUP($B389&amp;"; "&amp;$K$382&amp;", "&amp;H$383,'FE Fret'!$G:$U,15,FALSE)),0,VLOOKUP($B389&amp;"; "&amp;$K$382&amp;", "&amp;H$383,'FE Fret'!$G:$U,15,FALSE))
+$M389*IF(ISNA(VLOOKUP($B389&amp;"; "&amp;$N$382&amp;", "&amp;H$383,'FE Fret'!$G:$U,15,FALSE)),0,VLOOKUP($B389&amp;"; "&amp;$N$382&amp;", "&amp;H$383,'FE Fret'!$G:$U,15,FALSE))
+$P389*IF(ISNA(VLOOKUP($B389&amp;"; "&amp;$Q$382&amp;", "&amp;H$383,'FE Fret'!$G:$U,15,FALSE)),0,VLOOKUP($B389&amp;"; "&amp;$Q$382&amp;", "&amp;H$383,'FE Fret'!$G:$U,15,FALSE))</f>
        <v>0</v>
      </c>
      <c r="AX389" s="565">
        <f>$G389*IF(ISNA(VLOOKUP($B389&amp;"; "&amp;$H$382&amp;", "&amp;I$383,'FE Fret'!$G:$U,15,FALSE)),0,VLOOKUP($B389&amp;"; "&amp;$H$382&amp;", "&amp;I$383,'FE Fret'!$G:$U,15,FALSE))
+$J389*IF(ISNA(VLOOKUP($B389&amp;"; "&amp;$K$382&amp;", "&amp;I$383,'FE Fret'!$G:$U,15,FALSE)),0,VLOOKUP($B389&amp;"; "&amp;$K$382&amp;", "&amp;I$383,'FE Fret'!$G:$U,15,FALSE))
+$M389*IF(ISNA(VLOOKUP($B389&amp;"; "&amp;$N$382&amp;", "&amp;I$383,'FE Fret'!$G:$U,15,FALSE)),0,VLOOKUP($B389&amp;"; "&amp;$N$382&amp;", "&amp;I$383,'FE Fret'!$G:$U,15,FALSE))
+$P389*IF(ISNA(VLOOKUP($B389&amp;"; "&amp;$Q$382&amp;", "&amp;I$383,'FE Fret'!$G:$U,15,FALSE)),0,VLOOKUP($B389&amp;"; "&amp;$Q$382&amp;", "&amp;I$383,'FE Fret'!$G:$U,15,FALSE))</f>
        <v>0</v>
      </c>
      <c r="AY389" s="568"/>
      <c r="AZ389" s="565"/>
      <c r="BA389" s="565"/>
      <c r="BB389" s="565"/>
      <c r="BC389" s="565"/>
      <c r="BD389" s="565"/>
      <c r="BE389" s="565"/>
      <c r="BF389" s="565"/>
      <c r="BH389" s="1065">
        <f>IF($Y389&lt;&gt;"votre valeur :",IF(ISNA(VLOOKUP($Y389,Utilitaires!$N$566:$O$571,2,FALSE)),,VLOOKUP($Y389,Utilitaires!$N$566:$O$571,2,FALSE)),$Z389)</f>
        <v>0</v>
      </c>
      <c r="BI389" s="1124">
        <f>IF(ISNA(SQRT(SUMSQ(VLOOKUP($B389&amp;"; "&amp;$H$382&amp;", "&amp;H$383,'FE Fret'!$G:$U,7,FALSE),$BH389))),0,SQRT(SUMSQ(VLOOKUP($B389&amp;"; "&amp;$H$382&amp;", "&amp;$H$383,'FE Fret'!$G:$U,7,FALSE),$BH389)))</f>
        <v>0.2</v>
      </c>
      <c r="BJ389" s="1068">
        <f>IF(ISNA(SQRT(SUMSQ(VLOOKUP($B389&amp;"; "&amp;$K$382&amp;", "&amp;$K$383,'FE Fret'!$G:$U,7,FALSE),$BH389))),0,SQRT(SUMSQ(VLOOKUP($B389&amp;"; "&amp;$K$382&amp;", "&amp;$K$383,'FE Fret'!$G:$U,7,FALSE),$BH389)))</f>
        <v>0.2</v>
      </c>
      <c r="BK389" s="1068">
        <f>IF(ISNA(SQRT(SUMSQ(VLOOKUP($B389&amp;"; "&amp;$N$382&amp;", "&amp;$N$383,'FE Fret'!$G:$U,7,FALSE),$BH389))),0,SQRT(SUMSQ(VLOOKUP($B389&amp;"; "&amp;$N$382&amp;", "&amp;$N$383,'FE Fret'!$G:$U,7,FALSE),$BH389)))</f>
        <v>0.2</v>
      </c>
      <c r="BL389" s="1068">
        <f>IF(ISNA(SQRT(SUMSQ(VLOOKUP($B389&amp;"; "&amp;$Q$382&amp;", "&amp;$Q$383,'FE Fret'!$G:$U,7,FALSE),$BH389))),0,SQRT(SUMSQ(VLOOKUP($B389&amp;"; "&amp;$Q$382&amp;", "&amp;$Q$383,'FE Fret'!$G:$U,7,FALSE),$BH389)))</f>
        <v>0.2</v>
      </c>
      <c r="BM389" s="1124">
        <f>IF(ISNA(SQRT(SUMSQ(VLOOKUP($B389&amp;"; "&amp;$H$382&amp;", "&amp;I$383,'FE Fret'!$G:$U,7,FALSE),$BH389))),0,SQRT(SUMSQ(VLOOKUP($B389&amp;"; "&amp;$H$382&amp;", "&amp;$I$383,'FE Fret'!$G:$U,7,FALSE),$BH389)))</f>
        <v>0</v>
      </c>
      <c r="BN389" s="1068">
        <f>IF(ISNA(SQRT(SUMSQ(VLOOKUP($B389&amp;"; "&amp;$K$382&amp;", "&amp;$L$383,'FE Fret'!$G:$U,7,FALSE),$BH389))),0,SQRT(SUMSQ(VLOOKUP($B389&amp;"; "&amp;$K$382&amp;", "&amp;$L$383,'FE Fret'!$G:$U,7,FALSE),$BH389)))</f>
        <v>0</v>
      </c>
      <c r="BO389" s="1068">
        <f>IF(ISNA(SQRT(SUMSQ(VLOOKUP($B389&amp;"; "&amp;$N$382&amp;", "&amp;$O$383,'FE Fret'!$G:$U,7,FALSE),$BH389))),0,SQRT(SUMSQ(VLOOKUP($B389&amp;"; "&amp;$N$382&amp;", "&amp;$O$383,'FE Fret'!$G:$U,7,FALSE),$BH389)))</f>
        <v>0</v>
      </c>
      <c r="BP389" s="1125">
        <f>IF(ISNA(SQRT(SUMSQ(VLOOKUP($B389&amp;"; "&amp;$Q$382&amp;", "&amp;$R$383,'FE Fret'!$G:$U,7,FALSE),$BH389))),0,SQRT(SUMSQ(VLOOKUP($B389&amp;"; "&amp;$Q$382&amp;", "&amp;$R$383,'FE Fret'!$G:$U,7,FALSE),$BH389)))</f>
        <v>0</v>
      </c>
    </row>
    <row r="390" spans="2:68" outlineLevel="2">
      <c r="B390" s="154"/>
      <c r="C390" s="155"/>
      <c r="D390" s="221"/>
      <c r="E390" s="221"/>
      <c r="F390" s="155"/>
      <c r="G390" s="155"/>
      <c r="H390" s="155"/>
      <c r="I390" s="155"/>
      <c r="J390" s="155"/>
      <c r="K390" s="155"/>
      <c r="L390" s="155"/>
      <c r="M390" s="155"/>
      <c r="N390" s="155"/>
      <c r="O390" s="155"/>
      <c r="P390" s="155"/>
      <c r="Q390" s="155"/>
      <c r="R390" s="155"/>
      <c r="S390" s="1268"/>
      <c r="T390" s="354"/>
      <c r="U390" s="1336"/>
      <c r="X390" s="143"/>
      <c r="Y390" s="144"/>
      <c r="Z390" s="144"/>
      <c r="AA390" s="164"/>
      <c r="AB390" s="164"/>
      <c r="AC390" s="164"/>
      <c r="AD390" s="151"/>
      <c r="AE390" s="151"/>
      <c r="AF390" s="1287"/>
      <c r="AG390" s="116"/>
      <c r="AH390" s="564"/>
      <c r="AI390" s="565"/>
      <c r="AJ390" s="565"/>
      <c r="AK390" s="565"/>
      <c r="AL390" s="565"/>
      <c r="AM390" s="565"/>
      <c r="AN390" s="565"/>
      <c r="AO390" s="565"/>
      <c r="AP390" s="565"/>
      <c r="AQ390" s="565"/>
      <c r="AR390" s="565"/>
      <c r="AS390" s="565"/>
      <c r="AT390" s="566"/>
      <c r="AU390" s="566"/>
      <c r="AV390" s="567"/>
      <c r="AW390" s="565"/>
      <c r="AX390" s="565"/>
      <c r="AY390" s="568"/>
      <c r="AZ390" s="565"/>
      <c r="BA390" s="565"/>
      <c r="BB390" s="565"/>
      <c r="BC390" s="565"/>
      <c r="BD390" s="565"/>
      <c r="BE390" s="565"/>
      <c r="BF390" s="565"/>
      <c r="BH390" s="1087"/>
      <c r="BI390" s="1126"/>
      <c r="BJ390" s="1073"/>
      <c r="BK390" s="1073"/>
      <c r="BL390" s="1074"/>
      <c r="BM390" s="1075"/>
      <c r="BN390" s="1076"/>
      <c r="BO390" s="1076"/>
      <c r="BP390" s="1077"/>
    </row>
    <row r="391" spans="2:68" ht="12.75" customHeight="1" outlineLevel="2">
      <c r="B391" s="196" t="s">
        <v>348</v>
      </c>
      <c r="C391" s="197"/>
      <c r="D391" s="214">
        <f>SUM(D384:D390)</f>
        <v>0</v>
      </c>
      <c r="E391" s="214"/>
      <c r="F391" s="198"/>
      <c r="G391" s="199"/>
      <c r="H391" s="199"/>
      <c r="I391" s="199"/>
      <c r="J391" s="199"/>
      <c r="K391" s="199"/>
      <c r="L391" s="199"/>
      <c r="M391" s="199"/>
      <c r="N391" s="199"/>
      <c r="O391" s="199"/>
      <c r="P391" s="199"/>
      <c r="Q391" s="199"/>
      <c r="R391" s="199"/>
      <c r="S391" s="202">
        <f>SUM(S384:S390)</f>
        <v>0</v>
      </c>
      <c r="T391" s="202">
        <f>SUM(T384:T390)</f>
        <v>0</v>
      </c>
      <c r="U391" s="1311">
        <f>SUM(U384:U390)</f>
        <v>0</v>
      </c>
      <c r="X391" s="1203">
        <f>IF(AE391=0,AE391,AE391/D391)</f>
        <v>0</v>
      </c>
      <c r="Y391" s="199"/>
      <c r="Z391" s="203"/>
      <c r="AA391" s="203">
        <f>SQRT(SUMSQ(AA384:AA390))</f>
        <v>0</v>
      </c>
      <c r="AB391" s="202">
        <f>SQRT(SUMSQ(AB384:AB390))</f>
        <v>0</v>
      </c>
      <c r="AC391" s="202"/>
      <c r="AD391" s="203"/>
      <c r="AE391" s="203">
        <f>SQRT(SUMSQ(AE384:AE390))</f>
        <v>0</v>
      </c>
      <c r="AF391" s="1310">
        <f>SQRT(SUMSQ(AF384:AF390))</f>
        <v>0</v>
      </c>
      <c r="AH391" s="571">
        <f t="shared" ref="AH391:AY391" si="137">SUM(AH384:AH390)</f>
        <v>0</v>
      </c>
      <c r="AI391" s="572">
        <f t="shared" si="137"/>
        <v>0</v>
      </c>
      <c r="AJ391" s="572">
        <f t="shared" si="137"/>
        <v>0</v>
      </c>
      <c r="AK391" s="572">
        <f t="shared" si="137"/>
        <v>0</v>
      </c>
      <c r="AL391" s="572">
        <f t="shared" si="137"/>
        <v>0</v>
      </c>
      <c r="AM391" s="572">
        <f t="shared" si="137"/>
        <v>0</v>
      </c>
      <c r="AN391" s="572">
        <f t="shared" si="137"/>
        <v>0</v>
      </c>
      <c r="AO391" s="572">
        <f t="shared" si="137"/>
        <v>0</v>
      </c>
      <c r="AP391" s="572">
        <f t="shared" si="137"/>
        <v>0</v>
      </c>
      <c r="AQ391" s="572">
        <f t="shared" si="137"/>
        <v>0</v>
      </c>
      <c r="AR391" s="572">
        <f t="shared" si="137"/>
        <v>0</v>
      </c>
      <c r="AS391" s="572">
        <f t="shared" si="137"/>
        <v>0</v>
      </c>
      <c r="AT391" s="573">
        <f t="shared" si="137"/>
        <v>0</v>
      </c>
      <c r="AU391" s="573">
        <f t="shared" si="137"/>
        <v>0</v>
      </c>
      <c r="AV391" s="574">
        <f t="shared" si="137"/>
        <v>0</v>
      </c>
      <c r="AW391" s="1082">
        <f t="shared" si="137"/>
        <v>0</v>
      </c>
      <c r="AX391" s="572">
        <f t="shared" si="137"/>
        <v>0</v>
      </c>
      <c r="AY391" s="575">
        <f t="shared" si="137"/>
        <v>0</v>
      </c>
      <c r="AZ391" s="2447"/>
      <c r="BA391" s="2447"/>
      <c r="BB391" s="2447"/>
      <c r="BC391" s="2447"/>
      <c r="BD391" s="2447"/>
      <c r="BE391" s="2447"/>
      <c r="BF391" s="2447"/>
    </row>
    <row r="392" spans="2:68" ht="12.75" customHeight="1" outlineLevel="2">
      <c r="Q392" s="116"/>
    </row>
    <row r="393" spans="2:68" ht="12.75" customHeight="1" outlineLevel="2">
      <c r="B393" s="1091" t="s">
        <v>3680</v>
      </c>
      <c r="C393" s="140"/>
      <c r="D393" s="140"/>
      <c r="E393" s="140"/>
      <c r="F393" s="140"/>
      <c r="G393" s="140"/>
      <c r="H393" s="140"/>
      <c r="I393" s="179"/>
      <c r="T393" s="116"/>
      <c r="U393" s="116"/>
      <c r="V393" s="116"/>
      <c r="W393" s="116"/>
      <c r="X393" s="2636" t="s">
        <v>366</v>
      </c>
      <c r="Y393" s="2637"/>
      <c r="Z393" s="2637"/>
      <c r="AA393" s="2637"/>
      <c r="AB393" s="2637"/>
      <c r="AC393" s="2637"/>
      <c r="AD393" s="2637"/>
      <c r="AE393" s="2638"/>
      <c r="AF393" s="116"/>
      <c r="AH393" s="2639" t="s">
        <v>441</v>
      </c>
      <c r="AI393" s="2640"/>
      <c r="AJ393" s="2640"/>
      <c r="AK393" s="2640"/>
      <c r="AL393" s="2640"/>
      <c r="AM393" s="2640"/>
      <c r="AN393" s="2640"/>
      <c r="AO393" s="2640"/>
      <c r="AP393" s="2640"/>
      <c r="AQ393" s="2640"/>
      <c r="AR393" s="2640"/>
      <c r="AS393" s="2640"/>
      <c r="AT393" s="2640"/>
      <c r="AU393" s="2640"/>
      <c r="AV393" s="2640"/>
      <c r="AW393" s="2640"/>
      <c r="AX393" s="2640"/>
      <c r="AY393" s="2641"/>
      <c r="AZ393" s="2418"/>
      <c r="BA393" s="2418"/>
      <c r="BB393" s="2418"/>
      <c r="BC393" s="2418"/>
      <c r="BD393" s="2418"/>
      <c r="BE393" s="2418"/>
      <c r="BF393" s="2418"/>
    </row>
    <row r="394" spans="2:68" ht="12.75" customHeight="1" outlineLevel="2">
      <c r="B394" s="143"/>
      <c r="C394" s="144"/>
      <c r="D394" s="1334" t="s">
        <v>308</v>
      </c>
      <c r="E394" s="1663"/>
      <c r="F394" s="144"/>
      <c r="G394" s="144"/>
      <c r="H394" s="1317"/>
      <c r="I394" s="1337" t="s">
        <v>444</v>
      </c>
      <c r="T394" s="116"/>
      <c r="U394" s="116"/>
      <c r="X394" s="1316"/>
      <c r="Y394" s="1317"/>
      <c r="Z394" s="1317"/>
      <c r="AA394" s="1317"/>
      <c r="AB394" s="1317"/>
      <c r="AC394" s="2419"/>
      <c r="AD394" s="1317"/>
      <c r="AE394" s="1337" t="s">
        <v>444</v>
      </c>
      <c r="AG394" s="109"/>
      <c r="AH394" s="2642" t="s">
        <v>444</v>
      </c>
      <c r="AI394" s="2643"/>
      <c r="AJ394" s="2643"/>
      <c r="AK394" s="2643"/>
      <c r="AL394" s="2643"/>
      <c r="AM394" s="2643"/>
      <c r="AN394" s="2643"/>
      <c r="AO394" s="2643"/>
      <c r="AP394" s="2643"/>
      <c r="AQ394" s="2643"/>
      <c r="AR394" s="2643"/>
      <c r="AS394" s="2643"/>
      <c r="AT394" s="2643" t="s">
        <v>444</v>
      </c>
      <c r="AU394" s="2643"/>
      <c r="AV394" s="628"/>
      <c r="AW394" s="624"/>
      <c r="AX394" s="624"/>
      <c r="AY394" s="1291"/>
      <c r="AZ394" s="2286"/>
      <c r="BA394" s="2286"/>
      <c r="BB394" s="2286"/>
      <c r="BC394" s="2286"/>
      <c r="BD394" s="2286"/>
      <c r="BE394" s="2286"/>
      <c r="BF394" s="2286"/>
      <c r="BH394" s="2616" t="s">
        <v>1648</v>
      </c>
      <c r="BI394" s="2618"/>
    </row>
    <row r="395" spans="2:68" ht="12.75" customHeight="1" outlineLevel="2">
      <c r="B395" s="1316"/>
      <c r="C395" s="1317"/>
      <c r="D395" s="1317" t="s">
        <v>409</v>
      </c>
      <c r="E395" s="1656"/>
      <c r="F395" s="1320" t="s">
        <v>452</v>
      </c>
      <c r="G395" s="1320" t="s">
        <v>3670</v>
      </c>
      <c r="H395" s="1006"/>
      <c r="I395" s="220" t="s">
        <v>880</v>
      </c>
      <c r="T395" s="116"/>
      <c r="U395" s="116"/>
      <c r="V395" s="109"/>
      <c r="W395" s="109"/>
      <c r="X395" s="1316" t="s">
        <v>316</v>
      </c>
      <c r="Y395" s="2629" t="s">
        <v>316</v>
      </c>
      <c r="Z395" s="2630"/>
      <c r="AA395" s="1317"/>
      <c r="AB395" s="1317"/>
      <c r="AC395" s="2419"/>
      <c r="AD395" s="1317"/>
      <c r="AE395" s="220" t="s">
        <v>880</v>
      </c>
      <c r="AF395" s="109"/>
      <c r="AG395" s="109"/>
      <c r="AH395" s="2631" t="s">
        <v>211</v>
      </c>
      <c r="AI395" s="2632"/>
      <c r="AJ395" s="2632"/>
      <c r="AK395" s="2632" t="s">
        <v>442</v>
      </c>
      <c r="AL395" s="2632"/>
      <c r="AM395" s="2632"/>
      <c r="AN395" s="2632" t="s">
        <v>267</v>
      </c>
      <c r="AO395" s="2632"/>
      <c r="AP395" s="2632"/>
      <c r="AQ395" s="2632" t="s">
        <v>443</v>
      </c>
      <c r="AR395" s="2632"/>
      <c r="AS395" s="2632"/>
      <c r="AT395" s="2648" t="s">
        <v>327</v>
      </c>
      <c r="AU395" s="2648"/>
      <c r="AV395" s="568"/>
      <c r="AW395" s="2631" t="s">
        <v>636</v>
      </c>
      <c r="AX395" s="2632"/>
      <c r="AY395" s="568"/>
      <c r="AZ395" s="565"/>
      <c r="BA395" s="565"/>
      <c r="BB395" s="565"/>
      <c r="BC395" s="565"/>
      <c r="BD395" s="565"/>
      <c r="BE395" s="565"/>
      <c r="BF395" s="565"/>
      <c r="BH395" s="2837" t="s">
        <v>1646</v>
      </c>
      <c r="BI395" s="1141"/>
    </row>
    <row r="396" spans="2:68" ht="12.75" customHeight="1" outlineLevel="2">
      <c r="B396" s="1316"/>
      <c r="C396" s="1317"/>
      <c r="D396" s="1317" t="s">
        <v>444</v>
      </c>
      <c r="E396" s="1656"/>
      <c r="F396" s="1321" t="s">
        <v>445</v>
      </c>
      <c r="G396" s="1321" t="s">
        <v>881</v>
      </c>
      <c r="H396" s="1007"/>
      <c r="I396" s="220" t="s">
        <v>257</v>
      </c>
      <c r="T396" s="116"/>
      <c r="U396" s="116"/>
      <c r="V396" s="109"/>
      <c r="W396" s="109"/>
      <c r="X396" s="1316" t="s">
        <v>1649</v>
      </c>
      <c r="Y396" s="2646" t="s">
        <v>1650</v>
      </c>
      <c r="Z396" s="2647"/>
      <c r="AA396" s="1322"/>
      <c r="AB396" s="1322"/>
      <c r="AC396" s="1662"/>
      <c r="AD396" s="1322"/>
      <c r="AE396" s="220" t="s">
        <v>257</v>
      </c>
      <c r="AF396" s="109"/>
      <c r="AH396" s="1331"/>
      <c r="AI396" s="1332"/>
      <c r="AJ396" s="1332"/>
      <c r="AK396" s="1332"/>
      <c r="AL396" s="1332"/>
      <c r="AM396" s="1332"/>
      <c r="AN396" s="1332"/>
      <c r="AO396" s="1332"/>
      <c r="AP396" s="1332"/>
      <c r="AQ396" s="1332"/>
      <c r="AR396" s="1332"/>
      <c r="AS396" s="1332"/>
      <c r="AT396" s="581"/>
      <c r="AU396" s="581"/>
      <c r="AV396" s="582"/>
      <c r="AW396" s="1332"/>
      <c r="AX396" s="1332"/>
      <c r="AY396" s="1333"/>
      <c r="AZ396" s="2286"/>
      <c r="BA396" s="2286"/>
      <c r="BB396" s="2286"/>
      <c r="BC396" s="2286"/>
      <c r="BD396" s="2286"/>
      <c r="BE396" s="2286"/>
      <c r="BF396" s="2286"/>
      <c r="BH396" s="2838"/>
      <c r="BI396" s="1326"/>
    </row>
    <row r="397" spans="2:68" ht="12.75" customHeight="1" outlineLevel="2">
      <c r="B397" s="143" t="s">
        <v>3669</v>
      </c>
      <c r="C397" s="144"/>
      <c r="D397" s="212">
        <f>I397</f>
        <v>0</v>
      </c>
      <c r="E397" s="212"/>
      <c r="F397" s="117"/>
      <c r="G397" s="117"/>
      <c r="H397" s="225"/>
      <c r="I397" s="152">
        <f>G397</f>
        <v>0</v>
      </c>
      <c r="T397" s="116"/>
      <c r="U397" s="116"/>
      <c r="X397" s="1092">
        <f>IF(AE397=0,AE397,AE397/D397)</f>
        <v>0</v>
      </c>
      <c r="Y397" s="343"/>
      <c r="Z397" s="820"/>
      <c r="AA397" s="164"/>
      <c r="AB397" s="164"/>
      <c r="AC397" s="164"/>
      <c r="AD397" s="164"/>
      <c r="AE397" s="152">
        <f>I397*BI397</f>
        <v>0</v>
      </c>
      <c r="AH397" s="564">
        <f>D397</f>
        <v>0</v>
      </c>
      <c r="AI397" s="565"/>
      <c r="AJ397" s="565"/>
      <c r="AK397" s="565"/>
      <c r="AL397" s="565"/>
      <c r="AM397" s="565"/>
      <c r="AN397" s="565"/>
      <c r="AO397" s="565"/>
      <c r="AP397" s="565"/>
      <c r="AQ397" s="565"/>
      <c r="AR397" s="565"/>
      <c r="AS397" s="565"/>
      <c r="AT397" s="566">
        <f>SUM(AH397:AQ397)</f>
        <v>0</v>
      </c>
      <c r="AU397" s="566"/>
      <c r="AV397" s="567"/>
      <c r="AW397" s="565"/>
      <c r="AX397" s="565"/>
      <c r="AY397" s="568"/>
      <c r="AZ397" s="565"/>
      <c r="BA397" s="565"/>
      <c r="BB397" s="565"/>
      <c r="BC397" s="565"/>
      <c r="BD397" s="565"/>
      <c r="BE397" s="565"/>
      <c r="BF397" s="565"/>
      <c r="BH397" s="1065">
        <f>IF($Y397&lt;&gt;"votre valeur :",IF(ISNA(VLOOKUP($Y397,Utilitaires!$N$566:$O$571,2,FALSE)),,VLOOKUP($Y397,Utilitaires!$N$566:$O$571,2,FALSE)),$Z397)</f>
        <v>0</v>
      </c>
      <c r="BI397" s="1130">
        <f>SQRT(SUMSQ(0,BH397))</f>
        <v>0</v>
      </c>
    </row>
    <row r="398" spans="2:68" ht="12.75" customHeight="1" outlineLevel="2">
      <c r="B398" s="143" t="s">
        <v>3669</v>
      </c>
      <c r="C398" s="144"/>
      <c r="D398" s="212">
        <f>I398</f>
        <v>0</v>
      </c>
      <c r="E398" s="212"/>
      <c r="F398" s="120"/>
      <c r="G398" s="120"/>
      <c r="H398" s="225"/>
      <c r="I398" s="152">
        <f t="shared" ref="I398:I399" si="138">G398</f>
        <v>0</v>
      </c>
      <c r="T398" s="116"/>
      <c r="U398" s="116"/>
      <c r="X398" s="1092">
        <f>IF(AE398=0,AE398,AE398/D398)</f>
        <v>0</v>
      </c>
      <c r="Y398" s="343"/>
      <c r="Z398" s="820"/>
      <c r="AA398" s="164"/>
      <c r="AB398" s="164"/>
      <c r="AC398" s="164"/>
      <c r="AD398" s="164"/>
      <c r="AE398" s="152">
        <f>I398*BI398</f>
        <v>0</v>
      </c>
      <c r="AH398" s="564">
        <f>D398</f>
        <v>0</v>
      </c>
      <c r="AI398" s="565"/>
      <c r="AJ398" s="565"/>
      <c r="AK398" s="565"/>
      <c r="AL398" s="565"/>
      <c r="AM398" s="565"/>
      <c r="AN398" s="565"/>
      <c r="AO398" s="565"/>
      <c r="AP398" s="565"/>
      <c r="AQ398" s="565"/>
      <c r="AR398" s="565"/>
      <c r="AS398" s="565"/>
      <c r="AT398" s="566">
        <f>SUM(AH398:AQ398)</f>
        <v>0</v>
      </c>
      <c r="AU398" s="566"/>
      <c r="AV398" s="567"/>
      <c r="AW398" s="565"/>
      <c r="AX398" s="565"/>
      <c r="AY398" s="568"/>
      <c r="AZ398" s="565"/>
      <c r="BA398" s="565"/>
      <c r="BB398" s="565"/>
      <c r="BC398" s="565"/>
      <c r="BD398" s="565"/>
      <c r="BE398" s="565"/>
      <c r="BF398" s="565"/>
      <c r="BH398" s="1065">
        <f>IF($Y398&lt;&gt;"votre valeur :",IF(ISNA(VLOOKUP($Y398,Utilitaires!$N$566:$O$571,2,FALSE)),,VLOOKUP($Y398,Utilitaires!$N$566:$O$571,2,FALSE)),$Z398)</f>
        <v>0</v>
      </c>
      <c r="BI398" s="1130">
        <f>SQRT(SUMSQ(0,BH398))</f>
        <v>0</v>
      </c>
    </row>
    <row r="399" spans="2:68" ht="12.75" customHeight="1" outlineLevel="2">
      <c r="B399" s="143" t="s">
        <v>3669</v>
      </c>
      <c r="C399" s="144"/>
      <c r="D399" s="212">
        <f>I399</f>
        <v>0</v>
      </c>
      <c r="E399" s="212"/>
      <c r="F399" s="123"/>
      <c r="G399" s="123"/>
      <c r="H399" s="225"/>
      <c r="I399" s="152">
        <f t="shared" si="138"/>
        <v>0</v>
      </c>
      <c r="T399" s="116"/>
      <c r="U399" s="116"/>
      <c r="X399" s="1092">
        <f>IF(AE399=0,AE399,AE399/D399)</f>
        <v>0</v>
      </c>
      <c r="Y399" s="1094"/>
      <c r="Z399" s="820"/>
      <c r="AA399" s="164"/>
      <c r="AB399" s="164"/>
      <c r="AC399" s="164"/>
      <c r="AD399" s="164"/>
      <c r="AE399" s="152">
        <f>I399*BI399</f>
        <v>0</v>
      </c>
      <c r="AH399" s="564">
        <f>D399</f>
        <v>0</v>
      </c>
      <c r="AI399" s="565"/>
      <c r="AJ399" s="565"/>
      <c r="AK399" s="565"/>
      <c r="AL399" s="565"/>
      <c r="AM399" s="565"/>
      <c r="AN399" s="565"/>
      <c r="AO399" s="565"/>
      <c r="AP399" s="565"/>
      <c r="AQ399" s="565"/>
      <c r="AR399" s="565"/>
      <c r="AS399" s="565"/>
      <c r="AT399" s="566">
        <f>SUM(AH399:AQ399)</f>
        <v>0</v>
      </c>
      <c r="AU399" s="566"/>
      <c r="AV399" s="567"/>
      <c r="AW399" s="565"/>
      <c r="AX399" s="565"/>
      <c r="AY399" s="568"/>
      <c r="AZ399" s="565"/>
      <c r="BA399" s="565"/>
      <c r="BB399" s="565"/>
      <c r="BC399" s="565"/>
      <c r="BD399" s="565"/>
      <c r="BE399" s="565"/>
      <c r="BF399" s="565"/>
      <c r="BH399" s="1065">
        <f>IF($Y399&lt;&gt;"votre valeur :",IF(ISNA(VLOOKUP($Y399,Utilitaires!$N$566:$O$571,2,FALSE)),,VLOOKUP($Y399,Utilitaires!$N$566:$O$571,2,FALSE)),$Z399)</f>
        <v>0</v>
      </c>
      <c r="BI399" s="1130">
        <f>SQRT(SUMSQ(0,BH399))</f>
        <v>0</v>
      </c>
    </row>
    <row r="400" spans="2:68" ht="12.75" customHeight="1" outlineLevel="2">
      <c r="B400" s="154"/>
      <c r="C400" s="155"/>
      <c r="D400" s="221"/>
      <c r="E400" s="221"/>
      <c r="F400" s="155"/>
      <c r="G400" s="155"/>
      <c r="H400" s="155"/>
      <c r="I400" s="156"/>
      <c r="T400" s="116"/>
      <c r="U400" s="116"/>
      <c r="X400" s="1092"/>
      <c r="Y400" s="155"/>
      <c r="Z400" s="169"/>
      <c r="AA400" s="164"/>
      <c r="AB400" s="164"/>
      <c r="AC400" s="164"/>
      <c r="AD400" s="164"/>
      <c r="AE400" s="165"/>
      <c r="AH400" s="569"/>
      <c r="AI400" s="625"/>
      <c r="AJ400" s="625"/>
      <c r="AK400" s="625"/>
      <c r="AL400" s="625"/>
      <c r="AM400" s="625"/>
      <c r="AN400" s="625"/>
      <c r="AO400" s="625"/>
      <c r="AP400" s="625"/>
      <c r="AQ400" s="625"/>
      <c r="AR400" s="625"/>
      <c r="AS400" s="625"/>
      <c r="AT400" s="1313"/>
      <c r="AU400" s="1313"/>
      <c r="AV400" s="1314"/>
      <c r="AW400" s="565"/>
      <c r="AX400" s="565"/>
      <c r="AY400" s="568"/>
      <c r="AZ400" s="565"/>
      <c r="BA400" s="565"/>
      <c r="BB400" s="565"/>
      <c r="BC400" s="565"/>
      <c r="BD400" s="565"/>
      <c r="BE400" s="565"/>
      <c r="BF400" s="565"/>
      <c r="BH400" s="1087"/>
      <c r="BI400" s="1153"/>
    </row>
    <row r="401" spans="1:72" ht="12.75" customHeight="1" outlineLevel="2">
      <c r="B401" s="196" t="s">
        <v>348</v>
      </c>
      <c r="C401" s="197"/>
      <c r="D401" s="214">
        <f>SUM(D397:D400)</f>
        <v>0</v>
      </c>
      <c r="E401" s="214"/>
      <c r="F401" s="198"/>
      <c r="G401" s="199"/>
      <c r="H401" s="199"/>
      <c r="I401" s="200">
        <f>SUM(I397:I400)</f>
        <v>0</v>
      </c>
      <c r="T401" s="116"/>
      <c r="U401" s="116"/>
      <c r="X401" s="1203">
        <f>IF(AE401=0,AE401,AE401/D401)</f>
        <v>0</v>
      </c>
      <c r="Y401" s="199"/>
      <c r="Z401" s="199"/>
      <c r="AA401" s="203"/>
      <c r="AB401" s="203"/>
      <c r="AC401" s="203"/>
      <c r="AD401" s="203"/>
      <c r="AE401" s="200">
        <f>SQRT(SUMSQ(AE397:AE400))</f>
        <v>0</v>
      </c>
      <c r="AH401" s="1308">
        <f>SUM(AH397:AH400)</f>
        <v>0</v>
      </c>
      <c r="AI401" s="1309"/>
      <c r="AJ401" s="1309"/>
      <c r="AK401" s="1309">
        <f>SUM(AK397:AK400)</f>
        <v>0</v>
      </c>
      <c r="AL401" s="1309"/>
      <c r="AM401" s="1309"/>
      <c r="AN401" s="1309">
        <f>SUM(AN397:AN400)</f>
        <v>0</v>
      </c>
      <c r="AO401" s="1309"/>
      <c r="AP401" s="1309"/>
      <c r="AQ401" s="1309">
        <f>SUM(AQ397:AQ400)</f>
        <v>0</v>
      </c>
      <c r="AR401" s="572"/>
      <c r="AS401" s="572"/>
      <c r="AT401" s="573">
        <f>SUM(AT397:AT400)</f>
        <v>0</v>
      </c>
      <c r="AU401" s="1312"/>
      <c r="AV401" s="1312"/>
      <c r="AW401" s="1082">
        <f>SUM(AW397:AW400)</f>
        <v>0</v>
      </c>
      <c r="AX401" s="572"/>
      <c r="AY401" s="575"/>
      <c r="AZ401" s="2447"/>
      <c r="BA401" s="2447"/>
      <c r="BB401" s="2447"/>
      <c r="BC401" s="2447"/>
      <c r="BD401" s="2447"/>
      <c r="BE401" s="2447"/>
      <c r="BF401" s="2447"/>
    </row>
    <row r="402" spans="1:72" ht="12.75" customHeight="1" outlineLevel="2">
      <c r="Q402" s="116"/>
    </row>
    <row r="403" spans="1:72" ht="12.75" customHeight="1" outlineLevel="2">
      <c r="B403" s="1091" t="s">
        <v>2551</v>
      </c>
      <c r="C403" s="140"/>
      <c r="D403" s="140"/>
      <c r="E403" s="140"/>
      <c r="F403" s="140"/>
      <c r="G403" s="140"/>
      <c r="H403" s="140"/>
      <c r="I403" s="140"/>
      <c r="J403" s="140"/>
      <c r="K403" s="140"/>
      <c r="L403" s="140"/>
      <c r="M403" s="140"/>
      <c r="N403" s="140"/>
      <c r="O403" s="140"/>
      <c r="P403" s="140"/>
      <c r="Q403" s="140"/>
      <c r="R403" s="1341"/>
      <c r="W403" s="116"/>
      <c r="X403" s="2636" t="s">
        <v>366</v>
      </c>
      <c r="Y403" s="2637"/>
      <c r="Z403" s="2637"/>
      <c r="AA403" s="2637"/>
      <c r="AB403" s="2637"/>
      <c r="AC403" s="2637"/>
      <c r="AD403" s="2637"/>
      <c r="AE403" s="2637"/>
      <c r="AF403" s="2638"/>
      <c r="AH403" s="2639" t="s">
        <v>441</v>
      </c>
      <c r="AI403" s="2640"/>
      <c r="AJ403" s="2640"/>
      <c r="AK403" s="2640"/>
      <c r="AL403" s="2640"/>
      <c r="AM403" s="2640"/>
      <c r="AN403" s="2640"/>
      <c r="AO403" s="2640"/>
      <c r="AP403" s="2640"/>
      <c r="AQ403" s="2640"/>
      <c r="AR403" s="2640"/>
      <c r="AS403" s="2640"/>
      <c r="AT403" s="2640"/>
      <c r="AU403" s="2640"/>
      <c r="AV403" s="2640"/>
      <c r="AW403" s="2640"/>
      <c r="AX403" s="2640"/>
      <c r="AY403" s="2641"/>
      <c r="AZ403" s="2418"/>
      <c r="BA403" s="2418"/>
      <c r="BB403" s="2418"/>
      <c r="BC403" s="2418"/>
      <c r="BD403" s="2418"/>
      <c r="BE403" s="2418"/>
      <c r="BF403" s="2418"/>
    </row>
    <row r="404" spans="1:72" s="1078" customFormat="1" ht="12.75" customHeight="1" outlineLevel="2">
      <c r="A404" s="114"/>
      <c r="B404" s="143"/>
      <c r="C404" s="144"/>
      <c r="D404" s="1334" t="s">
        <v>308</v>
      </c>
      <c r="E404" s="1663"/>
      <c r="F404" s="1317"/>
      <c r="G404" s="155"/>
      <c r="H404" s="2628"/>
      <c r="I404" s="2628"/>
      <c r="J404" s="2628"/>
      <c r="K404" s="155"/>
      <c r="L404" s="2628"/>
      <c r="M404" s="2628"/>
      <c r="N404" s="2628"/>
      <c r="O404" s="2768" t="s">
        <v>233</v>
      </c>
      <c r="P404" s="2768"/>
      <c r="Q404" s="2841"/>
      <c r="R404" s="153" t="s">
        <v>275</v>
      </c>
      <c r="S404" s="1877"/>
      <c r="T404" s="1877"/>
      <c r="U404" s="1877"/>
      <c r="V404" s="1877"/>
      <c r="W404" s="262"/>
      <c r="X404" s="1316"/>
      <c r="Y404" s="819"/>
      <c r="Z404" s="819"/>
      <c r="AA404" s="144"/>
      <c r="AB404" s="1317"/>
      <c r="AC404" s="2419"/>
      <c r="AD404" s="1317"/>
      <c r="AE404" s="1334"/>
      <c r="AF404" s="153" t="s">
        <v>275</v>
      </c>
      <c r="AG404" s="114"/>
      <c r="AH404" s="2642" t="s">
        <v>444</v>
      </c>
      <c r="AI404" s="2643"/>
      <c r="AJ404" s="2643"/>
      <c r="AK404" s="2643"/>
      <c r="AL404" s="2643"/>
      <c r="AM404" s="2643"/>
      <c r="AN404" s="2643"/>
      <c r="AO404" s="2643"/>
      <c r="AP404" s="2643"/>
      <c r="AQ404" s="2643"/>
      <c r="AR404" s="2643"/>
      <c r="AS404" s="2643"/>
      <c r="AT404" s="2643" t="s">
        <v>444</v>
      </c>
      <c r="AU404" s="2643"/>
      <c r="AV404" s="565"/>
      <c r="AW404" s="1081"/>
      <c r="AX404" s="624"/>
      <c r="AY404" s="1291"/>
      <c r="AZ404" s="2286"/>
      <c r="BA404" s="2286"/>
      <c r="BB404" s="2286"/>
      <c r="BC404" s="2286"/>
      <c r="BD404" s="2286"/>
      <c r="BE404" s="2286"/>
      <c r="BF404" s="2286"/>
      <c r="BG404" s="114"/>
      <c r="BH404" s="2616" t="s">
        <v>1648</v>
      </c>
      <c r="BI404" s="2617"/>
      <c r="BJ404" s="2617"/>
      <c r="BK404" s="2617"/>
      <c r="BL404" s="2617"/>
      <c r="BM404" s="2617"/>
      <c r="BN404" s="2618"/>
      <c r="BT404" s="116"/>
    </row>
    <row r="405" spans="1:72" ht="12.75" customHeight="1" outlineLevel="2">
      <c r="B405" s="143"/>
      <c r="C405" s="144"/>
      <c r="D405" s="1317" t="s">
        <v>409</v>
      </c>
      <c r="E405" s="1656"/>
      <c r="F405" s="1320" t="s">
        <v>452</v>
      </c>
      <c r="G405" s="153"/>
      <c r="H405" s="2626" t="s">
        <v>2222</v>
      </c>
      <c r="I405" s="2628"/>
      <c r="J405" s="2627"/>
      <c r="K405" s="153"/>
      <c r="L405" s="2626" t="s">
        <v>2324</v>
      </c>
      <c r="M405" s="2628"/>
      <c r="N405" s="2628"/>
      <c r="O405" s="1334" t="s">
        <v>444</v>
      </c>
      <c r="P405" s="1334" t="s">
        <v>444</v>
      </c>
      <c r="Q405" s="1860" t="s">
        <v>444</v>
      </c>
      <c r="R405" s="153" t="s">
        <v>276</v>
      </c>
      <c r="W405" s="262"/>
      <c r="X405" s="1316" t="s">
        <v>316</v>
      </c>
      <c r="Y405" s="2629" t="s">
        <v>316</v>
      </c>
      <c r="Z405" s="2630"/>
      <c r="AA405" s="1317" t="s">
        <v>444</v>
      </c>
      <c r="AB405" s="1317" t="s">
        <v>444</v>
      </c>
      <c r="AC405" s="2419"/>
      <c r="AD405" s="1317" t="s">
        <v>444</v>
      </c>
      <c r="AE405" s="1334" t="s">
        <v>444</v>
      </c>
      <c r="AF405" s="153" t="s">
        <v>276</v>
      </c>
      <c r="AH405" s="2631" t="s">
        <v>211</v>
      </c>
      <c r="AI405" s="2632"/>
      <c r="AJ405" s="2632"/>
      <c r="AK405" s="2632" t="s">
        <v>442</v>
      </c>
      <c r="AL405" s="2632"/>
      <c r="AM405" s="2632"/>
      <c r="AN405" s="2632" t="s">
        <v>267</v>
      </c>
      <c r="AO405" s="2632"/>
      <c r="AP405" s="2632"/>
      <c r="AQ405" s="2632" t="s">
        <v>443</v>
      </c>
      <c r="AR405" s="2632"/>
      <c r="AS405" s="2632"/>
      <c r="AT405" s="2648" t="s">
        <v>327</v>
      </c>
      <c r="AU405" s="2648"/>
      <c r="AV405" s="565"/>
      <c r="AW405" s="2631" t="s">
        <v>636</v>
      </c>
      <c r="AX405" s="2632"/>
      <c r="AY405" s="568"/>
      <c r="AZ405" s="565"/>
      <c r="BA405" s="565"/>
      <c r="BB405" s="565"/>
      <c r="BC405" s="565"/>
      <c r="BD405" s="565"/>
      <c r="BE405" s="565"/>
      <c r="BF405" s="565"/>
      <c r="BH405" s="2837" t="s">
        <v>1646</v>
      </c>
      <c r="BI405" s="2833" t="s">
        <v>2222</v>
      </c>
      <c r="BJ405" s="2834"/>
      <c r="BK405" s="2835"/>
      <c r="BL405" s="2833" t="s">
        <v>2324</v>
      </c>
      <c r="BM405" s="2834"/>
      <c r="BN405" s="2835"/>
    </row>
    <row r="406" spans="1:72" ht="12.75" customHeight="1" outlineLevel="2">
      <c r="B406" s="536"/>
      <c r="C406" s="144"/>
      <c r="D406" s="1317" t="s">
        <v>444</v>
      </c>
      <c r="E406" s="1656"/>
      <c r="F406" s="1321" t="s">
        <v>445</v>
      </c>
      <c r="G406" s="1321" t="s">
        <v>38</v>
      </c>
      <c r="H406" s="1322" t="s">
        <v>411</v>
      </c>
      <c r="I406" s="1322" t="s">
        <v>257</v>
      </c>
      <c r="J406" s="1322" t="s">
        <v>422</v>
      </c>
      <c r="K406" s="153" t="s">
        <v>2330</v>
      </c>
      <c r="L406" s="1322" t="s">
        <v>411</v>
      </c>
      <c r="M406" s="1322" t="s">
        <v>257</v>
      </c>
      <c r="N406" s="1322" t="s">
        <v>422</v>
      </c>
      <c r="O406" s="1318" t="s">
        <v>411</v>
      </c>
      <c r="P406" s="1318" t="s">
        <v>257</v>
      </c>
      <c r="Q406" s="1858" t="s">
        <v>422</v>
      </c>
      <c r="R406" s="153" t="s">
        <v>444</v>
      </c>
      <c r="W406" s="262"/>
      <c r="X406" s="1316" t="s">
        <v>1649</v>
      </c>
      <c r="Y406" s="2646" t="s">
        <v>1650</v>
      </c>
      <c r="Z406" s="2647"/>
      <c r="AA406" s="1322" t="s">
        <v>411</v>
      </c>
      <c r="AB406" s="1322" t="s">
        <v>257</v>
      </c>
      <c r="AC406" s="1662"/>
      <c r="AD406" s="1322" t="s">
        <v>422</v>
      </c>
      <c r="AE406" s="166" t="s">
        <v>327</v>
      </c>
      <c r="AF406" s="153" t="s">
        <v>444</v>
      </c>
      <c r="AH406" s="1331" t="s">
        <v>411</v>
      </c>
      <c r="AI406" s="1332" t="s">
        <v>257</v>
      </c>
      <c r="AJ406" s="1332" t="s">
        <v>422</v>
      </c>
      <c r="AK406" s="1332" t="s">
        <v>411</v>
      </c>
      <c r="AL406" s="1332" t="s">
        <v>257</v>
      </c>
      <c r="AM406" s="1332" t="s">
        <v>422</v>
      </c>
      <c r="AN406" s="1332" t="s">
        <v>411</v>
      </c>
      <c r="AO406" s="1332" t="s">
        <v>257</v>
      </c>
      <c r="AP406" s="1332" t="s">
        <v>422</v>
      </c>
      <c r="AQ406" s="1332" t="s">
        <v>411</v>
      </c>
      <c r="AR406" s="1332" t="s">
        <v>257</v>
      </c>
      <c r="AS406" s="1332" t="s">
        <v>422</v>
      </c>
      <c r="AT406" s="581" t="s">
        <v>411</v>
      </c>
      <c r="AU406" s="581" t="s">
        <v>257</v>
      </c>
      <c r="AV406" s="581" t="s">
        <v>422</v>
      </c>
      <c r="AW406" s="1331" t="s">
        <v>411</v>
      </c>
      <c r="AX406" s="1332" t="s">
        <v>257</v>
      </c>
      <c r="AY406" s="1333" t="s">
        <v>422</v>
      </c>
      <c r="AZ406" s="2286"/>
      <c r="BA406" s="2286"/>
      <c r="BB406" s="2286"/>
      <c r="BC406" s="2286"/>
      <c r="BD406" s="2286"/>
      <c r="BE406" s="2286"/>
      <c r="BF406" s="2286"/>
      <c r="BH406" s="2838"/>
      <c r="BI406" s="1325" t="s">
        <v>411</v>
      </c>
      <c r="BJ406" s="1325" t="s">
        <v>257</v>
      </c>
      <c r="BK406" s="1327" t="s">
        <v>422</v>
      </c>
      <c r="BL406" s="1325" t="s">
        <v>411</v>
      </c>
      <c r="BM406" s="1325" t="s">
        <v>257</v>
      </c>
      <c r="BN406" s="1327" t="s">
        <v>422</v>
      </c>
    </row>
    <row r="407" spans="1:72" ht="12.75" customHeight="1" outlineLevel="2">
      <c r="B407" s="143" t="s">
        <v>5222</v>
      </c>
      <c r="C407" s="144"/>
      <c r="D407" s="212">
        <f>SUM(O407:Q407)</f>
        <v>22142.159999999996</v>
      </c>
      <c r="E407" s="212"/>
      <c r="F407" s="409" t="s">
        <v>634</v>
      </c>
      <c r="G407" s="117"/>
      <c r="H407" s="335" t="e">
        <f>VLOOKUP($B407&amp;"; "&amp;$H$405&amp;", "&amp;H$406,'FE Fret'!$G:$U,9,FALSE)</f>
        <v>#N/A</v>
      </c>
      <c r="I407" s="335" t="e">
        <f>VLOOKUP($B407&amp;"; "&amp;$H$405&amp;", "&amp;I$406,'FE Fret'!$G:$U,9,FALSE)</f>
        <v>#N/A</v>
      </c>
      <c r="J407" s="335" t="e">
        <f>VLOOKUP($B407&amp;"; "&amp;$H$405&amp;", "&amp;J$406,'FE Fret'!$G:$U,9,FALSE)</f>
        <v>#N/A</v>
      </c>
      <c r="K407" s="117">
        <v>91800</v>
      </c>
      <c r="L407" s="335">
        <f>VLOOKUP($B407&amp;"; "&amp;$L$405&amp;", "&amp;L$406,'FE Fret'!$G:$U,9,FALSE)</f>
        <v>4.5499999999999999E-2</v>
      </c>
      <c r="M407" s="335">
        <f>VLOOKUP($B407&amp;"; "&amp;$L$405&amp;", "&amp;M$406,'FE Fret'!$G:$U,9,FALSE)</f>
        <v>0.186</v>
      </c>
      <c r="N407" s="335">
        <f>VLOOKUP($B407&amp;"; "&amp;$L$405&amp;", "&amp;N$406,'FE Fret'!$G:$U,9,FALSE)</f>
        <v>9.7000000000000003E-3</v>
      </c>
      <c r="O407" s="356">
        <f t="shared" ref="O407:Q411" si="139">IF(ISNA($G407*H407),0,$G407*H407)+IF(ISNA($K407*L407),0,$K407*L407)</f>
        <v>4176.8999999999996</v>
      </c>
      <c r="P407" s="356">
        <f t="shared" si="139"/>
        <v>17074.8</v>
      </c>
      <c r="Q407" s="356">
        <f t="shared" si="139"/>
        <v>890.46</v>
      </c>
      <c r="R407" s="1286">
        <f>IF(OR(F407=Utilitaires!$G$572,F407=Utilitaires!$G$577),P407,0)</f>
        <v>0</v>
      </c>
      <c r="W407" s="262"/>
      <c r="X407" s="1092">
        <f>IF(AE407=0,AE407,AE407/D407)</f>
        <v>0.55642994789334455</v>
      </c>
      <c r="Y407" s="343"/>
      <c r="Z407" s="820"/>
      <c r="AA407" s="164">
        <f t="shared" ref="AA407:AB411" si="140">SQRT(SUMSQ(IF(ISNA($G407*H407*BI407),0,$G407*H407*BI407),IF(ISNA($K407*L407*BL407),0,$K407*L407*BL407)))</f>
        <v>2923.8299999999995</v>
      </c>
      <c r="AB407" s="164">
        <f t="shared" si="140"/>
        <v>11952.359999999999</v>
      </c>
      <c r="AC407" s="164"/>
      <c r="AD407" s="164">
        <f>SQRT(SUMSQ(IF(ISNA($G407*J407*BK407),0,$G407*J407*BK407),IF(ISNA($K407*N407*BN407),0,$K407*N407*BN407)))</f>
        <v>623.322</v>
      </c>
      <c r="AE407" s="151">
        <f>SQRT(SUMSQ(AA407:AD407))</f>
        <v>12320.560935046096</v>
      </c>
      <c r="AF407" s="1286">
        <f>R407*X407</f>
        <v>0</v>
      </c>
      <c r="AH407" s="564">
        <f>$G407*IF(ISNA(VLOOKUP($B407&amp;"; "&amp;$H$405&amp;", "&amp;H$406,'FE Fret'!$G:$U,10,FALSE)),0,VLOOKUP($B407&amp;"; "&amp;$H$405&amp;", "&amp;H$406,'FE Fret'!$G:$U,10,FALSE))
+$K407*IF(ISNA(VLOOKUP($B407&amp;"; "&amp;$L$405&amp;", "&amp;H$406,'FE Fret'!$G:$U,10,FALSE)),0,VLOOKUP($B407&amp;"; "&amp;$L$405&amp;", "&amp;H$406,'FE Fret'!$G:$U,10,FALSE))</f>
        <v>4176.8999999999996</v>
      </c>
      <c r="AI407" s="565">
        <f>$G407*IF(ISNA(VLOOKUP($B407&amp;"; "&amp;$H$405&amp;", "&amp;I$406,'FE Fret'!$G:$U,10,FALSE)),0,VLOOKUP($B407&amp;"; "&amp;$H$405&amp;", "&amp;I$406,'FE Fret'!$G:$U,10,FALSE))
+$K407*IF(ISNA(VLOOKUP($B407&amp;"; "&amp;$L$405&amp;", "&amp;I$406,'FE Fret'!$G:$U,10,FALSE)),0,VLOOKUP($B407&amp;"; "&amp;$L$405&amp;", "&amp;I$406,'FE Fret'!$G:$U,10,FALSE))</f>
        <v>17074.8</v>
      </c>
      <c r="AJ407" s="565">
        <f>$G407*IF(ISNA(VLOOKUP($B407&amp;"; "&amp;$H$405&amp;", "&amp;J$406,'FE Fret'!$G:$U,10,FALSE)),0,VLOOKUP($B407&amp;"; "&amp;$H$405&amp;", "&amp;J$406,'FE Fret'!$G:$U,10,FALSE))
+$K407*IF(ISNA(VLOOKUP($B407&amp;"; "&amp;$L$405&amp;", "&amp;J$406,'FE Fret'!$G:$U,10,FALSE)),0,VLOOKUP($B407&amp;"; "&amp;$L$405&amp;", "&amp;J$406,'FE Fret'!$G:$U,10,FALSE))</f>
        <v>890.46</v>
      </c>
      <c r="AK407" s="565">
        <f>$G407*IF(ISNA((VLOOKUP($B407&amp;"; "&amp;$H$405&amp;", "&amp;H$406,'FE Fret'!$G:$U,12,FALSE)+VLOOKUP($B407&amp;"; "&amp;$H$405&amp;", "&amp;H$406,'FE Fret'!$G:$U,11,FALSE))),0,(VLOOKUP($B407&amp;"; "&amp;$H$405&amp;", "&amp;H$406,'FE Fret'!$G:$U,12,FALSE)+VLOOKUP($B407&amp;"; "&amp;$H$405&amp;", "&amp;H$406,'FE Fret'!$G:$U,11,FALSE)))
+$K407*IF(ISNA((VLOOKUP($B407&amp;"; "&amp;$L$405&amp;", "&amp;H$406,'FE Fret'!$G:$U,12,FALSE)+VLOOKUP($B407&amp;"; "&amp;$L$405&amp;", "&amp;H$406,'FE Fret'!$G:$U,11,FALSE))),0,(VLOOKUP($B407&amp;"; "&amp;$L$405&amp;", "&amp;H$406,'FE Fret'!$G:$U,12,FALSE)+VLOOKUP($B407&amp;"; "&amp;$L$405&amp;", "&amp;H$406,'FE Fret'!$G:$U,11,FALSE)))</f>
        <v>0</v>
      </c>
      <c r="AL407" s="565">
        <f>$G407*IF(ISNA((VLOOKUP($B407&amp;"; "&amp;$H$405&amp;", "&amp;I$406,'FE Fret'!$G:$U,12,FALSE)+VLOOKUP($B407&amp;"; "&amp;$H$405&amp;", "&amp;I$406,'FE Fret'!$G:$U,11,FALSE))),0,(VLOOKUP($B407&amp;"; "&amp;$H$405&amp;", "&amp;I$406,'FE Fret'!$G:$U,12,FALSE)+VLOOKUP($B407&amp;"; "&amp;$H$405&amp;", "&amp;I$406,'FE Fret'!$G:$U,11,FALSE)))
+$K407*IF(ISNA((VLOOKUP($B407&amp;"; "&amp;$L$405&amp;", "&amp;I$406,'FE Fret'!$G:$U,12,FALSE)+VLOOKUP($B407&amp;"; "&amp;$L$405&amp;", "&amp;I$406,'FE Fret'!$G:$U,11,FALSE))),0,(VLOOKUP($B407&amp;"; "&amp;$L$405&amp;", "&amp;I$406,'FE Fret'!$G:$U,12,FALSE)+VLOOKUP($B407&amp;"; "&amp;$L$405&amp;", "&amp;I$406,'FE Fret'!$G:$U,11,FALSE)))</f>
        <v>0</v>
      </c>
      <c r="AM407" s="565">
        <f>$G407*IF(ISNA((VLOOKUP($B407&amp;"; "&amp;$H$405&amp;", "&amp;J$406,'FE Fret'!$G:$U,12,FALSE)+VLOOKUP($B407&amp;"; "&amp;$H$405&amp;", "&amp;J$406,'FE Fret'!$G:$U,11,FALSE))),0,(VLOOKUP($B407&amp;"; "&amp;$H$405&amp;", "&amp;J$406,'FE Fret'!$G:$U,12,FALSE)+VLOOKUP($B407&amp;"; "&amp;$H$405&amp;", "&amp;J$406,'FE Fret'!$G:$U,11,FALSE)))
+$K407*IF(ISNA((VLOOKUP($B407&amp;"; "&amp;$L$405&amp;", "&amp;J$406,'FE Fret'!$G:$U,12,FALSE)+VLOOKUP($B407&amp;"; "&amp;$L$405&amp;", "&amp;J$406,'FE Fret'!$G:$U,11,FALSE))),0,(VLOOKUP($B407&amp;"; "&amp;$L$405&amp;", "&amp;J$406,'FE Fret'!$G:$U,12,FALSE)+VLOOKUP($B407&amp;"; "&amp;$L$405&amp;", "&amp;J$406,'FE Fret'!$G:$U,11,FALSE)))</f>
        <v>0</v>
      </c>
      <c r="AN407" s="565">
        <f>$G407*IF(ISNA(VLOOKUP($B407&amp;"; "&amp;$H$405&amp;", "&amp;H$406,'FE Fret'!$G:$U,13,FALSE)),0,VLOOKUP($B407&amp;"; "&amp;$H$405&amp;", "&amp;H$406,'FE Fret'!$G:$U,13,FALSE))
+$K407*IF(ISNA(VLOOKUP($B407&amp;"; "&amp;$L$405&amp;", "&amp;H$406,'FE Fret'!$G:$U,13,FALSE)),0,VLOOKUP($B407&amp;"; "&amp;$L$405&amp;", "&amp;H$406,'FE Fret'!$G:$U,13,FALSE))</f>
        <v>0</v>
      </c>
      <c r="AO407" s="565">
        <f>$G407*IF(ISNA(VLOOKUP($B407&amp;"; "&amp;$H$405&amp;", "&amp;I$406,'FE Fret'!$G:$U,13,FALSE)),0,VLOOKUP($B407&amp;"; "&amp;$H$405&amp;", "&amp;I$406,'FE Fret'!$G:$U,13,FALSE))
+$K407*IF(ISNA(VLOOKUP($B407&amp;"; "&amp;$L$405&amp;", "&amp;I$406,'FE Fret'!$G:$U,13,FALSE)),0,VLOOKUP($B407&amp;"; "&amp;$L$405&amp;", "&amp;I$406,'FE Fret'!$G:$U,13,FALSE))</f>
        <v>0</v>
      </c>
      <c r="AP407" s="565">
        <f>$G407*IF(ISNA(VLOOKUP($B407&amp;"; "&amp;$H$405&amp;", "&amp;J$406,'FE Fret'!$G:$U,13,FALSE)),0,VLOOKUP($B407&amp;"; "&amp;$H$405&amp;", "&amp;J$406,'FE Fret'!$G:$U,13,FALSE))
+$K407*IF(ISNA(VLOOKUP($B407&amp;"; "&amp;$L$405&amp;", "&amp;J$406,'FE Fret'!$G:$U,13,FALSE)),0,VLOOKUP($B407&amp;"; "&amp;$L$405&amp;", "&amp;J$406,'FE Fret'!$G:$U,13,FALSE))</f>
        <v>0</v>
      </c>
      <c r="AQ407" s="565">
        <v>0</v>
      </c>
      <c r="AR407" s="565">
        <v>0</v>
      </c>
      <c r="AS407" s="565">
        <v>0</v>
      </c>
      <c r="AT407" s="566">
        <f t="shared" ref="AT407:AV411" si="141">SUM(AH407,AK407,AN407,AQ407)</f>
        <v>4176.8999999999996</v>
      </c>
      <c r="AU407" s="566">
        <f t="shared" si="141"/>
        <v>17074.8</v>
      </c>
      <c r="AV407" s="566">
        <f t="shared" si="141"/>
        <v>890.46</v>
      </c>
      <c r="AW407" s="564">
        <f>$G407*IF(ISNA(VLOOKUP($B407&amp;"; "&amp;$H$405&amp;", "&amp;H$406,'FE Fret'!$G:$U,15,FALSE)),0,VLOOKUP($B407&amp;"; "&amp;$H$405&amp;", "&amp;H$406,'FE Fret'!$G:$U,15,FALSE))
+$K407*IF(ISNA(VLOOKUP($B407&amp;"; "&amp;$L$405&amp;", "&amp;H$406,'FE Fret'!$G:$U,15,FALSE)),0,VLOOKUP($B407&amp;"; "&amp;$L$405&amp;", "&amp;H$406,'FE Fret'!$G:$U,15,FALSE))</f>
        <v>0</v>
      </c>
      <c r="AX407" s="565">
        <f>$G407*IF(ISNA(VLOOKUP($B407&amp;"; "&amp;$H$405&amp;", "&amp;I$406,'FE Fret'!$G:$U,15,FALSE)),0,VLOOKUP($B407&amp;"; "&amp;$H$405&amp;", "&amp;I$406,'FE Fret'!$G:$U,15,FALSE))
+$K407*IF(ISNA(VLOOKUP($B407&amp;"; "&amp;$L$405&amp;", "&amp;I$406,'FE Fret'!$G:$U,15,FALSE)),0,VLOOKUP($B407&amp;"; "&amp;$L$405&amp;", "&amp;I$406,'FE Fret'!$G:$U,15,FALSE))</f>
        <v>0</v>
      </c>
      <c r="AY407" s="568">
        <f>$G407*IF(ISNA(VLOOKUP($B407&amp;"; "&amp;$H$405&amp;", "&amp;J$406,'FE Fret'!$G:$U,15,FALSE)),0,VLOOKUP($B407&amp;"; "&amp;$H$405&amp;", "&amp;J$406,'FE Fret'!$G:$U,15,FALSE))
+$K407*IF(ISNA(VLOOKUP($B407&amp;"; "&amp;$L$405&amp;", "&amp;J$406,'FE Fret'!$G:$U,15,FALSE)),0,VLOOKUP($B407&amp;"; "&amp;$L$405&amp;", "&amp;J$406,'FE Fret'!$G:$U,15,FALSE))</f>
        <v>0</v>
      </c>
      <c r="AZ407" s="565"/>
      <c r="BA407" s="565"/>
      <c r="BB407" s="565"/>
      <c r="BC407" s="565"/>
      <c r="BD407" s="565"/>
      <c r="BE407" s="565"/>
      <c r="BF407" s="565"/>
      <c r="BH407" s="1065">
        <f>IF($Y407&lt;&gt;"votre valeur :",IF(ISNA(VLOOKUP($Y407,Utilitaires!$N$566:$O$571,2,FALSE)),,VLOOKUP($Y407,Utilitaires!$N$566:$O$571,2,FALSE)),$Z407)</f>
        <v>0</v>
      </c>
      <c r="BI407" s="1124">
        <f>IF(ISNA(SQRT(SUMSQ(VLOOKUP($B407&amp;"; "&amp;$H$405&amp;", "&amp;H$406,'FE Fret'!$G:$U,7,FALSE),$BH407))),0,SQRT(SUMSQ(VLOOKUP($B407&amp;"; "&amp;$H$405&amp;", "&amp;H$406,'FE Fret'!$G:$U,7,FALSE),$BH407)))</f>
        <v>0</v>
      </c>
      <c r="BJ407" s="1124">
        <f>IF(ISNA(SQRT(SUMSQ(VLOOKUP($B407&amp;"; "&amp;$H$405&amp;", "&amp;I$406,'FE Fret'!$G:$U,7,FALSE),$BH407))),0,SQRT(SUMSQ(VLOOKUP($B407&amp;"; "&amp;$H$405&amp;", "&amp;I$406,'FE Fret'!$G:$U,7,FALSE),$BH407)))</f>
        <v>0</v>
      </c>
      <c r="BK407" s="1124">
        <f>IF(ISNA(SQRT(SUMSQ(VLOOKUP($B407&amp;"; "&amp;$H$405&amp;", "&amp;J$406,'FE Fret'!$G:$U,7,FALSE),$BH407))),0,SQRT(SUMSQ(VLOOKUP($B407&amp;"; "&amp;$H$405&amp;", "&amp;J$406,'FE Fret'!$G:$U,7,FALSE),$BH407)))</f>
        <v>0</v>
      </c>
      <c r="BL407" s="1124">
        <f>IF(ISNA(SQRT(SUMSQ(VLOOKUP($B407&amp;"; "&amp;$L$405&amp;", "&amp;L$406,'FE Fret'!$G:$U,7,FALSE),$BH407))),0,SQRT(SUMSQ(VLOOKUP($B407&amp;"; "&amp;$L$405&amp;", "&amp;L$406,'FE Fret'!$G:$U,7,FALSE),$BH407)))</f>
        <v>0.7</v>
      </c>
      <c r="BM407" s="1130">
        <f>IF(ISNA(SQRT(SUMSQ(VLOOKUP($B407&amp;"; "&amp;$L$405&amp;", "&amp;M$406,'FE Fret'!$G:$U,7,FALSE),$BH407))),0,SQRT(SUMSQ(VLOOKUP($B407&amp;"; "&amp;$L$405&amp;", "&amp;M$406,'FE Fret'!$G:$U,7,FALSE),$BH407)))</f>
        <v>0.7</v>
      </c>
      <c r="BN407" s="1130">
        <f>IF(ISNA(SQRT(SUMSQ(VLOOKUP($B407&amp;"; "&amp;$L$405&amp;", "&amp;N$406,'FE Fret'!$G:$U,7,FALSE),$BH407))),0,SQRT(SUMSQ(VLOOKUP($B407&amp;"; "&amp;$L$405&amp;", "&amp;N$406,'FE Fret'!$G:$U,7,FALSE),$BH407)))</f>
        <v>0.7</v>
      </c>
    </row>
    <row r="408" spans="1:72" ht="12.75" customHeight="1" outlineLevel="2">
      <c r="B408" s="143" t="s">
        <v>5221</v>
      </c>
      <c r="C408" s="144"/>
      <c r="D408" s="212">
        <f>SUM(O408:Q408)</f>
        <v>123269.72</v>
      </c>
      <c r="E408" s="212"/>
      <c r="F408" s="530" t="s">
        <v>634</v>
      </c>
      <c r="G408" s="120"/>
      <c r="H408" s="335" t="e">
        <f>VLOOKUP($B408&amp;"; "&amp;$H$405&amp;", "&amp;H$406,'FE Fret'!$G:$U,9,FALSE)</f>
        <v>#N/A</v>
      </c>
      <c r="I408" s="335" t="e">
        <f>VLOOKUP($B408&amp;"; "&amp;$H$405&amp;", "&amp;I$406,'FE Fret'!$G:$U,9,FALSE)</f>
        <v>#N/A</v>
      </c>
      <c r="J408" s="335" t="e">
        <f>VLOOKUP($B408&amp;"; "&amp;$H$405&amp;", "&amp;J$406,'FE Fret'!$G:$U,9,FALSE)</f>
        <v>#N/A</v>
      </c>
      <c r="K408" s="120">
        <v>771400</v>
      </c>
      <c r="L408" s="335">
        <f>VLOOKUP($B408&amp;"; "&amp;$L$405&amp;", "&amp;L$406,'FE Fret'!$G:$U,9,FALSE)</f>
        <v>2.93E-2</v>
      </c>
      <c r="M408" s="335">
        <f>VLOOKUP($B408&amp;"; "&amp;$L$405&amp;", "&amp;M$406,'FE Fret'!$G:$U,9,FALSE)</f>
        <v>0.12</v>
      </c>
      <c r="N408" s="335">
        <f>VLOOKUP($B408&amp;"; "&amp;$L$405&amp;", "&amp;N$406,'FE Fret'!$G:$U,9,FALSE)</f>
        <v>1.0500000000000001E-2</v>
      </c>
      <c r="O408" s="356">
        <f t="shared" si="139"/>
        <v>22602.02</v>
      </c>
      <c r="P408" s="356">
        <f t="shared" si="139"/>
        <v>92568</v>
      </c>
      <c r="Q408" s="356">
        <f t="shared" si="139"/>
        <v>8099.7000000000007</v>
      </c>
      <c r="R408" s="1286">
        <f>IF(OR(F408=Utilitaires!$G$572,F408=Utilitaires!$G$577),P408,0)</f>
        <v>0</v>
      </c>
      <c r="W408" s="262"/>
      <c r="X408" s="1092">
        <f>IF(AE408=0,AE408,AE408/D408)</f>
        <v>0.54305072368619667</v>
      </c>
      <c r="Y408" s="343"/>
      <c r="Z408" s="820"/>
      <c r="AA408" s="164">
        <f t="shared" si="140"/>
        <v>15821.413999999999</v>
      </c>
      <c r="AB408" s="164">
        <f t="shared" si="140"/>
        <v>64797.599999999999</v>
      </c>
      <c r="AC408" s="164"/>
      <c r="AD408" s="164">
        <f>SQRT(SUMSQ(IF(ISNA($G408*J408*BK408),0,$G408*J408*BK408),IF(ISNA($K408*N408*BN408),0,$K408*N408*BN408)))</f>
        <v>5669.79</v>
      </c>
      <c r="AE408" s="151">
        <f>SQRT(SUMSQ(AA408:AD408))</f>
        <v>66941.710654594834</v>
      </c>
      <c r="AF408" s="1286">
        <f>R408*X408</f>
        <v>0</v>
      </c>
      <c r="AH408" s="564">
        <f>$G408*IF(ISNA(VLOOKUP($B408&amp;"; "&amp;$H$405&amp;", "&amp;H$406,'FE Fret'!$G:$U,10,FALSE)),0,VLOOKUP($B408&amp;"; "&amp;$H$405&amp;", "&amp;H$406,'FE Fret'!$G:$U,10,FALSE))
+$K408*IF(ISNA(VLOOKUP($B408&amp;"; "&amp;$L$405&amp;", "&amp;H$406,'FE Fret'!$G:$U,10,FALSE)),0,VLOOKUP($B408&amp;"; "&amp;$L$405&amp;", "&amp;H$406,'FE Fret'!$G:$U,10,FALSE))</f>
        <v>22602.02</v>
      </c>
      <c r="AI408" s="565">
        <f>$G408*IF(ISNA(VLOOKUP($B408&amp;"; "&amp;$H$405&amp;", "&amp;I$406,'FE Fret'!$G:$U,10,FALSE)),0,VLOOKUP($B408&amp;"; "&amp;$H$405&amp;", "&amp;I$406,'FE Fret'!$G:$U,10,FALSE))
+$K408*IF(ISNA(VLOOKUP($B408&amp;"; "&amp;$L$405&amp;", "&amp;I$406,'FE Fret'!$G:$U,10,FALSE)),0,VLOOKUP($B408&amp;"; "&amp;$L$405&amp;", "&amp;I$406,'FE Fret'!$G:$U,10,FALSE))</f>
        <v>92568</v>
      </c>
      <c r="AJ408" s="565">
        <f>$G408*IF(ISNA(VLOOKUP($B408&amp;"; "&amp;$H$405&amp;", "&amp;J$406,'FE Fret'!$G:$U,10,FALSE)),0,VLOOKUP($B408&amp;"; "&amp;$H$405&amp;", "&amp;J$406,'FE Fret'!$G:$U,10,FALSE))
+$K408*IF(ISNA(VLOOKUP($B408&amp;"; "&amp;$L$405&amp;", "&amp;J$406,'FE Fret'!$G:$U,10,FALSE)),0,VLOOKUP($B408&amp;"; "&amp;$L$405&amp;", "&amp;J$406,'FE Fret'!$G:$U,10,FALSE))</f>
        <v>8099.7000000000007</v>
      </c>
      <c r="AK408" s="565">
        <f>$G408*IF(ISNA((VLOOKUP($B408&amp;"; "&amp;$H$405&amp;", "&amp;H$406,'FE Fret'!$G:$U,12,FALSE)+VLOOKUP($B408&amp;"; "&amp;$H$405&amp;", "&amp;H$406,'FE Fret'!$G:$U,11,FALSE))),0,(VLOOKUP($B408&amp;"; "&amp;$H$405&amp;", "&amp;H$406,'FE Fret'!$G:$U,12,FALSE)+VLOOKUP($B408&amp;"; "&amp;$H$405&amp;", "&amp;H$406,'FE Fret'!$G:$U,11,FALSE)))
+$K408*IF(ISNA((VLOOKUP($B408&amp;"; "&amp;$L$405&amp;", "&amp;H$406,'FE Fret'!$G:$U,12,FALSE)+VLOOKUP($B408&amp;"; "&amp;$L$405&amp;", "&amp;H$406,'FE Fret'!$G:$U,11,FALSE))),0,(VLOOKUP($B408&amp;"; "&amp;$L$405&amp;", "&amp;H$406,'FE Fret'!$G:$U,12,FALSE)+VLOOKUP($B408&amp;"; "&amp;$L$405&amp;", "&amp;H$406,'FE Fret'!$G:$U,11,FALSE)))</f>
        <v>0</v>
      </c>
      <c r="AL408" s="565">
        <f>$G408*IF(ISNA((VLOOKUP($B408&amp;"; "&amp;$H$405&amp;", "&amp;I$406,'FE Fret'!$G:$U,12,FALSE)+VLOOKUP($B408&amp;"; "&amp;$H$405&amp;", "&amp;I$406,'FE Fret'!$G:$U,11,FALSE))),0,(VLOOKUP($B408&amp;"; "&amp;$H$405&amp;", "&amp;I$406,'FE Fret'!$G:$U,12,FALSE)+VLOOKUP($B408&amp;"; "&amp;$H$405&amp;", "&amp;I$406,'FE Fret'!$G:$U,11,FALSE)))
+$K408*IF(ISNA((VLOOKUP($B408&amp;"; "&amp;$L$405&amp;", "&amp;I$406,'FE Fret'!$G:$U,12,FALSE)+VLOOKUP($B408&amp;"; "&amp;$L$405&amp;", "&amp;I$406,'FE Fret'!$G:$U,11,FALSE))),0,(VLOOKUP($B408&amp;"; "&amp;$L$405&amp;", "&amp;I$406,'FE Fret'!$G:$U,12,FALSE)+VLOOKUP($B408&amp;"; "&amp;$L$405&amp;", "&amp;I$406,'FE Fret'!$G:$U,11,FALSE)))</f>
        <v>0</v>
      </c>
      <c r="AM408" s="565">
        <f>$G408*IF(ISNA((VLOOKUP($B408&amp;"; "&amp;$H$405&amp;", "&amp;J$406,'FE Fret'!$G:$U,12,FALSE)+VLOOKUP($B408&amp;"; "&amp;$H$405&amp;", "&amp;J$406,'FE Fret'!$G:$U,11,FALSE))),0,(VLOOKUP($B408&amp;"; "&amp;$H$405&amp;", "&amp;J$406,'FE Fret'!$G:$U,12,FALSE)+VLOOKUP($B408&amp;"; "&amp;$H$405&amp;", "&amp;J$406,'FE Fret'!$G:$U,11,FALSE)))
+$K408*IF(ISNA((VLOOKUP($B408&amp;"; "&amp;$L$405&amp;", "&amp;J$406,'FE Fret'!$G:$U,12,FALSE)+VLOOKUP($B408&amp;"; "&amp;$L$405&amp;", "&amp;J$406,'FE Fret'!$G:$U,11,FALSE))),0,(VLOOKUP($B408&amp;"; "&amp;$L$405&amp;", "&amp;J$406,'FE Fret'!$G:$U,12,FALSE)+VLOOKUP($B408&amp;"; "&amp;$L$405&amp;", "&amp;J$406,'FE Fret'!$G:$U,11,FALSE)))</f>
        <v>0</v>
      </c>
      <c r="AN408" s="565">
        <f>$G408*IF(ISNA(VLOOKUP($B408&amp;"; "&amp;$H$405&amp;", "&amp;H$406,'FE Fret'!$G:$U,13,FALSE)),0,VLOOKUP($B408&amp;"; "&amp;$H$405&amp;", "&amp;H$406,'FE Fret'!$G:$U,13,FALSE))
+$K408*IF(ISNA(VLOOKUP($B408&amp;"; "&amp;$L$405&amp;", "&amp;H$406,'FE Fret'!$G:$U,13,FALSE)),0,VLOOKUP($B408&amp;"; "&amp;$L$405&amp;", "&amp;H$406,'FE Fret'!$G:$U,13,FALSE))</f>
        <v>0</v>
      </c>
      <c r="AO408" s="565">
        <f>$G408*IF(ISNA(VLOOKUP($B408&amp;"; "&amp;$H$405&amp;", "&amp;I$406,'FE Fret'!$G:$U,13,FALSE)),0,VLOOKUP($B408&amp;"; "&amp;$H$405&amp;", "&amp;I$406,'FE Fret'!$G:$U,13,FALSE))
+$K408*IF(ISNA(VLOOKUP($B408&amp;"; "&amp;$L$405&amp;", "&amp;I$406,'FE Fret'!$G:$U,13,FALSE)),0,VLOOKUP($B408&amp;"; "&amp;$L$405&amp;", "&amp;I$406,'FE Fret'!$G:$U,13,FALSE))</f>
        <v>0</v>
      </c>
      <c r="AP408" s="565">
        <f>$G408*IF(ISNA(VLOOKUP($B408&amp;"; "&amp;$H$405&amp;", "&amp;J$406,'FE Fret'!$G:$U,13,FALSE)),0,VLOOKUP($B408&amp;"; "&amp;$H$405&amp;", "&amp;J$406,'FE Fret'!$G:$U,13,FALSE))
+$K408*IF(ISNA(VLOOKUP($B408&amp;"; "&amp;$L$405&amp;", "&amp;J$406,'FE Fret'!$G:$U,13,FALSE)),0,VLOOKUP($B408&amp;"; "&amp;$L$405&amp;", "&amp;J$406,'FE Fret'!$G:$U,13,FALSE))</f>
        <v>0</v>
      </c>
      <c r="AQ408" s="565">
        <v>0</v>
      </c>
      <c r="AR408" s="565">
        <v>0</v>
      </c>
      <c r="AS408" s="565">
        <v>0</v>
      </c>
      <c r="AT408" s="566">
        <f t="shared" si="141"/>
        <v>22602.02</v>
      </c>
      <c r="AU408" s="566">
        <f t="shared" si="141"/>
        <v>92568</v>
      </c>
      <c r="AV408" s="566">
        <f t="shared" si="141"/>
        <v>8099.7000000000007</v>
      </c>
      <c r="AW408" s="564">
        <f>$G408*IF(ISNA(VLOOKUP($B408&amp;"; "&amp;$H$405&amp;", "&amp;H$406,'FE Fret'!$G:$U,15,FALSE)),0,VLOOKUP($B408&amp;"; "&amp;$H$405&amp;", "&amp;H$406,'FE Fret'!$G:$U,15,FALSE))
+$K408*IF(ISNA(VLOOKUP($B408&amp;"; "&amp;$L$405&amp;", "&amp;H$406,'FE Fret'!$G:$U,15,FALSE)),0,VLOOKUP($B408&amp;"; "&amp;$L$405&amp;", "&amp;H$406,'FE Fret'!$G:$U,15,FALSE))</f>
        <v>0</v>
      </c>
      <c r="AX408" s="565">
        <f>$G408*IF(ISNA(VLOOKUP($B408&amp;"; "&amp;$H$405&amp;", "&amp;I$406,'FE Fret'!$G:$U,15,FALSE)),0,VLOOKUP($B408&amp;"; "&amp;$H$405&amp;", "&amp;I$406,'FE Fret'!$G:$U,15,FALSE))
+$K408*IF(ISNA(VLOOKUP($B408&amp;"; "&amp;$L$405&amp;", "&amp;I$406,'FE Fret'!$G:$U,15,FALSE)),0,VLOOKUP($B408&amp;"; "&amp;$L$405&amp;", "&amp;I$406,'FE Fret'!$G:$U,15,FALSE))</f>
        <v>0</v>
      </c>
      <c r="AY408" s="568">
        <f>$G408*IF(ISNA(VLOOKUP($B408&amp;"; "&amp;$H$405&amp;", "&amp;J$406,'FE Fret'!$G:$U,15,FALSE)),0,VLOOKUP($B408&amp;"; "&amp;$H$405&amp;", "&amp;J$406,'FE Fret'!$G:$U,15,FALSE))
+$K408*IF(ISNA(VLOOKUP($B408&amp;"; "&amp;$L$405&amp;", "&amp;J$406,'FE Fret'!$G:$U,15,FALSE)),0,VLOOKUP($B408&amp;"; "&amp;$L$405&amp;", "&amp;J$406,'FE Fret'!$G:$U,15,FALSE))</f>
        <v>0</v>
      </c>
      <c r="AZ408" s="565"/>
      <c r="BA408" s="565"/>
      <c r="BB408" s="565"/>
      <c r="BC408" s="565"/>
      <c r="BD408" s="565"/>
      <c r="BE408" s="565"/>
      <c r="BF408" s="565"/>
      <c r="BH408" s="1065">
        <f>IF($Y408&lt;&gt;"votre valeur :",IF(ISNA(VLOOKUP($Y408,Utilitaires!$N$566:$O$571,2,FALSE)),,VLOOKUP($Y408,Utilitaires!$N$566:$O$571,2,FALSE)),$Z408)</f>
        <v>0</v>
      </c>
      <c r="BI408" s="1124">
        <f>IF(ISNA(SQRT(SUMSQ(VLOOKUP($B408&amp;"; "&amp;$H$405&amp;", "&amp;H$406,'FE Fret'!$G:$U,7,FALSE),$BH408))),0,SQRT(SUMSQ(VLOOKUP($B408&amp;"; "&amp;$H$405&amp;", "&amp;H$406,'FE Fret'!$G:$U,7,FALSE),$BH408)))</f>
        <v>0</v>
      </c>
      <c r="BJ408" s="1124">
        <f>IF(ISNA(SQRT(SUMSQ(VLOOKUP($B408&amp;"; "&amp;$H$405&amp;", "&amp;I$406,'FE Fret'!$G:$U,7,FALSE),$BH408))),0,SQRT(SUMSQ(VLOOKUP($B408&amp;"; "&amp;$H$405&amp;", "&amp;I$406,'FE Fret'!$G:$U,7,FALSE),$BH408)))</f>
        <v>0</v>
      </c>
      <c r="BK408" s="1124">
        <f>IF(ISNA(SQRT(SUMSQ(VLOOKUP($B408&amp;"; "&amp;$H$405&amp;", "&amp;J$406,'FE Fret'!$G:$U,7,FALSE),$BH408))),0,SQRT(SUMSQ(VLOOKUP($B408&amp;"; "&amp;$H$405&amp;", "&amp;J$406,'FE Fret'!$G:$U,7,FALSE),$BH408)))</f>
        <v>0</v>
      </c>
      <c r="BL408" s="1124">
        <f>IF(ISNA(SQRT(SUMSQ(VLOOKUP($B408&amp;"; "&amp;$L$405&amp;", "&amp;L$406,'FE Fret'!$G:$U,7,FALSE),$BH408))),0,SQRT(SUMSQ(VLOOKUP($B408&amp;"; "&amp;$L$405&amp;", "&amp;L$406,'FE Fret'!$G:$U,7,FALSE),$BH408)))</f>
        <v>0.7</v>
      </c>
      <c r="BM408" s="1130">
        <f>IF(ISNA(SQRT(SUMSQ(VLOOKUP($B408&amp;"; "&amp;$L$405&amp;", "&amp;M$406,'FE Fret'!$G:$U,7,FALSE),$BH408))),0,SQRT(SUMSQ(VLOOKUP($B408&amp;"; "&amp;$L$405&amp;", "&amp;M$406,'FE Fret'!$G:$U,7,FALSE),$BH408)))</f>
        <v>0.7</v>
      </c>
      <c r="BN408" s="1130">
        <f>IF(ISNA(SQRT(SUMSQ(VLOOKUP($B408&amp;"; "&amp;$L$405&amp;", "&amp;N$406,'FE Fret'!$G:$U,7,FALSE),$BH408))),0,SQRT(SUMSQ(VLOOKUP($B408&amp;"; "&amp;$L$405&amp;", "&amp;N$406,'FE Fret'!$G:$U,7,FALSE),$BH408)))</f>
        <v>0.7</v>
      </c>
    </row>
    <row r="409" spans="1:72" ht="12.75" customHeight="1" outlineLevel="2">
      <c r="B409" s="143" t="s">
        <v>4013</v>
      </c>
      <c r="C409" s="144"/>
      <c r="D409" s="212">
        <f>SUM(O409:Q409)</f>
        <v>9085.9200000000019</v>
      </c>
      <c r="E409" s="212"/>
      <c r="F409" s="530" t="s">
        <v>634</v>
      </c>
      <c r="G409" s="120"/>
      <c r="H409" s="335" t="e">
        <f>VLOOKUP($B409&amp;"; "&amp;$H$405&amp;", "&amp;H$406,'FE Fret'!$G:$U,9,FALSE)</f>
        <v>#N/A</v>
      </c>
      <c r="I409" s="335" t="e">
        <f>VLOOKUP($B409&amp;"; "&amp;$H$405&amp;", "&amp;I$406,'FE Fret'!$G:$U,9,FALSE)</f>
        <v>#N/A</v>
      </c>
      <c r="J409" s="335" t="e">
        <f>VLOOKUP($B409&amp;"; "&amp;$H$405&amp;", "&amp;J$406,'FE Fret'!$G:$U,9,FALSE)</f>
        <v>#N/A</v>
      </c>
      <c r="K409" s="120">
        <v>110400</v>
      </c>
      <c r="L409" s="335">
        <f>VLOOKUP($B409&amp;"; "&amp;$L$405&amp;", "&amp;L$406,'FE Fret'!$G:$U,9,FALSE)</f>
        <v>1.54E-2</v>
      </c>
      <c r="M409" s="335">
        <f>VLOOKUP($B409&amp;"; "&amp;$L$405&amp;", "&amp;M$406,'FE Fret'!$G:$U,9,FALSE)</f>
        <v>6.3100000000000003E-2</v>
      </c>
      <c r="N409" s="335">
        <f>VLOOKUP($B409&amp;"; "&amp;$L$405&amp;", "&amp;N$406,'FE Fret'!$G:$U,9,FALSE)</f>
        <v>3.8E-3</v>
      </c>
      <c r="O409" s="356">
        <f t="shared" si="139"/>
        <v>1700.16</v>
      </c>
      <c r="P409" s="356">
        <f t="shared" si="139"/>
        <v>6966.2400000000007</v>
      </c>
      <c r="Q409" s="356">
        <f t="shared" si="139"/>
        <v>419.52</v>
      </c>
      <c r="R409" s="1286">
        <f>IF(OR(F409=Utilitaires!$G$572,F409=Utilitaires!$G$577),P409,0)</f>
        <v>0</v>
      </c>
      <c r="W409" s="262"/>
      <c r="X409" s="1092">
        <f>IF(AE409=0,AE409,AE409/D409)</f>
        <v>0.55339229935727641</v>
      </c>
      <c r="Y409" s="1094"/>
      <c r="Z409" s="820"/>
      <c r="AA409" s="164">
        <f t="shared" si="140"/>
        <v>1190.1120000000001</v>
      </c>
      <c r="AB409" s="164">
        <f t="shared" si="140"/>
        <v>4876.3680000000004</v>
      </c>
      <c r="AC409" s="164"/>
      <c r="AD409" s="164">
        <f>SQRT(SUMSQ(IF(ISNA($G409*J409*BK409),0,$G409*J409*BK409),IF(ISNA($K409*N409*BN409),0,$K409*N409*BN409)))</f>
        <v>293.66399999999999</v>
      </c>
      <c r="AE409" s="151">
        <f>SQRT(SUMSQ(AA409:AD409))</f>
        <v>5028.0781605762659</v>
      </c>
      <c r="AF409" s="1286">
        <f>R409*X409</f>
        <v>0</v>
      </c>
      <c r="AH409" s="564">
        <f>$G409*IF(ISNA(VLOOKUP($B409&amp;"; "&amp;$H$405&amp;", "&amp;H$406,'FE Fret'!$G:$U,10,FALSE)),0,VLOOKUP($B409&amp;"; "&amp;$H$405&amp;", "&amp;H$406,'FE Fret'!$G:$U,10,FALSE))
+$K409*IF(ISNA(VLOOKUP($B409&amp;"; "&amp;$L$405&amp;", "&amp;H$406,'FE Fret'!$G:$U,10,FALSE)),0,VLOOKUP($B409&amp;"; "&amp;$L$405&amp;", "&amp;H$406,'FE Fret'!$G:$U,10,FALSE))</f>
        <v>1700.16</v>
      </c>
      <c r="AI409" s="565">
        <f>$G409*IF(ISNA(VLOOKUP($B409&amp;"; "&amp;$H$405&amp;", "&amp;I$406,'FE Fret'!$G:$U,10,FALSE)),0,VLOOKUP($B409&amp;"; "&amp;$H$405&amp;", "&amp;I$406,'FE Fret'!$G:$U,10,FALSE))
+$K409*IF(ISNA(VLOOKUP($B409&amp;"; "&amp;$L$405&amp;", "&amp;I$406,'FE Fret'!$G:$U,10,FALSE)),0,VLOOKUP($B409&amp;"; "&amp;$L$405&amp;", "&amp;I$406,'FE Fret'!$G:$U,10,FALSE))</f>
        <v>6966.2400000000007</v>
      </c>
      <c r="AJ409" s="565">
        <f>$G409*IF(ISNA(VLOOKUP($B409&amp;"; "&amp;$H$405&amp;", "&amp;J$406,'FE Fret'!$G:$U,10,FALSE)),0,VLOOKUP($B409&amp;"; "&amp;$H$405&amp;", "&amp;J$406,'FE Fret'!$G:$U,10,FALSE))
+$K409*IF(ISNA(VLOOKUP($B409&amp;"; "&amp;$L$405&amp;", "&amp;J$406,'FE Fret'!$G:$U,10,FALSE)),0,VLOOKUP($B409&amp;"; "&amp;$L$405&amp;", "&amp;J$406,'FE Fret'!$G:$U,10,FALSE))</f>
        <v>419.52</v>
      </c>
      <c r="AK409" s="565">
        <f>$G409*IF(ISNA((VLOOKUP($B409&amp;"; "&amp;$H$405&amp;", "&amp;H$406,'FE Fret'!$G:$U,12,FALSE)+VLOOKUP($B409&amp;"; "&amp;$H$405&amp;", "&amp;H$406,'FE Fret'!$G:$U,11,FALSE))),0,(VLOOKUP($B409&amp;"; "&amp;$H$405&amp;", "&amp;H$406,'FE Fret'!$G:$U,12,FALSE)+VLOOKUP($B409&amp;"; "&amp;$H$405&amp;", "&amp;H$406,'FE Fret'!$G:$U,11,FALSE)))
+$K409*IF(ISNA((VLOOKUP($B409&amp;"; "&amp;$L$405&amp;", "&amp;H$406,'FE Fret'!$G:$U,12,FALSE)+VLOOKUP($B409&amp;"; "&amp;$L$405&amp;", "&amp;H$406,'FE Fret'!$G:$U,11,FALSE))),0,(VLOOKUP($B409&amp;"; "&amp;$L$405&amp;", "&amp;H$406,'FE Fret'!$G:$U,12,FALSE)+VLOOKUP($B409&amp;"; "&amp;$L$405&amp;", "&amp;H$406,'FE Fret'!$G:$U,11,FALSE)))</f>
        <v>0</v>
      </c>
      <c r="AL409" s="565">
        <f>$G409*IF(ISNA((VLOOKUP($B409&amp;"; "&amp;$H$405&amp;", "&amp;I$406,'FE Fret'!$G:$U,12,FALSE)+VLOOKUP($B409&amp;"; "&amp;$H$405&amp;", "&amp;I$406,'FE Fret'!$G:$U,11,FALSE))),0,(VLOOKUP($B409&amp;"; "&amp;$H$405&amp;", "&amp;I$406,'FE Fret'!$G:$U,12,FALSE)+VLOOKUP($B409&amp;"; "&amp;$H$405&amp;", "&amp;I$406,'FE Fret'!$G:$U,11,FALSE)))
+$K409*IF(ISNA((VLOOKUP($B409&amp;"; "&amp;$L$405&amp;", "&amp;I$406,'FE Fret'!$G:$U,12,FALSE)+VLOOKUP($B409&amp;"; "&amp;$L$405&amp;", "&amp;I$406,'FE Fret'!$G:$U,11,FALSE))),0,(VLOOKUP($B409&amp;"; "&amp;$L$405&amp;", "&amp;I$406,'FE Fret'!$G:$U,12,FALSE)+VLOOKUP($B409&amp;"; "&amp;$L$405&amp;", "&amp;I$406,'FE Fret'!$G:$U,11,FALSE)))</f>
        <v>0</v>
      </c>
      <c r="AM409" s="565">
        <f>$G409*IF(ISNA((VLOOKUP($B409&amp;"; "&amp;$H$405&amp;", "&amp;J$406,'FE Fret'!$G:$U,12,FALSE)+VLOOKUP($B409&amp;"; "&amp;$H$405&amp;", "&amp;J$406,'FE Fret'!$G:$U,11,FALSE))),0,(VLOOKUP($B409&amp;"; "&amp;$H$405&amp;", "&amp;J$406,'FE Fret'!$G:$U,12,FALSE)+VLOOKUP($B409&amp;"; "&amp;$H$405&amp;", "&amp;J$406,'FE Fret'!$G:$U,11,FALSE)))
+$K409*IF(ISNA((VLOOKUP($B409&amp;"; "&amp;$L$405&amp;", "&amp;J$406,'FE Fret'!$G:$U,12,FALSE)+VLOOKUP($B409&amp;"; "&amp;$L$405&amp;", "&amp;J$406,'FE Fret'!$G:$U,11,FALSE))),0,(VLOOKUP($B409&amp;"; "&amp;$L$405&amp;", "&amp;J$406,'FE Fret'!$G:$U,12,FALSE)+VLOOKUP($B409&amp;"; "&amp;$L$405&amp;", "&amp;J$406,'FE Fret'!$G:$U,11,FALSE)))</f>
        <v>0</v>
      </c>
      <c r="AN409" s="565">
        <f>$G409*IF(ISNA(VLOOKUP($B409&amp;"; "&amp;$H$405&amp;", "&amp;H$406,'FE Fret'!$G:$U,13,FALSE)),0,VLOOKUP($B409&amp;"; "&amp;$H$405&amp;", "&amp;H$406,'FE Fret'!$G:$U,13,FALSE))
+$K409*IF(ISNA(VLOOKUP($B409&amp;"; "&amp;$L$405&amp;", "&amp;H$406,'FE Fret'!$G:$U,13,FALSE)),0,VLOOKUP($B409&amp;"; "&amp;$L$405&amp;", "&amp;H$406,'FE Fret'!$G:$U,13,FALSE))</f>
        <v>0</v>
      </c>
      <c r="AO409" s="565">
        <f>$G409*IF(ISNA(VLOOKUP($B409&amp;"; "&amp;$H$405&amp;", "&amp;I$406,'FE Fret'!$G:$U,13,FALSE)),0,VLOOKUP($B409&amp;"; "&amp;$H$405&amp;", "&amp;I$406,'FE Fret'!$G:$U,13,FALSE))
+$K409*IF(ISNA(VLOOKUP($B409&amp;"; "&amp;$L$405&amp;", "&amp;I$406,'FE Fret'!$G:$U,13,FALSE)),0,VLOOKUP($B409&amp;"; "&amp;$L$405&amp;", "&amp;I$406,'FE Fret'!$G:$U,13,FALSE))</f>
        <v>0</v>
      </c>
      <c r="AP409" s="565">
        <f>$G409*IF(ISNA(VLOOKUP($B409&amp;"; "&amp;$H$405&amp;", "&amp;J$406,'FE Fret'!$G:$U,13,FALSE)),0,VLOOKUP($B409&amp;"; "&amp;$H$405&amp;", "&amp;J$406,'FE Fret'!$G:$U,13,FALSE))
+$K409*IF(ISNA(VLOOKUP($B409&amp;"; "&amp;$L$405&amp;", "&amp;J$406,'FE Fret'!$G:$U,13,FALSE)),0,VLOOKUP($B409&amp;"; "&amp;$L$405&amp;", "&amp;J$406,'FE Fret'!$G:$U,13,FALSE))</f>
        <v>0</v>
      </c>
      <c r="AQ409" s="565">
        <v>0</v>
      </c>
      <c r="AR409" s="565">
        <v>0</v>
      </c>
      <c r="AS409" s="565">
        <v>0</v>
      </c>
      <c r="AT409" s="566">
        <f t="shared" si="141"/>
        <v>1700.16</v>
      </c>
      <c r="AU409" s="566">
        <f t="shared" si="141"/>
        <v>6966.2400000000007</v>
      </c>
      <c r="AV409" s="566">
        <f t="shared" si="141"/>
        <v>419.52</v>
      </c>
      <c r="AW409" s="564">
        <f>$G409*IF(ISNA(VLOOKUP($B409&amp;"; "&amp;$H$405&amp;", "&amp;H$406,'FE Fret'!$G:$U,15,FALSE)),0,VLOOKUP($B409&amp;"; "&amp;$H$405&amp;", "&amp;H$406,'FE Fret'!$G:$U,15,FALSE))
+$K409*IF(ISNA(VLOOKUP($B409&amp;"; "&amp;$L$405&amp;", "&amp;H$406,'FE Fret'!$G:$U,15,FALSE)),0,VLOOKUP($B409&amp;"; "&amp;$L$405&amp;", "&amp;H$406,'FE Fret'!$G:$U,15,FALSE))</f>
        <v>0</v>
      </c>
      <c r="AX409" s="565">
        <f>$G409*IF(ISNA(VLOOKUP($B409&amp;"; "&amp;$H$405&amp;", "&amp;I$406,'FE Fret'!$G:$U,15,FALSE)),0,VLOOKUP($B409&amp;"; "&amp;$H$405&amp;", "&amp;I$406,'FE Fret'!$G:$U,15,FALSE))
+$K409*IF(ISNA(VLOOKUP($B409&amp;"; "&amp;$L$405&amp;", "&amp;I$406,'FE Fret'!$G:$U,15,FALSE)),0,VLOOKUP($B409&amp;"; "&amp;$L$405&amp;", "&amp;I$406,'FE Fret'!$G:$U,15,FALSE))</f>
        <v>0</v>
      </c>
      <c r="AY409" s="568">
        <f>$G409*IF(ISNA(VLOOKUP($B409&amp;"; "&amp;$H$405&amp;", "&amp;J$406,'FE Fret'!$G:$U,15,FALSE)),0,VLOOKUP($B409&amp;"; "&amp;$H$405&amp;", "&amp;J$406,'FE Fret'!$G:$U,15,FALSE))
+$K409*IF(ISNA(VLOOKUP($B409&amp;"; "&amp;$L$405&amp;", "&amp;J$406,'FE Fret'!$G:$U,15,FALSE)),0,VLOOKUP($B409&amp;"; "&amp;$L$405&amp;", "&amp;J$406,'FE Fret'!$G:$U,15,FALSE))</f>
        <v>0</v>
      </c>
      <c r="AZ409" s="565"/>
      <c r="BA409" s="565"/>
      <c r="BB409" s="565"/>
      <c r="BC409" s="565"/>
      <c r="BD409" s="565"/>
      <c r="BE409" s="565"/>
      <c r="BF409" s="565"/>
      <c r="BH409" s="1065">
        <f>IF($Y409&lt;&gt;"votre valeur :",IF(ISNA(VLOOKUP($Y409,Utilitaires!$N$566:$O$571,2,FALSE)),,VLOOKUP($Y409,Utilitaires!$N$566:$O$571,2,FALSE)),$Z409)</f>
        <v>0</v>
      </c>
      <c r="BI409" s="1124">
        <f>IF(ISNA(SQRT(SUMSQ(VLOOKUP($B409&amp;"; "&amp;$H$405&amp;", "&amp;H$406,'FE Fret'!$G:$U,7,FALSE),$BH409))),0,SQRT(SUMSQ(VLOOKUP($B409&amp;"; "&amp;$H$405&amp;", "&amp;H$406,'FE Fret'!$G:$U,7,FALSE),$BH409)))</f>
        <v>0</v>
      </c>
      <c r="BJ409" s="1124">
        <f>IF(ISNA(SQRT(SUMSQ(VLOOKUP($B409&amp;"; "&amp;$H$405&amp;", "&amp;I$406,'FE Fret'!$G:$U,7,FALSE),$BH409))),0,SQRT(SUMSQ(VLOOKUP($B409&amp;"; "&amp;$H$405&amp;", "&amp;I$406,'FE Fret'!$G:$U,7,FALSE),$BH409)))</f>
        <v>0</v>
      </c>
      <c r="BK409" s="1124">
        <f>IF(ISNA(SQRT(SUMSQ(VLOOKUP($B409&amp;"; "&amp;$H$405&amp;", "&amp;J$406,'FE Fret'!$G:$U,7,FALSE),$BH409))),0,SQRT(SUMSQ(VLOOKUP($B409&amp;"; "&amp;$H$405&amp;", "&amp;J$406,'FE Fret'!$G:$U,7,FALSE),$BH409)))</f>
        <v>0</v>
      </c>
      <c r="BL409" s="1124">
        <f>IF(ISNA(SQRT(SUMSQ(VLOOKUP($B409&amp;"; "&amp;$L$405&amp;", "&amp;L$406,'FE Fret'!$G:$U,7,FALSE),$BH409))),0,SQRT(SUMSQ(VLOOKUP($B409&amp;"; "&amp;$L$405&amp;", "&amp;L$406,'FE Fret'!$G:$U,7,FALSE),$BH409)))</f>
        <v>0.7</v>
      </c>
      <c r="BM409" s="1130">
        <f>IF(ISNA(SQRT(SUMSQ(VLOOKUP($B409&amp;"; "&amp;$L$405&amp;", "&amp;M$406,'FE Fret'!$G:$U,7,FALSE),$BH409))),0,SQRT(SUMSQ(VLOOKUP($B409&amp;"; "&amp;$L$405&amp;", "&amp;M$406,'FE Fret'!$G:$U,7,FALSE),$BH409)))</f>
        <v>0.7</v>
      </c>
      <c r="BN409" s="1130">
        <f>IF(ISNA(SQRT(SUMSQ(VLOOKUP($B409&amp;"; "&amp;$L$405&amp;", "&amp;N$406,'FE Fret'!$G:$U,7,FALSE),$BH409))),0,SQRT(SUMSQ(VLOOKUP($B409&amp;"; "&amp;$L$405&amp;", "&amp;N$406,'FE Fret'!$G:$U,7,FALSE),$BH409)))</f>
        <v>0.7</v>
      </c>
    </row>
    <row r="410" spans="1:72" ht="12.75" customHeight="1" outlineLevel="2">
      <c r="B410" s="143" t="s">
        <v>4016</v>
      </c>
      <c r="C410" s="144"/>
      <c r="D410" s="212">
        <f>SUM(O410:Q410)</f>
        <v>0</v>
      </c>
      <c r="E410" s="212"/>
      <c r="F410" s="530"/>
      <c r="G410" s="120"/>
      <c r="H410" s="335" t="e">
        <f>VLOOKUP($B410&amp;"; "&amp;$H$405&amp;", "&amp;H$406,'FE Fret'!$G:$U,9,FALSE)</f>
        <v>#N/A</v>
      </c>
      <c r="I410" s="335" t="e">
        <f>VLOOKUP($B410&amp;"; "&amp;$H$405&amp;", "&amp;I$406,'FE Fret'!$G:$U,9,FALSE)</f>
        <v>#N/A</v>
      </c>
      <c r="J410" s="335" t="e">
        <f>VLOOKUP($B410&amp;"; "&amp;$H$405&amp;", "&amp;J$406,'FE Fret'!$G:$U,9,FALSE)</f>
        <v>#N/A</v>
      </c>
      <c r="K410" s="120"/>
      <c r="L410" s="335">
        <f>VLOOKUP($B410&amp;"; "&amp;$L$405&amp;", "&amp;L$406,'FE Fret'!$G:$U,9,FALSE)</f>
        <v>2.4199999999999999E-2</v>
      </c>
      <c r="M410" s="335">
        <f>VLOOKUP($B410&amp;"; "&amp;$L$405&amp;", "&amp;M$406,'FE Fret'!$G:$U,9,FALSE)</f>
        <v>9.9099999999999994E-2</v>
      </c>
      <c r="N410" s="335">
        <f>VLOOKUP($B410&amp;"; "&amp;$L$405&amp;", "&amp;N$406,'FE Fret'!$G:$U,9,FALSE)</f>
        <v>1.1299999999999999E-2</v>
      </c>
      <c r="O410" s="356">
        <f t="shared" si="139"/>
        <v>0</v>
      </c>
      <c r="P410" s="356">
        <f t="shared" si="139"/>
        <v>0</v>
      </c>
      <c r="Q410" s="356">
        <f t="shared" si="139"/>
        <v>0</v>
      </c>
      <c r="R410" s="1286">
        <f>IF(OR(F410=Utilitaires!$G$572,F410=Utilitaires!$G$577),P410,0)</f>
        <v>0</v>
      </c>
      <c r="W410" s="262"/>
      <c r="X410" s="1092">
        <f>IF(AE410=0,AE410,AE410/D410)</f>
        <v>0</v>
      </c>
      <c r="Y410" s="1094"/>
      <c r="Z410" s="820"/>
      <c r="AA410" s="164">
        <f t="shared" si="140"/>
        <v>0</v>
      </c>
      <c r="AB410" s="164">
        <f t="shared" si="140"/>
        <v>0</v>
      </c>
      <c r="AC410" s="164"/>
      <c r="AD410" s="164">
        <f>SQRT(SUMSQ(IF(ISNA($G410*J410*BK410),0,$G410*J410*BK410),IF(ISNA($K410*N410*BN410),0,$K410*N410*BN410)))</f>
        <v>0</v>
      </c>
      <c r="AE410" s="151">
        <f>SQRT(SUMSQ(AA410:AD410))</f>
        <v>0</v>
      </c>
      <c r="AF410" s="1286">
        <f>R410*X410</f>
        <v>0</v>
      </c>
      <c r="AH410" s="564">
        <f>$G410*IF(ISNA(VLOOKUP($B410&amp;"; "&amp;$H$405&amp;", "&amp;H$406,'FE Fret'!$G:$U,10,FALSE)),0,VLOOKUP($B410&amp;"; "&amp;$H$405&amp;", "&amp;H$406,'FE Fret'!$G:$U,10,FALSE))
+$K410*IF(ISNA(VLOOKUP($B410&amp;"; "&amp;$L$405&amp;", "&amp;H$406,'FE Fret'!$G:$U,10,FALSE)),0,VLOOKUP($B410&amp;"; "&amp;$L$405&amp;", "&amp;H$406,'FE Fret'!$G:$U,10,FALSE))</f>
        <v>0</v>
      </c>
      <c r="AI410" s="565">
        <f>$G410*IF(ISNA(VLOOKUP($B410&amp;"; "&amp;$H$405&amp;", "&amp;I$406,'FE Fret'!$G:$U,10,FALSE)),0,VLOOKUP($B410&amp;"; "&amp;$H$405&amp;", "&amp;I$406,'FE Fret'!$G:$U,10,FALSE))
+$K410*IF(ISNA(VLOOKUP($B410&amp;"; "&amp;$L$405&amp;", "&amp;I$406,'FE Fret'!$G:$U,10,FALSE)),0,VLOOKUP($B410&amp;"; "&amp;$L$405&amp;", "&amp;I$406,'FE Fret'!$G:$U,10,FALSE))</f>
        <v>0</v>
      </c>
      <c r="AJ410" s="565">
        <f>$G410*IF(ISNA(VLOOKUP($B410&amp;"; "&amp;$H$405&amp;", "&amp;J$406,'FE Fret'!$G:$U,10,FALSE)),0,VLOOKUP($B410&amp;"; "&amp;$H$405&amp;", "&amp;J$406,'FE Fret'!$G:$U,10,FALSE))
+$K410*IF(ISNA(VLOOKUP($B410&amp;"; "&amp;$L$405&amp;", "&amp;J$406,'FE Fret'!$G:$U,10,FALSE)),0,VLOOKUP($B410&amp;"; "&amp;$L$405&amp;", "&amp;J$406,'FE Fret'!$G:$U,10,FALSE))</f>
        <v>0</v>
      </c>
      <c r="AK410" s="565">
        <f>$G410*IF(ISNA((VLOOKUP($B410&amp;"; "&amp;$H$405&amp;", "&amp;H$406,'FE Fret'!$G:$U,12,FALSE)+VLOOKUP($B410&amp;"; "&amp;$H$405&amp;", "&amp;H$406,'FE Fret'!$G:$U,11,FALSE))),0,(VLOOKUP($B410&amp;"; "&amp;$H$405&amp;", "&amp;H$406,'FE Fret'!$G:$U,12,FALSE)+VLOOKUP($B410&amp;"; "&amp;$H$405&amp;", "&amp;H$406,'FE Fret'!$G:$U,11,FALSE)))
+$K410*IF(ISNA((VLOOKUP($B410&amp;"; "&amp;$L$405&amp;", "&amp;H$406,'FE Fret'!$G:$U,12,FALSE)+VLOOKUP($B410&amp;"; "&amp;$L$405&amp;", "&amp;H$406,'FE Fret'!$G:$U,11,FALSE))),0,(VLOOKUP($B410&amp;"; "&amp;$L$405&amp;", "&amp;H$406,'FE Fret'!$G:$U,12,FALSE)+VLOOKUP($B410&amp;"; "&amp;$L$405&amp;", "&amp;H$406,'FE Fret'!$G:$U,11,FALSE)))</f>
        <v>0</v>
      </c>
      <c r="AL410" s="565">
        <f>$G410*IF(ISNA((VLOOKUP($B410&amp;"; "&amp;$H$405&amp;", "&amp;I$406,'FE Fret'!$G:$U,12,FALSE)+VLOOKUP($B410&amp;"; "&amp;$H$405&amp;", "&amp;I$406,'FE Fret'!$G:$U,11,FALSE))),0,(VLOOKUP($B410&amp;"; "&amp;$H$405&amp;", "&amp;I$406,'FE Fret'!$G:$U,12,FALSE)+VLOOKUP($B410&amp;"; "&amp;$H$405&amp;", "&amp;I$406,'FE Fret'!$G:$U,11,FALSE)))
+$K410*IF(ISNA((VLOOKUP($B410&amp;"; "&amp;$L$405&amp;", "&amp;I$406,'FE Fret'!$G:$U,12,FALSE)+VLOOKUP($B410&amp;"; "&amp;$L$405&amp;", "&amp;I$406,'FE Fret'!$G:$U,11,FALSE))),0,(VLOOKUP($B410&amp;"; "&amp;$L$405&amp;", "&amp;I$406,'FE Fret'!$G:$U,12,FALSE)+VLOOKUP($B410&amp;"; "&amp;$L$405&amp;", "&amp;I$406,'FE Fret'!$G:$U,11,FALSE)))</f>
        <v>0</v>
      </c>
      <c r="AM410" s="565">
        <f>$G410*IF(ISNA((VLOOKUP($B410&amp;"; "&amp;$H$405&amp;", "&amp;J$406,'FE Fret'!$G:$U,12,FALSE)+VLOOKUP($B410&amp;"; "&amp;$H$405&amp;", "&amp;J$406,'FE Fret'!$G:$U,11,FALSE))),0,(VLOOKUP($B410&amp;"; "&amp;$H$405&amp;", "&amp;J$406,'FE Fret'!$G:$U,12,FALSE)+VLOOKUP($B410&amp;"; "&amp;$H$405&amp;", "&amp;J$406,'FE Fret'!$G:$U,11,FALSE)))
+$K410*IF(ISNA((VLOOKUP($B410&amp;"; "&amp;$L$405&amp;", "&amp;J$406,'FE Fret'!$G:$U,12,FALSE)+VLOOKUP($B410&amp;"; "&amp;$L$405&amp;", "&amp;J$406,'FE Fret'!$G:$U,11,FALSE))),0,(VLOOKUP($B410&amp;"; "&amp;$L$405&amp;", "&amp;J$406,'FE Fret'!$G:$U,12,FALSE)+VLOOKUP($B410&amp;"; "&amp;$L$405&amp;", "&amp;J$406,'FE Fret'!$G:$U,11,FALSE)))</f>
        <v>0</v>
      </c>
      <c r="AN410" s="565">
        <f>$G410*IF(ISNA(VLOOKUP($B410&amp;"; "&amp;$H$405&amp;", "&amp;H$406,'FE Fret'!$G:$U,13,FALSE)),0,VLOOKUP($B410&amp;"; "&amp;$H$405&amp;", "&amp;H$406,'FE Fret'!$G:$U,13,FALSE))
+$K410*IF(ISNA(VLOOKUP($B410&amp;"; "&amp;$L$405&amp;", "&amp;H$406,'FE Fret'!$G:$U,13,FALSE)),0,VLOOKUP($B410&amp;"; "&amp;$L$405&amp;", "&amp;H$406,'FE Fret'!$G:$U,13,FALSE))</f>
        <v>0</v>
      </c>
      <c r="AO410" s="565">
        <f>$G410*IF(ISNA(VLOOKUP($B410&amp;"; "&amp;$H$405&amp;", "&amp;I$406,'FE Fret'!$G:$U,13,FALSE)),0,VLOOKUP($B410&amp;"; "&amp;$H$405&amp;", "&amp;I$406,'FE Fret'!$G:$U,13,FALSE))
+$K410*IF(ISNA(VLOOKUP($B410&amp;"; "&amp;$L$405&amp;", "&amp;I$406,'FE Fret'!$G:$U,13,FALSE)),0,VLOOKUP($B410&amp;"; "&amp;$L$405&amp;", "&amp;I$406,'FE Fret'!$G:$U,13,FALSE))</f>
        <v>0</v>
      </c>
      <c r="AP410" s="565">
        <f>$G410*IF(ISNA(VLOOKUP($B410&amp;"; "&amp;$H$405&amp;", "&amp;J$406,'FE Fret'!$G:$U,13,FALSE)),0,VLOOKUP($B410&amp;"; "&amp;$H$405&amp;", "&amp;J$406,'FE Fret'!$G:$U,13,FALSE))
+$K410*IF(ISNA(VLOOKUP($B410&amp;"; "&amp;$L$405&amp;", "&amp;J$406,'FE Fret'!$G:$U,13,FALSE)),0,VLOOKUP($B410&amp;"; "&amp;$L$405&amp;", "&amp;J$406,'FE Fret'!$G:$U,13,FALSE))</f>
        <v>0</v>
      </c>
      <c r="AQ410" s="565">
        <v>0</v>
      </c>
      <c r="AR410" s="565">
        <v>0</v>
      </c>
      <c r="AS410" s="565">
        <v>0</v>
      </c>
      <c r="AT410" s="566">
        <f t="shared" si="141"/>
        <v>0</v>
      </c>
      <c r="AU410" s="566">
        <f t="shared" si="141"/>
        <v>0</v>
      </c>
      <c r="AV410" s="566">
        <f t="shared" si="141"/>
        <v>0</v>
      </c>
      <c r="AW410" s="564">
        <f>$G410*IF(ISNA(VLOOKUP($B410&amp;"; "&amp;$H$405&amp;", "&amp;H$406,'FE Fret'!$G:$U,15,FALSE)),0,VLOOKUP($B410&amp;"; "&amp;$H$405&amp;", "&amp;H$406,'FE Fret'!$G:$U,15,FALSE))
+$K410*IF(ISNA(VLOOKUP($B410&amp;"; "&amp;$L$405&amp;", "&amp;H$406,'FE Fret'!$G:$U,15,FALSE)),0,VLOOKUP($B410&amp;"; "&amp;$L$405&amp;", "&amp;H$406,'FE Fret'!$G:$U,15,FALSE))</f>
        <v>0</v>
      </c>
      <c r="AX410" s="565">
        <f>$G410*IF(ISNA(VLOOKUP($B410&amp;"; "&amp;$H$405&amp;", "&amp;I$406,'FE Fret'!$G:$U,15,FALSE)),0,VLOOKUP($B410&amp;"; "&amp;$H$405&amp;", "&amp;I$406,'FE Fret'!$G:$U,15,FALSE))
+$K410*IF(ISNA(VLOOKUP($B410&amp;"; "&amp;$L$405&amp;", "&amp;I$406,'FE Fret'!$G:$U,15,FALSE)),0,VLOOKUP($B410&amp;"; "&amp;$L$405&amp;", "&amp;I$406,'FE Fret'!$G:$U,15,FALSE))</f>
        <v>0</v>
      </c>
      <c r="AY410" s="568">
        <f>$G410*IF(ISNA(VLOOKUP($B410&amp;"; "&amp;$H$405&amp;", "&amp;J$406,'FE Fret'!$G:$U,15,FALSE)),0,VLOOKUP($B410&amp;"; "&amp;$H$405&amp;", "&amp;J$406,'FE Fret'!$G:$U,15,FALSE))
+$K410*IF(ISNA(VLOOKUP($B410&amp;"; "&amp;$L$405&amp;", "&amp;J$406,'FE Fret'!$G:$U,15,FALSE)),0,VLOOKUP($B410&amp;"; "&amp;$L$405&amp;", "&amp;J$406,'FE Fret'!$G:$U,15,FALSE))</f>
        <v>0</v>
      </c>
      <c r="AZ410" s="565"/>
      <c r="BA410" s="565"/>
      <c r="BB410" s="565"/>
      <c r="BC410" s="565"/>
      <c r="BD410" s="565"/>
      <c r="BE410" s="565"/>
      <c r="BF410" s="565"/>
      <c r="BH410" s="1065">
        <f>IF($Y410&lt;&gt;"votre valeur :",IF(ISNA(VLOOKUP($Y410,Utilitaires!$N$566:$O$571,2,FALSE)),,VLOOKUP($Y410,Utilitaires!$N$566:$O$571,2,FALSE)),$Z410)</f>
        <v>0</v>
      </c>
      <c r="BI410" s="1124">
        <f>IF(ISNA(SQRT(SUMSQ(VLOOKUP($B410&amp;"; "&amp;$H$405&amp;", "&amp;H$406,'FE Fret'!$G:$U,7,FALSE),$BH410))),0,SQRT(SUMSQ(VLOOKUP($B410&amp;"; "&amp;$H$405&amp;", "&amp;H$406,'FE Fret'!$G:$U,7,FALSE),$BH410)))</f>
        <v>0</v>
      </c>
      <c r="BJ410" s="1124">
        <f>IF(ISNA(SQRT(SUMSQ(VLOOKUP($B410&amp;"; "&amp;$H$405&amp;", "&amp;I$406,'FE Fret'!$G:$U,7,FALSE),$BH410))),0,SQRT(SUMSQ(VLOOKUP($B410&amp;"; "&amp;$H$405&amp;", "&amp;I$406,'FE Fret'!$G:$U,7,FALSE),$BH410)))</f>
        <v>0</v>
      </c>
      <c r="BK410" s="1124">
        <f>IF(ISNA(SQRT(SUMSQ(VLOOKUP($B410&amp;"; "&amp;$H$405&amp;", "&amp;J$406,'FE Fret'!$G:$U,7,FALSE),$BH410))),0,SQRT(SUMSQ(VLOOKUP($B410&amp;"; "&amp;$H$405&amp;", "&amp;J$406,'FE Fret'!$G:$U,7,FALSE),$BH410)))</f>
        <v>0</v>
      </c>
      <c r="BL410" s="1124">
        <f>IF(ISNA(SQRT(SUMSQ(VLOOKUP($B410&amp;"; "&amp;$L$405&amp;", "&amp;L$406,'FE Fret'!$G:$U,7,FALSE),$BH410))),0,SQRT(SUMSQ(VLOOKUP($B410&amp;"; "&amp;$L$405&amp;", "&amp;L$406,'FE Fret'!$G:$U,7,FALSE),$BH410)))</f>
        <v>0.7</v>
      </c>
      <c r="BM410" s="1130">
        <f>IF(ISNA(SQRT(SUMSQ(VLOOKUP($B410&amp;"; "&amp;$L$405&amp;", "&amp;M$406,'FE Fret'!$G:$U,7,FALSE),$BH410))),0,SQRT(SUMSQ(VLOOKUP($B410&amp;"; "&amp;$L$405&amp;", "&amp;M$406,'FE Fret'!$G:$U,7,FALSE),$BH410)))</f>
        <v>0.7</v>
      </c>
      <c r="BN410" s="1130">
        <f>IF(ISNA(SQRT(SUMSQ(VLOOKUP($B410&amp;"; "&amp;$L$405&amp;", "&amp;N$406,'FE Fret'!$G:$U,7,FALSE),$BH410))),0,SQRT(SUMSQ(VLOOKUP($B410&amp;"; "&amp;$L$405&amp;", "&amp;N$406,'FE Fret'!$G:$U,7,FALSE),$BH410)))</f>
        <v>0.7</v>
      </c>
    </row>
    <row r="411" spans="1:72" ht="12.75" customHeight="1" outlineLevel="2">
      <c r="B411" s="143" t="s">
        <v>4112</v>
      </c>
      <c r="C411" s="144"/>
      <c r="D411" s="212">
        <f>SUM(O411:Q411)</f>
        <v>0</v>
      </c>
      <c r="E411" s="212"/>
      <c r="F411" s="347"/>
      <c r="G411" s="123"/>
      <c r="H411" s="335" t="e">
        <f>VLOOKUP($B411&amp;"; "&amp;$H$405&amp;", "&amp;H$406,'FE Fret'!$G:$U,9,FALSE)</f>
        <v>#N/A</v>
      </c>
      <c r="I411" s="335" t="e">
        <f>VLOOKUP($B411&amp;"; "&amp;$H$405&amp;", "&amp;I$406,'FE Fret'!$G:$U,9,FALSE)</f>
        <v>#N/A</v>
      </c>
      <c r="J411" s="335" t="e">
        <f>VLOOKUP($B411&amp;"; "&amp;$H$405&amp;", "&amp;J$406,'FE Fret'!$G:$U,9,FALSE)</f>
        <v>#N/A</v>
      </c>
      <c r="K411" s="123"/>
      <c r="L411" s="335" t="e">
        <f>VLOOKUP($B411&amp;"; "&amp;$L$405&amp;", "&amp;L$406,'FE Fret'!$G:$U,9,FALSE)</f>
        <v>#N/A</v>
      </c>
      <c r="M411" s="335" t="e">
        <f>VLOOKUP($B411&amp;"; "&amp;$L$405&amp;", "&amp;M$406,'FE Fret'!$G:$U,9,FALSE)</f>
        <v>#N/A</v>
      </c>
      <c r="N411" s="335" t="e">
        <f>VLOOKUP($B411&amp;"; "&amp;$L$405&amp;", "&amp;N$406,'FE Fret'!$G:$U,9,FALSE)</f>
        <v>#N/A</v>
      </c>
      <c r="O411" s="356">
        <f t="shared" si="139"/>
        <v>0</v>
      </c>
      <c r="P411" s="356">
        <f t="shared" si="139"/>
        <v>0</v>
      </c>
      <c r="Q411" s="356">
        <f t="shared" si="139"/>
        <v>0</v>
      </c>
      <c r="R411" s="1286">
        <f>IF(OR(F411=Utilitaires!$G$572,F411=Utilitaires!$G$577),P411,0)</f>
        <v>0</v>
      </c>
      <c r="W411" s="116"/>
      <c r="X411" s="1092">
        <f>IF(AE411=0,AE411,AE411/D411)</f>
        <v>0</v>
      </c>
      <c r="Y411" s="1094"/>
      <c r="Z411" s="820"/>
      <c r="AA411" s="164">
        <f t="shared" si="140"/>
        <v>0</v>
      </c>
      <c r="AB411" s="164">
        <f t="shared" si="140"/>
        <v>0</v>
      </c>
      <c r="AC411" s="164"/>
      <c r="AD411" s="164">
        <f>SQRT(SUMSQ(IF(ISNA($G411*J411*BK411),0,$G411*J411*BK411),IF(ISNA($K411*N411*BN411),0,$K411*N411*BN411)))</f>
        <v>0</v>
      </c>
      <c r="AE411" s="151">
        <f>SQRT(SUMSQ(AA411:AD411))</f>
        <v>0</v>
      </c>
      <c r="AF411" s="1286">
        <f>R411*X411</f>
        <v>0</v>
      </c>
      <c r="AH411" s="564">
        <f>$G411*IF(ISNA(VLOOKUP($B411&amp;"; "&amp;$H$405&amp;", "&amp;H$406,'FE Fret'!$G:$U,10,FALSE)),0,VLOOKUP($B411&amp;"; "&amp;$H$405&amp;", "&amp;H$406,'FE Fret'!$G:$U,10,FALSE))
+$K411*IF(ISNA(VLOOKUP($B411&amp;"; "&amp;$L$405&amp;", "&amp;H$406,'FE Fret'!$G:$U,10,FALSE)),0,VLOOKUP($B411&amp;"; "&amp;$L$405&amp;", "&amp;H$406,'FE Fret'!$G:$U,10,FALSE))</f>
        <v>0</v>
      </c>
      <c r="AI411" s="565">
        <f>$G411*IF(ISNA(VLOOKUP($B411&amp;"; "&amp;$H$405&amp;", "&amp;I$406,'FE Fret'!$G:$U,10,FALSE)),0,VLOOKUP($B411&amp;"; "&amp;$H$405&amp;", "&amp;I$406,'FE Fret'!$G:$U,10,FALSE))
+$K411*IF(ISNA(VLOOKUP($B411&amp;"; "&amp;$L$405&amp;", "&amp;I$406,'FE Fret'!$G:$U,10,FALSE)),0,VLOOKUP($B411&amp;"; "&amp;$L$405&amp;", "&amp;I$406,'FE Fret'!$G:$U,10,FALSE))</f>
        <v>0</v>
      </c>
      <c r="AJ411" s="565">
        <f>$G411*IF(ISNA(VLOOKUP($B411&amp;"; "&amp;$H$405&amp;", "&amp;J$406,'FE Fret'!$G:$U,10,FALSE)),0,VLOOKUP($B411&amp;"; "&amp;$H$405&amp;", "&amp;J$406,'FE Fret'!$G:$U,10,FALSE))
+$K411*IF(ISNA(VLOOKUP($B411&amp;"; "&amp;$L$405&amp;", "&amp;J$406,'FE Fret'!$G:$U,10,FALSE)),0,VLOOKUP($B411&amp;"; "&amp;$L$405&amp;", "&amp;J$406,'FE Fret'!$G:$U,10,FALSE))</f>
        <v>0</v>
      </c>
      <c r="AK411" s="565">
        <f>$G411*IF(ISNA((VLOOKUP($B411&amp;"; "&amp;$H$405&amp;", "&amp;H$406,'FE Fret'!$G:$U,12,FALSE)+VLOOKUP($B411&amp;"; "&amp;$H$405&amp;", "&amp;H$406,'FE Fret'!$G:$U,11,FALSE))),0,(VLOOKUP($B411&amp;"; "&amp;$H$405&amp;", "&amp;H$406,'FE Fret'!$G:$U,12,FALSE)+VLOOKUP($B411&amp;"; "&amp;$H$405&amp;", "&amp;H$406,'FE Fret'!$G:$U,11,FALSE)))
+$K411*IF(ISNA((VLOOKUP($B411&amp;"; "&amp;$L$405&amp;", "&amp;H$406,'FE Fret'!$G:$U,12,FALSE)+VLOOKUP($B411&amp;"; "&amp;$L$405&amp;", "&amp;H$406,'FE Fret'!$G:$U,11,FALSE))),0,(VLOOKUP($B411&amp;"; "&amp;$L$405&amp;", "&amp;H$406,'FE Fret'!$G:$U,12,FALSE)+VLOOKUP($B411&amp;"; "&amp;$L$405&amp;", "&amp;H$406,'FE Fret'!$G:$U,11,FALSE)))</f>
        <v>0</v>
      </c>
      <c r="AL411" s="565">
        <f>$G411*IF(ISNA((VLOOKUP($B411&amp;"; "&amp;$H$405&amp;", "&amp;I$406,'FE Fret'!$G:$U,12,FALSE)+VLOOKUP($B411&amp;"; "&amp;$H$405&amp;", "&amp;I$406,'FE Fret'!$G:$U,11,FALSE))),0,(VLOOKUP($B411&amp;"; "&amp;$H$405&amp;", "&amp;I$406,'FE Fret'!$G:$U,12,FALSE)+VLOOKUP($B411&amp;"; "&amp;$H$405&amp;", "&amp;I$406,'FE Fret'!$G:$U,11,FALSE)))
+$K411*IF(ISNA((VLOOKUP($B411&amp;"; "&amp;$L$405&amp;", "&amp;I$406,'FE Fret'!$G:$U,12,FALSE)+VLOOKUP($B411&amp;"; "&amp;$L$405&amp;", "&amp;I$406,'FE Fret'!$G:$U,11,FALSE))),0,(VLOOKUP($B411&amp;"; "&amp;$L$405&amp;", "&amp;I$406,'FE Fret'!$G:$U,12,FALSE)+VLOOKUP($B411&amp;"; "&amp;$L$405&amp;", "&amp;I$406,'FE Fret'!$G:$U,11,FALSE)))</f>
        <v>0</v>
      </c>
      <c r="AM411" s="565">
        <f>$G411*IF(ISNA((VLOOKUP($B411&amp;"; "&amp;$H$405&amp;", "&amp;J$406,'FE Fret'!$G:$U,12,FALSE)+VLOOKUP($B411&amp;"; "&amp;$H$405&amp;", "&amp;J$406,'FE Fret'!$G:$U,11,FALSE))),0,(VLOOKUP($B411&amp;"; "&amp;$H$405&amp;", "&amp;J$406,'FE Fret'!$G:$U,12,FALSE)+VLOOKUP($B411&amp;"; "&amp;$H$405&amp;", "&amp;J$406,'FE Fret'!$G:$U,11,FALSE)))
+$K411*IF(ISNA((VLOOKUP($B411&amp;"; "&amp;$L$405&amp;", "&amp;J$406,'FE Fret'!$G:$U,12,FALSE)+VLOOKUP($B411&amp;"; "&amp;$L$405&amp;", "&amp;J$406,'FE Fret'!$G:$U,11,FALSE))),0,(VLOOKUP($B411&amp;"; "&amp;$L$405&amp;", "&amp;J$406,'FE Fret'!$G:$U,12,FALSE)+VLOOKUP($B411&amp;"; "&amp;$L$405&amp;", "&amp;J$406,'FE Fret'!$G:$U,11,FALSE)))</f>
        <v>0</v>
      </c>
      <c r="AN411" s="565">
        <f>$G411*IF(ISNA(VLOOKUP($B411&amp;"; "&amp;$H$405&amp;", "&amp;H$406,'FE Fret'!$G:$U,13,FALSE)),0,VLOOKUP($B411&amp;"; "&amp;$H$405&amp;", "&amp;H$406,'FE Fret'!$G:$U,13,FALSE))
+$K411*IF(ISNA(VLOOKUP($B411&amp;"; "&amp;$L$405&amp;", "&amp;H$406,'FE Fret'!$G:$U,13,FALSE)),0,VLOOKUP($B411&amp;"; "&amp;$L$405&amp;", "&amp;H$406,'FE Fret'!$G:$U,13,FALSE))</f>
        <v>0</v>
      </c>
      <c r="AO411" s="565">
        <f>$G411*IF(ISNA(VLOOKUP($B411&amp;"; "&amp;$H$405&amp;", "&amp;I$406,'FE Fret'!$G:$U,13,FALSE)),0,VLOOKUP($B411&amp;"; "&amp;$H$405&amp;", "&amp;I$406,'FE Fret'!$G:$U,13,FALSE))
+$K411*IF(ISNA(VLOOKUP($B411&amp;"; "&amp;$L$405&amp;", "&amp;I$406,'FE Fret'!$G:$U,13,FALSE)),0,VLOOKUP($B411&amp;"; "&amp;$L$405&amp;", "&amp;I$406,'FE Fret'!$G:$U,13,FALSE))</f>
        <v>0</v>
      </c>
      <c r="AP411" s="565">
        <f>$G411*IF(ISNA(VLOOKUP($B411&amp;"; "&amp;$H$405&amp;", "&amp;J$406,'FE Fret'!$G:$U,13,FALSE)),0,VLOOKUP($B411&amp;"; "&amp;$H$405&amp;", "&amp;J$406,'FE Fret'!$G:$U,13,FALSE))
+$K411*IF(ISNA(VLOOKUP($B411&amp;"; "&amp;$L$405&amp;", "&amp;J$406,'FE Fret'!$G:$U,13,FALSE)),0,VLOOKUP($B411&amp;"; "&amp;$L$405&amp;", "&amp;J$406,'FE Fret'!$G:$U,13,FALSE))</f>
        <v>0</v>
      </c>
      <c r="AQ411" s="565">
        <v>0</v>
      </c>
      <c r="AR411" s="565">
        <v>0</v>
      </c>
      <c r="AS411" s="565">
        <v>0</v>
      </c>
      <c r="AT411" s="566">
        <f t="shared" si="141"/>
        <v>0</v>
      </c>
      <c r="AU411" s="566">
        <f t="shared" si="141"/>
        <v>0</v>
      </c>
      <c r="AV411" s="566">
        <f t="shared" si="141"/>
        <v>0</v>
      </c>
      <c r="AW411" s="564">
        <f>$G411*IF(ISNA(VLOOKUP($B411&amp;"; "&amp;$H$405&amp;", "&amp;H$406,'FE Fret'!$G:$U,15,FALSE)),0,VLOOKUP($B411&amp;"; "&amp;$H$405&amp;", "&amp;H$406,'FE Fret'!$G:$U,15,FALSE))
+$K411*IF(ISNA(VLOOKUP($B411&amp;"; "&amp;$L$405&amp;", "&amp;H$406,'FE Fret'!$G:$U,15,FALSE)),0,VLOOKUP($B411&amp;"; "&amp;$L$405&amp;", "&amp;H$406,'FE Fret'!$G:$U,15,FALSE))</f>
        <v>0</v>
      </c>
      <c r="AX411" s="565">
        <f>$G411*IF(ISNA(VLOOKUP($B411&amp;"; "&amp;$H$405&amp;", "&amp;I$406,'FE Fret'!$G:$U,15,FALSE)),0,VLOOKUP($B411&amp;"; "&amp;$H$405&amp;", "&amp;I$406,'FE Fret'!$G:$U,15,FALSE))
+$K411*IF(ISNA(VLOOKUP($B411&amp;"; "&amp;$L$405&amp;", "&amp;I$406,'FE Fret'!$G:$U,15,FALSE)),0,VLOOKUP($B411&amp;"; "&amp;$L$405&amp;", "&amp;I$406,'FE Fret'!$G:$U,15,FALSE))</f>
        <v>0</v>
      </c>
      <c r="AY411" s="568">
        <f>$G411*IF(ISNA(VLOOKUP($B411&amp;"; "&amp;$H$405&amp;", "&amp;J$406,'FE Fret'!$G:$U,15,FALSE)),0,VLOOKUP($B411&amp;"; "&amp;$H$405&amp;", "&amp;J$406,'FE Fret'!$G:$U,15,FALSE))
+$K411*IF(ISNA(VLOOKUP($B411&amp;"; "&amp;$L$405&amp;", "&amp;J$406,'FE Fret'!$G:$U,15,FALSE)),0,VLOOKUP($B411&amp;"; "&amp;$L$405&amp;", "&amp;J$406,'FE Fret'!$G:$U,15,FALSE))</f>
        <v>0</v>
      </c>
      <c r="AZ411" s="565"/>
      <c r="BA411" s="565"/>
      <c r="BB411" s="565"/>
      <c r="BC411" s="565"/>
      <c r="BD411" s="565"/>
      <c r="BE411" s="565"/>
      <c r="BF411" s="565"/>
      <c r="BH411" s="1065">
        <f>IF($Y411&lt;&gt;"votre valeur :",IF(ISNA(VLOOKUP($Y411,Utilitaires!$N$566:$O$571,2,FALSE)),,VLOOKUP($Y411,Utilitaires!$N$566:$O$571,2,FALSE)),$Z411)</f>
        <v>0</v>
      </c>
      <c r="BI411" s="1124">
        <f>IF(ISNA(SQRT(SUMSQ(VLOOKUP($B411&amp;"; "&amp;$H$405&amp;", "&amp;H$406,'FE Fret'!$G:$U,7,FALSE),$BH411))),0,SQRT(SUMSQ(VLOOKUP($B411&amp;"; "&amp;$H$405&amp;", "&amp;H$406,'FE Fret'!$G:$U,7,FALSE),$BH411)))</f>
        <v>0</v>
      </c>
      <c r="BJ411" s="1124">
        <f>IF(ISNA(SQRT(SUMSQ(VLOOKUP($B411&amp;"; "&amp;$H$405&amp;", "&amp;I$406,'FE Fret'!$G:$U,7,FALSE),$BH411))),0,SQRT(SUMSQ(VLOOKUP($B411&amp;"; "&amp;$H$405&amp;", "&amp;I$406,'FE Fret'!$G:$U,7,FALSE),$BH411)))</f>
        <v>0</v>
      </c>
      <c r="BK411" s="1124">
        <f>IF(ISNA(SQRT(SUMSQ(VLOOKUP($B411&amp;"; "&amp;$H$405&amp;", "&amp;J$406,'FE Fret'!$G:$U,7,FALSE),$BH411))),0,SQRT(SUMSQ(VLOOKUP($B411&amp;"; "&amp;$H$405&amp;", "&amp;J$406,'FE Fret'!$G:$U,7,FALSE),$BH411)))</f>
        <v>0</v>
      </c>
      <c r="BL411" s="1124">
        <f>IF(ISNA(SQRT(SUMSQ(VLOOKUP($B411&amp;"; "&amp;$L$405&amp;", "&amp;L$406,'FE Fret'!$G:$U,7,FALSE),$BH411))),0,SQRT(SUMSQ(VLOOKUP($B411&amp;"; "&amp;$L$405&amp;", "&amp;L$406,'FE Fret'!$G:$U,7,FALSE),$BH411)))</f>
        <v>0</v>
      </c>
      <c r="BM411" s="1130">
        <f>IF(ISNA(SQRT(SUMSQ(VLOOKUP($B411&amp;"; "&amp;$L$405&amp;", "&amp;M$406,'FE Fret'!$G:$U,7,FALSE),$BH411))),0,SQRT(SUMSQ(VLOOKUP($B411&amp;"; "&amp;$L$405&amp;", "&amp;M$406,'FE Fret'!$G:$U,7,FALSE),$BH411)))</f>
        <v>0</v>
      </c>
      <c r="BN411" s="1130">
        <f>IF(ISNA(SQRT(SUMSQ(VLOOKUP($B411&amp;"; "&amp;$L$405&amp;", "&amp;N$406,'FE Fret'!$G:$U,7,FALSE),$BH411))),0,SQRT(SUMSQ(VLOOKUP($B411&amp;"; "&amp;$L$405&amp;", "&amp;N$406,'FE Fret'!$G:$U,7,FALSE),$BH411)))</f>
        <v>0</v>
      </c>
    </row>
    <row r="412" spans="1:72" ht="12.75" customHeight="1" outlineLevel="2">
      <c r="B412" s="154"/>
      <c r="C412" s="155"/>
      <c r="D412" s="221"/>
      <c r="E412" s="221"/>
      <c r="F412" s="155"/>
      <c r="G412" s="155"/>
      <c r="H412" s="155"/>
      <c r="I412" s="155"/>
      <c r="J412" s="155"/>
      <c r="K412" s="155"/>
      <c r="L412" s="155"/>
      <c r="M412" s="155"/>
      <c r="N412" s="155"/>
      <c r="O412" s="155"/>
      <c r="P412" s="169"/>
      <c r="Q412" s="155"/>
      <c r="R412" s="1344"/>
      <c r="W412" s="116"/>
      <c r="X412" s="143"/>
      <c r="Y412" s="144"/>
      <c r="Z412" s="144"/>
      <c r="AA412" s="144"/>
      <c r="AB412" s="164"/>
      <c r="AC412" s="164"/>
      <c r="AD412" s="164"/>
      <c r="AE412" s="164"/>
      <c r="AF412" s="1286"/>
      <c r="AH412" s="564"/>
      <c r="AI412" s="565"/>
      <c r="AJ412" s="565"/>
      <c r="AK412" s="565"/>
      <c r="AL412" s="565"/>
      <c r="AM412" s="565"/>
      <c r="AN412" s="565"/>
      <c r="AO412" s="565"/>
      <c r="AP412" s="565"/>
      <c r="AQ412" s="565"/>
      <c r="AR412" s="565"/>
      <c r="AS412" s="565"/>
      <c r="AT412" s="566"/>
      <c r="AU412" s="566"/>
      <c r="AV412" s="566"/>
      <c r="AW412" s="564"/>
      <c r="AX412" s="565"/>
      <c r="AY412" s="568"/>
      <c r="AZ412" s="565"/>
      <c r="BA412" s="565"/>
      <c r="BB412" s="565"/>
      <c r="BC412" s="565"/>
      <c r="BD412" s="565"/>
      <c r="BE412" s="565"/>
      <c r="BF412" s="565"/>
      <c r="BH412" s="1087"/>
      <c r="BI412" s="1075"/>
      <c r="BJ412" s="1131"/>
      <c r="BK412" s="1126"/>
      <c r="BL412" s="1075"/>
      <c r="BM412" s="1131"/>
      <c r="BN412" s="1153"/>
    </row>
    <row r="413" spans="1:72" ht="12.75" customHeight="1" outlineLevel="2">
      <c r="B413" s="1264" t="s">
        <v>348</v>
      </c>
      <c r="C413" s="197"/>
      <c r="D413" s="214">
        <f>SUM(D404:D412)</f>
        <v>154497.80000000002</v>
      </c>
      <c r="E413" s="214"/>
      <c r="F413" s="197"/>
      <c r="G413" s="197"/>
      <c r="H413" s="197"/>
      <c r="I413" s="197"/>
      <c r="J413" s="197"/>
      <c r="K413" s="197"/>
      <c r="L413" s="197"/>
      <c r="M413" s="197"/>
      <c r="N413" s="197"/>
      <c r="O413" s="202">
        <f>SUM(O407:O412)</f>
        <v>28479.079999999998</v>
      </c>
      <c r="P413" s="202">
        <f>SUM(P407:P412)</f>
        <v>116609.04000000001</v>
      </c>
      <c r="Q413" s="202">
        <f>SUM(Q407:Q412)</f>
        <v>9409.68</v>
      </c>
      <c r="R413" s="1311">
        <f>SUM(R407:R412)</f>
        <v>0</v>
      </c>
      <c r="W413" s="116"/>
      <c r="X413" s="1203">
        <f>IF(AE413=0,AE413,AE413/D413)</f>
        <v>0.44176372210639059</v>
      </c>
      <c r="Y413" s="199"/>
      <c r="Z413" s="203"/>
      <c r="AA413" s="203">
        <f>SQRT(SUMSQ(AA407:AA412))</f>
        <v>16133.266544653627</v>
      </c>
      <c r="AB413" s="203">
        <f>SQRT(SUMSQ(AB407:AB412))</f>
        <v>66070.922804218673</v>
      </c>
      <c r="AC413" s="203"/>
      <c r="AD413" s="203">
        <f>SQRT(SUMSQ(AD407:AD412))</f>
        <v>5711.5048371405592</v>
      </c>
      <c r="AE413" s="202">
        <f>SQRT(SUMSQ(AE407:AE412))</f>
        <v>68251.52318524872</v>
      </c>
      <c r="AF413" s="1311">
        <f>SQRT(SUMSQ(AF407:AF412))</f>
        <v>0</v>
      </c>
      <c r="AH413" s="1082">
        <f t="shared" ref="AH413:AS413" si="142">SUM(AH404:AH412)</f>
        <v>28479.079999999998</v>
      </c>
      <c r="AI413" s="572">
        <f t="shared" si="142"/>
        <v>116609.04000000001</v>
      </c>
      <c r="AJ413" s="572">
        <f t="shared" si="142"/>
        <v>9409.68</v>
      </c>
      <c r="AK413" s="572">
        <f t="shared" si="142"/>
        <v>0</v>
      </c>
      <c r="AL413" s="572">
        <f t="shared" si="142"/>
        <v>0</v>
      </c>
      <c r="AM413" s="572">
        <f t="shared" si="142"/>
        <v>0</v>
      </c>
      <c r="AN413" s="572">
        <f t="shared" si="142"/>
        <v>0</v>
      </c>
      <c r="AO413" s="572">
        <f t="shared" si="142"/>
        <v>0</v>
      </c>
      <c r="AP413" s="572">
        <f t="shared" si="142"/>
        <v>0</v>
      </c>
      <c r="AQ413" s="572">
        <f t="shared" si="142"/>
        <v>0</v>
      </c>
      <c r="AR413" s="572">
        <f t="shared" si="142"/>
        <v>0</v>
      </c>
      <c r="AS413" s="572">
        <f t="shared" si="142"/>
        <v>0</v>
      </c>
      <c r="AT413" s="573">
        <f t="shared" ref="AT413:AY413" si="143">SUM(AT407:AT412)</f>
        <v>28479.079999999998</v>
      </c>
      <c r="AU413" s="573">
        <f t="shared" si="143"/>
        <v>116609.04000000001</v>
      </c>
      <c r="AV413" s="573">
        <f t="shared" si="143"/>
        <v>9409.68</v>
      </c>
      <c r="AW413" s="1082">
        <f t="shared" si="143"/>
        <v>0</v>
      </c>
      <c r="AX413" s="572">
        <f t="shared" si="143"/>
        <v>0</v>
      </c>
      <c r="AY413" s="575">
        <f t="shared" si="143"/>
        <v>0</v>
      </c>
      <c r="AZ413" s="2447"/>
      <c r="BA413" s="2447"/>
      <c r="BB413" s="2447"/>
      <c r="BC413" s="2447"/>
      <c r="BD413" s="2447"/>
      <c r="BE413" s="2447"/>
      <c r="BF413" s="2447"/>
    </row>
    <row r="414" spans="1:72" s="130" customFormat="1" ht="15" customHeight="1" outlineLevel="2">
      <c r="A414" s="114"/>
      <c r="B414" s="256"/>
      <c r="C414" s="256"/>
      <c r="D414" s="256"/>
      <c r="E414" s="256"/>
      <c r="F414" s="256"/>
      <c r="G414" s="256"/>
      <c r="H414" s="256"/>
      <c r="I414" s="256"/>
      <c r="J414" s="256"/>
      <c r="K414" s="256"/>
      <c r="L414" s="116"/>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441"/>
      <c r="AI414" s="441"/>
      <c r="AJ414" s="441"/>
      <c r="AK414" s="441"/>
      <c r="AL414" s="441"/>
      <c r="AM414" s="441"/>
      <c r="AN414" s="441"/>
      <c r="AO414" s="441"/>
      <c r="AP414" s="441"/>
      <c r="AQ414" s="588"/>
      <c r="AR414" s="588"/>
      <c r="AS414" s="588"/>
      <c r="AT414" s="588"/>
      <c r="AU414" s="588"/>
      <c r="AV414" s="588"/>
      <c r="AW414" s="441"/>
      <c r="AX414" s="441"/>
      <c r="AY414" s="441"/>
      <c r="AZ414" s="441"/>
      <c r="BA414" s="441"/>
      <c r="BB414" s="441"/>
      <c r="BC414" s="441"/>
      <c r="BD414" s="441"/>
      <c r="BE414" s="441"/>
      <c r="BF414" s="441"/>
      <c r="BG414" s="114"/>
      <c r="BH414" s="109"/>
      <c r="BI414" s="109"/>
      <c r="BJ414" s="109"/>
      <c r="BK414" s="109"/>
    </row>
    <row r="415" spans="1:72" ht="15" outlineLevel="1" collapsed="1">
      <c r="AG415" s="130"/>
      <c r="AQ415" s="588"/>
      <c r="AR415" s="588"/>
      <c r="AS415" s="588"/>
      <c r="AT415" s="588"/>
      <c r="AU415" s="588"/>
      <c r="AV415" s="588"/>
      <c r="BH415" s="109"/>
      <c r="BI415" s="109"/>
      <c r="BJ415" s="109"/>
      <c r="BK415" s="109"/>
    </row>
    <row r="416" spans="1:72" s="109" customFormat="1" ht="15.75" customHeight="1" outlineLevel="1" collapsed="1">
      <c r="A416" s="114"/>
      <c r="B416" s="2842" t="s">
        <v>2231</v>
      </c>
      <c r="C416" s="2843"/>
      <c r="D416" s="2843"/>
      <c r="E416" s="2843"/>
      <c r="F416" s="2843"/>
      <c r="G416" s="2843"/>
      <c r="H416" s="2843"/>
      <c r="I416" s="2843"/>
      <c r="J416" s="2843"/>
      <c r="K416" s="2843"/>
      <c r="L416" s="2843"/>
      <c r="M416" s="2843"/>
      <c r="N416" s="2843"/>
      <c r="O416" s="2844"/>
      <c r="P416" s="130"/>
      <c r="Q416" s="130"/>
      <c r="R416" s="130"/>
      <c r="S416" s="130"/>
      <c r="T416" s="130"/>
      <c r="U416" s="130"/>
      <c r="V416" s="130"/>
      <c r="W416" s="130"/>
      <c r="X416" s="130"/>
      <c r="Y416" s="130"/>
      <c r="Z416" s="130"/>
      <c r="AA416" s="130"/>
      <c r="AB416" s="130"/>
      <c r="AC416" s="130"/>
      <c r="AD416" s="130"/>
      <c r="AE416" s="130"/>
      <c r="AF416" s="130"/>
      <c r="AG416" s="114"/>
      <c r="AH416" s="441"/>
      <c r="AI416" s="441"/>
      <c r="AJ416" s="441"/>
      <c r="AK416" s="441"/>
      <c r="AL416" s="441"/>
      <c r="AM416" s="441"/>
      <c r="AN416" s="441"/>
      <c r="AO416" s="441"/>
      <c r="AP416" s="441"/>
      <c r="AQ416" s="588"/>
      <c r="AR416" s="588"/>
      <c r="AS416" s="588"/>
      <c r="AT416" s="588"/>
      <c r="AU416" s="588"/>
      <c r="AV416" s="588"/>
      <c r="AW416" s="441"/>
      <c r="AX416" s="441"/>
      <c r="AY416" s="441"/>
      <c r="AZ416" s="441"/>
      <c r="BA416" s="441"/>
      <c r="BB416" s="441"/>
      <c r="BC416" s="441"/>
      <c r="BD416" s="441"/>
      <c r="BE416" s="441"/>
      <c r="BF416" s="441"/>
      <c r="BH416" s="114"/>
      <c r="BI416" s="114"/>
      <c r="BJ416" s="114"/>
      <c r="BK416" s="114"/>
    </row>
    <row r="417" spans="1:71" s="109" customFormat="1" ht="12.75" hidden="1" customHeight="1" outlineLevel="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441"/>
      <c r="AI417" s="441"/>
      <c r="AJ417" s="441"/>
      <c r="AK417" s="441"/>
      <c r="AL417" s="441"/>
      <c r="AM417" s="441"/>
      <c r="AN417" s="441"/>
      <c r="AO417" s="441"/>
      <c r="AP417" s="441"/>
      <c r="AQ417" s="588"/>
      <c r="AR417" s="588"/>
      <c r="AS417" s="588"/>
      <c r="AT417" s="588"/>
      <c r="AU417" s="588"/>
      <c r="AV417" s="588"/>
      <c r="AW417" s="441"/>
      <c r="AX417" s="441"/>
      <c r="AY417" s="441"/>
      <c r="AZ417" s="441"/>
      <c r="BA417" s="441"/>
      <c r="BB417" s="441"/>
      <c r="BC417" s="441"/>
      <c r="BD417" s="441"/>
      <c r="BE417" s="441"/>
      <c r="BF417" s="441"/>
      <c r="BH417" s="114"/>
      <c r="BI417" s="114"/>
      <c r="BJ417" s="114"/>
      <c r="BK417" s="114"/>
    </row>
    <row r="418" spans="1:71" ht="12.75" hidden="1" customHeight="1" outlineLevel="2">
      <c r="B418" s="139" t="s">
        <v>627</v>
      </c>
      <c r="C418" s="140"/>
      <c r="D418" s="1319"/>
      <c r="E418" s="1648"/>
      <c r="F418" s="1319"/>
      <c r="G418" s="141"/>
      <c r="H418" s="141"/>
      <c r="I418" s="141"/>
      <c r="J418" s="141"/>
      <c r="K418" s="141"/>
      <c r="L418" s="141"/>
      <c r="M418" s="141"/>
      <c r="N418" s="141"/>
      <c r="O418" s="141"/>
      <c r="P418" s="141"/>
      <c r="Q418" s="141"/>
      <c r="R418" s="141"/>
      <c r="S418" s="1319"/>
      <c r="T418" s="1319"/>
      <c r="U418" s="1859"/>
      <c r="X418" s="2636" t="s">
        <v>366</v>
      </c>
      <c r="Y418" s="2637"/>
      <c r="Z418" s="2637"/>
      <c r="AA418" s="2637"/>
      <c r="AB418" s="2637"/>
      <c r="AC418" s="2637"/>
      <c r="AD418" s="2637"/>
      <c r="AE418" s="2637"/>
      <c r="AF418" s="2638"/>
      <c r="AH418" s="2639" t="s">
        <v>441</v>
      </c>
      <c r="AI418" s="2640"/>
      <c r="AJ418" s="2640"/>
      <c r="AK418" s="2640"/>
      <c r="AL418" s="2640"/>
      <c r="AM418" s="2640"/>
      <c r="AN418" s="2640"/>
      <c r="AO418" s="2640"/>
      <c r="AP418" s="2640"/>
      <c r="AQ418" s="2640"/>
      <c r="AR418" s="2640"/>
      <c r="AS418" s="2640"/>
      <c r="AT418" s="2640"/>
      <c r="AU418" s="2640"/>
      <c r="AV418" s="2640"/>
      <c r="AW418" s="2640"/>
      <c r="AX418" s="2640"/>
      <c r="AY418" s="2641"/>
      <c r="AZ418" s="2448"/>
      <c r="BA418" s="2448"/>
      <c r="BB418" s="2448"/>
      <c r="BC418" s="2448"/>
      <c r="BD418" s="2448"/>
      <c r="BE418" s="2448"/>
      <c r="BF418" s="2448"/>
    </row>
    <row r="419" spans="1:71" s="116" customFormat="1" ht="12.75" hidden="1" customHeight="1" outlineLevel="2">
      <c r="A419" s="114"/>
      <c r="B419" s="143"/>
      <c r="C419" s="144"/>
      <c r="D419" s="1334" t="s">
        <v>308</v>
      </c>
      <c r="E419" s="1663"/>
      <c r="F419" s="1317"/>
      <c r="G419" s="144"/>
      <c r="H419" s="144"/>
      <c r="I419" s="144"/>
      <c r="J419" s="144"/>
      <c r="K419" s="144"/>
      <c r="L419" s="144"/>
      <c r="M419" s="144"/>
      <c r="N419" s="144"/>
      <c r="O419" s="144"/>
      <c r="P419" s="144"/>
      <c r="Q419" s="144"/>
      <c r="R419" s="144"/>
      <c r="S419" s="144"/>
      <c r="T419" s="144"/>
      <c r="U419" s="153" t="s">
        <v>275</v>
      </c>
      <c r="X419" s="1316"/>
      <c r="Y419" s="819"/>
      <c r="Z419" s="819"/>
      <c r="AA419" s="144"/>
      <c r="AB419" s="144"/>
      <c r="AC419" s="144"/>
      <c r="AD419" s="1317"/>
      <c r="AE419" s="145"/>
      <c r="AF419" s="1324" t="s">
        <v>275</v>
      </c>
      <c r="AH419" s="2642" t="s">
        <v>444</v>
      </c>
      <c r="AI419" s="2643"/>
      <c r="AJ419" s="2643"/>
      <c r="AK419" s="2643"/>
      <c r="AL419" s="2643"/>
      <c r="AM419" s="2643"/>
      <c r="AN419" s="2643"/>
      <c r="AO419" s="2643"/>
      <c r="AP419" s="2643"/>
      <c r="AQ419" s="2643"/>
      <c r="AR419" s="2643"/>
      <c r="AS419" s="2643"/>
      <c r="AT419" s="2643" t="s">
        <v>444</v>
      </c>
      <c r="AU419" s="2643"/>
      <c r="AV419" s="628"/>
      <c r="AW419" s="1288"/>
      <c r="AX419" s="566"/>
      <c r="AY419" s="1333"/>
      <c r="AZ419" s="2449"/>
      <c r="BA419" s="2449"/>
      <c r="BB419" s="2449"/>
      <c r="BC419" s="2449"/>
      <c r="BD419" s="2449"/>
      <c r="BE419" s="2449"/>
      <c r="BF419" s="2449"/>
      <c r="BH419" s="2616" t="s">
        <v>1648</v>
      </c>
      <c r="BI419" s="2617"/>
      <c r="BJ419" s="2617"/>
      <c r="BK419" s="2617"/>
      <c r="BL419" s="2617"/>
      <c r="BM419" s="2617"/>
      <c r="BN419" s="2617"/>
      <c r="BO419" s="2617"/>
      <c r="BP419" s="2617"/>
      <c r="BQ419" s="2617"/>
      <c r="BR419" s="2617"/>
      <c r="BS419" s="2618"/>
    </row>
    <row r="420" spans="1:71" s="127" customFormat="1" ht="12.75" hidden="1" customHeight="1" outlineLevel="2">
      <c r="A420" s="109"/>
      <c r="B420" s="536"/>
      <c r="C420" s="144"/>
      <c r="D420" s="1334" t="s">
        <v>409</v>
      </c>
      <c r="E420" s="1663"/>
      <c r="F420" s="1320" t="s">
        <v>452</v>
      </c>
      <c r="G420" s="1320" t="s">
        <v>343</v>
      </c>
      <c r="H420" s="2626" t="s">
        <v>1572</v>
      </c>
      <c r="I420" s="2627"/>
      <c r="J420" s="1320" t="s">
        <v>343</v>
      </c>
      <c r="K420" s="2626" t="s">
        <v>1573</v>
      </c>
      <c r="L420" s="2627"/>
      <c r="M420" s="1320" t="s">
        <v>343</v>
      </c>
      <c r="N420" s="2626" t="s">
        <v>1575</v>
      </c>
      <c r="O420" s="2627"/>
      <c r="P420" s="1320" t="s">
        <v>343</v>
      </c>
      <c r="Q420" s="2626" t="s">
        <v>1574</v>
      </c>
      <c r="R420" s="2628"/>
      <c r="S420" s="1334" t="s">
        <v>444</v>
      </c>
      <c r="T420" s="1334" t="s">
        <v>444</v>
      </c>
      <c r="U420" s="153" t="s">
        <v>276</v>
      </c>
      <c r="X420" s="1316" t="s">
        <v>316</v>
      </c>
      <c r="Y420" s="2629" t="s">
        <v>316</v>
      </c>
      <c r="Z420" s="2630"/>
      <c r="AA420" s="1656" t="s">
        <v>444</v>
      </c>
      <c r="AB420" s="1656" t="s">
        <v>444</v>
      </c>
      <c r="AC420" s="2419"/>
      <c r="AD420" s="1317"/>
      <c r="AE420" s="1337" t="s">
        <v>444</v>
      </c>
      <c r="AF420" s="1324" t="s">
        <v>276</v>
      </c>
      <c r="AH420" s="2631" t="s">
        <v>211</v>
      </c>
      <c r="AI420" s="2632"/>
      <c r="AJ420" s="2632"/>
      <c r="AK420" s="2632" t="s">
        <v>442</v>
      </c>
      <c r="AL420" s="2632"/>
      <c r="AM420" s="2632"/>
      <c r="AN420" s="2632" t="s">
        <v>267</v>
      </c>
      <c r="AO420" s="2632"/>
      <c r="AP420" s="2632"/>
      <c r="AQ420" s="2632" t="s">
        <v>443</v>
      </c>
      <c r="AR420" s="2632"/>
      <c r="AS420" s="2632"/>
      <c r="AT420" s="2648" t="s">
        <v>327</v>
      </c>
      <c r="AU420" s="2648"/>
      <c r="AV420" s="568"/>
      <c r="AW420" s="2631" t="s">
        <v>636</v>
      </c>
      <c r="AX420" s="2632"/>
      <c r="AY420" s="568"/>
      <c r="AZ420" s="2292"/>
      <c r="BA420" s="2292"/>
      <c r="BB420" s="2292"/>
      <c r="BC420" s="2292"/>
      <c r="BD420" s="2292"/>
      <c r="BE420" s="2292"/>
      <c r="BF420" s="2292"/>
      <c r="BH420" s="2614" t="s">
        <v>1646</v>
      </c>
      <c r="BI420" s="2645"/>
      <c r="BJ420" s="2645"/>
      <c r="BK420" s="2615"/>
      <c r="BL420" s="2614" t="s">
        <v>1644</v>
      </c>
      <c r="BM420" s="2645"/>
      <c r="BN420" s="2645"/>
      <c r="BO420" s="2615"/>
      <c r="BP420" s="2614" t="s">
        <v>1645</v>
      </c>
      <c r="BQ420" s="2645"/>
      <c r="BR420" s="2645"/>
      <c r="BS420" s="2615"/>
    </row>
    <row r="421" spans="1:71" s="116" customFormat="1" ht="12.75" hidden="1" customHeight="1" outlineLevel="2">
      <c r="A421" s="114"/>
      <c r="B421" s="536" t="s">
        <v>1628</v>
      </c>
      <c r="C421" s="144"/>
      <c r="D421" s="315"/>
      <c r="E421" s="315"/>
      <c r="F421" s="1321" t="s">
        <v>453</v>
      </c>
      <c r="G421" s="1321" t="s">
        <v>1621</v>
      </c>
      <c r="H421" s="1322" t="s">
        <v>411</v>
      </c>
      <c r="I421" s="1322" t="s">
        <v>257</v>
      </c>
      <c r="J421" s="1321" t="s">
        <v>790</v>
      </c>
      <c r="K421" s="1322" t="s">
        <v>411</v>
      </c>
      <c r="L421" s="1322" t="s">
        <v>257</v>
      </c>
      <c r="M421" s="1321" t="s">
        <v>791</v>
      </c>
      <c r="N421" s="1322" t="s">
        <v>411</v>
      </c>
      <c r="O421" s="1322" t="s">
        <v>257</v>
      </c>
      <c r="P421" s="1321" t="s">
        <v>213</v>
      </c>
      <c r="Q421" s="1322" t="s">
        <v>411</v>
      </c>
      <c r="R421" s="1322" t="s">
        <v>257</v>
      </c>
      <c r="S421" s="1318" t="s">
        <v>411</v>
      </c>
      <c r="T421" s="1318" t="s">
        <v>257</v>
      </c>
      <c r="U421" s="153" t="s">
        <v>444</v>
      </c>
      <c r="X421" s="1316" t="s">
        <v>1649</v>
      </c>
      <c r="Y421" s="2646" t="s">
        <v>1650</v>
      </c>
      <c r="Z421" s="2647"/>
      <c r="AA421" s="1662" t="s">
        <v>411</v>
      </c>
      <c r="AB421" s="1662" t="s">
        <v>257</v>
      </c>
      <c r="AC421" s="1662"/>
      <c r="AD421" s="1332"/>
      <c r="AE421" s="162" t="s">
        <v>327</v>
      </c>
      <c r="AF421" s="1324" t="s">
        <v>444</v>
      </c>
      <c r="AH421" s="1331" t="s">
        <v>411</v>
      </c>
      <c r="AI421" s="1332" t="s">
        <v>257</v>
      </c>
      <c r="AJ421" s="1332"/>
      <c r="AK421" s="1332" t="s">
        <v>411</v>
      </c>
      <c r="AL421" s="1332" t="s">
        <v>257</v>
      </c>
      <c r="AM421" s="1332"/>
      <c r="AN421" s="1332" t="s">
        <v>411</v>
      </c>
      <c r="AO421" s="1332" t="s">
        <v>257</v>
      </c>
      <c r="AP421" s="1332"/>
      <c r="AQ421" s="1332" t="s">
        <v>411</v>
      </c>
      <c r="AR421" s="1332" t="s">
        <v>257</v>
      </c>
      <c r="AS421" s="1332"/>
      <c r="AT421" s="581" t="s">
        <v>411</v>
      </c>
      <c r="AU421" s="581" t="s">
        <v>257</v>
      </c>
      <c r="AV421" s="582"/>
      <c r="AW421" s="1331" t="s">
        <v>411</v>
      </c>
      <c r="AX421" s="1332" t="s">
        <v>257</v>
      </c>
      <c r="AY421" s="1333"/>
      <c r="AZ421" s="2449"/>
      <c r="BA421" s="2449"/>
      <c r="BB421" s="2449"/>
      <c r="BC421" s="2449"/>
      <c r="BD421" s="2449"/>
      <c r="BE421" s="2449"/>
      <c r="BF421" s="2449"/>
      <c r="BH421" s="1065"/>
      <c r="BI421" s="1065"/>
      <c r="BJ421" s="1065"/>
      <c r="BK421" s="1065"/>
      <c r="BL421" s="1124"/>
      <c r="BM421" s="1068"/>
      <c r="BN421" s="1068"/>
      <c r="BO421" s="1068"/>
      <c r="BP421" s="1069"/>
      <c r="BQ421" s="1070"/>
      <c r="BR421" s="1070"/>
      <c r="BS421" s="1071"/>
    </row>
    <row r="422" spans="1:71" s="116" customFormat="1" ht="12.75" hidden="1" customHeight="1" outlineLevel="2">
      <c r="A422" s="114"/>
      <c r="B422" s="143" t="s">
        <v>1630</v>
      </c>
      <c r="C422" s="144"/>
      <c r="D422" s="315">
        <f>SUM(S422,T422)</f>
        <v>0</v>
      </c>
      <c r="E422" s="315"/>
      <c r="F422" s="344"/>
      <c r="G422" s="117"/>
      <c r="H422" s="335" t="e">
        <f>VLOOKUP($B422&amp;"; "&amp;$H$420&amp;", "&amp;H$421,'FE Energie'!$G:$U,9,FALSE)</f>
        <v>#N/A</v>
      </c>
      <c r="I422" s="335" t="e">
        <f>VLOOKUP($B422&amp;"; "&amp;$H$420&amp;", "&amp;I$421,'FE Energie'!$G:$U,9,FALSE)</f>
        <v>#N/A</v>
      </c>
      <c r="J422" s="117"/>
      <c r="K422" s="223">
        <f>VLOOKUP($B422&amp;"; "&amp;$K$420&amp;", "&amp;K$421,'FE Energie'!$G:$U,9,FALSE)</f>
        <v>7.8399999999999997E-2</v>
      </c>
      <c r="L422" s="223">
        <f>VLOOKUP($B422&amp;"; "&amp;$K$420&amp;", "&amp;L$421,'FE Energie'!$G:$U,9,FALSE)</f>
        <v>0.19500000000000001</v>
      </c>
      <c r="M422" s="117"/>
      <c r="N422" s="217">
        <f>VLOOKUP($B422&amp;"; "&amp;$N$420&amp;", "&amp;N$421,'FE Energie'!$G:$U,9,FALSE)</f>
        <v>916</v>
      </c>
      <c r="O422" s="217">
        <f>VLOOKUP($B422&amp;"; "&amp;$N$420&amp;", "&amp;O$421,'FE Energie'!$G:$U,9,FALSE)</f>
        <v>2269</v>
      </c>
      <c r="P422" s="117"/>
      <c r="Q422" s="223">
        <f>VLOOKUP($B422&amp;"; "&amp;$Q$420&amp;", "&amp;Q$421,'FE Energie'!$G:$U,9,FALSE)</f>
        <v>0.75800000000000001</v>
      </c>
      <c r="R422" s="223">
        <f>VLOOKUP($B422&amp;"; "&amp;$Q$420&amp;", "&amp;R$421,'FE Energie'!$G:$U,9,FALSE)</f>
        <v>1.88</v>
      </c>
      <c r="S422" s="566">
        <f>IF(ISNA(G422*H422),0,G422*H422)+IF(ISNA(J422*K422),0,J422*K422)+IF(ISNA(M422*N422),0,M422*N422)+IF(ISNA(P422*Q422),0,P422*Q422)</f>
        <v>0</v>
      </c>
      <c r="T422" s="566">
        <f>IF(ISNA(G422*I422),0,G422*I422)+IF(ISNA(J422*L422),0,J422*L422)+IF(ISNA(M422*O422),0,M422*O422)+IF(ISNA(P422*R422),0,P422*R422)</f>
        <v>0</v>
      </c>
      <c r="U422" s="1286">
        <f>IF(OR(F422=Utilitaires!$I$572,F422=Utilitaires!$I$577),T422,0)</f>
        <v>0</v>
      </c>
      <c r="X422" s="1092">
        <f>IF(AE422=0,AE422,AE422/(S422+T422))</f>
        <v>0</v>
      </c>
      <c r="Y422" s="343"/>
      <c r="Z422" s="820"/>
      <c r="AA422" s="164">
        <f>SQRT(SUMSQ(IF(ISNA($G422*H422*BL422),0,$G422*H422*BL422),IF(ISNA($J422*K422*BM422),0,$J422*K422*BM422),IF(ISNA($M422*N422*BN422),0,$M422*N422*BN422),IF(ISNA($P422*Q422*BO422),0,$P422*Q422*BO422)))</f>
        <v>0</v>
      </c>
      <c r="AB422" s="164">
        <f>SQRT(SUMSQ(IF(ISNA($G422*I422*BP422),0,$G422*I422*BP422),IF(ISNA($J422*L422*BQ422),0,$J422*L422*BQ422),IF(ISNA($M422*O422*BR422),0,$M422*O422*BR422),IF(ISNA($P422*R422*BS422),0,$P422*R422*BS422)))</f>
        <v>0</v>
      </c>
      <c r="AC422" s="164"/>
      <c r="AD422" s="164"/>
      <c r="AE422" s="152">
        <f>SQRT(SUMSQ(AA422,AB422))</f>
        <v>0</v>
      </c>
      <c r="AF422" s="165">
        <f>U422*X422</f>
        <v>0</v>
      </c>
      <c r="AH422" s="564">
        <f>$G422*IF(ISNA(VLOOKUP($B422&amp;"; "&amp;$H$420&amp;", "&amp;H$421,'FE Energie'!$G:$U,10,FALSE)),0,VLOOKUP($B422&amp;"; "&amp;$H$420&amp;", "&amp;H$421,'FE Energie'!$G:$U,10,FALSE))
+$J422*IF(ISNA(VLOOKUP($B422&amp;"; "&amp;$K$420&amp;", "&amp;H$421,'FE Energie'!$G:$U,10,FALSE)),0,VLOOKUP($B422&amp;"; "&amp;$K$420&amp;", "&amp;H$421,'FE Energie'!$G:$U,10,FALSE))
+$M422*IF(ISNA(VLOOKUP($B422&amp;"; "&amp;$N$420&amp;", "&amp;H$421,'FE Energie'!$G:$U,10,FALSE)),0,VLOOKUP($B422&amp;"; "&amp;$N$420&amp;", "&amp;H$421,'FE Energie'!$G:$U,10,FALSE))
+$P422*IF(ISNA(VLOOKUP($B422&amp;"; "&amp;$Q$420&amp;", "&amp;H$421,'FE Energie'!$G:$U,10,FALSE)),0,VLOOKUP($B422&amp;"; "&amp;$Q$420&amp;", "&amp;H$421,'FE Energie'!$G:$U,10,FALSE))</f>
        <v>0</v>
      </c>
      <c r="AI422" s="565">
        <f>$G422*IF(ISNA(VLOOKUP($B422&amp;"; "&amp;$H$420&amp;", "&amp;I$421,'FE Energie'!$G:$U,10,FALSE)),0,VLOOKUP($B422&amp;"; "&amp;$H$420&amp;", "&amp;I$421,'FE Energie'!$G:$U,10,FALSE))
+$J422*IF(ISNA(VLOOKUP($B422&amp;"; "&amp;$K$420&amp;", "&amp;I$421,'FE Energie'!$G:$U,10,FALSE)),0,VLOOKUP($B422&amp;"; "&amp;$K$420&amp;", "&amp;I$421,'FE Energie'!$G:$U,10,FALSE))
+$M422*IF(ISNA(VLOOKUP($B422&amp;"; "&amp;$N$420&amp;", "&amp;I$421,'FE Energie'!$G:$U,10,FALSE)),0,VLOOKUP($B422&amp;"; "&amp;$N$420&amp;", "&amp;I$421,'FE Energie'!$G:$U,10,FALSE))
+$P422*IF(ISNA(VLOOKUP($B422&amp;"; "&amp;$Q$420&amp;", "&amp;I$421,'FE Energie'!$G:$U,10,FALSE)),0,VLOOKUP($B422&amp;"; "&amp;$Q$420&amp;", "&amp;I$421,'FE Energie'!$G:$U,10,FALSE))</f>
        <v>0</v>
      </c>
      <c r="AJ422" s="565"/>
      <c r="AK422" s="565">
        <f>$G422*IF(ISNA((VLOOKUP($B422&amp;"; "&amp;$H$420&amp;", "&amp;H$421,'FE Energie'!$G:$U,11,FALSE)+VLOOKUP($B422&amp;"; "&amp;$H$420&amp;", "&amp;H$421,'FE Energie'!$G:$U,12,FALSE))),0,(VLOOKUP($B422&amp;"; "&amp;$H$420&amp;", "&amp;H$421,'FE Energie'!$G:$U,11,FALSE)+VLOOKUP($B422&amp;"; "&amp;$H$420&amp;", "&amp;H$421,'FE Energie'!$G:$U,12,FALSE)))
+$J422*IF(ISNA((VLOOKUP($B422&amp;"; "&amp;$K$420&amp;", "&amp;H$421,'FE Energie'!$G:$U,11,FALSE)+VLOOKUP($B422&amp;"; "&amp;$K$420&amp;", "&amp;H$421,'FE Energie'!$G:$U,12,FALSE))),0,(VLOOKUP($B422&amp;"; "&amp;$K$420&amp;", "&amp;H$421,'FE Energie'!$G:$U,11,FALSE)+VLOOKUP($B422&amp;"; "&amp;$K$420&amp;", "&amp;H$421,'FE Energie'!$G:$U,12,FALSE)))
+$M422*IF(ISNA((VLOOKUP($B422&amp;"; "&amp;$N$420&amp;", "&amp;H$421,'FE Energie'!$G:$U,11,FALSE)+VLOOKUP($B422&amp;"; "&amp;$N$420&amp;", "&amp;H$421,'FE Energie'!$G:$U,12,FALSE))),0,(VLOOKUP($B422&amp;"; "&amp;$N$420&amp;", "&amp;H$421,'FE Energie'!$G:$U,11,FALSE)+VLOOKUP($B422&amp;"; "&amp;$N$420&amp;", "&amp;H$421,'FE Energie'!$G:$U,12,FALSE)))
+$P422*IF(ISNA((VLOOKUP($B422&amp;"; "&amp;$Q$420&amp;", "&amp;H$421,'FE Energie'!$G:$U,11,FALSE)+VLOOKUP($B422&amp;"; "&amp;$Q$420&amp;", "&amp;H$421,'FE Energie'!$G:$U,12,FALSE))),0,(VLOOKUP($B422&amp;"; "&amp;$Q$420&amp;", "&amp;H$421,'FE Energie'!$G:$U,11,FALSE)+VLOOKUP($B422&amp;"; "&amp;$Q$420&amp;", "&amp;H$421,'FE Energie'!$G:$U,12,FALSE)))</f>
        <v>0</v>
      </c>
      <c r="AL422" s="565">
        <f>$G422*IF(ISNA((VLOOKUP($B422&amp;"; "&amp;$H$420&amp;", "&amp;I$421,'FE Energie'!$G:$U,11,FALSE)+VLOOKUP($B422&amp;"; "&amp;$H$420&amp;", "&amp;I$421,'FE Energie'!$G:$U,12,FALSE))),0,(VLOOKUP($B422&amp;"; "&amp;$H$420&amp;", "&amp;I$421,'FE Energie'!$G:$U,11,FALSE)+VLOOKUP($B422&amp;"; "&amp;$H$420&amp;", "&amp;I$421,'FE Energie'!$G:$U,12,FALSE)))
+$J422*IF(ISNA((VLOOKUP($B422&amp;"; "&amp;$K$420&amp;", "&amp;I$421,'FE Energie'!$G:$U,11,FALSE)+VLOOKUP($B422&amp;"; "&amp;$K$420&amp;", "&amp;I$421,'FE Energie'!$G:$U,12,FALSE))),0,(VLOOKUP($B422&amp;"; "&amp;$K$420&amp;", "&amp;I$421,'FE Energie'!$G:$U,11,FALSE)+VLOOKUP($B422&amp;"; "&amp;$K$420&amp;", "&amp;I$421,'FE Energie'!$G:$U,12,FALSE)))
+$M422*IF(ISNA((VLOOKUP($B422&amp;"; "&amp;$N$420&amp;", "&amp;I$421,'FE Energie'!$G:$U,11,FALSE)+VLOOKUP($B422&amp;"; "&amp;$N$420&amp;", "&amp;I$421,'FE Energie'!$G:$U,12,FALSE))),0,(VLOOKUP($B422&amp;"; "&amp;$N$420&amp;", "&amp;I$421,'FE Energie'!$G:$U,11,FALSE)+VLOOKUP($B422&amp;"; "&amp;$N$420&amp;", "&amp;I$421,'FE Energie'!$G:$U,12,FALSE)))
+$P422*IF(ISNA((VLOOKUP($B422&amp;"; "&amp;$Q$420&amp;", "&amp;I$421,'FE Energie'!$G:$U,11,FALSE)+VLOOKUP($B422&amp;"; "&amp;$Q$420&amp;", "&amp;I$421,'FE Energie'!$G:$U,12,FALSE))),0,(VLOOKUP($B422&amp;"; "&amp;$Q$420&amp;", "&amp;I$421,'FE Energie'!$G:$U,11,FALSE)+VLOOKUP($B422&amp;"; "&amp;$Q$420&amp;", "&amp;I$421,'FE Energie'!$G:$U,12,FALSE)))</f>
        <v>0</v>
      </c>
      <c r="AM422" s="565"/>
      <c r="AN422" s="565">
        <f>$G422*IF(ISNA(VLOOKUP($B422&amp;"; "&amp;$H$420&amp;", "&amp;H$421,'FE Energie'!$G:$U,13,FALSE)),0,VLOOKUP($B422&amp;"; "&amp;$H$420&amp;", "&amp;H$421,'FE Energie'!$G:$U,13,FALSE))
+$J422*IF(ISNA(VLOOKUP($B422&amp;"; "&amp;$K$420&amp;", "&amp;H$421,'FE Energie'!$G:$U,13,FALSE)),0,VLOOKUP($B422&amp;"; "&amp;$K$420&amp;", "&amp;H$421,'FE Energie'!$G:$U,13,FALSE))
+$M422*IF(ISNA(VLOOKUP($B422&amp;"; "&amp;$N$420&amp;", "&amp;H$421,'FE Energie'!$G:$U,13,FALSE)),0,VLOOKUP($B422&amp;"; "&amp;$N$420&amp;", "&amp;H$421,'FE Energie'!$G:$U,13,FALSE))
+$P422*IF(ISNA(VLOOKUP($B422&amp;"; "&amp;$Q$420&amp;", "&amp;H$421,'FE Energie'!$G:$U,13,FALSE)),0,VLOOKUP($B422&amp;"; "&amp;$Q$420&amp;", "&amp;H$421,'FE Energie'!$G:$U,13,FALSE))</f>
        <v>0</v>
      </c>
      <c r="AO422" s="565">
        <f>$G422*IF(ISNA(VLOOKUP($B422&amp;"; "&amp;$H$420&amp;", "&amp;I$421,'FE Energie'!$G:$U,13,FALSE)),0,VLOOKUP($B422&amp;"; "&amp;$H$420&amp;", "&amp;I$421,'FE Energie'!$G:$U,13,FALSE))
+$J422*IF(ISNA(VLOOKUP($B422&amp;"; "&amp;$K$420&amp;", "&amp;I$421,'FE Energie'!$G:$U,13,FALSE)),0,VLOOKUP($B422&amp;"; "&amp;$K$420&amp;", "&amp;I$421,'FE Energie'!$G:$U,13,FALSE))
+$M422*IF(ISNA(VLOOKUP($B422&amp;"; "&amp;$N$420&amp;", "&amp;I$421,'FE Energie'!$G:$U,13,FALSE)),0,VLOOKUP($B422&amp;"; "&amp;$N$420&amp;", "&amp;I$421,'FE Energie'!$G:$U,13,FALSE))
+$P422*IF(ISNA(VLOOKUP($B422&amp;"; "&amp;$Q$420&amp;", "&amp;I$421,'FE Energie'!$G:$U,13,FALSE)),0,VLOOKUP($B422&amp;"; "&amp;$Q$420&amp;", "&amp;I$421,'FE Energie'!$G:$U,13,FALSE))</f>
        <v>0</v>
      </c>
      <c r="AP422" s="565"/>
      <c r="AQ422" s="565">
        <f>$G422*IF(ISNA(VLOOKUP($B422&amp;"; "&amp;$H$420&amp;", "&amp;H$421,'FE Energie'!$G:$U,14,FALSE)),0,VLOOKUP($B422&amp;"; "&amp;$H$420&amp;", "&amp;H$421,'FE Energie'!$G:$U,14,FALSE))
+$J422*IF(ISNA(VLOOKUP($B422&amp;"; "&amp;$K$420&amp;", "&amp;H$421,'FE Energie'!$G:$U,14,FALSE)),0,VLOOKUP($B422&amp;"; "&amp;$K$420&amp;", "&amp;H$421,'FE Energie'!$G:$U,14,FALSE))
+$M422*IF(ISNA(VLOOKUP($B422&amp;"; "&amp;$N$420&amp;", "&amp;H$421,'FE Energie'!$G:$U,14,FALSE)),0,VLOOKUP($B422&amp;"; "&amp;$N$420&amp;", "&amp;H$421,'FE Energie'!$G:$U,14,FALSE))
+$P422*IF(ISNA(VLOOKUP($B422&amp;"; "&amp;$Q$420&amp;", "&amp;H$421,'FE Energie'!$G:$U,14,FALSE)),0,VLOOKUP($B422&amp;"; "&amp;$Q$420&amp;", "&amp;H$421,'FE Energie'!$G:$U,14,FALSE))</f>
        <v>0</v>
      </c>
      <c r="AR422" s="565">
        <f>$G422*IF(ISNA(VLOOKUP($B422&amp;"; "&amp;$H$420&amp;", "&amp;I$421,'FE Energie'!$G:$U,14,FALSE)),0,VLOOKUP($B422&amp;"; "&amp;$H$420&amp;", "&amp;I$421,'FE Energie'!$G:$U,14,FALSE))
+$J422*IF(ISNA(VLOOKUP($B422&amp;"; "&amp;$K$420&amp;", "&amp;I$421,'FE Energie'!$G:$U,14,FALSE)),0,VLOOKUP($B422&amp;"; "&amp;$K$420&amp;", "&amp;I$421,'FE Energie'!$G:$U,14,FALSE))
+$M422*IF(ISNA(VLOOKUP($B422&amp;"; "&amp;$N$420&amp;", "&amp;I$421,'FE Energie'!$G:$U,14,FALSE)),0,VLOOKUP($B422&amp;"; "&amp;$N$420&amp;", "&amp;I$421,'FE Energie'!$G:$U,14,FALSE))
+$P422*IF(ISNA(VLOOKUP($B422&amp;"; "&amp;$Q$420&amp;", "&amp;I$421,'FE Energie'!$G:$U,14,FALSE)),0,VLOOKUP($B422&amp;"; "&amp;$Q$420&amp;", "&amp;I$421,'FE Energie'!$G:$U,14,FALSE))</f>
        <v>0</v>
      </c>
      <c r="AS422" s="565"/>
      <c r="AT422" s="566">
        <f>SUM(AH422,AK422,AN422,AQ422)</f>
        <v>0</v>
      </c>
      <c r="AU422" s="566">
        <f>SUM(AI422,AL422,AO422,AR422)</f>
        <v>0</v>
      </c>
      <c r="AV422" s="567"/>
      <c r="AW422" s="564">
        <f>$G422*IF(ISNA(VLOOKUP($B422&amp;"; "&amp;$H$420&amp;", "&amp;H$421,'FE Energie'!$G:$U,15,FALSE)),0,VLOOKUP($B422&amp;"; "&amp;$H$420&amp;", "&amp;H$421,'FE Energie'!$G:$U,15,FALSE))
+$J422*IF(ISNA(VLOOKUP($B422&amp;"; "&amp;$K$420&amp;", "&amp;H$421,'FE Energie'!$G:$U,15,FALSE)),0,VLOOKUP($B422&amp;"; "&amp;$K$420&amp;", "&amp;H$421,'FE Energie'!$G:$U,15,FALSE))
+$M422*IF(ISNA(VLOOKUP($B422&amp;"; "&amp;$N$420&amp;", "&amp;H$421,'FE Energie'!$G:$U,15,FALSE)),0,VLOOKUP($B422&amp;"; "&amp;$N$420&amp;", "&amp;H$421,'FE Energie'!$G:$U,15,FALSE))
+$P422*IF(ISNA(VLOOKUP($B422&amp;"; "&amp;$Q$420&amp;", "&amp;H$421,'FE Energie'!$G:$U,15,FALSE)),0,VLOOKUP($B422&amp;"; "&amp;$Q$420&amp;", "&amp;H$421,'FE Energie'!$G:$U,15,FALSE))</f>
        <v>0</v>
      </c>
      <c r="AX422" s="565">
        <f>$G422*IF(ISNA(VLOOKUP($B422&amp;"; "&amp;$H$420&amp;", "&amp;I$421,'FE Energie'!$G:$U,15,FALSE)),0,VLOOKUP($B422&amp;"; "&amp;$H$420&amp;", "&amp;I$421,'FE Energie'!$G:$U,15,FALSE))
+$J422*IF(ISNA(VLOOKUP($B422&amp;"; "&amp;$K$420&amp;", "&amp;I$421,'FE Energie'!$G:$U,15,FALSE)),0,VLOOKUP($B422&amp;"; "&amp;$K$420&amp;", "&amp;I$421,'FE Energie'!$G:$U,15,FALSE))
+$M422*IF(ISNA(VLOOKUP($B422&amp;"; "&amp;$N$420&amp;", "&amp;I$421,'FE Energie'!$G:$U,15,FALSE)),0,VLOOKUP($B422&amp;"; "&amp;$N$420&amp;", "&amp;I$421,'FE Energie'!$G:$U,15,FALSE))
+$P422*IF(ISNA(VLOOKUP($B422&amp;"; "&amp;$Q$420&amp;", "&amp;I$421,'FE Energie'!$G:$U,15,FALSE)),0,VLOOKUP($B422&amp;"; "&amp;$Q$420&amp;", "&amp;I$421,'FE Energie'!$G:$U,15,FALSE))</f>
        <v>0</v>
      </c>
      <c r="AY422" s="568"/>
      <c r="AZ422" s="2292"/>
      <c r="BA422" s="2292"/>
      <c r="BB422" s="2292"/>
      <c r="BC422" s="2292"/>
      <c r="BD422" s="2292"/>
      <c r="BE422" s="2292"/>
      <c r="BF422" s="2292"/>
      <c r="BH422" s="1065">
        <f>IF($Y422&lt;&gt;"votre valeur :",IF(ISNA(VLOOKUP($Y422,Utilitaires!$N$566:$O$571,2,FALSE)),,VLOOKUP($Y422,Utilitaires!$N$566:$O$571,2,FALSE)),$Z422)</f>
        <v>0</v>
      </c>
      <c r="BI422" s="1065">
        <f>IF($Y422&lt;&gt;"votre valeur :",IF(ISNA(VLOOKUP($Y422,Utilitaires!$N$566:$O$571,2,FALSE)),,VLOOKUP($Y422,Utilitaires!$N$566:$O$571,2,FALSE)),$Z422)</f>
        <v>0</v>
      </c>
      <c r="BJ422" s="1065">
        <f>IF($Y422&lt;&gt;"votre valeur :",IF(ISNA(VLOOKUP($Y422,Utilitaires!$N$566:$O$571,2,FALSE)),,VLOOKUP($Y422,Utilitaires!$N$566:$O$571,2,FALSE)),$Z422)</f>
        <v>0</v>
      </c>
      <c r="BK422" s="1065">
        <f>IF($Y422&lt;&gt;"votre valeur :",IF(ISNA(VLOOKUP($Y422,Utilitaires!$N$566:$O$571,2,FALSE)),,VLOOKUP($Y422,Utilitaires!$N$566:$O$571,2,FALSE)),$Z422)</f>
        <v>0</v>
      </c>
      <c r="BL422" s="1124">
        <f>IF(ISNA(SQRT(SUMSQ(VLOOKUP($B422&amp;"; "&amp;$H$420&amp;", "&amp;$H$421,'FE Energie'!$G:$U,7,FALSE),$BH422))),0,SQRT(SUMSQ(VLOOKUP($B422&amp;"; "&amp;$H$420&amp;", "&amp;$H$421,'FE Energie'!$G:$U,7,FALSE),$BH422)))</f>
        <v>0</v>
      </c>
      <c r="BM422" s="1068">
        <f>IF(ISNA(SQRT(SUMSQ(VLOOKUP($B422&amp;"; "&amp;$K$420&amp;", "&amp;$K$421,'FE Energie'!$G:$U,7,FALSE),$BI422))),0,SQRT(SUMSQ(VLOOKUP($B422&amp;"; "&amp;$K$420&amp;", "&amp;$K$421,'FE Energie'!$G:$U,7,FALSE),$BI422)))</f>
        <v>0.05</v>
      </c>
      <c r="BN422" s="1068">
        <f>IF(ISNA(SQRT(SUMSQ(VLOOKUP($B422&amp;"; "&amp;$N$420&amp;", "&amp;$N$421,'FE Energie'!$G:$U,7,FALSE),$BJ422))),0,SQRT(SUMSQ(VLOOKUP($B422&amp;"; "&amp;$N$420&amp;", "&amp;$N$421,'FE Energie'!$G:$U,7,FALSE),$BJ422)))</f>
        <v>0.05</v>
      </c>
      <c r="BO422" s="1068">
        <f>IF(ISNA(SQRT(SUMSQ(VLOOKUP($B422&amp;"; "&amp;$Q$420&amp;", "&amp;$Q$421,'FE Energie'!$G:$U,7,FALSE),$BK422))),0,SQRT(SUMSQ(VLOOKUP($B422&amp;"; "&amp;$Q$420&amp;", "&amp;$Q$421,'FE Energie'!$G:$U,7,FALSE),$BK422)))</f>
        <v>0.1</v>
      </c>
      <c r="BP422" s="1069">
        <f>IF(ISNA(SQRT(SUMSQ(VLOOKUP($B422&amp;"; "&amp;$H$420&amp;", "&amp;$I$421,'FE Energie'!$G:$U,7,FALSE),$BH422))),0,SQRT(SUMSQ(VLOOKUP($B422&amp;"; "&amp;$H$420&amp;", "&amp;$I$421,'FE Energie'!$G:$U,7,FALSE),$BH422)))</f>
        <v>0</v>
      </c>
      <c r="BQ422" s="1070">
        <f>IF(ISNA(SQRT(SUMSQ(VLOOKUP($B422&amp;"; "&amp;$K$420&amp;", "&amp;$L$421,'FE Energie'!$G:$U,7,FALSE),$BI422))),0,SQRT(SUMSQ(VLOOKUP($B422&amp;"; "&amp;$K$420&amp;", "&amp;$L$421,'FE Energie'!$G:$U,7,FALSE),$BI422)))</f>
        <v>0.05</v>
      </c>
      <c r="BR422" s="1070">
        <f>IF(ISNA(SQRT(SUMSQ(VLOOKUP($B422&amp;"; "&amp;$N$420&amp;", "&amp;$O$421,'FE Energie'!$G:$U,7,FALSE),$BJ422))),0,SQRT(SUMSQ(VLOOKUP($B422&amp;"; "&amp;$N$420&amp;", "&amp;$O$421,'FE Energie'!$G:$U,7,FALSE),$BJ422)))</f>
        <v>0.05</v>
      </c>
      <c r="BS422" s="1071">
        <f>IF(ISNA(SQRT(SUMSQ(VLOOKUP($B422&amp;"; "&amp;$Q$420&amp;", "&amp;$R$421,'FE Energie'!$G:$U,7,FALSE),$BK422))),0,SQRT(SUMSQ(VLOOKUP($B422&amp;"; "&amp;$Q$420&amp;", "&amp;$R$421,'FE Energie'!$G:$U,7,FALSE),$BK422)))</f>
        <v>0.1</v>
      </c>
    </row>
    <row r="423" spans="1:71" s="116" customFormat="1" ht="12.75" hidden="1" customHeight="1" outlineLevel="2">
      <c r="A423" s="114"/>
      <c r="B423" s="143" t="s">
        <v>1631</v>
      </c>
      <c r="C423" s="144"/>
      <c r="D423" s="315">
        <f>SUM(S423,T423)</f>
        <v>0</v>
      </c>
      <c r="E423" s="315"/>
      <c r="F423" s="345"/>
      <c r="G423" s="123"/>
      <c r="H423" s="335">
        <f>VLOOKUP($B423&amp;"; "&amp;$H$420&amp;", "&amp;H$421,'FE Energie'!$G:$U,9,FALSE)</f>
        <v>0.27</v>
      </c>
      <c r="I423" s="335">
        <f>VLOOKUP($B423&amp;"; "&amp;$H$420&amp;", "&amp;I$421,'FE Energie'!$G:$U,9,FALSE)</f>
        <v>3.07</v>
      </c>
      <c r="J423" s="123"/>
      <c r="K423" s="223" t="e">
        <f>VLOOKUP($B423&amp;"; "&amp;$K$420&amp;", "&amp;K$421,'FE Energie'!$G:$U,9,FALSE)</f>
        <v>#N/A</v>
      </c>
      <c r="L423" s="223" t="e">
        <f>VLOOKUP($B423&amp;"; "&amp;$K$420&amp;", "&amp;L$421,'FE Energie'!$G:$U,9,FALSE)</f>
        <v>#N/A</v>
      </c>
      <c r="M423" s="123"/>
      <c r="N423" s="217" t="e">
        <f>VLOOKUP($B423&amp;"; "&amp;$N$420&amp;", "&amp;N$421,'FE Energie'!$G:$U,9,FALSE)</f>
        <v>#N/A</v>
      </c>
      <c r="O423" s="217" t="e">
        <f>VLOOKUP($B423&amp;"; "&amp;$N$420&amp;", "&amp;O$421,'FE Energie'!$G:$U,9,FALSE)</f>
        <v>#N/A</v>
      </c>
      <c r="P423" s="123"/>
      <c r="Q423" s="223" t="e">
        <f>VLOOKUP($B423&amp;"; "&amp;$Q$420&amp;", "&amp;Q$421,'FE Energie'!$G:$U,9,FALSE)</f>
        <v>#N/A</v>
      </c>
      <c r="R423" s="223" t="e">
        <f>VLOOKUP($B423&amp;"; "&amp;$Q$420&amp;", "&amp;R$421,'FE Energie'!$G:$U,9,FALSE)</f>
        <v>#N/A</v>
      </c>
      <c r="S423" s="566">
        <f>IF(ISNA(G423*H423),0,G423*H423)+IF(ISNA(J423*K423),0,J423*K423)+IF(ISNA(M423*N423),0,M423*N423)+IF(ISNA(P423*Q423),0,P423*Q423)</f>
        <v>0</v>
      </c>
      <c r="T423" s="566">
        <f>IF(ISNA(G423*I423),0,G423*I423)+IF(ISNA(J423*L423),0,J423*L423)+IF(ISNA(M423*O423),0,M423*O423)+IF(ISNA(P423*R423),0,P423*R423)</f>
        <v>0</v>
      </c>
      <c r="U423" s="1286">
        <f>IF(OR(F423=Utilitaires!$I$572,F423=Utilitaires!$I$577),T423,0)</f>
        <v>0</v>
      </c>
      <c r="X423" s="1092">
        <f>IF(AE423=0,AE423,AE423/(S423+T423))</f>
        <v>0</v>
      </c>
      <c r="Y423" s="1094"/>
      <c r="Z423" s="820"/>
      <c r="AA423" s="164">
        <f>SQRT(SUMSQ(IF(ISNA($G423*H423*BL423),0,$G423*H423*BL423),IF(ISNA($J423*K423*BM423),0,$J423*K423*BM423),IF(ISNA($M423*N423*BN423),0,$M423*N423*BN423),IF(ISNA($P423*Q423*BO423),0,$P423*Q423*BO423)))</f>
        <v>0</v>
      </c>
      <c r="AB423" s="164">
        <f>SQRT(SUMSQ(IF(ISNA($G423*I423*BP423),0,$G423*I423*BP423),IF(ISNA($J423*L423*BQ423),0,$J423*L423*BQ423),IF(ISNA($M423*O423*BR423),0,$M423*O423*BR423),IF(ISNA($P423*R423*BS423),0,$P423*R423*BS423)))</f>
        <v>0</v>
      </c>
      <c r="AC423" s="164"/>
      <c r="AD423" s="164"/>
      <c r="AE423" s="152">
        <f>SQRT(SUMSQ(AA423,AB423))</f>
        <v>0</v>
      </c>
      <c r="AF423" s="165">
        <f>U423*X423</f>
        <v>0</v>
      </c>
      <c r="AH423" s="564">
        <f>$G423*IF(ISNA(VLOOKUP($B423&amp;"; "&amp;$H$420&amp;", "&amp;H$421,'FE Energie'!$G:$U,10,FALSE)),0,VLOOKUP($B423&amp;"; "&amp;$H$420&amp;", "&amp;H$421,'FE Energie'!$G:$U,10,FALSE))
+$J423*IF(ISNA(VLOOKUP($B423&amp;"; "&amp;$K$420&amp;", "&amp;H$421,'FE Energie'!$G:$U,10,FALSE)),0,VLOOKUP($B423&amp;"; "&amp;$K$420&amp;", "&amp;H$421,'FE Energie'!$G:$U,10,FALSE))
+$M423*IF(ISNA(VLOOKUP($B423&amp;"; "&amp;$N$420&amp;", "&amp;H$421,'FE Energie'!$G:$U,10,FALSE)),0,VLOOKUP($B423&amp;"; "&amp;$N$420&amp;", "&amp;H$421,'FE Energie'!$G:$U,10,FALSE))
+$P423*IF(ISNA(VLOOKUP($B423&amp;"; "&amp;$Q$420&amp;", "&amp;H$421,'FE Energie'!$G:$U,10,FALSE)),0,VLOOKUP($B423&amp;"; "&amp;$Q$420&amp;", "&amp;H$421,'FE Energie'!$G:$U,10,FALSE))</f>
        <v>0</v>
      </c>
      <c r="AI423" s="565">
        <f>$G423*IF(ISNA(VLOOKUP($B423&amp;"; "&amp;$H$420&amp;", "&amp;I$421,'FE Energie'!$G:$U,10,FALSE)),0,VLOOKUP($B423&amp;"; "&amp;$H$420&amp;", "&amp;I$421,'FE Energie'!$G:$U,10,FALSE))
+$J423*IF(ISNA(VLOOKUP($B423&amp;"; "&amp;$K$420&amp;", "&amp;I$421,'FE Energie'!$G:$U,10,FALSE)),0,VLOOKUP($B423&amp;"; "&amp;$K$420&amp;", "&amp;I$421,'FE Energie'!$G:$U,10,FALSE))
+$M423*IF(ISNA(VLOOKUP($B423&amp;"; "&amp;$N$420&amp;", "&amp;I$421,'FE Energie'!$G:$U,10,FALSE)),0,VLOOKUP($B423&amp;"; "&amp;$N$420&amp;", "&amp;I$421,'FE Energie'!$G:$U,10,FALSE))
+$P423*IF(ISNA(VLOOKUP($B423&amp;"; "&amp;$Q$420&amp;", "&amp;I$421,'FE Energie'!$G:$U,10,FALSE)),0,VLOOKUP($B423&amp;"; "&amp;$Q$420&amp;", "&amp;I$421,'FE Energie'!$G:$U,10,FALSE))</f>
        <v>0</v>
      </c>
      <c r="AJ423" s="565"/>
      <c r="AK423" s="565">
        <f>$G423*IF(ISNA((VLOOKUP($B423&amp;"; "&amp;$H$420&amp;", "&amp;H$421,'FE Energie'!$G:$U,11,FALSE)+VLOOKUP($B423&amp;"; "&amp;$H$420&amp;", "&amp;H$421,'FE Energie'!$G:$U,12,FALSE))),0,(VLOOKUP($B423&amp;"; "&amp;$H$420&amp;", "&amp;H$421,'FE Energie'!$G:$U,11,FALSE)+VLOOKUP($B423&amp;"; "&amp;$H$420&amp;", "&amp;H$421,'FE Energie'!$G:$U,12,FALSE)))
+$J423*IF(ISNA((VLOOKUP($B423&amp;"; "&amp;$K$420&amp;", "&amp;H$421,'FE Energie'!$G:$U,11,FALSE)+VLOOKUP($B423&amp;"; "&amp;$K$420&amp;", "&amp;H$421,'FE Energie'!$G:$U,12,FALSE))),0,(VLOOKUP($B423&amp;"; "&amp;$K$420&amp;", "&amp;H$421,'FE Energie'!$G:$U,11,FALSE)+VLOOKUP($B423&amp;"; "&amp;$K$420&amp;", "&amp;H$421,'FE Energie'!$G:$U,12,FALSE)))
+$M423*IF(ISNA((VLOOKUP($B423&amp;"; "&amp;$N$420&amp;", "&amp;H$421,'FE Energie'!$G:$U,11,FALSE)+VLOOKUP($B423&amp;"; "&amp;$N$420&amp;", "&amp;H$421,'FE Energie'!$G:$U,12,FALSE))),0,(VLOOKUP($B423&amp;"; "&amp;$N$420&amp;", "&amp;H$421,'FE Energie'!$G:$U,11,FALSE)+VLOOKUP($B423&amp;"; "&amp;$N$420&amp;", "&amp;H$421,'FE Energie'!$G:$U,12,FALSE)))
+$P423*IF(ISNA((VLOOKUP($B423&amp;"; "&amp;$Q$420&amp;", "&amp;H$421,'FE Energie'!$G:$U,11,FALSE)+VLOOKUP($B423&amp;"; "&amp;$Q$420&amp;", "&amp;H$421,'FE Energie'!$G:$U,12,FALSE))),0,(VLOOKUP($B423&amp;"; "&amp;$Q$420&amp;", "&amp;H$421,'FE Energie'!$G:$U,11,FALSE)+VLOOKUP($B423&amp;"; "&amp;$Q$420&amp;", "&amp;H$421,'FE Energie'!$G:$U,12,FALSE)))</f>
        <v>0</v>
      </c>
      <c r="AL423" s="565">
        <f>$G423*IF(ISNA((VLOOKUP($B423&amp;"; "&amp;$H$420&amp;", "&amp;I$421,'FE Energie'!$G:$U,11,FALSE)+VLOOKUP($B423&amp;"; "&amp;$H$420&amp;", "&amp;I$421,'FE Energie'!$G:$U,12,FALSE))),0,(VLOOKUP($B423&amp;"; "&amp;$H$420&amp;", "&amp;I$421,'FE Energie'!$G:$U,11,FALSE)+VLOOKUP($B423&amp;"; "&amp;$H$420&amp;", "&amp;I$421,'FE Energie'!$G:$U,12,FALSE)))
+$J423*IF(ISNA((VLOOKUP($B423&amp;"; "&amp;$K$420&amp;", "&amp;I$421,'FE Energie'!$G:$U,11,FALSE)+VLOOKUP($B423&amp;"; "&amp;$K$420&amp;", "&amp;I$421,'FE Energie'!$G:$U,12,FALSE))),0,(VLOOKUP($B423&amp;"; "&amp;$K$420&amp;", "&amp;I$421,'FE Energie'!$G:$U,11,FALSE)+VLOOKUP($B423&amp;"; "&amp;$K$420&amp;", "&amp;I$421,'FE Energie'!$G:$U,12,FALSE)))
+$M423*IF(ISNA((VLOOKUP($B423&amp;"; "&amp;$N$420&amp;", "&amp;I$421,'FE Energie'!$G:$U,11,FALSE)+VLOOKUP($B423&amp;"; "&amp;$N$420&amp;", "&amp;I$421,'FE Energie'!$G:$U,12,FALSE))),0,(VLOOKUP($B423&amp;"; "&amp;$N$420&amp;", "&amp;I$421,'FE Energie'!$G:$U,11,FALSE)+VLOOKUP($B423&amp;"; "&amp;$N$420&amp;", "&amp;I$421,'FE Energie'!$G:$U,12,FALSE)))
+$P423*IF(ISNA((VLOOKUP($B423&amp;"; "&amp;$Q$420&amp;", "&amp;I$421,'FE Energie'!$G:$U,11,FALSE)+VLOOKUP($B423&amp;"; "&amp;$Q$420&amp;", "&amp;I$421,'FE Energie'!$G:$U,12,FALSE))),0,(VLOOKUP($B423&amp;"; "&amp;$Q$420&amp;", "&amp;I$421,'FE Energie'!$G:$U,11,FALSE)+VLOOKUP($B423&amp;"; "&amp;$Q$420&amp;", "&amp;I$421,'FE Energie'!$G:$U,12,FALSE)))</f>
        <v>0</v>
      </c>
      <c r="AM423" s="565"/>
      <c r="AN423" s="565">
        <f>$G423*IF(ISNA(VLOOKUP($B423&amp;"; "&amp;$H$420&amp;", "&amp;H$421,'FE Energie'!$G:$U,13,FALSE)),0,VLOOKUP($B423&amp;"; "&amp;$H$420&amp;", "&amp;H$421,'FE Energie'!$G:$U,13,FALSE))
+$J423*IF(ISNA(VLOOKUP($B423&amp;"; "&amp;$K$420&amp;", "&amp;H$421,'FE Energie'!$G:$U,13,FALSE)),0,VLOOKUP($B423&amp;"; "&amp;$K$420&amp;", "&amp;H$421,'FE Energie'!$G:$U,13,FALSE))
+$M423*IF(ISNA(VLOOKUP($B423&amp;"; "&amp;$N$420&amp;", "&amp;H$421,'FE Energie'!$G:$U,13,FALSE)),0,VLOOKUP($B423&amp;"; "&amp;$N$420&amp;", "&amp;H$421,'FE Energie'!$G:$U,13,FALSE))
+$P423*IF(ISNA(VLOOKUP($B423&amp;"; "&amp;$Q$420&amp;", "&amp;H$421,'FE Energie'!$G:$U,13,FALSE)),0,VLOOKUP($B423&amp;"; "&amp;$Q$420&amp;", "&amp;H$421,'FE Energie'!$G:$U,13,FALSE))</f>
        <v>0</v>
      </c>
      <c r="AO423" s="565">
        <f>$G423*IF(ISNA(VLOOKUP($B423&amp;"; "&amp;$H$420&amp;", "&amp;I$421,'FE Energie'!$G:$U,13,FALSE)),0,VLOOKUP($B423&amp;"; "&amp;$H$420&amp;", "&amp;I$421,'FE Energie'!$G:$U,13,FALSE))
+$J423*IF(ISNA(VLOOKUP($B423&amp;"; "&amp;$K$420&amp;", "&amp;I$421,'FE Energie'!$G:$U,13,FALSE)),0,VLOOKUP($B423&amp;"; "&amp;$K$420&amp;", "&amp;I$421,'FE Energie'!$G:$U,13,FALSE))
+$M423*IF(ISNA(VLOOKUP($B423&amp;"; "&amp;$N$420&amp;", "&amp;I$421,'FE Energie'!$G:$U,13,FALSE)),0,VLOOKUP($B423&amp;"; "&amp;$N$420&amp;", "&amp;I$421,'FE Energie'!$G:$U,13,FALSE))
+$P423*IF(ISNA(VLOOKUP($B423&amp;"; "&amp;$Q$420&amp;", "&amp;I$421,'FE Energie'!$G:$U,13,FALSE)),0,VLOOKUP($B423&amp;"; "&amp;$Q$420&amp;", "&amp;I$421,'FE Energie'!$G:$U,13,FALSE))</f>
        <v>0</v>
      </c>
      <c r="AP423" s="565"/>
      <c r="AQ423" s="565">
        <f>$G423*IF(ISNA(VLOOKUP($B423&amp;"; "&amp;$H$420&amp;", "&amp;H$421,'FE Energie'!$G:$U,14,FALSE)),0,VLOOKUP($B423&amp;"; "&amp;$H$420&amp;", "&amp;H$421,'FE Energie'!$G:$U,14,FALSE))
+$J423*IF(ISNA(VLOOKUP($B423&amp;"; "&amp;$K$420&amp;", "&amp;H$421,'FE Energie'!$G:$U,14,FALSE)),0,VLOOKUP($B423&amp;"; "&amp;$K$420&amp;", "&amp;H$421,'FE Energie'!$G:$U,14,FALSE))
+$M423*IF(ISNA(VLOOKUP($B423&amp;"; "&amp;$N$420&amp;", "&amp;H$421,'FE Energie'!$G:$U,14,FALSE)),0,VLOOKUP($B423&amp;"; "&amp;$N$420&amp;", "&amp;H$421,'FE Energie'!$G:$U,14,FALSE))
+$P423*IF(ISNA(VLOOKUP($B423&amp;"; "&amp;$Q$420&amp;", "&amp;H$421,'FE Energie'!$G:$U,14,FALSE)),0,VLOOKUP($B423&amp;"; "&amp;$Q$420&amp;", "&amp;H$421,'FE Energie'!$G:$U,14,FALSE))</f>
        <v>0</v>
      </c>
      <c r="AR423" s="565">
        <f>$G423*IF(ISNA(VLOOKUP($B423&amp;"; "&amp;$H$420&amp;", "&amp;I$421,'FE Energie'!$G:$U,14,FALSE)),0,VLOOKUP($B423&amp;"; "&amp;$H$420&amp;", "&amp;I$421,'FE Energie'!$G:$U,14,FALSE))
+$J423*IF(ISNA(VLOOKUP($B423&amp;"; "&amp;$K$420&amp;", "&amp;I$421,'FE Energie'!$G:$U,14,FALSE)),0,VLOOKUP($B423&amp;"; "&amp;$K$420&amp;", "&amp;I$421,'FE Energie'!$G:$U,14,FALSE))
+$M423*IF(ISNA(VLOOKUP($B423&amp;"; "&amp;$N$420&amp;", "&amp;I$421,'FE Energie'!$G:$U,14,FALSE)),0,VLOOKUP($B423&amp;"; "&amp;$N$420&amp;", "&amp;I$421,'FE Energie'!$G:$U,14,FALSE))
+$P423*IF(ISNA(VLOOKUP($B423&amp;"; "&amp;$Q$420&amp;", "&amp;I$421,'FE Energie'!$G:$U,14,FALSE)),0,VLOOKUP($B423&amp;"; "&amp;$Q$420&amp;", "&amp;I$421,'FE Energie'!$G:$U,14,FALSE))</f>
        <v>0</v>
      </c>
      <c r="AS423" s="565"/>
      <c r="AT423" s="566">
        <f>SUM(AH423,AK423,AN423,AQ423)</f>
        <v>0</v>
      </c>
      <c r="AU423" s="566">
        <f>SUM(AI423,AL423,AO423,AR423)</f>
        <v>0</v>
      </c>
      <c r="AV423" s="567"/>
      <c r="AW423" s="564">
        <f>$G423*IF(ISNA(VLOOKUP($B423&amp;"; "&amp;$H$420&amp;", "&amp;H$421,'FE Energie'!$G:$U,15,FALSE)),0,VLOOKUP($B423&amp;"; "&amp;$H$420&amp;", "&amp;H$421,'FE Energie'!$G:$U,15,FALSE))
+$J423*IF(ISNA(VLOOKUP($B423&amp;"; "&amp;$K$420&amp;", "&amp;H$421,'FE Energie'!$G:$U,15,FALSE)),0,VLOOKUP($B423&amp;"; "&amp;$K$420&amp;", "&amp;H$421,'FE Energie'!$G:$U,15,FALSE))
+$M423*IF(ISNA(VLOOKUP($B423&amp;"; "&amp;$N$420&amp;", "&amp;H$421,'FE Energie'!$G:$U,15,FALSE)),0,VLOOKUP($B423&amp;"; "&amp;$N$420&amp;", "&amp;H$421,'FE Energie'!$G:$U,15,FALSE))
+$P423*IF(ISNA(VLOOKUP($B423&amp;"; "&amp;$Q$420&amp;", "&amp;H$421,'FE Energie'!$G:$U,15,FALSE)),0,VLOOKUP($B423&amp;"; "&amp;$Q$420&amp;", "&amp;H$421,'FE Energie'!$G:$U,15,FALSE))</f>
        <v>0</v>
      </c>
      <c r="AX423" s="565">
        <f>$G423*IF(ISNA(VLOOKUP($B423&amp;"; "&amp;$H$420&amp;", "&amp;I$421,'FE Energie'!$G:$U,15,FALSE)),0,VLOOKUP($B423&amp;"; "&amp;$H$420&amp;", "&amp;I$421,'FE Energie'!$G:$U,15,FALSE))
+$J423*IF(ISNA(VLOOKUP($B423&amp;"; "&amp;$K$420&amp;", "&amp;I$421,'FE Energie'!$G:$U,15,FALSE)),0,VLOOKUP($B423&amp;"; "&amp;$K$420&amp;", "&amp;I$421,'FE Energie'!$G:$U,15,FALSE))
+$M423*IF(ISNA(VLOOKUP($B423&amp;"; "&amp;$N$420&amp;", "&amp;I$421,'FE Energie'!$G:$U,15,FALSE)),0,VLOOKUP($B423&amp;"; "&amp;$N$420&amp;", "&amp;I$421,'FE Energie'!$G:$U,15,FALSE))
+$P423*IF(ISNA(VLOOKUP($B423&amp;"; "&amp;$Q$420&amp;", "&amp;I$421,'FE Energie'!$G:$U,15,FALSE)),0,VLOOKUP($B423&amp;"; "&amp;$Q$420&amp;", "&amp;I$421,'FE Energie'!$G:$U,15,FALSE))</f>
        <v>0</v>
      </c>
      <c r="AY423" s="568"/>
      <c r="AZ423" s="2292"/>
      <c r="BA423" s="2292"/>
      <c r="BB423" s="2292"/>
      <c r="BC423" s="2292"/>
      <c r="BD423" s="2292"/>
      <c r="BE423" s="2292"/>
      <c r="BF423" s="2292"/>
      <c r="BH423" s="1065">
        <f>IF($Y423&lt;&gt;"votre valeur :",IF(ISNA(VLOOKUP($Y423,Utilitaires!$N$566:$O$571,2,FALSE)),,VLOOKUP($Y423,Utilitaires!$N$566:$O$571,2,FALSE)),$Z423)</f>
        <v>0</v>
      </c>
      <c r="BI423" s="1065">
        <f>IF($Y423&lt;&gt;"votre valeur :",IF(ISNA(VLOOKUP($Y423,Utilitaires!$N$566:$O$571,2,FALSE)),,VLOOKUP($Y423,Utilitaires!$N$566:$O$571,2,FALSE)),$Z423)</f>
        <v>0</v>
      </c>
      <c r="BJ423" s="1065">
        <f>IF($Y423&lt;&gt;"votre valeur :",IF(ISNA(VLOOKUP($Y423,Utilitaires!$N$566:$O$571,2,FALSE)),,VLOOKUP($Y423,Utilitaires!$N$566:$O$571,2,FALSE)),$Z423)</f>
        <v>0</v>
      </c>
      <c r="BK423" s="1065">
        <f>IF($Y423&lt;&gt;"votre valeur :",IF(ISNA(VLOOKUP($Y423,Utilitaires!$N$566:$O$571,2,FALSE)),,VLOOKUP($Y423,Utilitaires!$N$566:$O$571,2,FALSE)),$Z423)</f>
        <v>0</v>
      </c>
      <c r="BL423" s="1124">
        <f>IF(ISNA(SQRT(SUMSQ(VLOOKUP($B423&amp;"; "&amp;$H$420&amp;", "&amp;$H$421,'FE Energie'!$G:$U,7,FALSE),$BH423))),0,SQRT(SUMSQ(VLOOKUP($B423&amp;"; "&amp;$H$420&amp;", "&amp;$H$421,'FE Energie'!$G:$U,7,FALSE),$BH423)))</f>
        <v>0.05</v>
      </c>
      <c r="BM423" s="1068">
        <f>IF(ISNA(SQRT(SUMSQ(VLOOKUP($B423&amp;"; "&amp;$K$420&amp;", "&amp;$K$421,'FE Energie'!$G:$U,7,FALSE),$BI423))),0,SQRT(SUMSQ(VLOOKUP($B423&amp;"; "&amp;$K$420&amp;", "&amp;$K$421,'FE Energie'!$G:$U,7,FALSE),$BI423)))</f>
        <v>0</v>
      </c>
      <c r="BN423" s="1068">
        <f>IF(ISNA(SQRT(SUMSQ(VLOOKUP($B423&amp;"; "&amp;$N$420&amp;", "&amp;$N$421,'FE Energie'!$G:$U,7,FALSE),$BJ423))),0,SQRT(SUMSQ(VLOOKUP($B423&amp;"; "&amp;$N$420&amp;", "&amp;$N$421,'FE Energie'!$G:$U,7,FALSE),$BJ423)))</f>
        <v>0</v>
      </c>
      <c r="BO423" s="1068">
        <f>IF(ISNA(SQRT(SUMSQ(VLOOKUP($B423&amp;"; "&amp;$Q$420&amp;", "&amp;$Q$421,'FE Energie'!$G:$U,7,FALSE),$BK423))),0,SQRT(SUMSQ(VLOOKUP($B423&amp;"; "&amp;$Q$420&amp;", "&amp;$Q$421,'FE Energie'!$G:$U,7,FALSE),$BK423)))</f>
        <v>0</v>
      </c>
      <c r="BP423" s="1069">
        <f>IF(ISNA(SQRT(SUMSQ(VLOOKUP($B423&amp;"; "&amp;$H$420&amp;", "&amp;$I$421,'FE Energie'!$G:$U,7,FALSE),$BH423))),0,SQRT(SUMSQ(VLOOKUP($B423&amp;"; "&amp;$H$420&amp;", "&amp;$I$421,'FE Energie'!$G:$U,7,FALSE),$BH423)))</f>
        <v>0.05</v>
      </c>
      <c r="BQ423" s="1070">
        <f>IF(ISNA(SQRT(SUMSQ(VLOOKUP($B423&amp;"; "&amp;$K$420&amp;", "&amp;$L$421,'FE Energie'!$G:$U,7,FALSE),$BI423))),0,SQRT(SUMSQ(VLOOKUP($B423&amp;"; "&amp;$K$420&amp;", "&amp;$L$421,'FE Energie'!$G:$U,7,FALSE),$BI423)))</f>
        <v>0</v>
      </c>
      <c r="BR423" s="1070">
        <f>IF(ISNA(SQRT(SUMSQ(VLOOKUP($B423&amp;"; "&amp;$N$420&amp;", "&amp;$O$421,'FE Energie'!$G:$U,7,FALSE),$BJ423))),0,SQRT(SUMSQ(VLOOKUP($B423&amp;"; "&amp;$N$420&amp;", "&amp;$O$421,'FE Energie'!$G:$U,7,FALSE),$BJ423)))</f>
        <v>0</v>
      </c>
      <c r="BS423" s="1071">
        <f>IF(ISNA(SQRT(SUMSQ(VLOOKUP($B423&amp;"; "&amp;$Q$420&amp;", "&amp;$R$421,'FE Energie'!$G:$U,7,FALSE),$BK423))),0,SQRT(SUMSQ(VLOOKUP($B423&amp;"; "&amp;$Q$420&amp;", "&amp;$R$421,'FE Energie'!$G:$U,7,FALSE),$BK423)))</f>
        <v>0</v>
      </c>
    </row>
    <row r="424" spans="1:71" ht="12.75" hidden="1" customHeight="1" outlineLevel="2">
      <c r="B424" s="154"/>
      <c r="C424" s="155"/>
      <c r="D424" s="221"/>
      <c r="E424" s="221"/>
      <c r="F424" s="155"/>
      <c r="G424" s="360"/>
      <c r="H424" s="360"/>
      <c r="I424" s="360"/>
      <c r="J424" s="360"/>
      <c r="K424" s="360"/>
      <c r="L424" s="360"/>
      <c r="M424" s="360"/>
      <c r="N424" s="360"/>
      <c r="O424" s="360"/>
      <c r="P424" s="360"/>
      <c r="Q424" s="360"/>
      <c r="R424" s="361"/>
      <c r="S424" s="354"/>
      <c r="T424" s="354"/>
      <c r="U424" s="1336"/>
      <c r="W424" s="116"/>
      <c r="X424" s="366"/>
      <c r="Y424" s="169"/>
      <c r="Z424" s="169"/>
      <c r="AA424" s="169"/>
      <c r="AB424" s="169"/>
      <c r="AC424" s="169"/>
      <c r="AD424" s="169"/>
      <c r="AE424" s="367"/>
      <c r="AF424" s="1286"/>
      <c r="AH424" s="564"/>
      <c r="AI424" s="565"/>
      <c r="AJ424" s="565"/>
      <c r="AK424" s="565"/>
      <c r="AL424" s="565"/>
      <c r="AM424" s="565"/>
      <c r="AN424" s="565"/>
      <c r="AO424" s="565"/>
      <c r="AP424" s="565"/>
      <c r="AQ424" s="565"/>
      <c r="AR424" s="565"/>
      <c r="AS424" s="565"/>
      <c r="AT424" s="566"/>
      <c r="AU424" s="566"/>
      <c r="AV424" s="567"/>
      <c r="AW424" s="569"/>
      <c r="AX424" s="625"/>
      <c r="AY424" s="570"/>
      <c r="AZ424" s="2292"/>
      <c r="BA424" s="2292"/>
      <c r="BB424" s="2292"/>
      <c r="BC424" s="2292"/>
      <c r="BD424" s="2292"/>
      <c r="BE424" s="2292"/>
      <c r="BF424" s="2292"/>
      <c r="BH424" s="1087"/>
      <c r="BI424" s="1075"/>
      <c r="BJ424" s="1131"/>
      <c r="BK424" s="1126"/>
      <c r="BL424" s="1075"/>
      <c r="BM424" s="1076"/>
      <c r="BN424" s="1073"/>
      <c r="BO424" s="1076"/>
      <c r="BP424" s="1126"/>
      <c r="BQ424" s="1076"/>
      <c r="BR424" s="1076"/>
      <c r="BS424" s="1074"/>
    </row>
    <row r="425" spans="1:71" ht="12.75" hidden="1" customHeight="1" outlineLevel="2">
      <c r="B425" s="196" t="s">
        <v>348</v>
      </c>
      <c r="C425" s="197"/>
      <c r="D425" s="214">
        <f>SUM(D422:D424)</f>
        <v>0</v>
      </c>
      <c r="E425" s="214"/>
      <c r="F425" s="198"/>
      <c r="G425" s="199"/>
      <c r="H425" s="199"/>
      <c r="I425" s="199"/>
      <c r="J425" s="199"/>
      <c r="K425" s="199"/>
      <c r="L425" s="199"/>
      <c r="M425" s="199"/>
      <c r="N425" s="199"/>
      <c r="O425" s="199"/>
      <c r="P425" s="199"/>
      <c r="Q425" s="199"/>
      <c r="R425" s="199"/>
      <c r="S425" s="202">
        <f>SUM(S422:S424)</f>
        <v>0</v>
      </c>
      <c r="T425" s="202">
        <f>SUM(T422:T424)</f>
        <v>0</v>
      </c>
      <c r="U425" s="1349">
        <f>SUM(U422:U424)</f>
        <v>0</v>
      </c>
      <c r="X425" s="1203">
        <f>IF(AE425=0,AE425,AE425/D425)</f>
        <v>0</v>
      </c>
      <c r="Y425" s="350"/>
      <c r="Z425" s="203"/>
      <c r="AA425" s="203">
        <f>SQRT(SUMSQ(AA422:AA424))</f>
        <v>0</v>
      </c>
      <c r="AB425" s="203">
        <f>SQRT(SUMSQ(AB422:AB424))</f>
        <v>0</v>
      </c>
      <c r="AC425" s="203"/>
      <c r="AD425" s="203"/>
      <c r="AE425" s="200">
        <f>SQRT(SUMSQ(AD422:AD424))</f>
        <v>0</v>
      </c>
      <c r="AF425" s="1311">
        <f>SQRT(SUMSQ(AF419:AF424))</f>
        <v>0</v>
      </c>
      <c r="AH425" s="571">
        <f>SUM(AH424:AH424)</f>
        <v>0</v>
      </c>
      <c r="AI425" s="572">
        <f>SUM(AI424:AI424)</f>
        <v>0</v>
      </c>
      <c r="AJ425" s="572"/>
      <c r="AK425" s="572">
        <f>SUM(AK424:AK424)</f>
        <v>0</v>
      </c>
      <c r="AL425" s="572">
        <f>SUM(AL424:AL424)</f>
        <v>0</v>
      </c>
      <c r="AM425" s="572"/>
      <c r="AN425" s="572">
        <f>SUM(AN424:AN424)</f>
        <v>0</v>
      </c>
      <c r="AO425" s="572">
        <f>SUM(AO424:AO424)</f>
        <v>0</v>
      </c>
      <c r="AP425" s="572"/>
      <c r="AQ425" s="572">
        <f>SUM(AQ424:AQ424)</f>
        <v>0</v>
      </c>
      <c r="AR425" s="572">
        <f>SUM(AR424:AR424)</f>
        <v>0</v>
      </c>
      <c r="AS425" s="572"/>
      <c r="AT425" s="573">
        <f t="shared" ref="AT425:AY425" si="144">SUM(AT424:AT424)</f>
        <v>0</v>
      </c>
      <c r="AU425" s="573">
        <f t="shared" si="144"/>
        <v>0</v>
      </c>
      <c r="AV425" s="574">
        <f t="shared" si="144"/>
        <v>0</v>
      </c>
      <c r="AW425" s="571">
        <f t="shared" si="144"/>
        <v>0</v>
      </c>
      <c r="AX425" s="572">
        <f t="shared" si="144"/>
        <v>0</v>
      </c>
      <c r="AY425" s="575">
        <f t="shared" si="144"/>
        <v>0</v>
      </c>
      <c r="AZ425" s="2292"/>
      <c r="BA425" s="2292"/>
      <c r="BB425" s="2292"/>
      <c r="BC425" s="2292"/>
      <c r="BD425" s="2292"/>
      <c r="BE425" s="2292"/>
      <c r="BF425" s="2292"/>
    </row>
    <row r="426" spans="1:71" ht="15" hidden="1" customHeight="1" outlineLevel="2">
      <c r="AP426" s="593"/>
      <c r="AZ426" s="444"/>
      <c r="BA426" s="444"/>
      <c r="BB426" s="444"/>
      <c r="BC426" s="444"/>
      <c r="BD426" s="444"/>
      <c r="BE426" s="444"/>
      <c r="BF426" s="444"/>
    </row>
    <row r="427" spans="1:71" ht="12.75" hidden="1" customHeight="1" outlineLevel="2">
      <c r="B427" s="1091" t="s">
        <v>3681</v>
      </c>
      <c r="C427" s="140"/>
      <c r="D427" s="140"/>
      <c r="E427" s="140"/>
      <c r="F427" s="140"/>
      <c r="G427" s="140"/>
      <c r="H427" s="140"/>
      <c r="I427" s="179"/>
      <c r="T427" s="116"/>
      <c r="U427" s="116"/>
      <c r="V427" s="116"/>
      <c r="W427" s="116"/>
      <c r="X427" s="2636" t="s">
        <v>366</v>
      </c>
      <c r="Y427" s="2637"/>
      <c r="Z427" s="2637"/>
      <c r="AA427" s="2637"/>
      <c r="AB427" s="2637"/>
      <c r="AC427" s="2637"/>
      <c r="AD427" s="2637"/>
      <c r="AE427" s="2638"/>
      <c r="AF427" s="116"/>
      <c r="AH427" s="2639" t="s">
        <v>441</v>
      </c>
      <c r="AI427" s="2640"/>
      <c r="AJ427" s="2640"/>
      <c r="AK427" s="2640"/>
      <c r="AL427" s="2640"/>
      <c r="AM427" s="2640"/>
      <c r="AN427" s="2640"/>
      <c r="AO427" s="2640"/>
      <c r="AP427" s="2640"/>
      <c r="AQ427" s="2640"/>
      <c r="AR427" s="2640"/>
      <c r="AS427" s="2640"/>
      <c r="AT427" s="2640"/>
      <c r="AU427" s="2640"/>
      <c r="AV427" s="2640"/>
      <c r="AW427" s="2640"/>
      <c r="AX427" s="2640"/>
      <c r="AY427" s="2641"/>
      <c r="AZ427" s="2448"/>
      <c r="BA427" s="2448"/>
      <c r="BB427" s="2448"/>
      <c r="BC427" s="2448"/>
      <c r="BD427" s="2448"/>
      <c r="BE427" s="2448"/>
      <c r="BF427" s="2448"/>
    </row>
    <row r="428" spans="1:71" ht="12.75" hidden="1" customHeight="1" outlineLevel="2">
      <c r="B428" s="143"/>
      <c r="C428" s="144"/>
      <c r="D428" s="1334" t="s">
        <v>308</v>
      </c>
      <c r="E428" s="1663"/>
      <c r="F428" s="144"/>
      <c r="G428" s="144"/>
      <c r="H428" s="1317"/>
      <c r="I428" s="1337" t="s">
        <v>444</v>
      </c>
      <c r="T428" s="116"/>
      <c r="U428" s="116"/>
      <c r="X428" s="1316"/>
      <c r="Y428" s="1317"/>
      <c r="Z428" s="1317"/>
      <c r="AA428" s="1334"/>
      <c r="AB428" s="1334"/>
      <c r="AC428" s="2423"/>
      <c r="AD428" s="1334"/>
      <c r="AE428" s="1337" t="s">
        <v>444</v>
      </c>
      <c r="AG428" s="109"/>
      <c r="AH428" s="2642" t="s">
        <v>444</v>
      </c>
      <c r="AI428" s="2643"/>
      <c r="AJ428" s="2643"/>
      <c r="AK428" s="2643"/>
      <c r="AL428" s="2643"/>
      <c r="AM428" s="2643"/>
      <c r="AN428" s="2643"/>
      <c r="AO428" s="2643"/>
      <c r="AP428" s="2643"/>
      <c r="AQ428" s="2643"/>
      <c r="AR428" s="2643"/>
      <c r="AS428" s="2643"/>
      <c r="AT428" s="2643" t="s">
        <v>444</v>
      </c>
      <c r="AU428" s="2643"/>
      <c r="AV428" s="628"/>
      <c r="AW428" s="624"/>
      <c r="AX428" s="624"/>
      <c r="AY428" s="1291"/>
      <c r="AZ428" s="2449"/>
      <c r="BA428" s="2449"/>
      <c r="BB428" s="2449"/>
      <c r="BC428" s="2449"/>
      <c r="BD428" s="2449"/>
      <c r="BE428" s="2449"/>
      <c r="BF428" s="2449"/>
      <c r="BH428" s="2616" t="s">
        <v>1648</v>
      </c>
      <c r="BI428" s="2618"/>
    </row>
    <row r="429" spans="1:71" ht="12.75" hidden="1" customHeight="1" outlineLevel="2">
      <c r="B429" s="1316"/>
      <c r="C429" s="1317"/>
      <c r="D429" s="1317" t="s">
        <v>409</v>
      </c>
      <c r="E429" s="1656"/>
      <c r="F429" s="1320" t="s">
        <v>452</v>
      </c>
      <c r="G429" s="1320" t="s">
        <v>3670</v>
      </c>
      <c r="H429" s="1006"/>
      <c r="I429" s="220" t="s">
        <v>880</v>
      </c>
      <c r="T429" s="116"/>
      <c r="U429" s="116"/>
      <c r="V429" s="109"/>
      <c r="W429" s="109"/>
      <c r="X429" s="1316" t="s">
        <v>316</v>
      </c>
      <c r="Y429" s="2629" t="s">
        <v>316</v>
      </c>
      <c r="Z429" s="2630"/>
      <c r="AA429" s="1317"/>
      <c r="AB429" s="1317"/>
      <c r="AC429" s="2419"/>
      <c r="AD429" s="1317"/>
      <c r="AE429" s="220" t="s">
        <v>880</v>
      </c>
      <c r="AF429" s="109"/>
      <c r="AG429" s="109"/>
      <c r="AH429" s="2631" t="s">
        <v>211</v>
      </c>
      <c r="AI429" s="2632"/>
      <c r="AJ429" s="2632"/>
      <c r="AK429" s="2632" t="s">
        <v>442</v>
      </c>
      <c r="AL429" s="2632"/>
      <c r="AM429" s="2632"/>
      <c r="AN429" s="2632" t="s">
        <v>267</v>
      </c>
      <c r="AO429" s="2632"/>
      <c r="AP429" s="2632"/>
      <c r="AQ429" s="2632" t="s">
        <v>443</v>
      </c>
      <c r="AR429" s="2632"/>
      <c r="AS429" s="2632"/>
      <c r="AT429" s="2648" t="s">
        <v>327</v>
      </c>
      <c r="AU429" s="2648"/>
      <c r="AV429" s="568"/>
      <c r="AW429" s="2631" t="s">
        <v>636</v>
      </c>
      <c r="AX429" s="2632"/>
      <c r="AY429" s="568"/>
      <c r="AZ429" s="2292"/>
      <c r="BA429" s="2292"/>
      <c r="BB429" s="2292"/>
      <c r="BC429" s="2292"/>
      <c r="BD429" s="2292"/>
      <c r="BE429" s="2292"/>
      <c r="BF429" s="2292"/>
      <c r="BH429" s="2837" t="s">
        <v>1646</v>
      </c>
      <c r="BI429" s="1141"/>
    </row>
    <row r="430" spans="1:71" ht="12.75" hidden="1" customHeight="1" outlineLevel="2">
      <c r="B430" s="1316"/>
      <c r="C430" s="1317"/>
      <c r="D430" s="1317" t="s">
        <v>444</v>
      </c>
      <c r="E430" s="1656"/>
      <c r="F430" s="1321" t="s">
        <v>445</v>
      </c>
      <c r="G430" s="1321" t="s">
        <v>881</v>
      </c>
      <c r="H430" s="1007"/>
      <c r="I430" s="220" t="s">
        <v>257</v>
      </c>
      <c r="T430" s="116"/>
      <c r="U430" s="116"/>
      <c r="V430" s="109"/>
      <c r="W430" s="109"/>
      <c r="X430" s="1316" t="s">
        <v>1649</v>
      </c>
      <c r="Y430" s="2646" t="s">
        <v>1650</v>
      </c>
      <c r="Z430" s="2647"/>
      <c r="AA430" s="1322"/>
      <c r="AB430" s="1322"/>
      <c r="AC430" s="1662"/>
      <c r="AD430" s="1322"/>
      <c r="AE430" s="220" t="s">
        <v>257</v>
      </c>
      <c r="AF430" s="109"/>
      <c r="AH430" s="1331"/>
      <c r="AI430" s="1332"/>
      <c r="AJ430" s="1332"/>
      <c r="AK430" s="1332"/>
      <c r="AL430" s="1332"/>
      <c r="AM430" s="1332"/>
      <c r="AN430" s="1332"/>
      <c r="AO430" s="1332"/>
      <c r="AP430" s="1332"/>
      <c r="AQ430" s="1332"/>
      <c r="AR430" s="1332"/>
      <c r="AS430" s="1332"/>
      <c r="AT430" s="581"/>
      <c r="AU430" s="581"/>
      <c r="AV430" s="582"/>
      <c r="AW430" s="1332"/>
      <c r="AX430" s="1332"/>
      <c r="AY430" s="1333"/>
      <c r="AZ430" s="2449"/>
      <c r="BA430" s="2449"/>
      <c r="BB430" s="2449"/>
      <c r="BC430" s="2449"/>
      <c r="BD430" s="2449"/>
      <c r="BE430" s="2449"/>
      <c r="BF430" s="2449"/>
      <c r="BH430" s="2838"/>
      <c r="BI430" s="1326"/>
    </row>
    <row r="431" spans="1:71" ht="12.75" hidden="1" customHeight="1" outlineLevel="2">
      <c r="B431" s="143" t="s">
        <v>3669</v>
      </c>
      <c r="C431" s="144"/>
      <c r="D431" s="212">
        <f>I431</f>
        <v>0</v>
      </c>
      <c r="E431" s="212"/>
      <c r="F431" s="117"/>
      <c r="G431" s="117"/>
      <c r="H431" s="225"/>
      <c r="I431" s="152">
        <f>G431</f>
        <v>0</v>
      </c>
      <c r="T431" s="116"/>
      <c r="U431" s="116"/>
      <c r="X431" s="1092">
        <f>IF(AE431=0,AE431,AE431/D431)</f>
        <v>0</v>
      </c>
      <c r="Y431" s="343"/>
      <c r="Z431" s="820"/>
      <c r="AA431" s="164"/>
      <c r="AB431" s="164"/>
      <c r="AC431" s="164"/>
      <c r="AD431" s="164"/>
      <c r="AE431" s="152">
        <f>I431*BI431</f>
        <v>0</v>
      </c>
      <c r="AH431" s="564">
        <f>D431</f>
        <v>0</v>
      </c>
      <c r="AI431" s="565"/>
      <c r="AJ431" s="565"/>
      <c r="AK431" s="565"/>
      <c r="AL431" s="565"/>
      <c r="AM431" s="565"/>
      <c r="AN431" s="565"/>
      <c r="AO431" s="565"/>
      <c r="AP431" s="565"/>
      <c r="AQ431" s="565"/>
      <c r="AR431" s="565"/>
      <c r="AS431" s="565"/>
      <c r="AT431" s="566">
        <f>SUM(AH431:AQ431)</f>
        <v>0</v>
      </c>
      <c r="AU431" s="566"/>
      <c r="AV431" s="567"/>
      <c r="AW431" s="565"/>
      <c r="AX431" s="565"/>
      <c r="AY431" s="568"/>
      <c r="AZ431" s="2292"/>
      <c r="BA431" s="2292"/>
      <c r="BB431" s="2292"/>
      <c r="BC431" s="2292"/>
      <c r="BD431" s="2292"/>
      <c r="BE431" s="2292"/>
      <c r="BF431" s="2292"/>
      <c r="BH431" s="1065">
        <f>IF($Y431&lt;&gt;"votre valeur :",IF(ISNA(VLOOKUP($Y431,Utilitaires!$N$566:$O$571,2,FALSE)),,VLOOKUP($Y431,Utilitaires!$N$566:$O$571,2,FALSE)),$Z431)</f>
        <v>0</v>
      </c>
      <c r="BI431" s="1130">
        <f>SQRT(SUMSQ(0,BH431))</f>
        <v>0</v>
      </c>
    </row>
    <row r="432" spans="1:71" ht="12.75" hidden="1" customHeight="1" outlineLevel="2">
      <c r="B432" s="143" t="s">
        <v>3669</v>
      </c>
      <c r="C432" s="144"/>
      <c r="D432" s="212">
        <f>I432</f>
        <v>0</v>
      </c>
      <c r="E432" s="212"/>
      <c r="F432" s="120"/>
      <c r="G432" s="120"/>
      <c r="H432" s="225"/>
      <c r="I432" s="152">
        <f t="shared" ref="I432:I433" si="145">G432</f>
        <v>0</v>
      </c>
      <c r="T432" s="116"/>
      <c r="U432" s="116"/>
      <c r="X432" s="1092">
        <f>IF(AE432=0,AE432,AE432/D432)</f>
        <v>0</v>
      </c>
      <c r="Y432" s="343"/>
      <c r="Z432" s="820"/>
      <c r="AA432" s="164"/>
      <c r="AB432" s="164"/>
      <c r="AC432" s="164"/>
      <c r="AD432" s="164"/>
      <c r="AE432" s="152">
        <f>I432*BI432</f>
        <v>0</v>
      </c>
      <c r="AH432" s="564">
        <f>D432</f>
        <v>0</v>
      </c>
      <c r="AI432" s="565"/>
      <c r="AJ432" s="565"/>
      <c r="AK432" s="565"/>
      <c r="AL432" s="565"/>
      <c r="AM432" s="565"/>
      <c r="AN432" s="565"/>
      <c r="AO432" s="565"/>
      <c r="AP432" s="565"/>
      <c r="AQ432" s="565"/>
      <c r="AR432" s="565"/>
      <c r="AS432" s="565"/>
      <c r="AT432" s="566">
        <f>SUM(AH432:AQ432)</f>
        <v>0</v>
      </c>
      <c r="AU432" s="566"/>
      <c r="AV432" s="567"/>
      <c r="AW432" s="565"/>
      <c r="AX432" s="565"/>
      <c r="AY432" s="568"/>
      <c r="AZ432" s="2292"/>
      <c r="BA432" s="2292"/>
      <c r="BB432" s="2292"/>
      <c r="BC432" s="2292"/>
      <c r="BD432" s="2292"/>
      <c r="BE432" s="2292"/>
      <c r="BF432" s="2292"/>
      <c r="BH432" s="1065">
        <f>IF($Y432&lt;&gt;"votre valeur :",IF(ISNA(VLOOKUP($Y432,Utilitaires!$N$566:$O$571,2,FALSE)),,VLOOKUP($Y432,Utilitaires!$N$566:$O$571,2,FALSE)),$Z432)</f>
        <v>0</v>
      </c>
      <c r="BI432" s="1130">
        <f>SQRT(SUMSQ(0,BH432))</f>
        <v>0</v>
      </c>
    </row>
    <row r="433" spans="1:64" ht="12.75" hidden="1" customHeight="1" outlineLevel="2">
      <c r="B433" s="143" t="s">
        <v>3669</v>
      </c>
      <c r="C433" s="144"/>
      <c r="D433" s="212">
        <f>I433</f>
        <v>0</v>
      </c>
      <c r="E433" s="212"/>
      <c r="F433" s="123"/>
      <c r="G433" s="123"/>
      <c r="H433" s="225"/>
      <c r="I433" s="152">
        <f t="shared" si="145"/>
        <v>0</v>
      </c>
      <c r="T433" s="116"/>
      <c r="U433" s="116"/>
      <c r="X433" s="1092">
        <f>IF(AE433=0,AE433,AE433/D433)</f>
        <v>0</v>
      </c>
      <c r="Y433" s="1094"/>
      <c r="Z433" s="820"/>
      <c r="AA433" s="164"/>
      <c r="AB433" s="164"/>
      <c r="AC433" s="164"/>
      <c r="AD433" s="164"/>
      <c r="AE433" s="152">
        <f>I433*BI433</f>
        <v>0</v>
      </c>
      <c r="AH433" s="564">
        <f>D433</f>
        <v>0</v>
      </c>
      <c r="AI433" s="565"/>
      <c r="AJ433" s="565"/>
      <c r="AK433" s="565"/>
      <c r="AL433" s="565"/>
      <c r="AM433" s="565"/>
      <c r="AN433" s="565"/>
      <c r="AO433" s="565"/>
      <c r="AP433" s="565"/>
      <c r="AQ433" s="565"/>
      <c r="AR433" s="565"/>
      <c r="AS433" s="565"/>
      <c r="AT433" s="566">
        <f>SUM(AH433:AQ433)</f>
        <v>0</v>
      </c>
      <c r="AU433" s="566"/>
      <c r="AV433" s="567"/>
      <c r="AW433" s="565"/>
      <c r="AX433" s="565"/>
      <c r="AY433" s="568"/>
      <c r="AZ433" s="2292"/>
      <c r="BA433" s="2292"/>
      <c r="BB433" s="2292"/>
      <c r="BC433" s="2292"/>
      <c r="BD433" s="2292"/>
      <c r="BE433" s="2292"/>
      <c r="BF433" s="2292"/>
      <c r="BH433" s="1065">
        <f>IF($Y433&lt;&gt;"votre valeur :",IF(ISNA(VLOOKUP($Y433,Utilitaires!$N$566:$O$571,2,FALSE)),,VLOOKUP($Y433,Utilitaires!$N$566:$O$571,2,FALSE)),$Z433)</f>
        <v>0</v>
      </c>
      <c r="BI433" s="1130">
        <f>SQRT(SUMSQ(0,BH433))</f>
        <v>0</v>
      </c>
    </row>
    <row r="434" spans="1:64" ht="12.75" hidden="1" customHeight="1" outlineLevel="2">
      <c r="B434" s="154"/>
      <c r="C434" s="155"/>
      <c r="D434" s="221"/>
      <c r="E434" s="221"/>
      <c r="F434" s="155"/>
      <c r="G434" s="155"/>
      <c r="H434" s="155"/>
      <c r="I434" s="156"/>
      <c r="T434" s="116"/>
      <c r="U434" s="116"/>
      <c r="X434" s="1092"/>
      <c r="Y434" s="155"/>
      <c r="Z434" s="169"/>
      <c r="AA434" s="155"/>
      <c r="AB434" s="155"/>
      <c r="AC434" s="155"/>
      <c r="AD434" s="155"/>
      <c r="AE434" s="165"/>
      <c r="AH434" s="569"/>
      <c r="AI434" s="625"/>
      <c r="AJ434" s="625"/>
      <c r="AK434" s="625"/>
      <c r="AL434" s="625"/>
      <c r="AM434" s="625"/>
      <c r="AN434" s="625"/>
      <c r="AO434" s="625"/>
      <c r="AP434" s="625"/>
      <c r="AQ434" s="625"/>
      <c r="AR434" s="625"/>
      <c r="AS434" s="625"/>
      <c r="AT434" s="1313"/>
      <c r="AU434" s="1313"/>
      <c r="AV434" s="1314"/>
      <c r="AW434" s="565"/>
      <c r="AX434" s="565"/>
      <c r="AY434" s="568"/>
      <c r="AZ434" s="2292"/>
      <c r="BA434" s="2292"/>
      <c r="BB434" s="2292"/>
      <c r="BC434" s="2292"/>
      <c r="BD434" s="2292"/>
      <c r="BE434" s="2292"/>
      <c r="BF434" s="2292"/>
      <c r="BH434" s="1087"/>
      <c r="BI434" s="1153"/>
    </row>
    <row r="435" spans="1:64" ht="12.75" hidden="1" customHeight="1" outlineLevel="2">
      <c r="B435" s="196" t="s">
        <v>348</v>
      </c>
      <c r="C435" s="197"/>
      <c r="D435" s="214">
        <f>SUM(D431:D434)</f>
        <v>0</v>
      </c>
      <c r="E435" s="214"/>
      <c r="F435" s="198"/>
      <c r="G435" s="199"/>
      <c r="H435" s="199"/>
      <c r="I435" s="200">
        <f>SUM(I431:I434)</f>
        <v>0</v>
      </c>
      <c r="T435" s="116"/>
      <c r="U435" s="116"/>
      <c r="X435" s="1203">
        <f>IF(AE435=0,AE435,AE435/D435)</f>
        <v>0</v>
      </c>
      <c r="Y435" s="199"/>
      <c r="Z435" s="199"/>
      <c r="AA435" s="203"/>
      <c r="AB435" s="203"/>
      <c r="AC435" s="203"/>
      <c r="AD435" s="203"/>
      <c r="AE435" s="200">
        <f>SQRT(SUMSQ(AE431:AE434))</f>
        <v>0</v>
      </c>
      <c r="AH435" s="1308">
        <f>SUM(AH431:AH434)</f>
        <v>0</v>
      </c>
      <c r="AI435" s="1309"/>
      <c r="AJ435" s="1309"/>
      <c r="AK435" s="1309">
        <f>SUM(AK431:AK434)</f>
        <v>0</v>
      </c>
      <c r="AL435" s="1309"/>
      <c r="AM435" s="1309"/>
      <c r="AN435" s="1309">
        <f>SUM(AN431:AN434)</f>
        <v>0</v>
      </c>
      <c r="AO435" s="1309"/>
      <c r="AP435" s="1309"/>
      <c r="AQ435" s="1309">
        <f>SUM(AQ431:AQ434)</f>
        <v>0</v>
      </c>
      <c r="AR435" s="572"/>
      <c r="AS435" s="572"/>
      <c r="AT435" s="573">
        <f>SUM(AT431:AT434)</f>
        <v>0</v>
      </c>
      <c r="AU435" s="1312"/>
      <c r="AV435" s="1312"/>
      <c r="AW435" s="1082">
        <f>SUM(AW431:AW434)</f>
        <v>0</v>
      </c>
      <c r="AX435" s="572"/>
      <c r="AY435" s="575"/>
      <c r="AZ435" s="2292"/>
      <c r="BA435" s="2292"/>
      <c r="BB435" s="2292"/>
      <c r="BC435" s="2292"/>
      <c r="BD435" s="2292"/>
      <c r="BE435" s="2292"/>
      <c r="BF435" s="2292"/>
    </row>
    <row r="436" spans="1:64" ht="15" hidden="1" customHeight="1" outlineLevel="2">
      <c r="AP436" s="593"/>
    </row>
    <row r="437" spans="1:64" ht="12.75" hidden="1" customHeight="1" outlineLevel="2">
      <c r="B437" s="1091" t="s">
        <v>2552</v>
      </c>
      <c r="C437" s="140"/>
      <c r="D437" s="140"/>
      <c r="E437" s="140"/>
      <c r="F437" s="140"/>
      <c r="G437" s="140"/>
      <c r="H437" s="140"/>
      <c r="I437" s="140"/>
      <c r="J437" s="140"/>
      <c r="K437" s="140"/>
      <c r="L437" s="140"/>
      <c r="M437" s="140"/>
      <c r="N437" s="140"/>
      <c r="O437" s="140"/>
      <c r="P437" s="1341"/>
      <c r="X437" s="2636" t="s">
        <v>366</v>
      </c>
      <c r="Y437" s="2637"/>
      <c r="Z437" s="2637"/>
      <c r="AA437" s="2637"/>
      <c r="AB437" s="2637"/>
      <c r="AC437" s="2637"/>
      <c r="AD437" s="2637"/>
      <c r="AE437" s="2637"/>
      <c r="AF437" s="2638"/>
      <c r="AH437" s="2639" t="s">
        <v>441</v>
      </c>
      <c r="AI437" s="2640"/>
      <c r="AJ437" s="2640"/>
      <c r="AK437" s="2640"/>
      <c r="AL437" s="2640"/>
      <c r="AM437" s="2640"/>
      <c r="AN437" s="2640"/>
      <c r="AO437" s="2640"/>
      <c r="AP437" s="2640"/>
      <c r="AQ437" s="2640"/>
      <c r="AR437" s="2640"/>
      <c r="AS437" s="2640"/>
      <c r="AT437" s="2640"/>
      <c r="AU437" s="2640"/>
      <c r="AV437" s="2640"/>
      <c r="AW437" s="2640"/>
      <c r="AX437" s="2640"/>
      <c r="AY437" s="2640"/>
      <c r="AZ437" s="2640"/>
      <c r="BA437" s="2640"/>
      <c r="BB437" s="2434"/>
      <c r="BC437" s="2435"/>
      <c r="BD437" s="2435"/>
      <c r="BE437" s="2436"/>
      <c r="BF437" s="2448"/>
    </row>
    <row r="438" spans="1:64" ht="12.75" hidden="1" customHeight="1" outlineLevel="2">
      <c r="B438" s="332"/>
      <c r="C438" s="167"/>
      <c r="D438" s="1334" t="s">
        <v>308</v>
      </c>
      <c r="E438" s="1663"/>
      <c r="F438" s="155"/>
      <c r="G438" s="144"/>
      <c r="H438" s="144"/>
      <c r="I438" s="144"/>
      <c r="J438" s="144"/>
      <c r="K438" s="144"/>
      <c r="L438" s="1334"/>
      <c r="M438" s="1334"/>
      <c r="N438" s="2441"/>
      <c r="O438" s="1334"/>
      <c r="P438" s="153" t="s">
        <v>275</v>
      </c>
      <c r="X438" s="1316"/>
      <c r="Y438" s="1317"/>
      <c r="Z438" s="1317"/>
      <c r="AA438" s="1334"/>
      <c r="AB438" s="1334"/>
      <c r="AC438" s="2423"/>
      <c r="AD438" s="1334"/>
      <c r="AE438" s="1334"/>
      <c r="AF438" s="1320" t="s">
        <v>275</v>
      </c>
      <c r="AH438" s="2437" t="s">
        <v>444</v>
      </c>
      <c r="AI438" s="2438"/>
      <c r="AJ438" s="2438"/>
      <c r="AK438" s="2438"/>
      <c r="AL438" s="2438"/>
      <c r="AM438" s="2438"/>
      <c r="AN438" s="2438"/>
      <c r="AO438" s="2438"/>
      <c r="AP438" s="2438"/>
      <c r="AQ438" s="2438"/>
      <c r="AR438" s="2438"/>
      <c r="AS438" s="2438"/>
      <c r="AT438" s="2438"/>
      <c r="AU438" s="2438"/>
      <c r="AV438" s="2438"/>
      <c r="AW438" s="2438"/>
      <c r="AX438" s="2643" t="s">
        <v>444</v>
      </c>
      <c r="AY438" s="2643"/>
      <c r="AZ438" s="2643"/>
      <c r="BA438" s="2643"/>
      <c r="BB438" s="1081"/>
      <c r="BC438" s="624"/>
      <c r="BD438" s="624"/>
      <c r="BE438" s="578"/>
      <c r="BF438" s="2288"/>
      <c r="BH438" s="2616" t="s">
        <v>1648</v>
      </c>
      <c r="BI438" s="2617"/>
      <c r="BJ438" s="2617"/>
      <c r="BK438" s="2617"/>
      <c r="BL438" s="2618"/>
    </row>
    <row r="439" spans="1:64" ht="12.75" hidden="1" customHeight="1" outlineLevel="2">
      <c r="B439" s="143"/>
      <c r="C439" s="144"/>
      <c r="D439" s="1317" t="s">
        <v>409</v>
      </c>
      <c r="E439" s="1656"/>
      <c r="F439" s="1320" t="s">
        <v>452</v>
      </c>
      <c r="G439" s="1320"/>
      <c r="H439" s="2626" t="s">
        <v>2324</v>
      </c>
      <c r="I439" s="2628"/>
      <c r="J439" s="2628"/>
      <c r="K439" s="2628"/>
      <c r="L439" s="2768" t="s">
        <v>444</v>
      </c>
      <c r="M439" s="2768"/>
      <c r="N439" s="2768"/>
      <c r="O439" s="2841"/>
      <c r="P439" s="153" t="s">
        <v>276</v>
      </c>
      <c r="X439" s="1316" t="s">
        <v>316</v>
      </c>
      <c r="Y439" s="2629" t="s">
        <v>316</v>
      </c>
      <c r="Z439" s="2630"/>
      <c r="AA439" s="2626" t="s">
        <v>444</v>
      </c>
      <c r="AB439" s="2628"/>
      <c r="AC439" s="2628"/>
      <c r="AD439" s="2628"/>
      <c r="AE439" s="1334" t="s">
        <v>444</v>
      </c>
      <c r="AF439" s="153" t="s">
        <v>276</v>
      </c>
      <c r="AH439" s="2631" t="s">
        <v>211</v>
      </c>
      <c r="AI439" s="2632"/>
      <c r="AJ439" s="2632"/>
      <c r="AK439" s="2632"/>
      <c r="AL439" s="2632" t="s">
        <v>442</v>
      </c>
      <c r="AM439" s="2632"/>
      <c r="AN439" s="2632"/>
      <c r="AO439" s="2632"/>
      <c r="AP439" s="2632" t="s">
        <v>267</v>
      </c>
      <c r="AQ439" s="2632"/>
      <c r="AR439" s="2632"/>
      <c r="AS439" s="2632"/>
      <c r="AT439" s="2632" t="s">
        <v>443</v>
      </c>
      <c r="AU439" s="2632"/>
      <c r="AV439" s="2632"/>
      <c r="AW439" s="2632"/>
      <c r="AX439" s="2648" t="s">
        <v>327</v>
      </c>
      <c r="AY439" s="2648"/>
      <c r="AZ439" s="2648"/>
      <c r="BA439" s="2648"/>
      <c r="BB439" s="2631" t="s">
        <v>636</v>
      </c>
      <c r="BC439" s="2632"/>
      <c r="BD439" s="2632"/>
      <c r="BE439" s="2650"/>
      <c r="BF439" s="2450"/>
      <c r="BH439" s="2837" t="s">
        <v>1646</v>
      </c>
      <c r="BI439" s="2833" t="s">
        <v>2222</v>
      </c>
      <c r="BJ439" s="2834"/>
      <c r="BK439" s="2834"/>
      <c r="BL439" s="2835"/>
    </row>
    <row r="440" spans="1:64" ht="27" hidden="1" customHeight="1" outlineLevel="2">
      <c r="B440" s="143"/>
      <c r="C440" s="144"/>
      <c r="D440" s="1317" t="s">
        <v>444</v>
      </c>
      <c r="E440" s="1656"/>
      <c r="F440" s="1321" t="s">
        <v>445</v>
      </c>
      <c r="G440" s="1321" t="s">
        <v>415</v>
      </c>
      <c r="H440" s="1322" t="s">
        <v>411</v>
      </c>
      <c r="I440" s="1322" t="s">
        <v>257</v>
      </c>
      <c r="J440" s="1762" t="s">
        <v>5079</v>
      </c>
      <c r="K440" s="1762" t="s">
        <v>422</v>
      </c>
      <c r="L440" s="1318" t="s">
        <v>411</v>
      </c>
      <c r="M440" s="1318" t="s">
        <v>257</v>
      </c>
      <c r="N440" s="2463" t="s">
        <v>5079</v>
      </c>
      <c r="O440" s="1318" t="s">
        <v>422</v>
      </c>
      <c r="P440" s="153" t="s">
        <v>444</v>
      </c>
      <c r="X440" s="1316" t="s">
        <v>1649</v>
      </c>
      <c r="Y440" s="2646" t="s">
        <v>1650</v>
      </c>
      <c r="Z440" s="2647"/>
      <c r="AA440" s="1322" t="s">
        <v>411</v>
      </c>
      <c r="AB440" s="1322" t="s">
        <v>257</v>
      </c>
      <c r="AC440" s="1120" t="s">
        <v>5079</v>
      </c>
      <c r="AD440" s="1322" t="s">
        <v>422</v>
      </c>
      <c r="AE440" s="1334" t="s">
        <v>327</v>
      </c>
      <c r="AF440" s="153" t="s">
        <v>444</v>
      </c>
      <c r="AH440" s="1331" t="s">
        <v>411</v>
      </c>
      <c r="AI440" s="1332" t="s">
        <v>257</v>
      </c>
      <c r="AJ440" s="2464" t="s">
        <v>5079</v>
      </c>
      <c r="AK440" s="1332" t="s">
        <v>422</v>
      </c>
      <c r="AL440" s="1332" t="s">
        <v>411</v>
      </c>
      <c r="AM440" s="1332" t="s">
        <v>257</v>
      </c>
      <c r="AN440" s="2464" t="s">
        <v>5079</v>
      </c>
      <c r="AO440" s="2286" t="s">
        <v>422</v>
      </c>
      <c r="AP440" s="2286" t="s">
        <v>411</v>
      </c>
      <c r="AQ440" s="1332" t="s">
        <v>257</v>
      </c>
      <c r="AR440" s="2464" t="s">
        <v>5079</v>
      </c>
      <c r="AS440" s="2286" t="s">
        <v>422</v>
      </c>
      <c r="AT440" s="1332" t="s">
        <v>411</v>
      </c>
      <c r="AU440" s="1332" t="s">
        <v>257</v>
      </c>
      <c r="AV440" s="2464" t="s">
        <v>5079</v>
      </c>
      <c r="AW440" s="2464" t="s">
        <v>422</v>
      </c>
      <c r="AX440" s="581" t="s">
        <v>411</v>
      </c>
      <c r="AY440" s="581" t="s">
        <v>257</v>
      </c>
      <c r="AZ440" s="2465" t="s">
        <v>5079</v>
      </c>
      <c r="BA440" s="581" t="s">
        <v>422</v>
      </c>
      <c r="BB440" s="2285" t="s">
        <v>411</v>
      </c>
      <c r="BC440" s="2286" t="s">
        <v>257</v>
      </c>
      <c r="BD440" s="2464" t="s">
        <v>5079</v>
      </c>
      <c r="BE440" s="2287" t="s">
        <v>422</v>
      </c>
      <c r="BF440" s="2449"/>
      <c r="BH440" s="2838"/>
      <c r="BI440" s="1325" t="s">
        <v>411</v>
      </c>
      <c r="BJ440" s="1325" t="s">
        <v>257</v>
      </c>
      <c r="BK440" s="1327" t="s">
        <v>5079</v>
      </c>
      <c r="BL440" s="2445" t="s">
        <v>422</v>
      </c>
    </row>
    <row r="441" spans="1:64" ht="12.75" hidden="1" customHeight="1" outlineLevel="2">
      <c r="B441" s="143" t="s">
        <v>4017</v>
      </c>
      <c r="C441" s="144"/>
      <c r="D441" s="212">
        <f>SUM(L441:O441)</f>
        <v>0</v>
      </c>
      <c r="E441" s="212"/>
      <c r="F441" s="409"/>
      <c r="G441" s="117"/>
      <c r="H441" s="335">
        <f>VLOOKUP($B441&amp;"; "&amp;$H$439&amp;", "&amp;H$440,'FE Fret'!$G:$U,9,FALSE)</f>
        <v>0.31</v>
      </c>
      <c r="I441" s="335">
        <f>VLOOKUP($B441&amp;"; "&amp;$H$439&amp;", "&amp;I$440,'FE Fret'!$G:$U,9,FALSE)</f>
        <v>1.59</v>
      </c>
      <c r="J441" s="335">
        <f>IF(ISNA(VLOOKUP($B441&amp;"; "&amp;$H$439&amp;", "&amp;J$440,'FE Fret'!$G:$U,9,FALSE)),0,VLOOKUP($B441&amp;"; "&amp;$H$439&amp;", "&amp;J$440,'FE Fret'!$G:$U,9,FALSE))</f>
        <v>1.57</v>
      </c>
      <c r="K441" s="2446">
        <f>IF(ISNA(VLOOKUP($B441&amp;"; "&amp;$H$439&amp;", "&amp;K$440,'FE Fret'!$G:$U,9,FALSE)),0,VLOOKUP($B441&amp;"; "&amp;$H$439&amp;", "&amp;K$440,'FE Fret'!$G:$U,9,FALSE))</f>
        <v>2.2899999999999999E-3</v>
      </c>
      <c r="L441" s="356">
        <f>G441*H441</f>
        <v>0</v>
      </c>
      <c r="M441" s="356">
        <f>G441*I441</f>
        <v>0</v>
      </c>
      <c r="N441" s="356">
        <f>G441*J441</f>
        <v>0</v>
      </c>
      <c r="O441" s="151">
        <f>G441*K441</f>
        <v>0</v>
      </c>
      <c r="P441" s="1286">
        <f>IF(OR(F441=Utilitaires!$G$572,F441=Utilitaires!$G$577),M441,0)</f>
        <v>0</v>
      </c>
      <c r="X441" s="1092">
        <f>IF(AE441=0,AE441,AE441/D441)</f>
        <v>0</v>
      </c>
      <c r="Y441" s="343"/>
      <c r="Z441" s="820"/>
      <c r="AA441" s="164">
        <f>IF(ISNA(L441*BI441),0,L441*BI441)</f>
        <v>0</v>
      </c>
      <c r="AB441" s="164">
        <f>IF(ISNA(M441*BJ441),0,M441*BJ441)</f>
        <v>0</v>
      </c>
      <c r="AC441" s="164">
        <f>IF(ISNA(N441*BK441),0,N441*BK441)</f>
        <v>0</v>
      </c>
      <c r="AD441" s="164">
        <f>IF(ISNA(O441*BL441),0,O441*BL441)</f>
        <v>0</v>
      </c>
      <c r="AE441" s="151">
        <f>SQRT(SUMSQ(AA441:AD441))</f>
        <v>0</v>
      </c>
      <c r="AF441" s="1286">
        <f>X441*P441</f>
        <v>0</v>
      </c>
      <c r="AH441" s="564">
        <f>$G441*IF(ISNA(VLOOKUP($B441&amp;"; "&amp;$H$439&amp;", "&amp;H$440,'FE Fret'!$G:$U,10,FALSE)),0,VLOOKUP($B441&amp;"; "&amp;$H$439&amp;", "&amp;H$440,'FE Fret'!$G:$U,10,FALSE))</f>
        <v>0</v>
      </c>
      <c r="AI441" s="565">
        <f>$G441*IF(ISNA(VLOOKUP($B441&amp;"; "&amp;$H$439&amp;", "&amp;I$440,'FE Fret'!$G:$U,10,FALSE)),0,VLOOKUP($B441&amp;"; "&amp;$H$439&amp;", "&amp;I$440,'FE Fret'!$G:$U,10,FALSE))</f>
        <v>0</v>
      </c>
      <c r="AJ441" s="565">
        <f>$G441*IF(ISNA(VLOOKUP($B441&amp;"; "&amp;$H$439&amp;", "&amp;J$440,'FE Fret'!$G:$U,10,FALSE)),0,VLOOKUP($B441&amp;"; "&amp;$H$439&amp;", "&amp;J$440,'FE Fret'!$G:$U,10,FALSE))</f>
        <v>0</v>
      </c>
      <c r="AK441" s="565">
        <f>$G441*IF(ISNA((VLOOKUP($B441&amp;"; "&amp;$H$439&amp;", "&amp;K440,'FE Fret'!$G:$U,11,FALSE)+VLOOKUP($B441&amp;"; "&amp;$H$439&amp;", "&amp;K$440,'FE Fret'!$G:$U,12,FALSE))),0,(VLOOKUP($B441&amp;"; "&amp;$H$439&amp;", "&amp;K$440,'FE Fret'!$G:$U,11,FALSE)+VLOOKUP($B441&amp;"; "&amp;$H$439&amp;", "&amp;K$440,'FE Fret'!$G:$U,12,FALSE)))</f>
        <v>0</v>
      </c>
      <c r="AL441" s="565">
        <f>$G441*IF(ISNA((VLOOKUP($B441&amp;"; "&amp;$H$439&amp;", "&amp;H$440,'FE Fret'!$G:$U,11,FALSE)+VLOOKUP($B441&amp;"; "&amp;$H$439&amp;", "&amp;H$440,'FE Fret'!$G:$U,12,FALSE))),0,(VLOOKUP($B441&amp;"; "&amp;$H$439&amp;", "&amp;H$440,'FE Fret'!$G:$U,11,FALSE)+VLOOKUP($B441&amp;"; "&amp;$H$439&amp;", "&amp;H$440,'FE Fret'!$G:$U,12,FALSE)))</f>
        <v>0</v>
      </c>
      <c r="AM441" s="565">
        <f>$G441*IF(ISNA((VLOOKUP($B441&amp;"; "&amp;$H$439&amp;", "&amp;I$440,'FE Fret'!$G:$U,11,FALSE)+VLOOKUP($B441&amp;"; "&amp;$H$439&amp;", "&amp;I$440,'FE Fret'!$G:$U,12,FALSE))),0,(VLOOKUP($B441&amp;"; "&amp;$H$439&amp;", "&amp;I$440,'FE Fret'!$G:$U,11,FALSE)+VLOOKUP($B441&amp;"; "&amp;$H$439&amp;", "&amp;I$440,'FE Fret'!$G:$U,12,FALSE)))</f>
        <v>0</v>
      </c>
      <c r="AN441" s="565">
        <f>$G441*IF(ISNA(VLOOKUP($B441&amp;"; "&amp;$H$439&amp;", "&amp;J$440,'FE Fret'!$G:$U,13,FALSE)),0,VLOOKUP($B441&amp;"; "&amp;$H$439&amp;", "&amp;J$440,'FE Fret'!$G:$U,13,FALSE))</f>
        <v>0</v>
      </c>
      <c r="AO441" s="565">
        <f>$G441*IF(ISNA(VLOOKUP($B441&amp;"; "&amp;$H$439&amp;", "&amp;K$440,'FE Fret'!$G:$U,13,FALSE)),0,VLOOKUP($B441&amp;"; "&amp;$H$439&amp;", "&amp;K$440,'FE Fret'!$G:$U,13,FALSE))</f>
        <v>0</v>
      </c>
      <c r="AP441" s="565">
        <f>$G441*IF(ISNA(VLOOKUP($B441&amp;"; "&amp;$H$439&amp;", "&amp;H$440,'FE Fret'!$G:$U,13,FALSE)),0,VLOOKUP($B441&amp;"; "&amp;$H$439&amp;", "&amp;H$440,'FE Fret'!$G:$U,13,FALSE))</f>
        <v>0</v>
      </c>
      <c r="AQ441" s="565">
        <f>$G441*IF(ISNA(VLOOKUP($B441&amp;"; "&amp;$H$439&amp;", "&amp;I$440,'FE Fret'!$G:$U,13,FALSE)),0,VLOOKUP($B441&amp;"; "&amp;$H$439&amp;", "&amp;I$440,'FE Fret'!$G:$U,13,FALSE))</f>
        <v>0</v>
      </c>
      <c r="AR441" s="565">
        <f>$G441*IF(ISNA(VLOOKUP($B441&amp;"; "&amp;$H$439&amp;", "&amp;J$440,'FE Fret'!$G:$U,13,FALSE)),0,VLOOKUP($B441&amp;"; "&amp;$H$439&amp;", "&amp;J$440,'FE Fret'!$G:$U,13,FALSE))</f>
        <v>0</v>
      </c>
      <c r="AS441" s="565">
        <f>$G441*IF(ISNA(VLOOKUP($B441&amp;"; "&amp;$H$439&amp;", "&amp;K$440,'FE Fret'!$G:$U,13,FALSE)),0,VLOOKUP($B441&amp;"; "&amp;$H$439&amp;", "&amp;K$440,'FE Fret'!$G:$U,13,FALSE))</f>
        <v>0</v>
      </c>
      <c r="AT441" s="565">
        <f>$G441*IF(ISNA(VLOOKUP($B441&amp;"; "&amp;$H$439&amp;", "&amp;H$440,'FE Fret'!$G:$U,14,FALSE)),0,VLOOKUP($B441&amp;"; "&amp;$H$439&amp;", "&amp;H$440,'FE Fret'!$G:$U,14,FALSE))</f>
        <v>0</v>
      </c>
      <c r="AU441" s="565">
        <f>$G441*IF(ISNA(VLOOKUP($B441&amp;"; "&amp;$H$439&amp;", "&amp;I$440,'FE Fret'!$G:$U,14,FALSE)),0,VLOOKUP($B441&amp;"; "&amp;$H$439&amp;", "&amp;I$440,'FE Fret'!$G:$U,14,FALSE))</f>
        <v>0</v>
      </c>
      <c r="AV441" s="565">
        <f>$G441*IF(ISNA(VLOOKUP($B441&amp;"; "&amp;$H$439&amp;", "&amp;J$440,'FE Fret'!$G:$U,14,FALSE)),0,VLOOKUP($B441&amp;"; "&amp;$H$439&amp;", "&amp;J$440,'FE Fret'!$G:$U,14,FALSE))</f>
        <v>0</v>
      </c>
      <c r="AW441" s="565">
        <f>$G441*IF(ISNA(VLOOKUP($B441&amp;"; "&amp;$H$439&amp;", "&amp;K$440,'FE Fret'!$G:$U,14,FALSE)),0,VLOOKUP($B441&amp;"; "&amp;$H$439&amp;", "&amp;K$440,'FE Fret'!$G:$U,14,FALSE))</f>
        <v>0</v>
      </c>
      <c r="AX441" s="566">
        <f>L441</f>
        <v>0</v>
      </c>
      <c r="AY441" s="566">
        <f>M441</f>
        <v>0</v>
      </c>
      <c r="AZ441" s="566">
        <f>N441</f>
        <v>0</v>
      </c>
      <c r="BA441" s="566">
        <f>O441</f>
        <v>0</v>
      </c>
      <c r="BB441" s="564">
        <f>$G441*IF(ISNA(VLOOKUP($B441&amp;"; "&amp;$H$439&amp;", "&amp;H$440,'FE Fret'!$G:$U,15,FALSE)),0,VLOOKUP($B441&amp;"; "&amp;$H$439&amp;", "&amp;H$440,'FE Fret'!$G:$U,15,FALSE))</f>
        <v>0</v>
      </c>
      <c r="BC441" s="565">
        <f>$G441*IF(ISNA(VLOOKUP($B441&amp;"; "&amp;$H$439&amp;", "&amp;I$440,'FE Fret'!$G:$U,15,FALSE)),0,VLOOKUP($B441&amp;"; "&amp;$H$439&amp;", "&amp;I$440,'FE Fret'!$G:$U,15,FALSE))</f>
        <v>0</v>
      </c>
      <c r="BD441" s="565">
        <f>$G441*IF(ISNA(VLOOKUP($B441&amp;"; "&amp;$H$439&amp;", "&amp;J$440,'FE Fret'!$G:$U,15,FALSE)),0,VLOOKUP($B441&amp;"; "&amp;$H$439&amp;", "&amp;J$440,'FE Fret'!$G:$U,15,FALSE))</f>
        <v>0</v>
      </c>
      <c r="BE441" s="568">
        <f>$G441*IF(ISNA(VLOOKUP($B441&amp;"; "&amp;$H$439&amp;", "&amp;K$440,'FE Fret'!$G:$U,15,FALSE)),0,VLOOKUP($B441&amp;"; "&amp;$H$439&amp;", "&amp;K$440,'FE Fret'!$G:$U,15,FALSE))</f>
        <v>0</v>
      </c>
      <c r="BF441" s="2292"/>
      <c r="BH441" s="1065">
        <f>IF($Y441&lt;&gt;"votre valeur :",IF(ISNA(VLOOKUP($Y441,Utilitaires!$N$566:$O$571,2,FALSE)),,VLOOKUP($Y441,Utilitaires!$N$566:$O$571,2,FALSE)),$Z441)</f>
        <v>0</v>
      </c>
      <c r="BI441" s="1124">
        <f>IF(ISNA(SQRT(SUMSQ(VLOOKUP($B441&amp;"; "&amp;$H$439&amp;", "&amp;H$440,'FE Fret'!$G:$U,7,FALSE),$BH441))),0,SQRT(SUMSQ(VLOOKUP($B441&amp;"; "&amp;$H$439&amp;", "&amp;H$440,'FE Fret'!$G:$U,7,FALSE),$BH441)))</f>
        <v>0.7</v>
      </c>
      <c r="BJ441" s="1124">
        <f>IF(ISNA(SQRT(SUMSQ(VLOOKUP($B441&amp;"; "&amp;$H$439&amp;", "&amp;I$440,'FE Fret'!$G:$U,7,FALSE),$BH441))),0,SQRT(SUMSQ(VLOOKUP($B441&amp;"; "&amp;$H$439&amp;", "&amp;I$440,'FE Fret'!$G:$U,7,FALSE),$BH441)))</f>
        <v>0.7</v>
      </c>
      <c r="BK441" s="1130">
        <f>IF(ISNA(SQRT(SUMSQ(VLOOKUP($B441&amp;"; "&amp;$H$439&amp;", "&amp;J$440,'FE Fret'!$G:$U,7,FALSE),$BH441))),0,SQRT(SUMSQ(VLOOKUP($B441&amp;"; "&amp;$H$439&amp;", "&amp;J$440,'FE Fret'!$G:$U,7,FALSE),$BH441)))</f>
        <v>0.7</v>
      </c>
      <c r="BL441" s="1130">
        <f>IF(ISNA(SQRT(SUMSQ(VLOOKUP($B441&amp;"; "&amp;$H$439&amp;", "&amp;K$440,'FE Fret'!$G:$U,7,FALSE),$BH441))),0,SQRT(SUMSQ(VLOOKUP($B441&amp;"; "&amp;$H$439&amp;", "&amp;K$440,'FE Fret'!$G:$U,7,FALSE),$BH441)))</f>
        <v>0.7</v>
      </c>
    </row>
    <row r="442" spans="1:64" ht="12.75" hidden="1" customHeight="1" outlineLevel="2">
      <c r="B442" s="143" t="s">
        <v>4802</v>
      </c>
      <c r="C442" s="144"/>
      <c r="D442" s="212">
        <f>SUM(L442:O442)</f>
        <v>0</v>
      </c>
      <c r="E442" s="212"/>
      <c r="F442" s="346"/>
      <c r="G442" s="120"/>
      <c r="H442" s="335">
        <f>VLOOKUP($B442&amp;"; "&amp;$H$439&amp;", "&amp;H$440,'FE Fret'!$G:$U,9,FALSE)</f>
        <v>0.17499999999999999</v>
      </c>
      <c r="I442" s="335">
        <f>VLOOKUP($B442&amp;"; "&amp;$H$439&amp;", "&amp;I$440,'FE Fret'!$G:$U,9,FALSE)</f>
        <v>0.84099999999999997</v>
      </c>
      <c r="J442" s="335">
        <f>IF(ISNA(VLOOKUP($B442&amp;"; "&amp;$H$439&amp;", "&amp;J$440,'FE Fret'!$G:$U,9,FALSE)),0,VLOOKUP($B442&amp;"; "&amp;$H$439&amp;", "&amp;J$440,'FE Fret'!$G:$U,9,FALSE))</f>
        <v>0</v>
      </c>
      <c r="K442" s="2446">
        <f>IF(ISNA(VLOOKUP($B442&amp;"; "&amp;$H$439&amp;", "&amp;K$440,'FE Fret'!$G:$U,9,FALSE)),0,VLOOKUP($B442&amp;"; "&amp;$H$439&amp;", "&amp;K$440,'FE Fret'!$G:$U,9,FALSE))</f>
        <v>3.6600000000000001E-3</v>
      </c>
      <c r="L442" s="356">
        <f t="shared" ref="L442:L443" si="146">G442*H442</f>
        <v>0</v>
      </c>
      <c r="M442" s="356">
        <f t="shared" ref="M442:M443" si="147">G442*I442</f>
        <v>0</v>
      </c>
      <c r="N442" s="356">
        <f t="shared" ref="N442:N443" si="148">G442*J442</f>
        <v>0</v>
      </c>
      <c r="O442" s="151">
        <f t="shared" ref="O442:O443" si="149">G442*K442</f>
        <v>0</v>
      </c>
      <c r="P442" s="1286">
        <f>IF(OR(F442=Utilitaires!$G$572,F442=Utilitaires!$G$577),M442,0)</f>
        <v>0</v>
      </c>
      <c r="X442" s="1092">
        <f>IF(AE442=0,AE442,AE442/D442)</f>
        <v>0</v>
      </c>
      <c r="Y442" s="343"/>
      <c r="Z442" s="820"/>
      <c r="AA442" s="164">
        <f>IF(ISNA(L442*BI442),0,L442*BI442)</f>
        <v>0</v>
      </c>
      <c r="AB442" s="164">
        <f>IF(ISNA(M442*BJ442),0,M442*BJ442)</f>
        <v>0</v>
      </c>
      <c r="AC442" s="164">
        <f t="shared" ref="AC442:AC443" si="150">IF(ISNA(N442*BK442),0,N442*BK442)</f>
        <v>0</v>
      </c>
      <c r="AD442" s="164">
        <f t="shared" ref="AD442:AD443" si="151">IF(ISNA(O442*BL442),0,O442*BL442)</f>
        <v>0</v>
      </c>
      <c r="AE442" s="151">
        <f>SQRT(SUMSQ(AA442:AD442))</f>
        <v>0</v>
      </c>
      <c r="AF442" s="1286">
        <f>X442*P442</f>
        <v>0</v>
      </c>
      <c r="AH442" s="564">
        <f>$G442*IF(ISNA(VLOOKUP($B442&amp;"; "&amp;$H$439&amp;", "&amp;H$440,'FE Fret'!$G:$U,10,FALSE)),0,VLOOKUP($B442&amp;"; "&amp;$H$439&amp;", "&amp;H$440,'FE Fret'!$G:$U,10,FALSE))</f>
        <v>0</v>
      </c>
      <c r="AI442" s="565">
        <f>$G442*IF(ISNA(VLOOKUP($B442&amp;"; "&amp;$H$439&amp;", "&amp;I$440,'FE Fret'!$G:$U,10,FALSE)),0,VLOOKUP($B442&amp;"; "&amp;$H$439&amp;", "&amp;I$440,'FE Fret'!$G:$U,10,FALSE))</f>
        <v>0</v>
      </c>
      <c r="AJ442" s="565">
        <f>$G442*IF(ISNA(VLOOKUP($B442&amp;"; "&amp;$H$439&amp;", "&amp;J$440,'FE Fret'!$G:$U,10,FALSE)),0,VLOOKUP($B442&amp;"; "&amp;$H$439&amp;", "&amp;J$440,'FE Fret'!$G:$U,10,FALSE))</f>
        <v>0</v>
      </c>
      <c r="AK442" s="565">
        <f>$G442*IF(ISNA((VLOOKUP($B442&amp;"; "&amp;$H$439&amp;", "&amp;K441,'FE Fret'!$G:$U,11,FALSE)+VLOOKUP($B442&amp;"; "&amp;$H$439&amp;", "&amp;K$440,'FE Fret'!$G:$U,12,FALSE))),0,(VLOOKUP($B442&amp;"; "&amp;$H$439&amp;", "&amp;K$440,'FE Fret'!$G:$U,11,FALSE)+VLOOKUP($B442&amp;"; "&amp;$H$439&amp;", "&amp;K$440,'FE Fret'!$G:$U,12,FALSE)))</f>
        <v>0</v>
      </c>
      <c r="AL442" s="565">
        <f>$G442*IF(ISNA((VLOOKUP($B442&amp;"; "&amp;$H$439&amp;", "&amp;H$440,'FE Fret'!$G:$U,11,FALSE)+VLOOKUP($B442&amp;"; "&amp;$H$439&amp;", "&amp;H$440,'FE Fret'!$G:$U,12,FALSE))),0,(VLOOKUP($B442&amp;"; "&amp;$H$439&amp;", "&amp;H$440,'FE Fret'!$G:$U,11,FALSE)+VLOOKUP($B442&amp;"; "&amp;$H$439&amp;", "&amp;H$440,'FE Fret'!$G:$U,12,FALSE)))</f>
        <v>0</v>
      </c>
      <c r="AM442" s="565">
        <f>$G442*IF(ISNA((VLOOKUP($B442&amp;"; "&amp;$H$439&amp;", "&amp;I$440,'FE Fret'!$G:$U,11,FALSE)+VLOOKUP($B442&amp;"; "&amp;$H$439&amp;", "&amp;I$440,'FE Fret'!$G:$U,12,FALSE))),0,(VLOOKUP($B442&amp;"; "&amp;$H$439&amp;", "&amp;I$440,'FE Fret'!$G:$U,11,FALSE)+VLOOKUP($B442&amp;"; "&amp;$H$439&amp;", "&amp;I$440,'FE Fret'!$G:$U,12,FALSE)))</f>
        <v>0</v>
      </c>
      <c r="AN442" s="565">
        <f>$G442*IF(ISNA(VLOOKUP($B442&amp;"; "&amp;$H$439&amp;", "&amp;J$440,'FE Fret'!$G:$U,13,FALSE)),0,VLOOKUP($B442&amp;"; "&amp;$H$439&amp;", "&amp;J$440,'FE Fret'!$G:$U,13,FALSE))</f>
        <v>0</v>
      </c>
      <c r="AO442" s="565">
        <f>$G442*IF(ISNA(VLOOKUP($B442&amp;"; "&amp;$H$439&amp;", "&amp;K$440,'FE Fret'!$G:$U,13,FALSE)),0,VLOOKUP($B442&amp;"; "&amp;$H$439&amp;", "&amp;K$440,'FE Fret'!$G:$U,13,FALSE))</f>
        <v>0</v>
      </c>
      <c r="AP442" s="565">
        <f>$G442*IF(ISNA(VLOOKUP($B442&amp;"; "&amp;$H$439&amp;", "&amp;H$440,'FE Fret'!$G:$U,13,FALSE)),0,VLOOKUP($B442&amp;"; "&amp;$H$439&amp;", "&amp;H$440,'FE Fret'!$G:$U,13,FALSE))</f>
        <v>0</v>
      </c>
      <c r="AQ442" s="565">
        <f>$G442*IF(ISNA(VLOOKUP($B442&amp;"; "&amp;$H$439&amp;", "&amp;I$440,'FE Fret'!$G:$U,13,FALSE)),0,VLOOKUP($B442&amp;"; "&amp;$H$439&amp;", "&amp;I$440,'FE Fret'!$G:$U,13,FALSE))</f>
        <v>0</v>
      </c>
      <c r="AR442" s="565">
        <f>$G442*IF(ISNA(VLOOKUP($B442&amp;"; "&amp;$H$439&amp;", "&amp;J$440,'FE Fret'!$G:$U,13,FALSE)),0,VLOOKUP($B442&amp;"; "&amp;$H$439&amp;", "&amp;J$440,'FE Fret'!$G:$U,13,FALSE))</f>
        <v>0</v>
      </c>
      <c r="AS442" s="565">
        <f>$G442*IF(ISNA(VLOOKUP($B442&amp;"; "&amp;$H$439&amp;", "&amp;K$440,'FE Fret'!$G:$U,13,FALSE)),0,VLOOKUP($B442&amp;"; "&amp;$H$439&amp;", "&amp;K$440,'FE Fret'!$G:$U,13,FALSE))</f>
        <v>0</v>
      </c>
      <c r="AT442" s="565">
        <f>$G442*IF(ISNA(VLOOKUP($B442&amp;"; "&amp;$H$439&amp;", "&amp;H$440,'FE Fret'!$G:$U,14,FALSE)),0,VLOOKUP($B442&amp;"; "&amp;$H$439&amp;", "&amp;H$440,'FE Fret'!$G:$U,14,FALSE))</f>
        <v>0</v>
      </c>
      <c r="AU442" s="565">
        <f>$G442*IF(ISNA(VLOOKUP($B442&amp;"; "&amp;$H$439&amp;", "&amp;I$440,'FE Fret'!$G:$U,14,FALSE)),0,VLOOKUP($B442&amp;"; "&amp;$H$439&amp;", "&amp;I$440,'FE Fret'!$G:$U,14,FALSE))</f>
        <v>0</v>
      </c>
      <c r="AV442" s="565">
        <f>$G442*IF(ISNA(VLOOKUP($B442&amp;"; "&amp;$H$439&amp;", "&amp;J$440,'FE Fret'!$G:$U,14,FALSE)),0,VLOOKUP($B442&amp;"; "&amp;$H$439&amp;", "&amp;J$440,'FE Fret'!$G:$U,14,FALSE))</f>
        <v>0</v>
      </c>
      <c r="AW442" s="565">
        <f>$G442*IF(ISNA(VLOOKUP($B442&amp;"; "&amp;$H$439&amp;", "&amp;K$440,'FE Fret'!$G:$U,14,FALSE)),0,VLOOKUP($B442&amp;"; "&amp;$H$439&amp;", "&amp;K$440,'FE Fret'!$G:$U,14,FALSE))</f>
        <v>0</v>
      </c>
      <c r="AX442" s="566">
        <f t="shared" ref="AX442:AX443" si="152">L442</f>
        <v>0</v>
      </c>
      <c r="AY442" s="566">
        <f t="shared" ref="AY442:AY443" si="153">M442</f>
        <v>0</v>
      </c>
      <c r="AZ442" s="566">
        <f t="shared" ref="AZ442:AZ443" si="154">N442</f>
        <v>0</v>
      </c>
      <c r="BA442" s="566">
        <f t="shared" ref="BA442:BA443" si="155">O442</f>
        <v>0</v>
      </c>
      <c r="BB442" s="564">
        <f>$G442*IF(ISNA(VLOOKUP($B442&amp;"; "&amp;$H$439&amp;", "&amp;H$440,'FE Fret'!$G:$U,15,FALSE)),0,VLOOKUP($B442&amp;"; "&amp;$H$439&amp;", "&amp;H$440,'FE Fret'!$G:$U,15,FALSE))</f>
        <v>0</v>
      </c>
      <c r="BC442" s="565">
        <f>$G442*IF(ISNA(VLOOKUP($B442&amp;"; "&amp;$H$439&amp;", "&amp;I$440,'FE Fret'!$G:$U,15,FALSE)),0,VLOOKUP($B442&amp;"; "&amp;$H$439&amp;", "&amp;I$440,'FE Fret'!$G:$U,15,FALSE))</f>
        <v>0</v>
      </c>
      <c r="BD442" s="565">
        <f>$G442*IF(ISNA(VLOOKUP($B442&amp;"; "&amp;$H$439&amp;", "&amp;J$440,'FE Fret'!$G:$U,15,FALSE)),0,VLOOKUP($B442&amp;"; "&amp;$H$439&amp;", "&amp;J$440,'FE Fret'!$G:$U,15,FALSE))</f>
        <v>0</v>
      </c>
      <c r="BE442" s="568">
        <f>$G442*IF(ISNA(VLOOKUP($B442&amp;"; "&amp;$H$439&amp;", "&amp;K$440,'FE Fret'!$G:$U,15,FALSE)),0,VLOOKUP($B442&amp;"; "&amp;$H$439&amp;", "&amp;K$440,'FE Fret'!$G:$U,15,FALSE))</f>
        <v>0</v>
      </c>
      <c r="BF442" s="2292"/>
      <c r="BH442" s="1065">
        <f>IF($Y442&lt;&gt;"votre valeur :",IF(ISNA(VLOOKUP($Y442,Utilitaires!$N$566:$O$571,2,FALSE)),,VLOOKUP($Y442,Utilitaires!$N$566:$O$571,2,FALSE)),$Z442)</f>
        <v>0</v>
      </c>
      <c r="BI442" s="1124">
        <f>IF(ISNA(SQRT(SUMSQ(VLOOKUP($B442&amp;"; "&amp;$H$439&amp;", "&amp;H$440,'FE Fret'!$G:$U,7,FALSE),$BH442))),0,SQRT(SUMSQ(VLOOKUP($B442&amp;"; "&amp;$H$439&amp;", "&amp;H$440,'FE Fret'!$G:$U,7,FALSE),$BH442)))</f>
        <v>0.1</v>
      </c>
      <c r="BJ442" s="1124">
        <f>IF(ISNA(SQRT(SUMSQ(VLOOKUP($B442&amp;"; "&amp;$H$439&amp;", "&amp;I$440,'FE Fret'!$G:$U,7,FALSE),$BH442))),0,SQRT(SUMSQ(VLOOKUP($B442&amp;"; "&amp;$H$439&amp;", "&amp;I$440,'FE Fret'!$G:$U,7,FALSE),$BH442)))</f>
        <v>0.1</v>
      </c>
      <c r="BK442" s="1130">
        <f>IF(ISNA(SQRT(SUMSQ(VLOOKUP($B442&amp;"; "&amp;$H$439&amp;", "&amp;J$440,'FE Fret'!$G:$U,7,FALSE),$BH442))),0,SQRT(SUMSQ(VLOOKUP($B442&amp;"; "&amp;$H$439&amp;", "&amp;J$440,'FE Fret'!$G:$U,7,FALSE),$BH442)))</f>
        <v>0</v>
      </c>
      <c r="BL442" s="1130">
        <f>IF(ISNA(SQRT(SUMSQ(VLOOKUP($B442&amp;"; "&amp;$H$439&amp;", "&amp;K$440,'FE Fret'!$G:$U,7,FALSE),$BH442))),0,SQRT(SUMSQ(VLOOKUP($B442&amp;"; "&amp;$H$439&amp;", "&amp;K$440,'FE Fret'!$G:$U,7,FALSE),$BH442)))</f>
        <v>0.1</v>
      </c>
    </row>
    <row r="443" spans="1:64" s="130" customFormat="1" ht="15" hidden="1" customHeight="1" outlineLevel="2">
      <c r="A443" s="114"/>
      <c r="B443" s="143" t="s">
        <v>5078</v>
      </c>
      <c r="C443" s="144"/>
      <c r="D443" s="212">
        <f>SUM(L443:O443)</f>
        <v>0</v>
      </c>
      <c r="E443" s="212"/>
      <c r="F443" s="347"/>
      <c r="G443" s="123"/>
      <c r="H443" s="335">
        <f>VLOOKUP($B443&amp;"; "&amp;$H$439&amp;", "&amp;H$440,'FE Fret'!$G:$U,9,FALSE)</f>
        <v>0.14299999999999999</v>
      </c>
      <c r="I443" s="335">
        <f>VLOOKUP($B443&amp;"; "&amp;$H$439&amp;", "&amp;I$440,'FE Fret'!$G:$U,9,FALSE)</f>
        <v>0.68700000000000006</v>
      </c>
      <c r="J443" s="335">
        <f>IF(ISNA(VLOOKUP($B443&amp;"; "&amp;$H$439&amp;", "&amp;J$440,'FE Fret'!$G:$U,9,FALSE)),0,VLOOKUP($B443&amp;"; "&amp;$H$439&amp;", "&amp;J$440,'FE Fret'!$G:$U,9,FALSE))</f>
        <v>0</v>
      </c>
      <c r="K443" s="2446">
        <f>IF(ISNA(VLOOKUP($B443&amp;"; "&amp;$H$439&amp;", "&amp;K$440,'FE Fret'!$G:$U,9,FALSE)),0,VLOOKUP($B443&amp;"; "&amp;$H$439&amp;", "&amp;K$440,'FE Fret'!$G:$U,9,FALSE))</f>
        <v>2.3900000000000002E-3</v>
      </c>
      <c r="L443" s="356">
        <f t="shared" si="146"/>
        <v>0</v>
      </c>
      <c r="M443" s="356">
        <f t="shared" si="147"/>
        <v>0</v>
      </c>
      <c r="N443" s="356">
        <f t="shared" si="148"/>
        <v>0</v>
      </c>
      <c r="O443" s="151">
        <f t="shared" si="149"/>
        <v>0</v>
      </c>
      <c r="P443" s="1286">
        <f>IF(OR(F443=Utilitaires!$G$572,F443=Utilitaires!$G$577),M443,0)</f>
        <v>0</v>
      </c>
      <c r="W443" s="114"/>
      <c r="X443" s="1092">
        <f>IF(AE443=0,AE443,AE443/D443)</f>
        <v>0</v>
      </c>
      <c r="Y443" s="1094"/>
      <c r="Z443" s="820"/>
      <c r="AA443" s="164">
        <f>IF(ISNA(L443*BI443),0,L443*BI443)</f>
        <v>0</v>
      </c>
      <c r="AB443" s="164">
        <f>IF(ISNA(M443*BJ443),0,M443*BJ443)</f>
        <v>0</v>
      </c>
      <c r="AC443" s="164">
        <f t="shared" si="150"/>
        <v>0</v>
      </c>
      <c r="AD443" s="164">
        <f t="shared" si="151"/>
        <v>0</v>
      </c>
      <c r="AE443" s="151">
        <f>SQRT(SUMSQ(AA443:AD443))</f>
        <v>0</v>
      </c>
      <c r="AF443" s="1286">
        <f>X443*P443</f>
        <v>0</v>
      </c>
      <c r="AG443" s="114"/>
      <c r="AH443" s="564">
        <f>$G443*IF(ISNA(VLOOKUP($B443&amp;"; "&amp;$H$439&amp;", "&amp;H$440,'FE Fret'!$G:$U,10,FALSE)),0,VLOOKUP($B443&amp;"; "&amp;$H$439&amp;", "&amp;H$440,'FE Fret'!$G:$U,10,FALSE))</f>
        <v>0</v>
      </c>
      <c r="AI443" s="565">
        <f>$G443*IF(ISNA(VLOOKUP($B443&amp;"; "&amp;$H$439&amp;", "&amp;I$440,'FE Fret'!$G:$U,10,FALSE)),0,VLOOKUP($B443&amp;"; "&amp;$H$439&amp;", "&amp;I$440,'FE Fret'!$G:$U,10,FALSE))</f>
        <v>0</v>
      </c>
      <c r="AJ443" s="565">
        <f>$G443*IF(ISNA(VLOOKUP($B443&amp;"; "&amp;$H$439&amp;", "&amp;J$440,'FE Fret'!$G:$U,10,FALSE)),0,VLOOKUP($B443&amp;"; "&amp;$H$439&amp;", "&amp;J$440,'FE Fret'!$G:$U,10,FALSE))</f>
        <v>0</v>
      </c>
      <c r="AK443" s="565">
        <f>$G443*IF(ISNA((VLOOKUP($B443&amp;"; "&amp;$H$439&amp;", "&amp;K442,'FE Fret'!$G:$U,11,FALSE)+VLOOKUP($B443&amp;"; "&amp;$H$439&amp;", "&amp;K$440,'FE Fret'!$G:$U,12,FALSE))),0,(VLOOKUP($B443&amp;"; "&amp;$H$439&amp;", "&amp;K$440,'FE Fret'!$G:$U,11,FALSE)+VLOOKUP($B443&amp;"; "&amp;$H$439&amp;", "&amp;K$440,'FE Fret'!$G:$U,12,FALSE)))</f>
        <v>0</v>
      </c>
      <c r="AL443" s="565">
        <f>$G443*IF(ISNA((VLOOKUP($B443&amp;"; "&amp;$H$439&amp;", "&amp;H$440,'FE Fret'!$G:$U,11,FALSE)+VLOOKUP($B443&amp;"; "&amp;$H$439&amp;", "&amp;H$440,'FE Fret'!$G:$U,12,FALSE))),0,(VLOOKUP($B443&amp;"; "&amp;$H$439&amp;", "&amp;H$440,'FE Fret'!$G:$U,11,FALSE)+VLOOKUP($B443&amp;"; "&amp;$H$439&amp;", "&amp;H$440,'FE Fret'!$G:$U,12,FALSE)))</f>
        <v>0</v>
      </c>
      <c r="AM443" s="565">
        <f>$G443*IF(ISNA((VLOOKUP($B443&amp;"; "&amp;$H$439&amp;", "&amp;I$440,'FE Fret'!$G:$U,11,FALSE)+VLOOKUP($B443&amp;"; "&amp;$H$439&amp;", "&amp;I$440,'FE Fret'!$G:$U,12,FALSE))),0,(VLOOKUP($B443&amp;"; "&amp;$H$439&amp;", "&amp;I$440,'FE Fret'!$G:$U,11,FALSE)+VLOOKUP($B443&amp;"; "&amp;$H$439&amp;", "&amp;I$440,'FE Fret'!$G:$U,12,FALSE)))</f>
        <v>0</v>
      </c>
      <c r="AN443" s="565">
        <f>$G443*IF(ISNA(VLOOKUP($B443&amp;"; "&amp;$H$439&amp;", "&amp;J$440,'FE Fret'!$G:$U,13,FALSE)),0,VLOOKUP($B443&amp;"; "&amp;$H$439&amp;", "&amp;J$440,'FE Fret'!$G:$U,13,FALSE))</f>
        <v>0</v>
      </c>
      <c r="AO443" s="565">
        <f>$G443*IF(ISNA(VLOOKUP($B443&amp;"; "&amp;$H$439&amp;", "&amp;K$440,'FE Fret'!$G:$U,13,FALSE)),0,VLOOKUP($B443&amp;"; "&amp;$H$439&amp;", "&amp;K$440,'FE Fret'!$G:$U,13,FALSE))</f>
        <v>0</v>
      </c>
      <c r="AP443" s="565">
        <f>$G443*IF(ISNA(VLOOKUP($B443&amp;"; "&amp;$H$439&amp;", "&amp;H$440,'FE Fret'!$G:$U,13,FALSE)),0,VLOOKUP($B443&amp;"; "&amp;$H$439&amp;", "&amp;H$440,'FE Fret'!$G:$U,13,FALSE))</f>
        <v>0</v>
      </c>
      <c r="AQ443" s="565">
        <f>$G443*IF(ISNA(VLOOKUP($B443&amp;"; "&amp;$H$439&amp;", "&amp;I$440,'FE Fret'!$G:$U,13,FALSE)),0,VLOOKUP($B443&amp;"; "&amp;$H$439&amp;", "&amp;I$440,'FE Fret'!$G:$U,13,FALSE))</f>
        <v>0</v>
      </c>
      <c r="AR443" s="565">
        <f>$G443*IF(ISNA(VLOOKUP($B443&amp;"; "&amp;$H$439&amp;", "&amp;J$440,'FE Fret'!$G:$U,13,FALSE)),0,VLOOKUP($B443&amp;"; "&amp;$H$439&amp;", "&amp;J$440,'FE Fret'!$G:$U,13,FALSE))</f>
        <v>0</v>
      </c>
      <c r="AS443" s="565">
        <f>$G443*IF(ISNA(VLOOKUP($B443&amp;"; "&amp;$H$439&amp;", "&amp;K$440,'FE Fret'!$G:$U,13,FALSE)),0,VLOOKUP($B443&amp;"; "&amp;$H$439&amp;", "&amp;K$440,'FE Fret'!$G:$U,13,FALSE))</f>
        <v>0</v>
      </c>
      <c r="AT443" s="565">
        <f>$G443*IF(ISNA(VLOOKUP($B443&amp;"; "&amp;$H$439&amp;", "&amp;H$440,'FE Fret'!$G:$U,14,FALSE)),0,VLOOKUP($B443&amp;"; "&amp;$H$439&amp;", "&amp;H$440,'FE Fret'!$G:$U,14,FALSE))</f>
        <v>0</v>
      </c>
      <c r="AU443" s="565">
        <f>$G443*IF(ISNA(VLOOKUP($B443&amp;"; "&amp;$H$439&amp;", "&amp;I$440,'FE Fret'!$G:$U,14,FALSE)),0,VLOOKUP($B443&amp;"; "&amp;$H$439&amp;", "&amp;I$440,'FE Fret'!$G:$U,14,FALSE))</f>
        <v>0</v>
      </c>
      <c r="AV443" s="565">
        <f>$G443*IF(ISNA(VLOOKUP($B443&amp;"; "&amp;$H$439&amp;", "&amp;J$440,'FE Fret'!$G:$U,14,FALSE)),0,VLOOKUP($B443&amp;"; "&amp;$H$439&amp;", "&amp;J$440,'FE Fret'!$G:$U,14,FALSE))</f>
        <v>0</v>
      </c>
      <c r="AW443" s="565">
        <f>$G443*IF(ISNA(VLOOKUP($B443&amp;"; "&amp;$H$439&amp;", "&amp;K$440,'FE Fret'!$G:$U,14,FALSE)),0,VLOOKUP($B443&amp;"; "&amp;$H$439&amp;", "&amp;K$440,'FE Fret'!$G:$U,14,FALSE))</f>
        <v>0</v>
      </c>
      <c r="AX443" s="566">
        <f t="shared" si="152"/>
        <v>0</v>
      </c>
      <c r="AY443" s="566">
        <f t="shared" si="153"/>
        <v>0</v>
      </c>
      <c r="AZ443" s="566">
        <f t="shared" si="154"/>
        <v>0</v>
      </c>
      <c r="BA443" s="566">
        <f t="shared" si="155"/>
        <v>0</v>
      </c>
      <c r="BB443" s="564">
        <f>$G443*IF(ISNA(VLOOKUP($B443&amp;"; "&amp;$H$439&amp;", "&amp;H$440,'FE Fret'!$G:$U,15,FALSE)),0,VLOOKUP($B443&amp;"; "&amp;$H$439&amp;", "&amp;H$440,'FE Fret'!$G:$U,15,FALSE))</f>
        <v>0</v>
      </c>
      <c r="BC443" s="565">
        <f>$G443*IF(ISNA(VLOOKUP($B443&amp;"; "&amp;$H$439&amp;", "&amp;I$440,'FE Fret'!$G:$U,15,FALSE)),0,VLOOKUP($B443&amp;"; "&amp;$H$439&amp;", "&amp;I$440,'FE Fret'!$G:$U,15,FALSE))</f>
        <v>0</v>
      </c>
      <c r="BD443" s="565">
        <f>$G443*IF(ISNA(VLOOKUP($B443&amp;"; "&amp;$H$439&amp;", "&amp;J$440,'FE Fret'!$G:$U,15,FALSE)),0,VLOOKUP($B443&amp;"; "&amp;$H$439&amp;", "&amp;J$440,'FE Fret'!$G:$U,15,FALSE))</f>
        <v>0</v>
      </c>
      <c r="BE443" s="568">
        <f>$G443*IF(ISNA(VLOOKUP($B443&amp;"; "&amp;$H$439&amp;", "&amp;K$440,'FE Fret'!$G:$U,15,FALSE)),0,VLOOKUP($B443&amp;"; "&amp;$H$439&amp;", "&amp;K$440,'FE Fret'!$G:$U,15,FALSE))</f>
        <v>0</v>
      </c>
      <c r="BF443" s="2292"/>
      <c r="BH443" s="1065">
        <f>IF($Y443&lt;&gt;"votre valeur :",IF(ISNA(VLOOKUP($Y443,Utilitaires!$N$566:$O$571,2,FALSE)),,VLOOKUP($Y443,Utilitaires!$N$566:$O$571,2,FALSE)),$Z443)</f>
        <v>0</v>
      </c>
      <c r="BI443" s="1124">
        <f>IF(ISNA(SQRT(SUMSQ(VLOOKUP($B443&amp;"; "&amp;$H$439&amp;", "&amp;H$440,'FE Fret'!$G:$U,7,FALSE),$BH443))),0,SQRT(SUMSQ(VLOOKUP($B443&amp;"; "&amp;$H$439&amp;", "&amp;H$440,'FE Fret'!$G:$U,7,FALSE),$BH443)))</f>
        <v>0.1</v>
      </c>
      <c r="BJ443" s="1124">
        <f>IF(ISNA(SQRT(SUMSQ(VLOOKUP($B443&amp;"; "&amp;$H$439&amp;", "&amp;I$440,'FE Fret'!$G:$U,7,FALSE),$BH443))),0,SQRT(SUMSQ(VLOOKUP($B443&amp;"; "&amp;$H$439&amp;", "&amp;I$440,'FE Fret'!$G:$U,7,FALSE),$BH443)))</f>
        <v>0.1</v>
      </c>
      <c r="BK443" s="1130">
        <f>IF(ISNA(SQRT(SUMSQ(VLOOKUP($B443&amp;"; "&amp;$H$439&amp;", "&amp;J$440,'FE Fret'!$G:$U,7,FALSE),$BH443))),0,SQRT(SUMSQ(VLOOKUP($B443&amp;"; "&amp;$H$439&amp;", "&amp;J$440,'FE Fret'!$G:$U,7,FALSE),$BH443)))</f>
        <v>0</v>
      </c>
      <c r="BL443" s="1130">
        <f>IF(ISNA(SQRT(SUMSQ(VLOOKUP($B443&amp;"; "&amp;$H$439&amp;", "&amp;K$440,'FE Fret'!$G:$U,7,FALSE),$BH443))),0,SQRT(SUMSQ(VLOOKUP($B443&amp;"; "&amp;$H$439&amp;", "&amp;K$440,'FE Fret'!$G:$U,7,FALSE),$BH443)))</f>
        <v>0.1</v>
      </c>
    </row>
    <row r="444" spans="1:64" ht="12.75" hidden="1" customHeight="1" outlineLevel="2">
      <c r="B444" s="154"/>
      <c r="C444" s="155"/>
      <c r="D444" s="221"/>
      <c r="E444" s="221"/>
      <c r="F444" s="155"/>
      <c r="G444" s="155"/>
      <c r="H444" s="155"/>
      <c r="I444" s="155"/>
      <c r="J444" s="155"/>
      <c r="K444" s="155"/>
      <c r="L444" s="155"/>
      <c r="M444" s="155"/>
      <c r="N444" s="155"/>
      <c r="O444" s="169"/>
      <c r="P444" s="1336"/>
      <c r="X444" s="1092"/>
      <c r="Y444" s="155"/>
      <c r="Z444" s="155"/>
      <c r="AA444" s="155"/>
      <c r="AB444" s="155"/>
      <c r="AC444" s="155"/>
      <c r="AD444" s="169"/>
      <c r="AE444" s="144"/>
      <c r="AF444" s="1336"/>
      <c r="AH444" s="564"/>
      <c r="AI444" s="565"/>
      <c r="AJ444" s="565"/>
      <c r="AK444" s="565"/>
      <c r="AL444" s="565"/>
      <c r="AM444" s="565"/>
      <c r="AN444" s="565"/>
      <c r="AO444" s="565"/>
      <c r="AP444" s="565"/>
      <c r="AQ444" s="565"/>
      <c r="AR444" s="565"/>
      <c r="AS444" s="565"/>
      <c r="AT444" s="565"/>
      <c r="AU444" s="565"/>
      <c r="AV444" s="565"/>
      <c r="AW444" s="565"/>
      <c r="AX444" s="566"/>
      <c r="AY444" s="566"/>
      <c r="AZ444" s="566"/>
      <c r="BA444" s="566"/>
      <c r="BB444" s="569"/>
      <c r="BC444" s="625"/>
      <c r="BD444" s="625"/>
      <c r="BE444" s="570"/>
      <c r="BF444" s="2292"/>
      <c r="BH444" s="1087"/>
      <c r="BI444" s="1075"/>
      <c r="BJ444" s="1131"/>
      <c r="BK444" s="1153"/>
      <c r="BL444" s="1153"/>
    </row>
    <row r="445" spans="1:64" ht="12.75" hidden="1" customHeight="1" outlineLevel="2">
      <c r="B445" s="370" t="s">
        <v>348</v>
      </c>
      <c r="C445" s="371"/>
      <c r="D445" s="214">
        <f>SUM(D441:D444)</f>
        <v>0</v>
      </c>
      <c r="E445" s="214"/>
      <c r="F445" s="350"/>
      <c r="G445" s="350"/>
      <c r="H445" s="350"/>
      <c r="I445" s="350"/>
      <c r="J445" s="350"/>
      <c r="K445" s="350"/>
      <c r="L445" s="351">
        <f>SUM(L441:L444)</f>
        <v>0</v>
      </c>
      <c r="M445" s="351">
        <f>SUM(M441:M444)</f>
        <v>0</v>
      </c>
      <c r="N445" s="351">
        <f>SUM(N441:N444)</f>
        <v>0</v>
      </c>
      <c r="O445" s="351">
        <f>SUM(O441:O444)</f>
        <v>0</v>
      </c>
      <c r="P445" s="1311">
        <f>SUM(P441:P444)</f>
        <v>0</v>
      </c>
      <c r="X445" s="1203">
        <f>IF(AE445=0,AE445,AE445/D445)</f>
        <v>0</v>
      </c>
      <c r="Y445" s="199"/>
      <c r="Z445" s="199"/>
      <c r="AA445" s="203">
        <f t="shared" ref="AA445:AF445" si="156">SQRT(SUMSQ(AA441:AA444))</f>
        <v>0</v>
      </c>
      <c r="AB445" s="203">
        <f t="shared" si="156"/>
        <v>0</v>
      </c>
      <c r="AC445" s="203">
        <f t="shared" si="156"/>
        <v>0</v>
      </c>
      <c r="AD445" s="203">
        <f t="shared" si="156"/>
        <v>0</v>
      </c>
      <c r="AE445" s="202">
        <f t="shared" si="156"/>
        <v>0</v>
      </c>
      <c r="AF445" s="340">
        <f t="shared" si="156"/>
        <v>0</v>
      </c>
      <c r="AH445" s="571">
        <f t="shared" ref="AH445:AN445" si="157">SUM(AH441:AH444)</f>
        <v>0</v>
      </c>
      <c r="AI445" s="572">
        <f t="shared" si="157"/>
        <v>0</v>
      </c>
      <c r="AJ445" s="572">
        <f t="shared" si="157"/>
        <v>0</v>
      </c>
      <c r="AK445" s="572">
        <f t="shared" si="157"/>
        <v>0</v>
      </c>
      <c r="AL445" s="572">
        <f t="shared" si="157"/>
        <v>0</v>
      </c>
      <c r="AM445" s="572">
        <f t="shared" si="157"/>
        <v>0</v>
      </c>
      <c r="AN445" s="572">
        <f t="shared" si="157"/>
        <v>0</v>
      </c>
      <c r="AO445" s="572">
        <f t="shared" ref="AO445" si="158">SUM(AO441:AO444)</f>
        <v>0</v>
      </c>
      <c r="AP445" s="572">
        <f t="shared" ref="AP445" si="159">SUM(AP441:AP444)</f>
        <v>0</v>
      </c>
      <c r="AQ445" s="572">
        <f>SUM(AQ441:AQ444)</f>
        <v>0</v>
      </c>
      <c r="AR445" s="572">
        <f>SUM(AR441:AR444)</f>
        <v>0</v>
      </c>
      <c r="AS445" s="572">
        <f t="shared" ref="AS445" si="160">SUM(AS441:AS444)</f>
        <v>0</v>
      </c>
      <c r="AT445" s="572">
        <f t="shared" ref="AT445:BE445" si="161">SUM(AT441:AT444)</f>
        <v>0</v>
      </c>
      <c r="AU445" s="572">
        <f t="shared" si="161"/>
        <v>0</v>
      </c>
      <c r="AV445" s="572">
        <f t="shared" si="161"/>
        <v>0</v>
      </c>
      <c r="AW445" s="572">
        <f t="shared" si="161"/>
        <v>0</v>
      </c>
      <c r="AX445" s="573">
        <f t="shared" si="161"/>
        <v>0</v>
      </c>
      <c r="AY445" s="573">
        <f t="shared" si="161"/>
        <v>0</v>
      </c>
      <c r="AZ445" s="573">
        <f t="shared" si="161"/>
        <v>0</v>
      </c>
      <c r="BA445" s="573">
        <f t="shared" si="161"/>
        <v>0</v>
      </c>
      <c r="BB445" s="1082">
        <f t="shared" si="161"/>
        <v>0</v>
      </c>
      <c r="BC445" s="572">
        <f t="shared" si="161"/>
        <v>0</v>
      </c>
      <c r="BD445" s="572">
        <f t="shared" si="161"/>
        <v>0</v>
      </c>
      <c r="BE445" s="575">
        <f t="shared" si="161"/>
        <v>0</v>
      </c>
      <c r="BF445" s="2292"/>
    </row>
    <row r="446" spans="1:64" ht="12.75" hidden="1" customHeight="1" outlineLevel="2">
      <c r="AG446" s="130"/>
    </row>
    <row r="447" spans="1:64" ht="12.75" customHeight="1" outlineLevel="1" collapsed="1">
      <c r="AR447" s="593"/>
    </row>
    <row r="448" spans="1:64" ht="15.75" customHeight="1" outlineLevel="1" collapsed="1">
      <c r="B448" s="2842" t="s">
        <v>2228</v>
      </c>
      <c r="C448" s="2843"/>
      <c r="D448" s="2843"/>
      <c r="E448" s="2843"/>
      <c r="F448" s="2843"/>
      <c r="G448" s="2843"/>
      <c r="H448" s="2843"/>
      <c r="I448" s="2843"/>
      <c r="J448" s="2843"/>
      <c r="K448" s="2843"/>
      <c r="L448" s="2843"/>
      <c r="M448" s="2843"/>
      <c r="N448" s="2843"/>
      <c r="O448" s="2844"/>
      <c r="P448" s="130"/>
      <c r="Q448" s="130"/>
      <c r="R448" s="130"/>
      <c r="S448" s="130"/>
      <c r="T448" s="130"/>
      <c r="U448" s="130"/>
      <c r="V448" s="130"/>
      <c r="W448" s="130"/>
      <c r="X448" s="130"/>
      <c r="Y448" s="130"/>
      <c r="Z448" s="130"/>
      <c r="AA448" s="130"/>
      <c r="AB448" s="130"/>
      <c r="AC448" s="130"/>
      <c r="AD448" s="130"/>
      <c r="AE448" s="130"/>
      <c r="AF448" s="130"/>
      <c r="AR448" s="593"/>
    </row>
    <row r="449" spans="1:63" ht="12.75" hidden="1" customHeight="1" outlineLevel="2"/>
    <row r="450" spans="1:63" ht="12.75" hidden="1" customHeight="1" outlineLevel="2">
      <c r="B450" s="1091" t="s">
        <v>642</v>
      </c>
      <c r="C450" s="140"/>
      <c r="D450" s="140"/>
      <c r="E450" s="140"/>
      <c r="F450" s="140"/>
      <c r="G450" s="140"/>
      <c r="H450" s="140"/>
      <c r="I450" s="179"/>
      <c r="X450" s="2636" t="s">
        <v>366</v>
      </c>
      <c r="Y450" s="2637"/>
      <c r="Z450" s="2637"/>
      <c r="AA450" s="2637"/>
      <c r="AB450" s="2637"/>
      <c r="AC450" s="2637"/>
      <c r="AD450" s="2637"/>
      <c r="AE450" s="2638"/>
      <c r="AH450" s="2639" t="s">
        <v>441</v>
      </c>
      <c r="AI450" s="2640"/>
      <c r="AJ450" s="2640"/>
      <c r="AK450" s="2640"/>
      <c r="AL450" s="2640"/>
      <c r="AM450" s="2641"/>
    </row>
    <row r="451" spans="1:63" ht="12.75" hidden="1" customHeight="1" outlineLevel="2">
      <c r="B451" s="143"/>
      <c r="C451" s="144"/>
      <c r="D451" s="1334" t="s">
        <v>308</v>
      </c>
      <c r="E451" s="1663"/>
      <c r="F451" s="144"/>
      <c r="G451" s="144"/>
      <c r="H451" s="144"/>
      <c r="I451" s="145"/>
      <c r="X451" s="1316"/>
      <c r="Y451" s="819"/>
      <c r="Z451" s="819"/>
      <c r="AA451" s="1334"/>
      <c r="AB451" s="1334"/>
      <c r="AC451" s="2423"/>
      <c r="AD451" s="1334"/>
      <c r="AE451" s="145"/>
      <c r="AH451" s="2642" t="s">
        <v>444</v>
      </c>
      <c r="AI451" s="2643"/>
      <c r="AJ451" s="2643"/>
      <c r="AK451" s="2643"/>
      <c r="AL451" s="2643"/>
      <c r="AM451" s="2643"/>
      <c r="AN451" s="2643"/>
      <c r="AO451" s="2643"/>
      <c r="AP451" s="2643"/>
      <c r="AQ451" s="2643"/>
      <c r="AR451" s="2643"/>
      <c r="AS451" s="2643"/>
      <c r="AT451" s="2643" t="s">
        <v>444</v>
      </c>
      <c r="AU451" s="2643"/>
      <c r="AV451" s="2644"/>
      <c r="AW451" s="624"/>
      <c r="AX451" s="624"/>
      <c r="AY451" s="1291"/>
      <c r="AZ451" s="2449"/>
      <c r="BA451" s="2449"/>
      <c r="BB451" s="2449"/>
      <c r="BC451" s="2449"/>
      <c r="BD451" s="2449"/>
      <c r="BE451" s="2449"/>
      <c r="BF451" s="2449"/>
      <c r="BH451" s="2616" t="s">
        <v>1648</v>
      </c>
      <c r="BI451" s="2617"/>
      <c r="BJ451" s="2618"/>
    </row>
    <row r="452" spans="1:63" ht="12.75" hidden="1" customHeight="1" outlineLevel="2">
      <c r="B452" s="1316"/>
      <c r="C452" s="1317"/>
      <c r="D452" s="1317" t="s">
        <v>409</v>
      </c>
      <c r="E452" s="1656"/>
      <c r="F452" s="1320" t="s">
        <v>452</v>
      </c>
      <c r="G452" s="1320" t="s">
        <v>343</v>
      </c>
      <c r="H452" s="1317" t="s">
        <v>444</v>
      </c>
      <c r="I452" s="1337" t="s">
        <v>444</v>
      </c>
      <c r="X452" s="1316" t="s">
        <v>316</v>
      </c>
      <c r="Y452" s="2629" t="s">
        <v>316</v>
      </c>
      <c r="Z452" s="2630"/>
      <c r="AA452" s="1317"/>
      <c r="AB452" s="1317"/>
      <c r="AC452" s="2419"/>
      <c r="AD452" s="1317"/>
      <c r="AE452" s="1337" t="s">
        <v>444</v>
      </c>
      <c r="AH452" s="2631" t="s">
        <v>211</v>
      </c>
      <c r="AI452" s="2632"/>
      <c r="AJ452" s="2632"/>
      <c r="AK452" s="2632" t="s">
        <v>442</v>
      </c>
      <c r="AL452" s="2632"/>
      <c r="AM452" s="2632"/>
      <c r="AN452" s="2632" t="s">
        <v>267</v>
      </c>
      <c r="AO452" s="2632"/>
      <c r="AP452" s="2632"/>
      <c r="AQ452" s="2632" t="s">
        <v>443</v>
      </c>
      <c r="AR452" s="2632"/>
      <c r="AS452" s="2632"/>
      <c r="AT452" s="2648" t="s">
        <v>327</v>
      </c>
      <c r="AU452" s="2648"/>
      <c r="AV452" s="2649"/>
      <c r="AW452" s="2631"/>
      <c r="AX452" s="2632"/>
      <c r="AY452" s="568"/>
      <c r="AZ452" s="2292"/>
      <c r="BA452" s="2292"/>
      <c r="BB452" s="2292"/>
      <c r="BC452" s="2292"/>
      <c r="BD452" s="2292"/>
      <c r="BE452" s="2292"/>
      <c r="BF452" s="2292"/>
      <c r="BH452" s="2837" t="s">
        <v>1646</v>
      </c>
      <c r="BI452" s="2839" t="s">
        <v>411</v>
      </c>
      <c r="BJ452" s="2839" t="s">
        <v>257</v>
      </c>
    </row>
    <row r="453" spans="1:63" ht="12.75" hidden="1" customHeight="1" outlineLevel="2">
      <c r="B453" s="1316"/>
      <c r="C453" s="1317"/>
      <c r="D453" s="1317" t="s">
        <v>444</v>
      </c>
      <c r="E453" s="1656"/>
      <c r="F453" s="1321" t="s">
        <v>445</v>
      </c>
      <c r="G453" s="153" t="s">
        <v>533</v>
      </c>
      <c r="H453" s="1317" t="s">
        <v>258</v>
      </c>
      <c r="I453" s="1337"/>
      <c r="X453" s="1316" t="s">
        <v>1649</v>
      </c>
      <c r="Y453" s="2646" t="s">
        <v>1650</v>
      </c>
      <c r="Z453" s="2647"/>
      <c r="AA453" s="1322"/>
      <c r="AB453" s="1322"/>
      <c r="AC453" s="1662"/>
      <c r="AD453" s="1322"/>
      <c r="AE453" s="1337"/>
      <c r="AH453" s="1331"/>
      <c r="AI453" s="1332"/>
      <c r="AJ453" s="1332"/>
      <c r="AK453" s="1332"/>
      <c r="AL453" s="1332"/>
      <c r="AM453" s="1332"/>
      <c r="AN453" s="1332"/>
      <c r="AO453" s="1332"/>
      <c r="AP453" s="1332"/>
      <c r="AQ453" s="1332"/>
      <c r="AR453" s="1332"/>
      <c r="AS453" s="1332"/>
      <c r="AT453" s="581"/>
      <c r="AU453" s="581"/>
      <c r="AV453" s="582"/>
      <c r="AW453" s="1332" t="s">
        <v>636</v>
      </c>
      <c r="AX453" s="1332"/>
      <c r="AY453" s="1333"/>
      <c r="AZ453" s="2449"/>
      <c r="BA453" s="2449"/>
      <c r="BB453" s="2449"/>
      <c r="BC453" s="2449"/>
      <c r="BD453" s="2449"/>
      <c r="BE453" s="2449"/>
      <c r="BF453" s="2449"/>
      <c r="BH453" s="2838"/>
      <c r="BI453" s="2840"/>
      <c r="BJ453" s="2840"/>
    </row>
    <row r="454" spans="1:63" ht="12.75" hidden="1" customHeight="1" outlineLevel="2">
      <c r="B454" s="362" t="s">
        <v>1552</v>
      </c>
      <c r="C454" s="363"/>
      <c r="D454" s="212">
        <f>I454</f>
        <v>0</v>
      </c>
      <c r="E454" s="212"/>
      <c r="F454" s="1016"/>
      <c r="G454" s="1016"/>
      <c r="H454" s="218">
        <f>IF(ISNA(VLOOKUP(Descriptif!D503&amp;" - usage : Transports, France continentale, Base Carbone; kgCO2e/kWh, Combustion à la centrale",'FE Déplacements'!G:U,9,FALSE)),'FE Déplacements'!$O$974,
VLOOKUP(Descriptif!D503&amp;" - usage : Transports, France continentale, Base Carbone; kgCO2e/kWh, Combustion à la centrale",'FE Déplacements'!G:U,9,FALSE)
+ VLOOKUP(Descriptif!D503&amp;" - usage : Transports, France continentale, Base Carbone; kgCO2e/kWh, Amont",'FE Déplacements'!G:U,9,FALSE))</f>
        <v>5.9979999999999999E-2</v>
      </c>
      <c r="I454" s="152">
        <f>G454*H454</f>
        <v>0</v>
      </c>
      <c r="X454" s="226">
        <f>IF(AE454=0,AE454,AE454/I454)</f>
        <v>0</v>
      </c>
      <c r="Y454" s="1094"/>
      <c r="Z454" s="820"/>
      <c r="AA454" s="164"/>
      <c r="AB454" s="164"/>
      <c r="AC454" s="164"/>
      <c r="AD454" s="164"/>
      <c r="AE454" s="152">
        <f>IF(ISNA(SQRT(SUMSQ($G454*0.01*BI454,G454*(H454-0.01)*BJ454))),0,SQRT(SUMSQ($G454*0.01*BI454,G454*(H454-0.01)*BJ454)))</f>
        <v>0</v>
      </c>
      <c r="AH454" s="564">
        <f>D454</f>
        <v>0</v>
      </c>
      <c r="AI454" s="565"/>
      <c r="AJ454" s="565"/>
      <c r="AK454" s="565"/>
      <c r="AL454" s="565"/>
      <c r="AM454" s="565"/>
      <c r="AN454" s="565"/>
      <c r="AO454" s="565"/>
      <c r="AP454" s="565"/>
      <c r="AQ454" s="565"/>
      <c r="AR454" s="565"/>
      <c r="AS454" s="565"/>
      <c r="AT454" s="566">
        <f>SUM(AH454:AQ454)</f>
        <v>0</v>
      </c>
      <c r="AU454" s="566"/>
      <c r="AV454" s="567"/>
      <c r="AW454" s="565"/>
      <c r="AX454" s="565"/>
      <c r="AY454" s="568"/>
      <c r="AZ454" s="2292"/>
      <c r="BA454" s="2292"/>
      <c r="BB454" s="2292"/>
      <c r="BC454" s="2292"/>
      <c r="BD454" s="2292"/>
      <c r="BE454" s="2292"/>
      <c r="BF454" s="2292"/>
      <c r="BH454" s="1065">
        <f>IF($Y454&lt;&gt;"votre valeur :",IF(ISNA(VLOOKUP($Y454,Utilitaires!$N$566:$O$571,2,FALSE)),,VLOOKUP($Y454,Utilitaires!$N$566:$O$571,2,FALSE)),$Z454)</f>
        <v>0</v>
      </c>
      <c r="BI454" s="1124">
        <f>IF(ISNA(SQRT(SUMSQ(VLOOKUP(Descriptif!D503&amp;" - usage : Transports, France continentale, Base Carbone; kgCO2e/kWh, Amont",'FE Déplacements'!$G:$U,7,FALSE),$BH454))),0,SQRT(SUMSQ(VLOOKUP(Descriptif!D503&amp;" - usage : Transports, France continentale, Base Carbone; kgCO2e/kWh, Amont",'FE Déplacements'!$G:$U,7,FALSE),$BH454)))</f>
        <v>0</v>
      </c>
      <c r="BJ454" s="1130">
        <f>IF(
ISNA(
SQRT(SUMSQ(
VLOOKUP(Descriptif!D503&amp;" - usage : Transports, France continentale, Base Carbone; kgCO2e/kWh, Combustion à la centrale",'FE Déplacements'!$G:$U,7,FALSE),$BH454))),
0,SQRT(SUMSQ(VLOOKUP(Descriptif!D503&amp;" - usage : Transports, France continentale, Base Carbone; kgCO2e/kWh, Combustion à la centrale",'FE Déplacements'!$G:$U,7,FALSE),$BH454)))</f>
        <v>0</v>
      </c>
    </row>
    <row r="455" spans="1:63" ht="12.75" hidden="1" customHeight="1" outlineLevel="2">
      <c r="B455" s="1345"/>
      <c r="C455" s="1346"/>
      <c r="D455" s="1347"/>
      <c r="E455" s="1347"/>
      <c r="F455" s="1346"/>
      <c r="G455" s="169"/>
      <c r="H455" s="361"/>
      <c r="I455" s="156"/>
      <c r="X455" s="143"/>
      <c r="Y455" s="144"/>
      <c r="Z455" s="169"/>
      <c r="AA455" s="169"/>
      <c r="AB455" s="164"/>
      <c r="AC455" s="164"/>
      <c r="AD455" s="164"/>
      <c r="AE455" s="357"/>
      <c r="AH455" s="569"/>
      <c r="AI455" s="625"/>
      <c r="AJ455" s="625"/>
      <c r="AK455" s="625"/>
      <c r="AL455" s="625"/>
      <c r="AM455" s="625"/>
      <c r="AN455" s="625"/>
      <c r="AO455" s="625"/>
      <c r="AP455" s="625"/>
      <c r="AQ455" s="625"/>
      <c r="AR455" s="625"/>
      <c r="AS455" s="625"/>
      <c r="AT455" s="1313"/>
      <c r="AU455" s="1313"/>
      <c r="AV455" s="1314"/>
      <c r="AW455" s="565"/>
      <c r="AX455" s="565"/>
      <c r="AY455" s="568"/>
      <c r="AZ455" s="2292"/>
      <c r="BA455" s="2292"/>
      <c r="BB455" s="2292"/>
      <c r="BC455" s="2292"/>
      <c r="BD455" s="2292"/>
      <c r="BE455" s="2292"/>
      <c r="BF455" s="2292"/>
      <c r="BH455" s="1087"/>
      <c r="BI455" s="1075"/>
      <c r="BJ455" s="1131"/>
      <c r="BK455" s="109"/>
    </row>
    <row r="456" spans="1:63" s="109" customFormat="1" ht="12.75" hidden="1" customHeight="1" outlineLevel="2">
      <c r="A456" s="114"/>
      <c r="B456" s="196" t="s">
        <v>348</v>
      </c>
      <c r="C456" s="197"/>
      <c r="D456" s="214">
        <f>SUM(D454:D455)</f>
        <v>0</v>
      </c>
      <c r="E456" s="214"/>
      <c r="F456" s="198"/>
      <c r="G456" s="199"/>
      <c r="H456" s="199"/>
      <c r="I456" s="200">
        <f>SUM(I454:I455)</f>
        <v>0</v>
      </c>
      <c r="V456" s="114"/>
      <c r="W456" s="114"/>
      <c r="X456" s="1203">
        <f>IF(AE456=0,AE456,AE456/D456)</f>
        <v>0</v>
      </c>
      <c r="Y456" s="199"/>
      <c r="Z456" s="350"/>
      <c r="AA456" s="1338"/>
      <c r="AB456" s="203"/>
      <c r="AC456" s="203"/>
      <c r="AD456" s="203"/>
      <c r="AE456" s="200">
        <f>SQRT(SUMSQ(AE454:AE455))</f>
        <v>0</v>
      </c>
      <c r="AF456" s="114"/>
      <c r="AG456" s="114"/>
      <c r="AH456" s="1308">
        <f>SUM(AH454:AH455)</f>
        <v>0</v>
      </c>
      <c r="AI456" s="1309"/>
      <c r="AJ456" s="1309"/>
      <c r="AK456" s="1309">
        <f>SUM(AK454:AK455)</f>
        <v>0</v>
      </c>
      <c r="AL456" s="1309"/>
      <c r="AM456" s="1309"/>
      <c r="AN456" s="1309">
        <f>SUM(AN454:AN455)</f>
        <v>0</v>
      </c>
      <c r="AO456" s="1309"/>
      <c r="AP456" s="1309"/>
      <c r="AQ456" s="1309">
        <f>SUM(AQ454:AQ455)</f>
        <v>0</v>
      </c>
      <c r="AR456" s="572"/>
      <c r="AS456" s="572"/>
      <c r="AT456" s="573">
        <f>SUM(AT454:AT455)</f>
        <v>0</v>
      </c>
      <c r="AU456" s="1312"/>
      <c r="AV456" s="1312"/>
      <c r="AW456" s="1082">
        <f>SUM(AW454:AW455)</f>
        <v>0</v>
      </c>
      <c r="AX456" s="572"/>
      <c r="AY456" s="575"/>
      <c r="AZ456" s="2292"/>
      <c r="BA456" s="2292"/>
      <c r="BB456" s="2292"/>
      <c r="BC456" s="2292"/>
      <c r="BD456" s="2292"/>
      <c r="BE456" s="2292"/>
      <c r="BF456" s="2292"/>
      <c r="BH456" s="114"/>
      <c r="BI456" s="114"/>
      <c r="BJ456" s="114"/>
      <c r="BK456" s="114"/>
    </row>
    <row r="457" spans="1:63" s="109" customFormat="1" ht="12.75" hidden="1" customHeight="1" outlineLevel="2">
      <c r="A457" s="114"/>
      <c r="B457" s="116"/>
      <c r="C457" s="116"/>
      <c r="D457" s="114"/>
      <c r="E457" s="114"/>
      <c r="F457" s="116"/>
      <c r="G457" s="116"/>
      <c r="H457" s="262"/>
      <c r="I457" s="116"/>
      <c r="J457" s="116"/>
      <c r="K457" s="114"/>
      <c r="L457" s="114"/>
      <c r="M457" s="114"/>
      <c r="N457" s="114"/>
      <c r="O457" s="114"/>
      <c r="P457" s="114"/>
      <c r="Q457" s="114"/>
      <c r="R457" s="114"/>
      <c r="S457" s="114"/>
      <c r="T457" s="114"/>
      <c r="U457" s="114"/>
      <c r="V457" s="114"/>
      <c r="W457" s="114"/>
      <c r="X457" s="116"/>
      <c r="Y457" s="116"/>
      <c r="Z457" s="260"/>
      <c r="AA457" s="260"/>
      <c r="AB457" s="114"/>
      <c r="AC457" s="114"/>
      <c r="AD457" s="114"/>
      <c r="AE457" s="114"/>
      <c r="AF457" s="114"/>
      <c r="AG457" s="114"/>
      <c r="AH457" s="441"/>
      <c r="AI457" s="441"/>
      <c r="AJ457" s="441"/>
      <c r="AK457" s="441"/>
      <c r="AL457" s="441"/>
      <c r="AM457" s="441"/>
      <c r="AN457" s="441"/>
      <c r="AO457" s="441"/>
      <c r="AP457" s="441"/>
      <c r="AQ457" s="444"/>
      <c r="AR457" s="441"/>
      <c r="AS457" s="588"/>
      <c r="AT457" s="588"/>
      <c r="AU457" s="588"/>
      <c r="AV457" s="588"/>
      <c r="AW457" s="588"/>
      <c r="AX457" s="588"/>
      <c r="AY457" s="588"/>
      <c r="AZ457" s="1639"/>
      <c r="BA457" s="1639"/>
      <c r="BB457" s="1639"/>
      <c r="BC457" s="1639"/>
      <c r="BD457" s="1639"/>
      <c r="BE457" s="1639"/>
      <c r="BF457" s="1639"/>
      <c r="BH457" s="114"/>
      <c r="BI457" s="114"/>
      <c r="BJ457" s="114"/>
      <c r="BK457" s="114"/>
    </row>
    <row r="458" spans="1:63" ht="12" hidden="1" customHeight="1" outlineLevel="2">
      <c r="B458" s="139" t="s">
        <v>2332</v>
      </c>
      <c r="C458" s="140"/>
      <c r="D458" s="140"/>
      <c r="E458" s="140"/>
      <c r="F458" s="141"/>
      <c r="G458" s="141"/>
      <c r="H458" s="141"/>
      <c r="I458" s="179"/>
      <c r="X458" s="2636" t="s">
        <v>366</v>
      </c>
      <c r="Y458" s="2637"/>
      <c r="Z458" s="2637"/>
      <c r="AA458" s="2637"/>
      <c r="AB458" s="2637"/>
      <c r="AC458" s="2637"/>
      <c r="AD458" s="2637"/>
      <c r="AE458" s="2638"/>
      <c r="AH458" s="2639" t="s">
        <v>441</v>
      </c>
      <c r="AI458" s="2640"/>
      <c r="AJ458" s="2640"/>
      <c r="AK458" s="2640"/>
      <c r="AL458" s="2640"/>
      <c r="AM458" s="2640"/>
      <c r="AN458" s="2640"/>
      <c r="AO458" s="2640"/>
      <c r="AP458" s="2640"/>
      <c r="AQ458" s="2640"/>
      <c r="AR458" s="2640"/>
      <c r="AS458" s="2640"/>
      <c r="AT458" s="2640"/>
      <c r="AU458" s="2640"/>
      <c r="AV458" s="2640"/>
      <c r="AW458" s="2640"/>
      <c r="AX458" s="2640"/>
      <c r="AY458" s="2641"/>
      <c r="AZ458" s="2448"/>
      <c r="BA458" s="2448"/>
      <c r="BB458" s="2448"/>
      <c r="BC458" s="2448"/>
      <c r="BD458" s="2448"/>
      <c r="BE458" s="2448"/>
      <c r="BF458" s="2448"/>
    </row>
    <row r="459" spans="1:63" ht="15" hidden="1" customHeight="1" outlineLevel="2">
      <c r="B459" s="143"/>
      <c r="C459" s="144"/>
      <c r="D459" s="1334" t="s">
        <v>308</v>
      </c>
      <c r="E459" s="1663"/>
      <c r="F459" s="144"/>
      <c r="G459" s="144"/>
      <c r="H459" s="144"/>
      <c r="I459" s="168"/>
      <c r="X459" s="1316"/>
      <c r="Y459" s="819"/>
      <c r="Z459" s="819"/>
      <c r="AA459" s="1334"/>
      <c r="AB459" s="1334"/>
      <c r="AC459" s="2423"/>
      <c r="AD459" s="1334"/>
      <c r="AE459" s="145"/>
      <c r="AG459" s="109"/>
      <c r="AH459" s="2642" t="s">
        <v>444</v>
      </c>
      <c r="AI459" s="2643"/>
      <c r="AJ459" s="2643"/>
      <c r="AK459" s="2643"/>
      <c r="AL459" s="2643"/>
      <c r="AM459" s="2643"/>
      <c r="AN459" s="2643"/>
      <c r="AO459" s="2643"/>
      <c r="AP459" s="2643"/>
      <c r="AQ459" s="2643"/>
      <c r="AR459" s="2643"/>
      <c r="AS459" s="2643"/>
      <c r="AT459" s="2643" t="s">
        <v>444</v>
      </c>
      <c r="AU459" s="2643"/>
      <c r="AV459" s="2644"/>
      <c r="AW459" s="624"/>
      <c r="AX459" s="624"/>
      <c r="AY459" s="1291"/>
      <c r="AZ459" s="2449"/>
      <c r="BA459" s="2449"/>
      <c r="BB459" s="2449"/>
      <c r="BC459" s="2449"/>
      <c r="BD459" s="2449"/>
      <c r="BE459" s="2449"/>
      <c r="BF459" s="2449"/>
      <c r="BH459" s="2616" t="s">
        <v>1648</v>
      </c>
      <c r="BI459" s="2617"/>
      <c r="BJ459" s="2618"/>
      <c r="BK459" s="116"/>
    </row>
    <row r="460" spans="1:63" ht="12.75" hidden="1" customHeight="1" outlineLevel="2">
      <c r="B460" s="1316"/>
      <c r="C460" s="1317"/>
      <c r="D460" s="1317" t="s">
        <v>409</v>
      </c>
      <c r="E460" s="1656"/>
      <c r="F460" s="147" t="s">
        <v>308</v>
      </c>
      <c r="G460" s="147"/>
      <c r="H460" s="1317" t="s">
        <v>8</v>
      </c>
      <c r="I460" s="1337" t="s">
        <v>444</v>
      </c>
      <c r="X460" s="1316" t="s">
        <v>529</v>
      </c>
      <c r="Y460" s="2629" t="s">
        <v>530</v>
      </c>
      <c r="Z460" s="2630"/>
      <c r="AA460" s="1317"/>
      <c r="AB460" s="1317"/>
      <c r="AC460" s="2419"/>
      <c r="AD460" s="1317"/>
      <c r="AE460" s="1337" t="s">
        <v>444</v>
      </c>
      <c r="AG460" s="109"/>
      <c r="AH460" s="2631" t="s">
        <v>211</v>
      </c>
      <c r="AI460" s="2632"/>
      <c r="AJ460" s="2632"/>
      <c r="AK460" s="2632" t="s">
        <v>442</v>
      </c>
      <c r="AL460" s="2632"/>
      <c r="AM460" s="2632"/>
      <c r="AN460" s="2632" t="s">
        <v>267</v>
      </c>
      <c r="AO460" s="2632"/>
      <c r="AP460" s="2632"/>
      <c r="AQ460" s="2632" t="s">
        <v>443</v>
      </c>
      <c r="AR460" s="2632"/>
      <c r="AS460" s="2632"/>
      <c r="AT460" s="2648" t="s">
        <v>327</v>
      </c>
      <c r="AU460" s="2648"/>
      <c r="AV460" s="2649"/>
      <c r="AW460" s="2631" t="s">
        <v>636</v>
      </c>
      <c r="AX460" s="2632"/>
      <c r="AY460" s="568"/>
      <c r="AZ460" s="2292"/>
      <c r="BA460" s="2292"/>
      <c r="BB460" s="2292"/>
      <c r="BC460" s="2292"/>
      <c r="BD460" s="2292"/>
      <c r="BE460" s="2292"/>
      <c r="BF460" s="2292"/>
      <c r="BH460" s="2837" t="s">
        <v>1646</v>
      </c>
      <c r="BI460" s="2839" t="s">
        <v>411</v>
      </c>
      <c r="BJ460" s="2839" t="s">
        <v>257</v>
      </c>
      <c r="BK460" s="116"/>
    </row>
    <row r="461" spans="1:63" s="116" customFormat="1" ht="12.75" hidden="1" customHeight="1" outlineLevel="2">
      <c r="A461" s="114"/>
      <c r="B461" s="1316"/>
      <c r="C461" s="1317"/>
      <c r="D461" s="1317" t="s">
        <v>444</v>
      </c>
      <c r="E461" s="1656"/>
      <c r="F461" s="1321" t="s">
        <v>309</v>
      </c>
      <c r="G461" s="1321" t="s">
        <v>444</v>
      </c>
      <c r="H461" s="1317" t="s">
        <v>183</v>
      </c>
      <c r="I461" s="1348" t="s">
        <v>2338</v>
      </c>
      <c r="V461" s="114"/>
      <c r="W461" s="109"/>
      <c r="X461" s="1316" t="s">
        <v>531</v>
      </c>
      <c r="Y461" s="2646"/>
      <c r="Z461" s="2647"/>
      <c r="AA461" s="1322"/>
      <c r="AB461" s="1322"/>
      <c r="AC461" s="1662"/>
      <c r="AD461" s="1322"/>
      <c r="AE461" s="1337"/>
      <c r="AF461" s="109"/>
      <c r="AG461" s="114"/>
      <c r="AH461" s="1331"/>
      <c r="AI461" s="1332"/>
      <c r="AJ461" s="1332"/>
      <c r="AK461" s="1332"/>
      <c r="AL461" s="1332"/>
      <c r="AM461" s="1332"/>
      <c r="AN461" s="1332"/>
      <c r="AO461" s="1332"/>
      <c r="AP461" s="1332"/>
      <c r="AQ461" s="1332"/>
      <c r="AR461" s="1332"/>
      <c r="AS461" s="1332"/>
      <c r="AT461" s="581"/>
      <c r="AU461" s="581"/>
      <c r="AV461" s="582"/>
      <c r="AW461" s="1332"/>
      <c r="AX461" s="1332"/>
      <c r="AY461" s="1333"/>
      <c r="AZ461" s="2449"/>
      <c r="BA461" s="2449"/>
      <c r="BB461" s="2449"/>
      <c r="BC461" s="2449"/>
      <c r="BD461" s="2449"/>
      <c r="BE461" s="2449"/>
      <c r="BF461" s="2449"/>
      <c r="BH461" s="2838"/>
      <c r="BI461" s="2840"/>
      <c r="BJ461" s="2840"/>
      <c r="BK461" s="114"/>
    </row>
    <row r="462" spans="1:63" s="116" customFormat="1" ht="12.75" hidden="1" customHeight="1" outlineLevel="2">
      <c r="A462" s="114"/>
      <c r="B462" s="143" t="s">
        <v>831</v>
      </c>
      <c r="C462" s="177"/>
      <c r="D462" s="212">
        <f>I462</f>
        <v>0</v>
      </c>
      <c r="E462" s="212"/>
      <c r="F462" s="182">
        <f>G454</f>
        <v>0</v>
      </c>
      <c r="G462" s="182">
        <f>I456</f>
        <v>0</v>
      </c>
      <c r="H462" s="225">
        <v>0.03</v>
      </c>
      <c r="I462" s="152">
        <f>G462*H462</f>
        <v>0</v>
      </c>
      <c r="V462" s="114"/>
      <c r="W462" s="109"/>
      <c r="X462" s="226">
        <f>IF(AE462=0,AE462,AE462/I462)</f>
        <v>0</v>
      </c>
      <c r="Y462" s="1094"/>
      <c r="Z462" s="820"/>
      <c r="AA462" s="164"/>
      <c r="AB462" s="164"/>
      <c r="AC462" s="164"/>
      <c r="AD462" s="164"/>
      <c r="AE462" s="152">
        <f>IF(ISNA(SQRT(SUMSQ($G462*0.01*BI462,G462*(H462-0.01)*BJ462))),0,SQRT(SUMSQ($G462*0.01*BI462,G462*(H462-0.01)*BJ462)))</f>
        <v>0</v>
      </c>
      <c r="AF462" s="109"/>
      <c r="AG462" s="114"/>
      <c r="AH462" s="564">
        <f>AH456*H462</f>
        <v>0</v>
      </c>
      <c r="AI462" s="565"/>
      <c r="AJ462" s="565"/>
      <c r="AK462" s="565">
        <f>AK456*H462</f>
        <v>0</v>
      </c>
      <c r="AL462" s="565"/>
      <c r="AM462" s="565"/>
      <c r="AN462" s="565">
        <f>AN456*H462</f>
        <v>0</v>
      </c>
      <c r="AO462" s="565"/>
      <c r="AP462" s="565"/>
      <c r="AQ462" s="565">
        <f>AQ456*H462</f>
        <v>0</v>
      </c>
      <c r="AR462" s="565"/>
      <c r="AS462" s="565"/>
      <c r="AT462" s="566">
        <f>SUM(AH462:AS462)</f>
        <v>0</v>
      </c>
      <c r="AU462" s="566"/>
      <c r="AV462" s="567"/>
      <c r="AW462" s="565">
        <f>AW456*H462</f>
        <v>0</v>
      </c>
      <c r="AX462" s="565"/>
      <c r="AY462" s="568"/>
      <c r="AZ462" s="2292"/>
      <c r="BA462" s="2292"/>
      <c r="BB462" s="2292"/>
      <c r="BC462" s="2292"/>
      <c r="BD462" s="2292"/>
      <c r="BE462" s="2292"/>
      <c r="BF462" s="2292"/>
      <c r="BH462" s="1065">
        <f>IF($Y462&lt;&gt;"votre valeur :",IF(ISNA(VLOOKUP($Y462,Utilitaires!$N$566:$O$571,2,FALSE)),,VLOOKUP($Y462,Utilitaires!$N$566:$O$571,2,FALSE)),$Z462)</f>
        <v>0</v>
      </c>
      <c r="BI462" s="1124">
        <f>IF(ISNA(SQRT(SUMSQ(VLOOKUP(Descriptif!D503&amp;" - usage : Transports, France continentale, Base Carbone; kgCO2e/kWh, Amont",'FE Déplacements'!$G:$U,7,FALSE),$BH462))),0,SQRT(SUMSQ(VLOOKUP(Descriptif!D503&amp;" - usage : Transports, France continentale, Base Carbone; kgCO2e/kWh, Amont",'FE Déplacements'!$G:$U,7,FALSE),$BH462)))</f>
        <v>0</v>
      </c>
      <c r="BJ462" s="1130">
        <f>IF(
ISNA(
SQRT(SUMSQ(
VLOOKUP(Descriptif!D503&amp;" - usage : Transports, France continentale, Base Carbone; kgCO2e/kWh, Combustion à la centrale",'FE Déplacements'!$G:$U,7,FALSE),$BH462))),
0,SQRT(SUMSQ(VLOOKUP(Descriptif!D503&amp;" - usage : Transports, France continentale, Base Carbone; kgCO2e/kWh, Combustion à la centrale",'FE Déplacements'!$G:$U,7,FALSE),$BH462)))</f>
        <v>0</v>
      </c>
      <c r="BK462" s="109"/>
    </row>
    <row r="463" spans="1:63" ht="12.75" hidden="1" customHeight="1" outlineLevel="2">
      <c r="B463" s="143"/>
      <c r="C463" s="144"/>
      <c r="D463" s="375"/>
      <c r="E463" s="375"/>
      <c r="F463" s="144"/>
      <c r="G463" s="144"/>
      <c r="H463" s="144"/>
      <c r="I463" s="152"/>
      <c r="X463" s="143"/>
      <c r="Y463" s="144"/>
      <c r="Z463" s="169"/>
      <c r="AA463" s="169"/>
      <c r="AB463" s="164"/>
      <c r="AC463" s="164"/>
      <c r="AD463" s="164"/>
      <c r="AE463" s="357"/>
      <c r="AH463" s="569"/>
      <c r="AI463" s="625"/>
      <c r="AJ463" s="625"/>
      <c r="AK463" s="625"/>
      <c r="AL463" s="625"/>
      <c r="AM463" s="625"/>
      <c r="AN463" s="625"/>
      <c r="AO463" s="625"/>
      <c r="AP463" s="625"/>
      <c r="AQ463" s="625"/>
      <c r="AR463" s="625"/>
      <c r="AS463" s="625"/>
      <c r="AT463" s="1313"/>
      <c r="AU463" s="1313"/>
      <c r="AV463" s="1314"/>
      <c r="AW463" s="565"/>
      <c r="AX463" s="565"/>
      <c r="AY463" s="568"/>
      <c r="AZ463" s="2292"/>
      <c r="BA463" s="2292"/>
      <c r="BB463" s="2292"/>
      <c r="BC463" s="2292"/>
      <c r="BD463" s="2292"/>
      <c r="BE463" s="2292"/>
      <c r="BF463" s="2292"/>
      <c r="BH463" s="1087"/>
      <c r="BI463" s="1075"/>
      <c r="BJ463" s="1131"/>
      <c r="BK463" s="109"/>
    </row>
    <row r="464" spans="1:63" s="109" customFormat="1" ht="15" hidden="1" customHeight="1" outlineLevel="2">
      <c r="A464" s="114"/>
      <c r="B464" s="196" t="s">
        <v>348</v>
      </c>
      <c r="C464" s="197"/>
      <c r="D464" s="214">
        <f>SUM(D462:D463)</f>
        <v>0</v>
      </c>
      <c r="E464" s="214"/>
      <c r="F464" s="199"/>
      <c r="G464" s="199"/>
      <c r="H464" s="199"/>
      <c r="I464" s="200">
        <f>SUM(I462:I463)</f>
        <v>0</v>
      </c>
      <c r="V464" s="114"/>
      <c r="W464" s="114"/>
      <c r="X464" s="1204">
        <f>IF(AE464=0,AE464,AE464/D464)</f>
        <v>0</v>
      </c>
      <c r="Y464" s="199"/>
      <c r="Z464" s="350"/>
      <c r="AA464" s="1338"/>
      <c r="AB464" s="203"/>
      <c r="AC464" s="203"/>
      <c r="AD464" s="203"/>
      <c r="AE464" s="200">
        <f>SQRT(SUMSQ(AE462:AE463))</f>
        <v>0</v>
      </c>
      <c r="AF464" s="114"/>
      <c r="AG464" s="116"/>
      <c r="AH464" s="1308">
        <f>SUM(AH462:AH463)</f>
        <v>0</v>
      </c>
      <c r="AI464" s="1309"/>
      <c r="AJ464" s="1309"/>
      <c r="AK464" s="1309">
        <f>SUM(AK462:AK463)</f>
        <v>0</v>
      </c>
      <c r="AL464" s="1309"/>
      <c r="AM464" s="1309"/>
      <c r="AN464" s="1309">
        <f>SUM(AN462:AN463)</f>
        <v>0</v>
      </c>
      <c r="AO464" s="1309"/>
      <c r="AP464" s="1309"/>
      <c r="AQ464" s="1309">
        <f>SUM(AQ462:AQ463)</f>
        <v>0</v>
      </c>
      <c r="AR464" s="572"/>
      <c r="AS464" s="572"/>
      <c r="AT464" s="573">
        <f>SUM(AT462:AT463)</f>
        <v>0</v>
      </c>
      <c r="AU464" s="1312"/>
      <c r="AV464" s="1312"/>
      <c r="AW464" s="1082">
        <f>SUM(AW462:AW463)</f>
        <v>0</v>
      </c>
      <c r="AX464" s="572"/>
      <c r="AY464" s="575"/>
      <c r="AZ464" s="2292"/>
      <c r="BA464" s="2292"/>
      <c r="BB464" s="2292"/>
      <c r="BC464" s="2292"/>
      <c r="BD464" s="2292"/>
      <c r="BE464" s="2292"/>
      <c r="BF464" s="2292"/>
      <c r="BH464" s="114"/>
      <c r="BI464" s="114"/>
      <c r="BJ464" s="114"/>
      <c r="BK464" s="114"/>
    </row>
    <row r="465" spans="1:71" s="109" customFormat="1" ht="12.75" hidden="1" customHeight="1" outlineLevel="2">
      <c r="A465" s="114"/>
      <c r="B465" s="114"/>
      <c r="C465" s="114"/>
      <c r="D465" s="114"/>
      <c r="E465" s="114"/>
      <c r="F465" s="114"/>
      <c r="G465" s="114"/>
      <c r="H465" s="114"/>
      <c r="I465" s="114"/>
      <c r="J465" s="114"/>
      <c r="K465" s="114"/>
      <c r="L465" s="116"/>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444"/>
      <c r="AI465" s="441"/>
      <c r="AJ465" s="441"/>
      <c r="AK465" s="441"/>
      <c r="AL465" s="441"/>
      <c r="AM465" s="441"/>
      <c r="AN465" s="441"/>
      <c r="AO465" s="441"/>
      <c r="AP465" s="441"/>
      <c r="AQ465" s="441"/>
      <c r="AR465" s="441"/>
      <c r="AS465" s="441"/>
      <c r="AT465" s="441"/>
      <c r="AU465" s="588"/>
      <c r="AV465" s="588"/>
      <c r="AW465" s="588"/>
      <c r="AX465" s="588"/>
      <c r="AY465" s="588"/>
      <c r="AZ465" s="588"/>
      <c r="BA465" s="588"/>
      <c r="BB465" s="588"/>
      <c r="BC465" s="588"/>
      <c r="BD465" s="588"/>
      <c r="BE465" s="588"/>
      <c r="BF465" s="588"/>
      <c r="BH465" s="114"/>
      <c r="BI465" s="114"/>
      <c r="BJ465" s="114"/>
      <c r="BK465" s="114"/>
    </row>
    <row r="466" spans="1:71" ht="12.75" hidden="1" customHeight="1" outlineLevel="2">
      <c r="B466" s="139" t="s">
        <v>2345</v>
      </c>
      <c r="C466" s="140"/>
      <c r="D466" s="1319"/>
      <c r="E466" s="1648"/>
      <c r="F466" s="141"/>
      <c r="G466" s="141"/>
      <c r="H466" s="1315"/>
      <c r="I466" s="1315"/>
      <c r="J466" s="1315"/>
      <c r="K466" s="1315"/>
      <c r="L466" s="1315"/>
      <c r="M466" s="1315"/>
      <c r="N466" s="1315"/>
      <c r="O466" s="1315"/>
      <c r="P466" s="1315"/>
      <c r="Q466" s="1315"/>
      <c r="R466" s="1315"/>
      <c r="S466" s="1319"/>
      <c r="T466" s="1319"/>
      <c r="U466" s="1859"/>
      <c r="W466" s="116"/>
      <c r="X466" s="2636" t="s">
        <v>366</v>
      </c>
      <c r="Y466" s="2637"/>
      <c r="Z466" s="2637"/>
      <c r="AA466" s="2637"/>
      <c r="AB466" s="2637"/>
      <c r="AC466" s="2637"/>
      <c r="AD466" s="2637"/>
      <c r="AE466" s="2637"/>
      <c r="AF466" s="2638"/>
      <c r="AH466" s="2639" t="s">
        <v>441</v>
      </c>
      <c r="AI466" s="2640"/>
      <c r="AJ466" s="2640"/>
      <c r="AK466" s="2640"/>
      <c r="AL466" s="2640"/>
      <c r="AM466" s="2640"/>
      <c r="AN466" s="2640"/>
      <c r="AO466" s="2640"/>
      <c r="AP466" s="2640"/>
      <c r="AQ466" s="2640"/>
      <c r="AR466" s="2640"/>
      <c r="AS466" s="2640"/>
      <c r="AT466" s="2640"/>
      <c r="AU466" s="2640"/>
      <c r="AV466" s="2640"/>
      <c r="AW466" s="2640"/>
      <c r="AX466" s="2640"/>
      <c r="AY466" s="2641"/>
      <c r="AZ466" s="2448"/>
      <c r="BA466" s="2448"/>
      <c r="BB466" s="2448"/>
      <c r="BC466" s="2448"/>
      <c r="BD466" s="2448"/>
      <c r="BE466" s="2448"/>
      <c r="BF466" s="2448"/>
    </row>
    <row r="467" spans="1:71" s="116" customFormat="1" ht="12.75" hidden="1" customHeight="1" outlineLevel="2">
      <c r="A467" s="114"/>
      <c r="B467" s="143"/>
      <c r="C467" s="144"/>
      <c r="D467" s="1334" t="s">
        <v>308</v>
      </c>
      <c r="E467" s="1663"/>
      <c r="F467" s="1317"/>
      <c r="G467" s="144"/>
      <c r="H467" s="144"/>
      <c r="I467" s="144"/>
      <c r="J467" s="144"/>
      <c r="K467" s="144"/>
      <c r="L467" s="144"/>
      <c r="M467" s="144"/>
      <c r="N467" s="144"/>
      <c r="O467" s="144"/>
      <c r="P467" s="144"/>
      <c r="Q467" s="144"/>
      <c r="R467" s="144"/>
      <c r="S467" s="144"/>
      <c r="T467" s="144"/>
      <c r="U467" s="153" t="s">
        <v>275</v>
      </c>
      <c r="X467" s="1316"/>
      <c r="Y467" s="819"/>
      <c r="Z467" s="819"/>
      <c r="AA467" s="144"/>
      <c r="AB467" s="144"/>
      <c r="AC467" s="144"/>
      <c r="AD467" s="1317"/>
      <c r="AE467" s="145"/>
      <c r="AF467" s="1324" t="s">
        <v>275</v>
      </c>
      <c r="AH467" s="2642" t="s">
        <v>444</v>
      </c>
      <c r="AI467" s="2643"/>
      <c r="AJ467" s="2643"/>
      <c r="AK467" s="2643"/>
      <c r="AL467" s="2643"/>
      <c r="AM467" s="2643"/>
      <c r="AN467" s="2643"/>
      <c r="AO467" s="2643"/>
      <c r="AP467" s="2643"/>
      <c r="AQ467" s="2643"/>
      <c r="AR467" s="2643"/>
      <c r="AS467" s="2643"/>
      <c r="AT467" s="2643" t="s">
        <v>444</v>
      </c>
      <c r="AU467" s="2643"/>
      <c r="AV467" s="628"/>
      <c r="AW467" s="1288"/>
      <c r="AX467" s="566"/>
      <c r="AY467" s="1333"/>
      <c r="AZ467" s="2449"/>
      <c r="BA467" s="2449"/>
      <c r="BB467" s="2449"/>
      <c r="BC467" s="2449"/>
      <c r="BD467" s="2449"/>
      <c r="BE467" s="2449"/>
      <c r="BF467" s="2449"/>
      <c r="BH467" s="2616" t="s">
        <v>1648</v>
      </c>
      <c r="BI467" s="2617"/>
      <c r="BJ467" s="2617"/>
      <c r="BK467" s="2617"/>
      <c r="BL467" s="2617"/>
      <c r="BM467" s="2617"/>
      <c r="BN467" s="2617"/>
      <c r="BO467" s="2617"/>
      <c r="BP467" s="2617"/>
      <c r="BQ467" s="2617"/>
      <c r="BR467" s="2617"/>
      <c r="BS467" s="2618"/>
    </row>
    <row r="468" spans="1:71" s="127" customFormat="1" ht="12.75" hidden="1" customHeight="1" outlineLevel="2">
      <c r="A468" s="109"/>
      <c r="B468" s="536"/>
      <c r="C468" s="144"/>
      <c r="D468" s="1334" t="s">
        <v>409</v>
      </c>
      <c r="E468" s="1663"/>
      <c r="F468" s="1320" t="s">
        <v>452</v>
      </c>
      <c r="G468" s="1320" t="s">
        <v>343</v>
      </c>
      <c r="H468" s="2626" t="s">
        <v>1572</v>
      </c>
      <c r="I468" s="2627"/>
      <c r="J468" s="1320" t="s">
        <v>343</v>
      </c>
      <c r="K468" s="2626" t="s">
        <v>1573</v>
      </c>
      <c r="L468" s="2627"/>
      <c r="M468" s="1320" t="s">
        <v>343</v>
      </c>
      <c r="N468" s="2626" t="s">
        <v>1575</v>
      </c>
      <c r="O468" s="2627"/>
      <c r="P468" s="1320" t="s">
        <v>343</v>
      </c>
      <c r="Q468" s="2626" t="s">
        <v>1574</v>
      </c>
      <c r="R468" s="2628"/>
      <c r="S468" s="1334" t="s">
        <v>444</v>
      </c>
      <c r="T468" s="1334" t="s">
        <v>444</v>
      </c>
      <c r="U468" s="153" t="s">
        <v>276</v>
      </c>
      <c r="X468" s="1316" t="s">
        <v>316</v>
      </c>
      <c r="Y468" s="2629" t="s">
        <v>316</v>
      </c>
      <c r="Z468" s="2630"/>
      <c r="AA468" s="1656" t="s">
        <v>444</v>
      </c>
      <c r="AB468" s="1656" t="s">
        <v>444</v>
      </c>
      <c r="AC468" s="2419"/>
      <c r="AD468" s="1317"/>
      <c r="AE468" s="1337" t="s">
        <v>444</v>
      </c>
      <c r="AF468" s="1324" t="s">
        <v>276</v>
      </c>
      <c r="AH468" s="2631" t="s">
        <v>211</v>
      </c>
      <c r="AI468" s="2632"/>
      <c r="AJ468" s="2632"/>
      <c r="AK468" s="2632" t="s">
        <v>442</v>
      </c>
      <c r="AL468" s="2632"/>
      <c r="AM468" s="2632"/>
      <c r="AN468" s="2632" t="s">
        <v>267</v>
      </c>
      <c r="AO468" s="2632"/>
      <c r="AP468" s="2632"/>
      <c r="AQ468" s="2632" t="s">
        <v>443</v>
      </c>
      <c r="AR468" s="2632"/>
      <c r="AS468" s="2632"/>
      <c r="AT468" s="2648" t="s">
        <v>327</v>
      </c>
      <c r="AU468" s="2648"/>
      <c r="AV468" s="568"/>
      <c r="AW468" s="2631" t="s">
        <v>636</v>
      </c>
      <c r="AX468" s="2632"/>
      <c r="AY468" s="568"/>
      <c r="AZ468" s="2292"/>
      <c r="BA468" s="2292"/>
      <c r="BB468" s="2292"/>
      <c r="BC468" s="2292"/>
      <c r="BD468" s="2292"/>
      <c r="BE468" s="2292"/>
      <c r="BF468" s="2292"/>
      <c r="BH468" s="2614" t="s">
        <v>1646</v>
      </c>
      <c r="BI468" s="2645"/>
      <c r="BJ468" s="2645"/>
      <c r="BK468" s="2615"/>
      <c r="BL468" s="2614" t="s">
        <v>1644</v>
      </c>
      <c r="BM468" s="2645"/>
      <c r="BN468" s="2645"/>
      <c r="BO468" s="2615"/>
      <c r="BP468" s="2614" t="s">
        <v>1645</v>
      </c>
      <c r="BQ468" s="2645"/>
      <c r="BR468" s="2645"/>
      <c r="BS468" s="2615"/>
    </row>
    <row r="469" spans="1:71" s="116" customFormat="1" ht="12.75" hidden="1" customHeight="1" outlineLevel="2">
      <c r="A469" s="114"/>
      <c r="B469" s="536" t="s">
        <v>1628</v>
      </c>
      <c r="C469" s="144"/>
      <c r="D469" s="315"/>
      <c r="E469" s="315"/>
      <c r="F469" s="1321" t="s">
        <v>453</v>
      </c>
      <c r="G469" s="1321" t="s">
        <v>1621</v>
      </c>
      <c r="H469" s="1322" t="s">
        <v>411</v>
      </c>
      <c r="I469" s="1322" t="s">
        <v>257</v>
      </c>
      <c r="J469" s="1321" t="s">
        <v>790</v>
      </c>
      <c r="K469" s="1322" t="s">
        <v>411</v>
      </c>
      <c r="L469" s="1322" t="s">
        <v>257</v>
      </c>
      <c r="M469" s="1321" t="s">
        <v>791</v>
      </c>
      <c r="N469" s="1322" t="s">
        <v>411</v>
      </c>
      <c r="O469" s="1322" t="s">
        <v>257</v>
      </c>
      <c r="P469" s="1321" t="s">
        <v>213</v>
      </c>
      <c r="Q469" s="1322" t="s">
        <v>411</v>
      </c>
      <c r="R469" s="1322" t="s">
        <v>257</v>
      </c>
      <c r="S469" s="1318" t="s">
        <v>411</v>
      </c>
      <c r="T469" s="1318" t="s">
        <v>257</v>
      </c>
      <c r="U469" s="153" t="s">
        <v>444</v>
      </c>
      <c r="X469" s="1316" t="s">
        <v>1649</v>
      </c>
      <c r="Y469" s="2646" t="s">
        <v>1650</v>
      </c>
      <c r="Z469" s="2647"/>
      <c r="AA469" s="1662" t="s">
        <v>411</v>
      </c>
      <c r="AB469" s="1662" t="s">
        <v>257</v>
      </c>
      <c r="AC469" s="1662"/>
      <c r="AD469" s="1332"/>
      <c r="AE469" s="162" t="s">
        <v>327</v>
      </c>
      <c r="AF469" s="1324" t="s">
        <v>444</v>
      </c>
      <c r="AH469" s="1331" t="s">
        <v>411</v>
      </c>
      <c r="AI469" s="1332" t="s">
        <v>257</v>
      </c>
      <c r="AJ469" s="1332"/>
      <c r="AK469" s="1332" t="s">
        <v>411</v>
      </c>
      <c r="AL469" s="1332" t="s">
        <v>257</v>
      </c>
      <c r="AM469" s="1332"/>
      <c r="AN469" s="1332" t="s">
        <v>411</v>
      </c>
      <c r="AO469" s="1332" t="s">
        <v>257</v>
      </c>
      <c r="AP469" s="1332"/>
      <c r="AQ469" s="1332" t="s">
        <v>411</v>
      </c>
      <c r="AR469" s="1332" t="s">
        <v>257</v>
      </c>
      <c r="AS469" s="1332"/>
      <c r="AT469" s="581" t="s">
        <v>411</v>
      </c>
      <c r="AU469" s="581" t="s">
        <v>257</v>
      </c>
      <c r="AV469" s="582"/>
      <c r="AW469" s="1331" t="s">
        <v>411</v>
      </c>
      <c r="AX469" s="1332" t="s">
        <v>257</v>
      </c>
      <c r="AY469" s="1333"/>
      <c r="AZ469" s="2449"/>
      <c r="BA469" s="2449"/>
      <c r="BB469" s="2449"/>
      <c r="BC469" s="2449"/>
      <c r="BD469" s="2449"/>
      <c r="BE469" s="2449"/>
      <c r="BF469" s="2449"/>
      <c r="BH469" s="1065"/>
      <c r="BI469" s="1065"/>
      <c r="BJ469" s="1065"/>
      <c r="BK469" s="1065"/>
      <c r="BL469" s="1124"/>
      <c r="BM469" s="1068"/>
      <c r="BN469" s="1068"/>
      <c r="BO469" s="1068"/>
      <c r="BP469" s="1069"/>
      <c r="BQ469" s="1070"/>
      <c r="BR469" s="1070"/>
      <c r="BS469" s="1071"/>
    </row>
    <row r="470" spans="1:71" s="116" customFormat="1" ht="12.75" hidden="1" customHeight="1" outlineLevel="2">
      <c r="A470" s="114"/>
      <c r="B470" s="143" t="s">
        <v>1630</v>
      </c>
      <c r="C470" s="144"/>
      <c r="D470" s="315">
        <f>SUM(S470,T470)</f>
        <v>0</v>
      </c>
      <c r="E470" s="315"/>
      <c r="F470" s="344"/>
      <c r="G470" s="1201"/>
      <c r="H470" s="335" t="e">
        <f>VLOOKUP($B470&amp;"; "&amp;$H$468&amp;", "&amp;H$469,'FE Energie'!$G:$U,9,FALSE)</f>
        <v>#N/A</v>
      </c>
      <c r="I470" s="335" t="e">
        <f>VLOOKUP($B470&amp;"; "&amp;$H$468&amp;", "&amp;I$469,'FE Energie'!$G:$U,9,FALSE)</f>
        <v>#N/A</v>
      </c>
      <c r="J470" s="1201"/>
      <c r="K470" s="223">
        <f>VLOOKUP($B470&amp;"; "&amp;$K$468&amp;", "&amp;K$469,'FE Energie'!$G:$U,9,FALSE)</f>
        <v>7.8399999999999997E-2</v>
      </c>
      <c r="L470" s="223">
        <f>VLOOKUP($B470&amp;"; "&amp;$K$468&amp;", "&amp;L$469,'FE Energie'!$G:$U,9,FALSE)</f>
        <v>0.19500000000000001</v>
      </c>
      <c r="M470" s="1201"/>
      <c r="N470" s="217">
        <f>VLOOKUP($B470&amp;"; "&amp;$N$468&amp;", "&amp;N$469,'FE Energie'!$G:$U,9,FALSE)</f>
        <v>916</v>
      </c>
      <c r="O470" s="217">
        <f>VLOOKUP($B470&amp;"; "&amp;$N$468&amp;", "&amp;O$469,'FE Energie'!$G:$U,9,FALSE)</f>
        <v>2269</v>
      </c>
      <c r="P470" s="1201"/>
      <c r="Q470" s="223">
        <f>VLOOKUP($B470&amp;"; "&amp;$Q$468&amp;", "&amp;Q$469,'FE Energie'!$G:$U,9,FALSE)</f>
        <v>0.75800000000000001</v>
      </c>
      <c r="R470" s="223">
        <f>VLOOKUP($B470&amp;"; "&amp;$Q$468&amp;", "&amp;R$469,'FE Energie'!$G:$U,9,FALSE)</f>
        <v>1.88</v>
      </c>
      <c r="S470" s="566">
        <f>IF(ISNA(G470*H470),0,G470*H470)+IF(ISNA(J470*K470),0,J470*K470)+IF(ISNA(M470*N470),0,M470*N470)+IF(ISNA(P470*Q470),0,P470*Q470)</f>
        <v>0</v>
      </c>
      <c r="T470" s="566">
        <f>IF(ISNA(G470*I470),0,G470*I470)+IF(ISNA(J470*L470),0,J470*L470)+IF(ISNA(M470*O470),0,M470*O470)+IF(ISNA(P470*R470),0,P470*R470)</f>
        <v>0</v>
      </c>
      <c r="U470" s="1286">
        <f>IF(OR(F470=Utilitaires!$I$572,F470=Utilitaires!$I$577),T470,0)</f>
        <v>0</v>
      </c>
      <c r="X470" s="1092">
        <f>IF(AE470=0,AE470,AE470/(S470+T470))</f>
        <v>0</v>
      </c>
      <c r="Y470" s="343"/>
      <c r="Z470" s="820"/>
      <c r="AA470" s="164">
        <f>SQRT(SUMSQ(IF(ISNA($G470*H470*BL470),0,$G470*H470*BL470),IF(ISNA($J470*K470*BM470),0,$J470*K470*BM470),IF(ISNA($M470*N470*BN470),0,$M470*N470*BN470),IF(ISNA($P470*Q470*BO470),0,$P470*Q470*BO470)))</f>
        <v>0</v>
      </c>
      <c r="AB470" s="164">
        <f>SQRT(SUMSQ(IF(ISNA($G470*I470*BP470),0,$G470*I470*BP470),IF(ISNA($J470*L470*BQ470),0,$J470*L470*BQ470),IF(ISNA($M470*O470*BR470),0,$M470*O470*BR470),IF(ISNA($P470*R470*BS470),0,$P470*R470*BS470)))</f>
        <v>0</v>
      </c>
      <c r="AC470" s="164"/>
      <c r="AD470" s="164"/>
      <c r="AE470" s="152">
        <f>SQRT(SUMSQ(AA470,AB470))</f>
        <v>0</v>
      </c>
      <c r="AF470" s="165">
        <f>U470*X470</f>
        <v>0</v>
      </c>
      <c r="AH470" s="564">
        <f>$G470*IF(ISNA(VLOOKUP($B470&amp;"; "&amp;$H$53&amp;", "&amp;H$54,'FE Energie'!$G:$U,10,FALSE)),0,VLOOKUP($B470&amp;"; "&amp;$H$53&amp;", "&amp;H$54,'FE Energie'!$G:$U,10,FALSE))
+$J470*IF(ISNA(VLOOKUP($B470&amp;"; "&amp;$K$53&amp;", "&amp;H$54,'FE Energie'!$G:$U,10,FALSE)),0,VLOOKUP($B470&amp;"; "&amp;$K$53&amp;", "&amp;H$54,'FE Energie'!$G:$U,10,FALSE))
+$M470*IF(ISNA(VLOOKUP($B470&amp;"; "&amp;$N$53&amp;", "&amp;H$54,'FE Energie'!$G:$U,10,FALSE)),0,VLOOKUP($B470&amp;"; "&amp;$N$53&amp;", "&amp;H$54,'FE Energie'!$G:$U,10,FALSE))
+$P470*IF(ISNA(VLOOKUP($B470&amp;"; "&amp;$Q$53&amp;", "&amp;H$54,'FE Energie'!$G:$U,10,FALSE)),0,VLOOKUP($B470&amp;"; "&amp;$Q$53&amp;", "&amp;H$54,'FE Energie'!$G:$U,10,FALSE))</f>
        <v>0</v>
      </c>
      <c r="AI470" s="565">
        <f>$G470*IF(ISNA(VLOOKUP($B470&amp;"; "&amp;$H$53&amp;", "&amp;I$54,'FE Energie'!$G:$U,10,FALSE)),0,VLOOKUP($B470&amp;"; "&amp;$H$53&amp;", "&amp;I$54,'FE Energie'!$G:$U,10,FALSE))
+$J470*IF(ISNA(VLOOKUP($B470&amp;"; "&amp;$K$53&amp;", "&amp;I$54,'FE Energie'!$G:$U,10,FALSE)),0,VLOOKUP($B470&amp;"; "&amp;$K$53&amp;", "&amp;I$54,'FE Energie'!$G:$U,10,FALSE))
+$M470*IF(ISNA(VLOOKUP($B470&amp;"; "&amp;$N$53&amp;", "&amp;I$54,'FE Energie'!$G:$U,10,FALSE)),0,VLOOKUP($B470&amp;"; "&amp;$N$53&amp;", "&amp;I$54,'FE Energie'!$G:$U,10,FALSE))
+$P470*IF(ISNA(VLOOKUP($B470&amp;"; "&amp;$Q$53&amp;", "&amp;I$54,'FE Energie'!$G:$U,10,FALSE)),0,VLOOKUP($B470&amp;"; "&amp;$Q$53&amp;", "&amp;I$54,'FE Energie'!$G:$U,10,FALSE))</f>
        <v>0</v>
      </c>
      <c r="AJ470" s="565"/>
      <c r="AK470" s="565">
        <f>$G470*IF(ISNA((VLOOKUP($B470&amp;"; "&amp;$H$53&amp;", "&amp;H$54,'FE Energie'!$G:$U,11,FALSE)+VLOOKUP($B470&amp;"; "&amp;$H$53&amp;", "&amp;H$54,'FE Energie'!$G:$U,12,FALSE))),0,(VLOOKUP($B470&amp;"; "&amp;$H$53&amp;", "&amp;H$54,'FE Energie'!$G:$U,11,FALSE)+VLOOKUP($B470&amp;"; "&amp;$H$53&amp;", "&amp;H$54,'FE Energie'!$G:$U,12,FALSE)))
+$J470*IF(ISNA((VLOOKUP($B470&amp;"; "&amp;$K$53&amp;", "&amp;H$54,'FE Energie'!$G:$U,11,FALSE)+VLOOKUP($B470&amp;"; "&amp;$K$53&amp;", "&amp;H$54,'FE Energie'!$G:$U,12,FALSE))),0,(VLOOKUP($B470&amp;"; "&amp;$K$53&amp;", "&amp;H$54,'FE Energie'!$G:$U,11,FALSE)+VLOOKUP($B470&amp;"; "&amp;$K$53&amp;", "&amp;H$54,'FE Energie'!$G:$U,12,FALSE)))
+$M470*IF(ISNA((VLOOKUP($B470&amp;"; "&amp;$N$53&amp;", "&amp;H$54,'FE Energie'!$G:$U,11,FALSE)+VLOOKUP($B470&amp;"; "&amp;$N$53&amp;", "&amp;H$54,'FE Energie'!$G:$U,12,FALSE))),0,(VLOOKUP($B470&amp;"; "&amp;$N$53&amp;", "&amp;H$54,'FE Energie'!$G:$U,11,FALSE)+VLOOKUP($B470&amp;"; "&amp;$N$53&amp;", "&amp;H$54,'FE Energie'!$G:$U,12,FALSE)))
+$P470*IF(ISNA((VLOOKUP($B470&amp;"; "&amp;$Q$53&amp;", "&amp;H$54,'FE Energie'!$G:$U,11,FALSE)+VLOOKUP($B470&amp;"; "&amp;$Q$53&amp;", "&amp;H$54,'FE Energie'!$G:$U,12,FALSE))),0,(VLOOKUP($B470&amp;"; "&amp;$Q$53&amp;", "&amp;H$54,'FE Energie'!$G:$U,11,FALSE)+VLOOKUP($B470&amp;"; "&amp;$Q$53&amp;", "&amp;H$54,'FE Energie'!$G:$U,12,FALSE)))</f>
        <v>0</v>
      </c>
      <c r="AL470" s="565">
        <f>$G470*IF(ISNA((VLOOKUP($B470&amp;"; "&amp;$H$53&amp;", "&amp;I$54,'FE Energie'!$G:$U,11,FALSE)+VLOOKUP($B470&amp;"; "&amp;$H$53&amp;", "&amp;I$54,'FE Energie'!$G:$U,12,FALSE))),0,(VLOOKUP($B470&amp;"; "&amp;$H$53&amp;", "&amp;I$54,'FE Energie'!$G:$U,11,FALSE)+VLOOKUP($B470&amp;"; "&amp;$H$53&amp;", "&amp;I$54,'FE Energie'!$G:$U,12,FALSE)))
+$J470*IF(ISNA((VLOOKUP($B470&amp;"; "&amp;$K$53&amp;", "&amp;I$54,'FE Energie'!$G:$U,11,FALSE)+VLOOKUP($B470&amp;"; "&amp;$K$53&amp;", "&amp;I$54,'FE Energie'!$G:$U,12,FALSE))),0,(VLOOKUP($B470&amp;"; "&amp;$K$53&amp;", "&amp;I$54,'FE Energie'!$G:$U,11,FALSE)+VLOOKUP($B470&amp;"; "&amp;$K$53&amp;", "&amp;I$54,'FE Energie'!$G:$U,12,FALSE)))
+$M470*IF(ISNA((VLOOKUP($B470&amp;"; "&amp;$N$53&amp;", "&amp;I$54,'FE Energie'!$G:$U,11,FALSE)+VLOOKUP($B470&amp;"; "&amp;$N$53&amp;", "&amp;I$54,'FE Energie'!$G:$U,12,FALSE))),0,(VLOOKUP($B470&amp;"; "&amp;$N$53&amp;", "&amp;I$54,'FE Energie'!$G:$U,11,FALSE)+VLOOKUP($B470&amp;"; "&amp;$N$53&amp;", "&amp;I$54,'FE Energie'!$G:$U,12,FALSE)))
+$P470*IF(ISNA((VLOOKUP($B470&amp;"; "&amp;$Q$53&amp;", "&amp;I$54,'FE Energie'!$G:$U,11,FALSE)+VLOOKUP($B470&amp;"; "&amp;$Q$53&amp;", "&amp;I$54,'FE Energie'!$G:$U,12,FALSE))),0,(VLOOKUP($B470&amp;"; "&amp;$Q$53&amp;", "&amp;I$54,'FE Energie'!$G:$U,11,FALSE)+VLOOKUP($B470&amp;"; "&amp;$Q$53&amp;", "&amp;I$54,'FE Energie'!$G:$U,12,FALSE)))</f>
        <v>0</v>
      </c>
      <c r="AM470" s="565"/>
      <c r="AN470" s="565">
        <f>$G470*IF(ISNA(VLOOKUP($B470&amp;"; "&amp;$H$53&amp;", "&amp;H$54,'FE Energie'!$G:$U,13,FALSE)),0,VLOOKUP($B470&amp;"; "&amp;$H$53&amp;", "&amp;H$54,'FE Energie'!$G:$U,13,FALSE))
+$J470*IF(ISNA(VLOOKUP($B470&amp;"; "&amp;$K$53&amp;", "&amp;H$54,'FE Energie'!$G:$U,13,FALSE)),0,VLOOKUP($B470&amp;"; "&amp;$K$53&amp;", "&amp;H$54,'FE Energie'!$G:$U,13,FALSE))
+$M470*IF(ISNA(VLOOKUP($B470&amp;"; "&amp;$N$53&amp;", "&amp;H$54,'FE Energie'!$G:$U,13,FALSE)),0,VLOOKUP($B470&amp;"; "&amp;$N$53&amp;", "&amp;H$54,'FE Energie'!$G:$U,13,FALSE))
+$P470*IF(ISNA(VLOOKUP($B470&amp;"; "&amp;$Q$53&amp;", "&amp;H$54,'FE Energie'!$G:$U,13,FALSE)),0,VLOOKUP($B470&amp;"; "&amp;$Q$53&amp;", "&amp;H$54,'FE Energie'!$G:$U,13,FALSE))</f>
        <v>0</v>
      </c>
      <c r="AO470" s="565">
        <f>$G470*IF(ISNA(VLOOKUP($B470&amp;"; "&amp;$H$53&amp;", "&amp;I$54,'FE Energie'!$G:$U,13,FALSE)),0,VLOOKUP($B470&amp;"; "&amp;$H$53&amp;", "&amp;I$54,'FE Energie'!$G:$U,13,FALSE))
+$J470*IF(ISNA(VLOOKUP($B470&amp;"; "&amp;$K$53&amp;", "&amp;I$54,'FE Energie'!$G:$U,13,FALSE)),0,VLOOKUP($B470&amp;"; "&amp;$K$53&amp;", "&amp;I$54,'FE Energie'!$G:$U,13,FALSE))
+$M470*IF(ISNA(VLOOKUP($B470&amp;"; "&amp;$N$53&amp;", "&amp;I$54,'FE Energie'!$G:$U,13,FALSE)),0,VLOOKUP($B470&amp;"; "&amp;$N$53&amp;", "&amp;I$54,'FE Energie'!$G:$U,13,FALSE))
+$P470*IF(ISNA(VLOOKUP($B470&amp;"; "&amp;$Q$53&amp;", "&amp;I$54,'FE Energie'!$G:$U,13,FALSE)),0,VLOOKUP($B470&amp;"; "&amp;$Q$53&amp;", "&amp;I$54,'FE Energie'!$G:$U,13,FALSE))</f>
        <v>0</v>
      </c>
      <c r="AP470" s="565"/>
      <c r="AQ470" s="565">
        <f>$G470*IF(ISNA(VLOOKUP($B470&amp;"; "&amp;$H$53&amp;", "&amp;H$54,'FE Energie'!$G:$U,14,FALSE)),0,VLOOKUP($B470&amp;"; "&amp;$H$53&amp;", "&amp;H$54,'FE Energie'!$G:$U,14,FALSE))
+$J470*IF(ISNA(VLOOKUP($B470&amp;"; "&amp;$K$53&amp;", "&amp;H$54,'FE Energie'!$G:$U,14,FALSE)),0,VLOOKUP($B470&amp;"; "&amp;$K$53&amp;", "&amp;H$54,'FE Energie'!$G:$U,14,FALSE))
+$M470*IF(ISNA(VLOOKUP($B470&amp;"; "&amp;$N$53&amp;", "&amp;H$54,'FE Energie'!$G:$U,14,FALSE)),0,VLOOKUP($B470&amp;"; "&amp;$N$53&amp;", "&amp;H$54,'FE Energie'!$G:$U,14,FALSE))
+$P470*IF(ISNA(VLOOKUP($B470&amp;"; "&amp;$Q$53&amp;", "&amp;H$54,'FE Energie'!$G:$U,14,FALSE)),0,VLOOKUP($B470&amp;"; "&amp;$Q$53&amp;", "&amp;H$54,'FE Energie'!$G:$U,14,FALSE))</f>
        <v>0</v>
      </c>
      <c r="AR470" s="565">
        <f>$G470*IF(ISNA(VLOOKUP($B470&amp;"; "&amp;$H$53&amp;", "&amp;I$54,'FE Energie'!$G:$U,14,FALSE)),0,VLOOKUP($B470&amp;"; "&amp;$H$53&amp;", "&amp;I$54,'FE Energie'!$G:$U,14,FALSE))
+$J470*IF(ISNA(VLOOKUP($B470&amp;"; "&amp;$K$53&amp;", "&amp;I$54,'FE Energie'!$G:$U,14,FALSE)),0,VLOOKUP($B470&amp;"; "&amp;$K$53&amp;", "&amp;I$54,'FE Energie'!$G:$U,14,FALSE))
+$M470*IF(ISNA(VLOOKUP($B470&amp;"; "&amp;$N$53&amp;", "&amp;I$54,'FE Energie'!$G:$U,14,FALSE)),0,VLOOKUP($B470&amp;"; "&amp;$N$53&amp;", "&amp;I$54,'FE Energie'!$G:$U,14,FALSE))
+$P470*IF(ISNA(VLOOKUP($B470&amp;"; "&amp;$Q$53&amp;", "&amp;I$54,'FE Energie'!$G:$U,14,FALSE)),0,VLOOKUP($B470&amp;"; "&amp;$Q$53&amp;", "&amp;I$54,'FE Energie'!$G:$U,14,FALSE))</f>
        <v>0</v>
      </c>
      <c r="AS470" s="565"/>
      <c r="AT470" s="566">
        <f>SUM(AH470,AK470,AN470,AQ470)</f>
        <v>0</v>
      </c>
      <c r="AU470" s="566">
        <f>SUM(AI470,AL470,AO470,AR470)</f>
        <v>0</v>
      </c>
      <c r="AV470" s="567"/>
      <c r="AW470" s="564">
        <f>$G470*IF(ISNA(VLOOKUP($B470&amp;"; "&amp;$H$53&amp;", "&amp;H$54,'FE Energie'!$G:$U,15,FALSE)),0,VLOOKUP($B470&amp;"; "&amp;$H$53&amp;", "&amp;H$54,'FE Energie'!$G:$U,15,FALSE))
+$J470*IF(ISNA(VLOOKUP($B470&amp;"; "&amp;$K$53&amp;", "&amp;H$54,'FE Energie'!$G:$U,15,FALSE)),0,VLOOKUP($B470&amp;"; "&amp;$K$53&amp;", "&amp;H$54,'FE Energie'!$G:$U,15,FALSE))
+$M470*IF(ISNA(VLOOKUP($B470&amp;"; "&amp;$N$53&amp;", "&amp;H$54,'FE Energie'!$G:$U,15,FALSE)),0,VLOOKUP($B470&amp;"; "&amp;$N$53&amp;", "&amp;H$54,'FE Energie'!$G:$U,15,FALSE))
+$P470*IF(ISNA(VLOOKUP($B470&amp;"; "&amp;$Q$53&amp;", "&amp;H$54,'FE Energie'!$G:$U,15,FALSE)),0,VLOOKUP($B470&amp;"; "&amp;$Q$53&amp;", "&amp;H$54,'FE Energie'!$G:$U,15,FALSE))</f>
        <v>0</v>
      </c>
      <c r="AX470" s="565">
        <f>$G470*IF(ISNA(VLOOKUP($B470&amp;"; "&amp;$H$53&amp;", "&amp;I$54,'FE Energie'!$G:$U,15,FALSE)),0,VLOOKUP($B470&amp;"; "&amp;$H$53&amp;", "&amp;I$54,'FE Energie'!$G:$U,15,FALSE))
+$J470*IF(ISNA(VLOOKUP($B470&amp;"; "&amp;$K$53&amp;", "&amp;I$54,'FE Energie'!$G:$U,15,FALSE)),0,VLOOKUP($B470&amp;"; "&amp;$K$53&amp;", "&amp;I$54,'FE Energie'!$G:$U,15,FALSE))
+$M470*IF(ISNA(VLOOKUP($B470&amp;"; "&amp;$N$53&amp;", "&amp;I$54,'FE Energie'!$G:$U,15,FALSE)),0,VLOOKUP($B470&amp;"; "&amp;$N$53&amp;", "&amp;I$54,'FE Energie'!$G:$U,15,FALSE))
+$P470*IF(ISNA(VLOOKUP($B470&amp;"; "&amp;$Q$53&amp;", "&amp;I$54,'FE Energie'!$G:$U,15,FALSE)),0,VLOOKUP($B470&amp;"; "&amp;$Q$53&amp;", "&amp;I$54,'FE Energie'!$G:$U,15,FALSE))</f>
        <v>0</v>
      </c>
      <c r="AY470" s="568"/>
      <c r="AZ470" s="2292"/>
      <c r="BA470" s="2292"/>
      <c r="BB470" s="2292"/>
      <c r="BC470" s="2292"/>
      <c r="BD470" s="2292"/>
      <c r="BE470" s="2292"/>
      <c r="BF470" s="2292"/>
      <c r="BH470" s="1065">
        <f>IF($Y470&lt;&gt;"votre valeur :",IF(ISNA(VLOOKUP($Y470,Utilitaires!$N$566:$O$571,2,FALSE)),,VLOOKUP($Y470,Utilitaires!$N$566:$O$571,2,FALSE)),$Z470)</f>
        <v>0</v>
      </c>
      <c r="BI470" s="1065">
        <f>IF($Y470&lt;&gt;"votre valeur :",IF(ISNA(VLOOKUP($Y470,Utilitaires!$N$566:$O$571,2,FALSE)),,VLOOKUP($Y470,Utilitaires!$N$566:$O$571,2,FALSE)),$Z470)</f>
        <v>0</v>
      </c>
      <c r="BJ470" s="1065">
        <f>IF($Y470&lt;&gt;"votre valeur :",IF(ISNA(VLOOKUP($Y470,Utilitaires!$N$566:$O$571,2,FALSE)),,VLOOKUP($Y470,Utilitaires!$N$566:$O$571,2,FALSE)),$Z470)</f>
        <v>0</v>
      </c>
      <c r="BK470" s="1065">
        <f>IF($Y470&lt;&gt;"votre valeur :",IF(ISNA(VLOOKUP($Y470,Utilitaires!$N$566:$O$571,2,FALSE)),,VLOOKUP($Y470,Utilitaires!$N$566:$O$571,2,FALSE)),$Z470)</f>
        <v>0</v>
      </c>
      <c r="BL470" s="1124">
        <f>IF(ISNA(SQRT(SUMSQ(VLOOKUP($B470&amp;"; "&amp;$H$53&amp;", "&amp;$H$54,'FE Energie'!$G:$U,7,FALSE),$BH470))),0,SQRT(SUMSQ(VLOOKUP($B470&amp;"; "&amp;$H$53&amp;", "&amp;$H$54,'FE Energie'!$G:$U,7,FALSE),$BH470)))</f>
        <v>0</v>
      </c>
      <c r="BM470" s="1068">
        <f>IF(ISNA(SQRT(SUMSQ(VLOOKUP($B470&amp;"; "&amp;$K$53&amp;", "&amp;$K$54,'FE Energie'!$G:$U,7,FALSE),$BI470))),0,SQRT(SUMSQ(VLOOKUP($B470&amp;"; "&amp;$K$53&amp;", "&amp;$K$54,'FE Energie'!$G:$U,7,FALSE),$BI470)))</f>
        <v>0.05</v>
      </c>
      <c r="BN470" s="1068">
        <f>IF(ISNA(SQRT(SUMSQ(VLOOKUP($B470&amp;"; "&amp;$N$53&amp;", "&amp;$N$54,'FE Energie'!$G:$U,7,FALSE),$BJ470))),0,SQRT(SUMSQ(VLOOKUP($B470&amp;"; "&amp;$N$53&amp;", "&amp;$N$54,'FE Energie'!$G:$U,7,FALSE),$BJ470)))</f>
        <v>0.05</v>
      </c>
      <c r="BO470" s="1068">
        <f>IF(ISNA(SQRT(SUMSQ(VLOOKUP($B470&amp;"; "&amp;$Q$53&amp;", "&amp;$Q$54,'FE Energie'!$G:$U,7,FALSE),$BK470))),0,SQRT(SUMSQ(VLOOKUP($B470&amp;"; "&amp;$Q$53&amp;", "&amp;$Q$54,'FE Energie'!$G:$U,7,FALSE),$BK470)))</f>
        <v>0.1</v>
      </c>
      <c r="BP470" s="1069">
        <f>IF(ISNA(SQRT(SUMSQ(VLOOKUP($B470&amp;"; "&amp;$H$53&amp;", "&amp;$I$54,'FE Energie'!$G:$U,7,FALSE),$BH470))),0,SQRT(SUMSQ(VLOOKUP($B470&amp;"; "&amp;$H$53&amp;", "&amp;$I$54,'FE Energie'!$G:$U,7,FALSE),$BH470)))</f>
        <v>0</v>
      </c>
      <c r="BQ470" s="1070">
        <f>IF(ISNA(SQRT(SUMSQ(VLOOKUP($B470&amp;"; "&amp;$K$53&amp;", "&amp;$L$54,'FE Energie'!$G:$U,7,FALSE),$BI470))),0,SQRT(SUMSQ(VLOOKUP($B470&amp;"; "&amp;$K$53&amp;", "&amp;$L$54,'FE Energie'!$G:$U,7,FALSE),$BI470)))</f>
        <v>0.05</v>
      </c>
      <c r="BR470" s="1070">
        <f>IF(ISNA(SQRT(SUMSQ(VLOOKUP($B470&amp;"; "&amp;$N$53&amp;", "&amp;$O$54,'FE Energie'!$G:$U,7,FALSE),$BJ470))),0,SQRT(SUMSQ(VLOOKUP($B470&amp;"; "&amp;$N$53&amp;", "&amp;$O$54,'FE Energie'!$G:$U,7,FALSE),$BJ470)))</f>
        <v>0.05</v>
      </c>
      <c r="BS470" s="1071">
        <f>IF(ISNA(SQRT(SUMSQ(VLOOKUP($B470&amp;"; "&amp;$Q$53&amp;", "&amp;$R$54,'FE Energie'!$G:$U,7,FALSE),$BK470))),0,SQRT(SUMSQ(VLOOKUP($B470&amp;"; "&amp;$Q$53&amp;", "&amp;$R$54,'FE Energie'!$G:$U,7,FALSE),$BK470)))</f>
        <v>0.1</v>
      </c>
    </row>
    <row r="471" spans="1:71" s="116" customFormat="1" ht="12.75" hidden="1" customHeight="1" outlineLevel="2">
      <c r="A471" s="114"/>
      <c r="B471" s="143" t="s">
        <v>1631</v>
      </c>
      <c r="C471" s="144"/>
      <c r="D471" s="315">
        <f>SUM(S471,T471)</f>
        <v>0</v>
      </c>
      <c r="E471" s="315"/>
      <c r="F471" s="345"/>
      <c r="G471" s="1086"/>
      <c r="H471" s="335">
        <f>VLOOKUP($B471&amp;"; "&amp;$H$468&amp;", "&amp;H$469,'FE Energie'!$G:$U,9,FALSE)</f>
        <v>0.27</v>
      </c>
      <c r="I471" s="335">
        <f>VLOOKUP($B471&amp;"; "&amp;$H$468&amp;", "&amp;I$469,'FE Energie'!$G:$U,9,FALSE)</f>
        <v>3.07</v>
      </c>
      <c r="J471" s="1086"/>
      <c r="K471" s="223" t="e">
        <f>VLOOKUP($B471&amp;"; "&amp;$K$468&amp;", "&amp;K$469,'FE Energie'!$G:$U,9,FALSE)</f>
        <v>#N/A</v>
      </c>
      <c r="L471" s="223" t="e">
        <f>VLOOKUP($B471&amp;"; "&amp;$K$468&amp;", "&amp;L$469,'FE Energie'!$G:$U,9,FALSE)</f>
        <v>#N/A</v>
      </c>
      <c r="M471" s="1086"/>
      <c r="N471" s="217" t="e">
        <f>VLOOKUP($B471&amp;"; "&amp;$N$468&amp;", "&amp;N$469,'FE Energie'!$G:$U,9,FALSE)</f>
        <v>#N/A</v>
      </c>
      <c r="O471" s="217" t="e">
        <f>VLOOKUP($B471&amp;"; "&amp;$N$468&amp;", "&amp;O$469,'FE Energie'!$G:$U,9,FALSE)</f>
        <v>#N/A</v>
      </c>
      <c r="P471" s="1086"/>
      <c r="Q471" s="223" t="e">
        <f>VLOOKUP($B471&amp;"; "&amp;$Q$468&amp;", "&amp;Q$469,'FE Energie'!$G:$U,9,FALSE)</f>
        <v>#N/A</v>
      </c>
      <c r="R471" s="223" t="e">
        <f>VLOOKUP($B471&amp;"; "&amp;$Q$468&amp;", "&amp;R$469,'FE Energie'!$G:$U,9,FALSE)</f>
        <v>#N/A</v>
      </c>
      <c r="S471" s="566">
        <f>IF(ISNA(G471*H471),0,G471*H471)+IF(ISNA(J471*K471),0,J471*K471)+IF(ISNA(M471*N471),0,M471*N471)+IF(ISNA(P471*Q471),0,P471*Q471)</f>
        <v>0</v>
      </c>
      <c r="T471" s="566">
        <f>IF(ISNA(G471*I471),0,G471*I471)+IF(ISNA(J471*L471),0,J471*L471)+IF(ISNA(M471*O471),0,M471*O471)+IF(ISNA(P471*R471),0,P471*R471)</f>
        <v>0</v>
      </c>
      <c r="U471" s="1286">
        <f>IF(OR(F471=Utilitaires!$I$572,F471=Utilitaires!$I$577),T471,0)</f>
        <v>0</v>
      </c>
      <c r="X471" s="1092">
        <f>IF(AE471=0,AE471,AE471/(S471+T471))</f>
        <v>0</v>
      </c>
      <c r="Y471" s="1094"/>
      <c r="Z471" s="820"/>
      <c r="AA471" s="164">
        <f>SQRT(SUMSQ(IF(ISNA($G471*H471*BL471),0,$G471*H471*BL471),IF(ISNA($J471*K471*BM471),0,$J471*K471*BM471),IF(ISNA($M471*N471*BN471),0,$M471*N471*BN471),IF(ISNA($P471*Q471*BO471),0,$P471*Q471*BO471)))</f>
        <v>0</v>
      </c>
      <c r="AB471" s="164">
        <f>SQRT(SUMSQ(IF(ISNA($G471*I471*BP471),0,$G471*I471*BP471),IF(ISNA($J471*L471*BQ471),0,$J471*L471*BQ471),IF(ISNA($M471*O471*BR471),0,$M471*O471*BR471),IF(ISNA($P471*R471*BS471),0,$P471*R471*BS471)))</f>
        <v>0</v>
      </c>
      <c r="AC471" s="164"/>
      <c r="AD471" s="164"/>
      <c r="AE471" s="152">
        <f>SQRT(SUMSQ(AA471,AB471))</f>
        <v>0</v>
      </c>
      <c r="AF471" s="165">
        <f>U471*X471</f>
        <v>0</v>
      </c>
      <c r="AH471" s="564">
        <f>$G471*IF(ISNA(VLOOKUP($B471&amp;"; "&amp;$H$53&amp;", "&amp;H$54,'FE Energie'!$G:$U,10,FALSE)),0,VLOOKUP($B471&amp;"; "&amp;$H$53&amp;", "&amp;H$54,'FE Energie'!$G:$U,10,FALSE))
+$J471*IF(ISNA(VLOOKUP($B471&amp;"; "&amp;$K$53&amp;", "&amp;H$54,'FE Energie'!$G:$U,10,FALSE)),0,VLOOKUP($B471&amp;"; "&amp;$K$53&amp;", "&amp;H$54,'FE Energie'!$G:$U,10,FALSE))
+$M471*IF(ISNA(VLOOKUP($B471&amp;"; "&amp;$N$53&amp;", "&amp;H$54,'FE Energie'!$G:$U,10,FALSE)),0,VLOOKUP($B471&amp;"; "&amp;$N$53&amp;", "&amp;H$54,'FE Energie'!$G:$U,10,FALSE))
+$P471*IF(ISNA(VLOOKUP($B471&amp;"; "&amp;$Q$53&amp;", "&amp;H$54,'FE Energie'!$G:$U,10,FALSE)),0,VLOOKUP($B471&amp;"; "&amp;$Q$53&amp;", "&amp;H$54,'FE Energie'!$G:$U,10,FALSE))</f>
        <v>0</v>
      </c>
      <c r="AI471" s="565">
        <f>$G471*IF(ISNA(VLOOKUP($B471&amp;"; "&amp;$H$53&amp;", "&amp;I$54,'FE Energie'!$G:$U,10,FALSE)),0,VLOOKUP($B471&amp;"; "&amp;$H$53&amp;", "&amp;I$54,'FE Energie'!$G:$U,10,FALSE))
+$J471*IF(ISNA(VLOOKUP($B471&amp;"; "&amp;$K$53&amp;", "&amp;I$54,'FE Energie'!$G:$U,10,FALSE)),0,VLOOKUP($B471&amp;"; "&amp;$K$53&amp;", "&amp;I$54,'FE Energie'!$G:$U,10,FALSE))
+$M471*IF(ISNA(VLOOKUP($B471&amp;"; "&amp;$N$53&amp;", "&amp;I$54,'FE Energie'!$G:$U,10,FALSE)),0,VLOOKUP($B471&amp;"; "&amp;$N$53&amp;", "&amp;I$54,'FE Energie'!$G:$U,10,FALSE))
+$P471*IF(ISNA(VLOOKUP($B471&amp;"; "&amp;$Q$53&amp;", "&amp;I$54,'FE Energie'!$G:$U,10,FALSE)),0,VLOOKUP($B471&amp;"; "&amp;$Q$53&amp;", "&amp;I$54,'FE Energie'!$G:$U,10,FALSE))</f>
        <v>0</v>
      </c>
      <c r="AJ471" s="565"/>
      <c r="AK471" s="565">
        <f>$G471*IF(ISNA((VLOOKUP($B471&amp;"; "&amp;$H$53&amp;", "&amp;H$54,'FE Energie'!$G:$U,11,FALSE)+VLOOKUP($B471&amp;"; "&amp;$H$53&amp;", "&amp;H$54,'FE Energie'!$G:$U,12,FALSE))),0,(VLOOKUP($B471&amp;"; "&amp;$H$53&amp;", "&amp;H$54,'FE Energie'!$G:$U,11,FALSE)+VLOOKUP($B471&amp;"; "&amp;$H$53&amp;", "&amp;H$54,'FE Energie'!$G:$U,12,FALSE)))
+$J471*IF(ISNA((VLOOKUP($B471&amp;"; "&amp;$K$53&amp;", "&amp;H$54,'FE Energie'!$G:$U,11,FALSE)+VLOOKUP($B471&amp;"; "&amp;$K$53&amp;", "&amp;H$54,'FE Energie'!$G:$U,12,FALSE))),0,(VLOOKUP($B471&amp;"; "&amp;$K$53&amp;", "&amp;H$54,'FE Energie'!$G:$U,11,FALSE)+VLOOKUP($B471&amp;"; "&amp;$K$53&amp;", "&amp;H$54,'FE Energie'!$G:$U,12,FALSE)))
+$M471*IF(ISNA((VLOOKUP($B471&amp;"; "&amp;$N$53&amp;", "&amp;H$54,'FE Energie'!$G:$U,11,FALSE)+VLOOKUP($B471&amp;"; "&amp;$N$53&amp;", "&amp;H$54,'FE Energie'!$G:$U,12,FALSE))),0,(VLOOKUP($B471&amp;"; "&amp;$N$53&amp;", "&amp;H$54,'FE Energie'!$G:$U,11,FALSE)+VLOOKUP($B471&amp;"; "&amp;$N$53&amp;", "&amp;H$54,'FE Energie'!$G:$U,12,FALSE)))
+$P471*IF(ISNA((VLOOKUP($B471&amp;"; "&amp;$Q$53&amp;", "&amp;H$54,'FE Energie'!$G:$U,11,FALSE)+VLOOKUP($B471&amp;"; "&amp;$Q$53&amp;", "&amp;H$54,'FE Energie'!$G:$U,12,FALSE))),0,(VLOOKUP($B471&amp;"; "&amp;$Q$53&amp;", "&amp;H$54,'FE Energie'!$G:$U,11,FALSE)+VLOOKUP($B471&amp;"; "&amp;$Q$53&amp;", "&amp;H$54,'FE Energie'!$G:$U,12,FALSE)))</f>
        <v>0</v>
      </c>
      <c r="AL471" s="565">
        <f>$G471*IF(ISNA((VLOOKUP($B471&amp;"; "&amp;$H$53&amp;", "&amp;I$54,'FE Energie'!$G:$U,11,FALSE)+VLOOKUP($B471&amp;"; "&amp;$H$53&amp;", "&amp;I$54,'FE Energie'!$G:$U,12,FALSE))),0,(VLOOKUP($B471&amp;"; "&amp;$H$53&amp;", "&amp;I$54,'FE Energie'!$G:$U,11,FALSE)+VLOOKUP($B471&amp;"; "&amp;$H$53&amp;", "&amp;I$54,'FE Energie'!$G:$U,12,FALSE)))
+$J471*IF(ISNA((VLOOKUP($B471&amp;"; "&amp;$K$53&amp;", "&amp;I$54,'FE Energie'!$G:$U,11,FALSE)+VLOOKUP($B471&amp;"; "&amp;$K$53&amp;", "&amp;I$54,'FE Energie'!$G:$U,12,FALSE))),0,(VLOOKUP($B471&amp;"; "&amp;$K$53&amp;", "&amp;I$54,'FE Energie'!$G:$U,11,FALSE)+VLOOKUP($B471&amp;"; "&amp;$K$53&amp;", "&amp;I$54,'FE Energie'!$G:$U,12,FALSE)))
+$M471*IF(ISNA((VLOOKUP($B471&amp;"; "&amp;$N$53&amp;", "&amp;I$54,'FE Energie'!$G:$U,11,FALSE)+VLOOKUP($B471&amp;"; "&amp;$N$53&amp;", "&amp;I$54,'FE Energie'!$G:$U,12,FALSE))),0,(VLOOKUP($B471&amp;"; "&amp;$N$53&amp;", "&amp;I$54,'FE Energie'!$G:$U,11,FALSE)+VLOOKUP($B471&amp;"; "&amp;$N$53&amp;", "&amp;I$54,'FE Energie'!$G:$U,12,FALSE)))
+$P471*IF(ISNA((VLOOKUP($B471&amp;"; "&amp;$Q$53&amp;", "&amp;I$54,'FE Energie'!$G:$U,11,FALSE)+VLOOKUP($B471&amp;"; "&amp;$Q$53&amp;", "&amp;I$54,'FE Energie'!$G:$U,12,FALSE))),0,(VLOOKUP($B471&amp;"; "&amp;$Q$53&amp;", "&amp;I$54,'FE Energie'!$G:$U,11,FALSE)+VLOOKUP($B471&amp;"; "&amp;$Q$53&amp;", "&amp;I$54,'FE Energie'!$G:$U,12,FALSE)))</f>
        <v>0</v>
      </c>
      <c r="AM471" s="565"/>
      <c r="AN471" s="565">
        <f>$G471*IF(ISNA(VLOOKUP($B471&amp;"; "&amp;$H$53&amp;", "&amp;H$54,'FE Energie'!$G:$U,13,FALSE)),0,VLOOKUP($B471&amp;"; "&amp;$H$53&amp;", "&amp;H$54,'FE Energie'!$G:$U,13,FALSE))
+$J471*IF(ISNA(VLOOKUP($B471&amp;"; "&amp;$K$53&amp;", "&amp;H$54,'FE Energie'!$G:$U,13,FALSE)),0,VLOOKUP($B471&amp;"; "&amp;$K$53&amp;", "&amp;H$54,'FE Energie'!$G:$U,13,FALSE))
+$M471*IF(ISNA(VLOOKUP($B471&amp;"; "&amp;$N$53&amp;", "&amp;H$54,'FE Energie'!$G:$U,13,FALSE)),0,VLOOKUP($B471&amp;"; "&amp;$N$53&amp;", "&amp;H$54,'FE Energie'!$G:$U,13,FALSE))
+$P471*IF(ISNA(VLOOKUP($B471&amp;"; "&amp;$Q$53&amp;", "&amp;H$54,'FE Energie'!$G:$U,13,FALSE)),0,VLOOKUP($B471&amp;"; "&amp;$Q$53&amp;", "&amp;H$54,'FE Energie'!$G:$U,13,FALSE))</f>
        <v>0</v>
      </c>
      <c r="AO471" s="565">
        <f>$G471*IF(ISNA(VLOOKUP($B471&amp;"; "&amp;$H$53&amp;", "&amp;I$54,'FE Energie'!$G:$U,13,FALSE)),0,VLOOKUP($B471&amp;"; "&amp;$H$53&amp;", "&amp;I$54,'FE Energie'!$G:$U,13,FALSE))
+$J471*IF(ISNA(VLOOKUP($B471&amp;"; "&amp;$K$53&amp;", "&amp;I$54,'FE Energie'!$G:$U,13,FALSE)),0,VLOOKUP($B471&amp;"; "&amp;$K$53&amp;", "&amp;I$54,'FE Energie'!$G:$U,13,FALSE))
+$M471*IF(ISNA(VLOOKUP($B471&amp;"; "&amp;$N$53&amp;", "&amp;I$54,'FE Energie'!$G:$U,13,FALSE)),0,VLOOKUP($B471&amp;"; "&amp;$N$53&amp;", "&amp;I$54,'FE Energie'!$G:$U,13,FALSE))
+$P471*IF(ISNA(VLOOKUP($B471&amp;"; "&amp;$Q$53&amp;", "&amp;I$54,'FE Energie'!$G:$U,13,FALSE)),0,VLOOKUP($B471&amp;"; "&amp;$Q$53&amp;", "&amp;I$54,'FE Energie'!$G:$U,13,FALSE))</f>
        <v>0</v>
      </c>
      <c r="AP471" s="565"/>
      <c r="AQ471" s="565">
        <f>$G471*IF(ISNA(VLOOKUP($B471&amp;"; "&amp;$H$53&amp;", "&amp;H$54,'FE Energie'!$G:$U,14,FALSE)),0,VLOOKUP($B471&amp;"; "&amp;$H$53&amp;", "&amp;H$54,'FE Energie'!$G:$U,14,FALSE))
+$J471*IF(ISNA(VLOOKUP($B471&amp;"; "&amp;$K$53&amp;", "&amp;H$54,'FE Energie'!$G:$U,14,FALSE)),0,VLOOKUP($B471&amp;"; "&amp;$K$53&amp;", "&amp;H$54,'FE Energie'!$G:$U,14,FALSE))
+$M471*IF(ISNA(VLOOKUP($B471&amp;"; "&amp;$N$53&amp;", "&amp;H$54,'FE Energie'!$G:$U,14,FALSE)),0,VLOOKUP($B471&amp;"; "&amp;$N$53&amp;", "&amp;H$54,'FE Energie'!$G:$U,14,FALSE))
+$P471*IF(ISNA(VLOOKUP($B471&amp;"; "&amp;$Q$53&amp;", "&amp;H$54,'FE Energie'!$G:$U,14,FALSE)),0,VLOOKUP($B471&amp;"; "&amp;$Q$53&amp;", "&amp;H$54,'FE Energie'!$G:$U,14,FALSE))</f>
        <v>0</v>
      </c>
      <c r="AR471" s="565">
        <f>$G471*IF(ISNA(VLOOKUP($B471&amp;"; "&amp;$H$53&amp;", "&amp;I$54,'FE Energie'!$G:$U,14,FALSE)),0,VLOOKUP($B471&amp;"; "&amp;$H$53&amp;", "&amp;I$54,'FE Energie'!$G:$U,14,FALSE))
+$J471*IF(ISNA(VLOOKUP($B471&amp;"; "&amp;$K$53&amp;", "&amp;I$54,'FE Energie'!$G:$U,14,FALSE)),0,VLOOKUP($B471&amp;"; "&amp;$K$53&amp;", "&amp;I$54,'FE Energie'!$G:$U,14,FALSE))
+$M471*IF(ISNA(VLOOKUP($B471&amp;"; "&amp;$N$53&amp;", "&amp;I$54,'FE Energie'!$G:$U,14,FALSE)),0,VLOOKUP($B471&amp;"; "&amp;$N$53&amp;", "&amp;I$54,'FE Energie'!$G:$U,14,FALSE))
+$P471*IF(ISNA(VLOOKUP($B471&amp;"; "&amp;$Q$53&amp;", "&amp;I$54,'FE Energie'!$G:$U,14,FALSE)),0,VLOOKUP($B471&amp;"; "&amp;$Q$53&amp;", "&amp;I$54,'FE Energie'!$G:$U,14,FALSE))</f>
        <v>0</v>
      </c>
      <c r="AS471" s="565"/>
      <c r="AT471" s="566">
        <f>SUM(AH471,AK471,AN471,AQ471)</f>
        <v>0</v>
      </c>
      <c r="AU471" s="566">
        <f>SUM(AI471,AL471,AO471,AR471)</f>
        <v>0</v>
      </c>
      <c r="AV471" s="567"/>
      <c r="AW471" s="564">
        <f>$G471*IF(ISNA(VLOOKUP($B471&amp;"; "&amp;$H$53&amp;", "&amp;H$54,'FE Energie'!$G:$U,15,FALSE)),0,VLOOKUP($B471&amp;"; "&amp;$H$53&amp;", "&amp;H$54,'FE Energie'!$G:$U,15,FALSE))
+$J471*IF(ISNA(VLOOKUP($B471&amp;"; "&amp;$K$53&amp;", "&amp;H$54,'FE Energie'!$G:$U,15,FALSE)),0,VLOOKUP($B471&amp;"; "&amp;$K$53&amp;", "&amp;H$54,'FE Energie'!$G:$U,15,FALSE))
+$M471*IF(ISNA(VLOOKUP($B471&amp;"; "&amp;$N$53&amp;", "&amp;H$54,'FE Energie'!$G:$U,15,FALSE)),0,VLOOKUP($B471&amp;"; "&amp;$N$53&amp;", "&amp;H$54,'FE Energie'!$G:$U,15,FALSE))
+$P471*IF(ISNA(VLOOKUP($B471&amp;"; "&amp;$Q$53&amp;", "&amp;H$54,'FE Energie'!$G:$U,15,FALSE)),0,VLOOKUP($B471&amp;"; "&amp;$Q$53&amp;", "&amp;H$54,'FE Energie'!$G:$U,15,FALSE))</f>
        <v>0</v>
      </c>
      <c r="AX471" s="565">
        <f>$G471*IF(ISNA(VLOOKUP($B471&amp;"; "&amp;$H$53&amp;", "&amp;I$54,'FE Energie'!$G:$U,15,FALSE)),0,VLOOKUP($B471&amp;"; "&amp;$H$53&amp;", "&amp;I$54,'FE Energie'!$G:$U,15,FALSE))
+$J471*IF(ISNA(VLOOKUP($B471&amp;"; "&amp;$K$53&amp;", "&amp;I$54,'FE Energie'!$G:$U,15,FALSE)),0,VLOOKUP($B471&amp;"; "&amp;$K$53&amp;", "&amp;I$54,'FE Energie'!$G:$U,15,FALSE))
+$M471*IF(ISNA(VLOOKUP($B471&amp;"; "&amp;$N$53&amp;", "&amp;I$54,'FE Energie'!$G:$U,15,FALSE)),0,VLOOKUP($B471&amp;"; "&amp;$N$53&amp;", "&amp;I$54,'FE Energie'!$G:$U,15,FALSE))
+$P471*IF(ISNA(VLOOKUP($B471&amp;"; "&amp;$Q$53&amp;", "&amp;I$54,'FE Energie'!$G:$U,15,FALSE)),0,VLOOKUP($B471&amp;"; "&amp;$Q$53&amp;", "&amp;I$54,'FE Energie'!$G:$U,15,FALSE))</f>
        <v>0</v>
      </c>
      <c r="AY471" s="568"/>
      <c r="AZ471" s="2292"/>
      <c r="BA471" s="2292"/>
      <c r="BB471" s="2292"/>
      <c r="BC471" s="2292"/>
      <c r="BD471" s="2292"/>
      <c r="BE471" s="2292"/>
      <c r="BF471" s="2292"/>
      <c r="BH471" s="1065">
        <f>IF($Y471&lt;&gt;"votre valeur :",IF(ISNA(VLOOKUP($Y471,Utilitaires!$N$566:$O$571,2,FALSE)),,VLOOKUP($Y471,Utilitaires!$N$566:$O$571,2,FALSE)),$Z471)</f>
        <v>0</v>
      </c>
      <c r="BI471" s="1065">
        <f>IF($Y471&lt;&gt;"votre valeur :",IF(ISNA(VLOOKUP($Y471,Utilitaires!$N$566:$O$571,2,FALSE)),,VLOOKUP($Y471,Utilitaires!$N$566:$O$571,2,FALSE)),$Z471)</f>
        <v>0</v>
      </c>
      <c r="BJ471" s="1065">
        <f>IF($Y471&lt;&gt;"votre valeur :",IF(ISNA(VLOOKUP($Y471,Utilitaires!$N$566:$O$571,2,FALSE)),,VLOOKUP($Y471,Utilitaires!$N$566:$O$571,2,FALSE)),$Z471)</f>
        <v>0</v>
      </c>
      <c r="BK471" s="1065">
        <f>IF($Y471&lt;&gt;"votre valeur :",IF(ISNA(VLOOKUP($Y471,Utilitaires!$N$566:$O$571,2,FALSE)),,VLOOKUP($Y471,Utilitaires!$N$566:$O$571,2,FALSE)),$Z471)</f>
        <v>0</v>
      </c>
      <c r="BL471" s="1124">
        <f>IF(ISNA(SQRT(SUMSQ(VLOOKUP($B471&amp;"; "&amp;$H$53&amp;", "&amp;$H$54,'FE Energie'!$G:$U,7,FALSE),$BH471))),0,SQRT(SUMSQ(VLOOKUP($B471&amp;"; "&amp;$H$53&amp;", "&amp;$H$54,'FE Energie'!$G:$U,7,FALSE),$BH471)))</f>
        <v>0.05</v>
      </c>
      <c r="BM471" s="1068">
        <f>IF(ISNA(SQRT(SUMSQ(VLOOKUP($B471&amp;"; "&amp;$K$53&amp;", "&amp;$K$54,'FE Energie'!$G:$U,7,FALSE),$BI471))),0,SQRT(SUMSQ(VLOOKUP($B471&amp;"; "&amp;$K$53&amp;", "&amp;$K$54,'FE Energie'!$G:$U,7,FALSE),$BI471)))</f>
        <v>0</v>
      </c>
      <c r="BN471" s="1068">
        <f>IF(ISNA(SQRT(SUMSQ(VLOOKUP($B471&amp;"; "&amp;$N$53&amp;", "&amp;$N$54,'FE Energie'!$G:$U,7,FALSE),$BJ471))),0,SQRT(SUMSQ(VLOOKUP($B471&amp;"; "&amp;$N$53&amp;", "&amp;$N$54,'FE Energie'!$G:$U,7,FALSE),$BJ471)))</f>
        <v>0</v>
      </c>
      <c r="BO471" s="1068">
        <f>IF(ISNA(SQRT(SUMSQ(VLOOKUP($B471&amp;"; "&amp;$Q$53&amp;", "&amp;$Q$54,'FE Energie'!$G:$U,7,FALSE),$BK471))),0,SQRT(SUMSQ(VLOOKUP($B471&amp;"; "&amp;$Q$53&amp;", "&amp;$Q$54,'FE Energie'!$G:$U,7,FALSE),$BK471)))</f>
        <v>0</v>
      </c>
      <c r="BP471" s="1069">
        <f>IF(ISNA(SQRT(SUMSQ(VLOOKUP($B471&amp;"; "&amp;$H$53&amp;", "&amp;$I$54,'FE Energie'!$G:$U,7,FALSE),$BH471))),0,SQRT(SUMSQ(VLOOKUP($B471&amp;"; "&amp;$H$53&amp;", "&amp;$I$54,'FE Energie'!$G:$U,7,FALSE),$BH471)))</f>
        <v>0.05</v>
      </c>
      <c r="BQ471" s="1070">
        <f>IF(ISNA(SQRT(SUMSQ(VLOOKUP($B471&amp;"; "&amp;$K$53&amp;", "&amp;$L$54,'FE Energie'!$G:$U,7,FALSE),$BI471))),0,SQRT(SUMSQ(VLOOKUP($B471&amp;"; "&amp;$K$53&amp;", "&amp;$L$54,'FE Energie'!$G:$U,7,FALSE),$BI471)))</f>
        <v>0</v>
      </c>
      <c r="BR471" s="1070">
        <f>IF(ISNA(SQRT(SUMSQ(VLOOKUP($B471&amp;"; "&amp;$N$53&amp;", "&amp;$O$54,'FE Energie'!$G:$U,7,FALSE),$BJ471))),0,SQRT(SUMSQ(VLOOKUP($B471&amp;"; "&amp;$N$53&amp;", "&amp;$O$54,'FE Energie'!$G:$U,7,FALSE),$BJ471)))</f>
        <v>0</v>
      </c>
      <c r="BS471" s="1071">
        <f>IF(ISNA(SQRT(SUMSQ(VLOOKUP($B471&amp;"; "&amp;$Q$53&amp;", "&amp;$R$54,'FE Energie'!$G:$U,7,FALSE),$BK471))),0,SQRT(SUMSQ(VLOOKUP($B471&amp;"; "&amp;$Q$53&amp;", "&amp;$R$54,'FE Energie'!$G:$U,7,FALSE),$BK471)))</f>
        <v>0</v>
      </c>
    </row>
    <row r="472" spans="1:71" ht="12.75" hidden="1" customHeight="1" outlineLevel="2">
      <c r="B472" s="154"/>
      <c r="C472" s="155"/>
      <c r="D472" s="221"/>
      <c r="E472" s="221"/>
      <c r="F472" s="155"/>
      <c r="G472" s="360"/>
      <c r="H472" s="360"/>
      <c r="I472" s="360"/>
      <c r="J472" s="360"/>
      <c r="K472" s="360"/>
      <c r="L472" s="360"/>
      <c r="M472" s="360"/>
      <c r="N472" s="360"/>
      <c r="O472" s="360"/>
      <c r="P472" s="360"/>
      <c r="Q472" s="360"/>
      <c r="R472" s="361"/>
      <c r="S472" s="354"/>
      <c r="T472" s="354"/>
      <c r="U472" s="1776"/>
      <c r="X472" s="366"/>
      <c r="Y472" s="169"/>
      <c r="Z472" s="169"/>
      <c r="AA472" s="169"/>
      <c r="AB472" s="169"/>
      <c r="AC472" s="169"/>
      <c r="AD472" s="169"/>
      <c r="AE472" s="367"/>
      <c r="AF472" s="1286"/>
      <c r="AH472" s="564"/>
      <c r="AI472" s="565"/>
      <c r="AJ472" s="565"/>
      <c r="AK472" s="565"/>
      <c r="AL472" s="565"/>
      <c r="AM472" s="565"/>
      <c r="AN472" s="565"/>
      <c r="AO472" s="565"/>
      <c r="AP472" s="565"/>
      <c r="AQ472" s="565"/>
      <c r="AR472" s="565"/>
      <c r="AS472" s="565"/>
      <c r="AT472" s="566"/>
      <c r="AU472" s="566"/>
      <c r="AV472" s="567"/>
      <c r="AW472" s="569"/>
      <c r="AX472" s="625"/>
      <c r="AY472" s="570"/>
      <c r="AZ472" s="2292"/>
      <c r="BA472" s="2292"/>
      <c r="BB472" s="2292"/>
      <c r="BC472" s="2292"/>
      <c r="BD472" s="2292"/>
      <c r="BE472" s="2292"/>
      <c r="BF472" s="2292"/>
      <c r="BH472" s="1087"/>
      <c r="BI472" s="1075"/>
      <c r="BJ472" s="1131"/>
      <c r="BK472" s="1126"/>
      <c r="BL472" s="1075"/>
      <c r="BM472" s="1076"/>
      <c r="BN472" s="1073"/>
      <c r="BO472" s="1076"/>
      <c r="BP472" s="1126"/>
      <c r="BQ472" s="1076"/>
      <c r="BR472" s="1076"/>
      <c r="BS472" s="1074"/>
    </row>
    <row r="473" spans="1:71" ht="12.75" hidden="1" customHeight="1" outlineLevel="2">
      <c r="B473" s="196" t="s">
        <v>348</v>
      </c>
      <c r="C473" s="197"/>
      <c r="D473" s="214">
        <f>SUM(D470:D472)</f>
        <v>0</v>
      </c>
      <c r="E473" s="214"/>
      <c r="F473" s="198"/>
      <c r="G473" s="199"/>
      <c r="H473" s="199"/>
      <c r="I473" s="199"/>
      <c r="J473" s="199"/>
      <c r="K473" s="199"/>
      <c r="L473" s="199"/>
      <c r="M473" s="199"/>
      <c r="N473" s="199"/>
      <c r="O473" s="199"/>
      <c r="P473" s="199"/>
      <c r="Q473" s="199"/>
      <c r="R473" s="199"/>
      <c r="S473" s="202">
        <f>SUM(S470:S472)</f>
        <v>0</v>
      </c>
      <c r="T473" s="202">
        <f>SUM(T470:T472)</f>
        <v>0</v>
      </c>
      <c r="U473" s="1349">
        <f>SUM(U470:U472)</f>
        <v>0</v>
      </c>
      <c r="X473" s="1204">
        <f>IF(AE473=0,AE473,AE473/D473)</f>
        <v>0</v>
      </c>
      <c r="Y473" s="350"/>
      <c r="Z473" s="203">
        <f>SQRT(SUMSQ(Z470:Z472))</f>
        <v>0</v>
      </c>
      <c r="AA473" s="203">
        <f>SQRT(SUMSQ(AA470:AA472))</f>
        <v>0</v>
      </c>
      <c r="AB473" s="203">
        <f>SQRT(SUMSQ(AB470:AB472))</f>
        <v>0</v>
      </c>
      <c r="AC473" s="203"/>
      <c r="AD473" s="203"/>
      <c r="AE473" s="200">
        <f>SQRT(SUMSQ(AE470:AE472))</f>
        <v>0</v>
      </c>
      <c r="AF473" s="1311">
        <f>SUM(AF470:AF472)</f>
        <v>0</v>
      </c>
      <c r="AH473" s="571">
        <f>SUM(AH470:AH472)</f>
        <v>0</v>
      </c>
      <c r="AI473" s="572">
        <f>SUM(AI470:AI472)</f>
        <v>0</v>
      </c>
      <c r="AJ473" s="572"/>
      <c r="AK473" s="572">
        <f>SUM(AK470:AK472)</f>
        <v>0</v>
      </c>
      <c r="AL473" s="572">
        <f>SUM(AL470:AL472)</f>
        <v>0</v>
      </c>
      <c r="AM473" s="572"/>
      <c r="AN473" s="572">
        <f>SUM(AN470:AN472)</f>
        <v>0</v>
      </c>
      <c r="AO473" s="572">
        <f>SUM(AO470:AO472)</f>
        <v>0</v>
      </c>
      <c r="AP473" s="572"/>
      <c r="AQ473" s="572">
        <f>SUM(AQ470:AQ472)</f>
        <v>0</v>
      </c>
      <c r="AR473" s="572">
        <f>SUM(AR470:AR472)</f>
        <v>0</v>
      </c>
      <c r="AS473" s="572"/>
      <c r="AT473" s="573">
        <f>SUM(AT471:AT472)</f>
        <v>0</v>
      </c>
      <c r="AU473" s="573">
        <f>SUM(AU471:AU472)</f>
        <v>0</v>
      </c>
      <c r="AV473" s="574"/>
      <c r="AW473" s="1082">
        <f>SUM(AW470:AW472)</f>
        <v>0</v>
      </c>
      <c r="AX473" s="572">
        <f>SUM(AX470:AX472)</f>
        <v>0</v>
      </c>
      <c r="AY473" s="575"/>
      <c r="AZ473" s="2292"/>
      <c r="BA473" s="2292"/>
      <c r="BB473" s="2292"/>
      <c r="BC473" s="2292"/>
      <c r="BD473" s="2292"/>
      <c r="BE473" s="2292"/>
      <c r="BF473" s="2292"/>
    </row>
    <row r="474" spans="1:71" ht="12.75" hidden="1" customHeight="1" outlineLevel="2">
      <c r="AZ474" s="444"/>
      <c r="BA474" s="444"/>
      <c r="BB474" s="444"/>
      <c r="BC474" s="444"/>
      <c r="BD474" s="444"/>
      <c r="BE474" s="444"/>
      <c r="BF474" s="444"/>
    </row>
    <row r="475" spans="1:71" ht="12.75" hidden="1" customHeight="1" outlineLevel="2">
      <c r="B475" s="1091" t="s">
        <v>3682</v>
      </c>
      <c r="C475" s="140"/>
      <c r="D475" s="140"/>
      <c r="E475" s="140"/>
      <c r="F475" s="140"/>
      <c r="G475" s="140"/>
      <c r="H475" s="140"/>
      <c r="I475" s="179"/>
      <c r="T475" s="116"/>
      <c r="U475" s="116"/>
      <c r="V475" s="116"/>
      <c r="W475" s="116"/>
      <c r="X475" s="2636" t="s">
        <v>366</v>
      </c>
      <c r="Y475" s="2637"/>
      <c r="Z475" s="2637"/>
      <c r="AA475" s="2637"/>
      <c r="AB475" s="2637"/>
      <c r="AC475" s="2637"/>
      <c r="AD475" s="2637"/>
      <c r="AE475" s="2638"/>
      <c r="AF475" s="116"/>
      <c r="AH475" s="2639" t="s">
        <v>441</v>
      </c>
      <c r="AI475" s="2640"/>
      <c r="AJ475" s="2640"/>
      <c r="AK475" s="2640"/>
      <c r="AL475" s="2640"/>
      <c r="AM475" s="2640"/>
      <c r="AN475" s="2640"/>
      <c r="AO475" s="2640"/>
      <c r="AP475" s="2640"/>
      <c r="AQ475" s="2640"/>
      <c r="AR475" s="2640"/>
      <c r="AS475" s="2640"/>
      <c r="AT475" s="2640"/>
      <c r="AU475" s="2640"/>
      <c r="AV475" s="2640"/>
      <c r="AW475" s="2640"/>
      <c r="AX475" s="2640"/>
      <c r="AY475" s="2641"/>
      <c r="AZ475" s="2448"/>
      <c r="BA475" s="2448"/>
      <c r="BB475" s="2448"/>
      <c r="BC475" s="2448"/>
      <c r="BD475" s="2448"/>
      <c r="BE475" s="2448"/>
      <c r="BF475" s="2448"/>
    </row>
    <row r="476" spans="1:71" ht="12.75" hidden="1" customHeight="1" outlineLevel="2">
      <c r="B476" s="143"/>
      <c r="C476" s="144"/>
      <c r="D476" s="1334" t="s">
        <v>308</v>
      </c>
      <c r="E476" s="1663"/>
      <c r="F476" s="144"/>
      <c r="G476" s="144"/>
      <c r="H476" s="1317"/>
      <c r="I476" s="1337" t="s">
        <v>444</v>
      </c>
      <c r="T476" s="116"/>
      <c r="U476" s="116"/>
      <c r="X476" s="1316"/>
      <c r="Y476" s="1317"/>
      <c r="Z476" s="1317"/>
      <c r="AA476" s="1334"/>
      <c r="AB476" s="1334"/>
      <c r="AC476" s="2423"/>
      <c r="AD476" s="1334"/>
      <c r="AE476" s="1337" t="s">
        <v>444</v>
      </c>
      <c r="AG476" s="109"/>
      <c r="AH476" s="2642" t="s">
        <v>444</v>
      </c>
      <c r="AI476" s="2643"/>
      <c r="AJ476" s="2643"/>
      <c r="AK476" s="2643"/>
      <c r="AL476" s="2643"/>
      <c r="AM476" s="2643"/>
      <c r="AN476" s="2643"/>
      <c r="AO476" s="2643"/>
      <c r="AP476" s="2643"/>
      <c r="AQ476" s="2643"/>
      <c r="AR476" s="2643"/>
      <c r="AS476" s="2643"/>
      <c r="AT476" s="2643" t="s">
        <v>444</v>
      </c>
      <c r="AU476" s="2643"/>
      <c r="AV476" s="628"/>
      <c r="AW476" s="624"/>
      <c r="AX476" s="624"/>
      <c r="AY476" s="1291"/>
      <c r="AZ476" s="2449"/>
      <c r="BA476" s="2449"/>
      <c r="BB476" s="2449"/>
      <c r="BC476" s="2449"/>
      <c r="BD476" s="2449"/>
      <c r="BE476" s="2449"/>
      <c r="BF476" s="2449"/>
      <c r="BH476" s="2616" t="s">
        <v>1648</v>
      </c>
      <c r="BI476" s="2618"/>
    </row>
    <row r="477" spans="1:71" ht="12.75" hidden="1" customHeight="1" outlineLevel="2">
      <c r="B477" s="1316"/>
      <c r="C477" s="1317"/>
      <c r="D477" s="1317" t="s">
        <v>409</v>
      </c>
      <c r="E477" s="1656"/>
      <c r="F477" s="1320" t="s">
        <v>452</v>
      </c>
      <c r="G477" s="1320" t="s">
        <v>3670</v>
      </c>
      <c r="H477" s="1006"/>
      <c r="I477" s="220" t="s">
        <v>880</v>
      </c>
      <c r="T477" s="116"/>
      <c r="U477" s="116"/>
      <c r="V477" s="109"/>
      <c r="W477" s="109"/>
      <c r="X477" s="1316" t="s">
        <v>316</v>
      </c>
      <c r="Y477" s="2629" t="s">
        <v>316</v>
      </c>
      <c r="Z477" s="2630"/>
      <c r="AA477" s="1317"/>
      <c r="AB477" s="1317"/>
      <c r="AC477" s="2419"/>
      <c r="AD477" s="1317"/>
      <c r="AE477" s="220" t="s">
        <v>880</v>
      </c>
      <c r="AF477" s="109"/>
      <c r="AG477" s="109"/>
      <c r="AH477" s="2631" t="s">
        <v>211</v>
      </c>
      <c r="AI477" s="2632"/>
      <c r="AJ477" s="2632"/>
      <c r="AK477" s="2632" t="s">
        <v>442</v>
      </c>
      <c r="AL477" s="2632"/>
      <c r="AM477" s="2632"/>
      <c r="AN477" s="2632" t="s">
        <v>267</v>
      </c>
      <c r="AO477" s="2632"/>
      <c r="AP477" s="2632"/>
      <c r="AQ477" s="2632" t="s">
        <v>443</v>
      </c>
      <c r="AR477" s="2632"/>
      <c r="AS477" s="2632"/>
      <c r="AT477" s="2648" t="s">
        <v>327</v>
      </c>
      <c r="AU477" s="2648"/>
      <c r="AV477" s="568"/>
      <c r="AW477" s="2631" t="s">
        <v>636</v>
      </c>
      <c r="AX477" s="2632"/>
      <c r="AY477" s="568"/>
      <c r="AZ477" s="2292"/>
      <c r="BA477" s="2292"/>
      <c r="BB477" s="2292"/>
      <c r="BC477" s="2292"/>
      <c r="BD477" s="2292"/>
      <c r="BE477" s="2292"/>
      <c r="BF477" s="2292"/>
      <c r="BH477" s="2837" t="s">
        <v>1646</v>
      </c>
      <c r="BI477" s="1141"/>
    </row>
    <row r="478" spans="1:71" ht="12.75" hidden="1" customHeight="1" outlineLevel="2">
      <c r="B478" s="1316"/>
      <c r="C478" s="1317"/>
      <c r="D478" s="1317" t="s">
        <v>444</v>
      </c>
      <c r="E478" s="1656"/>
      <c r="F478" s="1321" t="s">
        <v>445</v>
      </c>
      <c r="G478" s="1321" t="s">
        <v>881</v>
      </c>
      <c r="H478" s="1007"/>
      <c r="I478" s="220" t="s">
        <v>257</v>
      </c>
      <c r="T478" s="116"/>
      <c r="U478" s="116"/>
      <c r="V478" s="109"/>
      <c r="W478" s="109"/>
      <c r="X478" s="1316" t="s">
        <v>1649</v>
      </c>
      <c r="Y478" s="2646" t="s">
        <v>1650</v>
      </c>
      <c r="Z478" s="2647"/>
      <c r="AA478" s="1322"/>
      <c r="AB478" s="1322"/>
      <c r="AC478" s="1662"/>
      <c r="AD478" s="1322"/>
      <c r="AE478" s="220" t="s">
        <v>257</v>
      </c>
      <c r="AF478" s="109"/>
      <c r="AH478" s="1331"/>
      <c r="AI478" s="1332"/>
      <c r="AJ478" s="1332"/>
      <c r="AK478" s="1332"/>
      <c r="AL478" s="1332"/>
      <c r="AM478" s="1332"/>
      <c r="AN478" s="1332"/>
      <c r="AO478" s="1332"/>
      <c r="AP478" s="1332"/>
      <c r="AQ478" s="1332"/>
      <c r="AR478" s="1332"/>
      <c r="AS478" s="1332"/>
      <c r="AT478" s="581"/>
      <c r="AU478" s="581"/>
      <c r="AV478" s="582"/>
      <c r="AW478" s="1332"/>
      <c r="AX478" s="1332"/>
      <c r="AY478" s="1333"/>
      <c r="AZ478" s="2449"/>
      <c r="BA478" s="2449"/>
      <c r="BB478" s="2449"/>
      <c r="BC478" s="2449"/>
      <c r="BD478" s="2449"/>
      <c r="BE478" s="2449"/>
      <c r="BF478" s="2449"/>
      <c r="BH478" s="2838"/>
      <c r="BI478" s="1326"/>
    </row>
    <row r="479" spans="1:71" ht="12.75" hidden="1" customHeight="1" outlineLevel="2">
      <c r="B479" s="143" t="s">
        <v>3669</v>
      </c>
      <c r="C479" s="144"/>
      <c r="D479" s="212">
        <f>I479</f>
        <v>0</v>
      </c>
      <c r="E479" s="212"/>
      <c r="F479" s="117"/>
      <c r="G479" s="117"/>
      <c r="H479" s="225"/>
      <c r="I479" s="152">
        <f>G479</f>
        <v>0</v>
      </c>
      <c r="T479" s="116"/>
      <c r="U479" s="116"/>
      <c r="X479" s="1092">
        <f>IF(AE479=0,AE479,AE479/D479)</f>
        <v>0</v>
      </c>
      <c r="Y479" s="343"/>
      <c r="Z479" s="820"/>
      <c r="AA479" s="164"/>
      <c r="AB479" s="164"/>
      <c r="AC479" s="164"/>
      <c r="AD479" s="164"/>
      <c r="AE479" s="152">
        <f>I479*BI479</f>
        <v>0</v>
      </c>
      <c r="AH479" s="564">
        <f>D479</f>
        <v>0</v>
      </c>
      <c r="AI479" s="565"/>
      <c r="AJ479" s="565"/>
      <c r="AK479" s="565"/>
      <c r="AL479" s="565"/>
      <c r="AM479" s="565"/>
      <c r="AN479" s="565"/>
      <c r="AO479" s="565"/>
      <c r="AP479" s="565"/>
      <c r="AQ479" s="565"/>
      <c r="AR479" s="565"/>
      <c r="AS479" s="565"/>
      <c r="AT479" s="566">
        <f>SUM(AH479:AQ479)</f>
        <v>0</v>
      </c>
      <c r="AU479" s="566"/>
      <c r="AV479" s="567"/>
      <c r="AW479" s="565"/>
      <c r="AX479" s="565"/>
      <c r="AY479" s="568"/>
      <c r="AZ479" s="2292"/>
      <c r="BA479" s="2292"/>
      <c r="BB479" s="2292"/>
      <c r="BC479" s="2292"/>
      <c r="BD479" s="2292"/>
      <c r="BE479" s="2292"/>
      <c r="BF479" s="2292"/>
      <c r="BH479" s="1065">
        <f>IF($Y479&lt;&gt;"votre valeur :",IF(ISNA(VLOOKUP($Y479,Utilitaires!$N$566:$O$571,2,FALSE)),,VLOOKUP($Y479,Utilitaires!$N$566:$O$571,2,FALSE)),$Z479)</f>
        <v>0</v>
      </c>
      <c r="BI479" s="1130">
        <f>SQRT(SUMSQ(0,BH479))</f>
        <v>0</v>
      </c>
    </row>
    <row r="480" spans="1:71" ht="12.75" hidden="1" customHeight="1" outlineLevel="2">
      <c r="B480" s="143" t="s">
        <v>3669</v>
      </c>
      <c r="C480" s="144"/>
      <c r="D480" s="212">
        <f>I480</f>
        <v>0</v>
      </c>
      <c r="E480" s="212"/>
      <c r="F480" s="120"/>
      <c r="G480" s="120"/>
      <c r="H480" s="225"/>
      <c r="I480" s="152">
        <f t="shared" ref="I480:I481" si="162">G480</f>
        <v>0</v>
      </c>
      <c r="T480" s="116"/>
      <c r="U480" s="116"/>
      <c r="X480" s="1092">
        <f>IF(AE480=0,AE480,AE480/D480)</f>
        <v>0</v>
      </c>
      <c r="Y480" s="343"/>
      <c r="Z480" s="820"/>
      <c r="AA480" s="164"/>
      <c r="AB480" s="164"/>
      <c r="AC480" s="164"/>
      <c r="AD480" s="164"/>
      <c r="AE480" s="152">
        <f>I480*BI480</f>
        <v>0</v>
      </c>
      <c r="AH480" s="564">
        <f>D480</f>
        <v>0</v>
      </c>
      <c r="AI480" s="565"/>
      <c r="AJ480" s="565"/>
      <c r="AK480" s="565"/>
      <c r="AL480" s="565"/>
      <c r="AM480" s="565"/>
      <c r="AN480" s="565"/>
      <c r="AO480" s="565"/>
      <c r="AP480" s="565"/>
      <c r="AQ480" s="565"/>
      <c r="AR480" s="565"/>
      <c r="AS480" s="565"/>
      <c r="AT480" s="566">
        <f>SUM(AH480:AQ480)</f>
        <v>0</v>
      </c>
      <c r="AU480" s="566"/>
      <c r="AV480" s="567"/>
      <c r="AW480" s="565"/>
      <c r="AX480" s="565"/>
      <c r="AY480" s="568"/>
      <c r="AZ480" s="2292"/>
      <c r="BA480" s="2292"/>
      <c r="BB480" s="2292"/>
      <c r="BC480" s="2292"/>
      <c r="BD480" s="2292"/>
      <c r="BE480" s="2292"/>
      <c r="BF480" s="2292"/>
      <c r="BH480" s="1065">
        <f>IF($Y480&lt;&gt;"votre valeur :",IF(ISNA(VLOOKUP($Y480,Utilitaires!$N$566:$O$571,2,FALSE)),,VLOOKUP($Y480,Utilitaires!$N$566:$O$571,2,FALSE)),$Z480)</f>
        <v>0</v>
      </c>
      <c r="BI480" s="1130">
        <f>SQRT(SUMSQ(0,BH480))</f>
        <v>0</v>
      </c>
    </row>
    <row r="481" spans="1:63" ht="12.75" hidden="1" customHeight="1" outlineLevel="2">
      <c r="B481" s="143" t="s">
        <v>3669</v>
      </c>
      <c r="C481" s="144"/>
      <c r="D481" s="212">
        <f>I481</f>
        <v>0</v>
      </c>
      <c r="E481" s="212"/>
      <c r="F481" s="123"/>
      <c r="G481" s="123"/>
      <c r="H481" s="225"/>
      <c r="I481" s="152">
        <f t="shared" si="162"/>
        <v>0</v>
      </c>
      <c r="T481" s="116"/>
      <c r="U481" s="116"/>
      <c r="X481" s="1092">
        <f>IF(AE481=0,AE481,AE481/D481)</f>
        <v>0</v>
      </c>
      <c r="Y481" s="1094"/>
      <c r="Z481" s="820"/>
      <c r="AA481" s="164"/>
      <c r="AB481" s="164"/>
      <c r="AC481" s="164"/>
      <c r="AD481" s="164"/>
      <c r="AE481" s="152">
        <f>I481*BI481</f>
        <v>0</v>
      </c>
      <c r="AH481" s="564">
        <f>D481</f>
        <v>0</v>
      </c>
      <c r="AI481" s="565"/>
      <c r="AJ481" s="565"/>
      <c r="AK481" s="565"/>
      <c r="AL481" s="565"/>
      <c r="AM481" s="565"/>
      <c r="AN481" s="565"/>
      <c r="AO481" s="565"/>
      <c r="AP481" s="565"/>
      <c r="AQ481" s="565"/>
      <c r="AR481" s="565"/>
      <c r="AS481" s="565"/>
      <c r="AT481" s="566">
        <f>SUM(AH481:AQ481)</f>
        <v>0</v>
      </c>
      <c r="AU481" s="566"/>
      <c r="AV481" s="567"/>
      <c r="AW481" s="565"/>
      <c r="AX481" s="565"/>
      <c r="AY481" s="568"/>
      <c r="AZ481" s="2292"/>
      <c r="BA481" s="2292"/>
      <c r="BB481" s="2292"/>
      <c r="BC481" s="2292"/>
      <c r="BD481" s="2292"/>
      <c r="BE481" s="2292"/>
      <c r="BF481" s="2292"/>
      <c r="BH481" s="1065">
        <f>IF($Y481&lt;&gt;"votre valeur :",IF(ISNA(VLOOKUP($Y481,Utilitaires!$N$566:$O$571,2,FALSE)),,VLOOKUP($Y481,Utilitaires!$N$566:$O$571,2,FALSE)),$Z481)</f>
        <v>0</v>
      </c>
      <c r="BI481" s="1130">
        <f>SQRT(SUMSQ(0,BH481))</f>
        <v>0</v>
      </c>
    </row>
    <row r="482" spans="1:63" ht="12.75" hidden="1" customHeight="1" outlineLevel="2">
      <c r="B482" s="154"/>
      <c r="C482" s="155"/>
      <c r="D482" s="221"/>
      <c r="E482" s="221"/>
      <c r="F482" s="155"/>
      <c r="G482" s="155"/>
      <c r="H482" s="155"/>
      <c r="I482" s="156"/>
      <c r="T482" s="116"/>
      <c r="U482" s="116"/>
      <c r="X482" s="1092"/>
      <c r="Y482" s="155"/>
      <c r="Z482" s="169"/>
      <c r="AA482" s="155"/>
      <c r="AB482" s="155"/>
      <c r="AC482" s="155"/>
      <c r="AD482" s="155"/>
      <c r="AE482" s="165"/>
      <c r="AH482" s="569"/>
      <c r="AI482" s="625"/>
      <c r="AJ482" s="625"/>
      <c r="AK482" s="625"/>
      <c r="AL482" s="625"/>
      <c r="AM482" s="625"/>
      <c r="AN482" s="625"/>
      <c r="AO482" s="625"/>
      <c r="AP482" s="625"/>
      <c r="AQ482" s="625"/>
      <c r="AR482" s="625"/>
      <c r="AS482" s="625"/>
      <c r="AT482" s="1313"/>
      <c r="AU482" s="1313"/>
      <c r="AV482" s="1314"/>
      <c r="AW482" s="565"/>
      <c r="AX482" s="565"/>
      <c r="AY482" s="568"/>
      <c r="AZ482" s="2292"/>
      <c r="BA482" s="2292"/>
      <c r="BB482" s="2292"/>
      <c r="BC482" s="2292"/>
      <c r="BD482" s="2292"/>
      <c r="BE482" s="2292"/>
      <c r="BF482" s="2292"/>
      <c r="BH482" s="1087"/>
      <c r="BI482" s="1153"/>
    </row>
    <row r="483" spans="1:63" ht="12.75" hidden="1" customHeight="1" outlineLevel="2">
      <c r="B483" s="196" t="s">
        <v>348</v>
      </c>
      <c r="C483" s="197"/>
      <c r="D483" s="214">
        <f>SUM(D479:D482)</f>
        <v>0</v>
      </c>
      <c r="E483" s="214"/>
      <c r="F483" s="198"/>
      <c r="G483" s="199"/>
      <c r="H483" s="199"/>
      <c r="I483" s="200">
        <f>SUM(I479:I482)</f>
        <v>0</v>
      </c>
      <c r="T483" s="116"/>
      <c r="U483" s="116"/>
      <c r="X483" s="1204">
        <f>IF(AE483=0,AE483,AE483/D483)</f>
        <v>0</v>
      </c>
      <c r="Y483" s="199"/>
      <c r="Z483" s="199"/>
      <c r="AA483" s="203"/>
      <c r="AB483" s="203"/>
      <c r="AC483" s="203"/>
      <c r="AD483" s="203"/>
      <c r="AE483" s="200">
        <f>SQRT(SUMSQ(AE479:AE482))</f>
        <v>0</v>
      </c>
      <c r="AH483" s="1308">
        <f>SUM(AH479:AH482)</f>
        <v>0</v>
      </c>
      <c r="AI483" s="1309"/>
      <c r="AJ483" s="1309"/>
      <c r="AK483" s="1309">
        <f>SUM(AK479:AK482)</f>
        <v>0</v>
      </c>
      <c r="AL483" s="1309"/>
      <c r="AM483" s="1309"/>
      <c r="AN483" s="1309">
        <f>SUM(AN479:AN482)</f>
        <v>0</v>
      </c>
      <c r="AO483" s="1309"/>
      <c r="AP483" s="1309"/>
      <c r="AQ483" s="1309">
        <f>SUM(AQ479:AQ482)</f>
        <v>0</v>
      </c>
      <c r="AR483" s="572"/>
      <c r="AS483" s="572"/>
      <c r="AT483" s="573">
        <f>SUM(AT479:AT482)</f>
        <v>0</v>
      </c>
      <c r="AU483" s="1312"/>
      <c r="AV483" s="1312"/>
      <c r="AW483" s="1082">
        <f>SUM(AW479:AW482)</f>
        <v>0</v>
      </c>
      <c r="AX483" s="572"/>
      <c r="AY483" s="575"/>
      <c r="AZ483" s="2292"/>
      <c r="BA483" s="2292"/>
      <c r="BB483" s="2292"/>
      <c r="BC483" s="2292"/>
      <c r="BD483" s="2292"/>
      <c r="BE483" s="2292"/>
      <c r="BF483" s="2292"/>
    </row>
    <row r="484" spans="1:63" ht="12.75" hidden="1" customHeight="1" outlineLevel="2"/>
    <row r="485" spans="1:63" ht="12.75" hidden="1" customHeight="1" outlineLevel="2">
      <c r="B485" s="139" t="s">
        <v>2346</v>
      </c>
      <c r="C485" s="140"/>
      <c r="D485" s="140"/>
      <c r="E485" s="140"/>
      <c r="F485" s="140"/>
      <c r="G485" s="141"/>
      <c r="H485" s="141"/>
      <c r="I485" s="140"/>
      <c r="J485" s="140"/>
      <c r="K485" s="140"/>
      <c r="L485" s="140"/>
      <c r="M485" s="142"/>
      <c r="X485" s="2636" t="s">
        <v>366</v>
      </c>
      <c r="Y485" s="2637"/>
      <c r="Z485" s="2637"/>
      <c r="AA485" s="2637"/>
      <c r="AB485" s="2637"/>
      <c r="AC485" s="2637"/>
      <c r="AD485" s="2637"/>
      <c r="AE485" s="2638"/>
      <c r="AH485" s="2639" t="s">
        <v>441</v>
      </c>
      <c r="AI485" s="2640"/>
      <c r="AJ485" s="2640"/>
      <c r="AK485" s="2640"/>
      <c r="AL485" s="2640"/>
      <c r="AM485" s="2640"/>
      <c r="AN485" s="2640"/>
      <c r="AO485" s="2640"/>
      <c r="AP485" s="2640"/>
      <c r="AQ485" s="2640"/>
      <c r="AR485" s="2640"/>
      <c r="AS485" s="2640"/>
      <c r="AT485" s="2640"/>
      <c r="AU485" s="2640"/>
      <c r="AV485" s="2640"/>
      <c r="AW485" s="2640"/>
      <c r="AX485" s="2640"/>
      <c r="AY485" s="2641"/>
      <c r="AZ485" s="2448"/>
      <c r="BA485" s="2448"/>
      <c r="BB485" s="2448"/>
      <c r="BC485" s="2448"/>
      <c r="BD485" s="2448"/>
      <c r="BE485" s="2448"/>
      <c r="BF485" s="2448"/>
    </row>
    <row r="486" spans="1:63" ht="12.75" hidden="1" customHeight="1" outlineLevel="2">
      <c r="B486" s="332"/>
      <c r="C486" s="167"/>
      <c r="D486" s="1334" t="s">
        <v>308</v>
      </c>
      <c r="E486" s="1663"/>
      <c r="F486" s="144"/>
      <c r="G486" s="144"/>
      <c r="H486" s="144"/>
      <c r="I486" s="2235"/>
      <c r="J486" s="2456"/>
      <c r="K486" s="2456"/>
      <c r="L486" s="2456"/>
      <c r="M486" s="145"/>
      <c r="X486" s="1316"/>
      <c r="Y486" s="1317"/>
      <c r="Z486" s="1317"/>
      <c r="AA486" s="1334"/>
      <c r="AB486" s="1334"/>
      <c r="AC486" s="2423"/>
      <c r="AD486" s="1334"/>
      <c r="AE486" s="145"/>
      <c r="AH486" s="2642" t="s">
        <v>444</v>
      </c>
      <c r="AI486" s="2643"/>
      <c r="AJ486" s="2643"/>
      <c r="AK486" s="2643"/>
      <c r="AL486" s="2643"/>
      <c r="AM486" s="2643"/>
      <c r="AN486" s="2643"/>
      <c r="AO486" s="2643"/>
      <c r="AP486" s="2643"/>
      <c r="AQ486" s="2643"/>
      <c r="AR486" s="2643"/>
      <c r="AS486" s="2643"/>
      <c r="AT486" s="2643" t="s">
        <v>444</v>
      </c>
      <c r="AU486" s="2643"/>
      <c r="AV486" s="628"/>
      <c r="AW486" s="624"/>
      <c r="AX486" s="624"/>
      <c r="AY486" s="1291"/>
      <c r="AZ486" s="2449"/>
      <c r="BA486" s="2449"/>
      <c r="BB486" s="2449"/>
      <c r="BC486" s="2449"/>
      <c r="BD486" s="2449"/>
      <c r="BE486" s="2449"/>
      <c r="BF486" s="2449"/>
      <c r="BH486" s="2616" t="s">
        <v>1648</v>
      </c>
      <c r="BI486" s="2617"/>
      <c r="BJ486" s="2617"/>
      <c r="BK486" s="2618"/>
    </row>
    <row r="487" spans="1:63" ht="12.75" hidden="1" customHeight="1" outlineLevel="2">
      <c r="B487" s="143"/>
      <c r="C487" s="144"/>
      <c r="D487" s="1317" t="s">
        <v>409</v>
      </c>
      <c r="E487" s="1656"/>
      <c r="F487" s="147" t="s">
        <v>452</v>
      </c>
      <c r="G487" s="147"/>
      <c r="H487" s="2626" t="s">
        <v>2324</v>
      </c>
      <c r="I487" s="2628"/>
      <c r="J487" s="2628"/>
      <c r="K487" s="2768" t="s">
        <v>444</v>
      </c>
      <c r="L487" s="2768" t="s">
        <v>444</v>
      </c>
      <c r="M487" s="2841"/>
      <c r="X487" s="1316" t="s">
        <v>316</v>
      </c>
      <c r="Y487" s="2629" t="s">
        <v>316</v>
      </c>
      <c r="Z487" s="2630"/>
      <c r="AA487" s="2626" t="s">
        <v>444</v>
      </c>
      <c r="AB487" s="2628"/>
      <c r="AC487" s="2628"/>
      <c r="AD487" s="1317"/>
      <c r="AE487" s="1337" t="s">
        <v>444</v>
      </c>
      <c r="AH487" s="2631" t="s">
        <v>211</v>
      </c>
      <c r="AI487" s="2632"/>
      <c r="AJ487" s="2632"/>
      <c r="AK487" s="2632" t="s">
        <v>442</v>
      </c>
      <c r="AL487" s="2632"/>
      <c r="AM487" s="2632"/>
      <c r="AN487" s="2632" t="s">
        <v>267</v>
      </c>
      <c r="AO487" s="2632"/>
      <c r="AP487" s="2632"/>
      <c r="AQ487" s="2632" t="s">
        <v>443</v>
      </c>
      <c r="AR487" s="2632"/>
      <c r="AS487" s="2632"/>
      <c r="AT487" s="2648" t="s">
        <v>327</v>
      </c>
      <c r="AU487" s="2648"/>
      <c r="AV487" s="568"/>
      <c r="AW487" s="2631" t="s">
        <v>636</v>
      </c>
      <c r="AX487" s="2632"/>
      <c r="AY487" s="2650"/>
      <c r="AZ487" s="2292"/>
      <c r="BA487" s="2292"/>
      <c r="BB487" s="2292"/>
      <c r="BC487" s="2292"/>
      <c r="BD487" s="2292"/>
      <c r="BE487" s="2292"/>
      <c r="BF487" s="2292"/>
      <c r="BH487" s="2837" t="s">
        <v>1646</v>
      </c>
      <c r="BI487" s="2451" t="s">
        <v>1570</v>
      </c>
      <c r="BJ487" s="2451" t="s">
        <v>1569</v>
      </c>
      <c r="BK487" s="2451" t="s">
        <v>332</v>
      </c>
    </row>
    <row r="488" spans="1:63" ht="12.75" hidden="1" customHeight="1" outlineLevel="2">
      <c r="B488" s="333" t="s">
        <v>239</v>
      </c>
      <c r="C488" s="144"/>
      <c r="D488" s="1317" t="s">
        <v>444</v>
      </c>
      <c r="E488" s="1656"/>
      <c r="F488" s="1321" t="s">
        <v>445</v>
      </c>
      <c r="G488" s="1321" t="s">
        <v>415</v>
      </c>
      <c r="H488" s="1662" t="s">
        <v>411</v>
      </c>
      <c r="I488" s="1662" t="s">
        <v>257</v>
      </c>
      <c r="J488" s="1662" t="s">
        <v>422</v>
      </c>
      <c r="K488" s="2452" t="s">
        <v>411</v>
      </c>
      <c r="L488" s="2452" t="s">
        <v>257</v>
      </c>
      <c r="M488" s="220" t="s">
        <v>422</v>
      </c>
      <c r="X488" s="1316" t="s">
        <v>1649</v>
      </c>
      <c r="Y488" s="2646" t="s">
        <v>1650</v>
      </c>
      <c r="Z488" s="2647"/>
      <c r="AA488" s="1322" t="s">
        <v>411</v>
      </c>
      <c r="AB488" s="1322" t="s">
        <v>257</v>
      </c>
      <c r="AC488" s="1662" t="s">
        <v>422</v>
      </c>
      <c r="AD488" s="1322"/>
      <c r="AE488" s="1337"/>
      <c r="AH488" s="2237" t="s">
        <v>411</v>
      </c>
      <c r="AI488" s="2238" t="s">
        <v>257</v>
      </c>
      <c r="AJ488" s="2238" t="s">
        <v>422</v>
      </c>
      <c r="AK488" s="2238" t="s">
        <v>411</v>
      </c>
      <c r="AL488" s="2238" t="s">
        <v>257</v>
      </c>
      <c r="AM488" s="2238" t="s">
        <v>422</v>
      </c>
      <c r="AN488" s="2238" t="s">
        <v>411</v>
      </c>
      <c r="AO488" s="2238" t="s">
        <v>257</v>
      </c>
      <c r="AP488" s="2238" t="s">
        <v>422</v>
      </c>
      <c r="AQ488" s="2238" t="s">
        <v>411</v>
      </c>
      <c r="AR488" s="2238" t="s">
        <v>257</v>
      </c>
      <c r="AS488" s="2238" t="s">
        <v>422</v>
      </c>
      <c r="AT488" s="581" t="s">
        <v>411</v>
      </c>
      <c r="AU488" s="581" t="s">
        <v>257</v>
      </c>
      <c r="AV488" s="582" t="s">
        <v>422</v>
      </c>
      <c r="AW488" s="2237" t="s">
        <v>411</v>
      </c>
      <c r="AX488" s="2238" t="s">
        <v>257</v>
      </c>
      <c r="AY488" s="1333" t="s">
        <v>422</v>
      </c>
      <c r="AZ488" s="2449"/>
      <c r="BA488" s="2449"/>
      <c r="BB488" s="2449"/>
      <c r="BC488" s="2449"/>
      <c r="BD488" s="2449"/>
      <c r="BE488" s="2449"/>
      <c r="BF488" s="2449"/>
      <c r="BH488" s="2838"/>
      <c r="BI488" s="2453"/>
      <c r="BJ488" s="2453"/>
      <c r="BK488" s="2453"/>
    </row>
    <row r="489" spans="1:63" ht="12.75" hidden="1" customHeight="1" outlineLevel="2">
      <c r="B489" s="143" t="s">
        <v>4019</v>
      </c>
      <c r="C489" s="144"/>
      <c r="D489" s="212">
        <f>SUM(K489:M489)</f>
        <v>0</v>
      </c>
      <c r="E489" s="212"/>
      <c r="F489" s="117"/>
      <c r="G489" s="117"/>
      <c r="H489" s="2466">
        <f>IF(ISNA(VLOOKUP($B489&amp;"; "&amp;$H$487&amp;", "&amp;H$488,'FE Fret'!$G:$U,9,FALSE)),0,VLOOKUP($B489&amp;"; "&amp;$H$487&amp;", "&amp;H$488,'FE Fret'!$G:$U,9,FALSE))</f>
        <v>1.33E-3</v>
      </c>
      <c r="I489" s="2466">
        <f>IF(ISNA(VLOOKUP($B489&amp;"; "&amp;$H$487&amp;", "&amp;I$488,'FE Fret'!$G:$U,9,FALSE)),0,VLOOKUP($B489&amp;"; "&amp;$H$487&amp;", "&amp;I$488,'FE Fret'!$G:$U,9,FALSE))</f>
        <v>4.3699999999999998E-3</v>
      </c>
      <c r="J489" s="2466">
        <f>IF(ISNA(VLOOKUP($B489&amp;"; "&amp;$H$487&amp;", "&amp;J$488,'FE Fret'!$G:$U,9,FALSE)),0,VLOOKUP($B489&amp;"; "&amp;$H$487&amp;", "&amp;J$488,'FE Fret'!$G:$U,9,FALSE))</f>
        <v>2.5999999999999999E-3</v>
      </c>
      <c r="K489" s="212">
        <f>IF(ISNA(G489),0,G489*H489)</f>
        <v>0</v>
      </c>
      <c r="L489" s="212">
        <f>IF(ISNA(G489),0,G489*I489)</f>
        <v>0</v>
      </c>
      <c r="M489" s="2467">
        <f>IF(ISNA(G489),0,G489*J489)</f>
        <v>0</v>
      </c>
      <c r="X489" s="1092">
        <f>IF(AE489=0,AE489,AE489/D489)</f>
        <v>0</v>
      </c>
      <c r="Y489" s="343"/>
      <c r="Z489" s="820"/>
      <c r="AA489" s="164">
        <f>K489*BI489</f>
        <v>0</v>
      </c>
      <c r="AB489" s="164">
        <f>L489*BJ489</f>
        <v>0</v>
      </c>
      <c r="AC489" s="164">
        <f>M489*BK489</f>
        <v>0</v>
      </c>
      <c r="AD489" s="164"/>
      <c r="AE489" s="152">
        <f>SQRT(AA489^2+AB489^2)</f>
        <v>0</v>
      </c>
      <c r="AH489" s="564">
        <f>$G489*IF(ISNA(VLOOKUP($B489&amp;"; "&amp;$H$487&amp;", "&amp;H$488,'FE Fret'!$G:$U,10,FALSE)),0,VLOOKUP($B489&amp;"; "&amp;$H$487&amp;", "&amp;H$488,'FE Fret'!$G:$U,10,FALSE))</f>
        <v>0</v>
      </c>
      <c r="AI489" s="565">
        <f>$G489*IF(ISNA(VLOOKUP($B489&amp;"; "&amp;$H$487&amp;", "&amp;I$488,'FE Fret'!$G:$U,10,FALSE)),0,VLOOKUP($B489&amp;"; "&amp;$H$487&amp;", "&amp;I$488,'FE Fret'!$G:$U,10,FALSE))</f>
        <v>0</v>
      </c>
      <c r="AJ489" s="565">
        <f>$G489*IF(ISNA(VLOOKUP($B489&amp;"; "&amp;$H$487&amp;", "&amp;J$488,'FE Fret'!$G:$U,10,FALSE)),0,VLOOKUP($B489&amp;"; "&amp;$H$487&amp;", "&amp;J$488,'FE Fret'!$G:$U,10,FALSE))</f>
        <v>0</v>
      </c>
      <c r="AK489" s="565">
        <f>$G489*IF(ISNA(VLOOKUP($B489&amp;"; "&amp;$H$487&amp;", "&amp;H$488,'FE Fret'!$G:$U,11,FALSE)),0,VLOOKUP($B489&amp;"; "&amp;$H$487&amp;", "&amp;H$488,'FE Fret'!$G:$U,11,FALSE))+
$G489*IF(ISNA(VLOOKUP($B489&amp;"; "&amp;$H$487&amp;", "&amp;H$488,'FE Fret'!$G:$U,12,FALSE)),0,VLOOKUP($B489&amp;"; "&amp;$H$487&amp;", "&amp;H$488,'FE Fret'!$G:$U,12,FALSE))</f>
        <v>0</v>
      </c>
      <c r="AL489" s="565">
        <f>$G489*IF(ISNA(VLOOKUP($B489&amp;"; "&amp;$H$487&amp;", "&amp;I$488,'FE Fret'!$G:$U,11,FALSE)),0,VLOOKUP($B489&amp;"; "&amp;$H$487&amp;", "&amp;I$488,'FE Fret'!$G:$U,11,FALSE))+
$G489*IF(ISNA(VLOOKUP($B489&amp;"; "&amp;$H$487&amp;", "&amp;I$488,'FE Fret'!$G:$U,12,FALSE)),0,VLOOKUP($B489&amp;"; "&amp;$H$487&amp;", "&amp;I$488,'FE Fret'!$G:$U,12,FALSE))</f>
        <v>0</v>
      </c>
      <c r="AM489" s="565">
        <f>$G489*IF(ISNA(VLOOKUP($B489&amp;"; "&amp;$H$487&amp;", "&amp;J$488,'FE Fret'!$G:$U,11,FALSE)),0,VLOOKUP($B489&amp;"; "&amp;$H$487&amp;", "&amp;J$488,'FE Fret'!$G:$U,11,FALSE))+
$G489*IF(ISNA(VLOOKUP($B489&amp;"; "&amp;$H$487&amp;", "&amp;J$488,'FE Fret'!$G:$U,12,FALSE)),0,VLOOKUP($B489&amp;"; "&amp;$H$487&amp;", "&amp;J$488,'FE Fret'!$G:$U,12,FALSE))</f>
        <v>0</v>
      </c>
      <c r="AN489" s="565">
        <f>$G489*IF(ISNA(VLOOKUP($B489&amp;"; "&amp;$H$487&amp;", "&amp;H$488,'FE Fret'!$G:$U,13,FALSE)),0,VLOOKUP($B489&amp;"; "&amp;$H$487&amp;", "&amp;H$488,'FE Fret'!$G:$U,13,FALSE))</f>
        <v>0</v>
      </c>
      <c r="AO489" s="565">
        <f>$G489*IF(ISNA(VLOOKUP($B489&amp;"; "&amp;$H$487&amp;", "&amp;I$488,'FE Fret'!$G:$U,13,FALSE)),0,VLOOKUP($B489&amp;"; "&amp;$H$487&amp;", "&amp;I$488,'FE Fret'!$G:$U,13,FALSE))</f>
        <v>0</v>
      </c>
      <c r="AP489" s="565">
        <f>$G489*IF(ISNA(VLOOKUP($B489&amp;"; "&amp;$H$487&amp;", "&amp;J$488,'FE Fret'!$G:$U,13,FALSE)),0,VLOOKUP($B489&amp;"; "&amp;$H$487&amp;", "&amp;J$488,'FE Fret'!$G:$U,13,FALSE))</f>
        <v>0</v>
      </c>
      <c r="AQ489" s="565">
        <f>$G489*IF(ISNA(VLOOKUP($B489&amp;"; "&amp;$H$487&amp;", "&amp;H$488,'FE Fret'!$G:$U,14,FALSE)),0,VLOOKUP($B489&amp;"; "&amp;$H$487&amp;", "&amp;H$488,'FE Fret'!$G:$U,14,FALSE))</f>
        <v>0</v>
      </c>
      <c r="AR489" s="565">
        <f>$G489*IF(ISNA(VLOOKUP($B489&amp;"; "&amp;$H$487&amp;", "&amp;I$488,'FE Fret'!$G:$U,14,FALSE)),0,VLOOKUP($B489&amp;"; "&amp;$H$487&amp;", "&amp;I$488,'FE Fret'!$G:$U,14,FALSE))</f>
        <v>0</v>
      </c>
      <c r="AS489" s="565">
        <f>$G489*IF(ISNA(VLOOKUP($B489&amp;"; "&amp;$H$487&amp;", "&amp;J$488,'FE Fret'!$G:$U,14,FALSE)),0,VLOOKUP($B489&amp;"; "&amp;$H$487&amp;", "&amp;J$488,'FE Fret'!$G:$U,14,FALSE))</f>
        <v>0</v>
      </c>
      <c r="AT489" s="566">
        <f>SUM(AH489,AK489,AN489,AQ489)</f>
        <v>0</v>
      </c>
      <c r="AU489" s="566">
        <f>SUM(AI489,AL489,AO489,AR489)</f>
        <v>0</v>
      </c>
      <c r="AV489" s="567">
        <f>SUM(AJ489,AM489,AP489,AS489)</f>
        <v>0</v>
      </c>
      <c r="AW489" s="565">
        <f>$G489*IF(ISNA(VLOOKUP($B489&amp;"; "&amp;$H$487&amp;", "&amp;H$488,'FE Fret'!$G:$U,15,FALSE)),0,VLOOKUP($B489&amp;"; "&amp;$H$487&amp;", "&amp;H$488,'FE Fret'!$G:$U,15,FALSE))</f>
        <v>0</v>
      </c>
      <c r="AX489" s="565">
        <f>$G489*IF(ISNA(VLOOKUP($B489&amp;"; "&amp;$H$487&amp;", "&amp;I$488,'FE Fret'!$G:$U,15,FALSE)),0,VLOOKUP($B489&amp;"; "&amp;$H$487&amp;", "&amp;I$488,'FE Fret'!$G:$U,15,FALSE))</f>
        <v>0</v>
      </c>
      <c r="AY489" s="568">
        <f>$G489*IF(ISNA(VLOOKUP($B489&amp;"; "&amp;$H$487&amp;", "&amp;J$488,'FE Fret'!$G:$U,15,FALSE)),0,VLOOKUP($B489&amp;"; "&amp;$H$487&amp;", "&amp;J$488,'FE Fret'!$G:$U,15,FALSE))</f>
        <v>0</v>
      </c>
      <c r="AZ489" s="2292"/>
      <c r="BA489" s="2292"/>
      <c r="BB489" s="2292"/>
      <c r="BC489" s="2292"/>
      <c r="BD489" s="2292"/>
      <c r="BE489" s="2292"/>
      <c r="BF489" s="2292"/>
      <c r="BH489" s="1167">
        <f>IF($Y489&lt;&gt;"votre valeur :",IF(ISNA(VLOOKUP($Y489,Utilitaires!$N$566:$O$571,2,FALSE)),,VLOOKUP($Y489,Utilitaires!$N$566:$O$571,2,FALSE)),$Z489)</f>
        <v>0</v>
      </c>
      <c r="BI489" s="2457">
        <f>IF(ISNA(SQRT(SUMSQ(VLOOKUP($B489&amp;"; "&amp;$H$487&amp;", "&amp;H$488,'FE Fret'!$G:$U,7,FALSE),$BH489))),0,SQRT(SUMSQ(VLOOKUP($B489&amp;"; "&amp;$H$487&amp;", "&amp;H$488,'FE Fret'!$G:$U,7,FALSE),$BH489)))</f>
        <v>0.7</v>
      </c>
      <c r="BJ489" s="2457">
        <f>IF(ISNA(SQRT(SUMSQ(VLOOKUP($B489&amp;"; "&amp;$H$487&amp;", "&amp;I$488,'FE Fret'!$G:$U,7,FALSE),$BH489))),0,SQRT(SUMSQ(VLOOKUP($B489&amp;"; "&amp;$H$487&amp;", "&amp;I$488,'FE Fret'!$G:$U,7,FALSE),$BH489)))</f>
        <v>0.7</v>
      </c>
      <c r="BK489" s="2457">
        <f>IF(ISNA(SQRT(SUMSQ(VLOOKUP($B489&amp;"; "&amp;$H$487&amp;", "&amp;J$488,'FE Fret'!$G:$U,7,FALSE),$BH489))),0,SQRT(SUMSQ(VLOOKUP($B489&amp;"; "&amp;$H$487&amp;", "&amp;J$488,'FE Fret'!$G:$U,7,FALSE),$BH489)))</f>
        <v>0.7</v>
      </c>
    </row>
    <row r="490" spans="1:63" ht="12.75" hidden="1" customHeight="1" outlineLevel="2">
      <c r="B490" s="143" t="s">
        <v>4020</v>
      </c>
      <c r="C490" s="144"/>
      <c r="D490" s="212">
        <f t="shared" ref="D490:D497" si="163">SUM(K490:M490)</f>
        <v>0</v>
      </c>
      <c r="E490" s="212"/>
      <c r="F490" s="120"/>
      <c r="G490" s="120"/>
      <c r="H490" s="2466">
        <f>IF(ISNA(VLOOKUP($B490&amp;"; "&amp;$H$487&amp;", "&amp;H$488,'FE Fret'!$G:$U,9,FALSE)),0,VLOOKUP($B490&amp;"; "&amp;$H$487&amp;", "&amp;H$488,'FE Fret'!$G:$U,9,FALSE))</f>
        <v>5.0000000000000001E-3</v>
      </c>
      <c r="I490" s="2466">
        <f>IF(ISNA(VLOOKUP($B490&amp;"; "&amp;$H$487&amp;", "&amp;I$488,'FE Fret'!$G:$U,9,FALSE)),0,VLOOKUP($B490&amp;"; "&amp;$H$487&amp;", "&amp;I$488,'FE Fret'!$G:$U,9,FALSE))</f>
        <v>1.9199999999999998E-2</v>
      </c>
      <c r="J490" s="2466">
        <f>IF(ISNA(VLOOKUP($B490&amp;"; "&amp;$H$487&amp;", "&amp;J$488,'FE Fret'!$G:$U,9,FALSE)),0,VLOOKUP($B490&amp;"; "&amp;$H$487&amp;", "&amp;J$488,'FE Fret'!$G:$U,9,FALSE))</f>
        <v>2.5999999999999999E-3</v>
      </c>
      <c r="K490" s="212">
        <f t="shared" ref="K490:K497" si="164">IF(ISNA(G490),0,G490*H490)</f>
        <v>0</v>
      </c>
      <c r="L490" s="212">
        <f t="shared" ref="L490:L497" si="165">IF(ISNA(G490),0,G490*I490)</f>
        <v>0</v>
      </c>
      <c r="M490" s="2467">
        <f t="shared" ref="M490:M497" si="166">IF(ISNA(G490),0,G490*J490)</f>
        <v>0</v>
      </c>
      <c r="X490" s="1092">
        <f>IF(AE490=0,AE490,AE490/D490)</f>
        <v>0</v>
      </c>
      <c r="Y490" s="343"/>
      <c r="Z490" s="820"/>
      <c r="AA490" s="164">
        <f t="shared" ref="AA490:AA497" si="167">K490*BI490</f>
        <v>0</v>
      </c>
      <c r="AB490" s="164">
        <f t="shared" ref="AB490:AB497" si="168">L490*BJ490</f>
        <v>0</v>
      </c>
      <c r="AC490" s="164">
        <f t="shared" ref="AC490:AC497" si="169">M490*BK490</f>
        <v>0</v>
      </c>
      <c r="AD490" s="164"/>
      <c r="AE490" s="152">
        <f t="shared" ref="AE490:AE497" si="170">SQRT(AA490^2+AB490^2)</f>
        <v>0</v>
      </c>
      <c r="AH490" s="564">
        <f>$G490*IF(ISNA(VLOOKUP($B490&amp;"; "&amp;$H$487&amp;", "&amp;H$488,'FE Fret'!$G:$U,10,FALSE)),0,VLOOKUP($B490&amp;"; "&amp;$H$487&amp;", "&amp;H$488,'FE Fret'!$G:$U,10,FALSE))</f>
        <v>0</v>
      </c>
      <c r="AI490" s="565">
        <f>$G490*IF(ISNA(VLOOKUP($B490&amp;"; "&amp;$H$487&amp;", "&amp;I$488,'FE Fret'!$G:$U,10,FALSE)),0,VLOOKUP($B490&amp;"; "&amp;$H$487&amp;", "&amp;I$488,'FE Fret'!$G:$U,10,FALSE))</f>
        <v>0</v>
      </c>
      <c r="AJ490" s="565">
        <f>$G490*IF(ISNA(VLOOKUP($B490&amp;"; "&amp;$H$487&amp;", "&amp;J$488,'FE Fret'!$G:$U,10,FALSE)),0,VLOOKUP($B490&amp;"; "&amp;$H$487&amp;", "&amp;J$488,'FE Fret'!$G:$U,10,FALSE))</f>
        <v>0</v>
      </c>
      <c r="AK490" s="565">
        <f>$G490*IF(ISNA(VLOOKUP($B490&amp;"; "&amp;$H$487&amp;", "&amp;H$488,'FE Fret'!$G:$U,11,FALSE)),0,VLOOKUP($B490&amp;"; "&amp;$H$487&amp;", "&amp;H$488,'FE Fret'!$G:$U,11,FALSE))+
$G490*IF(ISNA(VLOOKUP($B490&amp;"; "&amp;$H$487&amp;", "&amp;H$488,'FE Fret'!$G:$U,12,FALSE)),0,VLOOKUP($B490&amp;"; "&amp;$H$487&amp;", "&amp;H$488,'FE Fret'!$G:$U,12,FALSE))</f>
        <v>0</v>
      </c>
      <c r="AL490" s="565">
        <f>$G490*IF(ISNA(VLOOKUP($B490&amp;"; "&amp;$H$487&amp;", "&amp;I$488,'FE Fret'!$G:$U,11,FALSE)),0,VLOOKUP($B490&amp;"; "&amp;$H$487&amp;", "&amp;I$488,'FE Fret'!$G:$U,11,FALSE))+
$G490*IF(ISNA(VLOOKUP($B490&amp;"; "&amp;$H$487&amp;", "&amp;I$488,'FE Fret'!$G:$U,12,FALSE)),0,VLOOKUP($B490&amp;"; "&amp;$H$487&amp;", "&amp;I$488,'FE Fret'!$G:$U,12,FALSE))</f>
        <v>0</v>
      </c>
      <c r="AM490" s="565">
        <f>$G490*IF(ISNA(VLOOKUP($B490&amp;"; "&amp;$H$487&amp;", "&amp;J$488,'FE Fret'!$G:$U,11,FALSE)),0,VLOOKUP($B490&amp;"; "&amp;$H$487&amp;", "&amp;J$488,'FE Fret'!$G:$U,11,FALSE))+
$G490*IF(ISNA(VLOOKUP($B490&amp;"; "&amp;$H$487&amp;", "&amp;J$488,'FE Fret'!$G:$U,12,FALSE)),0,VLOOKUP($B490&amp;"; "&amp;$H$487&amp;", "&amp;J$488,'FE Fret'!$G:$U,12,FALSE))</f>
        <v>0</v>
      </c>
      <c r="AN490" s="565">
        <f>$G490*IF(ISNA(VLOOKUP($B490&amp;"; "&amp;$H$487&amp;", "&amp;H$488,'FE Fret'!$G:$U,13,FALSE)),0,VLOOKUP($B490&amp;"; "&amp;$H$487&amp;", "&amp;H$488,'FE Fret'!$G:$U,13,FALSE))</f>
        <v>0</v>
      </c>
      <c r="AO490" s="565">
        <f>$G490*IF(ISNA(VLOOKUP($B490&amp;"; "&amp;$H$487&amp;", "&amp;I$488,'FE Fret'!$G:$U,13,FALSE)),0,VLOOKUP($B490&amp;"; "&amp;$H$487&amp;", "&amp;I$488,'FE Fret'!$G:$U,13,FALSE))</f>
        <v>0</v>
      </c>
      <c r="AP490" s="565">
        <f>$G490*IF(ISNA(VLOOKUP($B490&amp;"; "&amp;$H$487&amp;", "&amp;J$488,'FE Fret'!$G:$U,13,FALSE)),0,VLOOKUP($B490&amp;"; "&amp;$H$487&amp;", "&amp;J$488,'FE Fret'!$G:$U,13,FALSE))</f>
        <v>0</v>
      </c>
      <c r="AQ490" s="565">
        <f>$G490*IF(ISNA(VLOOKUP($B490&amp;"; "&amp;$H$487&amp;", "&amp;H$488,'FE Fret'!$G:$U,14,FALSE)),0,VLOOKUP($B490&amp;"; "&amp;$H$487&amp;", "&amp;H$488,'FE Fret'!$G:$U,14,FALSE))</f>
        <v>0</v>
      </c>
      <c r="AR490" s="565">
        <f>$G490*IF(ISNA(VLOOKUP($B490&amp;"; "&amp;$H$487&amp;", "&amp;I$488,'FE Fret'!$G:$U,14,FALSE)),0,VLOOKUP($B490&amp;"; "&amp;$H$487&amp;", "&amp;I$488,'FE Fret'!$G:$U,14,FALSE))</f>
        <v>0</v>
      </c>
      <c r="AS490" s="565">
        <f>$G490*IF(ISNA(VLOOKUP($B490&amp;"; "&amp;$H$487&amp;", "&amp;J$488,'FE Fret'!$G:$U,14,FALSE)),0,VLOOKUP($B490&amp;"; "&amp;$H$487&amp;", "&amp;J$488,'FE Fret'!$G:$U,14,FALSE))</f>
        <v>0</v>
      </c>
      <c r="AT490" s="566">
        <f t="shared" ref="AT490:AT497" si="171">SUM(AH490,AK490,AN490,AQ490)</f>
        <v>0</v>
      </c>
      <c r="AU490" s="566">
        <f t="shared" ref="AU490:AU497" si="172">SUM(AI490,AL490,AO490,AR490)</f>
        <v>0</v>
      </c>
      <c r="AV490" s="567">
        <f t="shared" ref="AV490:AV497" si="173">SUM(AJ490,AM490,AP490,AS490)</f>
        <v>0</v>
      </c>
      <c r="AW490" s="565">
        <f>$G490*IF(ISNA(VLOOKUP($B490&amp;"; "&amp;$H$487&amp;", "&amp;H$488,'FE Fret'!$G:$U,15,FALSE)),0,VLOOKUP($B490&amp;"; "&amp;$H$487&amp;", "&amp;H$488,'FE Fret'!$G:$U,15,FALSE))</f>
        <v>0</v>
      </c>
      <c r="AX490" s="565">
        <f>$G490*IF(ISNA(VLOOKUP($B490&amp;"; "&amp;$H$487&amp;", "&amp;I$488,'FE Fret'!$G:$U,15,FALSE)),0,VLOOKUP($B490&amp;"; "&amp;$H$487&amp;", "&amp;I$488,'FE Fret'!$G:$U,15,FALSE))</f>
        <v>0</v>
      </c>
      <c r="AY490" s="568">
        <f>$G490*IF(ISNA(VLOOKUP($B490&amp;"; "&amp;$H$487&amp;", "&amp;J$488,'FE Fret'!$G:$U,15,FALSE)),0,VLOOKUP($B490&amp;"; "&amp;$H$487&amp;", "&amp;J$488,'FE Fret'!$G:$U,15,FALSE))</f>
        <v>0</v>
      </c>
      <c r="AZ490" s="2292"/>
      <c r="BA490" s="2292"/>
      <c r="BB490" s="2292"/>
      <c r="BC490" s="2292"/>
      <c r="BD490" s="2292"/>
      <c r="BE490" s="2292"/>
      <c r="BF490" s="2292"/>
      <c r="BH490" s="1167">
        <f>IF($Y490&lt;&gt;"votre valeur :",IF(ISNA(VLOOKUP($Y490,Utilitaires!$N$566:$O$571,2,FALSE)),,VLOOKUP($Y490,Utilitaires!$N$566:$O$571,2,FALSE)),$Z490)</f>
        <v>0</v>
      </c>
      <c r="BI490" s="2457">
        <f>IF(ISNA(SQRT(SUMSQ(VLOOKUP($B490&amp;"; "&amp;$H$487&amp;", "&amp;H$488,'FE Fret'!$G:$U,7,FALSE),$BH490))),0,SQRT(SUMSQ(VLOOKUP($B490&amp;"; "&amp;$H$487&amp;", "&amp;H$488,'FE Fret'!$G:$U,7,FALSE),$BH490)))</f>
        <v>0.7</v>
      </c>
      <c r="BJ490" s="2457">
        <f>IF(ISNA(SQRT(SUMSQ(VLOOKUP($B490&amp;"; "&amp;$H$487&amp;", "&amp;I$488,'FE Fret'!$G:$U,7,FALSE),$BH490))),0,SQRT(SUMSQ(VLOOKUP($B490&amp;"; "&amp;$H$487&amp;", "&amp;I$488,'FE Fret'!$G:$U,7,FALSE),$BH490)))</f>
        <v>0.7</v>
      </c>
      <c r="BK490" s="2457">
        <f>IF(ISNA(SQRT(SUMSQ(VLOOKUP($B490&amp;"; "&amp;$H$487&amp;", "&amp;J$488,'FE Fret'!$G:$U,7,FALSE),$BH490))),0,SQRT(SUMSQ(VLOOKUP($B490&amp;"; "&amp;$H$487&amp;", "&amp;J$488,'FE Fret'!$G:$U,7,FALSE),$BH490)))</f>
        <v>0.7</v>
      </c>
    </row>
    <row r="491" spans="1:63" s="130" customFormat="1" ht="15" hidden="1" customHeight="1" outlineLevel="2">
      <c r="A491" s="114"/>
      <c r="B491" s="143" t="s">
        <v>4034</v>
      </c>
      <c r="C491" s="144"/>
      <c r="D491" s="212">
        <f t="shared" si="163"/>
        <v>0</v>
      </c>
      <c r="E491" s="212"/>
      <c r="F491" s="123"/>
      <c r="G491" s="123"/>
      <c r="H491" s="2466">
        <f>IF(ISNA(VLOOKUP($B491&amp;"; "&amp;$H$487&amp;", "&amp;H$488,'FE Fret'!$G:$U,9,FALSE)),0,VLOOKUP($B491&amp;"; "&amp;$H$487&amp;", "&amp;H$488,'FE Fret'!$G:$U,9,FALSE))</f>
        <v>4.1399999999999998E-4</v>
      </c>
      <c r="I491" s="2466">
        <f>IF(ISNA(VLOOKUP($B491&amp;"; "&amp;$H$487&amp;", "&amp;I$488,'FE Fret'!$G:$U,9,FALSE)),0,VLOOKUP($B491&amp;"; "&amp;$H$487&amp;", "&amp;I$488,'FE Fret'!$G:$U,9,FALSE))</f>
        <v>6.5899999999999997E-4</v>
      </c>
      <c r="J491" s="2466">
        <f>IF(ISNA(VLOOKUP($B491&amp;"; "&amp;$H$487&amp;", "&amp;J$488,'FE Fret'!$G:$U,9,FALSE)),0,VLOOKUP($B491&amp;"; "&amp;$H$487&amp;", "&amp;J$488,'FE Fret'!$G:$U,9,FALSE))</f>
        <v>2.5999999999999999E-3</v>
      </c>
      <c r="K491" s="212">
        <f t="shared" si="164"/>
        <v>0</v>
      </c>
      <c r="L491" s="212">
        <f t="shared" si="165"/>
        <v>0</v>
      </c>
      <c r="M491" s="2467">
        <f t="shared" si="166"/>
        <v>0</v>
      </c>
      <c r="T491" s="114"/>
      <c r="U491" s="114"/>
      <c r="V491" s="114"/>
      <c r="W491" s="114"/>
      <c r="X491" s="1092">
        <f>IF(AE491=0,AE491,AE491/D491)</f>
        <v>0</v>
      </c>
      <c r="Y491" s="1094"/>
      <c r="Z491" s="820"/>
      <c r="AA491" s="164">
        <f t="shared" si="167"/>
        <v>0</v>
      </c>
      <c r="AB491" s="164">
        <f t="shared" si="168"/>
        <v>0</v>
      </c>
      <c r="AC491" s="164">
        <f t="shared" si="169"/>
        <v>0</v>
      </c>
      <c r="AD491" s="164"/>
      <c r="AE491" s="152">
        <f t="shared" si="170"/>
        <v>0</v>
      </c>
      <c r="AF491" s="114"/>
      <c r="AG491" s="114"/>
      <c r="AH491" s="564">
        <f>$G491*IF(ISNA(VLOOKUP($B491&amp;"; "&amp;$H$487&amp;", "&amp;H$488,'FE Fret'!$G:$U,10,FALSE)),0,VLOOKUP($B491&amp;"; "&amp;$H$487&amp;", "&amp;H$488,'FE Fret'!$G:$U,10,FALSE))</f>
        <v>0</v>
      </c>
      <c r="AI491" s="565">
        <f>$G491*IF(ISNA(VLOOKUP($B491&amp;"; "&amp;$H$487&amp;", "&amp;I$488,'FE Fret'!$G:$U,10,FALSE)),0,VLOOKUP($B491&amp;"; "&amp;$H$487&amp;", "&amp;I$488,'FE Fret'!$G:$U,10,FALSE))</f>
        <v>0</v>
      </c>
      <c r="AJ491" s="565">
        <f>$G491*IF(ISNA(VLOOKUP($B491&amp;"; "&amp;$H$487&amp;", "&amp;J$488,'FE Fret'!$G:$U,10,FALSE)),0,VLOOKUP($B491&amp;"; "&amp;$H$487&amp;", "&amp;J$488,'FE Fret'!$G:$U,10,FALSE))</f>
        <v>0</v>
      </c>
      <c r="AK491" s="565">
        <f>$G491*IF(ISNA(VLOOKUP($B491&amp;"; "&amp;$H$487&amp;", "&amp;H$488,'FE Fret'!$G:$U,11,FALSE)),0,VLOOKUP($B491&amp;"; "&amp;$H$487&amp;", "&amp;H$488,'FE Fret'!$G:$U,11,FALSE))+
$G491*IF(ISNA(VLOOKUP($B491&amp;"; "&amp;$H$487&amp;", "&amp;H$488,'FE Fret'!$G:$U,12,FALSE)),0,VLOOKUP($B491&amp;"; "&amp;$H$487&amp;", "&amp;H$488,'FE Fret'!$G:$U,12,FALSE))</f>
        <v>0</v>
      </c>
      <c r="AL491" s="565">
        <f>$G491*IF(ISNA(VLOOKUP($B491&amp;"; "&amp;$H$487&amp;", "&amp;I$488,'FE Fret'!$G:$U,11,FALSE)),0,VLOOKUP($B491&amp;"; "&amp;$H$487&amp;", "&amp;I$488,'FE Fret'!$G:$U,11,FALSE))+
$G491*IF(ISNA(VLOOKUP($B491&amp;"; "&amp;$H$487&amp;", "&amp;I$488,'FE Fret'!$G:$U,12,FALSE)),0,VLOOKUP($B491&amp;"; "&amp;$H$487&amp;", "&amp;I$488,'FE Fret'!$G:$U,12,FALSE))</f>
        <v>0</v>
      </c>
      <c r="AM491" s="565">
        <f>$G491*IF(ISNA(VLOOKUP($B491&amp;"; "&amp;$H$487&amp;", "&amp;J$488,'FE Fret'!$G:$U,11,FALSE)),0,VLOOKUP($B491&amp;"; "&amp;$H$487&amp;", "&amp;J$488,'FE Fret'!$G:$U,11,FALSE))+
$G491*IF(ISNA(VLOOKUP($B491&amp;"; "&amp;$H$487&amp;", "&amp;J$488,'FE Fret'!$G:$U,12,FALSE)),0,VLOOKUP($B491&amp;"; "&amp;$H$487&amp;", "&amp;J$488,'FE Fret'!$G:$U,12,FALSE))</f>
        <v>0</v>
      </c>
      <c r="AN491" s="565">
        <f>$G491*IF(ISNA(VLOOKUP($B491&amp;"; "&amp;$H$487&amp;", "&amp;H$488,'FE Fret'!$G:$U,13,FALSE)),0,VLOOKUP($B491&amp;"; "&amp;$H$487&amp;", "&amp;H$488,'FE Fret'!$G:$U,13,FALSE))</f>
        <v>0</v>
      </c>
      <c r="AO491" s="565">
        <f>$G491*IF(ISNA(VLOOKUP($B491&amp;"; "&amp;$H$487&amp;", "&amp;I$488,'FE Fret'!$G:$U,13,FALSE)),0,VLOOKUP($B491&amp;"; "&amp;$H$487&amp;", "&amp;I$488,'FE Fret'!$G:$U,13,FALSE))</f>
        <v>0</v>
      </c>
      <c r="AP491" s="565">
        <f>$G491*IF(ISNA(VLOOKUP($B491&amp;"; "&amp;$H$487&amp;", "&amp;J$488,'FE Fret'!$G:$U,13,FALSE)),0,VLOOKUP($B491&amp;"; "&amp;$H$487&amp;", "&amp;J$488,'FE Fret'!$G:$U,13,FALSE))</f>
        <v>0</v>
      </c>
      <c r="AQ491" s="565">
        <f>$G491*IF(ISNA(VLOOKUP($B491&amp;"; "&amp;$H$487&amp;", "&amp;H$488,'FE Fret'!$G:$U,14,FALSE)),0,VLOOKUP($B491&amp;"; "&amp;$H$487&amp;", "&amp;H$488,'FE Fret'!$G:$U,14,FALSE))</f>
        <v>0</v>
      </c>
      <c r="AR491" s="565">
        <f>$G491*IF(ISNA(VLOOKUP($B491&amp;"; "&amp;$H$487&amp;", "&amp;I$488,'FE Fret'!$G:$U,14,FALSE)),0,VLOOKUP($B491&amp;"; "&amp;$H$487&amp;", "&amp;I$488,'FE Fret'!$G:$U,14,FALSE))</f>
        <v>0</v>
      </c>
      <c r="AS491" s="565">
        <f>$G491*IF(ISNA(VLOOKUP($B491&amp;"; "&amp;$H$487&amp;", "&amp;J$488,'FE Fret'!$G:$U,14,FALSE)),0,VLOOKUP($B491&amp;"; "&amp;$H$487&amp;", "&amp;J$488,'FE Fret'!$G:$U,14,FALSE))</f>
        <v>0</v>
      </c>
      <c r="AT491" s="566">
        <f t="shared" si="171"/>
        <v>0</v>
      </c>
      <c r="AU491" s="566">
        <f t="shared" si="172"/>
        <v>0</v>
      </c>
      <c r="AV491" s="567">
        <f t="shared" si="173"/>
        <v>0</v>
      </c>
      <c r="AW491" s="565">
        <f>$G491*IF(ISNA(VLOOKUP($B491&amp;"; "&amp;$H$487&amp;", "&amp;H$488,'FE Fret'!$G:$U,15,FALSE)),0,VLOOKUP($B491&amp;"; "&amp;$H$487&amp;", "&amp;H$488,'FE Fret'!$G:$U,15,FALSE))</f>
        <v>0</v>
      </c>
      <c r="AX491" s="565">
        <f>$G491*IF(ISNA(VLOOKUP($B491&amp;"; "&amp;$H$487&amp;", "&amp;I$488,'FE Fret'!$G:$U,15,FALSE)),0,VLOOKUP($B491&amp;"; "&amp;$H$487&amp;", "&amp;I$488,'FE Fret'!$G:$U,15,FALSE))</f>
        <v>0</v>
      </c>
      <c r="AY491" s="568">
        <f>$G491*IF(ISNA(VLOOKUP($B491&amp;"; "&amp;$H$487&amp;", "&amp;J$488,'FE Fret'!$G:$U,15,FALSE)),0,VLOOKUP($B491&amp;"; "&amp;$H$487&amp;", "&amp;J$488,'FE Fret'!$G:$U,15,FALSE))</f>
        <v>0</v>
      </c>
      <c r="AZ491" s="2292"/>
      <c r="BA491" s="2292"/>
      <c r="BB491" s="2292"/>
      <c r="BC491" s="2292"/>
      <c r="BD491" s="2292"/>
      <c r="BE491" s="2292"/>
      <c r="BF491" s="2292"/>
      <c r="BH491" s="1167">
        <f>IF($Y491&lt;&gt;"votre valeur :",IF(ISNA(VLOOKUP($Y491,Utilitaires!$N$566:$O$571,2,FALSE)),,VLOOKUP($Y491,Utilitaires!$N$566:$O$571,2,FALSE)),$Z491)</f>
        <v>0</v>
      </c>
      <c r="BI491" s="2457">
        <f>IF(ISNA(SQRT(SUMSQ(VLOOKUP($B491&amp;"; "&amp;$H$487&amp;", "&amp;H$488,'FE Fret'!$G:$U,7,FALSE),$BH491))),0,SQRT(SUMSQ(VLOOKUP($B491&amp;"; "&amp;$H$487&amp;", "&amp;H$488,'FE Fret'!$G:$U,7,FALSE),$BH491)))</f>
        <v>0.7</v>
      </c>
      <c r="BJ491" s="2457">
        <f>IF(ISNA(SQRT(SUMSQ(VLOOKUP($B491&amp;"; "&amp;$H$487&amp;", "&amp;I$488,'FE Fret'!$G:$U,7,FALSE),$BH491))),0,SQRT(SUMSQ(VLOOKUP($B491&amp;"; "&amp;$H$487&amp;", "&amp;I$488,'FE Fret'!$G:$U,7,FALSE),$BH491)))</f>
        <v>0.7</v>
      </c>
      <c r="BK491" s="2457">
        <f>IF(ISNA(SQRT(SUMSQ(VLOOKUP($B491&amp;"; "&amp;$H$487&amp;", "&amp;J$488,'FE Fret'!$G:$U,7,FALSE),$BH491))),0,SQRT(SUMSQ(VLOOKUP($B491&amp;"; "&amp;$H$487&amp;", "&amp;J$488,'FE Fret'!$G:$U,7,FALSE),$BH491)))</f>
        <v>0.7</v>
      </c>
    </row>
    <row r="492" spans="1:63" s="130" customFormat="1" ht="15" hidden="1" customHeight="1" outlineLevel="2">
      <c r="A492" s="114"/>
      <c r="B492" s="143"/>
      <c r="C492" s="144"/>
      <c r="D492" s="212"/>
      <c r="E492" s="212"/>
      <c r="F492" s="212"/>
      <c r="G492" s="212"/>
      <c r="H492" s="2466"/>
      <c r="I492" s="2466"/>
      <c r="J492" s="2466"/>
      <c r="K492" s="212"/>
      <c r="L492" s="212"/>
      <c r="M492" s="2467"/>
      <c r="T492" s="114"/>
      <c r="U492" s="114"/>
      <c r="V492" s="114"/>
      <c r="W492" s="114"/>
      <c r="X492" s="1092"/>
      <c r="Y492" s="820"/>
      <c r="Z492" s="820"/>
      <c r="AA492" s="164"/>
      <c r="AB492" s="164"/>
      <c r="AC492" s="164"/>
      <c r="AD492" s="164"/>
      <c r="AE492" s="152"/>
      <c r="AF492" s="114"/>
      <c r="AG492" s="114"/>
      <c r="AH492" s="564"/>
      <c r="AI492" s="565"/>
      <c r="AJ492" s="565"/>
      <c r="AK492" s="565"/>
      <c r="AL492" s="565"/>
      <c r="AM492" s="565"/>
      <c r="AN492" s="565"/>
      <c r="AO492" s="565"/>
      <c r="AP492" s="565"/>
      <c r="AQ492" s="565"/>
      <c r="AR492" s="565"/>
      <c r="AS492" s="565"/>
      <c r="AT492" s="566"/>
      <c r="AU492" s="566"/>
      <c r="AV492" s="567"/>
      <c r="AW492" s="565"/>
      <c r="AX492" s="565"/>
      <c r="AY492" s="568"/>
      <c r="AZ492" s="2292"/>
      <c r="BA492" s="2292"/>
      <c r="BB492" s="2292"/>
      <c r="BC492" s="2292"/>
      <c r="BD492" s="2292"/>
      <c r="BE492" s="2292"/>
      <c r="BF492" s="2292"/>
      <c r="BH492" s="1167"/>
      <c r="BI492" s="2457"/>
      <c r="BJ492" s="2457"/>
      <c r="BK492" s="2457"/>
    </row>
    <row r="493" spans="1:63" s="130" customFormat="1" ht="15" hidden="1" customHeight="1" outlineLevel="2">
      <c r="A493" s="114"/>
      <c r="B493" s="333" t="s">
        <v>4022</v>
      </c>
      <c r="C493" s="144"/>
      <c r="D493" s="212"/>
      <c r="E493" s="212"/>
      <c r="F493" s="212"/>
      <c r="G493" s="212"/>
      <c r="H493" s="2466"/>
      <c r="I493" s="2466"/>
      <c r="J493" s="2466"/>
      <c r="K493" s="212"/>
      <c r="L493" s="212"/>
      <c r="M493" s="2467"/>
      <c r="T493" s="114"/>
      <c r="U493" s="114"/>
      <c r="V493" s="114"/>
      <c r="W493" s="114"/>
      <c r="X493" s="1092"/>
      <c r="Y493" s="820"/>
      <c r="Z493" s="820"/>
      <c r="AA493" s="164"/>
      <c r="AB493" s="164"/>
      <c r="AC493" s="164"/>
      <c r="AD493" s="164"/>
      <c r="AE493" s="152"/>
      <c r="AF493" s="114"/>
      <c r="AG493" s="114"/>
      <c r="AH493" s="564"/>
      <c r="AI493" s="565"/>
      <c r="AJ493" s="565"/>
      <c r="AK493" s="565"/>
      <c r="AL493" s="565"/>
      <c r="AM493" s="565"/>
      <c r="AN493" s="565"/>
      <c r="AO493" s="565"/>
      <c r="AP493" s="565"/>
      <c r="AQ493" s="565"/>
      <c r="AR493" s="565"/>
      <c r="AS493" s="565"/>
      <c r="AT493" s="566"/>
      <c r="AU493" s="566"/>
      <c r="AV493" s="567"/>
      <c r="AW493" s="565"/>
      <c r="AX493" s="565"/>
      <c r="AY493" s="568"/>
      <c r="AZ493" s="2292"/>
      <c r="BA493" s="2292"/>
      <c r="BB493" s="2292"/>
      <c r="BC493" s="2292"/>
      <c r="BD493" s="2292"/>
      <c r="BE493" s="2292"/>
      <c r="BF493" s="2292"/>
      <c r="BH493" s="1167"/>
      <c r="BI493" s="2457"/>
      <c r="BJ493" s="2457"/>
      <c r="BK493" s="2457"/>
    </row>
    <row r="494" spans="1:63" s="130" customFormat="1" ht="15" hidden="1" customHeight="1" outlineLevel="2">
      <c r="A494" s="114"/>
      <c r="B494" s="143" t="s">
        <v>5080</v>
      </c>
      <c r="C494" s="144"/>
      <c r="D494" s="212">
        <f t="shared" si="163"/>
        <v>0</v>
      </c>
      <c r="E494" s="212"/>
      <c r="F494" s="117"/>
      <c r="G494" s="117"/>
      <c r="H494" s="2466">
        <f>IF(ISNA(VLOOKUP($B494&amp;"; "&amp;$H$487&amp;", "&amp;H$488,'FE Fret'!$G:$U,9,FALSE)),0,VLOOKUP($B494&amp;"; "&amp;$H$487&amp;", "&amp;H$488,'FE Fret'!$G:$U,9,FALSE))</f>
        <v>0</v>
      </c>
      <c r="I494" s="2466">
        <f>IF(ISNA(VLOOKUP($B494&amp;"; "&amp;$H$487&amp;", "&amp;I$488,'FE Fret'!$G:$U,9,FALSE)),0,VLOOKUP($B494&amp;"; "&amp;$H$487&amp;", "&amp;I$488,'FE Fret'!$G:$U,9,FALSE))</f>
        <v>7.6999999999999999E-2</v>
      </c>
      <c r="J494" s="2466">
        <f>IF(ISNA(VLOOKUP($B494&amp;"; "&amp;$H$487&amp;", "&amp;J$488,'FE Fret'!$G:$U,9,FALSE)),0,VLOOKUP($B494&amp;"; "&amp;$H$487&amp;", "&amp;J$488,'FE Fret'!$G:$U,9,FALSE))</f>
        <v>3.0999999999999999E-3</v>
      </c>
      <c r="K494" s="212">
        <f t="shared" si="164"/>
        <v>0</v>
      </c>
      <c r="L494" s="212">
        <f t="shared" si="165"/>
        <v>0</v>
      </c>
      <c r="M494" s="2467">
        <f t="shared" si="166"/>
        <v>0</v>
      </c>
      <c r="T494" s="114"/>
      <c r="U494" s="114"/>
      <c r="V494" s="114"/>
      <c r="W494" s="114"/>
      <c r="X494" s="1092">
        <f t="shared" ref="X494:X497" si="174">IF(AE494=0,AE494,AE494/D494)</f>
        <v>0</v>
      </c>
      <c r="Y494" s="343"/>
      <c r="Z494" s="820"/>
      <c r="AA494" s="164">
        <f t="shared" si="167"/>
        <v>0</v>
      </c>
      <c r="AB494" s="164">
        <f t="shared" si="168"/>
        <v>0</v>
      </c>
      <c r="AC494" s="164">
        <f t="shared" si="169"/>
        <v>0</v>
      </c>
      <c r="AD494" s="164"/>
      <c r="AE494" s="152">
        <f t="shared" si="170"/>
        <v>0</v>
      </c>
      <c r="AF494" s="114"/>
      <c r="AG494" s="114"/>
      <c r="AH494" s="564">
        <f>$G494*IF(ISNA(VLOOKUP($B494&amp;"; "&amp;$H$487&amp;", "&amp;H$488,'FE Fret'!$G:$U,10,FALSE)),0,VLOOKUP($B494&amp;"; "&amp;$H$487&amp;", "&amp;H$488,'FE Fret'!$G:$U,10,FALSE))</f>
        <v>0</v>
      </c>
      <c r="AI494" s="565">
        <f>$G494*IF(ISNA(VLOOKUP($B494&amp;"; "&amp;$H$487&amp;", "&amp;I$488,'FE Fret'!$G:$U,10,FALSE)),0,VLOOKUP($B494&amp;"; "&amp;$H$487&amp;", "&amp;I$488,'FE Fret'!$G:$U,10,FALSE))</f>
        <v>0</v>
      </c>
      <c r="AJ494" s="565">
        <f>$G494*IF(ISNA(VLOOKUP($B494&amp;"; "&amp;$H$487&amp;", "&amp;J$488,'FE Fret'!$G:$U,10,FALSE)),0,VLOOKUP($B494&amp;"; "&amp;$H$487&amp;", "&amp;J$488,'FE Fret'!$G:$U,10,FALSE))</f>
        <v>0</v>
      </c>
      <c r="AK494" s="565">
        <f>$G494*IF(ISNA(VLOOKUP($B494&amp;"; "&amp;$H$487&amp;", "&amp;H$488,'FE Fret'!$G:$U,11,FALSE)),0,VLOOKUP($B494&amp;"; "&amp;$H$487&amp;", "&amp;H$488,'FE Fret'!$G:$U,11,FALSE))+
$G494*IF(ISNA(VLOOKUP($B494&amp;"; "&amp;$H$487&amp;", "&amp;H$488,'FE Fret'!$G:$U,12,FALSE)),0,VLOOKUP($B494&amp;"; "&amp;$H$487&amp;", "&amp;H$488,'FE Fret'!$G:$U,12,FALSE))</f>
        <v>0</v>
      </c>
      <c r="AL494" s="565">
        <f>$G494*IF(ISNA(VLOOKUP($B494&amp;"; "&amp;$H$487&amp;", "&amp;I$488,'FE Fret'!$G:$U,11,FALSE)),0,VLOOKUP($B494&amp;"; "&amp;$H$487&amp;", "&amp;I$488,'FE Fret'!$G:$U,11,FALSE))+
$G494*IF(ISNA(VLOOKUP($B494&amp;"; "&amp;$H$487&amp;", "&amp;I$488,'FE Fret'!$G:$U,12,FALSE)),0,VLOOKUP($B494&amp;"; "&amp;$H$487&amp;", "&amp;I$488,'FE Fret'!$G:$U,12,FALSE))</f>
        <v>0</v>
      </c>
      <c r="AM494" s="565">
        <f>$G494*IF(ISNA(VLOOKUP($B494&amp;"; "&amp;$H$487&amp;", "&amp;J$488,'FE Fret'!$G:$U,11,FALSE)),0,VLOOKUP($B494&amp;"; "&amp;$H$487&amp;", "&amp;J$488,'FE Fret'!$G:$U,11,FALSE))+
$G494*IF(ISNA(VLOOKUP($B494&amp;"; "&amp;$H$487&amp;", "&amp;J$488,'FE Fret'!$G:$U,12,FALSE)),0,VLOOKUP($B494&amp;"; "&amp;$H$487&amp;", "&amp;J$488,'FE Fret'!$G:$U,12,FALSE))</f>
        <v>0</v>
      </c>
      <c r="AN494" s="565">
        <f>$G494*IF(ISNA(VLOOKUP($B494&amp;"; "&amp;$H$487&amp;", "&amp;H$488,'FE Fret'!$G:$U,13,FALSE)),0,VLOOKUP($B494&amp;"; "&amp;$H$487&amp;", "&amp;H$488,'FE Fret'!$G:$U,13,FALSE))</f>
        <v>0</v>
      </c>
      <c r="AO494" s="565">
        <f>$G494*IF(ISNA(VLOOKUP($B494&amp;"; "&amp;$H$487&amp;", "&amp;I$488,'FE Fret'!$G:$U,13,FALSE)),0,VLOOKUP($B494&amp;"; "&amp;$H$487&amp;", "&amp;I$488,'FE Fret'!$G:$U,13,FALSE))</f>
        <v>0</v>
      </c>
      <c r="AP494" s="565">
        <f>$G494*IF(ISNA(VLOOKUP($B494&amp;"; "&amp;$H$487&amp;", "&amp;J$488,'FE Fret'!$G:$U,13,FALSE)),0,VLOOKUP($B494&amp;"; "&amp;$H$487&amp;", "&amp;J$488,'FE Fret'!$G:$U,13,FALSE))</f>
        <v>0</v>
      </c>
      <c r="AQ494" s="565">
        <f>$G494*IF(ISNA(VLOOKUP($B494&amp;"; "&amp;$H$487&amp;", "&amp;H$488,'FE Fret'!$G:$U,14,FALSE)),0,VLOOKUP($B494&amp;"; "&amp;$H$487&amp;", "&amp;H$488,'FE Fret'!$G:$U,14,FALSE))</f>
        <v>0</v>
      </c>
      <c r="AR494" s="565">
        <f>$G494*IF(ISNA(VLOOKUP($B494&amp;"; "&amp;$H$487&amp;", "&amp;I$488,'FE Fret'!$G:$U,14,FALSE)),0,VLOOKUP($B494&amp;"; "&amp;$H$487&amp;", "&amp;I$488,'FE Fret'!$G:$U,14,FALSE))</f>
        <v>0</v>
      </c>
      <c r="AS494" s="565">
        <f>$G494*IF(ISNA(VLOOKUP($B494&amp;"; "&amp;$H$487&amp;", "&amp;J$488,'FE Fret'!$G:$U,14,FALSE)),0,VLOOKUP($B494&amp;"; "&amp;$H$487&amp;", "&amp;J$488,'FE Fret'!$G:$U,14,FALSE))</f>
        <v>0</v>
      </c>
      <c r="AT494" s="566">
        <f t="shared" si="171"/>
        <v>0</v>
      </c>
      <c r="AU494" s="566">
        <f t="shared" si="172"/>
        <v>0</v>
      </c>
      <c r="AV494" s="567">
        <f t="shared" si="173"/>
        <v>0</v>
      </c>
      <c r="AW494" s="565">
        <f>$G494*IF(ISNA(VLOOKUP($B494&amp;"; "&amp;$H$487&amp;", "&amp;H$488,'FE Fret'!$G:$U,15,FALSE)),0,VLOOKUP($B494&amp;"; "&amp;$H$487&amp;", "&amp;H$488,'FE Fret'!$G:$U,15,FALSE))</f>
        <v>0</v>
      </c>
      <c r="AX494" s="565">
        <f>$G494*IF(ISNA(VLOOKUP($B494&amp;"; "&amp;$H$487&amp;", "&amp;I$488,'FE Fret'!$G:$U,15,FALSE)),0,VLOOKUP($B494&amp;"; "&amp;$H$487&amp;", "&amp;I$488,'FE Fret'!$G:$U,15,FALSE))</f>
        <v>0</v>
      </c>
      <c r="AY494" s="568">
        <f>$G494*IF(ISNA(VLOOKUP($B494&amp;"; "&amp;$H$487&amp;", "&amp;J$488,'FE Fret'!$G:$U,15,FALSE)),0,VLOOKUP($B494&amp;"; "&amp;$H$487&amp;", "&amp;J$488,'FE Fret'!$G:$U,15,FALSE))</f>
        <v>0</v>
      </c>
      <c r="AZ494" s="2292"/>
      <c r="BA494" s="2292"/>
      <c r="BB494" s="2292"/>
      <c r="BC494" s="2292"/>
      <c r="BD494" s="2292"/>
      <c r="BE494" s="2292"/>
      <c r="BF494" s="2292"/>
      <c r="BH494" s="1167">
        <f>IF($Y494&lt;&gt;"votre valeur :",IF(ISNA(VLOOKUP($Y494,Utilitaires!$N$566:$O$571,2,FALSE)),,VLOOKUP($Y494,Utilitaires!$N$566:$O$571,2,FALSE)),$Z494)</f>
        <v>0</v>
      </c>
      <c r="BI494" s="2457">
        <f>IF(ISNA(SQRT(SUMSQ(VLOOKUP($B494&amp;"; "&amp;$H$487&amp;", "&amp;H$488,'FE Fret'!$G:$U,7,FALSE),$BH494))),0,SQRT(SUMSQ(VLOOKUP($B494&amp;"; "&amp;$H$487&amp;", "&amp;H$488,'FE Fret'!$G:$U,7,FALSE),$BH494)))</f>
        <v>0</v>
      </c>
      <c r="BJ494" s="2457">
        <f>IF(ISNA(SQRT(SUMSQ(VLOOKUP($B494&amp;"; "&amp;$H$487&amp;", "&amp;I$488,'FE Fret'!$G:$U,7,FALSE),$BH494))),0,SQRT(SUMSQ(VLOOKUP($B494&amp;"; "&amp;$H$487&amp;", "&amp;I$488,'FE Fret'!$G:$U,7,FALSE),$BH494)))</f>
        <v>0.4</v>
      </c>
      <c r="BK494" s="2457">
        <f>IF(ISNA(SQRT(SUMSQ(VLOOKUP($B494&amp;"; "&amp;$H$487&amp;", "&amp;J$488,'FE Fret'!$G:$U,7,FALSE),$BH494))),0,SQRT(SUMSQ(VLOOKUP($B494&amp;"; "&amp;$H$487&amp;", "&amp;J$488,'FE Fret'!$G:$U,7,FALSE),$BH494)))</f>
        <v>0.4</v>
      </c>
    </row>
    <row r="495" spans="1:63" s="130" customFormat="1" ht="15" hidden="1" customHeight="1" outlineLevel="2">
      <c r="A495" s="114"/>
      <c r="B495" s="143" t="s">
        <v>4021</v>
      </c>
      <c r="C495" s="144"/>
      <c r="D495" s="212">
        <f t="shared" si="163"/>
        <v>0</v>
      </c>
      <c r="E495" s="212"/>
      <c r="F495" s="120"/>
      <c r="G495" s="120"/>
      <c r="H495" s="2466">
        <f>IF(ISNA(VLOOKUP($B495&amp;"; "&amp;$H$487&amp;", "&amp;H$488,'FE Fret'!$G:$U,9,FALSE)),0,VLOOKUP($B495&amp;"; "&amp;$H$487&amp;", "&amp;H$488,'FE Fret'!$G:$U,9,FALSE))</f>
        <v>0</v>
      </c>
      <c r="I495" s="2466">
        <f>IF(ISNA(VLOOKUP($B495&amp;"; "&amp;$H$487&amp;", "&amp;I$488,'FE Fret'!$G:$U,9,FALSE)),0,VLOOKUP($B495&amp;"; "&amp;$H$487&amp;", "&amp;I$488,'FE Fret'!$G:$U,9,FALSE))</f>
        <v>3.2000000000000001E-2</v>
      </c>
      <c r="J495" s="2466">
        <f>IF(ISNA(VLOOKUP($B495&amp;"; "&amp;$H$487&amp;", "&amp;J$488,'FE Fret'!$G:$U,9,FALSE)),0,VLOOKUP($B495&amp;"; "&amp;$H$487&amp;", "&amp;J$488,'FE Fret'!$G:$U,9,FALSE))</f>
        <v>0</v>
      </c>
      <c r="K495" s="212">
        <f t="shared" si="164"/>
        <v>0</v>
      </c>
      <c r="L495" s="212">
        <f t="shared" si="165"/>
        <v>0</v>
      </c>
      <c r="M495" s="2467">
        <f t="shared" si="166"/>
        <v>0</v>
      </c>
      <c r="T495" s="114"/>
      <c r="U495" s="114"/>
      <c r="V495" s="114"/>
      <c r="W495" s="114"/>
      <c r="X495" s="1092">
        <f t="shared" si="174"/>
        <v>0</v>
      </c>
      <c r="Y495" s="343"/>
      <c r="Z495" s="820"/>
      <c r="AA495" s="164">
        <f t="shared" si="167"/>
        <v>0</v>
      </c>
      <c r="AB495" s="164">
        <f t="shared" si="168"/>
        <v>0</v>
      </c>
      <c r="AC495" s="164">
        <f t="shared" si="169"/>
        <v>0</v>
      </c>
      <c r="AD495" s="164"/>
      <c r="AE495" s="152">
        <f t="shared" si="170"/>
        <v>0</v>
      </c>
      <c r="AF495" s="114"/>
      <c r="AG495" s="114"/>
      <c r="AH495" s="564">
        <f>$G495*IF(ISNA(VLOOKUP($B495&amp;"; "&amp;$H$487&amp;", "&amp;H$488,'FE Fret'!$G:$U,10,FALSE)),0,VLOOKUP($B495&amp;"; "&amp;$H$487&amp;", "&amp;H$488,'FE Fret'!$G:$U,10,FALSE))</f>
        <v>0</v>
      </c>
      <c r="AI495" s="565">
        <f>$G495*IF(ISNA(VLOOKUP($B495&amp;"; "&amp;$H$487&amp;", "&amp;I$488,'FE Fret'!$G:$U,10,FALSE)),0,VLOOKUP($B495&amp;"; "&amp;$H$487&amp;", "&amp;I$488,'FE Fret'!$G:$U,10,FALSE))</f>
        <v>0</v>
      </c>
      <c r="AJ495" s="565">
        <f>$G495*IF(ISNA(VLOOKUP($B495&amp;"; "&amp;$H$487&amp;", "&amp;J$488,'FE Fret'!$G:$U,10,FALSE)),0,VLOOKUP($B495&amp;"; "&amp;$H$487&amp;", "&amp;J$488,'FE Fret'!$G:$U,10,FALSE))</f>
        <v>0</v>
      </c>
      <c r="AK495" s="565">
        <f>$G495*IF(ISNA(VLOOKUP($B495&amp;"; "&amp;$H$487&amp;", "&amp;H$488,'FE Fret'!$G:$U,11,FALSE)),0,VLOOKUP($B495&amp;"; "&amp;$H$487&amp;", "&amp;H$488,'FE Fret'!$G:$U,11,FALSE))+
$G495*IF(ISNA(VLOOKUP($B495&amp;"; "&amp;$H$487&amp;", "&amp;H$488,'FE Fret'!$G:$U,12,FALSE)),0,VLOOKUP($B495&amp;"; "&amp;$H$487&amp;", "&amp;H$488,'FE Fret'!$G:$U,12,FALSE))</f>
        <v>0</v>
      </c>
      <c r="AL495" s="565">
        <f>$G495*IF(ISNA(VLOOKUP($B495&amp;"; "&amp;$H$487&amp;", "&amp;I$488,'FE Fret'!$G:$U,11,FALSE)),0,VLOOKUP($B495&amp;"; "&amp;$H$487&amp;", "&amp;I$488,'FE Fret'!$G:$U,11,FALSE))+
$G495*IF(ISNA(VLOOKUP($B495&amp;"; "&amp;$H$487&amp;", "&amp;I$488,'FE Fret'!$G:$U,12,FALSE)),0,VLOOKUP($B495&amp;"; "&amp;$H$487&amp;", "&amp;I$488,'FE Fret'!$G:$U,12,FALSE))</f>
        <v>0</v>
      </c>
      <c r="AM495" s="565">
        <f>$G495*IF(ISNA(VLOOKUP($B495&amp;"; "&amp;$H$487&amp;", "&amp;J$488,'FE Fret'!$G:$U,11,FALSE)),0,VLOOKUP($B495&amp;"; "&amp;$H$487&amp;", "&amp;J$488,'FE Fret'!$G:$U,11,FALSE))+
$G495*IF(ISNA(VLOOKUP($B495&amp;"; "&amp;$H$487&amp;", "&amp;J$488,'FE Fret'!$G:$U,12,FALSE)),0,VLOOKUP($B495&amp;"; "&amp;$H$487&amp;", "&amp;J$488,'FE Fret'!$G:$U,12,FALSE))</f>
        <v>0</v>
      </c>
      <c r="AN495" s="565">
        <f>$G495*IF(ISNA(VLOOKUP($B495&amp;"; "&amp;$H$487&amp;", "&amp;H$488,'FE Fret'!$G:$U,13,FALSE)),0,VLOOKUP($B495&amp;"; "&amp;$H$487&amp;", "&amp;H$488,'FE Fret'!$G:$U,13,FALSE))</f>
        <v>0</v>
      </c>
      <c r="AO495" s="565">
        <f>$G495*IF(ISNA(VLOOKUP($B495&amp;"; "&amp;$H$487&amp;", "&amp;I$488,'FE Fret'!$G:$U,13,FALSE)),0,VLOOKUP($B495&amp;"; "&amp;$H$487&amp;", "&amp;I$488,'FE Fret'!$G:$U,13,FALSE))</f>
        <v>0</v>
      </c>
      <c r="AP495" s="565">
        <f>$G495*IF(ISNA(VLOOKUP($B495&amp;"; "&amp;$H$487&amp;", "&amp;J$488,'FE Fret'!$G:$U,13,FALSE)),0,VLOOKUP($B495&amp;"; "&amp;$H$487&amp;", "&amp;J$488,'FE Fret'!$G:$U,13,FALSE))</f>
        <v>0</v>
      </c>
      <c r="AQ495" s="565">
        <f>$G495*IF(ISNA(VLOOKUP($B495&amp;"; "&amp;$H$487&amp;", "&amp;H$488,'FE Fret'!$G:$U,14,FALSE)),0,VLOOKUP($B495&amp;"; "&amp;$H$487&amp;", "&amp;H$488,'FE Fret'!$G:$U,14,FALSE))</f>
        <v>0</v>
      </c>
      <c r="AR495" s="565">
        <f>$G495*IF(ISNA(VLOOKUP($B495&amp;"; "&amp;$H$487&amp;", "&amp;I$488,'FE Fret'!$G:$U,14,FALSE)),0,VLOOKUP($B495&amp;"; "&amp;$H$487&amp;", "&amp;I$488,'FE Fret'!$G:$U,14,FALSE))</f>
        <v>0</v>
      </c>
      <c r="AS495" s="565">
        <f>$G495*IF(ISNA(VLOOKUP($B495&amp;"; "&amp;$H$487&amp;", "&amp;J$488,'FE Fret'!$G:$U,14,FALSE)),0,VLOOKUP($B495&amp;"; "&amp;$H$487&amp;", "&amp;J$488,'FE Fret'!$G:$U,14,FALSE))</f>
        <v>0</v>
      </c>
      <c r="AT495" s="566">
        <f t="shared" si="171"/>
        <v>0</v>
      </c>
      <c r="AU495" s="566">
        <f t="shared" si="172"/>
        <v>0</v>
      </c>
      <c r="AV495" s="567">
        <f t="shared" si="173"/>
        <v>0</v>
      </c>
      <c r="AW495" s="565">
        <f>$G495*IF(ISNA(VLOOKUP($B495&amp;"; "&amp;$H$487&amp;", "&amp;H$488,'FE Fret'!$G:$U,15,FALSE)),0,VLOOKUP($B495&amp;"; "&amp;$H$487&amp;", "&amp;H$488,'FE Fret'!$G:$U,15,FALSE))</f>
        <v>0</v>
      </c>
      <c r="AX495" s="565">
        <f>$G495*IF(ISNA(VLOOKUP($B495&amp;"; "&amp;$H$487&amp;", "&amp;I$488,'FE Fret'!$G:$U,15,FALSE)),0,VLOOKUP($B495&amp;"; "&amp;$H$487&amp;", "&amp;I$488,'FE Fret'!$G:$U,15,FALSE))</f>
        <v>0</v>
      </c>
      <c r="AY495" s="568">
        <f>$G495*IF(ISNA(VLOOKUP($B495&amp;"; "&amp;$H$487&amp;", "&amp;J$488,'FE Fret'!$G:$U,15,FALSE)),0,VLOOKUP($B495&amp;"; "&amp;$H$487&amp;", "&amp;J$488,'FE Fret'!$G:$U,15,FALSE))</f>
        <v>0</v>
      </c>
      <c r="AZ495" s="2292"/>
      <c r="BA495" s="2292"/>
      <c r="BB495" s="2292"/>
      <c r="BC495" s="2292"/>
      <c r="BD495" s="2292"/>
      <c r="BE495" s="2292"/>
      <c r="BF495" s="2292"/>
      <c r="BH495" s="1167">
        <f>IF($Y495&lt;&gt;"votre valeur :",IF(ISNA(VLOOKUP($Y495,Utilitaires!$N$566:$O$571,2,FALSE)),,VLOOKUP($Y495,Utilitaires!$N$566:$O$571,2,FALSE)),$Z495)</f>
        <v>0</v>
      </c>
      <c r="BI495" s="2457">
        <f>IF(ISNA(SQRT(SUMSQ(VLOOKUP($B495&amp;"; "&amp;$H$487&amp;", "&amp;H$488,'FE Fret'!$G:$U,7,FALSE),$BH495))),0,SQRT(SUMSQ(VLOOKUP($B495&amp;"; "&amp;$H$487&amp;", "&amp;H$488,'FE Fret'!$G:$U,7,FALSE),$BH495)))</f>
        <v>0</v>
      </c>
      <c r="BJ495" s="2457">
        <f>IF(ISNA(SQRT(SUMSQ(VLOOKUP($B495&amp;"; "&amp;$H$487&amp;", "&amp;I$488,'FE Fret'!$G:$U,7,FALSE),$BH495))),0,SQRT(SUMSQ(VLOOKUP($B495&amp;"; "&amp;$H$487&amp;", "&amp;I$488,'FE Fret'!$G:$U,7,FALSE),$BH495)))</f>
        <v>0.5</v>
      </c>
      <c r="BK495" s="2457">
        <f>IF(ISNA(SQRT(SUMSQ(VLOOKUP($B495&amp;"; "&amp;$H$487&amp;", "&amp;J$488,'FE Fret'!$G:$U,7,FALSE),$BH495))),0,SQRT(SUMSQ(VLOOKUP($B495&amp;"; "&amp;$H$487&amp;", "&amp;J$488,'FE Fret'!$G:$U,7,FALSE),$BH495)))</f>
        <v>0</v>
      </c>
    </row>
    <row r="496" spans="1:63" s="130" customFormat="1" ht="15" hidden="1" customHeight="1" outlineLevel="2">
      <c r="A496" s="114"/>
      <c r="B496" s="143" t="s">
        <v>4025</v>
      </c>
      <c r="C496" s="144"/>
      <c r="D496" s="212">
        <f t="shared" si="163"/>
        <v>0</v>
      </c>
      <c r="E496" s="212"/>
      <c r="F496" s="120"/>
      <c r="G496" s="120"/>
      <c r="H496" s="2466">
        <f>IF(ISNA(VLOOKUP($B496&amp;"; "&amp;$H$487&amp;", "&amp;H$488,'FE Fret'!$G:$U,9,FALSE)),0,VLOOKUP($B496&amp;"; "&amp;$H$487&amp;", "&amp;H$488,'FE Fret'!$G:$U,9,FALSE))</f>
        <v>0</v>
      </c>
      <c r="I496" s="2466">
        <f>IF(ISNA(VLOOKUP($B496&amp;"; "&amp;$H$487&amp;", "&amp;I$488,'FE Fret'!$G:$U,9,FALSE)),0,VLOOKUP($B496&amp;"; "&amp;$H$487&amp;", "&amp;I$488,'FE Fret'!$G:$U,9,FALSE))</f>
        <v>4.28E-3</v>
      </c>
      <c r="J496" s="2466">
        <f>IF(ISNA(VLOOKUP($B496&amp;"; "&amp;$H$487&amp;", "&amp;J$488,'FE Fret'!$G:$U,9,FALSE)),0,VLOOKUP($B496&amp;"; "&amp;$H$487&amp;", "&amp;J$488,'FE Fret'!$G:$U,9,FALSE))</f>
        <v>0</v>
      </c>
      <c r="K496" s="212">
        <f t="shared" si="164"/>
        <v>0</v>
      </c>
      <c r="L496" s="212">
        <f t="shared" si="165"/>
        <v>0</v>
      </c>
      <c r="M496" s="2467">
        <f t="shared" si="166"/>
        <v>0</v>
      </c>
      <c r="T496" s="114"/>
      <c r="U496" s="114"/>
      <c r="V496" s="114"/>
      <c r="W496" s="114"/>
      <c r="X496" s="1092">
        <f t="shared" si="174"/>
        <v>0</v>
      </c>
      <c r="Y496" s="1094"/>
      <c r="Z496" s="820"/>
      <c r="AA496" s="164">
        <f t="shared" si="167"/>
        <v>0</v>
      </c>
      <c r="AB496" s="164">
        <f t="shared" si="168"/>
        <v>0</v>
      </c>
      <c r="AC496" s="164">
        <f t="shared" si="169"/>
        <v>0</v>
      </c>
      <c r="AD496" s="164"/>
      <c r="AE496" s="152">
        <f t="shared" si="170"/>
        <v>0</v>
      </c>
      <c r="AF496" s="114"/>
      <c r="AG496" s="114"/>
      <c r="AH496" s="564">
        <f>$G496*IF(ISNA(VLOOKUP($B496&amp;"; "&amp;$H$487&amp;", "&amp;H$488,'FE Fret'!$G:$U,10,FALSE)),0,VLOOKUP($B496&amp;"; "&amp;$H$487&amp;", "&amp;H$488,'FE Fret'!$G:$U,10,FALSE))</f>
        <v>0</v>
      </c>
      <c r="AI496" s="565">
        <f>$G496*IF(ISNA(VLOOKUP($B496&amp;"; "&amp;$H$487&amp;", "&amp;I$488,'FE Fret'!$G:$U,10,FALSE)),0,VLOOKUP($B496&amp;"; "&amp;$H$487&amp;", "&amp;I$488,'FE Fret'!$G:$U,10,FALSE))</f>
        <v>0</v>
      </c>
      <c r="AJ496" s="565">
        <f>$G496*IF(ISNA(VLOOKUP($B496&amp;"; "&amp;$H$487&amp;", "&amp;J$488,'FE Fret'!$G:$U,10,FALSE)),0,VLOOKUP($B496&amp;"; "&amp;$H$487&amp;", "&amp;J$488,'FE Fret'!$G:$U,10,FALSE))</f>
        <v>0</v>
      </c>
      <c r="AK496" s="565">
        <f>$G496*IF(ISNA(VLOOKUP($B496&amp;"; "&amp;$H$487&amp;", "&amp;H$488,'FE Fret'!$G:$U,11,FALSE)),0,VLOOKUP($B496&amp;"; "&amp;$H$487&amp;", "&amp;H$488,'FE Fret'!$G:$U,11,FALSE))+
$G496*IF(ISNA(VLOOKUP($B496&amp;"; "&amp;$H$487&amp;", "&amp;H$488,'FE Fret'!$G:$U,12,FALSE)),0,VLOOKUP($B496&amp;"; "&amp;$H$487&amp;", "&amp;H$488,'FE Fret'!$G:$U,12,FALSE))</f>
        <v>0</v>
      </c>
      <c r="AL496" s="565">
        <f>$G496*IF(ISNA(VLOOKUP($B496&amp;"; "&amp;$H$487&amp;", "&amp;I$488,'FE Fret'!$G:$U,11,FALSE)),0,VLOOKUP($B496&amp;"; "&amp;$H$487&amp;", "&amp;I$488,'FE Fret'!$G:$U,11,FALSE))+
$G496*IF(ISNA(VLOOKUP($B496&amp;"; "&amp;$H$487&amp;", "&amp;I$488,'FE Fret'!$G:$U,12,FALSE)),0,VLOOKUP($B496&amp;"; "&amp;$H$487&amp;", "&amp;I$488,'FE Fret'!$G:$U,12,FALSE))</f>
        <v>0</v>
      </c>
      <c r="AM496" s="565">
        <f>$G496*IF(ISNA(VLOOKUP($B496&amp;"; "&amp;$H$487&amp;", "&amp;J$488,'FE Fret'!$G:$U,11,FALSE)),0,VLOOKUP($B496&amp;"; "&amp;$H$487&amp;", "&amp;J$488,'FE Fret'!$G:$U,11,FALSE))+
$G496*IF(ISNA(VLOOKUP($B496&amp;"; "&amp;$H$487&amp;", "&amp;J$488,'FE Fret'!$G:$U,12,FALSE)),0,VLOOKUP($B496&amp;"; "&amp;$H$487&amp;", "&amp;J$488,'FE Fret'!$G:$U,12,FALSE))</f>
        <v>0</v>
      </c>
      <c r="AN496" s="565">
        <f>$G496*IF(ISNA(VLOOKUP($B496&amp;"; "&amp;$H$487&amp;", "&amp;H$488,'FE Fret'!$G:$U,13,FALSE)),0,VLOOKUP($B496&amp;"; "&amp;$H$487&amp;", "&amp;H$488,'FE Fret'!$G:$U,13,FALSE))</f>
        <v>0</v>
      </c>
      <c r="AO496" s="565">
        <f>$G496*IF(ISNA(VLOOKUP($B496&amp;"; "&amp;$H$487&amp;", "&amp;I$488,'FE Fret'!$G:$U,13,FALSE)),0,VLOOKUP($B496&amp;"; "&amp;$H$487&amp;", "&amp;I$488,'FE Fret'!$G:$U,13,FALSE))</f>
        <v>0</v>
      </c>
      <c r="AP496" s="565">
        <f>$G496*IF(ISNA(VLOOKUP($B496&amp;"; "&amp;$H$487&amp;", "&amp;J$488,'FE Fret'!$G:$U,13,FALSE)),0,VLOOKUP($B496&amp;"; "&amp;$H$487&amp;", "&amp;J$488,'FE Fret'!$G:$U,13,FALSE))</f>
        <v>0</v>
      </c>
      <c r="AQ496" s="565">
        <f>$G496*IF(ISNA(VLOOKUP($B496&amp;"; "&amp;$H$487&amp;", "&amp;H$488,'FE Fret'!$G:$U,14,FALSE)),0,VLOOKUP($B496&amp;"; "&amp;$H$487&amp;", "&amp;H$488,'FE Fret'!$G:$U,14,FALSE))</f>
        <v>0</v>
      </c>
      <c r="AR496" s="565">
        <f>$G496*IF(ISNA(VLOOKUP($B496&amp;"; "&amp;$H$487&amp;", "&amp;I$488,'FE Fret'!$G:$U,14,FALSE)),0,VLOOKUP($B496&amp;"; "&amp;$H$487&amp;", "&amp;I$488,'FE Fret'!$G:$U,14,FALSE))</f>
        <v>0</v>
      </c>
      <c r="AS496" s="565">
        <f>$G496*IF(ISNA(VLOOKUP($B496&amp;"; "&amp;$H$487&amp;", "&amp;J$488,'FE Fret'!$G:$U,14,FALSE)),0,VLOOKUP($B496&amp;"; "&amp;$H$487&amp;", "&amp;J$488,'FE Fret'!$G:$U,14,FALSE))</f>
        <v>0</v>
      </c>
      <c r="AT496" s="566">
        <f t="shared" si="171"/>
        <v>0</v>
      </c>
      <c r="AU496" s="566">
        <f t="shared" si="172"/>
        <v>0</v>
      </c>
      <c r="AV496" s="567">
        <f t="shared" si="173"/>
        <v>0</v>
      </c>
      <c r="AW496" s="565">
        <f>$G496*IF(ISNA(VLOOKUP($B496&amp;"; "&amp;$H$487&amp;", "&amp;H$488,'FE Fret'!$G:$U,15,FALSE)),0,VLOOKUP($B496&amp;"; "&amp;$H$487&amp;", "&amp;H$488,'FE Fret'!$G:$U,15,FALSE))</f>
        <v>0</v>
      </c>
      <c r="AX496" s="565">
        <f>$G496*IF(ISNA(VLOOKUP($B496&amp;"; "&amp;$H$487&amp;", "&amp;I$488,'FE Fret'!$G:$U,15,FALSE)),0,VLOOKUP($B496&amp;"; "&amp;$H$487&amp;", "&amp;I$488,'FE Fret'!$G:$U,15,FALSE))</f>
        <v>0</v>
      </c>
      <c r="AY496" s="568">
        <f>$G496*IF(ISNA(VLOOKUP($B496&amp;"; "&amp;$H$487&amp;", "&amp;J$488,'FE Fret'!$G:$U,15,FALSE)),0,VLOOKUP($B496&amp;"; "&amp;$H$487&amp;", "&amp;J$488,'FE Fret'!$G:$U,15,FALSE))</f>
        <v>0</v>
      </c>
      <c r="AZ496" s="2292"/>
      <c r="BA496" s="2292"/>
      <c r="BB496" s="2292"/>
      <c r="BC496" s="2292"/>
      <c r="BD496" s="2292"/>
      <c r="BE496" s="2292"/>
      <c r="BF496" s="2292"/>
      <c r="BH496" s="1167">
        <f>IF($Y496&lt;&gt;"votre valeur :",IF(ISNA(VLOOKUP($Y496,Utilitaires!$N$566:$O$571,2,FALSE)),,VLOOKUP($Y496,Utilitaires!$N$566:$O$571,2,FALSE)),$Z496)</f>
        <v>0</v>
      </c>
      <c r="BI496" s="2457">
        <f>IF(ISNA(SQRT(SUMSQ(VLOOKUP($B496&amp;"; "&amp;$H$487&amp;", "&amp;H$488,'FE Fret'!$G:$U,7,FALSE),$BH496))),0,SQRT(SUMSQ(VLOOKUP($B496&amp;"; "&amp;$H$487&amp;", "&amp;H$488,'FE Fret'!$G:$U,7,FALSE),$BH496)))</f>
        <v>0</v>
      </c>
      <c r="BJ496" s="2457">
        <f>IF(ISNA(SQRT(SUMSQ(VLOOKUP($B496&amp;"; "&amp;$H$487&amp;", "&amp;I$488,'FE Fret'!$G:$U,7,FALSE),$BH496))),0,SQRT(SUMSQ(VLOOKUP($B496&amp;"; "&amp;$H$487&amp;", "&amp;I$488,'FE Fret'!$G:$U,7,FALSE),$BH496)))</f>
        <v>0.5</v>
      </c>
      <c r="BK496" s="2457">
        <f>IF(ISNA(SQRT(SUMSQ(VLOOKUP($B496&amp;"; "&amp;$H$487&amp;", "&amp;J$488,'FE Fret'!$G:$U,7,FALSE),$BH496))),0,SQRT(SUMSQ(VLOOKUP($B496&amp;"; "&amp;$H$487&amp;", "&amp;J$488,'FE Fret'!$G:$U,7,FALSE),$BH496)))</f>
        <v>0</v>
      </c>
    </row>
    <row r="497" spans="1:68" s="130" customFormat="1" ht="15" hidden="1" customHeight="1" outlineLevel="2">
      <c r="A497" s="114"/>
      <c r="B497" s="143" t="s">
        <v>4026</v>
      </c>
      <c r="C497" s="144"/>
      <c r="D497" s="212">
        <f t="shared" si="163"/>
        <v>0</v>
      </c>
      <c r="E497" s="212"/>
      <c r="F497" s="123"/>
      <c r="G497" s="123"/>
      <c r="H497" s="2466">
        <f>IF(ISNA(VLOOKUP($B497&amp;"; "&amp;$H$487&amp;", "&amp;H$488,'FE Fret'!$G:$U,9,FALSE)),0,VLOOKUP($B497&amp;"; "&amp;$H$487&amp;", "&amp;H$488,'FE Fret'!$G:$U,9,FALSE))</f>
        <v>0</v>
      </c>
      <c r="I497" s="2466">
        <f>IF(ISNA(VLOOKUP($B497&amp;"; "&amp;$H$487&amp;", "&amp;I$488,'FE Fret'!$G:$U,9,FALSE)),0,VLOOKUP($B497&amp;"; "&amp;$H$487&amp;", "&amp;I$488,'FE Fret'!$G:$U,9,FALSE))</f>
        <v>4.4400000000000002E-2</v>
      </c>
      <c r="J497" s="2466">
        <f>IF(ISNA(VLOOKUP($B497&amp;"; "&amp;$H$487&amp;", "&amp;J$488,'FE Fret'!$G:$U,9,FALSE)),0,VLOOKUP($B497&amp;"; "&amp;$H$487&amp;", "&amp;J$488,'FE Fret'!$G:$U,9,FALSE))</f>
        <v>0</v>
      </c>
      <c r="K497" s="212">
        <f t="shared" si="164"/>
        <v>0</v>
      </c>
      <c r="L497" s="212">
        <f t="shared" si="165"/>
        <v>0</v>
      </c>
      <c r="M497" s="2467">
        <f t="shared" si="166"/>
        <v>0</v>
      </c>
      <c r="T497" s="114"/>
      <c r="U497" s="114"/>
      <c r="V497" s="114"/>
      <c r="W497" s="114"/>
      <c r="X497" s="1092">
        <f t="shared" si="174"/>
        <v>0</v>
      </c>
      <c r="Y497" s="1094"/>
      <c r="Z497" s="820"/>
      <c r="AA497" s="164">
        <f t="shared" si="167"/>
        <v>0</v>
      </c>
      <c r="AB497" s="164">
        <f t="shared" si="168"/>
        <v>0</v>
      </c>
      <c r="AC497" s="164">
        <f t="shared" si="169"/>
        <v>0</v>
      </c>
      <c r="AD497" s="164"/>
      <c r="AE497" s="152">
        <f t="shared" si="170"/>
        <v>0</v>
      </c>
      <c r="AF497" s="114"/>
      <c r="AG497" s="114"/>
      <c r="AH497" s="564">
        <f>$G497*IF(ISNA(VLOOKUP($B497&amp;"; "&amp;$H$487&amp;", "&amp;H$488,'FE Fret'!$G:$U,10,FALSE)),0,VLOOKUP($B497&amp;"; "&amp;$H$487&amp;", "&amp;H$488,'FE Fret'!$G:$U,10,FALSE))</f>
        <v>0</v>
      </c>
      <c r="AI497" s="565">
        <f>$G497*IF(ISNA(VLOOKUP($B497&amp;"; "&amp;$H$487&amp;", "&amp;I$488,'FE Fret'!$G:$U,10,FALSE)),0,VLOOKUP($B497&amp;"; "&amp;$H$487&amp;", "&amp;I$488,'FE Fret'!$G:$U,10,FALSE))</f>
        <v>0</v>
      </c>
      <c r="AJ497" s="565">
        <f>$G497*IF(ISNA(VLOOKUP($B497&amp;"; "&amp;$H$487&amp;", "&amp;J$488,'FE Fret'!$G:$U,10,FALSE)),0,VLOOKUP($B497&amp;"; "&amp;$H$487&amp;", "&amp;J$488,'FE Fret'!$G:$U,10,FALSE))</f>
        <v>0</v>
      </c>
      <c r="AK497" s="565">
        <f>$G497*IF(ISNA(VLOOKUP($B497&amp;"; "&amp;$H$487&amp;", "&amp;H$488,'FE Fret'!$G:$U,11,FALSE)),0,VLOOKUP($B497&amp;"; "&amp;$H$487&amp;", "&amp;H$488,'FE Fret'!$G:$U,11,FALSE))+
$G497*IF(ISNA(VLOOKUP($B497&amp;"; "&amp;$H$487&amp;", "&amp;H$488,'FE Fret'!$G:$U,12,FALSE)),0,VLOOKUP($B497&amp;"; "&amp;$H$487&amp;", "&amp;H$488,'FE Fret'!$G:$U,12,FALSE))</f>
        <v>0</v>
      </c>
      <c r="AL497" s="565">
        <f>$G497*IF(ISNA(VLOOKUP($B497&amp;"; "&amp;$H$487&amp;", "&amp;I$488,'FE Fret'!$G:$U,11,FALSE)),0,VLOOKUP($B497&amp;"; "&amp;$H$487&amp;", "&amp;I$488,'FE Fret'!$G:$U,11,FALSE))+
$G497*IF(ISNA(VLOOKUP($B497&amp;"; "&amp;$H$487&amp;", "&amp;I$488,'FE Fret'!$G:$U,12,FALSE)),0,VLOOKUP($B497&amp;"; "&amp;$H$487&amp;", "&amp;I$488,'FE Fret'!$G:$U,12,FALSE))</f>
        <v>0</v>
      </c>
      <c r="AM497" s="565">
        <f>$G497*IF(ISNA(VLOOKUP($B497&amp;"; "&amp;$H$487&amp;", "&amp;J$488,'FE Fret'!$G:$U,11,FALSE)),0,VLOOKUP($B497&amp;"; "&amp;$H$487&amp;", "&amp;J$488,'FE Fret'!$G:$U,11,FALSE))+
$G497*IF(ISNA(VLOOKUP($B497&amp;"; "&amp;$H$487&amp;", "&amp;J$488,'FE Fret'!$G:$U,12,FALSE)),0,VLOOKUP($B497&amp;"; "&amp;$H$487&amp;", "&amp;J$488,'FE Fret'!$G:$U,12,FALSE))</f>
        <v>0</v>
      </c>
      <c r="AN497" s="565">
        <f>$G497*IF(ISNA(VLOOKUP($B497&amp;"; "&amp;$H$487&amp;", "&amp;H$488,'FE Fret'!$G:$U,13,FALSE)),0,VLOOKUP($B497&amp;"; "&amp;$H$487&amp;", "&amp;H$488,'FE Fret'!$G:$U,13,FALSE))</f>
        <v>0</v>
      </c>
      <c r="AO497" s="565">
        <f>$G497*IF(ISNA(VLOOKUP($B497&amp;"; "&amp;$H$487&amp;", "&amp;I$488,'FE Fret'!$G:$U,13,FALSE)),0,VLOOKUP($B497&amp;"; "&amp;$H$487&amp;", "&amp;I$488,'FE Fret'!$G:$U,13,FALSE))</f>
        <v>0</v>
      </c>
      <c r="AP497" s="565">
        <f>$G497*IF(ISNA(VLOOKUP($B497&amp;"; "&amp;$H$487&amp;", "&amp;J$488,'FE Fret'!$G:$U,13,FALSE)),0,VLOOKUP($B497&amp;"; "&amp;$H$487&amp;", "&amp;J$488,'FE Fret'!$G:$U,13,FALSE))</f>
        <v>0</v>
      </c>
      <c r="AQ497" s="565">
        <f>$G497*IF(ISNA(VLOOKUP($B497&amp;"; "&amp;$H$487&amp;", "&amp;H$488,'FE Fret'!$G:$U,14,FALSE)),0,VLOOKUP($B497&amp;"; "&amp;$H$487&amp;", "&amp;H$488,'FE Fret'!$G:$U,14,FALSE))</f>
        <v>0</v>
      </c>
      <c r="AR497" s="565">
        <f>$G497*IF(ISNA(VLOOKUP($B497&amp;"; "&amp;$H$487&amp;", "&amp;I$488,'FE Fret'!$G:$U,14,FALSE)),0,VLOOKUP($B497&amp;"; "&amp;$H$487&amp;", "&amp;I$488,'FE Fret'!$G:$U,14,FALSE))</f>
        <v>0</v>
      </c>
      <c r="AS497" s="565">
        <f>$G497*IF(ISNA(VLOOKUP($B497&amp;"; "&amp;$H$487&amp;", "&amp;J$488,'FE Fret'!$G:$U,14,FALSE)),0,VLOOKUP($B497&amp;"; "&amp;$H$487&amp;", "&amp;J$488,'FE Fret'!$G:$U,14,FALSE))</f>
        <v>0</v>
      </c>
      <c r="AT497" s="566">
        <f t="shared" si="171"/>
        <v>0</v>
      </c>
      <c r="AU497" s="566">
        <f t="shared" si="172"/>
        <v>0</v>
      </c>
      <c r="AV497" s="567">
        <f t="shared" si="173"/>
        <v>0</v>
      </c>
      <c r="AW497" s="565">
        <f>$G497*IF(ISNA(VLOOKUP($B497&amp;"; "&amp;$H$487&amp;", "&amp;H$488,'FE Fret'!$G:$U,15,FALSE)),0,VLOOKUP($B497&amp;"; "&amp;$H$487&amp;", "&amp;H$488,'FE Fret'!$G:$U,15,FALSE))</f>
        <v>0</v>
      </c>
      <c r="AX497" s="565">
        <f>$G497*IF(ISNA(VLOOKUP($B497&amp;"; "&amp;$H$487&amp;", "&amp;I$488,'FE Fret'!$G:$U,15,FALSE)),0,VLOOKUP($B497&amp;"; "&amp;$H$487&amp;", "&amp;I$488,'FE Fret'!$G:$U,15,FALSE))</f>
        <v>0</v>
      </c>
      <c r="AY497" s="568">
        <f>$G497*IF(ISNA(VLOOKUP($B497&amp;"; "&amp;$H$487&amp;", "&amp;J$488,'FE Fret'!$G:$U,15,FALSE)),0,VLOOKUP($B497&amp;"; "&amp;$H$487&amp;", "&amp;J$488,'FE Fret'!$G:$U,15,FALSE))</f>
        <v>0</v>
      </c>
      <c r="AZ497" s="2292"/>
      <c r="BA497" s="2292"/>
      <c r="BB497" s="2292"/>
      <c r="BC497" s="2292"/>
      <c r="BD497" s="2292"/>
      <c r="BE497" s="2292"/>
      <c r="BF497" s="2292"/>
      <c r="BH497" s="1167">
        <f>IF($Y497&lt;&gt;"votre valeur :",IF(ISNA(VLOOKUP($Y497,Utilitaires!$N$566:$O$571,2,FALSE)),,VLOOKUP($Y497,Utilitaires!$N$566:$O$571,2,FALSE)),$Z497)</f>
        <v>0</v>
      </c>
      <c r="BI497" s="2457">
        <f>IF(ISNA(SQRT(SUMSQ(VLOOKUP($B497&amp;"; "&amp;$H$487&amp;", "&amp;H$488,'FE Fret'!$G:$U,7,FALSE),$BH497))),0,SQRT(SUMSQ(VLOOKUP($B497&amp;"; "&amp;$H$487&amp;", "&amp;H$488,'FE Fret'!$G:$U,7,FALSE),$BH497)))</f>
        <v>0</v>
      </c>
      <c r="BJ497" s="2457">
        <f>IF(ISNA(SQRT(SUMSQ(VLOOKUP($B497&amp;"; "&amp;$H$487&amp;", "&amp;I$488,'FE Fret'!$G:$U,7,FALSE),$BH497))),0,SQRT(SUMSQ(VLOOKUP($B497&amp;"; "&amp;$H$487&amp;", "&amp;I$488,'FE Fret'!$G:$U,7,FALSE),$BH497)))</f>
        <v>0.5</v>
      </c>
      <c r="BK497" s="2457">
        <f>IF(ISNA(SQRT(SUMSQ(VLOOKUP($B497&amp;"; "&amp;$H$487&amp;", "&amp;J$488,'FE Fret'!$G:$U,7,FALSE),$BH497))),0,SQRT(SUMSQ(VLOOKUP($B497&amp;"; "&amp;$H$487&amp;", "&amp;J$488,'FE Fret'!$G:$U,7,FALSE),$BH497)))</f>
        <v>0</v>
      </c>
    </row>
    <row r="498" spans="1:68" ht="12.75" hidden="1" customHeight="1" outlineLevel="2">
      <c r="B498" s="143"/>
      <c r="C498" s="144"/>
      <c r="D498" s="212"/>
      <c r="E498" s="212"/>
      <c r="F498" s="353"/>
      <c r="G498" s="144"/>
      <c r="H498" s="144"/>
      <c r="I498" s="212"/>
      <c r="J498" s="212"/>
      <c r="K498" s="212"/>
      <c r="L498" s="212"/>
      <c r="M498" s="165"/>
      <c r="X498" s="1092"/>
      <c r="Y498" s="155"/>
      <c r="Z498" s="169"/>
      <c r="AA498" s="155"/>
      <c r="AB498" s="155"/>
      <c r="AC498" s="155"/>
      <c r="AD498" s="155"/>
      <c r="AE498" s="165"/>
      <c r="AH498" s="569"/>
      <c r="AI498" s="625"/>
      <c r="AJ498" s="625"/>
      <c r="AK498" s="625"/>
      <c r="AL498" s="625"/>
      <c r="AM498" s="625"/>
      <c r="AN498" s="625"/>
      <c r="AO498" s="625"/>
      <c r="AP498" s="625"/>
      <c r="AQ498" s="625"/>
      <c r="AR498" s="625"/>
      <c r="AS498" s="625"/>
      <c r="AT498" s="1313"/>
      <c r="AU498" s="1313"/>
      <c r="AV498" s="1314"/>
      <c r="AW498" s="565"/>
      <c r="AX498" s="565"/>
      <c r="AY498" s="568"/>
      <c r="AZ498" s="2292"/>
      <c r="BA498" s="2292"/>
      <c r="BB498" s="2292"/>
      <c r="BC498" s="2292"/>
      <c r="BD498" s="2292"/>
      <c r="BE498" s="2292"/>
      <c r="BF498" s="2292"/>
      <c r="BH498" s="1167"/>
      <c r="BI498" s="2457"/>
      <c r="BJ498" s="2457"/>
      <c r="BK498" s="2457"/>
    </row>
    <row r="499" spans="1:68" s="116" customFormat="1" ht="12.75" hidden="1" customHeight="1" outlineLevel="2">
      <c r="A499" s="114"/>
      <c r="B499" s="196" t="s">
        <v>348</v>
      </c>
      <c r="C499" s="197"/>
      <c r="D499" s="214">
        <f>SUM(D489:D498)</f>
        <v>0</v>
      </c>
      <c r="E499" s="214"/>
      <c r="F499" s="198"/>
      <c r="G499" s="197"/>
      <c r="H499" s="197"/>
      <c r="I499" s="214"/>
      <c r="J499" s="214"/>
      <c r="K499" s="202">
        <f>SUM(K489:K498)</f>
        <v>0</v>
      </c>
      <c r="L499" s="202">
        <f>SUM(L489:L498)</f>
        <v>0</v>
      </c>
      <c r="M499" s="200">
        <f>SUM(M489:M498)</f>
        <v>0</v>
      </c>
      <c r="T499" s="114"/>
      <c r="U499" s="114"/>
      <c r="V499" s="114"/>
      <c r="W499" s="114"/>
      <c r="X499" s="1204">
        <f>IF(AE499=0,AE499,AE499/D499)</f>
        <v>0</v>
      </c>
      <c r="Y499" s="199"/>
      <c r="Z499" s="199"/>
      <c r="AA499" s="203"/>
      <c r="AB499" s="203"/>
      <c r="AC499" s="203"/>
      <c r="AD499" s="203"/>
      <c r="AE499" s="200">
        <f>SQRT(SUMSQ(AE489:AE498))</f>
        <v>0</v>
      </c>
      <c r="AF499" s="114"/>
      <c r="AG499" s="114"/>
      <c r="AH499" s="1308">
        <f t="shared" ref="AH499:AY499" si="175">SUM(AH489:AH498)</f>
        <v>0</v>
      </c>
      <c r="AI499" s="1309">
        <f t="shared" si="175"/>
        <v>0</v>
      </c>
      <c r="AJ499" s="1309">
        <f t="shared" si="175"/>
        <v>0</v>
      </c>
      <c r="AK499" s="1309">
        <f t="shared" si="175"/>
        <v>0</v>
      </c>
      <c r="AL499" s="1309">
        <f t="shared" si="175"/>
        <v>0</v>
      </c>
      <c r="AM499" s="1309">
        <f t="shared" si="175"/>
        <v>0</v>
      </c>
      <c r="AN499" s="1309">
        <f t="shared" si="175"/>
        <v>0</v>
      </c>
      <c r="AO499" s="1309">
        <f t="shared" si="175"/>
        <v>0</v>
      </c>
      <c r="AP499" s="1309">
        <f t="shared" si="175"/>
        <v>0</v>
      </c>
      <c r="AQ499" s="1309">
        <f t="shared" si="175"/>
        <v>0</v>
      </c>
      <c r="AR499" s="572">
        <f t="shared" si="175"/>
        <v>0</v>
      </c>
      <c r="AS499" s="572">
        <f t="shared" si="175"/>
        <v>0</v>
      </c>
      <c r="AT499" s="573">
        <f t="shared" si="175"/>
        <v>0</v>
      </c>
      <c r="AU499" s="1312">
        <f t="shared" si="175"/>
        <v>0</v>
      </c>
      <c r="AV499" s="1312">
        <f t="shared" si="175"/>
        <v>0</v>
      </c>
      <c r="AW499" s="1082">
        <f t="shared" si="175"/>
        <v>0</v>
      </c>
      <c r="AX499" s="572">
        <f t="shared" si="175"/>
        <v>0</v>
      </c>
      <c r="AY499" s="575">
        <f t="shared" si="175"/>
        <v>0</v>
      </c>
      <c r="AZ499" s="2292"/>
      <c r="BA499" s="2292"/>
      <c r="BB499" s="2292"/>
      <c r="BC499" s="2292"/>
      <c r="BD499" s="2292"/>
      <c r="BE499" s="2292"/>
      <c r="BF499" s="2292"/>
      <c r="BH499" s="2455"/>
      <c r="BI499" s="2458"/>
      <c r="BJ499" s="1153"/>
      <c r="BK499" s="2459"/>
    </row>
    <row r="500" spans="1:68" ht="15" hidden="1" customHeight="1" outlineLevel="2">
      <c r="AG500" s="130"/>
      <c r="AT500" s="588"/>
      <c r="BH500" s="109"/>
      <c r="BI500" s="109"/>
      <c r="BJ500" s="109"/>
      <c r="BK500" s="109"/>
    </row>
    <row r="501" spans="1:68" s="116" customFormat="1" outlineLevel="1" collapsed="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441"/>
      <c r="AI501" s="441"/>
      <c r="AJ501" s="441"/>
      <c r="AK501" s="441"/>
      <c r="AL501" s="441"/>
      <c r="AM501" s="441"/>
      <c r="AN501" s="441"/>
      <c r="AO501" s="441"/>
      <c r="AP501" s="441"/>
      <c r="AQ501" s="441"/>
      <c r="AR501" s="444"/>
      <c r="AS501" s="441"/>
      <c r="AT501" s="588"/>
      <c r="AU501" s="588"/>
      <c r="AV501" s="588"/>
      <c r="AW501" s="588"/>
      <c r="AX501" s="588"/>
      <c r="AY501" s="588"/>
      <c r="AZ501" s="588"/>
      <c r="BA501" s="588"/>
      <c r="BB501" s="588"/>
      <c r="BC501" s="588"/>
      <c r="BD501" s="588"/>
      <c r="BE501" s="588"/>
      <c r="BF501" s="588"/>
      <c r="BG501" s="109"/>
      <c r="BH501" s="114"/>
      <c r="BI501" s="114"/>
      <c r="BJ501" s="114"/>
      <c r="BK501" s="114"/>
    </row>
    <row r="502" spans="1:68" s="109" customFormat="1" ht="15.75" customHeight="1" outlineLevel="1" collapsed="1">
      <c r="A502" s="114"/>
      <c r="B502" s="2842" t="s">
        <v>2326</v>
      </c>
      <c r="C502" s="2843"/>
      <c r="D502" s="2843"/>
      <c r="E502" s="2843"/>
      <c r="F502" s="2843"/>
      <c r="G502" s="2843"/>
      <c r="H502" s="2843"/>
      <c r="I502" s="2843"/>
      <c r="J502" s="2843"/>
      <c r="K502" s="2843"/>
      <c r="L502" s="2843"/>
      <c r="M502" s="2843"/>
      <c r="N502" s="2843"/>
      <c r="O502" s="2844"/>
      <c r="P502" s="130"/>
      <c r="Q502" s="130"/>
      <c r="R502" s="130"/>
      <c r="S502" s="130"/>
      <c r="T502" s="130"/>
      <c r="U502" s="130"/>
      <c r="V502" s="130"/>
      <c r="W502" s="130"/>
      <c r="X502" s="130"/>
      <c r="Y502" s="130"/>
      <c r="Z502" s="130"/>
      <c r="AA502" s="130"/>
      <c r="AB502" s="130"/>
      <c r="AC502" s="130"/>
      <c r="AD502" s="130"/>
      <c r="AE502" s="130"/>
      <c r="AF502" s="130"/>
      <c r="AG502" s="116"/>
      <c r="AH502" s="441"/>
      <c r="AI502" s="441"/>
      <c r="AJ502" s="441"/>
      <c r="AK502" s="441"/>
      <c r="AL502" s="441"/>
      <c r="AM502" s="441"/>
      <c r="AN502" s="441"/>
      <c r="AO502" s="441"/>
      <c r="AP502" s="441"/>
      <c r="AQ502" s="441"/>
      <c r="AR502" s="444"/>
      <c r="AS502" s="441"/>
      <c r="AT502" s="588"/>
      <c r="AU502" s="588"/>
      <c r="AV502" s="588"/>
      <c r="AW502" s="588"/>
      <c r="AX502" s="588"/>
      <c r="AY502" s="588"/>
      <c r="AZ502" s="588"/>
      <c r="BA502" s="588"/>
      <c r="BB502" s="588"/>
      <c r="BC502" s="588"/>
      <c r="BD502" s="588"/>
      <c r="BE502" s="588"/>
      <c r="BF502" s="588"/>
      <c r="BH502" s="114"/>
      <c r="BI502" s="114"/>
      <c r="BJ502" s="114"/>
      <c r="BK502" s="114"/>
    </row>
    <row r="503" spans="1:68" ht="12.75" hidden="1" customHeight="1" outlineLevel="2">
      <c r="D503" s="256"/>
      <c r="E503" s="256"/>
      <c r="F503" s="256"/>
      <c r="G503" s="256"/>
      <c r="H503" s="256"/>
      <c r="I503" s="256"/>
      <c r="J503" s="256"/>
      <c r="K503" s="256"/>
      <c r="T503" s="116"/>
      <c r="AH503" s="588"/>
      <c r="AI503" s="588"/>
      <c r="AJ503" s="588"/>
      <c r="AK503" s="588"/>
      <c r="AL503" s="588"/>
      <c r="AM503" s="588"/>
      <c r="AN503" s="588"/>
      <c r="AO503" s="588"/>
      <c r="AP503" s="588"/>
      <c r="AQ503" s="588"/>
    </row>
    <row r="504" spans="1:68" ht="12.75" hidden="1" customHeight="1" outlineLevel="2">
      <c r="B504" s="1091" t="s">
        <v>630</v>
      </c>
      <c r="C504" s="140"/>
      <c r="D504" s="140"/>
      <c r="E504" s="140"/>
      <c r="F504" s="140"/>
      <c r="G504" s="140"/>
      <c r="H504" s="140"/>
      <c r="I504" s="140"/>
      <c r="J504" s="140"/>
      <c r="K504" s="140"/>
      <c r="L504" s="140"/>
      <c r="M504" s="140"/>
      <c r="N504" s="140"/>
      <c r="O504" s="140"/>
      <c r="P504" s="140"/>
      <c r="Q504" s="140"/>
      <c r="R504" s="140"/>
      <c r="S504" s="140"/>
      <c r="T504" s="140"/>
      <c r="U504" s="1341"/>
      <c r="W504" s="116"/>
      <c r="X504" s="2636" t="s">
        <v>366</v>
      </c>
      <c r="Y504" s="2637"/>
      <c r="Z504" s="2637"/>
      <c r="AA504" s="2637"/>
      <c r="AB504" s="2637"/>
      <c r="AC504" s="2637"/>
      <c r="AD504" s="2637"/>
      <c r="AE504" s="2637"/>
      <c r="AF504" s="2638"/>
      <c r="AG504" s="109"/>
      <c r="AH504" s="2639" t="s">
        <v>441</v>
      </c>
      <c r="AI504" s="2640"/>
      <c r="AJ504" s="2640"/>
      <c r="AK504" s="2640"/>
      <c r="AL504" s="2640"/>
      <c r="AM504" s="2640"/>
      <c r="AN504" s="2640"/>
      <c r="AO504" s="2640"/>
      <c r="AP504" s="2640"/>
      <c r="AQ504" s="2640"/>
      <c r="AR504" s="2640"/>
      <c r="AS504" s="2640"/>
      <c r="AT504" s="2640"/>
      <c r="AU504" s="2640"/>
      <c r="AV504" s="2640"/>
      <c r="AW504" s="2640"/>
      <c r="AX504" s="2640"/>
      <c r="AY504" s="2641"/>
      <c r="AZ504" s="2418"/>
      <c r="BA504" s="2418"/>
      <c r="BB504" s="2418"/>
      <c r="BC504" s="2418"/>
      <c r="BD504" s="2418"/>
      <c r="BE504" s="2418"/>
      <c r="BF504" s="2418"/>
    </row>
    <row r="505" spans="1:68" ht="12.75" hidden="1" customHeight="1" outlineLevel="2">
      <c r="B505" s="143"/>
      <c r="C505" s="144"/>
      <c r="D505" s="1334" t="s">
        <v>308</v>
      </c>
      <c r="E505" s="1663"/>
      <c r="F505" s="144"/>
      <c r="G505" s="144"/>
      <c r="H505" s="144"/>
      <c r="I505" s="144"/>
      <c r="J505" s="144"/>
      <c r="K505" s="144"/>
      <c r="L505" s="144"/>
      <c r="M505" s="144"/>
      <c r="N505" s="144"/>
      <c r="O505" s="144"/>
      <c r="P505" s="144"/>
      <c r="Q505" s="144"/>
      <c r="R505" s="144"/>
      <c r="S505" s="2628"/>
      <c r="T505" s="2627"/>
      <c r="U505" s="153" t="s">
        <v>275</v>
      </c>
      <c r="X505" s="1170"/>
      <c r="Y505" s="1323"/>
      <c r="Z505" s="1323"/>
      <c r="AA505" s="141"/>
      <c r="AB505" s="141"/>
      <c r="AC505" s="141"/>
      <c r="AD505" s="141"/>
      <c r="AE505" s="141"/>
      <c r="AF505" s="1320" t="s">
        <v>275</v>
      </c>
      <c r="AG505" s="127"/>
      <c r="AH505" s="2642" t="s">
        <v>444</v>
      </c>
      <c r="AI505" s="2643"/>
      <c r="AJ505" s="2643"/>
      <c r="AK505" s="2643"/>
      <c r="AL505" s="2643"/>
      <c r="AM505" s="2643"/>
      <c r="AN505" s="2643"/>
      <c r="AO505" s="2643"/>
      <c r="AP505" s="2643"/>
      <c r="AQ505" s="2643"/>
      <c r="AR505" s="2643"/>
      <c r="AS505" s="2643"/>
      <c r="AT505" s="2643" t="s">
        <v>444</v>
      </c>
      <c r="AU505" s="2643"/>
      <c r="AV505" s="628"/>
      <c r="AW505" s="624"/>
      <c r="AX505" s="624"/>
      <c r="AY505" s="1291"/>
      <c r="AZ505" s="2286"/>
      <c r="BA505" s="2286"/>
      <c r="BB505" s="2286"/>
      <c r="BC505" s="2286"/>
      <c r="BD505" s="2286"/>
      <c r="BE505" s="2286"/>
      <c r="BF505" s="2286"/>
      <c r="BH505" s="2616" t="s">
        <v>1648</v>
      </c>
      <c r="BI505" s="2617"/>
      <c r="BJ505" s="2617"/>
      <c r="BK505" s="2617"/>
      <c r="BL505" s="2617"/>
      <c r="BM505" s="2617"/>
      <c r="BN505" s="2617"/>
      <c r="BO505" s="2617"/>
      <c r="BP505" s="2618"/>
    </row>
    <row r="506" spans="1:68" s="109" customFormat="1" ht="12.75" hidden="1" customHeight="1" outlineLevel="2">
      <c r="B506" s="1316" t="s">
        <v>2248</v>
      </c>
      <c r="C506" s="1317"/>
      <c r="D506" s="1317" t="s">
        <v>409</v>
      </c>
      <c r="E506" s="1656"/>
      <c r="F506" s="1320" t="s">
        <v>452</v>
      </c>
      <c r="G506" s="1320" t="s">
        <v>343</v>
      </c>
      <c r="H506" s="2626" t="s">
        <v>1585</v>
      </c>
      <c r="I506" s="2627"/>
      <c r="J506" s="1320" t="s">
        <v>343</v>
      </c>
      <c r="K506" s="2626" t="s">
        <v>1573</v>
      </c>
      <c r="L506" s="2627"/>
      <c r="M506" s="1320" t="s">
        <v>343</v>
      </c>
      <c r="N506" s="2626" t="s">
        <v>1575</v>
      </c>
      <c r="O506" s="2627"/>
      <c r="P506" s="1320" t="s">
        <v>343</v>
      </c>
      <c r="Q506" s="2626" t="s">
        <v>1574</v>
      </c>
      <c r="R506" s="2628"/>
      <c r="S506" s="1334" t="s">
        <v>444</v>
      </c>
      <c r="T506" s="1334" t="s">
        <v>444</v>
      </c>
      <c r="U506" s="153" t="s">
        <v>276</v>
      </c>
      <c r="W506" s="114"/>
      <c r="X506" s="1316" t="s">
        <v>316</v>
      </c>
      <c r="Y506" s="2629" t="s">
        <v>316</v>
      </c>
      <c r="Z506" s="2836"/>
      <c r="AA506" s="1656" t="s">
        <v>444</v>
      </c>
      <c r="AB506" s="1656" t="s">
        <v>444</v>
      </c>
      <c r="AC506" s="2419"/>
      <c r="AD506" s="1334"/>
      <c r="AE506" s="1334" t="s">
        <v>444</v>
      </c>
      <c r="AF506" s="153" t="s">
        <v>276</v>
      </c>
      <c r="AG506" s="127"/>
      <c r="AH506" s="2631" t="s">
        <v>211</v>
      </c>
      <c r="AI506" s="2632"/>
      <c r="AJ506" s="2632"/>
      <c r="AK506" s="2632" t="s">
        <v>442</v>
      </c>
      <c r="AL506" s="2632"/>
      <c r="AM506" s="2632"/>
      <c r="AN506" s="2632" t="s">
        <v>267</v>
      </c>
      <c r="AO506" s="2632"/>
      <c r="AP506" s="2632"/>
      <c r="AQ506" s="2632" t="s">
        <v>443</v>
      </c>
      <c r="AR506" s="2632"/>
      <c r="AS506" s="2632"/>
      <c r="AT506" s="2648" t="s">
        <v>327</v>
      </c>
      <c r="AU506" s="2648"/>
      <c r="AV506" s="568"/>
      <c r="AW506" s="2631" t="s">
        <v>636</v>
      </c>
      <c r="AX506" s="2632"/>
      <c r="AY506" s="568"/>
      <c r="AZ506" s="565"/>
      <c r="BA506" s="565"/>
      <c r="BB506" s="565"/>
      <c r="BC506" s="565"/>
      <c r="BD506" s="565"/>
      <c r="BE506" s="565"/>
      <c r="BF506" s="565"/>
      <c r="BH506" s="2837" t="s">
        <v>1646</v>
      </c>
      <c r="BI506" s="2614" t="s">
        <v>1644</v>
      </c>
      <c r="BJ506" s="2645"/>
      <c r="BK506" s="2645"/>
      <c r="BL506" s="2615"/>
      <c r="BM506" s="2614" t="s">
        <v>1645</v>
      </c>
      <c r="BN506" s="2645"/>
      <c r="BO506" s="2645"/>
      <c r="BP506" s="2615"/>
    </row>
    <row r="507" spans="1:68" s="109" customFormat="1" ht="12.75" hidden="1" customHeight="1" outlineLevel="2">
      <c r="B507" s="1316"/>
      <c r="C507" s="1317"/>
      <c r="D507" s="1317" t="s">
        <v>444</v>
      </c>
      <c r="E507" s="1656"/>
      <c r="F507" s="1321" t="s">
        <v>445</v>
      </c>
      <c r="G507" s="153" t="s">
        <v>287</v>
      </c>
      <c r="H507" s="1322" t="s">
        <v>411</v>
      </c>
      <c r="I507" s="1322" t="s">
        <v>257</v>
      </c>
      <c r="J507" s="153" t="s">
        <v>790</v>
      </c>
      <c r="K507" s="1322" t="s">
        <v>411</v>
      </c>
      <c r="L507" s="1322" t="s">
        <v>257</v>
      </c>
      <c r="M507" s="153" t="s">
        <v>791</v>
      </c>
      <c r="N507" s="1322" t="s">
        <v>411</v>
      </c>
      <c r="O507" s="1322" t="s">
        <v>257</v>
      </c>
      <c r="P507" s="153" t="s">
        <v>213</v>
      </c>
      <c r="Q507" s="1322" t="s">
        <v>411</v>
      </c>
      <c r="R507" s="1322" t="s">
        <v>257</v>
      </c>
      <c r="S507" s="1318" t="s">
        <v>411</v>
      </c>
      <c r="T507" s="1318" t="s">
        <v>257</v>
      </c>
      <c r="U507" s="153" t="s">
        <v>444</v>
      </c>
      <c r="W507" s="114"/>
      <c r="X507" s="1316" t="s">
        <v>1649</v>
      </c>
      <c r="Y507" s="2646" t="s">
        <v>1650</v>
      </c>
      <c r="Z507" s="2847"/>
      <c r="AA507" s="1662" t="s">
        <v>411</v>
      </c>
      <c r="AB507" s="1662" t="s">
        <v>257</v>
      </c>
      <c r="AC507" s="1662"/>
      <c r="AD507" s="166"/>
      <c r="AE507" s="166" t="s">
        <v>327</v>
      </c>
      <c r="AF507" s="153" t="s">
        <v>444</v>
      </c>
      <c r="AG507" s="116"/>
      <c r="AH507" s="1331" t="s">
        <v>411</v>
      </c>
      <c r="AI507" s="1332" t="s">
        <v>257</v>
      </c>
      <c r="AJ507" s="1332"/>
      <c r="AK507" s="1332" t="s">
        <v>411</v>
      </c>
      <c r="AL507" s="1332" t="s">
        <v>257</v>
      </c>
      <c r="AM507" s="1332"/>
      <c r="AN507" s="1332" t="s">
        <v>411</v>
      </c>
      <c r="AO507" s="1332" t="s">
        <v>257</v>
      </c>
      <c r="AP507" s="1332"/>
      <c r="AQ507" s="1332" t="s">
        <v>411</v>
      </c>
      <c r="AR507" s="1332" t="s">
        <v>257</v>
      </c>
      <c r="AS507" s="1332"/>
      <c r="AT507" s="581" t="s">
        <v>411</v>
      </c>
      <c r="AU507" s="581" t="s">
        <v>257</v>
      </c>
      <c r="AV507" s="582"/>
      <c r="AW507" s="1332" t="s">
        <v>411</v>
      </c>
      <c r="AX507" s="1332" t="s">
        <v>257</v>
      </c>
      <c r="AY507" s="1333"/>
      <c r="AZ507" s="2286"/>
      <c r="BA507" s="2286"/>
      <c r="BB507" s="2286"/>
      <c r="BC507" s="2286"/>
      <c r="BD507" s="2286"/>
      <c r="BE507" s="2286"/>
      <c r="BF507" s="2286"/>
      <c r="BH507" s="2838"/>
      <c r="BI507" s="1328" t="s">
        <v>199</v>
      </c>
      <c r="BJ507" s="1330" t="s">
        <v>309</v>
      </c>
      <c r="BK507" s="1330" t="s">
        <v>272</v>
      </c>
      <c r="BL507" s="1329" t="s">
        <v>2254</v>
      </c>
      <c r="BM507" s="1328" t="s">
        <v>199</v>
      </c>
      <c r="BN507" s="1330" t="s">
        <v>309</v>
      </c>
      <c r="BO507" s="1330" t="s">
        <v>272</v>
      </c>
      <c r="BP507" s="1329" t="s">
        <v>2254</v>
      </c>
    </row>
    <row r="508" spans="1:68" hidden="1" outlineLevel="2">
      <c r="B508" s="143" t="s">
        <v>2250</v>
      </c>
      <c r="C508" s="144"/>
      <c r="D508" s="212">
        <f t="shared" ref="D508:D513" si="176">S508+T508</f>
        <v>0</v>
      </c>
      <c r="E508" s="212"/>
      <c r="F508" s="117"/>
      <c r="G508" s="117"/>
      <c r="H508" s="335">
        <f>VLOOKUP($B508&amp;"; "&amp;$H$506&amp;", "&amp;H$507,'FE Fret'!$G:$U,9,FALSE)</f>
        <v>991</v>
      </c>
      <c r="I508" s="335">
        <f>VLOOKUP($B508&amp;"; "&amp;$H$506&amp;", "&amp;I$507,'FE Fret'!$G:$U,9,FALSE)</f>
        <v>490</v>
      </c>
      <c r="J508" s="117"/>
      <c r="K508" s="335">
        <f>VLOOKUP($B508&amp;"; "&amp;$K$506&amp;", "&amp;K$507,'FE Fret'!$G:$U,9,FALSE)</f>
        <v>0.11600000000000001</v>
      </c>
      <c r="L508" s="335">
        <f>VLOOKUP($B508&amp;"; "&amp;$K$506&amp;", "&amp;L$507,'FE Fret'!$G:$U,9,FALSE)</f>
        <v>5.8000000000000003E-2</v>
      </c>
      <c r="M508" s="117"/>
      <c r="N508" s="335">
        <f>VLOOKUP($B508&amp;"; "&amp;$N$506&amp;", "&amp;N$507,'FE Fret'!$G:$U,9,FALSE)</f>
        <v>1355</v>
      </c>
      <c r="O508" s="335">
        <f>VLOOKUP($B508&amp;"; "&amp;$N$506&amp;", "&amp;O$507,'FE Fret'!$G:$U,9,FALSE)</f>
        <v>676</v>
      </c>
      <c r="P508" s="117"/>
      <c r="Q508" s="335">
        <f>VLOOKUP($B508&amp;"; "&amp;$Q$506&amp;", "&amp;Q$507,'FE Fret'!$G:$U,9,FALSE)</f>
        <v>0.74099999999999999</v>
      </c>
      <c r="R508" s="335">
        <f>VLOOKUP($B508&amp;"; "&amp;$Q$506&amp;", "&amp;R$507,'FE Fret'!$G:$U,9,FALSE)</f>
        <v>0.36599999999999999</v>
      </c>
      <c r="S508" s="356">
        <f t="shared" ref="S508:T513" si="177">IF(ISNA($G508*H508),0,$G508*H508)+IF(ISNA($J508*K508),0,$J508*K508)+IF(ISNA($M508*N508),0,$M508*N508)+IF(ISNA($P508*Q508),0,$P508*Q508)</f>
        <v>0</v>
      </c>
      <c r="T508" s="356">
        <f t="shared" si="177"/>
        <v>0</v>
      </c>
      <c r="U508" s="1286">
        <f>IF(OR(F508=Utilitaires!$I$572,F508=Utilitaires!$I$577),T508,0)</f>
        <v>0</v>
      </c>
      <c r="X508" s="1092">
        <f t="shared" ref="X508:X513" si="178">IF(AE508=0,AE508,AE508/D508)</f>
        <v>0</v>
      </c>
      <c r="Y508" s="343"/>
      <c r="Z508" s="820"/>
      <c r="AA508" s="164">
        <f t="shared" ref="AA508:AA513" si="179">SQRT(SUMSQ(IF(ISNA($G508*H508*BI508),0,$G508*H508*BI508),IF(ISNA($J508*K508*BJ508),0,$J508*K508*BJ508),IF(ISNA($M508*N508*BK508),0,$M508*N508*BK508),IF(ISNA($P508*Q508*BL508),0,$P508*Q508*BL508)))</f>
        <v>0</v>
      </c>
      <c r="AB508" s="164">
        <f t="shared" ref="AB508:AB513" si="180">SQRT(SUMSQ(IF(ISNA($G508*I508*BM508),0,$G508*I508*BM508),IF(ISNA($J508*L508*BN508),0,$J508*L508*BN508),IF(ISNA($M508*O508*BO508),0,$M508*O508*BO508),IF(ISNA($P508*R508*BP508),0,$P508*R508*BP508)))</f>
        <v>0</v>
      </c>
      <c r="AC508" s="164"/>
      <c r="AD508" s="151"/>
      <c r="AE508" s="151">
        <f t="shared" ref="AE508:AE513" si="181">SQRT(SUMSQ(AA508,AB508))</f>
        <v>0</v>
      </c>
      <c r="AF508" s="1286">
        <f t="shared" ref="AF508:AF513" si="182">P508*W508</f>
        <v>0</v>
      </c>
      <c r="AG508" s="116"/>
      <c r="AH508" s="564">
        <f>$G508*IF(ISNA(VLOOKUP($B508&amp;"; "&amp;$H$506&amp;", "&amp;H$507,'FE Fret'!$G:$U,10,FALSE)),0,VLOOKUP($B508&amp;"; "&amp;$H$506&amp;", "&amp;H$507,'FE Fret'!$G:$U,10,FALSE))
+$J508*IF(ISNA(VLOOKUP($B508&amp;"; "&amp;$K$506&amp;", "&amp;H$507,'FE Fret'!$G:$U,10,FALSE)),0,VLOOKUP($B508&amp;"; "&amp;$K$506&amp;", "&amp;H$507,'FE Fret'!$G:$U,10,FALSE))
+$M508*IF(ISNA(VLOOKUP($B508&amp;"; "&amp;$N$506&amp;", "&amp;H$507,'FE Fret'!$G:$U,10,FALSE)),0,VLOOKUP($B508&amp;"; "&amp;$N$506&amp;", "&amp;H$507,'FE Fret'!$G:$U,10,FALSE))
+$P508*IF(ISNA(VLOOKUP($B508&amp;"; "&amp;$Q$506&amp;", "&amp;H$507,'FE Fret'!$G:$U,10,FALSE)),0,VLOOKUP($B508&amp;"; "&amp;$Q$506&amp;", "&amp;H$507,'FE Fret'!$G:$U,10,FALSE))</f>
        <v>0</v>
      </c>
      <c r="AI508" s="565">
        <f>$G508*IF(ISNA(VLOOKUP($B508&amp;"; "&amp;$H$506&amp;", "&amp;I$507,'FE Fret'!$G:$U,10,FALSE)),0,VLOOKUP($B508&amp;"; "&amp;$H$506&amp;", "&amp;I$507,'FE Fret'!$G:$U,10,FALSE))
+$J508*IF(ISNA(VLOOKUP($B508&amp;"; "&amp;$K$506&amp;", "&amp;I$507,'FE Fret'!$G:$U,10,FALSE)),0,VLOOKUP($B508&amp;"; "&amp;$K$506&amp;", "&amp;I$507,'FE Fret'!$G:$U,10,FALSE))
+$M508*IF(ISNA(VLOOKUP($B508&amp;"; "&amp;$N$506&amp;", "&amp;I$507,'FE Fret'!$G:$U,10,FALSE)),0,VLOOKUP($B508&amp;"; "&amp;$N$506&amp;", "&amp;I$507,'FE Fret'!$G:$U,10,FALSE))
+$P508*IF(ISNA(VLOOKUP($B508&amp;"; "&amp;$Q$506&amp;", "&amp;I$507,'FE Fret'!$G:$U,10,FALSE)),0,VLOOKUP($B508&amp;"; "&amp;$Q$506&amp;", "&amp;I$507,'FE Fret'!$G:$U,10,FALSE))</f>
        <v>0</v>
      </c>
      <c r="AJ508" s="565"/>
      <c r="AK508" s="565">
        <f>$G508*IF(ISNA((VLOOKUP($B508&amp;"; "&amp;$H$506&amp;", "&amp;H$507,'FE Fret'!$G:$U,12,FALSE)+VLOOKUP($B508&amp;"; "&amp;$H$506&amp;", "&amp;H$507,'FE Fret'!$G:$U,11,FALSE))),0,(VLOOKUP($B508&amp;"; "&amp;$H$506&amp;", "&amp;H$507,'FE Fret'!$G:$U,12,FALSE)+VLOOKUP($B508&amp;"; "&amp;$H$506&amp;", "&amp;H$507,'FE Fret'!$G:$U,11,FALSE)))
+$J508*IF(ISNA((VLOOKUP($B508&amp;"; "&amp;$K$506&amp;", "&amp;H$507,'FE Fret'!$G:$U,12,FALSE)+VLOOKUP($B508&amp;"; "&amp;$K$506&amp;", "&amp;H$507,'FE Fret'!$G:$U,11,FALSE))),0,(VLOOKUP($B508&amp;"; "&amp;$K$506&amp;", "&amp;H$507,'FE Fret'!$G:$U,12,FALSE)+VLOOKUP($B508&amp;"; "&amp;$K$506&amp;", "&amp;H$507,'FE Fret'!$G:$U,11,FALSE)))
+$M508*IF(ISNA((VLOOKUP($B508&amp;"; "&amp;$N$506&amp;", "&amp;H$507,'FE Fret'!$G:$U,12,FALSE)+VLOOKUP($B508&amp;"; "&amp;$N$506&amp;", "&amp;H$507,'FE Fret'!$G:$U,11,FALSE))),0,(VLOOKUP($B508&amp;"; "&amp;$N$506&amp;", "&amp;H$507,'FE Fret'!$G:$U,12,FALSE)+VLOOKUP($B508&amp;"; "&amp;$N$506&amp;", "&amp;H$507,'FE Fret'!$G:$U,11,FALSE)))
+$P508*IF(ISNA((VLOOKUP($B508&amp;"; "&amp;$Q$506&amp;", "&amp;H$507,'FE Fret'!$G:$U,12,FALSE)+VLOOKUP($B508&amp;"; "&amp;$Q$506&amp;", "&amp;H$507,'FE Fret'!$G:$U,11,FALSE))),0,(VLOOKUP($B508&amp;"; "&amp;$Q$506&amp;", "&amp;H$507,'FE Fret'!$G:$U,12,FALSE)+VLOOKUP($B508&amp;"; "&amp;$Q$506&amp;", "&amp;H$507,'FE Fret'!$G:$U,11,FALSE)))</f>
        <v>0</v>
      </c>
      <c r="AL508" s="565">
        <f>$G508*IF(ISNA((VLOOKUP($B508&amp;"; "&amp;$H$506&amp;", "&amp;I$507,'FE Fret'!$G:$U,12,FALSE)+VLOOKUP($B508&amp;"; "&amp;$H$506&amp;", "&amp;I$507,'FE Fret'!$G:$U,11,FALSE))),0,(VLOOKUP($B508&amp;"; "&amp;$H$506&amp;", "&amp;I$507,'FE Fret'!$G:$U,12,FALSE)+VLOOKUP($B508&amp;"; "&amp;$H$506&amp;", "&amp;I$507,'FE Fret'!$G:$U,11,FALSE)))
+$J508*IF(ISNA((VLOOKUP($B508&amp;"; "&amp;$K$506&amp;", "&amp;I$507,'FE Fret'!$G:$U,12,FALSE)+VLOOKUP($B508&amp;"; "&amp;$K$506&amp;", "&amp;I$507,'FE Fret'!$G:$U,11,FALSE))),0,(VLOOKUP($B508&amp;"; "&amp;$K$506&amp;", "&amp;I$507,'FE Fret'!$G:$U,12,FALSE)+VLOOKUP($B508&amp;"; "&amp;$K$506&amp;", "&amp;I$507,'FE Fret'!$G:$U,11,FALSE)))
+$M508*IF(ISNA((VLOOKUP($B508&amp;"; "&amp;$N$506&amp;", "&amp;I$507,'FE Fret'!$G:$U,12,FALSE)+VLOOKUP($B508&amp;"; "&amp;$N$506&amp;", "&amp;I$507,'FE Fret'!$G:$U,11,FALSE))),0,(VLOOKUP($B508&amp;"; "&amp;$N$506&amp;", "&amp;I$507,'FE Fret'!$G:$U,12,FALSE)+VLOOKUP($B508&amp;"; "&amp;$N$506&amp;", "&amp;I$507,'FE Fret'!$G:$U,11,FALSE)))
+$P508*IF(ISNA((VLOOKUP($B508&amp;"; "&amp;$Q$506&amp;", "&amp;I$507,'FE Fret'!$G:$U,12,FALSE)+VLOOKUP($B508&amp;"; "&amp;$Q$506&amp;", "&amp;I$507,'FE Fret'!$G:$U,11,FALSE))),0,(VLOOKUP($B508&amp;"; "&amp;$Q$506&amp;", "&amp;I$507,'FE Fret'!$G:$U,12,FALSE)+VLOOKUP($B508&amp;"; "&amp;$Q$506&amp;", "&amp;I$507,'FE Fret'!$G:$U,11,FALSE)))</f>
        <v>0</v>
      </c>
      <c r="AM508" s="565"/>
      <c r="AN508" s="565">
        <f>$G508*IF(ISNA(VLOOKUP($B508&amp;"; "&amp;$H$506&amp;", "&amp;H$507,'FE Fret'!$G:$U,13,FALSE)),0,VLOOKUP($B508&amp;"; "&amp;$H$506&amp;", "&amp;H$507,'FE Fret'!$G:$U,13,FALSE))
+$J508*IF(ISNA(VLOOKUP($B508&amp;"; "&amp;$K$506&amp;", "&amp;H$507,'FE Fret'!$G:$U,13,FALSE)),0,VLOOKUP($B508&amp;"; "&amp;$K$506&amp;", "&amp;H$507,'FE Fret'!$G:$U,13,FALSE))
+$M508*IF(ISNA(VLOOKUP($B508&amp;"; "&amp;$N$506&amp;", "&amp;H$507,'FE Fret'!$G:$U,13,FALSE)),0,VLOOKUP($B508&amp;"; "&amp;$N$506&amp;", "&amp;H$507,'FE Fret'!$G:$U,13,FALSE))
+$P508*IF(ISNA(VLOOKUP($B508&amp;"; "&amp;$Q$506&amp;", "&amp;H$507,'FE Fret'!$G:$U,13,FALSE)),0,VLOOKUP($B508&amp;"; "&amp;$Q$506&amp;", "&amp;H$507,'FE Fret'!$G:$U,13,FALSE))</f>
        <v>0</v>
      </c>
      <c r="AO508" s="565">
        <f>$G508*IF(ISNA(VLOOKUP($B508&amp;"; "&amp;$H$506&amp;", "&amp;I$507,'FE Fret'!$G:$U,13,FALSE)),0,VLOOKUP($B508&amp;"; "&amp;$H$506&amp;", "&amp;I$507,'FE Fret'!$G:$U,13,FALSE))
+$J508*IF(ISNA(VLOOKUP($B508&amp;"; "&amp;$K$506&amp;", "&amp;I$507,'FE Fret'!$G:$U,13,FALSE)),0,VLOOKUP($B508&amp;"; "&amp;$K$506&amp;", "&amp;I$507,'FE Fret'!$G:$U,13,FALSE))
+$M508*IF(ISNA(VLOOKUP($B508&amp;"; "&amp;$N$506&amp;", "&amp;I$507,'FE Fret'!$G:$U,13,FALSE)),0,VLOOKUP($B508&amp;"; "&amp;$N$506&amp;", "&amp;I$507,'FE Fret'!$G:$U,13,FALSE))
+$P508*IF(ISNA(VLOOKUP($B508&amp;"; "&amp;$Q$506&amp;", "&amp;I$507,'FE Fret'!$G:$U,13,FALSE)),0,VLOOKUP($B508&amp;"; "&amp;$Q$506&amp;", "&amp;I$507,'FE Fret'!$G:$U,13,FALSE))</f>
        <v>0</v>
      </c>
      <c r="AP508" s="565"/>
      <c r="AQ508" s="565">
        <v>0</v>
      </c>
      <c r="AR508" s="565">
        <v>0</v>
      </c>
      <c r="AS508" s="565"/>
      <c r="AT508" s="566">
        <f t="shared" ref="AT508:AT513" si="183">SUM(AH508,AK508,AN508,AQ508)</f>
        <v>0</v>
      </c>
      <c r="AU508" s="566">
        <f t="shared" ref="AU508:AU513" si="184">SUM(AI508,AL508,AO508,AR508)</f>
        <v>0</v>
      </c>
      <c r="AV508" s="567"/>
      <c r="AW508" s="565">
        <f>$G508*IF(ISNA(VLOOKUP($B508&amp;"; "&amp;$H$506&amp;", "&amp;H$507,'FE Fret'!$G:$U,15,FALSE)),0,VLOOKUP($B508&amp;"; "&amp;$H$506&amp;", "&amp;H$507,'FE Fret'!$G:$U,15,FALSE))
+$J508*IF(ISNA(VLOOKUP($B508&amp;"; "&amp;$K$506&amp;", "&amp;H$507,'FE Fret'!$G:$U,15,FALSE)),0,VLOOKUP($B508&amp;"; "&amp;$K$506&amp;", "&amp;H$507,'FE Fret'!$G:$U,15,FALSE))
+$M508*IF(ISNA(VLOOKUP($B508&amp;"; "&amp;$N$506&amp;", "&amp;H$507,'FE Fret'!$G:$U,15,FALSE)),0,VLOOKUP($B508&amp;"; "&amp;$N$506&amp;", "&amp;H$507,'FE Fret'!$G:$U,15,FALSE))
+$P508*IF(ISNA(VLOOKUP($B508&amp;"; "&amp;$Q$506&amp;", "&amp;H$507,'FE Fret'!$G:$U,15,FALSE)),0,VLOOKUP($B508&amp;"; "&amp;$Q$506&amp;", "&amp;H$507,'FE Fret'!$G:$U,15,FALSE))</f>
        <v>0</v>
      </c>
      <c r="AX508" s="565">
        <f>$G508*IF(ISNA(VLOOKUP($B508&amp;"; "&amp;$H$506&amp;", "&amp;I$507,'FE Fret'!$G:$U,15,FALSE)),0,VLOOKUP($B508&amp;"; "&amp;$H$506&amp;", "&amp;I$507,'FE Fret'!$G:$U,15,FALSE))
+$J508*IF(ISNA(VLOOKUP($B508&amp;"; "&amp;$K$506&amp;", "&amp;I$507,'FE Fret'!$G:$U,15,FALSE)),0,VLOOKUP($B508&amp;"; "&amp;$K$506&amp;", "&amp;I$507,'FE Fret'!$G:$U,15,FALSE))
+$M508*IF(ISNA(VLOOKUP($B508&amp;"; "&amp;$N$506&amp;", "&amp;I$507,'FE Fret'!$G:$U,15,FALSE)),0,VLOOKUP($B508&amp;"; "&amp;$N$506&amp;", "&amp;I$507,'FE Fret'!$G:$U,15,FALSE))
+$P508*IF(ISNA(VLOOKUP($B508&amp;"; "&amp;$Q$506&amp;", "&amp;I$507,'FE Fret'!$G:$U,15,FALSE)),0,VLOOKUP($B508&amp;"; "&amp;$Q$506&amp;", "&amp;I$507,'FE Fret'!$G:$U,15,FALSE))</f>
        <v>0</v>
      </c>
      <c r="AY508" s="568"/>
      <c r="AZ508" s="565"/>
      <c r="BA508" s="565"/>
      <c r="BB508" s="565"/>
      <c r="BC508" s="565"/>
      <c r="BD508" s="565"/>
      <c r="BE508" s="565"/>
      <c r="BF508" s="565"/>
      <c r="BH508" s="1065">
        <f>IF($Y508&lt;&gt;"votre valeur :",IF(ISNA(VLOOKUP($Y508,Utilitaires!$N$566:$O$571,2,FALSE)),,VLOOKUP($Y508,Utilitaires!$N$566:$O$571,2,FALSE)),$Z508)</f>
        <v>0</v>
      </c>
      <c r="BI508" s="1124">
        <f>IF(ISNA(SQRT(SUMSQ(VLOOKUP($B508&amp;"; "&amp;$H$15&amp;", "&amp;H$16,'FE Fret'!$G:$U,7,FALSE),$BH508))),0,SQRT(SUMSQ(VLOOKUP($B508&amp;"; "&amp;$H$15&amp;", "&amp;$H$16,'FE Fret'!$G:$U,7,FALSE),$BH508)))</f>
        <v>0.05</v>
      </c>
      <c r="BJ508" s="1068">
        <f>IF(ISNA(SQRT(SUMSQ(VLOOKUP($B508&amp;"; "&amp;$K$15&amp;", "&amp;$K$16,'FE Fret'!$G:$U,7,FALSE),$BH508))),0,SQRT(SUMSQ(VLOOKUP($B508&amp;"; "&amp;$K$15&amp;", "&amp;$K$16,'FE Fret'!$G:$U,7,FALSE),$BH508)))</f>
        <v>0.05</v>
      </c>
      <c r="BK508" s="1068">
        <f>IF(ISNA(SQRT(SUMSQ(VLOOKUP($B508&amp;"; "&amp;$N$15&amp;", "&amp;$N$16,'FE Fret'!$G:$U,7,FALSE),$BH508))),0,SQRT(SUMSQ(VLOOKUP($B508&amp;"; "&amp;$N$15&amp;", "&amp;$N$16,'FE Fret'!$G:$U,7,FALSE),$BH508)))</f>
        <v>0.05</v>
      </c>
      <c r="BL508" s="1068">
        <f>IF(ISNA(SQRT(SUMSQ(VLOOKUP($B508&amp;"; "&amp;$Q$15&amp;", "&amp;$Q$16,'FE Fret'!$G:$U,7,FALSE),$BH508))),0,SQRT(SUMSQ(VLOOKUP($B508&amp;"; "&amp;$Q$15&amp;", "&amp;$Q$16,'FE Fret'!$G:$U,7,FALSE),$BH508)))</f>
        <v>0.1</v>
      </c>
      <c r="BM508" s="1124">
        <f>IF(ISNA(SQRT(SUMSQ(VLOOKUP($B508&amp;"; "&amp;$H$15&amp;", "&amp;I$16,'FE Fret'!$G:$U,7,FALSE),$BH508))),0,SQRT(SUMSQ(VLOOKUP($B508&amp;"; "&amp;$H$15&amp;", "&amp;$I$16,'FE Fret'!$G:$U,7,FALSE),$BH508)))</f>
        <v>0.05</v>
      </c>
      <c r="BN508" s="1068">
        <f>IF(ISNA(SQRT(SUMSQ(VLOOKUP($B508&amp;"; "&amp;$K$15&amp;", "&amp;$L$16,'FE Fret'!$G:$U,7,FALSE),$BH508))),0,SQRT(SUMSQ(VLOOKUP($B508&amp;"; "&amp;$K$15&amp;", "&amp;$L$16,'FE Fret'!$G:$U,7,FALSE),$BH508)))</f>
        <v>0.05</v>
      </c>
      <c r="BO508" s="1068">
        <f>IF(ISNA(SQRT(SUMSQ(VLOOKUP($B508&amp;"; "&amp;$N$15&amp;", "&amp;$O$16,'FE Fret'!$G:$U,7,FALSE),$BH508))),0,SQRT(SUMSQ(VLOOKUP($B508&amp;"; "&amp;$N$15&amp;", "&amp;$O$16,'FE Fret'!$G:$U,7,FALSE),$BH508)))</f>
        <v>0.05</v>
      </c>
      <c r="BP508" s="1125">
        <f>IF(ISNA(SQRT(SUMSQ(VLOOKUP($B508&amp;"; "&amp;$Q$15&amp;", "&amp;$R$16,'FE Fret'!$G:$U,7,FALSE),$BH508))),0,SQRT(SUMSQ(VLOOKUP($B508&amp;"; "&amp;$Q$15&amp;", "&amp;$R$16,'FE Fret'!$G:$U,7,FALSE),$BH508)))</f>
        <v>0.1</v>
      </c>
    </row>
    <row r="509" spans="1:68" hidden="1" outlineLevel="2">
      <c r="B509" s="143" t="s">
        <v>2327</v>
      </c>
      <c r="C509" s="144"/>
      <c r="D509" s="212">
        <f t="shared" si="176"/>
        <v>0</v>
      </c>
      <c r="E509" s="212"/>
      <c r="F509" s="120"/>
      <c r="G509" s="120"/>
      <c r="H509" s="335" t="e">
        <f>VLOOKUP($B509&amp;"; "&amp;$H$506&amp;", "&amp;H$507,'FE Fret'!$G:$U,9,FALSE)</f>
        <v>#N/A</v>
      </c>
      <c r="I509" s="335" t="e">
        <f>VLOOKUP($B509&amp;"; "&amp;$H$506&amp;", "&amp;I$507,'FE Fret'!$G:$U,9,FALSE)</f>
        <v>#N/A</v>
      </c>
      <c r="J509" s="120"/>
      <c r="K509" s="335" t="e">
        <f>VLOOKUP($B509&amp;"; "&amp;$K$506&amp;", "&amp;K$507,'FE Fret'!$G:$U,9,FALSE)</f>
        <v>#N/A</v>
      </c>
      <c r="L509" s="335" t="e">
        <f>VLOOKUP($B509&amp;"; "&amp;$K$506&amp;", "&amp;L$507,'FE Fret'!$G:$U,9,FALSE)</f>
        <v>#N/A</v>
      </c>
      <c r="M509" s="120"/>
      <c r="N509" s="335" t="e">
        <f>VLOOKUP($B509&amp;"; "&amp;$N$506&amp;", "&amp;N$507,'FE Fret'!$G:$U,9,FALSE)</f>
        <v>#N/A</v>
      </c>
      <c r="O509" s="335" t="e">
        <f>VLOOKUP($B509&amp;"; "&amp;$N$506&amp;", "&amp;O$507,'FE Fret'!$G:$U,9,FALSE)</f>
        <v>#N/A</v>
      </c>
      <c r="P509" s="120"/>
      <c r="Q509" s="335" t="e">
        <f>VLOOKUP($B509&amp;"; "&amp;$Q$506&amp;", "&amp;Q$507,'FE Fret'!$G:$U,9,FALSE)</f>
        <v>#N/A</v>
      </c>
      <c r="R509" s="335" t="e">
        <f>VLOOKUP($B509&amp;"; "&amp;$Q$506&amp;", "&amp;R$507,'FE Fret'!$G:$U,9,FALSE)</f>
        <v>#N/A</v>
      </c>
      <c r="S509" s="356">
        <f t="shared" si="177"/>
        <v>0</v>
      </c>
      <c r="T509" s="356">
        <f t="shared" si="177"/>
        <v>0</v>
      </c>
      <c r="U509" s="1286">
        <f>IF(OR(F509=Utilitaires!$I$572,F509=Utilitaires!$I$577),T509,0)</f>
        <v>0</v>
      </c>
      <c r="X509" s="1092">
        <f t="shared" si="178"/>
        <v>0</v>
      </c>
      <c r="Y509" s="343"/>
      <c r="Z509" s="820"/>
      <c r="AA509" s="164">
        <f t="shared" si="179"/>
        <v>0</v>
      </c>
      <c r="AB509" s="164">
        <f t="shared" si="180"/>
        <v>0</v>
      </c>
      <c r="AC509" s="164"/>
      <c r="AD509" s="151"/>
      <c r="AE509" s="151">
        <f t="shared" si="181"/>
        <v>0</v>
      </c>
      <c r="AF509" s="1286">
        <f t="shared" si="182"/>
        <v>0</v>
      </c>
      <c r="AG509" s="116"/>
      <c r="AH509" s="564">
        <f>$G509*IF(ISNA(VLOOKUP($B509&amp;"; "&amp;$H$506&amp;", "&amp;H$507,'FE Fret'!$G:$U,10,FALSE)),0,VLOOKUP($B509&amp;"; "&amp;$H$506&amp;", "&amp;H$507,'FE Fret'!$G:$U,10,FALSE))
+$J509*IF(ISNA(VLOOKUP($B509&amp;"; "&amp;$K$506&amp;", "&amp;H$507,'FE Fret'!$G:$U,10,FALSE)),0,VLOOKUP($B509&amp;"; "&amp;$K$506&amp;", "&amp;H$507,'FE Fret'!$G:$U,10,FALSE))
+$M509*IF(ISNA(VLOOKUP($B509&amp;"; "&amp;$N$506&amp;", "&amp;H$507,'FE Fret'!$G:$U,10,FALSE)),0,VLOOKUP($B509&amp;"; "&amp;$N$506&amp;", "&amp;H$507,'FE Fret'!$G:$U,10,FALSE))
+$P509*IF(ISNA(VLOOKUP($B509&amp;"; "&amp;$Q$506&amp;", "&amp;H$507,'FE Fret'!$G:$U,10,FALSE)),0,VLOOKUP($B509&amp;"; "&amp;$Q$506&amp;", "&amp;H$507,'FE Fret'!$G:$U,10,FALSE))</f>
        <v>0</v>
      </c>
      <c r="AI509" s="565">
        <f>$G509*IF(ISNA(VLOOKUP($B509&amp;"; "&amp;$H$506&amp;", "&amp;I$507,'FE Fret'!$G:$U,10,FALSE)),0,VLOOKUP($B509&amp;"; "&amp;$H$506&amp;", "&amp;I$507,'FE Fret'!$G:$U,10,FALSE))
+$J509*IF(ISNA(VLOOKUP($B509&amp;"; "&amp;$K$506&amp;", "&amp;I$507,'FE Fret'!$G:$U,10,FALSE)),0,VLOOKUP($B509&amp;"; "&amp;$K$506&amp;", "&amp;I$507,'FE Fret'!$G:$U,10,FALSE))
+$M509*IF(ISNA(VLOOKUP($B509&amp;"; "&amp;$N$506&amp;", "&amp;I$507,'FE Fret'!$G:$U,10,FALSE)),0,VLOOKUP($B509&amp;"; "&amp;$N$506&amp;", "&amp;I$507,'FE Fret'!$G:$U,10,FALSE))
+$P509*IF(ISNA(VLOOKUP($B509&amp;"; "&amp;$Q$506&amp;", "&amp;I$507,'FE Fret'!$G:$U,10,FALSE)),0,VLOOKUP($B509&amp;"; "&amp;$Q$506&amp;", "&amp;I$507,'FE Fret'!$G:$U,10,FALSE))</f>
        <v>0</v>
      </c>
      <c r="AJ509" s="565"/>
      <c r="AK509" s="565">
        <f>$G509*IF(ISNA((VLOOKUP($B509&amp;"; "&amp;$H$506&amp;", "&amp;H$507,'FE Fret'!$G:$U,12,FALSE)+VLOOKUP($B509&amp;"; "&amp;$H$506&amp;", "&amp;H$507,'FE Fret'!$G:$U,11,FALSE))),0,(VLOOKUP($B509&amp;"; "&amp;$H$506&amp;", "&amp;H$507,'FE Fret'!$G:$U,12,FALSE)+VLOOKUP($B509&amp;"; "&amp;$H$506&amp;", "&amp;H$507,'FE Fret'!$G:$U,11,FALSE)))
+$J509*IF(ISNA((VLOOKUP($B509&amp;"; "&amp;$K$506&amp;", "&amp;H$507,'FE Fret'!$G:$U,12,FALSE)+VLOOKUP($B509&amp;"; "&amp;$K$506&amp;", "&amp;H$507,'FE Fret'!$G:$U,11,FALSE))),0,(VLOOKUP($B509&amp;"; "&amp;$K$506&amp;", "&amp;H$507,'FE Fret'!$G:$U,12,FALSE)+VLOOKUP($B509&amp;"; "&amp;$K$506&amp;", "&amp;H$507,'FE Fret'!$G:$U,11,FALSE)))
+$M509*IF(ISNA((VLOOKUP($B509&amp;"; "&amp;$N$506&amp;", "&amp;H$507,'FE Fret'!$G:$U,12,FALSE)+VLOOKUP($B509&amp;"; "&amp;$N$506&amp;", "&amp;H$507,'FE Fret'!$G:$U,11,FALSE))),0,(VLOOKUP($B509&amp;"; "&amp;$N$506&amp;", "&amp;H$507,'FE Fret'!$G:$U,12,FALSE)+VLOOKUP($B509&amp;"; "&amp;$N$506&amp;", "&amp;H$507,'FE Fret'!$G:$U,11,FALSE)))
+$P509*IF(ISNA((VLOOKUP($B509&amp;"; "&amp;$Q$506&amp;", "&amp;H$507,'FE Fret'!$G:$U,12,FALSE)+VLOOKUP($B509&amp;"; "&amp;$Q$506&amp;", "&amp;H$507,'FE Fret'!$G:$U,11,FALSE))),0,(VLOOKUP($B509&amp;"; "&amp;$Q$506&amp;", "&amp;H$507,'FE Fret'!$G:$U,12,FALSE)+VLOOKUP($B509&amp;"; "&amp;$Q$506&amp;", "&amp;H$507,'FE Fret'!$G:$U,11,FALSE)))</f>
        <v>0</v>
      </c>
      <c r="AL509" s="565">
        <f>$G509*IF(ISNA((VLOOKUP($B509&amp;"; "&amp;$H$506&amp;", "&amp;I$507,'FE Fret'!$G:$U,12,FALSE)+VLOOKUP($B509&amp;"; "&amp;$H$506&amp;", "&amp;I$507,'FE Fret'!$G:$U,11,FALSE))),0,(VLOOKUP($B509&amp;"; "&amp;$H$506&amp;", "&amp;I$507,'FE Fret'!$G:$U,12,FALSE)+VLOOKUP($B509&amp;"; "&amp;$H$506&amp;", "&amp;I$507,'FE Fret'!$G:$U,11,FALSE)))
+$J509*IF(ISNA((VLOOKUP($B509&amp;"; "&amp;$K$506&amp;", "&amp;I$507,'FE Fret'!$G:$U,12,FALSE)+VLOOKUP($B509&amp;"; "&amp;$K$506&amp;", "&amp;I$507,'FE Fret'!$G:$U,11,FALSE))),0,(VLOOKUP($B509&amp;"; "&amp;$K$506&amp;", "&amp;I$507,'FE Fret'!$G:$U,12,FALSE)+VLOOKUP($B509&amp;"; "&amp;$K$506&amp;", "&amp;I$507,'FE Fret'!$G:$U,11,FALSE)))
+$M509*IF(ISNA((VLOOKUP($B509&amp;"; "&amp;$N$506&amp;", "&amp;I$507,'FE Fret'!$G:$U,12,FALSE)+VLOOKUP($B509&amp;"; "&amp;$N$506&amp;", "&amp;I$507,'FE Fret'!$G:$U,11,FALSE))),0,(VLOOKUP($B509&amp;"; "&amp;$N$506&amp;", "&amp;I$507,'FE Fret'!$G:$U,12,FALSE)+VLOOKUP($B509&amp;"; "&amp;$N$506&amp;", "&amp;I$507,'FE Fret'!$G:$U,11,FALSE)))
+$P509*IF(ISNA((VLOOKUP($B509&amp;"; "&amp;$Q$506&amp;", "&amp;I$507,'FE Fret'!$G:$U,12,FALSE)+VLOOKUP($B509&amp;"; "&amp;$Q$506&amp;", "&amp;I$507,'FE Fret'!$G:$U,11,FALSE))),0,(VLOOKUP($B509&amp;"; "&amp;$Q$506&amp;", "&amp;I$507,'FE Fret'!$G:$U,12,FALSE)+VLOOKUP($B509&amp;"; "&amp;$Q$506&amp;", "&amp;I$507,'FE Fret'!$G:$U,11,FALSE)))</f>
        <v>0</v>
      </c>
      <c r="AM509" s="565"/>
      <c r="AN509" s="565">
        <f>$G509*IF(ISNA(VLOOKUP($B509&amp;"; "&amp;$H$506&amp;", "&amp;H$507,'FE Fret'!$G:$U,13,FALSE)),0,VLOOKUP($B509&amp;"; "&amp;$H$506&amp;", "&amp;H$507,'FE Fret'!$G:$U,13,FALSE))
+$J509*IF(ISNA(VLOOKUP($B509&amp;"; "&amp;$K$506&amp;", "&amp;H$507,'FE Fret'!$G:$U,13,FALSE)),0,VLOOKUP($B509&amp;"; "&amp;$K$506&amp;", "&amp;H$507,'FE Fret'!$G:$U,13,FALSE))
+$M509*IF(ISNA(VLOOKUP($B509&amp;"; "&amp;$N$506&amp;", "&amp;H$507,'FE Fret'!$G:$U,13,FALSE)),0,VLOOKUP($B509&amp;"; "&amp;$N$506&amp;", "&amp;H$507,'FE Fret'!$G:$U,13,FALSE))
+$P509*IF(ISNA(VLOOKUP($B509&amp;"; "&amp;$Q$506&amp;", "&amp;H$507,'FE Fret'!$G:$U,13,FALSE)),0,VLOOKUP($B509&amp;"; "&amp;$Q$506&amp;", "&amp;H$507,'FE Fret'!$G:$U,13,FALSE))</f>
        <v>0</v>
      </c>
      <c r="AO509" s="565">
        <f>$G509*IF(ISNA(VLOOKUP($B509&amp;"; "&amp;$H$506&amp;", "&amp;I$507,'FE Fret'!$G:$U,13,FALSE)),0,VLOOKUP($B509&amp;"; "&amp;$H$506&amp;", "&amp;I$507,'FE Fret'!$G:$U,13,FALSE))
+$J509*IF(ISNA(VLOOKUP($B509&amp;"; "&amp;$K$506&amp;", "&amp;I$507,'FE Fret'!$G:$U,13,FALSE)),0,VLOOKUP($B509&amp;"; "&amp;$K$506&amp;", "&amp;I$507,'FE Fret'!$G:$U,13,FALSE))
+$M509*IF(ISNA(VLOOKUP($B509&amp;"; "&amp;$N$506&amp;", "&amp;I$507,'FE Fret'!$G:$U,13,FALSE)),0,VLOOKUP($B509&amp;"; "&amp;$N$506&amp;", "&amp;I$507,'FE Fret'!$G:$U,13,FALSE))
+$P509*IF(ISNA(VLOOKUP($B509&amp;"; "&amp;$Q$506&amp;", "&amp;I$507,'FE Fret'!$G:$U,13,FALSE)),0,VLOOKUP($B509&amp;"; "&amp;$Q$506&amp;", "&amp;I$507,'FE Fret'!$G:$U,13,FALSE))</f>
        <v>0</v>
      </c>
      <c r="AP509" s="565"/>
      <c r="AQ509" s="565">
        <v>0</v>
      </c>
      <c r="AR509" s="565">
        <v>0</v>
      </c>
      <c r="AS509" s="565"/>
      <c r="AT509" s="566">
        <f t="shared" si="183"/>
        <v>0</v>
      </c>
      <c r="AU509" s="566">
        <f t="shared" si="184"/>
        <v>0</v>
      </c>
      <c r="AV509" s="567"/>
      <c r="AW509" s="565">
        <f>$G509*IF(ISNA(VLOOKUP($B509&amp;"; "&amp;$H$506&amp;", "&amp;H$507,'FE Fret'!$G:$U,15,FALSE)),0,VLOOKUP($B509&amp;"; "&amp;$H$506&amp;", "&amp;H$507,'FE Fret'!$G:$U,15,FALSE))
+$J509*IF(ISNA(VLOOKUP($B509&amp;"; "&amp;$K$506&amp;", "&amp;H$507,'FE Fret'!$G:$U,15,FALSE)),0,VLOOKUP($B509&amp;"; "&amp;$K$506&amp;", "&amp;H$507,'FE Fret'!$G:$U,15,FALSE))
+$M509*IF(ISNA(VLOOKUP($B509&amp;"; "&amp;$N$506&amp;", "&amp;H$507,'FE Fret'!$G:$U,15,FALSE)),0,VLOOKUP($B509&amp;"; "&amp;$N$506&amp;", "&amp;H$507,'FE Fret'!$G:$U,15,FALSE))
+$P509*IF(ISNA(VLOOKUP($B509&amp;"; "&amp;$Q$506&amp;", "&amp;H$507,'FE Fret'!$G:$U,15,FALSE)),0,VLOOKUP($B509&amp;"; "&amp;$Q$506&amp;", "&amp;H$507,'FE Fret'!$G:$U,15,FALSE))</f>
        <v>0</v>
      </c>
      <c r="AX509" s="565">
        <f>$G509*IF(ISNA(VLOOKUP($B509&amp;"; "&amp;$H$506&amp;", "&amp;I$507,'FE Fret'!$G:$U,15,FALSE)),0,VLOOKUP($B509&amp;"; "&amp;$H$506&amp;", "&amp;I$507,'FE Fret'!$G:$U,15,FALSE))
+$J509*IF(ISNA(VLOOKUP($B509&amp;"; "&amp;$K$506&amp;", "&amp;I$507,'FE Fret'!$G:$U,15,FALSE)),0,VLOOKUP($B509&amp;"; "&amp;$K$506&amp;", "&amp;I$507,'FE Fret'!$G:$U,15,FALSE))
+$M509*IF(ISNA(VLOOKUP($B509&amp;"; "&amp;$N$506&amp;", "&amp;I$507,'FE Fret'!$G:$U,15,FALSE)),0,VLOOKUP($B509&amp;"; "&amp;$N$506&amp;", "&amp;I$507,'FE Fret'!$G:$U,15,FALSE))
+$P509*IF(ISNA(VLOOKUP($B509&amp;"; "&amp;$Q$506&amp;", "&amp;I$507,'FE Fret'!$G:$U,15,FALSE)),0,VLOOKUP($B509&amp;"; "&amp;$Q$506&amp;", "&amp;I$507,'FE Fret'!$G:$U,15,FALSE))</f>
        <v>0</v>
      </c>
      <c r="AY509" s="568"/>
      <c r="AZ509" s="565"/>
      <c r="BA509" s="565"/>
      <c r="BB509" s="565"/>
      <c r="BC509" s="565"/>
      <c r="BD509" s="565"/>
      <c r="BE509" s="565"/>
      <c r="BF509" s="565"/>
      <c r="BH509" s="1065">
        <f>IF($Y509&lt;&gt;"votre valeur :",IF(ISNA(VLOOKUP($Y509,Utilitaires!$N$566:$O$571,2,FALSE)),,VLOOKUP($Y509,Utilitaires!$N$566:$O$571,2,FALSE)),$Z509)</f>
        <v>0</v>
      </c>
      <c r="BI509" s="1124">
        <f>IF(ISNA(SQRT(SUMSQ(VLOOKUP($B509&amp;"; "&amp;$H$15&amp;", "&amp;H$16,'FE Fret'!$G:$U,7,FALSE),$BH509))),0,SQRT(SUMSQ(VLOOKUP($B509&amp;"; "&amp;$H$15&amp;", "&amp;$H$16,'FE Fret'!$G:$U,7,FALSE),$BH509)))</f>
        <v>0</v>
      </c>
      <c r="BJ509" s="1068">
        <f>IF(ISNA(SQRT(SUMSQ(VLOOKUP($B509&amp;"; "&amp;$K$15&amp;", "&amp;$K$16,'FE Fret'!$G:$U,7,FALSE),$BH509))),0,SQRT(SUMSQ(VLOOKUP($B509&amp;"; "&amp;$K$15&amp;", "&amp;$K$16,'FE Fret'!$G:$U,7,FALSE),$BH509)))</f>
        <v>0</v>
      </c>
      <c r="BK509" s="1068">
        <f>IF(ISNA(SQRT(SUMSQ(VLOOKUP($B509&amp;"; "&amp;$N$15&amp;", "&amp;$N$16,'FE Fret'!$G:$U,7,FALSE),$BH509))),0,SQRT(SUMSQ(VLOOKUP($B509&amp;"; "&amp;$N$15&amp;", "&amp;$N$16,'FE Fret'!$G:$U,7,FALSE),$BH509)))</f>
        <v>0</v>
      </c>
      <c r="BL509" s="1068">
        <f>IF(ISNA(SQRT(SUMSQ(VLOOKUP($B509&amp;"; "&amp;$Q$15&amp;", "&amp;$Q$16,'FE Fret'!$G:$U,7,FALSE),$BH509))),0,SQRT(SUMSQ(VLOOKUP($B509&amp;"; "&amp;$Q$15&amp;", "&amp;$Q$16,'FE Fret'!$G:$U,7,FALSE),$BH509)))</f>
        <v>0</v>
      </c>
      <c r="BM509" s="1124">
        <f>IF(ISNA(SQRT(SUMSQ(VLOOKUP($B509&amp;"; "&amp;$H$15&amp;", "&amp;I$16,'FE Fret'!$G:$U,7,FALSE),$BH509))),0,SQRT(SUMSQ(VLOOKUP($B509&amp;"; "&amp;$H$15&amp;", "&amp;$I$16,'FE Fret'!$G:$U,7,FALSE),$BH509)))</f>
        <v>0</v>
      </c>
      <c r="BN509" s="1068">
        <f>IF(ISNA(SQRT(SUMSQ(VLOOKUP($B509&amp;"; "&amp;$K$15&amp;", "&amp;$L$16,'FE Fret'!$G:$U,7,FALSE),$BH509))),0,SQRT(SUMSQ(VLOOKUP($B509&amp;"; "&amp;$K$15&amp;", "&amp;$L$16,'FE Fret'!$G:$U,7,FALSE),$BH509)))</f>
        <v>0</v>
      </c>
      <c r="BO509" s="1068">
        <f>IF(ISNA(SQRT(SUMSQ(VLOOKUP($B509&amp;"; "&amp;$N$15&amp;", "&amp;$O$16,'FE Fret'!$G:$U,7,FALSE),$BH509))),0,SQRT(SUMSQ(VLOOKUP($B509&amp;"; "&amp;$N$15&amp;", "&amp;$O$16,'FE Fret'!$G:$U,7,FALSE),$BH509)))</f>
        <v>0</v>
      </c>
      <c r="BP509" s="1125">
        <f>IF(ISNA(SQRT(SUMSQ(VLOOKUP($B509&amp;"; "&amp;$Q$15&amp;", "&amp;$R$16,'FE Fret'!$G:$U,7,FALSE),$BH509))),0,SQRT(SUMSQ(VLOOKUP($B509&amp;"; "&amp;$Q$15&amp;", "&amp;$R$16,'FE Fret'!$G:$U,7,FALSE),$BH509)))</f>
        <v>0</v>
      </c>
    </row>
    <row r="510" spans="1:68" hidden="1" outlineLevel="2">
      <c r="B510" s="143" t="s">
        <v>2328</v>
      </c>
      <c r="C510" s="144"/>
      <c r="D510" s="212">
        <f t="shared" si="176"/>
        <v>0</v>
      </c>
      <c r="E510" s="212"/>
      <c r="F510" s="120"/>
      <c r="G510" s="120"/>
      <c r="H510" s="335" t="e">
        <f>VLOOKUP($B510&amp;"; "&amp;$H$506&amp;", "&amp;H$507,'FE Fret'!$G:$U,9,FALSE)</f>
        <v>#N/A</v>
      </c>
      <c r="I510" s="335" t="e">
        <f>VLOOKUP($B510&amp;"; "&amp;$H$506&amp;", "&amp;I$507,'FE Fret'!$G:$U,9,FALSE)</f>
        <v>#N/A</v>
      </c>
      <c r="J510" s="120"/>
      <c r="K510" s="335" t="e">
        <f>VLOOKUP($B510&amp;"; "&amp;$K$506&amp;", "&amp;K$507,'FE Fret'!$G:$U,9,FALSE)</f>
        <v>#N/A</v>
      </c>
      <c r="L510" s="335" t="e">
        <f>VLOOKUP($B510&amp;"; "&amp;$K$506&amp;", "&amp;L$507,'FE Fret'!$G:$U,9,FALSE)</f>
        <v>#N/A</v>
      </c>
      <c r="M510" s="120"/>
      <c r="N510" s="335" t="e">
        <f>VLOOKUP($B510&amp;"; "&amp;$N$506&amp;", "&amp;N$507,'FE Fret'!$G:$U,9,FALSE)</f>
        <v>#N/A</v>
      </c>
      <c r="O510" s="335" t="e">
        <f>VLOOKUP($B510&amp;"; "&amp;$N$506&amp;", "&amp;O$507,'FE Fret'!$G:$U,9,FALSE)</f>
        <v>#N/A</v>
      </c>
      <c r="P510" s="120"/>
      <c r="Q510" s="335" t="e">
        <f>VLOOKUP($B510&amp;"; "&amp;$Q$506&amp;", "&amp;Q$507,'FE Fret'!$G:$U,9,FALSE)</f>
        <v>#N/A</v>
      </c>
      <c r="R510" s="335" t="e">
        <f>VLOOKUP($B510&amp;"; "&amp;$Q$506&amp;", "&amp;R$507,'FE Fret'!$G:$U,9,FALSE)</f>
        <v>#N/A</v>
      </c>
      <c r="S510" s="356">
        <f t="shared" si="177"/>
        <v>0</v>
      </c>
      <c r="T510" s="356">
        <f t="shared" si="177"/>
        <v>0</v>
      </c>
      <c r="U510" s="1286">
        <f>IF(OR(F510=Utilitaires!$I$572,F510=Utilitaires!$I$577),T510,0)</f>
        <v>0</v>
      </c>
      <c r="X510" s="1092">
        <f t="shared" si="178"/>
        <v>0</v>
      </c>
      <c r="Y510" s="343"/>
      <c r="Z510" s="820"/>
      <c r="AA510" s="164">
        <f t="shared" si="179"/>
        <v>0</v>
      </c>
      <c r="AB510" s="164">
        <f t="shared" si="180"/>
        <v>0</v>
      </c>
      <c r="AC510" s="164"/>
      <c r="AD510" s="151"/>
      <c r="AE510" s="151">
        <f t="shared" si="181"/>
        <v>0</v>
      </c>
      <c r="AF510" s="1286">
        <f t="shared" si="182"/>
        <v>0</v>
      </c>
      <c r="AG510" s="116"/>
      <c r="AH510" s="564">
        <f>$G510*IF(ISNA(VLOOKUP($B510&amp;"; "&amp;$H$506&amp;", "&amp;H$507,'FE Fret'!$G:$U,10,FALSE)),0,VLOOKUP($B510&amp;"; "&amp;$H$506&amp;", "&amp;H$507,'FE Fret'!$G:$U,10,FALSE))
+$J510*IF(ISNA(VLOOKUP($B510&amp;"; "&amp;$K$506&amp;", "&amp;H$507,'FE Fret'!$G:$U,10,FALSE)),0,VLOOKUP($B510&amp;"; "&amp;$K$506&amp;", "&amp;H$507,'FE Fret'!$G:$U,10,FALSE))
+$M510*IF(ISNA(VLOOKUP($B510&amp;"; "&amp;$N$506&amp;", "&amp;H$507,'FE Fret'!$G:$U,10,FALSE)),0,VLOOKUP($B510&amp;"; "&amp;$N$506&amp;", "&amp;H$507,'FE Fret'!$G:$U,10,FALSE))
+$P510*IF(ISNA(VLOOKUP($B510&amp;"; "&amp;$Q$506&amp;", "&amp;H$507,'FE Fret'!$G:$U,10,FALSE)),0,VLOOKUP($B510&amp;"; "&amp;$Q$506&amp;", "&amp;H$507,'FE Fret'!$G:$U,10,FALSE))</f>
        <v>0</v>
      </c>
      <c r="AI510" s="565">
        <f>$G510*IF(ISNA(VLOOKUP($B510&amp;"; "&amp;$H$506&amp;", "&amp;I$507,'FE Fret'!$G:$U,10,FALSE)),0,VLOOKUP($B510&amp;"; "&amp;$H$506&amp;", "&amp;I$507,'FE Fret'!$G:$U,10,FALSE))
+$J510*IF(ISNA(VLOOKUP($B510&amp;"; "&amp;$K$506&amp;", "&amp;I$507,'FE Fret'!$G:$U,10,FALSE)),0,VLOOKUP($B510&amp;"; "&amp;$K$506&amp;", "&amp;I$507,'FE Fret'!$G:$U,10,FALSE))
+$M510*IF(ISNA(VLOOKUP($B510&amp;"; "&amp;$N$506&amp;", "&amp;I$507,'FE Fret'!$G:$U,10,FALSE)),0,VLOOKUP($B510&amp;"; "&amp;$N$506&amp;", "&amp;I$507,'FE Fret'!$G:$U,10,FALSE))
+$P510*IF(ISNA(VLOOKUP($B510&amp;"; "&amp;$Q$506&amp;", "&amp;I$507,'FE Fret'!$G:$U,10,FALSE)),0,VLOOKUP($B510&amp;"; "&amp;$Q$506&amp;", "&amp;I$507,'FE Fret'!$G:$U,10,FALSE))</f>
        <v>0</v>
      </c>
      <c r="AJ510" s="565"/>
      <c r="AK510" s="565">
        <f>$G510*IF(ISNA((VLOOKUP($B510&amp;"; "&amp;$H$506&amp;", "&amp;H$507,'FE Fret'!$G:$U,12,FALSE)+VLOOKUP($B510&amp;"; "&amp;$H$506&amp;", "&amp;H$507,'FE Fret'!$G:$U,11,FALSE))),0,(VLOOKUP($B510&amp;"; "&amp;$H$506&amp;", "&amp;H$507,'FE Fret'!$G:$U,12,FALSE)+VLOOKUP($B510&amp;"; "&amp;$H$506&amp;", "&amp;H$507,'FE Fret'!$G:$U,11,FALSE)))
+$J510*IF(ISNA((VLOOKUP($B510&amp;"; "&amp;$K$506&amp;", "&amp;H$507,'FE Fret'!$G:$U,12,FALSE)+VLOOKUP($B510&amp;"; "&amp;$K$506&amp;", "&amp;H$507,'FE Fret'!$G:$U,11,FALSE))),0,(VLOOKUP($B510&amp;"; "&amp;$K$506&amp;", "&amp;H$507,'FE Fret'!$G:$U,12,FALSE)+VLOOKUP($B510&amp;"; "&amp;$K$506&amp;", "&amp;H$507,'FE Fret'!$G:$U,11,FALSE)))
+$M510*IF(ISNA((VLOOKUP($B510&amp;"; "&amp;$N$506&amp;", "&amp;H$507,'FE Fret'!$G:$U,12,FALSE)+VLOOKUP($B510&amp;"; "&amp;$N$506&amp;", "&amp;H$507,'FE Fret'!$G:$U,11,FALSE))),0,(VLOOKUP($B510&amp;"; "&amp;$N$506&amp;", "&amp;H$507,'FE Fret'!$G:$U,12,FALSE)+VLOOKUP($B510&amp;"; "&amp;$N$506&amp;", "&amp;H$507,'FE Fret'!$G:$U,11,FALSE)))
+$P510*IF(ISNA((VLOOKUP($B510&amp;"; "&amp;$Q$506&amp;", "&amp;H$507,'FE Fret'!$G:$U,12,FALSE)+VLOOKUP($B510&amp;"; "&amp;$Q$506&amp;", "&amp;H$507,'FE Fret'!$G:$U,11,FALSE))),0,(VLOOKUP($B510&amp;"; "&amp;$Q$506&amp;", "&amp;H$507,'FE Fret'!$G:$U,12,FALSE)+VLOOKUP($B510&amp;"; "&amp;$Q$506&amp;", "&amp;H$507,'FE Fret'!$G:$U,11,FALSE)))</f>
        <v>0</v>
      </c>
      <c r="AL510" s="565">
        <f>$G510*IF(ISNA((VLOOKUP($B510&amp;"; "&amp;$H$506&amp;", "&amp;I$507,'FE Fret'!$G:$U,12,FALSE)+VLOOKUP($B510&amp;"; "&amp;$H$506&amp;", "&amp;I$507,'FE Fret'!$G:$U,11,FALSE))),0,(VLOOKUP($B510&amp;"; "&amp;$H$506&amp;", "&amp;I$507,'FE Fret'!$G:$U,12,FALSE)+VLOOKUP($B510&amp;"; "&amp;$H$506&amp;", "&amp;I$507,'FE Fret'!$G:$U,11,FALSE)))
+$J510*IF(ISNA((VLOOKUP($B510&amp;"; "&amp;$K$506&amp;", "&amp;I$507,'FE Fret'!$G:$U,12,FALSE)+VLOOKUP($B510&amp;"; "&amp;$K$506&amp;", "&amp;I$507,'FE Fret'!$G:$U,11,FALSE))),0,(VLOOKUP($B510&amp;"; "&amp;$K$506&amp;", "&amp;I$507,'FE Fret'!$G:$U,12,FALSE)+VLOOKUP($B510&amp;"; "&amp;$K$506&amp;", "&amp;I$507,'FE Fret'!$G:$U,11,FALSE)))
+$M510*IF(ISNA((VLOOKUP($B510&amp;"; "&amp;$N$506&amp;", "&amp;I$507,'FE Fret'!$G:$U,12,FALSE)+VLOOKUP($B510&amp;"; "&amp;$N$506&amp;", "&amp;I$507,'FE Fret'!$G:$U,11,FALSE))),0,(VLOOKUP($B510&amp;"; "&amp;$N$506&amp;", "&amp;I$507,'FE Fret'!$G:$U,12,FALSE)+VLOOKUP($B510&amp;"; "&amp;$N$506&amp;", "&amp;I$507,'FE Fret'!$G:$U,11,FALSE)))
+$P510*IF(ISNA((VLOOKUP($B510&amp;"; "&amp;$Q$506&amp;", "&amp;I$507,'FE Fret'!$G:$U,12,FALSE)+VLOOKUP($B510&amp;"; "&amp;$Q$506&amp;", "&amp;I$507,'FE Fret'!$G:$U,11,FALSE))),0,(VLOOKUP($B510&amp;"; "&amp;$Q$506&amp;", "&amp;I$507,'FE Fret'!$G:$U,12,FALSE)+VLOOKUP($B510&amp;"; "&amp;$Q$506&amp;", "&amp;I$507,'FE Fret'!$G:$U,11,FALSE)))</f>
        <v>0</v>
      </c>
      <c r="AM510" s="565"/>
      <c r="AN510" s="565">
        <f>$G510*IF(ISNA(VLOOKUP($B510&amp;"; "&amp;$H$506&amp;", "&amp;H$507,'FE Fret'!$G:$U,13,FALSE)),0,VLOOKUP($B510&amp;"; "&amp;$H$506&amp;", "&amp;H$507,'FE Fret'!$G:$U,13,FALSE))
+$J510*IF(ISNA(VLOOKUP($B510&amp;"; "&amp;$K$506&amp;", "&amp;H$507,'FE Fret'!$G:$U,13,FALSE)),0,VLOOKUP($B510&amp;"; "&amp;$K$506&amp;", "&amp;H$507,'FE Fret'!$G:$U,13,FALSE))
+$M510*IF(ISNA(VLOOKUP($B510&amp;"; "&amp;$N$506&amp;", "&amp;H$507,'FE Fret'!$G:$U,13,FALSE)),0,VLOOKUP($B510&amp;"; "&amp;$N$506&amp;", "&amp;H$507,'FE Fret'!$G:$U,13,FALSE))
+$P510*IF(ISNA(VLOOKUP($B510&amp;"; "&amp;$Q$506&amp;", "&amp;H$507,'FE Fret'!$G:$U,13,FALSE)),0,VLOOKUP($B510&amp;"; "&amp;$Q$506&amp;", "&amp;H$507,'FE Fret'!$G:$U,13,FALSE))</f>
        <v>0</v>
      </c>
      <c r="AO510" s="565">
        <f>$G510*IF(ISNA(VLOOKUP($B510&amp;"; "&amp;$H$506&amp;", "&amp;I$507,'FE Fret'!$G:$U,13,FALSE)),0,VLOOKUP($B510&amp;"; "&amp;$H$506&amp;", "&amp;I$507,'FE Fret'!$G:$U,13,FALSE))
+$J510*IF(ISNA(VLOOKUP($B510&amp;"; "&amp;$K$506&amp;", "&amp;I$507,'FE Fret'!$G:$U,13,FALSE)),0,VLOOKUP($B510&amp;"; "&amp;$K$506&amp;", "&amp;I$507,'FE Fret'!$G:$U,13,FALSE))
+$M510*IF(ISNA(VLOOKUP($B510&amp;"; "&amp;$N$506&amp;", "&amp;I$507,'FE Fret'!$G:$U,13,FALSE)),0,VLOOKUP($B510&amp;"; "&amp;$N$506&amp;", "&amp;I$507,'FE Fret'!$G:$U,13,FALSE))
+$P510*IF(ISNA(VLOOKUP($B510&amp;"; "&amp;$Q$506&amp;", "&amp;I$507,'FE Fret'!$G:$U,13,FALSE)),0,VLOOKUP($B510&amp;"; "&amp;$Q$506&amp;", "&amp;I$507,'FE Fret'!$G:$U,13,FALSE))</f>
        <v>0</v>
      </c>
      <c r="AP510" s="565"/>
      <c r="AQ510" s="565">
        <v>0</v>
      </c>
      <c r="AR510" s="565">
        <v>0</v>
      </c>
      <c r="AS510" s="565"/>
      <c r="AT510" s="566">
        <f t="shared" si="183"/>
        <v>0</v>
      </c>
      <c r="AU510" s="566">
        <f t="shared" si="184"/>
        <v>0</v>
      </c>
      <c r="AV510" s="567"/>
      <c r="AW510" s="565">
        <f>$G510*IF(ISNA(VLOOKUP($B510&amp;"; "&amp;$H$506&amp;", "&amp;H$507,'FE Fret'!$G:$U,15,FALSE)),0,VLOOKUP($B510&amp;"; "&amp;$H$506&amp;", "&amp;H$507,'FE Fret'!$G:$U,15,FALSE))
+$J510*IF(ISNA(VLOOKUP($B510&amp;"; "&amp;$K$506&amp;", "&amp;H$507,'FE Fret'!$G:$U,15,FALSE)),0,VLOOKUP($B510&amp;"; "&amp;$K$506&amp;", "&amp;H$507,'FE Fret'!$G:$U,15,FALSE))
+$M510*IF(ISNA(VLOOKUP($B510&amp;"; "&amp;$N$506&amp;", "&amp;H$507,'FE Fret'!$G:$U,15,FALSE)),0,VLOOKUP($B510&amp;"; "&amp;$N$506&amp;", "&amp;H$507,'FE Fret'!$G:$U,15,FALSE))
+$P510*IF(ISNA(VLOOKUP($B510&amp;"; "&amp;$Q$506&amp;", "&amp;H$507,'FE Fret'!$G:$U,15,FALSE)),0,VLOOKUP($B510&amp;"; "&amp;$Q$506&amp;", "&amp;H$507,'FE Fret'!$G:$U,15,FALSE))</f>
        <v>0</v>
      </c>
      <c r="AX510" s="565">
        <f>$G510*IF(ISNA(VLOOKUP($B510&amp;"; "&amp;$H$506&amp;", "&amp;I$507,'FE Fret'!$G:$U,15,FALSE)),0,VLOOKUP($B510&amp;"; "&amp;$H$506&amp;", "&amp;I$507,'FE Fret'!$G:$U,15,FALSE))
+$J510*IF(ISNA(VLOOKUP($B510&amp;"; "&amp;$K$506&amp;", "&amp;I$507,'FE Fret'!$G:$U,15,FALSE)),0,VLOOKUP($B510&amp;"; "&amp;$K$506&amp;", "&amp;I$507,'FE Fret'!$G:$U,15,FALSE))
+$M510*IF(ISNA(VLOOKUP($B510&amp;"; "&amp;$N$506&amp;", "&amp;I$507,'FE Fret'!$G:$U,15,FALSE)),0,VLOOKUP($B510&amp;"; "&amp;$N$506&amp;", "&amp;I$507,'FE Fret'!$G:$U,15,FALSE))
+$P510*IF(ISNA(VLOOKUP($B510&amp;"; "&amp;$Q$506&amp;", "&amp;I$507,'FE Fret'!$G:$U,15,FALSE)),0,VLOOKUP($B510&amp;"; "&amp;$Q$506&amp;", "&amp;I$507,'FE Fret'!$G:$U,15,FALSE))</f>
        <v>0</v>
      </c>
      <c r="AY510" s="568"/>
      <c r="AZ510" s="565"/>
      <c r="BA510" s="565"/>
      <c r="BB510" s="565"/>
      <c r="BC510" s="565"/>
      <c r="BD510" s="565"/>
      <c r="BE510" s="565"/>
      <c r="BF510" s="565"/>
      <c r="BH510" s="1065">
        <f>IF($Y510&lt;&gt;"votre valeur :",IF(ISNA(VLOOKUP($Y510,Utilitaires!$N$566:$O$571,2,FALSE)),,VLOOKUP($Y510,Utilitaires!$N$566:$O$571,2,FALSE)),$Z510)</f>
        <v>0</v>
      </c>
      <c r="BI510" s="1124">
        <f>IF(ISNA(SQRT(SUMSQ(VLOOKUP($B510&amp;"; "&amp;$H$15&amp;", "&amp;H$16,'FE Fret'!$G:$U,7,FALSE),$BH510))),0,SQRT(SUMSQ(VLOOKUP($B510&amp;"; "&amp;$H$15&amp;", "&amp;$H$16,'FE Fret'!$G:$U,7,FALSE),$BH510)))</f>
        <v>0</v>
      </c>
      <c r="BJ510" s="1068">
        <f>IF(ISNA(SQRT(SUMSQ(VLOOKUP($B510&amp;"; "&amp;$K$15&amp;", "&amp;$K$16,'FE Fret'!$G:$U,7,FALSE),$BH510))),0,SQRT(SUMSQ(VLOOKUP($B510&amp;"; "&amp;$K$15&amp;", "&amp;$K$16,'FE Fret'!$G:$U,7,FALSE),$BH510)))</f>
        <v>0</v>
      </c>
      <c r="BK510" s="1068">
        <f>IF(ISNA(SQRT(SUMSQ(VLOOKUP($B510&amp;"; "&amp;$N$15&amp;", "&amp;$N$16,'FE Fret'!$G:$U,7,FALSE),$BH510))),0,SQRT(SUMSQ(VLOOKUP($B510&amp;"; "&amp;$N$15&amp;", "&amp;$N$16,'FE Fret'!$G:$U,7,FALSE),$BH510)))</f>
        <v>0</v>
      </c>
      <c r="BL510" s="1068">
        <f>IF(ISNA(SQRT(SUMSQ(VLOOKUP($B510&amp;"; "&amp;$Q$15&amp;", "&amp;$Q$16,'FE Fret'!$G:$U,7,FALSE),$BH510))),0,SQRT(SUMSQ(VLOOKUP($B510&amp;"; "&amp;$Q$15&amp;", "&amp;$Q$16,'FE Fret'!$G:$U,7,FALSE),$BH510)))</f>
        <v>0</v>
      </c>
      <c r="BM510" s="1124">
        <f>IF(ISNA(SQRT(SUMSQ(VLOOKUP($B510&amp;"; "&amp;$H$15&amp;", "&amp;I$16,'FE Fret'!$G:$U,7,FALSE),$BH510))),0,SQRT(SUMSQ(VLOOKUP($B510&amp;"; "&amp;$H$15&amp;", "&amp;$I$16,'FE Fret'!$G:$U,7,FALSE),$BH510)))</f>
        <v>0</v>
      </c>
      <c r="BN510" s="1068">
        <f>IF(ISNA(SQRT(SUMSQ(VLOOKUP($B510&amp;"; "&amp;$K$15&amp;", "&amp;$L$16,'FE Fret'!$G:$U,7,FALSE),$BH510))),0,SQRT(SUMSQ(VLOOKUP($B510&amp;"; "&amp;$K$15&amp;", "&amp;$L$16,'FE Fret'!$G:$U,7,FALSE),$BH510)))</f>
        <v>0</v>
      </c>
      <c r="BO510" s="1068">
        <f>IF(ISNA(SQRT(SUMSQ(VLOOKUP($B510&amp;"; "&amp;$N$15&amp;", "&amp;$O$16,'FE Fret'!$G:$U,7,FALSE),$BH510))),0,SQRT(SUMSQ(VLOOKUP($B510&amp;"; "&amp;$N$15&amp;", "&amp;$O$16,'FE Fret'!$G:$U,7,FALSE),$BH510)))</f>
        <v>0</v>
      </c>
      <c r="BP510" s="1125">
        <f>IF(ISNA(SQRT(SUMSQ(VLOOKUP($B510&amp;"; "&amp;$Q$15&amp;", "&amp;$R$16,'FE Fret'!$G:$U,7,FALSE),$BH510))),0,SQRT(SUMSQ(VLOOKUP($B510&amp;"; "&amp;$Q$15&amp;", "&amp;$R$16,'FE Fret'!$G:$U,7,FALSE),$BH510)))</f>
        <v>0</v>
      </c>
    </row>
    <row r="511" spans="1:68" hidden="1" outlineLevel="2">
      <c r="B511" s="143" t="s">
        <v>2329</v>
      </c>
      <c r="C511" s="144"/>
      <c r="D511" s="212">
        <f t="shared" si="176"/>
        <v>0</v>
      </c>
      <c r="E511" s="212"/>
      <c r="F511" s="120"/>
      <c r="G511" s="120"/>
      <c r="H511" s="335" t="e">
        <f>VLOOKUP($B511&amp;"; "&amp;$H$506&amp;", "&amp;H$507,'FE Fret'!$G:$U,9,FALSE)</f>
        <v>#N/A</v>
      </c>
      <c r="I511" s="335" t="e">
        <f>VLOOKUP($B511&amp;"; "&amp;$H$506&amp;", "&amp;I$507,'FE Fret'!$G:$U,9,FALSE)</f>
        <v>#N/A</v>
      </c>
      <c r="J511" s="120"/>
      <c r="K511" s="335" t="e">
        <f>VLOOKUP($B511&amp;"; "&amp;$K$506&amp;", "&amp;K$507,'FE Fret'!$G:$U,9,FALSE)</f>
        <v>#N/A</v>
      </c>
      <c r="L511" s="335" t="e">
        <f>VLOOKUP($B511&amp;"; "&amp;$K$506&amp;", "&amp;L$507,'FE Fret'!$G:$U,9,FALSE)</f>
        <v>#N/A</v>
      </c>
      <c r="M511" s="120"/>
      <c r="N511" s="335" t="e">
        <f>VLOOKUP($B511&amp;"; "&amp;$N$506&amp;", "&amp;N$507,'FE Fret'!$G:$U,9,FALSE)</f>
        <v>#N/A</v>
      </c>
      <c r="O511" s="335" t="e">
        <f>VLOOKUP($B511&amp;"; "&amp;$N$506&amp;", "&amp;O$507,'FE Fret'!$G:$U,9,FALSE)</f>
        <v>#N/A</v>
      </c>
      <c r="P511" s="120"/>
      <c r="Q511" s="335" t="e">
        <f>VLOOKUP($B511&amp;"; "&amp;$Q$506&amp;", "&amp;Q$507,'FE Fret'!$G:$U,9,FALSE)</f>
        <v>#N/A</v>
      </c>
      <c r="R511" s="335" t="e">
        <f>VLOOKUP($B511&amp;"; "&amp;$Q$506&amp;", "&amp;R$507,'FE Fret'!$G:$U,9,FALSE)</f>
        <v>#N/A</v>
      </c>
      <c r="S511" s="356">
        <f t="shared" si="177"/>
        <v>0</v>
      </c>
      <c r="T511" s="356">
        <f t="shared" si="177"/>
        <v>0</v>
      </c>
      <c r="U511" s="1286">
        <f>IF(OR(F511=Utilitaires!$I$572,F511=Utilitaires!$I$577),T511,0)</f>
        <v>0</v>
      </c>
      <c r="X511" s="1092">
        <f t="shared" si="178"/>
        <v>0</v>
      </c>
      <c r="Y511" s="343"/>
      <c r="Z511" s="820"/>
      <c r="AA511" s="164">
        <f t="shared" si="179"/>
        <v>0</v>
      </c>
      <c r="AB511" s="164">
        <f t="shared" si="180"/>
        <v>0</v>
      </c>
      <c r="AC511" s="164"/>
      <c r="AD511" s="151"/>
      <c r="AE511" s="151">
        <f t="shared" si="181"/>
        <v>0</v>
      </c>
      <c r="AF511" s="1286">
        <f t="shared" si="182"/>
        <v>0</v>
      </c>
      <c r="AG511" s="116"/>
      <c r="AH511" s="564">
        <f>$G511*IF(ISNA(VLOOKUP($B511&amp;"; "&amp;$H$506&amp;", "&amp;H$507,'FE Fret'!$G:$U,10,FALSE)),0,VLOOKUP($B511&amp;"; "&amp;$H$506&amp;", "&amp;H$507,'FE Fret'!$G:$U,10,FALSE))
+$J511*IF(ISNA(VLOOKUP($B511&amp;"; "&amp;$K$506&amp;", "&amp;H$507,'FE Fret'!$G:$U,10,FALSE)),0,VLOOKUP($B511&amp;"; "&amp;$K$506&amp;", "&amp;H$507,'FE Fret'!$G:$U,10,FALSE))
+$M511*IF(ISNA(VLOOKUP($B511&amp;"; "&amp;$N$506&amp;", "&amp;H$507,'FE Fret'!$G:$U,10,FALSE)),0,VLOOKUP($B511&amp;"; "&amp;$N$506&amp;", "&amp;H$507,'FE Fret'!$G:$U,10,FALSE))
+$P511*IF(ISNA(VLOOKUP($B511&amp;"; "&amp;$Q$506&amp;", "&amp;H$507,'FE Fret'!$G:$U,10,FALSE)),0,VLOOKUP($B511&amp;"; "&amp;$Q$506&amp;", "&amp;H$507,'FE Fret'!$G:$U,10,FALSE))</f>
        <v>0</v>
      </c>
      <c r="AI511" s="565">
        <f>$G511*IF(ISNA(VLOOKUP($B511&amp;"; "&amp;$H$506&amp;", "&amp;I$507,'FE Fret'!$G:$U,10,FALSE)),0,VLOOKUP($B511&amp;"; "&amp;$H$506&amp;", "&amp;I$507,'FE Fret'!$G:$U,10,FALSE))
+$J511*IF(ISNA(VLOOKUP($B511&amp;"; "&amp;$K$506&amp;", "&amp;I$507,'FE Fret'!$G:$U,10,FALSE)),0,VLOOKUP($B511&amp;"; "&amp;$K$506&amp;", "&amp;I$507,'FE Fret'!$G:$U,10,FALSE))
+$M511*IF(ISNA(VLOOKUP($B511&amp;"; "&amp;$N$506&amp;", "&amp;I$507,'FE Fret'!$G:$U,10,FALSE)),0,VLOOKUP($B511&amp;"; "&amp;$N$506&amp;", "&amp;I$507,'FE Fret'!$G:$U,10,FALSE))
+$P511*IF(ISNA(VLOOKUP($B511&amp;"; "&amp;$Q$506&amp;", "&amp;I$507,'FE Fret'!$G:$U,10,FALSE)),0,VLOOKUP($B511&amp;"; "&amp;$Q$506&amp;", "&amp;I$507,'FE Fret'!$G:$U,10,FALSE))</f>
        <v>0</v>
      </c>
      <c r="AJ511" s="565"/>
      <c r="AK511" s="565">
        <f>$G511*IF(ISNA((VLOOKUP($B511&amp;"; "&amp;$H$506&amp;", "&amp;H$507,'FE Fret'!$G:$U,12,FALSE)+VLOOKUP($B511&amp;"; "&amp;$H$506&amp;", "&amp;H$507,'FE Fret'!$G:$U,11,FALSE))),0,(VLOOKUP($B511&amp;"; "&amp;$H$506&amp;", "&amp;H$507,'FE Fret'!$G:$U,12,FALSE)+VLOOKUP($B511&amp;"; "&amp;$H$506&amp;", "&amp;H$507,'FE Fret'!$G:$U,11,FALSE)))
+$J511*IF(ISNA((VLOOKUP($B511&amp;"; "&amp;$K$506&amp;", "&amp;H$507,'FE Fret'!$G:$U,12,FALSE)+VLOOKUP($B511&amp;"; "&amp;$K$506&amp;", "&amp;H$507,'FE Fret'!$G:$U,11,FALSE))),0,(VLOOKUP($B511&amp;"; "&amp;$K$506&amp;", "&amp;H$507,'FE Fret'!$G:$U,12,FALSE)+VLOOKUP($B511&amp;"; "&amp;$K$506&amp;", "&amp;H$507,'FE Fret'!$G:$U,11,FALSE)))
+$M511*IF(ISNA((VLOOKUP($B511&amp;"; "&amp;$N$506&amp;", "&amp;H$507,'FE Fret'!$G:$U,12,FALSE)+VLOOKUP($B511&amp;"; "&amp;$N$506&amp;", "&amp;H$507,'FE Fret'!$G:$U,11,FALSE))),0,(VLOOKUP($B511&amp;"; "&amp;$N$506&amp;", "&amp;H$507,'FE Fret'!$G:$U,12,FALSE)+VLOOKUP($B511&amp;"; "&amp;$N$506&amp;", "&amp;H$507,'FE Fret'!$G:$U,11,FALSE)))
+$P511*IF(ISNA((VLOOKUP($B511&amp;"; "&amp;$Q$506&amp;", "&amp;H$507,'FE Fret'!$G:$U,12,FALSE)+VLOOKUP($B511&amp;"; "&amp;$Q$506&amp;", "&amp;H$507,'FE Fret'!$G:$U,11,FALSE))),0,(VLOOKUP($B511&amp;"; "&amp;$Q$506&amp;", "&amp;H$507,'FE Fret'!$G:$U,12,FALSE)+VLOOKUP($B511&amp;"; "&amp;$Q$506&amp;", "&amp;H$507,'FE Fret'!$G:$U,11,FALSE)))</f>
        <v>0</v>
      </c>
      <c r="AL511" s="565">
        <f>$G511*IF(ISNA((VLOOKUP($B511&amp;"; "&amp;$H$506&amp;", "&amp;I$507,'FE Fret'!$G:$U,12,FALSE)+VLOOKUP($B511&amp;"; "&amp;$H$506&amp;", "&amp;I$507,'FE Fret'!$G:$U,11,FALSE))),0,(VLOOKUP($B511&amp;"; "&amp;$H$506&amp;", "&amp;I$507,'FE Fret'!$G:$U,12,FALSE)+VLOOKUP($B511&amp;"; "&amp;$H$506&amp;", "&amp;I$507,'FE Fret'!$G:$U,11,FALSE)))
+$J511*IF(ISNA((VLOOKUP($B511&amp;"; "&amp;$K$506&amp;", "&amp;I$507,'FE Fret'!$G:$U,12,FALSE)+VLOOKUP($B511&amp;"; "&amp;$K$506&amp;", "&amp;I$507,'FE Fret'!$G:$U,11,FALSE))),0,(VLOOKUP($B511&amp;"; "&amp;$K$506&amp;", "&amp;I$507,'FE Fret'!$G:$U,12,FALSE)+VLOOKUP($B511&amp;"; "&amp;$K$506&amp;", "&amp;I$507,'FE Fret'!$G:$U,11,FALSE)))
+$M511*IF(ISNA((VLOOKUP($B511&amp;"; "&amp;$N$506&amp;", "&amp;I$507,'FE Fret'!$G:$U,12,FALSE)+VLOOKUP($B511&amp;"; "&amp;$N$506&amp;", "&amp;I$507,'FE Fret'!$G:$U,11,FALSE))),0,(VLOOKUP($B511&amp;"; "&amp;$N$506&amp;", "&amp;I$507,'FE Fret'!$G:$U,12,FALSE)+VLOOKUP($B511&amp;"; "&amp;$N$506&amp;", "&amp;I$507,'FE Fret'!$G:$U,11,FALSE)))
+$P511*IF(ISNA((VLOOKUP($B511&amp;"; "&amp;$Q$506&amp;", "&amp;I$507,'FE Fret'!$G:$U,12,FALSE)+VLOOKUP($B511&amp;"; "&amp;$Q$506&amp;", "&amp;I$507,'FE Fret'!$G:$U,11,FALSE))),0,(VLOOKUP($B511&amp;"; "&amp;$Q$506&amp;", "&amp;I$507,'FE Fret'!$G:$U,12,FALSE)+VLOOKUP($B511&amp;"; "&amp;$Q$506&amp;", "&amp;I$507,'FE Fret'!$G:$U,11,FALSE)))</f>
        <v>0</v>
      </c>
      <c r="AM511" s="565"/>
      <c r="AN511" s="565">
        <f>$G511*IF(ISNA(VLOOKUP($B511&amp;"; "&amp;$H$506&amp;", "&amp;H$507,'FE Fret'!$G:$U,13,FALSE)),0,VLOOKUP($B511&amp;"; "&amp;$H$506&amp;", "&amp;H$507,'FE Fret'!$G:$U,13,FALSE))
+$J511*IF(ISNA(VLOOKUP($B511&amp;"; "&amp;$K$506&amp;", "&amp;H$507,'FE Fret'!$G:$U,13,FALSE)),0,VLOOKUP($B511&amp;"; "&amp;$K$506&amp;", "&amp;H$507,'FE Fret'!$G:$U,13,FALSE))
+$M511*IF(ISNA(VLOOKUP($B511&amp;"; "&amp;$N$506&amp;", "&amp;H$507,'FE Fret'!$G:$U,13,FALSE)),0,VLOOKUP($B511&amp;"; "&amp;$N$506&amp;", "&amp;H$507,'FE Fret'!$G:$U,13,FALSE))
+$P511*IF(ISNA(VLOOKUP($B511&amp;"; "&amp;$Q$506&amp;", "&amp;H$507,'FE Fret'!$G:$U,13,FALSE)),0,VLOOKUP($B511&amp;"; "&amp;$Q$506&amp;", "&amp;H$507,'FE Fret'!$G:$U,13,FALSE))</f>
        <v>0</v>
      </c>
      <c r="AO511" s="565">
        <f>$G511*IF(ISNA(VLOOKUP($B511&amp;"; "&amp;$H$506&amp;", "&amp;I$507,'FE Fret'!$G:$U,13,FALSE)),0,VLOOKUP($B511&amp;"; "&amp;$H$506&amp;", "&amp;I$507,'FE Fret'!$G:$U,13,FALSE))
+$J511*IF(ISNA(VLOOKUP($B511&amp;"; "&amp;$K$506&amp;", "&amp;I$507,'FE Fret'!$G:$U,13,FALSE)),0,VLOOKUP($B511&amp;"; "&amp;$K$506&amp;", "&amp;I$507,'FE Fret'!$G:$U,13,FALSE))
+$M511*IF(ISNA(VLOOKUP($B511&amp;"; "&amp;$N$506&amp;", "&amp;I$507,'FE Fret'!$G:$U,13,FALSE)),0,VLOOKUP($B511&amp;"; "&amp;$N$506&amp;", "&amp;I$507,'FE Fret'!$G:$U,13,FALSE))
+$P511*IF(ISNA(VLOOKUP($B511&amp;"; "&amp;$Q$506&amp;", "&amp;I$507,'FE Fret'!$G:$U,13,FALSE)),0,VLOOKUP($B511&amp;"; "&amp;$Q$506&amp;", "&amp;I$507,'FE Fret'!$G:$U,13,FALSE))</f>
        <v>0</v>
      </c>
      <c r="AP511" s="565"/>
      <c r="AQ511" s="565">
        <v>0</v>
      </c>
      <c r="AR511" s="565">
        <v>0</v>
      </c>
      <c r="AS511" s="565"/>
      <c r="AT511" s="566">
        <f t="shared" si="183"/>
        <v>0</v>
      </c>
      <c r="AU511" s="566">
        <f t="shared" si="184"/>
        <v>0</v>
      </c>
      <c r="AV511" s="567"/>
      <c r="AW511" s="565">
        <f>$G511*IF(ISNA(VLOOKUP($B511&amp;"; "&amp;$H$506&amp;", "&amp;H$507,'FE Fret'!$G:$U,15,FALSE)),0,VLOOKUP($B511&amp;"; "&amp;$H$506&amp;", "&amp;H$507,'FE Fret'!$G:$U,15,FALSE))
+$J511*IF(ISNA(VLOOKUP($B511&amp;"; "&amp;$K$506&amp;", "&amp;H$507,'FE Fret'!$G:$U,15,FALSE)),0,VLOOKUP($B511&amp;"; "&amp;$K$506&amp;", "&amp;H$507,'FE Fret'!$G:$U,15,FALSE))
+$M511*IF(ISNA(VLOOKUP($B511&amp;"; "&amp;$N$506&amp;", "&amp;H$507,'FE Fret'!$G:$U,15,FALSE)),0,VLOOKUP($B511&amp;"; "&amp;$N$506&amp;", "&amp;H$507,'FE Fret'!$G:$U,15,FALSE))
+$P511*IF(ISNA(VLOOKUP($B511&amp;"; "&amp;$Q$506&amp;", "&amp;H$507,'FE Fret'!$G:$U,15,FALSE)),0,VLOOKUP($B511&amp;"; "&amp;$Q$506&amp;", "&amp;H$507,'FE Fret'!$G:$U,15,FALSE))</f>
        <v>0</v>
      </c>
      <c r="AX511" s="565">
        <f>$G511*IF(ISNA(VLOOKUP($B511&amp;"; "&amp;$H$506&amp;", "&amp;I$507,'FE Fret'!$G:$U,15,FALSE)),0,VLOOKUP($B511&amp;"; "&amp;$H$506&amp;", "&amp;I$507,'FE Fret'!$G:$U,15,FALSE))
+$J511*IF(ISNA(VLOOKUP($B511&amp;"; "&amp;$K$506&amp;", "&amp;I$507,'FE Fret'!$G:$U,15,FALSE)),0,VLOOKUP($B511&amp;"; "&amp;$K$506&amp;", "&amp;I$507,'FE Fret'!$G:$U,15,FALSE))
+$M511*IF(ISNA(VLOOKUP($B511&amp;"; "&amp;$N$506&amp;", "&amp;I$507,'FE Fret'!$G:$U,15,FALSE)),0,VLOOKUP($B511&amp;"; "&amp;$N$506&amp;", "&amp;I$507,'FE Fret'!$G:$U,15,FALSE))
+$P511*IF(ISNA(VLOOKUP($B511&amp;"; "&amp;$Q$506&amp;", "&amp;I$507,'FE Fret'!$G:$U,15,FALSE)),0,VLOOKUP($B511&amp;"; "&amp;$Q$506&amp;", "&amp;I$507,'FE Fret'!$G:$U,15,FALSE))</f>
        <v>0</v>
      </c>
      <c r="AY511" s="568"/>
      <c r="AZ511" s="565"/>
      <c r="BA511" s="565"/>
      <c r="BB511" s="565"/>
      <c r="BC511" s="565"/>
      <c r="BD511" s="565"/>
      <c r="BE511" s="565"/>
      <c r="BF511" s="565"/>
      <c r="BH511" s="1065">
        <f>IF($Y511&lt;&gt;"votre valeur :",IF(ISNA(VLOOKUP($Y511,Utilitaires!$N$566:$O$571,2,FALSE)),,VLOOKUP($Y511,Utilitaires!$N$566:$O$571,2,FALSE)),$Z511)</f>
        <v>0</v>
      </c>
      <c r="BI511" s="1124">
        <f>IF(ISNA(SQRT(SUMSQ(VLOOKUP($B511&amp;"; "&amp;$H$15&amp;", "&amp;H$16,'FE Fret'!$G:$U,7,FALSE),$BH511))),0,SQRT(SUMSQ(VLOOKUP($B511&amp;"; "&amp;$H$15&amp;", "&amp;$H$16,'FE Fret'!$G:$U,7,FALSE),$BH511)))</f>
        <v>0</v>
      </c>
      <c r="BJ511" s="1068">
        <f>IF(ISNA(SQRT(SUMSQ(VLOOKUP($B511&amp;"; "&amp;$K$15&amp;", "&amp;$K$16,'FE Fret'!$G:$U,7,FALSE),$BH511))),0,SQRT(SUMSQ(VLOOKUP($B511&amp;"; "&amp;$K$15&amp;", "&amp;$K$16,'FE Fret'!$G:$U,7,FALSE),$BH511)))</f>
        <v>0</v>
      </c>
      <c r="BK511" s="1068">
        <f>IF(ISNA(SQRT(SUMSQ(VLOOKUP($B511&amp;"; "&amp;$N$15&amp;", "&amp;$N$16,'FE Fret'!$G:$U,7,FALSE),$BH511))),0,SQRT(SUMSQ(VLOOKUP($B511&amp;"; "&amp;$N$15&amp;", "&amp;$N$16,'FE Fret'!$G:$U,7,FALSE),$BH511)))</f>
        <v>0</v>
      </c>
      <c r="BL511" s="1068">
        <f>IF(ISNA(SQRT(SUMSQ(VLOOKUP($B511&amp;"; "&amp;$Q$15&amp;", "&amp;$Q$16,'FE Fret'!$G:$U,7,FALSE),$BH511))),0,SQRT(SUMSQ(VLOOKUP($B511&amp;"; "&amp;$Q$15&amp;", "&amp;$Q$16,'FE Fret'!$G:$U,7,FALSE),$BH511)))</f>
        <v>0</v>
      </c>
      <c r="BM511" s="1124">
        <f>IF(ISNA(SQRT(SUMSQ(VLOOKUP($B511&amp;"; "&amp;$H$15&amp;", "&amp;I$16,'FE Fret'!$G:$U,7,FALSE),$BH511))),0,SQRT(SUMSQ(VLOOKUP($B511&amp;"; "&amp;$H$15&amp;", "&amp;$I$16,'FE Fret'!$G:$U,7,FALSE),$BH511)))</f>
        <v>0</v>
      </c>
      <c r="BN511" s="1068">
        <f>IF(ISNA(SQRT(SUMSQ(VLOOKUP($B511&amp;"; "&amp;$K$15&amp;", "&amp;$L$16,'FE Fret'!$G:$U,7,FALSE),$BH511))),0,SQRT(SUMSQ(VLOOKUP($B511&amp;"; "&amp;$K$15&amp;", "&amp;$L$16,'FE Fret'!$G:$U,7,FALSE),$BH511)))</f>
        <v>0</v>
      </c>
      <c r="BO511" s="1068">
        <f>IF(ISNA(SQRT(SUMSQ(VLOOKUP($B511&amp;"; "&amp;$N$15&amp;", "&amp;$O$16,'FE Fret'!$G:$U,7,FALSE),$BH511))),0,SQRT(SUMSQ(VLOOKUP($B511&amp;"; "&amp;$N$15&amp;", "&amp;$O$16,'FE Fret'!$G:$U,7,FALSE),$BH511)))</f>
        <v>0</v>
      </c>
      <c r="BP511" s="1125">
        <f>IF(ISNA(SQRT(SUMSQ(VLOOKUP($B511&amp;"; "&amp;$Q$15&amp;", "&amp;$R$16,'FE Fret'!$G:$U,7,FALSE),$BH511))),0,SQRT(SUMSQ(VLOOKUP($B511&amp;"; "&amp;$Q$15&amp;", "&amp;$R$16,'FE Fret'!$G:$U,7,FALSE),$BH511)))</f>
        <v>0</v>
      </c>
    </row>
    <row r="512" spans="1:68" hidden="1" outlineLevel="2">
      <c r="B512" s="143" t="s">
        <v>1663</v>
      </c>
      <c r="C512" s="144"/>
      <c r="D512" s="212">
        <f t="shared" si="176"/>
        <v>0</v>
      </c>
      <c r="E512" s="212"/>
      <c r="F512" s="120"/>
      <c r="G512" s="120"/>
      <c r="H512" s="335" t="e">
        <f>VLOOKUP($B512&amp;"; "&amp;$H$506&amp;", "&amp;H$507,'FE Fret'!$G:$U,9,FALSE)</f>
        <v>#N/A</v>
      </c>
      <c r="I512" s="335" t="e">
        <f>VLOOKUP($B512&amp;"; "&amp;$H$506&amp;", "&amp;I$507,'FE Fret'!$G:$U,9,FALSE)</f>
        <v>#N/A</v>
      </c>
      <c r="J512" s="120"/>
      <c r="K512" s="335" t="e">
        <f>VLOOKUP($B512&amp;"; "&amp;$K$506&amp;", "&amp;K$507,'FE Fret'!$G:$U,9,FALSE)</f>
        <v>#N/A</v>
      </c>
      <c r="L512" s="335" t="e">
        <f>VLOOKUP($B512&amp;"; "&amp;$K$506&amp;", "&amp;L$507,'FE Fret'!$G:$U,9,FALSE)</f>
        <v>#N/A</v>
      </c>
      <c r="M512" s="120"/>
      <c r="N512" s="335" t="e">
        <f>VLOOKUP($B512&amp;"; "&amp;$N$506&amp;", "&amp;N$507,'FE Fret'!$G:$U,9,FALSE)</f>
        <v>#N/A</v>
      </c>
      <c r="O512" s="335" t="e">
        <f>VLOOKUP($B512&amp;"; "&amp;$N$506&amp;", "&amp;O$507,'FE Fret'!$G:$U,9,FALSE)</f>
        <v>#N/A</v>
      </c>
      <c r="P512" s="120"/>
      <c r="Q512" s="335" t="e">
        <f>VLOOKUP($B512&amp;"; "&amp;$Q$506&amp;", "&amp;Q$507,'FE Fret'!$G:$U,9,FALSE)</f>
        <v>#N/A</v>
      </c>
      <c r="R512" s="335" t="e">
        <f>VLOOKUP($B512&amp;"; "&amp;$Q$506&amp;", "&amp;R$507,'FE Fret'!$G:$U,9,FALSE)</f>
        <v>#N/A</v>
      </c>
      <c r="S512" s="356">
        <f t="shared" si="177"/>
        <v>0</v>
      </c>
      <c r="T512" s="356">
        <f t="shared" si="177"/>
        <v>0</v>
      </c>
      <c r="U512" s="1286">
        <f>IF(OR(F512=Utilitaires!$I$572,F512=Utilitaires!$I$577),T512,0)</f>
        <v>0</v>
      </c>
      <c r="X512" s="1092">
        <f t="shared" si="178"/>
        <v>0</v>
      </c>
      <c r="Y512" s="343"/>
      <c r="Z512" s="820"/>
      <c r="AA512" s="164">
        <f t="shared" si="179"/>
        <v>0</v>
      </c>
      <c r="AB512" s="164">
        <f t="shared" si="180"/>
        <v>0</v>
      </c>
      <c r="AC512" s="164"/>
      <c r="AD512" s="151"/>
      <c r="AE512" s="151">
        <f t="shared" si="181"/>
        <v>0</v>
      </c>
      <c r="AF512" s="1286">
        <f t="shared" si="182"/>
        <v>0</v>
      </c>
      <c r="AG512" s="116"/>
      <c r="AH512" s="564">
        <f>$G512*IF(ISNA(VLOOKUP($B512&amp;"; "&amp;$H$506&amp;", "&amp;H$507,'FE Fret'!$G:$U,10,FALSE)),0,VLOOKUP($B512&amp;"; "&amp;$H$506&amp;", "&amp;H$507,'FE Fret'!$G:$U,10,FALSE))
+$J512*IF(ISNA(VLOOKUP($B512&amp;"; "&amp;$K$506&amp;", "&amp;H$507,'FE Fret'!$G:$U,10,FALSE)),0,VLOOKUP($B512&amp;"; "&amp;$K$506&amp;", "&amp;H$507,'FE Fret'!$G:$U,10,FALSE))
+$M512*IF(ISNA(VLOOKUP($B512&amp;"; "&amp;$N$506&amp;", "&amp;H$507,'FE Fret'!$G:$U,10,FALSE)),0,VLOOKUP($B512&amp;"; "&amp;$N$506&amp;", "&amp;H$507,'FE Fret'!$G:$U,10,FALSE))
+$P512*IF(ISNA(VLOOKUP($B512&amp;"; "&amp;$Q$506&amp;", "&amp;H$507,'FE Fret'!$G:$U,10,FALSE)),0,VLOOKUP($B512&amp;"; "&amp;$Q$506&amp;", "&amp;H$507,'FE Fret'!$G:$U,10,FALSE))</f>
        <v>0</v>
      </c>
      <c r="AI512" s="565">
        <f>$G512*IF(ISNA(VLOOKUP($B512&amp;"; "&amp;$H$506&amp;", "&amp;I$507,'FE Fret'!$G:$U,10,FALSE)),0,VLOOKUP($B512&amp;"; "&amp;$H$506&amp;", "&amp;I$507,'FE Fret'!$G:$U,10,FALSE))
+$J512*IF(ISNA(VLOOKUP($B512&amp;"; "&amp;$K$506&amp;", "&amp;I$507,'FE Fret'!$G:$U,10,FALSE)),0,VLOOKUP($B512&amp;"; "&amp;$K$506&amp;", "&amp;I$507,'FE Fret'!$G:$U,10,FALSE))
+$M512*IF(ISNA(VLOOKUP($B512&amp;"; "&amp;$N$506&amp;", "&amp;I$507,'FE Fret'!$G:$U,10,FALSE)),0,VLOOKUP($B512&amp;"; "&amp;$N$506&amp;", "&amp;I$507,'FE Fret'!$G:$U,10,FALSE))
+$P512*IF(ISNA(VLOOKUP($B512&amp;"; "&amp;$Q$506&amp;", "&amp;I$507,'FE Fret'!$G:$U,10,FALSE)),0,VLOOKUP($B512&amp;"; "&amp;$Q$506&amp;", "&amp;I$507,'FE Fret'!$G:$U,10,FALSE))</f>
        <v>0</v>
      </c>
      <c r="AJ512" s="565"/>
      <c r="AK512" s="565">
        <f>$G512*IF(ISNA((VLOOKUP($B512&amp;"; "&amp;$H$506&amp;", "&amp;H$507,'FE Fret'!$G:$U,12,FALSE)+VLOOKUP($B512&amp;"; "&amp;$H$506&amp;", "&amp;H$507,'FE Fret'!$G:$U,11,FALSE))),0,(VLOOKUP($B512&amp;"; "&amp;$H$506&amp;", "&amp;H$507,'FE Fret'!$G:$U,12,FALSE)+VLOOKUP($B512&amp;"; "&amp;$H$506&amp;", "&amp;H$507,'FE Fret'!$G:$U,11,FALSE)))
+$J512*IF(ISNA((VLOOKUP($B512&amp;"; "&amp;$K$506&amp;", "&amp;H$507,'FE Fret'!$G:$U,12,FALSE)+VLOOKUP($B512&amp;"; "&amp;$K$506&amp;", "&amp;H$507,'FE Fret'!$G:$U,11,FALSE))),0,(VLOOKUP($B512&amp;"; "&amp;$K$506&amp;", "&amp;H$507,'FE Fret'!$G:$U,12,FALSE)+VLOOKUP($B512&amp;"; "&amp;$K$506&amp;", "&amp;H$507,'FE Fret'!$G:$U,11,FALSE)))
+$M512*IF(ISNA((VLOOKUP($B512&amp;"; "&amp;$N$506&amp;", "&amp;H$507,'FE Fret'!$G:$U,12,FALSE)+VLOOKUP($B512&amp;"; "&amp;$N$506&amp;", "&amp;H$507,'FE Fret'!$G:$U,11,FALSE))),0,(VLOOKUP($B512&amp;"; "&amp;$N$506&amp;", "&amp;H$507,'FE Fret'!$G:$U,12,FALSE)+VLOOKUP($B512&amp;"; "&amp;$N$506&amp;", "&amp;H$507,'FE Fret'!$G:$U,11,FALSE)))
+$P512*IF(ISNA((VLOOKUP($B512&amp;"; "&amp;$Q$506&amp;", "&amp;H$507,'FE Fret'!$G:$U,12,FALSE)+VLOOKUP($B512&amp;"; "&amp;$Q$506&amp;", "&amp;H$507,'FE Fret'!$G:$U,11,FALSE))),0,(VLOOKUP($B512&amp;"; "&amp;$Q$506&amp;", "&amp;H$507,'FE Fret'!$G:$U,12,FALSE)+VLOOKUP($B512&amp;"; "&amp;$Q$506&amp;", "&amp;H$507,'FE Fret'!$G:$U,11,FALSE)))</f>
        <v>0</v>
      </c>
      <c r="AL512" s="565">
        <f>$G512*IF(ISNA((VLOOKUP($B512&amp;"; "&amp;$H$506&amp;", "&amp;I$507,'FE Fret'!$G:$U,12,FALSE)+VLOOKUP($B512&amp;"; "&amp;$H$506&amp;", "&amp;I$507,'FE Fret'!$G:$U,11,FALSE))),0,(VLOOKUP($B512&amp;"; "&amp;$H$506&amp;", "&amp;I$507,'FE Fret'!$G:$U,12,FALSE)+VLOOKUP($B512&amp;"; "&amp;$H$506&amp;", "&amp;I$507,'FE Fret'!$G:$U,11,FALSE)))
+$J512*IF(ISNA((VLOOKUP($B512&amp;"; "&amp;$K$506&amp;", "&amp;I$507,'FE Fret'!$G:$U,12,FALSE)+VLOOKUP($B512&amp;"; "&amp;$K$506&amp;", "&amp;I$507,'FE Fret'!$G:$U,11,FALSE))),0,(VLOOKUP($B512&amp;"; "&amp;$K$506&amp;", "&amp;I$507,'FE Fret'!$G:$U,12,FALSE)+VLOOKUP($B512&amp;"; "&amp;$K$506&amp;", "&amp;I$507,'FE Fret'!$G:$U,11,FALSE)))
+$M512*IF(ISNA((VLOOKUP($B512&amp;"; "&amp;$N$506&amp;", "&amp;I$507,'FE Fret'!$G:$U,12,FALSE)+VLOOKUP($B512&amp;"; "&amp;$N$506&amp;", "&amp;I$507,'FE Fret'!$G:$U,11,FALSE))),0,(VLOOKUP($B512&amp;"; "&amp;$N$506&amp;", "&amp;I$507,'FE Fret'!$G:$U,12,FALSE)+VLOOKUP($B512&amp;"; "&amp;$N$506&amp;", "&amp;I$507,'FE Fret'!$G:$U,11,FALSE)))
+$P512*IF(ISNA((VLOOKUP($B512&amp;"; "&amp;$Q$506&amp;", "&amp;I$507,'FE Fret'!$G:$U,12,FALSE)+VLOOKUP($B512&amp;"; "&amp;$Q$506&amp;", "&amp;I$507,'FE Fret'!$G:$U,11,FALSE))),0,(VLOOKUP($B512&amp;"; "&amp;$Q$506&amp;", "&amp;I$507,'FE Fret'!$G:$U,12,FALSE)+VLOOKUP($B512&amp;"; "&amp;$Q$506&amp;", "&amp;I$507,'FE Fret'!$G:$U,11,FALSE)))</f>
        <v>0</v>
      </c>
      <c r="AM512" s="565"/>
      <c r="AN512" s="565">
        <f>$G512*IF(ISNA(VLOOKUP($B512&amp;"; "&amp;$H$506&amp;", "&amp;H$507,'FE Fret'!$G:$U,13,FALSE)),0,VLOOKUP($B512&amp;"; "&amp;$H$506&amp;", "&amp;H$507,'FE Fret'!$G:$U,13,FALSE))
+$J512*IF(ISNA(VLOOKUP($B512&amp;"; "&amp;$K$506&amp;", "&amp;H$507,'FE Fret'!$G:$U,13,FALSE)),0,VLOOKUP($B512&amp;"; "&amp;$K$506&amp;", "&amp;H$507,'FE Fret'!$G:$U,13,FALSE))
+$M512*IF(ISNA(VLOOKUP($B512&amp;"; "&amp;$N$506&amp;", "&amp;H$507,'FE Fret'!$G:$U,13,FALSE)),0,VLOOKUP($B512&amp;"; "&amp;$N$506&amp;", "&amp;H$507,'FE Fret'!$G:$U,13,FALSE))
+$P512*IF(ISNA(VLOOKUP($B512&amp;"; "&amp;$Q$506&amp;", "&amp;H$507,'FE Fret'!$G:$U,13,FALSE)),0,VLOOKUP($B512&amp;"; "&amp;$Q$506&amp;", "&amp;H$507,'FE Fret'!$G:$U,13,FALSE))</f>
        <v>0</v>
      </c>
      <c r="AO512" s="565">
        <f>$G512*IF(ISNA(VLOOKUP($B512&amp;"; "&amp;$H$506&amp;", "&amp;I$507,'FE Fret'!$G:$U,13,FALSE)),0,VLOOKUP($B512&amp;"; "&amp;$H$506&amp;", "&amp;I$507,'FE Fret'!$G:$U,13,FALSE))
+$J512*IF(ISNA(VLOOKUP($B512&amp;"; "&amp;$K$506&amp;", "&amp;I$507,'FE Fret'!$G:$U,13,FALSE)),0,VLOOKUP($B512&amp;"; "&amp;$K$506&amp;", "&amp;I$507,'FE Fret'!$G:$U,13,FALSE))
+$M512*IF(ISNA(VLOOKUP($B512&amp;"; "&amp;$N$506&amp;", "&amp;I$507,'FE Fret'!$G:$U,13,FALSE)),0,VLOOKUP($B512&amp;"; "&amp;$N$506&amp;", "&amp;I$507,'FE Fret'!$G:$U,13,FALSE))
+$P512*IF(ISNA(VLOOKUP($B512&amp;"; "&amp;$Q$506&amp;", "&amp;I$507,'FE Fret'!$G:$U,13,FALSE)),0,VLOOKUP($B512&amp;"; "&amp;$Q$506&amp;", "&amp;I$507,'FE Fret'!$G:$U,13,FALSE))</f>
        <v>0</v>
      </c>
      <c r="AP512" s="565"/>
      <c r="AQ512" s="565">
        <v>0</v>
      </c>
      <c r="AR512" s="565">
        <v>0</v>
      </c>
      <c r="AS512" s="565"/>
      <c r="AT512" s="566">
        <f t="shared" si="183"/>
        <v>0</v>
      </c>
      <c r="AU512" s="566">
        <f t="shared" si="184"/>
        <v>0</v>
      </c>
      <c r="AV512" s="567"/>
      <c r="AW512" s="565">
        <f>$G512*IF(ISNA(VLOOKUP($B512&amp;"; "&amp;$H$506&amp;", "&amp;H$507,'FE Fret'!$G:$U,15,FALSE)),0,VLOOKUP($B512&amp;"; "&amp;$H$506&amp;", "&amp;H$507,'FE Fret'!$G:$U,15,FALSE))
+$J512*IF(ISNA(VLOOKUP($B512&amp;"; "&amp;$K$506&amp;", "&amp;H$507,'FE Fret'!$G:$U,15,FALSE)),0,VLOOKUP($B512&amp;"; "&amp;$K$506&amp;", "&amp;H$507,'FE Fret'!$G:$U,15,FALSE))
+$M512*IF(ISNA(VLOOKUP($B512&amp;"; "&amp;$N$506&amp;", "&amp;H$507,'FE Fret'!$G:$U,15,FALSE)),0,VLOOKUP($B512&amp;"; "&amp;$N$506&amp;", "&amp;H$507,'FE Fret'!$G:$U,15,FALSE))
+$P512*IF(ISNA(VLOOKUP($B512&amp;"; "&amp;$Q$506&amp;", "&amp;H$507,'FE Fret'!$G:$U,15,FALSE)),0,VLOOKUP($B512&amp;"; "&amp;$Q$506&amp;", "&amp;H$507,'FE Fret'!$G:$U,15,FALSE))</f>
        <v>0</v>
      </c>
      <c r="AX512" s="565">
        <f>$G512*IF(ISNA(VLOOKUP($B512&amp;"; "&amp;$H$506&amp;", "&amp;I$507,'FE Fret'!$G:$U,15,FALSE)),0,VLOOKUP($B512&amp;"; "&amp;$H$506&amp;", "&amp;I$507,'FE Fret'!$G:$U,15,FALSE))
+$J512*IF(ISNA(VLOOKUP($B512&amp;"; "&amp;$K$506&amp;", "&amp;I$507,'FE Fret'!$G:$U,15,FALSE)),0,VLOOKUP($B512&amp;"; "&amp;$K$506&amp;", "&amp;I$507,'FE Fret'!$G:$U,15,FALSE))
+$M512*IF(ISNA(VLOOKUP($B512&amp;"; "&amp;$N$506&amp;", "&amp;I$507,'FE Fret'!$G:$U,15,FALSE)),0,VLOOKUP($B512&amp;"; "&amp;$N$506&amp;", "&amp;I$507,'FE Fret'!$G:$U,15,FALSE))
+$P512*IF(ISNA(VLOOKUP($B512&amp;"; "&amp;$Q$506&amp;", "&amp;I$507,'FE Fret'!$G:$U,15,FALSE)),0,VLOOKUP($B512&amp;"; "&amp;$Q$506&amp;", "&amp;I$507,'FE Fret'!$G:$U,15,FALSE))</f>
        <v>0</v>
      </c>
      <c r="AY512" s="568"/>
      <c r="AZ512" s="565"/>
      <c r="BA512" s="565"/>
      <c r="BB512" s="565"/>
      <c r="BC512" s="565"/>
      <c r="BD512" s="565"/>
      <c r="BE512" s="565"/>
      <c r="BF512" s="565"/>
      <c r="BH512" s="1065">
        <f>IF($Y512&lt;&gt;"votre valeur :",IF(ISNA(VLOOKUP($Y512,Utilitaires!$N$566:$O$571,2,FALSE)),,VLOOKUP($Y512,Utilitaires!$N$566:$O$571,2,FALSE)),$Z512)</f>
        <v>0</v>
      </c>
      <c r="BI512" s="1124">
        <f>IF(ISNA(SQRT(SUMSQ(VLOOKUP($B512&amp;"; "&amp;$H$15&amp;", "&amp;H$16,'FE Fret'!$G:$U,7,FALSE),$BH512))),0,SQRT(SUMSQ(VLOOKUP($B512&amp;"; "&amp;$H$15&amp;", "&amp;$H$16,'FE Fret'!$G:$U,7,FALSE),$BH512)))</f>
        <v>0</v>
      </c>
      <c r="BJ512" s="1068">
        <f>IF(ISNA(SQRT(SUMSQ(VLOOKUP($B512&amp;"; "&amp;$K$15&amp;", "&amp;$K$16,'FE Fret'!$G:$U,7,FALSE),$BH512))),0,SQRT(SUMSQ(VLOOKUP($B512&amp;"; "&amp;$K$15&amp;", "&amp;$K$16,'FE Fret'!$G:$U,7,FALSE),$BH512)))</f>
        <v>0</v>
      </c>
      <c r="BK512" s="1068">
        <f>IF(ISNA(SQRT(SUMSQ(VLOOKUP($B512&amp;"; "&amp;$N$15&amp;", "&amp;$N$16,'FE Fret'!$G:$U,7,FALSE),$BH512))),0,SQRT(SUMSQ(VLOOKUP($B512&amp;"; "&amp;$N$15&amp;", "&amp;$N$16,'FE Fret'!$G:$U,7,FALSE),$BH512)))</f>
        <v>0</v>
      </c>
      <c r="BL512" s="1068">
        <f>IF(ISNA(SQRT(SUMSQ(VLOOKUP($B512&amp;"; "&amp;$Q$15&amp;", "&amp;$Q$16,'FE Fret'!$G:$U,7,FALSE),$BH512))),0,SQRT(SUMSQ(VLOOKUP($B512&amp;"; "&amp;$Q$15&amp;", "&amp;$Q$16,'FE Fret'!$G:$U,7,FALSE),$BH512)))</f>
        <v>0</v>
      </c>
      <c r="BM512" s="1124">
        <f>IF(ISNA(SQRT(SUMSQ(VLOOKUP($B512&amp;"; "&amp;$H$15&amp;", "&amp;I$16,'FE Fret'!$G:$U,7,FALSE),$BH512))),0,SQRT(SUMSQ(VLOOKUP($B512&amp;"; "&amp;$H$15&amp;", "&amp;$I$16,'FE Fret'!$G:$U,7,FALSE),$BH512)))</f>
        <v>0</v>
      </c>
      <c r="BN512" s="1068">
        <f>IF(ISNA(SQRT(SUMSQ(VLOOKUP($B512&amp;"; "&amp;$K$15&amp;", "&amp;$L$16,'FE Fret'!$G:$U,7,FALSE),$BH512))),0,SQRT(SUMSQ(VLOOKUP($B512&amp;"; "&amp;$K$15&amp;", "&amp;$L$16,'FE Fret'!$G:$U,7,FALSE),$BH512)))</f>
        <v>0</v>
      </c>
      <c r="BO512" s="1068">
        <f>IF(ISNA(SQRT(SUMSQ(VLOOKUP($B512&amp;"; "&amp;$N$15&amp;", "&amp;$O$16,'FE Fret'!$G:$U,7,FALSE),$BH512))),0,SQRT(SUMSQ(VLOOKUP($B512&amp;"; "&amp;$N$15&amp;", "&amp;$O$16,'FE Fret'!$G:$U,7,FALSE),$BH512)))</f>
        <v>0</v>
      </c>
      <c r="BP512" s="1125">
        <f>IF(ISNA(SQRT(SUMSQ(VLOOKUP($B512&amp;"; "&amp;$Q$15&amp;", "&amp;$R$16,'FE Fret'!$G:$U,7,FALSE),$BH512))),0,SQRT(SUMSQ(VLOOKUP($B512&amp;"; "&amp;$Q$15&amp;", "&amp;$R$16,'FE Fret'!$G:$U,7,FALSE),$BH512)))</f>
        <v>0</v>
      </c>
    </row>
    <row r="513" spans="1:72" hidden="1" outlineLevel="2">
      <c r="B513" s="143" t="s">
        <v>1664</v>
      </c>
      <c r="C513" s="144"/>
      <c r="D513" s="212">
        <f t="shared" si="176"/>
        <v>0</v>
      </c>
      <c r="E513" s="212"/>
      <c r="F513" s="123"/>
      <c r="G513" s="123"/>
      <c r="H513" s="335">
        <f>VLOOKUP($B513&amp;"; "&amp;$H$506&amp;", "&amp;H$507,'FE Fret'!$G:$U,9,FALSE)</f>
        <v>902</v>
      </c>
      <c r="I513" s="335" t="e">
        <f>VLOOKUP($B513&amp;"; "&amp;$H$506&amp;", "&amp;I$507,'FE Fret'!$G:$U,9,FALSE)</f>
        <v>#N/A</v>
      </c>
      <c r="J513" s="123"/>
      <c r="K513" s="335">
        <f>VLOOKUP($B513&amp;"; "&amp;$K$506&amp;", "&amp;K$507,'FE Fret'!$G:$U,9,FALSE)</f>
        <v>0.121</v>
      </c>
      <c r="L513" s="335" t="e">
        <f>VLOOKUP($B513&amp;"; "&amp;$K$506&amp;", "&amp;L$507,'FE Fret'!$G:$U,9,FALSE)</f>
        <v>#N/A</v>
      </c>
      <c r="M513" s="123"/>
      <c r="N513" s="335">
        <f>VLOOKUP($B513&amp;"; "&amp;$N$506&amp;", "&amp;N$507,'FE Fret'!$G:$U,9,FALSE)</f>
        <v>1410</v>
      </c>
      <c r="O513" s="335" t="e">
        <f>VLOOKUP($B513&amp;"; "&amp;$N$506&amp;", "&amp;O$507,'FE Fret'!$G:$U,9,FALSE)</f>
        <v>#N/A</v>
      </c>
      <c r="P513" s="123"/>
      <c r="Q513" s="335">
        <f>VLOOKUP($B513&amp;"; "&amp;$Q$506&amp;", "&amp;Q$507,'FE Fret'!$G:$U,9,FALSE)</f>
        <v>0.71299999999999997</v>
      </c>
      <c r="R513" s="335" t="e">
        <f>VLOOKUP($B513&amp;"; "&amp;$Q$506&amp;", "&amp;R$507,'FE Fret'!$G:$U,9,FALSE)</f>
        <v>#N/A</v>
      </c>
      <c r="S513" s="356">
        <f t="shared" si="177"/>
        <v>0</v>
      </c>
      <c r="T513" s="356">
        <f t="shared" si="177"/>
        <v>0</v>
      </c>
      <c r="U513" s="1286">
        <f>IF(OR(F513=Utilitaires!$I$572,F513=Utilitaires!$I$577),T513,0)</f>
        <v>0</v>
      </c>
      <c r="X513" s="1092">
        <f t="shared" si="178"/>
        <v>0</v>
      </c>
      <c r="Y513" s="1218"/>
      <c r="Z513" s="820"/>
      <c r="AA513" s="164">
        <f t="shared" si="179"/>
        <v>0</v>
      </c>
      <c r="AB513" s="164">
        <f t="shared" si="180"/>
        <v>0</v>
      </c>
      <c r="AC513" s="164"/>
      <c r="AD513" s="151"/>
      <c r="AE513" s="151">
        <f t="shared" si="181"/>
        <v>0</v>
      </c>
      <c r="AF513" s="1286">
        <f t="shared" si="182"/>
        <v>0</v>
      </c>
      <c r="AG513" s="116"/>
      <c r="AH513" s="564">
        <f>$G513*IF(ISNA(VLOOKUP($B513&amp;"; "&amp;$H$506&amp;", "&amp;H$507,'FE Fret'!$G:$U,10,FALSE)),0,VLOOKUP($B513&amp;"; "&amp;$H$506&amp;", "&amp;H$507,'FE Fret'!$G:$U,10,FALSE))
+$J513*IF(ISNA(VLOOKUP($B513&amp;"; "&amp;$K$506&amp;", "&amp;H$507,'FE Fret'!$G:$U,10,FALSE)),0,VLOOKUP($B513&amp;"; "&amp;$K$506&amp;", "&amp;H$507,'FE Fret'!$G:$U,10,FALSE))
+$M513*IF(ISNA(VLOOKUP($B513&amp;"; "&amp;$N$506&amp;", "&amp;H$507,'FE Fret'!$G:$U,10,FALSE)),0,VLOOKUP($B513&amp;"; "&amp;$N$506&amp;", "&amp;H$507,'FE Fret'!$G:$U,10,FALSE))
+$P513*IF(ISNA(VLOOKUP($B513&amp;"; "&amp;$Q$506&amp;", "&amp;H$507,'FE Fret'!$G:$U,10,FALSE)),0,VLOOKUP($B513&amp;"; "&amp;$Q$506&amp;", "&amp;H$507,'FE Fret'!$G:$U,10,FALSE))</f>
        <v>0</v>
      </c>
      <c r="AI513" s="565">
        <f>$G513*IF(ISNA(VLOOKUP($B513&amp;"; "&amp;$H$506&amp;", "&amp;I$507,'FE Fret'!$G:$U,10,FALSE)),0,VLOOKUP($B513&amp;"; "&amp;$H$506&amp;", "&amp;I$507,'FE Fret'!$G:$U,10,FALSE))
+$J513*IF(ISNA(VLOOKUP($B513&amp;"; "&amp;$K$506&amp;", "&amp;I$507,'FE Fret'!$G:$U,10,FALSE)),0,VLOOKUP($B513&amp;"; "&amp;$K$506&amp;", "&amp;I$507,'FE Fret'!$G:$U,10,FALSE))
+$M513*IF(ISNA(VLOOKUP($B513&amp;"; "&amp;$N$506&amp;", "&amp;I$507,'FE Fret'!$G:$U,10,FALSE)),0,VLOOKUP($B513&amp;"; "&amp;$N$506&amp;", "&amp;I$507,'FE Fret'!$G:$U,10,FALSE))
+$P513*IF(ISNA(VLOOKUP($B513&amp;"; "&amp;$Q$506&amp;", "&amp;I$507,'FE Fret'!$G:$U,10,FALSE)),0,VLOOKUP($B513&amp;"; "&amp;$Q$506&amp;", "&amp;I$507,'FE Fret'!$G:$U,10,FALSE))</f>
        <v>0</v>
      </c>
      <c r="AJ513" s="565"/>
      <c r="AK513" s="565">
        <f>$G513*IF(ISNA((VLOOKUP($B513&amp;"; "&amp;$H$506&amp;", "&amp;H$507,'FE Fret'!$G:$U,12,FALSE)+VLOOKUP($B513&amp;"; "&amp;$H$506&amp;", "&amp;H$507,'FE Fret'!$G:$U,11,FALSE))),0,(VLOOKUP($B513&amp;"; "&amp;$H$506&amp;", "&amp;H$507,'FE Fret'!$G:$U,12,FALSE)+VLOOKUP($B513&amp;"; "&amp;$H$506&amp;", "&amp;H$507,'FE Fret'!$G:$U,11,FALSE)))
+$J513*IF(ISNA((VLOOKUP($B513&amp;"; "&amp;$K$506&amp;", "&amp;H$507,'FE Fret'!$G:$U,12,FALSE)+VLOOKUP($B513&amp;"; "&amp;$K$506&amp;", "&amp;H$507,'FE Fret'!$G:$U,11,FALSE))),0,(VLOOKUP($B513&amp;"; "&amp;$K$506&amp;", "&amp;H$507,'FE Fret'!$G:$U,12,FALSE)+VLOOKUP($B513&amp;"; "&amp;$K$506&amp;", "&amp;H$507,'FE Fret'!$G:$U,11,FALSE)))
+$M513*IF(ISNA((VLOOKUP($B513&amp;"; "&amp;$N$506&amp;", "&amp;H$507,'FE Fret'!$G:$U,12,FALSE)+VLOOKUP($B513&amp;"; "&amp;$N$506&amp;", "&amp;H$507,'FE Fret'!$G:$U,11,FALSE))),0,(VLOOKUP($B513&amp;"; "&amp;$N$506&amp;", "&amp;H$507,'FE Fret'!$G:$U,12,FALSE)+VLOOKUP($B513&amp;"; "&amp;$N$506&amp;", "&amp;H$507,'FE Fret'!$G:$U,11,FALSE)))
+$P513*IF(ISNA((VLOOKUP($B513&amp;"; "&amp;$Q$506&amp;", "&amp;H$507,'FE Fret'!$G:$U,12,FALSE)+VLOOKUP($B513&amp;"; "&amp;$Q$506&amp;", "&amp;H$507,'FE Fret'!$G:$U,11,FALSE))),0,(VLOOKUP($B513&amp;"; "&amp;$Q$506&amp;", "&amp;H$507,'FE Fret'!$G:$U,12,FALSE)+VLOOKUP($B513&amp;"; "&amp;$Q$506&amp;", "&amp;H$507,'FE Fret'!$G:$U,11,FALSE)))</f>
        <v>0</v>
      </c>
      <c r="AL513" s="565">
        <f>$G513*IF(ISNA((VLOOKUP($B513&amp;"; "&amp;$H$506&amp;", "&amp;I$507,'FE Fret'!$G:$U,12,FALSE)+VLOOKUP($B513&amp;"; "&amp;$H$506&amp;", "&amp;I$507,'FE Fret'!$G:$U,11,FALSE))),0,(VLOOKUP($B513&amp;"; "&amp;$H$506&amp;", "&amp;I$507,'FE Fret'!$G:$U,12,FALSE)+VLOOKUP($B513&amp;"; "&amp;$H$506&amp;", "&amp;I$507,'FE Fret'!$G:$U,11,FALSE)))
+$J513*IF(ISNA((VLOOKUP($B513&amp;"; "&amp;$K$506&amp;", "&amp;I$507,'FE Fret'!$G:$U,12,FALSE)+VLOOKUP($B513&amp;"; "&amp;$K$506&amp;", "&amp;I$507,'FE Fret'!$G:$U,11,FALSE))),0,(VLOOKUP($B513&amp;"; "&amp;$K$506&amp;", "&amp;I$507,'FE Fret'!$G:$U,12,FALSE)+VLOOKUP($B513&amp;"; "&amp;$K$506&amp;", "&amp;I$507,'FE Fret'!$G:$U,11,FALSE)))
+$M513*IF(ISNA((VLOOKUP($B513&amp;"; "&amp;$N$506&amp;", "&amp;I$507,'FE Fret'!$G:$U,12,FALSE)+VLOOKUP($B513&amp;"; "&amp;$N$506&amp;", "&amp;I$507,'FE Fret'!$G:$U,11,FALSE))),0,(VLOOKUP($B513&amp;"; "&amp;$N$506&amp;", "&amp;I$507,'FE Fret'!$G:$U,12,FALSE)+VLOOKUP($B513&amp;"; "&amp;$N$506&amp;", "&amp;I$507,'FE Fret'!$G:$U,11,FALSE)))
+$P513*IF(ISNA((VLOOKUP($B513&amp;"; "&amp;$Q$506&amp;", "&amp;I$507,'FE Fret'!$G:$U,12,FALSE)+VLOOKUP($B513&amp;"; "&amp;$Q$506&amp;", "&amp;I$507,'FE Fret'!$G:$U,11,FALSE))),0,(VLOOKUP($B513&amp;"; "&amp;$Q$506&amp;", "&amp;I$507,'FE Fret'!$G:$U,12,FALSE)+VLOOKUP($B513&amp;"; "&amp;$Q$506&amp;", "&amp;I$507,'FE Fret'!$G:$U,11,FALSE)))</f>
        <v>0</v>
      </c>
      <c r="AM513" s="565"/>
      <c r="AN513" s="565">
        <f>$G513*IF(ISNA(VLOOKUP($B513&amp;"; "&amp;$H$506&amp;", "&amp;H$507,'FE Fret'!$G:$U,13,FALSE)),0,VLOOKUP($B513&amp;"; "&amp;$H$506&amp;", "&amp;H$507,'FE Fret'!$G:$U,13,FALSE))
+$J513*IF(ISNA(VLOOKUP($B513&amp;"; "&amp;$K$506&amp;", "&amp;H$507,'FE Fret'!$G:$U,13,FALSE)),0,VLOOKUP($B513&amp;"; "&amp;$K$506&amp;", "&amp;H$507,'FE Fret'!$G:$U,13,FALSE))
+$M513*IF(ISNA(VLOOKUP($B513&amp;"; "&amp;$N$506&amp;", "&amp;H$507,'FE Fret'!$G:$U,13,FALSE)),0,VLOOKUP($B513&amp;"; "&amp;$N$506&amp;", "&amp;H$507,'FE Fret'!$G:$U,13,FALSE))
+$P513*IF(ISNA(VLOOKUP($B513&amp;"; "&amp;$Q$506&amp;", "&amp;H$507,'FE Fret'!$G:$U,13,FALSE)),0,VLOOKUP($B513&amp;"; "&amp;$Q$506&amp;", "&amp;H$507,'FE Fret'!$G:$U,13,FALSE))</f>
        <v>0</v>
      </c>
      <c r="AO513" s="565">
        <f>$G513*IF(ISNA(VLOOKUP($B513&amp;"; "&amp;$H$506&amp;", "&amp;I$507,'FE Fret'!$G:$U,13,FALSE)),0,VLOOKUP($B513&amp;"; "&amp;$H$506&amp;", "&amp;I$507,'FE Fret'!$G:$U,13,FALSE))
+$J513*IF(ISNA(VLOOKUP($B513&amp;"; "&amp;$K$506&amp;", "&amp;I$507,'FE Fret'!$G:$U,13,FALSE)),0,VLOOKUP($B513&amp;"; "&amp;$K$506&amp;", "&amp;I$507,'FE Fret'!$G:$U,13,FALSE))
+$M513*IF(ISNA(VLOOKUP($B513&amp;"; "&amp;$N$506&amp;", "&amp;I$507,'FE Fret'!$G:$U,13,FALSE)),0,VLOOKUP($B513&amp;"; "&amp;$N$506&amp;", "&amp;I$507,'FE Fret'!$G:$U,13,FALSE))
+$P513*IF(ISNA(VLOOKUP($B513&amp;"; "&amp;$Q$506&amp;", "&amp;I$507,'FE Fret'!$G:$U,13,FALSE)),0,VLOOKUP($B513&amp;"; "&amp;$Q$506&amp;", "&amp;I$507,'FE Fret'!$G:$U,13,FALSE))</f>
        <v>0</v>
      </c>
      <c r="AP513" s="565"/>
      <c r="AQ513" s="565">
        <v>0</v>
      </c>
      <c r="AR513" s="565">
        <v>0</v>
      </c>
      <c r="AS513" s="565"/>
      <c r="AT513" s="566">
        <f t="shared" si="183"/>
        <v>0</v>
      </c>
      <c r="AU513" s="566">
        <f t="shared" si="184"/>
        <v>0</v>
      </c>
      <c r="AV513" s="567"/>
      <c r="AW513" s="565">
        <f>$G513*IF(ISNA(VLOOKUP($B513&amp;"; "&amp;$H$506&amp;", "&amp;H$507,'FE Fret'!$G:$U,15,FALSE)),0,VLOOKUP($B513&amp;"; "&amp;$H$506&amp;", "&amp;H$507,'FE Fret'!$G:$U,15,FALSE))
+$J513*IF(ISNA(VLOOKUP($B513&amp;"; "&amp;$K$506&amp;", "&amp;H$507,'FE Fret'!$G:$U,15,FALSE)),0,VLOOKUP($B513&amp;"; "&amp;$K$506&amp;", "&amp;H$507,'FE Fret'!$G:$U,15,FALSE))
+$M513*IF(ISNA(VLOOKUP($B513&amp;"; "&amp;$N$506&amp;", "&amp;H$507,'FE Fret'!$G:$U,15,FALSE)),0,VLOOKUP($B513&amp;"; "&amp;$N$506&amp;", "&amp;H$507,'FE Fret'!$G:$U,15,FALSE))
+$P513*IF(ISNA(VLOOKUP($B513&amp;"; "&amp;$Q$506&amp;", "&amp;H$507,'FE Fret'!$G:$U,15,FALSE)),0,VLOOKUP($B513&amp;"; "&amp;$Q$506&amp;", "&amp;H$507,'FE Fret'!$G:$U,15,FALSE))</f>
        <v>0</v>
      </c>
      <c r="AX513" s="565">
        <f>$G513*IF(ISNA(VLOOKUP($B513&amp;"; "&amp;$H$506&amp;", "&amp;I$507,'FE Fret'!$G:$U,15,FALSE)),0,VLOOKUP($B513&amp;"; "&amp;$H$506&amp;", "&amp;I$507,'FE Fret'!$G:$U,15,FALSE))
+$J513*IF(ISNA(VLOOKUP($B513&amp;"; "&amp;$K$506&amp;", "&amp;I$507,'FE Fret'!$G:$U,15,FALSE)),0,VLOOKUP($B513&amp;"; "&amp;$K$506&amp;", "&amp;I$507,'FE Fret'!$G:$U,15,FALSE))
+$M513*IF(ISNA(VLOOKUP($B513&amp;"; "&amp;$N$506&amp;", "&amp;I$507,'FE Fret'!$G:$U,15,FALSE)),0,VLOOKUP($B513&amp;"; "&amp;$N$506&amp;", "&amp;I$507,'FE Fret'!$G:$U,15,FALSE))
+$P513*IF(ISNA(VLOOKUP($B513&amp;"; "&amp;$Q$506&amp;", "&amp;I$507,'FE Fret'!$G:$U,15,FALSE)),0,VLOOKUP($B513&amp;"; "&amp;$Q$506&amp;", "&amp;I$507,'FE Fret'!$G:$U,15,FALSE))</f>
        <v>0</v>
      </c>
      <c r="AY513" s="568"/>
      <c r="AZ513" s="565"/>
      <c r="BA513" s="565"/>
      <c r="BB513" s="565"/>
      <c r="BC513" s="565"/>
      <c r="BD513" s="565"/>
      <c r="BE513" s="565"/>
      <c r="BF513" s="565"/>
      <c r="BH513" s="1065">
        <f>IF($Y513&lt;&gt;"votre valeur :",IF(ISNA(VLOOKUP($Y513,Utilitaires!$N$566:$O$571,2,FALSE)),,VLOOKUP($Y513,Utilitaires!$N$566:$O$571,2,FALSE)),$Z513)</f>
        <v>0</v>
      </c>
      <c r="BI513" s="1124">
        <f>IF(ISNA(SQRT(SUMSQ(VLOOKUP($B513&amp;"; "&amp;$H$15&amp;", "&amp;H$16,'FE Fret'!$G:$U,7,FALSE),$BH513))),0,SQRT(SUMSQ(VLOOKUP($B513&amp;"; "&amp;$H$15&amp;", "&amp;$H$16,'FE Fret'!$G:$U,7,FALSE),$BH513)))</f>
        <v>0.2</v>
      </c>
      <c r="BJ513" s="1068">
        <f>IF(ISNA(SQRT(SUMSQ(VLOOKUP($B513&amp;"; "&amp;$K$15&amp;", "&amp;$K$16,'FE Fret'!$G:$U,7,FALSE),$BH513))),0,SQRT(SUMSQ(VLOOKUP($B513&amp;"; "&amp;$K$15&amp;", "&amp;$K$16,'FE Fret'!$G:$U,7,FALSE),$BH513)))</f>
        <v>0.2</v>
      </c>
      <c r="BK513" s="1068">
        <f>IF(ISNA(SQRT(SUMSQ(VLOOKUP($B513&amp;"; "&amp;$N$15&amp;", "&amp;$N$16,'FE Fret'!$G:$U,7,FALSE),$BH513))),0,SQRT(SUMSQ(VLOOKUP($B513&amp;"; "&amp;$N$15&amp;", "&amp;$N$16,'FE Fret'!$G:$U,7,FALSE),$BH513)))</f>
        <v>0.2</v>
      </c>
      <c r="BL513" s="1068">
        <f>IF(ISNA(SQRT(SUMSQ(VLOOKUP($B513&amp;"; "&amp;$Q$15&amp;", "&amp;$Q$16,'FE Fret'!$G:$U,7,FALSE),$BH513))),0,SQRT(SUMSQ(VLOOKUP($B513&amp;"; "&amp;$Q$15&amp;", "&amp;$Q$16,'FE Fret'!$G:$U,7,FALSE),$BH513)))</f>
        <v>0.2</v>
      </c>
      <c r="BM513" s="1124">
        <f>IF(ISNA(SQRT(SUMSQ(VLOOKUP($B513&amp;"; "&amp;$H$15&amp;", "&amp;I$16,'FE Fret'!$G:$U,7,FALSE),$BH513))),0,SQRT(SUMSQ(VLOOKUP($B513&amp;"; "&amp;$H$15&amp;", "&amp;$I$16,'FE Fret'!$G:$U,7,FALSE),$BH513)))</f>
        <v>0</v>
      </c>
      <c r="BN513" s="1068">
        <f>IF(ISNA(SQRT(SUMSQ(VLOOKUP($B513&amp;"; "&amp;$K$15&amp;", "&amp;$L$16,'FE Fret'!$G:$U,7,FALSE),$BH513))),0,SQRT(SUMSQ(VLOOKUP($B513&amp;"; "&amp;$K$15&amp;", "&amp;$L$16,'FE Fret'!$G:$U,7,FALSE),$BH513)))</f>
        <v>0</v>
      </c>
      <c r="BO513" s="1068">
        <f>IF(ISNA(SQRT(SUMSQ(VLOOKUP($B513&amp;"; "&amp;$N$15&amp;", "&amp;$O$16,'FE Fret'!$G:$U,7,FALSE),$BH513))),0,SQRT(SUMSQ(VLOOKUP($B513&amp;"; "&amp;$N$15&amp;", "&amp;$O$16,'FE Fret'!$G:$U,7,FALSE),$BH513)))</f>
        <v>0</v>
      </c>
      <c r="BP513" s="1125">
        <f>IF(ISNA(SQRT(SUMSQ(VLOOKUP($B513&amp;"; "&amp;$Q$15&amp;", "&amp;$R$16,'FE Fret'!$G:$U,7,FALSE),$BH513))),0,SQRT(SUMSQ(VLOOKUP($B513&amp;"; "&amp;$Q$15&amp;", "&amp;$R$16,'FE Fret'!$G:$U,7,FALSE),$BH513)))</f>
        <v>0</v>
      </c>
    </row>
    <row r="514" spans="1:72" hidden="1" outlineLevel="2">
      <c r="B514" s="154"/>
      <c r="C514" s="155"/>
      <c r="D514" s="221"/>
      <c r="E514" s="221"/>
      <c r="F514" s="155"/>
      <c r="G514" s="155"/>
      <c r="H514" s="155"/>
      <c r="I514" s="155"/>
      <c r="J514" s="155"/>
      <c r="K514" s="155"/>
      <c r="L514" s="155"/>
      <c r="M514" s="155"/>
      <c r="N514" s="155"/>
      <c r="O514" s="155"/>
      <c r="P514" s="155"/>
      <c r="Q514" s="155"/>
      <c r="R514" s="155"/>
      <c r="S514" s="1268"/>
      <c r="T514" s="354"/>
      <c r="U514" s="1336"/>
      <c r="X514" s="143"/>
      <c r="Y514" s="144"/>
      <c r="Z514" s="144"/>
      <c r="AA514" s="164"/>
      <c r="AB514" s="164"/>
      <c r="AC514" s="164"/>
      <c r="AD514" s="151"/>
      <c r="AE514" s="151"/>
      <c r="AF514" s="1287"/>
      <c r="AG514" s="116"/>
      <c r="AH514" s="564"/>
      <c r="AI514" s="565"/>
      <c r="AJ514" s="565"/>
      <c r="AK514" s="565"/>
      <c r="AL514" s="565"/>
      <c r="AM514" s="565"/>
      <c r="AN514" s="565"/>
      <c r="AO514" s="565"/>
      <c r="AP514" s="565"/>
      <c r="AQ514" s="565"/>
      <c r="AR514" s="565"/>
      <c r="AS514" s="565"/>
      <c r="AT514" s="566"/>
      <c r="AU514" s="566"/>
      <c r="AV514" s="567"/>
      <c r="AW514" s="565"/>
      <c r="AX514" s="565"/>
      <c r="AY514" s="568"/>
      <c r="AZ514" s="565"/>
      <c r="BA514" s="565"/>
      <c r="BB514" s="565"/>
      <c r="BC514" s="565"/>
      <c r="BD514" s="565"/>
      <c r="BE514" s="565"/>
      <c r="BF514" s="565"/>
      <c r="BH514" s="1087"/>
      <c r="BI514" s="1126"/>
      <c r="BJ514" s="1073"/>
      <c r="BK514" s="1073"/>
      <c r="BL514" s="1074"/>
      <c r="BM514" s="1075"/>
      <c r="BN514" s="1076"/>
      <c r="BO514" s="1076"/>
      <c r="BP514" s="1077"/>
    </row>
    <row r="515" spans="1:72" ht="12.75" hidden="1" customHeight="1" outlineLevel="2">
      <c r="B515" s="370" t="s">
        <v>348</v>
      </c>
      <c r="C515" s="371"/>
      <c r="D515" s="1339">
        <f>SUM(D508:D514)</f>
        <v>0</v>
      </c>
      <c r="E515" s="1339"/>
      <c r="F515" s="1340"/>
      <c r="G515" s="350"/>
      <c r="H515" s="350"/>
      <c r="I515" s="350"/>
      <c r="J515" s="350"/>
      <c r="K515" s="350"/>
      <c r="L515" s="350"/>
      <c r="M515" s="350"/>
      <c r="N515" s="350"/>
      <c r="O515" s="350"/>
      <c r="P515" s="350"/>
      <c r="Q515" s="199"/>
      <c r="R515" s="202"/>
      <c r="S515" s="202">
        <f>SUM(S508:S514)</f>
        <v>0</v>
      </c>
      <c r="T515" s="202">
        <f>SUM(T508:T514)</f>
        <v>0</v>
      </c>
      <c r="U515" s="1311">
        <f>SUM(U508:U514)</f>
        <v>0</v>
      </c>
      <c r="X515" s="1204">
        <f>IF(AE515=0,AE515,AE515/D515)</f>
        <v>0</v>
      </c>
      <c r="Y515" s="199"/>
      <c r="Z515" s="199"/>
      <c r="AA515" s="203">
        <f>SQRT(SUMSQ(AA508:AA514))</f>
        <v>0</v>
      </c>
      <c r="AB515" s="203">
        <f>SQRT(SUMSQ(AB508:AB514))</f>
        <v>0</v>
      </c>
      <c r="AC515" s="203"/>
      <c r="AD515" s="203"/>
      <c r="AE515" s="202">
        <f>SQRT(SUMSQ(AE508:AE514))</f>
        <v>0</v>
      </c>
      <c r="AF515" s="340">
        <f>SQRT(SUMSQ(AF508:AF514))</f>
        <v>0</v>
      </c>
      <c r="AH515" s="571">
        <f>SUM(AH508:AH514)</f>
        <v>0</v>
      </c>
      <c r="AI515" s="572">
        <f>SUM(AI508:AI514)</f>
        <v>0</v>
      </c>
      <c r="AJ515" s="572"/>
      <c r="AK515" s="572">
        <f>SUM(AK508:AK514)</f>
        <v>0</v>
      </c>
      <c r="AL515" s="572">
        <f>SUM(AL508:AL514)</f>
        <v>0</v>
      </c>
      <c r="AM515" s="572"/>
      <c r="AN515" s="572">
        <f>SUM(AN508:AN514)</f>
        <v>0</v>
      </c>
      <c r="AO515" s="572">
        <f>SUM(AO508:AO514)</f>
        <v>0</v>
      </c>
      <c r="AP515" s="572"/>
      <c r="AQ515" s="572">
        <f>SUM(AQ508:AQ514)</f>
        <v>0</v>
      </c>
      <c r="AR515" s="572">
        <f>SUM(AR508:AR514)</f>
        <v>0</v>
      </c>
      <c r="AS515" s="572"/>
      <c r="AT515" s="573">
        <f>SUM(AT508:AT514)</f>
        <v>0</v>
      </c>
      <c r="AU515" s="573">
        <f>SUM(AU508:AU514)</f>
        <v>0</v>
      </c>
      <c r="AV515" s="574"/>
      <c r="AW515" s="1082">
        <f>SUM(AW508:AW514)</f>
        <v>0</v>
      </c>
      <c r="AX515" s="572">
        <f>SUM(AX508:AX514)</f>
        <v>0</v>
      </c>
      <c r="AY515" s="575"/>
      <c r="AZ515" s="2447"/>
      <c r="BA515" s="2447"/>
      <c r="BB515" s="2447"/>
      <c r="BC515" s="2447"/>
      <c r="BD515" s="2447"/>
      <c r="BE515" s="2447"/>
      <c r="BF515" s="2447"/>
    </row>
    <row r="516" spans="1:72" ht="12.75" hidden="1" customHeight="1" outlineLevel="2">
      <c r="P516" s="116"/>
      <c r="V516" s="109"/>
      <c r="W516" s="109"/>
      <c r="X516" s="109"/>
      <c r="Y516" s="109"/>
      <c r="Z516" s="109"/>
      <c r="AA516" s="109"/>
      <c r="AB516" s="109"/>
      <c r="AC516" s="109"/>
      <c r="AP516" s="588"/>
    </row>
    <row r="517" spans="1:72" ht="12.75" hidden="1" customHeight="1" outlineLevel="2">
      <c r="B517" s="139" t="s">
        <v>3683</v>
      </c>
      <c r="C517" s="140"/>
      <c r="D517" s="140"/>
      <c r="E517" s="140"/>
      <c r="F517" s="140"/>
      <c r="G517" s="141"/>
      <c r="H517" s="141"/>
      <c r="I517" s="179"/>
      <c r="T517" s="116"/>
      <c r="U517" s="116"/>
      <c r="V517" s="116"/>
      <c r="W517" s="116"/>
      <c r="X517" s="2636" t="s">
        <v>366</v>
      </c>
      <c r="Y517" s="2637"/>
      <c r="Z517" s="2637"/>
      <c r="AA517" s="2637"/>
      <c r="AB517" s="2637"/>
      <c r="AC517" s="2637"/>
      <c r="AD517" s="2637"/>
      <c r="AE517" s="2638"/>
      <c r="AF517" s="116"/>
      <c r="AH517" s="2639" t="s">
        <v>441</v>
      </c>
      <c r="AI517" s="2640"/>
      <c r="AJ517" s="2640"/>
      <c r="AK517" s="2640"/>
      <c r="AL517" s="2640"/>
      <c r="AM517" s="2640"/>
      <c r="AN517" s="2640"/>
      <c r="AO517" s="2640"/>
      <c r="AP517" s="2640"/>
      <c r="AQ517" s="2640"/>
      <c r="AR517" s="2640"/>
      <c r="AS517" s="2640"/>
      <c r="AT517" s="2640"/>
      <c r="AU517" s="2640"/>
      <c r="AV517" s="2640"/>
      <c r="AW517" s="2640"/>
      <c r="AX517" s="2640"/>
      <c r="AY517" s="2641"/>
      <c r="AZ517" s="2418"/>
      <c r="BA517" s="2418"/>
      <c r="BB517" s="2418"/>
      <c r="BC517" s="2418"/>
      <c r="BD517" s="2418"/>
      <c r="BE517" s="2418"/>
      <c r="BF517" s="2418"/>
    </row>
    <row r="518" spans="1:72" ht="12.75" hidden="1" customHeight="1" outlineLevel="2">
      <c r="B518" s="332"/>
      <c r="C518" s="167"/>
      <c r="D518" s="1334" t="s">
        <v>308</v>
      </c>
      <c r="E518" s="1663"/>
      <c r="F518" s="144"/>
      <c r="G518" s="144"/>
      <c r="H518" s="144"/>
      <c r="I518" s="1337" t="s">
        <v>444</v>
      </c>
      <c r="T518" s="116"/>
      <c r="U518" s="116"/>
      <c r="X518" s="1316"/>
      <c r="Y518" s="1317"/>
      <c r="Z518" s="1317"/>
      <c r="AA518" s="1334"/>
      <c r="AB518" s="1334"/>
      <c r="AC518" s="2423"/>
      <c r="AD518" s="1334"/>
      <c r="AE518" s="1337" t="s">
        <v>444</v>
      </c>
      <c r="AG518" s="109"/>
      <c r="AH518" s="2642" t="s">
        <v>444</v>
      </c>
      <c r="AI518" s="2643"/>
      <c r="AJ518" s="2643"/>
      <c r="AK518" s="2643"/>
      <c r="AL518" s="2643"/>
      <c r="AM518" s="2643"/>
      <c r="AN518" s="2643"/>
      <c r="AO518" s="2643"/>
      <c r="AP518" s="2643"/>
      <c r="AQ518" s="2643"/>
      <c r="AR518" s="2643"/>
      <c r="AS518" s="2643"/>
      <c r="AT518" s="2643" t="s">
        <v>444</v>
      </c>
      <c r="AU518" s="2643"/>
      <c r="AV518" s="628"/>
      <c r="AW518" s="624"/>
      <c r="AX518" s="624"/>
      <c r="AY518" s="1291"/>
      <c r="AZ518" s="2286"/>
      <c r="BA518" s="2286"/>
      <c r="BB518" s="2286"/>
      <c r="BC518" s="2286"/>
      <c r="BD518" s="2286"/>
      <c r="BE518" s="2286"/>
      <c r="BF518" s="2286"/>
      <c r="BH518" s="2616" t="s">
        <v>1648</v>
      </c>
      <c r="BI518" s="2618"/>
    </row>
    <row r="519" spans="1:72" ht="12.75" hidden="1" customHeight="1" outlineLevel="2">
      <c r="B519" s="143"/>
      <c r="C519" s="144"/>
      <c r="D519" s="1317" t="s">
        <v>409</v>
      </c>
      <c r="E519" s="1656"/>
      <c r="F519" s="147" t="s">
        <v>452</v>
      </c>
      <c r="G519" s="147" t="s">
        <v>3670</v>
      </c>
      <c r="H519" s="1317"/>
      <c r="I519" s="220" t="s">
        <v>880</v>
      </c>
      <c r="T519" s="116"/>
      <c r="U519" s="116"/>
      <c r="V519" s="109"/>
      <c r="W519" s="109"/>
      <c r="X519" s="1316" t="s">
        <v>316</v>
      </c>
      <c r="Y519" s="2629" t="s">
        <v>316</v>
      </c>
      <c r="Z519" s="2630"/>
      <c r="AA519" s="1317"/>
      <c r="AB519" s="1317"/>
      <c r="AC519" s="2419"/>
      <c r="AD519" s="1317"/>
      <c r="AE519" s="220" t="s">
        <v>880</v>
      </c>
      <c r="AF519" s="109"/>
      <c r="AG519" s="109"/>
      <c r="AH519" s="2631" t="s">
        <v>211</v>
      </c>
      <c r="AI519" s="2632"/>
      <c r="AJ519" s="2632"/>
      <c r="AK519" s="2632" t="s">
        <v>442</v>
      </c>
      <c r="AL519" s="2632"/>
      <c r="AM519" s="2632"/>
      <c r="AN519" s="2632" t="s">
        <v>267</v>
      </c>
      <c r="AO519" s="2632"/>
      <c r="AP519" s="2632"/>
      <c r="AQ519" s="2632" t="s">
        <v>443</v>
      </c>
      <c r="AR519" s="2632"/>
      <c r="AS519" s="2632"/>
      <c r="AT519" s="2648" t="s">
        <v>327</v>
      </c>
      <c r="AU519" s="2648"/>
      <c r="AV519" s="568"/>
      <c r="AW519" s="2631" t="s">
        <v>636</v>
      </c>
      <c r="AX519" s="2632"/>
      <c r="AY519" s="568"/>
      <c r="AZ519" s="565"/>
      <c r="BA519" s="565"/>
      <c r="BB519" s="565"/>
      <c r="BC519" s="565"/>
      <c r="BD519" s="565"/>
      <c r="BE519" s="565"/>
      <c r="BF519" s="565"/>
      <c r="BH519" s="2837" t="s">
        <v>1646</v>
      </c>
      <c r="BI519" s="1141"/>
    </row>
    <row r="520" spans="1:72" ht="12.75" hidden="1" customHeight="1" outlineLevel="2">
      <c r="B520" s="143"/>
      <c r="C520" s="144"/>
      <c r="D520" s="1317" t="s">
        <v>444</v>
      </c>
      <c r="E520" s="1656"/>
      <c r="F520" s="1321" t="s">
        <v>445</v>
      </c>
      <c r="G520" s="1321" t="s">
        <v>881</v>
      </c>
      <c r="H520" s="1317"/>
      <c r="I520" s="220" t="s">
        <v>257</v>
      </c>
      <c r="T520" s="116"/>
      <c r="U520" s="116"/>
      <c r="V520" s="109"/>
      <c r="W520" s="109"/>
      <c r="X520" s="1316" t="s">
        <v>1649</v>
      </c>
      <c r="Y520" s="2646" t="s">
        <v>1650</v>
      </c>
      <c r="Z520" s="2647"/>
      <c r="AA520" s="1322"/>
      <c r="AB520" s="1322"/>
      <c r="AC520" s="1662"/>
      <c r="AD520" s="1322"/>
      <c r="AE520" s="220" t="s">
        <v>257</v>
      </c>
      <c r="AF520" s="109"/>
      <c r="AH520" s="1331"/>
      <c r="AI520" s="1332"/>
      <c r="AJ520" s="1332"/>
      <c r="AK520" s="1332"/>
      <c r="AL520" s="1332"/>
      <c r="AM520" s="1332"/>
      <c r="AN520" s="1332"/>
      <c r="AO520" s="1332"/>
      <c r="AP520" s="1332"/>
      <c r="AQ520" s="1332"/>
      <c r="AR520" s="1332"/>
      <c r="AS520" s="1332"/>
      <c r="AT520" s="581"/>
      <c r="AU520" s="581"/>
      <c r="AV520" s="582"/>
      <c r="AW520" s="1332"/>
      <c r="AX520" s="1332"/>
      <c r="AY520" s="1333"/>
      <c r="AZ520" s="2286"/>
      <c r="BA520" s="2286"/>
      <c r="BB520" s="2286"/>
      <c r="BC520" s="2286"/>
      <c r="BD520" s="2286"/>
      <c r="BE520" s="2286"/>
      <c r="BF520" s="2286"/>
      <c r="BH520" s="2838"/>
      <c r="BI520" s="1326"/>
    </row>
    <row r="521" spans="1:72" ht="12.75" hidden="1" customHeight="1" outlineLevel="2">
      <c r="B521" s="143" t="s">
        <v>3669</v>
      </c>
      <c r="C521" s="144"/>
      <c r="D521" s="212">
        <f>I521</f>
        <v>0</v>
      </c>
      <c r="E521" s="212"/>
      <c r="F521" s="117"/>
      <c r="G521" s="117"/>
      <c r="H521" s="218"/>
      <c r="I521" s="152">
        <f>G521</f>
        <v>0</v>
      </c>
      <c r="T521" s="116"/>
      <c r="U521" s="116"/>
      <c r="X521" s="1092">
        <f>IF(AE521=0,AE521,AE521/D521)</f>
        <v>0</v>
      </c>
      <c r="Y521" s="343"/>
      <c r="Z521" s="820"/>
      <c r="AA521" s="164"/>
      <c r="AB521" s="164"/>
      <c r="AC521" s="164"/>
      <c r="AD521" s="164"/>
      <c r="AE521" s="152">
        <f>I521*BI521</f>
        <v>0</v>
      </c>
      <c r="AH521" s="564">
        <f>D521</f>
        <v>0</v>
      </c>
      <c r="AI521" s="565"/>
      <c r="AJ521" s="565"/>
      <c r="AK521" s="565"/>
      <c r="AL521" s="565"/>
      <c r="AM521" s="565"/>
      <c r="AN521" s="565"/>
      <c r="AO521" s="565"/>
      <c r="AP521" s="565"/>
      <c r="AQ521" s="565"/>
      <c r="AR521" s="565"/>
      <c r="AS521" s="565"/>
      <c r="AT521" s="566">
        <f>SUM(AH521:AQ521)</f>
        <v>0</v>
      </c>
      <c r="AU521" s="566"/>
      <c r="AV521" s="567"/>
      <c r="AW521" s="565"/>
      <c r="AX521" s="565"/>
      <c r="AY521" s="568"/>
      <c r="AZ521" s="565"/>
      <c r="BA521" s="565"/>
      <c r="BB521" s="565"/>
      <c r="BC521" s="565"/>
      <c r="BD521" s="565"/>
      <c r="BE521" s="565"/>
      <c r="BF521" s="565"/>
      <c r="BH521" s="1065">
        <f>IF($Y521&lt;&gt;"votre valeur :",IF(ISNA(VLOOKUP($Y521,Utilitaires!$N$566:$O$571,2,FALSE)),,VLOOKUP($Y521,Utilitaires!$N$566:$O$571,2,FALSE)),$Z521)</f>
        <v>0</v>
      </c>
      <c r="BI521" s="1130">
        <f>SQRT(SUMSQ(0,BH521))</f>
        <v>0</v>
      </c>
    </row>
    <row r="522" spans="1:72" ht="12.75" hidden="1" customHeight="1" outlineLevel="2">
      <c r="B522" s="143" t="s">
        <v>3669</v>
      </c>
      <c r="C522" s="144"/>
      <c r="D522" s="212">
        <f>I522</f>
        <v>0</v>
      </c>
      <c r="E522" s="212"/>
      <c r="F522" s="120"/>
      <c r="G522" s="120"/>
      <c r="H522" s="218"/>
      <c r="I522" s="152">
        <f t="shared" ref="I522:I523" si="185">G522</f>
        <v>0</v>
      </c>
      <c r="T522" s="116"/>
      <c r="U522" s="116"/>
      <c r="X522" s="1092">
        <f>IF(AE522=0,AE522,AE522/D522)</f>
        <v>0</v>
      </c>
      <c r="Y522" s="343"/>
      <c r="Z522" s="820"/>
      <c r="AA522" s="164"/>
      <c r="AB522" s="164"/>
      <c r="AC522" s="164"/>
      <c r="AD522" s="164"/>
      <c r="AE522" s="152">
        <f>I522*BI522</f>
        <v>0</v>
      </c>
      <c r="AH522" s="564">
        <f>D522</f>
        <v>0</v>
      </c>
      <c r="AI522" s="565"/>
      <c r="AJ522" s="565"/>
      <c r="AK522" s="565"/>
      <c r="AL522" s="565"/>
      <c r="AM522" s="565"/>
      <c r="AN522" s="565"/>
      <c r="AO522" s="565"/>
      <c r="AP522" s="565"/>
      <c r="AQ522" s="565"/>
      <c r="AR522" s="565"/>
      <c r="AS522" s="565"/>
      <c r="AT522" s="566">
        <f>SUM(AH522:AQ522)</f>
        <v>0</v>
      </c>
      <c r="AU522" s="566"/>
      <c r="AV522" s="567"/>
      <c r="AW522" s="565"/>
      <c r="AX522" s="565"/>
      <c r="AY522" s="568"/>
      <c r="AZ522" s="565"/>
      <c r="BA522" s="565"/>
      <c r="BB522" s="565"/>
      <c r="BC522" s="565"/>
      <c r="BD522" s="565"/>
      <c r="BE522" s="565"/>
      <c r="BF522" s="565"/>
      <c r="BH522" s="1065">
        <f>IF($Y522&lt;&gt;"votre valeur :",IF(ISNA(VLOOKUP($Y522,Utilitaires!$N$566:$O$571,2,FALSE)),,VLOOKUP($Y522,Utilitaires!$N$566:$O$571,2,FALSE)),$Z522)</f>
        <v>0</v>
      </c>
      <c r="BI522" s="1130">
        <f>SQRT(SUMSQ(0,BH522))</f>
        <v>0</v>
      </c>
    </row>
    <row r="523" spans="1:72" ht="12.75" hidden="1" customHeight="1" outlineLevel="2">
      <c r="B523" s="143" t="s">
        <v>3669</v>
      </c>
      <c r="C523" s="144"/>
      <c r="D523" s="212">
        <f>I523</f>
        <v>0</v>
      </c>
      <c r="E523" s="212"/>
      <c r="F523" s="123"/>
      <c r="G523" s="123"/>
      <c r="H523" s="218"/>
      <c r="I523" s="152">
        <f t="shared" si="185"/>
        <v>0</v>
      </c>
      <c r="T523" s="116"/>
      <c r="U523" s="116"/>
      <c r="X523" s="1092">
        <f>IF(AE523=0,AE523,AE523/D523)</f>
        <v>0</v>
      </c>
      <c r="Y523" s="1094"/>
      <c r="Z523" s="820"/>
      <c r="AA523" s="164"/>
      <c r="AB523" s="164"/>
      <c r="AC523" s="164"/>
      <c r="AD523" s="164"/>
      <c r="AE523" s="152">
        <f>I523*BI523</f>
        <v>0</v>
      </c>
      <c r="AH523" s="564">
        <f>D523</f>
        <v>0</v>
      </c>
      <c r="AI523" s="565"/>
      <c r="AJ523" s="565"/>
      <c r="AK523" s="565"/>
      <c r="AL523" s="565"/>
      <c r="AM523" s="565"/>
      <c r="AN523" s="565"/>
      <c r="AO523" s="565"/>
      <c r="AP523" s="565"/>
      <c r="AQ523" s="565"/>
      <c r="AR523" s="565"/>
      <c r="AS523" s="565"/>
      <c r="AT523" s="566">
        <f>SUM(AH523:AQ523)</f>
        <v>0</v>
      </c>
      <c r="AU523" s="566"/>
      <c r="AV523" s="567"/>
      <c r="AW523" s="565"/>
      <c r="AX523" s="565"/>
      <c r="AY523" s="568"/>
      <c r="AZ523" s="565"/>
      <c r="BA523" s="565"/>
      <c r="BB523" s="565"/>
      <c r="BC523" s="565"/>
      <c r="BD523" s="565"/>
      <c r="BE523" s="565"/>
      <c r="BF523" s="565"/>
      <c r="BH523" s="1065">
        <f>IF($Y523&lt;&gt;"votre valeur :",IF(ISNA(VLOOKUP($Y523,Utilitaires!$N$566:$O$571,2,FALSE)),,VLOOKUP($Y523,Utilitaires!$N$566:$O$571,2,FALSE)),$Z523)</f>
        <v>0</v>
      </c>
      <c r="BI523" s="1130">
        <f>SQRT(SUMSQ(0,BH523))</f>
        <v>0</v>
      </c>
    </row>
    <row r="524" spans="1:72" ht="12.75" hidden="1" customHeight="1" outlineLevel="2">
      <c r="B524" s="143"/>
      <c r="C524" s="144"/>
      <c r="D524" s="212"/>
      <c r="E524" s="212"/>
      <c r="F524" s="353"/>
      <c r="G524" s="144"/>
      <c r="H524" s="144"/>
      <c r="I524" s="156"/>
      <c r="T524" s="116"/>
      <c r="U524" s="116"/>
      <c r="X524" s="1092"/>
      <c r="Y524" s="155"/>
      <c r="Z524" s="169"/>
      <c r="AA524" s="155"/>
      <c r="AB524" s="155"/>
      <c r="AC524" s="155"/>
      <c r="AD524" s="155"/>
      <c r="AE524" s="165"/>
      <c r="AH524" s="569"/>
      <c r="AI524" s="625"/>
      <c r="AJ524" s="625"/>
      <c r="AK524" s="625"/>
      <c r="AL524" s="625"/>
      <c r="AM524" s="625"/>
      <c r="AN524" s="625"/>
      <c r="AO524" s="625"/>
      <c r="AP524" s="625"/>
      <c r="AQ524" s="625"/>
      <c r="AR524" s="625"/>
      <c r="AS524" s="625"/>
      <c r="AT524" s="1313"/>
      <c r="AU524" s="1313"/>
      <c r="AV524" s="1314"/>
      <c r="AW524" s="565"/>
      <c r="AX524" s="565"/>
      <c r="AY524" s="568"/>
      <c r="AZ524" s="565"/>
      <c r="BA524" s="565"/>
      <c r="BB524" s="565"/>
      <c r="BC524" s="565"/>
      <c r="BD524" s="565"/>
      <c r="BE524" s="565"/>
      <c r="BF524" s="565"/>
      <c r="BH524" s="1087"/>
      <c r="BI524" s="1153"/>
    </row>
    <row r="525" spans="1:72" ht="12.75" hidden="1" customHeight="1" outlineLevel="2">
      <c r="B525" s="196" t="s">
        <v>348</v>
      </c>
      <c r="C525" s="197"/>
      <c r="D525" s="214">
        <f>SUM(D521:D524)</f>
        <v>0</v>
      </c>
      <c r="E525" s="214"/>
      <c r="F525" s="198"/>
      <c r="G525" s="197"/>
      <c r="H525" s="197"/>
      <c r="I525" s="200">
        <f>SUM(I521:I524)</f>
        <v>0</v>
      </c>
      <c r="T525" s="116"/>
      <c r="U525" s="116"/>
      <c r="X525" s="1204">
        <f>IF(AE525=0,AE525,AE525/D525)</f>
        <v>0</v>
      </c>
      <c r="Y525" s="199"/>
      <c r="Z525" s="199"/>
      <c r="AA525" s="199"/>
      <c r="AB525" s="199"/>
      <c r="AC525" s="199"/>
      <c r="AD525" s="199"/>
      <c r="AE525" s="200">
        <f>SQRT(SUMSQ(AE521:AE524))</f>
        <v>0</v>
      </c>
      <c r="AH525" s="1308">
        <f>SUM(AH521:AH524)</f>
        <v>0</v>
      </c>
      <c r="AI525" s="1309"/>
      <c r="AJ525" s="1309"/>
      <c r="AK525" s="1309"/>
      <c r="AL525" s="1309"/>
      <c r="AM525" s="1309"/>
      <c r="AN525" s="1309"/>
      <c r="AO525" s="1309"/>
      <c r="AP525" s="1309"/>
      <c r="AQ525" s="1309"/>
      <c r="AR525" s="1309"/>
      <c r="AS525" s="1309"/>
      <c r="AT525" s="1312">
        <f>SUM(AT521:AT524)</f>
        <v>0</v>
      </c>
      <c r="AU525" s="1312"/>
      <c r="AV525" s="1312"/>
      <c r="AW525" s="1082"/>
      <c r="AX525" s="572"/>
      <c r="AY525" s="575"/>
      <c r="AZ525" s="2447"/>
      <c r="BA525" s="2447"/>
      <c r="BB525" s="2447"/>
      <c r="BC525" s="2447"/>
      <c r="BD525" s="2447"/>
      <c r="BE525" s="2447"/>
      <c r="BF525" s="2447"/>
    </row>
    <row r="526" spans="1:72" ht="12.75" hidden="1" customHeight="1" outlineLevel="2">
      <c r="AG526" s="109"/>
      <c r="AH526" s="588"/>
      <c r="AI526" s="588"/>
      <c r="AJ526" s="588"/>
      <c r="AK526" s="588"/>
      <c r="AL526" s="588"/>
      <c r="AM526" s="588"/>
      <c r="AN526" s="588"/>
      <c r="AR526" s="588"/>
      <c r="AS526" s="588"/>
    </row>
    <row r="527" spans="1:72" ht="12.75" hidden="1" customHeight="1" outlineLevel="2">
      <c r="B527" s="1091" t="s">
        <v>2347</v>
      </c>
      <c r="C527" s="140"/>
      <c r="D527" s="140"/>
      <c r="E527" s="140"/>
      <c r="F527" s="140"/>
      <c r="G527" s="140"/>
      <c r="H527" s="140"/>
      <c r="I527" s="140"/>
      <c r="J527" s="140"/>
      <c r="K527" s="140"/>
      <c r="L527" s="140"/>
      <c r="M527" s="140"/>
      <c r="N527" s="140"/>
      <c r="O527" s="1341"/>
      <c r="X527" s="2636" t="s">
        <v>366</v>
      </c>
      <c r="Y527" s="2637"/>
      <c r="Z527" s="2637"/>
      <c r="AA527" s="2637"/>
      <c r="AB527" s="2637"/>
      <c r="AC527" s="2637"/>
      <c r="AD527" s="2637"/>
      <c r="AE527" s="2637"/>
      <c r="AF527" s="2638"/>
      <c r="AH527" s="2639" t="s">
        <v>441</v>
      </c>
      <c r="AI527" s="2640"/>
      <c r="AJ527" s="2640"/>
      <c r="AK527" s="2640"/>
      <c r="AL527" s="2640"/>
      <c r="AM527" s="2640"/>
      <c r="AN527" s="2640"/>
      <c r="AO527" s="2640"/>
      <c r="AP527" s="2640"/>
      <c r="AQ527" s="2640"/>
      <c r="AR527" s="2640"/>
      <c r="AS527" s="2640"/>
      <c r="AT527" s="2640"/>
      <c r="AU527" s="2640"/>
      <c r="AV527" s="2640"/>
      <c r="AW527" s="2640"/>
      <c r="AX527" s="2640"/>
      <c r="AY527" s="2641"/>
      <c r="AZ527" s="2418"/>
      <c r="BA527" s="2418"/>
      <c r="BB527" s="2418"/>
      <c r="BC527" s="2418"/>
      <c r="BD527" s="2418"/>
      <c r="BE527" s="2418"/>
      <c r="BF527" s="2418"/>
    </row>
    <row r="528" spans="1:72" s="1078" customFormat="1" ht="12.75" hidden="1" customHeight="1" outlineLevel="2">
      <c r="A528" s="114"/>
      <c r="B528" s="143"/>
      <c r="C528" s="144"/>
      <c r="D528" s="1334" t="s">
        <v>308</v>
      </c>
      <c r="E528" s="1663"/>
      <c r="F528" s="1317"/>
      <c r="G528" s="155"/>
      <c r="H528" s="1857"/>
      <c r="I528" s="1857"/>
      <c r="J528" s="155"/>
      <c r="K528" s="144"/>
      <c r="L528" s="144"/>
      <c r="M528" s="167" t="s">
        <v>233</v>
      </c>
      <c r="N528" s="167"/>
      <c r="O528" s="153" t="s">
        <v>275</v>
      </c>
      <c r="P528" s="1877"/>
      <c r="Q528" s="1877"/>
      <c r="R528" s="1877"/>
      <c r="S528" s="1877"/>
      <c r="T528" s="1877"/>
      <c r="U528" s="1877"/>
      <c r="V528" s="1877"/>
      <c r="W528" s="262"/>
      <c r="X528" s="1316"/>
      <c r="Y528" s="819"/>
      <c r="Z528" s="819"/>
      <c r="AA528" s="144"/>
      <c r="AB528" s="1317"/>
      <c r="AC528" s="2419"/>
      <c r="AD528" s="1317"/>
      <c r="AE528" s="1334"/>
      <c r="AF528" s="1320" t="s">
        <v>275</v>
      </c>
      <c r="AG528" s="114"/>
      <c r="AH528" s="2642" t="s">
        <v>444</v>
      </c>
      <c r="AI528" s="2643"/>
      <c r="AJ528" s="2643"/>
      <c r="AK528" s="2643"/>
      <c r="AL528" s="2643"/>
      <c r="AM528" s="2643"/>
      <c r="AN528" s="2643"/>
      <c r="AO528" s="2643"/>
      <c r="AP528" s="2643"/>
      <c r="AQ528" s="2643"/>
      <c r="AR528" s="2643"/>
      <c r="AS528" s="2643"/>
      <c r="AT528" s="2643" t="s">
        <v>444</v>
      </c>
      <c r="AU528" s="2643"/>
      <c r="AV528" s="565"/>
      <c r="AW528" s="1288"/>
      <c r="AX528" s="566"/>
      <c r="AY528" s="1333"/>
      <c r="AZ528" s="2286"/>
      <c r="BA528" s="2286"/>
      <c r="BB528" s="2286"/>
      <c r="BC528" s="2286"/>
      <c r="BD528" s="2286"/>
      <c r="BE528" s="2286"/>
      <c r="BF528" s="2286"/>
      <c r="BG528" s="114"/>
      <c r="BH528" s="2616" t="s">
        <v>1648</v>
      </c>
      <c r="BI528" s="2617"/>
      <c r="BJ528" s="2617"/>
      <c r="BK528" s="2617"/>
      <c r="BL528" s="2617"/>
      <c r="BM528" s="2617"/>
      <c r="BN528" s="2618"/>
      <c r="BO528" s="116"/>
      <c r="BP528" s="116"/>
      <c r="BQ528" s="116"/>
      <c r="BR528" s="116"/>
      <c r="BS528" s="116"/>
      <c r="BT528" s="116"/>
    </row>
    <row r="529" spans="2:66" ht="12.75" hidden="1" customHeight="1" outlineLevel="2">
      <c r="B529" s="143"/>
      <c r="C529" s="144"/>
      <c r="D529" s="1317" t="s">
        <v>409</v>
      </c>
      <c r="E529" s="1656"/>
      <c r="F529" s="1320" t="s">
        <v>452</v>
      </c>
      <c r="G529" s="153"/>
      <c r="H529" s="143" t="s">
        <v>2247</v>
      </c>
      <c r="I529" s="144"/>
      <c r="J529" s="153"/>
      <c r="K529" s="143" t="s">
        <v>2324</v>
      </c>
      <c r="L529" s="144"/>
      <c r="M529" s="1334" t="s">
        <v>444</v>
      </c>
      <c r="N529" s="1334" t="s">
        <v>444</v>
      </c>
      <c r="O529" s="153" t="s">
        <v>276</v>
      </c>
      <c r="W529" s="262"/>
      <c r="X529" s="1316" t="s">
        <v>316</v>
      </c>
      <c r="Y529" s="2629" t="s">
        <v>316</v>
      </c>
      <c r="Z529" s="2630"/>
      <c r="AA529" s="1317" t="s">
        <v>444</v>
      </c>
      <c r="AB529" s="1317" t="s">
        <v>444</v>
      </c>
      <c r="AC529" s="2419"/>
      <c r="AD529" s="1317"/>
      <c r="AE529" s="1334" t="s">
        <v>444</v>
      </c>
      <c r="AF529" s="153" t="s">
        <v>276</v>
      </c>
      <c r="AH529" s="2631" t="s">
        <v>211</v>
      </c>
      <c r="AI529" s="2632"/>
      <c r="AJ529" s="2632"/>
      <c r="AK529" s="2632" t="s">
        <v>442</v>
      </c>
      <c r="AL529" s="2632"/>
      <c r="AM529" s="2632"/>
      <c r="AN529" s="2632" t="s">
        <v>267</v>
      </c>
      <c r="AO529" s="2632"/>
      <c r="AP529" s="2632"/>
      <c r="AQ529" s="2632" t="s">
        <v>443</v>
      </c>
      <c r="AR529" s="2632"/>
      <c r="AS529" s="2632"/>
      <c r="AT529" s="2648" t="s">
        <v>327</v>
      </c>
      <c r="AU529" s="2648"/>
      <c r="AV529" s="565"/>
      <c r="AW529" s="2631" t="s">
        <v>636</v>
      </c>
      <c r="AX529" s="2632"/>
      <c r="AY529" s="568"/>
      <c r="AZ529" s="565"/>
      <c r="BA529" s="565"/>
      <c r="BB529" s="565"/>
      <c r="BC529" s="565"/>
      <c r="BD529" s="565"/>
      <c r="BE529" s="565"/>
      <c r="BF529" s="565"/>
      <c r="BH529" s="2837" t="s">
        <v>1646</v>
      </c>
      <c r="BI529" s="2833" t="s">
        <v>2222</v>
      </c>
      <c r="BJ529" s="2834"/>
      <c r="BK529" s="2835"/>
      <c r="BL529" s="2833" t="s">
        <v>2324</v>
      </c>
      <c r="BM529" s="2834"/>
      <c r="BN529" s="2835"/>
    </row>
    <row r="530" spans="2:66" ht="12.75" hidden="1" customHeight="1" outlineLevel="2">
      <c r="B530" s="536"/>
      <c r="C530" s="144"/>
      <c r="D530" s="1317" t="s">
        <v>444</v>
      </c>
      <c r="E530" s="1656"/>
      <c r="F530" s="1321" t="s">
        <v>445</v>
      </c>
      <c r="G530" s="1321" t="s">
        <v>38</v>
      </c>
      <c r="H530" s="1662" t="s">
        <v>411</v>
      </c>
      <c r="I530" s="1662" t="s">
        <v>257</v>
      </c>
      <c r="J530" s="153" t="s">
        <v>2330</v>
      </c>
      <c r="K530" s="1662" t="s">
        <v>411</v>
      </c>
      <c r="L530" s="1322" t="s">
        <v>257</v>
      </c>
      <c r="M530" s="1318" t="s">
        <v>411</v>
      </c>
      <c r="N530" s="1318" t="s">
        <v>257</v>
      </c>
      <c r="O530" s="153" t="s">
        <v>444</v>
      </c>
      <c r="W530" s="262"/>
      <c r="X530" s="1316" t="s">
        <v>1649</v>
      </c>
      <c r="Y530" s="2646" t="s">
        <v>1650</v>
      </c>
      <c r="Z530" s="2647"/>
      <c r="AA530" s="1322" t="s">
        <v>411</v>
      </c>
      <c r="AB530" s="1322" t="s">
        <v>257</v>
      </c>
      <c r="AC530" s="1662"/>
      <c r="AD530" s="1322"/>
      <c r="AE530" s="166" t="s">
        <v>327</v>
      </c>
      <c r="AF530" s="153" t="s">
        <v>444</v>
      </c>
      <c r="AH530" s="1331" t="s">
        <v>411</v>
      </c>
      <c r="AI530" s="1332" t="s">
        <v>257</v>
      </c>
      <c r="AJ530" s="1332"/>
      <c r="AK530" s="1332" t="s">
        <v>411</v>
      </c>
      <c r="AL530" s="1332" t="s">
        <v>257</v>
      </c>
      <c r="AM530" s="1332"/>
      <c r="AN530" s="1332" t="s">
        <v>411</v>
      </c>
      <c r="AO530" s="1332" t="s">
        <v>257</v>
      </c>
      <c r="AP530" s="1332"/>
      <c r="AQ530" s="1332" t="s">
        <v>411</v>
      </c>
      <c r="AR530" s="1332" t="s">
        <v>257</v>
      </c>
      <c r="AS530" s="1332"/>
      <c r="AT530" s="581" t="s">
        <v>411</v>
      </c>
      <c r="AU530" s="581" t="s">
        <v>257</v>
      </c>
      <c r="AV530" s="581"/>
      <c r="AW530" s="1331" t="s">
        <v>411</v>
      </c>
      <c r="AX530" s="1332" t="s">
        <v>257</v>
      </c>
      <c r="AY530" s="1333"/>
      <c r="AZ530" s="2286"/>
      <c r="BA530" s="2286"/>
      <c r="BB530" s="2286"/>
      <c r="BC530" s="2286"/>
      <c r="BD530" s="2286"/>
      <c r="BE530" s="2286"/>
      <c r="BF530" s="2286"/>
      <c r="BH530" s="2838"/>
      <c r="BI530" s="1325" t="s">
        <v>411</v>
      </c>
      <c r="BJ530" s="1325" t="s">
        <v>257</v>
      </c>
      <c r="BK530" s="1327"/>
      <c r="BL530" s="1325" t="s">
        <v>411</v>
      </c>
      <c r="BM530" s="1325" t="s">
        <v>257</v>
      </c>
      <c r="BN530" s="1327"/>
    </row>
    <row r="531" spans="2:66" ht="12.75" hidden="1" customHeight="1" outlineLevel="2">
      <c r="B531" s="143" t="s">
        <v>4027</v>
      </c>
      <c r="C531" s="144"/>
      <c r="D531" s="212">
        <f>SUM(M531:N531)</f>
        <v>0</v>
      </c>
      <c r="E531" s="212"/>
      <c r="F531" s="409"/>
      <c r="G531" s="117"/>
      <c r="H531" s="335" t="e">
        <f>VLOOKUP($B531&amp;"; "&amp;$H$529&amp;", "&amp;H$530,'FE Fret'!$G:$U,9,FALSE)</f>
        <v>#N/A</v>
      </c>
      <c r="I531" s="335" t="e">
        <f>VLOOKUP($B531&amp;"; "&amp;$H$529&amp;", "&amp;I$530,'FE Fret'!$G:$U,9,FALSE)</f>
        <v>#N/A</v>
      </c>
      <c r="J531" s="117"/>
      <c r="K531" s="335">
        <f>VLOOKUP($B531&amp;"; "&amp;$K$529&amp;", "&amp;K$530,'FE Fret'!$G:$U,9,FALSE)</f>
        <v>1.2099999999999999E-3</v>
      </c>
      <c r="L531" s="335">
        <f>VLOOKUP($B531&amp;"; "&amp;$K$529&amp;", "&amp;L$530,'FE Fret'!$G:$U,9,FALSE)</f>
        <v>1.2E-2</v>
      </c>
      <c r="M531" s="356">
        <f t="shared" ref="M531:N533" si="186">IF(ISNA($G531*H531),0,$G531*H531)+IF(ISNA($J531*K531),0,$J531*K531)</f>
        <v>0</v>
      </c>
      <c r="N531" s="356">
        <f t="shared" si="186"/>
        <v>0</v>
      </c>
      <c r="O531" s="1286">
        <f>IF(OR(F531=Utilitaires!$G$572,F531=Utilitaires!$G$577),N531,0)</f>
        <v>0</v>
      </c>
      <c r="W531" s="262"/>
      <c r="X531" s="1092">
        <f>IF(AE531=0,AE531,AE531/D531)</f>
        <v>0</v>
      </c>
      <c r="Y531" s="343"/>
      <c r="Z531" s="820"/>
      <c r="AA531" s="164">
        <f t="shared" ref="AA531:AB533" si="187">SQRT(SUMSQ(IF(ISNA($G531*H531*BI531),0,$G531*H531*BI531),IF(ISNA($J531*K531*BL531),0,$J531*K531*BL531)))</f>
        <v>0</v>
      </c>
      <c r="AB531" s="164">
        <f t="shared" si="187"/>
        <v>0</v>
      </c>
      <c r="AC531" s="164"/>
      <c r="AD531" s="164"/>
      <c r="AE531" s="151">
        <f>SQRT(SUMSQ(AA531:AD531))</f>
        <v>0</v>
      </c>
      <c r="AF531" s="1286">
        <f>O531*X531</f>
        <v>0</v>
      </c>
      <c r="AH531" s="564">
        <f>$G531*IF(ISNA(VLOOKUP($B531&amp;"; "&amp;$H$529&amp;", "&amp;H$530,'FE Fret'!$G:$U,10,FALSE)),0,VLOOKUP($B531&amp;"; "&amp;$H$529&amp;", "&amp;H$530,'FE Fret'!$G:$U,10,FALSE))
+$J531*IF(ISNA(VLOOKUP($B531&amp;"; "&amp;$K$529&amp;", "&amp;H$530,'FE Fret'!$G:$U,10,FALSE)),0,VLOOKUP($B531&amp;"; "&amp;$K$529&amp;", "&amp;H$530,'FE Fret'!$G:$U,10,FALSE))</f>
        <v>0</v>
      </c>
      <c r="AI531" s="565">
        <f>$G531*IF(ISNA(VLOOKUP($B531&amp;"; "&amp;$H$529&amp;", "&amp;I$530,'FE Fret'!$G:$U,10,FALSE)),0,VLOOKUP($B531&amp;"; "&amp;$H$529&amp;", "&amp;I$530,'FE Fret'!$G:$U,10,FALSE))
+$J531*IF(ISNA(VLOOKUP($B531&amp;"; "&amp;$K$529&amp;", "&amp;I$530,'FE Fret'!$G:$U,10,FALSE)),0,VLOOKUP($B531&amp;"; "&amp;$K$529&amp;", "&amp;I$530,'FE Fret'!$G:$U,10,FALSE))</f>
        <v>0</v>
      </c>
      <c r="AJ531" s="565"/>
      <c r="AK531" s="565">
        <f>$G531*IF(ISNA((VLOOKUP($B531&amp;"; "&amp;$H$529&amp;", "&amp;H$530,'FE Fret'!$G:$U,12,FALSE)+VLOOKUP($B531&amp;"; "&amp;$H$529&amp;", "&amp;H$530,'FE Fret'!$G:$U,11,FALSE))),0,(VLOOKUP($B531&amp;"; "&amp;$H$529&amp;", "&amp;H$530,'FE Fret'!$G:$U,12,FALSE)+VLOOKUP($B531&amp;"; "&amp;$H$529&amp;", "&amp;H$530,'FE Fret'!$G:$U,11,FALSE)))
+$J531*IF(ISNA((VLOOKUP($B531&amp;"; "&amp;$K$529&amp;", "&amp;H$530,'FE Fret'!$G:$U,12,FALSE)+VLOOKUP($B531&amp;"; "&amp;$K$529&amp;", "&amp;H$530,'FE Fret'!$G:$U,11,FALSE))),0,(VLOOKUP($B531&amp;"; "&amp;$K$529&amp;", "&amp;H$530,'FE Fret'!$G:$U,12,FALSE)+VLOOKUP($B531&amp;"; "&amp;$K$529&amp;", "&amp;H$530,'FE Fret'!$G:$U,11,FALSE)))</f>
        <v>0</v>
      </c>
      <c r="AL531" s="565">
        <f>$G531*IF(ISNA((VLOOKUP($B531&amp;"; "&amp;$H$529&amp;", "&amp;I$530,'FE Fret'!$G:$U,12,FALSE)+VLOOKUP($B531&amp;"; "&amp;$H$529&amp;", "&amp;I$530,'FE Fret'!$G:$U,11,FALSE))),0,(VLOOKUP($B531&amp;"; "&amp;$H$529&amp;", "&amp;I$530,'FE Fret'!$G:$U,12,FALSE)+VLOOKUP($B531&amp;"; "&amp;$H$529&amp;", "&amp;I$530,'FE Fret'!$G:$U,11,FALSE)))
+$J531*IF(ISNA((VLOOKUP($B531&amp;"; "&amp;$K$529&amp;", "&amp;I$530,'FE Fret'!$G:$U,12,FALSE)+VLOOKUP($B531&amp;"; "&amp;$K$529&amp;", "&amp;I$530,'FE Fret'!$G:$U,11,FALSE))),0,(VLOOKUP($B531&amp;"; "&amp;$K$529&amp;", "&amp;I$530,'FE Fret'!$G:$U,12,FALSE)+VLOOKUP($B531&amp;"; "&amp;$K$529&amp;", "&amp;I$530,'FE Fret'!$G:$U,11,FALSE)))</f>
        <v>0</v>
      </c>
      <c r="AM531" s="565"/>
      <c r="AN531" s="565">
        <f>$G531*IF(ISNA(VLOOKUP($B531&amp;"; "&amp;$H$529&amp;", "&amp;H$530,'FE Fret'!$G:$U,13,FALSE)),0,VLOOKUP($B531&amp;"; "&amp;$H$529&amp;", "&amp;H$530,'FE Fret'!$G:$U,13,FALSE))
+$J531*IF(ISNA(VLOOKUP($B531&amp;"; "&amp;$K$529&amp;", "&amp;H$530,'FE Fret'!$G:$U,13,FALSE)),0,VLOOKUP($B531&amp;"; "&amp;$K$529&amp;", "&amp;H$530,'FE Fret'!$G:$U,13,FALSE))</f>
        <v>0</v>
      </c>
      <c r="AO531" s="565">
        <f>$G531*IF(ISNA(VLOOKUP($B531&amp;"; "&amp;$H$529&amp;", "&amp;I$530,'FE Fret'!$G:$U,13,FALSE)),0,VLOOKUP($B531&amp;"; "&amp;$H$529&amp;", "&amp;I$530,'FE Fret'!$G:$U,13,FALSE))
+$J531*IF(ISNA(VLOOKUP($B531&amp;"; "&amp;$K$529&amp;", "&amp;I$530,'FE Fret'!$G:$U,13,FALSE)),0,VLOOKUP($B531&amp;"; "&amp;$K$529&amp;", "&amp;I$530,'FE Fret'!$G:$U,13,FALSE))</f>
        <v>0</v>
      </c>
      <c r="AP531" s="565"/>
      <c r="AQ531" s="565">
        <v>0</v>
      </c>
      <c r="AR531" s="565">
        <v>0</v>
      </c>
      <c r="AS531" s="565"/>
      <c r="AT531" s="566">
        <f t="shared" ref="AT531:AU533" si="188">SUM(AH531,AK531,AN531,AQ531)</f>
        <v>0</v>
      </c>
      <c r="AU531" s="566">
        <f t="shared" si="188"/>
        <v>0</v>
      </c>
      <c r="AV531" s="566"/>
      <c r="AW531" s="564">
        <f>$G531*IF(ISNA(VLOOKUP($B531&amp;"; "&amp;$H$529&amp;", "&amp;H$530,'FE Fret'!$G:$U,15,FALSE)),0,VLOOKUP($B531&amp;"; "&amp;$H$529&amp;", "&amp;H$530,'FE Fret'!$G:$U,15,FALSE))
+$J531*IF(ISNA(VLOOKUP($B531&amp;"; "&amp;$K$529&amp;", "&amp;H$530,'FE Fret'!$G:$U,15,FALSE)),0,VLOOKUP($B531&amp;"; "&amp;$K$529&amp;", "&amp;H$530,'FE Fret'!$G:$U,15,FALSE))</f>
        <v>0</v>
      </c>
      <c r="AX531" s="565">
        <f>$G531*IF(ISNA(VLOOKUP($B531&amp;"; "&amp;$H$529&amp;", "&amp;I$530,'FE Fret'!$G:$U,15,FALSE)),0,VLOOKUP($B531&amp;"; "&amp;$H$529&amp;", "&amp;I$530,'FE Fret'!$G:$U,15,FALSE))
+$J531*IF(ISNA(VLOOKUP($B531&amp;"; "&amp;$K$529&amp;", "&amp;I$530,'FE Fret'!$G:$U,15,FALSE)),0,VLOOKUP($B531&amp;"; "&amp;$K$529&amp;", "&amp;I$530,'FE Fret'!$G:$U,15,FALSE))</f>
        <v>0</v>
      </c>
      <c r="AY531" s="568"/>
      <c r="AZ531" s="565"/>
      <c r="BA531" s="565"/>
      <c r="BB531" s="565"/>
      <c r="BC531" s="565"/>
      <c r="BD531" s="565"/>
      <c r="BE531" s="565"/>
      <c r="BF531" s="565"/>
      <c r="BH531" s="1065">
        <f>IF($Y531&lt;&gt;"votre valeur :",IF(ISNA(VLOOKUP($Y531,Utilitaires!$N$566:$O$571,2,FALSE)),,VLOOKUP($Y531,Utilitaires!$N$566:$O$571,2,FALSE)),$Z531)</f>
        <v>0</v>
      </c>
      <c r="BI531" s="1124">
        <f>IF(ISNA(SQRT(SUMSQ(VLOOKUP($B531&amp;"; "&amp;$H$529&amp;", "&amp;H$530,'FE Fret'!$G:$U,7,FALSE),$BH531))),0,SQRT(SUMSQ(VLOOKUP($B531&amp;"; "&amp;$H$529&amp;", "&amp;H$530,'FE Fret'!$G:$U,7,FALSE),$BH531)))</f>
        <v>0</v>
      </c>
      <c r="BJ531" s="1124">
        <f>IF(ISNA(SQRT(SUMSQ(VLOOKUP($B531&amp;"; "&amp;$H$529&amp;", "&amp;I$530,'FE Fret'!$G:$U,7,FALSE),$BH531))),0,SQRT(SUMSQ(VLOOKUP($B531&amp;"; "&amp;$H$529&amp;", "&amp;I$530,'FE Fret'!$G:$U,7,FALSE),$BH531)))</f>
        <v>0</v>
      </c>
      <c r="BK531" s="1124"/>
      <c r="BL531" s="1124">
        <f>IF(ISNA(SQRT(SUMSQ(VLOOKUP($B531&amp;"; "&amp;$K$529&amp;", "&amp;K$530,'FE Fret'!$G:$U,7,FALSE),$BH531))),0,SQRT(SUMSQ(VLOOKUP($B531&amp;"; "&amp;$K$529&amp;", "&amp;K$530,'FE Fret'!$G:$U,7,FALSE),$BH531)))</f>
        <v>0.6</v>
      </c>
      <c r="BM531" s="1130">
        <f>IF(ISNA(SQRT(SUMSQ(VLOOKUP($B531&amp;"; "&amp;$K$529&amp;", "&amp;L$530,'FE Fret'!$G:$U,7,FALSE),$BH531))),0,SQRT(SUMSQ(VLOOKUP($B531&amp;"; "&amp;$K$529&amp;", "&amp;L$530,'FE Fret'!$G:$U,7,FALSE),$BH531)))</f>
        <v>0.6</v>
      </c>
      <c r="BN531" s="1130"/>
    </row>
    <row r="532" spans="2:66" ht="12.75" hidden="1" customHeight="1" outlineLevel="2">
      <c r="B532" s="143" t="s">
        <v>4028</v>
      </c>
      <c r="C532" s="144"/>
      <c r="D532" s="212">
        <f t="shared" ref="D532:D533" si="189">SUM(M532:N532)</f>
        <v>0</v>
      </c>
      <c r="E532" s="212"/>
      <c r="F532" s="530"/>
      <c r="G532" s="120"/>
      <c r="H532" s="335" t="e">
        <f>VLOOKUP($B532&amp;"; "&amp;$H$529&amp;", "&amp;H$530,'FE Fret'!$G:$U,9,FALSE)</f>
        <v>#N/A</v>
      </c>
      <c r="I532" s="335" t="e">
        <f>VLOOKUP($B532&amp;"; "&amp;$H$529&amp;", "&amp;I$530,'FE Fret'!$G:$U,9,FALSE)</f>
        <v>#N/A</v>
      </c>
      <c r="J532" s="120"/>
      <c r="K532" s="335">
        <f>VLOOKUP($B532&amp;"; "&amp;$K$529&amp;", "&amp;K$530,'FE Fret'!$G:$U,9,FALSE)</f>
        <v>7.6699999999999997E-3</v>
      </c>
      <c r="L532" s="335">
        <f>VLOOKUP($B532&amp;"; "&amp;$K$529&amp;", "&amp;L$530,'FE Fret'!$G:$U,9,FALSE)</f>
        <v>4.6899999999999997E-2</v>
      </c>
      <c r="M532" s="356">
        <f t="shared" si="186"/>
        <v>0</v>
      </c>
      <c r="N532" s="356">
        <f t="shared" si="186"/>
        <v>0</v>
      </c>
      <c r="O532" s="1286">
        <f>IF(OR(F532=Utilitaires!$G$572,F532=Utilitaires!$G$577),N532,0)</f>
        <v>0</v>
      </c>
      <c r="W532" s="262"/>
      <c r="X532" s="1092">
        <f>IF(AE532=0,AE532,AE532/D532)</f>
        <v>0</v>
      </c>
      <c r="Y532" s="343"/>
      <c r="Z532" s="820"/>
      <c r="AA532" s="164">
        <f t="shared" si="187"/>
        <v>0</v>
      </c>
      <c r="AB532" s="164">
        <f t="shared" si="187"/>
        <v>0</v>
      </c>
      <c r="AC532" s="164"/>
      <c r="AD532" s="164"/>
      <c r="AE532" s="151">
        <f>SQRT(SUMSQ(AA532:AD532))</f>
        <v>0</v>
      </c>
      <c r="AF532" s="1286">
        <f>O532*X532</f>
        <v>0</v>
      </c>
      <c r="AH532" s="564">
        <f>$G532*IF(ISNA(VLOOKUP($B532&amp;"; "&amp;$H$529&amp;", "&amp;H$530,'FE Fret'!$G:$U,10,FALSE)),0,VLOOKUP($B532&amp;"; "&amp;$H$529&amp;", "&amp;H$530,'FE Fret'!$G:$U,10,FALSE))
+$J532*IF(ISNA(VLOOKUP($B532&amp;"; "&amp;$K$529&amp;", "&amp;H$530,'FE Fret'!$G:$U,10,FALSE)),0,VLOOKUP($B532&amp;"; "&amp;$K$529&amp;", "&amp;H$530,'FE Fret'!$G:$U,10,FALSE))</f>
        <v>0</v>
      </c>
      <c r="AI532" s="565">
        <f>$G532*IF(ISNA(VLOOKUP($B532&amp;"; "&amp;$H$529&amp;", "&amp;I$530,'FE Fret'!$G:$U,10,FALSE)),0,VLOOKUP($B532&amp;"; "&amp;$H$529&amp;", "&amp;I$530,'FE Fret'!$G:$U,10,FALSE))
+$J532*IF(ISNA(VLOOKUP($B532&amp;"; "&amp;$K$529&amp;", "&amp;I$530,'FE Fret'!$G:$U,10,FALSE)),0,VLOOKUP($B532&amp;"; "&amp;$K$529&amp;", "&amp;I$530,'FE Fret'!$G:$U,10,FALSE))</f>
        <v>0</v>
      </c>
      <c r="AJ532" s="565"/>
      <c r="AK532" s="565">
        <f>$G532*IF(ISNA((VLOOKUP($B532&amp;"; "&amp;$H$529&amp;", "&amp;H$530,'FE Fret'!$G:$U,12,FALSE)+VLOOKUP($B532&amp;"; "&amp;$H$529&amp;", "&amp;H$530,'FE Fret'!$G:$U,11,FALSE))),0,(VLOOKUP($B532&amp;"; "&amp;$H$529&amp;", "&amp;H$530,'FE Fret'!$G:$U,12,FALSE)+VLOOKUP($B532&amp;"; "&amp;$H$529&amp;", "&amp;H$530,'FE Fret'!$G:$U,11,FALSE)))
+$J532*IF(ISNA((VLOOKUP($B532&amp;"; "&amp;$K$529&amp;", "&amp;H$530,'FE Fret'!$G:$U,12,FALSE)+VLOOKUP($B532&amp;"; "&amp;$K$529&amp;", "&amp;H$530,'FE Fret'!$G:$U,11,FALSE))),0,(VLOOKUP($B532&amp;"; "&amp;$K$529&amp;", "&amp;H$530,'FE Fret'!$G:$U,12,FALSE)+VLOOKUP($B532&amp;"; "&amp;$K$529&amp;", "&amp;H$530,'FE Fret'!$G:$U,11,FALSE)))</f>
        <v>0</v>
      </c>
      <c r="AL532" s="565">
        <f>$G532*IF(ISNA((VLOOKUP($B532&amp;"; "&amp;$H$529&amp;", "&amp;I$530,'FE Fret'!$G:$U,12,FALSE)+VLOOKUP($B532&amp;"; "&amp;$H$529&amp;", "&amp;I$530,'FE Fret'!$G:$U,11,FALSE))),0,(VLOOKUP($B532&amp;"; "&amp;$H$529&amp;", "&amp;I$530,'FE Fret'!$G:$U,12,FALSE)+VLOOKUP($B532&amp;"; "&amp;$H$529&amp;", "&amp;I$530,'FE Fret'!$G:$U,11,FALSE)))
+$J532*IF(ISNA((VLOOKUP($B532&amp;"; "&amp;$K$529&amp;", "&amp;I$530,'FE Fret'!$G:$U,12,FALSE)+VLOOKUP($B532&amp;"; "&amp;$K$529&amp;", "&amp;I$530,'FE Fret'!$G:$U,11,FALSE))),0,(VLOOKUP($B532&amp;"; "&amp;$K$529&amp;", "&amp;I$530,'FE Fret'!$G:$U,12,FALSE)+VLOOKUP($B532&amp;"; "&amp;$K$529&amp;", "&amp;I$530,'FE Fret'!$G:$U,11,FALSE)))</f>
        <v>0</v>
      </c>
      <c r="AM532" s="565"/>
      <c r="AN532" s="565">
        <f>$G532*IF(ISNA(VLOOKUP($B532&amp;"; "&amp;$H$529&amp;", "&amp;H$530,'FE Fret'!$G:$U,13,FALSE)),0,VLOOKUP($B532&amp;"; "&amp;$H$529&amp;", "&amp;H$530,'FE Fret'!$G:$U,13,FALSE))
+$J532*IF(ISNA(VLOOKUP($B532&amp;"; "&amp;$K$529&amp;", "&amp;H$530,'FE Fret'!$G:$U,13,FALSE)),0,VLOOKUP($B532&amp;"; "&amp;$K$529&amp;", "&amp;H$530,'FE Fret'!$G:$U,13,FALSE))</f>
        <v>0</v>
      </c>
      <c r="AO532" s="565">
        <f>$G532*IF(ISNA(VLOOKUP($B532&amp;"; "&amp;$H$529&amp;", "&amp;I$530,'FE Fret'!$G:$U,13,FALSE)),0,VLOOKUP($B532&amp;"; "&amp;$H$529&amp;", "&amp;I$530,'FE Fret'!$G:$U,13,FALSE))
+$J532*IF(ISNA(VLOOKUP($B532&amp;"; "&amp;$K$529&amp;", "&amp;I$530,'FE Fret'!$G:$U,13,FALSE)),0,VLOOKUP($B532&amp;"; "&amp;$K$529&amp;", "&amp;I$530,'FE Fret'!$G:$U,13,FALSE))</f>
        <v>0</v>
      </c>
      <c r="AP532" s="565"/>
      <c r="AQ532" s="565">
        <v>0</v>
      </c>
      <c r="AR532" s="565">
        <v>0</v>
      </c>
      <c r="AS532" s="565"/>
      <c r="AT532" s="566">
        <f t="shared" si="188"/>
        <v>0</v>
      </c>
      <c r="AU532" s="566">
        <f t="shared" si="188"/>
        <v>0</v>
      </c>
      <c r="AV532" s="566"/>
      <c r="AW532" s="564">
        <f>$G532*IF(ISNA(VLOOKUP($B532&amp;"; "&amp;$H$529&amp;", "&amp;H$530,'FE Fret'!$G:$U,15,FALSE)),0,VLOOKUP($B532&amp;"; "&amp;$H$529&amp;", "&amp;H$530,'FE Fret'!$G:$U,15,FALSE))
+$J532*IF(ISNA(VLOOKUP($B532&amp;"; "&amp;$K$529&amp;", "&amp;H$530,'FE Fret'!$G:$U,15,FALSE)),0,VLOOKUP($B532&amp;"; "&amp;$K$529&amp;", "&amp;H$530,'FE Fret'!$G:$U,15,FALSE))</f>
        <v>0</v>
      </c>
      <c r="AX532" s="565">
        <f>$G532*IF(ISNA(VLOOKUP($B532&amp;"; "&amp;$H$529&amp;", "&amp;I$530,'FE Fret'!$G:$U,15,FALSE)),0,VLOOKUP($B532&amp;"; "&amp;$H$529&amp;", "&amp;I$530,'FE Fret'!$G:$U,15,FALSE))
+$J532*IF(ISNA(VLOOKUP($B532&amp;"; "&amp;$K$529&amp;", "&amp;I$530,'FE Fret'!$G:$U,15,FALSE)),0,VLOOKUP($B532&amp;"; "&amp;$K$529&amp;", "&amp;I$530,'FE Fret'!$G:$U,15,FALSE))</f>
        <v>0</v>
      </c>
      <c r="AY532" s="568"/>
      <c r="AZ532" s="565"/>
      <c r="BA532" s="565"/>
      <c r="BB532" s="565"/>
      <c r="BC532" s="565"/>
      <c r="BD532" s="565"/>
      <c r="BE532" s="565"/>
      <c r="BF532" s="565"/>
      <c r="BH532" s="1065">
        <f>IF($Y532&lt;&gt;"votre valeur :",IF(ISNA(VLOOKUP($Y532,Utilitaires!$N$566:$O$571,2,FALSE)),,VLOOKUP($Y532,Utilitaires!$N$566:$O$571,2,FALSE)),$Z532)</f>
        <v>0</v>
      </c>
      <c r="BI532" s="1124">
        <f>IF(ISNA(SQRT(SUMSQ(VLOOKUP($B532&amp;"; "&amp;$H$529&amp;", "&amp;H$530,'FE Fret'!$G:$U,7,FALSE),$BH532))),0,SQRT(SUMSQ(VLOOKUP($B532&amp;"; "&amp;$H$529&amp;", "&amp;H$530,'FE Fret'!$G:$U,7,FALSE),$BH532)))</f>
        <v>0</v>
      </c>
      <c r="BJ532" s="1124">
        <f>IF(ISNA(SQRT(SUMSQ(VLOOKUP($B532&amp;"; "&amp;$H$529&amp;", "&amp;I$530,'FE Fret'!$G:$U,7,FALSE),$BH532))),0,SQRT(SUMSQ(VLOOKUP($B532&amp;"; "&amp;$H$529&amp;", "&amp;I$530,'FE Fret'!$G:$U,7,FALSE),$BH532)))</f>
        <v>0</v>
      </c>
      <c r="BK532" s="1124"/>
      <c r="BL532" s="1124">
        <f>IF(ISNA(SQRT(SUMSQ(VLOOKUP($B532&amp;"; "&amp;$K$529&amp;", "&amp;K$530,'FE Fret'!$G:$U,7,FALSE),$BH532))),0,SQRT(SUMSQ(VLOOKUP($B532&amp;"; "&amp;$K$529&amp;", "&amp;K$530,'FE Fret'!$G:$U,7,FALSE),$BH532)))</f>
        <v>0.6</v>
      </c>
      <c r="BM532" s="1130">
        <f>IF(ISNA(SQRT(SUMSQ(VLOOKUP($B532&amp;"; "&amp;$K$529&amp;", "&amp;L$530,'FE Fret'!$G:$U,7,FALSE),$BH532))),0,SQRT(SUMSQ(VLOOKUP($B532&amp;"; "&amp;$K$529&amp;", "&amp;L$530,'FE Fret'!$G:$U,7,FALSE),$BH532)))</f>
        <v>0.6</v>
      </c>
      <c r="BN532" s="1130"/>
    </row>
    <row r="533" spans="2:66" ht="12.75" hidden="1" customHeight="1" outlineLevel="2">
      <c r="B533" s="143" t="s">
        <v>4029</v>
      </c>
      <c r="C533" s="144"/>
      <c r="D533" s="212">
        <f t="shared" si="189"/>
        <v>0</v>
      </c>
      <c r="E533" s="212"/>
      <c r="F533" s="347"/>
      <c r="G533" s="123"/>
      <c r="H533" s="335" t="e">
        <f>VLOOKUP($B533&amp;"; "&amp;$H$529&amp;", "&amp;H$530,'FE Fret'!$G:$U,9,FALSE)</f>
        <v>#N/A</v>
      </c>
      <c r="I533" s="335" t="e">
        <f>VLOOKUP($B533&amp;"; "&amp;$H$529&amp;", "&amp;I$530,'FE Fret'!$G:$U,9,FALSE)</f>
        <v>#N/A</v>
      </c>
      <c r="J533" s="123"/>
      <c r="K533" s="335">
        <f>VLOOKUP($B533&amp;"; "&amp;$K$529&amp;", "&amp;K$530,'FE Fret'!$G:$U,9,FALSE)</f>
        <v>4.4000000000000002E-4</v>
      </c>
      <c r="L533" s="335">
        <f>VLOOKUP($B533&amp;"; "&amp;$K$529&amp;", "&amp;L$530,'FE Fret'!$G:$U,9,FALSE)</f>
        <v>5.1000000000000004E-3</v>
      </c>
      <c r="M533" s="356">
        <f t="shared" si="186"/>
        <v>0</v>
      </c>
      <c r="N533" s="356">
        <f t="shared" si="186"/>
        <v>0</v>
      </c>
      <c r="O533" s="1286">
        <f>IF(OR(F533=Utilitaires!$G$572,F533=Utilitaires!$G$577),N533,0)</f>
        <v>0</v>
      </c>
      <c r="W533" s="262"/>
      <c r="X533" s="1092">
        <f>IF(AE533=0,AE533,AE533/D533)</f>
        <v>0</v>
      </c>
      <c r="Y533" s="1094"/>
      <c r="Z533" s="820"/>
      <c r="AA533" s="164">
        <f t="shared" si="187"/>
        <v>0</v>
      </c>
      <c r="AB533" s="164">
        <f t="shared" si="187"/>
        <v>0</v>
      </c>
      <c r="AC533" s="164"/>
      <c r="AD533" s="164"/>
      <c r="AE533" s="151">
        <f>SQRT(SUMSQ(AA533:AD533))</f>
        <v>0</v>
      </c>
      <c r="AF533" s="1286">
        <f>O533*X533</f>
        <v>0</v>
      </c>
      <c r="AH533" s="564">
        <f>$G533*IF(ISNA(VLOOKUP($B533&amp;"; "&amp;$H$529&amp;", "&amp;H$530,'FE Fret'!$G:$U,10,FALSE)),0,VLOOKUP($B533&amp;"; "&amp;$H$529&amp;", "&amp;H$530,'FE Fret'!$G:$U,10,FALSE))
+$J533*IF(ISNA(VLOOKUP($B533&amp;"; "&amp;$K$529&amp;", "&amp;H$530,'FE Fret'!$G:$U,10,FALSE)),0,VLOOKUP($B533&amp;"; "&amp;$K$529&amp;", "&amp;H$530,'FE Fret'!$G:$U,10,FALSE))</f>
        <v>0</v>
      </c>
      <c r="AI533" s="565">
        <f>$G533*IF(ISNA(VLOOKUP($B533&amp;"; "&amp;$H$529&amp;", "&amp;I$530,'FE Fret'!$G:$U,10,FALSE)),0,VLOOKUP($B533&amp;"; "&amp;$H$529&amp;", "&amp;I$530,'FE Fret'!$G:$U,10,FALSE))
+$J533*IF(ISNA(VLOOKUP($B533&amp;"; "&amp;$K$529&amp;", "&amp;I$530,'FE Fret'!$G:$U,10,FALSE)),0,VLOOKUP($B533&amp;"; "&amp;$K$529&amp;", "&amp;I$530,'FE Fret'!$G:$U,10,FALSE))</f>
        <v>0</v>
      </c>
      <c r="AJ533" s="565"/>
      <c r="AK533" s="565">
        <f>$G533*IF(ISNA((VLOOKUP($B533&amp;"; "&amp;$H$529&amp;", "&amp;H$530,'FE Fret'!$G:$U,12,FALSE)+VLOOKUP($B533&amp;"; "&amp;$H$529&amp;", "&amp;H$530,'FE Fret'!$G:$U,11,FALSE))),0,(VLOOKUP($B533&amp;"; "&amp;$H$529&amp;", "&amp;H$530,'FE Fret'!$G:$U,12,FALSE)+VLOOKUP($B533&amp;"; "&amp;$H$529&amp;", "&amp;H$530,'FE Fret'!$G:$U,11,FALSE)))
+$J533*IF(ISNA((VLOOKUP($B533&amp;"; "&amp;$K$529&amp;", "&amp;H$530,'FE Fret'!$G:$U,12,FALSE)+VLOOKUP($B533&amp;"; "&amp;$K$529&amp;", "&amp;H$530,'FE Fret'!$G:$U,11,FALSE))),0,(VLOOKUP($B533&amp;"; "&amp;$K$529&amp;", "&amp;H$530,'FE Fret'!$G:$U,12,FALSE)+VLOOKUP($B533&amp;"; "&amp;$K$529&amp;", "&amp;H$530,'FE Fret'!$G:$U,11,FALSE)))</f>
        <v>0</v>
      </c>
      <c r="AL533" s="565">
        <f>$G533*IF(ISNA((VLOOKUP($B533&amp;"; "&amp;$H$529&amp;", "&amp;I$530,'FE Fret'!$G:$U,12,FALSE)+VLOOKUP($B533&amp;"; "&amp;$H$529&amp;", "&amp;I$530,'FE Fret'!$G:$U,11,FALSE))),0,(VLOOKUP($B533&amp;"; "&amp;$H$529&amp;", "&amp;I$530,'FE Fret'!$G:$U,12,FALSE)+VLOOKUP($B533&amp;"; "&amp;$H$529&amp;", "&amp;I$530,'FE Fret'!$G:$U,11,FALSE)))
+$J533*IF(ISNA((VLOOKUP($B533&amp;"; "&amp;$K$529&amp;", "&amp;I$530,'FE Fret'!$G:$U,12,FALSE)+VLOOKUP($B533&amp;"; "&amp;$K$529&amp;", "&amp;I$530,'FE Fret'!$G:$U,11,FALSE))),0,(VLOOKUP($B533&amp;"; "&amp;$K$529&amp;", "&amp;I$530,'FE Fret'!$G:$U,12,FALSE)+VLOOKUP($B533&amp;"; "&amp;$K$529&amp;", "&amp;I$530,'FE Fret'!$G:$U,11,FALSE)))</f>
        <v>0</v>
      </c>
      <c r="AM533" s="565"/>
      <c r="AN533" s="565">
        <f>$G533*IF(ISNA(VLOOKUP($B533&amp;"; "&amp;$H$529&amp;", "&amp;H$530,'FE Fret'!$G:$U,13,FALSE)),0,VLOOKUP($B533&amp;"; "&amp;$H$529&amp;", "&amp;H$530,'FE Fret'!$G:$U,13,FALSE))
+$J533*IF(ISNA(VLOOKUP($B533&amp;"; "&amp;$K$529&amp;", "&amp;H$530,'FE Fret'!$G:$U,13,FALSE)),0,VLOOKUP($B533&amp;"; "&amp;$K$529&amp;", "&amp;H$530,'FE Fret'!$G:$U,13,FALSE))</f>
        <v>0</v>
      </c>
      <c r="AO533" s="565">
        <f>$G533*IF(ISNA(VLOOKUP($B533&amp;"; "&amp;$H$529&amp;", "&amp;I$530,'FE Fret'!$G:$U,13,FALSE)),0,VLOOKUP($B533&amp;"; "&amp;$H$529&amp;", "&amp;I$530,'FE Fret'!$G:$U,13,FALSE))
+$J533*IF(ISNA(VLOOKUP($B533&amp;"; "&amp;$K$529&amp;", "&amp;I$530,'FE Fret'!$G:$U,13,FALSE)),0,VLOOKUP($B533&amp;"; "&amp;$K$529&amp;", "&amp;I$530,'FE Fret'!$G:$U,13,FALSE))</f>
        <v>0</v>
      </c>
      <c r="AP533" s="565"/>
      <c r="AQ533" s="565">
        <v>0</v>
      </c>
      <c r="AR533" s="565">
        <v>0</v>
      </c>
      <c r="AS533" s="565"/>
      <c r="AT533" s="566">
        <f t="shared" si="188"/>
        <v>0</v>
      </c>
      <c r="AU533" s="566">
        <f t="shared" si="188"/>
        <v>0</v>
      </c>
      <c r="AV533" s="566"/>
      <c r="AW533" s="564">
        <f>$G533*IF(ISNA(VLOOKUP($B533&amp;"; "&amp;$H$529&amp;", "&amp;H$530,'FE Fret'!$G:$U,15,FALSE)),0,VLOOKUP($B533&amp;"; "&amp;$H$529&amp;", "&amp;H$530,'FE Fret'!$G:$U,15,FALSE))
+$J533*IF(ISNA(VLOOKUP($B533&amp;"; "&amp;$K$529&amp;", "&amp;H$530,'FE Fret'!$G:$U,15,FALSE)),0,VLOOKUP($B533&amp;"; "&amp;$K$529&amp;", "&amp;H$530,'FE Fret'!$G:$U,15,FALSE))</f>
        <v>0</v>
      </c>
      <c r="AX533" s="565">
        <f>$G533*IF(ISNA(VLOOKUP($B533&amp;"; "&amp;$H$529&amp;", "&amp;I$530,'FE Fret'!$G:$U,15,FALSE)),0,VLOOKUP($B533&amp;"; "&amp;$H$529&amp;", "&amp;I$530,'FE Fret'!$G:$U,15,FALSE))
+$J533*IF(ISNA(VLOOKUP($B533&amp;"; "&amp;$K$529&amp;", "&amp;I$530,'FE Fret'!$G:$U,15,FALSE)),0,VLOOKUP($B533&amp;"; "&amp;$K$529&amp;", "&amp;I$530,'FE Fret'!$G:$U,15,FALSE))</f>
        <v>0</v>
      </c>
      <c r="AY533" s="568"/>
      <c r="AZ533" s="565"/>
      <c r="BA533" s="565"/>
      <c r="BB533" s="565"/>
      <c r="BC533" s="565"/>
      <c r="BD533" s="565"/>
      <c r="BE533" s="565"/>
      <c r="BF533" s="565"/>
      <c r="BH533" s="1065">
        <f>IF($Y533&lt;&gt;"votre valeur :",IF(ISNA(VLOOKUP($Y533,Utilitaires!$N$566:$O$571,2,FALSE)),,VLOOKUP($Y533,Utilitaires!$N$566:$O$571,2,FALSE)),$Z533)</f>
        <v>0</v>
      </c>
      <c r="BI533" s="1124">
        <f>IF(ISNA(SQRT(SUMSQ(VLOOKUP($B533&amp;"; "&amp;$H$529&amp;", "&amp;H$530,'FE Fret'!$G:$U,7,FALSE),$BH533))),0,SQRT(SUMSQ(VLOOKUP($B533&amp;"; "&amp;$H$529&amp;", "&amp;H$530,'FE Fret'!$G:$U,7,FALSE),$BH533)))</f>
        <v>0</v>
      </c>
      <c r="BJ533" s="1124">
        <f>IF(ISNA(SQRT(SUMSQ(VLOOKUP($B533&amp;"; "&amp;$H$529&amp;", "&amp;I$530,'FE Fret'!$G:$U,7,FALSE),$BH533))),0,SQRT(SUMSQ(VLOOKUP($B533&amp;"; "&amp;$H$529&amp;", "&amp;I$530,'FE Fret'!$G:$U,7,FALSE),$BH533)))</f>
        <v>0</v>
      </c>
      <c r="BK533" s="1124"/>
      <c r="BL533" s="1124">
        <f>IF(ISNA(SQRT(SUMSQ(VLOOKUP($B533&amp;"; "&amp;$K$529&amp;", "&amp;K$530,'FE Fret'!$G:$U,7,FALSE),$BH533))),0,SQRT(SUMSQ(VLOOKUP($B533&amp;"; "&amp;$K$529&amp;", "&amp;K$530,'FE Fret'!$G:$U,7,FALSE),$BH533)))</f>
        <v>0.6</v>
      </c>
      <c r="BM533" s="1130">
        <f>IF(ISNA(SQRT(SUMSQ(VLOOKUP($B533&amp;"; "&amp;$K$529&amp;", "&amp;L$530,'FE Fret'!$G:$U,7,FALSE),$BH533))),0,SQRT(SUMSQ(VLOOKUP($B533&amp;"; "&amp;$K$529&amp;", "&amp;L$530,'FE Fret'!$G:$U,7,FALSE),$BH533)))</f>
        <v>0.6</v>
      </c>
      <c r="BN533" s="1130"/>
    </row>
    <row r="534" spans="2:66" ht="12.75" hidden="1" customHeight="1" outlineLevel="2">
      <c r="B534" s="154"/>
      <c r="C534" s="155"/>
      <c r="D534" s="221"/>
      <c r="E534" s="221"/>
      <c r="F534" s="155"/>
      <c r="G534" s="155"/>
      <c r="H534" s="155"/>
      <c r="I534" s="155"/>
      <c r="J534" s="1342"/>
      <c r="K534" s="1342"/>
      <c r="L534" s="365"/>
      <c r="M534" s="365"/>
      <c r="N534" s="365"/>
      <c r="O534" s="1343"/>
      <c r="X534" s="143"/>
      <c r="Y534" s="144"/>
      <c r="Z534" s="155"/>
      <c r="AA534" s="155"/>
      <c r="AB534" s="155"/>
      <c r="AC534" s="155"/>
      <c r="AD534" s="155"/>
      <c r="AE534" s="155"/>
      <c r="AF534" s="1344"/>
      <c r="AH534" s="564"/>
      <c r="AI534" s="565"/>
      <c r="AJ534" s="565"/>
      <c r="AK534" s="565"/>
      <c r="AL534" s="565"/>
      <c r="AM534" s="565"/>
      <c r="AN534" s="565"/>
      <c r="AO534" s="565"/>
      <c r="AP534" s="565"/>
      <c r="AQ534" s="565"/>
      <c r="AR534" s="565"/>
      <c r="AS534" s="565"/>
      <c r="AT534" s="566"/>
      <c r="AU534" s="566"/>
      <c r="AV534" s="567"/>
      <c r="AW534" s="565"/>
      <c r="AX534" s="565"/>
      <c r="AY534" s="568"/>
      <c r="AZ534" s="565"/>
      <c r="BA534" s="565"/>
      <c r="BB534" s="565"/>
      <c r="BC534" s="565"/>
      <c r="BD534" s="565"/>
      <c r="BE534" s="565"/>
      <c r="BF534" s="565"/>
      <c r="BH534" s="1087"/>
      <c r="BI534" s="1075"/>
      <c r="BJ534" s="1131"/>
      <c r="BK534" s="1126"/>
      <c r="BL534" s="1075"/>
      <c r="BM534" s="1131"/>
      <c r="BN534" s="1153"/>
    </row>
    <row r="535" spans="2:66" ht="12.75" hidden="1" customHeight="1" outlineLevel="2">
      <c r="B535" s="196" t="s">
        <v>348</v>
      </c>
      <c r="C535" s="197"/>
      <c r="D535" s="214">
        <f>SUM(D531:D534)</f>
        <v>0</v>
      </c>
      <c r="E535" s="214"/>
      <c r="F535" s="197"/>
      <c r="G535" s="197"/>
      <c r="H535" s="197"/>
      <c r="I535" s="197"/>
      <c r="J535" s="373"/>
      <c r="K535" s="373"/>
      <c r="L535" s="374"/>
      <c r="M535" s="374">
        <f>SUM(M531:M534)</f>
        <v>0</v>
      </c>
      <c r="N535" s="202">
        <f>SUM(N531:N534)</f>
        <v>0</v>
      </c>
      <c r="O535" s="1311">
        <f>SUM(O531:O534)</f>
        <v>0</v>
      </c>
      <c r="X535" s="1204">
        <f>IF(AE535=0,AE535,AE535/D535)</f>
        <v>0</v>
      </c>
      <c r="Y535" s="199"/>
      <c r="Z535" s="199"/>
      <c r="AA535" s="203">
        <f>SQRT(SUMSQ(AA531:AA534))</f>
        <v>0</v>
      </c>
      <c r="AB535" s="203">
        <f>SQRT(SUMSQ(AB531:AB534))</f>
        <v>0</v>
      </c>
      <c r="AC535" s="203"/>
      <c r="AD535" s="203">
        <f>SQRT(SUMSQ(AD531:AD534))</f>
        <v>0</v>
      </c>
      <c r="AE535" s="202">
        <f>SQRT(SUMSQ(AE531:AE534))</f>
        <v>0</v>
      </c>
      <c r="AF535" s="1311">
        <f>SQRT(SUMSQ(AF531:AF534))</f>
        <v>0</v>
      </c>
      <c r="AH535" s="571">
        <f>SUM(AH531:AH534)</f>
        <v>0</v>
      </c>
      <c r="AI535" s="572">
        <f>SUM(AI531:AI534)</f>
        <v>0</v>
      </c>
      <c r="AJ535" s="572"/>
      <c r="AK535" s="572">
        <f>SUM(AK531:AK534)</f>
        <v>0</v>
      </c>
      <c r="AL535" s="572">
        <f>SUM(AL531:AL534)</f>
        <v>0</v>
      </c>
      <c r="AM535" s="572">
        <f>SUM(AM531:AM534)</f>
        <v>0</v>
      </c>
      <c r="AN535" s="572">
        <f>SUM(AN531:AN534)</f>
        <v>0</v>
      </c>
      <c r="AO535" s="572">
        <f>SUM(AO531:AO534)</f>
        <v>0</v>
      </c>
      <c r="AP535" s="572"/>
      <c r="AQ535" s="572">
        <f>SUM(AQ531:AQ534)</f>
        <v>0</v>
      </c>
      <c r="AR535" s="572">
        <f>SUM(AR531:AR534)</f>
        <v>0</v>
      </c>
      <c r="AS535" s="572"/>
      <c r="AT535" s="573">
        <f>SUM(AT531:AT534)</f>
        <v>0</v>
      </c>
      <c r="AU535" s="573">
        <f>SUM(AU531:AU534)</f>
        <v>0</v>
      </c>
      <c r="AV535" s="574"/>
      <c r="AW535" s="1082">
        <f>SUM(AW531:AW534)</f>
        <v>0</v>
      </c>
      <c r="AX535" s="572">
        <f>SUM(AX531:AX534)</f>
        <v>0</v>
      </c>
      <c r="AY535" s="575"/>
      <c r="AZ535" s="2447"/>
      <c r="BA535" s="2447"/>
      <c r="BB535" s="2447"/>
      <c r="BC535" s="2447"/>
      <c r="BD535" s="2447"/>
      <c r="BE535" s="2447"/>
      <c r="BF535" s="2447"/>
    </row>
    <row r="536" spans="2:66" ht="12.75" hidden="1" customHeight="1" outlineLevel="2">
      <c r="F536" s="264"/>
      <c r="G536" s="265"/>
      <c r="H536" s="254"/>
    </row>
    <row r="537" spans="2:66" ht="12.75" hidden="1" customHeight="1" outlineLevel="2">
      <c r="B537" s="139" t="s">
        <v>3684</v>
      </c>
      <c r="C537" s="140"/>
      <c r="D537" s="140"/>
      <c r="E537" s="140"/>
      <c r="F537" s="140"/>
      <c r="G537" s="141"/>
      <c r="H537" s="141"/>
      <c r="I537" s="179"/>
      <c r="T537" s="116"/>
      <c r="U537" s="116"/>
      <c r="V537" s="116"/>
      <c r="W537" s="116"/>
      <c r="X537" s="2636" t="s">
        <v>366</v>
      </c>
      <c r="Y537" s="2637"/>
      <c r="Z537" s="2637"/>
      <c r="AA537" s="2637"/>
      <c r="AB537" s="2637"/>
      <c r="AC537" s="2637"/>
      <c r="AD537" s="2637"/>
      <c r="AE537" s="2638"/>
      <c r="AF537" s="116"/>
      <c r="AH537" s="2639" t="s">
        <v>441</v>
      </c>
      <c r="AI537" s="2640"/>
      <c r="AJ537" s="2640"/>
      <c r="AK537" s="2640"/>
      <c r="AL537" s="2640"/>
      <c r="AM537" s="2640"/>
      <c r="AN537" s="2640"/>
      <c r="AO537" s="2640"/>
      <c r="AP537" s="2640"/>
      <c r="AQ537" s="2640"/>
      <c r="AR537" s="2640"/>
      <c r="AS537" s="2640"/>
      <c r="AT537" s="2640"/>
      <c r="AU537" s="2640"/>
      <c r="AV537" s="2640"/>
      <c r="AW537" s="2640"/>
      <c r="AX537" s="2640"/>
      <c r="AY537" s="2641"/>
      <c r="AZ537" s="2418"/>
      <c r="BA537" s="2418"/>
      <c r="BB537" s="2418"/>
      <c r="BC537" s="2418"/>
      <c r="BD537" s="2418"/>
      <c r="BE537" s="2418"/>
      <c r="BF537" s="2418"/>
    </row>
    <row r="538" spans="2:66" ht="12.75" hidden="1" customHeight="1" outlineLevel="2">
      <c r="B538" s="332"/>
      <c r="C538" s="167"/>
      <c r="D538" s="1334" t="s">
        <v>308</v>
      </c>
      <c r="E538" s="1663"/>
      <c r="F538" s="144"/>
      <c r="G538" s="144"/>
      <c r="H538" s="144"/>
      <c r="I538" s="1337" t="s">
        <v>444</v>
      </c>
      <c r="T538" s="116"/>
      <c r="U538" s="116"/>
      <c r="X538" s="1316"/>
      <c r="Y538" s="1317"/>
      <c r="Z538" s="1317"/>
      <c r="AA538" s="1334"/>
      <c r="AB538" s="1334"/>
      <c r="AC538" s="2423"/>
      <c r="AD538" s="1334"/>
      <c r="AE538" s="1337" t="s">
        <v>444</v>
      </c>
      <c r="AG538" s="109"/>
      <c r="AH538" s="2642" t="s">
        <v>444</v>
      </c>
      <c r="AI538" s="2643"/>
      <c r="AJ538" s="2643"/>
      <c r="AK538" s="2643"/>
      <c r="AL538" s="2643"/>
      <c r="AM538" s="2643"/>
      <c r="AN538" s="2643"/>
      <c r="AO538" s="2643"/>
      <c r="AP538" s="2643"/>
      <c r="AQ538" s="2643"/>
      <c r="AR538" s="2643"/>
      <c r="AS538" s="2643"/>
      <c r="AT538" s="2643" t="s">
        <v>444</v>
      </c>
      <c r="AU538" s="2643"/>
      <c r="AV538" s="628"/>
      <c r="AW538" s="624"/>
      <c r="AX538" s="624"/>
      <c r="AY538" s="1291"/>
      <c r="AZ538" s="2286"/>
      <c r="BA538" s="2286"/>
      <c r="BB538" s="2286"/>
      <c r="BC538" s="2286"/>
      <c r="BD538" s="2286"/>
      <c r="BE538" s="2286"/>
      <c r="BF538" s="2286"/>
      <c r="BH538" s="2616" t="s">
        <v>1648</v>
      </c>
      <c r="BI538" s="2618"/>
    </row>
    <row r="539" spans="2:66" ht="12.75" hidden="1" customHeight="1" outlineLevel="2">
      <c r="B539" s="143"/>
      <c r="C539" s="144"/>
      <c r="D539" s="1317" t="s">
        <v>409</v>
      </c>
      <c r="E539" s="1656"/>
      <c r="F539" s="147" t="s">
        <v>452</v>
      </c>
      <c r="G539" s="147" t="s">
        <v>3670</v>
      </c>
      <c r="H539" s="1317"/>
      <c r="I539" s="220" t="s">
        <v>880</v>
      </c>
      <c r="T539" s="116"/>
      <c r="U539" s="116"/>
      <c r="V539" s="109"/>
      <c r="W539" s="109"/>
      <c r="X539" s="1316" t="s">
        <v>316</v>
      </c>
      <c r="Y539" s="2629" t="s">
        <v>316</v>
      </c>
      <c r="Z539" s="2630"/>
      <c r="AA539" s="1317"/>
      <c r="AB539" s="1317"/>
      <c r="AC539" s="2419"/>
      <c r="AD539" s="1317"/>
      <c r="AE539" s="220" t="s">
        <v>880</v>
      </c>
      <c r="AF539" s="109"/>
      <c r="AG539" s="109"/>
      <c r="AH539" s="2631" t="s">
        <v>211</v>
      </c>
      <c r="AI539" s="2632"/>
      <c r="AJ539" s="2632"/>
      <c r="AK539" s="2632" t="s">
        <v>442</v>
      </c>
      <c r="AL539" s="2632"/>
      <c r="AM539" s="2632"/>
      <c r="AN539" s="2632" t="s">
        <v>267</v>
      </c>
      <c r="AO539" s="2632"/>
      <c r="AP539" s="2632"/>
      <c r="AQ539" s="2632" t="s">
        <v>443</v>
      </c>
      <c r="AR539" s="2632"/>
      <c r="AS539" s="2632"/>
      <c r="AT539" s="2648" t="s">
        <v>327</v>
      </c>
      <c r="AU539" s="2648"/>
      <c r="AV539" s="568"/>
      <c r="AW539" s="2631" t="s">
        <v>636</v>
      </c>
      <c r="AX539" s="2632"/>
      <c r="AY539" s="568"/>
      <c r="AZ539" s="565"/>
      <c r="BA539" s="565"/>
      <c r="BB539" s="565"/>
      <c r="BC539" s="565"/>
      <c r="BD539" s="565"/>
      <c r="BE539" s="565"/>
      <c r="BF539" s="565"/>
      <c r="BH539" s="2837" t="s">
        <v>1646</v>
      </c>
      <c r="BI539" s="1141"/>
    </row>
    <row r="540" spans="2:66" ht="12.75" hidden="1" customHeight="1" outlineLevel="2">
      <c r="B540" s="143"/>
      <c r="C540" s="144"/>
      <c r="D540" s="1317" t="s">
        <v>444</v>
      </c>
      <c r="E540" s="1656"/>
      <c r="F540" s="1321" t="s">
        <v>445</v>
      </c>
      <c r="G540" s="1321" t="s">
        <v>881</v>
      </c>
      <c r="H540" s="1317"/>
      <c r="I540" s="220" t="s">
        <v>257</v>
      </c>
      <c r="T540" s="116"/>
      <c r="U540" s="116"/>
      <c r="V540" s="109"/>
      <c r="W540" s="109"/>
      <c r="X540" s="1316" t="s">
        <v>1649</v>
      </c>
      <c r="Y540" s="2646" t="s">
        <v>1650</v>
      </c>
      <c r="Z540" s="2647"/>
      <c r="AA540" s="1322"/>
      <c r="AB540" s="1322"/>
      <c r="AC540" s="1662"/>
      <c r="AD540" s="1322"/>
      <c r="AE540" s="220" t="s">
        <v>257</v>
      </c>
      <c r="AF540" s="109"/>
      <c r="AH540" s="1331"/>
      <c r="AI540" s="1332"/>
      <c r="AJ540" s="1332"/>
      <c r="AK540" s="1332"/>
      <c r="AL540" s="1332"/>
      <c r="AM540" s="1332"/>
      <c r="AN540" s="1332"/>
      <c r="AO540" s="1332"/>
      <c r="AP540" s="1332"/>
      <c r="AQ540" s="1332"/>
      <c r="AR540" s="1332"/>
      <c r="AS540" s="1332"/>
      <c r="AT540" s="581"/>
      <c r="AU540" s="581"/>
      <c r="AV540" s="582"/>
      <c r="AW540" s="1332"/>
      <c r="AX540" s="1332"/>
      <c r="AY540" s="1333"/>
      <c r="AZ540" s="2286"/>
      <c r="BA540" s="2286"/>
      <c r="BB540" s="2286"/>
      <c r="BC540" s="2286"/>
      <c r="BD540" s="2286"/>
      <c r="BE540" s="2286"/>
      <c r="BF540" s="2286"/>
      <c r="BH540" s="2838"/>
      <c r="BI540" s="1326"/>
    </row>
    <row r="541" spans="2:66" ht="12.75" hidden="1" customHeight="1" outlineLevel="2">
      <c r="B541" s="143" t="s">
        <v>3669</v>
      </c>
      <c r="C541" s="144"/>
      <c r="D541" s="212">
        <f>I541</f>
        <v>0</v>
      </c>
      <c r="E541" s="212"/>
      <c r="F541" s="117"/>
      <c r="G541" s="117"/>
      <c r="H541" s="342"/>
      <c r="I541" s="152">
        <f>G541</f>
        <v>0</v>
      </c>
      <c r="T541" s="116"/>
      <c r="U541" s="116"/>
      <c r="X541" s="1092">
        <f>IF(AE541=0,AE541,AE541/D541)</f>
        <v>0</v>
      </c>
      <c r="Y541" s="343"/>
      <c r="Z541" s="820"/>
      <c r="AA541" s="164"/>
      <c r="AB541" s="164"/>
      <c r="AC541" s="164"/>
      <c r="AD541" s="164"/>
      <c r="AE541" s="152">
        <f>I541*BI541</f>
        <v>0</v>
      </c>
      <c r="AH541" s="564">
        <f>D541</f>
        <v>0</v>
      </c>
      <c r="AI541" s="565"/>
      <c r="AJ541" s="565"/>
      <c r="AK541" s="565"/>
      <c r="AL541" s="565"/>
      <c r="AM541" s="565"/>
      <c r="AN541" s="565"/>
      <c r="AO541" s="565"/>
      <c r="AP541" s="565"/>
      <c r="AQ541" s="565"/>
      <c r="AR541" s="565"/>
      <c r="AS541" s="565"/>
      <c r="AT541" s="566">
        <f>SUM(AH541:AQ541)</f>
        <v>0</v>
      </c>
      <c r="AU541" s="566"/>
      <c r="AV541" s="567"/>
      <c r="AW541" s="565"/>
      <c r="AX541" s="565"/>
      <c r="AY541" s="568"/>
      <c r="AZ541" s="565"/>
      <c r="BA541" s="565"/>
      <c r="BB541" s="565"/>
      <c r="BC541" s="565"/>
      <c r="BD541" s="565"/>
      <c r="BE541" s="565"/>
      <c r="BF541" s="565"/>
      <c r="BH541" s="1065">
        <f>IF($Y541&lt;&gt;"votre valeur :",IF(ISNA(VLOOKUP($Y541,Utilitaires!$N$566:$O$571,2,FALSE)),,VLOOKUP($Y541,Utilitaires!$N$566:$O$571,2,FALSE)),$Z541)</f>
        <v>0</v>
      </c>
      <c r="BI541" s="1130">
        <f>SQRT(SUMSQ(0,BH541))</f>
        <v>0</v>
      </c>
    </row>
    <row r="542" spans="2:66" ht="12.75" hidden="1" customHeight="1" outlineLevel="2">
      <c r="B542" s="143" t="s">
        <v>3669</v>
      </c>
      <c r="C542" s="144"/>
      <c r="D542" s="212">
        <f>I542</f>
        <v>0</v>
      </c>
      <c r="E542" s="212"/>
      <c r="F542" s="120"/>
      <c r="G542" s="120"/>
      <c r="H542" s="342"/>
      <c r="I542" s="152">
        <f t="shared" ref="I542:I543" si="190">G542</f>
        <v>0</v>
      </c>
      <c r="T542" s="116"/>
      <c r="U542" s="116"/>
      <c r="X542" s="1092">
        <f>IF(AE542=0,AE542,AE542/D542)</f>
        <v>0</v>
      </c>
      <c r="Y542" s="343"/>
      <c r="Z542" s="820"/>
      <c r="AA542" s="164"/>
      <c r="AB542" s="164"/>
      <c r="AC542" s="164"/>
      <c r="AD542" s="164"/>
      <c r="AE542" s="152">
        <f>I542*BI542</f>
        <v>0</v>
      </c>
      <c r="AH542" s="564">
        <f>D542</f>
        <v>0</v>
      </c>
      <c r="AI542" s="565"/>
      <c r="AJ542" s="565"/>
      <c r="AK542" s="565"/>
      <c r="AL542" s="565"/>
      <c r="AM542" s="565"/>
      <c r="AN542" s="565"/>
      <c r="AO542" s="565"/>
      <c r="AP542" s="565"/>
      <c r="AQ542" s="565"/>
      <c r="AR542" s="565"/>
      <c r="AS542" s="565"/>
      <c r="AT542" s="566">
        <f>SUM(AH542:AQ542)</f>
        <v>0</v>
      </c>
      <c r="AU542" s="566"/>
      <c r="AV542" s="567"/>
      <c r="AW542" s="565"/>
      <c r="AX542" s="565"/>
      <c r="AY542" s="568"/>
      <c r="AZ542" s="565"/>
      <c r="BA542" s="565"/>
      <c r="BB542" s="565"/>
      <c r="BC542" s="565"/>
      <c r="BD542" s="565"/>
      <c r="BE542" s="565"/>
      <c r="BF542" s="565"/>
      <c r="BH542" s="1065">
        <f>IF($Y542&lt;&gt;"votre valeur :",IF(ISNA(VLOOKUP($Y542,Utilitaires!$N$566:$O$571,2,FALSE)),,VLOOKUP($Y542,Utilitaires!$N$566:$O$571,2,FALSE)),$Z542)</f>
        <v>0</v>
      </c>
      <c r="BI542" s="1130">
        <f>SQRT(SUMSQ(0,BH542))</f>
        <v>0</v>
      </c>
    </row>
    <row r="543" spans="2:66" ht="12.75" hidden="1" customHeight="1" outlineLevel="2">
      <c r="B543" s="143" t="s">
        <v>3669</v>
      </c>
      <c r="C543" s="144"/>
      <c r="D543" s="212">
        <f>I543</f>
        <v>0</v>
      </c>
      <c r="E543" s="212"/>
      <c r="F543" s="123"/>
      <c r="G543" s="123"/>
      <c r="H543" s="342"/>
      <c r="I543" s="152">
        <f t="shared" si="190"/>
        <v>0</v>
      </c>
      <c r="T543" s="116"/>
      <c r="U543" s="116"/>
      <c r="X543" s="1092">
        <f>IF(AE543=0,AE543,AE543/D543)</f>
        <v>0</v>
      </c>
      <c r="Y543" s="1094"/>
      <c r="Z543" s="820"/>
      <c r="AA543" s="164"/>
      <c r="AB543" s="164"/>
      <c r="AC543" s="164"/>
      <c r="AD543" s="164"/>
      <c r="AE543" s="152">
        <f>I543*BI543</f>
        <v>0</v>
      </c>
      <c r="AH543" s="564">
        <f>D543</f>
        <v>0</v>
      </c>
      <c r="AI543" s="565"/>
      <c r="AJ543" s="565"/>
      <c r="AK543" s="565"/>
      <c r="AL543" s="565"/>
      <c r="AM543" s="565"/>
      <c r="AN543" s="565"/>
      <c r="AO543" s="565"/>
      <c r="AP543" s="565"/>
      <c r="AQ543" s="565"/>
      <c r="AR543" s="565"/>
      <c r="AS543" s="565"/>
      <c r="AT543" s="566">
        <f>SUM(AH543:AQ543)</f>
        <v>0</v>
      </c>
      <c r="AU543" s="566"/>
      <c r="AV543" s="567"/>
      <c r="AW543" s="565"/>
      <c r="AX543" s="565"/>
      <c r="AY543" s="568"/>
      <c r="AZ543" s="565"/>
      <c r="BA543" s="565"/>
      <c r="BB543" s="565"/>
      <c r="BC543" s="565"/>
      <c r="BD543" s="565"/>
      <c r="BE543" s="565"/>
      <c r="BF543" s="565"/>
      <c r="BH543" s="1065">
        <f>IF($Y543&lt;&gt;"votre valeur :",IF(ISNA(VLOOKUP($Y543,Utilitaires!$N$566:$O$571,2,FALSE)),,VLOOKUP($Y543,Utilitaires!$N$566:$O$571,2,FALSE)),$Z543)</f>
        <v>0</v>
      </c>
      <c r="BI543" s="1130">
        <f>SQRT(SUMSQ(0,BH543))</f>
        <v>0</v>
      </c>
    </row>
    <row r="544" spans="2:66" ht="12.75" hidden="1" customHeight="1" outlineLevel="2">
      <c r="B544" s="143"/>
      <c r="C544" s="144"/>
      <c r="D544" s="212"/>
      <c r="E544" s="212"/>
      <c r="F544" s="353"/>
      <c r="G544" s="144"/>
      <c r="H544" s="144"/>
      <c r="I544" s="156"/>
      <c r="T544" s="116"/>
      <c r="U544" s="116"/>
      <c r="X544" s="143"/>
      <c r="Y544" s="144"/>
      <c r="Z544" s="144"/>
      <c r="AA544" s="144"/>
      <c r="AB544" s="144"/>
      <c r="AC544" s="144"/>
      <c r="AD544" s="144"/>
      <c r="AE544" s="165"/>
      <c r="AH544" s="569"/>
      <c r="AI544" s="625"/>
      <c r="AJ544" s="625"/>
      <c r="AK544" s="625"/>
      <c r="AL544" s="625"/>
      <c r="AM544" s="625"/>
      <c r="AN544" s="625"/>
      <c r="AO544" s="625"/>
      <c r="AP544" s="625"/>
      <c r="AQ544" s="625"/>
      <c r="AR544" s="625"/>
      <c r="AS544" s="625"/>
      <c r="AT544" s="1313"/>
      <c r="AU544" s="1313"/>
      <c r="AV544" s="1314"/>
      <c r="AW544" s="565"/>
      <c r="AX544" s="565"/>
      <c r="AY544" s="568"/>
      <c r="AZ544" s="565"/>
      <c r="BA544" s="565"/>
      <c r="BB544" s="565"/>
      <c r="BC544" s="565"/>
      <c r="BD544" s="565"/>
      <c r="BE544" s="565"/>
      <c r="BF544" s="565"/>
      <c r="BH544" s="1087"/>
      <c r="BI544" s="1131"/>
    </row>
    <row r="545" spans="2:66" ht="12.75" hidden="1" customHeight="1" outlineLevel="2">
      <c r="B545" s="196" t="s">
        <v>348</v>
      </c>
      <c r="C545" s="197"/>
      <c r="D545" s="214">
        <f>SUM(D541:D544)</f>
        <v>0</v>
      </c>
      <c r="E545" s="214"/>
      <c r="F545" s="198"/>
      <c r="G545" s="197"/>
      <c r="H545" s="197"/>
      <c r="I545" s="200">
        <f>SUM(I541:I544)</f>
        <v>0</v>
      </c>
      <c r="T545" s="116"/>
      <c r="U545" s="116"/>
      <c r="X545" s="1204">
        <f>IF(AE545=0,AE545,AE545/D545)</f>
        <v>0</v>
      </c>
      <c r="Y545" s="199"/>
      <c r="Z545" s="199"/>
      <c r="AA545" s="199"/>
      <c r="AB545" s="199"/>
      <c r="AC545" s="199"/>
      <c r="AD545" s="199"/>
      <c r="AE545" s="200">
        <f>SQRT(SUMSQ(AE541:AE544))</f>
        <v>0</v>
      </c>
      <c r="AH545" s="1308">
        <f>SUM(AH541:AH544)</f>
        <v>0</v>
      </c>
      <c r="AI545" s="1309"/>
      <c r="AJ545" s="1309"/>
      <c r="AK545" s="1309"/>
      <c r="AL545" s="1309"/>
      <c r="AM545" s="1309"/>
      <c r="AN545" s="1309"/>
      <c r="AO545" s="1309"/>
      <c r="AP545" s="1309"/>
      <c r="AQ545" s="1309"/>
      <c r="AR545" s="1309"/>
      <c r="AS545" s="1309"/>
      <c r="AT545" s="1312">
        <f>SUM(AT541:AT544)</f>
        <v>0</v>
      </c>
      <c r="AU545" s="1312"/>
      <c r="AV545" s="1312"/>
      <c r="AW545" s="1082"/>
      <c r="AX545" s="572"/>
      <c r="AY545" s="575"/>
      <c r="AZ545" s="2447"/>
      <c r="BA545" s="2447"/>
      <c r="BB545" s="2447"/>
      <c r="BC545" s="2447"/>
      <c r="BD545" s="2447"/>
      <c r="BE545" s="2447"/>
      <c r="BF545" s="2447"/>
    </row>
    <row r="546" spans="2:66" ht="12.75" hidden="1" customHeight="1" outlineLevel="2">
      <c r="F546" s="264"/>
      <c r="G546" s="265"/>
      <c r="H546" s="254"/>
    </row>
    <row r="547" spans="2:66" ht="12.75" hidden="1" customHeight="1" outlineLevel="2">
      <c r="B547" s="139" t="s">
        <v>2348</v>
      </c>
      <c r="C547" s="140"/>
      <c r="D547" s="140"/>
      <c r="E547" s="140"/>
      <c r="F547" s="140"/>
      <c r="G547" s="141"/>
      <c r="H547" s="141"/>
      <c r="I547" s="141"/>
      <c r="J547" s="141"/>
      <c r="K547" s="141"/>
      <c r="L547" s="141"/>
      <c r="M547" s="140"/>
      <c r="N547" s="140"/>
      <c r="O547" s="1320"/>
      <c r="X547" s="2636" t="s">
        <v>366</v>
      </c>
      <c r="Y547" s="2637"/>
      <c r="Z547" s="2637"/>
      <c r="AA547" s="2637"/>
      <c r="AB547" s="2637"/>
      <c r="AC547" s="2637"/>
      <c r="AD547" s="2637"/>
      <c r="AE547" s="2637"/>
      <c r="AF547" s="2638"/>
      <c r="AH547" s="2639" t="s">
        <v>441</v>
      </c>
      <c r="AI547" s="2640"/>
      <c r="AJ547" s="2640"/>
      <c r="AK547" s="2640"/>
      <c r="AL547" s="2640"/>
      <c r="AM547" s="2640"/>
      <c r="AN547" s="2640"/>
      <c r="AO547" s="2640"/>
      <c r="AP547" s="2640"/>
      <c r="AQ547" s="2640"/>
      <c r="AR547" s="2640"/>
      <c r="AS547" s="2640"/>
      <c r="AT547" s="2640"/>
      <c r="AU547" s="2640"/>
      <c r="AV547" s="2640"/>
      <c r="AW547" s="2640"/>
      <c r="AX547" s="2640"/>
      <c r="AY547" s="2641"/>
      <c r="AZ547" s="2418"/>
      <c r="BA547" s="2418"/>
      <c r="BB547" s="2418"/>
      <c r="BC547" s="2418"/>
      <c r="BD547" s="2418"/>
      <c r="BE547" s="2418"/>
      <c r="BF547" s="2418"/>
    </row>
    <row r="548" spans="2:66" ht="12.75" hidden="1" customHeight="1" outlineLevel="2">
      <c r="B548" s="332"/>
      <c r="C548" s="167"/>
      <c r="D548" s="1334" t="s">
        <v>308</v>
      </c>
      <c r="E548" s="1663"/>
      <c r="F548" s="144"/>
      <c r="G548" s="144"/>
      <c r="H548" s="144"/>
      <c r="I548" s="144"/>
      <c r="J548" s="144"/>
      <c r="K548" s="144"/>
      <c r="L548" s="144"/>
      <c r="M548" s="2768" t="s">
        <v>233</v>
      </c>
      <c r="N548" s="2841"/>
      <c r="O548" s="153" t="s">
        <v>275</v>
      </c>
      <c r="X548" s="1316"/>
      <c r="Y548" s="1317"/>
      <c r="Z548" s="1317"/>
      <c r="AA548" s="1334"/>
      <c r="AB548" s="1334"/>
      <c r="AC548" s="2423"/>
      <c r="AD548" s="1334"/>
      <c r="AE548" s="1334"/>
      <c r="AF548" s="1320" t="s">
        <v>275</v>
      </c>
      <c r="AH548" s="2642" t="s">
        <v>444</v>
      </c>
      <c r="AI548" s="2643"/>
      <c r="AJ548" s="2643"/>
      <c r="AK548" s="2643"/>
      <c r="AL548" s="2643"/>
      <c r="AM548" s="2643"/>
      <c r="AN548" s="2643"/>
      <c r="AO548" s="2643"/>
      <c r="AP548" s="2643"/>
      <c r="AQ548" s="2643"/>
      <c r="AR548" s="2643"/>
      <c r="AS548" s="2643"/>
      <c r="AT548" s="2643" t="s">
        <v>444</v>
      </c>
      <c r="AU548" s="2643"/>
      <c r="AV548" s="565"/>
      <c r="AW548" s="1288"/>
      <c r="AX548" s="566"/>
      <c r="AY548" s="1333"/>
      <c r="AZ548" s="2286"/>
      <c r="BA548" s="2286"/>
      <c r="BB548" s="2286"/>
      <c r="BC548" s="2286"/>
      <c r="BD548" s="2286"/>
      <c r="BE548" s="2286"/>
      <c r="BF548" s="2286"/>
      <c r="BH548" s="2616" t="s">
        <v>1648</v>
      </c>
      <c r="BI548" s="2617"/>
      <c r="BJ548" s="2617"/>
      <c r="BK548" s="2617"/>
      <c r="BL548" s="2617"/>
      <c r="BM548" s="2617"/>
      <c r="BN548" s="2618"/>
    </row>
    <row r="549" spans="2:66" ht="12.75" hidden="1" customHeight="1" outlineLevel="2">
      <c r="B549" s="1316" t="s">
        <v>185</v>
      </c>
      <c r="C549" s="1317"/>
      <c r="D549" s="1317" t="s">
        <v>409</v>
      </c>
      <c r="E549" s="1656"/>
      <c r="F549" s="147" t="s">
        <v>452</v>
      </c>
      <c r="G549" s="147"/>
      <c r="H549" s="2626" t="s">
        <v>2324</v>
      </c>
      <c r="I549" s="2627"/>
      <c r="J549" s="1170"/>
      <c r="K549" s="2626" t="s">
        <v>2247</v>
      </c>
      <c r="L549" s="2628"/>
      <c r="M549" s="1334" t="s">
        <v>444</v>
      </c>
      <c r="N549" s="1334" t="s">
        <v>444</v>
      </c>
      <c r="O549" s="153" t="s">
        <v>276</v>
      </c>
      <c r="X549" s="1316" t="s">
        <v>316</v>
      </c>
      <c r="Y549" s="2629" t="s">
        <v>316</v>
      </c>
      <c r="Z549" s="2630"/>
      <c r="AA549" s="1317" t="s">
        <v>444</v>
      </c>
      <c r="AB549" s="1317" t="s">
        <v>444</v>
      </c>
      <c r="AC549" s="2419"/>
      <c r="AD549" s="1317"/>
      <c r="AE549" s="1334" t="s">
        <v>444</v>
      </c>
      <c r="AF549" s="153" t="s">
        <v>276</v>
      </c>
      <c r="AH549" s="2631" t="s">
        <v>211</v>
      </c>
      <c r="AI549" s="2632"/>
      <c r="AJ549" s="2632"/>
      <c r="AK549" s="2632" t="s">
        <v>442</v>
      </c>
      <c r="AL549" s="2632"/>
      <c r="AM549" s="2632"/>
      <c r="AN549" s="2632" t="s">
        <v>267</v>
      </c>
      <c r="AO549" s="2632"/>
      <c r="AP549" s="2632"/>
      <c r="AQ549" s="2632" t="s">
        <v>443</v>
      </c>
      <c r="AR549" s="2632"/>
      <c r="AS549" s="2632"/>
      <c r="AT549" s="2648" t="s">
        <v>327</v>
      </c>
      <c r="AU549" s="2648"/>
      <c r="AV549" s="565"/>
      <c r="AW549" s="2631" t="s">
        <v>636</v>
      </c>
      <c r="AX549" s="2632"/>
      <c r="AY549" s="568"/>
      <c r="AZ549" s="565"/>
      <c r="BA549" s="565"/>
      <c r="BB549" s="565"/>
      <c r="BC549" s="565"/>
      <c r="BD549" s="565"/>
      <c r="BE549" s="565"/>
      <c r="BF549" s="565"/>
      <c r="BH549" s="2837" t="s">
        <v>1646</v>
      </c>
      <c r="BI549" s="2833" t="s">
        <v>2222</v>
      </c>
      <c r="BJ549" s="2834"/>
      <c r="BK549" s="2835"/>
      <c r="BL549" s="2833" t="s">
        <v>2324</v>
      </c>
      <c r="BM549" s="2834"/>
      <c r="BN549" s="2835"/>
    </row>
    <row r="550" spans="2:66" ht="12.75" hidden="1" customHeight="1" outlineLevel="2">
      <c r="B550" s="1316"/>
      <c r="C550" s="1317"/>
      <c r="D550" s="1317" t="s">
        <v>444</v>
      </c>
      <c r="E550" s="1656"/>
      <c r="F550" s="1321" t="s">
        <v>445</v>
      </c>
      <c r="G550" s="1321" t="s">
        <v>415</v>
      </c>
      <c r="H550" s="1322" t="s">
        <v>411</v>
      </c>
      <c r="I550" s="1322" t="s">
        <v>257</v>
      </c>
      <c r="J550" s="1321" t="s">
        <v>271</v>
      </c>
      <c r="K550" s="1322" t="s">
        <v>411</v>
      </c>
      <c r="L550" s="1322" t="s">
        <v>257</v>
      </c>
      <c r="M550" s="1318" t="s">
        <v>411</v>
      </c>
      <c r="N550" s="1318" t="s">
        <v>257</v>
      </c>
      <c r="O550" s="153" t="s">
        <v>444</v>
      </c>
      <c r="X550" s="1316" t="s">
        <v>1649</v>
      </c>
      <c r="Y550" s="2646" t="s">
        <v>1650</v>
      </c>
      <c r="Z550" s="2647"/>
      <c r="AA550" s="1322" t="s">
        <v>411</v>
      </c>
      <c r="AB550" s="1322" t="s">
        <v>257</v>
      </c>
      <c r="AC550" s="1662"/>
      <c r="AD550" s="1322"/>
      <c r="AE550" s="166" t="s">
        <v>327</v>
      </c>
      <c r="AF550" s="153" t="s">
        <v>444</v>
      </c>
      <c r="AH550" s="1331" t="s">
        <v>411</v>
      </c>
      <c r="AI550" s="1332" t="s">
        <v>257</v>
      </c>
      <c r="AJ550" s="1332"/>
      <c r="AK550" s="1332" t="s">
        <v>411</v>
      </c>
      <c r="AL550" s="1332" t="s">
        <v>257</v>
      </c>
      <c r="AM550" s="1332"/>
      <c r="AN550" s="1332" t="s">
        <v>411</v>
      </c>
      <c r="AO550" s="1332" t="s">
        <v>257</v>
      </c>
      <c r="AP550" s="1332"/>
      <c r="AQ550" s="1332" t="s">
        <v>411</v>
      </c>
      <c r="AR550" s="1332" t="s">
        <v>257</v>
      </c>
      <c r="AS550" s="1332"/>
      <c r="AT550" s="581" t="s">
        <v>411</v>
      </c>
      <c r="AU550" s="581" t="s">
        <v>257</v>
      </c>
      <c r="AV550" s="581"/>
      <c r="AW550" s="1331" t="s">
        <v>411</v>
      </c>
      <c r="AX550" s="1332" t="s">
        <v>257</v>
      </c>
      <c r="AY550" s="1333"/>
      <c r="AZ550" s="2286"/>
      <c r="BA550" s="2286"/>
      <c r="BB550" s="2286"/>
      <c r="BC550" s="2286"/>
      <c r="BD550" s="2286"/>
      <c r="BE550" s="2286"/>
      <c r="BF550" s="2286"/>
      <c r="BH550" s="2838"/>
      <c r="BI550" s="1325" t="s">
        <v>411</v>
      </c>
      <c r="BJ550" s="1325" t="s">
        <v>257</v>
      </c>
      <c r="BK550" s="1327"/>
      <c r="BL550" s="1325" t="s">
        <v>411</v>
      </c>
      <c r="BM550" s="1325" t="s">
        <v>257</v>
      </c>
      <c r="BN550" s="1327"/>
    </row>
    <row r="551" spans="2:66" ht="12.75" hidden="1" customHeight="1" outlineLevel="2">
      <c r="B551" s="143" t="s">
        <v>4030</v>
      </c>
      <c r="C551" s="144"/>
      <c r="D551" s="212">
        <f>M551+N551</f>
        <v>0</v>
      </c>
      <c r="E551" s="212"/>
      <c r="F551" s="409"/>
      <c r="G551" s="117"/>
      <c r="H551" s="376">
        <f>VLOOKUP($B551&amp;"; "&amp;$H$549&amp;", "&amp;H$550,'FE Fret'!$G:$U,9,FALSE)</f>
        <v>6.8100000000000001E-3</v>
      </c>
      <c r="I551" s="376">
        <f>VLOOKUP($B551&amp;"; "&amp;$H$549&amp;", "&amp;I$550,'FE Fret'!$G:$U,9,FALSE)</f>
        <v>2.6200000000000001E-2</v>
      </c>
      <c r="J551" s="117"/>
      <c r="K551" s="627">
        <f>IF(ISNA(VLOOKUP($B551&amp;"; "&amp;$K$549&amp;", "&amp;K$550,'FE Fret'!$G:$U,9,FALSE)),0,VLOOKUP($B551&amp;"; "&amp;$K$549&amp;", "&amp;K$550,'FE Fret'!$G:$U,9,FALSE))</f>
        <v>0</v>
      </c>
      <c r="L551" s="627">
        <f>IF(ISNA(VLOOKUP($B551&amp;"; "&amp;$K$549&amp;", "&amp;L$550,'FE Fret'!$G:$U,9,FALSE)),0,VLOOKUP($B551&amp;"; "&amp;$K$549&amp;", "&amp;L$550,'FE Fret'!$G:$U,9,FALSE))</f>
        <v>0</v>
      </c>
      <c r="M551" s="356">
        <f>G551*H551+J551*K551</f>
        <v>0</v>
      </c>
      <c r="N551" s="356">
        <f>G551*I551+J551*L551</f>
        <v>0</v>
      </c>
      <c r="O551" s="1286">
        <f>IF(OR(F551=Utilitaires!$G$572,F551=Utilitaires!$G$577),N551,0)</f>
        <v>0</v>
      </c>
      <c r="X551" s="1092">
        <f>IF(AE551=0,AE551,AE551/D551)</f>
        <v>0</v>
      </c>
      <c r="Y551" s="343"/>
      <c r="Z551" s="820"/>
      <c r="AA551" s="164">
        <f t="shared" ref="AA551:AB553" si="191">SQRT(SUMSQ(IF(ISNA($G551*H551*BI551),0,$G551*H551*BI551),IF(ISNA($J551*K551*BL551),0,$J551*K551*BL551)))</f>
        <v>0</v>
      </c>
      <c r="AB551" s="164">
        <f t="shared" si="191"/>
        <v>0</v>
      </c>
      <c r="AC551" s="164"/>
      <c r="AD551" s="164"/>
      <c r="AE551" s="151">
        <f>SQRT(SUMSQ(AA551:AD551))</f>
        <v>0</v>
      </c>
      <c r="AF551" s="1286">
        <f>O551*X551</f>
        <v>0</v>
      </c>
      <c r="AH551" s="564">
        <f>$G551*IF(ISNA(VLOOKUP($B551&amp;"; "&amp;$H$549&amp;", "&amp;H$550,'FE Fret'!$G:$U,10,FALSE)),0,VLOOKUP($B551&amp;"; "&amp;$H$549&amp;", "&amp;H$550,'FE Fret'!$G:$U,10,FALSE))
+$J551*IF(ISNA(VLOOKUP($B551&amp;"; "&amp;$K$549&amp;", "&amp;H$550,'FE Fret'!$G:$U,10,FALSE)),0,VLOOKUP($B551&amp;"; "&amp;$K$549&amp;", "&amp;H$550,'FE Fret'!$G:$U,10,FALSE))</f>
        <v>0</v>
      </c>
      <c r="AI551" s="565">
        <f>$G551*IF(ISNA(VLOOKUP($B551&amp;"; "&amp;$H$549&amp;", "&amp;I$550,'FE Fret'!$G:$U,10,FALSE)),0,VLOOKUP($B551&amp;"; "&amp;$H$549&amp;", "&amp;I$550,'FE Fret'!$G:$U,10,FALSE))
+$J551*IF(ISNA(VLOOKUP($B551&amp;"; "&amp;$K$549&amp;", "&amp;I$550,'FE Fret'!$G:$U,10,FALSE)),0,VLOOKUP($B551&amp;"; "&amp;$K$549&amp;", "&amp;I$550,'FE Fret'!$G:$U,10,FALSE))</f>
        <v>0</v>
      </c>
      <c r="AJ551" s="565"/>
      <c r="AK551" s="565">
        <f>$G551*IF(ISNA((VLOOKUP($B551&amp;"; "&amp;$H$549&amp;", "&amp;H$550,'FE Fret'!$G:$U,12,FALSE)+VLOOKUP($B551&amp;"; "&amp;$H$549&amp;", "&amp;H$550,'FE Fret'!$G:$U,11,FALSE))),0,(VLOOKUP($B551&amp;"; "&amp;$H$549&amp;", "&amp;H$550,'FE Fret'!$G:$U,12,FALSE)+VLOOKUP($B551&amp;"; "&amp;$H$549&amp;", "&amp;H$550,'FE Fret'!$G:$U,11,FALSE)))
+$J551*IF(ISNA((VLOOKUP($B551&amp;"; "&amp;$K$549&amp;", "&amp;H$550,'FE Fret'!$G:$U,12,FALSE)+VLOOKUP($B551&amp;"; "&amp;$K$549&amp;", "&amp;H$550,'FE Fret'!$G:$U,11,FALSE))),0,(VLOOKUP($B551&amp;"; "&amp;$K$549&amp;", "&amp;H$550,'FE Fret'!$G:$U,12,FALSE)+VLOOKUP($B551&amp;"; "&amp;$K$549&amp;", "&amp;H$550,'FE Fret'!$G:$U,11,FALSE)))</f>
        <v>0</v>
      </c>
      <c r="AL551" s="565">
        <f>$G551*IF(ISNA((VLOOKUP($B551&amp;"; "&amp;$H$549&amp;", "&amp;I$550,'FE Fret'!$G:$U,12,FALSE)+VLOOKUP($B551&amp;"; "&amp;$H$549&amp;", "&amp;I$550,'FE Fret'!$G:$U,11,FALSE))),0,(VLOOKUP($B551&amp;"; "&amp;$H$549&amp;", "&amp;I$550,'FE Fret'!$G:$U,12,FALSE)+VLOOKUP($B551&amp;"; "&amp;$H$549&amp;", "&amp;I$550,'FE Fret'!$G:$U,11,FALSE)))
+$J551*IF(ISNA((VLOOKUP($B551&amp;"; "&amp;$K$549&amp;", "&amp;I$550,'FE Fret'!$G:$U,12,FALSE)+VLOOKUP($B551&amp;"; "&amp;$K$549&amp;", "&amp;I$550,'FE Fret'!$G:$U,11,FALSE))),0,(VLOOKUP($B551&amp;"; "&amp;$K$549&amp;", "&amp;I$550,'FE Fret'!$G:$U,12,FALSE)+VLOOKUP($B551&amp;"; "&amp;$K$549&amp;", "&amp;I$550,'FE Fret'!$G:$U,11,FALSE)))</f>
        <v>0</v>
      </c>
      <c r="AM551" s="565"/>
      <c r="AN551" s="565">
        <f>$G551*IF(ISNA(VLOOKUP($B551&amp;"; "&amp;$H$549&amp;", "&amp;H$550,'FE Fret'!$G:$U,13,FALSE)),0,VLOOKUP($B551&amp;"; "&amp;$H$549&amp;", "&amp;H$550,'FE Fret'!$G:$U,13,FALSE))
+$J551*IF(ISNA(VLOOKUP($B551&amp;"; "&amp;$K$549&amp;", "&amp;H$550,'FE Fret'!$G:$U,13,FALSE)),0,VLOOKUP($B551&amp;"; "&amp;$K$549&amp;", "&amp;H$550,'FE Fret'!$G:$U,13,FALSE))</f>
        <v>0</v>
      </c>
      <c r="AO551" s="565">
        <f>$G551*IF(ISNA(VLOOKUP($B551&amp;"; "&amp;$H$549&amp;", "&amp;I$550,'FE Fret'!$G:$U,13,FALSE)),0,VLOOKUP($B551&amp;"; "&amp;$H$549&amp;", "&amp;I$550,'FE Fret'!$G:$U,13,FALSE))
+$J551*IF(ISNA(VLOOKUP($B551&amp;"; "&amp;$K$549&amp;", "&amp;I$550,'FE Fret'!$G:$U,13,FALSE)),0,VLOOKUP($B551&amp;"; "&amp;$K$549&amp;", "&amp;I$550,'FE Fret'!$G:$U,13,FALSE))</f>
        <v>0</v>
      </c>
      <c r="AP551" s="565"/>
      <c r="AQ551" s="565">
        <v>0</v>
      </c>
      <c r="AR551" s="565">
        <v>0</v>
      </c>
      <c r="AS551" s="565"/>
      <c r="AT551" s="566">
        <f>SUM(AH551,AK551,AN551,AQ551)</f>
        <v>0</v>
      </c>
      <c r="AU551" s="566">
        <f>SUM(AI551,AL551,AO551,AR551)</f>
        <v>0</v>
      </c>
      <c r="AV551" s="566"/>
      <c r="AW551" s="564">
        <f>$G551*IF(ISNA(VLOOKUP($B551&amp;"; "&amp;$H$549&amp;", "&amp;H$550,'FE Fret'!$G:$U,15,FALSE)),0,VLOOKUP($B551&amp;"; "&amp;$H$549&amp;", "&amp;H$550,'FE Fret'!$G:$U,15,FALSE))
+$J551*IF(ISNA(VLOOKUP($B551&amp;"; "&amp;$K$549&amp;", "&amp;H$550,'FE Fret'!$G:$U,15,FALSE)),0,VLOOKUP($B551&amp;"; "&amp;$K$549&amp;", "&amp;H$550,'FE Fret'!$G:$U,15,FALSE))</f>
        <v>0</v>
      </c>
      <c r="AX551" s="565">
        <f>$G551*IF(ISNA(VLOOKUP($B551&amp;"; "&amp;$H$549&amp;", "&amp;I$550,'FE Fret'!$G:$U,15,FALSE)),0,VLOOKUP($B551&amp;"; "&amp;$H$549&amp;", "&amp;I$550,'FE Fret'!$G:$U,15,FALSE))
+$J551*IF(ISNA(VLOOKUP($B551&amp;"; "&amp;$K$549&amp;", "&amp;I$550,'FE Fret'!$G:$U,15,FALSE)),0,VLOOKUP($B551&amp;"; "&amp;$K$549&amp;", "&amp;I$550,'FE Fret'!$G:$U,15,FALSE))</f>
        <v>0</v>
      </c>
      <c r="AY551" s="568"/>
      <c r="AZ551" s="565"/>
      <c r="BA551" s="565"/>
      <c r="BB551" s="565"/>
      <c r="BC551" s="565"/>
      <c r="BD551" s="565"/>
      <c r="BE551" s="565"/>
      <c r="BF551" s="565"/>
      <c r="BH551" s="1065">
        <f>IF($Y551&lt;&gt;"votre valeur :",IF(ISNA(VLOOKUP($Y551,Utilitaires!$N$566:$O$571,2,FALSE)),,VLOOKUP($Y551,Utilitaires!$N$566:$O$571,2,FALSE)),$Z551)</f>
        <v>0</v>
      </c>
      <c r="BI551" s="1124">
        <f>IF(ISNA(SQRT(SUMSQ(VLOOKUP($B551&amp;"; "&amp;$H$549&amp;", "&amp;H$550,'FE Fret'!$G:$U,7,FALSE),$BH551))),0,SQRT(SUMSQ(VLOOKUP($B551&amp;"; "&amp;$H$549&amp;", "&amp;H$550,'FE Fret'!$G:$U,7,FALSE),$BH551)))</f>
        <v>0.7</v>
      </c>
      <c r="BJ551" s="1124">
        <f>IF(ISNA(SQRT(SUMSQ(VLOOKUP($B551&amp;"; "&amp;$H$549&amp;", "&amp;I$550,'FE Fret'!$G:$U,7,FALSE),$BH551))),0,SQRT(SUMSQ(VLOOKUP($B551&amp;"; "&amp;$H$549&amp;", "&amp;I$550,'FE Fret'!$G:$U,7,FALSE),$BH551)))</f>
        <v>0.7</v>
      </c>
      <c r="BK551" s="1124"/>
      <c r="BL551" s="1124">
        <f>IF(ISNA(SQRT(SUMSQ(VLOOKUP($B551&amp;"; "&amp;$K$549&amp;", "&amp;K$550,'FE Fret'!$G:$U,7,FALSE),$BH551))),0,SQRT(SUMSQ(VLOOKUP($B551&amp;"; "&amp;$K$549&amp;", "&amp;K$550,'FE Fret'!$G:$U,7,FALSE),$BH551)))</f>
        <v>0</v>
      </c>
      <c r="BM551" s="1130">
        <f>IF(ISNA(SQRT(SUMSQ(VLOOKUP($B551&amp;"; "&amp;$K$549&amp;", "&amp;L$550,'FE Fret'!$G:$U,7,FALSE),$BH551))),0,SQRT(SUMSQ(VLOOKUP($B551&amp;"; "&amp;$K$549&amp;", "&amp;L$550,'FE Fret'!$G:$U,7,FALSE),$BH551)))</f>
        <v>0</v>
      </c>
      <c r="BN551" s="1130"/>
    </row>
    <row r="552" spans="2:66" ht="12.75" hidden="1" customHeight="1" outlineLevel="2">
      <c r="B552" s="143" t="s">
        <v>4031</v>
      </c>
      <c r="C552" s="144"/>
      <c r="D552" s="212">
        <f>M552+N552</f>
        <v>0</v>
      </c>
      <c r="E552" s="212"/>
      <c r="F552" s="346"/>
      <c r="G552" s="120"/>
      <c r="H552" s="376">
        <f>VLOOKUP($B552&amp;"; "&amp;$H$549&amp;", "&amp;H$550,'FE Fret'!$G:$U,9,FALSE)</f>
        <v>7.4099999999999999E-3</v>
      </c>
      <c r="I552" s="376">
        <f>VLOOKUP($B552&amp;"; "&amp;$H$549&amp;", "&amp;I$550,'FE Fret'!$G:$U,9,FALSE)</f>
        <v>2.8500000000000001E-2</v>
      </c>
      <c r="J552" s="120"/>
      <c r="K552" s="627">
        <f>IF(ISNA(VLOOKUP($B552&amp;"; "&amp;$K$549&amp;", "&amp;K$550,'FE Fret'!$G:$U,9,FALSE)),0,VLOOKUP($B552&amp;"; "&amp;$K$549&amp;", "&amp;K$550,'FE Fret'!$G:$U,9,FALSE))</f>
        <v>0</v>
      </c>
      <c r="L552" s="627">
        <f>IF(ISNA(VLOOKUP($B552&amp;"; "&amp;$K$549&amp;", "&amp;L$550,'FE Fret'!$G:$U,9,FALSE)),0,VLOOKUP($B552&amp;"; "&amp;$K$549&amp;", "&amp;L$550,'FE Fret'!$G:$U,9,FALSE))</f>
        <v>0</v>
      </c>
      <c r="M552" s="356">
        <f>G552*H552+J552*K552</f>
        <v>0</v>
      </c>
      <c r="N552" s="356">
        <f>G552*I552+J552*L552</f>
        <v>0</v>
      </c>
      <c r="O552" s="1286">
        <f>IF(OR(F552=Utilitaires!$G$572,F552=Utilitaires!$G$577),N552,0)</f>
        <v>0</v>
      </c>
      <c r="X552" s="1092">
        <f>IF(AE552=0,AE552,AE552/D552)</f>
        <v>0</v>
      </c>
      <c r="Y552" s="343"/>
      <c r="Z552" s="820"/>
      <c r="AA552" s="164">
        <f t="shared" si="191"/>
        <v>0</v>
      </c>
      <c r="AB552" s="164">
        <f t="shared" si="191"/>
        <v>0</v>
      </c>
      <c r="AC552" s="164"/>
      <c r="AD552" s="164"/>
      <c r="AE552" s="151">
        <f>SQRT(SUMSQ(AA552:AD552))</f>
        <v>0</v>
      </c>
      <c r="AF552" s="1286">
        <f>O552*X552</f>
        <v>0</v>
      </c>
      <c r="AH552" s="564">
        <f>$G552*IF(ISNA(VLOOKUP($B552&amp;"; "&amp;$H$549&amp;", "&amp;H$550,'FE Fret'!$G:$U,10,FALSE)),0,VLOOKUP($B552&amp;"; "&amp;$H$549&amp;", "&amp;H$550,'FE Fret'!$G:$U,10,FALSE))
+$J552*IF(ISNA(VLOOKUP($B552&amp;"; "&amp;$K$549&amp;", "&amp;H$550,'FE Fret'!$G:$U,10,FALSE)),0,VLOOKUP($B552&amp;"; "&amp;$K$549&amp;", "&amp;H$550,'FE Fret'!$G:$U,10,FALSE))</f>
        <v>0</v>
      </c>
      <c r="AI552" s="565">
        <f>$G552*IF(ISNA(VLOOKUP($B552&amp;"; "&amp;$H$549&amp;", "&amp;I$550,'FE Fret'!$G:$U,10,FALSE)),0,VLOOKUP($B552&amp;"; "&amp;$H$549&amp;", "&amp;I$550,'FE Fret'!$G:$U,10,FALSE))
+$J552*IF(ISNA(VLOOKUP($B552&amp;"; "&amp;$K$549&amp;", "&amp;I$550,'FE Fret'!$G:$U,10,FALSE)),0,VLOOKUP($B552&amp;"; "&amp;$K$549&amp;", "&amp;I$550,'FE Fret'!$G:$U,10,FALSE))</f>
        <v>0</v>
      </c>
      <c r="AJ552" s="565"/>
      <c r="AK552" s="565">
        <f>$G552*IF(ISNA((VLOOKUP($B552&amp;"; "&amp;$H$549&amp;", "&amp;H$550,'FE Fret'!$G:$U,12,FALSE)+VLOOKUP($B552&amp;"; "&amp;$H$549&amp;", "&amp;H$550,'FE Fret'!$G:$U,11,FALSE))),0,(VLOOKUP($B552&amp;"; "&amp;$H$549&amp;", "&amp;H$550,'FE Fret'!$G:$U,12,FALSE)+VLOOKUP($B552&amp;"; "&amp;$H$549&amp;", "&amp;H$550,'FE Fret'!$G:$U,11,FALSE)))
+$J552*IF(ISNA((VLOOKUP($B552&amp;"; "&amp;$K$549&amp;", "&amp;H$550,'FE Fret'!$G:$U,12,FALSE)+VLOOKUP($B552&amp;"; "&amp;$K$549&amp;", "&amp;H$550,'FE Fret'!$G:$U,11,FALSE))),0,(VLOOKUP($B552&amp;"; "&amp;$K$549&amp;", "&amp;H$550,'FE Fret'!$G:$U,12,FALSE)+VLOOKUP($B552&amp;"; "&amp;$K$549&amp;", "&amp;H$550,'FE Fret'!$G:$U,11,FALSE)))</f>
        <v>0</v>
      </c>
      <c r="AL552" s="565">
        <f>$G552*IF(ISNA((VLOOKUP($B552&amp;"; "&amp;$H$549&amp;", "&amp;I$550,'FE Fret'!$G:$U,12,FALSE)+VLOOKUP($B552&amp;"; "&amp;$H$549&amp;", "&amp;I$550,'FE Fret'!$G:$U,11,FALSE))),0,(VLOOKUP($B552&amp;"; "&amp;$H$549&amp;", "&amp;I$550,'FE Fret'!$G:$U,12,FALSE)+VLOOKUP($B552&amp;"; "&amp;$H$549&amp;", "&amp;I$550,'FE Fret'!$G:$U,11,FALSE)))
+$J552*IF(ISNA((VLOOKUP($B552&amp;"; "&amp;$K$549&amp;", "&amp;I$550,'FE Fret'!$G:$U,12,FALSE)+VLOOKUP($B552&amp;"; "&amp;$K$549&amp;", "&amp;I$550,'FE Fret'!$G:$U,11,FALSE))),0,(VLOOKUP($B552&amp;"; "&amp;$K$549&amp;", "&amp;I$550,'FE Fret'!$G:$U,12,FALSE)+VLOOKUP($B552&amp;"; "&amp;$K$549&amp;", "&amp;I$550,'FE Fret'!$G:$U,11,FALSE)))</f>
        <v>0</v>
      </c>
      <c r="AM552" s="565"/>
      <c r="AN552" s="565">
        <f>$G552*IF(ISNA(VLOOKUP($B552&amp;"; "&amp;$H$549&amp;", "&amp;H$550,'FE Fret'!$G:$U,13,FALSE)),0,VLOOKUP($B552&amp;"; "&amp;$H$549&amp;", "&amp;H$550,'FE Fret'!$G:$U,13,FALSE))
+$J552*IF(ISNA(VLOOKUP($B552&amp;"; "&amp;$K$549&amp;", "&amp;H$550,'FE Fret'!$G:$U,13,FALSE)),0,VLOOKUP($B552&amp;"; "&amp;$K$549&amp;", "&amp;H$550,'FE Fret'!$G:$U,13,FALSE))</f>
        <v>0</v>
      </c>
      <c r="AO552" s="565">
        <f>$G552*IF(ISNA(VLOOKUP($B552&amp;"; "&amp;$H$549&amp;", "&amp;I$550,'FE Fret'!$G:$U,13,FALSE)),0,VLOOKUP($B552&amp;"; "&amp;$H$549&amp;", "&amp;I$550,'FE Fret'!$G:$U,13,FALSE))
+$J552*IF(ISNA(VLOOKUP($B552&amp;"; "&amp;$K$549&amp;", "&amp;I$550,'FE Fret'!$G:$U,13,FALSE)),0,VLOOKUP($B552&amp;"; "&amp;$K$549&amp;", "&amp;I$550,'FE Fret'!$G:$U,13,FALSE))</f>
        <v>0</v>
      </c>
      <c r="AP552" s="565"/>
      <c r="AQ552" s="565">
        <v>0</v>
      </c>
      <c r="AR552" s="565">
        <v>0</v>
      </c>
      <c r="AS552" s="565"/>
      <c r="AT552" s="566">
        <f>SUM(AH552,AK552,AN552,AQ552)</f>
        <v>0</v>
      </c>
      <c r="AU552" s="566">
        <f>SUM(AI552,AL552,AO552,AR552)</f>
        <v>0</v>
      </c>
      <c r="AV552" s="566"/>
      <c r="AW552" s="564">
        <f>$G552*IF(ISNA(VLOOKUP($B552&amp;"; "&amp;$H$549&amp;", "&amp;H$550,'FE Fret'!$G:$U,15,FALSE)),0,VLOOKUP($B552&amp;"; "&amp;$H$549&amp;", "&amp;H$550,'FE Fret'!$G:$U,15,FALSE))
+$J552*IF(ISNA(VLOOKUP($B552&amp;"; "&amp;$K$549&amp;", "&amp;H$550,'FE Fret'!$G:$U,15,FALSE)),0,VLOOKUP($B552&amp;"; "&amp;$K$549&amp;", "&amp;H$550,'FE Fret'!$G:$U,15,FALSE))</f>
        <v>0</v>
      </c>
      <c r="AX552" s="565">
        <f>$G552*IF(ISNA(VLOOKUP($B552&amp;"; "&amp;$H$549&amp;", "&amp;I$550,'FE Fret'!$G:$U,15,FALSE)),0,VLOOKUP($B552&amp;"; "&amp;$H$549&amp;", "&amp;I$550,'FE Fret'!$G:$U,15,FALSE))
+$J552*IF(ISNA(VLOOKUP($B552&amp;"; "&amp;$K$549&amp;", "&amp;I$550,'FE Fret'!$G:$U,15,FALSE)),0,VLOOKUP($B552&amp;"; "&amp;$K$549&amp;", "&amp;I$550,'FE Fret'!$G:$U,15,FALSE))</f>
        <v>0</v>
      </c>
      <c r="AY552" s="568"/>
      <c r="AZ552" s="565"/>
      <c r="BA552" s="565"/>
      <c r="BB552" s="565"/>
      <c r="BC552" s="565"/>
      <c r="BD552" s="565"/>
      <c r="BE552" s="565"/>
      <c r="BF552" s="565"/>
      <c r="BH552" s="1065">
        <f>IF($Y552&lt;&gt;"votre valeur :",IF(ISNA(VLOOKUP($Y552,Utilitaires!$N$566:$O$571,2,FALSE)),,VLOOKUP($Y552,Utilitaires!$N$566:$O$571,2,FALSE)),$Z552)</f>
        <v>0</v>
      </c>
      <c r="BI552" s="1124">
        <f>IF(ISNA(SQRT(SUMSQ(VLOOKUP($B552&amp;"; "&amp;$H$549&amp;", "&amp;H$550,'FE Fret'!$G:$U,7,FALSE),$BH552))),0,SQRT(SUMSQ(VLOOKUP($B552&amp;"; "&amp;$H$549&amp;", "&amp;H$550,'FE Fret'!$G:$U,7,FALSE),$BH552)))</f>
        <v>0.7</v>
      </c>
      <c r="BJ552" s="1124">
        <f>IF(ISNA(SQRT(SUMSQ(VLOOKUP($B552&amp;"; "&amp;$H$549&amp;", "&amp;I$550,'FE Fret'!$G:$U,7,FALSE),$BH552))),0,SQRT(SUMSQ(VLOOKUP($B552&amp;"; "&amp;$H$549&amp;", "&amp;I$550,'FE Fret'!$G:$U,7,FALSE),$BH552)))</f>
        <v>0.7</v>
      </c>
      <c r="BK552" s="1124"/>
      <c r="BL552" s="1124">
        <f>IF(ISNA(SQRT(SUMSQ(VLOOKUP($B552&amp;"; "&amp;$K$549&amp;", "&amp;K$550,'FE Fret'!$G:$U,7,FALSE),$BH552))),0,SQRT(SUMSQ(VLOOKUP($B552&amp;"; "&amp;$K$549&amp;", "&amp;K$550,'FE Fret'!$G:$U,7,FALSE),$BH552)))</f>
        <v>0</v>
      </c>
      <c r="BM552" s="1130">
        <f>IF(ISNA(SQRT(SUMSQ(VLOOKUP($B552&amp;"; "&amp;$K$549&amp;", "&amp;L$550,'FE Fret'!$G:$U,7,FALSE),$BH552))),0,SQRT(SUMSQ(VLOOKUP($B552&amp;"; "&amp;$K$549&amp;", "&amp;L$550,'FE Fret'!$G:$U,7,FALSE),$BH552)))</f>
        <v>0</v>
      </c>
      <c r="BN552" s="1130"/>
    </row>
    <row r="553" spans="2:66" ht="12.75" hidden="1" customHeight="1" outlineLevel="2">
      <c r="B553" s="143" t="s">
        <v>4032</v>
      </c>
      <c r="C553" s="144"/>
      <c r="D553" s="212">
        <f>M553+N553</f>
        <v>0</v>
      </c>
      <c r="E553" s="212"/>
      <c r="F553" s="347"/>
      <c r="G553" s="123"/>
      <c r="H553" s="376">
        <f>VLOOKUP($B553&amp;"; "&amp;$H$549&amp;", "&amp;H$550,'FE Fret'!$G:$U,9,FALSE)</f>
        <v>1E-3</v>
      </c>
      <c r="I553" s="376">
        <f>VLOOKUP($B553&amp;"; "&amp;$H$549&amp;", "&amp;I$550,'FE Fret'!$G:$U,9,FALSE)</f>
        <v>3.15E-2</v>
      </c>
      <c r="J553" s="123"/>
      <c r="K553" s="627">
        <f>IF(ISNA(VLOOKUP($B553&amp;"; "&amp;$K$549&amp;", "&amp;K$550,'FE Fret'!$G:$U,9,FALSE)),0,VLOOKUP($B553&amp;"; "&amp;$K$549&amp;", "&amp;K$550,'FE Fret'!$G:$U,9,FALSE))</f>
        <v>0</v>
      </c>
      <c r="L553" s="627">
        <f>IF(ISNA(VLOOKUP($B553&amp;"; "&amp;$K$549&amp;", "&amp;L$550,'FE Fret'!$G:$U,9,FALSE)),0,VLOOKUP($B553&amp;"; "&amp;$K$549&amp;", "&amp;L$550,'FE Fret'!$G:$U,9,FALSE))</f>
        <v>0</v>
      </c>
      <c r="M553" s="356">
        <f>G553*H553+J553*K553</f>
        <v>0</v>
      </c>
      <c r="N553" s="356">
        <f>G553*I553+J553*L553</f>
        <v>0</v>
      </c>
      <c r="O553" s="1286">
        <f>IF(OR(F553=Utilitaires!$G$572,F553=Utilitaires!$G$577),N553,0)</f>
        <v>0</v>
      </c>
      <c r="X553" s="1092">
        <f>IF(AE553=0,AE553,AE553/D553)</f>
        <v>0</v>
      </c>
      <c r="Y553" s="1094"/>
      <c r="Z553" s="820"/>
      <c r="AA553" s="164">
        <f t="shared" si="191"/>
        <v>0</v>
      </c>
      <c r="AB553" s="164">
        <f t="shared" si="191"/>
        <v>0</v>
      </c>
      <c r="AC553" s="164"/>
      <c r="AD553" s="164"/>
      <c r="AE553" s="151">
        <f>SQRT(SUMSQ(AA553:AD553))</f>
        <v>0</v>
      </c>
      <c r="AF553" s="1286">
        <f>O553*X553</f>
        <v>0</v>
      </c>
      <c r="AH553" s="564">
        <f>$G2441*IF(ISNA(VLOOKUP($B2441&amp;"; "&amp;$H$549&amp;", "&amp;H$550,'FE Fret'!$G:$U,10,FALSE)),0,VLOOKUP($B2441&amp;"; "&amp;$H$549&amp;", "&amp;H$550,'FE Fret'!$G:$U,10,FALSE))
+$K2441*IF(ISNA(VLOOKUP($B2441&amp;"; "&amp;$K$549&amp;", "&amp;H$550,'FE Fret'!$G:$U,10,FALSE)),0,VLOOKUP($B2441&amp;"; "&amp;$K$549&amp;", "&amp;H$550,'FE Fret'!$G:$U,10,FALSE))</f>
        <v>0</v>
      </c>
      <c r="AI553" s="565">
        <f>$G2441*IF(ISNA(VLOOKUP($B2441&amp;"; "&amp;$H$549&amp;", "&amp;I$550,'FE Fret'!$G:$U,10,FALSE)),0,VLOOKUP($B2441&amp;"; "&amp;$H$549&amp;", "&amp;I$550,'FE Fret'!$G:$U,10,FALSE))
+$K2441*IF(ISNA(VLOOKUP($B2441&amp;"; "&amp;$K$549&amp;", "&amp;I$550,'FE Fret'!$G:$U,10,FALSE)),0,VLOOKUP($B2441&amp;"; "&amp;$K$549&amp;", "&amp;I$550,'FE Fret'!$G:$U,10,FALSE))</f>
        <v>0</v>
      </c>
      <c r="AJ553" s="565"/>
      <c r="AK553" s="565">
        <f>$G2441*IF(ISNA((VLOOKUP($B2441&amp;"; "&amp;$H$549&amp;", "&amp;H$550,'FE Fret'!$G:$U,12,FALSE)+VLOOKUP($B2441&amp;"; "&amp;$H$549&amp;", "&amp;H$550,'FE Fret'!$G:$U,11,FALSE))),0,(VLOOKUP($B2441&amp;"; "&amp;$H$549&amp;", "&amp;H$550,'FE Fret'!$G:$U,12,FALSE)+VLOOKUP($B2441&amp;"; "&amp;$H$549&amp;", "&amp;H$550,'FE Fret'!$G:$U,11,FALSE)))
+$K2441*IF(ISNA((VLOOKUP($B2441&amp;"; "&amp;$K$549&amp;", "&amp;H$550,'FE Fret'!$G:$U,12,FALSE)+VLOOKUP($B2441&amp;"; "&amp;$K$549&amp;", "&amp;H$550,'FE Fret'!$G:$U,11,FALSE))),0,(VLOOKUP($B2441&amp;"; "&amp;$K$549&amp;", "&amp;H$550,'FE Fret'!$G:$U,12,FALSE)+VLOOKUP($B2441&amp;"; "&amp;$K$549&amp;", "&amp;H$550,'FE Fret'!$G:$U,11,FALSE)))</f>
        <v>0</v>
      </c>
      <c r="AL553" s="565">
        <f>$G2441*IF(ISNA((VLOOKUP($B2441&amp;"; "&amp;$H$549&amp;", "&amp;I$550,'FE Fret'!$G:$U,12,FALSE)+VLOOKUP($B2441&amp;"; "&amp;$H$549&amp;", "&amp;I$550,'FE Fret'!$G:$U,11,FALSE))),0,(VLOOKUP($B2441&amp;"; "&amp;$H$549&amp;", "&amp;I$550,'FE Fret'!$G:$U,12,FALSE)+VLOOKUP($B2441&amp;"; "&amp;$H$549&amp;", "&amp;I$550,'FE Fret'!$G:$U,11,FALSE)))
+$K2441*IF(ISNA((VLOOKUP($B2441&amp;"; "&amp;$K$549&amp;", "&amp;I$550,'FE Fret'!$G:$U,12,FALSE)+VLOOKUP($B2441&amp;"; "&amp;$K$549&amp;", "&amp;I$550,'FE Fret'!$G:$U,11,FALSE))),0,(VLOOKUP($B2441&amp;"; "&amp;$K$549&amp;", "&amp;I$550,'FE Fret'!$G:$U,12,FALSE)+VLOOKUP($B2441&amp;"; "&amp;$K$549&amp;", "&amp;I$550,'FE Fret'!$G:$U,11,FALSE)))</f>
        <v>0</v>
      </c>
      <c r="AM553" s="565"/>
      <c r="AN553" s="565">
        <f>$G2441*IF(ISNA(VLOOKUP($B2441&amp;"; "&amp;$H$549&amp;", "&amp;H$550,'FE Fret'!$G:$U,13,FALSE)),0,VLOOKUP($B2441&amp;"; "&amp;$H$549&amp;", "&amp;H$550,'FE Fret'!$G:$U,13,FALSE))
+$K2441*IF(ISNA(VLOOKUP($B2441&amp;"; "&amp;$K$549&amp;", "&amp;H$550,'FE Fret'!$G:$U,13,FALSE)),0,VLOOKUP($B2441&amp;"; "&amp;$K$549&amp;", "&amp;H$550,'FE Fret'!$G:$U,13,FALSE))</f>
        <v>0</v>
      </c>
      <c r="AO553" s="565">
        <f>$G2441*IF(ISNA(VLOOKUP($B2441&amp;"; "&amp;$H$549&amp;", "&amp;I$550,'FE Fret'!$G:$U,13,FALSE)),0,VLOOKUP($B2441&amp;"; "&amp;$H$549&amp;", "&amp;I$550,'FE Fret'!$G:$U,13,FALSE))
+$K2441*IF(ISNA(VLOOKUP($B2441&amp;"; "&amp;$K$549&amp;", "&amp;I$550,'FE Fret'!$G:$U,13,FALSE)),0,VLOOKUP($B2441&amp;"; "&amp;$K$549&amp;", "&amp;I$550,'FE Fret'!$G:$U,13,FALSE))</f>
        <v>0</v>
      </c>
      <c r="AP553" s="565"/>
      <c r="AQ553" s="565">
        <v>0</v>
      </c>
      <c r="AR553" s="565">
        <v>0</v>
      </c>
      <c r="AS553" s="565"/>
      <c r="AT553" s="566">
        <f>SUM(AH2441,AK2441,AN2441,AQ2441)</f>
        <v>0</v>
      </c>
      <c r="AU553" s="566">
        <f>SUM(AI2441,AL2441,AO2441,AR2441)</f>
        <v>0</v>
      </c>
      <c r="AV553" s="566"/>
      <c r="AW553" s="564">
        <f>$G2441*IF(ISNA(VLOOKUP($B2441&amp;"; "&amp;$H$549&amp;", "&amp;H$550,'FE Fret'!$G:$U,15,FALSE)),0,VLOOKUP($B2441&amp;"; "&amp;$H$549&amp;", "&amp;H$550,'FE Fret'!$G:$U,15,FALSE))
+$K2441*IF(ISNA(VLOOKUP($B2441&amp;"; "&amp;$K$549&amp;", "&amp;H$550,'FE Fret'!$G:$U,15,FALSE)),0,VLOOKUP($B2441&amp;"; "&amp;$K$549&amp;", "&amp;H$550,'FE Fret'!$G:$U,15,FALSE))</f>
        <v>0</v>
      </c>
      <c r="AX553" s="565">
        <f>$G2441*IF(ISNA(VLOOKUP($B2441&amp;"; "&amp;$H$549&amp;", "&amp;I$550,'FE Fret'!$G:$U,15,FALSE)),0,VLOOKUP($B2441&amp;"; "&amp;$H$549&amp;", "&amp;I$550,'FE Fret'!$G:$U,15,FALSE))
+$K2441*IF(ISNA(VLOOKUP($B2441&amp;"; "&amp;$K$549&amp;", "&amp;I$550,'FE Fret'!$G:$U,15,FALSE)),0,VLOOKUP($B2441&amp;"; "&amp;$K$549&amp;", "&amp;I$550,'FE Fret'!$G:$U,15,FALSE))</f>
        <v>0</v>
      </c>
      <c r="AY553" s="568"/>
      <c r="AZ553" s="565"/>
      <c r="BA553" s="565"/>
      <c r="BB553" s="565"/>
      <c r="BC553" s="565"/>
      <c r="BD553" s="565"/>
      <c r="BE553" s="565"/>
      <c r="BF553" s="565"/>
      <c r="BH553" s="1065">
        <f>IF($Y553&lt;&gt;"votre valeur :",IF(ISNA(VLOOKUP($Y553,Utilitaires!$N$566:$O$571,2,FALSE)),,VLOOKUP($Y553,Utilitaires!$N$566:$O$571,2,FALSE)),$Z553)</f>
        <v>0</v>
      </c>
      <c r="BI553" s="1124">
        <f>IF(ISNA(SQRT(SUMSQ(VLOOKUP($B553&amp;"; "&amp;$H$549&amp;", "&amp;H$550,'FE Fret'!$G:$U,7,FALSE),$BH553))),0,SQRT(SUMSQ(VLOOKUP($B553&amp;"; "&amp;$H$549&amp;", "&amp;H$550,'FE Fret'!$G:$U,7,FALSE),$BH553)))</f>
        <v>0.7</v>
      </c>
      <c r="BJ553" s="1124">
        <f>IF(ISNA(SQRT(SUMSQ(VLOOKUP($B553&amp;"; "&amp;$H$549&amp;", "&amp;I$550,'FE Fret'!$G:$U,7,FALSE),$BH553))),0,SQRT(SUMSQ(VLOOKUP($B553&amp;"; "&amp;$H$549&amp;", "&amp;I$550,'FE Fret'!$G:$U,7,FALSE),$BH553)))</f>
        <v>0.7</v>
      </c>
      <c r="BK553" s="1124"/>
      <c r="BL553" s="1124">
        <f>IF(ISNA(SQRT(SUMSQ(VLOOKUP($B553&amp;"; "&amp;$K$549&amp;", "&amp;K$550,'FE Fret'!$G:$U,7,FALSE),$BH553))),0,SQRT(SUMSQ(VLOOKUP($B553&amp;"; "&amp;$K$549&amp;", "&amp;K$550,'FE Fret'!$G:$U,7,FALSE),$BH553)))</f>
        <v>0</v>
      </c>
      <c r="BM553" s="1130">
        <f>IF(ISNA(SQRT(SUMSQ(VLOOKUP($B553&amp;"; "&amp;$K$549&amp;", "&amp;L$550,'FE Fret'!$G:$U,7,FALSE),$BH553))),0,SQRT(SUMSQ(VLOOKUP($B553&amp;"; "&amp;$K$549&amp;", "&amp;L$550,'FE Fret'!$G:$U,7,FALSE),$BH553)))</f>
        <v>0</v>
      </c>
      <c r="BN553" s="1130"/>
    </row>
    <row r="554" spans="2:66" ht="12.75" hidden="1" customHeight="1" outlineLevel="2">
      <c r="B554" s="143"/>
      <c r="C554" s="144"/>
      <c r="D554" s="221"/>
      <c r="E554" s="221"/>
      <c r="F554" s="144"/>
      <c r="G554" s="364"/>
      <c r="H554" s="364"/>
      <c r="I554" s="364"/>
      <c r="J554" s="364"/>
      <c r="K554" s="364"/>
      <c r="L554" s="364"/>
      <c r="M554" s="365"/>
      <c r="N554" s="365"/>
      <c r="O554" s="1286"/>
      <c r="X554" s="143"/>
      <c r="Y554" s="144"/>
      <c r="Z554" s="144"/>
      <c r="AA554" s="155"/>
      <c r="AB554" s="155"/>
      <c r="AC554" s="155"/>
      <c r="AD554" s="155"/>
      <c r="AE554" s="215"/>
      <c r="AF554" s="1336"/>
      <c r="AH554" s="564"/>
      <c r="AI554" s="565"/>
      <c r="AJ554" s="565"/>
      <c r="AK554" s="565"/>
      <c r="AL554" s="565"/>
      <c r="AM554" s="565"/>
      <c r="AN554" s="565"/>
      <c r="AO554" s="565"/>
      <c r="AP554" s="565"/>
      <c r="AQ554" s="565"/>
      <c r="AR554" s="565"/>
      <c r="AS554" s="565"/>
      <c r="AT554" s="566"/>
      <c r="AU554" s="566"/>
      <c r="AV554" s="567"/>
      <c r="AW554" s="565"/>
      <c r="AX554" s="565"/>
      <c r="AY554" s="568"/>
      <c r="AZ554" s="565"/>
      <c r="BA554" s="565"/>
      <c r="BB554" s="565"/>
      <c r="BC554" s="565"/>
      <c r="BD554" s="565"/>
      <c r="BE554" s="565"/>
      <c r="BF554" s="565"/>
      <c r="BH554" s="1087"/>
      <c r="BI554" s="1075"/>
      <c r="BJ554" s="1131"/>
      <c r="BK554" s="1126"/>
      <c r="BL554" s="1075"/>
      <c r="BM554" s="1131"/>
      <c r="BN554" s="1153"/>
    </row>
    <row r="555" spans="2:66" ht="12.75" hidden="1" customHeight="1" outlineLevel="2">
      <c r="B555" s="196" t="s">
        <v>348</v>
      </c>
      <c r="C555" s="197"/>
      <c r="D555" s="214">
        <f>SUM(D551:D554)</f>
        <v>0</v>
      </c>
      <c r="E555" s="214"/>
      <c r="F555" s="197"/>
      <c r="G555" s="197"/>
      <c r="H555" s="373"/>
      <c r="I555" s="373"/>
      <c r="J555" s="197"/>
      <c r="K555" s="373"/>
      <c r="L555" s="373"/>
      <c r="M555" s="374">
        <f>SUM(M551:M554)</f>
        <v>0</v>
      </c>
      <c r="N555" s="202">
        <f>SUM(N551:N554)</f>
        <v>0</v>
      </c>
      <c r="O555" s="1311">
        <f>SUM(O551:O554)</f>
        <v>0</v>
      </c>
      <c r="X555" s="1204">
        <f>IF(AE555=0,AE555,AE555/D555)</f>
        <v>0</v>
      </c>
      <c r="Y555" s="199"/>
      <c r="Z555" s="199"/>
      <c r="AA555" s="203">
        <f>SQRT(SUMSQ(AA551:AA554))</f>
        <v>0</v>
      </c>
      <c r="AB555" s="203">
        <f>SQRT(SUMSQ(AB551:AB554))</f>
        <v>0</v>
      </c>
      <c r="AC555" s="203"/>
      <c r="AD555" s="203"/>
      <c r="AE555" s="202">
        <f>SQRT(SUMSQ(AE551:AE554))</f>
        <v>0</v>
      </c>
      <c r="AF555" s="1311">
        <f>SQRT(SUMSQ(AF551:AF554))</f>
        <v>0</v>
      </c>
      <c r="AH555" s="571">
        <f>SUM(AH551:AH554)</f>
        <v>0</v>
      </c>
      <c r="AI555" s="572">
        <f>SUM(AI551:AI554)</f>
        <v>0</v>
      </c>
      <c r="AJ555" s="572"/>
      <c r="AK555" s="572">
        <f>SUM(AK551:AK554)</f>
        <v>0</v>
      </c>
      <c r="AL555" s="572">
        <f>SUM(AL551:AL554)</f>
        <v>0</v>
      </c>
      <c r="AM555" s="572">
        <f>SUM(AM551:AM554)</f>
        <v>0</v>
      </c>
      <c r="AN555" s="572">
        <f>SUM(AN551:AN554)</f>
        <v>0</v>
      </c>
      <c r="AO555" s="572">
        <f>SUM(AO551:AO554)</f>
        <v>0</v>
      </c>
      <c r="AP555" s="572"/>
      <c r="AQ555" s="572">
        <f>SUM(AQ551:AQ554)</f>
        <v>0</v>
      </c>
      <c r="AR555" s="572">
        <f>SUM(AR551:AR554)</f>
        <v>0</v>
      </c>
      <c r="AS555" s="572"/>
      <c r="AT555" s="573">
        <f>SUM(AT551:AT554)</f>
        <v>0</v>
      </c>
      <c r="AU555" s="573">
        <f>SUM(AU551:AU554)</f>
        <v>0</v>
      </c>
      <c r="AV555" s="574"/>
      <c r="AW555" s="1082">
        <f>SUM(AW551:AW554)</f>
        <v>0</v>
      </c>
      <c r="AX555" s="572">
        <f>SUM(AX551:AX554)</f>
        <v>0</v>
      </c>
      <c r="AY555" s="575"/>
      <c r="AZ555" s="2447"/>
      <c r="BA555" s="2447"/>
      <c r="BB555" s="2447"/>
      <c r="BC555" s="2447"/>
      <c r="BD555" s="2447"/>
      <c r="BE555" s="2447"/>
      <c r="BF555" s="2447"/>
    </row>
    <row r="556" spans="2:66" ht="12.75" hidden="1" customHeight="1" outlineLevel="2">
      <c r="B556" s="260"/>
      <c r="C556" s="260"/>
      <c r="D556" s="260"/>
      <c r="E556" s="260"/>
      <c r="F556" s="260"/>
      <c r="G556" s="260"/>
      <c r="H556" s="260"/>
      <c r="I556" s="260"/>
      <c r="J556" s="260"/>
      <c r="K556" s="260"/>
      <c r="L556" s="260"/>
      <c r="M556" s="260"/>
      <c r="N556" s="260"/>
      <c r="O556" s="260"/>
      <c r="P556" s="260"/>
      <c r="Q556" s="260"/>
      <c r="V556" s="116"/>
    </row>
    <row r="557" spans="2:66" outlineLevel="1" collapsed="1">
      <c r="F557" s="264"/>
      <c r="G557" s="265"/>
      <c r="H557" s="254"/>
    </row>
    <row r="558" spans="2:66">
      <c r="F558" s="264"/>
      <c r="G558" s="265"/>
      <c r="H558" s="254"/>
    </row>
    <row r="559" spans="2:66">
      <c r="F559" s="264"/>
      <c r="G559" s="265"/>
      <c r="H559" s="254"/>
    </row>
    <row r="560" spans="2:66" ht="20.100000000000001" customHeight="1">
      <c r="B560" s="2664" t="s">
        <v>518</v>
      </c>
      <c r="C560" s="2665"/>
      <c r="D560" s="2665"/>
      <c r="E560" s="2665"/>
      <c r="F560" s="2665"/>
      <c r="G560" s="2665"/>
      <c r="H560" s="2665"/>
      <c r="I560" s="2665"/>
      <c r="J560" s="2665"/>
      <c r="K560" s="2665"/>
      <c r="L560" s="2665"/>
      <c r="M560" s="2665"/>
      <c r="N560" s="2665"/>
      <c r="O560" s="2666"/>
    </row>
    <row r="561" spans="2:58">
      <c r="F561" s="264"/>
      <c r="G561" s="265"/>
      <c r="H561" s="254"/>
    </row>
    <row r="562" spans="2:58" ht="12.75" customHeight="1">
      <c r="B562" s="2667" t="str">
        <f>Descriptif!C30</f>
        <v>Fret</v>
      </c>
      <c r="C562" s="2668"/>
      <c r="D562" s="2671" t="s">
        <v>409</v>
      </c>
      <c r="E562" s="2672"/>
      <c r="F562" s="2673"/>
      <c r="G562" s="129"/>
      <c r="H562" s="2671" t="s">
        <v>159</v>
      </c>
      <c r="I562" s="2673"/>
      <c r="J562" s="170"/>
      <c r="K562" s="2674" t="s">
        <v>499</v>
      </c>
      <c r="L562" s="2675"/>
      <c r="M562" s="2675"/>
      <c r="N562" s="2676"/>
      <c r="AA562" s="116"/>
      <c r="AB562" s="116"/>
      <c r="AC562" s="116"/>
      <c r="AD562" s="116"/>
      <c r="AE562" s="116"/>
      <c r="AF562" s="116"/>
      <c r="AG562" s="441"/>
      <c r="AT562" s="114"/>
      <c r="AU562" s="91"/>
      <c r="AV562" s="91"/>
      <c r="AW562" s="91"/>
      <c r="AX562" s="91"/>
      <c r="AY562" s="114"/>
      <c r="AZ562" s="114"/>
      <c r="BA562" s="114"/>
      <c r="BB562" s="114"/>
      <c r="BC562" s="114"/>
      <c r="BD562" s="114"/>
      <c r="BE562" s="114"/>
      <c r="BF562" s="114"/>
    </row>
    <row r="563" spans="2:58" ht="12.75" customHeight="1">
      <c r="B563" s="2669"/>
      <c r="C563" s="2670"/>
      <c r="D563" s="273" t="s">
        <v>444</v>
      </c>
      <c r="E563" s="276" t="s">
        <v>500</v>
      </c>
      <c r="F563" s="273" t="s">
        <v>524</v>
      </c>
      <c r="G563" s="129"/>
      <c r="H563" s="273" t="s">
        <v>444</v>
      </c>
      <c r="I563" s="273" t="s">
        <v>355</v>
      </c>
      <c r="J563" s="170"/>
      <c r="K563" s="277" t="s">
        <v>43</v>
      </c>
      <c r="L563" s="277" t="s">
        <v>522</v>
      </c>
      <c r="M563" s="277" t="s">
        <v>522</v>
      </c>
      <c r="N563" s="277" t="s">
        <v>523</v>
      </c>
      <c r="AA563" s="116"/>
      <c r="AB563" s="116"/>
      <c r="AC563" s="116"/>
      <c r="AD563" s="116"/>
      <c r="AE563" s="116"/>
      <c r="AF563" s="116"/>
      <c r="AG563" s="441"/>
      <c r="AT563" s="114"/>
      <c r="AU563" s="91"/>
      <c r="AV563" s="91"/>
      <c r="AW563" s="91"/>
      <c r="AX563" s="91"/>
      <c r="AY563" s="114"/>
      <c r="AZ563" s="114"/>
      <c r="BA563" s="114"/>
      <c r="BB563" s="114"/>
      <c r="BC563" s="114"/>
      <c r="BD563" s="114"/>
      <c r="BE563" s="114"/>
      <c r="BF563" s="114"/>
    </row>
    <row r="564" spans="2:58" s="91" customFormat="1">
      <c r="B564" s="2660" t="s">
        <v>112</v>
      </c>
      <c r="C564" s="2661"/>
      <c r="D564" s="183">
        <f>D24+D34+D46</f>
        <v>93036.035000000003</v>
      </c>
      <c r="E564" s="184">
        <f t="shared" ref="E564:E575" si="192">D564/1000</f>
        <v>93.036034999999998</v>
      </c>
      <c r="F564" s="185">
        <f>IF($D$576=0,"",D564/$D$576)</f>
        <v>0.31458743121297811</v>
      </c>
      <c r="G564" s="128"/>
      <c r="H564" s="136">
        <f>SQRT(AE24^2+AE34^2+AE46^2)</f>
        <v>38301.610075583791</v>
      </c>
      <c r="I564" s="185">
        <f>IF(D564=0,"",H564/D564)</f>
        <v>0.4116857524676733</v>
      </c>
      <c r="J564" s="170"/>
      <c r="K564" s="187">
        <f t="shared" ref="K564:K576" si="193">(D564-H564)/1000</f>
        <v>54.73442492441621</v>
      </c>
      <c r="L564" s="187">
        <f t="shared" ref="L564:L576" si="194">E564</f>
        <v>93.036034999999998</v>
      </c>
      <c r="M564" s="187">
        <f t="shared" ref="M564:M576" si="195">E564</f>
        <v>93.036034999999998</v>
      </c>
      <c r="N564" s="187">
        <f t="shared" ref="N564:N576" si="196">(D564+H564)/1000</f>
        <v>131.33764507558379</v>
      </c>
      <c r="AA564" s="93"/>
      <c r="AB564" s="93"/>
      <c r="AC564" s="93"/>
      <c r="AD564" s="93"/>
      <c r="AE564" s="93"/>
      <c r="AF564" s="93"/>
      <c r="AG564" s="595"/>
      <c r="AH564" s="595"/>
      <c r="AI564" s="595"/>
      <c r="AJ564" s="595"/>
      <c r="AK564" s="595"/>
      <c r="AL564" s="595"/>
      <c r="AM564" s="595"/>
      <c r="AN564" s="595"/>
      <c r="AO564" s="595"/>
      <c r="AP564" s="595"/>
      <c r="AQ564" s="595"/>
      <c r="AR564" s="595"/>
      <c r="AS564" s="595"/>
    </row>
    <row r="565" spans="2:58" s="91" customFormat="1">
      <c r="B565" s="2660" t="s">
        <v>139</v>
      </c>
      <c r="C565" s="2661"/>
      <c r="D565" s="183">
        <f>D58+D68+D78</f>
        <v>0</v>
      </c>
      <c r="E565" s="184">
        <f t="shared" si="192"/>
        <v>0</v>
      </c>
      <c r="F565" s="185">
        <f t="shared" ref="F565:F576" si="197">IF($D$576=0,"",D565/$D$576)</f>
        <v>0</v>
      </c>
      <c r="G565" s="128"/>
      <c r="H565" s="136">
        <f>SQRT(AE58^2+AE68^2+AE78^2)</f>
        <v>0</v>
      </c>
      <c r="I565" s="185" t="str">
        <f>IF(D565=0,"",H565/D565)</f>
        <v/>
      </c>
      <c r="J565" s="170"/>
      <c r="K565" s="187">
        <f t="shared" si="193"/>
        <v>0</v>
      </c>
      <c r="L565" s="187">
        <f t="shared" si="194"/>
        <v>0</v>
      </c>
      <c r="M565" s="187">
        <f t="shared" si="195"/>
        <v>0</v>
      </c>
      <c r="N565" s="187">
        <f t="shared" si="196"/>
        <v>0</v>
      </c>
      <c r="AA565" s="93"/>
      <c r="AB565" s="93"/>
      <c r="AC565" s="93"/>
      <c r="AD565" s="93"/>
      <c r="AE565" s="93"/>
      <c r="AF565" s="93"/>
      <c r="AG565" s="595"/>
      <c r="AH565" s="595"/>
      <c r="AI565" s="595"/>
      <c r="AJ565" s="595"/>
      <c r="AK565" s="595"/>
      <c r="AL565" s="595"/>
      <c r="AM565" s="595"/>
      <c r="AN565" s="595"/>
      <c r="AO565" s="595"/>
      <c r="AP565" s="595"/>
      <c r="AQ565" s="595"/>
      <c r="AR565" s="595"/>
      <c r="AS565" s="595"/>
    </row>
    <row r="566" spans="2:58" s="91" customFormat="1">
      <c r="B566" s="2660" t="s">
        <v>97</v>
      </c>
      <c r="C566" s="2661"/>
      <c r="D566" s="183">
        <f>D89+D97+D106+D116+D132</f>
        <v>0</v>
      </c>
      <c r="E566" s="184">
        <f t="shared" si="192"/>
        <v>0</v>
      </c>
      <c r="F566" s="185">
        <f t="shared" si="197"/>
        <v>0</v>
      </c>
      <c r="G566" s="128"/>
      <c r="H566" s="136">
        <f>SQRT(AE89^2+AE97^2+AE106^2+AE116^2+AE132^2)</f>
        <v>0</v>
      </c>
      <c r="I566" s="185" t="str">
        <f>IF(D566=0,"",H566/D566)</f>
        <v/>
      </c>
      <c r="J566" s="170"/>
      <c r="K566" s="187">
        <f t="shared" si="193"/>
        <v>0</v>
      </c>
      <c r="L566" s="187">
        <f t="shared" si="194"/>
        <v>0</v>
      </c>
      <c r="M566" s="187">
        <f t="shared" si="195"/>
        <v>0</v>
      </c>
      <c r="N566" s="187">
        <f t="shared" si="196"/>
        <v>0</v>
      </c>
      <c r="AA566" s="93"/>
      <c r="AB566" s="93"/>
      <c r="AC566" s="93"/>
      <c r="AD566" s="93"/>
      <c r="AE566" s="93"/>
      <c r="AF566" s="93"/>
      <c r="AG566" s="595"/>
      <c r="AH566" s="595"/>
      <c r="AI566" s="595"/>
      <c r="AJ566" s="595"/>
      <c r="AK566" s="595"/>
      <c r="AL566" s="595"/>
      <c r="AM566" s="595"/>
      <c r="AN566" s="595"/>
      <c r="AO566" s="595"/>
      <c r="AP566" s="595"/>
      <c r="AQ566" s="595"/>
      <c r="AR566" s="595"/>
      <c r="AS566" s="595"/>
    </row>
    <row r="567" spans="2:58" s="91" customFormat="1">
      <c r="B567" s="2660" t="s">
        <v>126</v>
      </c>
      <c r="C567" s="2661"/>
      <c r="D567" s="183">
        <f>D148+D158+D168+D178+D188</f>
        <v>48206</v>
      </c>
      <c r="E567" s="184">
        <f t="shared" si="192"/>
        <v>48.206000000000003</v>
      </c>
      <c r="F567" s="185">
        <f t="shared" si="197"/>
        <v>0.16300137585455809</v>
      </c>
      <c r="G567" s="128"/>
      <c r="H567" s="136">
        <f>SQRT(AE148^2+AE158^2+AE168^2+AE178^2+AE188^2)</f>
        <v>19004.1582860173</v>
      </c>
      <c r="I567" s="185">
        <f>IF(D567=0,"",H567/D567)</f>
        <v>0.39422806882996514</v>
      </c>
      <c r="J567" s="170"/>
      <c r="K567" s="187">
        <f t="shared" si="193"/>
        <v>29.201841713982699</v>
      </c>
      <c r="L567" s="187">
        <f t="shared" si="194"/>
        <v>48.206000000000003</v>
      </c>
      <c r="M567" s="187">
        <f t="shared" si="195"/>
        <v>48.206000000000003</v>
      </c>
      <c r="N567" s="187">
        <f t="shared" si="196"/>
        <v>67.210158286017304</v>
      </c>
      <c r="AA567" s="93"/>
      <c r="AB567" s="93"/>
      <c r="AC567" s="93"/>
      <c r="AD567" s="93"/>
      <c r="AE567" s="93"/>
      <c r="AF567" s="93"/>
      <c r="AG567" s="595"/>
      <c r="AH567" s="595"/>
      <c r="AI567" s="595"/>
      <c r="AJ567" s="595"/>
      <c r="AK567" s="595"/>
      <c r="AL567" s="595"/>
      <c r="AM567" s="595"/>
      <c r="AN567" s="595"/>
      <c r="AO567" s="595"/>
      <c r="AP567" s="595"/>
      <c r="AQ567" s="595"/>
      <c r="AR567" s="595"/>
      <c r="AS567" s="595"/>
    </row>
    <row r="568" spans="2:58" s="91" customFormat="1">
      <c r="B568" s="2660" t="s">
        <v>370</v>
      </c>
      <c r="C568" s="2661"/>
      <c r="D568" s="183">
        <f>D207+D217+D229</f>
        <v>0</v>
      </c>
      <c r="E568" s="184">
        <f t="shared" si="192"/>
        <v>0</v>
      </c>
      <c r="F568" s="185">
        <f t="shared" si="197"/>
        <v>0</v>
      </c>
      <c r="G568" s="128"/>
      <c r="H568" s="136">
        <f>SQRT(AE207^2+AE217^2+AE229^2)</f>
        <v>0</v>
      </c>
      <c r="I568" s="185" t="str">
        <f t="shared" ref="I568:I576" si="198">IF(D568=0,"",H568/D568)</f>
        <v/>
      </c>
      <c r="J568" s="170"/>
      <c r="K568" s="187">
        <f t="shared" si="193"/>
        <v>0</v>
      </c>
      <c r="L568" s="187">
        <f t="shared" si="194"/>
        <v>0</v>
      </c>
      <c r="M568" s="187">
        <f t="shared" si="195"/>
        <v>0</v>
      </c>
      <c r="N568" s="187">
        <f t="shared" si="196"/>
        <v>0</v>
      </c>
      <c r="AA568" s="93"/>
      <c r="AB568" s="93"/>
      <c r="AC568" s="93"/>
      <c r="AD568" s="93"/>
      <c r="AE568" s="93"/>
      <c r="AF568" s="93"/>
      <c r="AG568" s="595"/>
      <c r="AH568" s="595"/>
      <c r="AI568" s="595"/>
      <c r="AJ568" s="595"/>
      <c r="AK568" s="595"/>
      <c r="AL568" s="595"/>
      <c r="AM568" s="595"/>
      <c r="AN568" s="595"/>
      <c r="AO568" s="595"/>
      <c r="AP568" s="595"/>
      <c r="AQ568" s="595"/>
      <c r="AR568" s="595"/>
      <c r="AS568" s="595"/>
    </row>
    <row r="569" spans="2:58" s="91" customFormat="1">
      <c r="B569" s="2660" t="s">
        <v>114</v>
      </c>
      <c r="C569" s="2661"/>
      <c r="D569" s="183">
        <f>D242+D252+D262</f>
        <v>0</v>
      </c>
      <c r="E569" s="184">
        <f t="shared" si="192"/>
        <v>0</v>
      </c>
      <c r="F569" s="185">
        <f t="shared" si="197"/>
        <v>0</v>
      </c>
      <c r="G569" s="128"/>
      <c r="H569" s="136">
        <f>SQRT(AE242^2+AE252^2+AE262^2)</f>
        <v>0</v>
      </c>
      <c r="I569" s="185" t="str">
        <f t="shared" si="198"/>
        <v/>
      </c>
      <c r="J569" s="170"/>
      <c r="K569" s="187">
        <f t="shared" si="193"/>
        <v>0</v>
      </c>
      <c r="L569" s="187">
        <f t="shared" si="194"/>
        <v>0</v>
      </c>
      <c r="M569" s="187">
        <f t="shared" si="195"/>
        <v>0</v>
      </c>
      <c r="N569" s="187">
        <f t="shared" si="196"/>
        <v>0</v>
      </c>
      <c r="AA569" s="93"/>
      <c r="AB569" s="93"/>
      <c r="AC569" s="93"/>
      <c r="AD569" s="93"/>
      <c r="AE569" s="93"/>
      <c r="AF569" s="93"/>
      <c r="AG569" s="595"/>
      <c r="AH569" s="595"/>
      <c r="AI569" s="595"/>
      <c r="AJ569" s="595"/>
      <c r="AK569" s="595"/>
      <c r="AL569" s="595"/>
      <c r="AM569" s="595"/>
      <c r="AN569" s="595"/>
      <c r="AO569" s="595"/>
      <c r="AP569" s="595"/>
      <c r="AQ569" s="595"/>
      <c r="AR569" s="595"/>
      <c r="AS569" s="595"/>
    </row>
    <row r="570" spans="2:58" s="91" customFormat="1">
      <c r="B570" s="2660" t="s">
        <v>188</v>
      </c>
      <c r="C570" s="2661"/>
      <c r="D570" s="183">
        <f>D273+D281+D290+D300+D316</f>
        <v>0</v>
      </c>
      <c r="E570" s="184">
        <f t="shared" si="192"/>
        <v>0</v>
      </c>
      <c r="F570" s="185">
        <f t="shared" si="197"/>
        <v>0</v>
      </c>
      <c r="G570" s="128"/>
      <c r="H570" s="136">
        <f>SQRT(AE273^2+AE281^2+AE290^2+AE300^2+AE316^2)</f>
        <v>0</v>
      </c>
      <c r="I570" s="185" t="str">
        <f t="shared" si="198"/>
        <v/>
      </c>
      <c r="J570" s="170"/>
      <c r="K570" s="187">
        <f t="shared" si="193"/>
        <v>0</v>
      </c>
      <c r="L570" s="187">
        <f t="shared" si="194"/>
        <v>0</v>
      </c>
      <c r="M570" s="187">
        <f t="shared" si="195"/>
        <v>0</v>
      </c>
      <c r="N570" s="187">
        <f t="shared" si="196"/>
        <v>0</v>
      </c>
      <c r="AA570" s="93"/>
      <c r="AB570" s="93"/>
      <c r="AC570" s="93"/>
      <c r="AD570" s="93"/>
      <c r="AE570" s="93"/>
      <c r="AF570" s="93"/>
      <c r="AG570" s="595"/>
      <c r="AH570" s="595"/>
      <c r="AI570" s="595"/>
      <c r="AJ570" s="595"/>
      <c r="AK570" s="595"/>
      <c r="AL570" s="595"/>
      <c r="AM570" s="595"/>
      <c r="AN570" s="595"/>
      <c r="AO570" s="595"/>
      <c r="AP570" s="595"/>
      <c r="AQ570" s="595"/>
      <c r="AR570" s="595"/>
      <c r="AS570" s="595"/>
    </row>
    <row r="571" spans="2:58" s="91" customFormat="1">
      <c r="B571" s="2660" t="s">
        <v>156</v>
      </c>
      <c r="C571" s="2661"/>
      <c r="D571" s="183">
        <f>D332+D342+D352+D362+D372</f>
        <v>0</v>
      </c>
      <c r="E571" s="184">
        <f t="shared" si="192"/>
        <v>0</v>
      </c>
      <c r="F571" s="185">
        <f t="shared" si="197"/>
        <v>0</v>
      </c>
      <c r="G571" s="128"/>
      <c r="H571" s="136">
        <f>SQRT(AE332^2+AE342^2+AE352^2+AE362^2+AE372^2)</f>
        <v>0</v>
      </c>
      <c r="I571" s="185" t="str">
        <f t="shared" si="198"/>
        <v/>
      </c>
      <c r="J571" s="170"/>
      <c r="K571" s="187">
        <f t="shared" si="193"/>
        <v>0</v>
      </c>
      <c r="L571" s="187">
        <f t="shared" si="194"/>
        <v>0</v>
      </c>
      <c r="M571" s="187">
        <f t="shared" si="195"/>
        <v>0</v>
      </c>
      <c r="N571" s="187">
        <f t="shared" si="196"/>
        <v>0</v>
      </c>
      <c r="AA571" s="93"/>
      <c r="AB571" s="93"/>
      <c r="AC571" s="93"/>
      <c r="AD571" s="93"/>
      <c r="AE571" s="93"/>
      <c r="AF571" s="93"/>
      <c r="AG571" s="595"/>
      <c r="AH571" s="595"/>
      <c r="AI571" s="595"/>
      <c r="AJ571" s="595"/>
      <c r="AK571" s="595"/>
      <c r="AL571" s="595"/>
      <c r="AM571" s="595"/>
      <c r="AN571" s="595"/>
      <c r="AO571" s="595"/>
      <c r="AP571" s="595"/>
      <c r="AQ571" s="595"/>
      <c r="AR571" s="595"/>
      <c r="AS571" s="595"/>
    </row>
    <row r="572" spans="2:58" s="91" customFormat="1">
      <c r="B572" s="2660" t="s">
        <v>92</v>
      </c>
      <c r="C572" s="2661"/>
      <c r="D572" s="183">
        <f>D391+D401+D413</f>
        <v>154497.80000000002</v>
      </c>
      <c r="E572" s="184">
        <f t="shared" si="192"/>
        <v>154.49780000000001</v>
      </c>
      <c r="F572" s="185">
        <f t="shared" si="197"/>
        <v>0.52241119293246374</v>
      </c>
      <c r="G572" s="128"/>
      <c r="H572" s="136">
        <f>SQRT(AE391^2+AE401^2+AE413^2)</f>
        <v>68251.52318524872</v>
      </c>
      <c r="I572" s="185">
        <f t="shared" si="198"/>
        <v>0.44176372210639059</v>
      </c>
      <c r="J572" s="170"/>
      <c r="K572" s="187">
        <f t="shared" si="193"/>
        <v>86.246276814751297</v>
      </c>
      <c r="L572" s="187">
        <f t="shared" si="194"/>
        <v>154.49780000000001</v>
      </c>
      <c r="M572" s="187">
        <f t="shared" si="195"/>
        <v>154.49780000000001</v>
      </c>
      <c r="N572" s="187">
        <f t="shared" si="196"/>
        <v>222.74932318524873</v>
      </c>
      <c r="AA572" s="93"/>
      <c r="AB572" s="93"/>
      <c r="AC572" s="93"/>
      <c r="AD572" s="93"/>
      <c r="AE572" s="93"/>
      <c r="AF572" s="93"/>
      <c r="AG572" s="595"/>
      <c r="AH572" s="595"/>
      <c r="AI572" s="595"/>
      <c r="AJ572" s="595"/>
      <c r="AK572" s="595"/>
      <c r="AL572" s="595"/>
      <c r="AM572" s="595"/>
      <c r="AN572" s="595"/>
      <c r="AO572" s="595"/>
      <c r="AP572" s="595"/>
      <c r="AQ572" s="595"/>
      <c r="AR572" s="595"/>
      <c r="AS572" s="595"/>
    </row>
    <row r="573" spans="2:58" s="91" customFormat="1">
      <c r="B573" s="2660" t="s">
        <v>109</v>
      </c>
      <c r="C573" s="2661"/>
      <c r="D573" s="183">
        <f>D425+D435+D445</f>
        <v>0</v>
      </c>
      <c r="E573" s="184">
        <f t="shared" si="192"/>
        <v>0</v>
      </c>
      <c r="F573" s="185">
        <f t="shared" si="197"/>
        <v>0</v>
      </c>
      <c r="G573" s="128"/>
      <c r="H573" s="136">
        <f>SQRT(AE425^2+AE435^2+AE445^2)</f>
        <v>0</v>
      </c>
      <c r="I573" s="185" t="str">
        <f t="shared" si="198"/>
        <v/>
      </c>
      <c r="J573" s="170"/>
      <c r="K573" s="187">
        <f t="shared" si="193"/>
        <v>0</v>
      </c>
      <c r="L573" s="187">
        <f t="shared" si="194"/>
        <v>0</v>
      </c>
      <c r="M573" s="187">
        <f t="shared" si="195"/>
        <v>0</v>
      </c>
      <c r="N573" s="187">
        <f t="shared" si="196"/>
        <v>0</v>
      </c>
      <c r="AA573" s="93"/>
      <c r="AB573" s="93"/>
      <c r="AC573" s="93"/>
      <c r="AD573" s="93"/>
      <c r="AE573" s="93"/>
      <c r="AF573" s="93"/>
      <c r="AG573" s="595"/>
      <c r="AH573" s="595"/>
      <c r="AI573" s="595"/>
      <c r="AJ573" s="595"/>
      <c r="AK573" s="595"/>
      <c r="AL573" s="595"/>
      <c r="AM573" s="595"/>
      <c r="AN573" s="595"/>
      <c r="AO573" s="595"/>
      <c r="AP573" s="595"/>
      <c r="AQ573" s="595"/>
      <c r="AR573" s="595"/>
      <c r="AS573" s="595"/>
    </row>
    <row r="574" spans="2:58" s="91" customFormat="1" ht="15">
      <c r="B574" s="2660" t="s">
        <v>110</v>
      </c>
      <c r="C574" s="2661"/>
      <c r="D574" s="183">
        <f>D456+D464+D473+D483+D499</f>
        <v>0</v>
      </c>
      <c r="E574" s="184">
        <f t="shared" si="192"/>
        <v>0</v>
      </c>
      <c r="F574" s="185">
        <f t="shared" si="197"/>
        <v>0</v>
      </c>
      <c r="G574" s="128"/>
      <c r="H574" s="136">
        <f>SQRT(AE456^2+AE464^2+AE473^2+AE483^2+AE499^2)</f>
        <v>0</v>
      </c>
      <c r="I574" s="185" t="str">
        <f t="shared" si="198"/>
        <v/>
      </c>
      <c r="J574" s="170"/>
      <c r="K574" s="187">
        <f t="shared" si="193"/>
        <v>0</v>
      </c>
      <c r="L574" s="187">
        <f t="shared" si="194"/>
        <v>0</v>
      </c>
      <c r="M574" s="187">
        <f t="shared" si="195"/>
        <v>0</v>
      </c>
      <c r="N574" s="187">
        <f t="shared" si="196"/>
        <v>0</v>
      </c>
      <c r="AA574" s="93"/>
      <c r="AB574" s="93"/>
      <c r="AC574" s="93"/>
      <c r="AD574" s="93"/>
      <c r="AE574" s="93"/>
      <c r="AF574" s="93"/>
      <c r="AG574" s="595"/>
      <c r="AH574" s="595"/>
      <c r="AI574" s="595"/>
      <c r="AJ574" s="595"/>
      <c r="AK574" s="595"/>
      <c r="AL574" s="595"/>
      <c r="AM574" s="595"/>
      <c r="AN574" s="595"/>
      <c r="AO574" s="595"/>
      <c r="AP574" s="595"/>
      <c r="AQ574" s="595"/>
      <c r="AR574" s="595"/>
      <c r="AS574" s="595"/>
      <c r="AU574" s="98"/>
      <c r="AV574" s="98"/>
      <c r="AW574" s="98"/>
      <c r="AX574" s="98"/>
    </row>
    <row r="575" spans="2:58" s="91" customFormat="1">
      <c r="B575" s="2660" t="s">
        <v>111</v>
      </c>
      <c r="C575" s="2661"/>
      <c r="D575" s="183">
        <f>D515+D525+D535+D545+D555</f>
        <v>0</v>
      </c>
      <c r="E575" s="184">
        <f t="shared" si="192"/>
        <v>0</v>
      </c>
      <c r="F575" s="185">
        <f t="shared" si="197"/>
        <v>0</v>
      </c>
      <c r="G575" s="128"/>
      <c r="H575" s="136">
        <f>SQRT(AE515^2+AE525^2+AE535^2+AE545^2+AE555^2)</f>
        <v>0</v>
      </c>
      <c r="I575" s="185" t="str">
        <f t="shared" si="198"/>
        <v/>
      </c>
      <c r="J575" s="170"/>
      <c r="K575" s="187">
        <f t="shared" si="193"/>
        <v>0</v>
      </c>
      <c r="L575" s="187">
        <f t="shared" si="194"/>
        <v>0</v>
      </c>
      <c r="M575" s="187">
        <f t="shared" si="195"/>
        <v>0</v>
      </c>
      <c r="N575" s="187">
        <f t="shared" si="196"/>
        <v>0</v>
      </c>
      <c r="AA575" s="93"/>
      <c r="AB575" s="93"/>
      <c r="AC575" s="93"/>
      <c r="AD575" s="93"/>
      <c r="AE575" s="93"/>
      <c r="AF575" s="93"/>
      <c r="AG575" s="595"/>
      <c r="AH575" s="595"/>
      <c r="AI575" s="595"/>
      <c r="AJ575" s="595"/>
      <c r="AK575" s="595"/>
      <c r="AL575" s="595"/>
      <c r="AM575" s="595"/>
      <c r="AN575" s="595"/>
      <c r="AO575" s="595"/>
      <c r="AP575" s="595"/>
      <c r="AQ575" s="595"/>
      <c r="AR575" s="595"/>
      <c r="AS575" s="595"/>
    </row>
    <row r="576" spans="2:58" s="98" customFormat="1" ht="15">
      <c r="B576" s="2662" t="s">
        <v>348</v>
      </c>
      <c r="C576" s="2663"/>
      <c r="D576" s="188">
        <f>SUM(D564:D575)</f>
        <v>295739.83500000002</v>
      </c>
      <c r="E576" s="189">
        <f>SUM(E564:E575)</f>
        <v>295.73983499999997</v>
      </c>
      <c r="F576" s="190">
        <f t="shared" si="197"/>
        <v>1</v>
      </c>
      <c r="G576" s="191"/>
      <c r="H576" s="188">
        <f>SQRT(SUMSQ(H564:H575))</f>
        <v>80538.449101336722</v>
      </c>
      <c r="I576" s="190">
        <f t="shared" si="198"/>
        <v>0.2723287145315974</v>
      </c>
      <c r="J576" s="192"/>
      <c r="K576" s="187">
        <f t="shared" si="193"/>
        <v>215.20138589866332</v>
      </c>
      <c r="L576" s="187">
        <f t="shared" si="194"/>
        <v>295.73983499999997</v>
      </c>
      <c r="M576" s="187">
        <f t="shared" si="195"/>
        <v>295.73983499999997</v>
      </c>
      <c r="N576" s="187">
        <f t="shared" si="196"/>
        <v>376.27828410133674</v>
      </c>
      <c r="AA576" s="1239"/>
      <c r="AB576" s="1239"/>
      <c r="AC576" s="1239"/>
      <c r="AD576" s="1239"/>
      <c r="AE576" s="1239"/>
      <c r="AF576" s="1239"/>
      <c r="AG576" s="617"/>
      <c r="AH576" s="617"/>
      <c r="AI576" s="617"/>
      <c r="AJ576" s="617"/>
      <c r="AK576" s="617"/>
      <c r="AL576" s="617"/>
      <c r="AM576" s="617"/>
      <c r="AN576" s="617"/>
      <c r="AO576" s="617"/>
      <c r="AP576" s="617"/>
      <c r="AQ576" s="617"/>
      <c r="AR576" s="617"/>
      <c r="AS576" s="617"/>
      <c r="AU576" s="91"/>
      <c r="AV576" s="91"/>
      <c r="AW576" s="91"/>
      <c r="AX576" s="91"/>
    </row>
    <row r="577" spans="2:63" s="91" customFormat="1">
      <c r="B577" s="131"/>
      <c r="C577" s="131"/>
      <c r="D577" s="131"/>
      <c r="E577" s="131"/>
      <c r="F577" s="131"/>
      <c r="G577" s="131"/>
      <c r="H577" s="172"/>
      <c r="I577" s="172"/>
      <c r="J577" s="173"/>
      <c r="K577" s="173"/>
      <c r="L577" s="173"/>
      <c r="M577" s="173"/>
      <c r="N577" s="173"/>
      <c r="AA577" s="93"/>
      <c r="AB577" s="93"/>
      <c r="AC577" s="93"/>
      <c r="AD577" s="93"/>
      <c r="AE577" s="93"/>
      <c r="AF577" s="93"/>
      <c r="AG577" s="595"/>
      <c r="AH577" s="595"/>
      <c r="AI577" s="595"/>
      <c r="AJ577" s="595"/>
      <c r="AK577" s="595"/>
      <c r="AL577" s="595"/>
      <c r="AM577" s="595"/>
      <c r="AN577" s="595"/>
      <c r="AO577" s="595"/>
      <c r="AP577" s="595"/>
      <c r="AQ577" s="595"/>
      <c r="AR577" s="595"/>
      <c r="AS577" s="595"/>
      <c r="AU577" s="114"/>
      <c r="AV577" s="114"/>
      <c r="AW577" s="114"/>
      <c r="AX577" s="114"/>
    </row>
    <row r="578" spans="2:63" s="91" customFormat="1">
      <c r="B578" s="131"/>
      <c r="C578" s="131"/>
      <c r="D578" s="131"/>
      <c r="E578" s="131"/>
      <c r="F578" s="131"/>
      <c r="G578" s="131"/>
      <c r="H578" s="172"/>
      <c r="I578" s="172"/>
      <c r="J578" s="172"/>
      <c r="K578" s="172"/>
      <c r="L578" s="172"/>
      <c r="M578" s="172"/>
      <c r="N578" s="172"/>
      <c r="O578" s="172"/>
      <c r="P578" s="173"/>
      <c r="Q578" s="173"/>
      <c r="R578" s="173"/>
      <c r="S578" s="173"/>
      <c r="T578" s="173"/>
      <c r="AH578" s="595"/>
      <c r="AI578" s="595"/>
      <c r="AJ578" s="595"/>
      <c r="AK578" s="595"/>
      <c r="AL578" s="595"/>
      <c r="AM578" s="595"/>
      <c r="AN578" s="595"/>
      <c r="AO578" s="595"/>
      <c r="AP578" s="595"/>
      <c r="AQ578" s="595"/>
      <c r="AR578" s="595"/>
      <c r="AS578" s="595"/>
      <c r="AT578" s="595"/>
      <c r="AU578" s="595"/>
      <c r="AV578" s="595"/>
      <c r="AW578" s="595"/>
      <c r="AX578" s="595"/>
      <c r="AY578" s="595"/>
      <c r="AZ578" s="595"/>
      <c r="BA578" s="595"/>
      <c r="BB578" s="595"/>
      <c r="BC578" s="595"/>
      <c r="BD578" s="595"/>
      <c r="BE578" s="595"/>
      <c r="BF578" s="595"/>
      <c r="BH578" s="114"/>
      <c r="BI578" s="114"/>
      <c r="BJ578" s="114"/>
      <c r="BK578" s="114"/>
    </row>
    <row r="579" spans="2:63" ht="13.8">
      <c r="B579" s="2662" t="s">
        <v>501</v>
      </c>
      <c r="C579" s="2663"/>
      <c r="D579" s="273" t="s">
        <v>232</v>
      </c>
      <c r="E579" s="273" t="s">
        <v>143</v>
      </c>
      <c r="F579" s="273" t="s">
        <v>231</v>
      </c>
      <c r="G579" s="273" t="s">
        <v>348</v>
      </c>
    </row>
    <row r="580" spans="2:63">
      <c r="B580" s="2660" t="s">
        <v>189</v>
      </c>
      <c r="C580" s="2661"/>
      <c r="D580" s="183">
        <f>E564</f>
        <v>93.036034999999998</v>
      </c>
      <c r="E580" s="136">
        <f>E568</f>
        <v>0</v>
      </c>
      <c r="F580" s="183">
        <f>E572</f>
        <v>154.49780000000001</v>
      </c>
      <c r="G580" s="136">
        <f>SUM(D580:F580)</f>
        <v>247.53383500000001</v>
      </c>
      <c r="I580" s="254"/>
      <c r="J580" s="254"/>
      <c r="K580" s="254"/>
    </row>
    <row r="581" spans="2:63">
      <c r="B581" s="2660" t="s">
        <v>387</v>
      </c>
      <c r="C581" s="2661"/>
      <c r="D581" s="183">
        <f>E565</f>
        <v>0</v>
      </c>
      <c r="E581" s="136">
        <f>E569</f>
        <v>0</v>
      </c>
      <c r="F581" s="183">
        <f>E573</f>
        <v>0</v>
      </c>
      <c r="G581" s="136">
        <f>SUM(D581:F581)</f>
        <v>0</v>
      </c>
      <c r="I581" s="254"/>
      <c r="J581" s="254"/>
      <c r="K581" s="254"/>
    </row>
    <row r="582" spans="2:63">
      <c r="B582" s="2660" t="s">
        <v>388</v>
      </c>
      <c r="C582" s="2661"/>
      <c r="D582" s="183">
        <f>E566</f>
        <v>0</v>
      </c>
      <c r="E582" s="136">
        <f>E570</f>
        <v>0</v>
      </c>
      <c r="F582" s="183">
        <f>E574</f>
        <v>0</v>
      </c>
      <c r="G582" s="136">
        <f>SUM(D582:F582)</f>
        <v>0</v>
      </c>
      <c r="I582" s="254"/>
      <c r="J582" s="254"/>
      <c r="K582" s="254"/>
    </row>
    <row r="583" spans="2:63">
      <c r="B583" s="2660" t="s">
        <v>389</v>
      </c>
      <c r="C583" s="2661"/>
      <c r="D583" s="183">
        <f>E567</f>
        <v>48.206000000000003</v>
      </c>
      <c r="E583" s="136">
        <f>E571</f>
        <v>0</v>
      </c>
      <c r="F583" s="183">
        <f>E575</f>
        <v>0</v>
      </c>
      <c r="G583" s="136">
        <f>SUM(D583:F583)</f>
        <v>48.206000000000003</v>
      </c>
      <c r="I583" s="254"/>
      <c r="J583" s="254"/>
      <c r="K583" s="254"/>
    </row>
    <row r="584" spans="2:63" ht="13.8">
      <c r="B584" s="2662" t="s">
        <v>348</v>
      </c>
      <c r="C584" s="2663"/>
      <c r="D584" s="188">
        <f>SUM(D580:D583)</f>
        <v>141.24203499999999</v>
      </c>
      <c r="E584" s="188">
        <f>SUM(E580:E583)</f>
        <v>0</v>
      </c>
      <c r="F584" s="188">
        <f>SUM(F580:F583)</f>
        <v>154.49780000000001</v>
      </c>
      <c r="G584" s="188">
        <f>SUM(G580:G583)</f>
        <v>295.73983500000003</v>
      </c>
      <c r="I584" s="254"/>
      <c r="J584" s="254"/>
      <c r="K584" s="254"/>
    </row>
    <row r="585" spans="2:63">
      <c r="G585" s="254"/>
      <c r="H585" s="126"/>
    </row>
    <row r="586" spans="2:63" collapsed="1"/>
    <row r="587" spans="2:63" ht="15.6" collapsed="1">
      <c r="B587" s="2677" t="s">
        <v>519</v>
      </c>
      <c r="C587" s="2678"/>
      <c r="D587" s="2678"/>
      <c r="E587" s="2678"/>
      <c r="F587" s="2678"/>
      <c r="G587" s="2678"/>
      <c r="H587" s="2678"/>
      <c r="I587" s="2678"/>
      <c r="J587" s="2678"/>
      <c r="K587" s="2678"/>
      <c r="L587" s="2678"/>
      <c r="M587" s="2678"/>
      <c r="N587" s="2678"/>
      <c r="O587" s="2679"/>
      <c r="AS587" s="626"/>
    </row>
    <row r="588" spans="2:63" ht="12.75" hidden="1" customHeight="1" outlineLevel="1">
      <c r="E588" s="188">
        <f>SUM(E591:E635)</f>
        <v>295739.83500000002</v>
      </c>
      <c r="AS588" s="626"/>
    </row>
    <row r="589" spans="2:63" ht="12.75" hidden="1" customHeight="1" outlineLevel="1">
      <c r="B589" s="2667" t="str">
        <f>B562</f>
        <v>Fret</v>
      </c>
      <c r="C589" s="2845"/>
      <c r="D589" s="2668"/>
      <c r="E589" s="2671" t="s">
        <v>409</v>
      </c>
      <c r="F589" s="2672"/>
      <c r="G589" s="2673"/>
      <c r="H589" s="170"/>
      <c r="I589" s="2671" t="s">
        <v>159</v>
      </c>
      <c r="J589" s="2673"/>
      <c r="AA589" s="116"/>
      <c r="AB589" s="116"/>
      <c r="AC589" s="116"/>
      <c r="AD589" s="116"/>
      <c r="AE589" s="116"/>
      <c r="AF589" s="116"/>
      <c r="AG589" s="441"/>
      <c r="AN589" s="626"/>
      <c r="AT589" s="114"/>
      <c r="AU589" s="114"/>
      <c r="AV589" s="114"/>
      <c r="AW589" s="114"/>
      <c r="AX589" s="114"/>
      <c r="AY589" s="114"/>
      <c r="AZ589" s="114"/>
      <c r="BA589" s="114"/>
      <c r="BB589" s="114"/>
      <c r="BC589" s="114"/>
      <c r="BD589" s="114"/>
      <c r="BE589" s="114"/>
      <c r="BF589" s="114"/>
    </row>
    <row r="590" spans="2:63" ht="12.75" hidden="1" customHeight="1" outlineLevel="1">
      <c r="B590" s="2669"/>
      <c r="C590" s="2846"/>
      <c r="D590" s="2670"/>
      <c r="E590" s="171" t="s">
        <v>444</v>
      </c>
      <c r="F590" s="171" t="s">
        <v>500</v>
      </c>
      <c r="G590" s="171" t="s">
        <v>524</v>
      </c>
      <c r="H590" s="176"/>
      <c r="I590" s="273" t="s">
        <v>444</v>
      </c>
      <c r="J590" s="273" t="s">
        <v>355</v>
      </c>
      <c r="AA590" s="116"/>
      <c r="AB590" s="116"/>
      <c r="AC590" s="116"/>
      <c r="AD590" s="116"/>
      <c r="AE590" s="116"/>
      <c r="AF590" s="116"/>
      <c r="AG590" s="441"/>
      <c r="AN590" s="626"/>
      <c r="AT590" s="114"/>
      <c r="AU590" s="114"/>
      <c r="AV590" s="114"/>
      <c r="AW590" s="114"/>
      <c r="AX590" s="114"/>
      <c r="AY590" s="114"/>
      <c r="AZ590" s="114"/>
      <c r="BA590" s="114"/>
      <c r="BB590" s="114"/>
      <c r="BC590" s="114"/>
      <c r="BD590" s="114"/>
      <c r="BE590" s="114"/>
      <c r="BF590" s="114"/>
    </row>
    <row r="591" spans="2:63" ht="12.75" hidden="1" customHeight="1" outlineLevel="1">
      <c r="B591" s="1654" t="s">
        <v>131</v>
      </c>
      <c r="C591" s="275"/>
      <c r="D591" s="136"/>
      <c r="E591" s="136">
        <f>U24+R46</f>
        <v>0</v>
      </c>
      <c r="F591" s="136">
        <f t="shared" ref="F591:F608" si="199">E591/1000</f>
        <v>0</v>
      </c>
      <c r="G591" s="185">
        <f>IF($E$636=0,"",E591/$E$636)</f>
        <v>0</v>
      </c>
      <c r="H591" s="170"/>
      <c r="I591" s="136">
        <f>SQRT(AF24^2+AF46^2)</f>
        <v>0</v>
      </c>
      <c r="J591" s="185" t="str">
        <f t="shared" ref="J591:J636" si="200">IF(E591=0,"",I591/E591)</f>
        <v/>
      </c>
      <c r="K591" s="170"/>
      <c r="AA591" s="116"/>
      <c r="AB591" s="116"/>
      <c r="AC591" s="116"/>
      <c r="AD591" s="116"/>
      <c r="AE591" s="116"/>
      <c r="AF591" s="116"/>
      <c r="AG591" s="441"/>
      <c r="AT591" s="114"/>
      <c r="AU591" s="114"/>
      <c r="AV591" s="114"/>
      <c r="AW591" s="114"/>
      <c r="AX591" s="114"/>
      <c r="AY591" s="114"/>
      <c r="AZ591" s="114"/>
      <c r="BA591" s="114"/>
      <c r="BB591" s="114"/>
      <c r="BC591" s="114"/>
      <c r="BD591" s="114"/>
      <c r="BE591" s="114"/>
      <c r="BF591" s="114"/>
    </row>
    <row r="592" spans="2:63" ht="12.75" hidden="1" customHeight="1" outlineLevel="1">
      <c r="B592" s="1654" t="s">
        <v>167</v>
      </c>
      <c r="C592" s="275"/>
      <c r="D592" s="136"/>
      <c r="E592" s="136">
        <f>T24-U24+I34+P46-R46</f>
        <v>71331.395000000004</v>
      </c>
      <c r="F592" s="136">
        <f t="shared" si="199"/>
        <v>71.331395000000001</v>
      </c>
      <c r="G592" s="185">
        <f t="shared" ref="G592:G636" si="201">IF($E$636=0,"",E592/$E$636)</f>
        <v>0.24119643875502939</v>
      </c>
      <c r="H592" s="170"/>
      <c r="I592" s="136">
        <f>SQRT(AE34^2+SUMPRODUCT((F40:F45&lt;&gt;Utilitaires!$G$586)*1,AB40:AB45,AB40:AB45))</f>
        <v>37145.951147992593</v>
      </c>
      <c r="J592" s="185">
        <f t="shared" si="200"/>
        <v>0.52075178325045501</v>
      </c>
      <c r="K592" s="170"/>
      <c r="AA592" s="116"/>
      <c r="AB592" s="116"/>
      <c r="AC592" s="116"/>
      <c r="AD592" s="116"/>
      <c r="AE592" s="116"/>
      <c r="AF592" s="116"/>
      <c r="AG592" s="441"/>
      <c r="AT592" s="114"/>
      <c r="AU592" s="114"/>
      <c r="AV592" s="114"/>
      <c r="AW592" s="114"/>
      <c r="AX592" s="114"/>
      <c r="AY592" s="114"/>
      <c r="AZ592" s="114"/>
      <c r="BA592" s="114"/>
      <c r="BB592" s="114"/>
      <c r="BC592" s="114"/>
      <c r="BD592" s="114"/>
      <c r="BE592" s="114"/>
      <c r="BF592" s="114"/>
    </row>
    <row r="593" spans="2:58" ht="12.75" hidden="1" customHeight="1" outlineLevel="1">
      <c r="B593" s="1654" t="s">
        <v>136</v>
      </c>
      <c r="C593" s="275"/>
      <c r="D593" s="136"/>
      <c r="E593" s="136">
        <f>S24+O46</f>
        <v>17408.93</v>
      </c>
      <c r="F593" s="136">
        <f t="shared" si="199"/>
        <v>17.408930000000002</v>
      </c>
      <c r="G593" s="185">
        <f t="shared" si="201"/>
        <v>5.8865691867313039E-2</v>
      </c>
      <c r="H593" s="170"/>
      <c r="I593" s="136">
        <f>SQRT(AA24^2+AA46^2)</f>
        <v>9065.731341982344</v>
      </c>
      <c r="J593" s="185">
        <f t="shared" si="200"/>
        <v>0.52075178325045501</v>
      </c>
      <c r="K593" s="170"/>
      <c r="AA593" s="116"/>
      <c r="AB593" s="116"/>
      <c r="AC593" s="116"/>
      <c r="AD593" s="116"/>
      <c r="AE593" s="116"/>
      <c r="AF593" s="116"/>
      <c r="AG593" s="441"/>
      <c r="AT593" s="114"/>
      <c r="AU593" s="114"/>
      <c r="AV593" s="114"/>
      <c r="AW593" s="114"/>
      <c r="AX593" s="114"/>
      <c r="AY593" s="114"/>
      <c r="AZ593" s="114"/>
      <c r="BA593" s="114"/>
      <c r="BB593" s="114"/>
      <c r="BC593" s="114"/>
      <c r="BD593" s="114"/>
      <c r="BE593" s="114"/>
      <c r="BF593" s="114"/>
    </row>
    <row r="594" spans="2:58" ht="12.75" hidden="1" customHeight="1" outlineLevel="1">
      <c r="B594" s="1654" t="s">
        <v>169</v>
      </c>
      <c r="C594" s="275"/>
      <c r="D594" s="136"/>
      <c r="E594" s="136">
        <f>Q46</f>
        <v>4295.71</v>
      </c>
      <c r="F594" s="136">
        <f t="shared" si="199"/>
        <v>4.2957099999999997</v>
      </c>
      <c r="G594" s="185">
        <f t="shared" si="201"/>
        <v>1.4525300590635684E-2</v>
      </c>
      <c r="H594" s="170"/>
      <c r="I594" s="136">
        <f>SQRT(AC46^2)</f>
        <v>2236.9986428268121</v>
      </c>
      <c r="J594" s="185">
        <f t="shared" si="200"/>
        <v>0.52075178325045501</v>
      </c>
      <c r="K594" s="170"/>
      <c r="AA594" s="116"/>
      <c r="AB594" s="116"/>
      <c r="AC594" s="116"/>
      <c r="AD594" s="116"/>
      <c r="AE594" s="116"/>
      <c r="AF594" s="116"/>
      <c r="AG594" s="441"/>
      <c r="AT594" s="114"/>
      <c r="AU594" s="114"/>
      <c r="AV594" s="114"/>
      <c r="AW594" s="114"/>
      <c r="AX594" s="114"/>
      <c r="AY594" s="114"/>
      <c r="AZ594" s="114"/>
      <c r="BA594" s="114"/>
      <c r="BB594" s="114"/>
      <c r="BC594" s="114"/>
      <c r="BD594" s="114"/>
      <c r="BE594" s="114"/>
      <c r="BF594" s="114"/>
    </row>
    <row r="595" spans="2:58" ht="12.75" hidden="1" customHeight="1" outlineLevel="1">
      <c r="B595" s="1654" t="s">
        <v>229</v>
      </c>
      <c r="C595" s="275"/>
      <c r="D595" s="136"/>
      <c r="E595" s="136">
        <f>T58+P78</f>
        <v>0</v>
      </c>
      <c r="F595" s="136">
        <f t="shared" si="199"/>
        <v>0</v>
      </c>
      <c r="G595" s="185">
        <f t="shared" si="201"/>
        <v>0</v>
      </c>
      <c r="H595" s="170"/>
      <c r="I595" s="136">
        <f>SQRT(AF58^2+AF78^2)</f>
        <v>0</v>
      </c>
      <c r="J595" s="185" t="str">
        <f t="shared" si="200"/>
        <v/>
      </c>
      <c r="K595" s="170"/>
      <c r="AA595" s="116"/>
      <c r="AB595" s="116"/>
      <c r="AC595" s="116"/>
      <c r="AD595" s="116"/>
      <c r="AE595" s="116"/>
      <c r="AF595" s="116"/>
      <c r="AG595" s="441"/>
      <c r="AT595" s="114"/>
      <c r="AU595" s="114"/>
      <c r="AV595" s="114"/>
      <c r="AW595" s="114"/>
      <c r="AX595" s="114"/>
      <c r="AY595" s="114"/>
      <c r="AZ595" s="114"/>
      <c r="BA595" s="114"/>
      <c r="BB595" s="114"/>
      <c r="BC595" s="114"/>
      <c r="BD595" s="114"/>
      <c r="BE595" s="114"/>
      <c r="BF595" s="114"/>
    </row>
    <row r="596" spans="2:58" ht="12.75" hidden="1" customHeight="1" outlineLevel="1">
      <c r="B596" s="1654" t="s">
        <v>81</v>
      </c>
      <c r="C596" s="275"/>
      <c r="D596" s="136"/>
      <c r="E596" s="136">
        <f>I68+M78-P78</f>
        <v>0</v>
      </c>
      <c r="F596" s="136">
        <f t="shared" si="199"/>
        <v>0</v>
      </c>
      <c r="G596" s="185">
        <f t="shared" si="201"/>
        <v>0</v>
      </c>
      <c r="H596" s="170"/>
      <c r="I596" s="136">
        <f>SQRT(AE68^2+SUMPRODUCT((F74:F77&lt;&gt;Utilitaires!$G$586)*1,AB74:AB77,AB74:AB77))</f>
        <v>0</v>
      </c>
      <c r="J596" s="185" t="str">
        <f t="shared" si="200"/>
        <v/>
      </c>
      <c r="K596" s="170"/>
      <c r="AA596" s="116"/>
      <c r="AB596" s="116"/>
      <c r="AC596" s="116"/>
      <c r="AD596" s="116"/>
      <c r="AE596" s="116"/>
      <c r="AF596" s="116"/>
      <c r="AG596" s="441"/>
      <c r="AT596" s="114"/>
      <c r="AU596" s="114"/>
      <c r="AV596" s="114"/>
      <c r="AW596" s="114"/>
      <c r="AX596" s="114"/>
      <c r="AY596" s="114"/>
      <c r="AZ596" s="114"/>
      <c r="BA596" s="114"/>
      <c r="BB596" s="114"/>
      <c r="BC596" s="114"/>
      <c r="BD596" s="114"/>
      <c r="BE596" s="114"/>
      <c r="BF596" s="114"/>
    </row>
    <row r="597" spans="2:58" ht="12.75" hidden="1" customHeight="1" outlineLevel="1">
      <c r="B597" s="1654" t="s">
        <v>82</v>
      </c>
      <c r="C597" s="275"/>
      <c r="D597" s="136"/>
      <c r="E597" s="136">
        <f>S58+L78</f>
        <v>0</v>
      </c>
      <c r="F597" s="136">
        <f t="shared" si="199"/>
        <v>0</v>
      </c>
      <c r="G597" s="185">
        <f t="shared" si="201"/>
        <v>0</v>
      </c>
      <c r="H597" s="170"/>
      <c r="I597" s="136">
        <f>SQRT(AA58^2+AA78^2)</f>
        <v>0</v>
      </c>
      <c r="J597" s="185" t="str">
        <f t="shared" si="200"/>
        <v/>
      </c>
      <c r="K597" s="170"/>
      <c r="Q597" s="272"/>
      <c r="AA597" s="116"/>
      <c r="AB597" s="116"/>
      <c r="AC597" s="116"/>
      <c r="AD597" s="116"/>
      <c r="AE597" s="116"/>
      <c r="AF597" s="116"/>
      <c r="AG597" s="441"/>
      <c r="AT597" s="114"/>
      <c r="AU597" s="114"/>
      <c r="AV597" s="114"/>
      <c r="AW597" s="114"/>
      <c r="AX597" s="114"/>
      <c r="AY597" s="114"/>
      <c r="AZ597" s="114"/>
      <c r="BA597" s="114"/>
      <c r="BB597" s="114"/>
      <c r="BC597" s="114"/>
      <c r="BD597" s="114"/>
      <c r="BE597" s="114"/>
      <c r="BF597" s="114"/>
    </row>
    <row r="598" spans="2:58" ht="12.75" hidden="1" customHeight="1" outlineLevel="1">
      <c r="B598" s="1654" t="s">
        <v>6</v>
      </c>
      <c r="C598" s="275"/>
      <c r="D598" s="136"/>
      <c r="E598" s="136">
        <f>N78</f>
        <v>0</v>
      </c>
      <c r="F598" s="136">
        <f t="shared" si="199"/>
        <v>0</v>
      </c>
      <c r="G598" s="185">
        <f t="shared" si="201"/>
        <v>0</v>
      </c>
      <c r="H598" s="170"/>
      <c r="I598" s="136">
        <f>SQRT(AC78^2)</f>
        <v>0</v>
      </c>
      <c r="J598" s="185" t="str">
        <f t="shared" si="200"/>
        <v/>
      </c>
      <c r="K598" s="170"/>
      <c r="AA598" s="116"/>
      <c r="AB598" s="116"/>
      <c r="AC598" s="116"/>
      <c r="AD598" s="116"/>
      <c r="AE598" s="116"/>
      <c r="AF598" s="116"/>
      <c r="AG598" s="441"/>
      <c r="AT598" s="114"/>
      <c r="AU598" s="114"/>
      <c r="AV598" s="114"/>
      <c r="AW598" s="114"/>
      <c r="AX598" s="114"/>
      <c r="AY598" s="114"/>
      <c r="AZ598" s="114"/>
      <c r="BA598" s="114"/>
      <c r="BB598" s="114"/>
      <c r="BC598" s="114"/>
      <c r="BD598" s="114"/>
      <c r="BE598" s="114"/>
      <c r="BF598" s="114"/>
    </row>
    <row r="599" spans="2:58" ht="12.75" hidden="1" customHeight="1" outlineLevel="1">
      <c r="B599" s="1654" t="s">
        <v>204</v>
      </c>
      <c r="C599" s="275"/>
      <c r="D599" s="136"/>
      <c r="E599" s="136">
        <f>I89</f>
        <v>0</v>
      </c>
      <c r="F599" s="136">
        <f t="shared" si="199"/>
        <v>0</v>
      </c>
      <c r="G599" s="185">
        <f t="shared" si="201"/>
        <v>0</v>
      </c>
      <c r="H599" s="170"/>
      <c r="I599" s="136">
        <f>AE89</f>
        <v>0</v>
      </c>
      <c r="J599" s="185" t="str">
        <f t="shared" si="200"/>
        <v/>
      </c>
      <c r="K599" s="170"/>
      <c r="AA599" s="116"/>
      <c r="AB599" s="116"/>
      <c r="AC599" s="116"/>
      <c r="AD599" s="116"/>
      <c r="AE599" s="116"/>
      <c r="AF599" s="116"/>
      <c r="AG599" s="441"/>
      <c r="AT599" s="114"/>
      <c r="AU599" s="114"/>
      <c r="AV599" s="114"/>
      <c r="AW599" s="114"/>
      <c r="AX599" s="114"/>
      <c r="AY599" s="114"/>
      <c r="AZ599" s="114"/>
      <c r="BA599" s="114"/>
      <c r="BB599" s="114"/>
      <c r="BC599" s="114"/>
      <c r="BD599" s="114"/>
      <c r="BE599" s="114"/>
      <c r="BF599" s="114"/>
    </row>
    <row r="600" spans="2:58" ht="12.75" hidden="1" customHeight="1" outlineLevel="1">
      <c r="B600" s="1654" t="s">
        <v>132</v>
      </c>
      <c r="C600" s="275"/>
      <c r="D600" s="136"/>
      <c r="E600" s="136">
        <f>I97</f>
        <v>0</v>
      </c>
      <c r="F600" s="136">
        <f t="shared" si="199"/>
        <v>0</v>
      </c>
      <c r="G600" s="185">
        <f t="shared" si="201"/>
        <v>0</v>
      </c>
      <c r="H600" s="170"/>
      <c r="I600" s="136">
        <f>AE97</f>
        <v>0</v>
      </c>
      <c r="J600" s="185" t="str">
        <f t="shared" si="200"/>
        <v/>
      </c>
      <c r="K600" s="170"/>
      <c r="AA600" s="116"/>
      <c r="AB600" s="116"/>
      <c r="AC600" s="116"/>
      <c r="AD600" s="116"/>
      <c r="AE600" s="116"/>
      <c r="AF600" s="116"/>
      <c r="AG600" s="441"/>
      <c r="AT600" s="114"/>
      <c r="AU600" s="114"/>
      <c r="AV600" s="114"/>
      <c r="AW600" s="114"/>
      <c r="AX600" s="114"/>
      <c r="AY600" s="114"/>
      <c r="AZ600" s="114"/>
      <c r="BA600" s="114"/>
      <c r="BB600" s="114"/>
      <c r="BC600" s="114"/>
      <c r="BD600" s="114"/>
      <c r="BE600" s="114"/>
      <c r="BF600" s="114"/>
    </row>
    <row r="601" spans="2:58" ht="12.75" hidden="1" customHeight="1" outlineLevel="1">
      <c r="B601" s="1654" t="s">
        <v>280</v>
      </c>
      <c r="C601" s="275"/>
      <c r="D601" s="136"/>
      <c r="E601" s="136">
        <f>T106</f>
        <v>0</v>
      </c>
      <c r="F601" s="136">
        <f t="shared" si="199"/>
        <v>0</v>
      </c>
      <c r="G601" s="185">
        <f t="shared" si="201"/>
        <v>0</v>
      </c>
      <c r="H601" s="170"/>
      <c r="I601" s="136">
        <f>AB106</f>
        <v>0</v>
      </c>
      <c r="J601" s="185" t="str">
        <f t="shared" si="200"/>
        <v/>
      </c>
      <c r="K601" s="170"/>
      <c r="AA601" s="116"/>
      <c r="AB601" s="116"/>
      <c r="AC601" s="116"/>
      <c r="AD601" s="116"/>
      <c r="AE601" s="116"/>
      <c r="AF601" s="116"/>
      <c r="AG601" s="441"/>
      <c r="AT601" s="114"/>
      <c r="AU601" s="114"/>
      <c r="AV601" s="114"/>
      <c r="AW601" s="114"/>
      <c r="AX601" s="114"/>
      <c r="AY601" s="114"/>
      <c r="AZ601" s="114"/>
      <c r="BA601" s="114"/>
      <c r="BB601" s="114"/>
      <c r="BC601" s="114"/>
      <c r="BD601" s="114"/>
      <c r="BE601" s="114"/>
      <c r="BF601" s="114"/>
    </row>
    <row r="602" spans="2:58" ht="12.75" hidden="1" customHeight="1" outlineLevel="1">
      <c r="B602" s="1654" t="s">
        <v>125</v>
      </c>
      <c r="C602" s="275"/>
      <c r="D602" s="136"/>
      <c r="E602" s="136">
        <f>S106</f>
        <v>0</v>
      </c>
      <c r="F602" s="136">
        <f t="shared" si="199"/>
        <v>0</v>
      </c>
      <c r="G602" s="185">
        <f t="shared" si="201"/>
        <v>0</v>
      </c>
      <c r="H602" s="170"/>
      <c r="I602" s="136">
        <f>AA106</f>
        <v>0</v>
      </c>
      <c r="J602" s="185" t="str">
        <f t="shared" si="200"/>
        <v/>
      </c>
      <c r="K602" s="170"/>
      <c r="AA602" s="116"/>
      <c r="AB602" s="116"/>
      <c r="AC602" s="116"/>
      <c r="AD602" s="116"/>
      <c r="AE602" s="116"/>
      <c r="AF602" s="116"/>
      <c r="AG602" s="441"/>
      <c r="AT602" s="114"/>
      <c r="AU602" s="114"/>
      <c r="AV602" s="114"/>
      <c r="AW602" s="114"/>
      <c r="AX602" s="114"/>
      <c r="AY602" s="114"/>
      <c r="AZ602" s="114"/>
      <c r="BA602" s="114"/>
      <c r="BB602" s="114"/>
      <c r="BC602" s="114"/>
      <c r="BD602" s="114"/>
      <c r="BE602" s="114"/>
      <c r="BF602" s="114"/>
    </row>
    <row r="603" spans="2:58" ht="12.75" hidden="1" customHeight="1" outlineLevel="1">
      <c r="B603" s="1654" t="s">
        <v>164</v>
      </c>
      <c r="C603" s="275"/>
      <c r="D603" s="136"/>
      <c r="E603" s="136">
        <f>I116+L132+M132</f>
        <v>0</v>
      </c>
      <c r="F603" s="136">
        <f t="shared" si="199"/>
        <v>0</v>
      </c>
      <c r="G603" s="185">
        <f t="shared" si="201"/>
        <v>0</v>
      </c>
      <c r="H603" s="170"/>
      <c r="I603" s="136">
        <f>SQRT(AE116^2+AE132^2)</f>
        <v>0</v>
      </c>
      <c r="J603" s="185" t="str">
        <f t="shared" si="200"/>
        <v/>
      </c>
      <c r="K603" s="170"/>
      <c r="AA603" s="116"/>
      <c r="AB603" s="116"/>
      <c r="AC603" s="116"/>
      <c r="AD603" s="116"/>
      <c r="AE603" s="116"/>
      <c r="AF603" s="116"/>
      <c r="AG603" s="441"/>
      <c r="AT603" s="114"/>
      <c r="AU603" s="114"/>
      <c r="AV603" s="114"/>
      <c r="AW603" s="114"/>
      <c r="AX603" s="114"/>
      <c r="AY603" s="114"/>
      <c r="AZ603" s="114"/>
      <c r="BA603" s="114"/>
      <c r="BB603" s="114"/>
      <c r="BC603" s="114"/>
      <c r="BD603" s="114"/>
      <c r="BE603" s="114"/>
      <c r="BF603" s="114"/>
    </row>
    <row r="604" spans="2:58" ht="12.75" hidden="1" customHeight="1" outlineLevel="1">
      <c r="B604" s="1654" t="s">
        <v>151</v>
      </c>
      <c r="C604" s="275"/>
      <c r="D604" s="136"/>
      <c r="E604" s="136">
        <f>U148+O168+O188</f>
        <v>0</v>
      </c>
      <c r="F604" s="136">
        <f t="shared" si="199"/>
        <v>0</v>
      </c>
      <c r="G604" s="185">
        <f t="shared" si="201"/>
        <v>0</v>
      </c>
      <c r="H604" s="170"/>
      <c r="I604" s="136">
        <f>SQRT(AF148^2+AF168^2+AF188^2)</f>
        <v>0</v>
      </c>
      <c r="J604" s="185" t="str">
        <f t="shared" si="200"/>
        <v/>
      </c>
      <c r="K604" s="170"/>
      <c r="AA604" s="116"/>
      <c r="AB604" s="116"/>
      <c r="AC604" s="116"/>
      <c r="AD604" s="116"/>
      <c r="AE604" s="116"/>
      <c r="AF604" s="116"/>
      <c r="AG604" s="441"/>
      <c r="AT604" s="114"/>
      <c r="AU604" s="114"/>
      <c r="AV604" s="114"/>
      <c r="AW604" s="114"/>
      <c r="AX604" s="114"/>
      <c r="AY604" s="114"/>
      <c r="AZ604" s="114"/>
      <c r="BA604" s="114"/>
      <c r="BB604" s="114"/>
      <c r="BC604" s="114"/>
      <c r="BD604" s="114"/>
      <c r="BE604" s="114"/>
      <c r="BF604" s="114"/>
    </row>
    <row r="605" spans="2:58" ht="12.75" hidden="1" customHeight="1" outlineLevel="1">
      <c r="B605" s="1654" t="s">
        <v>165</v>
      </c>
      <c r="C605" s="275"/>
      <c r="D605" s="136"/>
      <c r="E605" s="136">
        <f>T148-U148+I158+N168-O168+N188-O188+I178</f>
        <v>44390</v>
      </c>
      <c r="F605" s="136">
        <f t="shared" si="199"/>
        <v>44.39</v>
      </c>
      <c r="G605" s="185">
        <f t="shared" si="201"/>
        <v>0.15009814284910247</v>
      </c>
      <c r="H605" s="170"/>
      <c r="I605" s="136">
        <f>SQRT(AE158^2+SUMPRODUCT((F164:F167&lt;&gt;Utilitaires!$G$586)*1,AB164:AB167,AB164:AB167)+AE178^2+SUMPRODUCT((F184:F187&lt;&gt;Utilitaires!$G$586)*1,AB184:AB187,AB184:AB187))</f>
        <v>18934.369701682706</v>
      </c>
      <c r="J605" s="185">
        <f t="shared" si="200"/>
        <v>0.4265458369381101</v>
      </c>
      <c r="K605" s="170"/>
      <c r="AA605" s="116"/>
      <c r="AB605" s="116"/>
      <c r="AC605" s="116"/>
      <c r="AD605" s="116"/>
      <c r="AE605" s="116"/>
      <c r="AF605" s="116"/>
      <c r="AG605" s="441"/>
      <c r="AT605" s="114"/>
      <c r="AU605" s="114"/>
      <c r="AV605" s="114"/>
      <c r="AW605" s="114"/>
      <c r="AX605" s="114"/>
      <c r="AY605" s="114"/>
      <c r="AZ605" s="114"/>
      <c r="BA605" s="114"/>
      <c r="BB605" s="114"/>
      <c r="BC605" s="114"/>
      <c r="BD605" s="114"/>
      <c r="BE605" s="114"/>
      <c r="BF605" s="114"/>
    </row>
    <row r="606" spans="2:58" ht="12.75" hidden="1" customHeight="1" outlineLevel="1">
      <c r="B606" s="1654" t="s">
        <v>202</v>
      </c>
      <c r="C606" s="275"/>
      <c r="D606" s="136"/>
      <c r="E606" s="136">
        <f>S148+M168+M188</f>
        <v>3816</v>
      </c>
      <c r="F606" s="136">
        <f t="shared" si="199"/>
        <v>3.8159999999999998</v>
      </c>
      <c r="G606" s="185">
        <f t="shared" si="201"/>
        <v>1.2903233005455622E-2</v>
      </c>
      <c r="H606" s="170"/>
      <c r="I606" s="136">
        <f>SQRT(AA148^2+AA168^2+AA188^2)</f>
        <v>1627.1681412810417</v>
      </c>
      <c r="J606" s="185">
        <f t="shared" si="200"/>
        <v>0.42640674561872161</v>
      </c>
      <c r="K606" s="170"/>
      <c r="AA606" s="116"/>
      <c r="AB606" s="116"/>
      <c r="AC606" s="116"/>
      <c r="AD606" s="116"/>
      <c r="AE606" s="116"/>
      <c r="AF606" s="116"/>
      <c r="AG606" s="441"/>
      <c r="AT606" s="114"/>
      <c r="AU606" s="114"/>
      <c r="AV606" s="114"/>
      <c r="AW606" s="114"/>
      <c r="AX606" s="114"/>
      <c r="AY606" s="114"/>
      <c r="AZ606" s="114"/>
      <c r="BA606" s="114"/>
      <c r="BB606" s="114"/>
      <c r="BC606" s="114"/>
      <c r="BD606" s="114"/>
      <c r="BE606" s="114"/>
      <c r="BF606" s="114"/>
    </row>
    <row r="607" spans="2:58" ht="12.75" hidden="1" customHeight="1" outlineLevel="1">
      <c r="B607" s="1654" t="s">
        <v>713</v>
      </c>
      <c r="C607" s="275"/>
      <c r="D607" s="136"/>
      <c r="E607" s="136">
        <f>U207+R229</f>
        <v>0</v>
      </c>
      <c r="F607" s="136">
        <f t="shared" si="199"/>
        <v>0</v>
      </c>
      <c r="G607" s="185">
        <f t="shared" si="201"/>
        <v>0</v>
      </c>
      <c r="H607" s="170"/>
      <c r="I607" s="136">
        <f>SQRT(AF207^2+AF229^2)</f>
        <v>0</v>
      </c>
      <c r="J607" s="185" t="str">
        <f t="shared" si="200"/>
        <v/>
      </c>
      <c r="K607" s="170"/>
      <c r="AA607" s="116"/>
      <c r="AB607" s="116"/>
      <c r="AC607" s="116"/>
      <c r="AD607" s="116"/>
      <c r="AE607" s="116"/>
      <c r="AF607" s="116"/>
      <c r="AG607" s="441"/>
      <c r="AT607" s="114"/>
      <c r="AU607" s="114"/>
      <c r="AV607" s="114"/>
      <c r="AW607" s="114"/>
      <c r="AX607" s="114"/>
      <c r="AY607" s="114"/>
      <c r="AZ607" s="114"/>
      <c r="BA607" s="114"/>
      <c r="BB607" s="114"/>
      <c r="BC607" s="114"/>
      <c r="BD607" s="114"/>
      <c r="BE607" s="114"/>
      <c r="BF607" s="114"/>
    </row>
    <row r="608" spans="2:58" ht="12.75" hidden="1" customHeight="1" outlineLevel="1">
      <c r="B608" s="1654" t="s">
        <v>714</v>
      </c>
      <c r="C608" s="275"/>
      <c r="D608" s="136"/>
      <c r="E608" s="136">
        <f>T207-U207+I217+P229-R229</f>
        <v>0</v>
      </c>
      <c r="F608" s="136">
        <f t="shared" si="199"/>
        <v>0</v>
      </c>
      <c r="G608" s="185">
        <f t="shared" si="201"/>
        <v>0</v>
      </c>
      <c r="H608" s="170"/>
      <c r="I608" s="136">
        <f>SQRT(AE217^2+SUMPRODUCT((F223:F228&lt;&gt;Utilitaires!$G$586)*1,AB223:AB228,AB223:AB228))</f>
        <v>0</v>
      </c>
      <c r="J608" s="185" t="str">
        <f t="shared" si="200"/>
        <v/>
      </c>
      <c r="K608" s="170"/>
      <c r="AA608" s="116"/>
      <c r="AB608" s="116"/>
      <c r="AC608" s="116"/>
      <c r="AD608" s="116"/>
      <c r="AE608" s="116"/>
      <c r="AF608" s="116"/>
      <c r="AG608" s="441"/>
      <c r="AT608" s="114"/>
      <c r="AU608" s="114"/>
      <c r="AV608" s="114"/>
      <c r="AW608" s="114"/>
      <c r="AX608" s="114"/>
      <c r="AY608" s="114"/>
      <c r="AZ608" s="114"/>
      <c r="BA608" s="114"/>
      <c r="BB608" s="114"/>
      <c r="BC608" s="114"/>
      <c r="BD608" s="114"/>
      <c r="BE608" s="114"/>
      <c r="BF608" s="114"/>
    </row>
    <row r="609" spans="2:58" ht="12.75" hidden="1" customHeight="1" outlineLevel="1">
      <c r="B609" s="1654" t="s">
        <v>715</v>
      </c>
      <c r="C609" s="275"/>
      <c r="D609" s="136"/>
      <c r="E609" s="136">
        <f>U242+P262</f>
        <v>0</v>
      </c>
      <c r="F609" s="136">
        <f t="shared" ref="F609:F635" si="202">E609/1000</f>
        <v>0</v>
      </c>
      <c r="G609" s="185">
        <f t="shared" si="201"/>
        <v>0</v>
      </c>
      <c r="H609" s="170"/>
      <c r="I609" s="136">
        <f>SQRT(AF242^2+AF262^2)</f>
        <v>0</v>
      </c>
      <c r="J609" s="185" t="str">
        <f t="shared" si="200"/>
        <v/>
      </c>
      <c r="K609" s="170"/>
      <c r="AA609" s="116"/>
      <c r="AB609" s="116"/>
      <c r="AC609" s="116"/>
      <c r="AD609" s="116"/>
      <c r="AE609" s="116"/>
      <c r="AF609" s="116"/>
      <c r="AG609" s="441"/>
      <c r="AT609" s="114"/>
      <c r="AU609" s="114"/>
      <c r="AV609" s="114"/>
      <c r="AW609" s="114"/>
      <c r="AX609" s="114"/>
      <c r="AY609" s="114"/>
      <c r="AZ609" s="114"/>
      <c r="BA609" s="114"/>
      <c r="BB609" s="114"/>
      <c r="BC609" s="114"/>
      <c r="BD609" s="114"/>
      <c r="BE609" s="114"/>
      <c r="BF609" s="114"/>
    </row>
    <row r="610" spans="2:58" ht="12.75" hidden="1" customHeight="1" outlineLevel="1">
      <c r="B610" s="1654" t="s">
        <v>716</v>
      </c>
      <c r="C610" s="275"/>
      <c r="D610" s="136"/>
      <c r="E610" s="136">
        <f>T242-U242+I252+M262-P262</f>
        <v>0</v>
      </c>
      <c r="F610" s="136">
        <f t="shared" si="202"/>
        <v>0</v>
      </c>
      <c r="G610" s="185">
        <f t="shared" si="201"/>
        <v>0</v>
      </c>
      <c r="H610" s="170"/>
      <c r="I610" s="136">
        <f>SQRT(AE252^2+SUMPRODUCT((F258:F261&lt;&gt;Utilitaires!$G$586)*1,AB258:AB261,AB258:AB261))</f>
        <v>0</v>
      </c>
      <c r="J610" s="185" t="str">
        <f t="shared" si="200"/>
        <v/>
      </c>
      <c r="K610" s="170"/>
      <c r="AA610" s="116"/>
      <c r="AB610" s="116"/>
      <c r="AC610" s="116"/>
      <c r="AD610" s="116"/>
      <c r="AE610" s="116"/>
      <c r="AF610" s="116"/>
      <c r="AG610" s="441"/>
      <c r="AT610" s="114"/>
      <c r="AU610" s="114"/>
      <c r="AV610" s="114"/>
      <c r="AW610" s="114"/>
      <c r="AX610" s="114"/>
      <c r="AY610" s="114"/>
      <c r="AZ610" s="114"/>
      <c r="BA610" s="114"/>
      <c r="BB610" s="114"/>
      <c r="BC610" s="114"/>
      <c r="BD610" s="114"/>
      <c r="BE610" s="114"/>
      <c r="BF610" s="114"/>
    </row>
    <row r="611" spans="2:58" ht="12.75" hidden="1" customHeight="1" outlineLevel="1">
      <c r="B611" s="1654" t="s">
        <v>717</v>
      </c>
      <c r="C611" s="275"/>
      <c r="D611" s="136"/>
      <c r="E611" s="136">
        <f>T290</f>
        <v>0</v>
      </c>
      <c r="F611" s="136">
        <f t="shared" si="202"/>
        <v>0</v>
      </c>
      <c r="G611" s="185">
        <f t="shared" si="201"/>
        <v>0</v>
      </c>
      <c r="H611" s="170"/>
      <c r="I611" s="136">
        <f>AF290</f>
        <v>0</v>
      </c>
      <c r="J611" s="185" t="str">
        <f t="shared" si="200"/>
        <v/>
      </c>
      <c r="K611" s="170"/>
      <c r="AA611" s="116"/>
      <c r="AB611" s="116"/>
      <c r="AC611" s="116"/>
      <c r="AD611" s="116"/>
      <c r="AE611" s="116"/>
      <c r="AF611" s="116"/>
      <c r="AG611" s="441"/>
      <c r="AT611" s="114"/>
      <c r="AU611" s="114"/>
      <c r="AV611" s="114"/>
      <c r="AW611" s="114"/>
      <c r="AX611" s="114"/>
      <c r="AY611" s="114"/>
      <c r="AZ611" s="114"/>
      <c r="BA611" s="114"/>
      <c r="BB611" s="114"/>
      <c r="BC611" s="114"/>
      <c r="BD611" s="114"/>
      <c r="BE611" s="114"/>
      <c r="BF611" s="114"/>
    </row>
    <row r="612" spans="2:58" ht="12.75" hidden="1" customHeight="1" outlineLevel="1">
      <c r="B612" s="1654" t="s">
        <v>718</v>
      </c>
      <c r="C612" s="275"/>
      <c r="D612" s="136"/>
      <c r="E612" s="136">
        <f>I300+M316</f>
        <v>0</v>
      </c>
      <c r="F612" s="136">
        <f t="shared" si="202"/>
        <v>0</v>
      </c>
      <c r="G612" s="185">
        <f t="shared" si="201"/>
        <v>0</v>
      </c>
      <c r="H612" s="170"/>
      <c r="I612" s="136">
        <f>SQRT(AE300^2+AE316^2+(AB290-AF290)^2)</f>
        <v>0</v>
      </c>
      <c r="J612" s="185" t="str">
        <f t="shared" si="200"/>
        <v/>
      </c>
      <c r="K612" s="170"/>
      <c r="AA612" s="116"/>
      <c r="AB612" s="116"/>
      <c r="AC612" s="116"/>
      <c r="AD612" s="116"/>
      <c r="AE612" s="116"/>
      <c r="AF612" s="116"/>
      <c r="AG612" s="441"/>
      <c r="AT612" s="114"/>
      <c r="AU612" s="114"/>
      <c r="AV612" s="114"/>
      <c r="AW612" s="114"/>
      <c r="AX612" s="114"/>
      <c r="AY612" s="114"/>
      <c r="AZ612" s="114"/>
      <c r="BA612" s="114"/>
      <c r="BB612" s="114"/>
      <c r="BC612" s="114"/>
      <c r="BD612" s="114"/>
      <c r="BE612" s="114"/>
      <c r="BF612" s="114"/>
    </row>
    <row r="613" spans="2:58" ht="12.75" hidden="1" customHeight="1" outlineLevel="1">
      <c r="B613" s="1654" t="s">
        <v>719</v>
      </c>
      <c r="C613" s="275"/>
      <c r="D613" s="136"/>
      <c r="E613" s="136">
        <f>U332+O352+O372</f>
        <v>0</v>
      </c>
      <c r="F613" s="136">
        <f t="shared" si="202"/>
        <v>0</v>
      </c>
      <c r="G613" s="185">
        <f t="shared" si="201"/>
        <v>0</v>
      </c>
      <c r="H613" s="170"/>
      <c r="I613" s="136">
        <f>SQRT(AF332^2+AF352^2+AF372^2)</f>
        <v>0</v>
      </c>
      <c r="J613" s="185" t="str">
        <f t="shared" si="200"/>
        <v/>
      </c>
      <c r="K613" s="170"/>
      <c r="AA613" s="116"/>
      <c r="AB613" s="116"/>
      <c r="AC613" s="116"/>
      <c r="AD613" s="116"/>
      <c r="AE613" s="116"/>
      <c r="AF613" s="116"/>
      <c r="AG613" s="441"/>
      <c r="AT613" s="114"/>
      <c r="AU613" s="114"/>
      <c r="AV613" s="114"/>
      <c r="AW613" s="114"/>
      <c r="AX613" s="114"/>
      <c r="AY613" s="114"/>
      <c r="AZ613" s="114"/>
      <c r="BA613" s="114"/>
      <c r="BB613" s="114"/>
      <c r="BC613" s="114"/>
      <c r="BD613" s="114"/>
      <c r="BE613" s="114"/>
      <c r="BF613" s="114"/>
    </row>
    <row r="614" spans="2:58" ht="12.75" hidden="1" customHeight="1" outlineLevel="1">
      <c r="B614" s="1654" t="s">
        <v>720</v>
      </c>
      <c r="C614" s="275"/>
      <c r="D614" s="136"/>
      <c r="E614" s="136">
        <f>I342+N352-O352+I362+N372-O372+T332-U332</f>
        <v>0</v>
      </c>
      <c r="F614" s="136">
        <f t="shared" si="202"/>
        <v>0</v>
      </c>
      <c r="G614" s="185">
        <f t="shared" si="201"/>
        <v>0</v>
      </c>
      <c r="H614" s="170"/>
      <c r="I614" s="136">
        <f>SQRT(AE342^2+SUMPRODUCT((F348:F351&lt;&gt;Utilitaires!$G$586)*1,AB348:AB351,AB348:AB351)+AE362^2+SUMPRODUCT((F368:F371&lt;&gt;Utilitaires!$G$586)*1,AB368:AB371,AB368:AB371))</f>
        <v>0</v>
      </c>
      <c r="J614" s="185" t="str">
        <f t="shared" si="200"/>
        <v/>
      </c>
      <c r="K614" s="170"/>
      <c r="AA614" s="116"/>
      <c r="AB614" s="116"/>
      <c r="AC614" s="116"/>
      <c r="AD614" s="116"/>
      <c r="AE614" s="116"/>
      <c r="AF614" s="116"/>
      <c r="AG614" s="441"/>
      <c r="AT614" s="114"/>
      <c r="AU614" s="114"/>
      <c r="AV614" s="114"/>
      <c r="AW614" s="114"/>
      <c r="AX614" s="114"/>
      <c r="AY614" s="114"/>
      <c r="AZ614" s="114"/>
      <c r="BA614" s="114"/>
      <c r="BB614" s="114"/>
      <c r="BC614" s="114"/>
      <c r="BD614" s="114"/>
      <c r="BE614" s="114"/>
      <c r="BF614" s="114"/>
    </row>
    <row r="615" spans="2:58" ht="12.75" hidden="1" customHeight="1" outlineLevel="1">
      <c r="B615" s="1654" t="s">
        <v>306</v>
      </c>
      <c r="C615" s="275"/>
      <c r="D615" s="136"/>
      <c r="E615" s="136">
        <f>S207+O229+S242+L262+S290+S332+M352+M372</f>
        <v>0</v>
      </c>
      <c r="F615" s="136">
        <f t="shared" si="202"/>
        <v>0</v>
      </c>
      <c r="G615" s="185">
        <f t="shared" si="201"/>
        <v>0</v>
      </c>
      <c r="H615" s="170"/>
      <c r="I615" s="136">
        <f>SQRT(AA207^2+AA229^2+AA242^2+AA262^2+AA290^2+AA332^2+AA352^2+AA372^2)</f>
        <v>0</v>
      </c>
      <c r="J615" s="185" t="str">
        <f t="shared" si="200"/>
        <v/>
      </c>
      <c r="K615" s="170"/>
      <c r="AA615" s="116"/>
      <c r="AB615" s="116"/>
      <c r="AC615" s="116"/>
      <c r="AD615" s="116"/>
      <c r="AE615" s="116"/>
      <c r="AF615" s="116"/>
      <c r="AG615" s="441"/>
      <c r="AT615" s="114"/>
      <c r="AU615" s="114"/>
      <c r="AV615" s="114"/>
      <c r="AW615" s="114"/>
      <c r="AX615" s="114"/>
      <c r="AY615" s="114"/>
      <c r="AZ615" s="114"/>
      <c r="BA615" s="114"/>
      <c r="BB615" s="114"/>
      <c r="BC615" s="114"/>
      <c r="BD615" s="114"/>
      <c r="BE615" s="114"/>
      <c r="BF615" s="114"/>
    </row>
    <row r="616" spans="2:58" ht="12.75" hidden="1" customHeight="1" outlineLevel="1">
      <c r="B616" s="1654" t="s">
        <v>225</v>
      </c>
      <c r="C616" s="275"/>
      <c r="D616" s="136"/>
      <c r="E616" s="136">
        <f>D273</f>
        <v>0</v>
      </c>
      <c r="F616" s="136">
        <f>E616/1000</f>
        <v>0</v>
      </c>
      <c r="G616" s="185">
        <f t="shared" si="201"/>
        <v>0</v>
      </c>
      <c r="H616" s="170"/>
      <c r="I616" s="136">
        <f>AE273</f>
        <v>0</v>
      </c>
      <c r="J616" s="185" t="str">
        <f t="shared" si="200"/>
        <v/>
      </c>
      <c r="K616" s="170"/>
      <c r="AA616" s="116"/>
      <c r="AB616" s="116"/>
      <c r="AC616" s="116"/>
      <c r="AD616" s="116"/>
      <c r="AE616" s="116"/>
      <c r="AF616" s="116"/>
      <c r="AG616" s="441"/>
      <c r="AT616" s="114"/>
      <c r="AU616" s="114"/>
      <c r="AV616" s="114"/>
      <c r="AW616" s="114"/>
      <c r="AX616" s="114"/>
      <c r="AY616" s="114"/>
      <c r="AZ616" s="114"/>
      <c r="BA616" s="114"/>
      <c r="BB616" s="114"/>
      <c r="BC616" s="114"/>
      <c r="BD616" s="114"/>
      <c r="BE616" s="114"/>
      <c r="BF616" s="114"/>
    </row>
    <row r="617" spans="2:58" ht="12.75" hidden="1" customHeight="1" outlineLevel="1">
      <c r="B617" s="1654" t="s">
        <v>235</v>
      </c>
      <c r="C617" s="275"/>
      <c r="D617" s="136"/>
      <c r="E617" s="136">
        <f>D281</f>
        <v>0</v>
      </c>
      <c r="F617" s="136">
        <f>E617/1000</f>
        <v>0</v>
      </c>
      <c r="G617" s="185">
        <f t="shared" si="201"/>
        <v>0</v>
      </c>
      <c r="H617" s="170"/>
      <c r="I617" s="136">
        <f>AE281</f>
        <v>0</v>
      </c>
      <c r="J617" s="185" t="str">
        <f t="shared" si="200"/>
        <v/>
      </c>
      <c r="K617" s="170"/>
      <c r="AA617" s="116"/>
      <c r="AB617" s="116"/>
      <c r="AC617" s="116"/>
      <c r="AD617" s="116"/>
      <c r="AE617" s="116"/>
      <c r="AF617" s="116"/>
      <c r="AG617" s="441"/>
      <c r="AT617" s="114"/>
      <c r="AU617" s="114"/>
      <c r="AV617" s="114"/>
      <c r="AW617" s="114"/>
      <c r="AX617" s="114"/>
      <c r="AY617" s="114"/>
      <c r="AZ617" s="114"/>
      <c r="BA617" s="114"/>
      <c r="BB617" s="114"/>
      <c r="BC617" s="114"/>
      <c r="BD617" s="114"/>
      <c r="BE617" s="114"/>
      <c r="BF617" s="114"/>
    </row>
    <row r="618" spans="2:58" ht="12.75" hidden="1" customHeight="1" outlineLevel="1">
      <c r="B618" s="1654" t="s">
        <v>305</v>
      </c>
      <c r="C618" s="275"/>
      <c r="D618" s="136"/>
      <c r="E618" s="136">
        <f>Q229</f>
        <v>0</v>
      </c>
      <c r="F618" s="136">
        <f t="shared" si="202"/>
        <v>0</v>
      </c>
      <c r="G618" s="185">
        <f t="shared" si="201"/>
        <v>0</v>
      </c>
      <c r="H618" s="170"/>
      <c r="I618" s="136">
        <f>SQRT(AD229^2)</f>
        <v>0</v>
      </c>
      <c r="J618" s="185" t="str">
        <f t="shared" si="200"/>
        <v/>
      </c>
      <c r="K618" s="170"/>
      <c r="AA618" s="116"/>
      <c r="AB618" s="116"/>
      <c r="AC618" s="116"/>
      <c r="AD618" s="116"/>
      <c r="AE618" s="116"/>
      <c r="AF618" s="116"/>
      <c r="AG618" s="441"/>
      <c r="AT618" s="114"/>
      <c r="AU618" s="114"/>
      <c r="AV618" s="114"/>
      <c r="AW618" s="114"/>
      <c r="AX618" s="114"/>
      <c r="AY618" s="114"/>
      <c r="AZ618" s="114"/>
      <c r="BA618" s="114"/>
      <c r="BB618" s="114"/>
      <c r="BC618" s="114"/>
      <c r="BD618" s="114"/>
      <c r="BE618" s="114"/>
      <c r="BF618" s="114"/>
    </row>
    <row r="619" spans="2:58" ht="12.75" hidden="1" customHeight="1" outlineLevel="1">
      <c r="B619" s="1654" t="s">
        <v>244</v>
      </c>
      <c r="C619" s="275"/>
      <c r="D619" s="136"/>
      <c r="E619" s="136">
        <f>O262</f>
        <v>0</v>
      </c>
      <c r="F619" s="136">
        <f t="shared" si="202"/>
        <v>0</v>
      </c>
      <c r="G619" s="185">
        <f t="shared" si="201"/>
        <v>0</v>
      </c>
      <c r="H619" s="170"/>
      <c r="I619" s="136">
        <f>SQRT(AD242^2+AD262^2)</f>
        <v>0</v>
      </c>
      <c r="J619" s="185" t="str">
        <f t="shared" si="200"/>
        <v/>
      </c>
      <c r="K619" s="170"/>
      <c r="AA619" s="116"/>
      <c r="AB619" s="116"/>
      <c r="AC619" s="116"/>
      <c r="AD619" s="116"/>
      <c r="AE619" s="116"/>
      <c r="AF619" s="116"/>
      <c r="AG619" s="441"/>
      <c r="AT619" s="114"/>
      <c r="AU619" s="114"/>
      <c r="AV619" s="114"/>
      <c r="AW619" s="114"/>
      <c r="AX619" s="114"/>
      <c r="AY619" s="114"/>
      <c r="AZ619" s="114"/>
      <c r="BA619" s="114"/>
      <c r="BB619" s="114"/>
      <c r="BC619" s="114"/>
      <c r="BD619" s="114"/>
      <c r="BE619" s="114"/>
      <c r="BF619" s="114"/>
    </row>
    <row r="620" spans="2:58" ht="12.75" hidden="1" customHeight="1" outlineLevel="1">
      <c r="B620" s="1654" t="s">
        <v>104</v>
      </c>
      <c r="C620" s="275"/>
      <c r="D620" s="136"/>
      <c r="E620" s="136">
        <f>U391+R413</f>
        <v>0</v>
      </c>
      <c r="F620" s="136">
        <f t="shared" si="202"/>
        <v>0</v>
      </c>
      <c r="G620" s="185">
        <f t="shared" si="201"/>
        <v>0</v>
      </c>
      <c r="H620" s="170"/>
      <c r="I620" s="136">
        <f>SQRT(AF391^2+AF413^2)</f>
        <v>0</v>
      </c>
      <c r="J620" s="185" t="str">
        <f t="shared" si="200"/>
        <v/>
      </c>
      <c r="K620" s="170"/>
      <c r="AA620" s="116"/>
      <c r="AB620" s="116"/>
      <c r="AC620" s="116"/>
      <c r="AD620" s="116"/>
      <c r="AE620" s="116"/>
      <c r="AF620" s="116"/>
      <c r="AG620" s="441"/>
      <c r="AT620" s="114"/>
      <c r="AU620" s="114"/>
      <c r="AV620" s="114"/>
      <c r="AW620" s="114"/>
      <c r="AX620" s="114"/>
      <c r="AY620" s="114"/>
      <c r="AZ620" s="114"/>
      <c r="BA620" s="114"/>
      <c r="BB620" s="114"/>
      <c r="BC620" s="114"/>
      <c r="BD620" s="114"/>
      <c r="BE620" s="114"/>
      <c r="BF620" s="114"/>
    </row>
    <row r="621" spans="2:58" ht="12.75" hidden="1" customHeight="1" outlineLevel="1">
      <c r="B621" s="1654" t="s">
        <v>173</v>
      </c>
      <c r="C621" s="275"/>
      <c r="D621" s="136"/>
      <c r="E621" s="136">
        <f>I401+P413-R413+T391-U391</f>
        <v>116609.04000000001</v>
      </c>
      <c r="F621" s="136">
        <f t="shared" si="202"/>
        <v>116.60904000000001</v>
      </c>
      <c r="G621" s="185">
        <f t="shared" si="201"/>
        <v>0.39429602035180683</v>
      </c>
      <c r="H621" s="170"/>
      <c r="I621" s="136">
        <f>SQRT(AE401^2+SUMPRODUCT((F407:F412&lt;&gt;Utilitaires!$G$586)*1,AB407:AB412,AB407:AB412))</f>
        <v>66070.922804218673</v>
      </c>
      <c r="J621" s="185">
        <f t="shared" si="200"/>
        <v>0.56660206450733719</v>
      </c>
      <c r="K621" s="170"/>
      <c r="AA621" s="116"/>
      <c r="AB621" s="116"/>
      <c r="AC621" s="116"/>
      <c r="AD621" s="116"/>
      <c r="AE621" s="116"/>
      <c r="AF621" s="116"/>
      <c r="AG621" s="441"/>
      <c r="AT621" s="114"/>
      <c r="AU621" s="114"/>
      <c r="AV621" s="114"/>
      <c r="AW621" s="114"/>
      <c r="AX621" s="114"/>
      <c r="AY621" s="114"/>
      <c r="AZ621" s="114"/>
      <c r="BA621" s="114"/>
      <c r="BB621" s="114"/>
      <c r="BC621" s="114"/>
      <c r="BD621" s="114"/>
      <c r="BE621" s="114"/>
      <c r="BF621" s="114"/>
    </row>
    <row r="622" spans="2:58" ht="12.75" hidden="1" customHeight="1" outlineLevel="1">
      <c r="B622" s="1654" t="s">
        <v>201</v>
      </c>
      <c r="C622" s="275"/>
      <c r="D622" s="136"/>
      <c r="E622" s="136">
        <f>S391+O413</f>
        <v>28479.079999999998</v>
      </c>
      <c r="F622" s="136">
        <f t="shared" si="202"/>
        <v>28.47908</v>
      </c>
      <c r="G622" s="185">
        <f t="shared" si="201"/>
        <v>9.6297747647015486E-2</v>
      </c>
      <c r="H622" s="170"/>
      <c r="I622" s="136">
        <f>SQRT(AA391^2+AA413^2)</f>
        <v>16133.266544653627</v>
      </c>
      <c r="J622" s="185">
        <f t="shared" si="200"/>
        <v>0.56649535535044071</v>
      </c>
      <c r="K622" s="170"/>
      <c r="AA622" s="116"/>
      <c r="AB622" s="116"/>
      <c r="AC622" s="116"/>
      <c r="AD622" s="116"/>
      <c r="AE622" s="116"/>
      <c r="AF622" s="116"/>
      <c r="AG622" s="441"/>
      <c r="AT622" s="114"/>
      <c r="AU622" s="114"/>
      <c r="AV622" s="114"/>
      <c r="AW622" s="114"/>
      <c r="AX622" s="114"/>
      <c r="AY622" s="114"/>
      <c r="AZ622" s="114"/>
      <c r="BA622" s="114"/>
      <c r="BB622" s="114"/>
      <c r="BC622" s="114"/>
      <c r="BD622" s="114"/>
      <c r="BE622" s="114"/>
      <c r="BF622" s="114"/>
    </row>
    <row r="623" spans="2:58" ht="12.75" hidden="1" customHeight="1" outlineLevel="1">
      <c r="B623" s="1654" t="s">
        <v>178</v>
      </c>
      <c r="C623" s="275"/>
      <c r="D623" s="136"/>
      <c r="E623" s="136">
        <f>Q413</f>
        <v>9409.68</v>
      </c>
      <c r="F623" s="136">
        <f t="shared" si="202"/>
        <v>9.4096799999999998</v>
      </c>
      <c r="G623" s="185">
        <f t="shared" si="201"/>
        <v>3.1817424933641418E-2</v>
      </c>
      <c r="H623" s="170"/>
      <c r="I623" s="136">
        <f>AD413</f>
        <v>5711.5048371405592</v>
      </c>
      <c r="J623" s="185">
        <f t="shared" si="200"/>
        <v>0.60698183542273054</v>
      </c>
      <c r="K623" s="170"/>
      <c r="AA623" s="116"/>
      <c r="AB623" s="116"/>
      <c r="AC623" s="116"/>
      <c r="AD623" s="116"/>
      <c r="AE623" s="116"/>
      <c r="AF623" s="116"/>
      <c r="AG623" s="441"/>
      <c r="AT623" s="114"/>
      <c r="AU623" s="114"/>
      <c r="AV623" s="114"/>
      <c r="AW623" s="114"/>
      <c r="AX623" s="114"/>
      <c r="AY623" s="114"/>
      <c r="AZ623" s="114"/>
      <c r="BA623" s="114"/>
      <c r="BB623" s="114"/>
      <c r="BC623" s="114"/>
      <c r="BD623" s="114"/>
      <c r="BE623" s="114"/>
      <c r="BF623" s="114"/>
    </row>
    <row r="624" spans="2:58" ht="12.75" hidden="1" customHeight="1" outlineLevel="1">
      <c r="B624" s="1654" t="s">
        <v>155</v>
      </c>
      <c r="C624" s="275"/>
      <c r="D624" s="136"/>
      <c r="E624" s="136">
        <f>U425+P445</f>
        <v>0</v>
      </c>
      <c r="F624" s="136">
        <f t="shared" si="202"/>
        <v>0</v>
      </c>
      <c r="G624" s="185">
        <f t="shared" si="201"/>
        <v>0</v>
      </c>
      <c r="H624" s="170"/>
      <c r="I624" s="136">
        <f>SQRT(AF425^2+AF445^2)</f>
        <v>0</v>
      </c>
      <c r="J624" s="185" t="str">
        <f t="shared" si="200"/>
        <v/>
      </c>
      <c r="K624" s="170"/>
      <c r="AA624" s="116"/>
      <c r="AB624" s="116"/>
      <c r="AC624" s="116"/>
      <c r="AD624" s="116"/>
      <c r="AE624" s="116"/>
      <c r="AF624" s="116"/>
      <c r="AG624" s="441"/>
      <c r="AT624" s="114"/>
      <c r="AU624" s="114"/>
      <c r="AV624" s="114"/>
      <c r="AW624" s="114"/>
      <c r="AX624" s="114"/>
      <c r="AY624" s="114"/>
      <c r="AZ624" s="114"/>
      <c r="BA624" s="114"/>
      <c r="BB624" s="114"/>
      <c r="BC624" s="114"/>
      <c r="BD624" s="114"/>
      <c r="BE624" s="114"/>
      <c r="BF624" s="114"/>
    </row>
    <row r="625" spans="2:58" ht="12.75" hidden="1" customHeight="1" outlineLevel="1">
      <c r="B625" s="1654" t="s">
        <v>210</v>
      </c>
      <c r="C625" s="275"/>
      <c r="D625" s="136"/>
      <c r="E625" s="136">
        <f>I435+M445-P445+T425-U425</f>
        <v>0</v>
      </c>
      <c r="F625" s="136">
        <f t="shared" si="202"/>
        <v>0</v>
      </c>
      <c r="G625" s="185">
        <f t="shared" si="201"/>
        <v>0</v>
      </c>
      <c r="H625" s="170"/>
      <c r="I625" s="136">
        <f>SQRT(AE435^2+SUMPRODUCT((F441:F444&lt;&gt;Utilitaires!$G$586)*1,AB441:AB444,AB441:AB444))</f>
        <v>0</v>
      </c>
      <c r="J625" s="185" t="str">
        <f t="shared" si="200"/>
        <v/>
      </c>
      <c r="K625" s="170"/>
      <c r="AA625" s="116"/>
      <c r="AB625" s="116"/>
      <c r="AC625" s="116"/>
      <c r="AD625" s="116"/>
      <c r="AE625" s="116"/>
      <c r="AF625" s="116"/>
      <c r="AG625" s="441"/>
      <c r="AT625" s="114"/>
      <c r="AU625" s="114"/>
      <c r="AV625" s="114"/>
      <c r="AW625" s="114"/>
      <c r="AX625" s="114"/>
      <c r="AY625" s="114"/>
      <c r="AZ625" s="114"/>
      <c r="BA625" s="114"/>
      <c r="BB625" s="114"/>
      <c r="BC625" s="114"/>
      <c r="BD625" s="114"/>
      <c r="BE625" s="114"/>
      <c r="BF625" s="114"/>
    </row>
    <row r="626" spans="2:58" ht="12.75" hidden="1" customHeight="1" outlineLevel="1">
      <c r="B626" s="1654" t="s">
        <v>195</v>
      </c>
      <c r="C626" s="275"/>
      <c r="D626" s="136"/>
      <c r="E626" s="136">
        <f>S425+L445</f>
        <v>0</v>
      </c>
      <c r="F626" s="136">
        <f t="shared" si="202"/>
        <v>0</v>
      </c>
      <c r="G626" s="185">
        <f t="shared" si="201"/>
        <v>0</v>
      </c>
      <c r="H626" s="170"/>
      <c r="I626" s="136">
        <f>SQRT(AA425^2+AA445^2)</f>
        <v>0</v>
      </c>
      <c r="J626" s="185" t="str">
        <f t="shared" si="200"/>
        <v/>
      </c>
      <c r="K626" s="170"/>
      <c r="AA626" s="116"/>
      <c r="AB626" s="116"/>
      <c r="AC626" s="116"/>
      <c r="AD626" s="116"/>
      <c r="AE626" s="116"/>
      <c r="AF626" s="116"/>
      <c r="AG626" s="441"/>
      <c r="AT626" s="114"/>
      <c r="AU626" s="114"/>
      <c r="AV626" s="114"/>
      <c r="AW626" s="114"/>
      <c r="AX626" s="114"/>
      <c r="AY626" s="114"/>
      <c r="AZ626" s="114"/>
      <c r="BA626" s="114"/>
      <c r="BB626" s="114"/>
      <c r="BC626" s="114"/>
      <c r="BD626" s="114"/>
      <c r="BE626" s="114"/>
      <c r="BF626" s="114"/>
    </row>
    <row r="627" spans="2:58" ht="12.75" hidden="1" customHeight="1" outlineLevel="1">
      <c r="B627" s="1654" t="s">
        <v>192</v>
      </c>
      <c r="C627" s="275"/>
      <c r="D627" s="136"/>
      <c r="E627" s="136">
        <f>O445</f>
        <v>0</v>
      </c>
      <c r="F627" s="136">
        <f t="shared" si="202"/>
        <v>0</v>
      </c>
      <c r="G627" s="185">
        <f t="shared" si="201"/>
        <v>0</v>
      </c>
      <c r="H627" s="170"/>
      <c r="I627" s="136">
        <f>SQRT(AD425^2+AD445^2)</f>
        <v>0</v>
      </c>
      <c r="J627" s="185" t="str">
        <f t="shared" si="200"/>
        <v/>
      </c>
      <c r="K627" s="170"/>
      <c r="AA627" s="116"/>
      <c r="AB627" s="116"/>
      <c r="AC627" s="116"/>
      <c r="AD627" s="116"/>
      <c r="AE627" s="116"/>
      <c r="AF627" s="116"/>
      <c r="AG627" s="441"/>
      <c r="AT627" s="114"/>
      <c r="AU627" s="114"/>
      <c r="AV627" s="114"/>
      <c r="AW627" s="114"/>
      <c r="AX627" s="114"/>
      <c r="AY627" s="114"/>
      <c r="AZ627" s="114"/>
      <c r="BA627" s="114"/>
      <c r="BB627" s="114"/>
      <c r="BC627" s="114"/>
      <c r="BD627" s="114"/>
      <c r="BE627" s="114"/>
      <c r="BF627" s="114"/>
    </row>
    <row r="628" spans="2:58" ht="12.75" hidden="1" customHeight="1" outlineLevel="1">
      <c r="B628" s="1654" t="s">
        <v>168</v>
      </c>
      <c r="C628" s="275"/>
      <c r="D628" s="136"/>
      <c r="E628" s="136">
        <f>I456</f>
        <v>0</v>
      </c>
      <c r="F628" s="136">
        <f t="shared" si="202"/>
        <v>0</v>
      </c>
      <c r="G628" s="185">
        <f t="shared" si="201"/>
        <v>0</v>
      </c>
      <c r="H628" s="170"/>
      <c r="I628" s="136">
        <f>AE456</f>
        <v>0</v>
      </c>
      <c r="J628" s="185" t="str">
        <f t="shared" si="200"/>
        <v/>
      </c>
      <c r="K628" s="170"/>
      <c r="AA628" s="116"/>
      <c r="AB628" s="116"/>
      <c r="AC628" s="116"/>
      <c r="AD628" s="116"/>
      <c r="AE628" s="116"/>
      <c r="AF628" s="116"/>
      <c r="AG628" s="441"/>
      <c r="AT628" s="114"/>
      <c r="AU628" s="114"/>
      <c r="AV628" s="114"/>
      <c r="AW628" s="114"/>
      <c r="AX628" s="114"/>
      <c r="AY628" s="114"/>
      <c r="AZ628" s="114"/>
      <c r="BA628" s="114"/>
      <c r="BB628" s="114"/>
      <c r="BC628" s="114"/>
      <c r="BD628" s="114"/>
      <c r="BE628" s="114"/>
      <c r="BF628" s="114"/>
    </row>
    <row r="629" spans="2:58" ht="12.75" hidden="1" customHeight="1" outlineLevel="1">
      <c r="B629" s="1654" t="s">
        <v>375</v>
      </c>
      <c r="C629" s="275"/>
      <c r="D629" s="136"/>
      <c r="E629" s="136">
        <f>I464</f>
        <v>0</v>
      </c>
      <c r="F629" s="136">
        <f t="shared" si="202"/>
        <v>0</v>
      </c>
      <c r="G629" s="185">
        <f t="shared" si="201"/>
        <v>0</v>
      </c>
      <c r="H629" s="170"/>
      <c r="I629" s="136">
        <f>AE464</f>
        <v>0</v>
      </c>
      <c r="J629" s="185" t="str">
        <f t="shared" si="200"/>
        <v/>
      </c>
      <c r="K629" s="170"/>
      <c r="AA629" s="116"/>
      <c r="AB629" s="116"/>
      <c r="AC629" s="116"/>
      <c r="AD629" s="116"/>
      <c r="AE629" s="116"/>
      <c r="AF629" s="116"/>
      <c r="AG629" s="441"/>
      <c r="AT629" s="114"/>
      <c r="AU629" s="114"/>
      <c r="AV629" s="114"/>
      <c r="AW629" s="114"/>
      <c r="AX629" s="114"/>
      <c r="AY629" s="114"/>
      <c r="AZ629" s="114"/>
      <c r="BA629" s="114"/>
      <c r="BB629" s="114"/>
      <c r="BC629" s="114"/>
      <c r="BD629" s="114"/>
      <c r="BE629" s="114"/>
      <c r="BF629" s="114"/>
    </row>
    <row r="630" spans="2:58" ht="12.75" hidden="1" customHeight="1" outlineLevel="1">
      <c r="B630" s="1654" t="s">
        <v>175</v>
      </c>
      <c r="C630" s="275"/>
      <c r="D630" s="136"/>
      <c r="E630" s="136">
        <f>T473</f>
        <v>0</v>
      </c>
      <c r="F630" s="136">
        <f t="shared" si="202"/>
        <v>0</v>
      </c>
      <c r="G630" s="185">
        <f t="shared" si="201"/>
        <v>0</v>
      </c>
      <c r="H630" s="170"/>
      <c r="I630" s="136">
        <f>AF473</f>
        <v>0</v>
      </c>
      <c r="J630" s="185" t="str">
        <f t="shared" si="200"/>
        <v/>
      </c>
      <c r="K630" s="170"/>
      <c r="AA630" s="116"/>
      <c r="AB630" s="116"/>
      <c r="AC630" s="116"/>
      <c r="AD630" s="116"/>
      <c r="AE630" s="116"/>
      <c r="AF630" s="116"/>
      <c r="AG630" s="441"/>
      <c r="AT630" s="114"/>
      <c r="AU630" s="114"/>
      <c r="AV630" s="114"/>
      <c r="AW630" s="114"/>
      <c r="AX630" s="114"/>
      <c r="AY630" s="114"/>
      <c r="AZ630" s="114"/>
      <c r="BA630" s="114"/>
      <c r="BB630" s="114"/>
      <c r="BC630" s="114"/>
      <c r="BD630" s="114"/>
      <c r="BE630" s="114"/>
      <c r="BF630" s="114"/>
    </row>
    <row r="631" spans="2:58" ht="12.75" hidden="1" customHeight="1" outlineLevel="1">
      <c r="B631" s="1654" t="s">
        <v>140</v>
      </c>
      <c r="C631" s="275"/>
      <c r="D631" s="136"/>
      <c r="E631" s="136">
        <f>S473</f>
        <v>0</v>
      </c>
      <c r="F631" s="136">
        <f t="shared" si="202"/>
        <v>0</v>
      </c>
      <c r="G631" s="185">
        <f t="shared" si="201"/>
        <v>0</v>
      </c>
      <c r="H631" s="170"/>
      <c r="I631" s="136">
        <f>AA473</f>
        <v>0</v>
      </c>
      <c r="J631" s="185" t="str">
        <f t="shared" si="200"/>
        <v/>
      </c>
      <c r="K631" s="170"/>
      <c r="AA631" s="116"/>
      <c r="AB631" s="116"/>
      <c r="AC631" s="116"/>
      <c r="AD631" s="116"/>
      <c r="AE631" s="116"/>
      <c r="AF631" s="116"/>
      <c r="AG631" s="441"/>
      <c r="AT631" s="114"/>
      <c r="AU631" s="114"/>
      <c r="AV631" s="114"/>
      <c r="AW631" s="114"/>
      <c r="AX631" s="114"/>
      <c r="AY631" s="114"/>
      <c r="AZ631" s="114"/>
      <c r="BA631" s="114"/>
      <c r="BB631" s="114"/>
      <c r="BC631" s="114"/>
      <c r="BD631" s="114"/>
      <c r="BE631" s="114"/>
      <c r="BF631" s="114"/>
    </row>
    <row r="632" spans="2:58" ht="12.75" hidden="1" customHeight="1" outlineLevel="1">
      <c r="B632" s="1654" t="s">
        <v>172</v>
      </c>
      <c r="C632" s="275"/>
      <c r="D632" s="136"/>
      <c r="E632" s="136">
        <f>I483+M499</f>
        <v>0</v>
      </c>
      <c r="F632" s="136">
        <f t="shared" si="202"/>
        <v>0</v>
      </c>
      <c r="G632" s="185">
        <f t="shared" si="201"/>
        <v>0</v>
      </c>
      <c r="H632" s="170"/>
      <c r="I632" s="136">
        <f>SQRT(AE483^2+AE499^2)</f>
        <v>0</v>
      </c>
      <c r="J632" s="185" t="str">
        <f>IF(E632=0,"",I632/E632)</f>
        <v/>
      </c>
      <c r="K632" s="170"/>
      <c r="AA632" s="116"/>
      <c r="AB632" s="116"/>
      <c r="AC632" s="116"/>
      <c r="AD632" s="116"/>
      <c r="AE632" s="116"/>
      <c r="AF632" s="116"/>
      <c r="AG632" s="441"/>
      <c r="AT632" s="114"/>
      <c r="AU632" s="114"/>
      <c r="AV632" s="114"/>
      <c r="AW632" s="114"/>
      <c r="AX632" s="114"/>
      <c r="AY632" s="114"/>
      <c r="AZ632" s="114"/>
      <c r="BA632" s="114"/>
      <c r="BB632" s="114"/>
      <c r="BC632" s="114"/>
      <c r="BD632" s="114"/>
      <c r="BE632" s="114"/>
      <c r="BF632" s="114"/>
    </row>
    <row r="633" spans="2:58" ht="12.75" hidden="1" customHeight="1" outlineLevel="1">
      <c r="B633" s="1654" t="s">
        <v>376</v>
      </c>
      <c r="C633" s="275"/>
      <c r="D633" s="136"/>
      <c r="E633" s="136">
        <f>U515+O535+O555</f>
        <v>0</v>
      </c>
      <c r="F633" s="136">
        <f t="shared" si="202"/>
        <v>0</v>
      </c>
      <c r="G633" s="185">
        <f t="shared" si="201"/>
        <v>0</v>
      </c>
      <c r="H633" s="170"/>
      <c r="I633" s="136">
        <f>SQRT(AF515^2+AF535^2+AF555^2)</f>
        <v>0</v>
      </c>
      <c r="J633" s="185" t="str">
        <f t="shared" si="200"/>
        <v/>
      </c>
      <c r="K633" s="170"/>
      <c r="AA633" s="116"/>
      <c r="AB633" s="116"/>
      <c r="AC633" s="116"/>
      <c r="AD633" s="116"/>
      <c r="AE633" s="116"/>
      <c r="AF633" s="116"/>
      <c r="AG633" s="441"/>
      <c r="AT633" s="114"/>
      <c r="AU633" s="114"/>
      <c r="AV633" s="114"/>
      <c r="AW633" s="114"/>
      <c r="AX633" s="114"/>
      <c r="AY633" s="114"/>
      <c r="AZ633" s="114"/>
      <c r="BA633" s="114"/>
      <c r="BB633" s="114"/>
      <c r="BC633" s="114"/>
      <c r="BD633" s="114"/>
      <c r="BE633" s="114"/>
      <c r="BF633" s="114"/>
    </row>
    <row r="634" spans="2:58" ht="12.75" hidden="1" customHeight="1" outlineLevel="1">
      <c r="B634" s="1654" t="s">
        <v>137</v>
      </c>
      <c r="C634" s="275"/>
      <c r="D634" s="136"/>
      <c r="E634" s="136">
        <f>I525+N535-O535+I545+N555-O555+T515-U515</f>
        <v>0</v>
      </c>
      <c r="F634" s="136">
        <f t="shared" si="202"/>
        <v>0</v>
      </c>
      <c r="G634" s="185">
        <f t="shared" si="201"/>
        <v>0</v>
      </c>
      <c r="H634" s="170"/>
      <c r="I634" s="136">
        <f>SQRT(AE525^2+SUMPRODUCT((F531:F534&lt;&gt;Utilitaires!$G$586)*1,AB531:AB534,AB531:AB534)+AE545^2+SUMPRODUCT((F551:F554&lt;&gt;Utilitaires!$G$586)*1,AB551:AB554,AB551:AB554))</f>
        <v>0</v>
      </c>
      <c r="J634" s="185" t="str">
        <f t="shared" si="200"/>
        <v/>
      </c>
      <c r="K634" s="170"/>
      <c r="AA634" s="116"/>
      <c r="AB634" s="116"/>
      <c r="AC634" s="116"/>
      <c r="AD634" s="116"/>
      <c r="AE634" s="116"/>
      <c r="AF634" s="116"/>
      <c r="AG634" s="441"/>
      <c r="AT634" s="114"/>
      <c r="AU634" s="211"/>
      <c r="AV634" s="211"/>
      <c r="AW634" s="211"/>
      <c r="AX634" s="211"/>
      <c r="AY634" s="114"/>
      <c r="AZ634" s="114"/>
      <c r="BA634" s="114"/>
      <c r="BB634" s="114"/>
      <c r="BC634" s="114"/>
      <c r="BD634" s="114"/>
      <c r="BE634" s="114"/>
      <c r="BF634" s="114"/>
    </row>
    <row r="635" spans="2:58" ht="12.75" hidden="1" customHeight="1" outlineLevel="1">
      <c r="B635" s="1654" t="s">
        <v>138</v>
      </c>
      <c r="C635" s="275"/>
      <c r="D635" s="136"/>
      <c r="E635" s="136">
        <f>S515+M535+M555</f>
        <v>0</v>
      </c>
      <c r="F635" s="136">
        <f t="shared" si="202"/>
        <v>0</v>
      </c>
      <c r="G635" s="185">
        <f t="shared" si="201"/>
        <v>0</v>
      </c>
      <c r="H635" s="170"/>
      <c r="I635" s="136">
        <f>SQRT(AA515^2+AA535^2+AA555^2)</f>
        <v>0</v>
      </c>
      <c r="J635" s="185" t="str">
        <f t="shared" si="200"/>
        <v/>
      </c>
      <c r="K635" s="170"/>
      <c r="AA635" s="116"/>
      <c r="AB635" s="116"/>
      <c r="AC635" s="116"/>
      <c r="AD635" s="116"/>
      <c r="AE635" s="116"/>
      <c r="AF635" s="116"/>
      <c r="AG635" s="441"/>
      <c r="AT635" s="114"/>
      <c r="AU635" s="114"/>
      <c r="AV635" s="114"/>
      <c r="AW635" s="114"/>
      <c r="AX635" s="114"/>
      <c r="AY635" s="114"/>
      <c r="AZ635" s="114"/>
      <c r="BA635" s="114"/>
      <c r="BB635" s="114"/>
      <c r="BC635" s="114"/>
      <c r="BD635" s="114"/>
      <c r="BE635" s="114"/>
      <c r="BF635" s="114"/>
    </row>
    <row r="636" spans="2:58" s="211" customFormat="1" ht="15" hidden="1" customHeight="1" outlineLevel="1">
      <c r="B636" s="2662" t="s">
        <v>348</v>
      </c>
      <c r="C636" s="2663"/>
      <c r="D636" s="188"/>
      <c r="E636" s="188">
        <f>SUM(E591:E635)</f>
        <v>295739.83500000002</v>
      </c>
      <c r="F636" s="238">
        <f>SUM(F591:F635)</f>
        <v>295.73983500000003</v>
      </c>
      <c r="G636" s="190">
        <f t="shared" si="201"/>
        <v>1</v>
      </c>
      <c r="H636" s="192"/>
      <c r="I636" s="188">
        <f>SQRT(SUMSQ(I591:I635))</f>
        <v>80538.449101336722</v>
      </c>
      <c r="J636" s="190">
        <f t="shared" si="200"/>
        <v>0.2723287145315974</v>
      </c>
      <c r="K636" s="192"/>
      <c r="AA636" s="1084"/>
      <c r="AB636" s="1084"/>
      <c r="AC636" s="1084"/>
      <c r="AD636" s="1084"/>
      <c r="AE636" s="1084"/>
      <c r="AF636" s="1084"/>
      <c r="AG636" s="445"/>
      <c r="AH636" s="445"/>
      <c r="AI636" s="445"/>
      <c r="AJ636" s="445"/>
      <c r="AK636" s="445"/>
      <c r="AL636" s="445"/>
      <c r="AM636" s="445"/>
      <c r="AN636" s="445"/>
      <c r="AO636" s="445"/>
      <c r="AP636" s="445"/>
      <c r="AQ636" s="445"/>
      <c r="AR636" s="445"/>
      <c r="AS636" s="445"/>
      <c r="AU636" s="114"/>
      <c r="AV636" s="114"/>
      <c r="AW636" s="114"/>
      <c r="AX636" s="114"/>
    </row>
    <row r="637" spans="2:58" ht="12.75" hidden="1" customHeight="1" outlineLevel="1"/>
    <row r="638" spans="2:58" collapsed="1"/>
    <row r="639" spans="2:58" ht="15.6" collapsed="1">
      <c r="B639" s="2688" t="s">
        <v>525</v>
      </c>
      <c r="C639" s="2689"/>
      <c r="D639" s="2689"/>
      <c r="E639" s="2689"/>
      <c r="F639" s="2689"/>
      <c r="G639" s="2689"/>
      <c r="H639" s="2689"/>
      <c r="I639" s="2689"/>
      <c r="J639" s="2689"/>
      <c r="K639" s="2689"/>
      <c r="L639" s="2689"/>
      <c r="M639" s="2689"/>
      <c r="N639" s="2689"/>
      <c r="O639" s="2690"/>
    </row>
    <row r="640" spans="2:58" ht="12.75" hidden="1" customHeight="1" outlineLevel="1">
      <c r="B640" s="113"/>
      <c r="C640" s="113"/>
      <c r="D640" s="113"/>
      <c r="E640" s="113"/>
      <c r="F640" s="113"/>
      <c r="G640" s="113"/>
      <c r="H640" s="113"/>
      <c r="I640" s="113"/>
      <c r="J640" s="113"/>
      <c r="K640" s="113"/>
      <c r="L640" s="113"/>
      <c r="M640" s="113"/>
      <c r="N640" s="113"/>
    </row>
    <row r="641" spans="2:41" ht="38.25" hidden="1" customHeight="1" outlineLevel="1">
      <c r="B641" s="229"/>
      <c r="C641" s="229"/>
      <c r="D641" s="229"/>
      <c r="E641" s="2691" t="s">
        <v>448</v>
      </c>
      <c r="F641" s="2692"/>
      <c r="G641" s="2692"/>
      <c r="H641" s="2692"/>
      <c r="I641" s="2692"/>
      <c r="J641" s="2692"/>
      <c r="K641" s="2693"/>
      <c r="L641" s="101" t="s">
        <v>440</v>
      </c>
    </row>
    <row r="642" spans="2:41" ht="25.5" hidden="1" customHeight="1" outlineLevel="1">
      <c r="B642" s="2691" t="s">
        <v>438</v>
      </c>
      <c r="C642" s="2693"/>
      <c r="D642" s="110" t="s">
        <v>458</v>
      </c>
      <c r="E642" s="111" t="s">
        <v>853</v>
      </c>
      <c r="F642" s="111" t="s">
        <v>854</v>
      </c>
      <c r="G642" s="111" t="s">
        <v>855</v>
      </c>
      <c r="H642" s="111" t="s">
        <v>852</v>
      </c>
      <c r="I642" s="110" t="s">
        <v>513</v>
      </c>
      <c r="J642" s="111" t="s">
        <v>856</v>
      </c>
      <c r="K642" s="112" t="s">
        <v>514</v>
      </c>
      <c r="L642" s="110" t="s">
        <v>857</v>
      </c>
    </row>
    <row r="643" spans="2:41" ht="15" hidden="1" customHeight="1" outlineLevel="1">
      <c r="B643" s="2680" t="s">
        <v>459</v>
      </c>
      <c r="C643" s="2681"/>
      <c r="D643" s="230">
        <v>1</v>
      </c>
      <c r="E643" s="631"/>
      <c r="F643" s="631"/>
      <c r="G643" s="631"/>
      <c r="H643" s="631"/>
      <c r="I643" s="631"/>
      <c r="J643" s="631"/>
      <c r="K643" s="632"/>
      <c r="L643" s="633"/>
    </row>
    <row r="644" spans="2:41" ht="15" hidden="1" customHeight="1" outlineLevel="1">
      <c r="B644" s="2680" t="s">
        <v>460</v>
      </c>
      <c r="C644" s="2681"/>
      <c r="D644" s="230">
        <v>2</v>
      </c>
      <c r="E644" s="631">
        <f>SUMIF($F$13:$F$555,Utilitaires!$G$572,AI13:AI555)
+SUMIF($F$13:$F$555,Utilitaires!$G$577,AI13:AI555)
+IF('Bilan GES'!E38="Oui",
SUMIF($F$74:$F$78,Utilitaires!$G$572,AJ74:AJ78)+SUMIF($F$258:$F$262,Utilitaires!$G$572,AJ258:AJ262)+SUMIF($F$441:$F$445,Utilitaires!$G$572,AJ441:AJ445)
+SUMIF($F$74:$F$78,Utilitaires!$G$577,AJ74:AJ78)+SUMIF($F$258:$F$262,Utilitaires!$G$577,AJ258:AJ262)+SUMIF($F$441:$F$445,Utilitaires!$G$577,AJ441:AJ445),)</f>
        <v>0</v>
      </c>
      <c r="F644" s="631">
        <f>SUMIF($F$13:$F$555,Utilitaires!$G$572,AL13:AL555)
+SUMIF($F$13:$F$555,Utilitaires!$G$577,AL13:AL555)
+IF('Bilan GES'!E38="Oui",SUMIF($F$74:$F$78,Utilitaires!$G$572,AN74:AN78)+SUMIF($F$258:$F$262,Utilitaires!$G$572,AM258:AM262)+SUMIF($F$441:$F$445,Utilitaires!$G$572,AM441:AM445)
+SUMIF($F$74:$F$78,Utilitaires!$G$577,AN74:AN78)+SUMIF($F$258:$F$262,Utilitaires!$G$577,AM258:AM262)+SUMIF($F$441:$F$445,Utilitaires!$G$577,AM441:AM445),)</f>
        <v>0</v>
      </c>
      <c r="G644" s="631">
        <f>SUMIF($F$13:$F$555,Utilitaires!$G$572,AO13:AO555)
+SUMIF($F$13:$F$555,Utilitaires!$G$577,AO13:AO555)
+IF('Bilan GES'!E38="Oui",SUMIF($F$74:$F$78,Utilitaires!$G$572,AR74:AR78)+SUMIF($F$258:$F$262,Utilitaires!$G$572,AR258:AR262)+SUMIF($F$441:$F$445,Utilitaires!$G$572,AR441:AR445)
+SUMIF($F$74:$F$78,Utilitaires!$G$577,AR74:AR78)+SUMIF($F$258:$F$262,Utilitaires!$G$577,AR258:AR262)+SUMIF($F$441:$F$445,Utilitaires!$G$577,AR441:AR445),)</f>
        <v>0</v>
      </c>
      <c r="H644" s="631">
        <f>SUMIF($F$13:$F$555,Utilitaires!$G$572,AR13:AR555)
+SUMIF($F$13:$F$555,Utilitaires!$G$577,AR13:AR555)
+IF('Bilan GES'!E38="Oui",SUMIF($F$74:$F$78,Utilitaires!$G$572,AV74:AV78)+SUMIF($F$258:$F$262,Utilitaires!$G$572,AV258:AV262)+SUMIF($F$441:$F$445,Utilitaires!$G$572,AV441:AV445)
+SUMIF($F$74:$F$78,Utilitaires!$G$577,AV74:AV78)+SUMIF($F$258:$F$262,Utilitaires!$G$577,AV258:AV262)+SUMIF($F$441:$F$445,Utilitaires!$G$577,AV441:AV445),)</f>
        <v>0</v>
      </c>
      <c r="I644" s="631">
        <f>SUM(E644:H644)</f>
        <v>0</v>
      </c>
      <c r="J644" s="631">
        <f>SUMIF($F$13:$F$555,Utilitaires!$G$572,AX13:AX555)
+SUMIF($F$13:$F$555,Utilitaires!$G$577,AX13:AX555)
+IF('Bilan GES'!E38="Oui",SUMIF($F$74:$F$78,Utilitaires!$G$572,BD74:BD78)+SUMIF($F$258:$F$262,Utilitaires!$G$572,BD258:BD262)+SUMIF($F$441:$F$445,Utilitaires!$G$572,BD441:BD445)
+SUMIF($F$74:$F$78,Utilitaires!$G$577,BD74:BD78)+SUMIF($F$258:$F$262,Utilitaires!$G$577,BD258:BD262)+SUMIF($F$441:$F$445,Utilitaires!$G$577,BD441:BD445),)</f>
        <v>0</v>
      </c>
      <c r="K644" s="632">
        <f>SQRT(
SUMPRODUCT(($F$13:$F$555=Utilitaires!$G$572)*1,AB13:AB555,AB13:AB555)
+SUMPRODUCT(($F$13:$F$555=Utilitaires!$G$577)*1,AB13:AB555,AB13:AB555)
+IF('Bilan GES'!E38="Oui",SUMPRODUCT(($F$74:$F$78=Utilitaires!$G$572)*1,AC74:AC78,AC74:AC78)+SUMPRODUCT(($F$258:$F$262=Utilitaires!$G$572)*1,AD258:AD262,AD258:AD262)+SUMPRODUCT(($F$441:$F$445=Utilitaires!$G$572)*1,AD441:AD445,AD441:AD445)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L644" s="633"/>
    </row>
    <row r="645" spans="2:41" ht="12.75" hidden="1" customHeight="1" outlineLevel="1">
      <c r="B645" s="2680" t="s">
        <v>461</v>
      </c>
      <c r="C645" s="2681"/>
      <c r="D645" s="230">
        <v>3</v>
      </c>
      <c r="E645" s="631"/>
      <c r="F645" s="631"/>
      <c r="G645" s="631"/>
      <c r="H645" s="631"/>
      <c r="I645" s="631"/>
      <c r="J645" s="631"/>
      <c r="K645" s="632"/>
      <c r="L645" s="633"/>
    </row>
    <row r="646" spans="2:41" ht="12.75" hidden="1" customHeight="1" outlineLevel="1">
      <c r="B646" s="2680" t="s">
        <v>462</v>
      </c>
      <c r="C646" s="2681"/>
      <c r="D646" s="230">
        <v>4</v>
      </c>
      <c r="E646" s="631"/>
      <c r="F646" s="631"/>
      <c r="G646" s="631"/>
      <c r="H646" s="631"/>
      <c r="I646" s="631"/>
      <c r="J646" s="631"/>
      <c r="K646" s="632"/>
      <c r="L646" s="633"/>
    </row>
    <row r="647" spans="2:41" ht="12.75" hidden="1" customHeight="1" outlineLevel="1">
      <c r="B647" s="2680" t="s">
        <v>463</v>
      </c>
      <c r="C647" s="2681"/>
      <c r="D647" s="230">
        <v>5</v>
      </c>
      <c r="E647" s="631"/>
      <c r="F647" s="631"/>
      <c r="G647" s="631"/>
      <c r="H647" s="631"/>
      <c r="I647" s="631"/>
      <c r="J647" s="631"/>
      <c r="K647" s="632"/>
      <c r="L647" s="633"/>
    </row>
    <row r="648" spans="2:41" ht="12.75" hidden="1" customHeight="1" outlineLevel="1">
      <c r="B648" s="2682"/>
      <c r="C648" s="2683"/>
      <c r="D648" s="133" t="s">
        <v>439</v>
      </c>
      <c r="E648" s="634">
        <f t="shared" ref="E648:L648" si="203">SUM(E643:E647)</f>
        <v>0</v>
      </c>
      <c r="F648" s="634">
        <f t="shared" si="203"/>
        <v>0</v>
      </c>
      <c r="G648" s="634">
        <f t="shared" si="203"/>
        <v>0</v>
      </c>
      <c r="H648" s="634">
        <f t="shared" si="203"/>
        <v>0</v>
      </c>
      <c r="I648" s="634">
        <f t="shared" si="203"/>
        <v>0</v>
      </c>
      <c r="J648" s="634">
        <f>SUM(J643:J647)</f>
        <v>0</v>
      </c>
      <c r="K648" s="635">
        <f>SQRT(SUMSQ(K643:K647))</f>
        <v>0</v>
      </c>
      <c r="L648" s="636">
        <f t="shared" si="203"/>
        <v>0</v>
      </c>
    </row>
    <row r="649" spans="2:41" ht="15" hidden="1" customHeight="1" outlineLevel="1">
      <c r="B649" s="2684" t="s">
        <v>464</v>
      </c>
      <c r="C649" s="2685"/>
      <c r="D649" s="231">
        <v>6</v>
      </c>
      <c r="E649" s="637">
        <f>AH89+AH273+AH456</f>
        <v>0</v>
      </c>
      <c r="F649" s="637">
        <f>AK89+AK273+AK456</f>
        <v>0</v>
      </c>
      <c r="G649" s="637">
        <f>AN89+AN273+AN456</f>
        <v>0</v>
      </c>
      <c r="H649" s="637">
        <f>AQ89+AQ273+AQ456</f>
        <v>0</v>
      </c>
      <c r="I649" s="637">
        <f>SUM(E649:H649)</f>
        <v>0</v>
      </c>
      <c r="J649" s="637">
        <f>AW89+AW273+AW456</f>
        <v>0</v>
      </c>
      <c r="K649" s="632">
        <f>SQRT(AE89^2+AE273^2+AE456^2)</f>
        <v>0</v>
      </c>
      <c r="L649" s="638"/>
    </row>
    <row r="650" spans="2:41" ht="12.75" hidden="1" customHeight="1" outlineLevel="1">
      <c r="B650" s="2686" t="s">
        <v>465</v>
      </c>
      <c r="C650" s="2687"/>
      <c r="D650" s="231">
        <v>7</v>
      </c>
      <c r="E650" s="637"/>
      <c r="F650" s="637"/>
      <c r="G650" s="637"/>
      <c r="H650" s="637"/>
      <c r="I650" s="637"/>
      <c r="J650" s="637"/>
      <c r="K650" s="632"/>
      <c r="L650" s="638"/>
    </row>
    <row r="651" spans="2:41" ht="15" hidden="1" customHeight="1" outlineLevel="1">
      <c r="B651" s="2696"/>
      <c r="C651" s="2697"/>
      <c r="D651" s="134" t="s">
        <v>439</v>
      </c>
      <c r="E651" s="639">
        <f t="shared" ref="E651:L651" si="204">SUM(E649:E650)</f>
        <v>0</v>
      </c>
      <c r="F651" s="639">
        <f t="shared" si="204"/>
        <v>0</v>
      </c>
      <c r="G651" s="639">
        <f t="shared" si="204"/>
        <v>0</v>
      </c>
      <c r="H651" s="639">
        <f t="shared" si="204"/>
        <v>0</v>
      </c>
      <c r="I651" s="639">
        <f t="shared" si="204"/>
        <v>0</v>
      </c>
      <c r="J651" s="639">
        <f t="shared" si="204"/>
        <v>0</v>
      </c>
      <c r="K651" s="635">
        <f>SQRT(SUMSQ(K649:K650))</f>
        <v>0</v>
      </c>
      <c r="L651" s="640">
        <f t="shared" si="204"/>
        <v>0</v>
      </c>
      <c r="AO651" s="593"/>
    </row>
    <row r="652" spans="2:41" ht="12.75" hidden="1" customHeight="1" outlineLevel="1">
      <c r="B652" s="2694" t="s">
        <v>466</v>
      </c>
      <c r="C652" s="2695"/>
      <c r="D652" s="232">
        <v>8</v>
      </c>
      <c r="E652" s="641">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652" s="641">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652" s="641">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652" s="641">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I652" s="641">
        <f>SUM(E652:H652)</f>
        <v>0</v>
      </c>
      <c r="J652" s="641">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K652" s="632" cm="1">
        <f t="array" ref="K652">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L652" s="641"/>
    </row>
    <row r="653" spans="2:41" ht="12.75" hidden="1" customHeight="1" outlineLevel="1">
      <c r="B653" s="2694" t="s">
        <v>467</v>
      </c>
      <c r="C653" s="2695"/>
      <c r="D653" s="232">
        <v>9</v>
      </c>
      <c r="E653" s="641"/>
      <c r="F653" s="641"/>
      <c r="G653" s="641"/>
      <c r="H653" s="641"/>
      <c r="I653" s="641"/>
      <c r="J653" s="641"/>
      <c r="K653" s="632"/>
      <c r="L653" s="641"/>
    </row>
    <row r="654" spans="2:41" ht="12.75" hidden="1" customHeight="1" outlineLevel="1">
      <c r="B654" s="2694" t="s">
        <v>468</v>
      </c>
      <c r="C654" s="2695"/>
      <c r="D654" s="232">
        <v>10</v>
      </c>
      <c r="E654" s="641">
        <f>SUMIF($F$36:$F$46,Utilitaires!$G$572,AJ36:AJ46)+SUMIF($F$219:$F$230,Utilitaires!$G$572,AJ219:AJ230)+SUMIF($F$403:$F$413,Utilitaires!$G$572,AJ403:AJ413)
+SUMIF($F$36:$F$46,Utilitaires!$G$577,AJ36:AJ46)+SUMIF($F$219:$F$230,Utilitaires!$G$577,AJ219:AJ230)+SUMIF($F$403:$F$413,Utilitaires!$G$577,AJ403:AJ413)</f>
        <v>0</v>
      </c>
      <c r="F654" s="641">
        <f>SUMIF($F$36:$F$46,Utilitaires!$G$572,AM36:AM46)+SUMIF($F$219:$F$230,Utilitaires!$G$572,AM219:AM230)+SUMIF($F$403:$F$413,Utilitaires!$G$572,AM403:AM413)
+SUMIF($F$36:$F$46,Utilitaires!$G$577,AM36:AM46)+SUMIF($F$219:$F$230,Utilitaires!$G$577,AM219:AM230)+SUMIF($F$403:$F$413,Utilitaires!$G$577,AM403:AM413)</f>
        <v>0</v>
      </c>
      <c r="G654" s="641">
        <f>SUMIF($F$36:$F$46,Utilitaires!$G$572,AP36:AP46)+SUMIF($F$219:$F$230,Utilitaires!$G$572,AP219:AP230)+SUMIF($F$403:$F$413,Utilitaires!$G$572,AP403:AP413)
+SUMIF($F$36:$F$46,Utilitaires!$G$577,AP36:AP46)+SUMIF($F$219:$F$230,Utilitaires!$G$577,AP219:AP230)+SUMIF($F$403:$F$413,Utilitaires!$G$577,AP403:AP413)</f>
        <v>0</v>
      </c>
      <c r="H654" s="641">
        <f>SUMIF($F$36:$F$46,Utilitaires!$G$572,AS36:AS46)+SUMIF($F$219:$F$230,Utilitaires!$G$572,AS219:AS230)+SUMIF($F$403:$F$413,Utilitaires!$G$572,AS403:AS413)
+SUMIF($F$36:$F$46,Utilitaires!$G$577,AS36:AS46)+SUMIF($F$219:$F$230,Utilitaires!$G$577,AS219:AS230)+SUMIF($F$403:$F$413,Utilitaires!$G$577,AS403:AS413)</f>
        <v>0</v>
      </c>
      <c r="I654" s="641">
        <f>SUM(E654:H654)</f>
        <v>0</v>
      </c>
      <c r="J654" s="641">
        <f>SUMIF($F$36:$F$46,Utilitaires!$G$572,AY36:AY46)+SUMIF($F$219:$F$230,Utilitaires!$G$572,AY219:AY230)+SUMIF($F$403:$F$413,Utilitaires!$G$572,AY403:AY413)
+SUMIF($F$36:$F$46,Utilitaires!$G$577,AY36:AY46)+SUMIF($F$219:$F$230,Utilitaires!$G$577,AY219:AY230)+SUMIF($F$403:$F$413,Utilitaires!$G$577,AY403:AY413)</f>
        <v>0</v>
      </c>
      <c r="K654" s="632">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L654" s="641"/>
    </row>
    <row r="655" spans="2:41" ht="12.75" hidden="1" customHeight="1" outlineLevel="1">
      <c r="B655" s="2694" t="s">
        <v>386</v>
      </c>
      <c r="C655" s="2695"/>
      <c r="D655" s="232">
        <v>11</v>
      </c>
      <c r="E655" s="641"/>
      <c r="F655" s="641"/>
      <c r="G655" s="641"/>
      <c r="H655" s="641"/>
      <c r="I655" s="641"/>
      <c r="J655" s="641"/>
      <c r="K655" s="632"/>
      <c r="L655" s="641"/>
    </row>
    <row r="656" spans="2:41" ht="12.75" hidden="1" customHeight="1" outlineLevel="1">
      <c r="B656" s="2694" t="s">
        <v>469</v>
      </c>
      <c r="C656" s="2695"/>
      <c r="D656" s="232">
        <v>12</v>
      </c>
      <c r="E656" s="641">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+IF('Bilan GES'!E38="Oui",SUMIF($F$74:$F$78,Utilitaires!$G$573,AJ74:AJ78)+SUMIF($F$258:$F$262,Utilitaires!$G$573,AJ258:AJ262)+SUMIF($F$441:$F$445,Utilitaires!$G$573,AJ441:AJ445)
+SUMIF($F$74:$F$78,Utilitaires!$G$578,AJ74:AJ78)+SUMIF($F$258:$F$262,Utilitaires!$G$578,AJ258:AJ262)+SUMIF($F$441:$F$445,Utilitaires!$G$578,AJ441:AJ445),)</f>
        <v>295739.83500000002</v>
      </c>
      <c r="F656" s="641">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+IF('Bilan GES'!E38="Oui",SUMIF($F$74:$F$78,Utilitaires!$G$573,AN74:AN78)+SUMIF($F$258:$F$262,Utilitaires!$G$573,AM258:AM262)+SUMIF($F$441:$F$445,Utilitaires!$G$573,AM441:AM445)
+SUMIF($F$74:$F$78,Utilitaires!$G$578,AN74:AN78)+SUMIF($F$258:$F$262,Utilitaires!$G$578,AM258:AM262)+SUMIF($F$441:$F$445,Utilitaires!$G$578,AM441:AM445),)</f>
        <v>0</v>
      </c>
      <c r="G656" s="641">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+IF('Bilan GES'!E38="Oui",SUMIF($F$74:$F$78,Utilitaires!$G$573,AR74:AR78)+SUMIF($F$258:$F$262,Utilitaires!$G$573,AR258:AR262)+SUMIF($F$441:$F$445,Utilitaires!$G$573,AR441:AR445)
+SUMIF($F$74:$F$78,Utilitaires!$G$578,AR74:AR78)+SUMIF($F$258:$F$262,Utilitaires!$G$578,AR258:AR262)+SUMIF($F$441:$F$445,Utilitaires!$G$578,AR441:AR445),)</f>
        <v>0</v>
      </c>
      <c r="H656" s="641">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+IF('Bilan GES'!E38="Oui",SUMIF($F$74:$F$78,Utilitaires!$G$573,AV74:AV78)+SUMIF($F$258:$F$262,Utilitaires!$G$573,AV258:AV262)+SUMIF($F$441:$F$445,Utilitaires!$G$573,AV441:AV445)
+SUMIF($F$74:$F$78,Utilitaires!$G$578,AV74:AV78)+SUMIF($F$258:$F$262,Utilitaires!$G$578,AV258:AV262)+SUMIF($F$441:$F$445,Utilitaires!$G$578,AV441:AV445),)</f>
        <v>0</v>
      </c>
      <c r="I656" s="641">
        <f>SUM(E656:H656)</f>
        <v>295739.83500000002</v>
      </c>
      <c r="J656" s="641">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+IF('Bilan GES'!E38="Oui",
SUMIF($F$74:$F$78,Utilitaires!$G$573,BD74:BD78)+SUMIF($F$235:$F$262,Utilitaires!$G$573,BD258:BD262)+SUMIF($F$418:$F$445,Utilitaires!$G$573,BD441:BD445)
+SUMIF($F$74:$F$78,Utilitaires!$G$578,BD74:BD78)+SUMIF($F$235:$F$262,Utilitaires!$G$578,BD258:BD262)+SUMIF($F$418:$F$445,Utilitaires!$G$578,BD441:BD445),)</f>
        <v>0</v>
      </c>
      <c r="K656" s="632">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+IF('Bilan GES'!E38="Oui",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80538.449101336722</v>
      </c>
      <c r="L656" s="641"/>
    </row>
    <row r="657" spans="2:63" ht="15" hidden="1" customHeight="1" outlineLevel="1" collapsed="1">
      <c r="B657" s="2694" t="s">
        <v>470</v>
      </c>
      <c r="C657" s="2695"/>
      <c r="D657" s="232">
        <v>13</v>
      </c>
      <c r="E657" s="641"/>
      <c r="F657" s="641"/>
      <c r="G657" s="641"/>
      <c r="H657" s="641"/>
      <c r="I657" s="641"/>
      <c r="J657" s="641"/>
      <c r="K657" s="632"/>
      <c r="L657" s="641"/>
      <c r="AJ657" s="593"/>
      <c r="AK657" s="593"/>
      <c r="AL657" s="593"/>
      <c r="AM657" s="593"/>
      <c r="AN657" s="593"/>
    </row>
    <row r="658" spans="2:63" ht="12.75" hidden="1" customHeight="1" outlineLevel="1">
      <c r="B658" s="2694" t="s">
        <v>471</v>
      </c>
      <c r="C658" s="2695"/>
      <c r="D658" s="232">
        <v>14</v>
      </c>
      <c r="E658" s="641"/>
      <c r="F658" s="641"/>
      <c r="G658" s="641"/>
      <c r="H658" s="641"/>
      <c r="I658" s="641"/>
      <c r="J658" s="641"/>
      <c r="K658" s="632"/>
      <c r="L658" s="641"/>
    </row>
    <row r="659" spans="2:63" ht="12.75" hidden="1" customHeight="1" outlineLevel="1">
      <c r="B659" s="2694" t="s">
        <v>472</v>
      </c>
      <c r="C659" s="2695"/>
      <c r="D659" s="232">
        <v>15</v>
      </c>
      <c r="E659" s="641"/>
      <c r="F659" s="641"/>
      <c r="G659" s="641"/>
      <c r="H659" s="641"/>
      <c r="I659" s="641"/>
      <c r="J659" s="641"/>
      <c r="K659" s="632"/>
      <c r="L659" s="641"/>
    </row>
    <row r="660" spans="2:63" ht="12.75" hidden="1" customHeight="1" outlineLevel="1">
      <c r="B660" s="2694" t="s">
        <v>473</v>
      </c>
      <c r="C660" s="2695"/>
      <c r="D660" s="232">
        <v>16</v>
      </c>
      <c r="E660" s="641"/>
      <c r="F660" s="641"/>
      <c r="G660" s="641"/>
      <c r="H660" s="641"/>
      <c r="I660" s="641"/>
      <c r="J660" s="641"/>
      <c r="K660" s="632"/>
      <c r="L660" s="641"/>
    </row>
    <row r="661" spans="2:63" ht="12.75" hidden="1" customHeight="1" outlineLevel="1">
      <c r="B661" s="2694" t="s">
        <v>474</v>
      </c>
      <c r="C661" s="2695"/>
      <c r="D661" s="232">
        <v>17</v>
      </c>
      <c r="E661" s="641">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+IF('Bilan GES'!E38="Oui",SUMIF($F$74:$F$78,Utilitaires!$G$574,AJ74:AJ78)+SUMIF($F$258:$F$262,Utilitaires!$G$574,AJ258:AJ262)+SUMIF($F$441:$F$445,Utilitaires!$G$574,AJ441:AJ445)
+SUMIF($F$74:$F$78,Utilitaires!$G$579,AJ74:AJ78)+SUMIF($F$258:$F$262,Utilitaires!$G$579,AJ258:AJ262)+SUMIF($F$441:$F$445,Utilitaires!$G$579,AJ441:AJ445),)</f>
        <v>0</v>
      </c>
      <c r="F661" s="641">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+IF('Bilan GES'!E38="Oui",SUMIF($F$74:$F$78,Utilitaires!$G$574,AN74:AN78)+SUMIF($F$258:$F$262,Utilitaires!$G$574,AM258:AM262)+SUMIF($F$441:$F$445,Utilitaires!$G$574,AM441:AM445)
+SUMIF($F$74:$F$78,Utilitaires!$G$579,AN74:AN78)+SUMIF($F$258:$F$262,Utilitaires!$G$579,AM258:AM262)+SUMIF($F$441:$F$445,Utilitaires!$G$579,AM441:AM445),)</f>
        <v>0</v>
      </c>
      <c r="G661" s="641">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+IF('Bilan GES'!E38="Oui",SUMIF($F$74:$F$78,Utilitaires!$G$574,AR74:AR78)+SUMIF($F$258:$F$262,Utilitaires!$G$574,AR258:AR262)+SUMIF($F$441:$F$445,Utilitaires!$G$574,AR441:AR445)
+SUMIF($F$74:$F$78,Utilitaires!$G$579,AR74:AR78)+SUMIF($F$258:$F$262,Utilitaires!$G$579,AR258:AR262)+SUMIF($F$441:$F$445,Utilitaires!$G$579,AR441:AR445),)</f>
        <v>0</v>
      </c>
      <c r="H661" s="641">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+IF('Bilan GES'!E38="Oui",SUMIF($F$74:$F$78,Utilitaires!$G$574,AV74:AV78)+SUMIF($F$258:$F$262,Utilitaires!$G$574,AV258:AV262)+SUMIF($F$441:$F$445,Utilitaires!$G$574,AV441:AV445)
+SUMIF($F$74:$F$78,Utilitaires!$G$579,AV74:AV78)+SUMIF($F$258:$F$262,Utilitaires!$G$579,AV258:AV262)+SUMIF($F$441:$F$445,Utilitaires!$G$579,AV441:AV445),)</f>
        <v>0</v>
      </c>
      <c r="I661" s="641">
        <f>SUM(E661:H661)</f>
        <v>0</v>
      </c>
      <c r="J661" s="641">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+IF('Bilan GES'!E38="Oui",
SUMIF($F$74:$F$78,Utilitaires!$G$574,BD74:BD78)+SUMIF($F$235:$F$262,Utilitaires!$G$574,BD258:BD262)+SUMIF($F$418:$F$445,Utilitaires!$G$574,BD441:BD445)
+SUMIF($F$74:$F$78,Utilitaires!$G$579,BD74:BD78)+SUMIF($F$235:$F$262,Utilitaires!$G$579,BD258:BD262)+SUMIF($F$418:$F$445,Utilitaires!$G$579,BD441:BD445),)</f>
        <v>0</v>
      </c>
      <c r="K661" s="632">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+IF('Bilan GES'!E38="Oui",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L661" s="641"/>
    </row>
    <row r="662" spans="2:63" ht="12.75" hidden="1" customHeight="1" outlineLevel="1" collapsed="1">
      <c r="B662" s="2694" t="s">
        <v>475</v>
      </c>
      <c r="C662" s="2695"/>
      <c r="D662" s="232">
        <v>18</v>
      </c>
      <c r="E662" s="641"/>
      <c r="F662" s="641"/>
      <c r="G662" s="641"/>
      <c r="H662" s="641"/>
      <c r="I662" s="641"/>
      <c r="J662" s="641"/>
      <c r="K662" s="632"/>
      <c r="L662" s="641"/>
    </row>
    <row r="663" spans="2:63" ht="12.75" hidden="1" customHeight="1" outlineLevel="1">
      <c r="B663" s="2694" t="s">
        <v>476</v>
      </c>
      <c r="C663" s="2695"/>
      <c r="D663" s="232">
        <v>19</v>
      </c>
      <c r="E663" s="641"/>
      <c r="F663" s="641"/>
      <c r="G663" s="641"/>
      <c r="H663" s="641"/>
      <c r="I663" s="641"/>
      <c r="J663" s="641"/>
      <c r="K663" s="632"/>
      <c r="L663" s="641"/>
    </row>
    <row r="664" spans="2:63" ht="12.75" hidden="1" customHeight="1" outlineLevel="1">
      <c r="B664" s="2694" t="s">
        <v>477</v>
      </c>
      <c r="C664" s="2695"/>
      <c r="D664" s="232">
        <v>20</v>
      </c>
      <c r="E664" s="641"/>
      <c r="F664" s="641"/>
      <c r="G664" s="641"/>
      <c r="H664" s="641"/>
      <c r="I664" s="641"/>
      <c r="J664" s="641"/>
      <c r="K664" s="632"/>
      <c r="L664" s="641"/>
    </row>
    <row r="665" spans="2:63" ht="12.75" hidden="1" customHeight="1" outlineLevel="1">
      <c r="B665" s="2694" t="s">
        <v>478</v>
      </c>
      <c r="C665" s="2695"/>
      <c r="D665" s="232">
        <v>21</v>
      </c>
      <c r="E665" s="641"/>
      <c r="F665" s="641"/>
      <c r="G665" s="641"/>
      <c r="H665" s="641"/>
      <c r="I665" s="641"/>
      <c r="J665" s="641"/>
      <c r="K665" s="632"/>
      <c r="L665" s="641"/>
    </row>
    <row r="666" spans="2:63" ht="12.75" hidden="1" customHeight="1" outlineLevel="1">
      <c r="B666" s="2694" t="s">
        <v>479</v>
      </c>
      <c r="C666" s="2695"/>
      <c r="D666" s="232">
        <v>22</v>
      </c>
      <c r="E666" s="641"/>
      <c r="F666" s="641"/>
      <c r="G666" s="641"/>
      <c r="H666" s="641"/>
      <c r="I666" s="641"/>
      <c r="J666" s="641"/>
      <c r="K666" s="632"/>
      <c r="L666" s="641"/>
    </row>
    <row r="667" spans="2:63" ht="12.75" hidden="1" customHeight="1" outlineLevel="1">
      <c r="B667" s="2694" t="s">
        <v>449</v>
      </c>
      <c r="C667" s="2695"/>
      <c r="D667" s="232">
        <v>23</v>
      </c>
      <c r="E667" s="641"/>
      <c r="F667" s="641"/>
      <c r="G667" s="641"/>
      <c r="H667" s="641"/>
      <c r="I667" s="641"/>
      <c r="J667" s="641"/>
      <c r="K667" s="632"/>
      <c r="L667" s="641"/>
    </row>
    <row r="668" spans="2:63" ht="12.75" hidden="1" customHeight="1" outlineLevel="1">
      <c r="B668" s="2706"/>
      <c r="C668" s="2707"/>
      <c r="D668" s="135" t="s">
        <v>439</v>
      </c>
      <c r="E668" s="642">
        <f t="shared" ref="E668:J668" si="205">SUM(E652:E656,E657:E661,E662:E667)</f>
        <v>295739.83500000002</v>
      </c>
      <c r="F668" s="642">
        <f t="shared" si="205"/>
        <v>0</v>
      </c>
      <c r="G668" s="642">
        <f t="shared" si="205"/>
        <v>0</v>
      </c>
      <c r="H668" s="642">
        <f t="shared" si="205"/>
        <v>0</v>
      </c>
      <c r="I668" s="642">
        <f t="shared" si="205"/>
        <v>295739.83500000002</v>
      </c>
      <c r="J668" s="642">
        <f t="shared" ca="1" si="205"/>
        <v>0</v>
      </c>
      <c r="K668" s="635">
        <f>SQRT(SUMSQ(K652:K656,K657:K661,K662:K667))</f>
        <v>80538.449101336722</v>
      </c>
      <c r="L668" s="642">
        <f>SUM(L652:L656,L657:L661,L662:L667)</f>
        <v>0</v>
      </c>
    </row>
    <row r="669" spans="2:63" ht="12.75" hidden="1" customHeight="1" outlineLevel="1">
      <c r="BH669" s="113"/>
      <c r="BI669" s="113"/>
      <c r="BJ669" s="113"/>
      <c r="BK669" s="113"/>
    </row>
    <row r="670" spans="2:63" collapsed="1">
      <c r="BH670" s="113"/>
      <c r="BI670" s="113"/>
      <c r="BJ670" s="113"/>
      <c r="BK670" s="113"/>
    </row>
    <row r="671" spans="2:63" s="113" customFormat="1" ht="15.6" collapsed="1">
      <c r="B671" s="2698" t="s">
        <v>721</v>
      </c>
      <c r="C671" s="2699"/>
      <c r="D671" s="2699"/>
      <c r="E671" s="2699"/>
      <c r="F671" s="2699"/>
      <c r="G671" s="2699"/>
      <c r="H671" s="2699"/>
      <c r="I671" s="2699"/>
      <c r="J671" s="2699"/>
      <c r="K671" s="2699"/>
      <c r="L671" s="2699"/>
      <c r="M671" s="2699"/>
      <c r="N671" s="2699"/>
      <c r="O671" s="2700"/>
      <c r="W671" s="817"/>
      <c r="AB671" s="817"/>
      <c r="AC671" s="817"/>
      <c r="AG671" s="576"/>
      <c r="AH671" s="576"/>
      <c r="AI671" s="576"/>
      <c r="AJ671" s="576"/>
      <c r="AK671" s="576"/>
    </row>
    <row r="672" spans="2:63" s="113" customFormat="1" ht="12" hidden="1" customHeight="1" outlineLevel="1">
      <c r="W672" s="817"/>
      <c r="AB672" s="817"/>
      <c r="AC672" s="817"/>
      <c r="AG672" s="576"/>
      <c r="AH672" s="576"/>
      <c r="AI672" s="576"/>
      <c r="AJ672" s="576"/>
      <c r="AK672" s="576"/>
    </row>
    <row r="673" spans="2:40" s="113" customFormat="1" ht="38.25" hidden="1" customHeight="1" outlineLevel="1">
      <c r="B673" s="205"/>
      <c r="C673" s="205"/>
      <c r="D673" s="205"/>
      <c r="E673" s="2701" t="s">
        <v>448</v>
      </c>
      <c r="F673" s="2702"/>
      <c r="G673" s="2702"/>
      <c r="H673" s="2702"/>
      <c r="I673" s="2702"/>
      <c r="J673" s="2702"/>
      <c r="K673" s="2702"/>
      <c r="L673" s="2702"/>
      <c r="M673" s="2702"/>
      <c r="N673" s="2703"/>
      <c r="O673" s="865" t="s">
        <v>440</v>
      </c>
      <c r="W673" s="817"/>
      <c r="AB673" s="817"/>
      <c r="AC673" s="817"/>
      <c r="AG673" s="576"/>
      <c r="AH673" s="576"/>
      <c r="AI673" s="576"/>
      <c r="AJ673" s="576"/>
      <c r="AK673" s="576"/>
    </row>
    <row r="674" spans="2:40" s="113" customFormat="1" ht="25.5" hidden="1" customHeight="1" outlineLevel="1">
      <c r="B674" s="2701" t="s">
        <v>438</v>
      </c>
      <c r="C674" s="2703"/>
      <c r="D674" s="867" t="s">
        <v>458</v>
      </c>
      <c r="E674" s="866" t="s">
        <v>853</v>
      </c>
      <c r="F674" s="866" t="s">
        <v>854</v>
      </c>
      <c r="G674" s="866" t="s">
        <v>855</v>
      </c>
      <c r="H674" s="866" t="s">
        <v>858</v>
      </c>
      <c r="I674" s="866" t="s">
        <v>859</v>
      </c>
      <c r="J674" s="866" t="s">
        <v>860</v>
      </c>
      <c r="K674" s="866" t="s">
        <v>852</v>
      </c>
      <c r="L674" s="867" t="s">
        <v>513</v>
      </c>
      <c r="M674" s="866" t="s">
        <v>856</v>
      </c>
      <c r="N674" s="866" t="s">
        <v>514</v>
      </c>
      <c r="O674" s="867" t="s">
        <v>513</v>
      </c>
      <c r="Z674" s="817"/>
      <c r="AG674" s="576"/>
      <c r="AH674" s="576"/>
      <c r="AI674" s="576"/>
      <c r="AJ674" s="576"/>
      <c r="AK674" s="576"/>
      <c r="AL674" s="576"/>
      <c r="AM674" s="576"/>
      <c r="AN674" s="576"/>
    </row>
    <row r="675" spans="2:40" s="113" customFormat="1" ht="12.75" hidden="1" customHeight="1" outlineLevel="1">
      <c r="B675" s="2704" t="s">
        <v>459</v>
      </c>
      <c r="C675" s="2705"/>
      <c r="D675" s="861" t="s">
        <v>727</v>
      </c>
      <c r="E675" s="855"/>
      <c r="F675" s="855"/>
      <c r="G675" s="855"/>
      <c r="H675" s="855"/>
      <c r="I675" s="855"/>
      <c r="J675" s="855"/>
      <c r="K675" s="855"/>
      <c r="L675" s="864"/>
      <c r="M675" s="853"/>
      <c r="N675" s="858"/>
      <c r="O675" s="857"/>
      <c r="Z675" s="817"/>
      <c r="AG675" s="576"/>
      <c r="AH675" s="576"/>
      <c r="AI675" s="576"/>
      <c r="AJ675" s="576"/>
      <c r="AK675" s="576"/>
      <c r="AL675" s="576"/>
      <c r="AM675" s="576"/>
      <c r="AN675" s="576"/>
    </row>
    <row r="676" spans="2:40" s="113" customFormat="1" ht="12.75" hidden="1" customHeight="1" outlineLevel="1">
      <c r="B676" s="2704" t="s">
        <v>722</v>
      </c>
      <c r="C676" s="2705"/>
      <c r="D676" s="862" t="s">
        <v>728</v>
      </c>
      <c r="E676" s="855">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676" s="855">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676" s="855">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676" s="855">
        <v>0</v>
      </c>
      <c r="I676" s="855">
        <v>0</v>
      </c>
      <c r="J676" s="855">
        <v>0</v>
      </c>
      <c r="K676" s="855">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L676" s="864">
        <f>SUM(E676:K676)</f>
        <v>0</v>
      </c>
      <c r="M676" s="853">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N676" s="858">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O676" s="857"/>
      <c r="Z676" s="817"/>
      <c r="AG676" s="576"/>
      <c r="AH676" s="576"/>
      <c r="AI676" s="576"/>
      <c r="AJ676" s="576"/>
      <c r="AK676" s="576"/>
      <c r="AL676" s="576"/>
      <c r="AM676" s="576"/>
      <c r="AN676" s="576"/>
    </row>
    <row r="677" spans="2:40" s="113" customFormat="1" ht="12.75" hidden="1" customHeight="1" outlineLevel="1">
      <c r="B677" s="2704" t="s">
        <v>723</v>
      </c>
      <c r="C677" s="2705"/>
      <c r="D677" s="862" t="s">
        <v>729</v>
      </c>
      <c r="E677" s="855"/>
      <c r="F677" s="855"/>
      <c r="G677" s="855"/>
      <c r="H677" s="855"/>
      <c r="I677" s="855"/>
      <c r="J677" s="855"/>
      <c r="K677" s="855"/>
      <c r="L677" s="864"/>
      <c r="M677" s="853"/>
      <c r="N677" s="858"/>
      <c r="O677" s="857"/>
      <c r="Z677" s="817"/>
      <c r="AG677" s="576"/>
      <c r="AH677" s="576"/>
      <c r="AI677" s="576"/>
      <c r="AJ677" s="576"/>
      <c r="AK677" s="576"/>
      <c r="AL677" s="576"/>
      <c r="AM677" s="576"/>
      <c r="AN677" s="576"/>
    </row>
    <row r="678" spans="2:40" s="113" customFormat="1" ht="12.75" hidden="1" customHeight="1" outlineLevel="1">
      <c r="B678" s="2704" t="s">
        <v>462</v>
      </c>
      <c r="C678" s="2705"/>
      <c r="D678" s="862" t="s">
        <v>730</v>
      </c>
      <c r="E678" s="855"/>
      <c r="F678" s="855"/>
      <c r="G678" s="855"/>
      <c r="H678" s="855"/>
      <c r="I678" s="855"/>
      <c r="J678" s="855"/>
      <c r="K678" s="855"/>
      <c r="L678" s="864"/>
      <c r="M678" s="853"/>
      <c r="N678" s="858"/>
      <c r="O678" s="857"/>
      <c r="Z678" s="817"/>
      <c r="AG678" s="576"/>
      <c r="AH678" s="576"/>
      <c r="AI678" s="576"/>
      <c r="AJ678" s="576"/>
      <c r="AK678" s="576"/>
      <c r="AL678" s="576"/>
      <c r="AM678" s="576"/>
      <c r="AN678" s="576"/>
    </row>
    <row r="679" spans="2:40" s="113" customFormat="1" ht="12.75" hidden="1" customHeight="1" outlineLevel="1">
      <c r="B679" s="2710" t="s">
        <v>726</v>
      </c>
      <c r="C679" s="2711"/>
      <c r="D679" s="2712"/>
      <c r="E679" s="852">
        <f t="shared" ref="E679:O679" si="206">SUM(E675:E678)</f>
        <v>0</v>
      </c>
      <c r="F679" s="852">
        <f t="shared" si="206"/>
        <v>0</v>
      </c>
      <c r="G679" s="852">
        <f t="shared" si="206"/>
        <v>0</v>
      </c>
      <c r="H679" s="852">
        <f t="shared" si="206"/>
        <v>0</v>
      </c>
      <c r="I679" s="852">
        <f t="shared" si="206"/>
        <v>0</v>
      </c>
      <c r="J679" s="852">
        <f t="shared" si="206"/>
        <v>0</v>
      </c>
      <c r="K679" s="852">
        <f t="shared" si="206"/>
        <v>0</v>
      </c>
      <c r="L679" s="852">
        <f t="shared" si="206"/>
        <v>0</v>
      </c>
      <c r="M679" s="863">
        <f t="shared" si="206"/>
        <v>0</v>
      </c>
      <c r="N679" s="859">
        <f>SQRT(SUMSQ(N675:N678))</f>
        <v>0</v>
      </c>
      <c r="O679" s="860">
        <f t="shared" si="206"/>
        <v>0</v>
      </c>
      <c r="Z679" s="817"/>
      <c r="AG679" s="576"/>
      <c r="AH679" s="576"/>
      <c r="AI679" s="576"/>
      <c r="AJ679" s="576"/>
      <c r="AK679" s="576"/>
      <c r="AL679" s="576"/>
      <c r="AM679" s="576"/>
      <c r="AN679" s="576"/>
    </row>
    <row r="680" spans="2:40" s="113" customFormat="1" ht="12.75" hidden="1" customHeight="1" outlineLevel="1">
      <c r="B680" s="2704" t="s">
        <v>464</v>
      </c>
      <c r="C680" s="2705"/>
      <c r="D680" s="862" t="s">
        <v>731</v>
      </c>
      <c r="E680" s="855">
        <f>AH89+AH273+AH456</f>
        <v>0</v>
      </c>
      <c r="F680" s="855">
        <f>AK89+AK273+AK456</f>
        <v>0</v>
      </c>
      <c r="G680" s="855">
        <f>AN89+AN273+AN456</f>
        <v>0</v>
      </c>
      <c r="H680" s="855">
        <v>0</v>
      </c>
      <c r="I680" s="855">
        <v>0</v>
      </c>
      <c r="J680" s="855">
        <v>0</v>
      </c>
      <c r="K680" s="855">
        <f>AQ89+AQ273+AQ456</f>
        <v>0</v>
      </c>
      <c r="L680" s="864">
        <f>SUM(E680:K680)</f>
        <v>0</v>
      </c>
      <c r="M680" s="853">
        <f>AW89+AW273+AW456</f>
        <v>0</v>
      </c>
      <c r="N680" s="858">
        <f>SQRT(AE89^2+AE273^2+AE456^2)</f>
        <v>0</v>
      </c>
      <c r="O680" s="856"/>
      <c r="Z680" s="817"/>
      <c r="AG680" s="576"/>
      <c r="AH680" s="576"/>
      <c r="AI680" s="576"/>
      <c r="AJ680" s="576"/>
      <c r="AK680" s="576"/>
      <c r="AL680" s="576"/>
      <c r="AM680" s="576"/>
      <c r="AN680" s="576"/>
    </row>
    <row r="681" spans="2:40" s="113" customFormat="1" ht="12.75" hidden="1" customHeight="1" outlineLevel="1">
      <c r="B681" s="2708" t="s">
        <v>465</v>
      </c>
      <c r="C681" s="2709"/>
      <c r="D681" s="862" t="s">
        <v>732</v>
      </c>
      <c r="E681" s="855"/>
      <c r="F681" s="855"/>
      <c r="G681" s="855"/>
      <c r="H681" s="855"/>
      <c r="I681" s="855"/>
      <c r="J681" s="855"/>
      <c r="K681" s="855"/>
      <c r="L681" s="864"/>
      <c r="M681" s="853"/>
      <c r="N681" s="858"/>
      <c r="O681" s="856"/>
      <c r="Z681" s="817"/>
      <c r="AG681" s="576"/>
      <c r="AH681" s="576"/>
      <c r="AI681" s="576"/>
      <c r="AJ681" s="576"/>
      <c r="AK681" s="576"/>
      <c r="AL681" s="576"/>
      <c r="AM681" s="576"/>
      <c r="AN681" s="576"/>
    </row>
    <row r="682" spans="2:40" s="113" customFormat="1" ht="12.75" hidden="1" customHeight="1" outlineLevel="1">
      <c r="B682" s="2710" t="s">
        <v>725</v>
      </c>
      <c r="C682" s="2711"/>
      <c r="D682" s="2712"/>
      <c r="E682" s="852">
        <f t="shared" ref="E682:L682" si="207">SUM(E680:E681)</f>
        <v>0</v>
      </c>
      <c r="F682" s="852">
        <f t="shared" si="207"/>
        <v>0</v>
      </c>
      <c r="G682" s="852">
        <f t="shared" si="207"/>
        <v>0</v>
      </c>
      <c r="H682" s="852">
        <f t="shared" si="207"/>
        <v>0</v>
      </c>
      <c r="I682" s="852">
        <f t="shared" si="207"/>
        <v>0</v>
      </c>
      <c r="J682" s="852">
        <f t="shared" si="207"/>
        <v>0</v>
      </c>
      <c r="K682" s="852">
        <f t="shared" si="207"/>
        <v>0</v>
      </c>
      <c r="L682" s="852">
        <f t="shared" si="207"/>
        <v>0</v>
      </c>
      <c r="M682" s="863">
        <f>SUM(M680:M681)</f>
        <v>0</v>
      </c>
      <c r="N682" s="859">
        <f>SQRT(SUMSQ(N680:N681))</f>
        <v>0</v>
      </c>
      <c r="O682" s="860">
        <f>SUM(O680:O681)</f>
        <v>0</v>
      </c>
      <c r="Z682" s="817"/>
      <c r="AG682" s="576"/>
      <c r="AH682" s="576"/>
      <c r="AI682" s="576"/>
      <c r="AJ682" s="576"/>
      <c r="AK682" s="576"/>
      <c r="AL682" s="576"/>
      <c r="AM682" s="576"/>
      <c r="AN682" s="576"/>
    </row>
    <row r="683" spans="2:40" s="113" customFormat="1" ht="12.75" hidden="1" customHeight="1" outlineLevel="1">
      <c r="B683" s="2713" t="s">
        <v>757</v>
      </c>
      <c r="C683" s="2714"/>
      <c r="D683" s="2714"/>
      <c r="E683" s="2714"/>
      <c r="F683" s="2714"/>
      <c r="G683" s="2714"/>
      <c r="H683" s="2714"/>
      <c r="I683" s="2714"/>
      <c r="J683" s="2714"/>
      <c r="K683" s="2714"/>
      <c r="L683" s="2714"/>
      <c r="M683" s="2714"/>
      <c r="N683" s="2714"/>
      <c r="O683" s="2715"/>
      <c r="Z683" s="817"/>
      <c r="AG683" s="576"/>
      <c r="AH683" s="576"/>
      <c r="AI683" s="576"/>
      <c r="AJ683" s="576"/>
      <c r="AK683" s="576"/>
      <c r="AL683" s="576"/>
      <c r="AM683" s="576"/>
      <c r="AN683" s="576"/>
    </row>
    <row r="684" spans="2:40" s="113" customFormat="1" ht="12.75" hidden="1" customHeight="1" outlineLevel="1">
      <c r="B684" s="2704" t="s">
        <v>733</v>
      </c>
      <c r="C684" s="2705"/>
      <c r="D684" s="862" t="s">
        <v>741</v>
      </c>
      <c r="E684" s="855"/>
      <c r="F684" s="855"/>
      <c r="G684" s="855"/>
      <c r="H684" s="855"/>
      <c r="I684" s="855"/>
      <c r="J684" s="855"/>
      <c r="K684" s="855"/>
      <c r="L684" s="864"/>
      <c r="M684" s="853"/>
      <c r="N684" s="858"/>
      <c r="O684" s="856"/>
      <c r="Z684" s="817"/>
      <c r="AG684" s="576"/>
      <c r="AH684" s="576"/>
      <c r="AI684" s="576"/>
      <c r="AJ684" s="576"/>
      <c r="AK684" s="576"/>
      <c r="AL684" s="576"/>
      <c r="AM684" s="576"/>
      <c r="AN684" s="576"/>
    </row>
    <row r="685" spans="2:40" s="113" customFormat="1" ht="12.75" hidden="1" customHeight="1" outlineLevel="1">
      <c r="B685" s="2708" t="s">
        <v>734</v>
      </c>
      <c r="C685" s="2709"/>
      <c r="D685" s="862" t="s">
        <v>742</v>
      </c>
      <c r="E685" s="855"/>
      <c r="F685" s="855"/>
      <c r="G685" s="855"/>
      <c r="H685" s="855"/>
      <c r="I685" s="855"/>
      <c r="J685" s="855"/>
      <c r="K685" s="855"/>
      <c r="L685" s="864"/>
      <c r="M685" s="853"/>
      <c r="N685" s="858"/>
      <c r="O685" s="856"/>
      <c r="Z685" s="817"/>
      <c r="AG685" s="576"/>
      <c r="AH685" s="576"/>
      <c r="AI685" s="576"/>
      <c r="AJ685" s="576"/>
      <c r="AK685" s="576"/>
      <c r="AL685" s="576"/>
      <c r="AM685" s="576"/>
      <c r="AN685" s="576"/>
    </row>
    <row r="686" spans="2:40" s="113" customFormat="1" ht="12.75" hidden="1" customHeight="1" outlineLevel="1">
      <c r="B686" s="2708" t="s">
        <v>735</v>
      </c>
      <c r="C686" s="2709"/>
      <c r="D686" s="862" t="s">
        <v>743</v>
      </c>
      <c r="E686" s="855">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686" s="855">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686" s="855">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686" s="855">
        <v>0</v>
      </c>
      <c r="I686" s="855">
        <v>0</v>
      </c>
      <c r="J686" s="855">
        <v>0</v>
      </c>
      <c r="K686" s="855">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L686" s="864">
        <f>SUM(E686:K686)</f>
        <v>0</v>
      </c>
      <c r="M686" s="853">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N686" s="858" cm="1">
        <f t="array" ref="N686">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O686" s="856"/>
      <c r="Z686" s="817"/>
      <c r="AG686" s="576"/>
      <c r="AH686" s="576"/>
      <c r="AI686" s="576"/>
      <c r="AJ686" s="576"/>
      <c r="AK686" s="576"/>
      <c r="AL686" s="576"/>
      <c r="AM686" s="576"/>
      <c r="AN686" s="576"/>
    </row>
    <row r="687" spans="2:40" s="113" customFormat="1" ht="12.75" hidden="1" customHeight="1" outlineLevel="1">
      <c r="B687" s="2704" t="s">
        <v>815</v>
      </c>
      <c r="C687" s="2705"/>
      <c r="D687" s="862" t="s">
        <v>744</v>
      </c>
      <c r="E687" s="855">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f>
        <v>295739.83500000002</v>
      </c>
      <c r="F687" s="855">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f>
        <v>0</v>
      </c>
      <c r="G687" s="855">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f>
        <v>0</v>
      </c>
      <c r="H687" s="855">
        <v>0</v>
      </c>
      <c r="I687" s="855">
        <v>0</v>
      </c>
      <c r="J687" s="855">
        <v>0</v>
      </c>
      <c r="K687" s="855">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f>
        <v>0</v>
      </c>
      <c r="L687" s="864">
        <f>SUM(E687:K687)</f>
        <v>295739.83500000002</v>
      </c>
      <c r="M687" s="853">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N687" s="858">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80538.449101336722</v>
      </c>
      <c r="O687" s="856"/>
      <c r="Z687" s="817"/>
      <c r="AG687" s="576"/>
      <c r="AH687" s="576"/>
      <c r="AI687" s="576"/>
      <c r="AJ687" s="576"/>
      <c r="AK687" s="576"/>
      <c r="AL687" s="576"/>
      <c r="AM687" s="576"/>
      <c r="AN687" s="576"/>
    </row>
    <row r="688" spans="2:40" s="113" customFormat="1" ht="12.75" hidden="1" customHeight="1" outlineLevel="1">
      <c r="B688" s="2704" t="s">
        <v>736</v>
      </c>
      <c r="C688" s="2705"/>
      <c r="D688" s="862" t="s">
        <v>745</v>
      </c>
      <c r="E688" s="855"/>
      <c r="F688" s="855"/>
      <c r="G688" s="855"/>
      <c r="H688" s="855"/>
      <c r="I688" s="855"/>
      <c r="J688" s="855"/>
      <c r="K688" s="855"/>
      <c r="L688" s="864"/>
      <c r="M688" s="853"/>
      <c r="N688" s="858"/>
      <c r="O688" s="856"/>
      <c r="Z688" s="817"/>
      <c r="AG688" s="576"/>
      <c r="AH688" s="576"/>
      <c r="AI688" s="576"/>
      <c r="AJ688" s="576"/>
      <c r="AK688" s="576"/>
      <c r="AL688" s="576"/>
      <c r="AM688" s="576"/>
      <c r="AN688" s="576"/>
    </row>
    <row r="689" spans="2:63" s="113" customFormat="1" ht="12.75" hidden="1" customHeight="1" outlineLevel="1">
      <c r="B689" s="2704" t="s">
        <v>470</v>
      </c>
      <c r="C689" s="2705"/>
      <c r="D689" s="862" t="s">
        <v>746</v>
      </c>
      <c r="E689" s="855"/>
      <c r="F689" s="855"/>
      <c r="G689" s="855"/>
      <c r="H689" s="855"/>
      <c r="I689" s="855"/>
      <c r="J689" s="855"/>
      <c r="K689" s="855"/>
      <c r="L689" s="864"/>
      <c r="M689" s="853"/>
      <c r="N689" s="858"/>
      <c r="O689" s="856"/>
      <c r="Z689" s="817"/>
      <c r="AG689" s="576"/>
      <c r="AH689" s="576"/>
      <c r="AI689" s="576"/>
      <c r="AJ689" s="576"/>
      <c r="AK689" s="576"/>
      <c r="AL689" s="576"/>
      <c r="AM689" s="576"/>
      <c r="AN689" s="576"/>
    </row>
    <row r="690" spans="2:63" s="113" customFormat="1" ht="12.75" hidden="1" customHeight="1" outlineLevel="1">
      <c r="B690" s="2704" t="s">
        <v>479</v>
      </c>
      <c r="C690" s="2705"/>
      <c r="D690" s="862" t="s">
        <v>747</v>
      </c>
      <c r="E690" s="855"/>
      <c r="F690" s="855"/>
      <c r="G690" s="855"/>
      <c r="H690" s="855"/>
      <c r="I690" s="855"/>
      <c r="J690" s="855"/>
      <c r="K690" s="855"/>
      <c r="L690" s="864"/>
      <c r="M690" s="853"/>
      <c r="N690" s="858"/>
      <c r="O690" s="856"/>
      <c r="Z690" s="817"/>
      <c r="AG690" s="576"/>
      <c r="AH690" s="576"/>
      <c r="AI690" s="576"/>
      <c r="AJ690" s="576"/>
      <c r="AK690" s="576"/>
      <c r="AL690" s="576"/>
      <c r="AM690" s="576"/>
      <c r="AN690" s="576"/>
    </row>
    <row r="691" spans="2:63" s="113" customFormat="1" ht="12.75" hidden="1" customHeight="1" outlineLevel="1">
      <c r="B691" s="2704" t="s">
        <v>471</v>
      </c>
      <c r="C691" s="2705"/>
      <c r="D691" s="862" t="s">
        <v>748</v>
      </c>
      <c r="E691" s="855"/>
      <c r="F691" s="855"/>
      <c r="G691" s="855"/>
      <c r="H691" s="855"/>
      <c r="I691" s="855"/>
      <c r="J691" s="855"/>
      <c r="K691" s="855"/>
      <c r="L691" s="864"/>
      <c r="M691" s="853"/>
      <c r="N691" s="858"/>
      <c r="O691" s="856"/>
      <c r="Z691" s="817"/>
      <c r="AG691" s="576"/>
      <c r="AH691" s="576"/>
      <c r="AI691" s="576"/>
      <c r="AJ691" s="576"/>
      <c r="AK691" s="576"/>
      <c r="AL691" s="576"/>
      <c r="AM691" s="576"/>
      <c r="AN691" s="576"/>
    </row>
    <row r="692" spans="2:63" s="113" customFormat="1" ht="12.75" hidden="1" customHeight="1" outlineLevel="1">
      <c r="B692" s="2704" t="s">
        <v>762</v>
      </c>
      <c r="C692" s="2705"/>
      <c r="D692" s="854"/>
      <c r="E692" s="855"/>
      <c r="F692" s="855"/>
      <c r="G692" s="855"/>
      <c r="H692" s="855"/>
      <c r="I692" s="855"/>
      <c r="J692" s="855"/>
      <c r="K692" s="855"/>
      <c r="L692" s="864"/>
      <c r="M692" s="853"/>
      <c r="N692" s="858"/>
      <c r="O692" s="856"/>
      <c r="Z692" s="817"/>
      <c r="AG692" s="576"/>
      <c r="AH692" s="576"/>
      <c r="AI692" s="576"/>
      <c r="AJ692" s="576"/>
      <c r="AK692" s="576"/>
      <c r="AL692" s="576"/>
      <c r="AM692" s="576"/>
      <c r="AN692" s="576"/>
    </row>
    <row r="693" spans="2:63" s="113" customFormat="1" ht="12.75" hidden="1" customHeight="1" outlineLevel="1">
      <c r="B693" s="2713" t="s">
        <v>756</v>
      </c>
      <c r="C693" s="2714"/>
      <c r="D693" s="2714"/>
      <c r="E693" s="2714"/>
      <c r="F693" s="2714"/>
      <c r="G693" s="2714"/>
      <c r="H693" s="2714"/>
      <c r="I693" s="2714"/>
      <c r="J693" s="2714"/>
      <c r="K693" s="2714"/>
      <c r="L693" s="2714"/>
      <c r="M693" s="2714"/>
      <c r="N693" s="2714"/>
      <c r="O693" s="2715"/>
      <c r="Z693" s="817"/>
      <c r="AG693" s="576"/>
      <c r="AH693" s="576"/>
      <c r="AI693" s="576"/>
      <c r="AJ693" s="576"/>
      <c r="AK693" s="576"/>
      <c r="AL693" s="576"/>
      <c r="AM693" s="576"/>
      <c r="AN693" s="576"/>
    </row>
    <row r="694" spans="2:63" s="113" customFormat="1" ht="12.75" hidden="1" customHeight="1" outlineLevel="1">
      <c r="B694" s="2704" t="s">
        <v>737</v>
      </c>
      <c r="C694" s="2705"/>
      <c r="D694" s="862" t="s">
        <v>749</v>
      </c>
      <c r="E694" s="855">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0</v>
      </c>
      <c r="F694" s="855">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694" s="855">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694" s="855">
        <v>0</v>
      </c>
      <c r="I694" s="855">
        <v>0</v>
      </c>
      <c r="J694" s="855">
        <v>0</v>
      </c>
      <c r="K694" s="855">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L694" s="864">
        <f>SUM(E694:K694)</f>
        <v>0</v>
      </c>
      <c r="M694" s="853">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N694" s="858">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O694" s="856"/>
      <c r="Z694" s="817"/>
      <c r="AG694" s="576"/>
      <c r="AH694" s="576"/>
      <c r="AI694" s="576"/>
      <c r="AJ694" s="576"/>
      <c r="AK694" s="576"/>
      <c r="AL694" s="576"/>
      <c r="AM694" s="576"/>
      <c r="AN694" s="576"/>
    </row>
    <row r="695" spans="2:63" s="113" customFormat="1" ht="12.75" hidden="1" customHeight="1" outlineLevel="1">
      <c r="B695" s="2704" t="s">
        <v>738</v>
      </c>
      <c r="C695" s="2705"/>
      <c r="D695" s="862" t="s">
        <v>750</v>
      </c>
      <c r="E695" s="855"/>
      <c r="F695" s="855"/>
      <c r="G695" s="855"/>
      <c r="H695" s="855"/>
      <c r="I695" s="855"/>
      <c r="J695" s="855"/>
      <c r="K695" s="855"/>
      <c r="L695" s="864"/>
      <c r="M695" s="853"/>
      <c r="N695" s="858"/>
      <c r="O695" s="856"/>
      <c r="Z695" s="817"/>
      <c r="AG695" s="576"/>
      <c r="AH695" s="576"/>
      <c r="AI695" s="576"/>
      <c r="AJ695" s="576"/>
      <c r="AK695" s="576"/>
      <c r="AL695" s="576"/>
      <c r="AM695" s="576"/>
      <c r="AN695" s="576"/>
    </row>
    <row r="696" spans="2:63" s="113" customFormat="1" ht="12.75" hidden="1" customHeight="1" outlineLevel="1">
      <c r="B696" s="2704" t="s">
        <v>475</v>
      </c>
      <c r="C696" s="2705"/>
      <c r="D696" s="862" t="s">
        <v>751</v>
      </c>
      <c r="E696" s="855"/>
      <c r="F696" s="855"/>
      <c r="G696" s="855"/>
      <c r="H696" s="855"/>
      <c r="I696" s="855"/>
      <c r="J696" s="855"/>
      <c r="K696" s="855"/>
      <c r="L696" s="864"/>
      <c r="M696" s="853"/>
      <c r="N696" s="858"/>
      <c r="O696" s="856"/>
      <c r="Z696" s="817"/>
      <c r="AG696" s="576"/>
      <c r="AH696" s="576"/>
      <c r="AI696" s="576"/>
      <c r="AJ696" s="576"/>
      <c r="AK696" s="576"/>
      <c r="AL696" s="576"/>
      <c r="AM696" s="576"/>
      <c r="AN696" s="576"/>
    </row>
    <row r="697" spans="2:63" s="113" customFormat="1" ht="12.75" hidden="1" customHeight="1" outlineLevel="1">
      <c r="B697" s="2704" t="s">
        <v>476</v>
      </c>
      <c r="C697" s="2705"/>
      <c r="D697" s="862" t="s">
        <v>752</v>
      </c>
      <c r="E697" s="855"/>
      <c r="F697" s="855"/>
      <c r="G697" s="855"/>
      <c r="H697" s="855"/>
      <c r="I697" s="855"/>
      <c r="J697" s="855"/>
      <c r="K697" s="855"/>
      <c r="L697" s="864"/>
      <c r="M697" s="853"/>
      <c r="N697" s="858"/>
      <c r="O697" s="856"/>
      <c r="Z697" s="817"/>
      <c r="AG697" s="576"/>
      <c r="AH697" s="576"/>
      <c r="AI697" s="576"/>
      <c r="AJ697" s="576"/>
      <c r="AK697" s="576"/>
      <c r="AL697" s="576"/>
      <c r="AM697" s="576"/>
      <c r="AN697" s="576"/>
    </row>
    <row r="698" spans="2:63" s="113" customFormat="1" ht="12.75" hidden="1" customHeight="1" outlineLevel="1">
      <c r="B698" s="2704" t="s">
        <v>739</v>
      </c>
      <c r="C698" s="2705"/>
      <c r="D698" s="862" t="s">
        <v>753</v>
      </c>
      <c r="E698" s="855"/>
      <c r="F698" s="855"/>
      <c r="G698" s="855"/>
      <c r="H698" s="855"/>
      <c r="I698" s="855"/>
      <c r="J698" s="855"/>
      <c r="K698" s="855"/>
      <c r="L698" s="864"/>
      <c r="M698" s="853"/>
      <c r="N698" s="858"/>
      <c r="O698" s="856"/>
      <c r="Z698" s="817"/>
      <c r="AG698" s="576"/>
      <c r="AH698" s="576"/>
      <c r="AI698" s="576"/>
      <c r="AJ698" s="576"/>
      <c r="AK698" s="576"/>
      <c r="AL698" s="576"/>
      <c r="AM698" s="576"/>
      <c r="AN698" s="576"/>
    </row>
    <row r="699" spans="2:63" s="113" customFormat="1" ht="12.75" hidden="1" customHeight="1" outlineLevel="1">
      <c r="B699" s="2704" t="s">
        <v>740</v>
      </c>
      <c r="C699" s="2705"/>
      <c r="D699" s="862" t="s">
        <v>754</v>
      </c>
      <c r="E699" s="855"/>
      <c r="F699" s="855"/>
      <c r="G699" s="855"/>
      <c r="H699" s="855"/>
      <c r="I699" s="855"/>
      <c r="J699" s="855"/>
      <c r="K699" s="855"/>
      <c r="L699" s="864"/>
      <c r="M699" s="853"/>
      <c r="N699" s="858"/>
      <c r="O699" s="856"/>
      <c r="Z699" s="817"/>
      <c r="AG699" s="576"/>
      <c r="AH699" s="576"/>
      <c r="AI699" s="576"/>
      <c r="AJ699" s="576"/>
      <c r="AK699" s="576"/>
      <c r="AL699" s="576"/>
      <c r="AM699" s="576"/>
      <c r="AN699" s="576"/>
    </row>
    <row r="700" spans="2:63" s="113" customFormat="1" ht="12.75" hidden="1" customHeight="1" outlineLevel="1">
      <c r="B700" s="2704" t="s">
        <v>472</v>
      </c>
      <c r="C700" s="2705"/>
      <c r="D700" s="862" t="s">
        <v>755</v>
      </c>
      <c r="E700" s="855"/>
      <c r="F700" s="855"/>
      <c r="G700" s="855"/>
      <c r="H700" s="855"/>
      <c r="I700" s="855"/>
      <c r="J700" s="855"/>
      <c r="K700" s="855"/>
      <c r="L700" s="864"/>
      <c r="M700" s="853"/>
      <c r="N700" s="858"/>
      <c r="O700" s="856"/>
      <c r="Z700" s="817"/>
      <c r="AG700" s="576"/>
      <c r="AH700" s="576"/>
      <c r="AI700" s="576"/>
      <c r="AJ700" s="576"/>
      <c r="AK700" s="576"/>
      <c r="AL700" s="576"/>
      <c r="AM700" s="576"/>
      <c r="AN700" s="576"/>
    </row>
    <row r="701" spans="2:63" s="113" customFormat="1" ht="12.75" hidden="1" customHeight="1" outlineLevel="1">
      <c r="B701" s="2704" t="s">
        <v>763</v>
      </c>
      <c r="C701" s="2705"/>
      <c r="D701" s="854"/>
      <c r="E701" s="855"/>
      <c r="F701" s="855"/>
      <c r="G701" s="855"/>
      <c r="H701" s="855"/>
      <c r="I701" s="855"/>
      <c r="J701" s="855"/>
      <c r="K701" s="855"/>
      <c r="L701" s="864"/>
      <c r="M701" s="853"/>
      <c r="N701" s="858"/>
      <c r="O701" s="856"/>
      <c r="Z701" s="817"/>
      <c r="AG701" s="576"/>
      <c r="AH701" s="576"/>
      <c r="AI701" s="576"/>
      <c r="AJ701" s="576"/>
      <c r="AK701" s="576"/>
      <c r="AL701" s="576"/>
      <c r="AM701" s="576"/>
      <c r="AN701" s="576"/>
    </row>
    <row r="702" spans="2:63" s="113" customFormat="1" ht="12.75" hidden="1" customHeight="1" outlineLevel="1">
      <c r="B702" s="2710" t="s">
        <v>724</v>
      </c>
      <c r="C702" s="2711"/>
      <c r="D702" s="2712"/>
      <c r="E702" s="852">
        <f t="shared" ref="E702:M702" si="208">SUM(E684:E687,E688:E694,E695:E701)</f>
        <v>295739.83500000002</v>
      </c>
      <c r="F702" s="852">
        <f t="shared" si="208"/>
        <v>0</v>
      </c>
      <c r="G702" s="852">
        <f t="shared" si="208"/>
        <v>0</v>
      </c>
      <c r="H702" s="852">
        <f t="shared" si="208"/>
        <v>0</v>
      </c>
      <c r="I702" s="852">
        <f t="shared" si="208"/>
        <v>0</v>
      </c>
      <c r="J702" s="852">
        <f t="shared" si="208"/>
        <v>0</v>
      </c>
      <c r="K702" s="852">
        <f t="shared" si="208"/>
        <v>0</v>
      </c>
      <c r="L702" s="852">
        <f t="shared" si="208"/>
        <v>295739.83500000002</v>
      </c>
      <c r="M702" s="863">
        <f t="shared" ca="1" si="208"/>
        <v>0</v>
      </c>
      <c r="N702" s="859">
        <f>SQRT(SUMSQ(N684:N687,N688:N694,N695:N701))</f>
        <v>80538.449101336722</v>
      </c>
      <c r="O702" s="860">
        <f>SUM(O684:O687,O688:O694,O695:O701)</f>
        <v>0</v>
      </c>
      <c r="Z702" s="817"/>
      <c r="AG702" s="576"/>
      <c r="AH702" s="576"/>
      <c r="AI702" s="576"/>
      <c r="AJ702" s="576"/>
      <c r="AK702" s="576"/>
      <c r="AL702" s="576"/>
      <c r="AM702" s="576"/>
      <c r="AN702" s="576"/>
      <c r="BH702" s="114"/>
      <c r="BI702" s="114"/>
      <c r="BJ702" s="114"/>
      <c r="BK702" s="114"/>
    </row>
    <row r="703" spans="2:63" s="113" customFormat="1" ht="12" hidden="1" customHeight="1" outlineLevel="1">
      <c r="W703" s="817"/>
      <c r="AB703" s="817"/>
      <c r="AC703" s="817"/>
      <c r="AG703" s="576"/>
      <c r="AH703" s="576"/>
      <c r="AI703" s="576"/>
      <c r="AJ703" s="576"/>
      <c r="AK703" s="576"/>
    </row>
    <row r="704" spans="2:63">
      <c r="BH704" s="113"/>
      <c r="BI704" s="113"/>
      <c r="BJ704" s="113"/>
      <c r="BK704" s="113"/>
    </row>
    <row r="705" spans="2:37" s="113" customFormat="1" ht="15.75" customHeight="1" collapsed="1">
      <c r="B705" s="2716" t="s">
        <v>810</v>
      </c>
      <c r="C705" s="2717"/>
      <c r="D705" s="2717"/>
      <c r="E705" s="2717"/>
      <c r="F705" s="2717"/>
      <c r="G705" s="2717"/>
      <c r="H705" s="2717"/>
      <c r="I705" s="2717"/>
      <c r="J705" s="2717"/>
      <c r="K705" s="2717"/>
      <c r="L705" s="2717"/>
      <c r="M705" s="2717"/>
      <c r="N705" s="2717"/>
      <c r="O705" s="2718"/>
      <c r="W705" s="817"/>
      <c r="AB705" s="817"/>
      <c r="AC705" s="817"/>
      <c r="AG705" s="576"/>
      <c r="AH705" s="576"/>
      <c r="AI705" s="576"/>
      <c r="AJ705" s="576"/>
      <c r="AK705" s="576"/>
    </row>
    <row r="706" spans="2:37" s="113" customFormat="1" ht="11.4" hidden="1" outlineLevel="1">
      <c r="Q706" s="908"/>
      <c r="R706" s="908"/>
      <c r="W706" s="817"/>
      <c r="AB706" s="817"/>
      <c r="AC706" s="817"/>
      <c r="AG706" s="576"/>
      <c r="AH706" s="576"/>
      <c r="AI706" s="576"/>
      <c r="AJ706" s="576"/>
      <c r="AK706" s="576"/>
    </row>
    <row r="707" spans="2:37" s="113" customFormat="1" ht="38.25" hidden="1" customHeight="1" outlineLevel="1">
      <c r="B707" s="205"/>
      <c r="C707" s="205"/>
      <c r="D707" s="205"/>
      <c r="E707" s="2719" t="s">
        <v>448</v>
      </c>
      <c r="F707" s="2720"/>
      <c r="G707" s="2720"/>
      <c r="H707" s="2720"/>
      <c r="I707" s="2720"/>
      <c r="J707" s="2720"/>
      <c r="K707" s="2720"/>
      <c r="L707" s="2720"/>
      <c r="M707" s="2721"/>
      <c r="N707" s="971" t="s">
        <v>811</v>
      </c>
      <c r="O707" s="968" t="s">
        <v>440</v>
      </c>
      <c r="Q707" s="908"/>
      <c r="R707" s="908"/>
      <c r="W707" s="817"/>
      <c r="AB707" s="817"/>
      <c r="AC707" s="817"/>
      <c r="AG707" s="576"/>
      <c r="AH707" s="576"/>
      <c r="AI707" s="576"/>
      <c r="AJ707" s="576"/>
      <c r="AK707" s="576"/>
    </row>
    <row r="708" spans="2:37" s="113" customFormat="1" ht="38.25" hidden="1" customHeight="1" outlineLevel="1">
      <c r="B708" s="2719" t="s">
        <v>438</v>
      </c>
      <c r="C708" s="2721"/>
      <c r="D708" s="970" t="s">
        <v>458</v>
      </c>
      <c r="E708" s="969" t="s">
        <v>853</v>
      </c>
      <c r="F708" s="969" t="s">
        <v>854</v>
      </c>
      <c r="G708" s="969" t="s">
        <v>855</v>
      </c>
      <c r="H708" s="969" t="s">
        <v>861</v>
      </c>
      <c r="I708" s="969" t="s">
        <v>852</v>
      </c>
      <c r="J708" s="970" t="s">
        <v>513</v>
      </c>
      <c r="K708" s="969" t="s">
        <v>862</v>
      </c>
      <c r="L708" s="969" t="s">
        <v>863</v>
      </c>
      <c r="M708" s="969" t="s">
        <v>514</v>
      </c>
      <c r="N708" s="972" t="s">
        <v>856</v>
      </c>
      <c r="O708" s="974" t="s">
        <v>513</v>
      </c>
      <c r="Q708" s="908"/>
      <c r="R708" s="908"/>
      <c r="W708" s="817"/>
      <c r="AB708" s="817"/>
      <c r="AC708" s="817"/>
      <c r="AG708" s="576"/>
      <c r="AH708" s="576"/>
      <c r="AI708" s="576"/>
      <c r="AJ708" s="576"/>
      <c r="AK708" s="576"/>
    </row>
    <row r="709" spans="2:37" s="113" customFormat="1" ht="12.75" hidden="1" customHeight="1" outlineLevel="1">
      <c r="B709" s="2722" t="s">
        <v>459</v>
      </c>
      <c r="C709" s="2723"/>
      <c r="D709" s="973">
        <v>1</v>
      </c>
      <c r="E709" s="980"/>
      <c r="F709" s="980"/>
      <c r="G709" s="980"/>
      <c r="H709" s="980"/>
      <c r="I709" s="980"/>
      <c r="J709" s="981"/>
      <c r="K709" s="982"/>
      <c r="L709" s="982"/>
      <c r="M709" s="983"/>
      <c r="N709" s="984"/>
      <c r="O709" s="2724" t="s">
        <v>817</v>
      </c>
      <c r="Q709" s="908"/>
      <c r="R709" s="908"/>
      <c r="W709" s="817"/>
      <c r="AB709" s="817"/>
      <c r="AC709" s="817"/>
      <c r="AG709" s="576"/>
      <c r="AH709" s="576"/>
      <c r="AI709" s="576"/>
      <c r="AJ709" s="576"/>
      <c r="AK709" s="576"/>
    </row>
    <row r="710" spans="2:37" s="113" customFormat="1" ht="12.75" hidden="1" customHeight="1" outlineLevel="1">
      <c r="B710" s="2722" t="s">
        <v>722</v>
      </c>
      <c r="C710" s="2723"/>
      <c r="D710" s="973">
        <v>2</v>
      </c>
      <c r="E710" s="980">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710" s="980">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710" s="980">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710" s="980">
        <v>0</v>
      </c>
      <c r="I710" s="980">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J710" s="981">
        <f>SUM(E710:I710)</f>
        <v>0</v>
      </c>
      <c r="K710" s="982">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L710" s="982">
        <v>0</v>
      </c>
      <c r="M710" s="983">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N710" s="984"/>
      <c r="O710" s="2725"/>
      <c r="Q710" s="908"/>
      <c r="R710" s="908"/>
      <c r="W710" s="817"/>
      <c r="AB710" s="817"/>
      <c r="AC710" s="817"/>
      <c r="AG710" s="576"/>
      <c r="AH710" s="576"/>
      <c r="AI710" s="576"/>
      <c r="AJ710" s="576"/>
      <c r="AK710" s="576"/>
    </row>
    <row r="711" spans="2:37" s="113" customFormat="1" ht="12.75" hidden="1" customHeight="1" outlineLevel="1">
      <c r="B711" s="2722" t="s">
        <v>723</v>
      </c>
      <c r="C711" s="2723"/>
      <c r="D711" s="973">
        <v>3</v>
      </c>
      <c r="E711" s="980"/>
      <c r="F711" s="980"/>
      <c r="G711" s="980"/>
      <c r="H711" s="980"/>
      <c r="I711" s="980"/>
      <c r="J711" s="981"/>
      <c r="K711" s="982"/>
      <c r="L711" s="982"/>
      <c r="M711" s="983"/>
      <c r="N711" s="984"/>
      <c r="O711" s="2725"/>
      <c r="Q711" s="908"/>
      <c r="R711" s="908"/>
      <c r="W711" s="817"/>
      <c r="AB711" s="817"/>
      <c r="AC711" s="817"/>
      <c r="AG711" s="576"/>
      <c r="AH711" s="576"/>
      <c r="AI711" s="576"/>
      <c r="AJ711" s="576"/>
      <c r="AK711" s="576"/>
    </row>
    <row r="712" spans="2:37" s="113" customFormat="1" ht="12.75" hidden="1" customHeight="1" outlineLevel="1">
      <c r="B712" s="2722" t="s">
        <v>462</v>
      </c>
      <c r="C712" s="2723"/>
      <c r="D712" s="973">
        <v>4</v>
      </c>
      <c r="E712" s="980"/>
      <c r="F712" s="980"/>
      <c r="G712" s="980"/>
      <c r="H712" s="980"/>
      <c r="I712" s="980"/>
      <c r="J712" s="981"/>
      <c r="K712" s="982"/>
      <c r="L712" s="982"/>
      <c r="M712" s="983"/>
      <c r="N712" s="984"/>
      <c r="O712" s="2725"/>
      <c r="Q712" s="908"/>
      <c r="R712" s="908"/>
      <c r="W712" s="817"/>
      <c r="AB712" s="817"/>
      <c r="AC712" s="817"/>
      <c r="AG712" s="576"/>
      <c r="AH712" s="576"/>
      <c r="AI712" s="576"/>
      <c r="AJ712" s="576"/>
      <c r="AK712" s="576"/>
    </row>
    <row r="713" spans="2:37" s="113" customFormat="1" ht="12.75" hidden="1" customHeight="1" outlineLevel="1">
      <c r="B713" s="2722" t="s">
        <v>812</v>
      </c>
      <c r="C713" s="2723"/>
      <c r="D713" s="973">
        <v>5</v>
      </c>
      <c r="E713" s="980"/>
      <c r="F713" s="980"/>
      <c r="G713" s="980"/>
      <c r="H713" s="980"/>
      <c r="I713" s="980"/>
      <c r="J713" s="981"/>
      <c r="K713" s="982"/>
      <c r="L713" s="982"/>
      <c r="M713" s="983"/>
      <c r="N713" s="985"/>
      <c r="O713" s="2725"/>
      <c r="Q713" s="908"/>
      <c r="R713" s="908"/>
      <c r="W713" s="817"/>
      <c r="AB713" s="817"/>
      <c r="AC713" s="817"/>
      <c r="AG713" s="576"/>
      <c r="AH713" s="576"/>
      <c r="AI713" s="576"/>
      <c r="AJ713" s="576"/>
      <c r="AK713" s="576"/>
    </row>
    <row r="714" spans="2:37" s="113" customFormat="1" ht="12.75" hidden="1" customHeight="1" outlineLevel="1">
      <c r="B714" s="2727" t="s">
        <v>726</v>
      </c>
      <c r="C714" s="2728"/>
      <c r="D714" s="2729"/>
      <c r="E714" s="986">
        <f>SUM(E709:E713)</f>
        <v>0</v>
      </c>
      <c r="F714" s="986">
        <f t="shared" ref="F714:N714" si="209">SUM(F709:F713)</f>
        <v>0</v>
      </c>
      <c r="G714" s="986">
        <f t="shared" si="209"/>
        <v>0</v>
      </c>
      <c r="H714" s="986">
        <f t="shared" si="209"/>
        <v>0</v>
      </c>
      <c r="I714" s="986">
        <f t="shared" si="209"/>
        <v>0</v>
      </c>
      <c r="J714" s="986">
        <f t="shared" si="209"/>
        <v>0</v>
      </c>
      <c r="K714" s="987">
        <f t="shared" si="209"/>
        <v>0</v>
      </c>
      <c r="L714" s="987">
        <f t="shared" si="209"/>
        <v>0</v>
      </c>
      <c r="M714" s="988">
        <f>SQRT(SUMSQ(M709:M713))</f>
        <v>0</v>
      </c>
      <c r="N714" s="989">
        <f t="shared" si="209"/>
        <v>0</v>
      </c>
      <c r="O714" s="2726"/>
      <c r="Q714" s="908"/>
      <c r="R714" s="908"/>
      <c r="W714" s="817"/>
      <c r="AB714" s="817"/>
      <c r="AC714" s="817"/>
      <c r="AG714" s="576"/>
      <c r="AH714" s="576"/>
      <c r="AI714" s="576"/>
      <c r="AJ714" s="576"/>
      <c r="AK714" s="576"/>
    </row>
    <row r="715" spans="2:37" s="113" customFormat="1" ht="12.75" hidden="1" customHeight="1" outlineLevel="1">
      <c r="B715" s="2722" t="s">
        <v>464</v>
      </c>
      <c r="C715" s="2723"/>
      <c r="D715" s="973">
        <v>6</v>
      </c>
      <c r="E715" s="980">
        <f>AH89+AH273+AH456</f>
        <v>0</v>
      </c>
      <c r="F715" s="980">
        <f>AK89+AK273+AK456</f>
        <v>0</v>
      </c>
      <c r="G715" s="980">
        <f>AN89+AN273+AN456</f>
        <v>0</v>
      </c>
      <c r="H715" s="980">
        <v>0</v>
      </c>
      <c r="I715" s="980">
        <f>AQ89+AQ273+AQ456</f>
        <v>0</v>
      </c>
      <c r="J715" s="981">
        <f>SUM(E715:I715)</f>
        <v>0</v>
      </c>
      <c r="K715" s="982">
        <f>AW89+AW273+AW456</f>
        <v>0</v>
      </c>
      <c r="L715" s="982">
        <v>0</v>
      </c>
      <c r="M715" s="983">
        <f>SQRT(AE89^2+AE273^2+AE456^2)</f>
        <v>0</v>
      </c>
      <c r="N715" s="984"/>
      <c r="O715" s="990"/>
      <c r="Q715" s="908"/>
      <c r="R715" s="908"/>
      <c r="W715" s="817"/>
      <c r="AB715" s="817"/>
      <c r="AC715" s="817"/>
      <c r="AG715" s="576"/>
      <c r="AH715" s="576"/>
      <c r="AI715" s="576"/>
      <c r="AJ715" s="576"/>
      <c r="AK715" s="576"/>
    </row>
    <row r="716" spans="2:37" s="113" customFormat="1" ht="12.75" hidden="1" customHeight="1" outlineLevel="1">
      <c r="B716" s="2722" t="s">
        <v>813</v>
      </c>
      <c r="C716" s="2723"/>
      <c r="D716" s="973">
        <v>7</v>
      </c>
      <c r="E716" s="980"/>
      <c r="F716" s="980"/>
      <c r="G716" s="980"/>
      <c r="H716" s="980"/>
      <c r="I716" s="980"/>
      <c r="J716" s="981"/>
      <c r="K716" s="982"/>
      <c r="L716" s="982"/>
      <c r="M716" s="983"/>
      <c r="N716" s="984"/>
      <c r="O716" s="984"/>
      <c r="Q716" s="908"/>
      <c r="R716" s="908"/>
      <c r="W716" s="817"/>
      <c r="AB716" s="817"/>
      <c r="AC716" s="817"/>
      <c r="AG716" s="576"/>
      <c r="AH716" s="576"/>
      <c r="AI716" s="576"/>
      <c r="AJ716" s="576"/>
      <c r="AK716" s="576"/>
    </row>
    <row r="717" spans="2:37" s="113" customFormat="1" ht="12.75" hidden="1" customHeight="1" outlineLevel="1">
      <c r="B717" s="2727" t="s">
        <v>725</v>
      </c>
      <c r="C717" s="2728"/>
      <c r="D717" s="2729"/>
      <c r="E717" s="986">
        <f>SUM(E715:E716)</f>
        <v>0</v>
      </c>
      <c r="F717" s="986">
        <f t="shared" ref="F717:O717" si="210">SUM(F715:F716)</f>
        <v>0</v>
      </c>
      <c r="G717" s="986">
        <f t="shared" si="210"/>
        <v>0</v>
      </c>
      <c r="H717" s="986">
        <f t="shared" si="210"/>
        <v>0</v>
      </c>
      <c r="I717" s="986">
        <f t="shared" si="210"/>
        <v>0</v>
      </c>
      <c r="J717" s="986">
        <f t="shared" si="210"/>
        <v>0</v>
      </c>
      <c r="K717" s="987">
        <f t="shared" si="210"/>
        <v>0</v>
      </c>
      <c r="L717" s="987">
        <f t="shared" si="210"/>
        <v>0</v>
      </c>
      <c r="M717" s="988">
        <f>SQRT(SUMSQ(M715:M716))</f>
        <v>0</v>
      </c>
      <c r="N717" s="989">
        <f t="shared" si="210"/>
        <v>0</v>
      </c>
      <c r="O717" s="989">
        <f t="shared" si="210"/>
        <v>0</v>
      </c>
      <c r="Q717" s="908"/>
      <c r="R717" s="908"/>
      <c r="W717" s="817"/>
      <c r="AB717" s="817"/>
      <c r="AC717" s="817"/>
      <c r="AG717" s="576"/>
      <c r="AH717" s="576"/>
      <c r="AI717" s="576"/>
      <c r="AJ717" s="576"/>
      <c r="AK717" s="576"/>
    </row>
    <row r="718" spans="2:37" s="113" customFormat="1" ht="12.75" hidden="1" customHeight="1" outlineLevel="1">
      <c r="B718" s="2722" t="s">
        <v>466</v>
      </c>
      <c r="C718" s="2723"/>
      <c r="D718" s="973">
        <v>8</v>
      </c>
      <c r="E718" s="980">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718" s="980">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718" s="980">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718" s="980">
        <v>0</v>
      </c>
      <c r="I718" s="980">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J718" s="981">
        <f>SUM(E718:I718)</f>
        <v>0</v>
      </c>
      <c r="K718" s="982">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L718" s="982">
        <v>0</v>
      </c>
      <c r="M718" s="983" cm="1">
        <f t="array" ref="M718">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N718" s="984"/>
      <c r="O718" s="984"/>
      <c r="Q718" s="908"/>
      <c r="R718" s="908"/>
      <c r="W718" s="817"/>
      <c r="AB718" s="817"/>
      <c r="AC718" s="817"/>
      <c r="AG718" s="576"/>
      <c r="AH718" s="576"/>
      <c r="AI718" s="576"/>
      <c r="AJ718" s="576"/>
      <c r="AK718" s="576"/>
    </row>
    <row r="719" spans="2:37" s="113" customFormat="1" ht="12.75" hidden="1" customHeight="1" outlineLevel="1">
      <c r="B719" s="2722" t="s">
        <v>814</v>
      </c>
      <c r="C719" s="2723"/>
      <c r="D719" s="973">
        <v>9</v>
      </c>
      <c r="E719" s="980"/>
      <c r="F719" s="980"/>
      <c r="G719" s="980"/>
      <c r="H719" s="980"/>
      <c r="I719" s="980"/>
      <c r="J719" s="981"/>
      <c r="K719" s="982"/>
      <c r="L719" s="982"/>
      <c r="M719" s="983"/>
      <c r="N719" s="984"/>
      <c r="O719" s="984"/>
      <c r="Q719" s="908"/>
      <c r="R719" s="908"/>
      <c r="W719" s="817"/>
      <c r="AB719" s="817"/>
      <c r="AC719" s="817"/>
      <c r="AG719" s="576"/>
      <c r="AH719" s="576"/>
      <c r="AI719" s="576"/>
      <c r="AJ719" s="576"/>
      <c r="AK719" s="576"/>
    </row>
    <row r="720" spans="2:37" s="113" customFormat="1" ht="12.75" hidden="1" customHeight="1" outlineLevel="1">
      <c r="B720" s="2722" t="s">
        <v>734</v>
      </c>
      <c r="C720" s="2723"/>
      <c r="D720" s="973">
        <v>10</v>
      </c>
      <c r="E720" s="980">
        <f>SUMIF($F$36:$F$46,Utilitaires!$G$572,AJ36:AJ46)+SUMIF($F$219:$F$230,Utilitaires!$G$572,AJ219:AJ230)+SUMIF($F$403:$F$413,Utilitaires!$G$572,AJ403:AJ413)
+SUMIF($F$36:$F$46,Utilitaires!$G$577,AJ36:AJ46)+SUMIF($F$219:$F$230,Utilitaires!$G$577,AJ219:AJ230)+SUMIF($F$403:$F$413,Utilitaires!$G$577,AJ403:AJ413)</f>
        <v>0</v>
      </c>
      <c r="F720" s="980">
        <f>SUMIF($F$36:$F$46,Utilitaires!$G$572,AM36:AM46)+SUMIF($F$219:$F$230,Utilitaires!$G$572,AM219:AM230)+SUMIF($F$403:$F$413,Utilitaires!$G$572,AM403:AM413)
+SUMIF($F$36:$F$46,Utilitaires!$G$577,AM36:AM46)+SUMIF($F$219:$F$230,Utilitaires!$G$577,AM219:AM230)+SUMIF($F$403:$F$413,Utilitaires!$G$577,AM403:AM413)</f>
        <v>0</v>
      </c>
      <c r="G720" s="980">
        <f>SUMIF($F$36:$F$46,Utilitaires!$G$572,AP36:AP46)+SUMIF($F$219:$F$230,Utilitaires!$G$572,AP219:AP230)+SUMIF($F$403:$F$413,Utilitaires!$G$572,AP403:AP413)
+SUMIF($F$36:$F$46,Utilitaires!$G$577,AP36:AP46)+SUMIF($F$219:$F$230,Utilitaires!$G$577,AP219:AP230)+SUMIF($F$403:$F$413,Utilitaires!$G$577,AP403:AP413)</f>
        <v>0</v>
      </c>
      <c r="H720" s="980">
        <v>0</v>
      </c>
      <c r="I720" s="980">
        <f>SUMIF($F$36:$F$46,Utilitaires!$G$572,AS36:AS46)+SUMIF($F$219:$F$230,Utilitaires!$G$572,AS219:AS230)+SUMIF($F$403:$F$413,Utilitaires!$G$572,AS403:AS413)
+SUMIF($F$36:$F$46,Utilitaires!$G$577,AS36:AS46)+SUMIF($F$219:$F$230,Utilitaires!$G$577,AS219:AS230)+SUMIF($F$403:$F$413,Utilitaires!$G$577,AS403:AS413)</f>
        <v>0</v>
      </c>
      <c r="J720" s="981">
        <f>SUM(E720:I720)</f>
        <v>0</v>
      </c>
      <c r="K720" s="982">
        <f>SUMIF($F$36:$F$46,Utilitaires!$G$572,AY36:AY46)+SUMIF($F$219:$F$230,Utilitaires!$G$572,AY219:AY230)+SUMIF($F$403:$F$413,Utilitaires!$G$572,AY403:AY413)
+SUMIF($F$36:$F$46,Utilitaires!$G$577,AY36:AY46)+SUMIF($F$219:$F$230,Utilitaires!$G$577,AY219:AY230)+SUMIF($F$403:$F$413,Utilitaires!$G$577,AY403:AY413)</f>
        <v>0</v>
      </c>
      <c r="L720" s="982">
        <v>0</v>
      </c>
      <c r="M720" s="983">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N720" s="984"/>
      <c r="O720" s="984"/>
      <c r="Q720" s="908"/>
      <c r="R720" s="908"/>
      <c r="W720" s="817"/>
      <c r="AB720" s="817"/>
      <c r="AC720" s="817"/>
      <c r="AG720" s="576"/>
      <c r="AH720" s="576"/>
      <c r="AI720" s="576"/>
      <c r="AJ720" s="576"/>
      <c r="AK720" s="576"/>
    </row>
    <row r="721" spans="2:63" s="113" customFormat="1" ht="12.75" hidden="1" customHeight="1" outlineLevel="1">
      <c r="B721" s="2722" t="s">
        <v>736</v>
      </c>
      <c r="C721" s="2723"/>
      <c r="D721" s="973">
        <v>11</v>
      </c>
      <c r="E721" s="980"/>
      <c r="F721" s="980"/>
      <c r="G721" s="980"/>
      <c r="H721" s="980"/>
      <c r="I721" s="980"/>
      <c r="J721" s="981"/>
      <c r="K721" s="982"/>
      <c r="L721" s="982"/>
      <c r="M721" s="983"/>
      <c r="N721" s="984"/>
      <c r="O721" s="984"/>
      <c r="Q721" s="908"/>
      <c r="R721" s="908"/>
      <c r="W721" s="817"/>
      <c r="AB721" s="817"/>
      <c r="AC721" s="817"/>
      <c r="AG721" s="576"/>
      <c r="AH721" s="576"/>
      <c r="AI721" s="576"/>
      <c r="AJ721" s="576"/>
      <c r="AK721" s="576"/>
    </row>
    <row r="722" spans="2:63" s="113" customFormat="1" ht="12.75" hidden="1" customHeight="1" outlineLevel="1">
      <c r="B722" s="2722" t="s">
        <v>815</v>
      </c>
      <c r="C722" s="2723"/>
      <c r="D722" s="973">
        <v>12</v>
      </c>
      <c r="E722" s="980">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f>
        <v>295739.83500000002</v>
      </c>
      <c r="F722" s="980">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f>
        <v>0</v>
      </c>
      <c r="G722" s="980">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f>
        <v>0</v>
      </c>
      <c r="H722" s="980">
        <v>0</v>
      </c>
      <c r="I722" s="980">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f>
        <v>0</v>
      </c>
      <c r="J722" s="981">
        <f>SUM(E722:I722)</f>
        <v>295739.83500000002</v>
      </c>
      <c r="K722" s="982">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+SUMIF($F$74:$F$78,Utilitaires!$G$573,BD74:BD78)+SUMIF($F$235:$F$262,Utilitaires!$G$573,BD258:BD262)+SUMIF($F$418:$F$445,Utilitaires!$G$573,BD441:BD445)
+SUMIF($F$74:$F$78,Utilitaires!$G$578,BD74:BD78)+SUMIF($F$235:$F$262,Utilitaires!$G$578,BD258:BD262)+SUMIF($F$418:$F$445,Utilitaires!$G$578,BD441:BD445)</f>
        <v>0</v>
      </c>
      <c r="L722" s="982">
        <v>0</v>
      </c>
      <c r="M722" s="983">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80538.449101336722</v>
      </c>
      <c r="N722" s="984"/>
      <c r="O722" s="984"/>
      <c r="Q722" s="908"/>
      <c r="R722" s="908"/>
      <c r="W722" s="817"/>
      <c r="AB722" s="817"/>
      <c r="AC722" s="817"/>
      <c r="AG722" s="576"/>
      <c r="AH722" s="576"/>
      <c r="AI722" s="576"/>
      <c r="AJ722" s="576"/>
      <c r="AK722" s="576"/>
    </row>
    <row r="723" spans="2:63" s="113" customFormat="1" ht="12.75" hidden="1" customHeight="1" outlineLevel="1">
      <c r="B723" s="2722" t="s">
        <v>470</v>
      </c>
      <c r="C723" s="2723"/>
      <c r="D723" s="973">
        <v>13</v>
      </c>
      <c r="E723" s="980"/>
      <c r="F723" s="980"/>
      <c r="G723" s="980"/>
      <c r="H723" s="980"/>
      <c r="I723" s="980"/>
      <c r="J723" s="981"/>
      <c r="K723" s="982"/>
      <c r="L723" s="982"/>
      <c r="M723" s="983"/>
      <c r="N723" s="984"/>
      <c r="O723" s="984"/>
      <c r="Q723" s="908"/>
      <c r="R723" s="908"/>
      <c r="W723" s="817"/>
      <c r="AB723" s="817"/>
      <c r="AC723" s="817"/>
      <c r="AG723" s="576"/>
      <c r="AH723" s="576"/>
      <c r="AI723" s="576"/>
      <c r="AJ723" s="576"/>
      <c r="AK723" s="576"/>
    </row>
    <row r="724" spans="2:63" s="113" customFormat="1" ht="12.75" hidden="1" customHeight="1" outlineLevel="1">
      <c r="B724" s="2722" t="s">
        <v>471</v>
      </c>
      <c r="C724" s="2723"/>
      <c r="D724" s="973">
        <v>14</v>
      </c>
      <c r="E724" s="980"/>
      <c r="F724" s="980"/>
      <c r="G724" s="980"/>
      <c r="H724" s="980"/>
      <c r="I724" s="980"/>
      <c r="J724" s="981"/>
      <c r="K724" s="982"/>
      <c r="L724" s="982"/>
      <c r="M724" s="983"/>
      <c r="N724" s="984"/>
      <c r="O724" s="984"/>
      <c r="Q724" s="908"/>
      <c r="R724" s="908"/>
      <c r="W724" s="817"/>
      <c r="AB724" s="817"/>
      <c r="AC724" s="817"/>
      <c r="AG724" s="576"/>
      <c r="AH724" s="576"/>
      <c r="AI724" s="576"/>
      <c r="AJ724" s="576"/>
      <c r="AK724" s="576"/>
    </row>
    <row r="725" spans="2:63" s="113" customFormat="1" ht="12.75" hidden="1" customHeight="1" outlineLevel="1">
      <c r="B725" s="2722" t="s">
        <v>472</v>
      </c>
      <c r="C725" s="2723"/>
      <c r="D725" s="973">
        <v>15</v>
      </c>
      <c r="E725" s="980"/>
      <c r="F725" s="980"/>
      <c r="G725" s="980"/>
      <c r="H725" s="980"/>
      <c r="I725" s="980"/>
      <c r="J725" s="981"/>
      <c r="K725" s="982"/>
      <c r="L725" s="982"/>
      <c r="M725" s="983"/>
      <c r="N725" s="984"/>
      <c r="O725" s="984"/>
      <c r="Q725" s="908"/>
      <c r="R725" s="908"/>
      <c r="W725" s="817"/>
      <c r="AB725" s="817"/>
      <c r="AC725" s="817"/>
      <c r="AG725" s="576"/>
      <c r="AH725" s="576"/>
      <c r="AI725" s="576"/>
      <c r="AJ725" s="576"/>
      <c r="AK725" s="576"/>
    </row>
    <row r="726" spans="2:63" s="113" customFormat="1" ht="12.75" hidden="1" customHeight="1" outlineLevel="1">
      <c r="B726" s="2722" t="s">
        <v>473</v>
      </c>
      <c r="C726" s="2723"/>
      <c r="D726" s="973">
        <v>16</v>
      </c>
      <c r="E726" s="980"/>
      <c r="F726" s="980"/>
      <c r="G726" s="980"/>
      <c r="H726" s="980"/>
      <c r="I726" s="980"/>
      <c r="J726" s="981"/>
      <c r="K726" s="982"/>
      <c r="L726" s="982"/>
      <c r="M726" s="983"/>
      <c r="N726" s="984"/>
      <c r="O726" s="984"/>
      <c r="Q726" s="908"/>
      <c r="R726" s="908"/>
      <c r="W726" s="817"/>
      <c r="AB726" s="817"/>
      <c r="AC726" s="817"/>
      <c r="AG726" s="576"/>
      <c r="AH726" s="576"/>
      <c r="AI726" s="576"/>
      <c r="AJ726" s="576"/>
      <c r="AK726" s="576"/>
    </row>
    <row r="727" spans="2:63" s="113" customFormat="1" ht="12.75" hidden="1" customHeight="1" outlineLevel="1">
      <c r="B727" s="2722" t="s">
        <v>737</v>
      </c>
      <c r="C727" s="2723"/>
      <c r="D727" s="973">
        <v>17</v>
      </c>
      <c r="E727" s="980">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0</v>
      </c>
      <c r="F727" s="980">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727" s="980">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727" s="980">
        <v>0</v>
      </c>
      <c r="I727" s="980">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J727" s="981">
        <f>SUM(E727:I727)</f>
        <v>0</v>
      </c>
      <c r="K727" s="982">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L727" s="982">
        <v>0</v>
      </c>
      <c r="M727" s="983">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N727" s="984"/>
      <c r="O727" s="984"/>
      <c r="Q727" s="908"/>
      <c r="R727" s="908"/>
      <c r="W727" s="817"/>
      <c r="AB727" s="817"/>
      <c r="AC727" s="817"/>
      <c r="AG727" s="576"/>
      <c r="AH727" s="576"/>
      <c r="AI727" s="576"/>
      <c r="AJ727" s="576"/>
      <c r="AK727" s="576"/>
    </row>
    <row r="728" spans="2:63" s="113" customFormat="1" ht="12.75" hidden="1" customHeight="1" outlineLevel="1">
      <c r="B728" s="2722" t="s">
        <v>475</v>
      </c>
      <c r="C728" s="2723"/>
      <c r="D728" s="973">
        <v>18</v>
      </c>
      <c r="E728" s="980"/>
      <c r="F728" s="980"/>
      <c r="G728" s="980"/>
      <c r="H728" s="980"/>
      <c r="I728" s="980"/>
      <c r="J728" s="981"/>
      <c r="K728" s="982"/>
      <c r="L728" s="982"/>
      <c r="M728" s="983"/>
      <c r="N728" s="984"/>
      <c r="O728" s="984"/>
      <c r="Q728" s="908"/>
      <c r="R728" s="908"/>
      <c r="W728" s="817"/>
      <c r="AB728" s="817"/>
      <c r="AC728" s="817"/>
      <c r="AG728" s="576"/>
      <c r="AH728" s="576"/>
      <c r="AI728" s="576"/>
      <c r="AJ728" s="576"/>
      <c r="AK728" s="576"/>
    </row>
    <row r="729" spans="2:63" s="113" customFormat="1" ht="12.75" hidden="1" customHeight="1" outlineLevel="1">
      <c r="B729" s="2722" t="s">
        <v>476</v>
      </c>
      <c r="C729" s="2723"/>
      <c r="D729" s="973">
        <v>19</v>
      </c>
      <c r="E729" s="980"/>
      <c r="F729" s="980"/>
      <c r="G729" s="980"/>
      <c r="H729" s="980"/>
      <c r="I729" s="980"/>
      <c r="J729" s="981"/>
      <c r="K729" s="982"/>
      <c r="L729" s="982"/>
      <c r="M729" s="983"/>
      <c r="N729" s="984"/>
      <c r="O729" s="984"/>
      <c r="Q729" s="908"/>
      <c r="R729" s="908"/>
      <c r="W729" s="817"/>
      <c r="AB729" s="817"/>
      <c r="AC729" s="817"/>
      <c r="AG729" s="576"/>
      <c r="AH729" s="576"/>
      <c r="AI729" s="576"/>
      <c r="AJ729" s="576"/>
      <c r="AK729" s="576"/>
    </row>
    <row r="730" spans="2:63" s="113" customFormat="1" ht="12.75" hidden="1" customHeight="1" outlineLevel="1">
      <c r="B730" s="2722" t="s">
        <v>477</v>
      </c>
      <c r="C730" s="2723"/>
      <c r="D730" s="973">
        <v>20</v>
      </c>
      <c r="E730" s="980"/>
      <c r="F730" s="980"/>
      <c r="G730" s="980"/>
      <c r="H730" s="980"/>
      <c r="I730" s="980"/>
      <c r="J730" s="981"/>
      <c r="K730" s="982"/>
      <c r="L730" s="982"/>
      <c r="M730" s="983"/>
      <c r="N730" s="984"/>
      <c r="O730" s="984"/>
      <c r="Q730" s="908"/>
      <c r="R730" s="908"/>
      <c r="W730" s="817"/>
      <c r="AB730" s="817"/>
      <c r="AC730" s="817"/>
      <c r="AG730" s="576"/>
      <c r="AH730" s="576"/>
      <c r="AI730" s="576"/>
      <c r="AJ730" s="576"/>
      <c r="AK730" s="576"/>
    </row>
    <row r="731" spans="2:63" s="113" customFormat="1" ht="12.75" hidden="1" customHeight="1" outlineLevel="1">
      <c r="B731" s="2722" t="s">
        <v>478</v>
      </c>
      <c r="C731" s="2723"/>
      <c r="D731" s="973">
        <v>21</v>
      </c>
      <c r="E731" s="980"/>
      <c r="F731" s="980"/>
      <c r="G731" s="980"/>
      <c r="H731" s="980"/>
      <c r="I731" s="980"/>
      <c r="J731" s="981"/>
      <c r="K731" s="982"/>
      <c r="L731" s="982"/>
      <c r="M731" s="983"/>
      <c r="N731" s="984"/>
      <c r="O731" s="984"/>
      <c r="Q731" s="908"/>
      <c r="R731" s="908"/>
      <c r="W731" s="817"/>
      <c r="AB731" s="817"/>
      <c r="AC731" s="817"/>
      <c r="AG731" s="576"/>
      <c r="AH731" s="576"/>
      <c r="AI731" s="576"/>
      <c r="AJ731" s="576"/>
      <c r="AK731" s="576"/>
    </row>
    <row r="732" spans="2:63" s="113" customFormat="1" ht="12.75" hidden="1" customHeight="1" outlineLevel="1">
      <c r="B732" s="2722" t="s">
        <v>479</v>
      </c>
      <c r="C732" s="2723"/>
      <c r="D732" s="973">
        <v>22</v>
      </c>
      <c r="E732" s="980"/>
      <c r="F732" s="980"/>
      <c r="G732" s="980"/>
      <c r="H732" s="980"/>
      <c r="I732" s="980"/>
      <c r="J732" s="981"/>
      <c r="K732" s="982"/>
      <c r="L732" s="982"/>
      <c r="M732" s="983"/>
      <c r="N732" s="984"/>
      <c r="O732" s="984"/>
      <c r="Q732" s="908"/>
      <c r="R732" s="908"/>
      <c r="W732" s="817"/>
      <c r="AB732" s="817"/>
      <c r="AC732" s="817"/>
      <c r="AG732" s="576"/>
      <c r="AH732" s="576"/>
      <c r="AI732" s="576"/>
      <c r="AJ732" s="576"/>
      <c r="AK732" s="576"/>
    </row>
    <row r="733" spans="2:63" s="113" customFormat="1" ht="12.75" hidden="1" customHeight="1" outlineLevel="1">
      <c r="B733" s="2722" t="s">
        <v>449</v>
      </c>
      <c r="C733" s="2723"/>
      <c r="D733" s="973">
        <v>23</v>
      </c>
      <c r="E733" s="980"/>
      <c r="F733" s="980"/>
      <c r="G733" s="980"/>
      <c r="H733" s="980"/>
      <c r="I733" s="980"/>
      <c r="J733" s="981"/>
      <c r="K733" s="982"/>
      <c r="L733" s="982"/>
      <c r="M733" s="983"/>
      <c r="N733" s="984"/>
      <c r="O733" s="984"/>
      <c r="Q733" s="908"/>
      <c r="R733" s="908"/>
      <c r="W733" s="817"/>
      <c r="AB733" s="817"/>
      <c r="AC733" s="817"/>
      <c r="AG733" s="576"/>
      <c r="AH733" s="576"/>
      <c r="AI733" s="576"/>
      <c r="AJ733" s="576"/>
      <c r="AK733" s="576"/>
    </row>
    <row r="734" spans="2:63" s="113" customFormat="1" ht="12.75" hidden="1" customHeight="1" outlineLevel="1">
      <c r="B734" s="2727" t="s">
        <v>724</v>
      </c>
      <c r="C734" s="2728"/>
      <c r="D734" s="2729"/>
      <c r="E734" s="986">
        <f t="shared" ref="E734:L734" si="211">SUM(E718:E722,E723:E727,E728:E733)</f>
        <v>295739.83500000002</v>
      </c>
      <c r="F734" s="986">
        <f t="shared" si="211"/>
        <v>0</v>
      </c>
      <c r="G734" s="986">
        <f t="shared" si="211"/>
        <v>0</v>
      </c>
      <c r="H734" s="986">
        <f t="shared" si="211"/>
        <v>0</v>
      </c>
      <c r="I734" s="986">
        <f t="shared" si="211"/>
        <v>0</v>
      </c>
      <c r="J734" s="986">
        <f t="shared" si="211"/>
        <v>295739.83500000002</v>
      </c>
      <c r="K734" s="987">
        <f t="shared" ca="1" si="211"/>
        <v>0</v>
      </c>
      <c r="L734" s="987">
        <f t="shared" si="211"/>
        <v>0</v>
      </c>
      <c r="M734" s="988">
        <f>SQRT(SUMSQ(M718:M722,M723:M727,M728:M733))</f>
        <v>80538.449101336722</v>
      </c>
      <c r="N734" s="989">
        <f>SUM(N718:N722,N723:N727,N728:N733)</f>
        <v>0</v>
      </c>
      <c r="O734" s="989">
        <f>SUM(O718:O722,O723:O727,O728:O733)</f>
        <v>0</v>
      </c>
      <c r="Q734" s="908"/>
      <c r="R734" s="908"/>
      <c r="W734" s="817"/>
      <c r="AB734" s="817"/>
      <c r="AC734" s="817"/>
      <c r="AG734" s="576"/>
      <c r="AH734" s="576"/>
      <c r="AI734" s="576"/>
      <c r="AJ734" s="576"/>
      <c r="AK734" s="576"/>
      <c r="BH734" s="114"/>
      <c r="BI734" s="114"/>
      <c r="BJ734" s="114"/>
      <c r="BK734" s="114"/>
    </row>
    <row r="735" spans="2:63" s="113" customFormat="1" hidden="1" outlineLevel="1">
      <c r="Q735" s="908"/>
      <c r="R735" s="908"/>
      <c r="W735" s="817"/>
      <c r="AB735" s="817"/>
      <c r="AC735" s="817"/>
      <c r="AG735" s="576"/>
      <c r="AH735" s="576"/>
      <c r="AI735" s="576"/>
      <c r="AJ735" s="576"/>
      <c r="AK735" s="576"/>
      <c r="BH735" s="114"/>
      <c r="BI735" s="114"/>
      <c r="BJ735" s="114"/>
      <c r="BK735" s="114"/>
    </row>
    <row r="736" spans="2:63" collapsed="1"/>
    <row r="737" spans="1:40" s="418" customFormat="1" ht="15.75" customHeight="1" collapsed="1">
      <c r="A737" s="113"/>
      <c r="B737" s="2730" t="s">
        <v>2443</v>
      </c>
      <c r="C737" s="2731"/>
      <c r="D737" s="2731"/>
      <c r="E737" s="2731"/>
      <c r="F737" s="2731"/>
      <c r="G737" s="2731"/>
      <c r="H737" s="2731"/>
      <c r="I737" s="2731"/>
      <c r="J737" s="2731"/>
      <c r="K737" s="2731"/>
      <c r="L737" s="2731"/>
      <c r="M737" s="2731"/>
      <c r="N737" s="2731"/>
      <c r="O737" s="2732"/>
      <c r="P737" s="113"/>
      <c r="Q737" s="113"/>
      <c r="R737" s="113"/>
      <c r="S737" s="113"/>
      <c r="T737" s="113"/>
      <c r="U737" s="113"/>
      <c r="V737" s="113"/>
      <c r="W737" s="113"/>
    </row>
    <row r="738" spans="1:40" s="418" customFormat="1" ht="11.4" hidden="1" outlineLevel="1">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row>
    <row r="739" spans="1:40" s="418" customFormat="1" ht="11.4" hidden="1" outlineLevel="1">
      <c r="A739" s="113"/>
      <c r="B739" s="113" t="s">
        <v>2549</v>
      </c>
      <c r="C739" s="113"/>
      <c r="D739" s="113"/>
      <c r="E739" s="113"/>
      <c r="F739" s="113"/>
      <c r="G739" s="113"/>
      <c r="H739" s="113"/>
      <c r="I739" s="113"/>
      <c r="J739" s="113"/>
      <c r="K739" s="113"/>
      <c r="L739" s="113"/>
      <c r="M739" s="113"/>
      <c r="N739" s="113"/>
      <c r="O739" s="113"/>
      <c r="P739" s="113"/>
      <c r="Q739" s="113"/>
      <c r="R739" s="113"/>
      <c r="S739" s="113"/>
      <c r="T739" s="113"/>
      <c r="U739" s="113"/>
      <c r="V739" s="113"/>
      <c r="W739" s="113"/>
    </row>
    <row r="740" spans="1:40" s="418" customFormat="1" ht="11.4" hidden="1" outlineLevel="1">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row>
    <row r="741" spans="1:40" s="418" customFormat="1" ht="11.4" hidden="1" outlineLevel="1">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row>
    <row r="742" spans="1:40" s="418" customFormat="1" ht="11.4" hidden="1" outlineLevel="1">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row>
    <row r="743" spans="1:40" s="418" customFormat="1" ht="11.4" hidden="1" outlineLevel="1">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row>
    <row r="744" spans="1:40" s="418" customFormat="1" ht="11.4" hidden="1" outlineLevel="1">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row>
    <row r="745" spans="1:40" s="418" customFormat="1" ht="11.4" hidden="1" outlineLevel="1">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row>
    <row r="746" spans="1:40" s="418" customFormat="1" ht="11.4">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row>
    <row r="747" spans="1:40" s="418" customFormat="1" ht="15.6" collapsed="1">
      <c r="A747" s="113"/>
      <c r="B747" s="2733" t="s">
        <v>2554</v>
      </c>
      <c r="C747" s="2734"/>
      <c r="D747" s="2734"/>
      <c r="E747" s="2734"/>
      <c r="F747" s="2734"/>
      <c r="G747" s="2734"/>
      <c r="H747" s="2734"/>
      <c r="I747" s="2734"/>
      <c r="J747" s="2734"/>
      <c r="K747" s="2734"/>
      <c r="L747" s="2734"/>
      <c r="M747" s="2734"/>
      <c r="N747" s="2734"/>
      <c r="O747" s="2735"/>
      <c r="P747" s="113"/>
      <c r="Q747" s="113"/>
      <c r="R747" s="113"/>
      <c r="S747" s="113"/>
      <c r="T747" s="113"/>
      <c r="U747" s="113"/>
      <c r="V747" s="113"/>
      <c r="W747" s="113"/>
    </row>
    <row r="748" spans="1:40" s="418" customFormat="1" ht="11.4" hidden="1" outlineLevel="1">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row>
    <row r="749" spans="1:40" s="113" customFormat="1" ht="38.25" hidden="1" customHeight="1" outlineLevel="1">
      <c r="B749" s="205"/>
      <c r="C749" s="205"/>
      <c r="D749" s="205"/>
      <c r="E749" s="2736" t="s">
        <v>448</v>
      </c>
      <c r="F749" s="2737"/>
      <c r="G749" s="2737"/>
      <c r="H749" s="2737"/>
      <c r="I749" s="2737"/>
      <c r="J749" s="2737"/>
      <c r="K749" s="2737"/>
      <c r="L749" s="2737"/>
      <c r="M749" s="2738"/>
      <c r="N749" s="1794" t="s">
        <v>811</v>
      </c>
      <c r="O749" s="1795" t="s">
        <v>440</v>
      </c>
      <c r="Q749" s="908"/>
      <c r="R749" s="908"/>
      <c r="W749" s="817"/>
      <c r="AB749" s="576"/>
      <c r="AC749" s="576"/>
      <c r="AD749" s="576"/>
      <c r="AE749" s="576"/>
      <c r="AF749" s="576"/>
      <c r="AG749" s="576"/>
      <c r="AH749" s="576"/>
      <c r="AI749" s="576"/>
      <c r="AJ749" s="576"/>
      <c r="AK749" s="576"/>
      <c r="AL749" s="576"/>
      <c r="AM749" s="576"/>
      <c r="AN749" s="576"/>
    </row>
    <row r="750" spans="1:40" s="113" customFormat="1" ht="38.25" hidden="1" customHeight="1" outlineLevel="1">
      <c r="B750" s="2736" t="s">
        <v>438</v>
      </c>
      <c r="C750" s="2738"/>
      <c r="D750" s="1795" t="s">
        <v>2510</v>
      </c>
      <c r="E750" s="1796" t="s">
        <v>853</v>
      </c>
      <c r="F750" s="1796" t="s">
        <v>854</v>
      </c>
      <c r="G750" s="1796" t="s">
        <v>855</v>
      </c>
      <c r="H750" s="1796" t="s">
        <v>861</v>
      </c>
      <c r="I750" s="1796" t="s">
        <v>852</v>
      </c>
      <c r="J750" s="1797" t="s">
        <v>513</v>
      </c>
      <c r="K750" s="1796" t="s">
        <v>862</v>
      </c>
      <c r="L750" s="1796" t="s">
        <v>863</v>
      </c>
      <c r="M750" s="1796" t="s">
        <v>514</v>
      </c>
      <c r="N750" s="1798" t="s">
        <v>856</v>
      </c>
      <c r="O750" s="1799" t="s">
        <v>513</v>
      </c>
      <c r="Q750" s="908"/>
      <c r="R750" s="908"/>
      <c r="W750" s="817"/>
      <c r="AB750" s="576"/>
      <c r="AC750" s="576"/>
      <c r="AD750" s="576"/>
      <c r="AE750" s="576"/>
      <c r="AF750" s="576"/>
      <c r="AG750" s="576"/>
      <c r="AH750" s="576"/>
      <c r="AI750" s="576"/>
      <c r="AJ750" s="576"/>
      <c r="AK750" s="576"/>
      <c r="AL750" s="576"/>
      <c r="AM750" s="576"/>
      <c r="AN750" s="576"/>
    </row>
    <row r="751" spans="1:40" s="113" customFormat="1" ht="12.75" hidden="1" customHeight="1" outlineLevel="1">
      <c r="B751" s="2722" t="s">
        <v>2481</v>
      </c>
      <c r="C751" s="2723"/>
      <c r="D751" s="973" t="s">
        <v>2503</v>
      </c>
      <c r="E751" s="980">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751" s="980">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751" s="980">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751" s="980">
        <v>0</v>
      </c>
      <c r="I751" s="980">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J751" s="981">
        <f>SUM(E751:I751)</f>
        <v>0</v>
      </c>
      <c r="K751" s="982">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L751" s="982">
        <v>0</v>
      </c>
      <c r="M751" s="983">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N751" s="984"/>
      <c r="O751" s="1886" t="s">
        <v>817</v>
      </c>
      <c r="Q751" s="908"/>
      <c r="R751" s="908"/>
      <c r="W751" s="817"/>
      <c r="AB751" s="576"/>
      <c r="AC751" s="576"/>
      <c r="AD751" s="576"/>
      <c r="AE751" s="576"/>
      <c r="AF751" s="576"/>
      <c r="AG751" s="576"/>
      <c r="AH751" s="576"/>
      <c r="AI751" s="576"/>
      <c r="AJ751" s="576"/>
      <c r="AK751" s="576"/>
      <c r="AL751" s="576"/>
      <c r="AM751" s="576"/>
      <c r="AN751" s="576"/>
    </row>
    <row r="752" spans="1:40" s="113" customFormat="1" ht="12.75" hidden="1" customHeight="1" outlineLevel="1">
      <c r="B752" s="2722" t="s">
        <v>2482</v>
      </c>
      <c r="C752" s="2723"/>
      <c r="D752" s="1896" t="s">
        <v>2504</v>
      </c>
      <c r="E752" s="980">
        <f>AH89+AH273+AH456</f>
        <v>0</v>
      </c>
      <c r="F752" s="980">
        <f>AK89+AK273+AK456</f>
        <v>0</v>
      </c>
      <c r="G752" s="980">
        <f>AN89+AN273+AN456</f>
        <v>0</v>
      </c>
      <c r="H752" s="980">
        <v>0</v>
      </c>
      <c r="I752" s="980">
        <f>AQ89+AQ273+AQ456</f>
        <v>0</v>
      </c>
      <c r="J752" s="981">
        <f>SUM(E752:I752)</f>
        <v>0</v>
      </c>
      <c r="K752" s="982">
        <f>AW89+AW273+AW456</f>
        <v>0</v>
      </c>
      <c r="L752" s="982">
        <v>0</v>
      </c>
      <c r="M752" s="983">
        <f>SQRT(AE89^2+AE273^2+AE456^2)</f>
        <v>0</v>
      </c>
      <c r="N752" s="984"/>
      <c r="O752" s="990"/>
      <c r="Q752" s="908"/>
      <c r="R752" s="908"/>
      <c r="W752" s="817"/>
      <c r="AB752" s="576"/>
      <c r="AC752" s="576"/>
      <c r="AD752" s="576"/>
      <c r="AE752" s="576"/>
      <c r="AF752" s="576"/>
      <c r="AG752" s="576"/>
      <c r="AH752" s="576"/>
      <c r="AI752" s="576"/>
      <c r="AJ752" s="576"/>
      <c r="AK752" s="576"/>
      <c r="AL752" s="576"/>
      <c r="AM752" s="576"/>
      <c r="AN752" s="576"/>
    </row>
    <row r="753" spans="1:40" s="113" customFormat="1" ht="12.75" hidden="1" customHeight="1" outlineLevel="1">
      <c r="B753" s="2722" t="s">
        <v>2483</v>
      </c>
      <c r="C753" s="2723"/>
      <c r="D753" s="973" t="s">
        <v>2505</v>
      </c>
      <c r="E753" s="980">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
+SUMIF($F$13:$F$78,Utilitaires!$G$574,AH13:AH78)+SUMIF($F$99:$F$262,Utilitaires!$G$574,AH99:AH262)+SUMIF($F$283:$F$445,Utilitaires!$G$574,AH283:AH445)+SUMIF($F$466:$F$555,Utilitaires!$G$574,AH466:AH555)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295739.83500000002</v>
      </c>
      <c r="F753" s="980">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
+SUMIF($F$13:$F$78,Utilitaires!$G$574,AK13:AK78)+SUMIF($F$99:$F$262,Utilitaires!$G$574,AK99:AK262)+SUMIF($F$283:$F$445,Utilitaires!$G$574,AK283:AK445)+SUMIF($F$466:$F$555,Utilitaires!$G$574,AK466:AK555)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753" s="980">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
+SUMIF($F$13:$F$78,Utilitaires!$G$574,AN13:AN78)+SUMIF($F$99:$F$262,Utilitaires!$G$574,AN99:AN262)+SUMIF($F$283:$F$445,Utilitaires!$G$574,AN283:AN445)+SUMIF($F$466:$F$555,Utilitaires!$G$574,AN466:AN555)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753" s="980">
        <v>0</v>
      </c>
      <c r="I753" s="980">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
+SUMIF($F$13:$F$78,Utilitaires!$G$574,AQ13:AQ78)+SUMIF($F$99:$F$262,Utilitaires!$G$574,AQ99:AQ262)+SUMIF($F$283:$F$445,Utilitaires!$G$574,AQ283:AQ445)+SUMIF($F$466:$F$555,Utilitaires!$G$574,AQ466:AQ555)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J753" s="981">
        <f>SUM(E753:I753)</f>
        <v>295739.83500000002</v>
      </c>
      <c r="K753" s="982">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+SUMIF($F$74:$F$78,Utilitaires!$G$573,BD74:BD78)+SUMIF($F$235:$F$262,Utilitaires!$G$573,BD258:BD262)+SUMIF($F$418:$F$445,Utilitaires!$G$573,BD441:BD445)
+SUMIF($F$74:$F$78,Utilitaires!$G$578,BD74:BD78)+SUMIF($F$235:$F$262,Utilitaires!$G$578,BD258:BD262)+SUMIF($F$418:$F$445,Utilitaires!$G$578,BD441:BD445)
+SUMIF($F$13:$F$78,Utilitaires!$G$574,AW13:AW78)+SUMIF($F$99:$F$262,Utilitaires!$G$574,AW99:AW262)+SUMIF($F$283:$F$445,Utilitaires!$G$574,AW283:AW445)+SUMIF($F$466:$F$555,Utilitaires!$G$574,AW466:AW555)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L753" s="982">
        <v>0</v>
      </c>
      <c r="M753" s="983">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
+SQRT(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80538.449101336722</v>
      </c>
      <c r="N753" s="984"/>
      <c r="O753" s="984"/>
      <c r="Q753" s="908"/>
      <c r="R753" s="908"/>
      <c r="W753" s="817"/>
      <c r="AB753" s="576"/>
      <c r="AC753" s="576"/>
      <c r="AD753" s="576"/>
      <c r="AE753" s="576"/>
      <c r="AF753" s="576"/>
      <c r="AG753" s="576"/>
      <c r="AH753" s="576"/>
      <c r="AI753" s="576"/>
      <c r="AJ753" s="576"/>
      <c r="AK753" s="576"/>
      <c r="AL753" s="576"/>
      <c r="AM753" s="576"/>
      <c r="AN753" s="576"/>
    </row>
    <row r="754" spans="1:40" s="113" customFormat="1" ht="26.25" hidden="1" customHeight="1" outlineLevel="1">
      <c r="B754" s="2739" t="s">
        <v>2485</v>
      </c>
      <c r="C754" s="2740"/>
      <c r="D754" s="1896" t="s">
        <v>2506</v>
      </c>
      <c r="E754" s="980">
        <f>SUMIF($F$36:$F$46,Utilitaires!$G$572,AJ36:AJ46)+SUMIF($F$219:$F$230,Utilitaires!$G$572,AJ219:AJ230)+SUMIF($F$403:$F$413,Utilitaires!$G$572,AJ403:AJ413)
+SUMIF($F$36:$F$46,Utilitaires!$G$577,AJ36:AJ46)+SUMIF($F$219:$F$230,Utilitaires!$G$577,AJ219:AJ230)+SUMIF($F$403:$F$413,Utilitaires!$G$577,AJ403:AJ413)</f>
        <v>0</v>
      </c>
      <c r="F754" s="980">
        <f>SUMIF($F$36:$F$46,Utilitaires!$G$572,AM36:AM46)+SUMIF($F$219:$F$230,Utilitaires!$G$572,AM219:AM230)+SUMIF($F$403:$F$413,Utilitaires!$G$572,AM403:AM413)
+SUMIF($F$36:$F$46,Utilitaires!$G$577,AM36:AM46)+SUMIF($F$219:$F$230,Utilitaires!$G$577,AM219:AM230)+SUMIF($F$403:$F$413,Utilitaires!$G$577,AM403:AM413)</f>
        <v>0</v>
      </c>
      <c r="G754" s="980">
        <f>SUMIF($F$36:$F$46,Utilitaires!$G$572,AP36:AP46)+SUMIF($F$219:$F$230,Utilitaires!$G$572,AP219:AP230)+SUMIF($F$403:$F$413,Utilitaires!$G$572,AP403:AP413)
+SUMIF($F$36:$F$46,Utilitaires!$G$577,AP36:AP46)+SUMIF($F$219:$F$230,Utilitaires!$G$577,AP219:AP230)+SUMIF($F$403:$F$413,Utilitaires!$G$577,AP403:AP413)</f>
        <v>0</v>
      </c>
      <c r="H754" s="980">
        <v>0</v>
      </c>
      <c r="I754" s="980">
        <f>SUMIF($F$36:$F$46,Utilitaires!$G$572,AS36:AS46)+SUMIF($F$219:$F$230,Utilitaires!$G$572,AS219:AS230)+SUMIF($F$403:$F$413,Utilitaires!$G$572,AS403:AS413)
+SUMIF($F$36:$F$46,Utilitaires!$G$577,AS36:AS46)+SUMIF($F$219:$F$230,Utilitaires!$G$577,AS219:AS230)+SUMIF($F$403:$F$413,Utilitaires!$G$577,AS403:AS413)</f>
        <v>0</v>
      </c>
      <c r="J754" s="981">
        <f>SUM(E754:I754)</f>
        <v>0</v>
      </c>
      <c r="K754" s="982">
        <f>SUMIF($F$36:$F$46,Utilitaires!$G$572,AY36:AY46)+SUMIF($F$219:$F$230,Utilitaires!$G$572,AY219:AY230)+SUMIF($F$403:$F$413,Utilitaires!$G$572,AY403:AY413)
+SUMIF($F$36:$F$46,Utilitaires!$G$577,AY36:AY46)+SUMIF($F$219:$F$230,Utilitaires!$G$577,AY219:AY230)+SUMIF($F$403:$F$413,Utilitaires!$G$577,AY403:AY413)</f>
        <v>0</v>
      </c>
      <c r="L754" s="982">
        <v>0</v>
      </c>
      <c r="M754" s="983">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N754" s="984"/>
      <c r="O754" s="984"/>
      <c r="Q754" s="908"/>
      <c r="R754" s="908"/>
      <c r="W754" s="817"/>
      <c r="AB754" s="576"/>
      <c r="AC754" s="576"/>
      <c r="AD754" s="576"/>
      <c r="AE754" s="576"/>
      <c r="AF754" s="576"/>
      <c r="AG754" s="576"/>
      <c r="AH754" s="576"/>
      <c r="AI754" s="576"/>
      <c r="AJ754" s="576"/>
      <c r="AK754" s="576"/>
      <c r="AL754" s="576"/>
      <c r="AM754" s="576"/>
      <c r="AN754" s="576"/>
    </row>
    <row r="755" spans="1:40" s="113" customFormat="1" ht="26.25" hidden="1" customHeight="1" outlineLevel="1">
      <c r="B755" s="2739" t="s">
        <v>2484</v>
      </c>
      <c r="C755" s="2740"/>
      <c r="D755" s="1897" t="s">
        <v>2507</v>
      </c>
      <c r="E755" s="980"/>
      <c r="F755" s="980"/>
      <c r="G755" s="980"/>
      <c r="H755" s="980"/>
      <c r="I755" s="980"/>
      <c r="J755" s="981"/>
      <c r="K755" s="982"/>
      <c r="L755" s="982"/>
      <c r="M755" s="983"/>
      <c r="N755" s="984"/>
      <c r="O755" s="984"/>
      <c r="Q755" s="908"/>
      <c r="R755" s="908"/>
      <c r="W755" s="817"/>
      <c r="AB755" s="576"/>
      <c r="AC755" s="576"/>
      <c r="AD755" s="576"/>
      <c r="AE755" s="576"/>
      <c r="AF755" s="576"/>
      <c r="AG755" s="576"/>
      <c r="AH755" s="576"/>
      <c r="AI755" s="576"/>
      <c r="AJ755" s="576"/>
      <c r="AK755" s="576"/>
      <c r="AL755" s="576"/>
      <c r="AM755" s="576"/>
      <c r="AN755" s="576"/>
    </row>
    <row r="756" spans="1:40" s="113" customFormat="1" ht="26.25" hidden="1" customHeight="1" outlineLevel="1">
      <c r="B756" s="2739" t="s">
        <v>2486</v>
      </c>
      <c r="C756" s="2740"/>
      <c r="D756" s="973" t="s">
        <v>2508</v>
      </c>
      <c r="E756" s="980"/>
      <c r="F756" s="980"/>
      <c r="G756" s="980"/>
      <c r="H756" s="980"/>
      <c r="I756" s="980"/>
      <c r="J756" s="981"/>
      <c r="K756" s="982"/>
      <c r="L756" s="982"/>
      <c r="M756" s="983"/>
      <c r="N756" s="984"/>
      <c r="O756" s="984"/>
      <c r="Q756" s="908"/>
      <c r="R756" s="908"/>
      <c r="W756" s="817"/>
      <c r="AB756" s="576"/>
      <c r="AC756" s="576"/>
      <c r="AD756" s="576"/>
      <c r="AE756" s="576"/>
      <c r="AF756" s="576"/>
      <c r="AG756" s="576"/>
      <c r="AH756" s="576"/>
      <c r="AI756" s="576"/>
      <c r="AJ756" s="576"/>
      <c r="AK756" s="576"/>
      <c r="AL756" s="576"/>
      <c r="AM756" s="576"/>
      <c r="AN756" s="576"/>
    </row>
    <row r="757" spans="1:40" s="113" customFormat="1" ht="12.75" hidden="1" customHeight="1" outlineLevel="1">
      <c r="B757" s="2722" t="s">
        <v>449</v>
      </c>
      <c r="C757" s="2723"/>
      <c r="D757" s="1898" t="s">
        <v>2509</v>
      </c>
      <c r="E757" s="980">
        <f>SUMIF($F$13:$F$555,Utilitaires!$G$572,AH13:AH555)
+SUMIF($F$13:$F$555,Utilitaires!$G$577,AH13:AH555)
+AH97+AH281+AH464</f>
        <v>0</v>
      </c>
      <c r="F757" s="980">
        <f>SUMIF($F$13:$F$555,Utilitaires!$G$572,AK13:AK555)
+SUMIF($F$13:$F$555,Utilitaires!$G$577,AK13:AK555)
+AK97+AK281+AK464</f>
        <v>0</v>
      </c>
      <c r="G757" s="980">
        <f>SUMIF($F$13:$F$555,Utilitaires!$G$572,AN13:AN555)
+SUMIF($F$13:$F$555,Utilitaires!$G$577,AN13:AN555)
+AN97+AN281+AN464</f>
        <v>0</v>
      </c>
      <c r="H757" s="980">
        <v>0</v>
      </c>
      <c r="I757" s="980">
        <f>SUMIF($F$13:$F$555,Utilitaires!$G$572,AQ13:AQ555)
+SUMIF($F$13:$F$555,Utilitaires!$G$577,AQ13:AQ555)
+AQ97+AQ281+AQ464</f>
        <v>0</v>
      </c>
      <c r="J757" s="981">
        <f>SUM(E757:I757)</f>
        <v>0</v>
      </c>
      <c r="K757" s="982">
        <f>SUMIF($F$13:$F$555,Utilitaires!$G$572,AW13:AW555)
+SUMIF($F$13:$F$555,Utilitaires!$G$577,AW13:AW555)
+AW97+AW281+AW464</f>
        <v>0</v>
      </c>
      <c r="L757" s="982">
        <v>0</v>
      </c>
      <c r="M757" s="983">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N757" s="984"/>
      <c r="O757" s="984"/>
      <c r="Q757" s="908"/>
      <c r="R757" s="908"/>
      <c r="W757" s="817"/>
      <c r="AB757" s="576"/>
      <c r="AC757" s="576"/>
      <c r="AD757" s="576"/>
      <c r="AE757" s="576"/>
      <c r="AF757" s="576"/>
      <c r="AG757" s="576"/>
      <c r="AH757" s="576"/>
      <c r="AI757" s="576"/>
      <c r="AJ757" s="576"/>
      <c r="AK757" s="576"/>
      <c r="AL757" s="576"/>
      <c r="AM757" s="576"/>
      <c r="AN757" s="576"/>
    </row>
    <row r="758" spans="1:40" s="418" customFormat="1" ht="11.4" hidden="1" outlineLevel="1">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row>
    <row r="759" spans="1:40" s="418" customFormat="1" ht="11.4">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row>
  </sheetData>
  <mergeCells count="990">
    <mergeCell ref="AQ487:AS487"/>
    <mergeCell ref="AT487:AU487"/>
    <mergeCell ref="AH427:AY427"/>
    <mergeCell ref="AH428:AS428"/>
    <mergeCell ref="AT428:AU428"/>
    <mergeCell ref="AN405:AP405"/>
    <mergeCell ref="AQ405:AS405"/>
    <mergeCell ref="AT405:AU405"/>
    <mergeCell ref="AW405:AX405"/>
    <mergeCell ref="AT451:AV451"/>
    <mergeCell ref="AH458:AY458"/>
    <mergeCell ref="AK420:AM420"/>
    <mergeCell ref="AN420:AP420"/>
    <mergeCell ref="AH418:AY418"/>
    <mergeCell ref="AQ420:AS420"/>
    <mergeCell ref="B757:C757"/>
    <mergeCell ref="B754:C754"/>
    <mergeCell ref="B755:C755"/>
    <mergeCell ref="B756:C756"/>
    <mergeCell ref="B752:C752"/>
    <mergeCell ref="B753:C753"/>
    <mergeCell ref="N7:O7"/>
    <mergeCell ref="B750:C750"/>
    <mergeCell ref="B751:C751"/>
    <mergeCell ref="B737:O737"/>
    <mergeCell ref="B747:O747"/>
    <mergeCell ref="E749:M749"/>
    <mergeCell ref="B560:O560"/>
    <mergeCell ref="B723:C723"/>
    <mergeCell ref="B677:C677"/>
    <mergeCell ref="B678:C678"/>
    <mergeCell ref="B679:D679"/>
    <mergeCell ref="B680:C680"/>
    <mergeCell ref="B705:O705"/>
    <mergeCell ref="E707:M707"/>
    <mergeCell ref="B708:C708"/>
    <mergeCell ref="B709:C709"/>
    <mergeCell ref="K487:M487"/>
    <mergeCell ref="H487:J487"/>
    <mergeCell ref="B728:C728"/>
    <mergeCell ref="B729:C729"/>
    <mergeCell ref="B730:C730"/>
    <mergeCell ref="B731:C731"/>
    <mergeCell ref="BI529:BK529"/>
    <mergeCell ref="BL529:BN529"/>
    <mergeCell ref="AH547:AY547"/>
    <mergeCell ref="AH548:AS548"/>
    <mergeCell ref="AT548:AU548"/>
    <mergeCell ref="BH548:BN548"/>
    <mergeCell ref="Y549:Z549"/>
    <mergeCell ref="AH549:AJ549"/>
    <mergeCell ref="AK549:AM549"/>
    <mergeCell ref="AN549:AP549"/>
    <mergeCell ref="AQ549:AS549"/>
    <mergeCell ref="AT549:AU549"/>
    <mergeCell ref="AW549:AX549"/>
    <mergeCell ref="BH549:BH550"/>
    <mergeCell ref="BI549:BK549"/>
    <mergeCell ref="BL549:BN549"/>
    <mergeCell ref="Y550:Z550"/>
    <mergeCell ref="AT529:AU529"/>
    <mergeCell ref="B727:C727"/>
    <mergeCell ref="B647:C647"/>
    <mergeCell ref="B734:D734"/>
    <mergeCell ref="BH538:BI538"/>
    <mergeCell ref="Y539:Z539"/>
    <mergeCell ref="AH539:AJ539"/>
    <mergeCell ref="AK539:AM539"/>
    <mergeCell ref="AN539:AP539"/>
    <mergeCell ref="AQ539:AS539"/>
    <mergeCell ref="AT539:AU539"/>
    <mergeCell ref="AW539:AX539"/>
    <mergeCell ref="BH539:BH540"/>
    <mergeCell ref="Y540:Z540"/>
    <mergeCell ref="B688:C688"/>
    <mergeCell ref="B689:C689"/>
    <mergeCell ref="B698:C698"/>
    <mergeCell ref="B696:C696"/>
    <mergeCell ref="B697:C697"/>
    <mergeCell ref="B692:C692"/>
    <mergeCell ref="O709:O714"/>
    <mergeCell ref="B710:C710"/>
    <mergeCell ref="B711:C711"/>
    <mergeCell ref="B712:C712"/>
    <mergeCell ref="B733:C733"/>
    <mergeCell ref="B732:C732"/>
    <mergeCell ref="B713:C713"/>
    <mergeCell ref="AT518:AU518"/>
    <mergeCell ref="BH518:BI518"/>
    <mergeCell ref="Y519:Z519"/>
    <mergeCell ref="AH519:AJ519"/>
    <mergeCell ref="AK519:AM519"/>
    <mergeCell ref="AN519:AP519"/>
    <mergeCell ref="AQ519:AS519"/>
    <mergeCell ref="AT519:AU519"/>
    <mergeCell ref="AW519:AX519"/>
    <mergeCell ref="BH519:BH520"/>
    <mergeCell ref="Y520:Z520"/>
    <mergeCell ref="AH517:AY517"/>
    <mergeCell ref="AH518:AS518"/>
    <mergeCell ref="AH537:AY537"/>
    <mergeCell ref="AH538:AS538"/>
    <mergeCell ref="AT538:AU538"/>
    <mergeCell ref="B720:C720"/>
    <mergeCell ref="AH527:AY527"/>
    <mergeCell ref="AH528:AS528"/>
    <mergeCell ref="AT528:AU528"/>
    <mergeCell ref="B657:C657"/>
    <mergeCell ref="B639:O639"/>
    <mergeCell ref="B643:C643"/>
    <mergeCell ref="B718:C718"/>
    <mergeCell ref="B719:C719"/>
    <mergeCell ref="B649:C649"/>
    <mergeCell ref="B684:C684"/>
    <mergeCell ref="B699:C699"/>
    <mergeCell ref="B700:C700"/>
    <mergeCell ref="B701:C701"/>
    <mergeCell ref="B702:D702"/>
    <mergeCell ref="B690:C690"/>
    <mergeCell ref="B691:C691"/>
    <mergeCell ref="B694:C694"/>
    <mergeCell ref="B687:C687"/>
    <mergeCell ref="BH528:BN528"/>
    <mergeCell ref="Y529:Z529"/>
    <mergeCell ref="AH529:AJ529"/>
    <mergeCell ref="AW529:AX529"/>
    <mergeCell ref="BH529:BH530"/>
    <mergeCell ref="X527:AF527"/>
    <mergeCell ref="AK529:AM529"/>
    <mergeCell ref="AN529:AP529"/>
    <mergeCell ref="AQ529:AS529"/>
    <mergeCell ref="BH487:BH488"/>
    <mergeCell ref="Y488:Z488"/>
    <mergeCell ref="AT486:AU486"/>
    <mergeCell ref="AH486:AS486"/>
    <mergeCell ref="AH485:AY485"/>
    <mergeCell ref="BH505:BP505"/>
    <mergeCell ref="Y506:Z506"/>
    <mergeCell ref="AH506:AJ506"/>
    <mergeCell ref="AK506:AM506"/>
    <mergeCell ref="AN506:AP506"/>
    <mergeCell ref="AQ506:AS506"/>
    <mergeCell ref="AT506:AU506"/>
    <mergeCell ref="AW506:AX506"/>
    <mergeCell ref="BH506:BH507"/>
    <mergeCell ref="BI506:BL506"/>
    <mergeCell ref="BM506:BP506"/>
    <mergeCell ref="Y507:Z507"/>
    <mergeCell ref="BH486:BK486"/>
    <mergeCell ref="AA487:AC487"/>
    <mergeCell ref="AW487:AY487"/>
    <mergeCell ref="Y487:Z487"/>
    <mergeCell ref="AH487:AJ487"/>
    <mergeCell ref="AK487:AM487"/>
    <mergeCell ref="AN487:AP487"/>
    <mergeCell ref="BH451:BJ451"/>
    <mergeCell ref="AQ468:AS468"/>
    <mergeCell ref="BH452:BH453"/>
    <mergeCell ref="BI452:BI453"/>
    <mergeCell ref="BJ452:BJ453"/>
    <mergeCell ref="AH451:AS451"/>
    <mergeCell ref="BH476:BI476"/>
    <mergeCell ref="Y477:Z477"/>
    <mergeCell ref="AH477:AJ477"/>
    <mergeCell ref="AK477:AM477"/>
    <mergeCell ref="AN477:AP477"/>
    <mergeCell ref="AQ477:AS477"/>
    <mergeCell ref="AT477:AU477"/>
    <mergeCell ref="AW477:AX477"/>
    <mergeCell ref="BH477:BH478"/>
    <mergeCell ref="Y478:Z478"/>
    <mergeCell ref="AT476:AU476"/>
    <mergeCell ref="AW452:AX452"/>
    <mergeCell ref="BH468:BK468"/>
    <mergeCell ref="AH452:AJ452"/>
    <mergeCell ref="AK452:AM452"/>
    <mergeCell ref="AN452:AP452"/>
    <mergeCell ref="AQ452:AS452"/>
    <mergeCell ref="AT452:AV452"/>
    <mergeCell ref="BH428:BI428"/>
    <mergeCell ref="Y429:Z429"/>
    <mergeCell ref="AH429:AJ429"/>
    <mergeCell ref="AK429:AM429"/>
    <mergeCell ref="AN429:AP429"/>
    <mergeCell ref="AQ429:AS429"/>
    <mergeCell ref="AT429:AU429"/>
    <mergeCell ref="AW429:AX429"/>
    <mergeCell ref="BH429:BH430"/>
    <mergeCell ref="Y430:Z430"/>
    <mergeCell ref="BL468:BO468"/>
    <mergeCell ref="BP468:BS468"/>
    <mergeCell ref="BH459:BJ459"/>
    <mergeCell ref="AH460:AJ460"/>
    <mergeCell ref="AK460:AM460"/>
    <mergeCell ref="AN460:AP460"/>
    <mergeCell ref="AQ460:AS460"/>
    <mergeCell ref="AT460:AV460"/>
    <mergeCell ref="AW460:AX460"/>
    <mergeCell ref="BH460:BH461"/>
    <mergeCell ref="BI460:BI461"/>
    <mergeCell ref="BJ460:BJ461"/>
    <mergeCell ref="AT468:AU468"/>
    <mergeCell ref="AW468:AX468"/>
    <mergeCell ref="AH467:AS467"/>
    <mergeCell ref="AT467:AU467"/>
    <mergeCell ref="AH459:AS459"/>
    <mergeCell ref="AT459:AV459"/>
    <mergeCell ref="BH439:BH440"/>
    <mergeCell ref="BH467:BS467"/>
    <mergeCell ref="AH466:AY466"/>
    <mergeCell ref="BH382:BH383"/>
    <mergeCell ref="BI382:BL382"/>
    <mergeCell ref="BM382:BP382"/>
    <mergeCell ref="Y383:Z383"/>
    <mergeCell ref="AT394:AU394"/>
    <mergeCell ref="BH419:BS419"/>
    <mergeCell ref="Y420:Z420"/>
    <mergeCell ref="AT420:AU420"/>
    <mergeCell ref="AW420:AX420"/>
    <mergeCell ref="BH420:BK420"/>
    <mergeCell ref="BL420:BO420"/>
    <mergeCell ref="BP420:BS420"/>
    <mergeCell ref="AH420:AJ420"/>
    <mergeCell ref="AH404:AS404"/>
    <mergeCell ref="AT404:AU404"/>
    <mergeCell ref="AT419:AU419"/>
    <mergeCell ref="BH404:BN404"/>
    <mergeCell ref="AH403:AY403"/>
    <mergeCell ref="Y405:Z405"/>
    <mergeCell ref="AH405:AJ405"/>
    <mergeCell ref="AK405:AM405"/>
    <mergeCell ref="BH405:BH406"/>
    <mergeCell ref="BI405:BK405"/>
    <mergeCell ref="BL405:BN405"/>
    <mergeCell ref="Y406:Z406"/>
    <mergeCell ref="X403:AF403"/>
    <mergeCell ref="BH355:BI355"/>
    <mergeCell ref="Y356:Z356"/>
    <mergeCell ref="AH356:AJ356"/>
    <mergeCell ref="AK356:AM356"/>
    <mergeCell ref="AN356:AP356"/>
    <mergeCell ref="AQ356:AS356"/>
    <mergeCell ref="BH395:BH396"/>
    <mergeCell ref="Y396:Z396"/>
    <mergeCell ref="X380:AF380"/>
    <mergeCell ref="AH380:AY380"/>
    <mergeCell ref="AH394:AS394"/>
    <mergeCell ref="AH395:AJ395"/>
    <mergeCell ref="AK395:AM395"/>
    <mergeCell ref="AN395:AP395"/>
    <mergeCell ref="AQ395:AS395"/>
    <mergeCell ref="AT395:AU395"/>
    <mergeCell ref="AH393:AY393"/>
    <mergeCell ref="X393:AE393"/>
    <mergeCell ref="X364:AF364"/>
    <mergeCell ref="BH394:BI394"/>
    <mergeCell ref="Y395:Z395"/>
    <mergeCell ref="BH381:BP381"/>
    <mergeCell ref="Y382:Z382"/>
    <mergeCell ref="AH382:AJ382"/>
    <mergeCell ref="AK382:AM382"/>
    <mergeCell ref="AN382:AP382"/>
    <mergeCell ref="AQ382:AS382"/>
    <mergeCell ref="AT382:AU382"/>
    <mergeCell ref="AW395:AX395"/>
    <mergeCell ref="AW382:AX382"/>
    <mergeCell ref="AH355:AS355"/>
    <mergeCell ref="AT355:AU355"/>
    <mergeCell ref="AH365:AS365"/>
    <mergeCell ref="BH345:BN345"/>
    <mergeCell ref="Y346:Z346"/>
    <mergeCell ref="AH346:AJ346"/>
    <mergeCell ref="AK346:AM346"/>
    <mergeCell ref="AN346:AP346"/>
    <mergeCell ref="AQ346:AS346"/>
    <mergeCell ref="AT346:AU346"/>
    <mergeCell ref="AW346:AX346"/>
    <mergeCell ref="BH346:BH347"/>
    <mergeCell ref="BI346:BK346"/>
    <mergeCell ref="BL346:BN346"/>
    <mergeCell ref="Y347:Z347"/>
    <mergeCell ref="AT365:AU365"/>
    <mergeCell ref="AH364:AY364"/>
    <mergeCell ref="Y357:Z357"/>
    <mergeCell ref="BH365:BN365"/>
    <mergeCell ref="AH366:AJ366"/>
    <mergeCell ref="AK366:AM366"/>
    <mergeCell ref="AN366:AP366"/>
    <mergeCell ref="AQ366:AS366"/>
    <mergeCell ref="AT366:AU366"/>
    <mergeCell ref="AW366:AX366"/>
    <mergeCell ref="BH366:BH367"/>
    <mergeCell ref="BI366:BK366"/>
    <mergeCell ref="BH356:BH357"/>
    <mergeCell ref="BL366:BN366"/>
    <mergeCell ref="Y367:Z367"/>
    <mergeCell ref="AH302:AY302"/>
    <mergeCell ref="AH303:AS303"/>
    <mergeCell ref="AT303:AU303"/>
    <mergeCell ref="AT268:AV268"/>
    <mergeCell ref="BH276:BJ276"/>
    <mergeCell ref="BJ269:BJ270"/>
    <mergeCell ref="BH322:BP322"/>
    <mergeCell ref="AH323:AJ323"/>
    <mergeCell ref="AN336:AP336"/>
    <mergeCell ref="AQ336:AS336"/>
    <mergeCell ref="AT336:AU336"/>
    <mergeCell ref="BH336:BH337"/>
    <mergeCell ref="BH294:BH295"/>
    <mergeCell ref="BL285:BO285"/>
    <mergeCell ref="BH323:BH324"/>
    <mergeCell ref="BI323:BL323"/>
    <mergeCell ref="BM323:BP323"/>
    <mergeCell ref="AH335:AS335"/>
    <mergeCell ref="AT335:AU335"/>
    <mergeCell ref="AH334:AY334"/>
    <mergeCell ref="BH335:BI335"/>
    <mergeCell ref="AH336:AJ336"/>
    <mergeCell ref="AK336:AM336"/>
    <mergeCell ref="Y304:Z304"/>
    <mergeCell ref="AH304:AJ304"/>
    <mergeCell ref="AK304:AM304"/>
    <mergeCell ref="AN304:AP304"/>
    <mergeCell ref="AQ304:AS304"/>
    <mergeCell ref="AT304:AU304"/>
    <mergeCell ref="AW304:AX304"/>
    <mergeCell ref="BH304:BH305"/>
    <mergeCell ref="Y305:Z305"/>
    <mergeCell ref="AW323:AX323"/>
    <mergeCell ref="Y324:Z324"/>
    <mergeCell ref="AH292:AY292"/>
    <mergeCell ref="AH293:AS293"/>
    <mergeCell ref="AT293:AU293"/>
    <mergeCell ref="BH293:BI293"/>
    <mergeCell ref="Y294:Z294"/>
    <mergeCell ref="AH294:AJ294"/>
    <mergeCell ref="AK294:AM294"/>
    <mergeCell ref="AN294:AP294"/>
    <mergeCell ref="AQ294:AS294"/>
    <mergeCell ref="AT294:AU294"/>
    <mergeCell ref="AW294:AX294"/>
    <mergeCell ref="BH269:BH270"/>
    <mergeCell ref="BI269:BI270"/>
    <mergeCell ref="AH267:AM267"/>
    <mergeCell ref="Y278:Z278"/>
    <mergeCell ref="Y269:Z269"/>
    <mergeCell ref="Y277:Z277"/>
    <mergeCell ref="AW285:AX285"/>
    <mergeCell ref="BH285:BK285"/>
    <mergeCell ref="AH277:AJ277"/>
    <mergeCell ref="AK277:AM277"/>
    <mergeCell ref="AN277:AP277"/>
    <mergeCell ref="AQ277:AS277"/>
    <mergeCell ref="AK285:AM285"/>
    <mergeCell ref="AN285:AP285"/>
    <mergeCell ref="AH285:AJ285"/>
    <mergeCell ref="AT197:AU197"/>
    <mergeCell ref="BH256:BH257"/>
    <mergeCell ref="Y257:Z257"/>
    <mergeCell ref="X254:AF254"/>
    <mergeCell ref="BH236:BS236"/>
    <mergeCell ref="Y237:Z237"/>
    <mergeCell ref="AT237:AU237"/>
    <mergeCell ref="AW237:AX237"/>
    <mergeCell ref="BH245:BI245"/>
    <mergeCell ref="AH236:AS236"/>
    <mergeCell ref="AW221:AX221"/>
    <mergeCell ref="BH221:BH222"/>
    <mergeCell ref="BI221:BK221"/>
    <mergeCell ref="BL221:BN221"/>
    <mergeCell ref="AH219:AY219"/>
    <mergeCell ref="AH246:AJ246"/>
    <mergeCell ref="BH246:BH247"/>
    <mergeCell ref="X244:AE244"/>
    <mergeCell ref="AH244:AY244"/>
    <mergeCell ref="AN198:AP198"/>
    <mergeCell ref="BH237:BK237"/>
    <mergeCell ref="BL237:BO237"/>
    <mergeCell ref="AN221:AP221"/>
    <mergeCell ref="X219:AF219"/>
    <mergeCell ref="AQ237:AS237"/>
    <mergeCell ref="AQ221:AS221"/>
    <mergeCell ref="Y222:Z222"/>
    <mergeCell ref="X209:AE209"/>
    <mergeCell ref="BH198:BH199"/>
    <mergeCell ref="BI198:BL198"/>
    <mergeCell ref="AH209:AY209"/>
    <mergeCell ref="BH220:BN220"/>
    <mergeCell ref="Y221:Z221"/>
    <mergeCell ref="AH210:AS210"/>
    <mergeCell ref="AT210:AU210"/>
    <mergeCell ref="BH210:BI210"/>
    <mergeCell ref="Y211:Z211"/>
    <mergeCell ref="AH211:AJ211"/>
    <mergeCell ref="AK211:AM211"/>
    <mergeCell ref="AT221:AU221"/>
    <mergeCell ref="AW172:AX172"/>
    <mergeCell ref="BH172:BH173"/>
    <mergeCell ref="Y183:Z183"/>
    <mergeCell ref="AH198:AJ198"/>
    <mergeCell ref="AK198:AM198"/>
    <mergeCell ref="BM198:BP198"/>
    <mergeCell ref="Y199:Z199"/>
    <mergeCell ref="BP237:BS237"/>
    <mergeCell ref="AT220:AU220"/>
    <mergeCell ref="AW198:AX198"/>
    <mergeCell ref="X235:AF235"/>
    <mergeCell ref="AN211:AP211"/>
    <mergeCell ref="AQ211:AS211"/>
    <mergeCell ref="AT211:AU211"/>
    <mergeCell ref="AW211:AX211"/>
    <mergeCell ref="BH211:BH212"/>
    <mergeCell ref="Y212:Z212"/>
    <mergeCell ref="Y198:Z198"/>
    <mergeCell ref="BH197:BP197"/>
    <mergeCell ref="X196:AF196"/>
    <mergeCell ref="AH196:AY196"/>
    <mergeCell ref="AH220:AS220"/>
    <mergeCell ref="AK221:AM221"/>
    <mergeCell ref="AN237:AP237"/>
    <mergeCell ref="AH197:AS197"/>
    <mergeCell ref="BI162:BK162"/>
    <mergeCell ref="BH161:BN161"/>
    <mergeCell ref="BL162:BN162"/>
    <mergeCell ref="AT151:AU151"/>
    <mergeCell ref="BH151:BI151"/>
    <mergeCell ref="AH152:AJ152"/>
    <mergeCell ref="AK152:AM152"/>
    <mergeCell ref="AN152:AP152"/>
    <mergeCell ref="AQ152:AS152"/>
    <mergeCell ref="AT152:AU152"/>
    <mergeCell ref="AW152:AX152"/>
    <mergeCell ref="BH152:BH153"/>
    <mergeCell ref="AH162:AJ162"/>
    <mergeCell ref="AK162:AM162"/>
    <mergeCell ref="AN162:AP162"/>
    <mergeCell ref="AQ162:AS162"/>
    <mergeCell ref="BH171:BI171"/>
    <mergeCell ref="BH162:BH163"/>
    <mergeCell ref="BH181:BN181"/>
    <mergeCell ref="BH182:BH183"/>
    <mergeCell ref="BI182:BK182"/>
    <mergeCell ref="BL182:BN182"/>
    <mergeCell ref="AH180:AY180"/>
    <mergeCell ref="AH62:AJ62"/>
    <mergeCell ref="AQ139:AS139"/>
    <mergeCell ref="AT61:AU61"/>
    <mergeCell ref="BJ93:BJ94"/>
    <mergeCell ref="AH93:AJ93"/>
    <mergeCell ref="AQ93:AS93"/>
    <mergeCell ref="BH71:BL71"/>
    <mergeCell ref="Y182:Z182"/>
    <mergeCell ref="BM139:BP139"/>
    <mergeCell ref="BH120:BH121"/>
    <mergeCell ref="AH138:AS138"/>
    <mergeCell ref="AT138:AU138"/>
    <mergeCell ref="AK172:AM172"/>
    <mergeCell ref="AN172:AP172"/>
    <mergeCell ref="AH181:AS181"/>
    <mergeCell ref="AT181:AU181"/>
    <mergeCell ref="AN182:AP182"/>
    <mergeCell ref="AQ182:AS182"/>
    <mergeCell ref="AT182:AU182"/>
    <mergeCell ref="AW182:AX182"/>
    <mergeCell ref="AT162:AU162"/>
    <mergeCell ref="AW162:AX162"/>
    <mergeCell ref="AQ172:AS172"/>
    <mergeCell ref="AT172:AU172"/>
    <mergeCell ref="BH27:BI27"/>
    <mergeCell ref="BH28:BH29"/>
    <mergeCell ref="AT28:AU28"/>
    <mergeCell ref="BH52:BS52"/>
    <mergeCell ref="AH37:AS37"/>
    <mergeCell ref="AH38:AJ38"/>
    <mergeCell ref="BH53:BK53"/>
    <mergeCell ref="AH27:AS27"/>
    <mergeCell ref="Y152:Z152"/>
    <mergeCell ref="BH139:BH140"/>
    <mergeCell ref="BI139:BL139"/>
    <mergeCell ref="Y120:Z120"/>
    <mergeCell ref="Y140:Z140"/>
    <mergeCell ref="X137:AF137"/>
    <mergeCell ref="AH137:AY137"/>
    <mergeCell ref="AH120:AJ120"/>
    <mergeCell ref="AK120:AM120"/>
    <mergeCell ref="AN120:AP120"/>
    <mergeCell ref="AQ120:AS120"/>
    <mergeCell ref="AW120:AX120"/>
    <mergeCell ref="BH138:BP138"/>
    <mergeCell ref="Y139:Z139"/>
    <mergeCell ref="X150:AE150"/>
    <mergeCell ref="AT139:AU139"/>
    <mergeCell ref="BH61:BI61"/>
    <mergeCell ref="BH62:BH63"/>
    <mergeCell ref="AW85:AX85"/>
    <mergeCell ref="AT84:AV84"/>
    <mergeCell ref="BH84:BJ84"/>
    <mergeCell ref="BH85:BH86"/>
    <mergeCell ref="BJ85:BJ86"/>
    <mergeCell ref="BM15:BP15"/>
    <mergeCell ref="Y16:Z16"/>
    <mergeCell ref="BH38:BH39"/>
    <mergeCell ref="BI38:BK38"/>
    <mergeCell ref="BL38:BN38"/>
    <mergeCell ref="Y39:Z39"/>
    <mergeCell ref="X26:AE26"/>
    <mergeCell ref="Y28:Z28"/>
    <mergeCell ref="BL53:BO53"/>
    <mergeCell ref="BP53:BS53"/>
    <mergeCell ref="AN53:AP53"/>
    <mergeCell ref="AQ53:AS53"/>
    <mergeCell ref="X36:AF36"/>
    <mergeCell ref="AT53:AU53"/>
    <mergeCell ref="AK53:AM53"/>
    <mergeCell ref="AT37:AU37"/>
    <mergeCell ref="AT38:AU38"/>
    <mergeCell ref="AH71:BA71"/>
    <mergeCell ref="AH70:BA70"/>
    <mergeCell ref="AX72:BA72"/>
    <mergeCell ref="AT72:AW72"/>
    <mergeCell ref="AP72:AS72"/>
    <mergeCell ref="AT93:AV93"/>
    <mergeCell ref="AW93:AX93"/>
    <mergeCell ref="BH119:BK119"/>
    <mergeCell ref="BI72:BL72"/>
    <mergeCell ref="BB72:BE72"/>
    <mergeCell ref="AK62:AM62"/>
    <mergeCell ref="AN62:AP62"/>
    <mergeCell ref="AH100:AS100"/>
    <mergeCell ref="AT100:AU100"/>
    <mergeCell ref="AH118:AY118"/>
    <mergeCell ref="AH119:AS119"/>
    <mergeCell ref="AW139:AX139"/>
    <mergeCell ref="AH161:AS161"/>
    <mergeCell ref="AT161:AU161"/>
    <mergeCell ref="AH91:AY91"/>
    <mergeCell ref="AT85:AV85"/>
    <mergeCell ref="AH110:AJ110"/>
    <mergeCell ref="AN110:AP110"/>
    <mergeCell ref="AH109:AS109"/>
    <mergeCell ref="AT109:AU109"/>
    <mergeCell ref="AQ110:AS110"/>
    <mergeCell ref="AT110:AU110"/>
    <mergeCell ref="AW110:AX110"/>
    <mergeCell ref="AK110:AM110"/>
    <mergeCell ref="AH108:AY108"/>
    <mergeCell ref="AH99:AY99"/>
    <mergeCell ref="AH160:AY160"/>
    <mergeCell ref="AN139:AP139"/>
    <mergeCell ref="AT92:AV92"/>
    <mergeCell ref="AK246:AM246"/>
    <mergeCell ref="AN246:AP246"/>
    <mergeCell ref="AQ246:AS246"/>
    <mergeCell ref="AW277:AX277"/>
    <mergeCell ref="AL72:AO72"/>
    <mergeCell ref="AH72:AK72"/>
    <mergeCell ref="BH100:BS100"/>
    <mergeCell ref="AH101:AJ101"/>
    <mergeCell ref="AK101:AM101"/>
    <mergeCell ref="AN101:AP101"/>
    <mergeCell ref="AQ101:AS101"/>
    <mergeCell ref="AT101:AU101"/>
    <mergeCell ref="AW101:AX101"/>
    <mergeCell ref="BH101:BK101"/>
    <mergeCell ref="BL101:BO101"/>
    <mergeCell ref="BP101:BS101"/>
    <mergeCell ref="BH72:BH73"/>
    <mergeCell ref="AH254:AZ254"/>
    <mergeCell ref="BH268:BJ268"/>
    <mergeCell ref="AH269:AJ269"/>
    <mergeCell ref="BI85:BI86"/>
    <mergeCell ref="BH109:BI109"/>
    <mergeCell ref="BH110:BH111"/>
    <mergeCell ref="AK93:AM93"/>
    <mergeCell ref="X437:AF437"/>
    <mergeCell ref="BH14:BP14"/>
    <mergeCell ref="BH37:BN37"/>
    <mergeCell ref="BH92:BJ92"/>
    <mergeCell ref="BH93:BH94"/>
    <mergeCell ref="BI93:BI94"/>
    <mergeCell ref="BH15:BH16"/>
    <mergeCell ref="BI15:BL15"/>
    <mergeCell ref="AH15:AJ15"/>
    <mergeCell ref="AK15:AM15"/>
    <mergeCell ref="AN15:AP15"/>
    <mergeCell ref="AQ15:AS15"/>
    <mergeCell ref="AH85:AJ85"/>
    <mergeCell ref="AK85:AM85"/>
    <mergeCell ref="AN85:AP85"/>
    <mergeCell ref="AQ85:AS85"/>
    <mergeCell ref="AT52:AU52"/>
    <mergeCell ref="AW38:AX38"/>
    <mergeCell ref="AT27:AU27"/>
    <mergeCell ref="AW53:AX53"/>
    <mergeCell ref="AK38:AM38"/>
    <mergeCell ref="AN38:AP38"/>
    <mergeCell ref="AQ38:AS38"/>
    <mergeCell ref="AH92:AS92"/>
    <mergeCell ref="B682:D682"/>
    <mergeCell ref="AH60:AY60"/>
    <mergeCell ref="AH61:AS61"/>
    <mergeCell ref="AH504:AY504"/>
    <mergeCell ref="S505:T505"/>
    <mergeCell ref="AH505:AS505"/>
    <mergeCell ref="AT505:AU505"/>
    <mergeCell ref="Y439:Z439"/>
    <mergeCell ref="X458:AE458"/>
    <mergeCell ref="X466:AF466"/>
    <mergeCell ref="Y469:Z469"/>
    <mergeCell ref="X475:AE475"/>
    <mergeCell ref="X485:AE485"/>
    <mergeCell ref="X504:AF504"/>
    <mergeCell ref="Y468:Z468"/>
    <mergeCell ref="AH468:AJ468"/>
    <mergeCell ref="AK468:AM468"/>
    <mergeCell ref="AN468:AP468"/>
    <mergeCell ref="Y440:Z440"/>
    <mergeCell ref="X450:AE450"/>
    <mergeCell ref="AH450:AM450"/>
    <mergeCell ref="AH475:AY475"/>
    <mergeCell ref="AH476:AS476"/>
    <mergeCell ref="Y452:Z452"/>
    <mergeCell ref="B582:C582"/>
    <mergeCell ref="B693:O693"/>
    <mergeCell ref="B695:C695"/>
    <mergeCell ref="I589:J589"/>
    <mergeCell ref="E641:K641"/>
    <mergeCell ref="B636:C636"/>
    <mergeCell ref="B724:C724"/>
    <mergeCell ref="B725:C725"/>
    <mergeCell ref="B726:C726"/>
    <mergeCell ref="B686:C686"/>
    <mergeCell ref="B683:O683"/>
    <mergeCell ref="B659:C659"/>
    <mergeCell ref="B589:D590"/>
    <mergeCell ref="B667:C667"/>
    <mergeCell ref="B714:D714"/>
    <mergeCell ref="B715:C715"/>
    <mergeCell ref="B716:C716"/>
    <mergeCell ref="B717:D717"/>
    <mergeCell ref="B721:C721"/>
    <mergeCell ref="B722:C722"/>
    <mergeCell ref="B685:C685"/>
    <mergeCell ref="B646:C646"/>
    <mergeCell ref="B676:C676"/>
    <mergeCell ref="B675:C675"/>
    <mergeCell ref="B568:C568"/>
    <mergeCell ref="B668:C668"/>
    <mergeCell ref="H404:J404"/>
    <mergeCell ref="L404:N404"/>
    <mergeCell ref="H420:I420"/>
    <mergeCell ref="B416:O416"/>
    <mergeCell ref="K506:L506"/>
    <mergeCell ref="B448:O448"/>
    <mergeCell ref="B502:O502"/>
    <mergeCell ref="B565:C565"/>
    <mergeCell ref="N506:O506"/>
    <mergeCell ref="H506:I506"/>
    <mergeCell ref="K549:L549"/>
    <mergeCell ref="H549:I549"/>
    <mergeCell ref="B587:O587"/>
    <mergeCell ref="B575:C575"/>
    <mergeCell ref="H439:K439"/>
    <mergeCell ref="L439:O439"/>
    <mergeCell ref="B574:C574"/>
    <mergeCell ref="B562:C563"/>
    <mergeCell ref="D562:F562"/>
    <mergeCell ref="B564:C564"/>
    <mergeCell ref="H562:I562"/>
    <mergeCell ref="B662:C662"/>
    <mergeCell ref="Y460:Z460"/>
    <mergeCell ref="Y461:Z461"/>
    <mergeCell ref="H468:I468"/>
    <mergeCell ref="M548:N548"/>
    <mergeCell ref="X537:AE537"/>
    <mergeCell ref="Y530:Z530"/>
    <mergeCell ref="N468:O468"/>
    <mergeCell ref="X517:AE517"/>
    <mergeCell ref="Q468:R468"/>
    <mergeCell ref="X547:AF547"/>
    <mergeCell ref="K468:L468"/>
    <mergeCell ref="Y453:Z453"/>
    <mergeCell ref="B681:C681"/>
    <mergeCell ref="B581:C581"/>
    <mergeCell ref="Q506:R506"/>
    <mergeCell ref="B664:C664"/>
    <mergeCell ref="B665:C665"/>
    <mergeCell ref="B666:C666"/>
    <mergeCell ref="B674:C674"/>
    <mergeCell ref="B658:C658"/>
    <mergeCell ref="B651:C651"/>
    <mergeCell ref="B652:C652"/>
    <mergeCell ref="B650:C650"/>
    <mergeCell ref="B644:C644"/>
    <mergeCell ref="B645:C645"/>
    <mergeCell ref="E673:N673"/>
    <mergeCell ref="B655:C655"/>
    <mergeCell ref="B576:C576"/>
    <mergeCell ref="K562:N562"/>
    <mergeCell ref="B567:C567"/>
    <mergeCell ref="B584:C584"/>
    <mergeCell ref="B660:C660"/>
    <mergeCell ref="B661:C661"/>
    <mergeCell ref="B671:O671"/>
    <mergeCell ref="B583:C583"/>
    <mergeCell ref="E589:G589"/>
    <mergeCell ref="Q323:R323"/>
    <mergeCell ref="Q420:R420"/>
    <mergeCell ref="N382:O382"/>
    <mergeCell ref="B571:C571"/>
    <mergeCell ref="B572:C572"/>
    <mergeCell ref="B580:C580"/>
    <mergeCell ref="B663:C663"/>
    <mergeCell ref="B642:C642"/>
    <mergeCell ref="B656:C656"/>
    <mergeCell ref="B648:C648"/>
    <mergeCell ref="B569:C569"/>
    <mergeCell ref="B570:C570"/>
    <mergeCell ref="B653:C653"/>
    <mergeCell ref="B654:C654"/>
    <mergeCell ref="H382:I382"/>
    <mergeCell ref="B378:O378"/>
    <mergeCell ref="B579:C579"/>
    <mergeCell ref="N420:O420"/>
    <mergeCell ref="K382:L382"/>
    <mergeCell ref="H405:J405"/>
    <mergeCell ref="O404:Q404"/>
    <mergeCell ref="B566:C566"/>
    <mergeCell ref="B573:C573"/>
    <mergeCell ref="D7:E7"/>
    <mergeCell ref="F7:G7"/>
    <mergeCell ref="B233:O233"/>
    <mergeCell ref="H7:I7"/>
    <mergeCell ref="J7:K7"/>
    <mergeCell ref="L7:M7"/>
    <mergeCell ref="B376:O376"/>
    <mergeCell ref="H366:I366"/>
    <mergeCell ref="K366:L366"/>
    <mergeCell ref="H346:I346"/>
    <mergeCell ref="K346:L346"/>
    <mergeCell ref="M365:N365"/>
    <mergeCell ref="H285:I285"/>
    <mergeCell ref="K285:L285"/>
    <mergeCell ref="N285:O285"/>
    <mergeCell ref="N323:O323"/>
    <mergeCell ref="H221:J221"/>
    <mergeCell ref="H198:I198"/>
    <mergeCell ref="O220:Q220"/>
    <mergeCell ref="Q198:R198"/>
    <mergeCell ref="Q237:R237"/>
    <mergeCell ref="Q285:R285"/>
    <mergeCell ref="L38:N38"/>
    <mergeCell ref="L221:N221"/>
    <mergeCell ref="H220:J220"/>
    <mergeCell ref="K237:L237"/>
    <mergeCell ref="N237:O237"/>
    <mergeCell ref="B319:O319"/>
    <mergeCell ref="H237:I237"/>
    <mergeCell ref="H323:I323"/>
    <mergeCell ref="S138:T138"/>
    <mergeCell ref="N139:O139"/>
    <mergeCell ref="H304:J304"/>
    <mergeCell ref="L220:N220"/>
    <mergeCell ref="S322:T322"/>
    <mergeCell ref="B265:O265"/>
    <mergeCell ref="K323:L323"/>
    <mergeCell ref="B194:O194"/>
    <mergeCell ref="H182:I182"/>
    <mergeCell ref="M181:N181"/>
    <mergeCell ref="K182:L182"/>
    <mergeCell ref="S197:T197"/>
    <mergeCell ref="H256:K256"/>
    <mergeCell ref="L256:O256"/>
    <mergeCell ref="K304:M304"/>
    <mergeCell ref="Y153:Z153"/>
    <mergeCell ref="X160:AF160"/>
    <mergeCell ref="Y162:Z162"/>
    <mergeCell ref="X180:AF180"/>
    <mergeCell ref="H53:I53"/>
    <mergeCell ref="H101:I101"/>
    <mergeCell ref="Y163:Z163"/>
    <mergeCell ref="M161:N161"/>
    <mergeCell ref="K162:L162"/>
    <mergeCell ref="K139:L139"/>
    <mergeCell ref="Y53:Z53"/>
    <mergeCell ref="Y101:Z101"/>
    <mergeCell ref="Y110:Z110"/>
    <mergeCell ref="H120:J120"/>
    <mergeCell ref="X118:AE118"/>
    <mergeCell ref="Y121:Z121"/>
    <mergeCell ref="AA120:AC120"/>
    <mergeCell ref="Y173:Z173"/>
    <mergeCell ref="Y172:Z172"/>
    <mergeCell ref="X170:AE170"/>
    <mergeCell ref="Q139:R139"/>
    <mergeCell ref="H139:I139"/>
    <mergeCell ref="AA72:AD72"/>
    <mergeCell ref="N53:O53"/>
    <mergeCell ref="B2:O2"/>
    <mergeCell ref="B11:O11"/>
    <mergeCell ref="B49:O49"/>
    <mergeCell ref="B81:O81"/>
    <mergeCell ref="B135:O135"/>
    <mergeCell ref="AH53:AJ53"/>
    <mergeCell ref="AH36:AY36"/>
    <mergeCell ref="Q15:R15"/>
    <mergeCell ref="AH83:AY83"/>
    <mergeCell ref="AH84:AS84"/>
    <mergeCell ref="AT62:AU62"/>
    <mergeCell ref="AW62:AX62"/>
    <mergeCell ref="AH52:AS52"/>
    <mergeCell ref="AH51:AY51"/>
    <mergeCell ref="AQ62:AS62"/>
    <mergeCell ref="N15:O15"/>
    <mergeCell ref="Q53:R53"/>
    <mergeCell ref="L37:N37"/>
    <mergeCell ref="O37:Q37"/>
    <mergeCell ref="Y111:Z111"/>
    <mergeCell ref="X108:AE108"/>
    <mergeCell ref="AH13:AY13"/>
    <mergeCell ref="Y29:Z29"/>
    <mergeCell ref="AH26:AY26"/>
    <mergeCell ref="AH28:AJ28"/>
    <mergeCell ref="AK28:AM28"/>
    <mergeCell ref="AN28:AP28"/>
    <mergeCell ref="AQ28:AS28"/>
    <mergeCell ref="AW28:AX28"/>
    <mergeCell ref="X13:AF13"/>
    <mergeCell ref="N198:O198"/>
    <mergeCell ref="K198:L198"/>
    <mergeCell ref="B192:O192"/>
    <mergeCell ref="Y38:Z38"/>
    <mergeCell ref="K101:L101"/>
    <mergeCell ref="Y86:Z86"/>
    <mergeCell ref="Y85:Z85"/>
    <mergeCell ref="X83:AE83"/>
    <mergeCell ref="Q101:R101"/>
    <mergeCell ref="K53:L53"/>
    <mergeCell ref="Y73:Z73"/>
    <mergeCell ref="Y54:Z54"/>
    <mergeCell ref="X51:AF51"/>
    <mergeCell ref="Y62:Z62"/>
    <mergeCell ref="Y63:Z63"/>
    <mergeCell ref="N101:O101"/>
    <mergeCell ref="H72:K72"/>
    <mergeCell ref="L72:O72"/>
    <mergeCell ref="X91:AE91"/>
    <mergeCell ref="Y93:Z93"/>
    <mergeCell ref="Y72:Z72"/>
    <mergeCell ref="S14:T14"/>
    <mergeCell ref="N4:O4"/>
    <mergeCell ref="D4:E4"/>
    <mergeCell ref="Y102:Z102"/>
    <mergeCell ref="F4:G4"/>
    <mergeCell ref="H4:I4"/>
    <mergeCell ref="J4:K4"/>
    <mergeCell ref="D5:E5"/>
    <mergeCell ref="F5:G5"/>
    <mergeCell ref="H5:I5"/>
    <mergeCell ref="J5:K5"/>
    <mergeCell ref="H6:I6"/>
    <mergeCell ref="J6:K6"/>
    <mergeCell ref="D6:E6"/>
    <mergeCell ref="F6:G6"/>
    <mergeCell ref="B9:O9"/>
    <mergeCell ref="H15:I15"/>
    <mergeCell ref="K15:L15"/>
    <mergeCell ref="H37:J37"/>
    <mergeCell ref="X60:AE60"/>
    <mergeCell ref="H38:J38"/>
    <mergeCell ref="Y15:Z15"/>
    <mergeCell ref="Y94:Z94"/>
    <mergeCell ref="X99:AF99"/>
    <mergeCell ref="Y238:Z238"/>
    <mergeCell ref="Y246:Z246"/>
    <mergeCell ref="AH381:AS381"/>
    <mergeCell ref="AT381:AU381"/>
    <mergeCell ref="AH14:AS14"/>
    <mergeCell ref="AT14:AU14"/>
    <mergeCell ref="AT15:AU15"/>
    <mergeCell ref="AN323:AP323"/>
    <mergeCell ref="AQ323:AS323"/>
    <mergeCell ref="AT323:AU323"/>
    <mergeCell ref="AH344:AY344"/>
    <mergeCell ref="AH345:AS345"/>
    <mergeCell ref="AT345:AU345"/>
    <mergeCell ref="AT356:AU356"/>
    <mergeCell ref="AW356:AX356"/>
    <mergeCell ref="AH150:AY150"/>
    <mergeCell ref="AH151:AS151"/>
    <mergeCell ref="AK139:AM139"/>
    <mergeCell ref="AT171:AU171"/>
    <mergeCell ref="AH170:AY170"/>
    <mergeCell ref="AH172:AJ172"/>
    <mergeCell ref="AW15:AX15"/>
    <mergeCell ref="AN93:AP93"/>
    <mergeCell ref="AH284:AS284"/>
    <mergeCell ref="AK269:AM269"/>
    <mergeCell ref="AN269:AP269"/>
    <mergeCell ref="AQ269:AS269"/>
    <mergeCell ref="AT269:AV269"/>
    <mergeCell ref="AW269:AX269"/>
    <mergeCell ref="AH275:AY275"/>
    <mergeCell ref="AH276:AS276"/>
    <mergeCell ref="AT276:AV276"/>
    <mergeCell ref="AH283:AY283"/>
    <mergeCell ref="AH235:AY235"/>
    <mergeCell ref="AH237:AJ237"/>
    <mergeCell ref="AK237:AM237"/>
    <mergeCell ref="AH182:AJ182"/>
    <mergeCell ref="AK182:AM182"/>
    <mergeCell ref="AT120:AV120"/>
    <mergeCell ref="AT119:AV119"/>
    <mergeCell ref="AH171:AS171"/>
    <mergeCell ref="AQ198:AS198"/>
    <mergeCell ref="AT198:AU198"/>
    <mergeCell ref="AH221:AJ221"/>
    <mergeCell ref="AH139:AJ139"/>
    <mergeCell ref="X302:AE302"/>
    <mergeCell ref="X321:AF321"/>
    <mergeCell ref="AQ285:AS285"/>
    <mergeCell ref="AT285:AU285"/>
    <mergeCell ref="Y270:Z270"/>
    <mergeCell ref="AH245:AS245"/>
    <mergeCell ref="K420:L420"/>
    <mergeCell ref="AH354:AY354"/>
    <mergeCell ref="AT246:AU246"/>
    <mergeCell ref="AW246:AX246"/>
    <mergeCell ref="AT245:AU245"/>
    <mergeCell ref="AT284:AU284"/>
    <mergeCell ref="AH268:AS268"/>
    <mergeCell ref="Y247:Z247"/>
    <mergeCell ref="X283:AF283"/>
    <mergeCell ref="X267:AE267"/>
    <mergeCell ref="X275:AE275"/>
    <mergeCell ref="Y285:Z285"/>
    <mergeCell ref="Y286:Z286"/>
    <mergeCell ref="X292:AE292"/>
    <mergeCell ref="Y337:Z337"/>
    <mergeCell ref="L405:N405"/>
    <mergeCell ref="AK323:AM323"/>
    <mergeCell ref="Q382:R382"/>
    <mergeCell ref="S381:T381"/>
    <mergeCell ref="Y336:Z336"/>
    <mergeCell ref="X334:AE334"/>
    <mergeCell ref="Y323:Z323"/>
    <mergeCell ref="X344:AF344"/>
    <mergeCell ref="X354:AE354"/>
    <mergeCell ref="Y366:Z366"/>
    <mergeCell ref="Y421:Z421"/>
    <mergeCell ref="BH255:BL255"/>
    <mergeCell ref="BI256:BL256"/>
    <mergeCell ref="BB256:BE256"/>
    <mergeCell ref="AT256:AW256"/>
    <mergeCell ref="AP256:AS256"/>
    <mergeCell ref="AL256:AO256"/>
    <mergeCell ref="AH256:AK256"/>
    <mergeCell ref="AX256:BA256"/>
    <mergeCell ref="AX255:BA255"/>
    <mergeCell ref="BH284:BS284"/>
    <mergeCell ref="Y256:Z256"/>
    <mergeCell ref="BP285:BS285"/>
    <mergeCell ref="AA256:AD256"/>
    <mergeCell ref="BH277:BH278"/>
    <mergeCell ref="BI277:BI278"/>
    <mergeCell ref="BJ277:BJ278"/>
    <mergeCell ref="Y295:Z295"/>
    <mergeCell ref="BH303:BK303"/>
    <mergeCell ref="AA304:AC304"/>
    <mergeCell ref="AT277:AV277"/>
    <mergeCell ref="X427:AE427"/>
    <mergeCell ref="AT236:AU236"/>
    <mergeCell ref="BH438:BL438"/>
    <mergeCell ref="BI439:BL439"/>
    <mergeCell ref="AA439:AD439"/>
    <mergeCell ref="BB439:BE439"/>
    <mergeCell ref="AH255:AW255"/>
    <mergeCell ref="AX438:BA438"/>
    <mergeCell ref="AX439:BA439"/>
    <mergeCell ref="AT439:AW439"/>
    <mergeCell ref="AP439:AS439"/>
    <mergeCell ref="AH439:AK439"/>
    <mergeCell ref="AL439:AO439"/>
    <mergeCell ref="AH437:BA437"/>
    <mergeCell ref="AW336:AX336"/>
    <mergeCell ref="AH321:AY321"/>
    <mergeCell ref="AH322:AS322"/>
    <mergeCell ref="AT322:AU322"/>
    <mergeCell ref="X418:AF418"/>
    <mergeCell ref="AH419:AS419"/>
  </mergeCells>
  <phoneticPr fontId="7"/>
  <conditionalFormatting sqref="H17:I22 K348:L350 K531:L533">
    <cfRule type="containsErrors" dxfId="272" priority="131">
      <formula>ISERROR(H17)</formula>
    </cfRule>
  </conditionalFormatting>
  <conditionalFormatting sqref="K17:L22">
    <cfRule type="containsErrors" dxfId="271" priority="130">
      <formula>ISERROR(K17)</formula>
    </cfRule>
  </conditionalFormatting>
  <conditionalFormatting sqref="Q17:R22">
    <cfRule type="containsErrors" dxfId="270" priority="126">
      <formula>ISERROR(Q17)</formula>
    </cfRule>
  </conditionalFormatting>
  <conditionalFormatting sqref="N17:O22">
    <cfRule type="containsErrors" dxfId="269" priority="127">
      <formula>ISERROR(N17)</formula>
    </cfRule>
  </conditionalFormatting>
  <conditionalFormatting sqref="H40:J44">
    <cfRule type="containsErrors" dxfId="268" priority="124">
      <formula>ISERROR(H40)</formula>
    </cfRule>
  </conditionalFormatting>
  <conditionalFormatting sqref="L40:N44">
    <cfRule type="containsErrors" dxfId="267" priority="123">
      <formula>ISERROR(L40)</formula>
    </cfRule>
  </conditionalFormatting>
  <conditionalFormatting sqref="H52:R52">
    <cfRule type="containsErrors" dxfId="266" priority="120">
      <formula>ISERROR(H52)</formula>
    </cfRule>
  </conditionalFormatting>
  <conditionalFormatting sqref="H54:R54 H53 J53:K53 M53:N53 P53:Q53">
    <cfRule type="containsErrors" dxfId="265" priority="119">
      <formula>ISERROR(H53)</formula>
    </cfRule>
  </conditionalFormatting>
  <conditionalFormatting sqref="H55:I56 K55:L56 N55:O56 Q55:R56">
    <cfRule type="containsErrors" dxfId="264" priority="117">
      <formula>ISERROR(H55)</formula>
    </cfRule>
  </conditionalFormatting>
  <conditionalFormatting sqref="H74:J76">
    <cfRule type="containsErrors" dxfId="263" priority="115">
      <formula>ISERROR(H74)</formula>
    </cfRule>
  </conditionalFormatting>
  <conditionalFormatting sqref="K37">
    <cfRule type="containsErrors" dxfId="262" priority="113">
      <formula>ISERROR(K37)</formula>
    </cfRule>
  </conditionalFormatting>
  <conditionalFormatting sqref="H100:R100">
    <cfRule type="containsErrors" dxfId="261" priority="110">
      <formula>ISERROR(H100)</formula>
    </cfRule>
  </conditionalFormatting>
  <conditionalFormatting sqref="H102:R102 H101 J101:K101 M101:N101 P101:Q101">
    <cfRule type="containsErrors" dxfId="260" priority="109">
      <formula>ISERROR(H101)</formula>
    </cfRule>
  </conditionalFormatting>
  <conditionalFormatting sqref="H103:I104 K103:L104 N103:O104 Q103:R104">
    <cfRule type="containsErrors" dxfId="259" priority="107">
      <formula>ISERROR(H103)</formula>
    </cfRule>
  </conditionalFormatting>
  <conditionalFormatting sqref="H141:I146">
    <cfRule type="containsErrors" dxfId="258" priority="101">
      <formula>ISERROR(H141)</formula>
    </cfRule>
  </conditionalFormatting>
  <conditionalFormatting sqref="K141:L146">
    <cfRule type="containsErrors" dxfId="257" priority="100">
      <formula>ISERROR(K141)</formula>
    </cfRule>
  </conditionalFormatting>
  <conditionalFormatting sqref="Q141:R146">
    <cfRule type="containsErrors" dxfId="256" priority="98">
      <formula>ISERROR(Q141)</formula>
    </cfRule>
  </conditionalFormatting>
  <conditionalFormatting sqref="N141:O146">
    <cfRule type="containsErrors" dxfId="255" priority="99">
      <formula>ISERROR(N141)</formula>
    </cfRule>
  </conditionalFormatting>
  <conditionalFormatting sqref="J161">
    <cfRule type="containsErrors" dxfId="254" priority="93">
      <formula>ISERROR(J161)</formula>
    </cfRule>
  </conditionalFormatting>
  <conditionalFormatting sqref="H164:I166">
    <cfRule type="containsErrors" dxfId="253" priority="96">
      <formula>ISERROR(H164)</formula>
    </cfRule>
  </conditionalFormatting>
  <conditionalFormatting sqref="K164:L166">
    <cfRule type="containsErrors" dxfId="252" priority="95">
      <formula>ISERROR(K164)</formula>
    </cfRule>
  </conditionalFormatting>
  <conditionalFormatting sqref="H200:I205">
    <cfRule type="containsErrors" dxfId="251" priority="88">
      <formula>ISERROR(H200)</formula>
    </cfRule>
  </conditionalFormatting>
  <conditionalFormatting sqref="K200:L205">
    <cfRule type="containsErrors" dxfId="250" priority="87">
      <formula>ISERROR(K200)</formula>
    </cfRule>
  </conditionalFormatting>
  <conditionalFormatting sqref="Q200:R205">
    <cfRule type="containsErrors" dxfId="249" priority="85">
      <formula>ISERROR(Q200)</formula>
    </cfRule>
  </conditionalFormatting>
  <conditionalFormatting sqref="N200:O205">
    <cfRule type="containsErrors" dxfId="248" priority="86">
      <formula>ISERROR(N200)</formula>
    </cfRule>
  </conditionalFormatting>
  <conditionalFormatting sqref="H223:J227">
    <cfRule type="containsErrors" dxfId="247" priority="83">
      <formula>ISERROR(H223)</formula>
    </cfRule>
  </conditionalFormatting>
  <conditionalFormatting sqref="L223:N227">
    <cfRule type="containsErrors" dxfId="246" priority="82">
      <formula>ISERROR(L223)</formula>
    </cfRule>
  </conditionalFormatting>
  <conditionalFormatting sqref="K220">
    <cfRule type="containsErrors" dxfId="245" priority="80">
      <formula>ISERROR(K220)</formula>
    </cfRule>
  </conditionalFormatting>
  <conditionalFormatting sqref="H236:R236">
    <cfRule type="containsErrors" dxfId="244" priority="79">
      <formula>ISERROR(H236)</formula>
    </cfRule>
  </conditionalFormatting>
  <conditionalFormatting sqref="H238:R238 H237 J237:K237 M237:N237 P237:Q237">
    <cfRule type="containsErrors" dxfId="243" priority="78">
      <formula>ISERROR(H237)</formula>
    </cfRule>
  </conditionalFormatting>
  <conditionalFormatting sqref="H239:I240 K239:L240 N239:O240 Q239:R240">
    <cfRule type="containsErrors" dxfId="242" priority="76">
      <formula>ISERROR(H239)</formula>
    </cfRule>
  </conditionalFormatting>
  <conditionalFormatting sqref="H258:J260">
    <cfRule type="containsErrors" dxfId="241" priority="74">
      <formula>ISERROR(H258)</formula>
    </cfRule>
  </conditionalFormatting>
  <conditionalFormatting sqref="H284:R284">
    <cfRule type="containsErrors" dxfId="240" priority="69">
      <formula>ISERROR(H284)</formula>
    </cfRule>
  </conditionalFormatting>
  <conditionalFormatting sqref="H286:R286 H285 J285:K285 M285:N285 P285:Q285">
    <cfRule type="containsErrors" dxfId="239" priority="68">
      <formula>ISERROR(H285)</formula>
    </cfRule>
  </conditionalFormatting>
  <conditionalFormatting sqref="H287:I288 K287:L288 N287:O288 Q287:R288">
    <cfRule type="containsErrors" dxfId="238" priority="67">
      <formula>ISERROR(H287)</formula>
    </cfRule>
  </conditionalFormatting>
  <conditionalFormatting sqref="H325:I330">
    <cfRule type="containsErrors" dxfId="237" priority="62">
      <formula>ISERROR(H325)</formula>
    </cfRule>
  </conditionalFormatting>
  <conditionalFormatting sqref="K325:L330">
    <cfRule type="containsErrors" dxfId="236" priority="61">
      <formula>ISERROR(K325)</formula>
    </cfRule>
  </conditionalFormatting>
  <conditionalFormatting sqref="Q325:R330">
    <cfRule type="containsErrors" dxfId="235" priority="59">
      <formula>ISERROR(Q325)</formula>
    </cfRule>
  </conditionalFormatting>
  <conditionalFormatting sqref="N325:O330">
    <cfRule type="containsErrors" dxfId="234" priority="60">
      <formula>ISERROR(N325)</formula>
    </cfRule>
  </conditionalFormatting>
  <conditionalFormatting sqref="J345">
    <cfRule type="containsErrors" dxfId="233" priority="54">
      <formula>ISERROR(J345)</formula>
    </cfRule>
  </conditionalFormatting>
  <conditionalFormatting sqref="H348:I350">
    <cfRule type="containsErrors" dxfId="232" priority="57">
      <formula>ISERROR(H348)</formula>
    </cfRule>
  </conditionalFormatting>
  <conditionalFormatting sqref="H384:I389">
    <cfRule type="containsErrors" dxfId="231" priority="49">
      <formula>ISERROR(H384)</formula>
    </cfRule>
  </conditionalFormatting>
  <conditionalFormatting sqref="K384:L389">
    <cfRule type="containsErrors" dxfId="230" priority="48">
      <formula>ISERROR(K384)</formula>
    </cfRule>
  </conditionalFormatting>
  <conditionalFormatting sqref="Q384:R389">
    <cfRule type="containsErrors" dxfId="229" priority="46">
      <formula>ISERROR(Q384)</formula>
    </cfRule>
  </conditionalFormatting>
  <conditionalFormatting sqref="N384:O389">
    <cfRule type="containsErrors" dxfId="228" priority="47">
      <formula>ISERROR(N384)</formula>
    </cfRule>
  </conditionalFormatting>
  <conditionalFormatting sqref="H407:J411">
    <cfRule type="containsErrors" dxfId="227" priority="44">
      <formula>ISERROR(H407)</formula>
    </cfRule>
  </conditionalFormatting>
  <conditionalFormatting sqref="L407:N411">
    <cfRule type="containsErrors" dxfId="226" priority="43">
      <formula>ISERROR(L407)</formula>
    </cfRule>
  </conditionalFormatting>
  <conditionalFormatting sqref="K404">
    <cfRule type="containsErrors" dxfId="225" priority="41">
      <formula>ISERROR(K404)</formula>
    </cfRule>
  </conditionalFormatting>
  <conditionalFormatting sqref="H419:R419">
    <cfRule type="containsErrors" dxfId="224" priority="40">
      <formula>ISERROR(H419)</formula>
    </cfRule>
  </conditionalFormatting>
  <conditionalFormatting sqref="H421:R421 H420 J420:K420 M420:N420 P420:Q420">
    <cfRule type="containsErrors" dxfId="223" priority="39">
      <formula>ISERROR(H420)</formula>
    </cfRule>
  </conditionalFormatting>
  <conditionalFormatting sqref="H422:I423 K422:L423 N422:O423 Q422:R423">
    <cfRule type="containsErrors" dxfId="222" priority="37">
      <formula>ISERROR(H422)</formula>
    </cfRule>
  </conditionalFormatting>
  <conditionalFormatting sqref="H441:J443">
    <cfRule type="containsErrors" dxfId="221" priority="35">
      <formula>ISERROR(H441)</formula>
    </cfRule>
  </conditionalFormatting>
  <conditionalFormatting sqref="H467:R467">
    <cfRule type="containsErrors" dxfId="220" priority="30">
      <formula>ISERROR(H467)</formula>
    </cfRule>
  </conditionalFormatting>
  <conditionalFormatting sqref="H469:R469 H468 J468:K468 M468:N468 P468:Q468">
    <cfRule type="containsErrors" dxfId="219" priority="29">
      <formula>ISERROR(H468)</formula>
    </cfRule>
  </conditionalFormatting>
  <conditionalFormatting sqref="H470:I471 K470:L471 N470:O471 Q470:R471">
    <cfRule type="containsErrors" dxfId="218" priority="28">
      <formula>ISERROR(H470)</formula>
    </cfRule>
  </conditionalFormatting>
  <conditionalFormatting sqref="H508:I513">
    <cfRule type="containsErrors" dxfId="217" priority="23">
      <formula>ISERROR(H508)</formula>
    </cfRule>
  </conditionalFormatting>
  <conditionalFormatting sqref="K508:L513">
    <cfRule type="containsErrors" dxfId="216" priority="22">
      <formula>ISERROR(K508)</formula>
    </cfRule>
  </conditionalFormatting>
  <conditionalFormatting sqref="Q508:R513">
    <cfRule type="containsErrors" dxfId="215" priority="20">
      <formula>ISERROR(Q508)</formula>
    </cfRule>
  </conditionalFormatting>
  <conditionalFormatting sqref="N508:O513">
    <cfRule type="containsErrors" dxfId="214" priority="21">
      <formula>ISERROR(N508)</formula>
    </cfRule>
  </conditionalFormatting>
  <conditionalFormatting sqref="J528">
    <cfRule type="containsErrors" dxfId="213" priority="15">
      <formula>ISERROR(J528)</formula>
    </cfRule>
  </conditionalFormatting>
  <conditionalFormatting sqref="H531:I533">
    <cfRule type="containsErrors" dxfId="212" priority="18">
      <formula>ISERROR(H531)</formula>
    </cfRule>
  </conditionalFormatting>
  <conditionalFormatting sqref="H121:K121">
    <cfRule type="containsErrors" dxfId="211" priority="11">
      <formula>ISERROR(H121)</formula>
    </cfRule>
  </conditionalFormatting>
  <conditionalFormatting sqref="H305:J305">
    <cfRule type="containsErrors" dxfId="210" priority="9">
      <formula>ISERROR(H305)</formula>
    </cfRule>
  </conditionalFormatting>
  <conditionalFormatting sqref="H488:I488">
    <cfRule type="containsErrors" dxfId="209" priority="8">
      <formula>ISERROR(H488)</formula>
    </cfRule>
  </conditionalFormatting>
  <conditionalFormatting sqref="K74:K76">
    <cfRule type="containsErrors" dxfId="208" priority="5">
      <formula>ISERROR(K74)</formula>
    </cfRule>
  </conditionalFormatting>
  <conditionalFormatting sqref="K258:K260">
    <cfRule type="containsErrors" dxfId="207" priority="4">
      <formula>ISERROR(K258)</formula>
    </cfRule>
  </conditionalFormatting>
  <conditionalFormatting sqref="K441:K443">
    <cfRule type="containsErrors" dxfId="206" priority="3">
      <formula>ISERROR(K441)</formula>
    </cfRule>
  </conditionalFormatting>
  <conditionalFormatting sqref="J488">
    <cfRule type="containsErrors" dxfId="205" priority="1">
      <formula>ISERROR(J488)</formula>
    </cfRule>
  </conditionalFormatting>
  <dataValidations count="15">
    <dataValidation type="list" allowBlank="1" showInputMessage="1" showErrorMessage="1" sqref="B220" xr:uid="{00000000-0002-0000-0900-000000000000}">
      <formula1>fret_route</formula1>
    </dataValidation>
    <dataValidation allowBlank="1" showInputMessage="1" showErrorMessage="1" sqref="C24:C29 C561 C588 C3 C760:C1048576 C361:C375 C377 C637:C638 C207:C208 C210:C212 C424:C426 B39 C148:C153 C290:C291 B347 B406 C704 C591:C635 C12:C13 C88:C99 C109:C111 C82:C83 C394:C396 C195 C272:C283 C266 C455:C466 C332:C337 C245:C247 C57:C63 C50 C106:C107 B163 B222 C216:C218 C241:C243 C251:C253 C234:C235 C293:C295 C379 C391:C392 C400:C402 C434:C436 C428:C430 C476:C478 C473:C474 B530 C515:C520 C177:C191 C157:C159 C161:C173 C10 C136 C341:C343 C345:C357 C193 C320 C417:C418 C449 C524:C526 C528:C540 C544:C559 C503 C585:C586 C736 C7:C8 C33:C48 C67:C80 C115:C134 C220:C232 C255:C264 C299:C318 C404:C415 C438:C447 C482:C501 C577:C578 C669:C670" xr:uid="{00000000-0002-0000-0900-000001000000}"/>
    <dataValidation type="list" allowBlank="1" showInputMessage="1" showErrorMessage="1" sqref="F345 F184:F186 F74:F76 F368:F370 F223:F227 F258:F260 F164:F166 F40:F44 F348:F350 F161 F441:F443 F407:F411 F528 F551:F553 F531:F533 F220 F404 F17:F22 F55:F56 F103:F104 F141:F146 F200:F205 F239:F240 F287:F288 F325:F330 F384:F389 F422:F423 F470:F471 F508:F513" xr:uid="{00000000-0002-0000-0900-000002000000}">
      <formula1>Liste_Fret</formula1>
    </dataValidation>
    <dataValidation type="list" allowBlank="1" showInputMessage="1" showErrorMessage="1" sqref="F296:F298 F122:F124 F338:F340 F30:F32 F64:F66 F479:F481 F112:F114 F154:F156 F174:F176 F358:F360 F213:F215 F397:F399 F248:F250 F431:F433 F127:F130 F306:F308 F521:F523 F541:F543 F311:F314 F489:F491 F494:F497" xr:uid="{00000000-0002-0000-0900-000003000000}">
      <formula1>Liste_Fret_bis</formula1>
    </dataValidation>
    <dataValidation type="list" allowBlank="1" showInputMessage="1" showErrorMessage="1" sqref="Y17:Y22 Y30:Y32 Y40:Y44 Y55:Y56 Y64:Y66 Y74:Y76 Y87 Y103:Y104 Y112:Y114 Y122:Y124 Y141:Y146 Y154:Y156 Y164:Y166 Y174:Y176 Y184:Y186 Y200:Y205 Y213:Y215 Y223:Y227 Y239:Y240 Y248:Y250 Y258:Y260 Y271 Y287:Y288 Y296:Y298 Y551:Y553 Y325:Y330 Y338:Y340 Y348:Y350 Y358:Y360 Y368:Y370 Y384:Y389 Y397:Y399 Y407:Y411 Y422:Y423 Y431:Y433 Y441:Y443 Y454 Y470:Y471 Y479:Y481 Y489:Y497 Y508:Y513 Y521:Y523 Y531:Y533 Y541:Y543 Y311:Y314 Y306:Y308" xr:uid="{00000000-0002-0000-0900-000004000000}">
      <formula1>Choix_Incertitudes</formula1>
    </dataValidation>
    <dataValidation type="list" allowBlank="1" showInputMessage="1" showErrorMessage="1" sqref="B17:B22 B141:B146 B200:B205 B325:B330 B384:B389 B508:B513" xr:uid="{00000000-0002-0000-0900-000005000000}">
      <formula1>FE_Fret_carburants</formula1>
    </dataValidation>
    <dataValidation type="list" allowBlank="1" showInputMessage="1" showErrorMessage="1" sqref="B40:B44 B223:B227 B407:B411" xr:uid="{00000000-0002-0000-0900-000006000000}">
      <formula1>FE_Fret_Routier</formula1>
    </dataValidation>
    <dataValidation type="list" allowBlank="1" showInputMessage="1" showErrorMessage="1" sqref="B55:B56 B103:B104 B239:B240 B287:B288 B422:B423 B470:B471" xr:uid="{00000000-0002-0000-0900-000007000000}">
      <formula1>FE_Energie_Liquides</formula1>
    </dataValidation>
    <dataValidation type="list" allowBlank="1" showInputMessage="1" showErrorMessage="1" sqref="B74:B76 B258:B260 B441:B443" xr:uid="{00000000-0002-0000-0900-000008000000}">
      <formula1>FE_Fret_Aérien</formula1>
    </dataValidation>
    <dataValidation type="list" allowBlank="1" showInputMessage="1" showErrorMessage="1" sqref="F87" xr:uid="{00000000-0002-0000-0900-000009000000}">
      <formula1>Liste_Deplacements_ter</formula1>
    </dataValidation>
    <dataValidation type="list" allowBlank="1" showInputMessage="1" showErrorMessage="1" sqref="B122:B124 B306:B308 B489:B492" xr:uid="{00000000-0002-0000-0900-00000A000000}">
      <formula1>FE_Fret_Ferroviaire_France</formula1>
    </dataValidation>
    <dataValidation type="list" allowBlank="1" showInputMessage="1" showErrorMessage="1" sqref="B164:B166 B348:B350 B531:B533" xr:uid="{00000000-0002-0000-0900-00000B000000}">
      <formula1>FE_Fret_Maritime</formula1>
    </dataValidation>
    <dataValidation type="list" allowBlank="1" showInputMessage="1" showErrorMessage="1" sqref="B184:B186 B368:B370 B551:B553" xr:uid="{00000000-0002-0000-0900-00000C000000}">
      <formula1>FE_Fret_Fluvial</formula1>
    </dataValidation>
    <dataValidation type="list" allowBlank="1" showInputMessage="1" showErrorMessage="1" sqref="F271 F454" xr:uid="{00000000-0002-0000-0900-00000D000000}">
      <formula1>Liste_Fret_ter</formula1>
    </dataValidation>
    <dataValidation type="list" allowBlank="1" showInputMessage="1" showErrorMessage="1" sqref="B127:B130 B311:B314 B494:B497" xr:uid="{00000000-0002-0000-0900-00000E000000}">
      <formula1>FE_Fret_Ferroviaire_Iles_autres_pays</formula1>
    </dataValidation>
  </dataValidations>
  <hyperlinks>
    <hyperlink ref="D4" location="fret_routier_entrant" display="Routier entrant" xr:uid="{00000000-0004-0000-0900-000000000000}"/>
    <hyperlink ref="F4" location="fret_aerien_entrant" display="Aérien entrant" xr:uid="{00000000-0004-0000-0900-000001000000}"/>
    <hyperlink ref="H4" location="fret_ferroviaire_entrant" display="Fer entrant" xr:uid="{00000000-0004-0000-0900-000002000000}"/>
    <hyperlink ref="J4" location="fret_maritime_entrant" display="Maritime entrant" xr:uid="{00000000-0004-0000-0900-000003000000}"/>
    <hyperlink ref="D7" location="fret_recap" display="Total" xr:uid="{00000000-0004-0000-0900-000004000000}"/>
    <hyperlink ref="D5" location="fret_routier_interne" display="route interne" xr:uid="{00000000-0004-0000-0900-000005000000}"/>
    <hyperlink ref="D6" location="fret_route_sortant" display="Routier sortant" xr:uid="{00000000-0004-0000-0900-000006000000}"/>
    <hyperlink ref="F6" location="fret_aerien_sortant" display="Aérien sortant" xr:uid="{00000000-0004-0000-0900-000007000000}"/>
    <hyperlink ref="J6" location="fret_maritime_sortant" display="Maritime sortant" xr:uid="{00000000-0004-0000-0900-000008000000}"/>
    <hyperlink ref="F7" location="fret_sous_postes" display="Sous-postes" xr:uid="{00000000-0004-0000-0900-000009000000}"/>
    <hyperlink ref="F5" location="fret_aerien_interne" display="Aérien interne" xr:uid="{00000000-0004-0000-0900-00000A000000}"/>
    <hyperlink ref="H5" location="fret_ferroviaire_interne" display="ferroviaire interne" xr:uid="{00000000-0004-0000-0900-00000B000000}"/>
    <hyperlink ref="H6" location="fret_ferroviaire_sortant" display="Ferroviaire sortant" xr:uid="{00000000-0004-0000-0900-00000C000000}"/>
    <hyperlink ref="J5" location="fret_maritime_interne" display="Maritime interne" xr:uid="{00000000-0004-0000-0900-00000D000000}"/>
    <hyperlink ref="H7" location="fret_bilanGES" display="bilan GES" xr:uid="{00000000-0004-0000-0900-00000E000000}"/>
    <hyperlink ref="J7" location="fret_GHGProtocol" display="GHG Protocol" xr:uid="{00000000-0004-0000-0900-00000F000000}"/>
    <hyperlink ref="L7:M7" location="Fret!B705" display="ISO 14069" xr:uid="{00000000-0004-0000-0900-000010000000}"/>
    <hyperlink ref="N7:O7" location="'CDP 2018'!A1" display="CDP" xr:uid="{00000000-0004-0000-0900-000011000000}"/>
    <hyperlink ref="N4:O4" location="Descriptif!A1" display="Descriptif" xr:uid="{00000000-0004-0000-0900-000012000000}"/>
  </hyperlinks>
  <pageMargins left="0.78740157480314965" right="0.78740157480314965" top="0.98425196850393704" bottom="0.98425196850393704" header="0.51181102362204722" footer="0.51181102362204722"/>
  <pageSetup paperSize="9" orientation="landscape" horizontalDpi="4294967292" verticalDpi="4294967292" r:id="rId1"/>
  <headerFooter alignWithMargins="0">
    <oddFooter>&amp;LCalcul des émissions de gaz à effet de serre&amp;RRubrique &amp;A, page &amp;P, édité le &amp;D</oddFooter>
  </headerFooter>
  <ignoredErrors>
    <ignoredError sqref="D698:D700" twoDigitTextYear="1"/>
    <ignoredError sqref="H43:J43 I203:I205 L203:L205 O203:O205 R202:R205 H226:J226 L225:N225 I387:I389 L387:L389 O387:O389 R386:R389 Q386 H410:J410 L409:N409"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32" id="{BB088372-4335-48FD-B9AF-6FA75C99FBE4}">
            <xm:f>$Y17=Utilitaires!$N$572</xm:f>
            <x14:dxf>
              <fill>
                <patternFill>
                  <bgColor theme="0"/>
                </patternFill>
              </fill>
              <border>
                <left style="thin">
                  <color auto="1"/>
                </left>
                <right style="thin">
                  <color auto="1"/>
                </right>
                <top style="thin">
                  <color auto="1"/>
                </top>
                <bottom style="thin">
                  <color auto="1"/>
                </bottom>
                <vertical/>
                <horizontal/>
              </border>
            </x14:dxf>
          </x14:cfRule>
          <xm:sqref>Z17:Z22</xm:sqref>
        </x14:conditionalFormatting>
        <x14:conditionalFormatting xmlns:xm="http://schemas.microsoft.com/office/excel/2006/main">
          <x14:cfRule type="expression" priority="125" id="{2A1C0AED-FEFD-45FD-9C96-F645E9823858}">
            <xm:f>$Y30=Utilitaires!$N$572</xm:f>
            <x14:dxf>
              <fill>
                <patternFill>
                  <bgColor theme="0"/>
                </patternFill>
              </fill>
              <border>
                <left style="thin">
                  <color auto="1"/>
                </left>
                <right style="thin">
                  <color auto="1"/>
                </right>
                <top style="thin">
                  <color auto="1"/>
                </top>
                <bottom style="thin">
                  <color auto="1"/>
                </bottom>
                <vertical/>
                <horizontal/>
              </border>
            </x14:dxf>
          </x14:cfRule>
          <xm:sqref>Z30:Z32</xm:sqref>
        </x14:conditionalFormatting>
        <x14:conditionalFormatting xmlns:xm="http://schemas.microsoft.com/office/excel/2006/main">
          <x14:cfRule type="expression" priority="122" id="{D18579D9-8F7A-4549-B01E-A23D0869B0BC}">
            <xm:f>$Y40=Utilitaires!$N$572</xm:f>
            <x14:dxf>
              <fill>
                <patternFill>
                  <bgColor theme="0"/>
                </patternFill>
              </fill>
              <border>
                <left style="thin">
                  <color auto="1"/>
                </left>
                <right style="thin">
                  <color auto="1"/>
                </right>
                <top style="thin">
                  <color auto="1"/>
                </top>
                <bottom style="thin">
                  <color auto="1"/>
                </bottom>
                <vertical/>
                <horizontal/>
              </border>
            </x14:dxf>
          </x14:cfRule>
          <xm:sqref>Z40:Z44</xm:sqref>
        </x14:conditionalFormatting>
        <x14:conditionalFormatting xmlns:xm="http://schemas.microsoft.com/office/excel/2006/main">
          <x14:cfRule type="expression" priority="118" id="{67CA46F0-644C-4503-B728-19F31598DB89}">
            <xm:f>$Y55=Utilitaires!$N$572</xm:f>
            <x14:dxf>
              <fill>
                <patternFill>
                  <bgColor theme="0"/>
                </patternFill>
              </fill>
              <border>
                <left style="thin">
                  <color auto="1"/>
                </left>
                <right style="thin">
                  <color auto="1"/>
                </right>
                <top style="thin">
                  <color auto="1"/>
                </top>
                <bottom style="thin">
                  <color auto="1"/>
                </bottom>
                <vertical/>
                <horizontal/>
              </border>
            </x14:dxf>
          </x14:cfRule>
          <xm:sqref>Z55:Z56</xm:sqref>
        </x14:conditionalFormatting>
        <x14:conditionalFormatting xmlns:xm="http://schemas.microsoft.com/office/excel/2006/main">
          <x14:cfRule type="expression" priority="116" id="{0E1DA8C8-B299-4F03-826E-458B79658D8A}">
            <xm:f>$Y64=Utilitaires!$N$572</xm:f>
            <x14:dxf>
              <fill>
                <patternFill>
                  <bgColor theme="0"/>
                </patternFill>
              </fill>
              <border>
                <left style="thin">
                  <color auto="1"/>
                </left>
                <right style="thin">
                  <color auto="1"/>
                </right>
                <top style="thin">
                  <color auto="1"/>
                </top>
                <bottom style="thin">
                  <color auto="1"/>
                </bottom>
                <vertical/>
                <horizontal/>
              </border>
            </x14:dxf>
          </x14:cfRule>
          <xm:sqref>Z64:Z66</xm:sqref>
        </x14:conditionalFormatting>
        <x14:conditionalFormatting xmlns:xm="http://schemas.microsoft.com/office/excel/2006/main">
          <x14:cfRule type="expression" priority="112" id="{7C51B555-29D6-4B77-8955-1C8AA8966848}">
            <xm:f>$Y74=Utilitaires!$N$572</xm:f>
            <x14:dxf>
              <fill>
                <patternFill>
                  <bgColor theme="0"/>
                </patternFill>
              </fill>
              <border>
                <left style="thin">
                  <color auto="1"/>
                </left>
                <right style="thin">
                  <color auto="1"/>
                </right>
                <top style="thin">
                  <color auto="1"/>
                </top>
                <bottom style="thin">
                  <color auto="1"/>
                </bottom>
                <vertical/>
                <horizontal/>
              </border>
            </x14:dxf>
          </x14:cfRule>
          <xm:sqref>Z74:Z76</xm:sqref>
        </x14:conditionalFormatting>
        <x14:conditionalFormatting xmlns:xm="http://schemas.microsoft.com/office/excel/2006/main">
          <x14:cfRule type="expression" priority="111" id="{DCF03405-8E69-4E55-B63D-22A5BA71F092}">
            <xm:f>$Y87=Utilitaires!$N$572</xm:f>
            <x14:dxf>
              <fill>
                <patternFill>
                  <bgColor theme="0"/>
                </patternFill>
              </fill>
              <border>
                <left style="thin">
                  <color auto="1"/>
                </left>
                <right style="thin">
                  <color auto="1"/>
                </right>
                <top style="thin">
                  <color auto="1"/>
                </top>
                <bottom style="thin">
                  <color auto="1"/>
                </bottom>
                <vertical/>
                <horizontal/>
              </border>
            </x14:dxf>
          </x14:cfRule>
          <xm:sqref>Z87</xm:sqref>
        </x14:conditionalFormatting>
        <x14:conditionalFormatting xmlns:xm="http://schemas.microsoft.com/office/excel/2006/main">
          <x14:cfRule type="expression" priority="106" id="{95EC1F7E-BA69-43F9-811D-3A1AD810B518}">
            <xm:f>$Y95=Utilitaires!$N$572</xm:f>
            <x14:dxf>
              <fill>
                <patternFill>
                  <bgColor theme="0"/>
                </patternFill>
              </fill>
              <border>
                <left style="thin">
                  <color auto="1"/>
                </left>
                <right style="thin">
                  <color auto="1"/>
                </right>
                <top style="thin">
                  <color auto="1"/>
                </top>
                <bottom style="thin">
                  <color auto="1"/>
                </bottom>
                <vertical/>
                <horizontal/>
              </border>
            </x14:dxf>
          </x14:cfRule>
          <xm:sqref>Z95</xm:sqref>
        </x14:conditionalFormatting>
        <x14:conditionalFormatting xmlns:xm="http://schemas.microsoft.com/office/excel/2006/main">
          <x14:cfRule type="expression" priority="105" id="{AA2357F1-46F3-4A93-8475-8CBB50D9DAE1}">
            <xm:f>$Y103=Utilitaires!$N$572</xm:f>
            <x14:dxf>
              <fill>
                <patternFill>
                  <bgColor theme="0"/>
                </patternFill>
              </fill>
              <border>
                <left style="thin">
                  <color auto="1"/>
                </left>
                <right style="thin">
                  <color auto="1"/>
                </right>
                <top style="thin">
                  <color auto="1"/>
                </top>
                <bottom style="thin">
                  <color auto="1"/>
                </bottom>
                <vertical/>
                <horizontal/>
              </border>
            </x14:dxf>
          </x14:cfRule>
          <xm:sqref>Z103:Z104</xm:sqref>
        </x14:conditionalFormatting>
        <x14:conditionalFormatting xmlns:xm="http://schemas.microsoft.com/office/excel/2006/main">
          <x14:cfRule type="expression" priority="104" id="{3F1E6640-47E5-45BA-B2DE-79ACDFD6FA6C}">
            <xm:f>$Y112=Utilitaires!$N$572</xm:f>
            <x14:dxf>
              <fill>
                <patternFill>
                  <bgColor theme="0"/>
                </patternFill>
              </fill>
              <border>
                <left style="thin">
                  <color auto="1"/>
                </left>
                <right style="thin">
                  <color auto="1"/>
                </right>
                <top style="thin">
                  <color auto="1"/>
                </top>
                <bottom style="thin">
                  <color auto="1"/>
                </bottom>
                <vertical/>
                <horizontal/>
              </border>
            </x14:dxf>
          </x14:cfRule>
          <xm:sqref>Z112:Z114</xm:sqref>
        </x14:conditionalFormatting>
        <x14:conditionalFormatting xmlns:xm="http://schemas.microsoft.com/office/excel/2006/main">
          <x14:cfRule type="expression" priority="103" id="{122F0EBF-6C26-4681-923A-FA430966620F}">
            <xm:f>$Y122=Utilitaires!$N$572</xm:f>
            <x14:dxf>
              <fill>
                <patternFill>
                  <bgColor theme="0"/>
                </patternFill>
              </fill>
              <border>
                <left style="thin">
                  <color auto="1"/>
                </left>
                <right style="thin">
                  <color auto="1"/>
                </right>
                <top style="thin">
                  <color auto="1"/>
                </top>
                <bottom style="thin">
                  <color auto="1"/>
                </bottom>
                <vertical/>
                <horizontal/>
              </border>
            </x14:dxf>
          </x14:cfRule>
          <xm:sqref>Z122:Z123</xm:sqref>
        </x14:conditionalFormatting>
        <x14:conditionalFormatting xmlns:xm="http://schemas.microsoft.com/office/excel/2006/main">
          <x14:cfRule type="expression" priority="102" id="{47BC9C17-E634-44DC-B078-D9859265A371}">
            <xm:f>$Y141=Utilitaires!$N$572</xm:f>
            <x14:dxf>
              <fill>
                <patternFill>
                  <bgColor theme="0"/>
                </patternFill>
              </fill>
              <border>
                <left style="thin">
                  <color auto="1"/>
                </left>
                <right style="thin">
                  <color auto="1"/>
                </right>
                <top style="thin">
                  <color auto="1"/>
                </top>
                <bottom style="thin">
                  <color auto="1"/>
                </bottom>
                <vertical/>
                <horizontal/>
              </border>
            </x14:dxf>
          </x14:cfRule>
          <xm:sqref>Z141:Z146</xm:sqref>
        </x14:conditionalFormatting>
        <x14:conditionalFormatting xmlns:xm="http://schemas.microsoft.com/office/excel/2006/main">
          <x14:cfRule type="expression" priority="97" id="{1F41D3BB-6679-4F47-BEAC-EC4A7D482C16}">
            <xm:f>$Y154=Utilitaires!$N$572</xm:f>
            <x14:dxf>
              <fill>
                <patternFill>
                  <bgColor theme="0"/>
                </patternFill>
              </fill>
              <border>
                <left style="thin">
                  <color auto="1"/>
                </left>
                <right style="thin">
                  <color auto="1"/>
                </right>
                <top style="thin">
                  <color auto="1"/>
                </top>
                <bottom style="thin">
                  <color auto="1"/>
                </bottom>
                <vertical/>
                <horizontal/>
              </border>
            </x14:dxf>
          </x14:cfRule>
          <xm:sqref>Z154:Z156</xm:sqref>
        </x14:conditionalFormatting>
        <x14:conditionalFormatting xmlns:xm="http://schemas.microsoft.com/office/excel/2006/main">
          <x14:cfRule type="expression" priority="92" id="{DDE4FBE2-2088-4F50-A0C2-4584FA19D1C1}">
            <xm:f>$Y174=Utilitaires!$N$572</xm:f>
            <x14:dxf>
              <fill>
                <patternFill>
                  <bgColor theme="0"/>
                </patternFill>
              </fill>
              <border>
                <left style="thin">
                  <color auto="1"/>
                </left>
                <right style="thin">
                  <color auto="1"/>
                </right>
                <top style="thin">
                  <color auto="1"/>
                </top>
                <bottom style="thin">
                  <color auto="1"/>
                </bottom>
                <vertical/>
                <horizontal/>
              </border>
            </x14:dxf>
          </x14:cfRule>
          <xm:sqref>Z174:Z176</xm:sqref>
        </x14:conditionalFormatting>
        <x14:conditionalFormatting xmlns:xm="http://schemas.microsoft.com/office/excel/2006/main">
          <x14:cfRule type="expression" priority="94" id="{4EF01A15-7B48-4615-A2E6-F5F52D5DE371}">
            <xm:f>$Y164=Utilitaires!$N$572</xm:f>
            <x14:dxf>
              <fill>
                <patternFill>
                  <bgColor theme="0"/>
                </patternFill>
              </fill>
              <border>
                <left style="thin">
                  <color auto="1"/>
                </left>
                <right style="thin">
                  <color auto="1"/>
                </right>
                <top style="thin">
                  <color auto="1"/>
                </top>
                <bottom style="thin">
                  <color auto="1"/>
                </bottom>
                <vertical/>
                <horizontal/>
              </border>
            </x14:dxf>
          </x14:cfRule>
          <xm:sqref>Z164:Z166</xm:sqref>
        </x14:conditionalFormatting>
        <x14:conditionalFormatting xmlns:xm="http://schemas.microsoft.com/office/excel/2006/main">
          <x14:cfRule type="expression" priority="90" id="{31A2D37D-09BF-473B-9674-69663E5F3E01}">
            <xm:f>$Y184=Utilitaires!$N$572</xm:f>
            <x14:dxf>
              <fill>
                <patternFill>
                  <bgColor theme="0"/>
                </patternFill>
              </fill>
              <border>
                <left style="thin">
                  <color auto="1"/>
                </left>
                <right style="thin">
                  <color auto="1"/>
                </right>
                <top style="thin">
                  <color auto="1"/>
                </top>
                <bottom style="thin">
                  <color auto="1"/>
                </bottom>
                <vertical/>
                <horizontal/>
              </border>
            </x14:dxf>
          </x14:cfRule>
          <xm:sqref>Z184:Z186</xm:sqref>
        </x14:conditionalFormatting>
        <x14:conditionalFormatting xmlns:xm="http://schemas.microsoft.com/office/excel/2006/main">
          <x14:cfRule type="expression" priority="89" id="{126E2957-11EB-4B48-84BD-A2268BCBF051}">
            <xm:f>$Y200=Utilitaires!$N$572</xm:f>
            <x14:dxf>
              <fill>
                <patternFill>
                  <bgColor theme="0"/>
                </patternFill>
              </fill>
              <border>
                <left style="thin">
                  <color auto="1"/>
                </left>
                <right style="thin">
                  <color auto="1"/>
                </right>
                <top style="thin">
                  <color auto="1"/>
                </top>
                <bottom style="thin">
                  <color auto="1"/>
                </bottom>
                <vertical/>
                <horizontal/>
              </border>
            </x14:dxf>
          </x14:cfRule>
          <xm:sqref>Z200:Z205</xm:sqref>
        </x14:conditionalFormatting>
        <x14:conditionalFormatting xmlns:xm="http://schemas.microsoft.com/office/excel/2006/main">
          <x14:cfRule type="expression" priority="84" id="{0DDA67D3-FAE4-44DE-961D-4990035CBC2A}">
            <xm:f>$Y213=Utilitaires!$N$572</xm:f>
            <x14:dxf>
              <fill>
                <patternFill>
                  <bgColor theme="0"/>
                </patternFill>
              </fill>
              <border>
                <left style="thin">
                  <color auto="1"/>
                </left>
                <right style="thin">
                  <color auto="1"/>
                </right>
                <top style="thin">
                  <color auto="1"/>
                </top>
                <bottom style="thin">
                  <color auto="1"/>
                </bottom>
                <vertical/>
                <horizontal/>
              </border>
            </x14:dxf>
          </x14:cfRule>
          <xm:sqref>Z213:Z215</xm:sqref>
        </x14:conditionalFormatting>
        <x14:conditionalFormatting xmlns:xm="http://schemas.microsoft.com/office/excel/2006/main">
          <x14:cfRule type="expression" priority="81" id="{3282C318-9E9A-4500-91CF-13EBAECB1EF2}">
            <xm:f>$Y223=Utilitaires!$N$572</xm:f>
            <x14:dxf>
              <fill>
                <patternFill>
                  <bgColor theme="0"/>
                </patternFill>
              </fill>
              <border>
                <left style="thin">
                  <color auto="1"/>
                </left>
                <right style="thin">
                  <color auto="1"/>
                </right>
                <top style="thin">
                  <color auto="1"/>
                </top>
                <bottom style="thin">
                  <color auto="1"/>
                </bottom>
                <vertical/>
                <horizontal/>
              </border>
            </x14:dxf>
          </x14:cfRule>
          <xm:sqref>Z223:Z227</xm:sqref>
        </x14:conditionalFormatting>
        <x14:conditionalFormatting xmlns:xm="http://schemas.microsoft.com/office/excel/2006/main">
          <x14:cfRule type="expression" priority="77" id="{98233B27-B661-4A73-9391-4B2383F84557}">
            <xm:f>$Y239=Utilitaires!$N$572</xm:f>
            <x14:dxf>
              <fill>
                <patternFill>
                  <bgColor theme="0"/>
                </patternFill>
              </fill>
              <border>
                <left style="thin">
                  <color auto="1"/>
                </left>
                <right style="thin">
                  <color auto="1"/>
                </right>
                <top style="thin">
                  <color auto="1"/>
                </top>
                <bottom style="thin">
                  <color auto="1"/>
                </bottom>
                <vertical/>
                <horizontal/>
              </border>
            </x14:dxf>
          </x14:cfRule>
          <xm:sqref>Z239:Z240</xm:sqref>
        </x14:conditionalFormatting>
        <x14:conditionalFormatting xmlns:xm="http://schemas.microsoft.com/office/excel/2006/main">
          <x14:cfRule type="expression" priority="75" id="{DD33748E-02AB-47EB-8D89-758E6FD111E7}">
            <xm:f>$Y248=Utilitaires!$N$572</xm:f>
            <x14:dxf>
              <fill>
                <patternFill>
                  <bgColor theme="0"/>
                </patternFill>
              </fill>
              <border>
                <left style="thin">
                  <color auto="1"/>
                </left>
                <right style="thin">
                  <color auto="1"/>
                </right>
                <top style="thin">
                  <color auto="1"/>
                </top>
                <bottom style="thin">
                  <color auto="1"/>
                </bottom>
                <vertical/>
                <horizontal/>
              </border>
            </x14:dxf>
          </x14:cfRule>
          <xm:sqref>Z248:Z250</xm:sqref>
        </x14:conditionalFormatting>
        <x14:conditionalFormatting xmlns:xm="http://schemas.microsoft.com/office/excel/2006/main">
          <x14:cfRule type="expression" priority="72" id="{A1A6094F-EBDB-4D20-8812-8728DF7D3DD3}">
            <xm:f>$Y258=Utilitaires!$N$572</xm:f>
            <x14:dxf>
              <fill>
                <patternFill>
                  <bgColor theme="0"/>
                </patternFill>
              </fill>
              <border>
                <left style="thin">
                  <color auto="1"/>
                </left>
                <right style="thin">
                  <color auto="1"/>
                </right>
                <top style="thin">
                  <color auto="1"/>
                </top>
                <bottom style="thin">
                  <color auto="1"/>
                </bottom>
                <vertical/>
                <horizontal/>
              </border>
            </x14:dxf>
          </x14:cfRule>
          <xm:sqref>Z258:Z260</xm:sqref>
        </x14:conditionalFormatting>
        <x14:conditionalFormatting xmlns:xm="http://schemas.microsoft.com/office/excel/2006/main">
          <x14:cfRule type="expression" priority="71" id="{38DD5543-13ED-44D6-8BEE-C2CC54CCEAAF}">
            <xm:f>$Y271=Utilitaires!$N$572</xm:f>
            <x14:dxf>
              <fill>
                <patternFill>
                  <bgColor theme="0"/>
                </patternFill>
              </fill>
              <border>
                <left style="thin">
                  <color auto="1"/>
                </left>
                <right style="thin">
                  <color auto="1"/>
                </right>
                <top style="thin">
                  <color auto="1"/>
                </top>
                <bottom style="thin">
                  <color auto="1"/>
                </bottom>
                <vertical/>
                <horizontal/>
              </border>
            </x14:dxf>
          </x14:cfRule>
          <xm:sqref>Z271</xm:sqref>
        </x14:conditionalFormatting>
        <x14:conditionalFormatting xmlns:xm="http://schemas.microsoft.com/office/excel/2006/main">
          <x14:cfRule type="expression" priority="70" id="{DF893478-EC69-4596-BB64-34EF2854D787}">
            <xm:f>$Y279=Utilitaires!$N$572</xm:f>
            <x14:dxf>
              <fill>
                <patternFill>
                  <bgColor theme="0"/>
                </patternFill>
              </fill>
              <border>
                <left style="thin">
                  <color auto="1"/>
                </left>
                <right style="thin">
                  <color auto="1"/>
                </right>
                <top style="thin">
                  <color auto="1"/>
                </top>
                <bottom style="thin">
                  <color auto="1"/>
                </bottom>
                <vertical/>
                <horizontal/>
              </border>
            </x14:dxf>
          </x14:cfRule>
          <xm:sqref>Z279</xm:sqref>
        </x14:conditionalFormatting>
        <x14:conditionalFormatting xmlns:xm="http://schemas.microsoft.com/office/excel/2006/main">
          <x14:cfRule type="expression" priority="66" id="{A5EC8F96-27E8-4234-BEBE-B39466516AA2}">
            <xm:f>$Y287=Utilitaires!$N$572</xm:f>
            <x14:dxf>
              <fill>
                <patternFill>
                  <bgColor theme="0"/>
                </patternFill>
              </fill>
              <border>
                <left style="thin">
                  <color auto="1"/>
                </left>
                <right style="thin">
                  <color auto="1"/>
                </right>
                <top style="thin">
                  <color auto="1"/>
                </top>
                <bottom style="thin">
                  <color auto="1"/>
                </bottom>
                <vertical/>
                <horizontal/>
              </border>
            </x14:dxf>
          </x14:cfRule>
          <xm:sqref>Z287:Z288</xm:sqref>
        </x14:conditionalFormatting>
        <x14:conditionalFormatting xmlns:xm="http://schemas.microsoft.com/office/excel/2006/main">
          <x14:cfRule type="expression" priority="65" id="{177F6C0F-6407-474B-B694-8CD257C79D1D}">
            <xm:f>$Y296=Utilitaires!$N$572</xm:f>
            <x14:dxf>
              <fill>
                <patternFill>
                  <bgColor theme="0"/>
                </patternFill>
              </fill>
              <border>
                <left style="thin">
                  <color auto="1"/>
                </left>
                <right style="thin">
                  <color auto="1"/>
                </right>
                <top style="thin">
                  <color auto="1"/>
                </top>
                <bottom style="thin">
                  <color auto="1"/>
                </bottom>
                <vertical/>
                <horizontal/>
              </border>
            </x14:dxf>
          </x14:cfRule>
          <xm:sqref>Z296:Z298</xm:sqref>
        </x14:conditionalFormatting>
        <x14:conditionalFormatting xmlns:xm="http://schemas.microsoft.com/office/excel/2006/main">
          <x14:cfRule type="expression" priority="64" id="{88502434-E852-490D-80A0-D3D699E5032B}">
            <xm:f>$Y306=Utilitaires!$N$572</xm:f>
            <x14:dxf>
              <fill>
                <patternFill>
                  <bgColor theme="0"/>
                </patternFill>
              </fill>
              <border>
                <left style="thin">
                  <color auto="1"/>
                </left>
                <right style="thin">
                  <color auto="1"/>
                </right>
                <top style="thin">
                  <color auto="1"/>
                </top>
                <bottom style="thin">
                  <color auto="1"/>
                </bottom>
                <vertical/>
                <horizontal/>
              </border>
            </x14:dxf>
          </x14:cfRule>
          <xm:sqref>Z306:Z314</xm:sqref>
        </x14:conditionalFormatting>
        <x14:conditionalFormatting xmlns:xm="http://schemas.microsoft.com/office/excel/2006/main">
          <x14:cfRule type="expression" priority="63" id="{04035BCD-FA19-4A73-B566-144BEA21FE33}">
            <xm:f>$Y325=Utilitaires!$N$572</xm:f>
            <x14:dxf>
              <fill>
                <patternFill>
                  <bgColor theme="0"/>
                </patternFill>
              </fill>
              <border>
                <left style="thin">
                  <color auto="1"/>
                </left>
                <right style="thin">
                  <color auto="1"/>
                </right>
                <top style="thin">
                  <color auto="1"/>
                </top>
                <bottom style="thin">
                  <color auto="1"/>
                </bottom>
                <vertical/>
                <horizontal/>
              </border>
            </x14:dxf>
          </x14:cfRule>
          <xm:sqref>Z325:Z330</xm:sqref>
        </x14:conditionalFormatting>
        <x14:conditionalFormatting xmlns:xm="http://schemas.microsoft.com/office/excel/2006/main">
          <x14:cfRule type="expression" priority="58" id="{95D349DB-18B7-4A56-8055-D02CE90BFCA0}">
            <xm:f>$Y338=Utilitaires!$N$572</xm:f>
            <x14:dxf>
              <fill>
                <patternFill>
                  <bgColor theme="0"/>
                </patternFill>
              </fill>
              <border>
                <left style="thin">
                  <color auto="1"/>
                </left>
                <right style="thin">
                  <color auto="1"/>
                </right>
                <top style="thin">
                  <color auto="1"/>
                </top>
                <bottom style="thin">
                  <color auto="1"/>
                </bottom>
                <vertical/>
                <horizontal/>
              </border>
            </x14:dxf>
          </x14:cfRule>
          <xm:sqref>Z338:Z340</xm:sqref>
        </x14:conditionalFormatting>
        <x14:conditionalFormatting xmlns:xm="http://schemas.microsoft.com/office/excel/2006/main">
          <x14:cfRule type="expression" priority="55" id="{EB26E571-D398-4807-8BAF-03B6958DFD10}">
            <xm:f>$Y348=Utilitaires!$N$572</xm:f>
            <x14:dxf>
              <fill>
                <patternFill>
                  <bgColor theme="0"/>
                </patternFill>
              </fill>
              <border>
                <left style="thin">
                  <color auto="1"/>
                </left>
                <right style="thin">
                  <color auto="1"/>
                </right>
                <top style="thin">
                  <color auto="1"/>
                </top>
                <bottom style="thin">
                  <color auto="1"/>
                </bottom>
                <vertical/>
                <horizontal/>
              </border>
            </x14:dxf>
          </x14:cfRule>
          <xm:sqref>Z348:Z350</xm:sqref>
        </x14:conditionalFormatting>
        <x14:conditionalFormatting xmlns:xm="http://schemas.microsoft.com/office/excel/2006/main">
          <x14:cfRule type="expression" priority="53" id="{4C27B2B9-E830-4E5A-8DEA-BD0EFF542FC3}">
            <xm:f>$Y358=Utilitaires!$N$572</xm:f>
            <x14:dxf>
              <fill>
                <patternFill>
                  <bgColor theme="0"/>
                </patternFill>
              </fill>
              <border>
                <left style="thin">
                  <color auto="1"/>
                </left>
                <right style="thin">
                  <color auto="1"/>
                </right>
                <top style="thin">
                  <color auto="1"/>
                </top>
                <bottom style="thin">
                  <color auto="1"/>
                </bottom>
                <vertical/>
                <horizontal/>
              </border>
            </x14:dxf>
          </x14:cfRule>
          <xm:sqref>Z358:Z360</xm:sqref>
        </x14:conditionalFormatting>
        <x14:conditionalFormatting xmlns:xm="http://schemas.microsoft.com/office/excel/2006/main">
          <x14:cfRule type="expression" priority="51" id="{354785B9-F1E1-43D2-90BA-FAA5E535F7D3}">
            <xm:f>$Y368=Utilitaires!$N$572</xm:f>
            <x14:dxf>
              <fill>
                <patternFill>
                  <bgColor theme="0"/>
                </patternFill>
              </fill>
              <border>
                <left style="thin">
                  <color auto="1"/>
                </left>
                <right style="thin">
                  <color auto="1"/>
                </right>
                <top style="thin">
                  <color auto="1"/>
                </top>
                <bottom style="thin">
                  <color auto="1"/>
                </bottom>
                <vertical/>
                <horizontal/>
              </border>
            </x14:dxf>
          </x14:cfRule>
          <xm:sqref>Z368:Z370</xm:sqref>
        </x14:conditionalFormatting>
        <x14:conditionalFormatting xmlns:xm="http://schemas.microsoft.com/office/excel/2006/main">
          <x14:cfRule type="expression" priority="50" id="{064DA515-DAB7-4E00-ADFB-B0BD8D08911B}">
            <xm:f>$Y384=Utilitaires!$N$572</xm:f>
            <x14:dxf>
              <fill>
                <patternFill>
                  <bgColor theme="0"/>
                </patternFill>
              </fill>
              <border>
                <left style="thin">
                  <color auto="1"/>
                </left>
                <right style="thin">
                  <color auto="1"/>
                </right>
                <top style="thin">
                  <color auto="1"/>
                </top>
                <bottom style="thin">
                  <color auto="1"/>
                </bottom>
                <vertical/>
                <horizontal/>
              </border>
            </x14:dxf>
          </x14:cfRule>
          <xm:sqref>Z384:Z389</xm:sqref>
        </x14:conditionalFormatting>
        <x14:conditionalFormatting xmlns:xm="http://schemas.microsoft.com/office/excel/2006/main">
          <x14:cfRule type="expression" priority="45" id="{72D609A9-24F0-4F7D-BF47-58AEF5BA8E4E}">
            <xm:f>$Y397=Utilitaires!$N$572</xm:f>
            <x14:dxf>
              <fill>
                <patternFill>
                  <bgColor theme="0"/>
                </patternFill>
              </fill>
              <border>
                <left style="thin">
                  <color auto="1"/>
                </left>
                <right style="thin">
                  <color auto="1"/>
                </right>
                <top style="thin">
                  <color auto="1"/>
                </top>
                <bottom style="thin">
                  <color auto="1"/>
                </bottom>
                <vertical/>
                <horizontal/>
              </border>
            </x14:dxf>
          </x14:cfRule>
          <xm:sqref>Z397:Z399</xm:sqref>
        </x14:conditionalFormatting>
        <x14:conditionalFormatting xmlns:xm="http://schemas.microsoft.com/office/excel/2006/main">
          <x14:cfRule type="expression" priority="42" id="{43924989-B09D-4D40-81DB-23F50FC38FE1}">
            <xm:f>$Y407=Utilitaires!$N$572</xm:f>
            <x14:dxf>
              <fill>
                <patternFill>
                  <bgColor theme="0"/>
                </patternFill>
              </fill>
              <border>
                <left style="thin">
                  <color auto="1"/>
                </left>
                <right style="thin">
                  <color auto="1"/>
                </right>
                <top style="thin">
                  <color auto="1"/>
                </top>
                <bottom style="thin">
                  <color auto="1"/>
                </bottom>
                <vertical/>
                <horizontal/>
              </border>
            </x14:dxf>
          </x14:cfRule>
          <xm:sqref>Z407:Z411</xm:sqref>
        </x14:conditionalFormatting>
        <x14:conditionalFormatting xmlns:xm="http://schemas.microsoft.com/office/excel/2006/main">
          <x14:cfRule type="expression" priority="38" id="{C6458BF0-F126-4421-9BCC-8ABEAEE88A3C}">
            <xm:f>$Y422=Utilitaires!$N$572</xm:f>
            <x14:dxf>
              <fill>
                <patternFill>
                  <bgColor theme="0"/>
                </patternFill>
              </fill>
              <border>
                <left style="thin">
                  <color auto="1"/>
                </left>
                <right style="thin">
                  <color auto="1"/>
                </right>
                <top style="thin">
                  <color auto="1"/>
                </top>
                <bottom style="thin">
                  <color auto="1"/>
                </bottom>
                <vertical/>
                <horizontal/>
              </border>
            </x14:dxf>
          </x14:cfRule>
          <xm:sqref>Z422:Z423</xm:sqref>
        </x14:conditionalFormatting>
        <x14:conditionalFormatting xmlns:xm="http://schemas.microsoft.com/office/excel/2006/main">
          <x14:cfRule type="expression" priority="36" id="{FF1B1D3C-C10E-46B2-B409-1B129560C8D0}">
            <xm:f>$Y431=Utilitaires!$N$572</xm:f>
            <x14:dxf>
              <fill>
                <patternFill>
                  <bgColor theme="0"/>
                </patternFill>
              </fill>
              <border>
                <left style="thin">
                  <color auto="1"/>
                </left>
                <right style="thin">
                  <color auto="1"/>
                </right>
                <top style="thin">
                  <color auto="1"/>
                </top>
                <bottom style="thin">
                  <color auto="1"/>
                </bottom>
                <vertical/>
                <horizontal/>
              </border>
            </x14:dxf>
          </x14:cfRule>
          <xm:sqref>Z431:Z433</xm:sqref>
        </x14:conditionalFormatting>
        <x14:conditionalFormatting xmlns:xm="http://schemas.microsoft.com/office/excel/2006/main">
          <x14:cfRule type="expression" priority="33" id="{112255B5-49E0-41B5-AA3C-C4EA4FA75A3E}">
            <xm:f>$Y441=Utilitaires!$N$572</xm:f>
            <x14:dxf>
              <fill>
                <patternFill>
                  <bgColor theme="0"/>
                </patternFill>
              </fill>
              <border>
                <left style="thin">
                  <color auto="1"/>
                </left>
                <right style="thin">
                  <color auto="1"/>
                </right>
                <top style="thin">
                  <color auto="1"/>
                </top>
                <bottom style="thin">
                  <color auto="1"/>
                </bottom>
                <vertical/>
                <horizontal/>
              </border>
            </x14:dxf>
          </x14:cfRule>
          <xm:sqref>Z441:Z443</xm:sqref>
        </x14:conditionalFormatting>
        <x14:conditionalFormatting xmlns:xm="http://schemas.microsoft.com/office/excel/2006/main">
          <x14:cfRule type="expression" priority="32" id="{6119D426-3259-47CD-88E7-FEE1B4EAA229}">
            <xm:f>$Y454=Utilitaires!$N$572</xm:f>
            <x14:dxf>
              <fill>
                <patternFill>
                  <bgColor theme="0"/>
                </patternFill>
              </fill>
              <border>
                <left style="thin">
                  <color auto="1"/>
                </left>
                <right style="thin">
                  <color auto="1"/>
                </right>
                <top style="thin">
                  <color auto="1"/>
                </top>
                <bottom style="thin">
                  <color auto="1"/>
                </bottom>
                <vertical/>
                <horizontal/>
              </border>
            </x14:dxf>
          </x14:cfRule>
          <xm:sqref>Z454</xm:sqref>
        </x14:conditionalFormatting>
        <x14:conditionalFormatting xmlns:xm="http://schemas.microsoft.com/office/excel/2006/main">
          <x14:cfRule type="expression" priority="31" id="{B00164CA-5A5D-4F80-8A79-EB6299625487}">
            <xm:f>$Y462=Utilitaires!$N$572</xm:f>
            <x14:dxf>
              <fill>
                <patternFill>
                  <bgColor theme="0"/>
                </patternFill>
              </fill>
              <border>
                <left style="thin">
                  <color auto="1"/>
                </left>
                <right style="thin">
                  <color auto="1"/>
                </right>
                <top style="thin">
                  <color auto="1"/>
                </top>
                <bottom style="thin">
                  <color auto="1"/>
                </bottom>
                <vertical/>
                <horizontal/>
              </border>
            </x14:dxf>
          </x14:cfRule>
          <xm:sqref>Z462</xm:sqref>
        </x14:conditionalFormatting>
        <x14:conditionalFormatting xmlns:xm="http://schemas.microsoft.com/office/excel/2006/main">
          <x14:cfRule type="expression" priority="27" id="{D5CC5ED0-4571-4109-8FF5-B03C40AFCD39}">
            <xm:f>$Y470=Utilitaires!$N$572</xm:f>
            <x14:dxf>
              <fill>
                <patternFill>
                  <bgColor theme="0"/>
                </patternFill>
              </fill>
              <border>
                <left style="thin">
                  <color auto="1"/>
                </left>
                <right style="thin">
                  <color auto="1"/>
                </right>
                <top style="thin">
                  <color auto="1"/>
                </top>
                <bottom style="thin">
                  <color auto="1"/>
                </bottom>
                <vertical/>
                <horizontal/>
              </border>
            </x14:dxf>
          </x14:cfRule>
          <xm:sqref>Z470:Z471</xm:sqref>
        </x14:conditionalFormatting>
        <x14:conditionalFormatting xmlns:xm="http://schemas.microsoft.com/office/excel/2006/main">
          <x14:cfRule type="expression" priority="26" id="{C360D1DD-251D-44D6-B980-90FC23C1059D}">
            <xm:f>$Y479=Utilitaires!$N$572</xm:f>
            <x14:dxf>
              <fill>
                <patternFill>
                  <bgColor theme="0"/>
                </patternFill>
              </fill>
              <border>
                <left style="thin">
                  <color auto="1"/>
                </left>
                <right style="thin">
                  <color auto="1"/>
                </right>
                <top style="thin">
                  <color auto="1"/>
                </top>
                <bottom style="thin">
                  <color auto="1"/>
                </bottom>
                <vertical/>
                <horizontal/>
              </border>
            </x14:dxf>
          </x14:cfRule>
          <xm:sqref>Z479:Z481</xm:sqref>
        </x14:conditionalFormatting>
        <x14:conditionalFormatting xmlns:xm="http://schemas.microsoft.com/office/excel/2006/main">
          <x14:cfRule type="expression" priority="25" id="{86095A75-1926-4A36-8707-0FC151AE5D8E}">
            <xm:f>$Y489=Utilitaires!$N$572</xm:f>
            <x14:dxf>
              <fill>
                <patternFill>
                  <bgColor theme="0"/>
                </patternFill>
              </fill>
              <border>
                <left style="thin">
                  <color auto="1"/>
                </left>
                <right style="thin">
                  <color auto="1"/>
                </right>
                <top style="thin">
                  <color auto="1"/>
                </top>
                <bottom style="thin">
                  <color auto="1"/>
                </bottom>
                <vertical/>
                <horizontal/>
              </border>
            </x14:dxf>
          </x14:cfRule>
          <xm:sqref>Z489:Z497</xm:sqref>
        </x14:conditionalFormatting>
        <x14:conditionalFormatting xmlns:xm="http://schemas.microsoft.com/office/excel/2006/main">
          <x14:cfRule type="expression" priority="24" id="{A8F63750-A0BB-466D-856D-1C32B2CCDF98}">
            <xm:f>$Y508=Utilitaires!$N$572</xm:f>
            <x14:dxf>
              <fill>
                <patternFill>
                  <bgColor theme="0"/>
                </patternFill>
              </fill>
              <border>
                <left style="thin">
                  <color auto="1"/>
                </left>
                <right style="thin">
                  <color auto="1"/>
                </right>
                <top style="thin">
                  <color auto="1"/>
                </top>
                <bottom style="thin">
                  <color auto="1"/>
                </bottom>
                <vertical/>
                <horizontal/>
              </border>
            </x14:dxf>
          </x14:cfRule>
          <xm:sqref>Z508:Z513</xm:sqref>
        </x14:conditionalFormatting>
        <x14:conditionalFormatting xmlns:xm="http://schemas.microsoft.com/office/excel/2006/main">
          <x14:cfRule type="expression" priority="19" id="{08FEBC2C-0182-4D0C-B704-548B7738DE59}">
            <xm:f>$Y521=Utilitaires!$N$572</xm:f>
            <x14:dxf>
              <fill>
                <patternFill>
                  <bgColor theme="0"/>
                </patternFill>
              </fill>
              <border>
                <left style="thin">
                  <color auto="1"/>
                </left>
                <right style="thin">
                  <color auto="1"/>
                </right>
                <top style="thin">
                  <color auto="1"/>
                </top>
                <bottom style="thin">
                  <color auto="1"/>
                </bottom>
                <vertical/>
                <horizontal/>
              </border>
            </x14:dxf>
          </x14:cfRule>
          <xm:sqref>Z521:Z523</xm:sqref>
        </x14:conditionalFormatting>
        <x14:conditionalFormatting xmlns:xm="http://schemas.microsoft.com/office/excel/2006/main">
          <x14:cfRule type="expression" priority="16" id="{0E019974-1C1D-45EB-9709-E22B69F799DF}">
            <xm:f>$Y531=Utilitaires!$N$572</xm:f>
            <x14:dxf>
              <fill>
                <patternFill>
                  <bgColor theme="0"/>
                </patternFill>
              </fill>
              <border>
                <left style="thin">
                  <color auto="1"/>
                </left>
                <right style="thin">
                  <color auto="1"/>
                </right>
                <top style="thin">
                  <color auto="1"/>
                </top>
                <bottom style="thin">
                  <color auto="1"/>
                </bottom>
                <vertical/>
                <horizontal/>
              </border>
            </x14:dxf>
          </x14:cfRule>
          <xm:sqref>Z531:Z533</xm:sqref>
        </x14:conditionalFormatting>
        <x14:conditionalFormatting xmlns:xm="http://schemas.microsoft.com/office/excel/2006/main">
          <x14:cfRule type="expression" priority="14" id="{14DF0CA4-5197-4745-9B3B-D454712A747D}">
            <xm:f>$Y541=Utilitaires!$N$572</xm:f>
            <x14:dxf>
              <fill>
                <patternFill>
                  <bgColor theme="0"/>
                </patternFill>
              </fill>
              <border>
                <left style="thin">
                  <color auto="1"/>
                </left>
                <right style="thin">
                  <color auto="1"/>
                </right>
                <top style="thin">
                  <color auto="1"/>
                </top>
                <bottom style="thin">
                  <color auto="1"/>
                </bottom>
                <vertical/>
                <horizontal/>
              </border>
            </x14:dxf>
          </x14:cfRule>
          <xm:sqref>Z541:Z543</xm:sqref>
        </x14:conditionalFormatting>
        <x14:conditionalFormatting xmlns:xm="http://schemas.microsoft.com/office/excel/2006/main">
          <x14:cfRule type="expression" priority="12" id="{3BBE98E9-3E09-455F-8092-D5BE404E3817}">
            <xm:f>$Y551=Utilitaires!$N$572</xm:f>
            <x14:dxf>
              <fill>
                <patternFill>
                  <bgColor theme="0"/>
                </patternFill>
              </fill>
              <border>
                <left style="thin">
                  <color auto="1"/>
                </left>
                <right style="thin">
                  <color auto="1"/>
                </right>
                <top style="thin">
                  <color auto="1"/>
                </top>
                <bottom style="thin">
                  <color auto="1"/>
                </bottom>
                <vertical/>
                <horizontal/>
              </border>
            </x14:dxf>
          </x14:cfRule>
          <xm:sqref>Z551:Z553</xm:sqref>
        </x14:conditionalFormatting>
        <x14:conditionalFormatting xmlns:xm="http://schemas.microsoft.com/office/excel/2006/main">
          <x14:cfRule type="expression" priority="6" id="{B64D393C-F37F-4134-BF1E-FF1F2498F6B7}">
            <xm:f>$Y492=Utilitaires!$N$572</xm:f>
            <x14:dxf>
              <fill>
                <patternFill>
                  <bgColor theme="0"/>
                </patternFill>
              </fill>
              <border>
                <left style="thin">
                  <color auto="1"/>
                </left>
                <right style="thin">
                  <color auto="1"/>
                </right>
                <top style="thin">
                  <color auto="1"/>
                </top>
                <bottom style="thin">
                  <color auto="1"/>
                </bottom>
                <vertical/>
                <horizontal/>
              </border>
            </x14:dxf>
          </x14:cfRule>
          <xm:sqref>Y492:Y493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theme="5"/>
    <outlinePr summaryBelow="0" summaryRight="0"/>
  </sheetPr>
  <dimension ref="A1:BS613"/>
  <sheetViews>
    <sheetView showGridLines="0" zoomScale="77" zoomScaleNormal="77" workbookViewId="0">
      <pane xSplit="3" ySplit="9" topLeftCell="D231" activePane="bottomRight" state="frozenSplit"/>
      <selection pane="topRight" activeCell="E9" sqref="E9"/>
      <selection pane="bottomLeft" activeCell="A10" sqref="A10"/>
      <selection pane="bottomRight" activeCell="B281" sqref="B281"/>
    </sheetView>
  </sheetViews>
  <sheetFormatPr baseColWidth="10" defaultColWidth="0" defaultRowHeight="13.2" outlineLevelRow="2" outlineLevelCol="1"/>
  <cols>
    <col min="1" max="1" width="2.75" style="114" customWidth="1"/>
    <col min="2" max="2" width="52.75" style="114" customWidth="1"/>
    <col min="3" max="3" width="2.375" style="114" customWidth="1"/>
    <col min="4" max="4" width="16.25" style="114" bestFit="1" customWidth="1"/>
    <col min="5" max="5" width="12.25" style="114" customWidth="1"/>
    <col min="6" max="6" width="15.75" style="114" customWidth="1"/>
    <col min="7" max="24" width="12.25" style="114" customWidth="1"/>
    <col min="25" max="25" width="17.125" style="114" bestFit="1" customWidth="1"/>
    <col min="26" max="30" width="12.25" style="114" customWidth="1"/>
    <col min="31" max="32" width="12.25" style="116" customWidth="1"/>
    <col min="33" max="50" width="12.25" style="441" customWidth="1" outlineLevel="1"/>
    <col min="51" max="53" width="12.25" style="114" customWidth="1" outlineLevel="1"/>
    <col min="54" max="57" width="11.375" style="114" customWidth="1" outlineLevel="1"/>
    <col min="58" max="58" width="11.375" style="114" customWidth="1" collapsed="1"/>
    <col min="59" max="65" width="11.375" style="114" hidden="1" customWidth="1" outlineLevel="1"/>
    <col min="66" max="71" width="10.875" style="114" hidden="1" customWidth="1" outlineLevel="1"/>
    <col min="72" max="16384" width="10.875" style="114" hidden="1"/>
  </cols>
  <sheetData>
    <row r="1" spans="2:68" s="113" customFormat="1" ht="22.8">
      <c r="AE1" s="418"/>
      <c r="AF1" s="1645" t="s">
        <v>2441</v>
      </c>
      <c r="AG1" s="576"/>
      <c r="AH1" s="576"/>
      <c r="AI1" s="576"/>
      <c r="AJ1" s="576"/>
      <c r="AK1" s="576"/>
      <c r="AL1" s="576"/>
      <c r="AM1" s="576"/>
      <c r="AN1" s="576"/>
      <c r="AO1" s="576"/>
      <c r="AP1" s="576"/>
      <c r="AQ1" s="576"/>
      <c r="AR1" s="576"/>
      <c r="AS1" s="576"/>
      <c r="AT1" s="576"/>
      <c r="AU1" s="576"/>
      <c r="AV1" s="576"/>
      <c r="AW1" s="576"/>
      <c r="AX1" s="576"/>
      <c r="BF1" s="1644" t="s">
        <v>2440</v>
      </c>
    </row>
    <row r="2" spans="2:68" s="113" customFormat="1" ht="30" customHeight="1">
      <c r="B2" s="2602" t="str">
        <f>Descriptif!C31</f>
        <v>Déplacements</v>
      </c>
      <c r="C2" s="2603"/>
      <c r="D2" s="2603"/>
      <c r="E2" s="2603"/>
      <c r="F2" s="2603"/>
      <c r="G2" s="2603"/>
      <c r="H2" s="2603"/>
      <c r="I2" s="2603"/>
      <c r="J2" s="2603"/>
      <c r="K2" s="2603"/>
      <c r="L2" s="2603"/>
      <c r="M2" s="2603"/>
      <c r="N2" s="2603"/>
      <c r="O2" s="2604"/>
      <c r="AE2" s="418"/>
      <c r="AF2" s="418"/>
      <c r="AG2" s="576"/>
      <c r="AH2" s="576"/>
      <c r="AI2" s="576"/>
      <c r="AJ2" s="576"/>
      <c r="AK2" s="576"/>
      <c r="AL2" s="576"/>
      <c r="AM2" s="576"/>
      <c r="AN2" s="576"/>
      <c r="AO2" s="576"/>
      <c r="AP2" s="576"/>
      <c r="AQ2" s="576"/>
      <c r="AR2" s="576"/>
      <c r="AS2" s="576"/>
      <c r="AT2" s="576"/>
      <c r="AU2" s="576"/>
      <c r="AV2" s="576"/>
      <c r="AW2" s="576"/>
      <c r="AX2" s="576"/>
    </row>
    <row r="3" spans="2:68" s="253" customFormat="1" ht="13.8">
      <c r="D3" s="115"/>
      <c r="E3" s="115"/>
      <c r="F3" s="115"/>
      <c r="H3" s="115"/>
      <c r="J3" s="115"/>
      <c r="L3" s="115"/>
      <c r="N3" s="115"/>
      <c r="AE3" s="1237"/>
      <c r="AF3" s="1237"/>
      <c r="AG3" s="618"/>
      <c r="AH3" s="618"/>
      <c r="AI3" s="618"/>
      <c r="AJ3" s="618"/>
      <c r="AK3" s="618"/>
      <c r="AL3" s="618"/>
      <c r="AM3" s="618"/>
      <c r="AN3" s="618"/>
      <c r="AO3" s="618"/>
      <c r="AP3" s="618"/>
      <c r="AQ3" s="618"/>
      <c r="AR3" s="618"/>
      <c r="AS3" s="618"/>
      <c r="AT3" s="618"/>
      <c r="AU3" s="618"/>
      <c r="AV3" s="618"/>
      <c r="AW3" s="618"/>
      <c r="AX3" s="618"/>
    </row>
    <row r="4" spans="2:68" s="253" customFormat="1" ht="13.8">
      <c r="B4" s="1001" t="s">
        <v>536</v>
      </c>
      <c r="C4" s="287"/>
      <c r="D4" s="2760" t="s">
        <v>36</v>
      </c>
      <c r="E4" s="2760"/>
      <c r="F4" s="2760" t="s">
        <v>554</v>
      </c>
      <c r="G4" s="2760"/>
      <c r="H4" s="2760" t="s">
        <v>555</v>
      </c>
      <c r="I4" s="2760"/>
      <c r="J4" s="2760" t="s">
        <v>556</v>
      </c>
      <c r="K4" s="2760"/>
      <c r="L4" s="2760" t="s">
        <v>557</v>
      </c>
      <c r="M4" s="2760"/>
      <c r="N4" s="2760" t="s">
        <v>558</v>
      </c>
      <c r="O4" s="2771"/>
      <c r="AE4" s="1237"/>
      <c r="AF4" s="1237"/>
      <c r="AG4" s="618"/>
      <c r="AH4" s="618"/>
      <c r="AI4" s="618"/>
      <c r="AJ4" s="618"/>
      <c r="AK4" s="618"/>
      <c r="AL4" s="618"/>
      <c r="AM4" s="618"/>
      <c r="AN4" s="618"/>
      <c r="AO4" s="618"/>
      <c r="AP4" s="618"/>
      <c r="AQ4" s="618"/>
      <c r="AR4" s="618"/>
      <c r="AS4" s="618"/>
      <c r="AT4" s="618"/>
      <c r="AU4" s="618"/>
      <c r="AV4" s="618"/>
      <c r="AW4" s="618"/>
      <c r="AX4" s="618"/>
    </row>
    <row r="5" spans="2:68" s="211" customFormat="1" ht="13.8">
      <c r="B5" s="288"/>
      <c r="C5" s="73"/>
      <c r="D5" s="2772" t="s">
        <v>496</v>
      </c>
      <c r="E5" s="2772"/>
      <c r="F5" s="2772"/>
      <c r="G5" s="2772"/>
      <c r="H5" s="2772"/>
      <c r="I5" s="2772"/>
      <c r="J5" s="2772"/>
      <c r="K5" s="2772"/>
      <c r="L5" s="2772"/>
      <c r="M5" s="2772"/>
      <c r="N5" s="2761" t="s">
        <v>893</v>
      </c>
      <c r="O5" s="2762"/>
      <c r="AE5" s="1084"/>
      <c r="AF5" s="1084"/>
      <c r="AG5" s="445"/>
      <c r="AH5" s="445"/>
      <c r="AI5" s="445"/>
      <c r="AJ5" s="445"/>
      <c r="AK5" s="445"/>
      <c r="AL5" s="445"/>
      <c r="AM5" s="445"/>
      <c r="AN5" s="445"/>
      <c r="AO5" s="445"/>
      <c r="AP5" s="445"/>
      <c r="AQ5" s="445"/>
      <c r="AR5" s="445"/>
      <c r="AS5" s="445"/>
      <c r="AT5" s="445"/>
      <c r="AU5" s="445"/>
      <c r="AV5" s="445"/>
      <c r="AW5" s="445"/>
      <c r="AX5" s="445"/>
    </row>
    <row r="6" spans="2:68" s="211" customFormat="1" ht="13.8">
      <c r="B6" s="194" t="s">
        <v>521</v>
      </c>
      <c r="C6" s="195"/>
      <c r="D6" s="2745" t="s">
        <v>212</v>
      </c>
      <c r="E6" s="2745"/>
      <c r="F6" s="2745" t="s">
        <v>428</v>
      </c>
      <c r="G6" s="2745"/>
      <c r="H6" s="2745" t="s">
        <v>484</v>
      </c>
      <c r="I6" s="2745"/>
      <c r="J6" s="2745" t="s">
        <v>758</v>
      </c>
      <c r="K6" s="2745"/>
      <c r="L6" s="2745" t="s">
        <v>818</v>
      </c>
      <c r="M6" s="2745"/>
      <c r="N6" s="2745" t="s">
        <v>2444</v>
      </c>
      <c r="O6" s="2775"/>
      <c r="AE6" s="1084"/>
      <c r="AF6" s="1084"/>
      <c r="AG6" s="445"/>
      <c r="AH6" s="445"/>
      <c r="AI6" s="445"/>
      <c r="AJ6" s="445"/>
      <c r="AK6" s="445"/>
      <c r="AL6" s="445"/>
      <c r="AM6" s="445"/>
      <c r="AN6" s="445"/>
      <c r="AO6" s="445"/>
      <c r="AP6" s="445"/>
      <c r="AQ6" s="445"/>
      <c r="AR6" s="445"/>
      <c r="AS6" s="445"/>
      <c r="AT6" s="445"/>
      <c r="AU6" s="445"/>
      <c r="AV6" s="445"/>
      <c r="AW6" s="445"/>
      <c r="AX6" s="445"/>
    </row>
    <row r="7" spans="2:68" s="211" customFormat="1" ht="13.8">
      <c r="B7" s="115"/>
      <c r="C7" s="115"/>
      <c r="D7" s="115"/>
      <c r="E7" s="115"/>
      <c r="F7" s="115"/>
      <c r="AE7" s="1084"/>
      <c r="AF7" s="1084"/>
      <c r="AG7" s="445"/>
      <c r="AH7" s="445"/>
      <c r="AI7" s="445"/>
      <c r="AJ7" s="445"/>
      <c r="AK7" s="445"/>
      <c r="AL7" s="445"/>
      <c r="AM7" s="445"/>
      <c r="AN7" s="445"/>
      <c r="AO7" s="445"/>
      <c r="AP7" s="445"/>
      <c r="AQ7" s="445"/>
      <c r="AR7" s="445"/>
      <c r="AS7" s="445"/>
      <c r="AT7" s="445"/>
      <c r="AU7" s="445"/>
      <c r="AV7" s="445"/>
      <c r="AW7" s="445"/>
      <c r="AX7" s="445"/>
    </row>
    <row r="8" spans="2:68" ht="28.5" customHeight="1">
      <c r="B8" s="2855" t="s">
        <v>820</v>
      </c>
      <c r="C8" s="2856"/>
      <c r="D8" s="998" t="str">
        <f>Immobilisations!D7</f>
        <v>Oui</v>
      </c>
      <c r="AF8" s="444"/>
      <c r="AR8" s="114"/>
      <c r="AS8" s="114"/>
      <c r="AT8" s="114"/>
      <c r="AU8" s="114"/>
      <c r="AV8" s="114"/>
      <c r="AW8" s="114"/>
      <c r="AX8" s="114"/>
    </row>
    <row r="9" spans="2:68" s="211" customFormat="1" ht="13.8">
      <c r="B9" s="115"/>
      <c r="C9" s="115"/>
      <c r="D9" s="115"/>
      <c r="E9" s="115"/>
      <c r="F9" s="115"/>
      <c r="AE9" s="1084"/>
      <c r="AF9" s="1084"/>
      <c r="AG9" s="445"/>
      <c r="AH9" s="445"/>
      <c r="AI9" s="445"/>
      <c r="AJ9" s="445"/>
      <c r="AK9" s="445"/>
      <c r="AL9" s="445"/>
      <c r="AM9" s="445"/>
      <c r="AN9" s="445"/>
      <c r="AO9" s="445"/>
      <c r="AP9" s="445"/>
      <c r="AQ9" s="445"/>
      <c r="AR9" s="445"/>
      <c r="AS9" s="445"/>
      <c r="AT9" s="445"/>
      <c r="AU9" s="445"/>
      <c r="AV9" s="445"/>
      <c r="AW9" s="445"/>
      <c r="AX9" s="445"/>
    </row>
    <row r="10" spans="2:68" ht="15.6">
      <c r="B10" s="2652" t="s">
        <v>369</v>
      </c>
      <c r="C10" s="2653"/>
      <c r="D10" s="2653"/>
      <c r="E10" s="2653"/>
      <c r="F10" s="2653"/>
      <c r="G10" s="2653"/>
      <c r="H10" s="2653"/>
      <c r="I10" s="2653"/>
      <c r="J10" s="2653"/>
      <c r="K10" s="2653"/>
      <c r="L10" s="2653"/>
      <c r="M10" s="2653"/>
      <c r="N10" s="2653"/>
      <c r="O10" s="2654"/>
    </row>
    <row r="11" spans="2:68" outlineLevel="1">
      <c r="H11" s="269"/>
    </row>
    <row r="12" spans="2:68" s="116" customFormat="1" ht="12.75" customHeight="1" outlineLevel="1">
      <c r="B12" s="139" t="s">
        <v>574</v>
      </c>
      <c r="C12" s="140"/>
      <c r="D12" s="377"/>
      <c r="E12" s="1648"/>
      <c r="F12" s="140"/>
      <c r="G12" s="141"/>
      <c r="H12" s="141"/>
      <c r="I12" s="141"/>
      <c r="J12" s="141"/>
      <c r="K12" s="141"/>
      <c r="L12" s="141"/>
      <c r="M12" s="141"/>
      <c r="N12" s="141"/>
      <c r="O12" s="141"/>
      <c r="P12" s="141"/>
      <c r="Q12" s="141"/>
      <c r="R12" s="141"/>
      <c r="S12" s="141"/>
      <c r="T12" s="142"/>
      <c r="U12" s="142"/>
      <c r="V12" s="114"/>
      <c r="W12" s="114"/>
      <c r="X12" s="2636" t="s">
        <v>366</v>
      </c>
      <c r="Y12" s="2637"/>
      <c r="Z12" s="2637"/>
      <c r="AA12" s="2637"/>
      <c r="AB12" s="2637"/>
      <c r="AC12" s="2638"/>
      <c r="AD12" s="1773"/>
      <c r="AE12" s="1773"/>
      <c r="AG12" s="2639" t="s">
        <v>441</v>
      </c>
      <c r="AH12" s="2640"/>
      <c r="AI12" s="2640"/>
      <c r="AJ12" s="2640"/>
      <c r="AK12" s="2640"/>
      <c r="AL12" s="2640"/>
      <c r="AM12" s="2640"/>
      <c r="AN12" s="2640"/>
      <c r="AO12" s="2640"/>
      <c r="AP12" s="2640"/>
      <c r="AQ12" s="2640"/>
      <c r="AR12" s="2640"/>
      <c r="AS12" s="2640"/>
      <c r="AT12" s="2640"/>
      <c r="AU12" s="2640"/>
      <c r="AV12" s="2640"/>
      <c r="AW12" s="2640"/>
      <c r="AX12" s="2641"/>
    </row>
    <row r="13" spans="2:68" ht="12.75" customHeight="1" outlineLevel="1">
      <c r="B13" s="143"/>
      <c r="C13" s="144"/>
      <c r="D13" s="378" t="s">
        <v>308</v>
      </c>
      <c r="E13" s="1663"/>
      <c r="F13" s="144"/>
      <c r="G13" s="144"/>
      <c r="H13" s="144"/>
      <c r="I13" s="144"/>
      <c r="J13" s="144"/>
      <c r="K13" s="144"/>
      <c r="L13" s="144"/>
      <c r="M13" s="144"/>
      <c r="N13" s="144"/>
      <c r="O13" s="144"/>
      <c r="P13" s="144"/>
      <c r="Q13" s="144"/>
      <c r="R13" s="144"/>
      <c r="S13" s="144"/>
      <c r="T13" s="145"/>
      <c r="U13" s="1259" t="s">
        <v>275</v>
      </c>
      <c r="X13" s="1170"/>
      <c r="Y13" s="818"/>
      <c r="Z13" s="818"/>
      <c r="AA13" s="2651"/>
      <c r="AB13" s="2651"/>
      <c r="AC13" s="2851"/>
      <c r="AD13" s="1899" t="s">
        <v>275</v>
      </c>
      <c r="AE13" s="1774"/>
      <c r="AF13" s="127"/>
      <c r="AG13" s="2642" t="s">
        <v>444</v>
      </c>
      <c r="AH13" s="2643"/>
      <c r="AI13" s="2643"/>
      <c r="AJ13" s="2643"/>
      <c r="AK13" s="2643"/>
      <c r="AL13" s="2643"/>
      <c r="AM13" s="2643"/>
      <c r="AN13" s="2643"/>
      <c r="AO13" s="2643"/>
      <c r="AP13" s="2643"/>
      <c r="AQ13" s="2643"/>
      <c r="AR13" s="2644"/>
      <c r="AS13" s="2642" t="s">
        <v>444</v>
      </c>
      <c r="AT13" s="2643"/>
      <c r="AU13" s="565"/>
      <c r="AV13" s="1288"/>
      <c r="AW13" s="566"/>
      <c r="AX13" s="583"/>
      <c r="BH13" s="2532" t="s">
        <v>1648</v>
      </c>
      <c r="BI13" s="2533"/>
      <c r="BJ13" s="2533"/>
      <c r="BK13" s="2533"/>
      <c r="BL13" s="2533"/>
      <c r="BM13" s="2533"/>
      <c r="BN13" s="2533"/>
      <c r="BO13" s="2533"/>
      <c r="BP13" s="2534"/>
    </row>
    <row r="14" spans="2:68" s="109" customFormat="1" ht="12.75" customHeight="1" outlineLevel="1">
      <c r="B14" s="382" t="s">
        <v>2248</v>
      </c>
      <c r="C14" s="379"/>
      <c r="D14" s="379" t="s">
        <v>409</v>
      </c>
      <c r="E14" s="1656"/>
      <c r="F14" s="147" t="s">
        <v>452</v>
      </c>
      <c r="G14" s="147" t="s">
        <v>343</v>
      </c>
      <c r="H14" s="2626" t="s">
        <v>1585</v>
      </c>
      <c r="I14" s="2627"/>
      <c r="J14" s="147" t="s">
        <v>343</v>
      </c>
      <c r="K14" s="2626" t="s">
        <v>1573</v>
      </c>
      <c r="L14" s="2627"/>
      <c r="M14" s="147" t="s">
        <v>343</v>
      </c>
      <c r="N14" s="2626" t="s">
        <v>1575</v>
      </c>
      <c r="O14" s="2627"/>
      <c r="P14" s="147" t="s">
        <v>343</v>
      </c>
      <c r="Q14" s="2626" t="s">
        <v>1574</v>
      </c>
      <c r="R14" s="2628"/>
      <c r="S14" s="378" t="s">
        <v>444</v>
      </c>
      <c r="T14" s="384" t="s">
        <v>444</v>
      </c>
      <c r="U14" s="1259" t="s">
        <v>276</v>
      </c>
      <c r="V14" s="114"/>
      <c r="W14" s="114"/>
      <c r="X14" s="1252" t="s">
        <v>316</v>
      </c>
      <c r="Y14" s="2629" t="s">
        <v>316</v>
      </c>
      <c r="Z14" s="2630"/>
      <c r="AA14" s="1656" t="s">
        <v>444</v>
      </c>
      <c r="AB14" s="1656" t="s">
        <v>444</v>
      </c>
      <c r="AC14" s="537" t="s">
        <v>444</v>
      </c>
      <c r="AD14" s="153" t="s">
        <v>276</v>
      </c>
      <c r="AE14" s="1774"/>
      <c r="AF14" s="127"/>
      <c r="AG14" s="2631" t="s">
        <v>211</v>
      </c>
      <c r="AH14" s="2632"/>
      <c r="AI14" s="2632"/>
      <c r="AJ14" s="2632" t="s">
        <v>442</v>
      </c>
      <c r="AK14" s="2632"/>
      <c r="AL14" s="2632"/>
      <c r="AM14" s="2632" t="s">
        <v>267</v>
      </c>
      <c r="AN14" s="2632"/>
      <c r="AO14" s="2632"/>
      <c r="AP14" s="2632" t="s">
        <v>443</v>
      </c>
      <c r="AQ14" s="2632"/>
      <c r="AR14" s="2650"/>
      <c r="AS14" s="2848" t="s">
        <v>327</v>
      </c>
      <c r="AT14" s="2648"/>
      <c r="AU14" s="565"/>
      <c r="AV14" s="2631" t="s">
        <v>636</v>
      </c>
      <c r="AW14" s="2632"/>
      <c r="AX14" s="568"/>
      <c r="BH14" s="2837" t="s">
        <v>1646</v>
      </c>
      <c r="BI14" s="2530" t="s">
        <v>1644</v>
      </c>
      <c r="BJ14" s="2541"/>
      <c r="BK14" s="2541"/>
      <c r="BL14" s="2531"/>
      <c r="BM14" s="2614" t="s">
        <v>1645</v>
      </c>
      <c r="BN14" s="2645"/>
      <c r="BO14" s="2645"/>
      <c r="BP14" s="2615"/>
    </row>
    <row r="15" spans="2:68" s="109" customFormat="1" ht="12.75" customHeight="1" outlineLevel="1">
      <c r="B15" s="382"/>
      <c r="C15" s="379"/>
      <c r="D15" s="379" t="s">
        <v>444</v>
      </c>
      <c r="E15" s="1656"/>
      <c r="F15" s="149" t="s">
        <v>445</v>
      </c>
      <c r="G15" s="153" t="s">
        <v>287</v>
      </c>
      <c r="H15" s="381" t="s">
        <v>411</v>
      </c>
      <c r="I15" s="381" t="s">
        <v>257</v>
      </c>
      <c r="J15" s="153" t="s">
        <v>790</v>
      </c>
      <c r="K15" s="381" t="s">
        <v>411</v>
      </c>
      <c r="L15" s="381" t="s">
        <v>257</v>
      </c>
      <c r="M15" s="153" t="s">
        <v>791</v>
      </c>
      <c r="N15" s="381" t="s">
        <v>411</v>
      </c>
      <c r="O15" s="381" t="s">
        <v>257</v>
      </c>
      <c r="P15" s="153" t="s">
        <v>213</v>
      </c>
      <c r="Q15" s="381" t="s">
        <v>411</v>
      </c>
      <c r="R15" s="381" t="s">
        <v>257</v>
      </c>
      <c r="S15" s="380" t="s">
        <v>411</v>
      </c>
      <c r="T15" s="220" t="s">
        <v>257</v>
      </c>
      <c r="U15" s="1259" t="s">
        <v>444</v>
      </c>
      <c r="V15" s="114"/>
      <c r="W15" s="114"/>
      <c r="X15" s="1252" t="s">
        <v>1649</v>
      </c>
      <c r="Y15" s="2646" t="s">
        <v>1650</v>
      </c>
      <c r="Z15" s="2647"/>
      <c r="AA15" s="1662" t="s">
        <v>411</v>
      </c>
      <c r="AB15" s="1662" t="s">
        <v>257</v>
      </c>
      <c r="AC15" s="166" t="s">
        <v>327</v>
      </c>
      <c r="AD15" s="153" t="s">
        <v>444</v>
      </c>
      <c r="AE15" s="1774"/>
      <c r="AF15" s="116"/>
      <c r="AG15" s="579" t="s">
        <v>411</v>
      </c>
      <c r="AH15" s="580" t="s">
        <v>257</v>
      </c>
      <c r="AI15" s="580"/>
      <c r="AJ15" s="580" t="s">
        <v>411</v>
      </c>
      <c r="AK15" s="580" t="s">
        <v>257</v>
      </c>
      <c r="AL15" s="580"/>
      <c r="AM15" s="580" t="s">
        <v>411</v>
      </c>
      <c r="AN15" s="580" t="s">
        <v>257</v>
      </c>
      <c r="AO15" s="580"/>
      <c r="AP15" s="580" t="s">
        <v>411</v>
      </c>
      <c r="AQ15" s="580" t="s">
        <v>257</v>
      </c>
      <c r="AR15" s="580"/>
      <c r="AS15" s="1289" t="s">
        <v>411</v>
      </c>
      <c r="AT15" s="581" t="s">
        <v>257</v>
      </c>
      <c r="AU15" s="565"/>
      <c r="AV15" s="579" t="s">
        <v>411</v>
      </c>
      <c r="AW15" s="580" t="s">
        <v>257</v>
      </c>
      <c r="AX15" s="583"/>
      <c r="BH15" s="2838"/>
      <c r="BI15" s="1062" t="s">
        <v>199</v>
      </c>
      <c r="BJ15" s="1063" t="s">
        <v>309</v>
      </c>
      <c r="BK15" s="1063" t="s">
        <v>272</v>
      </c>
      <c r="BL15" s="1064" t="s">
        <v>2254</v>
      </c>
      <c r="BM15" s="1062" t="s">
        <v>199</v>
      </c>
      <c r="BN15" s="1063" t="s">
        <v>309</v>
      </c>
      <c r="BO15" s="1063" t="s">
        <v>272</v>
      </c>
      <c r="BP15" s="1064" t="s">
        <v>2254</v>
      </c>
    </row>
    <row r="16" spans="2:68" outlineLevel="1">
      <c r="B16" s="143" t="s">
        <v>5167</v>
      </c>
      <c r="C16" s="144"/>
      <c r="D16" s="212">
        <f t="shared" ref="D16:D21" si="0">S16+T16</f>
        <v>0</v>
      </c>
      <c r="E16" s="212"/>
      <c r="F16" s="117"/>
      <c r="G16" s="117"/>
      <c r="H16" s="335">
        <f>IF(ISNA(VLOOKUP($B16&amp;"; "&amp;$H$14&amp;", "&amp;H$15,'FE Déplacements'!$G:$U,9,FALSE)),0,VLOOKUP($B16&amp;"; "&amp;$H$14&amp;", "&amp;H$15,'FE Déplacements'!$G:$U,9,FALSE))</f>
        <v>0</v>
      </c>
      <c r="I16" s="335">
        <f>IF(ISNA(VLOOKUP($B16&amp;"; "&amp;$H$14&amp;", "&amp;I$15,'FE Déplacements'!$G:$U,9,FALSE)),0,VLOOKUP($B16&amp;"; "&amp;$H$14&amp;", "&amp;I$15,'FE Déplacements'!$G:$U,9,FALSE))</f>
        <v>0</v>
      </c>
      <c r="J16" s="117"/>
      <c r="K16" s="335">
        <f>IF(ISNA(VLOOKUP($B16&amp;"; "&amp;$K$14&amp;", "&amp;K$15,'FE Déplacements'!$G:$U,9,FALSE)),0,VLOOKUP($B16&amp;"; "&amp;$K$14&amp;", "&amp;K$15,'FE Déplacements'!$G:$U,9,FALSE))</f>
        <v>5.7200000000000001E-2</v>
      </c>
      <c r="L16" s="335">
        <f>IF(ISNA(VLOOKUP($B16&amp;"; "&amp;$K$14&amp;", "&amp;L$15,'FE Déplacements'!$G:$U,9,FALSE)),0,VLOOKUP($B16&amp;"; "&amp;$K$14&amp;", "&amp;L$15,'FE Déplacements'!$G:$U,9,FALSE))</f>
        <v>0.249</v>
      </c>
      <c r="M16" s="117"/>
      <c r="N16" s="335">
        <f>IF(ISNA(VLOOKUP($B16&amp;"; "&amp;$N$14&amp;", "&amp;N$15,'FE Déplacements'!$G:$U,9,FALSE)),0,VLOOKUP($B16&amp;"; "&amp;$N$14&amp;", "&amp;N$15,'FE Déplacements'!$G:$U,9,FALSE))</f>
        <v>667</v>
      </c>
      <c r="O16" s="335">
        <f>IF(ISNA(VLOOKUP($B16&amp;"; "&amp;$N$14&amp;", "&amp;O$15,'FE Déplacements'!$G:$U,9,FALSE)),0,VLOOKUP($B16&amp;"; "&amp;$N$14&amp;", "&amp;O$15,'FE Déplacements'!$G:$U,9,FALSE))</f>
        <v>2907</v>
      </c>
      <c r="P16" s="117"/>
      <c r="Q16" s="335">
        <f>IF(ISNA(VLOOKUP($B16&amp;"; "&amp;$Q$14&amp;", "&amp;Q$15,'FE Déplacements'!$G:$U,9,FALSE)),0,VLOOKUP($B16&amp;"; "&amp;$Q$14&amp;", "&amp;Q$15,'FE Déplacements'!$G:$U,9,FALSE))</f>
        <v>0.504</v>
      </c>
      <c r="R16" s="335">
        <f>IF(ISNA(VLOOKUP($B16&amp;"; "&amp;$Q$14&amp;", "&amp;R$15,'FE Déplacements'!$G:$U,9,FALSE)),0,VLOOKUP($B16&amp;"; "&amp;$Q$14&amp;", "&amp;R$15,'FE Déplacements'!$G:$U,9,FALSE))</f>
        <v>2.2200000000000002</v>
      </c>
      <c r="S16" s="151">
        <f t="shared" ref="S16:S21" si="1">G16*H16+J16*K16+M16*N16+P16*Q16</f>
        <v>0</v>
      </c>
      <c r="T16" s="152">
        <f>IF(ISNA(G16*I16),0,G16*I16)+IF(ISNA(J16*L16),0,J16*L16)+IF(ISNA(M16*O16),0,M16*O16)+IF(ISNA(P16*R16),0,P16*R16)</f>
        <v>0</v>
      </c>
      <c r="U16" s="165">
        <f>IF(OR(F16=Utilitaires!$I$572,F16=Utilitaires!$I$577),T16,0)</f>
        <v>0</v>
      </c>
      <c r="X16" s="1092">
        <f t="shared" ref="X16:X21" si="2">IF(AC16=0,AC16,AC16/D16)</f>
        <v>0</v>
      </c>
      <c r="Y16" s="343"/>
      <c r="Z16" s="820"/>
      <c r="AA16" s="164">
        <f t="shared" ref="AA16:AA21" si="3">SQRT(SUMSQ(IF(ISNA($G16*H16*BI16),0,$G16*H16*BI16),IF(ISNA($J16*K16*BJ16),0,$J16*K16*BJ16),IF(ISNA($M16*N16*BK16),0,$M16*N16*BK16),IF(ISNA($P16*Q16*BL16),0,$P16*Q16*BL16)))</f>
        <v>0</v>
      </c>
      <c r="AB16" s="164">
        <f t="shared" ref="AB16:AB21" si="4">SQRT(SUMSQ(IF(ISNA($G16*I16*BM16),0,$G16*I16*BM16),IF(ISNA($J16*L16*BN16),0,$J16*L16*BN16),IF(ISNA($M16*O16*BO16),0,$M16*O16*BO16),IF(ISNA($P16*R16*BP16),0,$P16*R16*BP16)))</f>
        <v>0</v>
      </c>
      <c r="AC16" s="151">
        <f t="shared" ref="AC16:AC21" si="5">SQRT(SUMSQ(AA16,AB16))</f>
        <v>0</v>
      </c>
      <c r="AD16" s="1286">
        <f t="shared" ref="AD16:AD21" si="6">P16*W16</f>
        <v>0</v>
      </c>
      <c r="AE16" s="257"/>
      <c r="AG16" s="564">
        <f>$G16*IF(ISNA(VLOOKUP($B16&amp;"; "&amp;$H$14&amp;", "&amp;H$15,'FE Déplacements'!$G:$U,10,FALSE)),0,VLOOKUP($B16&amp;"; "&amp;$H$14&amp;", "&amp;H$15,'FE Déplacements'!$G:$U,10,FALSE))
+$J16*IF(ISNA(VLOOKUP($B16&amp;"; "&amp;$K$14&amp;", "&amp;H$15,'FE Déplacements'!$G:$U,10,FALSE)),0,VLOOKUP($B16&amp;"; "&amp;$K$14&amp;", "&amp;H$15,'FE Déplacements'!$G:$U,10,FALSE))
+$M16*IF(ISNA(VLOOKUP($B16&amp;"; "&amp;$N$14&amp;", "&amp;H$15,'FE Déplacements'!$G:$U,10,FALSE)),0,VLOOKUP($B16&amp;"; "&amp;$N$14&amp;", "&amp;H$15,'FE Déplacements'!$G:$U,10,FALSE))
+$P16*IF(ISNA(VLOOKUP($B16&amp;"; "&amp;$Q$14&amp;", "&amp;H$15,'FE Déplacements'!$G:$U,10,FALSE)),0,VLOOKUP($B16&amp;"; "&amp;$Q$14&amp;", "&amp;H$15,'FE Déplacements'!$G:$U,10,FALSE))</f>
        <v>0</v>
      </c>
      <c r="AH16" s="565">
        <f>$G16*IF(ISNA(VLOOKUP($B16&amp;"; "&amp;$H$14&amp;", "&amp;I$15,'FE Déplacements'!$G:$U,10,FALSE)),0,VLOOKUP($B16&amp;"; "&amp;$H$14&amp;", "&amp;I$15,'FE Déplacements'!$G:$U,10,FALSE))
+$J16*IF(ISNA(VLOOKUP($B16&amp;"; "&amp;$K$14&amp;", "&amp;I$15,'FE Déplacements'!$G:$U,10,FALSE)),0,VLOOKUP($B16&amp;"; "&amp;$K$14&amp;", "&amp;I$15,'FE Déplacements'!$G:$U,10,FALSE))
+$M16*IF(ISNA(VLOOKUP($B16&amp;"; "&amp;$N$14&amp;", "&amp;I$15,'FE Déplacements'!$G:$U,10,FALSE)),0,VLOOKUP($B16&amp;"; "&amp;$N$14&amp;", "&amp;I$15,'FE Déplacements'!$G:$U,10,FALSE))
+$P16*IF(ISNA(VLOOKUP($B16&amp;"; "&amp;$Q$14&amp;", "&amp;I$15,'FE Déplacements'!$G:$U,10,FALSE)),0,VLOOKUP($B16&amp;"; "&amp;$Q$14&amp;", "&amp;I$15,'FE Déplacements'!$G:$U,10,FALSE))</f>
        <v>0</v>
      </c>
      <c r="AI16" s="565"/>
      <c r="AJ16" s="565">
        <f>$G16*IF(ISNA((VLOOKUP($B16&amp;"; "&amp;$H$14&amp;", "&amp;H$15,'FE Déplacements'!$G:$U,12,FALSE)+VLOOKUP($B16&amp;"; "&amp;$H$14&amp;", "&amp;H$15,'FE Déplacements'!$G:$U,11,FALSE))),0,(VLOOKUP($B16&amp;"; "&amp;$H$14&amp;", "&amp;H$15,'FE Déplacements'!$G:$U,12,FALSE)+VLOOKUP($B16&amp;"; "&amp;$H$14&amp;", "&amp;H$15,'FE Déplacements'!$G:$U,11,FALSE)))
+$J16*IF(ISNA((VLOOKUP($B16&amp;"; "&amp;$K$14&amp;", "&amp;H$15,'FE Déplacements'!$G:$U,12,FALSE)+VLOOKUP($B16&amp;"; "&amp;$K$14&amp;", "&amp;H$15,'FE Déplacements'!$G:$U,11,FALSE))),0,(VLOOKUP($B16&amp;"; "&amp;$K$14&amp;", "&amp;H$15,'FE Déplacements'!$G:$U,12,FALSE)+VLOOKUP($B16&amp;"; "&amp;$K$14&amp;", "&amp;H$15,'FE Déplacements'!$G:$U,11,FALSE)))
+$M16*IF(ISNA((VLOOKUP($B16&amp;"; "&amp;$N$14&amp;", "&amp;H$15,'FE Déplacements'!$G:$U,12,FALSE)+VLOOKUP($B16&amp;"; "&amp;$N$14&amp;", "&amp;H$15,'FE Déplacements'!$G:$U,11,FALSE))),0,(VLOOKUP($B16&amp;"; "&amp;$N$14&amp;", "&amp;H$15,'FE Déplacements'!$G:$U,12,FALSE)+VLOOKUP($B16&amp;"; "&amp;$N$14&amp;", "&amp;H$15,'FE Déplacements'!$G:$U,11,FALSE)))
+$P16*IF(ISNA((VLOOKUP($B16&amp;"; "&amp;$Q$14&amp;", "&amp;H$15,'FE Déplacements'!$G:$U,12,FALSE)+VLOOKUP($B16&amp;"; "&amp;$Q$14&amp;", "&amp;H$15,'FE Déplacements'!$G:$U,11,FALSE))),0,(VLOOKUP($B16&amp;"; "&amp;$Q$14&amp;", "&amp;H$15,'FE Déplacements'!$G:$U,12,FALSE)+VLOOKUP($B16&amp;"; "&amp;$Q$14&amp;", "&amp;H$15,'FE Déplacements'!$G:$U,11,FALSE)))</f>
        <v>0</v>
      </c>
      <c r="AK16" s="565">
        <f>$G16*IF(ISNA((VLOOKUP($B16&amp;"; "&amp;$H$14&amp;", "&amp;I$15,'FE Déplacements'!$G:$U,12,FALSE)+VLOOKUP($B16&amp;"; "&amp;$H$14&amp;", "&amp;I$15,'FE Déplacements'!$G:$U,11,FALSE))),0,(VLOOKUP($B16&amp;"; "&amp;$H$14&amp;", "&amp;I$15,'FE Déplacements'!$G:$U,12,FALSE)+VLOOKUP($B16&amp;"; "&amp;$H$14&amp;", "&amp;I$15,'FE Déplacements'!$G:$U,11,FALSE)))
+$J16*IF(ISNA((VLOOKUP($B16&amp;"; "&amp;$K$14&amp;", "&amp;I$15,'FE Déplacements'!$G:$U,12,FALSE)+VLOOKUP($B16&amp;"; "&amp;$K$14&amp;", "&amp;I$15,'FE Déplacements'!$G:$U,11,FALSE))),0,(VLOOKUP($B16&amp;"; "&amp;$K$14&amp;", "&amp;I$15,'FE Déplacements'!$G:$U,12,FALSE)+VLOOKUP($B16&amp;"; "&amp;$K$14&amp;", "&amp;I$15,'FE Déplacements'!$G:$U,11,FALSE)))
+$M16*IF(ISNA((VLOOKUP($B16&amp;"; "&amp;$N$14&amp;", "&amp;I$15,'FE Déplacements'!$G:$U,12,FALSE)+VLOOKUP($B16&amp;"; "&amp;$N$14&amp;", "&amp;I$15,'FE Déplacements'!$G:$U,11,FALSE))),0,(VLOOKUP($B16&amp;"; "&amp;$N$14&amp;", "&amp;I$15,'FE Déplacements'!$G:$U,12,FALSE)+VLOOKUP($B16&amp;"; "&amp;$N$14&amp;", "&amp;I$15,'FE Déplacements'!$G:$U,11,FALSE)))
+$P16*IF(ISNA((VLOOKUP($B16&amp;"; "&amp;$Q$14&amp;", "&amp;I$15,'FE Déplacements'!$G:$U,12,FALSE)+VLOOKUP($B16&amp;"; "&amp;$Q$14&amp;", "&amp;I$15,'FE Déplacements'!$G:$U,11,FALSE))),0,(VLOOKUP($B16&amp;"; "&amp;$Q$14&amp;", "&amp;I$15,'FE Déplacements'!$G:$U,12,FALSE)+VLOOKUP($B16&amp;"; "&amp;$Q$14&amp;", "&amp;I$15,'FE Déplacements'!$G:$U,11,FALSE)))</f>
        <v>0</v>
      </c>
      <c r="AL16" s="565"/>
      <c r="AM16" s="565">
        <f>$G16*IF(ISNA(VLOOKUP($B17&amp;"; "&amp;$H$14&amp;", "&amp;H$15,'FE Déplacements'!$G:$U,13,FALSE)),0,VLOOKUP($B17&amp;"; "&amp;$H$14&amp;", "&amp;H$15,'FE Déplacements'!$G:$U,13,FALSE))
+$J16*IF(ISNA(VLOOKUP($B17&amp;"; "&amp;$K$14&amp;", "&amp;H$15,'FE Déplacements'!$G:$U,13,FALSE)),0,VLOOKUP($B17&amp;"; "&amp;$K$14&amp;", "&amp;H$15,'FE Déplacements'!$G:$U,13,FALSE))
+$M16*IF(ISNA(VLOOKUP($B17&amp;"; "&amp;$N$14&amp;", "&amp;H$15,'FE Déplacements'!$G:$U,13,FALSE)),0,VLOOKUP($B17&amp;"; "&amp;$N$14&amp;", "&amp;H$15,'FE Déplacements'!$G:$U,13,FALSE))
+$P16*IF(ISNA(VLOOKUP($B17&amp;"; "&amp;$Q$14&amp;", "&amp;H$15,'FE Déplacements'!$G:$U,13,FALSE)),0,VLOOKUP($B17&amp;"; "&amp;$Q$14&amp;", "&amp;H$15,'FE Déplacements'!$G:$U,13,FALSE))</f>
        <v>0</v>
      </c>
      <c r="AN16" s="565">
        <f>$G16*IF(ISNA(VLOOKUP($B16&amp;"; "&amp;$H$14&amp;", "&amp;I$15,'FE Déplacements'!$G:$U,13,FALSE)),0,VLOOKUP($B16&amp;"; "&amp;$H$14&amp;", "&amp;I$15,'FE Déplacements'!$G:$U,13,FALSE))
+$J16*IF(ISNA(VLOOKUP($B16&amp;"; "&amp;$K$14&amp;", "&amp;I$15,'FE Déplacements'!$G:$U,13,FALSE)),0,VLOOKUP($B16&amp;"; "&amp;$K$14&amp;", "&amp;I$15,'FE Déplacements'!$G:$U,13,FALSE))
+$M16*IF(ISNA(VLOOKUP($B16&amp;"; "&amp;$N$14&amp;", "&amp;I$15,'FE Déplacements'!$G:$U,13,FALSE)),0,VLOOKUP($B16&amp;"; "&amp;$N$14&amp;", "&amp;I$15,'FE Déplacements'!$G:$U,13,FALSE))
+$P16*IF(ISNA(VLOOKUP($B16&amp;"; "&amp;$Q$14&amp;", "&amp;I$15,'FE Déplacements'!$G:$U,13,FALSE)),0,VLOOKUP($B16&amp;"; "&amp;$Q$14&amp;", "&amp;I$15,'FE Déplacements'!$G:$U,13,FALSE))</f>
        <v>0</v>
      </c>
      <c r="AO16" s="565"/>
      <c r="AP16" s="565">
        <v>0</v>
      </c>
      <c r="AQ16" s="565">
        <v>0</v>
      </c>
      <c r="AR16" s="565"/>
      <c r="AS16" s="1288">
        <f t="shared" ref="AS16:AT21" si="7">SUM(AG16,AJ16,AM16,AP16)</f>
        <v>0</v>
      </c>
      <c r="AT16" s="566">
        <f t="shared" si="7"/>
        <v>0</v>
      </c>
      <c r="AU16" s="565"/>
      <c r="AV16" s="564">
        <f>$G16*IF(ISNA(VLOOKUP($B16&amp;"; "&amp;$H$14&amp;", "&amp;H$15,'FE Déplacements'!$G:$U,15,FALSE)),0,VLOOKUP($B16&amp;"; "&amp;$H$14&amp;", "&amp;H$15,'FE Déplacements'!$G:$U,15,FALSE))
+$J16*IF(ISNA(VLOOKUP($B16&amp;"; "&amp;$K$14&amp;", "&amp;H$15,'FE Déplacements'!$G:$U,15,FALSE)),0,VLOOKUP($B16&amp;"; "&amp;$K$14&amp;", "&amp;H$15,'FE Déplacements'!$G:$U,15,FALSE))
+$M16*IF(ISNA(VLOOKUP($B16&amp;"; "&amp;$N$14&amp;", "&amp;H$15,'FE Déplacements'!$G:$U,15,FALSE)),0,VLOOKUP($B16&amp;"; "&amp;$N$14&amp;", "&amp;H$15,'FE Déplacements'!$G:$U,15,FALSE))
+$P16*IF(ISNA(VLOOKUP($B16&amp;"; "&amp;$Q$14&amp;", "&amp;H$15,'FE Déplacements'!$G:$U,15,FALSE)),0,VLOOKUP($B16&amp;"; "&amp;$Q$14&amp;", "&amp;H$15,'FE Déplacements'!$G:$U,15,FALSE))</f>
        <v>0</v>
      </c>
      <c r="AW16" s="565">
        <f>$G16*IF(ISNA(VLOOKUP($B16&amp;"; "&amp;$H$14&amp;", "&amp;I$15,'FE Déplacements'!$G:$U,15,FALSE)),0,VLOOKUP($B16&amp;"; "&amp;$H$14&amp;", "&amp;I$15,'FE Déplacements'!$G:$U,15,FALSE))
+$J16*IF(ISNA(VLOOKUP($B16&amp;"; "&amp;$K$14&amp;", "&amp;I$15,'FE Déplacements'!$G:$U,15,FALSE)),0,VLOOKUP($B16&amp;"; "&amp;$K$14&amp;", "&amp;I$15,'FE Déplacements'!$G:$U,15,FALSE))
+$M16*IF(ISNA(VLOOKUP($B16&amp;"; "&amp;$N$14&amp;", "&amp;I$15,'FE Déplacements'!$G:$U,15,FALSE)),0,VLOOKUP($B16&amp;"; "&amp;$N$14&amp;", "&amp;I$15,'FE Déplacements'!$G:$U,15,FALSE))
+$P16*IF(ISNA(VLOOKUP($B16&amp;"; "&amp;$Q$14&amp;", "&amp;I$15,'FE Déplacements'!$G:$U,15,FALSE)),0,VLOOKUP($B16&amp;"; "&amp;$Q$14&amp;", "&amp;I$15,'FE Déplacements'!$G:$U,15,FALSE))</f>
        <v>0</v>
      </c>
      <c r="AX16" s="568"/>
      <c r="BH16" s="1065">
        <f>IF($Y16&lt;&gt;"votre valeur :",IF(ISNA(VLOOKUP($Y16,Utilitaires!$N$566:$O$571,2,FALSE)),,VLOOKUP($Y16,Utilitaires!$N$566:$O$571,2,FALSE)),$Z16)</f>
        <v>0</v>
      </c>
      <c r="BI16" s="1124">
        <f>IF(ISNA(SQRT(SUMSQ(VLOOKUP($B16&amp;"; "&amp;$H$14&amp;", "&amp;$H$15,'FE Déplacements'!$G:$U,7,FALSE),$BH16))),0,SQRT(SUMSQ(VLOOKUP($B16&amp;"; "&amp;$H$14&amp;", "&amp;$H$15,'FE Déplacements'!$G:$U,7,FALSE),$BH16)))</f>
        <v>0</v>
      </c>
      <c r="BJ16" s="1068">
        <f>IF(ISNA(SQRT(SUMSQ(VLOOKUP($B16&amp;"; "&amp;$K$14&amp;", "&amp;$K$15,'FE Déplacements'!$G:$U,7,FALSE),$BH16))),0,SQRT(SUMSQ(VLOOKUP($B16&amp;"; "&amp;$K$14&amp;", "&amp;$K$15,'FE Déplacements'!$G:$U,7,FALSE),$BH16)))</f>
        <v>0.05</v>
      </c>
      <c r="BK16" s="1068">
        <f>IF(ISNA(SQRT(SUMSQ(VLOOKUP($B16&amp;"; "&amp;$N$14&amp;", "&amp;$N$15,'FE Déplacements'!$G:$U,7,FALSE),$BH16))),0,SQRT(SUMSQ(VLOOKUP($B16&amp;"; "&amp;$N$14&amp;", "&amp;$N$15,'FE Déplacements'!$G:$U,7,FALSE),$BH16)))</f>
        <v>0.05</v>
      </c>
      <c r="BL16" s="1068">
        <f>IF(ISNA(SQRT(SUMSQ(VLOOKUP($B16&amp;"; "&amp;$Q$14&amp;", "&amp;$Q$15,'FE Déplacements'!$G:$U,7,FALSE),$BH16))),0,SQRT(SUMSQ(VLOOKUP($B16&amp;"; "&amp;$Q$14&amp;", "&amp;$Q$15,'FE Déplacements'!$G:$U,7,FALSE),$BH16)))</f>
        <v>0.1</v>
      </c>
      <c r="BM16" s="1124">
        <f>IF(ISNA(SQRT(SUMSQ(VLOOKUP($B16&amp;"; "&amp;$H$14&amp;", "&amp;$I$15,'FE Déplacements'!$G:$U,7,FALSE),$BH16))),0,SQRT(SUMSQ(VLOOKUP($B16&amp;"; "&amp;$H$14&amp;", "&amp;$I$15,'FE Déplacements'!$G:$U,7,FALSE),$BH16)))</f>
        <v>0</v>
      </c>
      <c r="BN16" s="1068">
        <f>IF(ISNA(SQRT(SUMSQ(VLOOKUP($B16&amp;"; "&amp;$K$14&amp;", "&amp;$L$15,'FE Déplacements'!$G:$U,7,FALSE),$BH16))),0,SQRT(SUMSQ(VLOOKUP($B16&amp;"; "&amp;$K$14&amp;", "&amp;$L$15,'FE Déplacements'!$G:$U,7,FALSE),$BH16)))</f>
        <v>0.05</v>
      </c>
      <c r="BO16" s="1068">
        <f>IF(ISNA(SQRT(SUMSQ(VLOOKUP($B16&amp;"; "&amp;$N$14&amp;", "&amp;$O$15,'FE Déplacements'!$G:$U,7,FALSE),$BH16))),0,SQRT(SUMSQ(VLOOKUP($B16&amp;"; "&amp;$N$14&amp;", "&amp;$O$15,'FE Déplacements'!$G:$U,7,FALSE),$BH16)))</f>
        <v>0.05</v>
      </c>
      <c r="BP16" s="1125">
        <f>IF(ISNA(SQRT(SUMSQ(VLOOKUP($B16&amp;"; "&amp;$Q$14&amp;", "&amp;$R$15,'FE Déplacements'!$G:$U,7,FALSE),$BH16))),0,SQRT(SUMSQ(VLOOKUP($B16&amp;"; "&amp;$Q$14&amp;", "&amp;$R$15,'FE Déplacements'!$G:$U,7,FALSE),$BH16)))</f>
        <v>0.1</v>
      </c>
    </row>
    <row r="17" spans="2:68" outlineLevel="1">
      <c r="B17" s="143" t="s">
        <v>1630</v>
      </c>
      <c r="C17" s="144"/>
      <c r="D17" s="212">
        <f t="shared" si="0"/>
        <v>0</v>
      </c>
      <c r="E17" s="212"/>
      <c r="F17" s="120"/>
      <c r="G17" s="120"/>
      <c r="H17" s="335">
        <f>IF(ISNA(VLOOKUP($B17&amp;"; "&amp;$H$14&amp;", "&amp;H$15,'FE Déplacements'!$G:$U,9,FALSE)),0,VLOOKUP($B17&amp;"; "&amp;$H$14&amp;", "&amp;H$15,'FE Déplacements'!$G:$U,9,FALSE))</f>
        <v>1015</v>
      </c>
      <c r="I17" s="335">
        <f>IF(ISNA(VLOOKUP($B17&amp;"; "&amp;$H$14&amp;", "&amp;I$15,'FE Déplacements'!$G:$U,9,FALSE)),0,VLOOKUP($B17&amp;"; "&amp;$H$14&amp;", "&amp;I$15,'FE Déplacements'!$G:$U,9,FALSE))</f>
        <v>2512</v>
      </c>
      <c r="J17" s="120"/>
      <c r="K17" s="335">
        <f>IF(ISNA(VLOOKUP($B17&amp;"; "&amp;$K$14&amp;", "&amp;K$15,'FE Déplacements'!$G:$U,9,FALSE)),0,VLOOKUP($B17&amp;"; "&amp;$K$14&amp;", "&amp;K$15,'FE Déplacements'!$G:$U,9,FALSE))</f>
        <v>7.8399999999999997E-2</v>
      </c>
      <c r="L17" s="335">
        <f>IF(ISNA(VLOOKUP($B17&amp;"; "&amp;$K$14&amp;", "&amp;L$15,'FE Déplacements'!$G:$U,9,FALSE)),0,VLOOKUP($B17&amp;"; "&amp;$K$14&amp;", "&amp;L$15,'FE Déplacements'!$G:$U,9,FALSE))</f>
        <v>0.19500000000000001</v>
      </c>
      <c r="M17" s="120"/>
      <c r="N17" s="335">
        <f>IF(ISNA(VLOOKUP($B17&amp;"; "&amp;$N$14&amp;", "&amp;N$15,'FE Déplacements'!$G:$U,9,FALSE)),0,VLOOKUP($B17&amp;"; "&amp;$N$14&amp;", "&amp;N$15,'FE Déplacements'!$G:$U,9,FALSE))</f>
        <v>916</v>
      </c>
      <c r="O17" s="335">
        <f>IF(ISNA(VLOOKUP($B17&amp;"; "&amp;$N$14&amp;", "&amp;O$15,'FE Déplacements'!$G:$U,9,FALSE)),0,VLOOKUP($B17&amp;"; "&amp;$N$14&amp;", "&amp;O$15,'FE Déplacements'!$G:$U,9,FALSE))</f>
        <v>2269</v>
      </c>
      <c r="P17" s="120"/>
      <c r="Q17" s="335">
        <f>IF(ISNA(VLOOKUP($B17&amp;"; "&amp;$Q$14&amp;", "&amp;Q$15,'FE Déplacements'!$G:$U,9,FALSE)),0,VLOOKUP($B17&amp;"; "&amp;$Q$14&amp;", "&amp;Q$15,'FE Déplacements'!$G:$U,9,FALSE))</f>
        <v>0.75800000000000001</v>
      </c>
      <c r="R17" s="335">
        <f>IF(ISNA(VLOOKUP($B17&amp;"; "&amp;$Q$14&amp;", "&amp;R$15,'FE Déplacements'!$G:$U,9,FALSE)),0,VLOOKUP($B17&amp;"; "&amp;$Q$14&amp;", "&amp;R$15,'FE Déplacements'!$G:$U,9,FALSE))</f>
        <v>1.88</v>
      </c>
      <c r="S17" s="151">
        <f t="shared" si="1"/>
        <v>0</v>
      </c>
      <c r="T17" s="152">
        <f t="shared" ref="T17:T21" si="8">IF(ISNA(G17*I17),0,G17*I17)+IF(ISNA(J17*L17),0,J17*L17)+IF(ISNA(M17*O17),0,M17*O17)+IF(ISNA(P17*R17),0,P17*R17)</f>
        <v>0</v>
      </c>
      <c r="U17" s="165">
        <f>IF(OR(F17=Utilitaires!$I$572,F17=Utilitaires!$I$577),T17,0)</f>
        <v>0</v>
      </c>
      <c r="X17" s="1092">
        <f t="shared" si="2"/>
        <v>0</v>
      </c>
      <c r="Y17" s="343"/>
      <c r="Z17" s="820"/>
      <c r="AA17" s="164">
        <f t="shared" si="3"/>
        <v>0</v>
      </c>
      <c r="AB17" s="164">
        <f t="shared" si="4"/>
        <v>0</v>
      </c>
      <c r="AC17" s="151">
        <f t="shared" si="5"/>
        <v>0</v>
      </c>
      <c r="AD17" s="1286">
        <f t="shared" si="6"/>
        <v>0</v>
      </c>
      <c r="AE17" s="257"/>
      <c r="AG17" s="564">
        <f>$G17*IF(ISNA(VLOOKUP($B17&amp;"; "&amp;$H$14&amp;", "&amp;H$15,'FE Déplacements'!$G:$U,10,FALSE)),0,VLOOKUP($B17&amp;"; "&amp;$H$14&amp;", "&amp;H$15,'FE Déplacements'!$G:$U,10,FALSE))
+$J17*IF(ISNA(VLOOKUP($B17&amp;"; "&amp;$K$14&amp;", "&amp;H$15,'FE Déplacements'!$G:$U,10,FALSE)),0,VLOOKUP($B17&amp;"; "&amp;$K$14&amp;", "&amp;H$15,'FE Déplacements'!$G:$U,10,FALSE))
+$M17*IF(ISNA(VLOOKUP($B17&amp;"; "&amp;$N$14&amp;", "&amp;H$15,'FE Déplacements'!$G:$U,10,FALSE)),0,VLOOKUP($B17&amp;"; "&amp;$N$14&amp;", "&amp;H$15,'FE Déplacements'!$G:$U,10,FALSE))
+$P17*IF(ISNA(VLOOKUP($B17&amp;"; "&amp;$Q$14&amp;", "&amp;H$15,'FE Déplacements'!$G:$U,10,FALSE)),0,VLOOKUP($B17&amp;"; "&amp;$Q$14&amp;", "&amp;H$15,'FE Déplacements'!$G:$U,10,FALSE))</f>
        <v>0</v>
      </c>
      <c r="AH17" s="565">
        <f>$G17*IF(ISNA(VLOOKUP($B17&amp;"; "&amp;$H$14&amp;", "&amp;I$15,'FE Déplacements'!$G:$U,10,FALSE)),0,VLOOKUP($B17&amp;"; "&amp;$H$14&amp;", "&amp;I$15,'FE Déplacements'!$G:$U,10,FALSE))
+$J17*IF(ISNA(VLOOKUP($B17&amp;"; "&amp;$K$14&amp;", "&amp;I$15,'FE Déplacements'!$G:$U,10,FALSE)),0,VLOOKUP($B17&amp;"; "&amp;$K$14&amp;", "&amp;I$15,'FE Déplacements'!$G:$U,10,FALSE))
+$M17*IF(ISNA(VLOOKUP($B17&amp;"; "&amp;$N$14&amp;", "&amp;I$15,'FE Déplacements'!$G:$U,10,FALSE)),0,VLOOKUP($B17&amp;"; "&amp;$N$14&amp;", "&amp;I$15,'FE Déplacements'!$G:$U,10,FALSE))
+$P17*IF(ISNA(VLOOKUP($B17&amp;"; "&amp;$Q$14&amp;", "&amp;I$15,'FE Déplacements'!$G:$U,10,FALSE)),0,VLOOKUP($B17&amp;"; "&amp;$Q$14&amp;", "&amp;I$15,'FE Déplacements'!$G:$U,10,FALSE))</f>
        <v>0</v>
      </c>
      <c r="AI17" s="565"/>
      <c r="AJ17" s="565">
        <f>$G17*IF(ISNA((VLOOKUP($B17&amp;"; "&amp;$H$14&amp;", "&amp;H$15,'FE Déplacements'!$G:$U,12,FALSE)+VLOOKUP($B17&amp;"; "&amp;$H$14&amp;", "&amp;H$15,'FE Déplacements'!$G:$U,11,FALSE))),0,(VLOOKUP($B17&amp;"; "&amp;$H$14&amp;", "&amp;H$15,'FE Déplacements'!$G:$U,12,FALSE)+VLOOKUP($B17&amp;"; "&amp;$H$14&amp;", "&amp;H$15,'FE Déplacements'!$G:$U,11,FALSE)))
+$J17*IF(ISNA((VLOOKUP($B17&amp;"; "&amp;$K$14&amp;", "&amp;H$15,'FE Déplacements'!$G:$U,12,FALSE)+VLOOKUP($B17&amp;"; "&amp;$K$14&amp;", "&amp;H$15,'FE Déplacements'!$G:$U,11,FALSE))),0,(VLOOKUP($B17&amp;"; "&amp;$K$14&amp;", "&amp;H$15,'FE Déplacements'!$G:$U,12,FALSE)+VLOOKUP($B17&amp;"; "&amp;$K$14&amp;", "&amp;H$15,'FE Déplacements'!$G:$U,11,FALSE)))
+$M17*IF(ISNA((VLOOKUP($B17&amp;"; "&amp;$N$14&amp;", "&amp;H$15,'FE Déplacements'!$G:$U,12,FALSE)+VLOOKUP($B17&amp;"; "&amp;$N$14&amp;", "&amp;H$15,'FE Déplacements'!$G:$U,11,FALSE))),0,(VLOOKUP($B17&amp;"; "&amp;$N$14&amp;", "&amp;H$15,'FE Déplacements'!$G:$U,12,FALSE)+VLOOKUP($B17&amp;"; "&amp;$N$14&amp;", "&amp;H$15,'FE Déplacements'!$G:$U,11,FALSE)))
+$P17*IF(ISNA((VLOOKUP($B17&amp;"; "&amp;$Q$14&amp;", "&amp;H$15,'FE Déplacements'!$G:$U,12,FALSE)+VLOOKUP($B17&amp;"; "&amp;$Q$14&amp;", "&amp;H$15,'FE Déplacements'!$G:$U,11,FALSE))),0,(VLOOKUP($B17&amp;"; "&amp;$Q$14&amp;", "&amp;H$15,'FE Déplacements'!$G:$U,12,FALSE)+VLOOKUP($B17&amp;"; "&amp;$Q$14&amp;", "&amp;H$15,'FE Déplacements'!$G:$U,11,FALSE)))</f>
        <v>0</v>
      </c>
      <c r="AK17" s="565">
        <f>$G17*IF(ISNA((VLOOKUP($B17&amp;"; "&amp;$H$14&amp;", "&amp;I$15,'FE Déplacements'!$G:$U,12,FALSE)+VLOOKUP($B17&amp;"; "&amp;$H$14&amp;", "&amp;I$15,'FE Déplacements'!$G:$U,11,FALSE))),0,(VLOOKUP($B17&amp;"; "&amp;$H$14&amp;", "&amp;I$15,'FE Déplacements'!$G:$U,12,FALSE)+VLOOKUP($B17&amp;"; "&amp;$H$14&amp;", "&amp;I$15,'FE Déplacements'!$G:$U,11,FALSE)))
+$J17*IF(ISNA((VLOOKUP($B17&amp;"; "&amp;$K$14&amp;", "&amp;I$15,'FE Déplacements'!$G:$U,12,FALSE)+VLOOKUP($B17&amp;"; "&amp;$K$14&amp;", "&amp;I$15,'FE Déplacements'!$G:$U,11,FALSE))),0,(VLOOKUP($B17&amp;"; "&amp;$K$14&amp;", "&amp;I$15,'FE Déplacements'!$G:$U,12,FALSE)+VLOOKUP($B17&amp;"; "&amp;$K$14&amp;", "&amp;I$15,'FE Déplacements'!$G:$U,11,FALSE)))
+$M17*IF(ISNA((VLOOKUP($B17&amp;"; "&amp;$N$14&amp;", "&amp;I$15,'FE Déplacements'!$G:$U,12,FALSE)+VLOOKUP($B17&amp;"; "&amp;$N$14&amp;", "&amp;I$15,'FE Déplacements'!$G:$U,11,FALSE))),0,(VLOOKUP($B17&amp;"; "&amp;$N$14&amp;", "&amp;I$15,'FE Déplacements'!$G:$U,12,FALSE)+VLOOKUP($B17&amp;"; "&amp;$N$14&amp;", "&amp;I$15,'FE Déplacements'!$G:$U,11,FALSE)))
+$P17*IF(ISNA((VLOOKUP($B17&amp;"; "&amp;$Q$14&amp;", "&amp;I$15,'FE Déplacements'!$G:$U,12,FALSE)+VLOOKUP($B17&amp;"; "&amp;$Q$14&amp;", "&amp;I$15,'FE Déplacements'!$G:$U,11,FALSE))),0,(VLOOKUP($B17&amp;"; "&amp;$Q$14&amp;", "&amp;I$15,'FE Déplacements'!$G:$U,12,FALSE)+VLOOKUP($B17&amp;"; "&amp;$Q$14&amp;", "&amp;I$15,'FE Déplacements'!$G:$U,11,FALSE)))</f>
        <v>0</v>
      </c>
      <c r="AL17" s="565"/>
      <c r="AM17" s="565">
        <f>$G17*IF(ISNA(VLOOKUP($B18&amp;"; "&amp;$H$14&amp;", "&amp;H$15,'FE Déplacements'!$G:$U,13,FALSE)),0,VLOOKUP($B18&amp;"; "&amp;$H$14&amp;", "&amp;H$15,'FE Déplacements'!$G:$U,13,FALSE))
+$J17*IF(ISNA(VLOOKUP($B18&amp;"; "&amp;$K$14&amp;", "&amp;H$15,'FE Déplacements'!$G:$U,13,FALSE)),0,VLOOKUP($B18&amp;"; "&amp;$K$14&amp;", "&amp;H$15,'FE Déplacements'!$G:$U,13,FALSE))
+$M17*IF(ISNA(VLOOKUP($B18&amp;"; "&amp;$N$14&amp;", "&amp;H$15,'FE Déplacements'!$G:$U,13,FALSE)),0,VLOOKUP($B18&amp;"; "&amp;$N$14&amp;", "&amp;H$15,'FE Déplacements'!$G:$U,13,FALSE))
+$P17*IF(ISNA(VLOOKUP($B18&amp;"; "&amp;$Q$14&amp;", "&amp;H$15,'FE Déplacements'!$G:$U,13,FALSE)),0,VLOOKUP($B18&amp;"; "&amp;$Q$14&amp;", "&amp;H$15,'FE Déplacements'!$G:$U,13,FALSE))</f>
        <v>0</v>
      </c>
      <c r="AN17" s="565">
        <f>$G17*IF(ISNA(VLOOKUP($B17&amp;"; "&amp;$H$14&amp;", "&amp;I$15,'FE Déplacements'!$G:$U,13,FALSE)),0,VLOOKUP($B17&amp;"; "&amp;$H$14&amp;", "&amp;I$15,'FE Déplacements'!$G:$U,13,FALSE))
+$J17*IF(ISNA(VLOOKUP($B17&amp;"; "&amp;$K$14&amp;", "&amp;I$15,'FE Déplacements'!$G:$U,13,FALSE)),0,VLOOKUP($B17&amp;"; "&amp;$K$14&amp;", "&amp;I$15,'FE Déplacements'!$G:$U,13,FALSE))
+$M17*IF(ISNA(VLOOKUP($B17&amp;"; "&amp;$N$14&amp;", "&amp;I$15,'FE Déplacements'!$G:$U,13,FALSE)),0,VLOOKUP($B17&amp;"; "&amp;$N$14&amp;", "&amp;I$15,'FE Déplacements'!$G:$U,13,FALSE))
+$P17*IF(ISNA(VLOOKUP($B17&amp;"; "&amp;$Q$14&amp;", "&amp;I$15,'FE Déplacements'!$G:$U,13,FALSE)),0,VLOOKUP($B17&amp;"; "&amp;$Q$14&amp;", "&amp;I$15,'FE Déplacements'!$G:$U,13,FALSE))</f>
        <v>0</v>
      </c>
      <c r="AO17" s="565"/>
      <c r="AP17" s="565">
        <v>0</v>
      </c>
      <c r="AQ17" s="565">
        <v>0</v>
      </c>
      <c r="AR17" s="565"/>
      <c r="AS17" s="1288">
        <f t="shared" si="7"/>
        <v>0</v>
      </c>
      <c r="AT17" s="566">
        <f t="shared" si="7"/>
        <v>0</v>
      </c>
      <c r="AU17" s="565"/>
      <c r="AV17" s="564">
        <f>$G17*IF(ISNA(VLOOKUP($B17&amp;"; "&amp;$H$14&amp;", "&amp;H$15,'FE Déplacements'!$G:$U,15,FALSE)),0,VLOOKUP($B17&amp;"; "&amp;$H$14&amp;", "&amp;H$15,'FE Déplacements'!$G:$U,15,FALSE))
+$J17*IF(ISNA(VLOOKUP($B17&amp;"; "&amp;$K$14&amp;", "&amp;H$15,'FE Déplacements'!$G:$U,15,FALSE)),0,VLOOKUP($B17&amp;"; "&amp;$K$14&amp;", "&amp;H$15,'FE Déplacements'!$G:$U,15,FALSE))
+$M17*IF(ISNA(VLOOKUP($B17&amp;"; "&amp;$N$14&amp;", "&amp;H$15,'FE Déplacements'!$G:$U,15,FALSE)),0,VLOOKUP($B17&amp;"; "&amp;$N$14&amp;", "&amp;H$15,'FE Déplacements'!$G:$U,15,FALSE))
+$P17*IF(ISNA(VLOOKUP($B17&amp;"; "&amp;$Q$14&amp;", "&amp;H$15,'FE Déplacements'!$G:$U,15,FALSE)),0,VLOOKUP($B17&amp;"; "&amp;$Q$14&amp;", "&amp;H$15,'FE Déplacements'!$G:$U,15,FALSE))</f>
        <v>0</v>
      </c>
      <c r="AW17" s="565">
        <f>$G17*IF(ISNA(VLOOKUP($B17&amp;"; "&amp;$H$14&amp;", "&amp;I$15,'FE Déplacements'!$G:$U,15,FALSE)),0,VLOOKUP($B17&amp;"; "&amp;$H$14&amp;", "&amp;I$15,'FE Déplacements'!$G:$U,15,FALSE))
+$J17*IF(ISNA(VLOOKUP($B17&amp;"; "&amp;$K$14&amp;", "&amp;I$15,'FE Déplacements'!$G:$U,15,FALSE)),0,VLOOKUP($B17&amp;"; "&amp;$K$14&amp;", "&amp;I$15,'FE Déplacements'!$G:$U,15,FALSE))
+$M17*IF(ISNA(VLOOKUP($B17&amp;"; "&amp;$N$14&amp;", "&amp;I$15,'FE Déplacements'!$G:$U,15,FALSE)),0,VLOOKUP($B17&amp;"; "&amp;$N$14&amp;", "&amp;I$15,'FE Déplacements'!$G:$U,15,FALSE))
+$P17*IF(ISNA(VLOOKUP($B17&amp;"; "&amp;$Q$14&amp;", "&amp;I$15,'FE Déplacements'!$G:$U,15,FALSE)),0,VLOOKUP($B17&amp;"; "&amp;$Q$14&amp;", "&amp;I$15,'FE Déplacements'!$G:$U,15,FALSE))</f>
        <v>0</v>
      </c>
      <c r="AX17" s="568"/>
      <c r="BH17" s="1065">
        <f>IF($Y17&lt;&gt;"votre valeur :",IF(ISNA(VLOOKUP($Y17,Utilitaires!$N$566:$O$571,2,FALSE)),,VLOOKUP($Y17,Utilitaires!$N$566:$O$571,2,FALSE)),$Z17)</f>
        <v>0</v>
      </c>
      <c r="BI17" s="1124">
        <f>IF(ISNA(SQRT(SUMSQ(VLOOKUP($B17&amp;"; "&amp;$H$14&amp;", "&amp;$H$15,'FE Déplacements'!$G:$U,7,FALSE),$BH17))),0,SQRT(SUMSQ(VLOOKUP($B17&amp;"; "&amp;$H$14&amp;", "&amp;$H$15,'FE Déplacements'!$G:$U,7,FALSE),$BH17)))</f>
        <v>0.05</v>
      </c>
      <c r="BJ17" s="1068">
        <f>IF(ISNA(SQRT(SUMSQ(VLOOKUP($B17&amp;"; "&amp;$K$14&amp;", "&amp;$K$15,'FE Déplacements'!$G:$U,7,FALSE),$BH17))),0,SQRT(SUMSQ(VLOOKUP($B17&amp;"; "&amp;$K$14&amp;", "&amp;$K$15,'FE Déplacements'!$G:$U,7,FALSE),$BH17)))</f>
        <v>0.05</v>
      </c>
      <c r="BK17" s="1068">
        <f>IF(ISNA(SQRT(SUMSQ(VLOOKUP($B17&amp;"; "&amp;$N$14&amp;", "&amp;$N$15,'FE Déplacements'!$G:$U,7,FALSE),$BH17))),0,SQRT(SUMSQ(VLOOKUP($B17&amp;"; "&amp;$N$14&amp;", "&amp;$N$15,'FE Déplacements'!$G:$U,7,FALSE),$BH17)))</f>
        <v>0.05</v>
      </c>
      <c r="BL17" s="1068">
        <f>IF(ISNA(SQRT(SUMSQ(VLOOKUP($B17&amp;"; "&amp;$Q$14&amp;", "&amp;$Q$15,'FE Déplacements'!$G:$U,7,FALSE),$BH17))),0,SQRT(SUMSQ(VLOOKUP($B17&amp;"; "&amp;$Q$14&amp;", "&amp;$Q$15,'FE Déplacements'!$G:$U,7,FALSE),$BH17)))</f>
        <v>0.1</v>
      </c>
      <c r="BM17" s="1124">
        <f>IF(ISNA(SQRT(SUMSQ(VLOOKUP($B17&amp;"; "&amp;$H$14&amp;", "&amp;$I$15,'FE Déplacements'!$G:$U,7,FALSE),$BH17))),0,SQRT(SUMSQ(VLOOKUP($B17&amp;"; "&amp;$H$14&amp;", "&amp;$I$15,'FE Déplacements'!$G:$U,7,FALSE),$BH17)))</f>
        <v>0.05</v>
      </c>
      <c r="BN17" s="1068">
        <f>IF(ISNA(SQRT(SUMSQ(VLOOKUP($B17&amp;"; "&amp;$K$14&amp;", "&amp;$L$15,'FE Déplacements'!$G:$U,7,FALSE),$BH17))),0,SQRT(SUMSQ(VLOOKUP($B17&amp;"; "&amp;$K$14&amp;", "&amp;$L$15,'FE Déplacements'!$G:$U,7,FALSE),$BH17)))</f>
        <v>0.05</v>
      </c>
      <c r="BO17" s="1068">
        <f>IF(ISNA(SQRT(SUMSQ(VLOOKUP($B17&amp;"; "&amp;$N$14&amp;", "&amp;$O$15,'FE Déplacements'!$G:$U,7,FALSE),$BH17))),0,SQRT(SUMSQ(VLOOKUP($B17&amp;"; "&amp;$N$14&amp;", "&amp;$O$15,'FE Déplacements'!$G:$U,7,FALSE),$BH17)))</f>
        <v>0.05</v>
      </c>
      <c r="BP17" s="1125">
        <f>IF(ISNA(SQRT(SUMSQ(VLOOKUP($B17&amp;"; "&amp;$Q$14&amp;", "&amp;$R$15,'FE Déplacements'!$G:$U,7,FALSE),$BH17))),0,SQRT(SUMSQ(VLOOKUP($B17&amp;"; "&amp;$Q$14&amp;", "&amp;$R$15,'FE Déplacements'!$G:$U,7,FALSE),$BH17)))</f>
        <v>0.1</v>
      </c>
    </row>
    <row r="18" spans="2:68" outlineLevel="1">
      <c r="B18" s="143" t="s">
        <v>2251</v>
      </c>
      <c r="C18" s="144"/>
      <c r="D18" s="212">
        <f t="shared" si="0"/>
        <v>0</v>
      </c>
      <c r="E18" s="212"/>
      <c r="F18" s="120"/>
      <c r="G18" s="120"/>
      <c r="H18" s="335">
        <f>IF(ISNA(VLOOKUP($B18&amp;"; "&amp;$H$14&amp;", "&amp;H$15,'FE Déplacements'!$G:$U,9,FALSE)),0,VLOOKUP($B18&amp;"; "&amp;$H$14&amp;", "&amp;H$15,'FE Déplacements'!$G:$U,9,FALSE))</f>
        <v>0</v>
      </c>
      <c r="I18" s="335">
        <f>IF(ISNA(VLOOKUP($B18&amp;"; "&amp;$H$14&amp;", "&amp;I$15,'FE Déplacements'!$G:$U,9,FALSE)),0,VLOOKUP($B18&amp;"; "&amp;$H$14&amp;", "&amp;I$15,'FE Déplacements'!$G:$U,9,FALSE))</f>
        <v>0</v>
      </c>
      <c r="J18" s="120"/>
      <c r="K18" s="335">
        <f>IF(ISNA(VLOOKUP($B18&amp;"; "&amp;$K$14&amp;", "&amp;K$15,'FE Déplacements'!$G:$U,9,FALSE)),0,VLOOKUP($B18&amp;"; "&amp;$K$14&amp;", "&amp;K$15,'FE Déplacements'!$G:$U,9,FALSE))</f>
        <v>5.0599999999999999E-2</v>
      </c>
      <c r="L18" s="335">
        <f>IF(ISNA(VLOOKUP($B18&amp;"; "&amp;$K$14&amp;", "&amp;L$15,'FE Déplacements'!$G:$U,9,FALSE)),0,VLOOKUP($B18&amp;"; "&amp;$K$14&amp;", "&amp;L$15,'FE Déplacements'!$G:$U,9,FALSE))</f>
        <v>0.187</v>
      </c>
      <c r="M18" s="120"/>
      <c r="N18" s="335">
        <f>IF(ISNA(VLOOKUP($B18&amp;"; "&amp;$N$14&amp;", "&amp;N$15,'FE Déplacements'!$G:$U,9,FALSE)),0,VLOOKUP($B18&amp;"; "&amp;$N$14&amp;", "&amp;N$15,'FE Déplacements'!$G:$U,9,FALSE))</f>
        <v>592</v>
      </c>
      <c r="O18" s="335">
        <f>IF(ISNA(VLOOKUP($B18&amp;"; "&amp;$N$14&amp;", "&amp;O$15,'FE Déplacements'!$G:$U,9,FALSE)),0,VLOOKUP($B18&amp;"; "&amp;$N$14&amp;", "&amp;O$15,'FE Déplacements'!$G:$U,9,FALSE))</f>
        <v>2186</v>
      </c>
      <c r="P18" s="120"/>
      <c r="Q18" s="335">
        <f>IF(ISNA(VLOOKUP($B18&amp;"; "&amp;$Q$14&amp;", "&amp;Q$15,'FE Déplacements'!$G:$U,9,FALSE)),0,VLOOKUP($B18&amp;"; "&amp;$Q$14&amp;", "&amp;Q$15,'FE Déplacements'!$G:$U,9,FALSE))</f>
        <v>0.45700000000000002</v>
      </c>
      <c r="R18" s="335">
        <f>IF(ISNA(VLOOKUP($B18&amp;"; "&amp;$Q$14&amp;", "&amp;R$15,'FE Déplacements'!$G:$U,9,FALSE)),0,VLOOKUP($B18&amp;"; "&amp;$Q$14&amp;", "&amp;R$15,'FE Déplacements'!$G:$U,9,FALSE))</f>
        <v>1.69</v>
      </c>
      <c r="S18" s="151">
        <f t="shared" si="1"/>
        <v>0</v>
      </c>
      <c r="T18" s="152">
        <f t="shared" si="8"/>
        <v>0</v>
      </c>
      <c r="U18" s="165">
        <f>IF(OR(F18=Utilitaires!$I$572,F18=Utilitaires!$I$577),T18,0)</f>
        <v>0</v>
      </c>
      <c r="X18" s="1092">
        <f t="shared" si="2"/>
        <v>0</v>
      </c>
      <c r="Y18" s="343"/>
      <c r="Z18" s="820"/>
      <c r="AA18" s="164">
        <f t="shared" si="3"/>
        <v>0</v>
      </c>
      <c r="AB18" s="164">
        <f t="shared" si="4"/>
        <v>0</v>
      </c>
      <c r="AC18" s="151">
        <f t="shared" si="5"/>
        <v>0</v>
      </c>
      <c r="AD18" s="1286">
        <f t="shared" si="6"/>
        <v>0</v>
      </c>
      <c r="AE18" s="257"/>
      <c r="AG18" s="564">
        <f>$G18*IF(ISNA(VLOOKUP($B18&amp;"; "&amp;$H$14&amp;", "&amp;H$15,'FE Déplacements'!$G:$U,10,FALSE)),0,VLOOKUP($B18&amp;"; "&amp;$H$14&amp;", "&amp;H$15,'FE Déplacements'!$G:$U,10,FALSE))
+$J18*IF(ISNA(VLOOKUP($B18&amp;"; "&amp;$K$14&amp;", "&amp;H$15,'FE Déplacements'!$G:$U,10,FALSE)),0,VLOOKUP($B18&amp;"; "&amp;$K$14&amp;", "&amp;H$15,'FE Déplacements'!$G:$U,10,FALSE))
+$M18*IF(ISNA(VLOOKUP($B18&amp;"; "&amp;$N$14&amp;", "&amp;H$15,'FE Déplacements'!$G:$U,10,FALSE)),0,VLOOKUP($B18&amp;"; "&amp;$N$14&amp;", "&amp;H$15,'FE Déplacements'!$G:$U,10,FALSE))
+$P18*IF(ISNA(VLOOKUP($B18&amp;"; "&amp;$Q$14&amp;", "&amp;H$15,'FE Déplacements'!$G:$U,10,FALSE)),0,VLOOKUP($B18&amp;"; "&amp;$Q$14&amp;", "&amp;H$15,'FE Déplacements'!$G:$U,10,FALSE))</f>
        <v>0</v>
      </c>
      <c r="AH18" s="565">
        <f>$G18*IF(ISNA(VLOOKUP($B18&amp;"; "&amp;$H$14&amp;", "&amp;I$15,'FE Déplacements'!$G:$U,10,FALSE)),0,VLOOKUP($B18&amp;"; "&amp;$H$14&amp;", "&amp;I$15,'FE Déplacements'!$G:$U,10,FALSE))
+$J18*IF(ISNA(VLOOKUP($B18&amp;"; "&amp;$K$14&amp;", "&amp;I$15,'FE Déplacements'!$G:$U,10,FALSE)),0,VLOOKUP($B18&amp;"; "&amp;$K$14&amp;", "&amp;I$15,'FE Déplacements'!$G:$U,10,FALSE))
+$M18*IF(ISNA(VLOOKUP($B18&amp;"; "&amp;$N$14&amp;", "&amp;I$15,'FE Déplacements'!$G:$U,10,FALSE)),0,VLOOKUP($B18&amp;"; "&amp;$N$14&amp;", "&amp;I$15,'FE Déplacements'!$G:$U,10,FALSE))
+$P18*IF(ISNA(VLOOKUP($B18&amp;"; "&amp;$Q$14&amp;", "&amp;I$15,'FE Déplacements'!$G:$U,10,FALSE)),0,VLOOKUP($B18&amp;"; "&amp;$Q$14&amp;", "&amp;I$15,'FE Déplacements'!$G:$U,10,FALSE))</f>
        <v>0</v>
      </c>
      <c r="AI18" s="565"/>
      <c r="AJ18" s="565">
        <f>$G18*IF(ISNA((VLOOKUP($B18&amp;"; "&amp;$H$14&amp;", "&amp;H$15,'FE Déplacements'!$G:$U,12,FALSE)+VLOOKUP($B18&amp;"; "&amp;$H$14&amp;", "&amp;H$15,'FE Déplacements'!$G:$U,11,FALSE))),0,(VLOOKUP($B18&amp;"; "&amp;$H$14&amp;", "&amp;H$15,'FE Déplacements'!$G:$U,12,FALSE)+VLOOKUP($B18&amp;"; "&amp;$H$14&amp;", "&amp;H$15,'FE Déplacements'!$G:$U,11,FALSE)))
+$J18*IF(ISNA((VLOOKUP($B18&amp;"; "&amp;$K$14&amp;", "&amp;H$15,'FE Déplacements'!$G:$U,12,FALSE)+VLOOKUP($B18&amp;"; "&amp;$K$14&amp;", "&amp;H$15,'FE Déplacements'!$G:$U,11,FALSE))),0,(VLOOKUP($B18&amp;"; "&amp;$K$14&amp;", "&amp;H$15,'FE Déplacements'!$G:$U,12,FALSE)+VLOOKUP($B18&amp;"; "&amp;$K$14&amp;", "&amp;H$15,'FE Déplacements'!$G:$U,11,FALSE)))
+$M18*IF(ISNA((VLOOKUP($B18&amp;"; "&amp;$N$14&amp;", "&amp;H$15,'FE Déplacements'!$G:$U,12,FALSE)+VLOOKUP($B18&amp;"; "&amp;$N$14&amp;", "&amp;H$15,'FE Déplacements'!$G:$U,11,FALSE))),0,(VLOOKUP($B18&amp;"; "&amp;$N$14&amp;", "&amp;H$15,'FE Déplacements'!$G:$U,12,FALSE)+VLOOKUP($B18&amp;"; "&amp;$N$14&amp;", "&amp;H$15,'FE Déplacements'!$G:$U,11,FALSE)))
+$P18*IF(ISNA((VLOOKUP($B18&amp;"; "&amp;$Q$14&amp;", "&amp;H$15,'FE Déplacements'!$G:$U,12,FALSE)+VLOOKUP($B18&amp;"; "&amp;$Q$14&amp;", "&amp;H$15,'FE Déplacements'!$G:$U,11,FALSE))),0,(VLOOKUP($B18&amp;"; "&amp;$Q$14&amp;", "&amp;H$15,'FE Déplacements'!$G:$U,12,FALSE)+VLOOKUP($B18&amp;"; "&amp;$Q$14&amp;", "&amp;H$15,'FE Déplacements'!$G:$U,11,FALSE)))</f>
        <v>0</v>
      </c>
      <c r="AK18" s="565">
        <f>$G18*IF(ISNA((VLOOKUP($B18&amp;"; "&amp;$H$14&amp;", "&amp;I$15,'FE Déplacements'!$G:$U,12,FALSE)+VLOOKUP($B18&amp;"; "&amp;$H$14&amp;", "&amp;I$15,'FE Déplacements'!$G:$U,11,FALSE))),0,(VLOOKUP($B18&amp;"; "&amp;$H$14&amp;", "&amp;I$15,'FE Déplacements'!$G:$U,12,FALSE)+VLOOKUP($B18&amp;"; "&amp;$H$14&amp;", "&amp;I$15,'FE Déplacements'!$G:$U,11,FALSE)))
+$J18*IF(ISNA((VLOOKUP($B18&amp;"; "&amp;$K$14&amp;", "&amp;I$15,'FE Déplacements'!$G:$U,12,FALSE)+VLOOKUP($B18&amp;"; "&amp;$K$14&amp;", "&amp;I$15,'FE Déplacements'!$G:$U,11,FALSE))),0,(VLOOKUP($B18&amp;"; "&amp;$K$14&amp;", "&amp;I$15,'FE Déplacements'!$G:$U,12,FALSE)+VLOOKUP($B18&amp;"; "&amp;$K$14&amp;", "&amp;I$15,'FE Déplacements'!$G:$U,11,FALSE)))
+$M18*IF(ISNA((VLOOKUP($B18&amp;"; "&amp;$N$14&amp;", "&amp;I$15,'FE Déplacements'!$G:$U,12,FALSE)+VLOOKUP($B18&amp;"; "&amp;$N$14&amp;", "&amp;I$15,'FE Déplacements'!$G:$U,11,FALSE))),0,(VLOOKUP($B18&amp;"; "&amp;$N$14&amp;", "&amp;I$15,'FE Déplacements'!$G:$U,12,FALSE)+VLOOKUP($B18&amp;"; "&amp;$N$14&amp;", "&amp;I$15,'FE Déplacements'!$G:$U,11,FALSE)))
+$P18*IF(ISNA((VLOOKUP($B18&amp;"; "&amp;$Q$14&amp;", "&amp;I$15,'FE Déplacements'!$G:$U,12,FALSE)+VLOOKUP($B18&amp;"; "&amp;$Q$14&amp;", "&amp;I$15,'FE Déplacements'!$G:$U,11,FALSE))),0,(VLOOKUP($B18&amp;"; "&amp;$Q$14&amp;", "&amp;I$15,'FE Déplacements'!$G:$U,12,FALSE)+VLOOKUP($B18&amp;"; "&amp;$Q$14&amp;", "&amp;I$15,'FE Déplacements'!$G:$U,11,FALSE)))</f>
        <v>0</v>
      </c>
      <c r="AL18" s="565"/>
      <c r="AM18" s="565">
        <f>$G18*IF(ISNA(VLOOKUP($B19&amp;"; "&amp;$H$14&amp;", "&amp;H$15,'FE Déplacements'!$G:$U,13,FALSE)),0,VLOOKUP($B19&amp;"; "&amp;$H$14&amp;", "&amp;H$15,'FE Déplacements'!$G:$U,13,FALSE))
+$J18*IF(ISNA(VLOOKUP($B19&amp;"; "&amp;$K$14&amp;", "&amp;H$15,'FE Déplacements'!$G:$U,13,FALSE)),0,VLOOKUP($B19&amp;"; "&amp;$K$14&amp;", "&amp;H$15,'FE Déplacements'!$G:$U,13,FALSE))
+$M18*IF(ISNA(VLOOKUP($B19&amp;"; "&amp;$N$14&amp;", "&amp;H$15,'FE Déplacements'!$G:$U,13,FALSE)),0,VLOOKUP($B19&amp;"; "&amp;$N$14&amp;", "&amp;H$15,'FE Déplacements'!$G:$U,13,FALSE))
+$P18*IF(ISNA(VLOOKUP($B19&amp;"; "&amp;$Q$14&amp;", "&amp;H$15,'FE Déplacements'!$G:$U,13,FALSE)),0,VLOOKUP($B19&amp;"; "&amp;$Q$14&amp;", "&amp;H$15,'FE Déplacements'!$G:$U,13,FALSE))</f>
        <v>0</v>
      </c>
      <c r="AN18" s="565">
        <f>$G18*IF(ISNA(VLOOKUP($B18&amp;"; "&amp;$H$14&amp;", "&amp;I$15,'FE Déplacements'!$G:$U,13,FALSE)),0,VLOOKUP($B18&amp;"; "&amp;$H$14&amp;", "&amp;I$15,'FE Déplacements'!$G:$U,13,FALSE))
+$J18*IF(ISNA(VLOOKUP($B18&amp;"; "&amp;$K$14&amp;", "&amp;I$15,'FE Déplacements'!$G:$U,13,FALSE)),0,VLOOKUP($B18&amp;"; "&amp;$K$14&amp;", "&amp;I$15,'FE Déplacements'!$G:$U,13,FALSE))
+$M18*IF(ISNA(VLOOKUP($B18&amp;"; "&amp;$N$14&amp;", "&amp;I$15,'FE Déplacements'!$G:$U,13,FALSE)),0,VLOOKUP($B18&amp;"; "&amp;$N$14&amp;", "&amp;I$15,'FE Déplacements'!$G:$U,13,FALSE))
+$P18*IF(ISNA(VLOOKUP($B18&amp;"; "&amp;$Q$14&amp;", "&amp;I$15,'FE Déplacements'!$G:$U,13,FALSE)),0,VLOOKUP($B18&amp;"; "&amp;$Q$14&amp;", "&amp;I$15,'FE Déplacements'!$G:$U,13,FALSE))</f>
        <v>0</v>
      </c>
      <c r="AO18" s="565"/>
      <c r="AP18" s="565">
        <v>0</v>
      </c>
      <c r="AQ18" s="565">
        <v>0</v>
      </c>
      <c r="AR18" s="565"/>
      <c r="AS18" s="1288">
        <f t="shared" si="7"/>
        <v>0</v>
      </c>
      <c r="AT18" s="566">
        <f t="shared" si="7"/>
        <v>0</v>
      </c>
      <c r="AU18" s="565"/>
      <c r="AV18" s="564">
        <f>$G18*IF(ISNA(VLOOKUP($B18&amp;"; "&amp;$H$14&amp;", "&amp;H$15,'FE Déplacements'!$G:$U,15,FALSE)),0,VLOOKUP($B18&amp;"; "&amp;$H$14&amp;", "&amp;H$15,'FE Déplacements'!$G:$U,15,FALSE))
+$J18*IF(ISNA(VLOOKUP($B18&amp;"; "&amp;$K$14&amp;", "&amp;H$15,'FE Déplacements'!$G:$U,15,FALSE)),0,VLOOKUP($B18&amp;"; "&amp;$K$14&amp;", "&amp;H$15,'FE Déplacements'!$G:$U,15,FALSE))
+$M18*IF(ISNA(VLOOKUP($B18&amp;"; "&amp;$N$14&amp;", "&amp;H$15,'FE Déplacements'!$G:$U,15,FALSE)),0,VLOOKUP($B18&amp;"; "&amp;$N$14&amp;", "&amp;H$15,'FE Déplacements'!$G:$U,15,FALSE))
+$P18*IF(ISNA(VLOOKUP($B18&amp;"; "&amp;$Q$14&amp;", "&amp;H$15,'FE Déplacements'!$G:$U,15,FALSE)),0,VLOOKUP($B18&amp;"; "&amp;$Q$14&amp;", "&amp;H$15,'FE Déplacements'!$G:$U,15,FALSE))</f>
        <v>0</v>
      </c>
      <c r="AW18" s="565">
        <f>$G18*IF(ISNA(VLOOKUP($B18&amp;"; "&amp;$H$14&amp;", "&amp;I$15,'FE Déplacements'!$G:$U,15,FALSE)),0,VLOOKUP($B18&amp;"; "&amp;$H$14&amp;", "&amp;I$15,'FE Déplacements'!$G:$U,15,FALSE))
+$J18*IF(ISNA(VLOOKUP($B18&amp;"; "&amp;$K$14&amp;", "&amp;I$15,'FE Déplacements'!$G:$U,15,FALSE)),0,VLOOKUP($B18&amp;"; "&amp;$K$14&amp;", "&amp;I$15,'FE Déplacements'!$G:$U,15,FALSE))
+$M18*IF(ISNA(VLOOKUP($B18&amp;"; "&amp;$N$14&amp;", "&amp;I$15,'FE Déplacements'!$G:$U,15,FALSE)),0,VLOOKUP($B18&amp;"; "&amp;$N$14&amp;", "&amp;I$15,'FE Déplacements'!$G:$U,15,FALSE))
+$P18*IF(ISNA(VLOOKUP($B18&amp;"; "&amp;$Q$14&amp;", "&amp;I$15,'FE Déplacements'!$G:$U,15,FALSE)),0,VLOOKUP($B18&amp;"; "&amp;$Q$14&amp;", "&amp;I$15,'FE Déplacements'!$G:$U,15,FALSE))</f>
        <v>0</v>
      </c>
      <c r="AX18" s="568"/>
      <c r="BH18" s="1065">
        <f>IF($Y18&lt;&gt;"votre valeur :",IF(ISNA(VLOOKUP($Y18,Utilitaires!$N$566:$O$571,2,FALSE)),,VLOOKUP($Y18,Utilitaires!$N$566:$O$571,2,FALSE)),$Z18)</f>
        <v>0</v>
      </c>
      <c r="BI18" s="1124">
        <f>IF(ISNA(SQRT(SUMSQ(VLOOKUP($B18&amp;"; "&amp;$H$14&amp;", "&amp;$H$15,'FE Déplacements'!$G:$U,7,FALSE),$BH18))),0,SQRT(SUMSQ(VLOOKUP($B18&amp;"; "&amp;$H$14&amp;", "&amp;$H$15,'FE Déplacements'!$G:$U,7,FALSE),$BH18)))</f>
        <v>0</v>
      </c>
      <c r="BJ18" s="1068">
        <f>IF(ISNA(SQRT(SUMSQ(VLOOKUP($B18&amp;"; "&amp;$K$14&amp;", "&amp;$K$15,'FE Déplacements'!$G:$U,7,FALSE),$BH18))),0,SQRT(SUMSQ(VLOOKUP($B18&amp;"; "&amp;$K$14&amp;", "&amp;$K$15,'FE Déplacements'!$G:$U,7,FALSE),$BH18)))</f>
        <v>0.05</v>
      </c>
      <c r="BK18" s="1068">
        <f>IF(ISNA(SQRT(SUMSQ(VLOOKUP($B18&amp;"; "&amp;$N$14&amp;", "&amp;$N$15,'FE Déplacements'!$G:$U,7,FALSE),$BH18))),0,SQRT(SUMSQ(VLOOKUP($B18&amp;"; "&amp;$N$14&amp;", "&amp;$N$15,'FE Déplacements'!$G:$U,7,FALSE),$BH18)))</f>
        <v>0.05</v>
      </c>
      <c r="BL18" s="1068">
        <f>IF(ISNA(SQRT(SUMSQ(VLOOKUP($B18&amp;"; "&amp;$Q$14&amp;", "&amp;$Q$15,'FE Déplacements'!$G:$U,7,FALSE),$BH18))),0,SQRT(SUMSQ(VLOOKUP($B18&amp;"; "&amp;$Q$14&amp;", "&amp;$Q$15,'FE Déplacements'!$G:$U,7,FALSE),$BH18)))</f>
        <v>0.05</v>
      </c>
      <c r="BM18" s="1124">
        <f>IF(ISNA(SQRT(SUMSQ(VLOOKUP($B18&amp;"; "&amp;$H$14&amp;", "&amp;$I$15,'FE Déplacements'!$G:$U,7,FALSE),$BH18))),0,SQRT(SUMSQ(VLOOKUP($B18&amp;"; "&amp;$H$14&amp;", "&amp;$I$15,'FE Déplacements'!$G:$U,7,FALSE),$BH18)))</f>
        <v>0</v>
      </c>
      <c r="BN18" s="1068">
        <f>IF(ISNA(SQRT(SUMSQ(VLOOKUP($B18&amp;"; "&amp;$K$14&amp;", "&amp;$L$15,'FE Déplacements'!$G:$U,7,FALSE),$BH18))),0,SQRT(SUMSQ(VLOOKUP($B18&amp;"; "&amp;$K$14&amp;", "&amp;$L$15,'FE Déplacements'!$G:$U,7,FALSE),$BH18)))</f>
        <v>0.05</v>
      </c>
      <c r="BO18" s="1068">
        <f>IF(ISNA(SQRT(SUMSQ(VLOOKUP($B18&amp;"; "&amp;$N$14&amp;", "&amp;$O$15,'FE Déplacements'!$G:$U,7,FALSE),$BH18))),0,SQRT(SUMSQ(VLOOKUP($B18&amp;"; "&amp;$N$14&amp;", "&amp;$O$15,'FE Déplacements'!$G:$U,7,FALSE),$BH18)))</f>
        <v>0.05</v>
      </c>
      <c r="BP18" s="1125">
        <f>IF(ISNA(SQRT(SUMSQ(VLOOKUP($B18&amp;"; "&amp;$Q$14&amp;", "&amp;$R$15,'FE Déplacements'!$G:$U,7,FALSE),$BH18))),0,SQRT(SUMSQ(VLOOKUP($B18&amp;"; "&amp;$Q$14&amp;", "&amp;$R$15,'FE Déplacements'!$G:$U,7,FALSE),$BH18)))</f>
        <v>0.05</v>
      </c>
    </row>
    <row r="19" spans="2:68" outlineLevel="1">
      <c r="B19" s="143" t="s">
        <v>2252</v>
      </c>
      <c r="C19" s="144"/>
      <c r="D19" s="212">
        <f t="shared" si="0"/>
        <v>0</v>
      </c>
      <c r="E19" s="212"/>
      <c r="F19" s="120"/>
      <c r="G19" s="120"/>
      <c r="H19" s="335">
        <f>IF(ISNA(VLOOKUP($B19&amp;"; "&amp;$H$14&amp;", "&amp;H$15,'FE Déplacements'!$G:$U,9,FALSE)),0,VLOOKUP($B19&amp;"; "&amp;$H$14&amp;", "&amp;H$15,'FE Déplacements'!$G:$U,9,FALSE))</f>
        <v>0</v>
      </c>
      <c r="I19" s="335">
        <f>IF(ISNA(VLOOKUP($B19&amp;"; "&amp;$H$14&amp;", "&amp;I$15,'FE Déplacements'!$G:$U,9,FALSE)),0,VLOOKUP($B19&amp;"; "&amp;$H$14&amp;", "&amp;I$15,'FE Déplacements'!$G:$U,9,FALSE))</f>
        <v>0</v>
      </c>
      <c r="J19" s="120"/>
      <c r="K19" s="335">
        <f>IF(ISNA(VLOOKUP($B19&amp;"; "&amp;$K$14&amp;", "&amp;K$15,'FE Déplacements'!$G:$U,9,FALSE)),0,VLOOKUP($B19&amp;"; "&amp;$K$14&amp;", "&amp;K$15,'FE Déplacements'!$G:$U,9,FALSE))</f>
        <v>3.9E-2</v>
      </c>
      <c r="L19" s="335">
        <f>IF(ISNA(VLOOKUP($B19&amp;"; "&amp;$K$14&amp;", "&amp;L$15,'FE Déplacements'!$G:$U,9,FALSE)),0,VLOOKUP($B19&amp;"; "&amp;$K$14&amp;", "&amp;L$15,'FE Déplacements'!$G:$U,9,FALSE))</f>
        <v>0.23300000000000001</v>
      </c>
      <c r="M19" s="120"/>
      <c r="N19" s="335">
        <f>IF(ISNA(VLOOKUP($B19&amp;"; "&amp;$N$14&amp;", "&amp;N$15,'FE Déplacements'!$G:$U,9,FALSE)),0,VLOOKUP($B19&amp;"; "&amp;$N$14&amp;", "&amp;N$15,'FE Déplacements'!$G:$U,9,FALSE))</f>
        <v>447</v>
      </c>
      <c r="O19" s="335">
        <f>IF(ISNA(VLOOKUP($B19&amp;"; "&amp;$N$14&amp;", "&amp;O$15,'FE Déplacements'!$G:$U,9,FALSE)),0,VLOOKUP($B19&amp;"; "&amp;$N$14&amp;", "&amp;O$15,'FE Déplacements'!$G:$U,9,FALSE))</f>
        <v>2720</v>
      </c>
      <c r="P19" s="120"/>
      <c r="Q19" s="335">
        <f>IF(ISNA(VLOOKUP($B19&amp;"; "&amp;$Q$14&amp;", "&amp;Q$15,'FE Déplacements'!$G:$U,9,FALSE)),0,VLOOKUP($B19&amp;"; "&amp;$Q$14&amp;", "&amp;Q$15,'FE Déplacements'!$G:$U,9,FALSE))</f>
        <v>0.26200000000000001</v>
      </c>
      <c r="R19" s="335">
        <f>IF(ISNA(VLOOKUP($B19&amp;"; "&amp;$Q$14&amp;", "&amp;R$15,'FE Déplacements'!$G:$U,9,FALSE)),0,VLOOKUP($B19&amp;"; "&amp;$Q$14&amp;", "&amp;R$15,'FE Déplacements'!$G:$U,9,FALSE))</f>
        <v>1.6</v>
      </c>
      <c r="S19" s="151">
        <f t="shared" si="1"/>
        <v>0</v>
      </c>
      <c r="T19" s="152">
        <f t="shared" si="8"/>
        <v>0</v>
      </c>
      <c r="U19" s="165">
        <f>IF(OR(F19=Utilitaires!$I$572,F19=Utilitaires!$I$577),T19,0)</f>
        <v>0</v>
      </c>
      <c r="X19" s="1092">
        <f t="shared" si="2"/>
        <v>0</v>
      </c>
      <c r="Y19" s="343"/>
      <c r="Z19" s="820"/>
      <c r="AA19" s="164">
        <f t="shared" si="3"/>
        <v>0</v>
      </c>
      <c r="AB19" s="164">
        <f t="shared" si="4"/>
        <v>0</v>
      </c>
      <c r="AC19" s="151">
        <f t="shared" si="5"/>
        <v>0</v>
      </c>
      <c r="AD19" s="1286">
        <f t="shared" si="6"/>
        <v>0</v>
      </c>
      <c r="AE19" s="257"/>
      <c r="AG19" s="564">
        <f>$G19*IF(ISNA(VLOOKUP($B19&amp;"; "&amp;$H$14&amp;", "&amp;H$15,'FE Déplacements'!$G:$U,10,FALSE)),0,VLOOKUP($B19&amp;"; "&amp;$H$14&amp;", "&amp;H$15,'FE Déplacements'!$G:$U,10,FALSE))
+$J19*IF(ISNA(VLOOKUP($B19&amp;"; "&amp;$K$14&amp;", "&amp;H$15,'FE Déplacements'!$G:$U,10,FALSE)),0,VLOOKUP($B19&amp;"; "&amp;$K$14&amp;", "&amp;H$15,'FE Déplacements'!$G:$U,10,FALSE))
+$M19*IF(ISNA(VLOOKUP($B19&amp;"; "&amp;$N$14&amp;", "&amp;H$15,'FE Déplacements'!$G:$U,10,FALSE)),0,VLOOKUP($B19&amp;"; "&amp;$N$14&amp;", "&amp;H$15,'FE Déplacements'!$G:$U,10,FALSE))
+$P19*IF(ISNA(VLOOKUP($B19&amp;"; "&amp;$Q$14&amp;", "&amp;H$15,'FE Déplacements'!$G:$U,10,FALSE)),0,VLOOKUP($B19&amp;"; "&amp;$Q$14&amp;", "&amp;H$15,'FE Déplacements'!$G:$U,10,FALSE))</f>
        <v>0</v>
      </c>
      <c r="AH19" s="565">
        <f>$G19*IF(ISNA(VLOOKUP($B19&amp;"; "&amp;$H$14&amp;", "&amp;I$15,'FE Déplacements'!$G:$U,10,FALSE)),0,VLOOKUP($B19&amp;"; "&amp;$H$14&amp;", "&amp;I$15,'FE Déplacements'!$G:$U,10,FALSE))
+$J19*IF(ISNA(VLOOKUP($B19&amp;"; "&amp;$K$14&amp;", "&amp;I$15,'FE Déplacements'!$G:$U,10,FALSE)),0,VLOOKUP($B19&amp;"; "&amp;$K$14&amp;", "&amp;I$15,'FE Déplacements'!$G:$U,10,FALSE))
+$M19*IF(ISNA(VLOOKUP($B19&amp;"; "&amp;$N$14&amp;", "&amp;I$15,'FE Déplacements'!$G:$U,10,FALSE)),0,VLOOKUP($B19&amp;"; "&amp;$N$14&amp;", "&amp;I$15,'FE Déplacements'!$G:$U,10,FALSE))
+$P19*IF(ISNA(VLOOKUP($B19&amp;"; "&amp;$Q$14&amp;", "&amp;I$15,'FE Déplacements'!$G:$U,10,FALSE)),0,VLOOKUP($B19&amp;"; "&amp;$Q$14&amp;", "&amp;I$15,'FE Déplacements'!$G:$U,10,FALSE))</f>
        <v>0</v>
      </c>
      <c r="AI19" s="565"/>
      <c r="AJ19" s="565">
        <f>$G19*IF(ISNA((VLOOKUP($B19&amp;"; "&amp;$H$14&amp;", "&amp;H$15,'FE Déplacements'!$G:$U,12,FALSE)+VLOOKUP($B19&amp;"; "&amp;$H$14&amp;", "&amp;H$15,'FE Déplacements'!$G:$U,11,FALSE))),0,(VLOOKUP($B19&amp;"; "&amp;$H$14&amp;", "&amp;H$15,'FE Déplacements'!$G:$U,12,FALSE)+VLOOKUP($B19&amp;"; "&amp;$H$14&amp;", "&amp;H$15,'FE Déplacements'!$G:$U,11,FALSE)))
+$J19*IF(ISNA((VLOOKUP($B19&amp;"; "&amp;$K$14&amp;", "&amp;H$15,'FE Déplacements'!$G:$U,12,FALSE)+VLOOKUP($B19&amp;"; "&amp;$K$14&amp;", "&amp;H$15,'FE Déplacements'!$G:$U,11,FALSE))),0,(VLOOKUP($B19&amp;"; "&amp;$K$14&amp;", "&amp;H$15,'FE Déplacements'!$G:$U,12,FALSE)+VLOOKUP($B19&amp;"; "&amp;$K$14&amp;", "&amp;H$15,'FE Déplacements'!$G:$U,11,FALSE)))
+$M19*IF(ISNA((VLOOKUP($B19&amp;"; "&amp;$N$14&amp;", "&amp;H$15,'FE Déplacements'!$G:$U,12,FALSE)+VLOOKUP($B19&amp;"; "&amp;$N$14&amp;", "&amp;H$15,'FE Déplacements'!$G:$U,11,FALSE))),0,(VLOOKUP($B19&amp;"; "&amp;$N$14&amp;", "&amp;H$15,'FE Déplacements'!$G:$U,12,FALSE)+VLOOKUP($B19&amp;"; "&amp;$N$14&amp;", "&amp;H$15,'FE Déplacements'!$G:$U,11,FALSE)))
+$P19*IF(ISNA((VLOOKUP($B19&amp;"; "&amp;$Q$14&amp;", "&amp;H$15,'FE Déplacements'!$G:$U,12,FALSE)+VLOOKUP($B19&amp;"; "&amp;$Q$14&amp;", "&amp;H$15,'FE Déplacements'!$G:$U,11,FALSE))),0,(VLOOKUP($B19&amp;"; "&amp;$Q$14&amp;", "&amp;H$15,'FE Déplacements'!$G:$U,12,FALSE)+VLOOKUP($B19&amp;"; "&amp;$Q$14&amp;", "&amp;H$15,'FE Déplacements'!$G:$U,11,FALSE)))</f>
        <v>0</v>
      </c>
      <c r="AK19" s="565">
        <f>$G19*IF(ISNA((VLOOKUP($B19&amp;"; "&amp;$H$14&amp;", "&amp;I$15,'FE Déplacements'!$G:$U,12,FALSE)+VLOOKUP($B19&amp;"; "&amp;$H$14&amp;", "&amp;I$15,'FE Déplacements'!$G:$U,11,FALSE))),0,(VLOOKUP($B19&amp;"; "&amp;$H$14&amp;", "&amp;I$15,'FE Déplacements'!$G:$U,12,FALSE)+VLOOKUP($B19&amp;"; "&amp;$H$14&amp;", "&amp;I$15,'FE Déplacements'!$G:$U,11,FALSE)))
+$J19*IF(ISNA((VLOOKUP($B19&amp;"; "&amp;$K$14&amp;", "&amp;I$15,'FE Déplacements'!$G:$U,12,FALSE)+VLOOKUP($B19&amp;"; "&amp;$K$14&amp;", "&amp;I$15,'FE Déplacements'!$G:$U,11,FALSE))),0,(VLOOKUP($B19&amp;"; "&amp;$K$14&amp;", "&amp;I$15,'FE Déplacements'!$G:$U,12,FALSE)+VLOOKUP($B19&amp;"; "&amp;$K$14&amp;", "&amp;I$15,'FE Déplacements'!$G:$U,11,FALSE)))
+$M19*IF(ISNA((VLOOKUP($B19&amp;"; "&amp;$N$14&amp;", "&amp;I$15,'FE Déplacements'!$G:$U,12,FALSE)+VLOOKUP($B19&amp;"; "&amp;$N$14&amp;", "&amp;I$15,'FE Déplacements'!$G:$U,11,FALSE))),0,(VLOOKUP($B19&amp;"; "&amp;$N$14&amp;", "&amp;I$15,'FE Déplacements'!$G:$U,12,FALSE)+VLOOKUP($B19&amp;"; "&amp;$N$14&amp;", "&amp;I$15,'FE Déplacements'!$G:$U,11,FALSE)))
+$P19*IF(ISNA((VLOOKUP($B19&amp;"; "&amp;$Q$14&amp;", "&amp;I$15,'FE Déplacements'!$G:$U,12,FALSE)+VLOOKUP($B19&amp;"; "&amp;$Q$14&amp;", "&amp;I$15,'FE Déplacements'!$G:$U,11,FALSE))),0,(VLOOKUP($B19&amp;"; "&amp;$Q$14&amp;", "&amp;I$15,'FE Déplacements'!$G:$U,12,FALSE)+VLOOKUP($B19&amp;"; "&amp;$Q$14&amp;", "&amp;I$15,'FE Déplacements'!$G:$U,11,FALSE)))</f>
        <v>0</v>
      </c>
      <c r="AL19" s="565"/>
      <c r="AM19" s="565">
        <f>$G19*IF(ISNA(VLOOKUP($B20&amp;"; "&amp;$H$14&amp;", "&amp;H$15,'FE Déplacements'!$G:$U,13,FALSE)),0,VLOOKUP($B20&amp;"; "&amp;$H$14&amp;", "&amp;H$15,'FE Déplacements'!$G:$U,13,FALSE))
+$J19*IF(ISNA(VLOOKUP($B20&amp;"; "&amp;$K$14&amp;", "&amp;H$15,'FE Déplacements'!$G:$U,13,FALSE)),0,VLOOKUP($B20&amp;"; "&amp;$K$14&amp;", "&amp;H$15,'FE Déplacements'!$G:$U,13,FALSE))
+$M19*IF(ISNA(VLOOKUP($B20&amp;"; "&amp;$N$14&amp;", "&amp;H$15,'FE Déplacements'!$G:$U,13,FALSE)),0,VLOOKUP($B20&amp;"; "&amp;$N$14&amp;", "&amp;H$15,'FE Déplacements'!$G:$U,13,FALSE))
+$P19*IF(ISNA(VLOOKUP($B20&amp;"; "&amp;$Q$14&amp;", "&amp;H$15,'FE Déplacements'!$G:$U,13,FALSE)),0,VLOOKUP($B20&amp;"; "&amp;$Q$14&amp;", "&amp;H$15,'FE Déplacements'!$G:$U,13,FALSE))</f>
        <v>0</v>
      </c>
      <c r="AN19" s="565">
        <f>$G19*IF(ISNA(VLOOKUP($B19&amp;"; "&amp;$H$14&amp;", "&amp;I$15,'FE Déplacements'!$G:$U,13,FALSE)),0,VLOOKUP($B19&amp;"; "&amp;$H$14&amp;", "&amp;I$15,'FE Déplacements'!$G:$U,13,FALSE))
+$J19*IF(ISNA(VLOOKUP($B19&amp;"; "&amp;$K$14&amp;", "&amp;I$15,'FE Déplacements'!$G:$U,13,FALSE)),0,VLOOKUP($B19&amp;"; "&amp;$K$14&amp;", "&amp;I$15,'FE Déplacements'!$G:$U,13,FALSE))
+$M19*IF(ISNA(VLOOKUP($B19&amp;"; "&amp;$N$14&amp;", "&amp;I$15,'FE Déplacements'!$G:$U,13,FALSE)),0,VLOOKUP($B19&amp;"; "&amp;$N$14&amp;", "&amp;I$15,'FE Déplacements'!$G:$U,13,FALSE))
+$P19*IF(ISNA(VLOOKUP($B19&amp;"; "&amp;$Q$14&amp;", "&amp;I$15,'FE Déplacements'!$G:$U,13,FALSE)),0,VLOOKUP($B19&amp;"; "&amp;$Q$14&amp;", "&amp;I$15,'FE Déplacements'!$G:$U,13,FALSE))</f>
        <v>0</v>
      </c>
      <c r="AO19" s="565"/>
      <c r="AP19" s="565">
        <v>0</v>
      </c>
      <c r="AQ19" s="565">
        <v>0</v>
      </c>
      <c r="AR19" s="565"/>
      <c r="AS19" s="1288">
        <f t="shared" si="7"/>
        <v>0</v>
      </c>
      <c r="AT19" s="566">
        <f t="shared" si="7"/>
        <v>0</v>
      </c>
      <c r="AU19" s="565"/>
      <c r="AV19" s="564">
        <f>$G19*IF(ISNA(VLOOKUP($B19&amp;"; "&amp;$H$14&amp;", "&amp;H$15,'FE Déplacements'!$G:$U,15,FALSE)),0,VLOOKUP($B19&amp;"; "&amp;$H$14&amp;", "&amp;H$15,'FE Déplacements'!$G:$U,15,FALSE))
+$J19*IF(ISNA(VLOOKUP($B19&amp;"; "&amp;$K$14&amp;", "&amp;H$15,'FE Déplacements'!$G:$U,15,FALSE)),0,VLOOKUP($B19&amp;"; "&amp;$K$14&amp;", "&amp;H$15,'FE Déplacements'!$G:$U,15,FALSE))
+$M19*IF(ISNA(VLOOKUP($B19&amp;"; "&amp;$N$14&amp;", "&amp;H$15,'FE Déplacements'!$G:$U,15,FALSE)),0,VLOOKUP($B19&amp;"; "&amp;$N$14&amp;", "&amp;H$15,'FE Déplacements'!$G:$U,15,FALSE))
+$P19*IF(ISNA(VLOOKUP($B19&amp;"; "&amp;$Q$14&amp;", "&amp;H$15,'FE Déplacements'!$G:$U,15,FALSE)),0,VLOOKUP($B19&amp;"; "&amp;$Q$14&amp;", "&amp;H$15,'FE Déplacements'!$G:$U,15,FALSE))</f>
        <v>0</v>
      </c>
      <c r="AW19" s="565">
        <f>$G19*IF(ISNA(VLOOKUP($B19&amp;"; "&amp;$H$14&amp;", "&amp;I$15,'FE Déplacements'!$G:$U,15,FALSE)),0,VLOOKUP($B19&amp;"; "&amp;$H$14&amp;", "&amp;I$15,'FE Déplacements'!$G:$U,15,FALSE))
+$J19*IF(ISNA(VLOOKUP($B19&amp;"; "&amp;$K$14&amp;", "&amp;I$15,'FE Déplacements'!$G:$U,15,FALSE)),0,VLOOKUP($B19&amp;"; "&amp;$K$14&amp;", "&amp;I$15,'FE Déplacements'!$G:$U,15,FALSE))
+$M19*IF(ISNA(VLOOKUP($B19&amp;"; "&amp;$N$14&amp;", "&amp;I$15,'FE Déplacements'!$G:$U,15,FALSE)),0,VLOOKUP($B19&amp;"; "&amp;$N$14&amp;", "&amp;I$15,'FE Déplacements'!$G:$U,15,FALSE))
+$P19*IF(ISNA(VLOOKUP($B19&amp;"; "&amp;$Q$14&amp;", "&amp;I$15,'FE Déplacements'!$G:$U,15,FALSE)),0,VLOOKUP($B19&amp;"; "&amp;$Q$14&amp;", "&amp;I$15,'FE Déplacements'!$G:$U,15,FALSE))</f>
        <v>0</v>
      </c>
      <c r="AX19" s="568"/>
      <c r="BH19" s="1065">
        <f>IF($Y19&lt;&gt;"votre valeur :",IF(ISNA(VLOOKUP($Y19,Utilitaires!$N$566:$O$571,2,FALSE)),,VLOOKUP($Y19,Utilitaires!$N$566:$O$571,2,FALSE)),$Z19)</f>
        <v>0</v>
      </c>
      <c r="BI19" s="1124">
        <f>IF(ISNA(SQRT(SUMSQ(VLOOKUP($B19&amp;"; "&amp;$H$14&amp;", "&amp;$H$15,'FE Déplacements'!$G:$U,7,FALSE),$BH19))),0,SQRT(SUMSQ(VLOOKUP($B19&amp;"; "&amp;$H$14&amp;", "&amp;$H$15,'FE Déplacements'!$G:$U,7,FALSE),$BH19)))</f>
        <v>0</v>
      </c>
      <c r="BJ19" s="1068">
        <f>IF(ISNA(SQRT(SUMSQ(VLOOKUP($B19&amp;"; "&amp;$K$14&amp;", "&amp;$K$15,'FE Déplacements'!$G:$U,7,FALSE),$BH19))),0,SQRT(SUMSQ(VLOOKUP($B19&amp;"; "&amp;$K$14&amp;", "&amp;$K$15,'FE Déplacements'!$G:$U,7,FALSE),$BH19)))</f>
        <v>0.05</v>
      </c>
      <c r="BK19" s="1068">
        <f>IF(ISNA(SQRT(SUMSQ(VLOOKUP($B19&amp;"; "&amp;$N$14&amp;", "&amp;$N$15,'FE Déplacements'!$G:$U,7,FALSE),$BH19))),0,SQRT(SUMSQ(VLOOKUP($B19&amp;"; "&amp;$N$14&amp;", "&amp;$N$15,'FE Déplacements'!$G:$U,7,FALSE),$BH19)))</f>
        <v>0.05</v>
      </c>
      <c r="BL19" s="1068">
        <f>IF(ISNA(SQRT(SUMSQ(VLOOKUP($B19&amp;"; "&amp;$Q$14&amp;", "&amp;$Q$15,'FE Déplacements'!$G:$U,7,FALSE),$BH19))),0,SQRT(SUMSQ(VLOOKUP($B19&amp;"; "&amp;$Q$14&amp;", "&amp;$Q$15,'FE Déplacements'!$G:$U,7,FALSE),$BH19)))</f>
        <v>0.05</v>
      </c>
      <c r="BM19" s="1124">
        <f>IF(ISNA(SQRT(SUMSQ(VLOOKUP($B19&amp;"; "&amp;$H$14&amp;", "&amp;$I$15,'FE Déplacements'!$G:$U,7,FALSE),$BH19))),0,SQRT(SUMSQ(VLOOKUP($B19&amp;"; "&amp;$H$14&amp;", "&amp;$I$15,'FE Déplacements'!$G:$U,7,FALSE),$BH19)))</f>
        <v>0</v>
      </c>
      <c r="BN19" s="1068">
        <f>IF(ISNA(SQRT(SUMSQ(VLOOKUP($B19&amp;"; "&amp;$K$14&amp;", "&amp;$L$15,'FE Déplacements'!$G:$U,7,FALSE),$BH19))),0,SQRT(SUMSQ(VLOOKUP($B19&amp;"; "&amp;$K$14&amp;", "&amp;$L$15,'FE Déplacements'!$G:$U,7,FALSE),$BH19)))</f>
        <v>0.05</v>
      </c>
      <c r="BO19" s="1068">
        <f>IF(ISNA(SQRT(SUMSQ(VLOOKUP($B19&amp;"; "&amp;$N$14&amp;", "&amp;$O$15,'FE Déplacements'!$G:$U,7,FALSE),$BH19))),0,SQRT(SUMSQ(VLOOKUP($B19&amp;"; "&amp;$N$14&amp;", "&amp;$O$15,'FE Déplacements'!$G:$U,7,FALSE),$BH19)))</f>
        <v>0.05</v>
      </c>
      <c r="BP19" s="1125">
        <f>IF(ISNA(SQRT(SUMSQ(VLOOKUP($B19&amp;"; "&amp;$Q$14&amp;", "&amp;$R$15,'FE Déplacements'!$G:$U,7,FALSE),$BH19))),0,SQRT(SUMSQ(VLOOKUP($B19&amp;"; "&amp;$Q$14&amp;", "&amp;$R$15,'FE Déplacements'!$G:$U,7,FALSE),$BH19)))</f>
        <v>0.05</v>
      </c>
    </row>
    <row r="20" spans="2:68" outlineLevel="1">
      <c r="B20" s="143" t="s">
        <v>4803</v>
      </c>
      <c r="C20" s="144"/>
      <c r="D20" s="212">
        <f t="shared" si="0"/>
        <v>0</v>
      </c>
      <c r="E20" s="212"/>
      <c r="F20" s="120"/>
      <c r="G20" s="120"/>
      <c r="H20" s="335">
        <f>IF(ISNA(VLOOKUP($B20&amp;"; "&amp;$H$14&amp;", "&amp;H$15,'FE Déplacements'!$G:$U,9,FALSE)),0,VLOOKUP($B20&amp;"; "&amp;$H$14&amp;", "&amp;H$15,'FE Déplacements'!$G:$U,9,FALSE))</f>
        <v>0</v>
      </c>
      <c r="I20" s="335">
        <f>IF(ISNA(VLOOKUP($B20&amp;"; "&amp;$H$14&amp;", "&amp;I$15,'FE Déplacements'!$G:$U,9,FALSE)),0,VLOOKUP($B20&amp;"; "&amp;$H$14&amp;", "&amp;I$15,'FE Déplacements'!$G:$U,9,FALSE))</f>
        <v>0</v>
      </c>
      <c r="J20" s="120"/>
      <c r="K20" s="335">
        <f>IF(ISNA(VLOOKUP($B20&amp;"; "&amp;$K$14&amp;", "&amp;K$15,'FE Déplacements'!$G:$U,9,FALSE)),0,VLOOKUP($B20&amp;"; "&amp;$K$14&amp;", "&amp;K$15,'FE Déplacements'!$G:$U,9,FALSE))</f>
        <v>0</v>
      </c>
      <c r="L20" s="335">
        <f>IF(ISNA(VLOOKUP($B20&amp;"; "&amp;$K$14&amp;", "&amp;L$15,'FE Déplacements'!$G:$U,9,FALSE)),0,VLOOKUP($B20&amp;"; "&amp;$K$14&amp;", "&amp;L$15,'FE Déplacements'!$G:$U,9,FALSE))</f>
        <v>0</v>
      </c>
      <c r="M20" s="120"/>
      <c r="N20" s="335">
        <f>IF(ISNA(VLOOKUP($B20&amp;"; "&amp;$N$14&amp;", "&amp;N$15,'FE Déplacements'!$G:$U,9,FALSE)),0,VLOOKUP($B20&amp;"; "&amp;$N$14&amp;", "&amp;N$15,'FE Déplacements'!$G:$U,9,FALSE))</f>
        <v>0</v>
      </c>
      <c r="O20" s="335">
        <f>IF(ISNA(VLOOKUP($B20&amp;"; "&amp;$N$14&amp;", "&amp;O$15,'FE Déplacements'!$G:$U,9,FALSE)),0,VLOOKUP($B20&amp;"; "&amp;$N$14&amp;", "&amp;O$15,'FE Déplacements'!$G:$U,9,FALSE))</f>
        <v>0</v>
      </c>
      <c r="P20" s="120"/>
      <c r="Q20" s="335">
        <f>IF(ISNA(VLOOKUP($B20&amp;"; "&amp;$Q$14&amp;", "&amp;Q$15,'FE Déplacements'!$G:$U,9,FALSE)),0,VLOOKUP($B20&amp;"; "&amp;$Q$14&amp;", "&amp;Q$15,'FE Déplacements'!$G:$U,9,FALSE))</f>
        <v>0</v>
      </c>
      <c r="R20" s="335">
        <f>IF(ISNA(VLOOKUP($B20&amp;"; "&amp;$Q$14&amp;", "&amp;R$15,'FE Déplacements'!$G:$U,9,FALSE)),0,VLOOKUP($B20&amp;"; "&amp;$Q$14&amp;", "&amp;R$15,'FE Déplacements'!$G:$U,9,FALSE))</f>
        <v>0</v>
      </c>
      <c r="S20" s="151">
        <f t="shared" si="1"/>
        <v>0</v>
      </c>
      <c r="T20" s="152">
        <f t="shared" si="8"/>
        <v>0</v>
      </c>
      <c r="U20" s="165">
        <f>IF(OR(F20=Utilitaires!$I$572,F20=Utilitaires!$I$577),T20,0)</f>
        <v>0</v>
      </c>
      <c r="X20" s="1092">
        <f t="shared" si="2"/>
        <v>0</v>
      </c>
      <c r="Y20" s="343"/>
      <c r="Z20" s="820"/>
      <c r="AA20" s="164">
        <f t="shared" si="3"/>
        <v>0</v>
      </c>
      <c r="AB20" s="164">
        <f t="shared" si="4"/>
        <v>0</v>
      </c>
      <c r="AC20" s="151">
        <f t="shared" si="5"/>
        <v>0</v>
      </c>
      <c r="AD20" s="1286">
        <f t="shared" si="6"/>
        <v>0</v>
      </c>
      <c r="AE20" s="257"/>
      <c r="AG20" s="564">
        <f>$G20*IF(ISNA(VLOOKUP($B20&amp;"; "&amp;$H$14&amp;", "&amp;H$15,'FE Déplacements'!$G:$U,10,FALSE)),0,VLOOKUP($B20&amp;"; "&amp;$H$14&amp;", "&amp;H$15,'FE Déplacements'!$G:$U,10,FALSE))
+$J20*IF(ISNA(VLOOKUP($B20&amp;"; "&amp;$K$14&amp;", "&amp;H$15,'FE Déplacements'!$G:$U,10,FALSE)),0,VLOOKUP($B20&amp;"; "&amp;$K$14&amp;", "&amp;H$15,'FE Déplacements'!$G:$U,10,FALSE))
+$M20*IF(ISNA(VLOOKUP($B20&amp;"; "&amp;$N$14&amp;", "&amp;H$15,'FE Déplacements'!$G:$U,10,FALSE)),0,VLOOKUP($B20&amp;"; "&amp;$N$14&amp;", "&amp;H$15,'FE Déplacements'!$G:$U,10,FALSE))
+$P20*IF(ISNA(VLOOKUP($B20&amp;"; "&amp;$Q$14&amp;", "&amp;H$15,'FE Déplacements'!$G:$U,10,FALSE)),0,VLOOKUP($B20&amp;"; "&amp;$Q$14&amp;", "&amp;H$15,'FE Déplacements'!$G:$U,10,FALSE))</f>
        <v>0</v>
      </c>
      <c r="AH20" s="565">
        <f>$G20*IF(ISNA(VLOOKUP($B20&amp;"; "&amp;$H$14&amp;", "&amp;I$15,'FE Déplacements'!$G:$U,10,FALSE)),0,VLOOKUP($B20&amp;"; "&amp;$H$14&amp;", "&amp;I$15,'FE Déplacements'!$G:$U,10,FALSE))
+$J20*IF(ISNA(VLOOKUP($B20&amp;"; "&amp;$K$14&amp;", "&amp;I$15,'FE Déplacements'!$G:$U,10,FALSE)),0,VLOOKUP($B20&amp;"; "&amp;$K$14&amp;", "&amp;I$15,'FE Déplacements'!$G:$U,10,FALSE))
+$M20*IF(ISNA(VLOOKUP($B20&amp;"; "&amp;$N$14&amp;", "&amp;I$15,'FE Déplacements'!$G:$U,10,FALSE)),0,VLOOKUP($B20&amp;"; "&amp;$N$14&amp;", "&amp;I$15,'FE Déplacements'!$G:$U,10,FALSE))
+$P20*IF(ISNA(VLOOKUP($B20&amp;"; "&amp;$Q$14&amp;", "&amp;I$15,'FE Déplacements'!$G:$U,10,FALSE)),0,VLOOKUP($B20&amp;"; "&amp;$Q$14&amp;", "&amp;I$15,'FE Déplacements'!$G:$U,10,FALSE))</f>
        <v>0</v>
      </c>
      <c r="AI20" s="565"/>
      <c r="AJ20" s="565">
        <f>$G20*IF(ISNA((VLOOKUP($B20&amp;"; "&amp;$H$14&amp;", "&amp;H$15,'FE Déplacements'!$G:$U,12,FALSE)+VLOOKUP($B20&amp;"; "&amp;$H$14&amp;", "&amp;H$15,'FE Déplacements'!$G:$U,11,FALSE))),0,(VLOOKUP($B20&amp;"; "&amp;$H$14&amp;", "&amp;H$15,'FE Déplacements'!$G:$U,12,FALSE)+VLOOKUP($B20&amp;"; "&amp;$H$14&amp;", "&amp;H$15,'FE Déplacements'!$G:$U,11,FALSE)))
+$J20*IF(ISNA((VLOOKUP($B20&amp;"; "&amp;$K$14&amp;", "&amp;H$15,'FE Déplacements'!$G:$U,12,FALSE)+VLOOKUP($B20&amp;"; "&amp;$K$14&amp;", "&amp;H$15,'FE Déplacements'!$G:$U,11,FALSE))),0,(VLOOKUP($B20&amp;"; "&amp;$K$14&amp;", "&amp;H$15,'FE Déplacements'!$G:$U,12,FALSE)+VLOOKUP($B20&amp;"; "&amp;$K$14&amp;", "&amp;H$15,'FE Déplacements'!$G:$U,11,FALSE)))
+$M20*IF(ISNA((VLOOKUP($B20&amp;"; "&amp;$N$14&amp;", "&amp;H$15,'FE Déplacements'!$G:$U,12,FALSE)+VLOOKUP($B20&amp;"; "&amp;$N$14&amp;", "&amp;H$15,'FE Déplacements'!$G:$U,11,FALSE))),0,(VLOOKUP($B20&amp;"; "&amp;$N$14&amp;", "&amp;H$15,'FE Déplacements'!$G:$U,12,FALSE)+VLOOKUP($B20&amp;"; "&amp;$N$14&amp;", "&amp;H$15,'FE Déplacements'!$G:$U,11,FALSE)))
+$P20*IF(ISNA((VLOOKUP($B20&amp;"; "&amp;$Q$14&amp;", "&amp;H$15,'FE Déplacements'!$G:$U,12,FALSE)+VLOOKUP($B20&amp;"; "&amp;$Q$14&amp;", "&amp;H$15,'FE Déplacements'!$G:$U,11,FALSE))),0,(VLOOKUP($B20&amp;"; "&amp;$Q$14&amp;", "&amp;H$15,'FE Déplacements'!$G:$U,12,FALSE)+VLOOKUP($B20&amp;"; "&amp;$Q$14&amp;", "&amp;H$15,'FE Déplacements'!$G:$U,11,FALSE)))</f>
        <v>0</v>
      </c>
      <c r="AK20" s="565">
        <f>$G20*IF(ISNA((VLOOKUP($B20&amp;"; "&amp;$H$14&amp;", "&amp;I$15,'FE Déplacements'!$G:$U,12,FALSE)+VLOOKUP($B20&amp;"; "&amp;$H$14&amp;", "&amp;I$15,'FE Déplacements'!$G:$U,11,FALSE))),0,(VLOOKUP($B20&amp;"; "&amp;$H$14&amp;", "&amp;I$15,'FE Déplacements'!$G:$U,12,FALSE)+VLOOKUP($B20&amp;"; "&amp;$H$14&amp;", "&amp;I$15,'FE Déplacements'!$G:$U,11,FALSE)))
+$J20*IF(ISNA((VLOOKUP($B20&amp;"; "&amp;$K$14&amp;", "&amp;I$15,'FE Déplacements'!$G:$U,12,FALSE)+VLOOKUP($B20&amp;"; "&amp;$K$14&amp;", "&amp;I$15,'FE Déplacements'!$G:$U,11,FALSE))),0,(VLOOKUP($B20&amp;"; "&amp;$K$14&amp;", "&amp;I$15,'FE Déplacements'!$G:$U,12,FALSE)+VLOOKUP($B20&amp;"; "&amp;$K$14&amp;", "&amp;I$15,'FE Déplacements'!$G:$U,11,FALSE)))
+$M20*IF(ISNA((VLOOKUP($B20&amp;"; "&amp;$N$14&amp;", "&amp;I$15,'FE Déplacements'!$G:$U,12,FALSE)+VLOOKUP($B20&amp;"; "&amp;$N$14&amp;", "&amp;I$15,'FE Déplacements'!$G:$U,11,FALSE))),0,(VLOOKUP($B20&amp;"; "&amp;$N$14&amp;", "&amp;I$15,'FE Déplacements'!$G:$U,12,FALSE)+VLOOKUP($B20&amp;"; "&amp;$N$14&amp;", "&amp;I$15,'FE Déplacements'!$G:$U,11,FALSE)))
+$P20*IF(ISNA((VLOOKUP($B20&amp;"; "&amp;$Q$14&amp;", "&amp;I$15,'FE Déplacements'!$G:$U,12,FALSE)+VLOOKUP($B20&amp;"; "&amp;$Q$14&amp;", "&amp;I$15,'FE Déplacements'!$G:$U,11,FALSE))),0,(VLOOKUP($B20&amp;"; "&amp;$Q$14&amp;", "&amp;I$15,'FE Déplacements'!$G:$U,12,FALSE)+VLOOKUP($B20&amp;"; "&amp;$Q$14&amp;", "&amp;I$15,'FE Déplacements'!$G:$U,11,FALSE)))</f>
        <v>0</v>
      </c>
      <c r="AL20" s="565"/>
      <c r="AM20" s="565">
        <f>$G20*IF(ISNA(VLOOKUP($B21&amp;"; "&amp;$H$14&amp;", "&amp;H$15,'FE Déplacements'!$G:$U,13,FALSE)),0,VLOOKUP($B21&amp;"; "&amp;$H$14&amp;", "&amp;H$15,'FE Déplacements'!$G:$U,13,FALSE))
+$J20*IF(ISNA(VLOOKUP($B21&amp;"; "&amp;$K$14&amp;", "&amp;H$15,'FE Déplacements'!$G:$U,13,FALSE)),0,VLOOKUP($B21&amp;"; "&amp;$K$14&amp;", "&amp;H$15,'FE Déplacements'!$G:$U,13,FALSE))
+$M20*IF(ISNA(VLOOKUP($B21&amp;"; "&amp;$N$14&amp;", "&amp;H$15,'FE Déplacements'!$G:$U,13,FALSE)),0,VLOOKUP($B21&amp;"; "&amp;$N$14&amp;", "&amp;H$15,'FE Déplacements'!$G:$U,13,FALSE))
+$P20*IF(ISNA(VLOOKUP($B21&amp;"; "&amp;$Q$14&amp;", "&amp;H$15,'FE Déplacements'!$G:$U,13,FALSE)),0,VLOOKUP($B21&amp;"; "&amp;$Q$14&amp;", "&amp;H$15,'FE Déplacements'!$G:$U,13,FALSE))</f>
        <v>0</v>
      </c>
      <c r="AN20" s="565">
        <f>$G20*IF(ISNA(VLOOKUP($B20&amp;"; "&amp;$H$14&amp;", "&amp;I$15,'FE Déplacements'!$G:$U,13,FALSE)),0,VLOOKUP($B20&amp;"; "&amp;$H$14&amp;", "&amp;I$15,'FE Déplacements'!$G:$U,13,FALSE))
+$J20*IF(ISNA(VLOOKUP($B20&amp;"; "&amp;$K$14&amp;", "&amp;I$15,'FE Déplacements'!$G:$U,13,FALSE)),0,VLOOKUP($B20&amp;"; "&amp;$K$14&amp;", "&amp;I$15,'FE Déplacements'!$G:$U,13,FALSE))
+$M20*IF(ISNA(VLOOKUP($B20&amp;"; "&amp;$N$14&amp;", "&amp;I$15,'FE Déplacements'!$G:$U,13,FALSE)),0,VLOOKUP($B20&amp;"; "&amp;$N$14&amp;", "&amp;I$15,'FE Déplacements'!$G:$U,13,FALSE))
+$P20*IF(ISNA(VLOOKUP($B20&amp;"; "&amp;$Q$14&amp;", "&amp;I$15,'FE Déplacements'!$G:$U,13,FALSE)),0,VLOOKUP($B20&amp;"; "&amp;$Q$14&amp;", "&amp;I$15,'FE Déplacements'!$G:$U,13,FALSE))</f>
        <v>0</v>
      </c>
      <c r="AO20" s="565"/>
      <c r="AP20" s="565">
        <v>0</v>
      </c>
      <c r="AQ20" s="565">
        <v>0</v>
      </c>
      <c r="AR20" s="565"/>
      <c r="AS20" s="1288">
        <f t="shared" si="7"/>
        <v>0</v>
      </c>
      <c r="AT20" s="566">
        <f t="shared" si="7"/>
        <v>0</v>
      </c>
      <c r="AU20" s="565"/>
      <c r="AV20" s="564">
        <f>$G20*IF(ISNA(VLOOKUP($B20&amp;"; "&amp;$H$14&amp;", "&amp;H$15,'FE Déplacements'!$G:$U,15,FALSE)),0,VLOOKUP($B20&amp;"; "&amp;$H$14&amp;", "&amp;H$15,'FE Déplacements'!$G:$U,15,FALSE))
+$J20*IF(ISNA(VLOOKUP($B20&amp;"; "&amp;$K$14&amp;", "&amp;H$15,'FE Déplacements'!$G:$U,15,FALSE)),0,VLOOKUP($B20&amp;"; "&amp;$K$14&amp;", "&amp;H$15,'FE Déplacements'!$G:$U,15,FALSE))
+$M20*IF(ISNA(VLOOKUP($B20&amp;"; "&amp;$N$14&amp;", "&amp;H$15,'FE Déplacements'!$G:$U,15,FALSE)),0,VLOOKUP($B20&amp;"; "&amp;$N$14&amp;", "&amp;H$15,'FE Déplacements'!$G:$U,15,FALSE))
+$P20*IF(ISNA(VLOOKUP($B20&amp;"; "&amp;$Q$14&amp;", "&amp;H$15,'FE Déplacements'!$G:$U,15,FALSE)),0,VLOOKUP($B20&amp;"; "&amp;$Q$14&amp;", "&amp;H$15,'FE Déplacements'!$G:$U,15,FALSE))</f>
        <v>0</v>
      </c>
      <c r="AW20" s="565">
        <f>$G20*IF(ISNA(VLOOKUP($B20&amp;"; "&amp;$H$14&amp;", "&amp;I$15,'FE Déplacements'!$G:$U,15,FALSE)),0,VLOOKUP($B20&amp;"; "&amp;$H$14&amp;", "&amp;I$15,'FE Déplacements'!$G:$U,15,FALSE))
+$J20*IF(ISNA(VLOOKUP($B20&amp;"; "&amp;$K$14&amp;", "&amp;I$15,'FE Déplacements'!$G:$U,15,FALSE)),0,VLOOKUP($B20&amp;"; "&amp;$K$14&amp;", "&amp;I$15,'FE Déplacements'!$G:$U,15,FALSE))
+$M20*IF(ISNA(VLOOKUP($B20&amp;"; "&amp;$N$14&amp;", "&amp;I$15,'FE Déplacements'!$G:$U,15,FALSE)),0,VLOOKUP($B20&amp;"; "&amp;$N$14&amp;", "&amp;I$15,'FE Déplacements'!$G:$U,15,FALSE))
+$P20*IF(ISNA(VLOOKUP($B20&amp;"; "&amp;$Q$14&amp;", "&amp;I$15,'FE Déplacements'!$G:$U,15,FALSE)),0,VLOOKUP($B20&amp;"; "&amp;$Q$14&amp;", "&amp;I$15,'FE Déplacements'!$G:$U,15,FALSE))</f>
        <v>0</v>
      </c>
      <c r="AX20" s="568"/>
      <c r="BH20" s="1065">
        <f>IF($Y20&lt;&gt;"votre valeur :",IF(ISNA(VLOOKUP($Y20,Utilitaires!$N$566:$O$571,2,FALSE)),,VLOOKUP($Y20,Utilitaires!$N$566:$O$571,2,FALSE)),$Z20)</f>
        <v>0</v>
      </c>
      <c r="BI20" s="1124">
        <f>IF(ISNA(SQRT(SUMSQ(VLOOKUP($B20&amp;"; "&amp;$H$14&amp;", "&amp;$H$15,'FE Déplacements'!$G:$U,7,FALSE),$BH20))),0,SQRT(SUMSQ(VLOOKUP($B20&amp;"; "&amp;$H$14&amp;", "&amp;$H$15,'FE Déplacements'!$G:$U,7,FALSE),$BH20)))</f>
        <v>0</v>
      </c>
      <c r="BJ20" s="1068">
        <f>IF(ISNA(SQRT(SUMSQ(VLOOKUP($B20&amp;"; "&amp;$K$14&amp;", "&amp;$K$15,'FE Déplacements'!$G:$U,7,FALSE),$BH20))),0,SQRT(SUMSQ(VLOOKUP($B20&amp;"; "&amp;$K$14&amp;", "&amp;$K$15,'FE Déplacements'!$G:$U,7,FALSE),$BH20)))</f>
        <v>0</v>
      </c>
      <c r="BK20" s="1068">
        <f>IF(ISNA(SQRT(SUMSQ(VLOOKUP($B20&amp;"; "&amp;$N$14&amp;", "&amp;$N$15,'FE Déplacements'!$G:$U,7,FALSE),$BH20))),0,SQRT(SUMSQ(VLOOKUP($B20&amp;"; "&amp;$N$14&amp;", "&amp;$N$15,'FE Déplacements'!$G:$U,7,FALSE),$BH20)))</f>
        <v>0</v>
      </c>
      <c r="BL20" s="1068">
        <f>IF(ISNA(SQRT(SUMSQ(VLOOKUP($B20&amp;"; "&amp;$Q$14&amp;", "&amp;$Q$15,'FE Déplacements'!$G:$U,7,FALSE),$BH20))),0,SQRT(SUMSQ(VLOOKUP($B20&amp;"; "&amp;$Q$14&amp;", "&amp;$Q$15,'FE Déplacements'!$G:$U,7,FALSE),$BH20)))</f>
        <v>0</v>
      </c>
      <c r="BM20" s="1124">
        <f>IF(ISNA(SQRT(SUMSQ(VLOOKUP($B20&amp;"; "&amp;$H$14&amp;", "&amp;$I$15,'FE Déplacements'!$G:$U,7,FALSE),$BH20))),0,SQRT(SUMSQ(VLOOKUP($B20&amp;"; "&amp;$H$14&amp;", "&amp;$I$15,'FE Déplacements'!$G:$U,7,FALSE),$BH20)))</f>
        <v>0</v>
      </c>
      <c r="BN20" s="1068">
        <f>IF(ISNA(SQRT(SUMSQ(VLOOKUP($B20&amp;"; "&amp;$K$14&amp;", "&amp;$L$15,'FE Déplacements'!$G:$U,7,FALSE),$BH20))),0,SQRT(SUMSQ(VLOOKUP($B20&amp;"; "&amp;$K$14&amp;", "&amp;$L$15,'FE Déplacements'!$G:$U,7,FALSE),$BH20)))</f>
        <v>0</v>
      </c>
      <c r="BO20" s="1068">
        <f>IF(ISNA(SQRT(SUMSQ(VLOOKUP($B20&amp;"; "&amp;$N$14&amp;", "&amp;$O$15,'FE Déplacements'!$G:$U,7,FALSE),$BH20))),0,SQRT(SUMSQ(VLOOKUP($B20&amp;"; "&amp;$N$14&amp;", "&amp;$O$15,'FE Déplacements'!$G:$U,7,FALSE),$BH20)))</f>
        <v>0</v>
      </c>
      <c r="BP20" s="1125">
        <f>IF(ISNA(SQRT(SUMSQ(VLOOKUP($B20&amp;"; "&amp;$Q$14&amp;", "&amp;$R$15,'FE Déplacements'!$G:$U,7,FALSE),$BH20))),0,SQRT(SUMSQ(VLOOKUP($B20&amp;"; "&amp;$Q$14&amp;", "&amp;$R$15,'FE Déplacements'!$G:$U,7,FALSE),$BH20)))</f>
        <v>0</v>
      </c>
    </row>
    <row r="21" spans="2:68" outlineLevel="1">
      <c r="B21" s="143" t="s">
        <v>2253</v>
      </c>
      <c r="C21" s="144"/>
      <c r="D21" s="212">
        <f t="shared" si="0"/>
        <v>0</v>
      </c>
      <c r="E21" s="212"/>
      <c r="F21" s="123"/>
      <c r="G21" s="123"/>
      <c r="H21" s="335">
        <f>IF(ISNA(VLOOKUP($B21&amp;"; "&amp;$H$14&amp;", "&amp;H$15,'FE Déplacements'!$G:$U,9,FALSE)),0,VLOOKUP($B21&amp;"; "&amp;$H$14&amp;", "&amp;H$15,'FE Déplacements'!$G:$U,9,FALSE))</f>
        <v>1070</v>
      </c>
      <c r="I21" s="335">
        <f>IF(ISNA(VLOOKUP($B21&amp;"; "&amp;$H$14&amp;", "&amp;I$15,'FE Déplacements'!$G:$U,9,FALSE)),0,VLOOKUP($B21&amp;"; "&amp;$H$14&amp;", "&amp;I$15,'FE Déplacements'!$G:$U,9,FALSE))</f>
        <v>0</v>
      </c>
      <c r="J21" s="123"/>
      <c r="K21" s="335">
        <f>IF(ISNA(VLOOKUP($B21&amp;"; "&amp;$K$14&amp;", "&amp;K$15,'FE Déplacements'!$G:$U,9,FALSE)),0,VLOOKUP($B21&amp;"; "&amp;$K$14&amp;", "&amp;K$15,'FE Déplacements'!$G:$U,9,FALSE))</f>
        <v>0.14399999999999999</v>
      </c>
      <c r="L21" s="335">
        <f>IF(ISNA(VLOOKUP($B21&amp;"; "&amp;$K$14&amp;", "&amp;L$15,'FE Déplacements'!$G:$U,9,FALSE)),0,VLOOKUP($B21&amp;"; "&amp;$K$14&amp;", "&amp;L$15,'FE Déplacements'!$G:$U,9,FALSE))</f>
        <v>0</v>
      </c>
      <c r="M21" s="123"/>
      <c r="N21" s="335">
        <f>IF(ISNA(VLOOKUP($B21&amp;"; "&amp;$N$14&amp;", "&amp;N$15,'FE Déplacements'!$G:$U,9,FALSE)),0,VLOOKUP($B21&amp;"; "&amp;$N$14&amp;", "&amp;N$15,'FE Déplacements'!$G:$U,9,FALSE))</f>
        <v>1670</v>
      </c>
      <c r="O21" s="335">
        <f>IF(ISNA(VLOOKUP($B21&amp;"; "&amp;$N$14&amp;", "&amp;O$15,'FE Déplacements'!$G:$U,9,FALSE)),0,VLOOKUP($B21&amp;"; "&amp;$N$14&amp;", "&amp;O$15,'FE Déplacements'!$G:$U,9,FALSE))</f>
        <v>0</v>
      </c>
      <c r="P21" s="123"/>
      <c r="Q21" s="335">
        <f>IF(ISNA(VLOOKUP($B21&amp;"; "&amp;$Q$14&amp;", "&amp;Q$15,'FE Déplacements'!$G:$U,9,FALSE)),0,VLOOKUP($B21&amp;"; "&amp;$Q$14&amp;", "&amp;Q$15,'FE Déplacements'!$G:$U,9,FALSE))</f>
        <v>0.84799999999999998</v>
      </c>
      <c r="R21" s="335">
        <f>IF(ISNA(VLOOKUP($B21&amp;"; "&amp;$Q$14&amp;", "&amp;R$15,'FE Déplacements'!$G:$U,9,FALSE)),0,VLOOKUP($B21&amp;"; "&amp;$Q$14&amp;", "&amp;R$15,'FE Déplacements'!$G:$U,9,FALSE))</f>
        <v>0</v>
      </c>
      <c r="S21" s="151">
        <f t="shared" si="1"/>
        <v>0</v>
      </c>
      <c r="T21" s="152">
        <f t="shared" si="8"/>
        <v>0</v>
      </c>
      <c r="U21" s="165">
        <f>IF(OR(F21=Utilitaires!$I$572,F21=Utilitaires!$I$577),T21,0)</f>
        <v>0</v>
      </c>
      <c r="X21" s="1092">
        <f t="shared" si="2"/>
        <v>0</v>
      </c>
      <c r="Y21" s="1218"/>
      <c r="Z21" s="820"/>
      <c r="AA21" s="164">
        <f t="shared" si="3"/>
        <v>0</v>
      </c>
      <c r="AB21" s="164">
        <f t="shared" si="4"/>
        <v>0</v>
      </c>
      <c r="AC21" s="151">
        <f t="shared" si="5"/>
        <v>0</v>
      </c>
      <c r="AD21" s="1286">
        <f t="shared" si="6"/>
        <v>0</v>
      </c>
      <c r="AE21" s="257"/>
      <c r="AG21" s="564">
        <f>$G21*IF(ISNA(VLOOKUP($B21&amp;"; "&amp;$H$14&amp;", "&amp;H$15,'FE Déplacements'!$G:$U,10,FALSE)),0,VLOOKUP($B21&amp;"; "&amp;$H$14&amp;", "&amp;H$15,'FE Déplacements'!$G:$U,10,FALSE))
+$J21*IF(ISNA(VLOOKUP($B21&amp;"; "&amp;$K$14&amp;", "&amp;H$15,'FE Déplacements'!$G:$U,10,FALSE)),0,VLOOKUP($B21&amp;"; "&amp;$K$14&amp;", "&amp;H$15,'FE Déplacements'!$G:$U,10,FALSE))
+$M21*IF(ISNA(VLOOKUP($B21&amp;"; "&amp;$N$14&amp;", "&amp;H$15,'FE Déplacements'!$G:$U,10,FALSE)),0,VLOOKUP($B21&amp;"; "&amp;$N$14&amp;", "&amp;H$15,'FE Déplacements'!$G:$U,10,FALSE))
+$P21*IF(ISNA(VLOOKUP($B21&amp;"; "&amp;$Q$14&amp;", "&amp;H$15,'FE Déplacements'!$G:$U,10,FALSE)),0,VLOOKUP($B21&amp;"; "&amp;$Q$14&amp;", "&amp;H$15,'FE Déplacements'!$G:$U,10,FALSE))</f>
        <v>0</v>
      </c>
      <c r="AH21" s="565">
        <f>$G21*IF(ISNA(VLOOKUP($B21&amp;"; "&amp;$H$14&amp;", "&amp;I$15,'FE Déplacements'!$G:$U,10,FALSE)),0,VLOOKUP($B21&amp;"; "&amp;$H$14&amp;", "&amp;I$15,'FE Déplacements'!$G:$U,10,FALSE))
+$J21*IF(ISNA(VLOOKUP($B21&amp;"; "&amp;$K$14&amp;", "&amp;I$15,'FE Déplacements'!$G:$U,10,FALSE)),0,VLOOKUP($B21&amp;"; "&amp;$K$14&amp;", "&amp;I$15,'FE Déplacements'!$G:$U,10,FALSE))
+$M21*IF(ISNA(VLOOKUP($B21&amp;"; "&amp;$N$14&amp;", "&amp;I$15,'FE Déplacements'!$G:$U,10,FALSE)),0,VLOOKUP($B21&amp;"; "&amp;$N$14&amp;", "&amp;I$15,'FE Déplacements'!$G:$U,10,FALSE))
+$P21*IF(ISNA(VLOOKUP($B21&amp;"; "&amp;$Q$14&amp;", "&amp;I$15,'FE Déplacements'!$G:$U,10,FALSE)),0,VLOOKUP($B21&amp;"; "&amp;$Q$14&amp;", "&amp;I$15,'FE Déplacements'!$G:$U,10,FALSE))</f>
        <v>0</v>
      </c>
      <c r="AI21" s="565"/>
      <c r="AJ21" s="565">
        <f>$G21*IF(ISNA((VLOOKUP($B21&amp;"; "&amp;$H$14&amp;", "&amp;H$15,'FE Déplacements'!$G:$U,12,FALSE)+VLOOKUP($B21&amp;"; "&amp;$H$14&amp;", "&amp;H$15,'FE Déplacements'!$G:$U,11,FALSE))),0,(VLOOKUP($B21&amp;"; "&amp;$H$14&amp;", "&amp;H$15,'FE Déplacements'!$G:$U,12,FALSE)+VLOOKUP($B21&amp;"; "&amp;$H$14&amp;", "&amp;H$15,'FE Déplacements'!$G:$U,11,FALSE)))
+$J21*IF(ISNA((VLOOKUP($B21&amp;"; "&amp;$K$14&amp;", "&amp;H$15,'FE Déplacements'!$G:$U,12,FALSE)+VLOOKUP($B21&amp;"; "&amp;$K$14&amp;", "&amp;H$15,'FE Déplacements'!$G:$U,11,FALSE))),0,(VLOOKUP($B21&amp;"; "&amp;$K$14&amp;", "&amp;H$15,'FE Déplacements'!$G:$U,12,FALSE)+VLOOKUP($B21&amp;"; "&amp;$K$14&amp;", "&amp;H$15,'FE Déplacements'!$G:$U,11,FALSE)))
+$M21*IF(ISNA((VLOOKUP($B21&amp;"; "&amp;$N$14&amp;", "&amp;H$15,'FE Déplacements'!$G:$U,12,FALSE)+VLOOKUP($B21&amp;"; "&amp;$N$14&amp;", "&amp;H$15,'FE Déplacements'!$G:$U,11,FALSE))),0,(VLOOKUP($B21&amp;"; "&amp;$N$14&amp;", "&amp;H$15,'FE Déplacements'!$G:$U,12,FALSE)+VLOOKUP($B21&amp;"; "&amp;$N$14&amp;", "&amp;H$15,'FE Déplacements'!$G:$U,11,FALSE)))
+$P21*IF(ISNA((VLOOKUP($B21&amp;"; "&amp;$Q$14&amp;", "&amp;H$15,'FE Déplacements'!$G:$U,12,FALSE)+VLOOKUP($B21&amp;"; "&amp;$Q$14&amp;", "&amp;H$15,'FE Déplacements'!$G:$U,11,FALSE))),0,(VLOOKUP($B21&amp;"; "&amp;$Q$14&amp;", "&amp;H$15,'FE Déplacements'!$G:$U,12,FALSE)+VLOOKUP($B21&amp;"; "&amp;$Q$14&amp;", "&amp;H$15,'FE Déplacements'!$G:$U,11,FALSE)))</f>
        <v>0</v>
      </c>
      <c r="AK21" s="565">
        <f>$G21*IF(ISNA((VLOOKUP($B21&amp;"; "&amp;$H$14&amp;", "&amp;I$15,'FE Déplacements'!$G:$U,12,FALSE)+VLOOKUP($B21&amp;"; "&amp;$H$14&amp;", "&amp;I$15,'FE Déplacements'!$G:$U,11,FALSE))),0,(VLOOKUP($B21&amp;"; "&amp;$H$14&amp;", "&amp;I$15,'FE Déplacements'!$G:$U,12,FALSE)+VLOOKUP($B21&amp;"; "&amp;$H$14&amp;", "&amp;I$15,'FE Déplacements'!$G:$U,11,FALSE)))
+$J21*IF(ISNA((VLOOKUP($B21&amp;"; "&amp;$K$14&amp;", "&amp;I$15,'FE Déplacements'!$G:$U,12,FALSE)+VLOOKUP($B21&amp;"; "&amp;$K$14&amp;", "&amp;I$15,'FE Déplacements'!$G:$U,11,FALSE))),0,(VLOOKUP($B21&amp;"; "&amp;$K$14&amp;", "&amp;I$15,'FE Déplacements'!$G:$U,12,FALSE)+VLOOKUP($B21&amp;"; "&amp;$K$14&amp;", "&amp;I$15,'FE Déplacements'!$G:$U,11,FALSE)))
+$M21*IF(ISNA((VLOOKUP($B21&amp;"; "&amp;$N$14&amp;", "&amp;I$15,'FE Déplacements'!$G:$U,12,FALSE)+VLOOKUP($B21&amp;"; "&amp;$N$14&amp;", "&amp;I$15,'FE Déplacements'!$G:$U,11,FALSE))),0,(VLOOKUP($B21&amp;"; "&amp;$N$14&amp;", "&amp;I$15,'FE Déplacements'!$G:$U,12,FALSE)+VLOOKUP($B21&amp;"; "&amp;$N$14&amp;", "&amp;I$15,'FE Déplacements'!$G:$U,11,FALSE)))
+$P21*IF(ISNA((VLOOKUP($B21&amp;"; "&amp;$Q$14&amp;", "&amp;I$15,'FE Déplacements'!$G:$U,12,FALSE)+VLOOKUP($B21&amp;"; "&amp;$Q$14&amp;", "&amp;I$15,'FE Déplacements'!$G:$U,11,FALSE))),0,(VLOOKUP($B21&amp;"; "&amp;$Q$14&amp;", "&amp;I$15,'FE Déplacements'!$G:$U,12,FALSE)+VLOOKUP($B21&amp;"; "&amp;$Q$14&amp;", "&amp;I$15,'FE Déplacements'!$G:$U,11,FALSE)))</f>
        <v>0</v>
      </c>
      <c r="AL21" s="565"/>
      <c r="AM21" s="565">
        <f>$G21*IF(ISNA(VLOOKUP($B22&amp;"; "&amp;$H$14&amp;", "&amp;H$15,'FE Déplacements'!$G:$U,13,FALSE)),0,VLOOKUP($B22&amp;"; "&amp;$H$14&amp;", "&amp;H$15,'FE Déplacements'!$G:$U,13,FALSE))
+$J21*IF(ISNA(VLOOKUP($B22&amp;"; "&amp;$K$14&amp;", "&amp;H$15,'FE Déplacements'!$G:$U,13,FALSE)),0,VLOOKUP($B22&amp;"; "&amp;$K$14&amp;", "&amp;H$15,'FE Déplacements'!$G:$U,13,FALSE))
+$M21*IF(ISNA(VLOOKUP($B22&amp;"; "&amp;$N$14&amp;", "&amp;H$15,'FE Déplacements'!$G:$U,13,FALSE)),0,VLOOKUP($B22&amp;"; "&amp;$N$14&amp;", "&amp;H$15,'FE Déplacements'!$G:$U,13,FALSE))
+$P21*IF(ISNA(VLOOKUP($B22&amp;"; "&amp;$Q$14&amp;", "&amp;H$15,'FE Déplacements'!$G:$U,13,FALSE)),0,VLOOKUP($B22&amp;"; "&amp;$Q$14&amp;", "&amp;H$15,'FE Déplacements'!$G:$U,13,FALSE))</f>
        <v>0</v>
      </c>
      <c r="AN21" s="565">
        <f>$G21*IF(ISNA(VLOOKUP($B21&amp;"; "&amp;$H$14&amp;", "&amp;I$15,'FE Déplacements'!$G:$U,13,FALSE)),0,VLOOKUP($B21&amp;"; "&amp;$H$14&amp;", "&amp;I$15,'FE Déplacements'!$G:$U,13,FALSE))
+$J21*IF(ISNA(VLOOKUP($B21&amp;"; "&amp;$K$14&amp;", "&amp;I$15,'FE Déplacements'!$G:$U,13,FALSE)),0,VLOOKUP($B21&amp;"; "&amp;$K$14&amp;", "&amp;I$15,'FE Déplacements'!$G:$U,13,FALSE))
+$M21*IF(ISNA(VLOOKUP($B21&amp;"; "&amp;$N$14&amp;", "&amp;I$15,'FE Déplacements'!$G:$U,13,FALSE)),0,VLOOKUP($B21&amp;"; "&amp;$N$14&amp;", "&amp;I$15,'FE Déplacements'!$G:$U,13,FALSE))
+$P21*IF(ISNA(VLOOKUP($B21&amp;"; "&amp;$Q$14&amp;", "&amp;I$15,'FE Déplacements'!$G:$U,13,FALSE)),0,VLOOKUP($B21&amp;"; "&amp;$Q$14&amp;", "&amp;I$15,'FE Déplacements'!$G:$U,13,FALSE))</f>
        <v>0</v>
      </c>
      <c r="AO21" s="565"/>
      <c r="AP21" s="565">
        <v>0</v>
      </c>
      <c r="AQ21" s="565">
        <v>0</v>
      </c>
      <c r="AR21" s="565"/>
      <c r="AS21" s="1288">
        <f t="shared" si="7"/>
        <v>0</v>
      </c>
      <c r="AT21" s="566">
        <f t="shared" si="7"/>
        <v>0</v>
      </c>
      <c r="AU21" s="565"/>
      <c r="AV21" s="564">
        <f>$G21*IF(ISNA(VLOOKUP($B21&amp;"; "&amp;$H$14&amp;", "&amp;H$15,'FE Déplacements'!$G:$U,15,FALSE)),0,VLOOKUP($B21&amp;"; "&amp;$H$14&amp;", "&amp;H$15,'FE Déplacements'!$G:$U,15,FALSE))
+$J21*IF(ISNA(VLOOKUP($B21&amp;"; "&amp;$K$14&amp;", "&amp;H$15,'FE Déplacements'!$G:$U,15,FALSE)),0,VLOOKUP($B21&amp;"; "&amp;$K$14&amp;", "&amp;H$15,'FE Déplacements'!$G:$U,15,FALSE))
+$M21*IF(ISNA(VLOOKUP($B21&amp;"; "&amp;$N$14&amp;", "&amp;H$15,'FE Déplacements'!$G:$U,15,FALSE)),0,VLOOKUP($B21&amp;"; "&amp;$N$14&amp;", "&amp;H$15,'FE Déplacements'!$G:$U,15,FALSE))
+$P21*IF(ISNA(VLOOKUP($B21&amp;"; "&amp;$Q$14&amp;", "&amp;H$15,'FE Déplacements'!$G:$U,15,FALSE)),0,VLOOKUP($B21&amp;"; "&amp;$Q$14&amp;", "&amp;H$15,'FE Déplacements'!$G:$U,15,FALSE))</f>
        <v>0</v>
      </c>
      <c r="AW21" s="565">
        <f>$G21*IF(ISNA(VLOOKUP($B21&amp;"; "&amp;$H$14&amp;", "&amp;I$15,'FE Déplacements'!$G:$U,15,FALSE)),0,VLOOKUP($B21&amp;"; "&amp;$H$14&amp;", "&amp;I$15,'FE Déplacements'!$G:$U,15,FALSE))
+$J21*IF(ISNA(VLOOKUP($B21&amp;"; "&amp;$K$14&amp;", "&amp;I$15,'FE Déplacements'!$G:$U,15,FALSE)),0,VLOOKUP($B21&amp;"; "&amp;$K$14&amp;", "&amp;I$15,'FE Déplacements'!$G:$U,15,FALSE))
+$M21*IF(ISNA(VLOOKUP($B21&amp;"; "&amp;$N$14&amp;", "&amp;I$15,'FE Déplacements'!$G:$U,15,FALSE)),0,VLOOKUP($B21&amp;"; "&amp;$N$14&amp;", "&amp;I$15,'FE Déplacements'!$G:$U,15,FALSE))
+$P21*IF(ISNA(VLOOKUP($B21&amp;"; "&amp;$Q$14&amp;", "&amp;I$15,'FE Déplacements'!$G:$U,15,FALSE)),0,VLOOKUP($B21&amp;"; "&amp;$Q$14&amp;", "&amp;I$15,'FE Déplacements'!$G:$U,15,FALSE))</f>
        <v>0</v>
      </c>
      <c r="AX21" s="568"/>
      <c r="BH21" s="1065">
        <f>IF($Y21&lt;&gt;"votre valeur :",IF(ISNA(VLOOKUP($Y21,Utilitaires!$N$566:$O$571,2,FALSE)),,VLOOKUP($Y21,Utilitaires!$N$566:$O$571,2,FALSE)),$Z21)</f>
        <v>0</v>
      </c>
      <c r="BI21" s="1124">
        <f>IF(ISNA(SQRT(SUMSQ(VLOOKUP($B21&amp;"; "&amp;$H$14&amp;", "&amp;$H$15,'FE Déplacements'!$G:$U,7,FALSE),$BH21))),0,SQRT(SUMSQ(VLOOKUP($B21&amp;"; "&amp;$H$14&amp;", "&amp;$H$15,'FE Déplacements'!$G:$U,7,FALSE),$BH21)))</f>
        <v>0.2</v>
      </c>
      <c r="BJ21" s="1068">
        <f>IF(ISNA(SQRT(SUMSQ(VLOOKUP($B21&amp;"; "&amp;$K$14&amp;", "&amp;$K$15,'FE Déplacements'!$G:$U,7,FALSE),$BH21))),0,SQRT(SUMSQ(VLOOKUP($B21&amp;"; "&amp;$K$14&amp;", "&amp;$K$15,'FE Déplacements'!$G:$U,7,FALSE),$BH21)))</f>
        <v>0.2</v>
      </c>
      <c r="BK21" s="1068">
        <f>IF(ISNA(SQRT(SUMSQ(VLOOKUP($B21&amp;"; "&amp;$N$14&amp;", "&amp;$N$15,'FE Déplacements'!$G:$U,7,FALSE),$BH21))),0,SQRT(SUMSQ(VLOOKUP($B21&amp;"; "&amp;$N$14&amp;", "&amp;$N$15,'FE Déplacements'!$G:$U,7,FALSE),$BH21)))</f>
        <v>0.2</v>
      </c>
      <c r="BL21" s="1068">
        <f>IF(ISNA(SQRT(SUMSQ(VLOOKUP($B21&amp;"; "&amp;$Q$14&amp;", "&amp;$Q$15,'FE Déplacements'!$G:$U,7,FALSE),$BH21))),0,SQRT(SUMSQ(VLOOKUP($B21&amp;"; "&amp;$Q$14&amp;", "&amp;$Q$15,'FE Déplacements'!$G:$U,7,FALSE),$BH21)))</f>
        <v>0.2</v>
      </c>
      <c r="BM21" s="1124">
        <f>IF(ISNA(SQRT(SUMSQ(VLOOKUP($B21&amp;"; "&amp;$H$14&amp;", "&amp;$I$15,'FE Déplacements'!$G:$U,7,FALSE),$BH21))),0,SQRT(SUMSQ(VLOOKUP($B21&amp;"; "&amp;$H$14&amp;", "&amp;$I$15,'FE Déplacements'!$G:$U,7,FALSE),$BH21)))</f>
        <v>0</v>
      </c>
      <c r="BN21" s="1068">
        <f>IF(ISNA(SQRT(SUMSQ(VLOOKUP($B21&amp;"; "&amp;$K$14&amp;", "&amp;$L$15,'FE Déplacements'!$G:$U,7,FALSE),$BH21))),0,SQRT(SUMSQ(VLOOKUP($B21&amp;"; "&amp;$K$14&amp;", "&amp;$L$15,'FE Déplacements'!$G:$U,7,FALSE),$BH21)))</f>
        <v>0</v>
      </c>
      <c r="BO21" s="1068">
        <f>IF(ISNA(SQRT(SUMSQ(VLOOKUP($B21&amp;"; "&amp;$N$14&amp;", "&amp;$O$15,'FE Déplacements'!$G:$U,7,FALSE),$BH21))),0,SQRT(SUMSQ(VLOOKUP($B21&amp;"; "&amp;$N$14&amp;", "&amp;$O$15,'FE Déplacements'!$G:$U,7,FALSE),$BH21)))</f>
        <v>0</v>
      </c>
      <c r="BP21" s="1125">
        <f>IF(ISNA(SQRT(SUMSQ(VLOOKUP($B21&amp;"; "&amp;$Q$14&amp;", "&amp;$R$15,'FE Déplacements'!$G:$U,7,FALSE),$BH21))),0,SQRT(SUMSQ(VLOOKUP($B21&amp;"; "&amp;$Q$14&amp;", "&amp;$R$15,'FE Déplacements'!$G:$U,7,FALSE),$BH21)))</f>
        <v>0</v>
      </c>
    </row>
    <row r="22" spans="2:68" outlineLevel="1">
      <c r="B22" s="154"/>
      <c r="C22" s="155"/>
      <c r="D22" s="221"/>
      <c r="E22" s="221"/>
      <c r="F22" s="155"/>
      <c r="G22" s="155"/>
      <c r="H22" s="155"/>
      <c r="I22" s="155"/>
      <c r="J22" s="155"/>
      <c r="K22" s="155"/>
      <c r="L22" s="155"/>
      <c r="M22" s="155"/>
      <c r="N22" s="155"/>
      <c r="O22" s="155"/>
      <c r="P22" s="155"/>
      <c r="Q22" s="155"/>
      <c r="R22" s="155"/>
      <c r="S22" s="354"/>
      <c r="T22" s="156"/>
      <c r="U22" s="165"/>
      <c r="X22" s="143"/>
      <c r="Y22" s="144"/>
      <c r="Z22" s="144"/>
      <c r="AA22" s="164"/>
      <c r="AB22" s="164"/>
      <c r="AC22" s="151"/>
      <c r="AD22" s="1287"/>
      <c r="AE22" s="1458"/>
      <c r="AG22" s="564"/>
      <c r="AH22" s="565"/>
      <c r="AI22" s="565"/>
      <c r="AJ22" s="565"/>
      <c r="AK22" s="565"/>
      <c r="AL22" s="565"/>
      <c r="AM22" s="565"/>
      <c r="AN22" s="565"/>
      <c r="AO22" s="565"/>
      <c r="AP22" s="565"/>
      <c r="AQ22" s="565"/>
      <c r="AR22" s="565"/>
      <c r="AS22" s="1288"/>
      <c r="AT22" s="566"/>
      <c r="AU22" s="565"/>
      <c r="AV22" s="564"/>
      <c r="AW22" s="565"/>
      <c r="AX22" s="568"/>
      <c r="BH22" s="1087"/>
      <c r="BI22" s="1126"/>
      <c r="BJ22" s="1073"/>
      <c r="BK22" s="1073"/>
      <c r="BL22" s="1074"/>
      <c r="BM22" s="1075"/>
      <c r="BN22" s="1076"/>
      <c r="BO22" s="1076"/>
      <c r="BP22" s="1077"/>
    </row>
    <row r="23" spans="2:68" outlineLevel="1">
      <c r="B23" s="196" t="s">
        <v>348</v>
      </c>
      <c r="C23" s="197"/>
      <c r="D23" s="214">
        <f>SUM(D16:D22)</f>
        <v>0</v>
      </c>
      <c r="E23" s="214"/>
      <c r="F23" s="198"/>
      <c r="G23" s="199"/>
      <c r="H23" s="199"/>
      <c r="I23" s="199"/>
      <c r="J23" s="199"/>
      <c r="K23" s="199"/>
      <c r="L23" s="199"/>
      <c r="M23" s="199"/>
      <c r="N23" s="199"/>
      <c r="O23" s="199"/>
      <c r="P23" s="199"/>
      <c r="Q23" s="199"/>
      <c r="R23" s="199"/>
      <c r="S23" s="202">
        <f>SUM(S16:S22)</f>
        <v>0</v>
      </c>
      <c r="T23" s="200">
        <f>SUM(T16:T22)</f>
        <v>0</v>
      </c>
      <c r="U23" s="340">
        <f>SUM(U16:U22)</f>
        <v>0</v>
      </c>
      <c r="X23" s="1771">
        <f>IF(AC23=0,0,AC23/(S23+T23))</f>
        <v>0</v>
      </c>
      <c r="Y23" s="197"/>
      <c r="Z23" s="197"/>
      <c r="AA23" s="197">
        <f>SQRT(SUMSQ(AA16:AA22))</f>
        <v>0</v>
      </c>
      <c r="AB23" s="197">
        <f>SQRT(SUMSQ(AB16:AB22))</f>
        <v>0</v>
      </c>
      <c r="AC23" s="202">
        <f>SQRT(SUMSQ(AC16:AC22))</f>
        <v>0</v>
      </c>
      <c r="AD23" s="1311">
        <f>SQRT(SUMSQ(AD16:AD22))</f>
        <v>0</v>
      </c>
      <c r="AE23" s="257"/>
      <c r="AG23" s="571">
        <f>SUM(AG16:AG22)</f>
        <v>0</v>
      </c>
      <c r="AH23" s="572">
        <f>SUM(AH16:AH22)</f>
        <v>0</v>
      </c>
      <c r="AI23" s="572"/>
      <c r="AJ23" s="572">
        <f>SUM(AJ16:AJ22)</f>
        <v>0</v>
      </c>
      <c r="AK23" s="572">
        <f>SUM(AK16:AK22)</f>
        <v>0</v>
      </c>
      <c r="AL23" s="572"/>
      <c r="AM23" s="572">
        <f>SUM(AM16:AM22)</f>
        <v>0</v>
      </c>
      <c r="AN23" s="572">
        <f>SUM(AN16:AN22)</f>
        <v>0</v>
      </c>
      <c r="AO23" s="572"/>
      <c r="AP23" s="572">
        <f>SUM(AP16:AP22)</f>
        <v>0</v>
      </c>
      <c r="AQ23" s="572">
        <f>SUM(AQ16:AQ22)</f>
        <v>0</v>
      </c>
      <c r="AR23" s="572"/>
      <c r="AS23" s="1290">
        <f>SUM(AS16:AS22)</f>
        <v>0</v>
      </c>
      <c r="AT23" s="573">
        <f>SUM(AT16:AT22)</f>
        <v>0</v>
      </c>
      <c r="AU23" s="572"/>
      <c r="AV23" s="1082">
        <f>SUM(AV16:AV22)</f>
        <v>0</v>
      </c>
      <c r="AW23" s="572">
        <f>SUM(AW16:AW22)</f>
        <v>0</v>
      </c>
      <c r="AX23" s="575"/>
    </row>
    <row r="24" spans="2:68" outlineLevel="1">
      <c r="P24" s="116"/>
    </row>
    <row r="25" spans="2:68" ht="12.75" customHeight="1" outlineLevel="1">
      <c r="B25" s="2145" t="s">
        <v>592</v>
      </c>
      <c r="C25" s="140"/>
      <c r="D25" s="377"/>
      <c r="E25" s="1648"/>
      <c r="F25" s="140"/>
      <c r="G25" s="141"/>
      <c r="H25" s="141"/>
      <c r="I25" s="141"/>
      <c r="J25" s="141"/>
      <c r="K25" s="141"/>
      <c r="L25" s="141"/>
      <c r="M25" s="141"/>
      <c r="N25" s="141"/>
      <c r="O25" s="141"/>
      <c r="P25" s="141"/>
      <c r="Q25" s="1610"/>
      <c r="X25" s="2636" t="s">
        <v>366</v>
      </c>
      <c r="Y25" s="2637"/>
      <c r="Z25" s="2637"/>
      <c r="AA25" s="2637"/>
      <c r="AB25" s="2637"/>
      <c r="AC25" s="2637"/>
      <c r="AD25" s="2638"/>
      <c r="AE25" s="1773"/>
      <c r="AG25" s="2639" t="s">
        <v>441</v>
      </c>
      <c r="AH25" s="2640"/>
      <c r="AI25" s="2640"/>
      <c r="AJ25" s="2640"/>
      <c r="AK25" s="2640"/>
      <c r="AL25" s="2640"/>
      <c r="AM25" s="2640"/>
      <c r="AN25" s="2640"/>
      <c r="AO25" s="2640"/>
      <c r="AP25" s="2640"/>
      <c r="AQ25" s="2640"/>
      <c r="AR25" s="2640"/>
      <c r="AS25" s="2640"/>
      <c r="AT25" s="2640"/>
      <c r="AU25" s="2640"/>
      <c r="AV25" s="2640"/>
      <c r="AW25" s="2640"/>
      <c r="AX25" s="2641"/>
    </row>
    <row r="26" spans="2:68" ht="12.75" customHeight="1" outlineLevel="1">
      <c r="B26" s="333"/>
      <c r="C26" s="167"/>
      <c r="D26" s="378" t="s">
        <v>308</v>
      </c>
      <c r="E26" s="1663"/>
      <c r="F26" s="144"/>
      <c r="G26" s="144"/>
      <c r="H26" s="144"/>
      <c r="I26" s="144"/>
      <c r="J26" s="144"/>
      <c r="K26" s="144"/>
      <c r="L26" s="144"/>
      <c r="M26" s="144"/>
      <c r="N26" s="144"/>
      <c r="O26" s="2628" t="s">
        <v>233</v>
      </c>
      <c r="P26" s="2627"/>
      <c r="Q26" s="153" t="s">
        <v>275</v>
      </c>
      <c r="X26" s="1655"/>
      <c r="Y26" s="819"/>
      <c r="Z26" s="819"/>
      <c r="AA26" s="1656"/>
      <c r="AB26" s="1656"/>
      <c r="AC26" s="1656"/>
      <c r="AD26" s="1664"/>
      <c r="AE26" s="1674" t="s">
        <v>275</v>
      </c>
      <c r="AG26" s="2642" t="s">
        <v>444</v>
      </c>
      <c r="AH26" s="2643"/>
      <c r="AI26" s="2643"/>
      <c r="AJ26" s="2643"/>
      <c r="AK26" s="2643"/>
      <c r="AL26" s="2643"/>
      <c r="AM26" s="2643"/>
      <c r="AN26" s="2643"/>
      <c r="AO26" s="2643"/>
      <c r="AP26" s="2643"/>
      <c r="AQ26" s="2643"/>
      <c r="AR26" s="2644"/>
      <c r="AS26" s="2642" t="s">
        <v>444</v>
      </c>
      <c r="AT26" s="2643"/>
      <c r="AU26" s="2644"/>
      <c r="AV26" s="1288"/>
      <c r="AW26" s="566"/>
      <c r="AX26" s="583"/>
      <c r="BH26" s="2616" t="s">
        <v>1648</v>
      </c>
      <c r="BI26" s="2617"/>
      <c r="BJ26" s="2617"/>
      <c r="BK26" s="2618"/>
    </row>
    <row r="27" spans="2:68" ht="12.75" customHeight="1" outlineLevel="1">
      <c r="B27" s="382"/>
      <c r="C27" s="379"/>
      <c r="D27" s="379" t="s">
        <v>409</v>
      </c>
      <c r="E27" s="1656"/>
      <c r="F27" s="147" t="s">
        <v>452</v>
      </c>
      <c r="G27" s="147" t="s">
        <v>124</v>
      </c>
      <c r="H27" s="147" t="s">
        <v>590</v>
      </c>
      <c r="I27" s="147" t="s">
        <v>350</v>
      </c>
      <c r="J27" s="147" t="s">
        <v>591</v>
      </c>
      <c r="K27" s="2853" t="s">
        <v>2247</v>
      </c>
      <c r="L27" s="2854"/>
      <c r="M27" s="2854"/>
      <c r="N27" s="378" t="s">
        <v>444</v>
      </c>
      <c r="O27" s="378" t="s">
        <v>444</v>
      </c>
      <c r="P27" s="378" t="s">
        <v>444</v>
      </c>
      <c r="Q27" s="153" t="s">
        <v>276</v>
      </c>
      <c r="X27" s="1655" t="s">
        <v>316</v>
      </c>
      <c r="Y27" s="2629" t="s">
        <v>316</v>
      </c>
      <c r="Z27" s="2630"/>
      <c r="AA27" s="1656" t="s">
        <v>444</v>
      </c>
      <c r="AB27" s="1656" t="s">
        <v>444</v>
      </c>
      <c r="AC27" s="1656" t="s">
        <v>444</v>
      </c>
      <c r="AD27" s="1665" t="s">
        <v>444</v>
      </c>
      <c r="AE27" s="1664" t="s">
        <v>276</v>
      </c>
      <c r="AG27" s="2631" t="s">
        <v>211</v>
      </c>
      <c r="AH27" s="2632"/>
      <c r="AI27" s="2632"/>
      <c r="AJ27" s="2632" t="s">
        <v>442</v>
      </c>
      <c r="AK27" s="2632"/>
      <c r="AL27" s="2632"/>
      <c r="AM27" s="2632" t="s">
        <v>267</v>
      </c>
      <c r="AN27" s="2632"/>
      <c r="AO27" s="2632"/>
      <c r="AP27" s="2632" t="s">
        <v>443</v>
      </c>
      <c r="AQ27" s="2632"/>
      <c r="AR27" s="2650"/>
      <c r="AS27" s="2848" t="s">
        <v>327</v>
      </c>
      <c r="AT27" s="2648"/>
      <c r="AU27" s="2649"/>
      <c r="AV27" s="2631" t="s">
        <v>636</v>
      </c>
      <c r="AW27" s="2632"/>
      <c r="AX27" s="568"/>
      <c r="BH27" s="2837" t="s">
        <v>1646</v>
      </c>
      <c r="BI27" s="2837" t="s">
        <v>422</v>
      </c>
      <c r="BJ27" s="2839" t="s">
        <v>411</v>
      </c>
      <c r="BK27" s="2839" t="s">
        <v>257</v>
      </c>
    </row>
    <row r="28" spans="2:68" ht="12.75" customHeight="1" outlineLevel="1">
      <c r="B28" s="1208" t="s">
        <v>2255</v>
      </c>
      <c r="C28" s="1209"/>
      <c r="D28" s="379" t="s">
        <v>444</v>
      </c>
      <c r="E28" s="1656"/>
      <c r="F28" s="149" t="s">
        <v>445</v>
      </c>
      <c r="G28" s="153" t="s">
        <v>419</v>
      </c>
      <c r="H28" s="149" t="s">
        <v>364</v>
      </c>
      <c r="I28" s="149" t="s">
        <v>304</v>
      </c>
      <c r="J28" s="153" t="s">
        <v>266</v>
      </c>
      <c r="K28" s="381" t="s">
        <v>422</v>
      </c>
      <c r="L28" s="381" t="s">
        <v>411</v>
      </c>
      <c r="M28" s="381" t="s">
        <v>257</v>
      </c>
      <c r="N28" s="380" t="s">
        <v>422</v>
      </c>
      <c r="O28" s="380" t="s">
        <v>411</v>
      </c>
      <c r="P28" s="380" t="s">
        <v>257</v>
      </c>
      <c r="Q28" s="153" t="s">
        <v>444</v>
      </c>
      <c r="X28" s="1655" t="s">
        <v>1649</v>
      </c>
      <c r="Y28" s="2646" t="s">
        <v>1650</v>
      </c>
      <c r="Z28" s="2647"/>
      <c r="AA28" s="1662" t="s">
        <v>411</v>
      </c>
      <c r="AB28" s="1662" t="s">
        <v>257</v>
      </c>
      <c r="AC28" s="1662" t="s">
        <v>422</v>
      </c>
      <c r="AD28" s="162" t="s">
        <v>327</v>
      </c>
      <c r="AE28" s="1664" t="s">
        <v>444</v>
      </c>
      <c r="AG28" s="579" t="s">
        <v>411</v>
      </c>
      <c r="AH28" s="580" t="s">
        <v>257</v>
      </c>
      <c r="AI28" s="580" t="s">
        <v>422</v>
      </c>
      <c r="AJ28" s="580" t="s">
        <v>411</v>
      </c>
      <c r="AK28" s="580" t="s">
        <v>257</v>
      </c>
      <c r="AL28" s="580" t="s">
        <v>422</v>
      </c>
      <c r="AM28" s="580" t="s">
        <v>411</v>
      </c>
      <c r="AN28" s="580" t="s">
        <v>257</v>
      </c>
      <c r="AO28" s="580" t="s">
        <v>422</v>
      </c>
      <c r="AP28" s="580" t="s">
        <v>411</v>
      </c>
      <c r="AQ28" s="580" t="s">
        <v>257</v>
      </c>
      <c r="AR28" s="580" t="s">
        <v>422</v>
      </c>
      <c r="AS28" s="1289" t="s">
        <v>411</v>
      </c>
      <c r="AT28" s="581" t="s">
        <v>257</v>
      </c>
      <c r="AU28" s="581" t="s">
        <v>422</v>
      </c>
      <c r="AV28" s="579" t="s">
        <v>411</v>
      </c>
      <c r="AW28" s="580" t="s">
        <v>257</v>
      </c>
      <c r="AX28" s="583" t="s">
        <v>422</v>
      </c>
      <c r="BH28" s="2838"/>
      <c r="BI28" s="2838"/>
      <c r="BJ28" s="2840"/>
      <c r="BK28" s="2840"/>
    </row>
    <row r="29" spans="2:68" outlineLevel="1">
      <c r="B29" s="143" t="s">
        <v>2256</v>
      </c>
      <c r="C29" s="144"/>
      <c r="D29" s="212">
        <f>N29+O29+P29</f>
        <v>0</v>
      </c>
      <c r="E29" s="212"/>
      <c r="F29" s="409"/>
      <c r="G29" s="117"/>
      <c r="H29" s="411">
        <v>220</v>
      </c>
      <c r="I29" s="411">
        <v>2</v>
      </c>
      <c r="J29" s="411"/>
      <c r="K29" s="410">
        <f>VLOOKUP($B29&amp;"; "&amp;$K$27&amp;", "&amp;Déplacements!$K$28,'FE Déplacements'!$G:$U,9,FALSE)</f>
        <v>0.04</v>
      </c>
      <c r="L29" s="410">
        <f>VLOOKUP($B29&amp;"; "&amp;$K$27&amp;", "&amp;Déplacements!$L$28,'FE Déplacements'!$G:$U,9,FALSE)</f>
        <v>2.1975765614538123E-2</v>
      </c>
      <c r="M29" s="410">
        <f>VLOOKUP($B29&amp;"; "&amp;$K$27&amp;", "&amp;Déplacements!$M$28,'FE Déplacements'!$G:$U,9,FALSE)</f>
        <v>0.15411772404018367</v>
      </c>
      <c r="N29" s="356">
        <f>G29*H29*I29*J29*K29</f>
        <v>0</v>
      </c>
      <c r="O29" s="356">
        <f>G29*H29*I29*J29*L29</f>
        <v>0</v>
      </c>
      <c r="P29" s="356">
        <f>G29*H29*I29*J29*M29</f>
        <v>0</v>
      </c>
      <c r="Q29" s="1286">
        <f>IF(OR(F29=Utilitaires!$I$572,F29=Utilitaires!$I$577),P29,0)</f>
        <v>0</v>
      </c>
      <c r="X29" s="1092">
        <f>IF(AD29=0,AD29,AD29/D29)</f>
        <v>0</v>
      </c>
      <c r="Y29" s="343"/>
      <c r="Z29" s="820"/>
      <c r="AA29" s="164">
        <f t="shared" ref="AA29:AB32" si="9">O29*BJ29</f>
        <v>0</v>
      </c>
      <c r="AB29" s="164">
        <f t="shared" si="9"/>
        <v>0</v>
      </c>
      <c r="AC29" s="164">
        <f>N29*BI29</f>
        <v>0</v>
      </c>
      <c r="AD29" s="152">
        <f>SQRT(SUMSQ(AA29:AC29))</f>
        <v>0</v>
      </c>
      <c r="AE29" s="165">
        <f>Q29*X29</f>
        <v>0</v>
      </c>
      <c r="AG29" s="564">
        <f t="shared" ref="AG29:AH32" si="10">O29</f>
        <v>0</v>
      </c>
      <c r="AH29" s="565">
        <f t="shared" si="10"/>
        <v>0</v>
      </c>
      <c r="AI29" s="565">
        <f>N29</f>
        <v>0</v>
      </c>
      <c r="AJ29" s="565"/>
      <c r="AK29" s="565"/>
      <c r="AL29" s="565"/>
      <c r="AM29" s="565"/>
      <c r="AN29" s="565"/>
      <c r="AO29" s="565"/>
      <c r="AP29" s="565"/>
      <c r="AQ29" s="565"/>
      <c r="AR29" s="565"/>
      <c r="AS29" s="1288">
        <f t="shared" ref="AS29:AU32" si="11">SUM(AG29,AJ29,AM29,AP29)</f>
        <v>0</v>
      </c>
      <c r="AT29" s="566">
        <f t="shared" si="11"/>
        <v>0</v>
      </c>
      <c r="AU29" s="566">
        <f t="shared" si="11"/>
        <v>0</v>
      </c>
      <c r="AV29" s="564"/>
      <c r="AW29" s="565"/>
      <c r="AX29" s="568"/>
      <c r="BH29" s="1065">
        <f>IF($Y29&lt;&gt;"votre valeur :",IF(ISNA(VLOOKUP($Y29,Utilitaires!$N$566:$O$571,2,FALSE)),,VLOOKUP($Y29,Utilitaires!$N$566:$O$571,2,FALSE)),$Z29)</f>
        <v>0</v>
      </c>
      <c r="BI29" s="1124">
        <f>IF(ISNA(SQRT(SUMSQ(VLOOKUP($B29&amp;"; "&amp;$K$27&amp;", "&amp;$K$28,'FE Déplacements'!$G:$U,7,FALSE),$BH29))),0,SQRT(SUMSQ(VLOOKUP($B29&amp;"; "&amp;$K$27&amp;", "&amp;$K$28,'FE Déplacements'!$G:$U,7,FALSE),$BH29)))</f>
        <v>0.15582284331872945</v>
      </c>
      <c r="BJ29" s="1124">
        <f>IF(ISNA(SQRT(SUMSQ(VLOOKUP($B29&amp;"; "&amp;$K$27&amp;", "&amp;$L$28,'FE Déplacements'!$G:$U,7,FALSE),$BH29))),0,SQRT(SUMSQ(VLOOKUP($B29&amp;"; "&amp;$K$27&amp;", "&amp;$L$28,'FE Déplacements'!$G:$U,7,FALSE),$BH29)))</f>
        <v>0.15582284331872945</v>
      </c>
      <c r="BK29" s="1130">
        <f>IF(ISNA(SQRT(SUMSQ(VLOOKUP($B29&amp;"; "&amp;$K$27&amp;", "&amp;$M$28,'FE Déplacements'!$G:$U,7,FALSE),$BH29))),0,SQRT(SUMSQ(VLOOKUP($B29&amp;"; "&amp;$K$27&amp;", "&amp;$M$28,'FE Déplacements'!$G:$U,7,FALSE),$BH29)))</f>
        <v>0.15582284331872945</v>
      </c>
    </row>
    <row r="30" spans="2:68" outlineLevel="1">
      <c r="B30" s="143" t="s">
        <v>2257</v>
      </c>
      <c r="C30" s="144"/>
      <c r="D30" s="212">
        <f>N30+O30+P30</f>
        <v>0</v>
      </c>
      <c r="E30" s="212"/>
      <c r="F30" s="346"/>
      <c r="G30" s="120"/>
      <c r="H30" s="412">
        <v>220</v>
      </c>
      <c r="I30" s="412">
        <v>2</v>
      </c>
      <c r="J30" s="412"/>
      <c r="K30" s="410">
        <f>VLOOKUP($B30&amp;"; "&amp;$K$27&amp;", "&amp;Déplacements!$K$28,'FE Déplacements'!$G:$U,9,FALSE)</f>
        <v>4.0257816972106009E-2</v>
      </c>
      <c r="L30" s="410">
        <f>VLOOKUP($B30&amp;"; "&amp;$K$27&amp;", "&amp;Déplacements!$L$28,'FE Déplacements'!$G:$U,9,FALSE)</f>
        <v>2.6968397212166026E-2</v>
      </c>
      <c r="M30" s="410">
        <f>VLOOKUP($B30&amp;"; "&amp;$K$27&amp;", "&amp;Déplacements!$M$28,'FE Déplacements'!$G:$U,9,FALSE)</f>
        <v>0.18873109737315166</v>
      </c>
      <c r="N30" s="356">
        <f>G30*H30*I30*J30*K30</f>
        <v>0</v>
      </c>
      <c r="O30" s="356">
        <f>G30*H30*I30*J30*L30</f>
        <v>0</v>
      </c>
      <c r="P30" s="356">
        <f>G30*H30*I30*J30*M30</f>
        <v>0</v>
      </c>
      <c r="Q30" s="1286">
        <f>IF(OR(F30=Utilitaires!$I$572,F30=Utilitaires!$I$577),P30,0)</f>
        <v>0</v>
      </c>
      <c r="X30" s="1092">
        <f>IF(AD30=0,AD30,AD30/D30)</f>
        <v>0</v>
      </c>
      <c r="Y30" s="343"/>
      <c r="Z30" s="820"/>
      <c r="AA30" s="164">
        <f t="shared" si="9"/>
        <v>0</v>
      </c>
      <c r="AB30" s="164">
        <f t="shared" si="9"/>
        <v>0</v>
      </c>
      <c r="AC30" s="164">
        <f>N30*BI30</f>
        <v>0</v>
      </c>
      <c r="AD30" s="152">
        <f>SQRT(SUMSQ(AA30:AC30))</f>
        <v>0</v>
      </c>
      <c r="AE30" s="165">
        <f t="shared" ref="AE30:AE32" si="12">Q30*X30</f>
        <v>0</v>
      </c>
      <c r="AG30" s="564">
        <f t="shared" si="10"/>
        <v>0</v>
      </c>
      <c r="AH30" s="565">
        <f t="shared" si="10"/>
        <v>0</v>
      </c>
      <c r="AI30" s="565">
        <f>N30</f>
        <v>0</v>
      </c>
      <c r="AJ30" s="565"/>
      <c r="AK30" s="565"/>
      <c r="AL30" s="565"/>
      <c r="AM30" s="565"/>
      <c r="AN30" s="565"/>
      <c r="AO30" s="565"/>
      <c r="AP30" s="565"/>
      <c r="AQ30" s="565"/>
      <c r="AR30" s="565"/>
      <c r="AS30" s="1288">
        <f t="shared" si="11"/>
        <v>0</v>
      </c>
      <c r="AT30" s="566">
        <f t="shared" si="11"/>
        <v>0</v>
      </c>
      <c r="AU30" s="566">
        <f t="shared" si="11"/>
        <v>0</v>
      </c>
      <c r="AV30" s="564"/>
      <c r="AW30" s="565"/>
      <c r="AX30" s="568"/>
      <c r="BH30" s="1065">
        <f>IF($Y30&lt;&gt;"votre valeur :",IF(ISNA(VLOOKUP($Y30,Utilitaires!$N$566:$O$571,2,FALSE)),,VLOOKUP($Y30,Utilitaires!$N$566:$O$571,2,FALSE)),$Z30)</f>
        <v>0</v>
      </c>
      <c r="BI30" s="1124">
        <f>IF(ISNA(SQRT(SUMSQ(VLOOKUP($B30&amp;"; "&amp;$K$27&amp;", "&amp;$K$28,'FE Déplacements'!$G:$U,7,FALSE),$BH30))),0,SQRT(SUMSQ(VLOOKUP($B30&amp;"; "&amp;$K$27&amp;", "&amp;$K$28,'FE Déplacements'!$G:$U,7,FALSE),$BH30)))</f>
        <v>0.14718499744408464</v>
      </c>
      <c r="BJ30" s="1124">
        <f>IF(ISNA(SQRT(SUMSQ(VLOOKUP($B30&amp;"; "&amp;$K$27&amp;", "&amp;$L$28,'FE Déplacements'!$G:$U,7,FALSE),$BH30))),0,SQRT(SUMSQ(VLOOKUP($B30&amp;"; "&amp;$K$27&amp;", "&amp;$L$28,'FE Déplacements'!$G:$U,7,FALSE),$BH30)))</f>
        <v>0.14718499744408464</v>
      </c>
      <c r="BK30" s="1130">
        <f>IF(ISNA(SQRT(SUMSQ(VLOOKUP($B30&amp;"; "&amp;$K$27&amp;", "&amp;$M$28,'FE Déplacements'!$G:$U,7,FALSE),$BH30))),0,SQRT(SUMSQ(VLOOKUP($B30&amp;"; "&amp;$K$27&amp;", "&amp;$M$28,'FE Déplacements'!$G:$U,7,FALSE),$BH30)))</f>
        <v>0.14718499744408464</v>
      </c>
    </row>
    <row r="31" spans="2:68" outlineLevel="1">
      <c r="B31" s="143" t="s">
        <v>2258</v>
      </c>
      <c r="C31" s="144"/>
      <c r="D31" s="212">
        <f>N31+O31+P31</f>
        <v>0</v>
      </c>
      <c r="E31" s="212"/>
      <c r="F31" s="346"/>
      <c r="G31" s="120"/>
      <c r="H31" s="412">
        <v>220</v>
      </c>
      <c r="I31" s="412">
        <v>2</v>
      </c>
      <c r="J31" s="412"/>
      <c r="K31" s="410">
        <f>VLOOKUP($B31&amp;"; "&amp;$K$27&amp;", "&amp;Déplacements!$K$28,'FE Déplacements'!$G:$U,9,FALSE)</f>
        <v>4.0257816972106009E-2</v>
      </c>
      <c r="L31" s="410">
        <f>VLOOKUP($B31&amp;"; "&amp;$K$27&amp;", "&amp;Déplacements!$L$28,'FE Déplacements'!$G:$U,9,FALSE)</f>
        <v>3.5724346305220547E-2</v>
      </c>
      <c r="M31" s="410">
        <f>VLOOKUP($B31&amp;"; "&amp;$K$27&amp;", "&amp;Déplacements!$M$28,'FE Déplacements'!$G:$U,9,FALSE)</f>
        <v>0.24946225377811615</v>
      </c>
      <c r="N31" s="356">
        <f>G31*H31*I31*J31*K31</f>
        <v>0</v>
      </c>
      <c r="O31" s="356">
        <f>G31*H31*I31*J31*L31</f>
        <v>0</v>
      </c>
      <c r="P31" s="356">
        <f>G31*H31*I31*J31*M31</f>
        <v>0</v>
      </c>
      <c r="Q31" s="1286">
        <f>IF(OR(F31=Utilitaires!$I$572,F31=Utilitaires!$I$577),P31,0)</f>
        <v>0</v>
      </c>
      <c r="X31" s="1092">
        <f>IF(AD31=0,AD31,AD31/D31)</f>
        <v>0</v>
      </c>
      <c r="Y31" s="343"/>
      <c r="Z31" s="820"/>
      <c r="AA31" s="164">
        <f t="shared" si="9"/>
        <v>0</v>
      </c>
      <c r="AB31" s="164">
        <f t="shared" si="9"/>
        <v>0</v>
      </c>
      <c r="AC31" s="164">
        <f>N31*BI31</f>
        <v>0</v>
      </c>
      <c r="AD31" s="152">
        <f>SQRT(SUMSQ(AA31:AC31))</f>
        <v>0</v>
      </c>
      <c r="AE31" s="165">
        <f t="shared" si="12"/>
        <v>0</v>
      </c>
      <c r="AG31" s="564">
        <f t="shared" si="10"/>
        <v>0</v>
      </c>
      <c r="AH31" s="565">
        <f t="shared" si="10"/>
        <v>0</v>
      </c>
      <c r="AI31" s="565">
        <f>N31</f>
        <v>0</v>
      </c>
      <c r="AJ31" s="565"/>
      <c r="AK31" s="565"/>
      <c r="AL31" s="565"/>
      <c r="AM31" s="565"/>
      <c r="AN31" s="565"/>
      <c r="AO31" s="565"/>
      <c r="AP31" s="565"/>
      <c r="AQ31" s="565"/>
      <c r="AR31" s="565"/>
      <c r="AS31" s="1288">
        <f t="shared" si="11"/>
        <v>0</v>
      </c>
      <c r="AT31" s="566">
        <f t="shared" si="11"/>
        <v>0</v>
      </c>
      <c r="AU31" s="566">
        <f t="shared" si="11"/>
        <v>0</v>
      </c>
      <c r="AV31" s="564"/>
      <c r="AW31" s="565"/>
      <c r="AX31" s="568"/>
      <c r="BH31" s="1065">
        <f>IF($Y31&lt;&gt;"votre valeur :",IF(ISNA(VLOOKUP($Y31,Utilitaires!$N$566:$O$571,2,FALSE)),,VLOOKUP($Y31,Utilitaires!$N$566:$O$571,2,FALSE)),$Z31)</f>
        <v>0</v>
      </c>
      <c r="BI31" s="1124">
        <f>IF(ISNA(SQRT(SUMSQ(VLOOKUP($B31&amp;"; "&amp;$K$27&amp;", "&amp;$K$28,'FE Déplacements'!$G:$U,7,FALSE),$BH31))),0,SQRT(SUMSQ(VLOOKUP($B31&amp;"; "&amp;$K$27&amp;", "&amp;$K$28,'FE Déplacements'!$G:$U,7,FALSE),$BH31)))</f>
        <v>0.13711031579802554</v>
      </c>
      <c r="BJ31" s="1124">
        <f>IF(ISNA(SQRT(SUMSQ(VLOOKUP($B31&amp;"; "&amp;$K$27&amp;", "&amp;$L$28,'FE Déplacements'!$G:$U,7,FALSE),$BH31))),0,SQRT(SUMSQ(VLOOKUP($B31&amp;"; "&amp;$K$27&amp;", "&amp;$L$28,'FE Déplacements'!$G:$U,7,FALSE),$BH31)))</f>
        <v>0.13711031579802554</v>
      </c>
      <c r="BK31" s="1130">
        <f>IF(ISNA(SQRT(SUMSQ(VLOOKUP($B31&amp;"; "&amp;$K$27&amp;", "&amp;$M$28,'FE Déplacements'!$G:$U,7,FALSE),$BH31))),0,SQRT(SUMSQ(VLOOKUP($B31&amp;"; "&amp;$K$27&amp;", "&amp;$M$28,'FE Déplacements'!$G:$U,7,FALSE),$BH31)))</f>
        <v>0.13711031579802554</v>
      </c>
    </row>
    <row r="32" spans="2:68" outlineLevel="1">
      <c r="B32" s="143" t="s">
        <v>2259</v>
      </c>
      <c r="C32" s="144"/>
      <c r="D32" s="212">
        <f>N32+O32+P32</f>
        <v>0</v>
      </c>
      <c r="E32" s="212"/>
      <c r="F32" s="347"/>
      <c r="G32" s="123"/>
      <c r="H32" s="413">
        <v>220</v>
      </c>
      <c r="I32" s="413">
        <v>2</v>
      </c>
      <c r="J32" s="413"/>
      <c r="K32" s="410">
        <f>VLOOKUP($B32&amp;"; "&amp;$K$27&amp;", "&amp;Déplacements!$K$28,'FE Déplacements'!$G:$U,9,FALSE)</f>
        <v>4.0257816972106009E-2</v>
      </c>
      <c r="L32" s="410">
        <f>VLOOKUP($B32&amp;"; "&amp;$K$27&amp;", "&amp;Déplacements!$L$28,'FE Déplacements'!$G:$U,9,FALSE)</f>
        <v>3.9296780935742605E-2</v>
      </c>
      <c r="M32" s="410">
        <f>VLOOKUP($B32&amp;"; "&amp;$K$27&amp;", "&amp;Déplacements!$M$28,'FE Déplacements'!$G:$U,9,FALSE)</f>
        <v>0.27440847915592781</v>
      </c>
      <c r="N32" s="356">
        <f>G32*H32*I32*J32*K32</f>
        <v>0</v>
      </c>
      <c r="O32" s="356">
        <f>G32*H32*I32*J32*L32</f>
        <v>0</v>
      </c>
      <c r="P32" s="356">
        <f>G32*H32*I32*J32*M32</f>
        <v>0</v>
      </c>
      <c r="Q32" s="1286">
        <f>IF(OR(F32=Utilitaires!$I$572,F32=Utilitaires!$I$577),P32,0)</f>
        <v>0</v>
      </c>
      <c r="X32" s="1092">
        <f>IF(AD32=0,AD32,AD32/D32)</f>
        <v>0</v>
      </c>
      <c r="Y32" s="1094"/>
      <c r="Z32" s="820"/>
      <c r="AA32" s="164">
        <f t="shared" si="9"/>
        <v>0</v>
      </c>
      <c r="AB32" s="164">
        <f t="shared" si="9"/>
        <v>0</v>
      </c>
      <c r="AC32" s="164">
        <f>N32*BI32</f>
        <v>0</v>
      </c>
      <c r="AD32" s="152">
        <f>SQRT(SUMSQ(AA32:AC32))</f>
        <v>0</v>
      </c>
      <c r="AE32" s="165">
        <f t="shared" si="12"/>
        <v>0</v>
      </c>
      <c r="AG32" s="564">
        <f t="shared" si="10"/>
        <v>0</v>
      </c>
      <c r="AH32" s="565">
        <f t="shared" si="10"/>
        <v>0</v>
      </c>
      <c r="AI32" s="565">
        <f>N32</f>
        <v>0</v>
      </c>
      <c r="AJ32" s="565"/>
      <c r="AK32" s="565"/>
      <c r="AL32" s="565"/>
      <c r="AM32" s="565"/>
      <c r="AN32" s="565"/>
      <c r="AO32" s="565"/>
      <c r="AP32" s="565"/>
      <c r="AQ32" s="565"/>
      <c r="AR32" s="565"/>
      <c r="AS32" s="1288">
        <f t="shared" si="11"/>
        <v>0</v>
      </c>
      <c r="AT32" s="566">
        <f t="shared" si="11"/>
        <v>0</v>
      </c>
      <c r="AU32" s="566">
        <f t="shared" si="11"/>
        <v>0</v>
      </c>
      <c r="AV32" s="564"/>
      <c r="AW32" s="565"/>
      <c r="AX32" s="568"/>
      <c r="BH32" s="1065">
        <f>IF($Y32&lt;&gt;"votre valeur :",IF(ISNA(VLOOKUP($Y32,Utilitaires!$N$566:$O$571,2,FALSE)),,VLOOKUP($Y32,Utilitaires!$N$566:$O$571,2,FALSE)),$Z32)</f>
        <v>0</v>
      </c>
      <c r="BI32" s="1124">
        <f>IF(ISNA(SQRT(SUMSQ(VLOOKUP($B32&amp;"; "&amp;$K$27&amp;", "&amp;$K$28,'FE Déplacements'!$G:$U,7,FALSE),$BH32))),0,SQRT(SUMSQ(VLOOKUP($B32&amp;"; "&amp;$K$27&amp;", "&amp;$K$28,'FE Déplacements'!$G:$U,7,FALSE),$BH32)))</f>
        <v>0.13412035286792282</v>
      </c>
      <c r="BJ32" s="1124">
        <f>IF(ISNA(SQRT(SUMSQ(VLOOKUP($B32&amp;"; "&amp;$K$27&amp;", "&amp;$L$28,'FE Déplacements'!$G:$U,7,FALSE),$BH32))),0,SQRT(SUMSQ(VLOOKUP($B32&amp;"; "&amp;$K$27&amp;", "&amp;$L$28,'FE Déplacements'!$G:$U,7,FALSE),$BH32)))</f>
        <v>0.13412035286792282</v>
      </c>
      <c r="BK32" s="1130">
        <f>IF(ISNA(SQRT(SUMSQ(VLOOKUP($B32&amp;"; "&amp;$K$27&amp;", "&amp;$M$28,'FE Déplacements'!$G:$U,7,FALSE),$BH32))),0,SQRT(SUMSQ(VLOOKUP($B32&amp;"; "&amp;$K$27&amp;", "&amp;$M$28,'FE Déplacements'!$G:$U,7,FALSE),$BH32)))</f>
        <v>0.13412035286792282</v>
      </c>
    </row>
    <row r="33" spans="2:63" outlineLevel="1">
      <c r="B33" s="143"/>
      <c r="C33" s="144"/>
      <c r="D33" s="213"/>
      <c r="E33" s="213"/>
      <c r="F33" s="144"/>
      <c r="G33" s="144"/>
      <c r="H33" s="144"/>
      <c r="I33" s="144"/>
      <c r="J33" s="144"/>
      <c r="K33" s="144"/>
      <c r="L33" s="144"/>
      <c r="M33" s="144"/>
      <c r="N33" s="144"/>
      <c r="O33" s="144"/>
      <c r="P33" s="164"/>
      <c r="Q33" s="1286"/>
      <c r="X33" s="143"/>
      <c r="Y33" s="144"/>
      <c r="Z33" s="144"/>
      <c r="AA33" s="144"/>
      <c r="AB33" s="144"/>
      <c r="AC33" s="144"/>
      <c r="AD33" s="152"/>
      <c r="AE33" s="152"/>
      <c r="AG33" s="564"/>
      <c r="AH33" s="565"/>
      <c r="AI33" s="565"/>
      <c r="AJ33" s="565"/>
      <c r="AK33" s="565"/>
      <c r="AL33" s="565"/>
      <c r="AM33" s="565"/>
      <c r="AN33" s="565"/>
      <c r="AO33" s="565"/>
      <c r="AP33" s="565"/>
      <c r="AQ33" s="565"/>
      <c r="AR33" s="565"/>
      <c r="AS33" s="1288"/>
      <c r="AT33" s="566"/>
      <c r="AU33" s="565"/>
      <c r="AV33" s="564"/>
      <c r="AW33" s="565"/>
      <c r="AX33" s="568"/>
      <c r="BH33" s="1087"/>
      <c r="BI33" s="1126"/>
      <c r="BJ33" s="1075"/>
      <c r="BK33" s="1131"/>
    </row>
    <row r="34" spans="2:63" outlineLevel="1">
      <c r="B34" s="196" t="s">
        <v>348</v>
      </c>
      <c r="C34" s="197"/>
      <c r="D34" s="214">
        <f>SUM(D29:D33)</f>
        <v>0</v>
      </c>
      <c r="E34" s="214"/>
      <c r="F34" s="197"/>
      <c r="G34" s="197"/>
      <c r="H34" s="197"/>
      <c r="I34" s="197"/>
      <c r="J34" s="197"/>
      <c r="K34" s="197"/>
      <c r="L34" s="197"/>
      <c r="M34" s="197"/>
      <c r="N34" s="202">
        <f>SUM(N29:N33)</f>
        <v>0</v>
      </c>
      <c r="O34" s="202">
        <f>SUM(O29:O33)</f>
        <v>0</v>
      </c>
      <c r="P34" s="202">
        <f>SUM(P29:P33)</f>
        <v>0</v>
      </c>
      <c r="Q34" s="1311">
        <f>SUM(Q29:Q33)</f>
        <v>0</v>
      </c>
      <c r="X34" s="1771">
        <f>IF(AD34=0,0,AD34/(N34+O34+P34))</f>
        <v>0</v>
      </c>
      <c r="Y34" s="199"/>
      <c r="Z34" s="199"/>
      <c r="AA34" s="203">
        <f>SQRT(SUMSQ(AA29:AA33))</f>
        <v>0</v>
      </c>
      <c r="AB34" s="203">
        <f>SQRT(SUMSQ(AB29:AB33))</f>
        <v>0</v>
      </c>
      <c r="AC34" s="203">
        <f>SQRT(SUMSQ(AC29:AC33))</f>
        <v>0</v>
      </c>
      <c r="AD34" s="200">
        <f>SQRT(SUMSQ(AD29:AD33))</f>
        <v>0</v>
      </c>
      <c r="AE34" s="340">
        <f>SQRT(SUMSQ(AE29:AE33))</f>
        <v>0</v>
      </c>
      <c r="AG34" s="571">
        <f>SUM(AG29:AG33)</f>
        <v>0</v>
      </c>
      <c r="AH34" s="572">
        <f>SUM(AH29:AH33)</f>
        <v>0</v>
      </c>
      <c r="AI34" s="572">
        <f>SUM(AI29:AI33)</f>
        <v>0</v>
      </c>
      <c r="AJ34" s="572">
        <f t="shared" ref="AJ34:AO34" si="13">SUM(AJ29:AJ33)</f>
        <v>0</v>
      </c>
      <c r="AK34" s="572">
        <f t="shared" si="13"/>
        <v>0</v>
      </c>
      <c r="AL34" s="572">
        <f t="shared" si="13"/>
        <v>0</v>
      </c>
      <c r="AM34" s="572">
        <f t="shared" si="13"/>
        <v>0</v>
      </c>
      <c r="AN34" s="572">
        <f t="shared" si="13"/>
        <v>0</v>
      </c>
      <c r="AO34" s="572">
        <f t="shared" si="13"/>
        <v>0</v>
      </c>
      <c r="AP34" s="572">
        <f t="shared" ref="AP34:AX34" si="14">SUM(AP29:AP33)</f>
        <v>0</v>
      </c>
      <c r="AQ34" s="572">
        <f t="shared" si="14"/>
        <v>0</v>
      </c>
      <c r="AR34" s="572">
        <f t="shared" si="14"/>
        <v>0</v>
      </c>
      <c r="AS34" s="1290">
        <f t="shared" si="14"/>
        <v>0</v>
      </c>
      <c r="AT34" s="573">
        <f t="shared" si="14"/>
        <v>0</v>
      </c>
      <c r="AU34" s="573">
        <f t="shared" si="14"/>
        <v>0</v>
      </c>
      <c r="AV34" s="1082">
        <f t="shared" si="14"/>
        <v>0</v>
      </c>
      <c r="AW34" s="572">
        <f t="shared" si="14"/>
        <v>0</v>
      </c>
      <c r="AX34" s="575">
        <f t="shared" si="14"/>
        <v>0</v>
      </c>
    </row>
    <row r="35" spans="2:63" outlineLevel="1">
      <c r="K35" s="254"/>
      <c r="AC35" s="266"/>
    </row>
    <row r="36" spans="2:63" ht="12.75" customHeight="1" outlineLevel="1">
      <c r="B36" s="2145" t="s">
        <v>4071</v>
      </c>
      <c r="C36" s="140"/>
      <c r="D36" s="377"/>
      <c r="E36" s="1648"/>
      <c r="F36" s="140"/>
      <c r="G36" s="141"/>
      <c r="H36" s="141"/>
      <c r="I36" s="141"/>
      <c r="J36" s="141"/>
      <c r="K36" s="141"/>
      <c r="L36" s="141"/>
      <c r="M36" s="141"/>
      <c r="N36" s="1610"/>
      <c r="X36" s="2636" t="s">
        <v>366</v>
      </c>
      <c r="Y36" s="2637"/>
      <c r="Z36" s="2637"/>
      <c r="AA36" s="2637"/>
      <c r="AB36" s="2637"/>
      <c r="AC36" s="2637"/>
      <c r="AD36" s="2638"/>
      <c r="AE36" s="1773"/>
      <c r="AG36" s="2639" t="s">
        <v>441</v>
      </c>
      <c r="AH36" s="2640"/>
      <c r="AI36" s="2640"/>
      <c r="AJ36" s="2640"/>
      <c r="AK36" s="2640"/>
      <c r="AL36" s="2640"/>
      <c r="AM36" s="2640"/>
      <c r="AN36" s="2640"/>
      <c r="AO36" s="2640"/>
      <c r="AP36" s="2640"/>
      <c r="AQ36" s="2640"/>
      <c r="AR36" s="2640"/>
      <c r="AS36" s="2640"/>
      <c r="AT36" s="2640"/>
      <c r="AU36" s="2640"/>
      <c r="AV36" s="2640"/>
      <c r="AW36" s="2640"/>
      <c r="AX36" s="2641"/>
    </row>
    <row r="37" spans="2:63" ht="12.75" customHeight="1" outlineLevel="1">
      <c r="B37" s="333"/>
      <c r="C37" s="144"/>
      <c r="D37" s="378" t="s">
        <v>308</v>
      </c>
      <c r="E37" s="1663"/>
      <c r="F37" s="144"/>
      <c r="G37" s="144"/>
      <c r="H37" s="144"/>
      <c r="I37" s="144"/>
      <c r="J37" s="144"/>
      <c r="K37" s="144"/>
      <c r="L37" s="2628" t="s">
        <v>233</v>
      </c>
      <c r="M37" s="2627"/>
      <c r="N37" s="153" t="s">
        <v>275</v>
      </c>
      <c r="X37" s="1655"/>
      <c r="Y37" s="819"/>
      <c r="Z37" s="819"/>
      <c r="AA37" s="1656"/>
      <c r="AB37" s="1656"/>
      <c r="AC37" s="1656"/>
      <c r="AD37" s="1664"/>
      <c r="AE37" s="1674" t="s">
        <v>275</v>
      </c>
      <c r="AG37" s="2642" t="s">
        <v>444</v>
      </c>
      <c r="AH37" s="2643"/>
      <c r="AI37" s="2643"/>
      <c r="AJ37" s="2643"/>
      <c r="AK37" s="2643"/>
      <c r="AL37" s="2643"/>
      <c r="AM37" s="2643"/>
      <c r="AN37" s="2643"/>
      <c r="AO37" s="2643"/>
      <c r="AP37" s="2643"/>
      <c r="AQ37" s="2643"/>
      <c r="AR37" s="2644"/>
      <c r="AS37" s="2642" t="s">
        <v>444</v>
      </c>
      <c r="AT37" s="2643"/>
      <c r="AU37" s="2644"/>
      <c r="AV37" s="1288"/>
      <c r="AW37" s="566"/>
      <c r="AX37" s="583"/>
      <c r="BH37" s="2616" t="s">
        <v>1648</v>
      </c>
      <c r="BI37" s="2617"/>
      <c r="BJ37" s="2617"/>
      <c r="BK37" s="2618"/>
    </row>
    <row r="38" spans="2:63" ht="12.75" customHeight="1" outlineLevel="1">
      <c r="B38" s="382"/>
      <c r="C38" s="379"/>
      <c r="D38" s="379" t="s">
        <v>409</v>
      </c>
      <c r="E38" s="1656"/>
      <c r="F38" s="147" t="s">
        <v>452</v>
      </c>
      <c r="G38" s="147"/>
      <c r="H38" s="2853" t="s">
        <v>2222</v>
      </c>
      <c r="I38" s="2854"/>
      <c r="J38" s="2854"/>
      <c r="K38" s="537" t="s">
        <v>444</v>
      </c>
      <c r="L38" s="537" t="s">
        <v>444</v>
      </c>
      <c r="M38" s="537" t="s">
        <v>444</v>
      </c>
      <c r="N38" s="153" t="s">
        <v>276</v>
      </c>
      <c r="W38" s="109"/>
      <c r="X38" s="1655" t="s">
        <v>316</v>
      </c>
      <c r="Y38" s="2629" t="s">
        <v>316</v>
      </c>
      <c r="Z38" s="2630"/>
      <c r="AA38" s="1656" t="s">
        <v>444</v>
      </c>
      <c r="AB38" s="1656" t="s">
        <v>444</v>
      </c>
      <c r="AC38" s="1656" t="s">
        <v>444</v>
      </c>
      <c r="AD38" s="1665" t="s">
        <v>444</v>
      </c>
      <c r="AE38" s="1664" t="s">
        <v>276</v>
      </c>
      <c r="AG38" s="2631" t="s">
        <v>211</v>
      </c>
      <c r="AH38" s="2632"/>
      <c r="AI38" s="2632"/>
      <c r="AJ38" s="2632" t="s">
        <v>442</v>
      </c>
      <c r="AK38" s="2632"/>
      <c r="AL38" s="2632"/>
      <c r="AM38" s="2632" t="s">
        <v>267</v>
      </c>
      <c r="AN38" s="2632"/>
      <c r="AO38" s="2632"/>
      <c r="AP38" s="2632" t="s">
        <v>443</v>
      </c>
      <c r="AQ38" s="2632"/>
      <c r="AR38" s="2650"/>
      <c r="AS38" s="2848" t="s">
        <v>327</v>
      </c>
      <c r="AT38" s="2648"/>
      <c r="AU38" s="2649"/>
      <c r="AV38" s="2631" t="s">
        <v>636</v>
      </c>
      <c r="AW38" s="2632"/>
      <c r="AX38" s="568"/>
      <c r="BH38" s="2837" t="s">
        <v>1646</v>
      </c>
      <c r="BI38" s="2837" t="s">
        <v>422</v>
      </c>
      <c r="BJ38" s="2839" t="s">
        <v>411</v>
      </c>
      <c r="BK38" s="2839" t="s">
        <v>257</v>
      </c>
    </row>
    <row r="39" spans="2:63" ht="12.75" customHeight="1" outlineLevel="1">
      <c r="B39" s="536" t="s">
        <v>4072</v>
      </c>
      <c r="C39" s="379"/>
      <c r="D39" s="379" t="s">
        <v>444</v>
      </c>
      <c r="E39" s="1656"/>
      <c r="F39" s="149" t="s">
        <v>445</v>
      </c>
      <c r="G39" s="153" t="s">
        <v>38</v>
      </c>
      <c r="H39" s="1226" t="s">
        <v>422</v>
      </c>
      <c r="I39" s="1226" t="s">
        <v>411</v>
      </c>
      <c r="J39" s="1226" t="s">
        <v>257</v>
      </c>
      <c r="K39" s="538" t="s">
        <v>422</v>
      </c>
      <c r="L39" s="538" t="s">
        <v>411</v>
      </c>
      <c r="M39" s="538" t="s">
        <v>257</v>
      </c>
      <c r="N39" s="153" t="s">
        <v>444</v>
      </c>
      <c r="W39" s="109"/>
      <c r="X39" s="1655" t="s">
        <v>1649</v>
      </c>
      <c r="Y39" s="2646" t="s">
        <v>1650</v>
      </c>
      <c r="Z39" s="2647"/>
      <c r="AA39" s="1662" t="s">
        <v>411</v>
      </c>
      <c r="AB39" s="1662" t="s">
        <v>257</v>
      </c>
      <c r="AC39" s="1662" t="s">
        <v>422</v>
      </c>
      <c r="AD39" s="162" t="s">
        <v>327</v>
      </c>
      <c r="AE39" s="1664" t="s">
        <v>444</v>
      </c>
      <c r="AG39" s="579" t="s">
        <v>411</v>
      </c>
      <c r="AH39" s="580" t="s">
        <v>257</v>
      </c>
      <c r="AI39" s="580" t="s">
        <v>422</v>
      </c>
      <c r="AJ39" s="580" t="s">
        <v>411</v>
      </c>
      <c r="AK39" s="580" t="s">
        <v>257</v>
      </c>
      <c r="AL39" s="580" t="s">
        <v>422</v>
      </c>
      <c r="AM39" s="580" t="s">
        <v>411</v>
      </c>
      <c r="AN39" s="580" t="s">
        <v>257</v>
      </c>
      <c r="AO39" s="580" t="s">
        <v>422</v>
      </c>
      <c r="AP39" s="580" t="s">
        <v>411</v>
      </c>
      <c r="AQ39" s="580" t="s">
        <v>257</v>
      </c>
      <c r="AR39" s="580" t="s">
        <v>422</v>
      </c>
      <c r="AS39" s="1289" t="s">
        <v>411</v>
      </c>
      <c r="AT39" s="581" t="s">
        <v>257</v>
      </c>
      <c r="AU39" s="581" t="s">
        <v>422</v>
      </c>
      <c r="AV39" s="579" t="s">
        <v>411</v>
      </c>
      <c r="AW39" s="580" t="s">
        <v>257</v>
      </c>
      <c r="AX39" s="583" t="s">
        <v>422</v>
      </c>
      <c r="BH39" s="2838"/>
      <c r="BI39" s="2838"/>
      <c r="BJ39" s="2840"/>
      <c r="BK39" s="2840"/>
    </row>
    <row r="40" spans="2:63" outlineLevel="1">
      <c r="B40" s="180" t="s">
        <v>4036</v>
      </c>
      <c r="C40" s="379"/>
      <c r="D40" s="212">
        <f>SUM(K40:M40)</f>
        <v>0</v>
      </c>
      <c r="E40" s="212"/>
      <c r="F40" s="409"/>
      <c r="G40" s="117"/>
      <c r="H40" s="410">
        <f>IF(ISNA(VLOOKUP($B40&amp;"; "&amp;$H$38&amp;", "&amp;$H$39,'FE Déplacements'!$G:$U,9,FALSE)),0,VLOOKUP($B40&amp;"; "&amp;$H$38&amp;", "&amp;$H$39,'FE Déplacements'!$G:$U,9,FALSE))</f>
        <v>2.5600000000000001E-2</v>
      </c>
      <c r="I40" s="410">
        <f>IF(ISNA(VLOOKUP($B40&amp;"; "&amp;$H$38&amp;", "&amp;$I$39,'FE Déplacements'!$G:$U,9,FALSE)),0,VLOOKUP($B40&amp;"; "&amp;$H$38&amp;", "&amp;$I$39,'FE Déplacements'!$G:$U,9,FALSE))</f>
        <v>3.5799999999999998E-2</v>
      </c>
      <c r="J40" s="410">
        <f>IF(ISNA(VLOOKUP($B40&amp;"; "&amp;$H$38&amp;", "&amp;$J$39,'FE Déplacements'!$G:$U,9,FALSE)),0,VLOOKUP($B40&amp;"; "&amp;$H$38&amp;", "&amp;$J$39,'FE Déplacements'!$G:$U,9,FALSE))</f>
        <v>0.16200000000000001</v>
      </c>
      <c r="K40" s="356">
        <f>G40*H40</f>
        <v>0</v>
      </c>
      <c r="L40" s="356">
        <f>G40*I40</f>
        <v>0</v>
      </c>
      <c r="M40" s="356">
        <f>G40*J40</f>
        <v>0</v>
      </c>
      <c r="N40" s="1286">
        <f>IF(OR(F40=Utilitaires!$I$572,F40=Utilitaires!$I$577),M40,0)</f>
        <v>0</v>
      </c>
      <c r="X40" s="1092">
        <f>IF(AD40=0,AD40,AD40/D40)</f>
        <v>0</v>
      </c>
      <c r="Y40" s="343"/>
      <c r="Z40" s="820"/>
      <c r="AA40" s="164">
        <f t="shared" ref="AA40:AB43" si="15">L40*BJ40</f>
        <v>0</v>
      </c>
      <c r="AB40" s="164">
        <f t="shared" si="15"/>
        <v>0</v>
      </c>
      <c r="AC40" s="164">
        <f>K40*BI40</f>
        <v>0</v>
      </c>
      <c r="AD40" s="152">
        <f>SQRT(SUMSQ(AA40:AC40))</f>
        <v>0</v>
      </c>
      <c r="AE40" s="165">
        <f>N40*X40</f>
        <v>0</v>
      </c>
      <c r="AG40" s="564">
        <f>$G40*IF(ISNA(VLOOKUP($B40&amp;"; "&amp;$H$38&amp;", "&amp;I$39,'FE Déplacements'!$G:$U,10,FALSE)),0,VLOOKUP($B40&amp;"; "&amp;$H$38&amp;", "&amp;I$39,'FE Déplacements'!$G:$U,10,FALSE))</f>
        <v>0</v>
      </c>
      <c r="AH40" s="565">
        <f>$G40*IF(ISNA(VLOOKUP($B40&amp;"; "&amp;$H$38&amp;", "&amp;J$39,'FE Déplacements'!$G:$U,10,FALSE)),0,VLOOKUP($B40&amp;"; "&amp;$H$38&amp;", "&amp;J$39,'FE Déplacements'!$G:$U,10,FALSE))</f>
        <v>0</v>
      </c>
      <c r="AI40" s="565">
        <f>$G40*IF(ISNA(VLOOKUP($B40&amp;"; "&amp;$H$38&amp;", "&amp;H$39,'FE Déplacements'!$G:$U,10,FALSE)),0,VLOOKUP($B40&amp;"; "&amp;$H$38&amp;", "&amp;H$39,'FE Déplacements'!$G:$U,10,FALSE))</f>
        <v>0</v>
      </c>
      <c r="AJ40" s="565">
        <f>$G40*IF(ISNA((VLOOKUP($B40&amp;"; "&amp;$H$38&amp;", "&amp;I$39,'FE Déplacements'!$G:$U,12,FALSE)+VLOOKUP($B40&amp;"; "&amp;$H$38&amp;", "&amp;I$39,'FE Déplacements'!$G:$U,11,FALSE))),0,(VLOOKUP($B40&amp;"; "&amp;$H$38&amp;", "&amp;I$39,'FE Déplacements'!$G:$U,12,FALSE)+VLOOKUP($B40&amp;"; "&amp;$H$38&amp;", "&amp;I$39,'FE Déplacements'!$G:$U,11,FALSE)))</f>
        <v>0</v>
      </c>
      <c r="AK40" s="565">
        <f>$G40*IF(ISNA((VLOOKUP($B40&amp;"; "&amp;$H$38&amp;", "&amp;J$39,'FE Déplacements'!$G:$U,12,FALSE)+VLOOKUP($B40&amp;"; "&amp;$H$38&amp;", "&amp;J$39,'FE Déplacements'!$G:$U,11,FALSE))),0,(VLOOKUP($B40&amp;"; "&amp;$H$38&amp;", "&amp;J$39,'FE Déplacements'!$G:$U,12,FALSE)+VLOOKUP($B40&amp;"; "&amp;$H$38&amp;", "&amp;J$39,'FE Déplacements'!$G:$U,11,FALSE)))</f>
        <v>0</v>
      </c>
      <c r="AL40" s="565">
        <f>$G40*IF(ISNA((VLOOKUP($B40&amp;"; "&amp;$H$38&amp;", "&amp;H$39,'FE Déplacements'!$G:$U,12,FALSE)+VLOOKUP($B40&amp;"; "&amp;$H$38&amp;", "&amp;H$39,'FE Déplacements'!$G:$U,11,FALSE))),0,(VLOOKUP($B40&amp;"; "&amp;$H$38&amp;", "&amp;H$39,'FE Déplacements'!$G:$U,12,FALSE)+VLOOKUP($B40&amp;"; "&amp;$H$38&amp;", "&amp;H$39,'FE Déplacements'!$G:$U,11,FALSE)))</f>
        <v>0</v>
      </c>
      <c r="AM40" s="565">
        <f>$G40*IF(ISNA(VLOOKUP($B40&amp;"; "&amp;$H$38&amp;", "&amp;I$39,'FE Déplacements'!$G:$U,13,FALSE)),0,VLOOKUP($B40&amp;"; "&amp;$H$38&amp;", "&amp;I$39,'FE Déplacements'!$G:$U,13,FALSE))</f>
        <v>0</v>
      </c>
      <c r="AN40" s="565">
        <f>$G40*IF(ISNA(VLOOKUP($B40&amp;"; "&amp;$H$38&amp;", "&amp;J$39,'FE Déplacements'!$G:$U,13,FALSE)),0,VLOOKUP($B40&amp;"; "&amp;$H$38&amp;", "&amp;J$39,'FE Déplacements'!$G:$U,13,FALSE))</f>
        <v>0</v>
      </c>
      <c r="AO40" s="565">
        <f>$G40*IF(ISNA(VLOOKUP($B40&amp;"; "&amp;$H$38&amp;", "&amp;H$39,'FE Déplacements'!$G:$U,13,FALSE)),0,VLOOKUP($B40&amp;"; "&amp;$H$38&amp;", "&amp;H$39,'FE Déplacements'!$G:$U,13,FALSE))</f>
        <v>0</v>
      </c>
      <c r="AP40" s="565">
        <v>0</v>
      </c>
      <c r="AQ40" s="565">
        <v>0</v>
      </c>
      <c r="AR40" s="565">
        <v>0</v>
      </c>
      <c r="AS40" s="1288">
        <f t="shared" ref="AS40:AU41" si="16">SUM(AG40,AJ40,AM40,AP40)</f>
        <v>0</v>
      </c>
      <c r="AT40" s="566">
        <f t="shared" si="16"/>
        <v>0</v>
      </c>
      <c r="AU40" s="566">
        <f t="shared" si="16"/>
        <v>0</v>
      </c>
      <c r="AV40" s="564">
        <f>$G40*IF(ISNA(VLOOKUP($B40&amp;"; "&amp;$H$38&amp;", "&amp;I$39,'FE Déplacements'!$G:$U,15,FALSE)),0,VLOOKUP($B40&amp;"; "&amp;$H$38&amp;", "&amp;I$39,'FE Déplacements'!$G:$U,15,FALSE))</f>
        <v>0</v>
      </c>
      <c r="AW40" s="565">
        <f>$G40*IF(ISNA(VLOOKUP($B40&amp;"; "&amp;$H$38&amp;", "&amp;J$39,'FE Déplacements'!$G:$U,15,FALSE)),0,VLOOKUP($B40&amp;"; "&amp;$H$38&amp;", "&amp;J$39,'FE Déplacements'!$G:$U,15,FALSE))</f>
        <v>0</v>
      </c>
      <c r="AX40" s="568">
        <f>$G40*IF(ISNA(VLOOKUP($B40&amp;"; "&amp;$H$38&amp;", "&amp;H$39,'FE Déplacements'!$G:$U,15,FALSE)),0,VLOOKUP($B40&amp;"; "&amp;$H$38&amp;", "&amp;H$39,'FE Déplacements'!$G:$U,15,FALSE))</f>
        <v>0</v>
      </c>
      <c r="BH40" s="1065">
        <f>IF($Y40&lt;&gt;"votre valeur :",IF(ISNA(VLOOKUP($Y40,Utilitaires!$N$566:$O$571,2,FALSE)),,VLOOKUP($Y40,Utilitaires!$N$566:$O$571,2,FALSE)),$Z40)</f>
        <v>0</v>
      </c>
      <c r="BI40" s="1124">
        <f>IF(ISNA(SQRT(SUMSQ(VLOOKUP($B40&amp;"; "&amp;$H$38&amp;", "&amp;$H$39,'FE Déplacements'!$G:$U,7,FALSE),$BH40))),0,SQRT(SUMSQ(VLOOKUP($B40&amp;"; "&amp;$H$38&amp;", "&amp;$H$39,'FE Déplacements'!$G:$U,7,FALSE),$BH40)))</f>
        <v>0.6</v>
      </c>
      <c r="BJ40" s="1124">
        <f>IF(ISNA(SQRT(SUMSQ(VLOOKUP($B40&amp;"; "&amp;$H$38&amp;", "&amp;$I$39,'FE Déplacements'!$G:$U,7,FALSE),$BH40))),0,SQRT(SUMSQ(VLOOKUP($B40&amp;"; "&amp;$H$38&amp;", "&amp;$I$39,'FE Déplacements'!$G:$U,7,FALSE),$BH40)))</f>
        <v>0.6</v>
      </c>
      <c r="BK40" s="1130">
        <f>IF(ISNA(SQRT(SUMSQ(VLOOKUP($B40&amp;"; "&amp;$H$38&amp;", "&amp;$J$39,'FE Déplacements'!$G:$U,7,FALSE),$BH40))),0,SQRT(SUMSQ(VLOOKUP($B40&amp;"; "&amp;$H$38&amp;", "&amp;$J$39,'FE Déplacements'!$G:$U,7,FALSE),$BH40)))</f>
        <v>0.6</v>
      </c>
    </row>
    <row r="41" spans="2:63" outlineLevel="1">
      <c r="B41" s="180" t="s">
        <v>4037</v>
      </c>
      <c r="C41" s="379"/>
      <c r="D41" s="212">
        <f>SUM(K41:M41)</f>
        <v>0</v>
      </c>
      <c r="E41" s="212"/>
      <c r="F41" s="346"/>
      <c r="G41" s="120"/>
      <c r="H41" s="410">
        <f>IF(ISNA(VLOOKUP($B41&amp;"; "&amp;$H$38&amp;", "&amp;$H$39,'FE Déplacements'!$G:$U,9,FALSE)),0,VLOOKUP($B41&amp;"; "&amp;$H$38&amp;", "&amp;$H$39,'FE Déplacements'!$G:$U,9,FALSE))</f>
        <v>2.5600000000000001E-2</v>
      </c>
      <c r="I41" s="410">
        <f>IF(ISNA(VLOOKUP($B41&amp;"; "&amp;$H$38&amp;", "&amp;$I$39,'FE Déplacements'!$G:$U,9,FALSE)),0,VLOOKUP($B41&amp;"; "&amp;$H$38&amp;", "&amp;$I$39,'FE Déplacements'!$G:$U,9,FALSE))</f>
        <v>3.6499999999999998E-2</v>
      </c>
      <c r="J41" s="410">
        <f>IF(ISNA(VLOOKUP($B41&amp;"; "&amp;$H$38&amp;", "&amp;$J$39,'FE Déplacements'!$G:$U,9,FALSE)),0,VLOOKUP($B41&amp;"; "&amp;$H$38&amp;", "&amp;$J$39,'FE Déplacements'!$G:$U,9,FALSE))</f>
        <v>0.15</v>
      </c>
      <c r="K41" s="356">
        <f>G41*H41</f>
        <v>0</v>
      </c>
      <c r="L41" s="356">
        <f>G41*I41</f>
        <v>0</v>
      </c>
      <c r="M41" s="356">
        <f>G41*J41</f>
        <v>0</v>
      </c>
      <c r="N41" s="1286">
        <f>IF(OR(F41=Utilitaires!$I$572,F41=Utilitaires!$I$577),M41,0)</f>
        <v>0</v>
      </c>
      <c r="X41" s="1092">
        <f>IF(AD41=0,AD41,AD41/D41)</f>
        <v>0</v>
      </c>
      <c r="Y41" s="343"/>
      <c r="Z41" s="820"/>
      <c r="AA41" s="164">
        <f t="shared" si="15"/>
        <v>0</v>
      </c>
      <c r="AB41" s="164">
        <f t="shared" si="15"/>
        <v>0</v>
      </c>
      <c r="AC41" s="164">
        <f>K41*BI41</f>
        <v>0</v>
      </c>
      <c r="AD41" s="152">
        <f t="shared" ref="AD41:AD58" si="17">SQRT(SUMSQ(AA41:AC41))</f>
        <v>0</v>
      </c>
      <c r="AE41" s="165">
        <f t="shared" ref="AE41:AE42" si="18">N41*X41</f>
        <v>0</v>
      </c>
      <c r="AG41" s="564">
        <f>$G41*IF(ISNA(VLOOKUP($B41&amp;"; "&amp;$H$38&amp;", "&amp;I$39,'FE Déplacements'!$G:$U,10,FALSE)),0,VLOOKUP($B41&amp;"; "&amp;$H$38&amp;", "&amp;I$39,'FE Déplacements'!$G:$U,10,FALSE))</f>
        <v>0</v>
      </c>
      <c r="AH41" s="565">
        <f>$G41*IF(ISNA(VLOOKUP($B41&amp;"; "&amp;$H$38&amp;", "&amp;J$39,'FE Déplacements'!$G:$U,10,FALSE)),0,VLOOKUP($B41&amp;"; "&amp;$H$38&amp;", "&amp;J$39,'FE Déplacements'!$G:$U,10,FALSE))</f>
        <v>0</v>
      </c>
      <c r="AI41" s="565">
        <f>$G41*IF(ISNA(VLOOKUP($B41&amp;"; "&amp;$H$38&amp;", "&amp;H$39,'FE Déplacements'!$G:$U,10,FALSE)),0,VLOOKUP($B41&amp;"; "&amp;$H$38&amp;", "&amp;H$39,'FE Déplacements'!$G:$U,10,FALSE))</f>
        <v>0</v>
      </c>
      <c r="AJ41" s="565">
        <f>$G41*IF(ISNA((VLOOKUP($B41&amp;"; "&amp;$H$38&amp;", "&amp;I$39,'FE Déplacements'!$G:$U,12,FALSE)+VLOOKUP($B41&amp;"; "&amp;$H$38&amp;", "&amp;I$39,'FE Déplacements'!$G:$U,11,FALSE))),0,(VLOOKUP($B41&amp;"; "&amp;$H$38&amp;", "&amp;I$39,'FE Déplacements'!$G:$U,12,FALSE)+VLOOKUP($B41&amp;"; "&amp;$H$38&amp;", "&amp;I$39,'FE Déplacements'!$G:$U,11,FALSE)))</f>
        <v>0</v>
      </c>
      <c r="AK41" s="565">
        <f>$G41*IF(ISNA((VLOOKUP($B41&amp;"; "&amp;$H$38&amp;", "&amp;J$39,'FE Déplacements'!$G:$U,12,FALSE)+VLOOKUP($B41&amp;"; "&amp;$H$38&amp;", "&amp;J$39,'FE Déplacements'!$G:$U,11,FALSE))),0,(VLOOKUP($B41&amp;"; "&amp;$H$38&amp;", "&amp;J$39,'FE Déplacements'!$G:$U,12,FALSE)+VLOOKUP($B41&amp;"; "&amp;$H$38&amp;", "&amp;J$39,'FE Déplacements'!$G:$U,11,FALSE)))</f>
        <v>0</v>
      </c>
      <c r="AL41" s="565">
        <f>$G41*IF(ISNA((VLOOKUP($B41&amp;"; "&amp;$H$38&amp;", "&amp;H$39,'FE Déplacements'!$G:$U,12,FALSE)+VLOOKUP($B41&amp;"; "&amp;$H$38&amp;", "&amp;H$39,'FE Déplacements'!$G:$U,11,FALSE))),0,(VLOOKUP($B41&amp;"; "&amp;$H$38&amp;", "&amp;H$39,'FE Déplacements'!$G:$U,12,FALSE)+VLOOKUP($B41&amp;"; "&amp;$H$38&amp;", "&amp;H$39,'FE Déplacements'!$G:$U,11,FALSE)))</f>
        <v>0</v>
      </c>
      <c r="AM41" s="565">
        <f>$G41*IF(ISNA(VLOOKUP($B41&amp;"; "&amp;$H$38&amp;", "&amp;I$39,'FE Déplacements'!$G:$U,13,FALSE)),0,VLOOKUP($B41&amp;"; "&amp;$H$38&amp;", "&amp;I$39,'FE Déplacements'!$G:$U,13,FALSE))</f>
        <v>0</v>
      </c>
      <c r="AN41" s="565">
        <f>$G41*IF(ISNA(VLOOKUP($B41&amp;"; "&amp;$H$38&amp;", "&amp;J$39,'FE Déplacements'!$G:$U,13,FALSE)),0,VLOOKUP($B41&amp;"; "&amp;$H$38&amp;", "&amp;J$39,'FE Déplacements'!$G:$U,13,FALSE))</f>
        <v>0</v>
      </c>
      <c r="AO41" s="565">
        <f>$G41*IF(ISNA(VLOOKUP($B41&amp;"; "&amp;$H$38&amp;", "&amp;H$39,'FE Déplacements'!$G:$U,13,FALSE)),0,VLOOKUP($B41&amp;"; "&amp;$H$38&amp;", "&amp;H$39,'FE Déplacements'!$G:$U,13,FALSE))</f>
        <v>0</v>
      </c>
      <c r="AP41" s="565">
        <v>0</v>
      </c>
      <c r="AQ41" s="565">
        <v>0</v>
      </c>
      <c r="AR41" s="565">
        <v>0</v>
      </c>
      <c r="AS41" s="1288">
        <f t="shared" si="16"/>
        <v>0</v>
      </c>
      <c r="AT41" s="566">
        <f t="shared" si="16"/>
        <v>0</v>
      </c>
      <c r="AU41" s="566">
        <f t="shared" si="16"/>
        <v>0</v>
      </c>
      <c r="AV41" s="564">
        <f>$G41*IF(ISNA(VLOOKUP($B41&amp;"; "&amp;$H$38&amp;", "&amp;I$39,'FE Déplacements'!$G:$U,15,FALSE)),0,VLOOKUP($B41&amp;"; "&amp;$H$38&amp;", "&amp;I$39,'FE Déplacements'!$G:$U,15,FALSE))</f>
        <v>0</v>
      </c>
      <c r="AW41" s="565">
        <f>$G41*IF(ISNA(VLOOKUP($B41&amp;"; "&amp;$H$38&amp;", "&amp;J$39,'FE Déplacements'!$G:$U,15,FALSE)),0,VLOOKUP($B41&amp;"; "&amp;$H$38&amp;", "&amp;J$39,'FE Déplacements'!$G:$U,15,FALSE))</f>
        <v>0</v>
      </c>
      <c r="AX41" s="568">
        <f>$G41*IF(ISNA(VLOOKUP($B41&amp;"; "&amp;$H$38&amp;", "&amp;H$39,'FE Déplacements'!$G:$U,15,FALSE)),0,VLOOKUP($B41&amp;"; "&amp;$H$38&amp;", "&amp;H$39,'FE Déplacements'!$G:$U,15,FALSE))</f>
        <v>0</v>
      </c>
      <c r="BH41" s="1065">
        <f>IF($Y41&lt;&gt;"votre valeur :",IF(ISNA(VLOOKUP($Y41,Utilitaires!$N$566:$O$571,2,FALSE)),,VLOOKUP($Y41,Utilitaires!$N$566:$O$571,2,FALSE)),$Z41)</f>
        <v>0</v>
      </c>
      <c r="BI41" s="1124">
        <f>IF(ISNA(SQRT(SUMSQ(VLOOKUP($B41&amp;"; "&amp;$H$38&amp;", "&amp;$H$39,'FE Déplacements'!$G:$U,7,FALSE),$BH41))),0,SQRT(SUMSQ(VLOOKUP($B41&amp;"; "&amp;$H$38&amp;", "&amp;$H$39,'FE Déplacements'!$G:$U,7,FALSE),$BH41)))</f>
        <v>0.6</v>
      </c>
      <c r="BJ41" s="1124">
        <f>IF(ISNA(SQRT(SUMSQ(VLOOKUP($B41&amp;"; "&amp;$H$38&amp;", "&amp;$I$39,'FE Déplacements'!$G:$U,7,FALSE),$BH41))),0,SQRT(SUMSQ(VLOOKUP($B41&amp;"; "&amp;$H$38&amp;", "&amp;$I$39,'FE Déplacements'!$G:$U,7,FALSE),$BH41)))</f>
        <v>0.6</v>
      </c>
      <c r="BK41" s="1130">
        <f>IF(ISNA(SQRT(SUMSQ(VLOOKUP($B41&amp;"; "&amp;$H$38&amp;", "&amp;$J$39,'FE Déplacements'!$G:$U,7,FALSE),$BH41))),0,SQRT(SUMSQ(VLOOKUP($B41&amp;"; "&amp;$H$38&amp;", "&amp;$J$39,'FE Déplacements'!$G:$U,7,FALSE),$BH41)))</f>
        <v>0.6</v>
      </c>
    </row>
    <row r="42" spans="2:63" outlineLevel="1">
      <c r="B42" s="180" t="s">
        <v>4038</v>
      </c>
      <c r="C42" s="2110"/>
      <c r="D42" s="212">
        <f>SUM(K42:M42)</f>
        <v>0</v>
      </c>
      <c r="E42" s="212"/>
      <c r="F42" s="347"/>
      <c r="G42" s="123"/>
      <c r="H42" s="410">
        <f>IF(ISNA(VLOOKUP($B42&amp;"; "&amp;$H$38&amp;", "&amp;$H$39,'FE Déplacements'!$G:$U,9,FALSE)),0,VLOOKUP($B42&amp;"; "&amp;$H$38&amp;", "&amp;$H$39,'FE Déplacements'!$G:$U,9,FALSE))</f>
        <v>2.5600000000000001E-2</v>
      </c>
      <c r="I42" s="410">
        <f>IF(ISNA(VLOOKUP($B42&amp;"; "&amp;$H$38&amp;", "&amp;$I$39,'FE Déplacements'!$G:$U,9,FALSE)),0,VLOOKUP($B42&amp;"; "&amp;$H$38&amp;", "&amp;$I$39,'FE Déplacements'!$G:$U,9,FALSE))</f>
        <v>0</v>
      </c>
      <c r="J42" s="410">
        <f>IF(ISNA(VLOOKUP($B42&amp;"; "&amp;$H$38&amp;", "&amp;$J$39,'FE Déplacements'!$G:$U,9,FALSE)),0,VLOOKUP($B42&amp;"; "&amp;$H$38&amp;", "&amp;$J$39,'FE Déplacements'!$G:$U,9,FALSE))</f>
        <v>0.192</v>
      </c>
      <c r="K42" s="356">
        <f>G42*H42</f>
        <v>0</v>
      </c>
      <c r="L42" s="356">
        <f>G42*I42</f>
        <v>0</v>
      </c>
      <c r="M42" s="356">
        <f>G42*J42</f>
        <v>0</v>
      </c>
      <c r="N42" s="1286">
        <f>IF(OR(F42=Utilitaires!$I$572,F42=Utilitaires!$I$577),M42,0)</f>
        <v>0</v>
      </c>
      <c r="X42" s="1092">
        <f>IF(AD42=0,AD42,AD42/D42)</f>
        <v>0</v>
      </c>
      <c r="Y42" s="343"/>
      <c r="Z42" s="820"/>
      <c r="AA42" s="164">
        <f t="shared" si="15"/>
        <v>0</v>
      </c>
      <c r="AB42" s="164">
        <f t="shared" si="15"/>
        <v>0</v>
      </c>
      <c r="AC42" s="164">
        <f>K42*BI42</f>
        <v>0</v>
      </c>
      <c r="AD42" s="152">
        <f t="shared" si="17"/>
        <v>0</v>
      </c>
      <c r="AE42" s="165">
        <f t="shared" si="18"/>
        <v>0</v>
      </c>
      <c r="AG42" s="564">
        <f>$G42*IF(ISNA(VLOOKUP($B42&amp;"; "&amp;$H$38&amp;", "&amp;I$39,'FE Déplacements'!$G:$U,10,FALSE)),0,VLOOKUP($B42&amp;"; "&amp;$H$38&amp;", "&amp;I$39,'FE Déplacements'!$G:$U,10,FALSE))</f>
        <v>0</v>
      </c>
      <c r="AH42" s="565">
        <f>$G42*IF(ISNA(VLOOKUP($B42&amp;"; "&amp;$H$38&amp;", "&amp;J$39,'FE Déplacements'!$G:$U,10,FALSE)),0,VLOOKUP($B42&amp;"; "&amp;$H$38&amp;", "&amp;J$39,'FE Déplacements'!$G:$U,10,FALSE))</f>
        <v>0</v>
      </c>
      <c r="AI42" s="565">
        <f>$G42*IF(ISNA(VLOOKUP($B42&amp;"; "&amp;$H$38&amp;", "&amp;H$39,'FE Déplacements'!$G:$U,10,FALSE)),0,VLOOKUP($B42&amp;"; "&amp;$H$38&amp;", "&amp;H$39,'FE Déplacements'!$G:$U,10,FALSE))</f>
        <v>0</v>
      </c>
      <c r="AJ42" s="565">
        <f>$G42*IF(ISNA((VLOOKUP($B42&amp;"; "&amp;$H$38&amp;", "&amp;I$39,'FE Déplacements'!$G:$U,12,FALSE)+VLOOKUP($B42&amp;"; "&amp;$H$38&amp;", "&amp;I$39,'FE Déplacements'!$G:$U,11,FALSE))),0,(VLOOKUP($B42&amp;"; "&amp;$H$38&amp;", "&amp;I$39,'FE Déplacements'!$G:$U,12,FALSE)+VLOOKUP($B42&amp;"; "&amp;$H$38&amp;", "&amp;I$39,'FE Déplacements'!$G:$U,11,FALSE)))</f>
        <v>0</v>
      </c>
      <c r="AK42" s="565">
        <f>$G42*IF(ISNA((VLOOKUP($B42&amp;"; "&amp;$H$38&amp;", "&amp;J$39,'FE Déplacements'!$G:$U,12,FALSE)+VLOOKUP($B42&amp;"; "&amp;$H$38&amp;", "&amp;J$39,'FE Déplacements'!$G:$U,11,FALSE))),0,(VLOOKUP($B42&amp;"; "&amp;$H$38&amp;", "&amp;J$39,'FE Déplacements'!$G:$U,12,FALSE)+VLOOKUP($B42&amp;"; "&amp;$H$38&amp;", "&amp;J$39,'FE Déplacements'!$G:$U,11,FALSE)))</f>
        <v>0</v>
      </c>
      <c r="AL42" s="565">
        <f>$G42*IF(ISNA((VLOOKUP($B42&amp;"; "&amp;$H$38&amp;", "&amp;H$39,'FE Déplacements'!$G:$U,12,FALSE)+VLOOKUP($B42&amp;"; "&amp;$H$38&amp;", "&amp;H$39,'FE Déplacements'!$G:$U,11,FALSE))),0,(VLOOKUP($B42&amp;"; "&amp;$H$38&amp;", "&amp;H$39,'FE Déplacements'!$G:$U,12,FALSE)+VLOOKUP($B42&amp;"; "&amp;$H$38&amp;", "&amp;H$39,'FE Déplacements'!$G:$U,11,FALSE)))</f>
        <v>0</v>
      </c>
      <c r="AM42" s="565">
        <f>$G42*IF(ISNA(VLOOKUP($B42&amp;"; "&amp;$H$38&amp;", "&amp;I$39,'FE Déplacements'!$G:$U,13,FALSE)),0,VLOOKUP($B42&amp;"; "&amp;$H$38&amp;", "&amp;I$39,'FE Déplacements'!$G:$U,13,FALSE))</f>
        <v>0</v>
      </c>
      <c r="AN42" s="565">
        <f>$G42*IF(ISNA(VLOOKUP($B42&amp;"; "&amp;$H$38&amp;", "&amp;J$39,'FE Déplacements'!$G:$U,13,FALSE)),0,VLOOKUP($B42&amp;"; "&amp;$H$38&amp;", "&amp;J$39,'FE Déplacements'!$G:$U,13,FALSE))</f>
        <v>0</v>
      </c>
      <c r="AO42" s="565">
        <f>$G42*IF(ISNA(VLOOKUP($B42&amp;"; "&amp;$H$38&amp;", "&amp;H$39,'FE Déplacements'!$G:$U,13,FALSE)),0,VLOOKUP($B42&amp;"; "&amp;$H$38&amp;", "&amp;H$39,'FE Déplacements'!$G:$U,13,FALSE))</f>
        <v>0</v>
      </c>
      <c r="AP42" s="565">
        <v>0</v>
      </c>
      <c r="AQ42" s="565">
        <v>0</v>
      </c>
      <c r="AR42" s="565">
        <v>0</v>
      </c>
      <c r="AS42" s="1288">
        <f t="shared" ref="AS42" si="19">SUM(AG42,AJ42,AM42,AP42)</f>
        <v>0</v>
      </c>
      <c r="AT42" s="566">
        <f t="shared" ref="AT42" si="20">SUM(AH42,AK42,AN42,AQ42)</f>
        <v>0</v>
      </c>
      <c r="AU42" s="566">
        <f t="shared" ref="AU42" si="21">SUM(AI42,AL42,AO42,AR42)</f>
        <v>0</v>
      </c>
      <c r="AV42" s="564">
        <f>$G42*IF(ISNA(VLOOKUP($B42&amp;"; "&amp;$H$38&amp;", "&amp;I$39,'FE Déplacements'!$G:$U,15,FALSE)),0,VLOOKUP($B42&amp;"; "&amp;$H$38&amp;", "&amp;I$39,'FE Déplacements'!$G:$U,15,FALSE))</f>
        <v>0</v>
      </c>
      <c r="AW42" s="565">
        <f>$G42*IF(ISNA(VLOOKUP($B42&amp;"; "&amp;$H$38&amp;", "&amp;J$39,'FE Déplacements'!$G:$U,15,FALSE)),0,VLOOKUP($B42&amp;"; "&amp;$H$38&amp;", "&amp;J$39,'FE Déplacements'!$G:$U,15,FALSE))</f>
        <v>0</v>
      </c>
      <c r="AX42" s="568">
        <f>$G42*IF(ISNA(VLOOKUP($B42&amp;"; "&amp;$H$38&amp;", "&amp;H$39,'FE Déplacements'!$G:$U,15,FALSE)),0,VLOOKUP($B42&amp;"; "&amp;$H$38&amp;", "&amp;H$39,'FE Déplacements'!$G:$U,15,FALSE))</f>
        <v>0</v>
      </c>
      <c r="BH42" s="2111">
        <f>IF($Y42&lt;&gt;"votre valeur :",IF(ISNA(VLOOKUP($Y42,Utilitaires!$N$566:$O$571,2,FALSE)),,VLOOKUP($Y42,Utilitaires!$N$566:$O$571,2,FALSE)),$Z42)</f>
        <v>0</v>
      </c>
      <c r="BI42" s="1124">
        <f>IF(ISNA(SQRT(SUMSQ(VLOOKUP($B42&amp;"; "&amp;$H$38&amp;", "&amp;$H$39,'FE Déplacements'!$G:$U,7,FALSE),$BH42))),0,SQRT(SUMSQ(VLOOKUP($B42&amp;"; "&amp;$H$38&amp;", "&amp;$H$39,'FE Déplacements'!$G:$U,7,FALSE),$BH42)))</f>
        <v>0.6</v>
      </c>
      <c r="BJ42" s="1124">
        <f>IF(ISNA(SQRT(SUMSQ(VLOOKUP($B42&amp;"; "&amp;$H$38&amp;", "&amp;$I$39,'FE Déplacements'!$G:$U,7,FALSE),$BH42))),0,SQRT(SUMSQ(VLOOKUP($B42&amp;"; "&amp;$H$38&amp;", "&amp;$I$39,'FE Déplacements'!$G:$U,7,FALSE),$BH42)))</f>
        <v>0</v>
      </c>
      <c r="BK42" s="1130">
        <f>IF(ISNA(SQRT(SUMSQ(VLOOKUP($B42&amp;"; "&amp;$H$38&amp;", "&amp;$J$39,'FE Déplacements'!$G:$U,7,FALSE),$BH42))),0,SQRT(SUMSQ(VLOOKUP($B42&amp;"; "&amp;$H$38&amp;", "&amp;$J$39,'FE Déplacements'!$G:$U,7,FALSE),$BH42)))</f>
        <v>0.6</v>
      </c>
    </row>
    <row r="43" spans="2:63" outlineLevel="1">
      <c r="B43" s="180"/>
      <c r="C43" s="2230"/>
      <c r="D43" s="212"/>
      <c r="E43" s="212"/>
      <c r="F43" s="212"/>
      <c r="G43" s="212"/>
      <c r="H43" s="410"/>
      <c r="I43" s="410"/>
      <c r="J43" s="410"/>
      <c r="K43" s="356"/>
      <c r="L43" s="356"/>
      <c r="M43" s="356"/>
      <c r="N43" s="1286"/>
      <c r="X43" s="1092"/>
      <c r="Y43" s="1094"/>
      <c r="Z43" s="820"/>
      <c r="AA43" s="164">
        <f t="shared" si="15"/>
        <v>0</v>
      </c>
      <c r="AB43" s="164">
        <f t="shared" si="15"/>
        <v>0</v>
      </c>
      <c r="AC43" s="164">
        <f>K43*BI43</f>
        <v>0</v>
      </c>
      <c r="AD43" s="152">
        <f t="shared" si="17"/>
        <v>0</v>
      </c>
      <c r="AE43" s="165"/>
      <c r="AG43" s="564"/>
      <c r="AH43" s="565"/>
      <c r="AI43" s="565"/>
      <c r="AJ43" s="565"/>
      <c r="AK43" s="565"/>
      <c r="AL43" s="565"/>
      <c r="AM43" s="565"/>
      <c r="AN43" s="565"/>
      <c r="AO43" s="565"/>
      <c r="AP43" s="565"/>
      <c r="AQ43" s="565"/>
      <c r="AR43" s="565"/>
      <c r="AS43" s="1288"/>
      <c r="AT43" s="566"/>
      <c r="AU43" s="566"/>
      <c r="AV43" s="564"/>
      <c r="AW43" s="565"/>
      <c r="AX43" s="568"/>
      <c r="BH43" s="2232"/>
      <c r="BI43" s="2240"/>
      <c r="BJ43" s="2240"/>
      <c r="BK43" s="1130"/>
    </row>
    <row r="44" spans="2:63" outlineLevel="1">
      <c r="B44" s="536" t="s">
        <v>4039</v>
      </c>
      <c r="C44" s="2110"/>
      <c r="D44" s="212"/>
      <c r="E44" s="212"/>
      <c r="F44" s="212"/>
      <c r="G44" s="212"/>
      <c r="H44" s="410"/>
      <c r="I44" s="410"/>
      <c r="J44" s="410"/>
      <c r="K44" s="356"/>
      <c r="L44" s="356"/>
      <c r="M44" s="356"/>
      <c r="N44" s="1286"/>
      <c r="X44" s="1092"/>
      <c r="Y44" s="820"/>
      <c r="Z44" s="820"/>
      <c r="AA44" s="164"/>
      <c r="AB44" s="164"/>
      <c r="AC44" s="164"/>
      <c r="AD44" s="152"/>
      <c r="AE44" s="165"/>
      <c r="AG44" s="564"/>
      <c r="AH44" s="565"/>
      <c r="AI44" s="565"/>
      <c r="AJ44" s="565"/>
      <c r="AK44" s="565"/>
      <c r="AL44" s="565"/>
      <c r="AM44" s="565"/>
      <c r="AN44" s="565"/>
      <c r="AO44" s="565"/>
      <c r="AP44" s="565"/>
      <c r="AQ44" s="565"/>
      <c r="AR44" s="565"/>
      <c r="AS44" s="1288"/>
      <c r="AT44" s="566"/>
      <c r="AU44" s="566"/>
      <c r="AV44" s="564"/>
      <c r="AW44" s="565"/>
      <c r="AX44" s="568"/>
      <c r="BH44" s="2111"/>
      <c r="BI44" s="1124"/>
      <c r="BJ44" s="1124"/>
      <c r="BK44" s="1130"/>
    </row>
    <row r="45" spans="2:63" outlineLevel="1">
      <c r="B45" s="180" t="s">
        <v>4116</v>
      </c>
      <c r="C45" s="2110"/>
      <c r="D45" s="212">
        <f t="shared" ref="D45:D58" si="22">SUM(K45:M45)</f>
        <v>0</v>
      </c>
      <c r="E45" s="212"/>
      <c r="F45" s="409"/>
      <c r="G45" s="117"/>
      <c r="H45" s="410">
        <f>IF(ISNA(VLOOKUP($B45&amp;"; "&amp;$H$38&amp;", "&amp;$H$39,'FE Déplacements'!$G:$U,9,FALSE)),0,VLOOKUP($B45&amp;"; "&amp;$H$38&amp;", "&amp;$H$39,'FE Déplacements'!$G:$U,9,FALSE))</f>
        <v>0</v>
      </c>
      <c r="I45" s="410">
        <f>IF(ISNA(VLOOKUP($B45&amp;"; "&amp;$H$38&amp;", "&amp;$I$39,'FE Déplacements'!$G:$U,9,FALSE)),0,VLOOKUP($B45&amp;"; "&amp;$H$38&amp;", "&amp;$I$39,'FE Déplacements'!$G:$U,9,FALSE))</f>
        <v>0</v>
      </c>
      <c r="J45" s="410">
        <f>IF(ISNA(VLOOKUP($B45&amp;"; "&amp;$H$38&amp;", "&amp;$J$39,'FE Déplacements'!$G:$U,9,FALSE)),0,VLOOKUP($B45&amp;"; "&amp;$H$38&amp;", "&amp;$J$39,'FE Déplacements'!$G:$U,9,FALSE))</f>
        <v>0</v>
      </c>
      <c r="K45" s="356">
        <f t="shared" ref="K45" si="23">G45*H45</f>
        <v>0</v>
      </c>
      <c r="L45" s="356">
        <f t="shared" ref="L45" si="24">G45*I45</f>
        <v>0</v>
      </c>
      <c r="M45" s="356">
        <f t="shared" ref="M45" si="25">G45*J45</f>
        <v>0</v>
      </c>
      <c r="N45" s="1286">
        <f>IF(OR(F45=Utilitaires!$I$572,F45=Utilitaires!$I$577),M45,0)</f>
        <v>0</v>
      </c>
      <c r="X45" s="1092">
        <f t="shared" ref="X45:X48" si="26">IF(AD45=0,AD45,AD45/D45)</f>
        <v>0</v>
      </c>
      <c r="Y45" s="343"/>
      <c r="Z45" s="820"/>
      <c r="AA45" s="164">
        <f t="shared" ref="AA45:AB48" si="27">L45*BJ45</f>
        <v>0</v>
      </c>
      <c r="AB45" s="164">
        <f t="shared" si="27"/>
        <v>0</v>
      </c>
      <c r="AC45" s="164">
        <f>K45*BI45</f>
        <v>0</v>
      </c>
      <c r="AD45" s="152">
        <f t="shared" si="17"/>
        <v>0</v>
      </c>
      <c r="AE45" s="165">
        <f t="shared" ref="AE45:AE58" si="28">N45*X45</f>
        <v>0</v>
      </c>
      <c r="AG45" s="564">
        <f>$G45*IF(ISNA(VLOOKUP($B45&amp;"; "&amp;$H$38&amp;", "&amp;I$39,'FE Déplacements'!$G:$U,10,FALSE)),0,VLOOKUP($B45&amp;"; "&amp;$H$38&amp;", "&amp;I$39,'FE Déplacements'!$G:$U,10,FALSE))</f>
        <v>0</v>
      </c>
      <c r="AH45" s="565">
        <f>$G45*IF(ISNA(VLOOKUP($B45&amp;"; "&amp;$H$38&amp;", "&amp;J$39,'FE Déplacements'!$G:$U,10,FALSE)),0,VLOOKUP($B45&amp;"; "&amp;$H$38&amp;", "&amp;J$39,'FE Déplacements'!$G:$U,10,FALSE))</f>
        <v>0</v>
      </c>
      <c r="AI45" s="565">
        <f>$G45*IF(ISNA(VLOOKUP($B45&amp;"; "&amp;$H$38&amp;", "&amp;H$39,'FE Déplacements'!$G:$U,10,FALSE)),0,VLOOKUP($B45&amp;"; "&amp;$H$38&amp;", "&amp;H$39,'FE Déplacements'!$G:$U,10,FALSE))</f>
        <v>0</v>
      </c>
      <c r="AJ45" s="565">
        <f>$G45*IF(ISNA((VLOOKUP($B45&amp;"; "&amp;$H$38&amp;", "&amp;I$39,'FE Déplacements'!$G:$U,12,FALSE)+VLOOKUP($B45&amp;"; "&amp;$H$38&amp;", "&amp;I$39,'FE Déplacements'!$G:$U,11,FALSE))),0,(VLOOKUP($B45&amp;"; "&amp;$H$38&amp;", "&amp;I$39,'FE Déplacements'!$G:$U,12,FALSE)+VLOOKUP($B45&amp;"; "&amp;$H$38&amp;", "&amp;I$39,'FE Déplacements'!$G:$U,11,FALSE)))</f>
        <v>0</v>
      </c>
      <c r="AK45" s="565">
        <f>$G45*IF(ISNA((VLOOKUP($B45&amp;"; "&amp;$H$38&amp;", "&amp;J$39,'FE Déplacements'!$G:$U,12,FALSE)+VLOOKUP($B45&amp;"; "&amp;$H$38&amp;", "&amp;J$39,'FE Déplacements'!$G:$U,11,FALSE))),0,(VLOOKUP($B45&amp;"; "&amp;$H$38&amp;", "&amp;J$39,'FE Déplacements'!$G:$U,12,FALSE)+VLOOKUP($B45&amp;"; "&amp;$H$38&amp;", "&amp;J$39,'FE Déplacements'!$G:$U,11,FALSE)))</f>
        <v>0</v>
      </c>
      <c r="AL45" s="565">
        <f>$G45*IF(ISNA((VLOOKUP($B45&amp;"; "&amp;$H$38&amp;", "&amp;H$39,'FE Déplacements'!$G:$U,12,FALSE)+VLOOKUP($B45&amp;"; "&amp;$H$38&amp;", "&amp;H$39,'FE Déplacements'!$G:$U,11,FALSE))),0,(VLOOKUP($B45&amp;"; "&amp;$H$38&amp;", "&amp;H$39,'FE Déplacements'!$G:$U,12,FALSE)+VLOOKUP($B45&amp;"; "&amp;$H$38&amp;", "&amp;H$39,'FE Déplacements'!$G:$U,11,FALSE)))</f>
        <v>0</v>
      </c>
      <c r="AM45" s="565">
        <f>$G45*IF(ISNA(VLOOKUP($B45&amp;"; "&amp;$H$38&amp;", "&amp;I$39,'FE Déplacements'!$G:$U,13,FALSE)),0,VLOOKUP($B45&amp;"; "&amp;$H$38&amp;", "&amp;I$39,'FE Déplacements'!$G:$U,13,FALSE))</f>
        <v>0</v>
      </c>
      <c r="AN45" s="565">
        <f>$G45*IF(ISNA(VLOOKUP($B45&amp;"; "&amp;$H$38&amp;", "&amp;J$39,'FE Déplacements'!$G:$U,13,FALSE)),0,VLOOKUP($B45&amp;"; "&amp;$H$38&amp;", "&amp;J$39,'FE Déplacements'!$G:$U,13,FALSE))</f>
        <v>0</v>
      </c>
      <c r="AO45" s="565">
        <f>$G45*IF(ISNA(VLOOKUP($B45&amp;"; "&amp;$H$38&amp;", "&amp;H$39,'FE Déplacements'!$G:$U,13,FALSE)),0,VLOOKUP($B45&amp;"; "&amp;$H$38&amp;", "&amp;H$39,'FE Déplacements'!$G:$U,13,FALSE))</f>
        <v>0</v>
      </c>
      <c r="AP45" s="565">
        <v>0</v>
      </c>
      <c r="AQ45" s="565">
        <v>0</v>
      </c>
      <c r="AR45" s="565">
        <v>0</v>
      </c>
      <c r="AS45" s="1288">
        <f t="shared" ref="AS45" si="29">SUM(AG45,AJ45,AM45,AP45)</f>
        <v>0</v>
      </c>
      <c r="AT45" s="566">
        <f t="shared" ref="AT45" si="30">SUM(AH45,AK45,AN45,AQ45)</f>
        <v>0</v>
      </c>
      <c r="AU45" s="566">
        <f t="shared" ref="AU45" si="31">SUM(AI45,AL45,AO45,AR45)</f>
        <v>0</v>
      </c>
      <c r="AV45" s="564">
        <f>$G45*IF(ISNA(VLOOKUP($B45&amp;"; "&amp;$H$38&amp;", "&amp;I$39,'FE Déplacements'!$G:$U,15,FALSE)),0,VLOOKUP($B45&amp;"; "&amp;$H$38&amp;", "&amp;I$39,'FE Déplacements'!$G:$U,15,FALSE))</f>
        <v>0</v>
      </c>
      <c r="AW45" s="565">
        <f>$G45*IF(ISNA(VLOOKUP($B45&amp;"; "&amp;$H$38&amp;", "&amp;J$39,'FE Déplacements'!$G:$U,15,FALSE)),0,VLOOKUP($B45&amp;"; "&amp;$H$38&amp;", "&amp;J$39,'FE Déplacements'!$G:$U,15,FALSE))</f>
        <v>0</v>
      </c>
      <c r="AX45" s="568">
        <f>$G45*IF(ISNA(VLOOKUP($B45&amp;"; "&amp;$H$38&amp;", "&amp;H$39,'FE Déplacements'!$G:$U,15,FALSE)),0,VLOOKUP($B45&amp;"; "&amp;$H$38&amp;", "&amp;H$39,'FE Déplacements'!$G:$U,15,FALSE))</f>
        <v>0</v>
      </c>
      <c r="BH45" s="2111">
        <f>IF($Y45&lt;&gt;"votre valeur :",IF(ISNA(VLOOKUP($Y45,Utilitaires!$N$566:$O$571,2,FALSE)),,VLOOKUP($Y45,Utilitaires!$N$566:$O$571,2,FALSE)),$Z45)</f>
        <v>0</v>
      </c>
      <c r="BI45" s="1124">
        <f>IF(ISNA(SQRT(SUMSQ(VLOOKUP($B45&amp;"; "&amp;$H$38&amp;", "&amp;$H$39,'FE Déplacements'!$G:$U,7,FALSE),$BH45))),0,SQRT(SUMSQ(VLOOKUP($B45&amp;"; "&amp;$H$38&amp;", "&amp;$H$39,'FE Déplacements'!$G:$U,7,FALSE),$BH45)))</f>
        <v>0</v>
      </c>
      <c r="BJ45" s="1124">
        <f>IF(ISNA(SQRT(SUMSQ(VLOOKUP($B45&amp;"; "&amp;$H$38&amp;", "&amp;$I$39,'FE Déplacements'!$G:$U,7,FALSE),$BH45))),0,SQRT(SUMSQ(VLOOKUP($B45&amp;"; "&amp;$H$38&amp;", "&amp;$I$39,'FE Déplacements'!$G:$U,7,FALSE),$BH45)))</f>
        <v>0</v>
      </c>
      <c r="BK45" s="1130">
        <f>IF(ISNA(SQRT(SUMSQ(VLOOKUP($B45&amp;"; "&amp;$H$38&amp;", "&amp;$J$39,'FE Déplacements'!$G:$U,7,FALSE),$BH45))),0,SQRT(SUMSQ(VLOOKUP($B45&amp;"; "&amp;$H$38&amp;", "&amp;$J$39,'FE Déplacements'!$G:$U,7,FALSE),$BH45)))</f>
        <v>0</v>
      </c>
    </row>
    <row r="46" spans="2:63" outlineLevel="1">
      <c r="B46" s="180" t="s">
        <v>5208</v>
      </c>
      <c r="C46" s="2110"/>
      <c r="D46" s="212">
        <f t="shared" si="22"/>
        <v>0</v>
      </c>
      <c r="E46" s="212"/>
      <c r="F46" s="530"/>
      <c r="G46" s="398"/>
      <c r="H46" s="410">
        <f>IF(ISNA(VLOOKUP($B46&amp;"; "&amp;$H$38&amp;", "&amp;$H$39,'FE Déplacements'!$G:$U,9,FALSE)),0,VLOOKUP($B46&amp;"; "&amp;$H$38&amp;", "&amp;$H$39,'FE Déplacements'!$G:$U,9,FALSE))</f>
        <v>4.7500000000000001E-2</v>
      </c>
      <c r="I46" s="410">
        <f>IF(ISNA(VLOOKUP($B46&amp;"; "&amp;$H$38&amp;", "&amp;$I$39,'FE Déplacements'!$G:$U,9,FALSE)),0,VLOOKUP($B46&amp;"; "&amp;$H$38&amp;", "&amp;$I$39,'FE Déplacements'!$G:$U,9,FALSE))</f>
        <v>2.1100000000000001E-2</v>
      </c>
      <c r="J46" s="410">
        <f>IF(ISNA(VLOOKUP($B46&amp;"; "&amp;$H$38&amp;", "&amp;$J$39,'FE Déplacements'!$G:$U,9,FALSE)),0,VLOOKUP($B46&amp;"; "&amp;$H$38&amp;", "&amp;$J$39,'FE Déplacements'!$G:$U,9,FALSE))</f>
        <v>7.8E-2</v>
      </c>
      <c r="K46" s="356">
        <f t="shared" ref="K46:K49" si="32">G46*H46</f>
        <v>0</v>
      </c>
      <c r="L46" s="356">
        <f t="shared" ref="L46:L49" si="33">G46*I46</f>
        <v>0</v>
      </c>
      <c r="M46" s="356">
        <f t="shared" ref="M46:M49" si="34">G46*J46</f>
        <v>0</v>
      </c>
      <c r="N46" s="1286">
        <f>IF(OR(F46=Utilitaires!$I$572,F46=Utilitaires!$I$577),M46,0)</f>
        <v>0</v>
      </c>
      <c r="X46" s="1092">
        <f t="shared" si="26"/>
        <v>0</v>
      </c>
      <c r="Y46" s="343"/>
      <c r="Z46" s="820"/>
      <c r="AA46" s="164">
        <f t="shared" si="27"/>
        <v>0</v>
      </c>
      <c r="AB46" s="164">
        <f t="shared" si="27"/>
        <v>0</v>
      </c>
      <c r="AC46" s="164">
        <f>K46*BI46</f>
        <v>0</v>
      </c>
      <c r="AD46" s="152">
        <f t="shared" si="17"/>
        <v>0</v>
      </c>
      <c r="AE46" s="165">
        <f t="shared" si="28"/>
        <v>0</v>
      </c>
      <c r="AG46" s="564">
        <f>$G46*IF(ISNA(VLOOKUP($B46&amp;"; "&amp;$H$38&amp;", "&amp;I$39,'FE Déplacements'!$G:$U,10,FALSE)),0,VLOOKUP($B46&amp;"; "&amp;$H$38&amp;", "&amp;I$39,'FE Déplacements'!$G:$U,10,FALSE))</f>
        <v>0</v>
      </c>
      <c r="AH46" s="565">
        <f>$G46*IF(ISNA(VLOOKUP($B46&amp;"; "&amp;$H$38&amp;", "&amp;J$39,'FE Déplacements'!$G:$U,10,FALSE)),0,VLOOKUP($B46&amp;"; "&amp;$H$38&amp;", "&amp;J$39,'FE Déplacements'!$G:$U,10,FALSE))</f>
        <v>0</v>
      </c>
      <c r="AI46" s="565">
        <f>$G46*IF(ISNA(VLOOKUP($B46&amp;"; "&amp;$H$38&amp;", "&amp;H$39,'FE Déplacements'!$G:$U,10,FALSE)),0,VLOOKUP($B46&amp;"; "&amp;$H$38&amp;", "&amp;H$39,'FE Déplacements'!$G:$U,10,FALSE))</f>
        <v>0</v>
      </c>
      <c r="AJ46" s="565">
        <f>$G46*IF(ISNA((VLOOKUP($B46&amp;"; "&amp;$H$38&amp;", "&amp;I$39,'FE Déplacements'!$G:$U,12,FALSE)+VLOOKUP($B46&amp;"; "&amp;$H$38&amp;", "&amp;I$39,'FE Déplacements'!$G:$U,11,FALSE))),0,(VLOOKUP($B46&amp;"; "&amp;$H$38&amp;", "&amp;I$39,'FE Déplacements'!$G:$U,12,FALSE)+VLOOKUP($B46&amp;"; "&amp;$H$38&amp;", "&amp;I$39,'FE Déplacements'!$G:$U,11,FALSE)))</f>
        <v>0</v>
      </c>
      <c r="AK46" s="565">
        <f>$G46*IF(ISNA((VLOOKUP($B46&amp;"; "&amp;$H$38&amp;", "&amp;J$39,'FE Déplacements'!$G:$U,12,FALSE)+VLOOKUP($B46&amp;"; "&amp;$H$38&amp;", "&amp;J$39,'FE Déplacements'!$G:$U,11,FALSE))),0,(VLOOKUP($B46&amp;"; "&amp;$H$38&amp;", "&amp;J$39,'FE Déplacements'!$G:$U,12,FALSE)+VLOOKUP($B46&amp;"; "&amp;$H$38&amp;", "&amp;J$39,'FE Déplacements'!$G:$U,11,FALSE)))</f>
        <v>0</v>
      </c>
      <c r="AL46" s="565">
        <f>$G46*IF(ISNA((VLOOKUP($B46&amp;"; "&amp;$H$38&amp;", "&amp;H$39,'FE Déplacements'!$G:$U,12,FALSE)+VLOOKUP($B46&amp;"; "&amp;$H$38&amp;", "&amp;H$39,'FE Déplacements'!$G:$U,11,FALSE))),0,(VLOOKUP($B46&amp;"; "&amp;$H$38&amp;", "&amp;H$39,'FE Déplacements'!$G:$U,12,FALSE)+VLOOKUP($B46&amp;"; "&amp;$H$38&amp;", "&amp;H$39,'FE Déplacements'!$G:$U,11,FALSE)))</f>
        <v>0</v>
      </c>
      <c r="AM46" s="565">
        <f>$G46*IF(ISNA(VLOOKUP($B46&amp;"; "&amp;$H$38&amp;", "&amp;I$39,'FE Déplacements'!$G:$U,13,FALSE)),0,VLOOKUP($B46&amp;"; "&amp;$H$38&amp;", "&amp;I$39,'FE Déplacements'!$G:$U,13,FALSE))</f>
        <v>0</v>
      </c>
      <c r="AN46" s="565">
        <f>$G46*IF(ISNA(VLOOKUP($B46&amp;"; "&amp;$H$38&amp;", "&amp;J$39,'FE Déplacements'!$G:$U,13,FALSE)),0,VLOOKUP($B46&amp;"; "&amp;$H$38&amp;", "&amp;J$39,'FE Déplacements'!$G:$U,13,FALSE))</f>
        <v>0</v>
      </c>
      <c r="AO46" s="565">
        <f>$G46*IF(ISNA(VLOOKUP($B46&amp;"; "&amp;$H$38&amp;", "&amp;H$39,'FE Déplacements'!$G:$U,13,FALSE)),0,VLOOKUP($B46&amp;"; "&amp;$H$38&amp;", "&amp;H$39,'FE Déplacements'!$G:$U,13,FALSE))</f>
        <v>0</v>
      </c>
      <c r="AP46" s="565">
        <v>0</v>
      </c>
      <c r="AQ46" s="565">
        <v>0</v>
      </c>
      <c r="AR46" s="565">
        <v>0</v>
      </c>
      <c r="AS46" s="1288">
        <f t="shared" ref="AS46:AS49" si="35">SUM(AG46,AJ46,AM46,AP46)</f>
        <v>0</v>
      </c>
      <c r="AT46" s="566">
        <f t="shared" ref="AT46:AT49" si="36">SUM(AH46,AK46,AN46,AQ46)</f>
        <v>0</v>
      </c>
      <c r="AU46" s="566">
        <f t="shared" ref="AU46:AU49" si="37">SUM(AI46,AL46,AO46,AR46)</f>
        <v>0</v>
      </c>
      <c r="AV46" s="564">
        <f>$G46*IF(ISNA(VLOOKUP($B46&amp;"; "&amp;$H$38&amp;", "&amp;I$39,'FE Déplacements'!$G:$U,15,FALSE)),0,VLOOKUP($B46&amp;"; "&amp;$H$38&amp;", "&amp;I$39,'FE Déplacements'!$G:$U,15,FALSE))</f>
        <v>0</v>
      </c>
      <c r="AW46" s="565">
        <f>$G46*IF(ISNA(VLOOKUP($B46&amp;"; "&amp;$H$38&amp;", "&amp;J$39,'FE Déplacements'!$G:$U,15,FALSE)),0,VLOOKUP($B46&amp;"; "&amp;$H$38&amp;", "&amp;J$39,'FE Déplacements'!$G:$U,15,FALSE))</f>
        <v>0</v>
      </c>
      <c r="AX46" s="568">
        <f>$G46*IF(ISNA(VLOOKUP($B46&amp;"; "&amp;$H$38&amp;", "&amp;H$39,'FE Déplacements'!$G:$U,15,FALSE)),0,VLOOKUP($B46&amp;"; "&amp;$H$38&amp;", "&amp;H$39,'FE Déplacements'!$G:$U,15,FALSE))</f>
        <v>0</v>
      </c>
      <c r="BH46" s="2232">
        <f>IF($Y46&lt;&gt;"votre valeur :",IF(ISNA(VLOOKUP($Y46,Utilitaires!$N$566:$O$571,2,FALSE)),,VLOOKUP($Y46,Utilitaires!$N$566:$O$571,2,FALSE)),$Z46)</f>
        <v>0</v>
      </c>
      <c r="BI46" s="2240">
        <f>IF(ISNA(SQRT(SUMSQ(VLOOKUP($B46&amp;"; "&amp;$H$38&amp;", "&amp;$H$39,'FE Déplacements'!$G:$U,7,FALSE),$BH46))),0,SQRT(SUMSQ(VLOOKUP($B46&amp;"; "&amp;$H$38&amp;", "&amp;$H$39,'FE Déplacements'!$G:$U,7,FALSE),$BH46)))</f>
        <v>0.7</v>
      </c>
      <c r="BJ46" s="2240">
        <f>IF(ISNA(SQRT(SUMSQ(VLOOKUP($B46&amp;"; "&amp;$H$38&amp;", "&amp;$I$39,'FE Déplacements'!$G:$U,7,FALSE),$BH46))),0,SQRT(SUMSQ(VLOOKUP($B46&amp;"; "&amp;$H$38&amp;", "&amp;$I$39,'FE Déplacements'!$G:$U,7,FALSE),$BH46)))</f>
        <v>0.7</v>
      </c>
      <c r="BK46" s="1130">
        <f>IF(ISNA(SQRT(SUMSQ(VLOOKUP($B46&amp;"; "&amp;$H$38&amp;", "&amp;$J$39,'FE Déplacements'!$G:$U,7,FALSE),$BH46))),0,SQRT(SUMSQ(VLOOKUP($B46&amp;"; "&amp;$H$38&amp;", "&amp;$J$39,'FE Déplacements'!$G:$U,7,FALSE),$BH46)))</f>
        <v>0.7</v>
      </c>
    </row>
    <row r="47" spans="2:63" outlineLevel="1">
      <c r="B47" s="180" t="s">
        <v>4042</v>
      </c>
      <c r="C47" s="379"/>
      <c r="D47" s="212">
        <f t="shared" si="22"/>
        <v>0</v>
      </c>
      <c r="E47" s="212"/>
      <c r="F47" s="530"/>
      <c r="G47" s="398"/>
      <c r="H47" s="410">
        <f>IF(ISNA(VLOOKUP($B47&amp;"; "&amp;$H$38&amp;", "&amp;$H$39,'FE Déplacements'!$G:$U,9,FALSE)),0,VLOOKUP($B47&amp;"; "&amp;$H$38&amp;", "&amp;$H$39,'FE Déplacements'!$G:$U,9,FALSE))</f>
        <v>5.7299999999999997E-2</v>
      </c>
      <c r="I47" s="410">
        <f>IF(ISNA(VLOOKUP($B47&amp;"; "&amp;$H$38&amp;", "&amp;$I$39,'FE Déplacements'!$G:$U,9,FALSE)),0,VLOOKUP($B47&amp;"; "&amp;$H$38&amp;", "&amp;$I$39,'FE Déplacements'!$G:$U,9,FALSE))</f>
        <v>1.44E-2</v>
      </c>
      <c r="J47" s="410">
        <f>IF(ISNA(VLOOKUP($B47&amp;"; "&amp;$H$38&amp;", "&amp;$J$39,'FE Déplacements'!$G:$U,9,FALSE)),0,VLOOKUP($B47&amp;"; "&amp;$H$38&amp;", "&amp;$J$39,'FE Déplacements'!$G:$U,9,FALSE))</f>
        <v>0</v>
      </c>
      <c r="K47" s="356">
        <f t="shared" si="32"/>
        <v>0</v>
      </c>
      <c r="L47" s="356">
        <f t="shared" si="33"/>
        <v>0</v>
      </c>
      <c r="M47" s="356">
        <f t="shared" si="34"/>
        <v>0</v>
      </c>
      <c r="N47" s="1286">
        <f>IF(OR(F47=Utilitaires!$I$572,F47=Utilitaires!$I$577),M47,0)</f>
        <v>0</v>
      </c>
      <c r="X47" s="1092">
        <f t="shared" si="26"/>
        <v>0</v>
      </c>
      <c r="Y47" s="343"/>
      <c r="Z47" s="820"/>
      <c r="AA47" s="164">
        <f t="shared" si="27"/>
        <v>0</v>
      </c>
      <c r="AB47" s="164">
        <f t="shared" si="27"/>
        <v>0</v>
      </c>
      <c r="AC47" s="164">
        <f>K47*BI47</f>
        <v>0</v>
      </c>
      <c r="AD47" s="152">
        <f t="shared" si="17"/>
        <v>0</v>
      </c>
      <c r="AE47" s="165">
        <f t="shared" si="28"/>
        <v>0</v>
      </c>
      <c r="AG47" s="564">
        <f>$G47*IF(ISNA(VLOOKUP($B47&amp;"; "&amp;$H$38&amp;", "&amp;I$39,'FE Déplacements'!$G:$U,10,FALSE)),0,VLOOKUP($B47&amp;"; "&amp;$H$38&amp;", "&amp;I$39,'FE Déplacements'!$G:$U,10,FALSE))</f>
        <v>0</v>
      </c>
      <c r="AH47" s="565">
        <f>$G47*IF(ISNA(VLOOKUP($B47&amp;"; "&amp;$H$38&amp;", "&amp;J$39,'FE Déplacements'!$G:$U,10,FALSE)),0,VLOOKUP($B47&amp;"; "&amp;$H$38&amp;", "&amp;J$39,'FE Déplacements'!$G:$U,10,FALSE))</f>
        <v>0</v>
      </c>
      <c r="AI47" s="565">
        <f>$G47*IF(ISNA(VLOOKUP($B47&amp;"; "&amp;$H$38&amp;", "&amp;H$39,'FE Déplacements'!$G:$U,10,FALSE)),0,VLOOKUP($B47&amp;"; "&amp;$H$38&amp;", "&amp;H$39,'FE Déplacements'!$G:$U,10,FALSE))</f>
        <v>0</v>
      </c>
      <c r="AJ47" s="565">
        <f>$G47*IF(ISNA((VLOOKUP($B47&amp;"; "&amp;$H$38&amp;", "&amp;I$39,'FE Déplacements'!$G:$U,12,FALSE)+VLOOKUP($B47&amp;"; "&amp;$H$38&amp;", "&amp;I$39,'FE Déplacements'!$G:$U,11,FALSE))),0,(VLOOKUP($B47&amp;"; "&amp;$H$38&amp;", "&amp;I$39,'FE Déplacements'!$G:$U,12,FALSE)+VLOOKUP($B47&amp;"; "&amp;$H$38&amp;", "&amp;I$39,'FE Déplacements'!$G:$U,11,FALSE)))</f>
        <v>0</v>
      </c>
      <c r="AK47" s="565">
        <f>$G47*IF(ISNA((VLOOKUP($B47&amp;"; "&amp;$H$38&amp;", "&amp;J$39,'FE Déplacements'!$G:$U,12,FALSE)+VLOOKUP($B47&amp;"; "&amp;$H$38&amp;", "&amp;J$39,'FE Déplacements'!$G:$U,11,FALSE))),0,(VLOOKUP($B47&amp;"; "&amp;$H$38&amp;", "&amp;J$39,'FE Déplacements'!$G:$U,12,FALSE)+VLOOKUP($B47&amp;"; "&amp;$H$38&amp;", "&amp;J$39,'FE Déplacements'!$G:$U,11,FALSE)))</f>
        <v>0</v>
      </c>
      <c r="AL47" s="565">
        <f>$G47*IF(ISNA((VLOOKUP($B47&amp;"; "&amp;$H$38&amp;", "&amp;H$39,'FE Déplacements'!$G:$U,12,FALSE)+VLOOKUP($B47&amp;"; "&amp;$H$38&amp;", "&amp;H$39,'FE Déplacements'!$G:$U,11,FALSE))),0,(VLOOKUP($B47&amp;"; "&amp;$H$38&amp;", "&amp;H$39,'FE Déplacements'!$G:$U,12,FALSE)+VLOOKUP($B47&amp;"; "&amp;$H$38&amp;", "&amp;H$39,'FE Déplacements'!$G:$U,11,FALSE)))</f>
        <v>0</v>
      </c>
      <c r="AM47" s="565">
        <f>$G47*IF(ISNA(VLOOKUP($B47&amp;"; "&amp;$H$38&amp;", "&amp;I$39,'FE Déplacements'!$G:$U,13,FALSE)),0,VLOOKUP($B47&amp;"; "&amp;$H$38&amp;", "&amp;I$39,'FE Déplacements'!$G:$U,13,FALSE))</f>
        <v>0</v>
      </c>
      <c r="AN47" s="565">
        <f>$G47*IF(ISNA(VLOOKUP($B47&amp;"; "&amp;$H$38&amp;", "&amp;J$39,'FE Déplacements'!$G:$U,13,FALSE)),0,VLOOKUP($B47&amp;"; "&amp;$H$38&amp;", "&amp;J$39,'FE Déplacements'!$G:$U,13,FALSE))</f>
        <v>0</v>
      </c>
      <c r="AO47" s="565">
        <f>$G47*IF(ISNA(VLOOKUP($B47&amp;"; "&amp;$H$38&amp;", "&amp;H$39,'FE Déplacements'!$G:$U,13,FALSE)),0,VLOOKUP($B47&amp;"; "&amp;$H$38&amp;", "&amp;H$39,'FE Déplacements'!$G:$U,13,FALSE))</f>
        <v>0</v>
      </c>
      <c r="AP47" s="565">
        <v>0</v>
      </c>
      <c r="AQ47" s="565">
        <v>0</v>
      </c>
      <c r="AR47" s="565">
        <v>0</v>
      </c>
      <c r="AS47" s="1288">
        <f t="shared" si="35"/>
        <v>0</v>
      </c>
      <c r="AT47" s="566">
        <f t="shared" si="36"/>
        <v>0</v>
      </c>
      <c r="AU47" s="566">
        <f t="shared" si="37"/>
        <v>0</v>
      </c>
      <c r="AV47" s="564">
        <f>$G47*IF(ISNA(VLOOKUP($B47&amp;"; "&amp;$H$38&amp;", "&amp;I$39,'FE Déplacements'!$G:$U,15,FALSE)),0,VLOOKUP($B47&amp;"; "&amp;$H$38&amp;", "&amp;I$39,'FE Déplacements'!$G:$U,15,FALSE))</f>
        <v>0</v>
      </c>
      <c r="AW47" s="565">
        <f>$G47*IF(ISNA(VLOOKUP($B47&amp;"; "&amp;$H$38&amp;", "&amp;J$39,'FE Déplacements'!$G:$U,15,FALSE)),0,VLOOKUP($B47&amp;"; "&amp;$H$38&amp;", "&amp;J$39,'FE Déplacements'!$G:$U,15,FALSE))</f>
        <v>0</v>
      </c>
      <c r="AX47" s="568">
        <f>$G47*IF(ISNA(VLOOKUP($B47&amp;"; "&amp;$H$38&amp;", "&amp;H$39,'FE Déplacements'!$G:$U,15,FALSE)),0,VLOOKUP($B47&amp;"; "&amp;$H$38&amp;", "&amp;H$39,'FE Déplacements'!$G:$U,15,FALSE))</f>
        <v>0</v>
      </c>
      <c r="BH47" s="2232">
        <f>IF($Y47&lt;&gt;"votre valeur :",IF(ISNA(VLOOKUP($Y47,Utilitaires!$N$566:$O$571,2,FALSE)),,VLOOKUP($Y47,Utilitaires!$N$566:$O$571,2,FALSE)),$Z47)</f>
        <v>0</v>
      </c>
      <c r="BI47" s="2240">
        <f>IF(ISNA(SQRT(SUMSQ(VLOOKUP($B47&amp;"; "&amp;$H$38&amp;", "&amp;$H$39,'FE Déplacements'!$G:$U,7,FALSE),$BH47))),0,SQRT(SUMSQ(VLOOKUP($B47&amp;"; "&amp;$H$38&amp;", "&amp;$H$39,'FE Déplacements'!$G:$U,7,FALSE),$BH47)))</f>
        <v>0.7</v>
      </c>
      <c r="BJ47" s="2240">
        <f>IF(ISNA(SQRT(SUMSQ(VLOOKUP($B47&amp;"; "&amp;$H$38&amp;", "&amp;$I$39,'FE Déplacements'!$G:$U,7,FALSE),$BH47))),0,SQRT(SUMSQ(VLOOKUP($B47&amp;"; "&amp;$H$38&amp;", "&amp;$I$39,'FE Déplacements'!$G:$U,7,FALSE),$BH47)))</f>
        <v>0.7</v>
      </c>
      <c r="BK47" s="1130">
        <f>IF(ISNA(SQRT(SUMSQ(VLOOKUP($B47&amp;"; "&amp;$H$38&amp;", "&amp;$J$39,'FE Déplacements'!$G:$U,7,FALSE),$BH47))),0,SQRT(SUMSQ(VLOOKUP($B47&amp;"; "&amp;$H$38&amp;", "&amp;$J$39,'FE Déplacements'!$G:$U,7,FALSE),$BH47)))</f>
        <v>0.7</v>
      </c>
    </row>
    <row r="48" spans="2:63" outlineLevel="1">
      <c r="B48" s="180" t="s">
        <v>4043</v>
      </c>
      <c r="C48" s="2230"/>
      <c r="D48" s="212">
        <f t="shared" si="22"/>
        <v>0</v>
      </c>
      <c r="E48" s="212"/>
      <c r="F48" s="530"/>
      <c r="G48" s="398"/>
      <c r="H48" s="410">
        <f>IF(ISNA(VLOOKUP($B48&amp;"; "&amp;$H$38&amp;", "&amp;$H$39,'FE Déplacements'!$G:$U,9,FALSE)),0,VLOOKUP($B48&amp;"; "&amp;$H$38&amp;", "&amp;$H$39,'FE Déplacements'!$G:$U,9,FALSE))</f>
        <v>3.61E-2</v>
      </c>
      <c r="I48" s="410">
        <f>IF(ISNA(VLOOKUP($B48&amp;"; "&amp;$H$38&amp;", "&amp;$I$39,'FE Déplacements'!$G:$U,9,FALSE)),0,VLOOKUP($B48&amp;"; "&amp;$H$38&amp;", "&amp;$I$39,'FE Déplacements'!$G:$U,9,FALSE))</f>
        <v>2.24E-2</v>
      </c>
      <c r="J48" s="410">
        <f>IF(ISNA(VLOOKUP($B48&amp;"; "&amp;$H$38&amp;", "&amp;$J$39,'FE Déplacements'!$G:$U,9,FALSE)),0,VLOOKUP($B48&amp;"; "&amp;$H$38&amp;", "&amp;$J$39,'FE Déplacements'!$G:$U,9,FALSE))</f>
        <v>0.113</v>
      </c>
      <c r="K48" s="356">
        <f t="shared" si="32"/>
        <v>0</v>
      </c>
      <c r="L48" s="356">
        <f t="shared" si="33"/>
        <v>0</v>
      </c>
      <c r="M48" s="356">
        <f t="shared" si="34"/>
        <v>0</v>
      </c>
      <c r="N48" s="1286">
        <f>IF(OR(F48=Utilitaires!$I$572,F48=Utilitaires!$I$577),M48,0)</f>
        <v>0</v>
      </c>
      <c r="X48" s="1092">
        <f t="shared" si="26"/>
        <v>0</v>
      </c>
      <c r="Y48" s="1094"/>
      <c r="Z48" s="820"/>
      <c r="AA48" s="164">
        <f t="shared" si="27"/>
        <v>0</v>
      </c>
      <c r="AB48" s="164">
        <f t="shared" si="27"/>
        <v>0</v>
      </c>
      <c r="AC48" s="164">
        <f>K48*BI48</f>
        <v>0</v>
      </c>
      <c r="AD48" s="152">
        <f t="shared" si="17"/>
        <v>0</v>
      </c>
      <c r="AE48" s="165">
        <f t="shared" si="28"/>
        <v>0</v>
      </c>
      <c r="AG48" s="564">
        <f>$G48*IF(ISNA(VLOOKUP($B48&amp;"; "&amp;$H$38&amp;", "&amp;I$39,'FE Déplacements'!$G:$U,10,FALSE)),0,VLOOKUP($B48&amp;"; "&amp;$H$38&amp;", "&amp;I$39,'FE Déplacements'!$G:$U,10,FALSE))</f>
        <v>0</v>
      </c>
      <c r="AH48" s="565">
        <f>$G48*IF(ISNA(VLOOKUP($B48&amp;"; "&amp;$H$38&amp;", "&amp;J$39,'FE Déplacements'!$G:$U,10,FALSE)),0,VLOOKUP($B48&amp;"; "&amp;$H$38&amp;", "&amp;J$39,'FE Déplacements'!$G:$U,10,FALSE))</f>
        <v>0</v>
      </c>
      <c r="AI48" s="565">
        <f>$G48*IF(ISNA(VLOOKUP($B48&amp;"; "&amp;$H$38&amp;", "&amp;H$39,'FE Déplacements'!$G:$U,10,FALSE)),0,VLOOKUP($B48&amp;"; "&amp;$H$38&amp;", "&amp;H$39,'FE Déplacements'!$G:$U,10,FALSE))</f>
        <v>0</v>
      </c>
      <c r="AJ48" s="565">
        <f>$G48*IF(ISNA((VLOOKUP($B48&amp;"; "&amp;$H$38&amp;", "&amp;I$39,'FE Déplacements'!$G:$U,12,FALSE)+VLOOKUP($B48&amp;"; "&amp;$H$38&amp;", "&amp;I$39,'FE Déplacements'!$G:$U,11,FALSE))),0,(VLOOKUP($B48&amp;"; "&amp;$H$38&amp;", "&amp;I$39,'FE Déplacements'!$G:$U,12,FALSE)+VLOOKUP($B48&amp;"; "&amp;$H$38&amp;", "&amp;I$39,'FE Déplacements'!$G:$U,11,FALSE)))</f>
        <v>0</v>
      </c>
      <c r="AK48" s="565">
        <f>$G48*IF(ISNA((VLOOKUP($B48&amp;"; "&amp;$H$38&amp;", "&amp;J$39,'FE Déplacements'!$G:$U,12,FALSE)+VLOOKUP($B48&amp;"; "&amp;$H$38&amp;", "&amp;J$39,'FE Déplacements'!$G:$U,11,FALSE))),0,(VLOOKUP($B48&amp;"; "&amp;$H$38&amp;", "&amp;J$39,'FE Déplacements'!$G:$U,12,FALSE)+VLOOKUP($B48&amp;"; "&amp;$H$38&amp;", "&amp;J$39,'FE Déplacements'!$G:$U,11,FALSE)))</f>
        <v>0</v>
      </c>
      <c r="AL48" s="565">
        <f>$G48*IF(ISNA((VLOOKUP($B48&amp;"; "&amp;$H$38&amp;", "&amp;H$39,'FE Déplacements'!$G:$U,12,FALSE)+VLOOKUP($B48&amp;"; "&amp;$H$38&amp;", "&amp;H$39,'FE Déplacements'!$G:$U,11,FALSE))),0,(VLOOKUP($B48&amp;"; "&amp;$H$38&amp;", "&amp;H$39,'FE Déplacements'!$G:$U,12,FALSE)+VLOOKUP($B48&amp;"; "&amp;$H$38&amp;", "&amp;H$39,'FE Déplacements'!$G:$U,11,FALSE)))</f>
        <v>0</v>
      </c>
      <c r="AM48" s="565">
        <f>$G48*IF(ISNA(VLOOKUP($B48&amp;"; "&amp;$H$38&amp;", "&amp;I$39,'FE Déplacements'!$G:$U,13,FALSE)),0,VLOOKUP($B48&amp;"; "&amp;$H$38&amp;", "&amp;I$39,'FE Déplacements'!$G:$U,13,FALSE))</f>
        <v>0</v>
      </c>
      <c r="AN48" s="565">
        <f>$G48*IF(ISNA(VLOOKUP($B48&amp;"; "&amp;$H$38&amp;", "&amp;J$39,'FE Déplacements'!$G:$U,13,FALSE)),0,VLOOKUP($B48&amp;"; "&amp;$H$38&amp;", "&amp;J$39,'FE Déplacements'!$G:$U,13,FALSE))</f>
        <v>0</v>
      </c>
      <c r="AO48" s="565">
        <f>$G48*IF(ISNA(VLOOKUP($B48&amp;"; "&amp;$H$38&amp;", "&amp;H$39,'FE Déplacements'!$G:$U,13,FALSE)),0,VLOOKUP($B48&amp;"; "&amp;$H$38&amp;", "&amp;H$39,'FE Déplacements'!$G:$U,13,FALSE))</f>
        <v>0</v>
      </c>
      <c r="AP48" s="565">
        <v>0</v>
      </c>
      <c r="AQ48" s="565">
        <v>0</v>
      </c>
      <c r="AR48" s="565">
        <v>0</v>
      </c>
      <c r="AS48" s="1288">
        <f t="shared" si="35"/>
        <v>0</v>
      </c>
      <c r="AT48" s="566">
        <f t="shared" si="36"/>
        <v>0</v>
      </c>
      <c r="AU48" s="566">
        <f t="shared" si="37"/>
        <v>0</v>
      </c>
      <c r="AV48" s="564">
        <f>$G48*IF(ISNA(VLOOKUP($B48&amp;"; "&amp;$H$38&amp;", "&amp;I$39,'FE Déplacements'!$G:$U,15,FALSE)),0,VLOOKUP($B48&amp;"; "&amp;$H$38&amp;", "&amp;I$39,'FE Déplacements'!$G:$U,15,FALSE))</f>
        <v>0</v>
      </c>
      <c r="AW48" s="565">
        <f>$G48*IF(ISNA(VLOOKUP($B48&amp;"; "&amp;$H$38&amp;", "&amp;J$39,'FE Déplacements'!$G:$U,15,FALSE)),0,VLOOKUP($B48&amp;"; "&amp;$H$38&amp;", "&amp;J$39,'FE Déplacements'!$G:$U,15,FALSE))</f>
        <v>0</v>
      </c>
      <c r="AX48" s="568">
        <f>$G48*IF(ISNA(VLOOKUP($B48&amp;"; "&amp;$H$38&amp;", "&amp;H$39,'FE Déplacements'!$G:$U,15,FALSE)),0,VLOOKUP($B48&amp;"; "&amp;$H$38&amp;", "&amp;H$39,'FE Déplacements'!$G:$U,15,FALSE))</f>
        <v>0</v>
      </c>
      <c r="BH48" s="2232">
        <f>IF($Y48&lt;&gt;"votre valeur :",IF(ISNA(VLOOKUP($Y48,Utilitaires!$N$566:$O$571,2,FALSE)),,VLOOKUP($Y48,Utilitaires!$N$566:$O$571,2,FALSE)),$Z48)</f>
        <v>0</v>
      </c>
      <c r="BI48" s="2240">
        <f>IF(ISNA(SQRT(SUMSQ(VLOOKUP($B48&amp;"; "&amp;$H$38&amp;", "&amp;$H$39,'FE Déplacements'!$G:$U,7,FALSE),$BH48))),0,SQRT(SUMSQ(VLOOKUP($B48&amp;"; "&amp;$H$38&amp;", "&amp;$H$39,'FE Déplacements'!$G:$U,7,FALSE),$BH48)))</f>
        <v>0.7</v>
      </c>
      <c r="BJ48" s="2240">
        <f>IF(ISNA(SQRT(SUMSQ(VLOOKUP($B48&amp;"; "&amp;$H$38&amp;", "&amp;$I$39,'FE Déplacements'!$G:$U,7,FALSE),$BH48))),0,SQRT(SUMSQ(VLOOKUP($B48&amp;"; "&amp;$H$38&amp;", "&amp;$I$39,'FE Déplacements'!$G:$U,7,FALSE),$BH48)))</f>
        <v>0.7</v>
      </c>
      <c r="BK48" s="1130">
        <f>IF(ISNA(SQRT(SUMSQ(VLOOKUP($B48&amp;"; "&amp;$H$38&amp;", "&amp;$J$39,'FE Déplacements'!$G:$U,7,FALSE),$BH48))),0,SQRT(SUMSQ(VLOOKUP($B48&amp;"; "&amp;$H$38&amp;", "&amp;$J$39,'FE Déplacements'!$G:$U,7,FALSE),$BH48)))</f>
        <v>0.7</v>
      </c>
    </row>
    <row r="49" spans="2:63" outlineLevel="1">
      <c r="B49" s="180" t="s">
        <v>4040</v>
      </c>
      <c r="C49" s="2230"/>
      <c r="D49" s="212">
        <f t="shared" si="22"/>
        <v>0</v>
      </c>
      <c r="E49" s="212"/>
      <c r="F49" s="347"/>
      <c r="G49" s="123"/>
      <c r="H49" s="410">
        <f>IF(ISNA(VLOOKUP($B49&amp;"; "&amp;$H$38&amp;", "&amp;$H$39,'FE Déplacements'!$G:$U,9,FALSE)),0,VLOOKUP($B49&amp;"; "&amp;$H$38&amp;", "&amp;$H$39,'FE Déplacements'!$G:$U,9,FALSE))</f>
        <v>0.112</v>
      </c>
      <c r="I49" s="410">
        <f>IF(ISNA(VLOOKUP($B49&amp;"; "&amp;$H$38&amp;", "&amp;$I$39,'FE Déplacements'!$G:$U,9,FALSE)),0,VLOOKUP($B49&amp;"; "&amp;$H$38&amp;", "&amp;$I$39,'FE Déplacements'!$G:$U,9,FALSE))</f>
        <v>2.7300000000000001E-2</v>
      </c>
      <c r="J49" s="410">
        <f>IF(ISNA(VLOOKUP($B49&amp;"; "&amp;$H$38&amp;", "&amp;$J$39,'FE Déplacements'!$G:$U,9,FALSE)),0,VLOOKUP($B49&amp;"; "&amp;$H$38&amp;", "&amp;$J$39,'FE Déplacements'!$G:$U,9,FALSE))</f>
        <v>0</v>
      </c>
      <c r="K49" s="356">
        <f t="shared" si="32"/>
        <v>0</v>
      </c>
      <c r="L49" s="356">
        <f t="shared" si="33"/>
        <v>0</v>
      </c>
      <c r="M49" s="356">
        <f t="shared" si="34"/>
        <v>0</v>
      </c>
      <c r="N49" s="1286">
        <f>IF(OR(F49=Utilitaires!$I$572,F49=Utilitaires!$I$577),M49,0)</f>
        <v>0</v>
      </c>
      <c r="X49" s="1092"/>
      <c r="Y49" s="820"/>
      <c r="Z49" s="820"/>
      <c r="AA49" s="164"/>
      <c r="AB49" s="164"/>
      <c r="AC49" s="164"/>
      <c r="AD49" s="152"/>
      <c r="AE49" s="165"/>
      <c r="AG49" s="564">
        <f>$G49*IF(ISNA(VLOOKUP($B49&amp;"; "&amp;$H$38&amp;", "&amp;I$39,'FE Déplacements'!$G:$U,10,FALSE)),0,VLOOKUP($B49&amp;"; "&amp;$H$38&amp;", "&amp;I$39,'FE Déplacements'!$G:$U,10,FALSE))</f>
        <v>0</v>
      </c>
      <c r="AH49" s="565">
        <f>$G49*IF(ISNA(VLOOKUP($B49&amp;"; "&amp;$H$38&amp;", "&amp;J$39,'FE Déplacements'!$G:$U,10,FALSE)),0,VLOOKUP($B49&amp;"; "&amp;$H$38&amp;", "&amp;J$39,'FE Déplacements'!$G:$U,10,FALSE))</f>
        <v>0</v>
      </c>
      <c r="AI49" s="565">
        <f>$G49*IF(ISNA(VLOOKUP($B49&amp;"; "&amp;$H$38&amp;", "&amp;H$39,'FE Déplacements'!$G:$U,10,FALSE)),0,VLOOKUP($B49&amp;"; "&amp;$H$38&amp;", "&amp;H$39,'FE Déplacements'!$G:$U,10,FALSE))</f>
        <v>0</v>
      </c>
      <c r="AJ49" s="565">
        <f>$G49*IF(ISNA((VLOOKUP($B49&amp;"; "&amp;$H$38&amp;", "&amp;I$39,'FE Déplacements'!$G:$U,12,FALSE)+VLOOKUP($B49&amp;"; "&amp;$H$38&amp;", "&amp;I$39,'FE Déplacements'!$G:$U,11,FALSE))),0,(VLOOKUP($B49&amp;"; "&amp;$H$38&amp;", "&amp;I$39,'FE Déplacements'!$G:$U,12,FALSE)+VLOOKUP($B49&amp;"; "&amp;$H$38&amp;", "&amp;I$39,'FE Déplacements'!$G:$U,11,FALSE)))</f>
        <v>0</v>
      </c>
      <c r="AK49" s="565">
        <f>$G49*IF(ISNA((VLOOKUP($B49&amp;"; "&amp;$H$38&amp;", "&amp;J$39,'FE Déplacements'!$G:$U,12,FALSE)+VLOOKUP($B49&amp;"; "&amp;$H$38&amp;", "&amp;J$39,'FE Déplacements'!$G:$U,11,FALSE))),0,(VLOOKUP($B49&amp;"; "&amp;$H$38&amp;", "&amp;J$39,'FE Déplacements'!$G:$U,12,FALSE)+VLOOKUP($B49&amp;"; "&amp;$H$38&amp;", "&amp;J$39,'FE Déplacements'!$G:$U,11,FALSE)))</f>
        <v>0</v>
      </c>
      <c r="AL49" s="565">
        <f>$G49*IF(ISNA((VLOOKUP($B49&amp;"; "&amp;$H$38&amp;", "&amp;H$39,'FE Déplacements'!$G:$U,12,FALSE)+VLOOKUP($B49&amp;"; "&amp;$H$38&amp;", "&amp;H$39,'FE Déplacements'!$G:$U,11,FALSE))),0,(VLOOKUP($B49&amp;"; "&amp;$H$38&amp;", "&amp;H$39,'FE Déplacements'!$G:$U,12,FALSE)+VLOOKUP($B49&amp;"; "&amp;$H$38&amp;", "&amp;H$39,'FE Déplacements'!$G:$U,11,FALSE)))</f>
        <v>0</v>
      </c>
      <c r="AM49" s="565">
        <f>$G49*IF(ISNA(VLOOKUP($B49&amp;"; "&amp;$H$38&amp;", "&amp;I$39,'FE Déplacements'!$G:$U,13,FALSE)),0,VLOOKUP($B49&amp;"; "&amp;$H$38&amp;", "&amp;I$39,'FE Déplacements'!$G:$U,13,FALSE))</f>
        <v>0</v>
      </c>
      <c r="AN49" s="565">
        <f>$G49*IF(ISNA(VLOOKUP($B49&amp;"; "&amp;$H$38&amp;", "&amp;J$39,'FE Déplacements'!$G:$U,13,FALSE)),0,VLOOKUP($B49&amp;"; "&amp;$H$38&amp;", "&amp;J$39,'FE Déplacements'!$G:$U,13,FALSE))</f>
        <v>0</v>
      </c>
      <c r="AO49" s="565">
        <f>$G49*IF(ISNA(VLOOKUP($B49&amp;"; "&amp;$H$38&amp;", "&amp;H$39,'FE Déplacements'!$G:$U,13,FALSE)),0,VLOOKUP($B49&amp;"; "&amp;$H$38&amp;", "&amp;H$39,'FE Déplacements'!$G:$U,13,FALSE))</f>
        <v>0</v>
      </c>
      <c r="AP49" s="565">
        <v>0</v>
      </c>
      <c r="AQ49" s="565">
        <v>0</v>
      </c>
      <c r="AR49" s="565">
        <v>0</v>
      </c>
      <c r="AS49" s="1288">
        <f t="shared" si="35"/>
        <v>0</v>
      </c>
      <c r="AT49" s="566">
        <f t="shared" si="36"/>
        <v>0</v>
      </c>
      <c r="AU49" s="566">
        <f t="shared" si="37"/>
        <v>0</v>
      </c>
      <c r="AV49" s="564">
        <f>$G49*IF(ISNA(VLOOKUP($B49&amp;"; "&amp;$H$38&amp;", "&amp;I$39,'FE Déplacements'!$G:$U,15,FALSE)),0,VLOOKUP($B49&amp;"; "&amp;$H$38&amp;", "&amp;I$39,'FE Déplacements'!$G:$U,15,FALSE))</f>
        <v>0</v>
      </c>
      <c r="AW49" s="565">
        <f>$G49*IF(ISNA(VLOOKUP($B49&amp;"; "&amp;$H$38&amp;", "&amp;J$39,'FE Déplacements'!$G:$U,15,FALSE)),0,VLOOKUP($B49&amp;"; "&amp;$H$38&amp;", "&amp;J$39,'FE Déplacements'!$G:$U,15,FALSE))</f>
        <v>0</v>
      </c>
      <c r="AX49" s="568">
        <f>$G49*IF(ISNA(VLOOKUP($B49&amp;"; "&amp;$H$38&amp;", "&amp;H$39,'FE Déplacements'!$G:$U,15,FALSE)),0,VLOOKUP($B49&amp;"; "&amp;$H$38&amp;", "&amp;H$39,'FE Déplacements'!$G:$U,15,FALSE))</f>
        <v>0</v>
      </c>
      <c r="BH49" s="2232">
        <f>IF($Y49&lt;&gt;"votre valeur :",IF(ISNA(VLOOKUP($Y49,Utilitaires!$N$566:$O$571,2,FALSE)),,VLOOKUP($Y49,Utilitaires!$N$566:$O$571,2,FALSE)),$Z49)</f>
        <v>0</v>
      </c>
      <c r="BI49" s="2240">
        <f>IF(ISNA(SQRT(SUMSQ(VLOOKUP($B49&amp;"; "&amp;$H$38&amp;", "&amp;$H$39,'FE Déplacements'!$G:$U,7,FALSE),$BH49))),0,SQRT(SUMSQ(VLOOKUP($B49&amp;"; "&amp;$H$38&amp;", "&amp;$H$39,'FE Déplacements'!$G:$U,7,FALSE),$BH49)))</f>
        <v>0.7</v>
      </c>
      <c r="BJ49" s="2240">
        <f>IF(ISNA(SQRT(SUMSQ(VLOOKUP($B49&amp;"; "&amp;$H$38&amp;", "&amp;$I$39,'FE Déplacements'!$G:$U,7,FALSE),$BH49))),0,SQRT(SUMSQ(VLOOKUP($B49&amp;"; "&amp;$H$38&amp;", "&amp;$I$39,'FE Déplacements'!$G:$U,7,FALSE),$BH49)))</f>
        <v>0.7</v>
      </c>
      <c r="BK49" s="1130">
        <f>IF(ISNA(SQRT(SUMSQ(VLOOKUP($B49&amp;"; "&amp;$H$38&amp;", "&amp;$J$39,'FE Déplacements'!$G:$U,7,FALSE),$BH49))),0,SQRT(SUMSQ(VLOOKUP($B49&amp;"; "&amp;$H$38&amp;", "&amp;$J$39,'FE Déplacements'!$G:$U,7,FALSE),$BH49)))</f>
        <v>0.7</v>
      </c>
    </row>
    <row r="50" spans="2:63" outlineLevel="1">
      <c r="B50" s="180"/>
      <c r="C50" s="2230"/>
      <c r="D50" s="212"/>
      <c r="E50" s="356"/>
      <c r="F50" s="356"/>
      <c r="G50" s="356"/>
      <c r="H50" s="410"/>
      <c r="I50" s="410"/>
      <c r="J50" s="410"/>
      <c r="K50" s="356"/>
      <c r="L50" s="356"/>
      <c r="M50" s="356"/>
      <c r="N50" s="1286"/>
      <c r="X50" s="1092"/>
      <c r="Y50" s="820"/>
      <c r="Z50" s="820"/>
      <c r="AA50" s="164"/>
      <c r="AB50" s="164"/>
      <c r="AC50" s="164"/>
      <c r="AD50" s="152"/>
      <c r="AE50" s="165"/>
      <c r="AG50" s="564"/>
      <c r="AH50" s="565"/>
      <c r="AI50" s="565"/>
      <c r="AJ50" s="565"/>
      <c r="AK50" s="565"/>
      <c r="AL50" s="565"/>
      <c r="AM50" s="565"/>
      <c r="AN50" s="565"/>
      <c r="AO50" s="565"/>
      <c r="AP50" s="565"/>
      <c r="AQ50" s="565"/>
      <c r="AR50" s="565"/>
      <c r="AS50" s="1288"/>
      <c r="AT50" s="566"/>
      <c r="AU50" s="566"/>
      <c r="AV50" s="564"/>
      <c r="AW50" s="565"/>
      <c r="AX50" s="568"/>
      <c r="BH50" s="2232"/>
      <c r="BI50" s="2240"/>
      <c r="BJ50" s="2240"/>
      <c r="BK50" s="1130"/>
    </row>
    <row r="51" spans="2:63" ht="12.75" customHeight="1" outlineLevel="1">
      <c r="B51" s="180"/>
      <c r="C51" s="2230"/>
      <c r="D51" s="212"/>
      <c r="E51" s="212"/>
      <c r="F51" s="410"/>
      <c r="G51" s="410"/>
      <c r="H51" s="2852" t="s">
        <v>2224</v>
      </c>
      <c r="I51" s="2852"/>
      <c r="J51" s="2852"/>
      <c r="K51" s="356"/>
      <c r="L51" s="356"/>
      <c r="M51" s="356"/>
      <c r="N51" s="1286"/>
      <c r="X51" s="1092"/>
      <c r="Y51" s="820"/>
      <c r="Z51" s="820"/>
      <c r="AA51" s="164"/>
      <c r="AB51" s="164"/>
      <c r="AC51" s="164"/>
      <c r="AD51" s="152"/>
      <c r="AE51" s="165"/>
      <c r="AG51" s="564"/>
      <c r="AH51" s="565"/>
      <c r="AI51" s="565"/>
      <c r="AJ51" s="565"/>
      <c r="AK51" s="565"/>
      <c r="AL51" s="565"/>
      <c r="AM51" s="565"/>
      <c r="AN51" s="565"/>
      <c r="AO51" s="565"/>
      <c r="AP51" s="565"/>
      <c r="AQ51" s="565"/>
      <c r="AR51" s="565"/>
      <c r="AS51" s="1288"/>
      <c r="AT51" s="566"/>
      <c r="AU51" s="566"/>
      <c r="AV51" s="564"/>
      <c r="AW51" s="565"/>
      <c r="AX51" s="568"/>
      <c r="BH51" s="2232"/>
      <c r="BI51" s="2240"/>
      <c r="BJ51" s="2240"/>
      <c r="BK51" s="1130"/>
    </row>
    <row r="52" spans="2:63" outlineLevel="1">
      <c r="B52" s="536" t="s">
        <v>4044</v>
      </c>
      <c r="C52" s="2230"/>
      <c r="D52" s="212"/>
      <c r="E52" s="212"/>
      <c r="F52" s="410"/>
      <c r="G52" s="410"/>
      <c r="H52" s="1662" t="s">
        <v>422</v>
      </c>
      <c r="I52" s="1662" t="s">
        <v>411</v>
      </c>
      <c r="J52" s="1662" t="s">
        <v>257</v>
      </c>
      <c r="K52" s="356"/>
      <c r="L52" s="356"/>
      <c r="M52" s="356"/>
      <c r="N52" s="1286"/>
      <c r="X52" s="1092"/>
      <c r="Y52" s="820"/>
      <c r="Z52" s="820"/>
      <c r="AA52" s="164"/>
      <c r="AB52" s="164"/>
      <c r="AC52" s="164"/>
      <c r="AD52" s="152"/>
      <c r="AE52" s="165"/>
      <c r="AG52" s="564"/>
      <c r="AH52" s="565"/>
      <c r="AI52" s="565"/>
      <c r="AJ52" s="565"/>
      <c r="AK52" s="565"/>
      <c r="AL52" s="565"/>
      <c r="AM52" s="565"/>
      <c r="AN52" s="565"/>
      <c r="AO52" s="565"/>
      <c r="AP52" s="565"/>
      <c r="AQ52" s="565"/>
      <c r="AR52" s="565"/>
      <c r="AS52" s="1288"/>
      <c r="AT52" s="566"/>
      <c r="AU52" s="566"/>
      <c r="AV52" s="564"/>
      <c r="AW52" s="565"/>
      <c r="AX52" s="568"/>
      <c r="BH52" s="2232"/>
      <c r="BI52" s="2240"/>
      <c r="BJ52" s="2240"/>
      <c r="BK52" s="1130"/>
    </row>
    <row r="53" spans="2:63" outlineLevel="1">
      <c r="B53" s="180" t="s">
        <v>5210</v>
      </c>
      <c r="C53" s="2230"/>
      <c r="D53" s="212">
        <f t="shared" si="22"/>
        <v>6151.3325999999997</v>
      </c>
      <c r="E53" s="212"/>
      <c r="F53" s="409" t="s">
        <v>528</v>
      </c>
      <c r="G53" s="117">
        <v>35231</v>
      </c>
      <c r="H53" s="410">
        <f>IF(ISNA(VLOOKUP($B53&amp;"; "&amp;$H$51&amp;", "&amp;$H$52,'FE Déplacements'!$G:$U,9,FALSE)),0,VLOOKUP($B53&amp;"; "&amp;$H$51&amp;", "&amp;$H$52,'FE Déplacements'!$G:$U,9,FALSE))</f>
        <v>2.5600000000000001E-2</v>
      </c>
      <c r="I53" s="410">
        <f>IF(ISNA(VLOOKUP($B53&amp;"; "&amp;$H$51&amp;", "&amp;$I$52,'FE Déplacements'!$G:$U,9,FALSE)),0,VLOOKUP($B53&amp;"; "&amp;$H$51&amp;", "&amp;$I$52,'FE Déplacements'!$G:$U,9,FALSE))</f>
        <v>2.7E-2</v>
      </c>
      <c r="J53" s="410">
        <f>IF(ISNA(VLOOKUP($B53&amp;"; "&amp;$H$51&amp;", "&amp;$J$52,'FE Déplacements'!$G:$U,9,FALSE)),0,VLOOKUP($B53&amp;"; "&amp;$H$51&amp;", "&amp;$J$52,'FE Déplacements'!$G:$U,9,FALSE))</f>
        <v>0.122</v>
      </c>
      <c r="K53" s="356">
        <f t="shared" ref="K53:K58" si="38">G53*H53</f>
        <v>901.91360000000009</v>
      </c>
      <c r="L53" s="356">
        <f t="shared" ref="L53:L58" si="39">G53*I53</f>
        <v>951.23699999999997</v>
      </c>
      <c r="M53" s="356">
        <f t="shared" ref="M53:M58" si="40">G53*J53</f>
        <v>4298.1819999999998</v>
      </c>
      <c r="N53" s="1286">
        <f>IF(OR(F53=Utilitaires!$I$572,F53=Utilitaires!$I$577),M53,0)</f>
        <v>0</v>
      </c>
      <c r="X53" s="1092">
        <f>IF(AD53=0,AD53,AD53/D53)</f>
        <v>0.43830749606523722</v>
      </c>
      <c r="Y53" s="343"/>
      <c r="Z53" s="820"/>
      <c r="AA53" s="164">
        <f t="shared" ref="AA53:AB58" si="41">L53*BJ53</f>
        <v>570.74219999999991</v>
      </c>
      <c r="AB53" s="164">
        <f t="shared" si="41"/>
        <v>2578.9091999999996</v>
      </c>
      <c r="AC53" s="164">
        <f t="shared" ref="AC53:AC58" si="42">K53*BI53</f>
        <v>541.14816000000008</v>
      </c>
      <c r="AD53" s="152">
        <f t="shared" si="17"/>
        <v>2696.1751893704654</v>
      </c>
      <c r="AE53" s="165">
        <f t="shared" si="28"/>
        <v>0</v>
      </c>
      <c r="AG53" s="564">
        <f>$G53*IF(ISNA(VLOOKUP($B53&amp;"; "&amp;$H$51&amp;", "&amp;I$52,'FE Déplacements'!$G:$U,10,FALSE)),0,VLOOKUP($B53&amp;"; "&amp;$H$51&amp;", "&amp;I$52,'FE Déplacements'!$G:$U,10,FALSE))</f>
        <v>951.23699999999997</v>
      </c>
      <c r="AH53" s="565">
        <f>$G53*IF(ISNA(VLOOKUP($B53&amp;"; "&amp;$H$51&amp;", "&amp;J$52,'FE Déplacements'!$G:$U,10,FALSE)),0,VLOOKUP($B53&amp;"; "&amp;$H$51&amp;", "&amp;J$52,'FE Déplacements'!$G:$U,10,FALSE))</f>
        <v>4298.1819999999998</v>
      </c>
      <c r="AI53" s="565">
        <f>$G53*IF(ISNA(VLOOKUP($B53&amp;"; "&amp;$H$51&amp;", "&amp;H$52,'FE Déplacements'!$G:$U,10,FALSE)),0,VLOOKUP($B53&amp;"; "&amp;$H$51&amp;", "&amp;H$52,'FE Déplacements'!$G:$U,10,FALSE))</f>
        <v>901.91360000000009</v>
      </c>
      <c r="AJ53" s="565">
        <f>$G53*IF(ISNA((VLOOKUP($B53&amp;"; "&amp;$H$51&amp;", "&amp;I$52,'FE Déplacements'!$G:$U,12,FALSE)+VLOOKUP($B53&amp;"; "&amp;$H$51&amp;", "&amp;I$52,'FE Déplacements'!$G:$U,11,FALSE))),0,(VLOOKUP($B53&amp;"; "&amp;$H$51&amp;", "&amp;I$52,'FE Déplacements'!$G:$U,12,FALSE)+VLOOKUP($B53&amp;"; "&amp;$H$51&amp;", "&amp;I$52,'FE Déplacements'!$G:$U,11,FALSE)))</f>
        <v>0</v>
      </c>
      <c r="AK53" s="565">
        <f>$G53*IF(ISNA((VLOOKUP($B53&amp;"; "&amp;$H$51&amp;", "&amp;J$52,'FE Déplacements'!$G:$U,12,FALSE)+VLOOKUP($B53&amp;"; "&amp;$H$51&amp;", "&amp;J$52,'FE Déplacements'!$G:$U,11,FALSE))),0,(VLOOKUP($B53&amp;"; "&amp;$H$51&amp;", "&amp;J$52,'FE Déplacements'!$G:$U,12,FALSE)+VLOOKUP($B53&amp;"; "&amp;$H$51&amp;", "&amp;J$52,'FE Déplacements'!$G:$U,11,FALSE)))</f>
        <v>0</v>
      </c>
      <c r="AL53" s="565">
        <f>$G53*IF(ISNA((VLOOKUP($B53&amp;"; "&amp;$H$51&amp;", "&amp;H$52,'FE Déplacements'!$G:$U,12,FALSE)+VLOOKUP($B53&amp;"; "&amp;$H$51&amp;", "&amp;H$52,'FE Déplacements'!$G:$U,11,FALSE))),0,(VLOOKUP($B53&amp;"; "&amp;$H$51&amp;", "&amp;H$52,'FE Déplacements'!$G:$U,12,FALSE)+VLOOKUP($B53&amp;"; "&amp;$H$51&amp;", "&amp;H$52,'FE Déplacements'!$G:$U,11,FALSE)))</f>
        <v>0</v>
      </c>
      <c r="AM53" s="565">
        <f>$G53*IF(ISNA(VLOOKUP($B53&amp;"; "&amp;$H$51&amp;", "&amp;I$52,'FE Déplacements'!$G:$U,13,FALSE)),0,VLOOKUP($B53&amp;"; "&amp;$H$51&amp;", "&amp;I$52,'FE Déplacements'!$G:$U,13,FALSE))</f>
        <v>0</v>
      </c>
      <c r="AN53" s="565">
        <f>$G53*IF(ISNA(VLOOKUP($B53&amp;"; "&amp;$H$51&amp;", "&amp;J$52,'FE Déplacements'!$G:$U,13,FALSE)),0,VLOOKUP($B53&amp;"; "&amp;$H$51&amp;", "&amp;J$52,'FE Déplacements'!$G:$U,13,FALSE))</f>
        <v>0</v>
      </c>
      <c r="AO53" s="565">
        <f>$G53*IF(ISNA(VLOOKUP($B53&amp;"; "&amp;$H$51&amp;", "&amp;H$52,'FE Déplacements'!$G:$U,13,FALSE)),0,VLOOKUP($B53&amp;"; "&amp;$H$51&amp;", "&amp;H$52,'FE Déplacements'!$G:$U,13,FALSE))</f>
        <v>0</v>
      </c>
      <c r="AP53" s="565">
        <v>0</v>
      </c>
      <c r="AQ53" s="565">
        <v>0</v>
      </c>
      <c r="AR53" s="565">
        <v>0</v>
      </c>
      <c r="AS53" s="1288">
        <f t="shared" ref="AS53:AS58" si="43">SUM(AG53,AJ53,AM53,AP53)</f>
        <v>951.23699999999997</v>
      </c>
      <c r="AT53" s="566">
        <f t="shared" ref="AT53:AT58" si="44">SUM(AH53,AK53,AN53,AQ53)</f>
        <v>4298.1819999999998</v>
      </c>
      <c r="AU53" s="566">
        <f t="shared" ref="AU53:AU58" si="45">SUM(AI53,AL53,AO53,AR53)</f>
        <v>901.91360000000009</v>
      </c>
      <c r="AV53" s="564">
        <f>$G53*IF(ISNA(VLOOKUP($B53&amp;"; "&amp;$H$51&amp;", "&amp;I$52,'FE Déplacements'!$G:$U,15,FALSE)),0,VLOOKUP($B53&amp;"; "&amp;$H$51&amp;", "&amp;I$52,'FE Déplacements'!$G:$U,15,FALSE))</f>
        <v>0</v>
      </c>
      <c r="AW53" s="565">
        <f>$G53*IF(ISNA(VLOOKUP($B53&amp;"; "&amp;$H$51&amp;", "&amp;J$52,'FE Déplacements'!$G:$U,15,FALSE)),0,VLOOKUP($B53&amp;"; "&amp;$H$51&amp;", "&amp;J$52,'FE Déplacements'!$G:$U,15,FALSE))</f>
        <v>0</v>
      </c>
      <c r="AX53" s="568">
        <f>$G53*IF(ISNA(VLOOKUP($B53&amp;"; "&amp;$H$51&amp;", "&amp;H$52,'FE Déplacements'!$G:$U,15,FALSE)),0,VLOOKUP($B53&amp;"; "&amp;$H$51&amp;", "&amp;H$52,'FE Déplacements'!$G:$U,15,FALSE))</f>
        <v>0</v>
      </c>
      <c r="BH53" s="2232">
        <f>IF($Y53&lt;&gt;"votre valeur :",IF(ISNA(VLOOKUP($Y53,Utilitaires!$N$566:$O$571,2,FALSE)),,VLOOKUP($Y53,Utilitaires!$N$566:$O$571,2,FALSE)),$Z53)</f>
        <v>0</v>
      </c>
      <c r="BI53" s="2240">
        <f>IF(ISNA(SQRT(SUMSQ(VLOOKUP($B53&amp;"; "&amp;$H$51&amp;", "&amp;$H$52,'FE Déplacements'!$G:$U,7,FALSE),$BH53))),0,SQRT(SUMSQ(VLOOKUP($B53&amp;"; "&amp;$H$51&amp;", "&amp;$H$52,'FE Déplacements'!$G:$U,7,FALSE),$BH53)))</f>
        <v>0.6</v>
      </c>
      <c r="BJ53" s="2240">
        <f>IF(ISNA(SQRT(SUMSQ(VLOOKUP($B53&amp;"; "&amp;$H$51&amp;", "&amp;$I$52,'FE Déplacements'!$G:$U,7,FALSE),$BH53))),0,SQRT(SUMSQ(VLOOKUP($B53&amp;"; "&amp;$H$51&amp;", "&amp;$I$52,'FE Déplacements'!$G:$U,7,FALSE),$BH53)))</f>
        <v>0.6</v>
      </c>
      <c r="BK53" s="1130">
        <f>IF(ISNA(SQRT(SUMSQ(VLOOKUP($B53&amp;"; "&amp;$H$51&amp;", "&amp;$J$52,'FE Déplacements'!$G:$U,7,FALSE),$BH53))),0,SQRT(SUMSQ(VLOOKUP($B53&amp;"; "&amp;$H$51&amp;", "&amp;$J$52,'FE Déplacements'!$G:$U,7,FALSE),$BH53)))</f>
        <v>0.6</v>
      </c>
    </row>
    <row r="54" spans="2:63" outlineLevel="1">
      <c r="B54" s="180" t="s">
        <v>4046</v>
      </c>
      <c r="C54" s="2230"/>
      <c r="D54" s="212">
        <f t="shared" si="22"/>
        <v>26996.096400000002</v>
      </c>
      <c r="E54" s="212"/>
      <c r="F54" s="530" t="s">
        <v>528</v>
      </c>
      <c r="G54" s="398">
        <v>247217</v>
      </c>
      <c r="H54" s="410">
        <f>IF(ISNA(VLOOKUP($B54&amp;"; "&amp;$H$51&amp;", "&amp;$H$52,'FE Déplacements'!$G:$U,9,FALSE)),0,VLOOKUP($B54&amp;"; "&amp;$H$51&amp;", "&amp;$H$52,'FE Déplacements'!$G:$U,9,FALSE))</f>
        <v>2.5600000000000001E-2</v>
      </c>
      <c r="I54" s="410">
        <f>IF(ISNA(VLOOKUP($B54&amp;"; "&amp;$H$51&amp;", "&amp;$I$52,'FE Déplacements'!$G:$U,9,FALSE)),0,VLOOKUP($B54&amp;"; "&amp;$H$51&amp;", "&amp;$I$52,'FE Déplacements'!$G:$U,9,FALSE))</f>
        <v>1.5100000000000001E-2</v>
      </c>
      <c r="J54" s="410">
        <f>IF(ISNA(VLOOKUP($B54&amp;"; "&amp;$H$51&amp;", "&amp;$J$52,'FE Déplacements'!$G:$U,9,FALSE)),0,VLOOKUP($B54&amp;"; "&amp;$H$51&amp;", "&amp;$J$52,'FE Déplacements'!$G:$U,9,FALSE))</f>
        <v>6.8500000000000005E-2</v>
      </c>
      <c r="K54" s="356">
        <f t="shared" si="38"/>
        <v>6328.7552000000005</v>
      </c>
      <c r="L54" s="356">
        <f t="shared" si="39"/>
        <v>3732.9767000000002</v>
      </c>
      <c r="M54" s="356">
        <f t="shared" si="40"/>
        <v>16934.3645</v>
      </c>
      <c r="N54" s="1286">
        <f>IF(OR(F54=Utilitaires!$I$572,F54=Utilitaires!$I$577),M54,0)</f>
        <v>0</v>
      </c>
      <c r="X54" s="1092">
        <f t="shared" ref="X54:X58" si="46">IF(AD54=0,AD54,AD54/D54)</f>
        <v>0.41027513366484597</v>
      </c>
      <c r="Y54" s="343"/>
      <c r="Z54" s="820"/>
      <c r="AA54" s="164">
        <f t="shared" si="41"/>
        <v>2239.78602</v>
      </c>
      <c r="AB54" s="164">
        <f t="shared" si="41"/>
        <v>10160.618699999999</v>
      </c>
      <c r="AC54" s="164">
        <f t="shared" si="42"/>
        <v>3797.2531200000003</v>
      </c>
      <c r="AD54" s="152">
        <f t="shared" si="17"/>
        <v>11075.827058939069</v>
      </c>
      <c r="AE54" s="165">
        <f t="shared" si="28"/>
        <v>0</v>
      </c>
      <c r="AG54" s="564">
        <f>$G54*IF(ISNA(VLOOKUP($B54&amp;"; "&amp;$H$51&amp;", "&amp;I$52,'FE Déplacements'!$G:$U,10,FALSE)),0,VLOOKUP($B54&amp;"; "&amp;$H$51&amp;", "&amp;I$52,'FE Déplacements'!$G:$U,10,FALSE))</f>
        <v>3732.9767000000002</v>
      </c>
      <c r="AH54" s="565">
        <f>$G54*IF(ISNA(VLOOKUP($B54&amp;"; "&amp;$H$51&amp;", "&amp;J$52,'FE Déplacements'!$G:$U,10,FALSE)),0,VLOOKUP($B54&amp;"; "&amp;$H$51&amp;", "&amp;J$52,'FE Déplacements'!$G:$U,10,FALSE))</f>
        <v>16934.3645</v>
      </c>
      <c r="AI54" s="565">
        <f>$G54*IF(ISNA(VLOOKUP($B54&amp;"; "&amp;$H$51&amp;", "&amp;H$52,'FE Déplacements'!$G:$U,10,FALSE)),0,VLOOKUP($B54&amp;"; "&amp;$H$51&amp;", "&amp;H$52,'FE Déplacements'!$G:$U,10,FALSE))</f>
        <v>6328.7552000000005</v>
      </c>
      <c r="AJ54" s="565">
        <f>$G54*IF(ISNA((VLOOKUP($B54&amp;"; "&amp;$H$51&amp;", "&amp;I$52,'FE Déplacements'!$G:$U,12,FALSE)+VLOOKUP($B54&amp;"; "&amp;$H$51&amp;", "&amp;I$52,'FE Déplacements'!$G:$U,11,FALSE))),0,(VLOOKUP($B54&amp;"; "&amp;$H$51&amp;", "&amp;I$52,'FE Déplacements'!$G:$U,12,FALSE)+VLOOKUP($B54&amp;"; "&amp;$H$51&amp;", "&amp;I$52,'FE Déplacements'!$G:$U,11,FALSE)))</f>
        <v>0</v>
      </c>
      <c r="AK54" s="565">
        <f>$G54*IF(ISNA((VLOOKUP($B54&amp;"; "&amp;$H$51&amp;", "&amp;J$52,'FE Déplacements'!$G:$U,12,FALSE)+VLOOKUP($B54&amp;"; "&amp;$H$51&amp;", "&amp;J$52,'FE Déplacements'!$G:$U,11,FALSE))),0,(VLOOKUP($B54&amp;"; "&amp;$H$51&amp;", "&amp;J$52,'FE Déplacements'!$G:$U,12,FALSE)+VLOOKUP($B54&amp;"; "&amp;$H$51&amp;", "&amp;J$52,'FE Déplacements'!$G:$U,11,FALSE)))</f>
        <v>0</v>
      </c>
      <c r="AL54" s="565">
        <f>$G54*IF(ISNA((VLOOKUP($B54&amp;"; "&amp;$H$51&amp;", "&amp;H$52,'FE Déplacements'!$G:$U,12,FALSE)+VLOOKUP($B54&amp;"; "&amp;$H$51&amp;", "&amp;H$52,'FE Déplacements'!$G:$U,11,FALSE))),0,(VLOOKUP($B54&amp;"; "&amp;$H$51&amp;", "&amp;H$52,'FE Déplacements'!$G:$U,12,FALSE)+VLOOKUP($B54&amp;"; "&amp;$H$51&amp;", "&amp;H$52,'FE Déplacements'!$G:$U,11,FALSE)))</f>
        <v>0</v>
      </c>
      <c r="AM54" s="565">
        <f>$G54*IF(ISNA(VLOOKUP($B54&amp;"; "&amp;$H$51&amp;", "&amp;I$52,'FE Déplacements'!$G:$U,13,FALSE)),0,VLOOKUP($B54&amp;"; "&amp;$H$51&amp;", "&amp;I$52,'FE Déplacements'!$G:$U,13,FALSE))</f>
        <v>0</v>
      </c>
      <c r="AN54" s="565">
        <f>$G54*IF(ISNA(VLOOKUP($B54&amp;"; "&amp;$H$51&amp;", "&amp;J$52,'FE Déplacements'!$G:$U,13,FALSE)),0,VLOOKUP($B54&amp;"; "&amp;$H$51&amp;", "&amp;J$52,'FE Déplacements'!$G:$U,13,FALSE))</f>
        <v>0</v>
      </c>
      <c r="AO54" s="565">
        <f>$G54*IF(ISNA(VLOOKUP($B54&amp;"; "&amp;$H$51&amp;", "&amp;H$52,'FE Déplacements'!$G:$U,13,FALSE)),0,VLOOKUP($B54&amp;"; "&amp;$H$51&amp;", "&amp;H$52,'FE Déplacements'!$G:$U,13,FALSE))</f>
        <v>0</v>
      </c>
      <c r="AP54" s="565">
        <v>0</v>
      </c>
      <c r="AQ54" s="565">
        <v>0</v>
      </c>
      <c r="AR54" s="565">
        <v>0</v>
      </c>
      <c r="AS54" s="1288">
        <f t="shared" si="43"/>
        <v>3732.9767000000002</v>
      </c>
      <c r="AT54" s="566">
        <f t="shared" si="44"/>
        <v>16934.3645</v>
      </c>
      <c r="AU54" s="566">
        <f t="shared" si="45"/>
        <v>6328.7552000000005</v>
      </c>
      <c r="AV54" s="564">
        <f>$G54*IF(ISNA(VLOOKUP($B54&amp;"; "&amp;$H$51&amp;", "&amp;I$52,'FE Déplacements'!$G:$U,15,FALSE)),0,VLOOKUP($B54&amp;"; "&amp;$H$51&amp;", "&amp;I$52,'FE Déplacements'!$G:$U,15,FALSE))</f>
        <v>0</v>
      </c>
      <c r="AW54" s="565">
        <f>$G54*IF(ISNA(VLOOKUP($B54&amp;"; "&amp;$H$51&amp;", "&amp;J$52,'FE Déplacements'!$G:$U,15,FALSE)),0,VLOOKUP($B54&amp;"; "&amp;$H$51&amp;", "&amp;J$52,'FE Déplacements'!$G:$U,15,FALSE))</f>
        <v>0</v>
      </c>
      <c r="AX54" s="568">
        <f>$G54*IF(ISNA(VLOOKUP($B54&amp;"; "&amp;$H$51&amp;", "&amp;H$52,'FE Déplacements'!$G:$U,15,FALSE)),0,VLOOKUP($B54&amp;"; "&amp;$H$51&amp;", "&amp;H$52,'FE Déplacements'!$G:$U,15,FALSE))</f>
        <v>0</v>
      </c>
      <c r="BH54" s="2232">
        <f>IF($Y54&lt;&gt;"votre valeur :",IF(ISNA(VLOOKUP($Y54,Utilitaires!$N$566:$O$571,2,FALSE)),,VLOOKUP($Y54,Utilitaires!$N$566:$O$571,2,FALSE)),$Z54)</f>
        <v>0</v>
      </c>
      <c r="BI54" s="2240">
        <f>IF(ISNA(SQRT(SUMSQ(VLOOKUP($B54&amp;"; "&amp;$H$51&amp;", "&amp;$H$52,'FE Déplacements'!$G:$U,7,FALSE),$BH54))),0,SQRT(SUMSQ(VLOOKUP($B54&amp;"; "&amp;$H$51&amp;", "&amp;$H$52,'FE Déplacements'!$G:$U,7,FALSE),$BH54)))</f>
        <v>0.6</v>
      </c>
      <c r="BJ54" s="2240">
        <f>IF(ISNA(SQRT(SUMSQ(VLOOKUP($B54&amp;"; "&amp;$H$51&amp;", "&amp;$I$52,'FE Déplacements'!$G:$U,7,FALSE),$BH54))),0,SQRT(SUMSQ(VLOOKUP($B54&amp;"; "&amp;$H$51&amp;", "&amp;$I$52,'FE Déplacements'!$G:$U,7,FALSE),$BH54)))</f>
        <v>0.6</v>
      </c>
      <c r="BK54" s="1130">
        <f>IF(ISNA(SQRT(SUMSQ(VLOOKUP($B54&amp;"; "&amp;$H$51&amp;", "&amp;$J$52,'FE Déplacements'!$G:$U,7,FALSE),$BH54))),0,SQRT(SUMSQ(VLOOKUP($B54&amp;"; "&amp;$H$51&amp;", "&amp;$J$52,'FE Déplacements'!$G:$U,7,FALSE),$BH54)))</f>
        <v>0.6</v>
      </c>
    </row>
    <row r="55" spans="2:63" outlineLevel="1">
      <c r="B55" s="180" t="s">
        <v>4047</v>
      </c>
      <c r="C55" s="2230"/>
      <c r="D55" s="212">
        <f t="shared" si="22"/>
        <v>10936.695</v>
      </c>
      <c r="E55" s="212"/>
      <c r="F55" s="530" t="s">
        <v>528</v>
      </c>
      <c r="G55" s="398">
        <v>66283</v>
      </c>
      <c r="H55" s="410">
        <f>IF(ISNA(VLOOKUP($B55&amp;"; "&amp;$H$51&amp;", "&amp;$H$52,'FE Déplacements'!$G:$U,9,FALSE)),0,VLOOKUP($B55&amp;"; "&amp;$H$51&amp;", "&amp;$H$52,'FE Déplacements'!$G:$U,9,FALSE))</f>
        <v>2.5600000000000001E-2</v>
      </c>
      <c r="I55" s="410">
        <f>IF(ISNA(VLOOKUP($B55&amp;"; "&amp;$H$51&amp;", "&amp;$I$52,'FE Déplacements'!$G:$U,9,FALSE)),0,VLOOKUP($B55&amp;"; "&amp;$H$51&amp;", "&amp;$I$52,'FE Déplacements'!$G:$U,9,FALSE))</f>
        <v>2.7400000000000001E-2</v>
      </c>
      <c r="J55" s="410">
        <f>IF(ISNA(VLOOKUP($B55&amp;"; "&amp;$H$51&amp;", "&amp;$J$52,'FE Déplacements'!$G:$U,9,FALSE)),0,VLOOKUP($B55&amp;"; "&amp;$H$51&amp;", "&amp;$J$52,'FE Déplacements'!$G:$U,9,FALSE))</f>
        <v>0.112</v>
      </c>
      <c r="K55" s="356">
        <f t="shared" si="38"/>
        <v>1696.8448000000001</v>
      </c>
      <c r="L55" s="356">
        <f t="shared" si="39"/>
        <v>1816.1541999999999</v>
      </c>
      <c r="M55" s="356">
        <f t="shared" si="40"/>
        <v>7423.6959999999999</v>
      </c>
      <c r="N55" s="1286">
        <f>IF(OR(F55=Utilitaires!$I$572,F55=Utilitaires!$I$577),M55,0)</f>
        <v>0</v>
      </c>
      <c r="X55" s="1092">
        <f t="shared" si="46"/>
        <v>0.42949318585306434</v>
      </c>
      <c r="Y55" s="343"/>
      <c r="Z55" s="820"/>
      <c r="AA55" s="164">
        <f t="shared" si="41"/>
        <v>1089.6925199999998</v>
      </c>
      <c r="AB55" s="164">
        <f t="shared" si="41"/>
        <v>4454.2175999999999</v>
      </c>
      <c r="AC55" s="164">
        <f t="shared" si="42"/>
        <v>1018.10688</v>
      </c>
      <c r="AD55" s="152">
        <f t="shared" si="17"/>
        <v>4697.2359782532794</v>
      </c>
      <c r="AE55" s="165">
        <f t="shared" si="28"/>
        <v>0</v>
      </c>
      <c r="AG55" s="564">
        <f>$G55*IF(ISNA(VLOOKUP($B55&amp;"; "&amp;$H$51&amp;", "&amp;I$52,'FE Déplacements'!$G:$U,10,FALSE)),0,VLOOKUP($B55&amp;"; "&amp;$H$51&amp;", "&amp;I$52,'FE Déplacements'!$G:$U,10,FALSE))</f>
        <v>1816.1541999999999</v>
      </c>
      <c r="AH55" s="565">
        <f>$G55*IF(ISNA(VLOOKUP($B55&amp;"; "&amp;$H$51&amp;", "&amp;J$52,'FE Déplacements'!$G:$U,10,FALSE)),0,VLOOKUP($B55&amp;"; "&amp;$H$51&amp;", "&amp;J$52,'FE Déplacements'!$G:$U,10,FALSE))</f>
        <v>7423.6959999999999</v>
      </c>
      <c r="AI55" s="565">
        <f>$G55*IF(ISNA(VLOOKUP($B55&amp;"; "&amp;$H$51&amp;", "&amp;H$52,'FE Déplacements'!$G:$U,10,FALSE)),0,VLOOKUP($B55&amp;"; "&amp;$H$51&amp;", "&amp;H$52,'FE Déplacements'!$G:$U,10,FALSE))</f>
        <v>1696.8448000000001</v>
      </c>
      <c r="AJ55" s="565">
        <f>$G55*IF(ISNA((VLOOKUP($B55&amp;"; "&amp;$H$51&amp;", "&amp;I$52,'FE Déplacements'!$G:$U,12,FALSE)+VLOOKUP($B55&amp;"; "&amp;$H$51&amp;", "&amp;I$52,'FE Déplacements'!$G:$U,11,FALSE))),0,(VLOOKUP($B55&amp;"; "&amp;$H$51&amp;", "&amp;I$52,'FE Déplacements'!$G:$U,12,FALSE)+VLOOKUP($B55&amp;"; "&amp;$H$51&amp;", "&amp;I$52,'FE Déplacements'!$G:$U,11,FALSE)))</f>
        <v>0</v>
      </c>
      <c r="AK55" s="565">
        <f>$G55*IF(ISNA((VLOOKUP($B55&amp;"; "&amp;$H$51&amp;", "&amp;J$52,'FE Déplacements'!$G:$U,12,FALSE)+VLOOKUP($B55&amp;"; "&amp;$H$51&amp;", "&amp;J$52,'FE Déplacements'!$G:$U,11,FALSE))),0,(VLOOKUP($B55&amp;"; "&amp;$H$51&amp;", "&amp;J$52,'FE Déplacements'!$G:$U,12,FALSE)+VLOOKUP($B55&amp;"; "&amp;$H$51&amp;", "&amp;J$52,'FE Déplacements'!$G:$U,11,FALSE)))</f>
        <v>0</v>
      </c>
      <c r="AL55" s="565">
        <f>$G55*IF(ISNA((VLOOKUP($B55&amp;"; "&amp;$H$51&amp;", "&amp;H$52,'FE Déplacements'!$G:$U,12,FALSE)+VLOOKUP($B55&amp;"; "&amp;$H$51&amp;", "&amp;H$52,'FE Déplacements'!$G:$U,11,FALSE))),0,(VLOOKUP($B55&amp;"; "&amp;$H$51&amp;", "&amp;H$52,'FE Déplacements'!$G:$U,12,FALSE)+VLOOKUP($B55&amp;"; "&amp;$H$51&amp;", "&amp;H$52,'FE Déplacements'!$G:$U,11,FALSE)))</f>
        <v>0</v>
      </c>
      <c r="AM55" s="565">
        <f>$G55*IF(ISNA(VLOOKUP($B55&amp;"; "&amp;$H$51&amp;", "&amp;I$52,'FE Déplacements'!$G:$U,13,FALSE)),0,VLOOKUP($B55&amp;"; "&amp;$H$51&amp;", "&amp;I$52,'FE Déplacements'!$G:$U,13,FALSE))</f>
        <v>0</v>
      </c>
      <c r="AN55" s="565">
        <f>$G55*IF(ISNA(VLOOKUP($B55&amp;"; "&amp;$H$51&amp;", "&amp;J$52,'FE Déplacements'!$G:$U,13,FALSE)),0,VLOOKUP($B55&amp;"; "&amp;$H$51&amp;", "&amp;J$52,'FE Déplacements'!$G:$U,13,FALSE))</f>
        <v>0</v>
      </c>
      <c r="AO55" s="565">
        <f>$G55*IF(ISNA(VLOOKUP($B55&amp;"; "&amp;$H$51&amp;", "&amp;H$52,'FE Déplacements'!$G:$U,13,FALSE)),0,VLOOKUP($B55&amp;"; "&amp;$H$51&amp;", "&amp;H$52,'FE Déplacements'!$G:$U,13,FALSE))</f>
        <v>0</v>
      </c>
      <c r="AP55" s="565">
        <v>0</v>
      </c>
      <c r="AQ55" s="565">
        <v>0</v>
      </c>
      <c r="AR55" s="565">
        <v>0</v>
      </c>
      <c r="AS55" s="1288">
        <f t="shared" si="43"/>
        <v>1816.1541999999999</v>
      </c>
      <c r="AT55" s="566">
        <f t="shared" si="44"/>
        <v>7423.6959999999999</v>
      </c>
      <c r="AU55" s="566">
        <f t="shared" si="45"/>
        <v>1696.8448000000001</v>
      </c>
      <c r="AV55" s="564">
        <f>$G55*IF(ISNA(VLOOKUP($B55&amp;"; "&amp;$H$51&amp;", "&amp;I$52,'FE Déplacements'!$G:$U,15,FALSE)),0,VLOOKUP($B55&amp;"; "&amp;$H$51&amp;", "&amp;I$52,'FE Déplacements'!$G:$U,15,FALSE))</f>
        <v>0</v>
      </c>
      <c r="AW55" s="565">
        <f>$G55*IF(ISNA(VLOOKUP($B55&amp;"; "&amp;$H$51&amp;", "&amp;J$52,'FE Déplacements'!$G:$U,15,FALSE)),0,VLOOKUP($B55&amp;"; "&amp;$H$51&amp;", "&amp;J$52,'FE Déplacements'!$G:$U,15,FALSE))</f>
        <v>0</v>
      </c>
      <c r="AX55" s="568">
        <f>$G55*IF(ISNA(VLOOKUP($B55&amp;"; "&amp;$H$51&amp;", "&amp;H$52,'FE Déplacements'!$G:$U,15,FALSE)),0,VLOOKUP($B55&amp;"; "&amp;$H$51&amp;", "&amp;H$52,'FE Déplacements'!$G:$U,15,FALSE))</f>
        <v>0</v>
      </c>
      <c r="BH55" s="2232">
        <f>IF($Y55&lt;&gt;"votre valeur :",IF(ISNA(VLOOKUP($Y55,Utilitaires!$N$566:$O$571,2,FALSE)),,VLOOKUP($Y55,Utilitaires!$N$566:$O$571,2,FALSE)),$Z55)</f>
        <v>0</v>
      </c>
      <c r="BI55" s="2240">
        <f>IF(ISNA(SQRT(SUMSQ(VLOOKUP($B55&amp;"; "&amp;$H$51&amp;", "&amp;$H$52,'FE Déplacements'!$G:$U,7,FALSE),$BH55))),0,SQRT(SUMSQ(VLOOKUP($B55&amp;"; "&amp;$H$51&amp;", "&amp;$H$52,'FE Déplacements'!$G:$U,7,FALSE),$BH55)))</f>
        <v>0.6</v>
      </c>
      <c r="BJ55" s="2240">
        <f>IF(ISNA(SQRT(SUMSQ(VLOOKUP($B55&amp;"; "&amp;$H$51&amp;", "&amp;$I$52,'FE Déplacements'!$G:$U,7,FALSE),$BH55))),0,SQRT(SUMSQ(VLOOKUP($B55&amp;"; "&amp;$H$51&amp;", "&amp;$I$52,'FE Déplacements'!$G:$U,7,FALSE),$BH55)))</f>
        <v>0.6</v>
      </c>
      <c r="BK55" s="1130">
        <f>IF(ISNA(SQRT(SUMSQ(VLOOKUP($B55&amp;"; "&amp;$H$51&amp;", "&amp;$J$52,'FE Déplacements'!$G:$U,7,FALSE),$BH55))),0,SQRT(SUMSQ(VLOOKUP($B55&amp;"; "&amp;$H$51&amp;", "&amp;$J$52,'FE Déplacements'!$G:$U,7,FALSE),$BH55)))</f>
        <v>0.6</v>
      </c>
    </row>
    <row r="56" spans="2:63" outlineLevel="1">
      <c r="B56" s="180" t="s">
        <v>5209</v>
      </c>
      <c r="C56" s="2230"/>
      <c r="D56" s="212">
        <f t="shared" si="22"/>
        <v>38663.402600000001</v>
      </c>
      <c r="E56" s="212"/>
      <c r="F56" s="530" t="s">
        <v>528</v>
      </c>
      <c r="G56" s="398">
        <v>369631</v>
      </c>
      <c r="H56" s="410">
        <f>IF(ISNA(VLOOKUP($B56&amp;"; "&amp;$H$51&amp;", "&amp;$H$52,'FE Déplacements'!$G:$U,9,FALSE)),0,VLOOKUP($B56&amp;"; "&amp;$H$51&amp;", "&amp;$H$52,'FE Déplacements'!$G:$U,9,FALSE))</f>
        <v>2.5600000000000001E-2</v>
      </c>
      <c r="I56" s="410">
        <f>IF(ISNA(VLOOKUP($B56&amp;"; "&amp;$H$51&amp;", "&amp;$I$52,'FE Déplacements'!$G:$U,9,FALSE)),0,VLOOKUP($B56&amp;"; "&amp;$H$51&amp;", "&amp;$I$52,'FE Déplacements'!$G:$U,9,FALSE))</f>
        <v>1.55E-2</v>
      </c>
      <c r="J56" s="410">
        <f>IF(ISNA(VLOOKUP($B56&amp;"; "&amp;$H$51&amp;", "&amp;$J$52,'FE Déplacements'!$G:$U,9,FALSE)),0,VLOOKUP($B56&amp;"; "&amp;$H$51&amp;", "&amp;$J$52,'FE Déplacements'!$G:$U,9,FALSE))</f>
        <v>6.3500000000000001E-2</v>
      </c>
      <c r="K56" s="356">
        <f t="shared" si="38"/>
        <v>9462.5536000000011</v>
      </c>
      <c r="L56" s="356">
        <f t="shared" si="39"/>
        <v>5729.2804999999998</v>
      </c>
      <c r="M56" s="356">
        <f t="shared" si="40"/>
        <v>23471.568500000001</v>
      </c>
      <c r="N56" s="1286">
        <f>IF(OR(F56=Utilitaires!$I$572,F56=Utilitaires!$I$577),M56,0)</f>
        <v>0</v>
      </c>
      <c r="X56" s="1092">
        <f t="shared" si="46"/>
        <v>0.40266951015493763</v>
      </c>
      <c r="Y56" s="1094"/>
      <c r="Z56" s="820"/>
      <c r="AA56" s="164">
        <f t="shared" si="41"/>
        <v>3437.5682999999999</v>
      </c>
      <c r="AB56" s="164">
        <f t="shared" si="41"/>
        <v>14082.9411</v>
      </c>
      <c r="AC56" s="164">
        <f t="shared" si="42"/>
        <v>5677.5321600000007</v>
      </c>
      <c r="AD56" s="152">
        <f t="shared" si="17"/>
        <v>15568.573385865142</v>
      </c>
      <c r="AE56" s="165">
        <f t="shared" si="28"/>
        <v>0</v>
      </c>
      <c r="AG56" s="564">
        <f>$G56*IF(ISNA(VLOOKUP($B56&amp;"; "&amp;$H$51&amp;", "&amp;I$52,'FE Déplacements'!$G:$U,10,FALSE)),0,VLOOKUP($B56&amp;"; "&amp;$H$51&amp;", "&amp;I$52,'FE Déplacements'!$G:$U,10,FALSE))</f>
        <v>5729.2804999999998</v>
      </c>
      <c r="AH56" s="565">
        <f>$G56*IF(ISNA(VLOOKUP($B56&amp;"; "&amp;$H$51&amp;", "&amp;J$52,'FE Déplacements'!$G:$U,10,FALSE)),0,VLOOKUP($B56&amp;"; "&amp;$H$51&amp;", "&amp;J$52,'FE Déplacements'!$G:$U,10,FALSE))</f>
        <v>23471.568500000001</v>
      </c>
      <c r="AI56" s="565">
        <f>$G56*IF(ISNA(VLOOKUP($B56&amp;"; "&amp;$H$51&amp;", "&amp;H$52,'FE Déplacements'!$G:$U,10,FALSE)),0,VLOOKUP($B56&amp;"; "&amp;$H$51&amp;", "&amp;H$52,'FE Déplacements'!$G:$U,10,FALSE))</f>
        <v>9462.5536000000011</v>
      </c>
      <c r="AJ56" s="565">
        <f>$G56*IF(ISNA((VLOOKUP($B56&amp;"; "&amp;$H$51&amp;", "&amp;I$52,'FE Déplacements'!$G:$U,12,FALSE)+VLOOKUP($B56&amp;"; "&amp;$H$51&amp;", "&amp;I$52,'FE Déplacements'!$G:$U,11,FALSE))),0,(VLOOKUP($B56&amp;"; "&amp;$H$51&amp;", "&amp;I$52,'FE Déplacements'!$G:$U,12,FALSE)+VLOOKUP($B56&amp;"; "&amp;$H$51&amp;", "&amp;I$52,'FE Déplacements'!$G:$U,11,FALSE)))</f>
        <v>0</v>
      </c>
      <c r="AK56" s="565">
        <f>$G56*IF(ISNA((VLOOKUP($B56&amp;"; "&amp;$H$51&amp;", "&amp;J$52,'FE Déplacements'!$G:$U,12,FALSE)+VLOOKUP($B56&amp;"; "&amp;$H$51&amp;", "&amp;J$52,'FE Déplacements'!$G:$U,11,FALSE))),0,(VLOOKUP($B56&amp;"; "&amp;$H$51&amp;", "&amp;J$52,'FE Déplacements'!$G:$U,12,FALSE)+VLOOKUP($B56&amp;"; "&amp;$H$51&amp;", "&amp;J$52,'FE Déplacements'!$G:$U,11,FALSE)))</f>
        <v>0</v>
      </c>
      <c r="AL56" s="565">
        <f>$G56*IF(ISNA((VLOOKUP($B56&amp;"; "&amp;$H$51&amp;", "&amp;H$52,'FE Déplacements'!$G:$U,12,FALSE)+VLOOKUP($B56&amp;"; "&amp;$H$51&amp;", "&amp;H$52,'FE Déplacements'!$G:$U,11,FALSE))),0,(VLOOKUP($B56&amp;"; "&amp;$H$51&amp;", "&amp;H$52,'FE Déplacements'!$G:$U,12,FALSE)+VLOOKUP($B56&amp;"; "&amp;$H$51&amp;", "&amp;H$52,'FE Déplacements'!$G:$U,11,FALSE)))</f>
        <v>0</v>
      </c>
      <c r="AM56" s="565">
        <f>$G56*IF(ISNA(VLOOKUP($B56&amp;"; "&amp;$H$51&amp;", "&amp;I$52,'FE Déplacements'!$G:$U,13,FALSE)),0,VLOOKUP($B56&amp;"; "&amp;$H$51&amp;", "&amp;I$52,'FE Déplacements'!$G:$U,13,FALSE))</f>
        <v>0</v>
      </c>
      <c r="AN56" s="565">
        <f>$G56*IF(ISNA(VLOOKUP($B56&amp;"; "&amp;$H$51&amp;", "&amp;J$52,'FE Déplacements'!$G:$U,13,FALSE)),0,VLOOKUP($B56&amp;"; "&amp;$H$51&amp;", "&amp;J$52,'FE Déplacements'!$G:$U,13,FALSE))</f>
        <v>0</v>
      </c>
      <c r="AO56" s="565">
        <f>$G56*IF(ISNA(VLOOKUP($B56&amp;"; "&amp;$H$51&amp;", "&amp;H$52,'FE Déplacements'!$G:$U,13,FALSE)),0,VLOOKUP($B56&amp;"; "&amp;$H$51&amp;", "&amp;H$52,'FE Déplacements'!$G:$U,13,FALSE))</f>
        <v>0</v>
      </c>
      <c r="AP56" s="565">
        <v>0</v>
      </c>
      <c r="AQ56" s="565">
        <v>0</v>
      </c>
      <c r="AR56" s="565">
        <v>0</v>
      </c>
      <c r="AS56" s="1288">
        <f t="shared" si="43"/>
        <v>5729.2804999999998</v>
      </c>
      <c r="AT56" s="566">
        <f t="shared" si="44"/>
        <v>23471.568500000001</v>
      </c>
      <c r="AU56" s="566">
        <f t="shared" si="45"/>
        <v>9462.5536000000011</v>
      </c>
      <c r="AV56" s="564">
        <f>$G56*IF(ISNA(VLOOKUP($B56&amp;"; "&amp;$H$51&amp;", "&amp;I$52,'FE Déplacements'!$G:$U,15,FALSE)),0,VLOOKUP($B56&amp;"; "&amp;$H$51&amp;", "&amp;I$52,'FE Déplacements'!$G:$U,15,FALSE))</f>
        <v>0</v>
      </c>
      <c r="AW56" s="565">
        <f>$G56*IF(ISNA(VLOOKUP($B56&amp;"; "&amp;$H$51&amp;", "&amp;J$52,'FE Déplacements'!$G:$U,15,FALSE)),0,VLOOKUP($B56&amp;"; "&amp;$H$51&amp;", "&amp;J$52,'FE Déplacements'!$G:$U,15,FALSE))</f>
        <v>0</v>
      </c>
      <c r="AX56" s="568">
        <f>$G56*IF(ISNA(VLOOKUP($B56&amp;"; "&amp;$H$51&amp;", "&amp;H$52,'FE Déplacements'!$G:$U,15,FALSE)),0,VLOOKUP($B56&amp;"; "&amp;$H$51&amp;", "&amp;H$52,'FE Déplacements'!$G:$U,15,FALSE))</f>
        <v>0</v>
      </c>
      <c r="BH56" s="2232">
        <f>IF($Y56&lt;&gt;"votre valeur :",IF(ISNA(VLOOKUP($Y56,Utilitaires!$N$566:$O$571,2,FALSE)),,VLOOKUP($Y56,Utilitaires!$N$566:$O$571,2,FALSE)),$Z56)</f>
        <v>0</v>
      </c>
      <c r="BI56" s="2240">
        <f>IF(ISNA(SQRT(SUMSQ(VLOOKUP($B56&amp;"; "&amp;$H$51&amp;", "&amp;$H$52,'FE Déplacements'!$G:$U,7,FALSE),$BH56))),0,SQRT(SUMSQ(VLOOKUP($B56&amp;"; "&amp;$H$51&amp;", "&amp;$H$52,'FE Déplacements'!$G:$U,7,FALSE),$BH56)))</f>
        <v>0.6</v>
      </c>
      <c r="BJ56" s="2240">
        <f>IF(ISNA(SQRT(SUMSQ(VLOOKUP($B56&amp;"; "&amp;$H$51&amp;", "&amp;$I$52,'FE Déplacements'!$G:$U,7,FALSE),$BH56))),0,SQRT(SUMSQ(VLOOKUP($B56&amp;"; "&amp;$H$51&amp;", "&amp;$I$52,'FE Déplacements'!$G:$U,7,FALSE),$BH56)))</f>
        <v>0.6</v>
      </c>
      <c r="BK56" s="1130">
        <f>IF(ISNA(SQRT(SUMSQ(VLOOKUP($B56&amp;"; "&amp;$H$51&amp;", "&amp;$J$52,'FE Déplacements'!$G:$U,7,FALSE),$BH56))),0,SQRT(SUMSQ(VLOOKUP($B56&amp;"; "&amp;$H$51&amp;", "&amp;$J$52,'FE Déplacements'!$G:$U,7,FALSE),$BH56)))</f>
        <v>0.6</v>
      </c>
    </row>
    <row r="57" spans="2:63" outlineLevel="1">
      <c r="B57" s="180" t="s">
        <v>4049</v>
      </c>
      <c r="C57" s="2230"/>
      <c r="D57" s="212">
        <f t="shared" si="22"/>
        <v>0</v>
      </c>
      <c r="E57" s="212"/>
      <c r="F57" s="530"/>
      <c r="G57" s="398"/>
      <c r="H57" s="410">
        <f>IF(ISNA(VLOOKUP($B57&amp;"; "&amp;$H$51&amp;", "&amp;$H$52,'FE Déplacements'!$G:$U,9,FALSE)),0,VLOOKUP($B57&amp;"; "&amp;$H$51&amp;", "&amp;$H$52,'FE Déplacements'!$G:$U,9,FALSE))</f>
        <v>2.5600000000000001E-2</v>
      </c>
      <c r="I57" s="410">
        <f>IF(ISNA(VLOOKUP($B57&amp;"; "&amp;$H$51&amp;", "&amp;$I$52,'FE Déplacements'!$G:$U,9,FALSE)),0,VLOOKUP($B57&amp;"; "&amp;$H$51&amp;", "&amp;$I$52,'FE Déplacements'!$G:$U,9,FALSE))</f>
        <v>1.2E-2</v>
      </c>
      <c r="J57" s="410">
        <f>IF(ISNA(VLOOKUP($B57&amp;"; "&amp;$H$51&amp;", "&amp;$J$52,'FE Déplacements'!$G:$U,9,FALSE)),0,VLOOKUP($B57&amp;"; "&amp;$H$51&amp;", "&amp;$J$52,'FE Déplacements'!$G:$U,9,FALSE))</f>
        <v>7.4999999999999997E-2</v>
      </c>
      <c r="K57" s="356">
        <f t="shared" si="38"/>
        <v>0</v>
      </c>
      <c r="L57" s="356">
        <f t="shared" si="39"/>
        <v>0</v>
      </c>
      <c r="M57" s="356">
        <f t="shared" si="40"/>
        <v>0</v>
      </c>
      <c r="N57" s="1286">
        <f>IF(OR(F57=Utilitaires!$I$572,F57=Utilitaires!$I$577),M57,0)</f>
        <v>0</v>
      </c>
      <c r="X57" s="1092">
        <f t="shared" si="46"/>
        <v>0</v>
      </c>
      <c r="Y57" s="343"/>
      <c r="Z57" s="820"/>
      <c r="AA57" s="164">
        <f t="shared" si="41"/>
        <v>0</v>
      </c>
      <c r="AB57" s="164">
        <f t="shared" si="41"/>
        <v>0</v>
      </c>
      <c r="AC57" s="164">
        <f t="shared" si="42"/>
        <v>0</v>
      </c>
      <c r="AD57" s="152">
        <f t="shared" si="17"/>
        <v>0</v>
      </c>
      <c r="AE57" s="165">
        <f t="shared" si="28"/>
        <v>0</v>
      </c>
      <c r="AG57" s="564">
        <f>$G57*IF(ISNA(VLOOKUP($B57&amp;"; "&amp;$H$51&amp;", "&amp;I$52,'FE Déplacements'!$G:$U,10,FALSE)),0,VLOOKUP($B57&amp;"; "&amp;$H$51&amp;", "&amp;I$52,'FE Déplacements'!$G:$U,10,FALSE))</f>
        <v>0</v>
      </c>
      <c r="AH57" s="565">
        <f>$G57*IF(ISNA(VLOOKUP($B57&amp;"; "&amp;$H$51&amp;", "&amp;J$52,'FE Déplacements'!$G:$U,10,FALSE)),0,VLOOKUP($B57&amp;"; "&amp;$H$51&amp;", "&amp;J$52,'FE Déplacements'!$G:$U,10,FALSE))</f>
        <v>0</v>
      </c>
      <c r="AI57" s="565">
        <f>$G57*IF(ISNA(VLOOKUP($B57&amp;"; "&amp;$H$51&amp;", "&amp;H$52,'FE Déplacements'!$G:$U,10,FALSE)),0,VLOOKUP($B57&amp;"; "&amp;$H$51&amp;", "&amp;H$52,'FE Déplacements'!$G:$U,10,FALSE))</f>
        <v>0</v>
      </c>
      <c r="AJ57" s="565">
        <f>$G57*IF(ISNA((VLOOKUP($B57&amp;"; "&amp;$H$51&amp;", "&amp;I$52,'FE Déplacements'!$G:$U,12,FALSE)+VLOOKUP($B57&amp;"; "&amp;$H$51&amp;", "&amp;I$52,'FE Déplacements'!$G:$U,11,FALSE))),0,(VLOOKUP($B57&amp;"; "&amp;$H$51&amp;", "&amp;I$52,'FE Déplacements'!$G:$U,12,FALSE)+VLOOKUP($B57&amp;"; "&amp;$H$51&amp;", "&amp;I$52,'FE Déplacements'!$G:$U,11,FALSE)))</f>
        <v>0</v>
      </c>
      <c r="AK57" s="565">
        <f>$G57*IF(ISNA((VLOOKUP($B57&amp;"; "&amp;$H$51&amp;", "&amp;J$52,'FE Déplacements'!$G:$U,12,FALSE)+VLOOKUP($B57&amp;"; "&amp;$H$51&amp;", "&amp;J$52,'FE Déplacements'!$G:$U,11,FALSE))),0,(VLOOKUP($B57&amp;"; "&amp;$H$51&amp;", "&amp;J$52,'FE Déplacements'!$G:$U,12,FALSE)+VLOOKUP($B57&amp;"; "&amp;$H$51&amp;", "&amp;J$52,'FE Déplacements'!$G:$U,11,FALSE)))</f>
        <v>0</v>
      </c>
      <c r="AL57" s="565">
        <f>$G57*IF(ISNA((VLOOKUP($B57&amp;"; "&amp;$H$51&amp;", "&amp;H$52,'FE Déplacements'!$G:$U,12,FALSE)+VLOOKUP($B57&amp;"; "&amp;$H$51&amp;", "&amp;H$52,'FE Déplacements'!$G:$U,11,FALSE))),0,(VLOOKUP($B57&amp;"; "&amp;$H$51&amp;", "&amp;H$52,'FE Déplacements'!$G:$U,12,FALSE)+VLOOKUP($B57&amp;"; "&amp;$H$51&amp;", "&amp;H$52,'FE Déplacements'!$G:$U,11,FALSE)))</f>
        <v>0</v>
      </c>
      <c r="AM57" s="565">
        <f>$G57*IF(ISNA(VLOOKUP($B57&amp;"; "&amp;$H$51&amp;", "&amp;I$52,'FE Déplacements'!$G:$U,13,FALSE)),0,VLOOKUP($B57&amp;"; "&amp;$H$51&amp;", "&amp;I$52,'FE Déplacements'!$G:$U,13,FALSE))</f>
        <v>0</v>
      </c>
      <c r="AN57" s="565">
        <f>$G57*IF(ISNA(VLOOKUP($B57&amp;"; "&amp;$H$51&amp;", "&amp;J$52,'FE Déplacements'!$G:$U,13,FALSE)),0,VLOOKUP($B57&amp;"; "&amp;$H$51&amp;", "&amp;J$52,'FE Déplacements'!$G:$U,13,FALSE))</f>
        <v>0</v>
      </c>
      <c r="AO57" s="565">
        <f>$G57*IF(ISNA(VLOOKUP($B57&amp;"; "&amp;$H$51&amp;", "&amp;H$52,'FE Déplacements'!$G:$U,13,FALSE)),0,VLOOKUP($B57&amp;"; "&amp;$H$51&amp;", "&amp;H$52,'FE Déplacements'!$G:$U,13,FALSE))</f>
        <v>0</v>
      </c>
      <c r="AP57" s="565">
        <v>0</v>
      </c>
      <c r="AQ57" s="565">
        <v>0</v>
      </c>
      <c r="AR57" s="565">
        <v>0</v>
      </c>
      <c r="AS57" s="1288">
        <f t="shared" si="43"/>
        <v>0</v>
      </c>
      <c r="AT57" s="566">
        <f t="shared" si="44"/>
        <v>0</v>
      </c>
      <c r="AU57" s="566">
        <f t="shared" si="45"/>
        <v>0</v>
      </c>
      <c r="AV57" s="564">
        <f>$G57*IF(ISNA(VLOOKUP($B57&amp;"; "&amp;$H$51&amp;", "&amp;I$52,'FE Déplacements'!$G:$U,15,FALSE)),0,VLOOKUP($B57&amp;"; "&amp;$H$51&amp;", "&amp;I$52,'FE Déplacements'!$G:$U,15,FALSE))</f>
        <v>0</v>
      </c>
      <c r="AW57" s="565">
        <f>$G57*IF(ISNA(VLOOKUP($B57&amp;"; "&amp;$H$51&amp;", "&amp;J$52,'FE Déplacements'!$G:$U,15,FALSE)),0,VLOOKUP($B57&amp;"; "&amp;$H$51&amp;", "&amp;J$52,'FE Déplacements'!$G:$U,15,FALSE))</f>
        <v>0</v>
      </c>
      <c r="AX57" s="568">
        <f>$G57*IF(ISNA(VLOOKUP($B57&amp;"; "&amp;$H$51&amp;", "&amp;H$52,'FE Déplacements'!$G:$U,15,FALSE)),0,VLOOKUP($B57&amp;"; "&amp;$H$51&amp;", "&amp;H$52,'FE Déplacements'!$G:$U,15,FALSE))</f>
        <v>0</v>
      </c>
      <c r="BH57" s="2232">
        <f>IF($Y57&lt;&gt;"votre valeur :",IF(ISNA(VLOOKUP($Y57,Utilitaires!$N$566:$O$571,2,FALSE)),,VLOOKUP($Y57,Utilitaires!$N$566:$O$571,2,FALSE)),$Z57)</f>
        <v>0</v>
      </c>
      <c r="BI57" s="2240">
        <f>IF(ISNA(SQRT(SUMSQ(VLOOKUP($B57&amp;"; "&amp;$H$51&amp;", "&amp;$H$52,'FE Déplacements'!$G:$U,7,FALSE),$BH57))),0,SQRT(SUMSQ(VLOOKUP($B57&amp;"; "&amp;$H$51&amp;", "&amp;$H$52,'FE Déplacements'!$G:$U,7,FALSE),$BH57)))</f>
        <v>0.6</v>
      </c>
      <c r="BJ57" s="2240">
        <f>IF(ISNA(SQRT(SUMSQ(VLOOKUP($B57&amp;"; "&amp;$H$51&amp;", "&amp;$I$52,'FE Déplacements'!$G:$U,7,FALSE),$BH57))),0,SQRT(SUMSQ(VLOOKUP($B57&amp;"; "&amp;$H$51&amp;", "&amp;$I$52,'FE Déplacements'!$G:$U,7,FALSE),$BH57)))</f>
        <v>0.6</v>
      </c>
      <c r="BK57" s="1130">
        <f>IF(ISNA(SQRT(SUMSQ(VLOOKUP($B57&amp;"; "&amp;$H$51&amp;", "&amp;$J$52,'FE Déplacements'!$G:$U,7,FALSE),$BH57))),0,SQRT(SUMSQ(VLOOKUP($B57&amp;"; "&amp;$H$51&amp;", "&amp;$J$52,'FE Déplacements'!$G:$U,7,FALSE),$BH57)))</f>
        <v>0.6</v>
      </c>
    </row>
    <row r="58" spans="2:63" outlineLevel="1">
      <c r="B58" s="180" t="s">
        <v>4050</v>
      </c>
      <c r="C58" s="2230"/>
      <c r="D58" s="212">
        <f t="shared" si="22"/>
        <v>0</v>
      </c>
      <c r="E58" s="212"/>
      <c r="F58" s="347"/>
      <c r="G58" s="123"/>
      <c r="H58" s="410">
        <f>IF(ISNA(VLOOKUP($B58&amp;"; "&amp;$H$51&amp;", "&amp;$H$52,'FE Déplacements'!$G:$U,9,FALSE)),0,VLOOKUP($B58&amp;"; "&amp;$H$51&amp;", "&amp;$H$52,'FE Déplacements'!$G:$U,9,FALSE))</f>
        <v>2.47E-2</v>
      </c>
      <c r="I58" s="410">
        <f>IF(ISNA(VLOOKUP($B58&amp;"; "&amp;$H$51&amp;", "&amp;$I$52,'FE Déplacements'!$G:$U,9,FALSE)),0,VLOOKUP($B58&amp;"; "&amp;$H$51&amp;", "&amp;$I$52,'FE Déplacements'!$G:$U,9,FALSE))</f>
        <v>0</v>
      </c>
      <c r="J58" s="410">
        <f>IF(ISNA(VLOOKUP($B58&amp;"; "&amp;$H$51&amp;", "&amp;$J$52,'FE Déplacements'!$G:$U,9,FALSE)),0,VLOOKUP($B58&amp;"; "&amp;$H$51&amp;", "&amp;$J$52,'FE Déplacements'!$G:$U,9,FALSE))</f>
        <v>0.111</v>
      </c>
      <c r="K58" s="356">
        <f t="shared" si="38"/>
        <v>0</v>
      </c>
      <c r="L58" s="356">
        <f t="shared" si="39"/>
        <v>0</v>
      </c>
      <c r="M58" s="356">
        <f t="shared" si="40"/>
        <v>0</v>
      </c>
      <c r="N58" s="1286">
        <f>IF(OR(F58=Utilitaires!$I$572,F58=Utilitaires!$I$577),M58,0)</f>
        <v>0</v>
      </c>
      <c r="X58" s="1092">
        <f t="shared" si="46"/>
        <v>0</v>
      </c>
      <c r="Y58" s="1094"/>
      <c r="Z58" s="820"/>
      <c r="AA58" s="164">
        <f t="shared" si="41"/>
        <v>0</v>
      </c>
      <c r="AB58" s="164">
        <f t="shared" si="41"/>
        <v>0</v>
      </c>
      <c r="AC58" s="164">
        <f t="shared" si="42"/>
        <v>0</v>
      </c>
      <c r="AD58" s="152">
        <f t="shared" si="17"/>
        <v>0</v>
      </c>
      <c r="AE58" s="165">
        <f t="shared" si="28"/>
        <v>0</v>
      </c>
      <c r="AG58" s="564">
        <f>$G58*IF(ISNA(VLOOKUP($B58&amp;"; "&amp;$H$51&amp;", "&amp;I$52,'FE Déplacements'!$G:$U,10,FALSE)),0,VLOOKUP($B58&amp;"; "&amp;$H$51&amp;", "&amp;I$52,'FE Déplacements'!$G:$U,10,FALSE))</f>
        <v>0</v>
      </c>
      <c r="AH58" s="565">
        <f>$G58*IF(ISNA(VLOOKUP($B58&amp;"; "&amp;$H$51&amp;", "&amp;J$52,'FE Déplacements'!$G:$U,10,FALSE)),0,VLOOKUP($B58&amp;"; "&amp;$H$51&amp;", "&amp;J$52,'FE Déplacements'!$G:$U,10,FALSE))</f>
        <v>0</v>
      </c>
      <c r="AI58" s="565">
        <f>$G58*IF(ISNA(VLOOKUP($B58&amp;"; "&amp;$H$51&amp;", "&amp;H$52,'FE Déplacements'!$G:$U,10,FALSE)),0,VLOOKUP($B58&amp;"; "&amp;$H$51&amp;", "&amp;H$52,'FE Déplacements'!$G:$U,10,FALSE))</f>
        <v>0</v>
      </c>
      <c r="AJ58" s="565">
        <f>$G58*IF(ISNA((VLOOKUP($B58&amp;"; "&amp;$H$51&amp;", "&amp;I$52,'FE Déplacements'!$G:$U,12,FALSE)+VLOOKUP($B58&amp;"; "&amp;$H$51&amp;", "&amp;I$52,'FE Déplacements'!$G:$U,11,FALSE))),0,(VLOOKUP($B58&amp;"; "&amp;$H$51&amp;", "&amp;I$52,'FE Déplacements'!$G:$U,12,FALSE)+VLOOKUP($B58&amp;"; "&amp;$H$51&amp;", "&amp;I$52,'FE Déplacements'!$G:$U,11,FALSE)))</f>
        <v>0</v>
      </c>
      <c r="AK58" s="565">
        <f>$G58*IF(ISNA((VLOOKUP($B58&amp;"; "&amp;$H$51&amp;", "&amp;J$52,'FE Déplacements'!$G:$U,12,FALSE)+VLOOKUP($B58&amp;"; "&amp;$H$51&amp;", "&amp;J$52,'FE Déplacements'!$G:$U,11,FALSE))),0,(VLOOKUP($B58&amp;"; "&amp;$H$51&amp;", "&amp;J$52,'FE Déplacements'!$G:$U,12,FALSE)+VLOOKUP($B58&amp;"; "&amp;$H$51&amp;", "&amp;J$52,'FE Déplacements'!$G:$U,11,FALSE)))</f>
        <v>0</v>
      </c>
      <c r="AL58" s="565">
        <f>$G58*IF(ISNA((VLOOKUP($B58&amp;"; "&amp;$H$51&amp;", "&amp;H$52,'FE Déplacements'!$G:$U,12,FALSE)+VLOOKUP($B58&amp;"; "&amp;$H$51&amp;", "&amp;H$52,'FE Déplacements'!$G:$U,11,FALSE))),0,(VLOOKUP($B58&amp;"; "&amp;$H$51&amp;", "&amp;H$52,'FE Déplacements'!$G:$U,12,FALSE)+VLOOKUP($B58&amp;"; "&amp;$H$51&amp;", "&amp;H$52,'FE Déplacements'!$G:$U,11,FALSE)))</f>
        <v>0</v>
      </c>
      <c r="AM58" s="565">
        <f>$G58*IF(ISNA(VLOOKUP($B58&amp;"; "&amp;$H$51&amp;", "&amp;I$52,'FE Déplacements'!$G:$U,13,FALSE)),0,VLOOKUP($B58&amp;"; "&amp;$H$51&amp;", "&amp;I$52,'FE Déplacements'!$G:$U,13,FALSE))</f>
        <v>0</v>
      </c>
      <c r="AN58" s="565">
        <f>$G58*IF(ISNA(VLOOKUP($B58&amp;"; "&amp;$H$51&amp;", "&amp;J$52,'FE Déplacements'!$G:$U,13,FALSE)),0,VLOOKUP($B58&amp;"; "&amp;$H$51&amp;", "&amp;J$52,'FE Déplacements'!$G:$U,13,FALSE))</f>
        <v>0</v>
      </c>
      <c r="AO58" s="565">
        <f>$G58*IF(ISNA(VLOOKUP($B58&amp;"; "&amp;$H$51&amp;", "&amp;H$52,'FE Déplacements'!$G:$U,13,FALSE)),0,VLOOKUP($B58&amp;"; "&amp;$H$51&amp;", "&amp;H$52,'FE Déplacements'!$G:$U,13,FALSE))</f>
        <v>0</v>
      </c>
      <c r="AP58" s="565">
        <v>0</v>
      </c>
      <c r="AQ58" s="565">
        <v>0</v>
      </c>
      <c r="AR58" s="565">
        <v>0</v>
      </c>
      <c r="AS58" s="1288">
        <f t="shared" si="43"/>
        <v>0</v>
      </c>
      <c r="AT58" s="566">
        <f t="shared" si="44"/>
        <v>0</v>
      </c>
      <c r="AU58" s="566">
        <f t="shared" si="45"/>
        <v>0</v>
      </c>
      <c r="AV58" s="564">
        <f>$G58*IF(ISNA(VLOOKUP($B58&amp;"; "&amp;$H$51&amp;", "&amp;I$52,'FE Déplacements'!$G:$U,15,FALSE)),0,VLOOKUP($B58&amp;"; "&amp;$H$51&amp;", "&amp;I$52,'FE Déplacements'!$G:$U,15,FALSE))</f>
        <v>0</v>
      </c>
      <c r="AW58" s="565">
        <f>$G58*IF(ISNA(VLOOKUP($B58&amp;"; "&amp;$H$51&amp;", "&amp;J$52,'FE Déplacements'!$G:$U,15,FALSE)),0,VLOOKUP($B58&amp;"; "&amp;$H$51&amp;", "&amp;J$52,'FE Déplacements'!$G:$U,15,FALSE))</f>
        <v>0</v>
      </c>
      <c r="AX58" s="568">
        <f>$G58*IF(ISNA(VLOOKUP($B58&amp;"; "&amp;$H$51&amp;", "&amp;H$52,'FE Déplacements'!$G:$U,15,FALSE)),0,VLOOKUP($B58&amp;"; "&amp;$H$51&amp;", "&amp;H$52,'FE Déplacements'!$G:$U,15,FALSE))</f>
        <v>0</v>
      </c>
      <c r="BH58" s="2232">
        <f>IF($Y58&lt;&gt;"votre valeur :",IF(ISNA(VLOOKUP($Y58,Utilitaires!$N$566:$O$571,2,FALSE)),,VLOOKUP($Y58,Utilitaires!$N$566:$O$571,2,FALSE)),$Z58)</f>
        <v>0</v>
      </c>
      <c r="BI58" s="2240">
        <f>IF(ISNA(SQRT(SUMSQ(VLOOKUP($B58&amp;"; "&amp;$H$51&amp;", "&amp;$H$52,'FE Déplacements'!$G:$U,7,FALSE),$BH58))),0,SQRT(SUMSQ(VLOOKUP($B58&amp;"; "&amp;$H$51&amp;", "&amp;$H$52,'FE Déplacements'!$G:$U,7,FALSE),$BH58)))</f>
        <v>0.6</v>
      </c>
      <c r="BJ58" s="2240">
        <f>IF(ISNA(SQRT(SUMSQ(VLOOKUP($B58&amp;"; "&amp;$H$51&amp;", "&amp;$I$52,'FE Déplacements'!$G:$U,7,FALSE),$BH58))),0,SQRT(SUMSQ(VLOOKUP($B58&amp;"; "&amp;$H$51&amp;", "&amp;$I$52,'FE Déplacements'!$G:$U,7,FALSE),$BH58)))</f>
        <v>0</v>
      </c>
      <c r="BK58" s="1130">
        <f>IF(ISNA(SQRT(SUMSQ(VLOOKUP($B58&amp;"; "&amp;$H$51&amp;", "&amp;$J$52,'FE Déplacements'!$G:$U,7,FALSE),$BH58))),0,SQRT(SUMSQ(VLOOKUP($B58&amp;"; "&amp;$H$51&amp;", "&amp;$J$52,'FE Déplacements'!$G:$U,7,FALSE),$BH58)))</f>
        <v>0.6</v>
      </c>
    </row>
    <row r="59" spans="2:63" outlineLevel="1">
      <c r="B59" s="143"/>
      <c r="C59" s="144"/>
      <c r="D59" s="213"/>
      <c r="E59" s="213"/>
      <c r="F59" s="144"/>
      <c r="G59" s="144"/>
      <c r="H59" s="144"/>
      <c r="I59" s="144"/>
      <c r="J59" s="144"/>
      <c r="K59" s="167"/>
      <c r="L59" s="167"/>
      <c r="M59" s="167"/>
      <c r="N59" s="1286"/>
      <c r="X59" s="154"/>
      <c r="Y59" s="155"/>
      <c r="Z59" s="144"/>
      <c r="AA59" s="164"/>
      <c r="AB59" s="164"/>
      <c r="AC59" s="164"/>
      <c r="AD59" s="152"/>
      <c r="AE59" s="165"/>
      <c r="AG59" s="564"/>
      <c r="AH59" s="565"/>
      <c r="AI59" s="565"/>
      <c r="AJ59" s="565"/>
      <c r="AK59" s="565"/>
      <c r="AL59" s="565"/>
      <c r="AM59" s="565"/>
      <c r="AN59" s="565"/>
      <c r="AO59" s="565"/>
      <c r="AP59" s="565"/>
      <c r="AQ59" s="565"/>
      <c r="AR59" s="565"/>
      <c r="AS59" s="1288"/>
      <c r="AT59" s="566"/>
      <c r="AU59" s="565"/>
      <c r="AV59" s="564"/>
      <c r="AW59" s="565"/>
      <c r="AX59" s="568"/>
      <c r="BH59" s="1087"/>
      <c r="BI59" s="1126"/>
      <c r="BJ59" s="1075"/>
      <c r="BK59" s="1131"/>
    </row>
    <row r="60" spans="2:63" outlineLevel="1">
      <c r="B60" s="196" t="s">
        <v>348</v>
      </c>
      <c r="C60" s="197"/>
      <c r="D60" s="214">
        <f>SUM(D40:D59)</f>
        <v>82747.526600000012</v>
      </c>
      <c r="E60" s="214"/>
      <c r="F60" s="197"/>
      <c r="G60" s="197"/>
      <c r="H60" s="197"/>
      <c r="I60" s="197"/>
      <c r="J60" s="197"/>
      <c r="K60" s="202">
        <f>SUM(K40:K59)</f>
        <v>18390.067200000001</v>
      </c>
      <c r="L60" s="202">
        <f>SUM(L40:L59)</f>
        <v>12229.6484</v>
      </c>
      <c r="M60" s="202">
        <f>SUM(M40:M59)</f>
        <v>52127.811000000002</v>
      </c>
      <c r="N60" s="1311">
        <f>SUM(N40:N59)</f>
        <v>0</v>
      </c>
      <c r="X60" s="2242">
        <f>IF(AD60=0,AD60,AD60/D60)</f>
        <v>0.23999750103873463</v>
      </c>
      <c r="Y60" s="199"/>
      <c r="Z60" s="199"/>
      <c r="AA60" s="203">
        <f>SQRT(SUMSQ(AA39:AA59))</f>
        <v>4283.3040610674743</v>
      </c>
      <c r="AB60" s="203">
        <f>SQRT(SUMSQ(AB39:AB59))</f>
        <v>18112.377797596131</v>
      </c>
      <c r="AC60" s="203">
        <f>SQRT(SUMSQ(AC39:AC59))</f>
        <v>6926.9679972812582</v>
      </c>
      <c r="AD60" s="200">
        <f>SQRT(SUMSQ(AD39:AD59))</f>
        <v>19859.199601136224</v>
      </c>
      <c r="AE60" s="340">
        <f>SQRT(SUMSQ(AE40:AE59))</f>
        <v>0</v>
      </c>
      <c r="AG60" s="571">
        <f t="shared" ref="AG60:AX60" si="47">SUM(AG40:AG59)</f>
        <v>12229.6484</v>
      </c>
      <c r="AH60" s="572">
        <f t="shared" si="47"/>
        <v>52127.811000000002</v>
      </c>
      <c r="AI60" s="572">
        <f t="shared" si="47"/>
        <v>18390.067200000001</v>
      </c>
      <c r="AJ60" s="572">
        <f t="shared" si="47"/>
        <v>0</v>
      </c>
      <c r="AK60" s="572">
        <f t="shared" si="47"/>
        <v>0</v>
      </c>
      <c r="AL60" s="572">
        <f t="shared" si="47"/>
        <v>0</v>
      </c>
      <c r="AM60" s="572">
        <f t="shared" si="47"/>
        <v>0</v>
      </c>
      <c r="AN60" s="572">
        <f t="shared" si="47"/>
        <v>0</v>
      </c>
      <c r="AO60" s="572">
        <f t="shared" si="47"/>
        <v>0</v>
      </c>
      <c r="AP60" s="572">
        <f t="shared" si="47"/>
        <v>0</v>
      </c>
      <c r="AQ60" s="572">
        <f t="shared" si="47"/>
        <v>0</v>
      </c>
      <c r="AR60" s="572">
        <f t="shared" si="47"/>
        <v>0</v>
      </c>
      <c r="AS60" s="1290">
        <f t="shared" si="47"/>
        <v>12229.6484</v>
      </c>
      <c r="AT60" s="573">
        <f t="shared" si="47"/>
        <v>52127.811000000002</v>
      </c>
      <c r="AU60" s="573">
        <f t="shared" si="47"/>
        <v>18390.067200000001</v>
      </c>
      <c r="AV60" s="1082">
        <f t="shared" si="47"/>
        <v>0</v>
      </c>
      <c r="AW60" s="572">
        <f t="shared" si="47"/>
        <v>0</v>
      </c>
      <c r="AX60" s="575">
        <f t="shared" si="47"/>
        <v>0</v>
      </c>
    </row>
    <row r="61" spans="2:63" outlineLevel="1">
      <c r="AC61" s="266"/>
    </row>
    <row r="62" spans="2:63" ht="12.75" customHeight="1" outlineLevel="1">
      <c r="B62" s="2145" t="s">
        <v>4073</v>
      </c>
      <c r="C62" s="140"/>
      <c r="D62" s="140"/>
      <c r="E62" s="140"/>
      <c r="F62" s="140"/>
      <c r="G62" s="141"/>
      <c r="H62" s="140"/>
      <c r="I62" s="140"/>
      <c r="J62" s="140"/>
      <c r="K62" s="140"/>
      <c r="L62" s="141"/>
      <c r="M62" s="141"/>
      <c r="N62" s="1610"/>
      <c r="W62" s="116"/>
      <c r="X62" s="2636" t="s">
        <v>366</v>
      </c>
      <c r="Y62" s="2637"/>
      <c r="Z62" s="2637"/>
      <c r="AA62" s="2637"/>
      <c r="AB62" s="2637"/>
      <c r="AC62" s="2637"/>
      <c r="AD62" s="2638"/>
      <c r="AE62" s="1773"/>
      <c r="AG62" s="2639" t="s">
        <v>441</v>
      </c>
      <c r="AH62" s="2640"/>
      <c r="AI62" s="2640"/>
      <c r="AJ62" s="2640"/>
      <c r="AK62" s="2640"/>
      <c r="AL62" s="2640"/>
      <c r="AM62" s="2640"/>
      <c r="AN62" s="2640"/>
      <c r="AO62" s="2640"/>
      <c r="AP62" s="2640"/>
      <c r="AQ62" s="2640"/>
      <c r="AR62" s="2640"/>
      <c r="AS62" s="2640"/>
      <c r="AT62" s="2640"/>
      <c r="AU62" s="2640"/>
      <c r="AV62" s="2640"/>
      <c r="AW62" s="2640"/>
      <c r="AX62" s="2641"/>
    </row>
    <row r="63" spans="2:63" ht="12.75" customHeight="1" outlineLevel="1">
      <c r="B63" s="333"/>
      <c r="C63" s="167"/>
      <c r="D63" s="378" t="s">
        <v>308</v>
      </c>
      <c r="E63" s="1663"/>
      <c r="F63" s="144"/>
      <c r="G63" s="144"/>
      <c r="H63" s="144"/>
      <c r="I63" s="144"/>
      <c r="J63" s="2235"/>
      <c r="K63" s="2235"/>
      <c r="L63" s="1220" t="s">
        <v>233</v>
      </c>
      <c r="M63" s="1220"/>
      <c r="N63" s="153" t="s">
        <v>275</v>
      </c>
      <c r="W63" s="116"/>
      <c r="X63" s="159"/>
      <c r="Y63" s="818"/>
      <c r="Z63" s="818"/>
      <c r="AA63" s="379"/>
      <c r="AB63" s="379"/>
      <c r="AC63" s="2230"/>
      <c r="AD63" s="1674"/>
      <c r="AE63" s="1674" t="s">
        <v>275</v>
      </c>
      <c r="AG63" s="2642" t="s">
        <v>444</v>
      </c>
      <c r="AH63" s="2643"/>
      <c r="AI63" s="2643"/>
      <c r="AJ63" s="2643"/>
      <c r="AK63" s="2643"/>
      <c r="AL63" s="2643"/>
      <c r="AM63" s="2643"/>
      <c r="AN63" s="2643"/>
      <c r="AO63" s="2643"/>
      <c r="AP63" s="2643"/>
      <c r="AQ63" s="2643"/>
      <c r="AR63" s="2644"/>
      <c r="AS63" s="2642" t="s">
        <v>444</v>
      </c>
      <c r="AT63" s="2643"/>
      <c r="AU63" s="2644"/>
      <c r="AV63" s="1288"/>
      <c r="AW63" s="566"/>
      <c r="AX63" s="583"/>
      <c r="BH63" s="2616" t="s">
        <v>1648</v>
      </c>
      <c r="BI63" s="2617"/>
      <c r="BJ63" s="2618"/>
    </row>
    <row r="64" spans="2:63" ht="12.75" customHeight="1" outlineLevel="1">
      <c r="B64" s="143"/>
      <c r="C64" s="144"/>
      <c r="D64" s="379" t="s">
        <v>409</v>
      </c>
      <c r="E64" s="1656"/>
      <c r="F64" s="147" t="s">
        <v>452</v>
      </c>
      <c r="G64" s="147"/>
      <c r="H64" s="2626" t="s">
        <v>2222</v>
      </c>
      <c r="I64" s="2628"/>
      <c r="J64" s="2628"/>
      <c r="K64" s="2230"/>
      <c r="L64" s="537" t="s">
        <v>444</v>
      </c>
      <c r="M64" s="537" t="s">
        <v>444</v>
      </c>
      <c r="N64" s="153" t="s">
        <v>276</v>
      </c>
      <c r="W64" s="116"/>
      <c r="X64" s="1219" t="s">
        <v>316</v>
      </c>
      <c r="Y64" s="2629" t="s">
        <v>316</v>
      </c>
      <c r="Z64" s="2630"/>
      <c r="AA64" s="379" t="s">
        <v>444</v>
      </c>
      <c r="AB64" s="379" t="s">
        <v>444</v>
      </c>
      <c r="AC64" s="2230" t="s">
        <v>444</v>
      </c>
      <c r="AD64" s="2236" t="s">
        <v>444</v>
      </c>
      <c r="AE64" s="383" t="s">
        <v>276</v>
      </c>
      <c r="AG64" s="2631" t="s">
        <v>211</v>
      </c>
      <c r="AH64" s="2632"/>
      <c r="AI64" s="2632"/>
      <c r="AJ64" s="2632" t="s">
        <v>442</v>
      </c>
      <c r="AK64" s="2632"/>
      <c r="AL64" s="2632"/>
      <c r="AM64" s="2632" t="s">
        <v>267</v>
      </c>
      <c r="AN64" s="2632"/>
      <c r="AO64" s="2632"/>
      <c r="AP64" s="2632" t="s">
        <v>443</v>
      </c>
      <c r="AQ64" s="2632"/>
      <c r="AR64" s="2650"/>
      <c r="AS64" s="2848" t="s">
        <v>327</v>
      </c>
      <c r="AT64" s="2648"/>
      <c r="AU64" s="2649"/>
      <c r="AV64" s="2631" t="s">
        <v>636</v>
      </c>
      <c r="AW64" s="2632"/>
      <c r="AX64" s="568"/>
      <c r="BH64" s="2837" t="s">
        <v>1646</v>
      </c>
      <c r="BI64" s="2839" t="s">
        <v>422</v>
      </c>
      <c r="BJ64" s="2839" t="s">
        <v>411</v>
      </c>
      <c r="BK64" s="2839" t="s">
        <v>257</v>
      </c>
    </row>
    <row r="65" spans="2:63" ht="12.75" customHeight="1" outlineLevel="1">
      <c r="B65" s="143"/>
      <c r="C65" s="144"/>
      <c r="D65" s="379" t="s">
        <v>444</v>
      </c>
      <c r="E65" s="1656"/>
      <c r="F65" s="149" t="s">
        <v>445</v>
      </c>
      <c r="G65" s="153" t="s">
        <v>38</v>
      </c>
      <c r="H65" s="1662" t="s">
        <v>422</v>
      </c>
      <c r="I65" s="1226" t="s">
        <v>411</v>
      </c>
      <c r="J65" s="1226" t="s">
        <v>257</v>
      </c>
      <c r="K65" s="2231" t="s">
        <v>422</v>
      </c>
      <c r="L65" s="1222" t="s">
        <v>411</v>
      </c>
      <c r="M65" s="1222" t="s">
        <v>257</v>
      </c>
      <c r="N65" s="153" t="s">
        <v>444</v>
      </c>
      <c r="W65" s="116"/>
      <c r="X65" s="1219" t="s">
        <v>1649</v>
      </c>
      <c r="Y65" s="2646" t="s">
        <v>1650</v>
      </c>
      <c r="Z65" s="2647"/>
      <c r="AA65" s="381" t="s">
        <v>411</v>
      </c>
      <c r="AB65" s="381" t="s">
        <v>257</v>
      </c>
      <c r="AC65" s="1662" t="s">
        <v>422</v>
      </c>
      <c r="AD65" s="162" t="s">
        <v>327</v>
      </c>
      <c r="AE65" s="383" t="s">
        <v>444</v>
      </c>
      <c r="AG65" s="579" t="s">
        <v>411</v>
      </c>
      <c r="AH65" s="580" t="s">
        <v>257</v>
      </c>
      <c r="AI65" s="580"/>
      <c r="AJ65" s="580" t="s">
        <v>411</v>
      </c>
      <c r="AK65" s="580" t="s">
        <v>257</v>
      </c>
      <c r="AL65" s="580"/>
      <c r="AM65" s="580" t="s">
        <v>411</v>
      </c>
      <c r="AN65" s="580" t="s">
        <v>257</v>
      </c>
      <c r="AO65" s="580"/>
      <c r="AP65" s="580" t="s">
        <v>411</v>
      </c>
      <c r="AQ65" s="580" t="s">
        <v>257</v>
      </c>
      <c r="AR65" s="580"/>
      <c r="AS65" s="1289" t="s">
        <v>411</v>
      </c>
      <c r="AT65" s="581" t="s">
        <v>257</v>
      </c>
      <c r="AU65" s="581"/>
      <c r="AV65" s="579" t="s">
        <v>411</v>
      </c>
      <c r="AW65" s="580" t="s">
        <v>257</v>
      </c>
      <c r="AX65" s="583"/>
      <c r="BH65" s="2838"/>
      <c r="BI65" s="2840"/>
      <c r="BJ65" s="2840"/>
      <c r="BK65" s="2840"/>
    </row>
    <row r="66" spans="2:63" ht="12.75" customHeight="1" outlineLevel="1">
      <c r="B66" s="143" t="s">
        <v>4051</v>
      </c>
      <c r="C66" s="144"/>
      <c r="D66" s="212">
        <f>SUM(L66:M66)</f>
        <v>0</v>
      </c>
      <c r="E66" s="212"/>
      <c r="F66" s="409"/>
      <c r="G66" s="117"/>
      <c r="H66" s="219">
        <f>IF(ISNA(VLOOKUP($B66&amp;"; "&amp;$H$64&amp;", "&amp;$H$65,'FE Déplacements'!$G:$U,9,FALSE)),0,VLOOKUP($B66&amp;"; "&amp;$H$64&amp;", "&amp;$H$65,'FE Déplacements'!$G:$U,9,FALSE))</f>
        <v>0</v>
      </c>
      <c r="I66" s="219">
        <f>IF(ISNA(VLOOKUP($B66&amp;"; "&amp;$H$64&amp;", "&amp;$I$65,'FE Déplacements'!$G:$U,9,FALSE)),0,VLOOKUP($B66&amp;"; "&amp;$H$64&amp;", "&amp;$I$65,'FE Déplacements'!$G:$U,9,FALSE))</f>
        <v>0</v>
      </c>
      <c r="J66" s="219">
        <f>IF(ISNA(VLOOKUP($B66&amp;"; "&amp;$H$64&amp;", "&amp;$J$65,'FE Déplacements'!$G:$U,9,FALSE)),0,VLOOKUP($B66&amp;"; "&amp;$H$64&amp;", "&amp;$J$65,'FE Déplacements'!$G:$U,9,FALSE))</f>
        <v>0</v>
      </c>
      <c r="K66" s="212">
        <f>G66*H66</f>
        <v>0</v>
      </c>
      <c r="L66" s="356">
        <f>G66*I66</f>
        <v>0</v>
      </c>
      <c r="M66" s="151">
        <f>G66*J66</f>
        <v>0</v>
      </c>
      <c r="N66" s="1286">
        <f>IF(OR(F66=Utilitaires!$I$572,F66=Utilitaires!$I$577),M66,0)</f>
        <v>0</v>
      </c>
      <c r="W66" s="116"/>
      <c r="X66" s="1092">
        <f>IF(AD66=0,AD66,AD66/D66)</f>
        <v>0</v>
      </c>
      <c r="Y66" s="343"/>
      <c r="Z66" s="820"/>
      <c r="AA66" s="164">
        <f t="shared" ref="AA66:AB68" si="48">L66*BJ66</f>
        <v>0</v>
      </c>
      <c r="AB66" s="164">
        <f t="shared" si="48"/>
        <v>0</v>
      </c>
      <c r="AC66" s="164">
        <f>K66*BI66</f>
        <v>0</v>
      </c>
      <c r="AD66" s="152">
        <f>SQRT(SUMSQ(AA66:AC66))</f>
        <v>0</v>
      </c>
      <c r="AE66" s="165">
        <f>N66*X66</f>
        <v>0</v>
      </c>
      <c r="AG66" s="564">
        <f>$G66*IF(ISNA(VLOOKUP($B66&amp;"; "&amp;$H$64&amp;", "&amp;I$65,'FE Déplacements'!$G:$U,10,FALSE)),0,VLOOKUP($B66&amp;"; "&amp;$H$64&amp;", "&amp;I$65,'FE Déplacements'!$G:$U,10,FALSE))</f>
        <v>0</v>
      </c>
      <c r="AH66" s="565">
        <f>$G66*IF(ISNA(VLOOKUP($B66&amp;"; "&amp;$H$64&amp;", "&amp;J$65,'FE Déplacements'!$G:$U,10,FALSE)),0,VLOOKUP($B66&amp;"; "&amp;$H$64&amp;", "&amp;J$65,'FE Déplacements'!$G:$U,10,FALSE))</f>
        <v>0</v>
      </c>
      <c r="AI66" s="565"/>
      <c r="AJ66" s="565">
        <f>$G66*IF(ISNA((VLOOKUP($B66&amp;"; "&amp;$H$64&amp;", "&amp;I$65,'FE Déplacements'!$G:$U,12,FALSE)+VLOOKUP($B66&amp;"; "&amp;$H$64&amp;", "&amp;I$65,'FE Déplacements'!$G:$U,11,FALSE))),0,(VLOOKUP($B66&amp;"; "&amp;$H$64&amp;", "&amp;I$65,'FE Déplacements'!$G:$U,12,FALSE)+VLOOKUP($B66&amp;"; "&amp;$H$64&amp;", "&amp;I$65,'FE Déplacements'!$G:$U,11,FALSE)))</f>
        <v>0</v>
      </c>
      <c r="AK66" s="565">
        <f>$G66*IF(ISNA((VLOOKUP($B66&amp;"; "&amp;$H$64&amp;", "&amp;J$65,'FE Déplacements'!$G:$U,12,FALSE)+VLOOKUP($B66&amp;"; "&amp;$H$64&amp;", "&amp;J$65,'FE Déplacements'!$G:$U,11,FALSE))),0,(VLOOKUP($B66&amp;"; "&amp;$H$64&amp;", "&amp;J$65,'FE Déplacements'!$G:$U,12,FALSE)+VLOOKUP($B66&amp;"; "&amp;$H$64&amp;", "&amp;J$65,'FE Déplacements'!$G:$U,11,FALSE)))</f>
        <v>0</v>
      </c>
      <c r="AL66" s="565"/>
      <c r="AM66" s="565">
        <f>$G66*IF(ISNA(VLOOKUP($B66&amp;"; "&amp;$H$64&amp;", "&amp;I$65,'FE Déplacements'!$G:$U,13,FALSE)),0,VLOOKUP($B66&amp;"; "&amp;$H$64&amp;", "&amp;I$65,'FE Déplacements'!$G:$U,13,FALSE))</f>
        <v>0</v>
      </c>
      <c r="AN66" s="565">
        <f>$G66*IF(ISNA(VLOOKUP($B66&amp;"; "&amp;$H$64&amp;", "&amp;J$65,'FE Déplacements'!$G:$U,13,FALSE)),0,VLOOKUP($B66&amp;"; "&amp;$H$64&amp;", "&amp;J$65,'FE Déplacements'!$G:$U,13,FALSE))</f>
        <v>0</v>
      </c>
      <c r="AO66" s="565"/>
      <c r="AP66" s="565">
        <v>0</v>
      </c>
      <c r="AQ66" s="565">
        <v>0</v>
      </c>
      <c r="AR66" s="565"/>
      <c r="AS66" s="1288">
        <f t="shared" ref="AS66:AT68" si="49">SUM(AG66,AJ66,AM66,AP66)</f>
        <v>0</v>
      </c>
      <c r="AT66" s="566">
        <f t="shared" si="49"/>
        <v>0</v>
      </c>
      <c r="AU66" s="566"/>
      <c r="AV66" s="564">
        <f>$G66*IF(ISNA(VLOOKUP($B66&amp;"; "&amp;$H$64&amp;", "&amp;I$65,'FE Déplacements'!$G:$U,15,FALSE)),0,VLOOKUP($B66&amp;"; "&amp;$H$64&amp;", "&amp;I$65,'FE Déplacements'!$G:$U,15,FALSE))</f>
        <v>0</v>
      </c>
      <c r="AW66" s="565">
        <f>$G66*IF(ISNA(VLOOKUP($B66&amp;"; "&amp;$H$64&amp;", "&amp;J$65,'FE Déplacements'!$G:$U,15,FALSE)),0,VLOOKUP($B66&amp;"; "&amp;$H$64&amp;", "&amp;J$65,'FE Déplacements'!$G:$U,15,FALSE))</f>
        <v>0</v>
      </c>
      <c r="AX66" s="568"/>
      <c r="BH66" s="1065">
        <f>IF($Y66&lt;&gt;"votre valeur :",IF(ISNA(VLOOKUP($Y66,Utilitaires!$N$566:$O$571,2,FALSE)),,VLOOKUP($Y66,Utilitaires!$N$566:$O$571,2,FALSE)),$Z66)</f>
        <v>0</v>
      </c>
      <c r="BI66" s="2240">
        <f>IF(ISNA(SQRT(SUMSQ(VLOOKUP($B66&amp;"; "&amp;$H$64&amp;", "&amp;$H$65,'FE Déplacements'!$G:$U,7,FALSE),$BH66))),0,SQRT(SUMSQ(VLOOKUP($B66&amp;"; "&amp;$H$64&amp;", "&amp;$H$65,'FE Déplacements'!$G:$U,7,FALSE),$BH66)))</f>
        <v>0</v>
      </c>
      <c r="BJ66" s="1124">
        <f>IF(ISNA(SQRT(SUMSQ(VLOOKUP($B66&amp;"; "&amp;$H$64&amp;", "&amp;$I$65,'FE Déplacements'!$G:$U,7,FALSE),$BH66))),0,SQRT(SUMSQ(VLOOKUP($B66&amp;"; "&amp;$H$64&amp;", "&amp;$I$65,'FE Déplacements'!$G:$U,7,FALSE),$BH66)))</f>
        <v>0</v>
      </c>
      <c r="BK66" s="1130">
        <f>IF(ISNA(SQRT(SUMSQ(VLOOKUP($B66&amp;"; "&amp;$H$64&amp;", "&amp;$J$65,'FE Déplacements'!$G:$U,7,FALSE),$BH66))),0,SQRT(SUMSQ(VLOOKUP($B66&amp;"; "&amp;$H$64&amp;", "&amp;$J$65,'FE Déplacements'!$G:$U,7,FALSE),$BH66)))</f>
        <v>0</v>
      </c>
    </row>
    <row r="67" spans="2:63" ht="12.75" customHeight="1" outlineLevel="1">
      <c r="B67" s="143" t="s">
        <v>4052</v>
      </c>
      <c r="C67" s="144"/>
      <c r="D67" s="212">
        <f>SUM(L67:M67)</f>
        <v>0</v>
      </c>
      <c r="E67" s="212"/>
      <c r="F67" s="346"/>
      <c r="G67" s="120"/>
      <c r="H67" s="219">
        <f>IF(ISNA(VLOOKUP($B67&amp;"; "&amp;$H$64&amp;", "&amp;$H$65,'FE Déplacements'!$G:$U,9,FALSE)),0,VLOOKUP($B67&amp;"; "&amp;$H$64&amp;", "&amp;$H$65,'FE Déplacements'!$G:$U,9,FALSE))</f>
        <v>0</v>
      </c>
      <c r="I67" s="219">
        <f>IF(ISNA(VLOOKUP($B67&amp;"; "&amp;$H$64&amp;", "&amp;$I$65,'FE Déplacements'!$G:$U,9,FALSE)),0,VLOOKUP($B67&amp;"; "&amp;$H$64&amp;", "&amp;$I$65,'FE Déplacements'!$G:$U,9,FALSE))</f>
        <v>0</v>
      </c>
      <c r="J67" s="219">
        <f>IF(ISNA(VLOOKUP($B67&amp;"; "&amp;$H$64&amp;", "&amp;$J$65,'FE Déplacements'!$G:$U,9,FALSE)),0,VLOOKUP($B67&amp;"; "&amp;$H$64&amp;", "&amp;$J$65,'FE Déplacements'!$G:$U,9,FALSE))</f>
        <v>0</v>
      </c>
      <c r="K67" s="212">
        <f t="shared" ref="K67:K68" si="50">G67*H67</f>
        <v>0</v>
      </c>
      <c r="L67" s="356">
        <f>G67*I67</f>
        <v>0</v>
      </c>
      <c r="M67" s="151">
        <f>G67*J67</f>
        <v>0</v>
      </c>
      <c r="N67" s="1286">
        <f>IF(OR(F67=Utilitaires!$I$572,F67=Utilitaires!$I$577),M67,0)</f>
        <v>0</v>
      </c>
      <c r="W67" s="116"/>
      <c r="X67" s="1092">
        <f>IF(AD67=0,AD67,AD67/D67)</f>
        <v>0</v>
      </c>
      <c r="Y67" s="343"/>
      <c r="Z67" s="820"/>
      <c r="AA67" s="164">
        <f t="shared" si="48"/>
        <v>0</v>
      </c>
      <c r="AB67" s="164">
        <f t="shared" si="48"/>
        <v>0</v>
      </c>
      <c r="AC67" s="164">
        <f>K67*BI67</f>
        <v>0</v>
      </c>
      <c r="AD67" s="152">
        <f t="shared" ref="AD67:AD68" si="51">SQRT(SUMSQ(AA67:AC67))</f>
        <v>0</v>
      </c>
      <c r="AE67" s="165">
        <f>N67*X67</f>
        <v>0</v>
      </c>
      <c r="AG67" s="564">
        <f>$G67*IF(ISNA(VLOOKUP($B67&amp;"; "&amp;$H$64&amp;", "&amp;I$65,'FE Déplacements'!$G:$U,10,FALSE)),0,VLOOKUP($B67&amp;"; "&amp;$H$64&amp;", "&amp;I$65,'FE Déplacements'!$G:$U,10,FALSE))</f>
        <v>0</v>
      </c>
      <c r="AH67" s="565">
        <f>$G67*IF(ISNA(VLOOKUP($B67&amp;"; "&amp;$H$64&amp;", "&amp;J$65,'FE Déplacements'!$G:$U,10,FALSE)),0,VLOOKUP($B67&amp;"; "&amp;$H$64&amp;", "&amp;J$65,'FE Déplacements'!$G:$U,10,FALSE))</f>
        <v>0</v>
      </c>
      <c r="AI67" s="565"/>
      <c r="AJ67" s="565">
        <f>$G67*IF(ISNA((VLOOKUP($B67&amp;"; "&amp;$H$64&amp;", "&amp;I$65,'FE Déplacements'!$G:$U,12,FALSE)+VLOOKUP($B67&amp;"; "&amp;$H$64&amp;", "&amp;I$65,'FE Déplacements'!$G:$U,11,FALSE))),0,(VLOOKUP($B67&amp;"; "&amp;$H$64&amp;", "&amp;I$65,'FE Déplacements'!$G:$U,12,FALSE)+VLOOKUP($B67&amp;"; "&amp;$H$64&amp;", "&amp;I$65,'FE Déplacements'!$G:$U,11,FALSE)))</f>
        <v>0</v>
      </c>
      <c r="AK67" s="565">
        <f>$G67*IF(ISNA((VLOOKUP($B67&amp;"; "&amp;$H$64&amp;", "&amp;J$65,'FE Déplacements'!$G:$U,12,FALSE)+VLOOKUP($B67&amp;"; "&amp;$H$64&amp;", "&amp;J$65,'FE Déplacements'!$G:$U,11,FALSE))),0,(VLOOKUP($B67&amp;"; "&amp;$H$64&amp;", "&amp;J$65,'FE Déplacements'!$G:$U,12,FALSE)+VLOOKUP($B67&amp;"; "&amp;$H$64&amp;", "&amp;J$65,'FE Déplacements'!$G:$U,11,FALSE)))</f>
        <v>0</v>
      </c>
      <c r="AL67" s="565"/>
      <c r="AM67" s="565">
        <f>$G67*IF(ISNA(VLOOKUP($B67&amp;"; "&amp;$H$64&amp;", "&amp;I$65,'FE Déplacements'!$G:$U,13,FALSE)),0,VLOOKUP($B67&amp;"; "&amp;$H$64&amp;", "&amp;I$65,'FE Déplacements'!$G:$U,13,FALSE))</f>
        <v>0</v>
      </c>
      <c r="AN67" s="565">
        <f>$G67*IF(ISNA(VLOOKUP($B67&amp;"; "&amp;$H$64&amp;", "&amp;J$65,'FE Déplacements'!$G:$U,13,FALSE)),0,VLOOKUP($B67&amp;"; "&amp;$H$64&amp;", "&amp;J$65,'FE Déplacements'!$G:$U,13,FALSE))</f>
        <v>0</v>
      </c>
      <c r="AO67" s="565"/>
      <c r="AP67" s="565">
        <v>0</v>
      </c>
      <c r="AQ67" s="565">
        <v>0</v>
      </c>
      <c r="AR67" s="565"/>
      <c r="AS67" s="1288">
        <f t="shared" si="49"/>
        <v>0</v>
      </c>
      <c r="AT67" s="566">
        <f t="shared" si="49"/>
        <v>0</v>
      </c>
      <c r="AU67" s="566"/>
      <c r="AV67" s="564">
        <f>$G67*IF(ISNA(VLOOKUP($B67&amp;"; "&amp;$H$64&amp;", "&amp;I$65,'FE Déplacements'!$G:$U,15,FALSE)),0,VLOOKUP($B67&amp;"; "&amp;$H$64&amp;", "&amp;I$65,'FE Déplacements'!$G:$U,15,FALSE))</f>
        <v>0</v>
      </c>
      <c r="AW67" s="565">
        <f>$G67*IF(ISNA(VLOOKUP($B67&amp;"; "&amp;$H$64&amp;", "&amp;J$65,'FE Déplacements'!$G:$U,15,FALSE)),0,VLOOKUP($B67&amp;"; "&amp;$H$64&amp;", "&amp;J$65,'FE Déplacements'!$G:$U,15,FALSE))</f>
        <v>0</v>
      </c>
      <c r="AX67" s="568"/>
      <c r="BH67" s="1065">
        <f>IF($Y67&lt;&gt;"votre valeur :",IF(ISNA(VLOOKUP($Y67,Utilitaires!$N$566:$O$571,2,FALSE)),,VLOOKUP($Y67,Utilitaires!$N$566:$O$571,2,FALSE)),$Z67)</f>
        <v>0</v>
      </c>
      <c r="BI67" s="2240">
        <f>IF(ISNA(SQRT(SUMSQ(VLOOKUP($B67&amp;"; "&amp;$H$64&amp;", "&amp;$H$65,'FE Déplacements'!$G:$U,7,FALSE),$BH67))),0,SQRT(SUMSQ(VLOOKUP($B67&amp;"; "&amp;$H$64&amp;", "&amp;$H$65,'FE Déplacements'!$G:$U,7,FALSE),$BH67)))</f>
        <v>0</v>
      </c>
      <c r="BJ67" s="2240">
        <f>IF(ISNA(SQRT(SUMSQ(VLOOKUP($B67&amp;"; "&amp;$H$64&amp;", "&amp;$I$65,'FE Déplacements'!$G:$U,7,FALSE),$BH67))),0,SQRT(SUMSQ(VLOOKUP($B67&amp;"; "&amp;$H$64&amp;", "&amp;$I$65,'FE Déplacements'!$G:$U,7,FALSE),$BH67)))</f>
        <v>0</v>
      </c>
      <c r="BK67" s="1130">
        <f>IF(ISNA(SQRT(SUMSQ(VLOOKUP($B67&amp;"; "&amp;$H$64&amp;", "&amp;$J$65,'FE Déplacements'!$G:$U,7,FALSE),$BH67))),0,SQRT(SUMSQ(VLOOKUP($B67&amp;"; "&amp;$H$64&amp;", "&amp;$J$65,'FE Déplacements'!$G:$U,7,FALSE),$BH67)))</f>
        <v>0</v>
      </c>
    </row>
    <row r="68" spans="2:63" ht="12.75" customHeight="1" outlineLevel="1">
      <c r="B68" s="143" t="s">
        <v>4053</v>
      </c>
      <c r="C68" s="144"/>
      <c r="D68" s="212">
        <f>SUM(L68:M68)</f>
        <v>0</v>
      </c>
      <c r="E68" s="212"/>
      <c r="F68" s="347"/>
      <c r="G68" s="123"/>
      <c r="H68" s="219">
        <f>IF(ISNA(VLOOKUP($B68&amp;"; "&amp;$H$64&amp;", "&amp;$H$65,'FE Déplacements'!$G:$U,9,FALSE)),0,VLOOKUP($B68&amp;"; "&amp;$H$64&amp;", "&amp;$H$65,'FE Déplacements'!$G:$U,9,FALSE))</f>
        <v>0</v>
      </c>
      <c r="I68" s="219">
        <f>IF(ISNA(VLOOKUP($B68&amp;"; "&amp;$H$64&amp;", "&amp;$I$65,'FE Déplacements'!$G:$U,9,FALSE)),0,VLOOKUP($B68&amp;"; "&amp;$H$64&amp;", "&amp;$I$65,'FE Déplacements'!$G:$U,9,FALSE))</f>
        <v>0</v>
      </c>
      <c r="J68" s="219">
        <f>IF(ISNA(VLOOKUP($B68&amp;"; "&amp;$H$64&amp;", "&amp;$J$65,'FE Déplacements'!$G:$U,9,FALSE)),0,VLOOKUP($B68&amp;"; "&amp;$H$64&amp;", "&amp;$J$65,'FE Déplacements'!$G:$U,9,FALSE))</f>
        <v>0</v>
      </c>
      <c r="K68" s="212">
        <f t="shared" si="50"/>
        <v>0</v>
      </c>
      <c r="L68" s="356">
        <f>G68*I68</f>
        <v>0</v>
      </c>
      <c r="M68" s="151">
        <f>G68*J68</f>
        <v>0</v>
      </c>
      <c r="N68" s="1286">
        <f>IF(OR(F68=Utilitaires!$I$572,F68=Utilitaires!$I$577),M68,0)</f>
        <v>0</v>
      </c>
      <c r="W68" s="116"/>
      <c r="X68" s="1092">
        <f>IF(AD68=0,AD68,AD68/D68)</f>
        <v>0</v>
      </c>
      <c r="Y68" s="1094"/>
      <c r="Z68" s="820"/>
      <c r="AA68" s="164">
        <f t="shared" si="48"/>
        <v>0</v>
      </c>
      <c r="AB68" s="164">
        <f t="shared" si="48"/>
        <v>0</v>
      </c>
      <c r="AC68" s="164">
        <f>K68*BI68</f>
        <v>0</v>
      </c>
      <c r="AD68" s="152">
        <f t="shared" si="51"/>
        <v>0</v>
      </c>
      <c r="AE68" s="165">
        <f>N68*X68</f>
        <v>0</v>
      </c>
      <c r="AG68" s="564">
        <f>$G68*IF(ISNA(VLOOKUP($B68&amp;"; "&amp;$H$64&amp;", "&amp;I$65,'FE Déplacements'!$G:$U,10,FALSE)),0,VLOOKUP($B68&amp;"; "&amp;$H$64&amp;", "&amp;I$65,'FE Déplacements'!$G:$U,10,FALSE))</f>
        <v>0</v>
      </c>
      <c r="AH68" s="565">
        <f>$G68*IF(ISNA(VLOOKUP($B68&amp;"; "&amp;$H$64&amp;", "&amp;J$65,'FE Déplacements'!$G:$U,10,FALSE)),0,VLOOKUP($B68&amp;"; "&amp;$H$64&amp;", "&amp;J$65,'FE Déplacements'!$G:$U,10,FALSE))</f>
        <v>0</v>
      </c>
      <c r="AI68" s="565"/>
      <c r="AJ68" s="565">
        <f>$G68*IF(ISNA((VLOOKUP($B68&amp;"; "&amp;$H$64&amp;", "&amp;I$65,'FE Déplacements'!$G:$U,12,FALSE)+VLOOKUP($B68&amp;"; "&amp;$H$64&amp;", "&amp;I$65,'FE Déplacements'!$G:$U,11,FALSE))),0,(VLOOKUP($B68&amp;"; "&amp;$H$64&amp;", "&amp;I$65,'FE Déplacements'!$G:$U,12,FALSE)+VLOOKUP($B68&amp;"; "&amp;$H$64&amp;", "&amp;I$65,'FE Déplacements'!$G:$U,11,FALSE)))</f>
        <v>0</v>
      </c>
      <c r="AK68" s="565">
        <f>$G68*IF(ISNA((VLOOKUP($B68&amp;"; "&amp;$H$64&amp;", "&amp;J$65,'FE Déplacements'!$G:$U,12,FALSE)+VLOOKUP($B68&amp;"; "&amp;$H$64&amp;", "&amp;J$65,'FE Déplacements'!$G:$U,11,FALSE))),0,(VLOOKUP($B68&amp;"; "&amp;$H$64&amp;", "&amp;J$65,'FE Déplacements'!$G:$U,12,FALSE)+VLOOKUP($B68&amp;"; "&amp;$H$64&amp;", "&amp;J$65,'FE Déplacements'!$G:$U,11,FALSE)))</f>
        <v>0</v>
      </c>
      <c r="AL68" s="565"/>
      <c r="AM68" s="565">
        <f>$G68*IF(ISNA(VLOOKUP($B68&amp;"; "&amp;$H$64&amp;", "&amp;I$65,'FE Déplacements'!$G:$U,13,FALSE)),0,VLOOKUP($B68&amp;"; "&amp;$H$64&amp;", "&amp;I$65,'FE Déplacements'!$G:$U,13,FALSE))</f>
        <v>0</v>
      </c>
      <c r="AN68" s="565">
        <f>$G68*IF(ISNA(VLOOKUP($B68&amp;"; "&amp;$H$64&amp;", "&amp;J$65,'FE Déplacements'!$G:$U,13,FALSE)),0,VLOOKUP($B68&amp;"; "&amp;$H$64&amp;", "&amp;J$65,'FE Déplacements'!$G:$U,13,FALSE))</f>
        <v>0</v>
      </c>
      <c r="AO68" s="565"/>
      <c r="AP68" s="565">
        <v>0</v>
      </c>
      <c r="AQ68" s="565">
        <v>0</v>
      </c>
      <c r="AR68" s="565"/>
      <c r="AS68" s="1288">
        <f t="shared" si="49"/>
        <v>0</v>
      </c>
      <c r="AT68" s="566">
        <f t="shared" si="49"/>
        <v>0</v>
      </c>
      <c r="AU68" s="566"/>
      <c r="AV68" s="564">
        <f>$G68*IF(ISNA(VLOOKUP($B68&amp;"; "&amp;$H$64&amp;", "&amp;I$65,'FE Déplacements'!$G:$U,15,FALSE)),0,VLOOKUP($B68&amp;"; "&amp;$H$64&amp;", "&amp;I$65,'FE Déplacements'!$G:$U,15,FALSE))</f>
        <v>0</v>
      </c>
      <c r="AW68" s="565">
        <f>$G68*IF(ISNA(VLOOKUP($B68&amp;"; "&amp;$H$64&amp;", "&amp;J$65,'FE Déplacements'!$G:$U,15,FALSE)),0,VLOOKUP($B68&amp;"; "&amp;$H$64&amp;", "&amp;J$65,'FE Déplacements'!$G:$U,15,FALSE))</f>
        <v>0</v>
      </c>
      <c r="AX68" s="568"/>
      <c r="BH68" s="1065">
        <f>IF($Y68&lt;&gt;"votre valeur :",IF(ISNA(VLOOKUP($Y68,Utilitaires!$N$566:$O$571,2,FALSE)),,VLOOKUP($Y68,Utilitaires!$N$566:$O$571,2,FALSE)),$Z68)</f>
        <v>0</v>
      </c>
      <c r="BI68" s="2240">
        <f>IF(ISNA(SQRT(SUMSQ(VLOOKUP($B68&amp;"; "&amp;$H$64&amp;", "&amp;$H$65,'FE Déplacements'!$G:$U,7,FALSE),$BH68))),0,SQRT(SUMSQ(VLOOKUP($B68&amp;"; "&amp;$H$64&amp;", "&amp;$H$65,'FE Déplacements'!$G:$U,7,FALSE),$BH68)))</f>
        <v>0</v>
      </c>
      <c r="BJ68" s="2240">
        <f>IF(ISNA(SQRT(SUMSQ(VLOOKUP($B68&amp;"; "&amp;$H$64&amp;", "&amp;$I$65,'FE Déplacements'!$G:$U,7,FALSE),$BH68))),0,SQRT(SUMSQ(VLOOKUP($B68&amp;"; "&amp;$H$64&amp;", "&amp;$I$65,'FE Déplacements'!$G:$U,7,FALSE),$BH68)))</f>
        <v>0</v>
      </c>
      <c r="BK68" s="1130">
        <f>IF(ISNA(SQRT(SUMSQ(VLOOKUP($B68&amp;"; "&amp;$H$64&amp;", "&amp;$J$65,'FE Déplacements'!$G:$U,7,FALSE),$BH68))),0,SQRT(SUMSQ(VLOOKUP($B68&amp;"; "&amp;$H$64&amp;", "&amp;$J$65,'FE Déplacements'!$G:$U,7,FALSE),$BH68)))</f>
        <v>0</v>
      </c>
    </row>
    <row r="69" spans="2:63" ht="12.75" customHeight="1" outlineLevel="1">
      <c r="B69" s="143"/>
      <c r="C69" s="144"/>
      <c r="D69" s="221"/>
      <c r="E69" s="221"/>
      <c r="F69" s="155"/>
      <c r="G69" s="155"/>
      <c r="H69" s="155"/>
      <c r="I69" s="155"/>
      <c r="J69" s="221"/>
      <c r="K69" s="221"/>
      <c r="L69" s="356"/>
      <c r="M69" s="155"/>
      <c r="N69" s="1336"/>
      <c r="W69" s="116"/>
      <c r="X69" s="564"/>
      <c r="Y69" s="565"/>
      <c r="Z69" s="820"/>
      <c r="AA69" s="144"/>
      <c r="AB69" s="144"/>
      <c r="AC69" s="144"/>
      <c r="AD69" s="156"/>
      <c r="AE69" s="152"/>
      <c r="AG69" s="564"/>
      <c r="AH69" s="565"/>
      <c r="AI69" s="565"/>
      <c r="AJ69" s="565"/>
      <c r="AK69" s="565"/>
      <c r="AL69" s="565"/>
      <c r="AM69" s="565"/>
      <c r="AN69" s="565"/>
      <c r="AO69" s="565"/>
      <c r="AP69" s="565"/>
      <c r="AQ69" s="565"/>
      <c r="AR69" s="565"/>
      <c r="AS69" s="1288"/>
      <c r="AT69" s="566"/>
      <c r="AU69" s="565"/>
      <c r="AV69" s="564"/>
      <c r="AW69" s="565"/>
      <c r="AX69" s="568"/>
      <c r="BH69" s="1087"/>
      <c r="BI69" s="1075"/>
      <c r="BJ69" s="1075"/>
      <c r="BK69" s="1131"/>
    </row>
    <row r="70" spans="2:63" ht="12.75" customHeight="1" outlineLevel="1">
      <c r="B70" s="196" t="s">
        <v>348</v>
      </c>
      <c r="C70" s="197"/>
      <c r="D70" s="214">
        <f>SUM(D66:D69)</f>
        <v>0</v>
      </c>
      <c r="E70" s="214"/>
      <c r="F70" s="197"/>
      <c r="G70" s="197"/>
      <c r="H70" s="197"/>
      <c r="I70" s="197"/>
      <c r="J70" s="214"/>
      <c r="K70" s="202">
        <f>SUM(K66:K68)</f>
        <v>0</v>
      </c>
      <c r="L70" s="202">
        <f>SUM(L66:L69)</f>
        <v>0</v>
      </c>
      <c r="M70" s="202">
        <f>SUM(M66:M69)</f>
        <v>0</v>
      </c>
      <c r="N70" s="1311">
        <f>SUM(N66:N69)</f>
        <v>0</v>
      </c>
      <c r="W70" s="116"/>
      <c r="X70" s="1203">
        <f>IF(AD70=0,AD70,AD70/D70)</f>
        <v>0</v>
      </c>
      <c r="Y70" s="203"/>
      <c r="Z70" s="203"/>
      <c r="AA70" s="203">
        <f>SQRT(SUMSQ(AA65:AA69))</f>
        <v>0</v>
      </c>
      <c r="AB70" s="203">
        <f>SQRT(SUMSQ(AB65:AB69))</f>
        <v>0</v>
      </c>
      <c r="AC70" s="203">
        <f>SQRT(SUMSQ(AC65:AC69))</f>
        <v>0</v>
      </c>
      <c r="AD70" s="202">
        <f>SQRT(SUMSQ(AD65:AD69))</f>
        <v>0</v>
      </c>
      <c r="AE70" s="340">
        <f>SQRT(SUMSQ(AE65:AE69))</f>
        <v>0</v>
      </c>
      <c r="AG70" s="571">
        <f>SUM(AG66:AG69)</f>
        <v>0</v>
      </c>
      <c r="AH70" s="572">
        <f>SUM(AH66:AH69)</f>
        <v>0</v>
      </c>
      <c r="AI70" s="572"/>
      <c r="AJ70" s="572">
        <f>SUM(AJ66:AJ69)</f>
        <v>0</v>
      </c>
      <c r="AK70" s="572">
        <f>SUM(AK66:AK69)</f>
        <v>0</v>
      </c>
      <c r="AL70" s="572"/>
      <c r="AM70" s="572">
        <f>SUM(AM66:AM69)</f>
        <v>0</v>
      </c>
      <c r="AN70" s="572">
        <f>SUM(AN66:AN69)</f>
        <v>0</v>
      </c>
      <c r="AO70" s="572"/>
      <c r="AP70" s="572">
        <f>SUM(AP66:AP69)</f>
        <v>0</v>
      </c>
      <c r="AQ70" s="572">
        <f>SUM(AQ66:AQ69)</f>
        <v>0</v>
      </c>
      <c r="AR70" s="572"/>
      <c r="AS70" s="1290">
        <f>SUM(AS66:AS69)</f>
        <v>0</v>
      </c>
      <c r="AT70" s="573">
        <f>SUM(AT66:AT69)</f>
        <v>0</v>
      </c>
      <c r="AU70" s="573"/>
      <c r="AV70" s="1082">
        <f>SUM(AV66:AV69)</f>
        <v>0</v>
      </c>
      <c r="AW70" s="572">
        <f>SUM(AW66:AW69)</f>
        <v>0</v>
      </c>
      <c r="AX70" s="575"/>
    </row>
    <row r="71" spans="2:63" ht="12.75" customHeight="1" outlineLevel="1">
      <c r="B71" s="256"/>
      <c r="C71" s="256"/>
      <c r="D71" s="256"/>
      <c r="E71" s="256"/>
      <c r="F71" s="256"/>
      <c r="G71" s="256"/>
      <c r="H71" s="256"/>
      <c r="I71" s="256"/>
      <c r="J71" s="256"/>
      <c r="K71" s="256"/>
      <c r="L71" s="116"/>
      <c r="AC71" s="266"/>
    </row>
    <row r="72" spans="2:63" ht="12.75" customHeight="1" outlineLevel="1">
      <c r="B72" s="1091" t="s">
        <v>4069</v>
      </c>
      <c r="C72" s="140"/>
      <c r="D72" s="140"/>
      <c r="E72" s="140"/>
      <c r="F72" s="140"/>
      <c r="G72" s="141"/>
      <c r="H72" s="140"/>
      <c r="I72" s="140"/>
      <c r="J72" s="140"/>
      <c r="K72" s="141"/>
      <c r="L72" s="141"/>
      <c r="M72" s="140"/>
      <c r="N72" s="1610"/>
      <c r="W72" s="256"/>
      <c r="X72" s="2636" t="s">
        <v>366</v>
      </c>
      <c r="Y72" s="2637"/>
      <c r="Z72" s="2637"/>
      <c r="AA72" s="2637"/>
      <c r="AB72" s="2637"/>
      <c r="AC72" s="2637"/>
      <c r="AD72" s="2638"/>
      <c r="AE72" s="2144"/>
      <c r="AG72" s="2639" t="s">
        <v>441</v>
      </c>
      <c r="AH72" s="2640"/>
      <c r="AI72" s="2640"/>
      <c r="AJ72" s="2640"/>
      <c r="AK72" s="2640"/>
      <c r="AL72" s="2640"/>
      <c r="AM72" s="2640"/>
      <c r="AN72" s="2640"/>
      <c r="AO72" s="2640"/>
      <c r="AP72" s="2640"/>
      <c r="AQ72" s="2640"/>
      <c r="AR72" s="2640"/>
      <c r="AS72" s="2640"/>
      <c r="AT72" s="2640"/>
      <c r="AU72" s="2640"/>
      <c r="AV72" s="2640"/>
      <c r="AW72" s="2640"/>
      <c r="AX72" s="2641"/>
    </row>
    <row r="73" spans="2:63" ht="12.75" customHeight="1" outlineLevel="1">
      <c r="B73" s="332"/>
      <c r="C73" s="167"/>
      <c r="D73" s="378" t="s">
        <v>308</v>
      </c>
      <c r="E73" s="1663"/>
      <c r="F73" s="144"/>
      <c r="G73" s="144"/>
      <c r="H73" s="2143"/>
      <c r="I73" s="144"/>
      <c r="J73" s="144"/>
      <c r="K73" s="1220"/>
      <c r="L73" s="2628" t="s">
        <v>233</v>
      </c>
      <c r="M73" s="2627"/>
      <c r="N73" s="153" t="s">
        <v>275</v>
      </c>
      <c r="W73" s="256"/>
      <c r="X73" s="382"/>
      <c r="Y73" s="379"/>
      <c r="Z73" s="379"/>
      <c r="AA73" s="379"/>
      <c r="AB73" s="379"/>
      <c r="AC73" s="2140"/>
      <c r="AD73" s="379"/>
      <c r="AE73" s="153" t="s">
        <v>275</v>
      </c>
      <c r="AG73" s="2642" t="s">
        <v>444</v>
      </c>
      <c r="AH73" s="2643"/>
      <c r="AI73" s="2643"/>
      <c r="AJ73" s="2643"/>
      <c r="AK73" s="2643"/>
      <c r="AL73" s="2643"/>
      <c r="AM73" s="2643"/>
      <c r="AN73" s="2643"/>
      <c r="AO73" s="2643"/>
      <c r="AP73" s="2643"/>
      <c r="AQ73" s="2643"/>
      <c r="AR73" s="2644"/>
      <c r="AS73" s="2642" t="s">
        <v>444</v>
      </c>
      <c r="AT73" s="2643"/>
      <c r="AU73" s="2644"/>
      <c r="AV73" s="1288"/>
      <c r="AW73" s="566"/>
      <c r="AX73" s="583"/>
      <c r="BH73" s="2616" t="s">
        <v>1648</v>
      </c>
      <c r="BI73" s="2617"/>
      <c r="BJ73" s="2617"/>
      <c r="BK73" s="2618"/>
    </row>
    <row r="74" spans="2:63" ht="12.75" customHeight="1" outlineLevel="1">
      <c r="B74" s="143"/>
      <c r="C74" s="144"/>
      <c r="D74" s="379" t="s">
        <v>409</v>
      </c>
      <c r="E74" s="1656"/>
      <c r="F74" s="147" t="s">
        <v>452</v>
      </c>
      <c r="G74" s="147"/>
      <c r="H74" s="2626" t="s">
        <v>2224</v>
      </c>
      <c r="I74" s="2628"/>
      <c r="J74" s="2628"/>
      <c r="K74" s="537" t="s">
        <v>444</v>
      </c>
      <c r="L74" s="537" t="s">
        <v>444</v>
      </c>
      <c r="M74" s="2143" t="s">
        <v>444</v>
      </c>
      <c r="N74" s="153" t="s">
        <v>276</v>
      </c>
      <c r="W74" s="256"/>
      <c r="X74" s="1219" t="s">
        <v>316</v>
      </c>
      <c r="Y74" s="2629" t="s">
        <v>316</v>
      </c>
      <c r="Z74" s="2630"/>
      <c r="AA74" s="379" t="s">
        <v>444</v>
      </c>
      <c r="AB74" s="379" t="s">
        <v>444</v>
      </c>
      <c r="AC74" s="2140" t="s">
        <v>444</v>
      </c>
      <c r="AD74" s="378" t="s">
        <v>444</v>
      </c>
      <c r="AE74" s="153" t="s">
        <v>276</v>
      </c>
      <c r="AG74" s="2631" t="s">
        <v>211</v>
      </c>
      <c r="AH74" s="2632"/>
      <c r="AI74" s="2632"/>
      <c r="AJ74" s="2632" t="s">
        <v>442</v>
      </c>
      <c r="AK74" s="2632"/>
      <c r="AL74" s="2632"/>
      <c r="AM74" s="2632" t="s">
        <v>267</v>
      </c>
      <c r="AN74" s="2632"/>
      <c r="AO74" s="2632"/>
      <c r="AP74" s="2632" t="s">
        <v>1637</v>
      </c>
      <c r="AQ74" s="2632"/>
      <c r="AR74" s="2650"/>
      <c r="AS74" s="2848" t="s">
        <v>327</v>
      </c>
      <c r="AT74" s="2648"/>
      <c r="AU74" s="2649"/>
      <c r="AV74" s="2631" t="s">
        <v>636</v>
      </c>
      <c r="AW74" s="2632"/>
      <c r="AX74" s="568"/>
      <c r="BH74" s="2837" t="s">
        <v>1646</v>
      </c>
      <c r="BI74" s="2839" t="s">
        <v>422</v>
      </c>
      <c r="BJ74" s="2839" t="s">
        <v>411</v>
      </c>
      <c r="BK74" s="2839" t="s">
        <v>257</v>
      </c>
    </row>
    <row r="75" spans="2:63" ht="12.75" customHeight="1" outlineLevel="1">
      <c r="B75" s="536"/>
      <c r="C75" s="144"/>
      <c r="D75" s="379" t="s">
        <v>444</v>
      </c>
      <c r="E75" s="1656"/>
      <c r="F75" s="149" t="s">
        <v>445</v>
      </c>
      <c r="G75" s="149" t="s">
        <v>895</v>
      </c>
      <c r="H75" s="1662" t="s">
        <v>422</v>
      </c>
      <c r="I75" s="1226" t="s">
        <v>411</v>
      </c>
      <c r="J75" s="1226" t="s">
        <v>257</v>
      </c>
      <c r="K75" s="2231" t="s">
        <v>422</v>
      </c>
      <c r="L75" s="1222" t="s">
        <v>411</v>
      </c>
      <c r="M75" s="2141" t="s">
        <v>257</v>
      </c>
      <c r="N75" s="153" t="s">
        <v>444</v>
      </c>
      <c r="W75" s="256"/>
      <c r="X75" s="1219" t="s">
        <v>1649</v>
      </c>
      <c r="Y75" s="2646" t="s">
        <v>1650</v>
      </c>
      <c r="Z75" s="2647"/>
      <c r="AA75" s="381" t="s">
        <v>411</v>
      </c>
      <c r="AB75" s="381" t="s">
        <v>257</v>
      </c>
      <c r="AC75" s="1662" t="s">
        <v>422</v>
      </c>
      <c r="AD75" s="166" t="s">
        <v>327</v>
      </c>
      <c r="AE75" s="153" t="s">
        <v>444</v>
      </c>
      <c r="AG75" s="579" t="s">
        <v>411</v>
      </c>
      <c r="AH75" s="580" t="s">
        <v>257</v>
      </c>
      <c r="AI75" s="580" t="s">
        <v>422</v>
      </c>
      <c r="AJ75" s="580" t="s">
        <v>411</v>
      </c>
      <c r="AK75" s="580" t="s">
        <v>257</v>
      </c>
      <c r="AL75" s="580" t="s">
        <v>422</v>
      </c>
      <c r="AM75" s="580" t="s">
        <v>411</v>
      </c>
      <c r="AN75" s="580" t="s">
        <v>257</v>
      </c>
      <c r="AO75" s="580" t="s">
        <v>422</v>
      </c>
      <c r="AP75" s="580" t="s">
        <v>411</v>
      </c>
      <c r="AQ75" s="580" t="s">
        <v>257</v>
      </c>
      <c r="AR75" s="580" t="s">
        <v>422</v>
      </c>
      <c r="AS75" s="1289" t="s">
        <v>411</v>
      </c>
      <c r="AT75" s="581" t="s">
        <v>257</v>
      </c>
      <c r="AU75" s="581" t="s">
        <v>422</v>
      </c>
      <c r="AV75" s="579" t="s">
        <v>411</v>
      </c>
      <c r="AW75" s="580" t="s">
        <v>257</v>
      </c>
      <c r="AX75" s="583" t="s">
        <v>422</v>
      </c>
      <c r="BH75" s="2838"/>
      <c r="BI75" s="2840"/>
      <c r="BJ75" s="2840"/>
      <c r="BK75" s="2840"/>
    </row>
    <row r="76" spans="2:63" ht="12.75" customHeight="1" outlineLevel="1">
      <c r="B76" s="143" t="s">
        <v>4051</v>
      </c>
      <c r="C76" s="144"/>
      <c r="D76" s="212">
        <f>SUM(K76:M76)</f>
        <v>0</v>
      </c>
      <c r="E76" s="212"/>
      <c r="F76" s="409"/>
      <c r="G76" s="117"/>
      <c r="H76" s="410">
        <f>IFERROR(VLOOKUP($B76&amp;"; "&amp;$H$189&amp;", "&amp;$H$190,'FE Déplacements'!$G:$U,9,FALSE),0)</f>
        <v>5.6500000000000002E-2</v>
      </c>
      <c r="I76" s="410">
        <f>IF(ISNA(VLOOKUP($B76&amp;"; "&amp;$H$74&amp;", "&amp;$I$75,'FE Déplacements'!$G:$U,9,FALSE)),0,VLOOKUP($B76&amp;"; "&amp;$H$74&amp;", "&amp;$I$75,'FE Déplacements'!$G:$U,9,FALSE))</f>
        <v>0</v>
      </c>
      <c r="J76" s="410">
        <f>IF(ISNA(VLOOKUP($B76&amp;"; "&amp;$H$74&amp;", "&amp;$J$75,'FE Déplacements'!$G:$U,9,FALSE)),0,VLOOKUP($B76&amp;"; "&amp;$H$74&amp;", "&amp;$J$75,'FE Déplacements'!$G:$U,9,FALSE))</f>
        <v>0.14599999999999999</v>
      </c>
      <c r="K76" s="356">
        <f>G76*H76</f>
        <v>0</v>
      </c>
      <c r="L76" s="151">
        <f>G76*I76</f>
        <v>0</v>
      </c>
      <c r="M76" s="151">
        <f>G76*J76</f>
        <v>0</v>
      </c>
      <c r="N76" s="1286">
        <f>IF(OR(F76=Utilitaires!$I$572,F76=Utilitaires!$I$577),M76,0)</f>
        <v>0</v>
      </c>
      <c r="W76" s="256"/>
      <c r="X76" s="1092">
        <f>IF(AD76=0,AD76,AD76/D76)</f>
        <v>0</v>
      </c>
      <c r="Y76" s="343"/>
      <c r="Z76" s="820"/>
      <c r="AA76" s="164">
        <f t="shared" ref="AA76:AB78" si="52">L76*BJ76</f>
        <v>0</v>
      </c>
      <c r="AB76" s="164">
        <f t="shared" si="52"/>
        <v>0</v>
      </c>
      <c r="AC76" s="164">
        <f>K76*BI76</f>
        <v>0</v>
      </c>
      <c r="AD76" s="151">
        <f>SQRT(SUMSQ(AA76,AC76))</f>
        <v>0</v>
      </c>
      <c r="AE76" s="1286">
        <f>N76*X76</f>
        <v>0</v>
      </c>
      <c r="AG76" s="564">
        <f>$G76*IF(ISNA(VLOOKUP($B76&amp;"; "&amp;$H$74&amp;", "&amp;I$75,'FE Déplacements'!$G:$U,10,FALSE)),0,VLOOKUP($B76&amp;"; "&amp;$H$74&amp;", "&amp;I$75,'FE Déplacements'!$G:$U,10,FALSE))</f>
        <v>0</v>
      </c>
      <c r="AH76" s="565">
        <f>$G76*IF(ISNA(VLOOKUP($B76&amp;"; "&amp;$H$74&amp;", "&amp;J$75,'FE Déplacements'!$G:$U,10,FALSE)),0,VLOOKUP($B76&amp;"; "&amp;$H$74&amp;", "&amp;J$75,'FE Déplacements'!$G:$U,10,FALSE))</f>
        <v>0</v>
      </c>
      <c r="AI76" s="565">
        <f>$G76*IF(ISNA(VLOOKUP($B76&amp;"; "&amp;$H$74&amp;", "&amp;H$75,'FE Déplacements'!$G:$U,10,FALSE)),0,VLOOKUP($B76&amp;"; "&amp;$H$74&amp;", "&amp;H$75,'FE Déplacements'!$G:$U,10,FALSE))</f>
        <v>0</v>
      </c>
      <c r="AJ76" s="565">
        <f>$G76*IF(ISNA((VLOOKUP($B76&amp;"; "&amp;$H$74&amp;", "&amp;I$75,'FE Déplacements'!$G:$U,12,FALSE)+VLOOKUP($B76&amp;"; "&amp;$H$74&amp;", "&amp;I$75,'FE Déplacements'!$G:$U,11,FALSE))),0,(VLOOKUP($B76&amp;"; "&amp;$H$74&amp;", "&amp;I$75,'FE Déplacements'!$G:$U,12,FALSE)+VLOOKUP($B76&amp;"; "&amp;$H$74&amp;", "&amp;I$75,'FE Déplacements'!$G:$U,11,FALSE)))</f>
        <v>0</v>
      </c>
      <c r="AK76" s="565">
        <f>$G76*IF(ISNA((VLOOKUP($B76&amp;"; "&amp;$H$74&amp;", "&amp;J$75,'FE Déplacements'!$G:$U,12,FALSE)+VLOOKUP($B76&amp;"; "&amp;$H$74&amp;", "&amp;J$75,'FE Déplacements'!$G:$U,11,FALSE))),0,(VLOOKUP($B76&amp;"; "&amp;$H$74&amp;", "&amp;J$75,'FE Déplacements'!$G:$U,12,FALSE)+VLOOKUP($B76&amp;"; "&amp;$H$74&amp;", "&amp;J$75,'FE Déplacements'!$G:$U,11,FALSE)))</f>
        <v>0</v>
      </c>
      <c r="AL76" s="565">
        <f>$G76*IF(ISNA((VLOOKUP($B76&amp;"; "&amp;$H$74&amp;", "&amp;H$75,'FE Déplacements'!$G:$U,12,FALSE)+VLOOKUP($B76&amp;"; "&amp;$H$74&amp;", "&amp;H$75,'FE Déplacements'!$G:$U,11,FALSE))),0,(VLOOKUP($B76&amp;"; "&amp;$H$74&amp;", "&amp;H$75,'FE Déplacements'!$G:$U,12,FALSE)+VLOOKUP($B76&amp;"; "&amp;$H$74&amp;", "&amp;H$75,'FE Déplacements'!$G:$U,11,FALSE)))</f>
        <v>0</v>
      </c>
      <c r="AM76" s="565">
        <f>$G76*IF(ISNA(VLOOKUP($B76&amp;"; "&amp;$H$74&amp;", "&amp;I$75,'FE Déplacements'!$G:$U,13,FALSE)),0,VLOOKUP($B76&amp;"; "&amp;$H$74&amp;", "&amp;I$75,'FE Déplacements'!$G:$U,13,FALSE))</f>
        <v>0</v>
      </c>
      <c r="AN76" s="565">
        <f>$G76*IF(ISNA(VLOOKUP($B76&amp;"; "&amp;$H$74&amp;", "&amp;J$75,'FE Déplacements'!$G:$U,13,FALSE)),0,VLOOKUP($B76&amp;"; "&amp;$H$74&amp;", "&amp;J$75,'FE Déplacements'!$G:$U,13,FALSE))</f>
        <v>0</v>
      </c>
      <c r="AO76" s="565">
        <f>$G76*IF(ISNA(VLOOKUP($B76&amp;"; "&amp;$H$74&amp;", "&amp;H$75,'FE Déplacements'!$G:$U,13,FALSE)),0,VLOOKUP($B76&amp;"; "&amp;$H$74&amp;", "&amp;H$75,'FE Déplacements'!$G:$U,13,FALSE))</f>
        <v>0</v>
      </c>
      <c r="AP76" s="565">
        <v>0</v>
      </c>
      <c r="AQ76" s="565">
        <v>0</v>
      </c>
      <c r="AR76" s="565">
        <v>0</v>
      </c>
      <c r="AS76" s="1288">
        <f t="shared" ref="AS76:AT78" si="53">SUM(AG76,AJ76,AM76,AP76)</f>
        <v>0</v>
      </c>
      <c r="AT76" s="566">
        <f t="shared" si="53"/>
        <v>0</v>
      </c>
      <c r="AU76" s="566">
        <f>SUM(AI76,AL76,AO76,AR76)</f>
        <v>0</v>
      </c>
      <c r="AV76" s="564">
        <f>$G76*IF(ISNA(VLOOKUP($B76&amp;"; "&amp;$H$74&amp;", "&amp;I$75,'FE Déplacements'!$G:$U,15,FALSE)),0,VLOOKUP($B76&amp;"; "&amp;$H$74&amp;", "&amp;I$75,'FE Déplacements'!$G:$U,15,FALSE))</f>
        <v>0</v>
      </c>
      <c r="AW76" s="565">
        <f>$G76*IF(ISNA(VLOOKUP($B76&amp;"; "&amp;$H$74&amp;", "&amp;J$75,'FE Déplacements'!$G:$U,15,FALSE)),0,VLOOKUP($B76&amp;"; "&amp;$H$74&amp;", "&amp;J$75,'FE Déplacements'!$G:$U,15,FALSE))</f>
        <v>0</v>
      </c>
      <c r="AX76" s="568">
        <f>$G76*IF(ISNA(VLOOKUP($B76&amp;"; "&amp;$H$74&amp;", "&amp;H$75,'FE Déplacements'!$G:$U,15,FALSE)),0,VLOOKUP($B76&amp;"; "&amp;$H$74&amp;", "&amp;H$75,'FE Déplacements'!$G:$U,15,FALSE))</f>
        <v>0</v>
      </c>
      <c r="BH76" s="1065">
        <f>IF($Y76&lt;&gt;"votre valeur :",IF(ISNA(VLOOKUP($Y76,Utilitaires!$N$566:$O$571,2,FALSE)),,VLOOKUP($Y76,Utilitaires!$N$566:$O$571,2,FALSE)),$Z76)</f>
        <v>0</v>
      </c>
      <c r="BI76" s="1124">
        <f>IF(ISNA(SQRT(SUMSQ(VLOOKUP($B76&amp;"; "&amp;$H$74&amp;", "&amp;$H$75,'FE Déplacements'!$G:$U,7,FALSE),$BH76))),0,SQRT(SUMSQ(VLOOKUP($B76&amp;"; "&amp;$H$74&amp;", "&amp;$H$75,'FE Déplacements'!$G:$U,7,FALSE),$BH76)))</f>
        <v>0.6</v>
      </c>
      <c r="BJ76" s="1124">
        <f>IF(ISNA(SQRT(SUMSQ(VLOOKUP($B76&amp;"; "&amp;$H$74&amp;", "&amp;$I$75,'FE Déplacements'!$G:$U,7,FALSE),$BH76))),0,SQRT(SUMSQ(VLOOKUP($B76&amp;"; "&amp;$H$74&amp;", "&amp;$I$75,'FE Déplacements'!$G:$U,7,FALSE),$BH76)))</f>
        <v>0</v>
      </c>
      <c r="BK76" s="1130">
        <f>IF(ISNA(SQRT(SUMSQ(VLOOKUP($B76&amp;"; "&amp;$H$74&amp;", "&amp;$J$75,'FE Déplacements'!$G:$U,7,FALSE),$BH76))),0,SQRT(SUMSQ(VLOOKUP($B76&amp;"; "&amp;$H$74&amp;", "&amp;$J$75,'FE Déplacements'!$G:$U,7,FALSE),$BH76)))</f>
        <v>0.6</v>
      </c>
    </row>
    <row r="77" spans="2:63" ht="12.75" customHeight="1" outlineLevel="1">
      <c r="B77" s="143" t="s">
        <v>4052</v>
      </c>
      <c r="C77" s="144"/>
      <c r="D77" s="212">
        <f t="shared" ref="D77:D78" si="54">SUM(K77:M77)</f>
        <v>0</v>
      </c>
      <c r="E77" s="212"/>
      <c r="F77" s="346"/>
      <c r="G77" s="120"/>
      <c r="H77" s="410">
        <f>IFERROR(VLOOKUP($B77&amp;"; "&amp;$H$189&amp;", "&amp;$H$190,'FE Déplacements'!$G:$U,9,FALSE),0)</f>
        <v>1.2200000000000001E-2</v>
      </c>
      <c r="I77" s="410">
        <f>IF(ISNA(VLOOKUP($B77&amp;"; "&amp;$H$74&amp;", "&amp;$I$75,'FE Déplacements'!$G:$U,9,FALSE)),0,VLOOKUP($B77&amp;"; "&amp;$H$74&amp;", "&amp;$I$75,'FE Déplacements'!$G:$U,9,FALSE))</f>
        <v>9.4999999999999998E-3</v>
      </c>
      <c r="J77" s="410">
        <f>IF(ISNA(VLOOKUP($B77&amp;"; "&amp;$H$74&amp;", "&amp;$J$75,'FE Déplacements'!$G:$U,9,FALSE)),0,VLOOKUP($B77&amp;"; "&amp;$H$74&amp;", "&amp;$J$75,'FE Déplacements'!$G:$U,9,FALSE))</f>
        <v>0</v>
      </c>
      <c r="K77" s="356">
        <f t="shared" ref="K77:K78" si="55">G77*H77</f>
        <v>0</v>
      </c>
      <c r="L77" s="151">
        <f t="shared" ref="L77:L78" si="56">G77*I77</f>
        <v>0</v>
      </c>
      <c r="M77" s="151">
        <f t="shared" ref="M77:M78" si="57">G77*J77</f>
        <v>0</v>
      </c>
      <c r="N77" s="1286">
        <f>IF(OR(F77=Utilitaires!$I$572,F77=Utilitaires!$I$577),M77,0)</f>
        <v>0</v>
      </c>
      <c r="W77" s="256"/>
      <c r="X77" s="1092">
        <f t="shared" ref="X77:X78" si="58">IF(AD77=0,AD77,AD77/D77)</f>
        <v>0</v>
      </c>
      <c r="Y77" s="343"/>
      <c r="Z77" s="820"/>
      <c r="AA77" s="164">
        <f t="shared" si="52"/>
        <v>0</v>
      </c>
      <c r="AB77" s="164">
        <f t="shared" si="52"/>
        <v>0</v>
      </c>
      <c r="AC77" s="164">
        <f>K77*BI77</f>
        <v>0</v>
      </c>
      <c r="AD77" s="151">
        <f t="shared" ref="AD77:AD78" si="59">SQRT(SUMSQ(AA77,AC77))</f>
        <v>0</v>
      </c>
      <c r="AE77" s="1286">
        <f t="shared" ref="AE77:AE78" si="60">N77*X77</f>
        <v>0</v>
      </c>
      <c r="AG77" s="564">
        <f>$G77*IF(ISNA(VLOOKUP($B77&amp;"; "&amp;$H$74&amp;", "&amp;I$75,'FE Déplacements'!$G:$U,10,FALSE)),0,VLOOKUP($B77&amp;"; "&amp;$H$74&amp;", "&amp;I$75,'FE Déplacements'!$G:$U,10,FALSE))</f>
        <v>0</v>
      </c>
      <c r="AH77" s="565">
        <f>$G77*IF(ISNA(VLOOKUP($B77&amp;"; "&amp;$H$74&amp;", "&amp;J$75,'FE Déplacements'!$G:$U,10,FALSE)),0,VLOOKUP($B77&amp;"; "&amp;$H$74&amp;", "&amp;J$75,'FE Déplacements'!$G:$U,10,FALSE))</f>
        <v>0</v>
      </c>
      <c r="AI77" s="565">
        <f>$G77*IF(ISNA(VLOOKUP($B77&amp;"; "&amp;$H$74&amp;", "&amp;H$75,'FE Déplacements'!$G:$U,10,FALSE)),0,VLOOKUP($B77&amp;"; "&amp;$H$74&amp;", "&amp;H$75,'FE Déplacements'!$G:$U,10,FALSE))</f>
        <v>0</v>
      </c>
      <c r="AJ77" s="565">
        <f>$G77*IF(ISNA((VLOOKUP($B77&amp;"; "&amp;$H$74&amp;", "&amp;I$75,'FE Déplacements'!$G:$U,12,FALSE)+VLOOKUP($B77&amp;"; "&amp;$H$74&amp;", "&amp;I$75,'FE Déplacements'!$G:$U,11,FALSE))),0,(VLOOKUP($B77&amp;"; "&amp;$H$74&amp;", "&amp;I$75,'FE Déplacements'!$G:$U,12,FALSE)+VLOOKUP($B77&amp;"; "&amp;$H$74&amp;", "&amp;I$75,'FE Déplacements'!$G:$U,11,FALSE)))</f>
        <v>0</v>
      </c>
      <c r="AK77" s="565">
        <f>$G77*IF(ISNA((VLOOKUP($B77&amp;"; "&amp;$H$74&amp;", "&amp;J$75,'FE Déplacements'!$G:$U,12,FALSE)+VLOOKUP($B77&amp;"; "&amp;$H$74&amp;", "&amp;J$75,'FE Déplacements'!$G:$U,11,FALSE))),0,(VLOOKUP($B77&amp;"; "&amp;$H$74&amp;", "&amp;J$75,'FE Déplacements'!$G:$U,12,FALSE)+VLOOKUP($B77&amp;"; "&amp;$H$74&amp;", "&amp;J$75,'FE Déplacements'!$G:$U,11,FALSE)))</f>
        <v>0</v>
      </c>
      <c r="AL77" s="565">
        <f>$G77*IF(ISNA((VLOOKUP($B77&amp;"; "&amp;$H$74&amp;", "&amp;H$75,'FE Déplacements'!$G:$U,12,FALSE)+VLOOKUP($B77&amp;"; "&amp;$H$74&amp;", "&amp;H$75,'FE Déplacements'!$G:$U,11,FALSE))),0,(VLOOKUP($B77&amp;"; "&amp;$H$74&amp;", "&amp;H$75,'FE Déplacements'!$G:$U,12,FALSE)+VLOOKUP($B77&amp;"; "&amp;$H$74&amp;", "&amp;H$75,'FE Déplacements'!$G:$U,11,FALSE)))</f>
        <v>0</v>
      </c>
      <c r="AM77" s="565">
        <f>$G77*IF(ISNA(VLOOKUP($B77&amp;"; "&amp;$H$74&amp;", "&amp;I$75,'FE Déplacements'!$G:$U,13,FALSE)),0,VLOOKUP($B77&amp;"; "&amp;$H$74&amp;", "&amp;I$75,'FE Déplacements'!$G:$U,13,FALSE))</f>
        <v>0</v>
      </c>
      <c r="AN77" s="565">
        <f>$G77*IF(ISNA(VLOOKUP($B77&amp;"; "&amp;$H$74&amp;", "&amp;J$75,'FE Déplacements'!$G:$U,13,FALSE)),0,VLOOKUP($B77&amp;"; "&amp;$H$74&amp;", "&amp;J$75,'FE Déplacements'!$G:$U,13,FALSE))</f>
        <v>0</v>
      </c>
      <c r="AO77" s="565">
        <f>$G77*IF(ISNA(VLOOKUP($B77&amp;"; "&amp;$H$74&amp;", "&amp;H$75,'FE Déplacements'!$G:$U,13,FALSE)),0,VLOOKUP($B77&amp;"; "&amp;$H$74&amp;", "&amp;H$75,'FE Déplacements'!$G:$U,13,FALSE))</f>
        <v>0</v>
      </c>
      <c r="AP77" s="565">
        <v>0</v>
      </c>
      <c r="AQ77" s="565">
        <v>0</v>
      </c>
      <c r="AR77" s="565">
        <v>0</v>
      </c>
      <c r="AS77" s="1288">
        <f t="shared" si="53"/>
        <v>0</v>
      </c>
      <c r="AT77" s="566">
        <f t="shared" si="53"/>
        <v>0</v>
      </c>
      <c r="AU77" s="566">
        <f t="shared" ref="AU77:AU78" si="61">SUM(AI77,AL77,AO77,AR77)</f>
        <v>0</v>
      </c>
      <c r="AV77" s="564">
        <f>$G77*IF(ISNA(VLOOKUP($B77&amp;"; "&amp;$H$74&amp;", "&amp;I$75,'FE Déplacements'!$G:$U,15,FALSE)),0,VLOOKUP($B77&amp;"; "&amp;$H$74&amp;", "&amp;I$75,'FE Déplacements'!$G:$U,15,FALSE))</f>
        <v>0</v>
      </c>
      <c r="AW77" s="565">
        <f>$G77*IF(ISNA(VLOOKUP($B77&amp;"; "&amp;$H$74&amp;", "&amp;J$75,'FE Déplacements'!$G:$U,15,FALSE)),0,VLOOKUP($B77&amp;"; "&amp;$H$74&amp;", "&amp;J$75,'FE Déplacements'!$G:$U,15,FALSE))</f>
        <v>0</v>
      </c>
      <c r="AX77" s="568">
        <f>$G77*IF(ISNA(VLOOKUP($B77&amp;"; "&amp;$H$74&amp;", "&amp;H$75,'FE Déplacements'!$G:$U,15,FALSE)),0,VLOOKUP($B77&amp;"; "&amp;$H$74&amp;", "&amp;H$75,'FE Déplacements'!$G:$U,15,FALSE))</f>
        <v>0</v>
      </c>
      <c r="BH77" s="2142">
        <f>IF($Y77&lt;&gt;"votre valeur :",IF(ISNA(VLOOKUP($Y77,Utilitaires!$N$566:$O$571,2,FALSE)),,VLOOKUP($Y77,Utilitaires!$N$566:$O$571,2,FALSE)),$Z77)</f>
        <v>0</v>
      </c>
      <c r="BI77" s="1124">
        <f>IF(ISNA(SQRT(SUMSQ(VLOOKUP($B77&amp;"; "&amp;$H$74&amp;", "&amp;$H$75,'FE Déplacements'!$G:$U,7,FALSE),$BH77))),0,SQRT(SUMSQ(VLOOKUP($B77&amp;"; "&amp;$H$74&amp;", "&amp;$H$75,'FE Déplacements'!$G:$U,7,FALSE),$BH77)))</f>
        <v>0.7</v>
      </c>
      <c r="BJ77" s="1124">
        <f>IF(ISNA(SQRT(SUMSQ(VLOOKUP($B77&amp;"; "&amp;$H$74&amp;", "&amp;$I$75,'FE Déplacements'!$G:$U,7,FALSE),$BH77))),0,SQRT(SUMSQ(VLOOKUP($B77&amp;"; "&amp;$H$74&amp;", "&amp;$I$75,'FE Déplacements'!$G:$U,7,FALSE),$BH77)))</f>
        <v>0.7</v>
      </c>
      <c r="BK77" s="1130">
        <f>IF(ISNA(SQRT(SUMSQ(VLOOKUP($B77&amp;"; "&amp;$H$74&amp;", "&amp;$J$75,'FE Déplacements'!$G:$U,7,FALSE),$BH77))),0,SQRT(SUMSQ(VLOOKUP($B77&amp;"; "&amp;$H$74&amp;", "&amp;$J$75,'FE Déplacements'!$G:$U,7,FALSE),$BH77)))</f>
        <v>0.7</v>
      </c>
    </row>
    <row r="78" spans="2:63" ht="12.75" customHeight="1" outlineLevel="1">
      <c r="B78" s="143" t="s">
        <v>4053</v>
      </c>
      <c r="C78" s="144"/>
      <c r="D78" s="212">
        <f t="shared" si="54"/>
        <v>0</v>
      </c>
      <c r="E78" s="212"/>
      <c r="F78" s="347"/>
      <c r="G78" s="123"/>
      <c r="H78" s="410">
        <f>IFERROR(VLOOKUP($B78&amp;"; "&amp;$H$189&amp;", "&amp;$H$190,'FE Déplacements'!$G:$U,9,FALSE),0)</f>
        <v>0</v>
      </c>
      <c r="I78" s="410">
        <f>IF(ISNA(VLOOKUP($B78&amp;"; "&amp;$H$74&amp;", "&amp;$I$75,'FE Déplacements'!$G:$U,9,FALSE)),0,VLOOKUP($B78&amp;"; "&amp;$H$74&amp;", "&amp;$I$75,'FE Déplacements'!$G:$U,9,FALSE))</f>
        <v>5.79E-3</v>
      </c>
      <c r="J78" s="410">
        <f>IF(ISNA(VLOOKUP($B78&amp;"; "&amp;$H$74&amp;", "&amp;$J$75,'FE Déplacements'!$G:$U,9,FALSE)),0,VLOOKUP($B78&amp;"; "&amp;$H$74&amp;", "&amp;$J$75,'FE Déplacements'!$G:$U,9,FALSE))</f>
        <v>2.3699999999999999E-2</v>
      </c>
      <c r="K78" s="356">
        <f t="shared" si="55"/>
        <v>0</v>
      </c>
      <c r="L78" s="151">
        <f t="shared" si="56"/>
        <v>0</v>
      </c>
      <c r="M78" s="151">
        <f t="shared" si="57"/>
        <v>0</v>
      </c>
      <c r="N78" s="1286">
        <f>IF(OR(F78=Utilitaires!$I$572,F78=Utilitaires!$I$577),M78,0)</f>
        <v>0</v>
      </c>
      <c r="W78" s="256"/>
      <c r="X78" s="1092">
        <f t="shared" si="58"/>
        <v>0</v>
      </c>
      <c r="Y78" s="1094"/>
      <c r="Z78" s="820"/>
      <c r="AA78" s="164">
        <f t="shared" si="52"/>
        <v>0</v>
      </c>
      <c r="AB78" s="164">
        <f t="shared" si="52"/>
        <v>0</v>
      </c>
      <c r="AC78" s="164">
        <f>K78*BI78</f>
        <v>0</v>
      </c>
      <c r="AD78" s="151">
        <f t="shared" si="59"/>
        <v>0</v>
      </c>
      <c r="AE78" s="1286">
        <f t="shared" si="60"/>
        <v>0</v>
      </c>
      <c r="AG78" s="564">
        <f>$G78*IF(ISNA(VLOOKUP($B78&amp;"; "&amp;$H$74&amp;", "&amp;I$75,'FE Déplacements'!$G:$U,10,FALSE)),0,VLOOKUP($B78&amp;"; "&amp;$H$74&amp;", "&amp;I$75,'FE Déplacements'!$G:$U,10,FALSE))</f>
        <v>0</v>
      </c>
      <c r="AH78" s="565">
        <f>$G78*IF(ISNA(VLOOKUP($B78&amp;"; "&amp;$H$74&amp;", "&amp;J$75,'FE Déplacements'!$G:$U,10,FALSE)),0,VLOOKUP($B78&amp;"; "&amp;$H$74&amp;", "&amp;J$75,'FE Déplacements'!$G:$U,10,FALSE))</f>
        <v>0</v>
      </c>
      <c r="AI78" s="565">
        <f>$G78*IF(ISNA(VLOOKUP($B78&amp;"; "&amp;$H$74&amp;", "&amp;H$75,'FE Déplacements'!$G:$U,10,FALSE)),0,VLOOKUP($B78&amp;"; "&amp;$H$74&amp;", "&amp;H$75,'FE Déplacements'!$G:$U,10,FALSE))</f>
        <v>0</v>
      </c>
      <c r="AJ78" s="565">
        <f>$G78*IF(ISNA((VLOOKUP($B78&amp;"; "&amp;$H$74&amp;", "&amp;I$75,'FE Déplacements'!$G:$U,12,FALSE)+VLOOKUP($B78&amp;"; "&amp;$H$74&amp;", "&amp;I$75,'FE Déplacements'!$G:$U,11,FALSE))),0,(VLOOKUP($B78&amp;"; "&amp;$H$74&amp;", "&amp;I$75,'FE Déplacements'!$G:$U,12,FALSE)+VLOOKUP($B78&amp;"; "&amp;$H$74&amp;", "&amp;I$75,'FE Déplacements'!$G:$U,11,FALSE)))</f>
        <v>0</v>
      </c>
      <c r="AK78" s="565">
        <f>$G78*IF(ISNA((VLOOKUP($B78&amp;"; "&amp;$H$74&amp;", "&amp;J$75,'FE Déplacements'!$G:$U,12,FALSE)+VLOOKUP($B78&amp;"; "&amp;$H$74&amp;", "&amp;J$75,'FE Déplacements'!$G:$U,11,FALSE))),0,(VLOOKUP($B78&amp;"; "&amp;$H$74&amp;", "&amp;J$75,'FE Déplacements'!$G:$U,12,FALSE)+VLOOKUP($B78&amp;"; "&amp;$H$74&amp;", "&amp;J$75,'FE Déplacements'!$G:$U,11,FALSE)))</f>
        <v>0</v>
      </c>
      <c r="AL78" s="565">
        <f>$G78*IF(ISNA((VLOOKUP($B78&amp;"; "&amp;$H$74&amp;", "&amp;H$75,'FE Déplacements'!$G:$U,12,FALSE)+VLOOKUP($B78&amp;"; "&amp;$H$74&amp;", "&amp;H$75,'FE Déplacements'!$G:$U,11,FALSE))),0,(VLOOKUP($B78&amp;"; "&amp;$H$74&amp;", "&amp;H$75,'FE Déplacements'!$G:$U,12,FALSE)+VLOOKUP($B78&amp;"; "&amp;$H$74&amp;", "&amp;H$75,'FE Déplacements'!$G:$U,11,FALSE)))</f>
        <v>0</v>
      </c>
      <c r="AM78" s="565">
        <f>$G78*IF(ISNA(VLOOKUP($B78&amp;"; "&amp;$H$74&amp;", "&amp;I$75,'FE Déplacements'!$G:$U,13,FALSE)),0,VLOOKUP($B78&amp;"; "&amp;$H$74&amp;", "&amp;I$75,'FE Déplacements'!$G:$U,13,FALSE))</f>
        <v>0</v>
      </c>
      <c r="AN78" s="565">
        <f>$G78*IF(ISNA(VLOOKUP($B78&amp;"; "&amp;$H$74&amp;", "&amp;J$75,'FE Déplacements'!$G:$U,13,FALSE)),0,VLOOKUP($B78&amp;"; "&amp;$H$74&amp;", "&amp;J$75,'FE Déplacements'!$G:$U,13,FALSE))</f>
        <v>0</v>
      </c>
      <c r="AO78" s="565">
        <f>$G78*IF(ISNA(VLOOKUP($B78&amp;"; "&amp;$H$74&amp;", "&amp;H$75,'FE Déplacements'!$G:$U,13,FALSE)),0,VLOOKUP($B78&amp;"; "&amp;$H$74&amp;", "&amp;H$75,'FE Déplacements'!$G:$U,13,FALSE))</f>
        <v>0</v>
      </c>
      <c r="AP78" s="565">
        <v>0</v>
      </c>
      <c r="AQ78" s="565">
        <v>0</v>
      </c>
      <c r="AR78" s="565">
        <v>0</v>
      </c>
      <c r="AS78" s="1288">
        <f t="shared" si="53"/>
        <v>0</v>
      </c>
      <c r="AT78" s="566">
        <f t="shared" si="53"/>
        <v>0</v>
      </c>
      <c r="AU78" s="566">
        <f t="shared" si="61"/>
        <v>0</v>
      </c>
      <c r="AV78" s="564">
        <f>$G78*IF(ISNA(VLOOKUP($B78&amp;"; "&amp;$H$74&amp;", "&amp;I$75,'FE Déplacements'!$G:$U,15,FALSE)),0,VLOOKUP($B78&amp;"; "&amp;$H$74&amp;", "&amp;I$75,'FE Déplacements'!$G:$U,15,FALSE))</f>
        <v>0</v>
      </c>
      <c r="AW78" s="565">
        <f>$G78*IF(ISNA(VLOOKUP($B78&amp;"; "&amp;$H$74&amp;", "&amp;J$75,'FE Déplacements'!$G:$U,15,FALSE)),0,VLOOKUP($B78&amp;"; "&amp;$H$74&amp;", "&amp;J$75,'FE Déplacements'!$G:$U,15,FALSE))</f>
        <v>0</v>
      </c>
      <c r="AX78" s="568">
        <f>$G78*IF(ISNA(VLOOKUP($B78&amp;"; "&amp;$H$74&amp;", "&amp;H$75,'FE Déplacements'!$G:$U,15,FALSE)),0,VLOOKUP($B78&amp;"; "&amp;$H$74&amp;", "&amp;H$75,'FE Déplacements'!$G:$U,15,FALSE))</f>
        <v>0</v>
      </c>
      <c r="BH78" s="2142">
        <f>IF($Y78&lt;&gt;"votre valeur :",IF(ISNA(VLOOKUP($Y78,Utilitaires!$N$566:$O$571,2,FALSE)),,VLOOKUP($Y78,Utilitaires!$N$566:$O$571,2,FALSE)),$Z78)</f>
        <v>0</v>
      </c>
      <c r="BI78" s="1124">
        <f>IF(ISNA(SQRT(SUMSQ(VLOOKUP($B78&amp;"; "&amp;$H$74&amp;", "&amp;$H$75,'FE Déplacements'!$G:$U,7,FALSE),$BH78))),0,SQRT(SUMSQ(VLOOKUP($B78&amp;"; "&amp;$H$74&amp;", "&amp;$H$75,'FE Déplacements'!$G:$U,7,FALSE),$BH78)))</f>
        <v>0</v>
      </c>
      <c r="BJ78" s="1124">
        <f>IF(ISNA(SQRT(SUMSQ(VLOOKUP($B78&amp;"; "&amp;$H$74&amp;", "&amp;$I$75,'FE Déplacements'!$G:$U,7,FALSE),$BH78))),0,SQRT(SUMSQ(VLOOKUP($B78&amp;"; "&amp;$H$74&amp;", "&amp;$I$75,'FE Déplacements'!$G:$U,7,FALSE),$BH78)))</f>
        <v>0.6</v>
      </c>
      <c r="BK78" s="1130">
        <f>IF(ISNA(SQRT(SUMSQ(VLOOKUP($B78&amp;"; "&amp;$H$74&amp;", "&amp;$J$75,'FE Déplacements'!$G:$U,7,FALSE),$BH78))),0,SQRT(SUMSQ(VLOOKUP($B78&amp;"; "&amp;$H$74&amp;", "&amp;$J$75,'FE Déplacements'!$G:$U,7,FALSE),$BH78)))</f>
        <v>0.6</v>
      </c>
    </row>
    <row r="79" spans="2:63" ht="12.75" customHeight="1" outlineLevel="1">
      <c r="B79" s="143"/>
      <c r="C79" s="144"/>
      <c r="D79" s="221"/>
      <c r="E79" s="221"/>
      <c r="F79" s="144"/>
      <c r="G79" s="144"/>
      <c r="H79" s="1267"/>
      <c r="I79" s="410"/>
      <c r="J79" s="144"/>
      <c r="K79" s="144"/>
      <c r="L79" s="164"/>
      <c r="M79" s="221"/>
      <c r="N79" s="1336"/>
      <c r="W79" s="256"/>
      <c r="X79" s="143"/>
      <c r="Y79" s="164"/>
      <c r="Z79" s="144"/>
      <c r="AA79" s="144"/>
      <c r="AB79" s="144"/>
      <c r="AC79" s="144"/>
      <c r="AD79" s="151"/>
      <c r="AE79" s="1287"/>
      <c r="AG79" s="564"/>
      <c r="AH79" s="565"/>
      <c r="AI79" s="565"/>
      <c r="AJ79" s="565"/>
      <c r="AK79" s="565"/>
      <c r="AL79" s="565"/>
      <c r="AM79" s="565"/>
      <c r="AN79" s="565"/>
      <c r="AO79" s="565"/>
      <c r="AP79" s="565"/>
      <c r="AQ79" s="565"/>
      <c r="AR79" s="565"/>
      <c r="AS79" s="1288"/>
      <c r="AT79" s="566"/>
      <c r="AU79" s="565"/>
      <c r="AV79" s="564"/>
      <c r="AW79" s="565"/>
      <c r="AX79" s="568"/>
      <c r="BH79" s="1087"/>
      <c r="BI79" s="1075"/>
      <c r="BJ79" s="1075"/>
      <c r="BK79" s="1131"/>
    </row>
    <row r="80" spans="2:63" ht="12.75" customHeight="1" outlineLevel="1">
      <c r="B80" s="196" t="s">
        <v>348</v>
      </c>
      <c r="C80" s="197"/>
      <c r="D80" s="214">
        <f>SUM(D76:D79)</f>
        <v>0</v>
      </c>
      <c r="E80" s="214"/>
      <c r="F80" s="197"/>
      <c r="G80" s="197"/>
      <c r="H80" s="197"/>
      <c r="I80" s="197"/>
      <c r="J80" s="197"/>
      <c r="K80" s="202">
        <f>SUM(K76:K79)</f>
        <v>0</v>
      </c>
      <c r="L80" s="202">
        <f>SUM(L76:L79)</f>
        <v>0</v>
      </c>
      <c r="M80" s="202">
        <f>SUM(M76:M79)</f>
        <v>0</v>
      </c>
      <c r="N80" s="1311">
        <f>SUM(N76:N79)</f>
        <v>0</v>
      </c>
      <c r="W80" s="256"/>
      <c r="X80" s="1203">
        <f>IF(AD80=0,AD80,AD80/D80)</f>
        <v>0</v>
      </c>
      <c r="Y80" s="203"/>
      <c r="Z80" s="203"/>
      <c r="AA80" s="203">
        <f>SQRT(SUMSQ(AA75:AA79))</f>
        <v>0</v>
      </c>
      <c r="AB80" s="203">
        <f>SQRT(SUMSQ(AB75:AB79))</f>
        <v>0</v>
      </c>
      <c r="AC80" s="203">
        <f>SQRT(SUMSQ(AC75:AC79))</f>
        <v>0</v>
      </c>
      <c r="AD80" s="202">
        <f>SQRT(SUMSQ(AD75:AD79))</f>
        <v>0</v>
      </c>
      <c r="AE80" s="1311">
        <f>SQRT(SUMSQ(AE75:AE79))</f>
        <v>0</v>
      </c>
      <c r="AG80" s="571">
        <f t="shared" ref="AG80:AX80" si="62">SUM(AG76:AG79)</f>
        <v>0</v>
      </c>
      <c r="AH80" s="572">
        <f t="shared" si="62"/>
        <v>0</v>
      </c>
      <c r="AI80" s="572">
        <f t="shared" si="62"/>
        <v>0</v>
      </c>
      <c r="AJ80" s="572">
        <f t="shared" si="62"/>
        <v>0</v>
      </c>
      <c r="AK80" s="572">
        <f t="shared" si="62"/>
        <v>0</v>
      </c>
      <c r="AL80" s="572">
        <f t="shared" si="62"/>
        <v>0</v>
      </c>
      <c r="AM80" s="572">
        <f t="shared" si="62"/>
        <v>0</v>
      </c>
      <c r="AN80" s="572">
        <f t="shared" si="62"/>
        <v>0</v>
      </c>
      <c r="AO80" s="572">
        <f t="shared" si="62"/>
        <v>0</v>
      </c>
      <c r="AP80" s="572">
        <f t="shared" si="62"/>
        <v>0</v>
      </c>
      <c r="AQ80" s="572">
        <f t="shared" si="62"/>
        <v>0</v>
      </c>
      <c r="AR80" s="572">
        <f t="shared" si="62"/>
        <v>0</v>
      </c>
      <c r="AS80" s="1290">
        <f t="shared" si="62"/>
        <v>0</v>
      </c>
      <c r="AT80" s="573">
        <f t="shared" si="62"/>
        <v>0</v>
      </c>
      <c r="AU80" s="573">
        <f t="shared" si="62"/>
        <v>0</v>
      </c>
      <c r="AV80" s="1082">
        <f t="shared" si="62"/>
        <v>0</v>
      </c>
      <c r="AW80" s="572">
        <f t="shared" si="62"/>
        <v>0</v>
      </c>
      <c r="AX80" s="575">
        <f t="shared" si="62"/>
        <v>0</v>
      </c>
    </row>
    <row r="81" spans="2:66" ht="12.75" customHeight="1" outlineLevel="1">
      <c r="B81" s="256"/>
      <c r="C81" s="256"/>
      <c r="D81" s="256"/>
      <c r="E81" s="256"/>
      <c r="F81" s="256"/>
      <c r="G81" s="256"/>
      <c r="H81" s="256"/>
      <c r="I81" s="256"/>
      <c r="J81" s="256"/>
      <c r="K81" s="256"/>
      <c r="L81" s="116"/>
      <c r="AC81" s="266"/>
    </row>
    <row r="82" spans="2:66" ht="12.75" customHeight="1" outlineLevel="1">
      <c r="B82" s="2145" t="s">
        <v>4070</v>
      </c>
      <c r="C82" s="140"/>
      <c r="D82" s="140"/>
      <c r="E82" s="140"/>
      <c r="F82" s="141"/>
      <c r="G82" s="141"/>
      <c r="H82" s="141"/>
      <c r="I82" s="141"/>
      <c r="J82" s="141"/>
      <c r="K82" s="140"/>
      <c r="L82" s="141"/>
      <c r="M82" s="141"/>
      <c r="N82" s="140"/>
      <c r="O82" s="1224"/>
      <c r="P82" s="1224"/>
      <c r="Q82" s="161"/>
      <c r="R82" s="116"/>
      <c r="X82" s="2636" t="s">
        <v>366</v>
      </c>
      <c r="Y82" s="2637"/>
      <c r="Z82" s="2637"/>
      <c r="AA82" s="2637"/>
      <c r="AB82" s="2637"/>
      <c r="AC82" s="2637"/>
      <c r="AD82" s="2638"/>
      <c r="AE82" s="1773"/>
      <c r="AG82" s="2639" t="s">
        <v>441</v>
      </c>
      <c r="AH82" s="2640"/>
      <c r="AI82" s="2640"/>
      <c r="AJ82" s="2640"/>
      <c r="AK82" s="2640"/>
      <c r="AL82" s="2640"/>
      <c r="AM82" s="2640"/>
      <c r="AN82" s="2640"/>
      <c r="AO82" s="2640"/>
      <c r="AP82" s="2640"/>
      <c r="AQ82" s="2640"/>
      <c r="AR82" s="2640"/>
      <c r="AS82" s="2640"/>
      <c r="AT82" s="2640"/>
      <c r="AU82" s="2640"/>
      <c r="AV82" s="2640"/>
      <c r="AW82" s="2640"/>
      <c r="AX82" s="2641"/>
    </row>
    <row r="83" spans="2:66" ht="12.75" customHeight="1" outlineLevel="1">
      <c r="B83" s="333"/>
      <c r="C83" s="167"/>
      <c r="D83" s="378" t="s">
        <v>308</v>
      </c>
      <c r="E83" s="1663"/>
      <c r="F83" s="144"/>
      <c r="G83" s="144"/>
      <c r="H83" s="144"/>
      <c r="I83" s="144"/>
      <c r="J83" s="144"/>
      <c r="K83" s="2235"/>
      <c r="L83" s="144"/>
      <c r="M83" s="144"/>
      <c r="N83" s="2235"/>
      <c r="O83" s="1220" t="s">
        <v>233</v>
      </c>
      <c r="P83" s="1220"/>
      <c r="Q83" s="383" t="s">
        <v>275</v>
      </c>
      <c r="R83" s="116"/>
      <c r="X83" s="382"/>
      <c r="Y83" s="379"/>
      <c r="Z83" s="379"/>
      <c r="AA83" s="379"/>
      <c r="AB83" s="379"/>
      <c r="AC83" s="379"/>
      <c r="AD83" s="383" t="s">
        <v>275</v>
      </c>
      <c r="AE83" s="1774"/>
      <c r="AG83" s="2642" t="s">
        <v>444</v>
      </c>
      <c r="AH83" s="2643"/>
      <c r="AI83" s="2643"/>
      <c r="AJ83" s="2643"/>
      <c r="AK83" s="2643"/>
      <c r="AL83" s="2643"/>
      <c r="AM83" s="2643"/>
      <c r="AN83" s="2643"/>
      <c r="AO83" s="2643"/>
      <c r="AP83" s="2643"/>
      <c r="AQ83" s="2643"/>
      <c r="AR83" s="2644"/>
      <c r="AS83" s="2642" t="s">
        <v>444</v>
      </c>
      <c r="AT83" s="2643"/>
      <c r="AU83" s="2644"/>
      <c r="AV83" s="1288"/>
      <c r="AW83" s="566"/>
      <c r="AX83" s="583"/>
      <c r="BH83" s="2616" t="s">
        <v>1648</v>
      </c>
      <c r="BI83" s="2617"/>
      <c r="BJ83" s="2618"/>
    </row>
    <row r="84" spans="2:66" ht="12.75" customHeight="1" outlineLevel="1">
      <c r="B84" s="382"/>
      <c r="C84" s="379"/>
      <c r="D84" s="379" t="s">
        <v>409</v>
      </c>
      <c r="E84" s="1656"/>
      <c r="F84" s="147" t="s">
        <v>452</v>
      </c>
      <c r="G84" s="147" t="s">
        <v>314</v>
      </c>
      <c r="H84" s="147" t="s">
        <v>590</v>
      </c>
      <c r="I84" s="147" t="s">
        <v>350</v>
      </c>
      <c r="J84" s="2234" t="s">
        <v>591</v>
      </c>
      <c r="K84" s="2230"/>
      <c r="L84" s="144" t="s">
        <v>2224</v>
      </c>
      <c r="M84" s="144"/>
      <c r="N84" s="2235" t="s">
        <v>444</v>
      </c>
      <c r="O84" s="537" t="s">
        <v>444</v>
      </c>
      <c r="P84" s="537" t="s">
        <v>444</v>
      </c>
      <c r="Q84" s="383" t="s">
        <v>276</v>
      </c>
      <c r="R84" s="116"/>
      <c r="X84" s="1219" t="s">
        <v>316</v>
      </c>
      <c r="Y84" s="2629" t="s">
        <v>316</v>
      </c>
      <c r="Z84" s="2630"/>
      <c r="AA84" s="379" t="s">
        <v>444</v>
      </c>
      <c r="AB84" s="379" t="s">
        <v>444</v>
      </c>
      <c r="AC84" s="378" t="s">
        <v>444</v>
      </c>
      <c r="AD84" s="383" t="s">
        <v>276</v>
      </c>
      <c r="AE84" s="1774"/>
      <c r="AG84" s="2631" t="s">
        <v>211</v>
      </c>
      <c r="AH84" s="2632"/>
      <c r="AI84" s="2632"/>
      <c r="AJ84" s="2632" t="s">
        <v>442</v>
      </c>
      <c r="AK84" s="2632"/>
      <c r="AL84" s="2632"/>
      <c r="AM84" s="2632" t="s">
        <v>267</v>
      </c>
      <c r="AN84" s="2632"/>
      <c r="AO84" s="2632"/>
      <c r="AP84" s="2632" t="s">
        <v>443</v>
      </c>
      <c r="AQ84" s="2632"/>
      <c r="AR84" s="2650"/>
      <c r="AS84" s="2848" t="s">
        <v>327</v>
      </c>
      <c r="AT84" s="2648"/>
      <c r="AU84" s="2649"/>
      <c r="AV84" s="2631" t="s">
        <v>636</v>
      </c>
      <c r="AW84" s="2632"/>
      <c r="AX84" s="568"/>
      <c r="BH84" s="2837" t="s">
        <v>1646</v>
      </c>
      <c r="BI84" s="2839" t="s">
        <v>422</v>
      </c>
      <c r="BJ84" s="2839" t="s">
        <v>411</v>
      </c>
      <c r="BK84" s="2839" t="s">
        <v>257</v>
      </c>
    </row>
    <row r="85" spans="2:66" ht="12.75" customHeight="1" outlineLevel="1">
      <c r="B85" s="382"/>
      <c r="C85" s="379"/>
      <c r="D85" s="379" t="s">
        <v>444</v>
      </c>
      <c r="E85" s="1656"/>
      <c r="F85" s="149" t="s">
        <v>445</v>
      </c>
      <c r="G85" s="153" t="s">
        <v>157</v>
      </c>
      <c r="H85" s="149" t="s">
        <v>364</v>
      </c>
      <c r="I85" s="149" t="s">
        <v>304</v>
      </c>
      <c r="J85" s="153" t="s">
        <v>266</v>
      </c>
      <c r="K85" s="1662" t="s">
        <v>422</v>
      </c>
      <c r="L85" s="1226" t="s">
        <v>411</v>
      </c>
      <c r="M85" s="1226" t="s">
        <v>257</v>
      </c>
      <c r="N85" s="2231" t="s">
        <v>422</v>
      </c>
      <c r="O85" s="1222" t="s">
        <v>411</v>
      </c>
      <c r="P85" s="1222" t="s">
        <v>257</v>
      </c>
      <c r="Q85" s="383" t="s">
        <v>444</v>
      </c>
      <c r="R85" s="116"/>
      <c r="X85" s="1219" t="s">
        <v>1649</v>
      </c>
      <c r="Y85" s="2646" t="s">
        <v>1650</v>
      </c>
      <c r="Z85" s="2647"/>
      <c r="AA85" s="381" t="s">
        <v>411</v>
      </c>
      <c r="AB85" s="381" t="s">
        <v>257</v>
      </c>
      <c r="AC85" s="166" t="s">
        <v>327</v>
      </c>
      <c r="AD85" s="383" t="s">
        <v>444</v>
      </c>
      <c r="AE85" s="1774"/>
      <c r="AG85" s="579" t="s">
        <v>411</v>
      </c>
      <c r="AH85" s="580" t="s">
        <v>257</v>
      </c>
      <c r="AI85" s="2238" t="s">
        <v>422</v>
      </c>
      <c r="AJ85" s="580" t="s">
        <v>411</v>
      </c>
      <c r="AK85" s="580" t="s">
        <v>257</v>
      </c>
      <c r="AL85" s="2238" t="s">
        <v>422</v>
      </c>
      <c r="AM85" s="580" t="s">
        <v>411</v>
      </c>
      <c r="AN85" s="580" t="s">
        <v>257</v>
      </c>
      <c r="AO85" s="2238" t="s">
        <v>422</v>
      </c>
      <c r="AP85" s="580" t="s">
        <v>411</v>
      </c>
      <c r="AQ85" s="580" t="s">
        <v>257</v>
      </c>
      <c r="AR85" s="2238" t="s">
        <v>422</v>
      </c>
      <c r="AS85" s="1289" t="s">
        <v>411</v>
      </c>
      <c r="AT85" s="581" t="s">
        <v>257</v>
      </c>
      <c r="AU85" s="581" t="s">
        <v>422</v>
      </c>
      <c r="AV85" s="579" t="s">
        <v>411</v>
      </c>
      <c r="AW85" s="580" t="s">
        <v>257</v>
      </c>
      <c r="AX85" s="2239" t="s">
        <v>422</v>
      </c>
      <c r="BH85" s="2838"/>
      <c r="BI85" s="2840"/>
      <c r="BJ85" s="2840"/>
      <c r="BK85" s="2840"/>
    </row>
    <row r="86" spans="2:66" outlineLevel="1">
      <c r="B86" s="143" t="s">
        <v>4051</v>
      </c>
      <c r="C86" s="144"/>
      <c r="D86" s="212">
        <f>SUM(N86:P86)</f>
        <v>0</v>
      </c>
      <c r="E86" s="212"/>
      <c r="F86" s="409"/>
      <c r="G86" s="117"/>
      <c r="H86" s="411">
        <v>220</v>
      </c>
      <c r="I86" s="411">
        <v>2</v>
      </c>
      <c r="J86" s="411"/>
      <c r="K86" s="410">
        <f>IF(ISNA(VLOOKUP($B86&amp;"; "&amp;$L$84&amp;", "&amp;$K$85,'FE Déplacements'!$G:$U,9,FALSE)),0,VLOOKUP($B86&amp;"; "&amp;$L$84&amp;", "&amp;$K$85,'FE Déplacements'!$G:$U,9,FALSE))</f>
        <v>5.6500000000000002E-2</v>
      </c>
      <c r="L86" s="410">
        <f>IF(ISNA(VLOOKUP($B86&amp;"; "&amp;$L$84&amp;", "&amp;$L$85,'FE Déplacements'!$G:$U,9,FALSE)),0,VLOOKUP($B86&amp;"; "&amp;$L$84&amp;", "&amp;$L$85,'FE Déplacements'!$G:$U,9,FALSE))</f>
        <v>0</v>
      </c>
      <c r="M86" s="410">
        <f>VLOOKUP($B86&amp;"; "&amp;$L$84&amp;", "&amp;$M$85,'FE Déplacements'!$G:$U,9,FALSE)</f>
        <v>0.14599999999999999</v>
      </c>
      <c r="N86" s="151">
        <f>G86*H86*I86*J86*K86</f>
        <v>0</v>
      </c>
      <c r="O86" s="356">
        <f>G86*H86*I86*J86*L86</f>
        <v>0</v>
      </c>
      <c r="P86" s="151">
        <f>G86*H86*I86*J86*M86</f>
        <v>0</v>
      </c>
      <c r="Q86" s="165">
        <f>IF(OR(F86=Utilitaires!$I$572,F86=Utilitaires!$I$577),P86,0)</f>
        <v>0</v>
      </c>
      <c r="R86" s="116"/>
      <c r="X86" s="1092">
        <f>IF(AC86=0,AC86,AC86/D86)</f>
        <v>0</v>
      </c>
      <c r="Y86" s="343"/>
      <c r="Z86" s="820"/>
      <c r="AA86" s="164">
        <f t="shared" ref="AA86:AB88" si="63">O86*BJ86</f>
        <v>0</v>
      </c>
      <c r="AB86" s="164">
        <f t="shared" si="63"/>
        <v>0</v>
      </c>
      <c r="AC86" s="151">
        <f>SQRT(SUMSQ(AA86,AB86))</f>
        <v>0</v>
      </c>
      <c r="AD86" s="165">
        <f>Q86*X86</f>
        <v>0</v>
      </c>
      <c r="AE86" s="257"/>
      <c r="AG86" s="564">
        <f>$G86*H86*I86*J86*IF(ISNA(VLOOKUP($B86&amp;"; "&amp;$L$84&amp;", "&amp;L$85,'FE Déplacements'!$G:$U,10,FALSE)),0,VLOOKUP($B86&amp;"; "&amp;$L$84&amp;", "&amp;L$85,'FE Déplacements'!$G:$U,10,FALSE))</f>
        <v>0</v>
      </c>
      <c r="AH86" s="565">
        <f>$G86*H86*I86*J86*IF(ISNA(VLOOKUP($B86&amp;"; "&amp;$L$84&amp;", "&amp;M$85,'FE Déplacements'!$G:$U,10,FALSE)),0,VLOOKUP($B86&amp;"; "&amp;$L$84&amp;", "&amp;M$85,'FE Déplacements'!$G:$U,10,FALSE))</f>
        <v>0</v>
      </c>
      <c r="AI86" s="565">
        <f>$G86*H86*I86*J86*IF(ISNA(VLOOKUP($B86&amp;"; "&amp;$L$84&amp;", "&amp;K$85,'FE Déplacements'!$G:$U,10,FALSE)),0,VLOOKUP($B86&amp;"; "&amp;$L$84&amp;", "&amp;K$85,'FE Déplacements'!$G:$U,10,FALSE))</f>
        <v>0</v>
      </c>
      <c r="AJ86" s="565">
        <f>$G86*H86*I86*J86*IF(ISNA((VLOOKUP($B86&amp;"; "&amp;$L$84&amp;", "&amp;L$85,'FE Déplacements'!$G:$U,12,FALSE)+VLOOKUP($B86&amp;"; "&amp;$L$84&amp;", "&amp;L$85,'FE Déplacements'!$G:$U,11,FALSE))),0,(VLOOKUP($B86&amp;"; "&amp;$L$84&amp;", "&amp;L$85,'FE Déplacements'!$G:$U,12,FALSE)+VLOOKUP($B86&amp;"; "&amp;$L$84&amp;", "&amp;L$85,'FE Déplacements'!$G:$U,11,FALSE)))</f>
        <v>0</v>
      </c>
      <c r="AK86" s="565">
        <f>$G86*H86*I86*J86*IF(ISNA((VLOOKUP($B86&amp;"; "&amp;$L$84&amp;", "&amp;M$85,'FE Déplacements'!$G:$U,12,FALSE)+VLOOKUP($B86&amp;"; "&amp;$L$84&amp;", "&amp;M$85,'FE Déplacements'!$G:$U,11,FALSE))),0,(VLOOKUP($B86&amp;"; "&amp;$L$84&amp;", "&amp;M$85,'FE Déplacements'!$G:$U,12,FALSE)+VLOOKUP($B86&amp;"; "&amp;$L$84&amp;", "&amp;M$85,'FE Déplacements'!$G:$U,11,FALSE)))</f>
        <v>0</v>
      </c>
      <c r="AL86" s="565">
        <f>$G86*H86*I86*J86*IF(ISNA((VLOOKUP($B86&amp;"; "&amp;$L$84&amp;", "&amp;K$85,'FE Déplacements'!$G:$U,12,FALSE)+VLOOKUP($B86&amp;"; "&amp;$L$84&amp;", "&amp;K$85,'FE Déplacements'!$G:$U,11,FALSE))),0,(VLOOKUP($B86&amp;"; "&amp;$L$84&amp;", "&amp;K$85,'FE Déplacements'!$G:$U,12,FALSE)+VLOOKUP($B86&amp;"; "&amp;$L$84&amp;", "&amp;K$85,'FE Déplacements'!$G:$U,11,FALSE)))</f>
        <v>0</v>
      </c>
      <c r="AM86" s="565">
        <f>$G86*H86*I86*J86*IF(ISNA(VLOOKUP($B86&amp;"; "&amp;$L$84&amp;", "&amp;L$85,'FE Déplacements'!$G:$U,13,FALSE)),0,VLOOKUP($B86&amp;"; "&amp;$L$84&amp;", "&amp;L$85,'FE Déplacements'!$G:$U,13,FALSE))</f>
        <v>0</v>
      </c>
      <c r="AN86" s="565">
        <f>$G86*H86*I86*J86*IF(ISNA(VLOOKUP($B86&amp;"; "&amp;$L$84&amp;", "&amp;M$85,'FE Déplacements'!$G:$U,13,FALSE)),0,VLOOKUP($B86&amp;"; "&amp;$L$84&amp;", "&amp;M$85,'FE Déplacements'!$G:$U,13,FALSE))</f>
        <v>0</v>
      </c>
      <c r="AO86" s="565">
        <f>$G86*H86*I86*J86*IF(ISNA(VLOOKUP($B86&amp;"; "&amp;$L$84&amp;", "&amp;K$85,'FE Déplacements'!$G:$U,13,FALSE)),0,VLOOKUP($B86&amp;"; "&amp;$L$84&amp;", "&amp;K$85,'FE Déplacements'!$G:$U,13,FALSE))</f>
        <v>0</v>
      </c>
      <c r="AP86" s="565">
        <v>0</v>
      </c>
      <c r="AQ86" s="565">
        <v>0</v>
      </c>
      <c r="AR86" s="565">
        <v>0</v>
      </c>
      <c r="AS86" s="1288">
        <f t="shared" ref="AS86:AT88" si="64">SUM(AG86,AJ86,AM86,AP86)</f>
        <v>0</v>
      </c>
      <c r="AT86" s="566">
        <f t="shared" si="64"/>
        <v>0</v>
      </c>
      <c r="AU86" s="566">
        <f>SUM(AI86,AL86,AO86,AR86)</f>
        <v>0</v>
      </c>
      <c r="AV86" s="564">
        <f>$G86*H86*I86*J86*IF(ISNA(VLOOKUP($B86&amp;"; "&amp;$L$84&amp;", "&amp;L$85,'FE Déplacements'!$G:$U,15,FALSE)),0,VLOOKUP($B86&amp;"; "&amp;$L$84&amp;", "&amp;L$85,'FE Déplacements'!$G:$U,15,FALSE))</f>
        <v>0</v>
      </c>
      <c r="AW86" s="565">
        <f>$G86*H86*I86*J86*IF(ISNA(VLOOKUP($B86&amp;"; "&amp;$L$84&amp;", "&amp;M$85,'FE Déplacements'!$G:$U,15,FALSE)),0,VLOOKUP($B86&amp;"; "&amp;$L$84&amp;", "&amp;M$85,'FE Déplacements'!$G:$U,15,FALSE))</f>
        <v>0</v>
      </c>
      <c r="AX86" s="568">
        <f>$G86*H86*I86*J86*IF(ISNA(VLOOKUP($B86&amp;"; "&amp;$L$84&amp;", "&amp;K$85,'FE Déplacements'!$G:$U,15,FALSE)),0,VLOOKUP($B86&amp;"; "&amp;$L$84&amp;", "&amp;K$85,'FE Déplacements'!$G:$U,15,FALSE))</f>
        <v>0</v>
      </c>
      <c r="BH86" s="1065">
        <f>IF($Y86&lt;&gt;"votre valeur :",IF(ISNA(VLOOKUP($Y86,Utilitaires!$N$566:$O$571,2,FALSE)),,VLOOKUP($Y86,Utilitaires!$N$566:$O$571,2,FALSE)),$Z86)</f>
        <v>0</v>
      </c>
      <c r="BI86" s="2240">
        <f>IF(ISNA(SQRT(SUMSQ(VLOOKUP($B86&amp;"; "&amp;$L$84&amp;", "&amp;$K$85,'FE Déplacements'!$G:$U,7,FALSE),$BH86))),0,SQRT(SUMSQ(VLOOKUP($B86&amp;"; "&amp;$L$84&amp;", "&amp;$K$85,'FE Déplacements'!$G:$U,7,FALSE),$BH86)))</f>
        <v>0.6</v>
      </c>
      <c r="BJ86" s="1124">
        <f>IF(ISNA(SQRT(SUMSQ(VLOOKUP($B86&amp;"; "&amp;$L$84&amp;", "&amp;$L$85,'FE Déplacements'!$G:$U,7,FALSE),$BH86))),0,SQRT(SUMSQ(VLOOKUP($B86&amp;"; "&amp;$L$84&amp;", "&amp;$L$85,'FE Déplacements'!$G:$U,7,FALSE),$BH86)))</f>
        <v>0</v>
      </c>
      <c r="BK86" s="1130">
        <f>IF(ISNA(SQRT(SUMSQ(VLOOKUP($B86&amp;"; "&amp;$L$84&amp;", "&amp;$M$85,'FE Déplacements'!$G:$U,7,FALSE),$BH86))),0,SQRT(SUMSQ(VLOOKUP($B86&amp;"; "&amp;$L$84&amp;", "&amp;$M$85,'FE Déplacements'!$G:$U,7,FALSE),$BH86)))</f>
        <v>0.6</v>
      </c>
    </row>
    <row r="87" spans="2:66" outlineLevel="1">
      <c r="B87" s="143" t="s">
        <v>4052</v>
      </c>
      <c r="C87" s="144"/>
      <c r="D87" s="212">
        <f t="shared" ref="D87:D88" si="65">SUM(N87:P87)</f>
        <v>0</v>
      </c>
      <c r="E87" s="212"/>
      <c r="F87" s="346"/>
      <c r="G87" s="120"/>
      <c r="H87" s="412">
        <v>220</v>
      </c>
      <c r="I87" s="412">
        <v>2</v>
      </c>
      <c r="J87" s="412"/>
      <c r="K87" s="410">
        <f>IF(ISNA(VLOOKUP($B87&amp;"; "&amp;$L$84&amp;", "&amp;$K$85,'FE Déplacements'!$G:$U,9,FALSE)),0,VLOOKUP($B87&amp;"; "&amp;$L$84&amp;", "&amp;$K$85,'FE Déplacements'!$G:$U,9,FALSE))</f>
        <v>1.2200000000000001E-2</v>
      </c>
      <c r="L87" s="410">
        <f>IF(ISNA(VLOOKUP($B87&amp;"; "&amp;$L$84&amp;", "&amp;$L$85,'FE Déplacements'!$G:$U,9,FALSE)),0,VLOOKUP($B87&amp;"; "&amp;$L$84&amp;", "&amp;$L$85,'FE Déplacements'!$G:$U,9,FALSE))</f>
        <v>9.4999999999999998E-3</v>
      </c>
      <c r="M87" s="410">
        <f>VLOOKUP($B87&amp;"; "&amp;$L$84&amp;", "&amp;$M$85,'FE Déplacements'!$G:$U,9,FALSE)</f>
        <v>0</v>
      </c>
      <c r="N87" s="151">
        <f t="shared" ref="N87:N88" si="66">G87*H87*I87*J87*K87</f>
        <v>0</v>
      </c>
      <c r="O87" s="356">
        <f>G87*H87*I87*J87*L87</f>
        <v>0</v>
      </c>
      <c r="P87" s="151">
        <f>G87*H87*I87*J87*M87</f>
        <v>0</v>
      </c>
      <c r="Q87" s="165">
        <f>IF(OR(F87=Utilitaires!$I$572,F87=Utilitaires!$I$577),P87,0)</f>
        <v>0</v>
      </c>
      <c r="R87" s="116"/>
      <c r="X87" s="1092">
        <f>IF(AC87=0,AC87,AC87/D87)</f>
        <v>0</v>
      </c>
      <c r="Y87" s="343"/>
      <c r="Z87" s="820"/>
      <c r="AA87" s="164">
        <f t="shared" si="63"/>
        <v>0</v>
      </c>
      <c r="AB87" s="164">
        <f t="shared" si="63"/>
        <v>0</v>
      </c>
      <c r="AC87" s="151">
        <f>SQRT(SUMSQ(AA87,AB87))</f>
        <v>0</v>
      </c>
      <c r="AD87" s="165">
        <f>Q87*X87</f>
        <v>0</v>
      </c>
      <c r="AE87" s="257"/>
      <c r="AG87" s="564">
        <f>$G87*H87*I87*J87*IF(ISNA(VLOOKUP($B87&amp;"; "&amp;$L$84&amp;", "&amp;L$85,'FE Déplacements'!$G:$U,10,FALSE)),0,VLOOKUP($B87&amp;"; "&amp;$L$84&amp;", "&amp;L$85,'FE Déplacements'!$G:$U,10,FALSE))</f>
        <v>0</v>
      </c>
      <c r="AH87" s="565">
        <f>$G87*H87*I87*J87*IF(ISNA(VLOOKUP($B87&amp;"; "&amp;$L$84&amp;", "&amp;M$85,'FE Déplacements'!$G:$U,10,FALSE)),0,VLOOKUP($B87&amp;"; "&amp;$L$84&amp;", "&amp;M$85,'FE Déplacements'!$G:$U,10,FALSE))</f>
        <v>0</v>
      </c>
      <c r="AI87" s="565">
        <f>$G87*H87*I87*J87*IF(ISNA(VLOOKUP($B87&amp;"; "&amp;$L$84&amp;", "&amp;K$85,'FE Déplacements'!$G:$U,10,FALSE)),0,VLOOKUP($B87&amp;"; "&amp;$L$84&amp;", "&amp;K$85,'FE Déplacements'!$G:$U,10,FALSE))</f>
        <v>0</v>
      </c>
      <c r="AJ87" s="565">
        <f>$G87*H87*I87*J87*IF(ISNA((VLOOKUP($B87&amp;"; "&amp;$L$84&amp;", "&amp;L$85,'FE Déplacements'!$G:$U,12,FALSE)+VLOOKUP($B87&amp;"; "&amp;$L$84&amp;", "&amp;L$85,'FE Déplacements'!$G:$U,11,FALSE))),0,(VLOOKUP($B87&amp;"; "&amp;$L$84&amp;", "&amp;L$85,'FE Déplacements'!$G:$U,12,FALSE)+VLOOKUP($B87&amp;"; "&amp;$L$84&amp;", "&amp;L$85,'FE Déplacements'!$G:$U,11,FALSE)))</f>
        <v>0</v>
      </c>
      <c r="AK87" s="565">
        <f>$G87*H87*I87*J87*IF(ISNA((VLOOKUP($B87&amp;"; "&amp;$L$84&amp;", "&amp;M$85,'FE Déplacements'!$G:$U,12,FALSE)+VLOOKUP($B87&amp;"; "&amp;$L$84&amp;", "&amp;M$85,'FE Déplacements'!$G:$U,11,FALSE))),0,(VLOOKUP($B87&amp;"; "&amp;$L$84&amp;", "&amp;M$85,'FE Déplacements'!$G:$U,12,FALSE)+VLOOKUP($B87&amp;"; "&amp;$L$84&amp;", "&amp;M$85,'FE Déplacements'!$G:$U,11,FALSE)))</f>
        <v>0</v>
      </c>
      <c r="AL87" s="565">
        <f>$G87*H87*I87*J87*IF(ISNA((VLOOKUP($B87&amp;"; "&amp;$L$84&amp;", "&amp;K$85,'FE Déplacements'!$G:$U,12,FALSE)+VLOOKUP($B87&amp;"; "&amp;$L$84&amp;", "&amp;K$85,'FE Déplacements'!$G:$U,11,FALSE))),0,(VLOOKUP($B87&amp;"; "&amp;$L$84&amp;", "&amp;K$85,'FE Déplacements'!$G:$U,12,FALSE)+VLOOKUP($B87&amp;"; "&amp;$L$84&amp;", "&amp;K$85,'FE Déplacements'!$G:$U,11,FALSE)))</f>
        <v>0</v>
      </c>
      <c r="AM87" s="565">
        <f>$G87*H87*I87*J87*IF(ISNA(VLOOKUP($B87&amp;"; "&amp;$L$84&amp;", "&amp;L$85,'FE Déplacements'!$G:$U,13,FALSE)),0,VLOOKUP($B87&amp;"; "&amp;$L$84&amp;", "&amp;L$85,'FE Déplacements'!$G:$U,13,FALSE))</f>
        <v>0</v>
      </c>
      <c r="AN87" s="565">
        <f>$G87*H87*I87*J87*IF(ISNA(VLOOKUP($B87&amp;"; "&amp;$L$84&amp;", "&amp;M$85,'FE Déplacements'!$G:$U,13,FALSE)),0,VLOOKUP($B87&amp;"; "&amp;$L$84&amp;", "&amp;M$85,'FE Déplacements'!$G:$U,13,FALSE))</f>
        <v>0</v>
      </c>
      <c r="AO87" s="565">
        <f>$G87*H87*I87*J87*IF(ISNA(VLOOKUP($B87&amp;"; "&amp;$L$84&amp;", "&amp;K$85,'FE Déplacements'!$G:$U,13,FALSE)),0,VLOOKUP($B87&amp;"; "&amp;$L$84&amp;", "&amp;K$85,'FE Déplacements'!$G:$U,13,FALSE))</f>
        <v>0</v>
      </c>
      <c r="AP87" s="565">
        <v>0</v>
      </c>
      <c r="AQ87" s="565">
        <v>0</v>
      </c>
      <c r="AR87" s="565">
        <v>0</v>
      </c>
      <c r="AS87" s="1288">
        <f t="shared" si="64"/>
        <v>0</v>
      </c>
      <c r="AT87" s="566">
        <f t="shared" si="64"/>
        <v>0</v>
      </c>
      <c r="AU87" s="566">
        <f t="shared" ref="AU87:AU88" si="67">SUM(AI87,AL87,AO87,AR87)</f>
        <v>0</v>
      </c>
      <c r="AV87" s="564">
        <f>$G87*H87*I87*J87*IF(ISNA(VLOOKUP($B87&amp;"; "&amp;$L$84&amp;", "&amp;L$85,'FE Déplacements'!$G:$U,15,FALSE)),0,VLOOKUP($B87&amp;"; "&amp;$L$84&amp;", "&amp;L$85,'FE Déplacements'!$G:$U,15,FALSE))</f>
        <v>0</v>
      </c>
      <c r="AW87" s="565">
        <f>$G87*H87*I87*J87*IF(ISNA(VLOOKUP($B87&amp;"; "&amp;$L$84&amp;", "&amp;M$85,'FE Déplacements'!$G:$U,15,FALSE)),0,VLOOKUP($B87&amp;"; "&amp;$L$84&amp;", "&amp;M$85,'FE Déplacements'!$G:$U,15,FALSE))</f>
        <v>0</v>
      </c>
      <c r="AX87" s="568">
        <f>$G87*H87*I87*J87*IF(ISNA(VLOOKUP($B87&amp;"; "&amp;$L$84&amp;", "&amp;K$85,'FE Déplacements'!$G:$U,15,FALSE)),0,VLOOKUP($B87&amp;"; "&amp;$L$84&amp;", "&amp;K$85,'FE Déplacements'!$G:$U,15,FALSE))</f>
        <v>0</v>
      </c>
      <c r="BH87" s="1065">
        <f>IF($Y87&lt;&gt;"votre valeur :",IF(ISNA(VLOOKUP($Y87,Utilitaires!$N$566:$O$571,2,FALSE)),,VLOOKUP($Y87,Utilitaires!$N$566:$O$571,2,FALSE)),$Z87)</f>
        <v>0</v>
      </c>
      <c r="BI87" s="2240">
        <f>IF(ISNA(SQRT(SUMSQ(VLOOKUP($B87&amp;"; "&amp;$L$84&amp;", "&amp;$K$85,'FE Déplacements'!$G:$U,7,FALSE),$BH87))),0,SQRT(SUMSQ(VLOOKUP($B87&amp;"; "&amp;$L$84&amp;", "&amp;$K$85,'FE Déplacements'!$G:$U,7,FALSE),$BH87)))</f>
        <v>0.7</v>
      </c>
      <c r="BJ87" s="1124">
        <f>IF(ISNA(SQRT(SUMSQ(VLOOKUP($B87&amp;"; "&amp;$L$84&amp;", "&amp;$L$85,'FE Déplacements'!$G:$U,7,FALSE),$BH87))),0,SQRT(SUMSQ(VLOOKUP($B87&amp;"; "&amp;$L$84&amp;", "&amp;$L$85,'FE Déplacements'!$G:$U,7,FALSE),$BH87)))</f>
        <v>0.7</v>
      </c>
      <c r="BK87" s="1130">
        <f>IF(ISNA(SQRT(SUMSQ(VLOOKUP($B87&amp;"; "&amp;$L$84&amp;", "&amp;$M$85,'FE Déplacements'!$G:$U,7,FALSE),$BH87))),0,SQRT(SUMSQ(VLOOKUP($B87&amp;"; "&amp;$L$84&amp;", "&amp;$M$85,'FE Déplacements'!$G:$U,7,FALSE),$BH87)))</f>
        <v>0.7</v>
      </c>
    </row>
    <row r="88" spans="2:66" outlineLevel="1">
      <c r="B88" s="143" t="s">
        <v>4053</v>
      </c>
      <c r="C88" s="144"/>
      <c r="D88" s="212">
        <f t="shared" si="65"/>
        <v>0</v>
      </c>
      <c r="E88" s="212"/>
      <c r="F88" s="347"/>
      <c r="G88" s="123"/>
      <c r="H88" s="413">
        <v>220</v>
      </c>
      <c r="I88" s="413">
        <v>2</v>
      </c>
      <c r="J88" s="413"/>
      <c r="K88" s="410">
        <f>IF(ISNA(VLOOKUP($B88&amp;"; "&amp;$L$84&amp;", "&amp;$K$85,'FE Déplacements'!$G:$U,9,FALSE)),0,VLOOKUP($B88&amp;"; "&amp;$L$84&amp;", "&amp;$K$85,'FE Déplacements'!$G:$U,9,FALSE))</f>
        <v>0</v>
      </c>
      <c r="L88" s="410">
        <f>IF(ISNA(VLOOKUP($B88&amp;"; "&amp;$L$84&amp;", "&amp;$L$85,'FE Déplacements'!$G:$U,9,FALSE)),0,VLOOKUP($B88&amp;"; "&amp;$L$84&amp;", "&amp;$L$85,'FE Déplacements'!$G:$U,9,FALSE))</f>
        <v>5.79E-3</v>
      </c>
      <c r="M88" s="410">
        <f>VLOOKUP($B88&amp;"; "&amp;$L$84&amp;", "&amp;$M$85,'FE Déplacements'!$G:$U,9,FALSE)</f>
        <v>2.3699999999999999E-2</v>
      </c>
      <c r="N88" s="151">
        <f t="shared" si="66"/>
        <v>0</v>
      </c>
      <c r="O88" s="356">
        <f>G88*H88*I88*J88*L88</f>
        <v>0</v>
      </c>
      <c r="P88" s="151">
        <f>G88*H88*I88*J88*M88</f>
        <v>0</v>
      </c>
      <c r="Q88" s="165">
        <f>IF(OR(F88=Utilitaires!$I$572,F88=Utilitaires!$I$577),P88,0)</f>
        <v>0</v>
      </c>
      <c r="R88" s="116"/>
      <c r="X88" s="1092">
        <f>IF(AC88=0,AC88,AC88/D88)</f>
        <v>0</v>
      </c>
      <c r="Y88" s="1094"/>
      <c r="Z88" s="820"/>
      <c r="AA88" s="164">
        <f t="shared" si="63"/>
        <v>0</v>
      </c>
      <c r="AB88" s="164">
        <f t="shared" si="63"/>
        <v>0</v>
      </c>
      <c r="AC88" s="151">
        <f>SQRT(SUMSQ(AA88,AB88))</f>
        <v>0</v>
      </c>
      <c r="AD88" s="165">
        <f>Q88*X88</f>
        <v>0</v>
      </c>
      <c r="AE88" s="257"/>
      <c r="AG88" s="564">
        <f>$G88*H88*I88*J88*IF(ISNA(VLOOKUP($B88&amp;"; "&amp;$L$84&amp;", "&amp;L$85,'FE Déplacements'!$G:$U,10,FALSE)),0,VLOOKUP($B88&amp;"; "&amp;$L$84&amp;", "&amp;L$85,'FE Déplacements'!$G:$U,10,FALSE))</f>
        <v>0</v>
      </c>
      <c r="AH88" s="565">
        <f>$G88*H88*I88*J88*IF(ISNA(VLOOKUP($B88&amp;"; "&amp;$L$84&amp;", "&amp;M$85,'FE Déplacements'!$G:$U,10,FALSE)),0,VLOOKUP($B88&amp;"; "&amp;$L$84&amp;", "&amp;M$85,'FE Déplacements'!$G:$U,10,FALSE))</f>
        <v>0</v>
      </c>
      <c r="AI88" s="565">
        <f>$G88*H88*I88*J88*IF(ISNA(VLOOKUP($B88&amp;"; "&amp;$L$84&amp;", "&amp;K$85,'FE Déplacements'!$G:$U,10,FALSE)),0,VLOOKUP($B88&amp;"; "&amp;$L$84&amp;", "&amp;K$85,'FE Déplacements'!$G:$U,10,FALSE))</f>
        <v>0</v>
      </c>
      <c r="AJ88" s="565">
        <f>$G88*H88*I88*J88*IF(ISNA((VLOOKUP($B88&amp;"; "&amp;$L$84&amp;", "&amp;L$85,'FE Déplacements'!$G:$U,12,FALSE)+VLOOKUP($B88&amp;"; "&amp;$L$84&amp;", "&amp;L$85,'FE Déplacements'!$G:$U,11,FALSE))),0,(VLOOKUP($B88&amp;"; "&amp;$L$84&amp;", "&amp;L$85,'FE Déplacements'!$G:$U,12,FALSE)+VLOOKUP($B88&amp;"; "&amp;$L$84&amp;", "&amp;L$85,'FE Déplacements'!$G:$U,11,FALSE)))</f>
        <v>0</v>
      </c>
      <c r="AK88" s="565">
        <f>$G88*H88*I88*J88*IF(ISNA((VLOOKUP($B88&amp;"; "&amp;$L$84&amp;", "&amp;M$85,'FE Déplacements'!$G:$U,12,FALSE)+VLOOKUP($B88&amp;"; "&amp;$L$84&amp;", "&amp;M$85,'FE Déplacements'!$G:$U,11,FALSE))),0,(VLOOKUP($B88&amp;"; "&amp;$L$84&amp;", "&amp;M$85,'FE Déplacements'!$G:$U,12,FALSE)+VLOOKUP($B88&amp;"; "&amp;$L$84&amp;", "&amp;M$85,'FE Déplacements'!$G:$U,11,FALSE)))</f>
        <v>0</v>
      </c>
      <c r="AL88" s="565">
        <f>$G88*H88*I88*J88*IF(ISNA((VLOOKUP($B88&amp;"; "&amp;$L$84&amp;", "&amp;K$85,'FE Déplacements'!$G:$U,12,FALSE)+VLOOKUP($B88&amp;"; "&amp;$L$84&amp;", "&amp;K$85,'FE Déplacements'!$G:$U,11,FALSE))),0,(VLOOKUP($B88&amp;"; "&amp;$L$84&amp;", "&amp;K$85,'FE Déplacements'!$G:$U,12,FALSE)+VLOOKUP($B88&amp;"; "&amp;$L$84&amp;", "&amp;K$85,'FE Déplacements'!$G:$U,11,FALSE)))</f>
        <v>0</v>
      </c>
      <c r="AM88" s="565">
        <f>$G88*H88*I88*J88*IF(ISNA(VLOOKUP($B88&amp;"; "&amp;$L$84&amp;", "&amp;L$85,'FE Déplacements'!$G:$U,13,FALSE)),0,VLOOKUP($B88&amp;"; "&amp;$L$84&amp;", "&amp;L$85,'FE Déplacements'!$G:$U,13,FALSE))</f>
        <v>0</v>
      </c>
      <c r="AN88" s="565">
        <f>$G88*H88*I88*J88*IF(ISNA(VLOOKUP($B88&amp;"; "&amp;$L$84&amp;", "&amp;M$85,'FE Déplacements'!$G:$U,13,FALSE)),0,VLOOKUP($B88&amp;"; "&amp;$L$84&amp;", "&amp;M$85,'FE Déplacements'!$G:$U,13,FALSE))</f>
        <v>0</v>
      </c>
      <c r="AO88" s="565">
        <f>$G88*H88*I88*J88*IF(ISNA(VLOOKUP($B88&amp;"; "&amp;$L$84&amp;", "&amp;K$85,'FE Déplacements'!$G:$U,13,FALSE)),0,VLOOKUP($B88&amp;"; "&amp;$L$84&amp;", "&amp;K$85,'FE Déplacements'!$G:$U,13,FALSE))</f>
        <v>0</v>
      </c>
      <c r="AP88" s="565">
        <v>0</v>
      </c>
      <c r="AQ88" s="565">
        <v>0</v>
      </c>
      <c r="AR88" s="565">
        <v>0</v>
      </c>
      <c r="AS88" s="1288">
        <f t="shared" si="64"/>
        <v>0</v>
      </c>
      <c r="AT88" s="566">
        <f t="shared" si="64"/>
        <v>0</v>
      </c>
      <c r="AU88" s="566">
        <f t="shared" si="67"/>
        <v>0</v>
      </c>
      <c r="AV88" s="564">
        <f>$G88*H88*I88*J88*IF(ISNA(VLOOKUP($B88&amp;"; "&amp;$L$84&amp;", "&amp;L$85,'FE Déplacements'!$G:$U,15,FALSE)),0,VLOOKUP($B88&amp;"; "&amp;$L$84&amp;", "&amp;L$85,'FE Déplacements'!$G:$U,15,FALSE))</f>
        <v>0</v>
      </c>
      <c r="AW88" s="565">
        <f>$G88*H88*I88*J88*IF(ISNA(VLOOKUP($B88&amp;"; "&amp;$L$84&amp;", "&amp;M$85,'FE Déplacements'!$G:$U,15,FALSE)),0,VLOOKUP($B88&amp;"; "&amp;$L$84&amp;", "&amp;M$85,'FE Déplacements'!$G:$U,15,FALSE))</f>
        <v>0</v>
      </c>
      <c r="AX88" s="568">
        <f>$G88*H88*I88*J88*IF(ISNA(VLOOKUP($B88&amp;"; "&amp;$L$84&amp;", "&amp;K$85,'FE Déplacements'!$G:$U,15,FALSE)),0,VLOOKUP($B88&amp;"; "&amp;$L$84&amp;", "&amp;K$85,'FE Déplacements'!$G:$U,15,FALSE))</f>
        <v>0</v>
      </c>
      <c r="BH88" s="1065">
        <f>IF($Y88&lt;&gt;"votre valeur :",IF(ISNA(VLOOKUP($Y88,Utilitaires!$N$566:$O$571,2,FALSE)),,VLOOKUP($Y88,Utilitaires!$N$566:$O$571,2,FALSE)),$Z88)</f>
        <v>0</v>
      </c>
      <c r="BI88" s="2240">
        <f>IF(ISNA(SQRT(SUMSQ(VLOOKUP($B88&amp;"; "&amp;$L$84&amp;", "&amp;$K$85,'FE Déplacements'!$G:$U,7,FALSE),$BH88))),0,SQRT(SUMSQ(VLOOKUP($B88&amp;"; "&amp;$L$84&amp;", "&amp;$K$85,'FE Déplacements'!$G:$U,7,FALSE),$BH88)))</f>
        <v>0</v>
      </c>
      <c r="BJ88" s="1124">
        <f>IF(ISNA(SQRT(SUMSQ(VLOOKUP($B88&amp;"; "&amp;$L$84&amp;", "&amp;$L$85,'FE Déplacements'!$G:$U,7,FALSE),$BH88))),0,SQRT(SUMSQ(VLOOKUP($B88&amp;"; "&amp;$L$84&amp;", "&amp;$L$85,'FE Déplacements'!$G:$U,7,FALSE),$BH88)))</f>
        <v>0.6</v>
      </c>
      <c r="BK88" s="1130">
        <f>IF(ISNA(SQRT(SUMSQ(VLOOKUP($B88&amp;"; "&amp;$L$84&amp;", "&amp;$M$85,'FE Déplacements'!$G:$U,7,FALSE),$BH88))),0,SQRT(SUMSQ(VLOOKUP($B88&amp;"; "&amp;$L$84&amp;", "&amp;$M$85,'FE Déplacements'!$G:$U,7,FALSE),$BH88)))</f>
        <v>0.6</v>
      </c>
    </row>
    <row r="89" spans="2:66" outlineLevel="1">
      <c r="B89" s="143"/>
      <c r="C89" s="144"/>
      <c r="D89" s="213"/>
      <c r="E89" s="213"/>
      <c r="F89" s="144"/>
      <c r="G89" s="144"/>
      <c r="H89" s="144"/>
      <c r="I89" s="144"/>
      <c r="J89" s="144"/>
      <c r="K89" s="213"/>
      <c r="L89" s="144"/>
      <c r="M89" s="144"/>
      <c r="N89" s="213"/>
      <c r="O89" s="144"/>
      <c r="P89" s="144"/>
      <c r="Q89" s="145"/>
      <c r="R89" s="116"/>
      <c r="X89" s="143"/>
      <c r="Y89" s="144"/>
      <c r="Z89" s="144"/>
      <c r="AA89" s="144"/>
      <c r="AB89" s="144"/>
      <c r="AC89" s="151"/>
      <c r="AD89" s="152"/>
      <c r="AE89" s="1458"/>
      <c r="AG89" s="564"/>
      <c r="AH89" s="565"/>
      <c r="AI89" s="565"/>
      <c r="AJ89" s="565"/>
      <c r="AK89" s="565"/>
      <c r="AL89" s="565"/>
      <c r="AM89" s="565"/>
      <c r="AN89" s="565"/>
      <c r="AO89" s="565"/>
      <c r="AP89" s="565"/>
      <c r="AQ89" s="565"/>
      <c r="AR89" s="565"/>
      <c r="AS89" s="1288"/>
      <c r="AT89" s="566"/>
      <c r="AU89" s="565"/>
      <c r="AV89" s="564"/>
      <c r="AW89" s="565"/>
      <c r="AX89" s="568"/>
      <c r="BH89" s="1087"/>
      <c r="BI89" s="1075"/>
      <c r="BJ89" s="1075"/>
      <c r="BK89" s="1131"/>
    </row>
    <row r="90" spans="2:66" outlineLevel="1">
      <c r="B90" s="196" t="s">
        <v>348</v>
      </c>
      <c r="C90" s="197"/>
      <c r="D90" s="214">
        <f>SUM(D86:D89)</f>
        <v>0</v>
      </c>
      <c r="E90" s="214"/>
      <c r="F90" s="197"/>
      <c r="G90" s="197"/>
      <c r="H90" s="197"/>
      <c r="I90" s="197"/>
      <c r="J90" s="197"/>
      <c r="K90" s="214"/>
      <c r="L90" s="197"/>
      <c r="M90" s="197"/>
      <c r="N90" s="202">
        <f>SUM(N86:N89)</f>
        <v>0</v>
      </c>
      <c r="O90" s="202">
        <f>SUM(O86:O89)</f>
        <v>0</v>
      </c>
      <c r="P90" s="202">
        <f>SUM(P86:P89)</f>
        <v>0</v>
      </c>
      <c r="Q90" s="340">
        <f>SUM(Q86:Q89)</f>
        <v>0</v>
      </c>
      <c r="R90" s="116"/>
      <c r="X90" s="1203">
        <f>IF(AC90=0,AC90,AC90/D90)</f>
        <v>0</v>
      </c>
      <c r="Y90" s="199"/>
      <c r="Z90" s="203">
        <f>SQRT(SUMSQ(Z85:Z89))</f>
        <v>0</v>
      </c>
      <c r="AA90" s="203">
        <f>SQRT(SUMSQ(AA85:AA89))</f>
        <v>0</v>
      </c>
      <c r="AB90" s="203">
        <f>SQRT(SUMSQ(AB85:AB89))</f>
        <v>0</v>
      </c>
      <c r="AC90" s="202">
        <f>SQRT(SUMSQ(AC85:AC89))</f>
        <v>0</v>
      </c>
      <c r="AD90" s="340">
        <f>SQRT(SUMSQ(AD85:AD89))</f>
        <v>0</v>
      </c>
      <c r="AE90" s="257"/>
      <c r="AG90" s="571">
        <f t="shared" ref="AG90:AX90" si="68">SUM(AG86:AG89)</f>
        <v>0</v>
      </c>
      <c r="AH90" s="572">
        <f t="shared" si="68"/>
        <v>0</v>
      </c>
      <c r="AI90" s="572">
        <f t="shared" si="68"/>
        <v>0</v>
      </c>
      <c r="AJ90" s="572">
        <f t="shared" si="68"/>
        <v>0</v>
      </c>
      <c r="AK90" s="572">
        <f t="shared" si="68"/>
        <v>0</v>
      </c>
      <c r="AL90" s="572">
        <f t="shared" si="68"/>
        <v>0</v>
      </c>
      <c r="AM90" s="572">
        <f t="shared" si="68"/>
        <v>0</v>
      </c>
      <c r="AN90" s="572">
        <f t="shared" si="68"/>
        <v>0</v>
      </c>
      <c r="AO90" s="572">
        <f t="shared" si="68"/>
        <v>0</v>
      </c>
      <c r="AP90" s="572">
        <f t="shared" si="68"/>
        <v>0</v>
      </c>
      <c r="AQ90" s="572">
        <f t="shared" si="68"/>
        <v>0</v>
      </c>
      <c r="AR90" s="572">
        <f t="shared" si="68"/>
        <v>0</v>
      </c>
      <c r="AS90" s="1290">
        <f t="shared" si="68"/>
        <v>0</v>
      </c>
      <c r="AT90" s="573">
        <f t="shared" si="68"/>
        <v>0</v>
      </c>
      <c r="AU90" s="573">
        <f t="shared" si="68"/>
        <v>0</v>
      </c>
      <c r="AV90" s="1082">
        <f t="shared" si="68"/>
        <v>0</v>
      </c>
      <c r="AW90" s="572">
        <f t="shared" si="68"/>
        <v>0</v>
      </c>
      <c r="AX90" s="575">
        <f t="shared" si="68"/>
        <v>0</v>
      </c>
    </row>
    <row r="91" spans="2:66" ht="12.75" customHeight="1" outlineLevel="1">
      <c r="B91" s="256"/>
      <c r="C91" s="256"/>
      <c r="D91" s="256"/>
      <c r="E91" s="256"/>
      <c r="F91" s="256"/>
      <c r="G91" s="116"/>
      <c r="AB91" s="266"/>
    </row>
    <row r="92" spans="2:66" ht="12.75" customHeight="1" outlineLevel="1">
      <c r="B92" s="139" t="s">
        <v>4054</v>
      </c>
      <c r="C92" s="140"/>
      <c r="D92" s="140"/>
      <c r="E92" s="140"/>
      <c r="F92" s="140"/>
      <c r="G92" s="141"/>
      <c r="H92" s="140"/>
      <c r="I92" s="140"/>
      <c r="J92" s="140"/>
      <c r="K92" s="141"/>
      <c r="L92" s="140"/>
      <c r="M92" s="140"/>
      <c r="N92" s="140"/>
      <c r="O92" s="141"/>
      <c r="P92" s="141"/>
      <c r="Q92" s="141"/>
      <c r="R92" s="142"/>
      <c r="X92" s="2636" t="s">
        <v>366</v>
      </c>
      <c r="Y92" s="2637"/>
      <c r="Z92" s="2637"/>
      <c r="AA92" s="2637"/>
      <c r="AB92" s="2637"/>
      <c r="AC92" s="2637"/>
      <c r="AD92" s="2638"/>
      <c r="AE92" s="1773"/>
      <c r="AG92" s="2639" t="s">
        <v>441</v>
      </c>
      <c r="AH92" s="2640"/>
      <c r="AI92" s="2640"/>
      <c r="AJ92" s="2640"/>
      <c r="AK92" s="2640"/>
      <c r="AL92" s="2640"/>
      <c r="AM92" s="2640"/>
      <c r="AN92" s="2640"/>
      <c r="AO92" s="2640"/>
      <c r="AP92" s="2640"/>
      <c r="AQ92" s="2640"/>
      <c r="AR92" s="2640"/>
      <c r="AS92" s="2640"/>
      <c r="AT92" s="2640"/>
      <c r="AU92" s="2640"/>
      <c r="AV92" s="2640"/>
      <c r="AW92" s="2640"/>
      <c r="AX92" s="2641"/>
    </row>
    <row r="93" spans="2:66" ht="12.75" customHeight="1" outlineLevel="1">
      <c r="B93" s="332"/>
      <c r="C93" s="167"/>
      <c r="D93" s="378" t="s">
        <v>308</v>
      </c>
      <c r="E93" s="1663"/>
      <c r="F93" s="144"/>
      <c r="G93" s="144"/>
      <c r="H93" s="167"/>
      <c r="I93" s="167"/>
      <c r="J93" s="167"/>
      <c r="K93" s="144"/>
      <c r="L93" s="167"/>
      <c r="M93" s="167"/>
      <c r="N93" s="167"/>
      <c r="O93" s="144"/>
      <c r="P93" s="2628" t="s">
        <v>233</v>
      </c>
      <c r="Q93" s="2628"/>
      <c r="R93" s="535" t="s">
        <v>275</v>
      </c>
      <c r="X93" s="1655"/>
      <c r="Y93" s="1656"/>
      <c r="Z93" s="1656"/>
      <c r="AA93" s="1656"/>
      <c r="AB93" s="1656"/>
      <c r="AC93" s="1656"/>
      <c r="AD93" s="1664"/>
      <c r="AE93" s="1660" t="s">
        <v>275</v>
      </c>
      <c r="AG93" s="2642" t="s">
        <v>444</v>
      </c>
      <c r="AH93" s="2643"/>
      <c r="AI93" s="2643"/>
      <c r="AJ93" s="2643"/>
      <c r="AK93" s="2643"/>
      <c r="AL93" s="2643"/>
      <c r="AM93" s="2643"/>
      <c r="AN93" s="2643"/>
      <c r="AO93" s="2643"/>
      <c r="AP93" s="2643"/>
      <c r="AQ93" s="2643"/>
      <c r="AR93" s="2644"/>
      <c r="AS93" s="2642" t="s">
        <v>444</v>
      </c>
      <c r="AT93" s="2643"/>
      <c r="AU93" s="2644"/>
      <c r="AV93" s="1288"/>
      <c r="AW93" s="566"/>
      <c r="AX93" s="583"/>
      <c r="BH93" s="2616" t="s">
        <v>1648</v>
      </c>
      <c r="BI93" s="2617"/>
      <c r="BJ93" s="2617"/>
      <c r="BK93" s="2617"/>
      <c r="BL93" s="2617"/>
      <c r="BM93" s="2617"/>
      <c r="BN93" s="2618"/>
    </row>
    <row r="94" spans="2:66" ht="12.75" customHeight="1" outlineLevel="1">
      <c r="B94" s="143"/>
      <c r="C94" s="144"/>
      <c r="D94" s="379" t="s">
        <v>409</v>
      </c>
      <c r="E94" s="1656"/>
      <c r="F94" s="147" t="s">
        <v>452</v>
      </c>
      <c r="G94" s="147"/>
      <c r="H94" s="2626" t="s">
        <v>2222</v>
      </c>
      <c r="I94" s="2628"/>
      <c r="J94" s="2627"/>
      <c r="K94" s="147"/>
      <c r="L94" s="2626" t="s">
        <v>4120</v>
      </c>
      <c r="M94" s="2628"/>
      <c r="N94" s="2628"/>
      <c r="O94" s="532" t="s">
        <v>444</v>
      </c>
      <c r="P94" s="532" t="s">
        <v>444</v>
      </c>
      <c r="Q94" s="532" t="s">
        <v>444</v>
      </c>
      <c r="R94" s="535" t="s">
        <v>276</v>
      </c>
      <c r="X94" s="1655" t="s">
        <v>316</v>
      </c>
      <c r="Y94" s="2629" t="s">
        <v>316</v>
      </c>
      <c r="Z94" s="2630"/>
      <c r="AA94" s="1656" t="s">
        <v>444</v>
      </c>
      <c r="AB94" s="1656" t="s">
        <v>444</v>
      </c>
      <c r="AC94" s="1656" t="s">
        <v>444</v>
      </c>
      <c r="AD94" s="1665" t="s">
        <v>444</v>
      </c>
      <c r="AE94" s="153" t="s">
        <v>276</v>
      </c>
      <c r="AG94" s="2631" t="s">
        <v>211</v>
      </c>
      <c r="AH94" s="2632"/>
      <c r="AI94" s="2632"/>
      <c r="AJ94" s="2632" t="s">
        <v>442</v>
      </c>
      <c r="AK94" s="2632"/>
      <c r="AL94" s="2632"/>
      <c r="AM94" s="2632" t="s">
        <v>267</v>
      </c>
      <c r="AN94" s="2632"/>
      <c r="AO94" s="2632"/>
      <c r="AP94" s="2632" t="s">
        <v>443</v>
      </c>
      <c r="AQ94" s="2632"/>
      <c r="AR94" s="2650"/>
      <c r="AS94" s="2848" t="s">
        <v>327</v>
      </c>
      <c r="AT94" s="2648"/>
      <c r="AU94" s="2649"/>
      <c r="AV94" s="2631" t="s">
        <v>636</v>
      </c>
      <c r="AW94" s="2632"/>
      <c r="AX94" s="568"/>
      <c r="BH94" s="2837" t="s">
        <v>1646</v>
      </c>
      <c r="BI94" s="2833" t="s">
        <v>2222</v>
      </c>
      <c r="BJ94" s="2834"/>
      <c r="BK94" s="2835"/>
      <c r="BL94" s="2833" t="s">
        <v>2223</v>
      </c>
      <c r="BM94" s="2834"/>
      <c r="BN94" s="2835"/>
    </row>
    <row r="95" spans="2:66" ht="12.75" customHeight="1" outlineLevel="1">
      <c r="B95" s="143"/>
      <c r="C95" s="144"/>
      <c r="D95" s="379" t="s">
        <v>444</v>
      </c>
      <c r="E95" s="1656"/>
      <c r="F95" s="149" t="s">
        <v>445</v>
      </c>
      <c r="G95" s="153" t="s">
        <v>38</v>
      </c>
      <c r="H95" s="534" t="s">
        <v>422</v>
      </c>
      <c r="I95" s="534" t="s">
        <v>411</v>
      </c>
      <c r="J95" s="534" t="s">
        <v>257</v>
      </c>
      <c r="K95" s="149" t="s">
        <v>896</v>
      </c>
      <c r="L95" s="534" t="s">
        <v>422</v>
      </c>
      <c r="M95" s="534" t="s">
        <v>411</v>
      </c>
      <c r="N95" s="534" t="s">
        <v>257</v>
      </c>
      <c r="O95" s="533" t="s">
        <v>422</v>
      </c>
      <c r="P95" s="533" t="s">
        <v>411</v>
      </c>
      <c r="Q95" s="533" t="s">
        <v>257</v>
      </c>
      <c r="R95" s="535" t="s">
        <v>444</v>
      </c>
      <c r="X95" s="1655" t="s">
        <v>1649</v>
      </c>
      <c r="Y95" s="2646" t="s">
        <v>1650</v>
      </c>
      <c r="Z95" s="2647"/>
      <c r="AA95" s="1662" t="s">
        <v>411</v>
      </c>
      <c r="AB95" s="1662" t="s">
        <v>257</v>
      </c>
      <c r="AC95" s="1662" t="s">
        <v>422</v>
      </c>
      <c r="AD95" s="162" t="s">
        <v>327</v>
      </c>
      <c r="AE95" s="153" t="s">
        <v>444</v>
      </c>
      <c r="AG95" s="579" t="s">
        <v>411</v>
      </c>
      <c r="AH95" s="580" t="s">
        <v>257</v>
      </c>
      <c r="AI95" s="580" t="s">
        <v>422</v>
      </c>
      <c r="AJ95" s="580" t="s">
        <v>411</v>
      </c>
      <c r="AK95" s="580" t="s">
        <v>257</v>
      </c>
      <c r="AL95" s="580" t="s">
        <v>422</v>
      </c>
      <c r="AM95" s="580" t="s">
        <v>411</v>
      </c>
      <c r="AN95" s="580" t="s">
        <v>257</v>
      </c>
      <c r="AO95" s="580" t="s">
        <v>422</v>
      </c>
      <c r="AP95" s="580" t="s">
        <v>411</v>
      </c>
      <c r="AQ95" s="580" t="s">
        <v>257</v>
      </c>
      <c r="AR95" s="580" t="s">
        <v>422</v>
      </c>
      <c r="AS95" s="1289" t="s">
        <v>411</v>
      </c>
      <c r="AT95" s="581" t="s">
        <v>257</v>
      </c>
      <c r="AU95" s="581" t="s">
        <v>422</v>
      </c>
      <c r="AV95" s="579" t="s">
        <v>411</v>
      </c>
      <c r="AW95" s="580" t="s">
        <v>257</v>
      </c>
      <c r="AX95" s="583" t="s">
        <v>422</v>
      </c>
      <c r="BH95" s="2838"/>
      <c r="BI95" s="1236" t="s">
        <v>422</v>
      </c>
      <c r="BJ95" s="1234" t="s">
        <v>411</v>
      </c>
      <c r="BK95" s="1234" t="s">
        <v>257</v>
      </c>
      <c r="BL95" s="1236" t="s">
        <v>422</v>
      </c>
      <c r="BM95" s="1234" t="s">
        <v>411</v>
      </c>
      <c r="BN95" s="1234" t="s">
        <v>257</v>
      </c>
    </row>
    <row r="96" spans="2:66" ht="12.75" customHeight="1" outlineLevel="1">
      <c r="B96" s="358" t="s">
        <v>4121</v>
      </c>
      <c r="C96" s="359"/>
      <c r="D96" s="212">
        <f>SUM(O96:Q96)</f>
        <v>0</v>
      </c>
      <c r="E96" s="212"/>
      <c r="F96" s="409"/>
      <c r="G96" s="117"/>
      <c r="H96" s="410">
        <f>IF(ISNA(VLOOKUP($B96&amp;"; "&amp;$H$94&amp;" "&amp;H$95,'FE Déplacements'!$G:$U,9,FALSE)),0,VLOOKUP($B96&amp;"; "&amp;$H$94&amp;" "&amp;H$95,'FE Déplacements'!$G:$U,9,FALSE))</f>
        <v>0</v>
      </c>
      <c r="I96" s="410">
        <f>IF(ISNA(VLOOKUP($B96&amp;"; "&amp;$H$94&amp;" "&amp;I$95,'FE Déplacements'!$G:$U,9,FALSE)),0,VLOOKUP($B96&amp;"; "&amp;$H$94&amp;" "&amp;I$95,'FE Déplacements'!$G:$U,9,FALSE))</f>
        <v>0</v>
      </c>
      <c r="J96" s="410">
        <f>IF(ISNA(VLOOKUP($B96&amp;"; "&amp;$H$94&amp;" "&amp;J$95,'FE Déplacements'!$G:$U,9,FALSE)),0,VLOOKUP($B96&amp;"; "&amp;$H$94&amp;" "&amp;J$95,'FE Déplacements'!$G:$U,9,FALSE))</f>
        <v>0</v>
      </c>
      <c r="K96" s="117"/>
      <c r="L96" s="410">
        <f>IFERROR(VLOOKUP($B96&amp;"; "&amp;$L$94&amp;" "&amp;L$95,'FE Déplacements'!$G:$U,9,FALSE),0)</f>
        <v>0</v>
      </c>
      <c r="M96" s="410">
        <f>IFERROR(VLOOKUP($B96&amp;"; "&amp;$L$94&amp;" "&amp;M$95,'FE Déplacements'!$G:$U,9,FALSE),0)</f>
        <v>0.95899999999999996</v>
      </c>
      <c r="N96" s="410">
        <f>IFERROR(VLOOKUP($B96&amp;"; "&amp;$L$94&amp;" "&amp;N$95,'FE Déplacements'!$G:$U,9,FALSE),0)</f>
        <v>6.2500000000000003E-3</v>
      </c>
      <c r="O96" s="356">
        <f>H96*G96+K96*L96</f>
        <v>0</v>
      </c>
      <c r="P96" s="356">
        <f>I96*G96+K96*M96</f>
        <v>0</v>
      </c>
      <c r="Q96" s="151">
        <f>G96*J96+K96*N96</f>
        <v>0</v>
      </c>
      <c r="R96" s="165">
        <f>IF(OR(F96=Utilitaires!$G$572,F96=Utilitaires!$G$577),Q96,0)</f>
        <v>0</v>
      </c>
      <c r="X96" s="1092">
        <f>IF(AD96=0,AD96,AD96/D96)</f>
        <v>0</v>
      </c>
      <c r="Y96" s="343"/>
      <c r="Z96" s="820"/>
      <c r="AA96" s="164">
        <f>SQRT(SUMSQ($G96*I96*BJ96,BM96*$K96*M96))</f>
        <v>0</v>
      </c>
      <c r="AB96" s="164">
        <f>SQRT(SUMSQ($G96*J96*BK96,BN96*$K96*N96))</f>
        <v>0</v>
      </c>
      <c r="AC96" s="164">
        <f>SQRT(SUMSQ($G96*H96*BI96,BL96*$K96*L96))</f>
        <v>0</v>
      </c>
      <c r="AD96" s="152">
        <f>SQRT(SUMSQ(AA96:AC96))</f>
        <v>0</v>
      </c>
      <c r="AE96" s="1286">
        <f>R96*X96</f>
        <v>0</v>
      </c>
      <c r="AG96" s="564">
        <f>$G96*IF(ISNA(VLOOKUP($B96&amp;"; "&amp;$H$94&amp;" "&amp;I$95,'FE Déplacements'!$G:$U,10,FALSE)),0,VLOOKUP($B96&amp;"; "&amp;$H$94&amp;" "&amp;I$95,'FE Déplacements'!$G:$U,10,FALSE))
+$K96*IF(ISNA(VLOOKUP($B96&amp;"; "&amp;$L$94&amp;" "&amp;M$95,'FE Déplacements'!$G:$U,10,FALSE)),0,VLOOKUP($B96&amp;"; "&amp;$L$94&amp;" "&amp;M$95,'FE Déplacements'!$G:$U,10,FALSE))</f>
        <v>0</v>
      </c>
      <c r="AH96" s="565">
        <f>$G96*IF(ISNA(VLOOKUP($B96&amp;"; "&amp;$H$94&amp;" "&amp;J$95,'FE Déplacements'!$G:$U,10,FALSE)),0,VLOOKUP($B96&amp;"; "&amp;$H$94&amp;" "&amp;J$95,'FE Déplacements'!$G:$U,10,FALSE))
+$K96*IF(ISNA(VLOOKUP($B96&amp;"; "&amp;$L$94&amp;" "&amp;N$95,'FE Déplacements'!$G:$U,10,FALSE)),0,VLOOKUP($B96&amp;"; "&amp;$L$94&amp;" "&amp;N$95,'FE Déplacements'!$G:$U,10,FALSE))</f>
        <v>0</v>
      </c>
      <c r="AI96" s="565">
        <f>$G96*IF(ISNA(VLOOKUP($B96&amp;"; "&amp;$H$94&amp;" "&amp;H$95,'FE Déplacements'!$G:$U,10,FALSE)),0,VLOOKUP($B96&amp;"; "&amp;$H$94&amp;" "&amp;H$95,'FE Déplacements'!$G:$U,10,FALSE))
+$K96*IF(ISNA(VLOOKUP($B96&amp;"; "&amp;$L$94&amp;" "&amp;L$95,'FE Déplacements'!$G:$U,10,FALSE)),0,VLOOKUP($B96&amp;"; "&amp;$L$94&amp;" "&amp;L$95,'FE Déplacements'!$G:$U,10,FALSE))</f>
        <v>0</v>
      </c>
      <c r="AJ96" s="565">
        <f>$G96*IF(ISNA((VLOOKUP($B96&amp;"; "&amp;$H$94&amp;" "&amp;I$95,'FE Déplacements'!$G:$U,12,FALSE)+VLOOKUP($B96&amp;"; "&amp;$H$94&amp;" "&amp;I$95,'FE Déplacements'!$G:$U,11,FALSE))),0,(VLOOKUP($B96&amp;"; "&amp;$H$94&amp;" "&amp;I$95,'FE Déplacements'!$G:$U,12,FALSE)+VLOOKUP($B96&amp;"; "&amp;$H$94&amp;" "&amp;I$95,'FE Déplacements'!$G:$U,11,FALSE)))
+$K96*IF(ISNA((VLOOKUP($B96&amp;"; "&amp;$L$94&amp;" "&amp;M$95,'FE Déplacements'!$G:$U,12,FALSE)+VLOOKUP($B96&amp;"; "&amp;$L$94&amp;" "&amp;M$95,'FE Déplacements'!$G:$U,11,FALSE))),0,(VLOOKUP($B96&amp;"; "&amp;$L$94&amp;" "&amp;M$95,'FE Déplacements'!$G:$U,12,FALSE)+VLOOKUP($B96&amp;"; "&amp;$L$94&amp;" "&amp;M$95,'FE Déplacements'!$G:$U,11,FALSE)))</f>
        <v>0</v>
      </c>
      <c r="AK96" s="565">
        <f>$G96*IF(ISNA((VLOOKUP($B96&amp;"; "&amp;$H$94&amp;" "&amp;J$95,'FE Déplacements'!$G:$U,12,FALSE)+VLOOKUP($B96&amp;"; "&amp;$H$94&amp;" "&amp;J$95,'FE Déplacements'!$G:$U,11,FALSE))),0,(VLOOKUP($B96&amp;"; "&amp;$H$94&amp;" "&amp;J$95,'FE Déplacements'!$G:$U,12,FALSE)+VLOOKUP($B96&amp;"; "&amp;$H$94&amp;" "&amp;J$95,'FE Déplacements'!$G:$U,11,FALSE)))
+$K96*IF(ISNA((VLOOKUP($B96&amp;"; "&amp;$L$94&amp;" "&amp;N$95,'FE Déplacements'!$G:$U,12,FALSE)+VLOOKUP($B96&amp;"; "&amp;$L$94&amp;" "&amp;N$95,'FE Déplacements'!$G:$U,11,FALSE))),0,(VLOOKUP($B96&amp;"; "&amp;$L$94&amp;" "&amp;N$95,'FE Déplacements'!$G:$U,12,FALSE)+VLOOKUP($B96&amp;"; "&amp;$L$94&amp;" "&amp;N$95,'FE Déplacements'!$G:$U,11,FALSE)))</f>
        <v>0</v>
      </c>
      <c r="AL96" s="565">
        <f>$G96*IF(ISNA((VLOOKUP($B96&amp;"; "&amp;$H$94&amp;" "&amp;H$95,'FE Déplacements'!$G:$U,12,FALSE)+VLOOKUP($B96&amp;"; "&amp;$H$94&amp;" "&amp;H$95,'FE Déplacements'!$G:$U,11,FALSE))),0,(VLOOKUP($B96&amp;"; "&amp;$H$94&amp;" "&amp;H$95,'FE Déplacements'!$G:$U,12,FALSE)+VLOOKUP($B96&amp;"; "&amp;$H$94&amp;" "&amp;H$95,'FE Déplacements'!$G:$U,11,FALSE)))
+$K96*IF(ISNA((VLOOKUP($B96&amp;"; "&amp;$L$94&amp;" "&amp;L$95,'FE Déplacements'!$G:$U,12,FALSE)+VLOOKUP($B96&amp;"; "&amp;$L$94&amp;" "&amp;L$95,'FE Déplacements'!$G:$U,11,FALSE))),0,(VLOOKUP($B96&amp;"; "&amp;$L$94&amp;" "&amp;L$95,'FE Déplacements'!$G:$U,12,FALSE)+VLOOKUP($B96&amp;"; "&amp;$L$94&amp;" "&amp;L$95,'FE Déplacements'!$G:$U,11,FALSE)))</f>
        <v>0</v>
      </c>
      <c r="AM96" s="565">
        <f>$G96*IF(ISNA(VLOOKUP($B96&amp;"; "&amp;$H$94&amp;" "&amp;I$95,'FE Déplacements'!$G:$U,13,FALSE)),0,VLOOKUP($B96&amp;"; "&amp;$H$94&amp;" "&amp;I$95,'FE Déplacements'!$G:$U,13,FALSE))
+$K96*IF(ISNA(VLOOKUP($B96&amp;"; "&amp;$L$94&amp;" "&amp;M$95,'FE Déplacements'!$G:$U,13,FALSE)),0,VLOOKUP($B96&amp;"; "&amp;$L$94&amp;" "&amp;M$95,'FE Déplacements'!$G:$U,13,FALSE))</f>
        <v>0</v>
      </c>
      <c r="AN96" s="565">
        <f>$G96*IF(ISNA(VLOOKUP($B96&amp;"; "&amp;$H$94&amp;" "&amp;J$95,'FE Déplacements'!$G:$U,13,FALSE)),0,VLOOKUP($B96&amp;"; "&amp;$H$94&amp;" "&amp;J$95,'FE Déplacements'!$G:$U,13,FALSE))
+$K96*IF(ISNA(VLOOKUP($B96&amp;"; "&amp;$L$94&amp;" "&amp;N$95,'FE Déplacements'!$G:$U,13,FALSE)),0,VLOOKUP($B96&amp;"; "&amp;$L$94&amp;" "&amp;N$95,'FE Déplacements'!$G:$U,13,FALSE))</f>
        <v>0</v>
      </c>
      <c r="AO96" s="565">
        <f>$G96*IF(ISNA(VLOOKUP($B96&amp;"; "&amp;$H$94&amp;" "&amp;H$95,'FE Déplacements'!$G:$U,13,FALSE)),0,VLOOKUP($B96&amp;"; "&amp;$H$94&amp;" "&amp;H$95,'FE Déplacements'!$G:$U,13,FALSE))
+$K96*IF(ISNA(VLOOKUP($B96&amp;"; "&amp;$L$94&amp;" "&amp;L$95,'FE Déplacements'!$G:$U,13,FALSE)),0,VLOOKUP($B96&amp;"; "&amp;$L$94&amp;" "&amp;L$95,'FE Déplacements'!$G:$U,13,FALSE))</f>
        <v>0</v>
      </c>
      <c r="AP96" s="565">
        <v>0</v>
      </c>
      <c r="AQ96" s="565">
        <v>0</v>
      </c>
      <c r="AR96" s="565">
        <v>0</v>
      </c>
      <c r="AS96" s="1288">
        <f t="shared" ref="AS96:AU97" si="69">SUM(AG96,AJ96,AM96,AP96)</f>
        <v>0</v>
      </c>
      <c r="AT96" s="566">
        <f t="shared" si="69"/>
        <v>0</v>
      </c>
      <c r="AU96" s="566">
        <f t="shared" si="69"/>
        <v>0</v>
      </c>
      <c r="AV96" s="564">
        <f>$G96*IF(ISNA(VLOOKUP($B96&amp;"; "&amp;$H$94&amp;" "&amp;I$95,'FE Déplacements'!$G:$U,15,FALSE)),0,VLOOKUP($B96&amp;"; "&amp;$H$94&amp;" "&amp;I$95,'FE Déplacements'!$G:$U,15,FALSE))
+$K96*IF(ISNA(VLOOKUP($B96&amp;"; "&amp;$L$94&amp;" "&amp;M$95,'FE Déplacements'!$G:$U,15,FALSE)),0,VLOOKUP($B96&amp;"; "&amp;$L$94&amp;" "&amp;M$95,'FE Déplacements'!$G:$U,15,FALSE))</f>
        <v>0</v>
      </c>
      <c r="AW96" s="565">
        <f>$G96*IF(ISNA(VLOOKUP($B96&amp;"; "&amp;$H$94&amp;" "&amp;J$95,'FE Déplacements'!$G:$U,15,FALSE)),0,VLOOKUP($B96&amp;"; "&amp;$H$94&amp;" "&amp;J$95,'FE Déplacements'!$G:$U,15,FALSE))
+$K96*IF(ISNA(VLOOKUP($B96&amp;"; "&amp;$L$94&amp;" "&amp;N$95,'FE Déplacements'!$G:$U,15,FALSE)),0,VLOOKUP($B96&amp;"; "&amp;$L$94&amp;" "&amp;N$95,'FE Déplacements'!$G:$U,15,FALSE))</f>
        <v>0</v>
      </c>
      <c r="AX96" s="568">
        <f>$G96*IF(ISNA(VLOOKUP($B96&amp;"; "&amp;$H$94&amp;" "&amp;H$95,'FE Déplacements'!$G:$U,15,FALSE)),0,VLOOKUP($B96&amp;"; "&amp;$H$94&amp;" "&amp;H$95,'FE Déplacements'!$G:$U,15,FALSE))
+$K96*IF(ISNA(VLOOKUP($B96&amp;"; "&amp;$L$94&amp;" "&amp;L$95,'FE Déplacements'!$G:$U,15,FALSE)),0,VLOOKUP($B96&amp;"; "&amp;$L$94&amp;" "&amp;L$95,'FE Déplacements'!$G:$U,15,FALSE))</f>
        <v>0</v>
      </c>
      <c r="BH96" s="1065">
        <f>IF($Y96&lt;&gt;"votre valeur :",IF(ISNA(VLOOKUP($Y96,Utilitaires!$N$566:$O$571,2,FALSE)),,VLOOKUP($Y96,Utilitaires!$N$566:$O$571,2,FALSE)),$Z96)</f>
        <v>0</v>
      </c>
      <c r="BI96" s="1124">
        <f>IF(ISNA(SQRT(SUMSQ(VLOOKUP($B96&amp;"; "&amp;$H$94&amp;" "&amp;H$95,'FE Déplacements'!$G:$U,7,FALSE),$BH96))),0,SQRT(SUMSQ(VLOOKUP($B96&amp;"; "&amp;$H$94&amp;" "&amp;H$95,'FE Déplacements'!$G:$U,7,FALSE),$BH96)))</f>
        <v>0</v>
      </c>
      <c r="BJ96" s="1124">
        <f>IF(ISNA(SQRT(SUMSQ(VLOOKUP($B96&amp;"; "&amp;$H$94&amp;" "&amp;I$95,'FE Déplacements'!$G:$U,7,FALSE),$BH96))),0,SQRT(SUMSQ(VLOOKUP($B96&amp;"; "&amp;$H$94&amp;" "&amp;I$95,'FE Déplacements'!$G:$U,7,FALSE),$BH96)))</f>
        <v>0</v>
      </c>
      <c r="BK96" s="1124">
        <f>IF(ISNA(SQRT(SUMSQ(VLOOKUP($B96&amp;"; "&amp;$H$94&amp;" "&amp;J$95,'FE Déplacements'!$G:$U,7,FALSE),$BH96))),0,SQRT(SUMSQ(VLOOKUP($B96&amp;"; "&amp;$H$94&amp;" "&amp;J$95,'FE Déplacements'!$G:$U,7,FALSE),$BH96)))</f>
        <v>0</v>
      </c>
      <c r="BL96" s="1124">
        <f>IF(ISNA(SQRT(SUMSQ(VLOOKUP($B96&amp;"; "&amp;$L$94&amp;" "&amp;L$95,'FE Déplacements'!$G:$U,7,FALSE),$BH96))),0,SQRT(SUMSQ(VLOOKUP($B96&amp;"; "&amp;$L$94&amp;" "&amp;L$95,'FE Déplacements'!$G:$U,7,FALSE),$BH96)))</f>
        <v>0</v>
      </c>
      <c r="BM96" s="1124">
        <f>IF(ISNA(SQRT(SUMSQ(VLOOKUP($B96&amp;"; "&amp;$L$94&amp;" "&amp;M$95,'FE Déplacements'!$G:$U,7,FALSE),$BH96))),0,SQRT(SUMSQ(VLOOKUP($B96&amp;"; "&amp;$L$94&amp;" "&amp;M$95,'FE Déplacements'!$G:$U,7,FALSE),$BH96)))</f>
        <v>0.5</v>
      </c>
      <c r="BN96" s="1130">
        <f>IF(ISNA(SQRT(SUMSQ(VLOOKUP($B96&amp;"; "&amp;$L$94&amp;" "&amp;N$95,'FE Déplacements'!$G:$U,7,FALSE),$BH96))),0,SQRT(SUMSQ(VLOOKUP($B96&amp;"; "&amp;$L$94&amp;" "&amp;N$95,'FE Déplacements'!$G:$U,7,FALSE),$BH96)))</f>
        <v>0.5</v>
      </c>
    </row>
    <row r="97" spans="2:66" ht="12.75" customHeight="1" outlineLevel="1">
      <c r="B97" s="358" t="s">
        <v>4055</v>
      </c>
      <c r="C97" s="359"/>
      <c r="D97" s="212">
        <f>SUM(O97:Q97)</f>
        <v>0</v>
      </c>
      <c r="E97" s="212"/>
      <c r="F97" s="347"/>
      <c r="G97" s="123"/>
      <c r="H97" s="410">
        <f>IF(ISNA(VLOOKUP($B97&amp;"; "&amp;$H$94&amp;" "&amp;H$95,'FE Déplacements'!$G:$U,9,FALSE)),0,VLOOKUP($B97&amp;"; "&amp;$H$94&amp;" "&amp;H$95,'FE Déplacements'!$G:$U,9,FALSE))</f>
        <v>1.5900000000000001E-2</v>
      </c>
      <c r="I97" s="410">
        <f>IF(ISNA(VLOOKUP($B97&amp;"; "&amp;$H$94&amp;" "&amp;I$95,'FE Déplacements'!$G:$U,9,FALSE)),0,VLOOKUP($B97&amp;"; "&amp;$H$94&amp;" "&amp;I$95,'FE Déplacements'!$G:$U,9,FALSE))</f>
        <v>1.14E-2</v>
      </c>
      <c r="J97" s="410">
        <f>IF(ISNA(VLOOKUP($B97&amp;"; "&amp;$H$94&amp;" "&amp;J$95,'FE Déplacements'!$G:$U,9,FALSE)),0,VLOOKUP($B97&amp;"; "&amp;$H$94&amp;" "&amp;J$95,'FE Déplacements'!$G:$U,9,FALSE))</f>
        <v>5.1700000000000003E-2</v>
      </c>
      <c r="K97" s="123"/>
      <c r="L97" s="410">
        <f>IFERROR(VLOOKUP($B97&amp;"; "&amp;$L$94&amp;" "&amp;L$95,'FE Déplacements'!$G:$U,9,FALSE),0)</f>
        <v>0</v>
      </c>
      <c r="M97" s="410">
        <f>IFERROR(VLOOKUP($B97&amp;"; "&amp;$L$94&amp;" "&amp;M$95,'FE Déplacements'!$G:$U,9,FALSE),0)</f>
        <v>0</v>
      </c>
      <c r="N97" s="410">
        <f>IFERROR(VLOOKUP($B97&amp;"; "&amp;$L$94&amp;" "&amp;N$95,'FE Déplacements'!$G:$U,9,FALSE),0)</f>
        <v>0</v>
      </c>
      <c r="O97" s="356">
        <f>H97*G97+K97*L97</f>
        <v>0</v>
      </c>
      <c r="P97" s="356">
        <f>I97*G97+K97*M97</f>
        <v>0</v>
      </c>
      <c r="Q97" s="151">
        <f>G97*J97+K97*N97</f>
        <v>0</v>
      </c>
      <c r="R97" s="165">
        <f>IF(OR(F97=Utilitaires!$G$572,F97=Utilitaires!$G$577),Q97,0)</f>
        <v>0</v>
      </c>
      <c r="X97" s="1092">
        <f>IF(AD97=0,AD97,AD97/D97)</f>
        <v>0</v>
      </c>
      <c r="Y97" s="1094"/>
      <c r="Z97" s="820"/>
      <c r="AA97" s="164">
        <f>SQRT(SUMSQ($G97*I97*BJ97,BM97*$K97*M97))</f>
        <v>0</v>
      </c>
      <c r="AB97" s="164">
        <f>SQRT(SUMSQ($G97*J97*BK97,BN97*$K97*N97))</f>
        <v>0</v>
      </c>
      <c r="AC97" s="164">
        <f>SQRT(SUMSQ($G97*H97*BI97,BL97*$K97*L97))</f>
        <v>0</v>
      </c>
      <c r="AD97" s="152">
        <f>SQRT(SUMSQ(AA97:AC97))</f>
        <v>0</v>
      </c>
      <c r="AE97" s="1286">
        <f>R97*X97</f>
        <v>0</v>
      </c>
      <c r="AG97" s="564">
        <f>$G97*IF(ISNA(VLOOKUP($B97&amp;"; "&amp;$H$94&amp;" "&amp;I$95,'FE Déplacements'!$G:$U,10,FALSE)),0,VLOOKUP($B97&amp;"; "&amp;$H$94&amp;" "&amp;I$95,'FE Déplacements'!$G:$U,10,FALSE))
+$K97*IF(ISNA(VLOOKUP($B97&amp;"; "&amp;$L$94&amp;" "&amp;M$95,'FE Déplacements'!$G:$U,10,FALSE)),0,VLOOKUP($B97&amp;"; "&amp;$L$94&amp;" "&amp;M$95,'FE Déplacements'!$G:$U,10,FALSE))</f>
        <v>0</v>
      </c>
      <c r="AH97" s="565">
        <f>$G97*IF(ISNA(VLOOKUP($B97&amp;"; "&amp;$H$94&amp;" "&amp;J$95,'FE Déplacements'!$G:$U,10,FALSE)),0,VLOOKUP($B97&amp;"; "&amp;$H$94&amp;" "&amp;J$95,'FE Déplacements'!$G:$U,10,FALSE))
+$K97*IF(ISNA(VLOOKUP($B97&amp;"; "&amp;$L$94&amp;" "&amp;N$95,'FE Déplacements'!$G:$U,10,FALSE)),0,VLOOKUP($B97&amp;"; "&amp;$L$94&amp;" "&amp;N$95,'FE Déplacements'!$G:$U,10,FALSE))</f>
        <v>0</v>
      </c>
      <c r="AI97" s="565">
        <f>$G97*IF(ISNA(VLOOKUP($B97&amp;"; "&amp;$H$94&amp;" "&amp;H$95,'FE Déplacements'!$G:$U,10,FALSE)),0,VLOOKUP($B97&amp;"; "&amp;$H$94&amp;" "&amp;H$95,'FE Déplacements'!$G:$U,10,FALSE))
+$K97*IF(ISNA(VLOOKUP($B97&amp;"; "&amp;$L$94&amp;" "&amp;L$95,'FE Déplacements'!$G:$U,10,FALSE)),0,VLOOKUP($B97&amp;"; "&amp;$L$94&amp;" "&amp;L$95,'FE Déplacements'!$G:$U,10,FALSE))</f>
        <v>0</v>
      </c>
      <c r="AJ97" s="565">
        <f>$G97*IF(ISNA((VLOOKUP($B97&amp;"; "&amp;$H$94&amp;" "&amp;I$95,'FE Déplacements'!$G:$U,12,FALSE)+VLOOKUP($B97&amp;"; "&amp;$H$94&amp;" "&amp;I$95,'FE Déplacements'!$G:$U,11,FALSE))),0,(VLOOKUP($B97&amp;"; "&amp;$H$94&amp;" "&amp;I$95,'FE Déplacements'!$G:$U,12,FALSE)+VLOOKUP($B97&amp;"; "&amp;$H$94&amp;" "&amp;I$95,'FE Déplacements'!$G:$U,11,FALSE)))
+$K97*IF(ISNA((VLOOKUP($B97&amp;"; "&amp;$L$94&amp;" "&amp;M$95,'FE Déplacements'!$G:$U,12,FALSE)+VLOOKUP($B97&amp;"; "&amp;$L$94&amp;" "&amp;M$95,'FE Déplacements'!$G:$U,11,FALSE))),0,(VLOOKUP($B97&amp;"; "&amp;$L$94&amp;" "&amp;M$95,'FE Déplacements'!$G:$U,12,FALSE)+VLOOKUP($B97&amp;"; "&amp;$L$94&amp;" "&amp;M$95,'FE Déplacements'!$G:$U,11,FALSE)))</f>
        <v>0</v>
      </c>
      <c r="AK97" s="565">
        <f>$G97*IF(ISNA((VLOOKUP($B97&amp;"; "&amp;$H$94&amp;" "&amp;J$95,'FE Déplacements'!$G:$U,12,FALSE)+VLOOKUP($B97&amp;"; "&amp;$H$94&amp;" "&amp;J$95,'FE Déplacements'!$G:$U,11,FALSE))),0,(VLOOKUP($B97&amp;"; "&amp;$H$94&amp;" "&amp;J$95,'FE Déplacements'!$G:$U,12,FALSE)+VLOOKUP($B97&amp;"; "&amp;$H$94&amp;" "&amp;J$95,'FE Déplacements'!$G:$U,11,FALSE)))
+$K97*IF(ISNA((VLOOKUP($B97&amp;"; "&amp;$L$94&amp;" "&amp;N$95,'FE Déplacements'!$G:$U,12,FALSE)+VLOOKUP($B97&amp;"; "&amp;$L$94&amp;" "&amp;N$95,'FE Déplacements'!$G:$U,11,FALSE))),0,(VLOOKUP($B97&amp;"; "&amp;$L$94&amp;" "&amp;N$95,'FE Déplacements'!$G:$U,12,FALSE)+VLOOKUP($B97&amp;"; "&amp;$L$94&amp;" "&amp;N$95,'FE Déplacements'!$G:$U,11,FALSE)))</f>
        <v>0</v>
      </c>
      <c r="AL97" s="565">
        <f>$G97*IF(ISNA((VLOOKUP($B97&amp;"; "&amp;$H$94&amp;" "&amp;H$95,'FE Déplacements'!$G:$U,12,FALSE)+VLOOKUP($B97&amp;"; "&amp;$H$94&amp;" "&amp;H$95,'FE Déplacements'!$G:$U,11,FALSE))),0,(VLOOKUP($B97&amp;"; "&amp;$H$94&amp;" "&amp;H$95,'FE Déplacements'!$G:$U,12,FALSE)+VLOOKUP($B97&amp;"; "&amp;$H$94&amp;" "&amp;H$95,'FE Déplacements'!$G:$U,11,FALSE)))
+$K97*IF(ISNA((VLOOKUP($B97&amp;"; "&amp;$L$94&amp;" "&amp;L$95,'FE Déplacements'!$G:$U,12,FALSE)+VLOOKUP($B97&amp;"; "&amp;$L$94&amp;" "&amp;L$95,'FE Déplacements'!$G:$U,11,FALSE))),0,(VLOOKUP($B97&amp;"; "&amp;$L$94&amp;" "&amp;L$95,'FE Déplacements'!$G:$U,12,FALSE)+VLOOKUP($B97&amp;"; "&amp;$L$94&amp;" "&amp;L$95,'FE Déplacements'!$G:$U,11,FALSE)))</f>
        <v>0</v>
      </c>
      <c r="AM97" s="565">
        <f>$G97*IF(ISNA(VLOOKUP($B97&amp;"; "&amp;$H$94&amp;" "&amp;I$95,'FE Déplacements'!$G:$U,13,FALSE)),0,VLOOKUP($B97&amp;"; "&amp;$H$94&amp;" "&amp;I$95,'FE Déplacements'!$G:$U,13,FALSE))
+$K97*IF(ISNA(VLOOKUP($B97&amp;"; "&amp;$L$94&amp;" "&amp;M$95,'FE Déplacements'!$G:$U,13,FALSE)),0,VLOOKUP($B97&amp;"; "&amp;$L$94&amp;" "&amp;M$95,'FE Déplacements'!$G:$U,13,FALSE))</f>
        <v>0</v>
      </c>
      <c r="AN97" s="565">
        <f>$G97*IF(ISNA(VLOOKUP($B97&amp;"; "&amp;$H$94&amp;" "&amp;J$95,'FE Déplacements'!$G:$U,13,FALSE)),0,VLOOKUP($B97&amp;"; "&amp;$H$94&amp;" "&amp;J$95,'FE Déplacements'!$G:$U,13,FALSE))
+$K97*IF(ISNA(VLOOKUP($B97&amp;"; "&amp;$L$94&amp;" "&amp;N$95,'FE Déplacements'!$G:$U,13,FALSE)),0,VLOOKUP($B97&amp;"; "&amp;$L$94&amp;" "&amp;N$95,'FE Déplacements'!$G:$U,13,FALSE))</f>
        <v>0</v>
      </c>
      <c r="AO97" s="565">
        <f>$G97*IF(ISNA(VLOOKUP($B97&amp;"; "&amp;$H$94&amp;" "&amp;H$95,'FE Déplacements'!$G:$U,13,FALSE)),0,VLOOKUP($B97&amp;"; "&amp;$H$94&amp;" "&amp;H$95,'FE Déplacements'!$G:$U,13,FALSE))
+$K97*IF(ISNA(VLOOKUP($B97&amp;"; "&amp;$L$94&amp;" "&amp;L$95,'FE Déplacements'!$G:$U,13,FALSE)),0,VLOOKUP($B97&amp;"; "&amp;$L$94&amp;" "&amp;L$95,'FE Déplacements'!$G:$U,13,FALSE))</f>
        <v>0</v>
      </c>
      <c r="AP97" s="565">
        <v>0</v>
      </c>
      <c r="AQ97" s="565">
        <v>0</v>
      </c>
      <c r="AR97" s="565">
        <v>0</v>
      </c>
      <c r="AS97" s="1288">
        <f t="shared" si="69"/>
        <v>0</v>
      </c>
      <c r="AT97" s="566">
        <f t="shared" si="69"/>
        <v>0</v>
      </c>
      <c r="AU97" s="566">
        <f t="shared" si="69"/>
        <v>0</v>
      </c>
      <c r="AV97" s="564">
        <f>$G97*IF(ISNA(VLOOKUP($B97&amp;"; "&amp;$H$94&amp;" "&amp;I$95,'FE Déplacements'!$G:$U,15,FALSE)),0,VLOOKUP($B97&amp;"; "&amp;$H$94&amp;" "&amp;I$95,'FE Déplacements'!$G:$U,15,FALSE))
+$K97*IF(ISNA(VLOOKUP($B97&amp;"; "&amp;$L$94&amp;" "&amp;M$95,'FE Déplacements'!$G:$U,15,FALSE)),0,VLOOKUP($B97&amp;"; "&amp;$L$94&amp;" "&amp;M$95,'FE Déplacements'!$G:$U,15,FALSE))</f>
        <v>0</v>
      </c>
      <c r="AW97" s="565">
        <f>$G97*IF(ISNA(VLOOKUP($B97&amp;"; "&amp;$H$94&amp;" "&amp;J$95,'FE Déplacements'!$G:$U,15,FALSE)),0,VLOOKUP($B97&amp;"; "&amp;$H$94&amp;" "&amp;J$95,'FE Déplacements'!$G:$U,15,FALSE))
+$K97*IF(ISNA(VLOOKUP($B97&amp;"; "&amp;$L$94&amp;" "&amp;N$95,'FE Déplacements'!$G:$U,15,FALSE)),0,VLOOKUP($B97&amp;"; "&amp;$L$94&amp;" "&amp;N$95,'FE Déplacements'!$G:$U,15,FALSE))</f>
        <v>0</v>
      </c>
      <c r="AX97" s="568">
        <f>$G97*IF(ISNA(VLOOKUP($B97&amp;"; "&amp;$H$94&amp;" "&amp;H$95,'FE Déplacements'!$G:$U,15,FALSE)),0,VLOOKUP($B97&amp;"; "&amp;$H$94&amp;" "&amp;H$95,'FE Déplacements'!$G:$U,15,FALSE))
+$K97*IF(ISNA(VLOOKUP($B97&amp;"; "&amp;$L$94&amp;" "&amp;L$95,'FE Déplacements'!$G:$U,15,FALSE)),0,VLOOKUP($B97&amp;"; "&amp;$L$94&amp;" "&amp;L$95,'FE Déplacements'!$G:$U,15,FALSE))</f>
        <v>0</v>
      </c>
      <c r="BH97" s="1065">
        <f>IF($Y97&lt;&gt;"votre valeur :",IF(ISNA(VLOOKUP($Y97,Utilitaires!$N$566:$O$571,2,FALSE)),,VLOOKUP($Y97,Utilitaires!$N$566:$O$571,2,FALSE)),$Z97)</f>
        <v>0</v>
      </c>
      <c r="BI97" s="1124">
        <f>IF(ISNA(SQRT(SUMSQ(VLOOKUP($B97&amp;"; "&amp;$H$94&amp;" "&amp;H$95,'FE Déplacements'!$G:$U,7,FALSE),$BH97))),0,SQRT(SUMSQ(VLOOKUP($B97&amp;"; "&amp;$H$94&amp;" "&amp;H$95,'FE Déplacements'!$G:$U,7,FALSE),$BH97)))</f>
        <v>0.6</v>
      </c>
      <c r="BJ97" s="1124">
        <f>IF(ISNA(SQRT(SUMSQ(VLOOKUP($B97&amp;"; "&amp;$H$94&amp;" "&amp;I$95,'FE Déplacements'!$G:$U,7,FALSE),$BH97))),0,SQRT(SUMSQ(VLOOKUP($B97&amp;"; "&amp;$H$94&amp;" "&amp;I$95,'FE Déplacements'!$G:$U,7,FALSE),$BH97)))</f>
        <v>0.6</v>
      </c>
      <c r="BK97" s="1124">
        <f>IF(ISNA(SQRT(SUMSQ(VLOOKUP($B97&amp;"; "&amp;$H$94&amp;" "&amp;J$95,'FE Déplacements'!$G:$U,7,FALSE),$BH97))),0,SQRT(SUMSQ(VLOOKUP($B97&amp;"; "&amp;$H$94&amp;" "&amp;J$95,'FE Déplacements'!$G:$U,7,FALSE),$BH97)))</f>
        <v>0.6</v>
      </c>
      <c r="BL97" s="1124">
        <f>IF(ISNA(SQRT(SUMSQ(VLOOKUP($B97&amp;"; "&amp;$L$94&amp;" "&amp;L$95,'FE Déplacements'!$G:$U,7,FALSE),$BH97))),0,SQRT(SUMSQ(VLOOKUP($B97&amp;"; "&amp;$L$94&amp;" "&amp;L$95,'FE Déplacements'!$G:$U,7,FALSE),$BH97)))</f>
        <v>0</v>
      </c>
      <c r="BM97" s="1124">
        <f>IF(ISNA(SQRT(SUMSQ(VLOOKUP($B97&amp;"; "&amp;$L$94&amp;" "&amp;M$95,'FE Déplacements'!$G:$U,7,FALSE),$BH97))),0,SQRT(SUMSQ(VLOOKUP($B97&amp;"; "&amp;$L$94&amp;" "&amp;M$95,'FE Déplacements'!$G:$U,7,FALSE),$BH97)))</f>
        <v>0</v>
      </c>
      <c r="BN97" s="1130">
        <f>IF(ISNA(SQRT(SUMSQ(VLOOKUP($B97&amp;"; "&amp;$L$94&amp;" "&amp;N$95,'FE Déplacements'!$G:$U,7,FALSE),$BH97))),0,SQRT(SUMSQ(VLOOKUP($B97&amp;"; "&amp;$L$94&amp;" "&amp;N$95,'FE Déplacements'!$G:$U,7,FALSE),$BH97)))</f>
        <v>0</v>
      </c>
    </row>
    <row r="98" spans="2:66" ht="12.75" customHeight="1" outlineLevel="1">
      <c r="B98" s="143"/>
      <c r="C98" s="144"/>
      <c r="D98" s="213"/>
      <c r="E98" s="213"/>
      <c r="F98" s="144"/>
      <c r="G98" s="144"/>
      <c r="H98" s="144"/>
      <c r="I98" s="144"/>
      <c r="J98" s="144"/>
      <c r="K98" s="144"/>
      <c r="L98" s="144"/>
      <c r="M98" s="144"/>
      <c r="N98" s="144"/>
      <c r="O98" s="144"/>
      <c r="P98" s="144"/>
      <c r="Q98" s="164"/>
      <c r="R98" s="357"/>
      <c r="X98" s="143"/>
      <c r="Y98" s="164"/>
      <c r="Z98" s="164"/>
      <c r="AA98" s="164"/>
      <c r="AB98" s="164"/>
      <c r="AC98" s="164"/>
      <c r="AD98" s="152"/>
      <c r="AE98" s="1776"/>
      <c r="AG98" s="564"/>
      <c r="AH98" s="565"/>
      <c r="AI98" s="565"/>
      <c r="AJ98" s="565"/>
      <c r="AK98" s="565"/>
      <c r="AL98" s="565"/>
      <c r="AM98" s="565"/>
      <c r="AN98" s="565"/>
      <c r="AO98" s="565"/>
      <c r="AP98" s="565"/>
      <c r="AQ98" s="565"/>
      <c r="AR98" s="565"/>
      <c r="AS98" s="1288"/>
      <c r="AT98" s="566"/>
      <c r="AU98" s="565"/>
      <c r="AV98" s="564"/>
      <c r="AW98" s="565"/>
      <c r="AX98" s="568"/>
      <c r="BH98" s="1087"/>
      <c r="BI98" s="1126"/>
      <c r="BJ98" s="1075"/>
      <c r="BK98" s="1131"/>
      <c r="BL98" s="1126"/>
      <c r="BM98" s="1075"/>
      <c r="BN98" s="1131"/>
    </row>
    <row r="99" spans="2:66" ht="12.75" customHeight="1" outlineLevel="1">
      <c r="B99" s="196" t="s">
        <v>348</v>
      </c>
      <c r="C99" s="197"/>
      <c r="D99" s="214">
        <f>SUM(D96:D98)</f>
        <v>0</v>
      </c>
      <c r="E99" s="214"/>
      <c r="F99" s="197"/>
      <c r="G99" s="197"/>
      <c r="H99" s="197"/>
      <c r="I99" s="197"/>
      <c r="J99" s="197"/>
      <c r="K99" s="197"/>
      <c r="L99" s="197"/>
      <c r="M99" s="197"/>
      <c r="N99" s="197"/>
      <c r="O99" s="202">
        <f>SUM(O96:O98)</f>
        <v>0</v>
      </c>
      <c r="P99" s="202">
        <f>SUM(P96:P98)</f>
        <v>0</v>
      </c>
      <c r="Q99" s="202">
        <f>SUM(Q96:Q98)</f>
        <v>0</v>
      </c>
      <c r="R99" s="340">
        <f>SUM(R96:R98)</f>
        <v>0</v>
      </c>
      <c r="X99" s="1204">
        <f>IF(AD99=0,AD99,AD99/D99)</f>
        <v>0</v>
      </c>
      <c r="Y99" s="203"/>
      <c r="Z99" s="203"/>
      <c r="AA99" s="203">
        <f>SQRT(SUMSQ(AA96:AA98))</f>
        <v>0</v>
      </c>
      <c r="AB99" s="203">
        <f>SQRT(SUMSQ(AB96:AB98))</f>
        <v>0</v>
      </c>
      <c r="AC99" s="203">
        <f>SQRT(SUMSQ(AC96:AC98))</f>
        <v>0</v>
      </c>
      <c r="AD99" s="200">
        <f>SQRT(SUMSQ(AD96:AD98))</f>
        <v>0</v>
      </c>
      <c r="AE99" s="340">
        <f>SQRT(SUMSQ(AE96:AE98))</f>
        <v>0</v>
      </c>
      <c r="AG99" s="571">
        <f t="shared" ref="AG99:AX99" si="70">SUM(AG96:AG98)</f>
        <v>0</v>
      </c>
      <c r="AH99" s="572">
        <f t="shared" si="70"/>
        <v>0</v>
      </c>
      <c r="AI99" s="572">
        <f t="shared" si="70"/>
        <v>0</v>
      </c>
      <c r="AJ99" s="572">
        <f t="shared" si="70"/>
        <v>0</v>
      </c>
      <c r="AK99" s="572">
        <f t="shared" si="70"/>
        <v>0</v>
      </c>
      <c r="AL99" s="572">
        <f t="shared" si="70"/>
        <v>0</v>
      </c>
      <c r="AM99" s="572">
        <f t="shared" si="70"/>
        <v>0</v>
      </c>
      <c r="AN99" s="572">
        <f t="shared" si="70"/>
        <v>0</v>
      </c>
      <c r="AO99" s="572">
        <f t="shared" si="70"/>
        <v>0</v>
      </c>
      <c r="AP99" s="572">
        <f t="shared" si="70"/>
        <v>0</v>
      </c>
      <c r="AQ99" s="572">
        <f t="shared" si="70"/>
        <v>0</v>
      </c>
      <c r="AR99" s="572">
        <f t="shared" si="70"/>
        <v>0</v>
      </c>
      <c r="AS99" s="1290">
        <f t="shared" si="70"/>
        <v>0</v>
      </c>
      <c r="AT99" s="573">
        <f t="shared" si="70"/>
        <v>0</v>
      </c>
      <c r="AU99" s="573">
        <f t="shared" si="70"/>
        <v>0</v>
      </c>
      <c r="AV99" s="1082">
        <f t="shared" si="70"/>
        <v>0</v>
      </c>
      <c r="AW99" s="572">
        <f t="shared" si="70"/>
        <v>0</v>
      </c>
      <c r="AX99" s="575">
        <f t="shared" si="70"/>
        <v>0</v>
      </c>
    </row>
    <row r="100" spans="2:66" ht="12.75" customHeight="1" outlineLevel="1">
      <c r="B100" s="256"/>
      <c r="C100" s="256"/>
      <c r="D100" s="256"/>
      <c r="E100" s="256"/>
      <c r="F100" s="256"/>
    </row>
    <row r="101" spans="2:66" ht="12.75" customHeight="1" outlineLevel="1">
      <c r="B101" s="2849" t="s">
        <v>4074</v>
      </c>
      <c r="C101" s="2850"/>
      <c r="D101" s="2284"/>
      <c r="E101" s="2284"/>
      <c r="F101" s="2284"/>
      <c r="G101" s="2284"/>
      <c r="H101" s="2284"/>
      <c r="I101" s="2284"/>
      <c r="J101" s="2284"/>
      <c r="K101" s="140"/>
      <c r="L101" s="141"/>
      <c r="M101" s="141"/>
      <c r="N101" s="140"/>
      <c r="O101" s="2265"/>
      <c r="P101" s="2265"/>
      <c r="Q101" s="2409"/>
      <c r="R101" s="1789"/>
      <c r="X101" s="2636" t="s">
        <v>366</v>
      </c>
      <c r="Y101" s="2637"/>
      <c r="Z101" s="2637"/>
      <c r="AA101" s="2637"/>
      <c r="AB101" s="2637"/>
      <c r="AC101" s="2637"/>
      <c r="AD101" s="2638"/>
      <c r="AE101" s="1773"/>
      <c r="AG101" s="2639" t="s">
        <v>441</v>
      </c>
      <c r="AH101" s="2640"/>
      <c r="AI101" s="2640"/>
      <c r="AJ101" s="2640"/>
      <c r="AK101" s="2640"/>
      <c r="AL101" s="2640"/>
      <c r="AM101" s="2640"/>
      <c r="AN101" s="2640"/>
      <c r="AO101" s="2640"/>
      <c r="AP101" s="2640"/>
      <c r="AQ101" s="2640"/>
      <c r="AR101" s="2640"/>
      <c r="AS101" s="2640"/>
      <c r="AT101" s="2640"/>
      <c r="AU101" s="2640"/>
      <c r="AV101" s="2640"/>
      <c r="AW101" s="2640"/>
      <c r="AX101" s="2641"/>
    </row>
    <row r="102" spans="2:66" ht="12.75" customHeight="1" outlineLevel="1">
      <c r="B102" s="332"/>
      <c r="C102" s="167"/>
      <c r="D102" s="2272" t="s">
        <v>308</v>
      </c>
      <c r="E102" s="2272"/>
      <c r="F102" s="155"/>
      <c r="G102" s="155"/>
      <c r="H102" s="144"/>
      <c r="I102" s="144"/>
      <c r="J102" s="144"/>
      <c r="K102" s="2412"/>
      <c r="L102" s="144"/>
      <c r="M102" s="144"/>
      <c r="N102" s="2412"/>
      <c r="O102" s="2408"/>
      <c r="P102" s="2408"/>
      <c r="Q102" s="2408"/>
      <c r="R102" s="1789"/>
      <c r="X102" s="1170"/>
      <c r="Y102" s="2267"/>
      <c r="Z102" s="2267"/>
      <c r="AA102" s="2267"/>
      <c r="AB102" s="2267"/>
      <c r="AC102" s="2267"/>
      <c r="AD102" s="142"/>
      <c r="AE102" s="256"/>
      <c r="AG102" s="2642" t="s">
        <v>444</v>
      </c>
      <c r="AH102" s="2643"/>
      <c r="AI102" s="2643"/>
      <c r="AJ102" s="2643"/>
      <c r="AK102" s="2643"/>
      <c r="AL102" s="2643"/>
      <c r="AM102" s="2643"/>
      <c r="AN102" s="2643"/>
      <c r="AO102" s="2643"/>
      <c r="AP102" s="2643"/>
      <c r="AQ102" s="2643"/>
      <c r="AR102" s="2644"/>
      <c r="AS102" s="2642" t="s">
        <v>444</v>
      </c>
      <c r="AT102" s="2643"/>
      <c r="AU102" s="2644"/>
      <c r="AV102" s="1288"/>
      <c r="AW102" s="566"/>
      <c r="AX102" s="2287"/>
      <c r="BH102" s="2616" t="s">
        <v>1648</v>
      </c>
      <c r="BI102" s="2617"/>
      <c r="BJ102" s="2617"/>
      <c r="BK102" s="2617"/>
      <c r="BL102" s="2617"/>
      <c r="BM102" s="2617"/>
      <c r="BN102" s="2618"/>
    </row>
    <row r="103" spans="2:66" ht="12.75" customHeight="1" outlineLevel="1">
      <c r="B103" s="2263"/>
      <c r="C103" s="2264"/>
      <c r="D103" s="2264" t="s">
        <v>409</v>
      </c>
      <c r="E103" s="2264"/>
      <c r="F103" s="2270" t="s">
        <v>452</v>
      </c>
      <c r="G103" s="2270"/>
      <c r="H103" s="2626" t="s">
        <v>2224</v>
      </c>
      <c r="I103" s="2628"/>
      <c r="J103" s="2627"/>
      <c r="K103" s="147"/>
      <c r="L103" s="2626" t="s">
        <v>2222</v>
      </c>
      <c r="M103" s="2628"/>
      <c r="N103" s="2628"/>
      <c r="O103" s="2768" t="s">
        <v>444</v>
      </c>
      <c r="P103" s="2768"/>
      <c r="Q103" s="2768"/>
      <c r="R103" s="1789"/>
      <c r="X103" s="2263" t="s">
        <v>316</v>
      </c>
      <c r="Y103" s="2629" t="s">
        <v>316</v>
      </c>
      <c r="Z103" s="2630"/>
      <c r="AA103" s="2264" t="s">
        <v>444</v>
      </c>
      <c r="AB103" s="2264" t="s">
        <v>444</v>
      </c>
      <c r="AC103" s="2264"/>
      <c r="AD103" s="2281" t="s">
        <v>444</v>
      </c>
      <c r="AE103" s="1773"/>
      <c r="AG103" s="2631" t="s">
        <v>211</v>
      </c>
      <c r="AH103" s="2632"/>
      <c r="AI103" s="2632"/>
      <c r="AJ103" s="2632" t="s">
        <v>442</v>
      </c>
      <c r="AK103" s="2632"/>
      <c r="AL103" s="2632"/>
      <c r="AM103" s="2632" t="s">
        <v>267</v>
      </c>
      <c r="AN103" s="2632"/>
      <c r="AO103" s="2632"/>
      <c r="AP103" s="2632" t="s">
        <v>443</v>
      </c>
      <c r="AQ103" s="2632"/>
      <c r="AR103" s="2650"/>
      <c r="AS103" s="2848" t="s">
        <v>327</v>
      </c>
      <c r="AT103" s="2648"/>
      <c r="AU103" s="2649"/>
      <c r="AV103" s="2631" t="s">
        <v>636</v>
      </c>
      <c r="AW103" s="2632"/>
      <c r="AX103" s="568"/>
      <c r="BH103" s="2837" t="s">
        <v>1646</v>
      </c>
      <c r="BI103" s="2833" t="s">
        <v>895</v>
      </c>
      <c r="BJ103" s="2834"/>
      <c r="BK103" s="2834"/>
      <c r="BL103" s="2833" t="s">
        <v>38</v>
      </c>
      <c r="BM103" s="2834"/>
      <c r="BN103" s="2835"/>
    </row>
    <row r="104" spans="2:66" ht="12.75" customHeight="1" outlineLevel="1">
      <c r="B104" s="2263"/>
      <c r="C104" s="2264"/>
      <c r="D104" s="2264" t="s">
        <v>444</v>
      </c>
      <c r="E104" s="2264"/>
      <c r="F104" s="2271" t="s">
        <v>445</v>
      </c>
      <c r="G104" s="153" t="s">
        <v>895</v>
      </c>
      <c r="H104" s="1662" t="s">
        <v>422</v>
      </c>
      <c r="I104" s="1662" t="s">
        <v>411</v>
      </c>
      <c r="J104" s="1662" t="s">
        <v>257</v>
      </c>
      <c r="K104" s="153" t="s">
        <v>38</v>
      </c>
      <c r="L104" s="1662" t="s">
        <v>422</v>
      </c>
      <c r="M104" s="1662" t="s">
        <v>411</v>
      </c>
      <c r="N104" s="1662" t="s">
        <v>257</v>
      </c>
      <c r="O104" s="2410" t="s">
        <v>422</v>
      </c>
      <c r="P104" s="2410" t="s">
        <v>411</v>
      </c>
      <c r="Q104" s="2410" t="s">
        <v>257</v>
      </c>
      <c r="R104" s="1789"/>
      <c r="X104" s="2263" t="s">
        <v>1649</v>
      </c>
      <c r="Y104" s="2646" t="s">
        <v>1650</v>
      </c>
      <c r="Z104" s="2647"/>
      <c r="AA104" s="1662" t="s">
        <v>411</v>
      </c>
      <c r="AB104" s="2286" t="s">
        <v>257</v>
      </c>
      <c r="AC104" s="2286" t="s">
        <v>422</v>
      </c>
      <c r="AD104" s="2281" t="s">
        <v>327</v>
      </c>
      <c r="AE104" s="1773"/>
      <c r="AG104" s="2285" t="s">
        <v>411</v>
      </c>
      <c r="AH104" s="2286" t="s">
        <v>257</v>
      </c>
      <c r="AI104" s="2286" t="s">
        <v>422</v>
      </c>
      <c r="AJ104" s="2286" t="s">
        <v>411</v>
      </c>
      <c r="AK104" s="2286" t="s">
        <v>257</v>
      </c>
      <c r="AL104" s="2286" t="s">
        <v>422</v>
      </c>
      <c r="AM104" s="2286" t="s">
        <v>411</v>
      </c>
      <c r="AN104" s="2286" t="s">
        <v>257</v>
      </c>
      <c r="AO104" s="2286" t="s">
        <v>422</v>
      </c>
      <c r="AP104" s="2286" t="s">
        <v>411</v>
      </c>
      <c r="AQ104" s="2286" t="s">
        <v>257</v>
      </c>
      <c r="AR104" s="2286" t="s">
        <v>422</v>
      </c>
      <c r="AS104" s="1289" t="s">
        <v>411</v>
      </c>
      <c r="AT104" s="581" t="s">
        <v>257</v>
      </c>
      <c r="AU104" s="581" t="s">
        <v>422</v>
      </c>
      <c r="AV104" s="2285" t="s">
        <v>411</v>
      </c>
      <c r="AW104" s="2286" t="s">
        <v>257</v>
      </c>
      <c r="AX104" s="2287" t="s">
        <v>422</v>
      </c>
      <c r="BH104" s="2838"/>
      <c r="BI104" s="2275" t="s">
        <v>422</v>
      </c>
      <c r="BJ104" s="2275" t="s">
        <v>411</v>
      </c>
      <c r="BK104" s="2414" t="s">
        <v>257</v>
      </c>
      <c r="BL104" s="2414" t="s">
        <v>422</v>
      </c>
      <c r="BM104" s="2275" t="s">
        <v>411</v>
      </c>
      <c r="BN104" s="2275" t="s">
        <v>257</v>
      </c>
    </row>
    <row r="105" spans="2:66" outlineLevel="1">
      <c r="B105" s="405" t="s">
        <v>4056</v>
      </c>
      <c r="C105" s="406"/>
      <c r="D105" s="212">
        <f>SUM(O105,P105,Q105)</f>
        <v>0</v>
      </c>
      <c r="E105" s="212"/>
      <c r="F105" s="117"/>
      <c r="G105" s="117"/>
      <c r="H105" s="1266">
        <f>VLOOKUP($B105&amp;"; "&amp;$H$103&amp;" "&amp;H$104,'FE Déplacements'!$G:$U,9,FALSE)</f>
        <v>2.4000000000000001E-4</v>
      </c>
      <c r="I105" s="1266">
        <f>VLOOKUP($B105&amp;"; "&amp;$H$103&amp;" "&amp;I$104,'FE Déplacements'!$G:$U,9,FALSE)</f>
        <v>2.5999999999999999E-3</v>
      </c>
      <c r="J105" s="1266">
        <f>VLOOKUP($B105&amp;"; "&amp;$H$103&amp;" "&amp;J$104,'FE Déplacements'!$G:$U,9,FALSE)</f>
        <v>0</v>
      </c>
      <c r="K105" s="117"/>
      <c r="L105" s="410">
        <f>IF(ISNA(VLOOKUP($B105&amp;"; "&amp;$L$103&amp;" "&amp;L$104,'FE Déplacements'!$G:$U,9,FALSE)),0,VLOOKUP($B105&amp;"; "&amp;$L$103&amp;" "&amp;L$104,'FE Déplacements'!$G:$U,9,FALSE))</f>
        <v>0</v>
      </c>
      <c r="M105" s="410">
        <f>IF(ISNA(VLOOKUP($B105&amp;"; "&amp;$L$103&amp;" "&amp;M$104,'FE Déplacements'!$G:$U,9,FALSE)),0,VLOOKUP($B105&amp;"; "&amp;$L$103&amp;" "&amp;M$104,'FE Déplacements'!$G:$U,9,FALSE))</f>
        <v>0</v>
      </c>
      <c r="N105" s="410">
        <f>IF(ISNA(VLOOKUP($B105&amp;"; "&amp;$L$103&amp;" "&amp;N$104,'FE Déplacements'!$G:$U,9,FALSE)),0,VLOOKUP($B105&amp;"; "&amp;$L$103&amp;" "&amp;N$104,'FE Déplacements'!$G:$U,9,FALSE))</f>
        <v>0</v>
      </c>
      <c r="O105" s="356">
        <f>$G105*IF(ISNA(H105),0,H105)+$K105*IF(ISNA(L105),0,L105)</f>
        <v>0</v>
      </c>
      <c r="P105" s="151">
        <f>$G105*IF(ISNA(I105),0,I105)+$K105*IF(ISNA(M105),0,M105)</f>
        <v>0</v>
      </c>
      <c r="Q105" s="151">
        <f>$G105*(IF(ISNA(J105),0,J105)+$K105*(IF(ISNA(N105),0,N105)))</f>
        <v>0</v>
      </c>
      <c r="R105" s="2430"/>
      <c r="X105" s="1092">
        <f>IF(AD105=0,AD105,AD105/D105)</f>
        <v>0</v>
      </c>
      <c r="Y105" s="343"/>
      <c r="Z105" s="820"/>
      <c r="AA105" s="164">
        <f>SQRT(SUMSQ(IF(ISNA(G105*H105*BJ105),0,G105*H105*BJ105),IF(ISNA(K105*L105*BM105),0,K105*L105*BM105)))</f>
        <v>0</v>
      </c>
      <c r="AB105" s="164">
        <f>SQRT(SUMSQ(IF(ISNA(G105*J105*BK105),0,G105*J105*BK105),IF(ISNA(K105*N105*BN105),0,K105*N105*BN105)))</f>
        <v>0</v>
      </c>
      <c r="AC105" s="164">
        <f>SQRT(SUMSQ(IF(ISNA(G105*H105*BI105),0,G105*H105*BI105),IF(ISNA(K105*L105*BL105),0,K105*L105*BL105)))</f>
        <v>0</v>
      </c>
      <c r="AD105" s="152">
        <f>SQRT(SUMSQ(AA105,AC105))</f>
        <v>0</v>
      </c>
      <c r="AE105" s="1458"/>
      <c r="AG105" s="564">
        <f>$G105*IF(ISNA(VLOOKUP($B105&amp;"; "&amp;$H$103&amp;" "&amp;I$104,'FE Déplacements'!$G:$U,10,FALSE)),0,VLOOKUP($B105&amp;"; "&amp;$H$103&amp;" "&amp;I$104,'FE Déplacements'!$G:$U,10,FALSE))
+$K105*IF(ISNA(VLOOKUP($B105&amp;"; "&amp;$L$103&amp;" "&amp;M$104,'FE Déplacements'!$G:$U,10,FALSE)),0,VLOOKUP($B105&amp;"; "&amp;$L$103&amp;" "&amp;M$104,'FE Déplacements'!$G:$U,10,FALSE))</f>
        <v>0</v>
      </c>
      <c r="AH105" s="565">
        <f>$G105*IF(ISNA(VLOOKUP($B105&amp;"; "&amp;$H$103&amp;" "&amp;J$104,'FE Déplacements'!$G:$U,10,FALSE)),0,VLOOKUP($B105&amp;"; "&amp;$H$103&amp;" "&amp;J$104,'FE Déplacements'!$G:$U,10,FALSE))
+$K105*IF(ISNA(VLOOKUP($B105&amp;"; "&amp;$L$103&amp;" "&amp;N$104,'FE Déplacements'!$G:$U,10,FALSE)),0,VLOOKUP($B105&amp;"; "&amp;$L$103&amp;" "&amp;N$104,'FE Déplacements'!$G:$U,10,FALSE))</f>
        <v>0</v>
      </c>
      <c r="AI105" s="565">
        <f>$G105*IF(ISNA(VLOOKUP($B105&amp;"; "&amp;$H$103&amp;" "&amp;H$104,'FE Déplacements'!$G:$U,10,FALSE)),0,VLOOKUP($B105&amp;"; "&amp;$H$103&amp;" "&amp;H$104,'FE Déplacements'!$G:$U,10,FALSE))
+$K105*IF(ISNA(VLOOKUP($B105&amp;"; "&amp;$L$103&amp;" "&amp;L$104,'FE Déplacements'!$G:$U,10,FALSE)),0,VLOOKUP($B105&amp;"; "&amp;$L$103&amp;" "&amp;L$104,'FE Déplacements'!$G:$U,10,FALSE))</f>
        <v>0</v>
      </c>
      <c r="AJ105" s="565">
        <f>$G105*IF(ISNA((VLOOKUP($B105&amp;"; "&amp;$H$103&amp;" "&amp;I$104,'FE Déplacements'!$G:$U,12,FALSE)+VLOOKUP($B105&amp;"; "&amp;$H$103&amp;" "&amp;I$104,'FE Déplacements'!$G:$U,11,FALSE))),0,(VLOOKUP($B105&amp;"; "&amp;$H$103&amp;" "&amp;I$104,'FE Déplacements'!$G:$U,12,FALSE)+VLOOKUP($B105&amp;"; "&amp;$H$103&amp;" "&amp;I$104,'FE Déplacements'!$G:$U,11,FALSE)))
+$K105*IF(ISNA((VLOOKUP($B105&amp;"; "&amp;$L$103&amp;" "&amp;M$104,'FE Déplacements'!$G:$U,12,FALSE)+VLOOKUP($B105&amp;"; "&amp;$L$103&amp;" "&amp;M$104,'FE Déplacements'!$G:$U,11,FALSE))),0,(VLOOKUP($B105&amp;"; "&amp;$L$103&amp;" "&amp;M$104,'FE Déplacements'!$G:$U,12,FALSE)+VLOOKUP($B105&amp;"; "&amp;$L$103&amp;" "&amp;M$104,'FE Déplacements'!$G:$U,11,FALSE)))</f>
        <v>0</v>
      </c>
      <c r="AK105" s="565">
        <f>$G105*IF(ISNA((VLOOKUP($B105&amp;"; "&amp;$H$103&amp;" "&amp;J$104,'FE Déplacements'!$G:$U,12,FALSE)+VLOOKUP($B105&amp;"; "&amp;$H$103&amp;" "&amp;J$104,'FE Déplacements'!$G:$U,11,FALSE))),0,(VLOOKUP($B105&amp;"; "&amp;$H$103&amp;" "&amp;J$104,'FE Déplacements'!$G:$U,12,FALSE)+VLOOKUP($B105&amp;"; "&amp;$H$103&amp;" "&amp;J$104,'FE Déplacements'!$G:$U,11,FALSE)))
+$K105*IF(ISNA((VLOOKUP($B105&amp;"; "&amp;$L$103&amp;" "&amp;N$104,'FE Déplacements'!$G:$U,12,FALSE)+VLOOKUP($B105&amp;"; "&amp;$L$103&amp;" "&amp;N$104,'FE Déplacements'!$G:$U,11,FALSE))),0,(VLOOKUP($B105&amp;"; "&amp;$L$103&amp;" "&amp;N$104,'FE Déplacements'!$G:$U,12,FALSE)+VLOOKUP($B105&amp;"; "&amp;$L$103&amp;" "&amp;N$104,'FE Déplacements'!$G:$U,11,FALSE)))</f>
        <v>0</v>
      </c>
      <c r="AL105" s="565">
        <f>$G105*IF(ISNA((VLOOKUP($B105&amp;"; "&amp;$H$103&amp;" "&amp;H$104,'FE Déplacements'!$G:$U,12,FALSE)+VLOOKUP($B105&amp;"; "&amp;$H$103&amp;" "&amp;H$104,'FE Déplacements'!$G:$U,11,FALSE))),0,(VLOOKUP($B105&amp;"; "&amp;$H$103&amp;" "&amp;H$104,'FE Déplacements'!$G:$U,12,FALSE)+VLOOKUP($B105&amp;"; "&amp;$H$103&amp;" "&amp;H$104,'FE Déplacements'!$G:$U,11,FALSE)))
+$K105*IF(ISNA((VLOOKUP($B105&amp;"; "&amp;$L$103&amp;" "&amp;L$104,'FE Déplacements'!$G:$U,12,FALSE)+VLOOKUP($B105&amp;"; "&amp;$L$103&amp;" "&amp;L$104,'FE Déplacements'!$G:$U,11,FALSE))),0,(VLOOKUP($B105&amp;"; "&amp;$L$103&amp;" "&amp;L$104,'FE Déplacements'!$G:$U,12,FALSE)+VLOOKUP($B105&amp;"; "&amp;$L$103&amp;" "&amp;L$104,'FE Déplacements'!$G:$U,11,FALSE)))</f>
        <v>0</v>
      </c>
      <c r="AM105" s="565">
        <f>$G105*IF(ISNA(VLOOKUP($B105&amp;"; "&amp;$H$103&amp;" "&amp;I$104,'FE Déplacements'!$G:$U,13,FALSE)),0,VLOOKUP($B105&amp;"; "&amp;$H$103&amp;" "&amp;I$104,'FE Déplacements'!$G:$U,13,FALSE))
+$K105*IF(ISNA(VLOOKUP($B105&amp;"; "&amp;$L$103&amp;" "&amp;M$104,'FE Déplacements'!$G:$U,13,FALSE)),0,VLOOKUP($B105&amp;"; "&amp;$L$103&amp;" "&amp;M$104,'FE Déplacements'!$G:$U,13,FALSE))</f>
        <v>0</v>
      </c>
      <c r="AN105" s="565">
        <f>$G105*IF(ISNA(VLOOKUP($B105&amp;"; "&amp;$H$103&amp;" "&amp;J$104,'FE Déplacements'!$G:$U,13,FALSE)),0,VLOOKUP($B105&amp;"; "&amp;$H$103&amp;" "&amp;J$104,'FE Déplacements'!$G:$U,13,FALSE))
+$K105*IF(ISNA(VLOOKUP($B105&amp;"; "&amp;$L$103&amp;" "&amp;N$104,'FE Déplacements'!$G:$U,13,FALSE)),0,VLOOKUP($B105&amp;"; "&amp;$L$103&amp;" "&amp;N$104,'FE Déplacements'!$G:$U,13,FALSE))</f>
        <v>0</v>
      </c>
      <c r="AO105" s="565">
        <f>$G105*IF(ISNA(VLOOKUP($B105&amp;"; "&amp;$H$103&amp;" "&amp;H$104,'FE Déplacements'!$G:$U,13,FALSE)),0,VLOOKUP($B105&amp;"; "&amp;$H$103&amp;" "&amp;H$104,'FE Déplacements'!$G:$U,13,FALSE))
+$K105*IF(ISNA(VLOOKUP($B105&amp;"; "&amp;$L$103&amp;" "&amp;L$104,'FE Déplacements'!$G:$U,13,FALSE)),0,VLOOKUP($B105&amp;"; "&amp;$L$103&amp;" "&amp;L$104,'FE Déplacements'!$G:$U,13,FALSE))</f>
        <v>0</v>
      </c>
      <c r="AP105" s="565">
        <v>0</v>
      </c>
      <c r="AQ105" s="565">
        <v>0</v>
      </c>
      <c r="AR105" s="565">
        <v>0</v>
      </c>
      <c r="AS105" s="1288">
        <f t="shared" ref="AS105:AT107" si="71">SUM(AG105,AJ105,AM105,AP105)</f>
        <v>0</v>
      </c>
      <c r="AT105" s="566">
        <f t="shared" si="71"/>
        <v>0</v>
      </c>
      <c r="AU105" s="566">
        <f>SUM(AI105,AL105,AO105,AR105)</f>
        <v>0</v>
      </c>
      <c r="AV105" s="564">
        <f>$G105*IF(ISNA(VLOOKUP($B105&amp;"; "&amp;$H$103&amp;" "&amp;I$104,'FE Déplacements'!$G:$U,15,FALSE)),0,VLOOKUP($B105&amp;"; "&amp;$H$103&amp;" "&amp;I$104,'FE Déplacements'!$G:$U,15,FALSE))
+$K105*IF(ISNA(VLOOKUP($B105&amp;"; "&amp;$L$103&amp;" "&amp;M$104,'FE Déplacements'!$G:$U,15,FALSE)),0,VLOOKUP($B105&amp;"; "&amp;$L$103&amp;" "&amp;M$104,'FE Déplacements'!$G:$U,15,FALSE))</f>
        <v>0</v>
      </c>
      <c r="AW105" s="565">
        <f>$G105*IF(ISNA(VLOOKUP($B105&amp;"; "&amp;$H$103&amp;" "&amp;J$104,'FE Déplacements'!$G:$U,15,FALSE)),0,VLOOKUP($B105&amp;"; "&amp;$H$103&amp;" "&amp;J$104,'FE Déplacements'!$G:$U,15,FALSE))
+$K105*IF(ISNA(VLOOKUP($B105&amp;"; "&amp;$L$103&amp;" "&amp;N$104,'FE Déplacements'!$G:$U,15,FALSE)),0,VLOOKUP($B105&amp;"; "&amp;$L$103&amp;" "&amp;N$104,'FE Déplacements'!$G:$U,15,FALSE))</f>
        <v>0</v>
      </c>
      <c r="AX105" s="568">
        <f>$G105*IF(ISNA(VLOOKUP($B105&amp;"; "&amp;$H$103&amp;" "&amp;H$104,'FE Déplacements'!$G:$U,15,FALSE)),0,VLOOKUP($B105&amp;"; "&amp;$H$103&amp;" "&amp;H$104,'FE Déplacements'!$G:$U,15,FALSE))
+$K105*IF(ISNA(VLOOKUP($B105&amp;"; "&amp;$L$103&amp;" "&amp;L$104,'FE Déplacements'!$G:$U,15,FALSE)),0,VLOOKUP($B105&amp;"; "&amp;$L$103&amp;" "&amp;L$104,'FE Déplacements'!$G:$U,15,FALSE))</f>
        <v>0</v>
      </c>
      <c r="BH105" s="2268">
        <f>IF($Y105&lt;&gt;"votre valeur :",IF(ISNA(VLOOKUP($Y105,Utilitaires!$N$566:$O$571,2,FALSE)),,VLOOKUP($Y105,Utilitaires!$N$566:$O$571,2,FALSE)),$Z105)</f>
        <v>0</v>
      </c>
      <c r="BI105" s="2277">
        <f>IF(ISNA(SQRT(SUMSQ(VLOOKUP($B105&amp;"; "&amp;$H$103&amp;" "&amp;H$104,'FE Déplacements'!$G:$U,7,FALSE),$BH105))),0,SQRT(SUMSQ(VLOOKUP($B105&amp;"; "&amp;$H$103&amp;" "&amp;H$104,'FE Déplacements'!$G:$U,7,FALSE),$BH105)))</f>
        <v>0.2</v>
      </c>
      <c r="BJ105" s="2277">
        <f>IF(ISNA(SQRT(SUMSQ(VLOOKUP($B105&amp;"; "&amp;$H$103&amp;" "&amp;I$104,'FE Déplacements'!$G:$U,7,FALSE),$BH105))),0,SQRT(SUMSQ(VLOOKUP($B105&amp;"; "&amp;$H$103&amp;" "&amp;I$104,'FE Déplacements'!$G:$U,7,FALSE),$BH105)))</f>
        <v>0.2</v>
      </c>
      <c r="BK105" s="2413">
        <f>IF(ISNA(SQRT(SUMSQ(VLOOKUP($B105&amp;"; "&amp;$H$103&amp;" "&amp;J$104,'FE Déplacements'!$G:$U,7,FALSE),$BH105))),0,SQRT(SUMSQ(VLOOKUP($B105&amp;"; "&amp;$H$103&amp;" "&amp;J$104,'FE Déplacements'!$G:$U,7,FALSE),$BH105)))</f>
        <v>0.2</v>
      </c>
      <c r="BL105" s="1130">
        <f>IF(ISNA(SQRT(SUMSQ(VLOOKUP($B105&amp;"; "&amp;$L$103&amp;" "&amp;L$104,'FE Déplacements'!$G:$U,7,FALSE),$BH105))),0,SQRT(SUMSQ(VLOOKUP($B105&amp;"; "&amp;$L$103&amp;" "&amp;L$104,'FE Déplacements'!$G:$U,7,FALSE),$BH105)))</f>
        <v>0</v>
      </c>
      <c r="BM105" s="2277">
        <f>IF(ISNA(SQRT(SUMSQ(VLOOKUP($B105&amp;"; "&amp;$L$103&amp;" "&amp;M$104,'FE Déplacements'!$G:$U,7,FALSE),$BH105))),0,SQRT(SUMSQ(VLOOKUP($B105&amp;"; "&amp;$L$103&amp;" "&amp;M$104,'FE Déplacements'!$G:$U,7,FALSE),$BH105)))</f>
        <v>0</v>
      </c>
      <c r="BN105" s="1130">
        <f>IF(ISNA(SQRT(SUMSQ(VLOOKUP($B105&amp;"; "&amp;$L$103&amp;" "&amp;N$104,'FE Déplacements'!$G:$U,7,FALSE),$BH105))),0,SQRT(SUMSQ(VLOOKUP($B105&amp;"; "&amp;$L$103&amp;" "&amp;N$104,'FE Déplacements'!$G:$U,7,FALSE),$BH105)))</f>
        <v>0</v>
      </c>
    </row>
    <row r="106" spans="2:66" outlineLevel="1">
      <c r="B106" s="405" t="s">
        <v>4057</v>
      </c>
      <c r="C106" s="406"/>
      <c r="D106" s="212">
        <f t="shared" ref="D106:D107" si="72">SUM(O106,P106,Q106)</f>
        <v>0</v>
      </c>
      <c r="E106" s="212"/>
      <c r="F106" s="346"/>
      <c r="G106" s="346"/>
      <c r="H106" s="1266">
        <f>VLOOKUP($B106&amp;"; "&amp;$H$103&amp;" "&amp;H$104,'FE Déplacements'!$G:$U,9,FALSE)</f>
        <v>4.79E-3</v>
      </c>
      <c r="I106" s="1266">
        <f>VLOOKUP($B106&amp;"; "&amp;$H$103&amp;" "&amp;I$104,'FE Déplacements'!$G:$U,9,FALSE)</f>
        <v>2.6499999999999999E-2</v>
      </c>
      <c r="J106" s="1266">
        <f>VLOOKUP($B106&amp;"; "&amp;$H$103&amp;" "&amp;J$104,'FE Déplacements'!$G:$U,9,FALSE)</f>
        <v>0</v>
      </c>
      <c r="K106" s="346"/>
      <c r="L106" s="410">
        <f>IF(ISNA(VLOOKUP($B106&amp;"; "&amp;$L$103&amp;" "&amp;L$104,'FE Déplacements'!$G:$U,9,FALSE)),0,VLOOKUP($B106&amp;"; "&amp;$L$103&amp;" "&amp;L$104,'FE Déplacements'!$G:$U,9,FALSE))</f>
        <v>0</v>
      </c>
      <c r="M106" s="410">
        <f>IF(ISNA(VLOOKUP($B106&amp;"; "&amp;$L$103&amp;" "&amp;M$104,'FE Déplacements'!$G:$U,9,FALSE)),0,VLOOKUP($B106&amp;"; "&amp;$L$103&amp;" "&amp;M$104,'FE Déplacements'!$G:$U,9,FALSE))</f>
        <v>0</v>
      </c>
      <c r="N106" s="410">
        <f>IF(ISNA(VLOOKUP($B106&amp;"; "&amp;$L$103&amp;" "&amp;N$104,'FE Déplacements'!$G:$U,9,FALSE)),0,VLOOKUP($B106&amp;"; "&amp;$L$103&amp;" "&amp;N$104,'FE Déplacements'!$G:$U,9,FALSE))</f>
        <v>0</v>
      </c>
      <c r="O106" s="356">
        <f t="shared" ref="O106:O107" si="73">$G106*IF(ISNA(H106),0,H106)+$K106*IF(ISNA(L106),0,L106)</f>
        <v>0</v>
      </c>
      <c r="P106" s="151">
        <f t="shared" ref="P106:P107" si="74">$G106*IF(ISNA(I106),0,I106)+$K106*IF(ISNA(M106),0,M106)</f>
        <v>0</v>
      </c>
      <c r="Q106" s="151">
        <f t="shared" ref="Q106:Q107" si="75">$G106*(IF(ISNA(J106),0,J106)+$K106*(IF(ISNA(N106),0,N106)))</f>
        <v>0</v>
      </c>
      <c r="R106" s="2430"/>
      <c r="X106" s="1092">
        <f>IF(AD106=0,AD106,AD106/D106)</f>
        <v>0</v>
      </c>
      <c r="Y106" s="343"/>
      <c r="Z106" s="820"/>
      <c r="AA106" s="164">
        <f>SQRT(SUMSQ(IF(ISNA(G106*H106*BJ106),0,G106*H106*BJ106),IF(ISNA(K106*L106*BM106),0,K106*L106*BM106)))</f>
        <v>0</v>
      </c>
      <c r="AB106" s="164">
        <f>SQRT(SUMSQ(IF(ISNA(G106*J106*BK106),0,G106*J106*BK106),IF(ISNA(K106*N106*BN106),0,K106*N106*BN106)))</f>
        <v>0</v>
      </c>
      <c r="AC106" s="164">
        <f>SQRT(SUMSQ(IF(ISNA(G106*H106*BI106),0,G106*H106*BI106),IF(ISNA(K106*L106*BL106),0,K106*L106*BL106)))</f>
        <v>0</v>
      </c>
      <c r="AD106" s="152">
        <f>SQRT(SUMSQ(AA106,AC106))</f>
        <v>0</v>
      </c>
      <c r="AE106" s="1458"/>
      <c r="AG106" s="564">
        <f>$G106*IF(ISNA(VLOOKUP($B106&amp;"; "&amp;$H$103&amp;" "&amp;I$104,'FE Déplacements'!$G:$U,10,FALSE)),0,VLOOKUP($B106&amp;"; "&amp;$H$103&amp;" "&amp;I$104,'FE Déplacements'!$G:$U,10,FALSE))
+$K106*IF(ISNA(VLOOKUP($B106&amp;"; "&amp;$L$103&amp;" "&amp;M$104,'FE Déplacements'!$G:$U,10,FALSE)),0,VLOOKUP($B106&amp;"; "&amp;$L$103&amp;" "&amp;M$104,'FE Déplacements'!$G:$U,10,FALSE))</f>
        <v>0</v>
      </c>
      <c r="AH106" s="565">
        <f>$G106*IF(ISNA(VLOOKUP($B106&amp;"; "&amp;$H$103&amp;" "&amp;J$104,'FE Déplacements'!$G:$U,10,FALSE)),0,VLOOKUP($B106&amp;"; "&amp;$H$103&amp;" "&amp;J$104,'FE Déplacements'!$G:$U,10,FALSE))
+$K106*IF(ISNA(VLOOKUP($B106&amp;"; "&amp;$L$103&amp;" "&amp;N$104,'FE Déplacements'!$G:$U,10,FALSE)),0,VLOOKUP($B106&amp;"; "&amp;$L$103&amp;" "&amp;N$104,'FE Déplacements'!$G:$U,10,FALSE))</f>
        <v>0</v>
      </c>
      <c r="AI106" s="565">
        <f>$G106*IF(ISNA(VLOOKUP($B106&amp;"; "&amp;$H$103&amp;" "&amp;H$104,'FE Déplacements'!$G:$U,10,FALSE)),0,VLOOKUP($B106&amp;"; "&amp;$H$103&amp;" "&amp;H$104,'FE Déplacements'!$G:$U,10,FALSE))
+$K106*IF(ISNA(VLOOKUP($B106&amp;"; "&amp;$L$103&amp;" "&amp;L$104,'FE Déplacements'!$G:$U,10,FALSE)),0,VLOOKUP($B106&amp;"; "&amp;$L$103&amp;" "&amp;L$104,'FE Déplacements'!$G:$U,10,FALSE))</f>
        <v>0</v>
      </c>
      <c r="AJ106" s="565">
        <f>$G106*IF(ISNA((VLOOKUP($B106&amp;"; "&amp;$H$103&amp;" "&amp;I$104,'FE Déplacements'!$G:$U,12,FALSE)+VLOOKUP($B106&amp;"; "&amp;$H$103&amp;" "&amp;I$104,'FE Déplacements'!$G:$U,11,FALSE))),0,(VLOOKUP($B106&amp;"; "&amp;$H$103&amp;" "&amp;I$104,'FE Déplacements'!$G:$U,12,FALSE)+VLOOKUP($B106&amp;"; "&amp;$H$103&amp;" "&amp;I$104,'FE Déplacements'!$G:$U,11,FALSE)))
+$K106*IF(ISNA((VLOOKUP($B106&amp;"; "&amp;$L$103&amp;" "&amp;M$104,'FE Déplacements'!$G:$U,12,FALSE)+VLOOKUP($B106&amp;"; "&amp;$L$103&amp;" "&amp;M$104,'FE Déplacements'!$G:$U,11,FALSE))),0,(VLOOKUP($B106&amp;"; "&amp;$L$103&amp;" "&amp;M$104,'FE Déplacements'!$G:$U,12,FALSE)+VLOOKUP($B106&amp;"; "&amp;$L$103&amp;" "&amp;M$104,'FE Déplacements'!$G:$U,11,FALSE)))</f>
        <v>0</v>
      </c>
      <c r="AK106" s="565">
        <f>$G106*IF(ISNA((VLOOKUP($B106&amp;"; "&amp;$H$103&amp;" "&amp;J$104,'FE Déplacements'!$G:$U,12,FALSE)+VLOOKUP($B106&amp;"; "&amp;$H$103&amp;" "&amp;J$104,'FE Déplacements'!$G:$U,11,FALSE))),0,(VLOOKUP($B106&amp;"; "&amp;$H$103&amp;" "&amp;J$104,'FE Déplacements'!$G:$U,12,FALSE)+VLOOKUP($B106&amp;"; "&amp;$H$103&amp;" "&amp;J$104,'FE Déplacements'!$G:$U,11,FALSE)))
+$K106*IF(ISNA((VLOOKUP($B106&amp;"; "&amp;$L$103&amp;" "&amp;N$104,'FE Déplacements'!$G:$U,12,FALSE)+VLOOKUP($B106&amp;"; "&amp;$L$103&amp;" "&amp;N$104,'FE Déplacements'!$G:$U,11,FALSE))),0,(VLOOKUP($B106&amp;"; "&amp;$L$103&amp;" "&amp;N$104,'FE Déplacements'!$G:$U,12,FALSE)+VLOOKUP($B106&amp;"; "&amp;$L$103&amp;" "&amp;N$104,'FE Déplacements'!$G:$U,11,FALSE)))</f>
        <v>0</v>
      </c>
      <c r="AL106" s="565">
        <f>$G106*IF(ISNA((VLOOKUP($B106&amp;"; "&amp;$H$103&amp;" "&amp;H$104,'FE Déplacements'!$G:$U,12,FALSE)+VLOOKUP($B106&amp;"; "&amp;$H$103&amp;" "&amp;H$104,'FE Déplacements'!$G:$U,11,FALSE))),0,(VLOOKUP($B106&amp;"; "&amp;$H$103&amp;" "&amp;H$104,'FE Déplacements'!$G:$U,12,FALSE)+VLOOKUP($B106&amp;"; "&amp;$H$103&amp;" "&amp;H$104,'FE Déplacements'!$G:$U,11,FALSE)))
+$K106*IF(ISNA((VLOOKUP($B106&amp;"; "&amp;$L$103&amp;" "&amp;L$104,'FE Déplacements'!$G:$U,12,FALSE)+VLOOKUP($B106&amp;"; "&amp;$L$103&amp;" "&amp;L$104,'FE Déplacements'!$G:$U,11,FALSE))),0,(VLOOKUP($B106&amp;"; "&amp;$L$103&amp;" "&amp;L$104,'FE Déplacements'!$G:$U,12,FALSE)+VLOOKUP($B106&amp;"; "&amp;$L$103&amp;" "&amp;L$104,'FE Déplacements'!$G:$U,11,FALSE)))</f>
        <v>0</v>
      </c>
      <c r="AM106" s="565">
        <f>$G106*IF(ISNA(VLOOKUP($B106&amp;"; "&amp;$H$103&amp;" "&amp;I$104,'FE Déplacements'!$G:$U,13,FALSE)),0,VLOOKUP($B106&amp;"; "&amp;$H$103&amp;" "&amp;I$104,'FE Déplacements'!$G:$U,13,FALSE))
+$K106*IF(ISNA(VLOOKUP($B106&amp;"; "&amp;$L$103&amp;" "&amp;M$104,'FE Déplacements'!$G:$U,13,FALSE)),0,VLOOKUP($B106&amp;"; "&amp;$L$103&amp;" "&amp;M$104,'FE Déplacements'!$G:$U,13,FALSE))</f>
        <v>0</v>
      </c>
      <c r="AN106" s="565">
        <f>$G106*IF(ISNA(VLOOKUP($B106&amp;"; "&amp;$H$103&amp;" "&amp;J$104,'FE Déplacements'!$G:$U,13,FALSE)),0,VLOOKUP($B106&amp;"; "&amp;$H$103&amp;" "&amp;J$104,'FE Déplacements'!$G:$U,13,FALSE))
+$K106*IF(ISNA(VLOOKUP($B106&amp;"; "&amp;$L$103&amp;" "&amp;N$104,'FE Déplacements'!$G:$U,13,FALSE)),0,VLOOKUP($B106&amp;"; "&amp;$L$103&amp;" "&amp;N$104,'FE Déplacements'!$G:$U,13,FALSE))</f>
        <v>0</v>
      </c>
      <c r="AO106" s="565">
        <f>$G106*IF(ISNA(VLOOKUP($B106&amp;"; "&amp;$H$103&amp;" "&amp;H$104,'FE Déplacements'!$G:$U,13,FALSE)),0,VLOOKUP($B106&amp;"; "&amp;$H$103&amp;" "&amp;H$104,'FE Déplacements'!$G:$U,13,FALSE))
+$K106*IF(ISNA(VLOOKUP($B106&amp;"; "&amp;$L$103&amp;" "&amp;L$104,'FE Déplacements'!$G:$U,13,FALSE)),0,VLOOKUP($B106&amp;"; "&amp;$L$103&amp;" "&amp;L$104,'FE Déplacements'!$G:$U,13,FALSE))</f>
        <v>0</v>
      </c>
      <c r="AP106" s="565">
        <v>0</v>
      </c>
      <c r="AQ106" s="565">
        <v>0</v>
      </c>
      <c r="AR106" s="565">
        <v>0</v>
      </c>
      <c r="AS106" s="1288">
        <f t="shared" si="71"/>
        <v>0</v>
      </c>
      <c r="AT106" s="566">
        <f t="shared" si="71"/>
        <v>0</v>
      </c>
      <c r="AU106" s="566">
        <f t="shared" ref="AU106:AU107" si="76">SUM(AI106,AL106,AO106,AR106)</f>
        <v>0</v>
      </c>
      <c r="AV106" s="564">
        <f>$G106*IF(ISNA(VLOOKUP($B106&amp;"; "&amp;$H$103&amp;" "&amp;I$104,'FE Déplacements'!$G:$U,15,FALSE)),0,VLOOKUP($B106&amp;"; "&amp;$H$103&amp;" "&amp;I$104,'FE Déplacements'!$G:$U,15,FALSE))
+$K106*IF(ISNA(VLOOKUP($B106&amp;"; "&amp;$L$103&amp;" "&amp;M$104,'FE Déplacements'!$G:$U,15,FALSE)),0,VLOOKUP($B106&amp;"; "&amp;$L$103&amp;" "&amp;M$104,'FE Déplacements'!$G:$U,15,FALSE))</f>
        <v>0</v>
      </c>
      <c r="AW106" s="565">
        <f>$G106*IF(ISNA(VLOOKUP($B106&amp;"; "&amp;$H$103&amp;" "&amp;J$104,'FE Déplacements'!$G:$U,15,FALSE)),0,VLOOKUP($B106&amp;"; "&amp;$H$103&amp;" "&amp;J$104,'FE Déplacements'!$G:$U,15,FALSE))
+$K106*IF(ISNA(VLOOKUP($B106&amp;"; "&amp;$L$103&amp;" "&amp;N$104,'FE Déplacements'!$G:$U,15,FALSE)),0,VLOOKUP($B106&amp;"; "&amp;$L$103&amp;" "&amp;N$104,'FE Déplacements'!$G:$U,15,FALSE))</f>
        <v>0</v>
      </c>
      <c r="AX106" s="568">
        <f>$G106*IF(ISNA(VLOOKUP($B106&amp;"; "&amp;$H$103&amp;" "&amp;H$104,'FE Déplacements'!$G:$U,15,FALSE)),0,VLOOKUP($B106&amp;"; "&amp;$H$103&amp;" "&amp;H$104,'FE Déplacements'!$G:$U,15,FALSE))
+$K106*IF(ISNA(VLOOKUP($B106&amp;"; "&amp;$L$103&amp;" "&amp;L$104,'FE Déplacements'!$G:$U,15,FALSE)),0,VLOOKUP($B106&amp;"; "&amp;$L$103&amp;" "&amp;L$104,'FE Déplacements'!$G:$U,15,FALSE))</f>
        <v>0</v>
      </c>
      <c r="BH106" s="2268">
        <f>IF($Y106&lt;&gt;"votre valeur :",IF(ISNA(VLOOKUP($Y106,Utilitaires!$N$566:$O$571,2,FALSE)),,VLOOKUP($Y106,Utilitaires!$N$566:$O$571,2,FALSE)),$Z106)</f>
        <v>0</v>
      </c>
      <c r="BI106" s="2413">
        <f>IF(ISNA(SQRT(SUMSQ(VLOOKUP($B106&amp;"; "&amp;$H$103&amp;" "&amp;H$104,'FE Déplacements'!$G:$U,7,FALSE),$BH106))),0,SQRT(SUMSQ(VLOOKUP($B106&amp;"; "&amp;$H$103&amp;" "&amp;H$104,'FE Déplacements'!$G:$U,7,FALSE),$BH106)))</f>
        <v>0.6</v>
      </c>
      <c r="BJ106" s="2413">
        <f>IF(ISNA(SQRT(SUMSQ(VLOOKUP($B106&amp;"; "&amp;$H$103&amp;" "&amp;I$104,'FE Déplacements'!$G:$U,7,FALSE),$BH106))),0,SQRT(SUMSQ(VLOOKUP($B106&amp;"; "&amp;$H$103&amp;" "&amp;I$104,'FE Déplacements'!$G:$U,7,FALSE),$BH106)))</f>
        <v>0.6</v>
      </c>
      <c r="BK106" s="2413">
        <f>IF(ISNA(SQRT(SUMSQ(VLOOKUP($B106&amp;"; "&amp;$H$103&amp;" "&amp;J$104,'FE Déplacements'!$G:$U,7,FALSE),$BH106))),0,SQRT(SUMSQ(VLOOKUP($B106&amp;"; "&amp;$H$103&amp;" "&amp;J$104,'FE Déplacements'!$G:$U,7,FALSE),$BH106)))</f>
        <v>0.6</v>
      </c>
      <c r="BL106" s="1130">
        <f>IF(ISNA(SQRT(SUMSQ(VLOOKUP($B106&amp;"; "&amp;$L$103&amp;" "&amp;L$104,'FE Déplacements'!$G:$U,7,FALSE),$BH106))),0,SQRT(SUMSQ(VLOOKUP($B106&amp;"; "&amp;$L$103&amp;" "&amp;L$104,'FE Déplacements'!$G:$U,7,FALSE),$BH106)))</f>
        <v>0</v>
      </c>
      <c r="BM106" s="2413">
        <f>IF(ISNA(SQRT(SUMSQ(VLOOKUP($B106&amp;"; "&amp;$L$103&amp;" "&amp;M$104,'FE Déplacements'!$G:$U,7,FALSE),$BH106))),0,SQRT(SUMSQ(VLOOKUP($B106&amp;"; "&amp;$L$103&amp;" "&amp;M$104,'FE Déplacements'!$G:$U,7,FALSE),$BH106)))</f>
        <v>0</v>
      </c>
      <c r="BN106" s="1130">
        <f>IF(ISNA(SQRT(SUMSQ(VLOOKUP($B106&amp;"; "&amp;$L$103&amp;" "&amp;N$104,'FE Déplacements'!$G:$U,7,FALSE),$BH106))),0,SQRT(SUMSQ(VLOOKUP($B106&amp;"; "&amp;$L$103&amp;" "&amp;N$104,'FE Déplacements'!$G:$U,7,FALSE),$BH106)))</f>
        <v>0</v>
      </c>
    </row>
    <row r="107" spans="2:66" outlineLevel="1">
      <c r="B107" s="405" t="s">
        <v>4058</v>
      </c>
      <c r="C107" s="406"/>
      <c r="D107" s="212">
        <f t="shared" si="72"/>
        <v>0</v>
      </c>
      <c r="E107" s="212"/>
      <c r="F107" s="347"/>
      <c r="G107" s="347"/>
      <c r="H107" s="1266">
        <f>VLOOKUP($B107&amp;"; "&amp;$H$103&amp;" "&amp;H$104,'FE Déplacements'!$G:$U,9,FALSE)</f>
        <v>6.3000000000000003E-4</v>
      </c>
      <c r="I107" s="1266">
        <f>VLOOKUP($B107&amp;"; "&amp;$H$103&amp;" "&amp;I$104,'FE Déplacements'!$G:$U,9,FALSE)</f>
        <v>5.2900000000000004E-3</v>
      </c>
      <c r="J107" s="1266">
        <f>VLOOKUP($B107&amp;"; "&amp;$H$103&amp;" "&amp;J$104,'FE Déplacements'!$G:$U,9,FALSE)</f>
        <v>0</v>
      </c>
      <c r="K107" s="347"/>
      <c r="L107" s="410">
        <f>IF(ISNA(VLOOKUP($B107&amp;"; "&amp;$L$103&amp;" "&amp;L$104,'FE Déplacements'!$G:$U,9,FALSE)),0,VLOOKUP($B107&amp;"; "&amp;$L$103&amp;" "&amp;L$104,'FE Déplacements'!$G:$U,9,FALSE))</f>
        <v>0</v>
      </c>
      <c r="M107" s="410">
        <f>IF(ISNA(VLOOKUP($B107&amp;"; "&amp;$L$103&amp;" "&amp;M$104,'FE Déplacements'!$G:$U,9,FALSE)),0,VLOOKUP($B107&amp;"; "&amp;$L$103&amp;" "&amp;M$104,'FE Déplacements'!$G:$U,9,FALSE))</f>
        <v>0</v>
      </c>
      <c r="N107" s="410">
        <f>IF(ISNA(VLOOKUP($B107&amp;"; "&amp;$L$103&amp;" "&amp;N$104,'FE Déplacements'!$G:$U,9,FALSE)),0,VLOOKUP($B107&amp;"; "&amp;$L$103&amp;" "&amp;N$104,'FE Déplacements'!$G:$U,9,FALSE))</f>
        <v>0</v>
      </c>
      <c r="O107" s="356">
        <f t="shared" si="73"/>
        <v>0</v>
      </c>
      <c r="P107" s="151">
        <f t="shared" si="74"/>
        <v>0</v>
      </c>
      <c r="Q107" s="151">
        <f t="shared" si="75"/>
        <v>0</v>
      </c>
      <c r="R107" s="2430"/>
      <c r="X107" s="1092">
        <f>IF(AD107=0,AD107,AD107/D107)</f>
        <v>0</v>
      </c>
      <c r="Y107" s="1094"/>
      <c r="Z107" s="820"/>
      <c r="AA107" s="164">
        <f>SQRT(SUMSQ(IF(ISNA(G107*H107*BJ107),0,G107*H107*BJ107),IF(ISNA(K107*L107*BM107),0,K107*L107*BM107)))</f>
        <v>0</v>
      </c>
      <c r="AB107" s="164">
        <f>SQRT(SUMSQ(IF(ISNA(G107*J107*BK107),0,G107*J107*BK107),IF(ISNA(K107*N107*BN107),0,K107*N107*BN107)))</f>
        <v>0</v>
      </c>
      <c r="AC107" s="164">
        <f>SQRT(SUMSQ(IF(ISNA(G107*H107*BI107),0,G107*H107*BI107),IF(ISNA(K107*L107*BL107),0,K107*L107*BL107)))</f>
        <v>0</v>
      </c>
      <c r="AD107" s="152">
        <f>SQRT(SUMSQ(AA107,AC107))</f>
        <v>0</v>
      </c>
      <c r="AE107" s="1458"/>
      <c r="AG107" s="564">
        <f>$G107*IF(ISNA(VLOOKUP($B107&amp;"; "&amp;$H$103&amp;" "&amp;I$104,'FE Déplacements'!$G:$U,10,FALSE)),0,VLOOKUP($B107&amp;"; "&amp;$H$103&amp;" "&amp;I$104,'FE Déplacements'!$G:$U,10,FALSE))
+$K107*IF(ISNA(VLOOKUP($B107&amp;"; "&amp;$L$103&amp;" "&amp;M$104,'FE Déplacements'!$G:$U,10,FALSE)),0,VLOOKUP($B107&amp;"; "&amp;$L$103&amp;" "&amp;M$104,'FE Déplacements'!$G:$U,10,FALSE))</f>
        <v>0</v>
      </c>
      <c r="AH107" s="565">
        <f>$G107*IF(ISNA(VLOOKUP($B107&amp;"; "&amp;$H$103&amp;" "&amp;J$104,'FE Déplacements'!$G:$U,10,FALSE)),0,VLOOKUP($B107&amp;"; "&amp;$H$103&amp;" "&amp;J$104,'FE Déplacements'!$G:$U,10,FALSE))
+$K107*IF(ISNA(VLOOKUP($B107&amp;"; "&amp;$L$103&amp;" "&amp;N$104,'FE Déplacements'!$G:$U,10,FALSE)),0,VLOOKUP($B107&amp;"; "&amp;$L$103&amp;" "&amp;N$104,'FE Déplacements'!$G:$U,10,FALSE))</f>
        <v>0</v>
      </c>
      <c r="AI107" s="565">
        <f>$G107*IF(ISNA(VLOOKUP($B107&amp;"; "&amp;$H$103&amp;" "&amp;H$104,'FE Déplacements'!$G:$U,10,FALSE)),0,VLOOKUP($B107&amp;"; "&amp;$H$103&amp;" "&amp;H$104,'FE Déplacements'!$G:$U,10,FALSE))
+$K107*IF(ISNA(VLOOKUP($B107&amp;"; "&amp;$L$103&amp;" "&amp;L$104,'FE Déplacements'!$G:$U,10,FALSE)),0,VLOOKUP($B107&amp;"; "&amp;$L$103&amp;" "&amp;L$104,'FE Déplacements'!$G:$U,10,FALSE))</f>
        <v>0</v>
      </c>
      <c r="AJ107" s="565">
        <f>$G107*IF(ISNA((VLOOKUP($B107&amp;"; "&amp;$H$103&amp;" "&amp;I$104,'FE Déplacements'!$G:$U,12,FALSE)+VLOOKUP($B107&amp;"; "&amp;$H$103&amp;" "&amp;I$104,'FE Déplacements'!$G:$U,11,FALSE))),0,(VLOOKUP($B107&amp;"; "&amp;$H$103&amp;" "&amp;I$104,'FE Déplacements'!$G:$U,12,FALSE)+VLOOKUP($B107&amp;"; "&amp;$H$103&amp;" "&amp;I$104,'FE Déplacements'!$G:$U,11,FALSE)))
+$K107*IF(ISNA((VLOOKUP($B107&amp;"; "&amp;$L$103&amp;" "&amp;M$104,'FE Déplacements'!$G:$U,12,FALSE)+VLOOKUP($B107&amp;"; "&amp;$L$103&amp;" "&amp;M$104,'FE Déplacements'!$G:$U,11,FALSE))),0,(VLOOKUP($B107&amp;"; "&amp;$L$103&amp;" "&amp;M$104,'FE Déplacements'!$G:$U,12,FALSE)+VLOOKUP($B107&amp;"; "&amp;$L$103&amp;" "&amp;M$104,'FE Déplacements'!$G:$U,11,FALSE)))</f>
        <v>0</v>
      </c>
      <c r="AK107" s="565">
        <f>$G107*IF(ISNA((VLOOKUP($B107&amp;"; "&amp;$H$103&amp;" "&amp;J$104,'FE Déplacements'!$G:$U,12,FALSE)+VLOOKUP($B107&amp;"; "&amp;$H$103&amp;" "&amp;J$104,'FE Déplacements'!$G:$U,11,FALSE))),0,(VLOOKUP($B107&amp;"; "&amp;$H$103&amp;" "&amp;J$104,'FE Déplacements'!$G:$U,12,FALSE)+VLOOKUP($B107&amp;"; "&amp;$H$103&amp;" "&amp;J$104,'FE Déplacements'!$G:$U,11,FALSE)))
+$K107*IF(ISNA((VLOOKUP($B107&amp;"; "&amp;$L$103&amp;" "&amp;N$104,'FE Déplacements'!$G:$U,12,FALSE)+VLOOKUP($B107&amp;"; "&amp;$L$103&amp;" "&amp;N$104,'FE Déplacements'!$G:$U,11,FALSE))),0,(VLOOKUP($B107&amp;"; "&amp;$L$103&amp;" "&amp;N$104,'FE Déplacements'!$G:$U,12,FALSE)+VLOOKUP($B107&amp;"; "&amp;$L$103&amp;" "&amp;N$104,'FE Déplacements'!$G:$U,11,FALSE)))</f>
        <v>0</v>
      </c>
      <c r="AL107" s="565">
        <f>$G107*IF(ISNA((VLOOKUP($B107&amp;"; "&amp;$H$103&amp;" "&amp;H$104,'FE Déplacements'!$G:$U,12,FALSE)+VLOOKUP($B107&amp;"; "&amp;$H$103&amp;" "&amp;H$104,'FE Déplacements'!$G:$U,11,FALSE))),0,(VLOOKUP($B107&amp;"; "&amp;$H$103&amp;" "&amp;H$104,'FE Déplacements'!$G:$U,12,FALSE)+VLOOKUP($B107&amp;"; "&amp;$H$103&amp;" "&amp;H$104,'FE Déplacements'!$G:$U,11,FALSE)))
+$K107*IF(ISNA((VLOOKUP($B107&amp;"; "&amp;$L$103&amp;" "&amp;L$104,'FE Déplacements'!$G:$U,12,FALSE)+VLOOKUP($B107&amp;"; "&amp;$L$103&amp;" "&amp;L$104,'FE Déplacements'!$G:$U,11,FALSE))),0,(VLOOKUP($B107&amp;"; "&amp;$L$103&amp;" "&amp;L$104,'FE Déplacements'!$G:$U,12,FALSE)+VLOOKUP($B107&amp;"; "&amp;$L$103&amp;" "&amp;L$104,'FE Déplacements'!$G:$U,11,FALSE)))</f>
        <v>0</v>
      </c>
      <c r="AM107" s="565">
        <f>$G107*IF(ISNA(VLOOKUP($B107&amp;"; "&amp;$H$103&amp;" "&amp;I$104,'FE Déplacements'!$G:$U,13,FALSE)),0,VLOOKUP($B107&amp;"; "&amp;$H$103&amp;" "&amp;I$104,'FE Déplacements'!$G:$U,13,FALSE))
+$K107*IF(ISNA(VLOOKUP($B107&amp;"; "&amp;$L$103&amp;" "&amp;M$104,'FE Déplacements'!$G:$U,13,FALSE)),0,VLOOKUP($B107&amp;"; "&amp;$L$103&amp;" "&amp;M$104,'FE Déplacements'!$G:$U,13,FALSE))</f>
        <v>0</v>
      </c>
      <c r="AN107" s="565">
        <f>$G107*IF(ISNA(VLOOKUP($B107&amp;"; "&amp;$H$103&amp;" "&amp;J$104,'FE Déplacements'!$G:$U,13,FALSE)),0,VLOOKUP($B107&amp;"; "&amp;$H$103&amp;" "&amp;J$104,'FE Déplacements'!$G:$U,13,FALSE))
+$K107*IF(ISNA(VLOOKUP($B107&amp;"; "&amp;$L$103&amp;" "&amp;N$104,'FE Déplacements'!$G:$U,13,FALSE)),0,VLOOKUP($B107&amp;"; "&amp;$L$103&amp;" "&amp;N$104,'FE Déplacements'!$G:$U,13,FALSE))</f>
        <v>0</v>
      </c>
      <c r="AO107" s="565">
        <f>$G107*IF(ISNA(VLOOKUP($B107&amp;"; "&amp;$H$103&amp;" "&amp;H$104,'FE Déplacements'!$G:$U,13,FALSE)),0,VLOOKUP($B107&amp;"; "&amp;$H$103&amp;" "&amp;H$104,'FE Déplacements'!$G:$U,13,FALSE))
+$K107*IF(ISNA(VLOOKUP($B107&amp;"; "&amp;$L$103&amp;" "&amp;L$104,'FE Déplacements'!$G:$U,13,FALSE)),0,VLOOKUP($B107&amp;"; "&amp;$L$103&amp;" "&amp;L$104,'FE Déplacements'!$G:$U,13,FALSE))</f>
        <v>0</v>
      </c>
      <c r="AP107" s="565">
        <v>0</v>
      </c>
      <c r="AQ107" s="565">
        <v>0</v>
      </c>
      <c r="AR107" s="565">
        <v>0</v>
      </c>
      <c r="AS107" s="1288">
        <f t="shared" si="71"/>
        <v>0</v>
      </c>
      <c r="AT107" s="566">
        <f t="shared" si="71"/>
        <v>0</v>
      </c>
      <c r="AU107" s="566">
        <f t="shared" si="76"/>
        <v>0</v>
      </c>
      <c r="AV107" s="564">
        <f>$G107*IF(ISNA(VLOOKUP($B107&amp;"; "&amp;$H$103&amp;" "&amp;I$104,'FE Déplacements'!$G:$U,15,FALSE)),0,VLOOKUP($B107&amp;"; "&amp;$H$103&amp;" "&amp;I$104,'FE Déplacements'!$G:$U,15,FALSE))
+$K107*IF(ISNA(VLOOKUP($B107&amp;"; "&amp;$L$103&amp;" "&amp;M$104,'FE Déplacements'!$G:$U,15,FALSE)),0,VLOOKUP($B107&amp;"; "&amp;$L$103&amp;" "&amp;M$104,'FE Déplacements'!$G:$U,15,FALSE))</f>
        <v>0</v>
      </c>
      <c r="AW107" s="565">
        <f>$G107*IF(ISNA(VLOOKUP($B107&amp;"; "&amp;$H$103&amp;" "&amp;J$104,'FE Déplacements'!$G:$U,15,FALSE)),0,VLOOKUP($B107&amp;"; "&amp;$H$103&amp;" "&amp;J$104,'FE Déplacements'!$G:$U,15,FALSE))
+$K107*IF(ISNA(VLOOKUP($B107&amp;"; "&amp;$L$103&amp;" "&amp;N$104,'FE Déplacements'!$G:$U,15,FALSE)),0,VLOOKUP($B107&amp;"; "&amp;$L$103&amp;" "&amp;N$104,'FE Déplacements'!$G:$U,15,FALSE))</f>
        <v>0</v>
      </c>
      <c r="AX107" s="568">
        <f>$G107*IF(ISNA(VLOOKUP($B107&amp;"; "&amp;$H$103&amp;" "&amp;H$104,'FE Déplacements'!$G:$U,15,FALSE)),0,VLOOKUP($B107&amp;"; "&amp;$H$103&amp;" "&amp;H$104,'FE Déplacements'!$G:$U,15,FALSE))
+$K107*IF(ISNA(VLOOKUP($B107&amp;"; "&amp;$L$103&amp;" "&amp;L$104,'FE Déplacements'!$G:$U,15,FALSE)),0,VLOOKUP($B107&amp;"; "&amp;$L$103&amp;" "&amp;L$104,'FE Déplacements'!$G:$U,15,FALSE))</f>
        <v>0</v>
      </c>
      <c r="BH107" s="2268">
        <f>IF($Y107&lt;&gt;"votre valeur :",IF(ISNA(VLOOKUP($Y107,Utilitaires!$N$566:$O$571,2,FALSE)),,VLOOKUP($Y107,Utilitaires!$N$566:$O$571,2,FALSE)),$Z107)</f>
        <v>0</v>
      </c>
      <c r="BI107" s="2413">
        <f>IF(ISNA(SQRT(SUMSQ(VLOOKUP($B107&amp;"; "&amp;$H$103&amp;" "&amp;H$104,'FE Déplacements'!$G:$U,7,FALSE),$BH107))),0,SQRT(SUMSQ(VLOOKUP($B107&amp;"; "&amp;$H$103&amp;" "&amp;H$104,'FE Déplacements'!$G:$U,7,FALSE),$BH107)))</f>
        <v>0.2</v>
      </c>
      <c r="BJ107" s="2413">
        <f>IF(ISNA(SQRT(SUMSQ(VLOOKUP($B107&amp;"; "&amp;$H$103&amp;" "&amp;I$104,'FE Déplacements'!$G:$U,7,FALSE),$BH107))),0,SQRT(SUMSQ(VLOOKUP($B107&amp;"; "&amp;$H$103&amp;" "&amp;I$104,'FE Déplacements'!$G:$U,7,FALSE),$BH107)))</f>
        <v>0.2</v>
      </c>
      <c r="BK107" s="2413">
        <f>IF(ISNA(SQRT(SUMSQ(VLOOKUP($B107&amp;"; "&amp;$H$103&amp;" "&amp;J$104,'FE Déplacements'!$G:$U,7,FALSE),$BH107))),0,SQRT(SUMSQ(VLOOKUP($B107&amp;"; "&amp;$H$103&amp;" "&amp;J$104,'FE Déplacements'!$G:$U,7,FALSE),$BH107)))</f>
        <v>0.2</v>
      </c>
      <c r="BL107" s="1130">
        <f>IF(ISNA(SQRT(SUMSQ(VLOOKUP($B107&amp;"; "&amp;$L$103&amp;" "&amp;L$104,'FE Déplacements'!$G:$U,7,FALSE),$BH107))),0,SQRT(SUMSQ(VLOOKUP($B107&amp;"; "&amp;$L$103&amp;" "&amp;L$104,'FE Déplacements'!$G:$U,7,FALSE),$BH107)))</f>
        <v>0</v>
      </c>
      <c r="BM107" s="2413">
        <f>IF(ISNA(SQRT(SUMSQ(VLOOKUP($B107&amp;"; "&amp;$L$103&amp;" "&amp;M$104,'FE Déplacements'!$G:$U,7,FALSE),$BH107))),0,SQRT(SUMSQ(VLOOKUP($B107&amp;"; "&amp;$L$103&amp;" "&amp;M$104,'FE Déplacements'!$G:$U,7,FALSE),$BH107)))</f>
        <v>0</v>
      </c>
      <c r="BN107" s="1130">
        <f>IF(ISNA(SQRT(SUMSQ(VLOOKUP($B107&amp;"; "&amp;$L$103&amp;" "&amp;N$104,'FE Déplacements'!$G:$U,7,FALSE),$BH107))),0,SQRT(SUMSQ(VLOOKUP($B107&amp;"; "&amp;$L$103&amp;" "&amp;N$104,'FE Déplacements'!$G:$U,7,FALSE),$BH107)))</f>
        <v>0</v>
      </c>
    </row>
    <row r="108" spans="2:66" ht="12.75" customHeight="1" outlineLevel="1">
      <c r="B108" s="154"/>
      <c r="C108" s="155"/>
      <c r="D108" s="221"/>
      <c r="E108" s="221"/>
      <c r="F108" s="155"/>
      <c r="G108" s="155"/>
      <c r="H108" s="155"/>
      <c r="I108" s="155"/>
      <c r="J108" s="155"/>
      <c r="K108" s="213"/>
      <c r="L108" s="144"/>
      <c r="M108" s="144"/>
      <c r="N108" s="213"/>
      <c r="O108" s="144"/>
      <c r="P108" s="144"/>
      <c r="Q108" s="144"/>
      <c r="R108" s="1761"/>
      <c r="X108" s="154"/>
      <c r="Y108" s="155"/>
      <c r="Z108" s="155"/>
      <c r="AA108" s="155"/>
      <c r="AB108" s="155"/>
      <c r="AC108" s="155"/>
      <c r="AD108" s="357"/>
      <c r="AE108" s="257"/>
      <c r="AG108" s="564"/>
      <c r="AH108" s="565"/>
      <c r="AI108" s="565"/>
      <c r="AJ108" s="565"/>
      <c r="AK108" s="565"/>
      <c r="AL108" s="565"/>
      <c r="AM108" s="565"/>
      <c r="AN108" s="565"/>
      <c r="AO108" s="565"/>
      <c r="AP108" s="565"/>
      <c r="AQ108" s="565"/>
      <c r="AR108" s="565"/>
      <c r="AS108" s="1288"/>
      <c r="AT108" s="566"/>
      <c r="AU108" s="566"/>
      <c r="AV108" s="564"/>
      <c r="AW108" s="565"/>
      <c r="AX108" s="568"/>
      <c r="BH108" s="2269"/>
      <c r="BI108" s="2279"/>
      <c r="BJ108" s="1075"/>
      <c r="BK108" s="1131"/>
      <c r="BL108" s="1153"/>
      <c r="BM108" s="1131"/>
      <c r="BN108" s="1153"/>
    </row>
    <row r="109" spans="2:66" outlineLevel="1">
      <c r="B109" s="1264" t="s">
        <v>348</v>
      </c>
      <c r="C109" s="197"/>
      <c r="D109" s="214">
        <f>SUM(D105:D108)</f>
        <v>0</v>
      </c>
      <c r="E109" s="214"/>
      <c r="F109" s="198"/>
      <c r="G109" s="197"/>
      <c r="H109" s="197"/>
      <c r="I109" s="197"/>
      <c r="J109" s="197"/>
      <c r="K109" s="214"/>
      <c r="L109" s="197"/>
      <c r="M109" s="197"/>
      <c r="N109" s="202"/>
      <c r="O109" s="202">
        <f>SUM(O105:O108)</f>
        <v>0</v>
      </c>
      <c r="P109" s="202">
        <f>SUM(P105:P108)</f>
        <v>0</v>
      </c>
      <c r="Q109" s="202">
        <f>SUM(Q105:Q108)</f>
        <v>0</v>
      </c>
      <c r="R109" s="2430"/>
      <c r="X109" s="1204">
        <f>IF(AD109=0,AD109,AD109/D109)</f>
        <v>0</v>
      </c>
      <c r="Y109" s="199"/>
      <c r="Z109" s="203"/>
      <c r="AA109" s="203">
        <f>SQRT(SUMSQ(AA104:AA108))</f>
        <v>0</v>
      </c>
      <c r="AB109" s="203">
        <f>SQRT(SUMSQ(AB104:AB108))</f>
        <v>0</v>
      </c>
      <c r="AC109" s="203">
        <f>SUM(AC105:AC108)</f>
        <v>0</v>
      </c>
      <c r="AD109" s="200">
        <f>SQRT(SUMSQ(AD105:AD108))</f>
        <v>0</v>
      </c>
      <c r="AE109" s="1458"/>
      <c r="AG109" s="1082">
        <f t="shared" ref="AG109:AX109" si="77">SUM(AG105:AG108)</f>
        <v>0</v>
      </c>
      <c r="AH109" s="572">
        <f t="shared" si="77"/>
        <v>0</v>
      </c>
      <c r="AI109" s="572">
        <f t="shared" si="77"/>
        <v>0</v>
      </c>
      <c r="AJ109" s="572">
        <f t="shared" si="77"/>
        <v>0</v>
      </c>
      <c r="AK109" s="572">
        <f t="shared" si="77"/>
        <v>0</v>
      </c>
      <c r="AL109" s="572">
        <f t="shared" si="77"/>
        <v>0</v>
      </c>
      <c r="AM109" s="572">
        <f t="shared" si="77"/>
        <v>0</v>
      </c>
      <c r="AN109" s="572">
        <f t="shared" si="77"/>
        <v>0</v>
      </c>
      <c r="AO109" s="572">
        <f t="shared" si="77"/>
        <v>0</v>
      </c>
      <c r="AP109" s="572">
        <f t="shared" si="77"/>
        <v>0</v>
      </c>
      <c r="AQ109" s="572">
        <f t="shared" si="77"/>
        <v>0</v>
      </c>
      <c r="AR109" s="572">
        <f t="shared" si="77"/>
        <v>0</v>
      </c>
      <c r="AS109" s="1290">
        <f t="shared" si="77"/>
        <v>0</v>
      </c>
      <c r="AT109" s="573">
        <f t="shared" si="77"/>
        <v>0</v>
      </c>
      <c r="AU109" s="573">
        <f t="shared" si="77"/>
        <v>0</v>
      </c>
      <c r="AV109" s="1082">
        <f t="shared" si="77"/>
        <v>0</v>
      </c>
      <c r="AW109" s="572">
        <f t="shared" si="77"/>
        <v>0</v>
      </c>
      <c r="AX109" s="575">
        <f t="shared" si="77"/>
        <v>0</v>
      </c>
    </row>
    <row r="110" spans="2:66" outlineLevel="1"/>
    <row r="111" spans="2:66" ht="15">
      <c r="AZ111" s="130"/>
      <c r="BA111" s="130"/>
      <c r="BB111" s="130"/>
      <c r="BC111" s="130"/>
      <c r="BD111" s="130"/>
      <c r="BE111" s="130"/>
      <c r="BF111" s="130"/>
      <c r="BG111" s="130"/>
      <c r="BH111" s="130"/>
    </row>
    <row r="112" spans="2:66" ht="15.6">
      <c r="B112" s="2652" t="s">
        <v>2494</v>
      </c>
      <c r="C112" s="2653"/>
      <c r="D112" s="2653"/>
      <c r="E112" s="2653"/>
      <c r="F112" s="2653"/>
      <c r="G112" s="2653"/>
      <c r="H112" s="2653"/>
      <c r="I112" s="2653"/>
      <c r="J112" s="2653"/>
      <c r="K112" s="2653"/>
      <c r="L112" s="2653"/>
      <c r="M112" s="2653"/>
      <c r="N112" s="2653"/>
      <c r="O112" s="2654"/>
    </row>
    <row r="113" spans="1:68" outlineLevel="1"/>
    <row r="114" spans="1:68" s="130" customFormat="1" ht="15.75" customHeight="1" outlineLevel="1">
      <c r="A114" s="114"/>
      <c r="B114" s="2652" t="s">
        <v>1474</v>
      </c>
      <c r="C114" s="2653"/>
      <c r="D114" s="2653"/>
      <c r="E114" s="2653"/>
      <c r="F114" s="2653"/>
      <c r="G114" s="2653"/>
      <c r="H114" s="2653"/>
      <c r="I114" s="2653"/>
      <c r="J114" s="2653"/>
      <c r="K114" s="2653"/>
      <c r="L114" s="2653"/>
      <c r="M114" s="2653"/>
      <c r="N114" s="2653"/>
      <c r="O114" s="2654"/>
      <c r="AE114" s="1238"/>
      <c r="AF114" s="1238"/>
      <c r="AG114" s="441"/>
      <c r="AH114" s="441"/>
      <c r="AI114" s="441"/>
      <c r="AJ114" s="441"/>
      <c r="AK114" s="441"/>
      <c r="AL114" s="441"/>
      <c r="AM114" s="441"/>
      <c r="AN114" s="441"/>
      <c r="AO114" s="441"/>
      <c r="AP114" s="441"/>
      <c r="AQ114" s="441"/>
      <c r="AR114" s="441"/>
      <c r="AS114" s="593"/>
      <c r="AT114" s="593"/>
      <c r="AU114" s="593"/>
      <c r="AV114" s="593"/>
      <c r="AW114" s="593"/>
      <c r="AX114" s="593"/>
      <c r="AZ114" s="116"/>
      <c r="BA114" s="116"/>
      <c r="BB114" s="116"/>
      <c r="BC114" s="116"/>
      <c r="BD114" s="116"/>
      <c r="BE114" s="116"/>
      <c r="BF114" s="116"/>
      <c r="BG114" s="116"/>
      <c r="BH114" s="116"/>
    </row>
    <row r="115" spans="1:68" outlineLevel="2"/>
    <row r="116" spans="1:68" s="116" customFormat="1" ht="12.75" customHeight="1" outlineLevel="2">
      <c r="A116" s="114"/>
      <c r="B116" s="139" t="s">
        <v>593</v>
      </c>
      <c r="C116" s="140"/>
      <c r="D116" s="377"/>
      <c r="E116" s="1648"/>
      <c r="F116" s="140"/>
      <c r="G116" s="141"/>
      <c r="H116" s="141"/>
      <c r="I116" s="141"/>
      <c r="J116" s="141"/>
      <c r="K116" s="141"/>
      <c r="L116" s="141"/>
      <c r="M116" s="141"/>
      <c r="N116" s="141"/>
      <c r="O116" s="141"/>
      <c r="P116" s="141"/>
      <c r="Q116" s="141"/>
      <c r="R116" s="141"/>
      <c r="S116" s="141"/>
      <c r="T116" s="142"/>
      <c r="U116" s="142"/>
      <c r="X116" s="2636" t="s">
        <v>366</v>
      </c>
      <c r="Y116" s="2637"/>
      <c r="Z116" s="2637"/>
      <c r="AA116" s="2637"/>
      <c r="AB116" s="2637"/>
      <c r="AC116" s="2638"/>
      <c r="AG116" s="2639" t="s">
        <v>441</v>
      </c>
      <c r="AH116" s="2640"/>
      <c r="AI116" s="2640"/>
      <c r="AJ116" s="2640"/>
      <c r="AK116" s="2640"/>
      <c r="AL116" s="2640"/>
      <c r="AM116" s="2640"/>
      <c r="AN116" s="2640"/>
      <c r="AO116" s="2640"/>
      <c r="AP116" s="2640"/>
      <c r="AQ116" s="2640"/>
      <c r="AR116" s="2640"/>
      <c r="AS116" s="2640"/>
      <c r="AT116" s="2640"/>
      <c r="AU116" s="2640"/>
      <c r="AV116" s="2640"/>
      <c r="AW116" s="2640"/>
      <c r="AX116" s="2641"/>
      <c r="AZ116" s="109"/>
      <c r="BA116" s="109"/>
      <c r="BB116" s="109"/>
      <c r="BC116" s="109"/>
      <c r="BD116" s="109"/>
      <c r="BE116" s="109"/>
      <c r="BF116" s="109"/>
      <c r="BG116" s="109"/>
      <c r="BH116" s="109"/>
    </row>
    <row r="117" spans="1:68" ht="12.75" customHeight="1" outlineLevel="2">
      <c r="B117" s="143"/>
      <c r="C117" s="144"/>
      <c r="D117" s="537" t="s">
        <v>308</v>
      </c>
      <c r="E117" s="1663"/>
      <c r="F117" s="144"/>
      <c r="G117" s="144"/>
      <c r="H117" s="144"/>
      <c r="I117" s="144"/>
      <c r="J117" s="144"/>
      <c r="K117" s="144"/>
      <c r="L117" s="144"/>
      <c r="M117" s="144"/>
      <c r="N117" s="144"/>
      <c r="O117" s="144"/>
      <c r="P117" s="144"/>
      <c r="Q117" s="144"/>
      <c r="R117" s="144"/>
      <c r="S117" s="144"/>
      <c r="T117" s="145"/>
      <c r="U117" s="1259" t="s">
        <v>275</v>
      </c>
      <c r="V117" s="116"/>
      <c r="W117" s="116"/>
      <c r="X117" s="159"/>
      <c r="Y117" s="1221"/>
      <c r="Z117" s="1221"/>
      <c r="AA117" s="1221"/>
      <c r="AB117" s="1221"/>
      <c r="AC117" s="1223"/>
      <c r="AD117" s="1660" t="s">
        <v>275</v>
      </c>
      <c r="AF117" s="127"/>
      <c r="AG117" s="2642" t="s">
        <v>444</v>
      </c>
      <c r="AH117" s="2643"/>
      <c r="AI117" s="2643"/>
      <c r="AJ117" s="2643"/>
      <c r="AK117" s="2643"/>
      <c r="AL117" s="2643"/>
      <c r="AM117" s="2643"/>
      <c r="AN117" s="2643"/>
      <c r="AO117" s="2643"/>
      <c r="AP117" s="2643"/>
      <c r="AQ117" s="2643"/>
      <c r="AR117" s="2644"/>
      <c r="AS117" s="2642" t="s">
        <v>444</v>
      </c>
      <c r="AT117" s="2643"/>
      <c r="AU117" s="2644"/>
      <c r="AV117" s="1288"/>
      <c r="AW117" s="566"/>
      <c r="AX117" s="583"/>
      <c r="BH117" s="2616" t="s">
        <v>1648</v>
      </c>
      <c r="BI117" s="2617"/>
      <c r="BJ117" s="2617"/>
      <c r="BK117" s="2617"/>
      <c r="BL117" s="2617"/>
      <c r="BM117" s="2617"/>
      <c r="BN117" s="2617"/>
      <c r="BO117" s="2617"/>
      <c r="BP117" s="2618"/>
    </row>
    <row r="118" spans="1:68" s="109" customFormat="1" ht="12.75" customHeight="1" outlineLevel="2">
      <c r="B118" s="1219" t="s">
        <v>2248</v>
      </c>
      <c r="C118" s="1220"/>
      <c r="D118" s="1220" t="s">
        <v>409</v>
      </c>
      <c r="E118" s="1656"/>
      <c r="F118" s="147" t="s">
        <v>452</v>
      </c>
      <c r="G118" s="147" t="s">
        <v>343</v>
      </c>
      <c r="H118" s="2626" t="s">
        <v>1585</v>
      </c>
      <c r="I118" s="2627"/>
      <c r="J118" s="147" t="s">
        <v>343</v>
      </c>
      <c r="K118" s="2626" t="s">
        <v>1573</v>
      </c>
      <c r="L118" s="2627"/>
      <c r="M118" s="147" t="s">
        <v>343</v>
      </c>
      <c r="N118" s="2626" t="s">
        <v>1575</v>
      </c>
      <c r="O118" s="2627"/>
      <c r="P118" s="147" t="s">
        <v>343</v>
      </c>
      <c r="Q118" s="2626" t="s">
        <v>1574</v>
      </c>
      <c r="R118" s="2628"/>
      <c r="S118" s="537" t="s">
        <v>444</v>
      </c>
      <c r="T118" s="539" t="s">
        <v>444</v>
      </c>
      <c r="U118" s="1259" t="s">
        <v>276</v>
      </c>
      <c r="V118" s="114"/>
      <c r="W118" s="114"/>
      <c r="X118" s="1219" t="s">
        <v>316</v>
      </c>
      <c r="Y118" s="2629" t="s">
        <v>316</v>
      </c>
      <c r="Z118" s="2630"/>
      <c r="AA118" s="1656" t="s">
        <v>444</v>
      </c>
      <c r="AB118" s="1656" t="s">
        <v>444</v>
      </c>
      <c r="AC118" s="539" t="s">
        <v>444</v>
      </c>
      <c r="AD118" s="153" t="s">
        <v>276</v>
      </c>
      <c r="AE118" s="127"/>
      <c r="AF118" s="127"/>
      <c r="AG118" s="2631" t="s">
        <v>211</v>
      </c>
      <c r="AH118" s="2632"/>
      <c r="AI118" s="2632"/>
      <c r="AJ118" s="2632" t="s">
        <v>442</v>
      </c>
      <c r="AK118" s="2632"/>
      <c r="AL118" s="2632"/>
      <c r="AM118" s="2632" t="s">
        <v>267</v>
      </c>
      <c r="AN118" s="2632"/>
      <c r="AO118" s="2632"/>
      <c r="AP118" s="2632" t="s">
        <v>443</v>
      </c>
      <c r="AQ118" s="2632"/>
      <c r="AR118" s="2650"/>
      <c r="AS118" s="2848" t="s">
        <v>327</v>
      </c>
      <c r="AT118" s="2648"/>
      <c r="AU118" s="2649"/>
      <c r="AV118" s="2631" t="s">
        <v>636</v>
      </c>
      <c r="AW118" s="2632"/>
      <c r="AX118" s="568"/>
      <c r="BH118" s="2837" t="s">
        <v>1646</v>
      </c>
      <c r="BI118" s="2614" t="s">
        <v>1644</v>
      </c>
      <c r="BJ118" s="2645"/>
      <c r="BK118" s="2645"/>
      <c r="BL118" s="2615"/>
      <c r="BM118" s="2614" t="s">
        <v>1645</v>
      </c>
      <c r="BN118" s="2645"/>
      <c r="BO118" s="2645"/>
      <c r="BP118" s="2615"/>
    </row>
    <row r="119" spans="1:68" s="109" customFormat="1" ht="12.75" customHeight="1" outlineLevel="2">
      <c r="B119" s="1219"/>
      <c r="C119" s="1220"/>
      <c r="D119" s="1220" t="s">
        <v>444</v>
      </c>
      <c r="E119" s="1656"/>
      <c r="F119" s="1225" t="s">
        <v>445</v>
      </c>
      <c r="G119" s="153" t="s">
        <v>287</v>
      </c>
      <c r="H119" s="1226" t="s">
        <v>411</v>
      </c>
      <c r="I119" s="1226" t="s">
        <v>257</v>
      </c>
      <c r="J119" s="153" t="s">
        <v>790</v>
      </c>
      <c r="K119" s="1226" t="s">
        <v>411</v>
      </c>
      <c r="L119" s="1226" t="s">
        <v>257</v>
      </c>
      <c r="M119" s="153" t="s">
        <v>791</v>
      </c>
      <c r="N119" s="1226" t="s">
        <v>411</v>
      </c>
      <c r="O119" s="1226" t="s">
        <v>257</v>
      </c>
      <c r="P119" s="153" t="s">
        <v>213</v>
      </c>
      <c r="Q119" s="1226" t="s">
        <v>411</v>
      </c>
      <c r="R119" s="1226" t="s">
        <v>257</v>
      </c>
      <c r="S119" s="1222" t="s">
        <v>411</v>
      </c>
      <c r="T119" s="220" t="s">
        <v>257</v>
      </c>
      <c r="U119" s="1259" t="s">
        <v>444</v>
      </c>
      <c r="V119" s="114"/>
      <c r="W119" s="114"/>
      <c r="X119" s="1219" t="s">
        <v>1649</v>
      </c>
      <c r="Y119" s="2646" t="s">
        <v>1650</v>
      </c>
      <c r="Z119" s="2647"/>
      <c r="AA119" s="1662" t="s">
        <v>411</v>
      </c>
      <c r="AB119" s="1662" t="s">
        <v>257</v>
      </c>
      <c r="AC119" s="162" t="s">
        <v>327</v>
      </c>
      <c r="AD119" s="153" t="s">
        <v>444</v>
      </c>
      <c r="AE119" s="127"/>
      <c r="AF119" s="116"/>
      <c r="AG119" s="579" t="s">
        <v>411</v>
      </c>
      <c r="AH119" s="580" t="s">
        <v>257</v>
      </c>
      <c r="AI119" s="580"/>
      <c r="AJ119" s="580" t="s">
        <v>411</v>
      </c>
      <c r="AK119" s="580" t="s">
        <v>257</v>
      </c>
      <c r="AL119" s="580"/>
      <c r="AM119" s="580" t="s">
        <v>411</v>
      </c>
      <c r="AN119" s="580" t="s">
        <v>257</v>
      </c>
      <c r="AO119" s="580"/>
      <c r="AP119" s="580" t="s">
        <v>411</v>
      </c>
      <c r="AQ119" s="580" t="s">
        <v>257</v>
      </c>
      <c r="AR119" s="580"/>
      <c r="AS119" s="1289" t="s">
        <v>411</v>
      </c>
      <c r="AT119" s="581" t="s">
        <v>257</v>
      </c>
      <c r="AU119" s="581"/>
      <c r="AV119" s="579" t="s">
        <v>411</v>
      </c>
      <c r="AW119" s="580" t="s">
        <v>257</v>
      </c>
      <c r="AX119" s="583"/>
      <c r="BH119" s="2838"/>
      <c r="BI119" s="1062" t="s">
        <v>199</v>
      </c>
      <c r="BJ119" s="1063" t="s">
        <v>309</v>
      </c>
      <c r="BK119" s="1063" t="s">
        <v>272</v>
      </c>
      <c r="BL119" s="1064" t="s">
        <v>2254</v>
      </c>
      <c r="BM119" s="1062" t="s">
        <v>199</v>
      </c>
      <c r="BN119" s="1063" t="s">
        <v>309</v>
      </c>
      <c r="BO119" s="1063" t="s">
        <v>272</v>
      </c>
      <c r="BP119" s="1064" t="s">
        <v>2254</v>
      </c>
    </row>
    <row r="120" spans="1:68" outlineLevel="2">
      <c r="B120" s="143" t="s">
        <v>5129</v>
      </c>
      <c r="C120" s="144"/>
      <c r="D120" s="212">
        <f t="shared" ref="D120:D125" si="78">S120+T120</f>
        <v>38257.154999999999</v>
      </c>
      <c r="E120" s="212"/>
      <c r="F120" s="117"/>
      <c r="G120" s="117"/>
      <c r="H120" s="217">
        <f>IF(ISNA(VLOOKUP($B120&amp;"; "&amp;$H$118&amp;", "&amp;H$119,'FE Déplacements'!$G:$U,9,FALSE)),0,VLOOKUP($B120&amp;"; "&amp;$H$118&amp;", "&amp;H$119,'FE Déplacements'!$G:$U,9,FALSE))</f>
        <v>816</v>
      </c>
      <c r="I120" s="217">
        <f>IF(ISNA(VLOOKUP($B120&amp;"; "&amp;$H$118&amp;", "&amp;$I$119,'FE Déplacements'!$G:$U,9,FALSE)),0,VLOOKUP($B120&amp;"; "&amp;$H$118&amp;", "&amp;$I$119,'FE Déplacements'!$G:$U,9,FALSE))</f>
        <v>3337</v>
      </c>
      <c r="J120" s="117"/>
      <c r="K120" s="335">
        <f>IF(ISNA(VLOOKUP($B120&amp;"; "&amp;$K$118&amp;", "&amp;K$119,'FE Déplacements'!$G:$U,9,FALSE)),0,VLOOKUP($B120&amp;"; "&amp;$K$118&amp;", "&amp;K$119,'FE Déplacements'!$G:$U,9,FALSE))</f>
        <v>6.4600000000000005E-2</v>
      </c>
      <c r="L120" s="335">
        <f>IF(ISNA(VLOOKUP($B120&amp;"; "&amp;$K$118&amp;", "&amp;$L$119,'FE Déplacements'!$G:$U,9,FALSE)),0,VLOOKUP($B120&amp;"; "&amp;$K$118&amp;", "&amp;$L$119,'FE Déplacements'!$G:$U,9,FALSE))</f>
        <v>0.254</v>
      </c>
      <c r="M120" s="117"/>
      <c r="N120" s="335">
        <f>IF(ISNA(VLOOKUP($B120&amp;"; "&amp;$N$118&amp;", "&amp;$N$119,'FE Déplacements'!$G:$U,9,FALSE)),0,VLOOKUP($B120&amp;"; "&amp;$N$118&amp;", "&amp;$N$119,'FE Déplacements'!$G:$U,9,FALSE))</f>
        <v>725</v>
      </c>
      <c r="O120" s="335">
        <f>IF(ISNA(VLOOKUP($B120&amp;"; "&amp;$N$118&amp;", "&amp;$O$119,'FE Déplacements'!$G:$U,9,FALSE)),0,VLOOKUP($B120&amp;"; "&amp;$N$118&amp;", "&amp;$O$119,'FE Déplacements'!$G:$U,9,FALSE))</f>
        <v>2968</v>
      </c>
      <c r="P120" s="117">
        <v>12345</v>
      </c>
      <c r="Q120" s="335">
        <f>IF(ISNA(VLOOKUP($B120&amp;"; "&amp;$Q$118&amp;", "&amp;$Q$119,'FE Déplacements'!$G:$U,9,FALSE)),0,VLOOKUP($B120&amp;"; "&amp;$Q$118&amp;", "&amp;$Q$119,'FE Déplacements'!$G:$U,9,FALSE))</f>
        <v>0.60899999999999999</v>
      </c>
      <c r="R120" s="335">
        <f>IF(ISNA(VLOOKUP($B120&amp;"; "&amp;$Q$118&amp;", "&amp;$R$119,'FE Déplacements'!$G:$U,9,FALSE)),0,VLOOKUP($B120&amp;"; "&amp;$Q$118&amp;", "&amp;$R$119,'FE Déplacements'!$G:$U,9,FALSE))</f>
        <v>2.4900000000000002</v>
      </c>
      <c r="S120" s="151">
        <f t="shared" ref="S120:S125" si="79">G120*H120+J120*K120+M120*N120+P120*Q120</f>
        <v>7518.1049999999996</v>
      </c>
      <c r="T120" s="152">
        <f t="shared" ref="T120:T125" si="80">G120*I120+J120*L120+M120*O120+P120*R120</f>
        <v>30739.050000000003</v>
      </c>
      <c r="U120" s="165">
        <f>IF(OR(F120=Utilitaires!$I$572,F120=Utilitaires!$I$577),T120,0)</f>
        <v>0</v>
      </c>
      <c r="X120" s="1092">
        <f>IF(AC120=0,AC120,AC120/D120)</f>
        <v>4.1358381392838671E-2</v>
      </c>
      <c r="Y120" s="343"/>
      <c r="Z120" s="820"/>
      <c r="AA120" s="164">
        <f t="shared" ref="AA120:AA125" si="81">SQRT(SUMSQ(IF(ISNA($G120*H120*BI120),0,$G120*H120*BI120),IF(ISNA($J120*K120*BJ120),0,$J120*K120*BJ120),IF(ISNA($M120*N120*BK120),0,$M120*N120*BK120),IF(ISNA($P120*Q120*BL120),0,$P120*Q120*BL120)))</f>
        <v>375.90525000000002</v>
      </c>
      <c r="AB120" s="164">
        <f t="shared" ref="AB120:AB125" si="82">SQRT(SUMSQ(IF(ISNA($G120*I120*BM120),0,$G120*I120*BM120),IF(ISNA($J120*L120*BN120),0,$J120*L120*BN120),IF(ISNA($M120*O120*BO120),0,$M120*O120*BO120),IF(ISNA($P120*R120*BP120),0,$P120*R120*BP120)))</f>
        <v>1536.9525000000003</v>
      </c>
      <c r="AC120" s="152">
        <f t="shared" ref="AC120:AC125" si="83">SQRT(SUMSQ(AA120,AB120))</f>
        <v>1582.254007494945</v>
      </c>
      <c r="AD120" s="1286">
        <f>U120*X120</f>
        <v>0</v>
      </c>
      <c r="AG120" s="564">
        <f>$G120*IF(ISNA(VLOOKUP($B120&amp;"; "&amp;$H$118&amp;", "&amp;H$119,'FE Déplacements'!$G:$U,10,FALSE)),0,VLOOKUP($B120&amp;"; "&amp;$H$118&amp;", "&amp;H$119,'FE Déplacements'!$G:$U,10,FALSE))
+$J120*IF(ISNA(VLOOKUP($B120&amp;"; "&amp;$K$118&amp;", "&amp;H$119,'FE Déplacements'!$G:$U,10,FALSE)),0,VLOOKUP($B120&amp;"; "&amp;$K$118&amp;", "&amp;H$119,'FE Déplacements'!$G:$U,10,FALSE))
+$M120*IF(ISNA(VLOOKUP($B120&amp;"; "&amp;$N$118&amp;", "&amp;H$119,'FE Déplacements'!$G:$U,10,FALSE)),0,VLOOKUP($B120&amp;"; "&amp;$N$118&amp;", "&amp;H$119,'FE Déplacements'!$G:$U,10,FALSE))
+$P120*IF(ISNA(VLOOKUP($B120&amp;"; "&amp;$Q$118&amp;", "&amp;H$119,'FE Déplacements'!$G:$U,10,FALSE)),0,VLOOKUP($B120&amp;"; "&amp;$Q$118&amp;", "&amp;H$119,'FE Déplacements'!$G:$U,10,FALSE))</f>
        <v>7048.994999999999</v>
      </c>
      <c r="AH120" s="565">
        <f>$G120*IF(ISNA(VLOOKUP($B120&amp;"; "&amp;$H$118&amp;", "&amp;I$119,'FE Déplacements'!$G:$U,10,FALSE)),0,VLOOKUP($B120&amp;"; "&amp;$H$118&amp;", "&amp;I$119,'FE Déplacements'!$G:$U,10,FALSE))
+$J120*IF(ISNA(VLOOKUP($B120&amp;"; "&amp;$K$118&amp;", "&amp;I$119,'FE Déplacements'!$G:$U,10,FALSE)),0,VLOOKUP($B120&amp;"; "&amp;$K$118&amp;", "&amp;I$119,'FE Déplacements'!$G:$U,10,FALSE))
+$M120*IF(ISNA(VLOOKUP($B120&amp;"; "&amp;$N$118&amp;", "&amp;I$119,'FE Déplacements'!$G:$U,10,FALSE)),0,VLOOKUP($B120&amp;"; "&amp;$N$118&amp;", "&amp;I$119,'FE Déplacements'!$G:$U,10,FALSE))
+$P120*IF(ISNA(VLOOKUP($B120&amp;"; "&amp;$Q$118&amp;", "&amp;I$119,'FE Déplacements'!$G:$U,10,FALSE)),0,VLOOKUP($B120&amp;"; "&amp;$Q$118&amp;", "&amp;I$119,'FE Déplacements'!$G:$U,10,FALSE))</f>
        <v>30492.15</v>
      </c>
      <c r="AI120" s="565"/>
      <c r="AJ120" s="565">
        <f>$G120*IF(ISNA((VLOOKUP($B120&amp;"; "&amp;$H$118&amp;", "&amp;H$119,'FE Déplacements'!$G:$U,12,FALSE)+VLOOKUP($B120&amp;"; "&amp;$H$118&amp;", "&amp;H$119,'FE Déplacements'!$G:$U,11,FALSE))),0,(VLOOKUP($B120&amp;"; "&amp;$H$118&amp;", "&amp;H$119,'FE Déplacements'!$G:$U,12,FALSE)+VLOOKUP($B120&amp;"; "&amp;$H$118&amp;", "&amp;H$119,'FE Déplacements'!$G:$U,11,FALSE)))
+$J120*IF(ISNA((VLOOKUP($B120&amp;"; "&amp;$K$118&amp;", "&amp;H$119,'FE Déplacements'!$G:$U,12,FALSE)+VLOOKUP($B120&amp;"; "&amp;$K$118&amp;", "&amp;H$119,'FE Déplacements'!$G:$U,11,FALSE))),0,(VLOOKUP($B120&amp;"; "&amp;$K$118&amp;", "&amp;H$119,'FE Déplacements'!$G:$U,12,FALSE)+VLOOKUP($B120&amp;"; "&amp;$K$118&amp;", "&amp;H$119,'FE Déplacements'!$G:$U,11,FALSE)))
+$M120*IF(ISNA((VLOOKUP($B120&amp;"; "&amp;$N$118&amp;", "&amp;H$119,'FE Déplacements'!$G:$U,12,FALSE)+VLOOKUP($B120&amp;"; "&amp;$N$118&amp;", "&amp;H$119,'FE Déplacements'!$G:$U,11,FALSE))),0,(VLOOKUP($B120&amp;"; "&amp;$N$118&amp;", "&amp;H$119,'FE Déplacements'!$G:$U,12,FALSE)+VLOOKUP($B120&amp;"; "&amp;$N$118&amp;", "&amp;H$119,'FE Déplacements'!$G:$U,11,FALSE)))
+$P120*IF(ISNA((VLOOKUP($B120&amp;"; "&amp;$Q$118&amp;", "&amp;H$119,'FE Déplacements'!$G:$U,12,FALSE)+VLOOKUP($B120&amp;"; "&amp;$Q$118&amp;", "&amp;H$119,'FE Déplacements'!$G:$U,11,FALSE))),0,(VLOOKUP($B120&amp;"; "&amp;$Q$118&amp;", "&amp;H$119,'FE Déplacements'!$G:$U,12,FALSE)+VLOOKUP($B120&amp;"; "&amp;$Q$118&amp;", "&amp;H$119,'FE Déplacements'!$G:$U,11,FALSE)))</f>
        <v>70.366500000000002</v>
      </c>
      <c r="AK120" s="565">
        <f>$G120*IF(ISNA((VLOOKUP($B120&amp;"; "&amp;$H$118&amp;", "&amp;I$119,'FE Déplacements'!$G:$U,12,FALSE)+VLOOKUP($B120&amp;"; "&amp;$H$118&amp;", "&amp;I$119,'FE Déplacements'!$G:$U,11,FALSE))),0,(VLOOKUP($B120&amp;"; "&amp;$H$118&amp;", "&amp;I$119,'FE Déplacements'!$G:$U,12,FALSE)+VLOOKUP($B120&amp;"; "&amp;$H$118&amp;", "&amp;I$119,'FE Déplacements'!$G:$U,11,FALSE)))
+$J120*IF(ISNA((VLOOKUP($B120&amp;"; "&amp;$K$118&amp;", "&amp;I$119,'FE Déplacements'!$G:$U,12,FALSE)+VLOOKUP($B120&amp;"; "&amp;$K$118&amp;", "&amp;I$119,'FE Déplacements'!$G:$U,11,FALSE))),0,(VLOOKUP($B120&amp;"; "&amp;$K$118&amp;", "&amp;I$119,'FE Déplacements'!$G:$U,12,FALSE)+VLOOKUP($B120&amp;"; "&amp;$K$118&amp;", "&amp;I$119,'FE Déplacements'!$G:$U,11,FALSE)))
+$M120*IF(ISNA((VLOOKUP($B120&amp;"; "&amp;$N$118&amp;", "&amp;I$119,'FE Déplacements'!$G:$U,12,FALSE)+VLOOKUP($B120&amp;"; "&amp;$N$118&amp;", "&amp;I$119,'FE Déplacements'!$G:$U,11,FALSE))),0,(VLOOKUP($B120&amp;"; "&amp;$N$118&amp;", "&amp;I$119,'FE Déplacements'!$G:$U,12,FALSE)+VLOOKUP($B120&amp;"; "&amp;$N$118&amp;", "&amp;I$119,'FE Déplacements'!$G:$U,11,FALSE)))
+$P120*IF(ISNA((VLOOKUP($B120&amp;"; "&amp;$Q$118&amp;", "&amp;I$119,'FE Déplacements'!$G:$U,12,FALSE)+VLOOKUP($B120&amp;"; "&amp;$Q$118&amp;", "&amp;I$119,'FE Déplacements'!$G:$U,11,FALSE))),0,(VLOOKUP($B120&amp;"; "&amp;$Q$118&amp;", "&amp;I$119,'FE Déplacements'!$G:$U,12,FALSE)+VLOOKUP($B120&amp;"; "&amp;$Q$118&amp;", "&amp;I$119,'FE Déplacements'!$G:$U,11,FALSE)))</f>
        <v>12.221550000000001</v>
      </c>
      <c r="AL120" s="565"/>
      <c r="AM120" s="565">
        <f>$G120*IF(ISNA(VLOOKUP($B120&amp;"; "&amp;$H$118&amp;", "&amp;H$119,'FE Déplacements'!$G:$U,13,FALSE)),0,VLOOKUP($B120&amp;"; "&amp;$H$118&amp;", "&amp;H$119,'FE Déplacements'!$G:$U,13,FALSE))
+$J120*IF(ISNA(VLOOKUP($B120&amp;"; "&amp;$K$118&amp;", "&amp;H$119,'FE Déplacements'!$G:$U,13,FALSE)),0,VLOOKUP($B120&amp;"; "&amp;$K$118&amp;", "&amp;H$119,'FE Déplacements'!$G:$U,13,FALSE))
+$M120*IF(ISNA(VLOOKUP($B120&amp;"; "&amp;$N$118&amp;", "&amp;H$119,'FE Déplacements'!$G:$U,13,FALSE)),0,VLOOKUP($B120&amp;"; "&amp;$N$118&amp;", "&amp;H$119,'FE Déplacements'!$G:$U,13,FALSE))
+$P120*IF(ISNA(VLOOKUP($B120&amp;"; "&amp;$Q$118&amp;", "&amp;H$119,'FE Déplacements'!$G:$U,13,FALSE)),0,VLOOKUP($B120&amp;"; "&amp;$Q$118&amp;", "&amp;H$119,'FE Déplacements'!$G:$U,13,FALSE))</f>
        <v>396.27449999999993</v>
      </c>
      <c r="AN120" s="565">
        <f>$G120*IF(ISNA(VLOOKUP($B120&amp;"; "&amp;$H$118&amp;", "&amp;I$119,'FE Déplacements'!$G:$U,13,FALSE)),0,VLOOKUP($B120&amp;"; "&amp;$H$118&amp;", "&amp;I$119,'FE Déplacements'!$G:$U,13,FALSE))
+$J120*IF(ISNA(VLOOKUP($B120&amp;"; "&amp;$K$118&amp;", "&amp;I$119,'FE Déplacements'!$G:$U,13,FALSE)),0,VLOOKUP($B120&amp;"; "&amp;$K$118&amp;", "&amp;I$119,'FE Déplacements'!$G:$U,13,FALSE))
+$M120*IF(ISNA(VLOOKUP($B120&amp;"; "&amp;$N$118&amp;", "&amp;I$119,'FE Déplacements'!$G:$U,13,FALSE)),0,VLOOKUP($B120&amp;"; "&amp;$N$118&amp;", "&amp;I$119,'FE Déplacements'!$G:$U,13,FALSE))
+$P120*IF(ISNA(VLOOKUP($B120&amp;"; "&amp;$Q$118&amp;", "&amp;I$119,'FE Déplacements'!$G:$U,13,FALSE)),0,VLOOKUP($B120&amp;"; "&amp;$Q$118&amp;", "&amp;I$119,'FE Déplacements'!$G:$U,13,FALSE))</f>
        <v>248.1345</v>
      </c>
      <c r="AO120" s="565"/>
      <c r="AP120" s="565">
        <v>0</v>
      </c>
      <c r="AQ120" s="565">
        <v>0</v>
      </c>
      <c r="AR120" s="565"/>
      <c r="AS120" s="1288">
        <f t="shared" ref="AS120:AT125" si="84">SUM(AG120,AJ120,AM120,AP120)</f>
        <v>7515.6359999999986</v>
      </c>
      <c r="AT120" s="566">
        <f t="shared" si="84"/>
        <v>30752.50605</v>
      </c>
      <c r="AU120" s="566"/>
      <c r="AV120" s="564">
        <f>$G120*IF(ISNA(VLOOKUP($B120&amp;"; "&amp;$H$118&amp;", "&amp;H$119,'FE Déplacements'!$G:$U,15,FALSE)),0,VLOOKUP($B120&amp;"; "&amp;$H$118&amp;", "&amp;H$119,'FE Déplacements'!$G:$U,15,FALSE))
+$J120*IF(ISNA(VLOOKUP($B120&amp;"; "&amp;$K$118&amp;", "&amp;H$119,'FE Déplacements'!$G:$U,15,FALSE)),0,VLOOKUP($B120&amp;"; "&amp;$K$118&amp;", "&amp;H$119,'FE Déplacements'!$G:$U,15,FALSE))
+$M120*IF(ISNA(VLOOKUP($B120&amp;"; "&amp;$N$118&amp;", "&amp;H$119,'FE Déplacements'!$G:$U,15,FALSE)),0,VLOOKUP($B120&amp;"; "&amp;$N$118&amp;", "&amp;H$119,'FE Déplacements'!$G:$U,15,FALSE))
+$P120*IF(ISNA(VLOOKUP($B120&amp;"; "&amp;$Q$118&amp;", "&amp;H$119,'FE Déplacements'!$G:$U,15,FALSE)),0,VLOOKUP($B120&amp;"; "&amp;$Q$118&amp;", "&amp;H$119,'FE Déplacements'!$G:$U,15,FALSE))</f>
        <v>-1924.573155</v>
      </c>
      <c r="AW120" s="565">
        <f>$G120*IF(ISNA(VLOOKUP($B120&amp;"; "&amp;$H$118&amp;", "&amp;I$119,'FE Déplacements'!$G:$U,15,FALSE)),0,VLOOKUP($B120&amp;"; "&amp;$H$118&amp;", "&amp;I$119,'FE Déplacements'!$G:$U,15,FALSE))
+$J120*IF(ISNA(VLOOKUP($B120&amp;"; "&amp;$K$118&amp;", "&amp;I$119,'FE Déplacements'!$G:$U,15,FALSE)),0,VLOOKUP($B120&amp;"; "&amp;$K$118&amp;", "&amp;I$119,'FE Déplacements'!$G:$U,15,FALSE))
+$M120*IF(ISNA(VLOOKUP($B120&amp;"; "&amp;$N$118&amp;", "&amp;I$119,'FE Déplacements'!$G:$U,15,FALSE)),0,VLOOKUP($B120&amp;"; "&amp;$N$118&amp;", "&amp;I$119,'FE Déplacements'!$G:$U,15,FALSE))
+$P120*IF(ISNA(VLOOKUP($B120&amp;"; "&amp;$Q$118&amp;", "&amp;I$119,'FE Déplacements'!$G:$U,15,FALSE)),0,VLOOKUP($B120&amp;"; "&amp;$Q$118&amp;", "&amp;I$119,'FE Déplacements'!$G:$U,15,FALSE))</f>
        <v>1924.573155</v>
      </c>
      <c r="AX120" s="568"/>
      <c r="BH120" s="1065">
        <f>IF($Y120&lt;&gt;"votre valeur :",IF(ISNA(VLOOKUP($Y120,Utilitaires!$N$566:$O$571,2,FALSE)),,VLOOKUP($Y120,Utilitaires!$N$566:$O$571,2,FALSE)),$Z120)</f>
        <v>0</v>
      </c>
      <c r="BI120" s="1124">
        <f>IF(ISNA(SQRT(SUMSQ(VLOOKUP($B120&amp;"; "&amp;$H$118&amp;", "&amp;$H$119,'FE Déplacements'!$G:$U,7,FALSE),$BH120))),0,SQRT(SUMSQ(VLOOKUP($B120&amp;"; "&amp;$H$118&amp;", "&amp;$H$119,'FE Déplacements'!$G:$U,7,FALSE),$BH120)))</f>
        <v>0.05</v>
      </c>
      <c r="BJ120" s="1068">
        <f>IF(ISNA(SQRT(SUMSQ(VLOOKUP($B120&amp;"; "&amp;$H$118&amp;", "&amp;$H$119,'FE Déplacements'!$G:$U,7,FALSE),$BH120))),0,SQRT(SUMSQ(VLOOKUP($B120&amp;"; "&amp;$H$118&amp;", "&amp;$H$119,'FE Déplacements'!$G:$U,7,FALSE),$BH120)))</f>
        <v>0.05</v>
      </c>
      <c r="BK120" s="1068">
        <f>IF(ISNA(SQRT(SUMSQ(VLOOKUP($B120&amp;"; "&amp;$H$118&amp;", "&amp;$H$119,'FE Déplacements'!$G:$U,7,FALSE),$BH120))),0,SQRT(SUMSQ(VLOOKUP($B120&amp;"; "&amp;$H$118&amp;", "&amp;$H$119,'FE Déplacements'!$G:$U,7,FALSE),$BH120)))</f>
        <v>0.05</v>
      </c>
      <c r="BL120" s="1125">
        <f>IF(ISNA(SQRT(SUMSQ(VLOOKUP($B120&amp;"; "&amp;$H$118&amp;", "&amp;$H$119,'FE Déplacements'!$G:$U,7,FALSE),$BH120))),0,SQRT(SUMSQ(VLOOKUP($B120&amp;"; "&amp;$H$118&amp;", "&amp;$H$119,'FE Déplacements'!$G:$U,7,FALSE),$BH120)))</f>
        <v>0.05</v>
      </c>
      <c r="BM120" s="1124">
        <f>IF(ISNA(SQRT(SUMSQ(VLOOKUP($B120&amp;"; "&amp;$H$118&amp;", "&amp;$I$119,'FE Déplacements'!$G:$U,7,FALSE),$BH120))),0,SQRT(SUMSQ(VLOOKUP($B120&amp;"; "&amp;$H$118&amp;", "&amp;$I$119,'FE Déplacements'!$G:$U,7,FALSE),$BH120)))</f>
        <v>0.05</v>
      </c>
      <c r="BN120" s="1068">
        <f>IF(ISNA(SQRT(SUMSQ(VLOOKUP($B120&amp;"; "&amp;$H$118&amp;", "&amp;$I$119,'FE Déplacements'!$G:$U,7,FALSE),$BH120))),0,SQRT(SUMSQ(VLOOKUP($B120&amp;"; "&amp;$H$118&amp;", "&amp;$I$119,'FE Déplacements'!$G:$U,7,FALSE),$BH120)))</f>
        <v>0.05</v>
      </c>
      <c r="BO120" s="1068">
        <f>IF(ISNA(SQRT(SUMSQ(VLOOKUP($B120&amp;"; "&amp;$H$118&amp;", "&amp;$I$119,'FE Déplacements'!$G:$U,7,FALSE),$BH120))),0,SQRT(SUMSQ(VLOOKUP($B120&amp;"; "&amp;$H$118&amp;", "&amp;$I$119,'FE Déplacements'!$G:$U,7,FALSE),$BH120)))</f>
        <v>0.05</v>
      </c>
      <c r="BP120" s="1125">
        <f>IF(ISNA(SQRT(SUMSQ(VLOOKUP($B120&amp;"; "&amp;$H$118&amp;", "&amp;$I$119,'FE Déplacements'!$G:$U,7,FALSE),$BH120))),0,SQRT(SUMSQ(VLOOKUP($B120&amp;"; "&amp;$H$118&amp;", "&amp;$I$119,'FE Déplacements'!$G:$U,7,FALSE),$BH120)))</f>
        <v>0.05</v>
      </c>
    </row>
    <row r="121" spans="1:68" outlineLevel="2">
      <c r="B121" s="143" t="s">
        <v>1630</v>
      </c>
      <c r="C121" s="144"/>
      <c r="D121" s="212">
        <f t="shared" si="78"/>
        <v>0</v>
      </c>
      <c r="E121" s="212"/>
      <c r="F121" s="120"/>
      <c r="G121" s="120"/>
      <c r="H121" s="217">
        <f>IF(ISNA(VLOOKUP($B121&amp;"; "&amp;$H$118&amp;", "&amp;H$119,'FE Déplacements'!$G:$U,9,FALSE)),0,VLOOKUP($B121&amp;"; "&amp;$H$118&amp;", "&amp;H$119,'FE Déplacements'!$G:$U,9,FALSE))</f>
        <v>1015</v>
      </c>
      <c r="I121" s="217">
        <f>IF(ISNA(VLOOKUP($B121&amp;"; "&amp;$H$118&amp;", "&amp;$I$119,'FE Déplacements'!$G:$U,9,FALSE)),0,VLOOKUP($B121&amp;"; "&amp;$H$118&amp;", "&amp;$I$119,'FE Déplacements'!$G:$U,9,FALSE))</f>
        <v>2512</v>
      </c>
      <c r="J121" s="120"/>
      <c r="K121" s="335">
        <f>IF(ISNA(VLOOKUP($B121&amp;"; "&amp;$K$118&amp;", "&amp;K$119,'FE Déplacements'!$G:$U,9,FALSE)),0,VLOOKUP($B121&amp;"; "&amp;$K$118&amp;", "&amp;K$119,'FE Déplacements'!$G:$U,9,FALSE))</f>
        <v>7.8399999999999997E-2</v>
      </c>
      <c r="L121" s="335">
        <f>IF(ISNA(VLOOKUP($B121&amp;"; "&amp;$K$118&amp;", "&amp;$L$119,'FE Déplacements'!$G:$U,9,FALSE)),0,VLOOKUP($B121&amp;"; "&amp;$K$118&amp;", "&amp;$L$119,'FE Déplacements'!$G:$U,9,FALSE))</f>
        <v>0.19500000000000001</v>
      </c>
      <c r="M121" s="120"/>
      <c r="N121" s="335">
        <f>IF(ISNA(VLOOKUP($B121&amp;"; "&amp;$N$118&amp;", "&amp;$N$119,'FE Déplacements'!$G:$U,9,FALSE)),0,VLOOKUP($B121&amp;"; "&amp;$N$118&amp;", "&amp;$N$119,'FE Déplacements'!$G:$U,9,FALSE))</f>
        <v>916</v>
      </c>
      <c r="O121" s="335">
        <f>IF(ISNA(VLOOKUP($B121&amp;"; "&amp;$N$118&amp;", "&amp;$O$119,'FE Déplacements'!$G:$U,9,FALSE)),0,VLOOKUP($B121&amp;"; "&amp;$N$118&amp;", "&amp;$O$119,'FE Déplacements'!$G:$U,9,FALSE))</f>
        <v>2269</v>
      </c>
      <c r="P121" s="120"/>
      <c r="Q121" s="335">
        <f>IF(ISNA(VLOOKUP($B121&amp;"; "&amp;$Q$118&amp;", "&amp;$Q$119,'FE Déplacements'!$G:$U,9,FALSE)),0,VLOOKUP($B121&amp;"; "&amp;$Q$118&amp;", "&amp;$Q$119,'FE Déplacements'!$G:$U,9,FALSE))</f>
        <v>0.75800000000000001</v>
      </c>
      <c r="R121" s="335">
        <f>IF(ISNA(VLOOKUP($B121&amp;"; "&amp;$Q$118&amp;", "&amp;$R$119,'FE Déplacements'!$G:$U,9,FALSE)),0,VLOOKUP($B121&amp;"; "&amp;$Q$118&amp;", "&amp;$R$119,'FE Déplacements'!$G:$U,9,FALSE))</f>
        <v>1.88</v>
      </c>
      <c r="S121" s="151">
        <f t="shared" si="79"/>
        <v>0</v>
      </c>
      <c r="T121" s="152">
        <f t="shared" si="80"/>
        <v>0</v>
      </c>
      <c r="U121" s="165">
        <f>IF(OR(F121=Utilitaires!$I$572,F121=Utilitaires!$I$577),T121,0)</f>
        <v>0</v>
      </c>
      <c r="X121" s="1092">
        <f t="shared" ref="X121:X127" si="85">IF(AC121=0,AC121,AC121/D121)</f>
        <v>0</v>
      </c>
      <c r="Y121" s="343"/>
      <c r="Z121" s="820"/>
      <c r="AA121" s="164">
        <f t="shared" si="81"/>
        <v>0</v>
      </c>
      <c r="AB121" s="164">
        <f t="shared" si="82"/>
        <v>0</v>
      </c>
      <c r="AC121" s="152">
        <f t="shared" si="83"/>
        <v>0</v>
      </c>
      <c r="AD121" s="1286">
        <f t="shared" ref="AD121:AD125" si="86">U121*X121</f>
        <v>0</v>
      </c>
      <c r="AG121" s="564">
        <f>$G121*IF(ISNA(VLOOKUP($B121&amp;"; "&amp;$H$118&amp;", "&amp;H$119,'FE Déplacements'!$G:$U,10,FALSE)),0,VLOOKUP($B121&amp;"; "&amp;$H$118&amp;", "&amp;H$119,'FE Déplacements'!$G:$U,10,FALSE))
+$J121*IF(ISNA(VLOOKUP($B121&amp;"; "&amp;$K$118&amp;", "&amp;H$119,'FE Déplacements'!$G:$U,10,FALSE)),0,VLOOKUP($B121&amp;"; "&amp;$K$118&amp;", "&amp;H$119,'FE Déplacements'!$G:$U,10,FALSE))
+$M121*IF(ISNA(VLOOKUP($B121&amp;"; "&amp;$N$118&amp;", "&amp;H$119,'FE Déplacements'!$G:$U,10,FALSE)),0,VLOOKUP($B121&amp;"; "&amp;$N$118&amp;", "&amp;H$119,'FE Déplacements'!$G:$U,10,FALSE))
+$P121*IF(ISNA(VLOOKUP($B121&amp;"; "&amp;$Q$118&amp;", "&amp;H$119,'FE Déplacements'!$G:$U,10,FALSE)),0,VLOOKUP($B121&amp;"; "&amp;$Q$118&amp;", "&amp;H$119,'FE Déplacements'!$G:$U,10,FALSE))</f>
        <v>0</v>
      </c>
      <c r="AH121" s="565">
        <f>$G121*IF(ISNA(VLOOKUP($B121&amp;"; "&amp;$H$118&amp;", "&amp;I$119,'FE Déplacements'!$G:$U,10,FALSE)),0,VLOOKUP($B121&amp;"; "&amp;$H$118&amp;", "&amp;I$119,'FE Déplacements'!$G:$U,10,FALSE))
+$J121*IF(ISNA(VLOOKUP($B121&amp;"; "&amp;$K$118&amp;", "&amp;I$119,'FE Déplacements'!$G:$U,10,FALSE)),0,VLOOKUP($B121&amp;"; "&amp;$K$118&amp;", "&amp;I$119,'FE Déplacements'!$G:$U,10,FALSE))
+$M121*IF(ISNA(VLOOKUP($B121&amp;"; "&amp;$N$118&amp;", "&amp;I$119,'FE Déplacements'!$G:$U,10,FALSE)),0,VLOOKUP($B121&amp;"; "&amp;$N$118&amp;", "&amp;I$119,'FE Déplacements'!$G:$U,10,FALSE))
+$P121*IF(ISNA(VLOOKUP($B121&amp;"; "&amp;$Q$118&amp;", "&amp;I$119,'FE Déplacements'!$G:$U,10,FALSE)),0,VLOOKUP($B121&amp;"; "&amp;$Q$118&amp;", "&amp;I$119,'FE Déplacements'!$G:$U,10,FALSE))</f>
        <v>0</v>
      </c>
      <c r="AI121" s="565"/>
      <c r="AJ121" s="565">
        <f>$G121*IF(ISNA((VLOOKUP($B121&amp;"; "&amp;$H$118&amp;", "&amp;H$119,'FE Déplacements'!$G:$U,12,FALSE)+VLOOKUP($B121&amp;"; "&amp;$H$118&amp;", "&amp;H$119,'FE Déplacements'!$G:$U,11,FALSE))),0,(VLOOKUP($B121&amp;"; "&amp;$H$118&amp;", "&amp;H$119,'FE Déplacements'!$G:$U,12,FALSE)+VLOOKUP($B121&amp;"; "&amp;$H$118&amp;", "&amp;H$119,'FE Déplacements'!$G:$U,11,FALSE)))
+$J121*IF(ISNA((VLOOKUP($B121&amp;"; "&amp;$K$118&amp;", "&amp;H$119,'FE Déplacements'!$G:$U,12,FALSE)+VLOOKUP($B121&amp;"; "&amp;$K$118&amp;", "&amp;H$119,'FE Déplacements'!$G:$U,11,FALSE))),0,(VLOOKUP($B121&amp;"; "&amp;$K$118&amp;", "&amp;H$119,'FE Déplacements'!$G:$U,12,FALSE)+VLOOKUP($B121&amp;"; "&amp;$K$118&amp;", "&amp;H$119,'FE Déplacements'!$G:$U,11,FALSE)))
+$M121*IF(ISNA((VLOOKUP($B121&amp;"; "&amp;$N$118&amp;", "&amp;H$119,'FE Déplacements'!$G:$U,12,FALSE)+VLOOKUP($B121&amp;"; "&amp;$N$118&amp;", "&amp;H$119,'FE Déplacements'!$G:$U,11,FALSE))),0,(VLOOKUP($B121&amp;"; "&amp;$N$118&amp;", "&amp;H$119,'FE Déplacements'!$G:$U,12,FALSE)+VLOOKUP($B121&amp;"; "&amp;$N$118&amp;", "&amp;H$119,'FE Déplacements'!$G:$U,11,FALSE)))
+$P121*IF(ISNA((VLOOKUP($B121&amp;"; "&amp;$Q$118&amp;", "&amp;H$119,'FE Déplacements'!$G:$U,12,FALSE)+VLOOKUP($B121&amp;"; "&amp;$Q$118&amp;", "&amp;H$119,'FE Déplacements'!$G:$U,11,FALSE))),0,(VLOOKUP($B121&amp;"; "&amp;$Q$118&amp;", "&amp;H$119,'FE Déplacements'!$G:$U,12,FALSE)+VLOOKUP($B121&amp;"; "&amp;$Q$118&amp;", "&amp;H$119,'FE Déplacements'!$G:$U,11,FALSE)))</f>
        <v>0</v>
      </c>
      <c r="AK121" s="565">
        <f>$G121*IF(ISNA((VLOOKUP($B121&amp;"; "&amp;$H$118&amp;", "&amp;I$119,'FE Déplacements'!$G:$U,12,FALSE)+VLOOKUP($B121&amp;"; "&amp;$H$118&amp;", "&amp;I$119,'FE Déplacements'!$G:$U,11,FALSE))),0,(VLOOKUP($B121&amp;"; "&amp;$H$118&amp;", "&amp;I$119,'FE Déplacements'!$G:$U,12,FALSE)+VLOOKUP($B121&amp;"; "&amp;$H$118&amp;", "&amp;I$119,'FE Déplacements'!$G:$U,11,FALSE)))
+$J121*IF(ISNA((VLOOKUP($B121&amp;"; "&amp;$K$118&amp;", "&amp;I$119,'FE Déplacements'!$G:$U,12,FALSE)+VLOOKUP($B121&amp;"; "&amp;$K$118&amp;", "&amp;I$119,'FE Déplacements'!$G:$U,11,FALSE))),0,(VLOOKUP($B121&amp;"; "&amp;$K$118&amp;", "&amp;I$119,'FE Déplacements'!$G:$U,12,FALSE)+VLOOKUP($B121&amp;"; "&amp;$K$118&amp;", "&amp;I$119,'FE Déplacements'!$G:$U,11,FALSE)))
+$M121*IF(ISNA((VLOOKUP($B121&amp;"; "&amp;$N$118&amp;", "&amp;I$119,'FE Déplacements'!$G:$U,12,FALSE)+VLOOKUP($B121&amp;"; "&amp;$N$118&amp;", "&amp;I$119,'FE Déplacements'!$G:$U,11,FALSE))),0,(VLOOKUP($B121&amp;"; "&amp;$N$118&amp;", "&amp;I$119,'FE Déplacements'!$G:$U,12,FALSE)+VLOOKUP($B121&amp;"; "&amp;$N$118&amp;", "&amp;I$119,'FE Déplacements'!$G:$U,11,FALSE)))
+$P121*IF(ISNA((VLOOKUP($B121&amp;"; "&amp;$Q$118&amp;", "&amp;I$119,'FE Déplacements'!$G:$U,12,FALSE)+VLOOKUP($B121&amp;"; "&amp;$Q$118&amp;", "&amp;I$119,'FE Déplacements'!$G:$U,11,FALSE))),0,(VLOOKUP($B121&amp;"; "&amp;$Q$118&amp;", "&amp;I$119,'FE Déplacements'!$G:$U,12,FALSE)+VLOOKUP($B121&amp;"; "&amp;$Q$118&amp;", "&amp;I$119,'FE Déplacements'!$G:$U,11,FALSE)))</f>
        <v>0</v>
      </c>
      <c r="AL121" s="565"/>
      <c r="AM121" s="565">
        <f>$G121*IF(ISNA(VLOOKUP($B121&amp;"; "&amp;$H$118&amp;", "&amp;H$119,'FE Déplacements'!$G:$U,13,FALSE)),0,VLOOKUP($B121&amp;"; "&amp;$H$118&amp;", "&amp;H$119,'FE Déplacements'!$G:$U,13,FALSE))
+$J121*IF(ISNA(VLOOKUP($B121&amp;"; "&amp;$K$118&amp;", "&amp;H$119,'FE Déplacements'!$G:$U,13,FALSE)),0,VLOOKUP($B121&amp;"; "&amp;$K$118&amp;", "&amp;H$119,'FE Déplacements'!$G:$U,13,FALSE))
+$M121*IF(ISNA(VLOOKUP($B121&amp;"; "&amp;$N$118&amp;", "&amp;H$119,'FE Déplacements'!$G:$U,13,FALSE)),0,VLOOKUP($B121&amp;"; "&amp;$N$118&amp;", "&amp;H$119,'FE Déplacements'!$G:$U,13,FALSE))
+$P121*IF(ISNA(VLOOKUP($B121&amp;"; "&amp;$Q$118&amp;", "&amp;H$119,'FE Déplacements'!$G:$U,13,FALSE)),0,VLOOKUP($B121&amp;"; "&amp;$Q$118&amp;", "&amp;H$119,'FE Déplacements'!$G:$U,13,FALSE))</f>
        <v>0</v>
      </c>
      <c r="AN121" s="565">
        <f>$G121*IF(ISNA(VLOOKUP($B121&amp;"; "&amp;$H$118&amp;", "&amp;I$119,'FE Déplacements'!$G:$U,13,FALSE)),0,VLOOKUP($B121&amp;"; "&amp;$H$118&amp;", "&amp;I$119,'FE Déplacements'!$G:$U,13,FALSE))
+$J121*IF(ISNA(VLOOKUP($B121&amp;"; "&amp;$K$118&amp;", "&amp;I$119,'FE Déplacements'!$G:$U,13,FALSE)),0,VLOOKUP($B121&amp;"; "&amp;$K$118&amp;", "&amp;I$119,'FE Déplacements'!$G:$U,13,FALSE))
+$M121*IF(ISNA(VLOOKUP($B121&amp;"; "&amp;$N$118&amp;", "&amp;I$119,'FE Déplacements'!$G:$U,13,FALSE)),0,VLOOKUP($B121&amp;"; "&amp;$N$118&amp;", "&amp;I$119,'FE Déplacements'!$G:$U,13,FALSE))
+$P121*IF(ISNA(VLOOKUP($B121&amp;"; "&amp;$Q$118&amp;", "&amp;I$119,'FE Déplacements'!$G:$U,13,FALSE)),0,VLOOKUP($B121&amp;"; "&amp;$Q$118&amp;", "&amp;I$119,'FE Déplacements'!$G:$U,13,FALSE))</f>
        <v>0</v>
      </c>
      <c r="AO121" s="565"/>
      <c r="AP121" s="565">
        <v>0</v>
      </c>
      <c r="AQ121" s="565">
        <v>0</v>
      </c>
      <c r="AR121" s="565"/>
      <c r="AS121" s="1288">
        <f t="shared" si="84"/>
        <v>0</v>
      </c>
      <c r="AT121" s="566">
        <f t="shared" si="84"/>
        <v>0</v>
      </c>
      <c r="AU121" s="566"/>
      <c r="AV121" s="564">
        <f>$G121*IF(ISNA(VLOOKUP($B121&amp;"; "&amp;$H$118&amp;", "&amp;H$119,'FE Déplacements'!$G:$U,15,FALSE)),0,VLOOKUP($B121&amp;"; "&amp;$H$118&amp;", "&amp;H$119,'FE Déplacements'!$G:$U,15,FALSE))
+$J121*IF(ISNA(VLOOKUP($B121&amp;"; "&amp;$K$118&amp;", "&amp;H$119,'FE Déplacements'!$G:$U,15,FALSE)),0,VLOOKUP($B121&amp;"; "&amp;$K$118&amp;", "&amp;H$119,'FE Déplacements'!$G:$U,15,FALSE))
+$M121*IF(ISNA(VLOOKUP($B121&amp;"; "&amp;$N$118&amp;", "&amp;H$119,'FE Déplacements'!$G:$U,15,FALSE)),0,VLOOKUP($B121&amp;"; "&amp;$N$118&amp;", "&amp;H$119,'FE Déplacements'!$G:$U,15,FALSE))
+$P121*IF(ISNA(VLOOKUP($B121&amp;"; "&amp;$Q$118&amp;", "&amp;H$119,'FE Déplacements'!$G:$U,15,FALSE)),0,VLOOKUP($B121&amp;"; "&amp;$Q$118&amp;", "&amp;H$119,'FE Déplacements'!$G:$U,15,FALSE))</f>
        <v>0</v>
      </c>
      <c r="AW121" s="565">
        <f>$G121*IF(ISNA(VLOOKUP($B121&amp;"; "&amp;$H$118&amp;", "&amp;I$119,'FE Déplacements'!$G:$U,15,FALSE)),0,VLOOKUP($B121&amp;"; "&amp;$H$118&amp;", "&amp;I$119,'FE Déplacements'!$G:$U,15,FALSE))
+$J121*IF(ISNA(VLOOKUP($B121&amp;"; "&amp;$K$118&amp;", "&amp;I$119,'FE Déplacements'!$G:$U,15,FALSE)),0,VLOOKUP($B121&amp;"; "&amp;$K$118&amp;", "&amp;I$119,'FE Déplacements'!$G:$U,15,FALSE))
+$M121*IF(ISNA(VLOOKUP($B121&amp;"; "&amp;$N$118&amp;", "&amp;I$119,'FE Déplacements'!$G:$U,15,FALSE)),0,VLOOKUP($B121&amp;"; "&amp;$N$118&amp;", "&amp;I$119,'FE Déplacements'!$G:$U,15,FALSE))
+$P121*IF(ISNA(VLOOKUP($B121&amp;"; "&amp;$Q$118&amp;", "&amp;I$119,'FE Déplacements'!$G:$U,15,FALSE)),0,VLOOKUP($B121&amp;"; "&amp;$Q$118&amp;", "&amp;I$119,'FE Déplacements'!$G:$U,15,FALSE))</f>
        <v>0</v>
      </c>
      <c r="AX121" s="568"/>
      <c r="BH121" s="1065">
        <f>IF($Y121&lt;&gt;"votre valeur :",IF(ISNA(VLOOKUP($Y121,Utilitaires!$N$566:$O$571,2,FALSE)),,VLOOKUP($Y121,Utilitaires!$N$566:$O$571,2,FALSE)),$Z121)</f>
        <v>0</v>
      </c>
      <c r="BI121" s="1124">
        <f>IF(ISNA(SQRT(SUMSQ(VLOOKUP($B121&amp;"; "&amp;$H$118&amp;", "&amp;$H$119,'FE Déplacements'!$G:$U,7,FALSE),$BH121))),0,SQRT(SUMSQ(VLOOKUP($B121&amp;"; "&amp;$H$118&amp;", "&amp;$H$119,'FE Déplacements'!$G:$U,7,FALSE),$BH121)))</f>
        <v>0.05</v>
      </c>
      <c r="BJ121" s="1068">
        <f>IF(ISNA(SQRT(SUMSQ(VLOOKUP($B121&amp;"; "&amp;$H$118&amp;", "&amp;$H$119,'FE Déplacements'!$G:$U,7,FALSE),$BH121))),0,SQRT(SUMSQ(VLOOKUP($B121&amp;"; "&amp;$H$118&amp;", "&amp;$H$119,'FE Déplacements'!$G:$U,7,FALSE),$BH121)))</f>
        <v>0.05</v>
      </c>
      <c r="BK121" s="1068">
        <f>IF(ISNA(SQRT(SUMSQ(VLOOKUP($B121&amp;"; "&amp;$H$118&amp;", "&amp;$H$119,'FE Déplacements'!$G:$U,7,FALSE),$BH121))),0,SQRT(SUMSQ(VLOOKUP($B121&amp;"; "&amp;$H$118&amp;", "&amp;$H$119,'FE Déplacements'!$G:$U,7,FALSE),$BH121)))</f>
        <v>0.05</v>
      </c>
      <c r="BL121" s="1125">
        <f>IF(ISNA(SQRT(SUMSQ(VLOOKUP($B121&amp;"; "&amp;$H$118&amp;", "&amp;$H$119,'FE Déplacements'!$G:$U,7,FALSE),$BH121))),0,SQRT(SUMSQ(VLOOKUP($B121&amp;"; "&amp;$H$118&amp;", "&amp;$H$119,'FE Déplacements'!$G:$U,7,FALSE),$BH121)))</f>
        <v>0.05</v>
      </c>
      <c r="BM121" s="1124">
        <f>IF(ISNA(SQRT(SUMSQ(VLOOKUP($B121&amp;"; "&amp;$H$118&amp;", "&amp;$I$119,'FE Déplacements'!$G:$U,7,FALSE),$BH121))),0,SQRT(SUMSQ(VLOOKUP($B121&amp;"; "&amp;$H$118&amp;", "&amp;$I$119,'FE Déplacements'!$G:$U,7,FALSE),$BH121)))</f>
        <v>0.05</v>
      </c>
      <c r="BN121" s="1068">
        <f>IF(ISNA(SQRT(SUMSQ(VLOOKUP($B121&amp;"; "&amp;$H$118&amp;", "&amp;$I$119,'FE Déplacements'!$G:$U,7,FALSE),$BH121))),0,SQRT(SUMSQ(VLOOKUP($B121&amp;"; "&amp;$H$118&amp;", "&amp;$I$119,'FE Déplacements'!$G:$U,7,FALSE),$BH121)))</f>
        <v>0.05</v>
      </c>
      <c r="BO121" s="1068">
        <f>IF(ISNA(SQRT(SUMSQ(VLOOKUP($B121&amp;"; "&amp;$H$118&amp;", "&amp;$I$119,'FE Déplacements'!$G:$U,7,FALSE),$BH121))),0,SQRT(SUMSQ(VLOOKUP($B121&amp;"; "&amp;$H$118&amp;", "&amp;$I$119,'FE Déplacements'!$G:$U,7,FALSE),$BH121)))</f>
        <v>0.05</v>
      </c>
      <c r="BP121" s="1125">
        <f>IF(ISNA(SQRT(SUMSQ(VLOOKUP($B121&amp;"; "&amp;$H$118&amp;", "&amp;$I$119,'FE Déplacements'!$G:$U,7,FALSE),$BH121))),0,SQRT(SUMSQ(VLOOKUP($B121&amp;"; "&amp;$H$118&amp;", "&amp;$I$119,'FE Déplacements'!$G:$U,7,FALSE),$BH121)))</f>
        <v>0.05</v>
      </c>
    </row>
    <row r="122" spans="1:68" outlineLevel="2">
      <c r="B122" s="143" t="s">
        <v>2251</v>
      </c>
      <c r="C122" s="144"/>
      <c r="D122" s="212">
        <f t="shared" si="78"/>
        <v>0</v>
      </c>
      <c r="E122" s="212"/>
      <c r="F122" s="120"/>
      <c r="G122" s="120"/>
      <c r="H122" s="217">
        <f>IF(ISNA(VLOOKUP($B122&amp;"; "&amp;$H$118&amp;", "&amp;H$119,'FE Déplacements'!$G:$U,9,FALSE)),0,VLOOKUP($B122&amp;"; "&amp;$H$118&amp;", "&amp;H$119,'FE Déplacements'!$G:$U,9,FALSE))</f>
        <v>0</v>
      </c>
      <c r="I122" s="217">
        <f>IF(ISNA(VLOOKUP($B122&amp;"; "&amp;$H$118&amp;", "&amp;$I$119,'FE Déplacements'!$G:$U,9,FALSE)),0,VLOOKUP($B122&amp;"; "&amp;$H$118&amp;", "&amp;$I$119,'FE Déplacements'!$G:$U,9,FALSE))</f>
        <v>0</v>
      </c>
      <c r="J122" s="120"/>
      <c r="K122" s="335">
        <f>IF(ISNA(VLOOKUP($B122&amp;"; "&amp;$K$118&amp;", "&amp;K$119,'FE Déplacements'!$G:$U,9,FALSE)),0,VLOOKUP($B122&amp;"; "&amp;$K$118&amp;", "&amp;K$119,'FE Déplacements'!$G:$U,9,FALSE))</f>
        <v>5.0599999999999999E-2</v>
      </c>
      <c r="L122" s="335">
        <f>IF(ISNA(VLOOKUP($B122&amp;"; "&amp;$K$118&amp;", "&amp;$L$119,'FE Déplacements'!$G:$U,9,FALSE)),0,VLOOKUP($B122&amp;"; "&amp;$K$118&amp;", "&amp;$L$119,'FE Déplacements'!$G:$U,9,FALSE))</f>
        <v>0.187</v>
      </c>
      <c r="M122" s="120"/>
      <c r="N122" s="335">
        <f>IF(ISNA(VLOOKUP($B122&amp;"; "&amp;$N$118&amp;", "&amp;$N$119,'FE Déplacements'!$G:$U,9,FALSE)),0,VLOOKUP($B122&amp;"; "&amp;$N$118&amp;", "&amp;$N$119,'FE Déplacements'!$G:$U,9,FALSE))</f>
        <v>592</v>
      </c>
      <c r="O122" s="335">
        <f>IF(ISNA(VLOOKUP($B122&amp;"; "&amp;$N$118&amp;", "&amp;$O$119,'FE Déplacements'!$G:$U,9,FALSE)),0,VLOOKUP($B122&amp;"; "&amp;$N$118&amp;", "&amp;$O$119,'FE Déplacements'!$G:$U,9,FALSE))</f>
        <v>2186</v>
      </c>
      <c r="P122" s="120"/>
      <c r="Q122" s="335">
        <f>IF(ISNA(VLOOKUP($B122&amp;"; "&amp;$Q$118&amp;", "&amp;$Q$119,'FE Déplacements'!$G:$U,9,FALSE)),0,VLOOKUP($B122&amp;"; "&amp;$Q$118&amp;", "&amp;$Q$119,'FE Déplacements'!$G:$U,9,FALSE))</f>
        <v>0.45700000000000002</v>
      </c>
      <c r="R122" s="335">
        <f>IF(ISNA(VLOOKUP($B122&amp;"; "&amp;$Q$118&amp;", "&amp;$R$119,'FE Déplacements'!$G:$U,9,FALSE)),0,VLOOKUP($B122&amp;"; "&amp;$Q$118&amp;", "&amp;$R$119,'FE Déplacements'!$G:$U,9,FALSE))</f>
        <v>1.69</v>
      </c>
      <c r="S122" s="151">
        <f t="shared" si="79"/>
        <v>0</v>
      </c>
      <c r="T122" s="152">
        <f t="shared" si="80"/>
        <v>0</v>
      </c>
      <c r="U122" s="165">
        <f>IF(OR(F122=Utilitaires!$I$572,F122=Utilitaires!$I$577),T122,0)</f>
        <v>0</v>
      </c>
      <c r="X122" s="1092">
        <f t="shared" si="85"/>
        <v>0</v>
      </c>
      <c r="Y122" s="343"/>
      <c r="Z122" s="820"/>
      <c r="AA122" s="164">
        <f t="shared" si="81"/>
        <v>0</v>
      </c>
      <c r="AB122" s="164">
        <f t="shared" si="82"/>
        <v>0</v>
      </c>
      <c r="AC122" s="152">
        <f t="shared" si="83"/>
        <v>0</v>
      </c>
      <c r="AD122" s="1286">
        <f t="shared" si="86"/>
        <v>0</v>
      </c>
      <c r="AG122" s="564">
        <f>$G122*IF(ISNA(VLOOKUP($B122&amp;"; "&amp;$H$118&amp;", "&amp;H$119,'FE Déplacements'!$G:$U,10,FALSE)),0,VLOOKUP($B122&amp;"; "&amp;$H$118&amp;", "&amp;H$119,'FE Déplacements'!$G:$U,10,FALSE))
+$J122*IF(ISNA(VLOOKUP($B122&amp;"; "&amp;$K$118&amp;", "&amp;H$119,'FE Déplacements'!$G:$U,10,FALSE)),0,VLOOKUP($B122&amp;"; "&amp;$K$118&amp;", "&amp;H$119,'FE Déplacements'!$G:$U,10,FALSE))
+$M122*IF(ISNA(VLOOKUP($B122&amp;"; "&amp;$N$118&amp;", "&amp;H$119,'FE Déplacements'!$G:$U,10,FALSE)),0,VLOOKUP($B122&amp;"; "&amp;$N$118&amp;", "&amp;H$119,'FE Déplacements'!$G:$U,10,FALSE))
+$P122*IF(ISNA(VLOOKUP($B122&amp;"; "&amp;$Q$118&amp;", "&amp;H$119,'FE Déplacements'!$G:$U,10,FALSE)),0,VLOOKUP($B122&amp;"; "&amp;$Q$118&amp;", "&amp;H$119,'FE Déplacements'!$G:$U,10,FALSE))</f>
        <v>0</v>
      </c>
      <c r="AH122" s="565">
        <f>$G122*IF(ISNA(VLOOKUP($B122&amp;"; "&amp;$H$118&amp;", "&amp;I$119,'FE Déplacements'!$G:$U,10,FALSE)),0,VLOOKUP($B122&amp;"; "&amp;$H$118&amp;", "&amp;I$119,'FE Déplacements'!$G:$U,10,FALSE))
+$J122*IF(ISNA(VLOOKUP($B122&amp;"; "&amp;$K$118&amp;", "&amp;I$119,'FE Déplacements'!$G:$U,10,FALSE)),0,VLOOKUP($B122&amp;"; "&amp;$K$118&amp;", "&amp;I$119,'FE Déplacements'!$G:$U,10,FALSE))
+$M122*IF(ISNA(VLOOKUP($B122&amp;"; "&amp;$N$118&amp;", "&amp;I$119,'FE Déplacements'!$G:$U,10,FALSE)),0,VLOOKUP($B122&amp;"; "&amp;$N$118&amp;", "&amp;I$119,'FE Déplacements'!$G:$U,10,FALSE))
+$P122*IF(ISNA(VLOOKUP($B122&amp;"; "&amp;$Q$118&amp;", "&amp;I$119,'FE Déplacements'!$G:$U,10,FALSE)),0,VLOOKUP($B122&amp;"; "&amp;$Q$118&amp;", "&amp;I$119,'FE Déplacements'!$G:$U,10,FALSE))</f>
        <v>0</v>
      </c>
      <c r="AI122" s="565"/>
      <c r="AJ122" s="565">
        <f>$G122*IF(ISNA((VLOOKUP($B122&amp;"; "&amp;$H$118&amp;", "&amp;H$119,'FE Déplacements'!$G:$U,12,FALSE)+VLOOKUP($B122&amp;"; "&amp;$H$118&amp;", "&amp;H$119,'FE Déplacements'!$G:$U,11,FALSE))),0,(VLOOKUP($B122&amp;"; "&amp;$H$118&amp;", "&amp;H$119,'FE Déplacements'!$G:$U,12,FALSE)+VLOOKUP($B122&amp;"; "&amp;$H$118&amp;", "&amp;H$119,'FE Déplacements'!$G:$U,11,FALSE)))
+$J122*IF(ISNA((VLOOKUP($B122&amp;"; "&amp;$K$118&amp;", "&amp;H$119,'FE Déplacements'!$G:$U,12,FALSE)+VLOOKUP($B122&amp;"; "&amp;$K$118&amp;", "&amp;H$119,'FE Déplacements'!$G:$U,11,FALSE))),0,(VLOOKUP($B122&amp;"; "&amp;$K$118&amp;", "&amp;H$119,'FE Déplacements'!$G:$U,12,FALSE)+VLOOKUP($B122&amp;"; "&amp;$K$118&amp;", "&amp;H$119,'FE Déplacements'!$G:$U,11,FALSE)))
+$M122*IF(ISNA((VLOOKUP($B122&amp;"; "&amp;$N$118&amp;", "&amp;H$119,'FE Déplacements'!$G:$U,12,FALSE)+VLOOKUP($B122&amp;"; "&amp;$N$118&amp;", "&amp;H$119,'FE Déplacements'!$G:$U,11,FALSE))),0,(VLOOKUP($B122&amp;"; "&amp;$N$118&amp;", "&amp;H$119,'FE Déplacements'!$G:$U,12,FALSE)+VLOOKUP($B122&amp;"; "&amp;$N$118&amp;", "&amp;H$119,'FE Déplacements'!$G:$U,11,FALSE)))
+$P122*IF(ISNA((VLOOKUP($B122&amp;"; "&amp;$Q$118&amp;", "&amp;H$119,'FE Déplacements'!$G:$U,12,FALSE)+VLOOKUP($B122&amp;"; "&amp;$Q$118&amp;", "&amp;H$119,'FE Déplacements'!$G:$U,11,FALSE))),0,(VLOOKUP($B122&amp;"; "&amp;$Q$118&amp;", "&amp;H$119,'FE Déplacements'!$G:$U,12,FALSE)+VLOOKUP($B122&amp;"; "&amp;$Q$118&amp;", "&amp;H$119,'FE Déplacements'!$G:$U,11,FALSE)))</f>
        <v>0</v>
      </c>
      <c r="AK122" s="565">
        <f>$G122*IF(ISNA((VLOOKUP($B122&amp;"; "&amp;$H$118&amp;", "&amp;I$119,'FE Déplacements'!$G:$U,12,FALSE)+VLOOKUP($B122&amp;"; "&amp;$H$118&amp;", "&amp;I$119,'FE Déplacements'!$G:$U,11,FALSE))),0,(VLOOKUP($B122&amp;"; "&amp;$H$118&amp;", "&amp;I$119,'FE Déplacements'!$G:$U,12,FALSE)+VLOOKUP($B122&amp;"; "&amp;$H$118&amp;", "&amp;I$119,'FE Déplacements'!$G:$U,11,FALSE)))
+$J122*IF(ISNA((VLOOKUP($B122&amp;"; "&amp;$K$118&amp;", "&amp;I$119,'FE Déplacements'!$G:$U,12,FALSE)+VLOOKUP($B122&amp;"; "&amp;$K$118&amp;", "&amp;I$119,'FE Déplacements'!$G:$U,11,FALSE))),0,(VLOOKUP($B122&amp;"; "&amp;$K$118&amp;", "&amp;I$119,'FE Déplacements'!$G:$U,12,FALSE)+VLOOKUP($B122&amp;"; "&amp;$K$118&amp;", "&amp;I$119,'FE Déplacements'!$G:$U,11,FALSE)))
+$M122*IF(ISNA((VLOOKUP($B122&amp;"; "&amp;$N$118&amp;", "&amp;I$119,'FE Déplacements'!$G:$U,12,FALSE)+VLOOKUP($B122&amp;"; "&amp;$N$118&amp;", "&amp;I$119,'FE Déplacements'!$G:$U,11,FALSE))),0,(VLOOKUP($B122&amp;"; "&amp;$N$118&amp;", "&amp;I$119,'FE Déplacements'!$G:$U,12,FALSE)+VLOOKUP($B122&amp;"; "&amp;$N$118&amp;", "&amp;I$119,'FE Déplacements'!$G:$U,11,FALSE)))
+$P122*IF(ISNA((VLOOKUP($B122&amp;"; "&amp;$Q$118&amp;", "&amp;I$119,'FE Déplacements'!$G:$U,12,FALSE)+VLOOKUP($B122&amp;"; "&amp;$Q$118&amp;", "&amp;I$119,'FE Déplacements'!$G:$U,11,FALSE))),0,(VLOOKUP($B122&amp;"; "&amp;$Q$118&amp;", "&amp;I$119,'FE Déplacements'!$G:$U,12,FALSE)+VLOOKUP($B122&amp;"; "&amp;$Q$118&amp;", "&amp;I$119,'FE Déplacements'!$G:$U,11,FALSE)))</f>
        <v>0</v>
      </c>
      <c r="AL122" s="565"/>
      <c r="AM122" s="565">
        <f>$G122*IF(ISNA(VLOOKUP($B122&amp;"; "&amp;$H$118&amp;", "&amp;H$119,'FE Déplacements'!$G:$U,13,FALSE)),0,VLOOKUP($B122&amp;"; "&amp;$H$118&amp;", "&amp;H$119,'FE Déplacements'!$G:$U,13,FALSE))
+$J122*IF(ISNA(VLOOKUP($B122&amp;"; "&amp;$K$118&amp;", "&amp;H$119,'FE Déplacements'!$G:$U,13,FALSE)),0,VLOOKUP($B122&amp;"; "&amp;$K$118&amp;", "&amp;H$119,'FE Déplacements'!$G:$U,13,FALSE))
+$M122*IF(ISNA(VLOOKUP($B122&amp;"; "&amp;$N$118&amp;", "&amp;H$119,'FE Déplacements'!$G:$U,13,FALSE)),0,VLOOKUP($B122&amp;"; "&amp;$N$118&amp;", "&amp;H$119,'FE Déplacements'!$G:$U,13,FALSE))
+$P122*IF(ISNA(VLOOKUP($B122&amp;"; "&amp;$Q$118&amp;", "&amp;H$119,'FE Déplacements'!$G:$U,13,FALSE)),0,VLOOKUP($B122&amp;"; "&amp;$Q$118&amp;", "&amp;H$119,'FE Déplacements'!$G:$U,13,FALSE))</f>
        <v>0</v>
      </c>
      <c r="AN122" s="565">
        <f>$G122*IF(ISNA(VLOOKUP($B122&amp;"; "&amp;$H$118&amp;", "&amp;I$119,'FE Déplacements'!$G:$U,13,FALSE)),0,VLOOKUP($B122&amp;"; "&amp;$H$118&amp;", "&amp;I$119,'FE Déplacements'!$G:$U,13,FALSE))
+$J122*IF(ISNA(VLOOKUP($B122&amp;"; "&amp;$K$118&amp;", "&amp;I$119,'FE Déplacements'!$G:$U,13,FALSE)),0,VLOOKUP($B122&amp;"; "&amp;$K$118&amp;", "&amp;I$119,'FE Déplacements'!$G:$U,13,FALSE))
+$M122*IF(ISNA(VLOOKUP($B122&amp;"; "&amp;$N$118&amp;", "&amp;I$119,'FE Déplacements'!$G:$U,13,FALSE)),0,VLOOKUP($B122&amp;"; "&amp;$N$118&amp;", "&amp;I$119,'FE Déplacements'!$G:$U,13,FALSE))
+$P122*IF(ISNA(VLOOKUP($B122&amp;"; "&amp;$Q$118&amp;", "&amp;I$119,'FE Déplacements'!$G:$U,13,FALSE)),0,VLOOKUP($B122&amp;"; "&amp;$Q$118&amp;", "&amp;I$119,'FE Déplacements'!$G:$U,13,FALSE))</f>
        <v>0</v>
      </c>
      <c r="AO122" s="565"/>
      <c r="AP122" s="565">
        <v>0</v>
      </c>
      <c r="AQ122" s="565">
        <v>0</v>
      </c>
      <c r="AR122" s="565"/>
      <c r="AS122" s="1288">
        <f t="shared" si="84"/>
        <v>0</v>
      </c>
      <c r="AT122" s="566">
        <f t="shared" si="84"/>
        <v>0</v>
      </c>
      <c r="AU122" s="566"/>
      <c r="AV122" s="564">
        <f>$G122*IF(ISNA(VLOOKUP($B122&amp;"; "&amp;$H$118&amp;", "&amp;H$119,'FE Déplacements'!$G:$U,15,FALSE)),0,VLOOKUP($B122&amp;"; "&amp;$H$118&amp;", "&amp;H$119,'FE Déplacements'!$G:$U,15,FALSE))
+$J122*IF(ISNA(VLOOKUP($B122&amp;"; "&amp;$K$118&amp;", "&amp;H$119,'FE Déplacements'!$G:$U,15,FALSE)),0,VLOOKUP($B122&amp;"; "&amp;$K$118&amp;", "&amp;H$119,'FE Déplacements'!$G:$U,15,FALSE))
+$M122*IF(ISNA(VLOOKUP($B122&amp;"; "&amp;$N$118&amp;", "&amp;H$119,'FE Déplacements'!$G:$U,15,FALSE)),0,VLOOKUP($B122&amp;"; "&amp;$N$118&amp;", "&amp;H$119,'FE Déplacements'!$G:$U,15,FALSE))
+$P122*IF(ISNA(VLOOKUP($B122&amp;"; "&amp;$Q$118&amp;", "&amp;H$119,'FE Déplacements'!$G:$U,15,FALSE)),0,VLOOKUP($B122&amp;"; "&amp;$Q$118&amp;", "&amp;H$119,'FE Déplacements'!$G:$U,15,FALSE))</f>
        <v>0</v>
      </c>
      <c r="AW122" s="565">
        <f>$G122*IF(ISNA(VLOOKUP($B122&amp;"; "&amp;$H$118&amp;", "&amp;I$119,'FE Déplacements'!$G:$U,15,FALSE)),0,VLOOKUP($B122&amp;"; "&amp;$H$118&amp;", "&amp;I$119,'FE Déplacements'!$G:$U,15,FALSE))
+$J122*IF(ISNA(VLOOKUP($B122&amp;"; "&amp;$K$118&amp;", "&amp;I$119,'FE Déplacements'!$G:$U,15,FALSE)),0,VLOOKUP($B122&amp;"; "&amp;$K$118&amp;", "&amp;I$119,'FE Déplacements'!$G:$U,15,FALSE))
+$M122*IF(ISNA(VLOOKUP($B122&amp;"; "&amp;$N$118&amp;", "&amp;I$119,'FE Déplacements'!$G:$U,15,FALSE)),0,VLOOKUP($B122&amp;"; "&amp;$N$118&amp;", "&amp;I$119,'FE Déplacements'!$G:$U,15,FALSE))
+$P122*IF(ISNA(VLOOKUP($B122&amp;"; "&amp;$Q$118&amp;", "&amp;I$119,'FE Déplacements'!$G:$U,15,FALSE)),0,VLOOKUP($B122&amp;"; "&amp;$Q$118&amp;", "&amp;I$119,'FE Déplacements'!$G:$U,15,FALSE))</f>
        <v>0</v>
      </c>
      <c r="AX122" s="568"/>
      <c r="BH122" s="1065">
        <f>IF($Y122&lt;&gt;"votre valeur :",IF(ISNA(VLOOKUP($Y122,Utilitaires!$N$566:$O$571,2,FALSE)),,VLOOKUP($Y122,Utilitaires!$N$566:$O$571,2,FALSE)),$Z122)</f>
        <v>0</v>
      </c>
      <c r="BI122" s="1124">
        <f>IF(ISNA(SQRT(SUMSQ(VLOOKUP($B122&amp;"; "&amp;$H$118&amp;", "&amp;$H$119,'FE Déplacements'!$G:$U,7,FALSE),$BH122))),0,SQRT(SUMSQ(VLOOKUP($B122&amp;"; "&amp;$H$118&amp;", "&amp;$H$119,'FE Déplacements'!$G:$U,7,FALSE),$BH122)))</f>
        <v>0</v>
      </c>
      <c r="BJ122" s="1068">
        <f>IF(ISNA(SQRT(SUMSQ(VLOOKUP($B122&amp;"; "&amp;$H$118&amp;", "&amp;$H$119,'FE Déplacements'!$G:$U,7,FALSE),$BH122))),0,SQRT(SUMSQ(VLOOKUP($B122&amp;"; "&amp;$H$118&amp;", "&amp;$H$119,'FE Déplacements'!$G:$U,7,FALSE),$BH122)))</f>
        <v>0</v>
      </c>
      <c r="BK122" s="1068">
        <f>IF(ISNA(SQRT(SUMSQ(VLOOKUP($B122&amp;"; "&amp;$H$118&amp;", "&amp;$H$119,'FE Déplacements'!$G:$U,7,FALSE),$BH122))),0,SQRT(SUMSQ(VLOOKUP($B122&amp;"; "&amp;$H$118&amp;", "&amp;$H$119,'FE Déplacements'!$G:$U,7,FALSE),$BH122)))</f>
        <v>0</v>
      </c>
      <c r="BL122" s="1125">
        <f>IF(ISNA(SQRT(SUMSQ(VLOOKUP($B122&amp;"; "&amp;$H$118&amp;", "&amp;$H$119,'FE Déplacements'!$G:$U,7,FALSE),$BH122))),0,SQRT(SUMSQ(VLOOKUP($B122&amp;"; "&amp;$H$118&amp;", "&amp;$H$119,'FE Déplacements'!$G:$U,7,FALSE),$BH122)))</f>
        <v>0</v>
      </c>
      <c r="BM122" s="1124">
        <f>IF(ISNA(SQRT(SUMSQ(VLOOKUP($B122&amp;"; "&amp;$H$118&amp;", "&amp;$I$119,'FE Déplacements'!$G:$U,7,FALSE),$BH122))),0,SQRT(SUMSQ(VLOOKUP($B122&amp;"; "&amp;$H$118&amp;", "&amp;$I$119,'FE Déplacements'!$G:$U,7,FALSE),$BH122)))</f>
        <v>0</v>
      </c>
      <c r="BN122" s="1068">
        <f>IF(ISNA(SQRT(SUMSQ(VLOOKUP($B122&amp;"; "&amp;$H$118&amp;", "&amp;$I$119,'FE Déplacements'!$G:$U,7,FALSE),$BH122))),0,SQRT(SUMSQ(VLOOKUP($B122&amp;"; "&amp;$H$118&amp;", "&amp;$I$119,'FE Déplacements'!$G:$U,7,FALSE),$BH122)))</f>
        <v>0</v>
      </c>
      <c r="BO122" s="1068">
        <f>IF(ISNA(SQRT(SUMSQ(VLOOKUP($B122&amp;"; "&amp;$H$118&amp;", "&amp;$I$119,'FE Déplacements'!$G:$U,7,FALSE),$BH122))),0,SQRT(SUMSQ(VLOOKUP($B122&amp;"; "&amp;$H$118&amp;", "&amp;$I$119,'FE Déplacements'!$G:$U,7,FALSE),$BH122)))</f>
        <v>0</v>
      </c>
      <c r="BP122" s="1125">
        <f>IF(ISNA(SQRT(SUMSQ(VLOOKUP($B122&amp;"; "&amp;$H$118&amp;", "&amp;$I$119,'FE Déplacements'!$G:$U,7,FALSE),$BH122))),0,SQRT(SUMSQ(VLOOKUP($B122&amp;"; "&amp;$H$118&amp;", "&amp;$I$119,'FE Déplacements'!$G:$U,7,FALSE),$BH122)))</f>
        <v>0</v>
      </c>
    </row>
    <row r="123" spans="1:68" outlineLevel="2">
      <c r="B123" s="143" t="s">
        <v>2252</v>
      </c>
      <c r="C123" s="144"/>
      <c r="D123" s="212">
        <f t="shared" si="78"/>
        <v>0</v>
      </c>
      <c r="E123" s="212"/>
      <c r="F123" s="120"/>
      <c r="G123" s="120"/>
      <c r="H123" s="217">
        <f>IF(ISNA(VLOOKUP($B123&amp;"; "&amp;$H$118&amp;", "&amp;H$119,'FE Déplacements'!$G:$U,9,FALSE)),0,VLOOKUP($B123&amp;"; "&amp;$H$118&amp;", "&amp;H$119,'FE Déplacements'!$G:$U,9,FALSE))</f>
        <v>0</v>
      </c>
      <c r="I123" s="217">
        <f>IF(ISNA(VLOOKUP($B123&amp;"; "&amp;$H$118&amp;", "&amp;$I$119,'FE Déplacements'!$G:$U,9,FALSE)),0,VLOOKUP($B123&amp;"; "&amp;$H$118&amp;", "&amp;$I$119,'FE Déplacements'!$G:$U,9,FALSE))</f>
        <v>0</v>
      </c>
      <c r="J123" s="120"/>
      <c r="K123" s="335">
        <f>IF(ISNA(VLOOKUP($B123&amp;"; "&amp;$K$118&amp;", "&amp;K$119,'FE Déplacements'!$G:$U,9,FALSE)),0,VLOOKUP($B123&amp;"; "&amp;$K$118&amp;", "&amp;K$119,'FE Déplacements'!$G:$U,9,FALSE))</f>
        <v>3.9E-2</v>
      </c>
      <c r="L123" s="335">
        <f>IF(ISNA(VLOOKUP($B123&amp;"; "&amp;$K$118&amp;", "&amp;$L$119,'FE Déplacements'!$G:$U,9,FALSE)),0,VLOOKUP($B123&amp;"; "&amp;$K$118&amp;", "&amp;$L$119,'FE Déplacements'!$G:$U,9,FALSE))</f>
        <v>0.23300000000000001</v>
      </c>
      <c r="M123" s="120"/>
      <c r="N123" s="335">
        <f>IF(ISNA(VLOOKUP($B123&amp;"; "&amp;$N$118&amp;", "&amp;$N$119,'FE Déplacements'!$G:$U,9,FALSE)),0,VLOOKUP($B123&amp;"; "&amp;$N$118&amp;", "&amp;$N$119,'FE Déplacements'!$G:$U,9,FALSE))</f>
        <v>447</v>
      </c>
      <c r="O123" s="335">
        <f>IF(ISNA(VLOOKUP($B123&amp;"; "&amp;$N$118&amp;", "&amp;$O$119,'FE Déplacements'!$G:$U,9,FALSE)),0,VLOOKUP($B123&amp;"; "&amp;$N$118&amp;", "&amp;$O$119,'FE Déplacements'!$G:$U,9,FALSE))</f>
        <v>2720</v>
      </c>
      <c r="P123" s="120"/>
      <c r="Q123" s="335">
        <f>IF(ISNA(VLOOKUP($B123&amp;"; "&amp;$Q$118&amp;", "&amp;$Q$119,'FE Déplacements'!$G:$U,9,FALSE)),0,VLOOKUP($B123&amp;"; "&amp;$Q$118&amp;", "&amp;$Q$119,'FE Déplacements'!$G:$U,9,FALSE))</f>
        <v>0.26200000000000001</v>
      </c>
      <c r="R123" s="335">
        <f>IF(ISNA(VLOOKUP($B123&amp;"; "&amp;$Q$118&amp;", "&amp;$R$119,'FE Déplacements'!$G:$U,9,FALSE)),0,VLOOKUP($B123&amp;"; "&amp;$Q$118&amp;", "&amp;$R$119,'FE Déplacements'!$G:$U,9,FALSE))</f>
        <v>1.6</v>
      </c>
      <c r="S123" s="151">
        <f t="shared" si="79"/>
        <v>0</v>
      </c>
      <c r="T123" s="152">
        <f t="shared" si="80"/>
        <v>0</v>
      </c>
      <c r="U123" s="165">
        <f>IF(OR(F123=Utilitaires!$I$572,F123=Utilitaires!$I$577),T123,0)</f>
        <v>0</v>
      </c>
      <c r="X123" s="1092">
        <f t="shared" si="85"/>
        <v>0</v>
      </c>
      <c r="Y123" s="343"/>
      <c r="Z123" s="820"/>
      <c r="AA123" s="164">
        <f t="shared" si="81"/>
        <v>0</v>
      </c>
      <c r="AB123" s="164">
        <f t="shared" si="82"/>
        <v>0</v>
      </c>
      <c r="AC123" s="152">
        <f t="shared" si="83"/>
        <v>0</v>
      </c>
      <c r="AD123" s="1286">
        <f t="shared" si="86"/>
        <v>0</v>
      </c>
      <c r="AG123" s="564">
        <f>$G123*IF(ISNA(VLOOKUP($B123&amp;"; "&amp;$H$118&amp;", "&amp;H$119,'FE Déplacements'!$G:$U,10,FALSE)),0,VLOOKUP($B123&amp;"; "&amp;$H$118&amp;", "&amp;H$119,'FE Déplacements'!$G:$U,10,FALSE))
+$J123*IF(ISNA(VLOOKUP($B123&amp;"; "&amp;$K$118&amp;", "&amp;H$119,'FE Déplacements'!$G:$U,10,FALSE)),0,VLOOKUP($B123&amp;"; "&amp;$K$118&amp;", "&amp;H$119,'FE Déplacements'!$G:$U,10,FALSE))
+$M123*IF(ISNA(VLOOKUP($B123&amp;"; "&amp;$N$118&amp;", "&amp;H$119,'FE Déplacements'!$G:$U,10,FALSE)),0,VLOOKUP($B123&amp;"; "&amp;$N$118&amp;", "&amp;H$119,'FE Déplacements'!$G:$U,10,FALSE))
+$P123*IF(ISNA(VLOOKUP($B123&amp;"; "&amp;$Q$118&amp;", "&amp;H$119,'FE Déplacements'!$G:$U,10,FALSE)),0,VLOOKUP($B123&amp;"; "&amp;$Q$118&amp;", "&amp;H$119,'FE Déplacements'!$G:$U,10,FALSE))</f>
        <v>0</v>
      </c>
      <c r="AH123" s="565">
        <f>$G123*IF(ISNA(VLOOKUP($B123&amp;"; "&amp;$H$118&amp;", "&amp;I$119,'FE Déplacements'!$G:$U,10,FALSE)),0,VLOOKUP($B123&amp;"; "&amp;$H$118&amp;", "&amp;I$119,'FE Déplacements'!$G:$U,10,FALSE))
+$J123*IF(ISNA(VLOOKUP($B123&amp;"; "&amp;$K$118&amp;", "&amp;I$119,'FE Déplacements'!$G:$U,10,FALSE)),0,VLOOKUP($B123&amp;"; "&amp;$K$118&amp;", "&amp;I$119,'FE Déplacements'!$G:$U,10,FALSE))
+$M123*IF(ISNA(VLOOKUP($B123&amp;"; "&amp;$N$118&amp;", "&amp;I$119,'FE Déplacements'!$G:$U,10,FALSE)),0,VLOOKUP($B123&amp;"; "&amp;$N$118&amp;", "&amp;I$119,'FE Déplacements'!$G:$U,10,FALSE))
+$P123*IF(ISNA(VLOOKUP($B123&amp;"; "&amp;$Q$118&amp;", "&amp;I$119,'FE Déplacements'!$G:$U,10,FALSE)),0,VLOOKUP($B123&amp;"; "&amp;$Q$118&amp;", "&amp;I$119,'FE Déplacements'!$G:$U,10,FALSE))</f>
        <v>0</v>
      </c>
      <c r="AI123" s="565"/>
      <c r="AJ123" s="565">
        <f>$G123*IF(ISNA((VLOOKUP($B123&amp;"; "&amp;$H$118&amp;", "&amp;H$119,'FE Déplacements'!$G:$U,12,FALSE)+VLOOKUP($B123&amp;"; "&amp;$H$118&amp;", "&amp;H$119,'FE Déplacements'!$G:$U,11,FALSE))),0,(VLOOKUP($B123&amp;"; "&amp;$H$118&amp;", "&amp;H$119,'FE Déplacements'!$G:$U,12,FALSE)+VLOOKUP($B123&amp;"; "&amp;$H$118&amp;", "&amp;H$119,'FE Déplacements'!$G:$U,11,FALSE)))
+$J123*IF(ISNA((VLOOKUP($B123&amp;"; "&amp;$K$118&amp;", "&amp;H$119,'FE Déplacements'!$G:$U,12,FALSE)+VLOOKUP($B123&amp;"; "&amp;$K$118&amp;", "&amp;H$119,'FE Déplacements'!$G:$U,11,FALSE))),0,(VLOOKUP($B123&amp;"; "&amp;$K$118&amp;", "&amp;H$119,'FE Déplacements'!$G:$U,12,FALSE)+VLOOKUP($B123&amp;"; "&amp;$K$118&amp;", "&amp;H$119,'FE Déplacements'!$G:$U,11,FALSE)))
+$M123*IF(ISNA((VLOOKUP($B123&amp;"; "&amp;$N$118&amp;", "&amp;H$119,'FE Déplacements'!$G:$U,12,FALSE)+VLOOKUP($B123&amp;"; "&amp;$N$118&amp;", "&amp;H$119,'FE Déplacements'!$G:$U,11,FALSE))),0,(VLOOKUP($B123&amp;"; "&amp;$N$118&amp;", "&amp;H$119,'FE Déplacements'!$G:$U,12,FALSE)+VLOOKUP($B123&amp;"; "&amp;$N$118&amp;", "&amp;H$119,'FE Déplacements'!$G:$U,11,FALSE)))
+$P123*IF(ISNA((VLOOKUP($B123&amp;"; "&amp;$Q$118&amp;", "&amp;H$119,'FE Déplacements'!$G:$U,12,FALSE)+VLOOKUP($B123&amp;"; "&amp;$Q$118&amp;", "&amp;H$119,'FE Déplacements'!$G:$U,11,FALSE))),0,(VLOOKUP($B123&amp;"; "&amp;$Q$118&amp;", "&amp;H$119,'FE Déplacements'!$G:$U,12,FALSE)+VLOOKUP($B123&amp;"; "&amp;$Q$118&amp;", "&amp;H$119,'FE Déplacements'!$G:$U,11,FALSE)))</f>
        <v>0</v>
      </c>
      <c r="AK123" s="565">
        <f>$G123*IF(ISNA((VLOOKUP($B123&amp;"; "&amp;$H$118&amp;", "&amp;I$119,'FE Déplacements'!$G:$U,12,FALSE)+VLOOKUP($B123&amp;"; "&amp;$H$118&amp;", "&amp;I$119,'FE Déplacements'!$G:$U,11,FALSE))),0,(VLOOKUP($B123&amp;"; "&amp;$H$118&amp;", "&amp;I$119,'FE Déplacements'!$G:$U,12,FALSE)+VLOOKUP($B123&amp;"; "&amp;$H$118&amp;", "&amp;I$119,'FE Déplacements'!$G:$U,11,FALSE)))
+$J123*IF(ISNA((VLOOKUP($B123&amp;"; "&amp;$K$118&amp;", "&amp;I$119,'FE Déplacements'!$G:$U,12,FALSE)+VLOOKUP($B123&amp;"; "&amp;$K$118&amp;", "&amp;I$119,'FE Déplacements'!$G:$U,11,FALSE))),0,(VLOOKUP($B123&amp;"; "&amp;$K$118&amp;", "&amp;I$119,'FE Déplacements'!$G:$U,12,FALSE)+VLOOKUP($B123&amp;"; "&amp;$K$118&amp;", "&amp;I$119,'FE Déplacements'!$G:$U,11,FALSE)))
+$M123*IF(ISNA((VLOOKUP($B123&amp;"; "&amp;$N$118&amp;", "&amp;I$119,'FE Déplacements'!$G:$U,12,FALSE)+VLOOKUP($B123&amp;"; "&amp;$N$118&amp;", "&amp;I$119,'FE Déplacements'!$G:$U,11,FALSE))),0,(VLOOKUP($B123&amp;"; "&amp;$N$118&amp;", "&amp;I$119,'FE Déplacements'!$G:$U,12,FALSE)+VLOOKUP($B123&amp;"; "&amp;$N$118&amp;", "&amp;I$119,'FE Déplacements'!$G:$U,11,FALSE)))
+$P123*IF(ISNA((VLOOKUP($B123&amp;"; "&amp;$Q$118&amp;", "&amp;I$119,'FE Déplacements'!$G:$U,12,FALSE)+VLOOKUP($B123&amp;"; "&amp;$Q$118&amp;", "&amp;I$119,'FE Déplacements'!$G:$U,11,FALSE))),0,(VLOOKUP($B123&amp;"; "&amp;$Q$118&amp;", "&amp;I$119,'FE Déplacements'!$G:$U,12,FALSE)+VLOOKUP($B123&amp;"; "&amp;$Q$118&amp;", "&amp;I$119,'FE Déplacements'!$G:$U,11,FALSE)))</f>
        <v>0</v>
      </c>
      <c r="AL123" s="565"/>
      <c r="AM123" s="565">
        <f>$G123*IF(ISNA(VLOOKUP($B123&amp;"; "&amp;$H$118&amp;", "&amp;H$119,'FE Déplacements'!$G:$U,13,FALSE)),0,VLOOKUP($B123&amp;"; "&amp;$H$118&amp;", "&amp;H$119,'FE Déplacements'!$G:$U,13,FALSE))
+$J123*IF(ISNA(VLOOKUP($B123&amp;"; "&amp;$K$118&amp;", "&amp;H$119,'FE Déplacements'!$G:$U,13,FALSE)),0,VLOOKUP($B123&amp;"; "&amp;$K$118&amp;", "&amp;H$119,'FE Déplacements'!$G:$U,13,FALSE))
+$M123*IF(ISNA(VLOOKUP($B123&amp;"; "&amp;$N$118&amp;", "&amp;H$119,'FE Déplacements'!$G:$U,13,FALSE)),0,VLOOKUP($B123&amp;"; "&amp;$N$118&amp;", "&amp;H$119,'FE Déplacements'!$G:$U,13,FALSE))
+$P123*IF(ISNA(VLOOKUP($B123&amp;"; "&amp;$Q$118&amp;", "&amp;H$119,'FE Déplacements'!$G:$U,13,FALSE)),0,VLOOKUP($B123&amp;"; "&amp;$Q$118&amp;", "&amp;H$119,'FE Déplacements'!$G:$U,13,FALSE))</f>
        <v>0</v>
      </c>
      <c r="AN123" s="565">
        <f>$G123*IF(ISNA(VLOOKUP($B123&amp;"; "&amp;$H$118&amp;", "&amp;I$119,'FE Déplacements'!$G:$U,13,FALSE)),0,VLOOKUP($B123&amp;"; "&amp;$H$118&amp;", "&amp;I$119,'FE Déplacements'!$G:$U,13,FALSE))
+$J123*IF(ISNA(VLOOKUP($B123&amp;"; "&amp;$K$118&amp;", "&amp;I$119,'FE Déplacements'!$G:$U,13,FALSE)),0,VLOOKUP($B123&amp;"; "&amp;$K$118&amp;", "&amp;I$119,'FE Déplacements'!$G:$U,13,FALSE))
+$M123*IF(ISNA(VLOOKUP($B123&amp;"; "&amp;$N$118&amp;", "&amp;I$119,'FE Déplacements'!$G:$U,13,FALSE)),0,VLOOKUP($B123&amp;"; "&amp;$N$118&amp;", "&amp;I$119,'FE Déplacements'!$G:$U,13,FALSE))
+$P123*IF(ISNA(VLOOKUP($B123&amp;"; "&amp;$Q$118&amp;", "&amp;I$119,'FE Déplacements'!$G:$U,13,FALSE)),0,VLOOKUP($B123&amp;"; "&amp;$Q$118&amp;", "&amp;I$119,'FE Déplacements'!$G:$U,13,FALSE))</f>
        <v>0</v>
      </c>
      <c r="AO123" s="565"/>
      <c r="AP123" s="565">
        <v>0</v>
      </c>
      <c r="AQ123" s="565">
        <v>0</v>
      </c>
      <c r="AR123" s="565"/>
      <c r="AS123" s="1288">
        <f t="shared" si="84"/>
        <v>0</v>
      </c>
      <c r="AT123" s="566">
        <f t="shared" si="84"/>
        <v>0</v>
      </c>
      <c r="AU123" s="566"/>
      <c r="AV123" s="564">
        <f>$G123*IF(ISNA(VLOOKUP($B123&amp;"; "&amp;$H$118&amp;", "&amp;H$119,'FE Déplacements'!$G:$U,15,FALSE)),0,VLOOKUP($B123&amp;"; "&amp;$H$118&amp;", "&amp;H$119,'FE Déplacements'!$G:$U,15,FALSE))
+$J123*IF(ISNA(VLOOKUP($B123&amp;"; "&amp;$K$118&amp;", "&amp;H$119,'FE Déplacements'!$G:$U,15,FALSE)),0,VLOOKUP($B123&amp;"; "&amp;$K$118&amp;", "&amp;H$119,'FE Déplacements'!$G:$U,15,FALSE))
+$M123*IF(ISNA(VLOOKUP($B123&amp;"; "&amp;$N$118&amp;", "&amp;H$119,'FE Déplacements'!$G:$U,15,FALSE)),0,VLOOKUP($B123&amp;"; "&amp;$N$118&amp;", "&amp;H$119,'FE Déplacements'!$G:$U,15,FALSE))
+$P123*IF(ISNA(VLOOKUP($B123&amp;"; "&amp;$Q$118&amp;", "&amp;H$119,'FE Déplacements'!$G:$U,15,FALSE)),0,VLOOKUP($B123&amp;"; "&amp;$Q$118&amp;", "&amp;H$119,'FE Déplacements'!$G:$U,15,FALSE))</f>
        <v>0</v>
      </c>
      <c r="AW123" s="565">
        <f>$G123*IF(ISNA(VLOOKUP($B123&amp;"; "&amp;$H$118&amp;", "&amp;I$119,'FE Déplacements'!$G:$U,15,FALSE)),0,VLOOKUP($B123&amp;"; "&amp;$H$118&amp;", "&amp;I$119,'FE Déplacements'!$G:$U,15,FALSE))
+$J123*IF(ISNA(VLOOKUP($B123&amp;"; "&amp;$K$118&amp;", "&amp;I$119,'FE Déplacements'!$G:$U,15,FALSE)),0,VLOOKUP($B123&amp;"; "&amp;$K$118&amp;", "&amp;I$119,'FE Déplacements'!$G:$U,15,FALSE))
+$M123*IF(ISNA(VLOOKUP($B123&amp;"; "&amp;$N$118&amp;", "&amp;I$119,'FE Déplacements'!$G:$U,15,FALSE)),0,VLOOKUP($B123&amp;"; "&amp;$N$118&amp;", "&amp;I$119,'FE Déplacements'!$G:$U,15,FALSE))
+$P123*IF(ISNA(VLOOKUP($B123&amp;"; "&amp;$Q$118&amp;", "&amp;I$119,'FE Déplacements'!$G:$U,15,FALSE)),0,VLOOKUP($B123&amp;"; "&amp;$Q$118&amp;", "&amp;I$119,'FE Déplacements'!$G:$U,15,FALSE))</f>
        <v>0</v>
      </c>
      <c r="AX123" s="568"/>
      <c r="BH123" s="1065">
        <f>IF($Y123&lt;&gt;"votre valeur :",IF(ISNA(VLOOKUP($Y123,Utilitaires!$N$566:$O$571,2,FALSE)),,VLOOKUP($Y123,Utilitaires!$N$566:$O$571,2,FALSE)),$Z123)</f>
        <v>0</v>
      </c>
      <c r="BI123" s="1124">
        <f>IF(ISNA(SQRT(SUMSQ(VLOOKUP($B123&amp;"; "&amp;$H$118&amp;", "&amp;$H$119,'FE Déplacements'!$G:$U,7,FALSE),$BH123))),0,SQRT(SUMSQ(VLOOKUP($B123&amp;"; "&amp;$H$118&amp;", "&amp;$H$119,'FE Déplacements'!$G:$U,7,FALSE),$BH123)))</f>
        <v>0</v>
      </c>
      <c r="BJ123" s="1068">
        <f>IF(ISNA(SQRT(SUMSQ(VLOOKUP($B123&amp;"; "&amp;$H$118&amp;", "&amp;$H$119,'FE Déplacements'!$G:$U,7,FALSE),$BH123))),0,SQRT(SUMSQ(VLOOKUP($B123&amp;"; "&amp;$H$118&amp;", "&amp;$H$119,'FE Déplacements'!$G:$U,7,FALSE),$BH123)))</f>
        <v>0</v>
      </c>
      <c r="BK123" s="1068">
        <f>IF(ISNA(SQRT(SUMSQ(VLOOKUP($B123&amp;"; "&amp;$H$118&amp;", "&amp;$H$119,'FE Déplacements'!$G:$U,7,FALSE),$BH123))),0,SQRT(SUMSQ(VLOOKUP($B123&amp;"; "&amp;$H$118&amp;", "&amp;$H$119,'FE Déplacements'!$G:$U,7,FALSE),$BH123)))</f>
        <v>0</v>
      </c>
      <c r="BL123" s="1125">
        <f>IF(ISNA(SQRT(SUMSQ(VLOOKUP($B123&amp;"; "&amp;$H$118&amp;", "&amp;$H$119,'FE Déplacements'!$G:$U,7,FALSE),$BH123))),0,SQRT(SUMSQ(VLOOKUP($B123&amp;"; "&amp;$H$118&amp;", "&amp;$H$119,'FE Déplacements'!$G:$U,7,FALSE),$BH123)))</f>
        <v>0</v>
      </c>
      <c r="BM123" s="1124">
        <f>IF(ISNA(SQRT(SUMSQ(VLOOKUP($B123&amp;"; "&amp;$H$118&amp;", "&amp;$I$119,'FE Déplacements'!$G:$U,7,FALSE),$BH123))),0,SQRT(SUMSQ(VLOOKUP($B123&amp;"; "&amp;$H$118&amp;", "&amp;$I$119,'FE Déplacements'!$G:$U,7,FALSE),$BH123)))</f>
        <v>0</v>
      </c>
      <c r="BN123" s="1068">
        <f>IF(ISNA(SQRT(SUMSQ(VLOOKUP($B123&amp;"; "&amp;$H$118&amp;", "&amp;$I$119,'FE Déplacements'!$G:$U,7,FALSE),$BH123))),0,SQRT(SUMSQ(VLOOKUP($B123&amp;"; "&amp;$H$118&amp;", "&amp;$I$119,'FE Déplacements'!$G:$U,7,FALSE),$BH123)))</f>
        <v>0</v>
      </c>
      <c r="BO123" s="1068">
        <f>IF(ISNA(SQRT(SUMSQ(VLOOKUP($B123&amp;"; "&amp;$H$118&amp;", "&amp;$I$119,'FE Déplacements'!$G:$U,7,FALSE),$BH123))),0,SQRT(SUMSQ(VLOOKUP($B123&amp;"; "&amp;$H$118&amp;", "&amp;$I$119,'FE Déplacements'!$G:$U,7,FALSE),$BH123)))</f>
        <v>0</v>
      </c>
      <c r="BP123" s="1125">
        <f>IF(ISNA(SQRT(SUMSQ(VLOOKUP($B123&amp;"; "&amp;$H$118&amp;", "&amp;$I$119,'FE Déplacements'!$G:$U,7,FALSE),$BH123))),0,SQRT(SUMSQ(VLOOKUP($B123&amp;"; "&amp;$H$118&amp;", "&amp;$I$119,'FE Déplacements'!$G:$U,7,FALSE),$BH123)))</f>
        <v>0</v>
      </c>
    </row>
    <row r="124" spans="1:68" outlineLevel="2">
      <c r="B124" s="143" t="s">
        <v>1663</v>
      </c>
      <c r="C124" s="144"/>
      <c r="D124" s="212">
        <f t="shared" si="78"/>
        <v>0</v>
      </c>
      <c r="E124" s="212"/>
      <c r="F124" s="120"/>
      <c r="G124" s="120"/>
      <c r="H124" s="217">
        <f>IF(ISNA(VLOOKUP($B124&amp;"; "&amp;$H$118&amp;", "&amp;H$119,'FE Déplacements'!$G:$U,9,FALSE)),0,VLOOKUP($B124&amp;"; "&amp;$H$118&amp;", "&amp;H$119,'FE Déplacements'!$G:$U,9,FALSE))</f>
        <v>0</v>
      </c>
      <c r="I124" s="217">
        <f>IF(ISNA(VLOOKUP($B124&amp;"; "&amp;$H$118&amp;", "&amp;$I$119,'FE Déplacements'!$G:$U,9,FALSE)),0,VLOOKUP($B124&amp;"; "&amp;$H$118&amp;", "&amp;$I$119,'FE Déplacements'!$G:$U,9,FALSE))</f>
        <v>0</v>
      </c>
      <c r="J124" s="120"/>
      <c r="K124" s="335">
        <f>IF(ISNA(VLOOKUP($B124&amp;"; "&amp;$K$118&amp;", "&amp;K$119,'FE Déplacements'!$G:$U,9,FALSE)),0,VLOOKUP($B124&amp;"; "&amp;$K$118&amp;", "&amp;K$119,'FE Déplacements'!$G:$U,9,FALSE))</f>
        <v>0</v>
      </c>
      <c r="L124" s="335">
        <f>IF(ISNA(VLOOKUP($B124&amp;"; "&amp;$K$118&amp;", "&amp;$L$119,'FE Déplacements'!$G:$U,9,FALSE)),0,VLOOKUP($B124&amp;"; "&amp;$K$118&amp;", "&amp;$L$119,'FE Déplacements'!$G:$U,9,FALSE))</f>
        <v>0</v>
      </c>
      <c r="M124" s="120"/>
      <c r="N124" s="335">
        <f>IF(ISNA(VLOOKUP($B124&amp;"; "&amp;$N$118&amp;", "&amp;$N$119,'FE Déplacements'!$G:$U,9,FALSE)),0,VLOOKUP($B124&amp;"; "&amp;$N$118&amp;", "&amp;$N$119,'FE Déplacements'!$G:$U,9,FALSE))</f>
        <v>0</v>
      </c>
      <c r="O124" s="335">
        <f>IF(ISNA(VLOOKUP($B124&amp;"; "&amp;$N$118&amp;", "&amp;$O$119,'FE Déplacements'!$G:$U,9,FALSE)),0,VLOOKUP($B124&amp;"; "&amp;$N$118&amp;", "&amp;$O$119,'FE Déplacements'!$G:$U,9,FALSE))</f>
        <v>0</v>
      </c>
      <c r="P124" s="120"/>
      <c r="Q124" s="335">
        <f>IF(ISNA(VLOOKUP($B124&amp;"; "&amp;$Q$118&amp;", "&amp;$Q$119,'FE Déplacements'!$G:$U,9,FALSE)),0,VLOOKUP($B124&amp;"; "&amp;$Q$118&amp;", "&amp;$Q$119,'FE Déplacements'!$G:$U,9,FALSE))</f>
        <v>0</v>
      </c>
      <c r="R124" s="335">
        <f>IF(ISNA(VLOOKUP($B124&amp;"; "&amp;$Q$118&amp;", "&amp;$R$119,'FE Déplacements'!$G:$U,9,FALSE)),0,VLOOKUP($B124&amp;"; "&amp;$Q$118&amp;", "&amp;$R$119,'FE Déplacements'!$G:$U,9,FALSE))</f>
        <v>0</v>
      </c>
      <c r="S124" s="151">
        <f t="shared" si="79"/>
        <v>0</v>
      </c>
      <c r="T124" s="152">
        <f t="shared" si="80"/>
        <v>0</v>
      </c>
      <c r="U124" s="165">
        <f>IF(OR(F124=Utilitaires!$I$572,F124=Utilitaires!$I$577),T124,0)</f>
        <v>0</v>
      </c>
      <c r="X124" s="1092">
        <f t="shared" si="85"/>
        <v>0</v>
      </c>
      <c r="Y124" s="343"/>
      <c r="Z124" s="820"/>
      <c r="AA124" s="164">
        <f t="shared" si="81"/>
        <v>0</v>
      </c>
      <c r="AB124" s="164">
        <f t="shared" si="82"/>
        <v>0</v>
      </c>
      <c r="AC124" s="152">
        <f t="shared" si="83"/>
        <v>0</v>
      </c>
      <c r="AD124" s="1286">
        <f t="shared" si="86"/>
        <v>0</v>
      </c>
      <c r="AG124" s="564">
        <f>$G124*IF(ISNA(VLOOKUP($B124&amp;"; "&amp;$H$118&amp;", "&amp;H$119,'FE Déplacements'!$G:$U,10,FALSE)),0,VLOOKUP($B124&amp;"; "&amp;$H$118&amp;", "&amp;H$119,'FE Déplacements'!$G:$U,10,FALSE))
+$J124*IF(ISNA(VLOOKUP($B124&amp;"; "&amp;$K$118&amp;", "&amp;H$119,'FE Déplacements'!$G:$U,10,FALSE)),0,VLOOKUP($B124&amp;"; "&amp;$K$118&amp;", "&amp;H$119,'FE Déplacements'!$G:$U,10,FALSE))
+$M124*IF(ISNA(VLOOKUP($B124&amp;"; "&amp;$N$118&amp;", "&amp;H$119,'FE Déplacements'!$G:$U,10,FALSE)),0,VLOOKUP($B124&amp;"; "&amp;$N$118&amp;", "&amp;H$119,'FE Déplacements'!$G:$U,10,FALSE))
+$P124*IF(ISNA(VLOOKUP($B124&amp;"; "&amp;$Q$118&amp;", "&amp;H$119,'FE Déplacements'!$G:$U,10,FALSE)),0,VLOOKUP($B124&amp;"; "&amp;$Q$118&amp;", "&amp;H$119,'FE Déplacements'!$G:$U,10,FALSE))</f>
        <v>0</v>
      </c>
      <c r="AH124" s="565">
        <f>$G124*IF(ISNA(VLOOKUP($B124&amp;"; "&amp;$H$118&amp;", "&amp;I$119,'FE Déplacements'!$G:$U,10,FALSE)),0,VLOOKUP($B124&amp;"; "&amp;$H$118&amp;", "&amp;I$119,'FE Déplacements'!$G:$U,10,FALSE))
+$J124*IF(ISNA(VLOOKUP($B124&amp;"; "&amp;$K$118&amp;", "&amp;I$119,'FE Déplacements'!$G:$U,10,FALSE)),0,VLOOKUP($B124&amp;"; "&amp;$K$118&amp;", "&amp;I$119,'FE Déplacements'!$G:$U,10,FALSE))
+$M124*IF(ISNA(VLOOKUP($B124&amp;"; "&amp;$N$118&amp;", "&amp;I$119,'FE Déplacements'!$G:$U,10,FALSE)),0,VLOOKUP($B124&amp;"; "&amp;$N$118&amp;", "&amp;I$119,'FE Déplacements'!$G:$U,10,FALSE))
+$P124*IF(ISNA(VLOOKUP($B124&amp;"; "&amp;$Q$118&amp;", "&amp;I$119,'FE Déplacements'!$G:$U,10,FALSE)),0,VLOOKUP($B124&amp;"; "&amp;$Q$118&amp;", "&amp;I$119,'FE Déplacements'!$G:$U,10,FALSE))</f>
        <v>0</v>
      </c>
      <c r="AI124" s="565"/>
      <c r="AJ124" s="565">
        <f>$G124*IF(ISNA((VLOOKUP($B124&amp;"; "&amp;$H$118&amp;", "&amp;H$119,'FE Déplacements'!$G:$U,12,FALSE)+VLOOKUP($B124&amp;"; "&amp;$H$118&amp;", "&amp;H$119,'FE Déplacements'!$G:$U,11,FALSE))),0,(VLOOKUP($B124&amp;"; "&amp;$H$118&amp;", "&amp;H$119,'FE Déplacements'!$G:$U,12,FALSE)+VLOOKUP($B124&amp;"; "&amp;$H$118&amp;", "&amp;H$119,'FE Déplacements'!$G:$U,11,FALSE)))
+$J124*IF(ISNA((VLOOKUP($B124&amp;"; "&amp;$K$118&amp;", "&amp;H$119,'FE Déplacements'!$G:$U,12,FALSE)+VLOOKUP($B124&amp;"; "&amp;$K$118&amp;", "&amp;H$119,'FE Déplacements'!$G:$U,11,FALSE))),0,(VLOOKUP($B124&amp;"; "&amp;$K$118&amp;", "&amp;H$119,'FE Déplacements'!$G:$U,12,FALSE)+VLOOKUP($B124&amp;"; "&amp;$K$118&amp;", "&amp;H$119,'FE Déplacements'!$G:$U,11,FALSE)))
+$M124*IF(ISNA((VLOOKUP($B124&amp;"; "&amp;$N$118&amp;", "&amp;H$119,'FE Déplacements'!$G:$U,12,FALSE)+VLOOKUP($B124&amp;"; "&amp;$N$118&amp;", "&amp;H$119,'FE Déplacements'!$G:$U,11,FALSE))),0,(VLOOKUP($B124&amp;"; "&amp;$N$118&amp;", "&amp;H$119,'FE Déplacements'!$G:$U,12,FALSE)+VLOOKUP($B124&amp;"; "&amp;$N$118&amp;", "&amp;H$119,'FE Déplacements'!$G:$U,11,FALSE)))
+$P124*IF(ISNA((VLOOKUP($B124&amp;"; "&amp;$Q$118&amp;", "&amp;H$119,'FE Déplacements'!$G:$U,12,FALSE)+VLOOKUP($B124&amp;"; "&amp;$Q$118&amp;", "&amp;H$119,'FE Déplacements'!$G:$U,11,FALSE))),0,(VLOOKUP($B124&amp;"; "&amp;$Q$118&amp;", "&amp;H$119,'FE Déplacements'!$G:$U,12,FALSE)+VLOOKUP($B124&amp;"; "&amp;$Q$118&amp;", "&amp;H$119,'FE Déplacements'!$G:$U,11,FALSE)))</f>
        <v>0</v>
      </c>
      <c r="AK124" s="565">
        <f>$G124*IF(ISNA((VLOOKUP($B124&amp;"; "&amp;$H$118&amp;", "&amp;I$119,'FE Déplacements'!$G:$U,12,FALSE)+VLOOKUP($B124&amp;"; "&amp;$H$118&amp;", "&amp;I$119,'FE Déplacements'!$G:$U,11,FALSE))),0,(VLOOKUP($B124&amp;"; "&amp;$H$118&amp;", "&amp;I$119,'FE Déplacements'!$G:$U,12,FALSE)+VLOOKUP($B124&amp;"; "&amp;$H$118&amp;", "&amp;I$119,'FE Déplacements'!$G:$U,11,FALSE)))
+$J124*IF(ISNA((VLOOKUP($B124&amp;"; "&amp;$K$118&amp;", "&amp;I$119,'FE Déplacements'!$G:$U,12,FALSE)+VLOOKUP($B124&amp;"; "&amp;$K$118&amp;", "&amp;I$119,'FE Déplacements'!$G:$U,11,FALSE))),0,(VLOOKUP($B124&amp;"; "&amp;$K$118&amp;", "&amp;I$119,'FE Déplacements'!$G:$U,12,FALSE)+VLOOKUP($B124&amp;"; "&amp;$K$118&amp;", "&amp;I$119,'FE Déplacements'!$G:$U,11,FALSE)))
+$M124*IF(ISNA((VLOOKUP($B124&amp;"; "&amp;$N$118&amp;", "&amp;I$119,'FE Déplacements'!$G:$U,12,FALSE)+VLOOKUP($B124&amp;"; "&amp;$N$118&amp;", "&amp;I$119,'FE Déplacements'!$G:$U,11,FALSE))),0,(VLOOKUP($B124&amp;"; "&amp;$N$118&amp;", "&amp;I$119,'FE Déplacements'!$G:$U,12,FALSE)+VLOOKUP($B124&amp;"; "&amp;$N$118&amp;", "&amp;I$119,'FE Déplacements'!$G:$U,11,FALSE)))
+$P124*IF(ISNA((VLOOKUP($B124&amp;"; "&amp;$Q$118&amp;", "&amp;I$119,'FE Déplacements'!$G:$U,12,FALSE)+VLOOKUP($B124&amp;"; "&amp;$Q$118&amp;", "&amp;I$119,'FE Déplacements'!$G:$U,11,FALSE))),0,(VLOOKUP($B124&amp;"; "&amp;$Q$118&amp;", "&amp;I$119,'FE Déplacements'!$G:$U,12,FALSE)+VLOOKUP($B124&amp;"; "&amp;$Q$118&amp;", "&amp;I$119,'FE Déplacements'!$G:$U,11,FALSE)))</f>
        <v>0</v>
      </c>
      <c r="AL124" s="565"/>
      <c r="AM124" s="565">
        <f>$G124*IF(ISNA(VLOOKUP($B124&amp;"; "&amp;$H$118&amp;", "&amp;H$119,'FE Déplacements'!$G:$U,13,FALSE)),0,VLOOKUP($B124&amp;"; "&amp;$H$118&amp;", "&amp;H$119,'FE Déplacements'!$G:$U,13,FALSE))
+$J124*IF(ISNA(VLOOKUP($B124&amp;"; "&amp;$K$118&amp;", "&amp;H$119,'FE Déplacements'!$G:$U,13,FALSE)),0,VLOOKUP($B124&amp;"; "&amp;$K$118&amp;", "&amp;H$119,'FE Déplacements'!$G:$U,13,FALSE))
+$M124*IF(ISNA(VLOOKUP($B124&amp;"; "&amp;$N$118&amp;", "&amp;H$119,'FE Déplacements'!$G:$U,13,FALSE)),0,VLOOKUP($B124&amp;"; "&amp;$N$118&amp;", "&amp;H$119,'FE Déplacements'!$G:$U,13,FALSE))
+$P124*IF(ISNA(VLOOKUP($B124&amp;"; "&amp;$Q$118&amp;", "&amp;H$119,'FE Déplacements'!$G:$U,13,FALSE)),0,VLOOKUP($B124&amp;"; "&amp;$Q$118&amp;", "&amp;H$119,'FE Déplacements'!$G:$U,13,FALSE))</f>
        <v>0</v>
      </c>
      <c r="AN124" s="565">
        <f>$G124*IF(ISNA(VLOOKUP($B124&amp;"; "&amp;$H$118&amp;", "&amp;I$119,'FE Déplacements'!$G:$U,13,FALSE)),0,VLOOKUP($B124&amp;"; "&amp;$H$118&amp;", "&amp;I$119,'FE Déplacements'!$G:$U,13,FALSE))
+$J124*IF(ISNA(VLOOKUP($B124&amp;"; "&amp;$K$118&amp;", "&amp;I$119,'FE Déplacements'!$G:$U,13,FALSE)),0,VLOOKUP($B124&amp;"; "&amp;$K$118&amp;", "&amp;I$119,'FE Déplacements'!$G:$U,13,FALSE))
+$M124*IF(ISNA(VLOOKUP($B124&amp;"; "&amp;$N$118&amp;", "&amp;I$119,'FE Déplacements'!$G:$U,13,FALSE)),0,VLOOKUP($B124&amp;"; "&amp;$N$118&amp;", "&amp;I$119,'FE Déplacements'!$G:$U,13,FALSE))
+$P124*IF(ISNA(VLOOKUP($B124&amp;"; "&amp;$Q$118&amp;", "&amp;I$119,'FE Déplacements'!$G:$U,13,FALSE)),0,VLOOKUP($B124&amp;"; "&amp;$Q$118&amp;", "&amp;I$119,'FE Déplacements'!$G:$U,13,FALSE))</f>
        <v>0</v>
      </c>
      <c r="AO124" s="565"/>
      <c r="AP124" s="565">
        <v>0</v>
      </c>
      <c r="AQ124" s="565">
        <v>0</v>
      </c>
      <c r="AR124" s="565"/>
      <c r="AS124" s="1288">
        <f t="shared" si="84"/>
        <v>0</v>
      </c>
      <c r="AT124" s="566">
        <f t="shared" si="84"/>
        <v>0</v>
      </c>
      <c r="AU124" s="566"/>
      <c r="AV124" s="564">
        <f>$G124*IF(ISNA(VLOOKUP($B124&amp;"; "&amp;$H$118&amp;", "&amp;H$119,'FE Déplacements'!$G:$U,15,FALSE)),0,VLOOKUP($B124&amp;"; "&amp;$H$118&amp;", "&amp;H$119,'FE Déplacements'!$G:$U,15,FALSE))
+$J124*IF(ISNA(VLOOKUP($B124&amp;"; "&amp;$K$118&amp;", "&amp;H$119,'FE Déplacements'!$G:$U,15,FALSE)),0,VLOOKUP($B124&amp;"; "&amp;$K$118&amp;", "&amp;H$119,'FE Déplacements'!$G:$U,15,FALSE))
+$M124*IF(ISNA(VLOOKUP($B124&amp;"; "&amp;$N$118&amp;", "&amp;H$119,'FE Déplacements'!$G:$U,15,FALSE)),0,VLOOKUP($B124&amp;"; "&amp;$N$118&amp;", "&amp;H$119,'FE Déplacements'!$G:$U,15,FALSE))
+$P124*IF(ISNA(VLOOKUP($B124&amp;"; "&amp;$Q$118&amp;", "&amp;H$119,'FE Déplacements'!$G:$U,15,FALSE)),0,VLOOKUP($B124&amp;"; "&amp;$Q$118&amp;", "&amp;H$119,'FE Déplacements'!$G:$U,15,FALSE))</f>
        <v>0</v>
      </c>
      <c r="AW124" s="565">
        <f>$G124*IF(ISNA(VLOOKUP($B124&amp;"; "&amp;$H$118&amp;", "&amp;I$119,'FE Déplacements'!$G:$U,15,FALSE)),0,VLOOKUP($B124&amp;"; "&amp;$H$118&amp;", "&amp;I$119,'FE Déplacements'!$G:$U,15,FALSE))
+$J124*IF(ISNA(VLOOKUP($B124&amp;"; "&amp;$K$118&amp;", "&amp;I$119,'FE Déplacements'!$G:$U,15,FALSE)),0,VLOOKUP($B124&amp;"; "&amp;$K$118&amp;", "&amp;I$119,'FE Déplacements'!$G:$U,15,FALSE))
+$M124*IF(ISNA(VLOOKUP($B124&amp;"; "&amp;$N$118&amp;", "&amp;I$119,'FE Déplacements'!$G:$U,15,FALSE)),0,VLOOKUP($B124&amp;"; "&amp;$N$118&amp;", "&amp;I$119,'FE Déplacements'!$G:$U,15,FALSE))
+$P124*IF(ISNA(VLOOKUP($B124&amp;"; "&amp;$Q$118&amp;", "&amp;I$119,'FE Déplacements'!$G:$U,15,FALSE)),0,VLOOKUP($B124&amp;"; "&amp;$Q$118&amp;", "&amp;I$119,'FE Déplacements'!$G:$U,15,FALSE))</f>
        <v>0</v>
      </c>
      <c r="AX124" s="568"/>
      <c r="BH124" s="1065">
        <f>IF($Y124&lt;&gt;"votre valeur :",IF(ISNA(VLOOKUP($Y124,Utilitaires!$N$566:$O$571,2,FALSE)),,VLOOKUP($Y124,Utilitaires!$N$566:$O$571,2,FALSE)),$Z124)</f>
        <v>0</v>
      </c>
      <c r="BI124" s="1124">
        <f>IF(ISNA(SQRT(SUMSQ(VLOOKUP($B124&amp;"; "&amp;$H$118&amp;", "&amp;$H$119,'FE Déplacements'!$G:$U,7,FALSE),$BH124))),0,SQRT(SUMSQ(VLOOKUP($B124&amp;"; "&amp;$H$118&amp;", "&amp;$H$119,'FE Déplacements'!$G:$U,7,FALSE),$BH124)))</f>
        <v>0</v>
      </c>
      <c r="BJ124" s="1068">
        <f>IF(ISNA(SQRT(SUMSQ(VLOOKUP($B124&amp;"; "&amp;$H$118&amp;", "&amp;$H$119,'FE Déplacements'!$G:$U,7,FALSE),$BH124))),0,SQRT(SUMSQ(VLOOKUP($B124&amp;"; "&amp;$H$118&amp;", "&amp;$H$119,'FE Déplacements'!$G:$U,7,FALSE),$BH124)))</f>
        <v>0</v>
      </c>
      <c r="BK124" s="1068">
        <f>IF(ISNA(SQRT(SUMSQ(VLOOKUP($B124&amp;"; "&amp;$H$118&amp;", "&amp;$H$119,'FE Déplacements'!$G:$U,7,FALSE),$BH124))),0,SQRT(SUMSQ(VLOOKUP($B124&amp;"; "&amp;$H$118&amp;", "&amp;$H$119,'FE Déplacements'!$G:$U,7,FALSE),$BH124)))</f>
        <v>0</v>
      </c>
      <c r="BL124" s="1125">
        <f>IF(ISNA(SQRT(SUMSQ(VLOOKUP($B124&amp;"; "&amp;$H$118&amp;", "&amp;$H$119,'FE Déplacements'!$G:$U,7,FALSE),$BH124))),0,SQRT(SUMSQ(VLOOKUP($B124&amp;"; "&amp;$H$118&amp;", "&amp;$H$119,'FE Déplacements'!$G:$U,7,FALSE),$BH124)))</f>
        <v>0</v>
      </c>
      <c r="BM124" s="1124">
        <f>IF(ISNA(SQRT(SUMSQ(VLOOKUP($B124&amp;"; "&amp;$H$118&amp;", "&amp;$I$119,'FE Déplacements'!$G:$U,7,FALSE),$BH124))),0,SQRT(SUMSQ(VLOOKUP($B124&amp;"; "&amp;$H$118&amp;", "&amp;$I$119,'FE Déplacements'!$G:$U,7,FALSE),$BH124)))</f>
        <v>0</v>
      </c>
      <c r="BN124" s="1068">
        <f>IF(ISNA(SQRT(SUMSQ(VLOOKUP($B124&amp;"; "&amp;$H$118&amp;", "&amp;$I$119,'FE Déplacements'!$G:$U,7,FALSE),$BH124))),0,SQRT(SUMSQ(VLOOKUP($B124&amp;"; "&amp;$H$118&amp;", "&amp;$I$119,'FE Déplacements'!$G:$U,7,FALSE),$BH124)))</f>
        <v>0</v>
      </c>
      <c r="BO124" s="1068">
        <f>IF(ISNA(SQRT(SUMSQ(VLOOKUP($B124&amp;"; "&amp;$H$118&amp;", "&amp;$I$119,'FE Déplacements'!$G:$U,7,FALSE),$BH124))),0,SQRT(SUMSQ(VLOOKUP($B124&amp;"; "&amp;$H$118&amp;", "&amp;$I$119,'FE Déplacements'!$G:$U,7,FALSE),$BH124)))</f>
        <v>0</v>
      </c>
      <c r="BP124" s="1125">
        <f>IF(ISNA(SQRT(SUMSQ(VLOOKUP($B124&amp;"; "&amp;$H$118&amp;", "&amp;$I$119,'FE Déplacements'!$G:$U,7,FALSE),$BH124))),0,SQRT(SUMSQ(VLOOKUP($B124&amp;"; "&amp;$H$118&amp;", "&amp;$I$119,'FE Déplacements'!$G:$U,7,FALSE),$BH124)))</f>
        <v>0</v>
      </c>
    </row>
    <row r="125" spans="1:68" outlineLevel="2">
      <c r="B125" s="143" t="s">
        <v>2253</v>
      </c>
      <c r="C125" s="144"/>
      <c r="D125" s="212">
        <f t="shared" si="78"/>
        <v>0</v>
      </c>
      <c r="E125" s="212"/>
      <c r="F125" s="123"/>
      <c r="G125" s="123"/>
      <c r="H125" s="217">
        <f>IF(ISNA(VLOOKUP($B125&amp;"; "&amp;$H$118&amp;", "&amp;H$119,'FE Déplacements'!$G:$U,9,FALSE)),0,VLOOKUP($B125&amp;"; "&amp;$H$118&amp;", "&amp;H$119,'FE Déplacements'!$G:$U,9,FALSE))</f>
        <v>1070</v>
      </c>
      <c r="I125" s="217">
        <f>IF(ISNA(VLOOKUP($B125&amp;"; "&amp;$H$118&amp;", "&amp;$I$119,'FE Déplacements'!$G:$U,9,FALSE)),0,VLOOKUP($B125&amp;"; "&amp;$H$118&amp;", "&amp;$I$119,'FE Déplacements'!$G:$U,9,FALSE))</f>
        <v>0</v>
      </c>
      <c r="J125" s="123"/>
      <c r="K125" s="335">
        <f>IF(ISNA(VLOOKUP($B125&amp;"; "&amp;$K$118&amp;", "&amp;K$119,'FE Déplacements'!$G:$U,9,FALSE)),0,VLOOKUP($B125&amp;"; "&amp;$K$118&amp;", "&amp;K$119,'FE Déplacements'!$G:$U,9,FALSE))</f>
        <v>0.14399999999999999</v>
      </c>
      <c r="L125" s="335">
        <f>IF(ISNA(VLOOKUP($B125&amp;"; "&amp;$K$118&amp;", "&amp;$L$119,'FE Déplacements'!$G:$U,9,FALSE)),0,VLOOKUP($B125&amp;"; "&amp;$K$118&amp;", "&amp;$L$119,'FE Déplacements'!$G:$U,9,FALSE))</f>
        <v>0</v>
      </c>
      <c r="M125" s="123"/>
      <c r="N125" s="335">
        <f>IF(ISNA(VLOOKUP($B125&amp;"; "&amp;$N$118&amp;", "&amp;$N$119,'FE Déplacements'!$G:$U,9,FALSE)),0,VLOOKUP($B125&amp;"; "&amp;$N$118&amp;", "&amp;$N$119,'FE Déplacements'!$G:$U,9,FALSE))</f>
        <v>1670</v>
      </c>
      <c r="O125" s="335">
        <f>IF(ISNA(VLOOKUP($B125&amp;"; "&amp;$N$118&amp;", "&amp;$O$119,'FE Déplacements'!$G:$U,9,FALSE)),0,VLOOKUP($B125&amp;"; "&amp;$N$118&amp;", "&amp;$O$119,'FE Déplacements'!$G:$U,9,FALSE))</f>
        <v>0</v>
      </c>
      <c r="P125" s="123"/>
      <c r="Q125" s="335">
        <f>IF(ISNA(VLOOKUP($B125&amp;"; "&amp;$Q$118&amp;", "&amp;$Q$119,'FE Déplacements'!$G:$U,9,FALSE)),0,VLOOKUP($B125&amp;"; "&amp;$Q$118&amp;", "&amp;$Q$119,'FE Déplacements'!$G:$U,9,FALSE))</f>
        <v>0.84799999999999998</v>
      </c>
      <c r="R125" s="335">
        <f>IF(ISNA(VLOOKUP($B125&amp;"; "&amp;$Q$118&amp;", "&amp;$R$119,'FE Déplacements'!$G:$U,9,FALSE)),0,VLOOKUP($B125&amp;"; "&amp;$Q$118&amp;", "&amp;$R$119,'FE Déplacements'!$G:$U,9,FALSE))</f>
        <v>0</v>
      </c>
      <c r="S125" s="151">
        <f t="shared" si="79"/>
        <v>0</v>
      </c>
      <c r="T125" s="152">
        <f t="shared" si="80"/>
        <v>0</v>
      </c>
      <c r="U125" s="165">
        <f>IF(OR(F125=Utilitaires!$I$572,F125=Utilitaires!$I$577),T125,0)</f>
        <v>0</v>
      </c>
      <c r="X125" s="1092">
        <f t="shared" si="85"/>
        <v>0</v>
      </c>
      <c r="Y125" s="1094"/>
      <c r="Z125" s="820"/>
      <c r="AA125" s="164">
        <f t="shared" si="81"/>
        <v>0</v>
      </c>
      <c r="AB125" s="164">
        <f t="shared" si="82"/>
        <v>0</v>
      </c>
      <c r="AC125" s="152">
        <f t="shared" si="83"/>
        <v>0</v>
      </c>
      <c r="AD125" s="1286">
        <f t="shared" si="86"/>
        <v>0</v>
      </c>
      <c r="AG125" s="564">
        <f>$G125*IF(ISNA(VLOOKUP($B125&amp;"; "&amp;$H$118&amp;", "&amp;H$119,'FE Déplacements'!$G:$U,10,FALSE)),0,VLOOKUP($B125&amp;"; "&amp;$H$118&amp;", "&amp;H$119,'FE Déplacements'!$G:$U,10,FALSE))
+$J125*IF(ISNA(VLOOKUP($B125&amp;"; "&amp;$K$118&amp;", "&amp;H$119,'FE Déplacements'!$G:$U,10,FALSE)),0,VLOOKUP($B125&amp;"; "&amp;$K$118&amp;", "&amp;H$119,'FE Déplacements'!$G:$U,10,FALSE))
+$M125*IF(ISNA(VLOOKUP($B125&amp;"; "&amp;$N$118&amp;", "&amp;H$119,'FE Déplacements'!$G:$U,10,FALSE)),0,VLOOKUP($B125&amp;"; "&amp;$N$118&amp;", "&amp;H$119,'FE Déplacements'!$G:$U,10,FALSE))
+$P125*IF(ISNA(VLOOKUP($B125&amp;"; "&amp;$Q$118&amp;", "&amp;H$119,'FE Déplacements'!$G:$U,10,FALSE)),0,VLOOKUP($B125&amp;"; "&amp;$Q$118&amp;", "&amp;H$119,'FE Déplacements'!$G:$U,10,FALSE))</f>
        <v>0</v>
      </c>
      <c r="AH125" s="565">
        <f>$G125*IF(ISNA(VLOOKUP($B125&amp;"; "&amp;$H$118&amp;", "&amp;I$119,'FE Déplacements'!$G:$U,10,FALSE)),0,VLOOKUP($B125&amp;"; "&amp;$H$118&amp;", "&amp;I$119,'FE Déplacements'!$G:$U,10,FALSE))
+$J125*IF(ISNA(VLOOKUP($B125&amp;"; "&amp;$K$118&amp;", "&amp;I$119,'FE Déplacements'!$G:$U,10,FALSE)),0,VLOOKUP($B125&amp;"; "&amp;$K$118&amp;", "&amp;I$119,'FE Déplacements'!$G:$U,10,FALSE))
+$M125*IF(ISNA(VLOOKUP($B125&amp;"; "&amp;$N$118&amp;", "&amp;I$119,'FE Déplacements'!$G:$U,10,FALSE)),0,VLOOKUP($B125&amp;"; "&amp;$N$118&amp;", "&amp;I$119,'FE Déplacements'!$G:$U,10,FALSE))
+$P125*IF(ISNA(VLOOKUP($B125&amp;"; "&amp;$Q$118&amp;", "&amp;I$119,'FE Déplacements'!$G:$U,10,FALSE)),0,VLOOKUP($B125&amp;"; "&amp;$Q$118&amp;", "&amp;I$119,'FE Déplacements'!$G:$U,10,FALSE))</f>
        <v>0</v>
      </c>
      <c r="AI125" s="565"/>
      <c r="AJ125" s="565">
        <f>$G125*IF(ISNA((VLOOKUP($B125&amp;"; "&amp;$H$118&amp;", "&amp;H$119,'FE Déplacements'!$G:$U,12,FALSE)+VLOOKUP($B125&amp;"; "&amp;$H$118&amp;", "&amp;H$119,'FE Déplacements'!$G:$U,11,FALSE))),0,(VLOOKUP($B125&amp;"; "&amp;$H$118&amp;", "&amp;H$119,'FE Déplacements'!$G:$U,12,FALSE)+VLOOKUP($B125&amp;"; "&amp;$H$118&amp;", "&amp;H$119,'FE Déplacements'!$G:$U,11,FALSE)))
+$J125*IF(ISNA((VLOOKUP($B125&amp;"; "&amp;$K$118&amp;", "&amp;H$119,'FE Déplacements'!$G:$U,12,FALSE)+VLOOKUP($B125&amp;"; "&amp;$K$118&amp;", "&amp;H$119,'FE Déplacements'!$G:$U,11,FALSE))),0,(VLOOKUP($B125&amp;"; "&amp;$K$118&amp;", "&amp;H$119,'FE Déplacements'!$G:$U,12,FALSE)+VLOOKUP($B125&amp;"; "&amp;$K$118&amp;", "&amp;H$119,'FE Déplacements'!$G:$U,11,FALSE)))
+$M125*IF(ISNA((VLOOKUP($B125&amp;"; "&amp;$N$118&amp;", "&amp;H$119,'FE Déplacements'!$G:$U,12,FALSE)+VLOOKUP($B125&amp;"; "&amp;$N$118&amp;", "&amp;H$119,'FE Déplacements'!$G:$U,11,FALSE))),0,(VLOOKUP($B125&amp;"; "&amp;$N$118&amp;", "&amp;H$119,'FE Déplacements'!$G:$U,12,FALSE)+VLOOKUP($B125&amp;"; "&amp;$N$118&amp;", "&amp;H$119,'FE Déplacements'!$G:$U,11,FALSE)))
+$P125*IF(ISNA((VLOOKUP($B125&amp;"; "&amp;$Q$118&amp;", "&amp;H$119,'FE Déplacements'!$G:$U,12,FALSE)+VLOOKUP($B125&amp;"; "&amp;$Q$118&amp;", "&amp;H$119,'FE Déplacements'!$G:$U,11,FALSE))),0,(VLOOKUP($B125&amp;"; "&amp;$Q$118&amp;", "&amp;H$119,'FE Déplacements'!$G:$U,12,FALSE)+VLOOKUP($B125&amp;"; "&amp;$Q$118&amp;", "&amp;H$119,'FE Déplacements'!$G:$U,11,FALSE)))</f>
        <v>0</v>
      </c>
      <c r="AK125" s="565">
        <f>$G125*IF(ISNA((VLOOKUP($B125&amp;"; "&amp;$H$118&amp;", "&amp;I$119,'FE Déplacements'!$G:$U,12,FALSE)+VLOOKUP($B125&amp;"; "&amp;$H$118&amp;", "&amp;I$119,'FE Déplacements'!$G:$U,11,FALSE))),0,(VLOOKUP($B125&amp;"; "&amp;$H$118&amp;", "&amp;I$119,'FE Déplacements'!$G:$U,12,FALSE)+VLOOKUP($B125&amp;"; "&amp;$H$118&amp;", "&amp;I$119,'FE Déplacements'!$G:$U,11,FALSE)))
+$J125*IF(ISNA((VLOOKUP($B125&amp;"; "&amp;$K$118&amp;", "&amp;I$119,'FE Déplacements'!$G:$U,12,FALSE)+VLOOKUP($B125&amp;"; "&amp;$K$118&amp;", "&amp;I$119,'FE Déplacements'!$G:$U,11,FALSE))),0,(VLOOKUP($B125&amp;"; "&amp;$K$118&amp;", "&amp;I$119,'FE Déplacements'!$G:$U,12,FALSE)+VLOOKUP($B125&amp;"; "&amp;$K$118&amp;", "&amp;I$119,'FE Déplacements'!$G:$U,11,FALSE)))
+$M125*IF(ISNA((VLOOKUP($B125&amp;"; "&amp;$N$118&amp;", "&amp;I$119,'FE Déplacements'!$G:$U,12,FALSE)+VLOOKUP($B125&amp;"; "&amp;$N$118&amp;", "&amp;I$119,'FE Déplacements'!$G:$U,11,FALSE))),0,(VLOOKUP($B125&amp;"; "&amp;$N$118&amp;", "&amp;I$119,'FE Déplacements'!$G:$U,12,FALSE)+VLOOKUP($B125&amp;"; "&amp;$N$118&amp;", "&amp;I$119,'FE Déplacements'!$G:$U,11,FALSE)))
+$P125*IF(ISNA((VLOOKUP($B125&amp;"; "&amp;$Q$118&amp;", "&amp;I$119,'FE Déplacements'!$G:$U,12,FALSE)+VLOOKUP($B125&amp;"; "&amp;$Q$118&amp;", "&amp;I$119,'FE Déplacements'!$G:$U,11,FALSE))),0,(VLOOKUP($B125&amp;"; "&amp;$Q$118&amp;", "&amp;I$119,'FE Déplacements'!$G:$U,12,FALSE)+VLOOKUP($B125&amp;"; "&amp;$Q$118&amp;", "&amp;I$119,'FE Déplacements'!$G:$U,11,FALSE)))</f>
        <v>0</v>
      </c>
      <c r="AL125" s="565"/>
      <c r="AM125" s="565">
        <f>$G125*IF(ISNA(VLOOKUP($B125&amp;"; "&amp;$H$118&amp;", "&amp;H$119,'FE Déplacements'!$G:$U,13,FALSE)),0,VLOOKUP($B125&amp;"; "&amp;$H$118&amp;", "&amp;H$119,'FE Déplacements'!$G:$U,13,FALSE))
+$J125*IF(ISNA(VLOOKUP($B125&amp;"; "&amp;$K$118&amp;", "&amp;H$119,'FE Déplacements'!$G:$U,13,FALSE)),0,VLOOKUP($B125&amp;"; "&amp;$K$118&amp;", "&amp;H$119,'FE Déplacements'!$G:$U,13,FALSE))
+$M125*IF(ISNA(VLOOKUP($B125&amp;"; "&amp;$N$118&amp;", "&amp;H$119,'FE Déplacements'!$G:$U,13,FALSE)),0,VLOOKUP($B125&amp;"; "&amp;$N$118&amp;", "&amp;H$119,'FE Déplacements'!$G:$U,13,FALSE))
+$P125*IF(ISNA(VLOOKUP($B125&amp;"; "&amp;$Q$118&amp;", "&amp;H$119,'FE Déplacements'!$G:$U,13,FALSE)),0,VLOOKUP($B125&amp;"; "&amp;$Q$118&amp;", "&amp;H$119,'FE Déplacements'!$G:$U,13,FALSE))</f>
        <v>0</v>
      </c>
      <c r="AN125" s="565">
        <f>$G125*IF(ISNA(VLOOKUP($B125&amp;"; "&amp;$H$118&amp;", "&amp;I$119,'FE Déplacements'!$G:$U,13,FALSE)),0,VLOOKUP($B125&amp;"; "&amp;$H$118&amp;", "&amp;I$119,'FE Déplacements'!$G:$U,13,FALSE))
+$J125*IF(ISNA(VLOOKUP($B125&amp;"; "&amp;$K$118&amp;", "&amp;I$119,'FE Déplacements'!$G:$U,13,FALSE)),0,VLOOKUP($B125&amp;"; "&amp;$K$118&amp;", "&amp;I$119,'FE Déplacements'!$G:$U,13,FALSE))
+$M125*IF(ISNA(VLOOKUP($B125&amp;"; "&amp;$N$118&amp;", "&amp;I$119,'FE Déplacements'!$G:$U,13,FALSE)),0,VLOOKUP($B125&amp;"; "&amp;$N$118&amp;", "&amp;I$119,'FE Déplacements'!$G:$U,13,FALSE))
+$P125*IF(ISNA(VLOOKUP($B125&amp;"; "&amp;$Q$118&amp;", "&amp;I$119,'FE Déplacements'!$G:$U,13,FALSE)),0,VLOOKUP($B125&amp;"; "&amp;$Q$118&amp;", "&amp;I$119,'FE Déplacements'!$G:$U,13,FALSE))</f>
        <v>0</v>
      </c>
      <c r="AO125" s="565"/>
      <c r="AP125" s="565">
        <v>0</v>
      </c>
      <c r="AQ125" s="565">
        <v>0</v>
      </c>
      <c r="AR125" s="565"/>
      <c r="AS125" s="1288">
        <f t="shared" si="84"/>
        <v>0</v>
      </c>
      <c r="AT125" s="566">
        <f t="shared" si="84"/>
        <v>0</v>
      </c>
      <c r="AU125" s="566"/>
      <c r="AV125" s="564">
        <f>$G125*IF(ISNA(VLOOKUP($B125&amp;"; "&amp;$H$118&amp;", "&amp;H$119,'FE Déplacements'!$G:$U,15,FALSE)),0,VLOOKUP($B125&amp;"; "&amp;$H$118&amp;", "&amp;H$119,'FE Déplacements'!$G:$U,15,FALSE))
+$J125*IF(ISNA(VLOOKUP($B125&amp;"; "&amp;$K$118&amp;", "&amp;H$119,'FE Déplacements'!$G:$U,15,FALSE)),0,VLOOKUP($B125&amp;"; "&amp;$K$118&amp;", "&amp;H$119,'FE Déplacements'!$G:$U,15,FALSE))
+$M125*IF(ISNA(VLOOKUP($B125&amp;"; "&amp;$N$118&amp;", "&amp;H$119,'FE Déplacements'!$G:$U,15,FALSE)),0,VLOOKUP($B125&amp;"; "&amp;$N$118&amp;", "&amp;H$119,'FE Déplacements'!$G:$U,15,FALSE))
+$P125*IF(ISNA(VLOOKUP($B125&amp;"; "&amp;$Q$118&amp;", "&amp;H$119,'FE Déplacements'!$G:$U,15,FALSE)),0,VLOOKUP($B125&amp;"; "&amp;$Q$118&amp;", "&amp;H$119,'FE Déplacements'!$G:$U,15,FALSE))</f>
        <v>0</v>
      </c>
      <c r="AW125" s="565">
        <f>$G125*IF(ISNA(VLOOKUP($B125&amp;"; "&amp;$H$118&amp;", "&amp;I$119,'FE Déplacements'!$G:$U,15,FALSE)),0,VLOOKUP($B125&amp;"; "&amp;$H$118&amp;", "&amp;I$119,'FE Déplacements'!$G:$U,15,FALSE))
+$J125*IF(ISNA(VLOOKUP($B125&amp;"; "&amp;$K$118&amp;", "&amp;I$119,'FE Déplacements'!$G:$U,15,FALSE)),0,VLOOKUP($B125&amp;"; "&amp;$K$118&amp;", "&amp;I$119,'FE Déplacements'!$G:$U,15,FALSE))
+$M125*IF(ISNA(VLOOKUP($B125&amp;"; "&amp;$N$118&amp;", "&amp;I$119,'FE Déplacements'!$G:$U,15,FALSE)),0,VLOOKUP($B125&amp;"; "&amp;$N$118&amp;", "&amp;I$119,'FE Déplacements'!$G:$U,15,FALSE))
+$P125*IF(ISNA(VLOOKUP($B125&amp;"; "&amp;$Q$118&amp;", "&amp;I$119,'FE Déplacements'!$G:$U,15,FALSE)),0,VLOOKUP($B125&amp;"; "&amp;$Q$118&amp;", "&amp;I$119,'FE Déplacements'!$G:$U,15,FALSE))</f>
        <v>0</v>
      </c>
      <c r="AX125" s="568"/>
      <c r="BH125" s="1065">
        <f>IF($Y125&lt;&gt;"votre valeur :",IF(ISNA(VLOOKUP($Y125,Utilitaires!$N$566:$O$571,2,FALSE)),,VLOOKUP($Y125,Utilitaires!$N$566:$O$571,2,FALSE)),$Z125)</f>
        <v>0</v>
      </c>
      <c r="BI125" s="1124">
        <f>IF(ISNA(SQRT(SUMSQ(VLOOKUP($B125&amp;"; "&amp;$H$118&amp;", "&amp;$H$119,'FE Déplacements'!$G:$U,7,FALSE),$BH125))),0,SQRT(SUMSQ(VLOOKUP($B125&amp;"; "&amp;$H$118&amp;", "&amp;$H$119,'FE Déplacements'!$G:$U,7,FALSE),$BH125)))</f>
        <v>0.2</v>
      </c>
      <c r="BJ125" s="1068">
        <f>IF(ISNA(SQRT(SUMSQ(VLOOKUP($B125&amp;"; "&amp;$H$118&amp;", "&amp;$H$119,'FE Déplacements'!$G:$U,7,FALSE),$BH125))),0,SQRT(SUMSQ(VLOOKUP($B125&amp;"; "&amp;$H$118&amp;", "&amp;$H$119,'FE Déplacements'!$G:$U,7,FALSE),$BH125)))</f>
        <v>0.2</v>
      </c>
      <c r="BK125" s="1068">
        <f>IF(ISNA(SQRT(SUMSQ(VLOOKUP($B125&amp;"; "&amp;$H$118&amp;", "&amp;$H$119,'FE Déplacements'!$G:$U,7,FALSE),$BH125))),0,SQRT(SUMSQ(VLOOKUP($B125&amp;"; "&amp;$H$118&amp;", "&amp;$H$119,'FE Déplacements'!$G:$U,7,FALSE),$BH125)))</f>
        <v>0.2</v>
      </c>
      <c r="BL125" s="1125">
        <f>IF(ISNA(SQRT(SUMSQ(VLOOKUP($B125&amp;"; "&amp;$H$118&amp;", "&amp;$H$119,'FE Déplacements'!$G:$U,7,FALSE),$BH125))),0,SQRT(SUMSQ(VLOOKUP($B125&amp;"; "&amp;$H$118&amp;", "&amp;$H$119,'FE Déplacements'!$G:$U,7,FALSE),$BH125)))</f>
        <v>0.2</v>
      </c>
      <c r="BM125" s="1124">
        <f>IF(ISNA(SQRT(SUMSQ(VLOOKUP($B125&amp;"; "&amp;$H$118&amp;", "&amp;$I$119,'FE Déplacements'!$G:$U,7,FALSE),$BH125))),0,SQRT(SUMSQ(VLOOKUP($B125&amp;"; "&amp;$H$118&amp;", "&amp;$I$119,'FE Déplacements'!$G:$U,7,FALSE),$BH125)))</f>
        <v>0</v>
      </c>
      <c r="BN125" s="1068">
        <f>IF(ISNA(SQRT(SUMSQ(VLOOKUP($B125&amp;"; "&amp;$H$118&amp;", "&amp;$I$119,'FE Déplacements'!$G:$U,7,FALSE),$BH125))),0,SQRT(SUMSQ(VLOOKUP($B125&amp;"; "&amp;$H$118&amp;", "&amp;$I$119,'FE Déplacements'!$G:$U,7,FALSE),$BH125)))</f>
        <v>0</v>
      </c>
      <c r="BO125" s="1068">
        <f>IF(ISNA(SQRT(SUMSQ(VLOOKUP($B125&amp;"; "&amp;$H$118&amp;", "&amp;$I$119,'FE Déplacements'!$G:$U,7,FALSE),$BH125))),0,SQRT(SUMSQ(VLOOKUP($B125&amp;"; "&amp;$H$118&amp;", "&amp;$I$119,'FE Déplacements'!$G:$U,7,FALSE),$BH125)))</f>
        <v>0</v>
      </c>
      <c r="BP125" s="1125">
        <f>IF(ISNA(SQRT(SUMSQ(VLOOKUP($B125&amp;"; "&amp;$H$118&amp;", "&amp;$I$119,'FE Déplacements'!$G:$U,7,FALSE),$BH125))),0,SQRT(SUMSQ(VLOOKUP($B125&amp;"; "&amp;$H$118&amp;", "&amp;$I$119,'FE Déplacements'!$G:$U,7,FALSE),$BH125)))</f>
        <v>0</v>
      </c>
    </row>
    <row r="126" spans="1:68" outlineLevel="2">
      <c r="B126" s="154"/>
      <c r="C126" s="144"/>
      <c r="D126" s="212"/>
      <c r="E126" s="212"/>
      <c r="F126" s="353"/>
      <c r="G126" s="155"/>
      <c r="H126" s="155"/>
      <c r="I126" s="155"/>
      <c r="J126" s="155"/>
      <c r="K126" s="155"/>
      <c r="L126" s="155"/>
      <c r="M126" s="155"/>
      <c r="N126" s="155"/>
      <c r="O126" s="155"/>
      <c r="P126" s="155"/>
      <c r="Q126" s="155"/>
      <c r="R126" s="155"/>
      <c r="S126" s="354"/>
      <c r="T126" s="156"/>
      <c r="U126" s="165"/>
      <c r="V126" s="116"/>
      <c r="W126" s="116"/>
      <c r="X126" s="1092"/>
      <c r="Y126" s="155"/>
      <c r="Z126" s="169"/>
      <c r="AA126" s="169"/>
      <c r="AB126" s="169"/>
      <c r="AC126" s="156"/>
      <c r="AD126" s="1776"/>
      <c r="AG126" s="564"/>
      <c r="AH126" s="565"/>
      <c r="AI126" s="565"/>
      <c r="AJ126" s="565"/>
      <c r="AK126" s="565"/>
      <c r="AL126" s="565"/>
      <c r="AM126" s="565"/>
      <c r="AN126" s="565"/>
      <c r="AO126" s="565"/>
      <c r="AP126" s="565"/>
      <c r="AQ126" s="565"/>
      <c r="AR126" s="565"/>
      <c r="AS126" s="1288"/>
      <c r="AT126" s="566"/>
      <c r="AU126" s="566"/>
      <c r="AV126" s="564"/>
      <c r="AW126" s="565"/>
      <c r="AX126" s="568"/>
      <c r="BH126" s="1087"/>
      <c r="BI126" s="1126"/>
      <c r="BJ126" s="1073"/>
      <c r="BK126" s="1073"/>
      <c r="BL126" s="1074"/>
      <c r="BM126" s="1075"/>
      <c r="BN126" s="1076"/>
      <c r="BO126" s="1076"/>
      <c r="BP126" s="1077"/>
    </row>
    <row r="127" spans="1:68" outlineLevel="2">
      <c r="B127" s="196" t="s">
        <v>348</v>
      </c>
      <c r="C127" s="197"/>
      <c r="D127" s="214">
        <f>SUM(D120:D126)</f>
        <v>38257.154999999999</v>
      </c>
      <c r="E127" s="214"/>
      <c r="F127" s="198"/>
      <c r="G127" s="199"/>
      <c r="H127" s="199"/>
      <c r="I127" s="199"/>
      <c r="J127" s="199"/>
      <c r="K127" s="199"/>
      <c r="L127" s="199"/>
      <c r="M127" s="199"/>
      <c r="N127" s="199"/>
      <c r="O127" s="199"/>
      <c r="P127" s="199"/>
      <c r="Q127" s="199"/>
      <c r="R127" s="199"/>
      <c r="S127" s="202">
        <f>SUM(S120:S126)</f>
        <v>7518.1049999999996</v>
      </c>
      <c r="T127" s="200">
        <f>SUM(T120:T126)</f>
        <v>30739.050000000003</v>
      </c>
      <c r="U127" s="340">
        <f>SUM(U120:U126)</f>
        <v>0</v>
      </c>
      <c r="V127" s="116"/>
      <c r="W127" s="116"/>
      <c r="X127" s="1203">
        <f t="shared" si="85"/>
        <v>4.1358381392838671E-2</v>
      </c>
      <c r="Y127" s="199"/>
      <c r="Z127" s="199"/>
      <c r="AA127" s="203">
        <f>SQRT(SUMSQ(AA119:AA126))</f>
        <v>375.90525000000002</v>
      </c>
      <c r="AB127" s="203">
        <f>SQRT(SUMSQ(AB119:AB126))</f>
        <v>1536.9525000000003</v>
      </c>
      <c r="AC127" s="200">
        <f>SQRT(SUMSQ(AC119:AC126))</f>
        <v>1582.254007494945</v>
      </c>
      <c r="AD127" s="340">
        <f>SQRT(SUMSQ(AD120:AD126))</f>
        <v>0</v>
      </c>
      <c r="AG127" s="571">
        <f>SUM(AG120:AG126)</f>
        <v>7048.994999999999</v>
      </c>
      <c r="AH127" s="572">
        <f>SUM(AH120:AH126)</f>
        <v>30492.15</v>
      </c>
      <c r="AI127" s="572"/>
      <c r="AJ127" s="572">
        <f>SUM(AJ120:AJ126)</f>
        <v>70.366500000000002</v>
      </c>
      <c r="AK127" s="572">
        <f>SUM(AK120:AK126)</f>
        <v>12.221550000000001</v>
      </c>
      <c r="AL127" s="572"/>
      <c r="AM127" s="572">
        <f>SUM(AM120:AM126)</f>
        <v>396.27449999999993</v>
      </c>
      <c r="AN127" s="572">
        <f>SUM(AN120:AN126)</f>
        <v>248.1345</v>
      </c>
      <c r="AO127" s="572"/>
      <c r="AP127" s="572">
        <f>SUM(AP120:AP126)</f>
        <v>0</v>
      </c>
      <c r="AQ127" s="572">
        <f>SUM(AQ120:AQ126)</f>
        <v>0</v>
      </c>
      <c r="AR127" s="572"/>
      <c r="AS127" s="1290">
        <f>SUM(AS120:AS126)</f>
        <v>7515.6359999999986</v>
      </c>
      <c r="AT127" s="573">
        <f>SUM(AT120:AT126)</f>
        <v>30752.50605</v>
      </c>
      <c r="AU127" s="573"/>
      <c r="AV127" s="1082">
        <f>SUM(AV120:AV126)</f>
        <v>-1924.573155</v>
      </c>
      <c r="AW127" s="572">
        <f>SUM(AW120:AW126)</f>
        <v>1924.573155</v>
      </c>
      <c r="AX127" s="575"/>
    </row>
    <row r="128" spans="1:68" outlineLevel="2">
      <c r="P128" s="116"/>
    </row>
    <row r="129" spans="2:63" ht="12.75" customHeight="1" outlineLevel="2">
      <c r="B129" s="139" t="s">
        <v>3685</v>
      </c>
      <c r="C129" s="140"/>
      <c r="D129" s="1008"/>
      <c r="E129" s="1648"/>
      <c r="F129" s="1008"/>
      <c r="G129" s="141"/>
      <c r="H129" s="141"/>
      <c r="I129" s="142"/>
      <c r="J129" s="116"/>
      <c r="K129" s="116"/>
      <c r="L129" s="116"/>
      <c r="M129" s="116"/>
      <c r="N129" s="116"/>
      <c r="O129" s="116"/>
      <c r="P129" s="116"/>
      <c r="Q129" s="116"/>
      <c r="R129" s="116"/>
      <c r="S129" s="116"/>
      <c r="T129" s="116"/>
      <c r="U129" s="116"/>
      <c r="V129" s="116"/>
      <c r="W129" s="116"/>
      <c r="X129" s="2636" t="s">
        <v>366</v>
      </c>
      <c r="Y129" s="2637"/>
      <c r="Z129" s="2637"/>
      <c r="AA129" s="2638"/>
      <c r="AC129" s="116"/>
      <c r="AD129" s="116"/>
      <c r="AG129" s="2639" t="s">
        <v>441</v>
      </c>
      <c r="AH129" s="2640"/>
      <c r="AI129" s="2640"/>
      <c r="AJ129" s="2640"/>
      <c r="AK129" s="2640"/>
      <c r="AL129" s="2640"/>
      <c r="AM129" s="2640"/>
      <c r="AN129" s="2640"/>
      <c r="AO129" s="2640"/>
      <c r="AP129" s="2640"/>
      <c r="AQ129" s="2640"/>
      <c r="AR129" s="2640"/>
      <c r="AS129" s="2640"/>
      <c r="AT129" s="2640"/>
      <c r="AU129" s="2640"/>
      <c r="AV129" s="2640"/>
      <c r="AW129" s="2640"/>
      <c r="AX129" s="2641"/>
    </row>
    <row r="130" spans="2:63" ht="12.75" customHeight="1" outlineLevel="2">
      <c r="B130" s="143"/>
      <c r="C130" s="144"/>
      <c r="D130" s="537" t="s">
        <v>308</v>
      </c>
      <c r="E130" s="1663"/>
      <c r="F130" s="144"/>
      <c r="G130" s="144"/>
      <c r="H130" s="1010"/>
      <c r="I130" s="539" t="s">
        <v>444</v>
      </c>
      <c r="J130" s="116"/>
      <c r="K130" s="116"/>
      <c r="L130" s="116"/>
      <c r="M130" s="116"/>
      <c r="N130" s="116"/>
      <c r="O130" s="116"/>
      <c r="P130" s="116"/>
      <c r="Q130" s="116"/>
      <c r="R130" s="116"/>
      <c r="S130" s="116"/>
      <c r="T130" s="116"/>
      <c r="U130" s="116"/>
      <c r="X130" s="159"/>
      <c r="Y130" s="1221"/>
      <c r="Z130" s="1221"/>
      <c r="AA130" s="539" t="s">
        <v>444</v>
      </c>
      <c r="AF130" s="127"/>
      <c r="AG130" s="2642"/>
      <c r="AH130" s="2643"/>
      <c r="AI130" s="2643"/>
      <c r="AJ130" s="2643"/>
      <c r="AK130" s="2643"/>
      <c r="AL130" s="2643"/>
      <c r="AM130" s="2643"/>
      <c r="AN130" s="2643"/>
      <c r="AO130" s="2643"/>
      <c r="AP130" s="2643"/>
      <c r="AQ130" s="2643"/>
      <c r="AR130" s="2644"/>
      <c r="AS130" s="2642"/>
      <c r="AT130" s="2643"/>
      <c r="AU130" s="2644"/>
      <c r="AV130" s="1288"/>
      <c r="AW130" s="566"/>
      <c r="AX130" s="583"/>
      <c r="BH130" s="2828" t="s">
        <v>1648</v>
      </c>
      <c r="BI130" s="2829"/>
    </row>
    <row r="131" spans="2:63" ht="12.75" customHeight="1" outlineLevel="2">
      <c r="B131" s="1009"/>
      <c r="C131" s="1010"/>
      <c r="D131" s="1010" t="s">
        <v>409</v>
      </c>
      <c r="E131" s="1656"/>
      <c r="F131" s="147" t="s">
        <v>452</v>
      </c>
      <c r="G131" s="147" t="s">
        <v>3670</v>
      </c>
      <c r="H131" s="1006"/>
      <c r="I131" s="220" t="s">
        <v>880</v>
      </c>
      <c r="J131" s="116"/>
      <c r="K131" s="116"/>
      <c r="L131" s="116"/>
      <c r="M131" s="116"/>
      <c r="N131" s="116"/>
      <c r="O131" s="116"/>
      <c r="P131" s="116"/>
      <c r="Q131" s="116"/>
      <c r="R131" s="116"/>
      <c r="S131" s="116"/>
      <c r="T131" s="116"/>
      <c r="U131" s="116"/>
      <c r="V131" s="109"/>
      <c r="W131" s="109"/>
      <c r="X131" s="1219" t="s">
        <v>316</v>
      </c>
      <c r="Y131" s="2629" t="s">
        <v>316</v>
      </c>
      <c r="Z131" s="2630"/>
      <c r="AA131" s="220" t="s">
        <v>880</v>
      </c>
      <c r="AC131" s="109"/>
      <c r="AD131" s="109"/>
      <c r="AE131" s="127"/>
      <c r="AF131" s="127"/>
      <c r="AG131" s="2631" t="s">
        <v>444</v>
      </c>
      <c r="AH131" s="2632"/>
      <c r="AI131" s="2632"/>
      <c r="AJ131" s="2632"/>
      <c r="AK131" s="2632"/>
      <c r="AL131" s="2632"/>
      <c r="AM131" s="2632"/>
      <c r="AN131" s="2632"/>
      <c r="AO131" s="2632"/>
      <c r="AP131" s="2632"/>
      <c r="AQ131" s="2632"/>
      <c r="AR131" s="2650"/>
      <c r="AS131" s="2848" t="s">
        <v>444</v>
      </c>
      <c r="AT131" s="2648"/>
      <c r="AU131" s="2649"/>
      <c r="AV131" s="2631"/>
      <c r="AW131" s="2632"/>
      <c r="AX131" s="568"/>
      <c r="BH131" s="2837" t="s">
        <v>1646</v>
      </c>
      <c r="BI131" s="1141"/>
    </row>
    <row r="132" spans="2:63" ht="12.75" customHeight="1" outlineLevel="2">
      <c r="B132" s="1009"/>
      <c r="C132" s="1010"/>
      <c r="D132" s="1010" t="s">
        <v>444</v>
      </c>
      <c r="E132" s="1656"/>
      <c r="F132" s="149" t="s">
        <v>445</v>
      </c>
      <c r="G132" s="149" t="s">
        <v>881</v>
      </c>
      <c r="H132" s="1007"/>
      <c r="I132" s="220" t="s">
        <v>257</v>
      </c>
      <c r="J132" s="116"/>
      <c r="K132" s="116"/>
      <c r="L132" s="116"/>
      <c r="M132" s="116"/>
      <c r="N132" s="116"/>
      <c r="O132" s="116"/>
      <c r="P132" s="116"/>
      <c r="Q132" s="116"/>
      <c r="R132" s="116"/>
      <c r="S132" s="116"/>
      <c r="T132" s="116"/>
      <c r="U132" s="116"/>
      <c r="V132" s="109"/>
      <c r="W132" s="109"/>
      <c r="X132" s="1219" t="s">
        <v>1649</v>
      </c>
      <c r="Y132" s="2646" t="s">
        <v>1650</v>
      </c>
      <c r="Z132" s="2647"/>
      <c r="AA132" s="220" t="s">
        <v>257</v>
      </c>
      <c r="AC132" s="109"/>
      <c r="AD132" s="109"/>
      <c r="AE132" s="127"/>
      <c r="AG132" s="579" t="s">
        <v>211</v>
      </c>
      <c r="AH132" s="580"/>
      <c r="AI132" s="580"/>
      <c r="AJ132" s="580" t="s">
        <v>442</v>
      </c>
      <c r="AK132" s="580"/>
      <c r="AL132" s="580"/>
      <c r="AM132" s="580" t="s">
        <v>267</v>
      </c>
      <c r="AN132" s="580"/>
      <c r="AO132" s="580"/>
      <c r="AP132" s="580" t="s">
        <v>443</v>
      </c>
      <c r="AQ132" s="580"/>
      <c r="AR132" s="580"/>
      <c r="AS132" s="1289" t="s">
        <v>327</v>
      </c>
      <c r="AT132" s="581"/>
      <c r="AU132" s="581"/>
      <c r="AV132" s="579" t="s">
        <v>636</v>
      </c>
      <c r="AW132" s="580"/>
      <c r="AX132" s="583"/>
      <c r="BH132" s="2838"/>
      <c r="BI132" s="1235"/>
    </row>
    <row r="133" spans="2:63" ht="12.75" customHeight="1" outlineLevel="2">
      <c r="B133" s="143" t="s">
        <v>3669</v>
      </c>
      <c r="C133" s="144"/>
      <c r="D133" s="212">
        <f>I133</f>
        <v>0</v>
      </c>
      <c r="E133" s="212"/>
      <c r="F133" s="117"/>
      <c r="G133" s="117"/>
      <c r="H133" s="225"/>
      <c r="I133" s="152">
        <f>G133</f>
        <v>0</v>
      </c>
      <c r="J133" s="116"/>
      <c r="K133" s="116"/>
      <c r="L133" s="116"/>
      <c r="M133" s="116"/>
      <c r="N133" s="116"/>
      <c r="O133" s="116"/>
      <c r="P133" s="116"/>
      <c r="Q133" s="116"/>
      <c r="R133" s="116"/>
      <c r="S133" s="116"/>
      <c r="T133" s="116"/>
      <c r="U133" s="116"/>
      <c r="X133" s="1092">
        <f>IF(AA133=0,AA133,AA133/D133)</f>
        <v>0</v>
      </c>
      <c r="Y133" s="343"/>
      <c r="Z133" s="820"/>
      <c r="AA133" s="165">
        <f>I133*BI133</f>
        <v>0</v>
      </c>
      <c r="AG133" s="564">
        <f>D133</f>
        <v>0</v>
      </c>
      <c r="AH133" s="565"/>
      <c r="AI133" s="565"/>
      <c r="AJ133" s="565"/>
      <c r="AK133" s="565"/>
      <c r="AL133" s="565"/>
      <c r="AM133" s="565"/>
      <c r="AN133" s="565"/>
      <c r="AO133" s="565"/>
      <c r="AP133" s="565"/>
      <c r="AQ133" s="565"/>
      <c r="AR133" s="565"/>
      <c r="AS133" s="1288">
        <f>SUM(AG133:AP133)</f>
        <v>0</v>
      </c>
      <c r="AT133" s="566"/>
      <c r="AU133" s="566"/>
      <c r="AV133" s="564"/>
      <c r="AW133" s="565"/>
      <c r="AX133" s="568"/>
      <c r="BH133" s="1065">
        <f>IF($Y133&lt;&gt;"votre valeur :",IF(ISNA(VLOOKUP($Y133,Utilitaires!$N$566:$O$571,2,FALSE)),,VLOOKUP($Y133,Utilitaires!$N$566:$O$571,2,FALSE)),$Z133)</f>
        <v>0</v>
      </c>
      <c r="BI133" s="1130">
        <f>SQRT(SUMSQ(0,BH133))</f>
        <v>0</v>
      </c>
    </row>
    <row r="134" spans="2:63" ht="12.75" customHeight="1" outlineLevel="2">
      <c r="B134" s="143" t="s">
        <v>3669</v>
      </c>
      <c r="C134" s="144"/>
      <c r="D134" s="212">
        <f>I134</f>
        <v>0</v>
      </c>
      <c r="E134" s="212"/>
      <c r="F134" s="120"/>
      <c r="G134" s="120"/>
      <c r="H134" s="225"/>
      <c r="I134" s="152">
        <f t="shared" ref="I134:I135" si="87">G134</f>
        <v>0</v>
      </c>
      <c r="J134" s="116"/>
      <c r="K134" s="116"/>
      <c r="L134" s="116"/>
      <c r="M134" s="116"/>
      <c r="N134" s="116"/>
      <c r="O134" s="116"/>
      <c r="P134" s="116"/>
      <c r="Q134" s="116"/>
      <c r="R134" s="116"/>
      <c r="S134" s="116"/>
      <c r="T134" s="116"/>
      <c r="U134" s="116"/>
      <c r="X134" s="1092">
        <f>IF(AA134=0,AA134,AA134/D134)</f>
        <v>0</v>
      </c>
      <c r="Y134" s="343"/>
      <c r="Z134" s="820"/>
      <c r="AA134" s="165">
        <f>I134*BI134</f>
        <v>0</v>
      </c>
      <c r="AG134" s="564">
        <f>D134</f>
        <v>0</v>
      </c>
      <c r="AH134" s="565"/>
      <c r="AI134" s="565"/>
      <c r="AJ134" s="565"/>
      <c r="AK134" s="565"/>
      <c r="AL134" s="565"/>
      <c r="AM134" s="565"/>
      <c r="AN134" s="565"/>
      <c r="AO134" s="565"/>
      <c r="AP134" s="565"/>
      <c r="AQ134" s="565"/>
      <c r="AR134" s="565"/>
      <c r="AS134" s="1288">
        <f>SUM(AG134:AP134)</f>
        <v>0</v>
      </c>
      <c r="AT134" s="566"/>
      <c r="AU134" s="566"/>
      <c r="AV134" s="564"/>
      <c r="AW134" s="565"/>
      <c r="AX134" s="568"/>
      <c r="BH134" s="1065">
        <f>IF($Y134&lt;&gt;"votre valeur :",IF(ISNA(VLOOKUP($Y134,Utilitaires!$N$566:$O$571,2,FALSE)),,VLOOKUP($Y134,Utilitaires!$N$566:$O$571,2,FALSE)),$Z134)</f>
        <v>0</v>
      </c>
      <c r="BI134" s="1130">
        <f>SQRT(SUMSQ(0,BH134))</f>
        <v>0</v>
      </c>
    </row>
    <row r="135" spans="2:63" ht="12.75" customHeight="1" outlineLevel="2">
      <c r="B135" s="143" t="s">
        <v>3669</v>
      </c>
      <c r="C135" s="144"/>
      <c r="D135" s="212">
        <f>I135</f>
        <v>0</v>
      </c>
      <c r="E135" s="212"/>
      <c r="F135" s="123"/>
      <c r="G135" s="123"/>
      <c r="H135" s="225"/>
      <c r="I135" s="152">
        <f t="shared" si="87"/>
        <v>0</v>
      </c>
      <c r="J135" s="116"/>
      <c r="K135" s="116"/>
      <c r="L135" s="116"/>
      <c r="M135" s="116"/>
      <c r="N135" s="116"/>
      <c r="O135" s="116"/>
      <c r="P135" s="116"/>
      <c r="Q135" s="116"/>
      <c r="R135" s="116"/>
      <c r="S135" s="116"/>
      <c r="T135" s="116"/>
      <c r="U135" s="116"/>
      <c r="X135" s="1092">
        <f>IF(AA135=0,AA135,AA135/D135)</f>
        <v>0</v>
      </c>
      <c r="Y135" s="1094"/>
      <c r="Z135" s="820"/>
      <c r="AA135" s="165">
        <f>I135*BI135</f>
        <v>0</v>
      </c>
      <c r="AG135" s="564">
        <f>D135</f>
        <v>0</v>
      </c>
      <c r="AH135" s="565"/>
      <c r="AI135" s="565"/>
      <c r="AJ135" s="565"/>
      <c r="AK135" s="565"/>
      <c r="AL135" s="565"/>
      <c r="AM135" s="565"/>
      <c r="AN135" s="565"/>
      <c r="AO135" s="565"/>
      <c r="AP135" s="565"/>
      <c r="AQ135" s="565"/>
      <c r="AR135" s="565"/>
      <c r="AS135" s="1288">
        <f>SUM(AG135:AP135)</f>
        <v>0</v>
      </c>
      <c r="AT135" s="566"/>
      <c r="AU135" s="566"/>
      <c r="AV135" s="564"/>
      <c r="AW135" s="565"/>
      <c r="AX135" s="568"/>
      <c r="BH135" s="1065">
        <f>IF($Y135&lt;&gt;"votre valeur :",IF(ISNA(VLOOKUP($Y135,Utilitaires!$N$566:$O$571,2,FALSE)),,VLOOKUP($Y135,Utilitaires!$N$566:$O$571,2,FALSE)),$Z135)</f>
        <v>0</v>
      </c>
      <c r="BI135" s="1130">
        <f>SQRT(SUMSQ(0,BH135))</f>
        <v>0</v>
      </c>
    </row>
    <row r="136" spans="2:63" ht="12.75" customHeight="1" outlineLevel="2">
      <c r="B136" s="154"/>
      <c r="C136" s="155"/>
      <c r="D136" s="221"/>
      <c r="E136" s="221"/>
      <c r="F136" s="155"/>
      <c r="G136" s="155"/>
      <c r="H136" s="155"/>
      <c r="I136" s="156"/>
      <c r="J136" s="116"/>
      <c r="K136" s="116"/>
      <c r="L136" s="116"/>
      <c r="M136" s="116"/>
      <c r="N136" s="116"/>
      <c r="O136" s="116"/>
      <c r="P136" s="116"/>
      <c r="Q136" s="116"/>
      <c r="R136" s="116"/>
      <c r="S136" s="116"/>
      <c r="T136" s="116"/>
      <c r="U136" s="116"/>
      <c r="X136" s="1092"/>
      <c r="Y136" s="155"/>
      <c r="Z136" s="169"/>
      <c r="AA136" s="165"/>
      <c r="AG136" s="564"/>
      <c r="AH136" s="565"/>
      <c r="AI136" s="565"/>
      <c r="AJ136" s="565"/>
      <c r="AK136" s="565"/>
      <c r="AL136" s="565"/>
      <c r="AM136" s="565"/>
      <c r="AN136" s="565"/>
      <c r="AO136" s="565"/>
      <c r="AP136" s="565"/>
      <c r="AQ136" s="565"/>
      <c r="AR136" s="565"/>
      <c r="AS136" s="1288"/>
      <c r="AT136" s="566"/>
      <c r="AU136" s="566"/>
      <c r="AV136" s="564"/>
      <c r="AW136" s="565"/>
      <c r="AX136" s="568"/>
      <c r="BH136" s="1087"/>
      <c r="BI136" s="1153"/>
    </row>
    <row r="137" spans="2:63" ht="12.75" customHeight="1" outlineLevel="2">
      <c r="B137" s="196" t="s">
        <v>348</v>
      </c>
      <c r="C137" s="197"/>
      <c r="D137" s="214">
        <f>SUM(D133:D136)</f>
        <v>0</v>
      </c>
      <c r="E137" s="214"/>
      <c r="F137" s="198"/>
      <c r="G137" s="199"/>
      <c r="H137" s="199"/>
      <c r="I137" s="200">
        <f>SUM(I133:I136)</f>
        <v>0</v>
      </c>
      <c r="J137" s="116"/>
      <c r="K137" s="116"/>
      <c r="L137" s="116"/>
      <c r="M137" s="116"/>
      <c r="N137" s="116"/>
      <c r="O137" s="116"/>
      <c r="P137" s="116"/>
      <c r="Q137" s="116"/>
      <c r="R137" s="116"/>
      <c r="S137" s="116"/>
      <c r="T137" s="116"/>
      <c r="U137" s="116"/>
      <c r="X137" s="1203">
        <f>IF(AA137=0,AA137,AA137/D137)</f>
        <v>0</v>
      </c>
      <c r="Y137" s="199"/>
      <c r="Z137" s="199"/>
      <c r="AA137" s="200">
        <f>SQRT(SUMSQ(AA133:AA136))</f>
        <v>0</v>
      </c>
      <c r="AG137" s="571">
        <f>SUM(AG133:AG136)</f>
        <v>0</v>
      </c>
      <c r="AH137" s="572"/>
      <c r="AI137" s="572"/>
      <c r="AJ137" s="572">
        <f>SUM(AJ133:AJ136)</f>
        <v>0</v>
      </c>
      <c r="AK137" s="572"/>
      <c r="AL137" s="572"/>
      <c r="AM137" s="572">
        <f>SUM(AM133:AM136)</f>
        <v>0</v>
      </c>
      <c r="AN137" s="572"/>
      <c r="AO137" s="572"/>
      <c r="AP137" s="572">
        <f>SUM(AP133:AP136)</f>
        <v>0</v>
      </c>
      <c r="AQ137" s="572"/>
      <c r="AR137" s="572"/>
      <c r="AS137" s="1290">
        <f>SUM(AS133:AS136)</f>
        <v>0</v>
      </c>
      <c r="AT137" s="573"/>
      <c r="AU137" s="573"/>
      <c r="AV137" s="1082">
        <f>SUM(AV133:AV136)</f>
        <v>0</v>
      </c>
      <c r="AW137" s="572"/>
      <c r="AX137" s="575"/>
    </row>
    <row r="138" spans="2:63" outlineLevel="2">
      <c r="P138" s="116"/>
    </row>
    <row r="139" spans="2:63" ht="12.75" customHeight="1" outlineLevel="2">
      <c r="B139" s="2262" t="s">
        <v>4763</v>
      </c>
      <c r="C139" s="140"/>
      <c r="D139" s="2246"/>
      <c r="E139" s="2246"/>
      <c r="F139" s="140"/>
      <c r="G139" s="141"/>
      <c r="H139" s="141"/>
      <c r="I139" s="141"/>
      <c r="J139" s="141"/>
      <c r="K139" s="141"/>
      <c r="L139" s="141"/>
      <c r="M139" s="141"/>
      <c r="N139" s="1610"/>
      <c r="X139" s="2636" t="s">
        <v>366</v>
      </c>
      <c r="Y139" s="2637"/>
      <c r="Z139" s="2637"/>
      <c r="AA139" s="2637"/>
      <c r="AB139" s="2637"/>
      <c r="AC139" s="2637"/>
      <c r="AD139" s="2638"/>
      <c r="AE139" s="1773"/>
      <c r="AG139" s="2639" t="s">
        <v>441</v>
      </c>
      <c r="AH139" s="2640"/>
      <c r="AI139" s="2640"/>
      <c r="AJ139" s="2640"/>
      <c r="AK139" s="2640"/>
      <c r="AL139" s="2640"/>
      <c r="AM139" s="2640"/>
      <c r="AN139" s="2640"/>
      <c r="AO139" s="2640"/>
      <c r="AP139" s="2640"/>
      <c r="AQ139" s="2640"/>
      <c r="AR139" s="2640"/>
      <c r="AS139" s="2640"/>
      <c r="AT139" s="2640"/>
      <c r="AU139" s="2640"/>
      <c r="AV139" s="2640"/>
      <c r="AW139" s="2640"/>
      <c r="AX139" s="2641"/>
    </row>
    <row r="140" spans="2:63" ht="12.75" customHeight="1" outlineLevel="2">
      <c r="B140" s="333"/>
      <c r="C140" s="144"/>
      <c r="D140" s="2251" t="s">
        <v>308</v>
      </c>
      <c r="E140" s="2251"/>
      <c r="F140" s="144"/>
      <c r="G140" s="144"/>
      <c r="H140" s="144"/>
      <c r="I140" s="144"/>
      <c r="J140" s="144"/>
      <c r="K140" s="144"/>
      <c r="L140" s="2628" t="s">
        <v>233</v>
      </c>
      <c r="M140" s="2627"/>
      <c r="N140" s="153" t="s">
        <v>275</v>
      </c>
      <c r="X140" s="2245"/>
      <c r="Y140" s="819"/>
      <c r="Z140" s="819"/>
      <c r="AA140" s="2243"/>
      <c r="AB140" s="2243"/>
      <c r="AC140" s="2243"/>
      <c r="AD140" s="2256"/>
      <c r="AE140" s="1674" t="s">
        <v>275</v>
      </c>
      <c r="AG140" s="2642" t="s">
        <v>444</v>
      </c>
      <c r="AH140" s="2643"/>
      <c r="AI140" s="2643"/>
      <c r="AJ140" s="2643"/>
      <c r="AK140" s="2643"/>
      <c r="AL140" s="2643"/>
      <c r="AM140" s="2643"/>
      <c r="AN140" s="2643"/>
      <c r="AO140" s="2643"/>
      <c r="AP140" s="2643"/>
      <c r="AQ140" s="2643"/>
      <c r="AR140" s="2644"/>
      <c r="AS140" s="2642" t="s">
        <v>444</v>
      </c>
      <c r="AT140" s="2643"/>
      <c r="AU140" s="2644"/>
      <c r="AV140" s="1288"/>
      <c r="AW140" s="566"/>
      <c r="AX140" s="2261"/>
      <c r="BH140" s="2616" t="s">
        <v>1648</v>
      </c>
      <c r="BI140" s="2617"/>
      <c r="BJ140" s="2617"/>
      <c r="BK140" s="2618"/>
    </row>
    <row r="141" spans="2:63" ht="12.75" customHeight="1" outlineLevel="2">
      <c r="B141" s="2245"/>
      <c r="C141" s="2243"/>
      <c r="D141" s="2243" t="s">
        <v>409</v>
      </c>
      <c r="E141" s="2243"/>
      <c r="F141" s="2249" t="s">
        <v>452</v>
      </c>
      <c r="G141" s="2249"/>
      <c r="H141" s="2853" t="s">
        <v>2222</v>
      </c>
      <c r="I141" s="2854"/>
      <c r="J141" s="2854"/>
      <c r="K141" s="2251" t="s">
        <v>444</v>
      </c>
      <c r="L141" s="2251" t="s">
        <v>444</v>
      </c>
      <c r="M141" s="2251" t="s">
        <v>444</v>
      </c>
      <c r="N141" s="153" t="s">
        <v>276</v>
      </c>
      <c r="W141" s="109"/>
      <c r="X141" s="2245" t="s">
        <v>316</v>
      </c>
      <c r="Y141" s="2629" t="s">
        <v>316</v>
      </c>
      <c r="Z141" s="2630"/>
      <c r="AA141" s="2243" t="s">
        <v>444</v>
      </c>
      <c r="AB141" s="2243" t="s">
        <v>444</v>
      </c>
      <c r="AC141" s="2243" t="s">
        <v>444</v>
      </c>
      <c r="AD141" s="2254" t="s">
        <v>444</v>
      </c>
      <c r="AE141" s="2256" t="s">
        <v>276</v>
      </c>
      <c r="AG141" s="2631" t="s">
        <v>211</v>
      </c>
      <c r="AH141" s="2632"/>
      <c r="AI141" s="2632"/>
      <c r="AJ141" s="2632" t="s">
        <v>442</v>
      </c>
      <c r="AK141" s="2632"/>
      <c r="AL141" s="2632"/>
      <c r="AM141" s="2632" t="s">
        <v>267</v>
      </c>
      <c r="AN141" s="2632"/>
      <c r="AO141" s="2632"/>
      <c r="AP141" s="2632" t="s">
        <v>443</v>
      </c>
      <c r="AQ141" s="2632"/>
      <c r="AR141" s="2650"/>
      <c r="AS141" s="2848" t="s">
        <v>327</v>
      </c>
      <c r="AT141" s="2648"/>
      <c r="AU141" s="2649"/>
      <c r="AV141" s="2631" t="s">
        <v>636</v>
      </c>
      <c r="AW141" s="2632"/>
      <c r="AX141" s="568"/>
      <c r="BH141" s="2837" t="s">
        <v>1646</v>
      </c>
      <c r="BI141" s="2837" t="s">
        <v>422</v>
      </c>
      <c r="BJ141" s="2839" t="s">
        <v>411</v>
      </c>
      <c r="BK141" s="2839" t="s">
        <v>257</v>
      </c>
    </row>
    <row r="142" spans="2:63" ht="12.75" customHeight="1" outlineLevel="2">
      <c r="B142" s="536" t="s">
        <v>4035</v>
      </c>
      <c r="C142" s="2243"/>
      <c r="D142" s="2243" t="s">
        <v>444</v>
      </c>
      <c r="E142" s="2243"/>
      <c r="F142" s="2250" t="s">
        <v>445</v>
      </c>
      <c r="G142" s="153" t="s">
        <v>38</v>
      </c>
      <c r="H142" s="1662" t="s">
        <v>422</v>
      </c>
      <c r="I142" s="1662" t="s">
        <v>411</v>
      </c>
      <c r="J142" s="1662" t="s">
        <v>257</v>
      </c>
      <c r="K142" s="2244" t="s">
        <v>422</v>
      </c>
      <c r="L142" s="2244" t="s">
        <v>411</v>
      </c>
      <c r="M142" s="2244" t="s">
        <v>257</v>
      </c>
      <c r="N142" s="153" t="s">
        <v>444</v>
      </c>
      <c r="W142" s="109"/>
      <c r="X142" s="2245" t="s">
        <v>1649</v>
      </c>
      <c r="Y142" s="2646" t="s">
        <v>1650</v>
      </c>
      <c r="Z142" s="2647"/>
      <c r="AA142" s="1662" t="s">
        <v>411</v>
      </c>
      <c r="AB142" s="1662" t="s">
        <v>257</v>
      </c>
      <c r="AC142" s="1662" t="s">
        <v>422</v>
      </c>
      <c r="AD142" s="162" t="s">
        <v>327</v>
      </c>
      <c r="AE142" s="2256" t="s">
        <v>444</v>
      </c>
      <c r="AG142" s="2259" t="s">
        <v>411</v>
      </c>
      <c r="AH142" s="2260" t="s">
        <v>257</v>
      </c>
      <c r="AI142" s="2260" t="s">
        <v>422</v>
      </c>
      <c r="AJ142" s="2260" t="s">
        <v>411</v>
      </c>
      <c r="AK142" s="2260" t="s">
        <v>257</v>
      </c>
      <c r="AL142" s="2260" t="s">
        <v>422</v>
      </c>
      <c r="AM142" s="2260" t="s">
        <v>411</v>
      </c>
      <c r="AN142" s="2260" t="s">
        <v>257</v>
      </c>
      <c r="AO142" s="2260" t="s">
        <v>422</v>
      </c>
      <c r="AP142" s="2260" t="s">
        <v>411</v>
      </c>
      <c r="AQ142" s="2260" t="s">
        <v>257</v>
      </c>
      <c r="AR142" s="2260" t="s">
        <v>422</v>
      </c>
      <c r="AS142" s="1289" t="s">
        <v>411</v>
      </c>
      <c r="AT142" s="581" t="s">
        <v>257</v>
      </c>
      <c r="AU142" s="581" t="s">
        <v>422</v>
      </c>
      <c r="AV142" s="2259" t="s">
        <v>411</v>
      </c>
      <c r="AW142" s="2260" t="s">
        <v>257</v>
      </c>
      <c r="AX142" s="2261" t="s">
        <v>422</v>
      </c>
      <c r="BH142" s="2838"/>
      <c r="BI142" s="2838"/>
      <c r="BJ142" s="2840"/>
      <c r="BK142" s="2840"/>
    </row>
    <row r="143" spans="2:63" outlineLevel="2">
      <c r="B143" s="180" t="s">
        <v>4036</v>
      </c>
      <c r="C143" s="2243"/>
      <c r="D143" s="212">
        <f>SUM(K143:M143)</f>
        <v>0</v>
      </c>
      <c r="E143" s="212"/>
      <c r="F143" s="409"/>
      <c r="G143" s="117"/>
      <c r="H143" s="410">
        <f>IF(ISNA(VLOOKUP($B143&amp;"; "&amp;$H$38&amp;", "&amp;$H$39,'FE Déplacements'!$G:$U,9,FALSE)),0,VLOOKUP($B143&amp;"; "&amp;$H$38&amp;", "&amp;$H$39,'FE Déplacements'!$G:$U,9,FALSE))</f>
        <v>2.5600000000000001E-2</v>
      </c>
      <c r="I143" s="410">
        <f>IF(ISNA(VLOOKUP($B143&amp;"; "&amp;$H$38&amp;", "&amp;$I$39,'FE Déplacements'!$G:$U,9,FALSE)),0,VLOOKUP($B143&amp;"; "&amp;$H$38&amp;", "&amp;$I$39,'FE Déplacements'!$G:$U,9,FALSE))</f>
        <v>3.5799999999999998E-2</v>
      </c>
      <c r="J143" s="410">
        <f>IF(ISNA(VLOOKUP($B143&amp;"; "&amp;$H$38&amp;", "&amp;$J$39,'FE Déplacements'!$G:$U,9,FALSE)),0,VLOOKUP($B143&amp;"; "&amp;$H$38&amp;", "&amp;$J$39,'FE Déplacements'!$G:$U,9,FALSE))</f>
        <v>0.16200000000000001</v>
      </c>
      <c r="K143" s="356">
        <f>G143*H143</f>
        <v>0</v>
      </c>
      <c r="L143" s="356">
        <f>G143*I143</f>
        <v>0</v>
      </c>
      <c r="M143" s="356">
        <f>G143*J143</f>
        <v>0</v>
      </c>
      <c r="N143" s="1286">
        <f>IF(OR(F143=Utilitaires!$I$572,F143=Utilitaires!$I$577),M143,0)</f>
        <v>0</v>
      </c>
      <c r="X143" s="1092">
        <f>IF(AD143=0,AD143,AD143/D143)</f>
        <v>0</v>
      </c>
      <c r="Y143" s="343"/>
      <c r="Z143" s="820"/>
      <c r="AA143" s="164">
        <f t="shared" ref="AA143:AB146" si="88">L143*BJ143</f>
        <v>0</v>
      </c>
      <c r="AB143" s="164">
        <f t="shared" si="88"/>
        <v>0</v>
      </c>
      <c r="AC143" s="164">
        <f>K143*BI143</f>
        <v>0</v>
      </c>
      <c r="AD143" s="152">
        <f>SQRT(SUMSQ(AA143:AC143))</f>
        <v>0</v>
      </c>
      <c r="AE143" s="165">
        <f>N143*X143</f>
        <v>0</v>
      </c>
      <c r="AG143" s="564">
        <f>$G143*IF(ISNA(VLOOKUP($B143&amp;"; "&amp;$H$38&amp;", "&amp;I$39,'FE Déplacements'!$G:$U,10,FALSE)),0,VLOOKUP($B143&amp;"; "&amp;$H$38&amp;", "&amp;I$39,'FE Déplacements'!$G:$U,10,FALSE))</f>
        <v>0</v>
      </c>
      <c r="AH143" s="565">
        <f>$G143*IF(ISNA(VLOOKUP($B143&amp;"; "&amp;$H$38&amp;", "&amp;J$39,'FE Déplacements'!$G:$U,10,FALSE)),0,VLOOKUP($B143&amp;"; "&amp;$H$38&amp;", "&amp;J$39,'FE Déplacements'!$G:$U,10,FALSE))</f>
        <v>0</v>
      </c>
      <c r="AI143" s="565">
        <f>$G143*IF(ISNA(VLOOKUP($B143&amp;"; "&amp;$H$38&amp;", "&amp;H$39,'FE Déplacements'!$G:$U,10,FALSE)),0,VLOOKUP($B143&amp;"; "&amp;$H$38&amp;", "&amp;H$39,'FE Déplacements'!$G:$U,10,FALSE))</f>
        <v>0</v>
      </c>
      <c r="AJ143" s="565">
        <f>$G143*IF(ISNA((VLOOKUP($B143&amp;"; "&amp;$H$38&amp;", "&amp;I$39,'FE Déplacements'!$G:$U,12,FALSE)+VLOOKUP($B143&amp;"; "&amp;$H$38&amp;", "&amp;I$39,'FE Déplacements'!$G:$U,11,FALSE))),0,(VLOOKUP($B143&amp;"; "&amp;$H$38&amp;", "&amp;I$39,'FE Déplacements'!$G:$U,12,FALSE)+VLOOKUP($B143&amp;"; "&amp;$H$38&amp;", "&amp;I$39,'FE Déplacements'!$G:$U,11,FALSE)))</f>
        <v>0</v>
      </c>
      <c r="AK143" s="565">
        <f>$G143*IF(ISNA((VLOOKUP($B143&amp;"; "&amp;$H$38&amp;", "&amp;J$39,'FE Déplacements'!$G:$U,12,FALSE)+VLOOKUP($B143&amp;"; "&amp;$H$38&amp;", "&amp;J$39,'FE Déplacements'!$G:$U,11,FALSE))),0,(VLOOKUP($B143&amp;"; "&amp;$H$38&amp;", "&amp;J$39,'FE Déplacements'!$G:$U,12,FALSE)+VLOOKUP($B143&amp;"; "&amp;$H$38&amp;", "&amp;J$39,'FE Déplacements'!$G:$U,11,FALSE)))</f>
        <v>0</v>
      </c>
      <c r="AL143" s="565">
        <f>$G143*IF(ISNA((VLOOKUP($B143&amp;"; "&amp;$H$38&amp;", "&amp;H$39,'FE Déplacements'!$G:$U,12,FALSE)+VLOOKUP($B143&amp;"; "&amp;$H$38&amp;", "&amp;H$39,'FE Déplacements'!$G:$U,11,FALSE))),0,(VLOOKUP($B143&amp;"; "&amp;$H$38&amp;", "&amp;H$39,'FE Déplacements'!$G:$U,12,FALSE)+VLOOKUP($B143&amp;"; "&amp;$H$38&amp;", "&amp;H$39,'FE Déplacements'!$G:$U,11,FALSE)))</f>
        <v>0</v>
      </c>
      <c r="AM143" s="565">
        <f>$G143*IF(ISNA(VLOOKUP($B143&amp;"; "&amp;$H$38&amp;", "&amp;I$39,'FE Déplacements'!$G:$U,13,FALSE)),0,VLOOKUP($B143&amp;"; "&amp;$H$38&amp;", "&amp;I$39,'FE Déplacements'!$G:$U,13,FALSE))</f>
        <v>0</v>
      </c>
      <c r="AN143" s="565">
        <f>$G143*IF(ISNA(VLOOKUP($B143&amp;"; "&amp;$H$38&amp;", "&amp;J$39,'FE Déplacements'!$G:$U,13,FALSE)),0,VLOOKUP($B143&amp;"; "&amp;$H$38&amp;", "&amp;J$39,'FE Déplacements'!$G:$U,13,FALSE))</f>
        <v>0</v>
      </c>
      <c r="AO143" s="565">
        <f>$G143*IF(ISNA(VLOOKUP($B143&amp;"; "&amp;$H$38&amp;", "&amp;H$39,'FE Déplacements'!$G:$U,13,FALSE)),0,VLOOKUP($B143&amp;"; "&amp;$H$38&amp;", "&amp;H$39,'FE Déplacements'!$G:$U,13,FALSE))</f>
        <v>0</v>
      </c>
      <c r="AP143" s="565">
        <v>0</v>
      </c>
      <c r="AQ143" s="565">
        <v>0</v>
      </c>
      <c r="AR143" s="565">
        <v>0</v>
      </c>
      <c r="AS143" s="1288">
        <f t="shared" ref="AS143:AU145" si="89">SUM(AG143,AJ143,AM143,AP143)</f>
        <v>0</v>
      </c>
      <c r="AT143" s="566">
        <f t="shared" si="89"/>
        <v>0</v>
      </c>
      <c r="AU143" s="566">
        <f t="shared" si="89"/>
        <v>0</v>
      </c>
      <c r="AV143" s="564">
        <f>$G143*IF(ISNA(VLOOKUP($B143&amp;"; "&amp;$H$38&amp;", "&amp;I$39,'FE Déplacements'!$G:$U,15,FALSE)),0,VLOOKUP($B143&amp;"; "&amp;$H$38&amp;", "&amp;I$39,'FE Déplacements'!$G:$U,15,FALSE))</f>
        <v>0</v>
      </c>
      <c r="AW143" s="565">
        <f>$G143*IF(ISNA(VLOOKUP($B143&amp;"; "&amp;$H$38&amp;", "&amp;J$39,'FE Déplacements'!$G:$U,15,FALSE)),0,VLOOKUP($B143&amp;"; "&amp;$H$38&amp;", "&amp;J$39,'FE Déplacements'!$G:$U,15,FALSE))</f>
        <v>0</v>
      </c>
      <c r="AX143" s="568">
        <f>$G143*IF(ISNA(VLOOKUP($B143&amp;"; "&amp;$H$38&amp;", "&amp;H$39,'FE Déplacements'!$G:$U,15,FALSE)),0,VLOOKUP($B143&amp;"; "&amp;$H$38&amp;", "&amp;H$39,'FE Déplacements'!$G:$U,15,FALSE))</f>
        <v>0</v>
      </c>
      <c r="BH143" s="2247">
        <f>IF($Y143&lt;&gt;"votre valeur :",IF(ISNA(VLOOKUP($Y143,Utilitaires!$N$566:$O$571,2,FALSE)),,VLOOKUP($Y143,Utilitaires!$N$566:$O$571,2,FALSE)),$Z143)</f>
        <v>0</v>
      </c>
      <c r="BI143" s="2252">
        <f>IF(ISNA(SQRT(SUMSQ(VLOOKUP($B143&amp;"; "&amp;$H$38&amp;", "&amp;$H$39,'FE Déplacements'!$G:$U,7,FALSE),$BH143))),0,SQRT(SUMSQ(VLOOKUP($B143&amp;"; "&amp;$H$38&amp;", "&amp;$H$39,'FE Déplacements'!$G:$U,7,FALSE),$BH143)))</f>
        <v>0.6</v>
      </c>
      <c r="BJ143" s="2252">
        <f>IF(ISNA(SQRT(SUMSQ(VLOOKUP($B143&amp;"; "&amp;$H$38&amp;", "&amp;$I$39,'FE Déplacements'!$G:$U,7,FALSE),$BH143))),0,SQRT(SUMSQ(VLOOKUP($B143&amp;"; "&amp;$H$38&amp;", "&amp;$I$39,'FE Déplacements'!$G:$U,7,FALSE),$BH143)))</f>
        <v>0.6</v>
      </c>
      <c r="BK143" s="1130">
        <f>IF(ISNA(SQRT(SUMSQ(VLOOKUP($B143&amp;"; "&amp;$H$38&amp;", "&amp;$J$39,'FE Déplacements'!$G:$U,7,FALSE),$BH143))),0,SQRT(SUMSQ(VLOOKUP($B143&amp;"; "&amp;$H$38&amp;", "&amp;$J$39,'FE Déplacements'!$G:$U,7,FALSE),$BH143)))</f>
        <v>0.6</v>
      </c>
    </row>
    <row r="144" spans="2:63" outlineLevel="2">
      <c r="B144" s="180" t="s">
        <v>4037</v>
      </c>
      <c r="C144" s="2243"/>
      <c r="D144" s="212">
        <f>SUM(K144:M144)</f>
        <v>0</v>
      </c>
      <c r="E144" s="212"/>
      <c r="F144" s="346"/>
      <c r="G144" s="120"/>
      <c r="H144" s="410">
        <f>IF(ISNA(VLOOKUP($B144&amp;"; "&amp;$H$38&amp;", "&amp;$H$39,'FE Déplacements'!$G:$U,9,FALSE)),0,VLOOKUP($B144&amp;"; "&amp;$H$38&amp;", "&amp;$H$39,'FE Déplacements'!$G:$U,9,FALSE))</f>
        <v>2.5600000000000001E-2</v>
      </c>
      <c r="I144" s="410">
        <f>IF(ISNA(VLOOKUP($B144&amp;"; "&amp;$H$38&amp;", "&amp;$I$39,'FE Déplacements'!$G:$U,9,FALSE)),0,VLOOKUP($B144&amp;"; "&amp;$H$38&amp;", "&amp;$I$39,'FE Déplacements'!$G:$U,9,FALSE))</f>
        <v>3.6499999999999998E-2</v>
      </c>
      <c r="J144" s="410">
        <f>IF(ISNA(VLOOKUP($B144&amp;"; "&amp;$H$38&amp;", "&amp;$J$39,'FE Déplacements'!$G:$U,9,FALSE)),0,VLOOKUP($B144&amp;"; "&amp;$H$38&amp;", "&amp;$J$39,'FE Déplacements'!$G:$U,9,FALSE))</f>
        <v>0.15</v>
      </c>
      <c r="K144" s="356">
        <f>G144*H144</f>
        <v>0</v>
      </c>
      <c r="L144" s="356">
        <f>G144*I144</f>
        <v>0</v>
      </c>
      <c r="M144" s="356">
        <f>G144*J144</f>
        <v>0</v>
      </c>
      <c r="N144" s="1286">
        <f>IF(OR(F144=Utilitaires!$I$572,F144=Utilitaires!$I$577),M144,0)</f>
        <v>0</v>
      </c>
      <c r="X144" s="1092">
        <f>IF(AD144=0,AD144,AD144/D144)</f>
        <v>0</v>
      </c>
      <c r="Y144" s="343"/>
      <c r="Z144" s="820"/>
      <c r="AA144" s="164">
        <f t="shared" si="88"/>
        <v>0</v>
      </c>
      <c r="AB144" s="164">
        <f t="shared" si="88"/>
        <v>0</v>
      </c>
      <c r="AC144" s="164">
        <f>K144*BI144</f>
        <v>0</v>
      </c>
      <c r="AD144" s="152">
        <f t="shared" ref="AD144:AD161" si="90">SQRT(SUMSQ(AA144:AC144))</f>
        <v>0</v>
      </c>
      <c r="AE144" s="165">
        <f t="shared" ref="AE144:AE145" si="91">N144*X144</f>
        <v>0</v>
      </c>
      <c r="AG144" s="564">
        <f>$G144*IF(ISNA(VLOOKUP($B144&amp;"; "&amp;$H$38&amp;", "&amp;I$39,'FE Déplacements'!$G:$U,10,FALSE)),0,VLOOKUP($B144&amp;"; "&amp;$H$38&amp;", "&amp;I$39,'FE Déplacements'!$G:$U,10,FALSE))</f>
        <v>0</v>
      </c>
      <c r="AH144" s="565">
        <f>$G144*IF(ISNA(VLOOKUP($B144&amp;"; "&amp;$H$38&amp;", "&amp;J$39,'FE Déplacements'!$G:$U,10,FALSE)),0,VLOOKUP($B144&amp;"; "&amp;$H$38&amp;", "&amp;J$39,'FE Déplacements'!$G:$U,10,FALSE))</f>
        <v>0</v>
      </c>
      <c r="AI144" s="565">
        <f>$G144*IF(ISNA(VLOOKUP($B144&amp;"; "&amp;$H$38&amp;", "&amp;H$39,'FE Déplacements'!$G:$U,10,FALSE)),0,VLOOKUP($B144&amp;"; "&amp;$H$38&amp;", "&amp;H$39,'FE Déplacements'!$G:$U,10,FALSE))</f>
        <v>0</v>
      </c>
      <c r="AJ144" s="565">
        <f>$G144*IF(ISNA((VLOOKUP($B144&amp;"; "&amp;$H$38&amp;", "&amp;I$39,'FE Déplacements'!$G:$U,12,FALSE)+VLOOKUP($B144&amp;"; "&amp;$H$38&amp;", "&amp;I$39,'FE Déplacements'!$G:$U,11,FALSE))),0,(VLOOKUP($B144&amp;"; "&amp;$H$38&amp;", "&amp;I$39,'FE Déplacements'!$G:$U,12,FALSE)+VLOOKUP($B144&amp;"; "&amp;$H$38&amp;", "&amp;I$39,'FE Déplacements'!$G:$U,11,FALSE)))</f>
        <v>0</v>
      </c>
      <c r="AK144" s="565">
        <f>$G144*IF(ISNA((VLOOKUP($B144&amp;"; "&amp;$H$38&amp;", "&amp;J$39,'FE Déplacements'!$G:$U,12,FALSE)+VLOOKUP($B144&amp;"; "&amp;$H$38&amp;", "&amp;J$39,'FE Déplacements'!$G:$U,11,FALSE))),0,(VLOOKUP($B144&amp;"; "&amp;$H$38&amp;", "&amp;J$39,'FE Déplacements'!$G:$U,12,FALSE)+VLOOKUP($B144&amp;"; "&amp;$H$38&amp;", "&amp;J$39,'FE Déplacements'!$G:$U,11,FALSE)))</f>
        <v>0</v>
      </c>
      <c r="AL144" s="565">
        <f>$G144*IF(ISNA((VLOOKUP($B144&amp;"; "&amp;$H$38&amp;", "&amp;H$39,'FE Déplacements'!$G:$U,12,FALSE)+VLOOKUP($B144&amp;"; "&amp;$H$38&amp;", "&amp;H$39,'FE Déplacements'!$G:$U,11,FALSE))),0,(VLOOKUP($B144&amp;"; "&amp;$H$38&amp;", "&amp;H$39,'FE Déplacements'!$G:$U,12,FALSE)+VLOOKUP($B144&amp;"; "&amp;$H$38&amp;", "&amp;H$39,'FE Déplacements'!$G:$U,11,FALSE)))</f>
        <v>0</v>
      </c>
      <c r="AM144" s="565">
        <f>$G144*IF(ISNA(VLOOKUP($B144&amp;"; "&amp;$H$38&amp;", "&amp;I$39,'FE Déplacements'!$G:$U,13,FALSE)),0,VLOOKUP($B144&amp;"; "&amp;$H$38&amp;", "&amp;I$39,'FE Déplacements'!$G:$U,13,FALSE))</f>
        <v>0</v>
      </c>
      <c r="AN144" s="565">
        <f>$G144*IF(ISNA(VLOOKUP($B144&amp;"; "&amp;$H$38&amp;", "&amp;J$39,'FE Déplacements'!$G:$U,13,FALSE)),0,VLOOKUP($B144&amp;"; "&amp;$H$38&amp;", "&amp;J$39,'FE Déplacements'!$G:$U,13,FALSE))</f>
        <v>0</v>
      </c>
      <c r="AO144" s="565">
        <f>$G144*IF(ISNA(VLOOKUP($B144&amp;"; "&amp;$H$38&amp;", "&amp;H$39,'FE Déplacements'!$G:$U,13,FALSE)),0,VLOOKUP($B144&amp;"; "&amp;$H$38&amp;", "&amp;H$39,'FE Déplacements'!$G:$U,13,FALSE))</f>
        <v>0</v>
      </c>
      <c r="AP144" s="565">
        <v>0</v>
      </c>
      <c r="AQ144" s="565">
        <v>0</v>
      </c>
      <c r="AR144" s="565">
        <v>0</v>
      </c>
      <c r="AS144" s="1288">
        <f t="shared" si="89"/>
        <v>0</v>
      </c>
      <c r="AT144" s="566">
        <f t="shared" si="89"/>
        <v>0</v>
      </c>
      <c r="AU144" s="566">
        <f t="shared" si="89"/>
        <v>0</v>
      </c>
      <c r="AV144" s="564">
        <f>$G144*IF(ISNA(VLOOKUP($B144&amp;"; "&amp;$H$38&amp;", "&amp;I$39,'FE Déplacements'!$G:$U,15,FALSE)),0,VLOOKUP($B144&amp;"; "&amp;$H$38&amp;", "&amp;I$39,'FE Déplacements'!$G:$U,15,FALSE))</f>
        <v>0</v>
      </c>
      <c r="AW144" s="565">
        <f>$G144*IF(ISNA(VLOOKUP($B144&amp;"; "&amp;$H$38&amp;", "&amp;J$39,'FE Déplacements'!$G:$U,15,FALSE)),0,VLOOKUP($B144&amp;"; "&amp;$H$38&amp;", "&amp;J$39,'FE Déplacements'!$G:$U,15,FALSE))</f>
        <v>0</v>
      </c>
      <c r="AX144" s="568">
        <f>$G144*IF(ISNA(VLOOKUP($B144&amp;"; "&amp;$H$38&amp;", "&amp;H$39,'FE Déplacements'!$G:$U,15,FALSE)),0,VLOOKUP($B144&amp;"; "&amp;$H$38&amp;", "&amp;H$39,'FE Déplacements'!$G:$U,15,FALSE))</f>
        <v>0</v>
      </c>
      <c r="BH144" s="2247">
        <f>IF($Y144&lt;&gt;"votre valeur :",IF(ISNA(VLOOKUP($Y144,Utilitaires!$N$566:$O$571,2,FALSE)),,VLOOKUP($Y144,Utilitaires!$N$566:$O$571,2,FALSE)),$Z144)</f>
        <v>0</v>
      </c>
      <c r="BI144" s="2252">
        <f>IF(ISNA(SQRT(SUMSQ(VLOOKUP($B144&amp;"; "&amp;$H$38&amp;", "&amp;$H$39,'FE Déplacements'!$G:$U,7,FALSE),$BH144))),0,SQRT(SUMSQ(VLOOKUP($B144&amp;"; "&amp;$H$38&amp;", "&amp;$H$39,'FE Déplacements'!$G:$U,7,FALSE),$BH144)))</f>
        <v>0.6</v>
      </c>
      <c r="BJ144" s="2252">
        <f>IF(ISNA(SQRT(SUMSQ(VLOOKUP($B144&amp;"; "&amp;$H$38&amp;", "&amp;$I$39,'FE Déplacements'!$G:$U,7,FALSE),$BH144))),0,SQRT(SUMSQ(VLOOKUP($B144&amp;"; "&amp;$H$38&amp;", "&amp;$I$39,'FE Déplacements'!$G:$U,7,FALSE),$BH144)))</f>
        <v>0.6</v>
      </c>
      <c r="BK144" s="1130">
        <f>IF(ISNA(SQRT(SUMSQ(VLOOKUP($B144&amp;"; "&amp;$H$38&amp;", "&amp;$J$39,'FE Déplacements'!$G:$U,7,FALSE),$BH144))),0,SQRT(SUMSQ(VLOOKUP($B144&amp;"; "&amp;$H$38&amp;", "&amp;$J$39,'FE Déplacements'!$G:$U,7,FALSE),$BH144)))</f>
        <v>0.6</v>
      </c>
    </row>
    <row r="145" spans="2:63" outlineLevel="2">
      <c r="B145" s="180" t="s">
        <v>4038</v>
      </c>
      <c r="C145" s="2243"/>
      <c r="D145" s="212">
        <f>SUM(K145:M145)</f>
        <v>0</v>
      </c>
      <c r="E145" s="212"/>
      <c r="F145" s="347"/>
      <c r="G145" s="123"/>
      <c r="H145" s="410">
        <f>IF(ISNA(VLOOKUP($B145&amp;"; "&amp;$H$38&amp;", "&amp;$H$39,'FE Déplacements'!$G:$U,9,FALSE)),0,VLOOKUP($B145&amp;"; "&amp;$H$38&amp;", "&amp;$H$39,'FE Déplacements'!$G:$U,9,FALSE))</f>
        <v>2.5600000000000001E-2</v>
      </c>
      <c r="I145" s="410">
        <f>IF(ISNA(VLOOKUP($B145&amp;"; "&amp;$H$38&amp;", "&amp;$I$39,'FE Déplacements'!$G:$U,9,FALSE)),0,VLOOKUP($B145&amp;"; "&amp;$H$38&amp;", "&amp;$I$39,'FE Déplacements'!$G:$U,9,FALSE))</f>
        <v>0</v>
      </c>
      <c r="J145" s="410">
        <f>IF(ISNA(VLOOKUP($B145&amp;"; "&amp;$H$38&amp;", "&amp;$J$39,'FE Déplacements'!$G:$U,9,FALSE)),0,VLOOKUP($B145&amp;"; "&amp;$H$38&amp;", "&amp;$J$39,'FE Déplacements'!$G:$U,9,FALSE))</f>
        <v>0.192</v>
      </c>
      <c r="K145" s="356">
        <f>G145*H145</f>
        <v>0</v>
      </c>
      <c r="L145" s="356">
        <f>G145*I145</f>
        <v>0</v>
      </c>
      <c r="M145" s="356">
        <f>G145*J145</f>
        <v>0</v>
      </c>
      <c r="N145" s="1286">
        <f>IF(OR(F145=Utilitaires!$I$572,F145=Utilitaires!$I$577),M145,0)</f>
        <v>0</v>
      </c>
      <c r="X145" s="1092">
        <f>IF(AD145=0,AD145,AD145/D145)</f>
        <v>0</v>
      </c>
      <c r="Y145" s="343"/>
      <c r="Z145" s="820"/>
      <c r="AA145" s="164">
        <f t="shared" si="88"/>
        <v>0</v>
      </c>
      <c r="AB145" s="164">
        <f t="shared" si="88"/>
        <v>0</v>
      </c>
      <c r="AC145" s="164">
        <f>K145*BI145</f>
        <v>0</v>
      </c>
      <c r="AD145" s="152">
        <f t="shared" si="90"/>
        <v>0</v>
      </c>
      <c r="AE145" s="165">
        <f t="shared" si="91"/>
        <v>0</v>
      </c>
      <c r="AG145" s="564">
        <f>$G145*IF(ISNA(VLOOKUP($B145&amp;"; "&amp;$H$38&amp;", "&amp;I$39,'FE Déplacements'!$G:$U,10,FALSE)),0,VLOOKUP($B145&amp;"; "&amp;$H$38&amp;", "&amp;I$39,'FE Déplacements'!$G:$U,10,FALSE))</f>
        <v>0</v>
      </c>
      <c r="AH145" s="565">
        <f>$G145*IF(ISNA(VLOOKUP($B145&amp;"; "&amp;$H$38&amp;", "&amp;J$39,'FE Déplacements'!$G:$U,10,FALSE)),0,VLOOKUP($B145&amp;"; "&amp;$H$38&amp;", "&amp;J$39,'FE Déplacements'!$G:$U,10,FALSE))</f>
        <v>0</v>
      </c>
      <c r="AI145" s="565">
        <f>$G145*IF(ISNA(VLOOKUP($B145&amp;"; "&amp;$H$38&amp;", "&amp;H$39,'FE Déplacements'!$G:$U,10,FALSE)),0,VLOOKUP($B145&amp;"; "&amp;$H$38&amp;", "&amp;H$39,'FE Déplacements'!$G:$U,10,FALSE))</f>
        <v>0</v>
      </c>
      <c r="AJ145" s="565">
        <f>$G145*IF(ISNA((VLOOKUP($B145&amp;"; "&amp;$H$38&amp;", "&amp;I$39,'FE Déplacements'!$G:$U,12,FALSE)+VLOOKUP($B145&amp;"; "&amp;$H$38&amp;", "&amp;I$39,'FE Déplacements'!$G:$U,11,FALSE))),0,(VLOOKUP($B145&amp;"; "&amp;$H$38&amp;", "&amp;I$39,'FE Déplacements'!$G:$U,12,FALSE)+VLOOKUP($B145&amp;"; "&amp;$H$38&amp;", "&amp;I$39,'FE Déplacements'!$G:$U,11,FALSE)))</f>
        <v>0</v>
      </c>
      <c r="AK145" s="565">
        <f>$G145*IF(ISNA((VLOOKUP($B145&amp;"; "&amp;$H$38&amp;", "&amp;J$39,'FE Déplacements'!$G:$U,12,FALSE)+VLOOKUP($B145&amp;"; "&amp;$H$38&amp;", "&amp;J$39,'FE Déplacements'!$G:$U,11,FALSE))),0,(VLOOKUP($B145&amp;"; "&amp;$H$38&amp;", "&amp;J$39,'FE Déplacements'!$G:$U,12,FALSE)+VLOOKUP($B145&amp;"; "&amp;$H$38&amp;", "&amp;J$39,'FE Déplacements'!$G:$U,11,FALSE)))</f>
        <v>0</v>
      </c>
      <c r="AL145" s="565">
        <f>$G145*IF(ISNA((VLOOKUP($B145&amp;"; "&amp;$H$38&amp;", "&amp;H$39,'FE Déplacements'!$G:$U,12,FALSE)+VLOOKUP($B145&amp;"; "&amp;$H$38&amp;", "&amp;H$39,'FE Déplacements'!$G:$U,11,FALSE))),0,(VLOOKUP($B145&amp;"; "&amp;$H$38&amp;", "&amp;H$39,'FE Déplacements'!$G:$U,12,FALSE)+VLOOKUP($B145&amp;"; "&amp;$H$38&amp;", "&amp;H$39,'FE Déplacements'!$G:$U,11,FALSE)))</f>
        <v>0</v>
      </c>
      <c r="AM145" s="565">
        <f>$G145*IF(ISNA(VLOOKUP($B145&amp;"; "&amp;$H$38&amp;", "&amp;I$39,'FE Déplacements'!$G:$U,13,FALSE)),0,VLOOKUP($B145&amp;"; "&amp;$H$38&amp;", "&amp;I$39,'FE Déplacements'!$G:$U,13,FALSE))</f>
        <v>0</v>
      </c>
      <c r="AN145" s="565">
        <f>$G145*IF(ISNA(VLOOKUP($B145&amp;"; "&amp;$H$38&amp;", "&amp;J$39,'FE Déplacements'!$G:$U,13,FALSE)),0,VLOOKUP($B145&amp;"; "&amp;$H$38&amp;", "&amp;J$39,'FE Déplacements'!$G:$U,13,FALSE))</f>
        <v>0</v>
      </c>
      <c r="AO145" s="565">
        <f>$G145*IF(ISNA(VLOOKUP($B145&amp;"; "&amp;$H$38&amp;", "&amp;H$39,'FE Déplacements'!$G:$U,13,FALSE)),0,VLOOKUP($B145&amp;"; "&amp;$H$38&amp;", "&amp;H$39,'FE Déplacements'!$G:$U,13,FALSE))</f>
        <v>0</v>
      </c>
      <c r="AP145" s="565">
        <v>0</v>
      </c>
      <c r="AQ145" s="565">
        <v>0</v>
      </c>
      <c r="AR145" s="565">
        <v>0</v>
      </c>
      <c r="AS145" s="1288">
        <f t="shared" si="89"/>
        <v>0</v>
      </c>
      <c r="AT145" s="566">
        <f t="shared" si="89"/>
        <v>0</v>
      </c>
      <c r="AU145" s="566">
        <f t="shared" si="89"/>
        <v>0</v>
      </c>
      <c r="AV145" s="564">
        <f>$G145*IF(ISNA(VLOOKUP($B145&amp;"; "&amp;$H$38&amp;", "&amp;I$39,'FE Déplacements'!$G:$U,15,FALSE)),0,VLOOKUP($B145&amp;"; "&amp;$H$38&amp;", "&amp;I$39,'FE Déplacements'!$G:$U,15,FALSE))</f>
        <v>0</v>
      </c>
      <c r="AW145" s="565">
        <f>$G145*IF(ISNA(VLOOKUP($B145&amp;"; "&amp;$H$38&amp;", "&amp;J$39,'FE Déplacements'!$G:$U,15,FALSE)),0,VLOOKUP($B145&amp;"; "&amp;$H$38&amp;", "&amp;J$39,'FE Déplacements'!$G:$U,15,FALSE))</f>
        <v>0</v>
      </c>
      <c r="AX145" s="568">
        <f>$G145*IF(ISNA(VLOOKUP($B145&amp;"; "&amp;$H$38&amp;", "&amp;H$39,'FE Déplacements'!$G:$U,15,FALSE)),0,VLOOKUP($B145&amp;"; "&amp;$H$38&amp;", "&amp;H$39,'FE Déplacements'!$G:$U,15,FALSE))</f>
        <v>0</v>
      </c>
      <c r="BH145" s="2247">
        <f>IF($Y145&lt;&gt;"votre valeur :",IF(ISNA(VLOOKUP($Y145,Utilitaires!$N$566:$O$571,2,FALSE)),,VLOOKUP($Y145,Utilitaires!$N$566:$O$571,2,FALSE)),$Z145)</f>
        <v>0</v>
      </c>
      <c r="BI145" s="2252">
        <f>IF(ISNA(SQRT(SUMSQ(VLOOKUP($B145&amp;"; "&amp;$H$38&amp;", "&amp;$H$39,'FE Déplacements'!$G:$U,7,FALSE),$BH145))),0,SQRT(SUMSQ(VLOOKUP($B145&amp;"; "&amp;$H$38&amp;", "&amp;$H$39,'FE Déplacements'!$G:$U,7,FALSE),$BH145)))</f>
        <v>0.6</v>
      </c>
      <c r="BJ145" s="2252">
        <f>IF(ISNA(SQRT(SUMSQ(VLOOKUP($B145&amp;"; "&amp;$H$38&amp;", "&amp;$I$39,'FE Déplacements'!$G:$U,7,FALSE),$BH145))),0,SQRT(SUMSQ(VLOOKUP($B145&amp;"; "&amp;$H$38&amp;", "&amp;$I$39,'FE Déplacements'!$G:$U,7,FALSE),$BH145)))</f>
        <v>0</v>
      </c>
      <c r="BK145" s="1130">
        <f>IF(ISNA(SQRT(SUMSQ(VLOOKUP($B145&amp;"; "&amp;$H$38&amp;", "&amp;$J$39,'FE Déplacements'!$G:$U,7,FALSE),$BH145))),0,SQRT(SUMSQ(VLOOKUP($B145&amp;"; "&amp;$H$38&amp;", "&amp;$J$39,'FE Déplacements'!$G:$U,7,FALSE),$BH145)))</f>
        <v>0.6</v>
      </c>
    </row>
    <row r="146" spans="2:63" outlineLevel="2">
      <c r="B146" s="180"/>
      <c r="C146" s="2243"/>
      <c r="D146" s="212"/>
      <c r="E146" s="212"/>
      <c r="F146" s="212"/>
      <c r="G146" s="212"/>
      <c r="H146" s="410"/>
      <c r="I146" s="410"/>
      <c r="J146" s="410"/>
      <c r="K146" s="356"/>
      <c r="L146" s="356"/>
      <c r="M146" s="356"/>
      <c r="N146" s="1286"/>
      <c r="X146" s="1092"/>
      <c r="Y146" s="1094"/>
      <c r="Z146" s="820"/>
      <c r="AA146" s="164">
        <f t="shared" si="88"/>
        <v>0</v>
      </c>
      <c r="AB146" s="164">
        <f t="shared" si="88"/>
        <v>0</v>
      </c>
      <c r="AC146" s="164">
        <f>K146*BI146</f>
        <v>0</v>
      </c>
      <c r="AD146" s="152">
        <f t="shared" si="90"/>
        <v>0</v>
      </c>
      <c r="AE146" s="165"/>
      <c r="AG146" s="564"/>
      <c r="AH146" s="565"/>
      <c r="AI146" s="565"/>
      <c r="AJ146" s="565"/>
      <c r="AK146" s="565"/>
      <c r="AL146" s="565"/>
      <c r="AM146" s="565"/>
      <c r="AN146" s="565"/>
      <c r="AO146" s="565"/>
      <c r="AP146" s="565"/>
      <c r="AQ146" s="565"/>
      <c r="AR146" s="565"/>
      <c r="AS146" s="1288"/>
      <c r="AT146" s="566"/>
      <c r="AU146" s="566"/>
      <c r="AV146" s="564"/>
      <c r="AW146" s="565"/>
      <c r="AX146" s="568"/>
      <c r="BH146" s="2247"/>
      <c r="BI146" s="2252"/>
      <c r="BJ146" s="2252"/>
      <c r="BK146" s="1130"/>
    </row>
    <row r="147" spans="2:63" outlineLevel="2">
      <c r="B147" s="536" t="s">
        <v>4039</v>
      </c>
      <c r="C147" s="2243"/>
      <c r="D147" s="212"/>
      <c r="E147" s="212"/>
      <c r="F147" s="212"/>
      <c r="G147" s="212"/>
      <c r="H147" s="410"/>
      <c r="I147" s="410"/>
      <c r="J147" s="410"/>
      <c r="K147" s="356"/>
      <c r="L147" s="356"/>
      <c r="M147" s="356"/>
      <c r="N147" s="1286"/>
      <c r="X147" s="1092"/>
      <c r="Y147" s="820"/>
      <c r="Z147" s="820"/>
      <c r="AA147" s="164"/>
      <c r="AB147" s="164"/>
      <c r="AC147" s="164"/>
      <c r="AD147" s="152"/>
      <c r="AE147" s="165"/>
      <c r="AG147" s="564"/>
      <c r="AH147" s="565"/>
      <c r="AI147" s="565"/>
      <c r="AJ147" s="565"/>
      <c r="AK147" s="565"/>
      <c r="AL147" s="565"/>
      <c r="AM147" s="565"/>
      <c r="AN147" s="565"/>
      <c r="AO147" s="565"/>
      <c r="AP147" s="565"/>
      <c r="AQ147" s="565"/>
      <c r="AR147" s="565"/>
      <c r="AS147" s="1288"/>
      <c r="AT147" s="566"/>
      <c r="AU147" s="566"/>
      <c r="AV147" s="564"/>
      <c r="AW147" s="565"/>
      <c r="AX147" s="568"/>
      <c r="BH147" s="2247"/>
      <c r="BI147" s="2252"/>
      <c r="BJ147" s="2252"/>
      <c r="BK147" s="1130"/>
    </row>
    <row r="148" spans="2:63" outlineLevel="2">
      <c r="B148" s="180" t="s">
        <v>4116</v>
      </c>
      <c r="C148" s="2243"/>
      <c r="D148" s="212">
        <f t="shared" ref="D148:D161" si="92">SUM(K148:M148)</f>
        <v>0</v>
      </c>
      <c r="E148" s="212"/>
      <c r="F148" s="409"/>
      <c r="G148" s="117"/>
      <c r="H148" s="410">
        <f>IF(ISNA(VLOOKUP($B148&amp;"; "&amp;$H$38&amp;", "&amp;$H$39,'FE Déplacements'!$G:$U,9,FALSE)),0,VLOOKUP($B148&amp;"; "&amp;$H$38&amp;", "&amp;$H$39,'FE Déplacements'!$G:$U,9,FALSE))</f>
        <v>0</v>
      </c>
      <c r="I148" s="410">
        <f>IF(ISNA(VLOOKUP($B148&amp;"; "&amp;$H$38&amp;", "&amp;$I$39,'FE Déplacements'!$G:$U,9,FALSE)),0,VLOOKUP($B148&amp;"; "&amp;$H$38&amp;", "&amp;$I$39,'FE Déplacements'!$G:$U,9,FALSE))</f>
        <v>0</v>
      </c>
      <c r="J148" s="410">
        <f>IF(ISNA(VLOOKUP($B148&amp;"; "&amp;$H$38&amp;", "&amp;$J$39,'FE Déplacements'!$G:$U,9,FALSE)),0,VLOOKUP($B148&amp;"; "&amp;$H$38&amp;", "&amp;$J$39,'FE Déplacements'!$G:$U,9,FALSE))</f>
        <v>0</v>
      </c>
      <c r="K148" s="356">
        <f t="shared" ref="K148:K152" si="93">G148*H148</f>
        <v>0</v>
      </c>
      <c r="L148" s="356">
        <f t="shared" ref="L148:L152" si="94">G148*I148</f>
        <v>0</v>
      </c>
      <c r="M148" s="356">
        <f t="shared" ref="M148:M152" si="95">G148*J148</f>
        <v>0</v>
      </c>
      <c r="N148" s="1286">
        <f>IF(OR(F148=Utilitaires!$I$572,F148=Utilitaires!$I$577),M148,0)</f>
        <v>0</v>
      </c>
      <c r="X148" s="1092">
        <f t="shared" ref="X148:X151" si="96">IF(AD148=0,AD148,AD148/D148)</f>
        <v>0</v>
      </c>
      <c r="Y148" s="343"/>
      <c r="Z148" s="820"/>
      <c r="AA148" s="164">
        <f t="shared" ref="AA148:AB151" si="97">L148*BJ148</f>
        <v>0</v>
      </c>
      <c r="AB148" s="164">
        <f t="shared" si="97"/>
        <v>0</v>
      </c>
      <c r="AC148" s="164">
        <f>K148*BI148</f>
        <v>0</v>
      </c>
      <c r="AD148" s="152">
        <f t="shared" si="90"/>
        <v>0</v>
      </c>
      <c r="AE148" s="165">
        <f t="shared" ref="AE148:AE161" si="98">N148*X148</f>
        <v>0</v>
      </c>
      <c r="AG148" s="564">
        <f>$G148*IF(ISNA(VLOOKUP($B148&amp;"; "&amp;$H$38&amp;", "&amp;I$39,'FE Déplacements'!$G:$U,10,FALSE)),0,VLOOKUP($B148&amp;"; "&amp;$H$38&amp;", "&amp;I$39,'FE Déplacements'!$G:$U,10,FALSE))</f>
        <v>0</v>
      </c>
      <c r="AH148" s="565">
        <f>$G148*IF(ISNA(VLOOKUP($B148&amp;"; "&amp;$H$38&amp;", "&amp;J$39,'FE Déplacements'!$G:$U,10,FALSE)),0,VLOOKUP($B148&amp;"; "&amp;$H$38&amp;", "&amp;J$39,'FE Déplacements'!$G:$U,10,FALSE))</f>
        <v>0</v>
      </c>
      <c r="AI148" s="565">
        <f>$G148*IF(ISNA(VLOOKUP($B148&amp;"; "&amp;$H$38&amp;", "&amp;H$39,'FE Déplacements'!$G:$U,10,FALSE)),0,VLOOKUP($B148&amp;"; "&amp;$H$38&amp;", "&amp;H$39,'FE Déplacements'!$G:$U,10,FALSE))</f>
        <v>0</v>
      </c>
      <c r="AJ148" s="565">
        <f>$G148*IF(ISNA((VLOOKUP($B148&amp;"; "&amp;$H$38&amp;", "&amp;I$39,'FE Déplacements'!$G:$U,12,FALSE)+VLOOKUP($B148&amp;"; "&amp;$H$38&amp;", "&amp;I$39,'FE Déplacements'!$G:$U,11,FALSE))),0,(VLOOKUP($B148&amp;"; "&amp;$H$38&amp;", "&amp;I$39,'FE Déplacements'!$G:$U,12,FALSE)+VLOOKUP($B148&amp;"; "&amp;$H$38&amp;", "&amp;I$39,'FE Déplacements'!$G:$U,11,FALSE)))</f>
        <v>0</v>
      </c>
      <c r="AK148" s="565">
        <f>$G148*IF(ISNA((VLOOKUP($B148&amp;"; "&amp;$H$38&amp;", "&amp;J$39,'FE Déplacements'!$G:$U,12,FALSE)+VLOOKUP($B148&amp;"; "&amp;$H$38&amp;", "&amp;J$39,'FE Déplacements'!$G:$U,11,FALSE))),0,(VLOOKUP($B148&amp;"; "&amp;$H$38&amp;", "&amp;J$39,'FE Déplacements'!$G:$U,12,FALSE)+VLOOKUP($B148&amp;"; "&amp;$H$38&amp;", "&amp;J$39,'FE Déplacements'!$G:$U,11,FALSE)))</f>
        <v>0</v>
      </c>
      <c r="AL148" s="565">
        <f>$G148*IF(ISNA((VLOOKUP($B148&amp;"; "&amp;$H$38&amp;", "&amp;H$39,'FE Déplacements'!$G:$U,12,FALSE)+VLOOKUP($B148&amp;"; "&amp;$H$38&amp;", "&amp;H$39,'FE Déplacements'!$G:$U,11,FALSE))),0,(VLOOKUP($B148&amp;"; "&amp;$H$38&amp;", "&amp;H$39,'FE Déplacements'!$G:$U,12,FALSE)+VLOOKUP($B148&amp;"; "&amp;$H$38&amp;", "&amp;H$39,'FE Déplacements'!$G:$U,11,FALSE)))</f>
        <v>0</v>
      </c>
      <c r="AM148" s="565">
        <f>$G148*IF(ISNA(VLOOKUP($B148&amp;"; "&amp;$H$38&amp;", "&amp;I$39,'FE Déplacements'!$G:$U,13,FALSE)),0,VLOOKUP($B148&amp;"; "&amp;$H$38&amp;", "&amp;I$39,'FE Déplacements'!$G:$U,13,FALSE))</f>
        <v>0</v>
      </c>
      <c r="AN148" s="565">
        <f>$G148*IF(ISNA(VLOOKUP($B148&amp;"; "&amp;$H$38&amp;", "&amp;J$39,'FE Déplacements'!$G:$U,13,FALSE)),0,VLOOKUP($B148&amp;"; "&amp;$H$38&amp;", "&amp;J$39,'FE Déplacements'!$G:$U,13,FALSE))</f>
        <v>0</v>
      </c>
      <c r="AO148" s="565">
        <f>$G148*IF(ISNA(VLOOKUP($B148&amp;"; "&amp;$H$38&amp;", "&amp;H$39,'FE Déplacements'!$G:$U,13,FALSE)),0,VLOOKUP($B148&amp;"; "&amp;$H$38&amp;", "&amp;H$39,'FE Déplacements'!$G:$U,13,FALSE))</f>
        <v>0</v>
      </c>
      <c r="AP148" s="565">
        <v>0</v>
      </c>
      <c r="AQ148" s="565">
        <v>0</v>
      </c>
      <c r="AR148" s="565">
        <v>0</v>
      </c>
      <c r="AS148" s="1288">
        <f t="shared" ref="AS148:AU152" si="99">SUM(AG148,AJ148,AM148,AP148)</f>
        <v>0</v>
      </c>
      <c r="AT148" s="566">
        <f t="shared" si="99"/>
        <v>0</v>
      </c>
      <c r="AU148" s="566">
        <f t="shared" si="99"/>
        <v>0</v>
      </c>
      <c r="AV148" s="564">
        <f>$G148*IF(ISNA(VLOOKUP($B148&amp;"; "&amp;$H$38&amp;", "&amp;I$39,'FE Déplacements'!$G:$U,15,FALSE)),0,VLOOKUP($B148&amp;"; "&amp;$H$38&amp;", "&amp;I$39,'FE Déplacements'!$G:$U,15,FALSE))</f>
        <v>0</v>
      </c>
      <c r="AW148" s="565">
        <f>$G148*IF(ISNA(VLOOKUP($B148&amp;"; "&amp;$H$38&amp;", "&amp;J$39,'FE Déplacements'!$G:$U,15,FALSE)),0,VLOOKUP($B148&amp;"; "&amp;$H$38&amp;", "&amp;J$39,'FE Déplacements'!$G:$U,15,FALSE))</f>
        <v>0</v>
      </c>
      <c r="AX148" s="568">
        <f>$G148*IF(ISNA(VLOOKUP($B148&amp;"; "&amp;$H$38&amp;", "&amp;H$39,'FE Déplacements'!$G:$U,15,FALSE)),0,VLOOKUP($B148&amp;"; "&amp;$H$38&amp;", "&amp;H$39,'FE Déplacements'!$G:$U,15,FALSE))</f>
        <v>0</v>
      </c>
      <c r="BH148" s="2247">
        <f>IF($Y148&lt;&gt;"votre valeur :",IF(ISNA(VLOOKUP($Y148,Utilitaires!$N$566:$O$571,2,FALSE)),,VLOOKUP($Y148,Utilitaires!$N$566:$O$571,2,FALSE)),$Z148)</f>
        <v>0</v>
      </c>
      <c r="BI148" s="2252">
        <f>IF(ISNA(SQRT(SUMSQ(VLOOKUP($B148&amp;"; "&amp;$H$38&amp;", "&amp;$H$39,'FE Déplacements'!$G:$U,7,FALSE),$BH148))),0,SQRT(SUMSQ(VLOOKUP($B148&amp;"; "&amp;$H$38&amp;", "&amp;$H$39,'FE Déplacements'!$G:$U,7,FALSE),$BH148)))</f>
        <v>0</v>
      </c>
      <c r="BJ148" s="2252">
        <f>IF(ISNA(SQRT(SUMSQ(VLOOKUP($B148&amp;"; "&amp;$H$38&amp;", "&amp;$I$39,'FE Déplacements'!$G:$U,7,FALSE),$BH148))),0,SQRT(SUMSQ(VLOOKUP($B148&amp;"; "&amp;$H$38&amp;", "&amp;$I$39,'FE Déplacements'!$G:$U,7,FALSE),$BH148)))</f>
        <v>0</v>
      </c>
      <c r="BK148" s="1130">
        <f>IF(ISNA(SQRT(SUMSQ(VLOOKUP($B148&amp;"; "&amp;$H$38&amp;", "&amp;$J$39,'FE Déplacements'!$G:$U,7,FALSE),$BH148))),0,SQRT(SUMSQ(VLOOKUP($B148&amp;"; "&amp;$H$38&amp;", "&amp;$J$39,'FE Déplacements'!$G:$U,7,FALSE),$BH148)))</f>
        <v>0</v>
      </c>
    </row>
    <row r="149" spans="2:63" outlineLevel="2">
      <c r="B149" s="180" t="s">
        <v>4041</v>
      </c>
      <c r="C149" s="2243"/>
      <c r="D149" s="212">
        <f t="shared" si="92"/>
        <v>0</v>
      </c>
      <c r="E149" s="212"/>
      <c r="F149" s="530"/>
      <c r="G149" s="398"/>
      <c r="H149" s="410">
        <f>IF(ISNA(VLOOKUP($B149&amp;"; "&amp;$H$38&amp;", "&amp;$H$39,'FE Déplacements'!$G:$U,9,FALSE)),0,VLOOKUP($B149&amp;"; "&amp;$H$38&amp;", "&amp;$H$39,'FE Déplacements'!$G:$U,9,FALSE))</f>
        <v>5.62E-2</v>
      </c>
      <c r="I149" s="410">
        <f>IF(ISNA(VLOOKUP($B149&amp;"; "&amp;$H$38&amp;", "&amp;$I$39,'FE Déplacements'!$G:$U,9,FALSE)),0,VLOOKUP($B149&amp;"; "&amp;$H$38&amp;", "&amp;$I$39,'FE Déplacements'!$G:$U,9,FALSE))</f>
        <v>1.72E-2</v>
      </c>
      <c r="J149" s="410">
        <f>IF(ISNA(VLOOKUP($B149&amp;"; "&amp;$H$38&amp;", "&amp;$J$39,'FE Déplacements'!$G:$U,9,FALSE)),0,VLOOKUP($B149&amp;"; "&amp;$H$38&amp;", "&amp;$J$39,'FE Déplacements'!$G:$U,9,FALSE))</f>
        <v>0</v>
      </c>
      <c r="K149" s="356">
        <f t="shared" si="93"/>
        <v>0</v>
      </c>
      <c r="L149" s="356">
        <f t="shared" si="94"/>
        <v>0</v>
      </c>
      <c r="M149" s="356">
        <f t="shared" si="95"/>
        <v>0</v>
      </c>
      <c r="N149" s="1286">
        <f>IF(OR(F149=Utilitaires!$I$572,F149=Utilitaires!$I$577),M149,0)</f>
        <v>0</v>
      </c>
      <c r="X149" s="1092">
        <f t="shared" si="96"/>
        <v>0</v>
      </c>
      <c r="Y149" s="343"/>
      <c r="Z149" s="820"/>
      <c r="AA149" s="164">
        <f t="shared" si="97"/>
        <v>0</v>
      </c>
      <c r="AB149" s="164">
        <f t="shared" si="97"/>
        <v>0</v>
      </c>
      <c r="AC149" s="164">
        <f>K149*BI149</f>
        <v>0</v>
      </c>
      <c r="AD149" s="152">
        <f t="shared" si="90"/>
        <v>0</v>
      </c>
      <c r="AE149" s="165">
        <f t="shared" si="98"/>
        <v>0</v>
      </c>
      <c r="AG149" s="564">
        <f>$G149*IF(ISNA(VLOOKUP($B149&amp;"; "&amp;$H$38&amp;", "&amp;I$39,'FE Déplacements'!$G:$U,10,FALSE)),0,VLOOKUP($B149&amp;"; "&amp;$H$38&amp;", "&amp;I$39,'FE Déplacements'!$G:$U,10,FALSE))</f>
        <v>0</v>
      </c>
      <c r="AH149" s="565">
        <f>$G149*IF(ISNA(VLOOKUP($B149&amp;"; "&amp;$H$38&amp;", "&amp;J$39,'FE Déplacements'!$G:$U,10,FALSE)),0,VLOOKUP($B149&amp;"; "&amp;$H$38&amp;", "&amp;J$39,'FE Déplacements'!$G:$U,10,FALSE))</f>
        <v>0</v>
      </c>
      <c r="AI149" s="565">
        <f>$G149*IF(ISNA(VLOOKUP($B149&amp;"; "&amp;$H$38&amp;", "&amp;H$39,'FE Déplacements'!$G:$U,10,FALSE)),0,VLOOKUP($B149&amp;"; "&amp;$H$38&amp;", "&amp;H$39,'FE Déplacements'!$G:$U,10,FALSE))</f>
        <v>0</v>
      </c>
      <c r="AJ149" s="565">
        <f>$G149*IF(ISNA((VLOOKUP($B149&amp;"; "&amp;$H$38&amp;", "&amp;I$39,'FE Déplacements'!$G:$U,12,FALSE)+VLOOKUP($B149&amp;"; "&amp;$H$38&amp;", "&amp;I$39,'FE Déplacements'!$G:$U,11,FALSE))),0,(VLOOKUP($B149&amp;"; "&amp;$H$38&amp;", "&amp;I$39,'FE Déplacements'!$G:$U,12,FALSE)+VLOOKUP($B149&amp;"; "&amp;$H$38&amp;", "&amp;I$39,'FE Déplacements'!$G:$U,11,FALSE)))</f>
        <v>0</v>
      </c>
      <c r="AK149" s="565">
        <f>$G149*IF(ISNA((VLOOKUP($B149&amp;"; "&amp;$H$38&amp;", "&amp;J$39,'FE Déplacements'!$G:$U,12,FALSE)+VLOOKUP($B149&amp;"; "&amp;$H$38&amp;", "&amp;J$39,'FE Déplacements'!$G:$U,11,FALSE))),0,(VLOOKUP($B149&amp;"; "&amp;$H$38&amp;", "&amp;J$39,'FE Déplacements'!$G:$U,12,FALSE)+VLOOKUP($B149&amp;"; "&amp;$H$38&amp;", "&amp;J$39,'FE Déplacements'!$G:$U,11,FALSE)))</f>
        <v>0</v>
      </c>
      <c r="AL149" s="565">
        <f>$G149*IF(ISNA((VLOOKUP($B149&amp;"; "&amp;$H$38&amp;", "&amp;H$39,'FE Déplacements'!$G:$U,12,FALSE)+VLOOKUP($B149&amp;"; "&amp;$H$38&amp;", "&amp;H$39,'FE Déplacements'!$G:$U,11,FALSE))),0,(VLOOKUP($B149&amp;"; "&amp;$H$38&amp;", "&amp;H$39,'FE Déplacements'!$G:$U,12,FALSE)+VLOOKUP($B149&amp;"; "&amp;$H$38&amp;", "&amp;H$39,'FE Déplacements'!$G:$U,11,FALSE)))</f>
        <v>0</v>
      </c>
      <c r="AM149" s="565">
        <f>$G149*IF(ISNA(VLOOKUP($B149&amp;"; "&amp;$H$38&amp;", "&amp;I$39,'FE Déplacements'!$G:$U,13,FALSE)),0,VLOOKUP($B149&amp;"; "&amp;$H$38&amp;", "&amp;I$39,'FE Déplacements'!$G:$U,13,FALSE))</f>
        <v>0</v>
      </c>
      <c r="AN149" s="565">
        <f>$G149*IF(ISNA(VLOOKUP($B149&amp;"; "&amp;$H$38&amp;", "&amp;J$39,'FE Déplacements'!$G:$U,13,FALSE)),0,VLOOKUP($B149&amp;"; "&amp;$H$38&amp;", "&amp;J$39,'FE Déplacements'!$G:$U,13,FALSE))</f>
        <v>0</v>
      </c>
      <c r="AO149" s="565">
        <f>$G149*IF(ISNA(VLOOKUP($B149&amp;"; "&amp;$H$38&amp;", "&amp;H$39,'FE Déplacements'!$G:$U,13,FALSE)),0,VLOOKUP($B149&amp;"; "&amp;$H$38&amp;", "&amp;H$39,'FE Déplacements'!$G:$U,13,FALSE))</f>
        <v>0</v>
      </c>
      <c r="AP149" s="565">
        <v>0</v>
      </c>
      <c r="AQ149" s="565">
        <v>0</v>
      </c>
      <c r="AR149" s="565">
        <v>0</v>
      </c>
      <c r="AS149" s="1288">
        <f t="shared" si="99"/>
        <v>0</v>
      </c>
      <c r="AT149" s="566">
        <f t="shared" si="99"/>
        <v>0</v>
      </c>
      <c r="AU149" s="566">
        <f t="shared" si="99"/>
        <v>0</v>
      </c>
      <c r="AV149" s="564">
        <f>$G149*IF(ISNA(VLOOKUP($B149&amp;"; "&amp;$H$38&amp;", "&amp;I$39,'FE Déplacements'!$G:$U,15,FALSE)),0,VLOOKUP($B149&amp;"; "&amp;$H$38&amp;", "&amp;I$39,'FE Déplacements'!$G:$U,15,FALSE))</f>
        <v>0</v>
      </c>
      <c r="AW149" s="565">
        <f>$G149*IF(ISNA(VLOOKUP($B149&amp;"; "&amp;$H$38&amp;", "&amp;J$39,'FE Déplacements'!$G:$U,15,FALSE)),0,VLOOKUP($B149&amp;"; "&amp;$H$38&amp;", "&amp;J$39,'FE Déplacements'!$G:$U,15,FALSE))</f>
        <v>0</v>
      </c>
      <c r="AX149" s="568">
        <f>$G149*IF(ISNA(VLOOKUP($B149&amp;"; "&amp;$H$38&amp;", "&amp;H$39,'FE Déplacements'!$G:$U,15,FALSE)),0,VLOOKUP($B149&amp;"; "&amp;$H$38&amp;", "&amp;H$39,'FE Déplacements'!$G:$U,15,FALSE))</f>
        <v>0</v>
      </c>
      <c r="BH149" s="2247">
        <f>IF($Y149&lt;&gt;"votre valeur :",IF(ISNA(VLOOKUP($Y149,Utilitaires!$N$566:$O$571,2,FALSE)),,VLOOKUP($Y149,Utilitaires!$N$566:$O$571,2,FALSE)),$Z149)</f>
        <v>0</v>
      </c>
      <c r="BI149" s="2252">
        <f>IF(ISNA(SQRT(SUMSQ(VLOOKUP($B149&amp;"; "&amp;$H$38&amp;", "&amp;$H$39,'FE Déplacements'!$G:$U,7,FALSE),$BH149))),0,SQRT(SUMSQ(VLOOKUP($B149&amp;"; "&amp;$H$38&amp;", "&amp;$H$39,'FE Déplacements'!$G:$U,7,FALSE),$BH149)))</f>
        <v>0.7</v>
      </c>
      <c r="BJ149" s="2252">
        <f>IF(ISNA(SQRT(SUMSQ(VLOOKUP($B149&amp;"; "&amp;$H$38&amp;", "&amp;$I$39,'FE Déplacements'!$G:$U,7,FALSE),$BH149))),0,SQRT(SUMSQ(VLOOKUP($B149&amp;"; "&amp;$H$38&amp;", "&amp;$I$39,'FE Déplacements'!$G:$U,7,FALSE),$BH149)))</f>
        <v>0.7</v>
      </c>
      <c r="BK149" s="1130">
        <f>IF(ISNA(SQRT(SUMSQ(VLOOKUP($B149&amp;"; "&amp;$H$38&amp;", "&amp;$J$39,'FE Déplacements'!$G:$U,7,FALSE),$BH149))),0,SQRT(SUMSQ(VLOOKUP($B149&amp;"; "&amp;$H$38&amp;", "&amp;$J$39,'FE Déplacements'!$G:$U,7,FALSE),$BH149)))</f>
        <v>0.7</v>
      </c>
    </row>
    <row r="150" spans="2:63" outlineLevel="2">
      <c r="B150" s="180" t="s">
        <v>4042</v>
      </c>
      <c r="C150" s="2243"/>
      <c r="D150" s="212">
        <f t="shared" si="92"/>
        <v>0</v>
      </c>
      <c r="E150" s="212"/>
      <c r="F150" s="530"/>
      <c r="G150" s="398"/>
      <c r="H150" s="410">
        <f>IF(ISNA(VLOOKUP($B150&amp;"; "&amp;$H$38&amp;", "&amp;$H$39,'FE Déplacements'!$G:$U,9,FALSE)),0,VLOOKUP($B150&amp;"; "&amp;$H$38&amp;", "&amp;$H$39,'FE Déplacements'!$G:$U,9,FALSE))</f>
        <v>5.7299999999999997E-2</v>
      </c>
      <c r="I150" s="410">
        <f>IF(ISNA(VLOOKUP($B150&amp;"; "&amp;$H$38&amp;", "&amp;$I$39,'FE Déplacements'!$G:$U,9,FALSE)),0,VLOOKUP($B150&amp;"; "&amp;$H$38&amp;", "&amp;$I$39,'FE Déplacements'!$G:$U,9,FALSE))</f>
        <v>1.44E-2</v>
      </c>
      <c r="J150" s="410">
        <f>IF(ISNA(VLOOKUP($B150&amp;"; "&amp;$H$38&amp;", "&amp;$J$39,'FE Déplacements'!$G:$U,9,FALSE)),0,VLOOKUP($B150&amp;"; "&amp;$H$38&amp;", "&amp;$J$39,'FE Déplacements'!$G:$U,9,FALSE))</f>
        <v>0</v>
      </c>
      <c r="K150" s="356">
        <f t="shared" si="93"/>
        <v>0</v>
      </c>
      <c r="L150" s="356">
        <f t="shared" si="94"/>
        <v>0</v>
      </c>
      <c r="M150" s="356">
        <f t="shared" si="95"/>
        <v>0</v>
      </c>
      <c r="N150" s="1286">
        <f>IF(OR(F150=Utilitaires!$I$572,F150=Utilitaires!$I$577),M150,0)</f>
        <v>0</v>
      </c>
      <c r="X150" s="1092">
        <f t="shared" si="96"/>
        <v>0</v>
      </c>
      <c r="Y150" s="343"/>
      <c r="Z150" s="820"/>
      <c r="AA150" s="164">
        <f t="shared" si="97"/>
        <v>0</v>
      </c>
      <c r="AB150" s="164">
        <f t="shared" si="97"/>
        <v>0</v>
      </c>
      <c r="AC150" s="164">
        <f>K150*BI150</f>
        <v>0</v>
      </c>
      <c r="AD150" s="152">
        <f t="shared" si="90"/>
        <v>0</v>
      </c>
      <c r="AE150" s="165">
        <f t="shared" si="98"/>
        <v>0</v>
      </c>
      <c r="AG150" s="564">
        <f>$G150*IF(ISNA(VLOOKUP($B150&amp;"; "&amp;$H$38&amp;", "&amp;I$39,'FE Déplacements'!$G:$U,10,FALSE)),0,VLOOKUP($B150&amp;"; "&amp;$H$38&amp;", "&amp;I$39,'FE Déplacements'!$G:$U,10,FALSE))</f>
        <v>0</v>
      </c>
      <c r="AH150" s="565">
        <f>$G150*IF(ISNA(VLOOKUP($B150&amp;"; "&amp;$H$38&amp;", "&amp;J$39,'FE Déplacements'!$G:$U,10,FALSE)),0,VLOOKUP($B150&amp;"; "&amp;$H$38&amp;", "&amp;J$39,'FE Déplacements'!$G:$U,10,FALSE))</f>
        <v>0</v>
      </c>
      <c r="AI150" s="565">
        <f>$G150*IF(ISNA(VLOOKUP($B150&amp;"; "&amp;$H$38&amp;", "&amp;H$39,'FE Déplacements'!$G:$U,10,FALSE)),0,VLOOKUP($B150&amp;"; "&amp;$H$38&amp;", "&amp;H$39,'FE Déplacements'!$G:$U,10,FALSE))</f>
        <v>0</v>
      </c>
      <c r="AJ150" s="565">
        <f>$G150*IF(ISNA((VLOOKUP($B150&amp;"; "&amp;$H$38&amp;", "&amp;I$39,'FE Déplacements'!$G:$U,12,FALSE)+VLOOKUP($B150&amp;"; "&amp;$H$38&amp;", "&amp;I$39,'FE Déplacements'!$G:$U,11,FALSE))),0,(VLOOKUP($B150&amp;"; "&amp;$H$38&amp;", "&amp;I$39,'FE Déplacements'!$G:$U,12,FALSE)+VLOOKUP($B150&amp;"; "&amp;$H$38&amp;", "&amp;I$39,'FE Déplacements'!$G:$U,11,FALSE)))</f>
        <v>0</v>
      </c>
      <c r="AK150" s="565">
        <f>$G150*IF(ISNA((VLOOKUP($B150&amp;"; "&amp;$H$38&amp;", "&amp;J$39,'FE Déplacements'!$G:$U,12,FALSE)+VLOOKUP($B150&amp;"; "&amp;$H$38&amp;", "&amp;J$39,'FE Déplacements'!$G:$U,11,FALSE))),0,(VLOOKUP($B150&amp;"; "&amp;$H$38&amp;", "&amp;J$39,'FE Déplacements'!$G:$U,12,FALSE)+VLOOKUP($B150&amp;"; "&amp;$H$38&amp;", "&amp;J$39,'FE Déplacements'!$G:$U,11,FALSE)))</f>
        <v>0</v>
      </c>
      <c r="AL150" s="565">
        <f>$G150*IF(ISNA((VLOOKUP($B150&amp;"; "&amp;$H$38&amp;", "&amp;H$39,'FE Déplacements'!$G:$U,12,FALSE)+VLOOKUP($B150&amp;"; "&amp;$H$38&amp;", "&amp;H$39,'FE Déplacements'!$G:$U,11,FALSE))),0,(VLOOKUP($B150&amp;"; "&amp;$H$38&amp;", "&amp;H$39,'FE Déplacements'!$G:$U,12,FALSE)+VLOOKUP($B150&amp;"; "&amp;$H$38&amp;", "&amp;H$39,'FE Déplacements'!$G:$U,11,FALSE)))</f>
        <v>0</v>
      </c>
      <c r="AM150" s="565">
        <f>$G150*IF(ISNA(VLOOKUP($B150&amp;"; "&amp;$H$38&amp;", "&amp;I$39,'FE Déplacements'!$G:$U,13,FALSE)),0,VLOOKUP($B150&amp;"; "&amp;$H$38&amp;", "&amp;I$39,'FE Déplacements'!$G:$U,13,FALSE))</f>
        <v>0</v>
      </c>
      <c r="AN150" s="565">
        <f>$G150*IF(ISNA(VLOOKUP($B150&amp;"; "&amp;$H$38&amp;", "&amp;J$39,'FE Déplacements'!$G:$U,13,FALSE)),0,VLOOKUP($B150&amp;"; "&amp;$H$38&amp;", "&amp;J$39,'FE Déplacements'!$G:$U,13,FALSE))</f>
        <v>0</v>
      </c>
      <c r="AO150" s="565">
        <f>$G150*IF(ISNA(VLOOKUP($B150&amp;"; "&amp;$H$38&amp;", "&amp;H$39,'FE Déplacements'!$G:$U,13,FALSE)),0,VLOOKUP($B150&amp;"; "&amp;$H$38&amp;", "&amp;H$39,'FE Déplacements'!$G:$U,13,FALSE))</f>
        <v>0</v>
      </c>
      <c r="AP150" s="565">
        <v>0</v>
      </c>
      <c r="AQ150" s="565">
        <v>0</v>
      </c>
      <c r="AR150" s="565">
        <v>0</v>
      </c>
      <c r="AS150" s="1288">
        <f t="shared" si="99"/>
        <v>0</v>
      </c>
      <c r="AT150" s="566">
        <f t="shared" si="99"/>
        <v>0</v>
      </c>
      <c r="AU150" s="566">
        <f t="shared" si="99"/>
        <v>0</v>
      </c>
      <c r="AV150" s="564">
        <f>$G150*IF(ISNA(VLOOKUP($B150&amp;"; "&amp;$H$38&amp;", "&amp;I$39,'FE Déplacements'!$G:$U,15,FALSE)),0,VLOOKUP($B150&amp;"; "&amp;$H$38&amp;", "&amp;I$39,'FE Déplacements'!$G:$U,15,FALSE))</f>
        <v>0</v>
      </c>
      <c r="AW150" s="565">
        <f>$G150*IF(ISNA(VLOOKUP($B150&amp;"; "&amp;$H$38&amp;", "&amp;J$39,'FE Déplacements'!$G:$U,15,FALSE)),0,VLOOKUP($B150&amp;"; "&amp;$H$38&amp;", "&amp;J$39,'FE Déplacements'!$G:$U,15,FALSE))</f>
        <v>0</v>
      </c>
      <c r="AX150" s="568">
        <f>$G150*IF(ISNA(VLOOKUP($B150&amp;"; "&amp;$H$38&amp;", "&amp;H$39,'FE Déplacements'!$G:$U,15,FALSE)),0,VLOOKUP($B150&amp;"; "&amp;$H$38&amp;", "&amp;H$39,'FE Déplacements'!$G:$U,15,FALSE))</f>
        <v>0</v>
      </c>
      <c r="BH150" s="2247">
        <f>IF($Y150&lt;&gt;"votre valeur :",IF(ISNA(VLOOKUP($Y150,Utilitaires!$N$566:$O$571,2,FALSE)),,VLOOKUP($Y150,Utilitaires!$N$566:$O$571,2,FALSE)),$Z150)</f>
        <v>0</v>
      </c>
      <c r="BI150" s="2252">
        <f>IF(ISNA(SQRT(SUMSQ(VLOOKUP($B150&amp;"; "&amp;$H$38&amp;", "&amp;$H$39,'FE Déplacements'!$G:$U,7,FALSE),$BH150))),0,SQRT(SUMSQ(VLOOKUP($B150&amp;"; "&amp;$H$38&amp;", "&amp;$H$39,'FE Déplacements'!$G:$U,7,FALSE),$BH150)))</f>
        <v>0.7</v>
      </c>
      <c r="BJ150" s="2252">
        <f>IF(ISNA(SQRT(SUMSQ(VLOOKUP($B150&amp;"; "&amp;$H$38&amp;", "&amp;$I$39,'FE Déplacements'!$G:$U,7,FALSE),$BH150))),0,SQRT(SUMSQ(VLOOKUP($B150&amp;"; "&amp;$H$38&amp;", "&amp;$I$39,'FE Déplacements'!$G:$U,7,FALSE),$BH150)))</f>
        <v>0.7</v>
      </c>
      <c r="BK150" s="1130">
        <f>IF(ISNA(SQRT(SUMSQ(VLOOKUP($B150&amp;"; "&amp;$H$38&amp;", "&amp;$J$39,'FE Déplacements'!$G:$U,7,FALSE),$BH150))),0,SQRT(SUMSQ(VLOOKUP($B150&amp;"; "&amp;$H$38&amp;", "&amp;$J$39,'FE Déplacements'!$G:$U,7,FALSE),$BH150)))</f>
        <v>0.7</v>
      </c>
    </row>
    <row r="151" spans="2:63" outlineLevel="2">
      <c r="B151" s="180" t="s">
        <v>4043</v>
      </c>
      <c r="C151" s="2243"/>
      <c r="D151" s="212">
        <f t="shared" si="92"/>
        <v>0</v>
      </c>
      <c r="E151" s="212"/>
      <c r="F151" s="530"/>
      <c r="G151" s="398"/>
      <c r="H151" s="410">
        <f>IF(ISNA(VLOOKUP($B151&amp;"; "&amp;$H$38&amp;", "&amp;$H$39,'FE Déplacements'!$G:$U,9,FALSE)),0,VLOOKUP($B151&amp;"; "&amp;$H$38&amp;", "&amp;$H$39,'FE Déplacements'!$G:$U,9,FALSE))</f>
        <v>3.61E-2</v>
      </c>
      <c r="I151" s="410">
        <f>IF(ISNA(VLOOKUP($B151&amp;"; "&amp;$H$38&amp;", "&amp;$I$39,'FE Déplacements'!$G:$U,9,FALSE)),0,VLOOKUP($B151&amp;"; "&amp;$H$38&amp;", "&amp;$I$39,'FE Déplacements'!$G:$U,9,FALSE))</f>
        <v>2.24E-2</v>
      </c>
      <c r="J151" s="410">
        <f>IF(ISNA(VLOOKUP($B151&amp;"; "&amp;$H$38&amp;", "&amp;$J$39,'FE Déplacements'!$G:$U,9,FALSE)),0,VLOOKUP($B151&amp;"; "&amp;$H$38&amp;", "&amp;$J$39,'FE Déplacements'!$G:$U,9,FALSE))</f>
        <v>0.113</v>
      </c>
      <c r="K151" s="356">
        <f t="shared" si="93"/>
        <v>0</v>
      </c>
      <c r="L151" s="356">
        <f t="shared" si="94"/>
        <v>0</v>
      </c>
      <c r="M151" s="356">
        <f t="shared" si="95"/>
        <v>0</v>
      </c>
      <c r="N151" s="1286">
        <f>IF(OR(F151=Utilitaires!$I$572,F151=Utilitaires!$I$577),M151,0)</f>
        <v>0</v>
      </c>
      <c r="X151" s="1092">
        <f t="shared" si="96"/>
        <v>0</v>
      </c>
      <c r="Y151" s="1094"/>
      <c r="Z151" s="820"/>
      <c r="AA151" s="164">
        <f t="shared" si="97"/>
        <v>0</v>
      </c>
      <c r="AB151" s="164">
        <f t="shared" si="97"/>
        <v>0</v>
      </c>
      <c r="AC151" s="164">
        <f>K151*BI151</f>
        <v>0</v>
      </c>
      <c r="AD151" s="152">
        <f t="shared" si="90"/>
        <v>0</v>
      </c>
      <c r="AE151" s="165">
        <f t="shared" si="98"/>
        <v>0</v>
      </c>
      <c r="AG151" s="564">
        <f>$G151*IF(ISNA(VLOOKUP($B151&amp;"; "&amp;$H$38&amp;", "&amp;I$39,'FE Déplacements'!$G:$U,10,FALSE)),0,VLOOKUP($B151&amp;"; "&amp;$H$38&amp;", "&amp;I$39,'FE Déplacements'!$G:$U,10,FALSE))</f>
        <v>0</v>
      </c>
      <c r="AH151" s="565">
        <f>$G151*IF(ISNA(VLOOKUP($B151&amp;"; "&amp;$H$38&amp;", "&amp;J$39,'FE Déplacements'!$G:$U,10,FALSE)),0,VLOOKUP($B151&amp;"; "&amp;$H$38&amp;", "&amp;J$39,'FE Déplacements'!$G:$U,10,FALSE))</f>
        <v>0</v>
      </c>
      <c r="AI151" s="565">
        <f>$G151*IF(ISNA(VLOOKUP($B151&amp;"; "&amp;$H$38&amp;", "&amp;H$39,'FE Déplacements'!$G:$U,10,FALSE)),0,VLOOKUP($B151&amp;"; "&amp;$H$38&amp;", "&amp;H$39,'FE Déplacements'!$G:$U,10,FALSE))</f>
        <v>0</v>
      </c>
      <c r="AJ151" s="565">
        <f>$G151*IF(ISNA((VLOOKUP($B151&amp;"; "&amp;$H$38&amp;", "&amp;I$39,'FE Déplacements'!$G:$U,12,FALSE)+VLOOKUP($B151&amp;"; "&amp;$H$38&amp;", "&amp;I$39,'FE Déplacements'!$G:$U,11,FALSE))),0,(VLOOKUP($B151&amp;"; "&amp;$H$38&amp;", "&amp;I$39,'FE Déplacements'!$G:$U,12,FALSE)+VLOOKUP($B151&amp;"; "&amp;$H$38&amp;", "&amp;I$39,'FE Déplacements'!$G:$U,11,FALSE)))</f>
        <v>0</v>
      </c>
      <c r="AK151" s="565">
        <f>$G151*IF(ISNA((VLOOKUP($B151&amp;"; "&amp;$H$38&amp;", "&amp;J$39,'FE Déplacements'!$G:$U,12,FALSE)+VLOOKUP($B151&amp;"; "&amp;$H$38&amp;", "&amp;J$39,'FE Déplacements'!$G:$U,11,FALSE))),0,(VLOOKUP($B151&amp;"; "&amp;$H$38&amp;", "&amp;J$39,'FE Déplacements'!$G:$U,12,FALSE)+VLOOKUP($B151&amp;"; "&amp;$H$38&amp;", "&amp;J$39,'FE Déplacements'!$G:$U,11,FALSE)))</f>
        <v>0</v>
      </c>
      <c r="AL151" s="565">
        <f>$G151*IF(ISNA((VLOOKUP($B151&amp;"; "&amp;$H$38&amp;", "&amp;H$39,'FE Déplacements'!$G:$U,12,FALSE)+VLOOKUP($B151&amp;"; "&amp;$H$38&amp;", "&amp;H$39,'FE Déplacements'!$G:$U,11,FALSE))),0,(VLOOKUP($B151&amp;"; "&amp;$H$38&amp;", "&amp;H$39,'FE Déplacements'!$G:$U,12,FALSE)+VLOOKUP($B151&amp;"; "&amp;$H$38&amp;", "&amp;H$39,'FE Déplacements'!$G:$U,11,FALSE)))</f>
        <v>0</v>
      </c>
      <c r="AM151" s="565">
        <f>$G151*IF(ISNA(VLOOKUP($B151&amp;"; "&amp;$H$38&amp;", "&amp;I$39,'FE Déplacements'!$G:$U,13,FALSE)),0,VLOOKUP($B151&amp;"; "&amp;$H$38&amp;", "&amp;I$39,'FE Déplacements'!$G:$U,13,FALSE))</f>
        <v>0</v>
      </c>
      <c r="AN151" s="565">
        <f>$G151*IF(ISNA(VLOOKUP($B151&amp;"; "&amp;$H$38&amp;", "&amp;J$39,'FE Déplacements'!$G:$U,13,FALSE)),0,VLOOKUP($B151&amp;"; "&amp;$H$38&amp;", "&amp;J$39,'FE Déplacements'!$G:$U,13,FALSE))</f>
        <v>0</v>
      </c>
      <c r="AO151" s="565">
        <f>$G151*IF(ISNA(VLOOKUP($B151&amp;"; "&amp;$H$38&amp;", "&amp;H$39,'FE Déplacements'!$G:$U,13,FALSE)),0,VLOOKUP($B151&amp;"; "&amp;$H$38&amp;", "&amp;H$39,'FE Déplacements'!$G:$U,13,FALSE))</f>
        <v>0</v>
      </c>
      <c r="AP151" s="565">
        <v>0</v>
      </c>
      <c r="AQ151" s="565">
        <v>0</v>
      </c>
      <c r="AR151" s="565">
        <v>0</v>
      </c>
      <c r="AS151" s="1288">
        <f t="shared" si="99"/>
        <v>0</v>
      </c>
      <c r="AT151" s="566">
        <f t="shared" si="99"/>
        <v>0</v>
      </c>
      <c r="AU151" s="566">
        <f t="shared" si="99"/>
        <v>0</v>
      </c>
      <c r="AV151" s="564">
        <f>$G151*IF(ISNA(VLOOKUP($B151&amp;"; "&amp;$H$38&amp;", "&amp;I$39,'FE Déplacements'!$G:$U,15,FALSE)),0,VLOOKUP($B151&amp;"; "&amp;$H$38&amp;", "&amp;I$39,'FE Déplacements'!$G:$U,15,FALSE))</f>
        <v>0</v>
      </c>
      <c r="AW151" s="565">
        <f>$G151*IF(ISNA(VLOOKUP($B151&amp;"; "&amp;$H$38&amp;", "&amp;J$39,'FE Déplacements'!$G:$U,15,FALSE)),0,VLOOKUP($B151&amp;"; "&amp;$H$38&amp;", "&amp;J$39,'FE Déplacements'!$G:$U,15,FALSE))</f>
        <v>0</v>
      </c>
      <c r="AX151" s="568">
        <f>$G151*IF(ISNA(VLOOKUP($B151&amp;"; "&amp;$H$38&amp;", "&amp;H$39,'FE Déplacements'!$G:$U,15,FALSE)),0,VLOOKUP($B151&amp;"; "&amp;$H$38&amp;", "&amp;H$39,'FE Déplacements'!$G:$U,15,FALSE))</f>
        <v>0</v>
      </c>
      <c r="BH151" s="2247">
        <f>IF($Y151&lt;&gt;"votre valeur :",IF(ISNA(VLOOKUP($Y151,Utilitaires!$N$566:$O$571,2,FALSE)),,VLOOKUP($Y151,Utilitaires!$N$566:$O$571,2,FALSE)),$Z151)</f>
        <v>0</v>
      </c>
      <c r="BI151" s="2252">
        <f>IF(ISNA(SQRT(SUMSQ(VLOOKUP($B151&amp;"; "&amp;$H$38&amp;", "&amp;$H$39,'FE Déplacements'!$G:$U,7,FALSE),$BH151))),0,SQRT(SUMSQ(VLOOKUP($B151&amp;"; "&amp;$H$38&amp;", "&amp;$H$39,'FE Déplacements'!$G:$U,7,FALSE),$BH151)))</f>
        <v>0.7</v>
      </c>
      <c r="BJ151" s="2252">
        <f>IF(ISNA(SQRT(SUMSQ(VLOOKUP($B151&amp;"; "&amp;$H$38&amp;", "&amp;$I$39,'FE Déplacements'!$G:$U,7,FALSE),$BH151))),0,SQRT(SUMSQ(VLOOKUP($B151&amp;"; "&amp;$H$38&amp;", "&amp;$I$39,'FE Déplacements'!$G:$U,7,FALSE),$BH151)))</f>
        <v>0.7</v>
      </c>
      <c r="BK151" s="1130">
        <f>IF(ISNA(SQRT(SUMSQ(VLOOKUP($B151&amp;"; "&amp;$H$38&amp;", "&amp;$J$39,'FE Déplacements'!$G:$U,7,FALSE),$BH151))),0,SQRT(SUMSQ(VLOOKUP($B151&amp;"; "&amp;$H$38&amp;", "&amp;$J$39,'FE Déplacements'!$G:$U,7,FALSE),$BH151)))</f>
        <v>0.7</v>
      </c>
    </row>
    <row r="152" spans="2:63" outlineLevel="2">
      <c r="B152" s="180" t="s">
        <v>4040</v>
      </c>
      <c r="C152" s="2243"/>
      <c r="D152" s="212">
        <f t="shared" si="92"/>
        <v>0</v>
      </c>
      <c r="E152" s="212"/>
      <c r="F152" s="347"/>
      <c r="G152" s="123"/>
      <c r="H152" s="410">
        <f>IF(ISNA(VLOOKUP($B152&amp;"; "&amp;$H$38&amp;", "&amp;$H$39,'FE Déplacements'!$G:$U,9,FALSE)),0,VLOOKUP($B152&amp;"; "&amp;$H$38&amp;", "&amp;$H$39,'FE Déplacements'!$G:$U,9,FALSE))</f>
        <v>0.112</v>
      </c>
      <c r="I152" s="410">
        <f>IF(ISNA(VLOOKUP($B152&amp;"; "&amp;$H$38&amp;", "&amp;$I$39,'FE Déplacements'!$G:$U,9,FALSE)),0,VLOOKUP($B152&amp;"; "&amp;$H$38&amp;", "&amp;$I$39,'FE Déplacements'!$G:$U,9,FALSE))</f>
        <v>2.7300000000000001E-2</v>
      </c>
      <c r="J152" s="410">
        <f>IF(ISNA(VLOOKUP($B152&amp;"; "&amp;$H$38&amp;", "&amp;$J$39,'FE Déplacements'!$G:$U,9,FALSE)),0,VLOOKUP($B152&amp;"; "&amp;$H$38&amp;", "&amp;$J$39,'FE Déplacements'!$G:$U,9,FALSE))</f>
        <v>0</v>
      </c>
      <c r="K152" s="356">
        <f t="shared" si="93"/>
        <v>0</v>
      </c>
      <c r="L152" s="356">
        <f t="shared" si="94"/>
        <v>0</v>
      </c>
      <c r="M152" s="356">
        <f t="shared" si="95"/>
        <v>0</v>
      </c>
      <c r="N152" s="1286">
        <f>IF(OR(F152=Utilitaires!$I$572,F152=Utilitaires!$I$577),M152,0)</f>
        <v>0</v>
      </c>
      <c r="X152" s="1092"/>
      <c r="Y152" s="820"/>
      <c r="Z152" s="820"/>
      <c r="AA152" s="164"/>
      <c r="AB152" s="164"/>
      <c r="AC152" s="164"/>
      <c r="AD152" s="152"/>
      <c r="AE152" s="165"/>
      <c r="AG152" s="564">
        <f>$G152*IF(ISNA(VLOOKUP($B152&amp;"; "&amp;$H$38&amp;", "&amp;I$39,'FE Déplacements'!$G:$U,10,FALSE)),0,VLOOKUP($B152&amp;"; "&amp;$H$38&amp;", "&amp;I$39,'FE Déplacements'!$G:$U,10,FALSE))</f>
        <v>0</v>
      </c>
      <c r="AH152" s="565">
        <f>$G152*IF(ISNA(VLOOKUP($B152&amp;"; "&amp;$H$38&amp;", "&amp;J$39,'FE Déplacements'!$G:$U,10,FALSE)),0,VLOOKUP($B152&amp;"; "&amp;$H$38&amp;", "&amp;J$39,'FE Déplacements'!$G:$U,10,FALSE))</f>
        <v>0</v>
      </c>
      <c r="AI152" s="565">
        <f>$G152*IF(ISNA(VLOOKUP($B152&amp;"; "&amp;$H$38&amp;", "&amp;H$39,'FE Déplacements'!$G:$U,10,FALSE)),0,VLOOKUP($B152&amp;"; "&amp;$H$38&amp;", "&amp;H$39,'FE Déplacements'!$G:$U,10,FALSE))</f>
        <v>0</v>
      </c>
      <c r="AJ152" s="565">
        <f>$G152*IF(ISNA((VLOOKUP($B152&amp;"; "&amp;$H$38&amp;", "&amp;I$39,'FE Déplacements'!$G:$U,12,FALSE)+VLOOKUP($B152&amp;"; "&amp;$H$38&amp;", "&amp;I$39,'FE Déplacements'!$G:$U,11,FALSE))),0,(VLOOKUP($B152&amp;"; "&amp;$H$38&amp;", "&amp;I$39,'FE Déplacements'!$G:$U,12,FALSE)+VLOOKUP($B152&amp;"; "&amp;$H$38&amp;", "&amp;I$39,'FE Déplacements'!$G:$U,11,FALSE)))</f>
        <v>0</v>
      </c>
      <c r="AK152" s="565">
        <f>$G152*IF(ISNA((VLOOKUP($B152&amp;"; "&amp;$H$38&amp;", "&amp;J$39,'FE Déplacements'!$G:$U,12,FALSE)+VLOOKUP($B152&amp;"; "&amp;$H$38&amp;", "&amp;J$39,'FE Déplacements'!$G:$U,11,FALSE))),0,(VLOOKUP($B152&amp;"; "&amp;$H$38&amp;", "&amp;J$39,'FE Déplacements'!$G:$U,12,FALSE)+VLOOKUP($B152&amp;"; "&amp;$H$38&amp;", "&amp;J$39,'FE Déplacements'!$G:$U,11,FALSE)))</f>
        <v>0</v>
      </c>
      <c r="AL152" s="565">
        <f>$G152*IF(ISNA((VLOOKUP($B152&amp;"; "&amp;$H$38&amp;", "&amp;H$39,'FE Déplacements'!$G:$U,12,FALSE)+VLOOKUP($B152&amp;"; "&amp;$H$38&amp;", "&amp;H$39,'FE Déplacements'!$G:$U,11,FALSE))),0,(VLOOKUP($B152&amp;"; "&amp;$H$38&amp;", "&amp;H$39,'FE Déplacements'!$G:$U,12,FALSE)+VLOOKUP($B152&amp;"; "&amp;$H$38&amp;", "&amp;H$39,'FE Déplacements'!$G:$U,11,FALSE)))</f>
        <v>0</v>
      </c>
      <c r="AM152" s="565">
        <f>$G152*IF(ISNA(VLOOKUP($B152&amp;"; "&amp;$H$38&amp;", "&amp;I$39,'FE Déplacements'!$G:$U,13,FALSE)),0,VLOOKUP($B152&amp;"; "&amp;$H$38&amp;", "&amp;I$39,'FE Déplacements'!$G:$U,13,FALSE))</f>
        <v>0</v>
      </c>
      <c r="AN152" s="565">
        <f>$G152*IF(ISNA(VLOOKUP($B152&amp;"; "&amp;$H$38&amp;", "&amp;J$39,'FE Déplacements'!$G:$U,13,FALSE)),0,VLOOKUP($B152&amp;"; "&amp;$H$38&amp;", "&amp;J$39,'FE Déplacements'!$G:$U,13,FALSE))</f>
        <v>0</v>
      </c>
      <c r="AO152" s="565">
        <f>$G152*IF(ISNA(VLOOKUP($B152&amp;"; "&amp;$H$38&amp;", "&amp;H$39,'FE Déplacements'!$G:$U,13,FALSE)),0,VLOOKUP($B152&amp;"; "&amp;$H$38&amp;", "&amp;H$39,'FE Déplacements'!$G:$U,13,FALSE))</f>
        <v>0</v>
      </c>
      <c r="AP152" s="565">
        <v>0</v>
      </c>
      <c r="AQ152" s="565">
        <v>0</v>
      </c>
      <c r="AR152" s="565">
        <v>0</v>
      </c>
      <c r="AS152" s="1288">
        <f t="shared" si="99"/>
        <v>0</v>
      </c>
      <c r="AT152" s="566">
        <f t="shared" si="99"/>
        <v>0</v>
      </c>
      <c r="AU152" s="566">
        <f t="shared" si="99"/>
        <v>0</v>
      </c>
      <c r="AV152" s="564">
        <f>$G152*IF(ISNA(VLOOKUP($B152&amp;"; "&amp;$H$38&amp;", "&amp;I$39,'FE Déplacements'!$G:$U,15,FALSE)),0,VLOOKUP($B152&amp;"; "&amp;$H$38&amp;", "&amp;I$39,'FE Déplacements'!$G:$U,15,FALSE))</f>
        <v>0</v>
      </c>
      <c r="AW152" s="565">
        <f>$G152*IF(ISNA(VLOOKUP($B152&amp;"; "&amp;$H$38&amp;", "&amp;J$39,'FE Déplacements'!$G:$U,15,FALSE)),0,VLOOKUP($B152&amp;"; "&amp;$H$38&amp;", "&amp;J$39,'FE Déplacements'!$G:$U,15,FALSE))</f>
        <v>0</v>
      </c>
      <c r="AX152" s="568">
        <f>$G152*IF(ISNA(VLOOKUP($B152&amp;"; "&amp;$H$38&amp;", "&amp;H$39,'FE Déplacements'!$G:$U,15,FALSE)),0,VLOOKUP($B152&amp;"; "&amp;$H$38&amp;", "&amp;H$39,'FE Déplacements'!$G:$U,15,FALSE))</f>
        <v>0</v>
      </c>
      <c r="BH152" s="2247">
        <f>IF($Y152&lt;&gt;"votre valeur :",IF(ISNA(VLOOKUP($Y152,Utilitaires!$N$566:$O$571,2,FALSE)),,VLOOKUP($Y152,Utilitaires!$N$566:$O$571,2,FALSE)),$Z152)</f>
        <v>0</v>
      </c>
      <c r="BI152" s="2252">
        <f>IF(ISNA(SQRT(SUMSQ(VLOOKUP($B152&amp;"; "&amp;$H$38&amp;", "&amp;$H$39,'FE Déplacements'!$G:$U,7,FALSE),$BH152))),0,SQRT(SUMSQ(VLOOKUP($B152&amp;"; "&amp;$H$38&amp;", "&amp;$H$39,'FE Déplacements'!$G:$U,7,FALSE),$BH152)))</f>
        <v>0.7</v>
      </c>
      <c r="BJ152" s="2252">
        <f>IF(ISNA(SQRT(SUMSQ(VLOOKUP($B152&amp;"; "&amp;$H$38&amp;", "&amp;$I$39,'FE Déplacements'!$G:$U,7,FALSE),$BH152))),0,SQRT(SUMSQ(VLOOKUP($B152&amp;"; "&amp;$H$38&amp;", "&amp;$I$39,'FE Déplacements'!$G:$U,7,FALSE),$BH152)))</f>
        <v>0.7</v>
      </c>
      <c r="BK152" s="1130">
        <f>IF(ISNA(SQRT(SUMSQ(VLOOKUP($B152&amp;"; "&amp;$H$38&amp;", "&amp;$J$39,'FE Déplacements'!$G:$U,7,FALSE),$BH152))),0,SQRT(SUMSQ(VLOOKUP($B152&amp;"; "&amp;$H$38&amp;", "&amp;$J$39,'FE Déplacements'!$G:$U,7,FALSE),$BH152)))</f>
        <v>0.7</v>
      </c>
    </row>
    <row r="153" spans="2:63" outlineLevel="2">
      <c r="B153" s="180"/>
      <c r="C153" s="2243"/>
      <c r="D153" s="212"/>
      <c r="E153" s="356"/>
      <c r="F153" s="356"/>
      <c r="G153" s="356"/>
      <c r="H153" s="410"/>
      <c r="I153" s="410"/>
      <c r="J153" s="410"/>
      <c r="K153" s="356"/>
      <c r="L153" s="356"/>
      <c r="M153" s="356"/>
      <c r="N153" s="1286"/>
      <c r="X153" s="1092"/>
      <c r="Y153" s="820"/>
      <c r="Z153" s="820"/>
      <c r="AA153" s="164"/>
      <c r="AB153" s="164"/>
      <c r="AC153" s="164"/>
      <c r="AD153" s="152"/>
      <c r="AE153" s="165"/>
      <c r="AG153" s="564"/>
      <c r="AH153" s="565"/>
      <c r="AI153" s="565"/>
      <c r="AJ153" s="565"/>
      <c r="AK153" s="565"/>
      <c r="AL153" s="565"/>
      <c r="AM153" s="565"/>
      <c r="AN153" s="565"/>
      <c r="AO153" s="565"/>
      <c r="AP153" s="565"/>
      <c r="AQ153" s="565"/>
      <c r="AR153" s="565"/>
      <c r="AS153" s="1288"/>
      <c r="AT153" s="566"/>
      <c r="AU153" s="566"/>
      <c r="AV153" s="564"/>
      <c r="AW153" s="565"/>
      <c r="AX153" s="568"/>
      <c r="BH153" s="2247"/>
      <c r="BI153" s="2252"/>
      <c r="BJ153" s="2252"/>
      <c r="BK153" s="1130"/>
    </row>
    <row r="154" spans="2:63" ht="12.75" customHeight="1" outlineLevel="2">
      <c r="B154" s="180"/>
      <c r="C154" s="2243"/>
      <c r="D154" s="212"/>
      <c r="E154" s="212"/>
      <c r="F154" s="410"/>
      <c r="G154" s="410"/>
      <c r="H154" s="2852" t="s">
        <v>2224</v>
      </c>
      <c r="I154" s="2852"/>
      <c r="J154" s="2852"/>
      <c r="K154" s="356"/>
      <c r="L154" s="356"/>
      <c r="M154" s="356"/>
      <c r="N154" s="1286"/>
      <c r="X154" s="1092"/>
      <c r="Y154" s="820"/>
      <c r="Z154" s="820"/>
      <c r="AA154" s="164"/>
      <c r="AB154" s="164"/>
      <c r="AC154" s="164"/>
      <c r="AD154" s="152"/>
      <c r="AE154" s="165"/>
      <c r="AG154" s="564"/>
      <c r="AH154" s="565"/>
      <c r="AI154" s="565"/>
      <c r="AJ154" s="565"/>
      <c r="AK154" s="565"/>
      <c r="AL154" s="565"/>
      <c r="AM154" s="565"/>
      <c r="AN154" s="565"/>
      <c r="AO154" s="565"/>
      <c r="AP154" s="565"/>
      <c r="AQ154" s="565"/>
      <c r="AR154" s="565"/>
      <c r="AS154" s="1288"/>
      <c r="AT154" s="566"/>
      <c r="AU154" s="566"/>
      <c r="AV154" s="564"/>
      <c r="AW154" s="565"/>
      <c r="AX154" s="568"/>
      <c r="BH154" s="2247"/>
      <c r="BI154" s="2252"/>
      <c r="BJ154" s="2252"/>
      <c r="BK154" s="1130"/>
    </row>
    <row r="155" spans="2:63" outlineLevel="2">
      <c r="B155" s="536" t="s">
        <v>4044</v>
      </c>
      <c r="C155" s="2243"/>
      <c r="D155" s="212"/>
      <c r="E155" s="212"/>
      <c r="F155" s="410"/>
      <c r="G155" s="410"/>
      <c r="H155" s="1662" t="s">
        <v>422</v>
      </c>
      <c r="I155" s="1662" t="s">
        <v>411</v>
      </c>
      <c r="J155" s="1662" t="s">
        <v>257</v>
      </c>
      <c r="K155" s="356"/>
      <c r="L155" s="356"/>
      <c r="M155" s="356"/>
      <c r="N155" s="1286"/>
      <c r="X155" s="1092"/>
      <c r="Y155" s="820"/>
      <c r="Z155" s="820"/>
      <c r="AA155" s="164"/>
      <c r="AB155" s="164"/>
      <c r="AC155" s="164"/>
      <c r="AD155" s="152"/>
      <c r="AE155" s="165"/>
      <c r="AG155" s="564"/>
      <c r="AH155" s="565"/>
      <c r="AI155" s="565"/>
      <c r="AJ155" s="565"/>
      <c r="AK155" s="565"/>
      <c r="AL155" s="565"/>
      <c r="AM155" s="565"/>
      <c r="AN155" s="565"/>
      <c r="AO155" s="565"/>
      <c r="AP155" s="565"/>
      <c r="AQ155" s="565"/>
      <c r="AR155" s="565"/>
      <c r="AS155" s="1288"/>
      <c r="AT155" s="566"/>
      <c r="AU155" s="566"/>
      <c r="AV155" s="564"/>
      <c r="AW155" s="565"/>
      <c r="AX155" s="568"/>
      <c r="BH155" s="2247"/>
      <c r="BI155" s="2252"/>
      <c r="BJ155" s="2252"/>
      <c r="BK155" s="1130"/>
    </row>
    <row r="156" spans="2:63" outlineLevel="2">
      <c r="B156" s="180" t="s">
        <v>4045</v>
      </c>
      <c r="C156" s="2243"/>
      <c r="D156" s="212">
        <f t="shared" si="92"/>
        <v>0</v>
      </c>
      <c r="E156" s="212"/>
      <c r="F156" s="409"/>
      <c r="G156" s="117"/>
      <c r="H156" s="410">
        <f>IF(ISNA(VLOOKUP($B156&amp;"; "&amp;$H$51&amp;", "&amp;$H$52,'FE Déplacements'!$G:$U,9,FALSE)),0,VLOOKUP($B156&amp;"; "&amp;$H$51&amp;", "&amp;$H$52,'FE Déplacements'!$G:$U,9,FALSE))</f>
        <v>2.5600000000000001E-2</v>
      </c>
      <c r="I156" s="410">
        <f>IF(ISNA(VLOOKUP($B156&amp;"; "&amp;$H$51&amp;", "&amp;$I$52,'FE Déplacements'!$G:$U,9,FALSE)),0,VLOOKUP($B156&amp;"; "&amp;$H$51&amp;", "&amp;$I$52,'FE Déplacements'!$G:$U,9,FALSE))</f>
        <v>6.0299999999999999E-2</v>
      </c>
      <c r="J156" s="410">
        <f>IF(ISNA(VLOOKUP($B156&amp;"; "&amp;$H$51&amp;", "&amp;$J$52,'FE Déplacements'!$G:$U,9,FALSE)),0,VLOOKUP($B156&amp;"; "&amp;$H$51&amp;", "&amp;$J$52,'FE Déplacements'!$G:$U,9,FALSE))</f>
        <v>2.98E-2</v>
      </c>
      <c r="K156" s="356">
        <f t="shared" ref="K156:K161" si="100">G156*H156</f>
        <v>0</v>
      </c>
      <c r="L156" s="356">
        <f t="shared" ref="L156:L161" si="101">G156*I156</f>
        <v>0</v>
      </c>
      <c r="M156" s="356">
        <f t="shared" ref="M156:M161" si="102">G156*J156</f>
        <v>0</v>
      </c>
      <c r="N156" s="1286">
        <f>IF(OR(F156=Utilitaires!$I$572,F156=Utilitaires!$I$577),M156,0)</f>
        <v>0</v>
      </c>
      <c r="X156" s="1092">
        <f>IF(AD156=0,AD156,AD156/D156)</f>
        <v>0</v>
      </c>
      <c r="Y156" s="343"/>
      <c r="Z156" s="820"/>
      <c r="AA156" s="164">
        <f t="shared" ref="AA156:AB161" si="103">L156*BJ156</f>
        <v>0</v>
      </c>
      <c r="AB156" s="164">
        <f t="shared" si="103"/>
        <v>0</v>
      </c>
      <c r="AC156" s="164">
        <f t="shared" ref="AC156:AC161" si="104">K156*BI156</f>
        <v>0</v>
      </c>
      <c r="AD156" s="152">
        <f t="shared" si="90"/>
        <v>0</v>
      </c>
      <c r="AE156" s="165">
        <f t="shared" si="98"/>
        <v>0</v>
      </c>
      <c r="AG156" s="564">
        <f>$G156*IF(ISNA(VLOOKUP($B156&amp;"; "&amp;$H$51&amp;", "&amp;I$52,'FE Déplacements'!$G:$U,10,FALSE)),0,VLOOKUP($B156&amp;"; "&amp;$H$51&amp;", "&amp;I$52,'FE Déplacements'!$G:$U,10,FALSE))</f>
        <v>0</v>
      </c>
      <c r="AH156" s="565">
        <f>$G156*IF(ISNA(VLOOKUP($B156&amp;"; "&amp;$H$51&amp;", "&amp;J$52,'FE Déplacements'!$G:$U,10,FALSE)),0,VLOOKUP($B156&amp;"; "&amp;$H$51&amp;", "&amp;J$52,'FE Déplacements'!$G:$U,10,FALSE))</f>
        <v>0</v>
      </c>
      <c r="AI156" s="565">
        <f>$G156*IF(ISNA(VLOOKUP($B156&amp;"; "&amp;$H$51&amp;", "&amp;H$52,'FE Déplacements'!$G:$U,10,FALSE)),0,VLOOKUP($B156&amp;"; "&amp;$H$51&amp;", "&amp;H$52,'FE Déplacements'!$G:$U,10,FALSE))</f>
        <v>0</v>
      </c>
      <c r="AJ156" s="565">
        <f>$G156*IF(ISNA((VLOOKUP($B156&amp;"; "&amp;$H$51&amp;", "&amp;I$52,'FE Déplacements'!$G:$U,12,FALSE)+VLOOKUP($B156&amp;"; "&amp;$H$51&amp;", "&amp;I$52,'FE Déplacements'!$G:$U,11,FALSE))),0,(VLOOKUP($B156&amp;"; "&amp;$H$51&amp;", "&amp;I$52,'FE Déplacements'!$G:$U,12,FALSE)+VLOOKUP($B156&amp;"; "&amp;$H$51&amp;", "&amp;I$52,'FE Déplacements'!$G:$U,11,FALSE)))</f>
        <v>0</v>
      </c>
      <c r="AK156" s="565">
        <f>$G156*IF(ISNA((VLOOKUP($B156&amp;"; "&amp;$H$51&amp;", "&amp;J$52,'FE Déplacements'!$G:$U,12,FALSE)+VLOOKUP($B156&amp;"; "&amp;$H$51&amp;", "&amp;J$52,'FE Déplacements'!$G:$U,11,FALSE))),0,(VLOOKUP($B156&amp;"; "&amp;$H$51&amp;", "&amp;J$52,'FE Déplacements'!$G:$U,12,FALSE)+VLOOKUP($B156&amp;"; "&amp;$H$51&amp;", "&amp;J$52,'FE Déplacements'!$G:$U,11,FALSE)))</f>
        <v>0</v>
      </c>
      <c r="AL156" s="565">
        <f>$G156*IF(ISNA((VLOOKUP($B156&amp;"; "&amp;$H$51&amp;", "&amp;H$52,'FE Déplacements'!$G:$U,12,FALSE)+VLOOKUP($B156&amp;"; "&amp;$H$51&amp;", "&amp;H$52,'FE Déplacements'!$G:$U,11,FALSE))),0,(VLOOKUP($B156&amp;"; "&amp;$H$51&amp;", "&amp;H$52,'FE Déplacements'!$G:$U,12,FALSE)+VLOOKUP($B156&amp;"; "&amp;$H$51&amp;", "&amp;H$52,'FE Déplacements'!$G:$U,11,FALSE)))</f>
        <v>0</v>
      </c>
      <c r="AM156" s="565">
        <f>$G156*IF(ISNA(VLOOKUP($B156&amp;"; "&amp;$H$51&amp;", "&amp;I$52,'FE Déplacements'!$G:$U,13,FALSE)),0,VLOOKUP($B156&amp;"; "&amp;$H$51&amp;", "&amp;I$52,'FE Déplacements'!$G:$U,13,FALSE))</f>
        <v>0</v>
      </c>
      <c r="AN156" s="565">
        <f>$G156*IF(ISNA(VLOOKUP($B156&amp;"; "&amp;$H$51&amp;", "&amp;J$52,'FE Déplacements'!$G:$U,13,FALSE)),0,VLOOKUP($B156&amp;"; "&amp;$H$51&amp;", "&amp;J$52,'FE Déplacements'!$G:$U,13,FALSE))</f>
        <v>0</v>
      </c>
      <c r="AO156" s="565">
        <f>$G156*IF(ISNA(VLOOKUP($B156&amp;"; "&amp;$H$51&amp;", "&amp;H$52,'FE Déplacements'!$G:$U,13,FALSE)),0,VLOOKUP($B156&amp;"; "&amp;$H$51&amp;", "&amp;H$52,'FE Déplacements'!$G:$U,13,FALSE))</f>
        <v>0</v>
      </c>
      <c r="AP156" s="565">
        <v>0</v>
      </c>
      <c r="AQ156" s="565">
        <v>0</v>
      </c>
      <c r="AR156" s="565">
        <v>0</v>
      </c>
      <c r="AS156" s="1288">
        <f t="shared" ref="AS156:AU161" si="105">SUM(AG156,AJ156,AM156,AP156)</f>
        <v>0</v>
      </c>
      <c r="AT156" s="566">
        <f t="shared" si="105"/>
        <v>0</v>
      </c>
      <c r="AU156" s="566">
        <f t="shared" si="105"/>
        <v>0</v>
      </c>
      <c r="AV156" s="564">
        <f>$G156*IF(ISNA(VLOOKUP($B156&amp;"; "&amp;$H$51&amp;", "&amp;I$52,'FE Déplacements'!$G:$U,15,FALSE)),0,VLOOKUP($B156&amp;"; "&amp;$H$51&amp;", "&amp;I$52,'FE Déplacements'!$G:$U,15,FALSE))</f>
        <v>0</v>
      </c>
      <c r="AW156" s="565">
        <f>$G156*IF(ISNA(VLOOKUP($B156&amp;"; "&amp;$H$51&amp;", "&amp;J$52,'FE Déplacements'!$G:$U,15,FALSE)),0,VLOOKUP($B156&amp;"; "&amp;$H$51&amp;", "&amp;J$52,'FE Déplacements'!$G:$U,15,FALSE))</f>
        <v>0</v>
      </c>
      <c r="AX156" s="568">
        <f>$G156*IF(ISNA(VLOOKUP($B156&amp;"; "&amp;$H$51&amp;", "&amp;H$52,'FE Déplacements'!$G:$U,15,FALSE)),0,VLOOKUP($B156&amp;"; "&amp;$H$51&amp;", "&amp;H$52,'FE Déplacements'!$G:$U,15,FALSE))</f>
        <v>0</v>
      </c>
      <c r="BH156" s="2247">
        <f>IF($Y156&lt;&gt;"votre valeur :",IF(ISNA(VLOOKUP($Y156,Utilitaires!$N$566:$O$571,2,FALSE)),,VLOOKUP($Y156,Utilitaires!$N$566:$O$571,2,FALSE)),$Z156)</f>
        <v>0</v>
      </c>
      <c r="BI156" s="2252">
        <f>IF(ISNA(SQRT(SUMSQ(VLOOKUP($B156&amp;"; "&amp;$H$51&amp;", "&amp;$H$52,'FE Déplacements'!$G:$U,7,FALSE),$BH156))),0,SQRT(SUMSQ(VLOOKUP($B156&amp;"; "&amp;$H$51&amp;", "&amp;$H$52,'FE Déplacements'!$G:$U,7,FALSE),$BH156)))</f>
        <v>0.6</v>
      </c>
      <c r="BJ156" s="2252">
        <f>IF(ISNA(SQRT(SUMSQ(VLOOKUP($B156&amp;"; "&amp;$H$51&amp;", "&amp;$I$52,'FE Déplacements'!$G:$U,7,FALSE),$BH156))),0,SQRT(SUMSQ(VLOOKUP($B156&amp;"; "&amp;$H$51&amp;", "&amp;$I$52,'FE Déplacements'!$G:$U,7,FALSE),$BH156)))</f>
        <v>0.6</v>
      </c>
      <c r="BK156" s="1130">
        <f>IF(ISNA(SQRT(SUMSQ(VLOOKUP($B156&amp;"; "&amp;$H$51&amp;", "&amp;$J$52,'FE Déplacements'!$G:$U,7,FALSE),$BH156))),0,SQRT(SUMSQ(VLOOKUP($B156&amp;"; "&amp;$H$51&amp;", "&amp;$J$52,'FE Déplacements'!$G:$U,7,FALSE),$BH156)))</f>
        <v>0.6</v>
      </c>
    </row>
    <row r="157" spans="2:63" outlineLevel="2">
      <c r="B157" s="180" t="s">
        <v>4046</v>
      </c>
      <c r="C157" s="2243"/>
      <c r="D157" s="212">
        <f t="shared" si="92"/>
        <v>0</v>
      </c>
      <c r="E157" s="212"/>
      <c r="F157" s="530"/>
      <c r="G157" s="398"/>
      <c r="H157" s="410">
        <f>IF(ISNA(VLOOKUP($B157&amp;"; "&amp;$H$51&amp;", "&amp;$H$52,'FE Déplacements'!$G:$U,9,FALSE)),0,VLOOKUP($B157&amp;"; "&amp;$H$51&amp;", "&amp;$H$52,'FE Déplacements'!$G:$U,9,FALSE))</f>
        <v>2.5600000000000001E-2</v>
      </c>
      <c r="I157" s="410">
        <f>IF(ISNA(VLOOKUP($B157&amp;"; "&amp;$H$51&amp;", "&amp;$I$52,'FE Déplacements'!$G:$U,9,FALSE)),0,VLOOKUP($B157&amp;"; "&amp;$H$51&amp;", "&amp;$I$52,'FE Déplacements'!$G:$U,9,FALSE))</f>
        <v>1.5100000000000001E-2</v>
      </c>
      <c r="J157" s="410">
        <f>IF(ISNA(VLOOKUP($B157&amp;"; "&amp;$H$51&amp;", "&amp;$J$52,'FE Déplacements'!$G:$U,9,FALSE)),0,VLOOKUP($B157&amp;"; "&amp;$H$51&amp;", "&amp;$J$52,'FE Déplacements'!$G:$U,9,FALSE))</f>
        <v>6.8500000000000005E-2</v>
      </c>
      <c r="K157" s="356">
        <f t="shared" si="100"/>
        <v>0</v>
      </c>
      <c r="L157" s="356">
        <f t="shared" si="101"/>
        <v>0</v>
      </c>
      <c r="M157" s="356">
        <f t="shared" si="102"/>
        <v>0</v>
      </c>
      <c r="N157" s="1286">
        <f>IF(OR(F157=Utilitaires!$I$572,F157=Utilitaires!$I$577),M157,0)</f>
        <v>0</v>
      </c>
      <c r="X157" s="1092">
        <f t="shared" ref="X157:X161" si="106">IF(AD157=0,AD157,AD157/D157)</f>
        <v>0</v>
      </c>
      <c r="Y157" s="343"/>
      <c r="Z157" s="820"/>
      <c r="AA157" s="164">
        <f t="shared" si="103"/>
        <v>0</v>
      </c>
      <c r="AB157" s="164">
        <f t="shared" si="103"/>
        <v>0</v>
      </c>
      <c r="AC157" s="164">
        <f t="shared" si="104"/>
        <v>0</v>
      </c>
      <c r="AD157" s="152">
        <f t="shared" si="90"/>
        <v>0</v>
      </c>
      <c r="AE157" s="165">
        <f t="shared" si="98"/>
        <v>0</v>
      </c>
      <c r="AG157" s="564">
        <f>$G157*IF(ISNA(VLOOKUP($B157&amp;"; "&amp;$H$51&amp;", "&amp;I$52,'FE Déplacements'!$G:$U,10,FALSE)),0,VLOOKUP($B157&amp;"; "&amp;$H$51&amp;", "&amp;I$52,'FE Déplacements'!$G:$U,10,FALSE))</f>
        <v>0</v>
      </c>
      <c r="AH157" s="565">
        <f>$G157*IF(ISNA(VLOOKUP($B157&amp;"; "&amp;$H$51&amp;", "&amp;J$52,'FE Déplacements'!$G:$U,10,FALSE)),0,VLOOKUP($B157&amp;"; "&amp;$H$51&amp;", "&amp;J$52,'FE Déplacements'!$G:$U,10,FALSE))</f>
        <v>0</v>
      </c>
      <c r="AI157" s="565">
        <f>$G157*IF(ISNA(VLOOKUP($B157&amp;"; "&amp;$H$51&amp;", "&amp;H$52,'FE Déplacements'!$G:$U,10,FALSE)),0,VLOOKUP($B157&amp;"; "&amp;$H$51&amp;", "&amp;H$52,'FE Déplacements'!$G:$U,10,FALSE))</f>
        <v>0</v>
      </c>
      <c r="AJ157" s="565">
        <f>$G157*IF(ISNA((VLOOKUP($B157&amp;"; "&amp;$H$51&amp;", "&amp;I$52,'FE Déplacements'!$G:$U,12,FALSE)+VLOOKUP($B157&amp;"; "&amp;$H$51&amp;", "&amp;I$52,'FE Déplacements'!$G:$U,11,FALSE))),0,(VLOOKUP($B157&amp;"; "&amp;$H$51&amp;", "&amp;I$52,'FE Déplacements'!$G:$U,12,FALSE)+VLOOKUP($B157&amp;"; "&amp;$H$51&amp;", "&amp;I$52,'FE Déplacements'!$G:$U,11,FALSE)))</f>
        <v>0</v>
      </c>
      <c r="AK157" s="565">
        <f>$G157*IF(ISNA((VLOOKUP($B157&amp;"; "&amp;$H$51&amp;", "&amp;J$52,'FE Déplacements'!$G:$U,12,FALSE)+VLOOKUP($B157&amp;"; "&amp;$H$51&amp;", "&amp;J$52,'FE Déplacements'!$G:$U,11,FALSE))),0,(VLOOKUP($B157&amp;"; "&amp;$H$51&amp;", "&amp;J$52,'FE Déplacements'!$G:$U,12,FALSE)+VLOOKUP($B157&amp;"; "&amp;$H$51&amp;", "&amp;J$52,'FE Déplacements'!$G:$U,11,FALSE)))</f>
        <v>0</v>
      </c>
      <c r="AL157" s="565">
        <f>$G157*IF(ISNA((VLOOKUP($B157&amp;"; "&amp;$H$51&amp;", "&amp;H$52,'FE Déplacements'!$G:$U,12,FALSE)+VLOOKUP($B157&amp;"; "&amp;$H$51&amp;", "&amp;H$52,'FE Déplacements'!$G:$U,11,FALSE))),0,(VLOOKUP($B157&amp;"; "&amp;$H$51&amp;", "&amp;H$52,'FE Déplacements'!$G:$U,12,FALSE)+VLOOKUP($B157&amp;"; "&amp;$H$51&amp;", "&amp;H$52,'FE Déplacements'!$G:$U,11,FALSE)))</f>
        <v>0</v>
      </c>
      <c r="AM157" s="565">
        <f>$G157*IF(ISNA(VLOOKUP($B157&amp;"; "&amp;$H$51&amp;", "&amp;I$52,'FE Déplacements'!$G:$U,13,FALSE)),0,VLOOKUP($B157&amp;"; "&amp;$H$51&amp;", "&amp;I$52,'FE Déplacements'!$G:$U,13,FALSE))</f>
        <v>0</v>
      </c>
      <c r="AN157" s="565">
        <f>$G157*IF(ISNA(VLOOKUP($B157&amp;"; "&amp;$H$51&amp;", "&amp;J$52,'FE Déplacements'!$G:$U,13,FALSE)),0,VLOOKUP($B157&amp;"; "&amp;$H$51&amp;", "&amp;J$52,'FE Déplacements'!$G:$U,13,FALSE))</f>
        <v>0</v>
      </c>
      <c r="AO157" s="565">
        <f>$G157*IF(ISNA(VLOOKUP($B157&amp;"; "&amp;$H$51&amp;", "&amp;H$52,'FE Déplacements'!$G:$U,13,FALSE)),0,VLOOKUP($B157&amp;"; "&amp;$H$51&amp;", "&amp;H$52,'FE Déplacements'!$G:$U,13,FALSE))</f>
        <v>0</v>
      </c>
      <c r="AP157" s="565">
        <v>0</v>
      </c>
      <c r="AQ157" s="565">
        <v>0</v>
      </c>
      <c r="AR157" s="565">
        <v>0</v>
      </c>
      <c r="AS157" s="1288">
        <f t="shared" si="105"/>
        <v>0</v>
      </c>
      <c r="AT157" s="566">
        <f t="shared" si="105"/>
        <v>0</v>
      </c>
      <c r="AU157" s="566">
        <f t="shared" si="105"/>
        <v>0</v>
      </c>
      <c r="AV157" s="564">
        <f>$G157*IF(ISNA(VLOOKUP($B157&amp;"; "&amp;$H$51&amp;", "&amp;I$52,'FE Déplacements'!$G:$U,15,FALSE)),0,VLOOKUP($B157&amp;"; "&amp;$H$51&amp;", "&amp;I$52,'FE Déplacements'!$G:$U,15,FALSE))</f>
        <v>0</v>
      </c>
      <c r="AW157" s="565">
        <f>$G157*IF(ISNA(VLOOKUP($B157&amp;"; "&amp;$H$51&amp;", "&amp;J$52,'FE Déplacements'!$G:$U,15,FALSE)),0,VLOOKUP($B157&amp;"; "&amp;$H$51&amp;", "&amp;J$52,'FE Déplacements'!$G:$U,15,FALSE))</f>
        <v>0</v>
      </c>
      <c r="AX157" s="568">
        <f>$G157*IF(ISNA(VLOOKUP($B157&amp;"; "&amp;$H$51&amp;", "&amp;H$52,'FE Déplacements'!$G:$U,15,FALSE)),0,VLOOKUP($B157&amp;"; "&amp;$H$51&amp;", "&amp;H$52,'FE Déplacements'!$G:$U,15,FALSE))</f>
        <v>0</v>
      </c>
      <c r="BH157" s="2247">
        <f>IF($Y157&lt;&gt;"votre valeur :",IF(ISNA(VLOOKUP($Y157,Utilitaires!$N$566:$O$571,2,FALSE)),,VLOOKUP($Y157,Utilitaires!$N$566:$O$571,2,FALSE)),$Z157)</f>
        <v>0</v>
      </c>
      <c r="BI157" s="2252">
        <f>IF(ISNA(SQRT(SUMSQ(VLOOKUP($B157&amp;"; "&amp;$H$51&amp;", "&amp;$H$52,'FE Déplacements'!$G:$U,7,FALSE),$BH157))),0,SQRT(SUMSQ(VLOOKUP($B157&amp;"; "&amp;$H$51&amp;", "&amp;$H$52,'FE Déplacements'!$G:$U,7,FALSE),$BH157)))</f>
        <v>0.6</v>
      </c>
      <c r="BJ157" s="2252">
        <f>IF(ISNA(SQRT(SUMSQ(VLOOKUP($B157&amp;"; "&amp;$H$51&amp;", "&amp;$I$52,'FE Déplacements'!$G:$U,7,FALSE),$BH157))),0,SQRT(SUMSQ(VLOOKUP($B157&amp;"; "&amp;$H$51&amp;", "&amp;$I$52,'FE Déplacements'!$G:$U,7,FALSE),$BH157)))</f>
        <v>0.6</v>
      </c>
      <c r="BK157" s="1130">
        <f>IF(ISNA(SQRT(SUMSQ(VLOOKUP($B157&amp;"; "&amp;$H$51&amp;", "&amp;$J$52,'FE Déplacements'!$G:$U,7,FALSE),$BH157))),0,SQRT(SUMSQ(VLOOKUP($B157&amp;"; "&amp;$H$51&amp;", "&amp;$J$52,'FE Déplacements'!$G:$U,7,FALSE),$BH157)))</f>
        <v>0.6</v>
      </c>
    </row>
    <row r="158" spans="2:63" outlineLevel="2">
      <c r="B158" s="180" t="s">
        <v>4047</v>
      </c>
      <c r="C158" s="2243"/>
      <c r="D158" s="212">
        <f t="shared" si="92"/>
        <v>0</v>
      </c>
      <c r="E158" s="212"/>
      <c r="F158" s="530"/>
      <c r="G158" s="398"/>
      <c r="H158" s="410">
        <f>IF(ISNA(VLOOKUP($B158&amp;"; "&amp;$H$51&amp;", "&amp;$H$52,'FE Déplacements'!$G:$U,9,FALSE)),0,VLOOKUP($B158&amp;"; "&amp;$H$51&amp;", "&amp;$H$52,'FE Déplacements'!$G:$U,9,FALSE))</f>
        <v>2.5600000000000001E-2</v>
      </c>
      <c r="I158" s="410">
        <f>IF(ISNA(VLOOKUP($B158&amp;"; "&amp;$H$51&amp;", "&amp;$I$52,'FE Déplacements'!$G:$U,9,FALSE)),0,VLOOKUP($B158&amp;"; "&amp;$H$51&amp;", "&amp;$I$52,'FE Déplacements'!$G:$U,9,FALSE))</f>
        <v>2.7400000000000001E-2</v>
      </c>
      <c r="J158" s="410">
        <f>IF(ISNA(VLOOKUP($B158&amp;"; "&amp;$H$51&amp;", "&amp;$J$52,'FE Déplacements'!$G:$U,9,FALSE)),0,VLOOKUP($B158&amp;"; "&amp;$H$51&amp;", "&amp;$J$52,'FE Déplacements'!$G:$U,9,FALSE))</f>
        <v>0.112</v>
      </c>
      <c r="K158" s="356">
        <f t="shared" si="100"/>
        <v>0</v>
      </c>
      <c r="L158" s="356">
        <f t="shared" si="101"/>
        <v>0</v>
      </c>
      <c r="M158" s="356">
        <f t="shared" si="102"/>
        <v>0</v>
      </c>
      <c r="N158" s="1286">
        <f>IF(OR(F158=Utilitaires!$I$572,F158=Utilitaires!$I$577),M158,0)</f>
        <v>0</v>
      </c>
      <c r="X158" s="1092">
        <f t="shared" si="106"/>
        <v>0</v>
      </c>
      <c r="Y158" s="343"/>
      <c r="Z158" s="820"/>
      <c r="AA158" s="164">
        <f t="shared" si="103"/>
        <v>0</v>
      </c>
      <c r="AB158" s="164">
        <f t="shared" si="103"/>
        <v>0</v>
      </c>
      <c r="AC158" s="164">
        <f t="shared" si="104"/>
        <v>0</v>
      </c>
      <c r="AD158" s="152">
        <f t="shared" si="90"/>
        <v>0</v>
      </c>
      <c r="AE158" s="165">
        <f t="shared" si="98"/>
        <v>0</v>
      </c>
      <c r="AG158" s="564">
        <f>$G158*IF(ISNA(VLOOKUP($B158&amp;"; "&amp;$H$51&amp;", "&amp;I$52,'FE Déplacements'!$G:$U,10,FALSE)),0,VLOOKUP($B158&amp;"; "&amp;$H$51&amp;", "&amp;I$52,'FE Déplacements'!$G:$U,10,FALSE))</f>
        <v>0</v>
      </c>
      <c r="AH158" s="565">
        <f>$G158*IF(ISNA(VLOOKUP($B158&amp;"; "&amp;$H$51&amp;", "&amp;J$52,'FE Déplacements'!$G:$U,10,FALSE)),0,VLOOKUP($B158&amp;"; "&amp;$H$51&amp;", "&amp;J$52,'FE Déplacements'!$G:$U,10,FALSE))</f>
        <v>0</v>
      </c>
      <c r="AI158" s="565">
        <f>$G158*IF(ISNA(VLOOKUP($B158&amp;"; "&amp;$H$51&amp;", "&amp;H$52,'FE Déplacements'!$G:$U,10,FALSE)),0,VLOOKUP($B158&amp;"; "&amp;$H$51&amp;", "&amp;H$52,'FE Déplacements'!$G:$U,10,FALSE))</f>
        <v>0</v>
      </c>
      <c r="AJ158" s="565">
        <f>$G158*IF(ISNA((VLOOKUP($B158&amp;"; "&amp;$H$51&amp;", "&amp;I$52,'FE Déplacements'!$G:$U,12,FALSE)+VLOOKUP($B158&amp;"; "&amp;$H$51&amp;", "&amp;I$52,'FE Déplacements'!$G:$U,11,FALSE))),0,(VLOOKUP($B158&amp;"; "&amp;$H$51&amp;", "&amp;I$52,'FE Déplacements'!$G:$U,12,FALSE)+VLOOKUP($B158&amp;"; "&amp;$H$51&amp;", "&amp;I$52,'FE Déplacements'!$G:$U,11,FALSE)))</f>
        <v>0</v>
      </c>
      <c r="AK158" s="565">
        <f>$G158*IF(ISNA((VLOOKUP($B158&amp;"; "&amp;$H$51&amp;", "&amp;J$52,'FE Déplacements'!$G:$U,12,FALSE)+VLOOKUP($B158&amp;"; "&amp;$H$51&amp;", "&amp;J$52,'FE Déplacements'!$G:$U,11,FALSE))),0,(VLOOKUP($B158&amp;"; "&amp;$H$51&amp;", "&amp;J$52,'FE Déplacements'!$G:$U,12,FALSE)+VLOOKUP($B158&amp;"; "&amp;$H$51&amp;", "&amp;J$52,'FE Déplacements'!$G:$U,11,FALSE)))</f>
        <v>0</v>
      </c>
      <c r="AL158" s="565">
        <f>$G158*IF(ISNA((VLOOKUP($B158&amp;"; "&amp;$H$51&amp;", "&amp;H$52,'FE Déplacements'!$G:$U,12,FALSE)+VLOOKUP($B158&amp;"; "&amp;$H$51&amp;", "&amp;H$52,'FE Déplacements'!$G:$U,11,FALSE))),0,(VLOOKUP($B158&amp;"; "&amp;$H$51&amp;", "&amp;H$52,'FE Déplacements'!$G:$U,12,FALSE)+VLOOKUP($B158&amp;"; "&amp;$H$51&amp;", "&amp;H$52,'FE Déplacements'!$G:$U,11,FALSE)))</f>
        <v>0</v>
      </c>
      <c r="AM158" s="565">
        <f>$G158*IF(ISNA(VLOOKUP($B158&amp;"; "&amp;$H$51&amp;", "&amp;I$52,'FE Déplacements'!$G:$U,13,FALSE)),0,VLOOKUP($B158&amp;"; "&amp;$H$51&amp;", "&amp;I$52,'FE Déplacements'!$G:$U,13,FALSE))</f>
        <v>0</v>
      </c>
      <c r="AN158" s="565">
        <f>$G158*IF(ISNA(VLOOKUP($B158&amp;"; "&amp;$H$51&amp;", "&amp;J$52,'FE Déplacements'!$G:$U,13,FALSE)),0,VLOOKUP($B158&amp;"; "&amp;$H$51&amp;", "&amp;J$52,'FE Déplacements'!$G:$U,13,FALSE))</f>
        <v>0</v>
      </c>
      <c r="AO158" s="565">
        <f>$G158*IF(ISNA(VLOOKUP($B158&amp;"; "&amp;$H$51&amp;", "&amp;H$52,'FE Déplacements'!$G:$U,13,FALSE)),0,VLOOKUP($B158&amp;"; "&amp;$H$51&amp;", "&amp;H$52,'FE Déplacements'!$G:$U,13,FALSE))</f>
        <v>0</v>
      </c>
      <c r="AP158" s="565">
        <v>0</v>
      </c>
      <c r="AQ158" s="565">
        <v>0</v>
      </c>
      <c r="AR158" s="565">
        <v>0</v>
      </c>
      <c r="AS158" s="1288">
        <f t="shared" si="105"/>
        <v>0</v>
      </c>
      <c r="AT158" s="566">
        <f t="shared" si="105"/>
        <v>0</v>
      </c>
      <c r="AU158" s="566">
        <f t="shared" si="105"/>
        <v>0</v>
      </c>
      <c r="AV158" s="564">
        <f>$G158*IF(ISNA(VLOOKUP($B158&amp;"; "&amp;$H$51&amp;", "&amp;I$52,'FE Déplacements'!$G:$U,15,FALSE)),0,VLOOKUP($B158&amp;"; "&amp;$H$51&amp;", "&amp;I$52,'FE Déplacements'!$G:$U,15,FALSE))</f>
        <v>0</v>
      </c>
      <c r="AW158" s="565">
        <f>$G158*IF(ISNA(VLOOKUP($B158&amp;"; "&amp;$H$51&amp;", "&amp;J$52,'FE Déplacements'!$G:$U,15,FALSE)),0,VLOOKUP($B158&amp;"; "&amp;$H$51&amp;", "&amp;J$52,'FE Déplacements'!$G:$U,15,FALSE))</f>
        <v>0</v>
      </c>
      <c r="AX158" s="568">
        <f>$G158*IF(ISNA(VLOOKUP($B158&amp;"; "&amp;$H$51&amp;", "&amp;H$52,'FE Déplacements'!$G:$U,15,FALSE)),0,VLOOKUP($B158&amp;"; "&amp;$H$51&amp;", "&amp;H$52,'FE Déplacements'!$G:$U,15,FALSE))</f>
        <v>0</v>
      </c>
      <c r="BH158" s="2247">
        <f>IF($Y158&lt;&gt;"votre valeur :",IF(ISNA(VLOOKUP($Y158,Utilitaires!$N$566:$O$571,2,FALSE)),,VLOOKUP($Y158,Utilitaires!$N$566:$O$571,2,FALSE)),$Z158)</f>
        <v>0</v>
      </c>
      <c r="BI158" s="2252">
        <f>IF(ISNA(SQRT(SUMSQ(VLOOKUP($B158&amp;"; "&amp;$H$51&amp;", "&amp;$H$52,'FE Déplacements'!$G:$U,7,FALSE),$BH158))),0,SQRT(SUMSQ(VLOOKUP($B158&amp;"; "&amp;$H$51&amp;", "&amp;$H$52,'FE Déplacements'!$G:$U,7,FALSE),$BH158)))</f>
        <v>0.6</v>
      </c>
      <c r="BJ158" s="2252">
        <f>IF(ISNA(SQRT(SUMSQ(VLOOKUP($B158&amp;"; "&amp;$H$51&amp;", "&amp;$I$52,'FE Déplacements'!$G:$U,7,FALSE),$BH158))),0,SQRT(SUMSQ(VLOOKUP($B158&amp;"; "&amp;$H$51&amp;", "&amp;$I$52,'FE Déplacements'!$G:$U,7,FALSE),$BH158)))</f>
        <v>0.6</v>
      </c>
      <c r="BK158" s="1130">
        <f>IF(ISNA(SQRT(SUMSQ(VLOOKUP($B158&amp;"; "&amp;$H$51&amp;", "&amp;$J$52,'FE Déplacements'!$G:$U,7,FALSE),$BH158))),0,SQRT(SUMSQ(VLOOKUP($B158&amp;"; "&amp;$H$51&amp;", "&amp;$J$52,'FE Déplacements'!$G:$U,7,FALSE),$BH158)))</f>
        <v>0.6</v>
      </c>
    </row>
    <row r="159" spans="2:63" outlineLevel="2">
      <c r="B159" s="180" t="s">
        <v>4048</v>
      </c>
      <c r="C159" s="2243"/>
      <c r="D159" s="212">
        <f t="shared" si="92"/>
        <v>0</v>
      </c>
      <c r="E159" s="212"/>
      <c r="F159" s="530"/>
      <c r="G159" s="398"/>
      <c r="H159" s="410">
        <f>IF(ISNA(VLOOKUP($B159&amp;"; "&amp;$H$51&amp;", "&amp;$H$52,'FE Déplacements'!$G:$U,9,FALSE)),0,VLOOKUP($B159&amp;"; "&amp;$H$51&amp;", "&amp;$H$52,'FE Déplacements'!$G:$U,9,FALSE))</f>
        <v>2.5600000000000001E-2</v>
      </c>
      <c r="I159" s="410">
        <f>IF(ISNA(VLOOKUP($B159&amp;"; "&amp;$H$51&amp;", "&amp;$I$52,'FE Déplacements'!$G:$U,9,FALSE)),0,VLOOKUP($B159&amp;"; "&amp;$H$51&amp;", "&amp;$I$52,'FE Déplacements'!$G:$U,9,FALSE))</f>
        <v>2.2800000000000001E-2</v>
      </c>
      <c r="J159" s="410">
        <f>IF(ISNA(VLOOKUP($B159&amp;"; "&amp;$H$51&amp;", "&amp;$J$52,'FE Déplacements'!$G:$U,9,FALSE)),0,VLOOKUP($B159&amp;"; "&amp;$H$51&amp;", "&amp;$J$52,'FE Déplacements'!$G:$U,9,FALSE))</f>
        <v>9.35E-2</v>
      </c>
      <c r="K159" s="356">
        <f t="shared" si="100"/>
        <v>0</v>
      </c>
      <c r="L159" s="356">
        <f t="shared" si="101"/>
        <v>0</v>
      </c>
      <c r="M159" s="356">
        <f t="shared" si="102"/>
        <v>0</v>
      </c>
      <c r="N159" s="1286">
        <f>IF(OR(F159=Utilitaires!$I$572,F159=Utilitaires!$I$577),M159,0)</f>
        <v>0</v>
      </c>
      <c r="X159" s="1092">
        <f t="shared" si="106"/>
        <v>0</v>
      </c>
      <c r="Y159" s="1094"/>
      <c r="Z159" s="820"/>
      <c r="AA159" s="164">
        <f t="shared" si="103"/>
        <v>0</v>
      </c>
      <c r="AB159" s="164">
        <f t="shared" si="103"/>
        <v>0</v>
      </c>
      <c r="AC159" s="164">
        <f t="shared" si="104"/>
        <v>0</v>
      </c>
      <c r="AD159" s="152">
        <f t="shared" si="90"/>
        <v>0</v>
      </c>
      <c r="AE159" s="165">
        <f t="shared" si="98"/>
        <v>0</v>
      </c>
      <c r="AG159" s="564">
        <f>$G159*IF(ISNA(VLOOKUP($B159&amp;"; "&amp;$H$51&amp;", "&amp;I$52,'FE Déplacements'!$G:$U,10,FALSE)),0,VLOOKUP($B159&amp;"; "&amp;$H$51&amp;", "&amp;I$52,'FE Déplacements'!$G:$U,10,FALSE))</f>
        <v>0</v>
      </c>
      <c r="AH159" s="565">
        <f>$G159*IF(ISNA(VLOOKUP($B159&amp;"; "&amp;$H$51&amp;", "&amp;J$52,'FE Déplacements'!$G:$U,10,FALSE)),0,VLOOKUP($B159&amp;"; "&amp;$H$51&amp;", "&amp;J$52,'FE Déplacements'!$G:$U,10,FALSE))</f>
        <v>0</v>
      </c>
      <c r="AI159" s="565">
        <f>$G159*IF(ISNA(VLOOKUP($B159&amp;"; "&amp;$H$51&amp;", "&amp;H$52,'FE Déplacements'!$G:$U,10,FALSE)),0,VLOOKUP($B159&amp;"; "&amp;$H$51&amp;", "&amp;H$52,'FE Déplacements'!$G:$U,10,FALSE))</f>
        <v>0</v>
      </c>
      <c r="AJ159" s="565">
        <f>$G159*IF(ISNA((VLOOKUP($B159&amp;"; "&amp;$H$51&amp;", "&amp;I$52,'FE Déplacements'!$G:$U,12,FALSE)+VLOOKUP($B159&amp;"; "&amp;$H$51&amp;", "&amp;I$52,'FE Déplacements'!$G:$U,11,FALSE))),0,(VLOOKUP($B159&amp;"; "&amp;$H$51&amp;", "&amp;I$52,'FE Déplacements'!$G:$U,12,FALSE)+VLOOKUP($B159&amp;"; "&amp;$H$51&amp;", "&amp;I$52,'FE Déplacements'!$G:$U,11,FALSE)))</f>
        <v>0</v>
      </c>
      <c r="AK159" s="565">
        <f>$G159*IF(ISNA((VLOOKUP($B159&amp;"; "&amp;$H$51&amp;", "&amp;J$52,'FE Déplacements'!$G:$U,12,FALSE)+VLOOKUP($B159&amp;"; "&amp;$H$51&amp;", "&amp;J$52,'FE Déplacements'!$G:$U,11,FALSE))),0,(VLOOKUP($B159&amp;"; "&amp;$H$51&amp;", "&amp;J$52,'FE Déplacements'!$G:$U,12,FALSE)+VLOOKUP($B159&amp;"; "&amp;$H$51&amp;", "&amp;J$52,'FE Déplacements'!$G:$U,11,FALSE)))</f>
        <v>0</v>
      </c>
      <c r="AL159" s="565">
        <f>$G159*IF(ISNA((VLOOKUP($B159&amp;"; "&amp;$H$51&amp;", "&amp;H$52,'FE Déplacements'!$G:$U,12,FALSE)+VLOOKUP($B159&amp;"; "&amp;$H$51&amp;", "&amp;H$52,'FE Déplacements'!$G:$U,11,FALSE))),0,(VLOOKUP($B159&amp;"; "&amp;$H$51&amp;", "&amp;H$52,'FE Déplacements'!$G:$U,12,FALSE)+VLOOKUP($B159&amp;"; "&amp;$H$51&amp;", "&amp;H$52,'FE Déplacements'!$G:$U,11,FALSE)))</f>
        <v>0</v>
      </c>
      <c r="AM159" s="565">
        <f>$G159*IF(ISNA(VLOOKUP($B159&amp;"; "&amp;$H$51&amp;", "&amp;I$52,'FE Déplacements'!$G:$U,13,FALSE)),0,VLOOKUP($B159&amp;"; "&amp;$H$51&amp;", "&amp;I$52,'FE Déplacements'!$G:$U,13,FALSE))</f>
        <v>0</v>
      </c>
      <c r="AN159" s="565">
        <f>$G159*IF(ISNA(VLOOKUP($B159&amp;"; "&amp;$H$51&amp;", "&amp;J$52,'FE Déplacements'!$G:$U,13,FALSE)),0,VLOOKUP($B159&amp;"; "&amp;$H$51&amp;", "&amp;J$52,'FE Déplacements'!$G:$U,13,FALSE))</f>
        <v>0</v>
      </c>
      <c r="AO159" s="565">
        <f>$G159*IF(ISNA(VLOOKUP($B159&amp;"; "&amp;$H$51&amp;", "&amp;H$52,'FE Déplacements'!$G:$U,13,FALSE)),0,VLOOKUP($B159&amp;"; "&amp;$H$51&amp;", "&amp;H$52,'FE Déplacements'!$G:$U,13,FALSE))</f>
        <v>0</v>
      </c>
      <c r="AP159" s="565">
        <v>0</v>
      </c>
      <c r="AQ159" s="565">
        <v>0</v>
      </c>
      <c r="AR159" s="565">
        <v>0</v>
      </c>
      <c r="AS159" s="1288">
        <f t="shared" si="105"/>
        <v>0</v>
      </c>
      <c r="AT159" s="566">
        <f t="shared" si="105"/>
        <v>0</v>
      </c>
      <c r="AU159" s="566">
        <f t="shared" si="105"/>
        <v>0</v>
      </c>
      <c r="AV159" s="564">
        <f>$G159*IF(ISNA(VLOOKUP($B159&amp;"; "&amp;$H$51&amp;", "&amp;I$52,'FE Déplacements'!$G:$U,15,FALSE)),0,VLOOKUP($B159&amp;"; "&amp;$H$51&amp;", "&amp;I$52,'FE Déplacements'!$G:$U,15,FALSE))</f>
        <v>0</v>
      </c>
      <c r="AW159" s="565">
        <f>$G159*IF(ISNA(VLOOKUP($B159&amp;"; "&amp;$H$51&amp;", "&amp;J$52,'FE Déplacements'!$G:$U,15,FALSE)),0,VLOOKUP($B159&amp;"; "&amp;$H$51&amp;", "&amp;J$52,'FE Déplacements'!$G:$U,15,FALSE))</f>
        <v>0</v>
      </c>
      <c r="AX159" s="568">
        <f>$G159*IF(ISNA(VLOOKUP($B159&amp;"; "&amp;$H$51&amp;", "&amp;H$52,'FE Déplacements'!$G:$U,15,FALSE)),0,VLOOKUP($B159&amp;"; "&amp;$H$51&amp;", "&amp;H$52,'FE Déplacements'!$G:$U,15,FALSE))</f>
        <v>0</v>
      </c>
      <c r="BH159" s="2247">
        <f>IF($Y159&lt;&gt;"votre valeur :",IF(ISNA(VLOOKUP($Y159,Utilitaires!$N$566:$O$571,2,FALSE)),,VLOOKUP($Y159,Utilitaires!$N$566:$O$571,2,FALSE)),$Z159)</f>
        <v>0</v>
      </c>
      <c r="BI159" s="2252">
        <f>IF(ISNA(SQRT(SUMSQ(VLOOKUP($B159&amp;"; "&amp;$H$51&amp;", "&amp;$H$52,'FE Déplacements'!$G:$U,7,FALSE),$BH159))),0,SQRT(SUMSQ(VLOOKUP($B159&amp;"; "&amp;$H$51&amp;", "&amp;$H$52,'FE Déplacements'!$G:$U,7,FALSE),$BH159)))</f>
        <v>0.6</v>
      </c>
      <c r="BJ159" s="2252">
        <f>IF(ISNA(SQRT(SUMSQ(VLOOKUP($B159&amp;"; "&amp;$H$51&amp;", "&amp;$I$52,'FE Déplacements'!$G:$U,7,FALSE),$BH159))),0,SQRT(SUMSQ(VLOOKUP($B159&amp;"; "&amp;$H$51&amp;", "&amp;$I$52,'FE Déplacements'!$G:$U,7,FALSE),$BH159)))</f>
        <v>0.6</v>
      </c>
      <c r="BK159" s="1130">
        <f>IF(ISNA(SQRT(SUMSQ(VLOOKUP($B159&amp;"; "&amp;$H$51&amp;", "&amp;$J$52,'FE Déplacements'!$G:$U,7,FALSE),$BH159))),0,SQRT(SUMSQ(VLOOKUP($B159&amp;"; "&amp;$H$51&amp;", "&amp;$J$52,'FE Déplacements'!$G:$U,7,FALSE),$BH159)))</f>
        <v>0.6</v>
      </c>
    </row>
    <row r="160" spans="2:63" outlineLevel="2">
      <c r="B160" s="180" t="s">
        <v>4049</v>
      </c>
      <c r="C160" s="2243"/>
      <c r="D160" s="212">
        <f t="shared" si="92"/>
        <v>0</v>
      </c>
      <c r="E160" s="212"/>
      <c r="F160" s="530"/>
      <c r="G160" s="398"/>
      <c r="H160" s="410">
        <f>IF(ISNA(VLOOKUP($B160&amp;"; "&amp;$H$51&amp;", "&amp;$H$52,'FE Déplacements'!$G:$U,9,FALSE)),0,VLOOKUP($B160&amp;"; "&amp;$H$51&amp;", "&amp;$H$52,'FE Déplacements'!$G:$U,9,FALSE))</f>
        <v>2.5600000000000001E-2</v>
      </c>
      <c r="I160" s="410">
        <f>IF(ISNA(VLOOKUP($B160&amp;"; "&amp;$H$51&amp;", "&amp;$I$52,'FE Déplacements'!$G:$U,9,FALSE)),0,VLOOKUP($B160&amp;"; "&amp;$H$51&amp;", "&amp;$I$52,'FE Déplacements'!$G:$U,9,FALSE))</f>
        <v>1.2E-2</v>
      </c>
      <c r="J160" s="410">
        <f>IF(ISNA(VLOOKUP($B160&amp;"; "&amp;$H$51&amp;", "&amp;$J$52,'FE Déplacements'!$G:$U,9,FALSE)),0,VLOOKUP($B160&amp;"; "&amp;$H$51&amp;", "&amp;$J$52,'FE Déplacements'!$G:$U,9,FALSE))</f>
        <v>7.4999999999999997E-2</v>
      </c>
      <c r="K160" s="356">
        <f t="shared" si="100"/>
        <v>0</v>
      </c>
      <c r="L160" s="356">
        <f t="shared" si="101"/>
        <v>0</v>
      </c>
      <c r="M160" s="356">
        <f t="shared" si="102"/>
        <v>0</v>
      </c>
      <c r="N160" s="1286">
        <f>IF(OR(F160=Utilitaires!$I$572,F160=Utilitaires!$I$577),M160,0)</f>
        <v>0</v>
      </c>
      <c r="X160" s="1092">
        <f t="shared" si="106"/>
        <v>0</v>
      </c>
      <c r="Y160" s="343"/>
      <c r="Z160" s="820"/>
      <c r="AA160" s="164">
        <f t="shared" si="103"/>
        <v>0</v>
      </c>
      <c r="AB160" s="164">
        <f t="shared" si="103"/>
        <v>0</v>
      </c>
      <c r="AC160" s="164">
        <f t="shared" si="104"/>
        <v>0</v>
      </c>
      <c r="AD160" s="152">
        <f t="shared" si="90"/>
        <v>0</v>
      </c>
      <c r="AE160" s="165">
        <f t="shared" si="98"/>
        <v>0</v>
      </c>
      <c r="AG160" s="564">
        <f>$G160*IF(ISNA(VLOOKUP($B160&amp;"; "&amp;$H$51&amp;", "&amp;I$52,'FE Déplacements'!$G:$U,10,FALSE)),0,VLOOKUP($B160&amp;"; "&amp;$H$51&amp;", "&amp;I$52,'FE Déplacements'!$G:$U,10,FALSE))</f>
        <v>0</v>
      </c>
      <c r="AH160" s="565">
        <f>$G160*IF(ISNA(VLOOKUP($B160&amp;"; "&amp;$H$51&amp;", "&amp;J$52,'FE Déplacements'!$G:$U,10,FALSE)),0,VLOOKUP($B160&amp;"; "&amp;$H$51&amp;", "&amp;J$52,'FE Déplacements'!$G:$U,10,FALSE))</f>
        <v>0</v>
      </c>
      <c r="AI160" s="565">
        <f>$G160*IF(ISNA(VLOOKUP($B160&amp;"; "&amp;$H$51&amp;", "&amp;H$52,'FE Déplacements'!$G:$U,10,FALSE)),0,VLOOKUP($B160&amp;"; "&amp;$H$51&amp;", "&amp;H$52,'FE Déplacements'!$G:$U,10,FALSE))</f>
        <v>0</v>
      </c>
      <c r="AJ160" s="565">
        <f>$G160*IF(ISNA((VLOOKUP($B160&amp;"; "&amp;$H$51&amp;", "&amp;I$52,'FE Déplacements'!$G:$U,12,FALSE)+VLOOKUP($B160&amp;"; "&amp;$H$51&amp;", "&amp;I$52,'FE Déplacements'!$G:$U,11,FALSE))),0,(VLOOKUP($B160&amp;"; "&amp;$H$51&amp;", "&amp;I$52,'FE Déplacements'!$G:$U,12,FALSE)+VLOOKUP($B160&amp;"; "&amp;$H$51&amp;", "&amp;I$52,'FE Déplacements'!$G:$U,11,FALSE)))</f>
        <v>0</v>
      </c>
      <c r="AK160" s="565">
        <f>$G160*IF(ISNA((VLOOKUP($B160&amp;"; "&amp;$H$51&amp;", "&amp;J$52,'FE Déplacements'!$G:$U,12,FALSE)+VLOOKUP($B160&amp;"; "&amp;$H$51&amp;", "&amp;J$52,'FE Déplacements'!$G:$U,11,FALSE))),0,(VLOOKUP($B160&amp;"; "&amp;$H$51&amp;", "&amp;J$52,'FE Déplacements'!$G:$U,12,FALSE)+VLOOKUP($B160&amp;"; "&amp;$H$51&amp;", "&amp;J$52,'FE Déplacements'!$G:$U,11,FALSE)))</f>
        <v>0</v>
      </c>
      <c r="AL160" s="565">
        <f>$G160*IF(ISNA((VLOOKUP($B160&amp;"; "&amp;$H$51&amp;", "&amp;H$52,'FE Déplacements'!$G:$U,12,FALSE)+VLOOKUP($B160&amp;"; "&amp;$H$51&amp;", "&amp;H$52,'FE Déplacements'!$G:$U,11,FALSE))),0,(VLOOKUP($B160&amp;"; "&amp;$H$51&amp;", "&amp;H$52,'FE Déplacements'!$G:$U,12,FALSE)+VLOOKUP($B160&amp;"; "&amp;$H$51&amp;", "&amp;H$52,'FE Déplacements'!$G:$U,11,FALSE)))</f>
        <v>0</v>
      </c>
      <c r="AM160" s="565">
        <f>$G160*IF(ISNA(VLOOKUP($B160&amp;"; "&amp;$H$51&amp;", "&amp;I$52,'FE Déplacements'!$G:$U,13,FALSE)),0,VLOOKUP($B160&amp;"; "&amp;$H$51&amp;", "&amp;I$52,'FE Déplacements'!$G:$U,13,FALSE))</f>
        <v>0</v>
      </c>
      <c r="AN160" s="565">
        <f>$G160*IF(ISNA(VLOOKUP($B160&amp;"; "&amp;$H$51&amp;", "&amp;J$52,'FE Déplacements'!$G:$U,13,FALSE)),0,VLOOKUP($B160&amp;"; "&amp;$H$51&amp;", "&amp;J$52,'FE Déplacements'!$G:$U,13,FALSE))</f>
        <v>0</v>
      </c>
      <c r="AO160" s="565">
        <f>$G160*IF(ISNA(VLOOKUP($B160&amp;"; "&amp;$H$51&amp;", "&amp;H$52,'FE Déplacements'!$G:$U,13,FALSE)),0,VLOOKUP($B160&amp;"; "&amp;$H$51&amp;", "&amp;H$52,'FE Déplacements'!$G:$U,13,FALSE))</f>
        <v>0</v>
      </c>
      <c r="AP160" s="565">
        <v>0</v>
      </c>
      <c r="AQ160" s="565">
        <v>0</v>
      </c>
      <c r="AR160" s="565">
        <v>0</v>
      </c>
      <c r="AS160" s="1288">
        <f t="shared" si="105"/>
        <v>0</v>
      </c>
      <c r="AT160" s="566">
        <f t="shared" si="105"/>
        <v>0</v>
      </c>
      <c r="AU160" s="566">
        <f t="shared" si="105"/>
        <v>0</v>
      </c>
      <c r="AV160" s="564">
        <f>$G160*IF(ISNA(VLOOKUP($B160&amp;"; "&amp;$H$51&amp;", "&amp;I$52,'FE Déplacements'!$G:$U,15,FALSE)),0,VLOOKUP($B160&amp;"; "&amp;$H$51&amp;", "&amp;I$52,'FE Déplacements'!$G:$U,15,FALSE))</f>
        <v>0</v>
      </c>
      <c r="AW160" s="565">
        <f>$G160*IF(ISNA(VLOOKUP($B160&amp;"; "&amp;$H$51&amp;", "&amp;J$52,'FE Déplacements'!$G:$U,15,FALSE)),0,VLOOKUP($B160&amp;"; "&amp;$H$51&amp;", "&amp;J$52,'FE Déplacements'!$G:$U,15,FALSE))</f>
        <v>0</v>
      </c>
      <c r="AX160" s="568">
        <f>$G160*IF(ISNA(VLOOKUP($B160&amp;"; "&amp;$H$51&amp;", "&amp;H$52,'FE Déplacements'!$G:$U,15,FALSE)),0,VLOOKUP($B160&amp;"; "&amp;$H$51&amp;", "&amp;H$52,'FE Déplacements'!$G:$U,15,FALSE))</f>
        <v>0</v>
      </c>
      <c r="BH160" s="2247">
        <f>IF($Y160&lt;&gt;"votre valeur :",IF(ISNA(VLOOKUP($Y160,Utilitaires!$N$566:$O$571,2,FALSE)),,VLOOKUP($Y160,Utilitaires!$N$566:$O$571,2,FALSE)),$Z160)</f>
        <v>0</v>
      </c>
      <c r="BI160" s="2252">
        <f>IF(ISNA(SQRT(SUMSQ(VLOOKUP($B160&amp;"; "&amp;$H$51&amp;", "&amp;$H$52,'FE Déplacements'!$G:$U,7,FALSE),$BH160))),0,SQRT(SUMSQ(VLOOKUP($B160&amp;"; "&amp;$H$51&amp;", "&amp;$H$52,'FE Déplacements'!$G:$U,7,FALSE),$BH160)))</f>
        <v>0.6</v>
      </c>
      <c r="BJ160" s="2252">
        <f>IF(ISNA(SQRT(SUMSQ(VLOOKUP($B160&amp;"; "&amp;$H$51&amp;", "&amp;$I$52,'FE Déplacements'!$G:$U,7,FALSE),$BH160))),0,SQRT(SUMSQ(VLOOKUP($B160&amp;"; "&amp;$H$51&amp;", "&amp;$I$52,'FE Déplacements'!$G:$U,7,FALSE),$BH160)))</f>
        <v>0.6</v>
      </c>
      <c r="BK160" s="1130">
        <f>IF(ISNA(SQRT(SUMSQ(VLOOKUP($B160&amp;"; "&amp;$H$51&amp;", "&amp;$J$52,'FE Déplacements'!$G:$U,7,FALSE),$BH160))),0,SQRT(SUMSQ(VLOOKUP($B160&amp;"; "&amp;$H$51&amp;", "&amp;$J$52,'FE Déplacements'!$G:$U,7,FALSE),$BH160)))</f>
        <v>0.6</v>
      </c>
    </row>
    <row r="161" spans="1:63" outlineLevel="2">
      <c r="B161" s="180" t="s">
        <v>4050</v>
      </c>
      <c r="C161" s="2243"/>
      <c r="D161" s="212">
        <f t="shared" si="92"/>
        <v>0</v>
      </c>
      <c r="E161" s="212"/>
      <c r="F161" s="347"/>
      <c r="G161" s="123"/>
      <c r="H161" s="410">
        <f>IF(ISNA(VLOOKUP($B161&amp;"; "&amp;$H$51&amp;", "&amp;$H$52,'FE Déplacements'!$G:$U,9,FALSE)),0,VLOOKUP($B161&amp;"; "&amp;$H$51&amp;", "&amp;$H$52,'FE Déplacements'!$G:$U,9,FALSE))</f>
        <v>2.47E-2</v>
      </c>
      <c r="I161" s="410">
        <f>IF(ISNA(VLOOKUP($B161&amp;"; "&amp;$H$51&amp;", "&amp;$I$52,'FE Déplacements'!$G:$U,9,FALSE)),0,VLOOKUP($B161&amp;"; "&amp;$H$51&amp;", "&amp;$I$52,'FE Déplacements'!$G:$U,9,FALSE))</f>
        <v>0</v>
      </c>
      <c r="J161" s="410">
        <f>IF(ISNA(VLOOKUP($B161&amp;"; "&amp;$H$51&amp;", "&amp;$J$52,'FE Déplacements'!$G:$U,9,FALSE)),0,VLOOKUP($B161&amp;"; "&amp;$H$51&amp;", "&amp;$J$52,'FE Déplacements'!$G:$U,9,FALSE))</f>
        <v>0.111</v>
      </c>
      <c r="K161" s="356">
        <f t="shared" si="100"/>
        <v>0</v>
      </c>
      <c r="L161" s="356">
        <f t="shared" si="101"/>
        <v>0</v>
      </c>
      <c r="M161" s="356">
        <f t="shared" si="102"/>
        <v>0</v>
      </c>
      <c r="N161" s="1286">
        <f>IF(OR(F161=Utilitaires!$I$572,F161=Utilitaires!$I$577),M161,0)</f>
        <v>0</v>
      </c>
      <c r="X161" s="1092">
        <f t="shared" si="106"/>
        <v>0</v>
      </c>
      <c r="Y161" s="1094"/>
      <c r="Z161" s="820"/>
      <c r="AA161" s="164">
        <f t="shared" si="103"/>
        <v>0</v>
      </c>
      <c r="AB161" s="164">
        <f t="shared" si="103"/>
        <v>0</v>
      </c>
      <c r="AC161" s="164">
        <f t="shared" si="104"/>
        <v>0</v>
      </c>
      <c r="AD161" s="152">
        <f t="shared" si="90"/>
        <v>0</v>
      </c>
      <c r="AE161" s="165">
        <f t="shared" si="98"/>
        <v>0</v>
      </c>
      <c r="AG161" s="564">
        <f>$G161*IF(ISNA(VLOOKUP($B161&amp;"; "&amp;$H$51&amp;", "&amp;I$52,'FE Déplacements'!$G:$U,10,FALSE)),0,VLOOKUP($B161&amp;"; "&amp;$H$51&amp;", "&amp;I$52,'FE Déplacements'!$G:$U,10,FALSE))</f>
        <v>0</v>
      </c>
      <c r="AH161" s="565">
        <f>$G161*IF(ISNA(VLOOKUP($B161&amp;"; "&amp;$H$51&amp;", "&amp;J$52,'FE Déplacements'!$G:$U,10,FALSE)),0,VLOOKUP($B161&amp;"; "&amp;$H$51&amp;", "&amp;J$52,'FE Déplacements'!$G:$U,10,FALSE))</f>
        <v>0</v>
      </c>
      <c r="AI161" s="565">
        <f>$G161*IF(ISNA(VLOOKUP($B161&amp;"; "&amp;$H$51&amp;", "&amp;H$52,'FE Déplacements'!$G:$U,10,FALSE)),0,VLOOKUP($B161&amp;"; "&amp;$H$51&amp;", "&amp;H$52,'FE Déplacements'!$G:$U,10,FALSE))</f>
        <v>0</v>
      </c>
      <c r="AJ161" s="565">
        <f>$G161*IF(ISNA((VLOOKUP($B161&amp;"; "&amp;$H$51&amp;", "&amp;I$52,'FE Déplacements'!$G:$U,12,FALSE)+VLOOKUP($B161&amp;"; "&amp;$H$51&amp;", "&amp;I$52,'FE Déplacements'!$G:$U,11,FALSE))),0,(VLOOKUP($B161&amp;"; "&amp;$H$51&amp;", "&amp;I$52,'FE Déplacements'!$G:$U,12,FALSE)+VLOOKUP($B161&amp;"; "&amp;$H$51&amp;", "&amp;I$52,'FE Déplacements'!$G:$U,11,FALSE)))</f>
        <v>0</v>
      </c>
      <c r="AK161" s="565">
        <f>$G161*IF(ISNA((VLOOKUP($B161&amp;"; "&amp;$H$51&amp;", "&amp;J$52,'FE Déplacements'!$G:$U,12,FALSE)+VLOOKUP($B161&amp;"; "&amp;$H$51&amp;", "&amp;J$52,'FE Déplacements'!$G:$U,11,FALSE))),0,(VLOOKUP($B161&amp;"; "&amp;$H$51&amp;", "&amp;J$52,'FE Déplacements'!$G:$U,12,FALSE)+VLOOKUP($B161&amp;"; "&amp;$H$51&amp;", "&amp;J$52,'FE Déplacements'!$G:$U,11,FALSE)))</f>
        <v>0</v>
      </c>
      <c r="AL161" s="565">
        <f>$G161*IF(ISNA((VLOOKUP($B161&amp;"; "&amp;$H$51&amp;", "&amp;H$52,'FE Déplacements'!$G:$U,12,FALSE)+VLOOKUP($B161&amp;"; "&amp;$H$51&amp;", "&amp;H$52,'FE Déplacements'!$G:$U,11,FALSE))),0,(VLOOKUP($B161&amp;"; "&amp;$H$51&amp;", "&amp;H$52,'FE Déplacements'!$G:$U,12,FALSE)+VLOOKUP($B161&amp;"; "&amp;$H$51&amp;", "&amp;H$52,'FE Déplacements'!$G:$U,11,FALSE)))</f>
        <v>0</v>
      </c>
      <c r="AM161" s="565">
        <f>$G161*IF(ISNA(VLOOKUP($B161&amp;"; "&amp;$H$51&amp;", "&amp;I$52,'FE Déplacements'!$G:$U,13,FALSE)),0,VLOOKUP($B161&amp;"; "&amp;$H$51&amp;", "&amp;I$52,'FE Déplacements'!$G:$U,13,FALSE))</f>
        <v>0</v>
      </c>
      <c r="AN161" s="565">
        <f>$G161*IF(ISNA(VLOOKUP($B161&amp;"; "&amp;$H$51&amp;", "&amp;J$52,'FE Déplacements'!$G:$U,13,FALSE)),0,VLOOKUP($B161&amp;"; "&amp;$H$51&amp;", "&amp;J$52,'FE Déplacements'!$G:$U,13,FALSE))</f>
        <v>0</v>
      </c>
      <c r="AO161" s="565">
        <f>$G161*IF(ISNA(VLOOKUP($B161&amp;"; "&amp;$H$51&amp;", "&amp;H$52,'FE Déplacements'!$G:$U,13,FALSE)),0,VLOOKUP($B161&amp;"; "&amp;$H$51&amp;", "&amp;H$52,'FE Déplacements'!$G:$U,13,FALSE))</f>
        <v>0</v>
      </c>
      <c r="AP161" s="565">
        <v>0</v>
      </c>
      <c r="AQ161" s="565">
        <v>0</v>
      </c>
      <c r="AR161" s="565">
        <v>0</v>
      </c>
      <c r="AS161" s="1288">
        <f t="shared" si="105"/>
        <v>0</v>
      </c>
      <c r="AT161" s="566">
        <f t="shared" si="105"/>
        <v>0</v>
      </c>
      <c r="AU161" s="566">
        <f t="shared" si="105"/>
        <v>0</v>
      </c>
      <c r="AV161" s="564">
        <f>$G161*IF(ISNA(VLOOKUP($B161&amp;"; "&amp;$H$51&amp;", "&amp;I$52,'FE Déplacements'!$G:$U,15,FALSE)),0,VLOOKUP($B161&amp;"; "&amp;$H$51&amp;", "&amp;I$52,'FE Déplacements'!$G:$U,15,FALSE))</f>
        <v>0</v>
      </c>
      <c r="AW161" s="565">
        <f>$G161*IF(ISNA(VLOOKUP($B161&amp;"; "&amp;$H$51&amp;", "&amp;J$52,'FE Déplacements'!$G:$U,15,FALSE)),0,VLOOKUP($B161&amp;"; "&amp;$H$51&amp;", "&amp;J$52,'FE Déplacements'!$G:$U,15,FALSE))</f>
        <v>0</v>
      </c>
      <c r="AX161" s="568">
        <f>$G161*IF(ISNA(VLOOKUP($B161&amp;"; "&amp;$H$51&amp;", "&amp;H$52,'FE Déplacements'!$G:$U,15,FALSE)),0,VLOOKUP($B161&amp;"; "&amp;$H$51&amp;", "&amp;H$52,'FE Déplacements'!$G:$U,15,FALSE))</f>
        <v>0</v>
      </c>
      <c r="BH161" s="2247">
        <f>IF($Y161&lt;&gt;"votre valeur :",IF(ISNA(VLOOKUP($Y161,Utilitaires!$N$566:$O$571,2,FALSE)),,VLOOKUP($Y161,Utilitaires!$N$566:$O$571,2,FALSE)),$Z161)</f>
        <v>0</v>
      </c>
      <c r="BI161" s="2252">
        <f>IF(ISNA(SQRT(SUMSQ(VLOOKUP($B161&amp;"; "&amp;$H$51&amp;", "&amp;$H$52,'FE Déplacements'!$G:$U,7,FALSE),$BH161))),0,SQRT(SUMSQ(VLOOKUP($B161&amp;"; "&amp;$H$51&amp;", "&amp;$H$52,'FE Déplacements'!$G:$U,7,FALSE),$BH161)))</f>
        <v>0.6</v>
      </c>
      <c r="BJ161" s="2252">
        <f>IF(ISNA(SQRT(SUMSQ(VLOOKUP($B161&amp;"; "&amp;$H$51&amp;", "&amp;$I$52,'FE Déplacements'!$G:$U,7,FALSE),$BH161))),0,SQRT(SUMSQ(VLOOKUP($B161&amp;"; "&amp;$H$51&amp;", "&amp;$I$52,'FE Déplacements'!$G:$U,7,FALSE),$BH161)))</f>
        <v>0</v>
      </c>
      <c r="BK161" s="1130">
        <f>IF(ISNA(SQRT(SUMSQ(VLOOKUP($B161&amp;"; "&amp;$H$51&amp;", "&amp;$J$52,'FE Déplacements'!$G:$U,7,FALSE),$BH161))),0,SQRT(SUMSQ(VLOOKUP($B161&amp;"; "&amp;$H$51&amp;", "&amp;$J$52,'FE Déplacements'!$G:$U,7,FALSE),$BH161)))</f>
        <v>0.6</v>
      </c>
    </row>
    <row r="162" spans="1:63" outlineLevel="2">
      <c r="B162" s="143"/>
      <c r="C162" s="144"/>
      <c r="D162" s="213"/>
      <c r="E162" s="213"/>
      <c r="F162" s="144"/>
      <c r="G162" s="144"/>
      <c r="H162" s="144"/>
      <c r="I162" s="144"/>
      <c r="J162" s="144"/>
      <c r="K162" s="167"/>
      <c r="L162" s="167"/>
      <c r="M162" s="167"/>
      <c r="N162" s="1286"/>
      <c r="X162" s="154"/>
      <c r="Y162" s="155"/>
      <c r="Z162" s="144"/>
      <c r="AA162" s="164"/>
      <c r="AB162" s="164"/>
      <c r="AC162" s="164"/>
      <c r="AD162" s="152"/>
      <c r="AE162" s="165"/>
      <c r="AG162" s="564"/>
      <c r="AH162" s="565"/>
      <c r="AI162" s="565"/>
      <c r="AJ162" s="565"/>
      <c r="AK162" s="565"/>
      <c r="AL162" s="565"/>
      <c r="AM162" s="565"/>
      <c r="AN162" s="565"/>
      <c r="AO162" s="565"/>
      <c r="AP162" s="565"/>
      <c r="AQ162" s="565"/>
      <c r="AR162" s="565"/>
      <c r="AS162" s="1288"/>
      <c r="AT162" s="566"/>
      <c r="AU162" s="565"/>
      <c r="AV162" s="564"/>
      <c r="AW162" s="565"/>
      <c r="AX162" s="568"/>
      <c r="BH162" s="2248"/>
      <c r="BI162" s="2253"/>
      <c r="BJ162" s="1075"/>
      <c r="BK162" s="1131"/>
    </row>
    <row r="163" spans="1:63" outlineLevel="2">
      <c r="B163" s="1264" t="s">
        <v>348</v>
      </c>
      <c r="C163" s="197"/>
      <c r="D163" s="214">
        <f>SUM(D143:D162)</f>
        <v>0</v>
      </c>
      <c r="E163" s="214"/>
      <c r="F163" s="197"/>
      <c r="G163" s="197"/>
      <c r="H163" s="197"/>
      <c r="I163" s="197"/>
      <c r="J163" s="197"/>
      <c r="K163" s="202">
        <f>SUM(K143:K162)</f>
        <v>0</v>
      </c>
      <c r="L163" s="202">
        <f>SUM(L143:L162)</f>
        <v>0</v>
      </c>
      <c r="M163" s="202">
        <f>SUM(M143:M162)</f>
        <v>0</v>
      </c>
      <c r="N163" s="1311">
        <f>SUM(N143:N162)</f>
        <v>0</v>
      </c>
      <c r="X163" s="2242">
        <f>IF(AD163=0,AD163,AD163/D163)</f>
        <v>0</v>
      </c>
      <c r="Y163" s="199"/>
      <c r="Z163" s="199"/>
      <c r="AA163" s="203">
        <f>SQRT(SUMSQ(AA142:AA162))</f>
        <v>0</v>
      </c>
      <c r="AB163" s="203">
        <f>SQRT(SUMSQ(AB142:AB162))</f>
        <v>0</v>
      </c>
      <c r="AC163" s="203">
        <f>SQRT(SUMSQ(AC142:AC162))</f>
        <v>0</v>
      </c>
      <c r="AD163" s="200">
        <f>SQRT(SUMSQ(AD142:AD162))</f>
        <v>0</v>
      </c>
      <c r="AE163" s="340">
        <f>SQRT(SUMSQ(AE143:AE162))</f>
        <v>0</v>
      </c>
      <c r="AG163" s="1082">
        <f t="shared" ref="AG163:AX163" si="107">SUM(AG143:AG162)</f>
        <v>0</v>
      </c>
      <c r="AH163" s="572">
        <f t="shared" si="107"/>
        <v>0</v>
      </c>
      <c r="AI163" s="572">
        <f t="shared" si="107"/>
        <v>0</v>
      </c>
      <c r="AJ163" s="572">
        <f t="shared" si="107"/>
        <v>0</v>
      </c>
      <c r="AK163" s="572">
        <f t="shared" si="107"/>
        <v>0</v>
      </c>
      <c r="AL163" s="572">
        <f t="shared" si="107"/>
        <v>0</v>
      </c>
      <c r="AM163" s="572">
        <f t="shared" si="107"/>
        <v>0</v>
      </c>
      <c r="AN163" s="572">
        <f t="shared" si="107"/>
        <v>0</v>
      </c>
      <c r="AO163" s="572">
        <f t="shared" si="107"/>
        <v>0</v>
      </c>
      <c r="AP163" s="572">
        <f t="shared" si="107"/>
        <v>0</v>
      </c>
      <c r="AQ163" s="572">
        <f t="shared" si="107"/>
        <v>0</v>
      </c>
      <c r="AR163" s="572">
        <f t="shared" si="107"/>
        <v>0</v>
      </c>
      <c r="AS163" s="1290">
        <f t="shared" si="107"/>
        <v>0</v>
      </c>
      <c r="AT163" s="573">
        <f t="shared" si="107"/>
        <v>0</v>
      </c>
      <c r="AU163" s="573">
        <f t="shared" si="107"/>
        <v>0</v>
      </c>
      <c r="AV163" s="1082">
        <f t="shared" si="107"/>
        <v>0</v>
      </c>
      <c r="AW163" s="572">
        <f t="shared" si="107"/>
        <v>0</v>
      </c>
      <c r="AX163" s="575">
        <f t="shared" si="107"/>
        <v>0</v>
      </c>
    </row>
    <row r="164" spans="1:63" outlineLevel="1">
      <c r="H164" s="269"/>
    </row>
    <row r="165" spans="1:63" s="130" customFormat="1" ht="15.75" customHeight="1" outlineLevel="1" collapsed="1">
      <c r="A165" s="114"/>
      <c r="B165" s="2652" t="s">
        <v>2495</v>
      </c>
      <c r="C165" s="2653"/>
      <c r="D165" s="2653"/>
      <c r="E165" s="2653"/>
      <c r="F165" s="2653"/>
      <c r="G165" s="2653"/>
      <c r="H165" s="2653"/>
      <c r="I165" s="2653"/>
      <c r="J165" s="2653"/>
      <c r="K165" s="2653"/>
      <c r="L165" s="2653"/>
      <c r="M165" s="2653"/>
      <c r="N165" s="2653"/>
      <c r="O165" s="2654"/>
      <c r="AE165" s="1238"/>
      <c r="AF165" s="1238"/>
      <c r="AG165" s="441"/>
      <c r="AH165" s="441"/>
      <c r="AI165" s="441"/>
      <c r="AJ165" s="441"/>
      <c r="AK165" s="441"/>
      <c r="AL165" s="441"/>
      <c r="AM165" s="441"/>
      <c r="AN165" s="441"/>
      <c r="AO165" s="441"/>
      <c r="AP165" s="593"/>
      <c r="AQ165" s="593"/>
      <c r="AR165" s="593"/>
      <c r="AS165" s="593"/>
      <c r="AT165" s="593"/>
      <c r="AU165" s="593"/>
      <c r="AV165" s="441"/>
      <c r="AW165" s="441"/>
      <c r="AX165" s="441"/>
      <c r="AZ165" s="114"/>
      <c r="BA165" s="114"/>
      <c r="BB165" s="114"/>
      <c r="BC165" s="114"/>
      <c r="BD165" s="114"/>
      <c r="BE165" s="114"/>
      <c r="BF165" s="114"/>
      <c r="BG165" s="114"/>
      <c r="BH165" s="114"/>
    </row>
    <row r="166" spans="1:63" hidden="1" outlineLevel="2">
      <c r="H166" s="269"/>
    </row>
    <row r="167" spans="1:63" ht="12.75" hidden="1" customHeight="1" outlineLevel="2">
      <c r="B167" s="139" t="s">
        <v>3686</v>
      </c>
      <c r="C167" s="140"/>
      <c r="D167" s="1008"/>
      <c r="E167" s="1648"/>
      <c r="F167" s="1008"/>
      <c r="G167" s="141"/>
      <c r="H167" s="141"/>
      <c r="I167" s="142"/>
      <c r="J167" s="116"/>
      <c r="K167" s="116"/>
      <c r="L167" s="116"/>
      <c r="M167" s="116"/>
      <c r="N167" s="116"/>
      <c r="O167" s="116"/>
      <c r="P167" s="116"/>
      <c r="Q167" s="116"/>
      <c r="R167" s="116"/>
      <c r="S167" s="116"/>
      <c r="T167" s="116"/>
      <c r="U167" s="116"/>
      <c r="V167" s="116"/>
      <c r="W167" s="116"/>
      <c r="X167" s="2636" t="s">
        <v>366</v>
      </c>
      <c r="Y167" s="2637"/>
      <c r="Z167" s="2637"/>
      <c r="AA167" s="2638"/>
      <c r="AC167" s="116"/>
      <c r="AD167" s="116"/>
      <c r="AG167" s="2639" t="s">
        <v>441</v>
      </c>
      <c r="AH167" s="2640"/>
      <c r="AI167" s="2640"/>
      <c r="AJ167" s="2640"/>
      <c r="AK167" s="2640"/>
      <c r="AL167" s="2640"/>
      <c r="AM167" s="2640"/>
      <c r="AN167" s="2640"/>
      <c r="AO167" s="2640"/>
      <c r="AP167" s="2640"/>
      <c r="AQ167" s="2640"/>
      <c r="AR167" s="2640"/>
      <c r="AS167" s="2640"/>
      <c r="AT167" s="2640"/>
      <c r="AU167" s="2640"/>
      <c r="AV167" s="2640"/>
      <c r="AW167" s="2640"/>
      <c r="AX167" s="2641"/>
    </row>
    <row r="168" spans="1:63" ht="12.75" hidden="1" customHeight="1" outlineLevel="2">
      <c r="B168" s="143"/>
      <c r="C168" s="144"/>
      <c r="D168" s="537" t="s">
        <v>308</v>
      </c>
      <c r="E168" s="1663"/>
      <c r="F168" s="144"/>
      <c r="G168" s="144"/>
      <c r="H168" s="1244"/>
      <c r="I168" s="539" t="s">
        <v>444</v>
      </c>
      <c r="J168" s="116"/>
      <c r="K168" s="116"/>
      <c r="L168" s="116"/>
      <c r="M168" s="116"/>
      <c r="N168" s="116"/>
      <c r="O168" s="116"/>
      <c r="P168" s="116"/>
      <c r="Q168" s="116"/>
      <c r="R168" s="116"/>
      <c r="S168" s="116"/>
      <c r="T168" s="116"/>
      <c r="U168" s="116"/>
      <c r="X168" s="1243"/>
      <c r="Y168" s="1244"/>
      <c r="Z168" s="1244"/>
      <c r="AA168" s="539" t="s">
        <v>444</v>
      </c>
      <c r="AF168" s="127"/>
      <c r="AG168" s="2642"/>
      <c r="AH168" s="2643"/>
      <c r="AI168" s="2643"/>
      <c r="AJ168" s="2643"/>
      <c r="AK168" s="2643"/>
      <c r="AL168" s="2643"/>
      <c r="AM168" s="2643"/>
      <c r="AN168" s="2643"/>
      <c r="AO168" s="2643"/>
      <c r="AP168" s="2643"/>
      <c r="AQ168" s="2643"/>
      <c r="AR168" s="2644"/>
      <c r="AS168" s="2642"/>
      <c r="AT168" s="2643"/>
      <c r="AU168" s="2644"/>
      <c r="AV168" s="1288"/>
      <c r="AW168" s="566"/>
      <c r="AX168" s="583"/>
      <c r="BH168" s="2828" t="s">
        <v>1648</v>
      </c>
      <c r="BI168" s="2829"/>
    </row>
    <row r="169" spans="1:63" ht="12.75" hidden="1" customHeight="1" outlineLevel="2">
      <c r="B169" s="1243"/>
      <c r="C169" s="1244"/>
      <c r="D169" s="1244" t="s">
        <v>409</v>
      </c>
      <c r="E169" s="1656"/>
      <c r="F169" s="147" t="s">
        <v>452</v>
      </c>
      <c r="G169" s="147" t="s">
        <v>3670</v>
      </c>
      <c r="H169" s="1006"/>
      <c r="I169" s="220" t="s">
        <v>880</v>
      </c>
      <c r="J169" s="116"/>
      <c r="K169" s="116"/>
      <c r="L169" s="116"/>
      <c r="M169" s="116"/>
      <c r="N169" s="116"/>
      <c r="O169" s="116"/>
      <c r="P169" s="116"/>
      <c r="Q169" s="116"/>
      <c r="R169" s="116"/>
      <c r="S169" s="116"/>
      <c r="T169" s="116"/>
      <c r="U169" s="116"/>
      <c r="V169" s="109"/>
      <c r="W169" s="109"/>
      <c r="X169" s="1243" t="s">
        <v>316</v>
      </c>
      <c r="Y169" s="2629" t="s">
        <v>316</v>
      </c>
      <c r="Z169" s="2630"/>
      <c r="AA169" s="220" t="s">
        <v>880</v>
      </c>
      <c r="AC169" s="109"/>
      <c r="AD169" s="109"/>
      <c r="AE169" s="127"/>
      <c r="AF169" s="127"/>
      <c r="AG169" s="2631" t="s">
        <v>444</v>
      </c>
      <c r="AH169" s="2632"/>
      <c r="AI169" s="2632"/>
      <c r="AJ169" s="2632"/>
      <c r="AK169" s="2632"/>
      <c r="AL169" s="2632"/>
      <c r="AM169" s="2632"/>
      <c r="AN169" s="2632"/>
      <c r="AO169" s="2632"/>
      <c r="AP169" s="2632"/>
      <c r="AQ169" s="2632"/>
      <c r="AR169" s="2650"/>
      <c r="AS169" s="2848" t="s">
        <v>444</v>
      </c>
      <c r="AT169" s="2648"/>
      <c r="AU169" s="2649"/>
      <c r="AV169" s="2631"/>
      <c r="AW169" s="2632"/>
      <c r="AX169" s="568"/>
      <c r="BH169" s="2837" t="s">
        <v>1646</v>
      </c>
      <c r="BI169" s="1141"/>
    </row>
    <row r="170" spans="1:63" ht="12.75" hidden="1" customHeight="1" outlineLevel="2">
      <c r="B170" s="1243"/>
      <c r="C170" s="1244"/>
      <c r="D170" s="1244" t="s">
        <v>444</v>
      </c>
      <c r="E170" s="1656"/>
      <c r="F170" s="1248" t="s">
        <v>445</v>
      </c>
      <c r="G170" s="1248" t="s">
        <v>881</v>
      </c>
      <c r="H170" s="1007"/>
      <c r="I170" s="220" t="s">
        <v>257</v>
      </c>
      <c r="J170" s="116"/>
      <c r="K170" s="116"/>
      <c r="L170" s="116"/>
      <c r="M170" s="116"/>
      <c r="N170" s="116"/>
      <c r="O170" s="116"/>
      <c r="P170" s="116"/>
      <c r="Q170" s="116"/>
      <c r="R170" s="116"/>
      <c r="S170" s="116"/>
      <c r="T170" s="116"/>
      <c r="U170" s="116"/>
      <c r="V170" s="109"/>
      <c r="W170" s="109"/>
      <c r="X170" s="1243" t="s">
        <v>1649</v>
      </c>
      <c r="Y170" s="2646" t="s">
        <v>1650</v>
      </c>
      <c r="Z170" s="2647"/>
      <c r="AA170" s="220" t="s">
        <v>257</v>
      </c>
      <c r="AC170" s="109"/>
      <c r="AD170" s="109"/>
      <c r="AE170" s="127"/>
      <c r="AG170" s="579" t="s">
        <v>211</v>
      </c>
      <c r="AH170" s="580"/>
      <c r="AI170" s="580"/>
      <c r="AJ170" s="580" t="s">
        <v>442</v>
      </c>
      <c r="AK170" s="580"/>
      <c r="AL170" s="580"/>
      <c r="AM170" s="580" t="s">
        <v>267</v>
      </c>
      <c r="AN170" s="580"/>
      <c r="AO170" s="580"/>
      <c r="AP170" s="580" t="s">
        <v>443</v>
      </c>
      <c r="AQ170" s="580"/>
      <c r="AR170" s="580"/>
      <c r="AS170" s="1289" t="s">
        <v>327</v>
      </c>
      <c r="AT170" s="581"/>
      <c r="AU170" s="581"/>
      <c r="AV170" s="579" t="s">
        <v>636</v>
      </c>
      <c r="AW170" s="580"/>
      <c r="AX170" s="583"/>
      <c r="BH170" s="2838"/>
      <c r="BI170" s="1251"/>
    </row>
    <row r="171" spans="1:63" ht="12.75" hidden="1" customHeight="1" outlineLevel="2">
      <c r="B171" s="143" t="s">
        <v>3669</v>
      </c>
      <c r="C171" s="144"/>
      <c r="D171" s="212">
        <f>I171</f>
        <v>0</v>
      </c>
      <c r="E171" s="212"/>
      <c r="F171" s="117"/>
      <c r="G171" s="117"/>
      <c r="H171" s="225"/>
      <c r="I171" s="152">
        <f>G171</f>
        <v>0</v>
      </c>
      <c r="J171" s="116"/>
      <c r="K171" s="116"/>
      <c r="L171" s="116"/>
      <c r="M171" s="116"/>
      <c r="N171" s="116"/>
      <c r="O171" s="116"/>
      <c r="P171" s="116"/>
      <c r="Q171" s="116"/>
      <c r="R171" s="116"/>
      <c r="S171" s="116"/>
      <c r="T171" s="116"/>
      <c r="U171" s="116"/>
      <c r="X171" s="1092">
        <f>IF(AA171=0,AA171,AA171/D171)</f>
        <v>0</v>
      </c>
      <c r="Y171" s="343"/>
      <c r="Z171" s="820"/>
      <c r="AA171" s="165">
        <f>I171*BI171</f>
        <v>0</v>
      </c>
      <c r="AG171" s="564">
        <f>D171</f>
        <v>0</v>
      </c>
      <c r="AH171" s="565"/>
      <c r="AI171" s="565"/>
      <c r="AJ171" s="565"/>
      <c r="AK171" s="565"/>
      <c r="AL171" s="565"/>
      <c r="AM171" s="565"/>
      <c r="AN171" s="565"/>
      <c r="AO171" s="565"/>
      <c r="AP171" s="565"/>
      <c r="AQ171" s="565"/>
      <c r="AR171" s="565"/>
      <c r="AS171" s="1288">
        <f>SUM(AG171:AP171)</f>
        <v>0</v>
      </c>
      <c r="AT171" s="566"/>
      <c r="AU171" s="566"/>
      <c r="AV171" s="564"/>
      <c r="AW171" s="565"/>
      <c r="AX171" s="568"/>
      <c r="BH171" s="1065">
        <f>IF($Y171&lt;&gt;"votre valeur :",IF(ISNA(VLOOKUP($Y171,Utilitaires!$N$566:$O$571,2,FALSE)),,VLOOKUP($Y171,Utilitaires!$N$566:$O$571,2,FALSE)),$Z171)</f>
        <v>0</v>
      </c>
      <c r="BI171" s="1130">
        <f>SQRT(SUMSQ(0,BH171))</f>
        <v>0</v>
      </c>
    </row>
    <row r="172" spans="1:63" ht="12.75" hidden="1" customHeight="1" outlineLevel="2">
      <c r="B172" s="143" t="s">
        <v>3669</v>
      </c>
      <c r="C172" s="144"/>
      <c r="D172" s="212">
        <f>I172</f>
        <v>0</v>
      </c>
      <c r="E172" s="212"/>
      <c r="F172" s="120"/>
      <c r="G172" s="120"/>
      <c r="H172" s="225"/>
      <c r="I172" s="152">
        <f t="shared" ref="I172:I173" si="108">G172</f>
        <v>0</v>
      </c>
      <c r="J172" s="116"/>
      <c r="K172" s="116"/>
      <c r="L172" s="116"/>
      <c r="M172" s="116"/>
      <c r="N172" s="116"/>
      <c r="O172" s="116"/>
      <c r="P172" s="116"/>
      <c r="Q172" s="116"/>
      <c r="R172" s="116"/>
      <c r="S172" s="116"/>
      <c r="T172" s="116"/>
      <c r="U172" s="116"/>
      <c r="X172" s="1092">
        <f>IF(AA172=0,AA172,AA172/D172)</f>
        <v>0</v>
      </c>
      <c r="Y172" s="343"/>
      <c r="Z172" s="820"/>
      <c r="AA172" s="165">
        <f>I172*BI172</f>
        <v>0</v>
      </c>
      <c r="AG172" s="564">
        <f>D172</f>
        <v>0</v>
      </c>
      <c r="AH172" s="565"/>
      <c r="AI172" s="565"/>
      <c r="AJ172" s="565"/>
      <c r="AK172" s="565"/>
      <c r="AL172" s="565"/>
      <c r="AM172" s="565"/>
      <c r="AN172" s="565"/>
      <c r="AO172" s="565"/>
      <c r="AP172" s="565"/>
      <c r="AQ172" s="565"/>
      <c r="AR172" s="565"/>
      <c r="AS172" s="1288">
        <f>SUM(AG172:AP172)</f>
        <v>0</v>
      </c>
      <c r="AT172" s="566"/>
      <c r="AU172" s="566"/>
      <c r="AV172" s="564"/>
      <c r="AW172" s="565"/>
      <c r="AX172" s="568"/>
      <c r="BH172" s="1065">
        <f>IF($Y172&lt;&gt;"votre valeur :",IF(ISNA(VLOOKUP($Y172,Utilitaires!$N$566:$O$571,2,FALSE)),,VLOOKUP($Y172,Utilitaires!$N$566:$O$571,2,FALSE)),$Z172)</f>
        <v>0</v>
      </c>
      <c r="BI172" s="1130">
        <f>SQRT(SUMSQ(0,BH172))</f>
        <v>0</v>
      </c>
    </row>
    <row r="173" spans="1:63" ht="12.75" hidden="1" customHeight="1" outlineLevel="2">
      <c r="B173" s="143" t="s">
        <v>3669</v>
      </c>
      <c r="C173" s="144"/>
      <c r="D173" s="212">
        <f>I173</f>
        <v>0</v>
      </c>
      <c r="E173" s="212"/>
      <c r="F173" s="123"/>
      <c r="G173" s="123"/>
      <c r="H173" s="225"/>
      <c r="I173" s="152">
        <f t="shared" si="108"/>
        <v>0</v>
      </c>
      <c r="J173" s="116"/>
      <c r="K173" s="116"/>
      <c r="L173" s="116"/>
      <c r="M173" s="116"/>
      <c r="N173" s="116"/>
      <c r="O173" s="116"/>
      <c r="P173" s="116"/>
      <c r="Q173" s="116"/>
      <c r="R173" s="116"/>
      <c r="S173" s="116"/>
      <c r="T173" s="116"/>
      <c r="U173" s="116"/>
      <c r="X173" s="1092">
        <f>IF(AA173=0,AA173,AA173/D173)</f>
        <v>0</v>
      </c>
      <c r="Y173" s="1094"/>
      <c r="Z173" s="820"/>
      <c r="AA173" s="165">
        <f>I173*BI173</f>
        <v>0</v>
      </c>
      <c r="AG173" s="564">
        <f>D173</f>
        <v>0</v>
      </c>
      <c r="AH173" s="565"/>
      <c r="AI173" s="565"/>
      <c r="AJ173" s="565"/>
      <c r="AK173" s="565"/>
      <c r="AL173" s="565"/>
      <c r="AM173" s="565"/>
      <c r="AN173" s="565"/>
      <c r="AO173" s="565"/>
      <c r="AP173" s="565"/>
      <c r="AQ173" s="565"/>
      <c r="AR173" s="565"/>
      <c r="AS173" s="1288">
        <f>SUM(AG173:AP173)</f>
        <v>0</v>
      </c>
      <c r="AT173" s="566"/>
      <c r="AU173" s="566"/>
      <c r="AV173" s="564"/>
      <c r="AW173" s="565"/>
      <c r="AX173" s="568"/>
      <c r="BH173" s="1065">
        <f>IF($Y173&lt;&gt;"votre valeur :",IF(ISNA(VLOOKUP($Y173,Utilitaires!$N$566:$O$571,2,FALSE)),,VLOOKUP($Y173,Utilitaires!$N$566:$O$571,2,FALSE)),$Z173)</f>
        <v>0</v>
      </c>
      <c r="BI173" s="1130">
        <f>SQRT(SUMSQ(0,BH173))</f>
        <v>0</v>
      </c>
    </row>
    <row r="174" spans="1:63" ht="12.75" hidden="1" customHeight="1" outlineLevel="2">
      <c r="B174" s="154"/>
      <c r="C174" s="155"/>
      <c r="D174" s="221"/>
      <c r="E174" s="221"/>
      <c r="F174" s="155"/>
      <c r="G174" s="155"/>
      <c r="H174" s="155"/>
      <c r="I174" s="156"/>
      <c r="J174" s="116"/>
      <c r="K174" s="116"/>
      <c r="L174" s="116"/>
      <c r="M174" s="116"/>
      <c r="N174" s="116"/>
      <c r="O174" s="116"/>
      <c r="P174" s="116"/>
      <c r="Q174" s="116"/>
      <c r="R174" s="116"/>
      <c r="S174" s="116"/>
      <c r="T174" s="116"/>
      <c r="U174" s="116"/>
      <c r="X174" s="1092"/>
      <c r="Y174" s="155"/>
      <c r="Z174" s="169"/>
      <c r="AA174" s="165"/>
      <c r="AG174" s="564"/>
      <c r="AH174" s="565"/>
      <c r="AI174" s="565"/>
      <c r="AJ174" s="565"/>
      <c r="AK174" s="565"/>
      <c r="AL174" s="565"/>
      <c r="AM174" s="565"/>
      <c r="AN174" s="565"/>
      <c r="AO174" s="565"/>
      <c r="AP174" s="565"/>
      <c r="AQ174" s="565"/>
      <c r="AR174" s="565"/>
      <c r="AS174" s="1288"/>
      <c r="AT174" s="566"/>
      <c r="AU174" s="566"/>
      <c r="AV174" s="564"/>
      <c r="AW174" s="565"/>
      <c r="AX174" s="568"/>
      <c r="BH174" s="1087"/>
      <c r="BI174" s="1153"/>
    </row>
    <row r="175" spans="1:63" ht="12.75" hidden="1" customHeight="1" outlineLevel="2">
      <c r="B175" s="196" t="s">
        <v>348</v>
      </c>
      <c r="C175" s="197"/>
      <c r="D175" s="214">
        <f>SUM(D171:D174)</f>
        <v>0</v>
      </c>
      <c r="E175" s="214"/>
      <c r="F175" s="198"/>
      <c r="G175" s="199"/>
      <c r="H175" s="199"/>
      <c r="I175" s="200">
        <f>SUM(I171:I174)</f>
        <v>0</v>
      </c>
      <c r="J175" s="116"/>
      <c r="K175" s="116"/>
      <c r="L175" s="116"/>
      <c r="M175" s="116"/>
      <c r="N175" s="116"/>
      <c r="O175" s="116"/>
      <c r="P175" s="116"/>
      <c r="Q175" s="116"/>
      <c r="R175" s="116"/>
      <c r="S175" s="116"/>
      <c r="T175" s="116"/>
      <c r="U175" s="116"/>
      <c r="X175" s="1203">
        <f>IF(AA175=0,AA175,AA175/D175)</f>
        <v>0</v>
      </c>
      <c r="Y175" s="199"/>
      <c r="Z175" s="199"/>
      <c r="AA175" s="200">
        <f>SQRT(SUMSQ(AA171:AA174))</f>
        <v>0</v>
      </c>
      <c r="AG175" s="571">
        <f>SUM(AG171:AG174)</f>
        <v>0</v>
      </c>
      <c r="AH175" s="572"/>
      <c r="AI175" s="572"/>
      <c r="AJ175" s="572">
        <f>SUM(AJ171:AJ174)</f>
        <v>0</v>
      </c>
      <c r="AK175" s="572"/>
      <c r="AL175" s="572"/>
      <c r="AM175" s="572">
        <f>SUM(AM171:AM174)</f>
        <v>0</v>
      </c>
      <c r="AN175" s="572"/>
      <c r="AO175" s="572"/>
      <c r="AP175" s="572">
        <f>SUM(AP171:AP174)</f>
        <v>0</v>
      </c>
      <c r="AQ175" s="572"/>
      <c r="AR175" s="572"/>
      <c r="AS175" s="1290">
        <f>SUM(AS171:AS174)</f>
        <v>0</v>
      </c>
      <c r="AT175" s="573"/>
      <c r="AU175" s="573"/>
      <c r="AV175" s="1082">
        <f>SUM(AV171:AV174)</f>
        <v>0</v>
      </c>
      <c r="AW175" s="572"/>
      <c r="AX175" s="575"/>
    </row>
    <row r="176" spans="1:63" hidden="1" outlineLevel="2">
      <c r="H176" s="269"/>
    </row>
    <row r="177" spans="2:63" ht="12.75" hidden="1" customHeight="1" outlineLevel="2">
      <c r="B177" s="2262" t="s">
        <v>4760</v>
      </c>
      <c r="C177" s="140"/>
      <c r="D177" s="140"/>
      <c r="E177" s="140"/>
      <c r="F177" s="140"/>
      <c r="G177" s="141"/>
      <c r="H177" s="140"/>
      <c r="I177" s="140"/>
      <c r="J177" s="140"/>
      <c r="K177" s="140"/>
      <c r="L177" s="141"/>
      <c r="M177" s="141"/>
      <c r="N177" s="1610"/>
      <c r="W177" s="116"/>
      <c r="X177" s="2636" t="s">
        <v>366</v>
      </c>
      <c r="Y177" s="2637"/>
      <c r="Z177" s="2637"/>
      <c r="AA177" s="2637"/>
      <c r="AB177" s="2637"/>
      <c r="AC177" s="2637"/>
      <c r="AD177" s="2638"/>
      <c r="AE177" s="1773"/>
      <c r="AG177" s="2639" t="s">
        <v>441</v>
      </c>
      <c r="AH177" s="2640"/>
      <c r="AI177" s="2640"/>
      <c r="AJ177" s="2640"/>
      <c r="AK177" s="2640"/>
      <c r="AL177" s="2640"/>
      <c r="AM177" s="2640"/>
      <c r="AN177" s="2640"/>
      <c r="AO177" s="2640"/>
      <c r="AP177" s="2640"/>
      <c r="AQ177" s="2640"/>
      <c r="AR177" s="2640"/>
      <c r="AS177" s="2640"/>
      <c r="AT177" s="2640"/>
      <c r="AU177" s="2640"/>
      <c r="AV177" s="2640"/>
      <c r="AW177" s="2640"/>
      <c r="AX177" s="2641"/>
    </row>
    <row r="178" spans="2:63" ht="12.75" hidden="1" customHeight="1" outlineLevel="2">
      <c r="B178" s="333"/>
      <c r="C178" s="167"/>
      <c r="D178" s="2251" t="s">
        <v>308</v>
      </c>
      <c r="E178" s="2251"/>
      <c r="F178" s="144"/>
      <c r="G178" s="144"/>
      <c r="H178" s="144"/>
      <c r="I178" s="144"/>
      <c r="J178" s="2251"/>
      <c r="K178" s="2251"/>
      <c r="L178" s="2243" t="s">
        <v>233</v>
      </c>
      <c r="M178" s="2243"/>
      <c r="N178" s="153" t="s">
        <v>275</v>
      </c>
      <c r="W178" s="116"/>
      <c r="X178" s="1170"/>
      <c r="Y178" s="2255"/>
      <c r="Z178" s="2255"/>
      <c r="AA178" s="2243"/>
      <c r="AB178" s="2243"/>
      <c r="AC178" s="2243"/>
      <c r="AD178" s="1674"/>
      <c r="AE178" s="1674" t="s">
        <v>275</v>
      </c>
      <c r="AG178" s="2642" t="s">
        <v>444</v>
      </c>
      <c r="AH178" s="2643"/>
      <c r="AI178" s="2643"/>
      <c r="AJ178" s="2643"/>
      <c r="AK178" s="2643"/>
      <c r="AL178" s="2643"/>
      <c r="AM178" s="2643"/>
      <c r="AN178" s="2643"/>
      <c r="AO178" s="2643"/>
      <c r="AP178" s="2643"/>
      <c r="AQ178" s="2643"/>
      <c r="AR178" s="2644"/>
      <c r="AS178" s="2642" t="s">
        <v>444</v>
      </c>
      <c r="AT178" s="2643"/>
      <c r="AU178" s="2644"/>
      <c r="AV178" s="1288"/>
      <c r="AW178" s="566"/>
      <c r="AX178" s="2261"/>
      <c r="BH178" s="2616" t="s">
        <v>1648</v>
      </c>
      <c r="BI178" s="2617"/>
      <c r="BJ178" s="2618"/>
    </row>
    <row r="179" spans="2:63" ht="12.75" hidden="1" customHeight="1" outlineLevel="2">
      <c r="B179" s="143"/>
      <c r="C179" s="144"/>
      <c r="D179" s="2243" t="s">
        <v>409</v>
      </c>
      <c r="E179" s="2243"/>
      <c r="F179" s="2249" t="s">
        <v>452</v>
      </c>
      <c r="G179" s="2249"/>
      <c r="H179" s="2626" t="s">
        <v>2222</v>
      </c>
      <c r="I179" s="2628"/>
      <c r="J179" s="2628"/>
      <c r="K179" s="2243"/>
      <c r="L179" s="2251" t="s">
        <v>444</v>
      </c>
      <c r="M179" s="2251" t="s">
        <v>444</v>
      </c>
      <c r="N179" s="153" t="s">
        <v>276</v>
      </c>
      <c r="W179" s="116"/>
      <c r="X179" s="2245" t="s">
        <v>316</v>
      </c>
      <c r="Y179" s="2629" t="s">
        <v>316</v>
      </c>
      <c r="Z179" s="2630"/>
      <c r="AA179" s="2243" t="s">
        <v>444</v>
      </c>
      <c r="AB179" s="2243" t="s">
        <v>444</v>
      </c>
      <c r="AC179" s="2243" t="s">
        <v>444</v>
      </c>
      <c r="AD179" s="2254" t="s">
        <v>444</v>
      </c>
      <c r="AE179" s="2256" t="s">
        <v>276</v>
      </c>
      <c r="AG179" s="2631" t="s">
        <v>211</v>
      </c>
      <c r="AH179" s="2632"/>
      <c r="AI179" s="2632"/>
      <c r="AJ179" s="2632" t="s">
        <v>442</v>
      </c>
      <c r="AK179" s="2632"/>
      <c r="AL179" s="2632"/>
      <c r="AM179" s="2632" t="s">
        <v>267</v>
      </c>
      <c r="AN179" s="2632"/>
      <c r="AO179" s="2632"/>
      <c r="AP179" s="2632" t="s">
        <v>443</v>
      </c>
      <c r="AQ179" s="2632"/>
      <c r="AR179" s="2650"/>
      <c r="AS179" s="2848" t="s">
        <v>327</v>
      </c>
      <c r="AT179" s="2648"/>
      <c r="AU179" s="2649"/>
      <c r="AV179" s="2631" t="s">
        <v>636</v>
      </c>
      <c r="AW179" s="2632"/>
      <c r="AX179" s="568"/>
      <c r="BH179" s="2837" t="s">
        <v>1646</v>
      </c>
      <c r="BI179" s="2839" t="s">
        <v>422</v>
      </c>
      <c r="BJ179" s="2839" t="s">
        <v>411</v>
      </c>
      <c r="BK179" s="2839" t="s">
        <v>257</v>
      </c>
    </row>
    <row r="180" spans="2:63" ht="12.75" hidden="1" customHeight="1" outlineLevel="2">
      <c r="B180" s="143"/>
      <c r="C180" s="144"/>
      <c r="D180" s="2243" t="s">
        <v>444</v>
      </c>
      <c r="E180" s="2243"/>
      <c r="F180" s="2250" t="s">
        <v>445</v>
      </c>
      <c r="G180" s="153" t="s">
        <v>38</v>
      </c>
      <c r="H180" s="1662" t="s">
        <v>422</v>
      </c>
      <c r="I180" s="1662" t="s">
        <v>411</v>
      </c>
      <c r="J180" s="1662" t="s">
        <v>257</v>
      </c>
      <c r="K180" s="2244" t="s">
        <v>422</v>
      </c>
      <c r="L180" s="2244" t="s">
        <v>411</v>
      </c>
      <c r="M180" s="2244" t="s">
        <v>257</v>
      </c>
      <c r="N180" s="153" t="s">
        <v>444</v>
      </c>
      <c r="W180" s="116"/>
      <c r="X180" s="2245" t="s">
        <v>1649</v>
      </c>
      <c r="Y180" s="2646" t="s">
        <v>1650</v>
      </c>
      <c r="Z180" s="2647"/>
      <c r="AA180" s="1662" t="s">
        <v>411</v>
      </c>
      <c r="AB180" s="1662" t="s">
        <v>257</v>
      </c>
      <c r="AC180" s="1662" t="s">
        <v>422</v>
      </c>
      <c r="AD180" s="162" t="s">
        <v>327</v>
      </c>
      <c r="AE180" s="2256" t="s">
        <v>444</v>
      </c>
      <c r="AG180" s="2259" t="s">
        <v>411</v>
      </c>
      <c r="AH180" s="2260" t="s">
        <v>257</v>
      </c>
      <c r="AI180" s="2260"/>
      <c r="AJ180" s="2260" t="s">
        <v>411</v>
      </c>
      <c r="AK180" s="2260" t="s">
        <v>257</v>
      </c>
      <c r="AL180" s="2260"/>
      <c r="AM180" s="2260" t="s">
        <v>411</v>
      </c>
      <c r="AN180" s="2260" t="s">
        <v>257</v>
      </c>
      <c r="AO180" s="2260"/>
      <c r="AP180" s="2260" t="s">
        <v>411</v>
      </c>
      <c r="AQ180" s="2260" t="s">
        <v>257</v>
      </c>
      <c r="AR180" s="2260"/>
      <c r="AS180" s="1289" t="s">
        <v>411</v>
      </c>
      <c r="AT180" s="581" t="s">
        <v>257</v>
      </c>
      <c r="AU180" s="581"/>
      <c r="AV180" s="2259" t="s">
        <v>411</v>
      </c>
      <c r="AW180" s="2260" t="s">
        <v>257</v>
      </c>
      <c r="AX180" s="2261"/>
      <c r="BH180" s="2838"/>
      <c r="BI180" s="2840"/>
      <c r="BJ180" s="2840"/>
      <c r="BK180" s="2840"/>
    </row>
    <row r="181" spans="2:63" ht="12.75" hidden="1" customHeight="1" outlineLevel="2">
      <c r="B181" s="143" t="s">
        <v>4051</v>
      </c>
      <c r="C181" s="144"/>
      <c r="D181" s="212">
        <f>SUM(K181:M181)</f>
        <v>0</v>
      </c>
      <c r="E181" s="212"/>
      <c r="F181" s="409"/>
      <c r="G181" s="117"/>
      <c r="H181" s="212">
        <f>IF(ISNA(VLOOKUP($B181&amp;"; "&amp;$H$64&amp;", "&amp;$H$65,'FE Déplacements'!$G:$U,9,FALSE)),0,VLOOKUP($B181&amp;"; "&amp;$H$64&amp;", "&amp;$H$65,'FE Déplacements'!$G:$U,9,FALSE))</f>
        <v>0</v>
      </c>
      <c r="I181" s="219">
        <f>IF(ISNA(VLOOKUP($B181&amp;"; "&amp;$H$64&amp;", "&amp;$I$65,'FE Déplacements'!$G:$U,9,FALSE)),0,VLOOKUP($B181&amp;"; "&amp;$H$64&amp;", "&amp;$I$65,'FE Déplacements'!$G:$U,9,FALSE))</f>
        <v>0</v>
      </c>
      <c r="J181" s="219">
        <f>IF(ISNA(VLOOKUP($B181&amp;"; "&amp;$H$64&amp;", "&amp;$J$65,'FE Déplacements'!$G:$U,9,FALSE)),0,VLOOKUP($B181&amp;"; "&amp;$H$64&amp;", "&amp;$J$65,'FE Déplacements'!$G:$U,9,FALSE))</f>
        <v>0</v>
      </c>
      <c r="K181" s="212">
        <f>G181*H181</f>
        <v>0</v>
      </c>
      <c r="L181" s="356">
        <f>G181*I181</f>
        <v>0</v>
      </c>
      <c r="M181" s="151">
        <f>G181*J181</f>
        <v>0</v>
      </c>
      <c r="N181" s="1286">
        <f>IF(OR(F181=Utilitaires!$I$572,F181=Utilitaires!$I$577),M181,0)</f>
        <v>0</v>
      </c>
      <c r="W181" s="116"/>
      <c r="X181" s="1092">
        <f>IF(AD181=0,AD181,AD181/D181)</f>
        <v>0</v>
      </c>
      <c r="Y181" s="343"/>
      <c r="Z181" s="820"/>
      <c r="AA181" s="164">
        <f t="shared" ref="AA181:AB183" si="109">L181*BJ181</f>
        <v>0</v>
      </c>
      <c r="AB181" s="164">
        <f t="shared" si="109"/>
        <v>0</v>
      </c>
      <c r="AC181" s="164">
        <f>K181*BI181</f>
        <v>0</v>
      </c>
      <c r="AD181" s="152">
        <f>SQRT(SUMSQ(AA181:AC181))</f>
        <v>0</v>
      </c>
      <c r="AE181" s="165">
        <f>N181*X181</f>
        <v>0</v>
      </c>
      <c r="AG181" s="564">
        <f>$G181*IF(ISNA(VLOOKUP($B181&amp;"; "&amp;$H$64&amp;", "&amp;I$65,'FE Déplacements'!$G:$U,10,FALSE)),0,VLOOKUP($B181&amp;"; "&amp;$H$64&amp;", "&amp;I$65,'FE Déplacements'!$G:$U,10,FALSE))</f>
        <v>0</v>
      </c>
      <c r="AH181" s="565">
        <f>$G181*IF(ISNA(VLOOKUP($B181&amp;"; "&amp;$H$64&amp;", "&amp;J$65,'FE Déplacements'!$G:$U,10,FALSE)),0,VLOOKUP($B181&amp;"; "&amp;$H$64&amp;", "&amp;J$65,'FE Déplacements'!$G:$U,10,FALSE))</f>
        <v>0</v>
      </c>
      <c r="AI181" s="565"/>
      <c r="AJ181" s="565">
        <f>$G181*IF(ISNA((VLOOKUP($B181&amp;"; "&amp;$H$64&amp;", "&amp;I$65,'FE Déplacements'!$G:$U,12,FALSE)+VLOOKUP($B181&amp;"; "&amp;$H$64&amp;", "&amp;I$65,'FE Déplacements'!$G:$U,11,FALSE))),0,(VLOOKUP($B181&amp;"; "&amp;$H$64&amp;", "&amp;I$65,'FE Déplacements'!$G:$U,12,FALSE)+VLOOKUP($B181&amp;"; "&amp;$H$64&amp;", "&amp;I$65,'FE Déplacements'!$G:$U,11,FALSE)))</f>
        <v>0</v>
      </c>
      <c r="AK181" s="565">
        <f>$G181*IF(ISNA((VLOOKUP($B181&amp;"; "&amp;$H$64&amp;", "&amp;J$65,'FE Déplacements'!$G:$U,12,FALSE)+VLOOKUP($B181&amp;"; "&amp;$H$64&amp;", "&amp;J$65,'FE Déplacements'!$G:$U,11,FALSE))),0,(VLOOKUP($B181&amp;"; "&amp;$H$64&amp;", "&amp;J$65,'FE Déplacements'!$G:$U,12,FALSE)+VLOOKUP($B181&amp;"; "&amp;$H$64&amp;", "&amp;J$65,'FE Déplacements'!$G:$U,11,FALSE)))</f>
        <v>0</v>
      </c>
      <c r="AL181" s="565"/>
      <c r="AM181" s="565">
        <f>$G181*IF(ISNA(VLOOKUP($B181&amp;"; "&amp;$H$64&amp;", "&amp;I$65,'FE Déplacements'!$G:$U,13,FALSE)),0,VLOOKUP($B181&amp;"; "&amp;$H$64&amp;", "&amp;I$65,'FE Déplacements'!$G:$U,13,FALSE))</f>
        <v>0</v>
      </c>
      <c r="AN181" s="565">
        <f>$G181*IF(ISNA(VLOOKUP($B181&amp;"; "&amp;$H$64&amp;", "&amp;J$65,'FE Déplacements'!$G:$U,13,FALSE)),0,VLOOKUP($B181&amp;"; "&amp;$H$64&amp;", "&amp;J$65,'FE Déplacements'!$G:$U,13,FALSE))</f>
        <v>0</v>
      </c>
      <c r="AO181" s="565"/>
      <c r="AP181" s="565">
        <v>0</v>
      </c>
      <c r="AQ181" s="565">
        <v>0</v>
      </c>
      <c r="AR181" s="565"/>
      <c r="AS181" s="1288">
        <f t="shared" ref="AS181:AT183" si="110">SUM(AG181,AJ181,AM181,AP181)</f>
        <v>0</v>
      </c>
      <c r="AT181" s="566">
        <f t="shared" si="110"/>
        <v>0</v>
      </c>
      <c r="AU181" s="566"/>
      <c r="AV181" s="564">
        <f>$G181*IF(ISNA(VLOOKUP($B181&amp;"; "&amp;$H$64&amp;", "&amp;I$65,'FE Déplacements'!$G:$U,15,FALSE)),0,VLOOKUP($B181&amp;"; "&amp;$H$64&amp;", "&amp;I$65,'FE Déplacements'!$G:$U,15,FALSE))</f>
        <v>0</v>
      </c>
      <c r="AW181" s="565">
        <f>$G181*IF(ISNA(VLOOKUP($B181&amp;"; "&amp;$H$64&amp;", "&amp;J$65,'FE Déplacements'!$G:$U,15,FALSE)),0,VLOOKUP($B181&amp;"; "&amp;$H$64&amp;", "&amp;J$65,'FE Déplacements'!$G:$U,15,FALSE))</f>
        <v>0</v>
      </c>
      <c r="AX181" s="568"/>
      <c r="BH181" s="2247">
        <f>IF($Y181&lt;&gt;"votre valeur :",IF(ISNA(VLOOKUP($Y181,Utilitaires!$N$566:$O$571,2,FALSE)),,VLOOKUP($Y181,Utilitaires!$N$566:$O$571,2,FALSE)),$Z181)</f>
        <v>0</v>
      </c>
      <c r="BI181" s="2252">
        <f>IF(ISNA(SQRT(SUMSQ(VLOOKUP($B181&amp;"; "&amp;$H$64&amp;", "&amp;$H$65,'FE Déplacements'!$G:$U,7,FALSE),$BH181))),0,SQRT(SUMSQ(VLOOKUP($B181&amp;"; "&amp;$H$64&amp;", "&amp;$H$65,'FE Déplacements'!$G:$U,7,FALSE),$BH181)))</f>
        <v>0</v>
      </c>
      <c r="BJ181" s="2252">
        <f>IF(ISNA(SQRT(SUMSQ(VLOOKUP($B181&amp;"; "&amp;$H$64&amp;", "&amp;$I$65,'FE Déplacements'!$G:$U,7,FALSE),$BH181))),0,SQRT(SUMSQ(VLOOKUP($B181&amp;"; "&amp;$H$64&amp;", "&amp;$I$65,'FE Déplacements'!$G:$U,7,FALSE),$BH181)))</f>
        <v>0</v>
      </c>
      <c r="BK181" s="1130">
        <f>IF(ISNA(SQRT(SUMSQ(VLOOKUP($B181&amp;"; "&amp;$H$64&amp;", "&amp;$J$65,'FE Déplacements'!$G:$U,7,FALSE),$BH181))),0,SQRT(SUMSQ(VLOOKUP($B181&amp;"; "&amp;$H$64&amp;", "&amp;$J$65,'FE Déplacements'!$G:$U,7,FALSE),$BH181)))</f>
        <v>0</v>
      </c>
    </row>
    <row r="182" spans="2:63" ht="12.75" hidden="1" customHeight="1" outlineLevel="2">
      <c r="B182" s="143" t="s">
        <v>4052</v>
      </c>
      <c r="C182" s="144"/>
      <c r="D182" s="212">
        <f t="shared" ref="D182:D183" si="111">SUM(K182:M182)</f>
        <v>0</v>
      </c>
      <c r="E182" s="212"/>
      <c r="F182" s="346"/>
      <c r="G182" s="120"/>
      <c r="H182" s="212">
        <f>IF(ISNA(VLOOKUP($B182&amp;"; "&amp;$H$64&amp;", "&amp;$H$65,'FE Déplacements'!$G:$U,9,FALSE)),0,VLOOKUP($B182&amp;"; "&amp;$H$64&amp;", "&amp;$H$65,'FE Déplacements'!$G:$U,9,FALSE))</f>
        <v>0</v>
      </c>
      <c r="I182" s="219">
        <f>IF(ISNA(VLOOKUP($B182&amp;"; "&amp;$H$64&amp;", "&amp;$I$65,'FE Déplacements'!$G:$U,9,FALSE)),0,VLOOKUP($B182&amp;"; "&amp;$H$64&amp;", "&amp;$I$65,'FE Déplacements'!$G:$U,9,FALSE))</f>
        <v>0</v>
      </c>
      <c r="J182" s="219">
        <f>IF(ISNA(VLOOKUP($B182&amp;"; "&amp;$H$64&amp;", "&amp;$J$65,'FE Déplacements'!$G:$U,9,FALSE)),0,VLOOKUP($B182&amp;"; "&amp;$H$64&amp;", "&amp;$J$65,'FE Déplacements'!$G:$U,9,FALSE))</f>
        <v>0</v>
      </c>
      <c r="K182" s="212">
        <f t="shared" ref="K182:K183" si="112">G182*H182</f>
        <v>0</v>
      </c>
      <c r="L182" s="356">
        <f>G182*I182</f>
        <v>0</v>
      </c>
      <c r="M182" s="151">
        <f>G182*J182</f>
        <v>0</v>
      </c>
      <c r="N182" s="1286">
        <f>IF(OR(F182=Utilitaires!$I$572,F182=Utilitaires!$I$577),M182,0)</f>
        <v>0</v>
      </c>
      <c r="W182" s="116"/>
      <c r="X182" s="1092">
        <f>IF(AD182=0,AD182,AD182/D182)</f>
        <v>0</v>
      </c>
      <c r="Y182" s="343"/>
      <c r="Z182" s="820"/>
      <c r="AA182" s="164">
        <f t="shared" si="109"/>
        <v>0</v>
      </c>
      <c r="AB182" s="164">
        <f t="shared" si="109"/>
        <v>0</v>
      </c>
      <c r="AC182" s="164">
        <f>K182*BI182</f>
        <v>0</v>
      </c>
      <c r="AD182" s="152">
        <f t="shared" ref="AD182:AD183" si="113">SQRT(SUMSQ(AA182:AC182))</f>
        <v>0</v>
      </c>
      <c r="AE182" s="165">
        <f>N182*X182</f>
        <v>0</v>
      </c>
      <c r="AG182" s="564">
        <f>$G182*IF(ISNA(VLOOKUP($B182&amp;"; "&amp;$H$64&amp;", "&amp;I$65,'FE Déplacements'!$G:$U,10,FALSE)),0,VLOOKUP($B182&amp;"; "&amp;$H$64&amp;", "&amp;I$65,'FE Déplacements'!$G:$U,10,FALSE))</f>
        <v>0</v>
      </c>
      <c r="AH182" s="565">
        <f>$G182*IF(ISNA(VLOOKUP($B182&amp;"; "&amp;$H$64&amp;", "&amp;J$65,'FE Déplacements'!$G:$U,10,FALSE)),0,VLOOKUP($B182&amp;"; "&amp;$H$64&amp;", "&amp;J$65,'FE Déplacements'!$G:$U,10,FALSE))</f>
        <v>0</v>
      </c>
      <c r="AI182" s="565"/>
      <c r="AJ182" s="565">
        <f>$G182*IF(ISNA((VLOOKUP($B182&amp;"; "&amp;$H$64&amp;", "&amp;I$65,'FE Déplacements'!$G:$U,12,FALSE)+VLOOKUP($B182&amp;"; "&amp;$H$64&amp;", "&amp;I$65,'FE Déplacements'!$G:$U,11,FALSE))),0,(VLOOKUP($B182&amp;"; "&amp;$H$64&amp;", "&amp;I$65,'FE Déplacements'!$G:$U,12,FALSE)+VLOOKUP($B182&amp;"; "&amp;$H$64&amp;", "&amp;I$65,'FE Déplacements'!$G:$U,11,FALSE)))</f>
        <v>0</v>
      </c>
      <c r="AK182" s="565">
        <f>$G182*IF(ISNA((VLOOKUP($B182&amp;"; "&amp;$H$64&amp;", "&amp;J$65,'FE Déplacements'!$G:$U,12,FALSE)+VLOOKUP($B182&amp;"; "&amp;$H$64&amp;", "&amp;J$65,'FE Déplacements'!$G:$U,11,FALSE))),0,(VLOOKUP($B182&amp;"; "&amp;$H$64&amp;", "&amp;J$65,'FE Déplacements'!$G:$U,12,FALSE)+VLOOKUP($B182&amp;"; "&amp;$H$64&amp;", "&amp;J$65,'FE Déplacements'!$G:$U,11,FALSE)))</f>
        <v>0</v>
      </c>
      <c r="AL182" s="565"/>
      <c r="AM182" s="565">
        <f>$G182*IF(ISNA(VLOOKUP($B182&amp;"; "&amp;$H$64&amp;", "&amp;I$65,'FE Déplacements'!$G:$U,13,FALSE)),0,VLOOKUP($B182&amp;"; "&amp;$H$64&amp;", "&amp;I$65,'FE Déplacements'!$G:$U,13,FALSE))</f>
        <v>0</v>
      </c>
      <c r="AN182" s="565">
        <f>$G182*IF(ISNA(VLOOKUP($B182&amp;"; "&amp;$H$64&amp;", "&amp;J$65,'FE Déplacements'!$G:$U,13,FALSE)),0,VLOOKUP($B182&amp;"; "&amp;$H$64&amp;", "&amp;J$65,'FE Déplacements'!$G:$U,13,FALSE))</f>
        <v>0</v>
      </c>
      <c r="AO182" s="565"/>
      <c r="AP182" s="565">
        <v>0</v>
      </c>
      <c r="AQ182" s="565">
        <v>0</v>
      </c>
      <c r="AR182" s="565"/>
      <c r="AS182" s="1288">
        <f t="shared" si="110"/>
        <v>0</v>
      </c>
      <c r="AT182" s="566">
        <f t="shared" si="110"/>
        <v>0</v>
      </c>
      <c r="AU182" s="566"/>
      <c r="AV182" s="564">
        <f>$G182*IF(ISNA(VLOOKUP($B182&amp;"; "&amp;$H$64&amp;", "&amp;I$65,'FE Déplacements'!$G:$U,15,FALSE)),0,VLOOKUP($B182&amp;"; "&amp;$H$64&amp;", "&amp;I$65,'FE Déplacements'!$G:$U,15,FALSE))</f>
        <v>0</v>
      </c>
      <c r="AW182" s="565">
        <f>$G182*IF(ISNA(VLOOKUP($B182&amp;"; "&amp;$H$64&amp;", "&amp;J$65,'FE Déplacements'!$G:$U,15,FALSE)),0,VLOOKUP($B182&amp;"; "&amp;$H$64&amp;", "&amp;J$65,'FE Déplacements'!$G:$U,15,FALSE))</f>
        <v>0</v>
      </c>
      <c r="AX182" s="568"/>
      <c r="BH182" s="2247">
        <f>IF($Y182&lt;&gt;"votre valeur :",IF(ISNA(VLOOKUP($Y182,Utilitaires!$N$566:$O$571,2,FALSE)),,VLOOKUP($Y182,Utilitaires!$N$566:$O$571,2,FALSE)),$Z182)</f>
        <v>0</v>
      </c>
      <c r="BI182" s="2252">
        <f>IF(ISNA(SQRT(SUMSQ(VLOOKUP($B182&amp;"; "&amp;$H$64&amp;", "&amp;$H$65,'FE Déplacements'!$G:$U,7,FALSE),$BH182))),0,SQRT(SUMSQ(VLOOKUP($B182&amp;"; "&amp;$H$64&amp;", "&amp;$H$65,'FE Déplacements'!$G:$U,7,FALSE),$BH182)))</f>
        <v>0</v>
      </c>
      <c r="BJ182" s="2252">
        <f>IF(ISNA(SQRT(SUMSQ(VLOOKUP($B182&amp;"; "&amp;$H$64&amp;", "&amp;$I$65,'FE Déplacements'!$G:$U,7,FALSE),$BH182))),0,SQRT(SUMSQ(VLOOKUP($B182&amp;"; "&amp;$H$64&amp;", "&amp;$I$65,'FE Déplacements'!$G:$U,7,FALSE),$BH182)))</f>
        <v>0</v>
      </c>
      <c r="BK182" s="1130">
        <f>IF(ISNA(SQRT(SUMSQ(VLOOKUP($B182&amp;"; "&amp;$H$64&amp;", "&amp;$J$65,'FE Déplacements'!$G:$U,7,FALSE),$BH182))),0,SQRT(SUMSQ(VLOOKUP($B182&amp;"; "&amp;$H$64&amp;", "&amp;$J$65,'FE Déplacements'!$G:$U,7,FALSE),$BH182)))</f>
        <v>0</v>
      </c>
    </row>
    <row r="183" spans="2:63" ht="12.75" hidden="1" customHeight="1" outlineLevel="2">
      <c r="B183" s="143" t="s">
        <v>4053</v>
      </c>
      <c r="C183" s="144"/>
      <c r="D183" s="212">
        <f t="shared" si="111"/>
        <v>0</v>
      </c>
      <c r="E183" s="212"/>
      <c r="F183" s="347"/>
      <c r="G183" s="123"/>
      <c r="H183" s="212">
        <f>IF(ISNA(VLOOKUP($B183&amp;"; "&amp;$H$64&amp;", "&amp;$H$65,'FE Déplacements'!$G:$U,9,FALSE)),0,VLOOKUP($B183&amp;"; "&amp;$H$64&amp;", "&amp;$H$65,'FE Déplacements'!$G:$U,9,FALSE))</f>
        <v>0</v>
      </c>
      <c r="I183" s="219">
        <f>IF(ISNA(VLOOKUP($B183&amp;"; "&amp;$H$64&amp;", "&amp;$I$65,'FE Déplacements'!$G:$U,9,FALSE)),0,VLOOKUP($B183&amp;"; "&amp;$H$64&amp;", "&amp;$I$65,'FE Déplacements'!$G:$U,9,FALSE))</f>
        <v>0</v>
      </c>
      <c r="J183" s="219">
        <f>IF(ISNA(VLOOKUP($B183&amp;"; "&amp;$H$64&amp;", "&amp;$J$65,'FE Déplacements'!$G:$U,9,FALSE)),0,VLOOKUP($B183&amp;"; "&amp;$H$64&amp;", "&amp;$J$65,'FE Déplacements'!$G:$U,9,FALSE))</f>
        <v>0</v>
      </c>
      <c r="K183" s="212">
        <f t="shared" si="112"/>
        <v>0</v>
      </c>
      <c r="L183" s="356">
        <f>G183*I183</f>
        <v>0</v>
      </c>
      <c r="M183" s="151">
        <f>G183*J183</f>
        <v>0</v>
      </c>
      <c r="N183" s="1286">
        <f>IF(OR(F183=Utilitaires!$I$572,F183=Utilitaires!$I$577),M183,0)</f>
        <v>0</v>
      </c>
      <c r="W183" s="116"/>
      <c r="X183" s="1092">
        <f>IF(AD183=0,AD183,AD183/D183)</f>
        <v>0</v>
      </c>
      <c r="Y183" s="1094"/>
      <c r="Z183" s="820"/>
      <c r="AA183" s="164">
        <f t="shared" si="109"/>
        <v>0</v>
      </c>
      <c r="AB183" s="164">
        <f t="shared" si="109"/>
        <v>0</v>
      </c>
      <c r="AC183" s="164">
        <f>K183*BI183</f>
        <v>0</v>
      </c>
      <c r="AD183" s="152">
        <f t="shared" si="113"/>
        <v>0</v>
      </c>
      <c r="AE183" s="165">
        <f>N183*X183</f>
        <v>0</v>
      </c>
      <c r="AG183" s="564">
        <f>$G183*IF(ISNA(VLOOKUP($B183&amp;"; "&amp;$H$64&amp;", "&amp;I$65,'FE Déplacements'!$G:$U,10,FALSE)),0,VLOOKUP($B183&amp;"; "&amp;$H$64&amp;", "&amp;I$65,'FE Déplacements'!$G:$U,10,FALSE))</f>
        <v>0</v>
      </c>
      <c r="AH183" s="565">
        <f>$G183*IF(ISNA(VLOOKUP($B183&amp;"; "&amp;$H$64&amp;", "&amp;J$65,'FE Déplacements'!$G:$U,10,FALSE)),0,VLOOKUP($B183&amp;"; "&amp;$H$64&amp;", "&amp;J$65,'FE Déplacements'!$G:$U,10,FALSE))</f>
        <v>0</v>
      </c>
      <c r="AI183" s="565"/>
      <c r="AJ183" s="565">
        <f>$G183*IF(ISNA((VLOOKUP($B183&amp;"; "&amp;$H$64&amp;", "&amp;I$65,'FE Déplacements'!$G:$U,12,FALSE)+VLOOKUP($B183&amp;"; "&amp;$H$64&amp;", "&amp;I$65,'FE Déplacements'!$G:$U,11,FALSE))),0,(VLOOKUP($B183&amp;"; "&amp;$H$64&amp;", "&amp;I$65,'FE Déplacements'!$G:$U,12,FALSE)+VLOOKUP($B183&amp;"; "&amp;$H$64&amp;", "&amp;I$65,'FE Déplacements'!$G:$U,11,FALSE)))</f>
        <v>0</v>
      </c>
      <c r="AK183" s="565">
        <f>$G183*IF(ISNA((VLOOKUP($B183&amp;"; "&amp;$H$64&amp;", "&amp;J$65,'FE Déplacements'!$G:$U,12,FALSE)+VLOOKUP($B183&amp;"; "&amp;$H$64&amp;", "&amp;J$65,'FE Déplacements'!$G:$U,11,FALSE))),0,(VLOOKUP($B183&amp;"; "&amp;$H$64&amp;", "&amp;J$65,'FE Déplacements'!$G:$U,12,FALSE)+VLOOKUP($B183&amp;"; "&amp;$H$64&amp;", "&amp;J$65,'FE Déplacements'!$G:$U,11,FALSE)))</f>
        <v>0</v>
      </c>
      <c r="AL183" s="565"/>
      <c r="AM183" s="565">
        <f>$G183*IF(ISNA(VLOOKUP($B183&amp;"; "&amp;$H$64&amp;", "&amp;I$65,'FE Déplacements'!$G:$U,13,FALSE)),0,VLOOKUP($B183&amp;"; "&amp;$H$64&amp;", "&amp;I$65,'FE Déplacements'!$G:$U,13,FALSE))</f>
        <v>0</v>
      </c>
      <c r="AN183" s="565">
        <f>$G183*IF(ISNA(VLOOKUP($B183&amp;"; "&amp;$H$64&amp;", "&amp;J$65,'FE Déplacements'!$G:$U,13,FALSE)),0,VLOOKUP($B183&amp;"; "&amp;$H$64&amp;", "&amp;J$65,'FE Déplacements'!$G:$U,13,FALSE))</f>
        <v>0</v>
      </c>
      <c r="AO183" s="565"/>
      <c r="AP183" s="565">
        <v>0</v>
      </c>
      <c r="AQ183" s="565">
        <v>0</v>
      </c>
      <c r="AR183" s="565"/>
      <c r="AS183" s="1288">
        <f t="shared" si="110"/>
        <v>0</v>
      </c>
      <c r="AT183" s="566">
        <f t="shared" si="110"/>
        <v>0</v>
      </c>
      <c r="AU183" s="566"/>
      <c r="AV183" s="564">
        <f>$G183*IF(ISNA(VLOOKUP($B183&amp;"; "&amp;$H$64&amp;", "&amp;I$65,'FE Déplacements'!$G:$U,15,FALSE)),0,VLOOKUP($B183&amp;"; "&amp;$H$64&amp;", "&amp;I$65,'FE Déplacements'!$G:$U,15,FALSE))</f>
        <v>0</v>
      </c>
      <c r="AW183" s="565">
        <f>$G183*IF(ISNA(VLOOKUP($B183&amp;"; "&amp;$H$64&amp;", "&amp;J$65,'FE Déplacements'!$G:$U,15,FALSE)),0,VLOOKUP($B183&amp;"; "&amp;$H$64&amp;", "&amp;J$65,'FE Déplacements'!$G:$U,15,FALSE))</f>
        <v>0</v>
      </c>
      <c r="AX183" s="568"/>
      <c r="BH183" s="2247">
        <f>IF($Y183&lt;&gt;"votre valeur :",IF(ISNA(VLOOKUP($Y183,Utilitaires!$N$566:$O$571,2,FALSE)),,VLOOKUP($Y183,Utilitaires!$N$566:$O$571,2,FALSE)),$Z183)</f>
        <v>0</v>
      </c>
      <c r="BI183" s="2252">
        <f>IF(ISNA(SQRT(SUMSQ(VLOOKUP($B183&amp;"; "&amp;$H$64&amp;", "&amp;$H$65,'FE Déplacements'!$G:$U,7,FALSE),$BH183))),0,SQRT(SUMSQ(VLOOKUP($B183&amp;"; "&amp;$H$64&amp;", "&amp;$H$65,'FE Déplacements'!$G:$U,7,FALSE),$BH183)))</f>
        <v>0</v>
      </c>
      <c r="BJ183" s="2252">
        <f>IF(ISNA(SQRT(SUMSQ(VLOOKUP($B183&amp;"; "&amp;$H$64&amp;", "&amp;$I$65,'FE Déplacements'!$G:$U,7,FALSE),$BH183))),0,SQRT(SUMSQ(VLOOKUP($B183&amp;"; "&amp;$H$64&amp;", "&amp;$I$65,'FE Déplacements'!$G:$U,7,FALSE),$BH183)))</f>
        <v>0</v>
      </c>
      <c r="BK183" s="1130">
        <f>IF(ISNA(SQRT(SUMSQ(VLOOKUP($B183&amp;"; "&amp;$H$64&amp;", "&amp;$J$65,'FE Déplacements'!$G:$U,7,FALSE),$BH183))),0,SQRT(SUMSQ(VLOOKUP($B183&amp;"; "&amp;$H$64&amp;", "&amp;$J$65,'FE Déplacements'!$G:$U,7,FALSE),$BH183)))</f>
        <v>0</v>
      </c>
    </row>
    <row r="184" spans="2:63" ht="12.75" hidden="1" customHeight="1" outlineLevel="2">
      <c r="B184" s="143"/>
      <c r="C184" s="144"/>
      <c r="D184" s="221"/>
      <c r="E184" s="221"/>
      <c r="F184" s="155"/>
      <c r="G184" s="155"/>
      <c r="H184" s="155"/>
      <c r="I184" s="155"/>
      <c r="J184" s="221"/>
      <c r="K184" s="221"/>
      <c r="L184" s="356"/>
      <c r="M184" s="155"/>
      <c r="N184" s="1336"/>
      <c r="W184" s="116"/>
      <c r="X184" s="564"/>
      <c r="Y184" s="565"/>
      <c r="Z184" s="820"/>
      <c r="AA184" s="144"/>
      <c r="AB184" s="144"/>
      <c r="AC184" s="144"/>
      <c r="AD184" s="156"/>
      <c r="AE184" s="152"/>
      <c r="AG184" s="564"/>
      <c r="AH184" s="565"/>
      <c r="AI184" s="565"/>
      <c r="AJ184" s="565"/>
      <c r="AK184" s="565"/>
      <c r="AL184" s="565"/>
      <c r="AM184" s="565"/>
      <c r="AN184" s="565"/>
      <c r="AO184" s="565"/>
      <c r="AP184" s="565"/>
      <c r="AQ184" s="565"/>
      <c r="AR184" s="565"/>
      <c r="AS184" s="1288"/>
      <c r="AT184" s="566"/>
      <c r="AU184" s="565"/>
      <c r="AV184" s="564"/>
      <c r="AW184" s="565"/>
      <c r="AX184" s="568"/>
      <c r="BH184" s="2248"/>
      <c r="BI184" s="1075"/>
      <c r="BJ184" s="1075"/>
      <c r="BK184" s="1131"/>
    </row>
    <row r="185" spans="2:63" ht="12.75" hidden="1" customHeight="1" outlineLevel="2">
      <c r="B185" s="1264" t="s">
        <v>348</v>
      </c>
      <c r="C185" s="197"/>
      <c r="D185" s="214">
        <f>SUM(D181:D184)</f>
        <v>0</v>
      </c>
      <c r="E185" s="214"/>
      <c r="F185" s="197"/>
      <c r="G185" s="197"/>
      <c r="H185" s="197"/>
      <c r="I185" s="197"/>
      <c r="J185" s="214"/>
      <c r="K185" s="202">
        <f>SUM(K181:K183)</f>
        <v>0</v>
      </c>
      <c r="L185" s="202">
        <f>SUM(L181:L184)</f>
        <v>0</v>
      </c>
      <c r="M185" s="202">
        <f>SUM(M181:M184)</f>
        <v>0</v>
      </c>
      <c r="N185" s="1311">
        <f>SUM(N181:N184)</f>
        <v>0</v>
      </c>
      <c r="W185" s="116"/>
      <c r="X185" s="1204">
        <f>IF(AD185=0,AD185,AD185/D185)</f>
        <v>0</v>
      </c>
      <c r="Y185" s="203"/>
      <c r="Z185" s="203"/>
      <c r="AA185" s="203">
        <f>SQRT(SUMSQ(AA180:AA184))</f>
        <v>0</v>
      </c>
      <c r="AB185" s="203">
        <f>SQRT(SUMSQ(AB180:AB184))</f>
        <v>0</v>
      </c>
      <c r="AC185" s="203">
        <f>SQRT(SUMSQ(AC180:AC184))</f>
        <v>0</v>
      </c>
      <c r="AD185" s="202">
        <f>SQRT(SUMSQ(AD180:AD184))</f>
        <v>0</v>
      </c>
      <c r="AE185" s="340">
        <f>SQRT(SUMSQ(AE180:AE184))</f>
        <v>0</v>
      </c>
      <c r="AG185" s="1082">
        <f>SUM(AG181:AG184)</f>
        <v>0</v>
      </c>
      <c r="AH185" s="572">
        <f>SUM(AH181:AH184)</f>
        <v>0</v>
      </c>
      <c r="AI185" s="572"/>
      <c r="AJ185" s="572">
        <f>SUM(AJ181:AJ184)</f>
        <v>0</v>
      </c>
      <c r="AK185" s="572">
        <f>SUM(AK181:AK184)</f>
        <v>0</v>
      </c>
      <c r="AL185" s="572"/>
      <c r="AM185" s="572">
        <f>SUM(AM181:AM184)</f>
        <v>0</v>
      </c>
      <c r="AN185" s="572">
        <f>SUM(AN181:AN184)</f>
        <v>0</v>
      </c>
      <c r="AO185" s="572"/>
      <c r="AP185" s="572">
        <f>SUM(AP181:AP184)</f>
        <v>0</v>
      </c>
      <c r="AQ185" s="572">
        <f>SUM(AQ181:AQ184)</f>
        <v>0</v>
      </c>
      <c r="AR185" s="572"/>
      <c r="AS185" s="1290">
        <f>SUM(AS181:AS184)</f>
        <v>0</v>
      </c>
      <c r="AT185" s="573">
        <f>SUM(AT181:AT184)</f>
        <v>0</v>
      </c>
      <c r="AU185" s="573"/>
      <c r="AV185" s="1082">
        <f>SUM(AV181:AV184)</f>
        <v>0</v>
      </c>
      <c r="AW185" s="572">
        <f>SUM(AW181:AW184)</f>
        <v>0</v>
      </c>
      <c r="AX185" s="575"/>
    </row>
    <row r="186" spans="2:63" ht="12.75" hidden="1" customHeight="1" outlineLevel="2">
      <c r="B186" s="256"/>
      <c r="C186" s="256"/>
      <c r="D186" s="256"/>
      <c r="E186" s="256"/>
      <c r="F186" s="256"/>
      <c r="G186" s="256"/>
      <c r="H186" s="256"/>
      <c r="I186" s="256"/>
      <c r="J186" s="256"/>
      <c r="K186" s="256"/>
      <c r="L186" s="116"/>
      <c r="AC186" s="266"/>
    </row>
    <row r="187" spans="2:63" ht="12.75" hidden="1" customHeight="1" outlineLevel="2">
      <c r="B187" s="1091" t="s">
        <v>4761</v>
      </c>
      <c r="C187" s="140"/>
      <c r="D187" s="140"/>
      <c r="E187" s="140"/>
      <c r="F187" s="140"/>
      <c r="G187" s="141"/>
      <c r="H187" s="140"/>
      <c r="I187" s="140"/>
      <c r="J187" s="140"/>
      <c r="K187" s="141"/>
      <c r="L187" s="141"/>
      <c r="M187" s="140"/>
      <c r="N187" s="1610"/>
      <c r="W187" s="256"/>
      <c r="X187" s="2636" t="s">
        <v>366</v>
      </c>
      <c r="Y187" s="2637"/>
      <c r="Z187" s="2637"/>
      <c r="AA187" s="2637"/>
      <c r="AB187" s="2637"/>
      <c r="AC187" s="2637"/>
      <c r="AD187" s="2638"/>
      <c r="AE187" s="2144"/>
      <c r="AG187" s="2639" t="s">
        <v>441</v>
      </c>
      <c r="AH187" s="2640"/>
      <c r="AI187" s="2640"/>
      <c r="AJ187" s="2640"/>
      <c r="AK187" s="2640"/>
      <c r="AL187" s="2640"/>
      <c r="AM187" s="2640"/>
      <c r="AN187" s="2640"/>
      <c r="AO187" s="2640"/>
      <c r="AP187" s="2640"/>
      <c r="AQ187" s="2640"/>
      <c r="AR187" s="2640"/>
      <c r="AS187" s="2640"/>
      <c r="AT187" s="2640"/>
      <c r="AU187" s="2640"/>
      <c r="AV187" s="2640"/>
      <c r="AW187" s="2640"/>
      <c r="AX187" s="2641"/>
    </row>
    <row r="188" spans="2:63" ht="12.75" hidden="1" customHeight="1" outlineLevel="2">
      <c r="B188" s="332"/>
      <c r="C188" s="167"/>
      <c r="D188" s="2251" t="s">
        <v>308</v>
      </c>
      <c r="E188" s="2251"/>
      <c r="F188" s="144"/>
      <c r="G188" s="144"/>
      <c r="H188" s="2251"/>
      <c r="I188" s="144"/>
      <c r="J188" s="144"/>
      <c r="K188" s="2243"/>
      <c r="L188" s="2628" t="s">
        <v>233</v>
      </c>
      <c r="M188" s="2627"/>
      <c r="N188" s="153" t="s">
        <v>275</v>
      </c>
      <c r="W188" s="256"/>
      <c r="X188" s="2245"/>
      <c r="Y188" s="2243"/>
      <c r="Z188" s="2243"/>
      <c r="AA188" s="2243"/>
      <c r="AB188" s="2243"/>
      <c r="AC188" s="2243"/>
      <c r="AD188" s="2243"/>
      <c r="AE188" s="153" t="s">
        <v>275</v>
      </c>
      <c r="AG188" s="2642" t="s">
        <v>444</v>
      </c>
      <c r="AH188" s="2643"/>
      <c r="AI188" s="2643"/>
      <c r="AJ188" s="2643"/>
      <c r="AK188" s="2643"/>
      <c r="AL188" s="2643"/>
      <c r="AM188" s="2643"/>
      <c r="AN188" s="2643"/>
      <c r="AO188" s="2643"/>
      <c r="AP188" s="2643"/>
      <c r="AQ188" s="2643"/>
      <c r="AR188" s="2644"/>
      <c r="AS188" s="2642" t="s">
        <v>444</v>
      </c>
      <c r="AT188" s="2643"/>
      <c r="AU188" s="2644"/>
      <c r="AV188" s="1288"/>
      <c r="AW188" s="566"/>
      <c r="AX188" s="2261"/>
      <c r="BH188" s="2616" t="s">
        <v>1648</v>
      </c>
      <c r="BI188" s="2617"/>
      <c r="BJ188" s="2617"/>
      <c r="BK188" s="2618"/>
    </row>
    <row r="189" spans="2:63" ht="12.75" hidden="1" customHeight="1" outlineLevel="2">
      <c r="B189" s="143"/>
      <c r="C189" s="144"/>
      <c r="D189" s="2243" t="s">
        <v>409</v>
      </c>
      <c r="E189" s="2243"/>
      <c r="F189" s="2249" t="s">
        <v>452</v>
      </c>
      <c r="G189" s="2249"/>
      <c r="H189" s="2626" t="s">
        <v>2224</v>
      </c>
      <c r="I189" s="2628"/>
      <c r="J189" s="2628"/>
      <c r="K189" s="2251" t="s">
        <v>444</v>
      </c>
      <c r="L189" s="2251" t="s">
        <v>444</v>
      </c>
      <c r="M189" s="2251" t="s">
        <v>444</v>
      </c>
      <c r="N189" s="153" t="s">
        <v>276</v>
      </c>
      <c r="W189" s="256"/>
      <c r="X189" s="2245" t="s">
        <v>316</v>
      </c>
      <c r="Y189" s="2629" t="s">
        <v>316</v>
      </c>
      <c r="Z189" s="2630"/>
      <c r="AA189" s="2243" t="s">
        <v>444</v>
      </c>
      <c r="AB189" s="2243" t="s">
        <v>444</v>
      </c>
      <c r="AC189" s="2243" t="s">
        <v>444</v>
      </c>
      <c r="AD189" s="2251" t="s">
        <v>444</v>
      </c>
      <c r="AE189" s="153" t="s">
        <v>276</v>
      </c>
      <c r="AG189" s="2631" t="s">
        <v>211</v>
      </c>
      <c r="AH189" s="2632"/>
      <c r="AI189" s="2632"/>
      <c r="AJ189" s="2632" t="s">
        <v>442</v>
      </c>
      <c r="AK189" s="2632"/>
      <c r="AL189" s="2632"/>
      <c r="AM189" s="2632" t="s">
        <v>267</v>
      </c>
      <c r="AN189" s="2632"/>
      <c r="AO189" s="2632"/>
      <c r="AP189" s="2632" t="s">
        <v>1637</v>
      </c>
      <c r="AQ189" s="2632"/>
      <c r="AR189" s="2650"/>
      <c r="AS189" s="2848" t="s">
        <v>327</v>
      </c>
      <c r="AT189" s="2648"/>
      <c r="AU189" s="2649"/>
      <c r="AV189" s="2631" t="s">
        <v>636</v>
      </c>
      <c r="AW189" s="2632"/>
      <c r="AX189" s="568"/>
      <c r="BH189" s="2837" t="s">
        <v>1646</v>
      </c>
      <c r="BI189" s="2839" t="s">
        <v>422</v>
      </c>
      <c r="BJ189" s="2839" t="s">
        <v>411</v>
      </c>
      <c r="BK189" s="2839" t="s">
        <v>257</v>
      </c>
    </row>
    <row r="190" spans="2:63" ht="12.75" hidden="1" customHeight="1" outlineLevel="2">
      <c r="B190" s="536" t="s">
        <v>3298</v>
      </c>
      <c r="C190" s="144"/>
      <c r="D190" s="2243" t="s">
        <v>444</v>
      </c>
      <c r="E190" s="2243"/>
      <c r="F190" s="2250" t="s">
        <v>445</v>
      </c>
      <c r="G190" s="2250" t="s">
        <v>895</v>
      </c>
      <c r="H190" s="1662" t="s">
        <v>422</v>
      </c>
      <c r="I190" s="1662" t="s">
        <v>411</v>
      </c>
      <c r="J190" s="1662" t="s">
        <v>257</v>
      </c>
      <c r="K190" s="2244" t="s">
        <v>422</v>
      </c>
      <c r="L190" s="2244" t="s">
        <v>411</v>
      </c>
      <c r="M190" s="2244" t="s">
        <v>257</v>
      </c>
      <c r="N190" s="153" t="s">
        <v>444</v>
      </c>
      <c r="W190" s="256"/>
      <c r="X190" s="2245" t="s">
        <v>1649</v>
      </c>
      <c r="Y190" s="2646" t="s">
        <v>1650</v>
      </c>
      <c r="Z190" s="2647"/>
      <c r="AA190" s="1662" t="s">
        <v>411</v>
      </c>
      <c r="AB190" s="1662" t="s">
        <v>257</v>
      </c>
      <c r="AC190" s="1662" t="s">
        <v>422</v>
      </c>
      <c r="AD190" s="166" t="s">
        <v>327</v>
      </c>
      <c r="AE190" s="153" t="s">
        <v>444</v>
      </c>
      <c r="AG190" s="2259" t="s">
        <v>411</v>
      </c>
      <c r="AH190" s="2260" t="s">
        <v>257</v>
      </c>
      <c r="AI190" s="2260" t="s">
        <v>422</v>
      </c>
      <c r="AJ190" s="2260" t="s">
        <v>411</v>
      </c>
      <c r="AK190" s="2260" t="s">
        <v>257</v>
      </c>
      <c r="AL190" s="2260" t="s">
        <v>422</v>
      </c>
      <c r="AM190" s="2260" t="s">
        <v>411</v>
      </c>
      <c r="AN190" s="2260" t="s">
        <v>257</v>
      </c>
      <c r="AO190" s="2260" t="s">
        <v>422</v>
      </c>
      <c r="AP190" s="2260" t="s">
        <v>411</v>
      </c>
      <c r="AQ190" s="2260" t="s">
        <v>257</v>
      </c>
      <c r="AR190" s="2260" t="s">
        <v>422</v>
      </c>
      <c r="AS190" s="1289" t="s">
        <v>411</v>
      </c>
      <c r="AT190" s="581" t="s">
        <v>257</v>
      </c>
      <c r="AU190" s="581" t="s">
        <v>422</v>
      </c>
      <c r="AV190" s="2259" t="s">
        <v>411</v>
      </c>
      <c r="AW190" s="2260" t="s">
        <v>257</v>
      </c>
      <c r="AX190" s="2261" t="s">
        <v>422</v>
      </c>
      <c r="BH190" s="2838"/>
      <c r="BI190" s="2840"/>
      <c r="BJ190" s="2840"/>
      <c r="BK190" s="2840"/>
    </row>
    <row r="191" spans="2:63" ht="12.75" hidden="1" customHeight="1" outlineLevel="2">
      <c r="B191" s="143" t="s">
        <v>4051</v>
      </c>
      <c r="C191" s="144"/>
      <c r="D191" s="212">
        <f>SUM(K191:M191)</f>
        <v>0</v>
      </c>
      <c r="E191" s="212"/>
      <c r="F191" s="409"/>
      <c r="G191" s="117"/>
      <c r="H191" s="410">
        <f>IFERROR(VLOOKUP($B191&amp;"; "&amp;$H$178&amp;", "&amp;$H$179,'FE Déplacements'!$G:$U,9,FALSE),0)</f>
        <v>0</v>
      </c>
      <c r="I191" s="410">
        <f>IF(ISNA(VLOOKUP($B191&amp;"; "&amp;$H$74&amp;", "&amp;$I$75,'FE Déplacements'!$G:$U,9,FALSE)),0,VLOOKUP($B191&amp;"; "&amp;$H$74&amp;", "&amp;$I$75,'FE Déplacements'!$G:$U,9,FALSE))</f>
        <v>0</v>
      </c>
      <c r="J191" s="410">
        <f>IF(ISNA(VLOOKUP($B191&amp;"; "&amp;$H$74&amp;", "&amp;$J$75,'FE Déplacements'!$G:$U,9,FALSE)),0,VLOOKUP($B191&amp;"; "&amp;$H$74&amp;", "&amp;$J$75,'FE Déplacements'!$G:$U,9,FALSE))</f>
        <v>0.14599999999999999</v>
      </c>
      <c r="K191" s="356">
        <f>G191*H191</f>
        <v>0</v>
      </c>
      <c r="L191" s="151">
        <f>G191*I191</f>
        <v>0</v>
      </c>
      <c r="M191" s="151">
        <f>G191*J191</f>
        <v>0</v>
      </c>
      <c r="N191" s="1286">
        <f>IF(OR(F191=Utilitaires!$I$572,F191=Utilitaires!$I$577),M191,0)</f>
        <v>0</v>
      </c>
      <c r="W191" s="256"/>
      <c r="X191" s="1092">
        <f>IF(AD191=0,AD191,AD191/D191)</f>
        <v>0</v>
      </c>
      <c r="Y191" s="343"/>
      <c r="Z191" s="820"/>
      <c r="AA191" s="164">
        <f t="shared" ref="AA191:AB193" si="114">L191*BJ191</f>
        <v>0</v>
      </c>
      <c r="AB191" s="164">
        <f t="shared" si="114"/>
        <v>0</v>
      </c>
      <c r="AC191" s="164">
        <f>K191*BI191</f>
        <v>0</v>
      </c>
      <c r="AD191" s="151">
        <f>SQRT(SUMSQ(AA191,AC191))</f>
        <v>0</v>
      </c>
      <c r="AE191" s="1286">
        <f>N191*X191</f>
        <v>0</v>
      </c>
      <c r="AG191" s="564">
        <f>$G191*IF(ISNA(VLOOKUP($B191&amp;"; "&amp;$H$74&amp;", "&amp;I$75,'FE Déplacements'!$G:$U,10,FALSE)),0,VLOOKUP($B191&amp;"; "&amp;$H$74&amp;", "&amp;I$75,'FE Déplacements'!$G:$U,10,FALSE))</f>
        <v>0</v>
      </c>
      <c r="AH191" s="565">
        <f>$G191*IF(ISNA(VLOOKUP($B191&amp;"; "&amp;$H$74&amp;", "&amp;J$75,'FE Déplacements'!$G:$U,10,FALSE)),0,VLOOKUP($B191&amp;"; "&amp;$H$74&amp;", "&amp;J$75,'FE Déplacements'!$G:$U,10,FALSE))</f>
        <v>0</v>
      </c>
      <c r="AI191" s="565">
        <f>$G191*IF(ISNA(VLOOKUP($B191&amp;"; "&amp;$H$74&amp;", "&amp;H$75,'FE Déplacements'!$G:$U,10,FALSE)),0,VLOOKUP($B191&amp;"; "&amp;$H$74&amp;", "&amp;H$75,'FE Déplacements'!$G:$U,10,FALSE))</f>
        <v>0</v>
      </c>
      <c r="AJ191" s="565">
        <f>$G191*IF(ISNA((VLOOKUP($B191&amp;"; "&amp;$H$74&amp;", "&amp;I$75,'FE Déplacements'!$G:$U,12,FALSE)+VLOOKUP($B191&amp;"; "&amp;$H$74&amp;", "&amp;I$75,'FE Déplacements'!$G:$U,11,FALSE))),0,(VLOOKUP($B191&amp;"; "&amp;$H$74&amp;", "&amp;I$75,'FE Déplacements'!$G:$U,12,FALSE)+VLOOKUP($B191&amp;"; "&amp;$H$74&amp;", "&amp;I$75,'FE Déplacements'!$G:$U,11,FALSE)))</f>
        <v>0</v>
      </c>
      <c r="AK191" s="565">
        <f>$G191*IF(ISNA((VLOOKUP($B191&amp;"; "&amp;$H$74&amp;", "&amp;J$75,'FE Déplacements'!$G:$U,12,FALSE)+VLOOKUP($B191&amp;"; "&amp;$H$74&amp;", "&amp;J$75,'FE Déplacements'!$G:$U,11,FALSE))),0,(VLOOKUP($B191&amp;"; "&amp;$H$74&amp;", "&amp;J$75,'FE Déplacements'!$G:$U,12,FALSE)+VLOOKUP($B191&amp;"; "&amp;$H$74&amp;", "&amp;J$75,'FE Déplacements'!$G:$U,11,FALSE)))</f>
        <v>0</v>
      </c>
      <c r="AL191" s="565">
        <f>$G191*IF(ISNA((VLOOKUP($B191&amp;"; "&amp;$H$74&amp;", "&amp;H$75,'FE Déplacements'!$G:$U,12,FALSE)+VLOOKUP($B191&amp;"; "&amp;$H$74&amp;", "&amp;H$75,'FE Déplacements'!$G:$U,11,FALSE))),0,(VLOOKUP($B191&amp;"; "&amp;$H$74&amp;", "&amp;H$75,'FE Déplacements'!$G:$U,12,FALSE)+VLOOKUP($B191&amp;"; "&amp;$H$74&amp;", "&amp;H$75,'FE Déplacements'!$G:$U,11,FALSE)))</f>
        <v>0</v>
      </c>
      <c r="AM191" s="565">
        <f>$G191*IF(ISNA(VLOOKUP($B191&amp;"; "&amp;$H$74&amp;", "&amp;I$75,'FE Déplacements'!$G:$U,13,FALSE)),0,VLOOKUP($B191&amp;"; "&amp;$H$74&amp;", "&amp;I$75,'FE Déplacements'!$G:$U,13,FALSE))</f>
        <v>0</v>
      </c>
      <c r="AN191" s="565">
        <f>$G191*IF(ISNA(VLOOKUP($B191&amp;"; "&amp;$H$74&amp;", "&amp;J$75,'FE Déplacements'!$G:$U,13,FALSE)),0,VLOOKUP($B191&amp;"; "&amp;$H$74&amp;", "&amp;J$75,'FE Déplacements'!$G:$U,13,FALSE))</f>
        <v>0</v>
      </c>
      <c r="AO191" s="565">
        <f>$G191*IF(ISNA(VLOOKUP($B191&amp;"; "&amp;$H$74&amp;", "&amp;H$75,'FE Déplacements'!$G:$U,13,FALSE)),0,VLOOKUP($B191&amp;"; "&amp;$H$74&amp;", "&amp;H$75,'FE Déplacements'!$G:$U,13,FALSE))</f>
        <v>0</v>
      </c>
      <c r="AP191" s="565">
        <v>0</v>
      </c>
      <c r="AQ191" s="565">
        <v>0</v>
      </c>
      <c r="AR191" s="565">
        <v>0</v>
      </c>
      <c r="AS191" s="1288">
        <f t="shared" ref="AS191:AU193" si="115">SUM(AG191,AJ191,AM191,AP191)</f>
        <v>0</v>
      </c>
      <c r="AT191" s="566">
        <f t="shared" si="115"/>
        <v>0</v>
      </c>
      <c r="AU191" s="566">
        <f>SUM(AI191,AL191,AO191,AR191)</f>
        <v>0</v>
      </c>
      <c r="AV191" s="564">
        <f>$G191*IF(ISNA(VLOOKUP($B191&amp;"; "&amp;$H$74&amp;", "&amp;I$75,'FE Déplacements'!$G:$U,15,FALSE)),0,VLOOKUP($B191&amp;"; "&amp;$H$74&amp;", "&amp;I$75,'FE Déplacements'!$G:$U,15,FALSE))</f>
        <v>0</v>
      </c>
      <c r="AW191" s="565">
        <f>$G191*IF(ISNA(VLOOKUP($B191&amp;"; "&amp;$H$74&amp;", "&amp;J$75,'FE Déplacements'!$G:$U,15,FALSE)),0,VLOOKUP($B191&amp;"; "&amp;$H$74&amp;", "&amp;J$75,'FE Déplacements'!$G:$U,15,FALSE))</f>
        <v>0</v>
      </c>
      <c r="AX191" s="568">
        <f>$G191*IF(ISNA(VLOOKUP($B191&amp;"; "&amp;$H$74&amp;", "&amp;H$75,'FE Déplacements'!$G:$U,15,FALSE)),0,VLOOKUP($B191&amp;"; "&amp;$H$74&amp;", "&amp;H$75,'FE Déplacements'!$G:$U,15,FALSE))</f>
        <v>0</v>
      </c>
      <c r="BH191" s="2247">
        <f>IF($Y191&lt;&gt;"votre valeur :",IF(ISNA(VLOOKUP($Y191,Utilitaires!$N$566:$O$571,2,FALSE)),,VLOOKUP($Y191,Utilitaires!$N$566:$O$571,2,FALSE)),$Z191)</f>
        <v>0</v>
      </c>
      <c r="BI191" s="2252">
        <f>IF(ISNA(SQRT(SUMSQ(VLOOKUP($B191&amp;"; "&amp;$H$74&amp;", "&amp;$H$75,'FE Déplacements'!$G:$U,7,FALSE),$BH191))),0,SQRT(SUMSQ(VLOOKUP($B191&amp;"; "&amp;$H$74&amp;", "&amp;$H$75,'FE Déplacements'!$G:$U,7,FALSE),$BH191)))</f>
        <v>0.6</v>
      </c>
      <c r="BJ191" s="2252">
        <f>IF(ISNA(SQRT(SUMSQ(VLOOKUP($B191&amp;"; "&amp;$H$74&amp;", "&amp;$I$75,'FE Déplacements'!$G:$U,7,FALSE),$BH191))),0,SQRT(SUMSQ(VLOOKUP($B191&amp;"; "&amp;$H$74&amp;", "&amp;$I$75,'FE Déplacements'!$G:$U,7,FALSE),$BH191)))</f>
        <v>0</v>
      </c>
      <c r="BK191" s="1130">
        <f>IF(ISNA(SQRT(SUMSQ(VLOOKUP($B191&amp;"; "&amp;$H$74&amp;", "&amp;$J$75,'FE Déplacements'!$G:$U,7,FALSE),$BH191))),0,SQRT(SUMSQ(VLOOKUP($B191&amp;"; "&amp;$H$74&amp;", "&amp;$J$75,'FE Déplacements'!$G:$U,7,FALSE),$BH191)))</f>
        <v>0.6</v>
      </c>
    </row>
    <row r="192" spans="2:63" ht="12.75" hidden="1" customHeight="1" outlineLevel="2">
      <c r="B192" s="143" t="s">
        <v>4052</v>
      </c>
      <c r="C192" s="144"/>
      <c r="D192" s="212">
        <f t="shared" ref="D192:D193" si="116">SUM(K192:M192)</f>
        <v>0</v>
      </c>
      <c r="E192" s="212"/>
      <c r="F192" s="346"/>
      <c r="G192" s="120"/>
      <c r="H192" s="410">
        <f>IFERROR(VLOOKUP($B192&amp;"; "&amp;$H$178&amp;", "&amp;$H$179,'FE Déplacements'!$G:$U,9,FALSE),0)</f>
        <v>0</v>
      </c>
      <c r="I192" s="410">
        <f>IF(ISNA(VLOOKUP($B192&amp;"; "&amp;$H$74&amp;", "&amp;$I$75,'FE Déplacements'!$G:$U,9,FALSE)),0,VLOOKUP($B192&amp;"; "&amp;$H$74&amp;", "&amp;$I$75,'FE Déplacements'!$G:$U,9,FALSE))</f>
        <v>9.4999999999999998E-3</v>
      </c>
      <c r="J192" s="410">
        <f>IF(ISNA(VLOOKUP($B192&amp;"; "&amp;$H$74&amp;", "&amp;$J$75,'FE Déplacements'!$G:$U,9,FALSE)),0,VLOOKUP($B192&amp;"; "&amp;$H$74&amp;", "&amp;$J$75,'FE Déplacements'!$G:$U,9,FALSE))</f>
        <v>0</v>
      </c>
      <c r="K192" s="356">
        <f t="shared" ref="K192:K193" si="117">G192*H192</f>
        <v>0</v>
      </c>
      <c r="L192" s="151">
        <f t="shared" ref="L192:L193" si="118">G192*I192</f>
        <v>0</v>
      </c>
      <c r="M192" s="151">
        <f t="shared" ref="M192:M193" si="119">G192*J192</f>
        <v>0</v>
      </c>
      <c r="N192" s="1286">
        <f>IF(OR(F192=Utilitaires!$I$572,F192=Utilitaires!$I$577),M192,0)</f>
        <v>0</v>
      </c>
      <c r="W192" s="256"/>
      <c r="X192" s="1092">
        <f t="shared" ref="X192:X193" si="120">IF(AD192=0,AD192,AD192/D192)</f>
        <v>0</v>
      </c>
      <c r="Y192" s="343"/>
      <c r="Z192" s="820"/>
      <c r="AA192" s="164">
        <f t="shared" si="114"/>
        <v>0</v>
      </c>
      <c r="AB192" s="164">
        <f t="shared" si="114"/>
        <v>0</v>
      </c>
      <c r="AC192" s="164">
        <f>K192*BI192</f>
        <v>0</v>
      </c>
      <c r="AD192" s="151">
        <f t="shared" ref="AD192:AD193" si="121">SQRT(SUMSQ(AA192,AC192))</f>
        <v>0</v>
      </c>
      <c r="AE192" s="1286">
        <f t="shared" ref="AE192:AE193" si="122">N192*X192</f>
        <v>0</v>
      </c>
      <c r="AG192" s="564">
        <f>$G192*IF(ISNA(VLOOKUP($B192&amp;"; "&amp;$H$74&amp;", "&amp;I$75,'FE Déplacements'!$G:$U,10,FALSE)),0,VLOOKUP($B192&amp;"; "&amp;$H$74&amp;", "&amp;I$75,'FE Déplacements'!$G:$U,10,FALSE))</f>
        <v>0</v>
      </c>
      <c r="AH192" s="565">
        <f>$G192*IF(ISNA(VLOOKUP($B192&amp;"; "&amp;$H$74&amp;", "&amp;J$75,'FE Déplacements'!$G:$U,10,FALSE)),0,VLOOKUP($B192&amp;"; "&amp;$H$74&amp;", "&amp;J$75,'FE Déplacements'!$G:$U,10,FALSE))</f>
        <v>0</v>
      </c>
      <c r="AI192" s="565">
        <f>$G192*IF(ISNA(VLOOKUP($B192&amp;"; "&amp;$H$74&amp;", "&amp;H$75,'FE Déplacements'!$G:$U,10,FALSE)),0,VLOOKUP($B192&amp;"; "&amp;$H$74&amp;", "&amp;H$75,'FE Déplacements'!$G:$U,10,FALSE))</f>
        <v>0</v>
      </c>
      <c r="AJ192" s="565">
        <f>$G192*IF(ISNA((VLOOKUP($B192&amp;"; "&amp;$H$74&amp;", "&amp;I$75,'FE Déplacements'!$G:$U,12,FALSE)+VLOOKUP($B192&amp;"; "&amp;$H$74&amp;", "&amp;I$75,'FE Déplacements'!$G:$U,11,FALSE))),0,(VLOOKUP($B192&amp;"; "&amp;$H$74&amp;", "&amp;I$75,'FE Déplacements'!$G:$U,12,FALSE)+VLOOKUP($B192&amp;"; "&amp;$H$74&amp;", "&amp;I$75,'FE Déplacements'!$G:$U,11,FALSE)))</f>
        <v>0</v>
      </c>
      <c r="AK192" s="565">
        <f>$G192*IF(ISNA((VLOOKUP($B192&amp;"; "&amp;$H$74&amp;", "&amp;J$75,'FE Déplacements'!$G:$U,12,FALSE)+VLOOKUP($B192&amp;"; "&amp;$H$74&amp;", "&amp;J$75,'FE Déplacements'!$G:$U,11,FALSE))),0,(VLOOKUP($B192&amp;"; "&amp;$H$74&amp;", "&amp;J$75,'FE Déplacements'!$G:$U,12,FALSE)+VLOOKUP($B192&amp;"; "&amp;$H$74&amp;", "&amp;J$75,'FE Déplacements'!$G:$U,11,FALSE)))</f>
        <v>0</v>
      </c>
      <c r="AL192" s="565">
        <f>$G192*IF(ISNA((VLOOKUP($B192&amp;"; "&amp;$H$74&amp;", "&amp;H$75,'FE Déplacements'!$G:$U,12,FALSE)+VLOOKUP($B192&amp;"; "&amp;$H$74&amp;", "&amp;H$75,'FE Déplacements'!$G:$U,11,FALSE))),0,(VLOOKUP($B192&amp;"; "&amp;$H$74&amp;", "&amp;H$75,'FE Déplacements'!$G:$U,12,FALSE)+VLOOKUP($B192&amp;"; "&amp;$H$74&amp;", "&amp;H$75,'FE Déplacements'!$G:$U,11,FALSE)))</f>
        <v>0</v>
      </c>
      <c r="AM192" s="565">
        <f>$G192*IF(ISNA(VLOOKUP($B192&amp;"; "&amp;$H$74&amp;", "&amp;I$75,'FE Déplacements'!$G:$U,13,FALSE)),0,VLOOKUP($B192&amp;"; "&amp;$H$74&amp;", "&amp;I$75,'FE Déplacements'!$G:$U,13,FALSE))</f>
        <v>0</v>
      </c>
      <c r="AN192" s="565">
        <f>$G192*IF(ISNA(VLOOKUP($B192&amp;"; "&amp;$H$74&amp;", "&amp;J$75,'FE Déplacements'!$G:$U,13,FALSE)),0,VLOOKUP($B192&amp;"; "&amp;$H$74&amp;", "&amp;J$75,'FE Déplacements'!$G:$U,13,FALSE))</f>
        <v>0</v>
      </c>
      <c r="AO192" s="565">
        <f>$G192*IF(ISNA(VLOOKUP($B192&amp;"; "&amp;$H$74&amp;", "&amp;H$75,'FE Déplacements'!$G:$U,13,FALSE)),0,VLOOKUP($B192&amp;"; "&amp;$H$74&amp;", "&amp;H$75,'FE Déplacements'!$G:$U,13,FALSE))</f>
        <v>0</v>
      </c>
      <c r="AP192" s="565">
        <v>0</v>
      </c>
      <c r="AQ192" s="565">
        <v>0</v>
      </c>
      <c r="AR192" s="565">
        <v>0</v>
      </c>
      <c r="AS192" s="1288">
        <f t="shared" si="115"/>
        <v>0</v>
      </c>
      <c r="AT192" s="566">
        <f t="shared" si="115"/>
        <v>0</v>
      </c>
      <c r="AU192" s="566">
        <f t="shared" si="115"/>
        <v>0</v>
      </c>
      <c r="AV192" s="564">
        <f>$G192*IF(ISNA(VLOOKUP($B192&amp;"; "&amp;$H$74&amp;", "&amp;I$75,'FE Déplacements'!$G:$U,15,FALSE)),0,VLOOKUP($B192&amp;"; "&amp;$H$74&amp;", "&amp;I$75,'FE Déplacements'!$G:$U,15,FALSE))</f>
        <v>0</v>
      </c>
      <c r="AW192" s="565">
        <f>$G192*IF(ISNA(VLOOKUP($B192&amp;"; "&amp;$H$74&amp;", "&amp;J$75,'FE Déplacements'!$G:$U,15,FALSE)),0,VLOOKUP($B192&amp;"; "&amp;$H$74&amp;", "&amp;J$75,'FE Déplacements'!$G:$U,15,FALSE))</f>
        <v>0</v>
      </c>
      <c r="AX192" s="568">
        <f>$G192*IF(ISNA(VLOOKUP($B192&amp;"; "&amp;$H$74&amp;", "&amp;H$75,'FE Déplacements'!$G:$U,15,FALSE)),0,VLOOKUP($B192&amp;"; "&amp;$H$74&amp;", "&amp;H$75,'FE Déplacements'!$G:$U,15,FALSE))</f>
        <v>0</v>
      </c>
      <c r="BH192" s="2247">
        <f>IF($Y192&lt;&gt;"votre valeur :",IF(ISNA(VLOOKUP($Y192,Utilitaires!$N$566:$O$571,2,FALSE)),,VLOOKUP($Y192,Utilitaires!$N$566:$O$571,2,FALSE)),$Z192)</f>
        <v>0</v>
      </c>
      <c r="BI192" s="2252">
        <f>IF(ISNA(SQRT(SUMSQ(VLOOKUP($B192&amp;"; "&amp;$H$74&amp;", "&amp;$H$75,'FE Déplacements'!$G:$U,7,FALSE),$BH192))),0,SQRT(SUMSQ(VLOOKUP($B192&amp;"; "&amp;$H$74&amp;", "&amp;$H$75,'FE Déplacements'!$G:$U,7,FALSE),$BH192)))</f>
        <v>0.7</v>
      </c>
      <c r="BJ192" s="2252">
        <f>IF(ISNA(SQRT(SUMSQ(VLOOKUP($B192&amp;"; "&amp;$H$74&amp;", "&amp;$I$75,'FE Déplacements'!$G:$U,7,FALSE),$BH192))),0,SQRT(SUMSQ(VLOOKUP($B192&amp;"; "&amp;$H$74&amp;", "&amp;$I$75,'FE Déplacements'!$G:$U,7,FALSE),$BH192)))</f>
        <v>0.7</v>
      </c>
      <c r="BK192" s="1130">
        <f>IF(ISNA(SQRT(SUMSQ(VLOOKUP($B192&amp;"; "&amp;$H$74&amp;", "&amp;$J$75,'FE Déplacements'!$G:$U,7,FALSE),$BH192))),0,SQRT(SUMSQ(VLOOKUP($B192&amp;"; "&amp;$H$74&amp;", "&amp;$J$75,'FE Déplacements'!$G:$U,7,FALSE),$BH192)))</f>
        <v>0.7</v>
      </c>
    </row>
    <row r="193" spans="1:66" ht="12.75" hidden="1" customHeight="1" outlineLevel="2">
      <c r="B193" s="143" t="s">
        <v>4053</v>
      </c>
      <c r="C193" s="144"/>
      <c r="D193" s="212">
        <f t="shared" si="116"/>
        <v>0</v>
      </c>
      <c r="E193" s="212"/>
      <c r="F193" s="347"/>
      <c r="G193" s="123"/>
      <c r="H193" s="410">
        <f>IFERROR(VLOOKUP($B193&amp;"; "&amp;$H$178&amp;", "&amp;$H$179,'FE Déplacements'!$G:$U,9,FALSE),0)</f>
        <v>0</v>
      </c>
      <c r="I193" s="410">
        <f>IF(ISNA(VLOOKUP($B193&amp;"; "&amp;$H$74&amp;", "&amp;$I$75,'FE Déplacements'!$G:$U,9,FALSE)),0,VLOOKUP($B193&amp;"; "&amp;$H$74&amp;", "&amp;$I$75,'FE Déplacements'!$G:$U,9,FALSE))</f>
        <v>5.79E-3</v>
      </c>
      <c r="J193" s="410">
        <f>IF(ISNA(VLOOKUP($B193&amp;"; "&amp;$H$74&amp;", "&amp;$J$75,'FE Déplacements'!$G:$U,9,FALSE)),0,VLOOKUP($B193&amp;"; "&amp;$H$74&amp;", "&amp;$J$75,'FE Déplacements'!$G:$U,9,FALSE))</f>
        <v>2.3699999999999999E-2</v>
      </c>
      <c r="K193" s="356">
        <f t="shared" si="117"/>
        <v>0</v>
      </c>
      <c r="L193" s="151">
        <f t="shared" si="118"/>
        <v>0</v>
      </c>
      <c r="M193" s="151">
        <f t="shared" si="119"/>
        <v>0</v>
      </c>
      <c r="N193" s="1286">
        <f>IF(OR(F193=Utilitaires!$I$572,F193=Utilitaires!$I$577),M193,0)</f>
        <v>0</v>
      </c>
      <c r="W193" s="256"/>
      <c r="X193" s="1092">
        <f t="shared" si="120"/>
        <v>0</v>
      </c>
      <c r="Y193" s="1094"/>
      <c r="Z193" s="820"/>
      <c r="AA193" s="164">
        <f t="shared" si="114"/>
        <v>0</v>
      </c>
      <c r="AB193" s="164">
        <f t="shared" si="114"/>
        <v>0</v>
      </c>
      <c r="AC193" s="164">
        <f>K193*BI193</f>
        <v>0</v>
      </c>
      <c r="AD193" s="151">
        <f t="shared" si="121"/>
        <v>0</v>
      </c>
      <c r="AE193" s="1286">
        <f t="shared" si="122"/>
        <v>0</v>
      </c>
      <c r="AG193" s="564">
        <f>$G193*IF(ISNA(VLOOKUP($B193&amp;"; "&amp;$H$74&amp;", "&amp;I$75,'FE Déplacements'!$G:$U,10,FALSE)),0,VLOOKUP($B193&amp;"; "&amp;$H$74&amp;", "&amp;I$75,'FE Déplacements'!$G:$U,10,FALSE))</f>
        <v>0</v>
      </c>
      <c r="AH193" s="565">
        <f>$G193*IF(ISNA(VLOOKUP($B193&amp;"; "&amp;$H$74&amp;", "&amp;J$75,'FE Déplacements'!$G:$U,10,FALSE)),0,VLOOKUP($B193&amp;"; "&amp;$H$74&amp;", "&amp;J$75,'FE Déplacements'!$G:$U,10,FALSE))</f>
        <v>0</v>
      </c>
      <c r="AI193" s="565">
        <f>$G193*IF(ISNA(VLOOKUP($B193&amp;"; "&amp;$H$74&amp;", "&amp;H$75,'FE Déplacements'!$G:$U,10,FALSE)),0,VLOOKUP($B193&amp;"; "&amp;$H$74&amp;", "&amp;H$75,'FE Déplacements'!$G:$U,10,FALSE))</f>
        <v>0</v>
      </c>
      <c r="AJ193" s="565">
        <f>$G193*IF(ISNA((VLOOKUP($B193&amp;"; "&amp;$H$74&amp;", "&amp;I$75,'FE Déplacements'!$G:$U,12,FALSE)+VLOOKUP($B193&amp;"; "&amp;$H$74&amp;", "&amp;I$75,'FE Déplacements'!$G:$U,11,FALSE))),0,(VLOOKUP($B193&amp;"; "&amp;$H$74&amp;", "&amp;I$75,'FE Déplacements'!$G:$U,12,FALSE)+VLOOKUP($B193&amp;"; "&amp;$H$74&amp;", "&amp;I$75,'FE Déplacements'!$G:$U,11,FALSE)))</f>
        <v>0</v>
      </c>
      <c r="AK193" s="565">
        <f>$G193*IF(ISNA((VLOOKUP($B193&amp;"; "&amp;$H$74&amp;", "&amp;J$75,'FE Déplacements'!$G:$U,12,FALSE)+VLOOKUP($B193&amp;"; "&amp;$H$74&amp;", "&amp;J$75,'FE Déplacements'!$G:$U,11,FALSE))),0,(VLOOKUP($B193&amp;"; "&amp;$H$74&amp;", "&amp;J$75,'FE Déplacements'!$G:$U,12,FALSE)+VLOOKUP($B193&amp;"; "&amp;$H$74&amp;", "&amp;J$75,'FE Déplacements'!$G:$U,11,FALSE)))</f>
        <v>0</v>
      </c>
      <c r="AL193" s="565">
        <f>$G193*IF(ISNA((VLOOKUP($B193&amp;"; "&amp;$H$74&amp;", "&amp;H$75,'FE Déplacements'!$G:$U,12,FALSE)+VLOOKUP($B193&amp;"; "&amp;$H$74&amp;", "&amp;H$75,'FE Déplacements'!$G:$U,11,FALSE))),0,(VLOOKUP($B193&amp;"; "&amp;$H$74&amp;", "&amp;H$75,'FE Déplacements'!$G:$U,12,FALSE)+VLOOKUP($B193&amp;"; "&amp;$H$74&amp;", "&amp;H$75,'FE Déplacements'!$G:$U,11,FALSE)))</f>
        <v>0</v>
      </c>
      <c r="AM193" s="565">
        <f>$G193*IF(ISNA(VLOOKUP($B193&amp;"; "&amp;$H$74&amp;", "&amp;I$75,'FE Déplacements'!$G:$U,13,FALSE)),0,VLOOKUP($B193&amp;"; "&amp;$H$74&amp;", "&amp;I$75,'FE Déplacements'!$G:$U,13,FALSE))</f>
        <v>0</v>
      </c>
      <c r="AN193" s="565">
        <f>$G193*IF(ISNA(VLOOKUP($B193&amp;"; "&amp;$H$74&amp;", "&amp;J$75,'FE Déplacements'!$G:$U,13,FALSE)),0,VLOOKUP($B193&amp;"; "&amp;$H$74&amp;", "&amp;J$75,'FE Déplacements'!$G:$U,13,FALSE))</f>
        <v>0</v>
      </c>
      <c r="AO193" s="565">
        <f>$G193*IF(ISNA(VLOOKUP($B193&amp;"; "&amp;$H$74&amp;", "&amp;H$75,'FE Déplacements'!$G:$U,13,FALSE)),0,VLOOKUP($B193&amp;"; "&amp;$H$74&amp;", "&amp;H$75,'FE Déplacements'!$G:$U,13,FALSE))</f>
        <v>0</v>
      </c>
      <c r="AP193" s="565">
        <v>0</v>
      </c>
      <c r="AQ193" s="565">
        <v>0</v>
      </c>
      <c r="AR193" s="565">
        <v>0</v>
      </c>
      <c r="AS193" s="1288">
        <f t="shared" si="115"/>
        <v>0</v>
      </c>
      <c r="AT193" s="566">
        <f t="shared" si="115"/>
        <v>0</v>
      </c>
      <c r="AU193" s="566">
        <f t="shared" si="115"/>
        <v>0</v>
      </c>
      <c r="AV193" s="564">
        <f>$G193*IF(ISNA(VLOOKUP($B193&amp;"; "&amp;$H$74&amp;", "&amp;I$75,'FE Déplacements'!$G:$U,15,FALSE)),0,VLOOKUP($B193&amp;"; "&amp;$H$74&amp;", "&amp;I$75,'FE Déplacements'!$G:$U,15,FALSE))</f>
        <v>0</v>
      </c>
      <c r="AW193" s="565">
        <f>$G193*IF(ISNA(VLOOKUP($B193&amp;"; "&amp;$H$74&amp;", "&amp;J$75,'FE Déplacements'!$G:$U,15,FALSE)),0,VLOOKUP($B193&amp;"; "&amp;$H$74&amp;", "&amp;J$75,'FE Déplacements'!$G:$U,15,FALSE))</f>
        <v>0</v>
      </c>
      <c r="AX193" s="568">
        <f>$G193*IF(ISNA(VLOOKUP($B193&amp;"; "&amp;$H$74&amp;", "&amp;H$75,'FE Déplacements'!$G:$U,15,FALSE)),0,VLOOKUP($B193&amp;"; "&amp;$H$74&amp;", "&amp;H$75,'FE Déplacements'!$G:$U,15,FALSE))</f>
        <v>0</v>
      </c>
      <c r="BH193" s="2247">
        <f>IF($Y193&lt;&gt;"votre valeur :",IF(ISNA(VLOOKUP($Y193,Utilitaires!$N$566:$O$571,2,FALSE)),,VLOOKUP($Y193,Utilitaires!$N$566:$O$571,2,FALSE)),$Z193)</f>
        <v>0</v>
      </c>
      <c r="BI193" s="2252">
        <f>IF(ISNA(SQRT(SUMSQ(VLOOKUP($B193&amp;"; "&amp;$H$74&amp;", "&amp;$H$75,'FE Déplacements'!$G:$U,7,FALSE),$BH193))),0,SQRT(SUMSQ(VLOOKUP($B193&amp;"; "&amp;$H$74&amp;", "&amp;$H$75,'FE Déplacements'!$G:$U,7,FALSE),$BH193)))</f>
        <v>0</v>
      </c>
      <c r="BJ193" s="2252">
        <f>IF(ISNA(SQRT(SUMSQ(VLOOKUP($B193&amp;"; "&amp;$H$74&amp;", "&amp;$I$75,'FE Déplacements'!$G:$U,7,FALSE),$BH193))),0,SQRT(SUMSQ(VLOOKUP($B193&amp;"; "&amp;$H$74&amp;", "&amp;$I$75,'FE Déplacements'!$G:$U,7,FALSE),$BH193)))</f>
        <v>0.6</v>
      </c>
      <c r="BK193" s="1130">
        <f>IF(ISNA(SQRT(SUMSQ(VLOOKUP($B193&amp;"; "&amp;$H$74&amp;", "&amp;$J$75,'FE Déplacements'!$G:$U,7,FALSE),$BH193))),0,SQRT(SUMSQ(VLOOKUP($B193&amp;"; "&amp;$H$74&amp;", "&amp;$J$75,'FE Déplacements'!$G:$U,7,FALSE),$BH193)))</f>
        <v>0.6</v>
      </c>
    </row>
    <row r="194" spans="1:66" ht="12.75" hidden="1" customHeight="1" outlineLevel="2">
      <c r="B194" s="143"/>
      <c r="C194" s="144"/>
      <c r="D194" s="221"/>
      <c r="E194" s="221"/>
      <c r="F194" s="144"/>
      <c r="G194" s="144"/>
      <c r="H194" s="1267"/>
      <c r="I194" s="410"/>
      <c r="J194" s="144"/>
      <c r="K194" s="144"/>
      <c r="L194" s="164"/>
      <c r="M194" s="221"/>
      <c r="N194" s="1336"/>
      <c r="W194" s="256"/>
      <c r="X194" s="143"/>
      <c r="Y194" s="164"/>
      <c r="Z194" s="144"/>
      <c r="AA194" s="144"/>
      <c r="AB194" s="144"/>
      <c r="AC194" s="144"/>
      <c r="AD194" s="151"/>
      <c r="AE194" s="1287"/>
      <c r="AG194" s="564"/>
      <c r="AH194" s="565"/>
      <c r="AI194" s="565"/>
      <c r="AJ194" s="565"/>
      <c r="AK194" s="565"/>
      <c r="AL194" s="565"/>
      <c r="AM194" s="565"/>
      <c r="AN194" s="565"/>
      <c r="AO194" s="565"/>
      <c r="AP194" s="565"/>
      <c r="AQ194" s="565"/>
      <c r="AR194" s="565"/>
      <c r="AS194" s="1288"/>
      <c r="AT194" s="566"/>
      <c r="AU194" s="565"/>
      <c r="AV194" s="564"/>
      <c r="AW194" s="565"/>
      <c r="AX194" s="568"/>
      <c r="BH194" s="2248"/>
      <c r="BI194" s="1075"/>
      <c r="BJ194" s="1075"/>
      <c r="BK194" s="1131"/>
    </row>
    <row r="195" spans="1:66" ht="12.75" hidden="1" customHeight="1" outlineLevel="2">
      <c r="B195" s="1264" t="s">
        <v>348</v>
      </c>
      <c r="C195" s="197"/>
      <c r="D195" s="214">
        <f>SUM(D191:D194)</f>
        <v>0</v>
      </c>
      <c r="E195" s="214"/>
      <c r="F195" s="197"/>
      <c r="G195" s="197"/>
      <c r="H195" s="197"/>
      <c r="I195" s="197"/>
      <c r="J195" s="197"/>
      <c r="K195" s="202">
        <f>SUM(K191:K194)</f>
        <v>0</v>
      </c>
      <c r="L195" s="202">
        <f>SUM(L191:L194)</f>
        <v>0</v>
      </c>
      <c r="M195" s="202">
        <f>SUM(M191:M194)</f>
        <v>0</v>
      </c>
      <c r="N195" s="1311">
        <f>SUM(N191:N194)</f>
        <v>0</v>
      </c>
      <c r="W195" s="256"/>
      <c r="X195" s="1204">
        <f>IF(AD195=0,AD195,AD195/D195)</f>
        <v>0</v>
      </c>
      <c r="Y195" s="203"/>
      <c r="Z195" s="203"/>
      <c r="AA195" s="203">
        <f>SQRT(SUMSQ(AA190:AA194))</f>
        <v>0</v>
      </c>
      <c r="AB195" s="203">
        <f>SQRT(SUMSQ(AB190:AB194))</f>
        <v>0</v>
      </c>
      <c r="AC195" s="203">
        <f>SQRT(SUMSQ(AC190:AC194))</f>
        <v>0</v>
      </c>
      <c r="AD195" s="202">
        <f>SQRT(SUMSQ(AD190:AD194))</f>
        <v>0</v>
      </c>
      <c r="AE195" s="1311">
        <f>SQRT(SUMSQ(AE190:AE194))</f>
        <v>0</v>
      </c>
      <c r="AG195" s="1082">
        <f t="shared" ref="AG195:AX195" si="123">SUM(AG191:AG194)</f>
        <v>0</v>
      </c>
      <c r="AH195" s="572">
        <f t="shared" si="123"/>
        <v>0</v>
      </c>
      <c r="AI195" s="572">
        <f t="shared" si="123"/>
        <v>0</v>
      </c>
      <c r="AJ195" s="572">
        <f t="shared" si="123"/>
        <v>0</v>
      </c>
      <c r="AK195" s="572">
        <f t="shared" si="123"/>
        <v>0</v>
      </c>
      <c r="AL195" s="572">
        <f t="shared" si="123"/>
        <v>0</v>
      </c>
      <c r="AM195" s="572">
        <f t="shared" si="123"/>
        <v>0</v>
      </c>
      <c r="AN195" s="572">
        <f t="shared" si="123"/>
        <v>0</v>
      </c>
      <c r="AO195" s="572">
        <f t="shared" si="123"/>
        <v>0</v>
      </c>
      <c r="AP195" s="572">
        <f t="shared" si="123"/>
        <v>0</v>
      </c>
      <c r="AQ195" s="572">
        <f t="shared" si="123"/>
        <v>0</v>
      </c>
      <c r="AR195" s="572">
        <f t="shared" si="123"/>
        <v>0</v>
      </c>
      <c r="AS195" s="1290">
        <f t="shared" si="123"/>
        <v>0</v>
      </c>
      <c r="AT195" s="573">
        <f t="shared" si="123"/>
        <v>0</v>
      </c>
      <c r="AU195" s="573">
        <f t="shared" si="123"/>
        <v>0</v>
      </c>
      <c r="AV195" s="1082">
        <f t="shared" si="123"/>
        <v>0</v>
      </c>
      <c r="AW195" s="572">
        <f t="shared" si="123"/>
        <v>0</v>
      </c>
      <c r="AX195" s="575">
        <f t="shared" si="123"/>
        <v>0</v>
      </c>
    </row>
    <row r="196" spans="1:66" s="256" customFormat="1" ht="12.75" hidden="1" customHeight="1" outlineLevel="2">
      <c r="D196" s="2131"/>
      <c r="E196" s="2131"/>
      <c r="G196" s="257"/>
      <c r="H196" s="2289"/>
      <c r="I196" s="2289"/>
      <c r="J196" s="2289"/>
      <c r="K196" s="2290"/>
      <c r="L196" s="2290"/>
      <c r="M196" s="1458"/>
      <c r="N196" s="257"/>
      <c r="X196" s="2293"/>
      <c r="Y196" s="2291"/>
      <c r="Z196" s="2291"/>
      <c r="AA196" s="257"/>
      <c r="AB196" s="257"/>
      <c r="AC196" s="257"/>
      <c r="AD196" s="1458"/>
      <c r="AE196" s="257"/>
      <c r="AG196" s="2292"/>
      <c r="AH196" s="2292"/>
      <c r="AI196" s="2292"/>
      <c r="AJ196" s="2292"/>
      <c r="AK196" s="2292"/>
      <c r="AL196" s="2292"/>
      <c r="AM196" s="2292"/>
      <c r="AN196" s="2292"/>
      <c r="AO196" s="2292"/>
      <c r="AP196" s="2292"/>
      <c r="AQ196" s="2292"/>
      <c r="AR196" s="2292"/>
      <c r="AS196" s="2288"/>
      <c r="AT196" s="2288"/>
      <c r="AU196" s="2288"/>
      <c r="AV196" s="2292"/>
      <c r="AW196" s="2292"/>
      <c r="AX196" s="2292"/>
      <c r="AZ196" s="2127"/>
      <c r="BA196" s="2128"/>
      <c r="BB196" s="2128"/>
      <c r="BC196" s="2128"/>
    </row>
    <row r="197" spans="1:66" ht="12.75" hidden="1" customHeight="1" outlineLevel="2">
      <c r="B197" s="1091" t="s">
        <v>4762</v>
      </c>
      <c r="C197" s="140"/>
      <c r="D197" s="140"/>
      <c r="E197" s="140"/>
      <c r="F197" s="140"/>
      <c r="G197" s="141"/>
      <c r="H197" s="140"/>
      <c r="I197" s="140"/>
      <c r="J197" s="140"/>
      <c r="K197" s="141"/>
      <c r="L197" s="140"/>
      <c r="M197" s="140"/>
      <c r="N197" s="140"/>
      <c r="O197" s="141"/>
      <c r="P197" s="141"/>
      <c r="Q197" s="141"/>
      <c r="R197" s="142"/>
      <c r="X197" s="2636" t="s">
        <v>366</v>
      </c>
      <c r="Y197" s="2637"/>
      <c r="Z197" s="2637"/>
      <c r="AA197" s="2637"/>
      <c r="AB197" s="2637"/>
      <c r="AC197" s="2637"/>
      <c r="AD197" s="2638"/>
      <c r="AE197" s="1773"/>
      <c r="AG197" s="2639" t="s">
        <v>441</v>
      </c>
      <c r="AH197" s="2640"/>
      <c r="AI197" s="2640"/>
      <c r="AJ197" s="2640"/>
      <c r="AK197" s="2640"/>
      <c r="AL197" s="2640"/>
      <c r="AM197" s="2640"/>
      <c r="AN197" s="2640"/>
      <c r="AO197" s="2640"/>
      <c r="AP197" s="2640"/>
      <c r="AQ197" s="2640"/>
      <c r="AR197" s="2640"/>
      <c r="AS197" s="2640"/>
      <c r="AT197" s="2640"/>
      <c r="AU197" s="2640"/>
      <c r="AV197" s="2640"/>
      <c r="AW197" s="2640"/>
      <c r="AX197" s="2641"/>
    </row>
    <row r="198" spans="1:66" ht="12.75" hidden="1" customHeight="1" outlineLevel="2">
      <c r="B198" s="332"/>
      <c r="C198" s="167"/>
      <c r="D198" s="2251" t="s">
        <v>308</v>
      </c>
      <c r="E198" s="2251"/>
      <c r="F198" s="144"/>
      <c r="G198" s="144"/>
      <c r="H198" s="167"/>
      <c r="I198" s="167"/>
      <c r="J198" s="167"/>
      <c r="K198" s="144"/>
      <c r="L198" s="167"/>
      <c r="M198" s="167"/>
      <c r="N198" s="167"/>
      <c r="O198" s="144"/>
      <c r="P198" s="2628" t="s">
        <v>233</v>
      </c>
      <c r="Q198" s="2628"/>
      <c r="R198" s="2256" t="s">
        <v>275</v>
      </c>
      <c r="X198" s="2245"/>
      <c r="Y198" s="2243"/>
      <c r="Z198" s="2243"/>
      <c r="AA198" s="2243"/>
      <c r="AB198" s="2243"/>
      <c r="AC198" s="2243"/>
      <c r="AD198" s="2256"/>
      <c r="AE198" s="2249" t="s">
        <v>275</v>
      </c>
      <c r="AG198" s="2642" t="s">
        <v>444</v>
      </c>
      <c r="AH198" s="2643"/>
      <c r="AI198" s="2643"/>
      <c r="AJ198" s="2643"/>
      <c r="AK198" s="2643"/>
      <c r="AL198" s="2643"/>
      <c r="AM198" s="2643"/>
      <c r="AN198" s="2643"/>
      <c r="AO198" s="2643"/>
      <c r="AP198" s="2643"/>
      <c r="AQ198" s="2643"/>
      <c r="AR198" s="2644"/>
      <c r="AS198" s="2642" t="s">
        <v>444</v>
      </c>
      <c r="AT198" s="2643"/>
      <c r="AU198" s="2644"/>
      <c r="AV198" s="1288"/>
      <c r="AW198" s="566"/>
      <c r="AX198" s="2261"/>
      <c r="BH198" s="2616" t="s">
        <v>1648</v>
      </c>
      <c r="BI198" s="2617"/>
      <c r="BJ198" s="2617"/>
      <c r="BK198" s="2617"/>
      <c r="BL198" s="2617"/>
      <c r="BM198" s="2617"/>
      <c r="BN198" s="2618"/>
    </row>
    <row r="199" spans="1:66" ht="12.75" hidden="1" customHeight="1" outlineLevel="2">
      <c r="B199" s="143"/>
      <c r="C199" s="144"/>
      <c r="D199" s="2243" t="s">
        <v>409</v>
      </c>
      <c r="E199" s="2243"/>
      <c r="F199" s="2249" t="s">
        <v>452</v>
      </c>
      <c r="G199" s="2249"/>
      <c r="H199" s="2626" t="s">
        <v>2222</v>
      </c>
      <c r="I199" s="2628"/>
      <c r="J199" s="2627"/>
      <c r="K199" s="2249"/>
      <c r="L199" s="2626" t="s">
        <v>4120</v>
      </c>
      <c r="M199" s="2628"/>
      <c r="N199" s="2628"/>
      <c r="O199" s="2251" t="s">
        <v>444</v>
      </c>
      <c r="P199" s="2251" t="s">
        <v>444</v>
      </c>
      <c r="Q199" s="2251" t="s">
        <v>444</v>
      </c>
      <c r="R199" s="2256" t="s">
        <v>276</v>
      </c>
      <c r="X199" s="2245" t="s">
        <v>316</v>
      </c>
      <c r="Y199" s="2629" t="s">
        <v>316</v>
      </c>
      <c r="Z199" s="2630"/>
      <c r="AA199" s="2243" t="s">
        <v>444</v>
      </c>
      <c r="AB199" s="2243" t="s">
        <v>444</v>
      </c>
      <c r="AC199" s="2243" t="s">
        <v>444</v>
      </c>
      <c r="AD199" s="2254" t="s">
        <v>444</v>
      </c>
      <c r="AE199" s="153" t="s">
        <v>276</v>
      </c>
      <c r="AG199" s="2631" t="s">
        <v>211</v>
      </c>
      <c r="AH199" s="2632"/>
      <c r="AI199" s="2632"/>
      <c r="AJ199" s="2632" t="s">
        <v>442</v>
      </c>
      <c r="AK199" s="2632"/>
      <c r="AL199" s="2632"/>
      <c r="AM199" s="2632" t="s">
        <v>267</v>
      </c>
      <c r="AN199" s="2632"/>
      <c r="AO199" s="2632"/>
      <c r="AP199" s="2632" t="s">
        <v>443</v>
      </c>
      <c r="AQ199" s="2632"/>
      <c r="AR199" s="2650"/>
      <c r="AS199" s="2848" t="s">
        <v>327</v>
      </c>
      <c r="AT199" s="2648"/>
      <c r="AU199" s="2649"/>
      <c r="AV199" s="2631" t="s">
        <v>636</v>
      </c>
      <c r="AW199" s="2632"/>
      <c r="AX199" s="568"/>
      <c r="BH199" s="2837" t="s">
        <v>1646</v>
      </c>
      <c r="BI199" s="2833" t="s">
        <v>2222</v>
      </c>
      <c r="BJ199" s="2834"/>
      <c r="BK199" s="2835"/>
      <c r="BL199" s="2833" t="s">
        <v>2223</v>
      </c>
      <c r="BM199" s="2834"/>
      <c r="BN199" s="2835"/>
    </row>
    <row r="200" spans="1:66" ht="12.75" hidden="1" customHeight="1" outlineLevel="2">
      <c r="B200" s="143"/>
      <c r="C200" s="144"/>
      <c r="D200" s="2243" t="s">
        <v>444</v>
      </c>
      <c r="E200" s="2243"/>
      <c r="F200" s="2250" t="s">
        <v>445</v>
      </c>
      <c r="G200" s="153" t="s">
        <v>38</v>
      </c>
      <c r="H200" s="1662" t="s">
        <v>422</v>
      </c>
      <c r="I200" s="1662" t="s">
        <v>411</v>
      </c>
      <c r="J200" s="1662" t="s">
        <v>257</v>
      </c>
      <c r="K200" s="2250" t="s">
        <v>896</v>
      </c>
      <c r="L200" s="1662" t="s">
        <v>422</v>
      </c>
      <c r="M200" s="1662" t="s">
        <v>411</v>
      </c>
      <c r="N200" s="1662" t="s">
        <v>257</v>
      </c>
      <c r="O200" s="2244" t="s">
        <v>422</v>
      </c>
      <c r="P200" s="2244" t="s">
        <v>411</v>
      </c>
      <c r="Q200" s="2244" t="s">
        <v>257</v>
      </c>
      <c r="R200" s="2256" t="s">
        <v>444</v>
      </c>
      <c r="X200" s="2245" t="s">
        <v>1649</v>
      </c>
      <c r="Y200" s="2646" t="s">
        <v>1650</v>
      </c>
      <c r="Z200" s="2647"/>
      <c r="AA200" s="1662" t="s">
        <v>411</v>
      </c>
      <c r="AB200" s="1662" t="s">
        <v>257</v>
      </c>
      <c r="AC200" s="1662" t="s">
        <v>422</v>
      </c>
      <c r="AD200" s="162" t="s">
        <v>327</v>
      </c>
      <c r="AE200" s="153" t="s">
        <v>444</v>
      </c>
      <c r="AG200" s="2259" t="s">
        <v>411</v>
      </c>
      <c r="AH200" s="2260" t="s">
        <v>257</v>
      </c>
      <c r="AI200" s="2260" t="s">
        <v>422</v>
      </c>
      <c r="AJ200" s="2260" t="s">
        <v>411</v>
      </c>
      <c r="AK200" s="2260" t="s">
        <v>257</v>
      </c>
      <c r="AL200" s="2260" t="s">
        <v>422</v>
      </c>
      <c r="AM200" s="2260" t="s">
        <v>411</v>
      </c>
      <c r="AN200" s="2260" t="s">
        <v>257</v>
      </c>
      <c r="AO200" s="2260" t="s">
        <v>422</v>
      </c>
      <c r="AP200" s="2260" t="s">
        <v>411</v>
      </c>
      <c r="AQ200" s="2260" t="s">
        <v>257</v>
      </c>
      <c r="AR200" s="2260" t="s">
        <v>422</v>
      </c>
      <c r="AS200" s="1289" t="s">
        <v>411</v>
      </c>
      <c r="AT200" s="581" t="s">
        <v>257</v>
      </c>
      <c r="AU200" s="581" t="s">
        <v>422</v>
      </c>
      <c r="AV200" s="2259" t="s">
        <v>411</v>
      </c>
      <c r="AW200" s="2260" t="s">
        <v>257</v>
      </c>
      <c r="AX200" s="2261" t="s">
        <v>422</v>
      </c>
      <c r="BH200" s="2838"/>
      <c r="BI200" s="2258" t="s">
        <v>422</v>
      </c>
      <c r="BJ200" s="2257" t="s">
        <v>411</v>
      </c>
      <c r="BK200" s="2257" t="s">
        <v>257</v>
      </c>
      <c r="BL200" s="2258" t="s">
        <v>422</v>
      </c>
      <c r="BM200" s="2257" t="s">
        <v>411</v>
      </c>
      <c r="BN200" s="2257" t="s">
        <v>257</v>
      </c>
    </row>
    <row r="201" spans="1:66" ht="12.75" hidden="1" customHeight="1" outlineLevel="2">
      <c r="B201" s="358" t="s">
        <v>4121</v>
      </c>
      <c r="C201" s="359"/>
      <c r="D201" s="212">
        <f>SUM(O201:Q201)</f>
        <v>0</v>
      </c>
      <c r="E201" s="212"/>
      <c r="F201" s="409"/>
      <c r="G201" s="117"/>
      <c r="H201" s="410">
        <f>IF(ISNA(VLOOKUP($B201&amp;"; "&amp;$H$94&amp;" "&amp;H$95,'FE Déplacements'!$G:$U,9,FALSE)),0,VLOOKUP($B201&amp;"; "&amp;$H$94&amp;" "&amp;H$95,'FE Déplacements'!$G:$U,9,FALSE))</f>
        <v>0</v>
      </c>
      <c r="I201" s="410">
        <f>IF(ISNA(VLOOKUP($B201&amp;"; "&amp;$H$94&amp;" "&amp;I$95,'FE Déplacements'!$G:$U,9,FALSE)),0,VLOOKUP($B201&amp;"; "&amp;$H$94&amp;" "&amp;I$95,'FE Déplacements'!$G:$U,9,FALSE))</f>
        <v>0</v>
      </c>
      <c r="J201" s="410">
        <f>IF(ISNA(VLOOKUP($B201&amp;"; "&amp;$H$94&amp;" "&amp;J$95,'FE Déplacements'!$G:$U,9,FALSE)),0,VLOOKUP($B201&amp;"; "&amp;$H$94&amp;" "&amp;J$95,'FE Déplacements'!$G:$U,9,FALSE))</f>
        <v>0</v>
      </c>
      <c r="K201" s="117"/>
      <c r="L201" s="410">
        <f>IFERROR(VLOOKUP($B201&amp;"; "&amp;$L$199&amp;" "&amp;L$200,'FE Déplacements'!$G:$U,9,FALSE),0)</f>
        <v>0</v>
      </c>
      <c r="M201" s="410">
        <f>IFERROR(VLOOKUP($B201&amp;"; "&amp;$L$199&amp;" "&amp;M$200,'FE Déplacements'!$G:$U,9,FALSE),0)</f>
        <v>0.95899999999999996</v>
      </c>
      <c r="N201" s="410">
        <f>IFERROR(VLOOKUP($B201&amp;"; "&amp;$L$199&amp;" "&amp;N$200,'FE Déplacements'!$G:$U,9,FALSE),0)</f>
        <v>6.2500000000000003E-3</v>
      </c>
      <c r="O201" s="356">
        <f>H201*G201+K201*L201</f>
        <v>0</v>
      </c>
      <c r="P201" s="356">
        <f>I201*G201+K201*M201</f>
        <v>0</v>
      </c>
      <c r="Q201" s="151">
        <f>G201*J201+K201*N201</f>
        <v>0</v>
      </c>
      <c r="R201" s="165">
        <f>IF(OR(F201=Utilitaires!$G$572,F201=Utilitaires!$G$577),Q201,0)</f>
        <v>0</v>
      </c>
      <c r="X201" s="1092">
        <f>IF(AD201=0,AD201,AD201/D201)</f>
        <v>0</v>
      </c>
      <c r="Y201" s="343"/>
      <c r="Z201" s="820"/>
      <c r="AA201" s="164">
        <f>SQRT(SUMSQ($G201*I201*BJ201,BM201*$K201*M201))</f>
        <v>0</v>
      </c>
      <c r="AB201" s="164">
        <f>SQRT(SUMSQ($G201*J201*BK201,BN201*$K201*N201))</f>
        <v>0</v>
      </c>
      <c r="AC201" s="164">
        <f>SQRT(SUMSQ($G201*H201*BI201,BL201*$K201*L201))</f>
        <v>0</v>
      </c>
      <c r="AD201" s="152">
        <f>SQRT(SUMSQ(AA201:AC201))</f>
        <v>0</v>
      </c>
      <c r="AE201" s="1286">
        <f>R201*X201</f>
        <v>0</v>
      </c>
      <c r="AG201" s="564">
        <f>$G201*IF(ISNA(VLOOKUP($B201&amp;"; "&amp;$H$94&amp;" "&amp;I$95,'FE Déplacements'!$G:$U,10,FALSE)),0,VLOOKUP($B201&amp;"; "&amp;$H$94&amp;" "&amp;I$95,'FE Déplacements'!$G:$U,10,FALSE))
+$K201*IF(ISNA(VLOOKUP($B201&amp;"; "&amp;$L$94&amp;" "&amp;M$95,'FE Déplacements'!$G:$U,10,FALSE)),0,VLOOKUP($B201&amp;"; "&amp;$L$94&amp;" "&amp;M$95,'FE Déplacements'!$G:$U,10,FALSE))</f>
        <v>0</v>
      </c>
      <c r="AH201" s="565">
        <f>$G201*IF(ISNA(VLOOKUP($B201&amp;"; "&amp;$H$94&amp;" "&amp;J$95,'FE Déplacements'!$G:$U,10,FALSE)),0,VLOOKUP($B201&amp;"; "&amp;$H$94&amp;" "&amp;J$95,'FE Déplacements'!$G:$U,10,FALSE))
+$K201*IF(ISNA(VLOOKUP($B201&amp;"; "&amp;$L$94&amp;" "&amp;N$95,'FE Déplacements'!$G:$U,10,FALSE)),0,VLOOKUP($B201&amp;"; "&amp;$L$94&amp;" "&amp;N$95,'FE Déplacements'!$G:$U,10,FALSE))</f>
        <v>0</v>
      </c>
      <c r="AI201" s="565">
        <f>$G201*IF(ISNA(VLOOKUP($B201&amp;"; "&amp;$H$94&amp;" "&amp;H$95,'FE Déplacements'!$G:$U,10,FALSE)),0,VLOOKUP($B201&amp;"; "&amp;$H$94&amp;" "&amp;H$95,'FE Déplacements'!$G:$U,10,FALSE))
+$K201*IF(ISNA(VLOOKUP($B201&amp;"; "&amp;$L$94&amp;" "&amp;L$95,'FE Déplacements'!$G:$U,10,FALSE)),0,VLOOKUP($B201&amp;"; "&amp;$L$94&amp;" "&amp;L$95,'FE Déplacements'!$G:$U,10,FALSE))</f>
        <v>0</v>
      </c>
      <c r="AJ201" s="565">
        <f>$G201*IF(ISNA((VLOOKUP($B201&amp;"; "&amp;$H$94&amp;" "&amp;I$95,'FE Déplacements'!$G:$U,12,FALSE)+VLOOKUP($B201&amp;"; "&amp;$H$94&amp;" "&amp;I$95,'FE Déplacements'!$G:$U,11,FALSE))),0,(VLOOKUP($B201&amp;"; "&amp;$H$94&amp;" "&amp;I$95,'FE Déplacements'!$G:$U,12,FALSE)+VLOOKUP($B201&amp;"; "&amp;$H$94&amp;" "&amp;I$95,'FE Déplacements'!$G:$U,11,FALSE)))
+$K201*IF(ISNA((VLOOKUP($B201&amp;"; "&amp;$L$94&amp;" "&amp;M$95,'FE Déplacements'!$G:$U,12,FALSE)+VLOOKUP($B201&amp;"; "&amp;$L$94&amp;" "&amp;M$95,'FE Déplacements'!$G:$U,11,FALSE))),0,(VLOOKUP($B201&amp;"; "&amp;$L$94&amp;" "&amp;M$95,'FE Déplacements'!$G:$U,12,FALSE)+VLOOKUP($B201&amp;"; "&amp;$L$94&amp;" "&amp;M$95,'FE Déplacements'!$G:$U,11,FALSE)))</f>
        <v>0</v>
      </c>
      <c r="AK201" s="565">
        <f>$G201*IF(ISNA((VLOOKUP($B201&amp;"; "&amp;$H$94&amp;" "&amp;J$95,'FE Déplacements'!$G:$U,12,FALSE)+VLOOKUP($B201&amp;"; "&amp;$H$94&amp;" "&amp;J$95,'FE Déplacements'!$G:$U,11,FALSE))),0,(VLOOKUP($B201&amp;"; "&amp;$H$94&amp;" "&amp;J$95,'FE Déplacements'!$G:$U,12,FALSE)+VLOOKUP($B201&amp;"; "&amp;$H$94&amp;" "&amp;J$95,'FE Déplacements'!$G:$U,11,FALSE)))
+$K201*IF(ISNA((VLOOKUP($B201&amp;"; "&amp;$L$94&amp;" "&amp;N$95,'FE Déplacements'!$G:$U,12,FALSE)+VLOOKUP($B201&amp;"; "&amp;$L$94&amp;" "&amp;N$95,'FE Déplacements'!$G:$U,11,FALSE))),0,(VLOOKUP($B201&amp;"; "&amp;$L$94&amp;" "&amp;N$95,'FE Déplacements'!$G:$U,12,FALSE)+VLOOKUP($B201&amp;"; "&amp;$L$94&amp;" "&amp;N$95,'FE Déplacements'!$G:$U,11,FALSE)))</f>
        <v>0</v>
      </c>
      <c r="AL201" s="565">
        <f>$G201*IF(ISNA((VLOOKUP($B201&amp;"; "&amp;$H$94&amp;" "&amp;H$95,'FE Déplacements'!$G:$U,12,FALSE)+VLOOKUP($B201&amp;"; "&amp;$H$94&amp;" "&amp;H$95,'FE Déplacements'!$G:$U,11,FALSE))),0,(VLOOKUP($B201&amp;"; "&amp;$H$94&amp;" "&amp;H$95,'FE Déplacements'!$G:$U,12,FALSE)+VLOOKUP($B201&amp;"; "&amp;$H$94&amp;" "&amp;H$95,'FE Déplacements'!$G:$U,11,FALSE)))
+$K201*IF(ISNA((VLOOKUP($B201&amp;"; "&amp;$L$94&amp;" "&amp;L$95,'FE Déplacements'!$G:$U,12,FALSE)+VLOOKUP($B201&amp;"; "&amp;$L$94&amp;" "&amp;L$95,'FE Déplacements'!$G:$U,11,FALSE))),0,(VLOOKUP($B201&amp;"; "&amp;$L$94&amp;" "&amp;L$95,'FE Déplacements'!$G:$U,12,FALSE)+VLOOKUP($B201&amp;"; "&amp;$L$94&amp;" "&amp;L$95,'FE Déplacements'!$G:$U,11,FALSE)))</f>
        <v>0</v>
      </c>
      <c r="AM201" s="565">
        <f>$G201*IF(ISNA(VLOOKUP($B201&amp;"; "&amp;$H$94&amp;" "&amp;I$95,'FE Déplacements'!$G:$U,13,FALSE)),0,VLOOKUP($B201&amp;"; "&amp;$H$94&amp;" "&amp;I$95,'FE Déplacements'!$G:$U,13,FALSE))
+$K201*IF(ISNA(VLOOKUP($B201&amp;"; "&amp;$L$94&amp;" "&amp;M$95,'FE Déplacements'!$G:$U,13,FALSE)),0,VLOOKUP($B201&amp;"; "&amp;$L$94&amp;" "&amp;M$95,'FE Déplacements'!$G:$U,13,FALSE))</f>
        <v>0</v>
      </c>
      <c r="AN201" s="565">
        <f>$G201*IF(ISNA(VLOOKUP($B201&amp;"; "&amp;$H$94&amp;" "&amp;J$95,'FE Déplacements'!$G:$U,13,FALSE)),0,VLOOKUP($B201&amp;"; "&amp;$H$94&amp;" "&amp;J$95,'FE Déplacements'!$G:$U,13,FALSE))
+$K201*IF(ISNA(VLOOKUP($B201&amp;"; "&amp;$L$94&amp;" "&amp;N$95,'FE Déplacements'!$G:$U,13,FALSE)),0,VLOOKUP($B201&amp;"; "&amp;$L$94&amp;" "&amp;N$95,'FE Déplacements'!$G:$U,13,FALSE))</f>
        <v>0</v>
      </c>
      <c r="AO201" s="565">
        <f>$G201*IF(ISNA(VLOOKUP($B201&amp;"; "&amp;$H$94&amp;" "&amp;H$95,'FE Déplacements'!$G:$U,13,FALSE)),0,VLOOKUP($B201&amp;"; "&amp;$H$94&amp;" "&amp;H$95,'FE Déplacements'!$G:$U,13,FALSE))
+$K201*IF(ISNA(VLOOKUP($B201&amp;"; "&amp;$L$94&amp;" "&amp;L$95,'FE Déplacements'!$G:$U,13,FALSE)),0,VLOOKUP($B201&amp;"; "&amp;$L$94&amp;" "&amp;L$95,'FE Déplacements'!$G:$U,13,FALSE))</f>
        <v>0</v>
      </c>
      <c r="AP201" s="565">
        <v>0</v>
      </c>
      <c r="AQ201" s="565">
        <v>0</v>
      </c>
      <c r="AR201" s="565">
        <v>0</v>
      </c>
      <c r="AS201" s="1288">
        <f t="shared" ref="AS201:AU202" si="124">SUM(AG201,AJ201,AM201,AP201)</f>
        <v>0</v>
      </c>
      <c r="AT201" s="566">
        <f t="shared" si="124"/>
        <v>0</v>
      </c>
      <c r="AU201" s="566">
        <f t="shared" si="124"/>
        <v>0</v>
      </c>
      <c r="AV201" s="564">
        <f>$G201*IF(ISNA(VLOOKUP($B201&amp;"; "&amp;$H$94&amp;" "&amp;I$95,'FE Déplacements'!$G:$U,15,FALSE)),0,VLOOKUP($B201&amp;"; "&amp;$H$94&amp;" "&amp;I$95,'FE Déplacements'!$G:$U,15,FALSE))
+$K201*IF(ISNA(VLOOKUP($B201&amp;"; "&amp;$L$94&amp;" "&amp;M$95,'FE Déplacements'!$G:$U,15,FALSE)),0,VLOOKUP($B201&amp;"; "&amp;$L$94&amp;" "&amp;M$95,'FE Déplacements'!$G:$U,15,FALSE))</f>
        <v>0</v>
      </c>
      <c r="AW201" s="565">
        <f>$G201*IF(ISNA(VLOOKUP($B201&amp;"; "&amp;$H$94&amp;" "&amp;J$95,'FE Déplacements'!$G:$U,15,FALSE)),0,VLOOKUP($B201&amp;"; "&amp;$H$94&amp;" "&amp;J$95,'FE Déplacements'!$G:$U,15,FALSE))
+$K201*IF(ISNA(VLOOKUP($B201&amp;"; "&amp;$L$94&amp;" "&amp;N$95,'FE Déplacements'!$G:$U,15,FALSE)),0,VLOOKUP($B201&amp;"; "&amp;$L$94&amp;" "&amp;N$95,'FE Déplacements'!$G:$U,15,FALSE))</f>
        <v>0</v>
      </c>
      <c r="AX201" s="568">
        <f>$G201*IF(ISNA(VLOOKUP($B201&amp;"; "&amp;$H$94&amp;" "&amp;H$95,'FE Déplacements'!$G:$U,15,FALSE)),0,VLOOKUP($B201&amp;"; "&amp;$H$94&amp;" "&amp;H$95,'FE Déplacements'!$G:$U,15,FALSE))
+$K201*IF(ISNA(VLOOKUP($B201&amp;"; "&amp;$L$94&amp;" "&amp;L$95,'FE Déplacements'!$G:$U,15,FALSE)),0,VLOOKUP($B201&amp;"; "&amp;$L$94&amp;" "&amp;L$95,'FE Déplacements'!$G:$U,15,FALSE))</f>
        <v>0</v>
      </c>
      <c r="BH201" s="2247">
        <f>IF($Y201&lt;&gt;"votre valeur :",IF(ISNA(VLOOKUP($Y201,Utilitaires!$N$566:$O$571,2,FALSE)),,VLOOKUP($Y201,Utilitaires!$N$566:$O$571,2,FALSE)),$Z201)</f>
        <v>0</v>
      </c>
      <c r="BI201" s="2252">
        <f>IF(ISNA(SQRT(SUMSQ(VLOOKUP($B201&amp;"; "&amp;$H$94&amp;" "&amp;H$95,'FE Déplacements'!$G:$U,7,FALSE),$BH201))),0,SQRT(SUMSQ(VLOOKUP($B201&amp;"; "&amp;$H$94&amp;" "&amp;H$95,'FE Déplacements'!$G:$U,7,FALSE),$BH201)))</f>
        <v>0</v>
      </c>
      <c r="BJ201" s="2252">
        <f>IF(ISNA(SQRT(SUMSQ(VLOOKUP($B201&amp;"; "&amp;$H$94&amp;" "&amp;I$95,'FE Déplacements'!$G:$U,7,FALSE),$BH201))),0,SQRT(SUMSQ(VLOOKUP($B201&amp;"; "&amp;$H$94&amp;" "&amp;I$95,'FE Déplacements'!$G:$U,7,FALSE),$BH201)))</f>
        <v>0</v>
      </c>
      <c r="BK201" s="2252">
        <f>IF(ISNA(SQRT(SUMSQ(VLOOKUP($B201&amp;"; "&amp;$H$94&amp;" "&amp;J$95,'FE Déplacements'!$G:$U,7,FALSE),$BH201))),0,SQRT(SUMSQ(VLOOKUP($B201&amp;"; "&amp;$H$94&amp;" "&amp;J$95,'FE Déplacements'!$G:$U,7,FALSE),$BH201)))</f>
        <v>0</v>
      </c>
      <c r="BL201" s="2252">
        <f>IF(ISNA(SQRT(SUMSQ(VLOOKUP($B201&amp;"; "&amp;$L$94&amp;" "&amp;L$95,'FE Déplacements'!$G:$U,7,FALSE),$BH201))),0,SQRT(SUMSQ(VLOOKUP($B201&amp;"; "&amp;$L$94&amp;" "&amp;L$95,'FE Déplacements'!$G:$U,7,FALSE),$BH201)))</f>
        <v>0</v>
      </c>
      <c r="BM201" s="2252">
        <f>IF(ISNA(SQRT(SUMSQ(VLOOKUP($B201&amp;"; "&amp;$L$94&amp;" "&amp;M$95,'FE Déplacements'!$G:$U,7,FALSE),$BH201))),0,SQRT(SUMSQ(VLOOKUP($B201&amp;"; "&amp;$L$94&amp;" "&amp;M$95,'FE Déplacements'!$G:$U,7,FALSE),$BH201)))</f>
        <v>0.5</v>
      </c>
      <c r="BN201" s="1130">
        <f>IF(ISNA(SQRT(SUMSQ(VLOOKUP($B201&amp;"; "&amp;$L$94&amp;" "&amp;N$95,'FE Déplacements'!$G:$U,7,FALSE),$BH201))),0,SQRT(SUMSQ(VLOOKUP($B201&amp;"; "&amp;$L$94&amp;" "&amp;N$95,'FE Déplacements'!$G:$U,7,FALSE),$BH201)))</f>
        <v>0.5</v>
      </c>
    </row>
    <row r="202" spans="1:66" ht="12.75" hidden="1" customHeight="1" outlineLevel="2">
      <c r="B202" s="358" t="s">
        <v>4055</v>
      </c>
      <c r="C202" s="359"/>
      <c r="D202" s="212">
        <f>SUM(O202:Q202)</f>
        <v>0</v>
      </c>
      <c r="E202" s="212"/>
      <c r="F202" s="347"/>
      <c r="G202" s="123"/>
      <c r="H202" s="410">
        <f>IF(ISNA(VLOOKUP($B202&amp;"; "&amp;$H$94&amp;" "&amp;H$95,'FE Déplacements'!$G:$U,9,FALSE)),0,VLOOKUP($B202&amp;"; "&amp;$H$94&amp;" "&amp;H$95,'FE Déplacements'!$G:$U,9,FALSE))</f>
        <v>1.5900000000000001E-2</v>
      </c>
      <c r="I202" s="410">
        <f>IF(ISNA(VLOOKUP($B202&amp;"; "&amp;$H$94&amp;" "&amp;I$95,'FE Déplacements'!$G:$U,9,FALSE)),0,VLOOKUP($B202&amp;"; "&amp;$H$94&amp;" "&amp;I$95,'FE Déplacements'!$G:$U,9,FALSE))</f>
        <v>1.14E-2</v>
      </c>
      <c r="J202" s="410">
        <f>IF(ISNA(VLOOKUP($B202&amp;"; "&amp;$H$94&amp;" "&amp;J$95,'FE Déplacements'!$G:$U,9,FALSE)),0,VLOOKUP($B202&amp;"; "&amp;$H$94&amp;" "&amp;J$95,'FE Déplacements'!$G:$U,9,FALSE))</f>
        <v>5.1700000000000003E-2</v>
      </c>
      <c r="K202" s="123"/>
      <c r="L202" s="410">
        <f>IFERROR(VLOOKUP($B202&amp;"; "&amp;$L$199&amp;" "&amp;L$200,'FE Déplacements'!$G:$U,9,FALSE),0)</f>
        <v>0</v>
      </c>
      <c r="M202" s="410">
        <f>IFERROR(VLOOKUP($B202&amp;"; "&amp;$L$199&amp;" "&amp;M$200,'FE Déplacements'!$G:$U,9,FALSE),0)</f>
        <v>0</v>
      </c>
      <c r="N202" s="410">
        <f>IFERROR(VLOOKUP($B202&amp;"; "&amp;$L$199&amp;" "&amp;N$200,'FE Déplacements'!$G:$U,9,FALSE),0)</f>
        <v>0</v>
      </c>
      <c r="O202" s="356">
        <f>H202*G202+K202*L202</f>
        <v>0</v>
      </c>
      <c r="P202" s="356">
        <f>I202*G202+K202*M202</f>
        <v>0</v>
      </c>
      <c r="Q202" s="151">
        <f>G202*J202+K202*N202</f>
        <v>0</v>
      </c>
      <c r="R202" s="165">
        <f>IF(OR(F202=Utilitaires!$G$572,F202=Utilitaires!$G$577),Q202,0)</f>
        <v>0</v>
      </c>
      <c r="X202" s="1092">
        <f>IF(AD202=0,AD202,AD202/D202)</f>
        <v>0</v>
      </c>
      <c r="Y202" s="1094"/>
      <c r="Z202" s="820"/>
      <c r="AA202" s="164">
        <f>SQRT(SUMSQ($G202*I202*BJ202,BM202*$K202*M202))</f>
        <v>0</v>
      </c>
      <c r="AB202" s="164">
        <f>SQRT(SUMSQ($G202*J202*BK202,BN202*$K202*N202))</f>
        <v>0</v>
      </c>
      <c r="AC202" s="164">
        <f>SQRT(SUMSQ($G202*H202*BI202,BL202*$K202*L202))</f>
        <v>0</v>
      </c>
      <c r="AD202" s="152">
        <f>SQRT(SUMSQ(AA202:AC202))</f>
        <v>0</v>
      </c>
      <c r="AE202" s="1286">
        <f>R202*X202</f>
        <v>0</v>
      </c>
      <c r="AG202" s="564">
        <f>$G202*IF(ISNA(VLOOKUP($B202&amp;"; "&amp;$H$94&amp;" "&amp;I$95,'FE Déplacements'!$G:$U,10,FALSE)),0,VLOOKUP($B202&amp;"; "&amp;$H$94&amp;" "&amp;I$95,'FE Déplacements'!$G:$U,10,FALSE))
+$K202*IF(ISNA(VLOOKUP($B202&amp;"; "&amp;$L$94&amp;" "&amp;M$95,'FE Déplacements'!$G:$U,10,FALSE)),0,VLOOKUP($B202&amp;"; "&amp;$L$94&amp;" "&amp;M$95,'FE Déplacements'!$G:$U,10,FALSE))</f>
        <v>0</v>
      </c>
      <c r="AH202" s="565">
        <f>$G202*IF(ISNA(VLOOKUP($B202&amp;"; "&amp;$H$94&amp;" "&amp;J$95,'FE Déplacements'!$G:$U,10,FALSE)),0,VLOOKUP($B202&amp;"; "&amp;$H$94&amp;" "&amp;J$95,'FE Déplacements'!$G:$U,10,FALSE))
+$K202*IF(ISNA(VLOOKUP($B202&amp;"; "&amp;$L$94&amp;" "&amp;N$95,'FE Déplacements'!$G:$U,10,FALSE)),0,VLOOKUP($B202&amp;"; "&amp;$L$94&amp;" "&amp;N$95,'FE Déplacements'!$G:$U,10,FALSE))</f>
        <v>0</v>
      </c>
      <c r="AI202" s="565">
        <f>$G202*IF(ISNA(VLOOKUP($B202&amp;"; "&amp;$H$94&amp;" "&amp;H$95,'FE Déplacements'!$G:$U,10,FALSE)),0,VLOOKUP($B202&amp;"; "&amp;$H$94&amp;" "&amp;H$95,'FE Déplacements'!$G:$U,10,FALSE))
+$K202*IF(ISNA(VLOOKUP($B202&amp;"; "&amp;$L$94&amp;" "&amp;L$95,'FE Déplacements'!$G:$U,10,FALSE)),0,VLOOKUP($B202&amp;"; "&amp;$L$94&amp;" "&amp;L$95,'FE Déplacements'!$G:$U,10,FALSE))</f>
        <v>0</v>
      </c>
      <c r="AJ202" s="565">
        <f>$G202*IF(ISNA((VLOOKUP($B202&amp;"; "&amp;$H$94&amp;" "&amp;I$95,'FE Déplacements'!$G:$U,12,FALSE)+VLOOKUP($B202&amp;"; "&amp;$H$94&amp;" "&amp;I$95,'FE Déplacements'!$G:$U,11,FALSE))),0,(VLOOKUP($B202&amp;"; "&amp;$H$94&amp;" "&amp;I$95,'FE Déplacements'!$G:$U,12,FALSE)+VLOOKUP($B202&amp;"; "&amp;$H$94&amp;" "&amp;I$95,'FE Déplacements'!$G:$U,11,FALSE)))
+$K202*IF(ISNA((VLOOKUP($B202&amp;"; "&amp;$L$94&amp;" "&amp;M$95,'FE Déplacements'!$G:$U,12,FALSE)+VLOOKUP($B202&amp;"; "&amp;$L$94&amp;" "&amp;M$95,'FE Déplacements'!$G:$U,11,FALSE))),0,(VLOOKUP($B202&amp;"; "&amp;$L$94&amp;" "&amp;M$95,'FE Déplacements'!$G:$U,12,FALSE)+VLOOKUP($B202&amp;"; "&amp;$L$94&amp;" "&amp;M$95,'FE Déplacements'!$G:$U,11,FALSE)))</f>
        <v>0</v>
      </c>
      <c r="AK202" s="565">
        <f>$G202*IF(ISNA((VLOOKUP($B202&amp;"; "&amp;$H$94&amp;" "&amp;J$95,'FE Déplacements'!$G:$U,12,FALSE)+VLOOKUP($B202&amp;"; "&amp;$H$94&amp;" "&amp;J$95,'FE Déplacements'!$G:$U,11,FALSE))),0,(VLOOKUP($B202&amp;"; "&amp;$H$94&amp;" "&amp;J$95,'FE Déplacements'!$G:$U,12,FALSE)+VLOOKUP($B202&amp;"; "&amp;$H$94&amp;" "&amp;J$95,'FE Déplacements'!$G:$U,11,FALSE)))
+$K202*IF(ISNA((VLOOKUP($B202&amp;"; "&amp;$L$94&amp;" "&amp;N$95,'FE Déplacements'!$G:$U,12,FALSE)+VLOOKUP($B202&amp;"; "&amp;$L$94&amp;" "&amp;N$95,'FE Déplacements'!$G:$U,11,FALSE))),0,(VLOOKUP($B202&amp;"; "&amp;$L$94&amp;" "&amp;N$95,'FE Déplacements'!$G:$U,12,FALSE)+VLOOKUP($B202&amp;"; "&amp;$L$94&amp;" "&amp;N$95,'FE Déplacements'!$G:$U,11,FALSE)))</f>
        <v>0</v>
      </c>
      <c r="AL202" s="565">
        <f>$G202*IF(ISNA((VLOOKUP($B202&amp;"; "&amp;$H$94&amp;" "&amp;H$95,'FE Déplacements'!$G:$U,12,FALSE)+VLOOKUP($B202&amp;"; "&amp;$H$94&amp;" "&amp;H$95,'FE Déplacements'!$G:$U,11,FALSE))),0,(VLOOKUP($B202&amp;"; "&amp;$H$94&amp;" "&amp;H$95,'FE Déplacements'!$G:$U,12,FALSE)+VLOOKUP($B202&amp;"; "&amp;$H$94&amp;" "&amp;H$95,'FE Déplacements'!$G:$U,11,FALSE)))
+$K202*IF(ISNA((VLOOKUP($B202&amp;"; "&amp;$L$94&amp;" "&amp;L$95,'FE Déplacements'!$G:$U,12,FALSE)+VLOOKUP($B202&amp;"; "&amp;$L$94&amp;" "&amp;L$95,'FE Déplacements'!$G:$U,11,FALSE))),0,(VLOOKUP($B202&amp;"; "&amp;$L$94&amp;" "&amp;L$95,'FE Déplacements'!$G:$U,12,FALSE)+VLOOKUP($B202&amp;"; "&amp;$L$94&amp;" "&amp;L$95,'FE Déplacements'!$G:$U,11,FALSE)))</f>
        <v>0</v>
      </c>
      <c r="AM202" s="565">
        <f>$G202*IF(ISNA(VLOOKUP($B202&amp;"; "&amp;$H$94&amp;" "&amp;I$95,'FE Déplacements'!$G:$U,13,FALSE)),0,VLOOKUP($B202&amp;"; "&amp;$H$94&amp;" "&amp;I$95,'FE Déplacements'!$G:$U,13,FALSE))
+$K202*IF(ISNA(VLOOKUP($B202&amp;"; "&amp;$L$94&amp;" "&amp;M$95,'FE Déplacements'!$G:$U,13,FALSE)),0,VLOOKUP($B202&amp;"; "&amp;$L$94&amp;" "&amp;M$95,'FE Déplacements'!$G:$U,13,FALSE))</f>
        <v>0</v>
      </c>
      <c r="AN202" s="565">
        <f>$G202*IF(ISNA(VLOOKUP($B202&amp;"; "&amp;$H$94&amp;" "&amp;J$95,'FE Déplacements'!$G:$U,13,FALSE)),0,VLOOKUP($B202&amp;"; "&amp;$H$94&amp;" "&amp;J$95,'FE Déplacements'!$G:$U,13,FALSE))
+$K202*IF(ISNA(VLOOKUP($B202&amp;"; "&amp;$L$94&amp;" "&amp;N$95,'FE Déplacements'!$G:$U,13,FALSE)),0,VLOOKUP($B202&amp;"; "&amp;$L$94&amp;" "&amp;N$95,'FE Déplacements'!$G:$U,13,FALSE))</f>
        <v>0</v>
      </c>
      <c r="AO202" s="565">
        <f>$G202*IF(ISNA(VLOOKUP($B202&amp;"; "&amp;$H$94&amp;" "&amp;H$95,'FE Déplacements'!$G:$U,13,FALSE)),0,VLOOKUP($B202&amp;"; "&amp;$H$94&amp;" "&amp;H$95,'FE Déplacements'!$G:$U,13,FALSE))
+$K202*IF(ISNA(VLOOKUP($B202&amp;"; "&amp;$L$94&amp;" "&amp;L$95,'FE Déplacements'!$G:$U,13,FALSE)),0,VLOOKUP($B202&amp;"; "&amp;$L$94&amp;" "&amp;L$95,'FE Déplacements'!$G:$U,13,FALSE))</f>
        <v>0</v>
      </c>
      <c r="AP202" s="565">
        <v>0</v>
      </c>
      <c r="AQ202" s="565">
        <v>0</v>
      </c>
      <c r="AR202" s="565">
        <v>0</v>
      </c>
      <c r="AS202" s="1288">
        <f t="shared" si="124"/>
        <v>0</v>
      </c>
      <c r="AT202" s="566">
        <f t="shared" si="124"/>
        <v>0</v>
      </c>
      <c r="AU202" s="566">
        <f t="shared" si="124"/>
        <v>0</v>
      </c>
      <c r="AV202" s="564">
        <f>$G202*IF(ISNA(VLOOKUP($B202&amp;"; "&amp;$H$94&amp;" "&amp;I$95,'FE Déplacements'!$G:$U,15,FALSE)),0,VLOOKUP($B202&amp;"; "&amp;$H$94&amp;" "&amp;I$95,'FE Déplacements'!$G:$U,15,FALSE))
+$K202*IF(ISNA(VLOOKUP($B202&amp;"; "&amp;$L$94&amp;" "&amp;M$95,'FE Déplacements'!$G:$U,15,FALSE)),0,VLOOKUP($B202&amp;"; "&amp;$L$94&amp;" "&amp;M$95,'FE Déplacements'!$G:$U,15,FALSE))</f>
        <v>0</v>
      </c>
      <c r="AW202" s="565">
        <f>$G202*IF(ISNA(VLOOKUP($B202&amp;"; "&amp;$H$94&amp;" "&amp;J$95,'FE Déplacements'!$G:$U,15,FALSE)),0,VLOOKUP($B202&amp;"; "&amp;$H$94&amp;" "&amp;J$95,'FE Déplacements'!$G:$U,15,FALSE))
+$K202*IF(ISNA(VLOOKUP($B202&amp;"; "&amp;$L$94&amp;" "&amp;N$95,'FE Déplacements'!$G:$U,15,FALSE)),0,VLOOKUP($B202&amp;"; "&amp;$L$94&amp;" "&amp;N$95,'FE Déplacements'!$G:$U,15,FALSE))</f>
        <v>0</v>
      </c>
      <c r="AX202" s="568">
        <f>$G202*IF(ISNA(VLOOKUP($B202&amp;"; "&amp;$H$94&amp;" "&amp;H$95,'FE Déplacements'!$G:$U,15,FALSE)),0,VLOOKUP($B202&amp;"; "&amp;$H$94&amp;" "&amp;H$95,'FE Déplacements'!$G:$U,15,FALSE))
+$K202*IF(ISNA(VLOOKUP($B202&amp;"; "&amp;$L$94&amp;" "&amp;L$95,'FE Déplacements'!$G:$U,15,FALSE)),0,VLOOKUP($B202&amp;"; "&amp;$L$94&amp;" "&amp;L$95,'FE Déplacements'!$G:$U,15,FALSE))</f>
        <v>0</v>
      </c>
      <c r="BH202" s="2247">
        <f>IF($Y202&lt;&gt;"votre valeur :",IF(ISNA(VLOOKUP($Y202,Utilitaires!$N$566:$O$571,2,FALSE)),,VLOOKUP($Y202,Utilitaires!$N$566:$O$571,2,FALSE)),$Z202)</f>
        <v>0</v>
      </c>
      <c r="BI202" s="2252">
        <f>IF(ISNA(SQRT(SUMSQ(VLOOKUP($B202&amp;"; "&amp;$H$94&amp;" "&amp;H$95,'FE Déplacements'!$G:$U,7,FALSE),$BH202))),0,SQRT(SUMSQ(VLOOKUP($B202&amp;"; "&amp;$H$94&amp;" "&amp;H$95,'FE Déplacements'!$G:$U,7,FALSE),$BH202)))</f>
        <v>0.6</v>
      </c>
      <c r="BJ202" s="2252">
        <f>IF(ISNA(SQRT(SUMSQ(VLOOKUP($B202&amp;"; "&amp;$H$94&amp;" "&amp;I$95,'FE Déplacements'!$G:$U,7,FALSE),$BH202))),0,SQRT(SUMSQ(VLOOKUP($B202&amp;"; "&amp;$H$94&amp;" "&amp;I$95,'FE Déplacements'!$G:$U,7,FALSE),$BH202)))</f>
        <v>0.6</v>
      </c>
      <c r="BK202" s="2252">
        <f>IF(ISNA(SQRT(SUMSQ(VLOOKUP($B202&amp;"; "&amp;$H$94&amp;" "&amp;J$95,'FE Déplacements'!$G:$U,7,FALSE),$BH202))),0,SQRT(SUMSQ(VLOOKUP($B202&amp;"; "&amp;$H$94&amp;" "&amp;J$95,'FE Déplacements'!$G:$U,7,FALSE),$BH202)))</f>
        <v>0.6</v>
      </c>
      <c r="BL202" s="2252">
        <f>IF(ISNA(SQRT(SUMSQ(VLOOKUP($B202&amp;"; "&amp;$L$94&amp;" "&amp;L$95,'FE Déplacements'!$G:$U,7,FALSE),$BH202))),0,SQRT(SUMSQ(VLOOKUP($B202&amp;"; "&amp;$L$94&amp;" "&amp;L$95,'FE Déplacements'!$G:$U,7,FALSE),$BH202)))</f>
        <v>0</v>
      </c>
      <c r="BM202" s="2252">
        <f>IF(ISNA(SQRT(SUMSQ(VLOOKUP($B202&amp;"; "&amp;$L$94&amp;" "&amp;M$95,'FE Déplacements'!$G:$U,7,FALSE),$BH202))),0,SQRT(SUMSQ(VLOOKUP($B202&amp;"; "&amp;$L$94&amp;" "&amp;M$95,'FE Déplacements'!$G:$U,7,FALSE),$BH202)))</f>
        <v>0</v>
      </c>
      <c r="BN202" s="1130">
        <f>IF(ISNA(SQRT(SUMSQ(VLOOKUP($B202&amp;"; "&amp;$L$94&amp;" "&amp;N$95,'FE Déplacements'!$G:$U,7,FALSE),$BH202))),0,SQRT(SUMSQ(VLOOKUP($B202&amp;"; "&amp;$L$94&amp;" "&amp;N$95,'FE Déplacements'!$G:$U,7,FALSE),$BH202)))</f>
        <v>0</v>
      </c>
    </row>
    <row r="203" spans="1:66" ht="12.75" hidden="1" customHeight="1" outlineLevel="2">
      <c r="B203" s="143"/>
      <c r="C203" s="144"/>
      <c r="D203" s="213"/>
      <c r="E203" s="213"/>
      <c r="F203" s="144"/>
      <c r="G203" s="144"/>
      <c r="H203" s="144"/>
      <c r="I203" s="144"/>
      <c r="J203" s="144"/>
      <c r="K203" s="144"/>
      <c r="L203" s="144"/>
      <c r="M203" s="144"/>
      <c r="N203" s="144"/>
      <c r="O203" s="144"/>
      <c r="P203" s="144"/>
      <c r="Q203" s="164"/>
      <c r="R203" s="357"/>
      <c r="X203" s="143"/>
      <c r="Y203" s="164"/>
      <c r="Z203" s="164"/>
      <c r="AA203" s="164"/>
      <c r="AB203" s="164"/>
      <c r="AC203" s="164"/>
      <c r="AD203" s="152"/>
      <c r="AE203" s="1776"/>
      <c r="AG203" s="564"/>
      <c r="AH203" s="565"/>
      <c r="AI203" s="565"/>
      <c r="AJ203" s="565"/>
      <c r="AK203" s="565"/>
      <c r="AL203" s="565"/>
      <c r="AM203" s="565"/>
      <c r="AN203" s="565"/>
      <c r="AO203" s="565"/>
      <c r="AP203" s="565"/>
      <c r="AQ203" s="565"/>
      <c r="AR203" s="565"/>
      <c r="AS203" s="1288"/>
      <c r="AT203" s="566"/>
      <c r="AU203" s="565"/>
      <c r="AV203" s="564"/>
      <c r="AW203" s="565"/>
      <c r="AX203" s="568"/>
      <c r="BH203" s="2248"/>
      <c r="BI203" s="2253"/>
      <c r="BJ203" s="1075"/>
      <c r="BK203" s="1131"/>
      <c r="BL203" s="2253"/>
      <c r="BM203" s="1075"/>
      <c r="BN203" s="1131"/>
    </row>
    <row r="204" spans="1:66" ht="12.75" hidden="1" customHeight="1" outlineLevel="2">
      <c r="B204" s="1264" t="s">
        <v>348</v>
      </c>
      <c r="C204" s="197"/>
      <c r="D204" s="214">
        <f>SUM(D201:D203)</f>
        <v>0</v>
      </c>
      <c r="E204" s="214"/>
      <c r="F204" s="197"/>
      <c r="G204" s="197"/>
      <c r="H204" s="197"/>
      <c r="I204" s="197"/>
      <c r="J204" s="197"/>
      <c r="K204" s="197"/>
      <c r="L204" s="197"/>
      <c r="M204" s="197"/>
      <c r="N204" s="197"/>
      <c r="O204" s="202">
        <f>SUM(O201:O203)</f>
        <v>0</v>
      </c>
      <c r="P204" s="202">
        <f>SUM(P201:P203)</f>
        <v>0</v>
      </c>
      <c r="Q204" s="202">
        <f>SUM(Q201:Q203)</f>
        <v>0</v>
      </c>
      <c r="R204" s="340">
        <f>SUM(R201:R203)</f>
        <v>0</v>
      </c>
      <c r="X204" s="1204">
        <f>IF(AD204=0,AD204,AD204/D204)</f>
        <v>0</v>
      </c>
      <c r="Y204" s="203"/>
      <c r="Z204" s="203"/>
      <c r="AA204" s="203">
        <f>SQRT(SUMSQ(AA201:AA203))</f>
        <v>0</v>
      </c>
      <c r="AB204" s="203">
        <f>SQRT(SUMSQ(AB201:AB203))</f>
        <v>0</v>
      </c>
      <c r="AC204" s="203">
        <f>SQRT(SUMSQ(AC201:AC203))</f>
        <v>0</v>
      </c>
      <c r="AD204" s="200">
        <f>SQRT(SUMSQ(AD201:AD203))</f>
        <v>0</v>
      </c>
      <c r="AE204" s="340">
        <f>SQRT(SUMSQ(AE201:AE203))</f>
        <v>0</v>
      </c>
      <c r="AG204" s="1082">
        <f t="shared" ref="AG204:AX204" si="125">SUM(AG201:AG203)</f>
        <v>0</v>
      </c>
      <c r="AH204" s="572">
        <f t="shared" si="125"/>
        <v>0</v>
      </c>
      <c r="AI204" s="572">
        <f t="shared" si="125"/>
        <v>0</v>
      </c>
      <c r="AJ204" s="572">
        <f t="shared" si="125"/>
        <v>0</v>
      </c>
      <c r="AK204" s="572">
        <f t="shared" si="125"/>
        <v>0</v>
      </c>
      <c r="AL204" s="572">
        <f t="shared" si="125"/>
        <v>0</v>
      </c>
      <c r="AM204" s="572">
        <f t="shared" si="125"/>
        <v>0</v>
      </c>
      <c r="AN204" s="572">
        <f t="shared" si="125"/>
        <v>0</v>
      </c>
      <c r="AO204" s="572">
        <f t="shared" si="125"/>
        <v>0</v>
      </c>
      <c r="AP204" s="572">
        <f t="shared" si="125"/>
        <v>0</v>
      </c>
      <c r="AQ204" s="572">
        <f t="shared" si="125"/>
        <v>0</v>
      </c>
      <c r="AR204" s="572">
        <f t="shared" si="125"/>
        <v>0</v>
      </c>
      <c r="AS204" s="1290">
        <f t="shared" si="125"/>
        <v>0</v>
      </c>
      <c r="AT204" s="573">
        <f t="shared" si="125"/>
        <v>0</v>
      </c>
      <c r="AU204" s="573">
        <f t="shared" si="125"/>
        <v>0</v>
      </c>
      <c r="AV204" s="1082">
        <f t="shared" si="125"/>
        <v>0</v>
      </c>
      <c r="AW204" s="572">
        <f t="shared" si="125"/>
        <v>0</v>
      </c>
      <c r="AX204" s="575">
        <f t="shared" si="125"/>
        <v>0</v>
      </c>
    </row>
    <row r="205" spans="1:66" ht="12.75" hidden="1" customHeight="1" outlineLevel="2">
      <c r="B205" s="256"/>
      <c r="C205" s="256"/>
      <c r="D205" s="256"/>
      <c r="E205" s="256"/>
      <c r="F205" s="256"/>
      <c r="G205" s="256"/>
      <c r="H205" s="256"/>
      <c r="I205" s="256"/>
      <c r="J205" s="256"/>
      <c r="AJ205" s="588"/>
      <c r="AK205" s="588"/>
      <c r="AL205" s="588"/>
      <c r="AM205" s="588"/>
      <c r="AN205" s="588"/>
      <c r="AO205" s="588"/>
      <c r="AP205" s="588"/>
      <c r="AQ205" s="588"/>
      <c r="AR205" s="588"/>
      <c r="AS205" s="588"/>
      <c r="AT205" s="588"/>
      <c r="AU205" s="588"/>
    </row>
    <row r="206" spans="1:66" outlineLevel="1">
      <c r="AG206" s="588"/>
      <c r="AH206" s="588"/>
      <c r="AI206" s="588"/>
      <c r="AJ206" s="588"/>
      <c r="AK206" s="588"/>
      <c r="AL206" s="588"/>
      <c r="AM206" s="588"/>
      <c r="AN206" s="588"/>
      <c r="AO206" s="588"/>
      <c r="AP206" s="588"/>
      <c r="AQ206" s="588"/>
      <c r="AR206" s="588"/>
    </row>
    <row r="207" spans="1:66" s="130" customFormat="1" ht="15.75" customHeight="1" outlineLevel="1">
      <c r="A207" s="114"/>
      <c r="B207" s="2652" t="s">
        <v>1476</v>
      </c>
      <c r="C207" s="2653"/>
      <c r="D207" s="2653"/>
      <c r="E207" s="2653"/>
      <c r="F207" s="2653"/>
      <c r="G207" s="2653"/>
      <c r="H207" s="2653"/>
      <c r="I207" s="2653"/>
      <c r="J207" s="2653"/>
      <c r="K207" s="2653"/>
      <c r="L207" s="2653"/>
      <c r="M207" s="2653"/>
      <c r="N207" s="2653"/>
      <c r="O207" s="2654"/>
      <c r="AE207" s="1238"/>
      <c r="AF207" s="1238"/>
      <c r="AG207" s="441"/>
      <c r="AH207" s="441"/>
      <c r="AI207" s="441"/>
      <c r="AJ207" s="441"/>
      <c r="AK207" s="441"/>
      <c r="AL207" s="441"/>
      <c r="AM207" s="441"/>
      <c r="AN207" s="441"/>
      <c r="AO207" s="441"/>
      <c r="AP207" s="441"/>
      <c r="AQ207" s="441"/>
      <c r="AR207" s="441"/>
      <c r="AS207" s="593"/>
      <c r="AT207" s="593"/>
      <c r="AU207" s="593"/>
      <c r="AV207" s="593"/>
      <c r="AW207" s="593"/>
      <c r="AX207" s="593"/>
      <c r="AZ207" s="114"/>
      <c r="BA207" s="114"/>
      <c r="BB207" s="114"/>
      <c r="BC207" s="114"/>
      <c r="BD207" s="114"/>
      <c r="BE207" s="114"/>
      <c r="BF207" s="114"/>
      <c r="BG207" s="114"/>
      <c r="BH207" s="114"/>
    </row>
    <row r="208" spans="1:66" ht="12.75" customHeight="1" outlineLevel="2">
      <c r="B208" s="264"/>
      <c r="C208" s="264"/>
      <c r="D208" s="264"/>
      <c r="E208" s="264"/>
      <c r="F208" s="264"/>
      <c r="G208" s="260"/>
    </row>
    <row r="209" spans="1:62" ht="12.75" customHeight="1" outlineLevel="2">
      <c r="B209" s="139" t="s">
        <v>116</v>
      </c>
      <c r="C209" s="140"/>
      <c r="D209" s="140"/>
      <c r="E209" s="140"/>
      <c r="F209" s="141"/>
      <c r="G209" s="141"/>
      <c r="H209" s="141"/>
      <c r="I209" s="142"/>
      <c r="J209" s="260"/>
      <c r="K209" s="260"/>
      <c r="L209" s="260"/>
      <c r="M209" s="260"/>
      <c r="N209" s="260"/>
      <c r="O209" s="260"/>
      <c r="P209" s="260"/>
      <c r="Q209" s="260"/>
      <c r="R209" s="260"/>
      <c r="S209" s="260"/>
      <c r="X209" s="2636" t="s">
        <v>366</v>
      </c>
      <c r="Y209" s="2637"/>
      <c r="Z209" s="2637"/>
      <c r="AA209" s="2638"/>
      <c r="AG209" s="2639" t="s">
        <v>441</v>
      </c>
      <c r="AH209" s="2640"/>
      <c r="AI209" s="2640"/>
      <c r="AJ209" s="2640"/>
      <c r="AK209" s="2640"/>
      <c r="AL209" s="2640"/>
      <c r="AM209" s="2640"/>
      <c r="AN209" s="2640"/>
      <c r="AO209" s="2640"/>
      <c r="AP209" s="2640"/>
      <c r="AQ209" s="2640"/>
      <c r="AR209" s="2640"/>
      <c r="AS209" s="2640"/>
      <c r="AT209" s="2640"/>
      <c r="AU209" s="2640"/>
      <c r="AV209" s="2640"/>
      <c r="AW209" s="2640"/>
      <c r="AX209" s="2641"/>
    </row>
    <row r="210" spans="1:62" ht="12.75" customHeight="1" outlineLevel="2">
      <c r="B210" s="143"/>
      <c r="C210" s="144"/>
      <c r="D210" s="378" t="s">
        <v>308</v>
      </c>
      <c r="E210" s="1663"/>
      <c r="F210" s="144"/>
      <c r="G210" s="144"/>
      <c r="H210" s="144"/>
      <c r="I210" s="145"/>
      <c r="J210" s="260"/>
      <c r="N210" s="260"/>
      <c r="S210" s="260"/>
      <c r="X210" s="1243"/>
      <c r="Y210" s="819"/>
      <c r="Z210" s="819"/>
      <c r="AA210" s="145"/>
      <c r="AG210" s="2642"/>
      <c r="AH210" s="2643"/>
      <c r="AI210" s="2643"/>
      <c r="AJ210" s="2643"/>
      <c r="AK210" s="2643"/>
      <c r="AL210" s="2643"/>
      <c r="AM210" s="2643"/>
      <c r="AN210" s="2643"/>
      <c r="AO210" s="2643"/>
      <c r="AP210" s="2643"/>
      <c r="AQ210" s="2643"/>
      <c r="AR210" s="2644"/>
      <c r="AS210" s="2642"/>
      <c r="AT210" s="2643"/>
      <c r="AU210" s="2644"/>
      <c r="AV210" s="1288"/>
      <c r="AW210" s="566"/>
      <c r="AX210" s="583"/>
      <c r="BH210" s="2616" t="s">
        <v>1648</v>
      </c>
      <c r="BI210" s="2617"/>
      <c r="BJ210" s="2618"/>
    </row>
    <row r="211" spans="1:62" ht="12.75" customHeight="1" outlineLevel="2">
      <c r="B211" s="382"/>
      <c r="C211" s="379"/>
      <c r="D211" s="379" t="s">
        <v>409</v>
      </c>
      <c r="E211" s="1656"/>
      <c r="F211" s="147" t="s">
        <v>452</v>
      </c>
      <c r="G211" s="147" t="s">
        <v>343</v>
      </c>
      <c r="H211" s="379" t="s">
        <v>444</v>
      </c>
      <c r="I211" s="384" t="s">
        <v>444</v>
      </c>
      <c r="J211" s="260"/>
      <c r="N211" s="260"/>
      <c r="S211" s="260"/>
      <c r="X211" s="1243" t="s">
        <v>316</v>
      </c>
      <c r="Y211" s="2629" t="s">
        <v>316</v>
      </c>
      <c r="Z211" s="2630"/>
      <c r="AA211" s="539" t="s">
        <v>444</v>
      </c>
      <c r="AG211" s="2631" t="s">
        <v>444</v>
      </c>
      <c r="AH211" s="2632"/>
      <c r="AI211" s="2632"/>
      <c r="AJ211" s="2632"/>
      <c r="AK211" s="2632"/>
      <c r="AL211" s="2632"/>
      <c r="AM211" s="2632"/>
      <c r="AN211" s="2632"/>
      <c r="AO211" s="2632"/>
      <c r="AP211" s="2632"/>
      <c r="AQ211" s="2632"/>
      <c r="AR211" s="2650"/>
      <c r="AS211" s="2848" t="s">
        <v>444</v>
      </c>
      <c r="AT211" s="2648"/>
      <c r="AU211" s="2649"/>
      <c r="AV211" s="2631"/>
      <c r="AW211" s="2632"/>
      <c r="AX211" s="568"/>
      <c r="BH211" s="2837" t="s">
        <v>1646</v>
      </c>
      <c r="BI211" s="2839" t="s">
        <v>411</v>
      </c>
      <c r="BJ211" s="2839" t="s">
        <v>257</v>
      </c>
    </row>
    <row r="212" spans="1:62" ht="12.75" customHeight="1" outlineLevel="2">
      <c r="B212" s="382"/>
      <c r="C212" s="379"/>
      <c r="D212" s="379" t="s">
        <v>444</v>
      </c>
      <c r="E212" s="1656"/>
      <c r="F212" s="149" t="s">
        <v>445</v>
      </c>
      <c r="G212" s="153" t="s">
        <v>533</v>
      </c>
      <c r="H212" s="379" t="s">
        <v>258</v>
      </c>
      <c r="I212" s="384"/>
      <c r="J212" s="260"/>
      <c r="N212" s="260"/>
      <c r="S212" s="260"/>
      <c r="X212" s="1243" t="s">
        <v>1649</v>
      </c>
      <c r="Y212" s="2646" t="s">
        <v>1650</v>
      </c>
      <c r="Z212" s="2647"/>
      <c r="AA212" s="539"/>
      <c r="AG212" s="579" t="s">
        <v>211</v>
      </c>
      <c r="AH212" s="580"/>
      <c r="AI212" s="580"/>
      <c r="AJ212" s="580" t="s">
        <v>442</v>
      </c>
      <c r="AK212" s="580"/>
      <c r="AL212" s="580"/>
      <c r="AM212" s="580" t="s">
        <v>267</v>
      </c>
      <c r="AN212" s="580"/>
      <c r="AO212" s="580"/>
      <c r="AP212" s="580" t="s">
        <v>443</v>
      </c>
      <c r="AQ212" s="580"/>
      <c r="AR212" s="580"/>
      <c r="AS212" s="1289" t="s">
        <v>327</v>
      </c>
      <c r="AT212" s="581"/>
      <c r="AU212" s="581"/>
      <c r="AV212" s="579" t="s">
        <v>636</v>
      </c>
      <c r="AW212" s="580"/>
      <c r="AX212" s="583"/>
      <c r="BH212" s="2838"/>
      <c r="BI212" s="2840"/>
      <c r="BJ212" s="2840"/>
    </row>
    <row r="213" spans="1:62" ht="12.75" customHeight="1" outlineLevel="2">
      <c r="B213" s="362" t="s">
        <v>1552</v>
      </c>
      <c r="C213" s="363"/>
      <c r="D213" s="212">
        <f>I213</f>
        <v>0</v>
      </c>
      <c r="E213" s="212"/>
      <c r="F213" s="263"/>
      <c r="G213" s="263"/>
      <c r="H213" s="218">
        <f>IF(ISNA(VLOOKUP(Descriptif!D4&amp;" - usage : Transports, France continentale, Base Carbone; kgCO2e/kWh, Combustion à la centrale",'FE Déplacements'!G:U,9,FALSE)),'FE Déplacements'!$O$974,
VLOOKUP(Descriptif!D4&amp;" - usage : Transports, France continentale, Base Carbone; kgCO2e/kWh, Combustion à la centrale",'FE Déplacements'!G:U,9,FALSE)
+ VLOOKUP(Descriptif!D4&amp;" - usage : Transports, France continentale, Base Carbone; kgCO2e/kWh, Amont",'FE Déplacements'!G:U,9,FALSE))</f>
        <v>5.9979999999999999E-2</v>
      </c>
      <c r="I213" s="152">
        <f>G213*H213</f>
        <v>0</v>
      </c>
      <c r="J213" s="260"/>
      <c r="N213" s="260"/>
      <c r="S213" s="260"/>
      <c r="X213" s="226">
        <f>IF(AA213=0,AA213,AA213/I213)</f>
        <v>0</v>
      </c>
      <c r="Y213" s="1094"/>
      <c r="Z213" s="820"/>
      <c r="AA213" s="152">
        <f>IF(ISNA(SQRT(SUMSQ($G213*0.01*BI213,G213*(H213-0.01)*BJ213))),0,SQRT(SUMSQ($G213*0.01*BI213,G213*(H213-0.01)*BJ213)))</f>
        <v>0</v>
      </c>
      <c r="AG213" s="564">
        <f>D213</f>
        <v>0</v>
      </c>
      <c r="AH213" s="565"/>
      <c r="AI213" s="565"/>
      <c r="AJ213" s="565"/>
      <c r="AK213" s="565"/>
      <c r="AL213" s="565"/>
      <c r="AM213" s="565"/>
      <c r="AN213" s="565"/>
      <c r="AO213" s="565"/>
      <c r="AP213" s="565"/>
      <c r="AQ213" s="565"/>
      <c r="AR213" s="565"/>
      <c r="AS213" s="1288">
        <f>SUM(AG213:AP213)</f>
        <v>0</v>
      </c>
      <c r="AT213" s="566"/>
      <c r="AU213" s="566"/>
      <c r="AV213" s="564"/>
      <c r="AW213" s="565"/>
      <c r="AX213" s="568"/>
      <c r="BH213" s="1065">
        <f>IF($Y213&lt;&gt;"votre valeur :",IF(ISNA(VLOOKUP($Y213,Utilitaires!$N$566:$O$571,2,FALSE)),,VLOOKUP($Y213,Utilitaires!$N$566:$O$571,2,FALSE)),$Z213)</f>
        <v>0</v>
      </c>
      <c r="BI213" s="1124">
        <f>IF(ISNA(SQRT(SUMSQ(VLOOKUP(Descriptif!D4&amp;" - usage : Transports, France continentale, Base Carbone; kgCO2e/kWh, Amont",'FE Déplacements'!$G:$U,7,FALSE),$BH213))),0,SQRT(SUMSQ(VLOOKUP(Descriptif!D4&amp;" - usage : Transports, France continentale, Base Carbone; kgCO2e/kWh, Amont",'FE Déplacements'!$G:$U,7,FALSE),$BH213)))</f>
        <v>0</v>
      </c>
      <c r="BJ213" s="1130">
        <f>IF(
ISNA(
SQRT(SUMSQ(
VLOOKUP(Descriptif!D4&amp;" - usage : Transports, France continentale, Base Carbone; kgCO2e/kWh, Combustion à la centrale",'FE Déplacements'!$G:$U,7,FALSE),$BH213))),
0,SQRT(SUMSQ(VLOOKUP(Descriptif!D4&amp;" - usage : Transports, France continentale, Base Carbone; kgCO2e/kWh, Combustion à la centrale",'FE Déplacements'!$G:$U,7,FALSE),$BH213)))</f>
        <v>0</v>
      </c>
    </row>
    <row r="214" spans="1:62" ht="12.75" customHeight="1" outlineLevel="2">
      <c r="B214" s="362"/>
      <c r="C214" s="363"/>
      <c r="D214" s="375"/>
      <c r="E214" s="375"/>
      <c r="F214" s="363"/>
      <c r="G214" s="164"/>
      <c r="H214" s="150"/>
      <c r="I214" s="152"/>
      <c r="J214" s="260"/>
      <c r="N214" s="260"/>
      <c r="S214" s="260"/>
      <c r="X214" s="154"/>
      <c r="Y214" s="155"/>
      <c r="Z214" s="155"/>
      <c r="AA214" s="367"/>
      <c r="AG214" s="564"/>
      <c r="AH214" s="565"/>
      <c r="AI214" s="565"/>
      <c r="AJ214" s="565"/>
      <c r="AK214" s="565"/>
      <c r="AL214" s="565"/>
      <c r="AM214" s="565"/>
      <c r="AN214" s="565"/>
      <c r="AO214" s="565"/>
      <c r="AP214" s="565"/>
      <c r="AQ214" s="565"/>
      <c r="AR214" s="565"/>
      <c r="AS214" s="1288"/>
      <c r="AT214" s="566"/>
      <c r="AU214" s="566"/>
      <c r="AV214" s="564"/>
      <c r="AW214" s="565"/>
      <c r="AX214" s="568"/>
      <c r="BH214" s="1087"/>
      <c r="BI214" s="1075"/>
      <c r="BJ214" s="1131"/>
    </row>
    <row r="215" spans="1:62" ht="12.75" customHeight="1" outlineLevel="2">
      <c r="B215" s="196" t="s">
        <v>348</v>
      </c>
      <c r="C215" s="197"/>
      <c r="D215" s="214">
        <f>SUM(D213:D214)</f>
        <v>0</v>
      </c>
      <c r="E215" s="214"/>
      <c r="F215" s="198"/>
      <c r="G215" s="199"/>
      <c r="H215" s="199"/>
      <c r="I215" s="200">
        <f>SUM(I213:I214)</f>
        <v>0</v>
      </c>
      <c r="J215" s="260"/>
      <c r="N215" s="260"/>
      <c r="S215" s="260"/>
      <c r="X215" s="201"/>
      <c r="Y215" s="199"/>
      <c r="Z215" s="199"/>
      <c r="AA215" s="200">
        <f>SQRT(SUMSQ(AA213:AA214))</f>
        <v>0</v>
      </c>
      <c r="AG215" s="571">
        <f>SUM(AG213:AG214)</f>
        <v>0</v>
      </c>
      <c r="AH215" s="572"/>
      <c r="AI215" s="572"/>
      <c r="AJ215" s="572">
        <f>SUM(AJ213:AJ214)</f>
        <v>0</v>
      </c>
      <c r="AK215" s="572"/>
      <c r="AL215" s="572"/>
      <c r="AM215" s="572">
        <f>SUM(AM213:AM214)</f>
        <v>0</v>
      </c>
      <c r="AN215" s="572"/>
      <c r="AO215" s="572"/>
      <c r="AP215" s="572">
        <f>SUM(AP213:AP214)</f>
        <v>0</v>
      </c>
      <c r="AQ215" s="572"/>
      <c r="AR215" s="572"/>
      <c r="AS215" s="1290">
        <f>SUM(AS213:AS214)</f>
        <v>0</v>
      </c>
      <c r="AT215" s="573"/>
      <c r="AU215" s="573"/>
      <c r="AV215" s="1082">
        <f>SUM(AV213:AV214)</f>
        <v>0</v>
      </c>
      <c r="AW215" s="572"/>
      <c r="AX215" s="575"/>
      <c r="AZ215" s="109"/>
      <c r="BA215" s="109"/>
      <c r="BB215" s="109"/>
      <c r="BC215" s="109"/>
      <c r="BD215" s="109"/>
      <c r="BE215" s="109"/>
      <c r="BF215" s="109"/>
      <c r="BG215" s="109"/>
      <c r="BH215" s="109"/>
    </row>
    <row r="216" spans="1:62" ht="12.75" customHeight="1" outlineLevel="2">
      <c r="B216" s="116"/>
      <c r="C216" s="116"/>
      <c r="D216" s="116"/>
      <c r="E216" s="116"/>
      <c r="F216" s="116"/>
      <c r="G216" s="116"/>
      <c r="H216" s="116"/>
      <c r="I216" s="262"/>
      <c r="J216" s="116"/>
      <c r="K216" s="116"/>
      <c r="L216" s="116"/>
      <c r="M216" s="116"/>
      <c r="N216" s="260"/>
      <c r="R216" s="260"/>
      <c r="S216" s="260"/>
      <c r="Y216" s="260"/>
      <c r="Z216" s="260"/>
      <c r="AA216" s="260"/>
      <c r="AZ216" s="109"/>
      <c r="BA216" s="109"/>
      <c r="BB216" s="109"/>
      <c r="BC216" s="109"/>
      <c r="BD216" s="109"/>
      <c r="BE216" s="109"/>
      <c r="BF216" s="109"/>
      <c r="BG216" s="109"/>
      <c r="BH216" s="109"/>
    </row>
    <row r="217" spans="1:62" ht="12.75" customHeight="1" outlineLevel="2">
      <c r="B217" s="139" t="s">
        <v>326</v>
      </c>
      <c r="C217" s="140"/>
      <c r="D217" s="140"/>
      <c r="E217" s="140"/>
      <c r="F217" s="141"/>
      <c r="G217" s="141"/>
      <c r="H217" s="141"/>
      <c r="I217" s="179"/>
      <c r="X217" s="2636" t="s">
        <v>366</v>
      </c>
      <c r="Y217" s="2637"/>
      <c r="Z217" s="2637"/>
      <c r="AA217" s="2638"/>
      <c r="AG217" s="2639" t="s">
        <v>441</v>
      </c>
      <c r="AH217" s="2640"/>
      <c r="AI217" s="2640"/>
      <c r="AJ217" s="2640"/>
      <c r="AK217" s="2640"/>
      <c r="AL217" s="2640"/>
      <c r="AM217" s="2640"/>
      <c r="AN217" s="2640"/>
      <c r="AO217" s="2640"/>
      <c r="AP217" s="2640"/>
      <c r="AQ217" s="2640"/>
      <c r="AR217" s="2640"/>
      <c r="AS217" s="2640"/>
      <c r="AT217" s="2640"/>
      <c r="AU217" s="2640"/>
      <c r="AV217" s="2640"/>
      <c r="AW217" s="2640"/>
      <c r="AX217" s="2641"/>
    </row>
    <row r="218" spans="1:62" ht="12.75" customHeight="1" outlineLevel="2">
      <c r="B218" s="143"/>
      <c r="C218" s="144"/>
      <c r="D218" s="378" t="s">
        <v>308</v>
      </c>
      <c r="E218" s="1663"/>
      <c r="F218" s="144"/>
      <c r="G218" s="144"/>
      <c r="H218" s="144"/>
      <c r="I218" s="168"/>
      <c r="X218" s="1243"/>
      <c r="Y218" s="819"/>
      <c r="Z218" s="819"/>
      <c r="AA218" s="145"/>
      <c r="AG218" s="2642"/>
      <c r="AH218" s="2643"/>
      <c r="AI218" s="2643"/>
      <c r="AJ218" s="2643"/>
      <c r="AK218" s="2643"/>
      <c r="AL218" s="2643"/>
      <c r="AM218" s="2643"/>
      <c r="AN218" s="2643"/>
      <c r="AO218" s="2643"/>
      <c r="AP218" s="2643"/>
      <c r="AQ218" s="2643"/>
      <c r="AR218" s="2644"/>
      <c r="AS218" s="2642"/>
      <c r="AT218" s="2643"/>
      <c r="AU218" s="2644"/>
      <c r="AV218" s="1288"/>
      <c r="AW218" s="566"/>
      <c r="AX218" s="583"/>
      <c r="BH218" s="2828" t="s">
        <v>1648</v>
      </c>
      <c r="BI218" s="2829"/>
    </row>
    <row r="219" spans="1:62" ht="12.75" customHeight="1" outlineLevel="2">
      <c r="B219" s="382"/>
      <c r="C219" s="379"/>
      <c r="D219" s="379" t="s">
        <v>409</v>
      </c>
      <c r="E219" s="1656"/>
      <c r="F219" s="147" t="s">
        <v>308</v>
      </c>
      <c r="G219" s="147" t="s">
        <v>308</v>
      </c>
      <c r="H219" s="379" t="s">
        <v>8</v>
      </c>
      <c r="I219" s="384" t="s">
        <v>444</v>
      </c>
      <c r="T219" s="109"/>
      <c r="X219" s="1243" t="s">
        <v>316</v>
      </c>
      <c r="Y219" s="2629" t="s">
        <v>316</v>
      </c>
      <c r="Z219" s="2630"/>
      <c r="AA219" s="539" t="s">
        <v>444</v>
      </c>
      <c r="AG219" s="2631" t="s">
        <v>444</v>
      </c>
      <c r="AH219" s="2632"/>
      <c r="AI219" s="2632"/>
      <c r="AJ219" s="2632"/>
      <c r="AK219" s="2632"/>
      <c r="AL219" s="2632"/>
      <c r="AM219" s="2632"/>
      <c r="AN219" s="2632"/>
      <c r="AO219" s="2632"/>
      <c r="AP219" s="2632"/>
      <c r="AQ219" s="2632"/>
      <c r="AR219" s="2650"/>
      <c r="AS219" s="2848" t="s">
        <v>444</v>
      </c>
      <c r="AT219" s="2648"/>
      <c r="AU219" s="2649"/>
      <c r="AV219" s="2631"/>
      <c r="AW219" s="2632"/>
      <c r="AX219" s="568"/>
      <c r="BH219" s="2837" t="s">
        <v>1646</v>
      </c>
      <c r="BI219" s="2839" t="s">
        <v>885</v>
      </c>
    </row>
    <row r="220" spans="1:62" s="109" customFormat="1" ht="12.75" customHeight="1" outlineLevel="2">
      <c r="A220" s="114"/>
      <c r="B220" s="382"/>
      <c r="C220" s="379"/>
      <c r="D220" s="379" t="s">
        <v>444</v>
      </c>
      <c r="E220" s="1656"/>
      <c r="F220" s="149" t="s">
        <v>309</v>
      </c>
      <c r="G220" s="149" t="s">
        <v>444</v>
      </c>
      <c r="H220" s="379" t="s">
        <v>183</v>
      </c>
      <c r="I220" s="384"/>
      <c r="U220" s="114"/>
      <c r="V220" s="114"/>
      <c r="X220" s="1243" t="s">
        <v>1649</v>
      </c>
      <c r="Y220" s="2646" t="s">
        <v>1650</v>
      </c>
      <c r="Z220" s="2647"/>
      <c r="AA220" s="539"/>
      <c r="AB220" s="114"/>
      <c r="AC220" s="114"/>
      <c r="AD220" s="114"/>
      <c r="AE220" s="116"/>
      <c r="AF220" s="116"/>
      <c r="AG220" s="579" t="s">
        <v>211</v>
      </c>
      <c r="AH220" s="580"/>
      <c r="AI220" s="580"/>
      <c r="AJ220" s="580" t="s">
        <v>442</v>
      </c>
      <c r="AK220" s="580"/>
      <c r="AL220" s="580"/>
      <c r="AM220" s="580" t="s">
        <v>267</v>
      </c>
      <c r="AN220" s="580"/>
      <c r="AO220" s="580"/>
      <c r="AP220" s="580" t="s">
        <v>443</v>
      </c>
      <c r="AQ220" s="580"/>
      <c r="AR220" s="580"/>
      <c r="AS220" s="1289" t="s">
        <v>327</v>
      </c>
      <c r="AT220" s="581"/>
      <c r="AU220" s="581"/>
      <c r="AV220" s="579" t="s">
        <v>636</v>
      </c>
      <c r="AW220" s="580"/>
      <c r="AX220" s="583"/>
      <c r="BB220" s="114"/>
      <c r="BC220" s="114"/>
      <c r="BD220" s="114"/>
      <c r="BE220" s="114"/>
      <c r="BF220" s="114"/>
      <c r="BH220" s="2838"/>
      <c r="BI220" s="2840"/>
    </row>
    <row r="221" spans="1:62" s="109" customFormat="1" outlineLevel="2">
      <c r="A221" s="114"/>
      <c r="B221" s="143" t="s">
        <v>1551</v>
      </c>
      <c r="C221" s="177"/>
      <c r="D221" s="212">
        <f>I221</f>
        <v>0</v>
      </c>
      <c r="E221" s="212"/>
      <c r="F221" s="182">
        <f>G213</f>
        <v>0</v>
      </c>
      <c r="G221" s="182">
        <f>I215</f>
        <v>0</v>
      </c>
      <c r="H221" s="225">
        <v>0.03</v>
      </c>
      <c r="I221" s="152">
        <f>G221*H221</f>
        <v>0</v>
      </c>
      <c r="T221" s="114"/>
      <c r="U221" s="114"/>
      <c r="V221" s="114"/>
      <c r="X221" s="226">
        <f>IF(AA221=0,AA221,AA221/I221)</f>
        <v>0</v>
      </c>
      <c r="Y221" s="1094"/>
      <c r="Z221" s="820"/>
      <c r="AA221" s="152">
        <f>SQRT(SUMSQ(IF(ISNA($G221*H221*BI221),0,$G221*H221*BI221)))</f>
        <v>0</v>
      </c>
      <c r="AE221" s="127"/>
      <c r="AF221" s="127"/>
      <c r="AG221" s="564">
        <f>AG215*H221</f>
        <v>0</v>
      </c>
      <c r="AH221" s="565"/>
      <c r="AI221" s="565"/>
      <c r="AJ221" s="565">
        <f>AJ215*H221</f>
        <v>0</v>
      </c>
      <c r="AK221" s="565"/>
      <c r="AL221" s="565"/>
      <c r="AM221" s="565">
        <f>AM215*H221</f>
        <v>0</v>
      </c>
      <c r="AN221" s="565"/>
      <c r="AO221" s="565"/>
      <c r="AP221" s="565">
        <f>AP215*H221</f>
        <v>0</v>
      </c>
      <c r="AQ221" s="565"/>
      <c r="AR221" s="565"/>
      <c r="AS221" s="1288">
        <f>SUM(AG221:AP221)</f>
        <v>0</v>
      </c>
      <c r="AT221" s="566"/>
      <c r="AU221" s="566"/>
      <c r="AV221" s="564">
        <f>AV215*H221</f>
        <v>0</v>
      </c>
      <c r="AW221" s="565"/>
      <c r="AX221" s="568"/>
      <c r="BB221" s="114"/>
      <c r="BC221" s="114"/>
      <c r="BD221" s="114"/>
      <c r="BE221" s="114"/>
      <c r="BF221" s="114"/>
      <c r="BH221" s="1065">
        <f>IF($Y221&lt;&gt;"votre valeur :",IF(ISNA(VLOOKUP($Y221,Utilitaires!$N$566:$O$571,2,FALSE)),,VLOOKUP($Y221,Utilitaires!$N$566:$O$571,2,FALSE)),$Z221)</f>
        <v>0</v>
      </c>
      <c r="BI221" s="1130">
        <f>IF(ISNA(SQRT(SUMSQ(VLOOKUP(Descriptif!$D$4&amp;" - usage : Transports, France continentale, Base Carbone; kgCO2e/kWh, Pertes",'FE Déplacements'!$G:$U,7,FALSE),$BH221))),0,SQRT(SUMSQ(VLOOKUP(Descriptif!$D$4&amp;" - usage : Transports, France continentale, Base Carbone; kgCO2e/kWh, Pertes",'FE Déplacements'!$G:$U,7,FALSE),$BH221)))</f>
        <v>0</v>
      </c>
    </row>
    <row r="222" spans="1:62" ht="12" customHeight="1" outlineLevel="2">
      <c r="B222" s="143"/>
      <c r="C222" s="144"/>
      <c r="D222" s="213"/>
      <c r="E222" s="213"/>
      <c r="F222" s="144"/>
      <c r="G222" s="144"/>
      <c r="H222" s="144"/>
      <c r="I222" s="152"/>
      <c r="X222" s="143"/>
      <c r="Y222" s="177"/>
      <c r="Z222" s="177"/>
      <c r="AA222" s="165"/>
      <c r="AG222" s="564"/>
      <c r="AH222" s="565"/>
      <c r="AI222" s="565"/>
      <c r="AJ222" s="565"/>
      <c r="AK222" s="565"/>
      <c r="AL222" s="565"/>
      <c r="AM222" s="565"/>
      <c r="AN222" s="565"/>
      <c r="AO222" s="565"/>
      <c r="AP222" s="565"/>
      <c r="AQ222" s="565"/>
      <c r="AR222" s="565"/>
      <c r="AS222" s="1288"/>
      <c r="AT222" s="566"/>
      <c r="AU222" s="566"/>
      <c r="AV222" s="564"/>
      <c r="AW222" s="565"/>
      <c r="AX222" s="568"/>
      <c r="BH222" s="1087"/>
      <c r="BI222" s="1131"/>
    </row>
    <row r="223" spans="1:62" outlineLevel="2">
      <c r="B223" s="196" t="s">
        <v>348</v>
      </c>
      <c r="C223" s="197"/>
      <c r="D223" s="214">
        <f>SUM(D221:D222)</f>
        <v>0</v>
      </c>
      <c r="E223" s="214"/>
      <c r="F223" s="199"/>
      <c r="G223" s="199"/>
      <c r="H223" s="199"/>
      <c r="I223" s="200">
        <f>SUM(I221:I222)</f>
        <v>0</v>
      </c>
      <c r="X223" s="201"/>
      <c r="Y223" s="199"/>
      <c r="Z223" s="199"/>
      <c r="AA223" s="200">
        <f>SQRT(SUMSQ(AA221:AA222))</f>
        <v>0</v>
      </c>
      <c r="AG223" s="571">
        <f>SUM(AG221:AG222)</f>
        <v>0</v>
      </c>
      <c r="AH223" s="572"/>
      <c r="AI223" s="572"/>
      <c r="AJ223" s="572">
        <f>SUM(AJ221:AJ222)</f>
        <v>0</v>
      </c>
      <c r="AK223" s="572"/>
      <c r="AL223" s="572"/>
      <c r="AM223" s="572">
        <f>SUM(AM221:AM222)</f>
        <v>0</v>
      </c>
      <c r="AN223" s="572"/>
      <c r="AO223" s="572"/>
      <c r="AP223" s="572">
        <f>SUM(AP221:AP222)</f>
        <v>0</v>
      </c>
      <c r="AQ223" s="572"/>
      <c r="AR223" s="572"/>
      <c r="AS223" s="1290">
        <f>SUM(AS221:AS222)</f>
        <v>0</v>
      </c>
      <c r="AT223" s="573"/>
      <c r="AU223" s="573"/>
      <c r="AV223" s="1082">
        <f>SUM(AV221:AV222)</f>
        <v>0</v>
      </c>
      <c r="AW223" s="572"/>
      <c r="AX223" s="575"/>
    </row>
    <row r="224" spans="1:62" outlineLevel="2">
      <c r="AM224" s="444"/>
      <c r="AN224" s="444"/>
      <c r="AO224" s="444"/>
      <c r="AP224" s="444"/>
      <c r="AQ224" s="444"/>
    </row>
    <row r="225" spans="2:66" ht="12.75" customHeight="1" outlineLevel="2">
      <c r="B225" s="139" t="s">
        <v>3687</v>
      </c>
      <c r="C225" s="140"/>
      <c r="D225" s="1008"/>
      <c r="E225" s="1648"/>
      <c r="F225" s="1008"/>
      <c r="G225" s="141"/>
      <c r="H225" s="141"/>
      <c r="I225" s="142"/>
      <c r="J225" s="116"/>
      <c r="K225" s="116"/>
      <c r="L225" s="116"/>
      <c r="M225" s="116"/>
      <c r="N225" s="116"/>
      <c r="O225" s="116"/>
      <c r="P225" s="116"/>
      <c r="Q225" s="116"/>
      <c r="R225" s="116"/>
      <c r="S225" s="116"/>
      <c r="T225" s="116"/>
      <c r="U225" s="116"/>
      <c r="V225" s="116"/>
      <c r="W225" s="116"/>
      <c r="X225" s="2636" t="s">
        <v>366</v>
      </c>
      <c r="Y225" s="2637"/>
      <c r="Z225" s="2637"/>
      <c r="AA225" s="2638"/>
      <c r="AC225" s="116"/>
      <c r="AD225" s="116"/>
      <c r="AG225" s="2639" t="s">
        <v>441</v>
      </c>
      <c r="AH225" s="2640"/>
      <c r="AI225" s="2640"/>
      <c r="AJ225" s="2640"/>
      <c r="AK225" s="2640"/>
      <c r="AL225" s="2640"/>
      <c r="AM225" s="2640"/>
      <c r="AN225" s="2640"/>
      <c r="AO225" s="2640"/>
      <c r="AP225" s="2640"/>
      <c r="AQ225" s="2640"/>
      <c r="AR225" s="2640"/>
      <c r="AS225" s="2640"/>
      <c r="AT225" s="2640"/>
      <c r="AU225" s="2640"/>
      <c r="AV225" s="2640"/>
      <c r="AW225" s="2640"/>
      <c r="AX225" s="2641"/>
    </row>
    <row r="226" spans="2:66" ht="12.75" customHeight="1" outlineLevel="2">
      <c r="B226" s="143"/>
      <c r="C226" s="144"/>
      <c r="D226" s="537" t="s">
        <v>308</v>
      </c>
      <c r="E226" s="1663"/>
      <c r="F226" s="144"/>
      <c r="G226" s="144"/>
      <c r="H226" s="1244"/>
      <c r="I226" s="539" t="s">
        <v>444</v>
      </c>
      <c r="J226" s="116"/>
      <c r="K226" s="116"/>
      <c r="L226" s="116"/>
      <c r="M226" s="116"/>
      <c r="N226" s="116"/>
      <c r="O226" s="116"/>
      <c r="P226" s="116"/>
      <c r="Q226" s="116"/>
      <c r="R226" s="116"/>
      <c r="S226" s="116"/>
      <c r="T226" s="116"/>
      <c r="U226" s="116"/>
      <c r="X226" s="1243"/>
      <c r="Y226" s="1244"/>
      <c r="Z226" s="1244"/>
      <c r="AA226" s="539" t="s">
        <v>444</v>
      </c>
      <c r="AF226" s="127"/>
      <c r="AG226" s="2642"/>
      <c r="AH226" s="2643"/>
      <c r="AI226" s="2643"/>
      <c r="AJ226" s="2643"/>
      <c r="AK226" s="2643"/>
      <c r="AL226" s="2643"/>
      <c r="AM226" s="2643"/>
      <c r="AN226" s="2643"/>
      <c r="AO226" s="2643"/>
      <c r="AP226" s="2643"/>
      <c r="AQ226" s="2643"/>
      <c r="AR226" s="2644"/>
      <c r="AS226" s="2642"/>
      <c r="AT226" s="2643"/>
      <c r="AU226" s="2644"/>
      <c r="AV226" s="1288"/>
      <c r="AW226" s="566"/>
      <c r="AX226" s="583"/>
      <c r="BH226" s="2828" t="s">
        <v>1648</v>
      </c>
      <c r="BI226" s="2829"/>
    </row>
    <row r="227" spans="2:66" ht="12.75" customHeight="1" outlineLevel="2">
      <c r="B227" s="1243"/>
      <c r="C227" s="1244"/>
      <c r="D227" s="1244" t="s">
        <v>409</v>
      </c>
      <c r="E227" s="1656"/>
      <c r="F227" s="147" t="s">
        <v>452</v>
      </c>
      <c r="G227" s="147" t="s">
        <v>3670</v>
      </c>
      <c r="H227" s="1006"/>
      <c r="I227" s="220" t="s">
        <v>880</v>
      </c>
      <c r="J227" s="116"/>
      <c r="K227" s="116"/>
      <c r="L227" s="116"/>
      <c r="M227" s="116"/>
      <c r="N227" s="116"/>
      <c r="O227" s="116"/>
      <c r="P227" s="116"/>
      <c r="Q227" s="116"/>
      <c r="R227" s="116"/>
      <c r="S227" s="116"/>
      <c r="T227" s="116"/>
      <c r="U227" s="116"/>
      <c r="V227" s="109"/>
      <c r="W227" s="109"/>
      <c r="X227" s="1243" t="s">
        <v>316</v>
      </c>
      <c r="Y227" s="2629" t="s">
        <v>316</v>
      </c>
      <c r="Z227" s="2630"/>
      <c r="AA227" s="220" t="s">
        <v>880</v>
      </c>
      <c r="AC227" s="109"/>
      <c r="AD227" s="109"/>
      <c r="AE227" s="127"/>
      <c r="AF227" s="127"/>
      <c r="AG227" s="2631" t="s">
        <v>444</v>
      </c>
      <c r="AH227" s="2632"/>
      <c r="AI227" s="2632"/>
      <c r="AJ227" s="2632"/>
      <c r="AK227" s="2632"/>
      <c r="AL227" s="2632"/>
      <c r="AM227" s="2632"/>
      <c r="AN227" s="2632"/>
      <c r="AO227" s="2632"/>
      <c r="AP227" s="2632"/>
      <c r="AQ227" s="2632"/>
      <c r="AR227" s="2650"/>
      <c r="AS227" s="2848" t="s">
        <v>444</v>
      </c>
      <c r="AT227" s="2648"/>
      <c r="AU227" s="2649"/>
      <c r="AV227" s="2631"/>
      <c r="AW227" s="2632"/>
      <c r="AX227" s="568"/>
      <c r="BH227" s="2837" t="s">
        <v>1646</v>
      </c>
      <c r="BI227" s="1141"/>
    </row>
    <row r="228" spans="2:66" ht="12.75" customHeight="1" outlineLevel="2">
      <c r="B228" s="1243"/>
      <c r="C228" s="1244"/>
      <c r="D228" s="1244" t="s">
        <v>444</v>
      </c>
      <c r="E228" s="1656"/>
      <c r="F228" s="1248" t="s">
        <v>445</v>
      </c>
      <c r="G228" s="1248" t="s">
        <v>881</v>
      </c>
      <c r="H228" s="1007"/>
      <c r="I228" s="220" t="s">
        <v>257</v>
      </c>
      <c r="J228" s="116"/>
      <c r="K228" s="116"/>
      <c r="L228" s="116"/>
      <c r="M228" s="116"/>
      <c r="N228" s="116"/>
      <c r="O228" s="116"/>
      <c r="P228" s="116"/>
      <c r="Q228" s="116"/>
      <c r="R228" s="116"/>
      <c r="S228" s="116"/>
      <c r="T228" s="116"/>
      <c r="U228" s="116"/>
      <c r="V228" s="109"/>
      <c r="W228" s="109"/>
      <c r="X228" s="1243" t="s">
        <v>1649</v>
      </c>
      <c r="Y228" s="2646" t="s">
        <v>1650</v>
      </c>
      <c r="Z228" s="2647"/>
      <c r="AA228" s="220" t="s">
        <v>257</v>
      </c>
      <c r="AC228" s="109"/>
      <c r="AD228" s="109"/>
      <c r="AE228" s="127"/>
      <c r="AG228" s="579" t="s">
        <v>211</v>
      </c>
      <c r="AH228" s="580"/>
      <c r="AI228" s="580"/>
      <c r="AJ228" s="580" t="s">
        <v>442</v>
      </c>
      <c r="AK228" s="580"/>
      <c r="AL228" s="580"/>
      <c r="AM228" s="580" t="s">
        <v>267</v>
      </c>
      <c r="AN228" s="580"/>
      <c r="AO228" s="580"/>
      <c r="AP228" s="580" t="s">
        <v>443</v>
      </c>
      <c r="AQ228" s="580"/>
      <c r="AR228" s="580"/>
      <c r="AS228" s="1289" t="s">
        <v>327</v>
      </c>
      <c r="AT228" s="581"/>
      <c r="AU228" s="581"/>
      <c r="AV228" s="579" t="s">
        <v>636</v>
      </c>
      <c r="AW228" s="580"/>
      <c r="AX228" s="583"/>
      <c r="BH228" s="2838"/>
      <c r="BI228" s="1251"/>
    </row>
    <row r="229" spans="2:66" ht="12.75" customHeight="1" outlineLevel="2">
      <c r="B229" s="143" t="s">
        <v>3669</v>
      </c>
      <c r="C229" s="144"/>
      <c r="D229" s="212">
        <f>I229</f>
        <v>0</v>
      </c>
      <c r="E229" s="212"/>
      <c r="F229" s="117"/>
      <c r="G229" s="117"/>
      <c r="H229" s="225"/>
      <c r="I229" s="152">
        <f>G229</f>
        <v>0</v>
      </c>
      <c r="J229" s="116"/>
      <c r="K229" s="116"/>
      <c r="L229" s="116"/>
      <c r="M229" s="116"/>
      <c r="N229" s="116"/>
      <c r="O229" s="116"/>
      <c r="P229" s="116"/>
      <c r="Q229" s="116"/>
      <c r="R229" s="116"/>
      <c r="S229" s="116"/>
      <c r="T229" s="116"/>
      <c r="U229" s="116"/>
      <c r="X229" s="1092">
        <f>IF(AA229=0,AA229,AA229/D229)</f>
        <v>0</v>
      </c>
      <c r="Y229" s="343"/>
      <c r="Z229" s="820"/>
      <c r="AA229" s="165">
        <f>I229*BI229</f>
        <v>0</v>
      </c>
      <c r="AG229" s="564">
        <f>D229</f>
        <v>0</v>
      </c>
      <c r="AH229" s="565"/>
      <c r="AI229" s="565"/>
      <c r="AJ229" s="565"/>
      <c r="AK229" s="565"/>
      <c r="AL229" s="565"/>
      <c r="AM229" s="565"/>
      <c r="AN229" s="565"/>
      <c r="AO229" s="565"/>
      <c r="AP229" s="565"/>
      <c r="AQ229" s="565"/>
      <c r="AR229" s="565"/>
      <c r="AS229" s="1288">
        <f>SUM(AG229:AP229)</f>
        <v>0</v>
      </c>
      <c r="AT229" s="566"/>
      <c r="AU229" s="566"/>
      <c r="AV229" s="564"/>
      <c r="AW229" s="565"/>
      <c r="AX229" s="568"/>
      <c r="BH229" s="1065">
        <f>IF($Y229&lt;&gt;"votre valeur :",IF(ISNA(VLOOKUP($Y229,Utilitaires!$N$566:$O$571,2,FALSE)),,VLOOKUP($Y229,Utilitaires!$N$566:$O$571,2,FALSE)),$Z229)</f>
        <v>0</v>
      </c>
      <c r="BI229" s="1130">
        <f>SQRT(SUMSQ(0,BH229))</f>
        <v>0</v>
      </c>
    </row>
    <row r="230" spans="2:66" ht="12.75" customHeight="1" outlineLevel="2">
      <c r="B230" s="143" t="s">
        <v>3669</v>
      </c>
      <c r="C230" s="144"/>
      <c r="D230" s="212">
        <f>I230</f>
        <v>0</v>
      </c>
      <c r="E230" s="212"/>
      <c r="F230" s="120"/>
      <c r="G230" s="120"/>
      <c r="H230" s="225"/>
      <c r="I230" s="152">
        <f t="shared" ref="I230:I231" si="126">G230</f>
        <v>0</v>
      </c>
      <c r="J230" s="116"/>
      <c r="K230" s="116"/>
      <c r="L230" s="116"/>
      <c r="M230" s="116"/>
      <c r="N230" s="116"/>
      <c r="O230" s="116"/>
      <c r="P230" s="116"/>
      <c r="Q230" s="116"/>
      <c r="R230" s="116"/>
      <c r="S230" s="116"/>
      <c r="T230" s="116"/>
      <c r="U230" s="116"/>
      <c r="X230" s="1092">
        <f>IF(AA230=0,AA230,AA230/D230)</f>
        <v>0</v>
      </c>
      <c r="Y230" s="343"/>
      <c r="Z230" s="820"/>
      <c r="AA230" s="165">
        <f>I230*BI230</f>
        <v>0</v>
      </c>
      <c r="AG230" s="564">
        <f>D230</f>
        <v>0</v>
      </c>
      <c r="AH230" s="565"/>
      <c r="AI230" s="565"/>
      <c r="AJ230" s="565"/>
      <c r="AK230" s="565"/>
      <c r="AL230" s="565"/>
      <c r="AM230" s="565"/>
      <c r="AN230" s="565"/>
      <c r="AO230" s="565"/>
      <c r="AP230" s="565"/>
      <c r="AQ230" s="565"/>
      <c r="AR230" s="565"/>
      <c r="AS230" s="1288">
        <f>SUM(AG230:AP230)</f>
        <v>0</v>
      </c>
      <c r="AT230" s="566"/>
      <c r="AU230" s="566"/>
      <c r="AV230" s="564"/>
      <c r="AW230" s="565"/>
      <c r="AX230" s="568"/>
      <c r="BH230" s="1065">
        <f>IF($Y230&lt;&gt;"votre valeur :",IF(ISNA(VLOOKUP($Y230,Utilitaires!$N$566:$O$571,2,FALSE)),,VLOOKUP($Y230,Utilitaires!$N$566:$O$571,2,FALSE)),$Z230)</f>
        <v>0</v>
      </c>
      <c r="BI230" s="1130">
        <f>SQRT(SUMSQ(0,BH230))</f>
        <v>0</v>
      </c>
    </row>
    <row r="231" spans="2:66" ht="12.75" customHeight="1" outlineLevel="2">
      <c r="B231" s="143" t="s">
        <v>3669</v>
      </c>
      <c r="C231" s="144"/>
      <c r="D231" s="212">
        <f>I231</f>
        <v>0</v>
      </c>
      <c r="E231" s="212"/>
      <c r="F231" s="123"/>
      <c r="G231" s="123"/>
      <c r="H231" s="225"/>
      <c r="I231" s="152">
        <f t="shared" si="126"/>
        <v>0</v>
      </c>
      <c r="J231" s="116"/>
      <c r="K231" s="116"/>
      <c r="L231" s="116"/>
      <c r="M231" s="116"/>
      <c r="N231" s="116"/>
      <c r="O231" s="116"/>
      <c r="P231" s="116"/>
      <c r="Q231" s="116"/>
      <c r="R231" s="116"/>
      <c r="S231" s="116"/>
      <c r="T231" s="116"/>
      <c r="U231" s="116"/>
      <c r="X231" s="1092">
        <f>IF(AA231=0,AA231,AA231/D231)</f>
        <v>0</v>
      </c>
      <c r="Y231" s="1094"/>
      <c r="Z231" s="820"/>
      <c r="AA231" s="165">
        <f>I231*BI231</f>
        <v>0</v>
      </c>
      <c r="AG231" s="564">
        <f>D231</f>
        <v>0</v>
      </c>
      <c r="AH231" s="565"/>
      <c r="AI231" s="565"/>
      <c r="AJ231" s="565"/>
      <c r="AK231" s="565"/>
      <c r="AL231" s="565"/>
      <c r="AM231" s="565"/>
      <c r="AN231" s="565"/>
      <c r="AO231" s="565"/>
      <c r="AP231" s="565"/>
      <c r="AQ231" s="565"/>
      <c r="AR231" s="565"/>
      <c r="AS231" s="1288">
        <f>SUM(AG231:AP231)</f>
        <v>0</v>
      </c>
      <c r="AT231" s="566"/>
      <c r="AU231" s="566"/>
      <c r="AV231" s="564"/>
      <c r="AW231" s="565"/>
      <c r="AX231" s="568"/>
      <c r="BH231" s="1065">
        <f>IF($Y231&lt;&gt;"votre valeur :",IF(ISNA(VLOOKUP($Y231,Utilitaires!$N$566:$O$571,2,FALSE)),,VLOOKUP($Y231,Utilitaires!$N$566:$O$571,2,FALSE)),$Z231)</f>
        <v>0</v>
      </c>
      <c r="BI231" s="1130">
        <f>SQRT(SUMSQ(0,BH231))</f>
        <v>0</v>
      </c>
    </row>
    <row r="232" spans="2:66" ht="12.75" customHeight="1" outlineLevel="2">
      <c r="B232" s="154"/>
      <c r="C232" s="155"/>
      <c r="D232" s="221"/>
      <c r="E232" s="221"/>
      <c r="F232" s="155"/>
      <c r="G232" s="155"/>
      <c r="H232" s="155"/>
      <c r="I232" s="156"/>
      <c r="J232" s="116"/>
      <c r="K232" s="116"/>
      <c r="L232" s="116"/>
      <c r="M232" s="116"/>
      <c r="N232" s="116"/>
      <c r="O232" s="116"/>
      <c r="P232" s="116"/>
      <c r="Q232" s="116"/>
      <c r="R232" s="116"/>
      <c r="S232" s="116"/>
      <c r="T232" s="116"/>
      <c r="U232" s="116"/>
      <c r="X232" s="1092"/>
      <c r="Y232" s="155"/>
      <c r="Z232" s="169"/>
      <c r="AA232" s="165"/>
      <c r="AG232" s="564"/>
      <c r="AH232" s="565"/>
      <c r="AI232" s="565"/>
      <c r="AJ232" s="565"/>
      <c r="AK232" s="565"/>
      <c r="AL232" s="565"/>
      <c r="AM232" s="565"/>
      <c r="AN232" s="565"/>
      <c r="AO232" s="565"/>
      <c r="AP232" s="565"/>
      <c r="AQ232" s="565"/>
      <c r="AR232" s="565"/>
      <c r="AS232" s="1288"/>
      <c r="AT232" s="566"/>
      <c r="AU232" s="566"/>
      <c r="AV232" s="564"/>
      <c r="AW232" s="565"/>
      <c r="AX232" s="568"/>
      <c r="BH232" s="1087"/>
      <c r="BI232" s="1153"/>
    </row>
    <row r="233" spans="2:66" ht="12.75" customHeight="1" outlineLevel="2">
      <c r="B233" s="196" t="s">
        <v>348</v>
      </c>
      <c r="C233" s="197"/>
      <c r="D233" s="214">
        <f>SUM(D229:D232)</f>
        <v>0</v>
      </c>
      <c r="E233" s="214"/>
      <c r="F233" s="198"/>
      <c r="G233" s="199"/>
      <c r="H233" s="199"/>
      <c r="I233" s="200">
        <f>SUM(I229:I232)</f>
        <v>0</v>
      </c>
      <c r="J233" s="116"/>
      <c r="K233" s="116"/>
      <c r="L233" s="116"/>
      <c r="M233" s="116"/>
      <c r="N233" s="116"/>
      <c r="O233" s="116"/>
      <c r="P233" s="116"/>
      <c r="Q233" s="116"/>
      <c r="R233" s="116"/>
      <c r="S233" s="116"/>
      <c r="T233" s="116"/>
      <c r="U233" s="116"/>
      <c r="X233" s="1203">
        <f>IF(AA233=0,AA233,AA233/D233)</f>
        <v>0</v>
      </c>
      <c r="Y233" s="199"/>
      <c r="Z233" s="199"/>
      <c r="AA233" s="200">
        <f>SQRT(SUMSQ(AA229:AA232))</f>
        <v>0</v>
      </c>
      <c r="AG233" s="571">
        <f>SUM(AG229:AG232)</f>
        <v>0</v>
      </c>
      <c r="AH233" s="572"/>
      <c r="AI233" s="572"/>
      <c r="AJ233" s="572">
        <f>SUM(AJ229:AJ232)</f>
        <v>0</v>
      </c>
      <c r="AK233" s="572"/>
      <c r="AL233" s="572"/>
      <c r="AM233" s="572">
        <f>SUM(AM229:AM232)</f>
        <v>0</v>
      </c>
      <c r="AN233" s="572"/>
      <c r="AO233" s="572"/>
      <c r="AP233" s="572">
        <f>SUM(AP229:AP232)</f>
        <v>0</v>
      </c>
      <c r="AQ233" s="572"/>
      <c r="AR233" s="572"/>
      <c r="AS233" s="1290">
        <f>SUM(AS229:AS232)</f>
        <v>0</v>
      </c>
      <c r="AT233" s="573"/>
      <c r="AU233" s="573"/>
      <c r="AV233" s="1082">
        <f>SUM(AV229:AV232)</f>
        <v>0</v>
      </c>
      <c r="AW233" s="572"/>
      <c r="AX233" s="575"/>
    </row>
    <row r="234" spans="2:66" outlineLevel="2">
      <c r="AM234" s="444"/>
      <c r="AN234" s="444"/>
      <c r="AO234" s="444"/>
      <c r="AP234" s="444"/>
      <c r="AQ234" s="444"/>
    </row>
    <row r="235" spans="2:66" ht="12.75" customHeight="1" outlineLevel="2">
      <c r="B235" s="2428" t="s">
        <v>2274</v>
      </c>
      <c r="C235" s="2429"/>
      <c r="D235" s="2429"/>
      <c r="E235" s="2429"/>
      <c r="F235" s="2429"/>
      <c r="G235" s="2429"/>
      <c r="H235" s="2429"/>
      <c r="I235" s="2429"/>
      <c r="J235" s="2429"/>
      <c r="K235" s="141"/>
      <c r="L235" s="141"/>
      <c r="M235" s="140"/>
      <c r="N235" s="2265"/>
      <c r="O235" s="2265"/>
      <c r="P235" s="2421"/>
      <c r="Q235" s="142"/>
      <c r="X235" s="2636" t="s">
        <v>366</v>
      </c>
      <c r="Y235" s="2637"/>
      <c r="Z235" s="2637"/>
      <c r="AA235" s="2637"/>
      <c r="AB235" s="2637"/>
      <c r="AC235" s="2637"/>
      <c r="AD235" s="2638"/>
      <c r="AE235" s="1773"/>
      <c r="AG235" s="2639" t="s">
        <v>441</v>
      </c>
      <c r="AH235" s="2640"/>
      <c r="AI235" s="2640"/>
      <c r="AJ235" s="2640"/>
      <c r="AK235" s="2640"/>
      <c r="AL235" s="2640"/>
      <c r="AM235" s="2640"/>
      <c r="AN235" s="2640"/>
      <c r="AO235" s="2640"/>
      <c r="AP235" s="2640"/>
      <c r="AQ235" s="2640"/>
      <c r="AR235" s="2640"/>
      <c r="AS235" s="2640"/>
      <c r="AT235" s="2640"/>
      <c r="AU235" s="2640"/>
      <c r="AV235" s="2640"/>
      <c r="AW235" s="2640"/>
      <c r="AX235" s="2641"/>
    </row>
    <row r="236" spans="2:66" ht="12.75" customHeight="1" outlineLevel="2">
      <c r="B236" s="332"/>
      <c r="C236" s="167"/>
      <c r="D236" s="537" t="s">
        <v>308</v>
      </c>
      <c r="E236" s="1663"/>
      <c r="F236" s="155"/>
      <c r="G236" s="155"/>
      <c r="H236" s="144"/>
      <c r="I236" s="144"/>
      <c r="J236" s="144"/>
      <c r="K236" s="144"/>
      <c r="L236" s="144"/>
      <c r="M236" s="2423"/>
      <c r="N236" s="2419"/>
      <c r="O236" s="2419"/>
      <c r="P236" s="2419"/>
      <c r="Q236" s="145"/>
      <c r="X236" s="1170"/>
      <c r="Y236" s="1241"/>
      <c r="Z236" s="1241"/>
      <c r="AA236" s="1241"/>
      <c r="AB236" s="1241"/>
      <c r="AC236" s="1254"/>
      <c r="AD236" s="142"/>
      <c r="AE236" s="256"/>
      <c r="AG236" s="2642" t="s">
        <v>444</v>
      </c>
      <c r="AH236" s="2643"/>
      <c r="AI236" s="2643"/>
      <c r="AJ236" s="2643"/>
      <c r="AK236" s="2643"/>
      <c r="AL236" s="2643"/>
      <c r="AM236" s="2643"/>
      <c r="AN236" s="2643"/>
      <c r="AO236" s="2643"/>
      <c r="AP236" s="2643"/>
      <c r="AQ236" s="2643"/>
      <c r="AR236" s="2644"/>
      <c r="AS236" s="2642" t="s">
        <v>444</v>
      </c>
      <c r="AT236" s="2643"/>
      <c r="AU236" s="2644"/>
      <c r="AV236" s="1288"/>
      <c r="AW236" s="566"/>
      <c r="AX236" s="583"/>
      <c r="BH236" s="2616" t="s">
        <v>1648</v>
      </c>
      <c r="BI236" s="2645"/>
      <c r="BJ236" s="2645"/>
      <c r="BK236" s="2645"/>
      <c r="BL236" s="2617"/>
      <c r="BM236" s="2617"/>
      <c r="BN236" s="2618"/>
    </row>
    <row r="237" spans="2:66" ht="12.75" customHeight="1" outlineLevel="2">
      <c r="B237" s="1252"/>
      <c r="C237" s="1253"/>
      <c r="D237" s="1253" t="s">
        <v>409</v>
      </c>
      <c r="E237" s="1656"/>
      <c r="F237" s="1256" t="s">
        <v>452</v>
      </c>
      <c r="G237" s="1256"/>
      <c r="H237" s="2626" t="s">
        <v>2224</v>
      </c>
      <c r="I237" s="2628"/>
      <c r="J237" s="2627"/>
      <c r="K237" s="2422"/>
      <c r="L237" s="2628" t="s">
        <v>2222</v>
      </c>
      <c r="M237" s="2628"/>
      <c r="N237" s="2628"/>
      <c r="O237" s="2768" t="s">
        <v>444</v>
      </c>
      <c r="P237" s="2768"/>
      <c r="Q237" s="2841"/>
      <c r="X237" s="1243" t="s">
        <v>316</v>
      </c>
      <c r="Y237" s="2629" t="s">
        <v>316</v>
      </c>
      <c r="Z237" s="2630"/>
      <c r="AA237" s="2626" t="s">
        <v>444</v>
      </c>
      <c r="AB237" s="2628"/>
      <c r="AC237" s="2628"/>
      <c r="AD237" s="539" t="s">
        <v>444</v>
      </c>
      <c r="AE237" s="1773"/>
      <c r="AG237" s="2631" t="s">
        <v>211</v>
      </c>
      <c r="AH237" s="2632"/>
      <c r="AI237" s="2632"/>
      <c r="AJ237" s="2632" t="s">
        <v>442</v>
      </c>
      <c r="AK237" s="2632"/>
      <c r="AL237" s="2632"/>
      <c r="AM237" s="2632" t="s">
        <v>267</v>
      </c>
      <c r="AN237" s="2632"/>
      <c r="AO237" s="2632"/>
      <c r="AP237" s="2632" t="s">
        <v>443</v>
      </c>
      <c r="AQ237" s="2632"/>
      <c r="AR237" s="2650"/>
      <c r="AS237" s="2848" t="s">
        <v>327</v>
      </c>
      <c r="AT237" s="2648"/>
      <c r="AU237" s="2649"/>
      <c r="AV237" s="2631" t="s">
        <v>636</v>
      </c>
      <c r="AW237" s="2632"/>
      <c r="AX237" s="568"/>
      <c r="BH237" s="2857" t="s">
        <v>1646</v>
      </c>
      <c r="BI237" s="2833" t="s">
        <v>895</v>
      </c>
      <c r="BJ237" s="2834"/>
      <c r="BK237" s="2835"/>
      <c r="BL237" s="2833" t="s">
        <v>38</v>
      </c>
      <c r="BM237" s="2834"/>
      <c r="BN237" s="2835"/>
    </row>
    <row r="238" spans="2:66" ht="12.75" customHeight="1" outlineLevel="2">
      <c r="B238" s="1252"/>
      <c r="C238" s="1253"/>
      <c r="D238" s="1253" t="s">
        <v>444</v>
      </c>
      <c r="E238" s="1656"/>
      <c r="F238" s="1257" t="s">
        <v>445</v>
      </c>
      <c r="G238" s="153" t="s">
        <v>895</v>
      </c>
      <c r="H238" s="1258" t="s">
        <v>422</v>
      </c>
      <c r="I238" s="1258" t="s">
        <v>411</v>
      </c>
      <c r="J238" s="1662" t="s">
        <v>257</v>
      </c>
      <c r="K238" s="153" t="s">
        <v>38</v>
      </c>
      <c r="L238" s="1662" t="s">
        <v>422</v>
      </c>
      <c r="M238" s="1662" t="s">
        <v>411</v>
      </c>
      <c r="N238" s="1662" t="s">
        <v>257</v>
      </c>
      <c r="O238" s="2420" t="s">
        <v>422</v>
      </c>
      <c r="P238" s="2420" t="s">
        <v>411</v>
      </c>
      <c r="Q238" s="220" t="s">
        <v>257</v>
      </c>
      <c r="X238" s="1243" t="s">
        <v>1649</v>
      </c>
      <c r="Y238" s="2646" t="s">
        <v>1650</v>
      </c>
      <c r="Z238" s="2647"/>
      <c r="AA238" s="1249" t="s">
        <v>411</v>
      </c>
      <c r="AB238" s="580" t="s">
        <v>257</v>
      </c>
      <c r="AC238" s="580" t="s">
        <v>422</v>
      </c>
      <c r="AD238" s="539" t="s">
        <v>327</v>
      </c>
      <c r="AE238" s="1773"/>
      <c r="AG238" s="579" t="s">
        <v>411</v>
      </c>
      <c r="AH238" s="580" t="s">
        <v>257</v>
      </c>
      <c r="AI238" s="580" t="s">
        <v>422</v>
      </c>
      <c r="AJ238" s="580" t="s">
        <v>411</v>
      </c>
      <c r="AK238" s="580" t="s">
        <v>257</v>
      </c>
      <c r="AL238" s="580" t="s">
        <v>422</v>
      </c>
      <c r="AM238" s="580" t="s">
        <v>411</v>
      </c>
      <c r="AN238" s="580" t="s">
        <v>257</v>
      </c>
      <c r="AO238" s="580" t="s">
        <v>422</v>
      </c>
      <c r="AP238" s="580" t="s">
        <v>411</v>
      </c>
      <c r="AQ238" s="580" t="s">
        <v>257</v>
      </c>
      <c r="AR238" s="580" t="s">
        <v>422</v>
      </c>
      <c r="AS238" s="1289" t="s">
        <v>411</v>
      </c>
      <c r="AT238" s="581" t="s">
        <v>257</v>
      </c>
      <c r="AU238" s="581" t="s">
        <v>422</v>
      </c>
      <c r="AV238" s="579" t="s">
        <v>411</v>
      </c>
      <c r="AW238" s="580" t="s">
        <v>257</v>
      </c>
      <c r="AX238" s="583" t="s">
        <v>422</v>
      </c>
      <c r="BH238" s="2838"/>
      <c r="BI238" s="2426" t="s">
        <v>422</v>
      </c>
      <c r="BJ238" s="2426" t="s">
        <v>411</v>
      </c>
      <c r="BK238" s="2426" t="s">
        <v>257</v>
      </c>
      <c r="BL238" s="2425" t="s">
        <v>422</v>
      </c>
      <c r="BM238" s="1250" t="s">
        <v>411</v>
      </c>
      <c r="BN238" s="1250" t="s">
        <v>257</v>
      </c>
    </row>
    <row r="239" spans="2:66" outlineLevel="2">
      <c r="B239" s="405" t="s">
        <v>5211</v>
      </c>
      <c r="C239" s="406"/>
      <c r="D239" s="212">
        <f>SUM(O239:Q239)</f>
        <v>45.311999999999998</v>
      </c>
      <c r="E239" s="212"/>
      <c r="F239" s="117" t="s">
        <v>528</v>
      </c>
      <c r="G239" s="117">
        <v>19200</v>
      </c>
      <c r="H239" s="1266">
        <f>VLOOKUP($B239&amp;"; "&amp;$H$237&amp;" "&amp;H$238,'FE Déplacements'!$G:$U,9,FALSE)</f>
        <v>6.3000000000000003E-4</v>
      </c>
      <c r="I239" s="1266">
        <f>VLOOKUP($B239&amp;"; "&amp;$H$237&amp;" "&amp;I$238,'FE Déplacements'!$G:$U,9,FALSE)</f>
        <v>1.73E-3</v>
      </c>
      <c r="J239" s="1266">
        <f>VLOOKUP($B239&amp;"; "&amp;$H$237&amp;" "&amp;J$238,'FE Déplacements'!$G:$U,9,FALSE)</f>
        <v>0</v>
      </c>
      <c r="K239" s="117"/>
      <c r="L239" s="410">
        <f>IF(ISNA(VLOOKUP($B239&amp;"; "&amp;$L$237&amp;" "&amp;K$238,'FE Déplacements'!$G:$U,9,FALSE)),0,VLOOKUP($B239&amp;"; "&amp;$L$237&amp;" "&amp;K$238,'FE Déplacements'!$G:$U,9,FALSE))</f>
        <v>0</v>
      </c>
      <c r="M239" s="410">
        <f>IF(ISNA(VLOOKUP($B239&amp;"; "&amp;$L$237&amp;" "&amp;M238,'FE Déplacements'!$G:$U,9,FALSE)),0,VLOOKUP($B239&amp;"; "&amp;$L$237&amp;" "&amp;M238,'FE Déplacements'!$G:$U,9,FALSE))</f>
        <v>0</v>
      </c>
      <c r="N239" s="410">
        <f>IF(ISNA(VLOOKUP($B239&amp;"; "&amp;$L$237&amp;" "&amp;N$238,'FE Déplacements'!$G:$U,9,FALSE)),0,VLOOKUP($B239&amp;"; "&amp;$L$237&amp;" "&amp;N$238,'FE Déplacements'!$G:$U,9,FALSE))</f>
        <v>0</v>
      </c>
      <c r="O239" s="151">
        <f>$G239*IF(ISNA(H239),0,H239)+$K239*IF(ISNA(L239),0,L239)</f>
        <v>12.096</v>
      </c>
      <c r="P239" s="151">
        <f>$G239*IF(ISNA(I239),0,I239)+$K239*IF(ISNA(M239),0,M239)</f>
        <v>33.216000000000001</v>
      </c>
      <c r="Q239" s="152">
        <f>$G239*IF(ISNA(J239),0,J239)+$K239*IF(ISNA(N239),0,N239)</f>
        <v>0</v>
      </c>
      <c r="X239" s="1092">
        <f>IF(AD239=0,AD239,AD239/D239)</f>
        <v>0.15602889411919019</v>
      </c>
      <c r="Y239" s="343"/>
      <c r="Z239" s="820"/>
      <c r="AA239" s="164">
        <f>SQRT(SUMSQ(IF(ISNA(G239*I239*BJ239),0,G239*I239*BJ239),IF(ISNA(K239*M239*BM239),0,K239*M239*BM239)))</f>
        <v>6.6432000000000002</v>
      </c>
      <c r="AB239" s="164">
        <f>SQRT(SUMSQ(IF(ISNA(G239*J239*BK239),0,G239*J239*BK239),IF(ISNA(K239*N239*BN239),0,K239*N239*BN239)))</f>
        <v>0</v>
      </c>
      <c r="AC239" s="164">
        <f>SQRT(SUMSQ(IF(ISNA(G239*H239*BI239),0,G239*H239*BI239),IF(ISNA(K239*L239*BL239),0,K239*L239*BL239)))</f>
        <v>2.4192</v>
      </c>
      <c r="AD239" s="152">
        <f>SQRT(SUMSQ(AA239:AC239))</f>
        <v>7.0699812503287456</v>
      </c>
      <c r="AE239" s="1458"/>
      <c r="AG239" s="564">
        <f>$G239*IF(ISNA(VLOOKUP($B239&amp;"; "&amp;$H$237&amp;" "&amp;I$238,'FE Déplacements'!$G:$U,10,FALSE)),0,VLOOKUP($B239&amp;"; "&amp;$H$237&amp;" "&amp;I$238,'FE Déplacements'!$G:$U,10,FALSE))
+$K239*IF(ISNA(VLOOKUP($B239&amp;"; "&amp;$L$237&amp;" "&amp;M$238,'FE Déplacements'!$G:$U,10,FALSE)),0,VLOOKUP($B239&amp;"; "&amp;$L$237&amp;" "&amp;M$238,'FE Déplacements'!$G:$U,10,FALSE))</f>
        <v>33.216000000000001</v>
      </c>
      <c r="AH239" s="565">
        <f>$G239*IF(ISNA(VLOOKUP($B239&amp;"; "&amp;$H$237&amp;" "&amp;J$238,'FE Déplacements'!$G:$U,10,FALSE)),0,VLOOKUP($B239&amp;"; "&amp;$H$237&amp;" "&amp;J$238,'FE Déplacements'!$G:$U,10,FALSE))
+$K239*IF(ISNA(VLOOKUP($B239&amp;"; "&amp;$L$237&amp;" "&amp;N$238,'FE Déplacements'!$G:$U,10,FALSE)),0,VLOOKUP($B239&amp;"; "&amp;$L$237&amp;" "&amp;N$238,'FE Déplacements'!$G:$U,10,FALSE))</f>
        <v>0</v>
      </c>
      <c r="AI239" s="565">
        <f>$G239*IF(ISNA(VLOOKUP($B239&amp;"; "&amp;$H$237&amp;" "&amp;H$238,'FE Déplacements'!$G:$U,10,FALSE)),0,VLOOKUP($B239&amp;"; "&amp;$H$237&amp;" "&amp;H$238,'FE Déplacements'!$G:$U,10,FALSE))
+$K239*IF(ISNA(VLOOKUP($B239&amp;"; "&amp;$L$237&amp;" "&amp;L$238,'FE Déplacements'!$G:$U,10,FALSE)),0,VLOOKUP($B239&amp;"; "&amp;$L$237&amp;" "&amp;L$238,'FE Déplacements'!$G:$U,10,FALSE))</f>
        <v>12.096</v>
      </c>
      <c r="AJ239" s="565">
        <f>$G239*IF(ISNA((VLOOKUP($B239&amp;"; "&amp;$H$237&amp;" "&amp;I$238,'FE Déplacements'!$G:$U,12,FALSE)+VLOOKUP($B239&amp;"; "&amp;$H$237&amp;" "&amp;I$238,'FE Déplacements'!$G:$U,11,FALSE))),0,(VLOOKUP($B239&amp;"; "&amp;$H$237&amp;" "&amp;I$238,'FE Déplacements'!$G:$U,12,FALSE)+VLOOKUP($B239&amp;"; "&amp;$H$237&amp;" "&amp;I$238,'FE Déplacements'!$G:$U,11,FALSE)))
+$K239*IF(ISNA((VLOOKUP($B239&amp;"; "&amp;$L$237&amp;" "&amp;M$238,'FE Déplacements'!$G:$U,12,FALSE)+VLOOKUP($B239&amp;"; "&amp;$L$237&amp;" "&amp;M$238,'FE Déplacements'!$G:$U,11,FALSE))),0,(VLOOKUP($B239&amp;"; "&amp;$L$237&amp;" "&amp;M$238,'FE Déplacements'!$G:$U,12,FALSE)+VLOOKUP($B239&amp;"; "&amp;$L$237&amp;" "&amp;M$238,'FE Déplacements'!$G:$U,11,FALSE)))</f>
        <v>0</v>
      </c>
      <c r="AK239" s="565">
        <f>$G239*IF(ISNA((VLOOKUP($B239&amp;"; "&amp;$H$237&amp;" "&amp;J$238,'FE Déplacements'!$G:$U,12,FALSE)+VLOOKUP($B239&amp;"; "&amp;$H$237&amp;" "&amp;J$238,'FE Déplacements'!$G:$U,11,FALSE))),0,(VLOOKUP($B239&amp;"; "&amp;$H$237&amp;" "&amp;J$238,'FE Déplacements'!$G:$U,12,FALSE)+VLOOKUP($B239&amp;"; "&amp;$H$237&amp;" "&amp;J$238,'FE Déplacements'!$G:$U,11,FALSE)))
+$K239*IF(ISNA((VLOOKUP($B239&amp;"; "&amp;$L$237&amp;" "&amp;N$238,'FE Déplacements'!$G:$U,12,FALSE)+VLOOKUP($B239&amp;"; "&amp;$L$237&amp;" "&amp;N$238,'FE Déplacements'!$G:$U,11,FALSE))),0,(VLOOKUP($B239&amp;"; "&amp;$L$237&amp;" "&amp;N$238,'FE Déplacements'!$G:$U,12,FALSE)+VLOOKUP($B239&amp;"; "&amp;$L$237&amp;" "&amp;N$238,'FE Déplacements'!$G:$U,11,FALSE)))</f>
        <v>0</v>
      </c>
      <c r="AL239" s="565">
        <f>$G239*IF(ISNA((VLOOKUP($B239&amp;"; "&amp;$H$237&amp;" "&amp;H$238,'FE Déplacements'!$G:$U,12,FALSE)+VLOOKUP($B239&amp;"; "&amp;$H$237&amp;" "&amp;H$238,'FE Déplacements'!$G:$U,11,FALSE))),0,(VLOOKUP($B239&amp;"; "&amp;$H$237&amp;" "&amp;H$238,'FE Déplacements'!$G:$U,12,FALSE)+VLOOKUP($B239&amp;"; "&amp;$H$237&amp;" "&amp;H$238,'FE Déplacements'!$G:$U,11,FALSE)))
+$K239*IF(ISNA((VLOOKUP($B239&amp;"; "&amp;$L$237&amp;" "&amp;L$238,'FE Déplacements'!$G:$U,12,FALSE)+VLOOKUP($B239&amp;"; "&amp;$L$237&amp;" "&amp;L$238,'FE Déplacements'!$G:$U,11,FALSE))),0,(VLOOKUP($B239&amp;"; "&amp;$L$237&amp;" "&amp;L$238,'FE Déplacements'!$G:$U,12,FALSE)+VLOOKUP($B239&amp;"; "&amp;$L$237&amp;" "&amp;L$238,'FE Déplacements'!$G:$U,11,FALSE)))</f>
        <v>0</v>
      </c>
      <c r="AM239" s="565">
        <f>$G239*IF(ISNA(VLOOKUP($B239&amp;"; "&amp;$H$237&amp;" "&amp;J$238,'FE Déplacements'!$G:$U,13,FALSE)),0,VLOOKUP($B239&amp;"; "&amp;$H$237&amp;" "&amp;J$238,'FE Déplacements'!$G:$U,13,FALSE))
+$K239*IF(ISNA(VLOOKUP($B239&amp;"; "&amp;$L$237&amp;","&amp;N$238,'FE Déplacements'!$G:$U,13,FALSE)),0,VLOOKUP($B239&amp;"; "&amp;$L$237&amp;" "&amp;N$238,'FE Déplacements'!$G:$U,13,FALSE))</f>
        <v>0</v>
      </c>
      <c r="AN239" s="565">
        <f>$G239*IF(ISNA(VLOOKUP($B239&amp;"; "&amp;$H$237&amp;" "&amp;J$238,'FE Déplacements'!$G:$U,13,FALSE)),0,VLOOKUP($B239&amp;"; "&amp;$H$237&amp;" "&amp;J$238,'FE Déplacements'!$G:$U,13,FALSE))
+$K239*IF(ISNA(VLOOKUP($B239&amp;"; "&amp;$L$237&amp;","&amp;N$238,'FE Déplacements'!$G:$U,13,FALSE)),0,VLOOKUP($B239&amp;"; "&amp;$L$237&amp;" "&amp;N$238,'FE Déplacements'!$G:$U,13,FALSE))</f>
        <v>0</v>
      </c>
      <c r="AO239" s="565">
        <f>$G239*IF(ISNA(VLOOKUP($B239&amp;"; "&amp;$H$237&amp;" "&amp;H$238,'FE Déplacements'!$G:$U,13,FALSE)),0,VLOOKUP($B239&amp;"; "&amp;$H$237&amp;" "&amp;H$238,'FE Déplacements'!$G:$U,13,FALSE))
+$K239*IF(ISNA(VLOOKUP($B239&amp;"; "&amp;$L$237&amp;","&amp;L$238,'FE Déplacements'!$G:$U,13,FALSE)),0,VLOOKUP($B239&amp;"; "&amp;$L$237&amp;" "&amp;L$238,'FE Déplacements'!$G:$U,13,FALSE))</f>
        <v>0</v>
      </c>
      <c r="AP239" s="565">
        <v>0</v>
      </c>
      <c r="AQ239" s="565">
        <v>0</v>
      </c>
      <c r="AR239" s="565">
        <v>0</v>
      </c>
      <c r="AS239" s="1288">
        <f t="shared" ref="AS239:AT241" si="127">SUM(AG239,AJ239,AM239,AP239)</f>
        <v>33.216000000000001</v>
      </c>
      <c r="AT239" s="566">
        <f t="shared" si="127"/>
        <v>0</v>
      </c>
      <c r="AU239" s="566">
        <f>SUM(AI239,AL239,AO239,AR239)</f>
        <v>12.096</v>
      </c>
      <c r="AV239" s="564">
        <f>$G239*IF(ISNA(VLOOKUP($B239&amp;"; "&amp;$H$237&amp;" "&amp;I$238,'FE Déplacements'!$G:$U,15,FALSE)),0,VLOOKUP($B239&amp;"; "&amp;$H$237&amp;" "&amp;I$238,'FE Déplacements'!$G:$U,15,FALSE))
+$K239*IF(ISNA(VLOOKUP($B239&amp;"; "&amp;$L$237&amp;" "&amp;M$238,'FE Déplacements'!$G:$U,15,FALSE)),0,VLOOKUP($B239&amp;"; "&amp;$L$237&amp;" "&amp;M$238,'FE Déplacements'!$G:$U,15,FALSE))</f>
        <v>0</v>
      </c>
      <c r="AW239" s="565">
        <f>$G239*IF(ISNA(VLOOKUP($B239&amp;"; "&amp;$H$237&amp;" "&amp;J$238,'FE Déplacements'!$G:$U,15,FALSE)),0,VLOOKUP($B239&amp;"; "&amp;$H$237&amp;" "&amp;J$238,'FE Déplacements'!$G:$U,15,FALSE))
+$K239*IF(ISNA(VLOOKUP($B239&amp;"; "&amp;$L$237&amp;" "&amp;N$238,'FE Déplacements'!$G:$U,15,FALSE)),0,VLOOKUP($B239&amp;"; "&amp;$L$237&amp;" "&amp;N$238,'FE Déplacements'!$G:$U,15,FALSE))</f>
        <v>0</v>
      </c>
      <c r="AX239" s="568">
        <f>$G239*IF(ISNA(VLOOKUP($B239&amp;"; "&amp;$H$237&amp;" "&amp;H$238,'FE Déplacements'!$G:$U,15,FALSE)),0,VLOOKUP($B239&amp;"; "&amp;$H$237&amp;" "&amp;H$238,'FE Déplacements'!$G:$U,15,FALSE))
+$K239*IF(ISNA(VLOOKUP($B239&amp;"; "&amp;$L$237&amp;" "&amp;L$238,'FE Déplacements'!$G:$U,15,FALSE)),0,VLOOKUP($B239&amp;"; "&amp;$L$237&amp;" "&amp;L$238,'FE Déplacements'!$G:$U,15,FALSE))</f>
        <v>0</v>
      </c>
      <c r="BH239" s="1065">
        <f>IF($Y239&lt;&gt;"votre valeur :",IF(ISNA(VLOOKUP($Y239,Utilitaires!$N$566:$O$571,2,FALSE)),,VLOOKUP($Y239,Utilitaires!$N$566:$O$571,2,FALSE)),$Z239)</f>
        <v>0</v>
      </c>
      <c r="BI239" s="1124">
        <f>IF(ISNA(SQRT(SUMSQ(VLOOKUP($B239&amp;"; "&amp;$H$237&amp;" "&amp;H$238,'FE Déplacements'!$G:$U,7,FALSE),$BH239))),0,SQRT(SUMSQ(VLOOKUP($B239&amp;"; "&amp;$H$237&amp;" "&amp;H$238,'FE Déplacements'!$G:$U,7,FALSE),$BH239)))</f>
        <v>0.2</v>
      </c>
      <c r="BJ239" s="1124">
        <f>IF(ISNA(SQRT(SUMSQ(VLOOKUP($B239&amp;"; "&amp;$H$237&amp;" "&amp;I$238,'FE Déplacements'!$G:$U,7,FALSE),$BH239))),0,SQRT(SUMSQ(VLOOKUP($B239&amp;"; "&amp;$H$237&amp;" "&amp;I$238,'FE Déplacements'!$G:$U,7,FALSE),$BH239)))</f>
        <v>0.2</v>
      </c>
      <c r="BK239" s="2427">
        <f>IF(ISNA(SQRT(SUMSQ(VLOOKUP($B239&amp;"; "&amp;$H$237&amp;" "&amp;J$238,'FE Déplacements'!$G:$U,7,FALSE),$BH239))),0,SQRT(SUMSQ(VLOOKUP($B239&amp;"; "&amp;$H$237&amp;" "&amp;J$238,'FE Déplacements'!$G:$U,7,FALSE),$BH239)))</f>
        <v>0.2</v>
      </c>
      <c r="BL239" s="1130">
        <f>IF(ISNA(SQRT(SUMSQ(VLOOKUP($B239&amp;"; "&amp;L$237&amp;" "&amp;L$238,'FE Déplacements'!$G:$U,7,FALSE),$BH239))),0,SQRT(SUMSQ(VLOOKUP($B239&amp;"; "&amp;$L$237&amp;" "&amp;L$238,'FE Déplacements'!$G:$U,7,FALSE),$BH239)))</f>
        <v>0</v>
      </c>
      <c r="BM239" s="1124">
        <f>IF(ISNA(SQRT(SUMSQ(VLOOKUP($B239&amp;"; "&amp;$L$237&amp;" "&amp;M$238,'FE Déplacements'!$G:$U,7,FALSE),$BH239))),0,SQRT(SUMSQ(VLOOKUP($B239&amp;"; "&amp;$L$237&amp;" "&amp;M$238,'FE Déplacements'!$G:$U,7,FALSE),$BH239)))</f>
        <v>0</v>
      </c>
      <c r="BN239" s="1130">
        <f>IF(ISNA(SQRT(SUMSQ(VLOOKUP($B239&amp;"; "&amp;$L$237&amp;" "&amp;N$238,'FE Déplacements'!$G:$U,7,FALSE),$BH239))),0,SQRT(SUMSQ(VLOOKUP($B239&amp;"; "&amp;$L$237&amp;" "&amp;N$238,'FE Déplacements'!$G:$U,7,FALSE),$BH239)))</f>
        <v>0</v>
      </c>
    </row>
    <row r="240" spans="2:66" outlineLevel="2">
      <c r="B240" s="405" t="s">
        <v>4057</v>
      </c>
      <c r="C240" s="406"/>
      <c r="D240" s="212">
        <f t="shared" ref="D240:D241" si="128">SUM(O240:Q240)</f>
        <v>0</v>
      </c>
      <c r="E240" s="212"/>
      <c r="F240" s="346"/>
      <c r="G240" s="346"/>
      <c r="H240" s="1266">
        <f>VLOOKUP($B240&amp;"; "&amp;$H$237&amp;" "&amp;H$238,'FE Déplacements'!$G:$U,9,FALSE)</f>
        <v>4.79E-3</v>
      </c>
      <c r="I240" s="1266">
        <f>VLOOKUP($B240&amp;"; "&amp;$H$237&amp;" "&amp;I$238,'FE Déplacements'!$G:$U,9,FALSE)</f>
        <v>2.6499999999999999E-2</v>
      </c>
      <c r="J240" s="1266">
        <f>VLOOKUP($B240&amp;"; "&amp;$H$237&amp;" "&amp;J$238,'FE Déplacements'!$G:$U,9,FALSE)</f>
        <v>0</v>
      </c>
      <c r="K240" s="346"/>
      <c r="L240" s="410">
        <f>IF(ISNA(VLOOKUP($B240&amp;"; "&amp;$L$237&amp;" "&amp;K$238,'FE Déplacements'!$G:$U,9,FALSE)),0,VLOOKUP($B240&amp;"; "&amp;$L$237&amp;" "&amp;K$238,'FE Déplacements'!$G:$U,9,FALSE))</f>
        <v>0</v>
      </c>
      <c r="M240" s="410">
        <f>IF(ISNA(VLOOKUP($B240&amp;"; "&amp;$L$237&amp;" "&amp;M239,'FE Déplacements'!$G:$U,9,FALSE)),0,VLOOKUP($B240&amp;"; "&amp;$L$237&amp;" "&amp;M239,'FE Déplacements'!$G:$U,9,FALSE))</f>
        <v>0</v>
      </c>
      <c r="N240" s="410">
        <f>IF(ISNA(VLOOKUP($B240&amp;"; "&amp;$L$237&amp;" "&amp;N$238,'FE Déplacements'!$G:$U,9,FALSE)),0,VLOOKUP($B240&amp;"; "&amp;$L$237&amp;" "&amp;N$238,'FE Déplacements'!$G:$U,9,FALSE))</f>
        <v>0</v>
      </c>
      <c r="O240" s="151">
        <f t="shared" ref="O240:O241" si="129">$G240*IF(ISNA(H240),0,H240)+$K240*IF(ISNA(L240),0,L240)</f>
        <v>0</v>
      </c>
      <c r="P240" s="151">
        <f>$G240*IF(ISNA(I240),0,I240)+$K240*IF(ISNA(M240),0,M240)</f>
        <v>0</v>
      </c>
      <c r="Q240" s="152">
        <f t="shared" ref="Q240:Q241" si="130">$G240*IF(ISNA(J240),0,J240)+$K240*IF(ISNA(N240),0,N240)</f>
        <v>0</v>
      </c>
      <c r="X240" s="1092">
        <f>IF(AD240=0,AD240,AD240/D240)</f>
        <v>0</v>
      </c>
      <c r="Y240" s="343"/>
      <c r="Z240" s="820"/>
      <c r="AA240" s="164">
        <f>SQRT(SUMSQ(IF(ISNA(G240*I240*BJ240),0,G240*I240*BJ240),IF(ISNA(K240*M240*BM240),0,K240*M240*BM240)))</f>
        <v>0</v>
      </c>
      <c r="AB240" s="164">
        <f>SQRT(SUMSQ(IF(ISNA(G240*J240*BK240),0,G240*J240*BK240),IF(ISNA(K240*N240*BN240),0,K240*N240*BN240)))</f>
        <v>0</v>
      </c>
      <c r="AC240" s="164">
        <f>SQRT(SUMSQ(IF(ISNA(G240*H240*BI240),0,G240*H240*BI240),IF(ISNA(K240*L240*BL240),0,K240*L240*BL240)))</f>
        <v>0</v>
      </c>
      <c r="AD240" s="152">
        <f t="shared" ref="AD240:AD241" si="131">SQRT(SUMSQ(AA240:AC240))</f>
        <v>0</v>
      </c>
      <c r="AE240" s="1458"/>
      <c r="AG240" s="564">
        <f>$G240*IF(ISNA(VLOOKUP($B240&amp;"; "&amp;$H$237&amp;" "&amp;I$238,'FE Déplacements'!$G:$U,10,FALSE)),0,VLOOKUP($B240&amp;"; "&amp;$H$237&amp;" "&amp;I$238,'FE Déplacements'!$G:$U,10,FALSE))
+$K240*IF(ISNA(VLOOKUP($B240&amp;"; "&amp;$L$237&amp;" "&amp;M$238,'FE Déplacements'!$G:$U,10,FALSE)),0,VLOOKUP($B240&amp;"; "&amp;$L$237&amp;" "&amp;M$238,'FE Déplacements'!$G:$U,10,FALSE))</f>
        <v>0</v>
      </c>
      <c r="AH240" s="565">
        <f>$G240*IF(ISNA(VLOOKUP($B240&amp;"; "&amp;$H$237&amp;" "&amp;J$238,'FE Déplacements'!$G:$U,10,FALSE)),0,VLOOKUP($B240&amp;"; "&amp;$H$237&amp;" "&amp;J$238,'FE Déplacements'!$G:$U,10,FALSE))
+$K240*IF(ISNA(VLOOKUP($B240&amp;"; "&amp;$L$237&amp;" "&amp;N$238,'FE Déplacements'!$G:$U,10,FALSE)),0,VLOOKUP($B240&amp;"; "&amp;$L$237&amp;" "&amp;N$238,'FE Déplacements'!$G:$U,10,FALSE))</f>
        <v>0</v>
      </c>
      <c r="AI240" s="565">
        <f>$G240*IF(ISNA(VLOOKUP($B240&amp;"; "&amp;$H$237&amp;" "&amp;H$238,'FE Déplacements'!$G:$U,10,FALSE)),0,VLOOKUP($B240&amp;"; "&amp;$H$237&amp;" "&amp;H$238,'FE Déplacements'!$G:$U,10,FALSE))
+$K240*IF(ISNA(VLOOKUP($B240&amp;"; "&amp;$L$237&amp;" "&amp;L$238,'FE Déplacements'!$G:$U,10,FALSE)),0,VLOOKUP($B240&amp;"; "&amp;$L$237&amp;" "&amp;L$238,'FE Déplacements'!$G:$U,10,FALSE))</f>
        <v>0</v>
      </c>
      <c r="AJ240" s="565">
        <f>$G240*IF(ISNA((VLOOKUP($B240&amp;"; "&amp;$H$237&amp;" "&amp;I$238,'FE Déplacements'!$G:$U,12,FALSE)+VLOOKUP($B240&amp;"; "&amp;$H$237&amp;" "&amp;I$238,'FE Déplacements'!$G:$U,11,FALSE))),0,(VLOOKUP($B240&amp;"; "&amp;$H$237&amp;" "&amp;I$238,'FE Déplacements'!$G:$U,12,FALSE)+VLOOKUP($B240&amp;"; "&amp;$H$237&amp;" "&amp;I$238,'FE Déplacements'!$G:$U,11,FALSE)))
+$K240*IF(ISNA((VLOOKUP($B240&amp;"; "&amp;$L$237&amp;" "&amp;M$238,'FE Déplacements'!$G:$U,12,FALSE)+VLOOKUP($B240&amp;"; "&amp;$L$237&amp;" "&amp;M$238,'FE Déplacements'!$G:$U,11,FALSE))),0,(VLOOKUP($B240&amp;"; "&amp;$L$237&amp;" "&amp;M$238,'FE Déplacements'!$G:$U,12,FALSE)+VLOOKUP($B240&amp;"; "&amp;$L$237&amp;" "&amp;M$238,'FE Déplacements'!$G:$U,11,FALSE)))</f>
        <v>0</v>
      </c>
      <c r="AK240" s="565">
        <f>$G240*IF(ISNA((VLOOKUP($B240&amp;"; "&amp;$H$237&amp;" "&amp;J$238,'FE Déplacements'!$G:$U,12,FALSE)+VLOOKUP($B240&amp;"; "&amp;$H$237&amp;" "&amp;J$238,'FE Déplacements'!$G:$U,11,FALSE))),0,(VLOOKUP($B240&amp;"; "&amp;$H$237&amp;" "&amp;J$238,'FE Déplacements'!$G:$U,12,FALSE)+VLOOKUP($B240&amp;"; "&amp;$H$237&amp;" "&amp;J$238,'FE Déplacements'!$G:$U,11,FALSE)))
+$K240*IF(ISNA((VLOOKUP($B240&amp;"; "&amp;$L$237&amp;" "&amp;N$238,'FE Déplacements'!$G:$U,12,FALSE)+VLOOKUP($B240&amp;"; "&amp;$L$237&amp;" "&amp;N$238,'FE Déplacements'!$G:$U,11,FALSE))),0,(VLOOKUP($B240&amp;"; "&amp;$L$237&amp;" "&amp;N$238,'FE Déplacements'!$G:$U,12,FALSE)+VLOOKUP($B240&amp;"; "&amp;$L$237&amp;" "&amp;N$238,'FE Déplacements'!$G:$U,11,FALSE)))</f>
        <v>0</v>
      </c>
      <c r="AL240" s="565">
        <f>$G240*IF(ISNA((VLOOKUP($B240&amp;"; "&amp;$H$237&amp;" "&amp;H$238,'FE Déplacements'!$G:$U,12,FALSE)+VLOOKUP($B240&amp;"; "&amp;$H$237&amp;" "&amp;H$238,'FE Déplacements'!$G:$U,11,FALSE))),0,(VLOOKUP($B240&amp;"; "&amp;$H$237&amp;" "&amp;H$238,'FE Déplacements'!$G:$U,12,FALSE)+VLOOKUP($B240&amp;"; "&amp;$H$237&amp;" "&amp;H$238,'FE Déplacements'!$G:$U,11,FALSE)))
+$K240*IF(ISNA((VLOOKUP($B240&amp;"; "&amp;$L$237&amp;" "&amp;L$238,'FE Déplacements'!$G:$U,12,FALSE)+VLOOKUP($B240&amp;"; "&amp;$L$237&amp;" "&amp;L$238,'FE Déplacements'!$G:$U,11,FALSE))),0,(VLOOKUP($B240&amp;"; "&amp;$L$237&amp;" "&amp;L$238,'FE Déplacements'!$G:$U,12,FALSE)+VLOOKUP($B240&amp;"; "&amp;$L$237&amp;" "&amp;L$238,'FE Déplacements'!$G:$U,11,FALSE)))</f>
        <v>0</v>
      </c>
      <c r="AM240" s="565">
        <f>$G240*IF(ISNA(VLOOKUP($B240&amp;"; "&amp;$H$237&amp;" "&amp;J$238,'FE Déplacements'!$G:$U,13,FALSE)),0,VLOOKUP($B240&amp;"; "&amp;$H$237&amp;" "&amp;J$238,'FE Déplacements'!$G:$U,13,FALSE))
+$K240*IF(ISNA(VLOOKUP($B240&amp;"; "&amp;$L$237&amp;","&amp;N$238,'FE Déplacements'!$G:$U,13,FALSE)),0,VLOOKUP($B240&amp;"; "&amp;$L$237&amp;" "&amp;N$238,'FE Déplacements'!$G:$U,13,FALSE))</f>
        <v>0</v>
      </c>
      <c r="AN240" s="565">
        <f>$G240*IF(ISNA(VLOOKUP($B240&amp;"; "&amp;$H$237&amp;" "&amp;J$238,'FE Déplacements'!$G:$U,13,FALSE)),0,VLOOKUP($B240&amp;"; "&amp;$H$237&amp;" "&amp;J$238,'FE Déplacements'!$G:$U,13,FALSE))
+$K240*IF(ISNA(VLOOKUP($B240&amp;"; "&amp;$L$237&amp;","&amp;N$238,'FE Déplacements'!$G:$U,13,FALSE)),0,VLOOKUP($B240&amp;"; "&amp;$L$237&amp;" "&amp;N$238,'FE Déplacements'!$G:$U,13,FALSE))</f>
        <v>0</v>
      </c>
      <c r="AO240" s="565">
        <f>$G240*IF(ISNA(VLOOKUP($B240&amp;"; "&amp;$H$237&amp;" "&amp;H$238,'FE Déplacements'!$G:$U,13,FALSE)),0,VLOOKUP($B240&amp;"; "&amp;$H$237&amp;" "&amp;H$238,'FE Déplacements'!$G:$U,13,FALSE))
+$K240*IF(ISNA(VLOOKUP($B240&amp;"; "&amp;$L$237&amp;","&amp;L$238,'FE Déplacements'!$G:$U,13,FALSE)),0,VLOOKUP($B240&amp;"; "&amp;$L$237&amp;" "&amp;L$238,'FE Déplacements'!$G:$U,13,FALSE))</f>
        <v>0</v>
      </c>
      <c r="AP240" s="565">
        <v>0</v>
      </c>
      <c r="AQ240" s="565">
        <v>0</v>
      </c>
      <c r="AR240" s="565">
        <v>0</v>
      </c>
      <c r="AS240" s="1288">
        <f t="shared" si="127"/>
        <v>0</v>
      </c>
      <c r="AT240" s="566">
        <f t="shared" si="127"/>
        <v>0</v>
      </c>
      <c r="AU240" s="566">
        <f t="shared" ref="AU240:AU241" si="132">SUM(AI240,AL240,AO240,AR240)</f>
        <v>0</v>
      </c>
      <c r="AV240" s="564">
        <f>$G240*IF(ISNA(VLOOKUP($B240&amp;"; "&amp;$H$237&amp;" "&amp;I$238,'FE Déplacements'!$G:$U,15,FALSE)),0,VLOOKUP($B240&amp;"; "&amp;$H$237&amp;" "&amp;I$238,'FE Déplacements'!$G:$U,15,FALSE))
+$K240*IF(ISNA(VLOOKUP($B240&amp;"; "&amp;$L$237&amp;" "&amp;M$238,'FE Déplacements'!$G:$U,15,FALSE)),0,VLOOKUP($B240&amp;"; "&amp;$L$237&amp;" "&amp;M$238,'FE Déplacements'!$G:$U,15,FALSE))</f>
        <v>0</v>
      </c>
      <c r="AW240" s="565">
        <f>$G240*IF(ISNA(VLOOKUP($B240&amp;"; "&amp;$H$237&amp;" "&amp;J$238,'FE Déplacements'!$G:$U,15,FALSE)),0,VLOOKUP($B240&amp;"; "&amp;$H$237&amp;" "&amp;J$238,'FE Déplacements'!$G:$U,15,FALSE))
+$K240*IF(ISNA(VLOOKUP($B240&amp;"; "&amp;$L$237&amp;" "&amp;N$238,'FE Déplacements'!$G:$U,15,FALSE)),0,VLOOKUP($B240&amp;"; "&amp;$L$237&amp;" "&amp;N$238,'FE Déplacements'!$G:$U,15,FALSE))</f>
        <v>0</v>
      </c>
      <c r="AX240" s="568">
        <f>$G240*IF(ISNA(VLOOKUP($B240&amp;"; "&amp;$H$237&amp;" "&amp;H$238,'FE Déplacements'!$G:$U,15,FALSE)),0,VLOOKUP($B240&amp;"; "&amp;$H$237&amp;" "&amp;H$238,'FE Déplacements'!$G:$U,15,FALSE))
+$K240*IF(ISNA(VLOOKUP($B240&amp;"; "&amp;$L$237&amp;" "&amp;L$238,'FE Déplacements'!$G:$U,15,FALSE)),0,VLOOKUP($B240&amp;"; "&amp;$L$237&amp;" "&amp;L$238,'FE Déplacements'!$G:$U,15,FALSE))</f>
        <v>0</v>
      </c>
      <c r="BH240" s="1065">
        <f>IF($Y240&lt;&gt;"votre valeur :",IF(ISNA(VLOOKUP($Y240,Utilitaires!$N$566:$O$571,2,FALSE)),,VLOOKUP($Y240,Utilitaires!$N$566:$O$571,2,FALSE)),$Z240)</f>
        <v>0</v>
      </c>
      <c r="BI240" s="1124">
        <f>IF(ISNA(SQRT(SUMSQ(VLOOKUP($B240&amp;"; "&amp;$H$237&amp;" "&amp;H$238,'FE Déplacements'!$G:$U,7,FALSE),$BH240))),0,SQRT(SUMSQ(VLOOKUP($B240&amp;"; "&amp;$H$237&amp;" "&amp;H$238,'FE Déplacements'!$G:$U,7,FALSE),$BH240)))</f>
        <v>0.6</v>
      </c>
      <c r="BJ240" s="1124">
        <f>IF(ISNA(SQRT(SUMSQ(VLOOKUP($B240&amp;"; "&amp;$H$237&amp;" "&amp;I$238,'FE Déplacements'!$G:$U,7,FALSE),$BH240))),0,SQRT(SUMSQ(VLOOKUP($B240&amp;"; "&amp;$H$237&amp;" "&amp;I$238,'FE Déplacements'!$G:$U,7,FALSE),$BH240)))</f>
        <v>0.6</v>
      </c>
      <c r="BK240" s="2427">
        <f>IF(ISNA(SQRT(SUMSQ(VLOOKUP($B240&amp;"; "&amp;$H$237&amp;" "&amp;J$238,'FE Déplacements'!$G:$U,7,FALSE),$BH240))),0,SQRT(SUMSQ(VLOOKUP($B240&amp;"; "&amp;$H$237&amp;" "&amp;J$238,'FE Déplacements'!$G:$U,7,FALSE),$BH240)))</f>
        <v>0.6</v>
      </c>
      <c r="BL240" s="1130">
        <f>IF(ISNA(SQRT(SUMSQ(VLOOKUP($B240&amp;"; "&amp;L$237&amp;" "&amp;L$238,'FE Déplacements'!$G:$U,7,FALSE),$BH240))),0,SQRT(SUMSQ(VLOOKUP($B240&amp;"; "&amp;$L$237&amp;" "&amp;L$238,'FE Déplacements'!$G:$U,7,FALSE),$BH240)))</f>
        <v>0</v>
      </c>
      <c r="BM240" s="2427">
        <f>IF(ISNA(SQRT(SUMSQ(VLOOKUP($B240&amp;"; "&amp;$L$237&amp;" "&amp;M$238,'FE Déplacements'!$G:$U,7,FALSE),$BH240))),0,SQRT(SUMSQ(VLOOKUP($B240&amp;"; "&amp;$L$237&amp;" "&amp;M$238,'FE Déplacements'!$G:$U,7,FALSE),$BH240)))</f>
        <v>0</v>
      </c>
      <c r="BN240" s="1130">
        <f>IF(ISNA(SQRT(SUMSQ(VLOOKUP($B240&amp;"; "&amp;$L$237&amp;" "&amp;N$238,'FE Déplacements'!$G:$U,7,FALSE),$BH240))),0,SQRT(SUMSQ(VLOOKUP($B240&amp;"; "&amp;$L$237&amp;" "&amp;N$238,'FE Déplacements'!$G:$U,7,FALSE),$BH240)))</f>
        <v>0</v>
      </c>
    </row>
    <row r="241" spans="1:71" outlineLevel="2">
      <c r="B241" s="405" t="s">
        <v>4058</v>
      </c>
      <c r="C241" s="406"/>
      <c r="D241" s="212">
        <f t="shared" si="128"/>
        <v>0</v>
      </c>
      <c r="E241" s="212"/>
      <c r="F241" s="347"/>
      <c r="G241" s="347"/>
      <c r="H241" s="1266">
        <f>VLOOKUP($B241&amp;"; "&amp;$H$237&amp;" "&amp;H$238,'FE Déplacements'!$G:$U,9,FALSE)</f>
        <v>6.3000000000000003E-4</v>
      </c>
      <c r="I241" s="1266">
        <f>VLOOKUP($B241&amp;"; "&amp;$H$237&amp;" "&amp;I$238,'FE Déplacements'!$G:$U,9,FALSE)</f>
        <v>5.2900000000000004E-3</v>
      </c>
      <c r="J241" s="1266">
        <f>VLOOKUP($B241&amp;"; "&amp;$H$237&amp;" "&amp;J$238,'FE Déplacements'!$G:$U,9,FALSE)</f>
        <v>0</v>
      </c>
      <c r="K241" s="347"/>
      <c r="L241" s="410">
        <f>IF(ISNA(VLOOKUP($B241&amp;"; "&amp;$L$237&amp;" "&amp;K$238,'FE Déplacements'!$G:$U,9,FALSE)),0,VLOOKUP($B241&amp;"; "&amp;$L$237&amp;" "&amp;K$238,'FE Déplacements'!$G:$U,9,FALSE))</f>
        <v>0</v>
      </c>
      <c r="M241" s="410">
        <f>IF(ISNA(VLOOKUP($B241&amp;"; "&amp;$L$237&amp;" "&amp;M240,'FE Déplacements'!$G:$U,9,FALSE)),0,VLOOKUP($B241&amp;"; "&amp;$L$237&amp;" "&amp;M240,'FE Déplacements'!$G:$U,9,FALSE))</f>
        <v>0</v>
      </c>
      <c r="N241" s="410">
        <f>IF(ISNA(VLOOKUP($B241&amp;"; "&amp;$L$237&amp;" "&amp;N$238,'FE Déplacements'!$G:$U,9,FALSE)),0,VLOOKUP($B241&amp;"; "&amp;$L$237&amp;" "&amp;N$238,'FE Déplacements'!$G:$U,9,FALSE))</f>
        <v>0</v>
      </c>
      <c r="O241" s="151">
        <f t="shared" si="129"/>
        <v>0</v>
      </c>
      <c r="P241" s="151">
        <f>$G241*IF(ISNA(I241),0,I241)+$K241*IF(ISNA(M241),0,M241)</f>
        <v>0</v>
      </c>
      <c r="Q241" s="152">
        <f t="shared" si="130"/>
        <v>0</v>
      </c>
      <c r="X241" s="1092">
        <f>IF(AD241=0,AD241,AD241/D241)</f>
        <v>0</v>
      </c>
      <c r="Y241" s="1094"/>
      <c r="Z241" s="820"/>
      <c r="AA241" s="164">
        <f>SQRT(SUMSQ(IF(ISNA(G241*I241*BJ241),0,G241*I241*BJ241),IF(ISNA(K241*M241*BM241),0,K241*M241*BM241)))</f>
        <v>0</v>
      </c>
      <c r="AB241" s="164">
        <f>SQRT(SUMSQ(IF(ISNA(G241*J241*BK241),0,G241*J241*BK241),IF(ISNA(K241*N241*BN241),0,K241*N241*BN241)))</f>
        <v>0</v>
      </c>
      <c r="AC241" s="164">
        <f>SQRT(SUMSQ(IF(ISNA(G241*H241*BI241),0,G241*H241*BI241),IF(ISNA(K241*L241*BL241),0,K241*L241*BL241)))</f>
        <v>0</v>
      </c>
      <c r="AD241" s="152">
        <f t="shared" si="131"/>
        <v>0</v>
      </c>
      <c r="AE241" s="1458"/>
      <c r="AG241" s="564">
        <f>$G241*IF(ISNA(VLOOKUP($B241&amp;"; "&amp;$H$237&amp;" "&amp;I$238,'FE Déplacements'!$G:$U,10,FALSE)),0,VLOOKUP($B241&amp;"; "&amp;$H$237&amp;" "&amp;I$238,'FE Déplacements'!$G:$U,10,FALSE))
+$K241*IF(ISNA(VLOOKUP($B241&amp;"; "&amp;$L$237&amp;" "&amp;M$238,'FE Déplacements'!$G:$U,10,FALSE)),0,VLOOKUP($B241&amp;"; "&amp;$L$237&amp;" "&amp;M$238,'FE Déplacements'!$G:$U,10,FALSE))</f>
        <v>0</v>
      </c>
      <c r="AH241" s="565">
        <f>$G241*IF(ISNA(VLOOKUP($B241&amp;"; "&amp;$H$237&amp;" "&amp;J$238,'FE Déplacements'!$G:$U,10,FALSE)),0,VLOOKUP($B241&amp;"; "&amp;$H$237&amp;" "&amp;J$238,'FE Déplacements'!$G:$U,10,FALSE))
+$K241*IF(ISNA(VLOOKUP($B241&amp;"; "&amp;$L$237&amp;" "&amp;N$238,'FE Déplacements'!$G:$U,10,FALSE)),0,VLOOKUP($B241&amp;"; "&amp;$L$237&amp;" "&amp;N$238,'FE Déplacements'!$G:$U,10,FALSE))</f>
        <v>0</v>
      </c>
      <c r="AI241" s="565">
        <f>$G241*IF(ISNA(VLOOKUP($B241&amp;"; "&amp;$H$237&amp;" "&amp;H$238,'FE Déplacements'!$G:$U,10,FALSE)),0,VLOOKUP($B241&amp;"; "&amp;$H$237&amp;" "&amp;H$238,'FE Déplacements'!$G:$U,10,FALSE))
+$K241*IF(ISNA(VLOOKUP($B241&amp;"; "&amp;$L$237&amp;" "&amp;L$238,'FE Déplacements'!$G:$U,10,FALSE)),0,VLOOKUP($B241&amp;"; "&amp;$L$237&amp;" "&amp;L$238,'FE Déplacements'!$G:$U,10,FALSE))</f>
        <v>0</v>
      </c>
      <c r="AJ241" s="565">
        <f>$G241*IF(ISNA((VLOOKUP($B241&amp;"; "&amp;$H$237&amp;" "&amp;I$238,'FE Déplacements'!$G:$U,12,FALSE)+VLOOKUP($B241&amp;"; "&amp;$H$237&amp;" "&amp;I$238,'FE Déplacements'!$G:$U,11,FALSE))),0,(VLOOKUP($B241&amp;"; "&amp;$H$237&amp;" "&amp;I$238,'FE Déplacements'!$G:$U,12,FALSE)+VLOOKUP($B241&amp;"; "&amp;$H$237&amp;" "&amp;I$238,'FE Déplacements'!$G:$U,11,FALSE)))
+$K241*IF(ISNA((VLOOKUP($B241&amp;"; "&amp;$L$237&amp;" "&amp;M$238,'FE Déplacements'!$G:$U,12,FALSE)+VLOOKUP($B241&amp;"; "&amp;$L$237&amp;" "&amp;M$238,'FE Déplacements'!$G:$U,11,FALSE))),0,(VLOOKUP($B241&amp;"; "&amp;$L$237&amp;" "&amp;M$238,'FE Déplacements'!$G:$U,12,FALSE)+VLOOKUP($B241&amp;"; "&amp;$L$237&amp;" "&amp;M$238,'FE Déplacements'!$G:$U,11,FALSE)))</f>
        <v>0</v>
      </c>
      <c r="AK241" s="565">
        <f>$G241*IF(ISNA((VLOOKUP($B241&amp;"; "&amp;$H$237&amp;" "&amp;J$238,'FE Déplacements'!$G:$U,12,FALSE)+VLOOKUP($B241&amp;"; "&amp;$H$237&amp;" "&amp;J$238,'FE Déplacements'!$G:$U,11,FALSE))),0,(VLOOKUP($B241&amp;"; "&amp;$H$237&amp;" "&amp;J$238,'FE Déplacements'!$G:$U,12,FALSE)+VLOOKUP($B241&amp;"; "&amp;$H$237&amp;" "&amp;J$238,'FE Déplacements'!$G:$U,11,FALSE)))
+$K241*IF(ISNA((VLOOKUP($B241&amp;"; "&amp;$L$237&amp;" "&amp;N$238,'FE Déplacements'!$G:$U,12,FALSE)+VLOOKUP($B241&amp;"; "&amp;$L$237&amp;" "&amp;N$238,'FE Déplacements'!$G:$U,11,FALSE))),0,(VLOOKUP($B241&amp;"; "&amp;$L$237&amp;" "&amp;N$238,'FE Déplacements'!$G:$U,12,FALSE)+VLOOKUP($B241&amp;"; "&amp;$L$237&amp;" "&amp;N$238,'FE Déplacements'!$G:$U,11,FALSE)))</f>
        <v>0</v>
      </c>
      <c r="AL241" s="565">
        <f>$G241*IF(ISNA((VLOOKUP($B241&amp;"; "&amp;$H$237&amp;" "&amp;H$238,'FE Déplacements'!$G:$U,12,FALSE)+VLOOKUP($B241&amp;"; "&amp;$H$237&amp;" "&amp;H$238,'FE Déplacements'!$G:$U,11,FALSE))),0,(VLOOKUP($B241&amp;"; "&amp;$H$237&amp;" "&amp;H$238,'FE Déplacements'!$G:$U,12,FALSE)+VLOOKUP($B241&amp;"; "&amp;$H$237&amp;" "&amp;H$238,'FE Déplacements'!$G:$U,11,FALSE)))
+$K241*IF(ISNA((VLOOKUP($B241&amp;"; "&amp;$L$237&amp;" "&amp;L$238,'FE Déplacements'!$G:$U,12,FALSE)+VLOOKUP($B241&amp;"; "&amp;$L$237&amp;" "&amp;L$238,'FE Déplacements'!$G:$U,11,FALSE))),0,(VLOOKUP($B241&amp;"; "&amp;$L$237&amp;" "&amp;L$238,'FE Déplacements'!$G:$U,12,FALSE)+VLOOKUP($B241&amp;"; "&amp;$L$237&amp;" "&amp;L$238,'FE Déplacements'!$G:$U,11,FALSE)))</f>
        <v>0</v>
      </c>
      <c r="AM241" s="565">
        <f>$G241*IF(ISNA(VLOOKUP($B241&amp;"; "&amp;$H$237&amp;" "&amp;J$238,'FE Déplacements'!$G:$U,13,FALSE)),0,VLOOKUP($B241&amp;"; "&amp;$H$237&amp;" "&amp;J$238,'FE Déplacements'!$G:$U,13,FALSE))
+$K241*IF(ISNA(VLOOKUP($B241&amp;"; "&amp;$L$237&amp;","&amp;N$238,'FE Déplacements'!$G:$U,13,FALSE)),0,VLOOKUP($B241&amp;"; "&amp;$L$237&amp;" "&amp;N$238,'FE Déplacements'!$G:$U,13,FALSE))</f>
        <v>0</v>
      </c>
      <c r="AN241" s="565">
        <f>$G241*IF(ISNA(VLOOKUP($B241&amp;"; "&amp;$H$237&amp;" "&amp;J$238,'FE Déplacements'!$G:$U,13,FALSE)),0,VLOOKUP($B241&amp;"; "&amp;$H$237&amp;" "&amp;J$238,'FE Déplacements'!$G:$U,13,FALSE))
+$K241*IF(ISNA(VLOOKUP($B241&amp;"; "&amp;$L$237&amp;","&amp;N$238,'FE Déplacements'!$G:$U,13,FALSE)),0,VLOOKUP($B241&amp;"; "&amp;$L$237&amp;" "&amp;N$238,'FE Déplacements'!$G:$U,13,FALSE))</f>
        <v>0</v>
      </c>
      <c r="AO241" s="565">
        <f>$G241*IF(ISNA(VLOOKUP($B241&amp;"; "&amp;$H$237&amp;" "&amp;H$238,'FE Déplacements'!$G:$U,13,FALSE)),0,VLOOKUP($B241&amp;"; "&amp;$H$237&amp;" "&amp;H$238,'FE Déplacements'!$G:$U,13,FALSE))
+$K241*IF(ISNA(VLOOKUP($B241&amp;"; "&amp;$L$237&amp;","&amp;L$238,'FE Déplacements'!$G:$U,13,FALSE)),0,VLOOKUP($B241&amp;"; "&amp;$L$237&amp;" "&amp;L$238,'FE Déplacements'!$G:$U,13,FALSE))</f>
        <v>0</v>
      </c>
      <c r="AP241" s="565">
        <v>0</v>
      </c>
      <c r="AQ241" s="565">
        <v>0</v>
      </c>
      <c r="AR241" s="565">
        <v>0</v>
      </c>
      <c r="AS241" s="1288">
        <f t="shared" si="127"/>
        <v>0</v>
      </c>
      <c r="AT241" s="566">
        <f t="shared" si="127"/>
        <v>0</v>
      </c>
      <c r="AU241" s="566">
        <f t="shared" si="132"/>
        <v>0</v>
      </c>
      <c r="AV241" s="564">
        <f>$G241*IF(ISNA(VLOOKUP($B241&amp;"; "&amp;$H$237&amp;" "&amp;I$238,'FE Déplacements'!$G:$U,15,FALSE)),0,VLOOKUP($B241&amp;"; "&amp;$H$237&amp;" "&amp;I$238,'FE Déplacements'!$G:$U,15,FALSE))
+$K241*IF(ISNA(VLOOKUP($B241&amp;"; "&amp;$L$237&amp;" "&amp;M$238,'FE Déplacements'!$G:$U,15,FALSE)),0,VLOOKUP($B241&amp;"; "&amp;$L$237&amp;" "&amp;M$238,'FE Déplacements'!$G:$U,15,FALSE))</f>
        <v>0</v>
      </c>
      <c r="AW241" s="565">
        <f>$G241*IF(ISNA(VLOOKUP($B241&amp;"; "&amp;$H$237&amp;" "&amp;J$238,'FE Déplacements'!$G:$U,15,FALSE)),0,VLOOKUP($B241&amp;"; "&amp;$H$237&amp;" "&amp;J$238,'FE Déplacements'!$G:$U,15,FALSE))
+$K241*IF(ISNA(VLOOKUP($B241&amp;"; "&amp;$L$237&amp;" "&amp;N$238,'FE Déplacements'!$G:$U,15,FALSE)),0,VLOOKUP($B241&amp;"; "&amp;$L$237&amp;" "&amp;N$238,'FE Déplacements'!$G:$U,15,FALSE))</f>
        <v>0</v>
      </c>
      <c r="AX241" s="568">
        <f>$G241*IF(ISNA(VLOOKUP($B241&amp;"; "&amp;$H$237&amp;" "&amp;H$238,'FE Déplacements'!$G:$U,15,FALSE)),0,VLOOKUP($B241&amp;"; "&amp;$H$237&amp;" "&amp;H$238,'FE Déplacements'!$G:$U,15,FALSE))
+$K241*IF(ISNA(VLOOKUP($B241&amp;"; "&amp;$L$237&amp;" "&amp;L$238,'FE Déplacements'!$G:$U,15,FALSE)),0,VLOOKUP($B241&amp;"; "&amp;$L$237&amp;" "&amp;L$238,'FE Déplacements'!$G:$U,15,FALSE))</f>
        <v>0</v>
      </c>
      <c r="BH241" s="1065">
        <f>IF($Y241&lt;&gt;"votre valeur :",IF(ISNA(VLOOKUP($Y241,Utilitaires!$N$566:$O$571,2,FALSE)),,VLOOKUP($Y241,Utilitaires!$N$566:$O$571,2,FALSE)),$Z241)</f>
        <v>0</v>
      </c>
      <c r="BI241" s="1124">
        <f>IF(ISNA(SQRT(SUMSQ(VLOOKUP($B241&amp;"; "&amp;$H$237&amp;" "&amp;H$238,'FE Déplacements'!$G:$U,7,FALSE),$BH241))),0,SQRT(SUMSQ(VLOOKUP($B241&amp;"; "&amp;$H$237&amp;" "&amp;H$238,'FE Déplacements'!$G:$U,7,FALSE),$BH241)))</f>
        <v>0.2</v>
      </c>
      <c r="BJ241" s="1124">
        <f>IF(ISNA(SQRT(SUMSQ(VLOOKUP($B241&amp;"; "&amp;$H$237&amp;" "&amp;I$238,'FE Déplacements'!$G:$U,7,FALSE),$BH241))),0,SQRT(SUMSQ(VLOOKUP($B241&amp;"; "&amp;$H$237&amp;" "&amp;I$238,'FE Déplacements'!$G:$U,7,FALSE),$BH241)))</f>
        <v>0.2</v>
      </c>
      <c r="BK241" s="2427">
        <f>IF(ISNA(SQRT(SUMSQ(VLOOKUP($B241&amp;"; "&amp;$H$237&amp;" "&amp;J$238,'FE Déplacements'!$G:$U,7,FALSE),$BH241))),0,SQRT(SUMSQ(VLOOKUP($B241&amp;"; "&amp;$H$237&amp;" "&amp;J$238,'FE Déplacements'!$G:$U,7,FALSE),$BH241)))</f>
        <v>0.2</v>
      </c>
      <c r="BL241" s="1130">
        <f>IF(ISNA(SQRT(SUMSQ(VLOOKUP($B241&amp;"; "&amp;L$237&amp;" "&amp;L$238,'FE Déplacements'!$G:$U,7,FALSE),$BH241))),0,SQRT(SUMSQ(VLOOKUP($B241&amp;"; "&amp;$L$237&amp;" "&amp;L$238,'FE Déplacements'!$G:$U,7,FALSE),$BH241)))</f>
        <v>0</v>
      </c>
      <c r="BM241" s="2427">
        <f>IF(ISNA(SQRT(SUMSQ(VLOOKUP($B241&amp;"; "&amp;$L$237&amp;" "&amp;M$238,'FE Déplacements'!$G:$U,7,FALSE),$BH241))),0,SQRT(SUMSQ(VLOOKUP($B241&amp;"; "&amp;$L$237&amp;" "&amp;M$238,'FE Déplacements'!$G:$U,7,FALSE),$BH241)))</f>
        <v>0</v>
      </c>
      <c r="BN241" s="1130">
        <f>IF(ISNA(SQRT(SUMSQ(VLOOKUP($B241&amp;"; "&amp;$L$237&amp;" "&amp;N$238,'FE Déplacements'!$G:$U,7,FALSE),$BH241))),0,SQRT(SUMSQ(VLOOKUP($B241&amp;"; "&amp;$L$237&amp;" "&amp;N$238,'FE Déplacements'!$G:$U,7,FALSE),$BH241)))</f>
        <v>0</v>
      </c>
    </row>
    <row r="242" spans="1:71" ht="12.75" customHeight="1" outlineLevel="2">
      <c r="B242" s="154"/>
      <c r="C242" s="155"/>
      <c r="D242" s="221"/>
      <c r="E242" s="221"/>
      <c r="F242" s="155"/>
      <c r="G242" s="155"/>
      <c r="H242" s="155"/>
      <c r="I242" s="155"/>
      <c r="J242" s="155"/>
      <c r="K242" s="144"/>
      <c r="L242" s="144"/>
      <c r="M242" s="213"/>
      <c r="N242" s="144"/>
      <c r="O242" s="144"/>
      <c r="P242" s="144"/>
      <c r="Q242" s="145"/>
      <c r="X242" s="154"/>
      <c r="Y242" s="155"/>
      <c r="Z242" s="155"/>
      <c r="AA242" s="155"/>
      <c r="AB242" s="155"/>
      <c r="AC242" s="155"/>
      <c r="AD242" s="357"/>
      <c r="AE242" s="257"/>
      <c r="AG242" s="564"/>
      <c r="AH242" s="565"/>
      <c r="AI242" s="565"/>
      <c r="AJ242" s="565"/>
      <c r="AK242" s="565"/>
      <c r="AL242" s="565"/>
      <c r="AM242" s="565"/>
      <c r="AN242" s="565"/>
      <c r="AO242" s="565"/>
      <c r="AP242" s="565"/>
      <c r="AQ242" s="565"/>
      <c r="AR242" s="565"/>
      <c r="AS242" s="1288"/>
      <c r="AT242" s="566"/>
      <c r="AU242" s="566"/>
      <c r="AV242" s="564"/>
      <c r="AW242" s="565"/>
      <c r="AX242" s="568"/>
      <c r="BH242" s="1087"/>
      <c r="BI242" s="1126"/>
      <c r="BJ242" s="1075"/>
      <c r="BK242" s="1131"/>
      <c r="BL242" s="1153"/>
      <c r="BM242" s="1131"/>
      <c r="BN242" s="1153"/>
    </row>
    <row r="243" spans="1:71" outlineLevel="2">
      <c r="B243" s="1264" t="s">
        <v>348</v>
      </c>
      <c r="C243" s="197"/>
      <c r="D243" s="214">
        <f>SUM(D239:D242)</f>
        <v>45.311999999999998</v>
      </c>
      <c r="E243" s="214"/>
      <c r="F243" s="198"/>
      <c r="G243" s="197"/>
      <c r="H243" s="197"/>
      <c r="I243" s="197"/>
      <c r="J243" s="197"/>
      <c r="K243" s="197"/>
      <c r="L243" s="197"/>
      <c r="M243" s="202"/>
      <c r="N243" s="202"/>
      <c r="O243" s="202">
        <f>SUM(O239:O242)</f>
        <v>12.096</v>
      </c>
      <c r="P243" s="202">
        <f>SUM(P239:P242)</f>
        <v>33.216000000000001</v>
      </c>
      <c r="Q243" s="200">
        <f>SUM(Q239:Q242)</f>
        <v>0</v>
      </c>
      <c r="X243" s="1203">
        <f>IF(AD243=0,AD243,AD243/D243)</f>
        <v>0.15602889411919019</v>
      </c>
      <c r="Y243" s="199"/>
      <c r="Z243" s="203"/>
      <c r="AA243" s="203">
        <f>SQRT(SUMSQ(AA238:AA242))</f>
        <v>6.6432000000000002</v>
      </c>
      <c r="AB243" s="203">
        <f>SQRT(SUMSQ(AB238:AB242))</f>
        <v>0</v>
      </c>
      <c r="AC243" s="203">
        <f>SUM(AC239:AC242)</f>
        <v>2.4192</v>
      </c>
      <c r="AD243" s="200">
        <f>SQRT(SUMSQ(AD239:AD242))</f>
        <v>7.0699812503287456</v>
      </c>
      <c r="AE243" s="1458"/>
      <c r="AG243" s="571">
        <f t="shared" ref="AG243:AX243" si="133">SUM(AG239:AG242)</f>
        <v>33.216000000000001</v>
      </c>
      <c r="AH243" s="572">
        <f t="shared" si="133"/>
        <v>0</v>
      </c>
      <c r="AI243" s="572">
        <f t="shared" si="133"/>
        <v>12.096</v>
      </c>
      <c r="AJ243" s="572">
        <f t="shared" si="133"/>
        <v>0</v>
      </c>
      <c r="AK243" s="572">
        <f t="shared" si="133"/>
        <v>0</v>
      </c>
      <c r="AL243" s="572">
        <f t="shared" si="133"/>
        <v>0</v>
      </c>
      <c r="AM243" s="572">
        <f t="shared" si="133"/>
        <v>0</v>
      </c>
      <c r="AN243" s="572">
        <f t="shared" si="133"/>
        <v>0</v>
      </c>
      <c r="AO243" s="572">
        <f t="shared" si="133"/>
        <v>0</v>
      </c>
      <c r="AP243" s="572">
        <f t="shared" si="133"/>
        <v>0</v>
      </c>
      <c r="AQ243" s="572">
        <f t="shared" si="133"/>
        <v>0</v>
      </c>
      <c r="AR243" s="572">
        <f t="shared" si="133"/>
        <v>0</v>
      </c>
      <c r="AS243" s="1290">
        <f t="shared" si="133"/>
        <v>33.216000000000001</v>
      </c>
      <c r="AT243" s="573">
        <f t="shared" si="133"/>
        <v>0</v>
      </c>
      <c r="AU243" s="573">
        <f t="shared" si="133"/>
        <v>12.096</v>
      </c>
      <c r="AV243" s="1082">
        <f t="shared" si="133"/>
        <v>0</v>
      </c>
      <c r="AW243" s="572">
        <f t="shared" si="133"/>
        <v>0</v>
      </c>
      <c r="AX243" s="575">
        <f t="shared" si="133"/>
        <v>0</v>
      </c>
    </row>
    <row r="244" spans="1:71" outlineLevel="1">
      <c r="AZ244" s="109"/>
      <c r="BA244" s="109"/>
      <c r="BB244" s="109"/>
      <c r="BC244" s="109"/>
      <c r="BD244" s="109"/>
      <c r="BE244" s="109"/>
      <c r="BF244" s="109"/>
      <c r="BG244" s="109"/>
      <c r="BH244" s="109"/>
    </row>
    <row r="245" spans="1:71" s="130" customFormat="1" ht="15.75" customHeight="1" outlineLevel="1">
      <c r="A245" s="114"/>
      <c r="B245" s="2652" t="s">
        <v>1477</v>
      </c>
      <c r="C245" s="2653"/>
      <c r="D245" s="2653"/>
      <c r="E245" s="2653"/>
      <c r="F245" s="2653"/>
      <c r="G245" s="2653"/>
      <c r="H245" s="2653"/>
      <c r="I245" s="2653"/>
      <c r="J245" s="2653"/>
      <c r="K245" s="2653"/>
      <c r="L245" s="2653"/>
      <c r="M245" s="2653"/>
      <c r="N245" s="2653"/>
      <c r="O245" s="2654"/>
      <c r="AE245" s="1238"/>
      <c r="AF245" s="1238"/>
      <c r="AG245" s="441"/>
      <c r="AH245" s="441"/>
      <c r="AI245" s="441"/>
      <c r="AJ245" s="441"/>
      <c r="AK245" s="441"/>
      <c r="AL245" s="441"/>
      <c r="AM245" s="441"/>
      <c r="AN245" s="441"/>
      <c r="AO245" s="441"/>
      <c r="AP245" s="441"/>
      <c r="AQ245" s="441"/>
      <c r="AR245" s="441"/>
      <c r="AS245" s="593"/>
      <c r="AT245" s="593"/>
      <c r="AU245" s="593"/>
      <c r="AV245" s="593"/>
      <c r="AW245" s="593"/>
      <c r="AX245" s="593"/>
      <c r="AZ245" s="109"/>
      <c r="BA245" s="109"/>
      <c r="BB245" s="109"/>
      <c r="BC245" s="109"/>
      <c r="BD245" s="109"/>
      <c r="BE245" s="109"/>
      <c r="BF245" s="109"/>
      <c r="BG245" s="109"/>
      <c r="BH245" s="109"/>
    </row>
    <row r="246" spans="1:71" outlineLevel="2">
      <c r="J246" s="109"/>
      <c r="W246" s="116"/>
    </row>
    <row r="247" spans="1:71" s="116" customFormat="1" ht="12.75" customHeight="1" outlineLevel="2">
      <c r="A247" s="114"/>
      <c r="B247" s="1091" t="s">
        <v>103</v>
      </c>
      <c r="C247" s="140"/>
      <c r="D247" s="140"/>
      <c r="E247" s="140"/>
      <c r="F247" s="140"/>
      <c r="G247" s="141"/>
      <c r="H247" s="141"/>
      <c r="I247" s="141"/>
      <c r="J247" s="141"/>
      <c r="K247" s="141"/>
      <c r="L247" s="141"/>
      <c r="M247" s="141"/>
      <c r="N247" s="141"/>
      <c r="O247" s="141"/>
      <c r="P247" s="141"/>
      <c r="Q247" s="141"/>
      <c r="R247" s="141"/>
      <c r="S247" s="141"/>
      <c r="T247" s="142"/>
      <c r="U247" s="1255"/>
      <c r="X247" s="2636" t="s">
        <v>366</v>
      </c>
      <c r="Y247" s="2637"/>
      <c r="Z247" s="2637"/>
      <c r="AA247" s="2637"/>
      <c r="AB247" s="2637"/>
      <c r="AC247" s="2637"/>
      <c r="AD247" s="2638"/>
      <c r="AE247" s="1773"/>
      <c r="AG247" s="2639" t="s">
        <v>441</v>
      </c>
      <c r="AH247" s="2640"/>
      <c r="AI247" s="2640"/>
      <c r="AJ247" s="2640"/>
      <c r="AK247" s="2640"/>
      <c r="AL247" s="2640"/>
      <c r="AM247" s="2640"/>
      <c r="AN247" s="2640"/>
      <c r="AO247" s="2640"/>
      <c r="AP247" s="2640"/>
      <c r="AQ247" s="2640"/>
      <c r="AR247" s="2640"/>
      <c r="AS247" s="2640"/>
      <c r="AT247" s="2640"/>
      <c r="AU247" s="2640"/>
      <c r="AV247" s="2640"/>
      <c r="AW247" s="2640"/>
      <c r="AX247" s="2641"/>
      <c r="AZ247" s="114"/>
      <c r="BA247" s="114"/>
      <c r="BB247" s="114"/>
      <c r="BC247" s="114"/>
      <c r="BD247" s="114"/>
      <c r="BE247" s="114"/>
      <c r="BF247" s="114"/>
      <c r="BG247" s="114"/>
      <c r="BH247" s="114"/>
    </row>
    <row r="248" spans="1:71" s="116" customFormat="1" ht="12.75" customHeight="1" outlineLevel="2">
      <c r="A248" s="114"/>
      <c r="B248" s="143"/>
      <c r="C248" s="144"/>
      <c r="D248" s="537" t="s">
        <v>308</v>
      </c>
      <c r="E248" s="1663"/>
      <c r="F248" s="1244"/>
      <c r="G248" s="144"/>
      <c r="H248" s="144"/>
      <c r="I248" s="144"/>
      <c r="J248" s="144"/>
      <c r="K248" s="144"/>
      <c r="L248" s="144"/>
      <c r="M248" s="144"/>
      <c r="N248" s="144"/>
      <c r="O248" s="144"/>
      <c r="P248" s="144"/>
      <c r="Q248" s="144"/>
      <c r="R248" s="144"/>
      <c r="S248" s="144"/>
      <c r="T248" s="145"/>
      <c r="U248" s="1259" t="s">
        <v>275</v>
      </c>
      <c r="X248" s="1655"/>
      <c r="Y248" s="819"/>
      <c r="Z248" s="819"/>
      <c r="AA248" s="144"/>
      <c r="AB248" s="144"/>
      <c r="AC248" s="1656"/>
      <c r="AD248" s="145"/>
      <c r="AE248" s="1660" t="s">
        <v>275</v>
      </c>
      <c r="AG248" s="2642" t="s">
        <v>444</v>
      </c>
      <c r="AH248" s="2643"/>
      <c r="AI248" s="2643"/>
      <c r="AJ248" s="2643"/>
      <c r="AK248" s="2643"/>
      <c r="AL248" s="2643"/>
      <c r="AM248" s="2643"/>
      <c r="AN248" s="2643"/>
      <c r="AO248" s="2643"/>
      <c r="AP248" s="2643"/>
      <c r="AQ248" s="2643"/>
      <c r="AR248" s="2644"/>
      <c r="AS248" s="2642" t="s">
        <v>444</v>
      </c>
      <c r="AT248" s="2643"/>
      <c r="AU248" s="2644"/>
      <c r="AV248" s="1288"/>
      <c r="AW248" s="566"/>
      <c r="AX248" s="583"/>
      <c r="BH248" s="2616" t="s">
        <v>1648</v>
      </c>
      <c r="BI248" s="2617"/>
      <c r="BJ248" s="2617"/>
      <c r="BK248" s="2617"/>
      <c r="BL248" s="2617"/>
      <c r="BM248" s="2617"/>
      <c r="BN248" s="2617"/>
      <c r="BO248" s="2617"/>
      <c r="BP248" s="2617"/>
      <c r="BQ248" s="2617"/>
      <c r="BR248" s="2617"/>
      <c r="BS248" s="2618"/>
    </row>
    <row r="249" spans="1:71" s="127" customFormat="1" ht="12.75" customHeight="1" outlineLevel="2">
      <c r="A249" s="109"/>
      <c r="B249" s="536"/>
      <c r="C249" s="144"/>
      <c r="D249" s="537" t="s">
        <v>409</v>
      </c>
      <c r="E249" s="1663"/>
      <c r="F249" s="1247" t="s">
        <v>452</v>
      </c>
      <c r="G249" s="1247" t="s">
        <v>343</v>
      </c>
      <c r="H249" s="2626" t="s">
        <v>1572</v>
      </c>
      <c r="I249" s="2627"/>
      <c r="J249" s="1247" t="s">
        <v>343</v>
      </c>
      <c r="K249" s="2626" t="s">
        <v>1573</v>
      </c>
      <c r="L249" s="2627"/>
      <c r="M249" s="1247" t="s">
        <v>343</v>
      </c>
      <c r="N249" s="2626" t="s">
        <v>1575</v>
      </c>
      <c r="O249" s="2627"/>
      <c r="P249" s="1247" t="s">
        <v>343</v>
      </c>
      <c r="Q249" s="2626" t="s">
        <v>1574</v>
      </c>
      <c r="R249" s="2628"/>
      <c r="S249" s="537" t="s">
        <v>444</v>
      </c>
      <c r="T249" s="539" t="s">
        <v>444</v>
      </c>
      <c r="U249" s="1259" t="s">
        <v>276</v>
      </c>
      <c r="X249" s="1655" t="s">
        <v>316</v>
      </c>
      <c r="Y249" s="2629" t="s">
        <v>316</v>
      </c>
      <c r="Z249" s="2630"/>
      <c r="AA249" s="1656" t="s">
        <v>444</v>
      </c>
      <c r="AB249" s="1656" t="s">
        <v>444</v>
      </c>
      <c r="AC249" s="1656"/>
      <c r="AD249" s="1665" t="s">
        <v>444</v>
      </c>
      <c r="AE249" s="153" t="s">
        <v>276</v>
      </c>
      <c r="AG249" s="2631" t="s">
        <v>211</v>
      </c>
      <c r="AH249" s="2632"/>
      <c r="AI249" s="2632"/>
      <c r="AJ249" s="2632" t="s">
        <v>442</v>
      </c>
      <c r="AK249" s="2632"/>
      <c r="AL249" s="2632"/>
      <c r="AM249" s="2632" t="s">
        <v>267</v>
      </c>
      <c r="AN249" s="2632"/>
      <c r="AO249" s="2632"/>
      <c r="AP249" s="2632" t="s">
        <v>443</v>
      </c>
      <c r="AQ249" s="2632"/>
      <c r="AR249" s="2650"/>
      <c r="AS249" s="2848" t="s">
        <v>327</v>
      </c>
      <c r="AT249" s="2648"/>
      <c r="AU249" s="2649"/>
      <c r="AV249" s="2631" t="s">
        <v>636</v>
      </c>
      <c r="AW249" s="2632"/>
      <c r="AX249" s="568"/>
      <c r="BH249" s="2614" t="s">
        <v>1646</v>
      </c>
      <c r="BI249" s="2645"/>
      <c r="BJ249" s="2645"/>
      <c r="BK249" s="2615"/>
      <c r="BL249" s="2614" t="s">
        <v>1644</v>
      </c>
      <c r="BM249" s="2645"/>
      <c r="BN249" s="2645"/>
      <c r="BO249" s="2615"/>
      <c r="BP249" s="2614" t="s">
        <v>1645</v>
      </c>
      <c r="BQ249" s="2645"/>
      <c r="BR249" s="2645"/>
      <c r="BS249" s="2615"/>
    </row>
    <row r="250" spans="1:71" s="116" customFormat="1" ht="12.75" customHeight="1" outlineLevel="2">
      <c r="A250" s="114"/>
      <c r="B250" s="536" t="s">
        <v>1628</v>
      </c>
      <c r="C250" s="144"/>
      <c r="D250" s="315"/>
      <c r="E250" s="315"/>
      <c r="F250" s="1248" t="s">
        <v>453</v>
      </c>
      <c r="G250" s="1248" t="s">
        <v>1621</v>
      </c>
      <c r="H250" s="1249" t="s">
        <v>411</v>
      </c>
      <c r="I250" s="1249" t="s">
        <v>257</v>
      </c>
      <c r="J250" s="1248" t="s">
        <v>790</v>
      </c>
      <c r="K250" s="1249" t="s">
        <v>411</v>
      </c>
      <c r="L250" s="1249" t="s">
        <v>257</v>
      </c>
      <c r="M250" s="1248" t="s">
        <v>791</v>
      </c>
      <c r="N250" s="1249" t="s">
        <v>411</v>
      </c>
      <c r="O250" s="1249" t="s">
        <v>257</v>
      </c>
      <c r="P250" s="1248" t="s">
        <v>213</v>
      </c>
      <c r="Q250" s="1249" t="s">
        <v>411</v>
      </c>
      <c r="R250" s="1249" t="s">
        <v>257</v>
      </c>
      <c r="S250" s="1245" t="s">
        <v>411</v>
      </c>
      <c r="T250" s="220" t="s">
        <v>257</v>
      </c>
      <c r="U250" s="1259" t="s">
        <v>444</v>
      </c>
      <c r="X250" s="1655" t="s">
        <v>1649</v>
      </c>
      <c r="Y250" s="2646" t="s">
        <v>1650</v>
      </c>
      <c r="Z250" s="2647"/>
      <c r="AA250" s="1662" t="s">
        <v>411</v>
      </c>
      <c r="AB250" s="1671" t="s">
        <v>257</v>
      </c>
      <c r="AC250" s="1671"/>
      <c r="AD250" s="162" t="s">
        <v>327</v>
      </c>
      <c r="AE250" s="153" t="s">
        <v>444</v>
      </c>
      <c r="AG250" s="579" t="s">
        <v>411</v>
      </c>
      <c r="AH250" s="580" t="s">
        <v>257</v>
      </c>
      <c r="AI250" s="580"/>
      <c r="AJ250" s="580" t="s">
        <v>411</v>
      </c>
      <c r="AK250" s="580" t="s">
        <v>257</v>
      </c>
      <c r="AL250" s="580"/>
      <c r="AM250" s="580" t="s">
        <v>411</v>
      </c>
      <c r="AN250" s="580" t="s">
        <v>257</v>
      </c>
      <c r="AO250" s="580"/>
      <c r="AP250" s="580" t="s">
        <v>411</v>
      </c>
      <c r="AQ250" s="580" t="s">
        <v>257</v>
      </c>
      <c r="AR250" s="580"/>
      <c r="AS250" s="1289" t="s">
        <v>411</v>
      </c>
      <c r="AT250" s="581" t="s">
        <v>257</v>
      </c>
      <c r="AU250" s="581"/>
      <c r="AV250" s="579" t="s">
        <v>411</v>
      </c>
      <c r="AW250" s="580" t="s">
        <v>257</v>
      </c>
      <c r="AX250" s="583"/>
      <c r="BH250" s="1065"/>
      <c r="BI250" s="1065"/>
      <c r="BJ250" s="1065"/>
      <c r="BK250" s="1167"/>
      <c r="BL250" s="1068"/>
      <c r="BM250" s="1068"/>
      <c r="BN250" s="1068"/>
      <c r="BO250" s="1068"/>
      <c r="BP250" s="1069"/>
      <c r="BQ250" s="1070"/>
      <c r="BR250" s="1070"/>
      <c r="BS250" s="1071"/>
    </row>
    <row r="251" spans="1:71" s="116" customFormat="1" ht="12.75" customHeight="1" outlineLevel="2">
      <c r="A251" s="114"/>
      <c r="B251" s="143" t="s">
        <v>1630</v>
      </c>
      <c r="C251" s="144"/>
      <c r="D251" s="315">
        <f>SUM(S251,T251)</f>
        <v>0</v>
      </c>
      <c r="E251" s="315"/>
      <c r="F251" s="344"/>
      <c r="G251" s="344"/>
      <c r="H251" s="335" t="e">
        <f>VLOOKUP($B251&amp;"; "&amp;$H$249&amp;", "&amp;H$250,'FE Energie'!$G:$U,9,FALSE)</f>
        <v>#N/A</v>
      </c>
      <c r="I251" s="335" t="e">
        <f>VLOOKUP($B251&amp;"; "&amp;$H$249&amp;", "&amp;I$250,'FE Energie'!$G:$U,9,FALSE)</f>
        <v>#N/A</v>
      </c>
      <c r="J251" s="344"/>
      <c r="K251" s="223">
        <f>VLOOKUP($B251&amp;"; "&amp;$K$249&amp;", "&amp;K$250,'FE Energie'!$G:$U,9,FALSE)</f>
        <v>7.8399999999999997E-2</v>
      </c>
      <c r="L251" s="223">
        <f>VLOOKUP($B251&amp;"; "&amp;$K$249&amp;", "&amp;L$250,'FE Energie'!$G:$U,9,FALSE)</f>
        <v>0.19500000000000001</v>
      </c>
      <c r="M251" s="344"/>
      <c r="N251" s="217">
        <f>VLOOKUP($B251&amp;"; "&amp;$N$249&amp;", "&amp;N$250,'FE Energie'!$G:$U,9,FALSE)</f>
        <v>916</v>
      </c>
      <c r="O251" s="217">
        <f>VLOOKUP($B251&amp;"; "&amp;$N$249&amp;", "&amp;O$250,'FE Energie'!$G:$U,9,FALSE)</f>
        <v>2269</v>
      </c>
      <c r="P251" s="1201"/>
      <c r="Q251" s="223">
        <f>VLOOKUP($B251&amp;"; "&amp;$Q$249&amp;", "&amp;Q$250,'FE Energie'!$G:$U,9,FALSE)</f>
        <v>0.75800000000000001</v>
      </c>
      <c r="R251" s="223">
        <f>VLOOKUP($B251&amp;"; "&amp;$Q$249&amp;", "&amp;R$250,'FE Energie'!$G:$U,9,FALSE)</f>
        <v>1.88</v>
      </c>
      <c r="S251" s="566">
        <f>IF(ISNA(G251*H251),0,G251*H251)+IF(ISNA(J251*K251),0,J251*K251)+IF(ISNA(M251*N251),0,M251*N251)+IF(ISNA(P251*Q251),0,P251*Q251)</f>
        <v>0</v>
      </c>
      <c r="T251" s="567">
        <f>IF(ISNA(G251*I251),0,G251*I251)+IF(ISNA(J251*L251),0,J251*L251)+IF(ISNA(M251*O251),0,M251*O251)+IF(ISNA(P251*R251),0,P251*R251)</f>
        <v>0</v>
      </c>
      <c r="U251" s="165">
        <f>IF(OR(F251=Utilitaires!$I$572,M251=Utilitaires!$I$577),T251,0)</f>
        <v>0</v>
      </c>
      <c r="X251" s="1092">
        <f>IF(AD251=0,AD251,AD251/(S251+T251))</f>
        <v>0</v>
      </c>
      <c r="Y251" s="343"/>
      <c r="Z251" s="820"/>
      <c r="AA251" s="164">
        <f>SQRT(SUMSQ(IF(ISNA($G251*H251*BL251),0,$G251*H251*BL251),IF(ISNA($J251*K251*BM251),0,$J251*K251*BM251),IF(ISNA($M251*N251*BN251),0,$M251*N251*BN251),IF(ISNA($P251*Q251*BO251),0,$P251*Q251*BO251)))</f>
        <v>0</v>
      </c>
      <c r="AB251" s="164">
        <f>SQRT(SUMSQ(IF(ISNA($G251*I251*BP251),0,$G251*I251*BP251),IF(ISNA($J251*L251*BQ251),0,$J251*L251*BQ251),IF(ISNA($M251*O251*BR251),0,$M251*O251*BR251),IF(ISNA($P251*R251*BS251),0,$P251*R251*BS251)))</f>
        <v>0</v>
      </c>
      <c r="AC251" s="164"/>
      <c r="AD251" s="152">
        <f>SQRT(SUMSQ(AA251,AB251))</f>
        <v>0</v>
      </c>
      <c r="AE251" s="1286">
        <f>U251*X251</f>
        <v>0</v>
      </c>
      <c r="AG251" s="564">
        <f>$G251*IF(ISNA(VLOOKUP($B251&amp;"; "&amp;$H$249&amp;", "&amp;H$250,'FE Energie'!$G:$U,10,FALSE)),0,VLOOKUP($B251&amp;"; "&amp;$H$249&amp;", "&amp;H$250,'FE Energie'!$G:$U,10,FALSE))
+$J251*IF(ISNA(VLOOKUP($B251&amp;"; "&amp;$K$249&amp;", "&amp;H$250,'FE Energie'!$G:$U,10,FALSE)),0,VLOOKUP($B251&amp;"; "&amp;$K$249&amp;", "&amp;H$250,'FE Energie'!$G:$U,10,FALSE))
+$M251*IF(ISNA(VLOOKUP($B251&amp;"; "&amp;$N$249&amp;", "&amp;H$250,'FE Energie'!$G:$U,10,FALSE)),0,VLOOKUP($B251&amp;"; "&amp;$N$249&amp;", "&amp;H$250,'FE Energie'!$G:$U,10,FALSE))
+$P251*IF(ISNA(VLOOKUP($B251&amp;"; "&amp;$Q$249&amp;", "&amp;H$250,'FE Energie'!$G:$U,10,FALSE)),0,VLOOKUP($B251&amp;"; "&amp;$Q$249&amp;", "&amp;H$250,'FE Energie'!$G:$U,10,FALSE))</f>
        <v>0</v>
      </c>
      <c r="AH251" s="565">
        <f>$G251*IF(ISNA(VLOOKUP($B251&amp;"; "&amp;$H$249&amp;", "&amp;I$250,'FE Energie'!$G:$U,10,FALSE)),0,VLOOKUP($B251&amp;"; "&amp;$H$249&amp;", "&amp;I$250,'FE Energie'!$G:$U,10,FALSE))
+$J251*IF(ISNA(VLOOKUP($B251&amp;"; "&amp;$K$249&amp;", "&amp;I$250,'FE Energie'!$G:$U,10,FALSE)),0,VLOOKUP($B251&amp;"; "&amp;$K$249&amp;", "&amp;I$250,'FE Energie'!$G:$U,10,FALSE))
+$M251*IF(ISNA(VLOOKUP($B251&amp;"; "&amp;$N$249&amp;", "&amp;I$250,'FE Energie'!$G:$U,10,FALSE)),0,VLOOKUP($B251&amp;"; "&amp;$N$249&amp;", "&amp;I$250,'FE Energie'!$G:$U,10,FALSE))
+$P251*IF(ISNA(VLOOKUP($B251&amp;"; "&amp;$Q$249&amp;", "&amp;I$250,'FE Energie'!$G:$U,10,FALSE)),0,VLOOKUP($B251&amp;"; "&amp;$Q$249&amp;", "&amp;I$250,'FE Energie'!$G:$U,10,FALSE))</f>
        <v>0</v>
      </c>
      <c r="AI251" s="565"/>
      <c r="AJ251" s="565">
        <f>$G251*IF(ISNA((VLOOKUP($B251&amp;"; "&amp;$H$249&amp;", "&amp;H$250,'FE Energie'!$G:$U,11,FALSE)+VLOOKUP($B251&amp;"; "&amp;$H$249&amp;", "&amp;H$250,'FE Energie'!$G:$U,12,FALSE))),0,(VLOOKUP($B251&amp;"; "&amp;$H$249&amp;", "&amp;H$250,'FE Energie'!$G:$U,11,FALSE)+VLOOKUP($B251&amp;"; "&amp;$H$249&amp;", "&amp;H$250,'FE Energie'!$G:$U,12,FALSE)))
+$J251*IF(ISNA((VLOOKUP($B251&amp;"; "&amp;$K$249&amp;", "&amp;H$250,'FE Energie'!$G:$U,11,FALSE)+VLOOKUP($B251&amp;"; "&amp;$K$249&amp;", "&amp;H$250,'FE Energie'!$G:$U,12,FALSE))),0,(VLOOKUP($B251&amp;"; "&amp;$K$249&amp;", "&amp;H$250,'FE Energie'!$G:$U,11,FALSE)+VLOOKUP($B251&amp;"; "&amp;$K$249&amp;", "&amp;H$250,'FE Energie'!$G:$U,12,FALSE)))
+$M251*IF(ISNA((VLOOKUP($B251&amp;"; "&amp;$N$249&amp;", "&amp;H$250,'FE Energie'!$G:$U,11,FALSE)+VLOOKUP($B251&amp;"; "&amp;$N$249&amp;", "&amp;H$250,'FE Energie'!$G:$U,12,FALSE))),0,(VLOOKUP($B251&amp;"; "&amp;$N$249&amp;", "&amp;H$250,'FE Energie'!$G:$U,11,FALSE)+VLOOKUP($B251&amp;"; "&amp;$N$249&amp;", "&amp;H$250,'FE Energie'!$G:$U,12,FALSE)))
+$P251*IF(ISNA((VLOOKUP($B251&amp;"; "&amp;$Q$249&amp;", "&amp;H$250,'FE Energie'!$G:$U,11,FALSE)+VLOOKUP($B251&amp;"; "&amp;$Q$249&amp;", "&amp;H$250,'FE Energie'!$G:$U,12,FALSE))),0,(VLOOKUP($B251&amp;"; "&amp;$Q$249&amp;", "&amp;H$250,'FE Energie'!$G:$U,11,FALSE)+VLOOKUP($B251&amp;"; "&amp;$Q$249&amp;", "&amp;H$250,'FE Energie'!$G:$U,12,FALSE)))</f>
        <v>0</v>
      </c>
      <c r="AK251" s="565">
        <f>$G251*IF(ISNA((VLOOKUP($B251&amp;"; "&amp;$H$249&amp;", "&amp;I$250,'FE Energie'!$G:$U,11,FALSE)+VLOOKUP($B251&amp;"; "&amp;$H$249&amp;", "&amp;I$250,'FE Energie'!$G:$U,12,FALSE))),0,(VLOOKUP($B251&amp;"; "&amp;$H$249&amp;", "&amp;I$250,'FE Energie'!$G:$U,11,FALSE)+VLOOKUP($B251&amp;"; "&amp;$H$249&amp;", "&amp;I$250,'FE Energie'!$G:$U,12,FALSE)))
+$J251*IF(ISNA((VLOOKUP($B251&amp;"; "&amp;$K$249&amp;", "&amp;I$250,'FE Energie'!$G:$U,11,FALSE)+VLOOKUP($B251&amp;"; "&amp;$K$249&amp;", "&amp;I$250,'FE Energie'!$G:$U,12,FALSE))),0,(VLOOKUP($B251&amp;"; "&amp;$K$249&amp;", "&amp;I$250,'FE Energie'!$G:$U,11,FALSE)+VLOOKUP($B251&amp;"; "&amp;$K$249&amp;", "&amp;I$250,'FE Energie'!$G:$U,12,FALSE)))
+$M251*IF(ISNA((VLOOKUP($B251&amp;"; "&amp;$N$249&amp;", "&amp;I$250,'FE Energie'!$G:$U,11,FALSE)+VLOOKUP($B251&amp;"; "&amp;$N$249&amp;", "&amp;I$250,'FE Energie'!$G:$U,12,FALSE))),0,(VLOOKUP($B251&amp;"; "&amp;$N$249&amp;", "&amp;I$250,'FE Energie'!$G:$U,11,FALSE)+VLOOKUP($B251&amp;"; "&amp;$N$249&amp;", "&amp;I$250,'FE Energie'!$G:$U,12,FALSE)))
+$P251*IF(ISNA((VLOOKUP($B251&amp;"; "&amp;$Q$249&amp;", "&amp;I$250,'FE Energie'!$G:$U,11,FALSE)+VLOOKUP($B251&amp;"; "&amp;$Q$249&amp;", "&amp;I$250,'FE Energie'!$G:$U,12,FALSE))),0,(VLOOKUP($B251&amp;"; "&amp;$Q$249&amp;", "&amp;I$250,'FE Energie'!$G:$U,11,FALSE)+VLOOKUP($B251&amp;"; "&amp;$Q$249&amp;", "&amp;I$250,'FE Energie'!$G:$U,12,FALSE)))</f>
        <v>0</v>
      </c>
      <c r="AL251" s="565"/>
      <c r="AM251" s="565">
        <f>$G251*IF(ISNA(VLOOKUP($B251&amp;"; "&amp;$H$249&amp;", "&amp;H$250,'FE Energie'!$G:$U,13,FALSE)),0,VLOOKUP($B251&amp;"; "&amp;$H$249&amp;", "&amp;H$250,'FE Energie'!$G:$U,13,FALSE))
+$J251*IF(ISNA(VLOOKUP($B251&amp;"; "&amp;$K$249&amp;", "&amp;H$250,'FE Energie'!$G:$U,13,FALSE)),0,VLOOKUP($B251&amp;"; "&amp;$K$249&amp;", "&amp;H$250,'FE Energie'!$G:$U,13,FALSE))
+$M251*IF(ISNA(VLOOKUP($B251&amp;"; "&amp;$N$249&amp;", "&amp;H$250,'FE Energie'!$G:$U,13,FALSE)),0,VLOOKUP($B251&amp;"; "&amp;$N$249&amp;", "&amp;H$250,'FE Energie'!$G:$U,13,FALSE))
+$P251*IF(ISNA(VLOOKUP($B251&amp;"; "&amp;$Q$249&amp;", "&amp;H$250,'FE Energie'!$G:$U,13,FALSE)),0,VLOOKUP($B251&amp;"; "&amp;$Q$249&amp;", "&amp;H$250,'FE Energie'!$G:$U,13,FALSE))</f>
        <v>0</v>
      </c>
      <c r="AN251" s="565">
        <f>$G251*IF(ISNA(VLOOKUP($B251&amp;"; "&amp;$H$249&amp;", "&amp;I$250,'FE Energie'!$G:$U,13,FALSE)),0,VLOOKUP($B251&amp;"; "&amp;$H$249&amp;", "&amp;I$250,'FE Energie'!$G:$U,13,FALSE))
+$J251*IF(ISNA(VLOOKUP($B251&amp;"; "&amp;$K$249&amp;", "&amp;I$250,'FE Energie'!$G:$U,13,FALSE)),0,VLOOKUP($B251&amp;"; "&amp;$K$249&amp;", "&amp;I$250,'FE Energie'!$G:$U,13,FALSE))
+$M251*IF(ISNA(VLOOKUP($B251&amp;"; "&amp;$N$249&amp;", "&amp;I$250,'FE Energie'!$G:$U,13,FALSE)),0,VLOOKUP($B251&amp;"; "&amp;$N$249&amp;", "&amp;I$250,'FE Energie'!$G:$U,13,FALSE))
+$P251*IF(ISNA(VLOOKUP($B251&amp;"; "&amp;$Q$249&amp;", "&amp;I$250,'FE Energie'!$G:$U,13,FALSE)),0,VLOOKUP($B251&amp;"; "&amp;$Q$249&amp;", "&amp;I$250,'FE Energie'!$G:$U,13,FALSE))</f>
        <v>0</v>
      </c>
      <c r="AO251" s="565"/>
      <c r="AP251" s="565">
        <f>$G251*IF(ISNA(VLOOKUP($B251&amp;"; "&amp;$H$249&amp;", "&amp;H$250,'FE Energie'!$G:$U,14,FALSE)),0,VLOOKUP($B251&amp;"; "&amp;$H$249&amp;", "&amp;H$250,'FE Energie'!$G:$U,14,FALSE))
+$J251*IF(ISNA(VLOOKUP($B251&amp;"; "&amp;$K$249&amp;", "&amp;H$250,'FE Energie'!$G:$U,14,FALSE)),0,VLOOKUP($B251&amp;"; "&amp;$K$249&amp;", "&amp;H$250,'FE Energie'!$G:$U,14,FALSE))
+$M251*IF(ISNA(VLOOKUP($B251&amp;"; "&amp;$N$249&amp;", "&amp;H$250,'FE Energie'!$G:$U,14,FALSE)),0,VLOOKUP($B251&amp;"; "&amp;$N$249&amp;", "&amp;H$250,'FE Energie'!$G:$U,14,FALSE))
+$P251*IF(ISNA(VLOOKUP($B251&amp;"; "&amp;$Q$249&amp;", "&amp;H$250,'FE Energie'!$G:$U,14,FALSE)),0,VLOOKUP($B251&amp;"; "&amp;$Q$249&amp;", "&amp;H$250,'FE Energie'!$G:$U,14,FALSE))</f>
        <v>0</v>
      </c>
      <c r="AQ251" s="565">
        <f>$G251*IF(ISNA(VLOOKUP($B251&amp;"; "&amp;$H$249&amp;", "&amp;I$250,'FE Energie'!$G:$U,14,FALSE)),0,VLOOKUP($B251&amp;"; "&amp;$H$249&amp;", "&amp;I$250,'FE Energie'!$G:$U,14,FALSE))
+$J251*IF(ISNA(VLOOKUP($B251&amp;"; "&amp;$K$249&amp;", "&amp;I$250,'FE Energie'!$G:$U,14,FALSE)),0,VLOOKUP($B251&amp;"; "&amp;$K$249&amp;", "&amp;I$250,'FE Energie'!$G:$U,14,FALSE))
+$M251*IF(ISNA(VLOOKUP($B251&amp;"; "&amp;$N$249&amp;", "&amp;I$250,'FE Energie'!$G:$U,14,FALSE)),0,VLOOKUP($B251&amp;"; "&amp;$N$249&amp;", "&amp;I$250,'FE Energie'!$G:$U,14,FALSE))
+$P251*IF(ISNA(VLOOKUP($B251&amp;"; "&amp;$Q$249&amp;", "&amp;I$250,'FE Energie'!$G:$U,14,FALSE)),0,VLOOKUP($B251&amp;"; "&amp;$Q$249&amp;", "&amp;I$250,'FE Energie'!$G:$U,14,FALSE))</f>
        <v>0</v>
      </c>
      <c r="AR251" s="565"/>
      <c r="AS251" s="1288">
        <f>SUM(AG251,AJ251,AM251,AP251)</f>
        <v>0</v>
      </c>
      <c r="AT251" s="566">
        <f>SUM(AH251,AK251,AN251,AQ251)</f>
        <v>0</v>
      </c>
      <c r="AU251" s="566"/>
      <c r="AV251" s="564">
        <f>$G251*IF(ISNA(VLOOKUP($B251&amp;"; "&amp;$H$249&amp;", "&amp;H$250,'FE Energie'!$G:$U,15,FALSE)),0,VLOOKUP($B251&amp;"; "&amp;$H$249&amp;", "&amp;H$250,'FE Energie'!$G:$U,15,FALSE))
+$J251*IF(ISNA(VLOOKUP($B251&amp;"; "&amp;$K$249&amp;", "&amp;H$250,'FE Energie'!$G:$U,15,FALSE)),0,VLOOKUP($B251&amp;"; "&amp;$K$249&amp;", "&amp;H$250,'FE Energie'!$G:$U,15,FALSE))
+$M251*IF(ISNA(VLOOKUP($B251&amp;"; "&amp;$N$249&amp;", "&amp;H$250,'FE Energie'!$G:$U,15,FALSE)),0,VLOOKUP($B251&amp;"; "&amp;$N$249&amp;", "&amp;H$250,'FE Energie'!$G:$U,15,FALSE))
+$P251*IF(ISNA(VLOOKUP($B251&amp;"; "&amp;$Q$249&amp;", "&amp;H$250,'FE Energie'!$G:$U,15,FALSE)),0,VLOOKUP($B251&amp;"; "&amp;$Q$249&amp;", "&amp;H$250,'FE Energie'!$G:$U,15,FALSE))</f>
        <v>0</v>
      </c>
      <c r="AW251" s="565">
        <f>$G251*IF(ISNA(VLOOKUP($B251&amp;"; "&amp;$H$249&amp;", "&amp;I$250,'FE Energie'!$G:$U,15,FALSE)),0,VLOOKUP($B251&amp;"; "&amp;$H$249&amp;", "&amp;I$250,'FE Energie'!$G:$U,15,FALSE))
+$J251*IF(ISNA(VLOOKUP($B251&amp;"; "&amp;$K$249&amp;", "&amp;I$250,'FE Energie'!$G:$U,15,FALSE)),0,VLOOKUP($B251&amp;"; "&amp;$K$249&amp;", "&amp;I$250,'FE Energie'!$G:$U,15,FALSE))
+$M251*IF(ISNA(VLOOKUP($B251&amp;"; "&amp;$N$249&amp;", "&amp;I$250,'FE Energie'!$G:$U,15,FALSE)),0,VLOOKUP($B251&amp;"; "&amp;$N$249&amp;", "&amp;I$250,'FE Energie'!$G:$U,15,FALSE))
+$P251*IF(ISNA(VLOOKUP($B251&amp;"; "&amp;$Q$249&amp;", "&amp;I$250,'FE Energie'!$G:$U,15,FALSE)),0,VLOOKUP($B251&amp;"; "&amp;$Q$249&amp;", "&amp;I$250,'FE Energie'!$G:$U,15,FALSE))</f>
        <v>0</v>
      </c>
      <c r="AX251" s="568"/>
      <c r="BH251" s="1065">
        <f>IF($Y251&lt;&gt;"votre valeur :",IF(ISNA(VLOOKUP($Y251,Utilitaires!$N$566:$O$571,2,FALSE)),,VLOOKUP($Y251,Utilitaires!$N$566:$O$571,2,FALSE)),$Z251)</f>
        <v>0</v>
      </c>
      <c r="BI251" s="1065">
        <f>IF($Y251&lt;&gt;"votre valeur :",IF(ISNA(VLOOKUP($Y251,Utilitaires!$N$566:$O$571,2,FALSE)),,VLOOKUP($Y251,Utilitaires!$N$566:$O$571,2,FALSE)),$Z251)</f>
        <v>0</v>
      </c>
      <c r="BJ251" s="1065">
        <f>IF($Y251&lt;&gt;"votre valeur :",IF(ISNA(VLOOKUP($Y251,Utilitaires!$N$566:$O$571,2,FALSE)),,VLOOKUP($Y251,Utilitaires!$N$566:$O$571,2,FALSE)),$Z251)</f>
        <v>0</v>
      </c>
      <c r="BK251" s="1167">
        <f>IF($Y251&lt;&gt;"votre valeur :",IF(ISNA(VLOOKUP($Y251,Utilitaires!$N$566:$O$571,2,FALSE)),,VLOOKUP($Y251,Utilitaires!$N$566:$O$571,2,FALSE)),$Z251)</f>
        <v>0</v>
      </c>
      <c r="BL251" s="1068">
        <f>IF(ISNA(SQRT(SUMSQ(VLOOKUP($B251&amp;"; "&amp;$H$249&amp;", "&amp;$H$250,'FE Energie'!$G:$U,7,FALSE),$BH251))),0,SQRT(SUMSQ(VLOOKUP($B251&amp;"; "&amp;$H$249&amp;", "&amp;$H$250,'FE Energie'!$G:$U,7,FALSE),$BH251)))</f>
        <v>0</v>
      </c>
      <c r="BM251" s="1068">
        <f>IF(ISNA(SQRT(SUMSQ(VLOOKUP($B251&amp;"; "&amp;$K$249&amp;", "&amp;$K$250,'FE Energie'!$G:$U,7,FALSE),$BI251))),0,SQRT(SUMSQ(VLOOKUP($B251&amp;"; "&amp;$K$249&amp;", "&amp;$K$250,'FE Energie'!$G:$U,7,FALSE),$BI251)))</f>
        <v>0.05</v>
      </c>
      <c r="BN251" s="1068">
        <f>IF(ISNA(SQRT(SUMSQ(VLOOKUP($B251&amp;"; "&amp;$N$249&amp;", "&amp;$N$250,'FE Energie'!$G:$U,7,FALSE),$BJ251))),0,SQRT(SUMSQ(VLOOKUP($B251&amp;"; "&amp;$N$249&amp;", "&amp;$N$250,'FE Energie'!$G:$U,7,FALSE),$BJ251)))</f>
        <v>0.05</v>
      </c>
      <c r="BO251" s="1068">
        <f>IF(ISNA(SQRT(SUMSQ(VLOOKUP($B251&amp;"; "&amp;$Q$249&amp;", "&amp;$Q$250,'FE Energie'!$G:$U,7,FALSE),$BK251))),0,SQRT(SUMSQ(VLOOKUP($B251&amp;"; "&amp;$Q$249&amp;", "&amp;$Q$250,'FE Energie'!$G:$U,7,FALSE),$BK251)))</f>
        <v>0.1</v>
      </c>
      <c r="BP251" s="1069">
        <f>IF(ISNA(SQRT(SUMSQ(VLOOKUP($B251&amp;"; "&amp;$H$249&amp;", "&amp;$I$250,'FE Energie'!$G:$U,7,FALSE),$BH251))),0,SQRT(SUMSQ(VLOOKUP($B251&amp;"; "&amp;$H$249&amp;", "&amp;$I$250,'FE Energie'!$G:$U,7,FALSE),$BH251)))</f>
        <v>0</v>
      </c>
      <c r="BQ251" s="1070">
        <f>IF(ISNA(SQRT(SUMSQ(VLOOKUP($B251&amp;"; "&amp;$K$249&amp;", "&amp;$L$250,'FE Energie'!$G:$U,7,FALSE),$BI251))),0,SQRT(SUMSQ(VLOOKUP($B251&amp;"; "&amp;$K$249&amp;", "&amp;$L$250,'FE Energie'!$G:$U,7,FALSE),$BI251)))</f>
        <v>0.05</v>
      </c>
      <c r="BR251" s="1070">
        <f>IF(ISNA(SQRT(SUMSQ(VLOOKUP($B251&amp;"; "&amp;$N$249&amp;", "&amp;$O$250,'FE Energie'!$G:$U,7,FALSE),$BJ251))),0,SQRT(SUMSQ(VLOOKUP($B251&amp;"; "&amp;$N$249&amp;", "&amp;$O$250,'FE Energie'!$G:$U,7,FALSE),$BJ251)))</f>
        <v>0.05</v>
      </c>
      <c r="BS251" s="1071">
        <f>IF(ISNA(SQRT(SUMSQ(VLOOKUP($B251&amp;"; "&amp;$Q$249&amp;", "&amp;$R$250,'FE Energie'!$G:$U,7,FALSE),$BK251))),0,SQRT(SUMSQ(VLOOKUP($B251&amp;"; "&amp;$Q$249&amp;", "&amp;$R$250,'FE Energie'!$G:$U,7,FALSE),$BK251)))</f>
        <v>0.1</v>
      </c>
    </row>
    <row r="252" spans="1:71" s="116" customFormat="1" ht="12.75" customHeight="1" outlineLevel="2">
      <c r="A252" s="114"/>
      <c r="B252" s="143" t="s">
        <v>1631</v>
      </c>
      <c r="C252" s="144"/>
      <c r="D252" s="315">
        <f>SUM(S252,T252)</f>
        <v>0</v>
      </c>
      <c r="E252" s="315"/>
      <c r="F252" s="345"/>
      <c r="G252" s="345"/>
      <c r="H252" s="335">
        <f>VLOOKUP($B252&amp;"; "&amp;$H$249&amp;", "&amp;H$250,'FE Energie'!$G:$U,9,FALSE)</f>
        <v>0.27</v>
      </c>
      <c r="I252" s="335">
        <f>VLOOKUP($B252&amp;"; "&amp;$H$249&amp;", "&amp;I$250,'FE Energie'!$G:$U,9,FALSE)</f>
        <v>3.07</v>
      </c>
      <c r="J252" s="345"/>
      <c r="K252" s="223" t="e">
        <f>VLOOKUP($B252&amp;"; "&amp;$K$249&amp;", "&amp;K$250,'FE Energie'!$G:$U,9,FALSE)</f>
        <v>#N/A</v>
      </c>
      <c r="L252" s="223" t="e">
        <f>VLOOKUP($B252&amp;"; "&amp;$K$249&amp;", "&amp;L$250,'FE Energie'!$G:$U,9,FALSE)</f>
        <v>#N/A</v>
      </c>
      <c r="M252" s="345"/>
      <c r="N252" s="217" t="e">
        <f>VLOOKUP($B252&amp;"; "&amp;$N$249&amp;", "&amp;N$250,'FE Energie'!$G:$U,9,FALSE)</f>
        <v>#N/A</v>
      </c>
      <c r="O252" s="217" t="e">
        <f>VLOOKUP($B252&amp;"; "&amp;$N$249&amp;", "&amp;O$250,'FE Energie'!$G:$U,9,FALSE)</f>
        <v>#N/A</v>
      </c>
      <c r="P252" s="1086"/>
      <c r="Q252" s="223" t="e">
        <f>VLOOKUP($B252&amp;"; "&amp;$Q$249&amp;", "&amp;Q$250,'FE Energie'!$G:$U,9,FALSE)</f>
        <v>#N/A</v>
      </c>
      <c r="R252" s="223" t="e">
        <f>VLOOKUP($B252&amp;"; "&amp;$Q$249&amp;", "&amp;R$250,'FE Energie'!$G:$U,9,FALSE)</f>
        <v>#N/A</v>
      </c>
      <c r="S252" s="566">
        <f>IF(ISNA(G252*H252),0,G252*H252)+IF(ISNA(J252*K252),0,J252*K252)+IF(ISNA(M252*N252),0,M252*N252)+IF(ISNA(P252*Q252),0,P252*Q252)</f>
        <v>0</v>
      </c>
      <c r="T252" s="567">
        <f>IF(ISNA(G252*I252),0,G252*I252)+IF(ISNA(J252*L252),0,J252*L252)+IF(ISNA(M252*O252),0,M252*O252)+IF(ISNA(P252*R252),0,P252*R252)</f>
        <v>0</v>
      </c>
      <c r="U252" s="165">
        <f>IF(OR(F252=Utilitaires!$I$572,M252=Utilitaires!$I$577),T252,0)</f>
        <v>0</v>
      </c>
      <c r="X252" s="1092">
        <f>IF(AD252=0,AD252,AD252/(S252+T252))</f>
        <v>0</v>
      </c>
      <c r="Y252" s="1094"/>
      <c r="Z252" s="820"/>
      <c r="AA252" s="164">
        <f>SQRT(SUMSQ(IF(ISNA($G252*H252*BL252),0,$G252*H252*BL252),IF(ISNA($J252*K252*BM252),0,$J252*K252*BM252),IF(ISNA($M252*N252*BN252),0,$M252*N252*BN252),IF(ISNA($P252*Q252*BO252),0,$P252*Q252*BO252)))</f>
        <v>0</v>
      </c>
      <c r="AB252" s="164">
        <f>SQRT(SUMSQ(IF(ISNA($G252*I252*BP252),0,$G252*I252*BP252),IF(ISNA($J252*L252*BQ252),0,$J252*L252*BQ252),IF(ISNA($M252*O252*BR252),0,$M252*O252*BR252),IF(ISNA($P252*R252*BS252),0,$P252*R252*BS252)))</f>
        <v>0</v>
      </c>
      <c r="AC252" s="164"/>
      <c r="AD252" s="152">
        <f>SQRT(SUMSQ(AA252,AB252))</f>
        <v>0</v>
      </c>
      <c r="AE252" s="1286">
        <f>U252*X252</f>
        <v>0</v>
      </c>
      <c r="AG252" s="564">
        <f>$G252*IF(ISNA(VLOOKUP($B252&amp;"; "&amp;$H$249&amp;", "&amp;H$250,'FE Energie'!$G:$U,10,FALSE)),0,VLOOKUP($B252&amp;"; "&amp;$H$249&amp;", "&amp;H$250,'FE Energie'!$G:$U,10,FALSE))
+$J252*IF(ISNA(VLOOKUP($B252&amp;"; "&amp;$K$249&amp;", "&amp;H$250,'FE Energie'!$G:$U,10,FALSE)),0,VLOOKUP($B252&amp;"; "&amp;$K$249&amp;", "&amp;H$250,'FE Energie'!$G:$U,10,FALSE))
+$M252*IF(ISNA(VLOOKUP($B252&amp;"; "&amp;$N$249&amp;", "&amp;H$250,'FE Energie'!$G:$U,10,FALSE)),0,VLOOKUP($B252&amp;"; "&amp;$N$249&amp;", "&amp;H$250,'FE Energie'!$G:$U,10,FALSE))
+$P252*IF(ISNA(VLOOKUP($B252&amp;"; "&amp;$Q$249&amp;", "&amp;H$250,'FE Energie'!$G:$U,10,FALSE)),0,VLOOKUP($B252&amp;"; "&amp;$Q$249&amp;", "&amp;H$250,'FE Energie'!$G:$U,10,FALSE))</f>
        <v>0</v>
      </c>
      <c r="AH252" s="565">
        <f>$G252*IF(ISNA(VLOOKUP($B252&amp;"; "&amp;$H$249&amp;", "&amp;I$250,'FE Energie'!$G:$U,10,FALSE)),0,VLOOKUP($B252&amp;"; "&amp;$H$249&amp;", "&amp;I$250,'FE Energie'!$G:$U,10,FALSE))
+$J252*IF(ISNA(VLOOKUP($B252&amp;"; "&amp;$K$249&amp;", "&amp;I$250,'FE Energie'!$G:$U,10,FALSE)),0,VLOOKUP($B252&amp;"; "&amp;$K$249&amp;", "&amp;I$250,'FE Energie'!$G:$U,10,FALSE))
+$M252*IF(ISNA(VLOOKUP($B252&amp;"; "&amp;$N$249&amp;", "&amp;I$250,'FE Energie'!$G:$U,10,FALSE)),0,VLOOKUP($B252&amp;"; "&amp;$N$249&amp;", "&amp;I$250,'FE Energie'!$G:$U,10,FALSE))
+$P252*IF(ISNA(VLOOKUP($B252&amp;"; "&amp;$Q$249&amp;", "&amp;I$250,'FE Energie'!$G:$U,10,FALSE)),0,VLOOKUP($B252&amp;"; "&amp;$Q$249&amp;", "&amp;I$250,'FE Energie'!$G:$U,10,FALSE))</f>
        <v>0</v>
      </c>
      <c r="AI252" s="565"/>
      <c r="AJ252" s="565">
        <f>$G252*IF(ISNA((VLOOKUP($B252&amp;"; "&amp;$H$249&amp;", "&amp;H$250,'FE Energie'!$G:$U,11,FALSE)+VLOOKUP($B252&amp;"; "&amp;$H$249&amp;", "&amp;H$250,'FE Energie'!$G:$U,12,FALSE))),0,(VLOOKUP($B252&amp;"; "&amp;$H$249&amp;", "&amp;H$250,'FE Energie'!$G:$U,11,FALSE)+VLOOKUP($B252&amp;"; "&amp;$H$249&amp;", "&amp;H$250,'FE Energie'!$G:$U,12,FALSE)))
+$J252*IF(ISNA((VLOOKUP($B252&amp;"; "&amp;$K$249&amp;", "&amp;H$250,'FE Energie'!$G:$U,11,FALSE)+VLOOKUP($B252&amp;"; "&amp;$K$249&amp;", "&amp;H$250,'FE Energie'!$G:$U,12,FALSE))),0,(VLOOKUP($B252&amp;"; "&amp;$K$249&amp;", "&amp;H$250,'FE Energie'!$G:$U,11,FALSE)+VLOOKUP($B252&amp;"; "&amp;$K$249&amp;", "&amp;H$250,'FE Energie'!$G:$U,12,FALSE)))
+$M252*IF(ISNA((VLOOKUP($B252&amp;"; "&amp;$N$249&amp;", "&amp;H$250,'FE Energie'!$G:$U,11,FALSE)+VLOOKUP($B252&amp;"; "&amp;$N$249&amp;", "&amp;H$250,'FE Energie'!$G:$U,12,FALSE))),0,(VLOOKUP($B252&amp;"; "&amp;$N$249&amp;", "&amp;H$250,'FE Energie'!$G:$U,11,FALSE)+VLOOKUP($B252&amp;"; "&amp;$N$249&amp;", "&amp;H$250,'FE Energie'!$G:$U,12,FALSE)))
+$P252*IF(ISNA((VLOOKUP($B252&amp;"; "&amp;$Q$249&amp;", "&amp;H$250,'FE Energie'!$G:$U,11,FALSE)+VLOOKUP($B252&amp;"; "&amp;$Q$249&amp;", "&amp;H$250,'FE Energie'!$G:$U,12,FALSE))),0,(VLOOKUP($B252&amp;"; "&amp;$Q$249&amp;", "&amp;H$250,'FE Energie'!$G:$U,11,FALSE)+VLOOKUP($B252&amp;"; "&amp;$Q$249&amp;", "&amp;H$250,'FE Energie'!$G:$U,12,FALSE)))</f>
        <v>0</v>
      </c>
      <c r="AK252" s="565">
        <f>$G252*IF(ISNA((VLOOKUP($B252&amp;"; "&amp;$H$249&amp;", "&amp;I$250,'FE Energie'!$G:$U,11,FALSE)+VLOOKUP($B252&amp;"; "&amp;$H$249&amp;", "&amp;I$250,'FE Energie'!$G:$U,12,FALSE))),0,(VLOOKUP($B252&amp;"; "&amp;$H$249&amp;", "&amp;I$250,'FE Energie'!$G:$U,11,FALSE)+VLOOKUP($B252&amp;"; "&amp;$H$249&amp;", "&amp;I$250,'FE Energie'!$G:$U,12,FALSE)))
+$J252*IF(ISNA((VLOOKUP($B252&amp;"; "&amp;$K$249&amp;", "&amp;I$250,'FE Energie'!$G:$U,11,FALSE)+VLOOKUP($B252&amp;"; "&amp;$K$249&amp;", "&amp;I$250,'FE Energie'!$G:$U,12,FALSE))),0,(VLOOKUP($B252&amp;"; "&amp;$K$249&amp;", "&amp;I$250,'FE Energie'!$G:$U,11,FALSE)+VLOOKUP($B252&amp;"; "&amp;$K$249&amp;", "&amp;I$250,'FE Energie'!$G:$U,12,FALSE)))
+$M252*IF(ISNA((VLOOKUP($B252&amp;"; "&amp;$N$249&amp;", "&amp;I$250,'FE Energie'!$G:$U,11,FALSE)+VLOOKUP($B252&amp;"; "&amp;$N$249&amp;", "&amp;I$250,'FE Energie'!$G:$U,12,FALSE))),0,(VLOOKUP($B252&amp;"; "&amp;$N$249&amp;", "&amp;I$250,'FE Energie'!$G:$U,11,FALSE)+VLOOKUP($B252&amp;"; "&amp;$N$249&amp;", "&amp;I$250,'FE Energie'!$G:$U,12,FALSE)))
+$P252*IF(ISNA((VLOOKUP($B252&amp;"; "&amp;$Q$249&amp;", "&amp;I$250,'FE Energie'!$G:$U,11,FALSE)+VLOOKUP($B252&amp;"; "&amp;$Q$249&amp;", "&amp;I$250,'FE Energie'!$G:$U,12,FALSE))),0,(VLOOKUP($B252&amp;"; "&amp;$Q$249&amp;", "&amp;I$250,'FE Energie'!$G:$U,11,FALSE)+VLOOKUP($B252&amp;"; "&amp;$Q$249&amp;", "&amp;I$250,'FE Energie'!$G:$U,12,FALSE)))</f>
        <v>0</v>
      </c>
      <c r="AL252" s="565"/>
      <c r="AM252" s="565">
        <f>$G252*IF(ISNA(VLOOKUP($B252&amp;"; "&amp;$H$249&amp;", "&amp;H$250,'FE Energie'!$G:$U,13,FALSE)),0,VLOOKUP($B252&amp;"; "&amp;$H$249&amp;", "&amp;H$250,'FE Energie'!$G:$U,13,FALSE))
+$J252*IF(ISNA(VLOOKUP($B252&amp;"; "&amp;$K$249&amp;", "&amp;H$250,'FE Energie'!$G:$U,13,FALSE)),0,VLOOKUP($B252&amp;"; "&amp;$K$249&amp;", "&amp;H$250,'FE Energie'!$G:$U,13,FALSE))
+$M252*IF(ISNA(VLOOKUP($B252&amp;"; "&amp;$N$249&amp;", "&amp;H$250,'FE Energie'!$G:$U,13,FALSE)),0,VLOOKUP($B252&amp;"; "&amp;$N$249&amp;", "&amp;H$250,'FE Energie'!$G:$U,13,FALSE))
+$P252*IF(ISNA(VLOOKUP($B252&amp;"; "&amp;$Q$249&amp;", "&amp;H$250,'FE Energie'!$G:$U,13,FALSE)),0,VLOOKUP($B252&amp;"; "&amp;$Q$249&amp;", "&amp;H$250,'FE Energie'!$G:$U,13,FALSE))</f>
        <v>0</v>
      </c>
      <c r="AN252" s="565">
        <f>$G252*IF(ISNA(VLOOKUP($B252&amp;"; "&amp;$H$249&amp;", "&amp;I$250,'FE Energie'!$G:$U,13,FALSE)),0,VLOOKUP($B252&amp;"; "&amp;$H$249&amp;", "&amp;I$250,'FE Energie'!$G:$U,13,FALSE))
+$J252*IF(ISNA(VLOOKUP($B252&amp;"; "&amp;$K$249&amp;", "&amp;I$250,'FE Energie'!$G:$U,13,FALSE)),0,VLOOKUP($B252&amp;"; "&amp;$K$249&amp;", "&amp;I$250,'FE Energie'!$G:$U,13,FALSE))
+$M252*IF(ISNA(VLOOKUP($B252&amp;"; "&amp;$N$249&amp;", "&amp;I$250,'FE Energie'!$G:$U,13,FALSE)),0,VLOOKUP($B252&amp;"; "&amp;$N$249&amp;", "&amp;I$250,'FE Energie'!$G:$U,13,FALSE))
+$P252*IF(ISNA(VLOOKUP($B252&amp;"; "&amp;$Q$249&amp;", "&amp;I$250,'FE Energie'!$G:$U,13,FALSE)),0,VLOOKUP($B252&amp;"; "&amp;$Q$249&amp;", "&amp;I$250,'FE Energie'!$G:$U,13,FALSE))</f>
        <v>0</v>
      </c>
      <c r="AO252" s="565"/>
      <c r="AP252" s="565">
        <f>$G252*IF(ISNA(VLOOKUP($B252&amp;"; "&amp;$H$249&amp;", "&amp;H$250,'FE Energie'!$G:$U,14,FALSE)),0,VLOOKUP($B252&amp;"; "&amp;$H$249&amp;", "&amp;H$250,'FE Energie'!$G:$U,14,FALSE))
+$J252*IF(ISNA(VLOOKUP($B252&amp;"; "&amp;$K$249&amp;", "&amp;H$250,'FE Energie'!$G:$U,14,FALSE)),0,VLOOKUP($B252&amp;"; "&amp;$K$249&amp;", "&amp;H$250,'FE Energie'!$G:$U,14,FALSE))
+$M252*IF(ISNA(VLOOKUP($B252&amp;"; "&amp;$N$249&amp;", "&amp;H$250,'FE Energie'!$G:$U,14,FALSE)),0,VLOOKUP($B252&amp;"; "&amp;$N$249&amp;", "&amp;H$250,'FE Energie'!$G:$U,14,FALSE))
+$P252*IF(ISNA(VLOOKUP($B252&amp;"; "&amp;$Q$249&amp;", "&amp;H$250,'FE Energie'!$G:$U,14,FALSE)),0,VLOOKUP($B252&amp;"; "&amp;$Q$249&amp;", "&amp;H$250,'FE Energie'!$G:$U,14,FALSE))</f>
        <v>0</v>
      </c>
      <c r="AQ252" s="565">
        <f>$G252*IF(ISNA(VLOOKUP($B252&amp;"; "&amp;$H$249&amp;", "&amp;I$250,'FE Energie'!$G:$U,14,FALSE)),0,VLOOKUP($B252&amp;"; "&amp;$H$249&amp;", "&amp;I$250,'FE Energie'!$G:$U,14,FALSE))
+$J252*IF(ISNA(VLOOKUP($B252&amp;"; "&amp;$K$249&amp;", "&amp;I$250,'FE Energie'!$G:$U,14,FALSE)),0,VLOOKUP($B252&amp;"; "&amp;$K$249&amp;", "&amp;I$250,'FE Energie'!$G:$U,14,FALSE))
+$M252*IF(ISNA(VLOOKUP($B252&amp;"; "&amp;$N$249&amp;", "&amp;I$250,'FE Energie'!$G:$U,14,FALSE)),0,VLOOKUP($B252&amp;"; "&amp;$N$249&amp;", "&amp;I$250,'FE Energie'!$G:$U,14,FALSE))
+$P252*IF(ISNA(VLOOKUP($B252&amp;"; "&amp;$Q$249&amp;", "&amp;I$250,'FE Energie'!$G:$U,14,FALSE)),0,VLOOKUP($B252&amp;"; "&amp;$Q$249&amp;", "&amp;I$250,'FE Energie'!$G:$U,14,FALSE))</f>
        <v>0</v>
      </c>
      <c r="AR252" s="565"/>
      <c r="AS252" s="1288">
        <f>SUM(AG252,AJ252,AM252,AP252)</f>
        <v>0</v>
      </c>
      <c r="AT252" s="566">
        <f>SUM(AH252,AK252,AN252,AQ252)</f>
        <v>0</v>
      </c>
      <c r="AU252" s="566"/>
      <c r="AV252" s="564">
        <f>$G252*IF(ISNA(VLOOKUP($B252&amp;"; "&amp;$H$249&amp;", "&amp;H$250,'FE Energie'!$G:$U,15,FALSE)),0,VLOOKUP($B252&amp;"; "&amp;$H$249&amp;", "&amp;H$250,'FE Energie'!$G:$U,15,FALSE))
+$J252*IF(ISNA(VLOOKUP($B252&amp;"; "&amp;$K$249&amp;", "&amp;H$250,'FE Energie'!$G:$U,15,FALSE)),0,VLOOKUP($B252&amp;"; "&amp;$K$249&amp;", "&amp;H$250,'FE Energie'!$G:$U,15,FALSE))
+$M252*IF(ISNA(VLOOKUP($B252&amp;"; "&amp;$N$249&amp;", "&amp;H$250,'FE Energie'!$G:$U,15,FALSE)),0,VLOOKUP($B252&amp;"; "&amp;$N$249&amp;", "&amp;H$250,'FE Energie'!$G:$U,15,FALSE))
+$P252*IF(ISNA(VLOOKUP($B252&amp;"; "&amp;$Q$249&amp;", "&amp;H$250,'FE Energie'!$G:$U,15,FALSE)),0,VLOOKUP($B252&amp;"; "&amp;$Q$249&amp;", "&amp;H$250,'FE Energie'!$G:$U,15,FALSE))</f>
        <v>0</v>
      </c>
      <c r="AW252" s="565">
        <f>$G252*IF(ISNA(VLOOKUP($B252&amp;"; "&amp;$H$249&amp;", "&amp;I$250,'FE Energie'!$G:$U,15,FALSE)),0,VLOOKUP($B252&amp;"; "&amp;$H$249&amp;", "&amp;I$250,'FE Energie'!$G:$U,15,FALSE))
+$J252*IF(ISNA(VLOOKUP($B252&amp;"; "&amp;$K$249&amp;", "&amp;I$250,'FE Energie'!$G:$U,15,FALSE)),0,VLOOKUP($B252&amp;"; "&amp;$K$249&amp;", "&amp;I$250,'FE Energie'!$G:$U,15,FALSE))
+$M252*IF(ISNA(VLOOKUP($B252&amp;"; "&amp;$N$249&amp;", "&amp;I$250,'FE Energie'!$G:$U,15,FALSE)),0,VLOOKUP($B252&amp;"; "&amp;$N$249&amp;", "&amp;I$250,'FE Energie'!$G:$U,15,FALSE))
+$P252*IF(ISNA(VLOOKUP($B252&amp;"; "&amp;$Q$249&amp;", "&amp;I$250,'FE Energie'!$G:$U,15,FALSE)),0,VLOOKUP($B252&amp;"; "&amp;$Q$249&amp;", "&amp;I$250,'FE Energie'!$G:$U,15,FALSE))</f>
        <v>0</v>
      </c>
      <c r="AX252" s="568"/>
      <c r="BH252" s="1065">
        <f>IF($Y252&lt;&gt;"votre valeur :",IF(ISNA(VLOOKUP($Y252,Utilitaires!$N$566:$O$571,2,FALSE)),,VLOOKUP($Y252,Utilitaires!$N$566:$O$571,2,FALSE)),$Z252)</f>
        <v>0</v>
      </c>
      <c r="BI252" s="1065">
        <f>IF($Y252&lt;&gt;"votre valeur :",IF(ISNA(VLOOKUP($Y252,Utilitaires!$N$566:$O$571,2,FALSE)),,VLOOKUP($Y252,Utilitaires!$N$566:$O$571,2,FALSE)),$Z252)</f>
        <v>0</v>
      </c>
      <c r="BJ252" s="1065">
        <f>IF($Y252&lt;&gt;"votre valeur :",IF(ISNA(VLOOKUP($Y252,Utilitaires!$N$566:$O$571,2,FALSE)),,VLOOKUP($Y252,Utilitaires!$N$566:$O$571,2,FALSE)),$Z252)</f>
        <v>0</v>
      </c>
      <c r="BK252" s="1167">
        <f>IF($Y252&lt;&gt;"votre valeur :",IF(ISNA(VLOOKUP($Y252,Utilitaires!$N$566:$O$571,2,FALSE)),,VLOOKUP($Y252,Utilitaires!$N$566:$O$571,2,FALSE)),$Z252)</f>
        <v>0</v>
      </c>
      <c r="BL252" s="1068">
        <f>IF(ISNA(SQRT(SUMSQ(VLOOKUP($B252&amp;"; "&amp;$H$249&amp;", "&amp;$H$250,'FE Energie'!$G:$U,7,FALSE),$BH252))),0,SQRT(SUMSQ(VLOOKUP($B252&amp;"; "&amp;$H$249&amp;", "&amp;$H$250,'FE Energie'!$G:$U,7,FALSE),$BH252)))</f>
        <v>0.05</v>
      </c>
      <c r="BM252" s="1068">
        <f>IF(ISNA(SQRT(SUMSQ(VLOOKUP($B252&amp;"; "&amp;$K$249&amp;", "&amp;$K$250,'FE Energie'!$G:$U,7,FALSE),$BI252))),0,SQRT(SUMSQ(VLOOKUP($B252&amp;"; "&amp;$K$249&amp;", "&amp;$K$250,'FE Energie'!$G:$U,7,FALSE),$BI252)))</f>
        <v>0</v>
      </c>
      <c r="BN252" s="1068">
        <f>IF(ISNA(SQRT(SUMSQ(VLOOKUP($B252&amp;"; "&amp;$N$249&amp;", "&amp;$N$250,'FE Energie'!$G:$U,7,FALSE),$BJ252))),0,SQRT(SUMSQ(VLOOKUP($B252&amp;"; "&amp;$N$249&amp;", "&amp;$N$250,'FE Energie'!$G:$U,7,FALSE),$BJ252)))</f>
        <v>0</v>
      </c>
      <c r="BO252" s="1068">
        <f>IF(ISNA(SQRT(SUMSQ(VLOOKUP($B252&amp;"; "&amp;$Q$249&amp;", "&amp;$Q$250,'FE Energie'!$G:$U,7,FALSE),$BK252))),0,SQRT(SUMSQ(VLOOKUP($B252&amp;"; "&amp;$Q$249&amp;", "&amp;$Q$250,'FE Energie'!$G:$U,7,FALSE),$BK252)))</f>
        <v>0</v>
      </c>
      <c r="BP252" s="1069">
        <f>IF(ISNA(SQRT(SUMSQ(VLOOKUP($B252&amp;"; "&amp;$H$249&amp;", "&amp;$I$250,'FE Energie'!$G:$U,7,FALSE),$BH252))),0,SQRT(SUMSQ(VLOOKUP($B252&amp;"; "&amp;$H$249&amp;", "&amp;$I$250,'FE Energie'!$G:$U,7,FALSE),$BH252)))</f>
        <v>0.05</v>
      </c>
      <c r="BQ252" s="1070">
        <f>IF(ISNA(SQRT(SUMSQ(VLOOKUP($B252&amp;"; "&amp;$K$249&amp;", "&amp;$L$250,'FE Energie'!$G:$U,7,FALSE),$BI252))),0,SQRT(SUMSQ(VLOOKUP($B252&amp;"; "&amp;$K$249&amp;", "&amp;$L$250,'FE Energie'!$G:$U,7,FALSE),$BI252)))</f>
        <v>0</v>
      </c>
      <c r="BR252" s="1070">
        <f>IF(ISNA(SQRT(SUMSQ(VLOOKUP($B252&amp;"; "&amp;$N$249&amp;", "&amp;$O$250,'FE Energie'!$G:$U,7,FALSE),$BJ252))),0,SQRT(SUMSQ(VLOOKUP($B252&amp;"; "&amp;$N$249&amp;", "&amp;$O$250,'FE Energie'!$G:$U,7,FALSE),$BJ252)))</f>
        <v>0</v>
      </c>
      <c r="BS252" s="1071">
        <f>IF(ISNA(SQRT(SUMSQ(VLOOKUP($B252&amp;"; "&amp;$Q$249&amp;", "&amp;$R$250,'FE Energie'!$G:$U,7,FALSE),$BK252))),0,SQRT(SUMSQ(VLOOKUP($B252&amp;"; "&amp;$Q$249&amp;", "&amp;$R$250,'FE Energie'!$G:$U,7,FALSE),$BK252)))</f>
        <v>0</v>
      </c>
    </row>
    <row r="253" spans="1:71" outlineLevel="2">
      <c r="B253" s="154"/>
      <c r="C253" s="155"/>
      <c r="D253" s="221"/>
      <c r="E253" s="221"/>
      <c r="F253" s="155"/>
      <c r="G253" s="155"/>
      <c r="H253" s="155"/>
      <c r="I253" s="155"/>
      <c r="J253" s="155"/>
      <c r="K253" s="155"/>
      <c r="L253" s="155"/>
      <c r="M253" s="155"/>
      <c r="N253" s="155"/>
      <c r="O253" s="155"/>
      <c r="P253" s="155"/>
      <c r="Q253" s="155"/>
      <c r="R253" s="155"/>
      <c r="S253" s="155"/>
      <c r="T253" s="367"/>
      <c r="U253" s="165"/>
      <c r="V253" s="116"/>
      <c r="X253" s="154"/>
      <c r="Y253" s="155"/>
      <c r="Z253" s="155"/>
      <c r="AA253" s="329"/>
      <c r="AB253" s="169"/>
      <c r="AC253" s="164"/>
      <c r="AD253" s="357"/>
      <c r="AE253" s="1776"/>
      <c r="AG253" s="564"/>
      <c r="AH253" s="565"/>
      <c r="AI253" s="565"/>
      <c r="AJ253" s="565"/>
      <c r="AK253" s="565"/>
      <c r="AL253" s="565"/>
      <c r="AM253" s="565"/>
      <c r="AN253" s="565"/>
      <c r="AO253" s="565"/>
      <c r="AP253" s="565"/>
      <c r="AQ253" s="565"/>
      <c r="AR253" s="565"/>
      <c r="AS253" s="1288"/>
      <c r="AT253" s="566"/>
      <c r="AU253" s="566"/>
      <c r="AV253" s="564"/>
      <c r="AW253" s="565"/>
      <c r="AX253" s="568"/>
      <c r="BH253" s="1058"/>
      <c r="BI253" s="1072"/>
      <c r="BJ253" s="1072"/>
      <c r="BK253" s="1059"/>
      <c r="BL253" s="1073"/>
      <c r="BM253" s="1073"/>
      <c r="BN253" s="1073"/>
      <c r="BO253" s="1074"/>
      <c r="BP253" s="1075"/>
      <c r="BQ253" s="1076"/>
      <c r="BR253" s="1076"/>
      <c r="BS253" s="1077"/>
    </row>
    <row r="254" spans="1:71" outlineLevel="2">
      <c r="B254" s="1264" t="s">
        <v>348</v>
      </c>
      <c r="C254" s="197"/>
      <c r="D254" s="214">
        <f>SUM(D251:D253)</f>
        <v>0</v>
      </c>
      <c r="E254" s="214"/>
      <c r="F254" s="198"/>
      <c r="G254" s="199"/>
      <c r="H254" s="199"/>
      <c r="I254" s="199"/>
      <c r="J254" s="199"/>
      <c r="K254" s="199"/>
      <c r="L254" s="199"/>
      <c r="M254" s="199"/>
      <c r="N254" s="199"/>
      <c r="O254" s="199"/>
      <c r="P254" s="199"/>
      <c r="Q254" s="199"/>
      <c r="R254" s="199"/>
      <c r="S254" s="202">
        <f>SUM(S251:S253)</f>
        <v>0</v>
      </c>
      <c r="T254" s="200">
        <f>SUM(T251:T253)</f>
        <v>0</v>
      </c>
      <c r="U254" s="200">
        <f>SUM(U251:U253)</f>
        <v>0</v>
      </c>
      <c r="V254" s="116"/>
      <c r="X254" s="1204">
        <f>IF(AD254=0,0,AD254/D254)</f>
        <v>0</v>
      </c>
      <c r="Y254" s="199"/>
      <c r="Z254" s="203"/>
      <c r="AA254" s="203">
        <f>SQRT(SUMSQ(AA251:AA253))</f>
        <v>0</v>
      </c>
      <c r="AB254" s="203">
        <f>SQRT(SUMSQ(AB251:AB253))</f>
        <v>0</v>
      </c>
      <c r="AC254" s="203"/>
      <c r="AD254" s="200">
        <f>SQRT(SUMSQ(AD251:AD253))</f>
        <v>0</v>
      </c>
      <c r="AE254" s="340">
        <f>SQRT(SUMSQ(AE251:AE253))</f>
        <v>0</v>
      </c>
      <c r="AG254" s="571">
        <f>SUM(AG251:AG253)</f>
        <v>0</v>
      </c>
      <c r="AH254" s="572">
        <f>SUM(AH251:AH253)</f>
        <v>0</v>
      </c>
      <c r="AI254" s="572"/>
      <c r="AJ254" s="572">
        <f>SUM(AJ251:AJ253)</f>
        <v>0</v>
      </c>
      <c r="AK254" s="572">
        <f>SUM(AK251:AK253)</f>
        <v>0</v>
      </c>
      <c r="AL254" s="572"/>
      <c r="AM254" s="572">
        <f>SUM(AM251:AM253)</f>
        <v>0</v>
      </c>
      <c r="AN254" s="572">
        <f>SUM(AN251:AN253)</f>
        <v>0</v>
      </c>
      <c r="AO254" s="572"/>
      <c r="AP254" s="572">
        <f>SUM(AP251:AP253)</f>
        <v>0</v>
      </c>
      <c r="AQ254" s="572">
        <f>SUM(AQ251:AQ253)</f>
        <v>0</v>
      </c>
      <c r="AR254" s="572"/>
      <c r="AS254" s="1290">
        <f>SUM(AS251:AS253)</f>
        <v>0</v>
      </c>
      <c r="AT254" s="573">
        <f>SUM(AT251:AT253)</f>
        <v>0</v>
      </c>
      <c r="AU254" s="573"/>
      <c r="AV254" s="1082">
        <f>SUM(AV251:AV253)</f>
        <v>0</v>
      </c>
      <c r="AW254" s="572">
        <f>SUM(AW251:AW253)</f>
        <v>0</v>
      </c>
      <c r="AX254" s="575"/>
    </row>
    <row r="255" spans="1:71" outlineLevel="2"/>
    <row r="256" spans="1:71" ht="12.75" customHeight="1" outlineLevel="2">
      <c r="B256" s="139" t="s">
        <v>3688</v>
      </c>
      <c r="C256" s="140"/>
      <c r="D256" s="1008"/>
      <c r="E256" s="1648"/>
      <c r="F256" s="1008"/>
      <c r="G256" s="141"/>
      <c r="H256" s="141"/>
      <c r="I256" s="142"/>
      <c r="J256" s="116"/>
      <c r="K256" s="116"/>
      <c r="L256" s="116"/>
      <c r="M256" s="116"/>
      <c r="N256" s="116"/>
      <c r="O256" s="116"/>
      <c r="P256" s="116"/>
      <c r="Q256" s="116"/>
      <c r="R256" s="116"/>
      <c r="S256" s="116"/>
      <c r="T256" s="116"/>
      <c r="U256" s="116"/>
      <c r="V256" s="116"/>
      <c r="W256" s="116"/>
      <c r="X256" s="2636" t="s">
        <v>366</v>
      </c>
      <c r="Y256" s="2637"/>
      <c r="Z256" s="2637"/>
      <c r="AA256" s="2638"/>
      <c r="AC256" s="116"/>
      <c r="AD256" s="116"/>
      <c r="AG256" s="2639" t="s">
        <v>441</v>
      </c>
      <c r="AH256" s="2640"/>
      <c r="AI256" s="2640"/>
      <c r="AJ256" s="2640"/>
      <c r="AK256" s="2640"/>
      <c r="AL256" s="2640"/>
      <c r="AM256" s="2640"/>
      <c r="AN256" s="2640"/>
      <c r="AO256" s="2640"/>
      <c r="AP256" s="2640"/>
      <c r="AQ256" s="2640"/>
      <c r="AR256" s="2640"/>
      <c r="AS256" s="2640"/>
      <c r="AT256" s="2640"/>
      <c r="AU256" s="2640"/>
      <c r="AV256" s="2640"/>
      <c r="AW256" s="2640"/>
      <c r="AX256" s="2641"/>
    </row>
    <row r="257" spans="2:64" ht="12.75" customHeight="1" outlineLevel="2">
      <c r="B257" s="143"/>
      <c r="C257" s="144"/>
      <c r="D257" s="537" t="s">
        <v>308</v>
      </c>
      <c r="E257" s="1663"/>
      <c r="F257" s="144"/>
      <c r="G257" s="144"/>
      <c r="H257" s="1010"/>
      <c r="I257" s="539" t="s">
        <v>444</v>
      </c>
      <c r="J257" s="116"/>
      <c r="K257" s="116"/>
      <c r="L257" s="116"/>
      <c r="M257" s="116"/>
      <c r="N257" s="116"/>
      <c r="O257" s="116"/>
      <c r="P257" s="116"/>
      <c r="Q257" s="116"/>
      <c r="R257" s="116"/>
      <c r="S257" s="116"/>
      <c r="T257" s="116"/>
      <c r="U257" s="116"/>
      <c r="X257" s="1243"/>
      <c r="Y257" s="819"/>
      <c r="Z257" s="819"/>
      <c r="AA257" s="539" t="s">
        <v>444</v>
      </c>
      <c r="AF257" s="127"/>
      <c r="AG257" s="2642"/>
      <c r="AH257" s="2643"/>
      <c r="AI257" s="2643"/>
      <c r="AJ257" s="2643"/>
      <c r="AK257" s="2643"/>
      <c r="AL257" s="2643"/>
      <c r="AM257" s="2643"/>
      <c r="AN257" s="2643"/>
      <c r="AO257" s="2643"/>
      <c r="AP257" s="2643"/>
      <c r="AQ257" s="2643"/>
      <c r="AR257" s="2644"/>
      <c r="AS257" s="2642"/>
      <c r="AT257" s="2643"/>
      <c r="AU257" s="2644"/>
      <c r="AV257" s="1288"/>
      <c r="AW257" s="566"/>
      <c r="AX257" s="583"/>
      <c r="BH257" s="2828" t="s">
        <v>1648</v>
      </c>
      <c r="BI257" s="2829"/>
    </row>
    <row r="258" spans="2:64" ht="12.75" customHeight="1" outlineLevel="2">
      <c r="B258" s="1009"/>
      <c r="C258" s="1010"/>
      <c r="D258" s="1010" t="s">
        <v>409</v>
      </c>
      <c r="E258" s="1656"/>
      <c r="F258" s="147" t="s">
        <v>452</v>
      </c>
      <c r="G258" s="147" t="s">
        <v>3670</v>
      </c>
      <c r="H258" s="1006"/>
      <c r="I258" s="220" t="s">
        <v>880</v>
      </c>
      <c r="J258" s="116"/>
      <c r="K258" s="116"/>
      <c r="L258" s="116"/>
      <c r="M258" s="116"/>
      <c r="N258" s="116"/>
      <c r="O258" s="116"/>
      <c r="P258" s="116"/>
      <c r="Q258" s="116"/>
      <c r="R258" s="116"/>
      <c r="S258" s="116"/>
      <c r="T258" s="116"/>
      <c r="U258" s="116"/>
      <c r="V258" s="109"/>
      <c r="W258" s="109"/>
      <c r="X258" s="1243" t="s">
        <v>316</v>
      </c>
      <c r="Y258" s="2629" t="s">
        <v>316</v>
      </c>
      <c r="Z258" s="2630"/>
      <c r="AA258" s="220" t="s">
        <v>880</v>
      </c>
      <c r="AC258" s="109"/>
      <c r="AD258" s="109"/>
      <c r="AE258" s="127"/>
      <c r="AF258" s="127"/>
      <c r="AG258" s="2631" t="s">
        <v>444</v>
      </c>
      <c r="AH258" s="2632"/>
      <c r="AI258" s="2632"/>
      <c r="AJ258" s="2632"/>
      <c r="AK258" s="2632"/>
      <c r="AL258" s="2632"/>
      <c r="AM258" s="2632"/>
      <c r="AN258" s="2632"/>
      <c r="AO258" s="2632"/>
      <c r="AP258" s="2632"/>
      <c r="AQ258" s="2632"/>
      <c r="AR258" s="2650"/>
      <c r="AS258" s="2848" t="s">
        <v>444</v>
      </c>
      <c r="AT258" s="2648"/>
      <c r="AU258" s="2649"/>
      <c r="AV258" s="2631"/>
      <c r="AW258" s="2632"/>
      <c r="AX258" s="568"/>
      <c r="BH258" s="2837" t="s">
        <v>1646</v>
      </c>
      <c r="BI258" s="1141"/>
    </row>
    <row r="259" spans="2:64" ht="12.75" customHeight="1" outlineLevel="2">
      <c r="B259" s="1009"/>
      <c r="C259" s="1010"/>
      <c r="D259" s="1010" t="s">
        <v>444</v>
      </c>
      <c r="E259" s="1656"/>
      <c r="F259" s="149" t="s">
        <v>445</v>
      </c>
      <c r="G259" s="149" t="s">
        <v>881</v>
      </c>
      <c r="H259" s="1007"/>
      <c r="I259" s="220" t="s">
        <v>257</v>
      </c>
      <c r="J259" s="116"/>
      <c r="K259" s="116"/>
      <c r="L259" s="116"/>
      <c r="M259" s="116"/>
      <c r="N259" s="116"/>
      <c r="O259" s="116"/>
      <c r="P259" s="116"/>
      <c r="Q259" s="116"/>
      <c r="R259" s="116"/>
      <c r="S259" s="116"/>
      <c r="T259" s="116"/>
      <c r="U259" s="116"/>
      <c r="V259" s="109"/>
      <c r="W259" s="109"/>
      <c r="X259" s="1243" t="s">
        <v>1649</v>
      </c>
      <c r="Y259" s="2646" t="s">
        <v>1650</v>
      </c>
      <c r="Z259" s="2647"/>
      <c r="AA259" s="220" t="s">
        <v>257</v>
      </c>
      <c r="AC259" s="109"/>
      <c r="AD259" s="109"/>
      <c r="AE259" s="127"/>
      <c r="AG259" s="579" t="s">
        <v>211</v>
      </c>
      <c r="AH259" s="580"/>
      <c r="AI259" s="580"/>
      <c r="AJ259" s="580" t="s">
        <v>442</v>
      </c>
      <c r="AK259" s="580"/>
      <c r="AL259" s="580"/>
      <c r="AM259" s="580" t="s">
        <v>267</v>
      </c>
      <c r="AN259" s="580"/>
      <c r="AO259" s="580"/>
      <c r="AP259" s="580" t="s">
        <v>443</v>
      </c>
      <c r="AQ259" s="580"/>
      <c r="AR259" s="580"/>
      <c r="AS259" s="1289" t="s">
        <v>327</v>
      </c>
      <c r="AT259" s="581"/>
      <c r="AU259" s="581"/>
      <c r="AV259" s="579" t="s">
        <v>636</v>
      </c>
      <c r="AW259" s="580"/>
      <c r="AX259" s="583"/>
      <c r="BH259" s="2838"/>
      <c r="BI259" s="1251"/>
    </row>
    <row r="260" spans="2:64" ht="12.75" customHeight="1" outlineLevel="2">
      <c r="B260" s="143" t="s">
        <v>3669</v>
      </c>
      <c r="C260" s="144"/>
      <c r="D260" s="212">
        <f>I260</f>
        <v>0</v>
      </c>
      <c r="E260" s="212"/>
      <c r="F260" s="117"/>
      <c r="G260" s="117"/>
      <c r="H260" s="225"/>
      <c r="I260" s="152">
        <f>G260</f>
        <v>0</v>
      </c>
      <c r="J260" s="116"/>
      <c r="K260" s="116"/>
      <c r="L260" s="116"/>
      <c r="M260" s="116"/>
      <c r="N260" s="116"/>
      <c r="O260" s="116"/>
      <c r="P260" s="116"/>
      <c r="Q260" s="116"/>
      <c r="R260" s="116"/>
      <c r="S260" s="116"/>
      <c r="T260" s="116"/>
      <c r="U260" s="116"/>
      <c r="X260" s="1092">
        <f>IF(AA260=0,AA260,AA260/D260)</f>
        <v>0</v>
      </c>
      <c r="Y260" s="343"/>
      <c r="Z260" s="820"/>
      <c r="AA260" s="165">
        <f>I260*BI260</f>
        <v>0</v>
      </c>
      <c r="AG260" s="564">
        <f>D260</f>
        <v>0</v>
      </c>
      <c r="AH260" s="565"/>
      <c r="AI260" s="565"/>
      <c r="AJ260" s="565"/>
      <c r="AK260" s="565"/>
      <c r="AL260" s="565"/>
      <c r="AM260" s="565"/>
      <c r="AN260" s="565"/>
      <c r="AO260" s="565"/>
      <c r="AP260" s="565"/>
      <c r="AQ260" s="565"/>
      <c r="AR260" s="565"/>
      <c r="AS260" s="1288">
        <f>SUM(AG260:AP260)</f>
        <v>0</v>
      </c>
      <c r="AT260" s="566"/>
      <c r="AU260" s="566"/>
      <c r="AV260" s="564"/>
      <c r="AW260" s="565"/>
      <c r="AX260" s="568"/>
      <c r="BH260" s="1065">
        <f>IF($Y260&lt;&gt;"votre valeur :",IF(ISNA(VLOOKUP($Y260,Utilitaires!$N$566:$O$571,2,FALSE)),,VLOOKUP($Y260,Utilitaires!$N$566:$O$571,2,FALSE)),$Z260)</f>
        <v>0</v>
      </c>
      <c r="BI260" s="1130">
        <f>SQRT(SUMSQ(0,BH260))</f>
        <v>0</v>
      </c>
    </row>
    <row r="261" spans="2:64" ht="12.75" customHeight="1" outlineLevel="2">
      <c r="B261" s="143" t="s">
        <v>3669</v>
      </c>
      <c r="C261" s="144"/>
      <c r="D261" s="212">
        <f>I261</f>
        <v>0</v>
      </c>
      <c r="E261" s="212"/>
      <c r="F261" s="120"/>
      <c r="G261" s="120"/>
      <c r="H261" s="225"/>
      <c r="I261" s="152">
        <f t="shared" ref="I261:I262" si="134">G261</f>
        <v>0</v>
      </c>
      <c r="J261" s="116"/>
      <c r="K261" s="116"/>
      <c r="L261" s="116"/>
      <c r="M261" s="116"/>
      <c r="N261" s="116"/>
      <c r="O261" s="116"/>
      <c r="P261" s="116"/>
      <c r="Q261" s="116"/>
      <c r="R261" s="116"/>
      <c r="S261" s="116"/>
      <c r="T261" s="116"/>
      <c r="U261" s="116"/>
      <c r="X261" s="1092">
        <f>IF(AA261=0,AA261,AA261/D261)</f>
        <v>0</v>
      </c>
      <c r="Y261" s="343"/>
      <c r="Z261" s="820"/>
      <c r="AA261" s="165">
        <f>I261*BI261</f>
        <v>0</v>
      </c>
      <c r="AG261" s="564">
        <f>D261</f>
        <v>0</v>
      </c>
      <c r="AH261" s="565"/>
      <c r="AI261" s="565"/>
      <c r="AJ261" s="565"/>
      <c r="AK261" s="565"/>
      <c r="AL261" s="565"/>
      <c r="AM261" s="565"/>
      <c r="AN261" s="565"/>
      <c r="AO261" s="565"/>
      <c r="AP261" s="565"/>
      <c r="AQ261" s="565"/>
      <c r="AR261" s="565"/>
      <c r="AS261" s="1288">
        <f>SUM(AG261:AP261)</f>
        <v>0</v>
      </c>
      <c r="AT261" s="566"/>
      <c r="AU261" s="566"/>
      <c r="AV261" s="564"/>
      <c r="AW261" s="565"/>
      <c r="AX261" s="568"/>
      <c r="BH261" s="1065">
        <f>IF($Y261&lt;&gt;"votre valeur :",IF(ISNA(VLOOKUP($Y261,Utilitaires!$N$566:$O$571,2,FALSE)),,VLOOKUP($Y261,Utilitaires!$N$566:$O$571,2,FALSE)),$Z261)</f>
        <v>0</v>
      </c>
      <c r="BI261" s="1130">
        <f>SQRT(SUMSQ(0,BH261))</f>
        <v>0</v>
      </c>
    </row>
    <row r="262" spans="2:64" ht="12.75" customHeight="1" outlineLevel="2">
      <c r="B262" s="143" t="s">
        <v>3669</v>
      </c>
      <c r="C262" s="144"/>
      <c r="D262" s="212">
        <f>I262</f>
        <v>0</v>
      </c>
      <c r="E262" s="212"/>
      <c r="F262" s="123"/>
      <c r="G262" s="123"/>
      <c r="H262" s="225"/>
      <c r="I262" s="152">
        <f t="shared" si="134"/>
        <v>0</v>
      </c>
      <c r="J262" s="116"/>
      <c r="K262" s="116"/>
      <c r="L262" s="116"/>
      <c r="M262" s="116"/>
      <c r="N262" s="116"/>
      <c r="O262" s="116"/>
      <c r="P262" s="116"/>
      <c r="Q262" s="116"/>
      <c r="R262" s="116"/>
      <c r="S262" s="116"/>
      <c r="T262" s="116"/>
      <c r="U262" s="116"/>
      <c r="X262" s="1092">
        <f>IF(AA262=0,AA262,AA262/D262)</f>
        <v>0</v>
      </c>
      <c r="Y262" s="1094"/>
      <c r="Z262" s="820"/>
      <c r="AA262" s="165">
        <f>I262*BI262</f>
        <v>0</v>
      </c>
      <c r="AG262" s="564">
        <f>D262</f>
        <v>0</v>
      </c>
      <c r="AH262" s="565"/>
      <c r="AI262" s="565"/>
      <c r="AJ262" s="565"/>
      <c r="AK262" s="565"/>
      <c r="AL262" s="565"/>
      <c r="AM262" s="565"/>
      <c r="AN262" s="565"/>
      <c r="AO262" s="565"/>
      <c r="AP262" s="565"/>
      <c r="AQ262" s="565"/>
      <c r="AR262" s="565"/>
      <c r="AS262" s="1288">
        <f>SUM(AG262:AP262)</f>
        <v>0</v>
      </c>
      <c r="AT262" s="566"/>
      <c r="AU262" s="566"/>
      <c r="AV262" s="564"/>
      <c r="AW262" s="565"/>
      <c r="AX262" s="568"/>
      <c r="BH262" s="1065">
        <f>IF($Y262&lt;&gt;"votre valeur :",IF(ISNA(VLOOKUP($Y262,Utilitaires!$N$566:$O$571,2,FALSE)),,VLOOKUP($Y262,Utilitaires!$N$566:$O$571,2,FALSE)),$Z262)</f>
        <v>0</v>
      </c>
      <c r="BI262" s="1130">
        <f>SQRT(SUMSQ(0,BH262))</f>
        <v>0</v>
      </c>
    </row>
    <row r="263" spans="2:64" ht="12.75" customHeight="1" outlineLevel="2">
      <c r="B263" s="154"/>
      <c r="C263" s="155"/>
      <c r="D263" s="221"/>
      <c r="E263" s="221"/>
      <c r="F263" s="155"/>
      <c r="G263" s="155"/>
      <c r="H263" s="155"/>
      <c r="I263" s="156"/>
      <c r="J263" s="116"/>
      <c r="K263" s="116"/>
      <c r="L263" s="116"/>
      <c r="M263" s="116"/>
      <c r="N263" s="116"/>
      <c r="O263" s="116"/>
      <c r="P263" s="116"/>
      <c r="Q263" s="116"/>
      <c r="R263" s="116"/>
      <c r="S263" s="116"/>
      <c r="T263" s="116"/>
      <c r="U263" s="116"/>
      <c r="X263" s="143"/>
      <c r="Y263" s="144"/>
      <c r="Z263" s="144"/>
      <c r="AA263" s="165"/>
      <c r="AG263" s="564"/>
      <c r="AH263" s="565"/>
      <c r="AI263" s="565"/>
      <c r="AJ263" s="565"/>
      <c r="AK263" s="565"/>
      <c r="AL263" s="565"/>
      <c r="AM263" s="565"/>
      <c r="AN263" s="565"/>
      <c r="AO263" s="565"/>
      <c r="AP263" s="565"/>
      <c r="AQ263" s="565"/>
      <c r="AR263" s="565"/>
      <c r="AS263" s="1288"/>
      <c r="AT263" s="566"/>
      <c r="AU263" s="566"/>
      <c r="AV263" s="564"/>
      <c r="AW263" s="565"/>
      <c r="AX263" s="568"/>
      <c r="BH263" s="1087"/>
      <c r="BI263" s="1153"/>
    </row>
    <row r="264" spans="2:64" ht="12.75" customHeight="1" outlineLevel="2">
      <c r="B264" s="196" t="s">
        <v>348</v>
      </c>
      <c r="C264" s="197"/>
      <c r="D264" s="214">
        <f>SUM(D260:D263)</f>
        <v>0</v>
      </c>
      <c r="E264" s="214"/>
      <c r="F264" s="198"/>
      <c r="G264" s="199"/>
      <c r="H264" s="199"/>
      <c r="I264" s="200">
        <f>SUM(I260:I263)</f>
        <v>0</v>
      </c>
      <c r="J264" s="116"/>
      <c r="K264" s="116"/>
      <c r="L264" s="116"/>
      <c r="M264" s="116"/>
      <c r="N264" s="116"/>
      <c r="O264" s="116"/>
      <c r="P264" s="116"/>
      <c r="Q264" s="116"/>
      <c r="R264" s="116"/>
      <c r="S264" s="116"/>
      <c r="T264" s="116"/>
      <c r="U264" s="116"/>
      <c r="X264" s="1203">
        <f>IF(AA264=0,0,AA264/D264)</f>
        <v>0</v>
      </c>
      <c r="Y264" s="199"/>
      <c r="Z264" s="199"/>
      <c r="AA264" s="200">
        <f>SQRT(SUMSQ(Z260:Z263))</f>
        <v>0</v>
      </c>
      <c r="AG264" s="571">
        <f>SUM(AG260:AG263)</f>
        <v>0</v>
      </c>
      <c r="AH264" s="572"/>
      <c r="AI264" s="572"/>
      <c r="AJ264" s="572">
        <f>SUM(AJ260:AJ263)</f>
        <v>0</v>
      </c>
      <c r="AK264" s="572"/>
      <c r="AL264" s="572"/>
      <c r="AM264" s="572">
        <f>SUM(AM260:AM263)</f>
        <v>0</v>
      </c>
      <c r="AN264" s="572"/>
      <c r="AO264" s="572"/>
      <c r="AP264" s="572">
        <f>SUM(AP260:AP263)</f>
        <v>0</v>
      </c>
      <c r="AQ264" s="572"/>
      <c r="AR264" s="572"/>
      <c r="AS264" s="1290">
        <f>SUM(AS260:AS263)</f>
        <v>0</v>
      </c>
      <c r="AT264" s="573"/>
      <c r="AU264" s="573"/>
      <c r="AV264" s="1082">
        <f>SUM(AV260:AV263)</f>
        <v>0</v>
      </c>
      <c r="AW264" s="572"/>
      <c r="AX264" s="575"/>
    </row>
    <row r="265" spans="2:64" outlineLevel="2"/>
    <row r="266" spans="2:64" ht="12.75" customHeight="1" outlineLevel="2">
      <c r="B266" s="139" t="s">
        <v>882</v>
      </c>
      <c r="C266" s="140"/>
      <c r="D266" s="140"/>
      <c r="E266" s="140"/>
      <c r="F266" s="407"/>
      <c r="G266" s="407"/>
      <c r="H266" s="407"/>
      <c r="I266" s="407"/>
      <c r="J266" s="407"/>
      <c r="K266" s="407"/>
      <c r="L266" s="160"/>
      <c r="M266" s="160"/>
      <c r="N266" s="160"/>
      <c r="O266" s="2528"/>
      <c r="P266" s="161"/>
      <c r="X266" s="2636" t="s">
        <v>366</v>
      </c>
      <c r="Y266" s="2637"/>
      <c r="Z266" s="2637"/>
      <c r="AA266" s="2637"/>
      <c r="AB266" s="2637"/>
      <c r="AC266" s="2637"/>
      <c r="AD266" s="2637"/>
      <c r="AE266" s="2638"/>
      <c r="AH266" s="2639" t="s">
        <v>441</v>
      </c>
      <c r="AI266" s="2640"/>
      <c r="AJ266" s="2640"/>
      <c r="AK266" s="2640"/>
      <c r="AL266" s="2640"/>
      <c r="AM266" s="2640"/>
      <c r="AN266" s="2640"/>
      <c r="AO266" s="2640"/>
      <c r="AP266" s="2640"/>
      <c r="AQ266" s="2640"/>
      <c r="AR266" s="2640"/>
      <c r="AS266" s="2640"/>
      <c r="AT266" s="2640"/>
      <c r="AU266" s="2640"/>
      <c r="AV266" s="2640"/>
      <c r="AW266" s="2640"/>
      <c r="AX266" s="2640"/>
      <c r="AY266" s="2640"/>
      <c r="AZ266" s="2640"/>
      <c r="BA266" s="2640"/>
      <c r="BB266" s="2640"/>
      <c r="BC266" s="2640"/>
      <c r="BD266" s="2640"/>
      <c r="BE266" s="2641"/>
    </row>
    <row r="267" spans="2:64" ht="12.75" customHeight="1" outlineLevel="2">
      <c r="B267" s="332"/>
      <c r="C267" s="167"/>
      <c r="D267" s="378" t="s">
        <v>308</v>
      </c>
      <c r="E267" s="1663"/>
      <c r="F267" s="400"/>
      <c r="G267" s="400"/>
      <c r="H267" s="400"/>
      <c r="I267" s="400"/>
      <c r="J267" s="400"/>
      <c r="K267" s="400"/>
      <c r="L267" s="378"/>
      <c r="M267" s="378"/>
      <c r="N267" s="378"/>
      <c r="O267" s="2529"/>
      <c r="P267" s="383" t="s">
        <v>275</v>
      </c>
      <c r="X267" s="1655"/>
      <c r="Y267" s="819"/>
      <c r="Z267" s="819"/>
      <c r="AA267" s="1663"/>
      <c r="AB267" s="1663"/>
      <c r="AC267" s="1663"/>
      <c r="AD267" s="2529"/>
      <c r="AE267" s="1665"/>
      <c r="AF267" s="1660" t="s">
        <v>275</v>
      </c>
      <c r="AH267" s="2642" t="s">
        <v>444</v>
      </c>
      <c r="AI267" s="2643"/>
      <c r="AJ267" s="2643"/>
      <c r="AK267" s="2643"/>
      <c r="AL267" s="2643"/>
      <c r="AM267" s="2643"/>
      <c r="AN267" s="2643"/>
      <c r="AO267" s="2643"/>
      <c r="AP267" s="2643"/>
      <c r="AQ267" s="2643"/>
      <c r="AR267" s="2643"/>
      <c r="AS267" s="2643"/>
      <c r="AT267" s="2643"/>
      <c r="AU267" s="2643"/>
      <c r="AV267" s="2643"/>
      <c r="AW267" s="2643"/>
      <c r="AX267" s="2643" t="s">
        <v>444</v>
      </c>
      <c r="AY267" s="2643"/>
      <c r="AZ267" s="2643"/>
      <c r="BA267" s="2644"/>
      <c r="BB267" s="1081"/>
      <c r="BC267" s="624"/>
      <c r="BD267" s="624"/>
      <c r="BE267" s="578"/>
      <c r="BH267" s="2616" t="s">
        <v>1648</v>
      </c>
      <c r="BI267" s="2617"/>
      <c r="BJ267" s="2617"/>
      <c r="BK267" s="2617"/>
      <c r="BL267" s="2618"/>
    </row>
    <row r="268" spans="2:64" ht="12.75" customHeight="1" outlineLevel="2">
      <c r="B268" s="382"/>
      <c r="C268" s="379"/>
      <c r="D268" s="379" t="s">
        <v>409</v>
      </c>
      <c r="E268" s="1656"/>
      <c r="F268" s="147" t="s">
        <v>452</v>
      </c>
      <c r="G268" s="147"/>
      <c r="H268" s="2626" t="s">
        <v>4059</v>
      </c>
      <c r="I268" s="2628"/>
      <c r="J268" s="2628"/>
      <c r="K268" s="2628"/>
      <c r="L268" s="378" t="s">
        <v>444</v>
      </c>
      <c r="M268" s="378" t="s">
        <v>444</v>
      </c>
      <c r="N268" s="378" t="s">
        <v>444</v>
      </c>
      <c r="O268" s="2529" t="s">
        <v>444</v>
      </c>
      <c r="P268" s="383" t="s">
        <v>276</v>
      </c>
      <c r="X268" s="1655" t="s">
        <v>316</v>
      </c>
      <c r="Y268" s="2629" t="s">
        <v>316</v>
      </c>
      <c r="Z268" s="2630"/>
      <c r="AA268" s="1656" t="s">
        <v>444</v>
      </c>
      <c r="AB268" s="1656" t="s">
        <v>444</v>
      </c>
      <c r="AC268" s="1656" t="s">
        <v>444</v>
      </c>
      <c r="AD268" s="2526" t="s">
        <v>444</v>
      </c>
      <c r="AE268" s="1665" t="s">
        <v>444</v>
      </c>
      <c r="AF268" s="153" t="s">
        <v>276</v>
      </c>
      <c r="AH268" s="2631" t="s">
        <v>211</v>
      </c>
      <c r="AI268" s="2632"/>
      <c r="AJ268" s="2632"/>
      <c r="AK268" s="2632"/>
      <c r="AL268" s="2632" t="s">
        <v>442</v>
      </c>
      <c r="AM268" s="2632"/>
      <c r="AN268" s="2632"/>
      <c r="AO268" s="2632"/>
      <c r="AP268" s="2632" t="s">
        <v>267</v>
      </c>
      <c r="AQ268" s="2632"/>
      <c r="AR268" s="2632"/>
      <c r="AS268" s="2632"/>
      <c r="AT268" s="2632" t="s">
        <v>443</v>
      </c>
      <c r="AU268" s="2632"/>
      <c r="AV268" s="2632"/>
      <c r="AW268" s="2632"/>
      <c r="AX268" s="2648" t="s">
        <v>327</v>
      </c>
      <c r="AY268" s="2648"/>
      <c r="AZ268" s="2648"/>
      <c r="BA268" s="2649"/>
      <c r="BB268" s="2631" t="s">
        <v>636</v>
      </c>
      <c r="BC268" s="2632"/>
      <c r="BD268" s="2632"/>
      <c r="BE268" s="2650"/>
      <c r="BH268" s="2811" t="s">
        <v>1646</v>
      </c>
      <c r="BI268" s="1250" t="s">
        <v>1570</v>
      </c>
      <c r="BJ268" s="1250" t="s">
        <v>1569</v>
      </c>
      <c r="BK268" s="2811" t="s">
        <v>1764</v>
      </c>
      <c r="BL268" s="1250" t="s">
        <v>332</v>
      </c>
    </row>
    <row r="269" spans="2:64" ht="27.75" customHeight="1" outlineLevel="2">
      <c r="B269" s="382"/>
      <c r="C269" s="379"/>
      <c r="D269" s="379" t="s">
        <v>444</v>
      </c>
      <c r="E269" s="1656"/>
      <c r="F269" s="149" t="s">
        <v>445</v>
      </c>
      <c r="G269" s="153" t="s">
        <v>895</v>
      </c>
      <c r="H269" s="381" t="s">
        <v>411</v>
      </c>
      <c r="I269" s="381" t="s">
        <v>257</v>
      </c>
      <c r="J269" s="1762" t="s">
        <v>5079</v>
      </c>
      <c r="K269" s="1265" t="s">
        <v>422</v>
      </c>
      <c r="L269" s="380" t="s">
        <v>411</v>
      </c>
      <c r="M269" s="380" t="s">
        <v>257</v>
      </c>
      <c r="N269" s="2463" t="s">
        <v>437</v>
      </c>
      <c r="O269" s="2527" t="s">
        <v>422</v>
      </c>
      <c r="P269" s="383" t="s">
        <v>444</v>
      </c>
      <c r="X269" s="1655" t="s">
        <v>1649</v>
      </c>
      <c r="Y269" s="2646" t="s">
        <v>1650</v>
      </c>
      <c r="Z269" s="2647"/>
      <c r="AA269" s="1662" t="s">
        <v>411</v>
      </c>
      <c r="AB269" s="1662" t="s">
        <v>257</v>
      </c>
      <c r="AC269" s="1662" t="s">
        <v>437</v>
      </c>
      <c r="AD269" s="1662" t="s">
        <v>422</v>
      </c>
      <c r="AE269" s="1665" t="s">
        <v>327</v>
      </c>
      <c r="AF269" s="153" t="s">
        <v>444</v>
      </c>
      <c r="AH269" s="579" t="s">
        <v>411</v>
      </c>
      <c r="AI269" s="580" t="s">
        <v>257</v>
      </c>
      <c r="AJ269" s="2547" t="s">
        <v>437</v>
      </c>
      <c r="AK269" s="2286" t="s">
        <v>422</v>
      </c>
      <c r="AL269" s="580" t="s">
        <v>411</v>
      </c>
      <c r="AM269" s="580" t="s">
        <v>257</v>
      </c>
      <c r="AN269" s="2548" t="s">
        <v>437</v>
      </c>
      <c r="AO269" s="2286" t="s">
        <v>422</v>
      </c>
      <c r="AP269" s="580" t="s">
        <v>411</v>
      </c>
      <c r="AQ269" s="580" t="s">
        <v>257</v>
      </c>
      <c r="AR269" s="2547" t="s">
        <v>437</v>
      </c>
      <c r="AS269" s="2286" t="s">
        <v>422</v>
      </c>
      <c r="AT269" s="580" t="s">
        <v>411</v>
      </c>
      <c r="AU269" s="580" t="s">
        <v>257</v>
      </c>
      <c r="AV269" s="2464" t="s">
        <v>437</v>
      </c>
      <c r="AW269" s="2286" t="s">
        <v>422</v>
      </c>
      <c r="AX269" s="581" t="s">
        <v>411</v>
      </c>
      <c r="AY269" s="581" t="s">
        <v>257</v>
      </c>
      <c r="AZ269" s="2465" t="s">
        <v>437</v>
      </c>
      <c r="BA269" s="581" t="s">
        <v>422</v>
      </c>
      <c r="BB269" s="579" t="s">
        <v>411</v>
      </c>
      <c r="BC269" s="580" t="s">
        <v>257</v>
      </c>
      <c r="BD269" s="2464" t="s">
        <v>5131</v>
      </c>
      <c r="BE269" s="2287" t="s">
        <v>422</v>
      </c>
      <c r="BH269" s="2812"/>
      <c r="BI269" s="1251"/>
      <c r="BJ269" s="1251"/>
      <c r="BK269" s="2812"/>
      <c r="BL269" s="1251"/>
    </row>
    <row r="270" spans="2:64" outlineLevel="2">
      <c r="B270" s="143" t="s">
        <v>4799</v>
      </c>
      <c r="C270" s="144"/>
      <c r="D270" s="212">
        <f>SUM(L270:O270)</f>
        <v>0</v>
      </c>
      <c r="E270" s="212"/>
      <c r="F270" s="409"/>
      <c r="G270" s="117"/>
      <c r="H270" s="218">
        <f>VLOOKUP($B270&amp;"; "&amp;$H$268&amp;" "&amp;H$269,'FE Déplacements'!$G:$U,9,FALSE)</f>
        <v>4.87E-2</v>
      </c>
      <c r="I270" s="218">
        <f>VLOOKUP($B270&amp;"; "&amp;$H$268&amp;" "&amp;I$269,'FE Déplacements'!$G:$U,9,FALSE)</f>
        <v>0.23499999999999999</v>
      </c>
      <c r="J270" s="218">
        <f>IFERROR(VLOOKUP($B270&amp;"; "&amp;$H$268&amp;" "&amp;J$269,'FE Déplacements'!$G:$U,9,FALSE),0)</f>
        <v>0.23499999999999999</v>
      </c>
      <c r="K270" s="218">
        <f>IFERROR(VLOOKUP($B270&amp;"; "&amp;$H$268&amp;" "&amp;K$269,'FE Déplacements'!$G:$U,9,FALSE),0)</f>
        <v>5.1999999999999995E-4</v>
      </c>
      <c r="L270" s="356">
        <f>G270*H270</f>
        <v>0</v>
      </c>
      <c r="M270" s="356">
        <f>G270*I270</f>
        <v>0</v>
      </c>
      <c r="N270" s="151">
        <f>G270*J270</f>
        <v>0</v>
      </c>
      <c r="O270" s="151">
        <f>G270*K270</f>
        <v>0</v>
      </c>
      <c r="P270" s="165">
        <f>IF(OR(F270=Utilitaires!$I$572,F270=Utilitaires!$I$577),M270,0)</f>
        <v>0</v>
      </c>
      <c r="X270" s="226">
        <f>IF(AE270=0,0,AE270/D270)</f>
        <v>0</v>
      </c>
      <c r="Y270" s="343"/>
      <c r="Z270" s="820"/>
      <c r="AA270" s="164">
        <f>L270*BI270</f>
        <v>0</v>
      </c>
      <c r="AB270" s="164">
        <f>M270*BJ270</f>
        <v>0</v>
      </c>
      <c r="AC270" s="164">
        <f>N270*BK270</f>
        <v>0</v>
      </c>
      <c r="AD270" s="164">
        <f>O270*BL270</f>
        <v>0</v>
      </c>
      <c r="AE270" s="152">
        <f>SQRT(SUMSQ(AA270:AD270))</f>
        <v>0</v>
      </c>
      <c r="AF270" s="1286">
        <f>P270*X270</f>
        <v>0</v>
      </c>
      <c r="AH270" s="564">
        <f>IF(ISNA($G270*(VLOOKUP($B270&amp;"; "&amp;$H$268&amp;" "&amp;H$269,'FE Déplacements'!$G:$U,10,FALSE))),0,$G270*(VLOOKUP($B270&amp;"; "&amp;$H$268&amp;" "&amp;H$269,'FE Déplacements'!$G:$U,10,FALSE)))</f>
        <v>0</v>
      </c>
      <c r="AI270" s="565">
        <f>IF(ISNA($G270*(VLOOKUP($B270&amp;"; "&amp;$H$268&amp;" "&amp;I$269,'FE Déplacements'!$G:$U,10,FALSE))),0,$G270*(VLOOKUP($B270&amp;"; "&amp;$H$268&amp;" "&amp;I$269,'FE Déplacements'!$G:$U,10,FALSE)))</f>
        <v>0</v>
      </c>
      <c r="AJ270" s="565">
        <f>IF(ISNA($G270*(VLOOKUP($B270&amp;"; "&amp;$H$268&amp;" "&amp;J$269,'FE Déplacements'!$G:$U,10,FALSE))),0,$G270*(VLOOKUP($B270&amp;"; "&amp;$H$268&amp;" "&amp;J$269,'FE Déplacements'!$G:$U,10,FALSE)))</f>
        <v>0</v>
      </c>
      <c r="AK270" s="620">
        <f>IF(ISNA($G270*(VLOOKUP($B270&amp;"; "&amp;$H$268&amp;" "&amp;K$269,'FE Déplacements'!$G:$U,10,FALSE))),0,$G270*(VLOOKUP($B270&amp;"; "&amp;$H$268&amp;" "&amp;K$269,'FE Déplacements'!$G:$U,10,FALSE)))</f>
        <v>0</v>
      </c>
      <c r="AL270" s="620">
        <f>IF(ISNA($G270*(VLOOKUP($B270&amp;"; "&amp;$H$268&amp;" "&amp;H$269,'FE Déplacements'!$G:$U,12,FALSE)+VLOOKUP($B270&amp;"; "&amp;$H$268&amp;" "&amp;H$269,'FE Déplacements'!$G:$U,11,FALSE))),0,$G270*(VLOOKUP($B270&amp;"; "&amp;$H$268&amp;" "&amp;H$269,'FE Déplacements'!$G:$U,12,FALSE)+VLOOKUP($B270&amp;"; "&amp;$H$268&amp;" "&amp;H$269,'FE Déplacements'!$G:$U,11,FALSE)))</f>
        <v>0</v>
      </c>
      <c r="AM270" s="620">
        <f>IF(ISNA($G270*(VLOOKUP($B270&amp;"; "&amp;$H$268&amp;" "&amp;I$269,'FE Déplacements'!$G:$U,12,FALSE)+VLOOKUP($B270&amp;"; "&amp;$H$268&amp;" "&amp;I$269,'FE Déplacements'!$G:$U,11,FALSE))),0,$G270*(VLOOKUP($B270&amp;"; "&amp;$H$268&amp;" "&amp;I$269,'FE Déplacements'!$G:$U,12,FALSE)+VLOOKUP($B270&amp;"; "&amp;$H$268&amp;" "&amp;I$269,'FE Déplacements'!$G:$U,11,FALSE)))</f>
        <v>0</v>
      </c>
      <c r="AN270" s="620">
        <f>IF(ISNA($G270*(VLOOKUP($B270&amp;"; "&amp;$H$268&amp;" "&amp;J$269,'FE Déplacements'!$G:$U,12,FALSE)+VLOOKUP($B270&amp;"; "&amp;$H$268&amp;" "&amp;J$269,'FE Déplacements'!$G:$U,11,FALSE))),0,$G270*(VLOOKUP($B270&amp;"; "&amp;$H$268&amp;" "&amp;J$269,'FE Déplacements'!$G:$U,12,FALSE)+VLOOKUP($B270&amp;"; "&amp;$H$268&amp;" "&amp;J$269,'FE Déplacements'!$G:$U,11,FALSE)))</f>
        <v>0</v>
      </c>
      <c r="AO270" s="620">
        <f>IF(ISNA($G270*(VLOOKUP($B270&amp;"; "&amp;$H$268&amp;" "&amp;K$269,'FE Déplacements'!$G:$U,12,FALSE)+VLOOKUP($B270&amp;"; "&amp;$H$268&amp;" "&amp;K$269,'FE Déplacements'!$G:$U,11,FALSE))),0,$G270*(VLOOKUP($B270&amp;"; "&amp;$H$268&amp;" "&amp;K$269,'FE Déplacements'!$G:$U,12,FALSE)+VLOOKUP($B270&amp;"; "&amp;$H$268&amp;" "&amp;K$269,'FE Déplacements'!$G:$U,11,FALSE)))</f>
        <v>0</v>
      </c>
      <c r="AP270" s="620">
        <f>IF(ISNA($G270*(VLOOKUP($B270&amp;"; "&amp;$H$268&amp;" "&amp;H$269,'FE Déplacements'!$G:$U,13,FALSE))),0,$G270*(VLOOKUP($B270&amp;"; "&amp;$H$268&amp;" "&amp;H$269,'FE Déplacements'!$G:$U,13,FALSE)))</f>
        <v>0</v>
      </c>
      <c r="AQ270" s="620">
        <f>IF(ISNA($G270*(VLOOKUP($B270&amp;"; "&amp;$H$268&amp;" "&amp;I$269,'FE Déplacements'!$G:$U,13,FALSE))),0,$G270*(VLOOKUP($B270&amp;"; "&amp;$H$268&amp;" "&amp;I$269,'FE Déplacements'!$G:$U,13,FALSE)))</f>
        <v>0</v>
      </c>
      <c r="AR270" s="620">
        <f>IF(ISNA($G270*(VLOOKUP($B270&amp;"; "&amp;$H$268&amp;" "&amp;J$269,'FE Déplacements'!$G:$U,13,FALSE))),0,$G270*(VLOOKUP($B270&amp;"; "&amp;$H$268&amp;" "&amp;J$269,'FE Déplacements'!$G:$U,13,FALSE)))</f>
        <v>0</v>
      </c>
      <c r="AS270" s="620">
        <f>IF(ISNA($G270*(VLOOKUP($B270&amp;"; "&amp;$H$268&amp;" "&amp;K$269,'FE Déplacements'!$G:$U,13,FALSE))),0,$G270*(VLOOKUP($B270&amp;"; "&amp;$H$268&amp;" "&amp;K$269,'FE Déplacements'!$G:$U,13,FALSE)))</f>
        <v>0</v>
      </c>
      <c r="AT270" s="565">
        <f>IF(ISNA($G270*(VLOOKUP($B270&amp;"; "&amp;$H$268&amp;" "&amp;H$269,'FE Déplacements'!$G:$U,14,FALSE))),0,$G270*(VLOOKUP($B270&amp;"; "&amp;$H$268&amp;" "&amp;H$269,'FE Déplacements'!$G:$U,14,FALSE)))</f>
        <v>0</v>
      </c>
      <c r="AU270" s="565">
        <f>IF(ISNA($G270*(VLOOKUP($B270&amp;"; "&amp;$H$268&amp;" "&amp;I$269,'FE Déplacements'!$G:$U,14,FALSE))),0,$G270*(VLOOKUP($B270&amp;"; "&amp;$H$268&amp;" "&amp;I$269,'FE Déplacements'!$G:$U,14,FALSE)))</f>
        <v>0</v>
      </c>
      <c r="AV270" s="565">
        <f>IF(ISNA($G270*(VLOOKUP($B270&amp;"; "&amp;$H$268&amp;" "&amp;J$269,'FE Déplacements'!$G:$U,14,FALSE))),0,$G270*(VLOOKUP($B270&amp;"; "&amp;$H$268&amp;" "&amp;J$269,'FE Déplacements'!$G:$U,14,FALSE)))</f>
        <v>0</v>
      </c>
      <c r="AW270" s="565">
        <f>IF(ISNA($G270*(VLOOKUP($B270&amp;"; "&amp;$H$268&amp;" "&amp;K$269,'FE Déplacements'!$G:$U,14,FALSE))),0,$G270*(VLOOKUP($B270&amp;"; "&amp;$H$268&amp;" "&amp;K$269,'FE Déplacements'!$G:$U,14,FALSE)))</f>
        <v>0</v>
      </c>
      <c r="AX270" s="566">
        <f>SUM(AH270,AL270,AP270,AT270)</f>
        <v>0</v>
      </c>
      <c r="AY270" s="566">
        <f>SUM(AI270,AM270,AQ270,AU270)</f>
        <v>0</v>
      </c>
      <c r="AZ270" s="566">
        <f>SUM(AJ270,AN270,AR270,AV270)</f>
        <v>0</v>
      </c>
      <c r="BA270" s="566">
        <f>SUM(AK270,AO270,AS270,AW270)</f>
        <v>0</v>
      </c>
      <c r="BB270" s="564">
        <f>IF(ISNA($G270*(VLOOKUP($B270&amp;"; "&amp;$H$268&amp;", "&amp;H$269,'FE Energie'!$G:$U,15,FALSE))),0,$G270*(VLOOKUP($B270&amp;"; "&amp;$H$268&amp;", "&amp;H$269,'FE Energie'!$G:$U,15,FALSE)))</f>
        <v>0</v>
      </c>
      <c r="BC270" s="565">
        <f>IF(ISNA($G270*(VLOOKUP($B270&amp;"; "&amp;$H$268&amp;", "&amp;I$269,'FE Energie'!$G:$U,15,FALSE))),0,$G270*(VLOOKUP($B270&amp;"; "&amp;$H$268&amp;", "&amp;I$269,'FE Energie'!$G:$U,15,FALSE)))</f>
        <v>0</v>
      </c>
      <c r="BD270" s="565">
        <f>IF(ISNA($G270*(VLOOKUP($B270&amp;"; "&amp;$H$268&amp;", "&amp;J$269,'FE Energie'!$G:$U,15,FALSE))),0,$G270*(VLOOKUP($B270&amp;"; "&amp;$H$268&amp;", "&amp;J$269,'FE Energie'!$G:$U,15,FALSE)))</f>
        <v>0</v>
      </c>
      <c r="BE270" s="568">
        <f>IF(ISNA($G270*(VLOOKUP($B270&amp;"; "&amp;$H$268&amp;", "&amp;K$269,'FE Energie'!$G:$U,15,FALSE))),0,$G270*(VLOOKUP($B270&amp;"; "&amp;$H$268&amp;", "&amp;K$269,'FE Energie'!$G:$U,15,FALSE)))</f>
        <v>0</v>
      </c>
      <c r="BH270" s="1065">
        <f>IF($Y270&lt;&gt;"votre valeur :",IF(ISNA(VLOOKUP($Y270,Utilitaires!$N$566:$O$571,2,FALSE)),,VLOOKUP($Y270,Utilitaires!$N$566:$O$571,2,FALSE)),$Z270)</f>
        <v>0</v>
      </c>
      <c r="BI270" s="1130">
        <f>IF(ISNA(SQRT(SUMSQ(VLOOKUP($B270&amp;"; "&amp;$H$268&amp;" "&amp;$H$269,'FE Déplacements'!$G:$U,7,FALSE),$BH270))),0,SQRT(SUMSQ(VLOOKUP($B270&amp;"; "&amp;$H$268&amp;" "&amp;$H$269,'FE Déplacements'!$G:$U,7,FALSE),$BH270)))</f>
        <v>0.7</v>
      </c>
      <c r="BJ270" s="1130">
        <f>IF(ISNA(SQRT(SUMSQ(VLOOKUP($B270&amp;"; "&amp;$H$268&amp;" "&amp;$I$269,'FE Déplacements'!$G:$U,7,FALSE),$BH270))),0,SQRT(SUMSQ(VLOOKUP($B270&amp;"; "&amp;$H$268&amp;" "&amp;$I$269,'FE Déplacements'!$G:$U,7,FALSE),$BH270)))</f>
        <v>0.7</v>
      </c>
      <c r="BK270" s="1130">
        <f>IF(ISNA(SQRT(SUMSQ(VLOOKUP($B270&amp;"; "&amp;$H$268&amp;" "&amp;$J$269,'FE Déplacements'!$G:$U,7,FALSE),$BH270))),0,SQRT(SUMSQ(VLOOKUP($B270&amp;"; "&amp;$H$268&amp;" "&amp;$J$269,'FE Déplacements'!$G:$U,7,FALSE),$BH270)))</f>
        <v>0.7</v>
      </c>
      <c r="BL270" s="1130">
        <f>IF(ISNA(SQRT(SUMSQ(VLOOKUP($B270&amp;"; "&amp;$H$268&amp;" "&amp;$K$269,'FE Déplacements'!$G:$U,7,FALSE),$BH270))),0,SQRT(SUMSQ(VLOOKUP($B270&amp;"; "&amp;$H$268&amp;" "&amp;$K$269,'FE Déplacements'!$G:$U,7,FALSE),$BH270)))</f>
        <v>0.7</v>
      </c>
    </row>
    <row r="271" spans="2:64" outlineLevel="2">
      <c r="B271" s="143" t="s">
        <v>4800</v>
      </c>
      <c r="C271" s="144"/>
      <c r="D271" s="212">
        <f t="shared" ref="D271:D273" si="135">SUM(L271:O271)</f>
        <v>0</v>
      </c>
      <c r="E271" s="212"/>
      <c r="F271" s="346"/>
      <c r="G271" s="120"/>
      <c r="H271" s="218">
        <f>VLOOKUP($B271&amp;"; "&amp;$H$268&amp;" "&amp;H$269,'FE Déplacements'!$G:$U,9,FALSE)</f>
        <v>2.5000000000000001E-2</v>
      </c>
      <c r="I271" s="218">
        <f>VLOOKUP($B271&amp;"; "&amp;$H$268&amp;" "&amp;I$269,'FE Déplacements'!$G:$U,9,FALSE)</f>
        <v>0.12</v>
      </c>
      <c r="J271" s="218">
        <f>IFERROR(VLOOKUP($B271&amp;"; "&amp;$H$268&amp;" "&amp;J$269,'FE Déplacements'!$G:$U,9,FALSE),0)</f>
        <v>0.12</v>
      </c>
      <c r="K271" s="218">
        <f>IFERROR(VLOOKUP($B271&amp;"; "&amp;$H$268&amp;" "&amp;K$269,'FE Déplacements'!$G:$U,9,FALSE),0)</f>
        <v>4.2000000000000002E-4</v>
      </c>
      <c r="L271" s="356">
        <f t="shared" ref="L271:L273" si="136">G271*H271</f>
        <v>0</v>
      </c>
      <c r="M271" s="356">
        <f t="shared" ref="M271:M273" si="137">G271*I271</f>
        <v>0</v>
      </c>
      <c r="N271" s="151">
        <f t="shared" ref="N271:N273" si="138">G271*J271</f>
        <v>0</v>
      </c>
      <c r="O271" s="151">
        <f t="shared" ref="O271:O273" si="139">G271*K271</f>
        <v>0</v>
      </c>
      <c r="P271" s="165">
        <f>IF(OR(F271=Utilitaires!$I$572,F271=Utilitaires!$I$577),M271,0)</f>
        <v>0</v>
      </c>
      <c r="X271" s="226">
        <f>IF(AE271=0,0,AE271/D271)</f>
        <v>0</v>
      </c>
      <c r="Y271" s="343"/>
      <c r="Z271" s="820"/>
      <c r="AA271" s="164">
        <f t="shared" ref="AA271:AA273" si="140">L271*BI271</f>
        <v>0</v>
      </c>
      <c r="AB271" s="164">
        <f t="shared" ref="AB271:AB273" si="141">M271*BJ271</f>
        <v>0</v>
      </c>
      <c r="AC271" s="164">
        <f t="shared" ref="AC271:AC273" si="142">N271*BK271</f>
        <v>0</v>
      </c>
      <c r="AD271" s="164">
        <f>O271*BL271</f>
        <v>0</v>
      </c>
      <c r="AE271" s="152">
        <f t="shared" ref="AE271:AE273" si="143">SQRT(SUMSQ(AA271:AD271))</f>
        <v>0</v>
      </c>
      <c r="AF271" s="1286">
        <f t="shared" ref="AF271:AF273" si="144">P271*X271</f>
        <v>0</v>
      </c>
      <c r="AH271" s="564">
        <f>IF(ISNA($G271*(VLOOKUP($B271&amp;"; "&amp;$H$268&amp;" "&amp;H$269,'FE Déplacements'!$G:$U,10,FALSE))),0,$G271*(VLOOKUP($B271&amp;"; "&amp;$H$268&amp;" "&amp;H$269,'FE Déplacements'!$G:$U,10,FALSE)))</f>
        <v>0</v>
      </c>
      <c r="AI271" s="565">
        <f>IF(ISNA($G271*(VLOOKUP($B271&amp;"; "&amp;$H$268&amp;" "&amp;I$269,'FE Déplacements'!$G:$U,10,FALSE))),0,$G271*(VLOOKUP($B271&amp;"; "&amp;$H$268&amp;" "&amp;I$269,'FE Déplacements'!$G:$U,10,FALSE)))</f>
        <v>0</v>
      </c>
      <c r="AJ271" s="565">
        <f>IF(ISNA($G271*(VLOOKUP($B271&amp;"; "&amp;$H$268&amp;" "&amp;J$269,'FE Déplacements'!$G:$U,10,FALSE))),0,$G271*(VLOOKUP($B271&amp;"; "&amp;$H$268&amp;" "&amp;J$269,'FE Déplacements'!$G:$U,10,FALSE)))</f>
        <v>0</v>
      </c>
      <c r="AK271" s="620">
        <f>IF(ISNA($G271*(VLOOKUP($B271&amp;"; "&amp;$H$268&amp;" "&amp;K$269,'FE Déplacements'!$G:$U,10,FALSE))),0,$G271*(VLOOKUP($B271&amp;"; "&amp;$H$268&amp;" "&amp;K$269,'FE Déplacements'!$G:$U,10,FALSE)))</f>
        <v>0</v>
      </c>
      <c r="AL271" s="620">
        <f>IF(ISNA($G271*(VLOOKUP($B271&amp;"; "&amp;$H$268&amp;" "&amp;H$269,'FE Déplacements'!$G:$U,12,FALSE)+VLOOKUP($B271&amp;"; "&amp;$H$268&amp;" "&amp;H$269,'FE Déplacements'!$G:$U,11,FALSE))),0,$G271*(VLOOKUP($B271&amp;"; "&amp;$H$268&amp;" "&amp;H$269,'FE Déplacements'!$G:$U,12,FALSE)+VLOOKUP($B271&amp;"; "&amp;$H$268&amp;" "&amp;H$269,'FE Déplacements'!$G:$U,11,FALSE)))</f>
        <v>0</v>
      </c>
      <c r="AM271" s="620">
        <f>IF(ISNA($G271*(VLOOKUP($B271&amp;"; "&amp;$H$268&amp;" "&amp;I$269,'FE Déplacements'!$G:$U,12,FALSE)+VLOOKUP($B271&amp;"; "&amp;$H$268&amp;" "&amp;I$269,'FE Déplacements'!$G:$U,11,FALSE))),0,$G271*(VLOOKUP($B271&amp;"; "&amp;$H$268&amp;" "&amp;I$269,'FE Déplacements'!$G:$U,12,FALSE)+VLOOKUP($B271&amp;"; "&amp;$H$268&amp;" "&amp;I$269,'FE Déplacements'!$G:$U,11,FALSE)))</f>
        <v>0</v>
      </c>
      <c r="AN271" s="620">
        <f>IF(ISNA($G271*(VLOOKUP($B271&amp;"; "&amp;$H$268&amp;" "&amp;J$269,'FE Déplacements'!$G:$U,12,FALSE)+VLOOKUP($B271&amp;"; "&amp;$H$268&amp;" "&amp;J$269,'FE Déplacements'!$G:$U,11,FALSE))),0,$G271*(VLOOKUP($B271&amp;"; "&amp;$H$268&amp;" "&amp;J$269,'FE Déplacements'!$G:$U,12,FALSE)+VLOOKUP($B271&amp;"; "&amp;$H$268&amp;" "&amp;J$269,'FE Déplacements'!$G:$U,11,FALSE)))</f>
        <v>0</v>
      </c>
      <c r="AO271" s="620">
        <f>IF(ISNA($G271*(VLOOKUP($B271&amp;"; "&amp;$H$268&amp;" "&amp;K$269,'FE Déplacements'!$G:$U,12,FALSE)+VLOOKUP($B271&amp;"; "&amp;$H$268&amp;" "&amp;K$269,'FE Déplacements'!$G:$U,11,FALSE))),0,$G271*(VLOOKUP($B271&amp;"; "&amp;$H$268&amp;" "&amp;K$269,'FE Déplacements'!$G:$U,12,FALSE)+VLOOKUP($B271&amp;"; "&amp;$H$268&amp;" "&amp;K$269,'FE Déplacements'!$G:$U,11,FALSE)))</f>
        <v>0</v>
      </c>
      <c r="AP271" s="620">
        <f>IF(ISNA($G271*(VLOOKUP($B271&amp;"; "&amp;$H$268&amp;" "&amp;H$269,'FE Déplacements'!$G:$U,13,FALSE))),0,$G271*(VLOOKUP($B271&amp;"; "&amp;$H$268&amp;" "&amp;H$269,'FE Déplacements'!$G:$U,13,FALSE)))</f>
        <v>0</v>
      </c>
      <c r="AQ271" s="620">
        <f>IF(ISNA($G271*(VLOOKUP($B271&amp;"; "&amp;$H$268&amp;" "&amp;I$269,'FE Déplacements'!$G:$U,13,FALSE))),0,$G271*(VLOOKUP($B271&amp;"; "&amp;$H$268&amp;" "&amp;I$269,'FE Déplacements'!$G:$U,13,FALSE)))</f>
        <v>0</v>
      </c>
      <c r="AR271" s="620">
        <f>IF(ISNA($G271*(VLOOKUP($B271&amp;"; "&amp;$H$268&amp;" "&amp;J$269,'FE Déplacements'!$G:$U,13,FALSE))),0,$G271*(VLOOKUP($B271&amp;"; "&amp;$H$268&amp;" "&amp;J$269,'FE Déplacements'!$G:$U,13,FALSE)))</f>
        <v>0</v>
      </c>
      <c r="AS271" s="620">
        <f>IF(ISNA($G271*(VLOOKUP($B271&amp;"; "&amp;$H$268&amp;" "&amp;K$269,'FE Déplacements'!$G:$U,13,FALSE))),0,$G271*(VLOOKUP($B271&amp;"; "&amp;$H$268&amp;" "&amp;K$269,'FE Déplacements'!$G:$U,13,FALSE)))</f>
        <v>0</v>
      </c>
      <c r="AT271" s="565">
        <f>IF(ISNA($G271*(VLOOKUP($B271&amp;"; "&amp;$H$268&amp;" "&amp;H$269,'FE Déplacements'!$G:$U,14,FALSE))),0,$G271*(VLOOKUP($B271&amp;"; "&amp;$H$268&amp;" "&amp;H$269,'FE Déplacements'!$G:$U,14,FALSE)))</f>
        <v>0</v>
      </c>
      <c r="AU271" s="565">
        <f>IF(ISNA($G271*(VLOOKUP($B271&amp;"; "&amp;$H$268&amp;" "&amp;I$269,'FE Déplacements'!$G:$U,14,FALSE))),0,$G271*(VLOOKUP($B271&amp;"; "&amp;$H$268&amp;" "&amp;I$269,'FE Déplacements'!$G:$U,14,FALSE)))</f>
        <v>0</v>
      </c>
      <c r="AV271" s="565">
        <f>IF(ISNA($G271*(VLOOKUP($B271&amp;"; "&amp;$H$268&amp;" "&amp;J$269,'FE Déplacements'!$G:$U,14,FALSE))),0,$G271*(VLOOKUP($B271&amp;"; "&amp;$H$268&amp;" "&amp;J$269,'FE Déplacements'!$G:$U,14,FALSE)))</f>
        <v>0</v>
      </c>
      <c r="AW271" s="565">
        <f>IF(ISNA($G271*(VLOOKUP($B271&amp;"; "&amp;$H$268&amp;" "&amp;K$269,'FE Déplacements'!$G:$U,14,FALSE))),0,$G271*(VLOOKUP($B271&amp;"; "&amp;$H$268&amp;" "&amp;K$269,'FE Déplacements'!$G:$U,14,FALSE)))</f>
        <v>0</v>
      </c>
      <c r="AX271" s="566">
        <f t="shared" ref="AX271:AX273" si="145">SUM(AH271,AL271,AP271,AT271)</f>
        <v>0</v>
      </c>
      <c r="AY271" s="566">
        <f t="shared" ref="AY271:AY273" si="146">SUM(AI271,AM271,AQ271,AU271)</f>
        <v>0</v>
      </c>
      <c r="AZ271" s="566">
        <f t="shared" ref="AZ271:AZ273" si="147">SUM(AJ271,AN271,AR271,AV271)</f>
        <v>0</v>
      </c>
      <c r="BA271" s="566">
        <f t="shared" ref="BA271:BA273" si="148">SUM(AK271,AO271,AS271,AW271)</f>
        <v>0</v>
      </c>
      <c r="BB271" s="564">
        <f>IF(ISNA($G271*(VLOOKUP($B271&amp;"; "&amp;$H$268&amp;", "&amp;H$269,'FE Energie'!$G:$U,15,FALSE))),0,$G271*(VLOOKUP($B271&amp;"; "&amp;$H$268&amp;", "&amp;H$269,'FE Energie'!$G:$U,15,FALSE)))</f>
        <v>0</v>
      </c>
      <c r="BC271" s="565">
        <f>IF(ISNA($G271*(VLOOKUP($B271&amp;"; "&amp;$H$268&amp;", "&amp;I$269,'FE Energie'!$G:$U,15,FALSE))),0,$G271*(VLOOKUP($B271&amp;"; "&amp;$H$268&amp;", "&amp;I$269,'FE Energie'!$G:$U,15,FALSE)))</f>
        <v>0</v>
      </c>
      <c r="BD271" s="565">
        <f>IF(ISNA($G271*(VLOOKUP($B271&amp;"; "&amp;$H$268&amp;", "&amp;J$269,'FE Energie'!$G:$U,15,FALSE))),0,$G271*(VLOOKUP($B271&amp;"; "&amp;$H$268&amp;", "&amp;J$269,'FE Energie'!$G:$U,15,FALSE)))</f>
        <v>0</v>
      </c>
      <c r="BE271" s="568">
        <f>IF(ISNA($G271*(VLOOKUP($B271&amp;"; "&amp;$H$268&amp;", "&amp;K$269,'FE Energie'!$G:$U,15,FALSE))),0,$G271*(VLOOKUP($B271&amp;"; "&amp;$H$268&amp;", "&amp;K$269,'FE Energie'!$G:$U,15,FALSE)))</f>
        <v>0</v>
      </c>
      <c r="BH271" s="1065">
        <f>IF($Y271&lt;&gt;"votre valeur :",IF(ISNA(VLOOKUP($Y271,Utilitaires!$N$566:$O$571,2,FALSE)),,VLOOKUP($Y271,Utilitaires!$N$566:$O$571,2,FALSE)),$Z271)</f>
        <v>0</v>
      </c>
      <c r="BI271" s="1130">
        <f>IF(ISNA(SQRT(SUMSQ(VLOOKUP($B271&amp;"; "&amp;$H$268&amp;" "&amp;$H$269,'FE Déplacements'!$G:$U,7,FALSE),$BH271))),0,SQRT(SUMSQ(VLOOKUP($B271&amp;"; "&amp;$H$268&amp;" "&amp;$H$269,'FE Déplacements'!$G:$U,7,FALSE),$BH271)))</f>
        <v>0.7</v>
      </c>
      <c r="BJ271" s="1130">
        <f>IF(ISNA(SQRT(SUMSQ(VLOOKUP($B271&amp;"; "&amp;$H$268&amp;" "&amp;$I$269,'FE Déplacements'!$G:$U,7,FALSE),$BH271))),0,SQRT(SUMSQ(VLOOKUP($B271&amp;"; "&amp;$H$268&amp;" "&amp;$I$269,'FE Déplacements'!$G:$U,7,FALSE),$BH271)))</f>
        <v>0.7</v>
      </c>
      <c r="BK271" s="1130">
        <f>IF(ISNA(SQRT(SUMSQ(VLOOKUP($B271&amp;"; "&amp;$H$268&amp;" "&amp;$J$269,'FE Déplacements'!$G:$U,7,FALSE),$BH271))),0,SQRT(SUMSQ(VLOOKUP($B271&amp;"; "&amp;$H$268&amp;" "&amp;$J$269,'FE Déplacements'!$G:$U,7,FALSE),$BH271)))</f>
        <v>0.7</v>
      </c>
      <c r="BL271" s="1130">
        <f>IF(ISNA(SQRT(SUMSQ(VLOOKUP($B271&amp;"; "&amp;$H$268&amp;" "&amp;$K$269,'FE Déplacements'!$G:$U,7,FALSE),$BH271))),0,SQRT(SUMSQ(VLOOKUP($B271&amp;"; "&amp;$H$268&amp;" "&amp;$K$269,'FE Déplacements'!$G:$U,7,FALSE),$BH271)))</f>
        <v>0.7</v>
      </c>
    </row>
    <row r="272" spans="2:64" outlineLevel="2">
      <c r="B272" s="143" t="s">
        <v>4801</v>
      </c>
      <c r="C272" s="144"/>
      <c r="D272" s="212">
        <f t="shared" si="135"/>
        <v>0</v>
      </c>
      <c r="E272" s="212"/>
      <c r="F272" s="346"/>
      <c r="G272" s="120"/>
      <c r="H272" s="218">
        <f>VLOOKUP($B272&amp;"; "&amp;$H$268&amp;" "&amp;H$269,'FE Déplacements'!$G:$U,9,FALSE)</f>
        <v>1.9699999999999999E-2</v>
      </c>
      <c r="I272" s="218">
        <f>VLOOKUP($B272&amp;"; "&amp;$H$268&amp;" "&amp;I$269,'FE Déplacements'!$G:$U,9,FALSE)</f>
        <v>9.4899999999999998E-2</v>
      </c>
      <c r="J272" s="218">
        <f>IFERROR(VLOOKUP($B272&amp;"; "&amp;$H$268&amp;" "&amp;J$269,'FE Déplacements'!$G:$U,9,FALSE),0)</f>
        <v>0</v>
      </c>
      <c r="K272" s="218">
        <f>IFERROR(VLOOKUP($B272&amp;"; "&amp;$H$268&amp;" "&amp;K$269,'FE Déplacements'!$G:$U,9,FALSE),0)</f>
        <v>2.9E-4</v>
      </c>
      <c r="L272" s="356">
        <f t="shared" si="136"/>
        <v>0</v>
      </c>
      <c r="M272" s="356">
        <f t="shared" si="137"/>
        <v>0</v>
      </c>
      <c r="N272" s="151">
        <f t="shared" si="138"/>
        <v>0</v>
      </c>
      <c r="O272" s="151">
        <f t="shared" si="139"/>
        <v>0</v>
      </c>
      <c r="P272" s="165">
        <f>IF(OR(F272=Utilitaires!$I$572,F272=Utilitaires!$I$577),M272,0)</f>
        <v>0</v>
      </c>
      <c r="X272" s="226">
        <f>IF(AE272=0,0,AE272/D272)</f>
        <v>0</v>
      </c>
      <c r="Y272" s="1094"/>
      <c r="Z272" s="820"/>
      <c r="AA272" s="164">
        <f t="shared" si="140"/>
        <v>0</v>
      </c>
      <c r="AB272" s="164">
        <f t="shared" si="141"/>
        <v>0</v>
      </c>
      <c r="AC272" s="164">
        <f t="shared" si="142"/>
        <v>0</v>
      </c>
      <c r="AD272" s="164">
        <f>O272*BL272</f>
        <v>0</v>
      </c>
      <c r="AE272" s="152">
        <f t="shared" si="143"/>
        <v>0</v>
      </c>
      <c r="AF272" s="1286">
        <f t="shared" si="144"/>
        <v>0</v>
      </c>
      <c r="AH272" s="564">
        <f>IF(ISNA($G272*(VLOOKUP($B272&amp;"; "&amp;$H$268&amp;" "&amp;H$269,'FE Déplacements'!$G:$U,10,FALSE))),0,$G272*(VLOOKUP($B272&amp;"; "&amp;$H$268&amp;" "&amp;H$269,'FE Déplacements'!$G:$U,10,FALSE)))</f>
        <v>0</v>
      </c>
      <c r="AI272" s="565">
        <f>IF(ISNA($G272*(VLOOKUP($B272&amp;"; "&amp;$H$268&amp;" "&amp;I$269,'FE Déplacements'!$G:$U,10,FALSE))),0,$G272*(VLOOKUP($B272&amp;"; "&amp;$H$268&amp;" "&amp;I$269,'FE Déplacements'!$G:$U,10,FALSE)))</f>
        <v>0</v>
      </c>
      <c r="AJ272" s="565">
        <f>IF(ISNA($G272*(VLOOKUP($B272&amp;"; "&amp;$H$268&amp;" "&amp;J$269,'FE Déplacements'!$G:$U,10,FALSE))),0,$G272*(VLOOKUP($B272&amp;"; "&amp;$H$268&amp;" "&amp;J$269,'FE Déplacements'!$G:$U,10,FALSE)))</f>
        <v>0</v>
      </c>
      <c r="AK272" s="620">
        <f>IF(ISNA($G272*(VLOOKUP($B272&amp;"; "&amp;$H$268&amp;" "&amp;K$269,'FE Déplacements'!$G:$U,10,FALSE))),0,$G272*(VLOOKUP($B272&amp;"; "&amp;$H$268&amp;" "&amp;K$269,'FE Déplacements'!$G:$U,10,FALSE)))</f>
        <v>0</v>
      </c>
      <c r="AL272" s="620">
        <f>IF(ISNA($G272*(VLOOKUP($B272&amp;"; "&amp;$H$268&amp;" "&amp;H$269,'FE Déplacements'!$G:$U,12,FALSE)+VLOOKUP($B272&amp;"; "&amp;$H$268&amp;" "&amp;H$269,'FE Déplacements'!$G:$U,11,FALSE))),0,$G272*(VLOOKUP($B272&amp;"; "&amp;$H$268&amp;" "&amp;H$269,'FE Déplacements'!$G:$U,12,FALSE)+VLOOKUP($B272&amp;"; "&amp;$H$268&amp;" "&amp;H$269,'FE Déplacements'!$G:$U,11,FALSE)))</f>
        <v>0</v>
      </c>
      <c r="AM272" s="620">
        <f>IF(ISNA($G272*(VLOOKUP($B272&amp;"; "&amp;$H$268&amp;" "&amp;I$269,'FE Déplacements'!$G:$U,12,FALSE)+VLOOKUP($B272&amp;"; "&amp;$H$268&amp;" "&amp;I$269,'FE Déplacements'!$G:$U,11,FALSE))),0,$G272*(VLOOKUP($B272&amp;"; "&amp;$H$268&amp;" "&amp;I$269,'FE Déplacements'!$G:$U,12,FALSE)+VLOOKUP($B272&amp;"; "&amp;$H$268&amp;" "&amp;I$269,'FE Déplacements'!$G:$U,11,FALSE)))</f>
        <v>0</v>
      </c>
      <c r="AN272" s="620">
        <f>IF(ISNA($G272*(VLOOKUP($B272&amp;"; "&amp;$H$268&amp;" "&amp;J$269,'FE Déplacements'!$G:$U,12,FALSE)+VLOOKUP($B272&amp;"; "&amp;$H$268&amp;" "&amp;J$269,'FE Déplacements'!$G:$U,11,FALSE))),0,$G272*(VLOOKUP($B272&amp;"; "&amp;$H$268&amp;" "&amp;J$269,'FE Déplacements'!$G:$U,12,FALSE)+VLOOKUP($B272&amp;"; "&amp;$H$268&amp;" "&amp;J$269,'FE Déplacements'!$G:$U,11,FALSE)))</f>
        <v>0</v>
      </c>
      <c r="AO272" s="620">
        <f>IF(ISNA($G272*(VLOOKUP($B272&amp;"; "&amp;$H$268&amp;" "&amp;K$269,'FE Déplacements'!$G:$U,12,FALSE)+VLOOKUP($B272&amp;"; "&amp;$H$268&amp;" "&amp;K$269,'FE Déplacements'!$G:$U,11,FALSE))),0,$G272*(VLOOKUP($B272&amp;"; "&amp;$H$268&amp;" "&amp;K$269,'FE Déplacements'!$G:$U,12,FALSE)+VLOOKUP($B272&amp;"; "&amp;$H$268&amp;" "&amp;K$269,'FE Déplacements'!$G:$U,11,FALSE)))</f>
        <v>0</v>
      </c>
      <c r="AP272" s="620">
        <f>IF(ISNA($G272*(VLOOKUP($B272&amp;"; "&amp;$H$268&amp;" "&amp;H$269,'FE Déplacements'!$G:$U,13,FALSE))),0,$G272*(VLOOKUP($B272&amp;"; "&amp;$H$268&amp;" "&amp;H$269,'FE Déplacements'!$G:$U,13,FALSE)))</f>
        <v>0</v>
      </c>
      <c r="AQ272" s="620">
        <f>IF(ISNA($G272*(VLOOKUP($B272&amp;"; "&amp;$H$268&amp;" "&amp;I$269,'FE Déplacements'!$G:$U,13,FALSE))),0,$G272*(VLOOKUP($B272&amp;"; "&amp;$H$268&amp;" "&amp;I$269,'FE Déplacements'!$G:$U,13,FALSE)))</f>
        <v>0</v>
      </c>
      <c r="AR272" s="620">
        <f>IF(ISNA($G272*(VLOOKUP($B272&amp;"; "&amp;$H$268&amp;" "&amp;J$269,'FE Déplacements'!$G:$U,13,FALSE))),0,$G272*(VLOOKUP($B272&amp;"; "&amp;$H$268&amp;" "&amp;J$269,'FE Déplacements'!$G:$U,13,FALSE)))</f>
        <v>0</v>
      </c>
      <c r="AS272" s="620">
        <f>IF(ISNA($G272*(VLOOKUP($B272&amp;"; "&amp;$H$268&amp;" "&amp;K$269,'FE Déplacements'!$G:$U,13,FALSE))),0,$G272*(VLOOKUP($B272&amp;"; "&amp;$H$268&amp;" "&amp;K$269,'FE Déplacements'!$G:$U,13,FALSE)))</f>
        <v>0</v>
      </c>
      <c r="AT272" s="565">
        <f>IF(ISNA($G272*(VLOOKUP($B272&amp;"; "&amp;$H$268&amp;" "&amp;H$269,'FE Déplacements'!$G:$U,14,FALSE))),0,$G272*(VLOOKUP($B272&amp;"; "&amp;$H$268&amp;" "&amp;H$269,'FE Déplacements'!$G:$U,14,FALSE)))</f>
        <v>0</v>
      </c>
      <c r="AU272" s="565">
        <f>IF(ISNA($G272*(VLOOKUP($B272&amp;"; "&amp;$H$268&amp;" "&amp;I$269,'FE Déplacements'!$G:$U,14,FALSE))),0,$G272*(VLOOKUP($B272&amp;"; "&amp;$H$268&amp;" "&amp;I$269,'FE Déplacements'!$G:$U,14,FALSE)))</f>
        <v>0</v>
      </c>
      <c r="AV272" s="565">
        <f>IF(ISNA($G272*(VLOOKUP($B272&amp;"; "&amp;$H$268&amp;" "&amp;J$269,'FE Déplacements'!$G:$U,14,FALSE))),0,$G272*(VLOOKUP($B272&amp;"; "&amp;$H$268&amp;" "&amp;J$269,'FE Déplacements'!$G:$U,14,FALSE)))</f>
        <v>0</v>
      </c>
      <c r="AW272" s="565">
        <f>IF(ISNA($G272*(VLOOKUP($B272&amp;"; "&amp;$H$268&amp;" "&amp;K$269,'FE Déplacements'!$G:$U,14,FALSE))),0,$G272*(VLOOKUP($B272&amp;"; "&amp;$H$268&amp;" "&amp;K$269,'FE Déplacements'!$G:$U,14,FALSE)))</f>
        <v>0</v>
      </c>
      <c r="AX272" s="566">
        <f t="shared" si="145"/>
        <v>0</v>
      </c>
      <c r="AY272" s="566">
        <f t="shared" si="146"/>
        <v>0</v>
      </c>
      <c r="AZ272" s="566">
        <f t="shared" si="147"/>
        <v>0</v>
      </c>
      <c r="BA272" s="566">
        <f t="shared" si="148"/>
        <v>0</v>
      </c>
      <c r="BB272" s="564">
        <f>IF(ISNA($G272*(VLOOKUP($B272&amp;"; "&amp;$H$268&amp;", "&amp;H$269,'FE Energie'!$G:$U,15,FALSE))),0,$G272*(VLOOKUP($B272&amp;"; "&amp;$H$268&amp;", "&amp;H$269,'FE Energie'!$G:$U,15,FALSE)))</f>
        <v>0</v>
      </c>
      <c r="BC272" s="565">
        <f>IF(ISNA($G272*(VLOOKUP($B272&amp;"; "&amp;$H$268&amp;", "&amp;I$269,'FE Energie'!$G:$U,15,FALSE))),0,$G272*(VLOOKUP($B272&amp;"; "&amp;$H$268&amp;", "&amp;I$269,'FE Energie'!$G:$U,15,FALSE)))</f>
        <v>0</v>
      </c>
      <c r="BD272" s="565">
        <f>IF(ISNA($G272*(VLOOKUP($B272&amp;"; "&amp;$H$268&amp;", "&amp;J$269,'FE Energie'!$G:$U,15,FALSE))),0,$G272*(VLOOKUP($B272&amp;"; "&amp;$H$268&amp;", "&amp;J$269,'FE Energie'!$G:$U,15,FALSE)))</f>
        <v>0</v>
      </c>
      <c r="BE272" s="568">
        <f>IF(ISNA($G272*(VLOOKUP($B272&amp;"; "&amp;$H$268&amp;", "&amp;K$269,'FE Energie'!$G:$U,15,FALSE))),0,$G272*(VLOOKUP($B272&amp;"; "&amp;$H$268&amp;", "&amp;K$269,'FE Energie'!$G:$U,15,FALSE)))</f>
        <v>0</v>
      </c>
      <c r="BH272" s="1065">
        <f>IF($Y272&lt;&gt;"votre valeur :",IF(ISNA(VLOOKUP($Y272,Utilitaires!$N$566:$O$571,2,FALSE)),,VLOOKUP($Y272,Utilitaires!$N$566:$O$571,2,FALSE)),$Z272)</f>
        <v>0</v>
      </c>
      <c r="BI272" s="1130">
        <f>IF(ISNA(SQRT(SUMSQ(VLOOKUP($B272&amp;"; "&amp;$H$268&amp;" "&amp;$H$269,'FE Déplacements'!$G:$U,7,FALSE),$BH272))),0,SQRT(SUMSQ(VLOOKUP($B272&amp;"; "&amp;$H$268&amp;" "&amp;$H$269,'FE Déplacements'!$G:$U,7,FALSE),$BH272)))</f>
        <v>0.1</v>
      </c>
      <c r="BJ272" s="1130">
        <f>IF(ISNA(SQRT(SUMSQ(VLOOKUP($B272&amp;"; "&amp;$H$268&amp;" "&amp;$I$269,'FE Déplacements'!$G:$U,7,FALSE),$BH272))),0,SQRT(SUMSQ(VLOOKUP($B272&amp;"; "&amp;$H$268&amp;" "&amp;$I$269,'FE Déplacements'!$G:$U,7,FALSE),$BH272)))</f>
        <v>0.1</v>
      </c>
      <c r="BK272" s="1130">
        <f>IF(ISNA(SQRT(SUMSQ(VLOOKUP($B272&amp;"; "&amp;$H$268&amp;" "&amp;$J$269,'FE Déplacements'!$G:$U,7,FALSE),$BH272))),0,SQRT(SUMSQ(VLOOKUP($B272&amp;"; "&amp;$H$268&amp;" "&amp;$J$269,'FE Déplacements'!$G:$U,7,FALSE),$BH272)))</f>
        <v>0</v>
      </c>
      <c r="BL272" s="1130">
        <f>IF(ISNA(SQRT(SUMSQ(VLOOKUP($B272&amp;"; "&amp;$H$268&amp;" "&amp;$K$269,'FE Déplacements'!$G:$U,7,FALSE),$BH272))),0,SQRT(SUMSQ(VLOOKUP($B272&amp;"; "&amp;$H$268&amp;" "&amp;$K$269,'FE Déplacements'!$G:$U,7,FALSE),$BH272)))</f>
        <v>0.1</v>
      </c>
    </row>
    <row r="273" spans="2:64" outlineLevel="2">
      <c r="B273" s="143" t="s">
        <v>4773</v>
      </c>
      <c r="C273" s="144"/>
      <c r="D273" s="212">
        <f t="shared" si="135"/>
        <v>0</v>
      </c>
      <c r="E273" s="212"/>
      <c r="F273" s="347"/>
      <c r="G273" s="123"/>
      <c r="H273" s="218">
        <f>VLOOKUP($B273&amp;"; "&amp;$H$268&amp;" "&amp;H$269,'FE Déplacements'!$G:$U,9,FALSE)</f>
        <v>1.7600000000000001E-2</v>
      </c>
      <c r="I273" s="218">
        <f>VLOOKUP($B273&amp;"; "&amp;$H$268&amp;" "&amp;I$269,'FE Déplacements'!$G:$U,9,FALSE)</f>
        <v>8.4699999999999998E-2</v>
      </c>
      <c r="J273" s="218">
        <f>IFERROR(VLOOKUP($B273&amp;"; "&amp;$H$268&amp;" "&amp;J$269,'FE Déplacements'!$G:$U,9,FALSE),0)</f>
        <v>0</v>
      </c>
      <c r="K273" s="218">
        <f>IFERROR(VLOOKUP($B273&amp;"; "&amp;$H$268&amp;" "&amp;K$269,'FE Déplacements'!$G:$U,9,FALSE),0)</f>
        <v>3.6000000000000002E-4</v>
      </c>
      <c r="L273" s="356">
        <f t="shared" si="136"/>
        <v>0</v>
      </c>
      <c r="M273" s="356">
        <f t="shared" si="137"/>
        <v>0</v>
      </c>
      <c r="N273" s="151">
        <f t="shared" si="138"/>
        <v>0</v>
      </c>
      <c r="O273" s="151">
        <f t="shared" si="139"/>
        <v>0</v>
      </c>
      <c r="P273" s="165">
        <f>IF(OR(F273=Utilitaires!$I$572,F273=Utilitaires!$I$577),M273,0)</f>
        <v>0</v>
      </c>
      <c r="X273" s="226">
        <f>IF(AE273=0,0,AE273/D273)</f>
        <v>0</v>
      </c>
      <c r="Y273" s="1094"/>
      <c r="Z273" s="820"/>
      <c r="AA273" s="164">
        <f t="shared" si="140"/>
        <v>0</v>
      </c>
      <c r="AB273" s="164">
        <f t="shared" si="141"/>
        <v>0</v>
      </c>
      <c r="AC273" s="164">
        <f t="shared" si="142"/>
        <v>0</v>
      </c>
      <c r="AD273" s="164">
        <f>O273*BL273</f>
        <v>0</v>
      </c>
      <c r="AE273" s="152">
        <f t="shared" si="143"/>
        <v>0</v>
      </c>
      <c r="AF273" s="1286">
        <f t="shared" si="144"/>
        <v>0</v>
      </c>
      <c r="AH273" s="564">
        <f>IF(ISNA($G273*(VLOOKUP($B273&amp;"; "&amp;$H$268&amp;" "&amp;H$269,'FE Déplacements'!$G:$U,10,FALSE))),0,$G273*(VLOOKUP($B273&amp;"; "&amp;$H$268&amp;" "&amp;H$269,'FE Déplacements'!$G:$U,10,FALSE)))</f>
        <v>0</v>
      </c>
      <c r="AI273" s="565">
        <f>IF(ISNA($G273*(VLOOKUP($B273&amp;"; "&amp;$H$268&amp;" "&amp;I$269,'FE Déplacements'!$G:$U,10,FALSE))),0,$G273*(VLOOKUP($B273&amp;"; "&amp;$H$268&amp;" "&amp;I$269,'FE Déplacements'!$G:$U,10,FALSE)))</f>
        <v>0</v>
      </c>
      <c r="AJ273" s="565">
        <f>IF(ISNA($G273*(VLOOKUP($B273&amp;"; "&amp;$H$268&amp;" "&amp;J$269,'FE Déplacements'!$G:$U,10,FALSE))),0,$G273*(VLOOKUP($B273&amp;"; "&amp;$H$268&amp;" "&amp;J$269,'FE Déplacements'!$G:$U,10,FALSE)))</f>
        <v>0</v>
      </c>
      <c r="AK273" s="620">
        <f>IF(ISNA($G273*(VLOOKUP($B273&amp;"; "&amp;$H$268&amp;" "&amp;K$269,'FE Déplacements'!$G:$U,10,FALSE))),0,$G273*(VLOOKUP($B273&amp;"; "&amp;$H$268&amp;" "&amp;K$269,'FE Déplacements'!$G:$U,10,FALSE)))</f>
        <v>0</v>
      </c>
      <c r="AL273" s="620">
        <f>IF(ISNA($G273*(VLOOKUP($B273&amp;"; "&amp;$H$268&amp;" "&amp;H$269,'FE Déplacements'!$G:$U,12,FALSE)+VLOOKUP($B273&amp;"; "&amp;$H$268&amp;" "&amp;H$269,'FE Déplacements'!$G:$U,11,FALSE))),0,$G273*(VLOOKUP($B273&amp;"; "&amp;$H$268&amp;" "&amp;H$269,'FE Déplacements'!$G:$U,12,FALSE)+VLOOKUP($B273&amp;"; "&amp;$H$268&amp;" "&amp;H$269,'FE Déplacements'!$G:$U,11,FALSE)))</f>
        <v>0</v>
      </c>
      <c r="AM273" s="620">
        <f>IF(ISNA($G273*(VLOOKUP($B273&amp;"; "&amp;$H$268&amp;" "&amp;I$269,'FE Déplacements'!$G:$U,12,FALSE)+VLOOKUP($B273&amp;"; "&amp;$H$268&amp;" "&amp;I$269,'FE Déplacements'!$G:$U,11,FALSE))),0,$G273*(VLOOKUP($B273&amp;"; "&amp;$H$268&amp;" "&amp;I$269,'FE Déplacements'!$G:$U,12,FALSE)+VLOOKUP($B273&amp;"; "&amp;$H$268&amp;" "&amp;I$269,'FE Déplacements'!$G:$U,11,FALSE)))</f>
        <v>0</v>
      </c>
      <c r="AN273" s="620">
        <f>IF(ISNA($G273*(VLOOKUP($B273&amp;"; "&amp;$H$268&amp;" "&amp;J$269,'FE Déplacements'!$G:$U,12,FALSE)+VLOOKUP($B273&amp;"; "&amp;$H$268&amp;" "&amp;J$269,'FE Déplacements'!$G:$U,11,FALSE))),0,$G273*(VLOOKUP($B273&amp;"; "&amp;$H$268&amp;" "&amp;J$269,'FE Déplacements'!$G:$U,12,FALSE)+VLOOKUP($B273&amp;"; "&amp;$H$268&amp;" "&amp;J$269,'FE Déplacements'!$G:$U,11,FALSE)))</f>
        <v>0</v>
      </c>
      <c r="AO273" s="620">
        <f>IF(ISNA($G273*(VLOOKUP($B273&amp;"; "&amp;$H$268&amp;" "&amp;K$269,'FE Déplacements'!$G:$U,12,FALSE)+VLOOKUP($B273&amp;"; "&amp;$H$268&amp;" "&amp;K$269,'FE Déplacements'!$G:$U,11,FALSE))),0,$G273*(VLOOKUP($B273&amp;"; "&amp;$H$268&amp;" "&amp;K$269,'FE Déplacements'!$G:$U,12,FALSE)+VLOOKUP($B273&amp;"; "&amp;$H$268&amp;" "&amp;K$269,'FE Déplacements'!$G:$U,11,FALSE)))</f>
        <v>0</v>
      </c>
      <c r="AP273" s="620">
        <f>IF(ISNA($G273*(VLOOKUP($B273&amp;"; "&amp;$H$268&amp;" "&amp;H$269,'FE Déplacements'!$G:$U,13,FALSE))),0,$G273*(VLOOKUP($B273&amp;"; "&amp;$H$268&amp;" "&amp;H$269,'FE Déplacements'!$G:$U,13,FALSE)))</f>
        <v>0</v>
      </c>
      <c r="AQ273" s="620">
        <f>IF(ISNA($G273*(VLOOKUP($B273&amp;"; "&amp;$H$268&amp;" "&amp;I$269,'FE Déplacements'!$G:$U,13,FALSE))),0,$G273*(VLOOKUP($B273&amp;"; "&amp;$H$268&amp;" "&amp;I$269,'FE Déplacements'!$G:$U,13,FALSE)))</f>
        <v>0</v>
      </c>
      <c r="AR273" s="620">
        <f>IF(ISNA($G273*(VLOOKUP($B273&amp;"; "&amp;$H$268&amp;" "&amp;J$269,'FE Déplacements'!$G:$U,13,FALSE))),0,$G273*(VLOOKUP($B273&amp;"; "&amp;$H$268&amp;" "&amp;J$269,'FE Déplacements'!$G:$U,13,FALSE)))</f>
        <v>0</v>
      </c>
      <c r="AS273" s="620">
        <f>IF(ISNA($G273*(VLOOKUP($B273&amp;"; "&amp;$H$268&amp;" "&amp;K$269,'FE Déplacements'!$G:$U,13,FALSE))),0,$G273*(VLOOKUP($B273&amp;"; "&amp;$H$268&amp;" "&amp;K$269,'FE Déplacements'!$G:$U,13,FALSE)))</f>
        <v>0</v>
      </c>
      <c r="AT273" s="565">
        <f>IF(ISNA($G273*(VLOOKUP($B273&amp;"; "&amp;$H$268&amp;" "&amp;H$269,'FE Déplacements'!$G:$U,14,FALSE))),0,$G273*(VLOOKUP($B273&amp;"; "&amp;$H$268&amp;" "&amp;H$269,'FE Déplacements'!$G:$U,14,FALSE)))</f>
        <v>0</v>
      </c>
      <c r="AU273" s="565">
        <f>IF(ISNA($G273*(VLOOKUP($B273&amp;"; "&amp;$H$268&amp;" "&amp;I$269,'FE Déplacements'!$G:$U,14,FALSE))),0,$G273*(VLOOKUP($B273&amp;"; "&amp;$H$268&amp;" "&amp;I$269,'FE Déplacements'!$G:$U,14,FALSE)))</f>
        <v>0</v>
      </c>
      <c r="AV273" s="565">
        <f>IF(ISNA($G273*(VLOOKUP($B273&amp;"; "&amp;$H$268&amp;" "&amp;J$269,'FE Déplacements'!$G:$U,14,FALSE))),0,$G273*(VLOOKUP($B273&amp;"; "&amp;$H$268&amp;" "&amp;J$269,'FE Déplacements'!$G:$U,14,FALSE)))</f>
        <v>0</v>
      </c>
      <c r="AW273" s="565">
        <f>IF(ISNA($G273*(VLOOKUP($B273&amp;"; "&amp;$H$268&amp;" "&amp;K$269,'FE Déplacements'!$G:$U,14,FALSE))),0,$G273*(VLOOKUP($B273&amp;"; "&amp;$H$268&amp;" "&amp;K$269,'FE Déplacements'!$G:$U,14,FALSE)))</f>
        <v>0</v>
      </c>
      <c r="AX273" s="566">
        <f t="shared" si="145"/>
        <v>0</v>
      </c>
      <c r="AY273" s="566">
        <f t="shared" si="146"/>
        <v>0</v>
      </c>
      <c r="AZ273" s="566">
        <f t="shared" si="147"/>
        <v>0</v>
      </c>
      <c r="BA273" s="566">
        <f t="shared" si="148"/>
        <v>0</v>
      </c>
      <c r="BB273" s="564">
        <f>IF(ISNA($G273*(VLOOKUP($B273&amp;"; "&amp;$H$268&amp;", "&amp;H$269,'FE Energie'!$G:$U,15,FALSE))),0,$G273*(VLOOKUP($B273&amp;"; "&amp;$H$268&amp;", "&amp;H$269,'FE Energie'!$G:$U,15,FALSE)))</f>
        <v>0</v>
      </c>
      <c r="BC273" s="565">
        <f>IF(ISNA($G273*(VLOOKUP($B273&amp;"; "&amp;$H$268&amp;", "&amp;I$269,'FE Energie'!$G:$U,15,FALSE))),0,$G273*(VLOOKUP($B273&amp;"; "&amp;$H$268&amp;", "&amp;I$269,'FE Energie'!$G:$U,15,FALSE)))</f>
        <v>0</v>
      </c>
      <c r="BD273" s="565">
        <f>IF(ISNA($G273*(VLOOKUP($B273&amp;"; "&amp;$H$268&amp;", "&amp;J$269,'FE Energie'!$G:$U,15,FALSE))),0,$G273*(VLOOKUP($B273&amp;"; "&amp;$H$268&amp;", "&amp;J$269,'FE Energie'!$G:$U,15,FALSE)))</f>
        <v>0</v>
      </c>
      <c r="BE273" s="568">
        <f>IF(ISNA($G273*(VLOOKUP($B273&amp;"; "&amp;$H$268&amp;", "&amp;K$269,'FE Energie'!$G:$U,15,FALSE))),0,$G273*(VLOOKUP($B273&amp;"; "&amp;$H$268&amp;", "&amp;K$269,'FE Energie'!$G:$U,15,FALSE)))</f>
        <v>0</v>
      </c>
      <c r="BH273" s="1065">
        <f>IF($Y273&lt;&gt;"votre valeur :",IF(ISNA(VLOOKUP($Y273,Utilitaires!$N$566:$O$571,2,FALSE)),,VLOOKUP($Y273,Utilitaires!$N$566:$O$571,2,FALSE)),$Z273)</f>
        <v>0</v>
      </c>
      <c r="BI273" s="1130">
        <f>IF(ISNA(SQRT(SUMSQ(VLOOKUP($B273&amp;"; "&amp;$H$268&amp;" "&amp;$H$269,'FE Déplacements'!$G:$U,7,FALSE),$BH273))),0,SQRT(SUMSQ(VLOOKUP($B273&amp;"; "&amp;$H$268&amp;" "&amp;$H$269,'FE Déplacements'!$G:$U,7,FALSE),$BH273)))</f>
        <v>0.1</v>
      </c>
      <c r="BJ273" s="1130">
        <f>IF(ISNA(SQRT(SUMSQ(VLOOKUP($B273&amp;"; "&amp;$H$268&amp;" "&amp;$I$269,'FE Déplacements'!$G:$U,7,FALSE),$BH273))),0,SQRT(SUMSQ(VLOOKUP($B273&amp;"; "&amp;$H$268&amp;" "&amp;$I$269,'FE Déplacements'!$G:$U,7,FALSE),$BH273)))</f>
        <v>0.1</v>
      </c>
      <c r="BK273" s="1130">
        <f>IF(ISNA(SQRT(SUMSQ(VLOOKUP($B273&amp;"; "&amp;$H$268&amp;" "&amp;$J$269,'FE Déplacements'!$G:$U,7,FALSE),$BH273))),0,SQRT(SUMSQ(VLOOKUP($B273&amp;"; "&amp;$H$268&amp;" "&amp;$J$269,'FE Déplacements'!$G:$U,7,FALSE),$BH273)))</f>
        <v>0</v>
      </c>
      <c r="BL273" s="1130">
        <f>IF(ISNA(SQRT(SUMSQ(VLOOKUP($B273&amp;"; "&amp;$H$268&amp;" "&amp;$K$269,'FE Déplacements'!$G:$U,7,FALSE),$BH273))),0,SQRT(SUMSQ(VLOOKUP($B273&amp;"; "&amp;$H$268&amp;" "&amp;$K$269,'FE Déplacements'!$G:$U,7,FALSE),$BH273)))</f>
        <v>0.1</v>
      </c>
    </row>
    <row r="274" spans="2:64" ht="12.75" customHeight="1" outlineLevel="2">
      <c r="B274" s="143"/>
      <c r="C274" s="144"/>
      <c r="D274" s="213"/>
      <c r="E274" s="213"/>
      <c r="F274" s="144"/>
      <c r="G274" s="144"/>
      <c r="H274" s="144"/>
      <c r="I274" s="144"/>
      <c r="J274" s="144"/>
      <c r="K274" s="144"/>
      <c r="L274" s="144"/>
      <c r="M274" s="144"/>
      <c r="N274" s="144"/>
      <c r="O274" s="144"/>
      <c r="P274" s="145"/>
      <c r="X274" s="143"/>
      <c r="Y274" s="144"/>
      <c r="Z274" s="144"/>
      <c r="AA274" s="144"/>
      <c r="AB274" s="144"/>
      <c r="AC274" s="144"/>
      <c r="AD274" s="144"/>
      <c r="AE274" s="152"/>
      <c r="AF274" s="1776"/>
      <c r="AH274" s="564"/>
      <c r="AI274" s="565"/>
      <c r="AJ274" s="565"/>
      <c r="AK274" s="565"/>
      <c r="AL274" s="565"/>
      <c r="AM274" s="565"/>
      <c r="AN274" s="565"/>
      <c r="AO274" s="565"/>
      <c r="AP274" s="565"/>
      <c r="AQ274" s="565"/>
      <c r="AR274" s="565"/>
      <c r="AS274" s="565"/>
      <c r="AT274" s="565"/>
      <c r="AU274" s="565"/>
      <c r="AV274" s="565"/>
      <c r="AW274" s="565"/>
      <c r="AX274" s="566"/>
      <c r="AY274" s="566"/>
      <c r="AZ274" s="566"/>
      <c r="BA274" s="566"/>
      <c r="BB274" s="569"/>
      <c r="BC274" s="625"/>
      <c r="BD274" s="565"/>
      <c r="BE274" s="568"/>
      <c r="BH274" s="1087"/>
      <c r="BI274" s="1153"/>
      <c r="BJ274" s="1153"/>
      <c r="BK274" s="1153"/>
      <c r="BL274" s="1153"/>
    </row>
    <row r="275" spans="2:64" outlineLevel="2">
      <c r="B275" s="196" t="s">
        <v>348</v>
      </c>
      <c r="C275" s="197"/>
      <c r="D275" s="214">
        <f>SUM(D270:D274)</f>
        <v>0</v>
      </c>
      <c r="E275" s="214"/>
      <c r="F275" s="197"/>
      <c r="G275" s="197"/>
      <c r="H275" s="197"/>
      <c r="I275" s="197"/>
      <c r="J275" s="197"/>
      <c r="K275" s="197"/>
      <c r="L275" s="202">
        <f>SUM(L270:L274)</f>
        <v>0</v>
      </c>
      <c r="M275" s="202">
        <f>SUM(M270:M274)</f>
        <v>0</v>
      </c>
      <c r="N275" s="202">
        <f>SUM(N270:N274)</f>
        <v>0</v>
      </c>
      <c r="O275" s="202">
        <f>SUM(O270:O274)</f>
        <v>0</v>
      </c>
      <c r="P275" s="340">
        <f>SUM(P270:P274)</f>
        <v>0</v>
      </c>
      <c r="X275" s="1204">
        <f>IF(AE275=0,0,AE275/D275)</f>
        <v>0</v>
      </c>
      <c r="Y275" s="199"/>
      <c r="Z275" s="199"/>
      <c r="AA275" s="203">
        <f t="shared" ref="AA275:AF275" si="149">SQRT(SUMSQ(AA270:AA274))</f>
        <v>0</v>
      </c>
      <c r="AB275" s="203">
        <f t="shared" si="149"/>
        <v>0</v>
      </c>
      <c r="AC275" s="203">
        <f t="shared" si="149"/>
        <v>0</v>
      </c>
      <c r="AD275" s="203">
        <f t="shared" si="149"/>
        <v>0</v>
      </c>
      <c r="AE275" s="200">
        <f t="shared" si="149"/>
        <v>0</v>
      </c>
      <c r="AF275" s="340">
        <f t="shared" si="149"/>
        <v>0</v>
      </c>
      <c r="AH275" s="571">
        <f t="shared" ref="AH275:AN275" si="150">SUM(AH270:AH274)</f>
        <v>0</v>
      </c>
      <c r="AI275" s="572">
        <f t="shared" si="150"/>
        <v>0</v>
      </c>
      <c r="AJ275" s="572">
        <f t="shared" si="150"/>
        <v>0</v>
      </c>
      <c r="AK275" s="572">
        <f t="shared" si="150"/>
        <v>0</v>
      </c>
      <c r="AL275" s="572">
        <f t="shared" si="150"/>
        <v>0</v>
      </c>
      <c r="AM275" s="572">
        <f t="shared" si="150"/>
        <v>0</v>
      </c>
      <c r="AN275" s="572">
        <f t="shared" si="150"/>
        <v>0</v>
      </c>
      <c r="AO275" s="572">
        <f t="shared" ref="AO275" si="151">SUM(AO270:AO274)</f>
        <v>0</v>
      </c>
      <c r="AP275" s="572">
        <f>SUM(AP270:AP274)</f>
        <v>0</v>
      </c>
      <c r="AQ275" s="572">
        <f>SUM(AQ270:AQ274)</f>
        <v>0</v>
      </c>
      <c r="AR275" s="572">
        <f>SUM(AR270:AR274)</f>
        <v>0</v>
      </c>
      <c r="AS275" s="572">
        <f t="shared" ref="AS275" si="152">SUM(AS270:AS274)</f>
        <v>0</v>
      </c>
      <c r="AT275" s="572">
        <f>SUM(AT270:AT274)</f>
        <v>0</v>
      </c>
      <c r="AU275" s="572">
        <f>SUM(AU270:AU274)</f>
        <v>0</v>
      </c>
      <c r="AV275" s="572">
        <f>SUM(AV270:AV274)</f>
        <v>0</v>
      </c>
      <c r="AW275" s="572">
        <f t="shared" ref="AW275" si="153">SUM(AW270:AW274)</f>
        <v>0</v>
      </c>
      <c r="AX275" s="573">
        <f>SUM(AX270:AX274)</f>
        <v>0</v>
      </c>
      <c r="AY275" s="573">
        <f>SUM(AY270:AY274)</f>
        <v>0</v>
      </c>
      <c r="AZ275" s="573">
        <f>SUM(AZ270:AZ274)</f>
        <v>0</v>
      </c>
      <c r="BA275" s="573">
        <f t="shared" ref="BA275" si="154">SUM(BA270:BA274)</f>
        <v>0</v>
      </c>
      <c r="BB275" s="572">
        <f>SUM(BB270:BB274)</f>
        <v>0</v>
      </c>
      <c r="BC275" s="572">
        <f>SUM(BC270:BC274)</f>
        <v>0</v>
      </c>
      <c r="BD275" s="572">
        <f>SUM(BD270:BD274)</f>
        <v>0</v>
      </c>
      <c r="BE275" s="575">
        <f>SUM(BE270:BE274)</f>
        <v>0</v>
      </c>
    </row>
    <row r="276" spans="2:64" ht="15" outlineLevel="2">
      <c r="AJ276" s="593"/>
      <c r="AK276" s="593"/>
      <c r="AL276" s="593"/>
      <c r="AM276" s="593"/>
      <c r="AN276" s="593"/>
      <c r="AO276" s="593"/>
    </row>
    <row r="277" spans="2:64" ht="12.75" customHeight="1" outlineLevel="2">
      <c r="B277" s="139" t="s">
        <v>883</v>
      </c>
      <c r="C277" s="140"/>
      <c r="D277" s="377"/>
      <c r="E277" s="1648"/>
      <c r="F277" s="140"/>
      <c r="G277" s="141"/>
      <c r="H277" s="141"/>
      <c r="I277" s="141"/>
      <c r="J277" s="408"/>
      <c r="K277" s="407"/>
      <c r="L277" s="407"/>
      <c r="M277" s="407"/>
      <c r="N277" s="160"/>
      <c r="O277" s="160"/>
      <c r="P277" s="160"/>
      <c r="Q277" s="2528"/>
      <c r="R277" s="161"/>
      <c r="X277" s="2523" t="s">
        <v>366</v>
      </c>
      <c r="Y277" s="2524"/>
      <c r="Z277" s="2524"/>
      <c r="AA277" s="2524"/>
      <c r="AB277" s="2524"/>
      <c r="AC277" s="2524"/>
      <c r="AD277" s="2524"/>
      <c r="AE277" s="2525"/>
      <c r="AH277" s="2639" t="s">
        <v>441</v>
      </c>
      <c r="AI277" s="2640"/>
      <c r="AJ277" s="2640"/>
      <c r="AK277" s="2640"/>
      <c r="AL277" s="2640"/>
      <c r="AM277" s="2640"/>
      <c r="AN277" s="2640"/>
      <c r="AO277" s="2640"/>
      <c r="AP277" s="2640"/>
      <c r="AQ277" s="2640"/>
      <c r="AR277" s="2640"/>
      <c r="AS277" s="2640"/>
      <c r="AT277" s="2640"/>
      <c r="AU277" s="2640"/>
      <c r="AV277" s="2640"/>
      <c r="AW277" s="2640"/>
      <c r="AX277" s="2640"/>
      <c r="AY277" s="2640"/>
      <c r="AZ277" s="2640"/>
      <c r="BA277" s="2640"/>
      <c r="BB277" s="2640"/>
      <c r="BC277" s="2640"/>
      <c r="BD277" s="2640"/>
      <c r="BE277" s="2641"/>
    </row>
    <row r="278" spans="2:64" ht="12.75" customHeight="1" outlineLevel="2">
      <c r="B278" s="332"/>
      <c r="C278" s="167"/>
      <c r="D278" s="378" t="s">
        <v>308</v>
      </c>
      <c r="E278" s="1663"/>
      <c r="F278" s="400"/>
      <c r="G278" s="144"/>
      <c r="H278" s="144"/>
      <c r="I278" s="144"/>
      <c r="J278" s="404"/>
      <c r="K278" s="400"/>
      <c r="L278" s="400"/>
      <c r="M278" s="400"/>
      <c r="N278" s="378"/>
      <c r="O278" s="378"/>
      <c r="P278" s="378"/>
      <c r="Q278" s="2529"/>
      <c r="R278" s="383" t="s">
        <v>275</v>
      </c>
      <c r="X278" s="1655"/>
      <c r="Y278" s="819"/>
      <c r="Z278" s="819"/>
      <c r="AA278" s="1663"/>
      <c r="AB278" s="1663"/>
      <c r="AC278" s="1663"/>
      <c r="AD278" s="2529"/>
      <c r="AE278" s="1665"/>
      <c r="AF278" s="1660" t="s">
        <v>275</v>
      </c>
      <c r="AH278" s="2642" t="s">
        <v>444</v>
      </c>
      <c r="AI278" s="2643"/>
      <c r="AJ278" s="2643"/>
      <c r="AK278" s="2643"/>
      <c r="AL278" s="2643"/>
      <c r="AM278" s="2643"/>
      <c r="AN278" s="2643"/>
      <c r="AO278" s="2643"/>
      <c r="AP278" s="2643"/>
      <c r="AQ278" s="2643"/>
      <c r="AR278" s="2643"/>
      <c r="AS278" s="2643"/>
      <c r="AT278" s="2643"/>
      <c r="AU278" s="2643"/>
      <c r="AV278" s="2643"/>
      <c r="AW278" s="2643"/>
      <c r="AX278" s="2643" t="s">
        <v>444</v>
      </c>
      <c r="AY278" s="2643"/>
      <c r="AZ278" s="2643"/>
      <c r="BA278" s="2644"/>
      <c r="BB278" s="577"/>
      <c r="BC278" s="624"/>
      <c r="BD278" s="624"/>
      <c r="BE278" s="578"/>
      <c r="BH278" s="2616" t="s">
        <v>1648</v>
      </c>
      <c r="BI278" s="2617"/>
      <c r="BJ278" s="2617"/>
      <c r="BK278" s="2617"/>
      <c r="BL278" s="2618"/>
    </row>
    <row r="279" spans="2:64" ht="12.75" customHeight="1" outlineLevel="2">
      <c r="B279" s="382"/>
      <c r="C279" s="379"/>
      <c r="D279" s="379" t="s">
        <v>409</v>
      </c>
      <c r="E279" s="1656"/>
      <c r="F279" s="147" t="s">
        <v>452</v>
      </c>
      <c r="G279" s="147" t="s">
        <v>314</v>
      </c>
      <c r="H279" s="379" t="s">
        <v>113</v>
      </c>
      <c r="I279" s="1244" t="s">
        <v>242</v>
      </c>
      <c r="J279" s="2628" t="s">
        <v>4059</v>
      </c>
      <c r="K279" s="2628"/>
      <c r="L279" s="2628"/>
      <c r="M279" s="2628"/>
      <c r="N279" s="378" t="s">
        <v>444</v>
      </c>
      <c r="O279" s="378" t="s">
        <v>444</v>
      </c>
      <c r="P279" s="378" t="s">
        <v>444</v>
      </c>
      <c r="Q279" s="2529" t="s">
        <v>444</v>
      </c>
      <c r="R279" s="383" t="s">
        <v>276</v>
      </c>
      <c r="X279" s="1655" t="s">
        <v>316</v>
      </c>
      <c r="Y279" s="2629" t="s">
        <v>316</v>
      </c>
      <c r="Z279" s="2630"/>
      <c r="AA279" s="1656" t="s">
        <v>444</v>
      </c>
      <c r="AB279" s="1656" t="s">
        <v>444</v>
      </c>
      <c r="AC279" s="1656" t="s">
        <v>444</v>
      </c>
      <c r="AD279" s="2526" t="s">
        <v>444</v>
      </c>
      <c r="AE279" s="1665" t="s">
        <v>444</v>
      </c>
      <c r="AF279" s="153" t="s">
        <v>276</v>
      </c>
      <c r="AH279" s="2631" t="s">
        <v>211</v>
      </c>
      <c r="AI279" s="2632"/>
      <c r="AJ279" s="2632"/>
      <c r="AK279" s="2632"/>
      <c r="AL279" s="2632" t="s">
        <v>442</v>
      </c>
      <c r="AM279" s="2632"/>
      <c r="AN279" s="2632"/>
      <c r="AO279" s="2632"/>
      <c r="AP279" s="2632" t="s">
        <v>267</v>
      </c>
      <c r="AQ279" s="2632"/>
      <c r="AR279" s="2632"/>
      <c r="AS279" s="2632"/>
      <c r="AT279" s="2632" t="s">
        <v>443</v>
      </c>
      <c r="AU279" s="2632"/>
      <c r="AV279" s="2632"/>
      <c r="AW279" s="2632"/>
      <c r="AX279" s="2648" t="s">
        <v>327</v>
      </c>
      <c r="AY279" s="2648"/>
      <c r="AZ279" s="2648"/>
      <c r="BA279" s="2649"/>
      <c r="BB279" s="2631" t="s">
        <v>636</v>
      </c>
      <c r="BC279" s="2632"/>
      <c r="BD279" s="2632"/>
      <c r="BE279" s="2650"/>
      <c r="BH279" s="2811" t="s">
        <v>1646</v>
      </c>
      <c r="BI279" s="1260" t="s">
        <v>1570</v>
      </c>
      <c r="BJ279" s="1260" t="s">
        <v>1569</v>
      </c>
      <c r="BK279" s="2811" t="s">
        <v>1764</v>
      </c>
      <c r="BL279" s="2811" t="s">
        <v>332</v>
      </c>
    </row>
    <row r="280" spans="2:64" ht="27.75" customHeight="1" outlineLevel="2">
      <c r="B280" s="382"/>
      <c r="C280" s="379"/>
      <c r="D280" s="379" t="s">
        <v>444</v>
      </c>
      <c r="E280" s="1656"/>
      <c r="F280" s="149" t="s">
        <v>445</v>
      </c>
      <c r="G280" s="149" t="s">
        <v>416</v>
      </c>
      <c r="H280" s="379" t="s">
        <v>144</v>
      </c>
      <c r="I280" s="379" t="s">
        <v>5</v>
      </c>
      <c r="J280" s="381" t="s">
        <v>411</v>
      </c>
      <c r="K280" s="381" t="s">
        <v>257</v>
      </c>
      <c r="L280" s="2462" t="s">
        <v>5079</v>
      </c>
      <c r="M280" s="1265" t="s">
        <v>422</v>
      </c>
      <c r="N280" s="380" t="s">
        <v>411</v>
      </c>
      <c r="O280" s="380" t="s">
        <v>257</v>
      </c>
      <c r="P280" s="2463" t="s">
        <v>437</v>
      </c>
      <c r="Q280" s="2527" t="s">
        <v>422</v>
      </c>
      <c r="R280" s="383" t="s">
        <v>444</v>
      </c>
      <c r="X280" s="1655" t="s">
        <v>1649</v>
      </c>
      <c r="Y280" s="2646" t="s">
        <v>1650</v>
      </c>
      <c r="Z280" s="2647"/>
      <c r="AA280" s="1662" t="s">
        <v>411</v>
      </c>
      <c r="AB280" s="1662" t="s">
        <v>257</v>
      </c>
      <c r="AC280" s="1662" t="s">
        <v>437</v>
      </c>
      <c r="AD280" s="1662" t="s">
        <v>422</v>
      </c>
      <c r="AE280" s="1665" t="s">
        <v>327</v>
      </c>
      <c r="AF280" s="153" t="s">
        <v>444</v>
      </c>
      <c r="AH280" s="579" t="s">
        <v>411</v>
      </c>
      <c r="AI280" s="580" t="s">
        <v>257</v>
      </c>
      <c r="AJ280" s="580" t="s">
        <v>437</v>
      </c>
      <c r="AK280" s="580" t="s">
        <v>422</v>
      </c>
      <c r="AL280" s="2286" t="s">
        <v>411</v>
      </c>
      <c r="AM280" s="580" t="s">
        <v>257</v>
      </c>
      <c r="AN280" s="580" t="s">
        <v>437</v>
      </c>
      <c r="AO280" s="2286" t="s">
        <v>422</v>
      </c>
      <c r="AP280" s="580" t="s">
        <v>411</v>
      </c>
      <c r="AQ280" s="580" t="s">
        <v>257</v>
      </c>
      <c r="AR280" s="2464" t="s">
        <v>437</v>
      </c>
      <c r="AS280" s="2286" t="s">
        <v>422</v>
      </c>
      <c r="AT280" s="580" t="s">
        <v>411</v>
      </c>
      <c r="AU280" s="580" t="s">
        <v>257</v>
      </c>
      <c r="AV280" s="2464" t="s">
        <v>437</v>
      </c>
      <c r="AW280" s="2286" t="s">
        <v>422</v>
      </c>
      <c r="AX280" s="581" t="s">
        <v>411</v>
      </c>
      <c r="AY280" s="581" t="s">
        <v>257</v>
      </c>
      <c r="AZ280" s="581" t="s">
        <v>437</v>
      </c>
      <c r="BA280" s="581" t="s">
        <v>422</v>
      </c>
      <c r="BB280" s="579" t="s">
        <v>411</v>
      </c>
      <c r="BC280" s="580" t="s">
        <v>257</v>
      </c>
      <c r="BD280" s="2286" t="s">
        <v>437</v>
      </c>
      <c r="BE280" s="2287" t="s">
        <v>422</v>
      </c>
      <c r="BH280" s="2812"/>
      <c r="BI280" s="1261"/>
      <c r="BJ280" s="1261"/>
      <c r="BK280" s="2812"/>
      <c r="BL280" s="2812"/>
    </row>
    <row r="281" spans="2:64" outlineLevel="2">
      <c r="B281" s="143" t="s">
        <v>5230</v>
      </c>
      <c r="C281" s="144"/>
      <c r="D281" s="212">
        <f>SUM(N281:Q281)</f>
        <v>2644.98</v>
      </c>
      <c r="E281" s="212"/>
      <c r="F281" s="409" t="s">
        <v>528</v>
      </c>
      <c r="G281" s="409">
        <v>24</v>
      </c>
      <c r="H281" s="219">
        <f>VLOOKUP($B281,'FE Déplacements'!$F$414:$W$551,17,FALSE)</f>
        <v>250</v>
      </c>
      <c r="I281" s="164">
        <f>G281*H281</f>
        <v>6000</v>
      </c>
      <c r="J281" s="218">
        <f>VLOOKUP($B281&amp;"; "&amp;$J$279&amp;" "&amp;J$280,'FE Déplacements'!$G:$U,9,FALSE)</f>
        <v>4.1399999999999999E-2</v>
      </c>
      <c r="K281" s="218">
        <f>VLOOKUP($B281&amp;"; "&amp;$J$279&amp;" "&amp;K$280,'FE Déplacements'!$G:$U,9,FALSE)</f>
        <v>0.19900000000000001</v>
      </c>
      <c r="L281" s="218">
        <f>IFERROR(VLOOKUP($B281&amp;"; "&amp;$J$279&amp;" "&amp;L$280,'FE Déplacements'!$G:$U,9,FALSE),0)</f>
        <v>0.2</v>
      </c>
      <c r="M281" s="218">
        <f>IFERROR(VLOOKUP($B281&amp;"; "&amp;$J$279&amp;" "&amp;M$280,'FE Déplacements'!$G:$U,9,FALSE),0)</f>
        <v>4.2999999999999999E-4</v>
      </c>
      <c r="N281" s="356">
        <f>I281*J281</f>
        <v>248.4</v>
      </c>
      <c r="O281" s="356">
        <f>I281*K281</f>
        <v>1194</v>
      </c>
      <c r="P281" s="151">
        <f>I281*L281</f>
        <v>1200</v>
      </c>
      <c r="Q281" s="151">
        <f>I281*M281</f>
        <v>2.58</v>
      </c>
      <c r="R281" s="165">
        <f>IF(OR(F281=Utilitaires!$I$572,F281=Utilitaires!$I$577),O281,0)</f>
        <v>0</v>
      </c>
      <c r="X281" s="226">
        <f>IF(D281=0,0,AE281/D281)</f>
        <v>0.45280646409005093</v>
      </c>
      <c r="Y281" s="343"/>
      <c r="Z281" s="820"/>
      <c r="AA281" s="164">
        <f t="shared" ref="AA281:AC284" si="155">N281*BI281</f>
        <v>173.88</v>
      </c>
      <c r="AB281" s="164">
        <f t="shared" si="155"/>
        <v>835.8</v>
      </c>
      <c r="AC281" s="164">
        <f t="shared" si="155"/>
        <v>840</v>
      </c>
      <c r="AD281" s="164">
        <f>Q281*BL281</f>
        <v>1.8059999999999998</v>
      </c>
      <c r="AE281" s="152">
        <f>SQRT(SUMSQ(AA281:AD281))</f>
        <v>1197.6640413889029</v>
      </c>
      <c r="AF281" s="1286">
        <f>R281*X281</f>
        <v>0</v>
      </c>
      <c r="AH281" s="564">
        <f>$I281*IF(ISNA(VLOOKUP($B281&amp;"; "&amp;$J$279&amp;" "&amp;J$280,'FE Déplacements'!$G:$U,10,FALSE)),0,VLOOKUP($B281&amp;"; "&amp;$J$279&amp;" "&amp;J$280,'FE Déplacements'!$G:$U,10,FALSE))</f>
        <v>225.60000000000002</v>
      </c>
      <c r="AI281" s="565">
        <f>$I281*IF(ISNA(VLOOKUP($B281&amp;"; "&amp;$J$279&amp;" "&amp;K$280,'FE Déplacements'!$G:$U,10,FALSE)),0,VLOOKUP($B281&amp;"; "&amp;$J$279&amp;" "&amp;K$280,'FE Déplacements'!$G:$U,10,FALSE))</f>
        <v>1188</v>
      </c>
      <c r="AJ281" s="565">
        <f>$I281*IF(ISNA(VLOOKUP($B281&amp;"; "&amp;$J$279&amp;" "&amp;L$280,'FE Déplacements'!$G:$U,10,FALSE)),0,VLOOKUP($B281&amp;"; "&amp;$J$279&amp;" "&amp;L$280,'FE Déplacements'!$G:$U,10,FALSE))</f>
        <v>0</v>
      </c>
      <c r="AK281" s="565">
        <f>$I281*IF(ISNA(VLOOKUP($B281&amp;"; "&amp;$J$279&amp;" "&amp;M$280,'FE Déplacements'!$G:$U,10,FALSE)),0,VLOOKUP($B281&amp;"; "&amp;$J$279&amp;" "&amp;M$280,'FE Déplacements'!$G:$U,10,FALSE))</f>
        <v>2.58</v>
      </c>
      <c r="AL281" s="565">
        <f>$I281*IF(ISNA((VLOOKUP($B281&amp;"; "&amp;$J$279&amp;" "&amp;J$280,'FE Déplacements'!$G:$U,12,FALSE)+VLOOKUP($B281&amp;"; "&amp;$J$279&amp;" "&amp;J$280,'FE Déplacements'!$G:$U,11,FALSE))),0,(VLOOKUP($B281&amp;"; "&amp;$J$279&amp;" "&amp;J$280,'FE Déplacements'!$G:$U,12,FALSE)+VLOOKUP($B281&amp;"; "&amp;$J$279&amp;" "&amp;J$280,'FE Déplacements'!$G:$U,11,FALSE)))</f>
        <v>11.28</v>
      </c>
      <c r="AM281" s="565">
        <f>$I281*IF(ISNA((VLOOKUP($B281&amp;"; "&amp;$J$279&amp;" "&amp;K$280,'FE Déplacements'!$G:$U,12,FALSE)+VLOOKUP($B281&amp;"; "&amp;$J$279&amp;" "&amp;K$280,'FE Déplacements'!$G:$U,11,FALSE))),0,(VLOOKUP($B281&amp;"; "&amp;$J$279&amp;" "&amp;K$280,'FE Déplacements'!$G:$U,12,FALSE)+VLOOKUP($B281&amp;"; "&amp;$J$279&amp;" "&amp;K$280,'FE Déplacements'!$G:$U,11,FALSE)))</f>
        <v>0.18</v>
      </c>
      <c r="AN281" s="565">
        <f>$I281*IF(ISNA((VLOOKUP($B281&amp;"; "&amp;$J$279&amp;" "&amp;L$280,'FE Déplacements'!$G:$U,12,FALSE)+VLOOKUP($B281&amp;"; "&amp;$J$279&amp;" "&amp;L$280,'FE Déplacements'!$G:$U,11,FALSE))),0,(VLOOKUP($B281&amp;"; "&amp;$J$279&amp;" "&amp;L$280,'FE Déplacements'!$G:$U,12,FALSE)+VLOOKUP($B281&amp;"; "&amp;$J$279&amp;" "&amp;L$280,'FE Déplacements'!$G:$U,11,FALSE)))</f>
        <v>0</v>
      </c>
      <c r="AO281" s="565">
        <f>$I281*IF(ISNA((VLOOKUP($B281&amp;"; "&amp;$J$279&amp;" "&amp;M$280,'FE Déplacements'!$G:$U,12,FALSE)+VLOOKUP($B281&amp;"; "&amp;$J$279&amp;" "&amp;M$280,'FE Déplacements'!$G:$U,11,FALSE))),0,(VLOOKUP($B281&amp;"; "&amp;$J$279&amp;" "&amp;M$280,'FE Déplacements'!$G:$U,12,FALSE)+VLOOKUP($B281&amp;"; "&amp;$J$279&amp;" "&amp;M$280,'FE Déplacements'!$G:$U,11,FALSE)))</f>
        <v>0</v>
      </c>
      <c r="AP281" s="565">
        <f>$I281*IF(ISNA(VLOOKUP($B281&amp;"; "&amp;$J$279&amp;" "&amp;J$280,'FE Déplacements'!$G:$U,13,FALSE)),0,VLOOKUP($B281&amp;"; "&amp;$J$279&amp;" "&amp;J$280,'FE Déplacements'!$G:$U,13,FALSE))</f>
        <v>11.28</v>
      </c>
      <c r="AQ281" s="565">
        <f>$I281*IF(ISNA(VLOOKUP($B281&amp;"; "&amp;$J$279&amp;" "&amp;K$280,'FE Déplacements'!$G:$U,13,FALSE)),0,VLOOKUP($B281&amp;"; "&amp;$J$279&amp;" "&amp;K$280,'FE Déplacements'!$G:$U,13,FALSE))</f>
        <v>8.76</v>
      </c>
      <c r="AR281" s="565">
        <f>$I281*IF(ISNA(VLOOKUP($B281&amp;"; "&amp;$J$279&amp;" "&amp;L$280,'FE Déplacements'!$G:$U,13,FALSE)),0,VLOOKUP($B281&amp;"; "&amp;$J$279&amp;" "&amp;L$280,'FE Déplacements'!$G:$U,13,FALSE))</f>
        <v>0</v>
      </c>
      <c r="AS281" s="565">
        <f>$I281*IF(ISNA(VLOOKUP($B281&amp;"; "&amp;$J$279&amp;" "&amp;M$280,'FE Déplacements'!$G:$U,13,FALSE)),0,VLOOKUP($B281&amp;"; "&amp;$J$279&amp;" "&amp;M$280,'FE Déplacements'!$G:$U,13,FALSE))</f>
        <v>0</v>
      </c>
      <c r="AT281" s="565">
        <f>$G281*IF(ISNA(VLOOKUP($B281&amp;"; "&amp;$J$279&amp;" "&amp;J$280,'FE Déplacements'!$G:$U,14,FALSE)),0,VLOOKUP($B281&amp;"; "&amp;$J$279&amp;" "&amp;J$280,'FE Déplacements'!$G:$U,14,FALSE))</f>
        <v>0</v>
      </c>
      <c r="AU281" s="565">
        <f>$G281*IF(ISNA(VLOOKUP($B281&amp;"; "&amp;$J$279&amp;" "&amp;K$280,'FE Déplacements'!$G:$U,14,FALSE)),0,VLOOKUP($B281&amp;"; "&amp;$J$279&amp;" "&amp;K$280,'FE Déplacements'!$G:$U,14,FALSE))</f>
        <v>0</v>
      </c>
      <c r="AV281" s="565">
        <f>$I281*IF(ISNA(VLOOKUP($B281&amp;"; "&amp;$J$279&amp;" "&amp;L$280,'FE Déplacements'!$G:$U,9,FALSE)),0,VLOOKUP($B281&amp;"; "&amp;$J$279&amp;" "&amp;L$280,'FE Déplacements'!$G:$U,9,FALSE))</f>
        <v>1200</v>
      </c>
      <c r="AW281" s="565">
        <f>$I281*IF(ISNA(VLOOKUP($B281&amp;"; "&amp;$J$279&amp;" "&amp;Q$280,'FE Déplacements'!$G:$U,9,FALSE)),0,VLOOKUP($B281&amp;"; "&amp;$J$279&amp;" "&amp;Q$280,'FE Déplacements'!$G:$U,9,FALSE))</f>
        <v>2.58</v>
      </c>
      <c r="AX281" s="566">
        <f>SUM(AH281,AL281,AP281,AT281)</f>
        <v>248.16000000000003</v>
      </c>
      <c r="AY281" s="566">
        <f t="shared" ref="AY281:AZ281" si="156">SUM(AI281,AM281,AQ281,AU281)</f>
        <v>1196.94</v>
      </c>
      <c r="AZ281" s="566">
        <f t="shared" si="156"/>
        <v>1200</v>
      </c>
      <c r="BA281" s="566">
        <f>SUM(AK281,AO281,AS281,AW281)</f>
        <v>5.16</v>
      </c>
      <c r="BB281" s="564">
        <f>$I281*IF(ISNA(VLOOKUP($B281&amp;"; "&amp;$J$279&amp;" "&amp;J$280,'FE Déplacements'!$G:$U,15,FALSE)),0,VLOOKUP($B281&amp;"; "&amp;$J$279&amp;" "&amp;J$280,'FE Déplacements'!$G:$U,15,FALSE))</f>
        <v>0</v>
      </c>
      <c r="BC281" s="565">
        <f>$I281*IF(ISNA(VLOOKUP($B281&amp;"; "&amp;$J$279&amp;" "&amp;K$280,'FE Déplacements'!$G:$U,15,FALSE)),0,VLOOKUP($B281&amp;"; "&amp;$J$279&amp;" "&amp;K$280,'FE Déplacements'!$G:$U,15,FALSE))</f>
        <v>0</v>
      </c>
      <c r="BD281" s="565">
        <f>$I281*IF(ISNA(VLOOKUP($B281&amp;"; "&amp;$J$279&amp;" "&amp;L$280,'FE Déplacements'!$G:$U,15,FALSE)),0,VLOOKUP($B281&amp;"; "&amp;$J$279&amp;" "&amp;L$280,'FE Déplacements'!$G:$U,15,FALSE))</f>
        <v>0</v>
      </c>
      <c r="BE281" s="568">
        <f>$I281*IF(ISNA(VLOOKUP($B281&amp;"; "&amp;$J$279&amp;" "&amp;M$280,'FE Déplacements'!$G:$U,15,FALSE)),0,VLOOKUP($B281&amp;"; "&amp;$J$279&amp;" "&amp;M$280,'FE Déplacements'!$G:$U,15,FALSE))</f>
        <v>0</v>
      </c>
      <c r="BH281" s="1065">
        <f>IF($Y281&lt;&gt;"votre valeur :",IF(ISNA(VLOOKUP($Y281,Utilitaires!$N$566:$O$571,2,FALSE)),,VLOOKUP($Y281,Utilitaires!$N$566:$O$571,2,FALSE)),$Z281)</f>
        <v>0</v>
      </c>
      <c r="BI281" s="1130">
        <f>IF(ISNA(SQRT(SUMSQ(VLOOKUP($B281&amp;"; "&amp;$J$279&amp;" "&amp;$J$280,'FE Déplacements'!$G:$U,7,FALSE),$BH281))),0,SQRT(SUMSQ(VLOOKUP($B281&amp;"; "&amp;$J$279&amp;" "&amp;$J$280,'FE Déplacements'!$G:$U,7,FALSE),$BH281)))</f>
        <v>0.7</v>
      </c>
      <c r="BJ281" s="1130">
        <f>IF(ISNA(SQRT(SUMSQ(VLOOKUP($B281&amp;"; "&amp;$J$279&amp;" "&amp;$K$280,'FE Déplacements'!$G:$U,7,FALSE),$BH281))),0,SQRT(SUMSQ(VLOOKUP($B281&amp;"; "&amp;$J$279&amp;" "&amp;$K$280,'FE Déplacements'!$G:$U,7,FALSE),$BH281)))</f>
        <v>0.7</v>
      </c>
      <c r="BK281" s="1130">
        <f>IF(ISNA(SQRT(SUMSQ(VLOOKUP($B281&amp;"; "&amp;$J$279&amp;" "&amp;$L$280,'FE Déplacements'!$G:$U,7,FALSE),$BH281))),0,SQRT(SUMSQ(VLOOKUP($B281&amp;"; "&amp;$J$279&amp;" "&amp;$L$280,'FE Déplacements'!$G:$U,7,FALSE),$BH281)))</f>
        <v>0.7</v>
      </c>
      <c r="BL281" s="1130">
        <f>IF(ISNA(SQRT(SUMSQ(VLOOKUP($B281&amp;"; "&amp;$J$279&amp;" "&amp;$M$280,'FE Déplacements'!$G:$U,7,FALSE),$BH281))),0,SQRT(SUMSQ(VLOOKUP($B281&amp;"; "&amp;$J$279&amp;" "&amp;$M$280,'FE Déplacements'!$G:$U,7,FALSE),$BH281)))</f>
        <v>0.7</v>
      </c>
    </row>
    <row r="282" spans="2:64" outlineLevel="2">
      <c r="B282" s="143" t="s">
        <v>4800</v>
      </c>
      <c r="C282" s="144"/>
      <c r="D282" s="212">
        <f t="shared" ref="D282:D284" si="157">SUM(N282:Q282)</f>
        <v>0</v>
      </c>
      <c r="E282" s="212"/>
      <c r="F282" s="346"/>
      <c r="G282" s="346"/>
      <c r="H282" s="219">
        <f>VLOOKUP($B282,'FE Déplacements'!$F$414:$W$551,17,FALSE)</f>
        <v>2250</v>
      </c>
      <c r="I282" s="164">
        <f>G282*H282</f>
        <v>0</v>
      </c>
      <c r="J282" s="218">
        <f>VLOOKUP($B282&amp;"; "&amp;$J$279&amp;" "&amp;J$280,'FE Déplacements'!$G:$U,9,FALSE)</f>
        <v>2.5000000000000001E-2</v>
      </c>
      <c r="K282" s="218">
        <f>VLOOKUP($B282&amp;"; "&amp;$J$279&amp;" "&amp;K$280,'FE Déplacements'!$G:$U,9,FALSE)</f>
        <v>0.12</v>
      </c>
      <c r="L282" s="218">
        <f>IFERROR(VLOOKUP($B282&amp;"; "&amp;$J$279&amp;" "&amp;L$280,'FE Déplacements'!$G:$U,9,FALSE),0)</f>
        <v>0.12</v>
      </c>
      <c r="M282" s="218">
        <f>IFERROR(VLOOKUP($B282&amp;"; "&amp;$J$279&amp;" "&amp;M$280,'FE Déplacements'!$G:$U,9,FALSE),0)</f>
        <v>4.2000000000000002E-4</v>
      </c>
      <c r="N282" s="356">
        <f t="shared" ref="N282:N284" si="158">I282*J282</f>
        <v>0</v>
      </c>
      <c r="O282" s="356">
        <f t="shared" ref="O282:O284" si="159">I282*K282</f>
        <v>0</v>
      </c>
      <c r="P282" s="151">
        <f t="shared" ref="P282:P284" si="160">I282*L282</f>
        <v>0</v>
      </c>
      <c r="Q282" s="151">
        <f t="shared" ref="Q282:Q284" si="161">I282*M282</f>
        <v>0</v>
      </c>
      <c r="R282" s="165">
        <f>IF(OR(F282=Utilitaires!$I$572,F282=Utilitaires!$I$577),O282,0)</f>
        <v>0</v>
      </c>
      <c r="X282" s="226">
        <f>IF(OR(AE282=0,D282=0),0,AE282/D282)</f>
        <v>0</v>
      </c>
      <c r="Y282" s="343"/>
      <c r="Z282" s="820"/>
      <c r="AA282" s="164">
        <f t="shared" si="155"/>
        <v>0</v>
      </c>
      <c r="AB282" s="164">
        <f t="shared" si="155"/>
        <v>0</v>
      </c>
      <c r="AC282" s="164">
        <f t="shared" si="155"/>
        <v>0</v>
      </c>
      <c r="AD282" s="164">
        <f>Q282*BL282</f>
        <v>0</v>
      </c>
      <c r="AE282" s="152">
        <f t="shared" ref="AE282:AE284" si="162">SQRT(SUMSQ(AA282:AD282))</f>
        <v>0</v>
      </c>
      <c r="AF282" s="1286">
        <f>R282*X282</f>
        <v>0</v>
      </c>
      <c r="AH282" s="564">
        <f>$I282*IF(ISNA(VLOOKUP($B282&amp;"; "&amp;$J$279&amp;" "&amp;J$280,'FE Déplacements'!$G:$U,10,FALSE)),0,VLOOKUP($B282&amp;"; "&amp;$J$279&amp;" "&amp;J$280,'FE Déplacements'!$G:$U,10,FALSE))</f>
        <v>0</v>
      </c>
      <c r="AI282" s="565">
        <f>$I282*IF(ISNA(VLOOKUP($B282&amp;"; "&amp;$J$279&amp;" "&amp;K$280,'FE Déplacements'!$G:$U,10,FALSE)),0,VLOOKUP($B282&amp;"; "&amp;$J$279&amp;" "&amp;K$280,'FE Déplacements'!$G:$U,10,FALSE))</f>
        <v>0</v>
      </c>
      <c r="AJ282" s="565">
        <f>$I282*IF(ISNA(VLOOKUP($B282&amp;"; "&amp;$J$279&amp;" "&amp;L$280,'FE Déplacements'!$G:$U,10,FALSE)),0,VLOOKUP($B282&amp;"; "&amp;$J$279&amp;" "&amp;L$280,'FE Déplacements'!$G:$U,10,FALSE))</f>
        <v>0</v>
      </c>
      <c r="AK282" s="565">
        <f>$I282*IF(ISNA(VLOOKUP($B282&amp;"; "&amp;$J$279&amp;" "&amp;M$280,'FE Déplacements'!$G:$U,10,FALSE)),0,VLOOKUP($B282&amp;"; "&amp;$J$279&amp;" "&amp;M$280,'FE Déplacements'!$G:$U,10,FALSE))</f>
        <v>0</v>
      </c>
      <c r="AL282" s="565">
        <f>$I282*IF(ISNA((VLOOKUP($B282&amp;"; "&amp;$J$279&amp;" "&amp;J$280,'FE Déplacements'!$G:$U,12,FALSE)+VLOOKUP($B282&amp;"; "&amp;$J$279&amp;" "&amp;J$280,'FE Déplacements'!$G:$U,11,FALSE))),0,(VLOOKUP($B282&amp;"; "&amp;$J$279&amp;" "&amp;J$280,'FE Déplacements'!$G:$U,12,FALSE)+VLOOKUP($B282&amp;"; "&amp;$J$279&amp;" "&amp;J$280,'FE Déplacements'!$G:$U,11,FALSE)))</f>
        <v>0</v>
      </c>
      <c r="AM282" s="565">
        <f>$I282*IF(ISNA((VLOOKUP($B282&amp;"; "&amp;$J$279&amp;" "&amp;K$280,'FE Déplacements'!$G:$U,12,FALSE)+VLOOKUP($B282&amp;"; "&amp;$J$279&amp;" "&amp;K$280,'FE Déplacements'!$G:$U,11,FALSE))),0,(VLOOKUP($B282&amp;"; "&amp;$J$279&amp;" "&amp;K$280,'FE Déplacements'!$G:$U,12,FALSE)+VLOOKUP($B282&amp;"; "&amp;$J$279&amp;" "&amp;K$280,'FE Déplacements'!$G:$U,11,FALSE)))</f>
        <v>0</v>
      </c>
      <c r="AN282" s="565">
        <f>$I282*IF(ISNA((VLOOKUP($B282&amp;"; "&amp;$J$279&amp;" "&amp;L$280,'FE Déplacements'!$G:$U,12,FALSE)+VLOOKUP($B282&amp;"; "&amp;$J$279&amp;" "&amp;L$280,'FE Déplacements'!$G:$U,11,FALSE))),0,(VLOOKUP($B282&amp;"; "&amp;$J$279&amp;" "&amp;L$280,'FE Déplacements'!$G:$U,12,FALSE)+VLOOKUP($B282&amp;"; "&amp;$J$279&amp;" "&amp;L$280,'FE Déplacements'!$G:$U,11,FALSE)))</f>
        <v>0</v>
      </c>
      <c r="AO282" s="565">
        <f>$I282*IF(ISNA((VLOOKUP($B282&amp;"; "&amp;$J$279&amp;" "&amp;M$280,'FE Déplacements'!$G:$U,12,FALSE)+VLOOKUP($B282&amp;"; "&amp;$J$279&amp;" "&amp;M$280,'FE Déplacements'!$G:$U,11,FALSE))),0,(VLOOKUP($B282&amp;"; "&amp;$J$279&amp;" "&amp;M$280,'FE Déplacements'!$G:$U,12,FALSE)+VLOOKUP($B282&amp;"; "&amp;$J$279&amp;" "&amp;M$280,'FE Déplacements'!$G:$U,11,FALSE)))</f>
        <v>0</v>
      </c>
      <c r="AP282" s="565">
        <f>$I282*IF(ISNA(VLOOKUP($B282&amp;"; "&amp;$J$279&amp;" "&amp;J$280,'FE Déplacements'!$G:$U,13,FALSE)),0,VLOOKUP($B282&amp;"; "&amp;$J$279&amp;" "&amp;J$280,'FE Déplacements'!$G:$U,13,FALSE))</f>
        <v>0</v>
      </c>
      <c r="AQ282" s="565">
        <f>$I282*IF(ISNA(VLOOKUP($B282&amp;"; "&amp;$J$279&amp;" "&amp;K$280,'FE Déplacements'!$G:$U,13,FALSE)),0,VLOOKUP($B282&amp;"; "&amp;$J$279&amp;" "&amp;K$280,'FE Déplacements'!$G:$U,13,FALSE))</f>
        <v>0</v>
      </c>
      <c r="AR282" s="565">
        <f>$I282*IF(ISNA(VLOOKUP($B282&amp;"; "&amp;$J$279&amp;" "&amp;L$280,'FE Déplacements'!$G:$U,13,FALSE)),0,VLOOKUP($B282&amp;"; "&amp;$J$279&amp;" "&amp;L$280,'FE Déplacements'!$G:$U,13,FALSE))</f>
        <v>0</v>
      </c>
      <c r="AS282" s="565">
        <f>$I282*IF(ISNA(VLOOKUP($B282&amp;"; "&amp;$J$279&amp;" "&amp;M$280,'FE Déplacements'!$G:$U,13,FALSE)),0,VLOOKUP($B282&amp;"; "&amp;$J$279&amp;" "&amp;M$280,'FE Déplacements'!$G:$U,13,FALSE))</f>
        <v>0</v>
      </c>
      <c r="AT282" s="565">
        <f>$G282*IF(ISNA(VLOOKUP($B282&amp;"; "&amp;$J$279&amp;" "&amp;J$280,'FE Déplacements'!$G:$U,14,FALSE)),0,VLOOKUP($B282&amp;"; "&amp;$J$279&amp;" "&amp;J$280,'FE Déplacements'!$G:$U,14,FALSE))</f>
        <v>0</v>
      </c>
      <c r="AU282" s="565">
        <f>$G282*IF(ISNA(VLOOKUP($B282&amp;"; "&amp;$J$279&amp;" "&amp;K$280,'FE Déplacements'!$G:$U,14,FALSE)),0,VLOOKUP($B282&amp;"; "&amp;$J$279&amp;" "&amp;K$280,'FE Déplacements'!$G:$U,14,FALSE))</f>
        <v>0</v>
      </c>
      <c r="AV282" s="565">
        <f>$I282*IF(ISNA(VLOOKUP($B282&amp;"; "&amp;$J$279&amp;" "&amp;L$280,'FE Déplacements'!$G:$U,9,FALSE)),0,VLOOKUP($B282&amp;"; "&amp;$J$279&amp;" "&amp;L$280,'FE Déplacements'!$G:$U,9,FALSE))</f>
        <v>0</v>
      </c>
      <c r="AW282" s="565">
        <f>$I282*IF(ISNA(VLOOKUP($B282&amp;"; "&amp;$J$279&amp;" "&amp;Q$280,'FE Déplacements'!$G:$U,9,FALSE)),0,VLOOKUP($B282&amp;"; "&amp;$J$279&amp;" "&amp;Q$280,'FE Déplacements'!$G:$U,9,FALSE))</f>
        <v>0</v>
      </c>
      <c r="AX282" s="566">
        <f t="shared" ref="AX282:AX284" si="163">SUM(AH282,AL282,AP282,AT282)</f>
        <v>0</v>
      </c>
      <c r="AY282" s="566">
        <f t="shared" ref="AY282:AY284" si="164">SUM(AI282,AM282,AQ282,AU282)</f>
        <v>0</v>
      </c>
      <c r="AZ282" s="566">
        <f t="shared" ref="AZ282:AZ284" si="165">SUM(AJ282,AN282,AR282,AV282)</f>
        <v>0</v>
      </c>
      <c r="BA282" s="566">
        <f t="shared" ref="BA282:BA284" si="166">SUM(AK282,AO282,AS282,AW282)</f>
        <v>0</v>
      </c>
      <c r="BB282" s="564">
        <f>$I282*IF(ISNA(VLOOKUP($B282&amp;"; "&amp;$J$279&amp;" "&amp;J$280,'FE Déplacements'!$G:$U,15,FALSE)),0,VLOOKUP($B282&amp;"; "&amp;$J$279&amp;" "&amp;J$280,'FE Déplacements'!$G:$U,15,FALSE))</f>
        <v>0</v>
      </c>
      <c r="BC282" s="565">
        <f>$I282*IF(ISNA(VLOOKUP($B282&amp;"; "&amp;$J$279&amp;" "&amp;K$280,'FE Déplacements'!$G:$U,15,FALSE)),0,VLOOKUP($B282&amp;"; "&amp;$J$279&amp;" "&amp;K$280,'FE Déplacements'!$G:$U,15,FALSE))</f>
        <v>0</v>
      </c>
      <c r="BD282" s="565">
        <f>$I282*IF(ISNA(VLOOKUP($B282&amp;"; "&amp;$J$279&amp;" "&amp;L$280,'FE Déplacements'!$G:$U,15,FALSE)),0,VLOOKUP($B282&amp;"; "&amp;$J$279&amp;" "&amp;L$280,'FE Déplacements'!$G:$U,15,FALSE))</f>
        <v>0</v>
      </c>
      <c r="BE282" s="568">
        <f>$I282*IF(ISNA(VLOOKUP($B282&amp;"; "&amp;$J$279&amp;" "&amp;M$280,'FE Déplacements'!$G:$U,15,FALSE)),0,VLOOKUP($B282&amp;"; "&amp;$J$279&amp;" "&amp;M$280,'FE Déplacements'!$G:$U,15,FALSE))</f>
        <v>0</v>
      </c>
      <c r="BH282" s="1065">
        <f>IF($Y282&lt;&gt;"votre valeur :",IF(ISNA(VLOOKUP($Y282,Utilitaires!$N$566:$O$571,2,FALSE)),,VLOOKUP($Y282,Utilitaires!$N$566:$O$571,2,FALSE)),$Z282)</f>
        <v>0</v>
      </c>
      <c r="BI282" s="1130">
        <f>IF(ISNA(SQRT(SUMSQ(VLOOKUP($B282&amp;"; "&amp;$J$279&amp;" "&amp;$J$280,'FE Déplacements'!$G:$U,7,FALSE),$BH282))),0,SQRT(SUMSQ(VLOOKUP($B282&amp;"; "&amp;$J$279&amp;" "&amp;$J$280,'FE Déplacements'!$G:$U,7,FALSE),$BH282)))</f>
        <v>0.7</v>
      </c>
      <c r="BJ282" s="1130">
        <f>IF(ISNA(SQRT(SUMSQ(VLOOKUP($B282&amp;"; "&amp;$J$279&amp;" "&amp;$K$280,'FE Déplacements'!$G:$U,7,FALSE),$BH282))),0,SQRT(SUMSQ(VLOOKUP($B282&amp;"; "&amp;$J$279&amp;" "&amp;$K$280,'FE Déplacements'!$G:$U,7,FALSE),$BH282)))</f>
        <v>0.7</v>
      </c>
      <c r="BK282" s="1130">
        <f>IF(ISNA(SQRT(SUMSQ(VLOOKUP($B282&amp;"; "&amp;$J$279&amp;" "&amp;$L$280,'FE Déplacements'!$G:$U,7,FALSE),$BH282))),0,SQRT(SUMSQ(VLOOKUP($B282&amp;"; "&amp;$J$279&amp;" "&amp;$L$280,'FE Déplacements'!$G:$U,7,FALSE),$BH282)))</f>
        <v>0.7</v>
      </c>
      <c r="BL282" s="1130">
        <f>IF(ISNA(SQRT(SUMSQ(VLOOKUP($B282&amp;"; "&amp;$J$279&amp;" "&amp;$M$280,'FE Déplacements'!$G:$U,7,FALSE),$BH282))),0,SQRT(SUMSQ(VLOOKUP($B282&amp;"; "&amp;$J$279&amp;" "&amp;$M$280,'FE Déplacements'!$G:$U,7,FALSE),$BH282)))</f>
        <v>0.7</v>
      </c>
    </row>
    <row r="283" spans="2:64" outlineLevel="2">
      <c r="B283" s="143" t="s">
        <v>4802</v>
      </c>
      <c r="C283" s="144"/>
      <c r="D283" s="212">
        <f t="shared" si="157"/>
        <v>0</v>
      </c>
      <c r="E283" s="212"/>
      <c r="F283" s="346"/>
      <c r="G283" s="346"/>
      <c r="H283" s="219">
        <f>VLOOKUP($B283,'FE Déplacements'!$F$414:$W$551,17,FALSE)</f>
        <v>2250</v>
      </c>
      <c r="I283" s="164">
        <f>G283*H283</f>
        <v>0</v>
      </c>
      <c r="J283" s="218">
        <f>VLOOKUP($B283&amp;"; "&amp;$J$279&amp;" "&amp;J$280,'FE Déplacements'!$G:$U,9,FALSE)</f>
        <v>1.7500000000000002E-2</v>
      </c>
      <c r="K283" s="218">
        <f>VLOOKUP($B283&amp;"; "&amp;$J$279&amp;" "&amp;K$280,'FE Déplacements'!$G:$U,9,FALSE)</f>
        <v>8.4099999999999994E-2</v>
      </c>
      <c r="L283" s="218">
        <f>IFERROR(VLOOKUP($B283&amp;"; "&amp;$J$279&amp;" "&amp;L$280,'FE Déplacements'!$G:$U,9,FALSE),0)</f>
        <v>0</v>
      </c>
      <c r="M283" s="218">
        <f>IFERROR(VLOOKUP($B283&amp;"; "&amp;$J$279&amp;" "&amp;M$280,'FE Déplacements'!$G:$U,9,FALSE),0)</f>
        <v>3.6000000000000002E-4</v>
      </c>
      <c r="N283" s="356">
        <f t="shared" si="158"/>
        <v>0</v>
      </c>
      <c r="O283" s="356">
        <f t="shared" si="159"/>
        <v>0</v>
      </c>
      <c r="P283" s="151">
        <f t="shared" si="160"/>
        <v>0</v>
      </c>
      <c r="Q283" s="151">
        <f t="shared" si="161"/>
        <v>0</v>
      </c>
      <c r="R283" s="165">
        <f>IF(OR(F283=Utilitaires!$I$572,F283=Utilitaires!$I$577),O283,0)</f>
        <v>0</v>
      </c>
      <c r="X283" s="226">
        <f>IF(OR(AE283=0,D283=0),0,AE283/D283)</f>
        <v>0</v>
      </c>
      <c r="Y283" s="1094"/>
      <c r="Z283" s="820"/>
      <c r="AA283" s="164">
        <f t="shared" si="155"/>
        <v>0</v>
      </c>
      <c r="AB283" s="164">
        <f t="shared" si="155"/>
        <v>0</v>
      </c>
      <c r="AC283" s="164">
        <f t="shared" si="155"/>
        <v>0</v>
      </c>
      <c r="AD283" s="164">
        <f>Q283*BL283</f>
        <v>0</v>
      </c>
      <c r="AE283" s="152">
        <f t="shared" si="162"/>
        <v>0</v>
      </c>
      <c r="AF283" s="1286">
        <f>R283*X283</f>
        <v>0</v>
      </c>
      <c r="AH283" s="564">
        <f>$I283*IF(ISNA(VLOOKUP($B283&amp;"; "&amp;$J$279&amp;" "&amp;J$280,'FE Déplacements'!$G:$U,10,FALSE)),0,VLOOKUP($B283&amp;"; "&amp;$J$279&amp;" "&amp;J$280,'FE Déplacements'!$G:$U,10,FALSE))</f>
        <v>0</v>
      </c>
      <c r="AI283" s="565">
        <f>$I283*IF(ISNA(VLOOKUP($B283&amp;"; "&amp;$J$279&amp;" "&amp;K$280,'FE Déplacements'!$G:$U,10,FALSE)),0,VLOOKUP($B283&amp;"; "&amp;$J$279&amp;" "&amp;K$280,'FE Déplacements'!$G:$U,10,FALSE))</f>
        <v>0</v>
      </c>
      <c r="AJ283" s="565">
        <f>$I283*IF(ISNA(VLOOKUP($B283&amp;"; "&amp;$J$279&amp;" "&amp;L$280,'FE Déplacements'!$G:$U,10,FALSE)),0,VLOOKUP($B283&amp;"; "&amp;$J$279&amp;" "&amp;L$280,'FE Déplacements'!$G:$U,10,FALSE))</f>
        <v>0</v>
      </c>
      <c r="AK283" s="565">
        <f>$I283*IF(ISNA(VLOOKUP($B283&amp;"; "&amp;$J$279&amp;" "&amp;M$280,'FE Déplacements'!$G:$U,10,FALSE)),0,VLOOKUP($B283&amp;"; "&amp;$J$279&amp;" "&amp;M$280,'FE Déplacements'!$G:$U,10,FALSE))</f>
        <v>0</v>
      </c>
      <c r="AL283" s="565">
        <f>$I283*IF(ISNA((VLOOKUP($B283&amp;"; "&amp;$J$279&amp;" "&amp;J$280,'FE Déplacements'!$G:$U,12,FALSE)+VLOOKUP($B283&amp;"; "&amp;$J$279&amp;" "&amp;J$280,'FE Déplacements'!$G:$U,11,FALSE))),0,(VLOOKUP($B283&amp;"; "&amp;$J$279&amp;" "&amp;J$280,'FE Déplacements'!$G:$U,12,FALSE)+VLOOKUP($B283&amp;"; "&amp;$J$279&amp;" "&amp;J$280,'FE Déplacements'!$G:$U,11,FALSE)))</f>
        <v>0</v>
      </c>
      <c r="AM283" s="565">
        <f>$I283*IF(ISNA((VLOOKUP($B283&amp;"; "&amp;$J$279&amp;" "&amp;K$280,'FE Déplacements'!$G:$U,12,FALSE)+VLOOKUP($B283&amp;"; "&amp;$J$279&amp;" "&amp;K$280,'FE Déplacements'!$G:$U,11,FALSE))),0,(VLOOKUP($B283&amp;"; "&amp;$J$279&amp;" "&amp;K$280,'FE Déplacements'!$G:$U,12,FALSE)+VLOOKUP($B283&amp;"; "&amp;$J$279&amp;" "&amp;K$280,'FE Déplacements'!$G:$U,11,FALSE)))</f>
        <v>0</v>
      </c>
      <c r="AN283" s="565">
        <f>$I283*IF(ISNA((VLOOKUP($B283&amp;"; "&amp;$J$279&amp;" "&amp;L$280,'FE Déplacements'!$G:$U,12,FALSE)+VLOOKUP($B283&amp;"; "&amp;$J$279&amp;" "&amp;L$280,'FE Déplacements'!$G:$U,11,FALSE))),0,(VLOOKUP($B283&amp;"; "&amp;$J$279&amp;" "&amp;L$280,'FE Déplacements'!$G:$U,12,FALSE)+VLOOKUP($B283&amp;"; "&amp;$J$279&amp;" "&amp;L$280,'FE Déplacements'!$G:$U,11,FALSE)))</f>
        <v>0</v>
      </c>
      <c r="AO283" s="565">
        <f>$I283*IF(ISNA((VLOOKUP($B283&amp;"; "&amp;$J$279&amp;" "&amp;M$280,'FE Déplacements'!$G:$U,12,FALSE)+VLOOKUP($B283&amp;"; "&amp;$J$279&amp;" "&amp;M$280,'FE Déplacements'!$G:$U,11,FALSE))),0,(VLOOKUP($B283&amp;"; "&amp;$J$279&amp;" "&amp;M$280,'FE Déplacements'!$G:$U,12,FALSE)+VLOOKUP($B283&amp;"; "&amp;$J$279&amp;" "&amp;M$280,'FE Déplacements'!$G:$U,11,FALSE)))</f>
        <v>0</v>
      </c>
      <c r="AP283" s="565">
        <f>$I283*IF(ISNA(VLOOKUP($B283&amp;"; "&amp;$J$279&amp;" "&amp;J$280,'FE Déplacements'!$G:$U,13,FALSE)),0,VLOOKUP($B283&amp;"; "&amp;$J$279&amp;" "&amp;J$280,'FE Déplacements'!$G:$U,13,FALSE))</f>
        <v>0</v>
      </c>
      <c r="AQ283" s="565">
        <f>$I283*IF(ISNA(VLOOKUP($B283&amp;"; "&amp;$J$279&amp;" "&amp;K$280,'FE Déplacements'!$G:$U,13,FALSE)),0,VLOOKUP($B283&amp;"; "&amp;$J$279&amp;" "&amp;K$280,'FE Déplacements'!$G:$U,13,FALSE))</f>
        <v>0</v>
      </c>
      <c r="AR283" s="565">
        <f>$I283*IF(ISNA(VLOOKUP($B283&amp;"; "&amp;$J$279&amp;" "&amp;L$280,'FE Déplacements'!$G:$U,13,FALSE)),0,VLOOKUP($B283&amp;"; "&amp;$J$279&amp;" "&amp;L$280,'FE Déplacements'!$G:$U,13,FALSE))</f>
        <v>0</v>
      </c>
      <c r="AS283" s="565">
        <f>$I283*IF(ISNA(VLOOKUP($B283&amp;"; "&amp;$J$279&amp;" "&amp;M$280,'FE Déplacements'!$G:$U,13,FALSE)),0,VLOOKUP($B283&amp;"; "&amp;$J$279&amp;" "&amp;M$280,'FE Déplacements'!$G:$U,13,FALSE))</f>
        <v>0</v>
      </c>
      <c r="AT283" s="565">
        <f>$G283*IF(ISNA(VLOOKUP($B283&amp;"; "&amp;$J$279&amp;" "&amp;J$280,'FE Déplacements'!$G:$U,14,FALSE)),0,VLOOKUP($B283&amp;"; "&amp;$J$279&amp;" "&amp;J$280,'FE Déplacements'!$G:$U,14,FALSE))</f>
        <v>0</v>
      </c>
      <c r="AU283" s="565">
        <f>$G283*IF(ISNA(VLOOKUP($B283&amp;"; "&amp;$J$279&amp;" "&amp;K$280,'FE Déplacements'!$G:$U,14,FALSE)),0,VLOOKUP($B283&amp;"; "&amp;$J$279&amp;" "&amp;K$280,'FE Déplacements'!$G:$U,14,FALSE))</f>
        <v>0</v>
      </c>
      <c r="AV283" s="565">
        <f>$I283*IF(ISNA(VLOOKUP($B283&amp;"; "&amp;$J$279&amp;" "&amp;L$280,'FE Déplacements'!$G:$U,9,FALSE)),0,VLOOKUP($B283&amp;"; "&amp;$J$279&amp;" "&amp;L$280,'FE Déplacements'!$G:$U,9,FALSE))</f>
        <v>0</v>
      </c>
      <c r="AW283" s="565">
        <f>$I283*IF(ISNA(VLOOKUP($B283&amp;"; "&amp;$J$279&amp;" "&amp;Q$280,'FE Déplacements'!$G:$U,9,FALSE)),0,VLOOKUP($B283&amp;"; "&amp;$J$279&amp;" "&amp;Q$280,'FE Déplacements'!$G:$U,9,FALSE))</f>
        <v>0</v>
      </c>
      <c r="AX283" s="566">
        <f t="shared" si="163"/>
        <v>0</v>
      </c>
      <c r="AY283" s="566">
        <f t="shared" si="164"/>
        <v>0</v>
      </c>
      <c r="AZ283" s="566">
        <f t="shared" si="165"/>
        <v>0</v>
      </c>
      <c r="BA283" s="566">
        <f t="shared" si="166"/>
        <v>0</v>
      </c>
      <c r="BB283" s="564">
        <f>$I283*IF(ISNA(VLOOKUP($B283&amp;"; "&amp;$J$279&amp;" "&amp;J$280,'FE Déplacements'!$G:$U,15,FALSE)),0,VLOOKUP($B283&amp;"; "&amp;$J$279&amp;" "&amp;J$280,'FE Déplacements'!$G:$U,15,FALSE))</f>
        <v>0</v>
      </c>
      <c r="BC283" s="565">
        <f>$I283*IF(ISNA(VLOOKUP($B283&amp;"; "&amp;$J$279&amp;" "&amp;K$280,'FE Déplacements'!$G:$U,15,FALSE)),0,VLOOKUP($B283&amp;"; "&amp;$J$279&amp;" "&amp;K$280,'FE Déplacements'!$G:$U,15,FALSE))</f>
        <v>0</v>
      </c>
      <c r="BD283" s="565">
        <f>$I283*IF(ISNA(VLOOKUP($B283&amp;"; "&amp;$J$279&amp;" "&amp;L$280,'FE Déplacements'!$G:$U,15,FALSE)),0,VLOOKUP($B283&amp;"; "&amp;$J$279&amp;" "&amp;L$280,'FE Déplacements'!$G:$U,15,FALSE))</f>
        <v>0</v>
      </c>
      <c r="BE283" s="568">
        <f>$I283*IF(ISNA(VLOOKUP($B283&amp;"; "&amp;$J$279&amp;" "&amp;M$280,'FE Déplacements'!$G:$U,15,FALSE)),0,VLOOKUP($B283&amp;"; "&amp;$J$279&amp;" "&amp;M$280,'FE Déplacements'!$G:$U,15,FALSE))</f>
        <v>0</v>
      </c>
      <c r="BH283" s="1065">
        <f>IF($Y283&lt;&gt;"votre valeur :",IF(ISNA(VLOOKUP($Y283,Utilitaires!$N$566:$O$571,2,FALSE)),,VLOOKUP($Y283,Utilitaires!$N$566:$O$571,2,FALSE)),$Z283)</f>
        <v>0</v>
      </c>
      <c r="BI283" s="1130">
        <f>IF(ISNA(SQRT(SUMSQ(VLOOKUP($B283&amp;"; "&amp;$J$279&amp;" "&amp;$J$280,'FE Déplacements'!$G:$U,7,FALSE),$BH283))),0,SQRT(SUMSQ(VLOOKUP($B283&amp;"; "&amp;$J$279&amp;" "&amp;$J$280,'FE Déplacements'!$G:$U,7,FALSE),$BH283)))</f>
        <v>0.1</v>
      </c>
      <c r="BJ283" s="1130">
        <f>IF(ISNA(SQRT(SUMSQ(VLOOKUP($B283&amp;"; "&amp;$J$279&amp;" "&amp;$K$280,'FE Déplacements'!$G:$U,7,FALSE),$BH283))),0,SQRT(SUMSQ(VLOOKUP($B283&amp;"; "&amp;$J$279&amp;" "&amp;$K$280,'FE Déplacements'!$G:$U,7,FALSE),$BH283)))</f>
        <v>0.1</v>
      </c>
      <c r="BK283" s="1130">
        <f>IF(ISNA(SQRT(SUMSQ(VLOOKUP($B283&amp;"; "&amp;$J$279&amp;" "&amp;$L$280,'FE Déplacements'!$G:$U,7,FALSE),$BH283))),0,SQRT(SUMSQ(VLOOKUP($B283&amp;"; "&amp;$J$279&amp;" "&amp;$L$280,'FE Déplacements'!$G:$U,7,FALSE),$BH283)))</f>
        <v>0</v>
      </c>
      <c r="BL283" s="1130">
        <f>IF(ISNA(SQRT(SUMSQ(VLOOKUP($B283&amp;"; "&amp;$J$279&amp;" "&amp;$M$280,'FE Déplacements'!$G:$U,7,FALSE),$BH283))),0,SQRT(SUMSQ(VLOOKUP($B283&amp;"; "&amp;$J$279&amp;" "&amp;$M$280,'FE Déplacements'!$G:$U,7,FALSE),$BH283)))</f>
        <v>0.1</v>
      </c>
    </row>
    <row r="284" spans="2:64" ht="15" outlineLevel="2">
      <c r="B284" s="143" t="s">
        <v>4018</v>
      </c>
      <c r="C284" s="144"/>
      <c r="D284" s="212">
        <f t="shared" si="157"/>
        <v>0</v>
      </c>
      <c r="E284" s="212"/>
      <c r="F284" s="347"/>
      <c r="G284" s="123"/>
      <c r="H284" s="219">
        <f>VLOOKUP($B284,'FE Déplacements'!$F$414:$W$551,17,FALSE)</f>
        <v>7250</v>
      </c>
      <c r="I284" s="164">
        <f>G284*H284</f>
        <v>0</v>
      </c>
      <c r="J284" s="218">
        <f>VLOOKUP($B284&amp;"; "&amp;$J$279&amp;" "&amp;J$280,'FE Déplacements'!$G:$U,9,FALSE)</f>
        <v>1.43E-2</v>
      </c>
      <c r="K284" s="218">
        <f>VLOOKUP($B284&amp;"; "&amp;$J$279&amp;" "&amp;K$280,'FE Déplacements'!$G:$U,9,FALSE)</f>
        <v>6.8699999999999997E-2</v>
      </c>
      <c r="L284" s="218">
        <f>IFERROR(VLOOKUP($B284&amp;"; "&amp;$J$279&amp;" "&amp;L$280,'FE Déplacements'!$G:$U,9,FALSE),0)</f>
        <v>6.8699999999999997E-2</v>
      </c>
      <c r="M284" s="218">
        <f>IFERROR(VLOOKUP($B284&amp;"; "&amp;$J$279&amp;" "&amp;M$280,'FE Déplacements'!$G:$U,9,FALSE),0)</f>
        <v>2.5999999999999998E-4</v>
      </c>
      <c r="N284" s="356">
        <f t="shared" si="158"/>
        <v>0</v>
      </c>
      <c r="O284" s="356">
        <f t="shared" si="159"/>
        <v>0</v>
      </c>
      <c r="P284" s="151">
        <f t="shared" si="160"/>
        <v>0</v>
      </c>
      <c r="Q284" s="151">
        <f t="shared" si="161"/>
        <v>0</v>
      </c>
      <c r="R284" s="165">
        <f>IF(OR(F284=Utilitaires!$I$572,F284=Utilitaires!$I$577),O284,0)</f>
        <v>0</v>
      </c>
      <c r="X284" s="226">
        <f>IF(OR(AE284=0,D284=0),0,AE284/D284)</f>
        <v>0</v>
      </c>
      <c r="Y284" s="1094"/>
      <c r="Z284" s="820"/>
      <c r="AA284" s="164">
        <f t="shared" si="155"/>
        <v>0</v>
      </c>
      <c r="AB284" s="164">
        <f t="shared" si="155"/>
        <v>0</v>
      </c>
      <c r="AC284" s="164">
        <f t="shared" si="155"/>
        <v>0</v>
      </c>
      <c r="AD284" s="164">
        <f>Q284*BL284</f>
        <v>0</v>
      </c>
      <c r="AE284" s="152">
        <f t="shared" si="162"/>
        <v>0</v>
      </c>
      <c r="AF284" s="1286">
        <f>R284*X284</f>
        <v>0</v>
      </c>
      <c r="AH284" s="564">
        <f>$I284*IF(ISNA(VLOOKUP($B284&amp;"; "&amp;$J$279&amp;" "&amp;J$280,'FE Déplacements'!$G:$U,10,FALSE)),0,VLOOKUP($B284&amp;"; "&amp;$J$279&amp;" "&amp;J$280,'FE Déplacements'!$G:$U,10,FALSE))</f>
        <v>0</v>
      </c>
      <c r="AI284" s="565">
        <f>$I284*IF(ISNA(VLOOKUP($B284&amp;"; "&amp;$J$279&amp;" "&amp;K$280,'FE Déplacements'!$G:$U,10,FALSE)),0,VLOOKUP($B284&amp;"; "&amp;$J$279&amp;" "&amp;K$280,'FE Déplacements'!$G:$U,10,FALSE))</f>
        <v>0</v>
      </c>
      <c r="AJ284" s="565">
        <f>$I284*IF(ISNA(VLOOKUP($B284&amp;"; "&amp;$J$279&amp;" "&amp;L$280,'FE Déplacements'!$G:$U,10,FALSE)),0,VLOOKUP($B284&amp;"; "&amp;$J$279&amp;" "&amp;L$280,'FE Déplacements'!$G:$U,10,FALSE))</f>
        <v>0</v>
      </c>
      <c r="AK284" s="565">
        <f>$I284*IF(ISNA(VLOOKUP($B284&amp;"; "&amp;$J$279&amp;" "&amp;M$280,'FE Déplacements'!$G:$U,10,FALSE)),0,VLOOKUP($B284&amp;"; "&amp;$J$279&amp;" "&amp;M$280,'FE Déplacements'!$G:$U,10,FALSE))</f>
        <v>0</v>
      </c>
      <c r="AL284" s="565">
        <f>$I284*IF(ISNA((VLOOKUP($B284&amp;"; "&amp;$J$279&amp;" "&amp;J$280,'FE Déplacements'!$G:$U,12,FALSE)+VLOOKUP($B284&amp;"; "&amp;$J$279&amp;" "&amp;J$280,'FE Déplacements'!$G:$U,11,FALSE))),0,(VLOOKUP($B284&amp;"; "&amp;$J$279&amp;" "&amp;J$280,'FE Déplacements'!$G:$U,12,FALSE)+VLOOKUP($B284&amp;"; "&amp;$J$279&amp;" "&amp;J$280,'FE Déplacements'!$G:$U,11,FALSE)))</f>
        <v>0</v>
      </c>
      <c r="AM284" s="565">
        <f>$I284*IF(ISNA((VLOOKUP($B284&amp;"; "&amp;$J$279&amp;" "&amp;K$280,'FE Déplacements'!$G:$U,12,FALSE)+VLOOKUP($B284&amp;"; "&amp;$J$279&amp;" "&amp;K$280,'FE Déplacements'!$G:$U,11,FALSE))),0,(VLOOKUP($B284&amp;"; "&amp;$J$279&amp;" "&amp;K$280,'FE Déplacements'!$G:$U,12,FALSE)+VLOOKUP($B284&amp;"; "&amp;$J$279&amp;" "&amp;K$280,'FE Déplacements'!$G:$U,11,FALSE)))</f>
        <v>0</v>
      </c>
      <c r="AN284" s="565">
        <f>$I284*IF(ISNA((VLOOKUP($B284&amp;"; "&amp;$J$279&amp;" "&amp;L$280,'FE Déplacements'!$G:$U,12,FALSE)+VLOOKUP($B284&amp;"; "&amp;$J$279&amp;" "&amp;L$280,'FE Déplacements'!$G:$U,11,FALSE))),0,(VLOOKUP($B284&amp;"; "&amp;$J$279&amp;" "&amp;L$280,'FE Déplacements'!$G:$U,12,FALSE)+VLOOKUP($B284&amp;"; "&amp;$J$279&amp;" "&amp;L$280,'FE Déplacements'!$G:$U,11,FALSE)))</f>
        <v>0</v>
      </c>
      <c r="AO284" s="565">
        <f>$I284*IF(ISNA((VLOOKUP($B284&amp;"; "&amp;$J$279&amp;" "&amp;M$280,'FE Déplacements'!$G:$U,12,FALSE)+VLOOKUP($B284&amp;"; "&amp;$J$279&amp;" "&amp;M$280,'FE Déplacements'!$G:$U,11,FALSE))),0,(VLOOKUP($B284&amp;"; "&amp;$J$279&amp;" "&amp;M$280,'FE Déplacements'!$G:$U,12,FALSE)+VLOOKUP($B284&amp;"; "&amp;$J$279&amp;" "&amp;M$280,'FE Déplacements'!$G:$U,11,FALSE)))</f>
        <v>0</v>
      </c>
      <c r="AP284" s="565">
        <f>$I284*IF(ISNA(VLOOKUP($B284&amp;"; "&amp;$J$279&amp;" "&amp;J$280,'FE Déplacements'!$G:$U,13,FALSE)),0,VLOOKUP($B284&amp;"; "&amp;$J$279&amp;" "&amp;J$280,'FE Déplacements'!$G:$U,13,FALSE))</f>
        <v>0</v>
      </c>
      <c r="AQ284" s="565">
        <f>$I284*IF(ISNA(VLOOKUP($B284&amp;"; "&amp;$J$279&amp;" "&amp;K$280,'FE Déplacements'!$G:$U,13,FALSE)),0,VLOOKUP($B284&amp;"; "&amp;$J$279&amp;" "&amp;K$280,'FE Déplacements'!$G:$U,13,FALSE))</f>
        <v>0</v>
      </c>
      <c r="AR284" s="565">
        <f>$I284*IF(ISNA(VLOOKUP($B284&amp;"; "&amp;$J$279&amp;" "&amp;L$280,'FE Déplacements'!$G:$U,13,FALSE)),0,VLOOKUP($B284&amp;"; "&amp;$J$279&amp;" "&amp;L$280,'FE Déplacements'!$G:$U,13,FALSE))</f>
        <v>0</v>
      </c>
      <c r="AS284" s="565">
        <f>$I284*IF(ISNA(VLOOKUP($B284&amp;"; "&amp;$J$279&amp;" "&amp;M$280,'FE Déplacements'!$G:$U,13,FALSE)),0,VLOOKUP($B284&amp;"; "&amp;$J$279&amp;" "&amp;M$280,'FE Déplacements'!$G:$U,13,FALSE))</f>
        <v>0</v>
      </c>
      <c r="AT284" s="565">
        <f>$G284*IF(ISNA(VLOOKUP($B284&amp;"; "&amp;$J$279&amp;" "&amp;J$280,'FE Déplacements'!$G:$U,14,FALSE)),0,VLOOKUP($B284&amp;"; "&amp;$J$279&amp;" "&amp;J$280,'FE Déplacements'!$G:$U,14,FALSE))</f>
        <v>0</v>
      </c>
      <c r="AU284" s="565">
        <f>$G284*IF(ISNA(VLOOKUP($B284&amp;"; "&amp;$J$279&amp;" "&amp;K$280,'FE Déplacements'!$G:$U,14,FALSE)),0,VLOOKUP($B284&amp;"; "&amp;$J$279&amp;" "&amp;K$280,'FE Déplacements'!$G:$U,14,FALSE))</f>
        <v>0</v>
      </c>
      <c r="AV284" s="565">
        <f>$I284*IF(ISNA(VLOOKUP($B284&amp;"; "&amp;$J$279&amp;" "&amp;L$280,'FE Déplacements'!$G:$U,9,FALSE)),0,VLOOKUP($B284&amp;"; "&amp;$J$279&amp;" "&amp;L$280,'FE Déplacements'!$G:$U,9,FALSE))</f>
        <v>0</v>
      </c>
      <c r="AW284" s="565">
        <f>$I284*IF(ISNA(VLOOKUP($B284&amp;"; "&amp;$J$279&amp;" "&amp;Q$280,'FE Déplacements'!$G:$U,9,FALSE)),0,VLOOKUP($B284&amp;"; "&amp;$J$279&amp;" "&amp;Q$280,'FE Déplacements'!$G:$U,9,FALSE))</f>
        <v>0</v>
      </c>
      <c r="AX284" s="566">
        <f t="shared" si="163"/>
        <v>0</v>
      </c>
      <c r="AY284" s="566">
        <f t="shared" si="164"/>
        <v>0</v>
      </c>
      <c r="AZ284" s="566">
        <f t="shared" si="165"/>
        <v>0</v>
      </c>
      <c r="BA284" s="566">
        <f t="shared" si="166"/>
        <v>0</v>
      </c>
      <c r="BB284" s="564">
        <f>$I284*IF(ISNA(VLOOKUP($B284&amp;"; "&amp;$J$279&amp;" "&amp;J$280,'FE Déplacements'!$G:$U,15,FALSE)),0,VLOOKUP($B284&amp;"; "&amp;$J$279&amp;" "&amp;J$280,'FE Déplacements'!$G:$U,15,FALSE))</f>
        <v>0</v>
      </c>
      <c r="BC284" s="565">
        <f>$I284*IF(ISNA(VLOOKUP($B284&amp;"; "&amp;$J$279&amp;" "&amp;K$280,'FE Déplacements'!$G:$U,15,FALSE)),0,VLOOKUP($B284&amp;"; "&amp;$J$279&amp;" "&amp;K$280,'FE Déplacements'!$G:$U,15,FALSE))</f>
        <v>0</v>
      </c>
      <c r="BD284" s="565">
        <f>$I284*IF(ISNA(VLOOKUP($B284&amp;"; "&amp;$J$279&amp;" "&amp;L$280,'FE Déplacements'!$G:$U,15,FALSE)),0,VLOOKUP($B284&amp;"; "&amp;$J$279&amp;" "&amp;L$280,'FE Déplacements'!$G:$U,15,FALSE))</f>
        <v>0</v>
      </c>
      <c r="BE284" s="568">
        <f>$I284*IF(ISNA(VLOOKUP($B284&amp;"; "&amp;$J$279&amp;" "&amp;M$280,'FE Déplacements'!$G:$U,15,FALSE)),0,VLOOKUP($B284&amp;"; "&amp;$J$279&amp;" "&amp;M$280,'FE Déplacements'!$G:$U,15,FALSE))</f>
        <v>0</v>
      </c>
      <c r="BF284" s="130"/>
      <c r="BG284" s="130"/>
      <c r="BH284" s="1065">
        <f>IF($Y284&lt;&gt;"votre valeur :",IF(ISNA(VLOOKUP($Y284,Utilitaires!$N$566:$O$571,2,FALSE)),,VLOOKUP($Y284,Utilitaires!$N$566:$O$571,2,FALSE)),$Z284)</f>
        <v>0</v>
      </c>
      <c r="BI284" s="1130">
        <f>IF(ISNA(SQRT(SUMSQ(VLOOKUP($B284&amp;"; "&amp;$J$279&amp;" "&amp;$J$280,'FE Déplacements'!$G:$U,7,FALSE),$BH284))),0,SQRT(SUMSQ(VLOOKUP($B284&amp;"; "&amp;$J$279&amp;" "&amp;$J$280,'FE Déplacements'!$G:$U,7,FALSE),$BH284)))</f>
        <v>0.7</v>
      </c>
      <c r="BJ284" s="1130">
        <f>IF(ISNA(SQRT(SUMSQ(VLOOKUP($B284&amp;"; "&amp;$J$279&amp;" "&amp;$K$280,'FE Déplacements'!$G:$U,7,FALSE),$BH284))),0,SQRT(SUMSQ(VLOOKUP($B284&amp;"; "&amp;$J$279&amp;" "&amp;$K$280,'FE Déplacements'!$G:$U,7,FALSE),$BH284)))</f>
        <v>0.7</v>
      </c>
      <c r="BK284" s="1130">
        <f>IF(ISNA(SQRT(SUMSQ(VLOOKUP($B284&amp;"; "&amp;$J$279&amp;" "&amp;$L$280,'FE Déplacements'!$G:$U,7,FALSE),$BH284))),0,SQRT(SUMSQ(VLOOKUP($B284&amp;"; "&amp;$J$279&amp;" "&amp;$L$280,'FE Déplacements'!$G:$U,7,FALSE),$BH284)))</f>
        <v>0.7</v>
      </c>
      <c r="BL284" s="1130">
        <f>IF(ISNA(SQRT(SUMSQ(VLOOKUP($B284&amp;"; "&amp;$J$279&amp;" "&amp;$M$280,'FE Déplacements'!$G:$U,7,FALSE),$BH284))),0,SQRT(SUMSQ(VLOOKUP($B284&amp;"; "&amp;$J$279&amp;" "&amp;$M$280,'FE Déplacements'!$G:$U,7,FALSE),$BH284)))</f>
        <v>0.7</v>
      </c>
    </row>
    <row r="285" spans="2:64" ht="12.75" customHeight="1" outlineLevel="2">
      <c r="B285" s="143"/>
      <c r="C285" s="144"/>
      <c r="D285" s="219"/>
      <c r="E285" s="213"/>
      <c r="F285" s="144"/>
      <c r="G285" s="144"/>
      <c r="H285" s="144"/>
      <c r="I285" s="144"/>
      <c r="J285" s="144"/>
      <c r="K285" s="144"/>
      <c r="L285" s="144"/>
      <c r="M285" s="144"/>
      <c r="N285" s="144"/>
      <c r="O285" s="144"/>
      <c r="P285" s="151"/>
      <c r="Q285" s="151"/>
      <c r="R285" s="165"/>
      <c r="X285" s="154"/>
      <c r="Y285" s="155"/>
      <c r="Z285" s="155"/>
      <c r="AA285" s="144"/>
      <c r="AB285" s="144"/>
      <c r="AC285" s="144"/>
      <c r="AD285" s="144"/>
      <c r="AE285" s="367"/>
      <c r="AF285" s="1776"/>
      <c r="AH285" s="564"/>
      <c r="AI285" s="565"/>
      <c r="AJ285" s="565"/>
      <c r="AK285" s="565"/>
      <c r="AL285" s="565"/>
      <c r="AM285" s="565"/>
      <c r="AN285" s="565"/>
      <c r="AO285" s="565"/>
      <c r="AP285" s="565"/>
      <c r="AQ285" s="565"/>
      <c r="AR285" s="565"/>
      <c r="AS285" s="565"/>
      <c r="AT285" s="565"/>
      <c r="AU285" s="565"/>
      <c r="AV285" s="565"/>
      <c r="AW285" s="565"/>
      <c r="AX285" s="566"/>
      <c r="AY285" s="566"/>
      <c r="AZ285" s="566"/>
      <c r="BA285" s="566"/>
      <c r="BB285" s="569"/>
      <c r="BC285" s="625"/>
      <c r="BD285" s="565"/>
      <c r="BE285" s="568"/>
      <c r="BH285" s="1087"/>
      <c r="BI285" s="1153"/>
      <c r="BJ285" s="1153"/>
      <c r="BK285" s="1153"/>
      <c r="BL285" s="1153"/>
    </row>
    <row r="286" spans="2:64" outlineLevel="2">
      <c r="B286" s="196" t="s">
        <v>348</v>
      </c>
      <c r="C286" s="197"/>
      <c r="D286" s="214">
        <f>SUM(D281:D285)</f>
        <v>2644.98</v>
      </c>
      <c r="E286" s="214"/>
      <c r="F286" s="197"/>
      <c r="G286" s="197"/>
      <c r="H286" s="197"/>
      <c r="I286" s="197"/>
      <c r="J286" s="197"/>
      <c r="K286" s="197"/>
      <c r="L286" s="197"/>
      <c r="M286" s="197"/>
      <c r="N286" s="202">
        <f>SUM(N281:N285)</f>
        <v>248.4</v>
      </c>
      <c r="O286" s="202">
        <f>SUM(O281:O285)</f>
        <v>1194</v>
      </c>
      <c r="P286" s="202">
        <f>SUM(P281:P285)</f>
        <v>1200</v>
      </c>
      <c r="Q286" s="202">
        <f>SUM(Q281:Q285)</f>
        <v>2.58</v>
      </c>
      <c r="R286" s="340">
        <f>SUM(R281:R285)</f>
        <v>0</v>
      </c>
      <c r="X286" s="1772"/>
      <c r="Y286" s="199"/>
      <c r="Z286" s="199"/>
      <c r="AA286" s="203">
        <f t="shared" ref="AA286:AF286" si="167">SQRT(SUMSQ(AA281:AA285))</f>
        <v>173.88</v>
      </c>
      <c r="AB286" s="203">
        <f t="shared" si="167"/>
        <v>835.8</v>
      </c>
      <c r="AC286" s="203">
        <f t="shared" si="167"/>
        <v>840</v>
      </c>
      <c r="AD286" s="203">
        <f t="shared" si="167"/>
        <v>1.8059999999999998</v>
      </c>
      <c r="AE286" s="200">
        <f t="shared" si="167"/>
        <v>1197.6640413889029</v>
      </c>
      <c r="AF286" s="340">
        <f t="shared" si="167"/>
        <v>0</v>
      </c>
      <c r="AH286" s="571">
        <f>SUM(AH281:AH285)</f>
        <v>225.60000000000002</v>
      </c>
      <c r="AI286" s="572">
        <f>SUM(AI281:AI285)</f>
        <v>1188</v>
      </c>
      <c r="AJ286" s="572">
        <f>SUM(AJ281:AJ285)</f>
        <v>0</v>
      </c>
      <c r="AK286" s="572">
        <f>SUM(AK281:AK285)</f>
        <v>2.58</v>
      </c>
      <c r="AL286" s="572">
        <f t="shared" ref="AL286" si="168">SUM(AL281:AL285)</f>
        <v>11.28</v>
      </c>
      <c r="AM286" s="572">
        <f>SUM(AM281:AM285)</f>
        <v>0.18</v>
      </c>
      <c r="AN286" s="572">
        <f>SUM(AN281:AN285)</f>
        <v>0</v>
      </c>
      <c r="AO286" s="572">
        <f t="shared" ref="AO286" si="169">SUM(AO281:AO285)</f>
        <v>0</v>
      </c>
      <c r="AP286" s="572">
        <f t="shared" ref="AP286:AV286" si="170">SUM(AP281:AP285)</f>
        <v>11.28</v>
      </c>
      <c r="AQ286" s="572">
        <f t="shared" si="170"/>
        <v>8.76</v>
      </c>
      <c r="AR286" s="572">
        <f t="shared" si="170"/>
        <v>0</v>
      </c>
      <c r="AS286" s="572">
        <f t="shared" si="170"/>
        <v>0</v>
      </c>
      <c r="AT286" s="572">
        <f t="shared" si="170"/>
        <v>0</v>
      </c>
      <c r="AU286" s="572">
        <f t="shared" si="170"/>
        <v>0</v>
      </c>
      <c r="AV286" s="572">
        <f t="shared" si="170"/>
        <v>1200</v>
      </c>
      <c r="AW286" s="572">
        <f t="shared" ref="AW286" si="171">SUM(AW281:AW285)</f>
        <v>2.58</v>
      </c>
      <c r="AX286" s="573">
        <f t="shared" ref="AX286:BE286" si="172">SUM(AX281:AX285)</f>
        <v>248.16000000000003</v>
      </c>
      <c r="AY286" s="573">
        <f t="shared" si="172"/>
        <v>1196.94</v>
      </c>
      <c r="AZ286" s="573">
        <f t="shared" si="172"/>
        <v>1200</v>
      </c>
      <c r="BA286" s="574">
        <f t="shared" si="172"/>
        <v>5.16</v>
      </c>
      <c r="BB286" s="571">
        <f t="shared" si="172"/>
        <v>0</v>
      </c>
      <c r="BC286" s="572">
        <f t="shared" si="172"/>
        <v>0</v>
      </c>
      <c r="BD286" s="572">
        <f t="shared" si="172"/>
        <v>0</v>
      </c>
      <c r="BE286" s="575">
        <f t="shared" si="172"/>
        <v>0</v>
      </c>
      <c r="BF286" s="116"/>
      <c r="BG286" s="116"/>
      <c r="BH286" s="116"/>
    </row>
    <row r="287" spans="2:64" outlineLevel="2"/>
    <row r="288" spans="2:64" outlineLevel="1">
      <c r="K288" s="254"/>
      <c r="AZ288" s="109"/>
      <c r="BA288" s="109"/>
      <c r="BB288" s="109"/>
      <c r="BC288" s="109"/>
      <c r="BD288" s="109"/>
      <c r="BE288" s="109"/>
      <c r="BF288" s="109"/>
      <c r="BG288" s="109"/>
      <c r="BH288" s="109"/>
    </row>
    <row r="289" spans="1:71" s="130" customFormat="1" ht="15.75" customHeight="1" outlineLevel="1" collapsed="1">
      <c r="A289" s="114"/>
      <c r="B289" s="2652" t="s">
        <v>2496</v>
      </c>
      <c r="C289" s="2653"/>
      <c r="D289" s="2653"/>
      <c r="E289" s="2653"/>
      <c r="F289" s="2653"/>
      <c r="G289" s="2653"/>
      <c r="H289" s="2653"/>
      <c r="I289" s="2653"/>
      <c r="J289" s="2653"/>
      <c r="K289" s="2653"/>
      <c r="L289" s="2653"/>
      <c r="M289" s="2653"/>
      <c r="N289" s="2653"/>
      <c r="O289" s="2654"/>
      <c r="AE289" s="1238"/>
      <c r="AF289" s="1238"/>
      <c r="AG289" s="441"/>
      <c r="AH289" s="441"/>
      <c r="AI289" s="441"/>
      <c r="AJ289" s="441"/>
      <c r="AK289" s="441"/>
      <c r="AL289" s="441"/>
      <c r="AM289" s="441"/>
      <c r="AN289" s="441"/>
      <c r="AO289" s="441"/>
      <c r="AP289" s="441"/>
      <c r="AQ289" s="441"/>
      <c r="AR289" s="441"/>
      <c r="AS289" s="593"/>
      <c r="AT289" s="593"/>
      <c r="AU289" s="593"/>
      <c r="AV289" s="593"/>
      <c r="AW289" s="593"/>
      <c r="AX289" s="593"/>
      <c r="AZ289" s="109"/>
      <c r="BA289" s="109"/>
      <c r="BB289" s="109"/>
      <c r="BC289" s="109"/>
      <c r="BD289" s="109"/>
      <c r="BE289" s="109"/>
      <c r="BF289" s="109"/>
      <c r="BG289" s="109"/>
      <c r="BH289" s="109"/>
    </row>
    <row r="290" spans="1:71" hidden="1" outlineLevel="2"/>
    <row r="291" spans="1:71" s="116" customFormat="1" ht="12.75" hidden="1" customHeight="1" outlineLevel="2">
      <c r="A291" s="114"/>
      <c r="B291" s="139" t="s">
        <v>99</v>
      </c>
      <c r="C291" s="140"/>
      <c r="D291" s="140"/>
      <c r="E291" s="140"/>
      <c r="F291" s="140"/>
      <c r="G291" s="141"/>
      <c r="H291" s="141"/>
      <c r="I291" s="141"/>
      <c r="J291" s="141"/>
      <c r="K291" s="141"/>
      <c r="L291" s="141"/>
      <c r="M291" s="141"/>
      <c r="N291" s="141"/>
      <c r="O291" s="141"/>
      <c r="P291" s="141"/>
      <c r="Q291" s="141"/>
      <c r="R291" s="141"/>
      <c r="S291" s="141"/>
      <c r="T291" s="142"/>
      <c r="U291" s="1255"/>
      <c r="X291" s="2636" t="s">
        <v>366</v>
      </c>
      <c r="Y291" s="2637"/>
      <c r="Z291" s="2637"/>
      <c r="AA291" s="2637"/>
      <c r="AB291" s="2637"/>
      <c r="AC291" s="2637"/>
      <c r="AD291" s="2638"/>
      <c r="AE291" s="1773"/>
      <c r="AG291" s="2639" t="s">
        <v>441</v>
      </c>
      <c r="AH291" s="2640"/>
      <c r="AI291" s="2640"/>
      <c r="AJ291" s="2640"/>
      <c r="AK291" s="2640"/>
      <c r="AL291" s="2640"/>
      <c r="AM291" s="2640"/>
      <c r="AN291" s="2640"/>
      <c r="AO291" s="2640"/>
      <c r="AP291" s="2640"/>
      <c r="AQ291" s="2640"/>
      <c r="AR291" s="2640"/>
      <c r="AS291" s="2640"/>
      <c r="AT291" s="2640"/>
      <c r="AU291" s="2640"/>
      <c r="AV291" s="2640"/>
      <c r="AW291" s="2640"/>
      <c r="AX291" s="2641"/>
      <c r="AZ291" s="114"/>
      <c r="BA291" s="114"/>
      <c r="BB291" s="114"/>
      <c r="BC291" s="114"/>
      <c r="BD291" s="114"/>
      <c r="BE291" s="114"/>
      <c r="BF291" s="114"/>
      <c r="BG291" s="114"/>
      <c r="BH291" s="114"/>
    </row>
    <row r="292" spans="1:71" ht="12.75" hidden="1" customHeight="1" outlineLevel="2">
      <c r="B292" s="143"/>
      <c r="C292" s="144"/>
      <c r="D292" s="378" t="s">
        <v>308</v>
      </c>
      <c r="E292" s="1663"/>
      <c r="F292" s="144"/>
      <c r="G292" s="144"/>
      <c r="H292" s="144"/>
      <c r="I292" s="144"/>
      <c r="J292" s="144"/>
      <c r="K292" s="144"/>
      <c r="L292" s="144"/>
      <c r="M292" s="144"/>
      <c r="N292" s="144"/>
      <c r="O292" s="144"/>
      <c r="P292" s="144"/>
      <c r="Q292" s="144"/>
      <c r="R292" s="144"/>
      <c r="S292" s="144"/>
      <c r="T292" s="145"/>
      <c r="U292" s="1259" t="s">
        <v>275</v>
      </c>
      <c r="V292" s="116"/>
      <c r="W292" s="116"/>
      <c r="X292" s="1170"/>
      <c r="Y292" s="818"/>
      <c r="Z292" s="818"/>
      <c r="AA292" s="141"/>
      <c r="AB292" s="141"/>
      <c r="AC292" s="142"/>
      <c r="AD292" s="142"/>
      <c r="AE292" s="1660" t="s">
        <v>275</v>
      </c>
      <c r="AF292" s="127"/>
      <c r="AG292" s="2642" t="s">
        <v>444</v>
      </c>
      <c r="AH292" s="2643"/>
      <c r="AI292" s="2643"/>
      <c r="AJ292" s="2643"/>
      <c r="AK292" s="2643"/>
      <c r="AL292" s="2643"/>
      <c r="AM292" s="2643"/>
      <c r="AN292" s="2643"/>
      <c r="AO292" s="2643"/>
      <c r="AP292" s="2643"/>
      <c r="AQ292" s="2643"/>
      <c r="AR292" s="2643"/>
      <c r="AS292" s="2643" t="s">
        <v>444</v>
      </c>
      <c r="AT292" s="2643"/>
      <c r="AU292" s="2644"/>
      <c r="AV292" s="1081"/>
      <c r="AW292" s="624"/>
      <c r="AX292" s="1291"/>
      <c r="BH292" s="2616" t="s">
        <v>1648</v>
      </c>
      <c r="BI292" s="2617"/>
      <c r="BJ292" s="2617"/>
      <c r="BK292" s="2617"/>
      <c r="BL292" s="2617"/>
      <c r="BM292" s="2617"/>
      <c r="BN292" s="2617"/>
      <c r="BO292" s="2617"/>
      <c r="BP292" s="2617"/>
      <c r="BQ292" s="2617"/>
      <c r="BR292" s="2617"/>
      <c r="BS292" s="2618"/>
    </row>
    <row r="293" spans="1:71" s="109" customFormat="1" ht="12.75" hidden="1" customHeight="1" outlineLevel="2">
      <c r="A293" s="114"/>
      <c r="B293" s="382" t="s">
        <v>383</v>
      </c>
      <c r="C293" s="379"/>
      <c r="D293" s="379" t="s">
        <v>409</v>
      </c>
      <c r="E293" s="1656"/>
      <c r="F293" s="1247" t="s">
        <v>452</v>
      </c>
      <c r="G293" s="1247" t="s">
        <v>343</v>
      </c>
      <c r="H293" s="2626" t="s">
        <v>1572</v>
      </c>
      <c r="I293" s="2627"/>
      <c r="J293" s="1247" t="s">
        <v>343</v>
      </c>
      <c r="K293" s="2626" t="s">
        <v>1573</v>
      </c>
      <c r="L293" s="2627"/>
      <c r="M293" s="1247" t="s">
        <v>343</v>
      </c>
      <c r="N293" s="2626" t="s">
        <v>1575</v>
      </c>
      <c r="O293" s="2627"/>
      <c r="P293" s="1247" t="s">
        <v>343</v>
      </c>
      <c r="Q293" s="2626" t="s">
        <v>1574</v>
      </c>
      <c r="R293" s="2628"/>
      <c r="S293" s="537" t="s">
        <v>444</v>
      </c>
      <c r="T293" s="539" t="s">
        <v>444</v>
      </c>
      <c r="U293" s="1259" t="s">
        <v>276</v>
      </c>
      <c r="V293" s="116"/>
      <c r="W293" s="116"/>
      <c r="X293" s="1243" t="s">
        <v>316</v>
      </c>
      <c r="Y293" s="2629" t="s">
        <v>316</v>
      </c>
      <c r="Z293" s="2630"/>
      <c r="AA293" s="1656" t="s">
        <v>444</v>
      </c>
      <c r="AB293" s="1656" t="s">
        <v>444</v>
      </c>
      <c r="AC293" s="539"/>
      <c r="AD293" s="539" t="s">
        <v>444</v>
      </c>
      <c r="AE293" s="153" t="s">
        <v>276</v>
      </c>
      <c r="AF293" s="127"/>
      <c r="AG293" s="2631" t="s">
        <v>211</v>
      </c>
      <c r="AH293" s="2632"/>
      <c r="AI293" s="2632"/>
      <c r="AJ293" s="2632" t="s">
        <v>442</v>
      </c>
      <c r="AK293" s="2632"/>
      <c r="AL293" s="2632"/>
      <c r="AM293" s="2632" t="s">
        <v>267</v>
      </c>
      <c r="AN293" s="2632"/>
      <c r="AO293" s="2632"/>
      <c r="AP293" s="2632" t="s">
        <v>443</v>
      </c>
      <c r="AQ293" s="2632"/>
      <c r="AR293" s="2632"/>
      <c r="AS293" s="2648" t="s">
        <v>327</v>
      </c>
      <c r="AT293" s="2648"/>
      <c r="AU293" s="2649"/>
      <c r="AV293" s="2631" t="s">
        <v>636</v>
      </c>
      <c r="AW293" s="2632"/>
      <c r="AX293" s="568"/>
      <c r="BH293" s="2614" t="s">
        <v>1646</v>
      </c>
      <c r="BI293" s="2645"/>
      <c r="BJ293" s="2645"/>
      <c r="BK293" s="2615"/>
      <c r="BL293" s="2614" t="s">
        <v>1644</v>
      </c>
      <c r="BM293" s="2645"/>
      <c r="BN293" s="2645"/>
      <c r="BO293" s="2615"/>
      <c r="BP293" s="2614" t="s">
        <v>1645</v>
      </c>
      <c r="BQ293" s="2645"/>
      <c r="BR293" s="2645"/>
      <c r="BS293" s="2615"/>
    </row>
    <row r="294" spans="1:71" s="116" customFormat="1" ht="12.75" hidden="1" customHeight="1" outlineLevel="2">
      <c r="A294" s="114"/>
      <c r="B294" s="536" t="s">
        <v>1628</v>
      </c>
      <c r="C294" s="144"/>
      <c r="D294" s="315"/>
      <c r="E294" s="315"/>
      <c r="F294" s="1248" t="s">
        <v>453</v>
      </c>
      <c r="G294" s="1248" t="s">
        <v>1621</v>
      </c>
      <c r="H294" s="1249" t="s">
        <v>411</v>
      </c>
      <c r="I294" s="1249" t="s">
        <v>257</v>
      </c>
      <c r="J294" s="1248" t="s">
        <v>790</v>
      </c>
      <c r="K294" s="1249" t="s">
        <v>411</v>
      </c>
      <c r="L294" s="1249" t="s">
        <v>257</v>
      </c>
      <c r="M294" s="1248" t="s">
        <v>791</v>
      </c>
      <c r="N294" s="1249" t="s">
        <v>411</v>
      </c>
      <c r="O294" s="1249" t="s">
        <v>257</v>
      </c>
      <c r="P294" s="1248" t="s">
        <v>213</v>
      </c>
      <c r="Q294" s="1249" t="s">
        <v>411</v>
      </c>
      <c r="R294" s="1249" t="s">
        <v>257</v>
      </c>
      <c r="S294" s="1245" t="s">
        <v>411</v>
      </c>
      <c r="T294" s="220" t="s">
        <v>257</v>
      </c>
      <c r="U294" s="1259" t="s">
        <v>444</v>
      </c>
      <c r="X294" s="1243" t="s">
        <v>1649</v>
      </c>
      <c r="Y294" s="2646" t="s">
        <v>1650</v>
      </c>
      <c r="Z294" s="2647"/>
      <c r="AA294" s="1662" t="s">
        <v>411</v>
      </c>
      <c r="AB294" s="1662" t="s">
        <v>257</v>
      </c>
      <c r="AC294" s="162"/>
      <c r="AD294" s="162" t="s">
        <v>327</v>
      </c>
      <c r="AE294" s="153" t="s">
        <v>444</v>
      </c>
      <c r="AG294" s="579" t="s">
        <v>411</v>
      </c>
      <c r="AH294" s="580" t="s">
        <v>257</v>
      </c>
      <c r="AI294" s="580"/>
      <c r="AJ294" s="580" t="s">
        <v>411</v>
      </c>
      <c r="AK294" s="580" t="s">
        <v>257</v>
      </c>
      <c r="AL294" s="580"/>
      <c r="AM294" s="580" t="s">
        <v>411</v>
      </c>
      <c r="AN294" s="580" t="s">
        <v>257</v>
      </c>
      <c r="AO294" s="580"/>
      <c r="AP294" s="580" t="s">
        <v>411</v>
      </c>
      <c r="AQ294" s="580" t="s">
        <v>257</v>
      </c>
      <c r="AR294" s="580"/>
      <c r="AS294" s="581" t="s">
        <v>411</v>
      </c>
      <c r="AT294" s="581" t="s">
        <v>257</v>
      </c>
      <c r="AU294" s="582"/>
      <c r="AV294" s="579" t="s">
        <v>411</v>
      </c>
      <c r="AW294" s="580" t="s">
        <v>257</v>
      </c>
      <c r="AX294" s="583"/>
      <c r="BH294" s="1065"/>
      <c r="BI294" s="1065"/>
      <c r="BJ294" s="1065"/>
      <c r="BK294" s="1167"/>
      <c r="BL294" s="1068"/>
      <c r="BM294" s="1068"/>
      <c r="BN294" s="1068"/>
      <c r="BO294" s="1068"/>
      <c r="BP294" s="1069"/>
      <c r="BQ294" s="1070"/>
      <c r="BR294" s="1070"/>
      <c r="BS294" s="1071"/>
    </row>
    <row r="295" spans="1:71" s="116" customFormat="1" ht="12.75" hidden="1" customHeight="1" outlineLevel="2">
      <c r="A295" s="114"/>
      <c r="B295" s="143" t="s">
        <v>1630</v>
      </c>
      <c r="C295" s="144"/>
      <c r="D295" s="315">
        <f>SUM(S295,T295)</f>
        <v>0</v>
      </c>
      <c r="E295" s="315"/>
      <c r="F295" s="1201"/>
      <c r="G295" s="1201"/>
      <c r="H295" s="1266" t="e">
        <f>VLOOKUP($B295&amp;"; "&amp;$H$249&amp;", "&amp;H$250,'FE Energie'!$G:$U,9,FALSE)</f>
        <v>#N/A</v>
      </c>
      <c r="I295" s="1266" t="e">
        <f>VLOOKUP($B295&amp;"; "&amp;$H$249&amp;", "&amp;I$250,'FE Energie'!$G:$U,9,FALSE)</f>
        <v>#N/A</v>
      </c>
      <c r="J295" s="1201"/>
      <c r="K295" s="1266">
        <f>VLOOKUP($B295&amp;"; "&amp;$K$249&amp;", "&amp;K$250,'FE Energie'!$G:$U,9,FALSE)</f>
        <v>7.8399999999999997E-2</v>
      </c>
      <c r="L295" s="1266">
        <f>VLOOKUP($B295&amp;"; "&amp;$K$249&amp;", "&amp;L$250,'FE Energie'!$G:$U,9,FALSE)</f>
        <v>0.19500000000000001</v>
      </c>
      <c r="M295" s="1201"/>
      <c r="N295" s="1266">
        <f>VLOOKUP($B295&amp;"; "&amp;$N$249&amp;", "&amp;N$250,'FE Energie'!$G:$U,9,FALSE)</f>
        <v>916</v>
      </c>
      <c r="O295" s="1266">
        <f>VLOOKUP($B295&amp;"; "&amp;$N$249&amp;", "&amp;O$250,'FE Energie'!$G:$U,9,FALSE)</f>
        <v>2269</v>
      </c>
      <c r="P295" s="1201"/>
      <c r="Q295" s="223">
        <f>VLOOKUP($B295&amp;"; "&amp;$Q$249&amp;", "&amp;Q$250,'FE Energie'!$G:$U,9,FALSE)</f>
        <v>0.75800000000000001</v>
      </c>
      <c r="R295" s="223">
        <f>VLOOKUP($B295&amp;"; "&amp;$Q$249&amp;", "&amp;R$250,'FE Energie'!$G:$U,9,FALSE)</f>
        <v>1.88</v>
      </c>
      <c r="S295" s="566">
        <f>IF(ISNA(G295*H295),0,G295*H295)+IF(ISNA(J295*K295),0,J295*K295)+IF(ISNA(M295*N295),0,M295*N295)+IF(ISNA(P295*Q295),0,P295*Q295)</f>
        <v>0</v>
      </c>
      <c r="T295" s="567">
        <f>IF(ISNA(G295*I295),0,G295*I295)+IF(ISNA(J295*L295),0,J295*L295)+IF(ISNA(M295*O295),0,M295*O295)+IF(ISNA(P295*R295),0,P295*R295)</f>
        <v>0</v>
      </c>
      <c r="U295" s="165">
        <f>IF(OR(F295=Utilitaires!$I$572,F295=Utilitaires!$I$577),T295,0)</f>
        <v>0</v>
      </c>
      <c r="X295" s="1092">
        <f>IF(AD295=0,AD295,AD295/(S295+T295))</f>
        <v>0</v>
      </c>
      <c r="Y295" s="343"/>
      <c r="Z295" s="820"/>
      <c r="AA295" s="164">
        <f>SQRT(SUMSQ(IF(ISNA($G295*H295*BL295),0,$G295*H295*BL295),IF(ISNA($J295*K295*BM295),0,$J295*K295*BM295),IF(ISNA($M295*N295*BN295),0,$M295*N295*BN295),IF(ISNA($P295*Q295*BO295),0,$P295*Q295*BO295)))</f>
        <v>0</v>
      </c>
      <c r="AB295" s="164">
        <f>SQRT(SUMSQ(IF(ISNA($G295*I295*BP295),0,$G295*I295*BP295),IF(ISNA($J295*L295*BQ295),0,$J295*L295*BQ295),IF(ISNA($M295*O295*BR295),0,$M295*O295*BR295),IF(ISNA($P295*R295*BS295),0,$P295*R295*BS295)))</f>
        <v>0</v>
      </c>
      <c r="AC295" s="152"/>
      <c r="AD295" s="152">
        <f>SQRT(SUMSQ(AA295,AB295))</f>
        <v>0</v>
      </c>
      <c r="AE295" s="1286">
        <f>U295*X295</f>
        <v>0</v>
      </c>
      <c r="AG295" s="564">
        <f>$G295*IF(ISNA(VLOOKUP($B295&amp;"; "&amp;$H$293&amp;", "&amp;H$294,'FE Energie'!$G:$U,10,FALSE)),0,VLOOKUP($B295&amp;"; "&amp;$H$293&amp;", "&amp;H$294,'FE Energie'!$G:$U,10,FALSE))
+$J295*IF(ISNA(VLOOKUP($B295&amp;"; "&amp;$K$293&amp;", "&amp;H$294,'FE Energie'!$G:$U,10,FALSE)),0,VLOOKUP($B295&amp;"; "&amp;$K$293&amp;", "&amp;H$294,'FE Energie'!$G:$U,10,FALSE))
+$M295*IF(ISNA(VLOOKUP($B295&amp;"; "&amp;$N$293&amp;", "&amp;H$294,'FE Energie'!$G:$U,10,FALSE)),0,VLOOKUP($B295&amp;"; "&amp;$N$293&amp;", "&amp;H$294,'FE Energie'!$G:$U,10,FALSE))
+$P295*IF(ISNA(VLOOKUP($B295&amp;"; "&amp;$Q$293&amp;", "&amp;H$294,'FE Energie'!$G:$U,10,FALSE)),0,VLOOKUP($B295&amp;"; "&amp;$Q$293&amp;", "&amp;H$294,'FE Energie'!$G:$U,10,FALSE))</f>
        <v>0</v>
      </c>
      <c r="AH295" s="565">
        <f>$G295*IF(ISNA(VLOOKUP($B295&amp;"; "&amp;$H$293&amp;", "&amp;I$294,'FE Energie'!$G:$U,10,FALSE)),0,VLOOKUP($B295&amp;"; "&amp;$H$293&amp;", "&amp;I$294,'FE Energie'!$G:$U,10,FALSE))
+$J295*IF(ISNA(VLOOKUP($B295&amp;"; "&amp;$K$293&amp;", "&amp;I$294,'FE Energie'!$G:$U,10,FALSE)),0,VLOOKUP($B295&amp;"; "&amp;$K$293&amp;", "&amp;I$294,'FE Energie'!$G:$U,10,FALSE))
+$M295*IF(ISNA(VLOOKUP($B295&amp;"; "&amp;$N$293&amp;", "&amp;I$294,'FE Energie'!$G:$U,10,FALSE)),0,VLOOKUP($B295&amp;"; "&amp;$N$293&amp;", "&amp;I$294,'FE Energie'!$G:$U,10,FALSE))
+$P295*IF(ISNA(VLOOKUP($B295&amp;"; "&amp;$Q$293&amp;", "&amp;I$294,'FE Energie'!$G:$U,10,FALSE)),0,VLOOKUP($B295&amp;"; "&amp;$Q$293&amp;", "&amp;I$294,'FE Energie'!$G:$U,10,FALSE))</f>
        <v>0</v>
      </c>
      <c r="AI295" s="565"/>
      <c r="AJ295" s="565">
        <f>$G295*IF(ISNA((VLOOKUP($B295&amp;"; "&amp;$H$293&amp;", "&amp;H$294,'FE Energie'!$G:$U,11,FALSE)+VLOOKUP($B295&amp;"; "&amp;$H$293&amp;", "&amp;H$294,'FE Energie'!$G:$U,12,FALSE))),0,(VLOOKUP($B295&amp;"; "&amp;$H$293&amp;", "&amp;H$294,'FE Energie'!$G:$U,11,FALSE)+VLOOKUP($B295&amp;"; "&amp;$H$293&amp;", "&amp;H$294,'FE Energie'!$G:$U,12,FALSE)))
+$J295*IF(ISNA((VLOOKUP($B295&amp;"; "&amp;$K$293&amp;", "&amp;H$294,'FE Energie'!$G:$U,11,FALSE)+VLOOKUP($B295&amp;"; "&amp;$K$293&amp;", "&amp;H$294,'FE Energie'!$G:$U,12,FALSE))),0,(VLOOKUP($B295&amp;"; "&amp;$K$293&amp;", "&amp;H$294,'FE Energie'!$G:$U,11,FALSE)+VLOOKUP($B295&amp;"; "&amp;$K$293&amp;", "&amp;H$294,'FE Energie'!$G:$U,12,FALSE)))
+$M295*IF(ISNA((VLOOKUP($B295&amp;"; "&amp;$N$293&amp;", "&amp;H$294,'FE Energie'!$G:$U,11,FALSE)+VLOOKUP($B295&amp;"; "&amp;$N$293&amp;", "&amp;H$294,'FE Energie'!$G:$U,12,FALSE))),0,(VLOOKUP($B295&amp;"; "&amp;$N$293&amp;", "&amp;H$294,'FE Energie'!$G:$U,11,FALSE)+VLOOKUP($B295&amp;"; "&amp;$N$293&amp;", "&amp;H$294,'FE Energie'!$G:$U,12,FALSE)))
+$P295*IF(ISNA((VLOOKUP($B295&amp;"; "&amp;$Q$293&amp;", "&amp;H$294,'FE Energie'!$G:$U,11,FALSE)+VLOOKUP($B295&amp;"; "&amp;$Q$293&amp;", "&amp;H$294,'FE Energie'!$G:$U,12,FALSE))),0,(VLOOKUP($B295&amp;"; "&amp;$Q$293&amp;", "&amp;H$294,'FE Energie'!$G:$U,11,FALSE)+VLOOKUP($B295&amp;"; "&amp;$Q$293&amp;", "&amp;H$294,'FE Energie'!$G:$U,12,FALSE)))</f>
        <v>0</v>
      </c>
      <c r="AK295" s="565">
        <f>$G295*IF(ISNA((VLOOKUP($B295&amp;"; "&amp;$H$293&amp;", "&amp;I$294,'FE Energie'!$G:$U,11,FALSE)+VLOOKUP($B295&amp;"; "&amp;$H$293&amp;", "&amp;I$294,'FE Energie'!$G:$U,12,FALSE))),0,(VLOOKUP($B295&amp;"; "&amp;$H$293&amp;", "&amp;I$294,'FE Energie'!$G:$U,11,FALSE)+VLOOKUP($B295&amp;"; "&amp;$H$293&amp;", "&amp;I$294,'FE Energie'!$G:$U,12,FALSE)))
+$J295*IF(ISNA((VLOOKUP($B295&amp;"; "&amp;$K$293&amp;", "&amp;I$294,'FE Energie'!$G:$U,11,FALSE)+VLOOKUP($B295&amp;"; "&amp;$K$293&amp;", "&amp;I$294,'FE Energie'!$G:$U,12,FALSE))),0,(VLOOKUP($B295&amp;"; "&amp;$K$293&amp;", "&amp;I$294,'FE Energie'!$G:$U,11,FALSE)+VLOOKUP($B295&amp;"; "&amp;$K$293&amp;", "&amp;I$294,'FE Energie'!$G:$U,12,FALSE)))
+$M295*IF(ISNA((VLOOKUP($B295&amp;"; "&amp;$N$293&amp;", "&amp;I$294,'FE Energie'!$G:$U,11,FALSE)+VLOOKUP($B295&amp;"; "&amp;$N$293&amp;", "&amp;I$294,'FE Energie'!$G:$U,12,FALSE))),0,(VLOOKUP($B295&amp;"; "&amp;$N$293&amp;", "&amp;I$294,'FE Energie'!$G:$U,11,FALSE)+VLOOKUP($B295&amp;"; "&amp;$N$293&amp;", "&amp;I$294,'FE Energie'!$G:$U,12,FALSE)))
+$P295*IF(ISNA((VLOOKUP($B295&amp;"; "&amp;$Q$293&amp;", "&amp;I$294,'FE Energie'!$G:$U,11,FALSE)+VLOOKUP($B295&amp;"; "&amp;$Q$293&amp;", "&amp;I$294,'FE Energie'!$G:$U,12,FALSE))),0,(VLOOKUP($B295&amp;"; "&amp;$Q$293&amp;", "&amp;I$294,'FE Energie'!$G:$U,11,FALSE)+VLOOKUP($B295&amp;"; "&amp;$Q$293&amp;", "&amp;I$294,'FE Energie'!$G:$U,12,FALSE)))</f>
        <v>0</v>
      </c>
      <c r="AL295" s="565"/>
      <c r="AM295" s="565">
        <f>$G295*IF(ISNA(VLOOKUP($B295&amp;"; "&amp;$H$293&amp;", "&amp;H$294,'FE Energie'!$G:$U,13,FALSE)),0,VLOOKUP($B295&amp;"; "&amp;$H$293&amp;", "&amp;H$294,'FE Energie'!$G:$U,13,FALSE))
+$J295*IF(ISNA(VLOOKUP($B295&amp;"; "&amp;$K$293&amp;", "&amp;H$294,'FE Energie'!$G:$U,13,FALSE)),0,VLOOKUP($B295&amp;"; "&amp;$K$293&amp;", "&amp;H$294,'FE Energie'!$G:$U,13,FALSE))
+$M295*IF(ISNA(VLOOKUP($B295&amp;"; "&amp;$N$293&amp;", "&amp;H$294,'FE Energie'!$G:$U,13,FALSE)),0,VLOOKUP($B295&amp;"; "&amp;$N$293&amp;", "&amp;H$294,'FE Energie'!$G:$U,13,FALSE))
+$P295*IF(ISNA(VLOOKUP($B295&amp;"; "&amp;$Q$293&amp;", "&amp;H$294,'FE Energie'!$G:$U,13,FALSE)),0,VLOOKUP($B295&amp;"; "&amp;$Q$293&amp;", "&amp;H$294,'FE Energie'!$G:$U,13,FALSE))</f>
        <v>0</v>
      </c>
      <c r="AN295" s="565">
        <f>$G295*IF(ISNA(VLOOKUP($B295&amp;"; "&amp;$H$293&amp;", "&amp;I$294,'FE Energie'!$G:$U,13,FALSE)),0,VLOOKUP($B295&amp;"; "&amp;$H$293&amp;", "&amp;I$294,'FE Energie'!$G:$U,13,FALSE))
+$J295*IF(ISNA(VLOOKUP($B295&amp;"; "&amp;$K$293&amp;", "&amp;I$294,'FE Energie'!$G:$U,13,FALSE)),0,VLOOKUP($B295&amp;"; "&amp;$K$293&amp;", "&amp;I$294,'FE Energie'!$G:$U,13,FALSE))
+$M295*IF(ISNA(VLOOKUP($B295&amp;"; "&amp;$N$293&amp;", "&amp;I$294,'FE Energie'!$G:$U,13,FALSE)),0,VLOOKUP($B295&amp;"; "&amp;$N$293&amp;", "&amp;I$294,'FE Energie'!$G:$U,13,FALSE))
+$P295*IF(ISNA(VLOOKUP($B295&amp;"; "&amp;$Q$293&amp;", "&amp;I$294,'FE Energie'!$G:$U,13,FALSE)),0,VLOOKUP($B295&amp;"; "&amp;$Q$293&amp;", "&amp;I$294,'FE Energie'!$G:$U,13,FALSE))</f>
        <v>0</v>
      </c>
      <c r="AO295" s="565"/>
      <c r="AP295" s="565">
        <f>$G295*IF(ISNA(VLOOKUP($B295&amp;"; "&amp;$H$293&amp;", "&amp;H$294,'FE Energie'!$G:$U,14,FALSE)),0,VLOOKUP($B295&amp;"; "&amp;$H$293&amp;", "&amp;H$294,'FE Energie'!$G:$U,14,FALSE))
+$J295*IF(ISNA(VLOOKUP($B295&amp;"; "&amp;$K$293&amp;", "&amp;H$294,'FE Energie'!$G:$U,14,FALSE)),0,VLOOKUP($B295&amp;"; "&amp;$K$293&amp;", "&amp;H$294,'FE Energie'!$G:$U,14,FALSE))
+$M295*IF(ISNA(VLOOKUP($B295&amp;"; "&amp;$N$293&amp;", "&amp;H$294,'FE Energie'!$G:$U,14,FALSE)),0,VLOOKUP($B295&amp;"; "&amp;$N$293&amp;", "&amp;H$294,'FE Energie'!$G:$U,14,FALSE))
+$P295*IF(ISNA(VLOOKUP($B295&amp;"; "&amp;$Q$293&amp;", "&amp;H$294,'FE Energie'!$G:$U,14,FALSE)),0,VLOOKUP($B295&amp;"; "&amp;$Q$293&amp;", "&amp;H$294,'FE Energie'!$G:$U,14,FALSE))</f>
        <v>0</v>
      </c>
      <c r="AQ295" s="565">
        <f>$G295*IF(ISNA(VLOOKUP($B295&amp;"; "&amp;$H$293&amp;", "&amp;I$294,'FE Energie'!$G:$U,14,FALSE)),0,VLOOKUP($B295&amp;"; "&amp;$H$293&amp;", "&amp;I$294,'FE Energie'!$G:$U,14,FALSE))
+$J295*IF(ISNA(VLOOKUP($B295&amp;"; "&amp;$K$293&amp;", "&amp;I$294,'FE Energie'!$G:$U,14,FALSE)),0,VLOOKUP($B295&amp;"; "&amp;$K$293&amp;", "&amp;I$294,'FE Energie'!$G:$U,14,FALSE))
+$M295*IF(ISNA(VLOOKUP($B295&amp;"; "&amp;$N$293&amp;", "&amp;I$294,'FE Energie'!$G:$U,14,FALSE)),0,VLOOKUP($B295&amp;"; "&amp;$N$293&amp;", "&amp;I$294,'FE Energie'!$G:$U,14,FALSE))
+$P295*IF(ISNA(VLOOKUP($B295&amp;"; "&amp;$Q$293&amp;", "&amp;I$294,'FE Energie'!$G:$U,14,FALSE)),0,VLOOKUP($B295&amp;"; "&amp;$Q$293&amp;", "&amp;I$294,'FE Energie'!$G:$U,14,FALSE))</f>
        <v>0</v>
      </c>
      <c r="AR295" s="565"/>
      <c r="AS295" s="566">
        <f>SUM(AG295,AJ295,AM295,AP295)</f>
        <v>0</v>
      </c>
      <c r="AT295" s="566">
        <f>SUM(AH295,AK295,AN295,AQ295)</f>
        <v>0</v>
      </c>
      <c r="AU295" s="566"/>
      <c r="AV295" s="564">
        <f>$G295*IF(ISNA(VLOOKUP($B295&amp;"; "&amp;$H$293&amp;", "&amp;H$294,'FE Energie'!$G:$U,15,FALSE)),0,VLOOKUP($B295&amp;"; "&amp;$H$293&amp;", "&amp;H$294,'FE Energie'!$G:$U,15,FALSE))
+$J295*IF(ISNA(VLOOKUP($B295&amp;"; "&amp;$K$293&amp;", "&amp;H$294,'FE Energie'!$G:$U,15,FALSE)),0,VLOOKUP($B295&amp;"; "&amp;$K$293&amp;", "&amp;H$294,'FE Energie'!$G:$U,15,FALSE))
+$M295*IF(ISNA(VLOOKUP($B295&amp;"; "&amp;$N$293&amp;", "&amp;H$294,'FE Energie'!$G:$U,15,FALSE)),0,VLOOKUP($B295&amp;"; "&amp;$N$293&amp;", "&amp;H$294,'FE Energie'!$G:$U,15,FALSE))
+$P295*IF(ISNA(VLOOKUP($B295&amp;"; "&amp;$Q$293&amp;", "&amp;H$294,'FE Energie'!$G:$U,15,FALSE)),0,VLOOKUP($B295&amp;"; "&amp;$Q$293&amp;", "&amp;H$294,'FE Energie'!$G:$U,15,FALSE))</f>
        <v>0</v>
      </c>
      <c r="AW295" s="565">
        <f>$G295*IF(ISNA(VLOOKUP($B295&amp;"; "&amp;$H$293&amp;", "&amp;I$294,'FE Energie'!$G:$U,15,FALSE)),0,VLOOKUP($B295&amp;"; "&amp;$H$293&amp;", "&amp;I$294,'FE Energie'!$G:$U,15,FALSE))
+$J295*IF(ISNA(VLOOKUP($B295&amp;"; "&amp;$K$293&amp;", "&amp;I$294,'FE Energie'!$G:$U,15,FALSE)),0,VLOOKUP($B295&amp;"; "&amp;$K$293&amp;", "&amp;I$294,'FE Energie'!$G:$U,15,FALSE))
+$M295*IF(ISNA(VLOOKUP($B295&amp;"; "&amp;$N$293&amp;", "&amp;I$294,'FE Energie'!$G:$U,15,FALSE)),0,VLOOKUP($B295&amp;"; "&amp;$N$293&amp;", "&amp;I$294,'FE Energie'!$G:$U,15,FALSE))
+$P295*IF(ISNA(VLOOKUP($B295&amp;"; "&amp;$Q$293&amp;", "&amp;I$294,'FE Energie'!$G:$U,15,FALSE)),0,VLOOKUP($B295&amp;"; "&amp;$Q$293&amp;", "&amp;I$294,'FE Energie'!$G:$U,15,FALSE))</f>
        <v>0</v>
      </c>
      <c r="AX295" s="568"/>
      <c r="BH295" s="1065">
        <f>IF($Y295&lt;&gt;"votre valeur :",IF(ISNA(VLOOKUP($Y295,Utilitaires!$N$566:$O$571,2,FALSE)),,VLOOKUP($Y295,Utilitaires!$N$566:$O$571,2,FALSE)),$Z295)</f>
        <v>0</v>
      </c>
      <c r="BI295" s="1065">
        <f>IF($Y295&lt;&gt;"votre valeur :",IF(ISNA(VLOOKUP($Y295,Utilitaires!$N$566:$O$571,2,FALSE)),,VLOOKUP($Y295,Utilitaires!$N$566:$O$571,2,FALSE)),$Z295)</f>
        <v>0</v>
      </c>
      <c r="BJ295" s="1065">
        <f>IF($Y295&lt;&gt;"votre valeur :",IF(ISNA(VLOOKUP($Y295,Utilitaires!$N$566:$O$571,2,FALSE)),,VLOOKUP($Y295,Utilitaires!$N$566:$O$571,2,FALSE)),$Z295)</f>
        <v>0</v>
      </c>
      <c r="BK295" s="1167">
        <f>IF($Y295&lt;&gt;"votre valeur :",IF(ISNA(VLOOKUP($Y295,Utilitaires!$N$566:$O$571,2,FALSE)),,VLOOKUP($Y295,Utilitaires!$N$566:$O$571,2,FALSE)),$Z295)</f>
        <v>0</v>
      </c>
      <c r="BL295" s="1068">
        <f>IF(ISNA(SQRT(SUMSQ(VLOOKUP($B295&amp;"; "&amp;$H$293&amp;", "&amp;$H$294,'FE Energie'!$G:$U,7,FALSE),$BH295))),0,SQRT(SUMSQ(VLOOKUP($B295&amp;"; "&amp;$H$293&amp;", "&amp;$H$294,'FE Energie'!$G:$U,7,FALSE),$BH295)))</f>
        <v>0</v>
      </c>
      <c r="BM295" s="1068">
        <f>IF(ISNA(SQRT(SUMSQ(VLOOKUP($B295&amp;"; "&amp;$K$293&amp;", "&amp;$K$294,'FE Energie'!$G:$U,7,FALSE),$BI295))),0,SQRT(SUMSQ(VLOOKUP($B295&amp;"; "&amp;$K$293&amp;", "&amp;$K$294,'FE Energie'!$G:$U,7,FALSE),$BI295)))</f>
        <v>0.05</v>
      </c>
      <c r="BN295" s="1068">
        <f>IF(ISNA(SQRT(SUMSQ(VLOOKUP($B295&amp;"; "&amp;$N$293&amp;", "&amp;$N$294,'FE Energie'!$G:$U,7,FALSE),$BJ295))),0,SQRT(SUMSQ(VLOOKUP($B295&amp;"; "&amp;$N$293&amp;", "&amp;$N$294,'FE Energie'!$G:$U,7,FALSE),$BJ295)))</f>
        <v>0.05</v>
      </c>
      <c r="BO295" s="1068">
        <f>IF(ISNA(SQRT(SUMSQ(VLOOKUP($B295&amp;"; "&amp;$Q$293&amp;", "&amp;$Q$294,'FE Energie'!$G:$U,7,FALSE),$BK295))),0,SQRT(SUMSQ(VLOOKUP($B295&amp;"; "&amp;$Q$293&amp;", "&amp;$Q$294,'FE Energie'!$G:$U,7,FALSE),$BK295)))</f>
        <v>0.1</v>
      </c>
      <c r="BP295" s="1069">
        <f>IF(ISNA(SQRT(SUMSQ(VLOOKUP($B295&amp;"; "&amp;$H$293&amp;", "&amp;$I$294,'FE Energie'!$G:$U,7,FALSE),$BH295))),0,SQRT(SUMSQ(VLOOKUP($B295&amp;"; "&amp;$H$293&amp;", "&amp;$I$294,'FE Energie'!$G:$U,7,FALSE),$BH295)))</f>
        <v>0</v>
      </c>
      <c r="BQ295" s="1070">
        <f>IF(ISNA(SQRT(SUMSQ(VLOOKUP($B295&amp;"; "&amp;$K$293&amp;", "&amp;$L$294,'FE Energie'!$G:$U,7,FALSE),$BI295))),0,SQRT(SUMSQ(VLOOKUP($B295&amp;"; "&amp;$K$293&amp;", "&amp;$L$294,'FE Energie'!$G:$U,7,FALSE),$BI295)))</f>
        <v>0.05</v>
      </c>
      <c r="BR295" s="1070">
        <f>IF(ISNA(SQRT(SUMSQ(VLOOKUP($B295&amp;"; "&amp;$N$293&amp;", "&amp;$O$294,'FE Energie'!$G:$U,7,FALSE),$BJ295))),0,SQRT(SUMSQ(VLOOKUP($B295&amp;"; "&amp;$N$293&amp;", "&amp;$O$294,'FE Energie'!$G:$U,7,FALSE),$BJ295)))</f>
        <v>0.05</v>
      </c>
      <c r="BS295" s="1071">
        <f>IF(ISNA(SQRT(SUMSQ(VLOOKUP($B295&amp;"; "&amp;$Q$293&amp;", "&amp;$R$294,'FE Energie'!$G:$U,7,FALSE),$BK295))),0,SQRT(SUMSQ(VLOOKUP($B295&amp;"; "&amp;$Q$293&amp;", "&amp;$R$294,'FE Energie'!$G:$U,7,FALSE),$BK295)))</f>
        <v>0.1</v>
      </c>
    </row>
    <row r="296" spans="1:71" s="116" customFormat="1" ht="12.75" hidden="1" customHeight="1" outlineLevel="2">
      <c r="A296" s="114"/>
      <c r="B296" s="143" t="s">
        <v>1631</v>
      </c>
      <c r="C296" s="144"/>
      <c r="D296" s="315">
        <f>SUM(S296,T296)</f>
        <v>0</v>
      </c>
      <c r="E296" s="315"/>
      <c r="F296" s="1086"/>
      <c r="G296" s="1086"/>
      <c r="H296" s="1266">
        <f>VLOOKUP($B296&amp;"; "&amp;$H$249&amp;", "&amp;H$250,'FE Energie'!$G:$U,9,FALSE)</f>
        <v>0.27</v>
      </c>
      <c r="I296" s="1266">
        <f>VLOOKUP($B296&amp;"; "&amp;$H$249&amp;", "&amp;I$250,'FE Energie'!$G:$U,9,FALSE)</f>
        <v>3.07</v>
      </c>
      <c r="J296" s="1086"/>
      <c r="K296" s="1266" t="e">
        <f>VLOOKUP($B296&amp;"; "&amp;$K$249&amp;", "&amp;K$250,'FE Energie'!$G:$U,9,FALSE)</f>
        <v>#N/A</v>
      </c>
      <c r="L296" s="1266" t="e">
        <f>VLOOKUP($B296&amp;"; "&amp;$K$249&amp;", "&amp;L$250,'FE Energie'!$G:$U,9,FALSE)</f>
        <v>#N/A</v>
      </c>
      <c r="M296" s="1086"/>
      <c r="N296" s="1266" t="e">
        <f>VLOOKUP($B296&amp;"; "&amp;$N$249&amp;", "&amp;N$250,'FE Energie'!$G:$U,9,FALSE)</f>
        <v>#N/A</v>
      </c>
      <c r="O296" s="1266" t="e">
        <f>VLOOKUP($B296&amp;"; "&amp;$N$249&amp;", "&amp;O$250,'FE Energie'!$G:$U,9,FALSE)</f>
        <v>#N/A</v>
      </c>
      <c r="P296" s="1086"/>
      <c r="Q296" s="223" t="e">
        <f>VLOOKUP($B296&amp;"; "&amp;$Q$249&amp;", "&amp;Q$250,'FE Energie'!$G:$U,9,FALSE)</f>
        <v>#N/A</v>
      </c>
      <c r="R296" s="223" t="e">
        <f>VLOOKUP($B296&amp;"; "&amp;$Q$249&amp;", "&amp;R$250,'FE Energie'!$G:$U,9,FALSE)</f>
        <v>#N/A</v>
      </c>
      <c r="S296" s="566">
        <f>IF(ISNA(G296*H296),0,G296*H296)+IF(ISNA(J296*K296),0,J296*K296)+IF(ISNA(M296*N296),0,M296*N296)+IF(ISNA(P296*Q296),0,P296*Q296)</f>
        <v>0</v>
      </c>
      <c r="T296" s="567">
        <f>IF(ISNA(G296*I296),0,G296*I296)+IF(ISNA(J296*L296),0,J296*L296)+IF(ISNA(M296*O296),0,M296*O296)+IF(ISNA(P296*R296),0,P296*R296)</f>
        <v>0</v>
      </c>
      <c r="U296" s="165">
        <f>IF(OR(F296=Utilitaires!$I$572,F296=Utilitaires!$I$577),T296,0)</f>
        <v>0</v>
      </c>
      <c r="X296" s="1092">
        <f>IF(AD296=0,AD296,AD296/(S296+T296))</f>
        <v>0</v>
      </c>
      <c r="Y296" s="1094"/>
      <c r="Z296" s="820"/>
      <c r="AA296" s="164">
        <f>SQRT(SUMSQ(IF(ISNA($G296*H296*BL296),0,$G296*H296*BL296),IF(ISNA($J296*K296*BM296),0,$J296*K296*BM296),IF(ISNA($M296*N296*BN296),0,$M296*N296*BN296),IF(ISNA($P296*Q296*BO296),0,$P296*Q296*BO296)))</f>
        <v>0</v>
      </c>
      <c r="AB296" s="164">
        <f>SQRT(SUMSQ(IF(ISNA($G296*I296*BP296),0,$G296*I296*BP296),IF(ISNA($J296*L296*BQ296),0,$J296*L296*BQ296),IF(ISNA($M296*O296*BR296),0,$M296*O296*BR296),IF(ISNA($P296*R296*#REF!),0,$P296*R296*#REF!)))</f>
        <v>0</v>
      </c>
      <c r="AC296" s="152"/>
      <c r="AD296" s="152">
        <f>SQRT(SUMSQ(AA296,AB296))</f>
        <v>0</v>
      </c>
      <c r="AE296" s="1286">
        <f>U296*X296</f>
        <v>0</v>
      </c>
      <c r="AG296" s="564">
        <f>$G296*IF(ISNA(VLOOKUP($B296&amp;"; "&amp;$H$293&amp;", "&amp;H$294,'FE Energie'!$G:$U,10,FALSE)),0,VLOOKUP($B296&amp;"; "&amp;$H$293&amp;", "&amp;H$294,'FE Energie'!$G:$U,10,FALSE))
+$J296*IF(ISNA(VLOOKUP($B296&amp;"; "&amp;$K$293&amp;", "&amp;H$294,'FE Energie'!$G:$U,10,FALSE)),0,VLOOKUP($B296&amp;"; "&amp;$K$293&amp;", "&amp;H$294,'FE Energie'!$G:$U,10,FALSE))
+$M296*IF(ISNA(VLOOKUP($B296&amp;"; "&amp;$N$293&amp;", "&amp;H$294,'FE Energie'!$G:$U,10,FALSE)),0,VLOOKUP($B296&amp;"; "&amp;$N$293&amp;", "&amp;H$294,'FE Energie'!$G:$U,10,FALSE))
+$P296*IF(ISNA(VLOOKUP($B296&amp;"; "&amp;$Q$293&amp;", "&amp;H$294,'FE Energie'!$G:$U,10,FALSE)),0,VLOOKUP($B296&amp;"; "&amp;$Q$293&amp;", "&amp;H$294,'FE Energie'!$G:$U,10,FALSE))</f>
        <v>0</v>
      </c>
      <c r="AH296" s="565">
        <f>$G296*IF(ISNA(VLOOKUP($B296&amp;"; "&amp;$H$293&amp;", "&amp;I$294,'FE Energie'!$G:$U,10,FALSE)),0,VLOOKUP($B296&amp;"; "&amp;$H$293&amp;", "&amp;I$294,'FE Energie'!$G:$U,10,FALSE))
+$J296*IF(ISNA(VLOOKUP($B296&amp;"; "&amp;$K$293&amp;", "&amp;I$294,'FE Energie'!$G:$U,10,FALSE)),0,VLOOKUP($B296&amp;"; "&amp;$K$293&amp;", "&amp;I$294,'FE Energie'!$G:$U,10,FALSE))
+$M296*IF(ISNA(VLOOKUP($B296&amp;"; "&amp;$N$293&amp;", "&amp;I$294,'FE Energie'!$G:$U,10,FALSE)),0,VLOOKUP($B296&amp;"; "&amp;$N$293&amp;", "&amp;I$294,'FE Energie'!$G:$U,10,FALSE))
+$P296*IF(ISNA(VLOOKUP($B296&amp;"; "&amp;$Q$293&amp;", "&amp;I$294,'FE Energie'!$G:$U,10,FALSE)),0,VLOOKUP($B296&amp;"; "&amp;$Q$293&amp;", "&amp;I$294,'FE Energie'!$G:$U,10,FALSE))</f>
        <v>0</v>
      </c>
      <c r="AI296" s="565"/>
      <c r="AJ296" s="565">
        <f>$G296*IF(ISNA((VLOOKUP($B296&amp;"; "&amp;$H$293&amp;", "&amp;H$294,'FE Energie'!$G:$U,11,FALSE)+VLOOKUP($B296&amp;"; "&amp;$H$293&amp;", "&amp;H$294,'FE Energie'!$G:$U,12,FALSE))),0,(VLOOKUP($B296&amp;"; "&amp;$H$293&amp;", "&amp;H$294,'FE Energie'!$G:$U,11,FALSE)+VLOOKUP($B296&amp;"; "&amp;$H$293&amp;", "&amp;H$294,'FE Energie'!$G:$U,12,FALSE)))
+$J296*IF(ISNA((VLOOKUP($B296&amp;"; "&amp;$K$293&amp;", "&amp;H$294,'FE Energie'!$G:$U,11,FALSE)+VLOOKUP($B296&amp;"; "&amp;$K$293&amp;", "&amp;H$294,'FE Energie'!$G:$U,12,FALSE))),0,(VLOOKUP($B296&amp;"; "&amp;$K$293&amp;", "&amp;H$294,'FE Energie'!$G:$U,11,FALSE)+VLOOKUP($B296&amp;"; "&amp;$K$293&amp;", "&amp;H$294,'FE Energie'!$G:$U,12,FALSE)))
+$M296*IF(ISNA((VLOOKUP($B296&amp;"; "&amp;$N$293&amp;", "&amp;H$294,'FE Energie'!$G:$U,11,FALSE)+VLOOKUP($B296&amp;"; "&amp;$N$293&amp;", "&amp;H$294,'FE Energie'!$G:$U,12,FALSE))),0,(VLOOKUP($B296&amp;"; "&amp;$N$293&amp;", "&amp;H$294,'FE Energie'!$G:$U,11,FALSE)+VLOOKUP($B296&amp;"; "&amp;$N$293&amp;", "&amp;H$294,'FE Energie'!$G:$U,12,FALSE)))
+$P296*IF(ISNA((VLOOKUP($B296&amp;"; "&amp;$Q$293&amp;", "&amp;H$294,'FE Energie'!$G:$U,11,FALSE)+VLOOKUP($B296&amp;"; "&amp;$Q$293&amp;", "&amp;H$294,'FE Energie'!$G:$U,12,FALSE))),0,(VLOOKUP($B296&amp;"; "&amp;$Q$293&amp;", "&amp;H$294,'FE Energie'!$G:$U,11,FALSE)+VLOOKUP($B296&amp;"; "&amp;$Q$293&amp;", "&amp;H$294,'FE Energie'!$G:$U,12,FALSE)))</f>
        <v>0</v>
      </c>
      <c r="AK296" s="565">
        <f>$G296*IF(ISNA((VLOOKUP($B296&amp;"; "&amp;$H$293&amp;", "&amp;I$294,'FE Energie'!$G:$U,11,FALSE)+VLOOKUP($B296&amp;"; "&amp;$H$293&amp;", "&amp;I$294,'FE Energie'!$G:$U,12,FALSE))),0,(VLOOKUP($B296&amp;"; "&amp;$H$293&amp;", "&amp;I$294,'FE Energie'!$G:$U,11,FALSE)+VLOOKUP($B296&amp;"; "&amp;$H$293&amp;", "&amp;I$294,'FE Energie'!$G:$U,12,FALSE)))
+$J296*IF(ISNA((VLOOKUP($B296&amp;"; "&amp;$K$293&amp;", "&amp;I$294,'FE Energie'!$G:$U,11,FALSE)+VLOOKUP($B296&amp;"; "&amp;$K$293&amp;", "&amp;I$294,'FE Energie'!$G:$U,12,FALSE))),0,(VLOOKUP($B296&amp;"; "&amp;$K$293&amp;", "&amp;I$294,'FE Energie'!$G:$U,11,FALSE)+VLOOKUP($B296&amp;"; "&amp;$K$293&amp;", "&amp;I$294,'FE Energie'!$G:$U,12,FALSE)))
+$M296*IF(ISNA((VLOOKUP($B296&amp;"; "&amp;$N$293&amp;", "&amp;I$294,'FE Energie'!$G:$U,11,FALSE)+VLOOKUP($B296&amp;"; "&amp;$N$293&amp;", "&amp;I$294,'FE Energie'!$G:$U,12,FALSE))),0,(VLOOKUP($B296&amp;"; "&amp;$N$293&amp;", "&amp;I$294,'FE Energie'!$G:$U,11,FALSE)+VLOOKUP($B296&amp;"; "&amp;$N$293&amp;", "&amp;I$294,'FE Energie'!$G:$U,12,FALSE)))
+$P296*IF(ISNA((VLOOKUP($B296&amp;"; "&amp;$Q$293&amp;", "&amp;I$294,'FE Energie'!$G:$U,11,FALSE)+VLOOKUP($B296&amp;"; "&amp;$Q$293&amp;", "&amp;I$294,'FE Energie'!$G:$U,12,FALSE))),0,(VLOOKUP($B296&amp;"; "&amp;$Q$293&amp;", "&amp;I$294,'FE Energie'!$G:$U,11,FALSE)+VLOOKUP($B296&amp;"; "&amp;$Q$293&amp;", "&amp;I$294,'FE Energie'!$G:$U,12,FALSE)))</f>
        <v>0</v>
      </c>
      <c r="AL296" s="565"/>
      <c r="AM296" s="565">
        <f>$G296*IF(ISNA(VLOOKUP($B296&amp;"; "&amp;$H$293&amp;", "&amp;H$294,'FE Energie'!$G:$U,13,FALSE)),0,VLOOKUP($B296&amp;"; "&amp;$H$293&amp;", "&amp;H$294,'FE Energie'!$G:$U,13,FALSE))
+$J296*IF(ISNA(VLOOKUP($B296&amp;"; "&amp;$K$293&amp;", "&amp;H$294,'FE Energie'!$G:$U,13,FALSE)),0,VLOOKUP($B296&amp;"; "&amp;$K$293&amp;", "&amp;H$294,'FE Energie'!$G:$U,13,FALSE))
+$M296*IF(ISNA(VLOOKUP($B296&amp;"; "&amp;$N$293&amp;", "&amp;H$294,'FE Energie'!$G:$U,13,FALSE)),0,VLOOKUP($B296&amp;"; "&amp;$N$293&amp;", "&amp;H$294,'FE Energie'!$G:$U,13,FALSE))
+$P296*IF(ISNA(VLOOKUP($B296&amp;"; "&amp;$Q$293&amp;", "&amp;H$294,'FE Energie'!$G:$U,13,FALSE)),0,VLOOKUP($B296&amp;"; "&amp;$Q$293&amp;", "&amp;H$294,'FE Energie'!$G:$U,13,FALSE))</f>
        <v>0</v>
      </c>
      <c r="AN296" s="565">
        <f>$G296*IF(ISNA(VLOOKUP($B296&amp;"; "&amp;$H$293&amp;", "&amp;I$294,'FE Energie'!$G:$U,13,FALSE)),0,VLOOKUP($B296&amp;"; "&amp;$H$293&amp;", "&amp;I$294,'FE Energie'!$G:$U,13,FALSE))
+$J296*IF(ISNA(VLOOKUP($B296&amp;"; "&amp;$K$293&amp;", "&amp;I$294,'FE Energie'!$G:$U,13,FALSE)),0,VLOOKUP($B296&amp;"; "&amp;$K$293&amp;", "&amp;I$294,'FE Energie'!$G:$U,13,FALSE))
+$M296*IF(ISNA(VLOOKUP($B296&amp;"; "&amp;$N$293&amp;", "&amp;I$294,'FE Energie'!$G:$U,13,FALSE)),0,VLOOKUP($B296&amp;"; "&amp;$N$293&amp;", "&amp;I$294,'FE Energie'!$G:$U,13,FALSE))
+$P296*IF(ISNA(VLOOKUP($B296&amp;"; "&amp;$Q$293&amp;", "&amp;I$294,'FE Energie'!$G:$U,13,FALSE)),0,VLOOKUP($B296&amp;"; "&amp;$Q$293&amp;", "&amp;I$294,'FE Energie'!$G:$U,13,FALSE))</f>
        <v>0</v>
      </c>
      <c r="AO296" s="565"/>
      <c r="AP296" s="565">
        <f>$G296*IF(ISNA(VLOOKUP($B296&amp;"; "&amp;$H$293&amp;", "&amp;H$294,'FE Energie'!$G:$U,14,FALSE)),0,VLOOKUP($B296&amp;"; "&amp;$H$293&amp;", "&amp;H$294,'FE Energie'!$G:$U,14,FALSE))
+$J296*IF(ISNA(VLOOKUP($B296&amp;"; "&amp;$K$293&amp;", "&amp;H$294,'FE Energie'!$G:$U,14,FALSE)),0,VLOOKUP($B296&amp;"; "&amp;$K$293&amp;", "&amp;H$294,'FE Energie'!$G:$U,14,FALSE))
+$M296*IF(ISNA(VLOOKUP($B296&amp;"; "&amp;$N$293&amp;", "&amp;H$294,'FE Energie'!$G:$U,14,FALSE)),0,VLOOKUP($B296&amp;"; "&amp;$N$293&amp;", "&amp;H$294,'FE Energie'!$G:$U,14,FALSE))
+$P296*IF(ISNA(VLOOKUP($B296&amp;"; "&amp;$Q$293&amp;", "&amp;H$294,'FE Energie'!$G:$U,14,FALSE)),0,VLOOKUP($B296&amp;"; "&amp;$Q$293&amp;", "&amp;H$294,'FE Energie'!$G:$U,14,FALSE))</f>
        <v>0</v>
      </c>
      <c r="AQ296" s="565">
        <f>$G296*IF(ISNA(VLOOKUP($B296&amp;"; "&amp;$H$293&amp;", "&amp;I$294,'FE Energie'!$G:$U,14,FALSE)),0,VLOOKUP($B296&amp;"; "&amp;$H$293&amp;", "&amp;I$294,'FE Energie'!$G:$U,14,FALSE))
+$J296*IF(ISNA(VLOOKUP($B296&amp;"; "&amp;$K$293&amp;", "&amp;I$294,'FE Energie'!$G:$U,14,FALSE)),0,VLOOKUP($B296&amp;"; "&amp;$K$293&amp;", "&amp;I$294,'FE Energie'!$G:$U,14,FALSE))
+$M296*IF(ISNA(VLOOKUP($B296&amp;"; "&amp;$N$293&amp;", "&amp;I$294,'FE Energie'!$G:$U,14,FALSE)),0,VLOOKUP($B296&amp;"; "&amp;$N$293&amp;", "&amp;I$294,'FE Energie'!$G:$U,14,FALSE))
+$P296*IF(ISNA(VLOOKUP($B296&amp;"; "&amp;$Q$293&amp;", "&amp;I$294,'FE Energie'!$G:$U,14,FALSE)),0,VLOOKUP($B296&amp;"; "&amp;$Q$293&amp;", "&amp;I$294,'FE Energie'!$G:$U,14,FALSE))</f>
        <v>0</v>
      </c>
      <c r="AR296" s="565"/>
      <c r="AS296" s="566">
        <f>SUM(AG296,AJ296,AM296,AP296)</f>
        <v>0</v>
      </c>
      <c r="AT296" s="566">
        <f>SUM(AH296,AK296,AN296,AQ296)</f>
        <v>0</v>
      </c>
      <c r="AU296" s="566"/>
      <c r="AV296" s="564">
        <f>$G296*IF(ISNA(VLOOKUP($B296&amp;"; "&amp;$H$293&amp;", "&amp;H$294,'FE Energie'!$G:$U,15,FALSE)),0,VLOOKUP($B296&amp;"; "&amp;$H$293&amp;", "&amp;H$294,'FE Energie'!$G:$U,15,FALSE))
+$J296*IF(ISNA(VLOOKUP($B296&amp;"; "&amp;$K$293&amp;", "&amp;H$294,'FE Energie'!$G:$U,15,FALSE)),0,VLOOKUP($B296&amp;"; "&amp;$K$293&amp;", "&amp;H$294,'FE Energie'!$G:$U,15,FALSE))
+$M296*IF(ISNA(VLOOKUP($B296&amp;"; "&amp;$N$293&amp;", "&amp;H$294,'FE Energie'!$G:$U,15,FALSE)),0,VLOOKUP($B296&amp;"; "&amp;$N$293&amp;", "&amp;H$294,'FE Energie'!$G:$U,15,FALSE))
+$P296*IF(ISNA(VLOOKUP($B296&amp;"; "&amp;$Q$293&amp;", "&amp;H$294,'FE Energie'!$G:$U,15,FALSE)),0,VLOOKUP($B296&amp;"; "&amp;$Q$293&amp;", "&amp;H$294,'FE Energie'!$G:$U,15,FALSE))</f>
        <v>0</v>
      </c>
      <c r="AW296" s="565">
        <f>$G296*IF(ISNA(VLOOKUP($B296&amp;"; "&amp;$H$293&amp;", "&amp;I$294,'FE Energie'!$G:$U,15,FALSE)),0,VLOOKUP($B296&amp;"; "&amp;$H$293&amp;", "&amp;I$294,'FE Energie'!$G:$U,15,FALSE))
+$J296*IF(ISNA(VLOOKUP($B296&amp;"; "&amp;$K$293&amp;", "&amp;I$294,'FE Energie'!$G:$U,15,FALSE)),0,VLOOKUP($B296&amp;"; "&amp;$K$293&amp;", "&amp;I$294,'FE Energie'!$G:$U,15,FALSE))
+$M296*IF(ISNA(VLOOKUP($B296&amp;"; "&amp;$N$293&amp;", "&amp;I$294,'FE Energie'!$G:$U,15,FALSE)),0,VLOOKUP($B296&amp;"; "&amp;$N$293&amp;", "&amp;I$294,'FE Energie'!$G:$U,15,FALSE))
+$P296*IF(ISNA(VLOOKUP($B296&amp;"; "&amp;$Q$293&amp;", "&amp;I$294,'FE Energie'!$G:$U,15,FALSE)),0,VLOOKUP($B296&amp;"; "&amp;$Q$293&amp;", "&amp;I$294,'FE Energie'!$G:$U,15,FALSE))</f>
        <v>0</v>
      </c>
      <c r="AX296" s="568"/>
      <c r="BH296" s="1065">
        <f>IF($Y296&lt;&gt;"votre valeur :",IF(ISNA(VLOOKUP($Y296,Utilitaires!$N$566:$O$571,2,FALSE)),,VLOOKUP($Y296,Utilitaires!$N$566:$O$571,2,FALSE)),$Z296)</f>
        <v>0</v>
      </c>
      <c r="BI296" s="1065">
        <f>IF($Y296&lt;&gt;"votre valeur :",IF(ISNA(VLOOKUP($Y296,Utilitaires!$N$566:$O$571,2,FALSE)),,VLOOKUP($Y296,Utilitaires!$N$566:$O$571,2,FALSE)),$Z296)</f>
        <v>0</v>
      </c>
      <c r="BJ296" s="1065">
        <f>IF($Y296&lt;&gt;"votre valeur :",IF(ISNA(VLOOKUP($Y296,Utilitaires!$N$566:$O$571,2,FALSE)),,VLOOKUP($Y296,Utilitaires!$N$566:$O$571,2,FALSE)),$Z296)</f>
        <v>0</v>
      </c>
      <c r="BK296" s="1167">
        <f>IF($Y296&lt;&gt;"votre valeur :",IF(ISNA(VLOOKUP($Y296,Utilitaires!$N$566:$O$571,2,FALSE)),,VLOOKUP($Y296,Utilitaires!$N$566:$O$571,2,FALSE)),$Z296)</f>
        <v>0</v>
      </c>
      <c r="BL296" s="1068">
        <f>IF(ISNA(SQRT(SUMSQ(VLOOKUP($B296&amp;"; "&amp;$H$293&amp;", "&amp;$H$294,'FE Energie'!$G:$U,7,FALSE),$BH296))),0,SQRT(SUMSQ(VLOOKUP($B296&amp;"; "&amp;$H$293&amp;", "&amp;$H$294,'FE Energie'!$G:$U,7,FALSE),$BH296)))</f>
        <v>0.05</v>
      </c>
      <c r="BM296" s="1068">
        <f>IF(ISNA(SQRT(SUMSQ(VLOOKUP($B296&amp;"; "&amp;$K$293&amp;", "&amp;$K$294,'FE Energie'!$G:$U,7,FALSE),$BI296))),0,SQRT(SUMSQ(VLOOKUP($B296&amp;"; "&amp;$K$293&amp;", "&amp;$K$294,'FE Energie'!$G:$U,7,FALSE),$BI296)))</f>
        <v>0</v>
      </c>
      <c r="BN296" s="1068">
        <f>IF(ISNA(SQRT(SUMSQ(VLOOKUP($B296&amp;"; "&amp;$N$293&amp;", "&amp;$N$294,'FE Energie'!$G:$U,7,FALSE),$BJ296))),0,SQRT(SUMSQ(VLOOKUP($B296&amp;"; "&amp;$N$293&amp;", "&amp;$N$294,'FE Energie'!$G:$U,7,FALSE),$BJ296)))</f>
        <v>0</v>
      </c>
      <c r="BO296" s="1068">
        <f>IF(ISNA(SQRT(SUMSQ(VLOOKUP($B296&amp;"; "&amp;$Q$293&amp;", "&amp;$Q$294,'FE Energie'!$G:$U,7,FALSE),$BK296))),0,SQRT(SUMSQ(VLOOKUP($B296&amp;"; "&amp;$Q$293&amp;", "&amp;$Q$294,'FE Energie'!$G:$U,7,FALSE),$BK296)))</f>
        <v>0</v>
      </c>
      <c r="BP296" s="1069">
        <f>IF(ISNA(SQRT(SUMSQ(VLOOKUP($B296&amp;"; "&amp;$H$293&amp;", "&amp;$I$294,'FE Energie'!$G:$U,7,FALSE),$BH296))),0,SQRT(SUMSQ(VLOOKUP($B296&amp;"; "&amp;$H$293&amp;", "&amp;$I$294,'FE Energie'!$G:$U,7,FALSE),$BH296)))</f>
        <v>0.05</v>
      </c>
      <c r="BQ296" s="1070">
        <f>IF(ISNA(SQRT(SUMSQ(VLOOKUP($B296&amp;"; "&amp;$K$293&amp;", "&amp;$L$294,'FE Energie'!$G:$U,7,FALSE),$BI296))),0,SQRT(SUMSQ(VLOOKUP($B296&amp;"; "&amp;$K$293&amp;", "&amp;$L$294,'FE Energie'!$G:$U,7,FALSE),$BI296)))</f>
        <v>0</v>
      </c>
      <c r="BR296" s="1070">
        <f>IF(ISNA(SQRT(SUMSQ(VLOOKUP($B296&amp;"; "&amp;$N$293&amp;", "&amp;$O$294,'FE Energie'!$G:$U,7,FALSE),$BJ296))),0,SQRT(SUMSQ(VLOOKUP($B296&amp;"; "&amp;$N$293&amp;", "&amp;$O$294,'FE Energie'!$G:$U,7,FALSE),$BJ296)))</f>
        <v>0</v>
      </c>
      <c r="BS296" s="1071">
        <f>IF(ISNA(SQRT(SUMSQ(VLOOKUP($B296&amp;"; "&amp;$Q$293&amp;", "&amp;$R$294,'FE Energie'!$G:$U,7,FALSE),$BK296))),0,SQRT(SUMSQ(VLOOKUP($B296&amp;"; "&amp;$Q$293&amp;", "&amp;$R$294,'FE Energie'!$G:$U,7,FALSE),$BK296)))</f>
        <v>0</v>
      </c>
    </row>
    <row r="297" spans="1:71" hidden="1" outlineLevel="2">
      <c r="B297" s="154"/>
      <c r="C297" s="155"/>
      <c r="D297" s="221"/>
      <c r="E297" s="221"/>
      <c r="F297" s="155"/>
      <c r="G297" s="155"/>
      <c r="H297" s="155"/>
      <c r="I297" s="155"/>
      <c r="J297" s="155"/>
      <c r="K297" s="155"/>
      <c r="L297" s="155"/>
      <c r="M297" s="155"/>
      <c r="N297" s="155"/>
      <c r="O297" s="155"/>
      <c r="P297" s="155"/>
      <c r="Q297" s="155"/>
      <c r="R297" s="155"/>
      <c r="S297" s="155"/>
      <c r="T297" s="367"/>
      <c r="U297" s="165"/>
      <c r="V297" s="116"/>
      <c r="X297" s="154"/>
      <c r="Y297" s="155"/>
      <c r="Z297" s="155"/>
      <c r="AA297" s="155"/>
      <c r="AB297" s="329"/>
      <c r="AC297" s="357"/>
      <c r="AD297" s="357"/>
      <c r="AE297" s="1776"/>
      <c r="AG297" s="564"/>
      <c r="AH297" s="565"/>
      <c r="AI297" s="565"/>
      <c r="AJ297" s="565"/>
      <c r="AK297" s="565"/>
      <c r="AL297" s="565"/>
      <c r="AM297" s="565"/>
      <c r="AN297" s="565"/>
      <c r="AO297" s="565"/>
      <c r="AP297" s="565"/>
      <c r="AQ297" s="565"/>
      <c r="AR297" s="565"/>
      <c r="AS297" s="566"/>
      <c r="AT297" s="566"/>
      <c r="AU297" s="566"/>
      <c r="AV297" s="569"/>
      <c r="AW297" s="625"/>
      <c r="AX297" s="570"/>
      <c r="BH297" s="1058"/>
      <c r="BI297" s="1072"/>
      <c r="BJ297" s="1072"/>
      <c r="BK297" s="1059"/>
      <c r="BL297" s="1073"/>
      <c r="BM297" s="1073"/>
      <c r="BN297" s="1073"/>
      <c r="BO297" s="1074"/>
      <c r="BP297" s="1075"/>
      <c r="BQ297" s="1076"/>
      <c r="BR297" s="1076"/>
      <c r="BS297" s="1077"/>
    </row>
    <row r="298" spans="1:71" hidden="1" outlineLevel="2">
      <c r="B298" s="196" t="s">
        <v>348</v>
      </c>
      <c r="C298" s="197"/>
      <c r="D298" s="214">
        <f>SUM(D295:D297)</f>
        <v>0</v>
      </c>
      <c r="E298" s="214"/>
      <c r="F298" s="198"/>
      <c r="G298" s="199"/>
      <c r="H298" s="199"/>
      <c r="I298" s="199"/>
      <c r="J298" s="199"/>
      <c r="K298" s="199"/>
      <c r="L298" s="199"/>
      <c r="M298" s="199"/>
      <c r="N298" s="199"/>
      <c r="O298" s="199"/>
      <c r="P298" s="199"/>
      <c r="Q298" s="199"/>
      <c r="R298" s="199"/>
      <c r="S298" s="202">
        <f>SUM(S295:S297)</f>
        <v>0</v>
      </c>
      <c r="T298" s="200">
        <f>SUM(T295:T297)</f>
        <v>0</v>
      </c>
      <c r="U298" s="200">
        <f>SUM(U295:U297)</f>
        <v>0</v>
      </c>
      <c r="V298" s="116"/>
      <c r="W298" s="116"/>
      <c r="X298" s="201"/>
      <c r="Y298" s="199"/>
      <c r="Z298" s="199"/>
      <c r="AA298" s="203">
        <f>SQRT(SUMSQ(AA295:AA297))</f>
        <v>0</v>
      </c>
      <c r="AB298" s="203">
        <f>SQRT(SUMSQ(AB295:AB297))</f>
        <v>0</v>
      </c>
      <c r="AC298" s="200"/>
      <c r="AD298" s="200">
        <f>SQRT(SUMSQ(AD295:AD297))</f>
        <v>0</v>
      </c>
      <c r="AE298" s="340">
        <f>SQRT(SUMSQ(AE295:AE297))</f>
        <v>0</v>
      </c>
      <c r="AG298" s="571">
        <f>SUM(AG295:AG297)</f>
        <v>0</v>
      </c>
      <c r="AH298" s="572">
        <f>SUM(AH295:AH297)</f>
        <v>0</v>
      </c>
      <c r="AI298" s="572"/>
      <c r="AJ298" s="572">
        <f>SUM(AJ295:AJ297)</f>
        <v>0</v>
      </c>
      <c r="AK298" s="572">
        <f>SUM(AK295:AK297)</f>
        <v>0</v>
      </c>
      <c r="AL298" s="572"/>
      <c r="AM298" s="572">
        <f>SUM(AM295:AM297)</f>
        <v>0</v>
      </c>
      <c r="AN298" s="572">
        <f>SUM(AN295:AN297)</f>
        <v>0</v>
      </c>
      <c r="AO298" s="572"/>
      <c r="AP298" s="572">
        <f>SUM(AP295:AP297)</f>
        <v>0</v>
      </c>
      <c r="AQ298" s="572">
        <f>SUM(AQ295:AQ297)</f>
        <v>0</v>
      </c>
      <c r="AR298" s="572"/>
      <c r="AS298" s="573">
        <f>SUM(AS295:AS297)</f>
        <v>0</v>
      </c>
      <c r="AT298" s="573">
        <f>SUM(AT295:AT297)</f>
        <v>0</v>
      </c>
      <c r="AU298" s="574"/>
      <c r="AV298" s="571">
        <f>SUM(AV295:AV297)</f>
        <v>0</v>
      </c>
      <c r="AW298" s="572">
        <f>SUM(AW295:AW297)</f>
        <v>0</v>
      </c>
      <c r="AX298" s="575"/>
    </row>
    <row r="299" spans="1:71" hidden="1" outlineLevel="2">
      <c r="Q299" s="116"/>
      <c r="AG299" s="444"/>
      <c r="AH299" s="444"/>
      <c r="AI299" s="444"/>
      <c r="AJ299" s="444"/>
      <c r="AQ299" s="444"/>
      <c r="AR299" s="444"/>
    </row>
    <row r="300" spans="1:71" ht="12.75" hidden="1" customHeight="1" outlineLevel="2">
      <c r="B300" s="139" t="s">
        <v>3689</v>
      </c>
      <c r="C300" s="140"/>
      <c r="D300" s="1008"/>
      <c r="E300" s="1648"/>
      <c r="F300" s="1008"/>
      <c r="G300" s="141"/>
      <c r="H300" s="141"/>
      <c r="I300" s="142"/>
      <c r="J300" s="116"/>
      <c r="K300" s="116"/>
      <c r="L300" s="116"/>
      <c r="M300" s="116"/>
      <c r="N300" s="116"/>
      <c r="O300" s="116"/>
      <c r="P300" s="116"/>
      <c r="Q300" s="116"/>
      <c r="R300" s="116"/>
      <c r="S300" s="116"/>
      <c r="T300" s="116"/>
      <c r="U300" s="116"/>
      <c r="V300" s="116"/>
      <c r="W300" s="116"/>
      <c r="X300" s="2636" t="s">
        <v>366</v>
      </c>
      <c r="Y300" s="2637"/>
      <c r="Z300" s="2637"/>
      <c r="AA300" s="2638"/>
      <c r="AC300" s="116"/>
      <c r="AD300" s="116"/>
      <c r="AG300" s="2639" t="s">
        <v>441</v>
      </c>
      <c r="AH300" s="2640"/>
      <c r="AI300" s="2640"/>
      <c r="AJ300" s="2640"/>
      <c r="AK300" s="2640"/>
      <c r="AL300" s="2640"/>
      <c r="AM300" s="2640"/>
      <c r="AN300" s="2640"/>
      <c r="AO300" s="2640"/>
      <c r="AP300" s="2640"/>
      <c r="AQ300" s="2640"/>
      <c r="AR300" s="2640"/>
      <c r="AS300" s="2640"/>
      <c r="AT300" s="2640"/>
      <c r="AU300" s="2640"/>
      <c r="AV300" s="2640"/>
      <c r="AW300" s="2640"/>
      <c r="AX300" s="2641"/>
    </row>
    <row r="301" spans="1:71" ht="12.75" hidden="1" customHeight="1" outlineLevel="2">
      <c r="B301" s="143"/>
      <c r="C301" s="144"/>
      <c r="D301" s="537" t="s">
        <v>308</v>
      </c>
      <c r="E301" s="1663"/>
      <c r="F301" s="144"/>
      <c r="G301" s="144"/>
      <c r="H301" s="1244"/>
      <c r="I301" s="539" t="s">
        <v>444</v>
      </c>
      <c r="J301" s="116"/>
      <c r="K301" s="116"/>
      <c r="L301" s="116"/>
      <c r="M301" s="116"/>
      <c r="N301" s="116"/>
      <c r="O301" s="116"/>
      <c r="P301" s="116"/>
      <c r="Q301" s="116"/>
      <c r="R301" s="116"/>
      <c r="S301" s="116"/>
      <c r="T301" s="116"/>
      <c r="U301" s="116"/>
      <c r="X301" s="1243"/>
      <c r="Y301" s="819"/>
      <c r="Z301" s="819"/>
      <c r="AA301" s="539" t="s">
        <v>444</v>
      </c>
      <c r="AF301" s="127"/>
      <c r="AG301" s="2642"/>
      <c r="AH301" s="2643"/>
      <c r="AI301" s="2643"/>
      <c r="AJ301" s="2643"/>
      <c r="AK301" s="2643"/>
      <c r="AL301" s="2643"/>
      <c r="AM301" s="2643"/>
      <c r="AN301" s="2643"/>
      <c r="AO301" s="2643"/>
      <c r="AP301" s="2643"/>
      <c r="AQ301" s="2643"/>
      <c r="AR301" s="2644"/>
      <c r="AS301" s="2642"/>
      <c r="AT301" s="2643"/>
      <c r="AU301" s="2644"/>
      <c r="AV301" s="1288"/>
      <c r="AW301" s="566"/>
      <c r="AX301" s="583"/>
      <c r="BH301" s="2828" t="s">
        <v>1648</v>
      </c>
      <c r="BI301" s="2829"/>
    </row>
    <row r="302" spans="1:71" ht="12.75" hidden="1" customHeight="1" outlineLevel="2">
      <c r="B302" s="1243"/>
      <c r="C302" s="1244"/>
      <c r="D302" s="1244" t="s">
        <v>409</v>
      </c>
      <c r="E302" s="1656"/>
      <c r="F302" s="147" t="s">
        <v>452</v>
      </c>
      <c r="G302" s="147" t="s">
        <v>3670</v>
      </c>
      <c r="H302" s="1006"/>
      <c r="I302" s="220" t="s">
        <v>880</v>
      </c>
      <c r="J302" s="116"/>
      <c r="K302" s="116"/>
      <c r="L302" s="116"/>
      <c r="M302" s="116"/>
      <c r="N302" s="116"/>
      <c r="O302" s="116"/>
      <c r="P302" s="116"/>
      <c r="Q302" s="116"/>
      <c r="R302" s="116"/>
      <c r="S302" s="116"/>
      <c r="T302" s="116"/>
      <c r="U302" s="116"/>
      <c r="V302" s="109"/>
      <c r="W302" s="109"/>
      <c r="X302" s="1243" t="s">
        <v>316</v>
      </c>
      <c r="Y302" s="2629" t="s">
        <v>316</v>
      </c>
      <c r="Z302" s="2630"/>
      <c r="AA302" s="220" t="s">
        <v>880</v>
      </c>
      <c r="AC302" s="109"/>
      <c r="AD302" s="109"/>
      <c r="AE302" s="127"/>
      <c r="AF302" s="127"/>
      <c r="AG302" s="2631" t="s">
        <v>444</v>
      </c>
      <c r="AH302" s="2632"/>
      <c r="AI302" s="2632"/>
      <c r="AJ302" s="2632"/>
      <c r="AK302" s="2632"/>
      <c r="AL302" s="2632"/>
      <c r="AM302" s="2632"/>
      <c r="AN302" s="2632"/>
      <c r="AO302" s="2632"/>
      <c r="AP302" s="2632"/>
      <c r="AQ302" s="2632"/>
      <c r="AR302" s="2650"/>
      <c r="AS302" s="2848" t="s">
        <v>444</v>
      </c>
      <c r="AT302" s="2648"/>
      <c r="AU302" s="2649"/>
      <c r="AV302" s="2631"/>
      <c r="AW302" s="2632"/>
      <c r="AX302" s="568"/>
      <c r="BH302" s="2837" t="s">
        <v>1646</v>
      </c>
      <c r="BI302" s="1141"/>
    </row>
    <row r="303" spans="1:71" ht="12.75" hidden="1" customHeight="1" outlineLevel="2">
      <c r="B303" s="1243"/>
      <c r="C303" s="1244"/>
      <c r="D303" s="1244" t="s">
        <v>444</v>
      </c>
      <c r="E303" s="1656"/>
      <c r="F303" s="1248" t="s">
        <v>445</v>
      </c>
      <c r="G303" s="1248" t="s">
        <v>881</v>
      </c>
      <c r="H303" s="1007"/>
      <c r="I303" s="220" t="s">
        <v>257</v>
      </c>
      <c r="J303" s="116"/>
      <c r="K303" s="116"/>
      <c r="L303" s="116"/>
      <c r="M303" s="116"/>
      <c r="N303" s="116"/>
      <c r="O303" s="116"/>
      <c r="P303" s="116"/>
      <c r="Q303" s="116"/>
      <c r="R303" s="116"/>
      <c r="S303" s="116"/>
      <c r="T303" s="116"/>
      <c r="U303" s="116"/>
      <c r="V303" s="109"/>
      <c r="W303" s="109"/>
      <c r="X303" s="1243" t="s">
        <v>1649</v>
      </c>
      <c r="Y303" s="2646" t="s">
        <v>1650</v>
      </c>
      <c r="Z303" s="2647"/>
      <c r="AA303" s="220" t="s">
        <v>257</v>
      </c>
      <c r="AC303" s="109"/>
      <c r="AD303" s="109"/>
      <c r="AE303" s="127"/>
      <c r="AG303" s="579" t="s">
        <v>211</v>
      </c>
      <c r="AH303" s="580"/>
      <c r="AI303" s="580"/>
      <c r="AJ303" s="580" t="s">
        <v>442</v>
      </c>
      <c r="AK303" s="580"/>
      <c r="AL303" s="580"/>
      <c r="AM303" s="580" t="s">
        <v>267</v>
      </c>
      <c r="AN303" s="580"/>
      <c r="AO303" s="580"/>
      <c r="AP303" s="580" t="s">
        <v>443</v>
      </c>
      <c r="AQ303" s="580"/>
      <c r="AR303" s="580"/>
      <c r="AS303" s="1289" t="s">
        <v>327</v>
      </c>
      <c r="AT303" s="581"/>
      <c r="AU303" s="581"/>
      <c r="AV303" s="579" t="s">
        <v>636</v>
      </c>
      <c r="AW303" s="580"/>
      <c r="AX303" s="583"/>
      <c r="BH303" s="2838"/>
      <c r="BI303" s="1251"/>
    </row>
    <row r="304" spans="1:71" ht="12.75" hidden="1" customHeight="1" outlineLevel="2">
      <c r="B304" s="143" t="s">
        <v>3669</v>
      </c>
      <c r="C304" s="144"/>
      <c r="D304" s="212">
        <f>I304</f>
        <v>0</v>
      </c>
      <c r="E304" s="212"/>
      <c r="F304" s="117"/>
      <c r="G304" s="117"/>
      <c r="H304" s="225"/>
      <c r="I304" s="152">
        <f>G304</f>
        <v>0</v>
      </c>
      <c r="J304" s="116"/>
      <c r="K304" s="116"/>
      <c r="L304" s="116"/>
      <c r="M304" s="116"/>
      <c r="N304" s="116"/>
      <c r="O304" s="116"/>
      <c r="P304" s="116"/>
      <c r="Q304" s="116"/>
      <c r="R304" s="116"/>
      <c r="S304" s="116"/>
      <c r="T304" s="116"/>
      <c r="U304" s="116"/>
      <c r="X304" s="1092">
        <f>IF(AA304=0,AA304,AA304/D304)</f>
        <v>0</v>
      </c>
      <c r="Y304" s="343"/>
      <c r="Z304" s="820"/>
      <c r="AA304" s="165">
        <f>I304*BI304</f>
        <v>0</v>
      </c>
      <c r="AG304" s="564">
        <f>D304</f>
        <v>0</v>
      </c>
      <c r="AH304" s="565"/>
      <c r="AI304" s="565"/>
      <c r="AJ304" s="565"/>
      <c r="AK304" s="565"/>
      <c r="AL304" s="565"/>
      <c r="AM304" s="565"/>
      <c r="AN304" s="565"/>
      <c r="AO304" s="565"/>
      <c r="AP304" s="565"/>
      <c r="AQ304" s="565"/>
      <c r="AR304" s="565"/>
      <c r="AS304" s="1288">
        <f>SUM(AG304:AP304)</f>
        <v>0</v>
      </c>
      <c r="AT304" s="566"/>
      <c r="AU304" s="566"/>
      <c r="AV304" s="564"/>
      <c r="AW304" s="565"/>
      <c r="AX304" s="568"/>
      <c r="BH304" s="1065">
        <f>IF($Y304&lt;&gt;"votre valeur :",IF(ISNA(VLOOKUP($Y304,Utilitaires!$N$566:$O$571,2,FALSE)),,VLOOKUP($Y304,Utilitaires!$N$566:$O$571,2,FALSE)),$Z304)</f>
        <v>0</v>
      </c>
      <c r="BI304" s="1130">
        <f>SQRT(SUMSQ(0,BH304))</f>
        <v>0</v>
      </c>
    </row>
    <row r="305" spans="2:64" ht="12.75" hidden="1" customHeight="1" outlineLevel="2">
      <c r="B305" s="143" t="s">
        <v>3669</v>
      </c>
      <c r="C305" s="144"/>
      <c r="D305" s="212">
        <f>I305</f>
        <v>0</v>
      </c>
      <c r="E305" s="212"/>
      <c r="F305" s="120"/>
      <c r="G305" s="120"/>
      <c r="H305" s="225"/>
      <c r="I305" s="152">
        <f t="shared" ref="I305:I306" si="173">G305</f>
        <v>0</v>
      </c>
      <c r="J305" s="116"/>
      <c r="K305" s="116"/>
      <c r="L305" s="116"/>
      <c r="M305" s="116"/>
      <c r="N305" s="116"/>
      <c r="O305" s="116"/>
      <c r="P305" s="116"/>
      <c r="Q305" s="116"/>
      <c r="R305" s="116"/>
      <c r="S305" s="116"/>
      <c r="T305" s="116"/>
      <c r="U305" s="116"/>
      <c r="X305" s="1092">
        <f>IF(AA305=0,AA305,AA305/D305)</f>
        <v>0</v>
      </c>
      <c r="Y305" s="343"/>
      <c r="Z305" s="820"/>
      <c r="AA305" s="165">
        <f>I305*BI305</f>
        <v>0</v>
      </c>
      <c r="AG305" s="564">
        <f>D305</f>
        <v>0</v>
      </c>
      <c r="AH305" s="565"/>
      <c r="AI305" s="565"/>
      <c r="AJ305" s="565"/>
      <c r="AK305" s="565"/>
      <c r="AL305" s="565"/>
      <c r="AM305" s="565"/>
      <c r="AN305" s="565"/>
      <c r="AO305" s="565"/>
      <c r="AP305" s="565"/>
      <c r="AQ305" s="565"/>
      <c r="AR305" s="565"/>
      <c r="AS305" s="1288">
        <f>SUM(AG305:AP305)</f>
        <v>0</v>
      </c>
      <c r="AT305" s="566"/>
      <c r="AU305" s="566"/>
      <c r="AV305" s="564"/>
      <c r="AW305" s="565"/>
      <c r="AX305" s="568"/>
      <c r="BH305" s="1065">
        <f>IF($Y305&lt;&gt;"votre valeur :",IF(ISNA(VLOOKUP($Y305,Utilitaires!$N$566:$O$571,2,FALSE)),,VLOOKUP($Y305,Utilitaires!$N$566:$O$571,2,FALSE)),$Z305)</f>
        <v>0</v>
      </c>
      <c r="BI305" s="1130">
        <f>SQRT(SUMSQ(0,BH305))</f>
        <v>0</v>
      </c>
    </row>
    <row r="306" spans="2:64" ht="12.75" hidden="1" customHeight="1" outlineLevel="2">
      <c r="B306" s="143" t="s">
        <v>3669</v>
      </c>
      <c r="C306" s="144"/>
      <c r="D306" s="212">
        <f>I306</f>
        <v>0</v>
      </c>
      <c r="E306" s="212"/>
      <c r="F306" s="123"/>
      <c r="G306" s="123"/>
      <c r="H306" s="225"/>
      <c r="I306" s="152">
        <f t="shared" si="173"/>
        <v>0</v>
      </c>
      <c r="J306" s="116"/>
      <c r="K306" s="116"/>
      <c r="L306" s="116"/>
      <c r="M306" s="116"/>
      <c r="N306" s="116"/>
      <c r="O306" s="116"/>
      <c r="P306" s="116"/>
      <c r="Q306" s="116"/>
      <c r="R306" s="116"/>
      <c r="S306" s="116"/>
      <c r="T306" s="116"/>
      <c r="U306" s="116"/>
      <c r="X306" s="1092">
        <f>IF(AA306=0,AA306,AA306/D306)</f>
        <v>0</v>
      </c>
      <c r="Y306" s="1094"/>
      <c r="Z306" s="820"/>
      <c r="AA306" s="165">
        <f>I306*BI306</f>
        <v>0</v>
      </c>
      <c r="AG306" s="564">
        <f>D306</f>
        <v>0</v>
      </c>
      <c r="AH306" s="565"/>
      <c r="AI306" s="565"/>
      <c r="AJ306" s="565"/>
      <c r="AK306" s="565"/>
      <c r="AL306" s="565"/>
      <c r="AM306" s="565"/>
      <c r="AN306" s="565"/>
      <c r="AO306" s="565"/>
      <c r="AP306" s="565"/>
      <c r="AQ306" s="565"/>
      <c r="AR306" s="565"/>
      <c r="AS306" s="1288">
        <f>SUM(AG306:AP306)</f>
        <v>0</v>
      </c>
      <c r="AT306" s="566"/>
      <c r="AU306" s="566"/>
      <c r="AV306" s="564"/>
      <c r="AW306" s="565"/>
      <c r="AX306" s="568"/>
      <c r="BH306" s="1065">
        <f>IF($Y306&lt;&gt;"votre valeur :",IF(ISNA(VLOOKUP($Y306,Utilitaires!$N$566:$O$571,2,FALSE)),,VLOOKUP($Y306,Utilitaires!$N$566:$O$571,2,FALSE)),$Z306)</f>
        <v>0</v>
      </c>
      <c r="BI306" s="1130">
        <f>SQRT(SUMSQ(0,BH306))</f>
        <v>0</v>
      </c>
    </row>
    <row r="307" spans="2:64" ht="12.75" hidden="1" customHeight="1" outlineLevel="2">
      <c r="B307" s="154"/>
      <c r="C307" s="155"/>
      <c r="D307" s="221"/>
      <c r="E307" s="221"/>
      <c r="F307" s="155"/>
      <c r="G307" s="155"/>
      <c r="H307" s="155"/>
      <c r="I307" s="156"/>
      <c r="J307" s="116"/>
      <c r="K307" s="116"/>
      <c r="L307" s="116"/>
      <c r="M307" s="116"/>
      <c r="N307" s="116"/>
      <c r="O307" s="116"/>
      <c r="P307" s="116"/>
      <c r="Q307" s="116"/>
      <c r="R307" s="116"/>
      <c r="S307" s="116"/>
      <c r="T307" s="116"/>
      <c r="U307" s="116"/>
      <c r="X307" s="143"/>
      <c r="Y307" s="144"/>
      <c r="Z307" s="144"/>
      <c r="AA307" s="165"/>
      <c r="AG307" s="564"/>
      <c r="AH307" s="565"/>
      <c r="AI307" s="565"/>
      <c r="AJ307" s="565"/>
      <c r="AK307" s="565"/>
      <c r="AL307" s="565"/>
      <c r="AM307" s="565"/>
      <c r="AN307" s="565"/>
      <c r="AO307" s="565"/>
      <c r="AP307" s="565"/>
      <c r="AQ307" s="565"/>
      <c r="AR307" s="565"/>
      <c r="AS307" s="1288"/>
      <c r="AT307" s="566"/>
      <c r="AU307" s="566"/>
      <c r="AV307" s="564"/>
      <c r="AW307" s="565"/>
      <c r="AX307" s="568"/>
      <c r="BH307" s="1087"/>
      <c r="BI307" s="1153"/>
    </row>
    <row r="308" spans="2:64" ht="12.75" hidden="1" customHeight="1" outlineLevel="2">
      <c r="B308" s="196" t="s">
        <v>348</v>
      </c>
      <c r="C308" s="197"/>
      <c r="D308" s="214">
        <f>SUM(D304:D307)</f>
        <v>0</v>
      </c>
      <c r="E308" s="214"/>
      <c r="F308" s="198"/>
      <c r="G308" s="199"/>
      <c r="H308" s="199"/>
      <c r="I308" s="200">
        <f>SUM(I304:I307)</f>
        <v>0</v>
      </c>
      <c r="J308" s="116"/>
      <c r="K308" s="116"/>
      <c r="L308" s="116"/>
      <c r="M308" s="116"/>
      <c r="N308" s="116"/>
      <c r="O308" s="116"/>
      <c r="P308" s="116"/>
      <c r="Q308" s="116"/>
      <c r="R308" s="116"/>
      <c r="S308" s="116"/>
      <c r="T308" s="116"/>
      <c r="U308" s="116"/>
      <c r="X308" s="201"/>
      <c r="Y308" s="199"/>
      <c r="Z308" s="199"/>
      <c r="AA308" s="200">
        <f>SQRT(SUMSQ(AA304:AA307))</f>
        <v>0</v>
      </c>
      <c r="AG308" s="571">
        <f>SUM(AG304:AG307)</f>
        <v>0</v>
      </c>
      <c r="AH308" s="572"/>
      <c r="AI308" s="572"/>
      <c r="AJ308" s="572">
        <f>SUM(AJ304:AJ307)</f>
        <v>0</v>
      </c>
      <c r="AK308" s="572"/>
      <c r="AL308" s="572"/>
      <c r="AM308" s="572">
        <f>SUM(AM304:AM307)</f>
        <v>0</v>
      </c>
      <c r="AN308" s="572"/>
      <c r="AO308" s="572"/>
      <c r="AP308" s="572">
        <f>SUM(AP304:AP307)</f>
        <v>0</v>
      </c>
      <c r="AQ308" s="572"/>
      <c r="AR308" s="572"/>
      <c r="AS308" s="1290">
        <f>SUM(AS304:AS307)</f>
        <v>0</v>
      </c>
      <c r="AT308" s="573"/>
      <c r="AU308" s="573"/>
      <c r="AV308" s="1082">
        <f>SUM(AV304:AV307)</f>
        <v>0</v>
      </c>
      <c r="AW308" s="572"/>
      <c r="AX308" s="575"/>
    </row>
    <row r="309" spans="2:64" hidden="1" outlineLevel="2">
      <c r="Q309" s="116"/>
      <c r="AG309" s="444"/>
      <c r="AH309" s="444"/>
      <c r="AI309" s="444"/>
      <c r="AJ309" s="444"/>
      <c r="AQ309" s="444"/>
      <c r="AR309" s="444"/>
    </row>
    <row r="310" spans="2:64" ht="12.75" hidden="1" customHeight="1" outlineLevel="2">
      <c r="B310" s="139" t="s">
        <v>2519</v>
      </c>
      <c r="C310" s="140"/>
      <c r="D310" s="140"/>
      <c r="E310" s="140"/>
      <c r="F310" s="141"/>
      <c r="G310" s="141"/>
      <c r="H310" s="141"/>
      <c r="I310" s="141"/>
      <c r="J310" s="160"/>
      <c r="K310" s="160"/>
      <c r="L310" s="161"/>
      <c r="X310" s="2636" t="s">
        <v>366</v>
      </c>
      <c r="Y310" s="2637"/>
      <c r="Z310" s="2637"/>
      <c r="AA310" s="2637"/>
      <c r="AB310" s="2637"/>
      <c r="AC310" s="2637"/>
      <c r="AD310" s="2638"/>
      <c r="AE310" s="1773"/>
      <c r="AG310" s="2639" t="s">
        <v>441</v>
      </c>
      <c r="AH310" s="2640"/>
      <c r="AI310" s="2640"/>
      <c r="AJ310" s="2640"/>
      <c r="AK310" s="2640"/>
      <c r="AL310" s="2640"/>
      <c r="AM310" s="2640"/>
      <c r="AN310" s="2640"/>
      <c r="AO310" s="2640"/>
      <c r="AP310" s="2640"/>
      <c r="AQ310" s="2640"/>
      <c r="AR310" s="2640"/>
      <c r="AS310" s="2640"/>
      <c r="AT310" s="2640"/>
      <c r="AU310" s="2640"/>
      <c r="AV310" s="2640"/>
      <c r="AW310" s="2640"/>
      <c r="AX310" s="2641"/>
    </row>
    <row r="311" spans="2:64" ht="12.75" hidden="1" customHeight="1" outlineLevel="2">
      <c r="B311" s="332"/>
      <c r="C311" s="167"/>
      <c r="D311" s="378" t="s">
        <v>308</v>
      </c>
      <c r="E311" s="1663"/>
      <c r="F311" s="144"/>
      <c r="G311" s="144"/>
      <c r="H311" s="144"/>
      <c r="I311" s="144"/>
      <c r="J311" s="144"/>
      <c r="K311" s="144"/>
      <c r="L311" s="383" t="s">
        <v>275</v>
      </c>
      <c r="X311" s="1655"/>
      <c r="Y311" s="819"/>
      <c r="Z311" s="819"/>
      <c r="AA311" s="1656"/>
      <c r="AB311" s="1656"/>
      <c r="AC311" s="1656"/>
      <c r="AD311" s="1664"/>
      <c r="AE311" s="1660" t="s">
        <v>275</v>
      </c>
      <c r="AG311" s="2642" t="s">
        <v>444</v>
      </c>
      <c r="AH311" s="2643"/>
      <c r="AI311" s="2643"/>
      <c r="AJ311" s="2643"/>
      <c r="AK311" s="2643"/>
      <c r="AL311" s="2643"/>
      <c r="AM311" s="2643"/>
      <c r="AN311" s="2643"/>
      <c r="AO311" s="2643"/>
      <c r="AP311" s="2643"/>
      <c r="AQ311" s="2643"/>
      <c r="AR311" s="2644"/>
      <c r="AS311" s="2642" t="s">
        <v>444</v>
      </c>
      <c r="AT311" s="2643"/>
      <c r="AU311" s="2644"/>
      <c r="AV311" s="1288"/>
      <c r="AW311" s="566"/>
      <c r="AX311" s="583"/>
      <c r="BH311" s="2616" t="s">
        <v>1648</v>
      </c>
      <c r="BI311" s="2617"/>
      <c r="BJ311" s="2617"/>
      <c r="BK311" s="2617"/>
      <c r="BL311" s="2618"/>
    </row>
    <row r="312" spans="2:64" ht="12.75" hidden="1" customHeight="1" outlineLevel="2">
      <c r="B312" s="382"/>
      <c r="C312" s="379"/>
      <c r="D312" s="379" t="s">
        <v>409</v>
      </c>
      <c r="E312" s="1656"/>
      <c r="F312" s="147" t="s">
        <v>452</v>
      </c>
      <c r="G312" s="147"/>
      <c r="H312" s="2626" t="s">
        <v>2224</v>
      </c>
      <c r="I312" s="2628"/>
      <c r="J312" s="378" t="s">
        <v>444</v>
      </c>
      <c r="K312" s="378" t="s">
        <v>444</v>
      </c>
      <c r="L312" s="383" t="s">
        <v>276</v>
      </c>
      <c r="X312" s="1655" t="s">
        <v>316</v>
      </c>
      <c r="Y312" s="2629" t="s">
        <v>316</v>
      </c>
      <c r="Z312" s="2630"/>
      <c r="AA312" s="1656" t="s">
        <v>444</v>
      </c>
      <c r="AB312" s="1656" t="s">
        <v>444</v>
      </c>
      <c r="AC312" s="1663"/>
      <c r="AD312" s="1665" t="s">
        <v>444</v>
      </c>
      <c r="AE312" s="153" t="s">
        <v>276</v>
      </c>
      <c r="AG312" s="2631" t="s">
        <v>211</v>
      </c>
      <c r="AH312" s="2632"/>
      <c r="AI312" s="2632"/>
      <c r="AJ312" s="2632" t="s">
        <v>442</v>
      </c>
      <c r="AK312" s="2632"/>
      <c r="AL312" s="2632"/>
      <c r="AM312" s="2632" t="s">
        <v>267</v>
      </c>
      <c r="AN312" s="2632"/>
      <c r="AO312" s="2632"/>
      <c r="AP312" s="2632" t="s">
        <v>443</v>
      </c>
      <c r="AQ312" s="2632"/>
      <c r="AR312" s="2650"/>
      <c r="AS312" s="2848" t="s">
        <v>327</v>
      </c>
      <c r="AT312" s="2648"/>
      <c r="AU312" s="2649"/>
      <c r="AV312" s="2631" t="s">
        <v>636</v>
      </c>
      <c r="AW312" s="2632"/>
      <c r="AX312" s="568"/>
      <c r="BH312" s="2837" t="s">
        <v>1646</v>
      </c>
      <c r="BI312" s="2614" t="s">
        <v>411</v>
      </c>
      <c r="BJ312" s="2615"/>
      <c r="BK312" s="2614" t="s">
        <v>257</v>
      </c>
      <c r="BL312" s="2615"/>
    </row>
    <row r="313" spans="2:64" ht="12.75" hidden="1" customHeight="1" outlineLevel="2">
      <c r="B313" s="382"/>
      <c r="C313" s="379"/>
      <c r="D313" s="379" t="s">
        <v>444</v>
      </c>
      <c r="E313" s="1656"/>
      <c r="F313" s="149" t="s">
        <v>445</v>
      </c>
      <c r="G313" s="153" t="s">
        <v>895</v>
      </c>
      <c r="H313" s="381" t="s">
        <v>411</v>
      </c>
      <c r="I313" s="381" t="s">
        <v>257</v>
      </c>
      <c r="J313" s="380" t="s">
        <v>411</v>
      </c>
      <c r="K313" s="380" t="s">
        <v>257</v>
      </c>
      <c r="L313" s="383" t="s">
        <v>444</v>
      </c>
      <c r="X313" s="1655" t="s">
        <v>1649</v>
      </c>
      <c r="Y313" s="2646" t="s">
        <v>1650</v>
      </c>
      <c r="Z313" s="2647"/>
      <c r="AA313" s="1662" t="s">
        <v>411</v>
      </c>
      <c r="AB313" s="1662" t="s">
        <v>257</v>
      </c>
      <c r="AC313" s="166"/>
      <c r="AD313" s="162" t="s">
        <v>327</v>
      </c>
      <c r="AE313" s="153" t="s">
        <v>444</v>
      </c>
      <c r="AG313" s="579" t="s">
        <v>411</v>
      </c>
      <c r="AH313" s="580" t="s">
        <v>257</v>
      </c>
      <c r="AI313" s="580"/>
      <c r="AJ313" s="580" t="s">
        <v>411</v>
      </c>
      <c r="AK313" s="580" t="s">
        <v>257</v>
      </c>
      <c r="AL313" s="580"/>
      <c r="AM313" s="580" t="s">
        <v>411</v>
      </c>
      <c r="AN313" s="580" t="s">
        <v>257</v>
      </c>
      <c r="AO313" s="580"/>
      <c r="AP313" s="580" t="s">
        <v>411</v>
      </c>
      <c r="AQ313" s="580" t="s">
        <v>257</v>
      </c>
      <c r="AR313" s="580"/>
      <c r="AS313" s="1289" t="s">
        <v>411</v>
      </c>
      <c r="AT313" s="581" t="s">
        <v>257</v>
      </c>
      <c r="AU313" s="581"/>
      <c r="AV313" s="579" t="s">
        <v>411</v>
      </c>
      <c r="AW313" s="580" t="s">
        <v>257</v>
      </c>
      <c r="AX313" s="583"/>
      <c r="BH313" s="2838"/>
      <c r="BI313" s="2612"/>
      <c r="BJ313" s="2613"/>
      <c r="BK313" s="2612"/>
      <c r="BL313" s="2613"/>
    </row>
    <row r="314" spans="2:64" hidden="1" outlineLevel="2">
      <c r="B314" s="143" t="s">
        <v>4060</v>
      </c>
      <c r="C314" s="144"/>
      <c r="D314" s="212">
        <f>J314+K314</f>
        <v>0</v>
      </c>
      <c r="E314" s="212"/>
      <c r="F314" s="409"/>
      <c r="G314" s="117"/>
      <c r="H314" s="1266">
        <f>VLOOKUP($B314&amp;"; "&amp;$H$312&amp;" "&amp;H$313,'FE Déplacements'!$G:$U,9,FALSE)</f>
        <v>4.36E-2</v>
      </c>
      <c r="I314" s="1266">
        <f>VLOOKUP($B314&amp;"; "&amp;$H$312&amp;" "&amp;I$313,'FE Déplacements'!$G:$U,9,FALSE)</f>
        <v>0.34</v>
      </c>
      <c r="J314" s="151">
        <f t="shared" ref="J314:K316" si="174">IF(ISNA($G314*H314),0,$G314*H314)</f>
        <v>0</v>
      </c>
      <c r="K314" s="151">
        <f t="shared" si="174"/>
        <v>0</v>
      </c>
      <c r="L314" s="165">
        <f>IF(OR(F314=Utilitaires!$I$572,F314=Utilitaires!$I$577),K314,0)</f>
        <v>0</v>
      </c>
      <c r="X314" s="1092">
        <f>IF(AD314=0,AD314,AD314/D314)</f>
        <v>0</v>
      </c>
      <c r="Y314" s="343"/>
      <c r="Z314" s="820"/>
      <c r="AA314" s="164">
        <f>IF(ISNA($G314*H314*BI314),0,$G314*H314*BI314)</f>
        <v>0</v>
      </c>
      <c r="AB314" s="164">
        <f>IF(ISNA($G314*I314*BK314),0,$G314*I314*BK314)</f>
        <v>0</v>
      </c>
      <c r="AC314" s="151"/>
      <c r="AD314" s="152">
        <f>SQRT(SUMSQ(AA314,AB314))</f>
        <v>0</v>
      </c>
      <c r="AE314" s="1286">
        <f>L314*X314</f>
        <v>0</v>
      </c>
      <c r="AG314" s="564">
        <f>$G314*IF(ISNA(VLOOKUP($B314&amp;"; "&amp;$H$312&amp;" "&amp;H$313,'FE Déplacements'!$G:$U,10,FALSE)),0,VLOOKUP($B314&amp;"; "&amp;$H$312&amp;" "&amp;H$313,'FE Déplacements'!$G:$U,10,FALSE))</f>
        <v>0</v>
      </c>
      <c r="AH314" s="565">
        <f>$G314*IF(ISNA(VLOOKUP($B314&amp;"; "&amp;$H$312&amp;" "&amp;I$313,'FE Déplacements'!$G:$U,10,FALSE)),0,VLOOKUP($B314&amp;"; "&amp;$H$312&amp;" "&amp;I$313,'FE Déplacements'!$G:$U,10,FALSE))</f>
        <v>0</v>
      </c>
      <c r="AI314" s="565"/>
      <c r="AJ314" s="565">
        <f>$G314*IF(ISNA((VLOOKUP($B314&amp;"; "&amp;$H$312&amp;" "&amp;H$313,'FE Déplacements'!$G:$U,11,FALSE)+VLOOKUP($B314&amp;"; "&amp;$H$312&amp;" "&amp;H$313,'FE Déplacements'!$G:$U,12,FALSE))),0,(VLOOKUP($B314&amp;"; "&amp;$H$312&amp;" "&amp;H$313,'FE Déplacements'!$G:$U,11,FALSE)+VLOOKUP($B314&amp;"; "&amp;$H$312&amp;" "&amp;H$313,'FE Déplacements'!$G:$U,12,FALSE)))</f>
        <v>0</v>
      </c>
      <c r="AK314" s="565">
        <f>$G314*IF(ISNA((VLOOKUP($B314&amp;"; "&amp;$H$312&amp;" "&amp;I$313,'FE Déplacements'!$G:$U,11,FALSE)+VLOOKUP($B314&amp;"; "&amp;$H$312&amp;" "&amp;I$313,'FE Déplacements'!$G:$U,12,FALSE))),0,(VLOOKUP($B314&amp;"; "&amp;$H$312&amp;" "&amp;I$313,'FE Déplacements'!$G:$U,11,FALSE)+VLOOKUP($B314&amp;"; "&amp;$H$312&amp;" "&amp;I$313,'FE Déplacements'!$G:$U,12,FALSE)))</f>
        <v>0</v>
      </c>
      <c r="AL314" s="565"/>
      <c r="AM314" s="565">
        <f>$G314*IF(ISNA(VLOOKUP($B314&amp;"; "&amp;$H$312&amp;" "&amp;H$313,'FE Déplacements'!$G:$U,13,FALSE)),0,VLOOKUP($B314&amp;"; "&amp;$H$312&amp;" "&amp;H$313,'FE Déplacements'!$G:$U,13,FALSE))</f>
        <v>0</v>
      </c>
      <c r="AN314" s="565">
        <f>$G314*IF(ISNA(VLOOKUP($B314&amp;"; "&amp;$H$312&amp;" "&amp;I$313,'FE Déplacements'!$G:$U,13,FALSE)),0,VLOOKUP($B314&amp;"; "&amp;$H$312&amp;" "&amp;I$313,'FE Déplacements'!$G:$U,13,FALSE))</f>
        <v>0</v>
      </c>
      <c r="AO314" s="565"/>
      <c r="AP314" s="565">
        <f>$G314*IF(ISNA(VLOOKUP($B314&amp;"; "&amp;$H$312&amp;" "&amp;H$313,'FE Déplacements'!$G:$U,14,FALSE)),0,VLOOKUP($B314&amp;"; "&amp;$H$312&amp;" "&amp;H$313,'FE Déplacements'!$G:$U,14,FALSE))</f>
        <v>0</v>
      </c>
      <c r="AQ314" s="565">
        <f>$G314*IF(ISNA(VLOOKUP($B314&amp;"; "&amp;$H$312&amp;" "&amp;I$313,'FE Déplacements'!$G:$U,14,FALSE)),0,VLOOKUP($B314&amp;"; "&amp;$H$312&amp;" "&amp;I$313,'FE Déplacements'!$G:$U,14,FALSE))</f>
        <v>0</v>
      </c>
      <c r="AR314" s="565"/>
      <c r="AS314" s="1288">
        <f t="shared" ref="AS314:AT316" si="175">SUM(AG314,AJ314,AM314,AP314)</f>
        <v>0</v>
      </c>
      <c r="AT314" s="566">
        <f t="shared" si="175"/>
        <v>0</v>
      </c>
      <c r="AU314" s="566"/>
      <c r="AV314" s="564">
        <f>$G314*IF(ISNA(VLOOKUP($B314&amp;"; "&amp;$H$312&amp;" "&amp;H$313,'FE Déplacements'!$G:$U,15,FALSE)),0,VLOOKUP($B314&amp;"; "&amp;$H$312&amp;" "&amp;H$313,'FE Déplacements'!$G:$U,15,FALSE))</f>
        <v>0</v>
      </c>
      <c r="AW314" s="565">
        <f>$G314*IF(ISNA(VLOOKUP($B314&amp;"; "&amp;$H$312&amp;" "&amp;I$313,'FE Déplacements'!$G:$U,15,FALSE)),0,VLOOKUP($B314&amp;"; "&amp;$H$312&amp;" "&amp;I$313,'FE Déplacements'!$G:$U,15,FALSE))</f>
        <v>0</v>
      </c>
      <c r="AX314" s="568"/>
      <c r="BH314" s="1065">
        <f>IF($Y314&lt;&gt;"votre valeur :",IF(ISNA(VLOOKUP($Y314,Utilitaires!$N$566:$O$571,2,FALSE)),,VLOOKUP($Y314,Utilitaires!$N$566:$O$571,2,FALSE)),$Z314)</f>
        <v>0</v>
      </c>
      <c r="BI314" s="1124">
        <f>IF(ISNA(SQRT(SUMSQ(VLOOKUP($B314&amp;"; "&amp;$H$312&amp;" "&amp;$H$313,'FE Déplacements'!$G:$U,7,FALSE),$BH314))),0,SQRT(SUMSQ(VLOOKUP($B314&amp;"; "&amp;$H$312&amp;" "&amp;$H$313,'FE Déplacements'!$G:$U,7,FALSE),$BH314)))</f>
        <v>0.2</v>
      </c>
      <c r="BJ314" s="1068"/>
      <c r="BK314" s="1124">
        <f>IF(ISNA(SQRT(SUMSQ(VLOOKUP($B314&amp;"; "&amp;$H$312&amp;" "&amp;$I$313,'FE Déplacements'!$G:$U,7,FALSE),$BH314))),0,SQRT(SUMSQ(VLOOKUP($B314&amp;"; "&amp;$H$312&amp;" "&amp;$I$313,'FE Déplacements'!$G:$U,7,FALSE),$BH314)))</f>
        <v>0.2</v>
      </c>
      <c r="BL314" s="1125"/>
    </row>
    <row r="315" spans="2:64" hidden="1" outlineLevel="2">
      <c r="B315" s="143" t="s">
        <v>4061</v>
      </c>
      <c r="C315" s="144"/>
      <c r="D315" s="212">
        <f>J315+K315</f>
        <v>0</v>
      </c>
      <c r="E315" s="212"/>
      <c r="F315" s="346"/>
      <c r="G315" s="120"/>
      <c r="H315" s="1266">
        <f>VLOOKUP($B315&amp;"; "&amp;$H$312&amp;" "&amp;H$313,'FE Déplacements'!$G:$U,9,FALSE)</f>
        <v>3.5299999999999998E-2</v>
      </c>
      <c r="I315" s="1266">
        <f>VLOOKUP($B315&amp;"; "&amp;$H$312&amp;" "&amp;I$313,'FE Déplacements'!$G:$U,9,FALSE)</f>
        <v>0.27500000000000002</v>
      </c>
      <c r="J315" s="151">
        <f t="shared" si="174"/>
        <v>0</v>
      </c>
      <c r="K315" s="151">
        <f t="shared" si="174"/>
        <v>0</v>
      </c>
      <c r="L315" s="165">
        <f>IF(OR(F315=Utilitaires!$I$572,F315=Utilitaires!$I$577),K315,0)</f>
        <v>0</v>
      </c>
      <c r="X315" s="1092">
        <f>IF(AD315=0,AD315,AD315/D315)</f>
        <v>0</v>
      </c>
      <c r="Y315" s="343"/>
      <c r="Z315" s="820"/>
      <c r="AA315" s="164">
        <f>IF(ISNA($G315*H315*BI315),0,$G315*H315*BI315)</f>
        <v>0</v>
      </c>
      <c r="AB315" s="164">
        <f>IF(ISNA($G315*I315*BK315),0,$G315*I315*BK315)</f>
        <v>0</v>
      </c>
      <c r="AC315" s="151"/>
      <c r="AD315" s="152">
        <f>SQRT(SUMSQ(AA315,AB315))</f>
        <v>0</v>
      </c>
      <c r="AE315" s="1286">
        <f>L315*X315</f>
        <v>0</v>
      </c>
      <c r="AG315" s="564">
        <f>$G315*IF(ISNA(VLOOKUP($B315&amp;"; "&amp;$H$312&amp;" "&amp;H$313,'FE Déplacements'!$G:$U,10,FALSE)),0,VLOOKUP($B315&amp;"; "&amp;$H$312&amp;" "&amp;H$313,'FE Déplacements'!$G:$U,10,FALSE))</f>
        <v>0</v>
      </c>
      <c r="AH315" s="565">
        <f>$G315*IF(ISNA(VLOOKUP($B315&amp;"; "&amp;$H$312&amp;" "&amp;I$313,'FE Déplacements'!$G:$U,10,FALSE)),0,VLOOKUP($B315&amp;"; "&amp;$H$312&amp;" "&amp;I$313,'FE Déplacements'!$G:$U,10,FALSE))</f>
        <v>0</v>
      </c>
      <c r="AI315" s="565"/>
      <c r="AJ315" s="565">
        <f>$G315*IF(ISNA((VLOOKUP($B315&amp;"; "&amp;$H$312&amp;" "&amp;H$313,'FE Déplacements'!$G:$U,11,FALSE)+VLOOKUP($B315&amp;"; "&amp;$H$312&amp;" "&amp;H$313,'FE Déplacements'!$G:$U,12,FALSE))),0,(VLOOKUP($B315&amp;"; "&amp;$H$312&amp;" "&amp;H$313,'FE Déplacements'!$G:$U,11,FALSE)+VLOOKUP($B315&amp;"; "&amp;$H$312&amp;" "&amp;H$313,'FE Déplacements'!$G:$U,12,FALSE)))</f>
        <v>0</v>
      </c>
      <c r="AK315" s="565">
        <f>$G315*IF(ISNA((VLOOKUP($B315&amp;"; "&amp;$H$312&amp;" "&amp;I$313,'FE Déplacements'!$G:$U,11,FALSE)+VLOOKUP($B315&amp;"; "&amp;$H$312&amp;" "&amp;I$313,'FE Déplacements'!$G:$U,12,FALSE))),0,(VLOOKUP($B315&amp;"; "&amp;$H$312&amp;" "&amp;I$313,'FE Déplacements'!$G:$U,11,FALSE)+VLOOKUP($B315&amp;"; "&amp;$H$312&amp;" "&amp;I$313,'FE Déplacements'!$G:$U,12,FALSE)))</f>
        <v>0</v>
      </c>
      <c r="AL315" s="565"/>
      <c r="AM315" s="565">
        <f>$G315*IF(ISNA(VLOOKUP($B315&amp;"; "&amp;$H$312&amp;" "&amp;H$313,'FE Déplacements'!$G:$U,13,FALSE)),0,VLOOKUP($B315&amp;"; "&amp;$H$312&amp;" "&amp;H$313,'FE Déplacements'!$G:$U,13,FALSE))</f>
        <v>0</v>
      </c>
      <c r="AN315" s="565">
        <f>$G315*IF(ISNA(VLOOKUP($B315&amp;"; "&amp;$H$312&amp;" "&amp;I$313,'FE Déplacements'!$G:$U,13,FALSE)),0,VLOOKUP($B315&amp;"; "&amp;$H$312&amp;" "&amp;I$313,'FE Déplacements'!$G:$U,13,FALSE))</f>
        <v>0</v>
      </c>
      <c r="AO315" s="565"/>
      <c r="AP315" s="565">
        <f>$G315*IF(ISNA(VLOOKUP($B315&amp;"; "&amp;$H$312&amp;" "&amp;H$313,'FE Déplacements'!$G:$U,14,FALSE)),0,VLOOKUP($B315&amp;"; "&amp;$H$312&amp;" "&amp;H$313,'FE Déplacements'!$G:$U,14,FALSE))</f>
        <v>0</v>
      </c>
      <c r="AQ315" s="565">
        <f>$G315*IF(ISNA(VLOOKUP($B315&amp;"; "&amp;$H$312&amp;" "&amp;I$313,'FE Déplacements'!$G:$U,14,FALSE)),0,VLOOKUP($B315&amp;"; "&amp;$H$312&amp;" "&amp;I$313,'FE Déplacements'!$G:$U,14,FALSE))</f>
        <v>0</v>
      </c>
      <c r="AR315" s="565"/>
      <c r="AS315" s="1288">
        <f t="shared" si="175"/>
        <v>0</v>
      </c>
      <c r="AT315" s="566">
        <f t="shared" si="175"/>
        <v>0</v>
      </c>
      <c r="AU315" s="566"/>
      <c r="AV315" s="564">
        <f>$G315*IF(ISNA(VLOOKUP($B315&amp;"; "&amp;$H$312&amp;" "&amp;H$313,'FE Déplacements'!$G:$U,15,FALSE)),0,VLOOKUP($B315&amp;"; "&amp;$H$312&amp;" "&amp;H$313,'FE Déplacements'!$G:$U,15,FALSE))</f>
        <v>0</v>
      </c>
      <c r="AW315" s="565">
        <f>$G315*IF(ISNA(VLOOKUP($B315&amp;"; "&amp;$H$312&amp;" "&amp;I$313,'FE Déplacements'!$G:$U,15,FALSE)),0,VLOOKUP($B315&amp;"; "&amp;$H$312&amp;" "&amp;I$313,'FE Déplacements'!$G:$U,15,FALSE))</f>
        <v>0</v>
      </c>
      <c r="AX315" s="568"/>
      <c r="BH315" s="1065">
        <f>IF($Y315&lt;&gt;"votre valeur :",IF(ISNA(VLOOKUP($Y315,Utilitaires!$N$566:$O$571,2,FALSE)),,VLOOKUP($Y315,Utilitaires!$N$566:$O$571,2,FALSE)),$Z315)</f>
        <v>0</v>
      </c>
      <c r="BI315" s="1124">
        <f>IF(ISNA(SQRT(SUMSQ(VLOOKUP($B315&amp;"; "&amp;$H$312&amp;" "&amp;$H$313,'FE Déplacements'!$G:$U,7,FALSE),$BH315))),0,SQRT(SUMSQ(VLOOKUP($B315&amp;"; "&amp;$H$312&amp;" "&amp;$H$313,'FE Déplacements'!$G:$U,7,FALSE),$BH315)))</f>
        <v>0.2</v>
      </c>
      <c r="BJ315" s="1068"/>
      <c r="BK315" s="1124">
        <f>IF(ISNA(SQRT(SUMSQ(VLOOKUP($B315&amp;"; "&amp;$H$312&amp;" "&amp;$I$313,'FE Déplacements'!$G:$U,7,FALSE),$BH315))),0,SQRT(SUMSQ(VLOOKUP($B315&amp;"; "&amp;$H$312&amp;" "&amp;$I$313,'FE Déplacements'!$G:$U,7,FALSE),$BH315)))</f>
        <v>0.2</v>
      </c>
      <c r="BL315" s="1125"/>
    </row>
    <row r="316" spans="2:64" hidden="1" outlineLevel="2">
      <c r="B316" s="143" t="s">
        <v>4062</v>
      </c>
      <c r="C316" s="144"/>
      <c r="D316" s="212">
        <f>J316+K316</f>
        <v>0</v>
      </c>
      <c r="E316" s="212"/>
      <c r="F316" s="347"/>
      <c r="G316" s="123"/>
      <c r="H316" s="1266">
        <f>VLOOKUP($B316&amp;"; "&amp;$H$312&amp;" "&amp;H$313,'FE Déplacements'!$G:$U,9,FALSE)</f>
        <v>3.1399999999999997E-2</v>
      </c>
      <c r="I316" s="1266">
        <f>VLOOKUP($B316&amp;"; "&amp;$H$312&amp;" "&amp;I$313,'FE Déplacements'!$G:$U,9,FALSE)</f>
        <v>0.19800000000000001</v>
      </c>
      <c r="J316" s="151">
        <f t="shared" si="174"/>
        <v>0</v>
      </c>
      <c r="K316" s="151">
        <f t="shared" si="174"/>
        <v>0</v>
      </c>
      <c r="L316" s="165">
        <f>IF(OR(F316=Utilitaires!$I$572,F316=Utilitaires!$I$577),K316,0)</f>
        <v>0</v>
      </c>
      <c r="X316" s="1092">
        <f>IF(AD316=0,AD316,AD316/D316)</f>
        <v>0</v>
      </c>
      <c r="Y316" s="1094"/>
      <c r="Z316" s="820"/>
      <c r="AA316" s="164">
        <f>IF(ISNA($G316*H316*BI316),0,$G316*H316*BI316)</f>
        <v>0</v>
      </c>
      <c r="AB316" s="164">
        <f>IF(ISNA($G316*I316*BK316),0,$G316*I316*BK316)</f>
        <v>0</v>
      </c>
      <c r="AC316" s="151"/>
      <c r="AD316" s="152">
        <f>SQRT(SUMSQ(AA316,AB316))</f>
        <v>0</v>
      </c>
      <c r="AE316" s="1286">
        <f>L316*X316</f>
        <v>0</v>
      </c>
      <c r="AG316" s="564">
        <f>$G316*IF(ISNA(VLOOKUP($B316&amp;"; "&amp;$H$312&amp;" "&amp;H$313,'FE Déplacements'!$G:$U,10,FALSE)),0,VLOOKUP($B316&amp;"; "&amp;$H$312&amp;" "&amp;H$313,'FE Déplacements'!$G:$U,10,FALSE))</f>
        <v>0</v>
      </c>
      <c r="AH316" s="565">
        <f>$G316*IF(ISNA(VLOOKUP($B316&amp;"; "&amp;$H$312&amp;" "&amp;I$313,'FE Déplacements'!$G:$U,10,FALSE)),0,VLOOKUP($B316&amp;"; "&amp;$H$312&amp;" "&amp;I$313,'FE Déplacements'!$G:$U,10,FALSE))</f>
        <v>0</v>
      </c>
      <c r="AI316" s="565"/>
      <c r="AJ316" s="565">
        <f>$G316*IF(ISNA((VLOOKUP($B316&amp;"; "&amp;$H$312&amp;" "&amp;H$313,'FE Déplacements'!$G:$U,11,FALSE)+VLOOKUP($B316&amp;"; "&amp;$H$312&amp;" "&amp;H$313,'FE Déplacements'!$G:$U,12,FALSE))),0,(VLOOKUP($B316&amp;"; "&amp;$H$312&amp;" "&amp;H$313,'FE Déplacements'!$G:$U,11,FALSE)+VLOOKUP($B316&amp;"; "&amp;$H$312&amp;" "&amp;H$313,'FE Déplacements'!$G:$U,12,FALSE)))</f>
        <v>0</v>
      </c>
      <c r="AK316" s="565">
        <f>$G316*IF(ISNA((VLOOKUP($B316&amp;"; "&amp;$H$312&amp;" "&amp;I$313,'FE Déplacements'!$G:$U,11,FALSE)+VLOOKUP($B316&amp;"; "&amp;$H$312&amp;" "&amp;I$313,'FE Déplacements'!$G:$U,12,FALSE))),0,(VLOOKUP($B316&amp;"; "&amp;$H$312&amp;" "&amp;I$313,'FE Déplacements'!$G:$U,11,FALSE)+VLOOKUP($B316&amp;"; "&amp;$H$312&amp;" "&amp;I$313,'FE Déplacements'!$G:$U,12,FALSE)))</f>
        <v>0</v>
      </c>
      <c r="AL316" s="565"/>
      <c r="AM316" s="565">
        <f>$G316*IF(ISNA(VLOOKUP($B316&amp;"; "&amp;$H$312&amp;" "&amp;H$313,'FE Déplacements'!$G:$U,13,FALSE)),0,VLOOKUP($B316&amp;"; "&amp;$H$312&amp;" "&amp;H$313,'FE Déplacements'!$G:$U,13,FALSE))</f>
        <v>0</v>
      </c>
      <c r="AN316" s="565">
        <f>$G316*IF(ISNA(VLOOKUP($B316&amp;"; "&amp;$H$312&amp;" "&amp;I$313,'FE Déplacements'!$G:$U,13,FALSE)),0,VLOOKUP($B316&amp;"; "&amp;$H$312&amp;" "&amp;I$313,'FE Déplacements'!$G:$U,13,FALSE))</f>
        <v>0</v>
      </c>
      <c r="AO316" s="565"/>
      <c r="AP316" s="565">
        <f>$G316*IF(ISNA(VLOOKUP($B316&amp;"; "&amp;$H$312&amp;" "&amp;H$313,'FE Déplacements'!$G:$U,14,FALSE)),0,VLOOKUP($B316&amp;"; "&amp;$H$312&amp;" "&amp;H$313,'FE Déplacements'!$G:$U,14,FALSE))</f>
        <v>0</v>
      </c>
      <c r="AQ316" s="565">
        <f>$G316*IF(ISNA(VLOOKUP($B316&amp;"; "&amp;$H$312&amp;" "&amp;I$313,'FE Déplacements'!$G:$U,14,FALSE)),0,VLOOKUP($B316&amp;"; "&amp;$H$312&amp;" "&amp;I$313,'FE Déplacements'!$G:$U,14,FALSE))</f>
        <v>0</v>
      </c>
      <c r="AR316" s="565"/>
      <c r="AS316" s="1288">
        <f t="shared" si="175"/>
        <v>0</v>
      </c>
      <c r="AT316" s="566">
        <f t="shared" si="175"/>
        <v>0</v>
      </c>
      <c r="AU316" s="566"/>
      <c r="AV316" s="564">
        <f>$G316*IF(ISNA(VLOOKUP($B316&amp;"; "&amp;$H$312&amp;" "&amp;H$313,'FE Déplacements'!$G:$U,15,FALSE)),0,VLOOKUP($B316&amp;"; "&amp;$H$312&amp;" "&amp;H$313,'FE Déplacements'!$G:$U,15,FALSE))</f>
        <v>0</v>
      </c>
      <c r="AW316" s="565">
        <f>$G316*IF(ISNA(VLOOKUP($B316&amp;"; "&amp;$H$312&amp;" "&amp;I$313,'FE Déplacements'!$G:$U,15,FALSE)),0,VLOOKUP($B316&amp;"; "&amp;$H$312&amp;" "&amp;I$313,'FE Déplacements'!$G:$U,15,FALSE))</f>
        <v>0</v>
      </c>
      <c r="AX316" s="568"/>
      <c r="BH316" s="1065">
        <f>IF($Y316&lt;&gt;"votre valeur :",IF(ISNA(VLOOKUP($Y316,Utilitaires!$N$566:$O$571,2,FALSE)),,VLOOKUP($Y316,Utilitaires!$N$566:$O$571,2,FALSE)),$Z316)</f>
        <v>0</v>
      </c>
      <c r="BI316" s="1124">
        <f>IF(ISNA(SQRT(SUMSQ(VLOOKUP($B316&amp;"; "&amp;$H$312&amp;" "&amp;$H$313,'FE Déplacements'!$G:$U,7,FALSE),$BH316))),0,SQRT(SUMSQ(VLOOKUP($B316&amp;"; "&amp;$H$312&amp;" "&amp;$H$313,'FE Déplacements'!$G:$U,7,FALSE),$BH316)))</f>
        <v>0.5</v>
      </c>
      <c r="BJ316" s="1068"/>
      <c r="BK316" s="1124">
        <f>IF(ISNA(SQRT(SUMSQ(VLOOKUP($B316&amp;"; "&amp;$H$312&amp;" "&amp;$I$313,'FE Déplacements'!$G:$U,7,FALSE),$BH316))),0,SQRT(SUMSQ(VLOOKUP($B316&amp;"; "&amp;$H$312&amp;" "&amp;$I$313,'FE Déplacements'!$G:$U,7,FALSE),$BH316)))</f>
        <v>0.5</v>
      </c>
      <c r="BL316" s="1125"/>
    </row>
    <row r="317" spans="2:64" ht="15" hidden="1" outlineLevel="2">
      <c r="B317" s="154"/>
      <c r="C317" s="155"/>
      <c r="D317" s="221"/>
      <c r="E317" s="221"/>
      <c r="F317" s="155"/>
      <c r="G317" s="155"/>
      <c r="H317" s="155"/>
      <c r="I317" s="155"/>
      <c r="J317" s="215"/>
      <c r="K317" s="215"/>
      <c r="L317" s="367"/>
      <c r="X317" s="564"/>
      <c r="Y317" s="565"/>
      <c r="Z317" s="820"/>
      <c r="AA317" s="144"/>
      <c r="AB317" s="144"/>
      <c r="AC317" s="151"/>
      <c r="AD317" s="152"/>
      <c r="AE317" s="1776"/>
      <c r="AG317" s="564"/>
      <c r="AH317" s="565"/>
      <c r="AI317" s="565"/>
      <c r="AJ317" s="565"/>
      <c r="AK317" s="565"/>
      <c r="AL317" s="565"/>
      <c r="AM317" s="565"/>
      <c r="AN317" s="565"/>
      <c r="AO317" s="565"/>
      <c r="AP317" s="565"/>
      <c r="AQ317" s="565"/>
      <c r="AR317" s="565"/>
      <c r="AS317" s="1288"/>
      <c r="AT317" s="566"/>
      <c r="AU317" s="566"/>
      <c r="AV317" s="564"/>
      <c r="AW317" s="565"/>
      <c r="AX317" s="568"/>
      <c r="BE317" s="130"/>
      <c r="BF317" s="130"/>
      <c r="BG317" s="130"/>
      <c r="BH317" s="1087"/>
      <c r="BI317" s="1075"/>
      <c r="BJ317" s="1076"/>
      <c r="BK317" s="1075"/>
      <c r="BL317" s="1077"/>
    </row>
    <row r="318" spans="2:64" hidden="1" outlineLevel="2">
      <c r="B318" s="196" t="s">
        <v>348</v>
      </c>
      <c r="C318" s="197"/>
      <c r="D318" s="214">
        <f>SUM(D314:D317)</f>
        <v>0</v>
      </c>
      <c r="E318" s="214"/>
      <c r="F318" s="198"/>
      <c r="G318" s="197"/>
      <c r="H318" s="197"/>
      <c r="I318" s="197"/>
      <c r="J318" s="202">
        <f>SUM(J314:J317)</f>
        <v>0</v>
      </c>
      <c r="K318" s="202">
        <f>SUM(K314:K317)</f>
        <v>0</v>
      </c>
      <c r="L318" s="340">
        <f>SUM(L314:L317)</f>
        <v>0</v>
      </c>
      <c r="X318" s="1204">
        <f>IF(AD318=0,AD318,AD318/D318)</f>
        <v>0</v>
      </c>
      <c r="Y318" s="203"/>
      <c r="Z318" s="203"/>
      <c r="AA318" s="203">
        <f>SQRT(SUMSQ(AA313:AA317))</f>
        <v>0</v>
      </c>
      <c r="AB318" s="203">
        <f>SQRT(SUMSQ(AB313:AB317))</f>
        <v>0</v>
      </c>
      <c r="AC318" s="202"/>
      <c r="AD318" s="200">
        <f>SQRT(SUMSQ(AD313:AD317))</f>
        <v>0</v>
      </c>
      <c r="AE318" s="340">
        <f>SQRT(SUMSQ(AE314:AE317))</f>
        <v>0</v>
      </c>
      <c r="AG318" s="571">
        <f>SUM(AG314:AG317)</f>
        <v>0</v>
      </c>
      <c r="AH318" s="572">
        <f>SUM(AH314:AH317)</f>
        <v>0</v>
      </c>
      <c r="AI318" s="572"/>
      <c r="AJ318" s="572">
        <f>SUM(AJ314:AJ317)</f>
        <v>0</v>
      </c>
      <c r="AK318" s="572">
        <f>SUM(AK314:AK317)</f>
        <v>0</v>
      </c>
      <c r="AL318" s="572"/>
      <c r="AM318" s="572">
        <f>SUM(AM314:AM317)</f>
        <v>0</v>
      </c>
      <c r="AN318" s="572">
        <f>SUM(AN314:AN317)</f>
        <v>0</v>
      </c>
      <c r="AO318" s="572"/>
      <c r="AP318" s="572">
        <f>SUM(AP314:AP317)</f>
        <v>0</v>
      </c>
      <c r="AQ318" s="572">
        <f>SUM(AQ314:AQ317)</f>
        <v>0</v>
      </c>
      <c r="AR318" s="572"/>
      <c r="AS318" s="1290">
        <f>SUM(AS314:AS317)</f>
        <v>0</v>
      </c>
      <c r="AT318" s="573">
        <f>SUM(AT314:AT317)</f>
        <v>0</v>
      </c>
      <c r="AU318" s="573"/>
      <c r="AV318" s="1082">
        <f>SUM(AV314:AV317)</f>
        <v>0</v>
      </c>
      <c r="AW318" s="572">
        <f>SUM(AW314:AW317)</f>
        <v>0</v>
      </c>
      <c r="AX318" s="575"/>
    </row>
    <row r="319" spans="2:64" hidden="1" outlineLevel="2">
      <c r="AZ319" s="116"/>
      <c r="BA319" s="116"/>
      <c r="BB319" s="116"/>
      <c r="BC319" s="116"/>
      <c r="BD319" s="116"/>
      <c r="BE319" s="116"/>
      <c r="BF319" s="116"/>
      <c r="BG319" s="116"/>
      <c r="BH319" s="116"/>
    </row>
    <row r="320" spans="2:64" outlineLevel="1"/>
    <row r="321" spans="1:68">
      <c r="AZ321" s="109"/>
      <c r="BA321" s="109"/>
      <c r="BB321" s="109"/>
      <c r="BC321" s="109"/>
      <c r="BD321" s="109"/>
      <c r="BE321" s="109"/>
      <c r="BF321" s="109"/>
      <c r="BG321" s="109"/>
      <c r="BH321" s="109"/>
    </row>
    <row r="322" spans="1:68" s="130" customFormat="1" ht="15.6" collapsed="1">
      <c r="A322" s="114"/>
      <c r="B322" s="2652" t="s">
        <v>317</v>
      </c>
      <c r="C322" s="2653"/>
      <c r="D322" s="2653"/>
      <c r="E322" s="2653"/>
      <c r="F322" s="2653"/>
      <c r="G322" s="2653"/>
      <c r="H322" s="2653"/>
      <c r="I322" s="2653"/>
      <c r="J322" s="2653"/>
      <c r="K322" s="2653"/>
      <c r="L322" s="2653"/>
      <c r="M322" s="2653"/>
      <c r="N322" s="2653"/>
      <c r="O322" s="2654"/>
      <c r="AE322" s="1238"/>
      <c r="AF322" s="1238"/>
      <c r="AG322" s="441"/>
      <c r="AH322" s="441"/>
      <c r="AI322" s="441"/>
      <c r="AJ322" s="441"/>
      <c r="AK322" s="441"/>
      <c r="AL322" s="441"/>
      <c r="AM322" s="441"/>
      <c r="AN322" s="441"/>
      <c r="AO322" s="441"/>
      <c r="AP322" s="441"/>
      <c r="AQ322" s="441"/>
      <c r="AR322" s="441"/>
      <c r="AS322" s="593"/>
      <c r="AT322" s="593"/>
      <c r="AU322" s="593"/>
      <c r="AV322" s="593"/>
      <c r="AW322" s="593"/>
      <c r="AX322" s="593"/>
      <c r="AZ322" s="109"/>
      <c r="BA322" s="109"/>
      <c r="BB322" s="109"/>
      <c r="BC322" s="109"/>
      <c r="BD322" s="109"/>
      <c r="BE322" s="109"/>
      <c r="BF322" s="109"/>
      <c r="BG322" s="109"/>
      <c r="BH322" s="109"/>
    </row>
    <row r="323" spans="1:68" hidden="1" outlineLevel="1"/>
    <row r="324" spans="1:68" s="116" customFormat="1" ht="12.75" hidden="1" customHeight="1" outlineLevel="1">
      <c r="A324" s="114"/>
      <c r="B324" s="139" t="s">
        <v>594</v>
      </c>
      <c r="C324" s="140"/>
      <c r="D324" s="140"/>
      <c r="E324" s="140"/>
      <c r="F324" s="140"/>
      <c r="G324" s="141"/>
      <c r="H324" s="141"/>
      <c r="I324" s="141"/>
      <c r="J324" s="141"/>
      <c r="K324" s="141"/>
      <c r="L324" s="141"/>
      <c r="M324" s="141"/>
      <c r="N324" s="141"/>
      <c r="O324" s="141"/>
      <c r="P324" s="141"/>
      <c r="Q324" s="141"/>
      <c r="R324" s="141"/>
      <c r="S324" s="141"/>
      <c r="T324" s="142"/>
      <c r="U324" s="142"/>
      <c r="X324" s="2636" t="s">
        <v>366</v>
      </c>
      <c r="Y324" s="2637"/>
      <c r="Z324" s="2637"/>
      <c r="AA324" s="2637"/>
      <c r="AB324" s="2637"/>
      <c r="AC324" s="2637"/>
      <c r="AD324" s="2638"/>
      <c r="AE324" s="1773"/>
      <c r="AG324" s="2639" t="s">
        <v>441</v>
      </c>
      <c r="AH324" s="2640"/>
      <c r="AI324" s="2640"/>
      <c r="AJ324" s="2640"/>
      <c r="AK324" s="2640"/>
      <c r="AL324" s="2640"/>
      <c r="AM324" s="2640"/>
      <c r="AN324" s="2640"/>
      <c r="AO324" s="2640"/>
      <c r="AP324" s="2640"/>
      <c r="AQ324" s="2640"/>
      <c r="AR324" s="2640"/>
      <c r="AS324" s="2640"/>
      <c r="AT324" s="2640"/>
      <c r="AU324" s="2640"/>
      <c r="AV324" s="2640"/>
      <c r="AW324" s="2640"/>
      <c r="AX324" s="2641"/>
      <c r="AZ324" s="114"/>
      <c r="BA324" s="114"/>
      <c r="BB324" s="114"/>
      <c r="BC324" s="114"/>
      <c r="BD324" s="114"/>
      <c r="BE324" s="114"/>
      <c r="BF324" s="114"/>
      <c r="BG324" s="114"/>
      <c r="BH324" s="114"/>
    </row>
    <row r="325" spans="1:68" ht="12.75" hidden="1" customHeight="1" outlineLevel="1">
      <c r="B325" s="143"/>
      <c r="C325" s="144"/>
      <c r="D325" s="537" t="s">
        <v>308</v>
      </c>
      <c r="E325" s="1663"/>
      <c r="F325" s="144"/>
      <c r="G325" s="144"/>
      <c r="H325" s="144"/>
      <c r="I325" s="144"/>
      <c r="J325" s="144"/>
      <c r="K325" s="144"/>
      <c r="L325" s="144"/>
      <c r="M325" s="144"/>
      <c r="N325" s="144"/>
      <c r="O325" s="144"/>
      <c r="P325" s="144"/>
      <c r="Q325" s="144"/>
      <c r="R325" s="144"/>
      <c r="S325" s="144"/>
      <c r="T325" s="145"/>
      <c r="U325" s="1259" t="s">
        <v>275</v>
      </c>
      <c r="V325" s="116"/>
      <c r="W325" s="116"/>
      <c r="X325" s="159"/>
      <c r="Y325" s="1241"/>
      <c r="Z325" s="1241"/>
      <c r="AA325" s="1241"/>
      <c r="AB325" s="1241"/>
      <c r="AC325" s="1254"/>
      <c r="AD325" s="1242"/>
      <c r="AE325" s="1660" t="s">
        <v>275</v>
      </c>
      <c r="AF325" s="127"/>
      <c r="AG325" s="2642" t="s">
        <v>444</v>
      </c>
      <c r="AH325" s="2643"/>
      <c r="AI325" s="2643"/>
      <c r="AJ325" s="2643"/>
      <c r="AK325" s="2643"/>
      <c r="AL325" s="2643"/>
      <c r="AM325" s="2643"/>
      <c r="AN325" s="2643"/>
      <c r="AO325" s="2643"/>
      <c r="AP325" s="2643"/>
      <c r="AQ325" s="2643"/>
      <c r="AR325" s="2644"/>
      <c r="AS325" s="2642" t="s">
        <v>444</v>
      </c>
      <c r="AT325" s="2643"/>
      <c r="AU325" s="2644"/>
      <c r="AV325" s="1288"/>
      <c r="AW325" s="566"/>
      <c r="AX325" s="583"/>
      <c r="BH325" s="2616" t="s">
        <v>1648</v>
      </c>
      <c r="BI325" s="2617"/>
      <c r="BJ325" s="2617"/>
      <c r="BK325" s="2617"/>
      <c r="BL325" s="2617"/>
      <c r="BM325" s="2617"/>
      <c r="BN325" s="2617"/>
      <c r="BO325" s="2617"/>
      <c r="BP325" s="2618"/>
    </row>
    <row r="326" spans="1:68" s="109" customFormat="1" ht="12.75" hidden="1" customHeight="1" outlineLevel="1">
      <c r="B326" s="1243" t="s">
        <v>2248</v>
      </c>
      <c r="C326" s="1244"/>
      <c r="D326" s="1244" t="s">
        <v>409</v>
      </c>
      <c r="E326" s="1656"/>
      <c r="F326" s="147" t="s">
        <v>452</v>
      </c>
      <c r="G326" s="147" t="s">
        <v>343</v>
      </c>
      <c r="H326" s="2626" t="s">
        <v>1585</v>
      </c>
      <c r="I326" s="2627"/>
      <c r="J326" s="147" t="s">
        <v>343</v>
      </c>
      <c r="K326" s="2626" t="s">
        <v>1573</v>
      </c>
      <c r="L326" s="2627"/>
      <c r="M326" s="147" t="s">
        <v>343</v>
      </c>
      <c r="N326" s="2626" t="s">
        <v>1575</v>
      </c>
      <c r="O326" s="2627"/>
      <c r="P326" s="147" t="s">
        <v>343</v>
      </c>
      <c r="Q326" s="2626" t="s">
        <v>1574</v>
      </c>
      <c r="R326" s="2628"/>
      <c r="S326" s="537" t="s">
        <v>444</v>
      </c>
      <c r="T326" s="539" t="s">
        <v>444</v>
      </c>
      <c r="U326" s="1259" t="s">
        <v>276</v>
      </c>
      <c r="V326" s="114"/>
      <c r="W326" s="114"/>
      <c r="X326" s="1243" t="s">
        <v>316</v>
      </c>
      <c r="Y326" s="2629" t="s">
        <v>316</v>
      </c>
      <c r="Z326" s="2630"/>
      <c r="AA326" s="1656" t="s">
        <v>444</v>
      </c>
      <c r="AB326" s="1656" t="s">
        <v>444</v>
      </c>
      <c r="AC326" s="1656"/>
      <c r="AD326" s="539" t="s">
        <v>444</v>
      </c>
      <c r="AE326" s="153" t="s">
        <v>276</v>
      </c>
      <c r="AF326" s="127"/>
      <c r="AG326" s="2631" t="s">
        <v>211</v>
      </c>
      <c r="AH326" s="2632"/>
      <c r="AI326" s="2632"/>
      <c r="AJ326" s="2632" t="s">
        <v>442</v>
      </c>
      <c r="AK326" s="2632"/>
      <c r="AL326" s="2632"/>
      <c r="AM326" s="2632" t="s">
        <v>267</v>
      </c>
      <c r="AN326" s="2632"/>
      <c r="AO326" s="2632"/>
      <c r="AP326" s="2632" t="s">
        <v>443</v>
      </c>
      <c r="AQ326" s="2632"/>
      <c r="AR326" s="2650"/>
      <c r="AS326" s="2848" t="s">
        <v>327</v>
      </c>
      <c r="AT326" s="2648"/>
      <c r="AU326" s="2649"/>
      <c r="AV326" s="2631" t="s">
        <v>636</v>
      </c>
      <c r="AW326" s="2632"/>
      <c r="AX326" s="568"/>
      <c r="BH326" s="2837" t="s">
        <v>1646</v>
      </c>
      <c r="BI326" s="2614" t="s">
        <v>1644</v>
      </c>
      <c r="BJ326" s="2645"/>
      <c r="BK326" s="2645"/>
      <c r="BL326" s="2615"/>
      <c r="BM326" s="2614" t="s">
        <v>1645</v>
      </c>
      <c r="BN326" s="2645"/>
      <c r="BO326" s="2645"/>
      <c r="BP326" s="2615"/>
    </row>
    <row r="327" spans="1:68" s="109" customFormat="1" ht="12.75" hidden="1" customHeight="1" outlineLevel="1">
      <c r="B327" s="1243"/>
      <c r="C327" s="1244"/>
      <c r="D327" s="1244" t="s">
        <v>444</v>
      </c>
      <c r="E327" s="1656"/>
      <c r="F327" s="1248" t="s">
        <v>445</v>
      </c>
      <c r="G327" s="153" t="s">
        <v>287</v>
      </c>
      <c r="H327" s="1249" t="s">
        <v>411</v>
      </c>
      <c r="I327" s="1249" t="s">
        <v>257</v>
      </c>
      <c r="J327" s="153" t="s">
        <v>790</v>
      </c>
      <c r="K327" s="1249" t="s">
        <v>411</v>
      </c>
      <c r="L327" s="1249" t="s">
        <v>257</v>
      </c>
      <c r="M327" s="153" t="s">
        <v>791</v>
      </c>
      <c r="N327" s="1249" t="s">
        <v>411</v>
      </c>
      <c r="O327" s="1249" t="s">
        <v>257</v>
      </c>
      <c r="P327" s="153" t="s">
        <v>213</v>
      </c>
      <c r="Q327" s="1249" t="s">
        <v>411</v>
      </c>
      <c r="R327" s="1249" t="s">
        <v>257</v>
      </c>
      <c r="S327" s="1245" t="s">
        <v>411</v>
      </c>
      <c r="T327" s="220" t="s">
        <v>257</v>
      </c>
      <c r="U327" s="1259" t="s">
        <v>444</v>
      </c>
      <c r="V327" s="114"/>
      <c r="W327" s="114"/>
      <c r="X327" s="1243" t="s">
        <v>1649</v>
      </c>
      <c r="Y327" s="2646" t="s">
        <v>1650</v>
      </c>
      <c r="Z327" s="2647"/>
      <c r="AA327" s="1662" t="s">
        <v>411</v>
      </c>
      <c r="AB327" s="1662" t="s">
        <v>257</v>
      </c>
      <c r="AC327" s="1662"/>
      <c r="AD327" s="162" t="s">
        <v>327</v>
      </c>
      <c r="AE327" s="153" t="s">
        <v>444</v>
      </c>
      <c r="AF327" s="116"/>
      <c r="AG327" s="579" t="s">
        <v>411</v>
      </c>
      <c r="AH327" s="580" t="s">
        <v>257</v>
      </c>
      <c r="AI327" s="580"/>
      <c r="AJ327" s="580" t="s">
        <v>411</v>
      </c>
      <c r="AK327" s="580" t="s">
        <v>257</v>
      </c>
      <c r="AL327" s="580"/>
      <c r="AM327" s="580" t="s">
        <v>411</v>
      </c>
      <c r="AN327" s="580" t="s">
        <v>257</v>
      </c>
      <c r="AO327" s="580"/>
      <c r="AP327" s="580" t="s">
        <v>411</v>
      </c>
      <c r="AQ327" s="580" t="s">
        <v>257</v>
      </c>
      <c r="AR327" s="580"/>
      <c r="AS327" s="1289" t="s">
        <v>411</v>
      </c>
      <c r="AT327" s="581" t="s">
        <v>257</v>
      </c>
      <c r="AU327" s="581"/>
      <c r="AV327" s="579" t="s">
        <v>411</v>
      </c>
      <c r="AW327" s="580" t="s">
        <v>257</v>
      </c>
      <c r="AX327" s="583"/>
      <c r="BH327" s="2838"/>
      <c r="BI327" s="1062" t="s">
        <v>199</v>
      </c>
      <c r="BJ327" s="1063" t="s">
        <v>309</v>
      </c>
      <c r="BK327" s="1063" t="s">
        <v>272</v>
      </c>
      <c r="BL327" s="1064" t="s">
        <v>2254</v>
      </c>
      <c r="BM327" s="1062" t="s">
        <v>199</v>
      </c>
      <c r="BN327" s="1063" t="s">
        <v>309</v>
      </c>
      <c r="BO327" s="1063" t="s">
        <v>272</v>
      </c>
      <c r="BP327" s="1064" t="s">
        <v>2254</v>
      </c>
    </row>
    <row r="328" spans="1:68" hidden="1" outlineLevel="1">
      <c r="B328" s="143" t="s">
        <v>2250</v>
      </c>
      <c r="C328" s="144"/>
      <c r="D328" s="212">
        <f t="shared" ref="D328:D333" si="176">S328+T328</f>
        <v>0</v>
      </c>
      <c r="E328" s="212"/>
      <c r="F328" s="117"/>
      <c r="G328" s="117"/>
      <c r="H328" s="217">
        <f>IF(ISNA(VLOOKUP($B328&amp;"; "&amp;$H$326&amp;", "&amp;H$327,'FE Déplacements'!$G:$U,9,FALSE)),0,VLOOKUP($B328&amp;"; "&amp;$H$326&amp;", "&amp;H$327,'FE Déplacements'!$G:$U,9,FALSE))</f>
        <v>991</v>
      </c>
      <c r="I328" s="217">
        <f>IF(ISNA(VLOOKUP($B328&amp;"; "&amp;$H$326&amp;", "&amp;$I$327,'FE Déplacements'!$G:$U,9,FALSE)),0,VLOOKUP($B328&amp;"; "&amp;$H$326&amp;", "&amp;$I$327,'FE Déplacements'!$G:$U,9,FALSE))</f>
        <v>490</v>
      </c>
      <c r="J328" s="117"/>
      <c r="K328" s="335">
        <f>IF(ISNA(VLOOKUP($B328&amp;"; "&amp;$K$326&amp;", "&amp;K$327,'FE Déplacements'!$G:$U,9,FALSE)),0,VLOOKUP($B328&amp;"; "&amp;$K$326&amp;", "&amp;K$327,'FE Déplacements'!$G:$U,9,FALSE))</f>
        <v>0.11600000000000001</v>
      </c>
      <c r="L328" s="335">
        <f>IF(ISNA(VLOOKUP($B328&amp;"; "&amp;$K$326&amp;", "&amp;$L$327,'FE Déplacements'!$G:$U,9,FALSE)),0,VLOOKUP($B328&amp;"; "&amp;$K$326&amp;", "&amp;$L$327,'FE Déplacements'!$G:$U,9,FALSE))</f>
        <v>5.8000000000000003E-2</v>
      </c>
      <c r="M328" s="117"/>
      <c r="N328" s="335">
        <f>IF(ISNA(VLOOKUP($B328&amp;"; "&amp;$N$326&amp;", "&amp;$N$327,'FE Déplacements'!$G:$U,9,FALSE)),0,VLOOKUP($B328&amp;"; "&amp;$N$326&amp;", "&amp;$N$327,'FE Déplacements'!$G:$U,9,FALSE))</f>
        <v>1355</v>
      </c>
      <c r="O328" s="335">
        <f>IF(ISNA(VLOOKUP($B328&amp;"; "&amp;$N$326&amp;", "&amp;$O$327,'FE Déplacements'!$G:$U,9,FALSE)),0,VLOOKUP($B328&amp;"; "&amp;$N$326&amp;", "&amp;$O$327,'FE Déplacements'!$G:$U,9,FALSE))</f>
        <v>676</v>
      </c>
      <c r="P328" s="117"/>
      <c r="Q328" s="335">
        <f>IF(ISNA(VLOOKUP($B328&amp;"; "&amp;$Q$326&amp;", "&amp;$Q$327,'FE Déplacements'!$G:$U,9,FALSE)),0,VLOOKUP($B328&amp;"; "&amp;$Q$326&amp;", "&amp;$Q$327,'FE Déplacements'!$G:$U,9,FALSE))</f>
        <v>0.74099999999999999</v>
      </c>
      <c r="R328" s="335">
        <f>IF(ISNA(VLOOKUP($B328&amp;"; "&amp;$Q$326&amp;", "&amp;$R$327,'FE Déplacements'!$G:$U,9,FALSE)),0,VLOOKUP($B328&amp;"; "&amp;$Q$326&amp;", "&amp;$R$327,'FE Déplacements'!$G:$U,9,FALSE))</f>
        <v>0.36599999999999999</v>
      </c>
      <c r="S328" s="151">
        <f t="shared" ref="S328:S333" si="177">G328*H328+J328*K328+M328*N328+P328*Q328</f>
        <v>0</v>
      </c>
      <c r="T328" s="152">
        <f t="shared" ref="T328:T333" si="178">G328*I328+J328*L328+M328*O328+P328*R328</f>
        <v>0</v>
      </c>
      <c r="U328" s="165">
        <f>IF(OR(F328=Utilitaires!$I$572,F328=Utilitaires!$I$577),T328,0)</f>
        <v>0</v>
      </c>
      <c r="X328" s="1092">
        <f t="shared" ref="X328:X333" si="179">IF(AD328=0,AD328,AD328/D328)</f>
        <v>0</v>
      </c>
      <c r="Y328" s="343"/>
      <c r="Z328" s="820"/>
      <c r="AA328" s="164">
        <f t="shared" ref="AA328:AA333" si="180">SQRT(SUMSQ(IF(ISNA($G328*H328*BI328),0,$G328*H328*BI328),IF(ISNA($J328*K328*BJ328),0,$J328*K328*BJ328),IF(ISNA($M328*N328*BK328),0,$M328*N328*BK328),IF(ISNA($P328*Q328*BL328),0,$P328*Q328*BL328)))</f>
        <v>0</v>
      </c>
      <c r="AB328" s="164">
        <f t="shared" ref="AB328:AB333" si="181">SQRT(SUMSQ(IF(ISNA($G328*I328*BM328),0,$G328*I328*BM328),IF(ISNA($J328*L328*BN328),0,$J328*L328*BN328),IF(ISNA($M328*O328*BO328),0,$M328*O328*BO328),IF(ISNA($P328*R328*BP328),0,$P328*R328*BP328)))</f>
        <v>0</v>
      </c>
      <c r="AC328" s="164"/>
      <c r="AD328" s="152">
        <f t="shared" ref="AD328:AD333" si="182">SQRT(SUMSQ(AA328,AB328))</f>
        <v>0</v>
      </c>
      <c r="AE328" s="1286">
        <f>U328*X328</f>
        <v>0</v>
      </c>
      <c r="AG328" s="564">
        <f>$G328*IF(ISNA(VLOOKUP($B328&amp;"; "&amp;$H$326&amp;", "&amp;H$327,'FE Déplacements'!$G:$U,10,FALSE)),0,VLOOKUP($B328&amp;"; "&amp;$H$326&amp;", "&amp;H$327,'FE Déplacements'!$G:$U,10,FALSE))
+$J328*IF(ISNA(VLOOKUP($B328&amp;"; "&amp;$K$326&amp;", "&amp;H$327,'FE Déplacements'!$G:$U,10,FALSE)),0,VLOOKUP($B328&amp;"; "&amp;$K$326&amp;", "&amp;H$327,'FE Déplacements'!$G:$U,10,FALSE))
+$M328*IF(ISNA(VLOOKUP($B328&amp;"; "&amp;$N$326&amp;", "&amp;H$327,'FE Déplacements'!$G:$U,10,FALSE)),0,VLOOKUP($B328&amp;"; "&amp;$N$326&amp;", "&amp;H$327,'FE Déplacements'!$G:$U,10,FALSE))
+$P328*IF(ISNA(VLOOKUP($B328&amp;"; "&amp;$Q$326&amp;", "&amp;H$327,'FE Déplacements'!$G:$U,10,FALSE)),0,VLOOKUP($B328&amp;"; "&amp;$Q$326&amp;", "&amp;H$327,'FE Déplacements'!$G:$U,10,FALSE))</f>
        <v>0</v>
      </c>
      <c r="AH328" s="565">
        <f>$G328*IF(ISNA(VLOOKUP($B328&amp;"; "&amp;$H$326&amp;", "&amp;I$327,'FE Déplacements'!$G:$U,10,FALSE)),0,VLOOKUP($B328&amp;"; "&amp;$H$326&amp;", "&amp;I$327,'FE Déplacements'!$G:$U,10,FALSE))
+$J328*IF(ISNA(VLOOKUP($B328&amp;"; "&amp;$K$326&amp;", "&amp;I$327,'FE Déplacements'!$G:$U,10,FALSE)),0,VLOOKUP($B328&amp;"; "&amp;$K$326&amp;", "&amp;I$327,'FE Déplacements'!$G:$U,10,FALSE))
+$M328*IF(ISNA(VLOOKUP($B328&amp;"; "&amp;$N$326&amp;", "&amp;I$327,'FE Déplacements'!$G:$U,10,FALSE)),0,VLOOKUP($B328&amp;"; "&amp;$N$326&amp;", "&amp;I$327,'FE Déplacements'!$G:$U,10,FALSE))
+$P328*IF(ISNA(VLOOKUP($B328&amp;"; "&amp;$Q$326&amp;", "&amp;I$327,'FE Déplacements'!$G:$U,10,FALSE)),0,VLOOKUP($B328&amp;"; "&amp;$Q$326&amp;", "&amp;I$327,'FE Déplacements'!$G:$U,10,FALSE))</f>
        <v>0</v>
      </c>
      <c r="AI328" s="565"/>
      <c r="AJ328" s="565">
        <f>$G328*IF(ISNA((VLOOKUP($B328&amp;"; "&amp;$H$326&amp;", "&amp;H$327,'FE Déplacements'!$G:$U,12,FALSE)+VLOOKUP($B328&amp;"; "&amp;$H$326&amp;", "&amp;H$327,'FE Déplacements'!$G:$U,11,FALSE))),0,(VLOOKUP($B328&amp;"; "&amp;$H$326&amp;", "&amp;H$327,'FE Déplacements'!$G:$U,12,FALSE)+VLOOKUP($B328&amp;"; "&amp;$H$326&amp;", "&amp;H$327,'FE Déplacements'!$G:$U,11,FALSE)))
+$J328*IF(ISNA((VLOOKUP($B328&amp;"; "&amp;$K$326&amp;", "&amp;H$327,'FE Déplacements'!$G:$U,12,FALSE)+VLOOKUP($B328&amp;"; "&amp;$K$326&amp;", "&amp;H$327,'FE Déplacements'!$G:$U,11,FALSE))),0,(VLOOKUP($B328&amp;"; "&amp;$K$326&amp;", "&amp;H$327,'FE Déplacements'!$G:$U,12,FALSE)+VLOOKUP($B328&amp;"; "&amp;$K$326&amp;", "&amp;H$327,'FE Déplacements'!$G:$U,11,FALSE)))
+$M328*IF(ISNA((VLOOKUP($B328&amp;"; "&amp;$N$326&amp;", "&amp;H$327,'FE Déplacements'!$G:$U,12,FALSE)+VLOOKUP($B328&amp;"; "&amp;$N$326&amp;", "&amp;H$327,'FE Déplacements'!$G:$U,11,FALSE))),0,(VLOOKUP($B328&amp;"; "&amp;$N$326&amp;", "&amp;H$327,'FE Déplacements'!$G:$U,12,FALSE)+VLOOKUP($B328&amp;"; "&amp;$N$326&amp;", "&amp;H$327,'FE Déplacements'!$G:$U,11,FALSE)))
+$P328*IF(ISNA((VLOOKUP($B328&amp;"; "&amp;$Q$326&amp;", "&amp;H$327,'FE Déplacements'!$G:$U,12,FALSE)+VLOOKUP($B328&amp;"; "&amp;$Q$326&amp;", "&amp;H$327,'FE Déplacements'!$G:$U,11,FALSE))),0,(VLOOKUP($B328&amp;"; "&amp;$Q$326&amp;", "&amp;H$327,'FE Déplacements'!$G:$U,12,FALSE)+VLOOKUP($B328&amp;"; "&amp;$Q$326&amp;", "&amp;H$327,'FE Déplacements'!$G:$U,11,FALSE)))</f>
        <v>0</v>
      </c>
      <c r="AK328" s="565">
        <f>$G328*IF(ISNA((VLOOKUP($B328&amp;"; "&amp;$H$326&amp;", "&amp;I$327,'FE Déplacements'!$G:$U,12,FALSE)+VLOOKUP($B328&amp;"; "&amp;$H$326&amp;", "&amp;I$327,'FE Déplacements'!$G:$U,11,FALSE))),0,(VLOOKUP($B328&amp;"; "&amp;$H$326&amp;", "&amp;I$327,'FE Déplacements'!$G:$U,12,FALSE)+VLOOKUP($B328&amp;"; "&amp;$H$326&amp;", "&amp;I$327,'FE Déplacements'!$G:$U,11,FALSE)))
+$J328*IF(ISNA((VLOOKUP($B328&amp;"; "&amp;$K$326&amp;", "&amp;I$327,'FE Déplacements'!$G:$U,12,FALSE)+VLOOKUP($B328&amp;"; "&amp;$K$326&amp;", "&amp;I$327,'FE Déplacements'!$G:$U,11,FALSE))),0,(VLOOKUP($B328&amp;"; "&amp;$K$326&amp;", "&amp;I$327,'FE Déplacements'!$G:$U,12,FALSE)+VLOOKUP($B328&amp;"; "&amp;$K$326&amp;", "&amp;I$327,'FE Déplacements'!$G:$U,11,FALSE)))
+$M328*IF(ISNA((VLOOKUP($B328&amp;"; "&amp;$N$326&amp;", "&amp;I$327,'FE Déplacements'!$G:$U,12,FALSE)+VLOOKUP($B328&amp;"; "&amp;$N$326&amp;", "&amp;I$327,'FE Déplacements'!$G:$U,11,FALSE))),0,(VLOOKUP($B328&amp;"; "&amp;$N$326&amp;", "&amp;I$327,'FE Déplacements'!$G:$U,12,FALSE)+VLOOKUP($B328&amp;"; "&amp;$N$326&amp;", "&amp;I$327,'FE Déplacements'!$G:$U,11,FALSE)))
+$P328*IF(ISNA((VLOOKUP($B328&amp;"; "&amp;$Q$326&amp;", "&amp;I$327,'FE Déplacements'!$G:$U,12,FALSE)+VLOOKUP($B328&amp;"; "&amp;$Q$326&amp;", "&amp;I$327,'FE Déplacements'!$G:$U,11,FALSE))),0,(VLOOKUP($B328&amp;"; "&amp;$Q$326&amp;", "&amp;I$327,'FE Déplacements'!$G:$U,12,FALSE)+VLOOKUP($B328&amp;"; "&amp;$Q$326&amp;", "&amp;I$327,'FE Déplacements'!$G:$U,11,FALSE)))</f>
        <v>0</v>
      </c>
      <c r="AL328" s="565"/>
      <c r="AM328" s="565">
        <f>$G328*IF(ISNA(VLOOKUP($B328&amp;"; "&amp;$H$326&amp;", "&amp;H$327,'FE Déplacements'!$G:$U,13,FALSE)),0,VLOOKUP($B328&amp;"; "&amp;$H$326&amp;", "&amp;H$327,'FE Déplacements'!$G:$U,13,FALSE))
+$J328*IF(ISNA(VLOOKUP($B328&amp;"; "&amp;$K$326&amp;", "&amp;H$327,'FE Déplacements'!$G:$U,13,FALSE)),0,VLOOKUP($B328&amp;"; "&amp;$K$326&amp;", "&amp;H$327,'FE Déplacements'!$G:$U,13,FALSE))
+$M328*IF(ISNA(VLOOKUP($B328&amp;"; "&amp;$N$326&amp;", "&amp;H$327,'FE Déplacements'!$G:$U,13,FALSE)),0,VLOOKUP($B328&amp;"; "&amp;$N$326&amp;", "&amp;H$327,'FE Déplacements'!$G:$U,13,FALSE))
+$P328*IF(ISNA(VLOOKUP($B328&amp;"; "&amp;$Q$326&amp;", "&amp;H$327,'FE Déplacements'!$G:$U,13,FALSE)),0,VLOOKUP($B328&amp;"; "&amp;$Q$326&amp;", "&amp;H$327,'FE Déplacements'!$G:$U,13,FALSE))</f>
        <v>0</v>
      </c>
      <c r="AN328" s="565">
        <f>$G328*IF(ISNA(VLOOKUP($B328&amp;"; "&amp;$H$326&amp;", "&amp;I$327,'FE Déplacements'!$G:$U,13,FALSE)),0,VLOOKUP($B328&amp;"; "&amp;$H$326&amp;", "&amp;I$327,'FE Déplacements'!$G:$U,13,FALSE))
+$J328*IF(ISNA(VLOOKUP($B328&amp;"; "&amp;$K$326&amp;", "&amp;I$327,'FE Déplacements'!$G:$U,13,FALSE)),0,VLOOKUP($B328&amp;"; "&amp;$K$326&amp;", "&amp;I$327,'FE Déplacements'!$G:$U,13,FALSE))
+$M328*IF(ISNA(VLOOKUP($B328&amp;"; "&amp;$N$326&amp;", "&amp;I$327,'FE Déplacements'!$G:$U,13,FALSE)),0,VLOOKUP($B328&amp;"; "&amp;$N$326&amp;", "&amp;I$327,'FE Déplacements'!$G:$U,13,FALSE))
+$P328*IF(ISNA(VLOOKUP($B328&amp;"; "&amp;$Q$326&amp;", "&amp;I$327,'FE Déplacements'!$G:$U,13,FALSE)),0,VLOOKUP($B328&amp;"; "&amp;$Q$326&amp;", "&amp;I$327,'FE Déplacements'!$G:$U,13,FALSE))</f>
        <v>0</v>
      </c>
      <c r="AO328" s="565"/>
      <c r="AP328" s="565">
        <v>0</v>
      </c>
      <c r="AQ328" s="565">
        <v>0</v>
      </c>
      <c r="AR328" s="565"/>
      <c r="AS328" s="1288">
        <f t="shared" ref="AS328:AT333" si="183">SUM(AG328,AJ328,AM328,AP328)</f>
        <v>0</v>
      </c>
      <c r="AT328" s="566">
        <f t="shared" si="183"/>
        <v>0</v>
      </c>
      <c r="AU328" s="566"/>
      <c r="AV328" s="564">
        <f>$G328*IF(ISNA(VLOOKUP($B328&amp;"; "&amp;$H$326&amp;", "&amp;H$327,'FE Déplacements'!$G:$U,15,FALSE)),0,VLOOKUP($B328&amp;"; "&amp;$H$326&amp;", "&amp;H$327,'FE Déplacements'!$G:$U,15,FALSE))
+$J328*IF(ISNA(VLOOKUP($B328&amp;"; "&amp;$K$326&amp;", "&amp;H$327,'FE Déplacements'!$G:$U,15,FALSE)),0,VLOOKUP($B328&amp;"; "&amp;$K$326&amp;", "&amp;H$327,'FE Déplacements'!$G:$U,15,FALSE))
+$M328*IF(ISNA(VLOOKUP($B328&amp;"; "&amp;$N$326&amp;", "&amp;H$327,'FE Déplacements'!$G:$U,15,FALSE)),0,VLOOKUP($B328&amp;"; "&amp;$N$326&amp;", "&amp;H$327,'FE Déplacements'!$G:$U,15,FALSE))
+$P328*IF(ISNA(VLOOKUP($B328&amp;"; "&amp;$Q$326&amp;", "&amp;H$327,'FE Déplacements'!$G:$U,15,FALSE)),0,VLOOKUP($B328&amp;"; "&amp;$Q$326&amp;", "&amp;H$327,'FE Déplacements'!$G:$U,15,FALSE))</f>
        <v>0</v>
      </c>
      <c r="AW328" s="565">
        <f>$G328*IF(ISNA(VLOOKUP($B328&amp;"; "&amp;$H$326&amp;", "&amp;I$327,'FE Déplacements'!$G:$U,15,FALSE)),0,VLOOKUP($B328&amp;"; "&amp;$H$326&amp;", "&amp;I$327,'FE Déplacements'!$G:$U,15,FALSE))
+$J328*IF(ISNA(VLOOKUP($B328&amp;"; "&amp;$K$326&amp;", "&amp;I$327,'FE Déplacements'!$G:$U,15,FALSE)),0,VLOOKUP($B328&amp;"; "&amp;$K$326&amp;", "&amp;I$327,'FE Déplacements'!$G:$U,15,FALSE))
+$M328*IF(ISNA(VLOOKUP($B328&amp;"; "&amp;$N$326&amp;", "&amp;I$327,'FE Déplacements'!$G:$U,15,FALSE)),0,VLOOKUP($B328&amp;"; "&amp;$N$326&amp;", "&amp;I$327,'FE Déplacements'!$G:$U,15,FALSE))
+$P328*IF(ISNA(VLOOKUP($B328&amp;"; "&amp;$Q$326&amp;", "&amp;I$327,'FE Déplacements'!$G:$U,15,FALSE)),0,VLOOKUP($B328&amp;"; "&amp;$Q$326&amp;", "&amp;I$327,'FE Déplacements'!$G:$U,15,FALSE))</f>
        <v>0</v>
      </c>
      <c r="AX328" s="568"/>
      <c r="BH328" s="1065">
        <f>IF($Y328&lt;&gt;"votre valeur :",IF(ISNA(VLOOKUP($Y328,Utilitaires!$N$566:$O$571,2,FALSE)),,VLOOKUP($Y328,Utilitaires!$N$566:$O$571,2,FALSE)),$Z328)</f>
        <v>0</v>
      </c>
      <c r="BI328" s="1124">
        <f>IF(ISNA(SQRT(SUMSQ(VLOOKUP($B328&amp;"; "&amp;$H$326&amp;", "&amp;$H$327,'FE Déplacements'!$G:$U,7,FALSE),$BH328))),0,SQRT(SUMSQ(VLOOKUP($B328&amp;"; "&amp;$H$326&amp;", "&amp;$H$327,'FE Déplacements'!$G:$U,7,FALSE),$BH328)))</f>
        <v>0.05</v>
      </c>
      <c r="BJ328" s="1068">
        <f>IF(ISNA(SQRT(SUMSQ(VLOOKUP($B328&amp;"; "&amp;$H$326&amp;", "&amp;$H$327,'FE Déplacements'!$G:$U,7,FALSE),$BH328))),0,SQRT(SUMSQ(VLOOKUP($B328&amp;"; "&amp;$H$326&amp;", "&amp;$H$327,'FE Déplacements'!$G:$U,7,FALSE),$BH328)))</f>
        <v>0.05</v>
      </c>
      <c r="BK328" s="1068">
        <f>IF(ISNA(SQRT(SUMSQ(VLOOKUP($B328&amp;"; "&amp;$H$326&amp;", "&amp;$H$327,'FE Déplacements'!$G:$U,7,FALSE),$BH328))),0,SQRT(SUMSQ(VLOOKUP($B328&amp;"; "&amp;$H$326&amp;", "&amp;$H$327,'FE Déplacements'!$G:$U,7,FALSE),$BH328)))</f>
        <v>0.05</v>
      </c>
      <c r="BL328" s="1125">
        <f>IF(ISNA(SQRT(SUMSQ(VLOOKUP($B328&amp;"; "&amp;$H$326&amp;", "&amp;$H$327,'FE Déplacements'!$G:$U,7,FALSE),$BH328))),0,SQRT(SUMSQ(VLOOKUP($B328&amp;"; "&amp;$H$326&amp;", "&amp;$H$327,'FE Déplacements'!$G:$U,7,FALSE),$BH328)))</f>
        <v>0.05</v>
      </c>
      <c r="BM328" s="1124">
        <f>IF(ISNA(SQRT(SUMSQ(VLOOKUP($B328&amp;"; "&amp;$H$326&amp;", "&amp;$I$327,'FE Déplacements'!$G:$U,7,FALSE),$BH328))),0,SQRT(SUMSQ(VLOOKUP($B328&amp;"; "&amp;$H$326&amp;", "&amp;$I$327,'FE Déplacements'!$G:$U,7,FALSE),$BH328)))</f>
        <v>0.05</v>
      </c>
      <c r="BN328" s="1068">
        <f>IF(ISNA(SQRT(SUMSQ(VLOOKUP($B328&amp;"; "&amp;$H$326&amp;", "&amp;$I$327,'FE Déplacements'!$G:$U,7,FALSE),$BH328))),0,SQRT(SUMSQ(VLOOKUP($B328&amp;"; "&amp;$H$326&amp;", "&amp;$I$327,'FE Déplacements'!$G:$U,7,FALSE),$BH328)))</f>
        <v>0.05</v>
      </c>
      <c r="BO328" s="1068">
        <f>IF(ISNA(SQRT(SUMSQ(VLOOKUP($B328&amp;"; "&amp;$H$326&amp;", "&amp;$I$327,'FE Déplacements'!$G:$U,7,FALSE),$BH328))),0,SQRT(SUMSQ(VLOOKUP($B328&amp;"; "&amp;$H$326&amp;", "&amp;$I$327,'FE Déplacements'!$G:$U,7,FALSE),$BH328)))</f>
        <v>0.05</v>
      </c>
      <c r="BP328" s="1125">
        <f>IF(ISNA(SQRT(SUMSQ(VLOOKUP($B328&amp;"; "&amp;$H$326&amp;", "&amp;$I$327,'FE Déplacements'!$G:$U,7,FALSE),$BH328))),0,SQRT(SUMSQ(VLOOKUP($B328&amp;"; "&amp;$H$326&amp;", "&amp;$I$327,'FE Déplacements'!$G:$U,7,FALSE),$BH328)))</f>
        <v>0.05</v>
      </c>
    </row>
    <row r="329" spans="1:68" hidden="1" outlineLevel="1">
      <c r="B329" s="143" t="s">
        <v>1630</v>
      </c>
      <c r="C329" s="144"/>
      <c r="D329" s="212">
        <f t="shared" si="176"/>
        <v>0</v>
      </c>
      <c r="E329" s="212"/>
      <c r="F329" s="120"/>
      <c r="G329" s="120"/>
      <c r="H329" s="217">
        <f>IF(ISNA(VLOOKUP($B329&amp;"; "&amp;$H$326&amp;", "&amp;H$327,'FE Déplacements'!$G:$U,9,FALSE)),0,VLOOKUP($B329&amp;"; "&amp;$H$326&amp;", "&amp;H$327,'FE Déplacements'!$G:$U,9,FALSE))</f>
        <v>1015</v>
      </c>
      <c r="I329" s="217">
        <f>IF(ISNA(VLOOKUP($B329&amp;"; "&amp;$H$326&amp;", "&amp;$I$327,'FE Déplacements'!$G:$U,9,FALSE)),0,VLOOKUP($B329&amp;"; "&amp;$H$326&amp;", "&amp;$I$327,'FE Déplacements'!$G:$U,9,FALSE))</f>
        <v>2512</v>
      </c>
      <c r="J329" s="120"/>
      <c r="K329" s="335">
        <f>IF(ISNA(VLOOKUP($B329&amp;"; "&amp;$K$326&amp;", "&amp;K$327,'FE Déplacements'!$G:$U,9,FALSE)),0,VLOOKUP($B329&amp;"; "&amp;$K$326&amp;", "&amp;K$327,'FE Déplacements'!$G:$U,9,FALSE))</f>
        <v>7.8399999999999997E-2</v>
      </c>
      <c r="L329" s="335">
        <f>IF(ISNA(VLOOKUP($B329&amp;"; "&amp;$K$326&amp;", "&amp;$L$327,'FE Déplacements'!$G:$U,9,FALSE)),0,VLOOKUP($B329&amp;"; "&amp;$K$326&amp;", "&amp;$L$327,'FE Déplacements'!$G:$U,9,FALSE))</f>
        <v>0.19500000000000001</v>
      </c>
      <c r="M329" s="120"/>
      <c r="N329" s="335">
        <f>IF(ISNA(VLOOKUP($B329&amp;"; "&amp;$N$326&amp;", "&amp;$N$327,'FE Déplacements'!$G:$U,9,FALSE)),0,VLOOKUP($B329&amp;"; "&amp;$N$326&amp;", "&amp;$N$327,'FE Déplacements'!$G:$U,9,FALSE))</f>
        <v>916</v>
      </c>
      <c r="O329" s="335">
        <f>IF(ISNA(VLOOKUP($B329&amp;"; "&amp;$N$326&amp;", "&amp;$O$327,'FE Déplacements'!$G:$U,9,FALSE)),0,VLOOKUP($B329&amp;"; "&amp;$N$326&amp;", "&amp;$O$327,'FE Déplacements'!$G:$U,9,FALSE))</f>
        <v>2269</v>
      </c>
      <c r="P329" s="120"/>
      <c r="Q329" s="335">
        <f>IF(ISNA(VLOOKUP($B329&amp;"; "&amp;$Q$326&amp;", "&amp;$Q$327,'FE Déplacements'!$G:$U,9,FALSE)),0,VLOOKUP($B329&amp;"; "&amp;$Q$326&amp;", "&amp;$Q$327,'FE Déplacements'!$G:$U,9,FALSE))</f>
        <v>0.75800000000000001</v>
      </c>
      <c r="R329" s="335">
        <f>IF(ISNA(VLOOKUP($B329&amp;"; "&amp;$Q$326&amp;", "&amp;$R$327,'FE Déplacements'!$G:$U,9,FALSE)),0,VLOOKUP($B329&amp;"; "&amp;$Q$326&amp;", "&amp;$R$327,'FE Déplacements'!$G:$U,9,FALSE))</f>
        <v>1.88</v>
      </c>
      <c r="S329" s="151">
        <f t="shared" si="177"/>
        <v>0</v>
      </c>
      <c r="T329" s="152">
        <f t="shared" si="178"/>
        <v>0</v>
      </c>
      <c r="U329" s="165">
        <f>IF(OR(F329=Utilitaires!$I$572,F329=Utilitaires!$I$577),T329,0)</f>
        <v>0</v>
      </c>
      <c r="X329" s="1092">
        <f t="shared" si="179"/>
        <v>0</v>
      </c>
      <c r="Y329" s="343"/>
      <c r="Z329" s="820"/>
      <c r="AA329" s="164">
        <f t="shared" si="180"/>
        <v>0</v>
      </c>
      <c r="AB329" s="164">
        <f t="shared" si="181"/>
        <v>0</v>
      </c>
      <c r="AC329" s="164"/>
      <c r="AD329" s="152">
        <f t="shared" si="182"/>
        <v>0</v>
      </c>
      <c r="AE329" s="1286">
        <f t="shared" ref="AE329:AE333" si="184">U329*X329</f>
        <v>0</v>
      </c>
      <c r="AG329" s="564">
        <f>$G329*IF(ISNA(VLOOKUP($B329&amp;"; "&amp;$H$326&amp;", "&amp;H$327,'FE Déplacements'!$G:$U,10,FALSE)),0,VLOOKUP($B329&amp;"; "&amp;$H$326&amp;", "&amp;H$327,'FE Déplacements'!$G:$U,10,FALSE))
+$J329*IF(ISNA(VLOOKUP($B329&amp;"; "&amp;$K$326&amp;", "&amp;H$327,'FE Déplacements'!$G:$U,10,FALSE)),0,VLOOKUP($B329&amp;"; "&amp;$K$326&amp;", "&amp;H$327,'FE Déplacements'!$G:$U,10,FALSE))
+$M329*IF(ISNA(VLOOKUP($B329&amp;"; "&amp;$N$326&amp;", "&amp;H$327,'FE Déplacements'!$G:$U,10,FALSE)),0,VLOOKUP($B329&amp;"; "&amp;$N$326&amp;", "&amp;H$327,'FE Déplacements'!$G:$U,10,FALSE))
+$P329*IF(ISNA(VLOOKUP($B329&amp;"; "&amp;$Q$326&amp;", "&amp;H$327,'FE Déplacements'!$G:$U,10,FALSE)),0,VLOOKUP($B329&amp;"; "&amp;$Q$326&amp;", "&amp;H$327,'FE Déplacements'!$G:$U,10,FALSE))</f>
        <v>0</v>
      </c>
      <c r="AH329" s="565">
        <f>$G329*IF(ISNA(VLOOKUP($B329&amp;"; "&amp;$H$326&amp;", "&amp;I$327,'FE Déplacements'!$G:$U,10,FALSE)),0,VLOOKUP($B329&amp;"; "&amp;$H$326&amp;", "&amp;I$327,'FE Déplacements'!$G:$U,10,FALSE))
+$J329*IF(ISNA(VLOOKUP($B329&amp;"; "&amp;$K$326&amp;", "&amp;I$327,'FE Déplacements'!$G:$U,10,FALSE)),0,VLOOKUP($B329&amp;"; "&amp;$K$326&amp;", "&amp;I$327,'FE Déplacements'!$G:$U,10,FALSE))
+$M329*IF(ISNA(VLOOKUP($B329&amp;"; "&amp;$N$326&amp;", "&amp;I$327,'FE Déplacements'!$G:$U,10,FALSE)),0,VLOOKUP($B329&amp;"; "&amp;$N$326&amp;", "&amp;I$327,'FE Déplacements'!$G:$U,10,FALSE))
+$P329*IF(ISNA(VLOOKUP($B329&amp;"; "&amp;$Q$326&amp;", "&amp;I$327,'FE Déplacements'!$G:$U,10,FALSE)),0,VLOOKUP($B329&amp;"; "&amp;$Q$326&amp;", "&amp;I$327,'FE Déplacements'!$G:$U,10,FALSE))</f>
        <v>0</v>
      </c>
      <c r="AI329" s="565"/>
      <c r="AJ329" s="565">
        <f>$G329*IF(ISNA((VLOOKUP($B329&amp;"; "&amp;$H$326&amp;", "&amp;H$327,'FE Déplacements'!$G:$U,12,FALSE)+VLOOKUP($B329&amp;"; "&amp;$H$326&amp;", "&amp;H$327,'FE Déplacements'!$G:$U,11,FALSE))),0,(VLOOKUP($B329&amp;"; "&amp;$H$326&amp;", "&amp;H$327,'FE Déplacements'!$G:$U,12,FALSE)+VLOOKUP($B329&amp;"; "&amp;$H$326&amp;", "&amp;H$327,'FE Déplacements'!$G:$U,11,FALSE)))
+$J329*IF(ISNA((VLOOKUP($B329&amp;"; "&amp;$K$326&amp;", "&amp;H$327,'FE Déplacements'!$G:$U,12,FALSE)+VLOOKUP($B329&amp;"; "&amp;$K$326&amp;", "&amp;H$327,'FE Déplacements'!$G:$U,11,FALSE))),0,(VLOOKUP($B329&amp;"; "&amp;$K$326&amp;", "&amp;H$327,'FE Déplacements'!$G:$U,12,FALSE)+VLOOKUP($B329&amp;"; "&amp;$K$326&amp;", "&amp;H$327,'FE Déplacements'!$G:$U,11,FALSE)))
+$M329*IF(ISNA((VLOOKUP($B329&amp;"; "&amp;$N$326&amp;", "&amp;H$327,'FE Déplacements'!$G:$U,12,FALSE)+VLOOKUP($B329&amp;"; "&amp;$N$326&amp;", "&amp;H$327,'FE Déplacements'!$G:$U,11,FALSE))),0,(VLOOKUP($B329&amp;"; "&amp;$N$326&amp;", "&amp;H$327,'FE Déplacements'!$G:$U,12,FALSE)+VLOOKUP($B329&amp;"; "&amp;$N$326&amp;", "&amp;H$327,'FE Déplacements'!$G:$U,11,FALSE)))
+$P329*IF(ISNA((VLOOKUP($B329&amp;"; "&amp;$Q$326&amp;", "&amp;H$327,'FE Déplacements'!$G:$U,12,FALSE)+VLOOKUP($B329&amp;"; "&amp;$Q$326&amp;", "&amp;H$327,'FE Déplacements'!$G:$U,11,FALSE))),0,(VLOOKUP($B329&amp;"; "&amp;$Q$326&amp;", "&amp;H$327,'FE Déplacements'!$G:$U,12,FALSE)+VLOOKUP($B329&amp;"; "&amp;$Q$326&amp;", "&amp;H$327,'FE Déplacements'!$G:$U,11,FALSE)))</f>
        <v>0</v>
      </c>
      <c r="AK329" s="565">
        <f>$G329*IF(ISNA((VLOOKUP($B329&amp;"; "&amp;$H$326&amp;", "&amp;I$327,'FE Déplacements'!$G:$U,12,FALSE)+VLOOKUP($B329&amp;"; "&amp;$H$326&amp;", "&amp;I$327,'FE Déplacements'!$G:$U,11,FALSE))),0,(VLOOKUP($B329&amp;"; "&amp;$H$326&amp;", "&amp;I$327,'FE Déplacements'!$G:$U,12,FALSE)+VLOOKUP($B329&amp;"; "&amp;$H$326&amp;", "&amp;I$327,'FE Déplacements'!$G:$U,11,FALSE)))
+$J329*IF(ISNA((VLOOKUP($B329&amp;"; "&amp;$K$326&amp;", "&amp;I$327,'FE Déplacements'!$G:$U,12,FALSE)+VLOOKUP($B329&amp;"; "&amp;$K$326&amp;", "&amp;I$327,'FE Déplacements'!$G:$U,11,FALSE))),0,(VLOOKUP($B329&amp;"; "&amp;$K$326&amp;", "&amp;I$327,'FE Déplacements'!$G:$U,12,FALSE)+VLOOKUP($B329&amp;"; "&amp;$K$326&amp;", "&amp;I$327,'FE Déplacements'!$G:$U,11,FALSE)))
+$M329*IF(ISNA((VLOOKUP($B329&amp;"; "&amp;$N$326&amp;", "&amp;I$327,'FE Déplacements'!$G:$U,12,FALSE)+VLOOKUP($B329&amp;"; "&amp;$N$326&amp;", "&amp;I$327,'FE Déplacements'!$G:$U,11,FALSE))),0,(VLOOKUP($B329&amp;"; "&amp;$N$326&amp;", "&amp;I$327,'FE Déplacements'!$G:$U,12,FALSE)+VLOOKUP($B329&amp;"; "&amp;$N$326&amp;", "&amp;I$327,'FE Déplacements'!$G:$U,11,FALSE)))
+$P329*IF(ISNA((VLOOKUP($B329&amp;"; "&amp;$Q$326&amp;", "&amp;I$327,'FE Déplacements'!$G:$U,12,FALSE)+VLOOKUP($B329&amp;"; "&amp;$Q$326&amp;", "&amp;I$327,'FE Déplacements'!$G:$U,11,FALSE))),0,(VLOOKUP($B329&amp;"; "&amp;$Q$326&amp;", "&amp;I$327,'FE Déplacements'!$G:$U,12,FALSE)+VLOOKUP($B329&amp;"; "&amp;$Q$326&amp;", "&amp;I$327,'FE Déplacements'!$G:$U,11,FALSE)))</f>
        <v>0</v>
      </c>
      <c r="AL329" s="565"/>
      <c r="AM329" s="565">
        <f>$G329*IF(ISNA(VLOOKUP($B329&amp;"; "&amp;$H$326&amp;", "&amp;H$327,'FE Déplacements'!$G:$U,13,FALSE)),0,VLOOKUP($B329&amp;"; "&amp;$H$326&amp;", "&amp;H$327,'FE Déplacements'!$G:$U,13,FALSE))
+$J329*IF(ISNA(VLOOKUP($B329&amp;"; "&amp;$K$326&amp;", "&amp;H$327,'FE Déplacements'!$G:$U,13,FALSE)),0,VLOOKUP($B329&amp;"; "&amp;$K$326&amp;", "&amp;H$327,'FE Déplacements'!$G:$U,13,FALSE))
+$M329*IF(ISNA(VLOOKUP($B329&amp;"; "&amp;$N$326&amp;", "&amp;H$327,'FE Déplacements'!$G:$U,13,FALSE)),0,VLOOKUP($B329&amp;"; "&amp;$N$326&amp;", "&amp;H$327,'FE Déplacements'!$G:$U,13,FALSE))
+$P329*IF(ISNA(VLOOKUP($B329&amp;"; "&amp;$Q$326&amp;", "&amp;H$327,'FE Déplacements'!$G:$U,13,FALSE)),0,VLOOKUP($B329&amp;"; "&amp;$Q$326&amp;", "&amp;H$327,'FE Déplacements'!$G:$U,13,FALSE))</f>
        <v>0</v>
      </c>
      <c r="AN329" s="565">
        <f>$G329*IF(ISNA(VLOOKUP($B329&amp;"; "&amp;$H$326&amp;", "&amp;I$327,'FE Déplacements'!$G:$U,13,FALSE)),0,VLOOKUP($B329&amp;"; "&amp;$H$326&amp;", "&amp;I$327,'FE Déplacements'!$G:$U,13,FALSE))
+$J329*IF(ISNA(VLOOKUP($B329&amp;"; "&amp;$K$326&amp;", "&amp;I$327,'FE Déplacements'!$G:$U,13,FALSE)),0,VLOOKUP($B329&amp;"; "&amp;$K$326&amp;", "&amp;I$327,'FE Déplacements'!$G:$U,13,FALSE))
+$M329*IF(ISNA(VLOOKUP($B329&amp;"; "&amp;$N$326&amp;", "&amp;I$327,'FE Déplacements'!$G:$U,13,FALSE)),0,VLOOKUP($B329&amp;"; "&amp;$N$326&amp;", "&amp;I$327,'FE Déplacements'!$G:$U,13,FALSE))
+$P329*IF(ISNA(VLOOKUP($B329&amp;"; "&amp;$Q$326&amp;", "&amp;I$327,'FE Déplacements'!$G:$U,13,FALSE)),0,VLOOKUP($B329&amp;"; "&amp;$Q$326&amp;", "&amp;I$327,'FE Déplacements'!$G:$U,13,FALSE))</f>
        <v>0</v>
      </c>
      <c r="AO329" s="565"/>
      <c r="AP329" s="565">
        <v>0</v>
      </c>
      <c r="AQ329" s="565">
        <v>0</v>
      </c>
      <c r="AR329" s="565"/>
      <c r="AS329" s="1288">
        <f t="shared" si="183"/>
        <v>0</v>
      </c>
      <c r="AT329" s="566">
        <f t="shared" si="183"/>
        <v>0</v>
      </c>
      <c r="AU329" s="566"/>
      <c r="AV329" s="564">
        <f>$G329*IF(ISNA(VLOOKUP($B329&amp;"; "&amp;$H$326&amp;", "&amp;H$327,'FE Déplacements'!$G:$U,15,FALSE)),0,VLOOKUP($B329&amp;"; "&amp;$H$326&amp;", "&amp;H$327,'FE Déplacements'!$G:$U,15,FALSE))
+$J329*IF(ISNA(VLOOKUP($B329&amp;"; "&amp;$K$326&amp;", "&amp;H$327,'FE Déplacements'!$G:$U,15,FALSE)),0,VLOOKUP($B329&amp;"; "&amp;$K$326&amp;", "&amp;H$327,'FE Déplacements'!$G:$U,15,FALSE))
+$M329*IF(ISNA(VLOOKUP($B329&amp;"; "&amp;$N$326&amp;", "&amp;H$327,'FE Déplacements'!$G:$U,15,FALSE)),0,VLOOKUP($B329&amp;"; "&amp;$N$326&amp;", "&amp;H$327,'FE Déplacements'!$G:$U,15,FALSE))
+$P329*IF(ISNA(VLOOKUP($B329&amp;"; "&amp;$Q$326&amp;", "&amp;H$327,'FE Déplacements'!$G:$U,15,FALSE)),0,VLOOKUP($B329&amp;"; "&amp;$Q$326&amp;", "&amp;H$327,'FE Déplacements'!$G:$U,15,FALSE))</f>
        <v>0</v>
      </c>
      <c r="AW329" s="565">
        <f>$G329*IF(ISNA(VLOOKUP($B329&amp;"; "&amp;$H$326&amp;", "&amp;I$327,'FE Déplacements'!$G:$U,15,FALSE)),0,VLOOKUP($B329&amp;"; "&amp;$H$326&amp;", "&amp;I$327,'FE Déplacements'!$G:$U,15,FALSE))
+$J329*IF(ISNA(VLOOKUP($B329&amp;"; "&amp;$K$326&amp;", "&amp;I$327,'FE Déplacements'!$G:$U,15,FALSE)),0,VLOOKUP($B329&amp;"; "&amp;$K$326&amp;", "&amp;I$327,'FE Déplacements'!$G:$U,15,FALSE))
+$M329*IF(ISNA(VLOOKUP($B329&amp;"; "&amp;$N$326&amp;", "&amp;I$327,'FE Déplacements'!$G:$U,15,FALSE)),0,VLOOKUP($B329&amp;"; "&amp;$N$326&amp;", "&amp;I$327,'FE Déplacements'!$G:$U,15,FALSE))
+$P329*IF(ISNA(VLOOKUP($B329&amp;"; "&amp;$Q$326&amp;", "&amp;I$327,'FE Déplacements'!$G:$U,15,FALSE)),0,VLOOKUP($B329&amp;"; "&amp;$Q$326&amp;", "&amp;I$327,'FE Déplacements'!$G:$U,15,FALSE))</f>
        <v>0</v>
      </c>
      <c r="AX329" s="568"/>
      <c r="BH329" s="1065">
        <f>IF($Y329&lt;&gt;"votre valeur :",IF(ISNA(VLOOKUP($Y329,Utilitaires!$N$566:$O$571,2,FALSE)),,VLOOKUP($Y329,Utilitaires!$N$566:$O$571,2,FALSE)),$Z329)</f>
        <v>0</v>
      </c>
      <c r="BI329" s="1124">
        <f>IF(ISNA(SQRT(SUMSQ(VLOOKUP($B329&amp;"; "&amp;$H$326&amp;", "&amp;$H$327,'FE Déplacements'!$G:$U,7,FALSE),$BH329))),0,SQRT(SUMSQ(VLOOKUP($B329&amp;"; "&amp;$H$326&amp;", "&amp;$H$327,'FE Déplacements'!$G:$U,7,FALSE),$BH329)))</f>
        <v>0.05</v>
      </c>
      <c r="BJ329" s="1068">
        <f>IF(ISNA(SQRT(SUMSQ(VLOOKUP($B329&amp;"; "&amp;$H$326&amp;", "&amp;$H$327,'FE Déplacements'!$G:$U,7,FALSE),$BH329))),0,SQRT(SUMSQ(VLOOKUP($B329&amp;"; "&amp;$H$326&amp;", "&amp;$H$327,'FE Déplacements'!$G:$U,7,FALSE),$BH329)))</f>
        <v>0.05</v>
      </c>
      <c r="BK329" s="1068">
        <f>IF(ISNA(SQRT(SUMSQ(VLOOKUP($B329&amp;"; "&amp;$H$326&amp;", "&amp;$H$327,'FE Déplacements'!$G:$U,7,FALSE),$BH329))),0,SQRT(SUMSQ(VLOOKUP($B329&amp;"; "&amp;$H$326&amp;", "&amp;$H$327,'FE Déplacements'!$G:$U,7,FALSE),$BH329)))</f>
        <v>0.05</v>
      </c>
      <c r="BL329" s="1125">
        <f>IF(ISNA(SQRT(SUMSQ(VLOOKUP($B329&amp;"; "&amp;$H$326&amp;", "&amp;$H$327,'FE Déplacements'!$G:$U,7,FALSE),$BH329))),0,SQRT(SUMSQ(VLOOKUP($B329&amp;"; "&amp;$H$326&amp;", "&amp;$H$327,'FE Déplacements'!$G:$U,7,FALSE),$BH329)))</f>
        <v>0.05</v>
      </c>
      <c r="BM329" s="1124">
        <f>IF(ISNA(SQRT(SUMSQ(VLOOKUP($B329&amp;"; "&amp;$H$326&amp;", "&amp;$I$327,'FE Déplacements'!$G:$U,7,FALSE),$BH329))),0,SQRT(SUMSQ(VLOOKUP($B329&amp;"; "&amp;$H$326&amp;", "&amp;$I$327,'FE Déplacements'!$G:$U,7,FALSE),$BH329)))</f>
        <v>0.05</v>
      </c>
      <c r="BN329" s="1068">
        <f>IF(ISNA(SQRT(SUMSQ(VLOOKUP($B329&amp;"; "&amp;$H$326&amp;", "&amp;$I$327,'FE Déplacements'!$G:$U,7,FALSE),$BH329))),0,SQRT(SUMSQ(VLOOKUP($B329&amp;"; "&amp;$H$326&amp;", "&amp;$I$327,'FE Déplacements'!$G:$U,7,FALSE),$BH329)))</f>
        <v>0.05</v>
      </c>
      <c r="BO329" s="1068">
        <f>IF(ISNA(SQRT(SUMSQ(VLOOKUP($B329&amp;"; "&amp;$H$326&amp;", "&amp;$I$327,'FE Déplacements'!$G:$U,7,FALSE),$BH329))),0,SQRT(SUMSQ(VLOOKUP($B329&amp;"; "&amp;$H$326&amp;", "&amp;$I$327,'FE Déplacements'!$G:$U,7,FALSE),$BH329)))</f>
        <v>0.05</v>
      </c>
      <c r="BP329" s="1125">
        <f>IF(ISNA(SQRT(SUMSQ(VLOOKUP($B329&amp;"; "&amp;$H$326&amp;", "&amp;$I$327,'FE Déplacements'!$G:$U,7,FALSE),$BH329))),0,SQRT(SUMSQ(VLOOKUP($B329&amp;"; "&amp;$H$326&amp;", "&amp;$I$327,'FE Déplacements'!$G:$U,7,FALSE),$BH329)))</f>
        <v>0.05</v>
      </c>
    </row>
    <row r="330" spans="1:68" hidden="1" outlineLevel="1">
      <c r="B330" s="143" t="s">
        <v>2251</v>
      </c>
      <c r="C330" s="144"/>
      <c r="D330" s="212">
        <f t="shared" si="176"/>
        <v>0</v>
      </c>
      <c r="E330" s="212"/>
      <c r="F330" s="120"/>
      <c r="G330" s="120"/>
      <c r="H330" s="217">
        <f>IF(ISNA(VLOOKUP($B330&amp;"; "&amp;$H$326&amp;", "&amp;H$327,'FE Déplacements'!$G:$U,9,FALSE)),0,VLOOKUP($B330&amp;"; "&amp;$H$326&amp;", "&amp;H$327,'FE Déplacements'!$G:$U,9,FALSE))</f>
        <v>0</v>
      </c>
      <c r="I330" s="217">
        <f>IF(ISNA(VLOOKUP($B330&amp;"; "&amp;$H$326&amp;", "&amp;$I$327,'FE Déplacements'!$G:$U,9,FALSE)),0,VLOOKUP($B330&amp;"; "&amp;$H$326&amp;", "&amp;$I$327,'FE Déplacements'!$G:$U,9,FALSE))</f>
        <v>0</v>
      </c>
      <c r="J330" s="120"/>
      <c r="K330" s="335">
        <f>IF(ISNA(VLOOKUP($B330&amp;"; "&amp;$K$326&amp;", "&amp;K$327,'FE Déplacements'!$G:$U,9,FALSE)),0,VLOOKUP($B330&amp;"; "&amp;$K$326&amp;", "&amp;K$327,'FE Déplacements'!$G:$U,9,FALSE))</f>
        <v>5.0599999999999999E-2</v>
      </c>
      <c r="L330" s="335">
        <f>IF(ISNA(VLOOKUP($B330&amp;"; "&amp;$K$326&amp;", "&amp;$L$327,'FE Déplacements'!$G:$U,9,FALSE)),0,VLOOKUP($B330&amp;"; "&amp;$K$326&amp;", "&amp;$L$327,'FE Déplacements'!$G:$U,9,FALSE))</f>
        <v>0.187</v>
      </c>
      <c r="M330" s="120"/>
      <c r="N330" s="335">
        <f>IF(ISNA(VLOOKUP($B330&amp;"; "&amp;$N$326&amp;", "&amp;$N$327,'FE Déplacements'!$G:$U,9,FALSE)),0,VLOOKUP($B330&amp;"; "&amp;$N$326&amp;", "&amp;$N$327,'FE Déplacements'!$G:$U,9,FALSE))</f>
        <v>592</v>
      </c>
      <c r="O330" s="335">
        <f>IF(ISNA(VLOOKUP($B330&amp;"; "&amp;$N$326&amp;", "&amp;$O$327,'FE Déplacements'!$G:$U,9,FALSE)),0,VLOOKUP($B330&amp;"; "&amp;$N$326&amp;", "&amp;$O$327,'FE Déplacements'!$G:$U,9,FALSE))</f>
        <v>2186</v>
      </c>
      <c r="P330" s="120"/>
      <c r="Q330" s="335">
        <f>IF(ISNA(VLOOKUP($B330&amp;"; "&amp;$Q$326&amp;", "&amp;$Q$327,'FE Déplacements'!$G:$U,9,FALSE)),0,VLOOKUP($B330&amp;"; "&amp;$Q$326&amp;", "&amp;$Q$327,'FE Déplacements'!$G:$U,9,FALSE))</f>
        <v>0.45700000000000002</v>
      </c>
      <c r="R330" s="335">
        <f>IF(ISNA(VLOOKUP($B330&amp;"; "&amp;$Q$326&amp;", "&amp;$R$327,'FE Déplacements'!$G:$U,9,FALSE)),0,VLOOKUP($B330&amp;"; "&amp;$Q$326&amp;", "&amp;$R$327,'FE Déplacements'!$G:$U,9,FALSE))</f>
        <v>1.69</v>
      </c>
      <c r="S330" s="151">
        <f t="shared" si="177"/>
        <v>0</v>
      </c>
      <c r="T330" s="152">
        <f t="shared" si="178"/>
        <v>0</v>
      </c>
      <c r="U330" s="165">
        <f>IF(OR(F330=Utilitaires!$I$572,F330=Utilitaires!$I$577),T330,0)</f>
        <v>0</v>
      </c>
      <c r="X330" s="1092">
        <f t="shared" si="179"/>
        <v>0</v>
      </c>
      <c r="Y330" s="343"/>
      <c r="Z330" s="820"/>
      <c r="AA330" s="164">
        <f t="shared" si="180"/>
        <v>0</v>
      </c>
      <c r="AB330" s="164">
        <f t="shared" si="181"/>
        <v>0</v>
      </c>
      <c r="AC330" s="164"/>
      <c r="AD330" s="152">
        <f t="shared" si="182"/>
        <v>0</v>
      </c>
      <c r="AE330" s="1286">
        <f t="shared" si="184"/>
        <v>0</v>
      </c>
      <c r="AG330" s="564">
        <f>$G330*IF(ISNA(VLOOKUP($B330&amp;"; "&amp;$H$326&amp;", "&amp;H$327,'FE Déplacements'!$G:$U,10,FALSE)),0,VLOOKUP($B330&amp;"; "&amp;$H$326&amp;", "&amp;H$327,'FE Déplacements'!$G:$U,10,FALSE))
+$J330*IF(ISNA(VLOOKUP($B330&amp;"; "&amp;$K$326&amp;", "&amp;H$327,'FE Déplacements'!$G:$U,10,FALSE)),0,VLOOKUP($B330&amp;"; "&amp;$K$326&amp;", "&amp;H$327,'FE Déplacements'!$G:$U,10,FALSE))
+$M330*IF(ISNA(VLOOKUP($B330&amp;"; "&amp;$N$326&amp;", "&amp;H$327,'FE Déplacements'!$G:$U,10,FALSE)),0,VLOOKUP($B330&amp;"; "&amp;$N$326&amp;", "&amp;H$327,'FE Déplacements'!$G:$U,10,FALSE))
+$P330*IF(ISNA(VLOOKUP($B330&amp;"; "&amp;$Q$326&amp;", "&amp;H$327,'FE Déplacements'!$G:$U,10,FALSE)),0,VLOOKUP($B330&amp;"; "&amp;$Q$326&amp;", "&amp;H$327,'FE Déplacements'!$G:$U,10,FALSE))</f>
        <v>0</v>
      </c>
      <c r="AH330" s="565">
        <f>$G330*IF(ISNA(VLOOKUP($B330&amp;"; "&amp;$H$326&amp;", "&amp;I$327,'FE Déplacements'!$G:$U,10,FALSE)),0,VLOOKUP($B330&amp;"; "&amp;$H$326&amp;", "&amp;I$327,'FE Déplacements'!$G:$U,10,FALSE))
+$J330*IF(ISNA(VLOOKUP($B330&amp;"; "&amp;$K$326&amp;", "&amp;I$327,'FE Déplacements'!$G:$U,10,FALSE)),0,VLOOKUP($B330&amp;"; "&amp;$K$326&amp;", "&amp;I$327,'FE Déplacements'!$G:$U,10,FALSE))
+$M330*IF(ISNA(VLOOKUP($B330&amp;"; "&amp;$N$326&amp;", "&amp;I$327,'FE Déplacements'!$G:$U,10,FALSE)),0,VLOOKUP($B330&amp;"; "&amp;$N$326&amp;", "&amp;I$327,'FE Déplacements'!$G:$U,10,FALSE))
+$P330*IF(ISNA(VLOOKUP($B330&amp;"; "&amp;$Q$326&amp;", "&amp;I$327,'FE Déplacements'!$G:$U,10,FALSE)),0,VLOOKUP($B330&amp;"; "&amp;$Q$326&amp;", "&amp;I$327,'FE Déplacements'!$G:$U,10,FALSE))</f>
        <v>0</v>
      </c>
      <c r="AI330" s="565"/>
      <c r="AJ330" s="565">
        <f>$G330*IF(ISNA((VLOOKUP($B330&amp;"; "&amp;$H$326&amp;", "&amp;H$327,'FE Déplacements'!$G:$U,12,FALSE)+VLOOKUP($B330&amp;"; "&amp;$H$326&amp;", "&amp;H$327,'FE Déplacements'!$G:$U,11,FALSE))),0,(VLOOKUP($B330&amp;"; "&amp;$H$326&amp;", "&amp;H$327,'FE Déplacements'!$G:$U,12,FALSE)+VLOOKUP($B330&amp;"; "&amp;$H$326&amp;", "&amp;H$327,'FE Déplacements'!$G:$U,11,FALSE)))
+$J330*IF(ISNA((VLOOKUP($B330&amp;"; "&amp;$K$326&amp;", "&amp;H$327,'FE Déplacements'!$G:$U,12,FALSE)+VLOOKUP($B330&amp;"; "&amp;$K$326&amp;", "&amp;H$327,'FE Déplacements'!$G:$U,11,FALSE))),0,(VLOOKUP($B330&amp;"; "&amp;$K$326&amp;", "&amp;H$327,'FE Déplacements'!$G:$U,12,FALSE)+VLOOKUP($B330&amp;"; "&amp;$K$326&amp;", "&amp;H$327,'FE Déplacements'!$G:$U,11,FALSE)))
+$M330*IF(ISNA((VLOOKUP($B330&amp;"; "&amp;$N$326&amp;", "&amp;H$327,'FE Déplacements'!$G:$U,12,FALSE)+VLOOKUP($B330&amp;"; "&amp;$N$326&amp;", "&amp;H$327,'FE Déplacements'!$G:$U,11,FALSE))),0,(VLOOKUP($B330&amp;"; "&amp;$N$326&amp;", "&amp;H$327,'FE Déplacements'!$G:$U,12,FALSE)+VLOOKUP($B330&amp;"; "&amp;$N$326&amp;", "&amp;H$327,'FE Déplacements'!$G:$U,11,FALSE)))
+$P330*IF(ISNA((VLOOKUP($B330&amp;"; "&amp;$Q$326&amp;", "&amp;H$327,'FE Déplacements'!$G:$U,12,FALSE)+VLOOKUP($B330&amp;"; "&amp;$Q$326&amp;", "&amp;H$327,'FE Déplacements'!$G:$U,11,FALSE))),0,(VLOOKUP($B330&amp;"; "&amp;$Q$326&amp;", "&amp;H$327,'FE Déplacements'!$G:$U,12,FALSE)+VLOOKUP($B330&amp;"; "&amp;$Q$326&amp;", "&amp;H$327,'FE Déplacements'!$G:$U,11,FALSE)))</f>
        <v>0</v>
      </c>
      <c r="AK330" s="565">
        <f>$G330*IF(ISNA((VLOOKUP($B330&amp;"; "&amp;$H$326&amp;", "&amp;I$327,'FE Déplacements'!$G:$U,12,FALSE)+VLOOKUP($B330&amp;"; "&amp;$H$326&amp;", "&amp;I$327,'FE Déplacements'!$G:$U,11,FALSE))),0,(VLOOKUP($B330&amp;"; "&amp;$H$326&amp;", "&amp;I$327,'FE Déplacements'!$G:$U,12,FALSE)+VLOOKUP($B330&amp;"; "&amp;$H$326&amp;", "&amp;I$327,'FE Déplacements'!$G:$U,11,FALSE)))
+$J330*IF(ISNA((VLOOKUP($B330&amp;"; "&amp;$K$326&amp;", "&amp;I$327,'FE Déplacements'!$G:$U,12,FALSE)+VLOOKUP($B330&amp;"; "&amp;$K$326&amp;", "&amp;I$327,'FE Déplacements'!$G:$U,11,FALSE))),0,(VLOOKUP($B330&amp;"; "&amp;$K$326&amp;", "&amp;I$327,'FE Déplacements'!$G:$U,12,FALSE)+VLOOKUP($B330&amp;"; "&amp;$K$326&amp;", "&amp;I$327,'FE Déplacements'!$G:$U,11,FALSE)))
+$M330*IF(ISNA((VLOOKUP($B330&amp;"; "&amp;$N$326&amp;", "&amp;I$327,'FE Déplacements'!$G:$U,12,FALSE)+VLOOKUP($B330&amp;"; "&amp;$N$326&amp;", "&amp;I$327,'FE Déplacements'!$G:$U,11,FALSE))),0,(VLOOKUP($B330&amp;"; "&amp;$N$326&amp;", "&amp;I$327,'FE Déplacements'!$G:$U,12,FALSE)+VLOOKUP($B330&amp;"; "&amp;$N$326&amp;", "&amp;I$327,'FE Déplacements'!$G:$U,11,FALSE)))
+$P330*IF(ISNA((VLOOKUP($B330&amp;"; "&amp;$Q$326&amp;", "&amp;I$327,'FE Déplacements'!$G:$U,12,FALSE)+VLOOKUP($B330&amp;"; "&amp;$Q$326&amp;", "&amp;I$327,'FE Déplacements'!$G:$U,11,FALSE))),0,(VLOOKUP($B330&amp;"; "&amp;$Q$326&amp;", "&amp;I$327,'FE Déplacements'!$G:$U,12,FALSE)+VLOOKUP($B330&amp;"; "&amp;$Q$326&amp;", "&amp;I$327,'FE Déplacements'!$G:$U,11,FALSE)))</f>
        <v>0</v>
      </c>
      <c r="AL330" s="565"/>
      <c r="AM330" s="565">
        <f>$G330*IF(ISNA(VLOOKUP($B330&amp;"; "&amp;$H$326&amp;", "&amp;H$327,'FE Déplacements'!$G:$U,13,FALSE)),0,VLOOKUP($B330&amp;"; "&amp;$H$326&amp;", "&amp;H$327,'FE Déplacements'!$G:$U,13,FALSE))
+$J330*IF(ISNA(VLOOKUP($B330&amp;"; "&amp;$K$326&amp;", "&amp;H$327,'FE Déplacements'!$G:$U,13,FALSE)),0,VLOOKUP($B330&amp;"; "&amp;$K$326&amp;", "&amp;H$327,'FE Déplacements'!$G:$U,13,FALSE))
+$M330*IF(ISNA(VLOOKUP($B330&amp;"; "&amp;$N$326&amp;", "&amp;H$327,'FE Déplacements'!$G:$U,13,FALSE)),0,VLOOKUP($B330&amp;"; "&amp;$N$326&amp;", "&amp;H$327,'FE Déplacements'!$G:$U,13,FALSE))
+$P330*IF(ISNA(VLOOKUP($B330&amp;"; "&amp;$Q$326&amp;", "&amp;H$327,'FE Déplacements'!$G:$U,13,FALSE)),0,VLOOKUP($B330&amp;"; "&amp;$Q$326&amp;", "&amp;H$327,'FE Déplacements'!$G:$U,13,FALSE))</f>
        <v>0</v>
      </c>
      <c r="AN330" s="565">
        <f>$G330*IF(ISNA(VLOOKUP($B330&amp;"; "&amp;$H$326&amp;", "&amp;I$327,'FE Déplacements'!$G:$U,13,FALSE)),0,VLOOKUP($B330&amp;"; "&amp;$H$326&amp;", "&amp;I$327,'FE Déplacements'!$G:$U,13,FALSE))
+$J330*IF(ISNA(VLOOKUP($B330&amp;"; "&amp;$K$326&amp;", "&amp;I$327,'FE Déplacements'!$G:$U,13,FALSE)),0,VLOOKUP($B330&amp;"; "&amp;$K$326&amp;", "&amp;I$327,'FE Déplacements'!$G:$U,13,FALSE))
+$M330*IF(ISNA(VLOOKUP($B330&amp;"; "&amp;$N$326&amp;", "&amp;I$327,'FE Déplacements'!$G:$U,13,FALSE)),0,VLOOKUP($B330&amp;"; "&amp;$N$326&amp;", "&amp;I$327,'FE Déplacements'!$G:$U,13,FALSE))
+$P330*IF(ISNA(VLOOKUP($B330&amp;"; "&amp;$Q$326&amp;", "&amp;I$327,'FE Déplacements'!$G:$U,13,FALSE)),0,VLOOKUP($B330&amp;"; "&amp;$Q$326&amp;", "&amp;I$327,'FE Déplacements'!$G:$U,13,FALSE))</f>
        <v>0</v>
      </c>
      <c r="AO330" s="565"/>
      <c r="AP330" s="565">
        <v>0</v>
      </c>
      <c r="AQ330" s="565">
        <v>0</v>
      </c>
      <c r="AR330" s="565"/>
      <c r="AS330" s="1288">
        <f t="shared" si="183"/>
        <v>0</v>
      </c>
      <c r="AT330" s="566">
        <f t="shared" si="183"/>
        <v>0</v>
      </c>
      <c r="AU330" s="566"/>
      <c r="AV330" s="564">
        <f>$G330*IF(ISNA(VLOOKUP($B330&amp;"; "&amp;$H$326&amp;", "&amp;H$327,'FE Déplacements'!$G:$U,15,FALSE)),0,VLOOKUP($B330&amp;"; "&amp;$H$326&amp;", "&amp;H$327,'FE Déplacements'!$G:$U,15,FALSE))
+$J330*IF(ISNA(VLOOKUP($B330&amp;"; "&amp;$K$326&amp;", "&amp;H$327,'FE Déplacements'!$G:$U,15,FALSE)),0,VLOOKUP($B330&amp;"; "&amp;$K$326&amp;", "&amp;H$327,'FE Déplacements'!$G:$U,15,FALSE))
+$M330*IF(ISNA(VLOOKUP($B330&amp;"; "&amp;$N$326&amp;", "&amp;H$327,'FE Déplacements'!$G:$U,15,FALSE)),0,VLOOKUP($B330&amp;"; "&amp;$N$326&amp;", "&amp;H$327,'FE Déplacements'!$G:$U,15,FALSE))
+$P330*IF(ISNA(VLOOKUP($B330&amp;"; "&amp;$Q$326&amp;", "&amp;H$327,'FE Déplacements'!$G:$U,15,FALSE)),0,VLOOKUP($B330&amp;"; "&amp;$Q$326&amp;", "&amp;H$327,'FE Déplacements'!$G:$U,15,FALSE))</f>
        <v>0</v>
      </c>
      <c r="AW330" s="565">
        <f>$G330*IF(ISNA(VLOOKUP($B330&amp;"; "&amp;$H$326&amp;", "&amp;I$327,'FE Déplacements'!$G:$U,15,FALSE)),0,VLOOKUP($B330&amp;"; "&amp;$H$326&amp;", "&amp;I$327,'FE Déplacements'!$G:$U,15,FALSE))
+$J330*IF(ISNA(VLOOKUP($B330&amp;"; "&amp;$K$326&amp;", "&amp;I$327,'FE Déplacements'!$G:$U,15,FALSE)),0,VLOOKUP($B330&amp;"; "&amp;$K$326&amp;", "&amp;I$327,'FE Déplacements'!$G:$U,15,FALSE))
+$M330*IF(ISNA(VLOOKUP($B330&amp;"; "&amp;$N$326&amp;", "&amp;I$327,'FE Déplacements'!$G:$U,15,FALSE)),0,VLOOKUP($B330&amp;"; "&amp;$N$326&amp;", "&amp;I$327,'FE Déplacements'!$G:$U,15,FALSE))
+$P330*IF(ISNA(VLOOKUP($B330&amp;"; "&amp;$Q$326&amp;", "&amp;I$327,'FE Déplacements'!$G:$U,15,FALSE)),0,VLOOKUP($B330&amp;"; "&amp;$Q$326&amp;", "&amp;I$327,'FE Déplacements'!$G:$U,15,FALSE))</f>
        <v>0</v>
      </c>
      <c r="AX330" s="568"/>
      <c r="BH330" s="1065">
        <f>IF($Y330&lt;&gt;"votre valeur :",IF(ISNA(VLOOKUP($Y330,Utilitaires!$N$566:$O$571,2,FALSE)),,VLOOKUP($Y330,Utilitaires!$N$566:$O$571,2,FALSE)),$Z330)</f>
        <v>0</v>
      </c>
      <c r="BI330" s="1124">
        <f>IF(ISNA(SQRT(SUMSQ(VLOOKUP($B330&amp;"; "&amp;$H$326&amp;", "&amp;$H$327,'FE Déplacements'!$G:$U,7,FALSE),$BH330))),0,SQRT(SUMSQ(VLOOKUP($B330&amp;"; "&amp;$H$326&amp;", "&amp;$H$327,'FE Déplacements'!$G:$U,7,FALSE),$BH330)))</f>
        <v>0</v>
      </c>
      <c r="BJ330" s="1068">
        <f>IF(ISNA(SQRT(SUMSQ(VLOOKUP($B330&amp;"; "&amp;$H$326&amp;", "&amp;$H$327,'FE Déplacements'!$G:$U,7,FALSE),$BH330))),0,SQRT(SUMSQ(VLOOKUP($B330&amp;"; "&amp;$H$326&amp;", "&amp;$H$327,'FE Déplacements'!$G:$U,7,FALSE),$BH330)))</f>
        <v>0</v>
      </c>
      <c r="BK330" s="1068">
        <f>IF(ISNA(SQRT(SUMSQ(VLOOKUP($B330&amp;"; "&amp;$H$326&amp;", "&amp;$H$327,'FE Déplacements'!$G:$U,7,FALSE),$BH330))),0,SQRT(SUMSQ(VLOOKUP($B330&amp;"; "&amp;$H$326&amp;", "&amp;$H$327,'FE Déplacements'!$G:$U,7,FALSE),$BH330)))</f>
        <v>0</v>
      </c>
      <c r="BL330" s="1125">
        <f>IF(ISNA(SQRT(SUMSQ(VLOOKUP($B330&amp;"; "&amp;$H$326&amp;", "&amp;$H$327,'FE Déplacements'!$G:$U,7,FALSE),$BH330))),0,SQRT(SUMSQ(VLOOKUP($B330&amp;"; "&amp;$H$326&amp;", "&amp;$H$327,'FE Déplacements'!$G:$U,7,FALSE),$BH330)))</f>
        <v>0</v>
      </c>
      <c r="BM330" s="1124">
        <f>IF(ISNA(SQRT(SUMSQ(VLOOKUP($B330&amp;"; "&amp;$H$326&amp;", "&amp;$I$327,'FE Déplacements'!$G:$U,7,FALSE),$BH330))),0,SQRT(SUMSQ(VLOOKUP($B330&amp;"; "&amp;$H$326&amp;", "&amp;$I$327,'FE Déplacements'!$G:$U,7,FALSE),$BH330)))</f>
        <v>0</v>
      </c>
      <c r="BN330" s="1068">
        <f>IF(ISNA(SQRT(SUMSQ(VLOOKUP($B330&amp;"; "&amp;$H$326&amp;", "&amp;$I$327,'FE Déplacements'!$G:$U,7,FALSE),$BH330))),0,SQRT(SUMSQ(VLOOKUP($B330&amp;"; "&amp;$H$326&amp;", "&amp;$I$327,'FE Déplacements'!$G:$U,7,FALSE),$BH330)))</f>
        <v>0</v>
      </c>
      <c r="BO330" s="1068">
        <f>IF(ISNA(SQRT(SUMSQ(VLOOKUP($B330&amp;"; "&amp;$H$326&amp;", "&amp;$I$327,'FE Déplacements'!$G:$U,7,FALSE),$BH330))),0,SQRT(SUMSQ(VLOOKUP($B330&amp;"; "&amp;$H$326&amp;", "&amp;$I$327,'FE Déplacements'!$G:$U,7,FALSE),$BH330)))</f>
        <v>0</v>
      </c>
      <c r="BP330" s="1125">
        <f>IF(ISNA(SQRT(SUMSQ(VLOOKUP($B330&amp;"; "&amp;$H$326&amp;", "&amp;$I$327,'FE Déplacements'!$G:$U,7,FALSE),$BH330))),0,SQRT(SUMSQ(VLOOKUP($B330&amp;"; "&amp;$H$326&amp;", "&amp;$I$327,'FE Déplacements'!$G:$U,7,FALSE),$BH330)))</f>
        <v>0</v>
      </c>
    </row>
    <row r="331" spans="1:68" hidden="1" outlineLevel="1">
      <c r="B331" s="143" t="s">
        <v>2252</v>
      </c>
      <c r="C331" s="144"/>
      <c r="D331" s="212">
        <f t="shared" si="176"/>
        <v>0</v>
      </c>
      <c r="E331" s="212"/>
      <c r="F331" s="120"/>
      <c r="G331" s="120"/>
      <c r="H331" s="217">
        <f>IF(ISNA(VLOOKUP($B331&amp;"; "&amp;$H$326&amp;", "&amp;H$327,'FE Déplacements'!$G:$U,9,FALSE)),0,VLOOKUP($B331&amp;"; "&amp;$H$326&amp;", "&amp;H$327,'FE Déplacements'!$G:$U,9,FALSE))</f>
        <v>0</v>
      </c>
      <c r="I331" s="217">
        <f>IF(ISNA(VLOOKUP($B331&amp;"; "&amp;$H$326&amp;", "&amp;$I$327,'FE Déplacements'!$G:$U,9,FALSE)),0,VLOOKUP($B331&amp;"; "&amp;$H$326&amp;", "&amp;$I$327,'FE Déplacements'!$G:$U,9,FALSE))</f>
        <v>0</v>
      </c>
      <c r="J331" s="120"/>
      <c r="K331" s="335">
        <f>IF(ISNA(VLOOKUP($B331&amp;"; "&amp;$K$326&amp;", "&amp;K$327,'FE Déplacements'!$G:$U,9,FALSE)),0,VLOOKUP($B331&amp;"; "&amp;$K$326&amp;", "&amp;K$327,'FE Déplacements'!$G:$U,9,FALSE))</f>
        <v>3.9E-2</v>
      </c>
      <c r="L331" s="335">
        <f>IF(ISNA(VLOOKUP($B331&amp;"; "&amp;$K$326&amp;", "&amp;$L$327,'FE Déplacements'!$G:$U,9,FALSE)),0,VLOOKUP($B331&amp;"; "&amp;$K$326&amp;", "&amp;$L$327,'FE Déplacements'!$G:$U,9,FALSE))</f>
        <v>0.23300000000000001</v>
      </c>
      <c r="M331" s="120"/>
      <c r="N331" s="335">
        <f>IF(ISNA(VLOOKUP($B331&amp;"; "&amp;$N$326&amp;", "&amp;$N$327,'FE Déplacements'!$G:$U,9,FALSE)),0,VLOOKUP($B331&amp;"; "&amp;$N$326&amp;", "&amp;$N$327,'FE Déplacements'!$G:$U,9,FALSE))</f>
        <v>447</v>
      </c>
      <c r="O331" s="335">
        <f>IF(ISNA(VLOOKUP($B331&amp;"; "&amp;$N$326&amp;", "&amp;$O$327,'FE Déplacements'!$G:$U,9,FALSE)),0,VLOOKUP($B331&amp;"; "&amp;$N$326&amp;", "&amp;$O$327,'FE Déplacements'!$G:$U,9,FALSE))</f>
        <v>2720</v>
      </c>
      <c r="P331" s="120"/>
      <c r="Q331" s="335">
        <f>IF(ISNA(VLOOKUP($B331&amp;"; "&amp;$Q$326&amp;", "&amp;$Q$327,'FE Déplacements'!$G:$U,9,FALSE)),0,VLOOKUP($B331&amp;"; "&amp;$Q$326&amp;", "&amp;$Q$327,'FE Déplacements'!$G:$U,9,FALSE))</f>
        <v>0.26200000000000001</v>
      </c>
      <c r="R331" s="335">
        <f>IF(ISNA(VLOOKUP($B331&amp;"; "&amp;$Q$326&amp;", "&amp;$R$327,'FE Déplacements'!$G:$U,9,FALSE)),0,VLOOKUP($B331&amp;"; "&amp;$Q$326&amp;", "&amp;$R$327,'FE Déplacements'!$G:$U,9,FALSE))</f>
        <v>1.6</v>
      </c>
      <c r="S331" s="151">
        <f t="shared" si="177"/>
        <v>0</v>
      </c>
      <c r="T331" s="152">
        <f t="shared" si="178"/>
        <v>0</v>
      </c>
      <c r="U331" s="165">
        <f>IF(OR(F331=Utilitaires!$I$572,F331=Utilitaires!$I$577),T331,0)</f>
        <v>0</v>
      </c>
      <c r="X331" s="1092">
        <f t="shared" si="179"/>
        <v>0</v>
      </c>
      <c r="Y331" s="343"/>
      <c r="Z331" s="820"/>
      <c r="AA331" s="164">
        <f t="shared" si="180"/>
        <v>0</v>
      </c>
      <c r="AB331" s="164">
        <f t="shared" si="181"/>
        <v>0</v>
      </c>
      <c r="AC331" s="164"/>
      <c r="AD331" s="152">
        <f t="shared" si="182"/>
        <v>0</v>
      </c>
      <c r="AE331" s="1286">
        <f t="shared" si="184"/>
        <v>0</v>
      </c>
      <c r="AG331" s="564">
        <f>$G331*IF(ISNA(VLOOKUP($B331&amp;"; "&amp;$H$326&amp;", "&amp;H$327,'FE Déplacements'!$G:$U,10,FALSE)),0,VLOOKUP($B331&amp;"; "&amp;$H$326&amp;", "&amp;H$327,'FE Déplacements'!$G:$U,10,FALSE))
+$J331*IF(ISNA(VLOOKUP($B331&amp;"; "&amp;$K$326&amp;", "&amp;H$327,'FE Déplacements'!$G:$U,10,FALSE)),0,VLOOKUP($B331&amp;"; "&amp;$K$326&amp;", "&amp;H$327,'FE Déplacements'!$G:$U,10,FALSE))
+$M331*IF(ISNA(VLOOKUP($B331&amp;"; "&amp;$N$326&amp;", "&amp;H$327,'FE Déplacements'!$G:$U,10,FALSE)),0,VLOOKUP($B331&amp;"; "&amp;$N$326&amp;", "&amp;H$327,'FE Déplacements'!$G:$U,10,FALSE))
+$P331*IF(ISNA(VLOOKUP($B331&amp;"; "&amp;$Q$326&amp;", "&amp;H$327,'FE Déplacements'!$G:$U,10,FALSE)),0,VLOOKUP($B331&amp;"; "&amp;$Q$326&amp;", "&amp;H$327,'FE Déplacements'!$G:$U,10,FALSE))</f>
        <v>0</v>
      </c>
      <c r="AH331" s="565">
        <f>$G331*IF(ISNA(VLOOKUP($B331&amp;"; "&amp;$H$326&amp;", "&amp;I$327,'FE Déplacements'!$G:$U,10,FALSE)),0,VLOOKUP($B331&amp;"; "&amp;$H$326&amp;", "&amp;I$327,'FE Déplacements'!$G:$U,10,FALSE))
+$J331*IF(ISNA(VLOOKUP($B331&amp;"; "&amp;$K$326&amp;", "&amp;I$327,'FE Déplacements'!$G:$U,10,FALSE)),0,VLOOKUP($B331&amp;"; "&amp;$K$326&amp;", "&amp;I$327,'FE Déplacements'!$G:$U,10,FALSE))
+$M331*IF(ISNA(VLOOKUP($B331&amp;"; "&amp;$N$326&amp;", "&amp;I$327,'FE Déplacements'!$G:$U,10,FALSE)),0,VLOOKUP($B331&amp;"; "&amp;$N$326&amp;", "&amp;I$327,'FE Déplacements'!$G:$U,10,FALSE))
+$P331*IF(ISNA(VLOOKUP($B331&amp;"; "&amp;$Q$326&amp;", "&amp;I$327,'FE Déplacements'!$G:$U,10,FALSE)),0,VLOOKUP($B331&amp;"; "&amp;$Q$326&amp;", "&amp;I$327,'FE Déplacements'!$G:$U,10,FALSE))</f>
        <v>0</v>
      </c>
      <c r="AI331" s="565"/>
      <c r="AJ331" s="565">
        <f>$G331*IF(ISNA((VLOOKUP($B331&amp;"; "&amp;$H$326&amp;", "&amp;H$327,'FE Déplacements'!$G:$U,12,FALSE)+VLOOKUP($B331&amp;"; "&amp;$H$326&amp;", "&amp;H$327,'FE Déplacements'!$G:$U,11,FALSE))),0,(VLOOKUP($B331&amp;"; "&amp;$H$326&amp;", "&amp;H$327,'FE Déplacements'!$G:$U,12,FALSE)+VLOOKUP($B331&amp;"; "&amp;$H$326&amp;", "&amp;H$327,'FE Déplacements'!$G:$U,11,FALSE)))
+$J331*IF(ISNA((VLOOKUP($B331&amp;"; "&amp;$K$326&amp;", "&amp;H$327,'FE Déplacements'!$G:$U,12,FALSE)+VLOOKUP($B331&amp;"; "&amp;$K$326&amp;", "&amp;H$327,'FE Déplacements'!$G:$U,11,FALSE))),0,(VLOOKUP($B331&amp;"; "&amp;$K$326&amp;", "&amp;H$327,'FE Déplacements'!$G:$U,12,FALSE)+VLOOKUP($B331&amp;"; "&amp;$K$326&amp;", "&amp;H$327,'FE Déplacements'!$G:$U,11,FALSE)))
+$M331*IF(ISNA((VLOOKUP($B331&amp;"; "&amp;$N$326&amp;", "&amp;H$327,'FE Déplacements'!$G:$U,12,FALSE)+VLOOKUP($B331&amp;"; "&amp;$N$326&amp;", "&amp;H$327,'FE Déplacements'!$G:$U,11,FALSE))),0,(VLOOKUP($B331&amp;"; "&amp;$N$326&amp;", "&amp;H$327,'FE Déplacements'!$G:$U,12,FALSE)+VLOOKUP($B331&amp;"; "&amp;$N$326&amp;", "&amp;H$327,'FE Déplacements'!$G:$U,11,FALSE)))
+$P331*IF(ISNA((VLOOKUP($B331&amp;"; "&amp;$Q$326&amp;", "&amp;H$327,'FE Déplacements'!$G:$U,12,FALSE)+VLOOKUP($B331&amp;"; "&amp;$Q$326&amp;", "&amp;H$327,'FE Déplacements'!$G:$U,11,FALSE))),0,(VLOOKUP($B331&amp;"; "&amp;$Q$326&amp;", "&amp;H$327,'FE Déplacements'!$G:$U,12,FALSE)+VLOOKUP($B331&amp;"; "&amp;$Q$326&amp;", "&amp;H$327,'FE Déplacements'!$G:$U,11,FALSE)))</f>
        <v>0</v>
      </c>
      <c r="AK331" s="565">
        <f>$G331*IF(ISNA((VLOOKUP($B331&amp;"; "&amp;$H$326&amp;", "&amp;I$327,'FE Déplacements'!$G:$U,12,FALSE)+VLOOKUP($B331&amp;"; "&amp;$H$326&amp;", "&amp;I$327,'FE Déplacements'!$G:$U,11,FALSE))),0,(VLOOKUP($B331&amp;"; "&amp;$H$326&amp;", "&amp;I$327,'FE Déplacements'!$G:$U,12,FALSE)+VLOOKUP($B331&amp;"; "&amp;$H$326&amp;", "&amp;I$327,'FE Déplacements'!$G:$U,11,FALSE)))
+$J331*IF(ISNA((VLOOKUP($B331&amp;"; "&amp;$K$326&amp;", "&amp;I$327,'FE Déplacements'!$G:$U,12,FALSE)+VLOOKUP($B331&amp;"; "&amp;$K$326&amp;", "&amp;I$327,'FE Déplacements'!$G:$U,11,FALSE))),0,(VLOOKUP($B331&amp;"; "&amp;$K$326&amp;", "&amp;I$327,'FE Déplacements'!$G:$U,12,FALSE)+VLOOKUP($B331&amp;"; "&amp;$K$326&amp;", "&amp;I$327,'FE Déplacements'!$G:$U,11,FALSE)))
+$M331*IF(ISNA((VLOOKUP($B331&amp;"; "&amp;$N$326&amp;", "&amp;I$327,'FE Déplacements'!$G:$U,12,FALSE)+VLOOKUP($B331&amp;"; "&amp;$N$326&amp;", "&amp;I$327,'FE Déplacements'!$G:$U,11,FALSE))),0,(VLOOKUP($B331&amp;"; "&amp;$N$326&amp;", "&amp;I$327,'FE Déplacements'!$G:$U,12,FALSE)+VLOOKUP($B331&amp;"; "&amp;$N$326&amp;", "&amp;I$327,'FE Déplacements'!$G:$U,11,FALSE)))
+$P331*IF(ISNA((VLOOKUP($B331&amp;"; "&amp;$Q$326&amp;", "&amp;I$327,'FE Déplacements'!$G:$U,12,FALSE)+VLOOKUP($B331&amp;"; "&amp;$Q$326&amp;", "&amp;I$327,'FE Déplacements'!$G:$U,11,FALSE))),0,(VLOOKUP($B331&amp;"; "&amp;$Q$326&amp;", "&amp;I$327,'FE Déplacements'!$G:$U,12,FALSE)+VLOOKUP($B331&amp;"; "&amp;$Q$326&amp;", "&amp;I$327,'FE Déplacements'!$G:$U,11,FALSE)))</f>
        <v>0</v>
      </c>
      <c r="AL331" s="565"/>
      <c r="AM331" s="565">
        <f>$G331*IF(ISNA(VLOOKUP($B331&amp;"; "&amp;$H$326&amp;", "&amp;H$327,'FE Déplacements'!$G:$U,13,FALSE)),0,VLOOKUP($B331&amp;"; "&amp;$H$326&amp;", "&amp;H$327,'FE Déplacements'!$G:$U,13,FALSE))
+$J331*IF(ISNA(VLOOKUP($B331&amp;"; "&amp;$K$326&amp;", "&amp;H$327,'FE Déplacements'!$G:$U,13,FALSE)),0,VLOOKUP($B331&amp;"; "&amp;$K$326&amp;", "&amp;H$327,'FE Déplacements'!$G:$U,13,FALSE))
+$M331*IF(ISNA(VLOOKUP($B331&amp;"; "&amp;$N$326&amp;", "&amp;H$327,'FE Déplacements'!$G:$U,13,FALSE)),0,VLOOKUP($B331&amp;"; "&amp;$N$326&amp;", "&amp;H$327,'FE Déplacements'!$G:$U,13,FALSE))
+$P331*IF(ISNA(VLOOKUP($B331&amp;"; "&amp;$Q$326&amp;", "&amp;H$327,'FE Déplacements'!$G:$U,13,FALSE)),0,VLOOKUP($B331&amp;"; "&amp;$Q$326&amp;", "&amp;H$327,'FE Déplacements'!$G:$U,13,FALSE))</f>
        <v>0</v>
      </c>
      <c r="AN331" s="565">
        <f>$G331*IF(ISNA(VLOOKUP($B331&amp;"; "&amp;$H$326&amp;", "&amp;I$327,'FE Déplacements'!$G:$U,13,FALSE)),0,VLOOKUP($B331&amp;"; "&amp;$H$326&amp;", "&amp;I$327,'FE Déplacements'!$G:$U,13,FALSE))
+$J331*IF(ISNA(VLOOKUP($B331&amp;"; "&amp;$K$326&amp;", "&amp;I$327,'FE Déplacements'!$G:$U,13,FALSE)),0,VLOOKUP($B331&amp;"; "&amp;$K$326&amp;", "&amp;I$327,'FE Déplacements'!$G:$U,13,FALSE))
+$M331*IF(ISNA(VLOOKUP($B331&amp;"; "&amp;$N$326&amp;", "&amp;I$327,'FE Déplacements'!$G:$U,13,FALSE)),0,VLOOKUP($B331&amp;"; "&amp;$N$326&amp;", "&amp;I$327,'FE Déplacements'!$G:$U,13,FALSE))
+$P331*IF(ISNA(VLOOKUP($B331&amp;"; "&amp;$Q$326&amp;", "&amp;I$327,'FE Déplacements'!$G:$U,13,FALSE)),0,VLOOKUP($B331&amp;"; "&amp;$Q$326&amp;", "&amp;I$327,'FE Déplacements'!$G:$U,13,FALSE))</f>
        <v>0</v>
      </c>
      <c r="AO331" s="565"/>
      <c r="AP331" s="565">
        <v>0</v>
      </c>
      <c r="AQ331" s="565">
        <v>0</v>
      </c>
      <c r="AR331" s="565"/>
      <c r="AS331" s="1288">
        <f t="shared" si="183"/>
        <v>0</v>
      </c>
      <c r="AT331" s="566">
        <f t="shared" si="183"/>
        <v>0</v>
      </c>
      <c r="AU331" s="566"/>
      <c r="AV331" s="564">
        <f>$G331*IF(ISNA(VLOOKUP($B331&amp;"; "&amp;$H$326&amp;", "&amp;H$327,'FE Déplacements'!$G:$U,15,FALSE)),0,VLOOKUP($B331&amp;"; "&amp;$H$326&amp;", "&amp;H$327,'FE Déplacements'!$G:$U,15,FALSE))
+$J331*IF(ISNA(VLOOKUP($B331&amp;"; "&amp;$K$326&amp;", "&amp;H$327,'FE Déplacements'!$G:$U,15,FALSE)),0,VLOOKUP($B331&amp;"; "&amp;$K$326&amp;", "&amp;H$327,'FE Déplacements'!$G:$U,15,FALSE))
+$M331*IF(ISNA(VLOOKUP($B331&amp;"; "&amp;$N$326&amp;", "&amp;H$327,'FE Déplacements'!$G:$U,15,FALSE)),0,VLOOKUP($B331&amp;"; "&amp;$N$326&amp;", "&amp;H$327,'FE Déplacements'!$G:$U,15,FALSE))
+$P331*IF(ISNA(VLOOKUP($B331&amp;"; "&amp;$Q$326&amp;", "&amp;H$327,'FE Déplacements'!$G:$U,15,FALSE)),0,VLOOKUP($B331&amp;"; "&amp;$Q$326&amp;", "&amp;H$327,'FE Déplacements'!$G:$U,15,FALSE))</f>
        <v>0</v>
      </c>
      <c r="AW331" s="565">
        <f>$G331*IF(ISNA(VLOOKUP($B331&amp;"; "&amp;$H$326&amp;", "&amp;I$327,'FE Déplacements'!$G:$U,15,FALSE)),0,VLOOKUP($B331&amp;"; "&amp;$H$326&amp;", "&amp;I$327,'FE Déplacements'!$G:$U,15,FALSE))
+$J331*IF(ISNA(VLOOKUP($B331&amp;"; "&amp;$K$326&amp;", "&amp;I$327,'FE Déplacements'!$G:$U,15,FALSE)),0,VLOOKUP($B331&amp;"; "&amp;$K$326&amp;", "&amp;I$327,'FE Déplacements'!$G:$U,15,FALSE))
+$M331*IF(ISNA(VLOOKUP($B331&amp;"; "&amp;$N$326&amp;", "&amp;I$327,'FE Déplacements'!$G:$U,15,FALSE)),0,VLOOKUP($B331&amp;"; "&amp;$N$326&amp;", "&amp;I$327,'FE Déplacements'!$G:$U,15,FALSE))
+$P331*IF(ISNA(VLOOKUP($B331&amp;"; "&amp;$Q$326&amp;", "&amp;I$327,'FE Déplacements'!$G:$U,15,FALSE)),0,VLOOKUP($B331&amp;"; "&amp;$Q$326&amp;", "&amp;I$327,'FE Déplacements'!$G:$U,15,FALSE))</f>
        <v>0</v>
      </c>
      <c r="AX331" s="568"/>
      <c r="BH331" s="1065">
        <f>IF($Y331&lt;&gt;"votre valeur :",IF(ISNA(VLOOKUP($Y331,Utilitaires!$N$566:$O$571,2,FALSE)),,VLOOKUP($Y331,Utilitaires!$N$566:$O$571,2,FALSE)),$Z331)</f>
        <v>0</v>
      </c>
      <c r="BI331" s="1124">
        <f>IF(ISNA(SQRT(SUMSQ(VLOOKUP($B331&amp;"; "&amp;$H$326&amp;", "&amp;$H$327,'FE Déplacements'!$G:$U,7,FALSE),$BH331))),0,SQRT(SUMSQ(VLOOKUP($B331&amp;"; "&amp;$H$326&amp;", "&amp;$H$327,'FE Déplacements'!$G:$U,7,FALSE),$BH331)))</f>
        <v>0</v>
      </c>
      <c r="BJ331" s="1068">
        <f>IF(ISNA(SQRT(SUMSQ(VLOOKUP($B331&amp;"; "&amp;$H$326&amp;", "&amp;$H$327,'FE Déplacements'!$G:$U,7,FALSE),$BH331))),0,SQRT(SUMSQ(VLOOKUP($B331&amp;"; "&amp;$H$326&amp;", "&amp;$H$327,'FE Déplacements'!$G:$U,7,FALSE),$BH331)))</f>
        <v>0</v>
      </c>
      <c r="BK331" s="1068">
        <f>IF(ISNA(SQRT(SUMSQ(VLOOKUP($B331&amp;"; "&amp;$H$326&amp;", "&amp;$H$327,'FE Déplacements'!$G:$U,7,FALSE),$BH331))),0,SQRT(SUMSQ(VLOOKUP($B331&amp;"; "&amp;$H$326&amp;", "&amp;$H$327,'FE Déplacements'!$G:$U,7,FALSE),$BH331)))</f>
        <v>0</v>
      </c>
      <c r="BL331" s="1125">
        <f>IF(ISNA(SQRT(SUMSQ(VLOOKUP($B331&amp;"; "&amp;$H$326&amp;", "&amp;$H$327,'FE Déplacements'!$G:$U,7,FALSE),$BH331))),0,SQRT(SUMSQ(VLOOKUP($B331&amp;"; "&amp;$H$326&amp;", "&amp;$H$327,'FE Déplacements'!$G:$U,7,FALSE),$BH331)))</f>
        <v>0</v>
      </c>
      <c r="BM331" s="1124">
        <f>IF(ISNA(SQRT(SUMSQ(VLOOKUP($B331&amp;"; "&amp;$H$326&amp;", "&amp;$I$327,'FE Déplacements'!$G:$U,7,FALSE),$BH331))),0,SQRT(SUMSQ(VLOOKUP($B331&amp;"; "&amp;$H$326&amp;", "&amp;$I$327,'FE Déplacements'!$G:$U,7,FALSE),$BH331)))</f>
        <v>0</v>
      </c>
      <c r="BN331" s="1068">
        <f>IF(ISNA(SQRT(SUMSQ(VLOOKUP($B331&amp;"; "&amp;$H$326&amp;", "&amp;$I$327,'FE Déplacements'!$G:$U,7,FALSE),$BH331))),0,SQRT(SUMSQ(VLOOKUP($B331&amp;"; "&amp;$H$326&amp;", "&amp;$I$327,'FE Déplacements'!$G:$U,7,FALSE),$BH331)))</f>
        <v>0</v>
      </c>
      <c r="BO331" s="1068">
        <f>IF(ISNA(SQRT(SUMSQ(VLOOKUP($B331&amp;"; "&amp;$H$326&amp;", "&amp;$I$327,'FE Déplacements'!$G:$U,7,FALSE),$BH331))),0,SQRT(SUMSQ(VLOOKUP($B331&amp;"; "&amp;$H$326&amp;", "&amp;$I$327,'FE Déplacements'!$G:$U,7,FALSE),$BH331)))</f>
        <v>0</v>
      </c>
      <c r="BP331" s="1125">
        <f>IF(ISNA(SQRT(SUMSQ(VLOOKUP($B331&amp;"; "&amp;$H$326&amp;", "&amp;$I$327,'FE Déplacements'!$G:$U,7,FALSE),$BH331))),0,SQRT(SUMSQ(VLOOKUP($B331&amp;"; "&amp;$H$326&amp;", "&amp;$I$327,'FE Déplacements'!$G:$U,7,FALSE),$BH331)))</f>
        <v>0</v>
      </c>
    </row>
    <row r="332" spans="1:68" hidden="1" outlineLevel="1">
      <c r="B332" s="143" t="s">
        <v>1663</v>
      </c>
      <c r="C332" s="144"/>
      <c r="D332" s="212">
        <f t="shared" si="176"/>
        <v>0</v>
      </c>
      <c r="E332" s="212"/>
      <c r="F332" s="120"/>
      <c r="G332" s="120"/>
      <c r="H332" s="217">
        <f>IF(ISNA(VLOOKUP($B332&amp;"; "&amp;$H$326&amp;", "&amp;H$327,'FE Déplacements'!$G:$U,9,FALSE)),0,VLOOKUP($B332&amp;"; "&amp;$H$326&amp;", "&amp;H$327,'FE Déplacements'!$G:$U,9,FALSE))</f>
        <v>0</v>
      </c>
      <c r="I332" s="217">
        <f>IF(ISNA(VLOOKUP($B332&amp;"; "&amp;$H$326&amp;", "&amp;$I$327,'FE Déplacements'!$G:$U,9,FALSE)),0,VLOOKUP($B332&amp;"; "&amp;$H$326&amp;", "&amp;$I$327,'FE Déplacements'!$G:$U,9,FALSE))</f>
        <v>0</v>
      </c>
      <c r="J332" s="120"/>
      <c r="K332" s="335">
        <f>IF(ISNA(VLOOKUP($B332&amp;"; "&amp;$K$326&amp;", "&amp;K$327,'FE Déplacements'!$G:$U,9,FALSE)),0,VLOOKUP($B332&amp;"; "&amp;$K$326&amp;", "&amp;K$327,'FE Déplacements'!$G:$U,9,FALSE))</f>
        <v>0</v>
      </c>
      <c r="L332" s="335">
        <f>IF(ISNA(VLOOKUP($B332&amp;"; "&amp;$K$326&amp;", "&amp;$L$327,'FE Déplacements'!$G:$U,9,FALSE)),0,VLOOKUP($B332&amp;"; "&amp;$K$326&amp;", "&amp;$L$327,'FE Déplacements'!$G:$U,9,FALSE))</f>
        <v>0</v>
      </c>
      <c r="M332" s="120"/>
      <c r="N332" s="335">
        <f>IF(ISNA(VLOOKUP($B332&amp;"; "&amp;$N$326&amp;", "&amp;$N$327,'FE Déplacements'!$G:$U,9,FALSE)),0,VLOOKUP($B332&amp;"; "&amp;$N$326&amp;", "&amp;$N$327,'FE Déplacements'!$G:$U,9,FALSE))</f>
        <v>0</v>
      </c>
      <c r="O332" s="335">
        <f>IF(ISNA(VLOOKUP($B332&amp;"; "&amp;$N$326&amp;", "&amp;$O$327,'FE Déplacements'!$G:$U,9,FALSE)),0,VLOOKUP($B332&amp;"; "&amp;$N$326&amp;", "&amp;$O$327,'FE Déplacements'!$G:$U,9,FALSE))</f>
        <v>0</v>
      </c>
      <c r="P332" s="120"/>
      <c r="Q332" s="335">
        <f>IF(ISNA(VLOOKUP($B332&amp;"; "&amp;$Q$326&amp;", "&amp;$Q$327,'FE Déplacements'!$G:$U,9,FALSE)),0,VLOOKUP($B332&amp;"; "&amp;$Q$326&amp;", "&amp;$Q$327,'FE Déplacements'!$G:$U,9,FALSE))</f>
        <v>0</v>
      </c>
      <c r="R332" s="335">
        <f>IF(ISNA(VLOOKUP($B332&amp;"; "&amp;$Q$326&amp;", "&amp;$R$327,'FE Déplacements'!$G:$U,9,FALSE)),0,VLOOKUP($B332&amp;"; "&amp;$Q$326&amp;", "&amp;$R$327,'FE Déplacements'!$G:$U,9,FALSE))</f>
        <v>0</v>
      </c>
      <c r="S332" s="151">
        <f t="shared" si="177"/>
        <v>0</v>
      </c>
      <c r="T332" s="152">
        <f t="shared" si="178"/>
        <v>0</v>
      </c>
      <c r="U332" s="165">
        <f>IF(OR(F332=Utilitaires!$I$572,F332=Utilitaires!$I$577),T332,0)</f>
        <v>0</v>
      </c>
      <c r="X332" s="1092">
        <f t="shared" si="179"/>
        <v>0</v>
      </c>
      <c r="Y332" s="343"/>
      <c r="Z332" s="820"/>
      <c r="AA332" s="164">
        <f t="shared" si="180"/>
        <v>0</v>
      </c>
      <c r="AB332" s="164">
        <f t="shared" si="181"/>
        <v>0</v>
      </c>
      <c r="AC332" s="164"/>
      <c r="AD332" s="152">
        <f t="shared" si="182"/>
        <v>0</v>
      </c>
      <c r="AE332" s="1286">
        <f t="shared" si="184"/>
        <v>0</v>
      </c>
      <c r="AG332" s="564">
        <f>$G332*IF(ISNA(VLOOKUP($B332&amp;"; "&amp;$H$326&amp;", "&amp;H$327,'FE Déplacements'!$G:$U,10,FALSE)),0,VLOOKUP($B332&amp;"; "&amp;$H$326&amp;", "&amp;H$327,'FE Déplacements'!$G:$U,10,FALSE))
+$J332*IF(ISNA(VLOOKUP($B332&amp;"; "&amp;$K$326&amp;", "&amp;H$327,'FE Déplacements'!$G:$U,10,FALSE)),0,VLOOKUP($B332&amp;"; "&amp;$K$326&amp;", "&amp;H$327,'FE Déplacements'!$G:$U,10,FALSE))
+$M332*IF(ISNA(VLOOKUP($B332&amp;"; "&amp;$N$326&amp;", "&amp;H$327,'FE Déplacements'!$G:$U,10,FALSE)),0,VLOOKUP($B332&amp;"; "&amp;$N$326&amp;", "&amp;H$327,'FE Déplacements'!$G:$U,10,FALSE))
+$P332*IF(ISNA(VLOOKUP($B332&amp;"; "&amp;$Q$326&amp;", "&amp;H$327,'FE Déplacements'!$G:$U,10,FALSE)),0,VLOOKUP($B332&amp;"; "&amp;$Q$326&amp;", "&amp;H$327,'FE Déplacements'!$G:$U,10,FALSE))</f>
        <v>0</v>
      </c>
      <c r="AH332" s="565">
        <f>$G332*IF(ISNA(VLOOKUP($B332&amp;"; "&amp;$H$326&amp;", "&amp;I$327,'FE Déplacements'!$G:$U,10,FALSE)),0,VLOOKUP($B332&amp;"; "&amp;$H$326&amp;", "&amp;I$327,'FE Déplacements'!$G:$U,10,FALSE))
+$J332*IF(ISNA(VLOOKUP($B332&amp;"; "&amp;$K$326&amp;", "&amp;I$327,'FE Déplacements'!$G:$U,10,FALSE)),0,VLOOKUP($B332&amp;"; "&amp;$K$326&amp;", "&amp;I$327,'FE Déplacements'!$G:$U,10,FALSE))
+$M332*IF(ISNA(VLOOKUP($B332&amp;"; "&amp;$N$326&amp;", "&amp;I$327,'FE Déplacements'!$G:$U,10,FALSE)),0,VLOOKUP($B332&amp;"; "&amp;$N$326&amp;", "&amp;I$327,'FE Déplacements'!$G:$U,10,FALSE))
+$P332*IF(ISNA(VLOOKUP($B332&amp;"; "&amp;$Q$326&amp;", "&amp;I$327,'FE Déplacements'!$G:$U,10,FALSE)),0,VLOOKUP($B332&amp;"; "&amp;$Q$326&amp;", "&amp;I$327,'FE Déplacements'!$G:$U,10,FALSE))</f>
        <v>0</v>
      </c>
      <c r="AI332" s="565"/>
      <c r="AJ332" s="565">
        <f>$G332*IF(ISNA((VLOOKUP($B332&amp;"; "&amp;$H$326&amp;", "&amp;H$327,'FE Déplacements'!$G:$U,12,FALSE)+VLOOKUP($B332&amp;"; "&amp;$H$326&amp;", "&amp;H$327,'FE Déplacements'!$G:$U,11,FALSE))),0,(VLOOKUP($B332&amp;"; "&amp;$H$326&amp;", "&amp;H$327,'FE Déplacements'!$G:$U,12,FALSE)+VLOOKUP($B332&amp;"; "&amp;$H$326&amp;", "&amp;H$327,'FE Déplacements'!$G:$U,11,FALSE)))
+$J332*IF(ISNA((VLOOKUP($B332&amp;"; "&amp;$K$326&amp;", "&amp;H$327,'FE Déplacements'!$G:$U,12,FALSE)+VLOOKUP($B332&amp;"; "&amp;$K$326&amp;", "&amp;H$327,'FE Déplacements'!$G:$U,11,FALSE))),0,(VLOOKUP($B332&amp;"; "&amp;$K$326&amp;", "&amp;H$327,'FE Déplacements'!$G:$U,12,FALSE)+VLOOKUP($B332&amp;"; "&amp;$K$326&amp;", "&amp;H$327,'FE Déplacements'!$G:$U,11,FALSE)))
+$M332*IF(ISNA((VLOOKUP($B332&amp;"; "&amp;$N$326&amp;", "&amp;H$327,'FE Déplacements'!$G:$U,12,FALSE)+VLOOKUP($B332&amp;"; "&amp;$N$326&amp;", "&amp;H$327,'FE Déplacements'!$G:$U,11,FALSE))),0,(VLOOKUP($B332&amp;"; "&amp;$N$326&amp;", "&amp;H$327,'FE Déplacements'!$G:$U,12,FALSE)+VLOOKUP($B332&amp;"; "&amp;$N$326&amp;", "&amp;H$327,'FE Déplacements'!$G:$U,11,FALSE)))
+$P332*IF(ISNA((VLOOKUP($B332&amp;"; "&amp;$Q$326&amp;", "&amp;H$327,'FE Déplacements'!$G:$U,12,FALSE)+VLOOKUP($B332&amp;"; "&amp;$Q$326&amp;", "&amp;H$327,'FE Déplacements'!$G:$U,11,FALSE))),0,(VLOOKUP($B332&amp;"; "&amp;$Q$326&amp;", "&amp;H$327,'FE Déplacements'!$G:$U,12,FALSE)+VLOOKUP($B332&amp;"; "&amp;$Q$326&amp;", "&amp;H$327,'FE Déplacements'!$G:$U,11,FALSE)))</f>
        <v>0</v>
      </c>
      <c r="AK332" s="565">
        <f>$G332*IF(ISNA((VLOOKUP($B332&amp;"; "&amp;$H$326&amp;", "&amp;I$327,'FE Déplacements'!$G:$U,12,FALSE)+VLOOKUP($B332&amp;"; "&amp;$H$326&amp;", "&amp;I$327,'FE Déplacements'!$G:$U,11,FALSE))),0,(VLOOKUP($B332&amp;"; "&amp;$H$326&amp;", "&amp;I$327,'FE Déplacements'!$G:$U,12,FALSE)+VLOOKUP($B332&amp;"; "&amp;$H$326&amp;", "&amp;I$327,'FE Déplacements'!$G:$U,11,FALSE)))
+$J332*IF(ISNA((VLOOKUP($B332&amp;"; "&amp;$K$326&amp;", "&amp;I$327,'FE Déplacements'!$G:$U,12,FALSE)+VLOOKUP($B332&amp;"; "&amp;$K$326&amp;", "&amp;I$327,'FE Déplacements'!$G:$U,11,FALSE))),0,(VLOOKUP($B332&amp;"; "&amp;$K$326&amp;", "&amp;I$327,'FE Déplacements'!$G:$U,12,FALSE)+VLOOKUP($B332&amp;"; "&amp;$K$326&amp;", "&amp;I$327,'FE Déplacements'!$G:$U,11,FALSE)))
+$M332*IF(ISNA((VLOOKUP($B332&amp;"; "&amp;$N$326&amp;", "&amp;I$327,'FE Déplacements'!$G:$U,12,FALSE)+VLOOKUP($B332&amp;"; "&amp;$N$326&amp;", "&amp;I$327,'FE Déplacements'!$G:$U,11,FALSE))),0,(VLOOKUP($B332&amp;"; "&amp;$N$326&amp;", "&amp;I$327,'FE Déplacements'!$G:$U,12,FALSE)+VLOOKUP($B332&amp;"; "&amp;$N$326&amp;", "&amp;I$327,'FE Déplacements'!$G:$U,11,FALSE)))
+$P332*IF(ISNA((VLOOKUP($B332&amp;"; "&amp;$Q$326&amp;", "&amp;I$327,'FE Déplacements'!$G:$U,12,FALSE)+VLOOKUP($B332&amp;"; "&amp;$Q$326&amp;", "&amp;I$327,'FE Déplacements'!$G:$U,11,FALSE))),0,(VLOOKUP($B332&amp;"; "&amp;$Q$326&amp;", "&amp;I$327,'FE Déplacements'!$G:$U,12,FALSE)+VLOOKUP($B332&amp;"; "&amp;$Q$326&amp;", "&amp;I$327,'FE Déplacements'!$G:$U,11,FALSE)))</f>
        <v>0</v>
      </c>
      <c r="AL332" s="565"/>
      <c r="AM332" s="565">
        <f>$G332*IF(ISNA(VLOOKUP($B332&amp;"; "&amp;$H$326&amp;", "&amp;H$327,'FE Déplacements'!$G:$U,13,FALSE)),0,VLOOKUP($B332&amp;"; "&amp;$H$326&amp;", "&amp;H$327,'FE Déplacements'!$G:$U,13,FALSE))
+$J332*IF(ISNA(VLOOKUP($B332&amp;"; "&amp;$K$326&amp;", "&amp;H$327,'FE Déplacements'!$G:$U,13,FALSE)),0,VLOOKUP($B332&amp;"; "&amp;$K$326&amp;", "&amp;H$327,'FE Déplacements'!$G:$U,13,FALSE))
+$M332*IF(ISNA(VLOOKUP($B332&amp;"; "&amp;$N$326&amp;", "&amp;H$327,'FE Déplacements'!$G:$U,13,FALSE)),0,VLOOKUP($B332&amp;"; "&amp;$N$326&amp;", "&amp;H$327,'FE Déplacements'!$G:$U,13,FALSE))
+$P332*IF(ISNA(VLOOKUP($B332&amp;"; "&amp;$Q$326&amp;", "&amp;H$327,'FE Déplacements'!$G:$U,13,FALSE)),0,VLOOKUP($B332&amp;"; "&amp;$Q$326&amp;", "&amp;H$327,'FE Déplacements'!$G:$U,13,FALSE))</f>
        <v>0</v>
      </c>
      <c r="AN332" s="565">
        <f>$G332*IF(ISNA(VLOOKUP($B332&amp;"; "&amp;$H$326&amp;", "&amp;I$327,'FE Déplacements'!$G:$U,13,FALSE)),0,VLOOKUP($B332&amp;"; "&amp;$H$326&amp;", "&amp;I$327,'FE Déplacements'!$G:$U,13,FALSE))
+$J332*IF(ISNA(VLOOKUP($B332&amp;"; "&amp;$K$326&amp;", "&amp;I$327,'FE Déplacements'!$G:$U,13,FALSE)),0,VLOOKUP($B332&amp;"; "&amp;$K$326&amp;", "&amp;I$327,'FE Déplacements'!$G:$U,13,FALSE))
+$M332*IF(ISNA(VLOOKUP($B332&amp;"; "&amp;$N$326&amp;", "&amp;I$327,'FE Déplacements'!$G:$U,13,FALSE)),0,VLOOKUP($B332&amp;"; "&amp;$N$326&amp;", "&amp;I$327,'FE Déplacements'!$G:$U,13,FALSE))
+$P332*IF(ISNA(VLOOKUP($B332&amp;"; "&amp;$Q$326&amp;", "&amp;I$327,'FE Déplacements'!$G:$U,13,FALSE)),0,VLOOKUP($B332&amp;"; "&amp;$Q$326&amp;", "&amp;I$327,'FE Déplacements'!$G:$U,13,FALSE))</f>
        <v>0</v>
      </c>
      <c r="AO332" s="565"/>
      <c r="AP332" s="565">
        <v>0</v>
      </c>
      <c r="AQ332" s="565">
        <v>0</v>
      </c>
      <c r="AR332" s="565"/>
      <c r="AS332" s="1288">
        <f t="shared" si="183"/>
        <v>0</v>
      </c>
      <c r="AT332" s="566">
        <f t="shared" si="183"/>
        <v>0</v>
      </c>
      <c r="AU332" s="566"/>
      <c r="AV332" s="564">
        <f>$G332*IF(ISNA(VLOOKUP($B332&amp;"; "&amp;$H$326&amp;", "&amp;H$327,'FE Déplacements'!$G:$U,15,FALSE)),0,VLOOKUP($B332&amp;"; "&amp;$H$326&amp;", "&amp;H$327,'FE Déplacements'!$G:$U,15,FALSE))
+$J332*IF(ISNA(VLOOKUP($B332&amp;"; "&amp;$K$326&amp;", "&amp;H$327,'FE Déplacements'!$G:$U,15,FALSE)),0,VLOOKUP($B332&amp;"; "&amp;$K$326&amp;", "&amp;H$327,'FE Déplacements'!$G:$U,15,FALSE))
+$M332*IF(ISNA(VLOOKUP($B332&amp;"; "&amp;$N$326&amp;", "&amp;H$327,'FE Déplacements'!$G:$U,15,FALSE)),0,VLOOKUP($B332&amp;"; "&amp;$N$326&amp;", "&amp;H$327,'FE Déplacements'!$G:$U,15,FALSE))
+$P332*IF(ISNA(VLOOKUP($B332&amp;"; "&amp;$Q$326&amp;", "&amp;H$327,'FE Déplacements'!$G:$U,15,FALSE)),0,VLOOKUP($B332&amp;"; "&amp;$Q$326&amp;", "&amp;H$327,'FE Déplacements'!$G:$U,15,FALSE))</f>
        <v>0</v>
      </c>
      <c r="AW332" s="565">
        <f>$G332*IF(ISNA(VLOOKUP($B332&amp;"; "&amp;$H$326&amp;", "&amp;I$327,'FE Déplacements'!$G:$U,15,FALSE)),0,VLOOKUP($B332&amp;"; "&amp;$H$326&amp;", "&amp;I$327,'FE Déplacements'!$G:$U,15,FALSE))
+$J332*IF(ISNA(VLOOKUP($B332&amp;"; "&amp;$K$326&amp;", "&amp;I$327,'FE Déplacements'!$G:$U,15,FALSE)),0,VLOOKUP($B332&amp;"; "&amp;$K$326&amp;", "&amp;I$327,'FE Déplacements'!$G:$U,15,FALSE))
+$M332*IF(ISNA(VLOOKUP($B332&amp;"; "&amp;$N$326&amp;", "&amp;I$327,'FE Déplacements'!$G:$U,15,FALSE)),0,VLOOKUP($B332&amp;"; "&amp;$N$326&amp;", "&amp;I$327,'FE Déplacements'!$G:$U,15,FALSE))
+$P332*IF(ISNA(VLOOKUP($B332&amp;"; "&amp;$Q$326&amp;", "&amp;I$327,'FE Déplacements'!$G:$U,15,FALSE)),0,VLOOKUP($B332&amp;"; "&amp;$Q$326&amp;", "&amp;I$327,'FE Déplacements'!$G:$U,15,FALSE))</f>
        <v>0</v>
      </c>
      <c r="AX332" s="568"/>
      <c r="BH332" s="1065">
        <f>IF($Y332&lt;&gt;"votre valeur :",IF(ISNA(VLOOKUP($Y332,Utilitaires!$N$566:$O$571,2,FALSE)),,VLOOKUP($Y332,Utilitaires!$N$566:$O$571,2,FALSE)),$Z332)</f>
        <v>0</v>
      </c>
      <c r="BI332" s="1124">
        <f>IF(ISNA(SQRT(SUMSQ(VLOOKUP($B332&amp;"; "&amp;$H$326&amp;", "&amp;$H$327,'FE Déplacements'!$G:$U,7,FALSE),$BH332))),0,SQRT(SUMSQ(VLOOKUP($B332&amp;"; "&amp;$H$326&amp;", "&amp;$H$327,'FE Déplacements'!$G:$U,7,FALSE),$BH332)))</f>
        <v>0</v>
      </c>
      <c r="BJ332" s="1068">
        <f>IF(ISNA(SQRT(SUMSQ(VLOOKUP($B332&amp;"; "&amp;$H$326&amp;", "&amp;$H$327,'FE Déplacements'!$G:$U,7,FALSE),$BH332))),0,SQRT(SUMSQ(VLOOKUP($B332&amp;"; "&amp;$H$326&amp;", "&amp;$H$327,'FE Déplacements'!$G:$U,7,FALSE),$BH332)))</f>
        <v>0</v>
      </c>
      <c r="BK332" s="1068">
        <f>IF(ISNA(SQRT(SUMSQ(VLOOKUP($B332&amp;"; "&amp;$H$326&amp;", "&amp;$H$327,'FE Déplacements'!$G:$U,7,FALSE),$BH332))),0,SQRT(SUMSQ(VLOOKUP($B332&amp;"; "&amp;$H$326&amp;", "&amp;$H$327,'FE Déplacements'!$G:$U,7,FALSE),$BH332)))</f>
        <v>0</v>
      </c>
      <c r="BL332" s="1125">
        <f>IF(ISNA(SQRT(SUMSQ(VLOOKUP($B332&amp;"; "&amp;$H$326&amp;", "&amp;$H$327,'FE Déplacements'!$G:$U,7,FALSE),$BH332))),0,SQRT(SUMSQ(VLOOKUP($B332&amp;"; "&amp;$H$326&amp;", "&amp;$H$327,'FE Déplacements'!$G:$U,7,FALSE),$BH332)))</f>
        <v>0</v>
      </c>
      <c r="BM332" s="1124">
        <f>IF(ISNA(SQRT(SUMSQ(VLOOKUP($B332&amp;"; "&amp;$H$326&amp;", "&amp;$I$327,'FE Déplacements'!$G:$U,7,FALSE),$BH332))),0,SQRT(SUMSQ(VLOOKUP($B332&amp;"; "&amp;$H$326&amp;", "&amp;$I$327,'FE Déplacements'!$G:$U,7,FALSE),$BH332)))</f>
        <v>0</v>
      </c>
      <c r="BN332" s="1068">
        <f>IF(ISNA(SQRT(SUMSQ(VLOOKUP($B332&amp;"; "&amp;$H$326&amp;", "&amp;$I$327,'FE Déplacements'!$G:$U,7,FALSE),$BH332))),0,SQRT(SUMSQ(VLOOKUP($B332&amp;"; "&amp;$H$326&amp;", "&amp;$I$327,'FE Déplacements'!$G:$U,7,FALSE),$BH332)))</f>
        <v>0</v>
      </c>
      <c r="BO332" s="1068">
        <f>IF(ISNA(SQRT(SUMSQ(VLOOKUP($B332&amp;"; "&amp;$H$326&amp;", "&amp;$I$327,'FE Déplacements'!$G:$U,7,FALSE),$BH332))),0,SQRT(SUMSQ(VLOOKUP($B332&amp;"; "&amp;$H$326&amp;", "&amp;$I$327,'FE Déplacements'!$G:$U,7,FALSE),$BH332)))</f>
        <v>0</v>
      </c>
      <c r="BP332" s="1125">
        <f>IF(ISNA(SQRT(SUMSQ(VLOOKUP($B332&amp;"; "&amp;$H$326&amp;", "&amp;$I$327,'FE Déplacements'!$G:$U,7,FALSE),$BH332))),0,SQRT(SUMSQ(VLOOKUP($B332&amp;"; "&amp;$H$326&amp;", "&amp;$I$327,'FE Déplacements'!$G:$U,7,FALSE),$BH332)))</f>
        <v>0</v>
      </c>
    </row>
    <row r="333" spans="1:68" hidden="1" outlineLevel="1">
      <c r="B333" s="143" t="s">
        <v>2253</v>
      </c>
      <c r="C333" s="144"/>
      <c r="D333" s="212">
        <f t="shared" si="176"/>
        <v>0</v>
      </c>
      <c r="E333" s="212"/>
      <c r="F333" s="123"/>
      <c r="G333" s="123"/>
      <c r="H333" s="217">
        <f>IF(ISNA(VLOOKUP($B333&amp;"; "&amp;$H$326&amp;", "&amp;H$327,'FE Déplacements'!$G:$U,9,FALSE)),0,VLOOKUP($B333&amp;"; "&amp;$H$326&amp;", "&amp;H$327,'FE Déplacements'!$G:$U,9,FALSE))</f>
        <v>1070</v>
      </c>
      <c r="I333" s="217">
        <f>IF(ISNA(VLOOKUP($B333&amp;"; "&amp;$H$326&amp;", "&amp;$I$327,'FE Déplacements'!$G:$U,9,FALSE)),0,VLOOKUP($B333&amp;"; "&amp;$H$326&amp;", "&amp;$I$327,'FE Déplacements'!$G:$U,9,FALSE))</f>
        <v>0</v>
      </c>
      <c r="J333" s="123"/>
      <c r="K333" s="335">
        <f>IF(ISNA(VLOOKUP($B333&amp;"; "&amp;$K$326&amp;", "&amp;K$327,'FE Déplacements'!$G:$U,9,FALSE)),0,VLOOKUP($B333&amp;"; "&amp;$K$326&amp;", "&amp;K$327,'FE Déplacements'!$G:$U,9,FALSE))</f>
        <v>0.14399999999999999</v>
      </c>
      <c r="L333" s="335">
        <f>IF(ISNA(VLOOKUP($B333&amp;"; "&amp;$K$326&amp;", "&amp;$L$327,'FE Déplacements'!$G:$U,9,FALSE)),0,VLOOKUP($B333&amp;"; "&amp;$K$326&amp;", "&amp;$L$327,'FE Déplacements'!$G:$U,9,FALSE))</f>
        <v>0</v>
      </c>
      <c r="M333" s="123"/>
      <c r="N333" s="335">
        <f>IF(ISNA(VLOOKUP($B333&amp;"; "&amp;$N$326&amp;", "&amp;$N$327,'FE Déplacements'!$G:$U,9,FALSE)),0,VLOOKUP($B333&amp;"; "&amp;$N$326&amp;", "&amp;$N$327,'FE Déplacements'!$G:$U,9,FALSE))</f>
        <v>1670</v>
      </c>
      <c r="O333" s="335">
        <f>IF(ISNA(VLOOKUP($B333&amp;"; "&amp;$N$326&amp;", "&amp;$O$327,'FE Déplacements'!$G:$U,9,FALSE)),0,VLOOKUP($B333&amp;"; "&amp;$N$326&amp;", "&amp;$O$327,'FE Déplacements'!$G:$U,9,FALSE))</f>
        <v>0</v>
      </c>
      <c r="P333" s="123"/>
      <c r="Q333" s="335">
        <f>IF(ISNA(VLOOKUP($B333&amp;"; "&amp;$Q$326&amp;", "&amp;$Q$327,'FE Déplacements'!$G:$U,9,FALSE)),0,VLOOKUP($B333&amp;"; "&amp;$Q$326&amp;", "&amp;$Q$327,'FE Déplacements'!$G:$U,9,FALSE))</f>
        <v>0.84799999999999998</v>
      </c>
      <c r="R333" s="335">
        <f>IF(ISNA(VLOOKUP($B333&amp;"; "&amp;$Q$326&amp;", "&amp;$R$327,'FE Déplacements'!$G:$U,9,FALSE)),0,VLOOKUP($B333&amp;"; "&amp;$Q$326&amp;", "&amp;$R$327,'FE Déplacements'!$G:$U,9,FALSE))</f>
        <v>0</v>
      </c>
      <c r="S333" s="151">
        <f t="shared" si="177"/>
        <v>0</v>
      </c>
      <c r="T333" s="152">
        <f t="shared" si="178"/>
        <v>0</v>
      </c>
      <c r="U333" s="165">
        <f>IF(OR(F333=Utilitaires!$I$572,F333=Utilitaires!$I$577),T333,0)</f>
        <v>0</v>
      </c>
      <c r="X333" s="1092">
        <f t="shared" si="179"/>
        <v>0</v>
      </c>
      <c r="Y333" s="1094"/>
      <c r="Z333" s="820"/>
      <c r="AA333" s="164">
        <f t="shared" si="180"/>
        <v>0</v>
      </c>
      <c r="AB333" s="164">
        <f t="shared" si="181"/>
        <v>0</v>
      </c>
      <c r="AC333" s="164"/>
      <c r="AD333" s="152">
        <f t="shared" si="182"/>
        <v>0</v>
      </c>
      <c r="AE333" s="1286">
        <f t="shared" si="184"/>
        <v>0</v>
      </c>
      <c r="AG333" s="564">
        <f>$G333*IF(ISNA(VLOOKUP($B333&amp;"; "&amp;$H$326&amp;", "&amp;H$327,'FE Déplacements'!$G:$U,10,FALSE)),0,VLOOKUP($B333&amp;"; "&amp;$H$326&amp;", "&amp;H$327,'FE Déplacements'!$G:$U,10,FALSE))
+$J333*IF(ISNA(VLOOKUP($B333&amp;"; "&amp;$K$326&amp;", "&amp;H$327,'FE Déplacements'!$G:$U,10,FALSE)),0,VLOOKUP($B333&amp;"; "&amp;$K$326&amp;", "&amp;H$327,'FE Déplacements'!$G:$U,10,FALSE))
+$M333*IF(ISNA(VLOOKUP($B333&amp;"; "&amp;$N$326&amp;", "&amp;H$327,'FE Déplacements'!$G:$U,10,FALSE)),0,VLOOKUP($B333&amp;"; "&amp;$N$326&amp;", "&amp;H$327,'FE Déplacements'!$G:$U,10,FALSE))
+$P333*IF(ISNA(VLOOKUP($B333&amp;"; "&amp;$Q$326&amp;", "&amp;H$327,'FE Déplacements'!$G:$U,10,FALSE)),0,VLOOKUP($B333&amp;"; "&amp;$Q$326&amp;", "&amp;H$327,'FE Déplacements'!$G:$U,10,FALSE))</f>
        <v>0</v>
      </c>
      <c r="AH333" s="565">
        <f>$G333*IF(ISNA(VLOOKUP($B333&amp;"; "&amp;$H$326&amp;", "&amp;I$327,'FE Déplacements'!$G:$U,10,FALSE)),0,VLOOKUP($B333&amp;"; "&amp;$H$326&amp;", "&amp;I$327,'FE Déplacements'!$G:$U,10,FALSE))
+$J333*IF(ISNA(VLOOKUP($B333&amp;"; "&amp;$K$326&amp;", "&amp;I$327,'FE Déplacements'!$G:$U,10,FALSE)),0,VLOOKUP($B333&amp;"; "&amp;$K$326&amp;", "&amp;I$327,'FE Déplacements'!$G:$U,10,FALSE))
+$M333*IF(ISNA(VLOOKUP($B333&amp;"; "&amp;$N$326&amp;", "&amp;I$327,'FE Déplacements'!$G:$U,10,FALSE)),0,VLOOKUP($B333&amp;"; "&amp;$N$326&amp;", "&amp;I$327,'FE Déplacements'!$G:$U,10,FALSE))
+$P333*IF(ISNA(VLOOKUP($B333&amp;"; "&amp;$Q$326&amp;", "&amp;I$327,'FE Déplacements'!$G:$U,10,FALSE)),0,VLOOKUP($B333&amp;"; "&amp;$Q$326&amp;", "&amp;I$327,'FE Déplacements'!$G:$U,10,FALSE))</f>
        <v>0</v>
      </c>
      <c r="AI333" s="565"/>
      <c r="AJ333" s="565">
        <f>$G333*IF(ISNA((VLOOKUP($B333&amp;"; "&amp;$H$326&amp;", "&amp;H$327,'FE Déplacements'!$G:$U,12,FALSE)+VLOOKUP($B333&amp;"; "&amp;$H$326&amp;", "&amp;H$327,'FE Déplacements'!$G:$U,11,FALSE))),0,(VLOOKUP($B333&amp;"; "&amp;$H$326&amp;", "&amp;H$327,'FE Déplacements'!$G:$U,12,FALSE)+VLOOKUP($B333&amp;"; "&amp;$H$326&amp;", "&amp;H$327,'FE Déplacements'!$G:$U,11,FALSE)))
+$J333*IF(ISNA((VLOOKUP($B333&amp;"; "&amp;$K$326&amp;", "&amp;H$327,'FE Déplacements'!$G:$U,12,FALSE)+VLOOKUP($B333&amp;"; "&amp;$K$326&amp;", "&amp;H$327,'FE Déplacements'!$G:$U,11,FALSE))),0,(VLOOKUP($B333&amp;"; "&amp;$K$326&amp;", "&amp;H$327,'FE Déplacements'!$G:$U,12,FALSE)+VLOOKUP($B333&amp;"; "&amp;$K$326&amp;", "&amp;H$327,'FE Déplacements'!$G:$U,11,FALSE)))
+$M333*IF(ISNA((VLOOKUP($B333&amp;"; "&amp;$N$326&amp;", "&amp;H$327,'FE Déplacements'!$G:$U,12,FALSE)+VLOOKUP($B333&amp;"; "&amp;$N$326&amp;", "&amp;H$327,'FE Déplacements'!$G:$U,11,FALSE))),0,(VLOOKUP($B333&amp;"; "&amp;$N$326&amp;", "&amp;H$327,'FE Déplacements'!$G:$U,12,FALSE)+VLOOKUP($B333&amp;"; "&amp;$N$326&amp;", "&amp;H$327,'FE Déplacements'!$G:$U,11,FALSE)))
+$P333*IF(ISNA((VLOOKUP($B333&amp;"; "&amp;$Q$326&amp;", "&amp;H$327,'FE Déplacements'!$G:$U,12,FALSE)+VLOOKUP($B333&amp;"; "&amp;$Q$326&amp;", "&amp;H$327,'FE Déplacements'!$G:$U,11,FALSE))),0,(VLOOKUP($B333&amp;"; "&amp;$Q$326&amp;", "&amp;H$327,'FE Déplacements'!$G:$U,12,FALSE)+VLOOKUP($B333&amp;"; "&amp;$Q$326&amp;", "&amp;H$327,'FE Déplacements'!$G:$U,11,FALSE)))</f>
        <v>0</v>
      </c>
      <c r="AK333" s="565">
        <f>$G333*IF(ISNA((VLOOKUP($B333&amp;"; "&amp;$H$326&amp;", "&amp;I$327,'FE Déplacements'!$G:$U,12,FALSE)+VLOOKUP($B333&amp;"; "&amp;$H$326&amp;", "&amp;I$327,'FE Déplacements'!$G:$U,11,FALSE))),0,(VLOOKUP($B333&amp;"; "&amp;$H$326&amp;", "&amp;I$327,'FE Déplacements'!$G:$U,12,FALSE)+VLOOKUP($B333&amp;"; "&amp;$H$326&amp;", "&amp;I$327,'FE Déplacements'!$G:$U,11,FALSE)))
+$J333*IF(ISNA((VLOOKUP($B333&amp;"; "&amp;$K$326&amp;", "&amp;I$327,'FE Déplacements'!$G:$U,12,FALSE)+VLOOKUP($B333&amp;"; "&amp;$K$326&amp;", "&amp;I$327,'FE Déplacements'!$G:$U,11,FALSE))),0,(VLOOKUP($B333&amp;"; "&amp;$K$326&amp;", "&amp;I$327,'FE Déplacements'!$G:$U,12,FALSE)+VLOOKUP($B333&amp;"; "&amp;$K$326&amp;", "&amp;I$327,'FE Déplacements'!$G:$U,11,FALSE)))
+$M333*IF(ISNA((VLOOKUP($B333&amp;"; "&amp;$N$326&amp;", "&amp;I$327,'FE Déplacements'!$G:$U,12,FALSE)+VLOOKUP($B333&amp;"; "&amp;$N$326&amp;", "&amp;I$327,'FE Déplacements'!$G:$U,11,FALSE))),0,(VLOOKUP($B333&amp;"; "&amp;$N$326&amp;", "&amp;I$327,'FE Déplacements'!$G:$U,12,FALSE)+VLOOKUP($B333&amp;"; "&amp;$N$326&amp;", "&amp;I$327,'FE Déplacements'!$G:$U,11,FALSE)))
+$P333*IF(ISNA((VLOOKUP($B333&amp;"; "&amp;$Q$326&amp;", "&amp;I$327,'FE Déplacements'!$G:$U,12,FALSE)+VLOOKUP($B333&amp;"; "&amp;$Q$326&amp;", "&amp;I$327,'FE Déplacements'!$G:$U,11,FALSE))),0,(VLOOKUP($B333&amp;"; "&amp;$Q$326&amp;", "&amp;I$327,'FE Déplacements'!$G:$U,12,FALSE)+VLOOKUP($B333&amp;"; "&amp;$Q$326&amp;", "&amp;I$327,'FE Déplacements'!$G:$U,11,FALSE)))</f>
        <v>0</v>
      </c>
      <c r="AL333" s="565"/>
      <c r="AM333" s="565">
        <f>$G333*IF(ISNA(VLOOKUP($B333&amp;"; "&amp;$H$326&amp;", "&amp;H$327,'FE Déplacements'!$G:$U,13,FALSE)),0,VLOOKUP($B333&amp;"; "&amp;$H$326&amp;", "&amp;H$327,'FE Déplacements'!$G:$U,13,FALSE))
+$J333*IF(ISNA(VLOOKUP($B333&amp;"; "&amp;$K$326&amp;", "&amp;H$327,'FE Déplacements'!$G:$U,13,FALSE)),0,VLOOKUP($B333&amp;"; "&amp;$K$326&amp;", "&amp;H$327,'FE Déplacements'!$G:$U,13,FALSE))
+$M333*IF(ISNA(VLOOKUP($B333&amp;"; "&amp;$N$326&amp;", "&amp;H$327,'FE Déplacements'!$G:$U,13,FALSE)),0,VLOOKUP($B333&amp;"; "&amp;$N$326&amp;", "&amp;H$327,'FE Déplacements'!$G:$U,13,FALSE))
+$P333*IF(ISNA(VLOOKUP($B333&amp;"; "&amp;$Q$326&amp;", "&amp;H$327,'FE Déplacements'!$G:$U,13,FALSE)),0,VLOOKUP($B333&amp;"; "&amp;$Q$326&amp;", "&amp;H$327,'FE Déplacements'!$G:$U,13,FALSE))</f>
        <v>0</v>
      </c>
      <c r="AN333" s="565">
        <f>$G333*IF(ISNA(VLOOKUP($B333&amp;"; "&amp;$H$326&amp;", "&amp;I$327,'FE Déplacements'!$G:$U,13,FALSE)),0,VLOOKUP($B333&amp;"; "&amp;$H$326&amp;", "&amp;I$327,'FE Déplacements'!$G:$U,13,FALSE))
+$J333*IF(ISNA(VLOOKUP($B333&amp;"; "&amp;$K$326&amp;", "&amp;I$327,'FE Déplacements'!$G:$U,13,FALSE)),0,VLOOKUP($B333&amp;"; "&amp;$K$326&amp;", "&amp;I$327,'FE Déplacements'!$G:$U,13,FALSE))
+$M333*IF(ISNA(VLOOKUP($B333&amp;"; "&amp;$N$326&amp;", "&amp;I$327,'FE Déplacements'!$G:$U,13,FALSE)),0,VLOOKUP($B333&amp;"; "&amp;$N$326&amp;", "&amp;I$327,'FE Déplacements'!$G:$U,13,FALSE))
+$P333*IF(ISNA(VLOOKUP($B333&amp;"; "&amp;$Q$326&amp;", "&amp;I$327,'FE Déplacements'!$G:$U,13,FALSE)),0,VLOOKUP($B333&amp;"; "&amp;$Q$326&amp;", "&amp;I$327,'FE Déplacements'!$G:$U,13,FALSE))</f>
        <v>0</v>
      </c>
      <c r="AO333" s="565"/>
      <c r="AP333" s="565">
        <v>0</v>
      </c>
      <c r="AQ333" s="565">
        <v>0</v>
      </c>
      <c r="AR333" s="565"/>
      <c r="AS333" s="1288">
        <f t="shared" si="183"/>
        <v>0</v>
      </c>
      <c r="AT333" s="566">
        <f t="shared" si="183"/>
        <v>0</v>
      </c>
      <c r="AU333" s="566"/>
      <c r="AV333" s="564">
        <f>$G333*IF(ISNA(VLOOKUP($B333&amp;"; "&amp;$H$326&amp;", "&amp;H$327,'FE Déplacements'!$G:$U,15,FALSE)),0,VLOOKUP($B333&amp;"; "&amp;$H$326&amp;", "&amp;H$327,'FE Déplacements'!$G:$U,15,FALSE))
+$J333*IF(ISNA(VLOOKUP($B333&amp;"; "&amp;$K$326&amp;", "&amp;H$327,'FE Déplacements'!$G:$U,15,FALSE)),0,VLOOKUP($B333&amp;"; "&amp;$K$326&amp;", "&amp;H$327,'FE Déplacements'!$G:$U,15,FALSE))
+$M333*IF(ISNA(VLOOKUP($B333&amp;"; "&amp;$N$326&amp;", "&amp;H$327,'FE Déplacements'!$G:$U,15,FALSE)),0,VLOOKUP($B333&amp;"; "&amp;$N$326&amp;", "&amp;H$327,'FE Déplacements'!$G:$U,15,FALSE))
+$P333*IF(ISNA(VLOOKUP($B333&amp;"; "&amp;$Q$326&amp;", "&amp;H$327,'FE Déplacements'!$G:$U,15,FALSE)),0,VLOOKUP($B333&amp;"; "&amp;$Q$326&amp;", "&amp;H$327,'FE Déplacements'!$G:$U,15,FALSE))</f>
        <v>0</v>
      </c>
      <c r="AW333" s="565">
        <f>$G333*IF(ISNA(VLOOKUP($B333&amp;"; "&amp;$H$326&amp;", "&amp;I$327,'FE Déplacements'!$G:$U,15,FALSE)),0,VLOOKUP($B333&amp;"; "&amp;$H$326&amp;", "&amp;I$327,'FE Déplacements'!$G:$U,15,FALSE))
+$J333*IF(ISNA(VLOOKUP($B333&amp;"; "&amp;$K$326&amp;", "&amp;I$327,'FE Déplacements'!$G:$U,15,FALSE)),0,VLOOKUP($B333&amp;"; "&amp;$K$326&amp;", "&amp;I$327,'FE Déplacements'!$G:$U,15,FALSE))
+$M333*IF(ISNA(VLOOKUP($B333&amp;"; "&amp;$N$326&amp;", "&amp;I$327,'FE Déplacements'!$G:$U,15,FALSE)),0,VLOOKUP($B333&amp;"; "&amp;$N$326&amp;", "&amp;I$327,'FE Déplacements'!$G:$U,15,FALSE))
+$P333*IF(ISNA(VLOOKUP($B333&amp;"; "&amp;$Q$326&amp;", "&amp;I$327,'FE Déplacements'!$G:$U,15,FALSE)),0,VLOOKUP($B333&amp;"; "&amp;$Q$326&amp;", "&amp;I$327,'FE Déplacements'!$G:$U,15,FALSE))</f>
        <v>0</v>
      </c>
      <c r="AX333" s="568"/>
      <c r="BH333" s="1065">
        <f>IF($Y333&lt;&gt;"votre valeur :",IF(ISNA(VLOOKUP($Y333,Utilitaires!$N$566:$O$571,2,FALSE)),,VLOOKUP($Y333,Utilitaires!$N$566:$O$571,2,FALSE)),$Z333)</f>
        <v>0</v>
      </c>
      <c r="BI333" s="1124">
        <f>IF(ISNA(SQRT(SUMSQ(VLOOKUP($B333&amp;"; "&amp;$H$326&amp;", "&amp;$H$327,'FE Déplacements'!$G:$U,7,FALSE),$BH333))),0,SQRT(SUMSQ(VLOOKUP($B333&amp;"; "&amp;$H$326&amp;", "&amp;$H$327,'FE Déplacements'!$G:$U,7,FALSE),$BH333)))</f>
        <v>0.2</v>
      </c>
      <c r="BJ333" s="1068">
        <f>IF(ISNA(SQRT(SUMSQ(VLOOKUP($B333&amp;"; "&amp;$H$326&amp;", "&amp;$H$327,'FE Déplacements'!$G:$U,7,FALSE),$BH333))),0,SQRT(SUMSQ(VLOOKUP($B333&amp;"; "&amp;$H$326&amp;", "&amp;$H$327,'FE Déplacements'!$G:$U,7,FALSE),$BH333)))</f>
        <v>0.2</v>
      </c>
      <c r="BK333" s="1068">
        <f>IF(ISNA(SQRT(SUMSQ(VLOOKUP($B333&amp;"; "&amp;$H$326&amp;", "&amp;$H$327,'FE Déplacements'!$G:$U,7,FALSE),$BH333))),0,SQRT(SUMSQ(VLOOKUP($B333&amp;"; "&amp;$H$326&amp;", "&amp;$H$327,'FE Déplacements'!$G:$U,7,FALSE),$BH333)))</f>
        <v>0.2</v>
      </c>
      <c r="BL333" s="1125">
        <f>IF(ISNA(SQRT(SUMSQ(VLOOKUP($B333&amp;"; "&amp;$H$326&amp;", "&amp;$H$327,'FE Déplacements'!$G:$U,7,FALSE),$BH333))),0,SQRT(SUMSQ(VLOOKUP($B333&amp;"; "&amp;$H$326&amp;", "&amp;$H$327,'FE Déplacements'!$G:$U,7,FALSE),$BH333)))</f>
        <v>0.2</v>
      </c>
      <c r="BM333" s="1124">
        <f>IF(ISNA(SQRT(SUMSQ(VLOOKUP($B333&amp;"; "&amp;$H$326&amp;", "&amp;$I$327,'FE Déplacements'!$G:$U,7,FALSE),$BH333))),0,SQRT(SUMSQ(VLOOKUP($B333&amp;"; "&amp;$H$326&amp;", "&amp;$I$327,'FE Déplacements'!$G:$U,7,FALSE),$BH333)))</f>
        <v>0</v>
      </c>
      <c r="BN333" s="1068">
        <f>IF(ISNA(SQRT(SUMSQ(VLOOKUP($B333&amp;"; "&amp;$H$326&amp;", "&amp;$I$327,'FE Déplacements'!$G:$U,7,FALSE),$BH333))),0,SQRT(SUMSQ(VLOOKUP($B333&amp;"; "&amp;$H$326&amp;", "&amp;$I$327,'FE Déplacements'!$G:$U,7,FALSE),$BH333)))</f>
        <v>0</v>
      </c>
      <c r="BO333" s="1068">
        <f>IF(ISNA(SQRT(SUMSQ(VLOOKUP($B333&amp;"; "&amp;$H$326&amp;", "&amp;$I$327,'FE Déplacements'!$G:$U,7,FALSE),$BH333))),0,SQRT(SUMSQ(VLOOKUP($B333&amp;"; "&amp;$H$326&amp;", "&amp;$I$327,'FE Déplacements'!$G:$U,7,FALSE),$BH333)))</f>
        <v>0</v>
      </c>
      <c r="BP333" s="1125">
        <f>IF(ISNA(SQRT(SUMSQ(VLOOKUP($B333&amp;"; "&amp;$H$326&amp;", "&amp;$I$327,'FE Déplacements'!$G:$U,7,FALSE),$BH333))),0,SQRT(SUMSQ(VLOOKUP($B333&amp;"; "&amp;$H$326&amp;", "&amp;$I$327,'FE Déplacements'!$G:$U,7,FALSE),$BH333)))</f>
        <v>0</v>
      </c>
    </row>
    <row r="334" spans="1:68" hidden="1" outlineLevel="1">
      <c r="B334" s="154"/>
      <c r="C334" s="155"/>
      <c r="D334" s="221"/>
      <c r="E334" s="221"/>
      <c r="F334" s="155"/>
      <c r="G334" s="155"/>
      <c r="H334" s="155"/>
      <c r="I334" s="155"/>
      <c r="J334" s="155"/>
      <c r="K334" s="155"/>
      <c r="L334" s="155"/>
      <c r="M334" s="155"/>
      <c r="N334" s="155"/>
      <c r="O334" s="155"/>
      <c r="P334" s="155"/>
      <c r="Q334" s="155"/>
      <c r="R334" s="155"/>
      <c r="S334" s="354"/>
      <c r="T334" s="156"/>
      <c r="U334" s="165"/>
      <c r="X334" s="154"/>
      <c r="Y334" s="155"/>
      <c r="Z334" s="155"/>
      <c r="AA334" s="169"/>
      <c r="AB334" s="169"/>
      <c r="AC334" s="169"/>
      <c r="AD334" s="156"/>
      <c r="AE334" s="1776"/>
      <c r="AG334" s="564"/>
      <c r="AH334" s="565"/>
      <c r="AI334" s="565"/>
      <c r="AJ334" s="565"/>
      <c r="AK334" s="565"/>
      <c r="AL334" s="565"/>
      <c r="AM334" s="565"/>
      <c r="AN334" s="565"/>
      <c r="AO334" s="565"/>
      <c r="AP334" s="565"/>
      <c r="AQ334" s="565"/>
      <c r="AR334" s="565"/>
      <c r="AS334" s="1288"/>
      <c r="AT334" s="566"/>
      <c r="AU334" s="566"/>
      <c r="AV334" s="564"/>
      <c r="AW334" s="565"/>
      <c r="AX334" s="568"/>
      <c r="BH334" s="1087"/>
      <c r="BI334" s="1126"/>
      <c r="BJ334" s="1073"/>
      <c r="BK334" s="1073"/>
      <c r="BL334" s="1074"/>
      <c r="BM334" s="1075"/>
      <c r="BN334" s="1076"/>
      <c r="BO334" s="1076"/>
      <c r="BP334" s="1077"/>
    </row>
    <row r="335" spans="1:68" hidden="1" outlineLevel="1">
      <c r="B335" s="196" t="s">
        <v>348</v>
      </c>
      <c r="C335" s="197"/>
      <c r="D335" s="214">
        <f>SUM(D328:D334)</f>
        <v>0</v>
      </c>
      <c r="E335" s="214"/>
      <c r="F335" s="198"/>
      <c r="G335" s="199"/>
      <c r="H335" s="199"/>
      <c r="I335" s="199"/>
      <c r="J335" s="199"/>
      <c r="K335" s="199"/>
      <c r="L335" s="199"/>
      <c r="M335" s="199"/>
      <c r="N335" s="199"/>
      <c r="O335" s="199"/>
      <c r="P335" s="199"/>
      <c r="Q335" s="199"/>
      <c r="R335" s="199"/>
      <c r="S335" s="202">
        <f>SUM(S328:S334)</f>
        <v>0</v>
      </c>
      <c r="T335" s="200">
        <f>SUM(T328:T334)</f>
        <v>0</v>
      </c>
      <c r="U335" s="340">
        <f>SUM(U328:U334)</f>
        <v>0</v>
      </c>
      <c r="X335" s="1203">
        <f>IF(AD335=0,AD335,AD335/D335)</f>
        <v>0</v>
      </c>
      <c r="Y335" s="199"/>
      <c r="Z335" s="199"/>
      <c r="AA335" s="203">
        <f>SQRT(SUMSQ(AA328:AA334))</f>
        <v>0</v>
      </c>
      <c r="AB335" s="203">
        <f>SQRT(SUMSQ(AB328:AB334))</f>
        <v>0</v>
      </c>
      <c r="AC335" s="203"/>
      <c r="AD335" s="200">
        <f>SQRT(SUMSQ(AD328:AD334))</f>
        <v>0</v>
      </c>
      <c r="AE335" s="340">
        <f>SQRT(SUMSQ(AE328:AE334))</f>
        <v>0</v>
      </c>
      <c r="AG335" s="571">
        <f>SUM(AG328:AG334)</f>
        <v>0</v>
      </c>
      <c r="AH335" s="572">
        <f>SUM(AH328:AH334)</f>
        <v>0</v>
      </c>
      <c r="AI335" s="572"/>
      <c r="AJ335" s="572">
        <f>SUM(AJ328:AJ334)</f>
        <v>0</v>
      </c>
      <c r="AK335" s="572">
        <f>SUM(AK328:AK334)</f>
        <v>0</v>
      </c>
      <c r="AL335" s="572"/>
      <c r="AM335" s="572">
        <f>SUM(AM328:AM334)</f>
        <v>0</v>
      </c>
      <c r="AN335" s="572">
        <f>SUM(AN328:AN334)</f>
        <v>0</v>
      </c>
      <c r="AO335" s="572"/>
      <c r="AP335" s="572">
        <f>SUM(AP328:AP334)</f>
        <v>0</v>
      </c>
      <c r="AQ335" s="572">
        <f>SUM(AQ328:AQ334)</f>
        <v>0</v>
      </c>
      <c r="AR335" s="572"/>
      <c r="AS335" s="1290">
        <f>SUM(AS328:AS334)</f>
        <v>0</v>
      </c>
      <c r="AT335" s="573">
        <f>SUM(AT328:AT334)</f>
        <v>0</v>
      </c>
      <c r="AU335" s="573"/>
      <c r="AV335" s="1082">
        <f>SUM(AV328:AV334)</f>
        <v>0</v>
      </c>
      <c r="AW335" s="572">
        <f>SUM(AW328:AW334)</f>
        <v>0</v>
      </c>
      <c r="AX335" s="575"/>
    </row>
    <row r="336" spans="1:68" hidden="1" outlineLevel="1">
      <c r="G336" s="271"/>
      <c r="H336" s="269"/>
    </row>
    <row r="337" spans="2:63" ht="12.75" hidden="1" customHeight="1" outlineLevel="1">
      <c r="B337" s="2283" t="s">
        <v>4063</v>
      </c>
      <c r="C337" s="140"/>
      <c r="D337" s="2265"/>
      <c r="E337" s="2265"/>
      <c r="F337" s="140"/>
      <c r="G337" s="141"/>
      <c r="H337" s="141"/>
      <c r="I337" s="141"/>
      <c r="J337" s="141"/>
      <c r="K337" s="141"/>
      <c r="L337" s="141"/>
      <c r="M337" s="141"/>
      <c r="N337" s="1610"/>
      <c r="X337" s="2636" t="s">
        <v>366</v>
      </c>
      <c r="Y337" s="2637"/>
      <c r="Z337" s="2637"/>
      <c r="AA337" s="2637"/>
      <c r="AB337" s="2637"/>
      <c r="AC337" s="2637"/>
      <c r="AD337" s="2638"/>
      <c r="AE337" s="1773"/>
      <c r="AG337" s="2639" t="s">
        <v>441</v>
      </c>
      <c r="AH337" s="2640"/>
      <c r="AI337" s="2640"/>
      <c r="AJ337" s="2640"/>
      <c r="AK337" s="2640"/>
      <c r="AL337" s="2640"/>
      <c r="AM337" s="2640"/>
      <c r="AN337" s="2640"/>
      <c r="AO337" s="2640"/>
      <c r="AP337" s="2640"/>
      <c r="AQ337" s="2640"/>
      <c r="AR337" s="2640"/>
      <c r="AS337" s="2640"/>
      <c r="AT337" s="2640"/>
      <c r="AU337" s="2640"/>
      <c r="AV337" s="2640"/>
      <c r="AW337" s="2640"/>
      <c r="AX337" s="2641"/>
    </row>
    <row r="338" spans="2:63" ht="12.75" hidden="1" customHeight="1" outlineLevel="1">
      <c r="B338" s="333"/>
      <c r="C338" s="144"/>
      <c r="D338" s="2272" t="s">
        <v>308</v>
      </c>
      <c r="E338" s="2272"/>
      <c r="F338" s="144"/>
      <c r="G338" s="144"/>
      <c r="H338" s="144"/>
      <c r="I338" s="144"/>
      <c r="J338" s="144"/>
      <c r="K338" s="144"/>
      <c r="L338" s="2628" t="s">
        <v>233</v>
      </c>
      <c r="M338" s="2627"/>
      <c r="N338" s="153" t="s">
        <v>275</v>
      </c>
      <c r="X338" s="2263"/>
      <c r="Y338" s="819"/>
      <c r="Z338" s="819"/>
      <c r="AA338" s="2264"/>
      <c r="AB338" s="2264"/>
      <c r="AC338" s="2264"/>
      <c r="AD338" s="2280"/>
      <c r="AE338" s="1674" t="s">
        <v>275</v>
      </c>
      <c r="AG338" s="2642" t="s">
        <v>444</v>
      </c>
      <c r="AH338" s="2643"/>
      <c r="AI338" s="2643"/>
      <c r="AJ338" s="2643"/>
      <c r="AK338" s="2643"/>
      <c r="AL338" s="2643"/>
      <c r="AM338" s="2643"/>
      <c r="AN338" s="2643"/>
      <c r="AO338" s="2643"/>
      <c r="AP338" s="2643"/>
      <c r="AQ338" s="2643"/>
      <c r="AR338" s="2644"/>
      <c r="AS338" s="2642" t="s">
        <v>444</v>
      </c>
      <c r="AT338" s="2643"/>
      <c r="AU338" s="2644"/>
      <c r="AV338" s="1288"/>
      <c r="AW338" s="566"/>
      <c r="AX338" s="2287"/>
      <c r="BH338" s="2616" t="s">
        <v>1648</v>
      </c>
      <c r="BI338" s="2617"/>
      <c r="BJ338" s="2617"/>
      <c r="BK338" s="2618"/>
    </row>
    <row r="339" spans="2:63" ht="12.75" hidden="1" customHeight="1" outlineLevel="1">
      <c r="B339" s="2263"/>
      <c r="C339" s="2264"/>
      <c r="D339" s="2264" t="s">
        <v>409</v>
      </c>
      <c r="E339" s="2264"/>
      <c r="F339" s="2270" t="s">
        <v>452</v>
      </c>
      <c r="G339" s="2270"/>
      <c r="H339" s="2853" t="s">
        <v>2222</v>
      </c>
      <c r="I339" s="2854"/>
      <c r="J339" s="2854"/>
      <c r="K339" s="2272" t="s">
        <v>444</v>
      </c>
      <c r="L339" s="2272" t="s">
        <v>444</v>
      </c>
      <c r="M339" s="2272" t="s">
        <v>444</v>
      </c>
      <c r="N339" s="153" t="s">
        <v>276</v>
      </c>
      <c r="W339" s="109"/>
      <c r="X339" s="2263" t="s">
        <v>316</v>
      </c>
      <c r="Y339" s="2629" t="s">
        <v>316</v>
      </c>
      <c r="Z339" s="2630"/>
      <c r="AA339" s="2264" t="s">
        <v>444</v>
      </c>
      <c r="AB339" s="2264" t="s">
        <v>444</v>
      </c>
      <c r="AC339" s="2264" t="s">
        <v>444</v>
      </c>
      <c r="AD339" s="2281" t="s">
        <v>444</v>
      </c>
      <c r="AE339" s="2280" t="s">
        <v>276</v>
      </c>
      <c r="AG339" s="2631" t="s">
        <v>211</v>
      </c>
      <c r="AH339" s="2632"/>
      <c r="AI339" s="2632"/>
      <c r="AJ339" s="2632" t="s">
        <v>442</v>
      </c>
      <c r="AK339" s="2632"/>
      <c r="AL339" s="2632"/>
      <c r="AM339" s="2632" t="s">
        <v>267</v>
      </c>
      <c r="AN339" s="2632"/>
      <c r="AO339" s="2632"/>
      <c r="AP339" s="2632" t="s">
        <v>443</v>
      </c>
      <c r="AQ339" s="2632"/>
      <c r="AR339" s="2650"/>
      <c r="AS339" s="2848" t="s">
        <v>327</v>
      </c>
      <c r="AT339" s="2648"/>
      <c r="AU339" s="2649"/>
      <c r="AV339" s="2631" t="s">
        <v>636</v>
      </c>
      <c r="AW339" s="2632"/>
      <c r="AX339" s="568"/>
      <c r="BH339" s="2837" t="s">
        <v>1646</v>
      </c>
      <c r="BI339" s="2837" t="s">
        <v>422</v>
      </c>
      <c r="BJ339" s="2839" t="s">
        <v>411</v>
      </c>
      <c r="BK339" s="2839" t="s">
        <v>257</v>
      </c>
    </row>
    <row r="340" spans="2:63" ht="12.75" hidden="1" customHeight="1" outlineLevel="1">
      <c r="B340" s="536" t="s">
        <v>4035</v>
      </c>
      <c r="C340" s="2264"/>
      <c r="D340" s="2264" t="s">
        <v>444</v>
      </c>
      <c r="E340" s="2264"/>
      <c r="F340" s="2271" t="s">
        <v>445</v>
      </c>
      <c r="G340" s="153" t="s">
        <v>38</v>
      </c>
      <c r="H340" s="1662" t="s">
        <v>422</v>
      </c>
      <c r="I340" s="1662" t="s">
        <v>411</v>
      </c>
      <c r="J340" s="1662" t="s">
        <v>257</v>
      </c>
      <c r="K340" s="2266" t="s">
        <v>422</v>
      </c>
      <c r="L340" s="2266" t="s">
        <v>411</v>
      </c>
      <c r="M340" s="2266" t="s">
        <v>257</v>
      </c>
      <c r="N340" s="153" t="s">
        <v>444</v>
      </c>
      <c r="W340" s="109"/>
      <c r="X340" s="2263" t="s">
        <v>1649</v>
      </c>
      <c r="Y340" s="2646" t="s">
        <v>1650</v>
      </c>
      <c r="Z340" s="2647"/>
      <c r="AA340" s="1662" t="s">
        <v>411</v>
      </c>
      <c r="AB340" s="1662" t="s">
        <v>257</v>
      </c>
      <c r="AC340" s="1662" t="s">
        <v>422</v>
      </c>
      <c r="AD340" s="162" t="s">
        <v>327</v>
      </c>
      <c r="AE340" s="2280" t="s">
        <v>444</v>
      </c>
      <c r="AG340" s="2285" t="s">
        <v>411</v>
      </c>
      <c r="AH340" s="2286" t="s">
        <v>257</v>
      </c>
      <c r="AI340" s="2286" t="s">
        <v>422</v>
      </c>
      <c r="AJ340" s="2286" t="s">
        <v>411</v>
      </c>
      <c r="AK340" s="2286" t="s">
        <v>257</v>
      </c>
      <c r="AL340" s="2286" t="s">
        <v>422</v>
      </c>
      <c r="AM340" s="2286" t="s">
        <v>411</v>
      </c>
      <c r="AN340" s="2286" t="s">
        <v>257</v>
      </c>
      <c r="AO340" s="2286" t="s">
        <v>422</v>
      </c>
      <c r="AP340" s="2286" t="s">
        <v>411</v>
      </c>
      <c r="AQ340" s="2286" t="s">
        <v>257</v>
      </c>
      <c r="AR340" s="2286" t="s">
        <v>422</v>
      </c>
      <c r="AS340" s="1289" t="s">
        <v>411</v>
      </c>
      <c r="AT340" s="581" t="s">
        <v>257</v>
      </c>
      <c r="AU340" s="581" t="s">
        <v>422</v>
      </c>
      <c r="AV340" s="2285" t="s">
        <v>411</v>
      </c>
      <c r="AW340" s="2286" t="s">
        <v>257</v>
      </c>
      <c r="AX340" s="2287" t="s">
        <v>422</v>
      </c>
      <c r="BH340" s="2838"/>
      <c r="BI340" s="2838"/>
      <c r="BJ340" s="2840"/>
      <c r="BK340" s="2840"/>
    </row>
    <row r="341" spans="2:63" hidden="1" outlineLevel="1">
      <c r="B341" s="180" t="s">
        <v>4036</v>
      </c>
      <c r="C341" s="2264"/>
      <c r="D341" s="212">
        <f>SUM(K341:M341)</f>
        <v>0</v>
      </c>
      <c r="E341" s="212"/>
      <c r="F341" s="409"/>
      <c r="G341" s="117"/>
      <c r="H341" s="219">
        <f>IF(ISNA(VLOOKUP($B341&amp;"; "&amp;$H$38&amp;", "&amp;$H$39,'FE Déplacements'!$G:$U,9,FALSE)),0,VLOOKUP($B341&amp;"; "&amp;$H$38&amp;", "&amp;$H$39,'FE Déplacements'!$G:$U,9,FALSE))</f>
        <v>2.5600000000000001E-2</v>
      </c>
      <c r="I341" s="410">
        <f>IF(ISNA(VLOOKUP($B341&amp;"; "&amp;$H$38&amp;", "&amp;$I$39,'FE Déplacements'!$G:$U,9,FALSE)),0,VLOOKUP($B341&amp;"; "&amp;$H$38&amp;", "&amp;$I$39,'FE Déplacements'!$G:$U,9,FALSE))</f>
        <v>3.5799999999999998E-2</v>
      </c>
      <c r="J341" s="410">
        <f>IF(ISNA(VLOOKUP($B341&amp;"; "&amp;$H$38&amp;", "&amp;$J$39,'FE Déplacements'!$G:$U,9,FALSE)),0,VLOOKUP($B341&amp;"; "&amp;$H$38&amp;", "&amp;$J$39,'FE Déplacements'!$G:$U,9,FALSE))</f>
        <v>0.16200000000000001</v>
      </c>
      <c r="K341" s="356">
        <f>G341*H341</f>
        <v>0</v>
      </c>
      <c r="L341" s="356">
        <f>G341*I341</f>
        <v>0</v>
      </c>
      <c r="M341" s="356">
        <f>G341*J341</f>
        <v>0</v>
      </c>
      <c r="N341" s="1286">
        <f>IF(OR(F341=Utilitaires!$I$572,F341=Utilitaires!$I$577),M341,0)</f>
        <v>0</v>
      </c>
      <c r="X341" s="1092">
        <f>IF(AD341=0,AD341,AD341/D341)</f>
        <v>0</v>
      </c>
      <c r="Y341" s="343"/>
      <c r="Z341" s="820"/>
      <c r="AA341" s="164">
        <f t="shared" ref="AA341:AB344" si="185">L341*BJ341</f>
        <v>0</v>
      </c>
      <c r="AB341" s="164">
        <f t="shared" si="185"/>
        <v>0</v>
      </c>
      <c r="AC341" s="164">
        <f>K341*BI341</f>
        <v>0</v>
      </c>
      <c r="AD341" s="152">
        <f>SQRT(SUMSQ(AA341:AC341))</f>
        <v>0</v>
      </c>
      <c r="AE341" s="165">
        <f>N341*X341</f>
        <v>0</v>
      </c>
      <c r="AG341" s="564">
        <f>$G341*IF(ISNA(VLOOKUP($B341&amp;"; "&amp;$H$38&amp;", "&amp;I$39,'FE Déplacements'!$G:$U,10,FALSE)),0,VLOOKUP($B341&amp;"; "&amp;$H$38&amp;", "&amp;I$39,'FE Déplacements'!$G:$U,10,FALSE))</f>
        <v>0</v>
      </c>
      <c r="AH341" s="565">
        <f>$G341*IF(ISNA(VLOOKUP($B341&amp;"; "&amp;$H$38&amp;", "&amp;J$39,'FE Déplacements'!$G:$U,10,FALSE)),0,VLOOKUP($B341&amp;"; "&amp;$H$38&amp;", "&amp;J$39,'FE Déplacements'!$G:$U,10,FALSE))</f>
        <v>0</v>
      </c>
      <c r="AI341" s="565">
        <f>$G341*IF(ISNA(VLOOKUP($B341&amp;"; "&amp;$H$38&amp;", "&amp;H$39,'FE Déplacements'!$G:$U,10,FALSE)),0,VLOOKUP($B341&amp;"; "&amp;$H$38&amp;", "&amp;H$39,'FE Déplacements'!$G:$U,10,FALSE))</f>
        <v>0</v>
      </c>
      <c r="AJ341" s="565">
        <f>$G341*IF(ISNA((VLOOKUP($B341&amp;"; "&amp;$H$38&amp;", "&amp;I$39,'FE Déplacements'!$G:$U,12,FALSE)+VLOOKUP($B341&amp;"; "&amp;$H$38&amp;", "&amp;I$39,'FE Déplacements'!$G:$U,11,FALSE))),0,(VLOOKUP($B341&amp;"; "&amp;$H$38&amp;", "&amp;I$39,'FE Déplacements'!$G:$U,12,FALSE)+VLOOKUP($B341&amp;"; "&amp;$H$38&amp;", "&amp;I$39,'FE Déplacements'!$G:$U,11,FALSE)))</f>
        <v>0</v>
      </c>
      <c r="AK341" s="565">
        <f>$G341*IF(ISNA((VLOOKUP($B341&amp;"; "&amp;$H$38&amp;", "&amp;J$39,'FE Déplacements'!$G:$U,12,FALSE)+VLOOKUP($B341&amp;"; "&amp;$H$38&amp;", "&amp;J$39,'FE Déplacements'!$G:$U,11,FALSE))),0,(VLOOKUP($B341&amp;"; "&amp;$H$38&amp;", "&amp;J$39,'FE Déplacements'!$G:$U,12,FALSE)+VLOOKUP($B341&amp;"; "&amp;$H$38&amp;", "&amp;J$39,'FE Déplacements'!$G:$U,11,FALSE)))</f>
        <v>0</v>
      </c>
      <c r="AL341" s="565">
        <f>$G341*IF(ISNA((VLOOKUP($B341&amp;"; "&amp;$H$38&amp;", "&amp;H$39,'FE Déplacements'!$G:$U,12,FALSE)+VLOOKUP($B341&amp;"; "&amp;$H$38&amp;", "&amp;H$39,'FE Déplacements'!$G:$U,11,FALSE))),0,(VLOOKUP($B341&amp;"; "&amp;$H$38&amp;", "&amp;H$39,'FE Déplacements'!$G:$U,12,FALSE)+VLOOKUP($B341&amp;"; "&amp;$H$38&amp;", "&amp;H$39,'FE Déplacements'!$G:$U,11,FALSE)))</f>
        <v>0</v>
      </c>
      <c r="AM341" s="565">
        <f>$G341*IF(ISNA(VLOOKUP($B341&amp;"; "&amp;$H$38&amp;", "&amp;I$39,'FE Déplacements'!$G:$U,13,FALSE)),0,VLOOKUP($B341&amp;"; "&amp;$H$38&amp;", "&amp;I$39,'FE Déplacements'!$G:$U,13,FALSE))</f>
        <v>0</v>
      </c>
      <c r="AN341" s="565">
        <f>$G341*IF(ISNA(VLOOKUP($B341&amp;"; "&amp;$H$38&amp;", "&amp;J$39,'FE Déplacements'!$G:$U,13,FALSE)),0,VLOOKUP($B341&amp;"; "&amp;$H$38&amp;", "&amp;J$39,'FE Déplacements'!$G:$U,13,FALSE))</f>
        <v>0</v>
      </c>
      <c r="AO341" s="565">
        <f>$G341*IF(ISNA(VLOOKUP($B341&amp;"; "&amp;$H$38&amp;", "&amp;H$39,'FE Déplacements'!$G:$U,13,FALSE)),0,VLOOKUP($B341&amp;"; "&amp;$H$38&amp;", "&amp;H$39,'FE Déplacements'!$G:$U,13,FALSE))</f>
        <v>0</v>
      </c>
      <c r="AP341" s="565">
        <v>0</v>
      </c>
      <c r="AQ341" s="565">
        <v>0</v>
      </c>
      <c r="AR341" s="565">
        <v>0</v>
      </c>
      <c r="AS341" s="1288">
        <f t="shared" ref="AS341:AU343" si="186">SUM(AG341,AJ341,AM341,AP341)</f>
        <v>0</v>
      </c>
      <c r="AT341" s="566">
        <f t="shared" si="186"/>
        <v>0</v>
      </c>
      <c r="AU341" s="566">
        <f t="shared" si="186"/>
        <v>0</v>
      </c>
      <c r="AV341" s="564">
        <f>$G341*IF(ISNA(VLOOKUP($B341&amp;"; "&amp;$H$38&amp;", "&amp;I$39,'FE Déplacements'!$G:$U,15,FALSE)),0,VLOOKUP($B341&amp;"; "&amp;$H$38&amp;", "&amp;I$39,'FE Déplacements'!$G:$U,15,FALSE))</f>
        <v>0</v>
      </c>
      <c r="AW341" s="565">
        <f>$G341*IF(ISNA(VLOOKUP($B341&amp;"; "&amp;$H$38&amp;", "&amp;J$39,'FE Déplacements'!$G:$U,15,FALSE)),0,VLOOKUP($B341&amp;"; "&amp;$H$38&amp;", "&amp;J$39,'FE Déplacements'!$G:$U,15,FALSE))</f>
        <v>0</v>
      </c>
      <c r="AX341" s="568">
        <f>$G341*IF(ISNA(VLOOKUP($B341&amp;"; "&amp;$H$38&amp;", "&amp;H$39,'FE Déplacements'!$G:$U,15,FALSE)),0,VLOOKUP($B341&amp;"; "&amp;$H$38&amp;", "&amp;H$39,'FE Déplacements'!$G:$U,15,FALSE))</f>
        <v>0</v>
      </c>
      <c r="BH341" s="2268">
        <f>IF($Y341&lt;&gt;"votre valeur :",IF(ISNA(VLOOKUP($Y341,Utilitaires!$N$566:$O$571,2,FALSE)),,VLOOKUP($Y341,Utilitaires!$N$566:$O$571,2,FALSE)),$Z341)</f>
        <v>0</v>
      </c>
      <c r="BI341" s="2277">
        <f>IF(ISNA(SQRT(SUMSQ(VLOOKUP($B341&amp;"; "&amp;$H$38&amp;", "&amp;$H$39,'FE Déplacements'!$G:$U,7,FALSE),$BH341))),0,SQRT(SUMSQ(VLOOKUP($B341&amp;"; "&amp;$H$38&amp;", "&amp;$H$39,'FE Déplacements'!$G:$U,7,FALSE),$BH341)))</f>
        <v>0.6</v>
      </c>
      <c r="BJ341" s="2277">
        <f>IF(ISNA(SQRT(SUMSQ(VLOOKUP($B341&amp;"; "&amp;$H$38&amp;", "&amp;$I$39,'FE Déplacements'!$G:$U,7,FALSE),$BH341))),0,SQRT(SUMSQ(VLOOKUP($B341&amp;"; "&amp;$H$38&amp;", "&amp;$I$39,'FE Déplacements'!$G:$U,7,FALSE),$BH341)))</f>
        <v>0.6</v>
      </c>
      <c r="BK341" s="1130">
        <f>IF(ISNA(SQRT(SUMSQ(VLOOKUP($B341&amp;"; "&amp;$H$38&amp;", "&amp;$J$39,'FE Déplacements'!$G:$U,7,FALSE),$BH341))),0,SQRT(SUMSQ(VLOOKUP($B341&amp;"; "&amp;$H$38&amp;", "&amp;$J$39,'FE Déplacements'!$G:$U,7,FALSE),$BH341)))</f>
        <v>0.6</v>
      </c>
    </row>
    <row r="342" spans="2:63" hidden="1" outlineLevel="1">
      <c r="B342" s="180" t="s">
        <v>4037</v>
      </c>
      <c r="C342" s="2264"/>
      <c r="D342" s="212">
        <f>SUM(K342:M342)</f>
        <v>0</v>
      </c>
      <c r="E342" s="212"/>
      <c r="F342" s="346"/>
      <c r="G342" s="120"/>
      <c r="H342" s="219">
        <f>IF(ISNA(VLOOKUP($B342&amp;"; "&amp;$H$38&amp;", "&amp;$H$39,'FE Déplacements'!$G:$U,9,FALSE)),0,VLOOKUP($B342&amp;"; "&amp;$H$38&amp;", "&amp;$H$39,'FE Déplacements'!$G:$U,9,FALSE))</f>
        <v>2.5600000000000001E-2</v>
      </c>
      <c r="I342" s="410">
        <f>IF(ISNA(VLOOKUP($B342&amp;"; "&amp;$H$38&amp;", "&amp;$I$39,'FE Déplacements'!$G:$U,9,FALSE)),0,VLOOKUP($B342&amp;"; "&amp;$H$38&amp;", "&amp;$I$39,'FE Déplacements'!$G:$U,9,FALSE))</f>
        <v>3.6499999999999998E-2</v>
      </c>
      <c r="J342" s="410">
        <f>IF(ISNA(VLOOKUP($B342&amp;"; "&amp;$H$38&amp;", "&amp;$J$39,'FE Déplacements'!$G:$U,9,FALSE)),0,VLOOKUP($B342&amp;"; "&amp;$H$38&amp;", "&amp;$J$39,'FE Déplacements'!$G:$U,9,FALSE))</f>
        <v>0.15</v>
      </c>
      <c r="K342" s="356">
        <f>G342*H342</f>
        <v>0</v>
      </c>
      <c r="L342" s="356">
        <f>G342*I342</f>
        <v>0</v>
      </c>
      <c r="M342" s="356">
        <f>G342*J342</f>
        <v>0</v>
      </c>
      <c r="N342" s="1286">
        <f>IF(OR(F342=Utilitaires!$I$572,F342=Utilitaires!$I$577),M342,0)</f>
        <v>0</v>
      </c>
      <c r="X342" s="1092">
        <f>IF(AD342=0,AD342,AD342/D342)</f>
        <v>0</v>
      </c>
      <c r="Y342" s="343"/>
      <c r="Z342" s="820"/>
      <c r="AA342" s="164">
        <f t="shared" si="185"/>
        <v>0</v>
      </c>
      <c r="AB342" s="164">
        <f t="shared" si="185"/>
        <v>0</v>
      </c>
      <c r="AC342" s="164">
        <f>K342*BI342</f>
        <v>0</v>
      </c>
      <c r="AD342" s="152">
        <f t="shared" ref="AD342:AD359" si="187">SQRT(SUMSQ(AA342:AC342))</f>
        <v>0</v>
      </c>
      <c r="AE342" s="165">
        <f t="shared" ref="AE342:AE343" si="188">N342*X342</f>
        <v>0</v>
      </c>
      <c r="AG342" s="564">
        <f>$G342*IF(ISNA(VLOOKUP($B342&amp;"; "&amp;$H$38&amp;", "&amp;I$39,'FE Déplacements'!$G:$U,10,FALSE)),0,VLOOKUP($B342&amp;"; "&amp;$H$38&amp;", "&amp;I$39,'FE Déplacements'!$G:$U,10,FALSE))</f>
        <v>0</v>
      </c>
      <c r="AH342" s="565">
        <f>$G342*IF(ISNA(VLOOKUP($B342&amp;"; "&amp;$H$38&amp;", "&amp;J$39,'FE Déplacements'!$G:$U,10,FALSE)),0,VLOOKUP($B342&amp;"; "&amp;$H$38&amp;", "&amp;J$39,'FE Déplacements'!$G:$U,10,FALSE))</f>
        <v>0</v>
      </c>
      <c r="AI342" s="565">
        <f>$G342*IF(ISNA(VLOOKUP($B342&amp;"; "&amp;$H$38&amp;", "&amp;H$39,'FE Déplacements'!$G:$U,10,FALSE)),0,VLOOKUP($B342&amp;"; "&amp;$H$38&amp;", "&amp;H$39,'FE Déplacements'!$G:$U,10,FALSE))</f>
        <v>0</v>
      </c>
      <c r="AJ342" s="565">
        <f>$G342*IF(ISNA((VLOOKUP($B342&amp;"; "&amp;$H$38&amp;", "&amp;I$39,'FE Déplacements'!$G:$U,12,FALSE)+VLOOKUP($B342&amp;"; "&amp;$H$38&amp;", "&amp;I$39,'FE Déplacements'!$G:$U,11,FALSE))),0,(VLOOKUP($B342&amp;"; "&amp;$H$38&amp;", "&amp;I$39,'FE Déplacements'!$G:$U,12,FALSE)+VLOOKUP($B342&amp;"; "&amp;$H$38&amp;", "&amp;I$39,'FE Déplacements'!$G:$U,11,FALSE)))</f>
        <v>0</v>
      </c>
      <c r="AK342" s="565">
        <f>$G342*IF(ISNA((VLOOKUP($B342&amp;"; "&amp;$H$38&amp;", "&amp;J$39,'FE Déplacements'!$G:$U,12,FALSE)+VLOOKUP($B342&amp;"; "&amp;$H$38&amp;", "&amp;J$39,'FE Déplacements'!$G:$U,11,FALSE))),0,(VLOOKUP($B342&amp;"; "&amp;$H$38&amp;", "&amp;J$39,'FE Déplacements'!$G:$U,12,FALSE)+VLOOKUP($B342&amp;"; "&amp;$H$38&amp;", "&amp;J$39,'FE Déplacements'!$G:$U,11,FALSE)))</f>
        <v>0</v>
      </c>
      <c r="AL342" s="565">
        <f>$G342*IF(ISNA((VLOOKUP($B342&amp;"; "&amp;$H$38&amp;", "&amp;H$39,'FE Déplacements'!$G:$U,12,FALSE)+VLOOKUP($B342&amp;"; "&amp;$H$38&amp;", "&amp;H$39,'FE Déplacements'!$G:$U,11,FALSE))),0,(VLOOKUP($B342&amp;"; "&amp;$H$38&amp;", "&amp;H$39,'FE Déplacements'!$G:$U,12,FALSE)+VLOOKUP($B342&amp;"; "&amp;$H$38&amp;", "&amp;H$39,'FE Déplacements'!$G:$U,11,FALSE)))</f>
        <v>0</v>
      </c>
      <c r="AM342" s="565">
        <f>$G342*IF(ISNA(VLOOKUP($B342&amp;"; "&amp;$H$38&amp;", "&amp;I$39,'FE Déplacements'!$G:$U,13,FALSE)),0,VLOOKUP($B342&amp;"; "&amp;$H$38&amp;", "&amp;I$39,'FE Déplacements'!$G:$U,13,FALSE))</f>
        <v>0</v>
      </c>
      <c r="AN342" s="565">
        <f>$G342*IF(ISNA(VLOOKUP($B342&amp;"; "&amp;$H$38&amp;", "&amp;J$39,'FE Déplacements'!$G:$U,13,FALSE)),0,VLOOKUP($B342&amp;"; "&amp;$H$38&amp;", "&amp;J$39,'FE Déplacements'!$G:$U,13,FALSE))</f>
        <v>0</v>
      </c>
      <c r="AO342" s="565">
        <f>$G342*IF(ISNA(VLOOKUP($B342&amp;"; "&amp;$H$38&amp;", "&amp;H$39,'FE Déplacements'!$G:$U,13,FALSE)),0,VLOOKUP($B342&amp;"; "&amp;$H$38&amp;", "&amp;H$39,'FE Déplacements'!$G:$U,13,FALSE))</f>
        <v>0</v>
      </c>
      <c r="AP342" s="565">
        <v>0</v>
      </c>
      <c r="AQ342" s="565">
        <v>0</v>
      </c>
      <c r="AR342" s="565">
        <v>0</v>
      </c>
      <c r="AS342" s="1288">
        <f t="shared" si="186"/>
        <v>0</v>
      </c>
      <c r="AT342" s="566">
        <f t="shared" si="186"/>
        <v>0</v>
      </c>
      <c r="AU342" s="566">
        <f t="shared" si="186"/>
        <v>0</v>
      </c>
      <c r="AV342" s="564">
        <f>$G342*IF(ISNA(VLOOKUP($B342&amp;"; "&amp;$H$38&amp;", "&amp;I$39,'FE Déplacements'!$G:$U,15,FALSE)),0,VLOOKUP($B342&amp;"; "&amp;$H$38&amp;", "&amp;I$39,'FE Déplacements'!$G:$U,15,FALSE))</f>
        <v>0</v>
      </c>
      <c r="AW342" s="565">
        <f>$G342*IF(ISNA(VLOOKUP($B342&amp;"; "&amp;$H$38&amp;", "&amp;J$39,'FE Déplacements'!$G:$U,15,FALSE)),0,VLOOKUP($B342&amp;"; "&amp;$H$38&amp;", "&amp;J$39,'FE Déplacements'!$G:$U,15,FALSE))</f>
        <v>0</v>
      </c>
      <c r="AX342" s="568">
        <f>$G342*IF(ISNA(VLOOKUP($B342&amp;"; "&amp;$H$38&amp;", "&amp;H$39,'FE Déplacements'!$G:$U,15,FALSE)),0,VLOOKUP($B342&amp;"; "&amp;$H$38&amp;", "&amp;H$39,'FE Déplacements'!$G:$U,15,FALSE))</f>
        <v>0</v>
      </c>
      <c r="BH342" s="2268">
        <f>IF($Y342&lt;&gt;"votre valeur :",IF(ISNA(VLOOKUP($Y342,Utilitaires!$N$566:$O$571,2,FALSE)),,VLOOKUP($Y342,Utilitaires!$N$566:$O$571,2,FALSE)),$Z342)</f>
        <v>0</v>
      </c>
      <c r="BI342" s="2277">
        <f>IF(ISNA(SQRT(SUMSQ(VLOOKUP($B342&amp;"; "&amp;$H$38&amp;", "&amp;$H$39,'FE Déplacements'!$G:$U,7,FALSE),$BH342))),0,SQRT(SUMSQ(VLOOKUP($B342&amp;"; "&amp;$H$38&amp;", "&amp;$H$39,'FE Déplacements'!$G:$U,7,FALSE),$BH342)))</f>
        <v>0.6</v>
      </c>
      <c r="BJ342" s="2277">
        <f>IF(ISNA(SQRT(SUMSQ(VLOOKUP($B342&amp;"; "&amp;$H$38&amp;", "&amp;$I$39,'FE Déplacements'!$G:$U,7,FALSE),$BH342))),0,SQRT(SUMSQ(VLOOKUP($B342&amp;"; "&amp;$H$38&amp;", "&amp;$I$39,'FE Déplacements'!$G:$U,7,FALSE),$BH342)))</f>
        <v>0.6</v>
      </c>
      <c r="BK342" s="1130">
        <f>IF(ISNA(SQRT(SUMSQ(VLOOKUP($B342&amp;"; "&amp;$H$38&amp;", "&amp;$J$39,'FE Déplacements'!$G:$U,7,FALSE),$BH342))),0,SQRT(SUMSQ(VLOOKUP($B342&amp;"; "&amp;$H$38&amp;", "&amp;$J$39,'FE Déplacements'!$G:$U,7,FALSE),$BH342)))</f>
        <v>0.6</v>
      </c>
    </row>
    <row r="343" spans="2:63" hidden="1" outlineLevel="1">
      <c r="B343" s="180" t="s">
        <v>4038</v>
      </c>
      <c r="C343" s="2264"/>
      <c r="D343" s="212">
        <f>SUM(K343:M343)</f>
        <v>0</v>
      </c>
      <c r="E343" s="212"/>
      <c r="F343" s="347"/>
      <c r="G343" s="123"/>
      <c r="H343" s="219">
        <f>IF(ISNA(VLOOKUP($B343&amp;"; "&amp;$H$38&amp;", "&amp;$H$39,'FE Déplacements'!$G:$U,9,FALSE)),0,VLOOKUP($B343&amp;"; "&amp;$H$38&amp;", "&amp;$H$39,'FE Déplacements'!$G:$U,9,FALSE))</f>
        <v>2.5600000000000001E-2</v>
      </c>
      <c r="I343" s="410">
        <f>IF(ISNA(VLOOKUP($B343&amp;"; "&amp;$H$38&amp;", "&amp;$I$39,'FE Déplacements'!$G:$U,9,FALSE)),0,VLOOKUP($B343&amp;"; "&amp;$H$38&amp;", "&amp;$I$39,'FE Déplacements'!$G:$U,9,FALSE))</f>
        <v>0</v>
      </c>
      <c r="J343" s="410">
        <f>IF(ISNA(VLOOKUP($B343&amp;"; "&amp;$H$38&amp;", "&amp;$J$39,'FE Déplacements'!$G:$U,9,FALSE)),0,VLOOKUP($B343&amp;"; "&amp;$H$38&amp;", "&amp;$J$39,'FE Déplacements'!$G:$U,9,FALSE))</f>
        <v>0.192</v>
      </c>
      <c r="K343" s="356">
        <f>G343*H343</f>
        <v>0</v>
      </c>
      <c r="L343" s="356">
        <f>G343*I343</f>
        <v>0</v>
      </c>
      <c r="M343" s="356">
        <f>G343*J343</f>
        <v>0</v>
      </c>
      <c r="N343" s="1286">
        <f>IF(OR(F343=Utilitaires!$I$572,F343=Utilitaires!$I$577),M343,0)</f>
        <v>0</v>
      </c>
      <c r="X343" s="1092">
        <f>IF(AD343=0,AD343,AD343/D343)</f>
        <v>0</v>
      </c>
      <c r="Y343" s="343"/>
      <c r="Z343" s="820"/>
      <c r="AA343" s="164">
        <f t="shared" si="185"/>
        <v>0</v>
      </c>
      <c r="AB343" s="164">
        <f t="shared" si="185"/>
        <v>0</v>
      </c>
      <c r="AC343" s="164">
        <f>K343*BI343</f>
        <v>0</v>
      </c>
      <c r="AD343" s="152">
        <f t="shared" si="187"/>
        <v>0</v>
      </c>
      <c r="AE343" s="165">
        <f t="shared" si="188"/>
        <v>0</v>
      </c>
      <c r="AG343" s="564">
        <f>$G343*IF(ISNA(VLOOKUP($B343&amp;"; "&amp;$H$38&amp;", "&amp;I$39,'FE Déplacements'!$G:$U,10,FALSE)),0,VLOOKUP($B343&amp;"; "&amp;$H$38&amp;", "&amp;I$39,'FE Déplacements'!$G:$U,10,FALSE))</f>
        <v>0</v>
      </c>
      <c r="AH343" s="565">
        <f>$G343*IF(ISNA(VLOOKUP($B343&amp;"; "&amp;$H$38&amp;", "&amp;J$39,'FE Déplacements'!$G:$U,10,FALSE)),0,VLOOKUP($B343&amp;"; "&amp;$H$38&amp;", "&amp;J$39,'FE Déplacements'!$G:$U,10,FALSE))</f>
        <v>0</v>
      </c>
      <c r="AI343" s="565">
        <f>$G343*IF(ISNA(VLOOKUP($B343&amp;"; "&amp;$H$38&amp;", "&amp;H$39,'FE Déplacements'!$G:$U,10,FALSE)),0,VLOOKUP($B343&amp;"; "&amp;$H$38&amp;", "&amp;H$39,'FE Déplacements'!$G:$U,10,FALSE))</f>
        <v>0</v>
      </c>
      <c r="AJ343" s="565">
        <f>$G343*IF(ISNA((VLOOKUP($B343&amp;"; "&amp;$H$38&amp;", "&amp;I$39,'FE Déplacements'!$G:$U,12,FALSE)+VLOOKUP($B343&amp;"; "&amp;$H$38&amp;", "&amp;I$39,'FE Déplacements'!$G:$U,11,FALSE))),0,(VLOOKUP($B343&amp;"; "&amp;$H$38&amp;", "&amp;I$39,'FE Déplacements'!$G:$U,12,FALSE)+VLOOKUP($B343&amp;"; "&amp;$H$38&amp;", "&amp;I$39,'FE Déplacements'!$G:$U,11,FALSE)))</f>
        <v>0</v>
      </c>
      <c r="AK343" s="565">
        <f>$G343*IF(ISNA((VLOOKUP($B343&amp;"; "&amp;$H$38&amp;", "&amp;J$39,'FE Déplacements'!$G:$U,12,FALSE)+VLOOKUP($B343&amp;"; "&amp;$H$38&amp;", "&amp;J$39,'FE Déplacements'!$G:$U,11,FALSE))),0,(VLOOKUP($B343&amp;"; "&amp;$H$38&amp;", "&amp;J$39,'FE Déplacements'!$G:$U,12,FALSE)+VLOOKUP($B343&amp;"; "&amp;$H$38&amp;", "&amp;J$39,'FE Déplacements'!$G:$U,11,FALSE)))</f>
        <v>0</v>
      </c>
      <c r="AL343" s="565">
        <f>$G343*IF(ISNA((VLOOKUP($B343&amp;"; "&amp;$H$38&amp;", "&amp;H$39,'FE Déplacements'!$G:$U,12,FALSE)+VLOOKUP($B343&amp;"; "&amp;$H$38&amp;", "&amp;H$39,'FE Déplacements'!$G:$U,11,FALSE))),0,(VLOOKUP($B343&amp;"; "&amp;$H$38&amp;", "&amp;H$39,'FE Déplacements'!$G:$U,12,FALSE)+VLOOKUP($B343&amp;"; "&amp;$H$38&amp;", "&amp;H$39,'FE Déplacements'!$G:$U,11,FALSE)))</f>
        <v>0</v>
      </c>
      <c r="AM343" s="565">
        <f>$G343*IF(ISNA(VLOOKUP($B343&amp;"; "&amp;$H$38&amp;", "&amp;I$39,'FE Déplacements'!$G:$U,13,FALSE)),0,VLOOKUP($B343&amp;"; "&amp;$H$38&amp;", "&amp;I$39,'FE Déplacements'!$G:$U,13,FALSE))</f>
        <v>0</v>
      </c>
      <c r="AN343" s="565">
        <f>$G343*IF(ISNA(VLOOKUP($B343&amp;"; "&amp;$H$38&amp;", "&amp;J$39,'FE Déplacements'!$G:$U,13,FALSE)),0,VLOOKUP($B343&amp;"; "&amp;$H$38&amp;", "&amp;J$39,'FE Déplacements'!$G:$U,13,FALSE))</f>
        <v>0</v>
      </c>
      <c r="AO343" s="565">
        <f>$G343*IF(ISNA(VLOOKUP($B343&amp;"; "&amp;$H$38&amp;", "&amp;H$39,'FE Déplacements'!$G:$U,13,FALSE)),0,VLOOKUP($B343&amp;"; "&amp;$H$38&amp;", "&amp;H$39,'FE Déplacements'!$G:$U,13,FALSE))</f>
        <v>0</v>
      </c>
      <c r="AP343" s="565">
        <v>0</v>
      </c>
      <c r="AQ343" s="565">
        <v>0</v>
      </c>
      <c r="AR343" s="565">
        <v>0</v>
      </c>
      <c r="AS343" s="1288">
        <f t="shared" si="186"/>
        <v>0</v>
      </c>
      <c r="AT343" s="566">
        <f t="shared" si="186"/>
        <v>0</v>
      </c>
      <c r="AU343" s="566">
        <f t="shared" si="186"/>
        <v>0</v>
      </c>
      <c r="AV343" s="564">
        <f>$G343*IF(ISNA(VLOOKUP($B343&amp;"; "&amp;$H$38&amp;", "&amp;I$39,'FE Déplacements'!$G:$U,15,FALSE)),0,VLOOKUP($B343&amp;"; "&amp;$H$38&amp;", "&amp;I$39,'FE Déplacements'!$G:$U,15,FALSE))</f>
        <v>0</v>
      </c>
      <c r="AW343" s="565">
        <f>$G343*IF(ISNA(VLOOKUP($B343&amp;"; "&amp;$H$38&amp;", "&amp;J$39,'FE Déplacements'!$G:$U,15,FALSE)),0,VLOOKUP($B343&amp;"; "&amp;$H$38&amp;", "&amp;J$39,'FE Déplacements'!$G:$U,15,FALSE))</f>
        <v>0</v>
      </c>
      <c r="AX343" s="568">
        <f>$G343*IF(ISNA(VLOOKUP($B343&amp;"; "&amp;$H$38&amp;", "&amp;H$39,'FE Déplacements'!$G:$U,15,FALSE)),0,VLOOKUP($B343&amp;"; "&amp;$H$38&amp;", "&amp;H$39,'FE Déplacements'!$G:$U,15,FALSE))</f>
        <v>0</v>
      </c>
      <c r="BH343" s="2268">
        <f>IF($Y343&lt;&gt;"votre valeur :",IF(ISNA(VLOOKUP($Y343,Utilitaires!$N$566:$O$571,2,FALSE)),,VLOOKUP($Y343,Utilitaires!$N$566:$O$571,2,FALSE)),$Z343)</f>
        <v>0</v>
      </c>
      <c r="BI343" s="2277">
        <f>IF(ISNA(SQRT(SUMSQ(VLOOKUP($B343&amp;"; "&amp;$H$38&amp;", "&amp;$H$39,'FE Déplacements'!$G:$U,7,FALSE),$BH343))),0,SQRT(SUMSQ(VLOOKUP($B343&amp;"; "&amp;$H$38&amp;", "&amp;$H$39,'FE Déplacements'!$G:$U,7,FALSE),$BH343)))</f>
        <v>0.6</v>
      </c>
      <c r="BJ343" s="2277">
        <f>IF(ISNA(SQRT(SUMSQ(VLOOKUP($B343&amp;"; "&amp;$H$38&amp;", "&amp;$I$39,'FE Déplacements'!$G:$U,7,FALSE),$BH343))),0,SQRT(SUMSQ(VLOOKUP($B343&amp;"; "&amp;$H$38&amp;", "&amp;$I$39,'FE Déplacements'!$G:$U,7,FALSE),$BH343)))</f>
        <v>0</v>
      </c>
      <c r="BK343" s="1130">
        <f>IF(ISNA(SQRT(SUMSQ(VLOOKUP($B343&amp;"; "&amp;$H$38&amp;", "&amp;$J$39,'FE Déplacements'!$G:$U,7,FALSE),$BH343))),0,SQRT(SUMSQ(VLOOKUP($B343&amp;"; "&amp;$H$38&amp;", "&amp;$J$39,'FE Déplacements'!$G:$U,7,FALSE),$BH343)))</f>
        <v>0.6</v>
      </c>
    </row>
    <row r="344" spans="2:63" hidden="1" outlineLevel="1">
      <c r="B344" s="180"/>
      <c r="C344" s="2264"/>
      <c r="D344" s="212"/>
      <c r="E344" s="212"/>
      <c r="F344" s="212"/>
      <c r="G344" s="212"/>
      <c r="H344" s="410"/>
      <c r="I344" s="410"/>
      <c r="J344" s="410"/>
      <c r="K344" s="356"/>
      <c r="L344" s="356"/>
      <c r="M344" s="356"/>
      <c r="N344" s="1286"/>
      <c r="X344" s="1092"/>
      <c r="Y344" s="1094"/>
      <c r="Z344" s="820"/>
      <c r="AA344" s="164">
        <f t="shared" si="185"/>
        <v>0</v>
      </c>
      <c r="AB344" s="164">
        <f t="shared" si="185"/>
        <v>0</v>
      </c>
      <c r="AC344" s="164">
        <f>K344*BI344</f>
        <v>0</v>
      </c>
      <c r="AD344" s="152">
        <f t="shared" si="187"/>
        <v>0</v>
      </c>
      <c r="AE344" s="165"/>
      <c r="AG344" s="564"/>
      <c r="AH344" s="565"/>
      <c r="AI344" s="565"/>
      <c r="AJ344" s="565"/>
      <c r="AK344" s="565"/>
      <c r="AL344" s="565"/>
      <c r="AM344" s="565"/>
      <c r="AN344" s="565"/>
      <c r="AO344" s="565"/>
      <c r="AP344" s="565"/>
      <c r="AQ344" s="565"/>
      <c r="AR344" s="565"/>
      <c r="AS344" s="1288"/>
      <c r="AT344" s="566"/>
      <c r="AU344" s="566"/>
      <c r="AV344" s="564"/>
      <c r="AW344" s="565"/>
      <c r="AX344" s="568"/>
      <c r="BH344" s="2268"/>
      <c r="BI344" s="2277"/>
      <c r="BJ344" s="2277"/>
      <c r="BK344" s="1130"/>
    </row>
    <row r="345" spans="2:63" hidden="1" outlineLevel="1">
      <c r="B345" s="536" t="s">
        <v>4039</v>
      </c>
      <c r="C345" s="2264"/>
      <c r="D345" s="212"/>
      <c r="E345" s="212"/>
      <c r="F345" s="212"/>
      <c r="G345" s="212"/>
      <c r="H345" s="410"/>
      <c r="I345" s="410"/>
      <c r="J345" s="410"/>
      <c r="K345" s="356"/>
      <c r="L345" s="356"/>
      <c r="M345" s="356"/>
      <c r="N345" s="1286"/>
      <c r="X345" s="1092"/>
      <c r="Y345" s="820"/>
      <c r="Z345" s="820"/>
      <c r="AA345" s="164"/>
      <c r="AB345" s="164"/>
      <c r="AC345" s="164"/>
      <c r="AD345" s="152"/>
      <c r="AE345" s="165"/>
      <c r="AG345" s="564"/>
      <c r="AH345" s="565"/>
      <c r="AI345" s="565"/>
      <c r="AJ345" s="565"/>
      <c r="AK345" s="565"/>
      <c r="AL345" s="565"/>
      <c r="AM345" s="565"/>
      <c r="AN345" s="565"/>
      <c r="AO345" s="565"/>
      <c r="AP345" s="565"/>
      <c r="AQ345" s="565"/>
      <c r="AR345" s="565"/>
      <c r="AS345" s="1288"/>
      <c r="AT345" s="566"/>
      <c r="AU345" s="566"/>
      <c r="AV345" s="564"/>
      <c r="AW345" s="565"/>
      <c r="AX345" s="568"/>
      <c r="BH345" s="2268"/>
      <c r="BI345" s="2277"/>
      <c r="BJ345" s="2277"/>
      <c r="BK345" s="1130"/>
    </row>
    <row r="346" spans="2:63" hidden="1" outlineLevel="1">
      <c r="B346" s="180" t="s">
        <v>4116</v>
      </c>
      <c r="C346" s="2264"/>
      <c r="D346" s="212">
        <f t="shared" ref="D346:D359" si="189">SUM(K346:M346)</f>
        <v>0</v>
      </c>
      <c r="E346" s="212"/>
      <c r="F346" s="409"/>
      <c r="G346" s="117"/>
      <c r="H346" s="410">
        <f>IF(ISNA(VLOOKUP($B346&amp;"; "&amp;$H$38&amp;", "&amp;$H$39,'FE Déplacements'!$G:$U,9,FALSE)),0,VLOOKUP($B346&amp;"; "&amp;$H$38&amp;", "&amp;$H$39,'FE Déplacements'!$G:$U,9,FALSE))</f>
        <v>0</v>
      </c>
      <c r="I346" s="410">
        <f>IF(ISNA(VLOOKUP($B346&amp;"; "&amp;$H$38&amp;", "&amp;$I$39,'FE Déplacements'!$G:$U,9,FALSE)),0,VLOOKUP($B346&amp;"; "&amp;$H$38&amp;", "&amp;$I$39,'FE Déplacements'!$G:$U,9,FALSE))</f>
        <v>0</v>
      </c>
      <c r="J346" s="410">
        <f>IF(ISNA(VLOOKUP($B346&amp;"; "&amp;$H$38&amp;", "&amp;$J$39,'FE Déplacements'!$G:$U,9,FALSE)),0,VLOOKUP($B346&amp;"; "&amp;$H$38&amp;", "&amp;$J$39,'FE Déplacements'!$G:$U,9,FALSE))</f>
        <v>0</v>
      </c>
      <c r="K346" s="356">
        <f t="shared" ref="K346:K350" si="190">G346*H346</f>
        <v>0</v>
      </c>
      <c r="L346" s="356">
        <f t="shared" ref="L346:L350" si="191">G346*I346</f>
        <v>0</v>
      </c>
      <c r="M346" s="356">
        <f t="shared" ref="M346:M350" si="192">G346*J346</f>
        <v>0</v>
      </c>
      <c r="N346" s="1286">
        <f>IF(OR(F346=Utilitaires!$I$572,F346=Utilitaires!$I$577),M346,0)</f>
        <v>0</v>
      </c>
      <c r="X346" s="1092">
        <f t="shared" ref="X346:X349" si="193">IF(AD346=0,AD346,AD346/D346)</f>
        <v>0</v>
      </c>
      <c r="Y346" s="343"/>
      <c r="Z346" s="820"/>
      <c r="AA346" s="164">
        <f t="shared" ref="AA346:AB349" si="194">L346*BJ346</f>
        <v>0</v>
      </c>
      <c r="AB346" s="164">
        <f t="shared" si="194"/>
        <v>0</v>
      </c>
      <c r="AC346" s="164">
        <f>K346*BI346</f>
        <v>0</v>
      </c>
      <c r="AD346" s="152">
        <f t="shared" si="187"/>
        <v>0</v>
      </c>
      <c r="AE346" s="165">
        <f t="shared" ref="AE346:AE359" si="195">N346*X346</f>
        <v>0</v>
      </c>
      <c r="AG346" s="564">
        <f>$G346*IF(ISNA(VLOOKUP($B346&amp;"; "&amp;$H$38&amp;", "&amp;I$39,'FE Déplacements'!$G:$U,10,FALSE)),0,VLOOKUP($B346&amp;"; "&amp;$H$38&amp;", "&amp;I$39,'FE Déplacements'!$G:$U,10,FALSE))</f>
        <v>0</v>
      </c>
      <c r="AH346" s="565">
        <f>$G346*IF(ISNA(VLOOKUP($B346&amp;"; "&amp;$H$38&amp;", "&amp;J$39,'FE Déplacements'!$G:$U,10,FALSE)),0,VLOOKUP($B346&amp;"; "&amp;$H$38&amp;", "&amp;J$39,'FE Déplacements'!$G:$U,10,FALSE))</f>
        <v>0</v>
      </c>
      <c r="AI346" s="565">
        <f>$G346*IF(ISNA(VLOOKUP($B346&amp;"; "&amp;$H$38&amp;", "&amp;H$39,'FE Déplacements'!$G:$U,10,FALSE)),0,VLOOKUP($B346&amp;"; "&amp;$H$38&amp;", "&amp;H$39,'FE Déplacements'!$G:$U,10,FALSE))</f>
        <v>0</v>
      </c>
      <c r="AJ346" s="565">
        <f>$G346*IF(ISNA((VLOOKUP($B346&amp;"; "&amp;$H$38&amp;", "&amp;I$39,'FE Déplacements'!$G:$U,12,FALSE)+VLOOKUP($B346&amp;"; "&amp;$H$38&amp;", "&amp;I$39,'FE Déplacements'!$G:$U,11,FALSE))),0,(VLOOKUP($B346&amp;"; "&amp;$H$38&amp;", "&amp;I$39,'FE Déplacements'!$G:$U,12,FALSE)+VLOOKUP($B346&amp;"; "&amp;$H$38&amp;", "&amp;I$39,'FE Déplacements'!$G:$U,11,FALSE)))</f>
        <v>0</v>
      </c>
      <c r="AK346" s="565">
        <f>$G346*IF(ISNA((VLOOKUP($B346&amp;"; "&amp;$H$38&amp;", "&amp;J$39,'FE Déplacements'!$G:$U,12,FALSE)+VLOOKUP($B346&amp;"; "&amp;$H$38&amp;", "&amp;J$39,'FE Déplacements'!$G:$U,11,FALSE))),0,(VLOOKUP($B346&amp;"; "&amp;$H$38&amp;", "&amp;J$39,'FE Déplacements'!$G:$U,12,FALSE)+VLOOKUP($B346&amp;"; "&amp;$H$38&amp;", "&amp;J$39,'FE Déplacements'!$G:$U,11,FALSE)))</f>
        <v>0</v>
      </c>
      <c r="AL346" s="565">
        <f>$G346*IF(ISNA((VLOOKUP($B346&amp;"; "&amp;$H$38&amp;", "&amp;H$39,'FE Déplacements'!$G:$U,12,FALSE)+VLOOKUP($B346&amp;"; "&amp;$H$38&amp;", "&amp;H$39,'FE Déplacements'!$G:$U,11,FALSE))),0,(VLOOKUP($B346&amp;"; "&amp;$H$38&amp;", "&amp;H$39,'FE Déplacements'!$G:$U,12,FALSE)+VLOOKUP($B346&amp;"; "&amp;$H$38&amp;", "&amp;H$39,'FE Déplacements'!$G:$U,11,FALSE)))</f>
        <v>0</v>
      </c>
      <c r="AM346" s="565">
        <f>$G346*IF(ISNA(VLOOKUP($B346&amp;"; "&amp;$H$38&amp;", "&amp;I$39,'FE Déplacements'!$G:$U,13,FALSE)),0,VLOOKUP($B346&amp;"; "&amp;$H$38&amp;", "&amp;I$39,'FE Déplacements'!$G:$U,13,FALSE))</f>
        <v>0</v>
      </c>
      <c r="AN346" s="565">
        <f>$G346*IF(ISNA(VLOOKUP($B346&amp;"; "&amp;$H$38&amp;", "&amp;J$39,'FE Déplacements'!$G:$U,13,FALSE)),0,VLOOKUP($B346&amp;"; "&amp;$H$38&amp;", "&amp;J$39,'FE Déplacements'!$G:$U,13,FALSE))</f>
        <v>0</v>
      </c>
      <c r="AO346" s="565">
        <f>$G346*IF(ISNA(VLOOKUP($B346&amp;"; "&amp;$H$38&amp;", "&amp;H$39,'FE Déplacements'!$G:$U,13,FALSE)),0,VLOOKUP($B346&amp;"; "&amp;$H$38&amp;", "&amp;H$39,'FE Déplacements'!$G:$U,13,FALSE))</f>
        <v>0</v>
      </c>
      <c r="AP346" s="565">
        <v>0</v>
      </c>
      <c r="AQ346" s="565">
        <v>0</v>
      </c>
      <c r="AR346" s="565">
        <v>0</v>
      </c>
      <c r="AS346" s="1288">
        <f t="shared" ref="AS346:AU350" si="196">SUM(AG346,AJ346,AM346,AP346)</f>
        <v>0</v>
      </c>
      <c r="AT346" s="566">
        <f t="shared" si="196"/>
        <v>0</v>
      </c>
      <c r="AU346" s="566">
        <f t="shared" si="196"/>
        <v>0</v>
      </c>
      <c r="AV346" s="564">
        <f>$G346*IF(ISNA(VLOOKUP($B346&amp;"; "&amp;$H$38&amp;", "&amp;I$39,'FE Déplacements'!$G:$U,15,FALSE)),0,VLOOKUP($B346&amp;"; "&amp;$H$38&amp;", "&amp;I$39,'FE Déplacements'!$G:$U,15,FALSE))</f>
        <v>0</v>
      </c>
      <c r="AW346" s="565">
        <f>$G346*IF(ISNA(VLOOKUP($B346&amp;"; "&amp;$H$38&amp;", "&amp;J$39,'FE Déplacements'!$G:$U,15,FALSE)),0,VLOOKUP($B346&amp;"; "&amp;$H$38&amp;", "&amp;J$39,'FE Déplacements'!$G:$U,15,FALSE))</f>
        <v>0</v>
      </c>
      <c r="AX346" s="568">
        <f>$G346*IF(ISNA(VLOOKUP($B346&amp;"; "&amp;$H$38&amp;", "&amp;H$39,'FE Déplacements'!$G:$U,15,FALSE)),0,VLOOKUP($B346&amp;"; "&amp;$H$38&amp;", "&amp;H$39,'FE Déplacements'!$G:$U,15,FALSE))</f>
        <v>0</v>
      </c>
      <c r="BH346" s="2268">
        <f>IF($Y346&lt;&gt;"votre valeur :",IF(ISNA(VLOOKUP($Y346,Utilitaires!$N$566:$O$571,2,FALSE)),,VLOOKUP($Y346,Utilitaires!$N$566:$O$571,2,FALSE)),$Z346)</f>
        <v>0</v>
      </c>
      <c r="BI346" s="2277">
        <f>IF(ISNA(SQRT(SUMSQ(VLOOKUP($B346&amp;"; "&amp;$H$38&amp;", "&amp;$H$39,'FE Déplacements'!$G:$U,7,FALSE),$BH346))),0,SQRT(SUMSQ(VLOOKUP($B346&amp;"; "&amp;$H$38&amp;", "&amp;$H$39,'FE Déplacements'!$G:$U,7,FALSE),$BH346)))</f>
        <v>0</v>
      </c>
      <c r="BJ346" s="2277">
        <f>IF(ISNA(SQRT(SUMSQ(VLOOKUP($B346&amp;"; "&amp;$H$38&amp;", "&amp;$I$39,'FE Déplacements'!$G:$U,7,FALSE),$BH346))),0,SQRT(SUMSQ(VLOOKUP($B346&amp;"; "&amp;$H$38&amp;", "&amp;$I$39,'FE Déplacements'!$G:$U,7,FALSE),$BH346)))</f>
        <v>0</v>
      </c>
      <c r="BK346" s="1130">
        <f>IF(ISNA(SQRT(SUMSQ(VLOOKUP($B346&amp;"; "&amp;$H$38&amp;", "&amp;$J$39,'FE Déplacements'!$G:$U,7,FALSE),$BH346))),0,SQRT(SUMSQ(VLOOKUP($B346&amp;"; "&amp;$H$38&amp;", "&amp;$J$39,'FE Déplacements'!$G:$U,7,FALSE),$BH346)))</f>
        <v>0</v>
      </c>
    </row>
    <row r="347" spans="2:63" hidden="1" outlineLevel="1">
      <c r="B347" s="180" t="s">
        <v>4041</v>
      </c>
      <c r="C347" s="2264"/>
      <c r="D347" s="212">
        <f t="shared" si="189"/>
        <v>0</v>
      </c>
      <c r="E347" s="212"/>
      <c r="F347" s="530"/>
      <c r="G347" s="398"/>
      <c r="H347" s="410">
        <f>IF(ISNA(VLOOKUP($B347&amp;"; "&amp;$H$38&amp;", "&amp;$H$39,'FE Déplacements'!$G:$U,9,FALSE)),0,VLOOKUP($B347&amp;"; "&amp;$H$38&amp;", "&amp;$H$39,'FE Déplacements'!$G:$U,9,FALSE))</f>
        <v>5.62E-2</v>
      </c>
      <c r="I347" s="410">
        <f>IF(ISNA(VLOOKUP($B347&amp;"; "&amp;$H$38&amp;", "&amp;$I$39,'FE Déplacements'!$G:$U,9,FALSE)),0,VLOOKUP($B347&amp;"; "&amp;$H$38&amp;", "&amp;$I$39,'FE Déplacements'!$G:$U,9,FALSE))</f>
        <v>1.72E-2</v>
      </c>
      <c r="J347" s="410">
        <f>IF(ISNA(VLOOKUP($B347&amp;"; "&amp;$H$38&amp;", "&amp;$J$39,'FE Déplacements'!$G:$U,9,FALSE)),0,VLOOKUP($B347&amp;"; "&amp;$H$38&amp;", "&amp;$J$39,'FE Déplacements'!$G:$U,9,FALSE))</f>
        <v>0</v>
      </c>
      <c r="K347" s="356">
        <f t="shared" si="190"/>
        <v>0</v>
      </c>
      <c r="L347" s="356">
        <f t="shared" si="191"/>
        <v>0</v>
      </c>
      <c r="M347" s="356">
        <f t="shared" si="192"/>
        <v>0</v>
      </c>
      <c r="N347" s="1286">
        <f>IF(OR(F347=Utilitaires!$I$572,F347=Utilitaires!$I$577),M347,0)</f>
        <v>0</v>
      </c>
      <c r="X347" s="1092">
        <f t="shared" si="193"/>
        <v>0</v>
      </c>
      <c r="Y347" s="343"/>
      <c r="Z347" s="820"/>
      <c r="AA347" s="164">
        <f t="shared" si="194"/>
        <v>0</v>
      </c>
      <c r="AB347" s="164">
        <f t="shared" si="194"/>
        <v>0</v>
      </c>
      <c r="AC347" s="164">
        <f>K347*BI347</f>
        <v>0</v>
      </c>
      <c r="AD347" s="152">
        <f t="shared" si="187"/>
        <v>0</v>
      </c>
      <c r="AE347" s="165">
        <f t="shared" si="195"/>
        <v>0</v>
      </c>
      <c r="AG347" s="564">
        <f>$G347*IF(ISNA(VLOOKUP($B347&amp;"; "&amp;$H$38&amp;", "&amp;I$39,'FE Déplacements'!$G:$U,10,FALSE)),0,VLOOKUP($B347&amp;"; "&amp;$H$38&amp;", "&amp;I$39,'FE Déplacements'!$G:$U,10,FALSE))</f>
        <v>0</v>
      </c>
      <c r="AH347" s="565">
        <f>$G347*IF(ISNA(VLOOKUP($B347&amp;"; "&amp;$H$38&amp;", "&amp;J$39,'FE Déplacements'!$G:$U,10,FALSE)),0,VLOOKUP($B347&amp;"; "&amp;$H$38&amp;", "&amp;J$39,'FE Déplacements'!$G:$U,10,FALSE))</f>
        <v>0</v>
      </c>
      <c r="AI347" s="565">
        <f>$G347*IF(ISNA(VLOOKUP($B347&amp;"; "&amp;$H$38&amp;", "&amp;H$39,'FE Déplacements'!$G:$U,10,FALSE)),0,VLOOKUP($B347&amp;"; "&amp;$H$38&amp;", "&amp;H$39,'FE Déplacements'!$G:$U,10,FALSE))</f>
        <v>0</v>
      </c>
      <c r="AJ347" s="565">
        <f>$G347*IF(ISNA((VLOOKUP($B347&amp;"; "&amp;$H$38&amp;", "&amp;I$39,'FE Déplacements'!$G:$U,12,FALSE)+VLOOKUP($B347&amp;"; "&amp;$H$38&amp;", "&amp;I$39,'FE Déplacements'!$G:$U,11,FALSE))),0,(VLOOKUP($B347&amp;"; "&amp;$H$38&amp;", "&amp;I$39,'FE Déplacements'!$G:$U,12,FALSE)+VLOOKUP($B347&amp;"; "&amp;$H$38&amp;", "&amp;I$39,'FE Déplacements'!$G:$U,11,FALSE)))</f>
        <v>0</v>
      </c>
      <c r="AK347" s="565">
        <f>$G347*IF(ISNA((VLOOKUP($B347&amp;"; "&amp;$H$38&amp;", "&amp;J$39,'FE Déplacements'!$G:$U,12,FALSE)+VLOOKUP($B347&amp;"; "&amp;$H$38&amp;", "&amp;J$39,'FE Déplacements'!$G:$U,11,FALSE))),0,(VLOOKUP($B347&amp;"; "&amp;$H$38&amp;", "&amp;J$39,'FE Déplacements'!$G:$U,12,FALSE)+VLOOKUP($B347&amp;"; "&amp;$H$38&amp;", "&amp;J$39,'FE Déplacements'!$G:$U,11,FALSE)))</f>
        <v>0</v>
      </c>
      <c r="AL347" s="565">
        <f>$G347*IF(ISNA((VLOOKUP($B347&amp;"; "&amp;$H$38&amp;", "&amp;H$39,'FE Déplacements'!$G:$U,12,FALSE)+VLOOKUP($B347&amp;"; "&amp;$H$38&amp;", "&amp;H$39,'FE Déplacements'!$G:$U,11,FALSE))),0,(VLOOKUP($B347&amp;"; "&amp;$H$38&amp;", "&amp;H$39,'FE Déplacements'!$G:$U,12,FALSE)+VLOOKUP($B347&amp;"; "&amp;$H$38&amp;", "&amp;H$39,'FE Déplacements'!$G:$U,11,FALSE)))</f>
        <v>0</v>
      </c>
      <c r="AM347" s="565">
        <f>$G347*IF(ISNA(VLOOKUP($B347&amp;"; "&amp;$H$38&amp;", "&amp;I$39,'FE Déplacements'!$G:$U,13,FALSE)),0,VLOOKUP($B347&amp;"; "&amp;$H$38&amp;", "&amp;I$39,'FE Déplacements'!$G:$U,13,FALSE))</f>
        <v>0</v>
      </c>
      <c r="AN347" s="565">
        <f>$G347*IF(ISNA(VLOOKUP($B347&amp;"; "&amp;$H$38&amp;", "&amp;J$39,'FE Déplacements'!$G:$U,13,FALSE)),0,VLOOKUP($B347&amp;"; "&amp;$H$38&amp;", "&amp;J$39,'FE Déplacements'!$G:$U,13,FALSE))</f>
        <v>0</v>
      </c>
      <c r="AO347" s="565">
        <f>$G347*IF(ISNA(VLOOKUP($B347&amp;"; "&amp;$H$38&amp;", "&amp;H$39,'FE Déplacements'!$G:$U,13,FALSE)),0,VLOOKUP($B347&amp;"; "&amp;$H$38&amp;", "&amp;H$39,'FE Déplacements'!$G:$U,13,FALSE))</f>
        <v>0</v>
      </c>
      <c r="AP347" s="565">
        <v>0</v>
      </c>
      <c r="AQ347" s="565">
        <v>0</v>
      </c>
      <c r="AR347" s="565">
        <v>0</v>
      </c>
      <c r="AS347" s="1288">
        <f t="shared" si="196"/>
        <v>0</v>
      </c>
      <c r="AT347" s="566">
        <f t="shared" si="196"/>
        <v>0</v>
      </c>
      <c r="AU347" s="566">
        <f t="shared" si="196"/>
        <v>0</v>
      </c>
      <c r="AV347" s="564">
        <f>$G347*IF(ISNA(VLOOKUP($B347&amp;"; "&amp;$H$38&amp;", "&amp;I$39,'FE Déplacements'!$G:$U,15,FALSE)),0,VLOOKUP($B347&amp;"; "&amp;$H$38&amp;", "&amp;I$39,'FE Déplacements'!$G:$U,15,FALSE))</f>
        <v>0</v>
      </c>
      <c r="AW347" s="565">
        <f>$G347*IF(ISNA(VLOOKUP($B347&amp;"; "&amp;$H$38&amp;", "&amp;J$39,'FE Déplacements'!$G:$U,15,FALSE)),0,VLOOKUP($B347&amp;"; "&amp;$H$38&amp;", "&amp;J$39,'FE Déplacements'!$G:$U,15,FALSE))</f>
        <v>0</v>
      </c>
      <c r="AX347" s="568">
        <f>$G347*IF(ISNA(VLOOKUP($B347&amp;"; "&amp;$H$38&amp;", "&amp;H$39,'FE Déplacements'!$G:$U,15,FALSE)),0,VLOOKUP($B347&amp;"; "&amp;$H$38&amp;", "&amp;H$39,'FE Déplacements'!$G:$U,15,FALSE))</f>
        <v>0</v>
      </c>
      <c r="BH347" s="2268">
        <f>IF($Y347&lt;&gt;"votre valeur :",IF(ISNA(VLOOKUP($Y347,Utilitaires!$N$566:$O$571,2,FALSE)),,VLOOKUP($Y347,Utilitaires!$N$566:$O$571,2,FALSE)),$Z347)</f>
        <v>0</v>
      </c>
      <c r="BI347" s="2277">
        <f>IF(ISNA(SQRT(SUMSQ(VLOOKUP($B347&amp;"; "&amp;$H$38&amp;", "&amp;$H$39,'FE Déplacements'!$G:$U,7,FALSE),$BH347))),0,SQRT(SUMSQ(VLOOKUP($B347&amp;"; "&amp;$H$38&amp;", "&amp;$H$39,'FE Déplacements'!$G:$U,7,FALSE),$BH347)))</f>
        <v>0.7</v>
      </c>
      <c r="BJ347" s="2277">
        <f>IF(ISNA(SQRT(SUMSQ(VLOOKUP($B347&amp;"; "&amp;$H$38&amp;", "&amp;$I$39,'FE Déplacements'!$G:$U,7,FALSE),$BH347))),0,SQRT(SUMSQ(VLOOKUP($B347&amp;"; "&amp;$H$38&amp;", "&amp;$I$39,'FE Déplacements'!$G:$U,7,FALSE),$BH347)))</f>
        <v>0.7</v>
      </c>
      <c r="BK347" s="1130">
        <f>IF(ISNA(SQRT(SUMSQ(VLOOKUP($B347&amp;"; "&amp;$H$38&amp;", "&amp;$J$39,'FE Déplacements'!$G:$U,7,FALSE),$BH347))),0,SQRT(SUMSQ(VLOOKUP($B347&amp;"; "&amp;$H$38&amp;", "&amp;$J$39,'FE Déplacements'!$G:$U,7,FALSE),$BH347)))</f>
        <v>0.7</v>
      </c>
    </row>
    <row r="348" spans="2:63" hidden="1" outlineLevel="1">
      <c r="B348" s="180" t="s">
        <v>4042</v>
      </c>
      <c r="C348" s="2264"/>
      <c r="D348" s="212">
        <f t="shared" si="189"/>
        <v>0</v>
      </c>
      <c r="E348" s="212"/>
      <c r="F348" s="530"/>
      <c r="G348" s="398"/>
      <c r="H348" s="410">
        <f>IF(ISNA(VLOOKUP($B348&amp;"; "&amp;$H$38&amp;", "&amp;$H$39,'FE Déplacements'!$G:$U,9,FALSE)),0,VLOOKUP($B348&amp;"; "&amp;$H$38&amp;", "&amp;$H$39,'FE Déplacements'!$G:$U,9,FALSE))</f>
        <v>5.7299999999999997E-2</v>
      </c>
      <c r="I348" s="410">
        <f>IF(ISNA(VLOOKUP($B348&amp;"; "&amp;$H$38&amp;", "&amp;$I$39,'FE Déplacements'!$G:$U,9,FALSE)),0,VLOOKUP($B348&amp;"; "&amp;$H$38&amp;", "&amp;$I$39,'FE Déplacements'!$G:$U,9,FALSE))</f>
        <v>1.44E-2</v>
      </c>
      <c r="J348" s="410">
        <f>IF(ISNA(VLOOKUP($B348&amp;"; "&amp;$H$38&amp;", "&amp;$J$39,'FE Déplacements'!$G:$U,9,FALSE)),0,VLOOKUP($B348&amp;"; "&amp;$H$38&amp;", "&amp;$J$39,'FE Déplacements'!$G:$U,9,FALSE))</f>
        <v>0</v>
      </c>
      <c r="K348" s="356">
        <f t="shared" si="190"/>
        <v>0</v>
      </c>
      <c r="L348" s="356">
        <f t="shared" si="191"/>
        <v>0</v>
      </c>
      <c r="M348" s="356">
        <f t="shared" si="192"/>
        <v>0</v>
      </c>
      <c r="N348" s="1286">
        <f>IF(OR(F348=Utilitaires!$I$572,F348=Utilitaires!$I$577),M348,0)</f>
        <v>0</v>
      </c>
      <c r="X348" s="1092">
        <f t="shared" si="193"/>
        <v>0</v>
      </c>
      <c r="Y348" s="343"/>
      <c r="Z348" s="820"/>
      <c r="AA348" s="164">
        <f t="shared" si="194"/>
        <v>0</v>
      </c>
      <c r="AB348" s="164">
        <f t="shared" si="194"/>
        <v>0</v>
      </c>
      <c r="AC348" s="164">
        <f>K348*BI348</f>
        <v>0</v>
      </c>
      <c r="AD348" s="152">
        <f t="shared" si="187"/>
        <v>0</v>
      </c>
      <c r="AE348" s="165">
        <f t="shared" si="195"/>
        <v>0</v>
      </c>
      <c r="AG348" s="564">
        <f>$G348*IF(ISNA(VLOOKUP($B348&amp;"; "&amp;$H$38&amp;", "&amp;I$39,'FE Déplacements'!$G:$U,10,FALSE)),0,VLOOKUP($B348&amp;"; "&amp;$H$38&amp;", "&amp;I$39,'FE Déplacements'!$G:$U,10,FALSE))</f>
        <v>0</v>
      </c>
      <c r="AH348" s="565">
        <f>$G348*IF(ISNA(VLOOKUP($B348&amp;"; "&amp;$H$38&amp;", "&amp;J$39,'FE Déplacements'!$G:$U,10,FALSE)),0,VLOOKUP($B348&amp;"; "&amp;$H$38&amp;", "&amp;J$39,'FE Déplacements'!$G:$U,10,FALSE))</f>
        <v>0</v>
      </c>
      <c r="AI348" s="565">
        <f>$G348*IF(ISNA(VLOOKUP($B348&amp;"; "&amp;$H$38&amp;", "&amp;H$39,'FE Déplacements'!$G:$U,10,FALSE)),0,VLOOKUP($B348&amp;"; "&amp;$H$38&amp;", "&amp;H$39,'FE Déplacements'!$G:$U,10,FALSE))</f>
        <v>0</v>
      </c>
      <c r="AJ348" s="565">
        <f>$G348*IF(ISNA((VLOOKUP($B348&amp;"; "&amp;$H$38&amp;", "&amp;I$39,'FE Déplacements'!$G:$U,12,FALSE)+VLOOKUP($B348&amp;"; "&amp;$H$38&amp;", "&amp;I$39,'FE Déplacements'!$G:$U,11,FALSE))),0,(VLOOKUP($B348&amp;"; "&amp;$H$38&amp;", "&amp;I$39,'FE Déplacements'!$G:$U,12,FALSE)+VLOOKUP($B348&amp;"; "&amp;$H$38&amp;", "&amp;I$39,'FE Déplacements'!$G:$U,11,FALSE)))</f>
        <v>0</v>
      </c>
      <c r="AK348" s="565">
        <f>$G348*IF(ISNA((VLOOKUP($B348&amp;"; "&amp;$H$38&amp;", "&amp;J$39,'FE Déplacements'!$G:$U,12,FALSE)+VLOOKUP($B348&amp;"; "&amp;$H$38&amp;", "&amp;J$39,'FE Déplacements'!$G:$U,11,FALSE))),0,(VLOOKUP($B348&amp;"; "&amp;$H$38&amp;", "&amp;J$39,'FE Déplacements'!$G:$U,12,FALSE)+VLOOKUP($B348&amp;"; "&amp;$H$38&amp;", "&amp;J$39,'FE Déplacements'!$G:$U,11,FALSE)))</f>
        <v>0</v>
      </c>
      <c r="AL348" s="565">
        <f>$G348*IF(ISNA((VLOOKUP($B348&amp;"; "&amp;$H$38&amp;", "&amp;H$39,'FE Déplacements'!$G:$U,12,FALSE)+VLOOKUP($B348&amp;"; "&amp;$H$38&amp;", "&amp;H$39,'FE Déplacements'!$G:$U,11,FALSE))),0,(VLOOKUP($B348&amp;"; "&amp;$H$38&amp;", "&amp;H$39,'FE Déplacements'!$G:$U,12,FALSE)+VLOOKUP($B348&amp;"; "&amp;$H$38&amp;", "&amp;H$39,'FE Déplacements'!$G:$U,11,FALSE)))</f>
        <v>0</v>
      </c>
      <c r="AM348" s="565">
        <f>$G348*IF(ISNA(VLOOKUP($B348&amp;"; "&amp;$H$38&amp;", "&amp;I$39,'FE Déplacements'!$G:$U,13,FALSE)),0,VLOOKUP($B348&amp;"; "&amp;$H$38&amp;", "&amp;I$39,'FE Déplacements'!$G:$U,13,FALSE))</f>
        <v>0</v>
      </c>
      <c r="AN348" s="565">
        <f>$G348*IF(ISNA(VLOOKUP($B348&amp;"; "&amp;$H$38&amp;", "&amp;J$39,'FE Déplacements'!$G:$U,13,FALSE)),0,VLOOKUP($B348&amp;"; "&amp;$H$38&amp;", "&amp;J$39,'FE Déplacements'!$G:$U,13,FALSE))</f>
        <v>0</v>
      </c>
      <c r="AO348" s="565">
        <f>$G348*IF(ISNA(VLOOKUP($B348&amp;"; "&amp;$H$38&amp;", "&amp;H$39,'FE Déplacements'!$G:$U,13,FALSE)),0,VLOOKUP($B348&amp;"; "&amp;$H$38&amp;", "&amp;H$39,'FE Déplacements'!$G:$U,13,FALSE))</f>
        <v>0</v>
      </c>
      <c r="AP348" s="565">
        <v>0</v>
      </c>
      <c r="AQ348" s="565">
        <v>0</v>
      </c>
      <c r="AR348" s="565">
        <v>0</v>
      </c>
      <c r="AS348" s="1288">
        <f t="shared" si="196"/>
        <v>0</v>
      </c>
      <c r="AT348" s="566">
        <f t="shared" si="196"/>
        <v>0</v>
      </c>
      <c r="AU348" s="566">
        <f t="shared" si="196"/>
        <v>0</v>
      </c>
      <c r="AV348" s="564">
        <f>$G348*IF(ISNA(VLOOKUP($B348&amp;"; "&amp;$H$38&amp;", "&amp;I$39,'FE Déplacements'!$G:$U,15,FALSE)),0,VLOOKUP($B348&amp;"; "&amp;$H$38&amp;", "&amp;I$39,'FE Déplacements'!$G:$U,15,FALSE))</f>
        <v>0</v>
      </c>
      <c r="AW348" s="565">
        <f>$G348*IF(ISNA(VLOOKUP($B348&amp;"; "&amp;$H$38&amp;", "&amp;J$39,'FE Déplacements'!$G:$U,15,FALSE)),0,VLOOKUP($B348&amp;"; "&amp;$H$38&amp;", "&amp;J$39,'FE Déplacements'!$G:$U,15,FALSE))</f>
        <v>0</v>
      </c>
      <c r="AX348" s="568">
        <f>$G348*IF(ISNA(VLOOKUP($B348&amp;"; "&amp;$H$38&amp;", "&amp;H$39,'FE Déplacements'!$G:$U,15,FALSE)),0,VLOOKUP($B348&amp;"; "&amp;$H$38&amp;", "&amp;H$39,'FE Déplacements'!$G:$U,15,FALSE))</f>
        <v>0</v>
      </c>
      <c r="BH348" s="2268">
        <f>IF($Y348&lt;&gt;"votre valeur :",IF(ISNA(VLOOKUP($Y348,Utilitaires!$N$566:$O$571,2,FALSE)),,VLOOKUP($Y348,Utilitaires!$N$566:$O$571,2,FALSE)),$Z348)</f>
        <v>0</v>
      </c>
      <c r="BI348" s="2277">
        <f>IF(ISNA(SQRT(SUMSQ(VLOOKUP($B348&amp;"; "&amp;$H$38&amp;", "&amp;$H$39,'FE Déplacements'!$G:$U,7,FALSE),$BH348))),0,SQRT(SUMSQ(VLOOKUP($B348&amp;"; "&amp;$H$38&amp;", "&amp;$H$39,'FE Déplacements'!$G:$U,7,FALSE),$BH348)))</f>
        <v>0.7</v>
      </c>
      <c r="BJ348" s="2277">
        <f>IF(ISNA(SQRT(SUMSQ(VLOOKUP($B348&amp;"; "&amp;$H$38&amp;", "&amp;$I$39,'FE Déplacements'!$G:$U,7,FALSE),$BH348))),0,SQRT(SUMSQ(VLOOKUP($B348&amp;"; "&amp;$H$38&amp;", "&amp;$I$39,'FE Déplacements'!$G:$U,7,FALSE),$BH348)))</f>
        <v>0.7</v>
      </c>
      <c r="BK348" s="1130">
        <f>IF(ISNA(SQRT(SUMSQ(VLOOKUP($B348&amp;"; "&amp;$H$38&amp;", "&amp;$J$39,'FE Déplacements'!$G:$U,7,FALSE),$BH348))),0,SQRT(SUMSQ(VLOOKUP($B348&amp;"; "&amp;$H$38&amp;", "&amp;$J$39,'FE Déplacements'!$G:$U,7,FALSE),$BH348)))</f>
        <v>0.7</v>
      </c>
    </row>
    <row r="349" spans="2:63" hidden="1" outlineLevel="1">
      <c r="B349" s="180" t="s">
        <v>4043</v>
      </c>
      <c r="C349" s="2264"/>
      <c r="D349" s="212">
        <f t="shared" si="189"/>
        <v>0</v>
      </c>
      <c r="E349" s="212"/>
      <c r="F349" s="530"/>
      <c r="G349" s="398"/>
      <c r="H349" s="410">
        <f>IF(ISNA(VLOOKUP($B349&amp;"; "&amp;$H$38&amp;", "&amp;$H$39,'FE Déplacements'!$G:$U,9,FALSE)),0,VLOOKUP($B349&amp;"; "&amp;$H$38&amp;", "&amp;$H$39,'FE Déplacements'!$G:$U,9,FALSE))</f>
        <v>3.61E-2</v>
      </c>
      <c r="I349" s="410">
        <f>IF(ISNA(VLOOKUP($B349&amp;"; "&amp;$H$38&amp;", "&amp;$I$39,'FE Déplacements'!$G:$U,9,FALSE)),0,VLOOKUP($B349&amp;"; "&amp;$H$38&amp;", "&amp;$I$39,'FE Déplacements'!$G:$U,9,FALSE))</f>
        <v>2.24E-2</v>
      </c>
      <c r="J349" s="410">
        <f>IF(ISNA(VLOOKUP($B349&amp;"; "&amp;$H$38&amp;", "&amp;$J$39,'FE Déplacements'!$G:$U,9,FALSE)),0,VLOOKUP($B349&amp;"; "&amp;$H$38&amp;", "&amp;$J$39,'FE Déplacements'!$G:$U,9,FALSE))</f>
        <v>0.113</v>
      </c>
      <c r="K349" s="356">
        <f t="shared" si="190"/>
        <v>0</v>
      </c>
      <c r="L349" s="356">
        <f t="shared" si="191"/>
        <v>0</v>
      </c>
      <c r="M349" s="356">
        <f t="shared" si="192"/>
        <v>0</v>
      </c>
      <c r="N349" s="1286">
        <f>IF(OR(F349=Utilitaires!$I$572,F349=Utilitaires!$I$577),M349,0)</f>
        <v>0</v>
      </c>
      <c r="X349" s="1092">
        <f t="shared" si="193"/>
        <v>0</v>
      </c>
      <c r="Y349" s="1094"/>
      <c r="Z349" s="820"/>
      <c r="AA349" s="164">
        <f t="shared" si="194"/>
        <v>0</v>
      </c>
      <c r="AB349" s="164">
        <f t="shared" si="194"/>
        <v>0</v>
      </c>
      <c r="AC349" s="164">
        <f>K349*BI349</f>
        <v>0</v>
      </c>
      <c r="AD349" s="152">
        <f t="shared" si="187"/>
        <v>0</v>
      </c>
      <c r="AE349" s="165">
        <f t="shared" si="195"/>
        <v>0</v>
      </c>
      <c r="AG349" s="564">
        <f>$G349*IF(ISNA(VLOOKUP($B349&amp;"; "&amp;$H$38&amp;", "&amp;I$39,'FE Déplacements'!$G:$U,10,FALSE)),0,VLOOKUP($B349&amp;"; "&amp;$H$38&amp;", "&amp;I$39,'FE Déplacements'!$G:$U,10,FALSE))</f>
        <v>0</v>
      </c>
      <c r="AH349" s="565">
        <f>$G349*IF(ISNA(VLOOKUP($B349&amp;"; "&amp;$H$38&amp;", "&amp;J$39,'FE Déplacements'!$G:$U,10,FALSE)),0,VLOOKUP($B349&amp;"; "&amp;$H$38&amp;", "&amp;J$39,'FE Déplacements'!$G:$U,10,FALSE))</f>
        <v>0</v>
      </c>
      <c r="AI349" s="565">
        <f>$G349*IF(ISNA(VLOOKUP($B349&amp;"; "&amp;$H$38&amp;", "&amp;H$39,'FE Déplacements'!$G:$U,10,FALSE)),0,VLOOKUP($B349&amp;"; "&amp;$H$38&amp;", "&amp;H$39,'FE Déplacements'!$G:$U,10,FALSE))</f>
        <v>0</v>
      </c>
      <c r="AJ349" s="565">
        <f>$G349*IF(ISNA((VLOOKUP($B349&amp;"; "&amp;$H$38&amp;", "&amp;I$39,'FE Déplacements'!$G:$U,12,FALSE)+VLOOKUP($B349&amp;"; "&amp;$H$38&amp;", "&amp;I$39,'FE Déplacements'!$G:$U,11,FALSE))),0,(VLOOKUP($B349&amp;"; "&amp;$H$38&amp;", "&amp;I$39,'FE Déplacements'!$G:$U,12,FALSE)+VLOOKUP($B349&amp;"; "&amp;$H$38&amp;", "&amp;I$39,'FE Déplacements'!$G:$U,11,FALSE)))</f>
        <v>0</v>
      </c>
      <c r="AK349" s="565">
        <f>$G349*IF(ISNA((VLOOKUP($B349&amp;"; "&amp;$H$38&amp;", "&amp;J$39,'FE Déplacements'!$G:$U,12,FALSE)+VLOOKUP($B349&amp;"; "&amp;$H$38&amp;", "&amp;J$39,'FE Déplacements'!$G:$U,11,FALSE))),0,(VLOOKUP($B349&amp;"; "&amp;$H$38&amp;", "&amp;J$39,'FE Déplacements'!$G:$U,12,FALSE)+VLOOKUP($B349&amp;"; "&amp;$H$38&amp;", "&amp;J$39,'FE Déplacements'!$G:$U,11,FALSE)))</f>
        <v>0</v>
      </c>
      <c r="AL349" s="565">
        <f>$G349*IF(ISNA((VLOOKUP($B349&amp;"; "&amp;$H$38&amp;", "&amp;H$39,'FE Déplacements'!$G:$U,12,FALSE)+VLOOKUP($B349&amp;"; "&amp;$H$38&amp;", "&amp;H$39,'FE Déplacements'!$G:$U,11,FALSE))),0,(VLOOKUP($B349&amp;"; "&amp;$H$38&amp;", "&amp;H$39,'FE Déplacements'!$G:$U,12,FALSE)+VLOOKUP($B349&amp;"; "&amp;$H$38&amp;", "&amp;H$39,'FE Déplacements'!$G:$U,11,FALSE)))</f>
        <v>0</v>
      </c>
      <c r="AM349" s="565">
        <f>$G349*IF(ISNA(VLOOKUP($B349&amp;"; "&amp;$H$38&amp;", "&amp;I$39,'FE Déplacements'!$G:$U,13,FALSE)),0,VLOOKUP($B349&amp;"; "&amp;$H$38&amp;", "&amp;I$39,'FE Déplacements'!$G:$U,13,FALSE))</f>
        <v>0</v>
      </c>
      <c r="AN349" s="565">
        <f>$G349*IF(ISNA(VLOOKUP($B349&amp;"; "&amp;$H$38&amp;", "&amp;J$39,'FE Déplacements'!$G:$U,13,FALSE)),0,VLOOKUP($B349&amp;"; "&amp;$H$38&amp;", "&amp;J$39,'FE Déplacements'!$G:$U,13,FALSE))</f>
        <v>0</v>
      </c>
      <c r="AO349" s="565">
        <f>$G349*IF(ISNA(VLOOKUP($B349&amp;"; "&amp;$H$38&amp;", "&amp;H$39,'FE Déplacements'!$G:$U,13,FALSE)),0,VLOOKUP($B349&amp;"; "&amp;$H$38&amp;", "&amp;H$39,'FE Déplacements'!$G:$U,13,FALSE))</f>
        <v>0</v>
      </c>
      <c r="AP349" s="565">
        <v>0</v>
      </c>
      <c r="AQ349" s="565">
        <v>0</v>
      </c>
      <c r="AR349" s="565">
        <v>0</v>
      </c>
      <c r="AS349" s="1288">
        <f t="shared" si="196"/>
        <v>0</v>
      </c>
      <c r="AT349" s="566">
        <f t="shared" si="196"/>
        <v>0</v>
      </c>
      <c r="AU349" s="566">
        <f t="shared" si="196"/>
        <v>0</v>
      </c>
      <c r="AV349" s="564">
        <f>$G349*IF(ISNA(VLOOKUP($B349&amp;"; "&amp;$H$38&amp;", "&amp;I$39,'FE Déplacements'!$G:$U,15,FALSE)),0,VLOOKUP($B349&amp;"; "&amp;$H$38&amp;", "&amp;I$39,'FE Déplacements'!$G:$U,15,FALSE))</f>
        <v>0</v>
      </c>
      <c r="AW349" s="565">
        <f>$G349*IF(ISNA(VLOOKUP($B349&amp;"; "&amp;$H$38&amp;", "&amp;J$39,'FE Déplacements'!$G:$U,15,FALSE)),0,VLOOKUP($B349&amp;"; "&amp;$H$38&amp;", "&amp;J$39,'FE Déplacements'!$G:$U,15,FALSE))</f>
        <v>0</v>
      </c>
      <c r="AX349" s="568">
        <f>$G349*IF(ISNA(VLOOKUP($B349&amp;"; "&amp;$H$38&amp;", "&amp;H$39,'FE Déplacements'!$G:$U,15,FALSE)),0,VLOOKUP($B349&amp;"; "&amp;$H$38&amp;", "&amp;H$39,'FE Déplacements'!$G:$U,15,FALSE))</f>
        <v>0</v>
      </c>
      <c r="BH349" s="2268">
        <f>IF($Y349&lt;&gt;"votre valeur :",IF(ISNA(VLOOKUP($Y349,Utilitaires!$N$566:$O$571,2,FALSE)),,VLOOKUP($Y349,Utilitaires!$N$566:$O$571,2,FALSE)),$Z349)</f>
        <v>0</v>
      </c>
      <c r="BI349" s="2277">
        <f>IF(ISNA(SQRT(SUMSQ(VLOOKUP($B349&amp;"; "&amp;$H$38&amp;", "&amp;$H$39,'FE Déplacements'!$G:$U,7,FALSE),$BH349))),0,SQRT(SUMSQ(VLOOKUP($B349&amp;"; "&amp;$H$38&amp;", "&amp;$H$39,'FE Déplacements'!$G:$U,7,FALSE),$BH349)))</f>
        <v>0.7</v>
      </c>
      <c r="BJ349" s="2277">
        <f>IF(ISNA(SQRT(SUMSQ(VLOOKUP($B349&amp;"; "&amp;$H$38&amp;", "&amp;$I$39,'FE Déplacements'!$G:$U,7,FALSE),$BH349))),0,SQRT(SUMSQ(VLOOKUP($B349&amp;"; "&amp;$H$38&amp;", "&amp;$I$39,'FE Déplacements'!$G:$U,7,FALSE),$BH349)))</f>
        <v>0.7</v>
      </c>
      <c r="BK349" s="1130">
        <f>IF(ISNA(SQRT(SUMSQ(VLOOKUP($B349&amp;"; "&amp;$H$38&amp;", "&amp;$J$39,'FE Déplacements'!$G:$U,7,FALSE),$BH349))),0,SQRT(SUMSQ(VLOOKUP($B349&amp;"; "&amp;$H$38&amp;", "&amp;$J$39,'FE Déplacements'!$G:$U,7,FALSE),$BH349)))</f>
        <v>0.7</v>
      </c>
    </row>
    <row r="350" spans="2:63" hidden="1" outlineLevel="1">
      <c r="B350" s="180" t="s">
        <v>4040</v>
      </c>
      <c r="C350" s="2264"/>
      <c r="D350" s="212">
        <f t="shared" si="189"/>
        <v>0</v>
      </c>
      <c r="E350" s="212"/>
      <c r="F350" s="347"/>
      <c r="G350" s="123"/>
      <c r="H350" s="410">
        <f>IF(ISNA(VLOOKUP($B350&amp;"; "&amp;$H$38&amp;", "&amp;$H$39,'FE Déplacements'!$G:$U,9,FALSE)),0,VLOOKUP($B350&amp;"; "&amp;$H$38&amp;", "&amp;$H$39,'FE Déplacements'!$G:$U,9,FALSE))</f>
        <v>0.112</v>
      </c>
      <c r="I350" s="410">
        <f>IF(ISNA(VLOOKUP($B350&amp;"; "&amp;$H$38&amp;", "&amp;$I$39,'FE Déplacements'!$G:$U,9,FALSE)),0,VLOOKUP($B350&amp;"; "&amp;$H$38&amp;", "&amp;$I$39,'FE Déplacements'!$G:$U,9,FALSE))</f>
        <v>2.7300000000000001E-2</v>
      </c>
      <c r="J350" s="410">
        <f>IF(ISNA(VLOOKUP($B350&amp;"; "&amp;$H$38&amp;", "&amp;$J$39,'FE Déplacements'!$G:$U,9,FALSE)),0,VLOOKUP($B350&amp;"; "&amp;$H$38&amp;", "&amp;$J$39,'FE Déplacements'!$G:$U,9,FALSE))</f>
        <v>0</v>
      </c>
      <c r="K350" s="356">
        <f t="shared" si="190"/>
        <v>0</v>
      </c>
      <c r="L350" s="356">
        <f t="shared" si="191"/>
        <v>0</v>
      </c>
      <c r="M350" s="356">
        <f t="shared" si="192"/>
        <v>0</v>
      </c>
      <c r="N350" s="1286">
        <f>IF(OR(F350=Utilitaires!$I$572,F350=Utilitaires!$I$577),M350,0)</f>
        <v>0</v>
      </c>
      <c r="X350" s="1092"/>
      <c r="Y350" s="820"/>
      <c r="Z350" s="820"/>
      <c r="AA350" s="164"/>
      <c r="AB350" s="164"/>
      <c r="AC350" s="164"/>
      <c r="AD350" s="152"/>
      <c r="AE350" s="165"/>
      <c r="AG350" s="564">
        <f>$G350*IF(ISNA(VLOOKUP($B350&amp;"; "&amp;$H$38&amp;", "&amp;I$39,'FE Déplacements'!$G:$U,10,FALSE)),0,VLOOKUP($B350&amp;"; "&amp;$H$38&amp;", "&amp;I$39,'FE Déplacements'!$G:$U,10,FALSE))</f>
        <v>0</v>
      </c>
      <c r="AH350" s="565">
        <f>$G350*IF(ISNA(VLOOKUP($B350&amp;"; "&amp;$H$38&amp;", "&amp;J$39,'FE Déplacements'!$G:$U,10,FALSE)),0,VLOOKUP($B350&amp;"; "&amp;$H$38&amp;", "&amp;J$39,'FE Déplacements'!$G:$U,10,FALSE))</f>
        <v>0</v>
      </c>
      <c r="AI350" s="565">
        <f>$G350*IF(ISNA(VLOOKUP($B350&amp;"; "&amp;$H$38&amp;", "&amp;H$39,'FE Déplacements'!$G:$U,10,FALSE)),0,VLOOKUP($B350&amp;"; "&amp;$H$38&amp;", "&amp;H$39,'FE Déplacements'!$G:$U,10,FALSE))</f>
        <v>0</v>
      </c>
      <c r="AJ350" s="565">
        <f>$G350*IF(ISNA((VLOOKUP($B350&amp;"; "&amp;$H$38&amp;", "&amp;I$39,'FE Déplacements'!$G:$U,12,FALSE)+VLOOKUP($B350&amp;"; "&amp;$H$38&amp;", "&amp;I$39,'FE Déplacements'!$G:$U,11,FALSE))),0,(VLOOKUP($B350&amp;"; "&amp;$H$38&amp;", "&amp;I$39,'FE Déplacements'!$G:$U,12,FALSE)+VLOOKUP($B350&amp;"; "&amp;$H$38&amp;", "&amp;I$39,'FE Déplacements'!$G:$U,11,FALSE)))</f>
        <v>0</v>
      </c>
      <c r="AK350" s="565">
        <f>$G350*IF(ISNA((VLOOKUP($B350&amp;"; "&amp;$H$38&amp;", "&amp;J$39,'FE Déplacements'!$G:$U,12,FALSE)+VLOOKUP($B350&amp;"; "&amp;$H$38&amp;", "&amp;J$39,'FE Déplacements'!$G:$U,11,FALSE))),0,(VLOOKUP($B350&amp;"; "&amp;$H$38&amp;", "&amp;J$39,'FE Déplacements'!$G:$U,12,FALSE)+VLOOKUP($B350&amp;"; "&amp;$H$38&amp;", "&amp;J$39,'FE Déplacements'!$G:$U,11,FALSE)))</f>
        <v>0</v>
      </c>
      <c r="AL350" s="565">
        <f>$G350*IF(ISNA((VLOOKUP($B350&amp;"; "&amp;$H$38&amp;", "&amp;H$39,'FE Déplacements'!$G:$U,12,FALSE)+VLOOKUP($B350&amp;"; "&amp;$H$38&amp;", "&amp;H$39,'FE Déplacements'!$G:$U,11,FALSE))),0,(VLOOKUP($B350&amp;"; "&amp;$H$38&amp;", "&amp;H$39,'FE Déplacements'!$G:$U,12,FALSE)+VLOOKUP($B350&amp;"; "&amp;$H$38&amp;", "&amp;H$39,'FE Déplacements'!$G:$U,11,FALSE)))</f>
        <v>0</v>
      </c>
      <c r="AM350" s="565">
        <f>$G350*IF(ISNA(VLOOKUP($B350&amp;"; "&amp;$H$38&amp;", "&amp;I$39,'FE Déplacements'!$G:$U,13,FALSE)),0,VLOOKUP($B350&amp;"; "&amp;$H$38&amp;", "&amp;I$39,'FE Déplacements'!$G:$U,13,FALSE))</f>
        <v>0</v>
      </c>
      <c r="AN350" s="565">
        <f>$G350*IF(ISNA(VLOOKUP($B350&amp;"; "&amp;$H$38&amp;", "&amp;J$39,'FE Déplacements'!$G:$U,13,FALSE)),0,VLOOKUP($B350&amp;"; "&amp;$H$38&amp;", "&amp;J$39,'FE Déplacements'!$G:$U,13,FALSE))</f>
        <v>0</v>
      </c>
      <c r="AO350" s="565">
        <f>$G350*IF(ISNA(VLOOKUP($B350&amp;"; "&amp;$H$38&amp;", "&amp;H$39,'FE Déplacements'!$G:$U,13,FALSE)),0,VLOOKUP($B350&amp;"; "&amp;$H$38&amp;", "&amp;H$39,'FE Déplacements'!$G:$U,13,FALSE))</f>
        <v>0</v>
      </c>
      <c r="AP350" s="565">
        <v>0</v>
      </c>
      <c r="AQ350" s="565">
        <v>0</v>
      </c>
      <c r="AR350" s="565">
        <v>0</v>
      </c>
      <c r="AS350" s="1288">
        <f t="shared" si="196"/>
        <v>0</v>
      </c>
      <c r="AT350" s="566">
        <f t="shared" si="196"/>
        <v>0</v>
      </c>
      <c r="AU350" s="566">
        <f t="shared" si="196"/>
        <v>0</v>
      </c>
      <c r="AV350" s="564">
        <f>$G350*IF(ISNA(VLOOKUP($B350&amp;"; "&amp;$H$38&amp;", "&amp;I$39,'FE Déplacements'!$G:$U,15,FALSE)),0,VLOOKUP($B350&amp;"; "&amp;$H$38&amp;", "&amp;I$39,'FE Déplacements'!$G:$U,15,FALSE))</f>
        <v>0</v>
      </c>
      <c r="AW350" s="565">
        <f>$G350*IF(ISNA(VLOOKUP($B350&amp;"; "&amp;$H$38&amp;", "&amp;J$39,'FE Déplacements'!$G:$U,15,FALSE)),0,VLOOKUP($B350&amp;"; "&amp;$H$38&amp;", "&amp;J$39,'FE Déplacements'!$G:$U,15,FALSE))</f>
        <v>0</v>
      </c>
      <c r="AX350" s="568">
        <f>$G350*IF(ISNA(VLOOKUP($B350&amp;"; "&amp;$H$38&amp;", "&amp;H$39,'FE Déplacements'!$G:$U,15,FALSE)),0,VLOOKUP($B350&amp;"; "&amp;$H$38&amp;", "&amp;H$39,'FE Déplacements'!$G:$U,15,FALSE))</f>
        <v>0</v>
      </c>
      <c r="BH350" s="2268">
        <f>IF($Y350&lt;&gt;"votre valeur :",IF(ISNA(VLOOKUP($Y350,Utilitaires!$N$566:$O$571,2,FALSE)),,VLOOKUP($Y350,Utilitaires!$N$566:$O$571,2,FALSE)),$Z350)</f>
        <v>0</v>
      </c>
      <c r="BI350" s="2277">
        <f>IF(ISNA(SQRT(SUMSQ(VLOOKUP($B350&amp;"; "&amp;$H$38&amp;", "&amp;$H$39,'FE Déplacements'!$G:$U,7,FALSE),$BH350))),0,SQRT(SUMSQ(VLOOKUP($B350&amp;"; "&amp;$H$38&amp;", "&amp;$H$39,'FE Déplacements'!$G:$U,7,FALSE),$BH350)))</f>
        <v>0.7</v>
      </c>
      <c r="BJ350" s="2277">
        <f>IF(ISNA(SQRT(SUMSQ(VLOOKUP($B350&amp;"; "&amp;$H$38&amp;", "&amp;$I$39,'FE Déplacements'!$G:$U,7,FALSE),$BH350))),0,SQRT(SUMSQ(VLOOKUP($B350&amp;"; "&amp;$H$38&amp;", "&amp;$I$39,'FE Déplacements'!$G:$U,7,FALSE),$BH350)))</f>
        <v>0.7</v>
      </c>
      <c r="BK350" s="1130">
        <f>IF(ISNA(SQRT(SUMSQ(VLOOKUP($B350&amp;"; "&amp;$H$38&amp;", "&amp;$J$39,'FE Déplacements'!$G:$U,7,FALSE),$BH350))),0,SQRT(SUMSQ(VLOOKUP($B350&amp;"; "&amp;$H$38&amp;", "&amp;$J$39,'FE Déplacements'!$G:$U,7,FALSE),$BH350)))</f>
        <v>0.7</v>
      </c>
    </row>
    <row r="351" spans="2:63" hidden="1" outlineLevel="1">
      <c r="B351" s="180"/>
      <c r="C351" s="2264"/>
      <c r="D351" s="212"/>
      <c r="E351" s="356"/>
      <c r="F351" s="356"/>
      <c r="G351" s="356"/>
      <c r="H351" s="410"/>
      <c r="I351" s="410"/>
      <c r="J351" s="410"/>
      <c r="K351" s="356"/>
      <c r="L351" s="356"/>
      <c r="M351" s="356"/>
      <c r="N351" s="1286"/>
      <c r="X351" s="1092"/>
      <c r="Y351" s="820"/>
      <c r="Z351" s="820"/>
      <c r="AA351" s="164"/>
      <c r="AB351" s="164"/>
      <c r="AC351" s="164"/>
      <c r="AD351" s="152"/>
      <c r="AE351" s="165"/>
      <c r="AG351" s="564"/>
      <c r="AH351" s="565"/>
      <c r="AI351" s="565"/>
      <c r="AJ351" s="565"/>
      <c r="AK351" s="565"/>
      <c r="AL351" s="565"/>
      <c r="AM351" s="565"/>
      <c r="AN351" s="565"/>
      <c r="AO351" s="565"/>
      <c r="AP351" s="565"/>
      <c r="AQ351" s="565"/>
      <c r="AR351" s="565"/>
      <c r="AS351" s="1288"/>
      <c r="AT351" s="566"/>
      <c r="AU351" s="566"/>
      <c r="AV351" s="564"/>
      <c r="AW351" s="565"/>
      <c r="AX351" s="568"/>
      <c r="BH351" s="2268"/>
      <c r="BI351" s="2277"/>
      <c r="BJ351" s="2277"/>
      <c r="BK351" s="1130"/>
    </row>
    <row r="352" spans="2:63" ht="12.75" hidden="1" customHeight="1" outlineLevel="1">
      <c r="B352" s="180"/>
      <c r="C352" s="2264"/>
      <c r="D352" s="212"/>
      <c r="E352" s="212"/>
      <c r="F352" s="410"/>
      <c r="G352" s="410"/>
      <c r="H352" s="2852" t="s">
        <v>2224</v>
      </c>
      <c r="I352" s="2852"/>
      <c r="J352" s="2852"/>
      <c r="K352" s="356"/>
      <c r="L352" s="356"/>
      <c r="M352" s="356"/>
      <c r="N352" s="1286"/>
      <c r="X352" s="1092"/>
      <c r="Y352" s="820"/>
      <c r="Z352" s="820"/>
      <c r="AA352" s="164"/>
      <c r="AB352" s="164"/>
      <c r="AC352" s="164"/>
      <c r="AD352" s="152"/>
      <c r="AE352" s="165"/>
      <c r="AG352" s="564"/>
      <c r="AH352" s="565"/>
      <c r="AI352" s="565"/>
      <c r="AJ352" s="565"/>
      <c r="AK352" s="565"/>
      <c r="AL352" s="565"/>
      <c r="AM352" s="565"/>
      <c r="AN352" s="565"/>
      <c r="AO352" s="565"/>
      <c r="AP352" s="565"/>
      <c r="AQ352" s="565"/>
      <c r="AR352" s="565"/>
      <c r="AS352" s="1288"/>
      <c r="AT352" s="566"/>
      <c r="AU352" s="566"/>
      <c r="AV352" s="564"/>
      <c r="AW352" s="565"/>
      <c r="AX352" s="568"/>
      <c r="BH352" s="2268"/>
      <c r="BI352" s="2277"/>
      <c r="BJ352" s="2277"/>
      <c r="BK352" s="1130"/>
    </row>
    <row r="353" spans="2:63" hidden="1" outlineLevel="1">
      <c r="B353" s="536" t="s">
        <v>4044</v>
      </c>
      <c r="C353" s="2264"/>
      <c r="D353" s="212"/>
      <c r="E353" s="212"/>
      <c r="F353" s="410"/>
      <c r="G353" s="410"/>
      <c r="H353" s="1662" t="s">
        <v>422</v>
      </c>
      <c r="I353" s="1662" t="s">
        <v>411</v>
      </c>
      <c r="J353" s="1662" t="s">
        <v>257</v>
      </c>
      <c r="K353" s="356"/>
      <c r="L353" s="356"/>
      <c r="M353" s="356"/>
      <c r="N353" s="1286"/>
      <c r="X353" s="1092"/>
      <c r="Y353" s="820"/>
      <c r="Z353" s="820"/>
      <c r="AA353" s="164"/>
      <c r="AB353" s="164"/>
      <c r="AC353" s="164"/>
      <c r="AD353" s="152"/>
      <c r="AE353" s="165"/>
      <c r="AG353" s="564"/>
      <c r="AH353" s="565"/>
      <c r="AI353" s="565"/>
      <c r="AJ353" s="565"/>
      <c r="AK353" s="565"/>
      <c r="AL353" s="565"/>
      <c r="AM353" s="565"/>
      <c r="AN353" s="565"/>
      <c r="AO353" s="565"/>
      <c r="AP353" s="565"/>
      <c r="AQ353" s="565"/>
      <c r="AR353" s="565"/>
      <c r="AS353" s="1288"/>
      <c r="AT353" s="566"/>
      <c r="AU353" s="566"/>
      <c r="AV353" s="564"/>
      <c r="AW353" s="565"/>
      <c r="AX353" s="568"/>
      <c r="BH353" s="2268"/>
      <c r="BI353" s="2277"/>
      <c r="BJ353" s="2277"/>
      <c r="BK353" s="1130"/>
    </row>
    <row r="354" spans="2:63" hidden="1" outlineLevel="1">
      <c r="B354" s="180" t="s">
        <v>4045</v>
      </c>
      <c r="C354" s="2264"/>
      <c r="D354" s="212">
        <f t="shared" si="189"/>
        <v>0</v>
      </c>
      <c r="E354" s="212"/>
      <c r="F354" s="409"/>
      <c r="G354" s="117"/>
      <c r="H354" s="219">
        <f>IF(ISNA(VLOOKUP($B354&amp;"; "&amp;$H$51&amp;", "&amp;$H$52,'FE Déplacements'!$G:$U,9,FALSE)),0,VLOOKUP($B354&amp;"; "&amp;$H$51&amp;", "&amp;$H$52,'FE Déplacements'!$G:$U,9,FALSE))</f>
        <v>2.5600000000000001E-2</v>
      </c>
      <c r="I354" s="410">
        <f>IF(ISNA(VLOOKUP($B354&amp;"; "&amp;$H$51&amp;", "&amp;$I$52,'FE Déplacements'!$G:$U,9,FALSE)),0,VLOOKUP($B354&amp;"; "&amp;$H$51&amp;", "&amp;$I$52,'FE Déplacements'!$G:$U,9,FALSE))</f>
        <v>6.0299999999999999E-2</v>
      </c>
      <c r="J354" s="410">
        <f>IF(ISNA(VLOOKUP($B354&amp;"; "&amp;$H$51&amp;", "&amp;$J$52,'FE Déplacements'!$G:$U,9,FALSE)),0,VLOOKUP($B354&amp;"; "&amp;$H$51&amp;", "&amp;$J$52,'FE Déplacements'!$G:$U,9,FALSE))</f>
        <v>2.98E-2</v>
      </c>
      <c r="K354" s="356">
        <f t="shared" ref="K354:K359" si="197">G354*H354</f>
        <v>0</v>
      </c>
      <c r="L354" s="356">
        <f t="shared" ref="L354:L359" si="198">G354*I354</f>
        <v>0</v>
      </c>
      <c r="M354" s="356">
        <f t="shared" ref="M354:M359" si="199">G354*J354</f>
        <v>0</v>
      </c>
      <c r="N354" s="1286">
        <f>IF(OR(F354=Utilitaires!$I$572,F354=Utilitaires!$I$577),M354,0)</f>
        <v>0</v>
      </c>
      <c r="X354" s="1092">
        <f>IF(AD354=0,AD354,AD354/D354)</f>
        <v>0</v>
      </c>
      <c r="Y354" s="343"/>
      <c r="Z354" s="820"/>
      <c r="AA354" s="164">
        <f t="shared" ref="AA354:AB359" si="200">L354*BJ354</f>
        <v>0</v>
      </c>
      <c r="AB354" s="164">
        <f t="shared" si="200"/>
        <v>0</v>
      </c>
      <c r="AC354" s="164">
        <f t="shared" ref="AC354:AC359" si="201">K354*BI354</f>
        <v>0</v>
      </c>
      <c r="AD354" s="152">
        <f t="shared" si="187"/>
        <v>0</v>
      </c>
      <c r="AE354" s="165">
        <f t="shared" si="195"/>
        <v>0</v>
      </c>
      <c r="AG354" s="564">
        <f>$G354*IF(ISNA(VLOOKUP($B354&amp;"; "&amp;$H$51&amp;", "&amp;I$52,'FE Déplacements'!$G:$U,10,FALSE)),0,VLOOKUP($B354&amp;"; "&amp;$H$51&amp;", "&amp;I$52,'FE Déplacements'!$G:$U,10,FALSE))</f>
        <v>0</v>
      </c>
      <c r="AH354" s="565">
        <f>$G354*IF(ISNA(VLOOKUP($B354&amp;"; "&amp;$H$51&amp;", "&amp;J$52,'FE Déplacements'!$G:$U,10,FALSE)),0,VLOOKUP($B354&amp;"; "&amp;$H$51&amp;", "&amp;J$52,'FE Déplacements'!$G:$U,10,FALSE))</f>
        <v>0</v>
      </c>
      <c r="AI354" s="565">
        <f>$G354*IF(ISNA(VLOOKUP($B354&amp;"; "&amp;$H$51&amp;", "&amp;H$52,'FE Déplacements'!$G:$U,10,FALSE)),0,VLOOKUP($B354&amp;"; "&amp;$H$51&amp;", "&amp;H$52,'FE Déplacements'!$G:$U,10,FALSE))</f>
        <v>0</v>
      </c>
      <c r="AJ354" s="565">
        <f>$G354*IF(ISNA((VLOOKUP($B354&amp;"; "&amp;$H$51&amp;", "&amp;I$52,'FE Déplacements'!$G:$U,12,FALSE)+VLOOKUP($B354&amp;"; "&amp;$H$51&amp;", "&amp;I$52,'FE Déplacements'!$G:$U,11,FALSE))),0,(VLOOKUP($B354&amp;"; "&amp;$H$51&amp;", "&amp;I$52,'FE Déplacements'!$G:$U,12,FALSE)+VLOOKUP($B354&amp;"; "&amp;$H$51&amp;", "&amp;I$52,'FE Déplacements'!$G:$U,11,FALSE)))</f>
        <v>0</v>
      </c>
      <c r="AK354" s="565">
        <f>$G354*IF(ISNA((VLOOKUP($B354&amp;"; "&amp;$H$51&amp;", "&amp;J$52,'FE Déplacements'!$G:$U,12,FALSE)+VLOOKUP($B354&amp;"; "&amp;$H$51&amp;", "&amp;J$52,'FE Déplacements'!$G:$U,11,FALSE))),0,(VLOOKUP($B354&amp;"; "&amp;$H$51&amp;", "&amp;J$52,'FE Déplacements'!$G:$U,12,FALSE)+VLOOKUP($B354&amp;"; "&amp;$H$51&amp;", "&amp;J$52,'FE Déplacements'!$G:$U,11,FALSE)))</f>
        <v>0</v>
      </c>
      <c r="AL354" s="565">
        <f>$G354*IF(ISNA((VLOOKUP($B354&amp;"; "&amp;$H$51&amp;", "&amp;H$52,'FE Déplacements'!$G:$U,12,FALSE)+VLOOKUP($B354&amp;"; "&amp;$H$51&amp;", "&amp;H$52,'FE Déplacements'!$G:$U,11,FALSE))),0,(VLOOKUP($B354&amp;"; "&amp;$H$51&amp;", "&amp;H$52,'FE Déplacements'!$G:$U,12,FALSE)+VLOOKUP($B354&amp;"; "&amp;$H$51&amp;", "&amp;H$52,'FE Déplacements'!$G:$U,11,FALSE)))</f>
        <v>0</v>
      </c>
      <c r="AM354" s="565">
        <f>$G354*IF(ISNA(VLOOKUP($B354&amp;"; "&amp;$H$51&amp;", "&amp;I$52,'FE Déplacements'!$G:$U,13,FALSE)),0,VLOOKUP($B354&amp;"; "&amp;$H$51&amp;", "&amp;I$52,'FE Déplacements'!$G:$U,13,FALSE))</f>
        <v>0</v>
      </c>
      <c r="AN354" s="565">
        <f>$G354*IF(ISNA(VLOOKUP($B354&amp;"; "&amp;$H$51&amp;", "&amp;J$52,'FE Déplacements'!$G:$U,13,FALSE)),0,VLOOKUP($B354&amp;"; "&amp;$H$51&amp;", "&amp;J$52,'FE Déplacements'!$G:$U,13,FALSE))</f>
        <v>0</v>
      </c>
      <c r="AO354" s="565">
        <f>$G354*IF(ISNA(VLOOKUP($B354&amp;"; "&amp;$H$51&amp;", "&amp;H$52,'FE Déplacements'!$G:$U,13,FALSE)),0,VLOOKUP($B354&amp;"; "&amp;$H$51&amp;", "&amp;H$52,'FE Déplacements'!$G:$U,13,FALSE))</f>
        <v>0</v>
      </c>
      <c r="AP354" s="565">
        <v>0</v>
      </c>
      <c r="AQ354" s="565">
        <v>0</v>
      </c>
      <c r="AR354" s="565">
        <v>0</v>
      </c>
      <c r="AS354" s="1288">
        <f t="shared" ref="AS354:AU359" si="202">SUM(AG354,AJ354,AM354,AP354)</f>
        <v>0</v>
      </c>
      <c r="AT354" s="566">
        <f t="shared" si="202"/>
        <v>0</v>
      </c>
      <c r="AU354" s="566">
        <f t="shared" si="202"/>
        <v>0</v>
      </c>
      <c r="AV354" s="564">
        <f>$G354*IF(ISNA(VLOOKUP($B354&amp;"; "&amp;$H$51&amp;", "&amp;I$52,'FE Déplacements'!$G:$U,15,FALSE)),0,VLOOKUP($B354&amp;"; "&amp;$H$51&amp;", "&amp;I$52,'FE Déplacements'!$G:$U,15,FALSE))</f>
        <v>0</v>
      </c>
      <c r="AW354" s="565">
        <f>$G354*IF(ISNA(VLOOKUP($B354&amp;"; "&amp;$H$51&amp;", "&amp;J$52,'FE Déplacements'!$G:$U,15,FALSE)),0,VLOOKUP($B354&amp;"; "&amp;$H$51&amp;", "&amp;J$52,'FE Déplacements'!$G:$U,15,FALSE))</f>
        <v>0</v>
      </c>
      <c r="AX354" s="568">
        <f>$G354*IF(ISNA(VLOOKUP($B354&amp;"; "&amp;$H$51&amp;", "&amp;H$52,'FE Déplacements'!$G:$U,15,FALSE)),0,VLOOKUP($B354&amp;"; "&amp;$H$51&amp;", "&amp;H$52,'FE Déplacements'!$G:$U,15,FALSE))</f>
        <v>0</v>
      </c>
      <c r="BH354" s="2268">
        <f>IF($Y354&lt;&gt;"votre valeur :",IF(ISNA(VLOOKUP($Y354,Utilitaires!$N$566:$O$571,2,FALSE)),,VLOOKUP($Y354,Utilitaires!$N$566:$O$571,2,FALSE)),$Z354)</f>
        <v>0</v>
      </c>
      <c r="BI354" s="2277">
        <f>IF(ISNA(SQRT(SUMSQ(VLOOKUP($B354&amp;"; "&amp;$H$51&amp;", "&amp;$H$52,'FE Déplacements'!$G:$U,7,FALSE),$BH354))),0,SQRT(SUMSQ(VLOOKUP($B354&amp;"; "&amp;$H$51&amp;", "&amp;$H$52,'FE Déplacements'!$G:$U,7,FALSE),$BH354)))</f>
        <v>0.6</v>
      </c>
      <c r="BJ354" s="2277">
        <f>IF(ISNA(SQRT(SUMSQ(VLOOKUP($B354&amp;"; "&amp;$H$51&amp;", "&amp;$I$52,'FE Déplacements'!$G:$U,7,FALSE),$BH354))),0,SQRT(SUMSQ(VLOOKUP($B354&amp;"; "&amp;$H$51&amp;", "&amp;$I$52,'FE Déplacements'!$G:$U,7,FALSE),$BH354)))</f>
        <v>0.6</v>
      </c>
      <c r="BK354" s="1130">
        <f>IF(ISNA(SQRT(SUMSQ(VLOOKUP($B354&amp;"; "&amp;$H$51&amp;", "&amp;$J$52,'FE Déplacements'!$G:$U,7,FALSE),$BH354))),0,SQRT(SUMSQ(VLOOKUP($B354&amp;"; "&amp;$H$51&amp;", "&amp;$J$52,'FE Déplacements'!$G:$U,7,FALSE),$BH354)))</f>
        <v>0.6</v>
      </c>
    </row>
    <row r="355" spans="2:63" hidden="1" outlineLevel="1">
      <c r="B355" s="180" t="s">
        <v>4046</v>
      </c>
      <c r="C355" s="2264"/>
      <c r="D355" s="212">
        <f t="shared" si="189"/>
        <v>0</v>
      </c>
      <c r="E355" s="212"/>
      <c r="F355" s="530"/>
      <c r="G355" s="398"/>
      <c r="H355" s="219">
        <f>IF(ISNA(VLOOKUP($B355&amp;"; "&amp;$H$51&amp;", "&amp;$H$52,'FE Déplacements'!$G:$U,9,FALSE)),0,VLOOKUP($B355&amp;"; "&amp;$H$51&amp;", "&amp;$H$52,'FE Déplacements'!$G:$U,9,FALSE))</f>
        <v>2.5600000000000001E-2</v>
      </c>
      <c r="I355" s="410">
        <f>IF(ISNA(VLOOKUP($B355&amp;"; "&amp;$H$51&amp;", "&amp;$I$52,'FE Déplacements'!$G:$U,9,FALSE)),0,VLOOKUP($B355&amp;"; "&amp;$H$51&amp;", "&amp;$I$52,'FE Déplacements'!$G:$U,9,FALSE))</f>
        <v>1.5100000000000001E-2</v>
      </c>
      <c r="J355" s="410">
        <f>IF(ISNA(VLOOKUP($B355&amp;"; "&amp;$H$51&amp;", "&amp;$J$52,'FE Déplacements'!$G:$U,9,FALSE)),0,VLOOKUP($B355&amp;"; "&amp;$H$51&amp;", "&amp;$J$52,'FE Déplacements'!$G:$U,9,FALSE))</f>
        <v>6.8500000000000005E-2</v>
      </c>
      <c r="K355" s="356">
        <f t="shared" si="197"/>
        <v>0</v>
      </c>
      <c r="L355" s="356">
        <f t="shared" si="198"/>
        <v>0</v>
      </c>
      <c r="M355" s="356">
        <f t="shared" si="199"/>
        <v>0</v>
      </c>
      <c r="N355" s="1286">
        <f>IF(OR(F355=Utilitaires!$I$572,F355=Utilitaires!$I$577),M355,0)</f>
        <v>0</v>
      </c>
      <c r="X355" s="1092">
        <f t="shared" ref="X355:X359" si="203">IF(AD355=0,AD355,AD355/D355)</f>
        <v>0</v>
      </c>
      <c r="Y355" s="343"/>
      <c r="Z355" s="820"/>
      <c r="AA355" s="164">
        <f t="shared" si="200"/>
        <v>0</v>
      </c>
      <c r="AB355" s="164">
        <f t="shared" si="200"/>
        <v>0</v>
      </c>
      <c r="AC355" s="164">
        <f t="shared" si="201"/>
        <v>0</v>
      </c>
      <c r="AD355" s="152">
        <f t="shared" si="187"/>
        <v>0</v>
      </c>
      <c r="AE355" s="165">
        <f t="shared" si="195"/>
        <v>0</v>
      </c>
      <c r="AG355" s="564">
        <f>$G355*IF(ISNA(VLOOKUP($B355&amp;"; "&amp;$H$51&amp;", "&amp;I$52,'FE Déplacements'!$G:$U,10,FALSE)),0,VLOOKUP($B355&amp;"; "&amp;$H$51&amp;", "&amp;I$52,'FE Déplacements'!$G:$U,10,FALSE))</f>
        <v>0</v>
      </c>
      <c r="AH355" s="565">
        <f>$G355*IF(ISNA(VLOOKUP($B355&amp;"; "&amp;$H$51&amp;", "&amp;J$52,'FE Déplacements'!$G:$U,10,FALSE)),0,VLOOKUP($B355&amp;"; "&amp;$H$51&amp;", "&amp;J$52,'FE Déplacements'!$G:$U,10,FALSE))</f>
        <v>0</v>
      </c>
      <c r="AI355" s="565">
        <f>$G355*IF(ISNA(VLOOKUP($B355&amp;"; "&amp;$H$51&amp;", "&amp;H$52,'FE Déplacements'!$G:$U,10,FALSE)),0,VLOOKUP($B355&amp;"; "&amp;$H$51&amp;", "&amp;H$52,'FE Déplacements'!$G:$U,10,FALSE))</f>
        <v>0</v>
      </c>
      <c r="AJ355" s="565">
        <f>$G355*IF(ISNA((VLOOKUP($B355&amp;"; "&amp;$H$51&amp;", "&amp;I$52,'FE Déplacements'!$G:$U,12,FALSE)+VLOOKUP($B355&amp;"; "&amp;$H$51&amp;", "&amp;I$52,'FE Déplacements'!$G:$U,11,FALSE))),0,(VLOOKUP($B355&amp;"; "&amp;$H$51&amp;", "&amp;I$52,'FE Déplacements'!$G:$U,12,FALSE)+VLOOKUP($B355&amp;"; "&amp;$H$51&amp;", "&amp;I$52,'FE Déplacements'!$G:$U,11,FALSE)))</f>
        <v>0</v>
      </c>
      <c r="AK355" s="565">
        <f>$G355*IF(ISNA((VLOOKUP($B355&amp;"; "&amp;$H$51&amp;", "&amp;J$52,'FE Déplacements'!$G:$U,12,FALSE)+VLOOKUP($B355&amp;"; "&amp;$H$51&amp;", "&amp;J$52,'FE Déplacements'!$G:$U,11,FALSE))),0,(VLOOKUP($B355&amp;"; "&amp;$H$51&amp;", "&amp;J$52,'FE Déplacements'!$G:$U,12,FALSE)+VLOOKUP($B355&amp;"; "&amp;$H$51&amp;", "&amp;J$52,'FE Déplacements'!$G:$U,11,FALSE)))</f>
        <v>0</v>
      </c>
      <c r="AL355" s="565">
        <f>$G355*IF(ISNA((VLOOKUP($B355&amp;"; "&amp;$H$51&amp;", "&amp;H$52,'FE Déplacements'!$G:$U,12,FALSE)+VLOOKUP($B355&amp;"; "&amp;$H$51&amp;", "&amp;H$52,'FE Déplacements'!$G:$U,11,FALSE))),0,(VLOOKUP($B355&amp;"; "&amp;$H$51&amp;", "&amp;H$52,'FE Déplacements'!$G:$U,12,FALSE)+VLOOKUP($B355&amp;"; "&amp;$H$51&amp;", "&amp;H$52,'FE Déplacements'!$G:$U,11,FALSE)))</f>
        <v>0</v>
      </c>
      <c r="AM355" s="565">
        <f>$G355*IF(ISNA(VLOOKUP($B355&amp;"; "&amp;$H$51&amp;", "&amp;I$52,'FE Déplacements'!$G:$U,13,FALSE)),0,VLOOKUP($B355&amp;"; "&amp;$H$51&amp;", "&amp;I$52,'FE Déplacements'!$G:$U,13,FALSE))</f>
        <v>0</v>
      </c>
      <c r="AN355" s="565">
        <f>$G355*IF(ISNA(VLOOKUP($B355&amp;"; "&amp;$H$51&amp;", "&amp;J$52,'FE Déplacements'!$G:$U,13,FALSE)),0,VLOOKUP($B355&amp;"; "&amp;$H$51&amp;", "&amp;J$52,'FE Déplacements'!$G:$U,13,FALSE))</f>
        <v>0</v>
      </c>
      <c r="AO355" s="565">
        <f>$G355*IF(ISNA(VLOOKUP($B355&amp;"; "&amp;$H$51&amp;", "&amp;H$52,'FE Déplacements'!$G:$U,13,FALSE)),0,VLOOKUP($B355&amp;"; "&amp;$H$51&amp;", "&amp;H$52,'FE Déplacements'!$G:$U,13,FALSE))</f>
        <v>0</v>
      </c>
      <c r="AP355" s="565">
        <v>0</v>
      </c>
      <c r="AQ355" s="565">
        <v>0</v>
      </c>
      <c r="AR355" s="565">
        <v>0</v>
      </c>
      <c r="AS355" s="1288">
        <f t="shared" si="202"/>
        <v>0</v>
      </c>
      <c r="AT355" s="566">
        <f t="shared" si="202"/>
        <v>0</v>
      </c>
      <c r="AU355" s="566">
        <f t="shared" si="202"/>
        <v>0</v>
      </c>
      <c r="AV355" s="564">
        <f>$G355*IF(ISNA(VLOOKUP($B355&amp;"; "&amp;$H$51&amp;", "&amp;I$52,'FE Déplacements'!$G:$U,15,FALSE)),0,VLOOKUP($B355&amp;"; "&amp;$H$51&amp;", "&amp;I$52,'FE Déplacements'!$G:$U,15,FALSE))</f>
        <v>0</v>
      </c>
      <c r="AW355" s="565">
        <f>$G355*IF(ISNA(VLOOKUP($B355&amp;"; "&amp;$H$51&amp;", "&amp;J$52,'FE Déplacements'!$G:$U,15,FALSE)),0,VLOOKUP($B355&amp;"; "&amp;$H$51&amp;", "&amp;J$52,'FE Déplacements'!$G:$U,15,FALSE))</f>
        <v>0</v>
      </c>
      <c r="AX355" s="568">
        <f>$G355*IF(ISNA(VLOOKUP($B355&amp;"; "&amp;$H$51&amp;", "&amp;H$52,'FE Déplacements'!$G:$U,15,FALSE)),0,VLOOKUP($B355&amp;"; "&amp;$H$51&amp;", "&amp;H$52,'FE Déplacements'!$G:$U,15,FALSE))</f>
        <v>0</v>
      </c>
      <c r="BH355" s="2268">
        <f>IF($Y355&lt;&gt;"votre valeur :",IF(ISNA(VLOOKUP($Y355,Utilitaires!$N$566:$O$571,2,FALSE)),,VLOOKUP($Y355,Utilitaires!$N$566:$O$571,2,FALSE)),$Z355)</f>
        <v>0</v>
      </c>
      <c r="BI355" s="2277">
        <f>IF(ISNA(SQRT(SUMSQ(VLOOKUP($B355&amp;"; "&amp;$H$51&amp;", "&amp;$H$52,'FE Déplacements'!$G:$U,7,FALSE),$BH355))),0,SQRT(SUMSQ(VLOOKUP($B355&amp;"; "&amp;$H$51&amp;", "&amp;$H$52,'FE Déplacements'!$G:$U,7,FALSE),$BH355)))</f>
        <v>0.6</v>
      </c>
      <c r="BJ355" s="2277">
        <f>IF(ISNA(SQRT(SUMSQ(VLOOKUP($B355&amp;"; "&amp;$H$51&amp;", "&amp;$I$52,'FE Déplacements'!$G:$U,7,FALSE),$BH355))),0,SQRT(SUMSQ(VLOOKUP($B355&amp;"; "&amp;$H$51&amp;", "&amp;$I$52,'FE Déplacements'!$G:$U,7,FALSE),$BH355)))</f>
        <v>0.6</v>
      </c>
      <c r="BK355" s="1130">
        <f>IF(ISNA(SQRT(SUMSQ(VLOOKUP($B355&amp;"; "&amp;$H$51&amp;", "&amp;$J$52,'FE Déplacements'!$G:$U,7,FALSE),$BH355))),0,SQRT(SUMSQ(VLOOKUP($B355&amp;"; "&amp;$H$51&amp;", "&amp;$J$52,'FE Déplacements'!$G:$U,7,FALSE),$BH355)))</f>
        <v>0.6</v>
      </c>
    </row>
    <row r="356" spans="2:63" hidden="1" outlineLevel="1">
      <c r="B356" s="180" t="s">
        <v>4047</v>
      </c>
      <c r="C356" s="2264"/>
      <c r="D356" s="212">
        <f t="shared" si="189"/>
        <v>0</v>
      </c>
      <c r="E356" s="212"/>
      <c r="F356" s="530"/>
      <c r="G356" s="398"/>
      <c r="H356" s="219">
        <f>IF(ISNA(VLOOKUP($B356&amp;"; "&amp;$H$51&amp;", "&amp;$H$52,'FE Déplacements'!$G:$U,9,FALSE)),0,VLOOKUP($B356&amp;"; "&amp;$H$51&amp;", "&amp;$H$52,'FE Déplacements'!$G:$U,9,FALSE))</f>
        <v>2.5600000000000001E-2</v>
      </c>
      <c r="I356" s="410">
        <f>IF(ISNA(VLOOKUP($B356&amp;"; "&amp;$H$51&amp;", "&amp;$I$52,'FE Déplacements'!$G:$U,9,FALSE)),0,VLOOKUP($B356&amp;"; "&amp;$H$51&amp;", "&amp;$I$52,'FE Déplacements'!$G:$U,9,FALSE))</f>
        <v>2.7400000000000001E-2</v>
      </c>
      <c r="J356" s="410">
        <f>IF(ISNA(VLOOKUP($B356&amp;"; "&amp;$H$51&amp;", "&amp;$J$52,'FE Déplacements'!$G:$U,9,FALSE)),0,VLOOKUP($B356&amp;"; "&amp;$H$51&amp;", "&amp;$J$52,'FE Déplacements'!$G:$U,9,FALSE))</f>
        <v>0.112</v>
      </c>
      <c r="K356" s="356">
        <f t="shared" si="197"/>
        <v>0</v>
      </c>
      <c r="L356" s="356">
        <f t="shared" si="198"/>
        <v>0</v>
      </c>
      <c r="M356" s="356">
        <f t="shared" si="199"/>
        <v>0</v>
      </c>
      <c r="N356" s="1286">
        <f>IF(OR(F356=Utilitaires!$I$572,F356=Utilitaires!$I$577),M356,0)</f>
        <v>0</v>
      </c>
      <c r="X356" s="1092">
        <f t="shared" si="203"/>
        <v>0</v>
      </c>
      <c r="Y356" s="343"/>
      <c r="Z356" s="820"/>
      <c r="AA356" s="164">
        <f t="shared" si="200"/>
        <v>0</v>
      </c>
      <c r="AB356" s="164">
        <f t="shared" si="200"/>
        <v>0</v>
      </c>
      <c r="AC356" s="164">
        <f t="shared" si="201"/>
        <v>0</v>
      </c>
      <c r="AD356" s="152">
        <f t="shared" si="187"/>
        <v>0</v>
      </c>
      <c r="AE356" s="165">
        <f t="shared" si="195"/>
        <v>0</v>
      </c>
      <c r="AG356" s="564">
        <f>$G356*IF(ISNA(VLOOKUP($B356&amp;"; "&amp;$H$51&amp;", "&amp;I$52,'FE Déplacements'!$G:$U,10,FALSE)),0,VLOOKUP($B356&amp;"; "&amp;$H$51&amp;", "&amp;I$52,'FE Déplacements'!$G:$U,10,FALSE))</f>
        <v>0</v>
      </c>
      <c r="AH356" s="565">
        <f>$G356*IF(ISNA(VLOOKUP($B356&amp;"; "&amp;$H$51&amp;", "&amp;J$52,'FE Déplacements'!$G:$U,10,FALSE)),0,VLOOKUP($B356&amp;"; "&amp;$H$51&amp;", "&amp;J$52,'FE Déplacements'!$G:$U,10,FALSE))</f>
        <v>0</v>
      </c>
      <c r="AI356" s="565">
        <f>$G356*IF(ISNA(VLOOKUP($B356&amp;"; "&amp;$H$51&amp;", "&amp;H$52,'FE Déplacements'!$G:$U,10,FALSE)),0,VLOOKUP($B356&amp;"; "&amp;$H$51&amp;", "&amp;H$52,'FE Déplacements'!$G:$U,10,FALSE))</f>
        <v>0</v>
      </c>
      <c r="AJ356" s="565">
        <f>$G356*IF(ISNA((VLOOKUP($B356&amp;"; "&amp;$H$51&amp;", "&amp;I$52,'FE Déplacements'!$G:$U,12,FALSE)+VLOOKUP($B356&amp;"; "&amp;$H$51&amp;", "&amp;I$52,'FE Déplacements'!$G:$U,11,FALSE))),0,(VLOOKUP($B356&amp;"; "&amp;$H$51&amp;", "&amp;I$52,'FE Déplacements'!$G:$U,12,FALSE)+VLOOKUP($B356&amp;"; "&amp;$H$51&amp;", "&amp;I$52,'FE Déplacements'!$G:$U,11,FALSE)))</f>
        <v>0</v>
      </c>
      <c r="AK356" s="565">
        <f>$G356*IF(ISNA((VLOOKUP($B356&amp;"; "&amp;$H$51&amp;", "&amp;J$52,'FE Déplacements'!$G:$U,12,FALSE)+VLOOKUP($B356&amp;"; "&amp;$H$51&amp;", "&amp;J$52,'FE Déplacements'!$G:$U,11,FALSE))),0,(VLOOKUP($B356&amp;"; "&amp;$H$51&amp;", "&amp;J$52,'FE Déplacements'!$G:$U,12,FALSE)+VLOOKUP($B356&amp;"; "&amp;$H$51&amp;", "&amp;J$52,'FE Déplacements'!$G:$U,11,FALSE)))</f>
        <v>0</v>
      </c>
      <c r="AL356" s="565">
        <f>$G356*IF(ISNA((VLOOKUP($B356&amp;"; "&amp;$H$51&amp;", "&amp;H$52,'FE Déplacements'!$G:$U,12,FALSE)+VLOOKUP($B356&amp;"; "&amp;$H$51&amp;", "&amp;H$52,'FE Déplacements'!$G:$U,11,FALSE))),0,(VLOOKUP($B356&amp;"; "&amp;$H$51&amp;", "&amp;H$52,'FE Déplacements'!$G:$U,12,FALSE)+VLOOKUP($B356&amp;"; "&amp;$H$51&amp;", "&amp;H$52,'FE Déplacements'!$G:$U,11,FALSE)))</f>
        <v>0</v>
      </c>
      <c r="AM356" s="565">
        <f>$G356*IF(ISNA(VLOOKUP($B356&amp;"; "&amp;$H$51&amp;", "&amp;I$52,'FE Déplacements'!$G:$U,13,FALSE)),0,VLOOKUP($B356&amp;"; "&amp;$H$51&amp;", "&amp;I$52,'FE Déplacements'!$G:$U,13,FALSE))</f>
        <v>0</v>
      </c>
      <c r="AN356" s="565">
        <f>$G356*IF(ISNA(VLOOKUP($B356&amp;"; "&amp;$H$51&amp;", "&amp;J$52,'FE Déplacements'!$G:$U,13,FALSE)),0,VLOOKUP($B356&amp;"; "&amp;$H$51&amp;", "&amp;J$52,'FE Déplacements'!$G:$U,13,FALSE))</f>
        <v>0</v>
      </c>
      <c r="AO356" s="565">
        <f>$G356*IF(ISNA(VLOOKUP($B356&amp;"; "&amp;$H$51&amp;", "&amp;H$52,'FE Déplacements'!$G:$U,13,FALSE)),0,VLOOKUP($B356&amp;"; "&amp;$H$51&amp;", "&amp;H$52,'FE Déplacements'!$G:$U,13,FALSE))</f>
        <v>0</v>
      </c>
      <c r="AP356" s="565">
        <v>0</v>
      </c>
      <c r="AQ356" s="565">
        <v>0</v>
      </c>
      <c r="AR356" s="565">
        <v>0</v>
      </c>
      <c r="AS356" s="1288">
        <f t="shared" si="202"/>
        <v>0</v>
      </c>
      <c r="AT356" s="566">
        <f t="shared" si="202"/>
        <v>0</v>
      </c>
      <c r="AU356" s="566">
        <f t="shared" si="202"/>
        <v>0</v>
      </c>
      <c r="AV356" s="564">
        <f>$G356*IF(ISNA(VLOOKUP($B356&amp;"; "&amp;$H$51&amp;", "&amp;I$52,'FE Déplacements'!$G:$U,15,FALSE)),0,VLOOKUP($B356&amp;"; "&amp;$H$51&amp;", "&amp;I$52,'FE Déplacements'!$G:$U,15,FALSE))</f>
        <v>0</v>
      </c>
      <c r="AW356" s="565">
        <f>$G356*IF(ISNA(VLOOKUP($B356&amp;"; "&amp;$H$51&amp;", "&amp;J$52,'FE Déplacements'!$G:$U,15,FALSE)),0,VLOOKUP($B356&amp;"; "&amp;$H$51&amp;", "&amp;J$52,'FE Déplacements'!$G:$U,15,FALSE))</f>
        <v>0</v>
      </c>
      <c r="AX356" s="568">
        <f>$G356*IF(ISNA(VLOOKUP($B356&amp;"; "&amp;$H$51&amp;", "&amp;H$52,'FE Déplacements'!$G:$U,15,FALSE)),0,VLOOKUP($B356&amp;"; "&amp;$H$51&amp;", "&amp;H$52,'FE Déplacements'!$G:$U,15,FALSE))</f>
        <v>0</v>
      </c>
      <c r="BH356" s="2268">
        <f>IF($Y356&lt;&gt;"votre valeur :",IF(ISNA(VLOOKUP($Y356,Utilitaires!$N$566:$O$571,2,FALSE)),,VLOOKUP($Y356,Utilitaires!$N$566:$O$571,2,FALSE)),$Z356)</f>
        <v>0</v>
      </c>
      <c r="BI356" s="2277">
        <f>IF(ISNA(SQRT(SUMSQ(VLOOKUP($B356&amp;"; "&amp;$H$51&amp;", "&amp;$H$52,'FE Déplacements'!$G:$U,7,FALSE),$BH356))),0,SQRT(SUMSQ(VLOOKUP($B356&amp;"; "&amp;$H$51&amp;", "&amp;$H$52,'FE Déplacements'!$G:$U,7,FALSE),$BH356)))</f>
        <v>0.6</v>
      </c>
      <c r="BJ356" s="2277">
        <f>IF(ISNA(SQRT(SUMSQ(VLOOKUP($B356&amp;"; "&amp;$H$51&amp;", "&amp;$I$52,'FE Déplacements'!$G:$U,7,FALSE),$BH356))),0,SQRT(SUMSQ(VLOOKUP($B356&amp;"; "&amp;$H$51&amp;", "&amp;$I$52,'FE Déplacements'!$G:$U,7,FALSE),$BH356)))</f>
        <v>0.6</v>
      </c>
      <c r="BK356" s="1130">
        <f>IF(ISNA(SQRT(SUMSQ(VLOOKUP($B356&amp;"; "&amp;$H$51&amp;", "&amp;$J$52,'FE Déplacements'!$G:$U,7,FALSE),$BH356))),0,SQRT(SUMSQ(VLOOKUP($B356&amp;"; "&amp;$H$51&amp;", "&amp;$J$52,'FE Déplacements'!$G:$U,7,FALSE),$BH356)))</f>
        <v>0.6</v>
      </c>
    </row>
    <row r="357" spans="2:63" hidden="1" outlineLevel="1">
      <c r="B357" s="180" t="s">
        <v>4048</v>
      </c>
      <c r="C357" s="2264"/>
      <c r="D357" s="212">
        <f t="shared" si="189"/>
        <v>0</v>
      </c>
      <c r="E357" s="212"/>
      <c r="F357" s="530"/>
      <c r="G357" s="398"/>
      <c r="H357" s="219">
        <f>IF(ISNA(VLOOKUP($B357&amp;"; "&amp;$H$51&amp;", "&amp;$H$52,'FE Déplacements'!$G:$U,9,FALSE)),0,VLOOKUP($B357&amp;"; "&amp;$H$51&amp;", "&amp;$H$52,'FE Déplacements'!$G:$U,9,FALSE))</f>
        <v>2.5600000000000001E-2</v>
      </c>
      <c r="I357" s="410">
        <f>IF(ISNA(VLOOKUP($B357&amp;"; "&amp;$H$51&amp;", "&amp;$I$52,'FE Déplacements'!$G:$U,9,FALSE)),0,VLOOKUP($B357&amp;"; "&amp;$H$51&amp;", "&amp;$I$52,'FE Déplacements'!$G:$U,9,FALSE))</f>
        <v>2.2800000000000001E-2</v>
      </c>
      <c r="J357" s="410">
        <f>IF(ISNA(VLOOKUP($B357&amp;"; "&amp;$H$51&amp;", "&amp;$J$52,'FE Déplacements'!$G:$U,9,FALSE)),0,VLOOKUP($B357&amp;"; "&amp;$H$51&amp;", "&amp;$J$52,'FE Déplacements'!$G:$U,9,FALSE))</f>
        <v>9.35E-2</v>
      </c>
      <c r="K357" s="356">
        <f t="shared" si="197"/>
        <v>0</v>
      </c>
      <c r="L357" s="356">
        <f t="shared" si="198"/>
        <v>0</v>
      </c>
      <c r="M357" s="356">
        <f t="shared" si="199"/>
        <v>0</v>
      </c>
      <c r="N357" s="1286">
        <f>IF(OR(F357=Utilitaires!$I$572,F357=Utilitaires!$I$577),M357,0)</f>
        <v>0</v>
      </c>
      <c r="X357" s="1092">
        <f t="shared" si="203"/>
        <v>0</v>
      </c>
      <c r="Y357" s="1094"/>
      <c r="Z357" s="820"/>
      <c r="AA357" s="164">
        <f t="shared" si="200"/>
        <v>0</v>
      </c>
      <c r="AB357" s="164">
        <f t="shared" si="200"/>
        <v>0</v>
      </c>
      <c r="AC357" s="164">
        <f t="shared" si="201"/>
        <v>0</v>
      </c>
      <c r="AD357" s="152">
        <f t="shared" si="187"/>
        <v>0</v>
      </c>
      <c r="AE357" s="165">
        <f t="shared" si="195"/>
        <v>0</v>
      </c>
      <c r="AG357" s="564">
        <f>$G357*IF(ISNA(VLOOKUP($B357&amp;"; "&amp;$H$51&amp;", "&amp;I$52,'FE Déplacements'!$G:$U,10,FALSE)),0,VLOOKUP($B357&amp;"; "&amp;$H$51&amp;", "&amp;I$52,'FE Déplacements'!$G:$U,10,FALSE))</f>
        <v>0</v>
      </c>
      <c r="AH357" s="565">
        <f>$G357*IF(ISNA(VLOOKUP($B357&amp;"; "&amp;$H$51&amp;", "&amp;J$52,'FE Déplacements'!$G:$U,10,FALSE)),0,VLOOKUP($B357&amp;"; "&amp;$H$51&amp;", "&amp;J$52,'FE Déplacements'!$G:$U,10,FALSE))</f>
        <v>0</v>
      </c>
      <c r="AI357" s="565">
        <f>$G357*IF(ISNA(VLOOKUP($B357&amp;"; "&amp;$H$51&amp;", "&amp;H$52,'FE Déplacements'!$G:$U,10,FALSE)),0,VLOOKUP($B357&amp;"; "&amp;$H$51&amp;", "&amp;H$52,'FE Déplacements'!$G:$U,10,FALSE))</f>
        <v>0</v>
      </c>
      <c r="AJ357" s="565">
        <f>$G357*IF(ISNA((VLOOKUP($B357&amp;"; "&amp;$H$51&amp;", "&amp;I$52,'FE Déplacements'!$G:$U,12,FALSE)+VLOOKUP($B357&amp;"; "&amp;$H$51&amp;", "&amp;I$52,'FE Déplacements'!$G:$U,11,FALSE))),0,(VLOOKUP($B357&amp;"; "&amp;$H$51&amp;", "&amp;I$52,'FE Déplacements'!$G:$U,12,FALSE)+VLOOKUP($B357&amp;"; "&amp;$H$51&amp;", "&amp;I$52,'FE Déplacements'!$G:$U,11,FALSE)))</f>
        <v>0</v>
      </c>
      <c r="AK357" s="565">
        <f>$G357*IF(ISNA((VLOOKUP($B357&amp;"; "&amp;$H$51&amp;", "&amp;J$52,'FE Déplacements'!$G:$U,12,FALSE)+VLOOKUP($B357&amp;"; "&amp;$H$51&amp;", "&amp;J$52,'FE Déplacements'!$G:$U,11,FALSE))),0,(VLOOKUP($B357&amp;"; "&amp;$H$51&amp;", "&amp;J$52,'FE Déplacements'!$G:$U,12,FALSE)+VLOOKUP($B357&amp;"; "&amp;$H$51&amp;", "&amp;J$52,'FE Déplacements'!$G:$U,11,FALSE)))</f>
        <v>0</v>
      </c>
      <c r="AL357" s="565">
        <f>$G357*IF(ISNA((VLOOKUP($B357&amp;"; "&amp;$H$51&amp;", "&amp;H$52,'FE Déplacements'!$G:$U,12,FALSE)+VLOOKUP($B357&amp;"; "&amp;$H$51&amp;", "&amp;H$52,'FE Déplacements'!$G:$U,11,FALSE))),0,(VLOOKUP($B357&amp;"; "&amp;$H$51&amp;", "&amp;H$52,'FE Déplacements'!$G:$U,12,FALSE)+VLOOKUP($B357&amp;"; "&amp;$H$51&amp;", "&amp;H$52,'FE Déplacements'!$G:$U,11,FALSE)))</f>
        <v>0</v>
      </c>
      <c r="AM357" s="565">
        <f>$G357*IF(ISNA(VLOOKUP($B357&amp;"; "&amp;$H$51&amp;", "&amp;I$52,'FE Déplacements'!$G:$U,13,FALSE)),0,VLOOKUP($B357&amp;"; "&amp;$H$51&amp;", "&amp;I$52,'FE Déplacements'!$G:$U,13,FALSE))</f>
        <v>0</v>
      </c>
      <c r="AN357" s="565">
        <f>$G357*IF(ISNA(VLOOKUP($B357&amp;"; "&amp;$H$51&amp;", "&amp;J$52,'FE Déplacements'!$G:$U,13,FALSE)),0,VLOOKUP($B357&amp;"; "&amp;$H$51&amp;", "&amp;J$52,'FE Déplacements'!$G:$U,13,FALSE))</f>
        <v>0</v>
      </c>
      <c r="AO357" s="565">
        <f>$G357*IF(ISNA(VLOOKUP($B357&amp;"; "&amp;$H$51&amp;", "&amp;H$52,'FE Déplacements'!$G:$U,13,FALSE)),0,VLOOKUP($B357&amp;"; "&amp;$H$51&amp;", "&amp;H$52,'FE Déplacements'!$G:$U,13,FALSE))</f>
        <v>0</v>
      </c>
      <c r="AP357" s="565">
        <v>0</v>
      </c>
      <c r="AQ357" s="565">
        <v>0</v>
      </c>
      <c r="AR357" s="565">
        <v>0</v>
      </c>
      <c r="AS357" s="1288">
        <f t="shared" si="202"/>
        <v>0</v>
      </c>
      <c r="AT357" s="566">
        <f t="shared" si="202"/>
        <v>0</v>
      </c>
      <c r="AU357" s="566">
        <f t="shared" si="202"/>
        <v>0</v>
      </c>
      <c r="AV357" s="564">
        <f>$G357*IF(ISNA(VLOOKUP($B357&amp;"; "&amp;$H$51&amp;", "&amp;I$52,'FE Déplacements'!$G:$U,15,FALSE)),0,VLOOKUP($B357&amp;"; "&amp;$H$51&amp;", "&amp;I$52,'FE Déplacements'!$G:$U,15,FALSE))</f>
        <v>0</v>
      </c>
      <c r="AW357" s="565">
        <f>$G357*IF(ISNA(VLOOKUP($B357&amp;"; "&amp;$H$51&amp;", "&amp;J$52,'FE Déplacements'!$G:$U,15,FALSE)),0,VLOOKUP($B357&amp;"; "&amp;$H$51&amp;", "&amp;J$52,'FE Déplacements'!$G:$U,15,FALSE))</f>
        <v>0</v>
      </c>
      <c r="AX357" s="568">
        <f>$G357*IF(ISNA(VLOOKUP($B357&amp;"; "&amp;$H$51&amp;", "&amp;H$52,'FE Déplacements'!$G:$U,15,FALSE)),0,VLOOKUP($B357&amp;"; "&amp;$H$51&amp;", "&amp;H$52,'FE Déplacements'!$G:$U,15,FALSE))</f>
        <v>0</v>
      </c>
      <c r="BH357" s="2268">
        <f>IF($Y357&lt;&gt;"votre valeur :",IF(ISNA(VLOOKUP($Y357,Utilitaires!$N$566:$O$571,2,FALSE)),,VLOOKUP($Y357,Utilitaires!$N$566:$O$571,2,FALSE)),$Z357)</f>
        <v>0</v>
      </c>
      <c r="BI357" s="2277">
        <f>IF(ISNA(SQRT(SUMSQ(VLOOKUP($B357&amp;"; "&amp;$H$51&amp;", "&amp;$H$52,'FE Déplacements'!$G:$U,7,FALSE),$BH357))),0,SQRT(SUMSQ(VLOOKUP($B357&amp;"; "&amp;$H$51&amp;", "&amp;$H$52,'FE Déplacements'!$G:$U,7,FALSE),$BH357)))</f>
        <v>0.6</v>
      </c>
      <c r="BJ357" s="2277">
        <f>IF(ISNA(SQRT(SUMSQ(VLOOKUP($B357&amp;"; "&amp;$H$51&amp;", "&amp;$I$52,'FE Déplacements'!$G:$U,7,FALSE),$BH357))),0,SQRT(SUMSQ(VLOOKUP($B357&amp;"; "&amp;$H$51&amp;", "&amp;$I$52,'FE Déplacements'!$G:$U,7,FALSE),$BH357)))</f>
        <v>0.6</v>
      </c>
      <c r="BK357" s="1130">
        <f>IF(ISNA(SQRT(SUMSQ(VLOOKUP($B357&amp;"; "&amp;$H$51&amp;", "&amp;$J$52,'FE Déplacements'!$G:$U,7,FALSE),$BH357))),0,SQRT(SUMSQ(VLOOKUP($B357&amp;"; "&amp;$H$51&amp;", "&amp;$J$52,'FE Déplacements'!$G:$U,7,FALSE),$BH357)))</f>
        <v>0.6</v>
      </c>
    </row>
    <row r="358" spans="2:63" hidden="1" outlineLevel="1">
      <c r="B358" s="180" t="s">
        <v>4049</v>
      </c>
      <c r="C358" s="2264"/>
      <c r="D358" s="212">
        <f t="shared" si="189"/>
        <v>0</v>
      </c>
      <c r="E358" s="212"/>
      <c r="F358" s="530"/>
      <c r="G358" s="398"/>
      <c r="H358" s="219">
        <f>IF(ISNA(VLOOKUP($B358&amp;"; "&amp;$H$51&amp;", "&amp;$H$52,'FE Déplacements'!$G:$U,9,FALSE)),0,VLOOKUP($B358&amp;"; "&amp;$H$51&amp;", "&amp;$H$52,'FE Déplacements'!$G:$U,9,FALSE))</f>
        <v>2.5600000000000001E-2</v>
      </c>
      <c r="I358" s="410">
        <f>IF(ISNA(VLOOKUP($B358&amp;"; "&amp;$H$51&amp;", "&amp;$I$52,'FE Déplacements'!$G:$U,9,FALSE)),0,VLOOKUP($B358&amp;"; "&amp;$H$51&amp;", "&amp;$I$52,'FE Déplacements'!$G:$U,9,FALSE))</f>
        <v>1.2E-2</v>
      </c>
      <c r="J358" s="410">
        <f>IF(ISNA(VLOOKUP($B358&amp;"; "&amp;$H$51&amp;", "&amp;$J$52,'FE Déplacements'!$G:$U,9,FALSE)),0,VLOOKUP($B358&amp;"; "&amp;$H$51&amp;", "&amp;$J$52,'FE Déplacements'!$G:$U,9,FALSE))</f>
        <v>7.4999999999999997E-2</v>
      </c>
      <c r="K358" s="356">
        <f t="shared" si="197"/>
        <v>0</v>
      </c>
      <c r="L358" s="356">
        <f t="shared" si="198"/>
        <v>0</v>
      </c>
      <c r="M358" s="356">
        <f t="shared" si="199"/>
        <v>0</v>
      </c>
      <c r="N358" s="1286">
        <f>IF(OR(F358=Utilitaires!$I$572,F358=Utilitaires!$I$577),M358,0)</f>
        <v>0</v>
      </c>
      <c r="X358" s="1092">
        <f t="shared" si="203"/>
        <v>0</v>
      </c>
      <c r="Y358" s="343"/>
      <c r="Z358" s="820"/>
      <c r="AA358" s="164">
        <f t="shared" si="200"/>
        <v>0</v>
      </c>
      <c r="AB358" s="164">
        <f t="shared" si="200"/>
        <v>0</v>
      </c>
      <c r="AC358" s="164">
        <f t="shared" si="201"/>
        <v>0</v>
      </c>
      <c r="AD358" s="152">
        <f t="shared" si="187"/>
        <v>0</v>
      </c>
      <c r="AE358" s="165">
        <f t="shared" si="195"/>
        <v>0</v>
      </c>
      <c r="AG358" s="564">
        <f>$G358*IF(ISNA(VLOOKUP($B358&amp;"; "&amp;$H$51&amp;", "&amp;I$52,'FE Déplacements'!$G:$U,10,FALSE)),0,VLOOKUP($B358&amp;"; "&amp;$H$51&amp;", "&amp;I$52,'FE Déplacements'!$G:$U,10,FALSE))</f>
        <v>0</v>
      </c>
      <c r="AH358" s="565">
        <f>$G358*IF(ISNA(VLOOKUP($B358&amp;"; "&amp;$H$51&amp;", "&amp;J$52,'FE Déplacements'!$G:$U,10,FALSE)),0,VLOOKUP($B358&amp;"; "&amp;$H$51&amp;", "&amp;J$52,'FE Déplacements'!$G:$U,10,FALSE))</f>
        <v>0</v>
      </c>
      <c r="AI358" s="565">
        <f>$G358*IF(ISNA(VLOOKUP($B358&amp;"; "&amp;$H$51&amp;", "&amp;H$52,'FE Déplacements'!$G:$U,10,FALSE)),0,VLOOKUP($B358&amp;"; "&amp;$H$51&amp;", "&amp;H$52,'FE Déplacements'!$G:$U,10,FALSE))</f>
        <v>0</v>
      </c>
      <c r="AJ358" s="565">
        <f>$G358*IF(ISNA((VLOOKUP($B358&amp;"; "&amp;$H$51&amp;", "&amp;I$52,'FE Déplacements'!$G:$U,12,FALSE)+VLOOKUP($B358&amp;"; "&amp;$H$51&amp;", "&amp;I$52,'FE Déplacements'!$G:$U,11,FALSE))),0,(VLOOKUP($B358&amp;"; "&amp;$H$51&amp;", "&amp;I$52,'FE Déplacements'!$G:$U,12,FALSE)+VLOOKUP($B358&amp;"; "&amp;$H$51&amp;", "&amp;I$52,'FE Déplacements'!$G:$U,11,FALSE)))</f>
        <v>0</v>
      </c>
      <c r="AK358" s="565">
        <f>$G358*IF(ISNA((VLOOKUP($B358&amp;"; "&amp;$H$51&amp;", "&amp;J$52,'FE Déplacements'!$G:$U,12,FALSE)+VLOOKUP($B358&amp;"; "&amp;$H$51&amp;", "&amp;J$52,'FE Déplacements'!$G:$U,11,FALSE))),0,(VLOOKUP($B358&amp;"; "&amp;$H$51&amp;", "&amp;J$52,'FE Déplacements'!$G:$U,12,FALSE)+VLOOKUP($B358&amp;"; "&amp;$H$51&amp;", "&amp;J$52,'FE Déplacements'!$G:$U,11,FALSE)))</f>
        <v>0</v>
      </c>
      <c r="AL358" s="565">
        <f>$G358*IF(ISNA((VLOOKUP($B358&amp;"; "&amp;$H$51&amp;", "&amp;H$52,'FE Déplacements'!$G:$U,12,FALSE)+VLOOKUP($B358&amp;"; "&amp;$H$51&amp;", "&amp;H$52,'FE Déplacements'!$G:$U,11,FALSE))),0,(VLOOKUP($B358&amp;"; "&amp;$H$51&amp;", "&amp;H$52,'FE Déplacements'!$G:$U,12,FALSE)+VLOOKUP($B358&amp;"; "&amp;$H$51&amp;", "&amp;H$52,'FE Déplacements'!$G:$U,11,FALSE)))</f>
        <v>0</v>
      </c>
      <c r="AM358" s="565">
        <f>$G358*IF(ISNA(VLOOKUP($B358&amp;"; "&amp;$H$51&amp;", "&amp;I$52,'FE Déplacements'!$G:$U,13,FALSE)),0,VLOOKUP($B358&amp;"; "&amp;$H$51&amp;", "&amp;I$52,'FE Déplacements'!$G:$U,13,FALSE))</f>
        <v>0</v>
      </c>
      <c r="AN358" s="565">
        <f>$G358*IF(ISNA(VLOOKUP($B358&amp;"; "&amp;$H$51&amp;", "&amp;J$52,'FE Déplacements'!$G:$U,13,FALSE)),0,VLOOKUP($B358&amp;"; "&amp;$H$51&amp;", "&amp;J$52,'FE Déplacements'!$G:$U,13,FALSE))</f>
        <v>0</v>
      </c>
      <c r="AO358" s="565">
        <f>$G358*IF(ISNA(VLOOKUP($B358&amp;"; "&amp;$H$51&amp;", "&amp;H$52,'FE Déplacements'!$G:$U,13,FALSE)),0,VLOOKUP($B358&amp;"; "&amp;$H$51&amp;", "&amp;H$52,'FE Déplacements'!$G:$U,13,FALSE))</f>
        <v>0</v>
      </c>
      <c r="AP358" s="565">
        <v>0</v>
      </c>
      <c r="AQ358" s="565">
        <v>0</v>
      </c>
      <c r="AR358" s="565">
        <v>0</v>
      </c>
      <c r="AS358" s="1288">
        <f t="shared" si="202"/>
        <v>0</v>
      </c>
      <c r="AT358" s="566">
        <f t="shared" si="202"/>
        <v>0</v>
      </c>
      <c r="AU358" s="566">
        <f t="shared" si="202"/>
        <v>0</v>
      </c>
      <c r="AV358" s="564">
        <f>$G358*IF(ISNA(VLOOKUP($B358&amp;"; "&amp;$H$51&amp;", "&amp;I$52,'FE Déplacements'!$G:$U,15,FALSE)),0,VLOOKUP($B358&amp;"; "&amp;$H$51&amp;", "&amp;I$52,'FE Déplacements'!$G:$U,15,FALSE))</f>
        <v>0</v>
      </c>
      <c r="AW358" s="565">
        <f>$G358*IF(ISNA(VLOOKUP($B358&amp;"; "&amp;$H$51&amp;", "&amp;J$52,'FE Déplacements'!$G:$U,15,FALSE)),0,VLOOKUP($B358&amp;"; "&amp;$H$51&amp;", "&amp;J$52,'FE Déplacements'!$G:$U,15,FALSE))</f>
        <v>0</v>
      </c>
      <c r="AX358" s="568">
        <f>$G358*IF(ISNA(VLOOKUP($B358&amp;"; "&amp;$H$51&amp;", "&amp;H$52,'FE Déplacements'!$G:$U,15,FALSE)),0,VLOOKUP($B358&amp;"; "&amp;$H$51&amp;", "&amp;H$52,'FE Déplacements'!$G:$U,15,FALSE))</f>
        <v>0</v>
      </c>
      <c r="BH358" s="2268">
        <f>IF($Y358&lt;&gt;"votre valeur :",IF(ISNA(VLOOKUP($Y358,Utilitaires!$N$566:$O$571,2,FALSE)),,VLOOKUP($Y358,Utilitaires!$N$566:$O$571,2,FALSE)),$Z358)</f>
        <v>0</v>
      </c>
      <c r="BI358" s="2277">
        <f>IF(ISNA(SQRT(SUMSQ(VLOOKUP($B358&amp;"; "&amp;$H$51&amp;", "&amp;$H$52,'FE Déplacements'!$G:$U,7,FALSE),$BH358))),0,SQRT(SUMSQ(VLOOKUP($B358&amp;"; "&amp;$H$51&amp;", "&amp;$H$52,'FE Déplacements'!$G:$U,7,FALSE),$BH358)))</f>
        <v>0.6</v>
      </c>
      <c r="BJ358" s="2277">
        <f>IF(ISNA(SQRT(SUMSQ(VLOOKUP($B358&amp;"; "&amp;$H$51&amp;", "&amp;$I$52,'FE Déplacements'!$G:$U,7,FALSE),$BH358))),0,SQRT(SUMSQ(VLOOKUP($B358&amp;"; "&amp;$H$51&amp;", "&amp;$I$52,'FE Déplacements'!$G:$U,7,FALSE),$BH358)))</f>
        <v>0.6</v>
      </c>
      <c r="BK358" s="1130">
        <f>IF(ISNA(SQRT(SUMSQ(VLOOKUP($B358&amp;"; "&amp;$H$51&amp;", "&amp;$J$52,'FE Déplacements'!$G:$U,7,FALSE),$BH358))),0,SQRT(SUMSQ(VLOOKUP($B358&amp;"; "&amp;$H$51&amp;", "&amp;$J$52,'FE Déplacements'!$G:$U,7,FALSE),$BH358)))</f>
        <v>0.6</v>
      </c>
    </row>
    <row r="359" spans="2:63" hidden="1" outlineLevel="1">
      <c r="B359" s="180" t="s">
        <v>4050</v>
      </c>
      <c r="C359" s="2264"/>
      <c r="D359" s="212">
        <f t="shared" si="189"/>
        <v>0</v>
      </c>
      <c r="E359" s="212"/>
      <c r="F359" s="347"/>
      <c r="G359" s="123"/>
      <c r="H359" s="219">
        <f>IF(ISNA(VLOOKUP($B359&amp;"; "&amp;$H$51&amp;", "&amp;$H$52,'FE Déplacements'!$G:$U,9,FALSE)),0,VLOOKUP($B359&amp;"; "&amp;$H$51&amp;", "&amp;$H$52,'FE Déplacements'!$G:$U,9,FALSE))</f>
        <v>2.47E-2</v>
      </c>
      <c r="I359" s="410">
        <f>IF(ISNA(VLOOKUP($B359&amp;"; "&amp;$H$51&amp;", "&amp;$I$52,'FE Déplacements'!$G:$U,9,FALSE)),0,VLOOKUP($B359&amp;"; "&amp;$H$51&amp;", "&amp;$I$52,'FE Déplacements'!$G:$U,9,FALSE))</f>
        <v>0</v>
      </c>
      <c r="J359" s="410">
        <f>IF(ISNA(VLOOKUP($B359&amp;"; "&amp;$H$51&amp;", "&amp;$J$52,'FE Déplacements'!$G:$U,9,FALSE)),0,VLOOKUP($B359&amp;"; "&amp;$H$51&amp;", "&amp;$J$52,'FE Déplacements'!$G:$U,9,FALSE))</f>
        <v>0.111</v>
      </c>
      <c r="K359" s="356">
        <f t="shared" si="197"/>
        <v>0</v>
      </c>
      <c r="L359" s="356">
        <f t="shared" si="198"/>
        <v>0</v>
      </c>
      <c r="M359" s="356">
        <f t="shared" si="199"/>
        <v>0</v>
      </c>
      <c r="N359" s="1286">
        <f>IF(OR(F359=Utilitaires!$I$572,F359=Utilitaires!$I$577),M359,0)</f>
        <v>0</v>
      </c>
      <c r="X359" s="1092">
        <f t="shared" si="203"/>
        <v>0</v>
      </c>
      <c r="Y359" s="1094"/>
      <c r="Z359" s="820"/>
      <c r="AA359" s="164">
        <f t="shared" si="200"/>
        <v>0</v>
      </c>
      <c r="AB359" s="164">
        <f t="shared" si="200"/>
        <v>0</v>
      </c>
      <c r="AC359" s="164">
        <f t="shared" si="201"/>
        <v>0</v>
      </c>
      <c r="AD359" s="152">
        <f t="shared" si="187"/>
        <v>0</v>
      </c>
      <c r="AE359" s="165">
        <f t="shared" si="195"/>
        <v>0</v>
      </c>
      <c r="AG359" s="564">
        <f>$G359*IF(ISNA(VLOOKUP($B359&amp;"; "&amp;$H$51&amp;", "&amp;I$52,'FE Déplacements'!$G:$U,10,FALSE)),0,VLOOKUP($B359&amp;"; "&amp;$H$51&amp;", "&amp;I$52,'FE Déplacements'!$G:$U,10,FALSE))</f>
        <v>0</v>
      </c>
      <c r="AH359" s="565">
        <f>$G359*IF(ISNA(VLOOKUP($B359&amp;"; "&amp;$H$51&amp;", "&amp;J$52,'FE Déplacements'!$G:$U,10,FALSE)),0,VLOOKUP($B359&amp;"; "&amp;$H$51&amp;", "&amp;J$52,'FE Déplacements'!$G:$U,10,FALSE))</f>
        <v>0</v>
      </c>
      <c r="AI359" s="565">
        <f>$G359*IF(ISNA(VLOOKUP($B359&amp;"; "&amp;$H$51&amp;", "&amp;H$52,'FE Déplacements'!$G:$U,10,FALSE)),0,VLOOKUP($B359&amp;"; "&amp;$H$51&amp;", "&amp;H$52,'FE Déplacements'!$G:$U,10,FALSE))</f>
        <v>0</v>
      </c>
      <c r="AJ359" s="565">
        <f>$G359*IF(ISNA((VLOOKUP($B359&amp;"; "&amp;$H$51&amp;", "&amp;I$52,'FE Déplacements'!$G:$U,12,FALSE)+VLOOKUP($B359&amp;"; "&amp;$H$51&amp;", "&amp;I$52,'FE Déplacements'!$G:$U,11,FALSE))),0,(VLOOKUP($B359&amp;"; "&amp;$H$51&amp;", "&amp;I$52,'FE Déplacements'!$G:$U,12,FALSE)+VLOOKUP($B359&amp;"; "&amp;$H$51&amp;", "&amp;I$52,'FE Déplacements'!$G:$U,11,FALSE)))</f>
        <v>0</v>
      </c>
      <c r="AK359" s="565">
        <f>$G359*IF(ISNA((VLOOKUP($B359&amp;"; "&amp;$H$51&amp;", "&amp;J$52,'FE Déplacements'!$G:$U,12,FALSE)+VLOOKUP($B359&amp;"; "&amp;$H$51&amp;", "&amp;J$52,'FE Déplacements'!$G:$U,11,FALSE))),0,(VLOOKUP($B359&amp;"; "&amp;$H$51&amp;", "&amp;J$52,'FE Déplacements'!$G:$U,12,FALSE)+VLOOKUP($B359&amp;"; "&amp;$H$51&amp;", "&amp;J$52,'FE Déplacements'!$G:$U,11,FALSE)))</f>
        <v>0</v>
      </c>
      <c r="AL359" s="565">
        <f>$G359*IF(ISNA((VLOOKUP($B359&amp;"; "&amp;$H$51&amp;", "&amp;H$52,'FE Déplacements'!$G:$U,12,FALSE)+VLOOKUP($B359&amp;"; "&amp;$H$51&amp;", "&amp;H$52,'FE Déplacements'!$G:$U,11,FALSE))),0,(VLOOKUP($B359&amp;"; "&amp;$H$51&amp;", "&amp;H$52,'FE Déplacements'!$G:$U,12,FALSE)+VLOOKUP($B359&amp;"; "&amp;$H$51&amp;", "&amp;H$52,'FE Déplacements'!$G:$U,11,FALSE)))</f>
        <v>0</v>
      </c>
      <c r="AM359" s="565">
        <f>$G359*IF(ISNA(VLOOKUP($B359&amp;"; "&amp;$H$51&amp;", "&amp;I$52,'FE Déplacements'!$G:$U,13,FALSE)),0,VLOOKUP($B359&amp;"; "&amp;$H$51&amp;", "&amp;I$52,'FE Déplacements'!$G:$U,13,FALSE))</f>
        <v>0</v>
      </c>
      <c r="AN359" s="565">
        <f>$G359*IF(ISNA(VLOOKUP($B359&amp;"; "&amp;$H$51&amp;", "&amp;J$52,'FE Déplacements'!$G:$U,13,FALSE)),0,VLOOKUP($B359&amp;"; "&amp;$H$51&amp;", "&amp;J$52,'FE Déplacements'!$G:$U,13,FALSE))</f>
        <v>0</v>
      </c>
      <c r="AO359" s="565">
        <f>$G359*IF(ISNA(VLOOKUP($B359&amp;"; "&amp;$H$51&amp;", "&amp;H$52,'FE Déplacements'!$G:$U,13,FALSE)),0,VLOOKUP($B359&amp;"; "&amp;$H$51&amp;", "&amp;H$52,'FE Déplacements'!$G:$U,13,FALSE))</f>
        <v>0</v>
      </c>
      <c r="AP359" s="565">
        <v>0</v>
      </c>
      <c r="AQ359" s="565">
        <v>0</v>
      </c>
      <c r="AR359" s="565">
        <v>0</v>
      </c>
      <c r="AS359" s="1288">
        <f t="shared" si="202"/>
        <v>0</v>
      </c>
      <c r="AT359" s="566">
        <f t="shared" si="202"/>
        <v>0</v>
      </c>
      <c r="AU359" s="566">
        <f t="shared" si="202"/>
        <v>0</v>
      </c>
      <c r="AV359" s="564">
        <f>$G359*IF(ISNA(VLOOKUP($B359&amp;"; "&amp;$H$51&amp;", "&amp;I$52,'FE Déplacements'!$G:$U,15,FALSE)),0,VLOOKUP($B359&amp;"; "&amp;$H$51&amp;", "&amp;I$52,'FE Déplacements'!$G:$U,15,FALSE))</f>
        <v>0</v>
      </c>
      <c r="AW359" s="565">
        <f>$G359*IF(ISNA(VLOOKUP($B359&amp;"; "&amp;$H$51&amp;", "&amp;J$52,'FE Déplacements'!$G:$U,15,FALSE)),0,VLOOKUP($B359&amp;"; "&amp;$H$51&amp;", "&amp;J$52,'FE Déplacements'!$G:$U,15,FALSE))</f>
        <v>0</v>
      </c>
      <c r="AX359" s="568">
        <f>$G359*IF(ISNA(VLOOKUP($B359&amp;"; "&amp;$H$51&amp;", "&amp;H$52,'FE Déplacements'!$G:$U,15,FALSE)),0,VLOOKUP($B359&amp;"; "&amp;$H$51&amp;", "&amp;H$52,'FE Déplacements'!$G:$U,15,FALSE))</f>
        <v>0</v>
      </c>
      <c r="BH359" s="2268">
        <f>IF($Y359&lt;&gt;"votre valeur :",IF(ISNA(VLOOKUP($Y359,Utilitaires!$N$566:$O$571,2,FALSE)),,VLOOKUP($Y359,Utilitaires!$N$566:$O$571,2,FALSE)),$Z359)</f>
        <v>0</v>
      </c>
      <c r="BI359" s="2277">
        <f>IF(ISNA(SQRT(SUMSQ(VLOOKUP($B359&amp;"; "&amp;$H$51&amp;", "&amp;$H$52,'FE Déplacements'!$G:$U,7,FALSE),$BH359))),0,SQRT(SUMSQ(VLOOKUP($B359&amp;"; "&amp;$H$51&amp;", "&amp;$H$52,'FE Déplacements'!$G:$U,7,FALSE),$BH359)))</f>
        <v>0.6</v>
      </c>
      <c r="BJ359" s="2277">
        <f>IF(ISNA(SQRT(SUMSQ(VLOOKUP($B359&amp;"; "&amp;$H$51&amp;", "&amp;$I$52,'FE Déplacements'!$G:$U,7,FALSE),$BH359))),0,SQRT(SUMSQ(VLOOKUP($B359&amp;"; "&amp;$H$51&amp;", "&amp;$I$52,'FE Déplacements'!$G:$U,7,FALSE),$BH359)))</f>
        <v>0</v>
      </c>
      <c r="BK359" s="1130">
        <f>IF(ISNA(SQRT(SUMSQ(VLOOKUP($B359&amp;"; "&amp;$H$51&amp;", "&amp;$J$52,'FE Déplacements'!$G:$U,7,FALSE),$BH359))),0,SQRT(SUMSQ(VLOOKUP($B359&amp;"; "&amp;$H$51&amp;", "&amp;$J$52,'FE Déplacements'!$G:$U,7,FALSE),$BH359)))</f>
        <v>0.6</v>
      </c>
    </row>
    <row r="360" spans="2:63" hidden="1" outlineLevel="1">
      <c r="B360" s="143"/>
      <c r="C360" s="144"/>
      <c r="D360" s="213"/>
      <c r="E360" s="213"/>
      <c r="F360" s="144"/>
      <c r="G360" s="144"/>
      <c r="H360" s="144"/>
      <c r="I360" s="144"/>
      <c r="J360" s="144"/>
      <c r="K360" s="167"/>
      <c r="L360" s="167"/>
      <c r="M360" s="167"/>
      <c r="N360" s="1286"/>
      <c r="X360" s="154"/>
      <c r="Y360" s="155"/>
      <c r="Z360" s="144"/>
      <c r="AA360" s="164"/>
      <c r="AB360" s="164"/>
      <c r="AC360" s="164"/>
      <c r="AD360" s="152"/>
      <c r="AE360" s="165"/>
      <c r="AG360" s="564"/>
      <c r="AH360" s="565"/>
      <c r="AI360" s="565"/>
      <c r="AJ360" s="565"/>
      <c r="AK360" s="565"/>
      <c r="AL360" s="565"/>
      <c r="AM360" s="565"/>
      <c r="AN360" s="565"/>
      <c r="AO360" s="565"/>
      <c r="AP360" s="565"/>
      <c r="AQ360" s="565"/>
      <c r="AR360" s="565"/>
      <c r="AS360" s="1288"/>
      <c r="AT360" s="566"/>
      <c r="AU360" s="565"/>
      <c r="AV360" s="564"/>
      <c r="AW360" s="565"/>
      <c r="AX360" s="568"/>
      <c r="BH360" s="2269"/>
      <c r="BI360" s="2279"/>
      <c r="BJ360" s="1075"/>
      <c r="BK360" s="1131"/>
    </row>
    <row r="361" spans="2:63" hidden="1" outlineLevel="1">
      <c r="B361" s="1264" t="s">
        <v>348</v>
      </c>
      <c r="C361" s="197"/>
      <c r="D361" s="214">
        <f>SUM(D341:D360)</f>
        <v>0</v>
      </c>
      <c r="E361" s="214"/>
      <c r="F361" s="197"/>
      <c r="G361" s="197"/>
      <c r="H361" s="197"/>
      <c r="I361" s="197"/>
      <c r="J361" s="197"/>
      <c r="K361" s="202">
        <f>SUM(K341:K360)</f>
        <v>0</v>
      </c>
      <c r="L361" s="202">
        <f>SUM(L341:L360)</f>
        <v>0</v>
      </c>
      <c r="M361" s="202">
        <f>SUM(M341:M360)</f>
        <v>0</v>
      </c>
      <c r="N361" s="1311">
        <f>SUM(N341:N360)</f>
        <v>0</v>
      </c>
      <c r="X361" s="2242">
        <f>IF(AD361=0,AD361,AD361/D361)</f>
        <v>0</v>
      </c>
      <c r="Y361" s="199"/>
      <c r="Z361" s="199"/>
      <c r="AA361" s="203">
        <f>SQRT(SUMSQ(AA340:AA360))</f>
        <v>0</v>
      </c>
      <c r="AB361" s="203">
        <f>SQRT(SUMSQ(AB340:AB360))</f>
        <v>0</v>
      </c>
      <c r="AC361" s="203">
        <f>SQRT(SUMSQ(AC340:AC360))</f>
        <v>0</v>
      </c>
      <c r="AD361" s="200">
        <f>SQRT(SUMSQ(AD340:AD360))</f>
        <v>0</v>
      </c>
      <c r="AE361" s="340">
        <f>SQRT(SUMSQ(AE341:AE360))</f>
        <v>0</v>
      </c>
      <c r="AG361" s="1082">
        <f t="shared" ref="AG361:AX361" si="204">SUM(AG341:AG360)</f>
        <v>0</v>
      </c>
      <c r="AH361" s="572">
        <f t="shared" si="204"/>
        <v>0</v>
      </c>
      <c r="AI361" s="572">
        <f t="shared" si="204"/>
        <v>0</v>
      </c>
      <c r="AJ361" s="572">
        <f t="shared" si="204"/>
        <v>0</v>
      </c>
      <c r="AK361" s="572">
        <f t="shared" si="204"/>
        <v>0</v>
      </c>
      <c r="AL361" s="572">
        <f t="shared" si="204"/>
        <v>0</v>
      </c>
      <c r="AM361" s="572">
        <f t="shared" si="204"/>
        <v>0</v>
      </c>
      <c r="AN361" s="572">
        <f t="shared" si="204"/>
        <v>0</v>
      </c>
      <c r="AO361" s="572">
        <f t="shared" si="204"/>
        <v>0</v>
      </c>
      <c r="AP361" s="572">
        <f t="shared" si="204"/>
        <v>0</v>
      </c>
      <c r="AQ361" s="572">
        <f t="shared" si="204"/>
        <v>0</v>
      </c>
      <c r="AR361" s="572">
        <f t="shared" si="204"/>
        <v>0</v>
      </c>
      <c r="AS361" s="1290">
        <f t="shared" si="204"/>
        <v>0</v>
      </c>
      <c r="AT361" s="573">
        <f t="shared" si="204"/>
        <v>0</v>
      </c>
      <c r="AU361" s="573">
        <f t="shared" si="204"/>
        <v>0</v>
      </c>
      <c r="AV361" s="1082">
        <f t="shared" si="204"/>
        <v>0</v>
      </c>
      <c r="AW361" s="572">
        <f t="shared" si="204"/>
        <v>0</v>
      </c>
      <c r="AX361" s="575">
        <f t="shared" si="204"/>
        <v>0</v>
      </c>
    </row>
    <row r="362" spans="2:63" s="256" customFormat="1" hidden="1" outlineLevel="1">
      <c r="B362" s="2294"/>
      <c r="C362" s="2294"/>
      <c r="D362" s="2131"/>
      <c r="E362" s="2131"/>
      <c r="F362" s="2294"/>
      <c r="G362" s="2294"/>
      <c r="H362" s="2294"/>
      <c r="I362" s="2294"/>
      <c r="J362" s="2294"/>
      <c r="K362" s="1458"/>
      <c r="L362" s="1458"/>
      <c r="M362" s="1458"/>
      <c r="N362" s="257"/>
      <c r="X362" s="2295"/>
      <c r="AA362" s="257"/>
      <c r="AB362" s="257"/>
      <c r="AC362" s="257"/>
      <c r="AD362" s="1458"/>
      <c r="AE362" s="257"/>
      <c r="AG362" s="2292"/>
      <c r="AH362" s="2292"/>
      <c r="AI362" s="2292"/>
      <c r="AJ362" s="2292"/>
      <c r="AK362" s="2292"/>
      <c r="AL362" s="2292"/>
      <c r="AM362" s="2292"/>
      <c r="AN362" s="2292"/>
      <c r="AO362" s="2292"/>
      <c r="AP362" s="2292"/>
      <c r="AQ362" s="2292"/>
      <c r="AR362" s="2292"/>
      <c r="AS362" s="2288"/>
      <c r="AT362" s="2288"/>
      <c r="AU362" s="2288"/>
      <c r="AV362" s="2292"/>
      <c r="AW362" s="2292"/>
      <c r="AX362" s="2292"/>
    </row>
    <row r="363" spans="2:63" ht="12.75" hidden="1" customHeight="1" outlineLevel="1">
      <c r="B363" s="1091" t="s">
        <v>4075</v>
      </c>
      <c r="C363" s="140"/>
      <c r="D363" s="140"/>
      <c r="E363" s="140"/>
      <c r="F363" s="140"/>
      <c r="G363" s="141"/>
      <c r="H363" s="140"/>
      <c r="I363" s="140"/>
      <c r="J363" s="140"/>
      <c r="K363" s="141"/>
      <c r="L363" s="141"/>
      <c r="M363" s="140"/>
      <c r="N363" s="1610"/>
      <c r="W363" s="256"/>
      <c r="X363" s="2636" t="s">
        <v>366</v>
      </c>
      <c r="Y363" s="2637"/>
      <c r="Z363" s="2637"/>
      <c r="AA363" s="2637"/>
      <c r="AB363" s="2637"/>
      <c r="AC363" s="2637"/>
      <c r="AD363" s="2638"/>
      <c r="AE363" s="2144"/>
      <c r="AG363" s="2639" t="s">
        <v>441</v>
      </c>
      <c r="AH363" s="2640"/>
      <c r="AI363" s="2640"/>
      <c r="AJ363" s="2640"/>
      <c r="AK363" s="2640"/>
      <c r="AL363" s="2640"/>
      <c r="AM363" s="2640"/>
      <c r="AN363" s="2640"/>
      <c r="AO363" s="2640"/>
      <c r="AP363" s="2640"/>
      <c r="AQ363" s="2640"/>
      <c r="AR363" s="2640"/>
      <c r="AS363" s="2640"/>
      <c r="AT363" s="2640"/>
      <c r="AU363" s="2640"/>
      <c r="AV363" s="2640"/>
      <c r="AW363" s="2640"/>
      <c r="AX363" s="2641"/>
    </row>
    <row r="364" spans="2:63" ht="12.75" hidden="1" customHeight="1" outlineLevel="1">
      <c r="B364" s="332"/>
      <c r="C364" s="167"/>
      <c r="D364" s="2272" t="s">
        <v>308</v>
      </c>
      <c r="E364" s="2272"/>
      <c r="F364" s="144"/>
      <c r="G364" s="144"/>
      <c r="H364" s="2272"/>
      <c r="I364" s="144"/>
      <c r="J364" s="144"/>
      <c r="K364" s="2264"/>
      <c r="L364" s="2628" t="s">
        <v>233</v>
      </c>
      <c r="M364" s="2627"/>
      <c r="N364" s="153" t="s">
        <v>275</v>
      </c>
      <c r="W364" s="256"/>
      <c r="X364" s="2263"/>
      <c r="Y364" s="2264"/>
      <c r="Z364" s="2264"/>
      <c r="AA364" s="2264"/>
      <c r="AB364" s="2264"/>
      <c r="AC364" s="2264"/>
      <c r="AD364" s="2264"/>
      <c r="AE364" s="153" t="s">
        <v>275</v>
      </c>
      <c r="AG364" s="2642" t="s">
        <v>444</v>
      </c>
      <c r="AH364" s="2643"/>
      <c r="AI364" s="2643"/>
      <c r="AJ364" s="2643"/>
      <c r="AK364" s="2643"/>
      <c r="AL364" s="2643"/>
      <c r="AM364" s="2643"/>
      <c r="AN364" s="2643"/>
      <c r="AO364" s="2643"/>
      <c r="AP364" s="2643"/>
      <c r="AQ364" s="2643"/>
      <c r="AR364" s="2644"/>
      <c r="AS364" s="2642" t="s">
        <v>444</v>
      </c>
      <c r="AT364" s="2643"/>
      <c r="AU364" s="2644"/>
      <c r="AV364" s="1288"/>
      <c r="AW364" s="566"/>
      <c r="AX364" s="2287"/>
      <c r="BH364" s="2616" t="s">
        <v>1648</v>
      </c>
      <c r="BI364" s="2617"/>
      <c r="BJ364" s="2617"/>
      <c r="BK364" s="2618"/>
    </row>
    <row r="365" spans="2:63" ht="12.75" hidden="1" customHeight="1" outlineLevel="1">
      <c r="B365" s="143"/>
      <c r="C365" s="144"/>
      <c r="D365" s="2264" t="s">
        <v>409</v>
      </c>
      <c r="E365" s="2264"/>
      <c r="F365" s="2270" t="s">
        <v>452</v>
      </c>
      <c r="G365" s="2270"/>
      <c r="H365" s="2626" t="s">
        <v>2224</v>
      </c>
      <c r="I365" s="2628"/>
      <c r="J365" s="2628"/>
      <c r="K365" s="2272" t="s">
        <v>444</v>
      </c>
      <c r="L365" s="2272" t="s">
        <v>444</v>
      </c>
      <c r="M365" s="2272" t="s">
        <v>444</v>
      </c>
      <c r="N365" s="153" t="s">
        <v>276</v>
      </c>
      <c r="W365" s="256"/>
      <c r="X365" s="2263" t="s">
        <v>316</v>
      </c>
      <c r="Y365" s="2629" t="s">
        <v>316</v>
      </c>
      <c r="Z365" s="2630"/>
      <c r="AA365" s="2264" t="s">
        <v>444</v>
      </c>
      <c r="AB365" s="2264" t="s">
        <v>444</v>
      </c>
      <c r="AC365" s="2264" t="s">
        <v>444</v>
      </c>
      <c r="AD365" s="2272" t="s">
        <v>444</v>
      </c>
      <c r="AE365" s="153" t="s">
        <v>276</v>
      </c>
      <c r="AG365" s="2631" t="s">
        <v>211</v>
      </c>
      <c r="AH365" s="2632"/>
      <c r="AI365" s="2632"/>
      <c r="AJ365" s="2632" t="s">
        <v>442</v>
      </c>
      <c r="AK365" s="2632"/>
      <c r="AL365" s="2632"/>
      <c r="AM365" s="2632" t="s">
        <v>267</v>
      </c>
      <c r="AN365" s="2632"/>
      <c r="AO365" s="2632"/>
      <c r="AP365" s="2632" t="s">
        <v>1637</v>
      </c>
      <c r="AQ365" s="2632"/>
      <c r="AR365" s="2650"/>
      <c r="AS365" s="2848" t="s">
        <v>327</v>
      </c>
      <c r="AT365" s="2648"/>
      <c r="AU365" s="2649"/>
      <c r="AV365" s="2631" t="s">
        <v>636</v>
      </c>
      <c r="AW365" s="2632"/>
      <c r="AX365" s="568"/>
      <c r="BH365" s="2837" t="s">
        <v>1646</v>
      </c>
      <c r="BI365" s="2839" t="s">
        <v>422</v>
      </c>
      <c r="BJ365" s="2839" t="s">
        <v>411</v>
      </c>
      <c r="BK365" s="2839" t="s">
        <v>257</v>
      </c>
    </row>
    <row r="366" spans="2:63" ht="12.75" hidden="1" customHeight="1" outlineLevel="1">
      <c r="B366" s="536" t="s">
        <v>3298</v>
      </c>
      <c r="C366" s="144"/>
      <c r="D366" s="2264" t="s">
        <v>444</v>
      </c>
      <c r="E366" s="2264"/>
      <c r="F366" s="2271" t="s">
        <v>445</v>
      </c>
      <c r="G366" s="2271" t="s">
        <v>895</v>
      </c>
      <c r="H366" s="1662" t="s">
        <v>422</v>
      </c>
      <c r="I366" s="1662" t="s">
        <v>411</v>
      </c>
      <c r="J366" s="1662" t="s">
        <v>257</v>
      </c>
      <c r="K366" s="2266" t="s">
        <v>422</v>
      </c>
      <c r="L366" s="2266" t="s">
        <v>411</v>
      </c>
      <c r="M366" s="2266" t="s">
        <v>257</v>
      </c>
      <c r="N366" s="153" t="s">
        <v>444</v>
      </c>
      <c r="W366" s="256"/>
      <c r="X366" s="2263" t="s">
        <v>1649</v>
      </c>
      <c r="Y366" s="2646" t="s">
        <v>1650</v>
      </c>
      <c r="Z366" s="2647"/>
      <c r="AA366" s="1662" t="s">
        <v>411</v>
      </c>
      <c r="AB366" s="1662" t="s">
        <v>257</v>
      </c>
      <c r="AC366" s="1662" t="s">
        <v>422</v>
      </c>
      <c r="AD366" s="166" t="s">
        <v>327</v>
      </c>
      <c r="AE366" s="153" t="s">
        <v>444</v>
      </c>
      <c r="AG366" s="2285" t="s">
        <v>411</v>
      </c>
      <c r="AH366" s="2286" t="s">
        <v>257</v>
      </c>
      <c r="AI366" s="2286" t="s">
        <v>422</v>
      </c>
      <c r="AJ366" s="2286" t="s">
        <v>411</v>
      </c>
      <c r="AK366" s="2286" t="s">
        <v>257</v>
      </c>
      <c r="AL366" s="2286" t="s">
        <v>422</v>
      </c>
      <c r="AM366" s="2286" t="s">
        <v>411</v>
      </c>
      <c r="AN366" s="2286" t="s">
        <v>257</v>
      </c>
      <c r="AO366" s="2286" t="s">
        <v>422</v>
      </c>
      <c r="AP366" s="2286" t="s">
        <v>411</v>
      </c>
      <c r="AQ366" s="2286" t="s">
        <v>257</v>
      </c>
      <c r="AR366" s="2286" t="s">
        <v>422</v>
      </c>
      <c r="AS366" s="1289" t="s">
        <v>411</v>
      </c>
      <c r="AT366" s="581" t="s">
        <v>257</v>
      </c>
      <c r="AU366" s="581" t="s">
        <v>422</v>
      </c>
      <c r="AV366" s="2285" t="s">
        <v>411</v>
      </c>
      <c r="AW366" s="2286" t="s">
        <v>257</v>
      </c>
      <c r="AX366" s="2287" t="s">
        <v>422</v>
      </c>
      <c r="BH366" s="2838"/>
      <c r="BI366" s="2840"/>
      <c r="BJ366" s="2840"/>
      <c r="BK366" s="2840"/>
    </row>
    <row r="367" spans="2:63" ht="12.75" hidden="1" customHeight="1" outlineLevel="1">
      <c r="B367" s="143" t="s">
        <v>4051</v>
      </c>
      <c r="C367" s="144"/>
      <c r="D367" s="212">
        <f>SUM(K367:M367)</f>
        <v>0</v>
      </c>
      <c r="E367" s="212"/>
      <c r="F367" s="409"/>
      <c r="G367" s="117"/>
      <c r="H367" s="410">
        <f>IFERROR(VLOOKUP($B367&amp;"; "&amp;$H$189&amp;", "&amp;$H$190,'FE Déplacements'!$G:$U,9,FALSE),0)</f>
        <v>5.6500000000000002E-2</v>
      </c>
      <c r="I367" s="410">
        <f>IF(ISNA(VLOOKUP($B367&amp;"; "&amp;$H$74&amp;", "&amp;$I$75,'FE Déplacements'!$G:$U,9,FALSE)),0,VLOOKUP($B367&amp;"; "&amp;$H$74&amp;", "&amp;$I$75,'FE Déplacements'!$G:$U,9,FALSE))</f>
        <v>0</v>
      </c>
      <c r="J367" s="410">
        <f>IF(ISNA(VLOOKUP($B367&amp;"; "&amp;$H$74&amp;", "&amp;$J$75,'FE Déplacements'!$G:$U,9,FALSE)),0,VLOOKUP($B367&amp;"; "&amp;$H$74&amp;", "&amp;$J$75,'FE Déplacements'!$G:$U,9,FALSE))</f>
        <v>0.14599999999999999</v>
      </c>
      <c r="K367" s="356">
        <f>G367*H367</f>
        <v>0</v>
      </c>
      <c r="L367" s="151">
        <f>G367*I367</f>
        <v>0</v>
      </c>
      <c r="M367" s="151">
        <f>G367*J367</f>
        <v>0</v>
      </c>
      <c r="N367" s="1286">
        <f>IF(OR(F367=Utilitaires!$I$572,F367=Utilitaires!$I$577),M367,0)</f>
        <v>0</v>
      </c>
      <c r="W367" s="256"/>
      <c r="X367" s="1092">
        <f>IF(AD367=0,AD367,AD367/D367)</f>
        <v>0</v>
      </c>
      <c r="Y367" s="343"/>
      <c r="Z367" s="820"/>
      <c r="AA367" s="164">
        <f t="shared" ref="AA367:AB369" si="205">L367*BJ367</f>
        <v>0</v>
      </c>
      <c r="AB367" s="164">
        <f t="shared" si="205"/>
        <v>0</v>
      </c>
      <c r="AC367" s="164">
        <f>K367*BI367</f>
        <v>0</v>
      </c>
      <c r="AD367" s="151">
        <f>SQRT(SUMSQ(AA367,AC367))</f>
        <v>0</v>
      </c>
      <c r="AE367" s="1286">
        <f>N367*X367</f>
        <v>0</v>
      </c>
      <c r="AG367" s="564">
        <f>$G367*IF(ISNA(VLOOKUP($B367&amp;"; "&amp;$H$74&amp;", "&amp;I$75,'FE Déplacements'!$G:$U,10,FALSE)),0,VLOOKUP($B367&amp;"; "&amp;$H$74&amp;", "&amp;I$75,'FE Déplacements'!$G:$U,10,FALSE))</f>
        <v>0</v>
      </c>
      <c r="AH367" s="565">
        <f>$G367*IF(ISNA(VLOOKUP($B367&amp;"; "&amp;$H$74&amp;", "&amp;J$75,'FE Déplacements'!$G:$U,10,FALSE)),0,VLOOKUP($B367&amp;"; "&amp;$H$74&amp;", "&amp;J$75,'FE Déplacements'!$G:$U,10,FALSE))</f>
        <v>0</v>
      </c>
      <c r="AI367" s="565">
        <f>$G367*IF(ISNA(VLOOKUP($B367&amp;"; "&amp;$H$74&amp;", "&amp;H$75,'FE Déplacements'!$G:$U,10,FALSE)),0,VLOOKUP($B367&amp;"; "&amp;$H$74&amp;", "&amp;H$75,'FE Déplacements'!$G:$U,10,FALSE))</f>
        <v>0</v>
      </c>
      <c r="AJ367" s="565">
        <f>$G367*IF(ISNA((VLOOKUP($B367&amp;"; "&amp;$H$74&amp;", "&amp;I$75,'FE Déplacements'!$G:$U,12,FALSE)+VLOOKUP($B367&amp;"; "&amp;$H$74&amp;", "&amp;I$75,'FE Déplacements'!$G:$U,11,FALSE))),0,(VLOOKUP($B367&amp;"; "&amp;$H$74&amp;", "&amp;I$75,'FE Déplacements'!$G:$U,12,FALSE)+VLOOKUP($B367&amp;"; "&amp;$H$74&amp;", "&amp;I$75,'FE Déplacements'!$G:$U,11,FALSE)))</f>
        <v>0</v>
      </c>
      <c r="AK367" s="565">
        <f>$G367*IF(ISNA((VLOOKUP($B367&amp;"; "&amp;$H$74&amp;", "&amp;J$75,'FE Déplacements'!$G:$U,12,FALSE)+VLOOKUP($B367&amp;"; "&amp;$H$74&amp;", "&amp;J$75,'FE Déplacements'!$G:$U,11,FALSE))),0,(VLOOKUP($B367&amp;"; "&amp;$H$74&amp;", "&amp;J$75,'FE Déplacements'!$G:$U,12,FALSE)+VLOOKUP($B367&amp;"; "&amp;$H$74&amp;", "&amp;J$75,'FE Déplacements'!$G:$U,11,FALSE)))</f>
        <v>0</v>
      </c>
      <c r="AL367" s="565">
        <f>$G367*IF(ISNA((VLOOKUP($B367&amp;"; "&amp;$H$74&amp;", "&amp;H$75,'FE Déplacements'!$G:$U,12,FALSE)+VLOOKUP($B367&amp;"; "&amp;$H$74&amp;", "&amp;H$75,'FE Déplacements'!$G:$U,11,FALSE))),0,(VLOOKUP($B367&amp;"; "&amp;$H$74&amp;", "&amp;H$75,'FE Déplacements'!$G:$U,12,FALSE)+VLOOKUP($B367&amp;"; "&amp;$H$74&amp;", "&amp;H$75,'FE Déplacements'!$G:$U,11,FALSE)))</f>
        <v>0</v>
      </c>
      <c r="AM367" s="565">
        <f>$G367*IF(ISNA(VLOOKUP($B367&amp;"; "&amp;$H$74&amp;", "&amp;I$75,'FE Déplacements'!$G:$U,13,FALSE)),0,VLOOKUP($B367&amp;"; "&amp;$H$74&amp;", "&amp;I$75,'FE Déplacements'!$G:$U,13,FALSE))</f>
        <v>0</v>
      </c>
      <c r="AN367" s="565">
        <f>$G367*IF(ISNA(VLOOKUP($B367&amp;"; "&amp;$H$74&amp;", "&amp;J$75,'FE Déplacements'!$G:$U,13,FALSE)),0,VLOOKUP($B367&amp;"; "&amp;$H$74&amp;", "&amp;J$75,'FE Déplacements'!$G:$U,13,FALSE))</f>
        <v>0</v>
      </c>
      <c r="AO367" s="565">
        <f>$G367*IF(ISNA(VLOOKUP($B367&amp;"; "&amp;$H$74&amp;", "&amp;H$75,'FE Déplacements'!$G:$U,13,FALSE)),0,VLOOKUP($B367&amp;"; "&amp;$H$74&amp;", "&amp;H$75,'FE Déplacements'!$G:$U,13,FALSE))</f>
        <v>0</v>
      </c>
      <c r="AP367" s="565">
        <v>0</v>
      </c>
      <c r="AQ367" s="565">
        <v>0</v>
      </c>
      <c r="AR367" s="565">
        <v>0</v>
      </c>
      <c r="AS367" s="1288">
        <f t="shared" ref="AS367:AU369" si="206">SUM(AG367,AJ367,AM367,AP367)</f>
        <v>0</v>
      </c>
      <c r="AT367" s="566">
        <f t="shared" si="206"/>
        <v>0</v>
      </c>
      <c r="AU367" s="566">
        <f>SUM(AI367,AL367,AO367,AR367)</f>
        <v>0</v>
      </c>
      <c r="AV367" s="564">
        <f>$G367*IF(ISNA(VLOOKUP($B367&amp;"; "&amp;$H$74&amp;", "&amp;I$75,'FE Déplacements'!$G:$U,15,FALSE)),0,VLOOKUP($B367&amp;"; "&amp;$H$74&amp;", "&amp;I$75,'FE Déplacements'!$G:$U,15,FALSE))</f>
        <v>0</v>
      </c>
      <c r="AW367" s="565">
        <f>$G367*IF(ISNA(VLOOKUP($B367&amp;"; "&amp;$H$74&amp;", "&amp;J$75,'FE Déplacements'!$G:$U,15,FALSE)),0,VLOOKUP($B367&amp;"; "&amp;$H$74&amp;", "&amp;J$75,'FE Déplacements'!$G:$U,15,FALSE))</f>
        <v>0</v>
      </c>
      <c r="AX367" s="568">
        <f>$G367*IF(ISNA(VLOOKUP($B367&amp;"; "&amp;$H$74&amp;", "&amp;H$75,'FE Déplacements'!$G:$U,15,FALSE)),0,VLOOKUP($B367&amp;"; "&amp;$H$74&amp;", "&amp;H$75,'FE Déplacements'!$G:$U,15,FALSE))</f>
        <v>0</v>
      </c>
      <c r="BH367" s="2268">
        <f>IF($Y367&lt;&gt;"votre valeur :",IF(ISNA(VLOOKUP($Y367,Utilitaires!$N$566:$O$571,2,FALSE)),,VLOOKUP($Y367,Utilitaires!$N$566:$O$571,2,FALSE)),$Z367)</f>
        <v>0</v>
      </c>
      <c r="BI367" s="2277">
        <f>IF(ISNA(SQRT(SUMSQ(VLOOKUP($B367&amp;"; "&amp;$H$74&amp;", "&amp;$H$75,'FE Déplacements'!$G:$U,7,FALSE),$BH367))),0,SQRT(SUMSQ(VLOOKUP($B367&amp;"; "&amp;$H$74&amp;", "&amp;$H$75,'FE Déplacements'!$G:$U,7,FALSE),$BH367)))</f>
        <v>0.6</v>
      </c>
      <c r="BJ367" s="2277">
        <f>IF(ISNA(SQRT(SUMSQ(VLOOKUP($B367&amp;"; "&amp;$H$74&amp;", "&amp;$I$75,'FE Déplacements'!$G:$U,7,FALSE),$BH367))),0,SQRT(SUMSQ(VLOOKUP($B367&amp;"; "&amp;$H$74&amp;", "&amp;$I$75,'FE Déplacements'!$G:$U,7,FALSE),$BH367)))</f>
        <v>0</v>
      </c>
      <c r="BK367" s="1130">
        <f>IF(ISNA(SQRT(SUMSQ(VLOOKUP($B367&amp;"; "&amp;$H$74&amp;", "&amp;$J$75,'FE Déplacements'!$G:$U,7,FALSE),$BH367))),0,SQRT(SUMSQ(VLOOKUP($B367&amp;"; "&amp;$H$74&amp;", "&amp;$J$75,'FE Déplacements'!$G:$U,7,FALSE),$BH367)))</f>
        <v>0.6</v>
      </c>
    </row>
    <row r="368" spans="2:63" ht="12.75" hidden="1" customHeight="1" outlineLevel="1">
      <c r="B368" s="143" t="s">
        <v>4052</v>
      </c>
      <c r="C368" s="144"/>
      <c r="D368" s="212">
        <f t="shared" ref="D368:D369" si="207">SUM(K368:M368)</f>
        <v>0</v>
      </c>
      <c r="E368" s="212"/>
      <c r="F368" s="346"/>
      <c r="G368" s="120"/>
      <c r="H368" s="410">
        <f>IFERROR(VLOOKUP($B368&amp;"; "&amp;$H$189&amp;", "&amp;$H$190,'FE Déplacements'!$G:$U,9,FALSE),0)</f>
        <v>1.2200000000000001E-2</v>
      </c>
      <c r="I368" s="410">
        <f>IF(ISNA(VLOOKUP($B368&amp;"; "&amp;$H$74&amp;", "&amp;$I$75,'FE Déplacements'!$G:$U,9,FALSE)),0,VLOOKUP($B368&amp;"; "&amp;$H$74&amp;", "&amp;$I$75,'FE Déplacements'!$G:$U,9,FALSE))</f>
        <v>9.4999999999999998E-3</v>
      </c>
      <c r="J368" s="410">
        <f>IF(ISNA(VLOOKUP($B368&amp;"; "&amp;$H$74&amp;", "&amp;$J$75,'FE Déplacements'!$G:$U,9,FALSE)),0,VLOOKUP($B368&amp;"; "&amp;$H$74&amp;", "&amp;$J$75,'FE Déplacements'!$G:$U,9,FALSE))</f>
        <v>0</v>
      </c>
      <c r="K368" s="356">
        <f t="shared" ref="K368:K369" si="208">G368*H368</f>
        <v>0</v>
      </c>
      <c r="L368" s="151">
        <f t="shared" ref="L368:L369" si="209">G368*I368</f>
        <v>0</v>
      </c>
      <c r="M368" s="151">
        <f t="shared" ref="M368:M369" si="210">G368*J368</f>
        <v>0</v>
      </c>
      <c r="N368" s="1286">
        <f>IF(OR(F368=Utilitaires!$I$572,F368=Utilitaires!$I$577),M368,0)</f>
        <v>0</v>
      </c>
      <c r="W368" s="256"/>
      <c r="X368" s="1092">
        <f t="shared" ref="X368:X369" si="211">IF(AD368=0,AD368,AD368/D368)</f>
        <v>0</v>
      </c>
      <c r="Y368" s="343"/>
      <c r="Z368" s="820"/>
      <c r="AA368" s="164">
        <f t="shared" si="205"/>
        <v>0</v>
      </c>
      <c r="AB368" s="164">
        <f t="shared" si="205"/>
        <v>0</v>
      </c>
      <c r="AC368" s="164">
        <f>K368*BI368</f>
        <v>0</v>
      </c>
      <c r="AD368" s="151">
        <f t="shared" ref="AD368:AD369" si="212">SQRT(SUMSQ(AA368,AC368))</f>
        <v>0</v>
      </c>
      <c r="AE368" s="1286">
        <f t="shared" ref="AE368:AE369" si="213">N368*X368</f>
        <v>0</v>
      </c>
      <c r="AG368" s="564">
        <f>$G368*IF(ISNA(VLOOKUP($B368&amp;"; "&amp;$H$74&amp;", "&amp;I$75,'FE Déplacements'!$G:$U,10,FALSE)),0,VLOOKUP($B368&amp;"; "&amp;$H$74&amp;", "&amp;I$75,'FE Déplacements'!$G:$U,10,FALSE))</f>
        <v>0</v>
      </c>
      <c r="AH368" s="565">
        <f>$G368*IF(ISNA(VLOOKUP($B368&amp;"; "&amp;$H$74&amp;", "&amp;J$75,'FE Déplacements'!$G:$U,10,FALSE)),0,VLOOKUP($B368&amp;"; "&amp;$H$74&amp;", "&amp;J$75,'FE Déplacements'!$G:$U,10,FALSE))</f>
        <v>0</v>
      </c>
      <c r="AI368" s="565">
        <f>$G368*IF(ISNA(VLOOKUP($B368&amp;"; "&amp;$H$74&amp;", "&amp;H$75,'FE Déplacements'!$G:$U,10,FALSE)),0,VLOOKUP($B368&amp;"; "&amp;$H$74&amp;", "&amp;H$75,'FE Déplacements'!$G:$U,10,FALSE))</f>
        <v>0</v>
      </c>
      <c r="AJ368" s="565">
        <f>$G368*IF(ISNA((VLOOKUP($B368&amp;"; "&amp;$H$74&amp;", "&amp;I$75,'FE Déplacements'!$G:$U,12,FALSE)+VLOOKUP($B368&amp;"; "&amp;$H$74&amp;", "&amp;I$75,'FE Déplacements'!$G:$U,11,FALSE))),0,(VLOOKUP($B368&amp;"; "&amp;$H$74&amp;", "&amp;I$75,'FE Déplacements'!$G:$U,12,FALSE)+VLOOKUP($B368&amp;"; "&amp;$H$74&amp;", "&amp;I$75,'FE Déplacements'!$G:$U,11,FALSE)))</f>
        <v>0</v>
      </c>
      <c r="AK368" s="565">
        <f>$G368*IF(ISNA((VLOOKUP($B368&amp;"; "&amp;$H$74&amp;", "&amp;J$75,'FE Déplacements'!$G:$U,12,FALSE)+VLOOKUP($B368&amp;"; "&amp;$H$74&amp;", "&amp;J$75,'FE Déplacements'!$G:$U,11,FALSE))),0,(VLOOKUP($B368&amp;"; "&amp;$H$74&amp;", "&amp;J$75,'FE Déplacements'!$G:$U,12,FALSE)+VLOOKUP($B368&amp;"; "&amp;$H$74&amp;", "&amp;J$75,'FE Déplacements'!$G:$U,11,FALSE)))</f>
        <v>0</v>
      </c>
      <c r="AL368" s="565">
        <f>$G368*IF(ISNA((VLOOKUP($B368&amp;"; "&amp;$H$74&amp;", "&amp;H$75,'FE Déplacements'!$G:$U,12,FALSE)+VLOOKUP($B368&amp;"; "&amp;$H$74&amp;", "&amp;H$75,'FE Déplacements'!$G:$U,11,FALSE))),0,(VLOOKUP($B368&amp;"; "&amp;$H$74&amp;", "&amp;H$75,'FE Déplacements'!$G:$U,12,FALSE)+VLOOKUP($B368&amp;"; "&amp;$H$74&amp;", "&amp;H$75,'FE Déplacements'!$G:$U,11,FALSE)))</f>
        <v>0</v>
      </c>
      <c r="AM368" s="565">
        <f>$G368*IF(ISNA(VLOOKUP($B368&amp;"; "&amp;$H$74&amp;", "&amp;I$75,'FE Déplacements'!$G:$U,13,FALSE)),0,VLOOKUP($B368&amp;"; "&amp;$H$74&amp;", "&amp;I$75,'FE Déplacements'!$G:$U,13,FALSE))</f>
        <v>0</v>
      </c>
      <c r="AN368" s="565">
        <f>$G368*IF(ISNA(VLOOKUP($B368&amp;"; "&amp;$H$74&amp;", "&amp;J$75,'FE Déplacements'!$G:$U,13,FALSE)),0,VLOOKUP($B368&amp;"; "&amp;$H$74&amp;", "&amp;J$75,'FE Déplacements'!$G:$U,13,FALSE))</f>
        <v>0</v>
      </c>
      <c r="AO368" s="565">
        <f>$G368*IF(ISNA(VLOOKUP($B368&amp;"; "&amp;$H$74&amp;", "&amp;H$75,'FE Déplacements'!$G:$U,13,FALSE)),0,VLOOKUP($B368&amp;"; "&amp;$H$74&amp;", "&amp;H$75,'FE Déplacements'!$G:$U,13,FALSE))</f>
        <v>0</v>
      </c>
      <c r="AP368" s="565">
        <v>0</v>
      </c>
      <c r="AQ368" s="565">
        <v>0</v>
      </c>
      <c r="AR368" s="565">
        <v>0</v>
      </c>
      <c r="AS368" s="1288">
        <f t="shared" si="206"/>
        <v>0</v>
      </c>
      <c r="AT368" s="566">
        <f t="shared" si="206"/>
        <v>0</v>
      </c>
      <c r="AU368" s="566">
        <f t="shared" si="206"/>
        <v>0</v>
      </c>
      <c r="AV368" s="564">
        <f>$G368*IF(ISNA(VLOOKUP($B368&amp;"; "&amp;$H$74&amp;", "&amp;I$75,'FE Déplacements'!$G:$U,15,FALSE)),0,VLOOKUP($B368&amp;"; "&amp;$H$74&amp;", "&amp;I$75,'FE Déplacements'!$G:$U,15,FALSE))</f>
        <v>0</v>
      </c>
      <c r="AW368" s="565">
        <f>$G368*IF(ISNA(VLOOKUP($B368&amp;"; "&amp;$H$74&amp;", "&amp;J$75,'FE Déplacements'!$G:$U,15,FALSE)),0,VLOOKUP($B368&amp;"; "&amp;$H$74&amp;", "&amp;J$75,'FE Déplacements'!$G:$U,15,FALSE))</f>
        <v>0</v>
      </c>
      <c r="AX368" s="568">
        <f>$G368*IF(ISNA(VLOOKUP($B368&amp;"; "&amp;$H$74&amp;", "&amp;H$75,'FE Déplacements'!$G:$U,15,FALSE)),0,VLOOKUP($B368&amp;"; "&amp;$H$74&amp;", "&amp;H$75,'FE Déplacements'!$G:$U,15,FALSE))</f>
        <v>0</v>
      </c>
      <c r="BH368" s="2268">
        <f>IF($Y368&lt;&gt;"votre valeur :",IF(ISNA(VLOOKUP($Y368,Utilitaires!$N$566:$O$571,2,FALSE)),,VLOOKUP($Y368,Utilitaires!$N$566:$O$571,2,FALSE)),$Z368)</f>
        <v>0</v>
      </c>
      <c r="BI368" s="2277">
        <f>IF(ISNA(SQRT(SUMSQ(VLOOKUP($B368&amp;"; "&amp;$H$74&amp;", "&amp;$H$75,'FE Déplacements'!$G:$U,7,FALSE),$BH368))),0,SQRT(SUMSQ(VLOOKUP($B368&amp;"; "&amp;$H$74&amp;", "&amp;$H$75,'FE Déplacements'!$G:$U,7,FALSE),$BH368)))</f>
        <v>0.7</v>
      </c>
      <c r="BJ368" s="2277">
        <f>IF(ISNA(SQRT(SUMSQ(VLOOKUP($B368&amp;"; "&amp;$H$74&amp;", "&amp;$I$75,'FE Déplacements'!$G:$U,7,FALSE),$BH368))),0,SQRT(SUMSQ(VLOOKUP($B368&amp;"; "&amp;$H$74&amp;", "&amp;$I$75,'FE Déplacements'!$G:$U,7,FALSE),$BH368)))</f>
        <v>0.7</v>
      </c>
      <c r="BK368" s="1130">
        <f>IF(ISNA(SQRT(SUMSQ(VLOOKUP($B368&amp;"; "&amp;$H$74&amp;", "&amp;$J$75,'FE Déplacements'!$G:$U,7,FALSE),$BH368))),0,SQRT(SUMSQ(VLOOKUP($B368&amp;"; "&amp;$H$74&amp;", "&amp;$J$75,'FE Déplacements'!$G:$U,7,FALSE),$BH368)))</f>
        <v>0.7</v>
      </c>
    </row>
    <row r="369" spans="2:66" ht="12.75" hidden="1" customHeight="1" outlineLevel="1">
      <c r="B369" s="143" t="s">
        <v>4053</v>
      </c>
      <c r="C369" s="144"/>
      <c r="D369" s="212">
        <f t="shared" si="207"/>
        <v>0</v>
      </c>
      <c r="E369" s="212"/>
      <c r="F369" s="347"/>
      <c r="G369" s="123"/>
      <c r="H369" s="410">
        <f>IFERROR(VLOOKUP($B369&amp;"; "&amp;$H$189&amp;", "&amp;$H$190,'FE Déplacements'!$G:$U,9,FALSE),0)</f>
        <v>0</v>
      </c>
      <c r="I369" s="410">
        <f>IF(ISNA(VLOOKUP($B369&amp;"; "&amp;$H$74&amp;", "&amp;$I$75,'FE Déplacements'!$G:$U,9,FALSE)),0,VLOOKUP($B369&amp;"; "&amp;$H$74&amp;", "&amp;$I$75,'FE Déplacements'!$G:$U,9,FALSE))</f>
        <v>5.79E-3</v>
      </c>
      <c r="J369" s="410">
        <f>IF(ISNA(VLOOKUP($B369&amp;"; "&amp;$H$74&amp;", "&amp;$J$75,'FE Déplacements'!$G:$U,9,FALSE)),0,VLOOKUP($B369&amp;"; "&amp;$H$74&amp;", "&amp;$J$75,'FE Déplacements'!$G:$U,9,FALSE))</f>
        <v>2.3699999999999999E-2</v>
      </c>
      <c r="K369" s="356">
        <f t="shared" si="208"/>
        <v>0</v>
      </c>
      <c r="L369" s="151">
        <f t="shared" si="209"/>
        <v>0</v>
      </c>
      <c r="M369" s="151">
        <f t="shared" si="210"/>
        <v>0</v>
      </c>
      <c r="N369" s="1286">
        <f>IF(OR(F369=Utilitaires!$I$572,F369=Utilitaires!$I$577),M369,0)</f>
        <v>0</v>
      </c>
      <c r="W369" s="256"/>
      <c r="X369" s="1092">
        <f t="shared" si="211"/>
        <v>0</v>
      </c>
      <c r="Y369" s="1094"/>
      <c r="Z369" s="820"/>
      <c r="AA369" s="164">
        <f t="shared" si="205"/>
        <v>0</v>
      </c>
      <c r="AB369" s="164">
        <f t="shared" si="205"/>
        <v>0</v>
      </c>
      <c r="AC369" s="164">
        <f>K369*BI369</f>
        <v>0</v>
      </c>
      <c r="AD369" s="151">
        <f t="shared" si="212"/>
        <v>0</v>
      </c>
      <c r="AE369" s="1286">
        <f t="shared" si="213"/>
        <v>0</v>
      </c>
      <c r="AG369" s="564">
        <f>$G369*IF(ISNA(VLOOKUP($B369&amp;"; "&amp;$H$74&amp;", "&amp;I$75,'FE Déplacements'!$G:$U,10,FALSE)),0,VLOOKUP($B369&amp;"; "&amp;$H$74&amp;", "&amp;I$75,'FE Déplacements'!$G:$U,10,FALSE))</f>
        <v>0</v>
      </c>
      <c r="AH369" s="565">
        <f>$G369*IF(ISNA(VLOOKUP($B369&amp;"; "&amp;$H$74&amp;", "&amp;J$75,'FE Déplacements'!$G:$U,10,FALSE)),0,VLOOKUP($B369&amp;"; "&amp;$H$74&amp;", "&amp;J$75,'FE Déplacements'!$G:$U,10,FALSE))</f>
        <v>0</v>
      </c>
      <c r="AI369" s="565">
        <f>$G369*IF(ISNA(VLOOKUP($B369&amp;"; "&amp;$H$74&amp;", "&amp;H$75,'FE Déplacements'!$G:$U,10,FALSE)),0,VLOOKUP($B369&amp;"; "&amp;$H$74&amp;", "&amp;H$75,'FE Déplacements'!$G:$U,10,FALSE))</f>
        <v>0</v>
      </c>
      <c r="AJ369" s="565">
        <f>$G369*IF(ISNA((VLOOKUP($B369&amp;"; "&amp;$H$74&amp;", "&amp;I$75,'FE Déplacements'!$G:$U,12,FALSE)+VLOOKUP($B369&amp;"; "&amp;$H$74&amp;", "&amp;I$75,'FE Déplacements'!$G:$U,11,FALSE))),0,(VLOOKUP($B369&amp;"; "&amp;$H$74&amp;", "&amp;I$75,'FE Déplacements'!$G:$U,12,FALSE)+VLOOKUP($B369&amp;"; "&amp;$H$74&amp;", "&amp;I$75,'FE Déplacements'!$G:$U,11,FALSE)))</f>
        <v>0</v>
      </c>
      <c r="AK369" s="565">
        <f>$G369*IF(ISNA((VLOOKUP($B369&amp;"; "&amp;$H$74&amp;", "&amp;J$75,'FE Déplacements'!$G:$U,12,FALSE)+VLOOKUP($B369&amp;"; "&amp;$H$74&amp;", "&amp;J$75,'FE Déplacements'!$G:$U,11,FALSE))),0,(VLOOKUP($B369&amp;"; "&amp;$H$74&amp;", "&amp;J$75,'FE Déplacements'!$G:$U,12,FALSE)+VLOOKUP($B369&amp;"; "&amp;$H$74&amp;", "&amp;J$75,'FE Déplacements'!$G:$U,11,FALSE)))</f>
        <v>0</v>
      </c>
      <c r="AL369" s="565">
        <f>$G369*IF(ISNA((VLOOKUP($B369&amp;"; "&amp;$H$74&amp;", "&amp;H$75,'FE Déplacements'!$G:$U,12,FALSE)+VLOOKUP($B369&amp;"; "&amp;$H$74&amp;", "&amp;H$75,'FE Déplacements'!$G:$U,11,FALSE))),0,(VLOOKUP($B369&amp;"; "&amp;$H$74&amp;", "&amp;H$75,'FE Déplacements'!$G:$U,12,FALSE)+VLOOKUP($B369&amp;"; "&amp;$H$74&amp;", "&amp;H$75,'FE Déplacements'!$G:$U,11,FALSE)))</f>
        <v>0</v>
      </c>
      <c r="AM369" s="565">
        <f>$G369*IF(ISNA(VLOOKUP($B369&amp;"; "&amp;$H$74&amp;", "&amp;I$75,'FE Déplacements'!$G:$U,13,FALSE)),0,VLOOKUP($B369&amp;"; "&amp;$H$74&amp;", "&amp;I$75,'FE Déplacements'!$G:$U,13,FALSE))</f>
        <v>0</v>
      </c>
      <c r="AN369" s="565">
        <f>$G369*IF(ISNA(VLOOKUP($B369&amp;"; "&amp;$H$74&amp;", "&amp;J$75,'FE Déplacements'!$G:$U,13,FALSE)),0,VLOOKUP($B369&amp;"; "&amp;$H$74&amp;", "&amp;J$75,'FE Déplacements'!$G:$U,13,FALSE))</f>
        <v>0</v>
      </c>
      <c r="AO369" s="565">
        <f>$G369*IF(ISNA(VLOOKUP($B369&amp;"; "&amp;$H$74&amp;", "&amp;H$75,'FE Déplacements'!$G:$U,13,FALSE)),0,VLOOKUP($B369&amp;"; "&amp;$H$74&amp;", "&amp;H$75,'FE Déplacements'!$G:$U,13,FALSE))</f>
        <v>0</v>
      </c>
      <c r="AP369" s="565">
        <v>0</v>
      </c>
      <c r="AQ369" s="565">
        <v>0</v>
      </c>
      <c r="AR369" s="565">
        <v>0</v>
      </c>
      <c r="AS369" s="1288">
        <f t="shared" si="206"/>
        <v>0</v>
      </c>
      <c r="AT369" s="566">
        <f t="shared" si="206"/>
        <v>0</v>
      </c>
      <c r="AU369" s="566">
        <f t="shared" si="206"/>
        <v>0</v>
      </c>
      <c r="AV369" s="564">
        <f>$G369*IF(ISNA(VLOOKUP($B369&amp;"; "&amp;$H$74&amp;", "&amp;I$75,'FE Déplacements'!$G:$U,15,FALSE)),0,VLOOKUP($B369&amp;"; "&amp;$H$74&amp;", "&amp;I$75,'FE Déplacements'!$G:$U,15,FALSE))</f>
        <v>0</v>
      </c>
      <c r="AW369" s="565">
        <f>$G369*IF(ISNA(VLOOKUP($B369&amp;"; "&amp;$H$74&amp;", "&amp;J$75,'FE Déplacements'!$G:$U,15,FALSE)),0,VLOOKUP($B369&amp;"; "&amp;$H$74&amp;", "&amp;J$75,'FE Déplacements'!$G:$U,15,FALSE))</f>
        <v>0</v>
      </c>
      <c r="AX369" s="568">
        <f>$G369*IF(ISNA(VLOOKUP($B369&amp;"; "&amp;$H$74&amp;", "&amp;H$75,'FE Déplacements'!$G:$U,15,FALSE)),0,VLOOKUP($B369&amp;"; "&amp;$H$74&amp;", "&amp;H$75,'FE Déplacements'!$G:$U,15,FALSE))</f>
        <v>0</v>
      </c>
      <c r="BH369" s="2268">
        <f>IF($Y369&lt;&gt;"votre valeur :",IF(ISNA(VLOOKUP($Y369,Utilitaires!$N$566:$O$571,2,FALSE)),,VLOOKUP($Y369,Utilitaires!$N$566:$O$571,2,FALSE)),$Z369)</f>
        <v>0</v>
      </c>
      <c r="BI369" s="2277">
        <f>IF(ISNA(SQRT(SUMSQ(VLOOKUP($B369&amp;"; "&amp;$H$74&amp;", "&amp;$H$75,'FE Déplacements'!$G:$U,7,FALSE),$BH369))),0,SQRT(SUMSQ(VLOOKUP($B369&amp;"; "&amp;$H$74&amp;", "&amp;$H$75,'FE Déplacements'!$G:$U,7,FALSE),$BH369)))</f>
        <v>0</v>
      </c>
      <c r="BJ369" s="2277">
        <f>IF(ISNA(SQRT(SUMSQ(VLOOKUP($B369&amp;"; "&amp;$H$74&amp;", "&amp;$I$75,'FE Déplacements'!$G:$U,7,FALSE),$BH369))),0,SQRT(SUMSQ(VLOOKUP($B369&amp;"; "&amp;$H$74&amp;", "&amp;$I$75,'FE Déplacements'!$G:$U,7,FALSE),$BH369)))</f>
        <v>0.6</v>
      </c>
      <c r="BK369" s="1130">
        <f>IF(ISNA(SQRT(SUMSQ(VLOOKUP($B369&amp;"; "&amp;$H$74&amp;", "&amp;$J$75,'FE Déplacements'!$G:$U,7,FALSE),$BH369))),0,SQRT(SUMSQ(VLOOKUP($B369&amp;"; "&amp;$H$74&amp;", "&amp;$J$75,'FE Déplacements'!$G:$U,7,FALSE),$BH369)))</f>
        <v>0.6</v>
      </c>
    </row>
    <row r="370" spans="2:66" ht="12.75" hidden="1" customHeight="1" outlineLevel="1">
      <c r="B370" s="143"/>
      <c r="C370" s="144"/>
      <c r="D370" s="221"/>
      <c r="E370" s="221"/>
      <c r="F370" s="144"/>
      <c r="G370" s="144"/>
      <c r="H370" s="1267"/>
      <c r="I370" s="410"/>
      <c r="J370" s="144"/>
      <c r="K370" s="144"/>
      <c r="L370" s="164"/>
      <c r="M370" s="221"/>
      <c r="N370" s="1336"/>
      <c r="W370" s="256"/>
      <c r="X370" s="143"/>
      <c r="Y370" s="164"/>
      <c r="Z370" s="144"/>
      <c r="AA370" s="144"/>
      <c r="AB370" s="144"/>
      <c r="AC370" s="144"/>
      <c r="AD370" s="151"/>
      <c r="AE370" s="1287"/>
      <c r="AG370" s="564"/>
      <c r="AH370" s="565"/>
      <c r="AI370" s="565"/>
      <c r="AJ370" s="565"/>
      <c r="AK370" s="565"/>
      <c r="AL370" s="565"/>
      <c r="AM370" s="565"/>
      <c r="AN370" s="565"/>
      <c r="AO370" s="565"/>
      <c r="AP370" s="565"/>
      <c r="AQ370" s="565"/>
      <c r="AR370" s="565"/>
      <c r="AS370" s="1288"/>
      <c r="AT370" s="566"/>
      <c r="AU370" s="565"/>
      <c r="AV370" s="564"/>
      <c r="AW370" s="565"/>
      <c r="AX370" s="568"/>
      <c r="BH370" s="2269"/>
      <c r="BI370" s="1075"/>
      <c r="BJ370" s="1075"/>
      <c r="BK370" s="1131"/>
    </row>
    <row r="371" spans="2:66" ht="12.75" hidden="1" customHeight="1" outlineLevel="1">
      <c r="B371" s="1264" t="s">
        <v>348</v>
      </c>
      <c r="C371" s="197"/>
      <c r="D371" s="214">
        <f>SUM(D367:D370)</f>
        <v>0</v>
      </c>
      <c r="E371" s="214"/>
      <c r="F371" s="197"/>
      <c r="G371" s="197"/>
      <c r="H371" s="197"/>
      <c r="I371" s="197"/>
      <c r="J371" s="197"/>
      <c r="K371" s="202">
        <f>SUM(K367:K370)</f>
        <v>0</v>
      </c>
      <c r="L371" s="202">
        <f>SUM(L367:L370)</f>
        <v>0</v>
      </c>
      <c r="M371" s="202">
        <f>SUM(M367:M370)</f>
        <v>0</v>
      </c>
      <c r="N371" s="1311">
        <f>SUM(N367:N370)</f>
        <v>0</v>
      </c>
      <c r="W371" s="256"/>
      <c r="X371" s="1204">
        <f>IF(AD371=0,AD371,AD371/D371)</f>
        <v>0</v>
      </c>
      <c r="Y371" s="203"/>
      <c r="Z371" s="203"/>
      <c r="AA371" s="203">
        <f>SQRT(SUMSQ(AA366:AA370))</f>
        <v>0</v>
      </c>
      <c r="AB371" s="203">
        <f>SQRT(SUMSQ(AB366:AB370))</f>
        <v>0</v>
      </c>
      <c r="AC371" s="203">
        <f>SQRT(SUMSQ(AC366:AC370))</f>
        <v>0</v>
      </c>
      <c r="AD371" s="202">
        <f>SQRT(SUMSQ(AD366:AD370))</f>
        <v>0</v>
      </c>
      <c r="AE371" s="1311">
        <f>SQRT(SUMSQ(AE366:AE370))</f>
        <v>0</v>
      </c>
      <c r="AG371" s="1082">
        <f t="shared" ref="AG371:AX371" si="214">SUM(AG367:AG370)</f>
        <v>0</v>
      </c>
      <c r="AH371" s="572">
        <f t="shared" si="214"/>
        <v>0</v>
      </c>
      <c r="AI371" s="572">
        <f t="shared" si="214"/>
        <v>0</v>
      </c>
      <c r="AJ371" s="572">
        <f t="shared" si="214"/>
        <v>0</v>
      </c>
      <c r="AK371" s="572">
        <f t="shared" si="214"/>
        <v>0</v>
      </c>
      <c r="AL371" s="572">
        <f t="shared" si="214"/>
        <v>0</v>
      </c>
      <c r="AM371" s="572">
        <f t="shared" si="214"/>
        <v>0</v>
      </c>
      <c r="AN371" s="572">
        <f t="shared" si="214"/>
        <v>0</v>
      </c>
      <c r="AO371" s="572">
        <f t="shared" si="214"/>
        <v>0</v>
      </c>
      <c r="AP371" s="572">
        <f t="shared" si="214"/>
        <v>0</v>
      </c>
      <c r="AQ371" s="572">
        <f t="shared" si="214"/>
        <v>0</v>
      </c>
      <c r="AR371" s="572">
        <f t="shared" si="214"/>
        <v>0</v>
      </c>
      <c r="AS371" s="1290">
        <f t="shared" si="214"/>
        <v>0</v>
      </c>
      <c r="AT371" s="573">
        <f t="shared" si="214"/>
        <v>0</v>
      </c>
      <c r="AU371" s="573">
        <f t="shared" si="214"/>
        <v>0</v>
      </c>
      <c r="AV371" s="1082">
        <f t="shared" si="214"/>
        <v>0</v>
      </c>
      <c r="AW371" s="572">
        <f t="shared" si="214"/>
        <v>0</v>
      </c>
      <c r="AX371" s="575">
        <f t="shared" si="214"/>
        <v>0</v>
      </c>
    </row>
    <row r="372" spans="2:66" s="256" customFormat="1" ht="12.75" hidden="1" customHeight="1" outlineLevel="1">
      <c r="D372" s="2131"/>
      <c r="E372" s="2131"/>
      <c r="G372" s="257"/>
      <c r="H372" s="2289"/>
      <c r="I372" s="2289"/>
      <c r="J372" s="2289"/>
      <c r="K372" s="2290"/>
      <c r="L372" s="2290"/>
      <c r="M372" s="1458"/>
      <c r="N372" s="257"/>
      <c r="X372" s="2293"/>
      <c r="Y372" s="2291"/>
      <c r="Z372" s="2291"/>
      <c r="AA372" s="257"/>
      <c r="AB372" s="257"/>
      <c r="AC372" s="257"/>
      <c r="AD372" s="1458"/>
      <c r="AE372" s="257"/>
      <c r="AG372" s="2292"/>
      <c r="AH372" s="2292"/>
      <c r="AI372" s="2292"/>
      <c r="AJ372" s="2292"/>
      <c r="AK372" s="2292"/>
      <c r="AL372" s="2292"/>
      <c r="AM372" s="2292"/>
      <c r="AN372" s="2292"/>
      <c r="AO372" s="2292"/>
      <c r="AP372" s="2292"/>
      <c r="AQ372" s="2292"/>
      <c r="AR372" s="2292"/>
      <c r="AS372" s="2288"/>
      <c r="AT372" s="2288"/>
      <c r="AU372" s="2288"/>
      <c r="AV372" s="2292"/>
      <c r="AW372" s="2292"/>
      <c r="AX372" s="2292"/>
      <c r="AZ372" s="2127"/>
      <c r="BA372" s="2128"/>
      <c r="BB372" s="2128"/>
      <c r="BC372" s="2128"/>
    </row>
    <row r="373" spans="2:66" ht="12.75" hidden="1" customHeight="1" outlineLevel="1">
      <c r="B373" s="2283" t="s">
        <v>4076</v>
      </c>
      <c r="C373" s="140"/>
      <c r="D373" s="140"/>
      <c r="E373" s="140"/>
      <c r="F373" s="140"/>
      <c r="G373" s="141"/>
      <c r="H373" s="140"/>
      <c r="I373" s="140"/>
      <c r="J373" s="140"/>
      <c r="K373" s="140"/>
      <c r="L373" s="141"/>
      <c r="M373" s="141"/>
      <c r="N373" s="1610"/>
      <c r="W373" s="116"/>
      <c r="X373" s="2636" t="s">
        <v>366</v>
      </c>
      <c r="Y373" s="2637"/>
      <c r="Z373" s="2637"/>
      <c r="AA373" s="2637"/>
      <c r="AB373" s="2637"/>
      <c r="AC373" s="2637"/>
      <c r="AD373" s="2638"/>
      <c r="AE373" s="1773"/>
      <c r="AG373" s="2639" t="s">
        <v>441</v>
      </c>
      <c r="AH373" s="2640"/>
      <c r="AI373" s="2640"/>
      <c r="AJ373" s="2640"/>
      <c r="AK373" s="2640"/>
      <c r="AL373" s="2640"/>
      <c r="AM373" s="2640"/>
      <c r="AN373" s="2640"/>
      <c r="AO373" s="2640"/>
      <c r="AP373" s="2640"/>
      <c r="AQ373" s="2640"/>
      <c r="AR373" s="2640"/>
      <c r="AS373" s="2640"/>
      <c r="AT373" s="2640"/>
      <c r="AU373" s="2640"/>
      <c r="AV373" s="2640"/>
      <c r="AW373" s="2640"/>
      <c r="AX373" s="2641"/>
    </row>
    <row r="374" spans="2:66" ht="12.75" hidden="1" customHeight="1" outlineLevel="1">
      <c r="B374" s="333"/>
      <c r="C374" s="167"/>
      <c r="D374" s="2272" t="s">
        <v>308</v>
      </c>
      <c r="E374" s="2272"/>
      <c r="F374" s="144"/>
      <c r="G374" s="144"/>
      <c r="H374" s="144"/>
      <c r="I374" s="144"/>
      <c r="J374" s="2272"/>
      <c r="K374" s="2272"/>
      <c r="L374" s="2264" t="s">
        <v>233</v>
      </c>
      <c r="M374" s="2264"/>
      <c r="N374" s="153" t="s">
        <v>275</v>
      </c>
      <c r="W374" s="116"/>
      <c r="X374" s="1170"/>
      <c r="Y374" s="2273"/>
      <c r="Z374" s="2273"/>
      <c r="AA374" s="2264"/>
      <c r="AB374" s="2264"/>
      <c r="AC374" s="2264"/>
      <c r="AD374" s="1674"/>
      <c r="AE374" s="1674" t="s">
        <v>275</v>
      </c>
      <c r="AG374" s="2642" t="s">
        <v>444</v>
      </c>
      <c r="AH374" s="2643"/>
      <c r="AI374" s="2643"/>
      <c r="AJ374" s="2643"/>
      <c r="AK374" s="2643"/>
      <c r="AL374" s="2643"/>
      <c r="AM374" s="2643"/>
      <c r="AN374" s="2643"/>
      <c r="AO374" s="2643"/>
      <c r="AP374" s="2643"/>
      <c r="AQ374" s="2643"/>
      <c r="AR374" s="2644"/>
      <c r="AS374" s="2642" t="s">
        <v>444</v>
      </c>
      <c r="AT374" s="2643"/>
      <c r="AU374" s="2644"/>
      <c r="AV374" s="1288"/>
      <c r="AW374" s="566"/>
      <c r="AX374" s="2287"/>
      <c r="BH374" s="2616" t="s">
        <v>1648</v>
      </c>
      <c r="BI374" s="2617"/>
      <c r="BJ374" s="2618"/>
    </row>
    <row r="375" spans="2:66" ht="12.75" hidden="1" customHeight="1" outlineLevel="1">
      <c r="B375" s="143"/>
      <c r="C375" s="144"/>
      <c r="D375" s="2264" t="s">
        <v>409</v>
      </c>
      <c r="E375" s="2264"/>
      <c r="F375" s="2270" t="s">
        <v>452</v>
      </c>
      <c r="G375" s="2270"/>
      <c r="H375" s="2626" t="s">
        <v>2222</v>
      </c>
      <c r="I375" s="2628"/>
      <c r="J375" s="2628"/>
      <c r="K375" s="2264"/>
      <c r="L375" s="2272" t="s">
        <v>444</v>
      </c>
      <c r="M375" s="2272" t="s">
        <v>444</v>
      </c>
      <c r="N375" s="153" t="s">
        <v>276</v>
      </c>
      <c r="W375" s="116"/>
      <c r="X375" s="2263" t="s">
        <v>316</v>
      </c>
      <c r="Y375" s="2629" t="s">
        <v>316</v>
      </c>
      <c r="Z375" s="2630"/>
      <c r="AA375" s="2264" t="s">
        <v>444</v>
      </c>
      <c r="AB375" s="2264" t="s">
        <v>444</v>
      </c>
      <c r="AC375" s="2264" t="s">
        <v>444</v>
      </c>
      <c r="AD375" s="2281" t="s">
        <v>444</v>
      </c>
      <c r="AE375" s="2280" t="s">
        <v>276</v>
      </c>
      <c r="AG375" s="2631" t="s">
        <v>211</v>
      </c>
      <c r="AH375" s="2632"/>
      <c r="AI375" s="2632"/>
      <c r="AJ375" s="2632" t="s">
        <v>442</v>
      </c>
      <c r="AK375" s="2632"/>
      <c r="AL375" s="2632"/>
      <c r="AM375" s="2632" t="s">
        <v>267</v>
      </c>
      <c r="AN375" s="2632"/>
      <c r="AO375" s="2632"/>
      <c r="AP375" s="2632" t="s">
        <v>443</v>
      </c>
      <c r="AQ375" s="2632"/>
      <c r="AR375" s="2650"/>
      <c r="AS375" s="2848" t="s">
        <v>327</v>
      </c>
      <c r="AT375" s="2648"/>
      <c r="AU375" s="2649"/>
      <c r="AV375" s="2631" t="s">
        <v>636</v>
      </c>
      <c r="AW375" s="2632"/>
      <c r="AX375" s="568"/>
      <c r="BH375" s="2837" t="s">
        <v>1646</v>
      </c>
      <c r="BI375" s="2839" t="s">
        <v>422</v>
      </c>
      <c r="BJ375" s="2839" t="s">
        <v>411</v>
      </c>
      <c r="BK375" s="2839" t="s">
        <v>257</v>
      </c>
    </row>
    <row r="376" spans="2:66" ht="12.75" hidden="1" customHeight="1" outlineLevel="1">
      <c r="B376" s="143"/>
      <c r="C376" s="144"/>
      <c r="D376" s="2264" t="s">
        <v>444</v>
      </c>
      <c r="E376" s="2264"/>
      <c r="F376" s="2271" t="s">
        <v>445</v>
      </c>
      <c r="G376" s="153" t="s">
        <v>38</v>
      </c>
      <c r="H376" s="1662" t="s">
        <v>422</v>
      </c>
      <c r="I376" s="1662" t="s">
        <v>411</v>
      </c>
      <c r="J376" s="1662" t="s">
        <v>257</v>
      </c>
      <c r="K376" s="2266" t="s">
        <v>422</v>
      </c>
      <c r="L376" s="2266" t="s">
        <v>411</v>
      </c>
      <c r="M376" s="2266" t="s">
        <v>257</v>
      </c>
      <c r="N376" s="153" t="s">
        <v>444</v>
      </c>
      <c r="W376" s="116"/>
      <c r="X376" s="2263" t="s">
        <v>1649</v>
      </c>
      <c r="Y376" s="2646" t="s">
        <v>1650</v>
      </c>
      <c r="Z376" s="2647"/>
      <c r="AA376" s="1662" t="s">
        <v>411</v>
      </c>
      <c r="AB376" s="1662" t="s">
        <v>257</v>
      </c>
      <c r="AC376" s="1662" t="s">
        <v>422</v>
      </c>
      <c r="AD376" s="162" t="s">
        <v>327</v>
      </c>
      <c r="AE376" s="2280" t="s">
        <v>444</v>
      </c>
      <c r="AG376" s="2285" t="s">
        <v>411</v>
      </c>
      <c r="AH376" s="2286" t="s">
        <v>257</v>
      </c>
      <c r="AI376" s="2286"/>
      <c r="AJ376" s="2286" t="s">
        <v>411</v>
      </c>
      <c r="AK376" s="2286" t="s">
        <v>257</v>
      </c>
      <c r="AL376" s="2286"/>
      <c r="AM376" s="2286" t="s">
        <v>411</v>
      </c>
      <c r="AN376" s="2286" t="s">
        <v>257</v>
      </c>
      <c r="AO376" s="2286"/>
      <c r="AP376" s="2286" t="s">
        <v>411</v>
      </c>
      <c r="AQ376" s="2286" t="s">
        <v>257</v>
      </c>
      <c r="AR376" s="2286"/>
      <c r="AS376" s="1289" t="s">
        <v>411</v>
      </c>
      <c r="AT376" s="581" t="s">
        <v>257</v>
      </c>
      <c r="AU376" s="581"/>
      <c r="AV376" s="2285" t="s">
        <v>411</v>
      </c>
      <c r="AW376" s="2286" t="s">
        <v>257</v>
      </c>
      <c r="AX376" s="2287"/>
      <c r="BH376" s="2838"/>
      <c r="BI376" s="2840"/>
      <c r="BJ376" s="2840"/>
      <c r="BK376" s="2840"/>
    </row>
    <row r="377" spans="2:66" ht="12.75" hidden="1" customHeight="1" outlineLevel="1">
      <c r="B377" s="143" t="s">
        <v>4051</v>
      </c>
      <c r="C377" s="144"/>
      <c r="D377" s="212">
        <f>SUM(K377:M377)</f>
        <v>0</v>
      </c>
      <c r="E377" s="212"/>
      <c r="F377" s="409"/>
      <c r="G377" s="117"/>
      <c r="H377" s="212">
        <f>IF(ISNA(VLOOKUP($B377&amp;"; "&amp;$H$64&amp;", "&amp;$H$65,'FE Déplacements'!$G:$U,9,FALSE)),0,VLOOKUP($B377&amp;"; "&amp;$H$64&amp;", "&amp;$H$65,'FE Déplacements'!$G:$U,9,FALSE))</f>
        <v>0</v>
      </c>
      <c r="I377" s="219">
        <f>IF(ISNA(VLOOKUP($B377&amp;"; "&amp;$H$64&amp;", "&amp;$I$65,'FE Déplacements'!$G:$U,9,FALSE)),0,VLOOKUP($B377&amp;"; "&amp;$H$64&amp;", "&amp;$I$65,'FE Déplacements'!$G:$U,9,FALSE))</f>
        <v>0</v>
      </c>
      <c r="J377" s="219">
        <f>IF(ISNA(VLOOKUP($B377&amp;"; "&amp;$H$64&amp;", "&amp;$J$65,'FE Déplacements'!$G:$U,9,FALSE)),0,VLOOKUP($B377&amp;"; "&amp;$H$64&amp;", "&amp;$J$65,'FE Déplacements'!$G:$U,9,FALSE))</f>
        <v>0</v>
      </c>
      <c r="K377" s="212">
        <f>G377*H377</f>
        <v>0</v>
      </c>
      <c r="L377" s="356">
        <f>G377*I377</f>
        <v>0</v>
      </c>
      <c r="M377" s="151">
        <f>G377*J377</f>
        <v>0</v>
      </c>
      <c r="N377" s="1286">
        <f>IF(OR(F377=Utilitaires!$I$572,F377=Utilitaires!$I$577),M377,0)</f>
        <v>0</v>
      </c>
      <c r="W377" s="116"/>
      <c r="X377" s="1092">
        <f>IF(AD377=0,AD377,AD377/D377)</f>
        <v>0</v>
      </c>
      <c r="Y377" s="343"/>
      <c r="Z377" s="820"/>
      <c r="AA377" s="164">
        <f t="shared" ref="AA377:AB379" si="215">L377*BJ377</f>
        <v>0</v>
      </c>
      <c r="AB377" s="164">
        <f t="shared" si="215"/>
        <v>0</v>
      </c>
      <c r="AC377" s="164">
        <f>K377*BI377</f>
        <v>0</v>
      </c>
      <c r="AD377" s="152">
        <f>SQRT(SUMSQ(AA377:AC377))</f>
        <v>0</v>
      </c>
      <c r="AE377" s="165">
        <f>N377*X377</f>
        <v>0</v>
      </c>
      <c r="AG377" s="564">
        <f>$G377*IF(ISNA(VLOOKUP($B377&amp;"; "&amp;$H$64&amp;", "&amp;I$65,'FE Déplacements'!$G:$U,10,FALSE)),0,VLOOKUP($B377&amp;"; "&amp;$H$64&amp;", "&amp;I$65,'FE Déplacements'!$G:$U,10,FALSE))</f>
        <v>0</v>
      </c>
      <c r="AH377" s="565">
        <f>$G377*IF(ISNA(VLOOKUP($B377&amp;"; "&amp;$H$64&amp;", "&amp;J$65,'FE Déplacements'!$G:$U,10,FALSE)),0,VLOOKUP($B377&amp;"; "&amp;$H$64&amp;", "&amp;J$65,'FE Déplacements'!$G:$U,10,FALSE))</f>
        <v>0</v>
      </c>
      <c r="AI377" s="565"/>
      <c r="AJ377" s="565">
        <f>$G377*IF(ISNA((VLOOKUP($B377&amp;"; "&amp;$H$64&amp;", "&amp;I$65,'FE Déplacements'!$G:$U,12,FALSE)+VLOOKUP($B377&amp;"; "&amp;$H$64&amp;", "&amp;I$65,'FE Déplacements'!$G:$U,11,FALSE))),0,(VLOOKUP($B377&amp;"; "&amp;$H$64&amp;", "&amp;I$65,'FE Déplacements'!$G:$U,12,FALSE)+VLOOKUP($B377&amp;"; "&amp;$H$64&amp;", "&amp;I$65,'FE Déplacements'!$G:$U,11,FALSE)))</f>
        <v>0</v>
      </c>
      <c r="AK377" s="565">
        <f>$G377*IF(ISNA((VLOOKUP($B377&amp;"; "&amp;$H$64&amp;", "&amp;J$65,'FE Déplacements'!$G:$U,12,FALSE)+VLOOKUP($B377&amp;"; "&amp;$H$64&amp;", "&amp;J$65,'FE Déplacements'!$G:$U,11,FALSE))),0,(VLOOKUP($B377&amp;"; "&amp;$H$64&amp;", "&amp;J$65,'FE Déplacements'!$G:$U,12,FALSE)+VLOOKUP($B377&amp;"; "&amp;$H$64&amp;", "&amp;J$65,'FE Déplacements'!$G:$U,11,FALSE)))</f>
        <v>0</v>
      </c>
      <c r="AL377" s="565"/>
      <c r="AM377" s="565">
        <f>$G377*IF(ISNA(VLOOKUP($B377&amp;"; "&amp;$H$64&amp;", "&amp;I$65,'FE Déplacements'!$G:$U,13,FALSE)),0,VLOOKUP($B377&amp;"; "&amp;$H$64&amp;", "&amp;I$65,'FE Déplacements'!$G:$U,13,FALSE))</f>
        <v>0</v>
      </c>
      <c r="AN377" s="565">
        <f>$G377*IF(ISNA(VLOOKUP($B377&amp;"; "&amp;$H$64&amp;", "&amp;J$65,'FE Déplacements'!$G:$U,13,FALSE)),0,VLOOKUP($B377&amp;"; "&amp;$H$64&amp;", "&amp;J$65,'FE Déplacements'!$G:$U,13,FALSE))</f>
        <v>0</v>
      </c>
      <c r="AO377" s="565"/>
      <c r="AP377" s="565">
        <v>0</v>
      </c>
      <c r="AQ377" s="565">
        <v>0</v>
      </c>
      <c r="AR377" s="565"/>
      <c r="AS377" s="1288">
        <f t="shared" ref="AS377:AT379" si="216">SUM(AG377,AJ377,AM377,AP377)</f>
        <v>0</v>
      </c>
      <c r="AT377" s="566">
        <f t="shared" si="216"/>
        <v>0</v>
      </c>
      <c r="AU377" s="566"/>
      <c r="AV377" s="564">
        <f>$G377*IF(ISNA(VLOOKUP($B377&amp;"; "&amp;$H$64&amp;", "&amp;I$65,'FE Déplacements'!$G:$U,15,FALSE)),0,VLOOKUP($B377&amp;"; "&amp;$H$64&amp;", "&amp;I$65,'FE Déplacements'!$G:$U,15,FALSE))</f>
        <v>0</v>
      </c>
      <c r="AW377" s="565">
        <f>$G377*IF(ISNA(VLOOKUP($B377&amp;"; "&amp;$H$64&amp;", "&amp;J$65,'FE Déplacements'!$G:$U,15,FALSE)),0,VLOOKUP($B377&amp;"; "&amp;$H$64&amp;", "&amp;J$65,'FE Déplacements'!$G:$U,15,FALSE))</f>
        <v>0</v>
      </c>
      <c r="AX377" s="568"/>
      <c r="BH377" s="2268">
        <f>IF($Y377&lt;&gt;"votre valeur :",IF(ISNA(VLOOKUP($Y377,Utilitaires!$N$566:$O$571,2,FALSE)),,VLOOKUP($Y377,Utilitaires!$N$566:$O$571,2,FALSE)),$Z377)</f>
        <v>0</v>
      </c>
      <c r="BI377" s="2277">
        <f>IF(ISNA(SQRT(SUMSQ(VLOOKUP($B377&amp;"; "&amp;$H$64&amp;", "&amp;$H$65,'FE Déplacements'!$G:$U,7,FALSE),$BH377))),0,SQRT(SUMSQ(VLOOKUP($B377&amp;"; "&amp;$H$64&amp;", "&amp;$H$65,'FE Déplacements'!$G:$U,7,FALSE),$BH377)))</f>
        <v>0</v>
      </c>
      <c r="BJ377" s="2277">
        <f>IF(ISNA(SQRT(SUMSQ(VLOOKUP($B377&amp;"; "&amp;$H$64&amp;", "&amp;$I$65,'FE Déplacements'!$G:$U,7,FALSE),$BH377))),0,SQRT(SUMSQ(VLOOKUP($B377&amp;"; "&amp;$H$64&amp;", "&amp;$I$65,'FE Déplacements'!$G:$U,7,FALSE),$BH377)))</f>
        <v>0</v>
      </c>
      <c r="BK377" s="1130">
        <f>IF(ISNA(SQRT(SUMSQ(VLOOKUP($B377&amp;"; "&amp;$H$64&amp;", "&amp;$J$65,'FE Déplacements'!$G:$U,7,FALSE),$BH377))),0,SQRT(SUMSQ(VLOOKUP($B377&amp;"; "&amp;$H$64&amp;", "&amp;$J$65,'FE Déplacements'!$G:$U,7,FALSE),$BH377)))</f>
        <v>0</v>
      </c>
    </row>
    <row r="378" spans="2:66" ht="12.75" hidden="1" customHeight="1" outlineLevel="1">
      <c r="B378" s="143" t="s">
        <v>4052</v>
      </c>
      <c r="C378" s="144"/>
      <c r="D378" s="212">
        <f t="shared" ref="D378:D379" si="217">SUM(K378:M378)</f>
        <v>0</v>
      </c>
      <c r="E378" s="212"/>
      <c r="F378" s="346"/>
      <c r="G378" s="120"/>
      <c r="H378" s="212">
        <f>IF(ISNA(VLOOKUP($B378&amp;"; "&amp;$H$64&amp;", "&amp;$H$65,'FE Déplacements'!$G:$U,9,FALSE)),0,VLOOKUP($B378&amp;"; "&amp;$H$64&amp;", "&amp;$H$65,'FE Déplacements'!$G:$U,9,FALSE))</f>
        <v>0</v>
      </c>
      <c r="I378" s="219">
        <f>IF(ISNA(VLOOKUP($B378&amp;"; "&amp;$H$64&amp;", "&amp;$I$65,'FE Déplacements'!$G:$U,9,FALSE)),0,VLOOKUP($B378&amp;"; "&amp;$H$64&amp;", "&amp;$I$65,'FE Déplacements'!$G:$U,9,FALSE))</f>
        <v>0</v>
      </c>
      <c r="J378" s="219">
        <f>IF(ISNA(VLOOKUP($B378&amp;"; "&amp;$H$64&amp;", "&amp;$J$65,'FE Déplacements'!$G:$U,9,FALSE)),0,VLOOKUP($B378&amp;"; "&amp;$H$64&amp;", "&amp;$J$65,'FE Déplacements'!$G:$U,9,FALSE))</f>
        <v>0</v>
      </c>
      <c r="K378" s="212">
        <f t="shared" ref="K378:K379" si="218">G378*H378</f>
        <v>0</v>
      </c>
      <c r="L378" s="356">
        <f>G378*I378</f>
        <v>0</v>
      </c>
      <c r="M378" s="151">
        <f>G378*J378</f>
        <v>0</v>
      </c>
      <c r="N378" s="1286">
        <f>IF(OR(F378=Utilitaires!$I$572,F378=Utilitaires!$I$577),M378,0)</f>
        <v>0</v>
      </c>
      <c r="W378" s="116"/>
      <c r="X378" s="1092">
        <f>IF(AD378=0,AD378,AD378/D378)</f>
        <v>0</v>
      </c>
      <c r="Y378" s="343"/>
      <c r="Z378" s="820"/>
      <c r="AA378" s="164">
        <f t="shared" si="215"/>
        <v>0</v>
      </c>
      <c r="AB378" s="164">
        <f t="shared" si="215"/>
        <v>0</v>
      </c>
      <c r="AC378" s="164">
        <f>K378*BI378</f>
        <v>0</v>
      </c>
      <c r="AD378" s="152">
        <f t="shared" ref="AD378:AD379" si="219">SQRT(SUMSQ(AA378:AC378))</f>
        <v>0</v>
      </c>
      <c r="AE378" s="165">
        <f>N378*X378</f>
        <v>0</v>
      </c>
      <c r="AG378" s="564">
        <f>$G378*IF(ISNA(VLOOKUP($B378&amp;"; "&amp;$H$64&amp;", "&amp;I$65,'FE Déplacements'!$G:$U,10,FALSE)),0,VLOOKUP($B378&amp;"; "&amp;$H$64&amp;", "&amp;I$65,'FE Déplacements'!$G:$U,10,FALSE))</f>
        <v>0</v>
      </c>
      <c r="AH378" s="565">
        <f>$G378*IF(ISNA(VLOOKUP($B378&amp;"; "&amp;$H$64&amp;", "&amp;J$65,'FE Déplacements'!$G:$U,10,FALSE)),0,VLOOKUP($B378&amp;"; "&amp;$H$64&amp;", "&amp;J$65,'FE Déplacements'!$G:$U,10,FALSE))</f>
        <v>0</v>
      </c>
      <c r="AI378" s="565"/>
      <c r="AJ378" s="565">
        <f>$G378*IF(ISNA((VLOOKUP($B378&amp;"; "&amp;$H$64&amp;", "&amp;I$65,'FE Déplacements'!$G:$U,12,FALSE)+VLOOKUP($B378&amp;"; "&amp;$H$64&amp;", "&amp;I$65,'FE Déplacements'!$G:$U,11,FALSE))),0,(VLOOKUP($B378&amp;"; "&amp;$H$64&amp;", "&amp;I$65,'FE Déplacements'!$G:$U,12,FALSE)+VLOOKUP($B378&amp;"; "&amp;$H$64&amp;", "&amp;I$65,'FE Déplacements'!$G:$U,11,FALSE)))</f>
        <v>0</v>
      </c>
      <c r="AK378" s="565">
        <f>$G378*IF(ISNA((VLOOKUP($B378&amp;"; "&amp;$H$64&amp;", "&amp;J$65,'FE Déplacements'!$G:$U,12,FALSE)+VLOOKUP($B378&amp;"; "&amp;$H$64&amp;", "&amp;J$65,'FE Déplacements'!$G:$U,11,FALSE))),0,(VLOOKUP($B378&amp;"; "&amp;$H$64&amp;", "&amp;J$65,'FE Déplacements'!$G:$U,12,FALSE)+VLOOKUP($B378&amp;"; "&amp;$H$64&amp;", "&amp;J$65,'FE Déplacements'!$G:$U,11,FALSE)))</f>
        <v>0</v>
      </c>
      <c r="AL378" s="565"/>
      <c r="AM378" s="565">
        <f>$G378*IF(ISNA(VLOOKUP($B378&amp;"; "&amp;$H$64&amp;", "&amp;I$65,'FE Déplacements'!$G:$U,13,FALSE)),0,VLOOKUP($B378&amp;"; "&amp;$H$64&amp;", "&amp;I$65,'FE Déplacements'!$G:$U,13,FALSE))</f>
        <v>0</v>
      </c>
      <c r="AN378" s="565">
        <f>$G378*IF(ISNA(VLOOKUP($B378&amp;"; "&amp;$H$64&amp;", "&amp;J$65,'FE Déplacements'!$G:$U,13,FALSE)),0,VLOOKUP($B378&amp;"; "&amp;$H$64&amp;", "&amp;J$65,'FE Déplacements'!$G:$U,13,FALSE))</f>
        <v>0</v>
      </c>
      <c r="AO378" s="565"/>
      <c r="AP378" s="565">
        <v>0</v>
      </c>
      <c r="AQ378" s="565">
        <v>0</v>
      </c>
      <c r="AR378" s="565"/>
      <c r="AS378" s="1288">
        <f t="shared" si="216"/>
        <v>0</v>
      </c>
      <c r="AT378" s="566">
        <f t="shared" si="216"/>
        <v>0</v>
      </c>
      <c r="AU378" s="566"/>
      <c r="AV378" s="564">
        <f>$G378*IF(ISNA(VLOOKUP($B378&amp;"; "&amp;$H$64&amp;", "&amp;I$65,'FE Déplacements'!$G:$U,15,FALSE)),0,VLOOKUP($B378&amp;"; "&amp;$H$64&amp;", "&amp;I$65,'FE Déplacements'!$G:$U,15,FALSE))</f>
        <v>0</v>
      </c>
      <c r="AW378" s="565">
        <f>$G378*IF(ISNA(VLOOKUP($B378&amp;"; "&amp;$H$64&amp;", "&amp;J$65,'FE Déplacements'!$G:$U,15,FALSE)),0,VLOOKUP($B378&amp;"; "&amp;$H$64&amp;", "&amp;J$65,'FE Déplacements'!$G:$U,15,FALSE))</f>
        <v>0</v>
      </c>
      <c r="AX378" s="568"/>
      <c r="BH378" s="2268">
        <f>IF($Y378&lt;&gt;"votre valeur :",IF(ISNA(VLOOKUP($Y378,Utilitaires!$N$566:$O$571,2,FALSE)),,VLOOKUP($Y378,Utilitaires!$N$566:$O$571,2,FALSE)),$Z378)</f>
        <v>0</v>
      </c>
      <c r="BI378" s="2277">
        <f>IF(ISNA(SQRT(SUMSQ(VLOOKUP($B378&amp;"; "&amp;$H$64&amp;", "&amp;$H$65,'FE Déplacements'!$G:$U,7,FALSE),$BH378))),0,SQRT(SUMSQ(VLOOKUP($B378&amp;"; "&amp;$H$64&amp;", "&amp;$H$65,'FE Déplacements'!$G:$U,7,FALSE),$BH378)))</f>
        <v>0</v>
      </c>
      <c r="BJ378" s="2277">
        <f>IF(ISNA(SQRT(SUMSQ(VLOOKUP($B378&amp;"; "&amp;$H$64&amp;", "&amp;$I$65,'FE Déplacements'!$G:$U,7,FALSE),$BH378))),0,SQRT(SUMSQ(VLOOKUP($B378&amp;"; "&amp;$H$64&amp;", "&amp;$I$65,'FE Déplacements'!$G:$U,7,FALSE),$BH378)))</f>
        <v>0</v>
      </c>
      <c r="BK378" s="1130">
        <f>IF(ISNA(SQRT(SUMSQ(VLOOKUP($B378&amp;"; "&amp;$H$64&amp;", "&amp;$J$65,'FE Déplacements'!$G:$U,7,FALSE),$BH378))),0,SQRT(SUMSQ(VLOOKUP($B378&amp;"; "&amp;$H$64&amp;", "&amp;$J$65,'FE Déplacements'!$G:$U,7,FALSE),$BH378)))</f>
        <v>0</v>
      </c>
    </row>
    <row r="379" spans="2:66" ht="12.75" hidden="1" customHeight="1" outlineLevel="1">
      <c r="B379" s="143" t="s">
        <v>4053</v>
      </c>
      <c r="C379" s="144"/>
      <c r="D379" s="212">
        <f t="shared" si="217"/>
        <v>0</v>
      </c>
      <c r="E379" s="212"/>
      <c r="F379" s="347"/>
      <c r="G379" s="123"/>
      <c r="H379" s="212">
        <f>IF(ISNA(VLOOKUP($B379&amp;"; "&amp;$H$64&amp;", "&amp;$H$65,'FE Déplacements'!$G:$U,9,FALSE)),0,VLOOKUP($B379&amp;"; "&amp;$H$64&amp;", "&amp;$H$65,'FE Déplacements'!$G:$U,9,FALSE))</f>
        <v>0</v>
      </c>
      <c r="I379" s="219">
        <f>IF(ISNA(VLOOKUP($B379&amp;"; "&amp;$H$64&amp;", "&amp;$I$65,'FE Déplacements'!$G:$U,9,FALSE)),0,VLOOKUP($B379&amp;"; "&amp;$H$64&amp;", "&amp;$I$65,'FE Déplacements'!$G:$U,9,FALSE))</f>
        <v>0</v>
      </c>
      <c r="J379" s="219">
        <f>IF(ISNA(VLOOKUP($B379&amp;"; "&amp;$H$64&amp;", "&amp;$J$65,'FE Déplacements'!$G:$U,9,FALSE)),0,VLOOKUP($B379&amp;"; "&amp;$H$64&amp;", "&amp;$J$65,'FE Déplacements'!$G:$U,9,FALSE))</f>
        <v>0</v>
      </c>
      <c r="K379" s="212">
        <f t="shared" si="218"/>
        <v>0</v>
      </c>
      <c r="L379" s="356">
        <f>G379*I379</f>
        <v>0</v>
      </c>
      <c r="M379" s="151">
        <f>G379*J379</f>
        <v>0</v>
      </c>
      <c r="N379" s="1286">
        <f>IF(OR(F379=Utilitaires!$I$572,F379=Utilitaires!$I$577),M379,0)</f>
        <v>0</v>
      </c>
      <c r="W379" s="116"/>
      <c r="X379" s="1092">
        <f>IF(AD379=0,AD379,AD379/D379)</f>
        <v>0</v>
      </c>
      <c r="Y379" s="1094"/>
      <c r="Z379" s="820"/>
      <c r="AA379" s="164">
        <f t="shared" si="215"/>
        <v>0</v>
      </c>
      <c r="AB379" s="164">
        <f t="shared" si="215"/>
        <v>0</v>
      </c>
      <c r="AC379" s="164">
        <f>K379*BI379</f>
        <v>0</v>
      </c>
      <c r="AD379" s="152">
        <f t="shared" si="219"/>
        <v>0</v>
      </c>
      <c r="AE379" s="165">
        <f>N379*X379</f>
        <v>0</v>
      </c>
      <c r="AG379" s="564">
        <f>$G379*IF(ISNA(VLOOKUP($B379&amp;"; "&amp;$H$64&amp;", "&amp;I$65,'FE Déplacements'!$G:$U,10,FALSE)),0,VLOOKUP($B379&amp;"; "&amp;$H$64&amp;", "&amp;I$65,'FE Déplacements'!$G:$U,10,FALSE))</f>
        <v>0</v>
      </c>
      <c r="AH379" s="565">
        <f>$G379*IF(ISNA(VLOOKUP($B379&amp;"; "&amp;$H$64&amp;", "&amp;J$65,'FE Déplacements'!$G:$U,10,FALSE)),0,VLOOKUP($B379&amp;"; "&amp;$H$64&amp;", "&amp;J$65,'FE Déplacements'!$G:$U,10,FALSE))</f>
        <v>0</v>
      </c>
      <c r="AI379" s="565"/>
      <c r="AJ379" s="565">
        <f>$G379*IF(ISNA((VLOOKUP($B379&amp;"; "&amp;$H$64&amp;", "&amp;I$65,'FE Déplacements'!$G:$U,12,FALSE)+VLOOKUP($B379&amp;"; "&amp;$H$64&amp;", "&amp;I$65,'FE Déplacements'!$G:$U,11,FALSE))),0,(VLOOKUP($B379&amp;"; "&amp;$H$64&amp;", "&amp;I$65,'FE Déplacements'!$G:$U,12,FALSE)+VLOOKUP($B379&amp;"; "&amp;$H$64&amp;", "&amp;I$65,'FE Déplacements'!$G:$U,11,FALSE)))</f>
        <v>0</v>
      </c>
      <c r="AK379" s="565">
        <f>$G379*IF(ISNA((VLOOKUP($B379&amp;"; "&amp;$H$64&amp;", "&amp;J$65,'FE Déplacements'!$G:$U,12,FALSE)+VLOOKUP($B379&amp;"; "&amp;$H$64&amp;", "&amp;J$65,'FE Déplacements'!$G:$U,11,FALSE))),0,(VLOOKUP($B379&amp;"; "&amp;$H$64&amp;", "&amp;J$65,'FE Déplacements'!$G:$U,12,FALSE)+VLOOKUP($B379&amp;"; "&amp;$H$64&amp;", "&amp;J$65,'FE Déplacements'!$G:$U,11,FALSE)))</f>
        <v>0</v>
      </c>
      <c r="AL379" s="565"/>
      <c r="AM379" s="565">
        <f>$G379*IF(ISNA(VLOOKUP($B379&amp;"; "&amp;$H$64&amp;", "&amp;I$65,'FE Déplacements'!$G:$U,13,FALSE)),0,VLOOKUP($B379&amp;"; "&amp;$H$64&amp;", "&amp;I$65,'FE Déplacements'!$G:$U,13,FALSE))</f>
        <v>0</v>
      </c>
      <c r="AN379" s="565">
        <f>$G379*IF(ISNA(VLOOKUP($B379&amp;"; "&amp;$H$64&amp;", "&amp;J$65,'FE Déplacements'!$G:$U,13,FALSE)),0,VLOOKUP($B379&amp;"; "&amp;$H$64&amp;", "&amp;J$65,'FE Déplacements'!$G:$U,13,FALSE))</f>
        <v>0</v>
      </c>
      <c r="AO379" s="565"/>
      <c r="AP379" s="565">
        <v>0</v>
      </c>
      <c r="AQ379" s="565">
        <v>0</v>
      </c>
      <c r="AR379" s="565"/>
      <c r="AS379" s="1288">
        <f t="shared" si="216"/>
        <v>0</v>
      </c>
      <c r="AT379" s="566">
        <f t="shared" si="216"/>
        <v>0</v>
      </c>
      <c r="AU379" s="566"/>
      <c r="AV379" s="564">
        <f>$G379*IF(ISNA(VLOOKUP($B379&amp;"; "&amp;$H$64&amp;", "&amp;I$65,'FE Déplacements'!$G:$U,15,FALSE)),0,VLOOKUP($B379&amp;"; "&amp;$H$64&amp;", "&amp;I$65,'FE Déplacements'!$G:$U,15,FALSE))</f>
        <v>0</v>
      </c>
      <c r="AW379" s="565">
        <f>$G379*IF(ISNA(VLOOKUP($B379&amp;"; "&amp;$H$64&amp;", "&amp;J$65,'FE Déplacements'!$G:$U,15,FALSE)),0,VLOOKUP($B379&amp;"; "&amp;$H$64&amp;", "&amp;J$65,'FE Déplacements'!$G:$U,15,FALSE))</f>
        <v>0</v>
      </c>
      <c r="AX379" s="568"/>
      <c r="BH379" s="2268">
        <f>IF($Y379&lt;&gt;"votre valeur :",IF(ISNA(VLOOKUP($Y379,Utilitaires!$N$566:$O$571,2,FALSE)),,VLOOKUP($Y379,Utilitaires!$N$566:$O$571,2,FALSE)),$Z379)</f>
        <v>0</v>
      </c>
      <c r="BI379" s="2277">
        <f>IF(ISNA(SQRT(SUMSQ(VLOOKUP($B379&amp;"; "&amp;$H$64&amp;", "&amp;$H$65,'FE Déplacements'!$G:$U,7,FALSE),$BH379))),0,SQRT(SUMSQ(VLOOKUP($B379&amp;"; "&amp;$H$64&amp;", "&amp;$H$65,'FE Déplacements'!$G:$U,7,FALSE),$BH379)))</f>
        <v>0</v>
      </c>
      <c r="BJ379" s="2277">
        <f>IF(ISNA(SQRT(SUMSQ(VLOOKUP($B379&amp;"; "&amp;$H$64&amp;", "&amp;$I$65,'FE Déplacements'!$G:$U,7,FALSE),$BH379))),0,SQRT(SUMSQ(VLOOKUP($B379&amp;"; "&amp;$H$64&amp;", "&amp;$I$65,'FE Déplacements'!$G:$U,7,FALSE),$BH379)))</f>
        <v>0</v>
      </c>
      <c r="BK379" s="1130">
        <f>IF(ISNA(SQRT(SUMSQ(VLOOKUP($B379&amp;"; "&amp;$H$64&amp;", "&amp;$J$65,'FE Déplacements'!$G:$U,7,FALSE),$BH379))),0,SQRT(SUMSQ(VLOOKUP($B379&amp;"; "&amp;$H$64&amp;", "&amp;$J$65,'FE Déplacements'!$G:$U,7,FALSE),$BH379)))</f>
        <v>0</v>
      </c>
    </row>
    <row r="380" spans="2:66" ht="12.75" hidden="1" customHeight="1" outlineLevel="1">
      <c r="B380" s="143"/>
      <c r="C380" s="144"/>
      <c r="D380" s="221"/>
      <c r="E380" s="221"/>
      <c r="F380" s="155"/>
      <c r="G380" s="155"/>
      <c r="H380" s="155"/>
      <c r="I380" s="155"/>
      <c r="J380" s="221"/>
      <c r="K380" s="221"/>
      <c r="L380" s="356"/>
      <c r="M380" s="155"/>
      <c r="N380" s="1336"/>
      <c r="W380" s="116"/>
      <c r="X380" s="564"/>
      <c r="Y380" s="565"/>
      <c r="Z380" s="820"/>
      <c r="AA380" s="144"/>
      <c r="AB380" s="144"/>
      <c r="AC380" s="144"/>
      <c r="AD380" s="156"/>
      <c r="AE380" s="152"/>
      <c r="AG380" s="564"/>
      <c r="AH380" s="565"/>
      <c r="AI380" s="565"/>
      <c r="AJ380" s="565"/>
      <c r="AK380" s="565"/>
      <c r="AL380" s="565"/>
      <c r="AM380" s="565"/>
      <c r="AN380" s="565"/>
      <c r="AO380" s="565"/>
      <c r="AP380" s="565"/>
      <c r="AQ380" s="565"/>
      <c r="AR380" s="565"/>
      <c r="AS380" s="1288"/>
      <c r="AT380" s="566"/>
      <c r="AU380" s="565"/>
      <c r="AV380" s="564"/>
      <c r="AW380" s="565"/>
      <c r="AX380" s="568"/>
      <c r="BH380" s="2269"/>
      <c r="BI380" s="1075"/>
      <c r="BJ380" s="1075"/>
      <c r="BK380" s="1131"/>
    </row>
    <row r="381" spans="2:66" ht="12.75" hidden="1" customHeight="1" outlineLevel="1">
      <c r="B381" s="1264" t="s">
        <v>348</v>
      </c>
      <c r="C381" s="197"/>
      <c r="D381" s="214">
        <f>SUM(D377:D380)</f>
        <v>0</v>
      </c>
      <c r="E381" s="214"/>
      <c r="F381" s="197"/>
      <c r="G381" s="197"/>
      <c r="H381" s="197"/>
      <c r="I381" s="197"/>
      <c r="J381" s="214"/>
      <c r="K381" s="202">
        <f>SUM(K377:K379)</f>
        <v>0</v>
      </c>
      <c r="L381" s="202">
        <f>SUM(L377:L380)</f>
        <v>0</v>
      </c>
      <c r="M381" s="202">
        <f>SUM(M377:M380)</f>
        <v>0</v>
      </c>
      <c r="N381" s="1311">
        <f>SUM(N377:N380)</f>
        <v>0</v>
      </c>
      <c r="W381" s="116"/>
      <c r="X381" s="1204">
        <f>IF(AD381=0,AD381,AD381/D381)</f>
        <v>0</v>
      </c>
      <c r="Y381" s="203"/>
      <c r="Z381" s="203"/>
      <c r="AA381" s="203">
        <f>SQRT(SUMSQ(AA376:AA380))</f>
        <v>0</v>
      </c>
      <c r="AB381" s="203">
        <f>SQRT(SUMSQ(AB376:AB380))</f>
        <v>0</v>
      </c>
      <c r="AC381" s="203">
        <f>SQRT(SUMSQ(AC376:AC380))</f>
        <v>0</v>
      </c>
      <c r="AD381" s="202">
        <f>SQRT(SUMSQ(AD376:AD380))</f>
        <v>0</v>
      </c>
      <c r="AE381" s="340">
        <f>SQRT(SUMSQ(AE376:AE380))</f>
        <v>0</v>
      </c>
      <c r="AG381" s="1082">
        <f>SUM(AG377:AG380)</f>
        <v>0</v>
      </c>
      <c r="AH381" s="572">
        <f>SUM(AH377:AH380)</f>
        <v>0</v>
      </c>
      <c r="AI381" s="572"/>
      <c r="AJ381" s="572">
        <f>SUM(AJ377:AJ380)</f>
        <v>0</v>
      </c>
      <c r="AK381" s="572">
        <f>SUM(AK377:AK380)</f>
        <v>0</v>
      </c>
      <c r="AL381" s="572"/>
      <c r="AM381" s="572">
        <f>SUM(AM377:AM380)</f>
        <v>0</v>
      </c>
      <c r="AN381" s="572">
        <f>SUM(AN377:AN380)</f>
        <v>0</v>
      </c>
      <c r="AO381" s="572"/>
      <c r="AP381" s="572">
        <f>SUM(AP377:AP380)</f>
        <v>0</v>
      </c>
      <c r="AQ381" s="572">
        <f>SUM(AQ377:AQ380)</f>
        <v>0</v>
      </c>
      <c r="AR381" s="572"/>
      <c r="AS381" s="1290">
        <f>SUM(AS377:AS380)</f>
        <v>0</v>
      </c>
      <c r="AT381" s="573">
        <f>SUM(AT377:AT380)</f>
        <v>0</v>
      </c>
      <c r="AU381" s="573"/>
      <c r="AV381" s="1082">
        <f>SUM(AV377:AV380)</f>
        <v>0</v>
      </c>
      <c r="AW381" s="572">
        <f>SUM(AW377:AW380)</f>
        <v>0</v>
      </c>
      <c r="AX381" s="575"/>
    </row>
    <row r="382" spans="2:66" s="256" customFormat="1" ht="12.75" hidden="1" customHeight="1" outlineLevel="1">
      <c r="D382" s="2131"/>
      <c r="E382" s="2131"/>
      <c r="G382" s="257"/>
      <c r="H382" s="2289"/>
      <c r="I382" s="2289"/>
      <c r="J382" s="2290"/>
      <c r="K382" s="1458"/>
      <c r="L382" s="257"/>
      <c r="X382" s="2293"/>
      <c r="Y382" s="2291"/>
      <c r="Z382" s="2291"/>
      <c r="AA382" s="257"/>
      <c r="AB382" s="257"/>
      <c r="AC382" s="257"/>
      <c r="AD382" s="1458"/>
      <c r="AE382" s="257"/>
      <c r="AG382" s="2292"/>
      <c r="AH382" s="2292"/>
      <c r="AI382" s="2292"/>
      <c r="AJ382" s="2292"/>
      <c r="AK382" s="2292"/>
      <c r="AL382" s="2292"/>
      <c r="AM382" s="2292"/>
      <c r="AN382" s="2292"/>
      <c r="AO382" s="2292"/>
      <c r="AP382" s="2292"/>
      <c r="AQ382" s="2292"/>
      <c r="AR382" s="2292"/>
      <c r="AS382" s="2288"/>
      <c r="AT382" s="2288"/>
      <c r="AU382" s="2288"/>
      <c r="AV382" s="2292"/>
      <c r="AW382" s="2292"/>
      <c r="AX382" s="2292"/>
      <c r="AZ382" s="2127"/>
      <c r="BA382" s="2128"/>
      <c r="BB382" s="2128"/>
    </row>
    <row r="383" spans="2:66" ht="12.75" hidden="1" customHeight="1" outlineLevel="1">
      <c r="B383" s="1091" t="s">
        <v>4064</v>
      </c>
      <c r="C383" s="140"/>
      <c r="D383" s="140"/>
      <c r="E383" s="140"/>
      <c r="F383" s="140"/>
      <c r="G383" s="141"/>
      <c r="H383" s="140"/>
      <c r="I383" s="140"/>
      <c r="J383" s="140"/>
      <c r="K383" s="141"/>
      <c r="L383" s="140"/>
      <c r="M383" s="140"/>
      <c r="N383" s="140"/>
      <c r="O383" s="141"/>
      <c r="P383" s="141"/>
      <c r="Q383" s="141"/>
      <c r="R383" s="142"/>
      <c r="X383" s="2636" t="s">
        <v>366</v>
      </c>
      <c r="Y383" s="2637"/>
      <c r="Z383" s="2637"/>
      <c r="AA383" s="2637"/>
      <c r="AB383" s="2637"/>
      <c r="AC383" s="2637"/>
      <c r="AD383" s="2638"/>
      <c r="AE383" s="1773"/>
      <c r="AG383" s="2639" t="s">
        <v>441</v>
      </c>
      <c r="AH383" s="2640"/>
      <c r="AI383" s="2640"/>
      <c r="AJ383" s="2640"/>
      <c r="AK383" s="2640"/>
      <c r="AL383" s="2640"/>
      <c r="AM383" s="2640"/>
      <c r="AN383" s="2640"/>
      <c r="AO383" s="2640"/>
      <c r="AP383" s="2640"/>
      <c r="AQ383" s="2640"/>
      <c r="AR383" s="2640"/>
      <c r="AS383" s="2640"/>
      <c r="AT383" s="2640"/>
      <c r="AU383" s="2640"/>
      <c r="AV383" s="2640"/>
      <c r="AW383" s="2640"/>
      <c r="AX383" s="2641"/>
    </row>
    <row r="384" spans="2:66" ht="12.75" hidden="1" customHeight="1" outlineLevel="1">
      <c r="B384" s="332"/>
      <c r="C384" s="167"/>
      <c r="D384" s="2272" t="s">
        <v>308</v>
      </c>
      <c r="E384" s="2272"/>
      <c r="F384" s="144"/>
      <c r="G384" s="144"/>
      <c r="H384" s="167"/>
      <c r="I384" s="167"/>
      <c r="J384" s="167"/>
      <c r="K384" s="144"/>
      <c r="L384" s="167"/>
      <c r="M384" s="167"/>
      <c r="N384" s="167"/>
      <c r="O384" s="144"/>
      <c r="P384" s="2628" t="s">
        <v>233</v>
      </c>
      <c r="Q384" s="2628"/>
      <c r="R384" s="2280" t="s">
        <v>275</v>
      </c>
      <c r="X384" s="2263"/>
      <c r="Y384" s="2264"/>
      <c r="Z384" s="2264"/>
      <c r="AA384" s="2264"/>
      <c r="AB384" s="2264"/>
      <c r="AC384" s="2264"/>
      <c r="AD384" s="2280"/>
      <c r="AE384" s="2270" t="s">
        <v>275</v>
      </c>
      <c r="AG384" s="2642" t="s">
        <v>444</v>
      </c>
      <c r="AH384" s="2643"/>
      <c r="AI384" s="2643"/>
      <c r="AJ384" s="2643"/>
      <c r="AK384" s="2643"/>
      <c r="AL384" s="2643"/>
      <c r="AM384" s="2643"/>
      <c r="AN384" s="2643"/>
      <c r="AO384" s="2643"/>
      <c r="AP384" s="2643"/>
      <c r="AQ384" s="2643"/>
      <c r="AR384" s="2644"/>
      <c r="AS384" s="2642" t="s">
        <v>444</v>
      </c>
      <c r="AT384" s="2643"/>
      <c r="AU384" s="2644"/>
      <c r="AV384" s="1288"/>
      <c r="AW384" s="566"/>
      <c r="AX384" s="2287"/>
      <c r="BH384" s="2616" t="s">
        <v>1648</v>
      </c>
      <c r="BI384" s="2617"/>
      <c r="BJ384" s="2617"/>
      <c r="BK384" s="2617"/>
      <c r="BL384" s="2617"/>
      <c r="BM384" s="2617"/>
      <c r="BN384" s="2618"/>
    </row>
    <row r="385" spans="2:66" ht="12.75" hidden="1" customHeight="1" outlineLevel="1">
      <c r="B385" s="143"/>
      <c r="C385" s="144"/>
      <c r="D385" s="2264" t="s">
        <v>409</v>
      </c>
      <c r="E385" s="2264"/>
      <c r="F385" s="2270" t="s">
        <v>452</v>
      </c>
      <c r="G385" s="2270"/>
      <c r="H385" s="2626" t="s">
        <v>2222</v>
      </c>
      <c r="I385" s="2628"/>
      <c r="J385" s="2627"/>
      <c r="K385" s="2270"/>
      <c r="L385" s="2626" t="s">
        <v>4120</v>
      </c>
      <c r="M385" s="2628"/>
      <c r="N385" s="2628"/>
      <c r="O385" s="2272" t="s">
        <v>444</v>
      </c>
      <c r="P385" s="2272" t="s">
        <v>444</v>
      </c>
      <c r="Q385" s="2272" t="s">
        <v>444</v>
      </c>
      <c r="R385" s="2280" t="s">
        <v>276</v>
      </c>
      <c r="X385" s="2263" t="s">
        <v>316</v>
      </c>
      <c r="Y385" s="2629" t="s">
        <v>316</v>
      </c>
      <c r="Z385" s="2630"/>
      <c r="AA385" s="2264" t="s">
        <v>444</v>
      </c>
      <c r="AB385" s="2264" t="s">
        <v>444</v>
      </c>
      <c r="AC385" s="2264" t="s">
        <v>444</v>
      </c>
      <c r="AD385" s="2281" t="s">
        <v>444</v>
      </c>
      <c r="AE385" s="153" t="s">
        <v>276</v>
      </c>
      <c r="AG385" s="2631" t="s">
        <v>211</v>
      </c>
      <c r="AH385" s="2632"/>
      <c r="AI385" s="2632"/>
      <c r="AJ385" s="2632" t="s">
        <v>442</v>
      </c>
      <c r="AK385" s="2632"/>
      <c r="AL385" s="2632"/>
      <c r="AM385" s="2632" t="s">
        <v>267</v>
      </c>
      <c r="AN385" s="2632"/>
      <c r="AO385" s="2632"/>
      <c r="AP385" s="2632" t="s">
        <v>443</v>
      </c>
      <c r="AQ385" s="2632"/>
      <c r="AR385" s="2650"/>
      <c r="AS385" s="2848" t="s">
        <v>327</v>
      </c>
      <c r="AT385" s="2648"/>
      <c r="AU385" s="2649"/>
      <c r="AV385" s="2631" t="s">
        <v>636</v>
      </c>
      <c r="AW385" s="2632"/>
      <c r="AX385" s="568"/>
      <c r="BH385" s="2837" t="s">
        <v>1646</v>
      </c>
      <c r="BI385" s="2833" t="s">
        <v>2222</v>
      </c>
      <c r="BJ385" s="2834"/>
      <c r="BK385" s="2835"/>
      <c r="BL385" s="2833" t="s">
        <v>2223</v>
      </c>
      <c r="BM385" s="2834"/>
      <c r="BN385" s="2835"/>
    </row>
    <row r="386" spans="2:66" ht="12.75" hidden="1" customHeight="1" outlineLevel="1">
      <c r="B386" s="143"/>
      <c r="C386" s="144"/>
      <c r="D386" s="2264" t="s">
        <v>444</v>
      </c>
      <c r="E386" s="2264"/>
      <c r="F386" s="2271" t="s">
        <v>445</v>
      </c>
      <c r="G386" s="153" t="s">
        <v>38</v>
      </c>
      <c r="H386" s="1662" t="s">
        <v>422</v>
      </c>
      <c r="I386" s="1662" t="s">
        <v>411</v>
      </c>
      <c r="J386" s="1662" t="s">
        <v>257</v>
      </c>
      <c r="K386" s="2271" t="s">
        <v>896</v>
      </c>
      <c r="L386" s="1662" t="s">
        <v>422</v>
      </c>
      <c r="M386" s="1662" t="s">
        <v>411</v>
      </c>
      <c r="N386" s="1662" t="s">
        <v>257</v>
      </c>
      <c r="O386" s="2266" t="s">
        <v>422</v>
      </c>
      <c r="P386" s="2266" t="s">
        <v>411</v>
      </c>
      <c r="Q386" s="2266" t="s">
        <v>257</v>
      </c>
      <c r="R386" s="2280" t="s">
        <v>444</v>
      </c>
      <c r="X386" s="2263" t="s">
        <v>1649</v>
      </c>
      <c r="Y386" s="2646" t="s">
        <v>1650</v>
      </c>
      <c r="Z386" s="2647"/>
      <c r="AA386" s="1662" t="s">
        <v>411</v>
      </c>
      <c r="AB386" s="1662" t="s">
        <v>257</v>
      </c>
      <c r="AC386" s="1662" t="s">
        <v>422</v>
      </c>
      <c r="AD386" s="162" t="s">
        <v>327</v>
      </c>
      <c r="AE386" s="153" t="s">
        <v>444</v>
      </c>
      <c r="AG386" s="2285" t="s">
        <v>411</v>
      </c>
      <c r="AH386" s="2286" t="s">
        <v>257</v>
      </c>
      <c r="AI386" s="2286" t="s">
        <v>422</v>
      </c>
      <c r="AJ386" s="2286" t="s">
        <v>411</v>
      </c>
      <c r="AK386" s="2286" t="s">
        <v>257</v>
      </c>
      <c r="AL386" s="2286" t="s">
        <v>422</v>
      </c>
      <c r="AM386" s="2286" t="s">
        <v>411</v>
      </c>
      <c r="AN386" s="2286" t="s">
        <v>257</v>
      </c>
      <c r="AO386" s="2286" t="s">
        <v>422</v>
      </c>
      <c r="AP386" s="2286" t="s">
        <v>411</v>
      </c>
      <c r="AQ386" s="2286" t="s">
        <v>257</v>
      </c>
      <c r="AR386" s="2286" t="s">
        <v>422</v>
      </c>
      <c r="AS386" s="1289" t="s">
        <v>411</v>
      </c>
      <c r="AT386" s="581" t="s">
        <v>257</v>
      </c>
      <c r="AU386" s="581" t="s">
        <v>422</v>
      </c>
      <c r="AV386" s="2285" t="s">
        <v>411</v>
      </c>
      <c r="AW386" s="2286" t="s">
        <v>257</v>
      </c>
      <c r="AX386" s="2287" t="s">
        <v>422</v>
      </c>
      <c r="BH386" s="2838"/>
      <c r="BI386" s="2274" t="s">
        <v>422</v>
      </c>
      <c r="BJ386" s="2275" t="s">
        <v>411</v>
      </c>
      <c r="BK386" s="2275" t="s">
        <v>257</v>
      </c>
      <c r="BL386" s="2274" t="s">
        <v>422</v>
      </c>
      <c r="BM386" s="2275" t="s">
        <v>411</v>
      </c>
      <c r="BN386" s="2275" t="s">
        <v>257</v>
      </c>
    </row>
    <row r="387" spans="2:66" ht="12.75" hidden="1" customHeight="1" outlineLevel="1">
      <c r="B387" s="358" t="s">
        <v>4121</v>
      </c>
      <c r="C387" s="359"/>
      <c r="D387" s="212">
        <f>SUM(O387:Q387)</f>
        <v>0</v>
      </c>
      <c r="E387" s="212"/>
      <c r="F387" s="409"/>
      <c r="G387" s="117"/>
      <c r="H387" s="410">
        <f>IF(ISNA(VLOOKUP($B387&amp;"; "&amp;$H$94&amp;" "&amp;H$95,'FE Déplacements'!$G:$U,9,FALSE)),0,VLOOKUP($B387&amp;"; "&amp;$H$94&amp;" "&amp;H$95,'FE Déplacements'!$G:$U,9,FALSE))</f>
        <v>0</v>
      </c>
      <c r="I387" s="410">
        <f>IF(ISNA(VLOOKUP($B387&amp;"; "&amp;$H$94&amp;" "&amp;I$95,'FE Déplacements'!$G:$U,9,FALSE)),0,VLOOKUP($B387&amp;"; "&amp;$H$94&amp;" "&amp;I$95,'FE Déplacements'!$G:$U,9,FALSE))</f>
        <v>0</v>
      </c>
      <c r="J387" s="410">
        <f>IF(ISNA(VLOOKUP($B387&amp;"; "&amp;$H$94&amp;" "&amp;J$95,'FE Déplacements'!$G:$U,9,FALSE)),0,VLOOKUP($B387&amp;"; "&amp;$H$94&amp;" "&amp;J$95,'FE Déplacements'!$G:$U,9,FALSE))</f>
        <v>0</v>
      </c>
      <c r="K387" s="117"/>
      <c r="L387" s="410">
        <f>IFERROR(VLOOKUP($B387&amp;"; "&amp;$L$385&amp;" "&amp;L$386,'FE Déplacements'!$G:$U,9,FALSE),0)</f>
        <v>0</v>
      </c>
      <c r="M387" s="410">
        <f>IFERROR(VLOOKUP($B387&amp;"; "&amp;$L$385&amp;" "&amp;M$386,'FE Déplacements'!$G:$U,9,FALSE),0)</f>
        <v>0.95899999999999996</v>
      </c>
      <c r="N387" s="410">
        <f>IFERROR(VLOOKUP($B387&amp;"; "&amp;$L$385&amp;" "&amp;N$386,'FE Déplacements'!$G:$U,9,FALSE),0)</f>
        <v>6.2500000000000003E-3</v>
      </c>
      <c r="O387" s="356">
        <f>H387*G387+K387*L387</f>
        <v>0</v>
      </c>
      <c r="P387" s="356">
        <f>I387*G387+K387*M387</f>
        <v>0</v>
      </c>
      <c r="Q387" s="151">
        <f>G387*J387+K387*N387</f>
        <v>0</v>
      </c>
      <c r="R387" s="165">
        <f>IF(OR(F387=Utilitaires!$G$572,F387=Utilitaires!$G$577),Q387,0)</f>
        <v>0</v>
      </c>
      <c r="X387" s="1092">
        <f>IF(AD387=0,AD387,AD387/D387)</f>
        <v>0</v>
      </c>
      <c r="Y387" s="343"/>
      <c r="Z387" s="820"/>
      <c r="AA387" s="164">
        <f>SQRT(SUMSQ($G387*I387*BJ387,BM387*$K387*M387))</f>
        <v>0</v>
      </c>
      <c r="AB387" s="164">
        <f>SQRT(SUMSQ($G387*J387*BK387,BN387*$K387*N387))</f>
        <v>0</v>
      </c>
      <c r="AC387" s="164">
        <f>SQRT(SUMSQ($G387*H387*BI387,BL387*$K387*L387))</f>
        <v>0</v>
      </c>
      <c r="AD387" s="152">
        <f>SQRT(SUMSQ(AA387:AC387))</f>
        <v>0</v>
      </c>
      <c r="AE387" s="1286">
        <f>R387*X387</f>
        <v>0</v>
      </c>
      <c r="AG387" s="564">
        <f>$G387*IF(ISNA(VLOOKUP($B387&amp;"; "&amp;$H$94&amp;" "&amp;I$95,'FE Déplacements'!$G:$U,10,FALSE)),0,VLOOKUP($B387&amp;"; "&amp;$H$94&amp;" "&amp;I$95,'FE Déplacements'!$G:$U,10,FALSE))
+$K387*IF(ISNA(VLOOKUP($B387&amp;"; "&amp;$L$94&amp;" "&amp;M$95,'FE Déplacements'!$G:$U,10,FALSE)),0,VLOOKUP($B387&amp;"; "&amp;$L$94&amp;" "&amp;M$95,'FE Déplacements'!$G:$U,10,FALSE))</f>
        <v>0</v>
      </c>
      <c r="AH387" s="565">
        <f>$G387*IF(ISNA(VLOOKUP($B387&amp;"; "&amp;$H$94&amp;" "&amp;J$95,'FE Déplacements'!$G:$U,10,FALSE)),0,VLOOKUP($B387&amp;"; "&amp;$H$94&amp;" "&amp;J$95,'FE Déplacements'!$G:$U,10,FALSE))
+$K387*IF(ISNA(VLOOKUP($B387&amp;"; "&amp;$L$94&amp;" "&amp;N$95,'FE Déplacements'!$G:$U,10,FALSE)),0,VLOOKUP($B387&amp;"; "&amp;$L$94&amp;" "&amp;N$95,'FE Déplacements'!$G:$U,10,FALSE))</f>
        <v>0</v>
      </c>
      <c r="AI387" s="565">
        <f>$G387*IF(ISNA(VLOOKUP($B387&amp;"; "&amp;$H$94&amp;" "&amp;H$95,'FE Déplacements'!$G:$U,10,FALSE)),0,VLOOKUP($B387&amp;"; "&amp;$H$94&amp;" "&amp;H$95,'FE Déplacements'!$G:$U,10,FALSE))
+$K387*IF(ISNA(VLOOKUP($B387&amp;"; "&amp;$L$94&amp;" "&amp;L$95,'FE Déplacements'!$G:$U,10,FALSE)),0,VLOOKUP($B387&amp;"; "&amp;$L$94&amp;" "&amp;L$95,'FE Déplacements'!$G:$U,10,FALSE))</f>
        <v>0</v>
      </c>
      <c r="AJ387" s="565">
        <f>$G387*IF(ISNA((VLOOKUP($B387&amp;"; "&amp;$H$94&amp;" "&amp;I$95,'FE Déplacements'!$G:$U,12,FALSE)+VLOOKUP($B387&amp;"; "&amp;$H$94&amp;" "&amp;I$95,'FE Déplacements'!$G:$U,11,FALSE))),0,(VLOOKUP($B387&amp;"; "&amp;$H$94&amp;" "&amp;I$95,'FE Déplacements'!$G:$U,12,FALSE)+VLOOKUP($B387&amp;"; "&amp;$H$94&amp;" "&amp;I$95,'FE Déplacements'!$G:$U,11,FALSE)))
+$K387*IF(ISNA((VLOOKUP($B387&amp;"; "&amp;$L$94&amp;" "&amp;M$95,'FE Déplacements'!$G:$U,12,FALSE)+VLOOKUP($B387&amp;"; "&amp;$L$94&amp;" "&amp;M$95,'FE Déplacements'!$G:$U,11,FALSE))),0,(VLOOKUP($B387&amp;"; "&amp;$L$94&amp;" "&amp;M$95,'FE Déplacements'!$G:$U,12,FALSE)+VLOOKUP($B387&amp;"; "&amp;$L$94&amp;" "&amp;M$95,'FE Déplacements'!$G:$U,11,FALSE)))</f>
        <v>0</v>
      </c>
      <c r="AK387" s="565">
        <f>$G387*IF(ISNA((VLOOKUP($B387&amp;"; "&amp;$H$94&amp;" "&amp;J$95,'FE Déplacements'!$G:$U,12,FALSE)+VLOOKUP($B387&amp;"; "&amp;$H$94&amp;" "&amp;J$95,'FE Déplacements'!$G:$U,11,FALSE))),0,(VLOOKUP($B387&amp;"; "&amp;$H$94&amp;" "&amp;J$95,'FE Déplacements'!$G:$U,12,FALSE)+VLOOKUP($B387&amp;"; "&amp;$H$94&amp;" "&amp;J$95,'FE Déplacements'!$G:$U,11,FALSE)))
+$K387*IF(ISNA((VLOOKUP($B387&amp;"; "&amp;$L$94&amp;" "&amp;N$95,'FE Déplacements'!$G:$U,12,FALSE)+VLOOKUP($B387&amp;"; "&amp;$L$94&amp;" "&amp;N$95,'FE Déplacements'!$G:$U,11,FALSE))),0,(VLOOKUP($B387&amp;"; "&amp;$L$94&amp;" "&amp;N$95,'FE Déplacements'!$G:$U,12,FALSE)+VLOOKUP($B387&amp;"; "&amp;$L$94&amp;" "&amp;N$95,'FE Déplacements'!$G:$U,11,FALSE)))</f>
        <v>0</v>
      </c>
      <c r="AL387" s="565">
        <f>$G387*IF(ISNA((VLOOKUP($B387&amp;"; "&amp;$H$94&amp;" "&amp;H$95,'FE Déplacements'!$G:$U,12,FALSE)+VLOOKUP($B387&amp;"; "&amp;$H$94&amp;" "&amp;H$95,'FE Déplacements'!$G:$U,11,FALSE))),0,(VLOOKUP($B387&amp;"; "&amp;$H$94&amp;" "&amp;H$95,'FE Déplacements'!$G:$U,12,FALSE)+VLOOKUP($B387&amp;"; "&amp;$H$94&amp;" "&amp;H$95,'FE Déplacements'!$G:$U,11,FALSE)))
+$K387*IF(ISNA((VLOOKUP($B387&amp;"; "&amp;$L$94&amp;" "&amp;L$95,'FE Déplacements'!$G:$U,12,FALSE)+VLOOKUP($B387&amp;"; "&amp;$L$94&amp;" "&amp;L$95,'FE Déplacements'!$G:$U,11,FALSE))),0,(VLOOKUP($B387&amp;"; "&amp;$L$94&amp;" "&amp;L$95,'FE Déplacements'!$G:$U,12,FALSE)+VLOOKUP($B387&amp;"; "&amp;$L$94&amp;" "&amp;L$95,'FE Déplacements'!$G:$U,11,FALSE)))</f>
        <v>0</v>
      </c>
      <c r="AM387" s="565">
        <f>$G387*IF(ISNA(VLOOKUP($B387&amp;"; "&amp;$H$94&amp;" "&amp;I$95,'FE Déplacements'!$G:$U,13,FALSE)),0,VLOOKUP($B387&amp;"; "&amp;$H$94&amp;" "&amp;I$95,'FE Déplacements'!$G:$U,13,FALSE))
+$K387*IF(ISNA(VLOOKUP($B387&amp;"; "&amp;$L$94&amp;" "&amp;M$95,'FE Déplacements'!$G:$U,13,FALSE)),0,VLOOKUP($B387&amp;"; "&amp;$L$94&amp;" "&amp;M$95,'FE Déplacements'!$G:$U,13,FALSE))</f>
        <v>0</v>
      </c>
      <c r="AN387" s="565">
        <f>$G387*IF(ISNA(VLOOKUP($B387&amp;"; "&amp;$H$94&amp;" "&amp;J$95,'FE Déplacements'!$G:$U,13,FALSE)),0,VLOOKUP($B387&amp;"; "&amp;$H$94&amp;" "&amp;J$95,'FE Déplacements'!$G:$U,13,FALSE))
+$K387*IF(ISNA(VLOOKUP($B387&amp;"; "&amp;$L$94&amp;" "&amp;N$95,'FE Déplacements'!$G:$U,13,FALSE)),0,VLOOKUP($B387&amp;"; "&amp;$L$94&amp;" "&amp;N$95,'FE Déplacements'!$G:$U,13,FALSE))</f>
        <v>0</v>
      </c>
      <c r="AO387" s="565">
        <f>$G387*IF(ISNA(VLOOKUP($B387&amp;"; "&amp;$H$94&amp;" "&amp;H$95,'FE Déplacements'!$G:$U,13,FALSE)),0,VLOOKUP($B387&amp;"; "&amp;$H$94&amp;" "&amp;H$95,'FE Déplacements'!$G:$U,13,FALSE))
+$K387*IF(ISNA(VLOOKUP($B387&amp;"; "&amp;$L$94&amp;" "&amp;L$95,'FE Déplacements'!$G:$U,13,FALSE)),0,VLOOKUP($B387&amp;"; "&amp;$L$94&amp;" "&amp;L$95,'FE Déplacements'!$G:$U,13,FALSE))</f>
        <v>0</v>
      </c>
      <c r="AP387" s="565">
        <v>0</v>
      </c>
      <c r="AQ387" s="565">
        <v>0</v>
      </c>
      <c r="AR387" s="565">
        <v>0</v>
      </c>
      <c r="AS387" s="1288">
        <f t="shared" ref="AS387:AU388" si="220">SUM(AG387,AJ387,AM387,AP387)</f>
        <v>0</v>
      </c>
      <c r="AT387" s="566">
        <f t="shared" si="220"/>
        <v>0</v>
      </c>
      <c r="AU387" s="566">
        <f t="shared" si="220"/>
        <v>0</v>
      </c>
      <c r="AV387" s="564">
        <f>$G387*IF(ISNA(VLOOKUP($B387&amp;"; "&amp;$H$94&amp;" "&amp;I$95,'FE Déplacements'!$G:$U,15,FALSE)),0,VLOOKUP($B387&amp;"; "&amp;$H$94&amp;" "&amp;I$95,'FE Déplacements'!$G:$U,15,FALSE))
+$K387*IF(ISNA(VLOOKUP($B387&amp;"; "&amp;$L$94&amp;" "&amp;M$95,'FE Déplacements'!$G:$U,15,FALSE)),0,VLOOKUP($B387&amp;"; "&amp;$L$94&amp;" "&amp;M$95,'FE Déplacements'!$G:$U,15,FALSE))</f>
        <v>0</v>
      </c>
      <c r="AW387" s="565">
        <f>$G387*IF(ISNA(VLOOKUP($B387&amp;"; "&amp;$H$94&amp;" "&amp;J$95,'FE Déplacements'!$G:$U,15,FALSE)),0,VLOOKUP($B387&amp;"; "&amp;$H$94&amp;" "&amp;J$95,'FE Déplacements'!$G:$U,15,FALSE))
+$K387*IF(ISNA(VLOOKUP($B387&amp;"; "&amp;$L$94&amp;" "&amp;N$95,'FE Déplacements'!$G:$U,15,FALSE)),0,VLOOKUP($B387&amp;"; "&amp;$L$94&amp;" "&amp;N$95,'FE Déplacements'!$G:$U,15,FALSE))</f>
        <v>0</v>
      </c>
      <c r="AX387" s="568">
        <f>$G387*IF(ISNA(VLOOKUP($B387&amp;"; "&amp;$H$94&amp;" "&amp;H$95,'FE Déplacements'!$G:$U,15,FALSE)),0,VLOOKUP($B387&amp;"; "&amp;$H$94&amp;" "&amp;H$95,'FE Déplacements'!$G:$U,15,FALSE))
+$K387*IF(ISNA(VLOOKUP($B387&amp;"; "&amp;$L$94&amp;" "&amp;L$95,'FE Déplacements'!$G:$U,15,FALSE)),0,VLOOKUP($B387&amp;"; "&amp;$L$94&amp;" "&amp;L$95,'FE Déplacements'!$G:$U,15,FALSE))</f>
        <v>0</v>
      </c>
      <c r="BH387" s="2268">
        <f>IF($Y387&lt;&gt;"votre valeur :",IF(ISNA(VLOOKUP($Y387,Utilitaires!$N$566:$O$571,2,FALSE)),,VLOOKUP($Y387,Utilitaires!$N$566:$O$571,2,FALSE)),$Z387)</f>
        <v>0</v>
      </c>
      <c r="BI387" s="2277">
        <f>IF(ISNA(SQRT(SUMSQ(VLOOKUP($B387&amp;"; "&amp;$H$94&amp;" "&amp;H$95,'FE Déplacements'!$G:$U,7,FALSE),$BH387))),0,SQRT(SUMSQ(VLOOKUP($B387&amp;"; "&amp;$H$94&amp;" "&amp;H$95,'FE Déplacements'!$G:$U,7,FALSE),$BH387)))</f>
        <v>0</v>
      </c>
      <c r="BJ387" s="2277">
        <f>IF(ISNA(SQRT(SUMSQ(VLOOKUP($B387&amp;"; "&amp;$H$94&amp;" "&amp;I$95,'FE Déplacements'!$G:$U,7,FALSE),$BH387))),0,SQRT(SUMSQ(VLOOKUP($B387&amp;"; "&amp;$H$94&amp;" "&amp;I$95,'FE Déplacements'!$G:$U,7,FALSE),$BH387)))</f>
        <v>0</v>
      </c>
      <c r="BK387" s="2277">
        <f>IF(ISNA(SQRT(SUMSQ(VLOOKUP($B387&amp;"; "&amp;$H$94&amp;" "&amp;J$95,'FE Déplacements'!$G:$U,7,FALSE),$BH387))),0,SQRT(SUMSQ(VLOOKUP($B387&amp;"; "&amp;$H$94&amp;" "&amp;J$95,'FE Déplacements'!$G:$U,7,FALSE),$BH387)))</f>
        <v>0</v>
      </c>
      <c r="BL387" s="2277">
        <f>IF(ISNA(SQRT(SUMSQ(VLOOKUP($B387&amp;"; "&amp;$L$94&amp;" "&amp;L$95,'FE Déplacements'!$G:$U,7,FALSE),$BH387))),0,SQRT(SUMSQ(VLOOKUP($B387&amp;"; "&amp;$L$94&amp;" "&amp;L$95,'FE Déplacements'!$G:$U,7,FALSE),$BH387)))</f>
        <v>0</v>
      </c>
      <c r="BM387" s="2277">
        <f>IF(ISNA(SQRT(SUMSQ(VLOOKUP($B387&amp;"; "&amp;$L$94&amp;" "&amp;M$95,'FE Déplacements'!$G:$U,7,FALSE),$BH387))),0,SQRT(SUMSQ(VLOOKUP($B387&amp;"; "&amp;$L$94&amp;" "&amp;M$95,'FE Déplacements'!$G:$U,7,FALSE),$BH387)))</f>
        <v>0.5</v>
      </c>
      <c r="BN387" s="1130">
        <f>IF(ISNA(SQRT(SUMSQ(VLOOKUP($B387&amp;"; "&amp;$L$94&amp;" "&amp;N$95,'FE Déplacements'!$G:$U,7,FALSE),$BH387))),0,SQRT(SUMSQ(VLOOKUP($B387&amp;"; "&amp;$L$94&amp;" "&amp;N$95,'FE Déplacements'!$G:$U,7,FALSE),$BH387)))</f>
        <v>0.5</v>
      </c>
    </row>
    <row r="388" spans="2:66" ht="12.75" hidden="1" customHeight="1" outlineLevel="1">
      <c r="B388" s="358" t="s">
        <v>4055</v>
      </c>
      <c r="C388" s="359"/>
      <c r="D388" s="212">
        <f>SUM(O388:Q388)</f>
        <v>0</v>
      </c>
      <c r="E388" s="212"/>
      <c r="F388" s="347"/>
      <c r="G388" s="123"/>
      <c r="H388" s="410">
        <f>IF(ISNA(VLOOKUP($B388&amp;"; "&amp;$H$94&amp;" "&amp;H$95,'FE Déplacements'!$G:$U,9,FALSE)),0,VLOOKUP($B388&amp;"; "&amp;$H$94&amp;" "&amp;H$95,'FE Déplacements'!$G:$U,9,FALSE))</f>
        <v>1.5900000000000001E-2</v>
      </c>
      <c r="I388" s="410">
        <f>IF(ISNA(VLOOKUP($B388&amp;"; "&amp;$H$94&amp;" "&amp;I$95,'FE Déplacements'!$G:$U,9,FALSE)),0,VLOOKUP($B388&amp;"; "&amp;$H$94&amp;" "&amp;I$95,'FE Déplacements'!$G:$U,9,FALSE))</f>
        <v>1.14E-2</v>
      </c>
      <c r="J388" s="410">
        <f>IF(ISNA(VLOOKUP($B388&amp;"; "&amp;$H$94&amp;" "&amp;J$95,'FE Déplacements'!$G:$U,9,FALSE)),0,VLOOKUP($B388&amp;"; "&amp;$H$94&amp;" "&amp;J$95,'FE Déplacements'!$G:$U,9,FALSE))</f>
        <v>5.1700000000000003E-2</v>
      </c>
      <c r="K388" s="123"/>
      <c r="L388" s="410">
        <f>IFERROR(VLOOKUP($B388&amp;"; "&amp;$L$385&amp;" "&amp;L$386,'FE Déplacements'!$G:$U,9,FALSE),0)</f>
        <v>0</v>
      </c>
      <c r="M388" s="410">
        <f>IFERROR(VLOOKUP($B388&amp;"; "&amp;$L$385&amp;" "&amp;M$386,'FE Déplacements'!$G:$U,9,FALSE),0)</f>
        <v>0</v>
      </c>
      <c r="N388" s="410">
        <f>IFERROR(VLOOKUP($B388&amp;"; "&amp;$L$385&amp;" "&amp;N$386,'FE Déplacements'!$G:$U,9,FALSE),0)</f>
        <v>0</v>
      </c>
      <c r="O388" s="356">
        <f>H388*G388+K388*L388</f>
        <v>0</v>
      </c>
      <c r="P388" s="356">
        <f>I388*G388+K388*M388</f>
        <v>0</v>
      </c>
      <c r="Q388" s="151">
        <f>G388*J388+K388*N388</f>
        <v>0</v>
      </c>
      <c r="R388" s="165">
        <f>IF(OR(F388=Utilitaires!$G$572,F388=Utilitaires!$G$577),Q388,0)</f>
        <v>0</v>
      </c>
      <c r="X388" s="1092">
        <f>IF(AD388=0,AD388,AD388/D388)</f>
        <v>0</v>
      </c>
      <c r="Y388" s="1094"/>
      <c r="Z388" s="820"/>
      <c r="AA388" s="164">
        <f>SQRT(SUMSQ($G388*I388*BJ388,BM388*$K388*M388))</f>
        <v>0</v>
      </c>
      <c r="AB388" s="164">
        <f>SQRT(SUMSQ($G388*J388*BK388,BN388*$K388*N388))</f>
        <v>0</v>
      </c>
      <c r="AC388" s="164">
        <f>SQRT(SUMSQ($G388*H388*BI388,BL388*$K388*L388))</f>
        <v>0</v>
      </c>
      <c r="AD388" s="152">
        <f>SQRT(SUMSQ(AA388:AC388))</f>
        <v>0</v>
      </c>
      <c r="AE388" s="1286">
        <f>R388*X388</f>
        <v>0</v>
      </c>
      <c r="AG388" s="564">
        <f>$G388*IF(ISNA(VLOOKUP($B388&amp;"; "&amp;$H$94&amp;" "&amp;I$95,'FE Déplacements'!$G:$U,10,FALSE)),0,VLOOKUP($B388&amp;"; "&amp;$H$94&amp;" "&amp;I$95,'FE Déplacements'!$G:$U,10,FALSE))
+$K388*IF(ISNA(VLOOKUP($B388&amp;"; "&amp;$L$94&amp;" "&amp;M$95,'FE Déplacements'!$G:$U,10,FALSE)),0,VLOOKUP($B388&amp;"; "&amp;$L$94&amp;" "&amp;M$95,'FE Déplacements'!$G:$U,10,FALSE))</f>
        <v>0</v>
      </c>
      <c r="AH388" s="565">
        <f>$G388*IF(ISNA(VLOOKUP($B388&amp;"; "&amp;$H$94&amp;" "&amp;J$95,'FE Déplacements'!$G:$U,10,FALSE)),0,VLOOKUP($B388&amp;"; "&amp;$H$94&amp;" "&amp;J$95,'FE Déplacements'!$G:$U,10,FALSE))
+$K388*IF(ISNA(VLOOKUP($B388&amp;"; "&amp;$L$94&amp;" "&amp;N$95,'FE Déplacements'!$G:$U,10,FALSE)),0,VLOOKUP($B388&amp;"; "&amp;$L$94&amp;" "&amp;N$95,'FE Déplacements'!$G:$U,10,FALSE))</f>
        <v>0</v>
      </c>
      <c r="AI388" s="565">
        <f>$G388*IF(ISNA(VLOOKUP($B388&amp;"; "&amp;$H$94&amp;" "&amp;H$95,'FE Déplacements'!$G:$U,10,FALSE)),0,VLOOKUP($B388&amp;"; "&amp;$H$94&amp;" "&amp;H$95,'FE Déplacements'!$G:$U,10,FALSE))
+$K388*IF(ISNA(VLOOKUP($B388&amp;"; "&amp;$L$94&amp;" "&amp;L$95,'FE Déplacements'!$G:$U,10,FALSE)),0,VLOOKUP($B388&amp;"; "&amp;$L$94&amp;" "&amp;L$95,'FE Déplacements'!$G:$U,10,FALSE))</f>
        <v>0</v>
      </c>
      <c r="AJ388" s="565">
        <f>$G388*IF(ISNA((VLOOKUP($B388&amp;"; "&amp;$H$94&amp;" "&amp;I$95,'FE Déplacements'!$G:$U,12,FALSE)+VLOOKUP($B388&amp;"; "&amp;$H$94&amp;" "&amp;I$95,'FE Déplacements'!$G:$U,11,FALSE))),0,(VLOOKUP($B388&amp;"; "&amp;$H$94&amp;" "&amp;I$95,'FE Déplacements'!$G:$U,12,FALSE)+VLOOKUP($B388&amp;"; "&amp;$H$94&amp;" "&amp;I$95,'FE Déplacements'!$G:$U,11,FALSE)))
+$K388*IF(ISNA((VLOOKUP($B388&amp;"; "&amp;$L$94&amp;" "&amp;M$95,'FE Déplacements'!$G:$U,12,FALSE)+VLOOKUP($B388&amp;"; "&amp;$L$94&amp;" "&amp;M$95,'FE Déplacements'!$G:$U,11,FALSE))),0,(VLOOKUP($B388&amp;"; "&amp;$L$94&amp;" "&amp;M$95,'FE Déplacements'!$G:$U,12,FALSE)+VLOOKUP($B388&amp;"; "&amp;$L$94&amp;" "&amp;M$95,'FE Déplacements'!$G:$U,11,FALSE)))</f>
        <v>0</v>
      </c>
      <c r="AK388" s="565">
        <f>$G388*IF(ISNA((VLOOKUP($B388&amp;"; "&amp;$H$94&amp;" "&amp;J$95,'FE Déplacements'!$G:$U,12,FALSE)+VLOOKUP($B388&amp;"; "&amp;$H$94&amp;" "&amp;J$95,'FE Déplacements'!$G:$U,11,FALSE))),0,(VLOOKUP($B388&amp;"; "&amp;$H$94&amp;" "&amp;J$95,'FE Déplacements'!$G:$U,12,FALSE)+VLOOKUP($B388&amp;"; "&amp;$H$94&amp;" "&amp;J$95,'FE Déplacements'!$G:$U,11,FALSE)))
+$K388*IF(ISNA((VLOOKUP($B388&amp;"; "&amp;$L$94&amp;" "&amp;N$95,'FE Déplacements'!$G:$U,12,FALSE)+VLOOKUP($B388&amp;"; "&amp;$L$94&amp;" "&amp;N$95,'FE Déplacements'!$G:$U,11,FALSE))),0,(VLOOKUP($B388&amp;"; "&amp;$L$94&amp;" "&amp;N$95,'FE Déplacements'!$G:$U,12,FALSE)+VLOOKUP($B388&amp;"; "&amp;$L$94&amp;" "&amp;N$95,'FE Déplacements'!$G:$U,11,FALSE)))</f>
        <v>0</v>
      </c>
      <c r="AL388" s="565">
        <f>$G388*IF(ISNA((VLOOKUP($B388&amp;"; "&amp;$H$94&amp;" "&amp;H$95,'FE Déplacements'!$G:$U,12,FALSE)+VLOOKUP($B388&amp;"; "&amp;$H$94&amp;" "&amp;H$95,'FE Déplacements'!$G:$U,11,FALSE))),0,(VLOOKUP($B388&amp;"; "&amp;$H$94&amp;" "&amp;H$95,'FE Déplacements'!$G:$U,12,FALSE)+VLOOKUP($B388&amp;"; "&amp;$H$94&amp;" "&amp;H$95,'FE Déplacements'!$G:$U,11,FALSE)))
+$K388*IF(ISNA((VLOOKUP($B388&amp;"; "&amp;$L$94&amp;" "&amp;L$95,'FE Déplacements'!$G:$U,12,FALSE)+VLOOKUP($B388&amp;"; "&amp;$L$94&amp;" "&amp;L$95,'FE Déplacements'!$G:$U,11,FALSE))),0,(VLOOKUP($B388&amp;"; "&amp;$L$94&amp;" "&amp;L$95,'FE Déplacements'!$G:$U,12,FALSE)+VLOOKUP($B388&amp;"; "&amp;$L$94&amp;" "&amp;L$95,'FE Déplacements'!$G:$U,11,FALSE)))</f>
        <v>0</v>
      </c>
      <c r="AM388" s="565">
        <f>$G388*IF(ISNA(VLOOKUP($B388&amp;"; "&amp;$H$94&amp;" "&amp;I$95,'FE Déplacements'!$G:$U,13,FALSE)),0,VLOOKUP($B388&amp;"; "&amp;$H$94&amp;" "&amp;I$95,'FE Déplacements'!$G:$U,13,FALSE))
+$K388*IF(ISNA(VLOOKUP($B388&amp;"; "&amp;$L$94&amp;" "&amp;M$95,'FE Déplacements'!$G:$U,13,FALSE)),0,VLOOKUP($B388&amp;"; "&amp;$L$94&amp;" "&amp;M$95,'FE Déplacements'!$G:$U,13,FALSE))</f>
        <v>0</v>
      </c>
      <c r="AN388" s="565">
        <f>$G388*IF(ISNA(VLOOKUP($B388&amp;"; "&amp;$H$94&amp;" "&amp;J$95,'FE Déplacements'!$G:$U,13,FALSE)),0,VLOOKUP($B388&amp;"; "&amp;$H$94&amp;" "&amp;J$95,'FE Déplacements'!$G:$U,13,FALSE))
+$K388*IF(ISNA(VLOOKUP($B388&amp;"; "&amp;$L$94&amp;" "&amp;N$95,'FE Déplacements'!$G:$U,13,FALSE)),0,VLOOKUP($B388&amp;"; "&amp;$L$94&amp;" "&amp;N$95,'FE Déplacements'!$G:$U,13,FALSE))</f>
        <v>0</v>
      </c>
      <c r="AO388" s="565">
        <f>$G388*IF(ISNA(VLOOKUP($B388&amp;"; "&amp;$H$94&amp;" "&amp;H$95,'FE Déplacements'!$G:$U,13,FALSE)),0,VLOOKUP($B388&amp;"; "&amp;$H$94&amp;" "&amp;H$95,'FE Déplacements'!$G:$U,13,FALSE))
+$K388*IF(ISNA(VLOOKUP($B388&amp;"; "&amp;$L$94&amp;" "&amp;L$95,'FE Déplacements'!$G:$U,13,FALSE)),0,VLOOKUP($B388&amp;"; "&amp;$L$94&amp;" "&amp;L$95,'FE Déplacements'!$G:$U,13,FALSE))</f>
        <v>0</v>
      </c>
      <c r="AP388" s="565">
        <v>0</v>
      </c>
      <c r="AQ388" s="565">
        <v>0</v>
      </c>
      <c r="AR388" s="565">
        <v>0</v>
      </c>
      <c r="AS388" s="1288">
        <f t="shared" si="220"/>
        <v>0</v>
      </c>
      <c r="AT388" s="566">
        <f t="shared" si="220"/>
        <v>0</v>
      </c>
      <c r="AU388" s="566">
        <f t="shared" si="220"/>
        <v>0</v>
      </c>
      <c r="AV388" s="564">
        <f>$G388*IF(ISNA(VLOOKUP($B388&amp;"; "&amp;$H$94&amp;" "&amp;I$95,'FE Déplacements'!$G:$U,15,FALSE)),0,VLOOKUP($B388&amp;"; "&amp;$H$94&amp;" "&amp;I$95,'FE Déplacements'!$G:$U,15,FALSE))
+$K388*IF(ISNA(VLOOKUP($B388&amp;"; "&amp;$L$94&amp;" "&amp;M$95,'FE Déplacements'!$G:$U,15,FALSE)),0,VLOOKUP($B388&amp;"; "&amp;$L$94&amp;" "&amp;M$95,'FE Déplacements'!$G:$U,15,FALSE))</f>
        <v>0</v>
      </c>
      <c r="AW388" s="565">
        <f>$G388*IF(ISNA(VLOOKUP($B388&amp;"; "&amp;$H$94&amp;" "&amp;J$95,'FE Déplacements'!$G:$U,15,FALSE)),0,VLOOKUP($B388&amp;"; "&amp;$H$94&amp;" "&amp;J$95,'FE Déplacements'!$G:$U,15,FALSE))
+$K388*IF(ISNA(VLOOKUP($B388&amp;"; "&amp;$L$94&amp;" "&amp;N$95,'FE Déplacements'!$G:$U,15,FALSE)),0,VLOOKUP($B388&amp;"; "&amp;$L$94&amp;" "&amp;N$95,'FE Déplacements'!$G:$U,15,FALSE))</f>
        <v>0</v>
      </c>
      <c r="AX388" s="568">
        <f>$G388*IF(ISNA(VLOOKUP($B388&amp;"; "&amp;$H$94&amp;" "&amp;H$95,'FE Déplacements'!$G:$U,15,FALSE)),0,VLOOKUP($B388&amp;"; "&amp;$H$94&amp;" "&amp;H$95,'FE Déplacements'!$G:$U,15,FALSE))
+$K388*IF(ISNA(VLOOKUP($B388&amp;"; "&amp;$L$94&amp;" "&amp;L$95,'FE Déplacements'!$G:$U,15,FALSE)),0,VLOOKUP($B388&amp;"; "&amp;$L$94&amp;" "&amp;L$95,'FE Déplacements'!$G:$U,15,FALSE))</f>
        <v>0</v>
      </c>
      <c r="BH388" s="2268">
        <f>IF($Y388&lt;&gt;"votre valeur :",IF(ISNA(VLOOKUP($Y388,Utilitaires!$N$566:$O$571,2,FALSE)),,VLOOKUP($Y388,Utilitaires!$N$566:$O$571,2,FALSE)),$Z388)</f>
        <v>0</v>
      </c>
      <c r="BI388" s="2277">
        <f>IF(ISNA(SQRT(SUMSQ(VLOOKUP($B388&amp;"; "&amp;$H$94&amp;" "&amp;H$95,'FE Déplacements'!$G:$U,7,FALSE),$BH388))),0,SQRT(SUMSQ(VLOOKUP($B388&amp;"; "&amp;$H$94&amp;" "&amp;H$95,'FE Déplacements'!$G:$U,7,FALSE),$BH388)))</f>
        <v>0.6</v>
      </c>
      <c r="BJ388" s="2277">
        <f>IF(ISNA(SQRT(SUMSQ(VLOOKUP($B388&amp;"; "&amp;$H$94&amp;" "&amp;I$95,'FE Déplacements'!$G:$U,7,FALSE),$BH388))),0,SQRT(SUMSQ(VLOOKUP($B388&amp;"; "&amp;$H$94&amp;" "&amp;I$95,'FE Déplacements'!$G:$U,7,FALSE),$BH388)))</f>
        <v>0.6</v>
      </c>
      <c r="BK388" s="2277">
        <f>IF(ISNA(SQRT(SUMSQ(VLOOKUP($B388&amp;"; "&amp;$H$94&amp;" "&amp;J$95,'FE Déplacements'!$G:$U,7,FALSE),$BH388))),0,SQRT(SUMSQ(VLOOKUP($B388&amp;"; "&amp;$H$94&amp;" "&amp;J$95,'FE Déplacements'!$G:$U,7,FALSE),$BH388)))</f>
        <v>0.6</v>
      </c>
      <c r="BL388" s="2277">
        <f>IF(ISNA(SQRT(SUMSQ(VLOOKUP($B388&amp;"; "&amp;$L$94&amp;" "&amp;L$95,'FE Déplacements'!$G:$U,7,FALSE),$BH388))),0,SQRT(SUMSQ(VLOOKUP($B388&amp;"; "&amp;$L$94&amp;" "&amp;L$95,'FE Déplacements'!$G:$U,7,FALSE),$BH388)))</f>
        <v>0</v>
      </c>
      <c r="BM388" s="2277">
        <f>IF(ISNA(SQRT(SUMSQ(VLOOKUP($B388&amp;"; "&amp;$L$94&amp;" "&amp;M$95,'FE Déplacements'!$G:$U,7,FALSE),$BH388))),0,SQRT(SUMSQ(VLOOKUP($B388&amp;"; "&amp;$L$94&amp;" "&amp;M$95,'FE Déplacements'!$G:$U,7,FALSE),$BH388)))</f>
        <v>0</v>
      </c>
      <c r="BN388" s="1130">
        <f>IF(ISNA(SQRT(SUMSQ(VLOOKUP($B388&amp;"; "&amp;$L$94&amp;" "&amp;N$95,'FE Déplacements'!$G:$U,7,FALSE),$BH388))),0,SQRT(SUMSQ(VLOOKUP($B388&amp;"; "&amp;$L$94&amp;" "&amp;N$95,'FE Déplacements'!$G:$U,7,FALSE),$BH388)))</f>
        <v>0</v>
      </c>
    </row>
    <row r="389" spans="2:66" ht="12.75" hidden="1" customHeight="1" outlineLevel="1">
      <c r="B389" s="143"/>
      <c r="C389" s="144"/>
      <c r="D389" s="213"/>
      <c r="E389" s="213"/>
      <c r="F389" s="144"/>
      <c r="G389" s="144"/>
      <c r="H389" s="144"/>
      <c r="I389" s="144"/>
      <c r="J389" s="144"/>
      <c r="K389" s="144"/>
      <c r="L389" s="144"/>
      <c r="M389" s="144"/>
      <c r="N389" s="144"/>
      <c r="O389" s="144"/>
      <c r="P389" s="144"/>
      <c r="Q389" s="164"/>
      <c r="R389" s="357"/>
      <c r="X389" s="143"/>
      <c r="Y389" s="164"/>
      <c r="Z389" s="164"/>
      <c r="AA389" s="164"/>
      <c r="AB389" s="164"/>
      <c r="AC389" s="164"/>
      <c r="AD389" s="152"/>
      <c r="AE389" s="1776"/>
      <c r="AG389" s="564"/>
      <c r="AH389" s="565"/>
      <c r="AI389" s="565"/>
      <c r="AJ389" s="565"/>
      <c r="AK389" s="565"/>
      <c r="AL389" s="565"/>
      <c r="AM389" s="565"/>
      <c r="AN389" s="565"/>
      <c r="AO389" s="565"/>
      <c r="AP389" s="565"/>
      <c r="AQ389" s="565"/>
      <c r="AR389" s="565"/>
      <c r="AS389" s="1288"/>
      <c r="AT389" s="566"/>
      <c r="AU389" s="565"/>
      <c r="AV389" s="564"/>
      <c r="AW389" s="565"/>
      <c r="AX389" s="568"/>
      <c r="BH389" s="2269"/>
      <c r="BI389" s="2279"/>
      <c r="BJ389" s="1075"/>
      <c r="BK389" s="1131"/>
      <c r="BL389" s="2279"/>
      <c r="BM389" s="1075"/>
      <c r="BN389" s="1131"/>
    </row>
    <row r="390" spans="2:66" ht="12.75" hidden="1" customHeight="1" outlineLevel="1">
      <c r="B390" s="1264" t="s">
        <v>348</v>
      </c>
      <c r="C390" s="197"/>
      <c r="D390" s="214">
        <f>SUM(D387:D389)</f>
        <v>0</v>
      </c>
      <c r="E390" s="214"/>
      <c r="F390" s="197"/>
      <c r="G390" s="197"/>
      <c r="H390" s="197"/>
      <c r="I390" s="197"/>
      <c r="J390" s="197"/>
      <c r="K390" s="197"/>
      <c r="L390" s="197"/>
      <c r="M390" s="197"/>
      <c r="N390" s="197"/>
      <c r="O390" s="202">
        <f>SUM(O387:O389)</f>
        <v>0</v>
      </c>
      <c r="P390" s="202">
        <f>SUM(P387:P389)</f>
        <v>0</v>
      </c>
      <c r="Q390" s="202">
        <f>SUM(Q387:Q389)</f>
        <v>0</v>
      </c>
      <c r="R390" s="340">
        <f>SUM(R387:R389)</f>
        <v>0</v>
      </c>
      <c r="X390" s="1204">
        <f>IF(AD390=0,AD390,AD390/D390)</f>
        <v>0</v>
      </c>
      <c r="Y390" s="203"/>
      <c r="Z390" s="203"/>
      <c r="AA390" s="203">
        <f>SQRT(SUMSQ(AA387:AA389))</f>
        <v>0</v>
      </c>
      <c r="AB390" s="203">
        <f>SQRT(SUMSQ(AB387:AB389))</f>
        <v>0</v>
      </c>
      <c r="AC390" s="203">
        <f>SQRT(SUMSQ(AC387:AC389))</f>
        <v>0</v>
      </c>
      <c r="AD390" s="200">
        <f>SQRT(SUMSQ(AD387:AD389))</f>
        <v>0</v>
      </c>
      <c r="AE390" s="340">
        <f>SQRT(SUMSQ(AE387:AE389))</f>
        <v>0</v>
      </c>
      <c r="AG390" s="1082">
        <f t="shared" ref="AG390:AX390" si="221">SUM(AG387:AG389)</f>
        <v>0</v>
      </c>
      <c r="AH390" s="572">
        <f t="shared" si="221"/>
        <v>0</v>
      </c>
      <c r="AI390" s="572">
        <f t="shared" si="221"/>
        <v>0</v>
      </c>
      <c r="AJ390" s="572">
        <f t="shared" si="221"/>
        <v>0</v>
      </c>
      <c r="AK390" s="572">
        <f t="shared" si="221"/>
        <v>0</v>
      </c>
      <c r="AL390" s="572">
        <f t="shared" si="221"/>
        <v>0</v>
      </c>
      <c r="AM390" s="572">
        <f t="shared" si="221"/>
        <v>0</v>
      </c>
      <c r="AN390" s="572">
        <f t="shared" si="221"/>
        <v>0</v>
      </c>
      <c r="AO390" s="572">
        <f t="shared" si="221"/>
        <v>0</v>
      </c>
      <c r="AP390" s="572">
        <f t="shared" si="221"/>
        <v>0</v>
      </c>
      <c r="AQ390" s="572">
        <f t="shared" si="221"/>
        <v>0</v>
      </c>
      <c r="AR390" s="572">
        <f t="shared" si="221"/>
        <v>0</v>
      </c>
      <c r="AS390" s="1290">
        <f t="shared" si="221"/>
        <v>0</v>
      </c>
      <c r="AT390" s="573">
        <f t="shared" si="221"/>
        <v>0</v>
      </c>
      <c r="AU390" s="573">
        <f t="shared" si="221"/>
        <v>0</v>
      </c>
      <c r="AV390" s="1082">
        <f t="shared" si="221"/>
        <v>0</v>
      </c>
      <c r="AW390" s="572">
        <f t="shared" si="221"/>
        <v>0</v>
      </c>
      <c r="AX390" s="575">
        <f t="shared" si="221"/>
        <v>0</v>
      </c>
    </row>
    <row r="391" spans="2:66" hidden="1" outlineLevel="1">
      <c r="G391" s="269"/>
    </row>
    <row r="392" spans="2:66" ht="12.75" hidden="1" customHeight="1" outlineLevel="1">
      <c r="B392" s="1091" t="s">
        <v>4065</v>
      </c>
      <c r="C392" s="140"/>
      <c r="D392" s="140"/>
      <c r="E392" s="140"/>
      <c r="F392" s="407"/>
      <c r="G392" s="407"/>
      <c r="H392" s="407"/>
      <c r="I392" s="407"/>
      <c r="J392" s="407"/>
      <c r="K392" s="407"/>
      <c r="L392" s="2267"/>
      <c r="M392" s="2267"/>
      <c r="N392" s="2267"/>
      <c r="O392" s="2542"/>
      <c r="P392" s="1674"/>
      <c r="X392" s="2538" t="s">
        <v>366</v>
      </c>
      <c r="Y392" s="2539"/>
      <c r="Z392" s="2539"/>
      <c r="AA392" s="2539"/>
      <c r="AB392" s="2539"/>
      <c r="AC392" s="2539"/>
      <c r="AD392" s="2539"/>
      <c r="AE392" s="2540"/>
      <c r="AH392" s="2639" t="s">
        <v>441</v>
      </c>
      <c r="AI392" s="2640"/>
      <c r="AJ392" s="2640"/>
      <c r="AK392" s="2640"/>
      <c r="AL392" s="2640"/>
      <c r="AM392" s="2640"/>
      <c r="AN392" s="2640"/>
      <c r="AO392" s="2640"/>
      <c r="AP392" s="2640"/>
      <c r="AQ392" s="2640"/>
      <c r="AR392" s="2640"/>
      <c r="AS392" s="2640"/>
      <c r="AT392" s="2640"/>
      <c r="AU392" s="2640"/>
      <c r="AV392" s="2640"/>
      <c r="AW392" s="2640"/>
      <c r="AX392" s="2640"/>
      <c r="AY392" s="2640"/>
      <c r="AZ392" s="2640"/>
      <c r="BA392" s="2640"/>
      <c r="BB392" s="2640"/>
      <c r="BC392" s="2640"/>
      <c r="BD392" s="2640"/>
      <c r="BE392" s="2641"/>
    </row>
    <row r="393" spans="2:66" ht="12.75" hidden="1" customHeight="1" outlineLevel="1">
      <c r="B393" s="332"/>
      <c r="C393" s="167"/>
      <c r="D393" s="2272" t="s">
        <v>308</v>
      </c>
      <c r="E393" s="2272"/>
      <c r="F393" s="400"/>
      <c r="G393" s="400"/>
      <c r="H393" s="400"/>
      <c r="I393" s="400"/>
      <c r="J393" s="400"/>
      <c r="K393" s="400"/>
      <c r="L393" s="2272"/>
      <c r="M393" s="2272"/>
      <c r="N393" s="2272"/>
      <c r="O393" s="2544"/>
      <c r="P393" s="2280" t="s">
        <v>275</v>
      </c>
      <c r="X393" s="2263"/>
      <c r="Y393" s="819"/>
      <c r="Z393" s="819"/>
      <c r="AA393" s="2272"/>
      <c r="AB393" s="2272"/>
      <c r="AC393" s="2272"/>
      <c r="AD393" s="2544"/>
      <c r="AE393" s="2281"/>
      <c r="AF393" s="2270" t="s">
        <v>275</v>
      </c>
      <c r="AH393" s="2642" t="s">
        <v>444</v>
      </c>
      <c r="AI393" s="2643"/>
      <c r="AJ393" s="2643"/>
      <c r="AK393" s="2643"/>
      <c r="AL393" s="2643"/>
      <c r="AM393" s="2643"/>
      <c r="AN393" s="2643"/>
      <c r="AO393" s="2643"/>
      <c r="AP393" s="2643"/>
      <c r="AQ393" s="2643"/>
      <c r="AR393" s="2643"/>
      <c r="AS393" s="2643"/>
      <c r="AT393" s="2643"/>
      <c r="AU393" s="2643"/>
      <c r="AV393" s="2643"/>
      <c r="AW393" s="2643"/>
      <c r="AX393" s="2643" t="s">
        <v>444</v>
      </c>
      <c r="AY393" s="2643"/>
      <c r="AZ393" s="2643"/>
      <c r="BA393" s="2644"/>
      <c r="BB393" s="577"/>
      <c r="BC393" s="624"/>
      <c r="BD393" s="624"/>
      <c r="BE393" s="578"/>
      <c r="BH393" s="2616" t="s">
        <v>1648</v>
      </c>
      <c r="BI393" s="2617"/>
      <c r="BJ393" s="2617"/>
      <c r="BK393" s="2617"/>
      <c r="BL393" s="2618"/>
    </row>
    <row r="394" spans="2:66" ht="12.75" hidden="1" customHeight="1" outlineLevel="1">
      <c r="B394" s="2263"/>
      <c r="C394" s="2264"/>
      <c r="D394" s="2264" t="s">
        <v>409</v>
      </c>
      <c r="E394" s="2264"/>
      <c r="F394" s="2270" t="s">
        <v>452</v>
      </c>
      <c r="G394" s="2270"/>
      <c r="H394" s="2626" t="s">
        <v>4059</v>
      </c>
      <c r="I394" s="2628"/>
      <c r="J394" s="2628"/>
      <c r="K394" s="2628"/>
      <c r="L394" s="2272" t="s">
        <v>444</v>
      </c>
      <c r="M394" s="2272" t="s">
        <v>444</v>
      </c>
      <c r="N394" s="2272" t="s">
        <v>444</v>
      </c>
      <c r="O394" s="2544" t="s">
        <v>444</v>
      </c>
      <c r="P394" s="2280" t="s">
        <v>276</v>
      </c>
      <c r="X394" s="2263" t="s">
        <v>316</v>
      </c>
      <c r="Y394" s="2629" t="s">
        <v>316</v>
      </c>
      <c r="Z394" s="2630"/>
      <c r="AA394" s="2264" t="s">
        <v>444</v>
      </c>
      <c r="AB394" s="2264" t="s">
        <v>444</v>
      </c>
      <c r="AC394" s="2264" t="s">
        <v>444</v>
      </c>
      <c r="AD394" s="2535" t="s">
        <v>444</v>
      </c>
      <c r="AE394" s="2281" t="s">
        <v>444</v>
      </c>
      <c r="AF394" s="153" t="s">
        <v>276</v>
      </c>
      <c r="AH394" s="2631" t="s">
        <v>211</v>
      </c>
      <c r="AI394" s="2632"/>
      <c r="AJ394" s="2632"/>
      <c r="AK394" s="2632"/>
      <c r="AL394" s="2632" t="s">
        <v>442</v>
      </c>
      <c r="AM394" s="2632"/>
      <c r="AN394" s="2632"/>
      <c r="AO394" s="2632"/>
      <c r="AP394" s="2632" t="s">
        <v>267</v>
      </c>
      <c r="AQ394" s="2632"/>
      <c r="AR394" s="2632"/>
      <c r="AS394" s="2632"/>
      <c r="AT394" s="2632" t="s">
        <v>443</v>
      </c>
      <c r="AU394" s="2632"/>
      <c r="AV394" s="2632"/>
      <c r="AW394" s="2632"/>
      <c r="AX394" s="2648" t="s">
        <v>327</v>
      </c>
      <c r="AY394" s="2648"/>
      <c r="AZ394" s="2648"/>
      <c r="BA394" s="2649"/>
      <c r="BB394" s="2631" t="s">
        <v>636</v>
      </c>
      <c r="BC394" s="2632"/>
      <c r="BD394" s="2632"/>
      <c r="BE394" s="2650"/>
      <c r="BH394" s="2811" t="s">
        <v>1646</v>
      </c>
      <c r="BI394" s="2275" t="s">
        <v>1570</v>
      </c>
      <c r="BJ394" s="2275" t="s">
        <v>1569</v>
      </c>
      <c r="BK394" s="2275" t="s">
        <v>40</v>
      </c>
      <c r="BL394" s="2545" t="s">
        <v>332</v>
      </c>
    </row>
    <row r="395" spans="2:66" ht="28.5" hidden="1" customHeight="1" outlineLevel="1">
      <c r="B395" s="2263"/>
      <c r="C395" s="2264"/>
      <c r="D395" s="2264" t="s">
        <v>444</v>
      </c>
      <c r="E395" s="2264"/>
      <c r="F395" s="2271" t="s">
        <v>445</v>
      </c>
      <c r="G395" s="153" t="s">
        <v>895</v>
      </c>
      <c r="H395" s="1662" t="s">
        <v>411</v>
      </c>
      <c r="I395" s="1662" t="s">
        <v>257</v>
      </c>
      <c r="J395" s="2549" t="s">
        <v>5079</v>
      </c>
      <c r="K395" s="2549" t="s">
        <v>422</v>
      </c>
      <c r="L395" s="2266" t="s">
        <v>411</v>
      </c>
      <c r="M395" s="2266" t="s">
        <v>257</v>
      </c>
      <c r="N395" s="2266" t="s">
        <v>437</v>
      </c>
      <c r="O395" s="2543" t="s">
        <v>422</v>
      </c>
      <c r="P395" s="2280" t="s">
        <v>444</v>
      </c>
      <c r="X395" s="2263" t="s">
        <v>1649</v>
      </c>
      <c r="Y395" s="2646" t="s">
        <v>1650</v>
      </c>
      <c r="Z395" s="2647"/>
      <c r="AA395" s="1662" t="s">
        <v>411</v>
      </c>
      <c r="AB395" s="1662" t="s">
        <v>257</v>
      </c>
      <c r="AC395" s="1662" t="s">
        <v>437</v>
      </c>
      <c r="AD395" s="1662" t="s">
        <v>422</v>
      </c>
      <c r="AE395" s="2281" t="s">
        <v>327</v>
      </c>
      <c r="AF395" s="153" t="s">
        <v>444</v>
      </c>
      <c r="AH395" s="2285" t="s">
        <v>411</v>
      </c>
      <c r="AI395" s="2286" t="s">
        <v>257</v>
      </c>
      <c r="AJ395" s="2286" t="s">
        <v>437</v>
      </c>
      <c r="AK395" s="2286" t="s">
        <v>422</v>
      </c>
      <c r="AL395" s="2286" t="s">
        <v>411</v>
      </c>
      <c r="AM395" s="2286" t="s">
        <v>257</v>
      </c>
      <c r="AN395" s="2286" t="s">
        <v>437</v>
      </c>
      <c r="AO395" s="2286" t="s">
        <v>422</v>
      </c>
      <c r="AP395" s="2286" t="s">
        <v>411</v>
      </c>
      <c r="AQ395" s="2286" t="s">
        <v>257</v>
      </c>
      <c r="AR395" s="2286" t="s">
        <v>437</v>
      </c>
      <c r="AS395" s="2286" t="s">
        <v>422</v>
      </c>
      <c r="AT395" s="2286" t="s">
        <v>411</v>
      </c>
      <c r="AU395" s="2286" t="s">
        <v>257</v>
      </c>
      <c r="AV395" s="2286" t="s">
        <v>437</v>
      </c>
      <c r="AW395" s="2286" t="s">
        <v>422</v>
      </c>
      <c r="AX395" s="581" t="s">
        <v>411</v>
      </c>
      <c r="AY395" s="581" t="s">
        <v>257</v>
      </c>
      <c r="AZ395" s="581" t="s">
        <v>437</v>
      </c>
      <c r="BA395" s="581" t="s">
        <v>422</v>
      </c>
      <c r="BB395" s="2285" t="s">
        <v>411</v>
      </c>
      <c r="BC395" s="2286" t="s">
        <v>257</v>
      </c>
      <c r="BD395" s="2286" t="s">
        <v>437</v>
      </c>
      <c r="BE395" s="2287" t="s">
        <v>422</v>
      </c>
      <c r="BH395" s="2812"/>
      <c r="BI395" s="2276"/>
      <c r="BJ395" s="2276"/>
      <c r="BK395" s="2276"/>
      <c r="BL395" s="2546"/>
    </row>
    <row r="396" spans="2:66" hidden="1" outlineLevel="1">
      <c r="B396" s="143" t="s">
        <v>4799</v>
      </c>
      <c r="C396" s="144"/>
      <c r="D396" s="212">
        <f>SUM(L396:O396)</f>
        <v>0</v>
      </c>
      <c r="E396" s="212"/>
      <c r="F396" s="409"/>
      <c r="G396" s="117"/>
      <c r="H396" s="218">
        <f>VLOOKUP($B396&amp;"; "&amp;$H$394&amp;" "&amp;H$395,'FE Déplacements'!$G:$U,9,FALSE)</f>
        <v>4.87E-2</v>
      </c>
      <c r="I396" s="218">
        <f>VLOOKUP($B396&amp;"; "&amp;$H$394&amp;" "&amp;I$395,'FE Déplacements'!$G:$U,9,FALSE)</f>
        <v>0.23499999999999999</v>
      </c>
      <c r="J396" s="218">
        <f>IFERROR(VLOOKUP($B396&amp;"; "&amp;$H$394&amp;" "&amp;J$395,'FE Déplacements'!$G:$U,9,FALSE),0)</f>
        <v>0.23499999999999999</v>
      </c>
      <c r="K396" s="218">
        <f>IFERROR(VLOOKUP($B396&amp;"; "&amp;$H$394&amp;" "&amp;K$395,'FE Déplacements'!$G:$U,9,FALSE),0)</f>
        <v>5.1999999999999995E-4</v>
      </c>
      <c r="L396" s="356">
        <f>G396*H396</f>
        <v>0</v>
      </c>
      <c r="M396" s="356">
        <f>G396*I396</f>
        <v>0</v>
      </c>
      <c r="N396" s="151">
        <f>G396*J396</f>
        <v>0</v>
      </c>
      <c r="O396" s="151">
        <f>G396*K396</f>
        <v>0</v>
      </c>
      <c r="P396" s="165">
        <f>IF(OR(F396=Utilitaires!$I$572,F396=Utilitaires!$I$577),M396,0)</f>
        <v>0</v>
      </c>
      <c r="X396" s="226">
        <f>IF(AE396=0,0,AE396/D396)</f>
        <v>0</v>
      </c>
      <c r="Y396" s="343"/>
      <c r="Z396" s="820"/>
      <c r="AA396" s="164">
        <f>L396*BI396</f>
        <v>0</v>
      </c>
      <c r="AB396" s="164">
        <f>M396*BJ396</f>
        <v>0</v>
      </c>
      <c r="AC396" s="164">
        <f>N396*BK396</f>
        <v>0</v>
      </c>
      <c r="AD396" s="164">
        <f>O396*BL396</f>
        <v>0</v>
      </c>
      <c r="AE396" s="152">
        <f>SQRT(SUMSQ(AA396:AD396))</f>
        <v>0</v>
      </c>
      <c r="AF396" s="1286">
        <f>P396*X396</f>
        <v>0</v>
      </c>
      <c r="AH396" s="564">
        <f>$G396*IF(ISNA(VLOOKUP($B396&amp;"; "&amp;$H$394&amp;" "&amp;H$395,'FE Déplacements'!$G:$U,10,FALSE)),0,VLOOKUP($B396&amp;"; "&amp;$H$394&amp;" "&amp;H$395,'FE Déplacements'!$G:$U,10,FALSE))</f>
        <v>0</v>
      </c>
      <c r="AI396" s="565">
        <f>$G396*IF(ISNA(VLOOKUP($B396&amp;"; "&amp;$H$394&amp;" "&amp;I$395,'FE Déplacements'!$G:$U,10,FALSE)),0,VLOOKUP($B396&amp;"; "&amp;$H$394&amp;" "&amp;I$395,'FE Déplacements'!$G:$U,10,FALSE))</f>
        <v>0</v>
      </c>
      <c r="AJ396" s="565">
        <f>$G396*IF(ISNA(VLOOKUP($B396&amp;"; "&amp;$H$394&amp;" "&amp;J$395,'FE Déplacements'!$G:$U,10,FALSE)),0,VLOOKUP($B396&amp;"; "&amp;$H$394&amp;" "&amp;J$395,'FE Déplacements'!$G:$U,10,FALSE))</f>
        <v>0</v>
      </c>
      <c r="AK396" s="565">
        <f>$G396*IF(ISNA(VLOOKUP($B396&amp;"; "&amp;$H$394&amp;" "&amp;K$395,'FE Déplacements'!$G:$U,10,FALSE)),0,VLOOKUP($B396&amp;"; "&amp;$H$394&amp;" "&amp;K$395,'FE Déplacements'!$G:$U,10,FALSE))</f>
        <v>0</v>
      </c>
      <c r="AL396" s="565">
        <f>$G396*IF(ISNA((VLOOKUP($B396&amp;"; "&amp;$H$394&amp;" "&amp;H$395,'FE Déplacements'!$G:$U,12,FALSE)+VLOOKUP($B396&amp;"; "&amp;$H$394&amp;" "&amp;H$395,'FE Déplacements'!$G:$U,11,FALSE))),0,(VLOOKUP($B396&amp;"; "&amp;$H$394&amp;" "&amp;H$395,'FE Déplacements'!$G:$U,12,FALSE)+VLOOKUP($B396&amp;"; "&amp;$H$394&amp;" "&amp;H$395,'FE Déplacements'!$G:$U,11,FALSE)))</f>
        <v>0</v>
      </c>
      <c r="AM396" s="565">
        <f>$G396*IF(ISNA((VLOOKUP($B396&amp;"; "&amp;$H$394&amp;" "&amp;I$395,'FE Déplacements'!$G:$U,12,FALSE)+VLOOKUP($B396&amp;"; "&amp;$H$394&amp;" "&amp;I$395,'FE Déplacements'!$G:$U,11,FALSE))),0,(VLOOKUP($B396&amp;"; "&amp;$H$394&amp;" "&amp;I$395,'FE Déplacements'!$G:$U,12,FALSE)+VLOOKUP($B396&amp;"; "&amp;$H$394&amp;" "&amp;I$395,'FE Déplacements'!$G:$U,11,FALSE)))</f>
        <v>0</v>
      </c>
      <c r="AN396" s="565">
        <f>$G396*IF(ISNA((VLOOKUP($B396&amp;"; "&amp;$H$394&amp;" "&amp;J$395,'FE Déplacements'!$G:$U,12,FALSE)+VLOOKUP($B396&amp;"; "&amp;$H$394&amp;" "&amp;J$395,'FE Déplacements'!$G:$U,11,FALSE))),0,(VLOOKUP($B396&amp;"; "&amp;$H$394&amp;" "&amp;J$395,'FE Déplacements'!$G:$U,12,FALSE)+VLOOKUP($B396&amp;"; "&amp;$H$394&amp;" "&amp;J$395,'FE Déplacements'!$G:$U,11,FALSE)))</f>
        <v>0</v>
      </c>
      <c r="AO396" s="565">
        <f>$G396*IF(ISNA((VLOOKUP($B396&amp;"; "&amp;$H$394&amp;" "&amp;K$395,'FE Déplacements'!$G:$U,12,FALSE)+VLOOKUP($B396&amp;"; "&amp;$H$394&amp;" "&amp;K$395,'FE Déplacements'!$G:$U,11,FALSE))),0,(VLOOKUP($B396&amp;"; "&amp;$H$394&amp;" "&amp;K$395,'FE Déplacements'!$G:$U,12,FALSE)+VLOOKUP($B396&amp;"; "&amp;$H$394&amp;" "&amp;K$395,'FE Déplacements'!$G:$U,11,FALSE)))</f>
        <v>0</v>
      </c>
      <c r="AP396" s="565">
        <f>$G377*IF(ISNA(VLOOKUP($B396&amp;"; "&amp;$H$394&amp;", "&amp;H$395,'FE Energie'!$G:$U,13,FALSE)),0,VLOOKUP($B396&amp;"; "&amp;$H$394&amp;", "&amp;H$395,'FE Energie'!$G:$U,13,FALSE))</f>
        <v>0</v>
      </c>
      <c r="AQ396" s="565">
        <f>$G377*IF(ISNA(VLOOKUP($B396&amp;"; "&amp;$H$394&amp;", "&amp;I$395,'FE Energie'!$G:$U,13,FALSE)),0,VLOOKUP($B396&amp;"; "&amp;$H$394&amp;", "&amp;I$395,'FE Energie'!$G:$U,13,FALSE))</f>
        <v>0</v>
      </c>
      <c r="AR396" s="565">
        <f>$G377*IF(ISNA(VLOOKUP($B396&amp;"; "&amp;$H$394&amp;", "&amp;J$395,'FE Energie'!$G:$U,13,FALSE)),0,VLOOKUP($B396&amp;"; "&amp;$H$394&amp;", "&amp;J$395,'FE Energie'!$G:$U,13,FALSE))</f>
        <v>0</v>
      </c>
      <c r="AS396" s="565">
        <f>$G377*IF(ISNA(VLOOKUP($B396&amp;"; "&amp;$H$394&amp;", "&amp;K$395,'FE Energie'!$G:$U,13,FALSE)),0,VLOOKUP($B396&amp;"; "&amp;$H$394&amp;", "&amp;K$395,'FE Energie'!$G:$U,13,FALSE))</f>
        <v>0</v>
      </c>
      <c r="AT396" s="565">
        <f>$G396*IF(ISNA(VLOOKUP($B396&amp;"; "&amp;$H$394&amp;", "&amp;H$395,'FE Energie'!$G:$U,14,FALSE)),0,VLOOKUP($B396&amp;"; "&amp;$H$394&amp;", "&amp;H$395,'FE Energie'!$G:$U,14,FALSE))</f>
        <v>0</v>
      </c>
      <c r="AU396" s="565">
        <f>$G396*IF(ISNA(VLOOKUP($B396&amp;"; "&amp;$H$394&amp;", "&amp;I$395,'FE Energie'!$G:$U,14,FALSE)),0,VLOOKUP($B396&amp;"; "&amp;$H$394&amp;", "&amp;I$395,'FE Energie'!$G:$U,14,FALSE))</f>
        <v>0</v>
      </c>
      <c r="AV396" s="565">
        <f>$G396*IF(ISNA(VLOOKUP($B396&amp;"; "&amp;$H$394&amp;", "&amp;J$395,'FE Energie'!$G:$U,14,FALSE)),0,VLOOKUP($B396&amp;"; "&amp;$H$394&amp;", "&amp;J$395,'FE Energie'!$G:$U,14,FALSE))</f>
        <v>0</v>
      </c>
      <c r="AW396" s="565">
        <f>$G396*IF(ISNA(VLOOKUP($B396&amp;"; "&amp;$H$394&amp;", "&amp;K$395,'FE Energie'!$G:$U,14,FALSE)),0,VLOOKUP($B396&amp;"; "&amp;$H$394&amp;", "&amp;K$395,'FE Energie'!$G:$U,14,FALSE))</f>
        <v>0</v>
      </c>
      <c r="AX396" s="566">
        <f>SUM(AH396,AL396,AP396,AT396)</f>
        <v>0</v>
      </c>
      <c r="AY396" s="566">
        <f>SUM(AI396,AM396,AQ396,AU396)</f>
        <v>0</v>
      </c>
      <c r="AZ396" s="566">
        <f>SUM(AJ396,AN396,AR396,AV396)</f>
        <v>0</v>
      </c>
      <c r="BA396" s="566">
        <f>SUM(AK396,AO396,AS396,AW396)</f>
        <v>0</v>
      </c>
      <c r="BB396" s="564">
        <f>$G396*IF(ISNA(VLOOKUP($B396&amp;"; "&amp;$H$394&amp;", "&amp;H$395,'FE Energie'!$G:$U,15,FALSE)),0,VLOOKUP($B396&amp;"; "&amp;$H$394&amp;", "&amp;H$395,'FE Energie'!$G:$U,15,FALSE))</f>
        <v>0</v>
      </c>
      <c r="BC396" s="565">
        <f>$G396*IF(ISNA(VLOOKUP($B396&amp;"; "&amp;$H$394&amp;", "&amp;I$395,'FE Energie'!$G:$U,15,FALSE)),0,VLOOKUP($B396&amp;"; "&amp;$H$394&amp;", "&amp;I$395,'FE Energie'!$G:$U,15,FALSE))</f>
        <v>0</v>
      </c>
      <c r="BD396" s="565">
        <f>$G396*IF(ISNA(VLOOKUP($B396&amp;"; "&amp;$H$394&amp;", "&amp;J$395,'FE Energie'!$G:$U,15,FALSE)),0,VLOOKUP($B396&amp;"; "&amp;$H$394&amp;", "&amp;J$395,'FE Energie'!$G:$U,15,FALSE))</f>
        <v>0</v>
      </c>
      <c r="BE396" s="568">
        <f>$G396*IF(ISNA(VLOOKUP($B396&amp;"; "&amp;$H$394&amp;", "&amp;K$395,'FE Energie'!$G:$U,15,FALSE)),0,VLOOKUP($B396&amp;"; "&amp;$H$394&amp;", "&amp;K$395,'FE Energie'!$G:$U,15,FALSE))</f>
        <v>0</v>
      </c>
      <c r="BH396" s="2268">
        <f>IF($Y396&lt;&gt;"votre valeur :",IF(ISNA(VLOOKUP($Y396,Utilitaires!$N$566:$O$571,2,FALSE)),,VLOOKUP($Y396,Utilitaires!$N$566:$O$571,2,FALSE)),$Z396)</f>
        <v>0</v>
      </c>
      <c r="BI396" s="1130">
        <f>IF(ISNA(SQRT(SUMSQ(VLOOKUP($B396&amp;"; "&amp;$H$394&amp;" "&amp;$H$395,'FE Déplacements'!$G:$U,7,FALSE),$BH396))),0,SQRT(SUMSQ(VLOOKUP($B396&amp;"; "&amp;$H$394&amp;" "&amp;$H$395,'FE Déplacements'!$G:$U,7,FALSE),$BH396)))</f>
        <v>0.7</v>
      </c>
      <c r="BJ396" s="1130">
        <f>IF(ISNA(SQRT(SUMSQ(VLOOKUP($B396&amp;"; "&amp;$H$394&amp;" "&amp;$I$395,'FE Déplacements'!$G:$U,7,FALSE),$BH396))),0,SQRT(SUMSQ(VLOOKUP($B396&amp;"; "&amp;$H$394&amp;" "&amp;$I$395,'FE Déplacements'!$G:$U,7,FALSE),$BH396)))</f>
        <v>0.7</v>
      </c>
      <c r="BK396" s="1130">
        <f>IF(ISNA(SQRT(SUMSQ(VLOOKUP($B396&amp;"; "&amp;$H$394&amp;" "&amp;$J$395,'FE Déplacements'!$G:$U,7,FALSE),$BH396))),0,SQRT(SUMSQ(VLOOKUP($B396&amp;"; "&amp;$H$394&amp;" "&amp;$J$395,'FE Déplacements'!$G:$U,7,FALSE),$BH396)))</f>
        <v>0.7</v>
      </c>
      <c r="BL396" s="1130">
        <f>IF(ISNA(SQRT(SUMSQ(VLOOKUP($B396&amp;"; "&amp;$H$394&amp;" "&amp;$K$395,'FE Déplacements'!$G:$U,7,FALSE),$BH396))),0,SQRT(SUMSQ(VLOOKUP($B396&amp;"; "&amp;$H$394&amp;" "&amp;$K$395,'FE Déplacements'!$G:$U,7,FALSE),$BH396)))</f>
        <v>0.7</v>
      </c>
    </row>
    <row r="397" spans="2:66" hidden="1" outlineLevel="1">
      <c r="B397" s="143" t="s">
        <v>4800</v>
      </c>
      <c r="C397" s="144"/>
      <c r="D397" s="212">
        <f t="shared" ref="D397:D399" si="222">SUM(L397:O397)</f>
        <v>0</v>
      </c>
      <c r="E397" s="212"/>
      <c r="F397" s="346"/>
      <c r="G397" s="120"/>
      <c r="H397" s="218">
        <f>VLOOKUP($B397&amp;"; "&amp;$H$394&amp;" "&amp;H$395,'FE Déplacements'!$G:$U,9,FALSE)</f>
        <v>2.5000000000000001E-2</v>
      </c>
      <c r="I397" s="218">
        <f>VLOOKUP($B397&amp;"; "&amp;$H$394&amp;" "&amp;I$395,'FE Déplacements'!$G:$U,9,FALSE)</f>
        <v>0.12</v>
      </c>
      <c r="J397" s="218">
        <f>IFERROR(VLOOKUP($B397&amp;"; "&amp;$H$394&amp;" "&amp;J$395,'FE Déplacements'!$G:$U,9,FALSE),0)</f>
        <v>0.12</v>
      </c>
      <c r="K397" s="218">
        <f>IFERROR(VLOOKUP($B397&amp;"; "&amp;$H$394&amp;" "&amp;K$395,'FE Déplacements'!$G:$U,9,FALSE),0)</f>
        <v>4.2000000000000002E-4</v>
      </c>
      <c r="L397" s="356">
        <f t="shared" ref="L397:L399" si="223">G397*H397</f>
        <v>0</v>
      </c>
      <c r="M397" s="356">
        <f t="shared" ref="M397:M399" si="224">G397*I397</f>
        <v>0</v>
      </c>
      <c r="N397" s="151">
        <f t="shared" ref="N397:N399" si="225">G397*J397</f>
        <v>0</v>
      </c>
      <c r="O397" s="151">
        <f t="shared" ref="O397:O399" si="226">G397*K397</f>
        <v>0</v>
      </c>
      <c r="P397" s="165">
        <f>IF(OR(F397=Utilitaires!$I$572,F397=Utilitaires!$I$577),M397,0)</f>
        <v>0</v>
      </c>
      <c r="X397" s="226">
        <f>IF(AE397=0,0,AE397/D397)</f>
        <v>0</v>
      </c>
      <c r="Y397" s="343"/>
      <c r="Z397" s="820"/>
      <c r="AA397" s="164">
        <f t="shared" ref="AA397:AA399" si="227">L397*BI397</f>
        <v>0</v>
      </c>
      <c r="AB397" s="164">
        <f t="shared" ref="AB397:AB399" si="228">M397*BJ397</f>
        <v>0</v>
      </c>
      <c r="AC397" s="164">
        <f t="shared" ref="AC397:AC399" si="229">N397*BK397</f>
        <v>0</v>
      </c>
      <c r="AD397" s="164">
        <f>O397*BL397</f>
        <v>0</v>
      </c>
      <c r="AE397" s="152">
        <f t="shared" ref="AE397:AE399" si="230">SQRT(SUMSQ(AA397:AD397))</f>
        <v>0</v>
      </c>
      <c r="AF397" s="1286">
        <f>P397*X397</f>
        <v>0</v>
      </c>
      <c r="AH397" s="564">
        <f>$G397*IF(ISNA(VLOOKUP($B397&amp;"; "&amp;$H$394&amp;" "&amp;H$395,'FE Déplacements'!$G:$U,10,FALSE)),0,VLOOKUP($B397&amp;"; "&amp;$H$394&amp;" "&amp;H$395,'FE Déplacements'!$G:$U,10,FALSE))</f>
        <v>0</v>
      </c>
      <c r="AI397" s="565">
        <f>$G397*IF(ISNA(VLOOKUP($B397&amp;"; "&amp;$H$394&amp;" "&amp;I$395,'FE Déplacements'!$G:$U,10,FALSE)),0,VLOOKUP($B397&amp;"; "&amp;$H$394&amp;" "&amp;I$395,'FE Déplacements'!$G:$U,10,FALSE))</f>
        <v>0</v>
      </c>
      <c r="AJ397" s="565">
        <f>$G397*IF(ISNA(VLOOKUP($B397&amp;"; "&amp;$H$394&amp;" "&amp;J$395,'FE Déplacements'!$G:$U,10,FALSE)),0,VLOOKUP($B397&amp;"; "&amp;$H$394&amp;" "&amp;J$395,'FE Déplacements'!$G:$U,10,FALSE))</f>
        <v>0</v>
      </c>
      <c r="AK397" s="565">
        <f>$G397*IF(ISNA(VLOOKUP($B397&amp;"; "&amp;$H$394&amp;" "&amp;K$395,'FE Déplacements'!$G:$U,10,FALSE)),0,VLOOKUP($B397&amp;"; "&amp;$H$394&amp;" "&amp;K$395,'FE Déplacements'!$G:$U,10,FALSE))</f>
        <v>0</v>
      </c>
      <c r="AL397" s="565">
        <f>$G397*IF(ISNA((VLOOKUP($B397&amp;"; "&amp;$H$394&amp;" "&amp;H$395,'FE Déplacements'!$G:$U,12,FALSE)+VLOOKUP($B397&amp;"; "&amp;$H$394&amp;" "&amp;H$395,'FE Déplacements'!$G:$U,11,FALSE))),0,(VLOOKUP($B397&amp;"; "&amp;$H$394&amp;" "&amp;H$395,'FE Déplacements'!$G:$U,12,FALSE)+VLOOKUP($B397&amp;"; "&amp;$H$394&amp;" "&amp;H$395,'FE Déplacements'!$G:$U,11,FALSE)))</f>
        <v>0</v>
      </c>
      <c r="AM397" s="565">
        <f>$G397*IF(ISNA((VLOOKUP($B397&amp;"; "&amp;$H$394&amp;" "&amp;I$395,'FE Déplacements'!$G:$U,12,FALSE)+VLOOKUP($B397&amp;"; "&amp;$H$394&amp;" "&amp;I$395,'FE Déplacements'!$G:$U,11,FALSE))),0,(VLOOKUP($B397&amp;"; "&amp;$H$394&amp;" "&amp;I$395,'FE Déplacements'!$G:$U,12,FALSE)+VLOOKUP($B397&amp;"; "&amp;$H$394&amp;" "&amp;I$395,'FE Déplacements'!$G:$U,11,FALSE)))</f>
        <v>0</v>
      </c>
      <c r="AN397" s="565">
        <f>$G397*IF(ISNA((VLOOKUP($B397&amp;"; "&amp;$H$394&amp;" "&amp;J$395,'FE Déplacements'!$G:$U,12,FALSE)+VLOOKUP($B397&amp;"; "&amp;$H$394&amp;" "&amp;J$395,'FE Déplacements'!$G:$U,11,FALSE))),0,(VLOOKUP($B397&amp;"; "&amp;$H$394&amp;" "&amp;J$395,'FE Déplacements'!$G:$U,12,FALSE)+VLOOKUP($B397&amp;"; "&amp;$H$394&amp;" "&amp;J$395,'FE Déplacements'!$G:$U,11,FALSE)))</f>
        <v>0</v>
      </c>
      <c r="AO397" s="565">
        <f>$G397*IF(ISNA((VLOOKUP($B397&amp;"; "&amp;$H$394&amp;" "&amp;K$395,'FE Déplacements'!$G:$U,12,FALSE)+VLOOKUP($B397&amp;"; "&amp;$H$394&amp;" "&amp;K$395,'FE Déplacements'!$G:$U,11,FALSE))),0,(VLOOKUP($B397&amp;"; "&amp;$H$394&amp;" "&amp;K$395,'FE Déplacements'!$G:$U,12,FALSE)+VLOOKUP($B397&amp;"; "&amp;$H$394&amp;" "&amp;K$395,'FE Déplacements'!$G:$U,11,FALSE)))</f>
        <v>0</v>
      </c>
      <c r="AP397" s="565">
        <f>$G378*IF(ISNA(VLOOKUP($B397&amp;"; "&amp;$H$394&amp;", "&amp;H$395,'FE Energie'!$G:$U,13,FALSE)),0,VLOOKUP($B397&amp;"; "&amp;$H$394&amp;", "&amp;H$395,'FE Energie'!$G:$U,13,FALSE))</f>
        <v>0</v>
      </c>
      <c r="AQ397" s="565">
        <f>$G378*IF(ISNA(VLOOKUP($B397&amp;"; "&amp;$H$394&amp;", "&amp;I$395,'FE Energie'!$G:$U,13,FALSE)),0,VLOOKUP($B397&amp;"; "&amp;$H$394&amp;", "&amp;I$395,'FE Energie'!$G:$U,13,FALSE))</f>
        <v>0</v>
      </c>
      <c r="AR397" s="565">
        <f>$G378*IF(ISNA(VLOOKUP($B397&amp;"; "&amp;$H$394&amp;", "&amp;J$395,'FE Energie'!$G:$U,13,FALSE)),0,VLOOKUP($B397&amp;"; "&amp;$H$394&amp;", "&amp;J$395,'FE Energie'!$G:$U,13,FALSE))</f>
        <v>0</v>
      </c>
      <c r="AS397" s="565">
        <f>$G378*IF(ISNA(VLOOKUP($B397&amp;"; "&amp;$H$394&amp;", "&amp;K$395,'FE Energie'!$G:$U,13,FALSE)),0,VLOOKUP($B397&amp;"; "&amp;$H$394&amp;", "&amp;K$395,'FE Energie'!$G:$U,13,FALSE))</f>
        <v>0</v>
      </c>
      <c r="AT397" s="565">
        <f>$G397*IF(ISNA(VLOOKUP($B397&amp;"; "&amp;$H$394&amp;", "&amp;H$395,'FE Energie'!$G:$U,14,FALSE)),0,VLOOKUP($B397&amp;"; "&amp;$H$394&amp;", "&amp;H$395,'FE Energie'!$G:$U,14,FALSE))</f>
        <v>0</v>
      </c>
      <c r="AU397" s="565">
        <f>$G397*IF(ISNA(VLOOKUP($B397&amp;"; "&amp;$H$394&amp;", "&amp;I$395,'FE Energie'!$G:$U,14,FALSE)),0,VLOOKUP($B397&amp;"; "&amp;$H$394&amp;", "&amp;I$395,'FE Energie'!$G:$U,14,FALSE))</f>
        <v>0</v>
      </c>
      <c r="AV397" s="565">
        <f>$G397*IF(ISNA(VLOOKUP($B397&amp;"; "&amp;$H$394&amp;", "&amp;J$395,'FE Energie'!$G:$U,14,FALSE)),0,VLOOKUP($B397&amp;"; "&amp;$H$394&amp;", "&amp;J$395,'FE Energie'!$G:$U,14,FALSE))</f>
        <v>0</v>
      </c>
      <c r="AW397" s="565">
        <f>$G397*IF(ISNA(VLOOKUP($B397&amp;"; "&amp;$H$394&amp;", "&amp;K$395,'FE Energie'!$G:$U,14,FALSE)),0,VLOOKUP($B397&amp;"; "&amp;$H$394&amp;", "&amp;K$395,'FE Energie'!$G:$U,14,FALSE))</f>
        <v>0</v>
      </c>
      <c r="AX397" s="566">
        <f t="shared" ref="AX397:AZ399" si="231">SUM(AH397,AL397,AP397,AT397)</f>
        <v>0</v>
      </c>
      <c r="AY397" s="566">
        <f t="shared" si="231"/>
        <v>0</v>
      </c>
      <c r="AZ397" s="566">
        <f t="shared" si="231"/>
        <v>0</v>
      </c>
      <c r="BA397" s="566">
        <f t="shared" ref="BA397:BA399" si="232">SUM(AK397,AO397,AS397,AW397)</f>
        <v>0</v>
      </c>
      <c r="BB397" s="564">
        <f>$G397*IF(ISNA(VLOOKUP($B397&amp;"; "&amp;$H$394&amp;", "&amp;H$395,'FE Energie'!$G:$U,15,FALSE)),0,VLOOKUP($B397&amp;"; "&amp;$H$394&amp;", "&amp;H$395,'FE Energie'!$G:$U,15,FALSE))</f>
        <v>0</v>
      </c>
      <c r="BC397" s="565">
        <f>$G397*IF(ISNA(VLOOKUP($B397&amp;"; "&amp;$H$394&amp;", "&amp;I$395,'FE Energie'!$G:$U,15,FALSE)),0,VLOOKUP($B397&amp;"; "&amp;$H$394&amp;", "&amp;I$395,'FE Energie'!$G:$U,15,FALSE))</f>
        <v>0</v>
      </c>
      <c r="BD397" s="565">
        <f>$G397*IF(ISNA(VLOOKUP($B397&amp;"; "&amp;$H$394&amp;", "&amp;J$395,'FE Energie'!$G:$U,15,FALSE)),0,VLOOKUP($B397&amp;"; "&amp;$H$394&amp;", "&amp;J$395,'FE Energie'!$G:$U,15,FALSE))</f>
        <v>0</v>
      </c>
      <c r="BE397" s="568">
        <f>$G397*IF(ISNA(VLOOKUP($B397&amp;"; "&amp;$H$394&amp;", "&amp;K$395,'FE Energie'!$G:$U,15,FALSE)),0,VLOOKUP($B397&amp;"; "&amp;$H$394&amp;", "&amp;K$395,'FE Energie'!$G:$U,15,FALSE))</f>
        <v>0</v>
      </c>
      <c r="BH397" s="2268">
        <f>IF($Y397&lt;&gt;"votre valeur :",IF(ISNA(VLOOKUP($Y397,Utilitaires!$N$566:$O$571,2,FALSE)),,VLOOKUP($Y397,Utilitaires!$N$566:$O$571,2,FALSE)),$Z397)</f>
        <v>0</v>
      </c>
      <c r="BI397" s="1130">
        <f>IF(ISNA(SQRT(SUMSQ(VLOOKUP($B397&amp;"; "&amp;$H$394&amp;" "&amp;$H$395,'FE Déplacements'!$G:$U,7,FALSE),$BH397))),0,SQRT(SUMSQ(VLOOKUP($B397&amp;"; "&amp;$H$394&amp;" "&amp;$H$395,'FE Déplacements'!$G:$U,7,FALSE),$BH397)))</f>
        <v>0.7</v>
      </c>
      <c r="BJ397" s="1130">
        <f>IF(ISNA(SQRT(SUMSQ(VLOOKUP($B397&amp;"; "&amp;$H$394&amp;" "&amp;$I$395,'FE Déplacements'!$G:$U,7,FALSE),$BH397))),0,SQRT(SUMSQ(VLOOKUP($B397&amp;"; "&amp;$H$394&amp;" "&amp;$I$395,'FE Déplacements'!$G:$U,7,FALSE),$BH397)))</f>
        <v>0.7</v>
      </c>
      <c r="BK397" s="1130">
        <f>IF(ISNA(SQRT(SUMSQ(VLOOKUP($B397&amp;"; "&amp;$H$394&amp;" "&amp;$J$395,'FE Déplacements'!$G:$U,7,FALSE),$BH397))),0,SQRT(SUMSQ(VLOOKUP($B397&amp;"; "&amp;$H$394&amp;" "&amp;$J$395,'FE Déplacements'!$G:$U,7,FALSE),$BH397)))</f>
        <v>0.7</v>
      </c>
      <c r="BL397" s="1130">
        <f>IF(ISNA(SQRT(SUMSQ(VLOOKUP($B397&amp;"; "&amp;$H$394&amp;" "&amp;$K$395,'FE Déplacements'!$G:$U,7,FALSE),$BH397))),0,SQRT(SUMSQ(VLOOKUP($B397&amp;"; "&amp;$H$394&amp;" "&amp;$K$395,'FE Déplacements'!$G:$U,7,FALSE),$BH397)))</f>
        <v>0.7</v>
      </c>
    </row>
    <row r="398" spans="2:66" hidden="1" outlineLevel="1">
      <c r="B398" s="143" t="s">
        <v>4801</v>
      </c>
      <c r="C398" s="144"/>
      <c r="D398" s="212">
        <f t="shared" si="222"/>
        <v>0</v>
      </c>
      <c r="E398" s="212"/>
      <c r="F398" s="346"/>
      <c r="G398" s="120"/>
      <c r="H398" s="218">
        <f>VLOOKUP($B398&amp;"; "&amp;$H$394&amp;" "&amp;H$395,'FE Déplacements'!$G:$U,9,FALSE)</f>
        <v>1.9699999999999999E-2</v>
      </c>
      <c r="I398" s="218">
        <f>VLOOKUP($B398&amp;"; "&amp;$H$394&amp;" "&amp;I$395,'FE Déplacements'!$G:$U,9,FALSE)</f>
        <v>9.4899999999999998E-2</v>
      </c>
      <c r="J398" s="218">
        <f>IFERROR(VLOOKUP($B398&amp;"; "&amp;$H$394&amp;" "&amp;J$395,'FE Déplacements'!$G:$U,9,FALSE),0)</f>
        <v>0</v>
      </c>
      <c r="K398" s="218">
        <f>IFERROR(VLOOKUP($B398&amp;"; "&amp;$H$394&amp;" "&amp;K$395,'FE Déplacements'!$G:$U,9,FALSE),0)</f>
        <v>2.9E-4</v>
      </c>
      <c r="L398" s="356">
        <f t="shared" si="223"/>
        <v>0</v>
      </c>
      <c r="M398" s="356">
        <f t="shared" si="224"/>
        <v>0</v>
      </c>
      <c r="N398" s="151">
        <f t="shared" si="225"/>
        <v>0</v>
      </c>
      <c r="O398" s="151">
        <f t="shared" si="226"/>
        <v>0</v>
      </c>
      <c r="P398" s="165">
        <f>IF(OR(F398=Utilitaires!$I$572,F398=Utilitaires!$I$577),M398,0)</f>
        <v>0</v>
      </c>
      <c r="X398" s="226">
        <f>IF(AE398=0,0,AE398/D398)</f>
        <v>0</v>
      </c>
      <c r="Y398" s="1094"/>
      <c r="Z398" s="820"/>
      <c r="AA398" s="164">
        <f t="shared" si="227"/>
        <v>0</v>
      </c>
      <c r="AB398" s="164">
        <f t="shared" si="228"/>
        <v>0</v>
      </c>
      <c r="AC398" s="164">
        <f t="shared" si="229"/>
        <v>0</v>
      </c>
      <c r="AD398" s="164">
        <f>O398*BL398</f>
        <v>0</v>
      </c>
      <c r="AE398" s="152">
        <f t="shared" si="230"/>
        <v>0</v>
      </c>
      <c r="AF398" s="1286">
        <f>P398*X398</f>
        <v>0</v>
      </c>
      <c r="AH398" s="564">
        <f>$G398*IF(ISNA(VLOOKUP($B398&amp;"; "&amp;$H$394&amp;" "&amp;H$395,'FE Déplacements'!$G:$U,10,FALSE)),0,VLOOKUP($B398&amp;"; "&amp;$H$394&amp;" "&amp;H$395,'FE Déplacements'!$G:$U,10,FALSE))</f>
        <v>0</v>
      </c>
      <c r="AI398" s="565">
        <f>$G398*IF(ISNA(VLOOKUP($B398&amp;"; "&amp;$H$394&amp;" "&amp;I$395,'FE Déplacements'!$G:$U,10,FALSE)),0,VLOOKUP($B398&amp;"; "&amp;$H$394&amp;" "&amp;I$395,'FE Déplacements'!$G:$U,10,FALSE))</f>
        <v>0</v>
      </c>
      <c r="AJ398" s="565">
        <f>$G398*IF(ISNA(VLOOKUP($B398&amp;"; "&amp;$H$394&amp;" "&amp;J$395,'FE Déplacements'!$G:$U,10,FALSE)),0,VLOOKUP($B398&amp;"; "&amp;$H$394&amp;" "&amp;J$395,'FE Déplacements'!$G:$U,10,FALSE))</f>
        <v>0</v>
      </c>
      <c r="AK398" s="565">
        <f>$G398*IF(ISNA(VLOOKUP($B398&amp;"; "&amp;$H$394&amp;" "&amp;K$395,'FE Déplacements'!$G:$U,10,FALSE)),0,VLOOKUP($B398&amp;"; "&amp;$H$394&amp;" "&amp;K$395,'FE Déplacements'!$G:$U,10,FALSE))</f>
        <v>0</v>
      </c>
      <c r="AL398" s="565">
        <f>$G398*IF(ISNA((VLOOKUP($B398&amp;"; "&amp;$H$394&amp;" "&amp;H$395,'FE Déplacements'!$G:$U,12,FALSE)+VLOOKUP($B398&amp;"; "&amp;$H$394&amp;" "&amp;H$395,'FE Déplacements'!$G:$U,11,FALSE))),0,(VLOOKUP($B398&amp;"; "&amp;$H$394&amp;" "&amp;H$395,'FE Déplacements'!$G:$U,12,FALSE)+VLOOKUP($B398&amp;"; "&amp;$H$394&amp;" "&amp;H$395,'FE Déplacements'!$G:$U,11,FALSE)))</f>
        <v>0</v>
      </c>
      <c r="AM398" s="565">
        <f>$G398*IF(ISNA((VLOOKUP($B398&amp;"; "&amp;$H$394&amp;" "&amp;I$395,'FE Déplacements'!$G:$U,12,FALSE)+VLOOKUP($B398&amp;"; "&amp;$H$394&amp;" "&amp;I$395,'FE Déplacements'!$G:$U,11,FALSE))),0,(VLOOKUP($B398&amp;"; "&amp;$H$394&amp;" "&amp;I$395,'FE Déplacements'!$G:$U,12,FALSE)+VLOOKUP($B398&amp;"; "&amp;$H$394&amp;" "&amp;I$395,'FE Déplacements'!$G:$U,11,FALSE)))</f>
        <v>0</v>
      </c>
      <c r="AN398" s="565">
        <f>$G398*IF(ISNA((VLOOKUP($B398&amp;"; "&amp;$H$394&amp;" "&amp;J$395,'FE Déplacements'!$G:$U,12,FALSE)+VLOOKUP($B398&amp;"; "&amp;$H$394&amp;" "&amp;J$395,'FE Déplacements'!$G:$U,11,FALSE))),0,(VLOOKUP($B398&amp;"; "&amp;$H$394&amp;" "&amp;J$395,'FE Déplacements'!$G:$U,12,FALSE)+VLOOKUP($B398&amp;"; "&amp;$H$394&amp;" "&amp;J$395,'FE Déplacements'!$G:$U,11,FALSE)))</f>
        <v>0</v>
      </c>
      <c r="AO398" s="565">
        <f>$G398*IF(ISNA((VLOOKUP($B398&amp;"; "&amp;$H$394&amp;" "&amp;K$395,'FE Déplacements'!$G:$U,12,FALSE)+VLOOKUP($B398&amp;"; "&amp;$H$394&amp;" "&amp;K$395,'FE Déplacements'!$G:$U,11,FALSE))),0,(VLOOKUP($B398&amp;"; "&amp;$H$394&amp;" "&amp;K$395,'FE Déplacements'!$G:$U,12,FALSE)+VLOOKUP($B398&amp;"; "&amp;$H$394&amp;" "&amp;K$395,'FE Déplacements'!$G:$U,11,FALSE)))</f>
        <v>0</v>
      </c>
      <c r="AP398" s="565">
        <f>$G379*IF(ISNA(VLOOKUP($B398&amp;"; "&amp;$H$394&amp;", "&amp;H$395,'FE Energie'!$G:$U,13,FALSE)),0,VLOOKUP($B398&amp;"; "&amp;$H$394&amp;", "&amp;H$395,'FE Energie'!$G:$U,13,FALSE))</f>
        <v>0</v>
      </c>
      <c r="AQ398" s="565">
        <f>$G379*IF(ISNA(VLOOKUP($B398&amp;"; "&amp;$H$394&amp;", "&amp;I$395,'FE Energie'!$G:$U,13,FALSE)),0,VLOOKUP($B398&amp;"; "&amp;$H$394&amp;", "&amp;I$395,'FE Energie'!$G:$U,13,FALSE))</f>
        <v>0</v>
      </c>
      <c r="AR398" s="565">
        <f>$G379*IF(ISNA(VLOOKUP($B398&amp;"; "&amp;$H$394&amp;", "&amp;J$395,'FE Energie'!$G:$U,13,FALSE)),0,VLOOKUP($B398&amp;"; "&amp;$H$394&amp;", "&amp;J$395,'FE Energie'!$G:$U,13,FALSE))</f>
        <v>0</v>
      </c>
      <c r="AS398" s="565">
        <f>$G379*IF(ISNA(VLOOKUP($B398&amp;"; "&amp;$H$394&amp;", "&amp;K$395,'FE Energie'!$G:$U,13,FALSE)),0,VLOOKUP($B398&amp;"; "&amp;$H$394&amp;", "&amp;K$395,'FE Energie'!$G:$U,13,FALSE))</f>
        <v>0</v>
      </c>
      <c r="AT398" s="565">
        <f>$G398*IF(ISNA(VLOOKUP($B398&amp;"; "&amp;$H$394&amp;", "&amp;H$395,'FE Energie'!$G:$U,14,FALSE)),0,VLOOKUP($B398&amp;"; "&amp;$H$394&amp;", "&amp;H$395,'FE Energie'!$G:$U,14,FALSE))</f>
        <v>0</v>
      </c>
      <c r="AU398" s="565">
        <f>$G398*IF(ISNA(VLOOKUP($B398&amp;"; "&amp;$H$394&amp;", "&amp;I$395,'FE Energie'!$G:$U,14,FALSE)),0,VLOOKUP($B398&amp;"; "&amp;$H$394&amp;", "&amp;I$395,'FE Energie'!$G:$U,14,FALSE))</f>
        <v>0</v>
      </c>
      <c r="AV398" s="565">
        <f>$G398*IF(ISNA(VLOOKUP($B398&amp;"; "&amp;$H$394&amp;", "&amp;J$395,'FE Energie'!$G:$U,14,FALSE)),0,VLOOKUP($B398&amp;"; "&amp;$H$394&amp;", "&amp;J$395,'FE Energie'!$G:$U,14,FALSE))</f>
        <v>0</v>
      </c>
      <c r="AW398" s="565">
        <f>$G398*IF(ISNA(VLOOKUP($B398&amp;"; "&amp;$H$394&amp;", "&amp;K$395,'FE Energie'!$G:$U,14,FALSE)),0,VLOOKUP($B398&amp;"; "&amp;$H$394&amp;", "&amp;K$395,'FE Energie'!$G:$U,14,FALSE))</f>
        <v>0</v>
      </c>
      <c r="AX398" s="566">
        <f t="shared" si="231"/>
        <v>0</v>
      </c>
      <c r="AY398" s="566">
        <f t="shared" si="231"/>
        <v>0</v>
      </c>
      <c r="AZ398" s="566">
        <f t="shared" si="231"/>
        <v>0</v>
      </c>
      <c r="BA398" s="566">
        <f t="shared" si="232"/>
        <v>0</v>
      </c>
      <c r="BB398" s="564">
        <f>$G398*IF(ISNA(VLOOKUP($B398&amp;"; "&amp;$H$394&amp;", "&amp;H$395,'FE Energie'!$G:$U,15,FALSE)),0,VLOOKUP($B398&amp;"; "&amp;$H$394&amp;", "&amp;H$395,'FE Energie'!$G:$U,15,FALSE))</f>
        <v>0</v>
      </c>
      <c r="BC398" s="565">
        <f>$G398*IF(ISNA(VLOOKUP($B398&amp;"; "&amp;$H$394&amp;", "&amp;I$395,'FE Energie'!$G:$U,15,FALSE)),0,VLOOKUP($B398&amp;"; "&amp;$H$394&amp;", "&amp;I$395,'FE Energie'!$G:$U,15,FALSE))</f>
        <v>0</v>
      </c>
      <c r="BD398" s="565">
        <f>$G398*IF(ISNA(VLOOKUP($B398&amp;"; "&amp;$H$394&amp;", "&amp;J$395,'FE Energie'!$G:$U,15,FALSE)),0,VLOOKUP($B398&amp;"; "&amp;$H$394&amp;", "&amp;J$395,'FE Energie'!$G:$U,15,FALSE))</f>
        <v>0</v>
      </c>
      <c r="BE398" s="568">
        <f>$G398*IF(ISNA(VLOOKUP($B398&amp;"; "&amp;$H$394&amp;", "&amp;K$395,'FE Energie'!$G:$U,15,FALSE)),0,VLOOKUP($B398&amp;"; "&amp;$H$394&amp;", "&amp;K$395,'FE Energie'!$G:$U,15,FALSE))</f>
        <v>0</v>
      </c>
      <c r="BH398" s="2268">
        <f>IF($Y398&lt;&gt;"votre valeur :",IF(ISNA(VLOOKUP($Y398,Utilitaires!$N$566:$O$571,2,FALSE)),,VLOOKUP($Y398,Utilitaires!$N$566:$O$571,2,FALSE)),$Z398)</f>
        <v>0</v>
      </c>
      <c r="BI398" s="1130">
        <f>IF(ISNA(SQRT(SUMSQ(VLOOKUP($B398&amp;"; "&amp;$H$394&amp;" "&amp;$H$395,'FE Déplacements'!$G:$U,7,FALSE),$BH398))),0,SQRT(SUMSQ(VLOOKUP($B398&amp;"; "&amp;$H$394&amp;" "&amp;$H$395,'FE Déplacements'!$G:$U,7,FALSE),$BH398)))</f>
        <v>0.1</v>
      </c>
      <c r="BJ398" s="1130">
        <f>IF(ISNA(SQRT(SUMSQ(VLOOKUP($B398&amp;"; "&amp;$H$394&amp;" "&amp;$I$395,'FE Déplacements'!$G:$U,7,FALSE),$BH398))),0,SQRT(SUMSQ(VLOOKUP($B398&amp;"; "&amp;$H$394&amp;" "&amp;$I$395,'FE Déplacements'!$G:$U,7,FALSE),$BH398)))</f>
        <v>0.1</v>
      </c>
      <c r="BK398" s="1130">
        <f>IF(ISNA(SQRT(SUMSQ(VLOOKUP($B398&amp;"; "&amp;$H$394&amp;" "&amp;$J$395,'FE Déplacements'!$G:$U,7,FALSE),$BH398))),0,SQRT(SUMSQ(VLOOKUP($B398&amp;"; "&amp;$H$394&amp;" "&amp;$J$395,'FE Déplacements'!$G:$U,7,FALSE),$BH398)))</f>
        <v>0</v>
      </c>
      <c r="BL398" s="1130">
        <f>IF(ISNA(SQRT(SUMSQ(VLOOKUP($B398&amp;"; "&amp;$H$394&amp;" "&amp;$K$395,'FE Déplacements'!$G:$U,7,FALSE),$BH398))),0,SQRT(SUMSQ(VLOOKUP($B398&amp;"; "&amp;$H$394&amp;" "&amp;$K$395,'FE Déplacements'!$G:$U,7,FALSE),$BH398)))</f>
        <v>0.1</v>
      </c>
    </row>
    <row r="399" spans="2:66" hidden="1" outlineLevel="1">
      <c r="B399" s="143" t="s">
        <v>4018</v>
      </c>
      <c r="C399" s="144"/>
      <c r="D399" s="212">
        <f t="shared" si="222"/>
        <v>0</v>
      </c>
      <c r="E399" s="212"/>
      <c r="F399" s="347"/>
      <c r="G399" s="123"/>
      <c r="H399" s="218">
        <f>VLOOKUP($B399&amp;"; "&amp;$H$394&amp;" "&amp;H$395,'FE Déplacements'!$G:$U,9,FALSE)</f>
        <v>1.43E-2</v>
      </c>
      <c r="I399" s="218">
        <f>VLOOKUP($B399&amp;"; "&amp;$H$394&amp;" "&amp;I$395,'FE Déplacements'!$G:$U,9,FALSE)</f>
        <v>6.8699999999999997E-2</v>
      </c>
      <c r="J399" s="218">
        <f>IFERROR(VLOOKUP($B399&amp;"; "&amp;$H$394&amp;" "&amp;J$395,'FE Déplacements'!$G:$U,9,FALSE),0)</f>
        <v>6.8699999999999997E-2</v>
      </c>
      <c r="K399" s="218">
        <f>IFERROR(VLOOKUP($B399&amp;"; "&amp;$H$394&amp;" "&amp;K$395,'FE Déplacements'!$G:$U,9,FALSE),0)</f>
        <v>2.5999999999999998E-4</v>
      </c>
      <c r="L399" s="356">
        <f t="shared" si="223"/>
        <v>0</v>
      </c>
      <c r="M399" s="356">
        <f t="shared" si="224"/>
        <v>0</v>
      </c>
      <c r="N399" s="151">
        <f t="shared" si="225"/>
        <v>0</v>
      </c>
      <c r="O399" s="151">
        <f t="shared" si="226"/>
        <v>0</v>
      </c>
      <c r="P399" s="165">
        <f>IF(OR(F399=Utilitaires!$I$572,F399=Utilitaires!$I$577),M399,0)</f>
        <v>0</v>
      </c>
      <c r="X399" s="226">
        <f>IF(AE399=0,0,AE399/D399)</f>
        <v>0</v>
      </c>
      <c r="Y399" s="1094"/>
      <c r="Z399" s="820"/>
      <c r="AA399" s="164">
        <f t="shared" si="227"/>
        <v>0</v>
      </c>
      <c r="AB399" s="164">
        <f t="shared" si="228"/>
        <v>0</v>
      </c>
      <c r="AC399" s="164">
        <f t="shared" si="229"/>
        <v>0</v>
      </c>
      <c r="AD399" s="164">
        <f>O399*BL399</f>
        <v>0</v>
      </c>
      <c r="AE399" s="152">
        <f t="shared" si="230"/>
        <v>0</v>
      </c>
      <c r="AF399" s="1286">
        <f>P399*X399</f>
        <v>0</v>
      </c>
      <c r="AH399" s="564">
        <f>$G399*IF(ISNA(VLOOKUP($B399&amp;"; "&amp;$H$394&amp;" "&amp;H$395,'FE Déplacements'!$G:$U,10,FALSE)),0,VLOOKUP($B399&amp;"; "&amp;$H$394&amp;" "&amp;H$395,'FE Déplacements'!$G:$U,10,FALSE))</f>
        <v>0</v>
      </c>
      <c r="AI399" s="565">
        <f>$G399*IF(ISNA(VLOOKUP($B399&amp;"; "&amp;$H$394&amp;" "&amp;I$395,'FE Déplacements'!$G:$U,10,FALSE)),0,VLOOKUP($B399&amp;"; "&amp;$H$394&amp;" "&amp;I$395,'FE Déplacements'!$G:$U,10,FALSE))</f>
        <v>0</v>
      </c>
      <c r="AJ399" s="565">
        <f>$G399*IF(ISNA(VLOOKUP($B399&amp;"; "&amp;$H$394&amp;" "&amp;J$395,'FE Déplacements'!$G:$U,10,FALSE)),0,VLOOKUP($B399&amp;"; "&amp;$H$394&amp;" "&amp;J$395,'FE Déplacements'!$G:$U,10,FALSE))</f>
        <v>0</v>
      </c>
      <c r="AK399" s="565">
        <f>$G399*IF(ISNA(VLOOKUP($B399&amp;"; "&amp;$H$394&amp;" "&amp;K$395,'FE Déplacements'!$G:$U,10,FALSE)),0,VLOOKUP($B399&amp;"; "&amp;$H$394&amp;" "&amp;K$395,'FE Déplacements'!$G:$U,10,FALSE))</f>
        <v>0</v>
      </c>
      <c r="AL399" s="565">
        <f>$G399*IF(ISNA((VLOOKUP($B399&amp;"; "&amp;$H$394&amp;" "&amp;H$395,'FE Déplacements'!$G:$U,12,FALSE)+VLOOKUP($B399&amp;"; "&amp;$H$394&amp;" "&amp;H$395,'FE Déplacements'!$G:$U,11,FALSE))),0,(VLOOKUP($B399&amp;"; "&amp;$H$394&amp;" "&amp;H$395,'FE Déplacements'!$G:$U,12,FALSE)+VLOOKUP($B399&amp;"; "&amp;$H$394&amp;" "&amp;H$395,'FE Déplacements'!$G:$U,11,FALSE)))</f>
        <v>0</v>
      </c>
      <c r="AM399" s="565">
        <f>$G399*IF(ISNA((VLOOKUP($B399&amp;"; "&amp;$H$394&amp;" "&amp;I$395,'FE Déplacements'!$G:$U,12,FALSE)+VLOOKUP($B399&amp;"; "&amp;$H$394&amp;" "&amp;I$395,'FE Déplacements'!$G:$U,11,FALSE))),0,(VLOOKUP($B399&amp;"; "&amp;$H$394&amp;" "&amp;I$395,'FE Déplacements'!$G:$U,12,FALSE)+VLOOKUP($B399&amp;"; "&amp;$H$394&amp;" "&amp;I$395,'FE Déplacements'!$G:$U,11,FALSE)))</f>
        <v>0</v>
      </c>
      <c r="AN399" s="565">
        <f>$G399*IF(ISNA((VLOOKUP($B399&amp;"; "&amp;$H$394&amp;" "&amp;J$395,'FE Déplacements'!$G:$U,12,FALSE)+VLOOKUP($B399&amp;"; "&amp;$H$394&amp;" "&amp;J$395,'FE Déplacements'!$G:$U,11,FALSE))),0,(VLOOKUP($B399&amp;"; "&amp;$H$394&amp;" "&amp;J$395,'FE Déplacements'!$G:$U,12,FALSE)+VLOOKUP($B399&amp;"; "&amp;$H$394&amp;" "&amp;J$395,'FE Déplacements'!$G:$U,11,FALSE)))</f>
        <v>0</v>
      </c>
      <c r="AO399" s="565">
        <f>$G399*IF(ISNA((VLOOKUP($B399&amp;"; "&amp;$H$394&amp;" "&amp;K$395,'FE Déplacements'!$G:$U,12,FALSE)+VLOOKUP($B399&amp;"; "&amp;$H$394&amp;" "&amp;K$395,'FE Déplacements'!$G:$U,11,FALSE))),0,(VLOOKUP($B399&amp;"; "&amp;$H$394&amp;" "&amp;K$395,'FE Déplacements'!$G:$U,12,FALSE)+VLOOKUP($B399&amp;"; "&amp;$H$394&amp;" "&amp;K$395,'FE Déplacements'!$G:$U,11,FALSE)))</f>
        <v>0</v>
      </c>
      <c r="AP399" s="565">
        <f>$G380*IF(ISNA(VLOOKUP($B399&amp;"; "&amp;$H$394&amp;", "&amp;H$395,'FE Energie'!$G:$U,13,FALSE)),0,VLOOKUP($B399&amp;"; "&amp;$H$394&amp;", "&amp;H$395,'FE Energie'!$G:$U,13,FALSE))</f>
        <v>0</v>
      </c>
      <c r="AQ399" s="565">
        <f>$G380*IF(ISNA(VLOOKUP($B399&amp;"; "&amp;$H$394&amp;", "&amp;I$395,'FE Energie'!$G:$U,13,FALSE)),0,VLOOKUP($B399&amp;"; "&amp;$H$394&amp;", "&amp;I$395,'FE Energie'!$G:$U,13,FALSE))</f>
        <v>0</v>
      </c>
      <c r="AR399" s="565">
        <f>$G380*IF(ISNA(VLOOKUP($B399&amp;"; "&amp;$H$394&amp;", "&amp;J$395,'FE Energie'!$G:$U,13,FALSE)),0,VLOOKUP($B399&amp;"; "&amp;$H$394&amp;", "&amp;J$395,'FE Energie'!$G:$U,13,FALSE))</f>
        <v>0</v>
      </c>
      <c r="AS399" s="565">
        <f>$G380*IF(ISNA(VLOOKUP($B399&amp;"; "&amp;$H$394&amp;", "&amp;K$395,'FE Energie'!$G:$U,13,FALSE)),0,VLOOKUP($B399&amp;"; "&amp;$H$394&amp;", "&amp;K$395,'FE Energie'!$G:$U,13,FALSE))</f>
        <v>0</v>
      </c>
      <c r="AT399" s="565">
        <f>$G399*IF(ISNA(VLOOKUP($B399&amp;"; "&amp;$H$394&amp;", "&amp;H$395,'FE Energie'!$G:$U,14,FALSE)),0,VLOOKUP($B399&amp;"; "&amp;$H$394&amp;", "&amp;H$395,'FE Energie'!$G:$U,14,FALSE))</f>
        <v>0</v>
      </c>
      <c r="AU399" s="565">
        <f>$G399*IF(ISNA(VLOOKUP($B399&amp;"; "&amp;$H$394&amp;", "&amp;I$395,'FE Energie'!$G:$U,14,FALSE)),0,VLOOKUP($B399&amp;"; "&amp;$H$394&amp;", "&amp;I$395,'FE Energie'!$G:$U,14,FALSE))</f>
        <v>0</v>
      </c>
      <c r="AV399" s="565">
        <f>$G399*IF(ISNA(VLOOKUP($B399&amp;"; "&amp;$H$394&amp;", "&amp;J$395,'FE Energie'!$G:$U,14,FALSE)),0,VLOOKUP($B399&amp;"; "&amp;$H$394&amp;", "&amp;J$395,'FE Energie'!$G:$U,14,FALSE))</f>
        <v>0</v>
      </c>
      <c r="AW399" s="565">
        <f>$G399*IF(ISNA(VLOOKUP($B399&amp;"; "&amp;$H$394&amp;", "&amp;K$395,'FE Energie'!$G:$U,14,FALSE)),0,VLOOKUP($B399&amp;"; "&amp;$H$394&amp;", "&amp;K$395,'FE Energie'!$G:$U,14,FALSE))</f>
        <v>0</v>
      </c>
      <c r="AX399" s="566">
        <f t="shared" si="231"/>
        <v>0</v>
      </c>
      <c r="AY399" s="566">
        <f t="shared" si="231"/>
        <v>0</v>
      </c>
      <c r="AZ399" s="566">
        <f t="shared" si="231"/>
        <v>0</v>
      </c>
      <c r="BA399" s="566">
        <f t="shared" si="232"/>
        <v>0</v>
      </c>
      <c r="BB399" s="564">
        <f>$G399*IF(ISNA(VLOOKUP($B399&amp;"; "&amp;$H$394&amp;", "&amp;H$395,'FE Energie'!$G:$U,15,FALSE)),0,VLOOKUP($B399&amp;"; "&amp;$H$394&amp;", "&amp;H$395,'FE Energie'!$G:$U,15,FALSE))</f>
        <v>0</v>
      </c>
      <c r="BC399" s="565">
        <f>$G399*IF(ISNA(VLOOKUP($B399&amp;"; "&amp;$H$394&amp;", "&amp;I$395,'FE Energie'!$G:$U,15,FALSE)),0,VLOOKUP($B399&amp;"; "&amp;$H$394&amp;", "&amp;I$395,'FE Energie'!$G:$U,15,FALSE))</f>
        <v>0</v>
      </c>
      <c r="BD399" s="565">
        <f>$G399*IF(ISNA(VLOOKUP($B399&amp;"; "&amp;$H$394&amp;", "&amp;J$395,'FE Energie'!$G:$U,15,FALSE)),0,VLOOKUP($B399&amp;"; "&amp;$H$394&amp;", "&amp;J$395,'FE Energie'!$G:$U,15,FALSE))</f>
        <v>0</v>
      </c>
      <c r="BE399" s="568">
        <f>$G399*IF(ISNA(VLOOKUP($B399&amp;"; "&amp;$H$394&amp;", "&amp;K$395,'FE Energie'!$G:$U,15,FALSE)),0,VLOOKUP($B399&amp;"; "&amp;$H$394&amp;", "&amp;K$395,'FE Energie'!$G:$U,15,FALSE))</f>
        <v>0</v>
      </c>
      <c r="BH399" s="2268">
        <f>IF($Y399&lt;&gt;"votre valeur :",IF(ISNA(VLOOKUP($Y399,Utilitaires!$N$566:$O$571,2,FALSE)),,VLOOKUP($Y399,Utilitaires!$N$566:$O$571,2,FALSE)),$Z399)</f>
        <v>0</v>
      </c>
      <c r="BI399" s="1130">
        <f>IF(ISNA(SQRT(SUMSQ(VLOOKUP($B399&amp;"; "&amp;$H$394&amp;" "&amp;$H$395,'FE Déplacements'!$G:$U,7,FALSE),$BH399))),0,SQRT(SUMSQ(VLOOKUP($B399&amp;"; "&amp;$H$394&amp;" "&amp;$H$395,'FE Déplacements'!$G:$U,7,FALSE),$BH399)))</f>
        <v>0.7</v>
      </c>
      <c r="BJ399" s="1130">
        <f>IF(ISNA(SQRT(SUMSQ(VLOOKUP($B399&amp;"; "&amp;$H$394&amp;" "&amp;$I$395,'FE Déplacements'!$G:$U,7,FALSE),$BH399))),0,SQRT(SUMSQ(VLOOKUP($B399&amp;"; "&amp;$H$394&amp;" "&amp;$I$395,'FE Déplacements'!$G:$U,7,FALSE),$BH399)))</f>
        <v>0.7</v>
      </c>
      <c r="BK399" s="1130">
        <f>IF(ISNA(SQRT(SUMSQ(VLOOKUP($B399&amp;"; "&amp;$H$394&amp;" "&amp;$J$395,'FE Déplacements'!$G:$U,7,FALSE),$BH399))),0,SQRT(SUMSQ(VLOOKUP($B399&amp;"; "&amp;$H$394&amp;" "&amp;$J$395,'FE Déplacements'!$G:$U,7,FALSE),$BH399)))</f>
        <v>0.7</v>
      </c>
      <c r="BL399" s="1130">
        <f>IF(ISNA(SQRT(SUMSQ(VLOOKUP($B399&amp;"; "&amp;$H$394&amp;" "&amp;$K$395,'FE Déplacements'!$G:$U,7,FALSE),$BH399))),0,SQRT(SUMSQ(VLOOKUP($B399&amp;"; "&amp;$H$394&amp;" "&amp;$K$395,'FE Déplacements'!$G:$U,7,FALSE),$BH399)))</f>
        <v>0.7</v>
      </c>
    </row>
    <row r="400" spans="2:66" ht="12.75" hidden="1" customHeight="1" outlineLevel="1">
      <c r="B400" s="143"/>
      <c r="C400" s="144"/>
      <c r="D400" s="213"/>
      <c r="E400" s="213"/>
      <c r="F400" s="144"/>
      <c r="G400" s="144"/>
      <c r="H400" s="144"/>
      <c r="I400" s="144"/>
      <c r="J400" s="144"/>
      <c r="K400" s="144"/>
      <c r="L400" s="144"/>
      <c r="M400" s="144"/>
      <c r="N400" s="144"/>
      <c r="O400" s="144"/>
      <c r="P400" s="145"/>
      <c r="X400" s="143"/>
      <c r="Y400" s="144"/>
      <c r="Z400" s="144"/>
      <c r="AA400" s="144"/>
      <c r="AB400" s="144"/>
      <c r="AC400" s="144"/>
      <c r="AD400" s="144"/>
      <c r="AE400" s="152"/>
      <c r="AF400" s="1776"/>
      <c r="AH400" s="564"/>
      <c r="AI400" s="565"/>
      <c r="AJ400" s="565"/>
      <c r="AK400" s="565"/>
      <c r="AL400" s="565"/>
      <c r="AM400" s="565"/>
      <c r="AN400" s="565"/>
      <c r="AO400" s="565"/>
      <c r="AP400" s="565"/>
      <c r="AQ400" s="565"/>
      <c r="AR400" s="565"/>
      <c r="AS400" s="565"/>
      <c r="AT400" s="565"/>
      <c r="AU400" s="565"/>
      <c r="AV400" s="565"/>
      <c r="AW400" s="565"/>
      <c r="AX400" s="566"/>
      <c r="AY400" s="566"/>
      <c r="AZ400" s="566"/>
      <c r="BA400" s="566"/>
      <c r="BB400" s="569"/>
      <c r="BC400" s="625"/>
      <c r="BD400" s="565"/>
      <c r="BE400" s="568"/>
      <c r="BH400" s="2269"/>
      <c r="BI400" s="1153"/>
      <c r="BJ400" s="1153"/>
      <c r="BK400" s="1153"/>
      <c r="BL400" s="1153"/>
    </row>
    <row r="401" spans="2:64" hidden="1" outlineLevel="1">
      <c r="B401" s="1264" t="s">
        <v>348</v>
      </c>
      <c r="C401" s="197"/>
      <c r="D401" s="214">
        <f>SUM(D396:D400)</f>
        <v>0</v>
      </c>
      <c r="E401" s="214"/>
      <c r="F401" s="197"/>
      <c r="G401" s="197"/>
      <c r="H401" s="197"/>
      <c r="I401" s="197"/>
      <c r="J401" s="197"/>
      <c r="K401" s="197"/>
      <c r="L401" s="202">
        <f>SUM(L396:L400)</f>
        <v>0</v>
      </c>
      <c r="M401" s="202">
        <f>SUM(M396:M400)</f>
        <v>0</v>
      </c>
      <c r="N401" s="202">
        <f>SUM(N396:N400)</f>
        <v>0</v>
      </c>
      <c r="O401" s="202">
        <f>SUM(O396:O400)</f>
        <v>0</v>
      </c>
      <c r="P401" s="340">
        <f>SUM(P396:P400)</f>
        <v>0</v>
      </c>
      <c r="X401" s="1204">
        <f>IF(AE401=0,0,AE401/D401)</f>
        <v>0</v>
      </c>
      <c r="Y401" s="199"/>
      <c r="Z401" s="199"/>
      <c r="AA401" s="203">
        <f t="shared" ref="AA401:AF401" si="233">SQRT(SUMSQ(AA396:AA400))</f>
        <v>0</v>
      </c>
      <c r="AB401" s="203">
        <f t="shared" si="233"/>
        <v>0</v>
      </c>
      <c r="AC401" s="203">
        <f t="shared" si="233"/>
        <v>0</v>
      </c>
      <c r="AD401" s="203">
        <f t="shared" si="233"/>
        <v>0</v>
      </c>
      <c r="AE401" s="200">
        <f t="shared" si="233"/>
        <v>0</v>
      </c>
      <c r="AF401" s="340">
        <f t="shared" si="233"/>
        <v>0</v>
      </c>
      <c r="AH401" s="1082">
        <f>SUM(AH396:AH400)</f>
        <v>0</v>
      </c>
      <c r="AI401" s="572">
        <f>SUM(AI396:AI400)</f>
        <v>0</v>
      </c>
      <c r="AJ401" s="572">
        <f>SUM(AJ396:AJ400)</f>
        <v>0</v>
      </c>
      <c r="AK401" s="572">
        <f t="shared" ref="AK401" si="234">SUM(AK396:AK400)</f>
        <v>0</v>
      </c>
      <c r="AL401" s="572">
        <f>SUM(AL396:AL400)</f>
        <v>0</v>
      </c>
      <c r="AM401" s="572">
        <f>SUM(AM396:AM400)</f>
        <v>0</v>
      </c>
      <c r="AN401" s="572">
        <f>SUM(AN396:AN400)</f>
        <v>0</v>
      </c>
      <c r="AO401" s="572">
        <f t="shared" ref="AO401" si="235">SUM(AO396:AO400)</f>
        <v>0</v>
      </c>
      <c r="AP401" s="572">
        <f>SUM(AP396:AP400)</f>
        <v>0</v>
      </c>
      <c r="AQ401" s="572">
        <f>SUM(AQ396:AQ400)</f>
        <v>0</v>
      </c>
      <c r="AR401" s="572">
        <f>SUM(AR396:AR400)</f>
        <v>0</v>
      </c>
      <c r="AS401" s="572">
        <f t="shared" ref="AS401" si="236">SUM(AS396:AS400)</f>
        <v>0</v>
      </c>
      <c r="AT401" s="572">
        <f>SUM(AT396:AT400)</f>
        <v>0</v>
      </c>
      <c r="AU401" s="572">
        <f>SUM(AU396:AU400)</f>
        <v>0</v>
      </c>
      <c r="AV401" s="572">
        <f>SUM(AV396:AV400)</f>
        <v>0</v>
      </c>
      <c r="AW401" s="572">
        <f t="shared" ref="AW401" si="237">SUM(AW396:AW400)</f>
        <v>0</v>
      </c>
      <c r="AX401" s="573">
        <f t="shared" ref="AX401:BE401" si="238">SUM(AX396:AX400)</f>
        <v>0</v>
      </c>
      <c r="AY401" s="573">
        <f t="shared" si="238"/>
        <v>0</v>
      </c>
      <c r="AZ401" s="573">
        <f t="shared" si="238"/>
        <v>0</v>
      </c>
      <c r="BA401" s="574">
        <f t="shared" si="238"/>
        <v>0</v>
      </c>
      <c r="BB401" s="571">
        <f t="shared" si="238"/>
        <v>0</v>
      </c>
      <c r="BC401" s="572">
        <f t="shared" si="238"/>
        <v>0</v>
      </c>
      <c r="BD401" s="572">
        <f t="shared" si="238"/>
        <v>0</v>
      </c>
      <c r="BE401" s="575">
        <f t="shared" si="238"/>
        <v>0</v>
      </c>
    </row>
    <row r="402" spans="2:64" ht="15" hidden="1" outlineLevel="1">
      <c r="AJ402" s="593"/>
      <c r="AK402" s="593"/>
      <c r="AL402" s="593"/>
      <c r="AM402" s="593"/>
      <c r="AN402" s="593"/>
      <c r="AO402" s="593"/>
    </row>
    <row r="403" spans="2:64" ht="12.75" hidden="1" customHeight="1" outlineLevel="1">
      <c r="B403" s="1091" t="s">
        <v>897</v>
      </c>
      <c r="C403" s="140"/>
      <c r="D403" s="2265"/>
      <c r="E403" s="2265"/>
      <c r="F403" s="140"/>
      <c r="G403" s="141"/>
      <c r="H403" s="141"/>
      <c r="I403" s="141"/>
      <c r="J403" s="408"/>
      <c r="K403" s="407"/>
      <c r="L403" s="407"/>
      <c r="M403" s="407"/>
      <c r="N403" s="2267"/>
      <c r="O403" s="2267"/>
      <c r="P403" s="2267"/>
      <c r="Q403" s="2542"/>
      <c r="R403" s="1674"/>
      <c r="X403" s="2538" t="s">
        <v>366</v>
      </c>
      <c r="Y403" s="2539"/>
      <c r="Z403" s="2539"/>
      <c r="AA403" s="2539"/>
      <c r="AB403" s="2539"/>
      <c r="AC403" s="2539"/>
      <c r="AD403" s="2539"/>
      <c r="AE403" s="2540"/>
      <c r="AH403" s="2639" t="s">
        <v>441</v>
      </c>
      <c r="AI403" s="2640"/>
      <c r="AJ403" s="2640"/>
      <c r="AK403" s="2640"/>
      <c r="AL403" s="2640"/>
      <c r="AM403" s="2640"/>
      <c r="AN403" s="2640"/>
      <c r="AO403" s="2640"/>
      <c r="AP403" s="2640"/>
      <c r="AQ403" s="2640"/>
      <c r="AR403" s="2640"/>
      <c r="AS403" s="2640"/>
      <c r="AT403" s="2640"/>
      <c r="AU403" s="2640"/>
      <c r="AV403" s="2640"/>
      <c r="AW403" s="2640"/>
      <c r="AX403" s="2640"/>
      <c r="AY403" s="2640"/>
      <c r="AZ403" s="2640"/>
      <c r="BA403" s="2640"/>
      <c r="BB403" s="2640"/>
      <c r="BC403" s="2640"/>
      <c r="BD403" s="2640"/>
      <c r="BE403" s="2641"/>
    </row>
    <row r="404" spans="2:64" ht="12.75" hidden="1" customHeight="1" outlineLevel="1">
      <c r="B404" s="332"/>
      <c r="C404" s="167"/>
      <c r="D404" s="2272" t="s">
        <v>308</v>
      </c>
      <c r="E404" s="2272"/>
      <c r="F404" s="400"/>
      <c r="G404" s="144"/>
      <c r="H404" s="144"/>
      <c r="I404" s="144"/>
      <c r="J404" s="2282"/>
      <c r="K404" s="400"/>
      <c r="L404" s="400"/>
      <c r="M404" s="400"/>
      <c r="N404" s="2272"/>
      <c r="O404" s="2272"/>
      <c r="P404" s="2272"/>
      <c r="Q404" s="2544"/>
      <c r="R404" s="2280" t="s">
        <v>275</v>
      </c>
      <c r="X404" s="2263"/>
      <c r="Y404" s="819"/>
      <c r="Z404" s="819"/>
      <c r="AA404" s="2272"/>
      <c r="AB404" s="2272"/>
      <c r="AC404" s="2272"/>
      <c r="AD404" s="2544"/>
      <c r="AE404" s="2281"/>
      <c r="AF404" s="2270" t="s">
        <v>275</v>
      </c>
      <c r="AH404" s="2642" t="s">
        <v>444</v>
      </c>
      <c r="AI404" s="2643"/>
      <c r="AJ404" s="2643"/>
      <c r="AK404" s="2643"/>
      <c r="AL404" s="2643"/>
      <c r="AM404" s="2643"/>
      <c r="AN404" s="2643"/>
      <c r="AO404" s="2643"/>
      <c r="AP404" s="2643"/>
      <c r="AQ404" s="2643"/>
      <c r="AR404" s="2643"/>
      <c r="AS404" s="2643"/>
      <c r="AT404" s="2643"/>
      <c r="AU404" s="2643"/>
      <c r="AV404" s="2643"/>
      <c r="AW404" s="2643"/>
      <c r="AX404" s="2658" t="s">
        <v>444</v>
      </c>
      <c r="AY404" s="2658"/>
      <c r="AZ404" s="2658"/>
      <c r="BA404" s="2659"/>
      <c r="BB404" s="1081"/>
      <c r="BC404" s="566"/>
      <c r="BD404" s="566"/>
      <c r="BE404" s="567"/>
      <c r="BH404" s="2616" t="s">
        <v>1648</v>
      </c>
      <c r="BI404" s="2617"/>
      <c r="BJ404" s="2617"/>
      <c r="BK404" s="2617"/>
      <c r="BL404" s="2618"/>
    </row>
    <row r="405" spans="2:64" ht="12.75" hidden="1" customHeight="1" outlineLevel="1">
      <c r="B405" s="2263"/>
      <c r="C405" s="2264"/>
      <c r="D405" s="2264" t="s">
        <v>409</v>
      </c>
      <c r="E405" s="2264"/>
      <c r="F405" s="2270" t="s">
        <v>452</v>
      </c>
      <c r="G405" s="2270" t="s">
        <v>314</v>
      </c>
      <c r="H405" s="2264" t="s">
        <v>113</v>
      </c>
      <c r="I405" s="2264" t="s">
        <v>242</v>
      </c>
      <c r="J405" s="2628" t="s">
        <v>4059</v>
      </c>
      <c r="K405" s="2628"/>
      <c r="L405" s="2628"/>
      <c r="M405" s="2628"/>
      <c r="N405" s="2272" t="s">
        <v>444</v>
      </c>
      <c r="O405" s="2272" t="s">
        <v>444</v>
      </c>
      <c r="P405" s="2272" t="s">
        <v>444</v>
      </c>
      <c r="Q405" s="2544" t="s">
        <v>444</v>
      </c>
      <c r="R405" s="2280" t="s">
        <v>276</v>
      </c>
      <c r="X405" s="2263" t="s">
        <v>316</v>
      </c>
      <c r="Y405" s="2629" t="s">
        <v>316</v>
      </c>
      <c r="Z405" s="2630"/>
      <c r="AA405" s="2264" t="s">
        <v>444</v>
      </c>
      <c r="AB405" s="2264" t="s">
        <v>444</v>
      </c>
      <c r="AC405" s="2264" t="s">
        <v>444</v>
      </c>
      <c r="AD405" s="2535" t="s">
        <v>444</v>
      </c>
      <c r="AE405" s="2281" t="s">
        <v>444</v>
      </c>
      <c r="AF405" s="153" t="s">
        <v>276</v>
      </c>
      <c r="AH405" s="2536" t="s">
        <v>211</v>
      </c>
      <c r="AI405" s="2537"/>
      <c r="AJ405" s="2537"/>
      <c r="AK405" s="2537"/>
      <c r="AL405" s="2632" t="s">
        <v>442</v>
      </c>
      <c r="AM405" s="2632"/>
      <c r="AN405" s="2632"/>
      <c r="AO405" s="2632"/>
      <c r="AP405" s="2632" t="s">
        <v>267</v>
      </c>
      <c r="AQ405" s="2632"/>
      <c r="AR405" s="2632"/>
      <c r="AS405" s="2632"/>
      <c r="AT405" s="2632" t="s">
        <v>443</v>
      </c>
      <c r="AU405" s="2632"/>
      <c r="AV405" s="2632"/>
      <c r="AW405" s="2632"/>
      <c r="AX405" s="2648" t="s">
        <v>327</v>
      </c>
      <c r="AY405" s="2648"/>
      <c r="AZ405" s="2648"/>
      <c r="BA405" s="2649"/>
      <c r="BB405" s="2631" t="s">
        <v>636</v>
      </c>
      <c r="BC405" s="2632"/>
      <c r="BD405" s="2632"/>
      <c r="BE405" s="2650"/>
      <c r="BH405" s="2837" t="s">
        <v>1646</v>
      </c>
      <c r="BI405" s="2275" t="s">
        <v>1570</v>
      </c>
      <c r="BJ405" s="2275" t="s">
        <v>1569</v>
      </c>
      <c r="BK405" s="2275" t="s">
        <v>40</v>
      </c>
      <c r="BL405" s="2545" t="s">
        <v>332</v>
      </c>
    </row>
    <row r="406" spans="2:64" ht="26.25" hidden="1" customHeight="1" outlineLevel="1">
      <c r="B406" s="2263"/>
      <c r="C406" s="2264"/>
      <c r="D406" s="2264" t="s">
        <v>444</v>
      </c>
      <c r="E406" s="2264"/>
      <c r="F406" s="2271" t="s">
        <v>445</v>
      </c>
      <c r="G406" s="2271" t="s">
        <v>416</v>
      </c>
      <c r="H406" s="2264" t="s">
        <v>144</v>
      </c>
      <c r="I406" s="2264" t="s">
        <v>5</v>
      </c>
      <c r="J406" s="1662" t="s">
        <v>411</v>
      </c>
      <c r="K406" s="1662" t="s">
        <v>257</v>
      </c>
      <c r="L406" s="2549" t="s">
        <v>5079</v>
      </c>
      <c r="M406" s="2549" t="s">
        <v>422</v>
      </c>
      <c r="N406" s="2266" t="s">
        <v>411</v>
      </c>
      <c r="O406" s="2266" t="s">
        <v>257</v>
      </c>
      <c r="P406" s="2266" t="s">
        <v>437</v>
      </c>
      <c r="Q406" s="2543" t="s">
        <v>422</v>
      </c>
      <c r="R406" s="2280" t="s">
        <v>444</v>
      </c>
      <c r="X406" s="2263" t="s">
        <v>1649</v>
      </c>
      <c r="Y406" s="2646" t="s">
        <v>1650</v>
      </c>
      <c r="Z406" s="2647"/>
      <c r="AA406" s="1662" t="s">
        <v>411</v>
      </c>
      <c r="AB406" s="1662" t="s">
        <v>257</v>
      </c>
      <c r="AC406" s="1662" t="s">
        <v>437</v>
      </c>
      <c r="AD406" s="1662" t="s">
        <v>422</v>
      </c>
      <c r="AE406" s="2281" t="s">
        <v>327</v>
      </c>
      <c r="AF406" s="153" t="s">
        <v>444</v>
      </c>
      <c r="AH406" s="2285" t="s">
        <v>411</v>
      </c>
      <c r="AI406" s="2286" t="s">
        <v>257</v>
      </c>
      <c r="AJ406" s="2286" t="s">
        <v>437</v>
      </c>
      <c r="AK406" s="2286" t="s">
        <v>422</v>
      </c>
      <c r="AL406" s="2286" t="s">
        <v>411</v>
      </c>
      <c r="AM406" s="2286" t="s">
        <v>257</v>
      </c>
      <c r="AN406" s="2286" t="s">
        <v>437</v>
      </c>
      <c r="AO406" s="2286" t="s">
        <v>422</v>
      </c>
      <c r="AP406" s="2286" t="s">
        <v>411</v>
      </c>
      <c r="AQ406" s="2286" t="s">
        <v>257</v>
      </c>
      <c r="AR406" s="2286" t="s">
        <v>437</v>
      </c>
      <c r="AS406" s="2286" t="s">
        <v>422</v>
      </c>
      <c r="AT406" s="2286" t="s">
        <v>411</v>
      </c>
      <c r="AU406" s="2286" t="s">
        <v>257</v>
      </c>
      <c r="AV406" s="2286" t="s">
        <v>437</v>
      </c>
      <c r="AW406" s="2286" t="s">
        <v>422</v>
      </c>
      <c r="AX406" s="581" t="s">
        <v>411</v>
      </c>
      <c r="AY406" s="581" t="s">
        <v>257</v>
      </c>
      <c r="AZ406" s="581" t="s">
        <v>437</v>
      </c>
      <c r="BA406" s="581" t="s">
        <v>422</v>
      </c>
      <c r="BB406" s="2285" t="s">
        <v>411</v>
      </c>
      <c r="BC406" s="2286" t="s">
        <v>257</v>
      </c>
      <c r="BD406" s="2286" t="s">
        <v>437</v>
      </c>
      <c r="BE406" s="2287" t="s">
        <v>422</v>
      </c>
      <c r="BH406" s="2838"/>
      <c r="BI406" s="2276"/>
      <c r="BJ406" s="2276"/>
      <c r="BK406" s="2276"/>
      <c r="BL406" s="2546"/>
    </row>
    <row r="407" spans="2:64" hidden="1" outlineLevel="1">
      <c r="B407" s="143" t="s">
        <v>4799</v>
      </c>
      <c r="C407" s="144"/>
      <c r="D407" s="212">
        <f>SUM(N407:Q407)</f>
        <v>0</v>
      </c>
      <c r="E407" s="212"/>
      <c r="F407" s="409"/>
      <c r="G407" s="409"/>
      <c r="H407" s="219">
        <f>VLOOKUP($B407,'FE Déplacements'!$F$414:$W$551,17,FALSE)</f>
        <v>2250</v>
      </c>
      <c r="I407" s="164">
        <f>G407*H407</f>
        <v>0</v>
      </c>
      <c r="J407" s="218">
        <f>VLOOKUP($B407&amp;"; "&amp;$J$405&amp;" "&amp;J$406,'FE Déplacements'!$G:$U,9,FALSE)</f>
        <v>4.87E-2</v>
      </c>
      <c r="K407" s="218">
        <f>VLOOKUP($B407&amp;"; "&amp;$J$405&amp;" "&amp;K$406,'FE Déplacements'!$G:$U,9,FALSE)</f>
        <v>0.23499999999999999</v>
      </c>
      <c r="L407" s="218">
        <f>IFERROR(VLOOKUP($B407&amp;"; "&amp;$J$405&amp;" "&amp;L$406,'FE Déplacements'!$G:$U,9,FALSE),0)</f>
        <v>0.23499999999999999</v>
      </c>
      <c r="M407" s="218">
        <f>IFERROR(VLOOKUP($B407&amp;"; "&amp;$J$405&amp;" "&amp;M$406,'FE Déplacements'!$G:$U,9,FALSE),0)</f>
        <v>5.1999999999999995E-4</v>
      </c>
      <c r="N407" s="356">
        <f>I407*J407</f>
        <v>0</v>
      </c>
      <c r="O407" s="356">
        <f>I407*K407</f>
        <v>0</v>
      </c>
      <c r="P407" s="151">
        <f>I407*L407</f>
        <v>0</v>
      </c>
      <c r="Q407" s="151">
        <f>I407*M407</f>
        <v>0</v>
      </c>
      <c r="R407" s="165">
        <f>IF(OR(F407=Utilitaires!$I$572,F407=Utilitaires!$I$577),O407,0)</f>
        <v>0</v>
      </c>
      <c r="X407" s="226">
        <f>IF(D407=0,0,AE407/D407)</f>
        <v>0</v>
      </c>
      <c r="Y407" s="343"/>
      <c r="Z407" s="820"/>
      <c r="AA407" s="164">
        <f>N407*BI407</f>
        <v>0</v>
      </c>
      <c r="AB407" s="164">
        <f>O407*BJ407</f>
        <v>0</v>
      </c>
      <c r="AC407" s="164">
        <f>P407*BK407</f>
        <v>0</v>
      </c>
      <c r="AD407" s="164">
        <f>Q407*BL407</f>
        <v>0</v>
      </c>
      <c r="AE407" s="152">
        <f>SQRT(SUMSQ(AA407:AD407))</f>
        <v>0</v>
      </c>
      <c r="AF407" s="1286">
        <f>R407*X407</f>
        <v>0</v>
      </c>
      <c r="AH407" s="564">
        <f>$I407*IF(ISNA(VLOOKUP($B407&amp;"; "&amp;$J$405&amp;" "&amp;J$406,'FE Déplacements'!$G:$U,10,FALSE)),0,VLOOKUP($B407&amp;"; "&amp;$J$405&amp;" "&amp;J$406,'FE Déplacements'!$G:$U,10,FALSE))</f>
        <v>0</v>
      </c>
      <c r="AI407" s="565">
        <f>$I407*IF(ISNA(VLOOKUP($B407&amp;"; "&amp;$J$405&amp;" "&amp;K$406,'FE Déplacements'!$G:$U,10,FALSE)),0,VLOOKUP($B407&amp;"; "&amp;$J$405&amp;" "&amp;K$406,'FE Déplacements'!$G:$U,10,FALSE))</f>
        <v>0</v>
      </c>
      <c r="AJ407" s="565">
        <f>$I407*IF(ISNA(VLOOKUP($B407&amp;"; "&amp;$J$405&amp;" "&amp;L$406,'FE Déplacements'!$G:$U,10,FALSE)),0,VLOOKUP($B407&amp;"; "&amp;$J$405&amp;" "&amp;L$406,'FE Déplacements'!$G:$U,10,FALSE))</f>
        <v>0</v>
      </c>
      <c r="AK407" s="565">
        <f>$I407*IF(ISNA(VLOOKUP($B407&amp;"; "&amp;$J$405&amp;" "&amp;M$406,'FE Déplacements'!$G:$U,10,FALSE)),0,VLOOKUP($B407&amp;"; "&amp;$J$405&amp;" "&amp;M$406,'FE Déplacements'!$G:$U,10,FALSE))</f>
        <v>0</v>
      </c>
      <c r="AL407" s="565">
        <f>$I407*IF(ISNA((VLOOKUP($B407&amp;"; "&amp;$J$405&amp;" "&amp;J$406,'FE Déplacements'!$G:$U,12,FALSE)+VLOOKUP($B407&amp;"; "&amp;$J$405&amp;" "&amp;J$406,'FE Déplacements'!$G:$U,11,FALSE))),0,(VLOOKUP($B407&amp;"; "&amp;$J$405&amp;" "&amp;J$406,'FE Déplacements'!$G:$U,12,FALSE)+VLOOKUP($B407&amp;"; "&amp;$J$405&amp;" "&amp;J$406,'FE Déplacements'!$G:$U,11,FALSE)))</f>
        <v>0</v>
      </c>
      <c r="AM407" s="565">
        <f>$I407*IF(ISNA((VLOOKUP($B407&amp;"; "&amp;$J$405&amp;" "&amp;K$406,'FE Déplacements'!$G:$U,12,FALSE)+VLOOKUP($B407&amp;"; "&amp;$J$405&amp;" "&amp;K$406,'FE Déplacements'!$G:$U,11,FALSE))),0,(VLOOKUP($B407&amp;"; "&amp;$J$405&amp;" "&amp;K$406,'FE Déplacements'!$G:$U,12,FALSE)+VLOOKUP($B407&amp;"; "&amp;$J$405&amp;" "&amp;K$406,'FE Déplacements'!$G:$U,11,FALSE)))</f>
        <v>0</v>
      </c>
      <c r="AN407" s="565">
        <f>$I407*IF(ISNA((VLOOKUP($B407&amp;"; "&amp;$J$405&amp;" "&amp;L$406,'FE Déplacements'!$G:$U,12,FALSE)+VLOOKUP($B407&amp;"; "&amp;$J$405&amp;" "&amp;L$406,'FE Déplacements'!$G:$U,11,FALSE))),0,(VLOOKUP($B407&amp;"; "&amp;$J$405&amp;" "&amp;L$406,'FE Déplacements'!$G:$U,12,FALSE)+VLOOKUP($B407&amp;"; "&amp;$J$405&amp;" "&amp;L$406,'FE Déplacements'!$G:$U,11,FALSE)))</f>
        <v>0</v>
      </c>
      <c r="AO407" s="565">
        <f>$I407*IF(ISNA((VLOOKUP($B407&amp;"; "&amp;$J$405&amp;" "&amp;M$406,'FE Déplacements'!$G:$U,12,FALSE)+VLOOKUP($B407&amp;"; "&amp;$J$405&amp;" "&amp;M$406,'FE Déplacements'!$G:$U,11,FALSE))),0,(VLOOKUP($B407&amp;"; "&amp;$J$405&amp;" "&amp;M$406,'FE Déplacements'!$G:$U,12,FALSE)+VLOOKUP($B407&amp;"; "&amp;$J$405&amp;" "&amp;M$406,'FE Déplacements'!$G:$U,11,FALSE)))</f>
        <v>0</v>
      </c>
      <c r="AP407" s="565">
        <f>$I407*IF(ISNA(VLOOKUP($B407&amp;"; "&amp;$J$405&amp;" "&amp;J$406,'FE Déplacements'!$G:$U,13,FALSE)),0,VLOOKUP($B407&amp;"; "&amp;$J$405&amp;" "&amp;J$406,'FE Déplacements'!$G:$U,13,FALSE))</f>
        <v>0</v>
      </c>
      <c r="AQ407" s="565">
        <f>$I407*IF(ISNA(VLOOKUP($B407&amp;"; "&amp;$J$405&amp;" "&amp;K$406,'FE Déplacements'!$G:$U,13,FALSE)),0,VLOOKUP($B407&amp;"; "&amp;$J$405&amp;" "&amp;K$406,'FE Déplacements'!$G:$U,13,FALSE))</f>
        <v>0</v>
      </c>
      <c r="AR407" s="565">
        <f>$I407*IF(ISNA(VLOOKUP($B407&amp;"; "&amp;$J$405&amp;" "&amp;L$406,'FE Déplacements'!$G:$U,13,FALSE)),0,VLOOKUP($B407&amp;"; "&amp;$J$405&amp;" "&amp;L$406,'FE Déplacements'!$G:$U,13,FALSE))</f>
        <v>0</v>
      </c>
      <c r="AS407" s="565">
        <f>$I407*IF(ISNA(VLOOKUP($B407&amp;"; "&amp;$J$405&amp;" "&amp;M$406,'FE Déplacements'!$G:$U,13,FALSE)),0,VLOOKUP($B407&amp;"; "&amp;$J$405&amp;" "&amp;M$406,'FE Déplacements'!$G:$U,13,FALSE))</f>
        <v>0</v>
      </c>
      <c r="AT407" s="565">
        <f>$G407*IF(ISNA(VLOOKUP($B407&amp;"; "&amp;$J$405&amp;" "&amp;J$406,'FE Déplacements'!$G:$U,14,FALSE)),0,VLOOKUP($B407&amp;"; "&amp;$J$405&amp;" "&amp;J$406,'FE Déplacements'!$G:$U,14,FALSE))</f>
        <v>0</v>
      </c>
      <c r="AU407" s="565">
        <f>$G407*IF(ISNA(VLOOKUP($B407&amp;"; "&amp;$J$405&amp;" "&amp;K$406,'FE Déplacements'!$G:$U,14,FALSE)),0,VLOOKUP($B407&amp;"; "&amp;$J$405&amp;" "&amp;K$406,'FE Déplacements'!$G:$U,14,FALSE))</f>
        <v>0</v>
      </c>
      <c r="AV407" s="565">
        <f>$I407*IF(ISNA(VLOOKUP($B407&amp;"; "&amp;$J$405&amp;" "&amp;L$406,'FE Déplacements'!$G:$U,9,FALSE)),0,VLOOKUP($B407&amp;"; "&amp;$J$405&amp;" "&amp;L$406,'FE Déplacements'!$G:$U,9,FALSE))</f>
        <v>0</v>
      </c>
      <c r="AW407" s="565">
        <f>$I407*IF(ISNA(VLOOKUP($B407&amp;"; "&amp;$J$405&amp;" "&amp;M$406,'FE Déplacements'!$G:$U,9,FALSE)),0,VLOOKUP($B407&amp;"; "&amp;$J$405&amp;" "&amp;M$406,'FE Déplacements'!$G:$U,9,FALSE))</f>
        <v>0</v>
      </c>
      <c r="AX407" s="566">
        <f t="shared" ref="AX407:AZ410" si="239">SUM(AH407,AL407,AP407,AT407)</f>
        <v>0</v>
      </c>
      <c r="AY407" s="566">
        <f t="shared" si="239"/>
        <v>0</v>
      </c>
      <c r="AZ407" s="566">
        <f t="shared" si="239"/>
        <v>0</v>
      </c>
      <c r="BA407" s="566">
        <f>SUM(AL407,AP407,AT407,AS407)</f>
        <v>0</v>
      </c>
      <c r="BB407" s="564">
        <f>$I407*IF(ISNA(VLOOKUP($B407&amp;"; "&amp;$J$405&amp;" "&amp;J$406,'FE Déplacements'!$G:$U,15,FALSE)),0,VLOOKUP($B407&amp;"; "&amp;$J$405&amp;" "&amp;J$406,'FE Déplacements'!$G:$U,15,FALSE))</f>
        <v>0</v>
      </c>
      <c r="BC407" s="565">
        <f>$I407*IF(ISNA(VLOOKUP($B407&amp;"; "&amp;$J$405&amp;" "&amp;K$406,'FE Déplacements'!$G:$U,15,FALSE)),0,VLOOKUP($B407&amp;"; "&amp;$J$405&amp;" "&amp;K$406,'FE Déplacements'!$G:$U,15,FALSE))</f>
        <v>0</v>
      </c>
      <c r="BD407" s="565">
        <f>$I407*IF(ISNA(VLOOKUP($B407&amp;"; "&amp;$J$405&amp;" "&amp;L$406,'FE Déplacements'!$G:$U,15,FALSE)),0,VLOOKUP($B407&amp;"; "&amp;$J$405&amp;" "&amp;L$406,'FE Déplacements'!$G:$U,15,FALSE))</f>
        <v>0</v>
      </c>
      <c r="BE407" s="568">
        <f>$I407*IF(ISNA(VLOOKUP($B407&amp;"; "&amp;$J$405&amp;" "&amp;M$406,'FE Déplacements'!$G:$U,15,FALSE)),0,VLOOKUP($B407&amp;"; "&amp;$J$405&amp;" "&amp;M$406,'FE Déplacements'!$G:$U,15,FALSE))</f>
        <v>0</v>
      </c>
      <c r="BH407" s="2268">
        <f>IF($Y407&lt;&gt;"votre valeur :",IF(ISNA(VLOOKUP($Y407,Utilitaires!$N$566:$O$571,2,FALSE)),,VLOOKUP($Y407,Utilitaires!$N$566:$O$571,2,FALSE)),$Z407)</f>
        <v>0</v>
      </c>
      <c r="BI407" s="1130">
        <f>IF(ISNA(SQRT(SUMSQ(VLOOKUP($B407&amp;"; "&amp;$J$405&amp;" "&amp;$J$406,'FE Déplacements'!$G:$U,7,FALSE),$BH407))),0,SQRT(SUMSQ(VLOOKUP($B407&amp;"; "&amp;$J$405&amp;" "&amp;$J$406,'FE Déplacements'!$G:$U,7,FALSE),$BH407)))</f>
        <v>0.7</v>
      </c>
      <c r="BJ407" s="1130">
        <f>IF(ISNA(SQRT(SUMSQ(VLOOKUP($B407&amp;"; "&amp;$J$405&amp;" "&amp;$K$406,'FE Déplacements'!$G:$U,7,FALSE),$BH407))),0,SQRT(SUMSQ(VLOOKUP($B407&amp;"; "&amp;$J$405&amp;" "&amp;$K$406,'FE Déplacements'!$G:$U,7,FALSE),$BH407)))</f>
        <v>0.7</v>
      </c>
      <c r="BK407" s="1130">
        <f>IF(ISNA(SQRT(SUMSQ(VLOOKUP($B407&amp;"; "&amp;$J$405&amp;" "&amp;$L$406,'FE Déplacements'!$G:$U,7,FALSE),$BH407))),0,SQRT(SUMSQ(VLOOKUP($B407&amp;"; "&amp;$J$405&amp;" "&amp;$L$406,'FE Déplacements'!$G:$U,7,FALSE),$BH407)))</f>
        <v>0.7</v>
      </c>
      <c r="BL407" s="1130">
        <f>IF(ISNA(SQRT(SUMSQ(VLOOKUP($B407&amp;"; "&amp;$J$405&amp;" "&amp;$M$406,'FE Déplacements'!$G:$U,7,FALSE),$BH407))),0,SQRT(SUMSQ(VLOOKUP($B407&amp;"; "&amp;$J$405&amp;" "&amp;$M$406,'FE Déplacements'!$G:$U,7,FALSE),$BH407)))</f>
        <v>0.7</v>
      </c>
    </row>
    <row r="408" spans="2:64" hidden="1" outlineLevel="1">
      <c r="B408" s="143" t="s">
        <v>4800</v>
      </c>
      <c r="C408" s="144"/>
      <c r="D408" s="212">
        <f t="shared" ref="D408:D410" si="240">SUM(N408:Q408)</f>
        <v>0</v>
      </c>
      <c r="E408" s="212"/>
      <c r="F408" s="346"/>
      <c r="G408" s="346"/>
      <c r="H408" s="219">
        <f>VLOOKUP($B408,'FE Déplacements'!$F$414:$W$551,17,FALSE)</f>
        <v>2250</v>
      </c>
      <c r="I408" s="164">
        <f>G408*H408</f>
        <v>0</v>
      </c>
      <c r="J408" s="218">
        <f>VLOOKUP($B408&amp;"; "&amp;$J$405&amp;" "&amp;J$406,'FE Déplacements'!$G:$U,9,FALSE)</f>
        <v>2.5000000000000001E-2</v>
      </c>
      <c r="K408" s="218">
        <f>VLOOKUP($B408&amp;"; "&amp;$J$405&amp;" "&amp;K$406,'FE Déplacements'!$G:$U,9,FALSE)</f>
        <v>0.12</v>
      </c>
      <c r="L408" s="218">
        <f>IFERROR(VLOOKUP($B408&amp;"; "&amp;$J$405&amp;" "&amp;L$406,'FE Déplacements'!$G:$U,9,FALSE),0)</f>
        <v>0.12</v>
      </c>
      <c r="M408" s="218">
        <f>IFERROR(VLOOKUP($B408&amp;"; "&amp;$J$405&amp;" "&amp;M$406,'FE Déplacements'!$G:$U,9,FALSE),0)</f>
        <v>4.2000000000000002E-4</v>
      </c>
      <c r="N408" s="356">
        <f t="shared" ref="N408:N410" si="241">I408*J408</f>
        <v>0</v>
      </c>
      <c r="O408" s="356">
        <f t="shared" ref="O408:O410" si="242">I408*K408</f>
        <v>0</v>
      </c>
      <c r="P408" s="151">
        <f t="shared" ref="P408:P410" si="243">I408*L408</f>
        <v>0</v>
      </c>
      <c r="Q408" s="151">
        <f t="shared" ref="Q408:Q410" si="244">I408*M408</f>
        <v>0</v>
      </c>
      <c r="R408" s="165">
        <f>IF(OR(F408=Utilitaires!$I$572,F408=Utilitaires!$I$577),O408,0)</f>
        <v>0</v>
      </c>
      <c r="X408" s="226">
        <f>IF(OR(AE408=0,D408=0),0,AE408/D408)</f>
        <v>0</v>
      </c>
      <c r="Y408" s="343"/>
      <c r="Z408" s="820"/>
      <c r="AA408" s="164">
        <f t="shared" ref="AA408:AA410" si="245">N408*BI408</f>
        <v>0</v>
      </c>
      <c r="AB408" s="164">
        <f t="shared" ref="AB408:AB410" si="246">O408*BJ408</f>
        <v>0</v>
      </c>
      <c r="AC408" s="164">
        <f t="shared" ref="AC408:AC410" si="247">P408*BK408</f>
        <v>0</v>
      </c>
      <c r="AD408" s="164">
        <f>Q408*BL408</f>
        <v>0</v>
      </c>
      <c r="AE408" s="152">
        <f t="shared" ref="AE408:AE410" si="248">SQRT(SUMSQ(AA408:AD408))</f>
        <v>0</v>
      </c>
      <c r="AF408" s="1286">
        <f>R408*X408</f>
        <v>0</v>
      </c>
      <c r="AH408" s="564">
        <f>$I408*IF(ISNA(VLOOKUP($B408&amp;"; "&amp;$J$405&amp;" "&amp;J$406,'FE Déplacements'!$G:$U,10,FALSE)),0,VLOOKUP($B408&amp;"; "&amp;$J$405&amp;" "&amp;J$406,'FE Déplacements'!$G:$U,10,FALSE))</f>
        <v>0</v>
      </c>
      <c r="AI408" s="565">
        <f>$I408*IF(ISNA(VLOOKUP($B408&amp;"; "&amp;$J$405&amp;" "&amp;K$406,'FE Déplacements'!$G:$U,10,FALSE)),0,VLOOKUP($B408&amp;"; "&amp;$J$405&amp;" "&amp;K$406,'FE Déplacements'!$G:$U,10,FALSE))</f>
        <v>0</v>
      </c>
      <c r="AJ408" s="565">
        <f>$I408*IF(ISNA(VLOOKUP($B408&amp;"; "&amp;$J$405&amp;" "&amp;L$406,'FE Déplacements'!$G:$U,10,FALSE)),0,VLOOKUP($B408&amp;"; "&amp;$J$405&amp;" "&amp;L$406,'FE Déplacements'!$G:$U,10,FALSE))</f>
        <v>0</v>
      </c>
      <c r="AK408" s="565">
        <f>$I408*IF(ISNA(VLOOKUP($B408&amp;"; "&amp;$J$405&amp;" "&amp;M$406,'FE Déplacements'!$G:$U,10,FALSE)),0,VLOOKUP($B408&amp;"; "&amp;$J$405&amp;" "&amp;M$406,'FE Déplacements'!$G:$U,10,FALSE))</f>
        <v>0</v>
      </c>
      <c r="AL408" s="565">
        <f>$I408*IF(ISNA((VLOOKUP($B408&amp;"; "&amp;$J$405&amp;" "&amp;J$406,'FE Déplacements'!$G:$U,12,FALSE)+VLOOKUP($B408&amp;"; "&amp;$J$405&amp;" "&amp;J$406,'FE Déplacements'!$G:$U,11,FALSE))),0,(VLOOKUP($B408&amp;"; "&amp;$J$405&amp;" "&amp;J$406,'FE Déplacements'!$G:$U,12,FALSE)+VLOOKUP($B408&amp;"; "&amp;$J$405&amp;" "&amp;J$406,'FE Déplacements'!$G:$U,11,FALSE)))</f>
        <v>0</v>
      </c>
      <c r="AM408" s="565">
        <f>$I408*IF(ISNA((VLOOKUP($B408&amp;"; "&amp;$J$405&amp;" "&amp;K$406,'FE Déplacements'!$G:$U,12,FALSE)+VLOOKUP($B408&amp;"; "&amp;$J$405&amp;" "&amp;K$406,'FE Déplacements'!$G:$U,11,FALSE))),0,(VLOOKUP($B408&amp;"; "&amp;$J$405&amp;" "&amp;K$406,'FE Déplacements'!$G:$U,12,FALSE)+VLOOKUP($B408&amp;"; "&amp;$J$405&amp;" "&amp;K$406,'FE Déplacements'!$G:$U,11,FALSE)))</f>
        <v>0</v>
      </c>
      <c r="AN408" s="565">
        <f>$I408*IF(ISNA((VLOOKUP($B408&amp;"; "&amp;$J$405&amp;" "&amp;L$406,'FE Déplacements'!$G:$U,12,FALSE)+VLOOKUP($B408&amp;"; "&amp;$J$405&amp;" "&amp;L$406,'FE Déplacements'!$G:$U,11,FALSE))),0,(VLOOKUP($B408&amp;"; "&amp;$J$405&amp;" "&amp;L$406,'FE Déplacements'!$G:$U,12,FALSE)+VLOOKUP($B408&amp;"; "&amp;$J$405&amp;" "&amp;L$406,'FE Déplacements'!$G:$U,11,FALSE)))</f>
        <v>0</v>
      </c>
      <c r="AO408" s="565">
        <f>$I408*IF(ISNA((VLOOKUP($B408&amp;"; "&amp;$J$405&amp;" "&amp;M$406,'FE Déplacements'!$G:$U,12,FALSE)+VLOOKUP($B408&amp;"; "&amp;$J$405&amp;" "&amp;M$406,'FE Déplacements'!$G:$U,11,FALSE))),0,(VLOOKUP($B408&amp;"; "&amp;$J$405&amp;" "&amp;M$406,'FE Déplacements'!$G:$U,12,FALSE)+VLOOKUP($B408&amp;"; "&amp;$J$405&amp;" "&amp;M$406,'FE Déplacements'!$G:$U,11,FALSE)))</f>
        <v>0</v>
      </c>
      <c r="AP408" s="565">
        <f>$I408*IF(ISNA(VLOOKUP($B408&amp;"; "&amp;$J$405&amp;" "&amp;J$406,'FE Déplacements'!$G:$U,13,FALSE)),0,VLOOKUP($B408&amp;"; "&amp;$J$405&amp;" "&amp;J$406,'FE Déplacements'!$G:$U,13,FALSE))</f>
        <v>0</v>
      </c>
      <c r="AQ408" s="565">
        <f>$I408*IF(ISNA(VLOOKUP($B408&amp;"; "&amp;$J$405&amp;" "&amp;K$406,'FE Déplacements'!$G:$U,13,FALSE)),0,VLOOKUP($B408&amp;"; "&amp;$J$405&amp;" "&amp;K$406,'FE Déplacements'!$G:$U,13,FALSE))</f>
        <v>0</v>
      </c>
      <c r="AR408" s="565">
        <f>$I408*IF(ISNA(VLOOKUP($B408&amp;"; "&amp;$J$405&amp;" "&amp;L$406,'FE Déplacements'!$G:$U,13,FALSE)),0,VLOOKUP($B408&amp;"; "&amp;$J$405&amp;" "&amp;L$406,'FE Déplacements'!$G:$U,13,FALSE))</f>
        <v>0</v>
      </c>
      <c r="AS408" s="565">
        <f>$I408*IF(ISNA(VLOOKUP($B408&amp;"; "&amp;$J$405&amp;" "&amp;M$406,'FE Déplacements'!$G:$U,13,FALSE)),0,VLOOKUP($B408&amp;"; "&amp;$J$405&amp;" "&amp;M$406,'FE Déplacements'!$G:$U,13,FALSE))</f>
        <v>0</v>
      </c>
      <c r="AT408" s="565">
        <f>$G408*IF(ISNA(VLOOKUP($B408&amp;"; "&amp;$J$405&amp;" "&amp;J$406,'FE Déplacements'!$G:$U,14,FALSE)),0,VLOOKUP($B408&amp;"; "&amp;$J$405&amp;" "&amp;J$406,'FE Déplacements'!$G:$U,14,FALSE))</f>
        <v>0</v>
      </c>
      <c r="AU408" s="565">
        <f>$G408*IF(ISNA(VLOOKUP($B408&amp;"; "&amp;$J$405&amp;" "&amp;K$406,'FE Déplacements'!$G:$U,14,FALSE)),0,VLOOKUP($B408&amp;"; "&amp;$J$405&amp;" "&amp;K$406,'FE Déplacements'!$G:$U,14,FALSE))</f>
        <v>0</v>
      </c>
      <c r="AV408" s="565">
        <f>$I408*IF(ISNA(VLOOKUP($B408&amp;"; "&amp;$J$405&amp;" "&amp;L$406,'FE Déplacements'!$G:$U,9,FALSE)),0,VLOOKUP($B408&amp;"; "&amp;$J$405&amp;" "&amp;L$406,'FE Déplacements'!$G:$U,9,FALSE))</f>
        <v>0</v>
      </c>
      <c r="AW408" s="565">
        <f>$I408*IF(ISNA(VLOOKUP($B408&amp;"; "&amp;$J$405&amp;" "&amp;M$406,'FE Déplacements'!$G:$U,9,FALSE)),0,VLOOKUP($B408&amp;"; "&amp;$J$405&amp;" "&amp;M$406,'FE Déplacements'!$G:$U,9,FALSE))</f>
        <v>0</v>
      </c>
      <c r="AX408" s="566">
        <f t="shared" si="239"/>
        <v>0</v>
      </c>
      <c r="AY408" s="566">
        <f t="shared" si="239"/>
        <v>0</v>
      </c>
      <c r="AZ408" s="566">
        <f t="shared" si="239"/>
        <v>0</v>
      </c>
      <c r="BA408" s="566">
        <f>SUM(AL408,AP408,AT408,AS408)</f>
        <v>0</v>
      </c>
      <c r="BB408" s="564">
        <f>$I408*IF(ISNA(VLOOKUP($B408&amp;"; "&amp;$J$405&amp;" "&amp;J$406,'FE Déplacements'!$G:$U,15,FALSE)),0,VLOOKUP($B408&amp;"; "&amp;$J$405&amp;" "&amp;J$406,'FE Déplacements'!$G:$U,15,FALSE))</f>
        <v>0</v>
      </c>
      <c r="BC408" s="565">
        <f>$I408*IF(ISNA(VLOOKUP($B408&amp;"; "&amp;$J$405&amp;" "&amp;K$406,'FE Déplacements'!$G:$U,15,FALSE)),0,VLOOKUP($B408&amp;"; "&amp;$J$405&amp;" "&amp;K$406,'FE Déplacements'!$G:$U,15,FALSE))</f>
        <v>0</v>
      </c>
      <c r="BD408" s="565">
        <f>$I408*IF(ISNA(VLOOKUP($B408&amp;"; "&amp;$J$405&amp;" "&amp;L$406,'FE Déplacements'!$G:$U,15,FALSE)),0,VLOOKUP($B408&amp;"; "&amp;$J$405&amp;" "&amp;L$406,'FE Déplacements'!$G:$U,15,FALSE))</f>
        <v>0</v>
      </c>
      <c r="BE408" s="568">
        <f>$I408*IF(ISNA(VLOOKUP($B408&amp;"; "&amp;$J$405&amp;" "&amp;M$406,'FE Déplacements'!$G:$U,15,FALSE)),0,VLOOKUP($B408&amp;"; "&amp;$J$405&amp;" "&amp;M$406,'FE Déplacements'!$G:$U,15,FALSE))</f>
        <v>0</v>
      </c>
      <c r="BH408" s="2268">
        <f>IF($Y408&lt;&gt;"votre valeur :",IF(ISNA(VLOOKUP($Y408,Utilitaires!$N$566:$O$571,2,FALSE)),,VLOOKUP($Y408,Utilitaires!$N$566:$O$571,2,FALSE)),$Z408)</f>
        <v>0</v>
      </c>
      <c r="BI408" s="1130">
        <f>IF(ISNA(SQRT(SUMSQ(VLOOKUP($B408&amp;"; "&amp;$J$405&amp;" "&amp;$J$406,'FE Déplacements'!$G:$U,7,FALSE),$BH408))),0,SQRT(SUMSQ(VLOOKUP($B408&amp;"; "&amp;$J$405&amp;" "&amp;$J$406,'FE Déplacements'!$G:$U,7,FALSE),$BH408)))</f>
        <v>0.7</v>
      </c>
      <c r="BJ408" s="1130">
        <f>IF(ISNA(SQRT(SUMSQ(VLOOKUP($B408&amp;"; "&amp;$J$405&amp;" "&amp;$K$406,'FE Déplacements'!$G:$U,7,FALSE),$BH408))),0,SQRT(SUMSQ(VLOOKUP($B408&amp;"; "&amp;$J$405&amp;" "&amp;$K$406,'FE Déplacements'!$G:$U,7,FALSE),$BH408)))</f>
        <v>0.7</v>
      </c>
      <c r="BK408" s="1130">
        <f>IF(ISNA(SQRT(SUMSQ(VLOOKUP($B408&amp;"; "&amp;$J$405&amp;" "&amp;$L$406,'FE Déplacements'!$G:$U,7,FALSE),$BH408))),0,SQRT(SUMSQ(VLOOKUP($B408&amp;"; "&amp;$J$405&amp;" "&amp;$L$406,'FE Déplacements'!$G:$U,7,FALSE),$BH408)))</f>
        <v>0.7</v>
      </c>
      <c r="BL408" s="1130">
        <f>IF(ISNA(SQRT(SUMSQ(VLOOKUP($B408&amp;"; "&amp;$J$405&amp;" "&amp;$M$406,'FE Déplacements'!$G:$U,7,FALSE),$BH408))),0,SQRT(SUMSQ(VLOOKUP($B408&amp;"; "&amp;$J$405&amp;" "&amp;$M$406,'FE Déplacements'!$G:$U,7,FALSE),$BH408)))</f>
        <v>0.7</v>
      </c>
    </row>
    <row r="409" spans="2:64" hidden="1" outlineLevel="1">
      <c r="B409" s="143" t="s">
        <v>4802</v>
      </c>
      <c r="C409" s="144"/>
      <c r="D409" s="212">
        <f t="shared" si="240"/>
        <v>0</v>
      </c>
      <c r="E409" s="212"/>
      <c r="F409" s="346"/>
      <c r="G409" s="346"/>
      <c r="H409" s="219">
        <f>VLOOKUP($B409,'FE Déplacements'!$F$414:$W$551,17,FALSE)</f>
        <v>2250</v>
      </c>
      <c r="I409" s="164">
        <f>G409*H409</f>
        <v>0</v>
      </c>
      <c r="J409" s="218">
        <f>VLOOKUP($B409&amp;"; "&amp;$J$405&amp;" "&amp;J$406,'FE Déplacements'!$G:$U,9,FALSE)</f>
        <v>1.7500000000000002E-2</v>
      </c>
      <c r="K409" s="218">
        <f>VLOOKUP($B409&amp;"; "&amp;$J$405&amp;" "&amp;K$406,'FE Déplacements'!$G:$U,9,FALSE)</f>
        <v>8.4099999999999994E-2</v>
      </c>
      <c r="L409" s="218">
        <f>IFERROR(VLOOKUP($B409&amp;"; "&amp;$J$405&amp;" "&amp;L$406,'FE Déplacements'!$G:$U,9,FALSE),0)</f>
        <v>0</v>
      </c>
      <c r="M409" s="218">
        <f>IFERROR(VLOOKUP($B409&amp;"; "&amp;$J$405&amp;" "&amp;M$406,'FE Déplacements'!$G:$U,9,FALSE),0)</f>
        <v>3.6000000000000002E-4</v>
      </c>
      <c r="N409" s="356">
        <f t="shared" si="241"/>
        <v>0</v>
      </c>
      <c r="O409" s="356">
        <f t="shared" si="242"/>
        <v>0</v>
      </c>
      <c r="P409" s="151">
        <f t="shared" si="243"/>
        <v>0</v>
      </c>
      <c r="Q409" s="151">
        <f t="shared" si="244"/>
        <v>0</v>
      </c>
      <c r="R409" s="165">
        <f>IF(OR(F409=Utilitaires!$I$572,F409=Utilitaires!$I$577),O409,0)</f>
        <v>0</v>
      </c>
      <c r="X409" s="226">
        <f>IF(OR(AE409=0,D409=0),0,AE409/D409)</f>
        <v>0</v>
      </c>
      <c r="Y409" s="1094"/>
      <c r="Z409" s="820"/>
      <c r="AA409" s="164">
        <f t="shared" si="245"/>
        <v>0</v>
      </c>
      <c r="AB409" s="164">
        <f t="shared" si="246"/>
        <v>0</v>
      </c>
      <c r="AC409" s="164">
        <f t="shared" si="247"/>
        <v>0</v>
      </c>
      <c r="AD409" s="164">
        <f>Q409*BL409</f>
        <v>0</v>
      </c>
      <c r="AE409" s="152">
        <f t="shared" si="248"/>
        <v>0</v>
      </c>
      <c r="AF409" s="1286">
        <f>R409*X409</f>
        <v>0</v>
      </c>
      <c r="AH409" s="564">
        <f>$I409*IF(ISNA(VLOOKUP($B409&amp;"; "&amp;$J$405&amp;" "&amp;J$406,'FE Déplacements'!$G:$U,10,FALSE)),0,VLOOKUP($B409&amp;"; "&amp;$J$405&amp;" "&amp;J$406,'FE Déplacements'!$G:$U,10,FALSE))</f>
        <v>0</v>
      </c>
      <c r="AI409" s="565">
        <f>$I409*IF(ISNA(VLOOKUP($B409&amp;"; "&amp;$J$405&amp;" "&amp;K$406,'FE Déplacements'!$G:$U,10,FALSE)),0,VLOOKUP($B409&amp;"; "&amp;$J$405&amp;" "&amp;K$406,'FE Déplacements'!$G:$U,10,FALSE))</f>
        <v>0</v>
      </c>
      <c r="AJ409" s="565">
        <f>$I409*IF(ISNA(VLOOKUP($B409&amp;"; "&amp;$J$405&amp;" "&amp;L$406,'FE Déplacements'!$G:$U,10,FALSE)),0,VLOOKUP($B409&amp;"; "&amp;$J$405&amp;" "&amp;L$406,'FE Déplacements'!$G:$U,10,FALSE))</f>
        <v>0</v>
      </c>
      <c r="AK409" s="565">
        <f>$I409*IF(ISNA(VLOOKUP($B409&amp;"; "&amp;$J$405&amp;" "&amp;M$406,'FE Déplacements'!$G:$U,10,FALSE)),0,VLOOKUP($B409&amp;"; "&amp;$J$405&amp;" "&amp;M$406,'FE Déplacements'!$G:$U,10,FALSE))</f>
        <v>0</v>
      </c>
      <c r="AL409" s="565">
        <f>$I409*IF(ISNA((VLOOKUP($B409&amp;"; "&amp;$J$405&amp;" "&amp;J$406,'FE Déplacements'!$G:$U,12,FALSE)+VLOOKUP($B409&amp;"; "&amp;$J$405&amp;" "&amp;J$406,'FE Déplacements'!$G:$U,11,FALSE))),0,(VLOOKUP($B409&amp;"; "&amp;$J$405&amp;" "&amp;J$406,'FE Déplacements'!$G:$U,12,FALSE)+VLOOKUP($B409&amp;"; "&amp;$J$405&amp;" "&amp;J$406,'FE Déplacements'!$G:$U,11,FALSE)))</f>
        <v>0</v>
      </c>
      <c r="AM409" s="565">
        <f>$I409*IF(ISNA((VLOOKUP($B409&amp;"; "&amp;$J$405&amp;" "&amp;K$406,'FE Déplacements'!$G:$U,12,FALSE)+VLOOKUP($B409&amp;"; "&amp;$J$405&amp;" "&amp;K$406,'FE Déplacements'!$G:$U,11,FALSE))),0,(VLOOKUP($B409&amp;"; "&amp;$J$405&amp;" "&amp;K$406,'FE Déplacements'!$G:$U,12,FALSE)+VLOOKUP($B409&amp;"; "&amp;$J$405&amp;" "&amp;K$406,'FE Déplacements'!$G:$U,11,FALSE)))</f>
        <v>0</v>
      </c>
      <c r="AN409" s="565">
        <f>$I409*IF(ISNA((VLOOKUP($B409&amp;"; "&amp;$J$405&amp;" "&amp;L$406,'FE Déplacements'!$G:$U,12,FALSE)+VLOOKUP($B409&amp;"; "&amp;$J$405&amp;" "&amp;L$406,'FE Déplacements'!$G:$U,11,FALSE))),0,(VLOOKUP($B409&amp;"; "&amp;$J$405&amp;" "&amp;L$406,'FE Déplacements'!$G:$U,12,FALSE)+VLOOKUP($B409&amp;"; "&amp;$J$405&amp;" "&amp;L$406,'FE Déplacements'!$G:$U,11,FALSE)))</f>
        <v>0</v>
      </c>
      <c r="AO409" s="565">
        <f>$I409*IF(ISNA((VLOOKUP($B409&amp;"; "&amp;$J$405&amp;" "&amp;M$406,'FE Déplacements'!$G:$U,12,FALSE)+VLOOKUP($B409&amp;"; "&amp;$J$405&amp;" "&amp;M$406,'FE Déplacements'!$G:$U,11,FALSE))),0,(VLOOKUP($B409&amp;"; "&amp;$J$405&amp;" "&amp;M$406,'FE Déplacements'!$G:$U,12,FALSE)+VLOOKUP($B409&amp;"; "&amp;$J$405&amp;" "&amp;M$406,'FE Déplacements'!$G:$U,11,FALSE)))</f>
        <v>0</v>
      </c>
      <c r="AP409" s="565">
        <f>$I409*IF(ISNA(VLOOKUP($B409&amp;"; "&amp;$J$405&amp;" "&amp;J$406,'FE Déplacements'!$G:$U,13,FALSE)),0,VLOOKUP($B409&amp;"; "&amp;$J$405&amp;" "&amp;J$406,'FE Déplacements'!$G:$U,13,FALSE))</f>
        <v>0</v>
      </c>
      <c r="AQ409" s="565">
        <f>$I409*IF(ISNA(VLOOKUP($B409&amp;"; "&amp;$J$405&amp;" "&amp;K$406,'FE Déplacements'!$G:$U,13,FALSE)),0,VLOOKUP($B409&amp;"; "&amp;$J$405&amp;" "&amp;K$406,'FE Déplacements'!$G:$U,13,FALSE))</f>
        <v>0</v>
      </c>
      <c r="AR409" s="565">
        <f>$I409*IF(ISNA(VLOOKUP($B409&amp;"; "&amp;$J$405&amp;" "&amp;L$406,'FE Déplacements'!$G:$U,13,FALSE)),0,VLOOKUP($B409&amp;"; "&amp;$J$405&amp;" "&amp;L$406,'FE Déplacements'!$G:$U,13,FALSE))</f>
        <v>0</v>
      </c>
      <c r="AS409" s="565">
        <f>$I409*IF(ISNA(VLOOKUP($B409&amp;"; "&amp;$J$405&amp;" "&amp;M$406,'FE Déplacements'!$G:$U,13,FALSE)),0,VLOOKUP($B409&amp;"; "&amp;$J$405&amp;" "&amp;M$406,'FE Déplacements'!$G:$U,13,FALSE))</f>
        <v>0</v>
      </c>
      <c r="AT409" s="565">
        <f>$G409*IF(ISNA(VLOOKUP($B409&amp;"; "&amp;$J$405&amp;" "&amp;J$406,'FE Déplacements'!$G:$U,14,FALSE)),0,VLOOKUP($B409&amp;"; "&amp;$J$405&amp;" "&amp;J$406,'FE Déplacements'!$G:$U,14,FALSE))</f>
        <v>0</v>
      </c>
      <c r="AU409" s="565">
        <f>$G409*IF(ISNA(VLOOKUP($B409&amp;"; "&amp;$J$405&amp;" "&amp;K$406,'FE Déplacements'!$G:$U,14,FALSE)),0,VLOOKUP($B409&amp;"; "&amp;$J$405&amp;" "&amp;K$406,'FE Déplacements'!$G:$U,14,FALSE))</f>
        <v>0</v>
      </c>
      <c r="AV409" s="565">
        <f>$I409*IF(ISNA(VLOOKUP($B409&amp;"; "&amp;$J$405&amp;" "&amp;L$406,'FE Déplacements'!$G:$U,9,FALSE)),0,VLOOKUP($B409&amp;"; "&amp;$J$405&amp;" "&amp;L$406,'FE Déplacements'!$G:$U,9,FALSE))</f>
        <v>0</v>
      </c>
      <c r="AW409" s="565">
        <f>$I409*IF(ISNA(VLOOKUP($B409&amp;"; "&amp;$J$405&amp;" "&amp;M$406,'FE Déplacements'!$G:$U,9,FALSE)),0,VLOOKUP($B409&amp;"; "&amp;$J$405&amp;" "&amp;M$406,'FE Déplacements'!$G:$U,9,FALSE))</f>
        <v>0</v>
      </c>
      <c r="AX409" s="566">
        <f t="shared" si="239"/>
        <v>0</v>
      </c>
      <c r="AY409" s="566">
        <f t="shared" si="239"/>
        <v>0</v>
      </c>
      <c r="AZ409" s="566">
        <f t="shared" si="239"/>
        <v>0</v>
      </c>
      <c r="BA409" s="566">
        <f>SUM(AL409,AP409,AT409,AS409)</f>
        <v>0</v>
      </c>
      <c r="BB409" s="564">
        <f>$I409*IF(ISNA(VLOOKUP($B409&amp;"; "&amp;$J$405&amp;" "&amp;J$406,'FE Déplacements'!$G:$U,15,FALSE)),0,VLOOKUP($B409&amp;"; "&amp;$J$405&amp;" "&amp;J$406,'FE Déplacements'!$G:$U,15,FALSE))</f>
        <v>0</v>
      </c>
      <c r="BC409" s="565">
        <f>$I409*IF(ISNA(VLOOKUP($B409&amp;"; "&amp;$J$405&amp;" "&amp;K$406,'FE Déplacements'!$G:$U,15,FALSE)),0,VLOOKUP($B409&amp;"; "&amp;$J$405&amp;" "&amp;K$406,'FE Déplacements'!$G:$U,15,FALSE))</f>
        <v>0</v>
      </c>
      <c r="BD409" s="565">
        <f>$I409*IF(ISNA(VLOOKUP($B409&amp;"; "&amp;$J$405&amp;" "&amp;L$406,'FE Déplacements'!$G:$U,15,FALSE)),0,VLOOKUP($B409&amp;"; "&amp;$J$405&amp;" "&amp;L$406,'FE Déplacements'!$G:$U,15,FALSE))</f>
        <v>0</v>
      </c>
      <c r="BE409" s="568">
        <f>$I409*IF(ISNA(VLOOKUP($B409&amp;"; "&amp;$J$405&amp;" "&amp;M$406,'FE Déplacements'!$G:$U,15,FALSE)),0,VLOOKUP($B409&amp;"; "&amp;$J$405&amp;" "&amp;M$406,'FE Déplacements'!$G:$U,15,FALSE))</f>
        <v>0</v>
      </c>
      <c r="BH409" s="2268">
        <f>IF($Y409&lt;&gt;"votre valeur :",IF(ISNA(VLOOKUP($Y409,Utilitaires!$N$566:$O$571,2,FALSE)),,VLOOKUP($Y409,Utilitaires!$N$566:$O$571,2,FALSE)),$Z409)</f>
        <v>0</v>
      </c>
      <c r="BI409" s="1130">
        <f>IF(ISNA(SQRT(SUMSQ(VLOOKUP($B409&amp;"; "&amp;$J$405&amp;" "&amp;$J$406,'FE Déplacements'!$G:$U,7,FALSE),$BH409))),0,SQRT(SUMSQ(VLOOKUP($B409&amp;"; "&amp;$J$405&amp;" "&amp;$J$406,'FE Déplacements'!$G:$U,7,FALSE),$BH409)))</f>
        <v>0.1</v>
      </c>
      <c r="BJ409" s="1130">
        <f>IF(ISNA(SQRT(SUMSQ(VLOOKUP($B409&amp;"; "&amp;$J$405&amp;" "&amp;$K$406,'FE Déplacements'!$G:$U,7,FALSE),$BH409))),0,SQRT(SUMSQ(VLOOKUP($B409&amp;"; "&amp;$J$405&amp;" "&amp;$K$406,'FE Déplacements'!$G:$U,7,FALSE),$BH409)))</f>
        <v>0.1</v>
      </c>
      <c r="BK409" s="1130">
        <f>IF(ISNA(SQRT(SUMSQ(VLOOKUP($B409&amp;"; "&amp;$J$405&amp;" "&amp;$L$406,'FE Déplacements'!$G:$U,7,FALSE),$BH409))),0,SQRT(SUMSQ(VLOOKUP($B409&amp;"; "&amp;$J$405&amp;" "&amp;$L$406,'FE Déplacements'!$G:$U,7,FALSE),$BH409)))</f>
        <v>0</v>
      </c>
      <c r="BL409" s="1130">
        <f>IF(ISNA(SQRT(SUMSQ(VLOOKUP($B409&amp;"; "&amp;$J$405&amp;" "&amp;$M$406,'FE Déplacements'!$G:$U,7,FALSE),$BH409))),0,SQRT(SUMSQ(VLOOKUP($B409&amp;"; "&amp;$J$405&amp;" "&amp;$M$406,'FE Déplacements'!$G:$U,7,FALSE),$BH409)))</f>
        <v>0.1</v>
      </c>
    </row>
    <row r="410" spans="2:64" ht="15" hidden="1" outlineLevel="1">
      <c r="B410" s="143" t="s">
        <v>4018</v>
      </c>
      <c r="C410" s="144"/>
      <c r="D410" s="212">
        <f t="shared" si="240"/>
        <v>0</v>
      </c>
      <c r="E410" s="212"/>
      <c r="F410" s="347"/>
      <c r="G410" s="123"/>
      <c r="H410" s="219">
        <f>VLOOKUP($B410,'FE Déplacements'!$F$414:$W$551,17,FALSE)</f>
        <v>7250</v>
      </c>
      <c r="I410" s="164">
        <f>G410*H410</f>
        <v>0</v>
      </c>
      <c r="J410" s="218">
        <f>VLOOKUP($B410&amp;"; "&amp;$J$405&amp;" "&amp;J$406,'FE Déplacements'!$G:$U,9,FALSE)</f>
        <v>1.43E-2</v>
      </c>
      <c r="K410" s="218">
        <f>VLOOKUP($B410&amp;"; "&amp;$J$405&amp;" "&amp;K$406,'FE Déplacements'!$G:$U,9,FALSE)</f>
        <v>6.8699999999999997E-2</v>
      </c>
      <c r="L410" s="218">
        <f>IFERROR(VLOOKUP($B410&amp;"; "&amp;$J$405&amp;" "&amp;L$406,'FE Déplacements'!$G:$U,9,FALSE),0)</f>
        <v>6.8699999999999997E-2</v>
      </c>
      <c r="M410" s="218">
        <f>IFERROR(VLOOKUP($B410&amp;"; "&amp;$J$405&amp;" "&amp;M$406,'FE Déplacements'!$G:$U,9,FALSE),0)</f>
        <v>2.5999999999999998E-4</v>
      </c>
      <c r="N410" s="356">
        <f t="shared" si="241"/>
        <v>0</v>
      </c>
      <c r="O410" s="356">
        <f t="shared" si="242"/>
        <v>0</v>
      </c>
      <c r="P410" s="151">
        <f t="shared" si="243"/>
        <v>0</v>
      </c>
      <c r="Q410" s="151">
        <f t="shared" si="244"/>
        <v>0</v>
      </c>
      <c r="R410" s="165">
        <f>IF(OR(F410=Utilitaires!$I$572,F410=Utilitaires!$I$577),O410,0)</f>
        <v>0</v>
      </c>
      <c r="X410" s="226">
        <f>IF(OR(AE410=0,D410=0),0,AE410/D410)</f>
        <v>0</v>
      </c>
      <c r="Y410" s="1094"/>
      <c r="Z410" s="820"/>
      <c r="AA410" s="164">
        <f t="shared" si="245"/>
        <v>0</v>
      </c>
      <c r="AB410" s="164">
        <f t="shared" si="246"/>
        <v>0</v>
      </c>
      <c r="AC410" s="164">
        <f t="shared" si="247"/>
        <v>0</v>
      </c>
      <c r="AD410" s="164">
        <f>Q410*BL410</f>
        <v>0</v>
      </c>
      <c r="AE410" s="152">
        <f t="shared" si="248"/>
        <v>0</v>
      </c>
      <c r="AF410" s="1286">
        <f>R410*X410</f>
        <v>0</v>
      </c>
      <c r="AH410" s="564">
        <f>$I410*IF(ISNA(VLOOKUP($B410&amp;"; "&amp;$J$405&amp;" "&amp;J$406,'FE Déplacements'!$G:$U,10,FALSE)),0,VLOOKUP($B410&amp;"; "&amp;$J$405&amp;" "&amp;J$406,'FE Déplacements'!$G:$U,10,FALSE))</f>
        <v>0</v>
      </c>
      <c r="AI410" s="565">
        <f>$I410*IF(ISNA(VLOOKUP($B410&amp;"; "&amp;$J$405&amp;" "&amp;K$406,'FE Déplacements'!$G:$U,10,FALSE)),0,VLOOKUP($B410&amp;"; "&amp;$J$405&amp;" "&amp;K$406,'FE Déplacements'!$G:$U,10,FALSE))</f>
        <v>0</v>
      </c>
      <c r="AJ410" s="565">
        <f>$I410*IF(ISNA(VLOOKUP($B410&amp;"; "&amp;$J$405&amp;" "&amp;L$406,'FE Déplacements'!$G:$U,10,FALSE)),0,VLOOKUP($B410&amp;"; "&amp;$J$405&amp;" "&amp;L$406,'FE Déplacements'!$G:$U,10,FALSE))</f>
        <v>0</v>
      </c>
      <c r="AK410" s="565">
        <f>$I410*IF(ISNA(VLOOKUP($B410&amp;"; "&amp;$J$405&amp;" "&amp;M$406,'FE Déplacements'!$G:$U,10,FALSE)),0,VLOOKUP($B410&amp;"; "&amp;$J$405&amp;" "&amp;M$406,'FE Déplacements'!$G:$U,10,FALSE))</f>
        <v>0</v>
      </c>
      <c r="AL410" s="565">
        <f>$I410*IF(ISNA((VLOOKUP($B410&amp;"; "&amp;$J$405&amp;" "&amp;J$406,'FE Déplacements'!$G:$U,12,FALSE)+VLOOKUP($B410&amp;"; "&amp;$J$405&amp;" "&amp;J$406,'FE Déplacements'!$G:$U,11,FALSE))),0,(VLOOKUP($B410&amp;"; "&amp;$J$405&amp;" "&amp;J$406,'FE Déplacements'!$G:$U,12,FALSE)+VLOOKUP($B410&amp;"; "&amp;$J$405&amp;" "&amp;J$406,'FE Déplacements'!$G:$U,11,FALSE)))</f>
        <v>0</v>
      </c>
      <c r="AM410" s="565">
        <f>$I410*IF(ISNA((VLOOKUP($B410&amp;"; "&amp;$J$405&amp;" "&amp;K$406,'FE Déplacements'!$G:$U,12,FALSE)+VLOOKUP($B410&amp;"; "&amp;$J$405&amp;" "&amp;K$406,'FE Déplacements'!$G:$U,11,FALSE))),0,(VLOOKUP($B410&amp;"; "&amp;$J$405&amp;" "&amp;K$406,'FE Déplacements'!$G:$U,12,FALSE)+VLOOKUP($B410&amp;"; "&amp;$J$405&amp;" "&amp;K$406,'FE Déplacements'!$G:$U,11,FALSE)))</f>
        <v>0</v>
      </c>
      <c r="AN410" s="565">
        <f>$I410*IF(ISNA((VLOOKUP($B410&amp;"; "&amp;$J$405&amp;" "&amp;L$406,'FE Déplacements'!$G:$U,12,FALSE)+VLOOKUP($B410&amp;"; "&amp;$J$405&amp;" "&amp;L$406,'FE Déplacements'!$G:$U,11,FALSE))),0,(VLOOKUP($B410&amp;"; "&amp;$J$405&amp;" "&amp;L$406,'FE Déplacements'!$G:$U,12,FALSE)+VLOOKUP($B410&amp;"; "&amp;$J$405&amp;" "&amp;L$406,'FE Déplacements'!$G:$U,11,FALSE)))</f>
        <v>0</v>
      </c>
      <c r="AO410" s="565">
        <f>$I410*IF(ISNA((VLOOKUP($B410&amp;"; "&amp;$J$405&amp;" "&amp;M$406,'FE Déplacements'!$G:$U,12,FALSE)+VLOOKUP($B410&amp;"; "&amp;$J$405&amp;" "&amp;M$406,'FE Déplacements'!$G:$U,11,FALSE))),0,(VLOOKUP($B410&amp;"; "&amp;$J$405&amp;" "&amp;M$406,'FE Déplacements'!$G:$U,12,FALSE)+VLOOKUP($B410&amp;"; "&amp;$J$405&amp;" "&amp;M$406,'FE Déplacements'!$G:$U,11,FALSE)))</f>
        <v>0</v>
      </c>
      <c r="AP410" s="565">
        <f>$I410*IF(ISNA(VLOOKUP($B410&amp;"; "&amp;$J$405&amp;" "&amp;J$406,'FE Déplacements'!$G:$U,13,FALSE)),0,VLOOKUP($B410&amp;"; "&amp;$J$405&amp;" "&amp;J$406,'FE Déplacements'!$G:$U,13,FALSE))</f>
        <v>0</v>
      </c>
      <c r="AQ410" s="565">
        <f>$I410*IF(ISNA(VLOOKUP($B410&amp;"; "&amp;$J$405&amp;" "&amp;K$406,'FE Déplacements'!$G:$U,13,FALSE)),0,VLOOKUP($B410&amp;"; "&amp;$J$405&amp;" "&amp;K$406,'FE Déplacements'!$G:$U,13,FALSE))</f>
        <v>0</v>
      </c>
      <c r="AR410" s="565">
        <f>$I410*IF(ISNA(VLOOKUP($B410&amp;"; "&amp;$J$405&amp;" "&amp;L$406,'FE Déplacements'!$G:$U,13,FALSE)),0,VLOOKUP($B410&amp;"; "&amp;$J$405&amp;" "&amp;L$406,'FE Déplacements'!$G:$U,13,FALSE))</f>
        <v>0</v>
      </c>
      <c r="AS410" s="565">
        <f>$I410*IF(ISNA(VLOOKUP($B410&amp;"; "&amp;$J$405&amp;" "&amp;M$406,'FE Déplacements'!$G:$U,13,FALSE)),0,VLOOKUP($B410&amp;"; "&amp;$J$405&amp;" "&amp;M$406,'FE Déplacements'!$G:$U,13,FALSE))</f>
        <v>0</v>
      </c>
      <c r="AT410" s="565">
        <f>$G410*IF(ISNA(VLOOKUP($B410&amp;"; "&amp;$J$405&amp;" "&amp;J$406,'FE Déplacements'!$G:$U,14,FALSE)),0,VLOOKUP($B410&amp;"; "&amp;$J$405&amp;" "&amp;J$406,'FE Déplacements'!$G:$U,14,FALSE))</f>
        <v>0</v>
      </c>
      <c r="AU410" s="565">
        <f>$G410*IF(ISNA(VLOOKUP($B410&amp;"; "&amp;$J$405&amp;" "&amp;K$406,'FE Déplacements'!$G:$U,14,FALSE)),0,VLOOKUP($B410&amp;"; "&amp;$J$405&amp;" "&amp;K$406,'FE Déplacements'!$G:$U,14,FALSE))</f>
        <v>0</v>
      </c>
      <c r="AV410" s="565">
        <f>$I410*IF(ISNA(VLOOKUP($B410&amp;"; "&amp;$J$405&amp;" "&amp;L$406,'FE Déplacements'!$G:$U,9,FALSE)),0,VLOOKUP($B410&amp;"; "&amp;$J$405&amp;" "&amp;L$406,'FE Déplacements'!$G:$U,9,FALSE))</f>
        <v>0</v>
      </c>
      <c r="AW410" s="565">
        <f>$I410*IF(ISNA(VLOOKUP($B410&amp;"; "&amp;$J$405&amp;" "&amp;M$406,'FE Déplacements'!$G:$U,9,FALSE)),0,VLOOKUP($B410&amp;"; "&amp;$J$405&amp;" "&amp;M$406,'FE Déplacements'!$G:$U,9,FALSE))</f>
        <v>0</v>
      </c>
      <c r="AX410" s="566">
        <f t="shared" si="239"/>
        <v>0</v>
      </c>
      <c r="AY410" s="566">
        <f t="shared" si="239"/>
        <v>0</v>
      </c>
      <c r="AZ410" s="566">
        <f t="shared" si="239"/>
        <v>0</v>
      </c>
      <c r="BA410" s="566">
        <f>SUM(AL410,AP410,AT410,AS410)</f>
        <v>0</v>
      </c>
      <c r="BB410" s="564">
        <f>$I410*IF(ISNA(VLOOKUP($B410&amp;"; "&amp;$J$405&amp;" "&amp;J$406,'FE Déplacements'!$G:$U,15,FALSE)),0,VLOOKUP($B410&amp;"; "&amp;$J$405&amp;" "&amp;J$406,'FE Déplacements'!$G:$U,15,FALSE))</f>
        <v>0</v>
      </c>
      <c r="BC410" s="565">
        <f>$I410*IF(ISNA(VLOOKUP($B410&amp;"; "&amp;$J$405&amp;" "&amp;K$406,'FE Déplacements'!$G:$U,15,FALSE)),0,VLOOKUP($B410&amp;"; "&amp;$J$405&amp;" "&amp;K$406,'FE Déplacements'!$G:$U,15,FALSE))</f>
        <v>0</v>
      </c>
      <c r="BD410" s="565">
        <f>$I410*IF(ISNA(VLOOKUP($B410&amp;"; "&amp;$J$405&amp;" "&amp;L$406,'FE Déplacements'!$G:$U,15,FALSE)),0,VLOOKUP($B410&amp;"; "&amp;$J$405&amp;" "&amp;L$406,'FE Déplacements'!$G:$U,15,FALSE))</f>
        <v>0</v>
      </c>
      <c r="BE410" s="568">
        <f>$I410*IF(ISNA(VLOOKUP($B410&amp;"; "&amp;$J$405&amp;" "&amp;M$406,'FE Déplacements'!$G:$U,15,FALSE)),0,VLOOKUP($B410&amp;"; "&amp;$J$405&amp;" "&amp;M$406,'FE Déplacements'!$G:$U,15,FALSE))</f>
        <v>0</v>
      </c>
      <c r="BF410" s="130"/>
      <c r="BG410" s="130"/>
      <c r="BH410" s="2268">
        <f>IF($Y410&lt;&gt;"votre valeur :",IF(ISNA(VLOOKUP($Y410,Utilitaires!$N$566:$O$571,2,FALSE)),,VLOOKUP($Y410,Utilitaires!$N$566:$O$571,2,FALSE)),$Z410)</f>
        <v>0</v>
      </c>
      <c r="BI410" s="1130">
        <f>IF(ISNA(SQRT(SUMSQ(VLOOKUP($B410&amp;"; "&amp;$J$405&amp;" "&amp;$J$406,'FE Déplacements'!$G:$U,7,FALSE),$BH410))),0,SQRT(SUMSQ(VLOOKUP($B410&amp;"; "&amp;$J$405&amp;" "&amp;$J$406,'FE Déplacements'!$G:$U,7,FALSE),$BH410)))</f>
        <v>0.7</v>
      </c>
      <c r="BJ410" s="1130">
        <f>IF(ISNA(SQRT(SUMSQ(VLOOKUP($B410&amp;"; "&amp;$J$405&amp;" "&amp;$K$406,'FE Déplacements'!$G:$U,7,FALSE),$BH410))),0,SQRT(SUMSQ(VLOOKUP($B410&amp;"; "&amp;$J$405&amp;" "&amp;$K$406,'FE Déplacements'!$G:$U,7,FALSE),$BH410)))</f>
        <v>0.7</v>
      </c>
      <c r="BK410" s="1130">
        <f>IF(ISNA(SQRT(SUMSQ(VLOOKUP($B410&amp;"; "&amp;$J$405&amp;" "&amp;$L$406,'FE Déplacements'!$G:$U,7,FALSE),$BH410))),0,SQRT(SUMSQ(VLOOKUP($B410&amp;"; "&amp;$J$405&amp;" "&amp;$L$406,'FE Déplacements'!$G:$U,7,FALSE),$BH410)))</f>
        <v>0.7</v>
      </c>
      <c r="BL410" s="1130">
        <f>IF(ISNA(SQRT(SUMSQ(VLOOKUP($B410&amp;"; "&amp;$J$405&amp;" "&amp;$M$406,'FE Déplacements'!$G:$U,7,FALSE),$BH410))),0,SQRT(SUMSQ(VLOOKUP($B410&amp;"; "&amp;$J$405&amp;" "&amp;$M$406,'FE Déplacements'!$G:$U,7,FALSE),$BH410)))</f>
        <v>0.7</v>
      </c>
    </row>
    <row r="411" spans="2:64" ht="12.75" hidden="1" customHeight="1" outlineLevel="1">
      <c r="B411" s="143"/>
      <c r="C411" s="144"/>
      <c r="D411" s="213"/>
      <c r="E411" s="213"/>
      <c r="F411" s="144"/>
      <c r="G411" s="144"/>
      <c r="H411" s="144"/>
      <c r="I411" s="144"/>
      <c r="J411" s="144"/>
      <c r="K411" s="144"/>
      <c r="L411" s="144"/>
      <c r="M411" s="144"/>
      <c r="N411" s="144"/>
      <c r="O411" s="144"/>
      <c r="P411" s="151"/>
      <c r="Q411" s="151"/>
      <c r="R411" s="165"/>
      <c r="X411" s="154"/>
      <c r="Y411" s="155"/>
      <c r="Z411" s="155"/>
      <c r="AA411" s="144"/>
      <c r="AB411" s="144"/>
      <c r="AC411" s="144"/>
      <c r="AD411" s="144"/>
      <c r="AE411" s="367"/>
      <c r="AF411" s="1776"/>
      <c r="AH411" s="564"/>
      <c r="AI411" s="565"/>
      <c r="AJ411" s="565"/>
      <c r="AK411" s="565"/>
      <c r="AL411" s="565"/>
      <c r="AM411" s="565"/>
      <c r="AN411" s="565"/>
      <c r="AO411" s="565"/>
      <c r="AP411" s="565"/>
      <c r="AQ411" s="565"/>
      <c r="AR411" s="565"/>
      <c r="AS411" s="565"/>
      <c r="AT411" s="565"/>
      <c r="AU411" s="565"/>
      <c r="AV411" s="565"/>
      <c r="AW411" s="565"/>
      <c r="AX411" s="566"/>
      <c r="AY411" s="566"/>
      <c r="AZ411" s="566"/>
      <c r="BA411" s="566"/>
      <c r="BB411" s="569"/>
      <c r="BC411" s="625"/>
      <c r="BD411" s="565"/>
      <c r="BE411" s="568"/>
      <c r="BH411" s="2269"/>
      <c r="BI411" s="1153"/>
      <c r="BJ411" s="1153"/>
      <c r="BK411" s="1153"/>
      <c r="BL411" s="1153"/>
    </row>
    <row r="412" spans="2:64" hidden="1" outlineLevel="1">
      <c r="B412" s="1264" t="s">
        <v>348</v>
      </c>
      <c r="C412" s="197"/>
      <c r="D412" s="214">
        <f>SUM(D407:D411)</f>
        <v>0</v>
      </c>
      <c r="E412" s="214"/>
      <c r="F412" s="197"/>
      <c r="G412" s="197"/>
      <c r="H412" s="197"/>
      <c r="I412" s="197"/>
      <c r="J412" s="197"/>
      <c r="K412" s="197"/>
      <c r="L412" s="197"/>
      <c r="M412" s="197"/>
      <c r="N412" s="202">
        <f>SUM(N407:N411)</f>
        <v>0</v>
      </c>
      <c r="O412" s="202">
        <f>SUM(O407:O411)</f>
        <v>0</v>
      </c>
      <c r="P412" s="202">
        <f>SUM(P407:P411)</f>
        <v>0</v>
      </c>
      <c r="Q412" s="202">
        <f>SUM(Q407:Q411)</f>
        <v>0</v>
      </c>
      <c r="R412" s="340">
        <f>SUM(R407:R411)</f>
        <v>0</v>
      </c>
      <c r="X412" s="1772"/>
      <c r="Y412" s="199"/>
      <c r="Z412" s="199"/>
      <c r="AA412" s="203">
        <f t="shared" ref="AA412:AF412" si="249">SQRT(SUMSQ(AA407:AA411))</f>
        <v>0</v>
      </c>
      <c r="AB412" s="203">
        <f t="shared" si="249"/>
        <v>0</v>
      </c>
      <c r="AC412" s="203">
        <f t="shared" si="249"/>
        <v>0</v>
      </c>
      <c r="AD412" s="203">
        <f t="shared" si="249"/>
        <v>0</v>
      </c>
      <c r="AE412" s="200">
        <f t="shared" si="249"/>
        <v>0</v>
      </c>
      <c r="AF412" s="340">
        <f t="shared" si="249"/>
        <v>0</v>
      </c>
      <c r="AH412" s="1082">
        <f>SUM(AH407:AH411)</f>
        <v>0</v>
      </c>
      <c r="AI412" s="572">
        <f>SUM(AI407:AI411)</f>
        <v>0</v>
      </c>
      <c r="AJ412" s="572">
        <f>SUM(AJ407:AJ411)</f>
        <v>0</v>
      </c>
      <c r="AK412" s="572">
        <f t="shared" ref="AK412" si="250">SUM(AK407:AK411)</f>
        <v>0</v>
      </c>
      <c r="AL412" s="572">
        <f>SUM(AL407:AL411)</f>
        <v>0</v>
      </c>
      <c r="AM412" s="572">
        <f>SUM(AM407:AM411)</f>
        <v>0</v>
      </c>
      <c r="AN412" s="572">
        <f>SUM(AN407:AN411)</f>
        <v>0</v>
      </c>
      <c r="AO412" s="572">
        <f t="shared" ref="AO412" si="251">SUM(AO407:AO411)</f>
        <v>0</v>
      </c>
      <c r="AP412" s="572">
        <f>SUM(AP407:AP411)</f>
        <v>0</v>
      </c>
      <c r="AQ412" s="572">
        <f>SUM(AQ407:AQ411)</f>
        <v>0</v>
      </c>
      <c r="AR412" s="572">
        <f>SUM(AR407:AR411)</f>
        <v>0</v>
      </c>
      <c r="AS412" s="572">
        <f t="shared" ref="AS412" si="252">SUM(AS407:AS411)</f>
        <v>0</v>
      </c>
      <c r="AT412" s="572">
        <f>SUM(AT407:AT411)</f>
        <v>0</v>
      </c>
      <c r="AU412" s="572">
        <f>SUM(AU407:AU411)</f>
        <v>0</v>
      </c>
      <c r="AV412" s="572">
        <f>SUM(AV407:AV411)</f>
        <v>0</v>
      </c>
      <c r="AW412" s="572">
        <f t="shared" ref="AW412" si="253">SUM(AW407:AW411)</f>
        <v>0</v>
      </c>
      <c r="AX412" s="573">
        <f t="shared" ref="AX412:BE412" si="254">SUM(AX407:AX411)</f>
        <v>0</v>
      </c>
      <c r="AY412" s="573">
        <f t="shared" si="254"/>
        <v>0</v>
      </c>
      <c r="AZ412" s="573">
        <f t="shared" si="254"/>
        <v>0</v>
      </c>
      <c r="BA412" s="574">
        <f t="shared" si="254"/>
        <v>0</v>
      </c>
      <c r="BB412" s="1082">
        <f t="shared" si="254"/>
        <v>0</v>
      </c>
      <c r="BC412" s="572">
        <f t="shared" si="254"/>
        <v>0</v>
      </c>
      <c r="BD412" s="572">
        <f t="shared" si="254"/>
        <v>0</v>
      </c>
      <c r="BE412" s="575">
        <f t="shared" si="254"/>
        <v>0</v>
      </c>
      <c r="BF412" s="116"/>
      <c r="BG412" s="116"/>
      <c r="BH412" s="116"/>
    </row>
    <row r="413" spans="2:64" hidden="1" outlineLevel="1"/>
    <row r="414" spans="2:64" ht="12.75" hidden="1" customHeight="1" outlineLevel="1">
      <c r="B414" s="1091" t="s">
        <v>4066</v>
      </c>
      <c r="C414" s="140"/>
      <c r="D414" s="140"/>
      <c r="E414" s="140"/>
      <c r="F414" s="141"/>
      <c r="G414" s="141"/>
      <c r="H414" s="141"/>
      <c r="I414" s="141"/>
      <c r="J414" s="2267"/>
      <c r="K414" s="2267"/>
      <c r="L414" s="1674"/>
      <c r="X414" s="2636" t="s">
        <v>366</v>
      </c>
      <c r="Y414" s="2637"/>
      <c r="Z414" s="2637"/>
      <c r="AA414" s="2637"/>
      <c r="AB414" s="2637"/>
      <c r="AC414" s="2637"/>
      <c r="AD414" s="2638"/>
      <c r="AE414" s="1773"/>
      <c r="AG414" s="2639" t="s">
        <v>441</v>
      </c>
      <c r="AH414" s="2640"/>
      <c r="AI414" s="2640"/>
      <c r="AJ414" s="2640"/>
      <c r="AK414" s="2640"/>
      <c r="AL414" s="2640"/>
      <c r="AM414" s="2640"/>
      <c r="AN414" s="2640"/>
      <c r="AO414" s="2640"/>
      <c r="AP414" s="2640"/>
      <c r="AQ414" s="2640"/>
      <c r="AR414" s="2640"/>
      <c r="AS414" s="2640"/>
      <c r="AT414" s="2640"/>
      <c r="AU414" s="2640"/>
      <c r="AV414" s="2640"/>
      <c r="AW414" s="2640"/>
      <c r="AX414" s="2641"/>
    </row>
    <row r="415" spans="2:64" ht="12.75" hidden="1" customHeight="1" outlineLevel="1">
      <c r="B415" s="332"/>
      <c r="C415" s="167"/>
      <c r="D415" s="2272" t="s">
        <v>308</v>
      </c>
      <c r="E415" s="2272"/>
      <c r="F415" s="144"/>
      <c r="G415" s="144"/>
      <c r="H415" s="144"/>
      <c r="I415" s="144"/>
      <c r="J415" s="144"/>
      <c r="K415" s="144"/>
      <c r="L415" s="2280" t="s">
        <v>275</v>
      </c>
      <c r="X415" s="2263"/>
      <c r="Y415" s="819"/>
      <c r="Z415" s="819"/>
      <c r="AA415" s="2264"/>
      <c r="AB415" s="2264"/>
      <c r="AC415" s="2264"/>
      <c r="AD415" s="2280"/>
      <c r="AE415" s="2270" t="s">
        <v>275</v>
      </c>
      <c r="AG415" s="2642" t="s">
        <v>444</v>
      </c>
      <c r="AH415" s="2643"/>
      <c r="AI415" s="2643"/>
      <c r="AJ415" s="2643"/>
      <c r="AK415" s="2643"/>
      <c r="AL415" s="2643"/>
      <c r="AM415" s="2643"/>
      <c r="AN415" s="2643"/>
      <c r="AO415" s="2643"/>
      <c r="AP415" s="2643"/>
      <c r="AQ415" s="2643"/>
      <c r="AR415" s="2644"/>
      <c r="AS415" s="2642" t="s">
        <v>444</v>
      </c>
      <c r="AT415" s="2643"/>
      <c r="AU415" s="2644"/>
      <c r="AV415" s="1288"/>
      <c r="AW415" s="566"/>
      <c r="AX415" s="2287"/>
      <c r="BH415" s="2616" t="s">
        <v>1648</v>
      </c>
      <c r="BI415" s="2617"/>
      <c r="BJ415" s="2617"/>
      <c r="BK415" s="2617"/>
      <c r="BL415" s="2618"/>
    </row>
    <row r="416" spans="2:64" ht="12.75" hidden="1" customHeight="1" outlineLevel="1">
      <c r="B416" s="2263"/>
      <c r="C416" s="2264"/>
      <c r="D416" s="2264" t="s">
        <v>409</v>
      </c>
      <c r="E416" s="2264"/>
      <c r="F416" s="2270" t="s">
        <v>452</v>
      </c>
      <c r="G416" s="2270"/>
      <c r="H416" s="2626" t="s">
        <v>2224</v>
      </c>
      <c r="I416" s="2628"/>
      <c r="J416" s="2272" t="s">
        <v>444</v>
      </c>
      <c r="K416" s="2272" t="s">
        <v>444</v>
      </c>
      <c r="L416" s="2280" t="s">
        <v>276</v>
      </c>
      <c r="X416" s="2263" t="s">
        <v>316</v>
      </c>
      <c r="Y416" s="2629" t="s">
        <v>316</v>
      </c>
      <c r="Z416" s="2630"/>
      <c r="AA416" s="2264" t="s">
        <v>444</v>
      </c>
      <c r="AB416" s="2264" t="s">
        <v>444</v>
      </c>
      <c r="AC416" s="2272"/>
      <c r="AD416" s="2281" t="s">
        <v>444</v>
      </c>
      <c r="AE416" s="153" t="s">
        <v>276</v>
      </c>
      <c r="AG416" s="2631" t="s">
        <v>211</v>
      </c>
      <c r="AH416" s="2632"/>
      <c r="AI416" s="2632"/>
      <c r="AJ416" s="2632" t="s">
        <v>442</v>
      </c>
      <c r="AK416" s="2632"/>
      <c r="AL416" s="2632"/>
      <c r="AM416" s="2632" t="s">
        <v>267</v>
      </c>
      <c r="AN416" s="2632"/>
      <c r="AO416" s="2632"/>
      <c r="AP416" s="2632" t="s">
        <v>443</v>
      </c>
      <c r="AQ416" s="2632"/>
      <c r="AR416" s="2650"/>
      <c r="AS416" s="2848" t="s">
        <v>327</v>
      </c>
      <c r="AT416" s="2648"/>
      <c r="AU416" s="2649"/>
      <c r="AV416" s="2631" t="s">
        <v>636</v>
      </c>
      <c r="AW416" s="2632"/>
      <c r="AX416" s="568"/>
      <c r="BH416" s="2837" t="s">
        <v>1646</v>
      </c>
      <c r="BI416" s="2614" t="s">
        <v>411</v>
      </c>
      <c r="BJ416" s="2615"/>
      <c r="BK416" s="2614" t="s">
        <v>257</v>
      </c>
      <c r="BL416" s="2615"/>
    </row>
    <row r="417" spans="2:66" ht="12.75" hidden="1" customHeight="1" outlineLevel="1">
      <c r="B417" s="2263"/>
      <c r="C417" s="2264"/>
      <c r="D417" s="2264" t="s">
        <v>444</v>
      </c>
      <c r="E417" s="2264"/>
      <c r="F417" s="2271" t="s">
        <v>445</v>
      </c>
      <c r="G417" s="153" t="s">
        <v>895</v>
      </c>
      <c r="H417" s="1662" t="s">
        <v>411</v>
      </c>
      <c r="I417" s="1662" t="s">
        <v>257</v>
      </c>
      <c r="J417" s="2266" t="s">
        <v>411</v>
      </c>
      <c r="K417" s="2266" t="s">
        <v>257</v>
      </c>
      <c r="L417" s="2280" t="s">
        <v>444</v>
      </c>
      <c r="X417" s="2263" t="s">
        <v>1649</v>
      </c>
      <c r="Y417" s="2646" t="s">
        <v>1650</v>
      </c>
      <c r="Z417" s="2647"/>
      <c r="AA417" s="1662" t="s">
        <v>411</v>
      </c>
      <c r="AB417" s="1662" t="s">
        <v>257</v>
      </c>
      <c r="AC417" s="166"/>
      <c r="AD417" s="162" t="s">
        <v>327</v>
      </c>
      <c r="AE417" s="153" t="s">
        <v>444</v>
      </c>
      <c r="AG417" s="2285" t="s">
        <v>411</v>
      </c>
      <c r="AH417" s="2286" t="s">
        <v>257</v>
      </c>
      <c r="AI417" s="2286"/>
      <c r="AJ417" s="2286" t="s">
        <v>411</v>
      </c>
      <c r="AK417" s="2286" t="s">
        <v>257</v>
      </c>
      <c r="AL417" s="2286"/>
      <c r="AM417" s="2286" t="s">
        <v>411</v>
      </c>
      <c r="AN417" s="2286" t="s">
        <v>257</v>
      </c>
      <c r="AO417" s="2286"/>
      <c r="AP417" s="2286" t="s">
        <v>411</v>
      </c>
      <c r="AQ417" s="2286" t="s">
        <v>257</v>
      </c>
      <c r="AR417" s="2286"/>
      <c r="AS417" s="1289" t="s">
        <v>411</v>
      </c>
      <c r="AT417" s="581" t="s">
        <v>257</v>
      </c>
      <c r="AU417" s="581"/>
      <c r="AV417" s="2285" t="s">
        <v>411</v>
      </c>
      <c r="AW417" s="2286" t="s">
        <v>257</v>
      </c>
      <c r="AX417" s="2287"/>
      <c r="BH417" s="2838"/>
      <c r="BI417" s="2612"/>
      <c r="BJ417" s="2613"/>
      <c r="BK417" s="2612"/>
      <c r="BL417" s="2613"/>
    </row>
    <row r="418" spans="2:66" hidden="1" outlineLevel="1">
      <c r="B418" s="143" t="s">
        <v>4060</v>
      </c>
      <c r="C418" s="144"/>
      <c r="D418" s="212">
        <f>J418+K418</f>
        <v>0</v>
      </c>
      <c r="E418" s="212"/>
      <c r="F418" s="409"/>
      <c r="G418" s="117"/>
      <c r="H418" s="1266">
        <f>VLOOKUP($B418&amp;"; "&amp;$H$312&amp;" "&amp;H$313,'FE Déplacements'!$G:$U,9,FALSE)</f>
        <v>4.36E-2</v>
      </c>
      <c r="I418" s="1266">
        <f>VLOOKUP($B418&amp;"; "&amp;$H$312&amp;" "&amp;I$313,'FE Déplacements'!$G:$U,9,FALSE)</f>
        <v>0.34</v>
      </c>
      <c r="J418" s="151">
        <f t="shared" ref="J418:K420" si="255">IF(ISNA($G418*H418),0,$G418*H418)</f>
        <v>0</v>
      </c>
      <c r="K418" s="151">
        <f t="shared" si="255"/>
        <v>0</v>
      </c>
      <c r="L418" s="165">
        <f>IF(OR(F418=Utilitaires!$I$572,F418=Utilitaires!$I$577),K418,0)</f>
        <v>0</v>
      </c>
      <c r="X418" s="1092">
        <f>IF(AD418=0,AD418,AD418/D418)</f>
        <v>0</v>
      </c>
      <c r="Y418" s="343"/>
      <c r="Z418" s="820"/>
      <c r="AA418" s="164">
        <f>IF(ISNA($G418*H418*BI418),0,$G418*H418*BI418)</f>
        <v>0</v>
      </c>
      <c r="AB418" s="164">
        <f>IF(ISNA($G418*I418*BK418),0,$G418*I418*BK418)</f>
        <v>0</v>
      </c>
      <c r="AC418" s="151"/>
      <c r="AD418" s="152">
        <f>SQRT(SUMSQ(AA418,AB418))</f>
        <v>0</v>
      </c>
      <c r="AE418" s="1286">
        <f>L418*X418</f>
        <v>0</v>
      </c>
      <c r="AG418" s="564">
        <f>$G418*IF(ISNA(VLOOKUP($B418&amp;"; "&amp;$H$312&amp;" "&amp;H$313,'FE Déplacements'!$G:$U,10,FALSE)),0,VLOOKUP($B418&amp;"; "&amp;$H$312&amp;" "&amp;H$313,'FE Déplacements'!$G:$U,10,FALSE))</f>
        <v>0</v>
      </c>
      <c r="AH418" s="565">
        <f>$G418*IF(ISNA(VLOOKUP($B418&amp;"; "&amp;$H$312&amp;" "&amp;I$313,'FE Déplacements'!$G:$U,10,FALSE)),0,VLOOKUP($B418&amp;"; "&amp;$H$312&amp;" "&amp;I$313,'FE Déplacements'!$G:$U,10,FALSE))</f>
        <v>0</v>
      </c>
      <c r="AI418" s="565"/>
      <c r="AJ418" s="565">
        <f>$G418*IF(ISNA((VLOOKUP($B418&amp;"; "&amp;$H$312&amp;" "&amp;H$313,'FE Déplacements'!$G:$U,11,FALSE)+VLOOKUP($B418&amp;"; "&amp;$H$312&amp;" "&amp;H$313,'FE Déplacements'!$G:$U,12,FALSE))),0,(VLOOKUP($B418&amp;"; "&amp;$H$312&amp;" "&amp;H$313,'FE Déplacements'!$G:$U,11,FALSE)+VLOOKUP($B418&amp;"; "&amp;$H$312&amp;" "&amp;H$313,'FE Déplacements'!$G:$U,12,FALSE)))</f>
        <v>0</v>
      </c>
      <c r="AK418" s="565">
        <f>$G418*IF(ISNA((VLOOKUP($B418&amp;"; "&amp;$H$312&amp;" "&amp;I$313,'FE Déplacements'!$G:$U,11,FALSE)+VLOOKUP($B418&amp;"; "&amp;$H$312&amp;" "&amp;I$313,'FE Déplacements'!$G:$U,12,FALSE))),0,(VLOOKUP($B418&amp;"; "&amp;$H$312&amp;" "&amp;I$313,'FE Déplacements'!$G:$U,11,FALSE)+VLOOKUP($B418&amp;"; "&amp;$H$312&amp;" "&amp;I$313,'FE Déplacements'!$G:$U,12,FALSE)))</f>
        <v>0</v>
      </c>
      <c r="AL418" s="565"/>
      <c r="AM418" s="565">
        <f>$G418*IF(ISNA(VLOOKUP($B418&amp;"; "&amp;$H$312&amp;" "&amp;H$313,'FE Déplacements'!$G:$U,13,FALSE)),0,VLOOKUP($B418&amp;"; "&amp;$H$312&amp;" "&amp;H$313,'FE Déplacements'!$G:$U,13,FALSE))</f>
        <v>0</v>
      </c>
      <c r="AN418" s="565">
        <f>$G418*IF(ISNA(VLOOKUP($B418&amp;"; "&amp;$H$312&amp;" "&amp;I$313,'FE Déplacements'!$G:$U,13,FALSE)),0,VLOOKUP($B418&amp;"; "&amp;$H$312&amp;" "&amp;I$313,'FE Déplacements'!$G:$U,13,FALSE))</f>
        <v>0</v>
      </c>
      <c r="AO418" s="565"/>
      <c r="AP418" s="565">
        <f>$G418*IF(ISNA(VLOOKUP($B418&amp;"; "&amp;$H$312&amp;" "&amp;H$313,'FE Déplacements'!$G:$U,14,FALSE)),0,VLOOKUP($B418&amp;"; "&amp;$H$312&amp;" "&amp;H$313,'FE Déplacements'!$G:$U,14,FALSE))</f>
        <v>0</v>
      </c>
      <c r="AQ418" s="565">
        <f>$G418*IF(ISNA(VLOOKUP($B418&amp;"; "&amp;$H$312&amp;" "&amp;I$313,'FE Déplacements'!$G:$U,14,FALSE)),0,VLOOKUP($B418&amp;"; "&amp;$H$312&amp;" "&amp;I$313,'FE Déplacements'!$G:$U,14,FALSE))</f>
        <v>0</v>
      </c>
      <c r="AR418" s="565"/>
      <c r="AS418" s="1288">
        <f t="shared" ref="AS418:AT420" si="256">SUM(AG418,AJ418,AM418,AP418)</f>
        <v>0</v>
      </c>
      <c r="AT418" s="566">
        <f t="shared" si="256"/>
        <v>0</v>
      </c>
      <c r="AU418" s="566"/>
      <c r="AV418" s="564">
        <f>$G418*IF(ISNA(VLOOKUP($B418&amp;"; "&amp;$H$312&amp;" "&amp;H$313,'FE Déplacements'!$G:$U,15,FALSE)),0,VLOOKUP($B418&amp;"; "&amp;$H$312&amp;" "&amp;H$313,'FE Déplacements'!$G:$U,15,FALSE))</f>
        <v>0</v>
      </c>
      <c r="AW418" s="565">
        <f>$G418*IF(ISNA(VLOOKUP($B418&amp;"; "&amp;$H$312&amp;" "&amp;I$313,'FE Déplacements'!$G:$U,15,FALSE)),0,VLOOKUP($B418&amp;"; "&amp;$H$312&amp;" "&amp;I$313,'FE Déplacements'!$G:$U,15,FALSE))</f>
        <v>0</v>
      </c>
      <c r="AX418" s="568"/>
      <c r="BH418" s="2268">
        <f>IF($Y418&lt;&gt;"votre valeur :",IF(ISNA(VLOOKUP($Y418,Utilitaires!$N$566:$O$571,2,FALSE)),,VLOOKUP($Y418,Utilitaires!$N$566:$O$571,2,FALSE)),$Z418)</f>
        <v>0</v>
      </c>
      <c r="BI418" s="2277">
        <f>IF(ISNA(SQRT(SUMSQ(VLOOKUP($B418&amp;"; "&amp;$H$312&amp;" "&amp;$H$313,'FE Déplacements'!$G:$U,7,FALSE),$BH418))),0,SQRT(SUMSQ(VLOOKUP($B418&amp;"; "&amp;$H$312&amp;" "&amp;$H$313,'FE Déplacements'!$G:$U,7,FALSE),$BH418)))</f>
        <v>0.2</v>
      </c>
      <c r="BJ418" s="1068"/>
      <c r="BK418" s="2277">
        <f>IF(ISNA(SQRT(SUMSQ(VLOOKUP($B418&amp;"; "&amp;$H$312&amp;" "&amp;$I$313,'FE Déplacements'!$G:$U,7,FALSE),$BH418))),0,SQRT(SUMSQ(VLOOKUP($B418&amp;"; "&amp;$H$312&amp;" "&amp;$I$313,'FE Déplacements'!$G:$U,7,FALSE),$BH418)))</f>
        <v>0.2</v>
      </c>
      <c r="BL418" s="2278"/>
    </row>
    <row r="419" spans="2:66" hidden="1" outlineLevel="1">
      <c r="B419" s="143" t="s">
        <v>4061</v>
      </c>
      <c r="C419" s="144"/>
      <c r="D419" s="212">
        <f>J419+K419</f>
        <v>0</v>
      </c>
      <c r="E419" s="212"/>
      <c r="F419" s="346"/>
      <c r="G419" s="120"/>
      <c r="H419" s="1266">
        <f>VLOOKUP($B419&amp;"; "&amp;$H$312&amp;" "&amp;H$313,'FE Déplacements'!$G:$U,9,FALSE)</f>
        <v>3.5299999999999998E-2</v>
      </c>
      <c r="I419" s="1266">
        <f>VLOOKUP($B419&amp;"; "&amp;$H$312&amp;" "&amp;I$313,'FE Déplacements'!$G:$U,9,FALSE)</f>
        <v>0.27500000000000002</v>
      </c>
      <c r="J419" s="151">
        <f t="shared" si="255"/>
        <v>0</v>
      </c>
      <c r="K419" s="151">
        <f t="shared" si="255"/>
        <v>0</v>
      </c>
      <c r="L419" s="165">
        <f>IF(OR(F419=Utilitaires!$I$572,F419=Utilitaires!$I$577),K419,0)</f>
        <v>0</v>
      </c>
      <c r="X419" s="1092">
        <f>IF(AD419=0,AD419,AD419/D419)</f>
        <v>0</v>
      </c>
      <c r="Y419" s="343"/>
      <c r="Z419" s="820"/>
      <c r="AA419" s="164">
        <f>IF(ISNA($G419*H419*BI419),0,$G419*H419*BI419)</f>
        <v>0</v>
      </c>
      <c r="AB419" s="164">
        <f>IF(ISNA($G419*I419*BK419),0,$G419*I419*BK419)</f>
        <v>0</v>
      </c>
      <c r="AC419" s="151"/>
      <c r="AD419" s="152">
        <f>SQRT(SUMSQ(AA419,AB419))</f>
        <v>0</v>
      </c>
      <c r="AE419" s="1286">
        <f>L419*X419</f>
        <v>0</v>
      </c>
      <c r="AG419" s="564">
        <f>$G419*IF(ISNA(VLOOKUP($B419&amp;"; "&amp;$H$312&amp;" "&amp;H$313,'FE Déplacements'!$G:$U,10,FALSE)),0,VLOOKUP($B419&amp;"; "&amp;$H$312&amp;" "&amp;H$313,'FE Déplacements'!$G:$U,10,FALSE))</f>
        <v>0</v>
      </c>
      <c r="AH419" s="565">
        <f>$G419*IF(ISNA(VLOOKUP($B419&amp;"; "&amp;$H$312&amp;" "&amp;I$313,'FE Déplacements'!$G:$U,10,FALSE)),0,VLOOKUP($B419&amp;"; "&amp;$H$312&amp;" "&amp;I$313,'FE Déplacements'!$G:$U,10,FALSE))</f>
        <v>0</v>
      </c>
      <c r="AI419" s="565"/>
      <c r="AJ419" s="565">
        <f>$G419*IF(ISNA((VLOOKUP($B419&amp;"; "&amp;$H$312&amp;" "&amp;H$313,'FE Déplacements'!$G:$U,11,FALSE)+VLOOKUP($B419&amp;"; "&amp;$H$312&amp;" "&amp;H$313,'FE Déplacements'!$G:$U,12,FALSE))),0,(VLOOKUP($B419&amp;"; "&amp;$H$312&amp;" "&amp;H$313,'FE Déplacements'!$G:$U,11,FALSE)+VLOOKUP($B419&amp;"; "&amp;$H$312&amp;" "&amp;H$313,'FE Déplacements'!$G:$U,12,FALSE)))</f>
        <v>0</v>
      </c>
      <c r="AK419" s="565">
        <f>$G419*IF(ISNA((VLOOKUP($B419&amp;"; "&amp;$H$312&amp;" "&amp;I$313,'FE Déplacements'!$G:$U,11,FALSE)+VLOOKUP($B419&amp;"; "&amp;$H$312&amp;" "&amp;I$313,'FE Déplacements'!$G:$U,12,FALSE))),0,(VLOOKUP($B419&amp;"; "&amp;$H$312&amp;" "&amp;I$313,'FE Déplacements'!$G:$U,11,FALSE)+VLOOKUP($B419&amp;"; "&amp;$H$312&amp;" "&amp;I$313,'FE Déplacements'!$G:$U,12,FALSE)))</f>
        <v>0</v>
      </c>
      <c r="AL419" s="565"/>
      <c r="AM419" s="565">
        <f>$G419*IF(ISNA(VLOOKUP($B419&amp;"; "&amp;$H$312&amp;" "&amp;H$313,'FE Déplacements'!$G:$U,13,FALSE)),0,VLOOKUP($B419&amp;"; "&amp;$H$312&amp;" "&amp;H$313,'FE Déplacements'!$G:$U,13,FALSE))</f>
        <v>0</v>
      </c>
      <c r="AN419" s="565">
        <f>$G419*IF(ISNA(VLOOKUP($B419&amp;"; "&amp;$H$312&amp;" "&amp;I$313,'FE Déplacements'!$G:$U,13,FALSE)),0,VLOOKUP($B419&amp;"; "&amp;$H$312&amp;" "&amp;I$313,'FE Déplacements'!$G:$U,13,FALSE))</f>
        <v>0</v>
      </c>
      <c r="AO419" s="565"/>
      <c r="AP419" s="565">
        <f>$G419*IF(ISNA(VLOOKUP($B419&amp;"; "&amp;$H$312&amp;" "&amp;H$313,'FE Déplacements'!$G:$U,14,FALSE)),0,VLOOKUP($B419&amp;"; "&amp;$H$312&amp;" "&amp;H$313,'FE Déplacements'!$G:$U,14,FALSE))</f>
        <v>0</v>
      </c>
      <c r="AQ419" s="565">
        <f>$G419*IF(ISNA(VLOOKUP($B419&amp;"; "&amp;$H$312&amp;" "&amp;I$313,'FE Déplacements'!$G:$U,14,FALSE)),0,VLOOKUP($B419&amp;"; "&amp;$H$312&amp;" "&amp;I$313,'FE Déplacements'!$G:$U,14,FALSE))</f>
        <v>0</v>
      </c>
      <c r="AR419" s="565"/>
      <c r="AS419" s="1288">
        <f t="shared" si="256"/>
        <v>0</v>
      </c>
      <c r="AT419" s="566">
        <f t="shared" si="256"/>
        <v>0</v>
      </c>
      <c r="AU419" s="566"/>
      <c r="AV419" s="564">
        <f>$G419*IF(ISNA(VLOOKUP($B419&amp;"; "&amp;$H$312&amp;" "&amp;H$313,'FE Déplacements'!$G:$U,15,FALSE)),0,VLOOKUP($B419&amp;"; "&amp;$H$312&amp;" "&amp;H$313,'FE Déplacements'!$G:$U,15,FALSE))</f>
        <v>0</v>
      </c>
      <c r="AW419" s="565">
        <f>$G419*IF(ISNA(VLOOKUP($B419&amp;"; "&amp;$H$312&amp;" "&amp;I$313,'FE Déplacements'!$G:$U,15,FALSE)),0,VLOOKUP($B419&amp;"; "&amp;$H$312&amp;" "&amp;I$313,'FE Déplacements'!$G:$U,15,FALSE))</f>
        <v>0</v>
      </c>
      <c r="AX419" s="568"/>
      <c r="BH419" s="2268">
        <f>IF($Y419&lt;&gt;"votre valeur :",IF(ISNA(VLOOKUP($Y419,Utilitaires!$N$566:$O$571,2,FALSE)),,VLOOKUP($Y419,Utilitaires!$N$566:$O$571,2,FALSE)),$Z419)</f>
        <v>0</v>
      </c>
      <c r="BI419" s="2277">
        <f>IF(ISNA(SQRT(SUMSQ(VLOOKUP($B419&amp;"; "&amp;$H$312&amp;" "&amp;$H$313,'FE Déplacements'!$G:$U,7,FALSE),$BH419))),0,SQRT(SUMSQ(VLOOKUP($B419&amp;"; "&amp;$H$312&amp;" "&amp;$H$313,'FE Déplacements'!$G:$U,7,FALSE),$BH419)))</f>
        <v>0.2</v>
      </c>
      <c r="BJ419" s="1068"/>
      <c r="BK419" s="2277">
        <f>IF(ISNA(SQRT(SUMSQ(VLOOKUP($B419&amp;"; "&amp;$H$312&amp;" "&amp;$I$313,'FE Déplacements'!$G:$U,7,FALSE),$BH419))),0,SQRT(SUMSQ(VLOOKUP($B419&amp;"; "&amp;$H$312&amp;" "&amp;$I$313,'FE Déplacements'!$G:$U,7,FALSE),$BH419)))</f>
        <v>0.2</v>
      </c>
      <c r="BL419" s="2278"/>
    </row>
    <row r="420" spans="2:66" hidden="1" outlineLevel="1">
      <c r="B420" s="143" t="s">
        <v>4062</v>
      </c>
      <c r="C420" s="144"/>
      <c r="D420" s="212">
        <f>J420+K420</f>
        <v>0</v>
      </c>
      <c r="E420" s="212"/>
      <c r="F420" s="347"/>
      <c r="G420" s="123"/>
      <c r="H420" s="1266">
        <f>VLOOKUP($B420&amp;"; "&amp;$H$312&amp;" "&amp;H$313,'FE Déplacements'!$G:$U,9,FALSE)</f>
        <v>3.1399999999999997E-2</v>
      </c>
      <c r="I420" s="1266">
        <f>VLOOKUP($B420&amp;"; "&amp;$H$312&amp;" "&amp;I$313,'FE Déplacements'!$G:$U,9,FALSE)</f>
        <v>0.19800000000000001</v>
      </c>
      <c r="J420" s="151">
        <f t="shared" si="255"/>
        <v>0</v>
      </c>
      <c r="K420" s="151">
        <f t="shared" si="255"/>
        <v>0</v>
      </c>
      <c r="L420" s="165">
        <f>IF(OR(F420=Utilitaires!$I$572,F420=Utilitaires!$I$577),K420,0)</f>
        <v>0</v>
      </c>
      <c r="X420" s="1092">
        <f>IF(AD420=0,AD420,AD420/D420)</f>
        <v>0</v>
      </c>
      <c r="Y420" s="1094"/>
      <c r="Z420" s="820"/>
      <c r="AA420" s="164">
        <f>IF(ISNA($G420*H420*BI420),0,$G420*H420*BI420)</f>
        <v>0</v>
      </c>
      <c r="AB420" s="164">
        <f>IF(ISNA($G420*I420*BK420),0,$G420*I420*BK420)</f>
        <v>0</v>
      </c>
      <c r="AC420" s="151"/>
      <c r="AD420" s="152">
        <f>SQRT(SUMSQ(AA420,AB420))</f>
        <v>0</v>
      </c>
      <c r="AE420" s="1286">
        <f>L420*X420</f>
        <v>0</v>
      </c>
      <c r="AG420" s="564">
        <f>$G420*IF(ISNA(VLOOKUP($B420&amp;"; "&amp;$H$312&amp;" "&amp;H$313,'FE Déplacements'!$G:$U,10,FALSE)),0,VLOOKUP($B420&amp;"; "&amp;$H$312&amp;" "&amp;H$313,'FE Déplacements'!$G:$U,10,FALSE))</f>
        <v>0</v>
      </c>
      <c r="AH420" s="565">
        <f>$G420*IF(ISNA(VLOOKUP($B420&amp;"; "&amp;$H$312&amp;" "&amp;I$313,'FE Déplacements'!$G:$U,10,FALSE)),0,VLOOKUP($B420&amp;"; "&amp;$H$312&amp;" "&amp;I$313,'FE Déplacements'!$G:$U,10,FALSE))</f>
        <v>0</v>
      </c>
      <c r="AI420" s="565"/>
      <c r="AJ420" s="565">
        <f>$G420*IF(ISNA((VLOOKUP($B420&amp;"; "&amp;$H$312&amp;" "&amp;H$313,'FE Déplacements'!$G:$U,11,FALSE)+VLOOKUP($B420&amp;"; "&amp;$H$312&amp;" "&amp;H$313,'FE Déplacements'!$G:$U,12,FALSE))),0,(VLOOKUP($B420&amp;"; "&amp;$H$312&amp;" "&amp;H$313,'FE Déplacements'!$G:$U,11,FALSE)+VLOOKUP($B420&amp;"; "&amp;$H$312&amp;" "&amp;H$313,'FE Déplacements'!$G:$U,12,FALSE)))</f>
        <v>0</v>
      </c>
      <c r="AK420" s="565">
        <f>$G420*IF(ISNA((VLOOKUP($B420&amp;"; "&amp;$H$312&amp;" "&amp;I$313,'FE Déplacements'!$G:$U,11,FALSE)+VLOOKUP($B420&amp;"; "&amp;$H$312&amp;" "&amp;I$313,'FE Déplacements'!$G:$U,12,FALSE))),0,(VLOOKUP($B420&amp;"; "&amp;$H$312&amp;" "&amp;I$313,'FE Déplacements'!$G:$U,11,FALSE)+VLOOKUP($B420&amp;"; "&amp;$H$312&amp;" "&amp;I$313,'FE Déplacements'!$G:$U,12,FALSE)))</f>
        <v>0</v>
      </c>
      <c r="AL420" s="565"/>
      <c r="AM420" s="565">
        <f>$G420*IF(ISNA(VLOOKUP($B420&amp;"; "&amp;$H$312&amp;" "&amp;H$313,'FE Déplacements'!$G:$U,13,FALSE)),0,VLOOKUP($B420&amp;"; "&amp;$H$312&amp;" "&amp;H$313,'FE Déplacements'!$G:$U,13,FALSE))</f>
        <v>0</v>
      </c>
      <c r="AN420" s="565">
        <f>$G420*IF(ISNA(VLOOKUP($B420&amp;"; "&amp;$H$312&amp;" "&amp;I$313,'FE Déplacements'!$G:$U,13,FALSE)),0,VLOOKUP($B420&amp;"; "&amp;$H$312&amp;" "&amp;I$313,'FE Déplacements'!$G:$U,13,FALSE))</f>
        <v>0</v>
      </c>
      <c r="AO420" s="565"/>
      <c r="AP420" s="565">
        <f>$G420*IF(ISNA(VLOOKUP($B420&amp;"; "&amp;$H$312&amp;" "&amp;H$313,'FE Déplacements'!$G:$U,14,FALSE)),0,VLOOKUP($B420&amp;"; "&amp;$H$312&amp;" "&amp;H$313,'FE Déplacements'!$G:$U,14,FALSE))</f>
        <v>0</v>
      </c>
      <c r="AQ420" s="565">
        <f>$G420*IF(ISNA(VLOOKUP($B420&amp;"; "&amp;$H$312&amp;" "&amp;I$313,'FE Déplacements'!$G:$U,14,FALSE)),0,VLOOKUP($B420&amp;"; "&amp;$H$312&amp;" "&amp;I$313,'FE Déplacements'!$G:$U,14,FALSE))</f>
        <v>0</v>
      </c>
      <c r="AR420" s="565"/>
      <c r="AS420" s="1288">
        <f t="shared" si="256"/>
        <v>0</v>
      </c>
      <c r="AT420" s="566">
        <f t="shared" si="256"/>
        <v>0</v>
      </c>
      <c r="AU420" s="566"/>
      <c r="AV420" s="564">
        <f>$G420*IF(ISNA(VLOOKUP($B420&amp;"; "&amp;$H$312&amp;" "&amp;H$313,'FE Déplacements'!$G:$U,15,FALSE)),0,VLOOKUP($B420&amp;"; "&amp;$H$312&amp;" "&amp;H$313,'FE Déplacements'!$G:$U,15,FALSE))</f>
        <v>0</v>
      </c>
      <c r="AW420" s="565">
        <f>$G420*IF(ISNA(VLOOKUP($B420&amp;"; "&amp;$H$312&amp;" "&amp;I$313,'FE Déplacements'!$G:$U,15,FALSE)),0,VLOOKUP($B420&amp;"; "&amp;$H$312&amp;" "&amp;I$313,'FE Déplacements'!$G:$U,15,FALSE))</f>
        <v>0</v>
      </c>
      <c r="AX420" s="568"/>
      <c r="BH420" s="2268">
        <f>IF($Y420&lt;&gt;"votre valeur :",IF(ISNA(VLOOKUP($Y420,Utilitaires!$N$566:$O$571,2,FALSE)),,VLOOKUP($Y420,Utilitaires!$N$566:$O$571,2,FALSE)),$Z420)</f>
        <v>0</v>
      </c>
      <c r="BI420" s="2277">
        <f>IF(ISNA(SQRT(SUMSQ(VLOOKUP($B420&amp;"; "&amp;$H$312&amp;" "&amp;$H$313,'FE Déplacements'!$G:$U,7,FALSE),$BH420))),0,SQRT(SUMSQ(VLOOKUP($B420&amp;"; "&amp;$H$312&amp;" "&amp;$H$313,'FE Déplacements'!$G:$U,7,FALSE),$BH420)))</f>
        <v>0.5</v>
      </c>
      <c r="BJ420" s="1068"/>
      <c r="BK420" s="2277">
        <f>IF(ISNA(SQRT(SUMSQ(VLOOKUP($B420&amp;"; "&amp;$H$312&amp;" "&amp;$I$313,'FE Déplacements'!$G:$U,7,FALSE),$BH420))),0,SQRT(SUMSQ(VLOOKUP($B420&amp;"; "&amp;$H$312&amp;" "&amp;$I$313,'FE Déplacements'!$G:$U,7,FALSE),$BH420)))</f>
        <v>0.5</v>
      </c>
      <c r="BL420" s="2278"/>
    </row>
    <row r="421" spans="2:66" ht="15" hidden="1" outlineLevel="1">
      <c r="B421" s="154"/>
      <c r="C421" s="155"/>
      <c r="D421" s="221"/>
      <c r="E421" s="221"/>
      <c r="F421" s="155"/>
      <c r="G421" s="155"/>
      <c r="H421" s="155"/>
      <c r="I421" s="155"/>
      <c r="J421" s="215"/>
      <c r="K421" s="215"/>
      <c r="L421" s="367"/>
      <c r="X421" s="564"/>
      <c r="Y421" s="565"/>
      <c r="Z421" s="820"/>
      <c r="AA421" s="144"/>
      <c r="AB421" s="144"/>
      <c r="AC421" s="151"/>
      <c r="AD421" s="152"/>
      <c r="AE421" s="1776"/>
      <c r="AG421" s="564"/>
      <c r="AH421" s="565"/>
      <c r="AI421" s="565"/>
      <c r="AJ421" s="565"/>
      <c r="AK421" s="565"/>
      <c r="AL421" s="565"/>
      <c r="AM421" s="565"/>
      <c r="AN421" s="565"/>
      <c r="AO421" s="565"/>
      <c r="AP421" s="565"/>
      <c r="AQ421" s="565"/>
      <c r="AR421" s="565"/>
      <c r="AS421" s="1288"/>
      <c r="AT421" s="566"/>
      <c r="AU421" s="566"/>
      <c r="AV421" s="564"/>
      <c r="AW421" s="565"/>
      <c r="AX421" s="568"/>
      <c r="BE421" s="130"/>
      <c r="BF421" s="130"/>
      <c r="BG421" s="130"/>
      <c r="BH421" s="2269"/>
      <c r="BI421" s="1075"/>
      <c r="BJ421" s="1076"/>
      <c r="BK421" s="1075"/>
      <c r="BL421" s="1077"/>
    </row>
    <row r="422" spans="2:66" hidden="1" outlineLevel="1">
      <c r="B422" s="1264" t="s">
        <v>348</v>
      </c>
      <c r="C422" s="197"/>
      <c r="D422" s="214">
        <f>SUM(D418:D421)</f>
        <v>0</v>
      </c>
      <c r="E422" s="214"/>
      <c r="F422" s="198"/>
      <c r="G422" s="197"/>
      <c r="H422" s="197"/>
      <c r="I422" s="197"/>
      <c r="J422" s="202">
        <f>SUM(J418:J421)</f>
        <v>0</v>
      </c>
      <c r="K422" s="202">
        <f>SUM(K418:K421)</f>
        <v>0</v>
      </c>
      <c r="L422" s="340">
        <f>SUM(L418:L421)</f>
        <v>0</v>
      </c>
      <c r="X422" s="1204">
        <f>IF(AD422=0,AD422,AD422/D422)</f>
        <v>0</v>
      </c>
      <c r="Y422" s="203"/>
      <c r="Z422" s="203"/>
      <c r="AA422" s="203">
        <f>SQRT(SUMSQ(AA417:AA421))</f>
        <v>0</v>
      </c>
      <c r="AB422" s="203">
        <f>SQRT(SUMSQ(AB417:AB421))</f>
        <v>0</v>
      </c>
      <c r="AC422" s="202"/>
      <c r="AD422" s="200">
        <f>SQRT(SUMSQ(AD417:AD421))</f>
        <v>0</v>
      </c>
      <c r="AE422" s="340">
        <f>SQRT(SUMSQ(AE418:AE421))</f>
        <v>0</v>
      </c>
      <c r="AG422" s="1082">
        <f>SUM(AG418:AG421)</f>
        <v>0</v>
      </c>
      <c r="AH422" s="572">
        <f>SUM(AH418:AH421)</f>
        <v>0</v>
      </c>
      <c r="AI422" s="572"/>
      <c r="AJ422" s="572">
        <f>SUM(AJ418:AJ421)</f>
        <v>0</v>
      </c>
      <c r="AK422" s="572">
        <f>SUM(AK418:AK421)</f>
        <v>0</v>
      </c>
      <c r="AL422" s="572"/>
      <c r="AM422" s="572">
        <f>SUM(AM418:AM421)</f>
        <v>0</v>
      </c>
      <c r="AN422" s="572">
        <f>SUM(AN418:AN421)</f>
        <v>0</v>
      </c>
      <c r="AO422" s="572"/>
      <c r="AP422" s="572">
        <f>SUM(AP418:AP421)</f>
        <v>0</v>
      </c>
      <c r="AQ422" s="572">
        <f>SUM(AQ418:AQ421)</f>
        <v>0</v>
      </c>
      <c r="AR422" s="572"/>
      <c r="AS422" s="1290">
        <f>SUM(AS418:AS421)</f>
        <v>0</v>
      </c>
      <c r="AT422" s="573">
        <f>SUM(AT418:AT421)</f>
        <v>0</v>
      </c>
      <c r="AU422" s="573"/>
      <c r="AV422" s="1082">
        <f>SUM(AV418:AV421)</f>
        <v>0</v>
      </c>
      <c r="AW422" s="572">
        <f>SUM(AW418:AW421)</f>
        <v>0</v>
      </c>
      <c r="AX422" s="575"/>
    </row>
    <row r="423" spans="2:66" ht="15" hidden="1" outlineLevel="1">
      <c r="AG423" s="593"/>
      <c r="AH423" s="593"/>
      <c r="AI423" s="593"/>
      <c r="AJ423" s="593"/>
      <c r="AK423" s="593"/>
    </row>
    <row r="424" spans="2:66" ht="12.75" hidden="1" customHeight="1" outlineLevel="1">
      <c r="B424" s="2849" t="s">
        <v>4067</v>
      </c>
      <c r="C424" s="2850"/>
      <c r="D424" s="2850"/>
      <c r="E424" s="2850"/>
      <c r="F424" s="2850"/>
      <c r="G424" s="2850"/>
      <c r="H424" s="2850"/>
      <c r="I424" s="2850"/>
      <c r="J424" s="2850"/>
      <c r="K424" s="2850"/>
      <c r="L424" s="2850"/>
      <c r="M424" s="2850"/>
      <c r="N424" s="2850"/>
      <c r="O424" s="2850"/>
      <c r="P424" s="2850"/>
      <c r="Q424" s="2859"/>
      <c r="X424" s="2636" t="s">
        <v>366</v>
      </c>
      <c r="Y424" s="2637"/>
      <c r="Z424" s="2637"/>
      <c r="AA424" s="2637"/>
      <c r="AB424" s="2637"/>
      <c r="AC424" s="2637"/>
      <c r="AD424" s="2638"/>
      <c r="AE424" s="1773"/>
      <c r="AG424" s="2639" t="s">
        <v>441</v>
      </c>
      <c r="AH424" s="2640"/>
      <c r="AI424" s="2640"/>
      <c r="AJ424" s="2640"/>
      <c r="AK424" s="2640"/>
      <c r="AL424" s="2640"/>
      <c r="AM424" s="2640"/>
      <c r="AN424" s="2640"/>
      <c r="AO424" s="2640"/>
      <c r="AP424" s="2640"/>
      <c r="AQ424" s="2640"/>
      <c r="AR424" s="2640"/>
      <c r="AS424" s="2640"/>
      <c r="AT424" s="2640"/>
      <c r="AU424" s="2640"/>
      <c r="AV424" s="2640"/>
      <c r="AW424" s="2640"/>
      <c r="AX424" s="2641"/>
    </row>
    <row r="425" spans="2:66" ht="12.75" hidden="1" customHeight="1" outlineLevel="1">
      <c r="B425" s="332"/>
      <c r="C425" s="167"/>
      <c r="D425" s="2272" t="s">
        <v>308</v>
      </c>
      <c r="E425" s="2272"/>
      <c r="F425" s="155"/>
      <c r="G425" s="155"/>
      <c r="H425" s="144"/>
      <c r="I425" s="144"/>
      <c r="J425" s="144"/>
      <c r="K425" s="144"/>
      <c r="L425" s="144"/>
      <c r="M425" s="144"/>
      <c r="N425" s="144"/>
      <c r="O425" s="144"/>
      <c r="P425" s="144" t="s">
        <v>233</v>
      </c>
      <c r="Q425" s="145"/>
      <c r="X425" s="1170"/>
      <c r="Y425" s="2267"/>
      <c r="Z425" s="2267"/>
      <c r="AA425" s="2267"/>
      <c r="AB425" s="2267"/>
      <c r="AC425" s="2267"/>
      <c r="AD425" s="142"/>
      <c r="AE425" s="256"/>
      <c r="AG425" s="2642" t="s">
        <v>444</v>
      </c>
      <c r="AH425" s="2643"/>
      <c r="AI425" s="2643"/>
      <c r="AJ425" s="2643"/>
      <c r="AK425" s="2643"/>
      <c r="AL425" s="2643"/>
      <c r="AM425" s="2643"/>
      <c r="AN425" s="2643"/>
      <c r="AO425" s="2643"/>
      <c r="AP425" s="2643"/>
      <c r="AQ425" s="2643"/>
      <c r="AR425" s="2644"/>
      <c r="AS425" s="2642" t="s">
        <v>444</v>
      </c>
      <c r="AT425" s="2643"/>
      <c r="AU425" s="2644"/>
      <c r="AV425" s="1288"/>
      <c r="AW425" s="566"/>
      <c r="AX425" s="2287"/>
      <c r="BH425" s="2616" t="s">
        <v>1648</v>
      </c>
      <c r="BI425" s="2617"/>
      <c r="BJ425" s="2617"/>
      <c r="BK425" s="2617"/>
      <c r="BL425" s="2617"/>
      <c r="BM425" s="2617"/>
      <c r="BN425" s="2618"/>
    </row>
    <row r="426" spans="2:66" ht="12.75" hidden="1" customHeight="1" outlineLevel="1">
      <c r="B426" s="2263"/>
      <c r="C426" s="2264"/>
      <c r="D426" s="2264" t="s">
        <v>409</v>
      </c>
      <c r="E426" s="2264"/>
      <c r="F426" s="2270" t="s">
        <v>452</v>
      </c>
      <c r="G426" s="2270"/>
      <c r="H426" s="2626" t="s">
        <v>2224</v>
      </c>
      <c r="I426" s="2628"/>
      <c r="J426" s="2627"/>
      <c r="K426" s="2422"/>
      <c r="L426" s="2628" t="s">
        <v>2222</v>
      </c>
      <c r="M426" s="2628"/>
      <c r="N426" s="2628"/>
      <c r="O426" s="2768" t="s">
        <v>444</v>
      </c>
      <c r="P426" s="2768"/>
      <c r="Q426" s="2841"/>
      <c r="X426" s="2263" t="s">
        <v>316</v>
      </c>
      <c r="Y426" s="2629" t="s">
        <v>316</v>
      </c>
      <c r="Z426" s="2630"/>
      <c r="AA426" s="2626" t="s">
        <v>444</v>
      </c>
      <c r="AB426" s="2628"/>
      <c r="AC426" s="2628"/>
      <c r="AD426" s="2281" t="s">
        <v>444</v>
      </c>
      <c r="AE426" s="1773"/>
      <c r="AG426" s="2631" t="s">
        <v>211</v>
      </c>
      <c r="AH426" s="2632"/>
      <c r="AI426" s="2632"/>
      <c r="AJ426" s="2632" t="s">
        <v>442</v>
      </c>
      <c r="AK426" s="2632"/>
      <c r="AL426" s="2632"/>
      <c r="AM426" s="2632" t="s">
        <v>267</v>
      </c>
      <c r="AN426" s="2632"/>
      <c r="AO426" s="2632"/>
      <c r="AP426" s="2632" t="s">
        <v>443</v>
      </c>
      <c r="AQ426" s="2632"/>
      <c r="AR426" s="2650"/>
      <c r="AS426" s="2848" t="s">
        <v>327</v>
      </c>
      <c r="AT426" s="2648"/>
      <c r="AU426" s="2649"/>
      <c r="AV426" s="2631" t="s">
        <v>636</v>
      </c>
      <c r="AW426" s="2632"/>
      <c r="AX426" s="568"/>
      <c r="BH426" s="2837" t="s">
        <v>1646</v>
      </c>
      <c r="BI426" s="2833" t="s">
        <v>895</v>
      </c>
      <c r="BJ426" s="2834"/>
      <c r="BK426" s="2835"/>
      <c r="BL426" s="2833" t="s">
        <v>38</v>
      </c>
      <c r="BM426" s="2834"/>
      <c r="BN426" s="2835"/>
    </row>
    <row r="427" spans="2:66" ht="12.75" hidden="1" customHeight="1" outlineLevel="1">
      <c r="B427" s="2263"/>
      <c r="C427" s="2264"/>
      <c r="D427" s="2264" t="s">
        <v>444</v>
      </c>
      <c r="E427" s="2264"/>
      <c r="F427" s="2271" t="s">
        <v>445</v>
      </c>
      <c r="G427" s="153" t="s">
        <v>895</v>
      </c>
      <c r="H427" s="1662" t="s">
        <v>422</v>
      </c>
      <c r="I427" s="1662" t="s">
        <v>411</v>
      </c>
      <c r="J427" s="1662" t="s">
        <v>257</v>
      </c>
      <c r="K427" s="153" t="s">
        <v>38</v>
      </c>
      <c r="L427" s="1662" t="s">
        <v>422</v>
      </c>
      <c r="M427" s="1662" t="s">
        <v>411</v>
      </c>
      <c r="N427" s="1662" t="s">
        <v>257</v>
      </c>
      <c r="O427" s="2420" t="s">
        <v>422</v>
      </c>
      <c r="P427" s="2266" t="s">
        <v>411</v>
      </c>
      <c r="Q427" s="582" t="s">
        <v>257</v>
      </c>
      <c r="X427" s="2263" t="s">
        <v>1649</v>
      </c>
      <c r="Y427" s="2646" t="s">
        <v>1650</v>
      </c>
      <c r="Z427" s="2647"/>
      <c r="AA427" s="1662" t="s">
        <v>411</v>
      </c>
      <c r="AB427" s="2286" t="s">
        <v>257</v>
      </c>
      <c r="AC427" s="2286" t="s">
        <v>422</v>
      </c>
      <c r="AD427" s="2281" t="s">
        <v>327</v>
      </c>
      <c r="AE427" s="1773"/>
      <c r="AG427" s="2285" t="s">
        <v>411</v>
      </c>
      <c r="AH427" s="2286" t="s">
        <v>257</v>
      </c>
      <c r="AI427" s="2286" t="s">
        <v>422</v>
      </c>
      <c r="AJ427" s="2286" t="s">
        <v>411</v>
      </c>
      <c r="AK427" s="2286" t="s">
        <v>257</v>
      </c>
      <c r="AL427" s="2286" t="s">
        <v>422</v>
      </c>
      <c r="AM427" s="2286" t="s">
        <v>411</v>
      </c>
      <c r="AN427" s="2286" t="s">
        <v>257</v>
      </c>
      <c r="AO427" s="2286" t="s">
        <v>422</v>
      </c>
      <c r="AP427" s="2286" t="s">
        <v>411</v>
      </c>
      <c r="AQ427" s="2286" t="s">
        <v>257</v>
      </c>
      <c r="AR427" s="2286" t="s">
        <v>422</v>
      </c>
      <c r="AS427" s="1289" t="s">
        <v>411</v>
      </c>
      <c r="AT427" s="581" t="s">
        <v>257</v>
      </c>
      <c r="AU427" s="581" t="s">
        <v>422</v>
      </c>
      <c r="AV427" s="2285" t="s">
        <v>411</v>
      </c>
      <c r="AW427" s="2286" t="s">
        <v>257</v>
      </c>
      <c r="AX427" s="2287" t="s">
        <v>422</v>
      </c>
      <c r="BH427" s="2838"/>
      <c r="BI427" s="2275" t="s">
        <v>422</v>
      </c>
      <c r="BJ427" s="2275" t="s">
        <v>411</v>
      </c>
      <c r="BK427" s="2425" t="s">
        <v>257</v>
      </c>
      <c r="BL427" s="2425" t="s">
        <v>422</v>
      </c>
      <c r="BM427" s="2275" t="s">
        <v>411</v>
      </c>
      <c r="BN427" s="2275" t="s">
        <v>257</v>
      </c>
    </row>
    <row r="428" spans="2:66" hidden="1" outlineLevel="1">
      <c r="B428" s="405" t="s">
        <v>4056</v>
      </c>
      <c r="C428" s="406"/>
      <c r="D428" s="212">
        <f>SUM(O428:Q428)</f>
        <v>0</v>
      </c>
      <c r="E428" s="212"/>
      <c r="F428" s="117"/>
      <c r="G428" s="117"/>
      <c r="H428" s="1266">
        <f>VLOOKUP($B428&amp;"; "&amp;$H$426&amp;" "&amp;H$427,'FE Déplacements'!$G:$U,9,FALSE)</f>
        <v>2.4000000000000001E-4</v>
      </c>
      <c r="I428" s="1266">
        <f>VLOOKUP($B428&amp;"; "&amp;$H$426&amp;" "&amp;I$427,'FE Déplacements'!$G:$U,9,FALSE)</f>
        <v>2.5999999999999999E-3</v>
      </c>
      <c r="J428" s="219">
        <f>VLOOKUP($B428&amp;"; "&amp;$H$426&amp;" "&amp;J$427,'FE Déplacements'!$G:$U,9,FALSE)</f>
        <v>0</v>
      </c>
      <c r="K428" s="117"/>
      <c r="L428" s="1266">
        <f>IF(ISNA(VLOOKUP($B428&amp;"; "&amp;$L$426&amp;" "&amp;L$427,'FE Déplacements'!$G:$U,9,FALSE)),0,VLOOKUP($B428&amp;"; "&amp;$L$426&amp;" "&amp;L$427,'FE Déplacements'!$G:$U,9,FALSE))</f>
        <v>0</v>
      </c>
      <c r="M428" s="1266">
        <f>IF(ISNA(VLOOKUP($B428&amp;"; "&amp;$L$426&amp;" "&amp;M$427,'FE Déplacements'!$G:$U,9,FALSE)),0,VLOOKUP($B428&amp;"; "&amp;$L$426&amp;" "&amp;M$427,'FE Déplacements'!$G:$U,9,FALSE))</f>
        <v>0</v>
      </c>
      <c r="N428" s="1266">
        <f>IF(ISNA(VLOOKUP($B428&amp;"; "&amp;$L$426&amp;" "&amp;N$427,'FE Déplacements'!$G:$U,9,FALSE)),0,VLOOKUP($B428&amp;"; "&amp;$L$426&amp;" "&amp;N$427,'FE Déplacements'!$G:$U,9,FALSE))</f>
        <v>0</v>
      </c>
      <c r="O428" s="356">
        <f>$G428*IF(ISNA(H428),0,H428)+$K428*IF(ISNA(L428),0,L428)</f>
        <v>0</v>
      </c>
      <c r="P428" s="356">
        <f>$G428*IF(ISNA(I428),0,I428)+$K428*IF(ISNA(M428),0,M428)</f>
        <v>0</v>
      </c>
      <c r="Q428" s="327">
        <f>$G428*IF(ISNA(J428),0,J428)+$K428*IF(ISNA(N428),0,N428)</f>
        <v>0</v>
      </c>
      <c r="X428" s="1092">
        <f>IF(AD428=0,AD428,AD428/D428)</f>
        <v>0</v>
      </c>
      <c r="Y428" s="343"/>
      <c r="Z428" s="820"/>
      <c r="AA428" s="164">
        <f>SQRT(SUMSQ(IF(ISNA(G428*I428*BJ428),0,G428*I428*BJ428),IF(ISNA(K428*M428*BM428),0,K428*M428*BM428)))</f>
        <v>0</v>
      </c>
      <c r="AB428" s="164">
        <f>SQRT(SUMSQ(IF(ISNA(G428*J428*BK428),0,G428*J428*BK428),IF(ISNA(K428*N428*BN428),0,K428*N428*BN428)))</f>
        <v>0</v>
      </c>
      <c r="AC428" s="164">
        <f>SQRT(SUMSQ(IF(ISNA(G428*H428*BI428),0,G428*H428*BI428),IF(ISNA(K428*L428*BL428),0,K428*L428*BL428)))</f>
        <v>0</v>
      </c>
      <c r="AD428" s="152">
        <f>SQRT(SUMSQ(AA428,AB428))</f>
        <v>0</v>
      </c>
      <c r="AE428" s="1458"/>
      <c r="AG428" s="564">
        <f>$G428*IF(ISNA(VLOOKUP($B428&amp;"; "&amp;$H$426&amp;" "&amp;I$427,'FE Déplacements'!$G:$U,10,FALSE)),0,VLOOKUP($B428&amp;"; "&amp;$H$426&amp;" "&amp;I$427,'FE Déplacements'!$G:$U,10,FALSE))
+$K428*IF(ISNA(VLOOKUP($B428&amp;"; "&amp;$L$426&amp;" "&amp;M$427,'FE Déplacements'!$G:$U,10,FALSE)),0,VLOOKUP($B428&amp;"; "&amp;$L$426&amp;" "&amp;M$427,'FE Déplacements'!$G:$U,10,FALSE))</f>
        <v>0</v>
      </c>
      <c r="AH428" s="565">
        <f>$G428*IF(ISNA(VLOOKUP($B428&amp;"; "&amp;$H$426&amp;" "&amp;J$427,'FE Déplacements'!$G:$U,10,FALSE)),0,VLOOKUP($B428&amp;"; "&amp;$H$426&amp;" "&amp;J$427,'FE Déplacements'!$G:$U,10,FALSE))
+$K428*IF(ISNA(VLOOKUP($B428&amp;"; "&amp;$L$426&amp;" "&amp;N$427,'FE Déplacements'!$G:$U,10,FALSE)),0,VLOOKUP($B428&amp;"; "&amp;$L$426&amp;" "&amp;N$427,'FE Déplacements'!$G:$U,10,FALSE))</f>
        <v>0</v>
      </c>
      <c r="AI428" s="565">
        <f>$G428*IF(ISNA(VLOOKUP($B428&amp;"; "&amp;$H$426&amp;" "&amp;H$427,'FE Déplacements'!$G:$U,10,FALSE)),0,VLOOKUP($B428&amp;"; "&amp;$H$426&amp;" "&amp;H$427,'FE Déplacements'!$G:$U,10,FALSE))
+$K428*IF(ISNA(VLOOKUP($B428&amp;"; "&amp;$L$426&amp;" "&amp;L$427,'FE Déplacements'!$G:$U,10,FALSE)),0,VLOOKUP($B428&amp;"; "&amp;$L$426&amp;" "&amp;L$427,'FE Déplacements'!$G:$U,10,FALSE))</f>
        <v>0</v>
      </c>
      <c r="AJ428" s="565">
        <f>$G428*IF(ISNA((VLOOKUP($B428&amp;"; "&amp;$H$426&amp;" "&amp;I$427,'FE Déplacements'!$G:$U,12,FALSE)+VLOOKUP($B428&amp;"; "&amp;$H$426&amp;" "&amp;I$427,'FE Déplacements'!$G:$U,11,FALSE))),0,(VLOOKUP($B428&amp;"; "&amp;$H$426&amp;" "&amp;I$427,'FE Déplacements'!$G:$U,12,FALSE)+VLOOKUP($B428&amp;"; "&amp;$H$426&amp;" "&amp;I$427,'FE Déplacements'!$G:$U,11,FALSE)))
+K428*IF(ISNA((VLOOKUP($B428&amp;"; "&amp;$L$426&amp;" "&amp;M$427,'FE Déplacements'!$G:$U,12,FALSE)+VLOOKUP($B428&amp;"; "&amp;$L$426&amp;" "&amp;M$427,'FE Déplacements'!$G:$U,11,FALSE))),0,(VLOOKUP($B428&amp;"; "&amp;$L$426&amp;" "&amp;M$427,'FE Déplacements'!$G:$U,12,FALSE)+VLOOKUP($B428&amp;"; "&amp;$L$426&amp;" "&amp;M$427,'FE Déplacements'!$G:$U,11,FALSE)))</f>
        <v>0</v>
      </c>
      <c r="AK428" s="565">
        <f>$G428*IF(ISNA((VLOOKUP($B428&amp;"; "&amp;$H$426&amp;" "&amp;J$427,'FE Déplacements'!$G:$U,12,FALSE)+VLOOKUP($B428&amp;"; "&amp;$H$426&amp;" "&amp;J$427,'FE Déplacements'!$G:$U,11,FALSE))),0,(VLOOKUP($B428&amp;"; "&amp;$H$426&amp;" "&amp;J$427,'FE Déplacements'!$G:$U,12,FALSE)+VLOOKUP($B428&amp;"; "&amp;$H$426&amp;" "&amp;J$427,'FE Déplacements'!$G:$U,11,FALSE)))
+K428*IF(ISNA((VLOOKUP($B428&amp;"; "&amp;$L$426&amp;" "&amp;N$427,'FE Déplacements'!$G:$U,12,FALSE)+VLOOKUP($B428&amp;"; "&amp;$L$426&amp;" "&amp;N$427,'FE Déplacements'!$G:$U,11,FALSE))),0,(VLOOKUP($B428&amp;"; "&amp;$L$426&amp;" "&amp;N$427,'FE Déplacements'!$G:$U,12,FALSE)+VLOOKUP($B428&amp;"; "&amp;$L$426&amp;" "&amp;N$427,'FE Déplacements'!$G:$U,11,FALSE)))</f>
        <v>0</v>
      </c>
      <c r="AL428" s="565">
        <f>$G428*IF(ISNA((VLOOKUP($B428&amp;"; "&amp;$H$426&amp;" "&amp;H$427,'FE Déplacements'!$G:$U,12,FALSE)+VLOOKUP($B428&amp;"; "&amp;$H$426&amp;" "&amp;H$427,'FE Déplacements'!$G:$U,11,FALSE))),0,(VLOOKUP($B428&amp;"; "&amp;$H$426&amp;" "&amp;H$427,'FE Déplacements'!$G:$U,12,FALSE)+VLOOKUP($B428&amp;"; "&amp;$H$426&amp;" "&amp;H$427,'FE Déplacements'!$G:$U,11,FALSE)))
+K428*IF(ISNA((VLOOKUP($B428&amp;"; "&amp;$L$426&amp;" "&amp;L$427,'FE Déplacements'!$G:$U,12,FALSE)+VLOOKUP($B428&amp;"; "&amp;$L$426&amp;" "&amp;L$427,'FE Déplacements'!$G:$U,11,FALSE))),0,(VLOOKUP($B428&amp;"; "&amp;$L$426&amp;" "&amp;L$427,'FE Déplacements'!$G:$U,12,FALSE)+VLOOKUP($B428&amp;"; "&amp;$L$426&amp;" "&amp;L$427,'FE Déplacements'!$G:$U,11,FALSE)))</f>
        <v>0</v>
      </c>
      <c r="AM428" s="565">
        <f>$G428*IF(ISNA(VLOOKUP($B428&amp;"; "&amp;$H$426&amp;" "&amp;I$427,'FE Déplacements'!$G:$U,13,FALSE)),0,VLOOKUP($B428&amp;"; "&amp;$H$426&amp;" "&amp;I$427,'FE Déplacements'!$G:$U,13,FALSE))
+$K428*IF(ISNA(VLOOKUP($B428&amp;"; "&amp;$L$426&amp;","&amp;M$427,'FE Déplacements'!$G:$U,13,FALSE)),0,VLOOKUP($B428&amp;"; "&amp;$L$426&amp;" "&amp;M$427,'FE Déplacements'!$G:$U,13,FALSE))</f>
        <v>0</v>
      </c>
      <c r="AN428" s="565">
        <f>$G428*IF(ISNA(VLOOKUP($B428&amp;"; "&amp;$H$426&amp;" "&amp;J$427,'FE Déplacements'!$G:$U,13,FALSE)),0,VLOOKUP($B428&amp;"; "&amp;$H$426&amp;" "&amp;J$427,'FE Déplacements'!$G:$U,13,FALSE))
+$K428*IF(ISNA(VLOOKUP($B428&amp;"; "&amp;$L$426&amp;","&amp;N$427,'FE Déplacements'!$G:$U,13,FALSE)),0,VLOOKUP($B428&amp;"; "&amp;$L$426&amp;" "&amp;N$427,'FE Déplacements'!$G:$U,13,FALSE))</f>
        <v>0</v>
      </c>
      <c r="AO428" s="565">
        <f>$G428*IF(ISNA(VLOOKUP($B428&amp;"; "&amp;$H$426&amp;" "&amp;H$427,'FE Déplacements'!$G:$U,13,FALSE)),0,VLOOKUP($B428&amp;"; "&amp;$H$426&amp;" "&amp;H$427,'FE Déplacements'!$G:$U,13,FALSE))
+$K428*IF(ISNA(VLOOKUP($B428&amp;"; "&amp;$L$426&amp;","&amp;L$427,'FE Déplacements'!$G:$U,13,FALSE)),0,VLOOKUP($B428&amp;"; "&amp;$L$426&amp;" "&amp;L$427,'FE Déplacements'!$G:$U,13,FALSE))</f>
        <v>0</v>
      </c>
      <c r="AP428" s="565">
        <v>0</v>
      </c>
      <c r="AQ428" s="565">
        <v>0</v>
      </c>
      <c r="AR428" s="565">
        <v>0</v>
      </c>
      <c r="AS428" s="1288">
        <f t="shared" ref="AS428:AT430" si="257">SUM(AG428,AJ428,AM428,AP428)</f>
        <v>0</v>
      </c>
      <c r="AT428" s="566">
        <f t="shared" si="257"/>
        <v>0</v>
      </c>
      <c r="AU428" s="566">
        <f>SUM(AI428,AL428,AO428,AR428)</f>
        <v>0</v>
      </c>
      <c r="AV428" s="564">
        <f>$G428*IF(ISNA(VLOOKUP($B428&amp;"; "&amp;$H$426&amp;" "&amp;I$427,'FE Déplacements'!$G:$U,15,FALSE)),0,VLOOKUP($B428&amp;"; "&amp;$H$426&amp;" "&amp;I$427,'FE Déplacements'!$G:$U,15,FALSE))
+$K428*IF(ISNA(VLOOKUP($B428&amp;"; "&amp;$L$426&amp;" "&amp;M$427,'FE Déplacements'!$G:$U,15,FALSE)),0,VLOOKUP($B428&amp;"; "&amp;$L$426&amp;" "&amp;M$427,'FE Déplacements'!$G:$U,15,FALSE))</f>
        <v>0</v>
      </c>
      <c r="AW428" s="565">
        <f>$G428*IF(ISNA(VLOOKUP($B428&amp;"; "&amp;$H$426&amp;" "&amp;J$427,'FE Déplacements'!$G:$U,15,FALSE)),0,VLOOKUP($B428&amp;"; "&amp;$H$426&amp;" "&amp;J$427,'FE Déplacements'!$G:$U,15,FALSE))
+$K428*IF(ISNA(VLOOKUP($B428&amp;"; "&amp;$L$426&amp;" "&amp;N$427,'FE Déplacements'!$G:$U,15,FALSE)),0,VLOOKUP($B428&amp;"; "&amp;$L$426&amp;" "&amp;N$427,'FE Déplacements'!$G:$U,15,FALSE))</f>
        <v>0</v>
      </c>
      <c r="AX428" s="568">
        <f>$G428*IF(ISNA(VLOOKUP($B428&amp;"; "&amp;$H$426&amp;" "&amp;H$427,'FE Déplacements'!$G:$U,15,FALSE)),0,VLOOKUP($B428&amp;"; "&amp;$H$426&amp;" "&amp;H$427,'FE Déplacements'!$G:$U,15,FALSE))
+$K428*IF(ISNA(VLOOKUP($B428&amp;"; "&amp;$L$426&amp;" "&amp;L$427,'FE Déplacements'!$G:$U,15,FALSE)),0,VLOOKUP($B428&amp;"; "&amp;$L$426&amp;" "&amp;L$427,'FE Déplacements'!$G:$U,15,FALSE))</f>
        <v>0</v>
      </c>
      <c r="BH428" s="2268">
        <f>IF($Y428&lt;&gt;"votre valeur :",IF(ISNA(VLOOKUP($Y428,Utilitaires!$N$566:$O$571,2,FALSE)),,VLOOKUP($Y428,Utilitaires!$N$566:$O$571,2,FALSE)),$Z428)</f>
        <v>0</v>
      </c>
      <c r="BI428" s="2277">
        <f>IF(ISNA(SQRT(SUMSQ(VLOOKUP($B428&amp;"; "&amp;$H$426&amp;" "&amp;H$427,'FE Déplacements'!$G:$U,7,FALSE),$BH428))),0,SQRT(SUMSQ(VLOOKUP($B428&amp;"; "&amp;$H$426&amp;" "&amp;H$427,'FE Déplacements'!$G:$U,7,FALSE),$BH428)))</f>
        <v>0.2</v>
      </c>
      <c r="BJ428" s="2277">
        <f>IF(ISNA(SQRT(SUMSQ(VLOOKUP($B428&amp;"; "&amp;$H$426&amp;" "&amp;I$427,'FE Déplacements'!$G:$U,7,FALSE),$BH428))),0,SQRT(SUMSQ(VLOOKUP($B428&amp;"; "&amp;$H$426&amp;" "&amp;I$427,'FE Déplacements'!$G:$U,7,FALSE),$BH428)))</f>
        <v>0.2</v>
      </c>
      <c r="BK428" s="2427">
        <f>IF(ISNA(SQRT(SUMSQ(VLOOKUP($B428&amp;"; "&amp;$H$426&amp;" "&amp;J$427,'FE Déplacements'!$G:$U,7,FALSE),$BH428))),0,SQRT(SUMSQ(VLOOKUP($B428&amp;"; "&amp;$H$426&amp;" "&amp;J$427,'FE Déplacements'!$G:$U,7,FALSE),$BH428)))</f>
        <v>0.2</v>
      </c>
      <c r="BL428" s="2427">
        <f>IF(ISNA(SQRT(SUMSQ(VLOOKUP($B428&amp;"; "&amp;$L$426&amp;" "&amp;L$427,'FE Déplacements'!$G:$U,7,FALSE),$BH428))),0,SQRT(SUMSQ(VLOOKUP($B428&amp;"; "&amp;$L$426&amp;" "&amp;L$427,'FE Déplacements'!$G:$U,7,FALSE),$BH428)))</f>
        <v>0</v>
      </c>
      <c r="BM428" s="2277">
        <f>IF(ISNA(SQRT(SUMSQ(VLOOKUP($B428&amp;"; "&amp;$L$426&amp;" "&amp;M$427,'FE Déplacements'!$G:$U,7,FALSE),$BH428))),0,SQRT(SUMSQ(VLOOKUP($B428&amp;"; "&amp;$L$426&amp;" "&amp;M$427,'FE Déplacements'!$G:$U,7,FALSE),$BH428)))</f>
        <v>0</v>
      </c>
      <c r="BN428" s="1130">
        <f>IF(ISNA(SQRT(SUMSQ(VLOOKUP($B428&amp;"; "&amp;$L$426&amp;" "&amp;N$427,'FE Déplacements'!$G:$U,7,FALSE),$BH428))),0,SQRT(SUMSQ(VLOOKUP($B428&amp;"; "&amp;$L$426&amp;" "&amp;N$427,'FE Déplacements'!$G:$U,7,FALSE),$BH428)))</f>
        <v>0</v>
      </c>
    </row>
    <row r="429" spans="2:66" hidden="1" outlineLevel="1">
      <c r="B429" s="405" t="s">
        <v>4057</v>
      </c>
      <c r="C429" s="406"/>
      <c r="D429" s="212">
        <f t="shared" ref="D429:D430" si="258">SUM(O429:Q429)</f>
        <v>0</v>
      </c>
      <c r="E429" s="212"/>
      <c r="F429" s="346"/>
      <c r="G429" s="346"/>
      <c r="H429" s="1266">
        <f>VLOOKUP($B429&amp;"; "&amp;$H$426&amp;" "&amp;H$427,'FE Déplacements'!$G:$U,9,FALSE)</f>
        <v>4.79E-3</v>
      </c>
      <c r="I429" s="1266">
        <f>VLOOKUP($B429&amp;"; "&amp;$H$426&amp;" "&amp;I$427,'FE Déplacements'!$G:$U,9,FALSE)</f>
        <v>2.6499999999999999E-2</v>
      </c>
      <c r="J429" s="219">
        <f>VLOOKUP($B429&amp;"; "&amp;$H$426&amp;" "&amp;J$427,'FE Déplacements'!$G:$U,9,FALSE)</f>
        <v>0</v>
      </c>
      <c r="K429" s="346"/>
      <c r="L429" s="1266">
        <f>IF(ISNA(VLOOKUP($B429&amp;"; "&amp;$L$426&amp;" "&amp;L$427,'FE Déplacements'!$G:$U,9,FALSE)),0,VLOOKUP($B429&amp;"; "&amp;$L$426&amp;" "&amp;L$427,'FE Déplacements'!$G:$U,9,FALSE))</f>
        <v>0</v>
      </c>
      <c r="M429" s="1266">
        <f>IF(ISNA(VLOOKUP($B429&amp;"; "&amp;$L$426&amp;" "&amp;M$427,'FE Déplacements'!$G:$U,9,FALSE)),0,VLOOKUP($B429&amp;"; "&amp;$L$426&amp;" "&amp;M$427,'FE Déplacements'!$G:$U,9,FALSE))</f>
        <v>0</v>
      </c>
      <c r="N429" s="1266">
        <f>IF(ISNA(VLOOKUP($B429&amp;"; "&amp;$L$426&amp;" "&amp;N$427,'FE Déplacements'!$G:$U,9,FALSE)),0,VLOOKUP($B429&amp;"; "&amp;$L$426&amp;" "&amp;N$427,'FE Déplacements'!$G:$U,9,FALSE))</f>
        <v>0</v>
      </c>
      <c r="O429" s="356">
        <f t="shared" ref="O429:O430" si="259">$G429*IF(ISNA(H429),0,H429)+$K429*IF(ISNA(L429),0,L429)</f>
        <v>0</v>
      </c>
      <c r="P429" s="356">
        <f t="shared" ref="P429:P430" si="260">$G429*IF(ISNA(I429),0,I429)+$K429*IF(ISNA(M429),0,M429)</f>
        <v>0</v>
      </c>
      <c r="Q429" s="327">
        <f t="shared" ref="Q429:Q430" si="261">$G429*IF(ISNA(J429),0,J429)+$K429*IF(ISNA(N429),0,N429)</f>
        <v>0</v>
      </c>
      <c r="X429" s="1092">
        <f>IF(AD429=0,AD429,AD429/D429)</f>
        <v>0</v>
      </c>
      <c r="Y429" s="343"/>
      <c r="Z429" s="820"/>
      <c r="AA429" s="164">
        <f>SQRT(SUMSQ(IF(ISNA(G429*I429*BJ429),0,G429*I429*BJ429),IF(ISNA(K429*M429*BM429),0,K429*M429*BM429)))</f>
        <v>0</v>
      </c>
      <c r="AB429" s="164">
        <f>SQRT(SUMSQ(IF(ISNA(G429*J429*BK429),0,G429*J429*BK429),IF(ISNA(K429*N429*BN429),0,K429*N429*BN429)))</f>
        <v>0</v>
      </c>
      <c r="AC429" s="164">
        <f>SQRT(SUMSQ(IF(ISNA(G429*H429*BI429),0,G429*H429*BI429),IF(ISNA(K429*L429*BL429),0,K429*L429*BL429)))</f>
        <v>0</v>
      </c>
      <c r="AD429" s="152">
        <f>SQRT(SUMSQ(AA429,AB429))</f>
        <v>0</v>
      </c>
      <c r="AE429" s="1458"/>
      <c r="AG429" s="564">
        <f>$G429*IF(ISNA(VLOOKUP($B429&amp;"; "&amp;$H$426&amp;" "&amp;I$427,'FE Déplacements'!$G:$U,10,FALSE)),0,VLOOKUP($B429&amp;"; "&amp;$H$426&amp;" "&amp;I$427,'FE Déplacements'!$G:$U,10,FALSE))
+$K429*IF(ISNA(VLOOKUP($B429&amp;"; "&amp;$L$426&amp;" "&amp;M$427,'FE Déplacements'!$G:$U,10,FALSE)),0,VLOOKUP($B429&amp;"; "&amp;$L$426&amp;" "&amp;M$427,'FE Déplacements'!$G:$U,10,FALSE))</f>
        <v>0</v>
      </c>
      <c r="AH429" s="565">
        <f>$G429*IF(ISNA(VLOOKUP($B429&amp;"; "&amp;$H$426&amp;" "&amp;J$427,'FE Déplacements'!$G:$U,10,FALSE)),0,VLOOKUP($B429&amp;"; "&amp;$H$426&amp;" "&amp;J$427,'FE Déplacements'!$G:$U,10,FALSE))
+$K429*IF(ISNA(VLOOKUP($B429&amp;"; "&amp;$L$426&amp;" "&amp;N$427,'FE Déplacements'!$G:$U,10,FALSE)),0,VLOOKUP($B429&amp;"; "&amp;$L$426&amp;" "&amp;N$427,'FE Déplacements'!$G:$U,10,FALSE))</f>
        <v>0</v>
      </c>
      <c r="AI429" s="565">
        <f>$G429*IF(ISNA(VLOOKUP($B429&amp;"; "&amp;$H$426&amp;" "&amp;H$427,'FE Déplacements'!$G:$U,10,FALSE)),0,VLOOKUP($B429&amp;"; "&amp;$H$426&amp;" "&amp;H$427,'FE Déplacements'!$G:$U,10,FALSE))
+$K429*IF(ISNA(VLOOKUP($B429&amp;"; "&amp;$L$426&amp;" "&amp;L$427,'FE Déplacements'!$G:$U,10,FALSE)),0,VLOOKUP($B429&amp;"; "&amp;$L$426&amp;" "&amp;L$427,'FE Déplacements'!$G:$U,10,FALSE))</f>
        <v>0</v>
      </c>
      <c r="AJ429" s="565">
        <f>$G429*IF(ISNA((VLOOKUP($B429&amp;"; "&amp;$H$426&amp;" "&amp;I$427,'FE Déplacements'!$G:$U,12,FALSE)+VLOOKUP($B429&amp;"; "&amp;$H$426&amp;" "&amp;I$427,'FE Déplacements'!$G:$U,11,FALSE))),0,(VLOOKUP($B429&amp;"; "&amp;$H$426&amp;" "&amp;I$427,'FE Déplacements'!$G:$U,12,FALSE)+VLOOKUP($B429&amp;"; "&amp;$H$426&amp;" "&amp;I$427,'FE Déplacements'!$G:$U,11,FALSE)))
+K429*IF(ISNA((VLOOKUP($B429&amp;"; "&amp;$L$426&amp;" "&amp;M$427,'FE Déplacements'!$G:$U,12,FALSE)+VLOOKUP($B429&amp;"; "&amp;$L$426&amp;" "&amp;M$427,'FE Déplacements'!$G:$U,11,FALSE))),0,(VLOOKUP($B429&amp;"; "&amp;$L$426&amp;" "&amp;M$427,'FE Déplacements'!$G:$U,12,FALSE)+VLOOKUP($B429&amp;"; "&amp;$L$426&amp;" "&amp;M$427,'FE Déplacements'!$G:$U,11,FALSE)))</f>
        <v>0</v>
      </c>
      <c r="AK429" s="565">
        <f>$G429*IF(ISNA((VLOOKUP($B429&amp;"; "&amp;$H$426&amp;" "&amp;J$427,'FE Déplacements'!$G:$U,12,FALSE)+VLOOKUP($B429&amp;"; "&amp;$H$426&amp;" "&amp;J$427,'FE Déplacements'!$G:$U,11,FALSE))),0,(VLOOKUP($B429&amp;"; "&amp;$H$426&amp;" "&amp;J$427,'FE Déplacements'!$G:$U,12,FALSE)+VLOOKUP($B429&amp;"; "&amp;$H$426&amp;" "&amp;J$427,'FE Déplacements'!$G:$U,11,FALSE)))
+K429*IF(ISNA((VLOOKUP($B429&amp;"; "&amp;$L$426&amp;" "&amp;N$427,'FE Déplacements'!$G:$U,12,FALSE)+VLOOKUP($B429&amp;"; "&amp;$L$426&amp;" "&amp;N$427,'FE Déplacements'!$G:$U,11,FALSE))),0,(VLOOKUP($B429&amp;"; "&amp;$L$426&amp;" "&amp;N$427,'FE Déplacements'!$G:$U,12,FALSE)+VLOOKUP($B429&amp;"; "&amp;$L$426&amp;" "&amp;N$427,'FE Déplacements'!$G:$U,11,FALSE)))</f>
        <v>0</v>
      </c>
      <c r="AL429" s="565">
        <f>$G429*IF(ISNA((VLOOKUP($B429&amp;"; "&amp;$H$426&amp;" "&amp;H$427,'FE Déplacements'!$G:$U,12,FALSE)+VLOOKUP($B429&amp;"; "&amp;$H$426&amp;" "&amp;H$427,'FE Déplacements'!$G:$U,11,FALSE))),0,(VLOOKUP($B429&amp;"; "&amp;$H$426&amp;" "&amp;H$427,'FE Déplacements'!$G:$U,12,FALSE)+VLOOKUP($B429&amp;"; "&amp;$H$426&amp;" "&amp;H$427,'FE Déplacements'!$G:$U,11,FALSE)))
+K429*IF(ISNA((VLOOKUP($B429&amp;"; "&amp;$L$426&amp;" "&amp;L$427,'FE Déplacements'!$G:$U,12,FALSE)+VLOOKUP($B429&amp;"; "&amp;$L$426&amp;" "&amp;L$427,'FE Déplacements'!$G:$U,11,FALSE))),0,(VLOOKUP($B429&amp;"; "&amp;$L$426&amp;" "&amp;L$427,'FE Déplacements'!$G:$U,12,FALSE)+VLOOKUP($B429&amp;"; "&amp;$L$426&amp;" "&amp;L$427,'FE Déplacements'!$G:$U,11,FALSE)))</f>
        <v>0</v>
      </c>
      <c r="AM429" s="565">
        <f>$G429*IF(ISNA(VLOOKUP($B429&amp;"; "&amp;$H$426&amp;" "&amp;I$427,'FE Déplacements'!$G:$U,13,FALSE)),0,VLOOKUP($B429&amp;"; "&amp;$H$426&amp;" "&amp;I$427,'FE Déplacements'!$G:$U,13,FALSE))
+$K429*IF(ISNA(VLOOKUP($B429&amp;"; "&amp;$L$426&amp;","&amp;M$427,'FE Déplacements'!$G:$U,13,FALSE)),0,VLOOKUP($B429&amp;"; "&amp;$L$426&amp;" "&amp;M$427,'FE Déplacements'!$G:$U,13,FALSE))</f>
        <v>0</v>
      </c>
      <c r="AN429" s="565">
        <f>$G429*IF(ISNA(VLOOKUP($B429&amp;"; "&amp;$H$426&amp;" "&amp;J$427,'FE Déplacements'!$G:$U,13,FALSE)),0,VLOOKUP($B429&amp;"; "&amp;$H$426&amp;" "&amp;J$427,'FE Déplacements'!$G:$U,13,FALSE))
+$K429*IF(ISNA(VLOOKUP($B429&amp;"; "&amp;$L$426&amp;","&amp;N$427,'FE Déplacements'!$G:$U,13,FALSE)),0,VLOOKUP($B429&amp;"; "&amp;$L$426&amp;" "&amp;N$427,'FE Déplacements'!$G:$U,13,FALSE))</f>
        <v>0</v>
      </c>
      <c r="AO429" s="565">
        <f>$G429*IF(ISNA(VLOOKUP($B429&amp;"; "&amp;$H$426&amp;" "&amp;H$427,'FE Déplacements'!$G:$U,13,FALSE)),0,VLOOKUP($B429&amp;"; "&amp;$H$426&amp;" "&amp;H$427,'FE Déplacements'!$G:$U,13,FALSE))
+$K429*IF(ISNA(VLOOKUP($B429&amp;"; "&amp;$L$426&amp;","&amp;L$427,'FE Déplacements'!$G:$U,13,FALSE)),0,VLOOKUP($B429&amp;"; "&amp;$L$426&amp;" "&amp;L$427,'FE Déplacements'!$G:$U,13,FALSE))</f>
        <v>0</v>
      </c>
      <c r="AP429" s="565">
        <v>0</v>
      </c>
      <c r="AQ429" s="565">
        <v>0</v>
      </c>
      <c r="AR429" s="565">
        <v>0</v>
      </c>
      <c r="AS429" s="1288">
        <f t="shared" si="257"/>
        <v>0</v>
      </c>
      <c r="AT429" s="566">
        <f t="shared" si="257"/>
        <v>0</v>
      </c>
      <c r="AU429" s="566">
        <f t="shared" ref="AU429:AU430" si="262">SUM(AI429,AL429,AO429,AR429)</f>
        <v>0</v>
      </c>
      <c r="AV429" s="564">
        <f>$G429*IF(ISNA(VLOOKUP($B429&amp;"; "&amp;$H$426&amp;" "&amp;I$427,'FE Déplacements'!$G:$U,15,FALSE)),0,VLOOKUP($B429&amp;"; "&amp;$H$426&amp;" "&amp;I$427,'FE Déplacements'!$G:$U,15,FALSE))
+$K429*IF(ISNA(VLOOKUP($B429&amp;"; "&amp;$L$426&amp;" "&amp;M$427,'FE Déplacements'!$G:$U,15,FALSE)),0,VLOOKUP($B429&amp;"; "&amp;$L$426&amp;" "&amp;M$427,'FE Déplacements'!$G:$U,15,FALSE))</f>
        <v>0</v>
      </c>
      <c r="AW429" s="565">
        <f>$G429*IF(ISNA(VLOOKUP($B429&amp;"; "&amp;$H$426&amp;" "&amp;J$427,'FE Déplacements'!$G:$U,15,FALSE)),0,VLOOKUP($B429&amp;"; "&amp;$H$426&amp;" "&amp;J$427,'FE Déplacements'!$G:$U,15,FALSE))
+$K429*IF(ISNA(VLOOKUP($B429&amp;"; "&amp;$L$426&amp;" "&amp;N$427,'FE Déplacements'!$G:$U,15,FALSE)),0,VLOOKUP($B429&amp;"; "&amp;$L$426&amp;" "&amp;N$427,'FE Déplacements'!$G:$U,15,FALSE))</f>
        <v>0</v>
      </c>
      <c r="AX429" s="568">
        <f>$G429*IF(ISNA(VLOOKUP($B429&amp;"; "&amp;$H$426&amp;" "&amp;H$427,'FE Déplacements'!$G:$U,15,FALSE)),0,VLOOKUP($B429&amp;"; "&amp;$H$426&amp;" "&amp;H$427,'FE Déplacements'!$G:$U,15,FALSE))
+$K429*IF(ISNA(VLOOKUP($B429&amp;"; "&amp;$L$426&amp;" "&amp;L$427,'FE Déplacements'!$G:$U,15,FALSE)),0,VLOOKUP($B429&amp;"; "&amp;$L$426&amp;" "&amp;L$427,'FE Déplacements'!$G:$U,15,FALSE))</f>
        <v>0</v>
      </c>
      <c r="BH429" s="2268">
        <f>IF($Y429&lt;&gt;"votre valeur :",IF(ISNA(VLOOKUP($Y429,Utilitaires!$N$566:$O$571,2,FALSE)),,VLOOKUP($Y429,Utilitaires!$N$566:$O$571,2,FALSE)),$Z429)</f>
        <v>0</v>
      </c>
      <c r="BI429" s="2427">
        <f>IF(ISNA(SQRT(SUMSQ(VLOOKUP($B429&amp;"; "&amp;$H$426&amp;" "&amp;H$427,'FE Déplacements'!$G:$U,7,FALSE),$BH429))),0,SQRT(SUMSQ(VLOOKUP($B429&amp;"; "&amp;$H$426&amp;" "&amp;H$427,'FE Déplacements'!$G:$U,7,FALSE),$BH429)))</f>
        <v>0.6</v>
      </c>
      <c r="BJ429" s="2427">
        <f>IF(ISNA(SQRT(SUMSQ(VLOOKUP($B429&amp;"; "&amp;$H$426&amp;" "&amp;I$427,'FE Déplacements'!$G:$U,7,FALSE),$BH429))),0,SQRT(SUMSQ(VLOOKUP($B429&amp;"; "&amp;$H$426&amp;" "&amp;I$427,'FE Déplacements'!$G:$U,7,FALSE),$BH429)))</f>
        <v>0.6</v>
      </c>
      <c r="BK429" s="2427">
        <f>IF(ISNA(SQRT(SUMSQ(VLOOKUP($B429&amp;"; "&amp;$H$426&amp;" "&amp;J$427,'FE Déplacements'!$G:$U,7,FALSE),$BH429))),0,SQRT(SUMSQ(VLOOKUP($B429&amp;"; "&amp;$H$426&amp;" "&amp;J$427,'FE Déplacements'!$G:$U,7,FALSE),$BH429)))</f>
        <v>0.6</v>
      </c>
      <c r="BL429" s="2427">
        <f>IF(ISNA(SQRT(SUMSQ(VLOOKUP($B429&amp;"; "&amp;$L$426&amp;" "&amp;L$427,'FE Déplacements'!$G:$U,7,FALSE),$BH429))),0,SQRT(SUMSQ(VLOOKUP($B429&amp;"; "&amp;$L$426&amp;" "&amp;L$427,'FE Déplacements'!$G:$U,7,FALSE),$BH429)))</f>
        <v>0</v>
      </c>
      <c r="BM429" s="2427">
        <f>IF(ISNA(SQRT(SUMSQ(VLOOKUP($B429&amp;"; "&amp;$L$426&amp;" "&amp;M$427,'FE Déplacements'!$G:$U,7,FALSE),$BH429))),0,SQRT(SUMSQ(VLOOKUP($B429&amp;"; "&amp;$L$426&amp;" "&amp;M$427,'FE Déplacements'!$G:$U,7,FALSE),$BH429)))</f>
        <v>0</v>
      </c>
      <c r="BN429" s="1130">
        <f>IF(ISNA(SQRT(SUMSQ(VLOOKUP($B429&amp;"; "&amp;$L$426&amp;" "&amp;N$427,'FE Déplacements'!$G:$U,7,FALSE),$BH429))),0,SQRT(SUMSQ(VLOOKUP($B429&amp;"; "&amp;$L$426&amp;" "&amp;N$427,'FE Déplacements'!$G:$U,7,FALSE),$BH429)))</f>
        <v>0</v>
      </c>
    </row>
    <row r="430" spans="2:66" hidden="1" outlineLevel="1">
      <c r="B430" s="405" t="s">
        <v>4058</v>
      </c>
      <c r="C430" s="406"/>
      <c r="D430" s="212">
        <f t="shared" si="258"/>
        <v>0</v>
      </c>
      <c r="E430" s="212"/>
      <c r="F430" s="347"/>
      <c r="G430" s="347"/>
      <c r="H430" s="1266">
        <f>VLOOKUP($B430&amp;"; "&amp;$H$426&amp;" "&amp;H$427,'FE Déplacements'!$G:$U,9,FALSE)</f>
        <v>6.3000000000000003E-4</v>
      </c>
      <c r="I430" s="1266">
        <f>VLOOKUP($B430&amp;"; "&amp;$H$426&amp;" "&amp;I$427,'FE Déplacements'!$G:$U,9,FALSE)</f>
        <v>5.2900000000000004E-3</v>
      </c>
      <c r="J430" s="219">
        <f>VLOOKUP($B430&amp;"; "&amp;$H$426&amp;" "&amp;J$427,'FE Déplacements'!$G:$U,9,FALSE)</f>
        <v>0</v>
      </c>
      <c r="K430" s="347"/>
      <c r="L430" s="1266">
        <f>IF(ISNA(VLOOKUP($B430&amp;"; "&amp;$L$426&amp;" "&amp;L$427,'FE Déplacements'!$G:$U,9,FALSE)),0,VLOOKUP($B430&amp;"; "&amp;$L$426&amp;" "&amp;L$427,'FE Déplacements'!$G:$U,9,FALSE))</f>
        <v>0</v>
      </c>
      <c r="M430" s="1266">
        <f>IF(ISNA(VLOOKUP($B430&amp;"; "&amp;$L$426&amp;" "&amp;M$427,'FE Déplacements'!$G:$U,9,FALSE)),0,VLOOKUP($B430&amp;"; "&amp;$L$426&amp;" "&amp;M$427,'FE Déplacements'!$G:$U,9,FALSE))</f>
        <v>0</v>
      </c>
      <c r="N430" s="1266">
        <f>IF(ISNA(VLOOKUP($B430&amp;"; "&amp;$L$426&amp;" "&amp;N$427,'FE Déplacements'!$G:$U,9,FALSE)),0,VLOOKUP($B430&amp;"; "&amp;$L$426&amp;" "&amp;N$427,'FE Déplacements'!$G:$U,9,FALSE))</f>
        <v>0</v>
      </c>
      <c r="O430" s="356">
        <f t="shared" si="259"/>
        <v>0</v>
      </c>
      <c r="P430" s="356">
        <f t="shared" si="260"/>
        <v>0</v>
      </c>
      <c r="Q430" s="327">
        <f t="shared" si="261"/>
        <v>0</v>
      </c>
      <c r="X430" s="1092">
        <f>IF(AD430=0,AD430,AD430/D430)</f>
        <v>0</v>
      </c>
      <c r="Y430" s="1094"/>
      <c r="Z430" s="820"/>
      <c r="AA430" s="164">
        <f>SQRT(SUMSQ(IF(ISNA(G430*I430*BJ430),0,G430*I430*BJ430),IF(ISNA(K430*M430*BM430),0,K430*M430*BM430)))</f>
        <v>0</v>
      </c>
      <c r="AB430" s="164">
        <f>SQRT(SUMSQ(IF(ISNA(G430*J430*BK430),0,G430*J430*BK430),IF(ISNA(K430*N430*BN430),0,K430*N430*BN430)))</f>
        <v>0</v>
      </c>
      <c r="AC430" s="164">
        <f>SQRT(SUMSQ(IF(ISNA(G430*H430*BI430),0,G430*H430*BI430),IF(ISNA(K430*L430*BL430),0,K430*L430*BL430)))</f>
        <v>0</v>
      </c>
      <c r="AD430" s="152">
        <f>SQRT(SUMSQ(AA430,AB430))</f>
        <v>0</v>
      </c>
      <c r="AE430" s="1458"/>
      <c r="AG430" s="564">
        <f>$G430*IF(ISNA(VLOOKUP($B430&amp;"; "&amp;$H$426&amp;" "&amp;I$427,'FE Déplacements'!$G:$U,10,FALSE)),0,VLOOKUP($B430&amp;"; "&amp;$H$426&amp;" "&amp;I$427,'FE Déplacements'!$G:$U,10,FALSE))
+$K430*IF(ISNA(VLOOKUP($B430&amp;"; "&amp;$L$426&amp;" "&amp;M$427,'FE Déplacements'!$G:$U,10,FALSE)),0,VLOOKUP($B430&amp;"; "&amp;$L$426&amp;" "&amp;M$427,'FE Déplacements'!$G:$U,10,FALSE))</f>
        <v>0</v>
      </c>
      <c r="AH430" s="565">
        <f>$G430*IF(ISNA(VLOOKUP($B430&amp;"; "&amp;$H$426&amp;" "&amp;J$427,'FE Déplacements'!$G:$U,10,FALSE)),0,VLOOKUP($B430&amp;"; "&amp;$H$426&amp;" "&amp;J$427,'FE Déplacements'!$G:$U,10,FALSE))
+$K430*IF(ISNA(VLOOKUP($B430&amp;"; "&amp;$L$426&amp;" "&amp;N$427,'FE Déplacements'!$G:$U,10,FALSE)),0,VLOOKUP($B430&amp;"; "&amp;$L$426&amp;" "&amp;N$427,'FE Déplacements'!$G:$U,10,FALSE))</f>
        <v>0</v>
      </c>
      <c r="AI430" s="565">
        <f>$G430*IF(ISNA(VLOOKUP($B430&amp;"; "&amp;$H$426&amp;" "&amp;H$427,'FE Déplacements'!$G:$U,10,FALSE)),0,VLOOKUP($B430&amp;"; "&amp;$H$426&amp;" "&amp;H$427,'FE Déplacements'!$G:$U,10,FALSE))
+$K430*IF(ISNA(VLOOKUP($B430&amp;"; "&amp;$L$426&amp;" "&amp;L$427,'FE Déplacements'!$G:$U,10,FALSE)),0,VLOOKUP($B430&amp;"; "&amp;$L$426&amp;" "&amp;L$427,'FE Déplacements'!$G:$U,10,FALSE))</f>
        <v>0</v>
      </c>
      <c r="AJ430" s="565">
        <f>$G430*IF(ISNA((VLOOKUP($B430&amp;"; "&amp;$H$426&amp;" "&amp;I$427,'FE Déplacements'!$G:$U,12,FALSE)+VLOOKUP($B430&amp;"; "&amp;$H$426&amp;" "&amp;I$427,'FE Déplacements'!$G:$U,11,FALSE))),0,(VLOOKUP($B430&amp;"; "&amp;$H$426&amp;" "&amp;I$427,'FE Déplacements'!$G:$U,12,FALSE)+VLOOKUP($B430&amp;"; "&amp;$H$426&amp;" "&amp;I$427,'FE Déplacements'!$G:$U,11,FALSE)))
+K430*IF(ISNA((VLOOKUP($B430&amp;"; "&amp;$L$426&amp;" "&amp;M$427,'FE Déplacements'!$G:$U,12,FALSE)+VLOOKUP($B430&amp;"; "&amp;$L$426&amp;" "&amp;M$427,'FE Déplacements'!$G:$U,11,FALSE))),0,(VLOOKUP($B430&amp;"; "&amp;$L$426&amp;" "&amp;M$427,'FE Déplacements'!$G:$U,12,FALSE)+VLOOKUP($B430&amp;"; "&amp;$L$426&amp;" "&amp;M$427,'FE Déplacements'!$G:$U,11,FALSE)))</f>
        <v>0</v>
      </c>
      <c r="AK430" s="565">
        <f>$G430*IF(ISNA((VLOOKUP($B430&amp;"; "&amp;$H$426&amp;" "&amp;J$427,'FE Déplacements'!$G:$U,12,FALSE)+VLOOKUP($B430&amp;"; "&amp;$H$426&amp;" "&amp;J$427,'FE Déplacements'!$G:$U,11,FALSE))),0,(VLOOKUP($B430&amp;"; "&amp;$H$426&amp;" "&amp;J$427,'FE Déplacements'!$G:$U,12,FALSE)+VLOOKUP($B430&amp;"; "&amp;$H$426&amp;" "&amp;J$427,'FE Déplacements'!$G:$U,11,FALSE)))
+K430*IF(ISNA((VLOOKUP($B430&amp;"; "&amp;$L$426&amp;" "&amp;N$427,'FE Déplacements'!$G:$U,12,FALSE)+VLOOKUP($B430&amp;"; "&amp;$L$426&amp;" "&amp;N$427,'FE Déplacements'!$G:$U,11,FALSE))),0,(VLOOKUP($B430&amp;"; "&amp;$L$426&amp;" "&amp;N$427,'FE Déplacements'!$G:$U,12,FALSE)+VLOOKUP($B430&amp;"; "&amp;$L$426&amp;" "&amp;N$427,'FE Déplacements'!$G:$U,11,FALSE)))</f>
        <v>0</v>
      </c>
      <c r="AL430" s="565">
        <f>$G430*IF(ISNA((VLOOKUP($B430&amp;"; "&amp;$H$426&amp;" "&amp;H$427,'FE Déplacements'!$G:$U,12,FALSE)+VLOOKUP($B430&amp;"; "&amp;$H$426&amp;" "&amp;H$427,'FE Déplacements'!$G:$U,11,FALSE))),0,(VLOOKUP($B430&amp;"; "&amp;$H$426&amp;" "&amp;H$427,'FE Déplacements'!$G:$U,12,FALSE)+VLOOKUP($B430&amp;"; "&amp;$H$426&amp;" "&amp;H$427,'FE Déplacements'!$G:$U,11,FALSE)))
+K430*IF(ISNA((VLOOKUP($B430&amp;"; "&amp;$L$426&amp;" "&amp;L$427,'FE Déplacements'!$G:$U,12,FALSE)+VLOOKUP($B430&amp;"; "&amp;$L$426&amp;" "&amp;L$427,'FE Déplacements'!$G:$U,11,FALSE))),0,(VLOOKUP($B430&amp;"; "&amp;$L$426&amp;" "&amp;L$427,'FE Déplacements'!$G:$U,12,FALSE)+VLOOKUP($B430&amp;"; "&amp;$L$426&amp;" "&amp;L$427,'FE Déplacements'!$G:$U,11,FALSE)))</f>
        <v>0</v>
      </c>
      <c r="AM430" s="565">
        <f>$G430*IF(ISNA(VLOOKUP($B430&amp;"; "&amp;$H$426&amp;" "&amp;I$427,'FE Déplacements'!$G:$U,13,FALSE)),0,VLOOKUP($B430&amp;"; "&amp;$H$426&amp;" "&amp;I$427,'FE Déplacements'!$G:$U,13,FALSE))
+$K430*IF(ISNA(VLOOKUP($B430&amp;"; "&amp;$L$426&amp;","&amp;M$427,'FE Déplacements'!$G:$U,13,FALSE)),0,VLOOKUP($B430&amp;"; "&amp;$L$426&amp;" "&amp;M$427,'FE Déplacements'!$G:$U,13,FALSE))</f>
        <v>0</v>
      </c>
      <c r="AN430" s="565">
        <f>$G430*IF(ISNA(VLOOKUP($B430&amp;"; "&amp;$H$426&amp;" "&amp;J$427,'FE Déplacements'!$G:$U,13,FALSE)),0,VLOOKUP($B430&amp;"; "&amp;$H$426&amp;" "&amp;J$427,'FE Déplacements'!$G:$U,13,FALSE))
+$K430*IF(ISNA(VLOOKUP($B430&amp;"; "&amp;$L$426&amp;","&amp;N$427,'FE Déplacements'!$G:$U,13,FALSE)),0,VLOOKUP($B430&amp;"; "&amp;$L$426&amp;" "&amp;N$427,'FE Déplacements'!$G:$U,13,FALSE))</f>
        <v>0</v>
      </c>
      <c r="AO430" s="565">
        <f>$G430*IF(ISNA(VLOOKUP($B430&amp;"; "&amp;$H$426&amp;" "&amp;H$427,'FE Déplacements'!$G:$U,13,FALSE)),0,VLOOKUP($B430&amp;"; "&amp;$H$426&amp;" "&amp;H$427,'FE Déplacements'!$G:$U,13,FALSE))
+$K430*IF(ISNA(VLOOKUP($B430&amp;"; "&amp;$L$426&amp;","&amp;L$427,'FE Déplacements'!$G:$U,13,FALSE)),0,VLOOKUP($B430&amp;"; "&amp;$L$426&amp;" "&amp;L$427,'FE Déplacements'!$G:$U,13,FALSE))</f>
        <v>0</v>
      </c>
      <c r="AP430" s="565">
        <v>0</v>
      </c>
      <c r="AQ430" s="565">
        <v>0</v>
      </c>
      <c r="AR430" s="565">
        <v>0</v>
      </c>
      <c r="AS430" s="1288">
        <f t="shared" si="257"/>
        <v>0</v>
      </c>
      <c r="AT430" s="566">
        <f t="shared" si="257"/>
        <v>0</v>
      </c>
      <c r="AU430" s="566">
        <f t="shared" si="262"/>
        <v>0</v>
      </c>
      <c r="AV430" s="564">
        <f>$G430*IF(ISNA(VLOOKUP($B430&amp;"; "&amp;$H$426&amp;" "&amp;I$427,'FE Déplacements'!$G:$U,15,FALSE)),0,VLOOKUP($B430&amp;"; "&amp;$H$426&amp;" "&amp;I$427,'FE Déplacements'!$G:$U,15,FALSE))
+$K430*IF(ISNA(VLOOKUP($B430&amp;"; "&amp;$L$426&amp;" "&amp;M$427,'FE Déplacements'!$G:$U,15,FALSE)),0,VLOOKUP($B430&amp;"; "&amp;$L$426&amp;" "&amp;M$427,'FE Déplacements'!$G:$U,15,FALSE))</f>
        <v>0</v>
      </c>
      <c r="AW430" s="565">
        <f>$G430*IF(ISNA(VLOOKUP($B430&amp;"; "&amp;$H$426&amp;" "&amp;J$427,'FE Déplacements'!$G:$U,15,FALSE)),0,VLOOKUP($B430&amp;"; "&amp;$H$426&amp;" "&amp;J$427,'FE Déplacements'!$G:$U,15,FALSE))
+$K430*IF(ISNA(VLOOKUP($B430&amp;"; "&amp;$L$426&amp;" "&amp;N$427,'FE Déplacements'!$G:$U,15,FALSE)),0,VLOOKUP($B430&amp;"; "&amp;$L$426&amp;" "&amp;N$427,'FE Déplacements'!$G:$U,15,FALSE))</f>
        <v>0</v>
      </c>
      <c r="AX430" s="568">
        <f>$G430*IF(ISNA(VLOOKUP($B430&amp;"; "&amp;$H$426&amp;" "&amp;H$427,'FE Déplacements'!$G:$U,15,FALSE)),0,VLOOKUP($B430&amp;"; "&amp;$H$426&amp;" "&amp;H$427,'FE Déplacements'!$G:$U,15,FALSE))
+$K430*IF(ISNA(VLOOKUP($B430&amp;"; "&amp;$L$426&amp;" "&amp;L$427,'FE Déplacements'!$G:$U,15,FALSE)),0,VLOOKUP($B430&amp;"; "&amp;$L$426&amp;" "&amp;L$427,'FE Déplacements'!$G:$U,15,FALSE))</f>
        <v>0</v>
      </c>
      <c r="BH430" s="2268">
        <f>IF($Y430&lt;&gt;"votre valeur :",IF(ISNA(VLOOKUP($Y430,Utilitaires!$N$566:$O$571,2,FALSE)),,VLOOKUP($Y430,Utilitaires!$N$566:$O$571,2,FALSE)),$Z430)</f>
        <v>0</v>
      </c>
      <c r="BI430" s="2427">
        <f>IF(ISNA(SQRT(SUMSQ(VLOOKUP($B430&amp;"; "&amp;$H$426&amp;" "&amp;H$427,'FE Déplacements'!$G:$U,7,FALSE),$BH430))),0,SQRT(SUMSQ(VLOOKUP($B430&amp;"; "&amp;$H$426&amp;" "&amp;H$427,'FE Déplacements'!$G:$U,7,FALSE),$BH430)))</f>
        <v>0.2</v>
      </c>
      <c r="BJ430" s="2427">
        <f>IF(ISNA(SQRT(SUMSQ(VLOOKUP($B430&amp;"; "&amp;$H$426&amp;" "&amp;I$427,'FE Déplacements'!$G:$U,7,FALSE),$BH430))),0,SQRT(SUMSQ(VLOOKUP($B430&amp;"; "&amp;$H$426&amp;" "&amp;I$427,'FE Déplacements'!$G:$U,7,FALSE),$BH430)))</f>
        <v>0.2</v>
      </c>
      <c r="BK430" s="2427">
        <f>IF(ISNA(SQRT(SUMSQ(VLOOKUP($B430&amp;"; "&amp;$H$426&amp;" "&amp;J$427,'FE Déplacements'!$G:$U,7,FALSE),$BH430))),0,SQRT(SUMSQ(VLOOKUP($B430&amp;"; "&amp;$H$426&amp;" "&amp;J$427,'FE Déplacements'!$G:$U,7,FALSE),$BH430)))</f>
        <v>0.2</v>
      </c>
      <c r="BL430" s="2427">
        <f>IF(ISNA(SQRT(SUMSQ(VLOOKUP($B430&amp;"; "&amp;$L$426&amp;" "&amp;L$427,'FE Déplacements'!$G:$U,7,FALSE),$BH430))),0,SQRT(SUMSQ(VLOOKUP($B430&amp;"; "&amp;$L$426&amp;" "&amp;L$427,'FE Déplacements'!$G:$U,7,FALSE),$BH430)))</f>
        <v>0</v>
      </c>
      <c r="BM430" s="2427">
        <f>IF(ISNA(SQRT(SUMSQ(VLOOKUP($B430&amp;"; "&amp;$L$426&amp;" "&amp;M$427,'FE Déplacements'!$G:$U,7,FALSE),$BH430))),0,SQRT(SUMSQ(VLOOKUP($B430&amp;"; "&amp;$L$426&amp;" "&amp;M$427,'FE Déplacements'!$G:$U,7,FALSE),$BH430)))</f>
        <v>0</v>
      </c>
      <c r="BN430" s="1130">
        <f>IF(ISNA(SQRT(SUMSQ(VLOOKUP($B430&amp;"; "&amp;$L$426&amp;" "&amp;N$427,'FE Déplacements'!$G:$U,7,FALSE),$BH430))),0,SQRT(SUMSQ(VLOOKUP($B430&amp;"; "&amp;$L$426&amp;" "&amp;N$427,'FE Déplacements'!$G:$U,7,FALSE),$BH430)))</f>
        <v>0</v>
      </c>
    </row>
    <row r="431" spans="2:66" ht="12.75" hidden="1" customHeight="1" outlineLevel="1">
      <c r="B431" s="154"/>
      <c r="C431" s="155"/>
      <c r="D431" s="221"/>
      <c r="E431" s="221"/>
      <c r="F431" s="155"/>
      <c r="G431" s="155"/>
      <c r="H431" s="155"/>
      <c r="I431" s="155"/>
      <c r="J431" s="155"/>
      <c r="K431" s="155"/>
      <c r="L431" s="155"/>
      <c r="M431" s="155"/>
      <c r="N431" s="155"/>
      <c r="O431" s="155"/>
      <c r="P431" s="155"/>
      <c r="Q431" s="357"/>
      <c r="X431" s="154"/>
      <c r="Y431" s="155"/>
      <c r="Z431" s="155"/>
      <c r="AA431" s="155"/>
      <c r="AB431" s="155"/>
      <c r="AC431" s="155"/>
      <c r="AD431" s="357"/>
      <c r="AE431" s="257"/>
      <c r="AG431" s="564"/>
      <c r="AH431" s="565"/>
      <c r="AI431" s="565"/>
      <c r="AJ431" s="565"/>
      <c r="AK431" s="565"/>
      <c r="AL431" s="565"/>
      <c r="AM431" s="565"/>
      <c r="AN431" s="565"/>
      <c r="AO431" s="565"/>
      <c r="AP431" s="565"/>
      <c r="AQ431" s="565"/>
      <c r="AR431" s="565"/>
      <c r="AS431" s="1288"/>
      <c r="AT431" s="566"/>
      <c r="AU431" s="566"/>
      <c r="AV431" s="564"/>
      <c r="AW431" s="565"/>
      <c r="AX431" s="568"/>
      <c r="BH431" s="2269"/>
      <c r="BI431" s="2279"/>
      <c r="BJ431" s="1075"/>
      <c r="BK431" s="1075"/>
      <c r="BL431" s="1075"/>
      <c r="BM431" s="1131"/>
      <c r="BN431" s="1153"/>
    </row>
    <row r="432" spans="2:66" hidden="1" outlineLevel="1">
      <c r="B432" s="1264" t="s">
        <v>348</v>
      </c>
      <c r="C432" s="197"/>
      <c r="D432" s="214">
        <f>SUM(D428:D431)</f>
        <v>0</v>
      </c>
      <c r="E432" s="214"/>
      <c r="F432" s="198"/>
      <c r="G432" s="197"/>
      <c r="H432" s="197"/>
      <c r="I432" s="197"/>
      <c r="J432" s="197"/>
      <c r="K432" s="197"/>
      <c r="L432" s="197"/>
      <c r="M432" s="202"/>
      <c r="N432" s="202"/>
      <c r="O432" s="202">
        <f>SUM(O428:O431)</f>
        <v>0</v>
      </c>
      <c r="P432" s="202">
        <f>SUM(P428:P431)</f>
        <v>0</v>
      </c>
      <c r="Q432" s="200">
        <f>SUM(Q428:Q431)</f>
        <v>0</v>
      </c>
      <c r="X432" s="1204">
        <f>IF(AD432=0,AD432,AD432/D432)</f>
        <v>0</v>
      </c>
      <c r="Y432" s="199"/>
      <c r="Z432" s="203"/>
      <c r="AA432" s="203">
        <f>SQRT(SUMSQ(AA427:AA431))</f>
        <v>0</v>
      </c>
      <c r="AB432" s="203">
        <f>SQRT(SUMSQ(AB427:AB431))</f>
        <v>0</v>
      </c>
      <c r="AC432" s="203">
        <f>SUM(AC428:AC431)</f>
        <v>0</v>
      </c>
      <c r="AD432" s="200">
        <f>SQRT(SUMSQ(AD428:AD431))</f>
        <v>0</v>
      </c>
      <c r="AE432" s="1458"/>
      <c r="AG432" s="1082">
        <f t="shared" ref="AG432:AX432" si="263">SUM(AG428:AG431)</f>
        <v>0</v>
      </c>
      <c r="AH432" s="572">
        <f t="shared" si="263"/>
        <v>0</v>
      </c>
      <c r="AI432" s="572">
        <f t="shared" si="263"/>
        <v>0</v>
      </c>
      <c r="AJ432" s="572">
        <f t="shared" si="263"/>
        <v>0</v>
      </c>
      <c r="AK432" s="572">
        <f t="shared" si="263"/>
        <v>0</v>
      </c>
      <c r="AL432" s="572">
        <f t="shared" si="263"/>
        <v>0</v>
      </c>
      <c r="AM432" s="572">
        <f t="shared" si="263"/>
        <v>0</v>
      </c>
      <c r="AN432" s="572">
        <f t="shared" si="263"/>
        <v>0</v>
      </c>
      <c r="AO432" s="572">
        <f t="shared" si="263"/>
        <v>0</v>
      </c>
      <c r="AP432" s="572">
        <f t="shared" si="263"/>
        <v>0</v>
      </c>
      <c r="AQ432" s="572">
        <f t="shared" si="263"/>
        <v>0</v>
      </c>
      <c r="AR432" s="572">
        <f t="shared" si="263"/>
        <v>0</v>
      </c>
      <c r="AS432" s="1290">
        <f t="shared" si="263"/>
        <v>0</v>
      </c>
      <c r="AT432" s="573">
        <f t="shared" si="263"/>
        <v>0</v>
      </c>
      <c r="AU432" s="573">
        <f t="shared" si="263"/>
        <v>0</v>
      </c>
      <c r="AV432" s="1082">
        <f t="shared" si="263"/>
        <v>0</v>
      </c>
      <c r="AW432" s="572">
        <f t="shared" si="263"/>
        <v>0</v>
      </c>
      <c r="AX432" s="575">
        <f t="shared" si="263"/>
        <v>0</v>
      </c>
    </row>
    <row r="433" spans="2:60" hidden="1" outlineLevel="1"/>
    <row r="434" spans="2:60" ht="15">
      <c r="AG434" s="593"/>
      <c r="AH434" s="593"/>
      <c r="AI434" s="593"/>
      <c r="AJ434" s="593"/>
      <c r="AK434" s="593"/>
    </row>
    <row r="435" spans="2:60" ht="15">
      <c r="AG435" s="593"/>
      <c r="AH435" s="593"/>
      <c r="AI435" s="593"/>
      <c r="AJ435" s="593"/>
      <c r="AK435" s="593"/>
    </row>
    <row r="436" spans="2:60" ht="15">
      <c r="AG436" s="593"/>
      <c r="AH436" s="593"/>
      <c r="AI436" s="593"/>
      <c r="AJ436" s="593"/>
      <c r="AK436" s="593"/>
      <c r="AZ436" s="91"/>
      <c r="BA436" s="91"/>
      <c r="BB436" s="91"/>
      <c r="BC436" s="91"/>
      <c r="BD436" s="91"/>
      <c r="BE436" s="91"/>
      <c r="BF436" s="91"/>
      <c r="BG436" s="91"/>
      <c r="BH436" s="91"/>
    </row>
    <row r="437" spans="2:60" ht="20.100000000000001" customHeight="1">
      <c r="B437" s="2664" t="s">
        <v>518</v>
      </c>
      <c r="C437" s="2665"/>
      <c r="D437" s="2665"/>
      <c r="E437" s="2665"/>
      <c r="F437" s="2665"/>
      <c r="G437" s="2665"/>
      <c r="H437" s="2665"/>
      <c r="I437" s="2665"/>
      <c r="J437" s="2665"/>
      <c r="K437" s="2665"/>
      <c r="L437" s="2665"/>
      <c r="M437" s="2665"/>
      <c r="N437" s="2665"/>
      <c r="O437" s="2666"/>
      <c r="P437" s="130"/>
      <c r="Q437" s="130"/>
      <c r="R437" s="130"/>
      <c r="S437" s="130"/>
      <c r="T437" s="130"/>
      <c r="U437" s="130"/>
      <c r="V437" s="130"/>
      <c r="W437" s="130"/>
      <c r="X437" s="130"/>
      <c r="Y437" s="130"/>
      <c r="Z437" s="130"/>
      <c r="AA437" s="130"/>
      <c r="AB437" s="130"/>
      <c r="AC437" s="130"/>
      <c r="AD437" s="130"/>
      <c r="AE437" s="1238"/>
      <c r="AF437" s="1238"/>
      <c r="AZ437" s="91"/>
      <c r="BA437" s="91"/>
      <c r="BB437" s="91"/>
      <c r="BC437" s="91"/>
      <c r="BD437" s="91"/>
      <c r="BE437" s="91"/>
      <c r="BF437" s="91"/>
      <c r="BG437" s="91"/>
      <c r="BH437" s="91"/>
    </row>
    <row r="438" spans="2:60" ht="15">
      <c r="AL438" s="593"/>
      <c r="AQ438" s="593"/>
      <c r="AR438" s="593"/>
      <c r="AZ438" s="91"/>
      <c r="BA438" s="91"/>
      <c r="BB438" s="91"/>
      <c r="BC438" s="91"/>
      <c r="BD438" s="91"/>
      <c r="BE438" s="91"/>
      <c r="BF438" s="91"/>
      <c r="BG438" s="91"/>
      <c r="BH438" s="91"/>
    </row>
    <row r="439" spans="2:60" ht="12.75" customHeight="1">
      <c r="B439" s="2667" t="str">
        <f>Descriptif!C31</f>
        <v>Déplacements</v>
      </c>
      <c r="C439" s="2668"/>
      <c r="D439" s="2671" t="s">
        <v>409</v>
      </c>
      <c r="E439" s="2672"/>
      <c r="F439" s="2673"/>
      <c r="G439" s="129"/>
      <c r="H439" s="2671" t="s">
        <v>159</v>
      </c>
      <c r="I439" s="2673"/>
      <c r="J439" s="170"/>
      <c r="K439" s="2674" t="s">
        <v>499</v>
      </c>
      <c r="L439" s="2675"/>
      <c r="M439" s="2675"/>
      <c r="N439" s="2676"/>
      <c r="Y439" s="116"/>
      <c r="Z439" s="441"/>
      <c r="AA439" s="441"/>
      <c r="AB439" s="441"/>
      <c r="AC439" s="441"/>
      <c r="AD439" s="441"/>
      <c r="AE439" s="444"/>
      <c r="AF439" s="441"/>
      <c r="AS439" s="114"/>
      <c r="AT439" s="91"/>
      <c r="AU439" s="91"/>
      <c r="AV439" s="91"/>
      <c r="AW439" s="91"/>
      <c r="AX439" s="91"/>
      <c r="AY439" s="91"/>
      <c r="AZ439" s="91"/>
      <c r="BA439" s="91"/>
      <c r="BB439" s="91"/>
    </row>
    <row r="440" spans="2:60" ht="12.75" customHeight="1">
      <c r="B440" s="2669"/>
      <c r="C440" s="2670"/>
      <c r="D440" s="273" t="s">
        <v>444</v>
      </c>
      <c r="E440" s="276" t="s">
        <v>500</v>
      </c>
      <c r="F440" s="273" t="s">
        <v>524</v>
      </c>
      <c r="G440" s="129"/>
      <c r="H440" s="273" t="s">
        <v>444</v>
      </c>
      <c r="I440" s="273" t="s">
        <v>355</v>
      </c>
      <c r="J440" s="170"/>
      <c r="K440" s="277" t="s">
        <v>43</v>
      </c>
      <c r="L440" s="277" t="s">
        <v>522</v>
      </c>
      <c r="M440" s="277" t="s">
        <v>522</v>
      </c>
      <c r="N440" s="277" t="s">
        <v>523</v>
      </c>
      <c r="Y440" s="116"/>
      <c r="Z440" s="441"/>
      <c r="AA440" s="441"/>
      <c r="AB440" s="441"/>
      <c r="AC440" s="441"/>
      <c r="AD440" s="441"/>
      <c r="AE440" s="444"/>
      <c r="AF440" s="441"/>
      <c r="AS440" s="114"/>
      <c r="AT440" s="91"/>
      <c r="AU440" s="91"/>
      <c r="AV440" s="91"/>
      <c r="AW440" s="91"/>
      <c r="AX440" s="91"/>
      <c r="AY440" s="91"/>
      <c r="AZ440" s="91"/>
      <c r="BA440" s="91"/>
      <c r="BB440" s="91"/>
    </row>
    <row r="441" spans="2:60" s="91" customFormat="1">
      <c r="B441" s="2660" t="s">
        <v>36</v>
      </c>
      <c r="C441" s="2661"/>
      <c r="D441" s="183">
        <f>D23+D34+D60+D70+D80+D90+D99+D109</f>
        <v>82747.526600000012</v>
      </c>
      <c r="E441" s="184">
        <f t="shared" ref="E441:E447" si="264">D441/1000</f>
        <v>82.747526600000015</v>
      </c>
      <c r="F441" s="185">
        <f>IF($D$448=0,"",D441/$D$448)</f>
        <v>0.66896434181380515</v>
      </c>
      <c r="G441" s="128"/>
      <c r="H441" s="136">
        <f>SQRT(AC23^2+AD34^2+AD60^2+AD70^2+AD80^2+AC90^2+AD99^2+AC109^2)</f>
        <v>19859.199601136224</v>
      </c>
      <c r="I441" s="185">
        <f t="shared" ref="I441:I448" si="265">IF(D441=0,"",H441/D441)</f>
        <v>0.23999750103873463</v>
      </c>
      <c r="J441" s="170"/>
      <c r="K441" s="187">
        <f t="shared" ref="K441:K448" si="266">(D441-H441)/1000</f>
        <v>62.888326998863789</v>
      </c>
      <c r="L441" s="187">
        <f t="shared" ref="L441:L448" si="267">E441</f>
        <v>82.747526600000015</v>
      </c>
      <c r="M441" s="187">
        <f t="shared" ref="M441:M448" si="268">E441</f>
        <v>82.747526600000015</v>
      </c>
      <c r="N441" s="187">
        <f t="shared" ref="N441:N448" si="269">(D441+H441)/1000</f>
        <v>102.60672620113623</v>
      </c>
      <c r="Y441" s="93"/>
      <c r="Z441" s="595"/>
      <c r="AA441" s="595"/>
      <c r="AB441" s="595"/>
      <c r="AC441" s="595"/>
      <c r="AD441" s="595"/>
      <c r="AE441" s="1681"/>
      <c r="AF441" s="595"/>
      <c r="AG441" s="595"/>
      <c r="AH441" s="595"/>
      <c r="AI441" s="595"/>
      <c r="AJ441" s="595"/>
      <c r="AK441" s="595"/>
      <c r="AL441" s="595"/>
      <c r="AM441" s="595"/>
      <c r="AN441" s="595"/>
      <c r="AO441" s="595"/>
      <c r="AP441" s="595"/>
      <c r="AQ441" s="595"/>
      <c r="AR441" s="595"/>
    </row>
    <row r="442" spans="2:60" s="91" customFormat="1">
      <c r="B442" s="2660" t="s">
        <v>84</v>
      </c>
      <c r="C442" s="2661"/>
      <c r="D442" s="183">
        <f>D127+D137+D163</f>
        <v>38257.154999999999</v>
      </c>
      <c r="E442" s="184">
        <f t="shared" si="264"/>
        <v>38.257154999999997</v>
      </c>
      <c r="F442" s="185">
        <f t="shared" ref="F442:F448" si="270">IF($D$448=0,"",D442/$D$448)</f>
        <v>0.30928625381104408</v>
      </c>
      <c r="G442" s="128"/>
      <c r="H442" s="136">
        <f>SQRT(AC127^2+AA137^2+AD163^2)</f>
        <v>1582.254007494945</v>
      </c>
      <c r="I442" s="185">
        <f t="shared" si="265"/>
        <v>4.1358381392838671E-2</v>
      </c>
      <c r="J442" s="170"/>
      <c r="K442" s="187">
        <f t="shared" si="266"/>
        <v>36.674900992505059</v>
      </c>
      <c r="L442" s="187">
        <f t="shared" si="267"/>
        <v>38.257154999999997</v>
      </c>
      <c r="M442" s="187">
        <f t="shared" si="268"/>
        <v>38.257154999999997</v>
      </c>
      <c r="N442" s="187">
        <f t="shared" si="269"/>
        <v>39.839409007494943</v>
      </c>
      <c r="Y442" s="93"/>
      <c r="Z442" s="595"/>
      <c r="AA442" s="595"/>
      <c r="AB442" s="595"/>
      <c r="AC442" s="595"/>
      <c r="AD442" s="595"/>
      <c r="AE442" s="1681"/>
      <c r="AF442" s="595"/>
      <c r="AG442" s="595"/>
      <c r="AH442" s="595"/>
      <c r="AI442" s="595"/>
      <c r="AJ442" s="595"/>
      <c r="AK442" s="595"/>
      <c r="AL442" s="595"/>
      <c r="AM442" s="595"/>
      <c r="AN442" s="595"/>
      <c r="AO442" s="595"/>
      <c r="AP442" s="595"/>
      <c r="AQ442" s="595"/>
      <c r="AR442" s="595"/>
    </row>
    <row r="443" spans="2:60" s="91" customFormat="1" ht="15">
      <c r="B443" s="2660" t="s">
        <v>106</v>
      </c>
      <c r="C443" s="2661"/>
      <c r="D443" s="183">
        <f>D175+D185+D195+D204</f>
        <v>0</v>
      </c>
      <c r="E443" s="184">
        <f t="shared" si="264"/>
        <v>0</v>
      </c>
      <c r="F443" s="185">
        <f t="shared" si="270"/>
        <v>0</v>
      </c>
      <c r="G443" s="128"/>
      <c r="H443" s="136">
        <f>SQRT(AA175^2+AD185^2+AD195^2+AD204^2)</f>
        <v>0</v>
      </c>
      <c r="I443" s="185" t="str">
        <f t="shared" si="265"/>
        <v/>
      </c>
      <c r="J443" s="170"/>
      <c r="K443" s="187">
        <f t="shared" si="266"/>
        <v>0</v>
      </c>
      <c r="L443" s="187">
        <f t="shared" si="267"/>
        <v>0</v>
      </c>
      <c r="M443" s="187">
        <f t="shared" si="268"/>
        <v>0</v>
      </c>
      <c r="N443" s="187">
        <f t="shared" si="269"/>
        <v>0</v>
      </c>
      <c r="Y443" s="93"/>
      <c r="Z443" s="595"/>
      <c r="AA443" s="595"/>
      <c r="AB443" s="595"/>
      <c r="AC443" s="595"/>
      <c r="AD443" s="595"/>
      <c r="AE443" s="1681"/>
      <c r="AF443" s="595"/>
      <c r="AG443" s="595"/>
      <c r="AH443" s="595"/>
      <c r="AI443" s="595"/>
      <c r="AJ443" s="595"/>
      <c r="AK443" s="595"/>
      <c r="AL443" s="595"/>
      <c r="AM443" s="595"/>
      <c r="AN443" s="595"/>
      <c r="AO443" s="595"/>
      <c r="AP443" s="595"/>
      <c r="AQ443" s="595"/>
      <c r="AR443" s="595"/>
      <c r="AT443" s="98"/>
      <c r="AU443" s="98"/>
      <c r="AV443" s="98"/>
      <c r="AW443" s="98"/>
      <c r="AX443" s="98"/>
      <c r="AY443" s="98"/>
      <c r="AZ443" s="98"/>
      <c r="BA443" s="98"/>
      <c r="BB443" s="98"/>
    </row>
    <row r="444" spans="2:60" s="91" customFormat="1">
      <c r="B444" s="2660" t="s">
        <v>107</v>
      </c>
      <c r="C444" s="2661"/>
      <c r="D444" s="183">
        <f>D215+D223+D233+D243</f>
        <v>45.311999999999998</v>
      </c>
      <c r="E444" s="184">
        <f t="shared" si="264"/>
        <v>4.5311999999999998E-2</v>
      </c>
      <c r="F444" s="185">
        <f t="shared" si="270"/>
        <v>3.6632046300060807E-4</v>
      </c>
      <c r="G444" s="128"/>
      <c r="H444" s="136">
        <f>SQRT(AA215^2+AA223^2+AA233^2+AD243^2)</f>
        <v>7.0699812503287456</v>
      </c>
      <c r="I444" s="185">
        <f t="shared" si="265"/>
        <v>0.15602889411919019</v>
      </c>
      <c r="J444" s="170"/>
      <c r="K444" s="187">
        <f t="shared" si="266"/>
        <v>3.8242018749671251E-2</v>
      </c>
      <c r="L444" s="187">
        <f t="shared" si="267"/>
        <v>4.5311999999999998E-2</v>
      </c>
      <c r="M444" s="187">
        <f t="shared" si="268"/>
        <v>4.5311999999999998E-2</v>
      </c>
      <c r="N444" s="187">
        <f t="shared" si="269"/>
        <v>5.2381981250328745E-2</v>
      </c>
      <c r="Y444" s="93"/>
      <c r="Z444" s="595"/>
      <c r="AA444" s="595"/>
      <c r="AB444" s="595"/>
      <c r="AC444" s="595"/>
      <c r="AD444" s="595"/>
      <c r="AE444" s="1681"/>
      <c r="AF444" s="595"/>
      <c r="AG444" s="595"/>
      <c r="AH444" s="595"/>
      <c r="AI444" s="595"/>
      <c r="AJ444" s="595"/>
      <c r="AK444" s="595"/>
      <c r="AL444" s="595"/>
      <c r="AM444" s="595"/>
      <c r="AN444" s="595"/>
      <c r="AO444" s="595"/>
      <c r="AP444" s="595"/>
      <c r="AQ444" s="595"/>
      <c r="AR444" s="595"/>
    </row>
    <row r="445" spans="2:60" s="91" customFormat="1">
      <c r="B445" s="2660" t="s">
        <v>108</v>
      </c>
      <c r="C445" s="2661"/>
      <c r="D445" s="183">
        <f>D254+D264+D275+D286</f>
        <v>2644.98</v>
      </c>
      <c r="E445" s="184">
        <f t="shared" si="264"/>
        <v>2.6449799999999999</v>
      </c>
      <c r="F445" s="185">
        <f>IF($D$448=0,"",D445/$D$448)</f>
        <v>2.1383083912150169E-2</v>
      </c>
      <c r="G445" s="128"/>
      <c r="H445" s="136">
        <f>SQRT(AD254^2+AA264^2+AE275^2+AE286^2)</f>
        <v>1197.6640413889029</v>
      </c>
      <c r="I445" s="185">
        <f t="shared" si="265"/>
        <v>0.45280646409005093</v>
      </c>
      <c r="J445" s="170"/>
      <c r="K445" s="187">
        <f t="shared" si="266"/>
        <v>1.4473159586110971</v>
      </c>
      <c r="L445" s="187">
        <f t="shared" si="267"/>
        <v>2.6449799999999999</v>
      </c>
      <c r="M445" s="187">
        <f t="shared" si="268"/>
        <v>2.6449799999999999</v>
      </c>
      <c r="N445" s="187">
        <f t="shared" si="269"/>
        <v>3.8426440413889029</v>
      </c>
      <c r="Y445" s="93"/>
      <c r="Z445" s="595"/>
      <c r="AA445" s="595"/>
      <c r="AB445" s="595"/>
      <c r="AC445" s="595"/>
      <c r="AD445" s="595"/>
      <c r="AE445" s="1681"/>
      <c r="AF445" s="595"/>
      <c r="AG445" s="595"/>
      <c r="AH445" s="595"/>
      <c r="AI445" s="595"/>
      <c r="AJ445" s="595"/>
      <c r="AK445" s="595"/>
      <c r="AL445" s="595"/>
      <c r="AM445" s="595"/>
      <c r="AN445" s="595"/>
      <c r="AO445" s="595"/>
      <c r="AP445" s="595"/>
      <c r="AQ445" s="595"/>
      <c r="AR445" s="595"/>
      <c r="AT445" s="114"/>
      <c r="AU445" s="114"/>
      <c r="AV445" s="114"/>
      <c r="AW445" s="114"/>
      <c r="AX445" s="114"/>
      <c r="AY445" s="114"/>
      <c r="AZ445" s="114"/>
      <c r="BA445" s="114"/>
      <c r="BB445" s="114"/>
    </row>
    <row r="446" spans="2:60" s="91" customFormat="1">
      <c r="B446" s="2660" t="s">
        <v>884</v>
      </c>
      <c r="C446" s="2661"/>
      <c r="D446" s="183">
        <f>D298+D308+D318</f>
        <v>0</v>
      </c>
      <c r="E446" s="184">
        <f t="shared" si="264"/>
        <v>0</v>
      </c>
      <c r="F446" s="185">
        <f t="shared" si="270"/>
        <v>0</v>
      </c>
      <c r="G446" s="128"/>
      <c r="H446" s="136">
        <f>SQRT(AD298^2+AA308^2+AD318^2)</f>
        <v>0</v>
      </c>
      <c r="I446" s="185" t="str">
        <f t="shared" si="265"/>
        <v/>
      </c>
      <c r="J446" s="170"/>
      <c r="K446" s="187">
        <f t="shared" si="266"/>
        <v>0</v>
      </c>
      <c r="L446" s="187">
        <f t="shared" si="267"/>
        <v>0</v>
      </c>
      <c r="M446" s="187">
        <f t="shared" si="268"/>
        <v>0</v>
      </c>
      <c r="N446" s="187">
        <f t="shared" si="269"/>
        <v>0</v>
      </c>
      <c r="Y446" s="93"/>
      <c r="Z446" s="595"/>
      <c r="AA446" s="595"/>
      <c r="AB446" s="595"/>
      <c r="AC446" s="595"/>
      <c r="AD446" s="595"/>
      <c r="AE446" s="1681"/>
      <c r="AF446" s="595"/>
      <c r="AG446" s="595"/>
      <c r="AH446" s="595"/>
      <c r="AI446" s="595"/>
      <c r="AJ446" s="595"/>
      <c r="AK446" s="595"/>
      <c r="AL446" s="595"/>
      <c r="AM446" s="595"/>
      <c r="AN446" s="595"/>
      <c r="AO446" s="595"/>
      <c r="AP446" s="595"/>
      <c r="AQ446" s="595"/>
      <c r="AR446" s="595"/>
      <c r="AT446" s="114"/>
      <c r="AU446" s="114"/>
      <c r="AV446" s="114"/>
      <c r="AW446" s="114"/>
      <c r="AX446" s="114"/>
      <c r="AY446" s="114"/>
      <c r="AZ446" s="114"/>
      <c r="BA446" s="114"/>
      <c r="BB446" s="114"/>
    </row>
    <row r="447" spans="2:60" s="91" customFormat="1">
      <c r="B447" s="2660" t="s">
        <v>294</v>
      </c>
      <c r="C447" s="2661"/>
      <c r="D447" s="183">
        <f>D335+D361+D371+D381+D390+D401+D412+D422+D432</f>
        <v>0</v>
      </c>
      <c r="E447" s="184">
        <f t="shared" si="264"/>
        <v>0</v>
      </c>
      <c r="F447" s="185">
        <f t="shared" si="270"/>
        <v>0</v>
      </c>
      <c r="G447" s="128"/>
      <c r="H447" s="136">
        <f>SQRT(AD335^2+AD361^2+AD371^2+AD381^2+AD390^2+AE401^2+AE412^2+AD422^2+AD432^2)</f>
        <v>0</v>
      </c>
      <c r="I447" s="185" t="str">
        <f t="shared" si="265"/>
        <v/>
      </c>
      <c r="J447" s="170"/>
      <c r="K447" s="187">
        <f t="shared" si="266"/>
        <v>0</v>
      </c>
      <c r="L447" s="187">
        <f t="shared" si="267"/>
        <v>0</v>
      </c>
      <c r="M447" s="187">
        <f t="shared" si="268"/>
        <v>0</v>
      </c>
      <c r="N447" s="187">
        <f t="shared" si="269"/>
        <v>0</v>
      </c>
      <c r="Y447" s="93"/>
      <c r="Z447" s="595"/>
      <c r="AA447" s="595"/>
      <c r="AB447" s="595"/>
      <c r="AC447" s="595"/>
      <c r="AD447" s="595"/>
      <c r="AE447" s="1681"/>
      <c r="AF447" s="595"/>
      <c r="AG447" s="595"/>
      <c r="AH447" s="595"/>
      <c r="AI447" s="595"/>
      <c r="AJ447" s="595"/>
      <c r="AK447" s="595"/>
      <c r="AL447" s="595"/>
      <c r="AM447" s="595"/>
      <c r="AN447" s="595"/>
      <c r="AO447" s="595"/>
      <c r="AP447" s="595"/>
      <c r="AQ447" s="595"/>
      <c r="AR447" s="595"/>
      <c r="AT447" s="114"/>
      <c r="AU447" s="114"/>
      <c r="AV447" s="114"/>
      <c r="AW447" s="114"/>
      <c r="AX447" s="114"/>
      <c r="AY447" s="114"/>
      <c r="AZ447" s="114"/>
      <c r="BA447" s="114"/>
      <c r="BB447" s="114"/>
    </row>
    <row r="448" spans="2:60" s="98" customFormat="1" ht="15">
      <c r="B448" s="2662" t="s">
        <v>348</v>
      </c>
      <c r="C448" s="2663"/>
      <c r="D448" s="188">
        <f>SUM(D441:D447)</f>
        <v>123694.97360000001</v>
      </c>
      <c r="E448" s="189">
        <f>SUM(E441:E447)</f>
        <v>123.69497360000001</v>
      </c>
      <c r="F448" s="190">
        <f t="shared" si="270"/>
        <v>1</v>
      </c>
      <c r="G448" s="191"/>
      <c r="H448" s="188">
        <f>SQRT(SUMSQ(H441:H447))</f>
        <v>19958.100753395196</v>
      </c>
      <c r="I448" s="190">
        <f t="shared" si="265"/>
        <v>0.16134932707884256</v>
      </c>
      <c r="J448" s="192"/>
      <c r="K448" s="187">
        <f t="shared" si="266"/>
        <v>103.73687284660483</v>
      </c>
      <c r="L448" s="187">
        <f t="shared" si="267"/>
        <v>123.69497360000001</v>
      </c>
      <c r="M448" s="187">
        <f t="shared" si="268"/>
        <v>123.69497360000001</v>
      </c>
      <c r="N448" s="187">
        <f t="shared" si="269"/>
        <v>143.6530743533952</v>
      </c>
      <c r="Y448" s="1239"/>
      <c r="Z448" s="617"/>
      <c r="AA448" s="617"/>
      <c r="AB448" s="617"/>
      <c r="AC448" s="617"/>
      <c r="AD448" s="617"/>
      <c r="AE448" s="1775"/>
      <c r="AF448" s="617"/>
      <c r="AG448" s="617"/>
      <c r="AH448" s="617"/>
      <c r="AI448" s="617"/>
      <c r="AJ448" s="617"/>
      <c r="AK448" s="617"/>
      <c r="AL448" s="617"/>
      <c r="AM448" s="617"/>
      <c r="AN448" s="617"/>
      <c r="AO448" s="617"/>
      <c r="AP448" s="617"/>
      <c r="AQ448" s="617"/>
      <c r="AR448" s="617"/>
      <c r="AT448" s="114"/>
      <c r="AU448" s="114"/>
      <c r="AV448" s="114"/>
      <c r="AW448" s="114"/>
      <c r="AX448" s="114"/>
      <c r="AY448" s="114"/>
      <c r="AZ448" s="114"/>
      <c r="BA448" s="114"/>
      <c r="BB448" s="114"/>
    </row>
    <row r="449" spans="2:60" s="91" customFormat="1">
      <c r="B449" s="131"/>
      <c r="C449" s="131"/>
      <c r="D449" s="131"/>
      <c r="E449" s="131"/>
      <c r="F449" s="131"/>
      <c r="G449" s="131"/>
      <c r="H449" s="172"/>
      <c r="I449" s="172"/>
      <c r="J449" s="173"/>
      <c r="K449" s="173"/>
      <c r="L449" s="173"/>
      <c r="M449" s="173"/>
      <c r="N449" s="173"/>
      <c r="Y449" s="93"/>
      <c r="Z449" s="595"/>
      <c r="AA449" s="595"/>
      <c r="AB449" s="595"/>
      <c r="AC449" s="595"/>
      <c r="AD449" s="595"/>
      <c r="AE449" s="1681"/>
      <c r="AF449" s="595"/>
      <c r="AG449" s="595"/>
      <c r="AH449" s="595"/>
      <c r="AI449" s="595"/>
      <c r="AJ449" s="595"/>
      <c r="AK449" s="595"/>
      <c r="AL449" s="595"/>
      <c r="AM449" s="595"/>
      <c r="AN449" s="595"/>
      <c r="AO449" s="595"/>
      <c r="AP449" s="595"/>
      <c r="AQ449" s="595"/>
      <c r="AR449" s="595"/>
      <c r="AT449" s="114"/>
      <c r="AU449" s="114"/>
      <c r="AV449" s="114"/>
      <c r="AW449" s="114"/>
      <c r="AX449" s="114"/>
      <c r="AY449" s="114"/>
      <c r="AZ449" s="114"/>
      <c r="BA449" s="114"/>
      <c r="BB449" s="114"/>
    </row>
    <row r="450" spans="2:60">
      <c r="G450" s="254"/>
    </row>
    <row r="451" spans="2:60" ht="13.8">
      <c r="B451" s="2662" t="s">
        <v>501</v>
      </c>
      <c r="C451" s="2663"/>
      <c r="D451" s="273" t="s">
        <v>36</v>
      </c>
      <c r="E451" s="273" t="s">
        <v>83</v>
      </c>
      <c r="F451" s="273" t="s">
        <v>496</v>
      </c>
      <c r="G451" s="2580" t="s">
        <v>502</v>
      </c>
    </row>
    <row r="452" spans="2:60">
      <c r="B452" s="2660" t="s">
        <v>189</v>
      </c>
      <c r="C452" s="2661"/>
      <c r="D452" s="183">
        <f>(D23+D34+D60+D70+D80+D90+D99)/1000</f>
        <v>82.747526600000015</v>
      </c>
      <c r="E452" s="136">
        <f>E442+E443</f>
        <v>38.257154999999997</v>
      </c>
      <c r="F452" s="183">
        <f>(D335+D361+D371+D381+D390)/1000</f>
        <v>0</v>
      </c>
      <c r="G452" s="136">
        <f>SUM(D452:F452)</f>
        <v>121.00468160000001</v>
      </c>
    </row>
    <row r="453" spans="2:60">
      <c r="B453" s="2660" t="s">
        <v>387</v>
      </c>
      <c r="C453" s="2661"/>
      <c r="D453" s="183"/>
      <c r="E453" s="136">
        <f>E445</f>
        <v>2.6449799999999999</v>
      </c>
      <c r="F453" s="183">
        <f>(D401+D412)/1000</f>
        <v>0</v>
      </c>
      <c r="G453" s="136">
        <f>SUM(D453:F453)</f>
        <v>2.6449799999999999</v>
      </c>
    </row>
    <row r="454" spans="2:60">
      <c r="B454" s="2660" t="s">
        <v>4068</v>
      </c>
      <c r="C454" s="2661"/>
      <c r="D454" s="183">
        <f>D109/1000</f>
        <v>0</v>
      </c>
      <c r="E454" s="136">
        <f>E444</f>
        <v>4.5311999999999998E-2</v>
      </c>
      <c r="F454" s="183">
        <f>D432/1000</f>
        <v>0</v>
      </c>
      <c r="G454" s="136">
        <f>SUM(D454:F454)</f>
        <v>4.5311999999999998E-2</v>
      </c>
    </row>
    <row r="455" spans="2:60">
      <c r="B455" s="2660" t="s">
        <v>389</v>
      </c>
      <c r="C455" s="2661"/>
      <c r="D455" s="183"/>
      <c r="E455" s="136">
        <f>E446</f>
        <v>0</v>
      </c>
      <c r="F455" s="183">
        <f>D422/1000</f>
        <v>0</v>
      </c>
      <c r="G455" s="136">
        <f>SUM(D455:F455)</f>
        <v>0</v>
      </c>
    </row>
    <row r="456" spans="2:60" ht="13.8">
      <c r="B456" s="2662" t="s">
        <v>348</v>
      </c>
      <c r="C456" s="2663"/>
      <c r="D456" s="188">
        <f>SUM(D452:D455)</f>
        <v>82.747526600000015</v>
      </c>
      <c r="E456" s="188">
        <f>SUM(E452:E455)</f>
        <v>40.947446999999997</v>
      </c>
      <c r="F456" s="188">
        <f>SUM(F452:F455)</f>
        <v>0</v>
      </c>
      <c r="G456" s="188">
        <f>SUM(D456:F456)</f>
        <v>123.69497360000001</v>
      </c>
    </row>
    <row r="457" spans="2:60">
      <c r="G457" s="254"/>
    </row>
    <row r="458" spans="2:60" ht="15">
      <c r="AG458" s="593"/>
      <c r="AH458" s="593"/>
      <c r="AI458" s="593"/>
      <c r="AJ458" s="593"/>
      <c r="AK458" s="593"/>
      <c r="AZ458" s="91"/>
      <c r="BA458" s="91"/>
      <c r="BB458" s="91"/>
      <c r="BC458" s="91"/>
      <c r="BD458" s="91"/>
      <c r="BE458" s="91"/>
      <c r="BF458" s="91"/>
      <c r="BG458" s="91"/>
      <c r="BH458" s="91"/>
    </row>
    <row r="459" spans="2:60" ht="15.6" collapsed="1">
      <c r="B459" s="2677" t="s">
        <v>519</v>
      </c>
      <c r="C459" s="2678"/>
      <c r="D459" s="2678"/>
      <c r="E459" s="2678"/>
      <c r="F459" s="2678"/>
      <c r="G459" s="2678"/>
      <c r="H459" s="2678"/>
      <c r="I459" s="2678"/>
      <c r="J459" s="2678"/>
      <c r="K459" s="2678"/>
      <c r="L459" s="2678"/>
      <c r="M459" s="2678"/>
      <c r="N459" s="2678"/>
      <c r="O459" s="2679"/>
      <c r="P459" s="130"/>
      <c r="Q459" s="130"/>
      <c r="R459" s="130"/>
      <c r="S459" s="130"/>
      <c r="T459" s="130"/>
      <c r="U459" s="130"/>
      <c r="V459" s="130"/>
      <c r="W459" s="130"/>
      <c r="X459" s="130"/>
      <c r="Y459" s="130"/>
      <c r="Z459" s="130"/>
      <c r="AA459" s="130"/>
      <c r="AB459" s="130"/>
      <c r="AC459" s="130"/>
      <c r="AD459" s="130"/>
      <c r="AE459" s="1238"/>
      <c r="AF459" s="1238"/>
    </row>
    <row r="460" spans="2:60" hidden="1" outlineLevel="1">
      <c r="Z460" s="116"/>
      <c r="AA460" s="116"/>
      <c r="AB460" s="441"/>
      <c r="AC460" s="441"/>
      <c r="AD460" s="441"/>
      <c r="AE460" s="441"/>
      <c r="AF460" s="441"/>
      <c r="AT460" s="114"/>
      <c r="AU460" s="114"/>
      <c r="AV460" s="114"/>
      <c r="AW460" s="114"/>
      <c r="AX460" s="114"/>
    </row>
    <row r="461" spans="2:60" ht="12.75" hidden="1" customHeight="1" outlineLevel="1">
      <c r="B461" s="2667" t="str">
        <f>B439</f>
        <v>Déplacements</v>
      </c>
      <c r="C461" s="2845"/>
      <c r="D461" s="2668"/>
      <c r="E461" s="2671" t="s">
        <v>409</v>
      </c>
      <c r="F461" s="2672"/>
      <c r="G461" s="2673"/>
      <c r="H461" s="170"/>
      <c r="I461" s="2671" t="s">
        <v>159</v>
      </c>
      <c r="J461" s="2673"/>
      <c r="K461" s="170"/>
      <c r="Z461" s="116"/>
      <c r="AA461" s="116"/>
      <c r="AB461" s="441"/>
      <c r="AC461" s="441"/>
      <c r="AD461" s="441"/>
      <c r="AE461" s="441"/>
      <c r="AF461" s="441"/>
      <c r="AT461" s="114"/>
      <c r="AU461" s="114"/>
      <c r="AV461" s="114"/>
      <c r="AW461" s="114"/>
      <c r="AX461" s="114"/>
    </row>
    <row r="462" spans="2:60" ht="12.75" hidden="1" customHeight="1" outlineLevel="1">
      <c r="B462" s="2669"/>
      <c r="C462" s="2846"/>
      <c r="D462" s="2670"/>
      <c r="E462" s="171" t="s">
        <v>444</v>
      </c>
      <c r="F462" s="171" t="s">
        <v>500</v>
      </c>
      <c r="G462" s="171" t="s">
        <v>524</v>
      </c>
      <c r="H462" s="176"/>
      <c r="I462" s="273" t="s">
        <v>444</v>
      </c>
      <c r="J462" s="273" t="s">
        <v>355</v>
      </c>
      <c r="K462" s="170"/>
      <c r="Z462" s="116"/>
      <c r="AA462" s="116"/>
      <c r="AB462" s="441"/>
      <c r="AC462" s="441"/>
      <c r="AD462" s="441"/>
      <c r="AE462" s="441"/>
      <c r="AF462" s="441"/>
      <c r="AT462" s="114"/>
      <c r="AU462" s="114"/>
      <c r="AV462" s="114"/>
      <c r="AW462" s="114"/>
      <c r="AX462" s="114"/>
    </row>
    <row r="463" spans="2:60" hidden="1" outlineLevel="1">
      <c r="B463" s="274" t="s">
        <v>209</v>
      </c>
      <c r="C463" s="275"/>
      <c r="D463" s="136"/>
      <c r="E463" s="136">
        <f>U23+Q34+N60+N70+N80+Q90+R99</f>
        <v>0</v>
      </c>
      <c r="F463" s="136">
        <f t="shared" ref="F463:F490" si="271">E463/1000</f>
        <v>0</v>
      </c>
      <c r="G463" s="185">
        <f>IF($E$490=0,"",E463/$E$490)</f>
        <v>0</v>
      </c>
      <c r="H463" s="170"/>
      <c r="I463" s="136">
        <f>SQRT(AD23^2+AE34^2+AE60^2+AE70^2+AE80^2+AD90^2+AE99^2)</f>
        <v>0</v>
      </c>
      <c r="J463" s="185" t="str">
        <f t="shared" ref="J463:J490" si="272">IF(E463=0,"",I463/E463)</f>
        <v/>
      </c>
      <c r="K463" s="170"/>
      <c r="L463" s="170"/>
      <c r="Z463" s="116"/>
      <c r="AA463" s="116"/>
      <c r="AB463" s="441"/>
      <c r="AC463" s="441"/>
      <c r="AD463" s="441"/>
      <c r="AE463" s="441"/>
      <c r="AF463" s="441"/>
      <c r="AT463" s="114"/>
      <c r="AU463" s="114"/>
      <c r="AV463" s="114"/>
      <c r="AW463" s="114"/>
      <c r="AX463" s="114"/>
    </row>
    <row r="464" spans="2:60" hidden="1" outlineLevel="1">
      <c r="B464" s="274" t="s">
        <v>347</v>
      </c>
      <c r="C464" s="275"/>
      <c r="D464" s="136"/>
      <c r="E464" s="136">
        <f>T23-U23+P34-Q34+M60-N60+M70-N70+M80-N80+P90-Q90+Q99-R99+Q109</f>
        <v>52127.811000000002</v>
      </c>
      <c r="F464" s="136">
        <f t="shared" si="271"/>
        <v>52.127811000000001</v>
      </c>
      <c r="G464" s="185">
        <f t="shared" ref="G464:G490" si="273">IF($E$490=0,"",E464/$E$490)</f>
        <v>0.42143101514044923</v>
      </c>
      <c r="H464" s="170"/>
      <c r="I464" s="136" cm="1">
        <f t="array" ref="I464">SQRT(SUMPRODUCT((F16:F22&lt;&gt;Utilitaires!$I$586)*1,AB16:AB22,AB16:AB22)+SUMPRODUCT((F29:F33&lt;&gt;Utilitaires!$I$586)*1,AB29:AB33,AB29:AB33)+SUMPRODUCT((F40:F59&lt;&gt;Utilitaires!$I$586)*1,AB40:AB59,AB40:AB59)+SUMPRODUCT((F66:F69&lt;&gt;Utilitaires!$I$586)*1,AB66:AB69,AB66:AB69)+SUMPRODUCT((F76:F79&lt;&gt;Utilitaires!$I$586)*1,AB76:AB79,AB76:AB79)+SUMPRODUCT((F86:F89&lt;&gt;Utilitaires!$I$586)*1,AB86:AB89,AB86:AB89)+SUMPRODUCT((F96:F98&lt;&gt;Utilitaires!$I$586)*1,AB96:AB98,AB96:AB98)+SUMPRODUCT((F105:F107&lt;&gt;Utilitaires!$I$586)*1,AB105:AB107,AB105:AB107))</f>
        <v>18112.377797596131</v>
      </c>
      <c r="J464" s="185">
        <f t="shared" si="272"/>
        <v>0.34746093208472018</v>
      </c>
      <c r="K464" s="170"/>
      <c r="L464" s="170"/>
      <c r="Z464" s="116"/>
      <c r="AA464" s="116"/>
      <c r="AB464" s="441"/>
      <c r="AC464" s="441"/>
      <c r="AD464" s="441"/>
      <c r="AE464" s="441"/>
      <c r="AF464" s="441"/>
      <c r="AT464" s="114"/>
      <c r="AU464" s="114"/>
      <c r="AV464" s="114"/>
      <c r="AW464" s="114"/>
      <c r="AX464" s="114"/>
    </row>
    <row r="465" spans="2:50" hidden="1" outlineLevel="1">
      <c r="B465" s="274" t="s">
        <v>361</v>
      </c>
      <c r="C465" s="275"/>
      <c r="D465" s="136"/>
      <c r="E465" s="136">
        <f>S23+O34+L60+L70+L80+O90+P99+P109</f>
        <v>12229.6484</v>
      </c>
      <c r="F465" s="136">
        <f t="shared" si="271"/>
        <v>12.2296484</v>
      </c>
      <c r="G465" s="185">
        <f t="shared" si="273"/>
        <v>9.8871466903200103E-2</v>
      </c>
      <c r="H465" s="170"/>
      <c r="I465" s="136">
        <f>SQRT(AA23^2+AA34^2+AA60^2+AA70^2+AA80^2+AA90^2+AA99^2+AA109^2)</f>
        <v>4283.3040610674743</v>
      </c>
      <c r="J465" s="185">
        <f t="shared" si="272"/>
        <v>0.35023934629776227</v>
      </c>
      <c r="K465" s="170"/>
      <c r="L465" s="170"/>
      <c r="Z465" s="116"/>
      <c r="AA465" s="116"/>
      <c r="AB465" s="441"/>
      <c r="AC465" s="441"/>
      <c r="AD465" s="441"/>
      <c r="AE465" s="441"/>
      <c r="AF465" s="441"/>
      <c r="AT465" s="114"/>
      <c r="AU465" s="114"/>
      <c r="AV465" s="114"/>
      <c r="AW465" s="114"/>
      <c r="AX465" s="114"/>
    </row>
    <row r="466" spans="2:50" hidden="1" outlineLevel="1">
      <c r="B466" s="274" t="s">
        <v>206</v>
      </c>
      <c r="C466" s="275"/>
      <c r="D466" s="136"/>
      <c r="E466" s="136">
        <f>N34+K60+K70+K80+N90+O99</f>
        <v>18390.067200000001</v>
      </c>
      <c r="F466" s="136">
        <f t="shared" si="271"/>
        <v>18.390067200000001</v>
      </c>
      <c r="G466" s="185">
        <f t="shared" si="273"/>
        <v>0.14867581315848999</v>
      </c>
      <c r="H466" s="170"/>
      <c r="I466" s="136">
        <f>SQRT(AC34^2+AC60^2+AC99^2)</f>
        <v>6926.9679972812582</v>
      </c>
      <c r="J466" s="185">
        <f t="shared" si="272"/>
        <v>0.37666898777190211</v>
      </c>
      <c r="K466" s="170"/>
      <c r="L466" s="170"/>
      <c r="Z466" s="116"/>
      <c r="AA466" s="116"/>
      <c r="AB466" s="441"/>
      <c r="AC466" s="441"/>
      <c r="AD466" s="441"/>
      <c r="AE466" s="441"/>
      <c r="AF466" s="441"/>
      <c r="AT466" s="114"/>
      <c r="AU466" s="114"/>
      <c r="AV466" s="114"/>
      <c r="AW466" s="114"/>
      <c r="AX466" s="114"/>
    </row>
    <row r="467" spans="2:50" hidden="1" outlineLevel="1">
      <c r="B467" s="274" t="s">
        <v>100</v>
      </c>
      <c r="C467" s="275"/>
      <c r="D467" s="136"/>
      <c r="E467" s="136">
        <f>U127+N163</f>
        <v>0</v>
      </c>
      <c r="F467" s="136">
        <f t="shared" si="271"/>
        <v>0</v>
      </c>
      <c r="G467" s="185">
        <f t="shared" si="273"/>
        <v>0</v>
      </c>
      <c r="H467" s="170"/>
      <c r="I467" s="136">
        <f>SQRT(AD127^2+AE151^2+AA137^2)</f>
        <v>0</v>
      </c>
      <c r="J467" s="185" t="str">
        <f t="shared" si="272"/>
        <v/>
      </c>
      <c r="K467" s="170"/>
      <c r="L467" s="170"/>
      <c r="Z467" s="116"/>
      <c r="AA467" s="116"/>
      <c r="AB467" s="441"/>
      <c r="AC467" s="441"/>
      <c r="AD467" s="441"/>
      <c r="AE467" s="441"/>
      <c r="AF467" s="441"/>
      <c r="AT467" s="114"/>
      <c r="AU467" s="114"/>
      <c r="AV467" s="114"/>
      <c r="AW467" s="114"/>
      <c r="AX467" s="114"/>
    </row>
    <row r="468" spans="2:50" hidden="1" outlineLevel="1">
      <c r="B468" s="1011" t="s">
        <v>127</v>
      </c>
      <c r="C468" s="1012"/>
      <c r="D468" s="136"/>
      <c r="E468" s="136">
        <f>T127-U127+I137+M163-N163</f>
        <v>30739.050000000003</v>
      </c>
      <c r="F468" s="136">
        <f t="shared" si="271"/>
        <v>30.739050000000002</v>
      </c>
      <c r="G468" s="185">
        <f t="shared" si="273"/>
        <v>0.24851204755083667</v>
      </c>
      <c r="H468" s="170"/>
      <c r="I468" s="136">
        <f>SQRT(AA137^2+SUMPRODUCT((F143:F150&lt;&gt;Utilitaires!$I$586)*1,AA143:AA150,AA143:AA150)+SUMPRODUCT((F120:F126&lt;&gt;Utilitaires!$I$586)*1,AA120:AA126,AA120:AA126))</f>
        <v>375.90525000000002</v>
      </c>
      <c r="J468" s="185">
        <f t="shared" si="272"/>
        <v>1.2228915662650603E-2</v>
      </c>
      <c r="K468" s="170"/>
      <c r="L468" s="170"/>
      <c r="Z468" s="116"/>
      <c r="AA468" s="116"/>
      <c r="AB468" s="441"/>
      <c r="AC468" s="441"/>
      <c r="AD468" s="441"/>
      <c r="AE468" s="441"/>
      <c r="AF468" s="441"/>
      <c r="AT468" s="114"/>
      <c r="AU468" s="114"/>
      <c r="AV468" s="114"/>
      <c r="AW468" s="114"/>
      <c r="AX468" s="114"/>
    </row>
    <row r="469" spans="2:50" hidden="1" outlineLevel="1">
      <c r="B469" s="1011" t="s">
        <v>101</v>
      </c>
      <c r="C469" s="1012"/>
      <c r="D469" s="136"/>
      <c r="E469" s="136">
        <f>S127+L163</f>
        <v>7518.1049999999996</v>
      </c>
      <c r="F469" s="136">
        <f t="shared" si="271"/>
        <v>7.5181049999999994</v>
      </c>
      <c r="G469" s="185">
        <f t="shared" si="273"/>
        <v>6.0780657413035948E-2</v>
      </c>
      <c r="H469" s="170"/>
      <c r="I469" s="136">
        <f>SQRT(AA127^2+AC163^2)</f>
        <v>375.90525000000002</v>
      </c>
      <c r="J469" s="185">
        <f t="shared" si="272"/>
        <v>0.05</v>
      </c>
      <c r="K469" s="170"/>
      <c r="L469" s="170"/>
      <c r="Z469" s="116"/>
      <c r="AA469" s="116"/>
      <c r="AB469" s="441"/>
      <c r="AC469" s="441"/>
      <c r="AD469" s="441"/>
      <c r="AE469" s="441"/>
      <c r="AF469" s="441"/>
      <c r="AT469" s="114"/>
      <c r="AU469" s="114"/>
      <c r="AV469" s="114"/>
      <c r="AW469" s="114"/>
      <c r="AX469" s="114"/>
    </row>
    <row r="470" spans="2:50" hidden="1" outlineLevel="1">
      <c r="B470" s="1011" t="s">
        <v>102</v>
      </c>
      <c r="C470" s="1012"/>
      <c r="D470" s="136"/>
      <c r="E470" s="136">
        <f>K163</f>
        <v>0</v>
      </c>
      <c r="F470" s="136">
        <f t="shared" si="271"/>
        <v>0</v>
      </c>
      <c r="G470" s="185">
        <f t="shared" si="273"/>
        <v>0</v>
      </c>
      <c r="H470" s="170"/>
      <c r="I470" s="136">
        <f>AC151</f>
        <v>0</v>
      </c>
      <c r="J470" s="185" t="str">
        <f t="shared" si="272"/>
        <v/>
      </c>
      <c r="K470" s="170"/>
      <c r="L470" s="170"/>
      <c r="Z470" s="116"/>
      <c r="AA470" s="116"/>
      <c r="AB470" s="441"/>
      <c r="AC470" s="441"/>
      <c r="AD470" s="441"/>
      <c r="AE470" s="441"/>
      <c r="AF470" s="441"/>
      <c r="AT470" s="114"/>
      <c r="AU470" s="114"/>
      <c r="AV470" s="114"/>
      <c r="AW470" s="114"/>
      <c r="AX470" s="114"/>
    </row>
    <row r="471" spans="2:50" hidden="1" outlineLevel="1">
      <c r="B471" s="1011" t="s">
        <v>128</v>
      </c>
      <c r="C471" s="1012"/>
      <c r="D471" s="136"/>
      <c r="E471" s="136">
        <f>N185+N195+R204</f>
        <v>0</v>
      </c>
      <c r="F471" s="136">
        <f t="shared" si="271"/>
        <v>0</v>
      </c>
      <c r="G471" s="185">
        <f t="shared" si="273"/>
        <v>0</v>
      </c>
      <c r="H471" s="170"/>
      <c r="I471" s="136">
        <f>SQRT(AE185^2+AE195^2+AE204^2)</f>
        <v>0</v>
      </c>
      <c r="J471" s="185" t="str">
        <f t="shared" si="272"/>
        <v/>
      </c>
      <c r="K471" s="170"/>
      <c r="L471" s="170"/>
      <c r="Z471" s="116"/>
      <c r="AA471" s="116"/>
      <c r="AB471" s="441"/>
      <c r="AC471" s="441"/>
      <c r="AD471" s="441"/>
      <c r="AE471" s="441"/>
      <c r="AF471" s="441"/>
      <c r="AT471" s="114"/>
      <c r="AU471" s="114"/>
      <c r="AV471" s="114"/>
      <c r="AW471" s="114"/>
      <c r="AX471" s="114"/>
    </row>
    <row r="472" spans="2:50" hidden="1" outlineLevel="1">
      <c r="B472" s="1011" t="s">
        <v>129</v>
      </c>
      <c r="C472" s="1012"/>
      <c r="D472" s="136"/>
      <c r="E472" s="136">
        <f>I175+M185-N185+M195-N195+Q204-R204</f>
        <v>0</v>
      </c>
      <c r="F472" s="136">
        <f t="shared" si="271"/>
        <v>0</v>
      </c>
      <c r="G472" s="185">
        <f t="shared" si="273"/>
        <v>0</v>
      </c>
      <c r="H472" s="170"/>
      <c r="I472" s="136">
        <f>SQRT(AA175^2+SUMPRODUCT((F181:F184&lt;&gt;Utilitaires!$I$586)*1,AB181:AB184,AB181:AB184)+SUMPRODUCT((F191:F196&lt;&gt;Utilitaires!$I$586)*1,AB191:AB196,AB191:AB196)+SUMPRODUCT((F201:F203&lt;&gt;Utilitaires!$I$586)*1,AB201:AB203,AB201:AB203))</f>
        <v>0</v>
      </c>
      <c r="J472" s="185" t="str">
        <f t="shared" si="272"/>
        <v/>
      </c>
      <c r="K472" s="170"/>
      <c r="L472" s="170"/>
      <c r="Z472" s="116"/>
      <c r="AA472" s="116"/>
      <c r="AB472" s="441"/>
      <c r="AC472" s="441"/>
      <c r="AD472" s="441"/>
      <c r="AE472" s="441"/>
      <c r="AF472" s="441"/>
      <c r="AT472" s="114"/>
      <c r="AU472" s="114"/>
      <c r="AV472" s="114"/>
      <c r="AW472" s="114"/>
      <c r="AX472" s="114"/>
    </row>
    <row r="473" spans="2:50" hidden="1" outlineLevel="1">
      <c r="B473" s="1011" t="s">
        <v>72</v>
      </c>
      <c r="C473" s="1012"/>
      <c r="D473" s="136"/>
      <c r="E473" s="136">
        <f>L185+L195+P204</f>
        <v>0</v>
      </c>
      <c r="F473" s="136">
        <f t="shared" si="271"/>
        <v>0</v>
      </c>
      <c r="G473" s="185">
        <f t="shared" si="273"/>
        <v>0</v>
      </c>
      <c r="H473" s="170"/>
      <c r="I473" s="136">
        <f>SQRT(AA185^2+AA195^2+AA204^2)</f>
        <v>0</v>
      </c>
      <c r="J473" s="185" t="str">
        <f t="shared" si="272"/>
        <v/>
      </c>
      <c r="K473" s="170"/>
      <c r="L473" s="170"/>
      <c r="Z473" s="116"/>
      <c r="AA473" s="116"/>
      <c r="AB473" s="441"/>
      <c r="AC473" s="441"/>
      <c r="AD473" s="441"/>
      <c r="AE473" s="441"/>
      <c r="AF473" s="441"/>
      <c r="AT473" s="114"/>
      <c r="AU473" s="114"/>
      <c r="AV473" s="114"/>
      <c r="AW473" s="114"/>
      <c r="AX473" s="114"/>
    </row>
    <row r="474" spans="2:50" hidden="1" outlineLevel="1">
      <c r="B474" s="1011" t="s">
        <v>73</v>
      </c>
      <c r="C474" s="1012"/>
      <c r="D474" s="136"/>
      <c r="E474" s="136">
        <f>O204</f>
        <v>0</v>
      </c>
      <c r="F474" s="136">
        <f t="shared" si="271"/>
        <v>0</v>
      </c>
      <c r="G474" s="185">
        <f t="shared" si="273"/>
        <v>0</v>
      </c>
      <c r="H474" s="170"/>
      <c r="I474" s="136">
        <f>AC204</f>
        <v>0</v>
      </c>
      <c r="J474" s="185" t="str">
        <f t="shared" si="272"/>
        <v/>
      </c>
      <c r="K474" s="170"/>
      <c r="L474" s="170"/>
      <c r="Z474" s="116"/>
      <c r="AA474" s="116"/>
      <c r="AB474" s="441"/>
      <c r="AC474" s="441"/>
      <c r="AD474" s="441"/>
      <c r="AE474" s="441"/>
      <c r="AF474" s="441"/>
      <c r="AT474" s="114"/>
      <c r="AU474" s="114"/>
      <c r="AV474" s="114"/>
      <c r="AW474" s="114"/>
      <c r="AX474" s="114"/>
    </row>
    <row r="475" spans="2:50" hidden="1" outlineLevel="1">
      <c r="B475" s="1011" t="s">
        <v>74</v>
      </c>
      <c r="C475" s="1012"/>
      <c r="D475" s="136"/>
      <c r="E475" s="136">
        <f>I215</f>
        <v>0</v>
      </c>
      <c r="F475" s="136">
        <f t="shared" si="271"/>
        <v>0</v>
      </c>
      <c r="G475" s="185">
        <f t="shared" si="273"/>
        <v>0</v>
      </c>
      <c r="H475" s="170"/>
      <c r="I475" s="136">
        <f>AA215</f>
        <v>0</v>
      </c>
      <c r="J475" s="185" t="str">
        <f t="shared" si="272"/>
        <v/>
      </c>
      <c r="K475" s="170"/>
      <c r="L475" s="170"/>
      <c r="Z475" s="116"/>
      <c r="AA475" s="116"/>
      <c r="AB475" s="441"/>
      <c r="AC475" s="441"/>
      <c r="AD475" s="441"/>
      <c r="AE475" s="441"/>
      <c r="AF475" s="441"/>
      <c r="AT475" s="114"/>
      <c r="AU475" s="114"/>
      <c r="AV475" s="114"/>
      <c r="AW475" s="114"/>
      <c r="AX475" s="114"/>
    </row>
    <row r="476" spans="2:50" hidden="1" outlineLevel="1">
      <c r="B476" s="1011" t="s">
        <v>75</v>
      </c>
      <c r="C476" s="1012"/>
      <c r="D476" s="136"/>
      <c r="E476" s="136">
        <f>I233+D243</f>
        <v>45.311999999999998</v>
      </c>
      <c r="F476" s="136">
        <f t="shared" si="271"/>
        <v>4.5311999999999998E-2</v>
      </c>
      <c r="G476" s="185">
        <f t="shared" si="273"/>
        <v>3.6632810378406323E-4</v>
      </c>
      <c r="H476" s="170"/>
      <c r="I476" s="136">
        <f>SQRT(AA233^2+AA243^2)</f>
        <v>6.6432000000000002</v>
      </c>
      <c r="J476" s="185">
        <f t="shared" si="272"/>
        <v>0.14661016949152544</v>
      </c>
      <c r="K476" s="170"/>
      <c r="L476" s="170"/>
      <c r="Z476" s="116"/>
      <c r="AA476" s="116"/>
      <c r="AB476" s="441"/>
      <c r="AC476" s="441"/>
      <c r="AD476" s="441"/>
      <c r="AE476" s="441"/>
      <c r="AF476" s="441"/>
      <c r="AT476" s="114"/>
      <c r="AU476" s="114"/>
      <c r="AV476" s="114"/>
      <c r="AW476" s="114"/>
      <c r="AX476" s="114"/>
    </row>
    <row r="477" spans="2:50" hidden="1" outlineLevel="1">
      <c r="B477" s="1011" t="s">
        <v>326</v>
      </c>
      <c r="C477" s="1012"/>
      <c r="D477" s="136"/>
      <c r="E477" s="136">
        <f>I223</f>
        <v>0</v>
      </c>
      <c r="F477" s="136">
        <f t="shared" si="271"/>
        <v>0</v>
      </c>
      <c r="G477" s="185">
        <f t="shared" si="273"/>
        <v>0</v>
      </c>
      <c r="H477" s="170"/>
      <c r="I477" s="136">
        <f>AA223</f>
        <v>0</v>
      </c>
      <c r="J477" s="185" t="str">
        <f t="shared" si="272"/>
        <v/>
      </c>
      <c r="K477" s="170"/>
      <c r="L477" s="170"/>
      <c r="Z477" s="116"/>
      <c r="AA477" s="116"/>
      <c r="AB477" s="441"/>
      <c r="AC477" s="441"/>
      <c r="AD477" s="441"/>
      <c r="AE477" s="441"/>
      <c r="AF477" s="441"/>
      <c r="AT477" s="114"/>
      <c r="AU477" s="114"/>
      <c r="AV477" s="114"/>
      <c r="AW477" s="114"/>
      <c r="AX477" s="114"/>
    </row>
    <row r="478" spans="2:50" hidden="1" outlineLevel="1">
      <c r="B478" s="1011" t="s">
        <v>76</v>
      </c>
      <c r="C478" s="1012"/>
      <c r="D478" s="136"/>
      <c r="E478" s="136">
        <f>U254+P275+R286</f>
        <v>0</v>
      </c>
      <c r="F478" s="136">
        <f t="shared" si="271"/>
        <v>0</v>
      </c>
      <c r="G478" s="185">
        <f t="shared" si="273"/>
        <v>0</v>
      </c>
      <c r="H478" s="170"/>
      <c r="I478" s="136">
        <f>SQRT(AE254^2+AF275^2+AF286^2)</f>
        <v>0</v>
      </c>
      <c r="J478" s="185" t="str">
        <f t="shared" si="272"/>
        <v/>
      </c>
      <c r="K478" s="170"/>
      <c r="L478" s="170"/>
      <c r="Z478" s="116"/>
      <c r="AA478" s="116"/>
      <c r="AB478" s="441"/>
      <c r="AC478" s="441"/>
      <c r="AD478" s="441"/>
      <c r="AE478" s="441"/>
      <c r="AF478" s="441"/>
      <c r="AT478" s="114"/>
      <c r="AU478" s="114"/>
      <c r="AV478" s="114"/>
      <c r="AW478" s="114"/>
      <c r="AX478" s="114"/>
    </row>
    <row r="479" spans="2:50" hidden="1" outlineLevel="1">
      <c r="B479" s="1011" t="s">
        <v>77</v>
      </c>
      <c r="C479" s="1012"/>
      <c r="D479" s="136"/>
      <c r="E479" s="136">
        <f>T254-U254+I264+M275-P275+O286-R286</f>
        <v>1194</v>
      </c>
      <c r="F479" s="136">
        <f t="shared" si="271"/>
        <v>1.194</v>
      </c>
      <c r="G479" s="185">
        <f t="shared" si="273"/>
        <v>9.6529783703692522E-3</v>
      </c>
      <c r="H479" s="170"/>
      <c r="I479" s="136">
        <f>SQRT(AB254^2+AA264^2+SUMPRODUCT((F270:F274&lt;&gt;Utilitaires!$I$586)*1,AB270:AB274,AB270:AB274)+SUMPRODUCT((F281:F285&lt;&gt;Utilitaires!$I$586)*1,AB281:AB285,AB281:AB285))</f>
        <v>835.8</v>
      </c>
      <c r="J479" s="185">
        <f t="shared" si="272"/>
        <v>0.7</v>
      </c>
      <c r="K479" s="170"/>
      <c r="L479" s="170"/>
      <c r="Z479" s="116"/>
      <c r="AA479" s="116"/>
      <c r="AB479" s="441"/>
      <c r="AC479" s="441"/>
      <c r="AD479" s="441"/>
      <c r="AE479" s="441"/>
      <c r="AF479" s="441"/>
      <c r="AT479" s="114"/>
      <c r="AU479" s="114"/>
      <c r="AV479" s="114"/>
      <c r="AW479" s="114"/>
      <c r="AX479" s="114"/>
    </row>
    <row r="480" spans="2:50" hidden="1" outlineLevel="1">
      <c r="B480" s="1011" t="s">
        <v>78</v>
      </c>
      <c r="C480" s="1012"/>
      <c r="D480" s="136"/>
      <c r="E480" s="136">
        <f>S254+L275+N286</f>
        <v>248.4</v>
      </c>
      <c r="F480" s="136">
        <f t="shared" si="271"/>
        <v>0.24840000000000001</v>
      </c>
      <c r="G480" s="185">
        <f t="shared" si="273"/>
        <v>2.0082075604687792E-3</v>
      </c>
      <c r="H480" s="170"/>
      <c r="I480" s="136">
        <f>SQRT(AA254^2+AA275^2+AA286^2)</f>
        <v>173.88</v>
      </c>
      <c r="J480" s="185">
        <f t="shared" si="272"/>
        <v>0.7</v>
      </c>
      <c r="K480" s="170"/>
      <c r="L480" s="170"/>
      <c r="Z480" s="116"/>
      <c r="AA480" s="116"/>
      <c r="AB480" s="441"/>
      <c r="AC480" s="441"/>
      <c r="AD480" s="441"/>
      <c r="AE480" s="441"/>
      <c r="AF480" s="441"/>
      <c r="AT480" s="114"/>
      <c r="AU480" s="114"/>
      <c r="AV480" s="114"/>
      <c r="AW480" s="114"/>
      <c r="AX480" s="114"/>
    </row>
    <row r="481" spans="2:55" hidden="1" outlineLevel="1">
      <c r="B481" s="1011" t="s">
        <v>79</v>
      </c>
      <c r="C481" s="1012"/>
      <c r="D481" s="136"/>
      <c r="E481" s="136">
        <f>N275+P286</f>
        <v>1200</v>
      </c>
      <c r="F481" s="136">
        <f t="shared" si="271"/>
        <v>1.2</v>
      </c>
      <c r="G481" s="185">
        <f t="shared" si="273"/>
        <v>9.7014857993660813E-3</v>
      </c>
      <c r="H481" s="170"/>
      <c r="I481" s="136">
        <f>SQRT(AC275^2+AC286^2)</f>
        <v>840</v>
      </c>
      <c r="J481" s="185">
        <f t="shared" si="272"/>
        <v>0.7</v>
      </c>
      <c r="K481" s="170"/>
      <c r="L481" s="170"/>
      <c r="Z481" s="116"/>
      <c r="AA481" s="116"/>
      <c r="AB481" s="441"/>
      <c r="AC481" s="441"/>
      <c r="AD481" s="441"/>
      <c r="AE481" s="441"/>
      <c r="AF481" s="441"/>
      <c r="AT481" s="114"/>
      <c r="AU481" s="114"/>
      <c r="AV481" s="114"/>
      <c r="AW481" s="114"/>
      <c r="AX481" s="114"/>
    </row>
    <row r="482" spans="2:55" hidden="1" outlineLevel="1">
      <c r="B482" s="1011" t="s">
        <v>80</v>
      </c>
      <c r="C482" s="1012"/>
      <c r="D482" s="136"/>
      <c r="E482" s="136">
        <f>U298+L318</f>
        <v>0</v>
      </c>
      <c r="F482" s="136">
        <f t="shared" si="271"/>
        <v>0</v>
      </c>
      <c r="G482" s="185">
        <f t="shared" si="273"/>
        <v>0</v>
      </c>
      <c r="H482" s="170"/>
      <c r="I482" s="136">
        <f>SQRT(AE298^2+AE318^2)</f>
        <v>0</v>
      </c>
      <c r="J482" s="185" t="str">
        <f t="shared" si="272"/>
        <v/>
      </c>
      <c r="K482" s="170"/>
      <c r="L482" s="170"/>
      <c r="Z482" s="116"/>
      <c r="AA482" s="116"/>
      <c r="AB482" s="441"/>
      <c r="AC482" s="441"/>
      <c r="AD482" s="441"/>
      <c r="AE482" s="441"/>
      <c r="AF482" s="441"/>
      <c r="AT482" s="114"/>
      <c r="AU482" s="114"/>
      <c r="AV482" s="114"/>
      <c r="AW482" s="114"/>
      <c r="AX482" s="114"/>
    </row>
    <row r="483" spans="2:55" hidden="1" outlineLevel="1">
      <c r="B483" s="1011" t="s">
        <v>87</v>
      </c>
      <c r="C483" s="1012"/>
      <c r="D483" s="136"/>
      <c r="E483" s="136">
        <f>T298-U298+I308+K318-L318</f>
        <v>0</v>
      </c>
      <c r="F483" s="136">
        <f t="shared" si="271"/>
        <v>0</v>
      </c>
      <c r="G483" s="185">
        <f t="shared" si="273"/>
        <v>0</v>
      </c>
      <c r="H483" s="170"/>
      <c r="I483" s="136">
        <f>SQRT(SUMPRODUCT((F295:F297&lt;&gt;Utilitaires!$I$586)*1,AA295:AA297,AA295:AA297)+AA308^2+SUMPRODUCT((F314:F317&lt;&gt;Utilitaires!$I$586)*1,AA314:AA317,AA314:AA317))</f>
        <v>0</v>
      </c>
      <c r="J483" s="185" t="str">
        <f t="shared" si="272"/>
        <v/>
      </c>
      <c r="K483" s="170"/>
      <c r="L483" s="170"/>
      <c r="Z483" s="116"/>
      <c r="AA483" s="116"/>
      <c r="AB483" s="441"/>
      <c r="AC483" s="441"/>
      <c r="AD483" s="441"/>
      <c r="AE483" s="441"/>
      <c r="AF483" s="441"/>
      <c r="AT483" s="114"/>
      <c r="AU483" s="114"/>
      <c r="AV483" s="114"/>
      <c r="AW483" s="114"/>
      <c r="AX483" s="114"/>
    </row>
    <row r="484" spans="2:55" hidden="1" outlineLevel="1">
      <c r="B484" s="274" t="s">
        <v>98</v>
      </c>
      <c r="C484" s="275"/>
      <c r="D484" s="136"/>
      <c r="E484" s="136">
        <f>S298+J318</f>
        <v>0</v>
      </c>
      <c r="F484" s="136">
        <f t="shared" si="271"/>
        <v>0</v>
      </c>
      <c r="G484" s="185">
        <f t="shared" si="273"/>
        <v>0</v>
      </c>
      <c r="H484" s="170"/>
      <c r="I484" s="136">
        <f>SQRT(AA298^2+AA318^2)</f>
        <v>0</v>
      </c>
      <c r="J484" s="185" t="str">
        <f t="shared" si="272"/>
        <v/>
      </c>
      <c r="K484" s="170"/>
      <c r="L484" s="170"/>
      <c r="Z484" s="116"/>
      <c r="AA484" s="116"/>
      <c r="AB484" s="441"/>
      <c r="AC484" s="441"/>
      <c r="AD484" s="441"/>
      <c r="AE484" s="441"/>
      <c r="AF484" s="441"/>
      <c r="AT484" s="114"/>
      <c r="AU484" s="114"/>
      <c r="AV484" s="114"/>
      <c r="AW484" s="114"/>
      <c r="AX484" s="114"/>
    </row>
    <row r="485" spans="2:55" ht="13.8" hidden="1" outlineLevel="1">
      <c r="B485" s="274" t="s">
        <v>407</v>
      </c>
      <c r="C485" s="275"/>
      <c r="D485" s="136"/>
      <c r="E485" s="136">
        <f>U335+N361+N371+N381+R390+P401+R412+L422</f>
        <v>0</v>
      </c>
      <c r="F485" s="136">
        <f t="shared" si="271"/>
        <v>0</v>
      </c>
      <c r="G485" s="185">
        <f t="shared" si="273"/>
        <v>0</v>
      </c>
      <c r="H485" s="170"/>
      <c r="I485" s="136">
        <f>SQRT(AE335^2+AE350^2+AE361^2+AE371^2+AE381^2+AE390^2+AF401^2+AF412^2+AE422^2)</f>
        <v>0</v>
      </c>
      <c r="J485" s="185" t="str">
        <f t="shared" si="272"/>
        <v/>
      </c>
      <c r="K485" s="170"/>
      <c r="L485" s="170"/>
      <c r="Z485" s="116"/>
      <c r="AA485" s="116"/>
      <c r="AB485" s="441"/>
      <c r="AC485" s="441"/>
      <c r="AD485" s="441"/>
      <c r="AE485" s="441"/>
      <c r="AF485" s="441"/>
      <c r="AT485" s="114"/>
      <c r="AU485" s="211"/>
      <c r="AV485" s="211"/>
      <c r="AW485" s="211"/>
      <c r="AX485" s="211"/>
      <c r="AY485" s="211"/>
      <c r="AZ485" s="211"/>
      <c r="BA485" s="211"/>
      <c r="BB485" s="211"/>
      <c r="BC485" s="211"/>
    </row>
    <row r="486" spans="2:55" hidden="1" outlineLevel="1">
      <c r="B486" s="274" t="s">
        <v>7</v>
      </c>
      <c r="C486" s="275"/>
      <c r="D486" s="136"/>
      <c r="E486" s="136">
        <f>T335-U335+M361-N361+M371-N371+M381-N381+Q390-R390+M401-P401+O412-R412+K422-L422+Q432</f>
        <v>0</v>
      </c>
      <c r="F486" s="136">
        <f t="shared" si="271"/>
        <v>0</v>
      </c>
      <c r="G486" s="185">
        <f t="shared" si="273"/>
        <v>0</v>
      </c>
      <c r="H486" s="170"/>
      <c r="I486" s="136">
        <f>SQRT(SUMPRODUCT((F328:F334&lt;&gt;Utilitaires!$I$586)*1,AB328:AB334,AB328:AB334)+SUMPRODUCT((F341:F348&lt;&gt;Utilitaires!$I$586)*1,AA341:AA348,AA341:AA348)+SUMPRODUCT((F368:F375&lt;&gt;Utilitaires!$I$586)*1,AA368:AA375,AA368:AA375)+SUMPRODUCT((F381:F382&lt;&gt;Utilitaires!$I$586)*1,AA381:AA382,AA381:AA382)+SUMPRODUCT((F387:F389&lt;&gt;Utilitaires!$I$586)*1,AA387:AA389,AA387:AA389)+SUMPRODUCT((F396:F400&lt;&gt;Utilitaires!$I$586)*1,AA396:AA400,AA396:AA400)+SUMPRODUCT((F407:F411&lt;&gt;Utilitaires!$I$586)*1,AA407:AA411,AA407:AA411)+SUMPRODUCT((F418:F421&lt;&gt;Utilitaires!$I$586)*1,AA418:AA421,AA418:AA421)+AA432^2)</f>
        <v>0</v>
      </c>
      <c r="J486" s="185" t="str">
        <f t="shared" si="272"/>
        <v/>
      </c>
      <c r="K486" s="170"/>
      <c r="L486" s="170"/>
      <c r="Z486" s="116"/>
      <c r="AA486" s="116"/>
      <c r="AB486" s="441"/>
      <c r="AC486" s="441"/>
      <c r="AD486" s="441"/>
      <c r="AE486" s="441"/>
      <c r="AF486" s="441"/>
      <c r="AT486" s="114"/>
      <c r="AU486" s="114"/>
      <c r="AV486" s="114"/>
      <c r="AW486" s="114"/>
      <c r="AX486" s="114"/>
    </row>
    <row r="487" spans="2:55" hidden="1" outlineLevel="1">
      <c r="B487" s="274" t="s">
        <v>435</v>
      </c>
      <c r="C487" s="275"/>
      <c r="D487" s="136"/>
      <c r="E487" s="136">
        <f>S335+L361+L371+L381+P390+L401+N412+J422+P432</f>
        <v>0</v>
      </c>
      <c r="F487" s="136">
        <f t="shared" si="271"/>
        <v>0</v>
      </c>
      <c r="G487" s="185">
        <f t="shared" si="273"/>
        <v>0</v>
      </c>
      <c r="H487" s="170"/>
      <c r="I487" s="136">
        <f>SQRT(AA335^2+AA361^2+AA371^2+AA381^2+AA390^2+AA401^2+AA412^2+AA422^2+AA432^2)</f>
        <v>0</v>
      </c>
      <c r="J487" s="185" t="str">
        <f t="shared" si="272"/>
        <v/>
      </c>
      <c r="K487" s="170"/>
      <c r="L487" s="170"/>
      <c r="Z487" s="116"/>
      <c r="AA487" s="116"/>
      <c r="AB487" s="441"/>
      <c r="AC487" s="441"/>
      <c r="AD487" s="441"/>
      <c r="AE487" s="441"/>
      <c r="AF487" s="441"/>
      <c r="AT487" s="114"/>
      <c r="AU487" s="114"/>
      <c r="AV487" s="114"/>
      <c r="AW487" s="114"/>
      <c r="AX487" s="114"/>
    </row>
    <row r="488" spans="2:55" hidden="1" outlineLevel="1">
      <c r="B488" s="274" t="s">
        <v>324</v>
      </c>
      <c r="C488" s="275"/>
      <c r="D488" s="136"/>
      <c r="E488" s="136">
        <f>K361+K371+K381+O390+O401+Q412+O432</f>
        <v>0</v>
      </c>
      <c r="F488" s="136">
        <f>E488/1000</f>
        <v>0</v>
      </c>
      <c r="G488" s="185">
        <f t="shared" si="273"/>
        <v>0</v>
      </c>
      <c r="H488" s="170"/>
      <c r="I488" s="136">
        <f>SQRT(AC361^2+AC371^2+AC381^2+AC390^2+AD401^2+AD412^2+AC432^2)</f>
        <v>0</v>
      </c>
      <c r="J488" s="185" t="str">
        <f t="shared" si="272"/>
        <v/>
      </c>
      <c r="K488" s="170"/>
      <c r="L488" s="170"/>
      <c r="Z488" s="116"/>
      <c r="AA488" s="116"/>
      <c r="AB488" s="441"/>
      <c r="AC488" s="441"/>
      <c r="AD488" s="441"/>
      <c r="AE488" s="441"/>
      <c r="AF488" s="441"/>
      <c r="AT488" s="114"/>
      <c r="AU488" s="114"/>
      <c r="AV488" s="114"/>
      <c r="AW488" s="114"/>
      <c r="AX488" s="114"/>
    </row>
    <row r="489" spans="2:55" hidden="1" outlineLevel="1">
      <c r="B489" s="274" t="s">
        <v>263</v>
      </c>
      <c r="C489" s="275"/>
      <c r="D489" s="136"/>
      <c r="E489" s="136">
        <f>N401+P412</f>
        <v>0</v>
      </c>
      <c r="F489" s="136">
        <f>E489/1000</f>
        <v>0</v>
      </c>
      <c r="G489" s="185">
        <f t="shared" si="273"/>
        <v>0</v>
      </c>
      <c r="H489" s="170"/>
      <c r="I489" s="136">
        <f>SQRT(AC401^2+AC412^2)</f>
        <v>0</v>
      </c>
      <c r="J489" s="185" t="str">
        <f t="shared" si="272"/>
        <v/>
      </c>
      <c r="K489" s="170"/>
      <c r="L489" s="170"/>
      <c r="Z489" s="116"/>
      <c r="AA489" s="116"/>
      <c r="AB489" s="441"/>
      <c r="AC489" s="441"/>
      <c r="AD489" s="441"/>
      <c r="AE489" s="441"/>
      <c r="AF489" s="441"/>
      <c r="AT489" s="114"/>
      <c r="AU489" s="114"/>
      <c r="AV489" s="114"/>
      <c r="AW489" s="114"/>
      <c r="AX489" s="114"/>
    </row>
    <row r="490" spans="2:55" s="211" customFormat="1" ht="15" hidden="1" customHeight="1" outlineLevel="1">
      <c r="B490" s="2662" t="s">
        <v>348</v>
      </c>
      <c r="C490" s="2663"/>
      <c r="D490" s="188"/>
      <c r="E490" s="188">
        <f>SUM(E463:E489)</f>
        <v>123692.3936</v>
      </c>
      <c r="F490" s="238">
        <f t="shared" si="271"/>
        <v>123.6923936</v>
      </c>
      <c r="G490" s="190">
        <f t="shared" si="273"/>
        <v>1</v>
      </c>
      <c r="H490" s="192"/>
      <c r="I490" s="188">
        <f>SQRT(SUMSQ(I463:I489))</f>
        <v>19902.383232623939</v>
      </c>
      <c r="J490" s="190">
        <f t="shared" si="272"/>
        <v>0.16090224025403563</v>
      </c>
      <c r="K490" s="192"/>
      <c r="L490" s="192"/>
      <c r="Z490" s="1084"/>
      <c r="AA490" s="1084"/>
      <c r="AB490" s="445"/>
      <c r="AC490" s="445"/>
      <c r="AD490" s="445"/>
      <c r="AE490" s="445"/>
      <c r="AF490" s="445"/>
      <c r="AG490" s="445"/>
      <c r="AH490" s="445"/>
      <c r="AI490" s="445"/>
      <c r="AJ490" s="445"/>
      <c r="AK490" s="445"/>
      <c r="AL490" s="445"/>
      <c r="AM490" s="445"/>
      <c r="AN490" s="445"/>
      <c r="AO490" s="445"/>
      <c r="AP490" s="445"/>
      <c r="AQ490" s="445"/>
      <c r="AR490" s="445"/>
      <c r="AS490" s="445"/>
      <c r="AU490" s="114"/>
      <c r="AV490" s="114"/>
      <c r="AW490" s="114"/>
      <c r="AX490" s="114"/>
      <c r="AY490" s="114"/>
      <c r="AZ490" s="114"/>
      <c r="BA490" s="114"/>
      <c r="BB490" s="114"/>
      <c r="BC490" s="114"/>
    </row>
    <row r="491" spans="2:55" hidden="1" outlineLevel="1"/>
    <row r="493" spans="2:55" ht="15.6" collapsed="1">
      <c r="B493" s="2688" t="s">
        <v>525</v>
      </c>
      <c r="C493" s="2689"/>
      <c r="D493" s="2689"/>
      <c r="E493" s="2689"/>
      <c r="F493" s="2689"/>
      <c r="G493" s="2689"/>
      <c r="H493" s="2689"/>
      <c r="I493" s="2689"/>
      <c r="J493" s="2689"/>
      <c r="K493" s="2689"/>
      <c r="L493" s="2689"/>
      <c r="M493" s="2689"/>
      <c r="N493" s="2689"/>
      <c r="O493" s="2690"/>
    </row>
    <row r="494" spans="2:55" hidden="1" outlineLevel="1">
      <c r="B494" s="113"/>
      <c r="C494" s="113"/>
      <c r="D494" s="113"/>
      <c r="E494" s="113"/>
      <c r="F494" s="113"/>
      <c r="G494" s="113"/>
      <c r="H494" s="113"/>
      <c r="I494" s="113"/>
      <c r="J494" s="113"/>
      <c r="K494" s="113"/>
      <c r="L494" s="113"/>
      <c r="M494" s="113"/>
      <c r="N494" s="113"/>
    </row>
    <row r="495" spans="2:55" ht="38.25" hidden="1" customHeight="1" outlineLevel="1">
      <c r="B495" s="229"/>
      <c r="C495" s="229"/>
      <c r="D495" s="229"/>
      <c r="E495" s="2691" t="s">
        <v>448</v>
      </c>
      <c r="F495" s="2692"/>
      <c r="G495" s="2692"/>
      <c r="H495" s="2692"/>
      <c r="I495" s="2692"/>
      <c r="J495" s="2692"/>
      <c r="K495" s="2693"/>
      <c r="L495" s="101" t="s">
        <v>440</v>
      </c>
    </row>
    <row r="496" spans="2:55" ht="25.5" hidden="1" customHeight="1" outlineLevel="1">
      <c r="B496" s="2691" t="s">
        <v>438</v>
      </c>
      <c r="C496" s="2693"/>
      <c r="D496" s="110" t="s">
        <v>458</v>
      </c>
      <c r="E496" s="111" t="s">
        <v>853</v>
      </c>
      <c r="F496" s="111" t="s">
        <v>854</v>
      </c>
      <c r="G496" s="111" t="s">
        <v>855</v>
      </c>
      <c r="H496" s="111" t="s">
        <v>852</v>
      </c>
      <c r="I496" s="110" t="s">
        <v>513</v>
      </c>
      <c r="J496" s="111" t="s">
        <v>856</v>
      </c>
      <c r="K496" s="112" t="s">
        <v>514</v>
      </c>
      <c r="L496" s="110" t="s">
        <v>857</v>
      </c>
    </row>
    <row r="497" spans="2:12" ht="15" hidden="1" customHeight="1" outlineLevel="1">
      <c r="B497" s="2680" t="s">
        <v>459</v>
      </c>
      <c r="C497" s="2681"/>
      <c r="D497" s="230">
        <v>1</v>
      </c>
      <c r="E497" s="631"/>
      <c r="F497" s="631"/>
      <c r="G497" s="631"/>
      <c r="H497" s="631"/>
      <c r="I497" s="631"/>
      <c r="J497" s="631"/>
      <c r="K497" s="632"/>
      <c r="L497" s="633"/>
    </row>
    <row r="498" spans="2:12" ht="12.75" hidden="1" customHeight="1" outlineLevel="1">
      <c r="B498" s="2680" t="s">
        <v>460</v>
      </c>
      <c r="C498" s="2681"/>
      <c r="D498" s="230">
        <v>2</v>
      </c>
      <c r="E498" s="631">
        <f>SUMIF($F$12:$F$432,Utilitaires!$I$572,AH12:AH432)+SUMIF($F$12:$F$432,Utilitaires!$I$577,AH12:AH432)</f>
        <v>0</v>
      </c>
      <c r="F498" s="631">
        <f>SUMIF($F$12:$F$432,Utilitaires!$I$572,AK12:AK432)+SUMIF($F$12:$F$432,Utilitaires!$I$577,AK12:AK432)</f>
        <v>0</v>
      </c>
      <c r="G498" s="631">
        <f>SUMIF($F$12:$F$432,Utilitaires!$I$572,AN12:AN432)+SUMIF($F$12:$F$432,Utilitaires!$I$577,AN12:AN432)</f>
        <v>0</v>
      </c>
      <c r="H498" s="631">
        <f>SUMIF($F$12:$F$432,Utilitaires!$I$572,AQ12:AQ432)+SUMIF($F$12:$F$432,Utilitaires!$I$577,AQ12:AQ432)</f>
        <v>0</v>
      </c>
      <c r="I498" s="631">
        <f>SUM(E498:H498)</f>
        <v>0</v>
      </c>
      <c r="J498" s="631">
        <f>SUMIF($F$12:$F$432,Utilitaires!$I$572,AW12:AW432)+SUMIF($F$12:$F$432,Utilitaires!$I$577,AW12:AW432)</f>
        <v>0</v>
      </c>
      <c r="K498" s="632">
        <f>SQRT(SUMPRODUCT(($F$12:$F$204=Utilitaires!$I$572)*1,AB12:AB204,AB12:AB204)+SUMPRODUCT(($F$235:$F$432=Utilitaires!$I$572)*1,AB235:AB432,AB235:AB432)
+SUMPRODUCT(($F$12:$F$204=Utilitaires!$I$577)*1,AB12:AB204,AB12:AB204)+SUMPRODUCT(($F$235:$F$432=Utilitaires!$I$577)*1,AB235:AB432,AB235:AB432))</f>
        <v>0</v>
      </c>
      <c r="L498" s="633"/>
    </row>
    <row r="499" spans="2:12" ht="12.75" hidden="1" customHeight="1" outlineLevel="1">
      <c r="B499" s="2680" t="s">
        <v>461</v>
      </c>
      <c r="C499" s="2681"/>
      <c r="D499" s="230">
        <v>3</v>
      </c>
      <c r="E499" s="631"/>
      <c r="F499" s="631"/>
      <c r="G499" s="631"/>
      <c r="H499" s="631"/>
      <c r="I499" s="631"/>
      <c r="J499" s="631"/>
      <c r="K499" s="632"/>
      <c r="L499" s="633"/>
    </row>
    <row r="500" spans="2:12" ht="15" hidden="1" customHeight="1" outlineLevel="1">
      <c r="B500" s="2680" t="s">
        <v>462</v>
      </c>
      <c r="C500" s="2681"/>
      <c r="D500" s="230">
        <v>4</v>
      </c>
      <c r="E500" s="631"/>
      <c r="F500" s="631"/>
      <c r="G500" s="631"/>
      <c r="H500" s="631"/>
      <c r="I500" s="631"/>
      <c r="J500" s="631"/>
      <c r="K500" s="632"/>
      <c r="L500" s="633"/>
    </row>
    <row r="501" spans="2:12" ht="12.75" hidden="1" customHeight="1" outlineLevel="1">
      <c r="B501" s="2680" t="s">
        <v>463</v>
      </c>
      <c r="C501" s="2681"/>
      <c r="D501" s="230">
        <v>5</v>
      </c>
      <c r="E501" s="631"/>
      <c r="F501" s="631"/>
      <c r="G501" s="631"/>
      <c r="H501" s="631"/>
      <c r="I501" s="631"/>
      <c r="J501" s="631"/>
      <c r="K501" s="632"/>
      <c r="L501" s="633"/>
    </row>
    <row r="502" spans="2:12" ht="12.75" hidden="1" customHeight="1" outlineLevel="1">
      <c r="B502" s="2682"/>
      <c r="C502" s="2683"/>
      <c r="D502" s="133" t="s">
        <v>439</v>
      </c>
      <c r="E502" s="634">
        <f t="shared" ref="E502:L502" si="274">SUM(E497:E501)</f>
        <v>0</v>
      </c>
      <c r="F502" s="634">
        <f t="shared" si="274"/>
        <v>0</v>
      </c>
      <c r="G502" s="634">
        <f t="shared" si="274"/>
        <v>0</v>
      </c>
      <c r="H502" s="634">
        <f t="shared" si="274"/>
        <v>0</v>
      </c>
      <c r="I502" s="634">
        <f t="shared" si="274"/>
        <v>0</v>
      </c>
      <c r="J502" s="634">
        <f>SUM(J497:J501)</f>
        <v>0</v>
      </c>
      <c r="K502" s="635">
        <f>SQRT(SUMSQ(K497:K501))</f>
        <v>0</v>
      </c>
      <c r="L502" s="636">
        <f t="shared" si="274"/>
        <v>0</v>
      </c>
    </row>
    <row r="503" spans="2:12" ht="15" hidden="1" customHeight="1" outlineLevel="1">
      <c r="B503" s="2684" t="s">
        <v>464</v>
      </c>
      <c r="C503" s="2685"/>
      <c r="D503" s="231">
        <v>6</v>
      </c>
      <c r="E503" s="637">
        <f>AG215</f>
        <v>0</v>
      </c>
      <c r="F503" s="637">
        <f>AJ215</f>
        <v>0</v>
      </c>
      <c r="G503" s="637">
        <f>AM215</f>
        <v>0</v>
      </c>
      <c r="H503" s="637">
        <f>AP215</f>
        <v>0</v>
      </c>
      <c r="I503" s="637">
        <f>SUM(E503:H503)</f>
        <v>0</v>
      </c>
      <c r="J503" s="637">
        <f>AV215</f>
        <v>0</v>
      </c>
      <c r="K503" s="632">
        <f>AA215</f>
        <v>0</v>
      </c>
      <c r="L503" s="638"/>
    </row>
    <row r="504" spans="2:12" ht="12.75" hidden="1" customHeight="1" outlineLevel="1">
      <c r="B504" s="2686" t="s">
        <v>465</v>
      </c>
      <c r="C504" s="2687"/>
      <c r="D504" s="231">
        <v>7</v>
      </c>
      <c r="E504" s="637"/>
      <c r="F504" s="637"/>
      <c r="G504" s="637"/>
      <c r="H504" s="637"/>
      <c r="I504" s="637"/>
      <c r="J504" s="637"/>
      <c r="K504" s="632"/>
      <c r="L504" s="638"/>
    </row>
    <row r="505" spans="2:12" ht="12.75" hidden="1" customHeight="1" outlineLevel="1">
      <c r="B505" s="2696"/>
      <c r="C505" s="2697"/>
      <c r="D505" s="134" t="s">
        <v>439</v>
      </c>
      <c r="E505" s="639">
        <f t="shared" ref="E505:L505" si="275">SUM(E503:E504)</f>
        <v>0</v>
      </c>
      <c r="F505" s="639">
        <f t="shared" si="275"/>
        <v>0</v>
      </c>
      <c r="G505" s="639">
        <f t="shared" si="275"/>
        <v>0</v>
      </c>
      <c r="H505" s="639">
        <f t="shared" si="275"/>
        <v>0</v>
      </c>
      <c r="I505" s="639">
        <f t="shared" si="275"/>
        <v>0</v>
      </c>
      <c r="J505" s="639">
        <f t="shared" si="275"/>
        <v>0</v>
      </c>
      <c r="K505" s="635">
        <f>SQRT(SUMSQ(K503:K504))</f>
        <v>0</v>
      </c>
      <c r="L505" s="640">
        <f t="shared" si="275"/>
        <v>0</v>
      </c>
    </row>
    <row r="506" spans="2:12" ht="12.75" hidden="1" customHeight="1" outlineLevel="1">
      <c r="B506" s="2694" t="s">
        <v>466</v>
      </c>
      <c r="C506" s="2695"/>
      <c r="D506" s="232">
        <v>8</v>
      </c>
      <c r="E506" s="641">
        <f>SUMIF($F$12:$F$204,Utilitaires!$I$572,AG12:AG204)+SUMIF($F$235:$F$432,Utilitaires!$I$572,AG235:AG432)
+SUMIF($F$12:$F$204,Utilitaires!$I$577,AG12:AG204)+SUMIF($F$235:$F$432,Utilitaires!$I$577,AG235:AG432)
+AG223</f>
        <v>0</v>
      </c>
      <c r="F506" s="641">
        <f>SUMIF($F$12:$F$204,Utilitaires!$I$572,AJ12:AJ204)+SUMIF($F$247:$F$432,Utilitaires!$I$572,AJ247:AJ432)
+SUMIF($F$12:$F$204,Utilitaires!$I$577,AJ12:AJ204)+SUMIF($F$247:$F$432,Utilitaires!$I$577,AJ247:AJ432)
+AJ223</f>
        <v>0</v>
      </c>
      <c r="G506" s="641">
        <f>SUMIF($F$12:$F$204,Utilitaires!$I$572,AM12:AM204)+SUMIF($F$247:$F$432,Utilitaires!$I$572,AM247:AM432)
+SUMIF($F$12:$F$204,Utilitaires!$I$577,AM12:AM204)+SUMIF($F$247:$F$432,Utilitaires!$I$577,AM247:AM432)
+AM223</f>
        <v>0</v>
      </c>
      <c r="H506" s="641">
        <f>SUMIF($F$12:$F$204,Utilitaires!$I$572,AP12:AP204)+SUMIF($F$247:$F$432,Utilitaires!$I$572,AP247:AP432)
+SUMIF($F$12:$F$204,Utilitaires!$I$577,AP12:AP204)+SUMIF($F$247:$F$432,Utilitaires!$I$577,AP247:AP432)
+AP223</f>
        <v>0</v>
      </c>
      <c r="I506" s="641">
        <f>SUM(E506:H506)</f>
        <v>0</v>
      </c>
      <c r="J506" s="641">
        <f>SUMIF($F$12:$F$204,Utilitaires!$I$572,AV12:AV204)+SUMIF($F$247:$F$432,Utilitaires!$I$572,AV247:AV432)
+SUMIF($F$12:$F$204,Utilitaires!$I$577,AV12:AV204)+SUMIF($F$247:$F$432,Utilitaires!$I$577,AV247:AV432)
+AV223</f>
        <v>0</v>
      </c>
      <c r="K506" s="632">
        <f>SQRT(SUMPRODUCT(($F$12:$F$204=Utilitaires!$I$572)*1,AA12:AA204,AA12:AA204)+SUMPRODUCT(($F$235:$F$432=Utilitaires!$I$572)*1,AA235:AA432,AA235:AA432)
+SUMPRODUCT(($F$12:$F$204=Utilitaires!$I$577)*1,AA12:AA204,AA12:AA204)+SUMPRODUCT(($F$235:$F$432=Utilitaires!$I$577)*1,AA235:AA432,AA235:AA432)
+AA223^2)</f>
        <v>0</v>
      </c>
      <c r="L506" s="641"/>
    </row>
    <row r="507" spans="2:12" ht="12.75" hidden="1" customHeight="1" outlineLevel="1">
      <c r="B507" s="2694" t="s">
        <v>467</v>
      </c>
      <c r="C507" s="2695"/>
      <c r="D507" s="232">
        <v>9</v>
      </c>
      <c r="E507" s="641"/>
      <c r="F507" s="641"/>
      <c r="G507" s="641"/>
      <c r="H507" s="641"/>
      <c r="I507" s="641"/>
      <c r="J507" s="641"/>
      <c r="K507" s="632"/>
      <c r="L507" s="641"/>
    </row>
    <row r="508" spans="2:12" ht="12.75" hidden="1" customHeight="1" outlineLevel="1">
      <c r="B508" s="2694" t="s">
        <v>468</v>
      </c>
      <c r="C508" s="2695"/>
      <c r="D508" s="232">
        <v>10</v>
      </c>
      <c r="E508" s="641">
        <f>SUMIF($F$25:$F$99,Utilitaires!$I$572,AI25:AI99)+SUMIF($F$139:$F$204,Utilitaires!$I$572,AI139:AI204)+SUMIF($F$336:$F$390,Utilitaires!$I$572,AI336:AI390)
+SUMIF($F$25:$F$99,Utilitaires!$I$577,AI25:AI99)+SUMIF($F$139:$F$204,Utilitaires!$I$577,AI139:AI204)+SUMIF($F$336:$F$390,Utilitaires!$I$577,AI336:AI390)
+IF('Bilan GES'!E38="Oui",
SUMIF($F$247:$F$286,Utilitaires!$I$572,AI247:AI286)+SUMIF($F$247:$F$286,Utilitaires!$I$577,AI247:AI286)
+SUMIF($F$392:$F$412,Utilitaires!$I$572,AI392:AI412)+SUMIF($F$392:$F$412,Utilitaires!$I$577,AI392:AI412),)</f>
        <v>0</v>
      </c>
      <c r="F508" s="641">
        <f>SUMIF($F$25:$F$99,Utilitaires!$I$572,AL25:AL99)+SUMIF($F$139:$F$204,Utilitaires!$I$572,AL139:AL204)+SUMIF($F$336:$F$390,Utilitaires!$I$572,AL336:AL390)
+SUMIF($F$25:$F$99,Utilitaires!$I$577,AL25:AL99)+SUMIF($F$139:$F$204,Utilitaires!$I$577,AL139:AL204)+SUMIF($F$336:$F$390,Utilitaires!$I$577,AL336:AL390)
+IF('Bilan GES'!E38="Oui",
SUMIF($F$247:$F$286,Utilitaires!$I$572,AL247:AL286)+SUMIF($F$247:$F$286,Utilitaires!$I$577,AL247:AL286)+
SUMIF($F$392:$F$412,Utilitaires!$I$572,AL392:AL412)+SUMIF($F$392:$F$412,Utilitaires!$I$577,AL392:AL412),)</f>
        <v>0</v>
      </c>
      <c r="G508" s="641">
        <f>SUMIF($F$25:$F$99,Utilitaires!$I$572,AO25:AO99)+SUMIF($F$139:$F$204,Utilitaires!$I$572,AO139:AO204)+SUMIF($F$336:$F$390,Utilitaires!$I$572,AO336:AO390)
+SUMIF($F$25:$F$99,Utilitaires!$I$577,AO25:AO99)+SUMIF($F$139:$F$204,Utilitaires!$I$577,AO139:AO204)+SUMIF($F$336:$F$390,Utilitaires!$I$577,AO336:AO390)
+IF('Bilan GES'!E38="Oui",
SUMIF($F$247:$F$286,Utilitaires!$I$572,AO247:AO286)+SUMIF($F$247:$F$286,Utilitaires!$I$577,AO247:AO286)+
SUMIF($F$392:$F$412,Utilitaires!$I$572,AO392:AO412)+SUMIF($F$392:$F$412,Utilitaires!$I$577,AO392:AO412),)</f>
        <v>0</v>
      </c>
      <c r="H508" s="641">
        <f>SUMIF($F$25:$F$99,Utilitaires!$I$572,AR25:AR99)+SUMIF($F$139:$F$204,Utilitaires!$I$572,AR139:AR204)+SUMIF($F$336:$F$390,Utilitaires!$I$572,AR336:AR390)
+SUMIF($F$25:$F$99,Utilitaires!$I$577,AR25:AR99)+SUMIF($F$139:$F$204,Utilitaires!$I$577,AR139:AR204)+SUMIF($F$336:$F$390,Utilitaires!$I$577,AR336:AR390)
+IF('Bilan GES'!E38="Oui",
SUMIF($F$247:$F$286,Utilitaires!$I$572,AR247:AR286)+SUMIF($F$247:$F$286,Utilitaires!$I$577,AR247:AR286)+
SUMIF($F$392:$F$412,Utilitaires!$I$572,AR392:AR412)+SUMIF($F$392:$F$412,Utilitaires!$I$577,AR392:AR412),)</f>
        <v>0</v>
      </c>
      <c r="I508" s="641">
        <f>SUM(E508:H508)</f>
        <v>0</v>
      </c>
      <c r="J508" s="641">
        <f>SUMIF($F$25:$F$99,Utilitaires!$I$572,AX25:AX99)+SUMIF($F$139:$F$204,Utilitaires!$I$572,AX139:AX204)+SUMIF($F$336:$F$390,Utilitaires!$I$572,AX336:AX390)
+SUMIF($F$25:$F$99,Utilitaires!$I$577,AX25:AX99)+SUMIF($F$139:$F$204,Utilitaires!$I$577,AX139:AX204)+SUMIF($F$336:$F$390,Utilitaires!$I$577,AX336:AX390)
+IF('Bilan GES'!E38="Oui",
SUMIF($F$247:$F$286,Utilitaires!$I$572,AX247:AX286)+SUMIF($F$247:$F$286,Utilitaires!$I$577,AX247:AX286)+
SUMIF($F$392:$F$412,Utilitaires!$I$572,AX392:AX412)+SUMIF($F$392:$F$412,Utilitaires!$I$577,AX392:AX412),)</f>
        <v>0</v>
      </c>
      <c r="K508" s="632">
        <f>SQRT(SUMPRODUCT(($F$25:$F$99=Utilitaires!$I$572)*1,AA25:AA99,AA25:AA99)+SUMPRODUCT(($F$139:$F$204=Utilitaires!$I$572)*1,AA139:AA204,AA139:AA204)+SUMPRODUCT(($F$337:$F$390=Utilitaires!$I$572)*1,AA337:AA390,AA337:AA390)
+SUMPRODUCT(($F$25:$F$99=Utilitaires!$I$577)*1,AA25:AA99,AA25:AA99)+SUMPRODUCT(($F$139:$F$204=Utilitaires!$I$577)*1,AA139:AA204,AA139:AA204)+SUMPRODUCT(($F$337:$F$390=Utilitaires!$I$577)*1,AA337:AA390,AA337:AA390)
+IF('Bilan GES'!E38="Oui",SUMPRODUCT(($F$247:$F$286=Utilitaires!$I$572)*1,AC247:AC286,AC247:AC286)+SUMPRODUCT(($F$247:$F$286=Utilitaires!$I$577)*1,AC247:AC286,AC247:AC286)+
SUMPRODUCT(($F$392:$F$412=Utilitaires!$I$572)*1,AC392:AC412,AC392:AC412)+SUMPRODUCT(($F$392:$F$412=Utilitaires!$I$577)*1,AC392:AC412,AC392:AC412),))</f>
        <v>0</v>
      </c>
      <c r="L508" s="641"/>
    </row>
    <row r="509" spans="2:12" ht="12.75" hidden="1" customHeight="1" outlineLevel="1">
      <c r="B509" s="2694" t="s">
        <v>386</v>
      </c>
      <c r="C509" s="2695"/>
      <c r="D509" s="232">
        <v>11</v>
      </c>
      <c r="E509" s="641"/>
      <c r="F509" s="641"/>
      <c r="G509" s="641"/>
      <c r="H509" s="641"/>
      <c r="I509" s="641"/>
      <c r="J509" s="641"/>
      <c r="K509" s="632"/>
      <c r="L509" s="641"/>
    </row>
    <row r="510" spans="2:12" ht="12.75" hidden="1" customHeight="1" outlineLevel="1">
      <c r="B510" s="2694" t="s">
        <v>469</v>
      </c>
      <c r="C510" s="2695"/>
      <c r="D510" s="232">
        <v>12</v>
      </c>
      <c r="E510" s="641"/>
      <c r="F510" s="641"/>
      <c r="G510" s="641"/>
      <c r="H510" s="641"/>
      <c r="I510" s="641"/>
      <c r="J510" s="641"/>
      <c r="K510" s="632"/>
      <c r="L510" s="641"/>
    </row>
    <row r="511" spans="2:12" ht="12.75" hidden="1" customHeight="1" outlineLevel="1">
      <c r="B511" s="2694" t="s">
        <v>470</v>
      </c>
      <c r="C511" s="2695"/>
      <c r="D511" s="232">
        <v>13</v>
      </c>
      <c r="E511" s="641">
        <f>SUMIF($F$116:$F$318,Utilitaires!$I$574,AG116:AG318)+SUMIF($F$116:$F$318,Utilitaires!$I$578,AG116:AG318)
+SUMIF($F$116:$F$318,Utilitaires!$I$574,AH116:AH318)+SUMIF($F$116:$F$318,Utilitaires!$I$578,AH116:AH318)
+SUMIF($F$139:$F$204,Utilitaires!$I$574,AI139:AI204)+SUMIF($F$139:$F$204,Utilitaires!$I$578,AI139:AI204)
+IF('Bilan GES'!E38="Oui",
SUMIF($F$247:$F$286,Utilitaires!$I$578,AI247:AI286)+SUMIF($F$247:$F$286,Utilitaires!$I$574,AI247:AI286),)</f>
        <v>1446.816</v>
      </c>
      <c r="F511" s="641">
        <f>SUMIF($F$116:$F$318,Utilitaires!$I$574,AJ116:AJ318)+SUMIF($F$116:$F$318,Utilitaires!$I$578,AJ116:AJ318)
+SUMIF($F$116:$F$318,Utilitaires!$I$574,AK116:AK318)+SUMIF($F$116:$F$318,Utilitaires!$I$578,AK116:AK318)
+SUMIF($F$139:$F$204,Utilitaires!$I$574,AL139:AL204)+SUMIF($F$139:$F$204,Utilitaires!$I$578,AL139:AL204)
+IF('Bilan GES'!E38="Oui",
SUMIF($F$247:$F$286,Utilitaires!$I$578,AL247:AL286)+SUMIF($F$247:$F$286,Utilitaires!$I$574,AL247:AL286),)</f>
        <v>13.86</v>
      </c>
      <c r="G511" s="641">
        <f>SUMIF($F$116:$F$318,Utilitaires!$I$574,AM116:AM318)+SUMIF($F$116:$F$318,Utilitaires!$I$578,AM116:AM318)
+SUMIF($F$116:$F$318,Utilitaires!$I$574,AN116:AN318)+SUMIF($F$116:$F$318,Utilitaires!$I$578,AN116:AN318)
+SUMIF($F$139:$F$204,Utilitaires!$I$574,AO139:AO204)+SUMIF($F$139:$F$204,Utilitaires!$I$578,AO139:AO204)
+IF('Bilan GES'!E38="Oui",
SUMIF($F$247:$F$286,Utilitaires!$I$578,AO247:AO286)+SUMIF($F$247:$F$286,Utilitaires!$I$574,AO247:AO286),)</f>
        <v>0.18</v>
      </c>
      <c r="H511" s="641">
        <f>SUMIF($F$116:$F$318,Utilitaires!$I$574,AP116:AP318)+SUMIF($F$116:$F$318,Utilitaires!$I$578,AP116:AP318)
+SUMIF($F$116:$F$318,Utilitaires!$I$574,AQ116:AQ318)+SUMIF($F$116:$F$318,Utilitaires!$I$578,AQ116:AQ318)
+SUMIF($F$139:$F$204,Utilitaires!$I$574,AR139:AR204)+SUMIF($F$139:$F$204,Utilitaires!$I$578,AR139:AR204)
+IF('Bilan GES'!E38="Oui",
SUMIF($F$247:$F$286,Utilitaires!$I$578,AR247:AR286)+SUMIF($F$247:$F$286,Utilitaires!$I$574,AR247:AR286),)</f>
        <v>20.04</v>
      </c>
      <c r="I511" s="641">
        <f>SUM(E511:H511)</f>
        <v>1480.896</v>
      </c>
      <c r="J511" s="641">
        <f>SUMIF($F$116:$F$318,Utilitaires!$I$574,AV116:AV318)+SUMIF($F$116:$F$318,Utilitaires!$I$578,AV116:AV318)
+SUMIF($F$116:$F$318,Utilitaires!$I$574,AW116:AW318)+SUMIF($F$116:$F$318,Utilitaires!$I$578,AW116:AW318)
+SUMIF($F$139:$F$204,Utilitaires!$I$574,AX139:AX204)+SUMIF($F$139:$F$204,Utilitaires!$I$578,AX139:AX204)
+IF('Bilan GES'!E38="Oui",
SUMIF($F$247:$F$286,Utilitaires!$I$578,AX247:AX286)+SUMIF($F$247:$F$286,Utilitaires!$I$574,AX247:AX286),)</f>
        <v>1450.74</v>
      </c>
      <c r="K511" s="632">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+IF('Bilan GES'!E38="Oui",SUMPRODUCT(($F$266:$F$286=Utilitaires!$I$574)*1,AC266:AC286,AC266:AC286),))</f>
        <v>853.72128151185257</v>
      </c>
      <c r="L511" s="641"/>
    </row>
    <row r="512" spans="2:12" ht="12.75" hidden="1" customHeight="1" outlineLevel="1">
      <c r="B512" s="2694" t="s">
        <v>471</v>
      </c>
      <c r="C512" s="2695"/>
      <c r="D512" s="232">
        <v>14</v>
      </c>
      <c r="E512" s="641">
        <f>SUMIF($F$12:$F$204,Utilitaires!$I$573,AG12:AG204)+SUMIF($F$235:$F$432,Utilitaires!$I$573,AG235:AG432)
+SUMIF($F$12:$F204,Utilitaires!$I$573,AH12:AH204)+SUMIF($F$235:$F$432,Utilitaires!$I$573,AH235:AH432)
+SUMIF($F$25:$F$204,Utilitaires!$I$573,AI25:AI204)+SUMIF($F$337:$F$390,Utilitaires!$I$573,AI337:AI390)
+IF('Bilan GES'!E38="Oui",SUMIF($F$266:$F$286,Utilitaires!$I$573,AI266:AI286)+SUMIF($F$392:$F$412,Utilitaires!$I$573,AI392:AI412),)</f>
        <v>0</v>
      </c>
      <c r="F512" s="641">
        <f>SUMIF($F$12:$F$204,Utilitaires!$I$573,AJ12:AJ204)+SUMIF($F$235:$F$432,Utilitaires!$I$573,AJ235:AJ432)
+SUMIF($F$12:$F204,Utilitaires!$I$573,AK12:AK204)+SUMIF($F$235:$F$432,Utilitaires!$I$573,AK235:AK432)
+SUMIF($F$25:$F$204,Utilitaires!$I$573,AL25:AL204)+SUMIF($F$337:$F$390,Utilitaires!$I$573,AL337:AL390)
+IF('Bilan GES'!E38="Oui",SUMIF($F$266:$F$286,Utilitaires!$I$573,AL266:AL286)+SUMIF($F$392:$F$412,Utilitaires!$I$573,AL392:AL412),)</f>
        <v>0</v>
      </c>
      <c r="G512" s="641">
        <f>SUMIF($F$12:$F$204,Utilitaires!$I$573,AM12:AM204)+SUMIF($F$235:$F$432,Utilitaires!$I$573,AM235:AM432)
+SUMIF($F$12:$F204,Utilitaires!$I$573,AN12:AN204)+SUMIF($F$235:$F$432,Utilitaires!$I$573,AN235:AN432)
+SUMIF($F$25:$F$204,Utilitaires!$I$573,AO25:AO204)+SUMIF($F$337:$F$390,Utilitaires!$I$573,AO337:AO390)
+IF('Bilan GES'!E38="Oui",SUMIF($F$266:$F$286,Utilitaires!$I$573,AO266:AO286)+SUMIF($F$392:$F$412,Utilitaires!$I$573,AO392:AO412),)</f>
        <v>0</v>
      </c>
      <c r="H512" s="641">
        <f>SUMIF($F$12:$F$204,Utilitaires!$I$573,AP12:AP204)+SUMIF($F$235:$F$432,Utilitaires!$I$573,AP235:AP432)
+SUMIF($F$12:$F204,Utilitaires!$I$573,AQ12:AQ204)+SUMIF($F$235:$F$432,Utilitaires!$I$573,AQ235:AQ432)
+SUMIF($F$25:$F$204,Utilitaires!$I$573,AR25:AR204)+SUMIF($F$337:$F$390,Utilitaires!$I$573,AR337:AR390)
+IF('Bilan GES'!E38="Oui",SUMIF($F$266:$F$286,Utilitaires!$I$573,AR266:AR286)+SUMIF($F$392:$F$412,Utilitaires!$I$573,AR392:AR412),)</f>
        <v>0</v>
      </c>
      <c r="I512" s="641">
        <f>SUM(E512:H512)</f>
        <v>0</v>
      </c>
      <c r="J512" s="641">
        <f>SUMIF($F$25:$F$204,Utilitaires!$I$573,AX25:AX204)+SUMIF($F$337:$F$390,Utilitaires!$I$573,AX337:AX390)
+SUMIF($F$12:$F204,Utilitaires!$I$573,AW12:AW204)+SUMIF($F$235:$F$432,Utilitaires!$I$573,AW235:AW432)
+SUMIF($F$12:$F$204,Utilitaires!$I$573,AV12:AV204)+SUMIF($F$235:$F$432,Utilitaires!$I$573,AV235:AV432)
+IF('Bilan GES'!E38="Oui",SUMIF($F$266:$F$286,Utilitaires!$I$573,AX266:AX286)+SUMIF($F$392:$F$412,Utilitaires!$I$573,AX392:AX412),)</f>
        <v>0</v>
      </c>
      <c r="K512" s="632">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+IF('Bilan GES'!E38="Oui",SUMPRODUCT(($F$266:$F$286=Utilitaires!$I$573)*1,AC266:AC286,AC266:AC286)+SUMPRODUCT(($F$392:$F$412=Utilitaires!$I$573)*1,AC392:AC412,AC392:AC412),))</f>
        <v>0</v>
      </c>
      <c r="L512" s="641"/>
    </row>
    <row r="513" spans="2:60" ht="12.75" hidden="1" customHeight="1" outlineLevel="1">
      <c r="B513" s="2694" t="s">
        <v>472</v>
      </c>
      <c r="C513" s="2695"/>
      <c r="D513" s="232">
        <v>15</v>
      </c>
      <c r="E513" s="641"/>
      <c r="F513" s="641"/>
      <c r="G513" s="641"/>
      <c r="H513" s="641"/>
      <c r="I513" s="641"/>
      <c r="J513" s="641"/>
      <c r="K513" s="632"/>
      <c r="L513" s="641"/>
    </row>
    <row r="514" spans="2:60" ht="12.75" hidden="1" customHeight="1" outlineLevel="1">
      <c r="B514" s="2694" t="s">
        <v>473</v>
      </c>
      <c r="C514" s="2695"/>
      <c r="D514" s="232">
        <v>16</v>
      </c>
      <c r="E514" s="641">
        <f>SUMIF($F$336:$F$390,Utilitaires!$I$574,AI336:AI390)+SUMIF($F$324:$F$432,Utilitaires!$I$574,AH324:AH432)+SUMIF($F$324:$F$432,Utilitaires!$I$574,AG324:AG432)
+SUMIF($F$336:$F$390,Utilitaires!$I$578,AI336:AI390)+SUMIF($F$324:$F$432,Utilitaires!$I$578,AH324:AH432)+SUMIF($F$324:$F$432,Utilitaires!$I$578,AG324:AG432)
+IF('Bilan GES'!E38="Oui",SUMIF($F$392:$F$412,Utilitaires!$I$578,AI392:AI412)+SUMIF($F$392:$F$412,Utilitaires!$I$574,AI392:AI412),)</f>
        <v>0</v>
      </c>
      <c r="F514" s="641">
        <f>SUMIF($F$336:$F$390,Utilitaires!$I$574,AL336:AL390)+SUMIF($F$324:$F$432,Utilitaires!$I$574,AK324:AK432)+SUMIF($F$324:$F$432,Utilitaires!$I$574,AJ324:AJ432)
+SUMIF($F$336:$F$390,Utilitaires!$I$578,AL336:AL390)+SUMIF($F$324:$F$432,Utilitaires!$I$578,AK324:AK432)+SUMIF($F$324:$F$432,Utilitaires!$I$578,AJ324:AJ432)
+IF('Bilan GES'!E38="Oui",SUMIF($F$392:$F$412,Utilitaires!$I$578,AL392:AL412)+SUMIF($F$392:$F$412,Utilitaires!$I$574,AL392:AL412),)</f>
        <v>0</v>
      </c>
      <c r="G514" s="641">
        <f>SUMIF($F$336:$F$390,Utilitaires!$I$574,AO336:AO390)+SUMIF($F$324:$F$432,Utilitaires!$I$574,AN324:AN432)+SUMIF($F$324:$F$432,Utilitaires!$I$574,AM324:AM432)
+SUMIF($F$336:$F$390,Utilitaires!$I$578,AO336:AO390)+SUMIF($F$324:$F$432,Utilitaires!$I$578,AN324:AN432)+SUMIF($F$324:$F$432,Utilitaires!$I$578,AM324:AM432)
+IF('Bilan GES'!E38="Oui",SUMIF($F$392:$F$412,Utilitaires!$I$578,AO392:AO412)+SUMIF($F$392:$F$412,Utilitaires!$I$574,AO392:AO412),)</f>
        <v>0</v>
      </c>
      <c r="H514" s="641">
        <f>SUMIF($F$336:$F$390,Utilitaires!$I$574,AR336:AR390)+SUMIF($F$324:$F$432,Utilitaires!$I$574,AQ324:AQ432)+SUMIF($F$324:$F$432,Utilitaires!$I$574,AP324:AP432)
+SUMIF($F$336:$F$390,Utilitaires!$I$578,AR336:AR390)+SUMIF($F$324:$F$432,Utilitaires!$I$578,AQ324:AQ432)+SUMIF($F$324:$F$432,Utilitaires!$I$578,AP324:AP432)
+IF('Bilan GES'!E38="Oui",SUMIF($F$392:$F$412,Utilitaires!$I$578,AR392:AR412)+SUMIF($F$392:$F$412,Utilitaires!$I$574,AR392:AR412),)</f>
        <v>0</v>
      </c>
      <c r="I514" s="641">
        <f>SUM(E514:H514)</f>
        <v>0</v>
      </c>
      <c r="J514" s="641">
        <f>SUMIF($F$336:$F$390,Utilitaires!$I$574,AX336:AX390)+SUMIF($F$324:$F$432,Utilitaires!$I$574,AW324:AW432)+SUMIF($F$324:$F$432,Utilitaires!$I$574,AV324:AV432)
+SUMIF($F$336:$F$390,Utilitaires!$I$578,AX336:AX390)+SUMIF($F$324:$F$432,Utilitaires!$I$578,AW324:AW432)+SUMIF($F$324:$F$432,Utilitaires!$I$578,AV324:AV432)
+IF('Bilan GES'!E38="Oui",SUMIF($F$392:$F$412,Utilitaires!$I$578,AX392:AX412)+SUMIF($F$392:$F$412,Utilitaires!$I$574,AX392:AX412),)</f>
        <v>0</v>
      </c>
      <c r="K514" s="632">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+IF('Bilan GES'!E38="Oui",SUMPRODUCT(($F$392:$F$412=Utilitaires!$I$578)*1,AC392:AC412,AC392:AC412)+SUMPRODUCT(($F$392:$F$412=Utilitaires!$I$574)*1,AC392:AC412,AC392:AC412),))</f>
        <v>0</v>
      </c>
      <c r="L514" s="641"/>
    </row>
    <row r="515" spans="2:60" ht="12.75" hidden="1" customHeight="1" outlineLevel="1">
      <c r="B515" s="2694" t="s">
        <v>474</v>
      </c>
      <c r="C515" s="2695"/>
      <c r="D515" s="232">
        <v>17</v>
      </c>
      <c r="E515" s="641"/>
      <c r="F515" s="641"/>
      <c r="G515" s="641"/>
      <c r="H515" s="641"/>
      <c r="I515" s="641"/>
      <c r="J515" s="641"/>
      <c r="K515" s="632"/>
      <c r="L515" s="641"/>
    </row>
    <row r="516" spans="2:60" ht="12.75" hidden="1" customHeight="1" outlineLevel="1">
      <c r="B516" s="2694" t="s">
        <v>475</v>
      </c>
      <c r="C516" s="2695"/>
      <c r="D516" s="232">
        <v>18</v>
      </c>
      <c r="E516" s="641"/>
      <c r="F516" s="641"/>
      <c r="G516" s="641"/>
      <c r="H516" s="641"/>
      <c r="I516" s="641"/>
      <c r="J516" s="641"/>
      <c r="K516" s="632"/>
      <c r="L516" s="641"/>
    </row>
    <row r="517" spans="2:60" ht="12.75" hidden="1" customHeight="1" outlineLevel="1">
      <c r="B517" s="2694" t="s">
        <v>476</v>
      </c>
      <c r="C517" s="2695"/>
      <c r="D517" s="232">
        <v>19</v>
      </c>
      <c r="E517" s="641"/>
      <c r="F517" s="641"/>
      <c r="G517" s="641"/>
      <c r="H517" s="641"/>
      <c r="I517" s="641"/>
      <c r="J517" s="641"/>
      <c r="K517" s="632"/>
      <c r="L517" s="641"/>
    </row>
    <row r="518" spans="2:60" ht="12.75" hidden="1" customHeight="1" outlineLevel="1">
      <c r="B518" s="2694" t="s">
        <v>477</v>
      </c>
      <c r="C518" s="2695"/>
      <c r="D518" s="232">
        <v>20</v>
      </c>
      <c r="E518" s="641"/>
      <c r="F518" s="641"/>
      <c r="G518" s="641"/>
      <c r="H518" s="641"/>
      <c r="I518" s="641"/>
      <c r="J518" s="641"/>
      <c r="K518" s="632"/>
      <c r="L518" s="641"/>
    </row>
    <row r="519" spans="2:60" ht="12.75" hidden="1" customHeight="1" outlineLevel="1">
      <c r="B519" s="2694" t="s">
        <v>478</v>
      </c>
      <c r="C519" s="2695"/>
      <c r="D519" s="232">
        <v>21</v>
      </c>
      <c r="E519" s="641"/>
      <c r="F519" s="641"/>
      <c r="G519" s="641"/>
      <c r="H519" s="641"/>
      <c r="I519" s="641"/>
      <c r="J519" s="641"/>
      <c r="K519" s="632"/>
      <c r="L519" s="641"/>
    </row>
    <row r="520" spans="2:60" ht="12.75" hidden="1" customHeight="1" outlineLevel="1">
      <c r="B520" s="2694" t="s">
        <v>479</v>
      </c>
      <c r="C520" s="2695"/>
      <c r="D520" s="232">
        <v>22</v>
      </c>
      <c r="E520" s="641">
        <f ca="1">SUMIF($F$12:$F$109,Utilitaires!$I$574,AG12:AG109)+SUMIF($F$12:$F$109,Utilitaires!$I$574,AH12:AH109)+SUMIF($F$25:$F$109,Utilitaires!$I$574,AI25:AI99)
+SUMIF($F$12:$F$109,Utilitaires!$I$578,AG12:AG109)+SUMIF($F$12:$F$109,Utilitaires!$I$578,AH12:AH109)+SUMIF($F$25:$F$109,Utilitaires!$I$578,AI25:AI99)</f>
        <v>82747.526599999997</v>
      </c>
      <c r="F520" s="641">
        <f>SUMIF($F$12:$F$109,Utilitaires!$I$574,AJ12:AJ109)+SUMIF($F$12:$F$109,Utilitaires!$I$574,AK12:AK109)+SUMIF($F$25:$F$99,Utilitaires!$I$574,AL25:AL99)
+SUMIF($F$12:$F$109,Utilitaires!$I$578,AJ12:AJ109)+SUMIF($F$12:$F$109,Utilitaires!$I$578,AK12:AK109)+SUMIF($F$25:$F$99,Utilitaires!$I$578,AL25:AL99)</f>
        <v>0</v>
      </c>
      <c r="G520" s="641">
        <f>SUMIF($F$12:$F$109,Utilitaires!$I$574,AM12:AM109)+SUMIF($F$12:$F$109,Utilitaires!$I$574,AN12:AN109)+SUMIF($F$25:$F$99,Utilitaires!$I$574,AO25:AO99)
+SUMIF($F$12:$F$109,Utilitaires!$I$578,AM12:AM109)+SUMIF($F$12:$F$109,Utilitaires!$I$578,AN12:AN109)+SUMIF($F$25:$F$99,Utilitaires!$I$578,AO25:AO99)</f>
        <v>0</v>
      </c>
      <c r="H520" s="641">
        <f>SUMIF($F$12:$F$109,Utilitaires!$I$574,AP12:AP109)+SUMIF($F$12:$F$109,Utilitaires!$I$574,AQ12:AQ109)+SUMIF($F$25:$F$99,Utilitaires!$I$574,AR25:AR99)
+SUMIF($F$12:$F$109,Utilitaires!$I$578,AP12:AP109)+SUMIF($F$12:$F$109,Utilitaires!$I$578,AQ12:AQ109)+SUMIF($F$25:$F$99,Utilitaires!$I$578,AR25:AR99)</f>
        <v>0</v>
      </c>
      <c r="I520" s="641">
        <f ca="1">SUM(E520:H520)</f>
        <v>82747.526599999997</v>
      </c>
      <c r="J520" s="641">
        <f>SUMIF($F$12:$F$109,Utilitaires!$I$574,AV12:AV109)+SUMIF($F$12:$F$109,Utilitaires!$I$574,AW12:AW109)+SUMIF($F$25:$F$99,Utilitaires!$I$574,AX25:AX99)
+SUMIF($F$12:$F$109,Utilitaires!$I$578,AV12:AV109)+SUMIF($F$12:$F$109,Utilitaires!$I$578,AW12:AW109)+SUMIF($F$25:$F$99,Utilitaires!$I$578,AX25:AX99)</f>
        <v>0</v>
      </c>
      <c r="K520" s="632">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19859.199601136224</v>
      </c>
      <c r="L520" s="641"/>
      <c r="AZ520" s="113"/>
      <c r="BA520" s="113"/>
      <c r="BB520" s="113"/>
      <c r="BC520" s="113"/>
      <c r="BD520" s="113"/>
      <c r="BE520" s="113"/>
      <c r="BF520" s="113"/>
      <c r="BG520" s="113"/>
      <c r="BH520" s="113"/>
    </row>
    <row r="521" spans="2:60" ht="12.75" hidden="1" customHeight="1" outlineLevel="1">
      <c r="B521" s="2694" t="s">
        <v>449</v>
      </c>
      <c r="C521" s="2695"/>
      <c r="D521" s="232">
        <v>23</v>
      </c>
      <c r="E521" s="641"/>
      <c r="F521" s="641"/>
      <c r="G521" s="641"/>
      <c r="H521" s="641"/>
      <c r="I521" s="641"/>
      <c r="J521" s="641"/>
      <c r="K521" s="632"/>
      <c r="L521" s="641"/>
      <c r="AZ521" s="113"/>
      <c r="BA521" s="113"/>
      <c r="BB521" s="113"/>
      <c r="BC521" s="113"/>
      <c r="BD521" s="113"/>
      <c r="BE521" s="113"/>
      <c r="BF521" s="113"/>
      <c r="BG521" s="113"/>
      <c r="BH521" s="113"/>
    </row>
    <row r="522" spans="2:60" ht="12.75" hidden="1" customHeight="1" outlineLevel="1">
      <c r="B522" s="2706"/>
      <c r="C522" s="2707"/>
      <c r="D522" s="135" t="s">
        <v>439</v>
      </c>
      <c r="E522" s="642">
        <f t="shared" ref="E522:J522" ca="1" si="276">SUM(E506:E521)</f>
        <v>84194.342600000004</v>
      </c>
      <c r="F522" s="642">
        <f t="shared" si="276"/>
        <v>13.86</v>
      </c>
      <c r="G522" s="642">
        <f t="shared" si="276"/>
        <v>0.18</v>
      </c>
      <c r="H522" s="642">
        <f t="shared" si="276"/>
        <v>20.04</v>
      </c>
      <c r="I522" s="642">
        <f t="shared" ca="1" si="276"/>
        <v>84228.422599999991</v>
      </c>
      <c r="J522" s="642">
        <f t="shared" si="276"/>
        <v>1450.74</v>
      </c>
      <c r="K522" s="635">
        <f>SQRT(SUMSQ(K506:K521))</f>
        <v>19877.54131738318</v>
      </c>
      <c r="L522" s="642">
        <f>SUM(L506:L521)</f>
        <v>0</v>
      </c>
      <c r="AZ522" s="113"/>
      <c r="BA522" s="113"/>
      <c r="BB522" s="113"/>
      <c r="BC522" s="113"/>
      <c r="BD522" s="113"/>
      <c r="BE522" s="113"/>
      <c r="BF522" s="113"/>
      <c r="BG522" s="113"/>
      <c r="BH522" s="113"/>
    </row>
    <row r="523" spans="2:60" hidden="1" outlineLevel="1">
      <c r="D523" s="114" t="s">
        <v>1555</v>
      </c>
      <c r="E523" s="114">
        <f>SUMIF($F$247:$F$286,Utilitaires!$I$572,AI247:AI286)+SUMIF($F$247:$F$286,Utilitaires!$I$577,AI247:AI286)
+SUMIF($F$392:$F$412,Utilitaires!$I$572,AI392:AI412)+SUMIF($F$392:$F$412,Utilitaires!$I$577,AI392:AI412)
+SUMIF($F$247:$F$286,Utilitaires!$I$578,AI247:AI286)+SUMIF($F$247:$F$286,Utilitaires!$I$574,AI247:AI286)
+SUMIF($F$266:$F$286,Utilitaires!$I$573,AI266:AI286)+SUMIF($F$392:$F$412,Utilitaires!$I$573,AI392:AI412)</f>
        <v>1188</v>
      </c>
      <c r="F523" s="114">
        <f>SUMIF($F$247:$F$286,Utilitaires!$I$572,AL247:AL286)+SUMIF($F$247:$F$286,Utilitaires!$I$577,AL247:AL286)+
SUMIF($F$392:$F$412,Utilitaires!$I$572,AL392:AL412)+SUMIF($F$392:$F$412,Utilitaires!$I$577,AL392:AL412)+
SUMIF($F$247:$F$286,Utilitaires!$I$578,AL247:AL286)+SUMIF($F$247:$F$286,Utilitaires!$I$574,AL247:AL286)+
SUMIF($F$266:$F$286,Utilitaires!$I$573,AL266:AL286)+SUMIF($F$392:$F$412,Utilitaires!$I$573,AL392:AL412)+
SUMIF($F$392:$F$412,Utilitaires!$I$578,AL392:AL412)+SUMIF($F$392:$F$412,Utilitaires!$I$574,AL392:AL412)</f>
        <v>11.28</v>
      </c>
      <c r="G523" s="114">
        <f>SUMIF($F$247:$F$286,Utilitaires!$I$572,AO247:AO286)+SUMIF($F$247:$F$286,Utilitaires!$I$577,AO247:AO286)+
SUMIF($F$392:$F$412,Utilitaires!$I$572,AO392:AO412)+SUMIF($F$392:$F$412,Utilitaires!$I$577,AO392:AO412)+
SUMIF($F$247:$F$286,Utilitaires!$I$578,AO247:AO286)+SUMIF($F$247:$F$286,Utilitaires!$I$574,AO247:AO286)+
SUMIF($F$266:$F$286,Utilitaires!$I$573,AO266:AO286)+SUMIF($F$392:$F$412,Utilitaires!$I$573,AO392:AO412)+
SUMIF($F$392:$F$412,Utilitaires!$I$578,AO392:AO412)+SUMIF($F$392:$F$412,Utilitaires!$I$574,AO392:AO412)</f>
        <v>0</v>
      </c>
      <c r="H523" s="114">
        <f>SUMIF($F$247:$F$286,Utilitaires!$I$572,AR247:AR286)+SUMIF($F$247:$F$286,Utilitaires!$I$577,AR247:AR286)+
SUMIF($F$392:$F$412,Utilitaires!$I$572,AR392:AR412)+SUMIF($F$392:$F$412,Utilitaires!$I$577,AR392:AR412)+
SUMIF($F$247:$F$286,Utilitaires!$I$578,AR247:AR286)+SUMIF($F$247:$F$286,Utilitaires!$I$574,AR247:AR286)+
SUMIF($F$266:$F$286,Utilitaires!$I$573,AR266:AR286)+SUMIF($F$392:$F$412,Utilitaires!$I$573,AR392:AR412)+
SUMIF($F$392:$F$412,Utilitaires!$I$578,AR392:AR412)+SUMIF($F$392:$F$412,Utilitaires!$I$574,AR392:AR412)</f>
        <v>0</v>
      </c>
      <c r="I523" s="114">
        <f>SUM(E523:H523)</f>
        <v>1199.28</v>
      </c>
      <c r="J523" s="114">
        <f>SUMIF($F$247:$F$286,Utilitaires!$I$572,AX247:AX286)+SUMIF($F$247:$F$286,Utilitaires!$I$577,AX247:AX286)+
SUMIF($F$392:$F$412,Utilitaires!$I$572,AX392:AX412)+SUMIF($F$392:$F$412,Utilitaires!$I$577,AX392:AX412)+
SUMIF($F$247:$F$286,Utilitaires!$I$578,AX247:AX286)+SUMIF($F$247:$F$286,Utilitaires!$I$574,AX247:AX286)+
SUMIF($F$266:$F$286,Utilitaires!$I$573,AX266:AX286)+SUMIF($F$392:$F$412,Utilitaires!$I$573,AX392:AX412)+
SUMIF($F$392:$F$412,Utilitaires!$I$578,AX392:AX412)+SUMIF($F$392:$F$412,Utilitaires!$I$574,AX392:AX412)</f>
        <v>248.16000000000003</v>
      </c>
      <c r="AZ523" s="113"/>
      <c r="BA523" s="113"/>
      <c r="BB523" s="113"/>
      <c r="BC523" s="113"/>
      <c r="BD523" s="113"/>
      <c r="BE523" s="113"/>
      <c r="BF523" s="113"/>
      <c r="BG523" s="113"/>
      <c r="BH523" s="113"/>
    </row>
    <row r="524" spans="2:60">
      <c r="AZ524" s="113"/>
      <c r="BA524" s="113"/>
      <c r="BB524" s="113"/>
      <c r="BC524" s="113"/>
      <c r="BD524" s="113"/>
      <c r="BE524" s="113"/>
      <c r="BF524" s="113"/>
      <c r="BG524" s="113"/>
      <c r="BH524" s="113"/>
    </row>
    <row r="525" spans="2:60" s="113" customFormat="1" ht="15.75" customHeight="1" collapsed="1">
      <c r="B525" s="2698" t="s">
        <v>721</v>
      </c>
      <c r="C525" s="2699"/>
      <c r="D525" s="2699"/>
      <c r="E525" s="2699"/>
      <c r="F525" s="2699"/>
      <c r="G525" s="2699"/>
      <c r="H525" s="2699"/>
      <c r="I525" s="2699"/>
      <c r="J525" s="2699"/>
      <c r="K525" s="2699"/>
      <c r="L525" s="2699"/>
      <c r="M525" s="2699"/>
      <c r="N525" s="2699"/>
      <c r="O525" s="2700"/>
      <c r="Q525" s="2858"/>
      <c r="R525" s="2858"/>
      <c r="S525" s="2858"/>
      <c r="T525" s="2858"/>
      <c r="U525" s="2858"/>
      <c r="W525" s="817"/>
      <c r="AB525" s="817"/>
      <c r="AE525" s="418"/>
      <c r="AF525" s="1240"/>
      <c r="AG525" s="576"/>
      <c r="AH525" s="576"/>
      <c r="AI525" s="576"/>
      <c r="AJ525" s="576"/>
    </row>
    <row r="526" spans="2:60" s="113" customFormat="1" ht="12" hidden="1" customHeight="1" outlineLevel="1">
      <c r="Q526" s="2858"/>
      <c r="R526" s="2858"/>
      <c r="S526" s="2858"/>
      <c r="T526" s="2858"/>
      <c r="U526" s="2858"/>
      <c r="W526" s="817"/>
      <c r="AB526" s="817"/>
      <c r="AE526" s="418"/>
      <c r="AF526" s="1240"/>
      <c r="AG526" s="576"/>
      <c r="AH526" s="576"/>
      <c r="AI526" s="576"/>
      <c r="AJ526" s="576"/>
    </row>
    <row r="527" spans="2:60" s="113" customFormat="1" ht="38.25" hidden="1" customHeight="1" outlineLevel="1">
      <c r="B527" s="205"/>
      <c r="C527" s="205"/>
      <c r="D527" s="205"/>
      <c r="E527" s="2701" t="s">
        <v>448</v>
      </c>
      <c r="F527" s="2702"/>
      <c r="G527" s="2702"/>
      <c r="H527" s="2702"/>
      <c r="I527" s="2702"/>
      <c r="J527" s="2702"/>
      <c r="K527" s="2702"/>
      <c r="L527" s="2702"/>
      <c r="M527" s="2702"/>
      <c r="N527" s="2703"/>
      <c r="O527" s="865" t="s">
        <v>440</v>
      </c>
      <c r="Q527" s="2858"/>
      <c r="R527" s="2858"/>
      <c r="S527" s="2858"/>
      <c r="T527" s="2858"/>
      <c r="U527" s="2858"/>
      <c r="W527" s="817"/>
      <c r="AB527" s="817"/>
      <c r="AE527" s="418"/>
      <c r="AF527" s="1240"/>
      <c r="AG527" s="576"/>
      <c r="AH527" s="576"/>
      <c r="AI527" s="576"/>
      <c r="AJ527" s="576"/>
    </row>
    <row r="528" spans="2:60" s="113" customFormat="1" ht="25.5" hidden="1" customHeight="1" outlineLevel="1">
      <c r="B528" s="2701" t="s">
        <v>438</v>
      </c>
      <c r="C528" s="2703"/>
      <c r="D528" s="867" t="s">
        <v>458</v>
      </c>
      <c r="E528" s="866" t="s">
        <v>853</v>
      </c>
      <c r="F528" s="866" t="s">
        <v>854</v>
      </c>
      <c r="G528" s="866" t="s">
        <v>855</v>
      </c>
      <c r="H528" s="866" t="s">
        <v>858</v>
      </c>
      <c r="I528" s="866" t="s">
        <v>859</v>
      </c>
      <c r="J528" s="866" t="s">
        <v>860</v>
      </c>
      <c r="K528" s="866" t="s">
        <v>852</v>
      </c>
      <c r="L528" s="867" t="s">
        <v>513</v>
      </c>
      <c r="M528" s="866" t="s">
        <v>856</v>
      </c>
      <c r="N528" s="866" t="s">
        <v>514</v>
      </c>
      <c r="O528" s="867" t="s">
        <v>513</v>
      </c>
      <c r="Q528" s="2858"/>
      <c r="R528" s="2858"/>
      <c r="S528" s="2858"/>
      <c r="T528" s="2858"/>
      <c r="U528" s="2858"/>
      <c r="Z528" s="817"/>
      <c r="AE528" s="418"/>
      <c r="AF528" s="1240"/>
      <c r="AG528" s="576"/>
      <c r="AH528" s="576"/>
      <c r="AI528" s="576"/>
      <c r="AJ528" s="576"/>
      <c r="AK528" s="576"/>
      <c r="AL528" s="576"/>
      <c r="AM528" s="576"/>
    </row>
    <row r="529" spans="2:39" s="113" customFormat="1" ht="12.75" hidden="1" customHeight="1" outlineLevel="1">
      <c r="B529" s="2704" t="s">
        <v>459</v>
      </c>
      <c r="C529" s="2705"/>
      <c r="D529" s="861" t="s">
        <v>727</v>
      </c>
      <c r="E529" s="855"/>
      <c r="F529" s="855"/>
      <c r="G529" s="855"/>
      <c r="H529" s="855"/>
      <c r="I529" s="855"/>
      <c r="J529" s="855"/>
      <c r="K529" s="855"/>
      <c r="L529" s="864"/>
      <c r="M529" s="853"/>
      <c r="N529" s="858"/>
      <c r="O529" s="857"/>
      <c r="Q529" s="2858"/>
      <c r="R529" s="2858"/>
      <c r="S529" s="2858"/>
      <c r="T529" s="2858"/>
      <c r="U529" s="2858"/>
      <c r="Z529" s="817"/>
      <c r="AE529" s="418"/>
      <c r="AF529" s="1240"/>
      <c r="AG529" s="576"/>
      <c r="AH529" s="576"/>
      <c r="AI529" s="576"/>
      <c r="AJ529" s="576"/>
      <c r="AK529" s="576"/>
      <c r="AL529" s="576"/>
      <c r="AM529" s="576"/>
    </row>
    <row r="530" spans="2:39" s="113" customFormat="1" ht="12.75" hidden="1" customHeight="1" outlineLevel="1">
      <c r="B530" s="2704" t="s">
        <v>722</v>
      </c>
      <c r="C530" s="2705"/>
      <c r="D530" s="862" t="s">
        <v>728</v>
      </c>
      <c r="E530" s="855">
        <f>SUMIF($F$12:$F$432,Utilitaires!$I$572,AH12:AH432)+SUMIF($F$12:$F$432,Utilitaires!$I$577,AH12:AH432)</f>
        <v>0</v>
      </c>
      <c r="F530" s="855">
        <f>SUMIF($F$12:$F$432,Utilitaires!$I$572,AK12:AK432)+SUMIF($F$12:$F$432,Utilitaires!$I$577,AK12:AK432)</f>
        <v>0</v>
      </c>
      <c r="G530" s="855">
        <f>SUMIF($F$12:$F$432,Utilitaires!$I$572,AN12:AN432)+SUMIF($F$12:$F$432,Utilitaires!$I$577,AN12:AN432)</f>
        <v>0</v>
      </c>
      <c r="H530" s="855">
        <v>0</v>
      </c>
      <c r="I530" s="855">
        <v>0</v>
      </c>
      <c r="J530" s="855">
        <v>0</v>
      </c>
      <c r="K530" s="855">
        <f>SUMIF($F$12:$F$432,Utilitaires!$I$572,AQ12:AQ432)+SUMIF($F$12:$F$432,Utilitaires!$I$577,AQ12:AQ432)</f>
        <v>0</v>
      </c>
      <c r="L530" s="864">
        <f>SUM(E530:K530)</f>
        <v>0</v>
      </c>
      <c r="M530" s="853">
        <f>SUMIF($F$12:$F$432,Utilitaires!$I$572,AW12:AW432)+SUMIF($F$12:$F$432,Utilitaires!$I$577,AW12:AW432)</f>
        <v>0</v>
      </c>
      <c r="N530" s="858">
        <f>SQRT(SUMPRODUCT(($F$12:$F$204=Utilitaires!$I$572)*1,AB12:AB204,AB12:AB204)+SUMPRODUCT(($F$235:$F$432=Utilitaires!$I$572)*1,AB235:AB432,AB235:AB432)
+SUMPRODUCT(($F$12:$F$204=Utilitaires!$I$577)*1,AB12:AB204,AB12:AB204)+SUMPRODUCT(($F$235:$F$432=Utilitaires!$I$577)*1,AB235:AB432,AB235:AB432))</f>
        <v>0</v>
      </c>
      <c r="O530" s="857"/>
      <c r="Q530" s="2858"/>
      <c r="R530" s="2858"/>
      <c r="S530" s="2858"/>
      <c r="T530" s="2858"/>
      <c r="U530" s="2858"/>
      <c r="Z530" s="817"/>
      <c r="AE530" s="418"/>
      <c r="AF530" s="1240"/>
      <c r="AG530" s="576"/>
      <c r="AH530" s="576"/>
      <c r="AI530" s="576"/>
      <c r="AJ530" s="576"/>
      <c r="AK530" s="576"/>
      <c r="AL530" s="576"/>
      <c r="AM530" s="576"/>
    </row>
    <row r="531" spans="2:39" s="113" customFormat="1" ht="12.75" hidden="1" customHeight="1" outlineLevel="1">
      <c r="B531" s="2704" t="s">
        <v>723</v>
      </c>
      <c r="C531" s="2705"/>
      <c r="D531" s="862" t="s">
        <v>729</v>
      </c>
      <c r="E531" s="855"/>
      <c r="F531" s="855"/>
      <c r="G531" s="855"/>
      <c r="H531" s="855"/>
      <c r="I531" s="855"/>
      <c r="J531" s="855"/>
      <c r="K531" s="855"/>
      <c r="L531" s="864"/>
      <c r="M531" s="853"/>
      <c r="N531" s="858"/>
      <c r="O531" s="857"/>
      <c r="Q531" s="2858"/>
      <c r="R531" s="2858"/>
      <c r="S531" s="2858"/>
      <c r="T531" s="2858"/>
      <c r="U531" s="2858"/>
      <c r="Z531" s="817"/>
      <c r="AE531" s="418"/>
      <c r="AF531" s="1240"/>
      <c r="AG531" s="576"/>
      <c r="AH531" s="576"/>
      <c r="AI531" s="576"/>
      <c r="AJ531" s="576"/>
      <c r="AK531" s="576"/>
      <c r="AL531" s="576"/>
      <c r="AM531" s="576"/>
    </row>
    <row r="532" spans="2:39" s="113" customFormat="1" ht="12.75" hidden="1" customHeight="1" outlineLevel="1">
      <c r="B532" s="2704" t="s">
        <v>462</v>
      </c>
      <c r="C532" s="2705"/>
      <c r="D532" s="862" t="s">
        <v>730</v>
      </c>
      <c r="E532" s="855"/>
      <c r="F532" s="855"/>
      <c r="G532" s="855"/>
      <c r="H532" s="855"/>
      <c r="I532" s="855"/>
      <c r="J532" s="855"/>
      <c r="K532" s="855"/>
      <c r="L532" s="864"/>
      <c r="M532" s="853"/>
      <c r="N532" s="858"/>
      <c r="O532" s="857"/>
      <c r="Z532" s="817"/>
      <c r="AE532" s="418"/>
      <c r="AF532" s="1240"/>
      <c r="AG532" s="576"/>
      <c r="AH532" s="576"/>
      <c r="AI532" s="576"/>
      <c r="AJ532" s="576"/>
      <c r="AK532" s="576"/>
      <c r="AL532" s="576"/>
      <c r="AM532" s="576"/>
    </row>
    <row r="533" spans="2:39" s="113" customFormat="1" ht="12.75" hidden="1" customHeight="1" outlineLevel="1">
      <c r="B533" s="2710" t="s">
        <v>726</v>
      </c>
      <c r="C533" s="2711"/>
      <c r="D533" s="2712"/>
      <c r="E533" s="852">
        <f t="shared" ref="E533:O533" si="277">SUM(E529:E532)</f>
        <v>0</v>
      </c>
      <c r="F533" s="852">
        <f t="shared" si="277"/>
        <v>0</v>
      </c>
      <c r="G533" s="852">
        <f t="shared" si="277"/>
        <v>0</v>
      </c>
      <c r="H533" s="852">
        <f t="shared" si="277"/>
        <v>0</v>
      </c>
      <c r="I533" s="852">
        <f t="shared" si="277"/>
        <v>0</v>
      </c>
      <c r="J533" s="852">
        <f t="shared" si="277"/>
        <v>0</v>
      </c>
      <c r="K533" s="852">
        <f t="shared" si="277"/>
        <v>0</v>
      </c>
      <c r="L533" s="852">
        <f t="shared" si="277"/>
        <v>0</v>
      </c>
      <c r="M533" s="863">
        <f t="shared" si="277"/>
        <v>0</v>
      </c>
      <c r="N533" s="859">
        <f>SQRT(SUMSQ(N529:N532))</f>
        <v>0</v>
      </c>
      <c r="O533" s="860">
        <f t="shared" si="277"/>
        <v>0</v>
      </c>
      <c r="Z533" s="817"/>
      <c r="AE533" s="418"/>
      <c r="AF533" s="1240"/>
      <c r="AG533" s="576"/>
      <c r="AH533" s="576"/>
      <c r="AI533" s="576"/>
      <c r="AJ533" s="576"/>
      <c r="AK533" s="576"/>
      <c r="AL533" s="576"/>
      <c r="AM533" s="576"/>
    </row>
    <row r="534" spans="2:39" s="113" customFormat="1" ht="12.75" hidden="1" customHeight="1" outlineLevel="1">
      <c r="B534" s="2704" t="s">
        <v>464</v>
      </c>
      <c r="C534" s="2705"/>
      <c r="D534" s="862" t="s">
        <v>731</v>
      </c>
      <c r="E534" s="855">
        <f>AG215</f>
        <v>0</v>
      </c>
      <c r="F534" s="855">
        <f>AJ215</f>
        <v>0</v>
      </c>
      <c r="G534" s="855">
        <f>AM215</f>
        <v>0</v>
      </c>
      <c r="H534" s="855">
        <v>0</v>
      </c>
      <c r="I534" s="855">
        <v>0</v>
      </c>
      <c r="J534" s="855">
        <v>0</v>
      </c>
      <c r="K534" s="855">
        <f>AP215</f>
        <v>0</v>
      </c>
      <c r="L534" s="864">
        <f>SUM(E534:K534)</f>
        <v>0</v>
      </c>
      <c r="M534" s="853">
        <f>AV215</f>
        <v>0</v>
      </c>
      <c r="N534" s="858">
        <f>AA215</f>
        <v>0</v>
      </c>
      <c r="O534" s="856"/>
      <c r="Z534" s="817"/>
      <c r="AE534" s="418"/>
      <c r="AF534" s="1240"/>
      <c r="AG534" s="576"/>
      <c r="AH534" s="576"/>
      <c r="AI534" s="576"/>
      <c r="AJ534" s="576"/>
      <c r="AK534" s="576"/>
      <c r="AL534" s="576"/>
      <c r="AM534" s="576"/>
    </row>
    <row r="535" spans="2:39" s="113" customFormat="1" ht="12.75" hidden="1" customHeight="1" outlineLevel="1">
      <c r="B535" s="2708" t="s">
        <v>465</v>
      </c>
      <c r="C535" s="2709"/>
      <c r="D535" s="862" t="s">
        <v>732</v>
      </c>
      <c r="E535" s="855"/>
      <c r="F535" s="855"/>
      <c r="G535" s="855"/>
      <c r="H535" s="855"/>
      <c r="I535" s="855"/>
      <c r="J535" s="855"/>
      <c r="K535" s="855"/>
      <c r="L535" s="864"/>
      <c r="M535" s="853"/>
      <c r="N535" s="858"/>
      <c r="O535" s="856"/>
      <c r="Z535" s="817"/>
      <c r="AE535" s="418"/>
      <c r="AF535" s="1240"/>
      <c r="AG535" s="576"/>
      <c r="AH535" s="576"/>
      <c r="AI535" s="576"/>
      <c r="AJ535" s="576"/>
      <c r="AK535" s="576"/>
      <c r="AL535" s="576"/>
      <c r="AM535" s="576"/>
    </row>
    <row r="536" spans="2:39" s="113" customFormat="1" ht="12.75" hidden="1" customHeight="1" outlineLevel="1">
      <c r="B536" s="2710" t="s">
        <v>725</v>
      </c>
      <c r="C536" s="2711"/>
      <c r="D536" s="2712"/>
      <c r="E536" s="852">
        <f t="shared" ref="E536:L536" si="278">SUM(E534:E535)</f>
        <v>0</v>
      </c>
      <c r="F536" s="852">
        <f t="shared" si="278"/>
        <v>0</v>
      </c>
      <c r="G536" s="852">
        <f t="shared" si="278"/>
        <v>0</v>
      </c>
      <c r="H536" s="852">
        <f t="shared" si="278"/>
        <v>0</v>
      </c>
      <c r="I536" s="852">
        <f t="shared" si="278"/>
        <v>0</v>
      </c>
      <c r="J536" s="852">
        <f t="shared" si="278"/>
        <v>0</v>
      </c>
      <c r="K536" s="852">
        <f t="shared" si="278"/>
        <v>0</v>
      </c>
      <c r="L536" s="852">
        <f t="shared" si="278"/>
        <v>0</v>
      </c>
      <c r="M536" s="863">
        <f>SUM(M534:M535)</f>
        <v>0</v>
      </c>
      <c r="N536" s="859">
        <f>SQRT(SUMSQ(N534:N535))</f>
        <v>0</v>
      </c>
      <c r="O536" s="860">
        <f>SUM(O534:O535)</f>
        <v>0</v>
      </c>
      <c r="Z536" s="817"/>
      <c r="AE536" s="418"/>
      <c r="AF536" s="1240"/>
      <c r="AG536" s="576"/>
      <c r="AH536" s="576"/>
      <c r="AI536" s="576"/>
      <c r="AJ536" s="576"/>
      <c r="AK536" s="576"/>
      <c r="AL536" s="576"/>
      <c r="AM536" s="576"/>
    </row>
    <row r="537" spans="2:39" s="113" customFormat="1" ht="12.75" hidden="1" customHeight="1" outlineLevel="1">
      <c r="B537" s="2713" t="s">
        <v>757</v>
      </c>
      <c r="C537" s="2714"/>
      <c r="D537" s="2714"/>
      <c r="E537" s="2714"/>
      <c r="F537" s="2714"/>
      <c r="G537" s="2714"/>
      <c r="H537" s="2714"/>
      <c r="I537" s="2714"/>
      <c r="J537" s="2714"/>
      <c r="K537" s="2714"/>
      <c r="L537" s="2714"/>
      <c r="M537" s="2714"/>
      <c r="N537" s="2714"/>
      <c r="O537" s="2715"/>
      <c r="Z537" s="817"/>
      <c r="AE537" s="418"/>
      <c r="AF537" s="1240"/>
      <c r="AG537" s="576"/>
      <c r="AH537" s="576"/>
      <c r="AI537" s="576"/>
      <c r="AJ537" s="576"/>
      <c r="AK537" s="576"/>
      <c r="AL537" s="576"/>
      <c r="AM537" s="576"/>
    </row>
    <row r="538" spans="2:39" s="113" customFormat="1" ht="12.75" hidden="1" customHeight="1" outlineLevel="1">
      <c r="B538" s="2704" t="s">
        <v>733</v>
      </c>
      <c r="C538" s="2705"/>
      <c r="D538" s="862" t="s">
        <v>741</v>
      </c>
      <c r="E538" s="855"/>
      <c r="F538" s="855"/>
      <c r="G538" s="855"/>
      <c r="H538" s="855"/>
      <c r="I538" s="855"/>
      <c r="J538" s="855"/>
      <c r="K538" s="855"/>
      <c r="L538" s="864"/>
      <c r="M538" s="853"/>
      <c r="N538" s="858"/>
      <c r="O538" s="856"/>
      <c r="Z538" s="817"/>
      <c r="AE538" s="418"/>
      <c r="AF538" s="1240"/>
      <c r="AG538" s="576"/>
      <c r="AH538" s="576"/>
      <c r="AI538" s="576"/>
      <c r="AJ538" s="576"/>
      <c r="AK538" s="576"/>
      <c r="AL538" s="576"/>
      <c r="AM538" s="576"/>
    </row>
    <row r="539" spans="2:39" s="113" customFormat="1" ht="12.75" hidden="1" customHeight="1" outlineLevel="1">
      <c r="B539" s="2708" t="s">
        <v>734</v>
      </c>
      <c r="C539" s="2709"/>
      <c r="D539" s="862" t="s">
        <v>742</v>
      </c>
      <c r="E539" s="855"/>
      <c r="F539" s="855"/>
      <c r="G539" s="855"/>
      <c r="H539" s="855"/>
      <c r="I539" s="855"/>
      <c r="J539" s="855"/>
      <c r="K539" s="855"/>
      <c r="L539" s="864"/>
      <c r="M539" s="853"/>
      <c r="N539" s="858"/>
      <c r="O539" s="856"/>
      <c r="Z539" s="817"/>
      <c r="AE539" s="418"/>
      <c r="AF539" s="1240"/>
      <c r="AG539" s="576"/>
      <c r="AH539" s="576"/>
      <c r="AI539" s="576"/>
      <c r="AJ539" s="576"/>
      <c r="AK539" s="576"/>
      <c r="AL539" s="576"/>
      <c r="AM539" s="576"/>
    </row>
    <row r="540" spans="2:39" s="113" customFormat="1" ht="12.75" hidden="1" customHeight="1" outlineLevel="1">
      <c r="B540" s="2708" t="s">
        <v>735</v>
      </c>
      <c r="C540" s="2709"/>
      <c r="D540" s="862" t="s">
        <v>743</v>
      </c>
      <c r="E540" s="855">
        <f>SUMIF($F$12:$F$204,Utilitaires!$I$572,AG12:AG204)+SUMIF($F$235:$F$432,Utilitaires!$I$572,AG235:AG432)
+SUMIF($F$12:$F$204,Utilitaires!$I$577,AG12:AG204)+SUMIF($F$235:$F$432,Utilitaires!$I$577,AG235:AG432)
+AG223</f>
        <v>0</v>
      </c>
      <c r="F540" s="855">
        <f>SUMIF($F$12:$F$204,Utilitaires!$I$572,AJ12:AJ204)+SUMIF($F$247:$F$432,Utilitaires!$I$572,AJ247:AJ432)
+SUMIF($F$12:$F$204,Utilitaires!$I$577,AJ12:AJ204)+SUMIF($F$247:$F$432,Utilitaires!$I$577,AJ247:AJ432)
+AJ223</f>
        <v>0</v>
      </c>
      <c r="G540" s="855">
        <f>SUMIF($F$12:$F$204,Utilitaires!$I$572,AM12:AM204)+SUMIF($F$247:$F$432,Utilitaires!$I$572,AM247:AM432)
+SUMIF($F$12:$F$204,Utilitaires!$I$577,AM12:AM204)+SUMIF($F$247:$F$432,Utilitaires!$I$577,AM247:AM432)
+AM223</f>
        <v>0</v>
      </c>
      <c r="H540" s="855">
        <v>0</v>
      </c>
      <c r="I540" s="855">
        <v>0</v>
      </c>
      <c r="J540" s="855">
        <v>0</v>
      </c>
      <c r="K540" s="855">
        <f>SUMIF($F$12:$F$204,Utilitaires!$I$572,AP12:AP204)+SUMIF($F$247:$F$432,Utilitaires!$I$572,AP247:AP432)
+SUMIF($F$12:$F$204,Utilitaires!$I$577,AP12:AP204)+SUMIF($F$247:$F$432,Utilitaires!$I$577,AP247:AP432)
+AP223</f>
        <v>0</v>
      </c>
      <c r="L540" s="864">
        <f>SUM(E540:K540)</f>
        <v>0</v>
      </c>
      <c r="M540" s="853">
        <f>SUMIF($F$12:$F$204,Utilitaires!$I$572,AV12:AV204)+SUMIF($F$247:$F$432,Utilitaires!$I$572,AV247:AV432)
+SUMIF($F$12:$F$204,Utilitaires!$I$577,AV12:AV204)+SUMIF($F$247:$F$432,Utilitaires!$I$577,AV247:AV432)
+AV223</f>
        <v>0</v>
      </c>
      <c r="N540" s="858">
        <f>SQRT(SUMPRODUCT(($F$12:$F$204=Utilitaires!$I$572)*1,AA12:AA204,AA12:AA204)+SUMPRODUCT(($F$235:$F$432=Utilitaires!$I$572)*1,AA235:AA432,AA235:AA432)
+SUMPRODUCT(($F$12:$F$204=Utilitaires!$I$577)*1,AA12:AA204,AA12:AA204)+SUMPRODUCT(($F$235:$F$432=Utilitaires!$I$577)*1,AA235:AA432,AA235:AA432)
+AA223^2)</f>
        <v>0</v>
      </c>
      <c r="O540" s="856"/>
      <c r="Z540" s="817"/>
      <c r="AE540" s="418"/>
      <c r="AF540" s="1240"/>
      <c r="AG540" s="576"/>
      <c r="AH540" s="576"/>
      <c r="AI540" s="576"/>
      <c r="AJ540" s="576"/>
      <c r="AK540" s="576"/>
      <c r="AL540" s="576"/>
      <c r="AM540" s="576"/>
    </row>
    <row r="541" spans="2:39" s="113" customFormat="1" ht="12.75" hidden="1" customHeight="1" outlineLevel="1">
      <c r="B541" s="2704" t="s">
        <v>815</v>
      </c>
      <c r="C541" s="2705"/>
      <c r="D541" s="862" t="s">
        <v>744</v>
      </c>
      <c r="E541" s="855"/>
      <c r="F541" s="855"/>
      <c r="G541" s="855"/>
      <c r="H541" s="855"/>
      <c r="I541" s="855"/>
      <c r="J541" s="855"/>
      <c r="K541" s="855"/>
      <c r="L541" s="864"/>
      <c r="M541" s="853"/>
      <c r="N541" s="858"/>
      <c r="O541" s="856"/>
      <c r="Z541" s="817"/>
      <c r="AE541" s="418"/>
      <c r="AF541" s="1240"/>
      <c r="AG541" s="576"/>
      <c r="AH541" s="576"/>
      <c r="AI541" s="576"/>
      <c r="AJ541" s="576"/>
      <c r="AK541" s="576"/>
      <c r="AL541" s="576"/>
      <c r="AM541" s="576"/>
    </row>
    <row r="542" spans="2:39" s="113" customFormat="1" ht="12.75" hidden="1" customHeight="1" outlineLevel="1">
      <c r="B542" s="2704" t="s">
        <v>736</v>
      </c>
      <c r="C542" s="2705"/>
      <c r="D542" s="862" t="s">
        <v>745</v>
      </c>
      <c r="E542" s="855"/>
      <c r="F542" s="855"/>
      <c r="G542" s="855"/>
      <c r="H542" s="855"/>
      <c r="I542" s="855"/>
      <c r="J542" s="855"/>
      <c r="K542" s="855"/>
      <c r="L542" s="864"/>
      <c r="M542" s="853"/>
      <c r="N542" s="858"/>
      <c r="O542" s="856"/>
      <c r="Z542" s="817"/>
      <c r="AE542" s="418"/>
      <c r="AF542" s="1240"/>
      <c r="AG542" s="576"/>
      <c r="AH542" s="576"/>
      <c r="AI542" s="576"/>
      <c r="AJ542" s="576"/>
      <c r="AK542" s="576"/>
      <c r="AL542" s="576"/>
      <c r="AM542" s="576"/>
    </row>
    <row r="543" spans="2:39" s="113" customFormat="1" ht="12.75" hidden="1" customHeight="1" outlineLevel="1">
      <c r="B543" s="2704" t="s">
        <v>470</v>
      </c>
      <c r="C543" s="2705"/>
      <c r="D543" s="862" t="s">
        <v>746</v>
      </c>
      <c r="E543" s="855">
        <f>SUMIF($F$116:$F$318,Utilitaires!$I$574,AG116:AG318)+SUMIF($F$116:$F$318,Utilitaires!$I$578,AG116:AG318)
+SUMIF($F$116:$F$318,Utilitaires!$I$574,AH116:AH318)+SUMIF($F$116:$F$318,Utilitaires!$I$578,AH116:AH318)
+SUMIF($F$139:$F$204,Utilitaires!$I$574,AI139:AI204)+SUMIF($F$139:$F$204,Utilitaires!$I$578,AI139:AI204)
+SUMIF($F$247:$F$286,Utilitaires!$I$578,AI247:AI286)+SUMIF($F$247:$F$286,Utilitaires!$I$574,AI247:AI286)</f>
        <v>1446.816</v>
      </c>
      <c r="F543" s="855">
        <f>SUMIF($F$116:$F$318,Utilitaires!$I$574,AJ116:AJ318)+SUMIF($F$116:$F$318,Utilitaires!$I$578,AJ116:AJ318)
+SUMIF($F$116:$F$318,Utilitaires!$I$574,AK116:AK318)+SUMIF($F$116:$F$318,Utilitaires!$I$578,AK116:AK318)
+SUMIF($F$139:$F$204,Utilitaires!$I$574,AL139:AL204)+SUMIF($F$139:$F$204,Utilitaires!$I$578,AL139:AL204)
+SUMIF($F$247:$F$286,Utilitaires!$I$578,AL247:AL286)+SUMIF($F$247:$F$286,Utilitaires!$I$574,AL247:AL286)</f>
        <v>13.86</v>
      </c>
      <c r="G543" s="855">
        <f>SUMIF($F$116:$F$318,Utilitaires!$I$574,AM116:AM318)+SUMIF($F$116:$F$318,Utilitaires!$I$578,AM116:AM318)
+SUMIF($F$116:$F$318,Utilitaires!$I$574,AN116:AN318)+SUMIF($F$116:$F$318,Utilitaires!$I$578,AN116:AN318)
+SUMIF($F$139:$F$204,Utilitaires!$I$574,AO139:AO204)+SUMIF($F$139:$F$204,Utilitaires!$I$578,AO139:AO204)
+SUMIF($F$247:$F$286,Utilitaires!$I$578,AO247:AO286)+SUMIF($F$247:$F$286,Utilitaires!$I$574,AO247:AO286)</f>
        <v>0.18</v>
      </c>
      <c r="H543" s="855">
        <v>0</v>
      </c>
      <c r="I543" s="855">
        <v>0</v>
      </c>
      <c r="J543" s="855">
        <v>0</v>
      </c>
      <c r="K543" s="855">
        <f>SUMIF($F$116:$F$318,Utilitaires!$I$574,AP116:AP318)+SUMIF($F$116:$F$318,Utilitaires!$I$578,AP116:AP318)
+SUMIF($F$116:$F$318,Utilitaires!$I$574,AQ116:AQ318)+SUMIF($F$116:$F$318,Utilitaires!$I$578,AQ116:AQ318)
+SUMIF($F$139:$F$204,Utilitaires!$I$574,AR139:AR204)+SUMIF($F$139:$F$204,Utilitaires!$I$578,AR139:AR204)
+SUMIF($F$247:$F$286,Utilitaires!$I$578,AR247:AR286)+SUMIF($F$247:$F$286,Utilitaires!$I$574,AR247:AR286)</f>
        <v>20.04</v>
      </c>
      <c r="L543" s="864">
        <f>SUM(E543:K543)</f>
        <v>1480.896</v>
      </c>
      <c r="M543" s="853">
        <f>SUMIF($F$116:$F$318,Utilitaires!$I$574,AV116:AV318)+SUMIF($F$116:$F$318,Utilitaires!$I$578,AV116:AV318)
+SUMIF($F$116:$F$318,Utilitaires!$I$574,AW116:AW318)+SUMIF($F$116:$F$318,Utilitaires!$I$578,AW116:AW318)
+SUMIF($F$139:$F$204,Utilitaires!$I$574,AX139:AX204)+SUMIF($F$139:$F$204,Utilitaires!$I$578,AX139:AX204)
+SUMIF($F$247:$F$286,Utilitaires!$I$578,AX247:AX286)+SUMIF($F$247:$F$286,Utilitaires!$I$574,AX247:AX286)</f>
        <v>1450.74</v>
      </c>
      <c r="N543" s="858">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+SUMPRODUCT(($F$266:$F$286=Utilitaires!$I$574)*1,AC266:AC286,AC266:AC286))</f>
        <v>853.72128151185257</v>
      </c>
      <c r="O543" s="856"/>
      <c r="Z543" s="817"/>
      <c r="AE543" s="418"/>
      <c r="AF543" s="1240"/>
      <c r="AG543" s="576"/>
      <c r="AH543" s="576"/>
      <c r="AI543" s="576"/>
      <c r="AJ543" s="576"/>
      <c r="AK543" s="576"/>
      <c r="AL543" s="576"/>
      <c r="AM543" s="576"/>
    </row>
    <row r="544" spans="2:39" s="113" customFormat="1" ht="12.75" hidden="1" customHeight="1" outlineLevel="1">
      <c r="B544" s="2704" t="s">
        <v>479</v>
      </c>
      <c r="C544" s="2705"/>
      <c r="D544" s="862" t="s">
        <v>747</v>
      </c>
      <c r="E544" s="855">
        <f ca="1">SUMIF($F$12:$F$109,Utilitaires!$I$574,AG12:AG109)+SUMIF($F$12:$F$109,Utilitaires!$I$574,AH12:AH109)+SUMIF($F$25:$F$109,Utilitaires!$I$574,AI25:AI99)
+SUMIF($F$12:$F$109,Utilitaires!$I$578,AG12:AG109)+SUMIF($F$12:$F$109,Utilitaires!$I$578,AH12:AH109)+SUMIF($F$25:$F$109,Utilitaires!$I$578,AI25:AI99)</f>
        <v>82747.526599999997</v>
      </c>
      <c r="F544" s="855">
        <f>SUMIF($F$12:$F$109,Utilitaires!$I$574,AJ12:AJ109)+SUMIF($F$12:$F$109,Utilitaires!$I$574,AK12:AK109)+SUMIF($F$25:$F$99,Utilitaires!$I$574,AL25:AL99)
+SUMIF($F$12:$F$109,Utilitaires!$I$578,AJ12:AJ109)+SUMIF($F$12:$F$109,Utilitaires!$I$578,AK12:AK109)+SUMIF($F$25:$F$99,Utilitaires!$I$578,AL25:AL99)</f>
        <v>0</v>
      </c>
      <c r="G544" s="855">
        <f>SUMIF($F$12:$F$109,Utilitaires!$I$574,AM12:AM109)+SUMIF($F$12:$F$99,Utilitaires!$I$574,AN12:AN99)+SUMIF($F$25:$F$99,Utilitaires!$I$574,AO25:AO99)
+SUMIF($F$12:$F$109,Utilitaires!$I$578,AM12:AM109)+SUMIF($F$12:$F$99,Utilitaires!$I$578,AN12:AN99)+SUMIF($F$25:$F$99,Utilitaires!$I$578,AO25:AO99)</f>
        <v>0</v>
      </c>
      <c r="H544" s="855">
        <v>0</v>
      </c>
      <c r="I544" s="855">
        <v>0</v>
      </c>
      <c r="J544" s="855">
        <v>0</v>
      </c>
      <c r="K544" s="855">
        <f>SUMIF($F$12:$F$109,Utilitaires!$I$574,AP12:AP109)+SUMIF($F$12:$F$109,Utilitaires!$I$574,AQ12:AQ109)+SUMIF($F$25:$F$99,Utilitaires!$I$574,AR25:AR99)
+SUMIF($F$12:$F$109,Utilitaires!$I$578,AP12:AP109)+SUMIF($F$12:$F$109,Utilitaires!$I$578,AQ12:AQ109)+SUMIF($F$25:$F$99,Utilitaires!$I$578,AR25:AR99)</f>
        <v>0</v>
      </c>
      <c r="L544" s="864">
        <f ca="1">SUM(E544:K544)</f>
        <v>82747.526599999997</v>
      </c>
      <c r="M544" s="853">
        <f>SUMIF($F$12:$F$109,Utilitaires!$I$574,AV12:AV109)+SUMIF($F$12:$F$109,Utilitaires!$I$574,AW12:AW109)+SUMIF($F$25:$F$99,Utilitaires!$I$574,AX25:AX99)
+SUMIF($F$12:$F$109,Utilitaires!$I$578,AV12:AV109)+SUMIF($F$12:$F$109,Utilitaires!$I$578,AW12:AW109)+SUMIF($F$25:$F$99,Utilitaires!$I$578,AX25:AX99)</f>
        <v>0</v>
      </c>
      <c r="N544" s="858">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19859.199601136224</v>
      </c>
      <c r="O544" s="856"/>
      <c r="Z544" s="817"/>
      <c r="AE544" s="418"/>
      <c r="AF544" s="1240"/>
      <c r="AG544" s="576"/>
      <c r="AH544" s="576"/>
      <c r="AI544" s="576"/>
      <c r="AJ544" s="576"/>
      <c r="AK544" s="576"/>
      <c r="AL544" s="576"/>
      <c r="AM544" s="576"/>
    </row>
    <row r="545" spans="2:60" s="113" customFormat="1" ht="12.75" hidden="1" customHeight="1" outlineLevel="1">
      <c r="B545" s="2704" t="s">
        <v>471</v>
      </c>
      <c r="C545" s="2705"/>
      <c r="D545" s="862" t="s">
        <v>748</v>
      </c>
      <c r="E545" s="855">
        <f>SUMIF($F$12:$F$204,Utilitaires!$I$573,AG12:AG204)+SUMIF($F$235:$F$432,Utilitaires!$I$573,AG235:AG432)
+SUMIF($F$12:$F204,Utilitaires!$I$573,AH12:AH204)+SUMIF($F$235:$F$432,Utilitaires!$I$573,AH235:AH432)
+SUMIF($F$25:$F$204,Utilitaires!$I$573,AI25:AI204)+SUMIF($F$337:$F$390,Utilitaires!$I$573,AI337:AI390)
+SUMIF($F$266:$F$286,Utilitaires!$I$573,AI266:AI286)+SUMIF($F$392:$F$412,Utilitaires!$I$573,AI392:AI412)</f>
        <v>0</v>
      </c>
      <c r="F545" s="855">
        <f>SUMIF($F$12:$F$204,Utilitaires!$I$573,AJ12:AJ204)+SUMIF($F$235:$F$432,Utilitaires!$I$573,AJ235:AJ432)
+SUMIF($F$12:$F204,Utilitaires!$I$573,AK12:AK204)+SUMIF($F$235:$F$432,Utilitaires!$I$573,AK235:AK432)
+SUMIF($F$25:$F$204,Utilitaires!$I$573,AL25:AL204)+SUMIF($F$337:$F$390,Utilitaires!$I$573,AL337:AL390)
+SUMIF($F$266:$F$286,Utilitaires!$I$573,AL266:AL286)+SUMIF($F$392:$F$412,Utilitaires!$I$573,AL392:AL412)</f>
        <v>0</v>
      </c>
      <c r="G545" s="855">
        <f>SUMIF($F$12:$F$204,Utilitaires!$I$573,AM12:AM204)+SUMIF($F$235:$F$432,Utilitaires!$I$573,AM235:AM432)
+SUMIF($F$12:$F204,Utilitaires!$I$573,AN12:AN204)+SUMIF($F$235:$F$432,Utilitaires!$I$573,AN235:AN432)
+SUMIF($F$25:$F$204,Utilitaires!$I$573,AO25:AO204)+SUMIF($F$337:$F$390,Utilitaires!$I$573,AO337:AO390)
+SUMIF($F$266:$F$286,Utilitaires!$I$573,AO266:AO286)+SUMIF($F$392:$F$412,Utilitaires!$I$573,AO392:AO412)</f>
        <v>0</v>
      </c>
      <c r="H545" s="855">
        <v>0</v>
      </c>
      <c r="I545" s="855">
        <v>0</v>
      </c>
      <c r="J545" s="855">
        <v>0</v>
      </c>
      <c r="K545" s="855">
        <f>SUMIF($F$12:$F$204,Utilitaires!$I$573,AP12:AP204)+SUMIF($F$235:$F$432,Utilitaires!$I$573,AP235:AP432)
+SUMIF($F$12:$F204,Utilitaires!$I$573,AQ12:AQ204)+SUMIF($F$235:$F$432,Utilitaires!$I$573,AQ235:AQ432)
+SUMIF($F$25:$F$204,Utilitaires!$I$573,AR25:AR204)+SUMIF($F$337:$F$390,Utilitaires!$I$573,AR337:AR390)
+SUMIF($F$266:$F$286,Utilitaires!$I$573,AR266:AR286)+SUMIF($F$392:$F$412,Utilitaires!$I$573,AR392:AR412)</f>
        <v>0</v>
      </c>
      <c r="L545" s="864">
        <f>SUM(E545:K545)</f>
        <v>0</v>
      </c>
      <c r="M545" s="853">
        <f>SUMIF($F$25:$F$204,Utilitaires!$I$573,AX25:AX204)+SUMIF($F$337:$F$390,Utilitaires!$I$573,AX337:AX390)
+SUMIF($F$12:$F204,Utilitaires!$I$573,AW12:AW204)+SUMIF($F$235:$F$432,Utilitaires!$I$573,AW235:AW432)
+SUMIF($F$12:$F$204,Utilitaires!$I$573,AV12:AV204)+SUMIF($F$235:$F$432,Utilitaires!$I$573,AV235:AV432)
+SUMIF($F$266:$F$286,Utilitaires!$I$573,AX266:AX286)+SUMIF($F$392:$F$412,Utilitaires!$I$573,AX392:AX412)</f>
        <v>0</v>
      </c>
      <c r="N545" s="858">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+SUMPRODUCT(($F$266:$F$286=Utilitaires!$I$573)*1,AC266:AC286,AC266:AC286)+SUMPRODUCT(($F$392:$F$412=Utilitaires!$I$573)*1,AC392:AC412,AC392:AC412)
+SUMPRODUCT(($F$392:$F$412=Utilitaires!$I$573)*1,AC392:AC412,AC392:AC412)+SUMPRODUCT(($F$392:$F$412=Utilitaires!$I$573)*1,AA392:AA412,AA392:AA412)
+SUMPRODUCT(($F$414:$F$422=Utilitaires!$I$573)*1,AB414:AB422,AB414:AB422)
+SUMPRODUCT(($F$414:$F$432=Utilitaires!$I$573)*1,AA414:AA432,AA414:AA432)
+SUMPRODUCT(($F$392:$F$412=Utilitaires!$I$573)*1,AB392:AB412,AB392:AB412)+SUMPRODUCT(($F$247:$F$286=Utilitaires!$I$573)*1,AB247:AB286,AB247:AB286))</f>
        <v>0</v>
      </c>
      <c r="O545" s="856"/>
      <c r="Z545" s="817"/>
      <c r="AE545" s="418"/>
      <c r="AF545" s="1240"/>
      <c r="AG545" s="576"/>
      <c r="AH545" s="576"/>
      <c r="AI545" s="576"/>
      <c r="AJ545" s="576"/>
      <c r="AK545" s="576"/>
      <c r="AL545" s="576"/>
      <c r="AM545" s="576"/>
    </row>
    <row r="546" spans="2:60" s="113" customFormat="1" ht="12.75" hidden="1" customHeight="1" outlineLevel="1">
      <c r="B546" s="2704" t="s">
        <v>762</v>
      </c>
      <c r="C546" s="2705"/>
      <c r="D546" s="854"/>
      <c r="E546" s="855"/>
      <c r="F546" s="855"/>
      <c r="G546" s="855"/>
      <c r="H546" s="855"/>
      <c r="I546" s="855"/>
      <c r="J546" s="855"/>
      <c r="K546" s="855"/>
      <c r="L546" s="864"/>
      <c r="M546" s="853"/>
      <c r="N546" s="858"/>
      <c r="O546" s="856"/>
      <c r="Z546" s="817"/>
      <c r="AE546" s="418"/>
      <c r="AF546" s="1240"/>
      <c r="AG546" s="576"/>
      <c r="AH546" s="576"/>
      <c r="AI546" s="576"/>
      <c r="AJ546" s="576"/>
      <c r="AK546" s="576"/>
      <c r="AL546" s="576"/>
      <c r="AM546" s="576"/>
    </row>
    <row r="547" spans="2:60" s="113" customFormat="1" ht="12.75" hidden="1" customHeight="1" outlineLevel="1">
      <c r="B547" s="2713" t="s">
        <v>756</v>
      </c>
      <c r="C547" s="2714"/>
      <c r="D547" s="2714"/>
      <c r="E547" s="2714"/>
      <c r="F547" s="2714"/>
      <c r="G547" s="2714"/>
      <c r="H547" s="2714"/>
      <c r="I547" s="2714"/>
      <c r="J547" s="2714"/>
      <c r="K547" s="2714"/>
      <c r="L547" s="2714"/>
      <c r="M547" s="2714"/>
      <c r="N547" s="2714"/>
      <c r="O547" s="2715"/>
      <c r="Z547" s="817"/>
      <c r="AE547" s="418"/>
      <c r="AF547" s="1240"/>
      <c r="AG547" s="576"/>
      <c r="AH547" s="576"/>
      <c r="AI547" s="576"/>
      <c r="AJ547" s="576"/>
      <c r="AK547" s="576"/>
      <c r="AL547" s="576"/>
      <c r="AM547" s="576"/>
    </row>
    <row r="548" spans="2:60" s="113" customFormat="1" ht="12.75" hidden="1" customHeight="1" outlineLevel="1">
      <c r="B548" s="2704" t="s">
        <v>737</v>
      </c>
      <c r="C548" s="2705"/>
      <c r="D548" s="862" t="s">
        <v>749</v>
      </c>
      <c r="E548" s="855"/>
      <c r="F548" s="855"/>
      <c r="G548" s="855"/>
      <c r="H548" s="855"/>
      <c r="I548" s="855"/>
      <c r="J548" s="855"/>
      <c r="K548" s="855"/>
      <c r="L548" s="864"/>
      <c r="M548" s="853"/>
      <c r="N548" s="858"/>
      <c r="O548" s="856"/>
      <c r="Z548" s="817"/>
      <c r="AE548" s="418"/>
      <c r="AF548" s="1240"/>
      <c r="AG548" s="576"/>
      <c r="AH548" s="576"/>
      <c r="AI548" s="576"/>
      <c r="AJ548" s="576"/>
      <c r="AK548" s="576"/>
      <c r="AL548" s="576"/>
      <c r="AM548" s="576"/>
    </row>
    <row r="549" spans="2:60" s="113" customFormat="1" ht="12.75" hidden="1" customHeight="1" outlineLevel="1">
      <c r="B549" s="2704" t="s">
        <v>738</v>
      </c>
      <c r="C549" s="2705"/>
      <c r="D549" s="862" t="s">
        <v>750</v>
      </c>
      <c r="E549" s="855"/>
      <c r="F549" s="855"/>
      <c r="G549" s="855"/>
      <c r="H549" s="855"/>
      <c r="I549" s="855"/>
      <c r="J549" s="855"/>
      <c r="K549" s="855"/>
      <c r="L549" s="864"/>
      <c r="M549" s="853"/>
      <c r="N549" s="858"/>
      <c r="O549" s="856"/>
      <c r="Z549" s="817"/>
      <c r="AE549" s="418"/>
      <c r="AF549" s="1240"/>
      <c r="AG549" s="576"/>
      <c r="AH549" s="576"/>
      <c r="AI549" s="576"/>
      <c r="AJ549" s="576"/>
      <c r="AK549" s="576"/>
      <c r="AL549" s="576"/>
      <c r="AM549" s="576"/>
    </row>
    <row r="550" spans="2:60" s="113" customFormat="1" ht="12.75" hidden="1" customHeight="1" outlineLevel="1">
      <c r="B550" s="2704" t="s">
        <v>475</v>
      </c>
      <c r="C550" s="2705"/>
      <c r="D550" s="862" t="s">
        <v>751</v>
      </c>
      <c r="E550" s="855"/>
      <c r="F550" s="855"/>
      <c r="G550" s="855"/>
      <c r="H550" s="855"/>
      <c r="I550" s="855"/>
      <c r="J550" s="855"/>
      <c r="K550" s="855"/>
      <c r="L550" s="864"/>
      <c r="M550" s="853"/>
      <c r="N550" s="858"/>
      <c r="O550" s="856"/>
      <c r="Z550" s="817"/>
      <c r="AE550" s="418"/>
      <c r="AF550" s="1240"/>
      <c r="AG550" s="576"/>
      <c r="AH550" s="576"/>
      <c r="AI550" s="576"/>
      <c r="AJ550" s="576"/>
      <c r="AK550" s="576"/>
      <c r="AL550" s="576"/>
      <c r="AM550" s="576"/>
    </row>
    <row r="551" spans="2:60" s="113" customFormat="1" ht="12.75" hidden="1" customHeight="1" outlineLevel="1">
      <c r="B551" s="2704" t="s">
        <v>476</v>
      </c>
      <c r="C551" s="2705"/>
      <c r="D551" s="862" t="s">
        <v>752</v>
      </c>
      <c r="E551" s="855"/>
      <c r="F551" s="855"/>
      <c r="G551" s="855"/>
      <c r="H551" s="855"/>
      <c r="I551" s="855"/>
      <c r="J551" s="855"/>
      <c r="K551" s="855"/>
      <c r="L551" s="864"/>
      <c r="M551" s="853"/>
      <c r="N551" s="858"/>
      <c r="O551" s="856"/>
      <c r="Z551" s="817"/>
      <c r="AE551" s="418"/>
      <c r="AF551" s="1240"/>
      <c r="AG551" s="576"/>
      <c r="AH551" s="576"/>
      <c r="AI551" s="576"/>
      <c r="AJ551" s="576"/>
      <c r="AK551" s="576"/>
      <c r="AL551" s="576"/>
      <c r="AM551" s="576"/>
    </row>
    <row r="552" spans="2:60" s="113" customFormat="1" ht="12.75" hidden="1" customHeight="1" outlineLevel="1">
      <c r="B552" s="2704" t="s">
        <v>739</v>
      </c>
      <c r="C552" s="2705"/>
      <c r="D552" s="862" t="s">
        <v>753</v>
      </c>
      <c r="E552" s="855"/>
      <c r="F552" s="855"/>
      <c r="G552" s="855"/>
      <c r="H552" s="855"/>
      <c r="I552" s="855"/>
      <c r="J552" s="855"/>
      <c r="K552" s="855"/>
      <c r="L552" s="864"/>
      <c r="M552" s="853"/>
      <c r="N552" s="858"/>
      <c r="O552" s="856"/>
      <c r="Z552" s="817"/>
      <c r="AE552" s="418"/>
      <c r="AF552" s="1240"/>
      <c r="AG552" s="576"/>
      <c r="AH552" s="576"/>
      <c r="AI552" s="576"/>
      <c r="AJ552" s="576"/>
      <c r="AK552" s="576"/>
      <c r="AL552" s="576"/>
      <c r="AM552" s="576"/>
    </row>
    <row r="553" spans="2:60" s="113" customFormat="1" ht="12.75" hidden="1" customHeight="1" outlineLevel="1">
      <c r="B553" s="2704" t="s">
        <v>740</v>
      </c>
      <c r="C553" s="2705"/>
      <c r="D553" s="862" t="s">
        <v>754</v>
      </c>
      <c r="E553" s="855"/>
      <c r="F553" s="855"/>
      <c r="G553" s="855"/>
      <c r="H553" s="855"/>
      <c r="I553" s="855"/>
      <c r="J553" s="855"/>
      <c r="K553" s="855"/>
      <c r="L553" s="864"/>
      <c r="M553" s="853"/>
      <c r="N553" s="858"/>
      <c r="O553" s="856"/>
      <c r="Z553" s="817"/>
      <c r="AE553" s="418"/>
      <c r="AF553" s="1240"/>
      <c r="AG553" s="576"/>
      <c r="AH553" s="576"/>
      <c r="AI553" s="576"/>
      <c r="AJ553" s="576"/>
      <c r="AK553" s="576"/>
      <c r="AL553" s="576"/>
      <c r="AM553" s="576"/>
      <c r="AZ553" s="114"/>
      <c r="BA553" s="114"/>
      <c r="BB553" s="114"/>
      <c r="BC553" s="114"/>
      <c r="BD553" s="114"/>
      <c r="BE553" s="114"/>
      <c r="BF553" s="114"/>
      <c r="BG553" s="114"/>
      <c r="BH553" s="114"/>
    </row>
    <row r="554" spans="2:60" s="113" customFormat="1" ht="12.75" hidden="1" customHeight="1" outlineLevel="1">
      <c r="B554" s="2704" t="s">
        <v>472</v>
      </c>
      <c r="C554" s="2705"/>
      <c r="D554" s="862" t="s">
        <v>755</v>
      </c>
      <c r="E554" s="855"/>
      <c r="F554" s="855"/>
      <c r="G554" s="855"/>
      <c r="H554" s="855"/>
      <c r="I554" s="855"/>
      <c r="J554" s="855"/>
      <c r="K554" s="855"/>
      <c r="L554" s="864"/>
      <c r="M554" s="853"/>
      <c r="N554" s="858"/>
      <c r="O554" s="856"/>
      <c r="Z554" s="817"/>
      <c r="AE554" s="418"/>
      <c r="AF554" s="1240"/>
      <c r="AG554" s="576"/>
      <c r="AH554" s="576"/>
      <c r="AI554" s="576"/>
      <c r="AJ554" s="576"/>
      <c r="AK554" s="576"/>
      <c r="AL554" s="576"/>
      <c r="AM554" s="576"/>
    </row>
    <row r="555" spans="2:60" s="113" customFormat="1" ht="12.75" hidden="1" customHeight="1" outlineLevel="1">
      <c r="B555" s="2704" t="s">
        <v>763</v>
      </c>
      <c r="C555" s="2705"/>
      <c r="D555" s="854"/>
      <c r="E555" s="855">
        <f>SUMIF($F$336:$F$390,Utilitaires!$I$574,AI336:AI390)+SUMIF($F$324:$F$432,Utilitaires!$I$574,AH324:AH432)+SUMIF($F$324:$F$432,Utilitaires!$I$574,AG324:AG432)
+SUMIF($F$336:$F$390,Utilitaires!$I$578,AI336:AI390)+SUMIF($F$324:$F$432,Utilitaires!$I$578,AH324:AH432)+SUMIF($F$324:$F$432,Utilitaires!$I$578,AG324:AG432)
+SUMIF($F$392:$F$412,Utilitaires!$I$578,AI392:AI412)+SUMIF($F$392:$F$412,Utilitaires!$I$574,AI392:AI412)</f>
        <v>0</v>
      </c>
      <c r="F555" s="855">
        <f>SUMIF($F$336:$F$390,Utilitaires!$I$574,AL336:AL390)+SUMIF($F$324:$F$432,Utilitaires!$I$574,AK324:AK432)+SUMIF($F$324:$F$432,Utilitaires!$I$574,AJ324:AJ432)
+SUMIF($F$336:$F$390,Utilitaires!$I$578,AL336:AL390)+SUMIF($F$324:$F$432,Utilitaires!$I$578,AK324:AK432)+SUMIF($F$324:$F$432,Utilitaires!$I$578,AJ324:AJ432)
+SUMIF($F$392:$F$412,Utilitaires!$I$578,AL392:AL412)+SUMIF($F$392:$F$412,Utilitaires!$I$574,AL392:AL412)</f>
        <v>0</v>
      </c>
      <c r="G555" s="855">
        <f>SUMIF($F$336:$F$390,Utilitaires!$I$574,AO336:AO390)+SUMIF($F$324:$F$432,Utilitaires!$I$574,AN324:AN432)+SUMIF($F$324:$F$432,Utilitaires!$I$574,AM324:AM432)
+SUMIF($F$336:$F$390,Utilitaires!$I$578,AO336:AO390)+SUMIF($F$324:$F$432,Utilitaires!$I$578,AN324:AN432)+SUMIF($F$324:$F$432,Utilitaires!$I$578,AM324:AM432)
+SUMIF($F$392:$F$412,Utilitaires!$I$578,AO392:AO412)+SUMIF($F$392:$F$412,Utilitaires!$I$574,AO392:AO412)</f>
        <v>0</v>
      </c>
      <c r="H555" s="855">
        <v>0</v>
      </c>
      <c r="I555" s="855">
        <v>0</v>
      </c>
      <c r="J555" s="855">
        <v>0</v>
      </c>
      <c r="K555" s="855">
        <f>SUMIF($F$336:$F$390,Utilitaires!$I$574,AR336:AR390)+SUMIF($F$324:$F$432,Utilitaires!$I$574,AQ324:AQ432)+SUMIF($F$324:$F$432,Utilitaires!$I$574,AP324:AP432)
+SUMIF($F$336:$F$390,Utilitaires!$I$578,AR336:AR390)+SUMIF($F$324:$F$432,Utilitaires!$I$578,AQ324:AQ432)+SUMIF($F$324:$F$432,Utilitaires!$I$578,AP324:AP432)
+SUMIF($F$392:$F$412,Utilitaires!$I$578,AR392:AR412)+SUMIF($F$392:$F$412,Utilitaires!$I$574,AR392:AR412)</f>
        <v>0</v>
      </c>
      <c r="L555" s="864">
        <f>SUM(E555:K555)</f>
        <v>0</v>
      </c>
      <c r="M555" s="853">
        <f>SUMIF($F$336:$F$390,Utilitaires!$I$574,AX336:AX390)+SUMIF($F$324:$F$432,Utilitaires!$I$574,AW324:AW432)+SUMIF($F$324:$F$432,Utilitaires!$I$574,AV324:AV432)
+SUMIF($F$336:$F$390,Utilitaires!$I$578,AX336:AX390)+SUMIF($F$324:$F$432,Utilitaires!$I$578,AW324:AW432)+SUMIF($F$324:$F$432,Utilitaires!$I$578,AV324:AV432)
+SUMIF($F$392:$F$412,Utilitaires!$I$578,AX392:AX412)+SUMIF($F$392:$F$412,Utilitaires!$I$574,AX392:AX412)</f>
        <v>0</v>
      </c>
      <c r="N555" s="858">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+SUMPRODUCT(($F$392:$F$412=Utilitaires!$I$578)*1,AC392:AC412,AC392:AC412)+SUMPRODUCT(($F$392:$F$412=Utilitaires!$I$574)*1,AC392:AC412,AC392:AC412))</f>
        <v>0</v>
      </c>
      <c r="O555" s="856"/>
      <c r="Z555" s="817"/>
      <c r="AE555" s="418"/>
      <c r="AF555" s="1240"/>
      <c r="AG555" s="576"/>
      <c r="AH555" s="576"/>
      <c r="AI555" s="576"/>
      <c r="AJ555" s="576"/>
      <c r="AK555" s="576"/>
      <c r="AL555" s="576"/>
      <c r="AM555" s="576"/>
    </row>
    <row r="556" spans="2:60" s="113" customFormat="1" ht="12.75" hidden="1" customHeight="1" outlineLevel="1">
      <c r="B556" s="2710" t="s">
        <v>724</v>
      </c>
      <c r="C556" s="2711"/>
      <c r="D556" s="2712"/>
      <c r="E556" s="852">
        <f t="shared" ref="E556:O556" ca="1" si="279">SUM(E538:E555)</f>
        <v>84194.342600000004</v>
      </c>
      <c r="F556" s="852">
        <f t="shared" si="279"/>
        <v>13.86</v>
      </c>
      <c r="G556" s="852">
        <f t="shared" si="279"/>
        <v>0.18</v>
      </c>
      <c r="H556" s="852">
        <f t="shared" si="279"/>
        <v>0</v>
      </c>
      <c r="I556" s="852">
        <f t="shared" si="279"/>
        <v>0</v>
      </c>
      <c r="J556" s="852">
        <f t="shared" si="279"/>
        <v>0</v>
      </c>
      <c r="K556" s="852">
        <f t="shared" si="279"/>
        <v>20.04</v>
      </c>
      <c r="L556" s="852">
        <f t="shared" ca="1" si="279"/>
        <v>84228.422599999991</v>
      </c>
      <c r="M556" s="863">
        <f t="shared" si="279"/>
        <v>1450.74</v>
      </c>
      <c r="N556" s="859">
        <f>SQRT(SUMSQ(N538:N555))</f>
        <v>19877.54131738318</v>
      </c>
      <c r="O556" s="860">
        <f t="shared" si="279"/>
        <v>0</v>
      </c>
      <c r="Z556" s="817"/>
      <c r="AE556" s="418"/>
      <c r="AF556" s="1240"/>
      <c r="AG556" s="576"/>
      <c r="AH556" s="576"/>
      <c r="AI556" s="576"/>
      <c r="AJ556" s="576"/>
      <c r="AK556" s="576"/>
      <c r="AL556" s="576"/>
      <c r="AM556" s="576"/>
    </row>
    <row r="557" spans="2:60" s="113" customFormat="1" ht="11.4" hidden="1" outlineLevel="1">
      <c r="W557" s="817"/>
      <c r="AB557" s="817"/>
      <c r="AE557" s="418"/>
      <c r="AF557" s="1240"/>
      <c r="AG557" s="576"/>
      <c r="AH557" s="576"/>
      <c r="AI557" s="576"/>
      <c r="AJ557" s="576"/>
    </row>
    <row r="558" spans="2:60">
      <c r="AZ558" s="113"/>
      <c r="BA558" s="113"/>
      <c r="BB558" s="113"/>
      <c r="BC558" s="113"/>
      <c r="BD558" s="113"/>
      <c r="BE558" s="113"/>
      <c r="BF558" s="113"/>
      <c r="BG558" s="113"/>
      <c r="BH558" s="113"/>
    </row>
    <row r="559" spans="2:60" s="113" customFormat="1" ht="15.75" customHeight="1" collapsed="1">
      <c r="B559" s="2716" t="s">
        <v>810</v>
      </c>
      <c r="C559" s="2717"/>
      <c r="D559" s="2717"/>
      <c r="E559" s="2717"/>
      <c r="F559" s="2717"/>
      <c r="G559" s="2717"/>
      <c r="H559" s="2717"/>
      <c r="I559" s="2717"/>
      <c r="J559" s="2717"/>
      <c r="K559" s="2717"/>
      <c r="L559" s="2717"/>
      <c r="M559" s="2717"/>
      <c r="N559" s="2717"/>
      <c r="O559" s="2718"/>
      <c r="W559" s="817"/>
      <c r="AB559" s="817"/>
      <c r="AE559" s="418"/>
      <c r="AF559" s="1240"/>
      <c r="AG559" s="576"/>
      <c r="AH559" s="576"/>
      <c r="AI559" s="576"/>
      <c r="AJ559" s="576"/>
    </row>
    <row r="560" spans="2:60" s="113" customFormat="1" ht="11.4" hidden="1" outlineLevel="1">
      <c r="Q560" s="908"/>
      <c r="R560" s="908"/>
      <c r="W560" s="817"/>
      <c r="AB560" s="817"/>
      <c r="AE560" s="418"/>
      <c r="AF560" s="1240"/>
      <c r="AG560" s="576"/>
      <c r="AH560" s="576"/>
      <c r="AI560" s="576"/>
      <c r="AJ560" s="576"/>
    </row>
    <row r="561" spans="2:36" s="113" customFormat="1" ht="38.25" hidden="1" customHeight="1" outlineLevel="1">
      <c r="B561" s="205"/>
      <c r="C561" s="205"/>
      <c r="D561" s="205"/>
      <c r="E561" s="2719" t="s">
        <v>448</v>
      </c>
      <c r="F561" s="2720"/>
      <c r="G561" s="2720"/>
      <c r="H561" s="2720"/>
      <c r="I561" s="2720"/>
      <c r="J561" s="2720"/>
      <c r="K561" s="2720"/>
      <c r="L561" s="2720"/>
      <c r="M561" s="2721"/>
      <c r="N561" s="971" t="s">
        <v>811</v>
      </c>
      <c r="O561" s="968" t="s">
        <v>440</v>
      </c>
      <c r="Q561" s="908"/>
      <c r="R561" s="908"/>
      <c r="W561" s="817"/>
      <c r="AB561" s="817"/>
      <c r="AE561" s="418"/>
      <c r="AF561" s="1240"/>
      <c r="AG561" s="576"/>
      <c r="AH561" s="576"/>
      <c r="AI561" s="576"/>
      <c r="AJ561" s="576"/>
    </row>
    <row r="562" spans="2:36" s="113" customFormat="1" ht="38.25" hidden="1" customHeight="1" outlineLevel="1">
      <c r="B562" s="2719" t="s">
        <v>438</v>
      </c>
      <c r="C562" s="2721"/>
      <c r="D562" s="970" t="s">
        <v>458</v>
      </c>
      <c r="E562" s="969" t="s">
        <v>853</v>
      </c>
      <c r="F562" s="969" t="s">
        <v>854</v>
      </c>
      <c r="G562" s="969" t="s">
        <v>855</v>
      </c>
      <c r="H562" s="969" t="s">
        <v>861</v>
      </c>
      <c r="I562" s="969" t="s">
        <v>852</v>
      </c>
      <c r="J562" s="970" t="s">
        <v>513</v>
      </c>
      <c r="K562" s="969" t="s">
        <v>862</v>
      </c>
      <c r="L562" s="969" t="s">
        <v>863</v>
      </c>
      <c r="M562" s="969" t="s">
        <v>514</v>
      </c>
      <c r="N562" s="972" t="s">
        <v>856</v>
      </c>
      <c r="O562" s="974" t="s">
        <v>513</v>
      </c>
      <c r="Q562" s="908"/>
      <c r="R562" s="908"/>
      <c r="W562" s="817"/>
      <c r="AB562" s="817"/>
      <c r="AE562" s="418"/>
      <c r="AF562" s="1240"/>
      <c r="AG562" s="576"/>
      <c r="AH562" s="576"/>
      <c r="AI562" s="576"/>
      <c r="AJ562" s="576"/>
    </row>
    <row r="563" spans="2:36" s="113" customFormat="1" ht="12.75" hidden="1" customHeight="1" outlineLevel="1">
      <c r="B563" s="2722" t="s">
        <v>459</v>
      </c>
      <c r="C563" s="2723"/>
      <c r="D563" s="973">
        <v>1</v>
      </c>
      <c r="E563" s="980"/>
      <c r="F563" s="980"/>
      <c r="G563" s="980"/>
      <c r="H563" s="980"/>
      <c r="I563" s="980"/>
      <c r="J563" s="981"/>
      <c r="K563" s="982"/>
      <c r="L563" s="982"/>
      <c r="M563" s="983"/>
      <c r="N563" s="984"/>
      <c r="O563" s="2724" t="s">
        <v>817</v>
      </c>
      <c r="Q563" s="908"/>
      <c r="R563" s="908"/>
      <c r="W563" s="817"/>
      <c r="AB563" s="817"/>
      <c r="AE563" s="418"/>
      <c r="AF563" s="1240"/>
      <c r="AG563" s="576"/>
      <c r="AH563" s="576"/>
      <c r="AI563" s="576"/>
      <c r="AJ563" s="576"/>
    </row>
    <row r="564" spans="2:36" s="113" customFormat="1" ht="12.75" hidden="1" customHeight="1" outlineLevel="1">
      <c r="B564" s="2722" t="s">
        <v>722</v>
      </c>
      <c r="C564" s="2723"/>
      <c r="D564" s="973">
        <v>2</v>
      </c>
      <c r="E564" s="980">
        <f>SUMIF($F$12:$F$432,Utilitaires!$I$572,AH12:AH432)+SUMIF($F$12:$F$432,Utilitaires!$I$577,AH12:AH432)</f>
        <v>0</v>
      </c>
      <c r="F564" s="980">
        <f>SUMIF($F$12:$F$432,Utilitaires!$I$572,AK12:AK432)+SUMIF($F$12:$F$432,Utilitaires!$I$577,AK12:AK432)</f>
        <v>0</v>
      </c>
      <c r="G564" s="980">
        <f>SUMIF($F$12:$F$432,Utilitaires!$I$572,AN12:AN432)+SUMIF($F$12:$F$432,Utilitaires!$I$577,AN12:AN432)</f>
        <v>0</v>
      </c>
      <c r="H564" s="980">
        <v>0</v>
      </c>
      <c r="I564" s="980">
        <f>SUMIF($F$12:$F$432,Utilitaires!$I$572,AQ12:AQ432)+SUMIF($F$12:$F$432,Utilitaires!$I$577,AQ12:AQ432)</f>
        <v>0</v>
      </c>
      <c r="J564" s="981">
        <f>SUM(E564:I564)</f>
        <v>0</v>
      </c>
      <c r="K564" s="982">
        <f>SUMIF($F$12:$F$432,Utilitaires!$I$572,AW12:AW432)+SUMIF($F$12:$F$432,Utilitaires!$I$577,AW12:AW432)</f>
        <v>0</v>
      </c>
      <c r="L564" s="982">
        <v>0</v>
      </c>
      <c r="M564" s="983">
        <f>SQRT(SUMPRODUCT(($F$12:$F$204=Utilitaires!$I$572)*1,AB12:AB204,AB12:AB204)+SUMPRODUCT(($F$235:$F$432=Utilitaires!$I$572)*1,AB235:AB432,AB235:AB432)
+SUMPRODUCT(($F$12:$F$204=Utilitaires!$I$577)*1,AB12:AB204,AB12:AB204)+SUMPRODUCT(($F$235:$F$432=Utilitaires!$I$577)*1,AB235:AB432,AB235:AB432))</f>
        <v>0</v>
      </c>
      <c r="N564" s="984">
        <f>K564+L564</f>
        <v>0</v>
      </c>
      <c r="O564" s="2725"/>
      <c r="Q564" s="908"/>
      <c r="R564" s="908"/>
      <c r="W564" s="817"/>
      <c r="AB564" s="817"/>
      <c r="AE564" s="418"/>
      <c r="AF564" s="1240"/>
      <c r="AG564" s="576"/>
      <c r="AH564" s="576"/>
      <c r="AI564" s="576"/>
      <c r="AJ564" s="576"/>
    </row>
    <row r="565" spans="2:36" s="113" customFormat="1" ht="12.75" hidden="1" customHeight="1" outlineLevel="1">
      <c r="B565" s="2722" t="s">
        <v>723</v>
      </c>
      <c r="C565" s="2723"/>
      <c r="D565" s="973">
        <v>3</v>
      </c>
      <c r="E565" s="980"/>
      <c r="F565" s="980"/>
      <c r="G565" s="980"/>
      <c r="H565" s="980"/>
      <c r="I565" s="980"/>
      <c r="J565" s="981"/>
      <c r="K565" s="982"/>
      <c r="L565" s="982"/>
      <c r="M565" s="983"/>
      <c r="N565" s="984"/>
      <c r="O565" s="2725"/>
      <c r="Q565" s="908"/>
      <c r="R565" s="908"/>
      <c r="W565" s="817"/>
      <c r="AB565" s="817"/>
      <c r="AE565" s="418"/>
      <c r="AF565" s="1240"/>
      <c r="AG565" s="576"/>
      <c r="AH565" s="576"/>
      <c r="AI565" s="576"/>
      <c r="AJ565" s="576"/>
    </row>
    <row r="566" spans="2:36" s="113" customFormat="1" ht="12.75" hidden="1" customHeight="1" outlineLevel="1">
      <c r="B566" s="2722" t="s">
        <v>462</v>
      </c>
      <c r="C566" s="2723"/>
      <c r="D566" s="973">
        <v>4</v>
      </c>
      <c r="E566" s="980"/>
      <c r="F566" s="980"/>
      <c r="G566" s="980"/>
      <c r="H566" s="980"/>
      <c r="I566" s="980"/>
      <c r="J566" s="981"/>
      <c r="K566" s="982"/>
      <c r="L566" s="982"/>
      <c r="M566" s="983"/>
      <c r="N566" s="984"/>
      <c r="O566" s="2725"/>
      <c r="Q566" s="908"/>
      <c r="R566" s="908"/>
      <c r="W566" s="817"/>
      <c r="AB566" s="817"/>
      <c r="AE566" s="418"/>
      <c r="AF566" s="1240"/>
      <c r="AG566" s="576"/>
      <c r="AH566" s="576"/>
      <c r="AI566" s="576"/>
      <c r="AJ566" s="576"/>
    </row>
    <row r="567" spans="2:36" s="113" customFormat="1" ht="12.75" hidden="1" customHeight="1" outlineLevel="1">
      <c r="B567" s="2722" t="s">
        <v>812</v>
      </c>
      <c r="C567" s="2723"/>
      <c r="D567" s="973">
        <v>5</v>
      </c>
      <c r="E567" s="980"/>
      <c r="F567" s="980"/>
      <c r="G567" s="980"/>
      <c r="H567" s="980"/>
      <c r="I567" s="980"/>
      <c r="J567" s="981"/>
      <c r="K567" s="982"/>
      <c r="L567" s="982"/>
      <c r="M567" s="983"/>
      <c r="N567" s="985"/>
      <c r="O567" s="2725"/>
      <c r="Q567" s="908"/>
      <c r="R567" s="908"/>
      <c r="W567" s="817"/>
      <c r="AB567" s="817"/>
      <c r="AE567" s="418"/>
      <c r="AF567" s="1240"/>
      <c r="AG567" s="576"/>
      <c r="AH567" s="576"/>
      <c r="AI567" s="576"/>
      <c r="AJ567" s="576"/>
    </row>
    <row r="568" spans="2:36" s="113" customFormat="1" ht="12.75" hidden="1" customHeight="1" outlineLevel="1">
      <c r="B568" s="2727" t="s">
        <v>726</v>
      </c>
      <c r="C568" s="2728"/>
      <c r="D568" s="2729"/>
      <c r="E568" s="986">
        <f>SUM(E563:E567)</f>
        <v>0</v>
      </c>
      <c r="F568" s="986">
        <f t="shared" ref="F568:N568" si="280">SUM(F563:F567)</f>
        <v>0</v>
      </c>
      <c r="G568" s="986">
        <f t="shared" si="280"/>
        <v>0</v>
      </c>
      <c r="H568" s="986">
        <f t="shared" si="280"/>
        <v>0</v>
      </c>
      <c r="I568" s="986">
        <f t="shared" si="280"/>
        <v>0</v>
      </c>
      <c r="J568" s="986">
        <f t="shared" si="280"/>
        <v>0</v>
      </c>
      <c r="K568" s="987">
        <f t="shared" si="280"/>
        <v>0</v>
      </c>
      <c r="L568" s="987">
        <f t="shared" si="280"/>
        <v>0</v>
      </c>
      <c r="M568" s="988">
        <f>SQRT(SUMSQ(M563:M567))</f>
        <v>0</v>
      </c>
      <c r="N568" s="989">
        <f t="shared" si="280"/>
        <v>0</v>
      </c>
      <c r="O568" s="2726"/>
      <c r="Q568" s="908"/>
      <c r="R568" s="908"/>
      <c r="W568" s="817"/>
      <c r="AB568" s="817"/>
      <c r="AE568" s="418"/>
      <c r="AF568" s="1240"/>
      <c r="AG568" s="576"/>
      <c r="AH568" s="576"/>
      <c r="AI568" s="576"/>
      <c r="AJ568" s="576"/>
    </row>
    <row r="569" spans="2:36" s="113" customFormat="1" ht="12.75" hidden="1" customHeight="1" outlineLevel="1">
      <c r="B569" s="2722" t="s">
        <v>464</v>
      </c>
      <c r="C569" s="2723"/>
      <c r="D569" s="973">
        <v>6</v>
      </c>
      <c r="E569" s="980">
        <f>AG215</f>
        <v>0</v>
      </c>
      <c r="F569" s="980">
        <f>AJ215</f>
        <v>0</v>
      </c>
      <c r="G569" s="980">
        <f>AM215</f>
        <v>0</v>
      </c>
      <c r="H569" s="980">
        <v>0</v>
      </c>
      <c r="I569" s="980">
        <f>AP215</f>
        <v>0</v>
      </c>
      <c r="J569" s="981">
        <f>SUM(E569:I569)</f>
        <v>0</v>
      </c>
      <c r="K569" s="982">
        <f>AV215</f>
        <v>0</v>
      </c>
      <c r="L569" s="982">
        <v>0</v>
      </c>
      <c r="M569" s="983">
        <f>AA215</f>
        <v>0</v>
      </c>
      <c r="N569" s="984">
        <f>K569+L569</f>
        <v>0</v>
      </c>
      <c r="O569" s="990"/>
      <c r="Q569" s="908"/>
      <c r="R569" s="908"/>
      <c r="W569" s="817"/>
      <c r="AB569" s="817"/>
      <c r="AE569" s="418"/>
      <c r="AF569" s="1240"/>
      <c r="AG569" s="576"/>
      <c r="AH569" s="576"/>
      <c r="AI569" s="576"/>
      <c r="AJ569" s="576"/>
    </row>
    <row r="570" spans="2:36" s="113" customFormat="1" ht="12.75" hidden="1" customHeight="1" outlineLevel="1">
      <c r="B570" s="2722" t="s">
        <v>813</v>
      </c>
      <c r="C570" s="2723"/>
      <c r="D570" s="973">
        <v>7</v>
      </c>
      <c r="E570" s="980"/>
      <c r="F570" s="980"/>
      <c r="G570" s="980"/>
      <c r="H570" s="980"/>
      <c r="I570" s="980"/>
      <c r="J570" s="981"/>
      <c r="K570" s="982"/>
      <c r="L570" s="982"/>
      <c r="M570" s="983"/>
      <c r="N570" s="984"/>
      <c r="O570" s="984"/>
      <c r="Q570" s="908"/>
      <c r="R570" s="908"/>
      <c r="W570" s="817"/>
      <c r="AB570" s="817"/>
      <c r="AE570" s="418"/>
      <c r="AF570" s="1240"/>
      <c r="AG570" s="576"/>
      <c r="AH570" s="576"/>
      <c r="AI570" s="576"/>
      <c r="AJ570" s="576"/>
    </row>
    <row r="571" spans="2:36" s="113" customFormat="1" ht="12.75" hidden="1" customHeight="1" outlineLevel="1">
      <c r="B571" s="2727" t="s">
        <v>725</v>
      </c>
      <c r="C571" s="2728"/>
      <c r="D571" s="2729"/>
      <c r="E571" s="986">
        <f>SUM(E569:E570)</f>
        <v>0</v>
      </c>
      <c r="F571" s="986">
        <f t="shared" ref="F571:O571" si="281">SUM(F569:F570)</f>
        <v>0</v>
      </c>
      <c r="G571" s="986">
        <f t="shared" si="281"/>
        <v>0</v>
      </c>
      <c r="H571" s="986">
        <f t="shared" si="281"/>
        <v>0</v>
      </c>
      <c r="I571" s="986">
        <f t="shared" si="281"/>
        <v>0</v>
      </c>
      <c r="J571" s="986">
        <f t="shared" si="281"/>
        <v>0</v>
      </c>
      <c r="K571" s="987">
        <f t="shared" si="281"/>
        <v>0</v>
      </c>
      <c r="L571" s="987">
        <f t="shared" si="281"/>
        <v>0</v>
      </c>
      <c r="M571" s="988">
        <f>SQRT(SUMSQ(M569:M570))</f>
        <v>0</v>
      </c>
      <c r="N571" s="989">
        <f t="shared" si="281"/>
        <v>0</v>
      </c>
      <c r="O571" s="989">
        <f t="shared" si="281"/>
        <v>0</v>
      </c>
      <c r="Q571" s="908"/>
      <c r="R571" s="908"/>
      <c r="W571" s="817"/>
      <c r="AB571" s="817"/>
      <c r="AE571" s="418"/>
      <c r="AF571" s="1240"/>
      <c r="AG571" s="576"/>
      <c r="AH571" s="576"/>
      <c r="AI571" s="576"/>
      <c r="AJ571" s="576"/>
    </row>
    <row r="572" spans="2:36" s="113" customFormat="1" ht="12.75" hidden="1" customHeight="1" outlineLevel="1">
      <c r="B572" s="2722" t="s">
        <v>466</v>
      </c>
      <c r="C572" s="2723"/>
      <c r="D572" s="973">
        <v>8</v>
      </c>
      <c r="E572" s="980">
        <f>SUMIF($F$12:$F$204,Utilitaires!$I$572,AG12:AG204)+SUMIF($F$235:$F$432,Utilitaires!$I$572,AG235:AG432)
+SUMIF($F$12:$F$204,Utilitaires!$I$577,AG12:AG204)+SUMIF($F$235:$F$432,Utilitaires!$I$577,AG235:AG432)
+AG223</f>
        <v>0</v>
      </c>
      <c r="F572" s="980">
        <f>SUMIF($F$12:$F$204,Utilitaires!$I$572,AJ12:AJ204)+SUMIF($F$247:$F$432,Utilitaires!$I$572,AJ247:AJ432)
+SUMIF($F$12:$F$204,Utilitaires!$I$577,AJ12:AJ204)+SUMIF($F$247:$F$432,Utilitaires!$I$577,AJ247:AJ432)
+AJ223</f>
        <v>0</v>
      </c>
      <c r="G572" s="980">
        <f>SUMIF($F$12:$F$204,Utilitaires!$I$572,AM12:AM204)+SUMIF($F$247:$F$432,Utilitaires!$I$572,AM247:AM432)
+SUMIF($F$12:$F$204,Utilitaires!$I$577,AM12:AM204)+SUMIF($F$247:$F$432,Utilitaires!$I$577,AM247:AM432)
+AM223</f>
        <v>0</v>
      </c>
      <c r="H572" s="980">
        <v>0</v>
      </c>
      <c r="I572" s="980">
        <f>SUMIF($F$12:$F$204,Utilitaires!$I$572,AP12:AP204)+SUMIF($F$247:$F$432,Utilitaires!$I$572,AP247:AP432)
+SUMIF($F$12:$F$204,Utilitaires!$I$577,AP12:AP204)+SUMIF($F$247:$F$432,Utilitaires!$I$577,AP247:AP432)
+AP223</f>
        <v>0</v>
      </c>
      <c r="J572" s="981">
        <f>SUM(E572:I572)</f>
        <v>0</v>
      </c>
      <c r="K572" s="982">
        <f>SUMIF($F$12:$F$204,Utilitaires!$I$572,AV12:AV204)+SUMIF($F$247:$F$432,Utilitaires!$I$572,AV247:AV432)
+SUMIF($F$12:$F$204,Utilitaires!$I$577,AV12:AV204)+SUMIF($F$247:$F$432,Utilitaires!$I$577,AV247:AV432)
+AV223</f>
        <v>0</v>
      </c>
      <c r="L572" s="982">
        <v>0</v>
      </c>
      <c r="M572" s="983">
        <f>SQRT(SUMPRODUCT(($F$12:$F$204=Utilitaires!$I$572)*1,AA12:AA204,AA12:AA204)+SUMPRODUCT(($F$235:$F$432=Utilitaires!$I$572)*1,AA235:AA432,AA235:AA432)
+SUMPRODUCT(($F$12:$F$204=Utilitaires!$I$577)*1,AA12:AA204,AA12:AA204)+SUMPRODUCT(($F$235:$F$432=Utilitaires!$I$577)*1,AA235:AA432,AA235:AA432)
+AA223^2)</f>
        <v>0</v>
      </c>
      <c r="N572" s="984">
        <f>K572+L572</f>
        <v>0</v>
      </c>
      <c r="O572" s="984"/>
      <c r="Q572" s="908"/>
      <c r="R572" s="908"/>
      <c r="W572" s="817"/>
      <c r="AB572" s="817"/>
      <c r="AE572" s="418"/>
      <c r="AF572" s="1240"/>
      <c r="AG572" s="576"/>
      <c r="AH572" s="576"/>
      <c r="AI572" s="576"/>
      <c r="AJ572" s="576"/>
    </row>
    <row r="573" spans="2:36" s="113" customFormat="1" ht="12.75" hidden="1" customHeight="1" outlineLevel="1">
      <c r="B573" s="2722" t="s">
        <v>814</v>
      </c>
      <c r="C573" s="2723"/>
      <c r="D573" s="973">
        <v>9</v>
      </c>
      <c r="E573" s="980"/>
      <c r="F573" s="980"/>
      <c r="G573" s="980"/>
      <c r="H573" s="980"/>
      <c r="I573" s="980"/>
      <c r="J573" s="981"/>
      <c r="K573" s="982"/>
      <c r="L573" s="982"/>
      <c r="M573" s="983"/>
      <c r="N573" s="984"/>
      <c r="O573" s="984"/>
      <c r="Q573" s="908"/>
      <c r="R573" s="908"/>
      <c r="W573" s="817"/>
      <c r="AB573" s="817"/>
      <c r="AE573" s="418"/>
      <c r="AF573" s="1240"/>
      <c r="AG573" s="576"/>
      <c r="AH573" s="576"/>
      <c r="AI573" s="576"/>
      <c r="AJ573" s="576"/>
    </row>
    <row r="574" spans="2:36" s="113" customFormat="1" ht="12.75" hidden="1" customHeight="1" outlineLevel="1">
      <c r="B574" s="2722" t="s">
        <v>734</v>
      </c>
      <c r="C574" s="2723"/>
      <c r="D574" s="973">
        <v>10</v>
      </c>
      <c r="E574" s="980">
        <f>IF(D8="Oui",E508,0)</f>
        <v>0</v>
      </c>
      <c r="F574" s="980">
        <f>IF(D8="Oui",F508,0)</f>
        <v>0</v>
      </c>
      <c r="G574" s="980">
        <f>IF(D8="Oui",G508,0)</f>
        <v>0</v>
      </c>
      <c r="H574" s="980">
        <f>IF(D8="Oui",0,0)</f>
        <v>0</v>
      </c>
      <c r="I574" s="980">
        <f>IF(D8="Oui",H508,0)</f>
        <v>0</v>
      </c>
      <c r="J574" s="981">
        <f>SUM(E574:I574)</f>
        <v>0</v>
      </c>
      <c r="K574" s="982">
        <f>IF(D8="Oui",J508,0)</f>
        <v>0</v>
      </c>
      <c r="L574" s="982">
        <f>IF(D8="Oui",0,0)</f>
        <v>0</v>
      </c>
      <c r="M574" s="983">
        <f>IF(D8="Oui",K508,0)</f>
        <v>0</v>
      </c>
      <c r="N574" s="984">
        <f>K574+L574</f>
        <v>0</v>
      </c>
      <c r="O574" s="984"/>
      <c r="Q574" s="908"/>
      <c r="R574" s="908"/>
      <c r="W574" s="817"/>
      <c r="AB574" s="817"/>
      <c r="AE574" s="418"/>
      <c r="AF574" s="1240"/>
      <c r="AG574" s="576"/>
      <c r="AH574" s="576"/>
      <c r="AI574" s="576"/>
      <c r="AJ574" s="576"/>
    </row>
    <row r="575" spans="2:36" s="113" customFormat="1" ht="12.75" hidden="1" customHeight="1" outlineLevel="1">
      <c r="B575" s="2722" t="s">
        <v>736</v>
      </c>
      <c r="C575" s="2723"/>
      <c r="D575" s="973">
        <v>11</v>
      </c>
      <c r="E575" s="980"/>
      <c r="F575" s="980"/>
      <c r="G575" s="980"/>
      <c r="H575" s="980"/>
      <c r="I575" s="980"/>
      <c r="J575" s="981"/>
      <c r="K575" s="982"/>
      <c r="L575" s="982"/>
      <c r="M575" s="983"/>
      <c r="N575" s="984"/>
      <c r="O575" s="984"/>
      <c r="Q575" s="908"/>
      <c r="R575" s="908"/>
      <c r="W575" s="817"/>
      <c r="AB575" s="817"/>
      <c r="AE575" s="418"/>
      <c r="AF575" s="1240"/>
      <c r="AG575" s="576"/>
      <c r="AH575" s="576"/>
      <c r="AI575" s="576"/>
      <c r="AJ575" s="576"/>
    </row>
    <row r="576" spans="2:36" s="113" customFormat="1" ht="12.75" hidden="1" customHeight="1" outlineLevel="1">
      <c r="B576" s="2722" t="s">
        <v>815</v>
      </c>
      <c r="C576" s="2723"/>
      <c r="D576" s="973">
        <v>12</v>
      </c>
      <c r="E576" s="980"/>
      <c r="F576" s="980"/>
      <c r="G576" s="980"/>
      <c r="H576" s="980"/>
      <c r="I576" s="980"/>
      <c r="J576" s="981"/>
      <c r="K576" s="982"/>
      <c r="L576" s="982"/>
      <c r="M576" s="983"/>
      <c r="N576" s="984"/>
      <c r="O576" s="984"/>
      <c r="Q576" s="908"/>
      <c r="R576" s="908"/>
      <c r="W576" s="817"/>
      <c r="AB576" s="817"/>
      <c r="AE576" s="418"/>
      <c r="AF576" s="1240"/>
      <c r="AG576" s="576"/>
      <c r="AH576" s="576"/>
      <c r="AI576" s="576"/>
      <c r="AJ576" s="576"/>
    </row>
    <row r="577" spans="1:60" s="113" customFormat="1" ht="12.75" hidden="1" customHeight="1" outlineLevel="1">
      <c r="B577" s="2722" t="s">
        <v>470</v>
      </c>
      <c r="C577" s="2723"/>
      <c r="D577" s="973">
        <v>13</v>
      </c>
      <c r="E577" s="980">
        <f>SUMIF($F$116:$F$318,Utilitaires!$I$574,AG116:AG318)+SUMIF($F$116:$F$318,Utilitaires!$I$578,AG116:AG318)
+SUMIF($F$116:$F$318,Utilitaires!$I$574,AH116:AH318)+SUMIF($F$116:$F$318,Utilitaires!$I$578,AH116:AH318)
+SUMIF($F$139:$F$204,Utilitaires!$I$574,AI139:AI204)+SUMIF($F$139:$F$204,Utilitaires!$I$578,AI139:AI204)
+SUMIF($F$247:$F$286,Utilitaires!$I$578,AI247:AI286)+SUMIF($F$247:$F$286,Utilitaires!$I$574,AI247:AI286)</f>
        <v>1446.816</v>
      </c>
      <c r="F577" s="980">
        <f>SUMIF($F$116:$F$318,Utilitaires!$I$574,AJ116:AJ318)+SUMIF($F$116:$F$318,Utilitaires!$I$578,AJ116:AJ318)
+SUMIF($F$116:$F$318,Utilitaires!$I$574,AK116:AK318)+SUMIF($F$116:$F$318,Utilitaires!$I$578,AK116:AK318)
+SUMIF($F$139:$F$204,Utilitaires!$I$574,AL139:AL204)+SUMIF($F$139:$F$204,Utilitaires!$I$578,AL139:AL204)
+SUMIF($F$247:$F$286,Utilitaires!$I$578,AL247:AL286)+SUMIF($F$247:$F$286,Utilitaires!$I$574,AL247:AL286)</f>
        <v>13.86</v>
      </c>
      <c r="G577" s="980">
        <f>SUMIF($F$116:$F$318,Utilitaires!$I$574,AM116:AM318)+SUMIF($F$116:$F$318,Utilitaires!$I$578,AM116:AM318)
+SUMIF($F$116:$F$318,Utilitaires!$I$574,AN116:AN318)+SUMIF($F$116:$F$318,Utilitaires!$I$578,AN116:AN318)
+SUMIF($F$139:$F$204,Utilitaires!$I$574,AO139:AO204)+SUMIF($F$139:$F$204,Utilitaires!$I$578,AO139:AO204)
+SUMIF($F$247:$F$286,Utilitaires!$I$578,AO247:AO286)+SUMIF($F$247:$F$286,Utilitaires!$I$574,AO247:AO286)</f>
        <v>0.18</v>
      </c>
      <c r="H577" s="980">
        <v>0</v>
      </c>
      <c r="I577" s="980">
        <f>SUMIF($F$116:$F$318,Utilitaires!$I$574,AP116:AP318)+SUMIF($F$116:$F$318,Utilitaires!$I$578,AP116:AP318)
+SUMIF($F$116:$F$318,Utilitaires!$I$574,AQ116:AQ318)+SUMIF($F$116:$F$318,Utilitaires!$I$578,AQ116:AQ318)
+SUMIF($F$139:$F$204,Utilitaires!$I$574,AR139:AR204)+SUMIF($F$139:$F$204,Utilitaires!$I$578,AR139:AR204)
+SUMIF($F$247:$F$286,Utilitaires!$I$578,AR247:AR286)+SUMIF($F$247:$F$286,Utilitaires!$I$574,AR247:AR286)</f>
        <v>20.04</v>
      </c>
      <c r="J577" s="981">
        <f t="shared" ref="J577:J586" si="282">SUM(E577:I577)</f>
        <v>1480.896</v>
      </c>
      <c r="K577" s="982">
        <f>SUMIF($F$116:$F$318,Utilitaires!$I$574,AV116:AV318)+SUMIF($F$116:$F$318,Utilitaires!$I$578,AV116:AV318)
+SUMIF($F$116:$F$318,Utilitaires!$I$574,AW116:AW318)+SUMIF($F$116:$F$318,Utilitaires!$I$578,AW116:AW318)
+SUMIF($F$139:$F$204,Utilitaires!$I$574,AX139:AX204)+SUMIF($F$139:$F$204,Utilitaires!$I$578,AX139:AX204)
+SUMIF($F$247:$F$286,Utilitaires!$I$578,AX247:AX286)+SUMIF($F$247:$F$286,Utilitaires!$I$574,AX247:AX286)</f>
        <v>1450.74</v>
      </c>
      <c r="L577" s="982">
        <v>0</v>
      </c>
      <c r="M577" s="983">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+SUMPRODUCT(($F$266:$F$286=Utilitaires!$I$574)*1,AC266:AC286,AC266:AC286))</f>
        <v>853.72128151185257</v>
      </c>
      <c r="N577" s="984">
        <f>K577+L577</f>
        <v>1450.74</v>
      </c>
      <c r="O577" s="984"/>
      <c r="Q577" s="908"/>
      <c r="R577" s="908"/>
      <c r="W577" s="817"/>
      <c r="AB577" s="817"/>
      <c r="AE577" s="418"/>
      <c r="AF577" s="1240"/>
      <c r="AG577" s="576"/>
      <c r="AH577" s="576"/>
      <c r="AI577" s="576"/>
      <c r="AJ577" s="576"/>
    </row>
    <row r="578" spans="1:60" s="113" customFormat="1" ht="12.75" hidden="1" customHeight="1" outlineLevel="1">
      <c r="B578" s="2722" t="s">
        <v>471</v>
      </c>
      <c r="C578" s="2723"/>
      <c r="D578" s="973">
        <v>14</v>
      </c>
      <c r="E578" s="980">
        <f>SUMIF($F$12:$F$204,Utilitaires!$I$573,AG12:AG204)+SUMIF($F$235:$F$432,Utilitaires!$I$573,AG235:AG432)
+SUMIF($F$12:$F204,Utilitaires!$I$573,AH12:AH204)+SUMIF($F$235:$F$432,Utilitaires!$I$573,AH235:AH432)
+SUMIF($F$25:$F$204,Utilitaires!$I$573,AI25:AI204)+SUMIF($F$337:$F$390,Utilitaires!$I$573,AI337:AI390)
+SUMIF($F$266:$F$286,Utilitaires!$I$573,AI266:AI286)+SUMIF($F$392:$F$412,Utilitaires!$I$573,AI392:AI412)</f>
        <v>0</v>
      </c>
      <c r="F578" s="980">
        <f>SUMIF($F$12:$F$204,Utilitaires!$I$573,AJ12:AJ204)+SUMIF($F$235:$F$432,Utilitaires!$I$573,AJ235:AJ432)
+SUMIF($F$12:$F204,Utilitaires!$I$573,AK12:AK204)+SUMIF($F$235:$F$432,Utilitaires!$I$573,AK235:AK432)
+SUMIF($F$25:$F$204,Utilitaires!$I$573,AL25:AL204)+SUMIF($F$337:$F$390,Utilitaires!$I$573,AL337:AL390)
+SUMIF($F$266:$F$286,Utilitaires!$I$573,AL266:AL286)+SUMIF($F$392:$F$412,Utilitaires!$I$573,AL392:AL412)</f>
        <v>0</v>
      </c>
      <c r="G578" s="980">
        <f>SUMIF($F$12:$F$204,Utilitaires!$I$573,AM12:AM204)+SUMIF($F$235:$F$432,Utilitaires!$I$573,AM235:AM432)
+SUMIF($F$12:$F204,Utilitaires!$I$573,AN12:AN204)+SUMIF($F$235:$F$432,Utilitaires!$I$573,AN235:AN432)
+SUMIF($F$25:$F$204,Utilitaires!$I$573,AO25:AO204)+SUMIF($F$337:$F$390,Utilitaires!$I$573,AO337:AO390)
+SUMIF($F$266:$F$286,Utilitaires!$I$573,AO266:AO286)+SUMIF($F$392:$F$412,Utilitaires!$I$573,AO392:AO412)</f>
        <v>0</v>
      </c>
      <c r="H578" s="980">
        <v>0</v>
      </c>
      <c r="I578" s="980">
        <f>SUMIF($F$12:$F$204,Utilitaires!$I$573,AP12:AP204)+SUMIF($F$235:$F$432,Utilitaires!$I$573,AP235:AP432)
+SUMIF($F$12:$F204,Utilitaires!$I$573,AQ12:AQ204)+SUMIF($F$235:$F$432,Utilitaires!$I$573,AQ235:AQ432)
+SUMIF($F$25:$F$204,Utilitaires!$I$573,AR25:AR204)+SUMIF($F$337:$F$390,Utilitaires!$I$573,AR337:AR390)
+SUMIF($F$266:$F$286,Utilitaires!$I$573,AR266:AR286)+SUMIF($F$392:$F$412,Utilitaires!$I$573,AR392:AR412)</f>
        <v>0</v>
      </c>
      <c r="J578" s="981">
        <f t="shared" si="282"/>
        <v>0</v>
      </c>
      <c r="K578" s="982">
        <f>SUMIF($F$25:$F$204,Utilitaires!$I$573,AX25:AX204)+SUMIF($F$337:$F$390,Utilitaires!$I$573,AX337:AX390)
+SUMIF($F$12:$F204,Utilitaires!$I$573,AW12:AW204)+SUMIF($F$235:$F$432,Utilitaires!$I$573,AW235:AW432)
+SUMIF($F$12:$F$204,Utilitaires!$I$573,AV12:AV204)+SUMIF($F$235:$F$432,Utilitaires!$I$573,AV235:AV432)
+SUMIF($F$266:$F$286,Utilitaires!$I$573,AX266:AX286)+SUMIF($F$392:$F$412,Utilitaires!$I$573,AX392:AX412)</f>
        <v>0</v>
      </c>
      <c r="L578" s="982">
        <v>0</v>
      </c>
      <c r="M578" s="983">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+SUMPRODUCT(($F$266:$F$286=Utilitaires!$I$573)*1,AC266:AC286,AC266:AC286)+SUMPRODUCT(($F$392:$F$412=Utilitaires!$I$573)*1,AC392:AC412,AC392:AC412))</f>
        <v>0</v>
      </c>
      <c r="N578" s="984">
        <f>K578+L578</f>
        <v>0</v>
      </c>
      <c r="O578" s="984"/>
      <c r="Q578" s="908"/>
      <c r="R578" s="908"/>
      <c r="W578" s="817"/>
      <c r="AB578" s="817"/>
      <c r="AE578" s="418"/>
      <c r="AF578" s="1240"/>
      <c r="AG578" s="576"/>
      <c r="AH578" s="576"/>
      <c r="AI578" s="576"/>
      <c r="AJ578" s="576"/>
    </row>
    <row r="579" spans="1:60" s="113" customFormat="1" ht="12.75" hidden="1" customHeight="1" outlineLevel="1">
      <c r="B579" s="2722" t="s">
        <v>472</v>
      </c>
      <c r="C579" s="2723"/>
      <c r="D579" s="973">
        <v>15</v>
      </c>
      <c r="E579" s="980"/>
      <c r="F579" s="980"/>
      <c r="G579" s="980"/>
      <c r="H579" s="980"/>
      <c r="I579" s="980"/>
      <c r="J579" s="981"/>
      <c r="K579" s="982"/>
      <c r="L579" s="982"/>
      <c r="M579" s="983"/>
      <c r="N579" s="984"/>
      <c r="O579" s="984"/>
      <c r="Q579" s="908"/>
      <c r="R579" s="908"/>
      <c r="W579" s="817"/>
      <c r="AB579" s="817"/>
      <c r="AE579" s="418"/>
      <c r="AF579" s="1240"/>
      <c r="AG579" s="576"/>
      <c r="AH579" s="576"/>
      <c r="AI579" s="576"/>
      <c r="AJ579" s="576"/>
    </row>
    <row r="580" spans="1:60" s="113" customFormat="1" ht="12.75" hidden="1" customHeight="1" outlineLevel="1">
      <c r="B580" s="2722" t="s">
        <v>473</v>
      </c>
      <c r="C580" s="2723"/>
      <c r="D580" s="973">
        <v>16</v>
      </c>
      <c r="E580" s="980">
        <f>SUMIF($F$336:$F$390,Utilitaires!$I$574,AI336:AI390)+SUMIF($F$324:$F$432,Utilitaires!$I$574,AH324:AH432)+SUMIF($F$324:$F$432,Utilitaires!$I$574,AG324:AG432)
+SUMIF($F$336:$F$390,Utilitaires!$I$578,AI336:AI390)+SUMIF($F$324:$F$432,Utilitaires!$I$578,AH324:AH432)+SUMIF($F$324:$F$432,Utilitaires!$I$578,AG324:AG432)
+SUMIF($F$392:$F$412,Utilitaires!$I$578,AI392:AI412)+SUMIF($F$392:$F$412,Utilitaires!$I$574,AI392:AI412)</f>
        <v>0</v>
      </c>
      <c r="F580" s="980">
        <f>SUMIF($F$336:$F$390,Utilitaires!$I$574,AL336:AL390)+SUMIF($F$324:$F$432,Utilitaires!$I$574,AK324:AK432)+SUMIF($F$324:$F$432,Utilitaires!$I$574,AJ324:AJ432)
+SUMIF($F$336:$F$390,Utilitaires!$I$578,AL336:AL390)+SUMIF($F$324:$F$432,Utilitaires!$I$578,AK324:AK432)+SUMIF($F$324:$F$432,Utilitaires!$I$578,AJ324:AJ432)
+SUMIF($F$392:$F$412,Utilitaires!$I$578,AL392:AL412)+SUMIF($F$392:$F$412,Utilitaires!$I$574,AL392:AL412)</f>
        <v>0</v>
      </c>
      <c r="G580" s="980">
        <f>SUMIF($F$336:$F$390,Utilitaires!$I$574,AO336:AO390)+SUMIF($F$324:$F$432,Utilitaires!$I$574,AN324:AN432)+SUMIF($F$324:$F$432,Utilitaires!$I$574,AM324:AM432)
+SUMIF($F$336:$F$390,Utilitaires!$I$578,AO336:AO390)+SUMIF($F$324:$F$432,Utilitaires!$I$578,AN324:AN432)+SUMIF($F$324:$F$432,Utilitaires!$I$578,AM324:AM432)
+SUMIF($F$392:$F$412,Utilitaires!$I$578,AO392:AO412)+SUMIF($F$392:$F$412,Utilitaires!$I$574,AO392:AO412)</f>
        <v>0</v>
      </c>
      <c r="H580" s="980">
        <v>0</v>
      </c>
      <c r="I580" s="980">
        <f>SUMIF($F$336:$F$390,Utilitaires!$I$574,AR336:AR390)+SUMIF($F$324:$F$432,Utilitaires!$I$574,AQ324:AQ432)+SUMIF($F$324:$F$432,Utilitaires!$I$574,AP324:AP432)
+SUMIF($F$336:$F$390,Utilitaires!$I$578,AR336:AR390)+SUMIF($F$324:$F$432,Utilitaires!$I$578,AQ324:AQ432)+SUMIF($F$324:$F$432,Utilitaires!$I$578,AP324:AP432)
+SUMIF($F$392:$F$412,Utilitaires!$I$578,AR392:AR412)+SUMIF($F$392:$F$412,Utilitaires!$I$574,AR392:AR412)</f>
        <v>0</v>
      </c>
      <c r="J580" s="981">
        <f t="shared" si="282"/>
        <v>0</v>
      </c>
      <c r="K580" s="982">
        <f>SUMIF($F$336:$F$390,Utilitaires!$I$574,AX336:AX390)+SUMIF($F$324:$F$432,Utilitaires!$I$574,AW324:AW432)+SUMIF($F$324:$F$432,Utilitaires!$I$574,AV324:AV432)
+SUMIF($F$336:$F$390,Utilitaires!$I$578,AX336:AX390)+SUMIF($F$324:$F$432,Utilitaires!$I$578,AW324:AW432)+SUMIF($F$324:$F$432,Utilitaires!$I$578,AV324:AV432)
+SUMIF($F$392:$F$412,Utilitaires!$I$578,AX392:AX412)+SUMIF($F$392:$F$412,Utilitaires!$I$574,AX392:AX412)</f>
        <v>0</v>
      </c>
      <c r="L580" s="982">
        <v>0</v>
      </c>
      <c r="M580" s="983">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+SUMPRODUCT(($F$392:$F$412=Utilitaires!$I$578)*1,AC392:AC412,AC392:AC412)+SUMPRODUCT(($F$392:$F$412=Utilitaires!$I$574)*1,AC392:AC412,AC392:AC412))</f>
        <v>0</v>
      </c>
      <c r="N580" s="984">
        <f>K580+L580</f>
        <v>0</v>
      </c>
      <c r="O580" s="984"/>
      <c r="Q580" s="908"/>
      <c r="R580" s="908"/>
      <c r="W580" s="817"/>
      <c r="AB580" s="817"/>
      <c r="AE580" s="418"/>
      <c r="AF580" s="1240"/>
      <c r="AG580" s="576"/>
      <c r="AH580" s="576"/>
      <c r="AI580" s="576"/>
      <c r="AJ580" s="576"/>
    </row>
    <row r="581" spans="1:60" s="113" customFormat="1" ht="12.75" hidden="1" customHeight="1" outlineLevel="1">
      <c r="B581" s="2722" t="s">
        <v>737</v>
      </c>
      <c r="C581" s="2723"/>
      <c r="D581" s="973">
        <v>17</v>
      </c>
      <c r="E581" s="980"/>
      <c r="F581" s="980"/>
      <c r="G581" s="980"/>
      <c r="H581" s="980"/>
      <c r="I581" s="980"/>
      <c r="J581" s="981"/>
      <c r="K581" s="982"/>
      <c r="L581" s="982"/>
      <c r="M581" s="983"/>
      <c r="N581" s="984"/>
      <c r="O581" s="984"/>
      <c r="Q581" s="908"/>
      <c r="R581" s="908"/>
      <c r="W581" s="817"/>
      <c r="AB581" s="817"/>
      <c r="AE581" s="418"/>
      <c r="AF581" s="1240"/>
      <c r="AG581" s="576"/>
      <c r="AH581" s="576"/>
      <c r="AI581" s="576"/>
      <c r="AJ581" s="576"/>
    </row>
    <row r="582" spans="1:60" s="113" customFormat="1" ht="12.75" hidden="1" customHeight="1" outlineLevel="1">
      <c r="B582" s="2722" t="s">
        <v>475</v>
      </c>
      <c r="C582" s="2723"/>
      <c r="D582" s="973">
        <v>18</v>
      </c>
      <c r="E582" s="980"/>
      <c r="F582" s="980"/>
      <c r="G582" s="980"/>
      <c r="H582" s="980"/>
      <c r="I582" s="980"/>
      <c r="J582" s="981"/>
      <c r="K582" s="982"/>
      <c r="L582" s="982"/>
      <c r="M582" s="983"/>
      <c r="N582" s="984"/>
      <c r="O582" s="984"/>
      <c r="Q582" s="908"/>
      <c r="R582" s="908"/>
      <c r="W582" s="817"/>
      <c r="AB582" s="817"/>
      <c r="AE582" s="418"/>
      <c r="AF582" s="1240"/>
      <c r="AG582" s="576"/>
      <c r="AH582" s="576"/>
      <c r="AI582" s="576"/>
      <c r="AJ582" s="576"/>
    </row>
    <row r="583" spans="1:60" s="113" customFormat="1" ht="12.75" hidden="1" customHeight="1" outlineLevel="1">
      <c r="B583" s="2722" t="s">
        <v>476</v>
      </c>
      <c r="C583" s="2723"/>
      <c r="D583" s="973">
        <v>19</v>
      </c>
      <c r="E583" s="980"/>
      <c r="F583" s="980"/>
      <c r="G583" s="980"/>
      <c r="H583" s="980"/>
      <c r="I583" s="980"/>
      <c r="J583" s="981"/>
      <c r="K583" s="982"/>
      <c r="L583" s="982"/>
      <c r="M583" s="983"/>
      <c r="N583" s="984"/>
      <c r="O583" s="984"/>
      <c r="Q583" s="908"/>
      <c r="R583" s="908"/>
      <c r="W583" s="817"/>
      <c r="AB583" s="817"/>
      <c r="AE583" s="418"/>
      <c r="AF583" s="1240"/>
      <c r="AG583" s="576"/>
      <c r="AH583" s="576"/>
      <c r="AI583" s="576"/>
      <c r="AJ583" s="576"/>
    </row>
    <row r="584" spans="1:60" s="113" customFormat="1" ht="12.75" hidden="1" customHeight="1" outlineLevel="1">
      <c r="B584" s="2722" t="s">
        <v>477</v>
      </c>
      <c r="C584" s="2723"/>
      <c r="D584" s="973">
        <v>20</v>
      </c>
      <c r="E584" s="980"/>
      <c r="F584" s="980"/>
      <c r="G584" s="980"/>
      <c r="H584" s="980"/>
      <c r="I584" s="980"/>
      <c r="J584" s="981"/>
      <c r="K584" s="982"/>
      <c r="L584" s="982"/>
      <c r="M584" s="983"/>
      <c r="N584" s="984"/>
      <c r="O584" s="984"/>
      <c r="Q584" s="908"/>
      <c r="R584" s="908"/>
      <c r="W584" s="817"/>
      <c r="AB584" s="817"/>
      <c r="AE584" s="418"/>
      <c r="AF584" s="1240"/>
      <c r="AG584" s="576"/>
      <c r="AH584" s="576"/>
      <c r="AI584" s="576"/>
      <c r="AJ584" s="576"/>
    </row>
    <row r="585" spans="1:60" s="113" customFormat="1" ht="12.75" hidden="1" customHeight="1" outlineLevel="1">
      <c r="B585" s="2722" t="s">
        <v>478</v>
      </c>
      <c r="C585" s="2723"/>
      <c r="D585" s="973">
        <v>21</v>
      </c>
      <c r="E585" s="980"/>
      <c r="F585" s="980"/>
      <c r="G585" s="980"/>
      <c r="H585" s="980"/>
      <c r="I585" s="980"/>
      <c r="J585" s="981"/>
      <c r="K585" s="982"/>
      <c r="L585" s="982"/>
      <c r="M585" s="983"/>
      <c r="N585" s="984"/>
      <c r="O585" s="984"/>
      <c r="Q585" s="908"/>
      <c r="R585" s="908"/>
      <c r="W585" s="817"/>
      <c r="AB585" s="817"/>
      <c r="AE585" s="418"/>
      <c r="AF585" s="1240"/>
      <c r="AG585" s="576"/>
      <c r="AH585" s="576"/>
      <c r="AI585" s="576"/>
      <c r="AJ585" s="576"/>
      <c r="AZ585" s="114"/>
      <c r="BA585" s="114"/>
      <c r="BB585" s="114"/>
      <c r="BC585" s="114"/>
      <c r="BD585" s="114"/>
      <c r="BE585" s="114"/>
      <c r="BF585" s="114"/>
      <c r="BG585" s="114"/>
      <c r="BH585" s="114"/>
    </row>
    <row r="586" spans="1:60" s="113" customFormat="1" ht="12.75" hidden="1" customHeight="1" outlineLevel="1">
      <c r="B586" s="2722" t="s">
        <v>479</v>
      </c>
      <c r="C586" s="2723"/>
      <c r="D586" s="973">
        <v>22</v>
      </c>
      <c r="E586" s="980">
        <f ca="1">SUMIF($F$12:$F$109,Utilitaires!$I$574,AG12:AG109)+SUMIF($F$12:$F$109,Utilitaires!$I$574,AH12:AH109)+SUMIF($F$25:$F$109,Utilitaires!$I$574,AI25:AI99)
+SUMIF($F$12:$F$109,Utilitaires!$I$578,AG12:AG109)+SUMIF($F$12:$F$109,Utilitaires!$I$578,AH12:AH109)+SUMIF($F$25:$F$109,Utilitaires!$I$578,AI25:AI99)</f>
        <v>82747.526599999997</v>
      </c>
      <c r="F586" s="980">
        <f>SUMIF($F$12:$F$109,Utilitaires!$I$574,AJ12:AJ109)+SUMIF($F$12:$F$109,Utilitaires!$I$574,AK12:AK109)+SUMIF($F$25:$F$99,Utilitaires!$I$574,AL25:AL99)
+SUMIF($F$12:$F$109,Utilitaires!$I$578,AJ12:AJ109)+SUMIF($F$12:$F$109,Utilitaires!$I$578,AK12:AK109)+SUMIF($F$25:$F$99,Utilitaires!$I$578,AL25:AL99)</f>
        <v>0</v>
      </c>
      <c r="G586" s="980">
        <f>SUMIF($F$12:$F$109,Utilitaires!$I$574,AM12:AM109)+SUMIF($F$12:$F$109,Utilitaires!$I$574,AN12:AN109)+SUMIF($F$25:$F$99,Utilitaires!$I$574,AO25:AO99)
+SUMIF($F$12:$F$109,Utilitaires!$I$578,AM12:AM109)+SUMIF($F$12:$F$109,Utilitaires!$I$578,AN12:AN109)+SUMIF($F$25:$F$99,Utilitaires!$I$578,AO25:AO99)</f>
        <v>0</v>
      </c>
      <c r="H586" s="980">
        <v>0</v>
      </c>
      <c r="I586" s="980">
        <f>SUMIF($F$12:$F$109,Utilitaires!$I$574,AP12:AP109)+SUMIF($F$12:$F$109,Utilitaires!$I$574,AQ12:AQ109)+SUMIF($F$25:$F$99,Utilitaires!$I$574,AR25:AR99)
+SUMIF($F$12:$F$109,Utilitaires!$I$578,AP12:AP109)+SUMIF($F$12:$F$109,Utilitaires!$I$578,AQ12:AQ109)+SUMIF($F$25:$F$99,Utilitaires!$I$578,AR25:AR99)</f>
        <v>0</v>
      </c>
      <c r="J586" s="981">
        <f t="shared" ca="1" si="282"/>
        <v>82747.526599999997</v>
      </c>
      <c r="K586" s="982">
        <f>SUMIF($F$12:$F$109,Utilitaires!$I$574,AV12:AV109)+SUMIF($F$12:$F$109,Utilitaires!$I$574,AW12:AW109)+SUMIF($F$25:$F$99,Utilitaires!$I$574,AX25:AX99)
+SUMIF($F$12:$F$109,Utilitaires!$I$578,AV12:AV109)+SUMIF($F$12:$F$109,Utilitaires!$I$578,AW12:AW109)+SUMIF($F$25:$F$99,Utilitaires!$I$578,AX25:AX99)</f>
        <v>0</v>
      </c>
      <c r="L586" s="982">
        <v>0</v>
      </c>
      <c r="M586" s="983">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19859.199601136224</v>
      </c>
      <c r="N586" s="984">
        <f>K586+L586</f>
        <v>0</v>
      </c>
      <c r="O586" s="984"/>
      <c r="Q586" s="908"/>
      <c r="R586" s="908"/>
      <c r="W586" s="817"/>
      <c r="AB586" s="817"/>
      <c r="AE586" s="418"/>
      <c r="AF586" s="1240"/>
      <c r="AG586" s="576"/>
      <c r="AH586" s="576"/>
      <c r="AI586" s="576"/>
      <c r="AJ586" s="576"/>
      <c r="AZ586" s="114"/>
      <c r="BA586" s="114"/>
      <c r="BB586" s="114"/>
      <c r="BC586" s="114"/>
      <c r="BD586" s="114"/>
      <c r="BE586" s="114"/>
      <c r="BF586" s="114"/>
      <c r="BG586" s="114"/>
      <c r="BH586" s="114"/>
    </row>
    <row r="587" spans="1:60" s="113" customFormat="1" ht="12.75" hidden="1" customHeight="1" outlineLevel="1">
      <c r="B587" s="2722" t="s">
        <v>449</v>
      </c>
      <c r="C587" s="2723"/>
      <c r="D587" s="973">
        <v>23</v>
      </c>
      <c r="E587" s="980"/>
      <c r="F587" s="980"/>
      <c r="G587" s="980"/>
      <c r="H587" s="980"/>
      <c r="I587" s="980"/>
      <c r="J587" s="981"/>
      <c r="K587" s="982"/>
      <c r="L587" s="982"/>
      <c r="M587" s="983"/>
      <c r="N587" s="984"/>
      <c r="O587" s="984"/>
      <c r="Q587" s="908"/>
      <c r="R587" s="908"/>
      <c r="W587" s="817"/>
      <c r="AB587" s="817"/>
      <c r="AE587" s="418"/>
      <c r="AF587" s="1240"/>
      <c r="AG587" s="576"/>
      <c r="AH587" s="576"/>
      <c r="AI587" s="576"/>
      <c r="AJ587" s="576"/>
      <c r="AZ587" s="114"/>
      <c r="BA587" s="114"/>
      <c r="BB587" s="114"/>
      <c r="BC587" s="114"/>
      <c r="BD587" s="114"/>
      <c r="BE587" s="114"/>
      <c r="BF587" s="114"/>
      <c r="BG587" s="114"/>
      <c r="BH587" s="114"/>
    </row>
    <row r="588" spans="1:60" s="113" customFormat="1" ht="12.75" hidden="1" customHeight="1" outlineLevel="1">
      <c r="B588" s="2727" t="s">
        <v>724</v>
      </c>
      <c r="C588" s="2728"/>
      <c r="D588" s="2729"/>
      <c r="E588" s="986">
        <f ca="1">SUM(E572:E587)</f>
        <v>84194.342600000004</v>
      </c>
      <c r="F588" s="986">
        <f t="shared" ref="F588:O588" si="283">SUM(F572:F587)</f>
        <v>13.86</v>
      </c>
      <c r="G588" s="986">
        <f t="shared" si="283"/>
        <v>0.18</v>
      </c>
      <c r="H588" s="986">
        <f t="shared" si="283"/>
        <v>0</v>
      </c>
      <c r="I588" s="986">
        <f t="shared" si="283"/>
        <v>20.04</v>
      </c>
      <c r="J588" s="986">
        <f t="shared" ca="1" si="283"/>
        <v>84228.422599999991</v>
      </c>
      <c r="K588" s="987">
        <f t="shared" si="283"/>
        <v>1450.74</v>
      </c>
      <c r="L588" s="987">
        <f t="shared" si="283"/>
        <v>0</v>
      </c>
      <c r="M588" s="988">
        <f>SQRT(SUMSQ(M572:M587))</f>
        <v>19877.54131738318</v>
      </c>
      <c r="N588" s="989">
        <f t="shared" si="283"/>
        <v>1450.74</v>
      </c>
      <c r="O588" s="989">
        <f t="shared" si="283"/>
        <v>0</v>
      </c>
      <c r="Q588" s="908"/>
      <c r="R588" s="908"/>
      <c r="W588" s="817"/>
      <c r="AB588" s="817"/>
      <c r="AE588" s="418"/>
      <c r="AF588" s="1240"/>
      <c r="AG588" s="576"/>
      <c r="AH588" s="576"/>
      <c r="AI588" s="576"/>
      <c r="AJ588" s="576"/>
      <c r="AZ588" s="114"/>
      <c r="BA588" s="114"/>
      <c r="BB588" s="114"/>
      <c r="BC588" s="114"/>
      <c r="BD588" s="114"/>
      <c r="BE588" s="114"/>
      <c r="BF588" s="114"/>
      <c r="BG588" s="114"/>
      <c r="BH588" s="114"/>
    </row>
    <row r="589" spans="1:60" s="113" customFormat="1" hidden="1" outlineLevel="1">
      <c r="Q589" s="908"/>
      <c r="R589" s="908"/>
      <c r="W589" s="817"/>
      <c r="AB589" s="817"/>
      <c r="AE589" s="418"/>
      <c r="AF589" s="1240"/>
      <c r="AG589" s="576"/>
      <c r="AH589" s="576"/>
      <c r="AI589" s="576"/>
      <c r="AJ589" s="576"/>
      <c r="AZ589" s="114"/>
      <c r="BA589" s="114"/>
      <c r="BB589" s="114"/>
      <c r="BC589" s="114"/>
      <c r="BD589" s="114"/>
      <c r="BE589" s="114"/>
      <c r="BF589" s="114"/>
      <c r="BG589" s="114"/>
      <c r="BH589" s="114"/>
    </row>
    <row r="591" spans="1:60" s="418" customFormat="1" ht="15.75" hidden="1" customHeight="1" collapsed="1">
      <c r="A591" s="113"/>
      <c r="B591" s="2730" t="s">
        <v>2443</v>
      </c>
      <c r="C591" s="2731"/>
      <c r="D591" s="2731"/>
      <c r="E591" s="2731"/>
      <c r="F591" s="2731"/>
      <c r="G591" s="2731"/>
      <c r="H591" s="2731"/>
      <c r="I591" s="2731"/>
      <c r="J591" s="2731"/>
      <c r="K591" s="2731"/>
      <c r="L591" s="2731"/>
      <c r="M591" s="2731"/>
      <c r="N591" s="2731"/>
      <c r="O591" s="2732"/>
      <c r="P591" s="113"/>
      <c r="Q591" s="113"/>
      <c r="R591" s="113"/>
      <c r="S591" s="113"/>
      <c r="T591" s="113"/>
      <c r="U591" s="113"/>
      <c r="V591" s="113"/>
      <c r="W591" s="113"/>
    </row>
    <row r="592" spans="1:60" s="418" customFormat="1" ht="11.4" hidden="1" outlineLevel="1">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row>
    <row r="593" spans="1:39" s="418" customFormat="1" ht="11.4" hidden="1" outlineLevel="1">
      <c r="A593" s="113"/>
      <c r="B593" s="113" t="s">
        <v>2549</v>
      </c>
      <c r="C593" s="113"/>
      <c r="D593" s="113"/>
      <c r="E593" s="113"/>
      <c r="F593" s="113"/>
      <c r="G593" s="113"/>
      <c r="H593" s="113"/>
      <c r="I593" s="113"/>
      <c r="J593" s="113"/>
      <c r="K593" s="113"/>
      <c r="L593" s="113"/>
      <c r="M593" s="113"/>
      <c r="N593" s="113"/>
      <c r="O593" s="113"/>
      <c r="P593" s="113"/>
      <c r="Q593" s="113"/>
      <c r="R593" s="113"/>
      <c r="S593" s="113"/>
      <c r="T593" s="113"/>
      <c r="U593" s="113"/>
      <c r="V593" s="113"/>
      <c r="W593" s="113"/>
    </row>
    <row r="594" spans="1:39" s="418" customFormat="1" ht="11.4" hidden="1" outlineLevel="1">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row>
    <row r="595" spans="1:39" s="418" customFormat="1" ht="11.4" hidden="1" outlineLevel="1">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row>
    <row r="596" spans="1:39" s="418" customFormat="1" ht="11.4" hidden="1" outlineLevel="1">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row>
    <row r="597" spans="1:39" s="418" customFormat="1" ht="11.4" hidden="1" outlineLevel="1">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row>
    <row r="598" spans="1:39" s="418" customFormat="1" ht="11.4" hidden="1" outlineLevel="1">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row>
    <row r="599" spans="1:39" s="418" customFormat="1" ht="11.4" hidden="1" outlineLevel="1">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row>
    <row r="600" spans="1:39" s="418" customFormat="1" ht="11.4" hidden="1">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row>
    <row r="601" spans="1:39" s="418" customFormat="1" ht="15.6" collapsed="1">
      <c r="A601" s="113"/>
      <c r="B601" s="2733" t="s">
        <v>2554</v>
      </c>
      <c r="C601" s="2734"/>
      <c r="D601" s="2734"/>
      <c r="E601" s="2734"/>
      <c r="F601" s="2734"/>
      <c r="G601" s="2734"/>
      <c r="H601" s="2734"/>
      <c r="I601" s="2734"/>
      <c r="J601" s="2734"/>
      <c r="K601" s="2734"/>
      <c r="L601" s="2734"/>
      <c r="M601" s="2734"/>
      <c r="N601" s="2734"/>
      <c r="O601" s="2735"/>
      <c r="P601" s="113"/>
      <c r="Q601" s="113"/>
      <c r="R601" s="113"/>
      <c r="S601" s="113"/>
      <c r="T601" s="113"/>
      <c r="U601" s="113"/>
      <c r="V601" s="113"/>
      <c r="W601" s="113"/>
    </row>
    <row r="602" spans="1:39" s="418" customFormat="1" ht="11.4" hidden="1" outlineLevel="1">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row>
    <row r="603" spans="1:39" s="113" customFormat="1" ht="38.25" hidden="1" customHeight="1" outlineLevel="1">
      <c r="B603" s="205"/>
      <c r="C603" s="205"/>
      <c r="D603" s="205"/>
      <c r="E603" s="2736" t="s">
        <v>448</v>
      </c>
      <c r="F603" s="2737"/>
      <c r="G603" s="2737"/>
      <c r="H603" s="2737"/>
      <c r="I603" s="2737"/>
      <c r="J603" s="2737"/>
      <c r="K603" s="2737"/>
      <c r="L603" s="2737"/>
      <c r="M603" s="2738"/>
      <c r="N603" s="1794" t="s">
        <v>811</v>
      </c>
      <c r="O603" s="1795" t="s">
        <v>440</v>
      </c>
      <c r="Q603" s="908"/>
      <c r="R603" s="908"/>
      <c r="W603" s="817"/>
      <c r="AB603" s="576"/>
      <c r="AC603" s="576"/>
      <c r="AD603" s="576"/>
      <c r="AE603" s="576"/>
      <c r="AF603" s="576"/>
      <c r="AG603" s="576"/>
      <c r="AH603" s="576"/>
      <c r="AI603" s="576"/>
      <c r="AJ603" s="576"/>
      <c r="AK603" s="576"/>
      <c r="AL603" s="576"/>
      <c r="AM603" s="576"/>
    </row>
    <row r="604" spans="1:39" s="113" customFormat="1" ht="38.25" hidden="1" customHeight="1" outlineLevel="1">
      <c r="B604" s="2736" t="s">
        <v>438</v>
      </c>
      <c r="C604" s="2738"/>
      <c r="D604" s="1795" t="s">
        <v>2510</v>
      </c>
      <c r="E604" s="1796" t="s">
        <v>853</v>
      </c>
      <c r="F604" s="1796" t="s">
        <v>854</v>
      </c>
      <c r="G604" s="1796" t="s">
        <v>855</v>
      </c>
      <c r="H604" s="1796" t="s">
        <v>861</v>
      </c>
      <c r="I604" s="1796" t="s">
        <v>852</v>
      </c>
      <c r="J604" s="1797" t="s">
        <v>513</v>
      </c>
      <c r="K604" s="1796" t="s">
        <v>862</v>
      </c>
      <c r="L604" s="1796" t="s">
        <v>863</v>
      </c>
      <c r="M604" s="1796" t="s">
        <v>514</v>
      </c>
      <c r="N604" s="1798" t="s">
        <v>856</v>
      </c>
      <c r="O604" s="1799" t="s">
        <v>513</v>
      </c>
      <c r="Q604" s="908"/>
      <c r="R604" s="908"/>
      <c r="W604" s="817"/>
      <c r="AB604" s="576"/>
      <c r="AC604" s="576"/>
      <c r="AD604" s="576"/>
      <c r="AE604" s="576"/>
      <c r="AF604" s="576"/>
      <c r="AG604" s="576"/>
      <c r="AH604" s="576"/>
      <c r="AI604" s="576"/>
      <c r="AJ604" s="576"/>
      <c r="AK604" s="576"/>
      <c r="AL604" s="576"/>
      <c r="AM604" s="576"/>
    </row>
    <row r="605" spans="1:39" s="113" customFormat="1" ht="12.75" hidden="1" customHeight="1" outlineLevel="1">
      <c r="B605" s="2722" t="s">
        <v>2481</v>
      </c>
      <c r="C605" s="2723"/>
      <c r="D605" s="973" t="s">
        <v>2503</v>
      </c>
      <c r="E605" s="980">
        <f>SUM(E563:E567)</f>
        <v>0</v>
      </c>
      <c r="F605" s="980">
        <f t="shared" ref="F605:I605" si="284">SUM(F563:F567)</f>
        <v>0</v>
      </c>
      <c r="G605" s="980">
        <f t="shared" si="284"/>
        <v>0</v>
      </c>
      <c r="H605" s="980">
        <f t="shared" si="284"/>
        <v>0</v>
      </c>
      <c r="I605" s="980">
        <f t="shared" si="284"/>
        <v>0</v>
      </c>
      <c r="J605" s="981">
        <f>SUM(E605:I605)</f>
        <v>0</v>
      </c>
      <c r="K605" s="982">
        <f>SUM(K563:K567)</f>
        <v>0</v>
      </c>
      <c r="L605" s="982">
        <f>SUM(L563:L567)</f>
        <v>0</v>
      </c>
      <c r="M605" s="983">
        <f>SQRT(SUMSQ(M563:M567))</f>
        <v>0</v>
      </c>
      <c r="N605" s="984"/>
      <c r="O605" s="1886" t="s">
        <v>817</v>
      </c>
      <c r="Q605" s="908"/>
      <c r="R605" s="908"/>
      <c r="W605" s="817"/>
      <c r="AB605" s="576"/>
      <c r="AC605" s="576"/>
      <c r="AD605" s="576"/>
      <c r="AE605" s="576"/>
      <c r="AF605" s="576"/>
      <c r="AG605" s="576"/>
      <c r="AH605" s="576"/>
      <c r="AI605" s="576"/>
      <c r="AJ605" s="576"/>
      <c r="AK605" s="576"/>
      <c r="AL605" s="576"/>
      <c r="AM605" s="576"/>
    </row>
    <row r="606" spans="1:39" s="113" customFormat="1" ht="12.75" hidden="1" customHeight="1" outlineLevel="1">
      <c r="B606" s="2722" t="s">
        <v>2482</v>
      </c>
      <c r="C606" s="2723"/>
      <c r="D606" s="1896" t="s">
        <v>2504</v>
      </c>
      <c r="E606" s="980">
        <f>AG215</f>
        <v>0</v>
      </c>
      <c r="F606" s="980">
        <f>AJ215</f>
        <v>0</v>
      </c>
      <c r="G606" s="980">
        <f>AM215</f>
        <v>0</v>
      </c>
      <c r="H606" s="980">
        <v>0</v>
      </c>
      <c r="I606" s="980">
        <f>AP215</f>
        <v>0</v>
      </c>
      <c r="J606" s="981">
        <f>SUM(E606:I606)</f>
        <v>0</v>
      </c>
      <c r="K606" s="982">
        <f>AV215</f>
        <v>0</v>
      </c>
      <c r="L606" s="982">
        <v>0</v>
      </c>
      <c r="M606" s="983">
        <f>AA215</f>
        <v>0</v>
      </c>
      <c r="N606" s="984"/>
      <c r="O606" s="990"/>
      <c r="Q606" s="908"/>
      <c r="R606" s="908"/>
      <c r="W606" s="817"/>
      <c r="AB606" s="576"/>
      <c r="AC606" s="576"/>
      <c r="AD606" s="576"/>
      <c r="AE606" s="576"/>
      <c r="AF606" s="576"/>
      <c r="AG606" s="576"/>
      <c r="AH606" s="576"/>
      <c r="AI606" s="576"/>
      <c r="AJ606" s="576"/>
      <c r="AK606" s="576"/>
      <c r="AL606" s="576"/>
      <c r="AM606" s="576"/>
    </row>
    <row r="607" spans="1:39" s="113" customFormat="1" ht="12.75" hidden="1" customHeight="1" outlineLevel="1">
      <c r="B607" s="2722" t="s">
        <v>2483</v>
      </c>
      <c r="C607" s="2723"/>
      <c r="D607" s="973" t="s">
        <v>2505</v>
      </c>
      <c r="E607" s="980">
        <f ca="1">E577+E580+E586</f>
        <v>84194.342600000004</v>
      </c>
      <c r="F607" s="980">
        <f>F577+F580+F586</f>
        <v>13.86</v>
      </c>
      <c r="G607" s="980">
        <f>G577+G580+G586</f>
        <v>0.18</v>
      </c>
      <c r="H607" s="980">
        <f>H577+H580+H586</f>
        <v>0</v>
      </c>
      <c r="I607" s="980">
        <f>I577+I580+I586</f>
        <v>20.04</v>
      </c>
      <c r="J607" s="981">
        <f ca="1">SUM(E607:I607)</f>
        <v>84228.422599999991</v>
      </c>
      <c r="K607" s="982">
        <f>K577+K580+K586</f>
        <v>1450.74</v>
      </c>
      <c r="L607" s="982">
        <f>L577+L580+L586</f>
        <v>0</v>
      </c>
      <c r="M607" s="983">
        <f>SQRT(SUMSQ(M577,M580,M586))</f>
        <v>19877.54131738318</v>
      </c>
      <c r="N607" s="984"/>
      <c r="O607" s="984"/>
      <c r="Q607" s="908"/>
      <c r="R607" s="908"/>
      <c r="W607" s="817"/>
      <c r="AB607" s="576"/>
      <c r="AC607" s="576"/>
      <c r="AD607" s="576"/>
      <c r="AE607" s="576"/>
      <c r="AF607" s="576"/>
      <c r="AG607" s="576"/>
      <c r="AH607" s="576"/>
      <c r="AI607" s="576"/>
      <c r="AJ607" s="576"/>
      <c r="AK607" s="576"/>
      <c r="AL607" s="576"/>
      <c r="AM607" s="576"/>
    </row>
    <row r="608" spans="1:39" s="113" customFormat="1" ht="26.25" hidden="1" customHeight="1" outlineLevel="1">
      <c r="B608" s="2739" t="s">
        <v>2485</v>
      </c>
      <c r="C608" s="2740"/>
      <c r="D608" s="1896" t="s">
        <v>2506</v>
      </c>
      <c r="E608" s="980">
        <f>IF(D8="Oui",E574,0)</f>
        <v>0</v>
      </c>
      <c r="F608" s="980">
        <f>IF(E8="Oui",F574,0)</f>
        <v>0</v>
      </c>
      <c r="G608" s="980">
        <f>IF(F8="Oui",G574,0)</f>
        <v>0</v>
      </c>
      <c r="H608" s="980">
        <f>IF(G8="Oui",H574,0)</f>
        <v>0</v>
      </c>
      <c r="I608" s="980">
        <f>IF(H8="Oui",I574,0)</f>
        <v>0</v>
      </c>
      <c r="J608" s="981">
        <f>SUM(E608:I608)</f>
        <v>0</v>
      </c>
      <c r="K608" s="982">
        <f>IF(D8="Oui",K574,0)</f>
        <v>0</v>
      </c>
      <c r="L608" s="982">
        <v>0</v>
      </c>
      <c r="M608" s="983">
        <f>IF(D8="Oui",K508,0)</f>
        <v>0</v>
      </c>
      <c r="N608" s="984"/>
      <c r="O608" s="984"/>
      <c r="Q608" s="908"/>
      <c r="R608" s="908"/>
      <c r="W608" s="817"/>
      <c r="AB608" s="576"/>
      <c r="AC608" s="576"/>
      <c r="AD608" s="576"/>
      <c r="AE608" s="576"/>
      <c r="AF608" s="576"/>
      <c r="AG608" s="576"/>
      <c r="AH608" s="576"/>
      <c r="AI608" s="576"/>
      <c r="AJ608" s="576"/>
      <c r="AK608" s="576"/>
      <c r="AL608" s="576"/>
      <c r="AM608" s="576"/>
    </row>
    <row r="609" spans="1:39" s="113" customFormat="1" ht="26.25" hidden="1" customHeight="1" outlineLevel="1">
      <c r="B609" s="2739" t="s">
        <v>2484</v>
      </c>
      <c r="C609" s="2740"/>
      <c r="D609" s="1897" t="s">
        <v>2507</v>
      </c>
      <c r="E609" s="980">
        <f>E575+E578</f>
        <v>0</v>
      </c>
      <c r="F609" s="980">
        <f t="shared" ref="F609:I609" si="285">F575+F578</f>
        <v>0</v>
      </c>
      <c r="G609" s="980">
        <f t="shared" si="285"/>
        <v>0</v>
      </c>
      <c r="H609" s="980">
        <f t="shared" si="285"/>
        <v>0</v>
      </c>
      <c r="I609" s="980">
        <f t="shared" si="285"/>
        <v>0</v>
      </c>
      <c r="J609" s="981">
        <f>SUM(E609:I609)</f>
        <v>0</v>
      </c>
      <c r="K609" s="982">
        <f>K575+K578</f>
        <v>0</v>
      </c>
      <c r="L609" s="982">
        <f>L575+L578</f>
        <v>0</v>
      </c>
      <c r="M609" s="983">
        <f>SQRT(SUMSQ(M575+M578))</f>
        <v>0</v>
      </c>
      <c r="N609" s="984"/>
      <c r="O609" s="984"/>
      <c r="Q609" s="908"/>
      <c r="R609" s="908"/>
      <c r="W609" s="817"/>
      <c r="AB609" s="576"/>
      <c r="AC609" s="576"/>
      <c r="AD609" s="576"/>
      <c r="AE609" s="576"/>
      <c r="AF609" s="576"/>
      <c r="AG609" s="576"/>
      <c r="AH609" s="576"/>
      <c r="AI609" s="576"/>
      <c r="AJ609" s="576"/>
      <c r="AK609" s="576"/>
      <c r="AL609" s="576"/>
      <c r="AM609" s="576"/>
    </row>
    <row r="610" spans="1:39" s="113" customFormat="1" ht="26.25" hidden="1" customHeight="1" outlineLevel="1">
      <c r="B610" s="2739" t="s">
        <v>2486</v>
      </c>
      <c r="C610" s="2740"/>
      <c r="D610" s="973" t="s">
        <v>2508</v>
      </c>
      <c r="E610" s="980"/>
      <c r="F610" s="980"/>
      <c r="G610" s="980"/>
      <c r="H610" s="980"/>
      <c r="I610" s="980"/>
      <c r="J610" s="981"/>
      <c r="K610" s="982"/>
      <c r="L610" s="982"/>
      <c r="M610" s="983"/>
      <c r="N610" s="984"/>
      <c r="O610" s="984"/>
      <c r="Q610" s="908"/>
      <c r="R610" s="908"/>
      <c r="W610" s="817"/>
      <c r="AB610" s="576"/>
      <c r="AC610" s="576"/>
      <c r="AD610" s="576"/>
      <c r="AE610" s="576"/>
      <c r="AF610" s="576"/>
      <c r="AG610" s="576"/>
      <c r="AH610" s="576"/>
      <c r="AI610" s="576"/>
      <c r="AJ610" s="576"/>
      <c r="AK610" s="576"/>
      <c r="AL610" s="576"/>
      <c r="AM610" s="576"/>
    </row>
    <row r="611" spans="1:39" s="113" customFormat="1" ht="12.75" hidden="1" customHeight="1" outlineLevel="1">
      <c r="B611" s="2722" t="s">
        <v>449</v>
      </c>
      <c r="C611" s="2723"/>
      <c r="D611" s="1898" t="s">
        <v>2509</v>
      </c>
      <c r="E611" s="980">
        <f>E572+E579+E584+E587</f>
        <v>0</v>
      </c>
      <c r="F611" s="980">
        <f t="shared" ref="F611:I611" si="286">F572+F579+F584+F587</f>
        <v>0</v>
      </c>
      <c r="G611" s="980">
        <f t="shared" si="286"/>
        <v>0</v>
      </c>
      <c r="H611" s="980">
        <f t="shared" si="286"/>
        <v>0</v>
      </c>
      <c r="I611" s="980">
        <f t="shared" si="286"/>
        <v>0</v>
      </c>
      <c r="J611" s="981">
        <f>SUM(E611:I611)</f>
        <v>0</v>
      </c>
      <c r="K611" s="982">
        <f>K572+K579+K584+K587</f>
        <v>0</v>
      </c>
      <c r="L611" s="982">
        <f>L572+L579+L584+L587</f>
        <v>0</v>
      </c>
      <c r="M611" s="983">
        <f>SQRT(SUMSQ(M572+M579+M584+M587))</f>
        <v>0</v>
      </c>
      <c r="N611" s="984"/>
      <c r="O611" s="984"/>
      <c r="Q611" s="908"/>
      <c r="R611" s="908"/>
      <c r="W611" s="817"/>
      <c r="AB611" s="576"/>
      <c r="AC611" s="576"/>
      <c r="AD611" s="576"/>
      <c r="AE611" s="576"/>
      <c r="AF611" s="576"/>
      <c r="AG611" s="576"/>
      <c r="AH611" s="576"/>
      <c r="AI611" s="576"/>
      <c r="AJ611" s="576"/>
      <c r="AK611" s="576"/>
      <c r="AL611" s="576"/>
      <c r="AM611" s="576"/>
    </row>
    <row r="612" spans="1:39" s="418" customFormat="1" ht="11.4" hidden="1" outlineLevel="1">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row>
    <row r="613" spans="1:39" s="418" customFormat="1" ht="11.4">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row>
  </sheetData>
  <mergeCells count="772">
    <mergeCell ref="BH279:BH280"/>
    <mergeCell ref="BH267:BL267"/>
    <mergeCell ref="AP279:AS279"/>
    <mergeCell ref="AL279:AO279"/>
    <mergeCell ref="AH277:BE277"/>
    <mergeCell ref="AH279:AK279"/>
    <mergeCell ref="AH278:AW278"/>
    <mergeCell ref="H268:K268"/>
    <mergeCell ref="J279:M279"/>
    <mergeCell ref="BK268:BK269"/>
    <mergeCell ref="BK279:BK280"/>
    <mergeCell ref="BH268:BH269"/>
    <mergeCell ref="Y268:Z268"/>
    <mergeCell ref="Y269:Z269"/>
    <mergeCell ref="AT268:AW268"/>
    <mergeCell ref="Y279:Z279"/>
    <mergeCell ref="BL293:BO293"/>
    <mergeCell ref="AS365:AU365"/>
    <mergeCell ref="AG373:AX373"/>
    <mergeCell ref="AG374:AR374"/>
    <mergeCell ref="AS374:AU374"/>
    <mergeCell ref="AV375:AW375"/>
    <mergeCell ref="X266:AE266"/>
    <mergeCell ref="BB279:BE279"/>
    <mergeCell ref="AX278:BA278"/>
    <mergeCell ref="AX279:BA279"/>
    <mergeCell ref="AT279:AW279"/>
    <mergeCell ref="Y340:Z340"/>
    <mergeCell ref="AG291:AX291"/>
    <mergeCell ref="AG292:AR292"/>
    <mergeCell ref="AS292:AU292"/>
    <mergeCell ref="AG293:AI293"/>
    <mergeCell ref="AJ293:AL293"/>
    <mergeCell ref="AV293:AW293"/>
    <mergeCell ref="BL279:BL280"/>
    <mergeCell ref="BH278:BL278"/>
    <mergeCell ref="BB268:BE268"/>
    <mergeCell ref="AX267:BA267"/>
    <mergeCell ref="AX268:BA268"/>
    <mergeCell ref="AP268:AS268"/>
    <mergeCell ref="O426:Q426"/>
    <mergeCell ref="AG416:AI416"/>
    <mergeCell ref="AJ416:AL416"/>
    <mergeCell ref="AM385:AO385"/>
    <mergeCell ref="AP385:AR385"/>
    <mergeCell ref="AG385:AI385"/>
    <mergeCell ref="AV416:AW416"/>
    <mergeCell ref="AS385:AU385"/>
    <mergeCell ref="AG384:AR384"/>
    <mergeCell ref="Y426:Z426"/>
    <mergeCell ref="AG415:AR415"/>
    <mergeCell ref="AS415:AU415"/>
    <mergeCell ref="Y386:Z386"/>
    <mergeCell ref="BH293:BK293"/>
    <mergeCell ref="B424:Q424"/>
    <mergeCell ref="AA426:AC426"/>
    <mergeCell ref="BH425:BN425"/>
    <mergeCell ref="BI426:BK426"/>
    <mergeCell ref="BL426:BN426"/>
    <mergeCell ref="AG383:AX383"/>
    <mergeCell ref="Y385:Z385"/>
    <mergeCell ref="P384:Q384"/>
    <mergeCell ref="X383:AD383"/>
    <mergeCell ref="AJ385:AL385"/>
    <mergeCell ref="AS293:AU293"/>
    <mergeCell ref="AM293:AO293"/>
    <mergeCell ref="AP293:AR293"/>
    <mergeCell ref="AJ365:AL365"/>
    <mergeCell ref="AM365:AO365"/>
    <mergeCell ref="AP365:AR365"/>
    <mergeCell ref="AV365:AW365"/>
    <mergeCell ref="Y405:Z405"/>
    <mergeCell ref="BH375:BH376"/>
    <mergeCell ref="BH364:BK364"/>
    <mergeCell ref="Y339:Z339"/>
    <mergeCell ref="AV385:AW385"/>
    <mergeCell ref="AG310:AX310"/>
    <mergeCell ref="O237:Q237"/>
    <mergeCell ref="L237:N237"/>
    <mergeCell ref="H237:J237"/>
    <mergeCell ref="AA237:AC237"/>
    <mergeCell ref="X101:AD101"/>
    <mergeCell ref="AG198:AR198"/>
    <mergeCell ref="AG210:AR210"/>
    <mergeCell ref="AG211:AI211"/>
    <mergeCell ref="AJ211:AL211"/>
    <mergeCell ref="AM211:AO211"/>
    <mergeCell ref="Y200:Z200"/>
    <mergeCell ref="Y189:Z189"/>
    <mergeCell ref="Y190:Z190"/>
    <mergeCell ref="H154:J154"/>
    <mergeCell ref="H179:J179"/>
    <mergeCell ref="B112:O112"/>
    <mergeCell ref="X187:AD187"/>
    <mergeCell ref="X177:AD177"/>
    <mergeCell ref="X167:AA167"/>
    <mergeCell ref="Y179:Z179"/>
    <mergeCell ref="Y180:Z180"/>
    <mergeCell ref="Y141:Z141"/>
    <mergeCell ref="Y142:Z142"/>
    <mergeCell ref="X139:AD139"/>
    <mergeCell ref="H375:J375"/>
    <mergeCell ref="Y375:Z375"/>
    <mergeCell ref="AG375:AI375"/>
    <mergeCell ref="AJ375:AL375"/>
    <mergeCell ref="AM375:AO375"/>
    <mergeCell ref="AP375:AR375"/>
    <mergeCell ref="AS375:AU375"/>
    <mergeCell ref="L364:M364"/>
    <mergeCell ref="X373:AD373"/>
    <mergeCell ref="H365:J365"/>
    <mergeCell ref="Y365:Z365"/>
    <mergeCell ref="AG365:AI365"/>
    <mergeCell ref="AG364:AR364"/>
    <mergeCell ref="AS364:AU364"/>
    <mergeCell ref="B601:O601"/>
    <mergeCell ref="Q525:U531"/>
    <mergeCell ref="Y366:Z366"/>
    <mergeCell ref="BH385:BH386"/>
    <mergeCell ref="BI385:BK385"/>
    <mergeCell ref="B459:O459"/>
    <mergeCell ref="B442:C442"/>
    <mergeCell ref="B591:O591"/>
    <mergeCell ref="B441:C441"/>
    <mergeCell ref="B455:C455"/>
    <mergeCell ref="I461:J461"/>
    <mergeCell ref="K439:N439"/>
    <mergeCell ref="BH416:BH417"/>
    <mergeCell ref="BI416:BJ417"/>
    <mergeCell ref="BK416:BL417"/>
    <mergeCell ref="Y417:Z417"/>
    <mergeCell ref="BI375:BI376"/>
    <mergeCell ref="BJ375:BJ376"/>
    <mergeCell ref="BK375:BK376"/>
    <mergeCell ref="Y376:Z376"/>
    <mergeCell ref="AS384:AU384"/>
    <mergeCell ref="BH405:BH406"/>
    <mergeCell ref="L426:N426"/>
    <mergeCell ref="H426:J426"/>
    <mergeCell ref="B446:C446"/>
    <mergeCell ref="X414:AD414"/>
    <mergeCell ref="AG414:AX414"/>
    <mergeCell ref="BJ74:BJ75"/>
    <mergeCell ref="BH73:BK73"/>
    <mergeCell ref="Y326:Z326"/>
    <mergeCell ref="BH326:BH327"/>
    <mergeCell ref="BI326:BL326"/>
    <mergeCell ref="BM326:BP326"/>
    <mergeCell ref="Y327:Z327"/>
    <mergeCell ref="BK312:BL313"/>
    <mergeCell ref="BH311:BL311"/>
    <mergeCell ref="AV312:AW312"/>
    <mergeCell ref="BH301:BI301"/>
    <mergeCell ref="AS311:AU311"/>
    <mergeCell ref="AG312:AI312"/>
    <mergeCell ref="AV326:AW326"/>
    <mergeCell ref="AG324:AX324"/>
    <mergeCell ref="AG325:AR325"/>
    <mergeCell ref="AS325:AU325"/>
    <mergeCell ref="AG326:AI326"/>
    <mergeCell ref="AV339:AW339"/>
    <mergeCell ref="BH236:BN236"/>
    <mergeCell ref="H352:J352"/>
    <mergeCell ref="B445:C445"/>
    <mergeCell ref="BH237:BH238"/>
    <mergeCell ref="AS219:AU219"/>
    <mergeCell ref="AG235:AX235"/>
    <mergeCell ref="AV219:AW219"/>
    <mergeCell ref="BL249:BO249"/>
    <mergeCell ref="AG247:AX247"/>
    <mergeCell ref="AG248:AR248"/>
    <mergeCell ref="AS248:AU248"/>
    <mergeCell ref="AP249:AR249"/>
    <mergeCell ref="AM249:AO249"/>
    <mergeCell ref="AS249:AU249"/>
    <mergeCell ref="AV249:AW249"/>
    <mergeCell ref="AS301:AU301"/>
    <mergeCell ref="Y302:Z302"/>
    <mergeCell ref="Y312:Z312"/>
    <mergeCell ref="Y313:Z313"/>
    <mergeCell ref="X324:AD324"/>
    <mergeCell ref="Y294:Z294"/>
    <mergeCell ref="AG237:AI237"/>
    <mergeCell ref="AJ237:AL237"/>
    <mergeCell ref="AM237:AO237"/>
    <mergeCell ref="BJ365:BJ366"/>
    <mergeCell ref="BH312:BH313"/>
    <mergeCell ref="BH198:BN198"/>
    <mergeCell ref="BH199:BH200"/>
    <mergeCell ref="BI199:BK199"/>
    <mergeCell ref="BL199:BN199"/>
    <mergeCell ref="Y237:Z237"/>
    <mergeCell ref="AV237:AW237"/>
    <mergeCell ref="AG226:AR226"/>
    <mergeCell ref="AS226:AU226"/>
    <mergeCell ref="AG227:AI227"/>
    <mergeCell ref="AJ227:AL227"/>
    <mergeCell ref="AM227:AO227"/>
    <mergeCell ref="AP227:AR227"/>
    <mergeCell ref="AS227:AU227"/>
    <mergeCell ref="AV227:AW227"/>
    <mergeCell ref="AG236:AR236"/>
    <mergeCell ref="AS236:AU236"/>
    <mergeCell ref="BH226:BI226"/>
    <mergeCell ref="BH227:BH228"/>
    <mergeCell ref="AG218:AR218"/>
    <mergeCell ref="AS218:AU218"/>
    <mergeCell ref="BI211:BI212"/>
    <mergeCell ref="BJ211:BJ212"/>
    <mergeCell ref="BI237:BK237"/>
    <mergeCell ref="BL237:BN237"/>
    <mergeCell ref="BJ27:BJ28"/>
    <mergeCell ref="BK27:BK28"/>
    <mergeCell ref="B493:O493"/>
    <mergeCell ref="AS73:AU73"/>
    <mergeCell ref="AM189:AO189"/>
    <mergeCell ref="AG302:AI302"/>
    <mergeCell ref="AM312:AO312"/>
    <mergeCell ref="AP312:AR312"/>
    <mergeCell ref="AG301:AR301"/>
    <mergeCell ref="AG311:AR311"/>
    <mergeCell ref="AJ312:AL312"/>
    <mergeCell ref="AG141:AI141"/>
    <mergeCell ref="AG300:AX300"/>
    <mergeCell ref="AJ169:AL169"/>
    <mergeCell ref="AM169:AO169"/>
    <mergeCell ref="AP169:AR169"/>
    <mergeCell ref="AG177:AX177"/>
    <mergeCell ref="AS199:AU199"/>
    <mergeCell ref="AV199:AW199"/>
    <mergeCell ref="BH210:BJ210"/>
    <mergeCell ref="BH189:BH190"/>
    <mergeCell ref="AP211:AR211"/>
    <mergeCell ref="AG209:AX209"/>
    <mergeCell ref="AV211:AW211"/>
    <mergeCell ref="BH211:BH212"/>
    <mergeCell ref="B497:C497"/>
    <mergeCell ref="B498:C498"/>
    <mergeCell ref="B499:C499"/>
    <mergeCell ref="B500:C500"/>
    <mergeCell ref="B501:C501"/>
    <mergeCell ref="B502:C502"/>
    <mergeCell ref="BH218:BI218"/>
    <mergeCell ref="X247:AD247"/>
    <mergeCell ref="AG258:AI258"/>
    <mergeCell ref="AJ258:AL258"/>
    <mergeCell ref="Y259:Z259"/>
    <mergeCell ref="X256:AA256"/>
    <mergeCell ref="Y258:Z258"/>
    <mergeCell ref="AG249:AI249"/>
    <mergeCell ref="AJ249:AL249"/>
    <mergeCell ref="BH257:BI257"/>
    <mergeCell ref="BH258:BH259"/>
    <mergeCell ref="BH249:BK249"/>
    <mergeCell ref="Y249:Z249"/>
    <mergeCell ref="B448:C448"/>
    <mergeCell ref="AS211:AU211"/>
    <mergeCell ref="BH219:BH220"/>
    <mergeCell ref="BI219:BI220"/>
    <mergeCell ref="BJ189:BJ190"/>
    <mergeCell ref="BK189:BK190"/>
    <mergeCell ref="BH169:BH170"/>
    <mergeCell ref="AG188:AR188"/>
    <mergeCell ref="AS189:AU189"/>
    <mergeCell ref="AS179:AU179"/>
    <mergeCell ref="AV179:AW179"/>
    <mergeCell ref="AV189:AW189"/>
    <mergeCell ref="AG178:AR178"/>
    <mergeCell ref="AS178:AU178"/>
    <mergeCell ref="AG179:AI179"/>
    <mergeCell ref="BI189:BI190"/>
    <mergeCell ref="BH188:BK188"/>
    <mergeCell ref="BK179:BK180"/>
    <mergeCell ref="AS188:AU188"/>
    <mergeCell ref="AG187:AX187"/>
    <mergeCell ref="AJ179:AL179"/>
    <mergeCell ref="AM179:AO179"/>
    <mergeCell ref="AP179:AR179"/>
    <mergeCell ref="AG169:AI169"/>
    <mergeCell ref="AS169:AU169"/>
    <mergeCell ref="AV169:AW169"/>
    <mergeCell ref="AP189:AR189"/>
    <mergeCell ref="AG189:AI189"/>
    <mergeCell ref="BM14:BP14"/>
    <mergeCell ref="BH14:BH15"/>
    <mergeCell ref="BH178:BJ178"/>
    <mergeCell ref="BH179:BH180"/>
    <mergeCell ref="BI179:BI180"/>
    <mergeCell ref="BJ179:BJ180"/>
    <mergeCell ref="BH140:BK140"/>
    <mergeCell ref="BH141:BH142"/>
    <mergeCell ref="BI141:BI142"/>
    <mergeCell ref="BJ141:BJ142"/>
    <mergeCell ref="BK141:BK142"/>
    <mergeCell ref="BH63:BJ63"/>
    <mergeCell ref="BH83:BJ83"/>
    <mergeCell ref="BH84:BH85"/>
    <mergeCell ref="BJ84:BJ85"/>
    <mergeCell ref="BK84:BK85"/>
    <mergeCell ref="BH94:BH95"/>
    <mergeCell ref="BI94:BK94"/>
    <mergeCell ref="BL94:BN94"/>
    <mergeCell ref="BH93:BN93"/>
    <mergeCell ref="BM118:BP118"/>
    <mergeCell ref="BH27:BH28"/>
    <mergeCell ref="BI27:BI28"/>
    <mergeCell ref="BH26:BK26"/>
    <mergeCell ref="B552:C552"/>
    <mergeCell ref="B535:C535"/>
    <mergeCell ref="B536:D536"/>
    <mergeCell ref="B537:O537"/>
    <mergeCell ref="B587:C587"/>
    <mergeCell ref="B588:D588"/>
    <mergeCell ref="B578:C578"/>
    <mergeCell ref="B579:C579"/>
    <mergeCell ref="B580:C580"/>
    <mergeCell ref="B581:C581"/>
    <mergeCell ref="B582:C582"/>
    <mergeCell ref="B583:C583"/>
    <mergeCell ref="B584:C584"/>
    <mergeCell ref="B585:C585"/>
    <mergeCell ref="B586:C586"/>
    <mergeCell ref="B569:C569"/>
    <mergeCell ref="B570:C570"/>
    <mergeCell ref="B571:D571"/>
    <mergeCell ref="B572:C572"/>
    <mergeCell ref="B573:C573"/>
    <mergeCell ref="B574:C574"/>
    <mergeCell ref="B575:C575"/>
    <mergeCell ref="B576:C576"/>
    <mergeCell ref="B577:C577"/>
    <mergeCell ref="B563:C563"/>
    <mergeCell ref="O563:O568"/>
    <mergeCell ref="B564:C564"/>
    <mergeCell ref="B565:C565"/>
    <mergeCell ref="B566:C566"/>
    <mergeCell ref="B567:C567"/>
    <mergeCell ref="B568:D568"/>
    <mergeCell ref="B553:C553"/>
    <mergeCell ref="B554:C554"/>
    <mergeCell ref="B555:C555"/>
    <mergeCell ref="B556:D556"/>
    <mergeCell ref="B559:O559"/>
    <mergeCell ref="E561:M561"/>
    <mergeCell ref="B562:C562"/>
    <mergeCell ref="B540:C540"/>
    <mergeCell ref="B541:C541"/>
    <mergeCell ref="B542:C542"/>
    <mergeCell ref="B543:C543"/>
    <mergeCell ref="B544:C544"/>
    <mergeCell ref="B545:C545"/>
    <mergeCell ref="B546:C546"/>
    <mergeCell ref="E527:N527"/>
    <mergeCell ref="B551:C551"/>
    <mergeCell ref="B530:C530"/>
    <mergeCell ref="B532:C532"/>
    <mergeCell ref="B531:C531"/>
    <mergeCell ref="B528:C528"/>
    <mergeCell ref="B549:C549"/>
    <mergeCell ref="B550:C550"/>
    <mergeCell ref="B529:C529"/>
    <mergeCell ref="B533:D533"/>
    <mergeCell ref="B534:C534"/>
    <mergeCell ref="B539:C539"/>
    <mergeCell ref="B547:O547"/>
    <mergeCell ref="B548:C548"/>
    <mergeCell ref="B538:C538"/>
    <mergeCell ref="B517:C517"/>
    <mergeCell ref="B518:C518"/>
    <mergeCell ref="B519:C519"/>
    <mergeCell ref="B521:C521"/>
    <mergeCell ref="B525:O525"/>
    <mergeCell ref="B520:C520"/>
    <mergeCell ref="B522:C522"/>
    <mergeCell ref="B515:C515"/>
    <mergeCell ref="B503:C503"/>
    <mergeCell ref="B504:C504"/>
    <mergeCell ref="B505:C505"/>
    <mergeCell ref="B507:C507"/>
    <mergeCell ref="B508:C508"/>
    <mergeCell ref="B509:C509"/>
    <mergeCell ref="B510:C510"/>
    <mergeCell ref="B511:C511"/>
    <mergeCell ref="B512:C512"/>
    <mergeCell ref="B506:C506"/>
    <mergeCell ref="B516:C516"/>
    <mergeCell ref="B513:C513"/>
    <mergeCell ref="B514:C514"/>
    <mergeCell ref="E495:K495"/>
    <mergeCell ref="B496:C496"/>
    <mergeCell ref="B451:C451"/>
    <mergeCell ref="B490:C490"/>
    <mergeCell ref="E461:G461"/>
    <mergeCell ref="H439:I439"/>
    <mergeCell ref="B443:C443"/>
    <mergeCell ref="D6:E6"/>
    <mergeCell ref="F6:G6"/>
    <mergeCell ref="H6:I6"/>
    <mergeCell ref="B10:O10"/>
    <mergeCell ref="B114:O114"/>
    <mergeCell ref="B165:O165"/>
    <mergeCell ref="B207:O207"/>
    <mergeCell ref="B245:O245"/>
    <mergeCell ref="B289:O289"/>
    <mergeCell ref="J6:K6"/>
    <mergeCell ref="B8:C8"/>
    <mergeCell ref="B444:C444"/>
    <mergeCell ref="B452:C452"/>
    <mergeCell ref="B453:C453"/>
    <mergeCell ref="B454:C454"/>
    <mergeCell ref="B456:C456"/>
    <mergeCell ref="B447:C447"/>
    <mergeCell ref="D5:E5"/>
    <mergeCell ref="F5:G5"/>
    <mergeCell ref="H5:I5"/>
    <mergeCell ref="J5:K5"/>
    <mergeCell ref="L5:M5"/>
    <mergeCell ref="D4:E4"/>
    <mergeCell ref="F4:G4"/>
    <mergeCell ref="H4:I4"/>
    <mergeCell ref="J4:K4"/>
    <mergeCell ref="B2:O2"/>
    <mergeCell ref="B437:O437"/>
    <mergeCell ref="H14:I14"/>
    <mergeCell ref="L94:N94"/>
    <mergeCell ref="L4:M4"/>
    <mergeCell ref="K27:M27"/>
    <mergeCell ref="H416:I416"/>
    <mergeCell ref="H385:J385"/>
    <mergeCell ref="L338:M338"/>
    <mergeCell ref="H339:J339"/>
    <mergeCell ref="H94:J94"/>
    <mergeCell ref="H118:I118"/>
    <mergeCell ref="N293:O293"/>
    <mergeCell ref="H312:I312"/>
    <mergeCell ref="K14:L14"/>
    <mergeCell ref="N14:O14"/>
    <mergeCell ref="N5:O5"/>
    <mergeCell ref="L6:M6"/>
    <mergeCell ref="N118:O118"/>
    <mergeCell ref="H141:J141"/>
    <mergeCell ref="H249:I249"/>
    <mergeCell ref="H326:I326"/>
    <mergeCell ref="L188:M188"/>
    <mergeCell ref="N4:O4"/>
    <mergeCell ref="Q14:R14"/>
    <mergeCell ref="B439:C440"/>
    <mergeCell ref="D439:F439"/>
    <mergeCell ref="L37:M37"/>
    <mergeCell ref="H38:J38"/>
    <mergeCell ref="K118:L118"/>
    <mergeCell ref="K326:L326"/>
    <mergeCell ref="K249:L249"/>
    <mergeCell ref="N249:O249"/>
    <mergeCell ref="H199:J199"/>
    <mergeCell ref="L199:N199"/>
    <mergeCell ref="P198:Q198"/>
    <mergeCell ref="O26:P26"/>
    <mergeCell ref="L140:M140"/>
    <mergeCell ref="P93:Q93"/>
    <mergeCell ref="Q249:R249"/>
    <mergeCell ref="B322:O322"/>
    <mergeCell ref="L385:N385"/>
    <mergeCell ref="H74:J74"/>
    <mergeCell ref="H189:J189"/>
    <mergeCell ref="Q118:R118"/>
    <mergeCell ref="H64:J64"/>
    <mergeCell ref="K293:L293"/>
    <mergeCell ref="L73:M73"/>
    <mergeCell ref="BH37:BK37"/>
    <mergeCell ref="BH38:BH39"/>
    <mergeCell ref="BI38:BI39"/>
    <mergeCell ref="BJ38:BJ39"/>
    <mergeCell ref="BK38:BK39"/>
    <mergeCell ref="AJ74:AL74"/>
    <mergeCell ref="AM74:AO74"/>
    <mergeCell ref="AP74:AR74"/>
    <mergeCell ref="AS74:AU74"/>
    <mergeCell ref="AG72:AX72"/>
    <mergeCell ref="AG73:AR73"/>
    <mergeCell ref="AG74:AI74"/>
    <mergeCell ref="AJ64:AL64"/>
    <mergeCell ref="AG62:AX62"/>
    <mergeCell ref="AG64:AI64"/>
    <mergeCell ref="AS63:AU63"/>
    <mergeCell ref="AG63:AR63"/>
    <mergeCell ref="AV38:AW38"/>
    <mergeCell ref="BH74:BH75"/>
    <mergeCell ref="BI74:BI75"/>
    <mergeCell ref="BK74:BK75"/>
    <mergeCell ref="BK64:BK65"/>
    <mergeCell ref="AV74:AW74"/>
    <mergeCell ref="BI64:BI65"/>
    <mergeCell ref="AG83:AR83"/>
    <mergeCell ref="AS83:AU83"/>
    <mergeCell ref="AV131:AW131"/>
    <mergeCell ref="AM131:AO131"/>
    <mergeCell ref="AP131:AR131"/>
    <mergeCell ref="AS131:AU131"/>
    <mergeCell ref="AG131:AI131"/>
    <mergeCell ref="AJ131:AL131"/>
    <mergeCell ref="AG93:AR93"/>
    <mergeCell ref="AS93:AU93"/>
    <mergeCell ref="AJ94:AL94"/>
    <mergeCell ref="AM94:AO94"/>
    <mergeCell ref="AP94:AR94"/>
    <mergeCell ref="AS94:AU94"/>
    <mergeCell ref="AG94:AI94"/>
    <mergeCell ref="AV94:AW94"/>
    <mergeCell ref="AM84:AO84"/>
    <mergeCell ref="AG92:AX92"/>
    <mergeCell ref="AG84:AI84"/>
    <mergeCell ref="AJ84:AL84"/>
    <mergeCell ref="AV84:AW84"/>
    <mergeCell ref="AS117:AU117"/>
    <mergeCell ref="AG118:AI118"/>
    <mergeCell ref="AG101:AX101"/>
    <mergeCell ref="AP326:AR326"/>
    <mergeCell ref="AS326:AU326"/>
    <mergeCell ref="AJ326:AL326"/>
    <mergeCell ref="AH394:AK394"/>
    <mergeCell ref="X310:AD310"/>
    <mergeCell ref="AG337:AX337"/>
    <mergeCell ref="AM326:AO326"/>
    <mergeCell ref="AP339:AR339"/>
    <mergeCell ref="AS339:AU339"/>
    <mergeCell ref="AS312:AU312"/>
    <mergeCell ref="AS338:AU338"/>
    <mergeCell ref="X363:AD363"/>
    <mergeCell ref="AG363:AX363"/>
    <mergeCell ref="AG338:AR338"/>
    <mergeCell ref="X337:AD337"/>
    <mergeCell ref="AS103:AU103"/>
    <mergeCell ref="AP103:AR103"/>
    <mergeCell ref="AM103:AO103"/>
    <mergeCell ref="AJ103:AL103"/>
    <mergeCell ref="AG103:AI103"/>
    <mergeCell ref="AJ219:AL219"/>
    <mergeCell ref="AM219:AO219"/>
    <mergeCell ref="AG116:AX116"/>
    <mergeCell ref="AG197:AX197"/>
    <mergeCell ref="AS198:AU198"/>
    <mergeCell ref="AP219:AR219"/>
    <mergeCell ref="AJ189:AL189"/>
    <mergeCell ref="AS210:AU210"/>
    <mergeCell ref="AG199:AI199"/>
    <mergeCell ref="AJ199:AL199"/>
    <mergeCell ref="AM199:AO199"/>
    <mergeCell ref="AH266:BE266"/>
    <mergeCell ref="Y228:Z228"/>
    <mergeCell ref="Y212:Z212"/>
    <mergeCell ref="X217:AA217"/>
    <mergeCell ref="Y219:Z219"/>
    <mergeCell ref="Y220:Z220"/>
    <mergeCell ref="AP302:AR302"/>
    <mergeCell ref="AG256:AX256"/>
    <mergeCell ref="AM258:AO258"/>
    <mergeCell ref="AG217:AX217"/>
    <mergeCell ref="AG225:AX225"/>
    <mergeCell ref="AP237:AR237"/>
    <mergeCell ref="BH426:BH427"/>
    <mergeCell ref="Y427:Z427"/>
    <mergeCell ref="AG424:AX424"/>
    <mergeCell ref="AG425:AR425"/>
    <mergeCell ref="AS425:AU425"/>
    <mergeCell ref="AG426:AI426"/>
    <mergeCell ref="AJ426:AL426"/>
    <mergeCell ref="AM426:AO426"/>
    <mergeCell ref="AP426:AR426"/>
    <mergeCell ref="AS426:AU426"/>
    <mergeCell ref="AV426:AW426"/>
    <mergeCell ref="BH415:BL415"/>
    <mergeCell ref="AG12:AX12"/>
    <mergeCell ref="AV27:AW27"/>
    <mergeCell ref="AS38:AU38"/>
    <mergeCell ref="AG36:AX36"/>
    <mergeCell ref="AG37:AR37"/>
    <mergeCell ref="AG13:AR13"/>
    <mergeCell ref="AM14:AO14"/>
    <mergeCell ref="AJ14:AL14"/>
    <mergeCell ref="AG14:AI14"/>
    <mergeCell ref="AP14:AR14"/>
    <mergeCell ref="AP27:AR27"/>
    <mergeCell ref="AS27:AU27"/>
    <mergeCell ref="AJ38:AL38"/>
    <mergeCell ref="AM38:AO38"/>
    <mergeCell ref="AP38:AR38"/>
    <mergeCell ref="AG25:AX25"/>
    <mergeCell ref="AG26:AR26"/>
    <mergeCell ref="AS13:AT13"/>
    <mergeCell ref="AS26:AU26"/>
    <mergeCell ref="AS302:AU302"/>
    <mergeCell ref="AV302:AW302"/>
    <mergeCell ref="AJ302:AL302"/>
    <mergeCell ref="AM302:AO302"/>
    <mergeCell ref="Y64:Z64"/>
    <mergeCell ref="Y65:Z65"/>
    <mergeCell ref="Y84:Z84"/>
    <mergeCell ref="AP118:AR118"/>
    <mergeCell ref="Y169:Z169"/>
    <mergeCell ref="AJ118:AL118"/>
    <mergeCell ref="BH394:BH395"/>
    <mergeCell ref="Y395:Z395"/>
    <mergeCell ref="BK365:BK366"/>
    <mergeCell ref="Y303:Z303"/>
    <mergeCell ref="AP258:AR258"/>
    <mergeCell ref="AS258:AU258"/>
    <mergeCell ref="Y280:Z280"/>
    <mergeCell ref="Y293:Z293"/>
    <mergeCell ref="X291:AD291"/>
    <mergeCell ref="AS237:AU237"/>
    <mergeCell ref="AL268:AO268"/>
    <mergeCell ref="AH268:AK268"/>
    <mergeCell ref="AH267:AW267"/>
    <mergeCell ref="Y211:Z211"/>
    <mergeCell ref="Y238:Z238"/>
    <mergeCell ref="Y250:Z250"/>
    <mergeCell ref="AP199:AR199"/>
    <mergeCell ref="AG219:AI219"/>
    <mergeCell ref="N326:O326"/>
    <mergeCell ref="E603:M603"/>
    <mergeCell ref="Q326:R326"/>
    <mergeCell ref="Q293:R293"/>
    <mergeCell ref="Y394:Z394"/>
    <mergeCell ref="AV14:AW14"/>
    <mergeCell ref="AS14:AT14"/>
    <mergeCell ref="AG27:AI27"/>
    <mergeCell ref="AJ27:AL27"/>
    <mergeCell ref="AM27:AO27"/>
    <mergeCell ref="Y199:Z199"/>
    <mergeCell ref="Y227:Z227"/>
    <mergeCell ref="X225:AA225"/>
    <mergeCell ref="X116:AC116"/>
    <mergeCell ref="AS37:AU37"/>
    <mergeCell ref="AG38:AI38"/>
    <mergeCell ref="Y27:Z27"/>
    <mergeCell ref="Y28:Z28"/>
    <mergeCell ref="X36:AD36"/>
    <mergeCell ref="Y38:Z38"/>
    <mergeCell ref="Y39:Z39"/>
    <mergeCell ref="Y74:Z74"/>
    <mergeCell ref="Y75:Z75"/>
    <mergeCell ref="X92:AD92"/>
    <mergeCell ref="B461:D462"/>
    <mergeCell ref="Y416:Z416"/>
    <mergeCell ref="X25:AD25"/>
    <mergeCell ref="H293:I293"/>
    <mergeCell ref="X209:AA209"/>
    <mergeCell ref="H51:J51"/>
    <mergeCell ref="B604:C604"/>
    <mergeCell ref="B605:C605"/>
    <mergeCell ref="AG129:AX129"/>
    <mergeCell ref="AG130:AR130"/>
    <mergeCell ref="AS130:AU130"/>
    <mergeCell ref="Y406:Z406"/>
    <mergeCell ref="AM416:AO416"/>
    <mergeCell ref="AP416:AR416"/>
    <mergeCell ref="AS416:AU416"/>
    <mergeCell ref="AG257:AR257"/>
    <mergeCell ref="AS257:AU257"/>
    <mergeCell ref="AM339:AO339"/>
    <mergeCell ref="AG339:AI339"/>
    <mergeCell ref="AJ339:AL339"/>
    <mergeCell ref="X235:AD235"/>
    <mergeCell ref="AV258:AW258"/>
    <mergeCell ref="Y170:Z170"/>
    <mergeCell ref="X300:AA300"/>
    <mergeCell ref="B101:C101"/>
    <mergeCell ref="BI84:BI85"/>
    <mergeCell ref="Y103:Z103"/>
    <mergeCell ref="X72:AD72"/>
    <mergeCell ref="X12:AC12"/>
    <mergeCell ref="B611:C611"/>
    <mergeCell ref="N6:O6"/>
    <mergeCell ref="B608:C608"/>
    <mergeCell ref="B609:C609"/>
    <mergeCell ref="B610:C610"/>
    <mergeCell ref="B606:C606"/>
    <mergeCell ref="B607:C607"/>
    <mergeCell ref="AA13:AC13"/>
    <mergeCell ref="Y14:Z14"/>
    <mergeCell ref="Y15:Z15"/>
    <mergeCell ref="X62:AD62"/>
    <mergeCell ref="X82:AD82"/>
    <mergeCell ref="Y118:Z118"/>
    <mergeCell ref="Y119:Z119"/>
    <mergeCell ref="Y94:Z94"/>
    <mergeCell ref="Y95:Z95"/>
    <mergeCell ref="X424:AD424"/>
    <mergeCell ref="X197:AD197"/>
    <mergeCell ref="AP84:AR84"/>
    <mergeCell ref="AS84:AU84"/>
    <mergeCell ref="BH168:BI168"/>
    <mergeCell ref="BH102:BN102"/>
    <mergeCell ref="BH64:BH65"/>
    <mergeCell ref="BJ64:BJ65"/>
    <mergeCell ref="AM64:AO64"/>
    <mergeCell ref="AP64:AR64"/>
    <mergeCell ref="AS64:AU64"/>
    <mergeCell ref="AV64:AW64"/>
    <mergeCell ref="BH131:BH132"/>
    <mergeCell ref="BH130:BI130"/>
    <mergeCell ref="AG82:AX82"/>
    <mergeCell ref="AG102:AR102"/>
    <mergeCell ref="AG140:AR140"/>
    <mergeCell ref="AM118:AO118"/>
    <mergeCell ref="AG139:AX139"/>
    <mergeCell ref="AS140:AU140"/>
    <mergeCell ref="AV141:AW141"/>
    <mergeCell ref="AG168:AR168"/>
    <mergeCell ref="AS168:AU168"/>
    <mergeCell ref="AG167:AX167"/>
    <mergeCell ref="AS141:AU141"/>
    <mergeCell ref="AV103:AW103"/>
    <mergeCell ref="AS102:AU102"/>
    <mergeCell ref="X129:AA129"/>
    <mergeCell ref="Y131:Z131"/>
    <mergeCell ref="Y132:Z132"/>
    <mergeCell ref="AP141:AR141"/>
    <mergeCell ref="Y85:Z85"/>
    <mergeCell ref="BH404:BL404"/>
    <mergeCell ref="H394:K394"/>
    <mergeCell ref="BB394:BE394"/>
    <mergeCell ref="AX393:BA393"/>
    <mergeCell ref="AX394:BA394"/>
    <mergeCell ref="AT394:AW394"/>
    <mergeCell ref="AP394:AS394"/>
    <mergeCell ref="AL394:AO394"/>
    <mergeCell ref="BI103:BK103"/>
    <mergeCell ref="BL103:BN103"/>
    <mergeCell ref="H103:J103"/>
    <mergeCell ref="L103:N103"/>
    <mergeCell ref="O103:Q103"/>
    <mergeCell ref="Y104:Z104"/>
    <mergeCell ref="BH103:BH104"/>
    <mergeCell ref="BH118:BH119"/>
    <mergeCell ref="AS118:AU118"/>
    <mergeCell ref="AG117:AR117"/>
    <mergeCell ref="AV118:AW118"/>
    <mergeCell ref="J405:M405"/>
    <mergeCell ref="BB405:BE405"/>
    <mergeCell ref="AX404:BA404"/>
    <mergeCell ref="AX405:BA405"/>
    <mergeCell ref="AT405:AW405"/>
    <mergeCell ref="AP405:AS405"/>
    <mergeCell ref="AL405:AO405"/>
    <mergeCell ref="AH403:BE403"/>
    <mergeCell ref="AH404:AW404"/>
    <mergeCell ref="BP249:BS249"/>
    <mergeCell ref="BH325:BP325"/>
    <mergeCell ref="BP293:BS293"/>
    <mergeCell ref="BH292:BS292"/>
    <mergeCell ref="BH248:BS248"/>
    <mergeCell ref="BH117:BP117"/>
    <mergeCell ref="BI118:BL118"/>
    <mergeCell ref="AH392:BE392"/>
    <mergeCell ref="AH393:AW393"/>
    <mergeCell ref="BH393:BL393"/>
    <mergeCell ref="AM141:AO141"/>
    <mergeCell ref="AJ141:AL141"/>
    <mergeCell ref="BH338:BK338"/>
    <mergeCell ref="BH339:BH340"/>
    <mergeCell ref="BI339:BI340"/>
    <mergeCell ref="BJ339:BJ340"/>
    <mergeCell ref="BK339:BK340"/>
    <mergeCell ref="BH384:BN384"/>
    <mergeCell ref="BL385:BN385"/>
    <mergeCell ref="BH374:BJ374"/>
    <mergeCell ref="BH302:BH303"/>
    <mergeCell ref="BI312:BJ313"/>
    <mergeCell ref="BH365:BH366"/>
    <mergeCell ref="BI365:BI366"/>
  </mergeCells>
  <phoneticPr fontId="7"/>
  <conditionalFormatting sqref="H248:R248">
    <cfRule type="containsErrors" dxfId="155" priority="86">
      <formula>ISERROR(H248)</formula>
    </cfRule>
  </conditionalFormatting>
  <conditionalFormatting sqref="H250:R250 H249 J249:K249 M249:N249 P249:Q249">
    <cfRule type="containsErrors" dxfId="154" priority="82">
      <formula>ISERROR(H249)</formula>
    </cfRule>
  </conditionalFormatting>
  <conditionalFormatting sqref="H251:I252 K251:L252 N251:O252 Q251:R252">
    <cfRule type="containsErrors" dxfId="153" priority="80">
      <formula>ISERROR(H251)</formula>
    </cfRule>
  </conditionalFormatting>
  <conditionalFormatting sqref="H294:R294">
    <cfRule type="containsErrors" dxfId="152" priority="76">
      <formula>ISERROR(H294)</formula>
    </cfRule>
  </conditionalFormatting>
  <conditionalFormatting sqref="H295:I296 K295:L296 N295:O296 Q295:R296">
    <cfRule type="containsErrors" dxfId="151" priority="74">
      <formula>ISERROR(H295)</formula>
    </cfRule>
  </conditionalFormatting>
  <conditionalFormatting sqref="H293 J293:K293 M293:N293 P293:Q293">
    <cfRule type="containsErrors" dxfId="150" priority="73">
      <formula>ISERROR(H293)</formula>
    </cfRule>
  </conditionalFormatting>
  <conditionalFormatting sqref="H314:I316">
    <cfRule type="containsErrors" dxfId="149" priority="71">
      <formula>ISERROR(H314)</formula>
    </cfRule>
  </conditionalFormatting>
  <conditionalFormatting sqref="H239:I241">
    <cfRule type="containsErrors" dxfId="148" priority="49">
      <formula>ISERROR(H239)</formula>
    </cfRule>
  </conditionalFormatting>
  <conditionalFormatting sqref="H16:R21">
    <cfRule type="containsErrors" dxfId="147" priority="54">
      <formula>ISERROR(H16)</formula>
    </cfRule>
  </conditionalFormatting>
  <conditionalFormatting sqref="K16:L21">
    <cfRule type="containsErrors" dxfId="146" priority="53">
      <formula>ISERROR(K16)</formula>
    </cfRule>
  </conditionalFormatting>
  <conditionalFormatting sqref="N16:O21">
    <cfRule type="containsErrors" dxfId="145" priority="52">
      <formula>ISERROR(N16)</formula>
    </cfRule>
  </conditionalFormatting>
  <conditionalFormatting sqref="Q16:R21">
    <cfRule type="containsErrors" dxfId="144" priority="51">
      <formula>ISERROR(Q16)</formula>
    </cfRule>
  </conditionalFormatting>
  <conditionalFormatting sqref="H418:I420">
    <cfRule type="containsErrors" dxfId="143" priority="19">
      <formula>ISERROR(H418)</formula>
    </cfRule>
  </conditionalFormatting>
  <conditionalFormatting sqref="H428:I430">
    <cfRule type="containsErrors" dxfId="142" priority="16">
      <formula>ISERROR(H428)</formula>
    </cfRule>
  </conditionalFormatting>
  <conditionalFormatting sqref="L428:L430">
    <cfRule type="containsErrors" dxfId="141" priority="15">
      <formula>ISERROR(L428)</formula>
    </cfRule>
  </conditionalFormatting>
  <conditionalFormatting sqref="H105:I107">
    <cfRule type="containsErrors" dxfId="140" priority="13">
      <formula>ISERROR(H105)</formula>
    </cfRule>
  </conditionalFormatting>
  <conditionalFormatting sqref="K328:L333">
    <cfRule type="cellIs" dxfId="139" priority="11" operator="equal">
      <formula>0</formula>
    </cfRule>
  </conditionalFormatting>
  <conditionalFormatting sqref="N328:O333">
    <cfRule type="cellIs" dxfId="138" priority="10" operator="equal">
      <formula>0</formula>
    </cfRule>
  </conditionalFormatting>
  <conditionalFormatting sqref="Q328:R333">
    <cfRule type="cellIs" dxfId="137" priority="9" operator="equal">
      <formula>0</formula>
    </cfRule>
  </conditionalFormatting>
  <conditionalFormatting sqref="K120:L125">
    <cfRule type="cellIs" dxfId="136" priority="8" operator="equal">
      <formula>0</formula>
    </cfRule>
  </conditionalFormatting>
  <conditionalFormatting sqref="N120:O125">
    <cfRule type="cellIs" dxfId="135" priority="7" operator="equal">
      <formula>0</formula>
    </cfRule>
  </conditionalFormatting>
  <conditionalFormatting sqref="Q120:R125">
    <cfRule type="cellIs" dxfId="134" priority="6" operator="equal">
      <formula>0</formula>
    </cfRule>
  </conditionalFormatting>
  <conditionalFormatting sqref="H16:I21 K16:L21 N16:O21 Q16:R21">
    <cfRule type="cellIs" dxfId="133" priority="5" operator="equal">
      <formula>0</formula>
    </cfRule>
  </conditionalFormatting>
  <conditionalFormatting sqref="J105:J107">
    <cfRule type="containsErrors" dxfId="132" priority="4">
      <formula>ISERROR(J105)</formula>
    </cfRule>
  </conditionalFormatting>
  <conditionalFormatting sqref="J239:J241">
    <cfRule type="containsErrors" dxfId="131" priority="3">
      <formula>ISERROR(J239)</formula>
    </cfRule>
  </conditionalFormatting>
  <conditionalFormatting sqref="M428:M430">
    <cfRule type="containsErrors" dxfId="130" priority="2">
      <formula>ISERROR(M428)</formula>
    </cfRule>
  </conditionalFormatting>
  <conditionalFormatting sqref="N428:N430">
    <cfRule type="containsErrors" dxfId="129" priority="1">
      <formula>ISERROR(N428)</formula>
    </cfRule>
  </conditionalFormatting>
  <dataValidations count="17">
    <dataValidation allowBlank="1" showInputMessage="1" showErrorMessage="1" sqref="C29:C32 C66:C68 C86:C88 C96:C97 C428:C430 C174:C175 C196 C143:C161 C232:C233 C270:C273 C281:C284 C314:C316 C201:C202 C341:C359 C372 C377:C379 C382 C387:C388 C407:C410 C76:C78 C129:C132 C136:C137 C300:C303 C40:C58 C167:C170 C191:C193 C256:C259 C263:C264 C239:C241 C307:C308 C105:C107 C225:C228 C418:C420 C181:C183 C367:C369 C396:C399" xr:uid="{00000000-0002-0000-0A00-000000000000}"/>
    <dataValidation type="list" allowBlank="1" showInputMessage="1" showErrorMessage="1" sqref="F382 F387:F388 F377:F379 F372 F341:F343 F156:F161 F86:F88 F181:F183 F314:F316 F96:F97 F281:F284 F270:F273 F120:F125 F29:F32 F66:F68 F396:F399 F148:F153 F40:F42 F16:F21 F328:F333 F191:F193 F143:F145 F201:F202 F76:F78 F53:F58 F45:F50 F196 F354:F359 F346:F351 F367:F369 F407:F410 F418:F420" xr:uid="{00000000-0002-0000-0A00-000001000000}">
      <formula1>Liste_Deplacements</formula1>
    </dataValidation>
    <dataValidation type="list" allowBlank="1" showInputMessage="1" showErrorMessage="1" sqref="F229:F231 F428:F430 F304:F306 F133:F135 F260:F262 F171:F173 F239:F241 F105:F107" xr:uid="{00000000-0002-0000-0A00-000002000000}">
      <formula1>Liste_Deplacements_bis</formula1>
    </dataValidation>
    <dataValidation type="list" allowBlank="1" showInputMessage="1" showErrorMessage="1" sqref="F213" xr:uid="{00000000-0002-0000-0A00-000003000000}">
      <formula1>Liste_Deplacements_ter</formula1>
    </dataValidation>
    <dataValidation type="list" allowBlank="1" showInputMessage="1" showErrorMessage="1" sqref="B16:B21 B120:B125 B328:B333" xr:uid="{00000000-0002-0000-0A00-000004000000}">
      <formula1>FE_Déplacements_Carburants</formula1>
    </dataValidation>
    <dataValidation type="list" allowBlank="1" showInputMessage="1" showErrorMessage="1" sqref="Y16:Y21 Y29:Y32 Y66:Y69 Y76:Y78 Y86:Y88 Y96:Y97 Y428:Y430 Y120:Y125 Y133:Y135 Y418:Y421 Y171:Y173 Y196 Y156:Y161 Y191:Y193 Y213 Y221 Y229:Y231 Y239:Y241 Y251:Y252 Y260:Y262 Y270:Y273 Y281:Y284 Y295:Y296 Y304:Y306 Y314:Y317 Y328:Y333 Y40:Y48 Y181:Y184 Y372 Y377:Y380 Y382 Y387:Y388 Y407:Y410 Y53:Y58 Y201:Y202 Y341:Y349 Y367:Y369 Y143:Y151 Y354:Y359 Y396:Y399 Y105:Y107" xr:uid="{00000000-0002-0000-0A00-000005000000}">
      <formula1>Choix_Incertitudes</formula1>
    </dataValidation>
    <dataValidation type="list" allowBlank="1" showInputMessage="1" showErrorMessage="1" sqref="B29:B32" xr:uid="{00000000-0002-0000-0A00-000006000000}">
      <formula1>FE_Déplacements_Parcours</formula1>
    </dataValidation>
    <dataValidation type="list" allowBlank="1" showInputMessage="1" showErrorMessage="1" sqref="B341:B343 B40:B42 B143:B145" xr:uid="{00000000-0002-0000-0A00-000007000000}">
      <formula1>FE_Déplacements_Voiture_moyenne_parc</formula1>
    </dataValidation>
    <dataValidation type="list" allowBlank="1" showInputMessage="1" showErrorMessage="1" sqref="B201:B202 B96:B97 B382 B387:B388" xr:uid="{00000000-0002-0000-0A00-000008000000}">
      <formula1>FE_Déplacements_Deux_roues</formula1>
    </dataValidation>
    <dataValidation type="list" allowBlank="1" showInputMessage="1" showErrorMessage="1" sqref="B53:B58 B156:B161 B354:B359" xr:uid="{00000000-0002-0000-0A00-000009000000}">
      <formula1>FE_Déplacements_Voiture_particulière_usage</formula1>
    </dataValidation>
    <dataValidation type="list" allowBlank="1" showInputMessage="1" showErrorMessage="1" sqref="B239:B241 B428:B430 B105:B107" xr:uid="{00000000-0002-0000-0A00-00000A000000}">
      <formula1>FE_Déplacements_Train</formula1>
    </dataValidation>
    <dataValidation type="list" allowBlank="1" showInputMessage="1" showErrorMessage="1" sqref="B251:B252 B295:B296" xr:uid="{00000000-0002-0000-0A00-00000B000000}">
      <formula1>FE_Energie_Liquides</formula1>
    </dataValidation>
    <dataValidation type="list" allowBlank="1" showInputMessage="1" showErrorMessage="1" sqref="F251:F252 F295:F296" xr:uid="{00000000-0002-0000-0A00-00000C000000}">
      <formula1>Liste_Energie</formula1>
    </dataValidation>
    <dataValidation type="list" allowBlank="1" showInputMessage="1" showErrorMessage="1" sqref="B270:B273 B281:B284 B396:B399 B407:B410" xr:uid="{00000000-0002-0000-0A00-00000D000000}">
      <formula1>FE_Déplacements_Aérien</formula1>
    </dataValidation>
    <dataValidation type="list" allowBlank="1" showInputMessage="1" showErrorMessage="1" sqref="B314:B316 B418:B420" xr:uid="{00000000-0002-0000-0A00-00000E000000}">
      <formula1>FE_Déplacements_Maritime_Fluvial</formula1>
    </dataValidation>
    <dataValidation type="list" allowBlank="1" showInputMessage="1" showErrorMessage="1" sqref="B346:B350 B45:B49 B148:B152" xr:uid="{00000000-0002-0000-0A00-00000F000000}">
      <formula1>FE_Déplacements_Voiture_particulière_gamme</formula1>
    </dataValidation>
    <dataValidation type="list" allowBlank="1" showInputMessage="1" showErrorMessage="1" sqref="B86:B88 B367:B369 B66:B68 B76:B78 B196 B181:B183 B191:B193 B372 B377:B379" xr:uid="{00000000-0002-0000-0A00-000010000000}">
      <formula1>FE_Déplacements_Autobus_autocar</formula1>
    </dataValidation>
  </dataValidations>
  <hyperlinks>
    <hyperlink ref="D4" location="deplacements_domicile_travail" display="domicile-travail" xr:uid="{00000000-0004-0000-0A00-000000000000}"/>
    <hyperlink ref="F4" location="deplacements_salaries_voiture" display="voiture" xr:uid="{00000000-0004-0000-0A00-000001000000}"/>
    <hyperlink ref="H4" location="deplacements_salaries_autre_route" display="autre route" xr:uid="{00000000-0004-0000-0A00-000002000000}"/>
    <hyperlink ref="J4" location="deplacements_salaries_train" display="train" xr:uid="{00000000-0004-0000-0A00-000003000000}"/>
    <hyperlink ref="L4" location="deplacements_salaries_avion" display="avion" xr:uid="{00000000-0004-0000-0A00-000004000000}"/>
    <hyperlink ref="N4" location="deplacements_salaries_bateau" display="bateau" xr:uid="{00000000-0004-0000-0A00-000005000000}"/>
    <hyperlink ref="D5" location="deplacements_visiteurs" display="visiteurs" xr:uid="{00000000-0004-0000-0A00-000006000000}"/>
    <hyperlink ref="D6" location="deplacements_recap" display="total" xr:uid="{00000000-0004-0000-0A00-000007000000}"/>
    <hyperlink ref="F6" location="deplacements_sous_postes" display="sous-postes" xr:uid="{00000000-0004-0000-0A00-000008000000}"/>
    <hyperlink ref="H6" location="déplacements_bilanGES" display="bilan GES" xr:uid="{00000000-0004-0000-0A00-000009000000}"/>
    <hyperlink ref="J6:K6" location="Déplacements!B525" display="GHG Protocol" xr:uid="{00000000-0004-0000-0A00-00000A000000}"/>
    <hyperlink ref="L6:M6" location="Déplacements!B559" display="ISO 14069" xr:uid="{00000000-0004-0000-0A00-00000B000000}"/>
    <hyperlink ref="N6:O6" location="'CDP 2018'!A1" display="CDP" xr:uid="{00000000-0004-0000-0A00-00000C000000}"/>
    <hyperlink ref="N5:O5" location="Descriptif!A1" display="Descriptif" xr:uid="{00000000-0004-0000-0A00-00000D000000}"/>
  </hyperlinks>
  <pageMargins left="0.78740157499999996" right="0.78740157499999996" top="0.984251969" bottom="0.984251969" header="0.4921259845" footer="0.4921259845"/>
  <pageSetup paperSize="9" orientation="portrait" horizontalDpi="4294967292" verticalDpi="4294967292" r:id="rId1"/>
  <headerFooter alignWithMargins="0"/>
  <ignoredErrors>
    <ignoredError sqref="D552:D554" twoDigitTextYear="1"/>
    <ignoredError sqref="AO275"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1" id="{9974D000-89E2-4815-AF97-84A319D8DEA1}">
            <xm:f>$Y16=Utilitaires!$N$572</xm:f>
            <x14:dxf>
              <fill>
                <patternFill>
                  <bgColor theme="0"/>
                </patternFill>
              </fill>
              <border>
                <left style="thin">
                  <color auto="1"/>
                </left>
                <right style="thin">
                  <color auto="1"/>
                </right>
                <top style="thin">
                  <color auto="1"/>
                </top>
                <bottom style="thin">
                  <color auto="1"/>
                </bottom>
                <vertical/>
                <horizontal/>
              </border>
            </x14:dxf>
          </x14:cfRule>
          <xm:sqref>Z16:Z21 Z47:Z58 Z76:Z78 Z196 Z382</xm:sqref>
        </x14:conditionalFormatting>
        <x14:conditionalFormatting xmlns:xm="http://schemas.microsoft.com/office/excel/2006/main">
          <x14:cfRule type="expression" priority="109" id="{51421A7A-D802-4888-8054-BAF8163E6971}">
            <xm:f>$Y29=Utilitaires!$N$572</xm:f>
            <x14:dxf>
              <fill>
                <patternFill>
                  <bgColor theme="0"/>
                </patternFill>
              </fill>
              <border>
                <left style="thin">
                  <color auto="1"/>
                </left>
                <right style="thin">
                  <color auto="1"/>
                </right>
                <top style="thin">
                  <color auto="1"/>
                </top>
                <bottom style="thin">
                  <color auto="1"/>
                </bottom>
                <vertical/>
                <horizontal/>
              </border>
            </x14:dxf>
          </x14:cfRule>
          <xm:sqref>Z29:Z32</xm:sqref>
        </x14:conditionalFormatting>
        <x14:conditionalFormatting xmlns:xm="http://schemas.microsoft.com/office/excel/2006/main">
          <x14:cfRule type="expression" priority="107" id="{BB557860-017C-4734-A6EC-D032F3A4A434}">
            <xm:f>$Y40=Utilitaires!$N$572</xm:f>
            <x14:dxf>
              <fill>
                <patternFill>
                  <bgColor theme="0"/>
                </patternFill>
              </fill>
              <border>
                <left style="thin">
                  <color auto="1"/>
                </left>
                <right style="thin">
                  <color auto="1"/>
                </right>
                <top style="thin">
                  <color auto="1"/>
                </top>
                <bottom style="thin">
                  <color auto="1"/>
                </bottom>
                <vertical/>
                <horizontal/>
              </border>
            </x14:dxf>
          </x14:cfRule>
          <xm:sqref>Z40:Z46</xm:sqref>
        </x14:conditionalFormatting>
        <x14:conditionalFormatting xmlns:xm="http://schemas.microsoft.com/office/excel/2006/main">
          <x14:cfRule type="expression" priority="105" id="{CDB22EAC-8E9C-456D-8C80-3FC094045BBA}">
            <xm:f>$Y66=Utilitaires!$N$572</xm:f>
            <x14:dxf>
              <fill>
                <patternFill>
                  <bgColor theme="0"/>
                </patternFill>
              </fill>
              <border>
                <left style="thin">
                  <color auto="1"/>
                </left>
                <right style="thin">
                  <color auto="1"/>
                </right>
                <top style="thin">
                  <color auto="1"/>
                </top>
                <bottom style="thin">
                  <color auto="1"/>
                </bottom>
                <vertical/>
                <horizontal/>
              </border>
            </x14:dxf>
          </x14:cfRule>
          <xm:sqref>Z66:Z69</xm:sqref>
        </x14:conditionalFormatting>
        <x14:conditionalFormatting xmlns:xm="http://schemas.microsoft.com/office/excel/2006/main">
          <x14:cfRule type="expression" priority="103" id="{552B05A5-38B6-4186-8001-29436012B75A}">
            <xm:f>$Y86=Utilitaires!$N$572</xm:f>
            <x14:dxf>
              <fill>
                <patternFill>
                  <bgColor theme="0"/>
                </patternFill>
              </fill>
              <border>
                <left style="thin">
                  <color auto="1"/>
                </left>
                <right style="thin">
                  <color auto="1"/>
                </right>
                <top style="thin">
                  <color auto="1"/>
                </top>
                <bottom style="thin">
                  <color auto="1"/>
                </bottom>
                <vertical/>
                <horizontal/>
              </border>
            </x14:dxf>
          </x14:cfRule>
          <xm:sqref>Z86:Z88</xm:sqref>
        </x14:conditionalFormatting>
        <x14:conditionalFormatting xmlns:xm="http://schemas.microsoft.com/office/excel/2006/main">
          <x14:cfRule type="expression" priority="102" id="{A3627C03-37AA-4725-AC23-D234C3685C6D}">
            <xm:f>$Y96=Utilitaires!$N$572</xm:f>
            <x14:dxf>
              <fill>
                <patternFill>
                  <bgColor theme="0"/>
                </patternFill>
              </fill>
              <border>
                <left style="thin">
                  <color auto="1"/>
                </left>
                <right style="thin">
                  <color auto="1"/>
                </right>
                <top style="thin">
                  <color auto="1"/>
                </top>
                <bottom style="thin">
                  <color auto="1"/>
                </bottom>
                <vertical/>
                <horizontal/>
              </border>
            </x14:dxf>
          </x14:cfRule>
          <xm:sqref>Z96:Z97</xm:sqref>
        </x14:conditionalFormatting>
        <x14:conditionalFormatting xmlns:xm="http://schemas.microsoft.com/office/excel/2006/main">
          <x14:cfRule type="expression" priority="99" id="{75CD1CAB-E806-4505-A87D-DB4C121BDB2C}">
            <xm:f>$Y120=Utilitaires!$N$572</xm:f>
            <x14:dxf>
              <fill>
                <patternFill>
                  <bgColor theme="0"/>
                </patternFill>
              </fill>
              <border>
                <left style="thin">
                  <color auto="1"/>
                </left>
                <right style="thin">
                  <color auto="1"/>
                </right>
                <top style="thin">
                  <color auto="1"/>
                </top>
                <bottom style="thin">
                  <color auto="1"/>
                </bottom>
                <vertical/>
                <horizontal/>
              </border>
            </x14:dxf>
          </x14:cfRule>
          <xm:sqref>Z120:Z125</xm:sqref>
        </x14:conditionalFormatting>
        <x14:conditionalFormatting xmlns:xm="http://schemas.microsoft.com/office/excel/2006/main">
          <x14:cfRule type="expression" priority="98" id="{7640E7CA-31CA-450E-B278-2CE165360874}">
            <xm:f>$Y133=Utilitaires!$N$572</xm:f>
            <x14:dxf>
              <fill>
                <patternFill>
                  <bgColor theme="0"/>
                </patternFill>
              </fill>
              <border>
                <left style="thin">
                  <color auto="1"/>
                </left>
                <right style="thin">
                  <color auto="1"/>
                </right>
                <top style="thin">
                  <color auto="1"/>
                </top>
                <bottom style="thin">
                  <color auto="1"/>
                </bottom>
                <vertical/>
                <horizontal/>
              </border>
            </x14:dxf>
          </x14:cfRule>
          <xm:sqref>Z133:Z135</xm:sqref>
        </x14:conditionalFormatting>
        <x14:conditionalFormatting xmlns:xm="http://schemas.microsoft.com/office/excel/2006/main">
          <x14:cfRule type="expression" priority="87" id="{7E8B0935-CA48-41BD-A99E-F6D9BF982F7D}">
            <xm:f>$Y239=Utilitaires!$N$572</xm:f>
            <x14:dxf>
              <fill>
                <patternFill>
                  <bgColor theme="0"/>
                </patternFill>
              </fill>
              <border>
                <left style="thin">
                  <color auto="1"/>
                </left>
                <right style="thin">
                  <color auto="1"/>
                </right>
                <top style="thin">
                  <color auto="1"/>
                </top>
                <bottom style="thin">
                  <color auto="1"/>
                </bottom>
                <vertical/>
                <horizontal/>
              </border>
            </x14:dxf>
          </x14:cfRule>
          <xm:sqref>Z239:Z241</xm:sqref>
        </x14:conditionalFormatting>
        <x14:conditionalFormatting xmlns:xm="http://schemas.microsoft.com/office/excel/2006/main">
          <x14:cfRule type="expression" priority="95" id="{78DCABF9-4072-4A88-B1C1-35676BF0FABD}">
            <xm:f>$Y171=Utilitaires!$N$572</xm:f>
            <x14:dxf>
              <fill>
                <patternFill>
                  <bgColor theme="0"/>
                </patternFill>
              </fill>
              <border>
                <left style="thin">
                  <color auto="1"/>
                </left>
                <right style="thin">
                  <color auto="1"/>
                </right>
                <top style="thin">
                  <color auto="1"/>
                </top>
                <bottom style="thin">
                  <color auto="1"/>
                </bottom>
                <vertical/>
                <horizontal/>
              </border>
            </x14:dxf>
          </x14:cfRule>
          <xm:sqref>Z171:Z173</xm:sqref>
        </x14:conditionalFormatting>
        <x14:conditionalFormatting xmlns:xm="http://schemas.microsoft.com/office/excel/2006/main">
          <x14:cfRule type="expression" priority="90" id="{96F03C36-B3EF-4B9A-A774-CC7807919F86}">
            <xm:f>$Y213=Utilitaires!$N$572</xm:f>
            <x14:dxf>
              <fill>
                <patternFill>
                  <bgColor theme="0"/>
                </patternFill>
              </fill>
              <border>
                <left style="thin">
                  <color auto="1"/>
                </left>
                <right style="thin">
                  <color auto="1"/>
                </right>
                <top style="thin">
                  <color auto="1"/>
                </top>
                <bottom style="thin">
                  <color auto="1"/>
                </bottom>
                <vertical/>
                <horizontal/>
              </border>
            </x14:dxf>
          </x14:cfRule>
          <xm:sqref>Z213</xm:sqref>
        </x14:conditionalFormatting>
        <x14:conditionalFormatting xmlns:xm="http://schemas.microsoft.com/office/excel/2006/main">
          <x14:cfRule type="expression" priority="89" id="{2847E9DC-CF72-4FD0-98C1-BC283D2792BB}">
            <xm:f>$Y221=Utilitaires!$N$572</xm:f>
            <x14:dxf>
              <fill>
                <patternFill>
                  <bgColor theme="0"/>
                </patternFill>
              </fill>
              <border>
                <left style="thin">
                  <color auto="1"/>
                </left>
                <right style="thin">
                  <color auto="1"/>
                </right>
                <top style="thin">
                  <color auto="1"/>
                </top>
                <bottom style="thin">
                  <color auto="1"/>
                </bottom>
                <vertical/>
                <horizontal/>
              </border>
            </x14:dxf>
          </x14:cfRule>
          <xm:sqref>Z221</xm:sqref>
        </x14:conditionalFormatting>
        <x14:conditionalFormatting xmlns:xm="http://schemas.microsoft.com/office/excel/2006/main">
          <x14:cfRule type="expression" priority="88" id="{98C71ED2-6CFF-42D3-BB81-A4A1E1B968D9}">
            <xm:f>$Y229=Utilitaires!$N$572</xm:f>
            <x14:dxf>
              <fill>
                <patternFill>
                  <bgColor theme="0"/>
                </patternFill>
              </fill>
              <border>
                <left style="thin">
                  <color auto="1"/>
                </left>
                <right style="thin">
                  <color auto="1"/>
                </right>
                <top style="thin">
                  <color auto="1"/>
                </top>
                <bottom style="thin">
                  <color auto="1"/>
                </bottom>
                <vertical/>
                <horizontal/>
              </border>
            </x14:dxf>
          </x14:cfRule>
          <xm:sqref>Z229:Z231</xm:sqref>
        </x14:conditionalFormatting>
        <x14:conditionalFormatting xmlns:xm="http://schemas.microsoft.com/office/excel/2006/main">
          <x14:cfRule type="expression" priority="81" id="{AD13FF7C-A455-46E3-8C74-BB61ED295D21}">
            <xm:f>$Y251=Utilitaires!$N$572</xm:f>
            <x14:dxf>
              <fill>
                <patternFill>
                  <bgColor theme="0"/>
                </patternFill>
              </fill>
              <border>
                <left style="thin">
                  <color auto="1"/>
                </left>
                <right style="thin">
                  <color auto="1"/>
                </right>
                <top style="thin">
                  <color auto="1"/>
                </top>
                <bottom style="thin">
                  <color auto="1"/>
                </bottom>
                <vertical/>
                <horizontal/>
              </border>
            </x14:dxf>
          </x14:cfRule>
          <xm:sqref>Z251:Z252</xm:sqref>
        </x14:conditionalFormatting>
        <x14:conditionalFormatting xmlns:xm="http://schemas.microsoft.com/office/excel/2006/main">
          <x14:cfRule type="expression" priority="79" id="{F17D1D76-0FC9-45EA-B2EB-0690DA743333}">
            <xm:f>$Y260=Utilitaires!$N$572</xm:f>
            <x14:dxf>
              <fill>
                <patternFill>
                  <bgColor theme="0"/>
                </patternFill>
              </fill>
              <border>
                <left style="thin">
                  <color auto="1"/>
                </left>
                <right style="thin">
                  <color auto="1"/>
                </right>
                <top style="thin">
                  <color auto="1"/>
                </top>
                <bottom style="thin">
                  <color auto="1"/>
                </bottom>
                <vertical/>
                <horizontal/>
              </border>
            </x14:dxf>
          </x14:cfRule>
          <xm:sqref>Z260:Z262</xm:sqref>
        </x14:conditionalFormatting>
        <x14:conditionalFormatting xmlns:xm="http://schemas.microsoft.com/office/excel/2006/main">
          <x14:cfRule type="expression" priority="78" id="{58C6C75A-1C0F-4D2B-8FC4-1A5CDA1A6C6D}">
            <xm:f>$Y270=Utilitaires!$N$572</xm:f>
            <x14:dxf>
              <fill>
                <patternFill>
                  <bgColor theme="0"/>
                </patternFill>
              </fill>
              <border>
                <left style="thin">
                  <color auto="1"/>
                </left>
                <right style="thin">
                  <color auto="1"/>
                </right>
                <top style="thin">
                  <color auto="1"/>
                </top>
                <bottom style="thin">
                  <color auto="1"/>
                </bottom>
                <vertical/>
                <horizontal/>
              </border>
            </x14:dxf>
          </x14:cfRule>
          <xm:sqref>Z270:Z273</xm:sqref>
        </x14:conditionalFormatting>
        <x14:conditionalFormatting xmlns:xm="http://schemas.microsoft.com/office/excel/2006/main">
          <x14:cfRule type="expression" priority="77" id="{750DE192-2EDD-40B2-BC5B-BC1AD868DC2D}">
            <xm:f>$Y281=Utilitaires!$N$572</xm:f>
            <x14:dxf>
              <fill>
                <patternFill>
                  <bgColor theme="0"/>
                </patternFill>
              </fill>
              <border>
                <left style="thin">
                  <color auto="1"/>
                </left>
                <right style="thin">
                  <color auto="1"/>
                </right>
                <top style="thin">
                  <color auto="1"/>
                </top>
                <bottom style="thin">
                  <color auto="1"/>
                </bottom>
                <vertical/>
                <horizontal/>
              </border>
            </x14:dxf>
          </x14:cfRule>
          <xm:sqref>Z281:Z284</xm:sqref>
        </x14:conditionalFormatting>
        <x14:conditionalFormatting xmlns:xm="http://schemas.microsoft.com/office/excel/2006/main">
          <x14:cfRule type="expression" priority="75" id="{D5FF11E4-287B-4855-8D1B-D10747316026}">
            <xm:f>$Y295=Utilitaires!$N$572</xm:f>
            <x14:dxf>
              <fill>
                <patternFill>
                  <bgColor theme="0"/>
                </patternFill>
              </fill>
              <border>
                <left style="thin">
                  <color auto="1"/>
                </left>
                <right style="thin">
                  <color auto="1"/>
                </right>
                <top style="thin">
                  <color auto="1"/>
                </top>
                <bottom style="thin">
                  <color auto="1"/>
                </bottom>
                <vertical/>
                <horizontal/>
              </border>
            </x14:dxf>
          </x14:cfRule>
          <xm:sqref>Z295:Z296</xm:sqref>
        </x14:conditionalFormatting>
        <x14:conditionalFormatting xmlns:xm="http://schemas.microsoft.com/office/excel/2006/main">
          <x14:cfRule type="expression" priority="72" id="{3610B7E5-B608-4CD7-9E9D-60ABE948552E}">
            <xm:f>$Y304=Utilitaires!$N$572</xm:f>
            <x14:dxf>
              <fill>
                <patternFill>
                  <bgColor theme="0"/>
                </patternFill>
              </fill>
              <border>
                <left style="thin">
                  <color auto="1"/>
                </left>
                <right style="thin">
                  <color auto="1"/>
                </right>
                <top style="thin">
                  <color auto="1"/>
                </top>
                <bottom style="thin">
                  <color auto="1"/>
                </bottom>
                <vertical/>
                <horizontal/>
              </border>
            </x14:dxf>
          </x14:cfRule>
          <xm:sqref>Z304:Z306</xm:sqref>
        </x14:conditionalFormatting>
        <x14:conditionalFormatting xmlns:xm="http://schemas.microsoft.com/office/excel/2006/main">
          <x14:cfRule type="expression" priority="70" id="{55F2E2C1-C8FA-4512-A309-36DF5FBB1CA4}">
            <xm:f>$Y314=Utilitaires!$N$572</xm:f>
            <x14:dxf>
              <fill>
                <patternFill>
                  <bgColor theme="0"/>
                </patternFill>
              </fill>
              <border>
                <left style="thin">
                  <color auto="1"/>
                </left>
                <right style="thin">
                  <color auto="1"/>
                </right>
                <top style="thin">
                  <color auto="1"/>
                </top>
                <bottom style="thin">
                  <color auto="1"/>
                </bottom>
                <vertical/>
                <horizontal/>
              </border>
            </x14:dxf>
          </x14:cfRule>
          <xm:sqref>Z314:Z317</xm:sqref>
        </x14:conditionalFormatting>
        <x14:conditionalFormatting xmlns:xm="http://schemas.microsoft.com/office/excel/2006/main">
          <x14:cfRule type="expression" priority="69" id="{24840759-64D9-4522-86E7-7DB02747A3E6}">
            <xm:f>$Y328=Utilitaires!$N$572</xm:f>
            <x14:dxf>
              <fill>
                <patternFill>
                  <bgColor theme="0"/>
                </patternFill>
              </fill>
              <border>
                <left style="thin">
                  <color auto="1"/>
                </left>
                <right style="thin">
                  <color auto="1"/>
                </right>
                <top style="thin">
                  <color auto="1"/>
                </top>
                <bottom style="thin">
                  <color auto="1"/>
                </bottom>
                <vertical/>
                <horizontal/>
              </border>
            </x14:dxf>
          </x14:cfRule>
          <xm:sqref>Z328:Z333</xm:sqref>
        </x14:conditionalFormatting>
        <x14:conditionalFormatting xmlns:xm="http://schemas.microsoft.com/office/excel/2006/main">
          <x14:cfRule type="expression" priority="66" id="{E0946E72-401F-430C-8B0A-B40A598EB04F}">
            <xm:f>$Y372=Utilitaires!$N$572</xm:f>
            <x14:dxf>
              <fill>
                <patternFill>
                  <bgColor theme="0"/>
                </patternFill>
              </fill>
              <border>
                <left style="thin">
                  <color auto="1"/>
                </left>
                <right style="thin">
                  <color auto="1"/>
                </right>
                <top style="thin">
                  <color auto="1"/>
                </top>
                <bottom style="thin">
                  <color auto="1"/>
                </bottom>
                <vertical/>
                <horizontal/>
              </border>
            </x14:dxf>
          </x14:cfRule>
          <xm:sqref>Z372</xm:sqref>
        </x14:conditionalFormatting>
        <x14:conditionalFormatting xmlns:xm="http://schemas.microsoft.com/office/excel/2006/main">
          <x14:cfRule type="expression" priority="46" id="{47D2310B-45AB-4BD6-9006-2C5818A42A64}">
            <xm:f>$Y44=Utilitaires!$N$572</xm:f>
            <x14:dxf>
              <fill>
                <patternFill>
                  <bgColor theme="0"/>
                </patternFill>
              </fill>
              <border>
                <left style="thin">
                  <color auto="1"/>
                </left>
                <right style="thin">
                  <color auto="1"/>
                </right>
                <top style="thin">
                  <color auto="1"/>
                </top>
                <bottom style="thin">
                  <color auto="1"/>
                </bottom>
                <vertical/>
                <horizontal/>
              </border>
            </x14:dxf>
          </x14:cfRule>
          <xm:sqref>Y44</xm:sqref>
        </x14:conditionalFormatting>
        <x14:conditionalFormatting xmlns:xm="http://schemas.microsoft.com/office/excel/2006/main">
          <x14:cfRule type="expression" priority="41" id="{98435771-8BCB-40D8-A9D3-104DD9BC615E}">
            <xm:f>$Y49=Utilitaires!$N$572</xm:f>
            <x14:dxf>
              <fill>
                <patternFill>
                  <bgColor theme="0"/>
                </patternFill>
              </fill>
              <border>
                <left style="thin">
                  <color auto="1"/>
                </left>
                <right style="thin">
                  <color auto="1"/>
                </right>
                <top style="thin">
                  <color auto="1"/>
                </top>
                <bottom style="thin">
                  <color auto="1"/>
                </bottom>
                <vertical/>
                <horizontal/>
              </border>
            </x14:dxf>
          </x14:cfRule>
          <xm:sqref>Y49:Y52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9">
    <tabColor theme="5"/>
    <outlinePr summaryBelow="0" summaryRight="0"/>
  </sheetPr>
  <dimension ref="A1:CD403"/>
  <sheetViews>
    <sheetView showGridLines="0" zoomScale="85" zoomScaleNormal="85" workbookViewId="0">
      <pane xSplit="3" ySplit="8" topLeftCell="D117" activePane="bottomRight" state="frozenSplit"/>
      <selection activeCell="E9" sqref="E9"/>
      <selection pane="topRight" activeCell="E9" sqref="E9"/>
      <selection pane="bottomLeft" activeCell="A10" sqref="A10"/>
      <selection pane="bottomRight" activeCell="F98" sqref="F98"/>
    </sheetView>
  </sheetViews>
  <sheetFormatPr baseColWidth="10" defaultColWidth="0" defaultRowHeight="13.2" outlineLevelRow="3" outlineLevelCol="1"/>
  <cols>
    <col min="1" max="1" width="2.75" style="114" customWidth="1"/>
    <col min="2" max="2" width="52.75" style="114" customWidth="1"/>
    <col min="3" max="3" width="2.375" style="114" customWidth="1"/>
    <col min="4" max="4" width="18" style="114" bestFit="1" customWidth="1"/>
    <col min="5" max="5" width="12.25" style="114" customWidth="1"/>
    <col min="6" max="6" width="13.375" style="114" bestFit="1" customWidth="1"/>
    <col min="7" max="7" width="14.25" style="114" bestFit="1" customWidth="1"/>
    <col min="8" max="8" width="13.375" style="114" bestFit="1" customWidth="1"/>
    <col min="9" max="9" width="18.375" style="114" bestFit="1" customWidth="1"/>
    <col min="10" max="10" width="17.875" style="114" customWidth="1"/>
    <col min="11" max="11" width="19.875" style="114" bestFit="1" customWidth="1"/>
    <col min="12" max="12" width="17.875" style="114" customWidth="1"/>
    <col min="13" max="19" width="12.25" style="114" customWidth="1"/>
    <col min="20" max="20" width="13.75" style="114" bestFit="1" customWidth="1"/>
    <col min="21" max="24" width="12.25" style="114" customWidth="1"/>
    <col min="25" max="25" width="12" style="114" bestFit="1" customWidth="1"/>
    <col min="26" max="26" width="15" style="114" bestFit="1" customWidth="1"/>
    <col min="27" max="27" width="12.25" style="114" customWidth="1" collapsed="1"/>
    <col min="28" max="28" width="12.25" style="114" hidden="1" customWidth="1" outlineLevel="1"/>
    <col min="29" max="29" width="13.75" style="114" hidden="1" customWidth="1" outlineLevel="1"/>
    <col min="30" max="31" width="12.25" style="114" customWidth="1"/>
    <col min="32" max="32" width="12.25" style="114" customWidth="1" collapsed="1"/>
    <col min="33" max="36" width="12.25" style="114" hidden="1" customWidth="1" outlineLevel="1"/>
    <col min="37" max="44" width="12.25" style="441" hidden="1" customWidth="1" outlineLevel="1"/>
    <col min="45" max="45" width="12.25" style="441" customWidth="1"/>
    <col min="46" max="46" width="12.25" style="441" customWidth="1" collapsed="1"/>
    <col min="47" max="54" width="12.25" style="114" hidden="1" customWidth="1" outlineLevel="1"/>
    <col min="55" max="55" width="16.75" style="114" hidden="1" customWidth="1" outlineLevel="1"/>
    <col min="56" max="58" width="12.25" style="114" hidden="1" customWidth="1" outlineLevel="1"/>
    <col min="59" max="59" width="11.375" style="114" hidden="1" customWidth="1" outlineLevel="1"/>
    <col min="60" max="60" width="12" style="114" hidden="1" customWidth="1" outlineLevel="1"/>
    <col min="61" max="61" width="10.875" style="114" customWidth="1" collapsed="1"/>
    <col min="62" max="62" width="16.75" style="114" hidden="1" customWidth="1" outlineLevel="1"/>
    <col min="63" max="73" width="10.875" style="114" hidden="1" customWidth="1" outlineLevel="1"/>
    <col min="74" max="74" width="3" style="114" customWidth="1"/>
    <col min="75" max="82" width="0" style="114" hidden="1" customWidth="1"/>
    <col min="83" max="16384" width="10.875" style="114" hidden="1"/>
  </cols>
  <sheetData>
    <row r="1" spans="2:65" s="113" customFormat="1" ht="22.8">
      <c r="AA1" s="1646" t="s">
        <v>2442</v>
      </c>
      <c r="AF1" s="1645" t="s">
        <v>2441</v>
      </c>
      <c r="AK1" s="576"/>
      <c r="AL1" s="576"/>
      <c r="AM1" s="576"/>
      <c r="AN1" s="576"/>
      <c r="AO1" s="576"/>
      <c r="AP1" s="576"/>
      <c r="AQ1" s="576"/>
      <c r="AR1" s="576"/>
      <c r="AS1" s="576"/>
      <c r="AT1" s="1786" t="s">
        <v>2480</v>
      </c>
      <c r="BI1" s="1644" t="s">
        <v>2440</v>
      </c>
    </row>
    <row r="2" spans="2:65" s="113" customFormat="1" ht="30" customHeight="1">
      <c r="B2" s="2602" t="str">
        <f>Descriptif!C33</f>
        <v>Immobilisations</v>
      </c>
      <c r="C2" s="2603"/>
      <c r="D2" s="2603"/>
      <c r="E2" s="2603"/>
      <c r="F2" s="2603"/>
      <c r="G2" s="2603"/>
      <c r="H2" s="2603"/>
      <c r="I2" s="2603"/>
      <c r="J2" s="2603"/>
      <c r="K2" s="2603"/>
      <c r="L2" s="2603"/>
      <c r="M2" s="2603"/>
      <c r="N2" s="2603"/>
      <c r="O2" s="2604"/>
      <c r="AK2" s="576"/>
      <c r="AL2" s="576"/>
      <c r="AM2" s="576"/>
      <c r="AN2" s="576"/>
      <c r="AO2" s="576"/>
      <c r="AP2" s="576"/>
      <c r="AQ2" s="576"/>
      <c r="AR2" s="576"/>
      <c r="AS2" s="576"/>
      <c r="AT2" s="576"/>
    </row>
    <row r="4" spans="2:65" ht="13.8">
      <c r="B4" s="1001" t="s">
        <v>536</v>
      </c>
      <c r="C4" s="210"/>
      <c r="D4" s="2872" t="s">
        <v>236</v>
      </c>
      <c r="E4" s="2872"/>
      <c r="F4" s="2760" t="s">
        <v>58</v>
      </c>
      <c r="G4" s="2760"/>
      <c r="H4" s="2760" t="s">
        <v>181</v>
      </c>
      <c r="I4" s="2760"/>
      <c r="J4" s="2760" t="s">
        <v>420</v>
      </c>
      <c r="K4" s="2760"/>
      <c r="L4" s="193"/>
      <c r="M4" s="193"/>
      <c r="N4" s="2761" t="s">
        <v>893</v>
      </c>
      <c r="O4" s="2762"/>
    </row>
    <row r="5" spans="2:65" ht="13.8">
      <c r="B5" s="194" t="s">
        <v>521</v>
      </c>
      <c r="C5" s="195"/>
      <c r="D5" s="2745" t="s">
        <v>212</v>
      </c>
      <c r="E5" s="2745"/>
      <c r="F5" s="2745" t="s">
        <v>428</v>
      </c>
      <c r="G5" s="2745"/>
      <c r="H5" s="2745" t="s">
        <v>484</v>
      </c>
      <c r="I5" s="2745"/>
      <c r="J5" s="2745" t="s">
        <v>758</v>
      </c>
      <c r="K5" s="2745"/>
      <c r="L5" s="2745" t="s">
        <v>818</v>
      </c>
      <c r="M5" s="2745"/>
      <c r="N5" s="2745" t="s">
        <v>2444</v>
      </c>
      <c r="O5" s="2775"/>
    </row>
    <row r="7" spans="2:65" ht="28.5" customHeight="1">
      <c r="B7" s="2855" t="s">
        <v>820</v>
      </c>
      <c r="C7" s="2856"/>
      <c r="D7" s="979" t="s">
        <v>766</v>
      </c>
    </row>
    <row r="9" spans="2:65" ht="15.6">
      <c r="B9" s="2652" t="s">
        <v>236</v>
      </c>
      <c r="C9" s="2653"/>
      <c r="D9" s="2653"/>
      <c r="E9" s="2653"/>
      <c r="F9" s="2653"/>
      <c r="G9" s="2653"/>
      <c r="H9" s="2653"/>
      <c r="I9" s="2653"/>
      <c r="J9" s="2653"/>
      <c r="K9" s="2653"/>
      <c r="L9" s="2653"/>
      <c r="M9" s="2653"/>
      <c r="N9" s="2653"/>
      <c r="O9" s="2654"/>
    </row>
    <row r="10" spans="2:65" outlineLevel="1"/>
    <row r="11" spans="2:65" ht="12.75" customHeight="1" outlineLevel="1">
      <c r="B11" s="139" t="s">
        <v>577</v>
      </c>
      <c r="C11" s="140"/>
      <c r="D11" s="377"/>
      <c r="E11" s="1648"/>
      <c r="F11" s="141"/>
      <c r="G11" s="141"/>
      <c r="H11" s="141"/>
      <c r="I11" s="141"/>
      <c r="J11" s="142"/>
      <c r="Y11" s="2636" t="s">
        <v>366</v>
      </c>
      <c r="Z11" s="2637"/>
      <c r="AA11" s="2637"/>
      <c r="AB11" s="2637"/>
      <c r="AC11" s="2637"/>
      <c r="AD11" s="2638"/>
      <c r="AG11" s="2639" t="s">
        <v>441</v>
      </c>
      <c r="AH11" s="2640"/>
      <c r="AI11" s="2640"/>
      <c r="AJ11" s="2640"/>
      <c r="AK11" s="2640"/>
      <c r="AL11" s="2640"/>
      <c r="AM11" s="2640"/>
      <c r="AN11" s="2640"/>
      <c r="AO11" s="2640"/>
      <c r="AP11" s="2640"/>
      <c r="AQ11" s="2640"/>
      <c r="AR11" s="2641"/>
      <c r="AU11" s="2860" t="s">
        <v>771</v>
      </c>
      <c r="AV11" s="2861"/>
      <c r="AW11" s="2861"/>
      <c r="AX11" s="2861"/>
      <c r="AY11" s="2861"/>
      <c r="AZ11" s="2861"/>
      <c r="BA11" s="2861"/>
      <c r="BB11" s="2861"/>
      <c r="BC11" s="2861"/>
      <c r="BD11" s="2861"/>
      <c r="BE11" s="2861"/>
      <c r="BF11" s="2861"/>
      <c r="BG11" s="2861"/>
      <c r="BH11" s="2862"/>
      <c r="BJ11" s="441"/>
      <c r="BK11" s="441"/>
      <c r="BL11" s="441"/>
      <c r="BM11" s="441"/>
    </row>
    <row r="12" spans="2:65" ht="12.75" customHeight="1" outlineLevel="2">
      <c r="B12" s="332"/>
      <c r="C12" s="167"/>
      <c r="D12" s="378" t="s">
        <v>308</v>
      </c>
      <c r="E12" s="1663"/>
      <c r="F12" s="144"/>
      <c r="G12" s="144"/>
      <c r="H12" s="144"/>
      <c r="I12" s="144"/>
      <c r="J12" s="145"/>
      <c r="Y12" s="298"/>
      <c r="Z12" s="819"/>
      <c r="AA12" s="827"/>
      <c r="AB12" s="820"/>
      <c r="AC12" s="820"/>
      <c r="AD12" s="142"/>
      <c r="AG12" s="2642"/>
      <c r="AH12" s="2643"/>
      <c r="AI12" s="2643"/>
      <c r="AJ12" s="2643"/>
      <c r="AK12" s="2643"/>
      <c r="AL12" s="2643"/>
      <c r="AM12" s="2643"/>
      <c r="AN12" s="2643"/>
      <c r="AO12" s="2643" t="s">
        <v>444</v>
      </c>
      <c r="AP12" s="2644"/>
      <c r="AQ12" s="1081"/>
      <c r="AR12" s="578"/>
      <c r="AU12" s="887"/>
      <c r="AV12" s="888"/>
      <c r="AW12" s="888"/>
      <c r="AX12" s="1536"/>
      <c r="AY12" s="1536"/>
      <c r="AZ12" s="1536"/>
      <c r="BA12" s="1536"/>
      <c r="BB12" s="1536"/>
      <c r="BC12" s="1536"/>
      <c r="BD12" s="1536"/>
      <c r="BE12" s="1543"/>
      <c r="BF12" s="1540"/>
      <c r="BG12" s="1539"/>
      <c r="BH12" s="1540"/>
      <c r="BJ12" s="2766" t="s">
        <v>1648</v>
      </c>
      <c r="BK12" s="2767"/>
      <c r="BL12" s="441"/>
      <c r="BM12" s="441"/>
    </row>
    <row r="13" spans="2:65" ht="12.75" customHeight="1" outlineLevel="2">
      <c r="B13" s="143"/>
      <c r="C13" s="144"/>
      <c r="D13" s="379" t="s">
        <v>409</v>
      </c>
      <c r="E13" s="1656"/>
      <c r="F13" s="147" t="s">
        <v>772</v>
      </c>
      <c r="G13" s="147" t="s">
        <v>579</v>
      </c>
      <c r="H13" s="1505" t="s">
        <v>2006</v>
      </c>
      <c r="I13" s="147" t="s">
        <v>335</v>
      </c>
      <c r="J13" s="384" t="s">
        <v>444</v>
      </c>
      <c r="Y13" s="1553" t="s">
        <v>316</v>
      </c>
      <c r="Z13" s="2629" t="s">
        <v>316</v>
      </c>
      <c r="AA13" s="2630"/>
      <c r="AB13" s="820"/>
      <c r="AC13" s="820"/>
      <c r="AD13" s="1568" t="s">
        <v>444</v>
      </c>
      <c r="AG13" s="2631" t="s">
        <v>211</v>
      </c>
      <c r="AH13" s="2632"/>
      <c r="AI13" s="2632" t="s">
        <v>442</v>
      </c>
      <c r="AJ13" s="2632"/>
      <c r="AK13" s="2632" t="s">
        <v>267</v>
      </c>
      <c r="AL13" s="2632"/>
      <c r="AM13" s="2632" t="s">
        <v>443</v>
      </c>
      <c r="AN13" s="2632"/>
      <c r="AO13" s="2658" t="s">
        <v>327</v>
      </c>
      <c r="AP13" s="2659"/>
      <c r="AQ13" s="2631" t="s">
        <v>636</v>
      </c>
      <c r="AR13" s="2650"/>
      <c r="AU13" s="2871" t="s">
        <v>444</v>
      </c>
      <c r="AV13" s="2868"/>
      <c r="AW13" s="2868"/>
      <c r="AX13" s="2868"/>
      <c r="AY13" s="2868"/>
      <c r="AZ13" s="2868"/>
      <c r="BA13" s="2868"/>
      <c r="BB13" s="2868"/>
      <c r="BC13" s="1536"/>
      <c r="BD13" s="1536" t="s">
        <v>444</v>
      </c>
      <c r="BE13" s="1585"/>
      <c r="BF13" s="893"/>
      <c r="BG13" s="900"/>
      <c r="BH13" s="1538" t="s">
        <v>366</v>
      </c>
      <c r="BJ13" s="1529" t="s">
        <v>2167</v>
      </c>
      <c r="BK13" s="1532" t="s">
        <v>2187</v>
      </c>
      <c r="BL13" s="441"/>
      <c r="BM13" s="441"/>
    </row>
    <row r="14" spans="2:65" ht="12.75" customHeight="1" outlineLevel="2">
      <c r="B14" s="382"/>
      <c r="C14" s="379"/>
      <c r="D14" s="379" t="s">
        <v>444</v>
      </c>
      <c r="E14" s="1656"/>
      <c r="F14" s="149" t="str">
        <f>Descriptif!$D$4&amp;" ?"</f>
        <v>2022 ?</v>
      </c>
      <c r="G14" s="149" t="s">
        <v>578</v>
      </c>
      <c r="H14" s="379"/>
      <c r="I14" s="149" t="s">
        <v>336</v>
      </c>
      <c r="J14" s="384"/>
      <c r="Y14" s="1553" t="s">
        <v>1649</v>
      </c>
      <c r="Z14" s="2646" t="s">
        <v>1650</v>
      </c>
      <c r="AA14" s="2647"/>
      <c r="AB14" s="820"/>
      <c r="AC14" s="820"/>
      <c r="AD14" s="162"/>
      <c r="AG14" s="1572"/>
      <c r="AH14" s="1573"/>
      <c r="AI14" s="1573"/>
      <c r="AJ14" s="1573"/>
      <c r="AK14" s="1573"/>
      <c r="AL14" s="1573"/>
      <c r="AM14" s="1573"/>
      <c r="AN14" s="1573"/>
      <c r="AO14" s="565"/>
      <c r="AP14" s="565"/>
      <c r="AQ14" s="1572"/>
      <c r="AR14" s="1574"/>
      <c r="AU14" s="889" t="s">
        <v>211</v>
      </c>
      <c r="AV14" s="1541"/>
      <c r="AW14" s="1541"/>
      <c r="AX14" s="890" t="s">
        <v>442</v>
      </c>
      <c r="AY14" s="1541"/>
      <c r="AZ14" s="1541" t="s">
        <v>267</v>
      </c>
      <c r="BA14" s="1541"/>
      <c r="BB14" s="1541" t="s">
        <v>443</v>
      </c>
      <c r="BC14" s="1541"/>
      <c r="BD14" s="1542" t="s">
        <v>327</v>
      </c>
      <c r="BE14" s="1537"/>
      <c r="BF14" s="1538" t="s">
        <v>636</v>
      </c>
      <c r="BG14" s="1541"/>
      <c r="BH14" s="1538" t="s">
        <v>444</v>
      </c>
      <c r="BJ14" s="1065"/>
      <c r="BK14" s="1130"/>
      <c r="BL14" s="441"/>
      <c r="BM14" s="441"/>
    </row>
    <row r="15" spans="2:65" ht="12.75" customHeight="1" outlineLevel="2">
      <c r="B15" s="143" t="s">
        <v>5217</v>
      </c>
      <c r="C15" s="177"/>
      <c r="D15" s="212">
        <f>J15</f>
        <v>20625</v>
      </c>
      <c r="E15" s="212"/>
      <c r="F15" s="391" t="s">
        <v>768</v>
      </c>
      <c r="G15" s="117">
        <v>1500</v>
      </c>
      <c r="H15" s="222">
        <f>VLOOKUP($B15&amp;"; "&amp;$H$13,'FE Immobilisations'!$G:$U,9,FALSE)</f>
        <v>275</v>
      </c>
      <c r="I15" s="117">
        <v>20</v>
      </c>
      <c r="J15" s="152">
        <f>IF(I15=0,0,G15*H15/I15)</f>
        <v>20625</v>
      </c>
      <c r="Y15" s="319">
        <f>IF(AD15=0,AD15,AD15/J15)</f>
        <v>0.5</v>
      </c>
      <c r="Z15" s="119"/>
      <c r="AA15" s="820"/>
      <c r="AB15" s="820"/>
      <c r="AC15" s="820"/>
      <c r="AD15" s="152">
        <f>D15*BK15</f>
        <v>10312.5</v>
      </c>
      <c r="AG15" s="564"/>
      <c r="AH15" s="565">
        <f>D15</f>
        <v>20625</v>
      </c>
      <c r="AI15" s="620"/>
      <c r="AJ15" s="620"/>
      <c r="AK15" s="620"/>
      <c r="AL15" s="620"/>
      <c r="AM15" s="565"/>
      <c r="AN15" s="565"/>
      <c r="AO15" s="1573"/>
      <c r="AP15" s="1607">
        <f>SUM(AH15:AN15)</f>
        <v>20625</v>
      </c>
      <c r="AQ15" s="564"/>
      <c r="AR15" s="568"/>
      <c r="AU15" s="891" t="str">
        <f>IF($F15="Oui",IF(AH15="","",AH15*$I15),"")</f>
        <v/>
      </c>
      <c r="AV15" s="892"/>
      <c r="AW15" s="892"/>
      <c r="AX15" s="892" t="str">
        <f>IF($F15="Oui",IF(AJ15="","",AJ15*$I15),"")</f>
        <v/>
      </c>
      <c r="AY15" s="892"/>
      <c r="AZ15" s="892" t="str">
        <f>IF($F15="Oui",IF(AL15="","",AL15*$I15),"")</f>
        <v/>
      </c>
      <c r="BA15" s="892"/>
      <c r="BB15" s="892" t="str">
        <f>IF($F15="Oui",IF(AN15="","",AN15*$I15),"")</f>
        <v/>
      </c>
      <c r="BC15" s="892"/>
      <c r="BD15" s="900">
        <f>SUM(AU15:BB15)</f>
        <v>0</v>
      </c>
      <c r="BE15" s="891"/>
      <c r="BF15" s="901" t="str">
        <f>IF($F15="Oui",IF(AR15="","",AR15*$I15),"")</f>
        <v/>
      </c>
      <c r="BG15" s="892"/>
      <c r="BH15" s="901" t="str">
        <f>IF($F15="Oui",IF(Y15="","",Y15*$I15),"")</f>
        <v/>
      </c>
      <c r="BJ15" s="1065">
        <f>IF($Z15&lt;&gt;"votre valeur :",IF(ISNA(VLOOKUP($Z15,Utilitaires!$N$566:$O$571,2,FALSE)),,VLOOKUP($Z15,Utilitaires!$N$566:$O$571,2,FALSE)),$AA15)</f>
        <v>0</v>
      </c>
      <c r="BK15" s="1130">
        <f>SQRT(SUMSQ(BJ15,VLOOKUP(B15&amp;"; "&amp;$H$13,'FE Immobilisations'!G:U,7,FALSE)))</f>
        <v>0.5</v>
      </c>
      <c r="BL15" s="441"/>
      <c r="BM15" s="441"/>
    </row>
    <row r="16" spans="2:65" ht="12.75" customHeight="1" outlineLevel="2">
      <c r="B16" s="143" t="s">
        <v>2408</v>
      </c>
      <c r="C16" s="177"/>
      <c r="D16" s="212">
        <f>J16</f>
        <v>0</v>
      </c>
      <c r="E16" s="212"/>
      <c r="F16" s="392"/>
      <c r="G16" s="120"/>
      <c r="H16" s="222">
        <f>VLOOKUP($B16&amp;"; "&amp;$H$13,'FE Immobilisations'!$G:$U,9,FALSE)</f>
        <v>550</v>
      </c>
      <c r="I16" s="120"/>
      <c r="J16" s="152">
        <f>IF(I16=0,0,G16*H16/I16)</f>
        <v>0</v>
      </c>
      <c r="Y16" s="319">
        <f>IF(AD16=0,AD16,AD16/J16)</f>
        <v>0</v>
      </c>
      <c r="Z16" s="122"/>
      <c r="AA16" s="820"/>
      <c r="AB16" s="820"/>
      <c r="AC16" s="820"/>
      <c r="AD16" s="152">
        <f>D16*BK16</f>
        <v>0</v>
      </c>
      <c r="AG16" s="564"/>
      <c r="AH16" s="565">
        <f>D16</f>
        <v>0</v>
      </c>
      <c r="AI16" s="620"/>
      <c r="AJ16" s="620"/>
      <c r="AK16" s="620"/>
      <c r="AL16" s="620"/>
      <c r="AM16" s="565"/>
      <c r="AN16" s="565"/>
      <c r="AO16" s="565"/>
      <c r="AP16" s="1607">
        <f>SUM(AH16:AN16)</f>
        <v>0</v>
      </c>
      <c r="AQ16" s="564"/>
      <c r="AR16" s="568"/>
      <c r="AU16" s="891" t="str">
        <f>IF($F16="Oui",IF(AH16="","",AH16*$I16),"")</f>
        <v/>
      </c>
      <c r="AV16" s="892"/>
      <c r="AW16" s="892"/>
      <c r="AX16" s="892" t="str">
        <f>IF($F16="Oui",IF(AJ16="","",AJ16*$I16),"")</f>
        <v/>
      </c>
      <c r="AY16" s="892"/>
      <c r="AZ16" s="892" t="str">
        <f>IF($F16="Oui",IF(AL16="","",AL16*$I16),"")</f>
        <v/>
      </c>
      <c r="BA16" s="892"/>
      <c r="BB16" s="892" t="str">
        <f>IF($F16="Oui",IF(AN16="","",AN16*$I16),"")</f>
        <v/>
      </c>
      <c r="BC16" s="892"/>
      <c r="BD16" s="900">
        <f>SUM(AU16:BB16)</f>
        <v>0</v>
      </c>
      <c r="BE16" s="891"/>
      <c r="BF16" s="901" t="str">
        <f>IF($F16="Oui",IF(AR16="","",AR16*$I16),"")</f>
        <v/>
      </c>
      <c r="BG16" s="892"/>
      <c r="BH16" s="901" t="str">
        <f>IF($F16="Oui",IF(Y16="","",Y16*$I16),"")</f>
        <v/>
      </c>
      <c r="BJ16" s="1065">
        <f>IF($Z16&lt;&gt;"votre valeur :",IF(ISNA(VLOOKUP($Z16,Utilitaires!$N$566:$O$571,2,FALSE)),,VLOOKUP($Z16,Utilitaires!$N$566:$O$571,2,FALSE)),$AA16)</f>
        <v>0</v>
      </c>
      <c r="BK16" s="1130">
        <f>SQRT(SUMSQ(BJ16,VLOOKUP(B16&amp;"; "&amp;$H$13,'FE Immobilisations'!G:U,7,FALSE)))</f>
        <v>0.5</v>
      </c>
      <c r="BL16" s="441"/>
      <c r="BM16" s="441"/>
    </row>
    <row r="17" spans="1:73" ht="12.75" customHeight="1" outlineLevel="2">
      <c r="B17" s="143" t="s">
        <v>2409</v>
      </c>
      <c r="C17" s="177"/>
      <c r="D17" s="212">
        <f>J17</f>
        <v>0</v>
      </c>
      <c r="E17" s="212"/>
      <c r="F17" s="392"/>
      <c r="G17" s="120"/>
      <c r="H17" s="222">
        <f>VLOOKUP($B17&amp;"; "&amp;$H$13,'FE Immobilisations'!$G:$U,9,FALSE)</f>
        <v>525</v>
      </c>
      <c r="I17" s="120"/>
      <c r="J17" s="152">
        <f>IF(I17=0,0,G17*H17/I17)</f>
        <v>0</v>
      </c>
      <c r="Y17" s="319">
        <f>IF(AD17=0,AD17,AD17/J17)</f>
        <v>0</v>
      </c>
      <c r="Z17" s="122"/>
      <c r="AA17" s="820"/>
      <c r="AB17" s="820"/>
      <c r="AC17" s="820"/>
      <c r="AD17" s="152">
        <f>D17*BK17</f>
        <v>0</v>
      </c>
      <c r="AG17" s="564"/>
      <c r="AH17" s="565">
        <f>D17</f>
        <v>0</v>
      </c>
      <c r="AI17" s="620"/>
      <c r="AJ17" s="620"/>
      <c r="AK17" s="620"/>
      <c r="AL17" s="620"/>
      <c r="AM17" s="565"/>
      <c r="AN17" s="565"/>
      <c r="AO17" s="565"/>
      <c r="AP17" s="567">
        <f>SUM(AH17:AN17)</f>
        <v>0</v>
      </c>
      <c r="AQ17" s="564"/>
      <c r="AR17" s="568"/>
      <c r="AU17" s="891" t="str">
        <f>IF($F17="Oui",IF(AH17="","",AH17*$I17),"")</f>
        <v/>
      </c>
      <c r="AV17" s="892"/>
      <c r="AW17" s="892"/>
      <c r="AX17" s="892" t="str">
        <f>IF($F17="Oui",IF(AJ17="","",AJ17*$I17),"")</f>
        <v/>
      </c>
      <c r="AY17" s="892"/>
      <c r="AZ17" s="892" t="str">
        <f>IF($F17="Oui",IF(AL17="","",AL17*$I17),"")</f>
        <v/>
      </c>
      <c r="BA17" s="892"/>
      <c r="BB17" s="892" t="str">
        <f>IF($F17="Oui",IF(AN17="","",AN17*$I17),"")</f>
        <v/>
      </c>
      <c r="BC17" s="892"/>
      <c r="BD17" s="900">
        <f>SUM(AU17:BB17)</f>
        <v>0</v>
      </c>
      <c r="BE17" s="891"/>
      <c r="BF17" s="901" t="str">
        <f>IF($F17="Oui",IF(AR17="","",AR17*$I17),"")</f>
        <v/>
      </c>
      <c r="BG17" s="892"/>
      <c r="BH17" s="901" t="str">
        <f>IF($F17="Oui",IF(Y17="","",Y17*$I17),"")</f>
        <v/>
      </c>
      <c r="BJ17" s="1065">
        <f>IF($Z17&lt;&gt;"votre valeur :",IF(ISNA(VLOOKUP($Z17,Utilitaires!$N$566:$O$571,2,FALSE)),,VLOOKUP($Z17,Utilitaires!$N$566:$O$571,2,FALSE)),$AA17)</f>
        <v>0</v>
      </c>
      <c r="BK17" s="1130">
        <f>SQRT(SUMSQ(BJ17,VLOOKUP(B17&amp;"; "&amp;$H$13,'FE Immobilisations'!G:U,7,FALSE)))</f>
        <v>0.5</v>
      </c>
      <c r="BL17" s="441"/>
      <c r="BM17" s="441"/>
    </row>
    <row r="18" spans="1:73" ht="12.75" customHeight="1" outlineLevel="2">
      <c r="B18" s="143" t="s">
        <v>2193</v>
      </c>
      <c r="C18" s="177"/>
      <c r="D18" s="212">
        <f>J18</f>
        <v>0</v>
      </c>
      <c r="E18" s="212"/>
      <c r="F18" s="393"/>
      <c r="G18" s="123"/>
      <c r="H18" s="222">
        <f>VLOOKUP($B18&amp;"; "&amp;$H$13,'FE Immobilisations'!$G:$U,9,FALSE)</f>
        <v>425</v>
      </c>
      <c r="I18" s="123"/>
      <c r="J18" s="152">
        <f>IF(I18=0,0,G18*H18/I18)</f>
        <v>0</v>
      </c>
      <c r="Y18" s="319">
        <f>IF(AD18=0,AD18,AD18/J18)</f>
        <v>0</v>
      </c>
      <c r="Z18" s="125"/>
      <c r="AA18" s="820"/>
      <c r="AB18" s="820"/>
      <c r="AC18" s="820"/>
      <c r="AD18" s="152">
        <f>D18*BK18</f>
        <v>0</v>
      </c>
      <c r="AG18" s="564"/>
      <c r="AH18" s="565">
        <f>D18</f>
        <v>0</v>
      </c>
      <c r="AI18" s="620"/>
      <c r="AJ18" s="620"/>
      <c r="AK18" s="620"/>
      <c r="AL18" s="620"/>
      <c r="AM18" s="565"/>
      <c r="AN18" s="565"/>
      <c r="AO18" s="565"/>
      <c r="AP18" s="567">
        <f>SUM(AH18:AN18)</f>
        <v>0</v>
      </c>
      <c r="AQ18" s="564"/>
      <c r="AR18" s="568"/>
      <c r="AU18" s="891" t="str">
        <f>IF($F18="Oui",IF(AH18="","",AH18*$I18),"")</f>
        <v/>
      </c>
      <c r="AV18" s="892"/>
      <c r="AW18" s="892"/>
      <c r="AX18" s="892" t="str">
        <f>IF($F18="Oui",IF(AJ18="","",AJ18*$I18),"")</f>
        <v/>
      </c>
      <c r="AY18" s="892"/>
      <c r="AZ18" s="892" t="str">
        <f>IF($F18="Oui",IF(AL18="","",AL18*$I18),"")</f>
        <v/>
      </c>
      <c r="BA18" s="892"/>
      <c r="BB18" s="892" t="str">
        <f>IF($F18="Oui",IF(AN18="","",AN18*$I18),"")</f>
        <v/>
      </c>
      <c r="BC18" s="892"/>
      <c r="BD18" s="900">
        <f>SUM(AU18:BB18)</f>
        <v>0</v>
      </c>
      <c r="BE18" s="891"/>
      <c r="BF18" s="901" t="str">
        <f>IF($F18="Oui",IF(AR18="","",AR18*$I18),"")</f>
        <v/>
      </c>
      <c r="BG18" s="892"/>
      <c r="BH18" s="901" t="str">
        <f>IF($F18="Oui",IF(Y18="","",Y18*$I18),"")</f>
        <v/>
      </c>
      <c r="BJ18" s="1065">
        <f>IF($Z18&lt;&gt;"votre valeur :",IF(ISNA(VLOOKUP($Z18,Utilitaires!$N$566:$O$571,2,FALSE)),,VLOOKUP($Z18,Utilitaires!$N$566:$O$571,2,FALSE)),$AA18)</f>
        <v>0</v>
      </c>
      <c r="BK18" s="1130">
        <f>SQRT(SUMSQ(BJ18,VLOOKUP(B18&amp;"; "&amp;$H$13,'FE Immobilisations'!G:U,7,FALSE)))</f>
        <v>0.5</v>
      </c>
      <c r="BL18" s="441"/>
      <c r="BM18" s="441"/>
    </row>
    <row r="19" spans="1:73" ht="12.75" customHeight="1" outlineLevel="2">
      <c r="B19" s="154"/>
      <c r="C19" s="144"/>
      <c r="D19" s="213"/>
      <c r="E19" s="213"/>
      <c r="F19" s="144"/>
      <c r="G19" s="144"/>
      <c r="H19" s="144"/>
      <c r="I19" s="144"/>
      <c r="J19" s="145"/>
      <c r="Y19" s="163"/>
      <c r="Z19" s="144"/>
      <c r="AA19" s="144"/>
      <c r="AB19" s="820"/>
      <c r="AC19" s="820"/>
      <c r="AD19" s="165"/>
      <c r="AG19" s="564"/>
      <c r="AH19" s="565">
        <f>D19</f>
        <v>0</v>
      </c>
      <c r="AI19" s="620"/>
      <c r="AJ19" s="620"/>
      <c r="AK19" s="620"/>
      <c r="AL19" s="620"/>
      <c r="AM19" s="565"/>
      <c r="AN19" s="565"/>
      <c r="AO19" s="565"/>
      <c r="AP19" s="567"/>
      <c r="AQ19" s="564"/>
      <c r="AR19" s="568"/>
      <c r="AU19" s="891" t="str">
        <f>IF($F19="Oui",IF(AH19="","",AH19*$I19),"")</f>
        <v/>
      </c>
      <c r="AV19" s="892"/>
      <c r="AW19" s="892"/>
      <c r="AX19" s="892" t="str">
        <f>IF($F19="Oui",IF(AJ19="","",AJ19*$I19),"")</f>
        <v/>
      </c>
      <c r="AY19" s="892"/>
      <c r="AZ19" s="892" t="str">
        <f>IF($F19="Oui",IF(AL19="","",AL19*$I19),"")</f>
        <v/>
      </c>
      <c r="BA19" s="892"/>
      <c r="BB19" s="892" t="str">
        <f>IF($F19="Oui",IF(AN19="","",AN19*$I19),"")</f>
        <v/>
      </c>
      <c r="BC19" s="892"/>
      <c r="BD19" s="900" t="str">
        <f>IF($F19="Oui",IF(AP19="","",AP19*$I19),"")</f>
        <v/>
      </c>
      <c r="BE19" s="891"/>
      <c r="BF19" s="901" t="str">
        <f>IF($F19="Oui",IF(AR19="","",AR19*$I19),"")</f>
        <v/>
      </c>
      <c r="BG19" s="1581"/>
      <c r="BH19" s="903" t="str">
        <f>IF($F19="Oui",IF(AD19="","",AD19*$I19),"")</f>
        <v/>
      </c>
      <c r="BJ19" s="1142"/>
      <c r="BK19" s="1143"/>
      <c r="BL19" s="441"/>
      <c r="BM19" s="441"/>
    </row>
    <row r="20" spans="1:73" outlineLevel="1">
      <c r="B20" s="196" t="s">
        <v>348</v>
      </c>
      <c r="C20" s="197"/>
      <c r="D20" s="214">
        <f>SUM(D15:D19)</f>
        <v>20625</v>
      </c>
      <c r="E20" s="214"/>
      <c r="F20" s="199"/>
      <c r="G20" s="199"/>
      <c r="H20" s="199"/>
      <c r="I20" s="199"/>
      <c r="J20" s="200">
        <f>SUM(J15:J19)</f>
        <v>20625</v>
      </c>
      <c r="Y20" s="1203">
        <f>IF(AD20=0,AD20,AD20/J20)</f>
        <v>0.5</v>
      </c>
      <c r="Z20" s="199"/>
      <c r="AA20" s="199"/>
      <c r="AB20" s="821"/>
      <c r="AC20" s="821"/>
      <c r="AD20" s="200">
        <f>SQRT(SUMSQ(AD15:AD19))</f>
        <v>10312.5</v>
      </c>
      <c r="AG20" s="1082"/>
      <c r="AH20" s="572">
        <f>SUM(AH15:AH19)</f>
        <v>20625</v>
      </c>
      <c r="AI20" s="621"/>
      <c r="AJ20" s="621">
        <f>SUM(AJ15:AJ19)</f>
        <v>0</v>
      </c>
      <c r="AK20" s="621"/>
      <c r="AL20" s="621">
        <f>SUM(AL15:AL19)</f>
        <v>0</v>
      </c>
      <c r="AM20" s="572"/>
      <c r="AN20" s="572"/>
      <c r="AO20" s="572">
        <f>SUM(AO15:AO19)</f>
        <v>0</v>
      </c>
      <c r="AP20" s="574">
        <f>SUM(AP15:AP19)</f>
        <v>20625</v>
      </c>
      <c r="AQ20" s="1082">
        <f>SUM(AQ15:AQ19)</f>
        <v>0</v>
      </c>
      <c r="AR20" s="575">
        <f>SUM(AR15:AR19)</f>
        <v>0</v>
      </c>
      <c r="AU20" s="894">
        <f>SUM(AU15:AU19)</f>
        <v>0</v>
      </c>
      <c r="AV20" s="895"/>
      <c r="AW20" s="895"/>
      <c r="AX20" s="895">
        <f>SUM(AX15:AX19)</f>
        <v>0</v>
      </c>
      <c r="AY20" s="895"/>
      <c r="AZ20" s="895">
        <f>SUM(AZ15:AZ19)</f>
        <v>0</v>
      </c>
      <c r="BA20" s="895"/>
      <c r="BB20" s="895">
        <f>SUM(BB15:BB19)</f>
        <v>0</v>
      </c>
      <c r="BC20" s="895"/>
      <c r="BD20" s="897">
        <f>SUM(BD15:BD19)</f>
        <v>0</v>
      </c>
      <c r="BE20" s="1579"/>
      <c r="BF20" s="898">
        <f>SUM(BF15:BF19)</f>
        <v>0</v>
      </c>
      <c r="BG20" s="1587"/>
      <c r="BH20" s="1586">
        <f>SUM(BH15:BH19)</f>
        <v>0</v>
      </c>
      <c r="BJ20" s="441"/>
      <c r="BK20" s="441"/>
      <c r="BL20" s="441"/>
      <c r="BM20" s="441"/>
    </row>
    <row r="21" spans="1:73" outlineLevel="1">
      <c r="AK21" s="114"/>
      <c r="AU21" s="441"/>
      <c r="AV21" s="441"/>
      <c r="AW21" s="441"/>
      <c r="AX21" s="441"/>
      <c r="AY21" s="441"/>
      <c r="AZ21" s="441"/>
      <c r="BA21" s="441"/>
      <c r="BB21" s="441"/>
      <c r="BJ21" s="441"/>
      <c r="BK21" s="441"/>
      <c r="BL21" s="441"/>
      <c r="BM21" s="441"/>
    </row>
    <row r="22" spans="1:73" ht="15.75" customHeight="1" outlineLevel="1">
      <c r="B22" s="2652" t="s">
        <v>2529</v>
      </c>
      <c r="C22" s="2653"/>
      <c r="D22" s="2653"/>
      <c r="E22" s="2653"/>
      <c r="F22" s="2653"/>
      <c r="G22" s="2653"/>
      <c r="H22" s="2653"/>
      <c r="I22" s="2653"/>
      <c r="J22" s="2653"/>
      <c r="K22" s="2653"/>
      <c r="L22" s="2653"/>
      <c r="M22" s="2653"/>
      <c r="N22" s="2653"/>
      <c r="O22" s="2654"/>
      <c r="AK22" s="114"/>
      <c r="AU22" s="441"/>
      <c r="AV22" s="441"/>
      <c r="AW22" s="441"/>
      <c r="AX22" s="441"/>
      <c r="AY22" s="441"/>
      <c r="AZ22" s="441"/>
      <c r="BA22" s="441"/>
      <c r="BB22" s="441"/>
      <c r="BC22" s="441"/>
      <c r="BD22" s="441"/>
      <c r="BE22" s="441"/>
      <c r="BF22" s="441"/>
    </row>
    <row r="23" spans="1:73" outlineLevel="2">
      <c r="AK23" s="114"/>
      <c r="AU23" s="441"/>
      <c r="AV23" s="441"/>
      <c r="AW23" s="441"/>
      <c r="AX23" s="441"/>
      <c r="AY23" s="441"/>
      <c r="AZ23" s="441"/>
      <c r="BA23" s="441"/>
      <c r="BB23" s="441"/>
      <c r="BC23" s="441"/>
      <c r="BD23" s="441"/>
      <c r="BE23" s="441"/>
      <c r="BF23" s="441"/>
    </row>
    <row r="24" spans="1:73" s="116" customFormat="1" ht="12.75" customHeight="1" outlineLevel="2" collapsed="1">
      <c r="B24" s="139" t="s">
        <v>2426</v>
      </c>
      <c r="C24" s="140"/>
      <c r="D24" s="141"/>
      <c r="E24" s="141"/>
      <c r="F24" s="141"/>
      <c r="G24" s="1513"/>
      <c r="H24" s="141"/>
      <c r="I24" s="141"/>
      <c r="J24" s="141"/>
      <c r="K24" s="141"/>
      <c r="L24" s="141"/>
      <c r="M24" s="141"/>
      <c r="N24" s="141"/>
      <c r="O24" s="141"/>
      <c r="P24" s="141"/>
      <c r="Q24" s="141"/>
      <c r="R24" s="141"/>
      <c r="S24" s="141"/>
      <c r="T24" s="141"/>
      <c r="U24" s="141"/>
      <c r="V24" s="142"/>
      <c r="W24" s="1610"/>
      <c r="Y24" s="2636" t="s">
        <v>366</v>
      </c>
      <c r="Z24" s="2637"/>
      <c r="AA24" s="2637"/>
      <c r="AB24" s="2637"/>
      <c r="AC24" s="2637"/>
      <c r="AD24" s="2637"/>
      <c r="AE24" s="2638"/>
      <c r="AG24" s="2639" t="s">
        <v>441</v>
      </c>
      <c r="AH24" s="2640"/>
      <c r="AI24" s="2640"/>
      <c r="AJ24" s="2640"/>
      <c r="AK24" s="2640"/>
      <c r="AL24" s="2640"/>
      <c r="AM24" s="2640"/>
      <c r="AN24" s="2640"/>
      <c r="AO24" s="2640"/>
      <c r="AP24" s="2640"/>
      <c r="AQ24" s="2640"/>
      <c r="AR24" s="2641"/>
      <c r="AU24" s="2860" t="s">
        <v>771</v>
      </c>
      <c r="AV24" s="2861"/>
      <c r="AW24" s="2861"/>
      <c r="AX24" s="2861"/>
      <c r="AY24" s="2861"/>
      <c r="AZ24" s="2861"/>
      <c r="BA24" s="2861"/>
      <c r="BB24" s="2861"/>
      <c r="BC24" s="2861"/>
      <c r="BD24" s="2861"/>
      <c r="BE24" s="2861"/>
      <c r="BF24" s="2861"/>
      <c r="BG24" s="2861"/>
      <c r="BH24" s="2862"/>
    </row>
    <row r="25" spans="1:73" s="116" customFormat="1" ht="12.75" hidden="1" customHeight="1" outlineLevel="3">
      <c r="A25" s="114"/>
      <c r="B25" s="143"/>
      <c r="C25" s="144"/>
      <c r="D25" s="1517" t="s">
        <v>308</v>
      </c>
      <c r="E25" s="1663"/>
      <c r="F25" s="155"/>
      <c r="G25" s="1505"/>
      <c r="H25" s="144"/>
      <c r="I25" s="144"/>
      <c r="J25" s="144"/>
      <c r="K25" s="144"/>
      <c r="L25" s="144"/>
      <c r="M25" s="144"/>
      <c r="N25" s="144"/>
      <c r="O25" s="144"/>
      <c r="P25" s="144"/>
      <c r="Q25" s="144"/>
      <c r="R25" s="144"/>
      <c r="S25" s="144"/>
      <c r="T25" s="155"/>
      <c r="U25" s="144"/>
      <c r="V25" s="145"/>
      <c r="W25" s="153" t="s">
        <v>275</v>
      </c>
      <c r="Y25" s="159"/>
      <c r="Z25" s="1566"/>
      <c r="AA25" s="1566"/>
      <c r="AB25" s="1551"/>
      <c r="AC25" s="1551"/>
      <c r="AD25" s="1552"/>
      <c r="AE25" s="1616" t="s">
        <v>275</v>
      </c>
      <c r="AF25" s="114"/>
      <c r="AG25" s="2642" t="s">
        <v>444</v>
      </c>
      <c r="AH25" s="2643"/>
      <c r="AI25" s="2643"/>
      <c r="AJ25" s="2643"/>
      <c r="AK25" s="2643"/>
      <c r="AL25" s="2643"/>
      <c r="AM25" s="2643"/>
      <c r="AN25" s="2643"/>
      <c r="AO25" s="2873" t="s">
        <v>444</v>
      </c>
      <c r="AP25" s="2874"/>
      <c r="AQ25" s="1081"/>
      <c r="AR25" s="578"/>
      <c r="AU25" s="2863" t="s">
        <v>444</v>
      </c>
      <c r="AV25" s="2864"/>
      <c r="AW25" s="2864"/>
      <c r="AX25" s="2864"/>
      <c r="AY25" s="2864"/>
      <c r="AZ25" s="2864"/>
      <c r="BA25" s="2864"/>
      <c r="BB25" s="2864"/>
      <c r="BC25" s="2864" t="s">
        <v>444</v>
      </c>
      <c r="BD25" s="2865"/>
      <c r="BE25" s="1580"/>
      <c r="BF25" s="899"/>
      <c r="BG25" s="2863" t="s">
        <v>366</v>
      </c>
      <c r="BH25" s="2865"/>
      <c r="BJ25" s="2616" t="s">
        <v>1648</v>
      </c>
      <c r="BK25" s="2617"/>
      <c r="BL25" s="2617"/>
      <c r="BM25" s="2617"/>
      <c r="BN25" s="2617"/>
      <c r="BO25" s="2617"/>
      <c r="BP25" s="2617"/>
      <c r="BQ25" s="2617"/>
      <c r="BR25" s="2617"/>
      <c r="BS25" s="2617"/>
      <c r="BT25" s="2617"/>
      <c r="BU25" s="2618"/>
    </row>
    <row r="26" spans="1:73" s="127" customFormat="1" ht="12.75" hidden="1" customHeight="1" outlineLevel="3">
      <c r="A26" s="109"/>
      <c r="B26" s="1504" t="s">
        <v>383</v>
      </c>
      <c r="C26" s="144"/>
      <c r="D26" s="1517" t="s">
        <v>409</v>
      </c>
      <c r="E26" s="1663"/>
      <c r="F26" s="147" t="s">
        <v>772</v>
      </c>
      <c r="G26" s="147" t="s">
        <v>452</v>
      </c>
      <c r="H26" s="147" t="s">
        <v>343</v>
      </c>
      <c r="I26" s="2626" t="s">
        <v>1572</v>
      </c>
      <c r="J26" s="2627"/>
      <c r="K26" s="147" t="s">
        <v>343</v>
      </c>
      <c r="L26" s="2626" t="s">
        <v>1573</v>
      </c>
      <c r="M26" s="2627"/>
      <c r="N26" s="147" t="s">
        <v>343</v>
      </c>
      <c r="O26" s="2626" t="s">
        <v>1575</v>
      </c>
      <c r="P26" s="2627"/>
      <c r="Q26" s="147" t="s">
        <v>343</v>
      </c>
      <c r="R26" s="2626" t="s">
        <v>1574</v>
      </c>
      <c r="S26" s="2627"/>
      <c r="T26" s="147" t="s">
        <v>335</v>
      </c>
      <c r="U26" s="1517" t="s">
        <v>444</v>
      </c>
      <c r="V26" s="1520" t="s">
        <v>444</v>
      </c>
      <c r="W26" s="153" t="s">
        <v>276</v>
      </c>
      <c r="Y26" s="1553" t="s">
        <v>316</v>
      </c>
      <c r="Z26" s="1558" t="s">
        <v>316</v>
      </c>
      <c r="AA26" s="1559"/>
      <c r="AB26" s="1656" t="s">
        <v>444</v>
      </c>
      <c r="AC26" s="1656" t="s">
        <v>444</v>
      </c>
      <c r="AD26" s="1568" t="s">
        <v>444</v>
      </c>
      <c r="AE26" s="153" t="s">
        <v>276</v>
      </c>
      <c r="AF26" s="109"/>
      <c r="AG26" s="2631" t="s">
        <v>211</v>
      </c>
      <c r="AH26" s="2632"/>
      <c r="AI26" s="2632" t="s">
        <v>442</v>
      </c>
      <c r="AJ26" s="2632"/>
      <c r="AK26" s="2632" t="s">
        <v>267</v>
      </c>
      <c r="AL26" s="2632"/>
      <c r="AM26" s="2632" t="s">
        <v>443</v>
      </c>
      <c r="AN26" s="2632"/>
      <c r="AO26" s="2648" t="s">
        <v>327</v>
      </c>
      <c r="AP26" s="2649"/>
      <c r="AQ26" s="2631" t="s">
        <v>636</v>
      </c>
      <c r="AR26" s="2650"/>
      <c r="AU26" s="2866" t="s">
        <v>211</v>
      </c>
      <c r="AV26" s="2867"/>
      <c r="AW26" s="2867" t="s">
        <v>442</v>
      </c>
      <c r="AX26" s="2867"/>
      <c r="AY26" s="2867" t="s">
        <v>267</v>
      </c>
      <c r="AZ26" s="2867"/>
      <c r="BA26" s="2867" t="s">
        <v>443</v>
      </c>
      <c r="BB26" s="2867"/>
      <c r="BC26" s="2868" t="s">
        <v>327</v>
      </c>
      <c r="BD26" s="2869"/>
      <c r="BE26" s="2866" t="s">
        <v>636</v>
      </c>
      <c r="BF26" s="2870"/>
      <c r="BG26" s="2866" t="s">
        <v>444</v>
      </c>
      <c r="BH26" s="2870"/>
      <c r="BJ26" s="2614" t="s">
        <v>1646</v>
      </c>
      <c r="BK26" s="2645"/>
      <c r="BL26" s="2645"/>
      <c r="BM26" s="2615"/>
      <c r="BN26" s="2614" t="s">
        <v>1644</v>
      </c>
      <c r="BO26" s="2645"/>
      <c r="BP26" s="2645"/>
      <c r="BQ26" s="2615"/>
      <c r="BR26" s="2614" t="s">
        <v>1645</v>
      </c>
      <c r="BS26" s="2645"/>
      <c r="BT26" s="2645"/>
      <c r="BU26" s="2615"/>
    </row>
    <row r="27" spans="1:73" s="127" customFormat="1" ht="12.75" hidden="1" customHeight="1" outlineLevel="3">
      <c r="A27" s="109"/>
      <c r="B27" s="536" t="s">
        <v>1624</v>
      </c>
      <c r="C27" s="144"/>
      <c r="D27" s="1506" t="s">
        <v>444</v>
      </c>
      <c r="E27" s="1657"/>
      <c r="F27" s="1515" t="str">
        <f>Descriptif!$D$4&amp;" ?"</f>
        <v>2022 ?</v>
      </c>
      <c r="G27" s="1515" t="s">
        <v>453</v>
      </c>
      <c r="H27" s="1515" t="s">
        <v>1621</v>
      </c>
      <c r="I27" s="1516" t="s">
        <v>411</v>
      </c>
      <c r="J27" s="1516" t="s">
        <v>257</v>
      </c>
      <c r="K27" s="1515" t="s">
        <v>790</v>
      </c>
      <c r="L27" s="1516" t="s">
        <v>411</v>
      </c>
      <c r="M27" s="1516" t="s">
        <v>257</v>
      </c>
      <c r="N27" s="1515" t="s">
        <v>791</v>
      </c>
      <c r="O27" s="1516" t="s">
        <v>411</v>
      </c>
      <c r="P27" s="1516" t="s">
        <v>257</v>
      </c>
      <c r="Q27" s="1515" t="s">
        <v>213</v>
      </c>
      <c r="R27" s="1516" t="s">
        <v>411</v>
      </c>
      <c r="S27" s="1516" t="s">
        <v>257</v>
      </c>
      <c r="T27" s="1515" t="s">
        <v>336</v>
      </c>
      <c r="U27" s="1506" t="s">
        <v>411</v>
      </c>
      <c r="V27" s="220" t="s">
        <v>257</v>
      </c>
      <c r="W27" s="153" t="s">
        <v>444</v>
      </c>
      <c r="Y27" s="1553" t="s">
        <v>1649</v>
      </c>
      <c r="Z27" s="1556" t="s">
        <v>1650</v>
      </c>
      <c r="AA27" s="1557"/>
      <c r="AB27" s="1662" t="s">
        <v>411</v>
      </c>
      <c r="AC27" s="1662" t="s">
        <v>257</v>
      </c>
      <c r="AD27" s="162" t="s">
        <v>327</v>
      </c>
      <c r="AE27" s="153" t="s">
        <v>444</v>
      </c>
      <c r="AF27" s="109"/>
      <c r="AG27" s="1525" t="s">
        <v>411</v>
      </c>
      <c r="AH27" s="1526" t="s">
        <v>257</v>
      </c>
      <c r="AI27" s="1526" t="s">
        <v>411</v>
      </c>
      <c r="AJ27" s="1526" t="s">
        <v>257</v>
      </c>
      <c r="AK27" s="1526" t="s">
        <v>411</v>
      </c>
      <c r="AL27" s="1526" t="s">
        <v>257</v>
      </c>
      <c r="AM27" s="1526" t="s">
        <v>411</v>
      </c>
      <c r="AN27" s="1526" t="s">
        <v>257</v>
      </c>
      <c r="AO27" s="581" t="s">
        <v>411</v>
      </c>
      <c r="AP27" s="581" t="s">
        <v>257</v>
      </c>
      <c r="AQ27" s="1525" t="s">
        <v>411</v>
      </c>
      <c r="AR27" s="1527" t="s">
        <v>257</v>
      </c>
      <c r="AU27" s="1537" t="s">
        <v>411</v>
      </c>
      <c r="AV27" s="1541" t="s">
        <v>257</v>
      </c>
      <c r="AW27" s="1541" t="s">
        <v>411</v>
      </c>
      <c r="AX27" s="1541" t="s">
        <v>257</v>
      </c>
      <c r="AY27" s="1541" t="s">
        <v>411</v>
      </c>
      <c r="AZ27" s="1541" t="s">
        <v>257</v>
      </c>
      <c r="BA27" s="1541" t="s">
        <v>411</v>
      </c>
      <c r="BB27" s="1541" t="s">
        <v>257</v>
      </c>
      <c r="BC27" s="1542" t="s">
        <v>411</v>
      </c>
      <c r="BD27" s="1542" t="s">
        <v>257</v>
      </c>
      <c r="BE27" s="1537" t="s">
        <v>411</v>
      </c>
      <c r="BF27" s="1538" t="s">
        <v>257</v>
      </c>
      <c r="BG27" s="1541" t="s">
        <v>411</v>
      </c>
      <c r="BH27" s="1538" t="s">
        <v>257</v>
      </c>
      <c r="BJ27" s="1533" t="s">
        <v>1643</v>
      </c>
      <c r="BK27" s="1534" t="s">
        <v>1640</v>
      </c>
      <c r="BL27" s="1534" t="s">
        <v>1641</v>
      </c>
      <c r="BM27" s="1535" t="s">
        <v>1642</v>
      </c>
      <c r="BN27" s="1534" t="s">
        <v>1643</v>
      </c>
      <c r="BO27" s="1534" t="s">
        <v>1640</v>
      </c>
      <c r="BP27" s="1534" t="s">
        <v>1641</v>
      </c>
      <c r="BQ27" s="1534" t="s">
        <v>1642</v>
      </c>
      <c r="BR27" s="1533" t="s">
        <v>1643</v>
      </c>
      <c r="BS27" s="1534" t="s">
        <v>1640</v>
      </c>
      <c r="BT27" s="1534" t="s">
        <v>1641</v>
      </c>
      <c r="BU27" s="1535" t="s">
        <v>1642</v>
      </c>
    </row>
    <row r="28" spans="1:73" s="116" customFormat="1" ht="12.75" hidden="1" customHeight="1" outlineLevel="3">
      <c r="A28" s="114"/>
      <c r="B28" s="143" t="s">
        <v>1620</v>
      </c>
      <c r="C28" s="144"/>
      <c r="D28" s="315">
        <f>SUM(U28,V28)</f>
        <v>0</v>
      </c>
      <c r="E28" s="315"/>
      <c r="F28" s="391"/>
      <c r="G28" s="343"/>
      <c r="H28" s="1547"/>
      <c r="I28" s="335">
        <f>VLOOKUP($B28&amp;"; "&amp;$I$26&amp;", "&amp;I$27,'FE Energie'!$G:$U,9,FALSE)</f>
        <v>0.505</v>
      </c>
      <c r="J28" s="335">
        <f>VLOOKUP($B28&amp;"; "&amp;$I$26&amp;", "&amp;J$27,'FE Energie'!$G:$U,9,FALSE)</f>
        <v>3.02</v>
      </c>
      <c r="K28" s="1547"/>
      <c r="L28" s="223">
        <f>VLOOKUP($B28&amp;"; "&amp;$L$26&amp;", "&amp;L$27,'FE Energie'!$G:$U,9,FALSE)</f>
        <v>0.04</v>
      </c>
      <c r="M28" s="223">
        <f>VLOOKUP($B28&amp;"; "&amp;$L$26&amp;", "&amp;M$27,'FE Energie'!$G:$U,9,FALSE)</f>
        <v>0.23</v>
      </c>
      <c r="N28" s="1547"/>
      <c r="O28" s="217">
        <f>VLOOKUP($B28&amp;"; "&amp;$O$26&amp;", "&amp;O$27,'FE Energie'!$G:$U,9,FALSE)</f>
        <v>448</v>
      </c>
      <c r="P28" s="217">
        <f>VLOOKUP($B28&amp;"; "&amp;$O$26&amp;", "&amp;P$27,'FE Energie'!$G:$U,9,FALSE)</f>
        <v>2680</v>
      </c>
      <c r="Q28" s="1085"/>
      <c r="R28" s="223">
        <f>VLOOKUP($B28&amp;"; "&amp;$R$26&amp;", "&amp;R$27,'FE Energie'!$G:$U,9,FALSE)</f>
        <v>0.28100000000000003</v>
      </c>
      <c r="S28" s="223">
        <f>VLOOKUP($B28&amp;"; "&amp;$R$26&amp;", "&amp;S$27,'FE Energie'!$G:$U,9,FALSE)</f>
        <v>1.76</v>
      </c>
      <c r="T28" s="117"/>
      <c r="U28" s="566">
        <f>IF(T28=0,0,(IF(ISNA(H28*I28),0,H28*I28)+IF(ISNA(K28*L28),0,K28*L28)+IF(ISNA(N28*O28),0,N28*O28)+IF(ISNA(Q28*R28),0,Q28*R28))/T28)</f>
        <v>0</v>
      </c>
      <c r="V28" s="567">
        <f>IF(T28=0,0,(IF(ISNA(H28*J28),0,H28*J28)+IF(ISNA(K28*M28),0,K28*M28)+IF(ISNA(N28*P28),0,N28*P28)+IF(ISNA(Q28*S28),0,Q28*S28))/T28)</f>
        <v>0</v>
      </c>
      <c r="W28" s="1286">
        <f>IF(OR(G28=Utilitaires!$I$572,G28=Utilitaires!$I$577),V28,0)</f>
        <v>0</v>
      </c>
      <c r="Y28" s="1092">
        <f>IF(AD28=0,AD28,AD28/(U28+V28))</f>
        <v>0</v>
      </c>
      <c r="Z28" s="343"/>
      <c r="AA28" s="820"/>
      <c r="AB28" s="164">
        <f>IF(T28=0,0,SQRT(SUMSQ(IF(ISNA($H28*I28*BN28),0,$H28*I28*BN28),IF(ISNA($K28*L28*BO28),0,$K28*L28*BO28),IF(ISNA($N28*O28*BP28),0,$N28*O28*BP28),IF(ISNA($Q28*R28*BQ28),0,$Q28*R28*BQ28)))/T28)</f>
        <v>0</v>
      </c>
      <c r="AC28" s="164">
        <f>IF(T28=0,0,SQRT(SUMSQ(IF(ISNA($H28*J28*BR28),0,$H28*J28*BR28),IF(ISNA($K28*M28*BS28),0,$K28*M28*BS28),IF(ISNA($N28*P28*BT28),0,$N28*P28*BT28),IF(ISNA($Q28*S28*BU28),0,$Q28*S28*BU28)))/T28)</f>
        <v>0</v>
      </c>
      <c r="AD28" s="152">
        <f>SQRT(SUMSQ(AB28,AC28))</f>
        <v>0</v>
      </c>
      <c r="AE28" s="1286">
        <f>W28*Y28</f>
        <v>0</v>
      </c>
      <c r="AF28" s="114"/>
      <c r="AG28" s="564">
        <f>IF(T28=0,0,(
$H28*IF(ISNA(VLOOKUP($B28&amp;"; "&amp;$I$26&amp;", "&amp;I$27,'FE Energie'!$G:$U,10,FALSE)),0,VLOOKUP($B28&amp;"; "&amp;$I$26&amp;", "&amp;I$27,'FE Energie'!$G:$U,10,FALSE))
+$K28*IF(ISNA(VLOOKUP($B28&amp;"; "&amp;$L$26&amp;", "&amp;I$27,'FE Energie'!$G:$U,10,FALSE)),0,VLOOKUP($B28&amp;"; "&amp;$L$26&amp;", "&amp;I$27,'FE Energie'!$G:$U,10,FALSE))
+$N28*IF(ISNA(VLOOKUP($B28&amp;"; "&amp;$O$26&amp;", "&amp;I$27,'FE Energie'!$G:$U,10,FALSE)),0,VLOOKUP($B28&amp;"; "&amp;$O$26&amp;", "&amp;I$27,'FE Energie'!$G:$U,10,FALSE))
+$Q28*IF(ISNA(VLOOKUP($B28&amp;"; "&amp;$R$26&amp;", "&amp;I$27,'FE Energie'!$G:$U,10,FALSE)),0,VLOOKUP($B28&amp;"; "&amp;$R$26&amp;", "&amp;I$27,'FE Energie'!$G:$U,10,FALSE))
)/T28)</f>
        <v>0</v>
      </c>
      <c r="AH28" s="565">
        <f>IF(T28=0,0,(
$H28*IF(ISNA(VLOOKUP($B28&amp;"; "&amp;$I$26&amp;", "&amp;J$27,'FE Energie'!$G:$U,10,FALSE)),0,VLOOKUP($B28&amp;"; "&amp;$I$26&amp;", "&amp;J$27,'FE Energie'!$G:$U,10,FALSE))
+$K28*IF(ISNA(VLOOKUP($B28&amp;"; "&amp;$L$26&amp;", "&amp;J$27,'FE Energie'!$G:$U,10,FALSE)),0,VLOOKUP($B28&amp;"; "&amp;$L$26&amp;", "&amp;J$27,'FE Energie'!$G:$U,10,FALSE))
+$N28*IF(ISNA(VLOOKUP($B28&amp;"; "&amp;$O$26&amp;", "&amp;J$27,'FE Energie'!$G:$U,10,FALSE)),0,VLOOKUP($B28&amp;"; "&amp;$O$26&amp;", "&amp;J$27,'FE Energie'!$G:$U,10,FALSE))
+$Q28*IF(ISNA(VLOOKUP($B28&amp;"; "&amp;$R$26&amp;", "&amp;J$27,'FE Energie'!$G:$U,10,FALSE)),0,VLOOKUP($B28&amp;"; "&amp;$R$26&amp;", "&amp;J$27,'FE Energie'!$G:$U,10,FALSE))
)/T28)</f>
        <v>0</v>
      </c>
      <c r="AI28" s="620">
        <f>IF(T28=0,0,(
$H28*IF(ISNA((VLOOKUP($B28&amp;"; "&amp;$I$26&amp;", "&amp;I$27,'FE Energie'!$G:$U,12,FALSE)+VLOOKUP($B28&amp;"; "&amp;$I$26&amp;", "&amp;I$27,'FE Energie'!$G:$U,11,FALSE))),0,(VLOOKUP($B28&amp;"; "&amp;$I$26&amp;", "&amp;I$27,'FE Energie'!$G:$U,12,FALSE)+VLOOKUP($B28&amp;"; "&amp;$I$26&amp;", "&amp;I$27,'FE Energie'!$G:$U,11,FALSE)))
+$K28*IF(ISNA((VLOOKUP($B28&amp;"; "&amp;$L$26&amp;", "&amp;I$27,'FE Energie'!$G:$U,12,FALSE)+VLOOKUP($B28&amp;"; "&amp;$L$26&amp;", "&amp;I$27,'FE Energie'!$G:$U,11,FALSE))),0,(VLOOKUP($B28&amp;"; "&amp;$L$26&amp;", "&amp;I$27,'FE Energie'!$G:$U,12,FALSE)+VLOOKUP($B28&amp;"; "&amp;$L$26&amp;", "&amp;I$27,'FE Energie'!$G:$U,11,FALSE)))
+$N28*IF(ISNA((VLOOKUP($B28&amp;"; "&amp;$O$26&amp;", "&amp;I$27,'FE Energie'!$G:$U,12,FALSE)+VLOOKUP($B28&amp;"; "&amp;$O$26&amp;", "&amp;I$27,'FE Energie'!$G:$U,11,FALSE))),0,(VLOOKUP($B28&amp;"; "&amp;$O$26&amp;", "&amp;I$27,'FE Energie'!$G:$U,12,FALSE)+VLOOKUP($B28&amp;"; "&amp;$O$26&amp;", "&amp;I$27,'FE Energie'!$G:$U,11,FALSE)))
+$Q28*IF(ISNA((VLOOKUP($B28&amp;"; "&amp;$R$26&amp;", "&amp;I$27,'FE Energie'!$G:$U,12,FALSE)+VLOOKUP($B28&amp;"; "&amp;$R$26&amp;", "&amp;I$27,'FE Energie'!$G:$U,11,FALSE))),0,(VLOOKUP($B28&amp;"; "&amp;$R$26&amp;", "&amp;I$27,'FE Energie'!$G:$U,12,FALSE)+VLOOKUP($B28&amp;"; "&amp;$R$26&amp;", "&amp;I$27,'FE Energie'!$G:$U,11,FALSE)))
)/T28)</f>
        <v>0</v>
      </c>
      <c r="AJ28" s="620">
        <f>IF(T28=0,0,(
$H28*IF(ISNA((VLOOKUP($B28&amp;"; "&amp;$I$26&amp;", "&amp;J$27,'FE Energie'!$G:$U,12,FALSE)+VLOOKUP($B28&amp;"; "&amp;$I$26&amp;", "&amp;J$27,'FE Energie'!$G:$U,11,FALSE))),0,(VLOOKUP($B28&amp;"; "&amp;$I$26&amp;", "&amp;J$27,'FE Energie'!$G:$U,12,FALSE)+VLOOKUP($B28&amp;"; "&amp;$I$26&amp;", "&amp;J$27,'FE Energie'!$G:$U,11,FALSE)))
+$K28*IF(ISNA((VLOOKUP($B28&amp;"; "&amp;$L$26&amp;", "&amp;J$27,'FE Energie'!$G:$U,12,FALSE)+VLOOKUP($B28&amp;"; "&amp;$L$26&amp;", "&amp;J$27,'FE Energie'!$G:$U,11,FALSE))),0,(VLOOKUP($B28&amp;"; "&amp;$L$26&amp;", "&amp;J$27,'FE Energie'!$G:$U,12,FALSE)+VLOOKUP($B28&amp;"; "&amp;$L$26&amp;", "&amp;J$27,'FE Energie'!$G:$U,11,FALSE)))
+$N28*IF(ISNA((VLOOKUP($B28&amp;"; "&amp;$O$26&amp;", "&amp;J$27,'FE Energie'!$G:$U,12,FALSE)+VLOOKUP($B28&amp;"; "&amp;$O$26&amp;", "&amp;J$27,'FE Energie'!$G:$U,11,FALSE))),0,(VLOOKUP($B28&amp;"; "&amp;$O$26&amp;", "&amp;J$27,'FE Energie'!$G:$U,12,FALSE)+VLOOKUP($B28&amp;"; "&amp;$O$26&amp;", "&amp;J$27,'FE Energie'!$G:$U,11,FALSE)))
+$Q28*IF(ISNA((VLOOKUP($B28&amp;"; "&amp;$R$26&amp;", "&amp;J$27,'FE Energie'!$G:$U,12,FALSE)+VLOOKUP($B28&amp;"; "&amp;$R$26&amp;", "&amp;J$27,'FE Energie'!$G:$U,11,FALSE))),0,(VLOOKUP($B28&amp;"; "&amp;$R$26&amp;", "&amp;J$27,'FE Energie'!$G:$U,12,FALSE)+VLOOKUP($B28&amp;"; "&amp;$R$26&amp;", "&amp;J$27,'FE Energie'!$G:$U,11,FALSE)))
)/T28)</f>
        <v>0</v>
      </c>
      <c r="AK28" s="620">
        <f>IF(T28=0,0,(
$H28*IF(ISNA(VLOOKUP($B28&amp;"; "&amp;$I$26&amp;", "&amp;I$27,'FE Energie'!$G:$U,13,FALSE)),0,VLOOKUP($B28&amp;"; "&amp;$I$26&amp;", "&amp;I$27,'FE Energie'!$G:$U,13,FALSE))
+$K28*IF(ISNA(VLOOKUP($B28&amp;"; "&amp;$L$26&amp;", "&amp;I$27,'FE Energie'!$G:$U,13,FALSE)),0,VLOOKUP($B28&amp;"; "&amp;$L$26&amp;", "&amp;I$27,'FE Energie'!$G:$U,13,FALSE))
+$N28*IF(ISNA(VLOOKUP($B28&amp;"; "&amp;$O$26&amp;", "&amp;I$27,'FE Energie'!$G:$U,13,FALSE)),0,VLOOKUP($B28&amp;"; "&amp;$O$26&amp;", "&amp;I$27,'FE Energie'!$G:$U,13,FALSE))
+$Q28*IF(ISNA(VLOOKUP($B28&amp;"; "&amp;$R$26&amp;", "&amp;I$27,'FE Energie'!$G:$U,13,FALSE)),0,VLOOKUP($B28&amp;"; "&amp;$R$26&amp;", "&amp;I$27,'FE Energie'!$G:$U,13,FALSE))
)/T28)</f>
        <v>0</v>
      </c>
      <c r="AL28" s="620">
        <f>IF(T28=0,0,(
$H28*IF(ISNA(VLOOKUP($B28&amp;"; "&amp;$I$26&amp;", "&amp;J$27,'FE Energie'!$G:$U,13,FALSE)),0,VLOOKUP($B28&amp;"; "&amp;$I$26&amp;", "&amp;J$27,'FE Energie'!$G:$U,13,FALSE))
+$K28*IF(ISNA(VLOOKUP($B28&amp;"; "&amp;$L$26&amp;", "&amp;J$27,'FE Energie'!$G:$U,13,FALSE)),0,VLOOKUP($B28&amp;"; "&amp;$L$26&amp;", "&amp;J$27,'FE Energie'!$G:$U,13,FALSE))
+$N28*IF(ISNA(VLOOKUP($B28&amp;"; "&amp;$O$26&amp;", "&amp;J$27,'FE Energie'!$G:$U,13,FALSE)),0,VLOOKUP($B28&amp;"; "&amp;$O$26&amp;", "&amp;J$27,'FE Energie'!$G:$U,13,FALSE))
+$Q28*IF(ISNA(VLOOKUP($B28&amp;"; "&amp;$R$26&amp;", "&amp;J$27,'FE Energie'!$G:$U,13,FALSE)),0,VLOOKUP($B28&amp;"; "&amp;$R$26&amp;", "&amp;J$27,'FE Energie'!$G:$U,13,FALSE))
)/T28)</f>
        <v>0</v>
      </c>
      <c r="AM28" s="565">
        <f>IF(T28=0,0,(
$H28*IF(ISNA(VLOOKUP($B28&amp;"; "&amp;$I$26&amp;", "&amp;I$27,'FE Energie'!$G:$U,14,FALSE)),0,VLOOKUP($B28&amp;"; "&amp;$I$26&amp;", "&amp;I$27,'FE Energie'!$G:$U,14,FALSE))
+$K28*IF(ISNA(VLOOKUP($B28&amp;"; "&amp;$L$26&amp;", "&amp;I$27,'FE Energie'!$G:$U,14,FALSE)),0,VLOOKUP($B28&amp;"; "&amp;$L$26&amp;", "&amp;I$27,'FE Energie'!$G:$U,14,FALSE))
+$N28*IF(ISNA(VLOOKUP($B28&amp;"; "&amp;$O$26&amp;", "&amp;I$27,'FE Energie'!$G:$U,14,FALSE)),0,VLOOKUP($B28&amp;"; "&amp;$O$26&amp;", "&amp;I$27,'FE Energie'!$G:$U,14,FALSE))
+$Q28*IF(ISNA(VLOOKUP($B28&amp;"; "&amp;$R$26&amp;", "&amp;I$27,'FE Energie'!$G:$U,14,FALSE)),0,VLOOKUP($B28&amp;"; "&amp;$R$26&amp;", "&amp;I$27,'FE Energie'!$G:$U,14,FALSE))
)/T28)</f>
        <v>0</v>
      </c>
      <c r="AN28" s="565">
        <f>IF(T28=0,0,(
$H28*IF(ISNA(VLOOKUP($B28&amp;"; "&amp;$I$26&amp;", "&amp;J$27,'FE Energie'!$G:$U,14,FALSE)),0,VLOOKUP($B28&amp;"; "&amp;$I$26&amp;", "&amp;J$27,'FE Energie'!$G:$U,14,FALSE))
+$K28*IF(ISNA(VLOOKUP($B28&amp;"; "&amp;$L$26&amp;", "&amp;J$27,'FE Energie'!$G:$U,14,FALSE)),0,VLOOKUP($B28&amp;"; "&amp;$L$26&amp;", "&amp;J$27,'FE Energie'!$G:$U,14,FALSE))
+$N28*IF(ISNA(VLOOKUP($B28&amp;"; "&amp;$O$26&amp;", "&amp;J$27,'FE Energie'!$G:$U,14,FALSE)),0,VLOOKUP($B28&amp;"; "&amp;$O$26&amp;", "&amp;J$27,'FE Energie'!$G:$U,14,FALSE))
+$Q28*IF(ISNA(VLOOKUP($B28&amp;"; "&amp;$R$26&amp;", "&amp;J$27,'FE Energie'!$G:$U,14,FALSE)),0,VLOOKUP($B28&amp;"; "&amp;$R$26&amp;", "&amp;J$27,'FE Energie'!$G:$U,14,FALSE))
)/T28)</f>
        <v>0</v>
      </c>
      <c r="AO28" s="566">
        <f>SUM(AG28,AI28,AK28,AM28)</f>
        <v>0</v>
      </c>
      <c r="AP28" s="566">
        <f>SUM(AH28,AJ28,AL28,AN28)</f>
        <v>0</v>
      </c>
      <c r="AQ28" s="564">
        <f>$H28*IF(ISNA(VLOOKUP($B28&amp;"; "&amp;$I$26&amp;", "&amp;I$27,'FE Energie'!$G:$U,15,FALSE)),0,VLOOKUP($B28&amp;"; "&amp;$I$26&amp;", "&amp;I$27,'FE Energie'!$G:$U,15,FALSE))
+$K28*IF(ISNA(VLOOKUP($B28&amp;"; "&amp;$L$26&amp;", "&amp;I$27,'FE Energie'!$G:$U,15,FALSE)),0,VLOOKUP($B28&amp;"; "&amp;$L$26&amp;", "&amp;I$27,'FE Energie'!$G:$U,15,FALSE))
+$N28*IF(ISNA(VLOOKUP($B28&amp;"; "&amp;$O$26&amp;", "&amp;I$27,'FE Energie'!$G:$U,15,FALSE)),0,VLOOKUP($B28&amp;"; "&amp;$O$26&amp;", "&amp;I$27,'FE Energie'!$G:$U,15,FALSE))
+$Q28*IF(ISNA(VLOOKUP($B28&amp;"; "&amp;$R$26&amp;", "&amp;I$27,'FE Energie'!$G:$U,15,FALSE)),0,VLOOKUP($B28&amp;"; "&amp;$R$26&amp;", "&amp;I$27,'FE Energie'!$G:$U,15,FALSE))</f>
        <v>0</v>
      </c>
      <c r="AR28" s="568">
        <f>$H28*IF(ISNA(VLOOKUP($B28&amp;"; "&amp;$I$26&amp;", "&amp;J$27,'FE Energie'!$G:$U,15,FALSE)),0,VLOOKUP($B28&amp;"; "&amp;$I$26&amp;", "&amp;J$27,'FE Energie'!$G:$U,15,FALSE))
+$K28*IF(ISNA(VLOOKUP($B28&amp;"; "&amp;$L$26&amp;", "&amp;J$27,'FE Energie'!$G:$U,15,FALSE)),0,VLOOKUP($B28&amp;"; "&amp;$L$26&amp;", "&amp;J$27,'FE Energie'!$G:$U,15,FALSE))
+$N28*IF(ISNA(VLOOKUP($B28&amp;"; "&amp;$O$26&amp;", "&amp;J$27,'FE Energie'!$G:$U,15,FALSE)),0,VLOOKUP($B28&amp;"; "&amp;$O$26&amp;", "&amp;J$27,'FE Energie'!$G:$U,15,FALSE))
+$Q28*IF(ISNA(VLOOKUP($B28&amp;"; "&amp;$R$26&amp;", "&amp;J$27,'FE Energie'!$G:$U,15,FALSE)),0,VLOOKUP($B28&amp;"; "&amp;$R$26&amp;", "&amp;J$27,'FE Energie'!$G:$U,15,FALSE))</f>
        <v>0</v>
      </c>
      <c r="AU28" s="891" t="str">
        <f t="shared" ref="AU28:BB29" si="0">IF($F28="Oui",AG28*$T28,"")</f>
        <v/>
      </c>
      <c r="AV28" s="892" t="str">
        <f t="shared" si="0"/>
        <v/>
      </c>
      <c r="AW28" s="892" t="str">
        <f t="shared" si="0"/>
        <v/>
      </c>
      <c r="AX28" s="892" t="str">
        <f t="shared" si="0"/>
        <v/>
      </c>
      <c r="AY28" s="892" t="str">
        <f t="shared" si="0"/>
        <v/>
      </c>
      <c r="AZ28" s="892" t="str">
        <f t="shared" si="0"/>
        <v/>
      </c>
      <c r="BA28" s="892" t="str">
        <f t="shared" si="0"/>
        <v/>
      </c>
      <c r="BB28" s="892" t="str">
        <f t="shared" si="0"/>
        <v/>
      </c>
      <c r="BC28" s="900">
        <f>SUM(AU28,AW28,AY28,BA28)</f>
        <v>0</v>
      </c>
      <c r="BD28" s="900">
        <f>SUM(AV28,AX28,AZ28,BB28)</f>
        <v>0</v>
      </c>
      <c r="BE28" s="891" t="str">
        <f>IF($F28="Oui",IF(AQ28="","",AQ28*$T28),"")</f>
        <v/>
      </c>
      <c r="BF28" s="901" t="str">
        <f>IF($F28="Oui",IF(AR28="","",AR28*$T28),"")</f>
        <v/>
      </c>
      <c r="BG28" s="892" t="str">
        <f t="shared" ref="BG28:BH35" si="1">IF($F28="Oui",IF(AB28="","",AB28*$T28),"")</f>
        <v/>
      </c>
      <c r="BH28" s="901" t="str">
        <f t="shared" si="1"/>
        <v/>
      </c>
      <c r="BJ28" s="1065">
        <f>IF($Z28&lt;&gt;"votre valeur :",IF(ISNA(VLOOKUP($Z28,Utilitaires!$N$566:$O$571,2,FALSE)),,VLOOKUP($Z28,Utilitaires!$N$566:$O$571,2,FALSE)),$AA28)</f>
        <v>0</v>
      </c>
      <c r="BK28" s="1065">
        <f>IF($Z28&lt;&gt;"votre valeur :",IF(ISNA(VLOOKUP($Z28,Utilitaires!$N$566:$O$571,2,FALSE)),,VLOOKUP($Z28,Utilitaires!$N$566:$O$571,2,FALSE)),$AA28)</f>
        <v>0</v>
      </c>
      <c r="BL28" s="1065">
        <f>IF($Z28&lt;&gt;"votre valeur :",IF(ISNA(VLOOKUP($Z28,Utilitaires!$N$566:$O$571,2,FALSE)),,VLOOKUP($Z28,Utilitaires!$N$566:$O$571,2,FALSE)),$AA28)</f>
        <v>0</v>
      </c>
      <c r="BM28" s="1167">
        <f>IF($Z28&lt;&gt;"votre valeur :",IF(ISNA(VLOOKUP($Z28,Utilitaires!$N$566:$O$571,2,FALSE)),,VLOOKUP($Z28,Utilitaires!$N$566:$O$571,2,FALSE)),$AA28)</f>
        <v>0</v>
      </c>
      <c r="BN28" s="1068">
        <f>IF(ISNA(SQRT(SUMSQ(VLOOKUP($B28&amp;"; "&amp;$I$26&amp;", "&amp;$I$27,'FE Energie'!$G:$U,7,FALSE),$BJ28))),0,SQRT(SUMSQ(VLOOKUP($B28&amp;"; "&amp;$I$26&amp;", "&amp;$I$27,'FE Energie'!$G:$U,7,FALSE),$BJ28)))</f>
        <v>0.05</v>
      </c>
      <c r="BO28" s="1068">
        <f>IF(ISNA(SQRT(SUMSQ(VLOOKUP($B28&amp;"; "&amp;$L$26&amp;", "&amp;$L$27,'FE Energie'!$G:$U,7,FALSE),$BK28))),0,SQRT(SUMSQ(VLOOKUP($B28&amp;"; "&amp;$L$26&amp;", "&amp;$L$27,'FE Energie'!$G:$U,7,FALSE),$BK28)))</f>
        <v>0.05</v>
      </c>
      <c r="BP28" s="1068">
        <f>IF(ISNA(SQRT(SUMSQ(VLOOKUP($B28&amp;"; "&amp;$O$26&amp;", "&amp;$O$27,'FE Energie'!$G:$U,7,FALSE),$BL28))),0,SQRT(SUMSQ(VLOOKUP($B28&amp;"; "&amp;$O$26&amp;", "&amp;$O$27,'FE Energie'!$G:$U,7,FALSE),$BL28)))</f>
        <v>0.05</v>
      </c>
      <c r="BQ28" s="1068">
        <f>IF(ISNA(SQRT(SUMSQ(VLOOKUP($B28&amp;"; "&amp;$R$26&amp;", "&amp;$R$27,'FE Energie'!$G:$U,7,FALSE),$BM28))),0,SQRT(SUMSQ(VLOOKUP($B28&amp;"; "&amp;$R$26&amp;", "&amp;$R$27,'FE Energie'!$G:$U,7,FALSE),$BM28)))</f>
        <v>0.05</v>
      </c>
      <c r="BR28" s="1124">
        <f>IF(ISNA(SQRT(SUMSQ(VLOOKUP($B28&amp;"; "&amp;$I$26&amp;", "&amp;$J$27,'FE Energie'!$G:$U,7,FALSE),$BJ28))),0,SQRT(SUMSQ(VLOOKUP($B28&amp;"; "&amp;$I$26&amp;", "&amp;$J$27,'FE Energie'!$G:$U,7,FALSE),$BJ28)))</f>
        <v>0.05</v>
      </c>
      <c r="BS28" s="1070">
        <f>IF(ISNA(SQRT(SUMSQ(VLOOKUP($B28&amp;"; "&amp;$L$26&amp;", "&amp;$M$27,'FE Energie'!$G:$U,7,FALSE),$BK28))),0,SQRT(SUMSQ(VLOOKUP($B28&amp;"; "&amp;$L$26&amp;", "&amp;$M$27,'FE Energie'!$G:$U,7,FALSE),$BK28)))</f>
        <v>0.05</v>
      </c>
      <c r="BT28" s="1070">
        <f>IF(ISNA(SQRT(SUMSQ(VLOOKUP($B28&amp;"; "&amp;$O$26&amp;", "&amp;$P$27,'FE Energie'!$G:$U,7,FALSE),$BL28))),0,SQRT(SUMSQ(VLOOKUP($B28&amp;"; "&amp;$O$26&amp;", "&amp;$P$27,'FE Energie'!$G:$U,7,FALSE),$BL28)))</f>
        <v>0.05</v>
      </c>
      <c r="BU28" s="1071">
        <f>IF(ISNA(SQRT(SUMSQ(VLOOKUP($B28&amp;"; "&amp;$R$26&amp;", "&amp;$S$27,'FE Energie'!$G:$U,7,FALSE),$BM28))),0,SQRT(SUMSQ(VLOOKUP($B28&amp;"; "&amp;$R$26&amp;", "&amp;$S$27,'FE Energie'!$G:$U,7,FALSE),$BM28)))</f>
        <v>0.05</v>
      </c>
    </row>
    <row r="29" spans="1:73" s="116" customFormat="1" ht="12.75" hidden="1" customHeight="1" outlineLevel="3">
      <c r="A29" s="114"/>
      <c r="B29" s="143" t="s">
        <v>1623</v>
      </c>
      <c r="C29" s="144"/>
      <c r="D29" s="315">
        <f>SUM(U29,V29)</f>
        <v>0</v>
      </c>
      <c r="E29" s="315"/>
      <c r="F29" s="392"/>
      <c r="G29" s="345"/>
      <c r="H29" s="1548"/>
      <c r="I29" s="335">
        <f>VLOOKUP($B29&amp;"; "&amp;$I$26&amp;", "&amp;I$27,'FE Energie'!$G:$U,9,FALSE)</f>
        <v>0.48699999999999999</v>
      </c>
      <c r="J29" s="335">
        <f>VLOOKUP($B29&amp;"; "&amp;$I$26&amp;", "&amp;J$27,'FE Energie'!$G:$U,9,FALSE)</f>
        <v>2.97</v>
      </c>
      <c r="K29" s="1548"/>
      <c r="L29" s="223">
        <f>VLOOKUP($B29&amp;"; "&amp;$L$26&amp;", "&amp;L$27,'FE Energie'!$G:$U,9,FALSE)</f>
        <v>3.9E-2</v>
      </c>
      <c r="M29" s="223">
        <f>VLOOKUP($B29&amp;"; "&amp;$L$26&amp;", "&amp;M$27,'FE Energie'!$G:$U,9,FALSE)</f>
        <v>0.23300000000000001</v>
      </c>
      <c r="N29" s="1548"/>
      <c r="O29" s="217">
        <f>VLOOKUP($B29&amp;"; "&amp;$O$26&amp;", "&amp;O$27,'FE Energie'!$G:$U,9,FALSE)</f>
        <v>445</v>
      </c>
      <c r="P29" s="217">
        <f>VLOOKUP($B29&amp;"; "&amp;$O$26&amp;", "&amp;P$27,'FE Energie'!$G:$U,9,FALSE)</f>
        <v>2720</v>
      </c>
      <c r="Q29" s="1086"/>
      <c r="R29" s="223">
        <f>VLOOKUP($B29&amp;"; "&amp;$R$26&amp;", "&amp;R$27,'FE Energie'!$G:$U,9,FALSE)</f>
        <v>0.25600000000000001</v>
      </c>
      <c r="S29" s="223">
        <f>VLOOKUP($B29&amp;"; "&amp;$R$26&amp;", "&amp;S$27,'FE Energie'!$G:$U,9,FALSE)</f>
        <v>1.54</v>
      </c>
      <c r="T29" s="123"/>
      <c r="U29" s="566">
        <f t="shared" ref="U29:U35" si="2">IF(T29=0,0,(IF(ISNA(H29*I29),0,H29*I29)+IF(ISNA(K29*L29),0,K29*L29)+IF(ISNA(N29*O29),0,N29*O29)+IF(ISNA(Q29*R29),0,Q29*R29))/T29)</f>
        <v>0</v>
      </c>
      <c r="V29" s="567">
        <f t="shared" ref="V29:V35" si="3">IF(T29=0,0,(IF(ISNA(H29*J29),0,H29*J29)+IF(ISNA(K29*M29),0,K29*M29)+IF(ISNA(N29*P29),0,N29*P29)+IF(ISNA(Q29*S29),0,Q29*S29))/T29)</f>
        <v>0</v>
      </c>
      <c r="W29" s="1286">
        <f>IF(OR(G29=Utilitaires!$I$572,G29=Utilitaires!$I$577),V29,0)</f>
        <v>0</v>
      </c>
      <c r="Y29" s="1092">
        <f>IF(AD29=0,AD29,AD29/(U29+V29))</f>
        <v>0</v>
      </c>
      <c r="Z29" s="345"/>
      <c r="AA29" s="820"/>
      <c r="AB29" s="164">
        <f>IF(T29=0,0,SQRT(SUMSQ(IF(ISNA($H29*I29*BN29),0,$H29*I29*BN29),IF(ISNA($K29*L29*BO29),0,$K29*L29*BO29),IF(ISNA($N29*O29*BP29),0,$N29*O29*BP29),IF(ISNA($Q29*R29*BQ29),0,$Q29*R29*BQ29)))/T29)</f>
        <v>0</v>
      </c>
      <c r="AC29" s="164">
        <f>IF(T29=0,0,SQRT(SUMSQ(IF(ISNA($H29*J29*BR29),0,$H29*J29*BR29),IF(ISNA($K29*M29*BS29),0,$K29*M29*BS29),IF(ISNA($N29*P29*BT29),0,$N29*P29*BT29),IF(ISNA($Q29*S29*BU29),0,$Q29*S29*BU29)))/T29)</f>
        <v>0</v>
      </c>
      <c r="AD29" s="152">
        <f t="shared" ref="AD29:AD35" si="4">SQRT(SUMSQ(AB29,AC29))</f>
        <v>0</v>
      </c>
      <c r="AE29" s="1286">
        <f t="shared" ref="AE29:AE35" si="5">W29*Y29</f>
        <v>0</v>
      </c>
      <c r="AF29" s="114"/>
      <c r="AG29" s="564">
        <f>IF(T29=0,0,(
$H29*IF(ISNA(VLOOKUP($B29&amp;"; "&amp;$I$26&amp;", "&amp;I$27,'FE Energie'!$G:$U,10,FALSE)),0,VLOOKUP($B29&amp;"; "&amp;$I$26&amp;", "&amp;I$27,'FE Energie'!$G:$U,10,FALSE))
+$K29*IF(ISNA(VLOOKUP($B29&amp;"; "&amp;$L$26&amp;", "&amp;I$27,'FE Energie'!$G:$U,10,FALSE)),0,VLOOKUP($B29&amp;"; "&amp;$L$26&amp;", "&amp;I$27,'FE Energie'!$G:$U,10,FALSE))
+$N29*IF(ISNA(VLOOKUP($B29&amp;"; "&amp;$O$26&amp;", "&amp;I$27,'FE Energie'!$G:$U,10,FALSE)),0,VLOOKUP($B29&amp;"; "&amp;$O$26&amp;", "&amp;I$27,'FE Energie'!$G:$U,10,FALSE))
+$Q29*IF(ISNA(VLOOKUP($B29&amp;"; "&amp;$R$26&amp;", "&amp;I$27,'FE Energie'!$G:$U,10,FALSE)),0,VLOOKUP($B29&amp;"; "&amp;$R$26&amp;", "&amp;I$27,'FE Energie'!$G:$U,10,FALSE))
)/T29)</f>
        <v>0</v>
      </c>
      <c r="AH29" s="565">
        <f>IF(T29=0,0,(
$H29*IF(ISNA(VLOOKUP($B29&amp;"; "&amp;$I$26&amp;", "&amp;J$27,'FE Energie'!$G:$U,10,FALSE)),0,VLOOKUP($B29&amp;"; "&amp;$I$26&amp;", "&amp;J$27,'FE Energie'!$G:$U,10,FALSE))
+$K29*IF(ISNA(VLOOKUP($B29&amp;"; "&amp;$L$26&amp;", "&amp;J$27,'FE Energie'!$G:$U,10,FALSE)),0,VLOOKUP($B29&amp;"; "&amp;$L$26&amp;", "&amp;J$27,'FE Energie'!$G:$U,10,FALSE))
+$N29*IF(ISNA(VLOOKUP($B29&amp;"; "&amp;$O$26&amp;", "&amp;J$27,'FE Energie'!$G:$U,10,FALSE)),0,VLOOKUP($B29&amp;"; "&amp;$O$26&amp;", "&amp;J$27,'FE Energie'!$G:$U,10,FALSE))
+$Q29*IF(ISNA(VLOOKUP($B29&amp;"; "&amp;$R$26&amp;", "&amp;J$27,'FE Energie'!$G:$U,10,FALSE)),0,VLOOKUP($B29&amp;"; "&amp;$R$26&amp;", "&amp;J$27,'FE Energie'!$G:$U,10,FALSE))
)/T29)</f>
        <v>0</v>
      </c>
      <c r="AI29" s="620">
        <f>IF(T29=0,0,(
$H29*IF(ISNA((VLOOKUP($B29&amp;"; "&amp;$I$26&amp;", "&amp;I$27,'FE Energie'!$G:$U,12,FALSE)+VLOOKUP($B29&amp;"; "&amp;$I$26&amp;", "&amp;I$27,'FE Energie'!$G:$U,11,FALSE))),0,(VLOOKUP($B29&amp;"; "&amp;$I$26&amp;", "&amp;I$27,'FE Energie'!$G:$U,12,FALSE)+VLOOKUP($B29&amp;"; "&amp;$I$26&amp;", "&amp;I$27,'FE Energie'!$G:$U,11,FALSE)))
+$K29*IF(ISNA((VLOOKUP($B29&amp;"; "&amp;$L$26&amp;", "&amp;I$27,'FE Energie'!$G:$U,12,FALSE)+VLOOKUP($B29&amp;"; "&amp;$L$26&amp;", "&amp;I$27,'FE Energie'!$G:$U,11,FALSE))),0,(VLOOKUP($B29&amp;"; "&amp;$L$26&amp;", "&amp;I$27,'FE Energie'!$G:$U,12,FALSE)+VLOOKUP($B29&amp;"; "&amp;$L$26&amp;", "&amp;I$27,'FE Energie'!$G:$U,11,FALSE)))
+$N29*IF(ISNA((VLOOKUP($B29&amp;"; "&amp;$O$26&amp;", "&amp;I$27,'FE Energie'!$G:$U,12,FALSE)+VLOOKUP($B29&amp;"; "&amp;$O$26&amp;", "&amp;I$27,'FE Energie'!$G:$U,11,FALSE))),0,(VLOOKUP($B29&amp;"; "&amp;$O$26&amp;", "&amp;I$27,'FE Energie'!$G:$U,12,FALSE)+VLOOKUP($B29&amp;"; "&amp;$O$26&amp;", "&amp;I$27,'FE Energie'!$G:$U,11,FALSE)))
+$Q29*IF(ISNA((VLOOKUP($B29&amp;"; "&amp;$R$26&amp;", "&amp;I$27,'FE Energie'!$G:$U,12,FALSE)+VLOOKUP($B29&amp;"; "&amp;$R$26&amp;", "&amp;I$27,'FE Energie'!$G:$U,11,FALSE))),0,(VLOOKUP($B29&amp;"; "&amp;$R$26&amp;", "&amp;I$27,'FE Energie'!$G:$U,12,FALSE)+VLOOKUP($B29&amp;"; "&amp;$R$26&amp;", "&amp;I$27,'FE Energie'!$G:$U,11,FALSE)))
)/T29)</f>
        <v>0</v>
      </c>
      <c r="AJ29" s="620">
        <f>IF(T29=0,0,(
$H29*IF(ISNA((VLOOKUP($B29&amp;"; "&amp;$I$26&amp;", "&amp;J$27,'FE Energie'!$G:$U,12,FALSE)+VLOOKUP($B29&amp;"; "&amp;$I$26&amp;", "&amp;J$27,'FE Energie'!$G:$U,11,FALSE))),0,(VLOOKUP($B29&amp;"; "&amp;$I$26&amp;", "&amp;J$27,'FE Energie'!$G:$U,12,FALSE)+VLOOKUP($B29&amp;"; "&amp;$I$26&amp;", "&amp;J$27,'FE Energie'!$G:$U,11,FALSE)))
+$K29*IF(ISNA((VLOOKUP($B29&amp;"; "&amp;$L$26&amp;", "&amp;J$27,'FE Energie'!$G:$U,12,FALSE)+VLOOKUP($B29&amp;"; "&amp;$L$26&amp;", "&amp;J$27,'FE Energie'!$G:$U,11,FALSE))),0,(VLOOKUP($B29&amp;"; "&amp;$L$26&amp;", "&amp;J$27,'FE Energie'!$G:$U,12,FALSE)+VLOOKUP($B29&amp;"; "&amp;$L$26&amp;", "&amp;J$27,'FE Energie'!$G:$U,11,FALSE)))
+$N29*IF(ISNA((VLOOKUP($B29&amp;"; "&amp;$O$26&amp;", "&amp;J$27,'FE Energie'!$G:$U,12,FALSE)+VLOOKUP($B29&amp;"; "&amp;$O$26&amp;", "&amp;J$27,'FE Energie'!$G:$U,11,FALSE))),0,(VLOOKUP($B29&amp;"; "&amp;$O$26&amp;", "&amp;J$27,'FE Energie'!$G:$U,12,FALSE)+VLOOKUP($B29&amp;"; "&amp;$O$26&amp;", "&amp;J$27,'FE Energie'!$G:$U,11,FALSE)))
+$Q29*IF(ISNA((VLOOKUP($B29&amp;"; "&amp;$R$26&amp;", "&amp;J$27,'FE Energie'!$G:$U,12,FALSE)+VLOOKUP($B29&amp;"; "&amp;$R$26&amp;", "&amp;J$27,'FE Energie'!$G:$U,11,FALSE))),0,(VLOOKUP($B29&amp;"; "&amp;$R$26&amp;", "&amp;J$27,'FE Energie'!$G:$U,12,FALSE)+VLOOKUP($B29&amp;"; "&amp;$R$26&amp;", "&amp;J$27,'FE Energie'!$G:$U,11,FALSE)))
)/T29)</f>
        <v>0</v>
      </c>
      <c r="AK29" s="620">
        <f>IF(T29=0,0,(
$H29*IF(ISNA(VLOOKUP($B29&amp;"; "&amp;$I$26&amp;", "&amp;I$27,'FE Energie'!$G:$U,13,FALSE)),0,VLOOKUP($B29&amp;"; "&amp;$I$26&amp;", "&amp;I$27,'FE Energie'!$G:$U,13,FALSE))
+$K29*IF(ISNA(VLOOKUP($B29&amp;"; "&amp;$L$26&amp;", "&amp;I$27,'FE Energie'!$G:$U,13,FALSE)),0,VLOOKUP($B29&amp;"; "&amp;$L$26&amp;", "&amp;I$27,'FE Energie'!$G:$U,13,FALSE))
+$N29*IF(ISNA(VLOOKUP($B29&amp;"; "&amp;$O$26&amp;", "&amp;I$27,'FE Energie'!$G:$U,13,FALSE)),0,VLOOKUP($B29&amp;"; "&amp;$O$26&amp;", "&amp;I$27,'FE Energie'!$G:$U,13,FALSE))
+$Q29*IF(ISNA(VLOOKUP($B29&amp;"; "&amp;$R$26&amp;", "&amp;I$27,'FE Energie'!$G:$U,13,FALSE)),0,VLOOKUP($B29&amp;"; "&amp;$R$26&amp;", "&amp;I$27,'FE Energie'!$G:$U,13,FALSE))
)/T29)</f>
        <v>0</v>
      </c>
      <c r="AL29" s="620">
        <f>IF(T29=0,0,(
$H29*IF(ISNA(VLOOKUP($B29&amp;"; "&amp;$I$26&amp;", "&amp;J$27,'FE Energie'!$G:$U,13,FALSE)),0,VLOOKUP($B29&amp;"; "&amp;$I$26&amp;", "&amp;J$27,'FE Energie'!$G:$U,13,FALSE))
+$K29*IF(ISNA(VLOOKUP($B29&amp;"; "&amp;$L$26&amp;", "&amp;J$27,'FE Energie'!$G:$U,13,FALSE)),0,VLOOKUP($B29&amp;"; "&amp;$L$26&amp;", "&amp;J$27,'FE Energie'!$G:$U,13,FALSE))
+$N29*IF(ISNA(VLOOKUP($B29&amp;"; "&amp;$O$26&amp;", "&amp;J$27,'FE Energie'!$G:$U,13,FALSE)),0,VLOOKUP($B29&amp;"; "&amp;$O$26&amp;", "&amp;J$27,'FE Energie'!$G:$U,13,FALSE))
+$Q29*IF(ISNA(VLOOKUP($B29&amp;"; "&amp;$R$26&amp;", "&amp;J$27,'FE Energie'!$G:$U,13,FALSE)),0,VLOOKUP($B29&amp;"; "&amp;$R$26&amp;", "&amp;J$27,'FE Energie'!$G:$U,13,FALSE))
)/T29)</f>
        <v>0</v>
      </c>
      <c r="AM29" s="565">
        <f>IF(T29=0,0,(
$H29*IF(ISNA(VLOOKUP($B29&amp;"; "&amp;$I$26&amp;", "&amp;I$27,'FE Energie'!$G:$U,14,FALSE)),0,VLOOKUP($B29&amp;"; "&amp;$I$26&amp;", "&amp;I$27,'FE Energie'!$G:$U,14,FALSE))
+$K29*IF(ISNA(VLOOKUP($B29&amp;"; "&amp;$L$26&amp;", "&amp;I$27,'FE Energie'!$G:$U,14,FALSE)),0,VLOOKUP($B29&amp;"; "&amp;$L$26&amp;", "&amp;I$27,'FE Energie'!$G:$U,14,FALSE))
+$N29*IF(ISNA(VLOOKUP($B29&amp;"; "&amp;$O$26&amp;", "&amp;I$27,'FE Energie'!$G:$U,14,FALSE)),0,VLOOKUP($B29&amp;"; "&amp;$O$26&amp;", "&amp;I$27,'FE Energie'!$G:$U,14,FALSE))
+$Q29*IF(ISNA(VLOOKUP($B29&amp;"; "&amp;$R$26&amp;", "&amp;I$27,'FE Energie'!$G:$U,14,FALSE)),0,VLOOKUP($B29&amp;"; "&amp;$R$26&amp;", "&amp;I$27,'FE Energie'!$G:$U,14,FALSE))
)/T29)</f>
        <v>0</v>
      </c>
      <c r="AN29" s="565">
        <f>IF(T29=0,0,(
$H29*IF(ISNA(VLOOKUP($B29&amp;"; "&amp;$I$26&amp;", "&amp;J$27,'FE Energie'!$G:$U,14,FALSE)),0,VLOOKUP($B29&amp;"; "&amp;$I$26&amp;", "&amp;J$27,'FE Energie'!$G:$U,14,FALSE))
+$K29*IF(ISNA(VLOOKUP($B29&amp;"; "&amp;$L$26&amp;", "&amp;J$27,'FE Energie'!$G:$U,14,FALSE)),0,VLOOKUP($B29&amp;"; "&amp;$L$26&amp;", "&amp;J$27,'FE Energie'!$G:$U,14,FALSE))
+$N29*IF(ISNA(VLOOKUP($B29&amp;"; "&amp;$O$26&amp;", "&amp;J$27,'FE Energie'!$G:$U,14,FALSE)),0,VLOOKUP($B29&amp;"; "&amp;$O$26&amp;", "&amp;J$27,'FE Energie'!$G:$U,14,FALSE))
+$Q29*IF(ISNA(VLOOKUP($B29&amp;"; "&amp;$R$26&amp;", "&amp;J$27,'FE Energie'!$G:$U,14,FALSE)),0,VLOOKUP($B29&amp;"; "&amp;$R$26&amp;", "&amp;J$27,'FE Energie'!$G:$U,14,FALSE))
)/T29)</f>
        <v>0</v>
      </c>
      <c r="AO29" s="566">
        <f t="shared" ref="AO29:AO35" si="6">SUM(AG29,AI29,AK29,AM29)</f>
        <v>0</v>
      </c>
      <c r="AP29" s="566">
        <f t="shared" ref="AP29:AP35" si="7">SUM(AH29,AJ29,AL29,AN29)</f>
        <v>0</v>
      </c>
      <c r="AQ29" s="564">
        <f>$H29*IF(ISNA(VLOOKUP($B29&amp;"; "&amp;$I$26&amp;", "&amp;I$27,'FE Energie'!$G:$U,15,FALSE)),0,VLOOKUP($B29&amp;"; "&amp;$I$26&amp;", "&amp;I$27,'FE Energie'!$G:$U,15,FALSE))
+$K29*IF(ISNA(VLOOKUP($B29&amp;"; "&amp;$L$26&amp;", "&amp;I$27,'FE Energie'!$G:$U,15,FALSE)),0,VLOOKUP($B29&amp;"; "&amp;$L$26&amp;", "&amp;I$27,'FE Energie'!$G:$U,15,FALSE))
+$N29*IF(ISNA(VLOOKUP($B29&amp;"; "&amp;$O$26&amp;", "&amp;I$27,'FE Energie'!$G:$U,15,FALSE)),0,VLOOKUP($B29&amp;"; "&amp;$O$26&amp;", "&amp;I$27,'FE Energie'!$G:$U,15,FALSE))
+$Q29*IF(ISNA(VLOOKUP($B29&amp;"; "&amp;$R$26&amp;", "&amp;I$27,'FE Energie'!$G:$U,15,FALSE)),0,VLOOKUP($B29&amp;"; "&amp;$R$26&amp;", "&amp;I$27,'FE Energie'!$G:$U,15,FALSE))</f>
        <v>0</v>
      </c>
      <c r="AR29" s="568">
        <f>$H29*IF(ISNA(VLOOKUP($B29&amp;"; "&amp;$I$26&amp;", "&amp;J$27,'FE Energie'!$G:$U,15,FALSE)),0,VLOOKUP($B29&amp;"; "&amp;$I$26&amp;", "&amp;J$27,'FE Energie'!$G:$U,15,FALSE))
+$K29*IF(ISNA(VLOOKUP($B29&amp;"; "&amp;$L$26&amp;", "&amp;J$27,'FE Energie'!$G:$U,15,FALSE)),0,VLOOKUP($B29&amp;"; "&amp;$L$26&amp;", "&amp;J$27,'FE Energie'!$G:$U,15,FALSE))
+$N29*IF(ISNA(VLOOKUP($B29&amp;"; "&amp;$O$26&amp;", "&amp;J$27,'FE Energie'!$G:$U,15,FALSE)),0,VLOOKUP($B29&amp;"; "&amp;$O$26&amp;", "&amp;J$27,'FE Energie'!$G:$U,15,FALSE))
+$Q29*IF(ISNA(VLOOKUP($B29&amp;"; "&amp;$R$26&amp;", "&amp;J$27,'FE Energie'!$G:$U,15,FALSE)),0,VLOOKUP($B29&amp;"; "&amp;$R$26&amp;", "&amp;J$27,'FE Energie'!$G:$U,15,FALSE))</f>
        <v>0</v>
      </c>
      <c r="AU29" s="891" t="str">
        <f t="shared" si="0"/>
        <v/>
      </c>
      <c r="AV29" s="892" t="str">
        <f t="shared" si="0"/>
        <v/>
      </c>
      <c r="AW29" s="892" t="str">
        <f t="shared" si="0"/>
        <v/>
      </c>
      <c r="AX29" s="892" t="str">
        <f t="shared" si="0"/>
        <v/>
      </c>
      <c r="AY29" s="892" t="str">
        <f t="shared" si="0"/>
        <v/>
      </c>
      <c r="AZ29" s="892" t="str">
        <f t="shared" si="0"/>
        <v/>
      </c>
      <c r="BA29" s="892" t="str">
        <f t="shared" si="0"/>
        <v/>
      </c>
      <c r="BB29" s="892" t="str">
        <f t="shared" si="0"/>
        <v/>
      </c>
      <c r="BC29" s="900">
        <f t="shared" ref="BC29:BC35" si="8">SUM(AU29,AW29,AY29,BA29)</f>
        <v>0</v>
      </c>
      <c r="BD29" s="900">
        <f t="shared" ref="BD29:BD35" si="9">SUM(AV29,AX29,AZ29,BB29)</f>
        <v>0</v>
      </c>
      <c r="BE29" s="891" t="str">
        <f>IF($F29="Oui",IF(AQ29="","",AQ29*$T29),"")</f>
        <v/>
      </c>
      <c r="BF29" s="901" t="str">
        <f>IF($F29="Oui",IF(AR29="","",AR29*$T29),"")</f>
        <v/>
      </c>
      <c r="BG29" s="892" t="str">
        <f t="shared" si="1"/>
        <v/>
      </c>
      <c r="BH29" s="901" t="str">
        <f t="shared" si="1"/>
        <v/>
      </c>
      <c r="BJ29" s="1065">
        <f>IF($Z29&lt;&gt;"votre valeur :",IF(ISNA(VLOOKUP($Z29,Utilitaires!$N$566:$O$571,2,FALSE)),,VLOOKUP($Z29,Utilitaires!$N$566:$O$571,2,FALSE)),$AA29)</f>
        <v>0</v>
      </c>
      <c r="BK29" s="1065">
        <f>IF($Z29&lt;&gt;"votre valeur :",IF(ISNA(VLOOKUP($Z29,Utilitaires!$N$566:$O$571,2,FALSE)),,VLOOKUP($Z29,Utilitaires!$N$566:$O$571,2,FALSE)),$AA29)</f>
        <v>0</v>
      </c>
      <c r="BL29" s="1065">
        <f>IF($Z29&lt;&gt;"votre valeur :",IF(ISNA(VLOOKUP($Z29,Utilitaires!$N$566:$O$571,2,FALSE)),,VLOOKUP($Z29,Utilitaires!$N$566:$O$571,2,FALSE)),$AA29)</f>
        <v>0</v>
      </c>
      <c r="BM29" s="1167">
        <f>IF($Z29&lt;&gt;"votre valeur :",IF(ISNA(VLOOKUP($Z29,Utilitaires!$N$566:$O$571,2,FALSE)),,VLOOKUP($Z29,Utilitaires!$N$566:$O$571,2,FALSE)),$AA29)</f>
        <v>0</v>
      </c>
      <c r="BN29" s="1068">
        <f>IF(ISNA(SQRT(SUMSQ(VLOOKUP($B29&amp;"; "&amp;$I$26&amp;", "&amp;$I$27,'FE Energie'!$G:$U,7,FALSE),$BJ29))),0,SQRT(SUMSQ(VLOOKUP($B29&amp;"; "&amp;$I$26&amp;", "&amp;$I$27,'FE Energie'!$G:$U,7,FALSE),$BJ29)))</f>
        <v>0.05</v>
      </c>
      <c r="BO29" s="1068">
        <f>IF(ISNA(SQRT(SUMSQ(VLOOKUP($B29&amp;"; "&amp;$L$26&amp;", "&amp;$L$27,'FE Energie'!$G:$U,7,FALSE),$BK29))),0,SQRT(SUMSQ(VLOOKUP($B29&amp;"; "&amp;$L$26&amp;", "&amp;$L$27,'FE Energie'!$G:$U,7,FALSE),$BK29)))</f>
        <v>0.05</v>
      </c>
      <c r="BP29" s="1068">
        <f>IF(ISNA(SQRT(SUMSQ(VLOOKUP($B29&amp;"; "&amp;$O$26&amp;", "&amp;$O$27,'FE Energie'!$G:$U,7,FALSE),$BL29))),0,SQRT(SUMSQ(VLOOKUP($B29&amp;"; "&amp;$O$26&amp;", "&amp;$O$27,'FE Energie'!$G:$U,7,FALSE),$BL29)))</f>
        <v>0.05</v>
      </c>
      <c r="BQ29" s="1068">
        <f>IF(ISNA(SQRT(SUMSQ(VLOOKUP($B29&amp;"; "&amp;$R$26&amp;", "&amp;$R$27,'FE Energie'!$G:$U,7,FALSE),$BM29))),0,SQRT(SUMSQ(VLOOKUP($B29&amp;"; "&amp;$R$26&amp;", "&amp;$R$27,'FE Energie'!$G:$U,7,FALSE),$BM29)))</f>
        <v>0.05</v>
      </c>
      <c r="BR29" s="1124">
        <f>IF(ISNA(SQRT(SUMSQ(VLOOKUP($B29&amp;"; "&amp;$I$26&amp;", "&amp;$J$27,'FE Energie'!$G:$U,7,FALSE),$BJ29))),0,SQRT(SUMSQ(VLOOKUP($B29&amp;"; "&amp;$I$26&amp;", "&amp;$J$27,'FE Energie'!$G:$U,7,FALSE),$BJ29)))</f>
        <v>0.05</v>
      </c>
      <c r="BS29" s="1070">
        <f>IF(ISNA(SQRT(SUMSQ(VLOOKUP($B29&amp;"; "&amp;$L$26&amp;", "&amp;$M$27,'FE Energie'!$G:$U,7,FALSE),$BK29))),0,SQRT(SUMSQ(VLOOKUP($B29&amp;"; "&amp;$L$26&amp;", "&amp;$M$27,'FE Energie'!$G:$U,7,FALSE),$BK29)))</f>
        <v>0.05</v>
      </c>
      <c r="BT29" s="1070">
        <f>IF(ISNA(SQRT(SUMSQ(VLOOKUP($B29&amp;"; "&amp;$O$26&amp;", "&amp;$P$27,'FE Energie'!$G:$U,7,FALSE),$BL29))),0,SQRT(SUMSQ(VLOOKUP($B29&amp;"; "&amp;$O$26&amp;", "&amp;$P$27,'FE Energie'!$G:$U,7,FALSE),$BL29)))</f>
        <v>0.05</v>
      </c>
      <c r="BU29" s="1071">
        <f>IF(ISNA(SQRT(SUMSQ(VLOOKUP($B29&amp;"; "&amp;$R$26&amp;", "&amp;$S$27,'FE Energie'!$G:$U,7,FALSE),$BM29))),0,SQRT(SUMSQ(VLOOKUP($B29&amp;"; "&amp;$R$26&amp;", "&amp;$S$27,'FE Energie'!$G:$U,7,FALSE),$BM29)))</f>
        <v>0.05</v>
      </c>
    </row>
    <row r="30" spans="1:73" s="116" customFormat="1" ht="12.75" hidden="1" customHeight="1" outlineLevel="3">
      <c r="A30" s="114"/>
      <c r="B30" s="536" t="s">
        <v>1637</v>
      </c>
      <c r="C30" s="144"/>
      <c r="D30" s="315"/>
      <c r="E30" s="315"/>
      <c r="F30" s="141"/>
      <c r="G30" s="822"/>
      <c r="H30" s="1583"/>
      <c r="I30" s="335"/>
      <c r="J30" s="335"/>
      <c r="K30" s="1583"/>
      <c r="L30" s="223"/>
      <c r="M30" s="223"/>
      <c r="N30" s="1583"/>
      <c r="O30" s="217"/>
      <c r="P30" s="217"/>
      <c r="Q30" s="1200"/>
      <c r="R30" s="223"/>
      <c r="S30" s="223"/>
      <c r="T30" s="1200"/>
      <c r="U30" s="566"/>
      <c r="V30" s="567"/>
      <c r="W30" s="1286"/>
      <c r="Y30" s="1092"/>
      <c r="Z30" s="820"/>
      <c r="AA30" s="820"/>
      <c r="AB30" s="164"/>
      <c r="AC30" s="164"/>
      <c r="AD30" s="152"/>
      <c r="AE30" s="1286"/>
      <c r="AF30" s="114"/>
      <c r="AG30" s="564"/>
      <c r="AH30" s="565"/>
      <c r="AI30" s="620"/>
      <c r="AJ30" s="620"/>
      <c r="AK30" s="620"/>
      <c r="AL30" s="620"/>
      <c r="AM30" s="565"/>
      <c r="AN30" s="565"/>
      <c r="AO30" s="566"/>
      <c r="AP30" s="566"/>
      <c r="AQ30" s="564"/>
      <c r="AR30" s="568"/>
      <c r="AU30" s="891"/>
      <c r="AV30" s="892"/>
      <c r="AW30" s="892"/>
      <c r="AX30" s="892"/>
      <c r="AY30" s="892"/>
      <c r="AZ30" s="892"/>
      <c r="BA30" s="892"/>
      <c r="BB30" s="892"/>
      <c r="BC30" s="900"/>
      <c r="BD30" s="900"/>
      <c r="BE30" s="891"/>
      <c r="BF30" s="901"/>
      <c r="BG30" s="892" t="str">
        <f t="shared" si="1"/>
        <v/>
      </c>
      <c r="BH30" s="901" t="str">
        <f t="shared" si="1"/>
        <v/>
      </c>
      <c r="BJ30" s="1065"/>
      <c r="BK30" s="1065"/>
      <c r="BL30" s="1065"/>
      <c r="BM30" s="1167"/>
      <c r="BN30" s="1068"/>
      <c r="BO30" s="1068"/>
      <c r="BP30" s="1068"/>
      <c r="BQ30" s="1068"/>
      <c r="BR30" s="1124"/>
      <c r="BS30" s="1070"/>
      <c r="BT30" s="1070"/>
      <c r="BU30" s="1071"/>
    </row>
    <row r="31" spans="1:73" s="116" customFormat="1" ht="12.75" hidden="1" customHeight="1" outlineLevel="3">
      <c r="A31" s="114"/>
      <c r="B31" s="143" t="s">
        <v>1626</v>
      </c>
      <c r="C31" s="144"/>
      <c r="D31" s="315">
        <f>SUM(U31,V31)</f>
        <v>0</v>
      </c>
      <c r="E31" s="315"/>
      <c r="F31" s="391"/>
      <c r="G31" s="343"/>
      <c r="H31" s="1547"/>
      <c r="I31" s="335" t="e">
        <f>VLOOKUP($B31&amp;"; "&amp;$I$26&amp;", "&amp;I$27,'FE Energie'!$G:$U,9,FALSE)</f>
        <v>#N/A</v>
      </c>
      <c r="J31" s="335" t="e">
        <f>VLOOKUP($B31&amp;"; "&amp;$I$26&amp;", "&amp;J$27,'FE Energie'!$G:$U,9,FALSE)</f>
        <v>#N/A</v>
      </c>
      <c r="K31" s="1547"/>
      <c r="L31" s="223">
        <f>VLOOKUP($B31&amp;"; "&amp;$L$26&amp;", "&amp;L$27,'FE Energie'!$G:$U,9,FALSE)</f>
        <v>3.8899999999999997E-2</v>
      </c>
      <c r="M31" s="223">
        <f>VLOOKUP($B31&amp;"; "&amp;$L$26&amp;", "&amp;M$27,'FE Energie'!$G:$U,9,FALSE)</f>
        <v>0.20499999999999999</v>
      </c>
      <c r="N31" s="1547"/>
      <c r="O31" s="217">
        <f>VLOOKUP($B31&amp;"; "&amp;$O$26&amp;", "&amp;O$27,'FE Energie'!$G:$U,9,FALSE)</f>
        <v>378</v>
      </c>
      <c r="P31" s="217">
        <f>VLOOKUP($B31&amp;"; "&amp;$O$26&amp;", "&amp;P$27,'FE Energie'!$G:$U,9,FALSE)</f>
        <v>2390</v>
      </c>
      <c r="Q31" s="1085"/>
      <c r="R31" s="223" t="e">
        <f>VLOOKUP($B31&amp;"; "&amp;$R$26&amp;", "&amp;R$27,'FE Energie'!$G:$U,9,FALSE)</f>
        <v>#N/A</v>
      </c>
      <c r="S31" s="223" t="e">
        <f>VLOOKUP($B31&amp;"; "&amp;$R$26&amp;", "&amp;S$27,'FE Energie'!$G:$U,9,FALSE)</f>
        <v>#N/A</v>
      </c>
      <c r="T31" s="117"/>
      <c r="U31" s="566">
        <f t="shared" si="2"/>
        <v>0</v>
      </c>
      <c r="V31" s="567">
        <f t="shared" si="3"/>
        <v>0</v>
      </c>
      <c r="W31" s="1286">
        <f>IF(OR(G31=Utilitaires!$I$572,G31=Utilitaires!$I$577),V31,0)</f>
        <v>0</v>
      </c>
      <c r="Y31" s="1092">
        <f>IF(AD31=0,AD31,AD31/(U31+V31))</f>
        <v>0</v>
      </c>
      <c r="Z31" s="343"/>
      <c r="AA31" s="820"/>
      <c r="AB31" s="164">
        <f>IF(T31=0,0,SQRT(SUMSQ(IF(ISNA($H31*I31*BN31),0,$H31*I31*BN31),IF(ISNA($K31*L31*BO31),0,$K31*L31*BO31),IF(ISNA($N31*O31*BP31),0,$N31*O31*BP31),IF(ISNA($Q31*R31*BQ31),0,$Q31*R31*BQ31)))/T31)</f>
        <v>0</v>
      </c>
      <c r="AC31" s="164">
        <f>IF(T31=0,0,SQRT(SUMSQ(IF(ISNA($H31*J31*BR31),0,$H31*J31*BR31),IF(ISNA($K31*M31*BS31),0,$K31*M31*BS31),IF(ISNA($N31*P31*BT31),0,$N31*P31*BT31),IF(ISNA($Q31*S31*BU31),0,$Q31*S31*BU31)))/T31)</f>
        <v>0</v>
      </c>
      <c r="AD31" s="152">
        <f t="shared" si="4"/>
        <v>0</v>
      </c>
      <c r="AE31" s="1286">
        <f t="shared" si="5"/>
        <v>0</v>
      </c>
      <c r="AF31" s="114"/>
      <c r="AG31" s="564">
        <f>IF(T31=0,0,(
$H31*IF(ISNA(VLOOKUP($B31&amp;"; "&amp;$I$26&amp;", "&amp;I$27,'FE Energie'!$G:$U,10,FALSE)),0,VLOOKUP($B31&amp;"; "&amp;$I$26&amp;", "&amp;I$27,'FE Energie'!$G:$U,10,FALSE))
+$K31*IF(ISNA(VLOOKUP($B31&amp;"; "&amp;$L$26&amp;", "&amp;I$27,'FE Energie'!$G:$U,10,FALSE)),0,VLOOKUP($B31&amp;"; "&amp;$L$26&amp;", "&amp;I$27,'FE Energie'!$G:$U,10,FALSE))
+$N31*IF(ISNA(VLOOKUP($B31&amp;"; "&amp;$O$26&amp;", "&amp;I$27,'FE Energie'!$G:$U,10,FALSE)),0,VLOOKUP($B31&amp;"; "&amp;$O$26&amp;", "&amp;I$27,'FE Energie'!$G:$U,10,FALSE))
+$Q31*IF(ISNA(VLOOKUP($B31&amp;"; "&amp;$R$26&amp;", "&amp;I$27,'FE Energie'!$G:$U,10,FALSE)),0,VLOOKUP($B31&amp;"; "&amp;$R$26&amp;", "&amp;I$27,'FE Energie'!$G:$U,10,FALSE))
)/T31)</f>
        <v>0</v>
      </c>
      <c r="AH31" s="565">
        <f>IF(T31=0,0,(
$H31*IF(ISNA(VLOOKUP($B31&amp;"; "&amp;$I$26&amp;", "&amp;J$27,'FE Energie'!$G:$U,10,FALSE)),0,VLOOKUP($B31&amp;"; "&amp;$I$26&amp;", "&amp;J$27,'FE Energie'!$G:$U,10,FALSE))
+$K31*IF(ISNA(VLOOKUP($B31&amp;"; "&amp;$L$26&amp;", "&amp;J$27,'FE Energie'!$G:$U,10,FALSE)),0,VLOOKUP($B31&amp;"; "&amp;$L$26&amp;", "&amp;J$27,'FE Energie'!$G:$U,10,FALSE))
+$N31*IF(ISNA(VLOOKUP($B31&amp;"; "&amp;$O$26&amp;", "&amp;J$27,'FE Energie'!$G:$U,10,FALSE)),0,VLOOKUP($B31&amp;"; "&amp;$O$26&amp;", "&amp;J$27,'FE Energie'!$G:$U,10,FALSE))
+$Q31*IF(ISNA(VLOOKUP($B31&amp;"; "&amp;$R$26&amp;", "&amp;J$27,'FE Energie'!$G:$U,10,FALSE)),0,VLOOKUP($B31&amp;"; "&amp;$R$26&amp;", "&amp;J$27,'FE Energie'!$G:$U,10,FALSE))
)/T31)</f>
        <v>0</v>
      </c>
      <c r="AI31" s="620">
        <f>IF(T31=0,0,(
$H31*IF(ISNA((VLOOKUP($B31&amp;"; "&amp;$I$26&amp;", "&amp;I$27,'FE Energie'!$G:$U,12,FALSE)+VLOOKUP($B31&amp;"; "&amp;$I$26&amp;", "&amp;I$27,'FE Energie'!$G:$U,11,FALSE))),0,(VLOOKUP($B31&amp;"; "&amp;$I$26&amp;", "&amp;I$27,'FE Energie'!$G:$U,12,FALSE)+VLOOKUP($B31&amp;"; "&amp;$I$26&amp;", "&amp;I$27,'FE Energie'!$G:$U,11,FALSE)))
+$K31*IF(ISNA((VLOOKUP($B31&amp;"; "&amp;$L$26&amp;", "&amp;I$27,'FE Energie'!$G:$U,12,FALSE)+VLOOKUP($B31&amp;"; "&amp;$L$26&amp;", "&amp;I$27,'FE Energie'!$G:$U,11,FALSE))),0,(VLOOKUP($B31&amp;"; "&amp;$L$26&amp;", "&amp;I$27,'FE Energie'!$G:$U,12,FALSE)+VLOOKUP($B31&amp;"; "&amp;$L$26&amp;", "&amp;I$27,'FE Energie'!$G:$U,11,FALSE)))
+$N31*IF(ISNA((VLOOKUP($B31&amp;"; "&amp;$O$26&amp;", "&amp;I$27,'FE Energie'!$G:$U,12,FALSE)+VLOOKUP($B31&amp;"; "&amp;$O$26&amp;", "&amp;I$27,'FE Energie'!$G:$U,11,FALSE))),0,(VLOOKUP($B31&amp;"; "&amp;$O$26&amp;", "&amp;I$27,'FE Energie'!$G:$U,12,FALSE)+VLOOKUP($B31&amp;"; "&amp;$O$26&amp;", "&amp;I$27,'FE Energie'!$G:$U,11,FALSE)))
+$Q31*IF(ISNA((VLOOKUP($B31&amp;"; "&amp;$R$26&amp;", "&amp;I$27,'FE Energie'!$G:$U,12,FALSE)+VLOOKUP($B31&amp;"; "&amp;$R$26&amp;", "&amp;I$27,'FE Energie'!$G:$U,11,FALSE))),0,(VLOOKUP($B31&amp;"; "&amp;$R$26&amp;", "&amp;I$27,'FE Energie'!$G:$U,12,FALSE)+VLOOKUP($B31&amp;"; "&amp;$R$26&amp;", "&amp;I$27,'FE Energie'!$G:$U,11,FALSE)))
)/T31)</f>
        <v>0</v>
      </c>
      <c r="AJ31" s="620">
        <f>IF(T31=0,0,(
$H31*IF(ISNA((VLOOKUP($B31&amp;"; "&amp;$I$26&amp;", "&amp;J$27,'FE Energie'!$G:$U,12,FALSE)+VLOOKUP($B31&amp;"; "&amp;$I$26&amp;", "&amp;J$27,'FE Energie'!$G:$U,11,FALSE))),0,(VLOOKUP($B31&amp;"; "&amp;$I$26&amp;", "&amp;J$27,'FE Energie'!$G:$U,12,FALSE)+VLOOKUP($B31&amp;"; "&amp;$I$26&amp;", "&amp;J$27,'FE Energie'!$G:$U,11,FALSE)))
+$K31*IF(ISNA((VLOOKUP($B31&amp;"; "&amp;$L$26&amp;", "&amp;J$27,'FE Energie'!$G:$U,12,FALSE)+VLOOKUP($B31&amp;"; "&amp;$L$26&amp;", "&amp;J$27,'FE Energie'!$G:$U,11,FALSE))),0,(VLOOKUP($B31&amp;"; "&amp;$L$26&amp;", "&amp;J$27,'FE Energie'!$G:$U,12,FALSE)+VLOOKUP($B31&amp;"; "&amp;$L$26&amp;", "&amp;J$27,'FE Energie'!$G:$U,11,FALSE)))
+$N31*IF(ISNA((VLOOKUP($B31&amp;"; "&amp;$O$26&amp;", "&amp;J$27,'FE Energie'!$G:$U,12,FALSE)+VLOOKUP($B31&amp;"; "&amp;$O$26&amp;", "&amp;J$27,'FE Energie'!$G:$U,11,FALSE))),0,(VLOOKUP($B31&amp;"; "&amp;$O$26&amp;", "&amp;J$27,'FE Energie'!$G:$U,12,FALSE)+VLOOKUP($B31&amp;"; "&amp;$O$26&amp;", "&amp;J$27,'FE Energie'!$G:$U,11,FALSE)))
+$Q31*IF(ISNA((VLOOKUP($B31&amp;"; "&amp;$R$26&amp;", "&amp;J$27,'FE Energie'!$G:$U,12,FALSE)+VLOOKUP($B31&amp;"; "&amp;$R$26&amp;", "&amp;J$27,'FE Energie'!$G:$U,11,FALSE))),0,(VLOOKUP($B31&amp;"; "&amp;$R$26&amp;", "&amp;J$27,'FE Energie'!$G:$U,12,FALSE)+VLOOKUP($B31&amp;"; "&amp;$R$26&amp;", "&amp;J$27,'FE Energie'!$G:$U,11,FALSE)))
)/T31)</f>
        <v>0</v>
      </c>
      <c r="AK31" s="620">
        <f>IF(T31=0,0,(
$H31*IF(ISNA(VLOOKUP($B31&amp;"; "&amp;$I$26&amp;", "&amp;I$27,'FE Energie'!$G:$U,13,FALSE)),0,VLOOKUP($B31&amp;"; "&amp;$I$26&amp;", "&amp;I$27,'FE Energie'!$G:$U,13,FALSE))
+$K31*IF(ISNA(VLOOKUP($B31&amp;"; "&amp;$L$26&amp;", "&amp;I$27,'FE Energie'!$G:$U,13,FALSE)),0,VLOOKUP($B31&amp;"; "&amp;$L$26&amp;", "&amp;I$27,'FE Energie'!$G:$U,13,FALSE))
+$N31*IF(ISNA(VLOOKUP($B31&amp;"; "&amp;$O$26&amp;", "&amp;I$27,'FE Energie'!$G:$U,13,FALSE)),0,VLOOKUP($B31&amp;"; "&amp;$O$26&amp;", "&amp;I$27,'FE Energie'!$G:$U,13,FALSE))
+$Q31*IF(ISNA(VLOOKUP($B31&amp;"; "&amp;$R$26&amp;", "&amp;I$27,'FE Energie'!$G:$U,13,FALSE)),0,VLOOKUP($B31&amp;"; "&amp;$R$26&amp;", "&amp;I$27,'FE Energie'!$G:$U,13,FALSE))
)/T31)</f>
        <v>0</v>
      </c>
      <c r="AL31" s="620">
        <f>IF(T31=0,0,(
$H31*IF(ISNA(VLOOKUP($B31&amp;"; "&amp;$I$26&amp;", "&amp;J$27,'FE Energie'!$G:$U,13,FALSE)),0,VLOOKUP($B31&amp;"; "&amp;$I$26&amp;", "&amp;J$27,'FE Energie'!$G:$U,13,FALSE))
+$K31*IF(ISNA(VLOOKUP($B31&amp;"; "&amp;$L$26&amp;", "&amp;J$27,'FE Energie'!$G:$U,13,FALSE)),0,VLOOKUP($B31&amp;"; "&amp;$L$26&amp;", "&amp;J$27,'FE Energie'!$G:$U,13,FALSE))
+$N31*IF(ISNA(VLOOKUP($B31&amp;"; "&amp;$O$26&amp;", "&amp;J$27,'FE Energie'!$G:$U,13,FALSE)),0,VLOOKUP($B31&amp;"; "&amp;$O$26&amp;", "&amp;J$27,'FE Energie'!$G:$U,13,FALSE))
+$Q31*IF(ISNA(VLOOKUP($B31&amp;"; "&amp;$R$26&amp;", "&amp;J$27,'FE Energie'!$G:$U,13,FALSE)),0,VLOOKUP($B31&amp;"; "&amp;$R$26&amp;", "&amp;J$27,'FE Energie'!$G:$U,13,FALSE))
)/T31)</f>
        <v>0</v>
      </c>
      <c r="AM31" s="565">
        <f>IF(T31=0,0,(
$H31*IF(ISNA(VLOOKUP($B31&amp;"; "&amp;$I$26&amp;", "&amp;I$27,'FE Energie'!$G:$U,14,FALSE)),0,VLOOKUP($B31&amp;"; "&amp;$I$26&amp;", "&amp;I$27,'FE Energie'!$G:$U,14,FALSE))
+$K31*IF(ISNA(VLOOKUP($B31&amp;"; "&amp;$L$26&amp;", "&amp;I$27,'FE Energie'!$G:$U,14,FALSE)),0,VLOOKUP($B31&amp;"; "&amp;$L$26&amp;", "&amp;I$27,'FE Energie'!$G:$U,14,FALSE))
+$N31*IF(ISNA(VLOOKUP($B31&amp;"; "&amp;$O$26&amp;", "&amp;I$27,'FE Energie'!$G:$U,14,FALSE)),0,VLOOKUP($B31&amp;"; "&amp;$O$26&amp;", "&amp;I$27,'FE Energie'!$G:$U,14,FALSE))
+$Q31*IF(ISNA(VLOOKUP($B31&amp;"; "&amp;$R$26&amp;", "&amp;I$27,'FE Energie'!$G:$U,14,FALSE)),0,VLOOKUP($B31&amp;"; "&amp;$R$26&amp;", "&amp;I$27,'FE Energie'!$G:$U,14,FALSE))
)/T31)</f>
        <v>0</v>
      </c>
      <c r="AN31" s="565">
        <f>IF(T31=0,0,(
$H31*IF(ISNA(VLOOKUP($B31&amp;"; "&amp;$I$26&amp;", "&amp;J$27,'FE Energie'!$G:$U,14,FALSE)),0,VLOOKUP($B31&amp;"; "&amp;$I$26&amp;", "&amp;J$27,'FE Energie'!$G:$U,14,FALSE))
+$K31*IF(ISNA(VLOOKUP($B31&amp;"; "&amp;$L$26&amp;", "&amp;J$27,'FE Energie'!$G:$U,14,FALSE)),0,VLOOKUP($B31&amp;"; "&amp;$L$26&amp;", "&amp;J$27,'FE Energie'!$G:$U,14,FALSE))
+$N31*IF(ISNA(VLOOKUP($B31&amp;"; "&amp;$O$26&amp;", "&amp;J$27,'FE Energie'!$G:$U,14,FALSE)),0,VLOOKUP($B31&amp;"; "&amp;$O$26&amp;", "&amp;J$27,'FE Energie'!$G:$U,14,FALSE))
+$Q31*IF(ISNA(VLOOKUP($B31&amp;"; "&amp;$R$26&amp;", "&amp;J$27,'FE Energie'!$G:$U,14,FALSE)),0,VLOOKUP($B31&amp;"; "&amp;$R$26&amp;", "&amp;J$27,'FE Energie'!$G:$U,14,FALSE))
)/T31)</f>
        <v>0</v>
      </c>
      <c r="AO31" s="566">
        <f t="shared" si="6"/>
        <v>0</v>
      </c>
      <c r="AP31" s="566">
        <f t="shared" si="7"/>
        <v>0</v>
      </c>
      <c r="AQ31" s="564">
        <f>$H31*IF(ISNA(VLOOKUP($B31&amp;"; "&amp;$I$26&amp;", "&amp;I$27,'FE Energie'!$G:$U,15,FALSE)),0,VLOOKUP($B31&amp;"; "&amp;$I$26&amp;", "&amp;I$27,'FE Energie'!$G:$U,15,FALSE))
+$K31*IF(ISNA(VLOOKUP($B31&amp;"; "&amp;$L$26&amp;", "&amp;I$27,'FE Energie'!$G:$U,15,FALSE)),0,VLOOKUP($B31&amp;"; "&amp;$L$26&amp;", "&amp;I$27,'FE Energie'!$G:$U,15,FALSE))
+$N31*IF(ISNA(VLOOKUP($B31&amp;"; "&amp;$O$26&amp;", "&amp;I$27,'FE Energie'!$G:$U,15,FALSE)),0,VLOOKUP($B31&amp;"; "&amp;$O$26&amp;", "&amp;I$27,'FE Energie'!$G:$U,15,FALSE))
+$Q31*IF(ISNA(VLOOKUP($B31&amp;"; "&amp;$R$26&amp;", "&amp;I$27,'FE Energie'!$G:$U,15,FALSE)),0,VLOOKUP($B31&amp;"; "&amp;$R$26&amp;", "&amp;I$27,'FE Energie'!$G:$U,15,FALSE))</f>
        <v>0</v>
      </c>
      <c r="AR31" s="568">
        <f>$H31*IF(ISNA(VLOOKUP($B31&amp;"; "&amp;$I$26&amp;", "&amp;J$27,'FE Energie'!$G:$U,15,FALSE)),0,VLOOKUP($B31&amp;"; "&amp;$I$26&amp;", "&amp;J$27,'FE Energie'!$G:$U,15,FALSE))
+$K31*IF(ISNA(VLOOKUP($B31&amp;"; "&amp;$L$26&amp;", "&amp;J$27,'FE Energie'!$G:$U,15,FALSE)),0,VLOOKUP($B31&amp;"; "&amp;$L$26&amp;", "&amp;J$27,'FE Energie'!$G:$U,15,FALSE))
+$N31*IF(ISNA(VLOOKUP($B31&amp;"; "&amp;$O$26&amp;", "&amp;J$27,'FE Energie'!$G:$U,15,FALSE)),0,VLOOKUP($B31&amp;"; "&amp;$O$26&amp;", "&amp;J$27,'FE Energie'!$G:$U,15,FALSE))
+$Q31*IF(ISNA(VLOOKUP($B31&amp;"; "&amp;$R$26&amp;", "&amp;J$27,'FE Energie'!$G:$U,15,FALSE)),0,VLOOKUP($B31&amp;"; "&amp;$R$26&amp;", "&amp;J$27,'FE Energie'!$G:$U,15,FALSE))</f>
        <v>0</v>
      </c>
      <c r="AU31" s="891" t="str">
        <f t="shared" ref="AU31:BB32" si="10">IF($F31="Oui",AG31*$T31,"")</f>
        <v/>
      </c>
      <c r="AV31" s="892" t="str">
        <f t="shared" si="10"/>
        <v/>
      </c>
      <c r="AW31" s="892" t="str">
        <f t="shared" si="10"/>
        <v/>
      </c>
      <c r="AX31" s="892" t="str">
        <f t="shared" si="10"/>
        <v/>
      </c>
      <c r="AY31" s="892" t="str">
        <f t="shared" si="10"/>
        <v/>
      </c>
      <c r="AZ31" s="892" t="str">
        <f t="shared" si="10"/>
        <v/>
      </c>
      <c r="BA31" s="892" t="str">
        <f t="shared" si="10"/>
        <v/>
      </c>
      <c r="BB31" s="892" t="str">
        <f t="shared" si="10"/>
        <v/>
      </c>
      <c r="BC31" s="900">
        <f t="shared" si="8"/>
        <v>0</v>
      </c>
      <c r="BD31" s="900">
        <f t="shared" si="9"/>
        <v>0</v>
      </c>
      <c r="BE31" s="891" t="str">
        <f>IF($F31="Oui",IF(AQ31="","",AQ31*$T31),"")</f>
        <v/>
      </c>
      <c r="BF31" s="901" t="str">
        <f>IF($F31="Oui",IF(AR31="","",AR31*$T31),"")</f>
        <v/>
      </c>
      <c r="BG31" s="892" t="str">
        <f t="shared" si="1"/>
        <v/>
      </c>
      <c r="BH31" s="901" t="str">
        <f t="shared" si="1"/>
        <v/>
      </c>
      <c r="BJ31" s="1065">
        <f>IF($Z31&lt;&gt;"votre valeur :",IF(ISNA(VLOOKUP($Z31,Utilitaires!$N$566:$O$571,2,FALSE)),,VLOOKUP($Z31,Utilitaires!$N$566:$O$571,2,FALSE)),$AA31)</f>
        <v>0</v>
      </c>
      <c r="BK31" s="1065">
        <f>IF($Z31&lt;&gt;"votre valeur :",IF(ISNA(VLOOKUP($Z31,Utilitaires!$N$566:$O$571,2,FALSE)),,VLOOKUP($Z31,Utilitaires!$N$566:$O$571,2,FALSE)),$AA31)</f>
        <v>0</v>
      </c>
      <c r="BL31" s="1065">
        <f>IF($Z31&lt;&gt;"votre valeur :",IF(ISNA(VLOOKUP($Z31,Utilitaires!$N$566:$O$571,2,FALSE)),,VLOOKUP($Z31,Utilitaires!$N$566:$O$571,2,FALSE)),$AA31)</f>
        <v>0</v>
      </c>
      <c r="BM31" s="1167">
        <f>IF($Z31&lt;&gt;"votre valeur :",IF(ISNA(VLOOKUP($Z31,Utilitaires!$N$566:$O$571,2,FALSE)),,VLOOKUP($Z31,Utilitaires!$N$566:$O$571,2,FALSE)),$AA31)</f>
        <v>0</v>
      </c>
      <c r="BN31" s="1068">
        <f>IF(ISNA(SQRT(SUMSQ(VLOOKUP($B31&amp;"; "&amp;$I$26&amp;", "&amp;$I$27,'FE Energie'!$G:$U,7,FALSE),$BJ31))),0,SQRT(SUMSQ(VLOOKUP($B31&amp;"; "&amp;$I$26&amp;", "&amp;$I$27,'FE Energie'!$G:$U,7,FALSE),$BJ31)))</f>
        <v>0</v>
      </c>
      <c r="BO31" s="1068">
        <f>IF(ISNA(SQRT(SUMSQ(VLOOKUP($B31&amp;"; "&amp;$L$26&amp;", "&amp;$L$27,'FE Energie'!$G:$U,7,FALSE),$BK31))),0,SQRT(SUMSQ(VLOOKUP($B31&amp;"; "&amp;$L$26&amp;", "&amp;$L$27,'FE Energie'!$G:$U,7,FALSE),$BK31)))</f>
        <v>0.05</v>
      </c>
      <c r="BP31" s="1068">
        <f>IF(ISNA(SQRT(SUMSQ(VLOOKUP($B31&amp;"; "&amp;$O$26&amp;", "&amp;$O$27,'FE Energie'!$G:$U,7,FALSE),$BL31))),0,SQRT(SUMSQ(VLOOKUP($B31&amp;"; "&amp;$O$26&amp;", "&amp;$O$27,'FE Energie'!$G:$U,7,FALSE),$BL31)))</f>
        <v>0.05</v>
      </c>
      <c r="BQ31" s="1068">
        <f>IF(ISNA(SQRT(SUMSQ(VLOOKUP($B31&amp;"; "&amp;$R$26&amp;", "&amp;$R$27,'FE Energie'!$G:$U,7,FALSE),$BM31))),0,SQRT(SUMSQ(VLOOKUP($B31&amp;"; "&amp;$R$26&amp;", "&amp;$R$27,'FE Energie'!$G:$U,7,FALSE),$BM31)))</f>
        <v>0</v>
      </c>
      <c r="BR31" s="1124">
        <f>IF(ISNA(SQRT(SUMSQ(VLOOKUP($B31&amp;"; "&amp;$I$26&amp;", "&amp;$J$27,'FE Energie'!$G:$U,7,FALSE),$BJ31))),0,SQRT(SUMSQ(VLOOKUP($B31&amp;"; "&amp;$I$26&amp;", "&amp;$J$27,'FE Energie'!$G:$U,7,FALSE),$BJ31)))</f>
        <v>0</v>
      </c>
      <c r="BS31" s="1070">
        <f>IF(ISNA(SQRT(SUMSQ(VLOOKUP($B31&amp;"; "&amp;$L$26&amp;", "&amp;$M$27,'FE Energie'!$G:$U,7,FALSE),$BK31))),0,SQRT(SUMSQ(VLOOKUP($B31&amp;"; "&amp;$L$26&amp;", "&amp;$M$27,'FE Energie'!$G:$U,7,FALSE),$BK31)))</f>
        <v>0.05</v>
      </c>
      <c r="BT31" s="1070">
        <f>IF(ISNA(SQRT(SUMSQ(VLOOKUP($B31&amp;"; "&amp;$O$26&amp;", "&amp;$P$27,'FE Energie'!$G:$U,7,FALSE),$BL31))),0,SQRT(SUMSQ(VLOOKUP($B31&amp;"; "&amp;$O$26&amp;", "&amp;$P$27,'FE Energie'!$G:$U,7,FALSE),$BL31)))</f>
        <v>0.05</v>
      </c>
      <c r="BU31" s="1071">
        <f>IF(ISNA(SQRT(SUMSQ(VLOOKUP($B31&amp;"; "&amp;$R$26&amp;", "&amp;$S$27,'FE Energie'!$G:$U,7,FALSE),$BM31))),0,SQRT(SUMSQ(VLOOKUP($B31&amp;"; "&amp;$R$26&amp;", "&amp;$S$27,'FE Energie'!$G:$U,7,FALSE),$BM31)))</f>
        <v>0</v>
      </c>
    </row>
    <row r="32" spans="1:73" s="116" customFormat="1" ht="12.75" hidden="1" customHeight="1" outlineLevel="3">
      <c r="A32" s="114"/>
      <c r="B32" s="143" t="s">
        <v>1627</v>
      </c>
      <c r="C32" s="144"/>
      <c r="D32" s="315">
        <f>SUM(U32,V32)</f>
        <v>0</v>
      </c>
      <c r="E32" s="315"/>
      <c r="F32" s="393"/>
      <c r="G32" s="345"/>
      <c r="H32" s="1548"/>
      <c r="I32" s="335" t="e">
        <f>VLOOKUP($B32&amp;"; "&amp;$I$26&amp;", "&amp;I$27,'FE Energie'!$G:$U,9,FALSE)</f>
        <v>#N/A</v>
      </c>
      <c r="J32" s="335" t="e">
        <f>VLOOKUP($B32&amp;"; "&amp;$I$26&amp;", "&amp;J$27,'FE Energie'!$G:$U,9,FALSE)</f>
        <v>#N/A</v>
      </c>
      <c r="K32" s="1548"/>
      <c r="L32" s="223" t="e">
        <f>VLOOKUP($B32&amp;"; "&amp;$L$26&amp;", "&amp;L$27,'FE Energie'!$G:$U,9,FALSE)</f>
        <v>#N/A</v>
      </c>
      <c r="M32" s="223" t="e">
        <f>VLOOKUP($B32&amp;"; "&amp;$L$26&amp;", "&amp;M$27,'FE Energie'!$G:$U,9,FALSE)</f>
        <v>#N/A</v>
      </c>
      <c r="N32" s="1548"/>
      <c r="O32" s="217" t="e">
        <f>VLOOKUP($B32&amp;"; "&amp;$O$26&amp;", "&amp;O$27,'FE Energie'!$G:$U,9,FALSE)</f>
        <v>#N/A</v>
      </c>
      <c r="P32" s="217" t="e">
        <f>VLOOKUP($B32&amp;"; "&amp;$O$26&amp;", "&amp;P$27,'FE Energie'!$G:$U,9,FALSE)</f>
        <v>#N/A</v>
      </c>
      <c r="Q32" s="1086"/>
      <c r="R32" s="223" t="e">
        <f>VLOOKUP($B32&amp;"; "&amp;$R$26&amp;", "&amp;R$27,'FE Energie'!$G:$U,9,FALSE)</f>
        <v>#N/A</v>
      </c>
      <c r="S32" s="223" t="e">
        <f>VLOOKUP($B32&amp;"; "&amp;$R$26&amp;", "&amp;S$27,'FE Energie'!$G:$U,9,FALSE)</f>
        <v>#N/A</v>
      </c>
      <c r="T32" s="123"/>
      <c r="U32" s="566">
        <f t="shared" si="2"/>
        <v>0</v>
      </c>
      <c r="V32" s="567">
        <f t="shared" si="3"/>
        <v>0</v>
      </c>
      <c r="W32" s="1286">
        <f>IF(OR(G32=Utilitaires!$I$572,G32=Utilitaires!$I$577),V32,0)</f>
        <v>0</v>
      </c>
      <c r="Y32" s="1092">
        <f>IF(AD32=0,AD32,AD32/(U32+V32))</f>
        <v>0</v>
      </c>
      <c r="Z32" s="345"/>
      <c r="AA32" s="820"/>
      <c r="AB32" s="164">
        <f>IF(T32=0,0,SQRT(SUMSQ(IF(ISNA($H32*I32*BN32),0,$H32*I32*BN32),IF(ISNA($K32*L32*BO32),0,$K32*L32*BO32),IF(ISNA($N32*O32*BP32),0,$N32*O32*BP32),IF(ISNA($Q32*R32*BQ32),0,$Q32*R32*BQ32)))/T32)</f>
        <v>0</v>
      </c>
      <c r="AC32" s="164">
        <f>IF(T32=0,0,SQRT(SUMSQ(IF(ISNA($H32*J32*BR32),0,$H32*J32*BR32),IF(ISNA($K32*M32*BS32),0,$K32*M32*BS32),IF(ISNA($N32*P32*BT32),0,$N32*P32*BT32),IF(ISNA($Q32*S32*BU32),0,$Q32*S32*BU32)))/T32)</f>
        <v>0</v>
      </c>
      <c r="AD32" s="152">
        <f t="shared" si="4"/>
        <v>0</v>
      </c>
      <c r="AE32" s="1286">
        <f t="shared" si="5"/>
        <v>0</v>
      </c>
      <c r="AF32" s="114"/>
      <c r="AG32" s="564">
        <f>IF(T32=0,0,(
$H32*IF(ISNA(VLOOKUP($B32&amp;"; "&amp;$I$26&amp;", "&amp;I$27,'FE Energie'!$G:$U,10,FALSE)),0,VLOOKUP($B32&amp;"; "&amp;$I$26&amp;", "&amp;I$27,'FE Energie'!$G:$U,10,FALSE))
+$K32*IF(ISNA(VLOOKUP($B32&amp;"; "&amp;$L$26&amp;", "&amp;I$27,'FE Energie'!$G:$U,10,FALSE)),0,VLOOKUP($B32&amp;"; "&amp;$L$26&amp;", "&amp;I$27,'FE Energie'!$G:$U,10,FALSE))
+$N32*IF(ISNA(VLOOKUP($B32&amp;"; "&amp;$O$26&amp;", "&amp;I$27,'FE Energie'!$G:$U,10,FALSE)),0,VLOOKUP($B32&amp;"; "&amp;$O$26&amp;", "&amp;I$27,'FE Energie'!$G:$U,10,FALSE))
+$Q32*IF(ISNA(VLOOKUP($B32&amp;"; "&amp;$R$26&amp;", "&amp;I$27,'FE Energie'!$G:$U,10,FALSE)),0,VLOOKUP($B32&amp;"; "&amp;$R$26&amp;", "&amp;I$27,'FE Energie'!$G:$U,10,FALSE))
)/T32)</f>
        <v>0</v>
      </c>
      <c r="AH32" s="565">
        <f>IF(T32=0,0,(
$H32*IF(ISNA(VLOOKUP($B32&amp;"; "&amp;$I$26&amp;", "&amp;J$27,'FE Energie'!$G:$U,10,FALSE)),0,VLOOKUP($B32&amp;"; "&amp;$I$26&amp;", "&amp;J$27,'FE Energie'!$G:$U,10,FALSE))
+$K32*IF(ISNA(VLOOKUP($B32&amp;"; "&amp;$L$26&amp;", "&amp;J$27,'FE Energie'!$G:$U,10,FALSE)),0,VLOOKUP($B32&amp;"; "&amp;$L$26&amp;", "&amp;J$27,'FE Energie'!$G:$U,10,FALSE))
+$N32*IF(ISNA(VLOOKUP($B32&amp;"; "&amp;$O$26&amp;", "&amp;J$27,'FE Energie'!$G:$U,10,FALSE)),0,VLOOKUP($B32&amp;"; "&amp;$O$26&amp;", "&amp;J$27,'FE Energie'!$G:$U,10,FALSE))
+$Q32*IF(ISNA(VLOOKUP($B32&amp;"; "&amp;$R$26&amp;", "&amp;J$27,'FE Energie'!$G:$U,10,FALSE)),0,VLOOKUP($B32&amp;"; "&amp;$R$26&amp;", "&amp;J$27,'FE Energie'!$G:$U,10,FALSE))
)/T32)</f>
        <v>0</v>
      </c>
      <c r="AI32" s="620">
        <f>IF(T32=0,0,(
$H32*IF(ISNA((VLOOKUP($B32&amp;"; "&amp;$I$26&amp;", "&amp;I$27,'FE Energie'!$G:$U,12,FALSE)+VLOOKUP($B32&amp;"; "&amp;$I$26&amp;", "&amp;I$27,'FE Energie'!$G:$U,11,FALSE))),0,(VLOOKUP($B32&amp;"; "&amp;$I$26&amp;", "&amp;I$27,'FE Energie'!$G:$U,12,FALSE)+VLOOKUP($B32&amp;"; "&amp;$I$26&amp;", "&amp;I$27,'FE Energie'!$G:$U,11,FALSE)))
+$K32*IF(ISNA((VLOOKUP($B32&amp;"; "&amp;$L$26&amp;", "&amp;I$27,'FE Energie'!$G:$U,12,FALSE)+VLOOKUP($B32&amp;"; "&amp;$L$26&amp;", "&amp;I$27,'FE Energie'!$G:$U,11,FALSE))),0,(VLOOKUP($B32&amp;"; "&amp;$L$26&amp;", "&amp;I$27,'FE Energie'!$G:$U,12,FALSE)+VLOOKUP($B32&amp;"; "&amp;$L$26&amp;", "&amp;I$27,'FE Energie'!$G:$U,11,FALSE)))
+$N32*IF(ISNA((VLOOKUP($B32&amp;"; "&amp;$O$26&amp;", "&amp;I$27,'FE Energie'!$G:$U,12,FALSE)+VLOOKUP($B32&amp;"; "&amp;$O$26&amp;", "&amp;I$27,'FE Energie'!$G:$U,11,FALSE))),0,(VLOOKUP($B32&amp;"; "&amp;$O$26&amp;", "&amp;I$27,'FE Energie'!$G:$U,12,FALSE)+VLOOKUP($B32&amp;"; "&amp;$O$26&amp;", "&amp;I$27,'FE Energie'!$G:$U,11,FALSE)))
+$Q32*IF(ISNA((VLOOKUP($B32&amp;"; "&amp;$R$26&amp;", "&amp;I$27,'FE Energie'!$G:$U,12,FALSE)+VLOOKUP($B32&amp;"; "&amp;$R$26&amp;", "&amp;I$27,'FE Energie'!$G:$U,11,FALSE))),0,(VLOOKUP($B32&amp;"; "&amp;$R$26&amp;", "&amp;I$27,'FE Energie'!$G:$U,12,FALSE)+VLOOKUP($B32&amp;"; "&amp;$R$26&amp;", "&amp;I$27,'FE Energie'!$G:$U,11,FALSE)))
)/T32)</f>
        <v>0</v>
      </c>
      <c r="AJ32" s="620">
        <f>IF(T32=0,0,(
$H32*IF(ISNA((VLOOKUP($B32&amp;"; "&amp;$I$26&amp;", "&amp;J$27,'FE Energie'!$G:$U,12,FALSE)+VLOOKUP($B32&amp;"; "&amp;$I$26&amp;", "&amp;J$27,'FE Energie'!$G:$U,11,FALSE))),0,(VLOOKUP($B32&amp;"; "&amp;$I$26&amp;", "&amp;J$27,'FE Energie'!$G:$U,12,FALSE)+VLOOKUP($B32&amp;"; "&amp;$I$26&amp;", "&amp;J$27,'FE Energie'!$G:$U,11,FALSE)))
+$K32*IF(ISNA((VLOOKUP($B32&amp;"; "&amp;$L$26&amp;", "&amp;J$27,'FE Energie'!$G:$U,12,FALSE)+VLOOKUP($B32&amp;"; "&amp;$L$26&amp;", "&amp;J$27,'FE Energie'!$G:$U,11,FALSE))),0,(VLOOKUP($B32&amp;"; "&amp;$L$26&amp;", "&amp;J$27,'FE Energie'!$G:$U,12,FALSE)+VLOOKUP($B32&amp;"; "&amp;$L$26&amp;", "&amp;J$27,'FE Energie'!$G:$U,11,FALSE)))
+$N32*IF(ISNA((VLOOKUP($B32&amp;"; "&amp;$O$26&amp;", "&amp;J$27,'FE Energie'!$G:$U,12,FALSE)+VLOOKUP($B32&amp;"; "&amp;$O$26&amp;", "&amp;J$27,'FE Energie'!$G:$U,11,FALSE))),0,(VLOOKUP($B32&amp;"; "&amp;$O$26&amp;", "&amp;J$27,'FE Energie'!$G:$U,12,FALSE)+VLOOKUP($B32&amp;"; "&amp;$O$26&amp;", "&amp;J$27,'FE Energie'!$G:$U,11,FALSE)))
+$Q32*IF(ISNA((VLOOKUP($B32&amp;"; "&amp;$R$26&amp;", "&amp;J$27,'FE Energie'!$G:$U,12,FALSE)+VLOOKUP($B32&amp;"; "&amp;$R$26&amp;", "&amp;J$27,'FE Energie'!$G:$U,11,FALSE))),0,(VLOOKUP($B32&amp;"; "&amp;$R$26&amp;", "&amp;J$27,'FE Energie'!$G:$U,12,FALSE)+VLOOKUP($B32&amp;"; "&amp;$R$26&amp;", "&amp;J$27,'FE Energie'!$G:$U,11,FALSE)))
)/T32)</f>
        <v>0</v>
      </c>
      <c r="AK32" s="620">
        <f>IF(T32=0,0,(
$H32*IF(ISNA(VLOOKUP($B32&amp;"; "&amp;$I$26&amp;", "&amp;I$27,'FE Energie'!$G:$U,13,FALSE)),0,VLOOKUP($B32&amp;"; "&amp;$I$26&amp;", "&amp;I$27,'FE Energie'!$G:$U,13,FALSE))
+$K32*IF(ISNA(VLOOKUP($B32&amp;"; "&amp;$L$26&amp;", "&amp;I$27,'FE Energie'!$G:$U,13,FALSE)),0,VLOOKUP($B32&amp;"; "&amp;$L$26&amp;", "&amp;I$27,'FE Energie'!$G:$U,13,FALSE))
+$N32*IF(ISNA(VLOOKUP($B32&amp;"; "&amp;$O$26&amp;", "&amp;I$27,'FE Energie'!$G:$U,13,FALSE)),0,VLOOKUP($B32&amp;"; "&amp;$O$26&amp;", "&amp;I$27,'FE Energie'!$G:$U,13,FALSE))
+$Q32*IF(ISNA(VLOOKUP($B32&amp;"; "&amp;$R$26&amp;", "&amp;I$27,'FE Energie'!$G:$U,13,FALSE)),0,VLOOKUP($B32&amp;"; "&amp;$R$26&amp;", "&amp;I$27,'FE Energie'!$G:$U,13,FALSE))
)/T32)</f>
        <v>0</v>
      </c>
      <c r="AL32" s="620">
        <f>IF(T32=0,0,(
$H32*IF(ISNA(VLOOKUP($B32&amp;"; "&amp;$I$26&amp;", "&amp;J$27,'FE Energie'!$G:$U,13,FALSE)),0,VLOOKUP($B32&amp;"; "&amp;$I$26&amp;", "&amp;J$27,'FE Energie'!$G:$U,13,FALSE))
+$K32*IF(ISNA(VLOOKUP($B32&amp;"; "&amp;$L$26&amp;", "&amp;J$27,'FE Energie'!$G:$U,13,FALSE)),0,VLOOKUP($B32&amp;"; "&amp;$L$26&amp;", "&amp;J$27,'FE Energie'!$G:$U,13,FALSE))
+$N32*IF(ISNA(VLOOKUP($B32&amp;"; "&amp;$O$26&amp;", "&amp;J$27,'FE Energie'!$G:$U,13,FALSE)),0,VLOOKUP($B32&amp;"; "&amp;$O$26&amp;", "&amp;J$27,'FE Energie'!$G:$U,13,FALSE))
+$Q32*IF(ISNA(VLOOKUP($B32&amp;"; "&amp;$R$26&amp;", "&amp;J$27,'FE Energie'!$G:$U,13,FALSE)),0,VLOOKUP($B32&amp;"; "&amp;$R$26&amp;", "&amp;J$27,'FE Energie'!$G:$U,13,FALSE))
)/T32)</f>
        <v>0</v>
      </c>
      <c r="AM32" s="565">
        <f>IF(T32=0,0,(
$H32*IF(ISNA(VLOOKUP($B32&amp;"; "&amp;$I$26&amp;", "&amp;I$27,'FE Energie'!$G:$U,14,FALSE)),0,VLOOKUP($B32&amp;"; "&amp;$I$26&amp;", "&amp;I$27,'FE Energie'!$G:$U,14,FALSE))
+$K32*IF(ISNA(VLOOKUP($B32&amp;"; "&amp;$L$26&amp;", "&amp;I$27,'FE Energie'!$G:$U,14,FALSE)),0,VLOOKUP($B32&amp;"; "&amp;$L$26&amp;", "&amp;I$27,'FE Energie'!$G:$U,14,FALSE))
+$N32*IF(ISNA(VLOOKUP($B32&amp;"; "&amp;$O$26&amp;", "&amp;I$27,'FE Energie'!$G:$U,14,FALSE)),0,VLOOKUP($B32&amp;"; "&amp;$O$26&amp;", "&amp;I$27,'FE Energie'!$G:$U,14,FALSE))
+$Q32*IF(ISNA(VLOOKUP($B32&amp;"; "&amp;$R$26&amp;", "&amp;I$27,'FE Energie'!$G:$U,14,FALSE)),0,VLOOKUP($B32&amp;"; "&amp;$R$26&amp;", "&amp;I$27,'FE Energie'!$G:$U,14,FALSE))
)/T32)</f>
        <v>0</v>
      </c>
      <c r="AN32" s="565">
        <f>IF(T32=0,0,(
$H32*IF(ISNA(VLOOKUP($B32&amp;"; "&amp;$I$26&amp;", "&amp;J$27,'FE Energie'!$G:$U,14,FALSE)),0,VLOOKUP($B32&amp;"; "&amp;$I$26&amp;", "&amp;J$27,'FE Energie'!$G:$U,14,FALSE))
+$K32*IF(ISNA(VLOOKUP($B32&amp;"; "&amp;$L$26&amp;", "&amp;J$27,'FE Energie'!$G:$U,14,FALSE)),0,VLOOKUP($B32&amp;"; "&amp;$L$26&amp;", "&amp;J$27,'FE Energie'!$G:$U,14,FALSE))
+$N32*IF(ISNA(VLOOKUP($B32&amp;"; "&amp;$O$26&amp;", "&amp;J$27,'FE Energie'!$G:$U,14,FALSE)),0,VLOOKUP($B32&amp;"; "&amp;$O$26&amp;", "&amp;J$27,'FE Energie'!$G:$U,14,FALSE))
+$Q32*IF(ISNA(VLOOKUP($B32&amp;"; "&amp;$R$26&amp;", "&amp;J$27,'FE Energie'!$G:$U,14,FALSE)),0,VLOOKUP($B32&amp;"; "&amp;$R$26&amp;", "&amp;J$27,'FE Energie'!$G:$U,14,FALSE))
)/T32)</f>
        <v>0</v>
      </c>
      <c r="AO32" s="566">
        <f t="shared" si="6"/>
        <v>0</v>
      </c>
      <c r="AP32" s="566">
        <f t="shared" si="7"/>
        <v>0</v>
      </c>
      <c r="AQ32" s="564">
        <f>$H32*IF(ISNA(VLOOKUP($B32&amp;"; "&amp;$I$26&amp;", "&amp;I$27,'FE Energie'!$G:$U,15,FALSE)),0,VLOOKUP($B32&amp;"; "&amp;$I$26&amp;", "&amp;I$27,'FE Energie'!$G:$U,15,FALSE))
+$K32*IF(ISNA(VLOOKUP($B32&amp;"; "&amp;$L$26&amp;", "&amp;I$27,'FE Energie'!$G:$U,15,FALSE)),0,VLOOKUP($B32&amp;"; "&amp;$L$26&amp;", "&amp;I$27,'FE Energie'!$G:$U,15,FALSE))
+$N32*IF(ISNA(VLOOKUP($B32&amp;"; "&amp;$O$26&amp;", "&amp;I$27,'FE Energie'!$G:$U,15,FALSE)),0,VLOOKUP($B32&amp;"; "&amp;$O$26&amp;", "&amp;I$27,'FE Energie'!$G:$U,15,FALSE))
+$Q32*IF(ISNA(VLOOKUP($B32&amp;"; "&amp;$R$26&amp;", "&amp;I$27,'FE Energie'!$G:$U,15,FALSE)),0,VLOOKUP($B32&amp;"; "&amp;$R$26&amp;", "&amp;I$27,'FE Energie'!$G:$U,15,FALSE))</f>
        <v>0</v>
      </c>
      <c r="AR32" s="568">
        <f>$H32*IF(ISNA(VLOOKUP($B32&amp;"; "&amp;$I$26&amp;", "&amp;J$27,'FE Energie'!$G:$U,15,FALSE)),0,VLOOKUP($B32&amp;"; "&amp;$I$26&amp;", "&amp;J$27,'FE Energie'!$G:$U,15,FALSE))
+$K32*IF(ISNA(VLOOKUP($B32&amp;"; "&amp;$L$26&amp;", "&amp;J$27,'FE Energie'!$G:$U,15,FALSE)),0,VLOOKUP($B32&amp;"; "&amp;$L$26&amp;", "&amp;J$27,'FE Energie'!$G:$U,15,FALSE))
+$N32*IF(ISNA(VLOOKUP($B32&amp;"; "&amp;$O$26&amp;", "&amp;J$27,'FE Energie'!$G:$U,15,FALSE)),0,VLOOKUP($B32&amp;"; "&amp;$O$26&amp;", "&amp;J$27,'FE Energie'!$G:$U,15,FALSE))
+$Q32*IF(ISNA(VLOOKUP($B32&amp;"; "&amp;$R$26&amp;", "&amp;J$27,'FE Energie'!$G:$U,15,FALSE)),0,VLOOKUP($B32&amp;"; "&amp;$R$26&amp;", "&amp;J$27,'FE Energie'!$G:$U,15,FALSE))</f>
        <v>0</v>
      </c>
      <c r="AU32" s="891" t="str">
        <f t="shared" si="10"/>
        <v/>
      </c>
      <c r="AV32" s="892" t="str">
        <f t="shared" si="10"/>
        <v/>
      </c>
      <c r="AW32" s="892" t="str">
        <f t="shared" si="10"/>
        <v/>
      </c>
      <c r="AX32" s="892" t="str">
        <f t="shared" si="10"/>
        <v/>
      </c>
      <c r="AY32" s="892" t="str">
        <f t="shared" si="10"/>
        <v/>
      </c>
      <c r="AZ32" s="892" t="str">
        <f t="shared" si="10"/>
        <v/>
      </c>
      <c r="BA32" s="892" t="str">
        <f t="shared" si="10"/>
        <v/>
      </c>
      <c r="BB32" s="892" t="str">
        <f t="shared" si="10"/>
        <v/>
      </c>
      <c r="BC32" s="900">
        <f t="shared" si="8"/>
        <v>0</v>
      </c>
      <c r="BD32" s="900">
        <f t="shared" si="9"/>
        <v>0</v>
      </c>
      <c r="BE32" s="891" t="str">
        <f>IF($F32="Oui",IF(AQ32="","",AQ32*$T32),"")</f>
        <v/>
      </c>
      <c r="BF32" s="901" t="str">
        <f>IF($F32="Oui",IF(AR32="","",AR32*$T32),"")</f>
        <v/>
      </c>
      <c r="BG32" s="892" t="str">
        <f t="shared" si="1"/>
        <v/>
      </c>
      <c r="BH32" s="901" t="str">
        <f t="shared" si="1"/>
        <v/>
      </c>
      <c r="BJ32" s="1065">
        <f>IF($Z32&lt;&gt;"votre valeur :",IF(ISNA(VLOOKUP($Z32,Utilitaires!$N$566:$O$571,2,FALSE)),,VLOOKUP($Z32,Utilitaires!$N$566:$O$571,2,FALSE)),$AA32)</f>
        <v>0</v>
      </c>
      <c r="BK32" s="1065">
        <f>IF($Z32&lt;&gt;"votre valeur :",IF(ISNA(VLOOKUP($Z32,Utilitaires!$N$566:$O$571,2,FALSE)),,VLOOKUP($Z32,Utilitaires!$N$566:$O$571,2,FALSE)),$AA32)</f>
        <v>0</v>
      </c>
      <c r="BL32" s="1065">
        <f>IF($Z32&lt;&gt;"votre valeur :",IF(ISNA(VLOOKUP($Z32,Utilitaires!$N$566:$O$571,2,FALSE)),,VLOOKUP($Z32,Utilitaires!$N$566:$O$571,2,FALSE)),$AA32)</f>
        <v>0</v>
      </c>
      <c r="BM32" s="1167">
        <f>IF($Z32&lt;&gt;"votre valeur :",IF(ISNA(VLOOKUP($Z32,Utilitaires!$N$566:$O$571,2,FALSE)),,VLOOKUP($Z32,Utilitaires!$N$566:$O$571,2,FALSE)),$AA32)</f>
        <v>0</v>
      </c>
      <c r="BN32" s="1068">
        <f>IF(ISNA(SQRT(SUMSQ(VLOOKUP($B32&amp;"; "&amp;$I$26&amp;", "&amp;$I$27,'FE Energie'!$G:$U,7,FALSE),$BJ32))),0,SQRT(SUMSQ(VLOOKUP($B32&amp;"; "&amp;$I$26&amp;", "&amp;$I$27,'FE Energie'!$G:$U,7,FALSE),$BJ32)))</f>
        <v>0</v>
      </c>
      <c r="BO32" s="1068">
        <f>IF(ISNA(SQRT(SUMSQ(VLOOKUP($B32&amp;"; "&amp;$L$26&amp;", "&amp;$L$27,'FE Energie'!$G:$U,7,FALSE),$BK32))),0,SQRT(SUMSQ(VLOOKUP($B32&amp;"; "&amp;$L$26&amp;", "&amp;$L$27,'FE Energie'!$G:$U,7,FALSE),$BK32)))</f>
        <v>0</v>
      </c>
      <c r="BP32" s="1068">
        <f>IF(ISNA(SQRT(SUMSQ(VLOOKUP($B32&amp;"; "&amp;$O$26&amp;", "&amp;$O$27,'FE Energie'!$G:$U,7,FALSE),$BL32))),0,SQRT(SUMSQ(VLOOKUP($B32&amp;"; "&amp;$O$26&amp;", "&amp;$O$27,'FE Energie'!$G:$U,7,FALSE),$BL32)))</f>
        <v>0</v>
      </c>
      <c r="BQ32" s="1068">
        <f>IF(ISNA(SQRT(SUMSQ(VLOOKUP($B32&amp;"; "&amp;$R$26&amp;", "&amp;$R$27,'FE Energie'!$G:$U,7,FALSE),$BM32))),0,SQRT(SUMSQ(VLOOKUP($B32&amp;"; "&amp;$R$26&amp;", "&amp;$R$27,'FE Energie'!$G:$U,7,FALSE),$BM32)))</f>
        <v>0</v>
      </c>
      <c r="BR32" s="1124">
        <f>IF(ISNA(SQRT(SUMSQ(VLOOKUP($B32&amp;"; "&amp;$I$26&amp;", "&amp;$J$27,'FE Energie'!$G:$U,7,FALSE),$BJ32))),0,SQRT(SUMSQ(VLOOKUP($B32&amp;"; "&amp;$I$26&amp;", "&amp;$J$27,'FE Energie'!$G:$U,7,FALSE),$BJ32)))</f>
        <v>0</v>
      </c>
      <c r="BS32" s="1070">
        <f>IF(ISNA(SQRT(SUMSQ(VLOOKUP($B32&amp;"; "&amp;$L$26&amp;", "&amp;$M$27,'FE Energie'!$G:$U,7,FALSE),$BK32))),0,SQRT(SUMSQ(VLOOKUP($B32&amp;"; "&amp;$L$26&amp;", "&amp;$M$27,'FE Energie'!$G:$U,7,FALSE),$BK32)))</f>
        <v>0</v>
      </c>
      <c r="BT32" s="1070">
        <f>IF(ISNA(SQRT(SUMSQ(VLOOKUP($B32&amp;"; "&amp;$O$26&amp;", "&amp;$P$27,'FE Energie'!$G:$U,7,FALSE),$BL32))),0,SQRT(SUMSQ(VLOOKUP($B32&amp;"; "&amp;$O$26&amp;", "&amp;$P$27,'FE Energie'!$G:$U,7,FALSE),$BL32)))</f>
        <v>0</v>
      </c>
      <c r="BU32" s="1071">
        <f>IF(ISNA(SQRT(SUMSQ(VLOOKUP($B32&amp;"; "&amp;$R$26&amp;", "&amp;$S$27,'FE Energie'!$G:$U,7,FALSE),$BM32))),0,SQRT(SUMSQ(VLOOKUP($B32&amp;"; "&amp;$R$26&amp;", "&amp;$S$27,'FE Energie'!$G:$U,7,FALSE),$BM32)))</f>
        <v>0</v>
      </c>
    </row>
    <row r="33" spans="1:73" s="116" customFormat="1" ht="12.75" hidden="1" customHeight="1" outlineLevel="3">
      <c r="A33" s="114"/>
      <c r="B33" s="536" t="s">
        <v>1628</v>
      </c>
      <c r="C33" s="144"/>
      <c r="D33" s="315"/>
      <c r="E33" s="315"/>
      <c r="F33" s="1505"/>
      <c r="G33" s="822"/>
      <c r="H33" s="1583"/>
      <c r="I33" s="335"/>
      <c r="J33" s="335"/>
      <c r="K33" s="1583"/>
      <c r="L33" s="223"/>
      <c r="M33" s="223"/>
      <c r="N33" s="1583"/>
      <c r="O33" s="217"/>
      <c r="P33" s="217"/>
      <c r="Q33" s="1200"/>
      <c r="R33" s="223"/>
      <c r="S33" s="223"/>
      <c r="T33" s="1200"/>
      <c r="U33" s="566"/>
      <c r="V33" s="567"/>
      <c r="W33" s="1286"/>
      <c r="Y33" s="1092"/>
      <c r="Z33" s="820"/>
      <c r="AA33" s="820"/>
      <c r="AB33" s="164"/>
      <c r="AC33" s="164"/>
      <c r="AD33" s="152"/>
      <c r="AE33" s="1286"/>
      <c r="AF33" s="114"/>
      <c r="AG33" s="564"/>
      <c r="AH33" s="565"/>
      <c r="AI33" s="620"/>
      <c r="AJ33" s="620"/>
      <c r="AK33" s="620"/>
      <c r="AL33" s="620"/>
      <c r="AM33" s="565"/>
      <c r="AN33" s="565"/>
      <c r="AO33" s="566"/>
      <c r="AP33" s="566"/>
      <c r="AQ33" s="564"/>
      <c r="AR33" s="568"/>
      <c r="AU33" s="891"/>
      <c r="AV33" s="892"/>
      <c r="AW33" s="892"/>
      <c r="AX33" s="892"/>
      <c r="AY33" s="892"/>
      <c r="AZ33" s="892"/>
      <c r="BA33" s="892"/>
      <c r="BB33" s="892"/>
      <c r="BC33" s="900"/>
      <c r="BD33" s="900"/>
      <c r="BE33" s="891"/>
      <c r="BF33" s="901"/>
      <c r="BG33" s="1541" t="str">
        <f t="shared" si="1"/>
        <v/>
      </c>
      <c r="BH33" s="1538" t="str">
        <f t="shared" si="1"/>
        <v/>
      </c>
      <c r="BJ33" s="1065"/>
      <c r="BK33" s="1065"/>
      <c r="BL33" s="1065"/>
      <c r="BM33" s="1167"/>
      <c r="BN33" s="1068"/>
      <c r="BO33" s="1068"/>
      <c r="BP33" s="1068"/>
      <c r="BQ33" s="1068"/>
      <c r="BR33" s="1124"/>
      <c r="BS33" s="1070"/>
      <c r="BT33" s="1070"/>
      <c r="BU33" s="1071"/>
    </row>
    <row r="34" spans="1:73" s="116" customFormat="1" ht="12.75" hidden="1" customHeight="1" outlineLevel="3">
      <c r="A34" s="114"/>
      <c r="B34" s="143" t="s">
        <v>1630</v>
      </c>
      <c r="C34" s="144"/>
      <c r="D34" s="315">
        <f>SUM(U34,V34)</f>
        <v>0</v>
      </c>
      <c r="E34" s="315"/>
      <c r="F34" s="391"/>
      <c r="G34" s="344"/>
      <c r="H34" s="1584"/>
      <c r="I34" s="335" t="e">
        <f>VLOOKUP($B34&amp;"; "&amp;$I$26&amp;", "&amp;I$27,'FE Energie'!$G:$U,9,FALSE)</f>
        <v>#N/A</v>
      </c>
      <c r="J34" s="335" t="e">
        <f>VLOOKUP($B34&amp;"; "&amp;$I$26&amp;", "&amp;J$27,'FE Energie'!$G:$U,9,FALSE)</f>
        <v>#N/A</v>
      </c>
      <c r="K34" s="1584"/>
      <c r="L34" s="223">
        <f>VLOOKUP($B34&amp;"; "&amp;$L$26&amp;", "&amp;L$27,'FE Energie'!$G:$U,9,FALSE)</f>
        <v>7.8399999999999997E-2</v>
      </c>
      <c r="M34" s="223">
        <f>VLOOKUP($B34&amp;"; "&amp;$L$26&amp;", "&amp;M$27,'FE Energie'!$G:$U,9,FALSE)</f>
        <v>0.19500000000000001</v>
      </c>
      <c r="N34" s="1584"/>
      <c r="O34" s="217">
        <f>VLOOKUP($B34&amp;"; "&amp;$O$26&amp;", "&amp;O$27,'FE Energie'!$G:$U,9,FALSE)</f>
        <v>916</v>
      </c>
      <c r="P34" s="217">
        <f>VLOOKUP($B34&amp;"; "&amp;$O$26&amp;", "&amp;P$27,'FE Energie'!$G:$U,9,FALSE)</f>
        <v>2269</v>
      </c>
      <c r="Q34" s="1201"/>
      <c r="R34" s="223">
        <f>VLOOKUP($B34&amp;"; "&amp;$R$26&amp;", "&amp;R$27,'FE Energie'!$G:$U,9,FALSE)</f>
        <v>0.75800000000000001</v>
      </c>
      <c r="S34" s="223">
        <f>VLOOKUP($B34&amp;"; "&amp;$R$26&amp;", "&amp;S$27,'FE Energie'!$G:$U,9,FALSE)</f>
        <v>1.88</v>
      </c>
      <c r="T34" s="120"/>
      <c r="U34" s="566">
        <f t="shared" si="2"/>
        <v>0</v>
      </c>
      <c r="V34" s="567">
        <f t="shared" si="3"/>
        <v>0</v>
      </c>
      <c r="W34" s="1286">
        <f>IF(OR(G34=Utilitaires!$I$572,G34=Utilitaires!$I$577),V34,0)</f>
        <v>0</v>
      </c>
      <c r="Y34" s="1092">
        <f>IF(AD34=0,AD34,AD34/(U34+V34))</f>
        <v>0</v>
      </c>
      <c r="Z34" s="343"/>
      <c r="AA34" s="820"/>
      <c r="AB34" s="164">
        <f>IF(T34=0,0,SQRT(SUMSQ(IF(ISNA($H34*I34*BN34),0,$H34*I34*BN34),IF(ISNA($K34*L34*BO34),0,$K34*L34*BO34),IF(ISNA($N34*O34*BP34),0,$N34*O34*BP34),IF(ISNA($Q34*R34*BQ34),0,$Q34*R34*BQ34)))/T34)</f>
        <v>0</v>
      </c>
      <c r="AC34" s="164">
        <f>IF(T34=0,0,SQRT(SUMSQ(IF(ISNA($H34*J34*BR34),0,$H34*J34*BR34),IF(ISNA($K34*M34*BS34),0,$K34*M34*BS34),IF(ISNA($N34*P34*BT34),0,$N34*P34*BT34),IF(ISNA($Q34*S34*BU34),0,$Q34*S34*BU34)))/T34)</f>
        <v>0</v>
      </c>
      <c r="AD34" s="152">
        <f t="shared" si="4"/>
        <v>0</v>
      </c>
      <c r="AE34" s="1286">
        <f t="shared" si="5"/>
        <v>0</v>
      </c>
      <c r="AF34" s="114"/>
      <c r="AG34" s="564">
        <f>IF(T34=0,0,(
$H34*IF(ISNA(VLOOKUP($B34&amp;"; "&amp;$I$26&amp;", "&amp;I$27,'FE Energie'!$G:$U,10,FALSE)),0,VLOOKUP($B34&amp;"; "&amp;$I$26&amp;", "&amp;I$27,'FE Energie'!$G:$U,10,FALSE))
+$K34*IF(ISNA(VLOOKUP($B34&amp;"; "&amp;$L$26&amp;", "&amp;I$27,'FE Energie'!$G:$U,10,FALSE)),0,VLOOKUP($B34&amp;"; "&amp;$L$26&amp;", "&amp;I$27,'FE Energie'!$G:$U,10,FALSE))
+$N34*IF(ISNA(VLOOKUP($B34&amp;"; "&amp;$O$26&amp;", "&amp;I$27,'FE Energie'!$G:$U,10,FALSE)),0,VLOOKUP($B34&amp;"; "&amp;$O$26&amp;", "&amp;I$27,'FE Energie'!$G:$U,10,FALSE))
+$Q34*IF(ISNA(VLOOKUP($B34&amp;"; "&amp;$R$26&amp;", "&amp;I$27,'FE Energie'!$G:$U,10,FALSE)),0,VLOOKUP($B34&amp;"; "&amp;$R$26&amp;", "&amp;I$27,'FE Energie'!$G:$U,10,FALSE))
)/T34)</f>
        <v>0</v>
      </c>
      <c r="AH34" s="565">
        <f>IF(T34=0,0,(
$H34*IF(ISNA(VLOOKUP($B34&amp;"; "&amp;$I$26&amp;", "&amp;J$27,'FE Energie'!$G:$U,10,FALSE)),0,VLOOKUP($B34&amp;"; "&amp;$I$26&amp;", "&amp;J$27,'FE Energie'!$G:$U,10,FALSE))
+$K34*IF(ISNA(VLOOKUP($B34&amp;"; "&amp;$L$26&amp;", "&amp;J$27,'FE Energie'!$G:$U,10,FALSE)),0,VLOOKUP($B34&amp;"; "&amp;$L$26&amp;", "&amp;J$27,'FE Energie'!$G:$U,10,FALSE))
+$N34*IF(ISNA(VLOOKUP($B34&amp;"; "&amp;$O$26&amp;", "&amp;J$27,'FE Energie'!$G:$U,10,FALSE)),0,VLOOKUP($B34&amp;"; "&amp;$O$26&amp;", "&amp;J$27,'FE Energie'!$G:$U,10,FALSE))
+$Q34*IF(ISNA(VLOOKUP($B34&amp;"; "&amp;$R$26&amp;", "&amp;J$27,'FE Energie'!$G:$U,10,FALSE)),0,VLOOKUP($B34&amp;"; "&amp;$R$26&amp;", "&amp;J$27,'FE Energie'!$G:$U,10,FALSE))
)/T34)</f>
        <v>0</v>
      </c>
      <c r="AI34" s="620">
        <f>IF(T34=0,0,(
$H34*IF(ISNA((VLOOKUP($B34&amp;"; "&amp;$I$26&amp;", "&amp;I$27,'FE Energie'!$G:$U,12,FALSE)+VLOOKUP($B34&amp;"; "&amp;$I$26&amp;", "&amp;I$27,'FE Energie'!$G:$U,11,FALSE))),0,(VLOOKUP($B34&amp;"; "&amp;$I$26&amp;", "&amp;I$27,'FE Energie'!$G:$U,12,FALSE)+VLOOKUP($B34&amp;"; "&amp;$I$26&amp;", "&amp;I$27,'FE Energie'!$G:$U,11,FALSE)))
+$K34*IF(ISNA((VLOOKUP($B34&amp;"; "&amp;$L$26&amp;", "&amp;I$27,'FE Energie'!$G:$U,12,FALSE)+VLOOKUP($B34&amp;"; "&amp;$L$26&amp;", "&amp;I$27,'FE Energie'!$G:$U,11,FALSE))),0,(VLOOKUP($B34&amp;"; "&amp;$L$26&amp;", "&amp;I$27,'FE Energie'!$G:$U,12,FALSE)+VLOOKUP($B34&amp;"; "&amp;$L$26&amp;", "&amp;I$27,'FE Energie'!$G:$U,11,FALSE)))
+$N34*IF(ISNA((VLOOKUP($B34&amp;"; "&amp;$O$26&amp;", "&amp;I$27,'FE Energie'!$G:$U,12,FALSE)+VLOOKUP($B34&amp;"; "&amp;$O$26&amp;", "&amp;I$27,'FE Energie'!$G:$U,11,FALSE))),0,(VLOOKUP($B34&amp;"; "&amp;$O$26&amp;", "&amp;I$27,'FE Energie'!$G:$U,12,FALSE)+VLOOKUP($B34&amp;"; "&amp;$O$26&amp;", "&amp;I$27,'FE Energie'!$G:$U,11,FALSE)))
+$Q34*IF(ISNA((VLOOKUP($B34&amp;"; "&amp;$R$26&amp;", "&amp;I$27,'FE Energie'!$G:$U,12,FALSE)+VLOOKUP($B34&amp;"; "&amp;$R$26&amp;", "&amp;I$27,'FE Energie'!$G:$U,11,FALSE))),0,(VLOOKUP($B34&amp;"; "&amp;$R$26&amp;", "&amp;I$27,'FE Energie'!$G:$U,12,FALSE)+VLOOKUP($B34&amp;"; "&amp;$R$26&amp;", "&amp;I$27,'FE Energie'!$G:$U,11,FALSE)))
)/T34)</f>
        <v>0</v>
      </c>
      <c r="AJ34" s="620">
        <f>IF(T34=0,0,(
$H34*IF(ISNA((VLOOKUP($B34&amp;"; "&amp;$I$26&amp;", "&amp;J$27,'FE Energie'!$G:$U,12,FALSE)+VLOOKUP($B34&amp;"; "&amp;$I$26&amp;", "&amp;J$27,'FE Energie'!$G:$U,11,FALSE))),0,(VLOOKUP($B34&amp;"; "&amp;$I$26&amp;", "&amp;J$27,'FE Energie'!$G:$U,12,FALSE)+VLOOKUP($B34&amp;"; "&amp;$I$26&amp;", "&amp;J$27,'FE Energie'!$G:$U,11,FALSE)))
+$K34*IF(ISNA((VLOOKUP($B34&amp;"; "&amp;$L$26&amp;", "&amp;J$27,'FE Energie'!$G:$U,12,FALSE)+VLOOKUP($B34&amp;"; "&amp;$L$26&amp;", "&amp;J$27,'FE Energie'!$G:$U,11,FALSE))),0,(VLOOKUP($B34&amp;"; "&amp;$L$26&amp;", "&amp;J$27,'FE Energie'!$G:$U,12,FALSE)+VLOOKUP($B34&amp;"; "&amp;$L$26&amp;", "&amp;J$27,'FE Energie'!$G:$U,11,FALSE)))
+$N34*IF(ISNA((VLOOKUP($B34&amp;"; "&amp;$O$26&amp;", "&amp;J$27,'FE Energie'!$G:$U,12,FALSE)+VLOOKUP($B34&amp;"; "&amp;$O$26&amp;", "&amp;J$27,'FE Energie'!$G:$U,11,FALSE))),0,(VLOOKUP($B34&amp;"; "&amp;$O$26&amp;", "&amp;J$27,'FE Energie'!$G:$U,12,FALSE)+VLOOKUP($B34&amp;"; "&amp;$O$26&amp;", "&amp;J$27,'FE Energie'!$G:$U,11,FALSE)))
+$Q34*IF(ISNA((VLOOKUP($B34&amp;"; "&amp;$R$26&amp;", "&amp;J$27,'FE Energie'!$G:$U,12,FALSE)+VLOOKUP($B34&amp;"; "&amp;$R$26&amp;", "&amp;J$27,'FE Energie'!$G:$U,11,FALSE))),0,(VLOOKUP($B34&amp;"; "&amp;$R$26&amp;", "&amp;J$27,'FE Energie'!$G:$U,12,FALSE)+VLOOKUP($B34&amp;"; "&amp;$R$26&amp;", "&amp;J$27,'FE Energie'!$G:$U,11,FALSE)))
)/T34)</f>
        <v>0</v>
      </c>
      <c r="AK34" s="620">
        <f>IF(T34=0,0,(
$H34*IF(ISNA(VLOOKUP($B34&amp;"; "&amp;$I$26&amp;", "&amp;I$27,'FE Energie'!$G:$U,13,FALSE)),0,VLOOKUP($B34&amp;"; "&amp;$I$26&amp;", "&amp;I$27,'FE Energie'!$G:$U,13,FALSE))
+$K34*IF(ISNA(VLOOKUP($B34&amp;"; "&amp;$L$26&amp;", "&amp;I$27,'FE Energie'!$G:$U,13,FALSE)),0,VLOOKUP($B34&amp;"; "&amp;$L$26&amp;", "&amp;I$27,'FE Energie'!$G:$U,13,FALSE))
+$N34*IF(ISNA(VLOOKUP($B34&amp;"; "&amp;$O$26&amp;", "&amp;I$27,'FE Energie'!$G:$U,13,FALSE)),0,VLOOKUP($B34&amp;"; "&amp;$O$26&amp;", "&amp;I$27,'FE Energie'!$G:$U,13,FALSE))
+$Q34*IF(ISNA(VLOOKUP($B34&amp;"; "&amp;$R$26&amp;", "&amp;I$27,'FE Energie'!$G:$U,13,FALSE)),0,VLOOKUP($B34&amp;"; "&amp;$R$26&amp;", "&amp;I$27,'FE Energie'!$G:$U,13,FALSE))
)/T34)</f>
        <v>0</v>
      </c>
      <c r="AL34" s="620">
        <f>IF(T34=0,0,(
$H34*IF(ISNA(VLOOKUP($B34&amp;"; "&amp;$I$26&amp;", "&amp;J$27,'FE Energie'!$G:$U,13,FALSE)),0,VLOOKUP($B34&amp;"; "&amp;$I$26&amp;", "&amp;J$27,'FE Energie'!$G:$U,13,FALSE))
+$K34*IF(ISNA(VLOOKUP($B34&amp;"; "&amp;$L$26&amp;", "&amp;J$27,'FE Energie'!$G:$U,13,FALSE)),0,VLOOKUP($B34&amp;"; "&amp;$L$26&amp;", "&amp;J$27,'FE Energie'!$G:$U,13,FALSE))
+$N34*IF(ISNA(VLOOKUP($B34&amp;"; "&amp;$O$26&amp;", "&amp;J$27,'FE Energie'!$G:$U,13,FALSE)),0,VLOOKUP($B34&amp;"; "&amp;$O$26&amp;", "&amp;J$27,'FE Energie'!$G:$U,13,FALSE))
+$Q34*IF(ISNA(VLOOKUP($B34&amp;"; "&amp;$R$26&amp;", "&amp;J$27,'FE Energie'!$G:$U,13,FALSE)),0,VLOOKUP($B34&amp;"; "&amp;$R$26&amp;", "&amp;J$27,'FE Energie'!$G:$U,13,FALSE))
)/T34)</f>
        <v>0</v>
      </c>
      <c r="AM34" s="565">
        <f>IF(T34=0,0,(
$H34*IF(ISNA(VLOOKUP($B34&amp;"; "&amp;$I$26&amp;", "&amp;I$27,'FE Energie'!$G:$U,14,FALSE)),0,VLOOKUP($B34&amp;"; "&amp;$I$26&amp;", "&amp;I$27,'FE Energie'!$G:$U,14,FALSE))
+$K34*IF(ISNA(VLOOKUP($B34&amp;"; "&amp;$L$26&amp;", "&amp;I$27,'FE Energie'!$G:$U,14,FALSE)),0,VLOOKUP($B34&amp;"; "&amp;$L$26&amp;", "&amp;I$27,'FE Energie'!$G:$U,14,FALSE))
+$N34*IF(ISNA(VLOOKUP($B34&amp;"; "&amp;$O$26&amp;", "&amp;I$27,'FE Energie'!$G:$U,14,FALSE)),0,VLOOKUP($B34&amp;"; "&amp;$O$26&amp;", "&amp;I$27,'FE Energie'!$G:$U,14,FALSE))
+$Q34*IF(ISNA(VLOOKUP($B34&amp;"; "&amp;$R$26&amp;", "&amp;I$27,'FE Energie'!$G:$U,14,FALSE)),0,VLOOKUP($B34&amp;"; "&amp;$R$26&amp;", "&amp;I$27,'FE Energie'!$G:$U,14,FALSE))
)/T34)</f>
        <v>0</v>
      </c>
      <c r="AN34" s="565">
        <f>IF(T34=0,0,(
$H34*IF(ISNA(VLOOKUP($B34&amp;"; "&amp;$I$26&amp;", "&amp;J$27,'FE Energie'!$G:$U,14,FALSE)),0,VLOOKUP($B34&amp;"; "&amp;$I$26&amp;", "&amp;J$27,'FE Energie'!$G:$U,14,FALSE))
+$K34*IF(ISNA(VLOOKUP($B34&amp;"; "&amp;$L$26&amp;", "&amp;J$27,'FE Energie'!$G:$U,14,FALSE)),0,VLOOKUP($B34&amp;"; "&amp;$L$26&amp;", "&amp;J$27,'FE Energie'!$G:$U,14,FALSE))
+$N34*IF(ISNA(VLOOKUP($B34&amp;"; "&amp;$O$26&amp;", "&amp;J$27,'FE Energie'!$G:$U,14,FALSE)),0,VLOOKUP($B34&amp;"; "&amp;$O$26&amp;", "&amp;J$27,'FE Energie'!$G:$U,14,FALSE))
+$Q34*IF(ISNA(VLOOKUP($B34&amp;"; "&amp;$R$26&amp;", "&amp;J$27,'FE Energie'!$G:$U,14,FALSE)),0,VLOOKUP($B34&amp;"; "&amp;$R$26&amp;", "&amp;J$27,'FE Energie'!$G:$U,14,FALSE))
)/T34)</f>
        <v>0</v>
      </c>
      <c r="AO34" s="566">
        <f t="shared" si="6"/>
        <v>0</v>
      </c>
      <c r="AP34" s="566">
        <f t="shared" si="7"/>
        <v>0</v>
      </c>
      <c r="AQ34" s="564">
        <f>$H34*IF(ISNA(VLOOKUP($B34&amp;"; "&amp;$I$26&amp;", "&amp;I$27,'FE Energie'!$G:$U,15,FALSE)),0,VLOOKUP($B34&amp;"; "&amp;$I$26&amp;", "&amp;I$27,'FE Energie'!$G:$U,15,FALSE))
+$K34*IF(ISNA(VLOOKUP($B34&amp;"; "&amp;$L$26&amp;", "&amp;I$27,'FE Energie'!$G:$U,15,FALSE)),0,VLOOKUP($B34&amp;"; "&amp;$L$26&amp;", "&amp;I$27,'FE Energie'!$G:$U,15,FALSE))
+$N34*IF(ISNA(VLOOKUP($B34&amp;"; "&amp;$O$26&amp;", "&amp;I$27,'FE Energie'!$G:$U,15,FALSE)),0,VLOOKUP($B34&amp;"; "&amp;$O$26&amp;", "&amp;I$27,'FE Energie'!$G:$U,15,FALSE))
+$Q34*IF(ISNA(VLOOKUP($B34&amp;"; "&amp;$R$26&amp;", "&amp;I$27,'FE Energie'!$G:$U,15,FALSE)),0,VLOOKUP($B34&amp;"; "&amp;$R$26&amp;", "&amp;I$27,'FE Energie'!$G:$U,15,FALSE))</f>
        <v>0</v>
      </c>
      <c r="AR34" s="568">
        <f>$H34*IF(ISNA(VLOOKUP($B34&amp;"; "&amp;$I$26&amp;", "&amp;J$27,'FE Energie'!$G:$U,15,FALSE)),0,VLOOKUP($B34&amp;"; "&amp;$I$26&amp;", "&amp;J$27,'FE Energie'!$G:$U,15,FALSE))
+$K34*IF(ISNA(VLOOKUP($B34&amp;"; "&amp;$L$26&amp;", "&amp;J$27,'FE Energie'!$G:$U,15,FALSE)),0,VLOOKUP($B34&amp;"; "&amp;$L$26&amp;", "&amp;J$27,'FE Energie'!$G:$U,15,FALSE))
+$N34*IF(ISNA(VLOOKUP($B34&amp;"; "&amp;$O$26&amp;", "&amp;J$27,'FE Energie'!$G:$U,15,FALSE)),0,VLOOKUP($B34&amp;"; "&amp;$O$26&amp;", "&amp;J$27,'FE Energie'!$G:$U,15,FALSE))
+$Q34*IF(ISNA(VLOOKUP($B34&amp;"; "&amp;$R$26&amp;", "&amp;J$27,'FE Energie'!$G:$U,15,FALSE)),0,VLOOKUP($B34&amp;"; "&amp;$R$26&amp;", "&amp;J$27,'FE Energie'!$G:$U,15,FALSE))</f>
        <v>0</v>
      </c>
      <c r="AU34" s="891" t="str">
        <f t="shared" ref="AU34:BB35" si="11">IF($F34="Oui",AG34*$T34,"")</f>
        <v/>
      </c>
      <c r="AV34" s="892" t="str">
        <f t="shared" si="11"/>
        <v/>
      </c>
      <c r="AW34" s="892" t="str">
        <f t="shared" si="11"/>
        <v/>
      </c>
      <c r="AX34" s="892" t="str">
        <f t="shared" si="11"/>
        <v/>
      </c>
      <c r="AY34" s="892" t="str">
        <f t="shared" si="11"/>
        <v/>
      </c>
      <c r="AZ34" s="892" t="str">
        <f t="shared" si="11"/>
        <v/>
      </c>
      <c r="BA34" s="892" t="str">
        <f t="shared" si="11"/>
        <v/>
      </c>
      <c r="BB34" s="892" t="str">
        <f t="shared" si="11"/>
        <v/>
      </c>
      <c r="BC34" s="900">
        <f t="shared" si="8"/>
        <v>0</v>
      </c>
      <c r="BD34" s="900">
        <f t="shared" si="9"/>
        <v>0</v>
      </c>
      <c r="BE34" s="891" t="str">
        <f>IF($F34="Oui",IF(AQ34="","",AQ34*$T34),"")</f>
        <v/>
      </c>
      <c r="BF34" s="901" t="str">
        <f>IF($F34="Oui",IF(AR34="","",AR34*$T34),"")</f>
        <v/>
      </c>
      <c r="BG34" s="892" t="str">
        <f t="shared" si="1"/>
        <v/>
      </c>
      <c r="BH34" s="901" t="str">
        <f t="shared" si="1"/>
        <v/>
      </c>
      <c r="BJ34" s="1065">
        <f>IF($Z34&lt;&gt;"votre valeur :",IF(ISNA(VLOOKUP($Z34,Utilitaires!$N$566:$O$571,2,FALSE)),,VLOOKUP($Z34,Utilitaires!$N$566:$O$571,2,FALSE)),$AA34)</f>
        <v>0</v>
      </c>
      <c r="BK34" s="1065">
        <f>IF($Z34&lt;&gt;"votre valeur :",IF(ISNA(VLOOKUP($Z34,Utilitaires!$N$566:$O$571,2,FALSE)),,VLOOKUP($Z34,Utilitaires!$N$566:$O$571,2,FALSE)),$AA34)</f>
        <v>0</v>
      </c>
      <c r="BL34" s="1065">
        <f>IF($Z34&lt;&gt;"votre valeur :",IF(ISNA(VLOOKUP($Z34,Utilitaires!$N$566:$O$571,2,FALSE)),,VLOOKUP($Z34,Utilitaires!$N$566:$O$571,2,FALSE)),$AA34)</f>
        <v>0</v>
      </c>
      <c r="BM34" s="1167">
        <f>IF($Z34&lt;&gt;"votre valeur :",IF(ISNA(VLOOKUP($Z34,Utilitaires!$N$566:$O$571,2,FALSE)),,VLOOKUP($Z34,Utilitaires!$N$566:$O$571,2,FALSE)),$AA34)</f>
        <v>0</v>
      </c>
      <c r="BN34" s="1068">
        <f>IF(ISNA(SQRT(SUMSQ(VLOOKUP($B34&amp;"; "&amp;$I$26&amp;", "&amp;$I$27,'FE Energie'!$G:$U,7,FALSE),$BJ34))),0,SQRT(SUMSQ(VLOOKUP($B34&amp;"; "&amp;$I$26&amp;", "&amp;$I$27,'FE Energie'!$G:$U,7,FALSE),$BJ34)))</f>
        <v>0</v>
      </c>
      <c r="BO34" s="1068">
        <f>IF(ISNA(SQRT(SUMSQ(VLOOKUP($B34&amp;"; "&amp;$L$26&amp;", "&amp;$L$27,'FE Energie'!$G:$U,7,FALSE),$BK34))),0,SQRT(SUMSQ(VLOOKUP($B34&amp;"; "&amp;$L$26&amp;", "&amp;$L$27,'FE Energie'!$G:$U,7,FALSE),$BK34)))</f>
        <v>0.05</v>
      </c>
      <c r="BP34" s="1068">
        <f>IF(ISNA(SQRT(SUMSQ(VLOOKUP($B34&amp;"; "&amp;$O$26&amp;", "&amp;$O$27,'FE Energie'!$G:$U,7,FALSE),$BL34))),0,SQRT(SUMSQ(VLOOKUP($B34&amp;"; "&amp;$O$26&amp;", "&amp;$O$27,'FE Energie'!$G:$U,7,FALSE),$BL34)))</f>
        <v>0.05</v>
      </c>
      <c r="BQ34" s="1068">
        <f>IF(ISNA(SQRT(SUMSQ(VLOOKUP($B34&amp;"; "&amp;$R$26&amp;", "&amp;$R$27,'FE Energie'!$G:$U,7,FALSE),$BM34))),0,SQRT(SUMSQ(VLOOKUP($B34&amp;"; "&amp;$R$26&amp;", "&amp;$R$27,'FE Energie'!$G:$U,7,FALSE),$BM34)))</f>
        <v>0.1</v>
      </c>
      <c r="BR34" s="1124">
        <f>IF(ISNA(SQRT(SUMSQ(VLOOKUP($B34&amp;"; "&amp;$I$26&amp;", "&amp;$J$27,'FE Energie'!$G:$U,7,FALSE),$BJ34))),0,SQRT(SUMSQ(VLOOKUP($B34&amp;"; "&amp;$I$26&amp;", "&amp;$J$27,'FE Energie'!$G:$U,7,FALSE),$BJ34)))</f>
        <v>0</v>
      </c>
      <c r="BS34" s="1070">
        <f>IF(ISNA(SQRT(SUMSQ(VLOOKUP($B34&amp;"; "&amp;$L$26&amp;", "&amp;$M$27,'FE Energie'!$G:$U,7,FALSE),$BK34))),0,SQRT(SUMSQ(VLOOKUP($B34&amp;"; "&amp;$L$26&amp;", "&amp;$M$27,'FE Energie'!$G:$U,7,FALSE),$BK34)))</f>
        <v>0.05</v>
      </c>
      <c r="BT34" s="1070">
        <f>IF(ISNA(SQRT(SUMSQ(VLOOKUP($B34&amp;"; "&amp;$O$26&amp;", "&amp;$P$27,'FE Energie'!$G:$U,7,FALSE),$BL34))),0,SQRT(SUMSQ(VLOOKUP($B34&amp;"; "&amp;$O$26&amp;", "&amp;$P$27,'FE Energie'!$G:$U,7,FALSE),$BL34)))</f>
        <v>0.05</v>
      </c>
      <c r="BU34" s="1071">
        <f>IF(ISNA(SQRT(SUMSQ(VLOOKUP($B34&amp;"; "&amp;$R$26&amp;", "&amp;$S$27,'FE Energie'!$G:$U,7,FALSE),$BM34))),0,SQRT(SUMSQ(VLOOKUP($B34&amp;"; "&amp;$R$26&amp;", "&amp;$S$27,'FE Energie'!$G:$U,7,FALSE),$BM34)))</f>
        <v>0.1</v>
      </c>
    </row>
    <row r="35" spans="1:73" s="116" customFormat="1" ht="12.75" hidden="1" customHeight="1" outlineLevel="3">
      <c r="A35" s="114"/>
      <c r="B35" s="143" t="s">
        <v>1631</v>
      </c>
      <c r="C35" s="144"/>
      <c r="D35" s="315">
        <f>SUM(U35,V35)</f>
        <v>0</v>
      </c>
      <c r="E35" s="315"/>
      <c r="F35" s="393"/>
      <c r="G35" s="345"/>
      <c r="H35" s="1548"/>
      <c r="I35" s="335">
        <f>VLOOKUP($B35&amp;"; "&amp;$I$26&amp;", "&amp;I$27,'FE Energie'!$G:$U,9,FALSE)</f>
        <v>0.27</v>
      </c>
      <c r="J35" s="335">
        <f>VLOOKUP($B35&amp;"; "&amp;$I$26&amp;", "&amp;J$27,'FE Energie'!$G:$U,9,FALSE)</f>
        <v>3.07</v>
      </c>
      <c r="K35" s="1548"/>
      <c r="L35" s="223" t="e">
        <f>VLOOKUP($B35&amp;"; "&amp;$L$26&amp;", "&amp;L$27,'FE Energie'!$G:$U,9,FALSE)</f>
        <v>#N/A</v>
      </c>
      <c r="M35" s="223" t="e">
        <f>VLOOKUP($B35&amp;"; "&amp;$L$26&amp;", "&amp;M$27,'FE Energie'!$G:$U,9,FALSE)</f>
        <v>#N/A</v>
      </c>
      <c r="N35" s="1548"/>
      <c r="O35" s="217" t="e">
        <f>VLOOKUP($B35&amp;"; "&amp;$O$26&amp;", "&amp;O$27,'FE Energie'!$G:$U,9,FALSE)</f>
        <v>#N/A</v>
      </c>
      <c r="P35" s="217" t="e">
        <f>VLOOKUP($B35&amp;"; "&amp;$O$26&amp;", "&amp;P$27,'FE Energie'!$G:$U,9,FALSE)</f>
        <v>#N/A</v>
      </c>
      <c r="Q35" s="1086"/>
      <c r="R35" s="223" t="e">
        <f>VLOOKUP($B35&amp;"; "&amp;$R$26&amp;", "&amp;R$27,'FE Energie'!$G:$U,9,FALSE)</f>
        <v>#N/A</v>
      </c>
      <c r="S35" s="223" t="e">
        <f>VLOOKUP($B35&amp;"; "&amp;$R$26&amp;", "&amp;S$27,'FE Energie'!$G:$U,9,FALSE)</f>
        <v>#N/A</v>
      </c>
      <c r="T35" s="123"/>
      <c r="U35" s="566">
        <f t="shared" si="2"/>
        <v>0</v>
      </c>
      <c r="V35" s="567">
        <f t="shared" si="3"/>
        <v>0</v>
      </c>
      <c r="W35" s="1286">
        <f>IF(OR(G35=Utilitaires!$I$572,G35=Utilitaires!$I$577),V35,0)</f>
        <v>0</v>
      </c>
      <c r="Y35" s="1092">
        <f>IF(AD35=0,AD35,AD35/(U35+V35))</f>
        <v>0</v>
      </c>
      <c r="Z35" s="345"/>
      <c r="AA35" s="820"/>
      <c r="AB35" s="164">
        <f>IF(T35=0,0,SQRT(SUMSQ(IF(ISNA($H35*I35*BN35),0,$H35*I35*BN35),IF(ISNA($K35*L35*BO35),0,$K35*L35*BO35),IF(ISNA($N35*O35*BP35),0,$N35*O35*BP35),IF(ISNA($Q35*R35*BQ35),0,$Q35*R35*BQ35)))/T35)</f>
        <v>0</v>
      </c>
      <c r="AC35" s="164">
        <f>IF(T35=0,0,SQRT(SUMSQ(IF(ISNA($H35*J35*BR35),0,$H35*J35*BR35),IF(ISNA($K35*M35*BS35),0,$K35*M35*BS35),IF(ISNA($N35*P35*BT35),0,$N35*P35*BT35),IF(ISNA($Q35*S35*BU35),0,$Q35*S35*BU35)))/T35)</f>
        <v>0</v>
      </c>
      <c r="AD35" s="152">
        <f t="shared" si="4"/>
        <v>0</v>
      </c>
      <c r="AE35" s="1286">
        <f t="shared" si="5"/>
        <v>0</v>
      </c>
      <c r="AF35" s="114"/>
      <c r="AG35" s="564">
        <f>IF(T35=0,0,(
$H35*IF(ISNA(VLOOKUP($B35&amp;"; "&amp;$I$26&amp;", "&amp;I$27,'FE Energie'!$G:$U,10,FALSE)),0,VLOOKUP($B35&amp;"; "&amp;$I$26&amp;", "&amp;I$27,'FE Energie'!$G:$U,10,FALSE))
+$K35*IF(ISNA(VLOOKUP($B35&amp;"; "&amp;$L$26&amp;", "&amp;I$27,'FE Energie'!$G:$U,10,FALSE)),0,VLOOKUP($B35&amp;"; "&amp;$L$26&amp;", "&amp;I$27,'FE Energie'!$G:$U,10,FALSE))
+$N35*IF(ISNA(VLOOKUP($B35&amp;"; "&amp;$O$26&amp;", "&amp;I$27,'FE Energie'!$G:$U,10,FALSE)),0,VLOOKUP($B35&amp;"; "&amp;$O$26&amp;", "&amp;I$27,'FE Energie'!$G:$U,10,FALSE))
+$Q35*IF(ISNA(VLOOKUP($B35&amp;"; "&amp;$R$26&amp;", "&amp;I$27,'FE Energie'!$G:$U,10,FALSE)),0,VLOOKUP($B35&amp;"; "&amp;$R$26&amp;", "&amp;I$27,'FE Energie'!$G:$U,10,FALSE))
)/T35)</f>
        <v>0</v>
      </c>
      <c r="AH35" s="565">
        <f>IF(T35=0,0,(
$H35*IF(ISNA(VLOOKUP($B35&amp;"; "&amp;$I$26&amp;", "&amp;J$27,'FE Energie'!$G:$U,10,FALSE)),0,VLOOKUP($B35&amp;"; "&amp;$I$26&amp;", "&amp;J$27,'FE Energie'!$G:$U,10,FALSE))
+$K35*IF(ISNA(VLOOKUP($B35&amp;"; "&amp;$L$26&amp;", "&amp;J$27,'FE Energie'!$G:$U,10,FALSE)),0,VLOOKUP($B35&amp;"; "&amp;$L$26&amp;", "&amp;J$27,'FE Energie'!$G:$U,10,FALSE))
+$N35*IF(ISNA(VLOOKUP($B35&amp;"; "&amp;$O$26&amp;", "&amp;J$27,'FE Energie'!$G:$U,10,FALSE)),0,VLOOKUP($B35&amp;"; "&amp;$O$26&amp;", "&amp;J$27,'FE Energie'!$G:$U,10,FALSE))
+$Q35*IF(ISNA(VLOOKUP($B35&amp;"; "&amp;$R$26&amp;", "&amp;J$27,'FE Energie'!$G:$U,10,FALSE)),0,VLOOKUP($B35&amp;"; "&amp;$R$26&amp;", "&amp;J$27,'FE Energie'!$G:$U,10,FALSE))
)/T35)</f>
        <v>0</v>
      </c>
      <c r="AI35" s="620">
        <f>IF(T35=0,0,(
$H35*IF(ISNA((VLOOKUP($B35&amp;"; "&amp;$I$26&amp;", "&amp;I$27,'FE Energie'!$G:$U,12,FALSE)+VLOOKUP($B35&amp;"; "&amp;$I$26&amp;", "&amp;I$27,'FE Energie'!$G:$U,11,FALSE))),0,(VLOOKUP($B35&amp;"; "&amp;$I$26&amp;", "&amp;I$27,'FE Energie'!$G:$U,12,FALSE)+VLOOKUP($B35&amp;"; "&amp;$I$26&amp;", "&amp;I$27,'FE Energie'!$G:$U,11,FALSE)))
+$K35*IF(ISNA((VLOOKUP($B35&amp;"; "&amp;$L$26&amp;", "&amp;I$27,'FE Energie'!$G:$U,12,FALSE)+VLOOKUP($B35&amp;"; "&amp;$L$26&amp;", "&amp;I$27,'FE Energie'!$G:$U,11,FALSE))),0,(VLOOKUP($B35&amp;"; "&amp;$L$26&amp;", "&amp;I$27,'FE Energie'!$G:$U,12,FALSE)+VLOOKUP($B35&amp;"; "&amp;$L$26&amp;", "&amp;I$27,'FE Energie'!$G:$U,11,FALSE)))
+$N35*IF(ISNA((VLOOKUP($B35&amp;"; "&amp;$O$26&amp;", "&amp;I$27,'FE Energie'!$G:$U,12,FALSE)+VLOOKUP($B35&amp;"; "&amp;$O$26&amp;", "&amp;I$27,'FE Energie'!$G:$U,11,FALSE))),0,(VLOOKUP($B35&amp;"; "&amp;$O$26&amp;", "&amp;I$27,'FE Energie'!$G:$U,12,FALSE)+VLOOKUP($B35&amp;"; "&amp;$O$26&amp;", "&amp;I$27,'FE Energie'!$G:$U,11,FALSE)))
+$Q35*IF(ISNA((VLOOKUP($B35&amp;"; "&amp;$R$26&amp;", "&amp;I$27,'FE Energie'!$G:$U,12,FALSE)+VLOOKUP($B35&amp;"; "&amp;$R$26&amp;", "&amp;I$27,'FE Energie'!$G:$U,11,FALSE))),0,(VLOOKUP($B35&amp;"; "&amp;$R$26&amp;", "&amp;I$27,'FE Energie'!$G:$U,12,FALSE)+VLOOKUP($B35&amp;"; "&amp;$R$26&amp;", "&amp;I$27,'FE Energie'!$G:$U,11,FALSE)))
)/T35)</f>
        <v>0</v>
      </c>
      <c r="AJ35" s="620">
        <f>IF(T35=0,0,(
$H35*IF(ISNA((VLOOKUP($B35&amp;"; "&amp;$I$26&amp;", "&amp;J$27,'FE Energie'!$G:$U,12,FALSE)+VLOOKUP($B35&amp;"; "&amp;$I$26&amp;", "&amp;J$27,'FE Energie'!$G:$U,11,FALSE))),0,(VLOOKUP($B35&amp;"; "&amp;$I$26&amp;", "&amp;J$27,'FE Energie'!$G:$U,12,FALSE)+VLOOKUP($B35&amp;"; "&amp;$I$26&amp;", "&amp;J$27,'FE Energie'!$G:$U,11,FALSE)))
+$K35*IF(ISNA((VLOOKUP($B35&amp;"; "&amp;$L$26&amp;", "&amp;J$27,'FE Energie'!$G:$U,12,FALSE)+VLOOKUP($B35&amp;"; "&amp;$L$26&amp;", "&amp;J$27,'FE Energie'!$G:$U,11,FALSE))),0,(VLOOKUP($B35&amp;"; "&amp;$L$26&amp;", "&amp;J$27,'FE Energie'!$G:$U,12,FALSE)+VLOOKUP($B35&amp;"; "&amp;$L$26&amp;", "&amp;J$27,'FE Energie'!$G:$U,11,FALSE)))
+$N35*IF(ISNA((VLOOKUP($B35&amp;"; "&amp;$O$26&amp;", "&amp;J$27,'FE Energie'!$G:$U,12,FALSE)+VLOOKUP($B35&amp;"; "&amp;$O$26&amp;", "&amp;J$27,'FE Energie'!$G:$U,11,FALSE))),0,(VLOOKUP($B35&amp;"; "&amp;$O$26&amp;", "&amp;J$27,'FE Energie'!$G:$U,12,FALSE)+VLOOKUP($B35&amp;"; "&amp;$O$26&amp;", "&amp;J$27,'FE Energie'!$G:$U,11,FALSE)))
+$Q35*IF(ISNA((VLOOKUP($B35&amp;"; "&amp;$R$26&amp;", "&amp;J$27,'FE Energie'!$G:$U,12,FALSE)+VLOOKUP($B35&amp;"; "&amp;$R$26&amp;", "&amp;J$27,'FE Energie'!$G:$U,11,FALSE))),0,(VLOOKUP($B35&amp;"; "&amp;$R$26&amp;", "&amp;J$27,'FE Energie'!$G:$U,12,FALSE)+VLOOKUP($B35&amp;"; "&amp;$R$26&amp;", "&amp;J$27,'FE Energie'!$G:$U,11,FALSE)))
)/T35)</f>
        <v>0</v>
      </c>
      <c r="AK35" s="620">
        <f>IF(T35=0,0,(
$H35*IF(ISNA(VLOOKUP($B35&amp;"; "&amp;$I$26&amp;", "&amp;I$27,'FE Energie'!$G:$U,13,FALSE)),0,VLOOKUP($B35&amp;"; "&amp;$I$26&amp;", "&amp;I$27,'FE Energie'!$G:$U,13,FALSE))
+$K35*IF(ISNA(VLOOKUP($B35&amp;"; "&amp;$L$26&amp;", "&amp;I$27,'FE Energie'!$G:$U,13,FALSE)),0,VLOOKUP($B35&amp;"; "&amp;$L$26&amp;", "&amp;I$27,'FE Energie'!$G:$U,13,FALSE))
+$N35*IF(ISNA(VLOOKUP($B35&amp;"; "&amp;$O$26&amp;", "&amp;I$27,'FE Energie'!$G:$U,13,FALSE)),0,VLOOKUP($B35&amp;"; "&amp;$O$26&amp;", "&amp;I$27,'FE Energie'!$G:$U,13,FALSE))
+$Q35*IF(ISNA(VLOOKUP($B35&amp;"; "&amp;$R$26&amp;", "&amp;I$27,'FE Energie'!$G:$U,13,FALSE)),0,VLOOKUP($B35&amp;"; "&amp;$R$26&amp;", "&amp;I$27,'FE Energie'!$G:$U,13,FALSE))
)/T35)</f>
        <v>0</v>
      </c>
      <c r="AL35" s="620">
        <f>IF(T35=0,0,(
$H35*IF(ISNA(VLOOKUP($B35&amp;"; "&amp;$I$26&amp;", "&amp;J$27,'FE Energie'!$G:$U,13,FALSE)),0,VLOOKUP($B35&amp;"; "&amp;$I$26&amp;", "&amp;J$27,'FE Energie'!$G:$U,13,FALSE))
+$K35*IF(ISNA(VLOOKUP($B35&amp;"; "&amp;$L$26&amp;", "&amp;J$27,'FE Energie'!$G:$U,13,FALSE)),0,VLOOKUP($B35&amp;"; "&amp;$L$26&amp;", "&amp;J$27,'FE Energie'!$G:$U,13,FALSE))
+$N35*IF(ISNA(VLOOKUP($B35&amp;"; "&amp;$O$26&amp;", "&amp;J$27,'FE Energie'!$G:$U,13,FALSE)),0,VLOOKUP($B35&amp;"; "&amp;$O$26&amp;", "&amp;J$27,'FE Energie'!$G:$U,13,FALSE))
+$Q35*IF(ISNA(VLOOKUP($B35&amp;"; "&amp;$R$26&amp;", "&amp;J$27,'FE Energie'!$G:$U,13,FALSE)),0,VLOOKUP($B35&amp;"; "&amp;$R$26&amp;", "&amp;J$27,'FE Energie'!$G:$U,13,FALSE))
)/T35)</f>
        <v>0</v>
      </c>
      <c r="AM35" s="565">
        <f>IF(T35=0,0,(
$H35*IF(ISNA(VLOOKUP($B35&amp;"; "&amp;$I$26&amp;", "&amp;I$27,'FE Energie'!$G:$U,14,FALSE)),0,VLOOKUP($B35&amp;"; "&amp;$I$26&amp;", "&amp;I$27,'FE Energie'!$G:$U,14,FALSE))
+$K35*IF(ISNA(VLOOKUP($B35&amp;"; "&amp;$L$26&amp;", "&amp;I$27,'FE Energie'!$G:$U,14,FALSE)),0,VLOOKUP($B35&amp;"; "&amp;$L$26&amp;", "&amp;I$27,'FE Energie'!$G:$U,14,FALSE))
+$N35*IF(ISNA(VLOOKUP($B35&amp;"; "&amp;$O$26&amp;", "&amp;I$27,'FE Energie'!$G:$U,14,FALSE)),0,VLOOKUP($B35&amp;"; "&amp;$O$26&amp;", "&amp;I$27,'FE Energie'!$G:$U,14,FALSE))
+$Q35*IF(ISNA(VLOOKUP($B35&amp;"; "&amp;$R$26&amp;", "&amp;I$27,'FE Energie'!$G:$U,14,FALSE)),0,VLOOKUP($B35&amp;"; "&amp;$R$26&amp;", "&amp;I$27,'FE Energie'!$G:$U,14,FALSE))
)/T35)</f>
        <v>0</v>
      </c>
      <c r="AN35" s="565">
        <f>IF(T35=0,0,(
$H35*IF(ISNA(VLOOKUP($B35&amp;"; "&amp;$I$26&amp;", "&amp;J$27,'FE Energie'!$G:$U,14,FALSE)),0,VLOOKUP($B35&amp;"; "&amp;$I$26&amp;", "&amp;J$27,'FE Energie'!$G:$U,14,FALSE))
+$K35*IF(ISNA(VLOOKUP($B35&amp;"; "&amp;$L$26&amp;", "&amp;J$27,'FE Energie'!$G:$U,14,FALSE)),0,VLOOKUP($B35&amp;"; "&amp;$L$26&amp;", "&amp;J$27,'FE Energie'!$G:$U,14,FALSE))
+$N35*IF(ISNA(VLOOKUP($B35&amp;"; "&amp;$O$26&amp;", "&amp;J$27,'FE Energie'!$G:$U,14,FALSE)),0,VLOOKUP($B35&amp;"; "&amp;$O$26&amp;", "&amp;J$27,'FE Energie'!$G:$U,14,FALSE))
+$Q35*IF(ISNA(VLOOKUP($B35&amp;"; "&amp;$R$26&amp;", "&amp;J$27,'FE Energie'!$G:$U,14,FALSE)),0,VLOOKUP($B35&amp;"; "&amp;$R$26&amp;", "&amp;J$27,'FE Energie'!$G:$U,14,FALSE))
)/T35)</f>
        <v>0</v>
      </c>
      <c r="AO35" s="566">
        <f t="shared" si="6"/>
        <v>0</v>
      </c>
      <c r="AP35" s="566">
        <f t="shared" si="7"/>
        <v>0</v>
      </c>
      <c r="AQ35" s="564">
        <f>$H35*IF(ISNA(VLOOKUP($B35&amp;"; "&amp;$I$26&amp;", "&amp;I$27,'FE Energie'!$G:$U,15,FALSE)),0,VLOOKUP($B35&amp;"; "&amp;$I$26&amp;", "&amp;I$27,'FE Energie'!$G:$U,15,FALSE))
+$K35*IF(ISNA(VLOOKUP($B35&amp;"; "&amp;$L$26&amp;", "&amp;I$27,'FE Energie'!$G:$U,15,FALSE)),0,VLOOKUP($B35&amp;"; "&amp;$L$26&amp;", "&amp;I$27,'FE Energie'!$G:$U,15,FALSE))
+$N35*IF(ISNA(VLOOKUP($B35&amp;"; "&amp;$O$26&amp;", "&amp;I$27,'FE Energie'!$G:$U,15,FALSE)),0,VLOOKUP($B35&amp;"; "&amp;$O$26&amp;", "&amp;I$27,'FE Energie'!$G:$U,15,FALSE))
+$Q35*IF(ISNA(VLOOKUP($B35&amp;"; "&amp;$R$26&amp;", "&amp;I$27,'FE Energie'!$G:$U,15,FALSE)),0,VLOOKUP($B35&amp;"; "&amp;$R$26&amp;", "&amp;I$27,'FE Energie'!$G:$U,15,FALSE))</f>
        <v>0</v>
      </c>
      <c r="AR35" s="568">
        <f>$H35*IF(ISNA(VLOOKUP($B35&amp;"; "&amp;$I$26&amp;", "&amp;J$27,'FE Energie'!$G:$U,15,FALSE)),0,VLOOKUP($B35&amp;"; "&amp;$I$26&amp;", "&amp;J$27,'FE Energie'!$G:$U,15,FALSE))
+$K35*IF(ISNA(VLOOKUP($B35&amp;"; "&amp;$L$26&amp;", "&amp;J$27,'FE Energie'!$G:$U,15,FALSE)),0,VLOOKUP($B35&amp;"; "&amp;$L$26&amp;", "&amp;J$27,'FE Energie'!$G:$U,15,FALSE))
+$N35*IF(ISNA(VLOOKUP($B35&amp;"; "&amp;$O$26&amp;", "&amp;J$27,'FE Energie'!$G:$U,15,FALSE)),0,VLOOKUP($B35&amp;"; "&amp;$O$26&amp;", "&amp;J$27,'FE Energie'!$G:$U,15,FALSE))
+$Q35*IF(ISNA(VLOOKUP($B35&amp;"; "&amp;$R$26&amp;", "&amp;J$27,'FE Energie'!$G:$U,15,FALSE)),0,VLOOKUP($B35&amp;"; "&amp;$R$26&amp;", "&amp;J$27,'FE Energie'!$G:$U,15,FALSE))</f>
        <v>0</v>
      </c>
      <c r="AU35" s="891" t="str">
        <f t="shared" si="11"/>
        <v/>
      </c>
      <c r="AV35" s="892" t="str">
        <f t="shared" si="11"/>
        <v/>
      </c>
      <c r="AW35" s="892" t="str">
        <f t="shared" si="11"/>
        <v/>
      </c>
      <c r="AX35" s="892" t="str">
        <f t="shared" si="11"/>
        <v/>
      </c>
      <c r="AY35" s="892" t="str">
        <f t="shared" si="11"/>
        <v/>
      </c>
      <c r="AZ35" s="892" t="str">
        <f t="shared" si="11"/>
        <v/>
      </c>
      <c r="BA35" s="892" t="str">
        <f t="shared" si="11"/>
        <v/>
      </c>
      <c r="BB35" s="892" t="str">
        <f t="shared" si="11"/>
        <v/>
      </c>
      <c r="BC35" s="900">
        <f t="shared" si="8"/>
        <v>0</v>
      </c>
      <c r="BD35" s="900">
        <f t="shared" si="9"/>
        <v>0</v>
      </c>
      <c r="BE35" s="891" t="str">
        <f>IF($F35="Oui",IF(AQ35="","",AQ35*$T35),"")</f>
        <v/>
      </c>
      <c r="BF35" s="901" t="str">
        <f>IF($F35="Oui",IF(AR35="","",AR35*$T35),"")</f>
        <v/>
      </c>
      <c r="BG35" s="892" t="str">
        <f t="shared" si="1"/>
        <v/>
      </c>
      <c r="BH35" s="901" t="str">
        <f t="shared" si="1"/>
        <v/>
      </c>
      <c r="BJ35" s="1065">
        <f>IF($Z35&lt;&gt;"votre valeur :",IF(ISNA(VLOOKUP($Z35,Utilitaires!$N$566:$O$571,2,FALSE)),,VLOOKUP($Z35,Utilitaires!$N$566:$O$571,2,FALSE)),$AA35)</f>
        <v>0</v>
      </c>
      <c r="BK35" s="1065">
        <f>IF($Z35&lt;&gt;"votre valeur :",IF(ISNA(VLOOKUP($Z35,Utilitaires!$N$566:$O$571,2,FALSE)),,VLOOKUP($Z35,Utilitaires!$N$566:$O$571,2,FALSE)),$AA35)</f>
        <v>0</v>
      </c>
      <c r="BL35" s="1065">
        <f>IF($Z35&lt;&gt;"votre valeur :",IF(ISNA(VLOOKUP($Z35,Utilitaires!$N$566:$O$571,2,FALSE)),,VLOOKUP($Z35,Utilitaires!$N$566:$O$571,2,FALSE)),$AA35)</f>
        <v>0</v>
      </c>
      <c r="BM35" s="1167">
        <f>IF($Z35&lt;&gt;"votre valeur :",IF(ISNA(VLOOKUP($Z35,Utilitaires!$N$566:$O$571,2,FALSE)),,VLOOKUP($Z35,Utilitaires!$N$566:$O$571,2,FALSE)),$AA35)</f>
        <v>0</v>
      </c>
      <c r="BN35" s="1068">
        <f>IF(ISNA(SQRT(SUMSQ(VLOOKUP($B35&amp;"; "&amp;$I$26&amp;", "&amp;$I$27,'FE Energie'!$G:$U,7,FALSE),$BJ35))),0,SQRT(SUMSQ(VLOOKUP($B35&amp;"; "&amp;$I$26&amp;", "&amp;$I$27,'FE Energie'!$G:$U,7,FALSE),$BJ35)))</f>
        <v>0.05</v>
      </c>
      <c r="BO35" s="1068">
        <f>IF(ISNA(SQRT(SUMSQ(VLOOKUP($B35&amp;"; "&amp;$L$26&amp;", "&amp;$L$27,'FE Energie'!$G:$U,7,FALSE),$BK35))),0,SQRT(SUMSQ(VLOOKUP($B35&amp;"; "&amp;$L$26&amp;", "&amp;$L$27,'FE Energie'!$G:$U,7,FALSE),$BK35)))</f>
        <v>0</v>
      </c>
      <c r="BP35" s="1068">
        <f>IF(ISNA(SQRT(SUMSQ(VLOOKUP($B35&amp;"; "&amp;$O$26&amp;", "&amp;$O$27,'FE Energie'!$G:$U,7,FALSE),$BL35))),0,SQRT(SUMSQ(VLOOKUP($B35&amp;"; "&amp;$O$26&amp;", "&amp;$O$27,'FE Energie'!$G:$U,7,FALSE),$BL35)))</f>
        <v>0</v>
      </c>
      <c r="BQ35" s="1068">
        <f>IF(ISNA(SQRT(SUMSQ(VLOOKUP($B35&amp;"; "&amp;$R$26&amp;", "&amp;$R$27,'FE Energie'!$G:$U,7,FALSE),$BM35))),0,SQRT(SUMSQ(VLOOKUP($B35&amp;"; "&amp;$R$26&amp;", "&amp;$R$27,'FE Energie'!$G:$U,7,FALSE),$BM35)))</f>
        <v>0</v>
      </c>
      <c r="BR35" s="1124">
        <f>IF(ISNA(SQRT(SUMSQ(VLOOKUP($B35&amp;"; "&amp;$I$26&amp;", "&amp;$J$27,'FE Energie'!$G:$U,7,FALSE),$BJ35))),0,SQRT(SUMSQ(VLOOKUP($B35&amp;"; "&amp;$I$26&amp;", "&amp;$J$27,'FE Energie'!$G:$U,7,FALSE),$BJ35)))</f>
        <v>0.05</v>
      </c>
      <c r="BS35" s="1070">
        <f>IF(ISNA(SQRT(SUMSQ(VLOOKUP($B35&amp;"; "&amp;$L$26&amp;", "&amp;$M$27,'FE Energie'!$G:$U,7,FALSE),$BK35))),0,SQRT(SUMSQ(VLOOKUP($B35&amp;"; "&amp;$L$26&amp;", "&amp;$M$27,'FE Energie'!$G:$U,7,FALSE),$BK35)))</f>
        <v>0</v>
      </c>
      <c r="BT35" s="1070">
        <f>IF(ISNA(SQRT(SUMSQ(VLOOKUP($B35&amp;"; "&amp;$O$26&amp;", "&amp;$P$27,'FE Energie'!$G:$U,7,FALSE),$BL35))),0,SQRT(SUMSQ(VLOOKUP($B35&amp;"; "&amp;$O$26&amp;", "&amp;$P$27,'FE Energie'!$G:$U,7,FALSE),$BL35)))</f>
        <v>0</v>
      </c>
      <c r="BU35" s="1071">
        <f>IF(ISNA(SQRT(SUMSQ(VLOOKUP($B35&amp;"; "&amp;$R$26&amp;", "&amp;$S$27,'FE Energie'!$G:$U,7,FALSE),$BM35))),0,SQRT(SUMSQ(VLOOKUP($B35&amp;"; "&amp;$R$26&amp;", "&amp;$S$27,'FE Energie'!$G:$U,7,FALSE),$BM35)))</f>
        <v>0</v>
      </c>
    </row>
    <row r="36" spans="1:73" s="116" customFormat="1" ht="12.75" hidden="1" customHeight="1" outlineLevel="3">
      <c r="A36" s="114"/>
      <c r="B36" s="143"/>
      <c r="C36" s="144"/>
      <c r="D36" s="315"/>
      <c r="E36" s="315"/>
      <c r="F36" s="144"/>
      <c r="G36" s="822"/>
      <c r="H36" s="822"/>
      <c r="I36" s="335"/>
      <c r="J36" s="335"/>
      <c r="K36" s="822"/>
      <c r="L36" s="223"/>
      <c r="M36" s="223"/>
      <c r="N36" s="822"/>
      <c r="O36" s="217"/>
      <c r="P36" s="217"/>
      <c r="Q36" s="822"/>
      <c r="R36" s="223"/>
      <c r="S36" s="223"/>
      <c r="T36" s="155"/>
      <c r="U36" s="566"/>
      <c r="V36" s="567"/>
      <c r="W36" s="1336"/>
      <c r="Y36" s="1092"/>
      <c r="Z36" s="822"/>
      <c r="AA36" s="820"/>
      <c r="AB36" s="164"/>
      <c r="AC36" s="164"/>
      <c r="AD36" s="152"/>
      <c r="AE36" s="1286"/>
      <c r="AF36" s="114"/>
      <c r="AG36" s="564"/>
      <c r="AH36" s="565"/>
      <c r="AI36" s="620"/>
      <c r="AJ36" s="620"/>
      <c r="AK36" s="620"/>
      <c r="AL36" s="620"/>
      <c r="AM36" s="565"/>
      <c r="AN36" s="565"/>
      <c r="AO36" s="566"/>
      <c r="AP36" s="566"/>
      <c r="AQ36" s="564"/>
      <c r="AR36" s="568"/>
      <c r="AU36" s="902"/>
      <c r="AV36" s="1581"/>
      <c r="AW36" s="1581"/>
      <c r="AX36" s="1581"/>
      <c r="AY36" s="1581"/>
      <c r="AZ36" s="1581"/>
      <c r="BA36" s="1581"/>
      <c r="BB36" s="1581"/>
      <c r="BC36" s="1582" t="str">
        <f>IF($F31="Oui",IF(#REF!="","",#REF!*$T31),"")</f>
        <v/>
      </c>
      <c r="BD36" s="1582" t="str">
        <f>IF($F31="Oui",IF(#REF!="","",#REF!*$T31),"")</f>
        <v/>
      </c>
      <c r="BE36" s="902" t="str">
        <f>IF($F31="Oui",IF(#REF!="","",#REF!*$T31),"")</f>
        <v/>
      </c>
      <c r="BF36" s="903" t="str">
        <f>IF($F31="Oui",IF(AS31="","",AS31*$T31),"")</f>
        <v/>
      </c>
      <c r="BG36" s="1581" t="str">
        <f>IF($F31="Oui",IF(AB31="","",AB31*$T31),"")</f>
        <v/>
      </c>
      <c r="BH36" s="903" t="str">
        <f>IF($F31="Oui",IF(AC31="","",AC31*$T31),"")</f>
        <v/>
      </c>
      <c r="BJ36" s="1058"/>
      <c r="BK36" s="1072"/>
      <c r="BL36" s="1072"/>
      <c r="BM36" s="1059"/>
      <c r="BN36" s="1073"/>
      <c r="BO36" s="1073"/>
      <c r="BP36" s="1073"/>
      <c r="BQ36" s="1073"/>
      <c r="BR36" s="1075"/>
      <c r="BS36" s="1076"/>
      <c r="BT36" s="1076"/>
      <c r="BU36" s="1077"/>
    </row>
    <row r="37" spans="1:73" s="116" customFormat="1" ht="12.75" customHeight="1" outlineLevel="2">
      <c r="A37" s="114"/>
      <c r="B37" s="1264" t="s">
        <v>348</v>
      </c>
      <c r="C37" s="197"/>
      <c r="D37" s="214">
        <f>SUM(D28:D36)</f>
        <v>0</v>
      </c>
      <c r="E37" s="202"/>
      <c r="F37" s="199"/>
      <c r="G37" s="198"/>
      <c r="H37" s="199"/>
      <c r="I37" s="199"/>
      <c r="J37" s="199"/>
      <c r="K37" s="199"/>
      <c r="L37" s="199"/>
      <c r="M37" s="199"/>
      <c r="N37" s="199"/>
      <c r="O37" s="199"/>
      <c r="P37" s="199"/>
      <c r="Q37" s="199"/>
      <c r="R37" s="199"/>
      <c r="S37" s="199"/>
      <c r="T37" s="199"/>
      <c r="U37" s="202">
        <f>SUM(U28:U36)</f>
        <v>0</v>
      </c>
      <c r="V37" s="200">
        <f>SUM(V28:V36)</f>
        <v>0</v>
      </c>
      <c r="W37" s="200">
        <f>SUM(W28:W36)</f>
        <v>0</v>
      </c>
      <c r="Y37" s="1093">
        <f>IF(AD37=0,AD37,AD37/(U37+V37))</f>
        <v>0</v>
      </c>
      <c r="Z37" s="821"/>
      <c r="AA37" s="821"/>
      <c r="AB37" s="1636">
        <f>SQRT(SUMSQ(AB28:AB36))</f>
        <v>0</v>
      </c>
      <c r="AC37" s="1636">
        <f>SQRT(SUMSQ(AC28:AC36))</f>
        <v>0</v>
      </c>
      <c r="AD37" s="200">
        <f>SQRT(SUMSQ(AD28:AD36))</f>
        <v>0</v>
      </c>
      <c r="AE37" s="1310">
        <f>SQRT(SUMSQ(AE28:AE36))</f>
        <v>0</v>
      </c>
      <c r="AF37" s="114"/>
      <c r="AG37" s="571">
        <f t="shared" ref="AG37:AR37" si="12">SUM(AG28:AG36)</f>
        <v>0</v>
      </c>
      <c r="AH37" s="572">
        <f t="shared" si="12"/>
        <v>0</v>
      </c>
      <c r="AI37" s="621">
        <f t="shared" si="12"/>
        <v>0</v>
      </c>
      <c r="AJ37" s="621">
        <f t="shared" si="12"/>
        <v>0</v>
      </c>
      <c r="AK37" s="621">
        <f t="shared" si="12"/>
        <v>0</v>
      </c>
      <c r="AL37" s="621">
        <f t="shared" si="12"/>
        <v>0</v>
      </c>
      <c r="AM37" s="572">
        <f t="shared" si="12"/>
        <v>0</v>
      </c>
      <c r="AN37" s="572">
        <f t="shared" si="12"/>
        <v>0</v>
      </c>
      <c r="AO37" s="573">
        <f t="shared" si="12"/>
        <v>0</v>
      </c>
      <c r="AP37" s="573">
        <f t="shared" si="12"/>
        <v>0</v>
      </c>
      <c r="AQ37" s="1082">
        <f t="shared" si="12"/>
        <v>0</v>
      </c>
      <c r="AR37" s="575">
        <f t="shared" si="12"/>
        <v>0</v>
      </c>
      <c r="AS37" s="114"/>
      <c r="AT37" s="114"/>
      <c r="AU37" s="894">
        <f t="shared" ref="AU37:BH37" si="13">SUM(AU28:AU36)</f>
        <v>0</v>
      </c>
      <c r="AV37" s="895">
        <f t="shared" si="13"/>
        <v>0</v>
      </c>
      <c r="AW37" s="895">
        <f t="shared" si="13"/>
        <v>0</v>
      </c>
      <c r="AX37" s="895">
        <f t="shared" si="13"/>
        <v>0</v>
      </c>
      <c r="AY37" s="895">
        <f t="shared" si="13"/>
        <v>0</v>
      </c>
      <c r="AZ37" s="895">
        <f t="shared" si="13"/>
        <v>0</v>
      </c>
      <c r="BA37" s="895">
        <f t="shared" si="13"/>
        <v>0</v>
      </c>
      <c r="BB37" s="895">
        <f t="shared" si="13"/>
        <v>0</v>
      </c>
      <c r="BC37" s="895">
        <f t="shared" si="13"/>
        <v>0</v>
      </c>
      <c r="BD37" s="896">
        <f t="shared" si="13"/>
        <v>0</v>
      </c>
      <c r="BE37" s="894">
        <f t="shared" si="13"/>
        <v>0</v>
      </c>
      <c r="BF37" s="896">
        <f t="shared" si="13"/>
        <v>0</v>
      </c>
      <c r="BG37" s="894">
        <f t="shared" si="13"/>
        <v>0</v>
      </c>
      <c r="BH37" s="896">
        <f t="shared" si="13"/>
        <v>0</v>
      </c>
    </row>
    <row r="38" spans="1:73" outlineLevel="2">
      <c r="AK38" s="114"/>
      <c r="AU38" s="441"/>
      <c r="AV38" s="441"/>
      <c r="AW38" s="441"/>
      <c r="AX38" s="441"/>
      <c r="AY38" s="441"/>
      <c r="AZ38" s="441"/>
      <c r="BA38" s="441"/>
      <c r="BB38" s="441"/>
      <c r="BC38" s="441"/>
      <c r="BD38" s="441"/>
      <c r="BE38" s="441"/>
      <c r="BF38" s="441"/>
    </row>
    <row r="39" spans="1:73" ht="12.75" customHeight="1" outlineLevel="2" collapsed="1">
      <c r="B39" s="139" t="s">
        <v>580</v>
      </c>
      <c r="C39" s="140"/>
      <c r="D39" s="377"/>
      <c r="E39" s="1648"/>
      <c r="F39" s="141"/>
      <c r="G39" s="141"/>
      <c r="H39" s="141"/>
      <c r="I39" s="140"/>
      <c r="J39" s="141"/>
      <c r="K39" s="142"/>
      <c r="Y39" s="2636" t="s">
        <v>366</v>
      </c>
      <c r="Z39" s="2637"/>
      <c r="AA39" s="2637"/>
      <c r="AB39" s="2637"/>
      <c r="AC39" s="2637"/>
      <c r="AD39" s="2638"/>
      <c r="AG39" s="2639" t="s">
        <v>441</v>
      </c>
      <c r="AH39" s="2640"/>
      <c r="AI39" s="2640"/>
      <c r="AJ39" s="2640"/>
      <c r="AK39" s="2640"/>
      <c r="AL39" s="2640"/>
      <c r="AM39" s="2640"/>
      <c r="AN39" s="2640"/>
      <c r="AO39" s="2640"/>
      <c r="AP39" s="2640"/>
      <c r="AQ39" s="2640"/>
      <c r="AR39" s="2641"/>
      <c r="AU39" s="2860" t="s">
        <v>771</v>
      </c>
      <c r="AV39" s="2861"/>
      <c r="AW39" s="2861"/>
      <c r="AX39" s="2861"/>
      <c r="AY39" s="2861"/>
      <c r="AZ39" s="2861"/>
      <c r="BA39" s="2861"/>
      <c r="BB39" s="2861"/>
      <c r="BC39" s="2861"/>
      <c r="BD39" s="2861"/>
      <c r="BE39" s="2861"/>
      <c r="BF39" s="2861"/>
      <c r="BG39" s="2861"/>
      <c r="BH39" s="2862"/>
    </row>
    <row r="40" spans="1:73" ht="12.75" hidden="1" customHeight="1" outlineLevel="3">
      <c r="B40" s="332"/>
      <c r="C40" s="167"/>
      <c r="D40" s="378" t="s">
        <v>308</v>
      </c>
      <c r="E40" s="1663"/>
      <c r="F40" s="144"/>
      <c r="G40" s="144"/>
      <c r="H40" s="144"/>
      <c r="I40" s="167"/>
      <c r="J40" s="144"/>
      <c r="K40" s="145"/>
      <c r="Y40" s="1553"/>
      <c r="Z40" s="819"/>
      <c r="AA40" s="819"/>
      <c r="AB40" s="820"/>
      <c r="AC40" s="820"/>
      <c r="AD40" s="145"/>
      <c r="AG40" s="2642" t="s">
        <v>444</v>
      </c>
      <c r="AH40" s="2643"/>
      <c r="AI40" s="2643"/>
      <c r="AJ40" s="2643"/>
      <c r="AK40" s="2643"/>
      <c r="AL40" s="2643"/>
      <c r="AM40" s="2643"/>
      <c r="AN40" s="2643"/>
      <c r="AO40" s="2643" t="s">
        <v>444</v>
      </c>
      <c r="AP40" s="2644"/>
      <c r="AQ40" s="564"/>
      <c r="AR40" s="568"/>
      <c r="AU40" s="2863" t="s">
        <v>444</v>
      </c>
      <c r="AV40" s="2864"/>
      <c r="AW40" s="2864"/>
      <c r="AX40" s="2864"/>
      <c r="AY40" s="2864"/>
      <c r="AZ40" s="2864"/>
      <c r="BA40" s="2864"/>
      <c r="BB40" s="2864"/>
      <c r="BC40" s="2864" t="s">
        <v>444</v>
      </c>
      <c r="BD40" s="2865"/>
      <c r="BE40" s="1608"/>
      <c r="BF40" s="899"/>
      <c r="BG40" s="2863" t="s">
        <v>366</v>
      </c>
      <c r="BH40" s="2865"/>
      <c r="BJ40" s="2766" t="s">
        <v>1648</v>
      </c>
      <c r="BK40" s="2767"/>
    </row>
    <row r="41" spans="1:73" ht="12.75" hidden="1" customHeight="1" outlineLevel="3">
      <c r="B41" s="143"/>
      <c r="C41" s="144"/>
      <c r="D41" s="379" t="s">
        <v>409</v>
      </c>
      <c r="E41" s="1656"/>
      <c r="F41" s="147" t="s">
        <v>772</v>
      </c>
      <c r="G41" s="147" t="s">
        <v>340</v>
      </c>
      <c r="H41" s="379"/>
      <c r="I41" s="147" t="s">
        <v>4</v>
      </c>
      <c r="J41" s="147" t="s">
        <v>335</v>
      </c>
      <c r="K41" s="384" t="s">
        <v>444</v>
      </c>
      <c r="Y41" s="1553" t="s">
        <v>316</v>
      </c>
      <c r="Z41" s="2629" t="s">
        <v>316</v>
      </c>
      <c r="AA41" s="2630"/>
      <c r="AB41" s="820"/>
      <c r="AC41" s="820"/>
      <c r="AD41" s="1568" t="s">
        <v>444</v>
      </c>
      <c r="AG41" s="2631" t="s">
        <v>211</v>
      </c>
      <c r="AH41" s="2632"/>
      <c r="AI41" s="2632" t="s">
        <v>442</v>
      </c>
      <c r="AJ41" s="2632"/>
      <c r="AK41" s="2632" t="s">
        <v>267</v>
      </c>
      <c r="AL41" s="2632"/>
      <c r="AM41" s="2632" t="s">
        <v>443</v>
      </c>
      <c r="AN41" s="2632"/>
      <c r="AO41" s="2658" t="s">
        <v>327</v>
      </c>
      <c r="AP41" s="2659"/>
      <c r="AQ41" s="564"/>
      <c r="AR41" s="568"/>
      <c r="AU41" s="2866" t="s">
        <v>211</v>
      </c>
      <c r="AV41" s="2867"/>
      <c r="AW41" s="2867" t="s">
        <v>442</v>
      </c>
      <c r="AX41" s="2867"/>
      <c r="AY41" s="2867" t="s">
        <v>267</v>
      </c>
      <c r="AZ41" s="2867"/>
      <c r="BA41" s="2867" t="s">
        <v>443</v>
      </c>
      <c r="BB41" s="2867"/>
      <c r="BC41" s="2868" t="s">
        <v>327</v>
      </c>
      <c r="BD41" s="2869"/>
      <c r="BE41" s="2866" t="s">
        <v>636</v>
      </c>
      <c r="BF41" s="2870"/>
      <c r="BG41" s="2866" t="s">
        <v>444</v>
      </c>
      <c r="BH41" s="2870"/>
      <c r="BJ41" s="1550" t="s">
        <v>2167</v>
      </c>
      <c r="BK41" s="1567" t="s">
        <v>2187</v>
      </c>
    </row>
    <row r="42" spans="1:73" ht="12.75" hidden="1" customHeight="1" outlineLevel="3">
      <c r="B42" s="382"/>
      <c r="C42" s="379"/>
      <c r="D42" s="379" t="s">
        <v>444</v>
      </c>
      <c r="E42" s="1656"/>
      <c r="F42" s="149" t="str">
        <f>Descriptif!$D$4&amp;" ?"</f>
        <v>2022 ?</v>
      </c>
      <c r="G42" s="149" t="s">
        <v>419</v>
      </c>
      <c r="H42" s="379"/>
      <c r="I42" s="153"/>
      <c r="J42" s="149" t="s">
        <v>336</v>
      </c>
      <c r="K42" s="384"/>
      <c r="Y42" s="1553" t="s">
        <v>1649</v>
      </c>
      <c r="Z42" s="2646" t="s">
        <v>1650</v>
      </c>
      <c r="AA42" s="2647"/>
      <c r="AB42" s="820"/>
      <c r="AC42" s="820"/>
      <c r="AD42" s="1568"/>
      <c r="AG42" s="1572"/>
      <c r="AH42" s="1573"/>
      <c r="AI42" s="1573"/>
      <c r="AJ42" s="1573"/>
      <c r="AK42" s="1573"/>
      <c r="AL42" s="1573"/>
      <c r="AM42" s="1573"/>
      <c r="AN42" s="1573"/>
      <c r="AO42" s="565"/>
      <c r="AP42" s="565"/>
      <c r="AQ42" s="564"/>
      <c r="AR42" s="568" t="s">
        <v>636</v>
      </c>
      <c r="AU42" s="1575"/>
      <c r="AV42" s="1576"/>
      <c r="AW42" s="1576"/>
      <c r="AX42" s="1576"/>
      <c r="AY42" s="1576"/>
      <c r="AZ42" s="1576"/>
      <c r="BA42" s="1576"/>
      <c r="BB42" s="1576"/>
      <c r="BC42" s="1576"/>
      <c r="BD42" s="893"/>
      <c r="BE42" s="891" t="str">
        <f>IF($F42="Oui",IF(AQ42="","",AQ42*$J42),"")</f>
        <v/>
      </c>
      <c r="BF42" s="901" t="str">
        <f>IF($F42="Oui",IF(AR42="","",AR42*$J42),"")</f>
        <v/>
      </c>
      <c r="BG42" s="891" t="str">
        <f>IF($F42="Oui",IF(#REF!="","",#REF!*$J42),"")</f>
        <v/>
      </c>
      <c r="BH42" s="901"/>
      <c r="BJ42" s="1065"/>
      <c r="BK42" s="1130"/>
    </row>
    <row r="43" spans="1:73" ht="12.75" hidden="1" customHeight="1" outlineLevel="3">
      <c r="B43" s="180" t="s">
        <v>2410</v>
      </c>
      <c r="C43" s="181"/>
      <c r="D43" s="212">
        <f>K43</f>
        <v>0</v>
      </c>
      <c r="E43" s="212"/>
      <c r="F43" s="1588"/>
      <c r="G43" s="117"/>
      <c r="H43" s="335">
        <f>VLOOKUP($B43&amp;"; "&amp;$I43,'FE Immobilisations'!$G:$U,9,FALSE)</f>
        <v>11.1</v>
      </c>
      <c r="I43" s="1530" t="str">
        <f>VLOOKUP(B43,'FE Immobilisations'!C39:J56,8,FALSE)</f>
        <v>kgCO2e/m²</v>
      </c>
      <c r="J43" s="522"/>
      <c r="K43" s="152">
        <f>IF(J43=0,0,(G43*H43)/J43)</f>
        <v>0</v>
      </c>
      <c r="Y43" s="1092">
        <f>IF(AD43=0,AD43,AD43/K43)</f>
        <v>0</v>
      </c>
      <c r="Z43" s="118"/>
      <c r="AA43" s="820"/>
      <c r="AB43" s="820"/>
      <c r="AC43" s="820"/>
      <c r="AD43" s="152">
        <f>K43*BK43</f>
        <v>0</v>
      </c>
      <c r="AG43" s="564"/>
      <c r="AH43" s="565">
        <f>D43</f>
        <v>0</v>
      </c>
      <c r="AI43" s="565"/>
      <c r="AJ43" s="565"/>
      <c r="AK43" s="565"/>
      <c r="AL43" s="565"/>
      <c r="AM43" s="565"/>
      <c r="AN43" s="565"/>
      <c r="AO43" s="1573"/>
      <c r="AP43" s="1607">
        <f>SUM(AH43:AN43)</f>
        <v>0</v>
      </c>
      <c r="AQ43" s="564"/>
      <c r="AR43" s="568"/>
      <c r="AU43" s="1575"/>
      <c r="AV43" s="892" t="str">
        <f>IF($F43="Oui",IF(AH43="","",AH43*$J43),"")</f>
        <v/>
      </c>
      <c r="AW43" s="892"/>
      <c r="AX43" s="892"/>
      <c r="AY43" s="892"/>
      <c r="AZ43" s="892"/>
      <c r="BA43" s="892"/>
      <c r="BB43" s="892"/>
      <c r="BC43" s="892"/>
      <c r="BD43" s="893">
        <f>SUM(AV43,AX43,AZ43,BB43)</f>
        <v>0</v>
      </c>
      <c r="BE43" s="891" t="str">
        <f>IF($F43="Oui",IF(AQ43="","",AQ43*$J43),"")</f>
        <v/>
      </c>
      <c r="BF43" s="901" t="str">
        <f>IF($F43="Oui",IF(AR43="","",AR43*$J43),"")</f>
        <v/>
      </c>
      <c r="BG43" s="891" t="str">
        <f>IF($F43="Oui",IF(#REF!="","",#REF!*$J43),"")</f>
        <v/>
      </c>
      <c r="BH43" s="901" t="str">
        <f>IF($F43="Oui",IF(AD43="","",AD43*$J43),"")</f>
        <v/>
      </c>
      <c r="BJ43" s="1065">
        <f>IF($Z43&lt;&gt;"votre valeur :",IF(ISNA(VLOOKUP($Z43,Utilitaires!$N$566:$O$571,2,FALSE)),,VLOOKUP($Z43,Utilitaires!$N$566:$O$571,2,FALSE)),$AA43)</f>
        <v>0</v>
      </c>
      <c r="BK43" s="1130">
        <f>SQRT(SUMSQ(BJ43,VLOOKUP(B43&amp;"; "&amp;I43,'FE Immobilisations'!G:U,7,FALSE)))</f>
        <v>0.1</v>
      </c>
    </row>
    <row r="44" spans="1:73" ht="12.75" hidden="1" customHeight="1" outlineLevel="3">
      <c r="B44" s="180" t="s">
        <v>2411</v>
      </c>
      <c r="C44" s="181"/>
      <c r="D44" s="212">
        <f>K44</f>
        <v>0</v>
      </c>
      <c r="E44" s="212"/>
      <c r="F44" s="1589"/>
      <c r="G44" s="120"/>
      <c r="H44" s="335">
        <f>VLOOKUP($B44&amp;"; "&amp;$I44,'FE Immobilisations'!$G:$U,9,FALSE)</f>
        <v>15.3</v>
      </c>
      <c r="I44" s="153" t="str">
        <f>VLOOKUP(B44,'FE Immobilisations'!C40:J57,8,FALSE)</f>
        <v>kgCO2e/m² de paroi</v>
      </c>
      <c r="J44" s="523"/>
      <c r="K44" s="152">
        <f>IF(J44=0,0,(G44*H44)/J44)</f>
        <v>0</v>
      </c>
      <c r="W44" s="254"/>
      <c r="Y44" s="1092">
        <f>IF(AD44=0,AD44,AD44/K44)</f>
        <v>0</v>
      </c>
      <c r="Z44" s="121"/>
      <c r="AA44" s="820"/>
      <c r="AB44" s="820"/>
      <c r="AC44" s="820"/>
      <c r="AD44" s="152">
        <f>K44*BK44</f>
        <v>0</v>
      </c>
      <c r="AG44" s="564"/>
      <c r="AH44" s="565">
        <f>D44</f>
        <v>0</v>
      </c>
      <c r="AI44" s="565"/>
      <c r="AJ44" s="565"/>
      <c r="AK44" s="565"/>
      <c r="AL44" s="565"/>
      <c r="AM44" s="565"/>
      <c r="AN44" s="565"/>
      <c r="AO44" s="1573"/>
      <c r="AP44" s="567">
        <f>K44</f>
        <v>0</v>
      </c>
      <c r="AQ44" s="564"/>
      <c r="AR44" s="568"/>
      <c r="AU44" s="1575"/>
      <c r="AV44" s="892" t="str">
        <f>IF($F44="Oui",IF(AH44="","",AH44*$J44),"")</f>
        <v/>
      </c>
      <c r="AW44" s="892"/>
      <c r="AX44" s="892"/>
      <c r="AY44" s="892" t="str">
        <f>IF($F44="Oui",IF(AP44="","",AP44*$J44),"")</f>
        <v/>
      </c>
      <c r="AZ44" s="892"/>
      <c r="BA44" s="892" t="str">
        <f>IF($F44="Oui",IF(AD44="","",AD44*$J44),"")</f>
        <v/>
      </c>
      <c r="BB44" s="892"/>
      <c r="BC44" s="892"/>
      <c r="BD44" s="893">
        <f>SUM(AV44,AX44,AZ44,BB44)</f>
        <v>0</v>
      </c>
      <c r="BE44" s="891"/>
      <c r="BF44" s="901"/>
      <c r="BG44" s="891"/>
      <c r="BH44" s="901" t="str">
        <f>IF($F44="Oui",IF(AD44="","",AD44*$J44),"")</f>
        <v/>
      </c>
      <c r="BJ44" s="1065">
        <f>IF($Z44&lt;&gt;"votre valeur :",IF(ISNA(VLOOKUP($Z44,Utilitaires!$N$566:$O$571,2,FALSE)),,VLOOKUP($Z44,Utilitaires!$N$566:$O$571,2,FALSE)),$AA44)</f>
        <v>0</v>
      </c>
      <c r="BK44" s="1130">
        <f>SQRT(SUMSQ(BJ44,VLOOKUP(B44&amp;"; "&amp;I44,'FE Immobilisations'!G:U,7,FALSE)))</f>
        <v>0.1</v>
      </c>
    </row>
    <row r="45" spans="1:73" ht="12.75" hidden="1" customHeight="1" outlineLevel="3">
      <c r="B45" s="180" t="s">
        <v>2412</v>
      </c>
      <c r="C45" s="181"/>
      <c r="D45" s="212">
        <f>K45</f>
        <v>0</v>
      </c>
      <c r="E45" s="212"/>
      <c r="F45" s="1590"/>
      <c r="G45" s="123"/>
      <c r="H45" s="335">
        <f>VLOOKUP($B45&amp;"; "&amp;$I45,'FE Immobilisations'!$G:$U,9,FALSE)</f>
        <v>3.22</v>
      </c>
      <c r="I45" s="1531" t="str">
        <f>VLOOKUP(B45,'FE Immobilisations'!C41:J57,8,FALSE)</f>
        <v>kgCO2e/mL</v>
      </c>
      <c r="J45" s="524"/>
      <c r="K45" s="152">
        <f>IF(J45=0,0,(G45*H45)/J45)</f>
        <v>0</v>
      </c>
      <c r="Y45" s="1092">
        <f>IF(AD45=0,AD45,AD45/K45)</f>
        <v>0</v>
      </c>
      <c r="Z45" s="124"/>
      <c r="AA45" s="820"/>
      <c r="AB45" s="820"/>
      <c r="AC45" s="820"/>
      <c r="AD45" s="152">
        <f>K45*BK45</f>
        <v>0</v>
      </c>
      <c r="AG45" s="564"/>
      <c r="AH45" s="565">
        <f>D45</f>
        <v>0</v>
      </c>
      <c r="AI45" s="565"/>
      <c r="AJ45" s="565"/>
      <c r="AK45" s="565"/>
      <c r="AL45" s="565"/>
      <c r="AM45" s="565"/>
      <c r="AN45" s="565"/>
      <c r="AO45" s="1573"/>
      <c r="AP45" s="567">
        <f>K45</f>
        <v>0</v>
      </c>
      <c r="AQ45" s="564"/>
      <c r="AR45" s="568"/>
      <c r="AU45" s="1575"/>
      <c r="AV45" s="892" t="str">
        <f>IF($F45="Oui",IF(AH45="","",AH45*$J45),"")</f>
        <v/>
      </c>
      <c r="AW45" s="892"/>
      <c r="AX45" s="892"/>
      <c r="AY45" s="892" t="str">
        <f>IF($F45="Oui",IF(AP45="","",AP45*$J45),"")</f>
        <v/>
      </c>
      <c r="AZ45" s="892"/>
      <c r="BA45" s="892" t="str">
        <f>IF($F45="Oui",IF(AD45="","",AD45*$J45),"")</f>
        <v/>
      </c>
      <c r="BB45" s="892"/>
      <c r="BC45" s="892"/>
      <c r="BD45" s="893">
        <f>SUM(AV45,AX45,AZ45,BB45)</f>
        <v>0</v>
      </c>
      <c r="BE45" s="891" t="str">
        <f>IF($F45="Oui",IF(AQ45="","",AQ45*$J45),"")</f>
        <v/>
      </c>
      <c r="BF45" s="901" t="str">
        <f>IF($F45="Oui",IF(AR45="","",AR45*$J45),"")</f>
        <v/>
      </c>
      <c r="BG45" s="891" t="str">
        <f>IF($F45="Oui",IF(#REF!="","",#REF!*$J45),"")</f>
        <v/>
      </c>
      <c r="BH45" s="901" t="str">
        <f>IF($F45="Oui",IF(AD45="","",AD45*$J45),"")</f>
        <v/>
      </c>
      <c r="BJ45" s="1065">
        <f>IF($Z45&lt;&gt;"votre valeur :",IF(ISNA(VLOOKUP($Z45,Utilitaires!$N$566:$O$571,2,FALSE)),,VLOOKUP($Z45,Utilitaires!$N$566:$O$571,2,FALSE)),$AA45)</f>
        <v>0</v>
      </c>
      <c r="BK45" s="1130">
        <f>SQRT(SUMSQ(BJ45,VLOOKUP(B45&amp;"; "&amp;I45,'FE Immobilisations'!G:U,7,FALSE)))</f>
        <v>0.1</v>
      </c>
    </row>
    <row r="46" spans="1:73" ht="12.75" hidden="1" customHeight="1" outlineLevel="3">
      <c r="B46" s="154"/>
      <c r="C46" s="155"/>
      <c r="D46" s="221"/>
      <c r="E46" s="221"/>
      <c r="F46" s="155"/>
      <c r="G46" s="155"/>
      <c r="H46" s="155"/>
      <c r="I46" s="155"/>
      <c r="J46" s="155"/>
      <c r="K46" s="367"/>
      <c r="Y46" s="1092"/>
      <c r="Z46" s="822"/>
      <c r="AA46" s="820"/>
      <c r="AB46" s="820"/>
      <c r="AC46" s="820"/>
      <c r="AD46" s="401"/>
      <c r="AG46" s="564"/>
      <c r="AH46" s="565"/>
      <c r="AI46" s="620"/>
      <c r="AJ46" s="620"/>
      <c r="AK46" s="620"/>
      <c r="AL46" s="620"/>
      <c r="AM46" s="565"/>
      <c r="AN46" s="565"/>
      <c r="AO46" s="1573"/>
      <c r="AP46" s="567"/>
      <c r="AQ46" s="564"/>
      <c r="AR46" s="568"/>
      <c r="AU46" s="902"/>
      <c r="AV46" s="1581"/>
      <c r="AW46" s="1581"/>
      <c r="AX46" s="1581"/>
      <c r="AY46" s="1581" t="str">
        <f>IF($F46="Oui",IF(AP46="","",AP46*$J46),"")</f>
        <v/>
      </c>
      <c r="AZ46" s="1581"/>
      <c r="BA46" s="1581" t="str">
        <f>IF($F46="Oui",IF(AD46="","",AD46*$J46),"")</f>
        <v/>
      </c>
      <c r="BB46" s="1581"/>
      <c r="BC46" s="1581"/>
      <c r="BD46" s="1609"/>
      <c r="BE46" s="891" t="str">
        <f>IF($F46="Oui",IF(AQ46="","",AQ46*$J46),"")</f>
        <v/>
      </c>
      <c r="BF46" s="901" t="str">
        <f>IF($F46="Oui",IF(AR46="","",AR46*$J46),"")</f>
        <v/>
      </c>
      <c r="BG46" s="891" t="str">
        <f>IF($F46="Oui",IF(#REF!="","",#REF!*$J46),"")</f>
        <v/>
      </c>
      <c r="BH46" s="901"/>
      <c r="BJ46" s="1142"/>
      <c r="BK46" s="1143"/>
    </row>
    <row r="47" spans="1:73" outlineLevel="2">
      <c r="B47" s="196" t="s">
        <v>348</v>
      </c>
      <c r="C47" s="197"/>
      <c r="D47" s="214">
        <f>SUM(D43:D46)</f>
        <v>0</v>
      </c>
      <c r="E47" s="214"/>
      <c r="F47" s="199"/>
      <c r="G47" s="199"/>
      <c r="H47" s="199"/>
      <c r="I47" s="197"/>
      <c r="J47" s="203"/>
      <c r="K47" s="200">
        <f>SUM(K43:K46)</f>
        <v>0</v>
      </c>
      <c r="Y47" s="1093">
        <f>IF(AD47=0,AD47,AD47/K47)</f>
        <v>0</v>
      </c>
      <c r="Z47" s="821"/>
      <c r="AA47" s="821"/>
      <c r="AB47" s="821"/>
      <c r="AC47" s="821"/>
      <c r="AD47" s="402">
        <f>SQRT(SUMSQ(AD43:AD46))</f>
        <v>0</v>
      </c>
      <c r="AG47" s="571"/>
      <c r="AH47" s="572">
        <f>SUM(AH43:AH46)</f>
        <v>0</v>
      </c>
      <c r="AI47" s="572"/>
      <c r="AJ47" s="572"/>
      <c r="AK47" s="572"/>
      <c r="AL47" s="572"/>
      <c r="AM47" s="572"/>
      <c r="AN47" s="572"/>
      <c r="AO47" s="573"/>
      <c r="AP47" s="573">
        <f>SUM(AP43:AP46)</f>
        <v>0</v>
      </c>
      <c r="AQ47" s="1082"/>
      <c r="AR47" s="575">
        <f>SUM(AR43:AR46)</f>
        <v>0</v>
      </c>
      <c r="AU47" s="1579"/>
      <c r="AV47" s="895">
        <f>SUM(AV43:AV46)</f>
        <v>0</v>
      </c>
      <c r="AW47" s="895"/>
      <c r="AX47" s="895"/>
      <c r="AY47" s="895"/>
      <c r="AZ47" s="895"/>
      <c r="BA47" s="895"/>
      <c r="BB47" s="895"/>
      <c r="BC47" s="895"/>
      <c r="BD47" s="898"/>
      <c r="BE47" s="894"/>
      <c r="BF47" s="896"/>
      <c r="BG47" s="894"/>
      <c r="BH47" s="896">
        <f>SUM(BH38:BH46)</f>
        <v>0</v>
      </c>
    </row>
    <row r="48" spans="1:73" outlineLevel="2">
      <c r="AK48" s="114"/>
      <c r="AU48" s="441"/>
      <c r="AV48" s="441"/>
      <c r="AW48" s="441"/>
      <c r="AX48" s="441"/>
      <c r="AY48" s="441"/>
      <c r="AZ48" s="441"/>
      <c r="BA48" s="441"/>
      <c r="BB48" s="441"/>
      <c r="BC48" s="441"/>
      <c r="BD48" s="441"/>
      <c r="BE48" s="441"/>
      <c r="BF48" s="441"/>
    </row>
    <row r="49" spans="2:64" ht="12.75" customHeight="1" outlineLevel="2" collapsed="1">
      <c r="B49" s="139" t="s">
        <v>339</v>
      </c>
      <c r="C49" s="140"/>
      <c r="D49" s="377"/>
      <c r="E49" s="1648"/>
      <c r="F49" s="141"/>
      <c r="G49" s="141"/>
      <c r="H49" s="141"/>
      <c r="I49" s="141"/>
      <c r="J49" s="142"/>
      <c r="Y49" s="2636" t="s">
        <v>366</v>
      </c>
      <c r="Z49" s="2637"/>
      <c r="AA49" s="2637"/>
      <c r="AB49" s="2637"/>
      <c r="AC49" s="2637"/>
      <c r="AD49" s="2638"/>
      <c r="AG49" s="2639" t="s">
        <v>441</v>
      </c>
      <c r="AH49" s="2640"/>
      <c r="AI49" s="2640"/>
      <c r="AJ49" s="2640"/>
      <c r="AK49" s="2640"/>
      <c r="AL49" s="2640"/>
      <c r="AM49" s="2640"/>
      <c r="AN49" s="2640"/>
      <c r="AO49" s="2640"/>
      <c r="AP49" s="2640"/>
      <c r="AQ49" s="2640"/>
      <c r="AR49" s="2641"/>
      <c r="AU49" s="2860" t="s">
        <v>771</v>
      </c>
      <c r="AV49" s="2861"/>
      <c r="AW49" s="2861"/>
      <c r="AX49" s="2861"/>
      <c r="AY49" s="2861"/>
      <c r="AZ49" s="2861"/>
      <c r="BA49" s="2861"/>
      <c r="BB49" s="2861"/>
      <c r="BC49" s="2861"/>
      <c r="BD49" s="2861"/>
      <c r="BE49" s="2861"/>
      <c r="BF49" s="2861"/>
      <c r="BG49" s="2861"/>
      <c r="BH49" s="2862"/>
    </row>
    <row r="50" spans="2:64" ht="12.75" hidden="1" customHeight="1" outlineLevel="3">
      <c r="B50" s="332"/>
      <c r="C50" s="167"/>
      <c r="D50" s="378" t="s">
        <v>308</v>
      </c>
      <c r="E50" s="1663"/>
      <c r="F50" s="144"/>
      <c r="G50" s="144"/>
      <c r="H50" s="144"/>
      <c r="I50" s="144"/>
      <c r="J50" s="145"/>
      <c r="Y50" s="1553"/>
      <c r="Z50" s="819"/>
      <c r="AA50" s="819"/>
      <c r="AB50" s="820"/>
      <c r="AC50" s="820"/>
      <c r="AD50" s="145"/>
      <c r="AG50" s="2642" t="s">
        <v>444</v>
      </c>
      <c r="AH50" s="2643"/>
      <c r="AI50" s="2643"/>
      <c r="AJ50" s="2643"/>
      <c r="AK50" s="2643"/>
      <c r="AL50" s="2643"/>
      <c r="AM50" s="2643"/>
      <c r="AN50" s="2643"/>
      <c r="AO50" s="2643" t="s">
        <v>444</v>
      </c>
      <c r="AP50" s="2644"/>
      <c r="AQ50" s="564"/>
      <c r="AR50" s="568"/>
      <c r="AU50" s="2863" t="s">
        <v>444</v>
      </c>
      <c r="AV50" s="2864"/>
      <c r="AW50" s="2864"/>
      <c r="AX50" s="2864"/>
      <c r="AY50" s="2864"/>
      <c r="AZ50" s="2864"/>
      <c r="BA50" s="2864"/>
      <c r="BB50" s="2864"/>
      <c r="BC50" s="2864" t="s">
        <v>444</v>
      </c>
      <c r="BD50" s="2865"/>
      <c r="BE50" s="1608"/>
      <c r="BF50" s="899"/>
      <c r="BG50" s="2863" t="s">
        <v>366</v>
      </c>
      <c r="BH50" s="2865"/>
      <c r="BJ50" s="2766" t="s">
        <v>1648</v>
      </c>
      <c r="BK50" s="2767"/>
    </row>
    <row r="51" spans="2:64" ht="12.75" hidden="1" customHeight="1" outlineLevel="3">
      <c r="B51" s="382"/>
      <c r="C51" s="379"/>
      <c r="D51" s="379" t="s">
        <v>409</v>
      </c>
      <c r="E51" s="1656"/>
      <c r="F51" s="147" t="s">
        <v>772</v>
      </c>
      <c r="G51" s="147" t="s">
        <v>199</v>
      </c>
      <c r="H51" s="1554" t="s">
        <v>1585</v>
      </c>
      <c r="I51" s="147" t="s">
        <v>335</v>
      </c>
      <c r="J51" s="384" t="s">
        <v>444</v>
      </c>
      <c r="Y51" s="1553" t="s">
        <v>316</v>
      </c>
      <c r="Z51" s="1558" t="s">
        <v>316</v>
      </c>
      <c r="AA51" s="1559"/>
      <c r="AB51" s="820"/>
      <c r="AC51" s="820"/>
      <c r="AD51" s="1568" t="s">
        <v>444</v>
      </c>
      <c r="AG51" s="2631" t="s">
        <v>211</v>
      </c>
      <c r="AH51" s="2632"/>
      <c r="AI51" s="2632" t="s">
        <v>442</v>
      </c>
      <c r="AJ51" s="2632"/>
      <c r="AK51" s="2632" t="s">
        <v>267</v>
      </c>
      <c r="AL51" s="2632"/>
      <c r="AM51" s="2632" t="s">
        <v>443</v>
      </c>
      <c r="AN51" s="2632"/>
      <c r="AO51" s="2658" t="s">
        <v>327</v>
      </c>
      <c r="AP51" s="2659"/>
      <c r="AQ51" s="564"/>
      <c r="AR51" s="568"/>
      <c r="AU51" s="2866" t="s">
        <v>211</v>
      </c>
      <c r="AV51" s="2867"/>
      <c r="AW51" s="2867" t="s">
        <v>442</v>
      </c>
      <c r="AX51" s="2867"/>
      <c r="AY51" s="2867" t="s">
        <v>267</v>
      </c>
      <c r="AZ51" s="2867"/>
      <c r="BA51" s="2867" t="s">
        <v>443</v>
      </c>
      <c r="BB51" s="2867"/>
      <c r="BC51" s="2868" t="s">
        <v>327</v>
      </c>
      <c r="BD51" s="2869"/>
      <c r="BE51" s="2866" t="s">
        <v>636</v>
      </c>
      <c r="BF51" s="2870"/>
      <c r="BG51" s="2866" t="s">
        <v>444</v>
      </c>
      <c r="BH51" s="2870"/>
      <c r="BJ51" s="1550" t="s">
        <v>2167</v>
      </c>
      <c r="BK51" s="1567" t="s">
        <v>2187</v>
      </c>
    </row>
    <row r="52" spans="2:64" ht="12.75" hidden="1" customHeight="1" outlineLevel="3">
      <c r="B52" s="382"/>
      <c r="C52" s="379"/>
      <c r="D52" s="379" t="s">
        <v>444</v>
      </c>
      <c r="E52" s="1656"/>
      <c r="F52" s="149" t="str">
        <f>Descriptif!$D$4&amp;" ?"</f>
        <v>2022 ?</v>
      </c>
      <c r="G52" s="149" t="s">
        <v>419</v>
      </c>
      <c r="H52" s="379"/>
      <c r="I52" s="149" t="s">
        <v>336</v>
      </c>
      <c r="J52" s="384"/>
      <c r="Y52" s="1553" t="s">
        <v>1649</v>
      </c>
      <c r="Z52" s="1556" t="s">
        <v>1650</v>
      </c>
      <c r="AA52" s="1557"/>
      <c r="AB52" s="820"/>
      <c r="AC52" s="820"/>
      <c r="AD52" s="1568"/>
      <c r="AG52" s="1572"/>
      <c r="AH52" s="1573"/>
      <c r="AI52" s="1573"/>
      <c r="AJ52" s="1573"/>
      <c r="AK52" s="1573"/>
      <c r="AL52" s="1573"/>
      <c r="AM52" s="1573"/>
      <c r="AN52" s="1573"/>
      <c r="AO52" s="565"/>
      <c r="AP52" s="565"/>
      <c r="AQ52" s="564"/>
      <c r="AR52" s="568" t="s">
        <v>636</v>
      </c>
      <c r="AU52" s="1575"/>
      <c r="AV52" s="1576"/>
      <c r="AW52" s="1576"/>
      <c r="AX52" s="1576"/>
      <c r="AY52" s="1576"/>
      <c r="AZ52" s="1576"/>
      <c r="BA52" s="1576"/>
      <c r="BB52" s="1576"/>
      <c r="BC52" s="1576"/>
      <c r="BD52" s="893"/>
      <c r="BE52" s="891" t="str">
        <f>IF($F52="Oui",IF(AQ52="","",AQ52*$I52),"")</f>
        <v/>
      </c>
      <c r="BF52" s="901" t="str">
        <f>IF($F52="Oui",IF(AR52="","",AR52*$I52),"")</f>
        <v/>
      </c>
      <c r="BG52" s="891" t="str">
        <f>IF($F52="Oui",IF(#REF!="","",#REF!*$I52),"")</f>
        <v/>
      </c>
      <c r="BH52" s="901"/>
      <c r="BJ52" s="1065"/>
      <c r="BK52" s="1130"/>
    </row>
    <row r="53" spans="2:64" ht="12.75" hidden="1" customHeight="1" outlineLevel="3">
      <c r="B53" s="143" t="s">
        <v>3105</v>
      </c>
      <c r="C53" s="144"/>
      <c r="D53" s="212">
        <f>J53</f>
        <v>0</v>
      </c>
      <c r="E53" s="212"/>
      <c r="F53" s="391"/>
      <c r="G53" s="117"/>
      <c r="H53" s="219">
        <f>VLOOKUP($B53&amp;"; "&amp;$H$51,'FE Immobilisations'!$G:$U,9,FALSE)</f>
        <v>52.8</v>
      </c>
      <c r="I53" s="117"/>
      <c r="J53" s="152">
        <f>IF(I53=0,0,G53*H53/I53)</f>
        <v>0</v>
      </c>
      <c r="Y53" s="1092">
        <f>IF(AD53=0,AD53,AD53/J53)</f>
        <v>0</v>
      </c>
      <c r="Z53" s="118"/>
      <c r="AA53" s="820"/>
      <c r="AB53" s="820"/>
      <c r="AC53" s="820"/>
      <c r="AD53" s="152">
        <f>J53*BK53</f>
        <v>0</v>
      </c>
      <c r="AG53" s="564"/>
      <c r="AH53" s="565">
        <f>D53</f>
        <v>0</v>
      </c>
      <c r="AI53" s="565"/>
      <c r="AJ53" s="565"/>
      <c r="AK53" s="565"/>
      <c r="AL53" s="565"/>
      <c r="AM53" s="565"/>
      <c r="AN53" s="565"/>
      <c r="AO53" s="1573"/>
      <c r="AP53" s="1607">
        <f>SUM(AH53:AN53)</f>
        <v>0</v>
      </c>
      <c r="AQ53" s="564"/>
      <c r="AR53" s="568"/>
      <c r="AU53" s="1575"/>
      <c r="AV53" s="892" t="str">
        <f>IF($F53="Oui",IF(AH53="","",AH53*$I53),"")</f>
        <v/>
      </c>
      <c r="AW53" s="892"/>
      <c r="AX53" s="892"/>
      <c r="AY53" s="892"/>
      <c r="AZ53" s="892"/>
      <c r="BA53" s="892"/>
      <c r="BB53" s="892"/>
      <c r="BC53" s="892"/>
      <c r="BD53" s="893">
        <f>SUM(AV53,AX53,AZ53,BB53)</f>
        <v>0</v>
      </c>
      <c r="BE53" s="891" t="str">
        <f>IF($F53="Oui",IF(AQ53="","",AQ53*$I53),"")</f>
        <v/>
      </c>
      <c r="BF53" s="901" t="str">
        <f>IF($F53="Oui",IF(AR53="","",AR53*$I53),"")</f>
        <v/>
      </c>
      <c r="BG53" s="891" t="str">
        <f>IF($F53="Oui",IF(#REF!="","",#REF!*$I53),"")</f>
        <v/>
      </c>
      <c r="BH53" s="901" t="str">
        <f>IF($F53="Oui",IF(AD53="","",AD53*$I53),"")</f>
        <v/>
      </c>
      <c r="BJ53" s="1065">
        <f>IF($Z53&lt;&gt;"votre valeur :",IF(ISNA(VLOOKUP($Z53,Utilitaires!$N$566:$O$571,2,FALSE)),,VLOOKUP($Z53,Utilitaires!$N$566:$O$571,2,FALSE)),$AA53)</f>
        <v>0</v>
      </c>
      <c r="BK53" s="1130">
        <f>SQRT(SUMSQ(BJ53,VLOOKUP(B53&amp;"; "&amp;$H$51,'FE Immobilisations'!G:U,7,FALSE)))</f>
        <v>0.2</v>
      </c>
    </row>
    <row r="54" spans="2:64" ht="12.75" hidden="1" customHeight="1" outlineLevel="3">
      <c r="B54" s="143" t="s">
        <v>3103</v>
      </c>
      <c r="C54" s="144"/>
      <c r="D54" s="212">
        <f>J54</f>
        <v>0</v>
      </c>
      <c r="E54" s="212"/>
      <c r="F54" s="392"/>
      <c r="G54" s="120"/>
      <c r="H54" s="219">
        <f>VLOOKUP($B54&amp;"; "&amp;$H$51,'FE Immobilisations'!$G:$U,9,FALSE)</f>
        <v>4</v>
      </c>
      <c r="I54" s="120"/>
      <c r="J54" s="152">
        <f t="shared" ref="J54:J55" si="14">IF(I54=0,0,G54*H54/I54)</f>
        <v>0</v>
      </c>
      <c r="W54" s="254"/>
      <c r="Y54" s="1092">
        <f>IF(AD54=0,AD54,AD54/J54)</f>
        <v>0</v>
      </c>
      <c r="Z54" s="121"/>
      <c r="AA54" s="820"/>
      <c r="AB54" s="820"/>
      <c r="AC54" s="820"/>
      <c r="AD54" s="152">
        <f>J54*BK54</f>
        <v>0</v>
      </c>
      <c r="AG54" s="564"/>
      <c r="AH54" s="565">
        <f>D54</f>
        <v>0</v>
      </c>
      <c r="AI54" s="565"/>
      <c r="AJ54" s="565"/>
      <c r="AK54" s="565"/>
      <c r="AL54" s="565"/>
      <c r="AM54" s="565"/>
      <c r="AN54" s="565"/>
      <c r="AO54" s="1573"/>
      <c r="AP54" s="567">
        <f>J54</f>
        <v>0</v>
      </c>
      <c r="AQ54" s="564"/>
      <c r="AR54" s="568"/>
      <c r="AU54" s="1575"/>
      <c r="AV54" s="892" t="str">
        <f>IF($F54="Oui",IF(AH54="","",AH54*$I54),"")</f>
        <v/>
      </c>
      <c r="AW54" s="892"/>
      <c r="AX54" s="892"/>
      <c r="AY54" s="892" t="str">
        <f>IF($F54="Oui",IF(AP54="","",AP54*$I54),"")</f>
        <v/>
      </c>
      <c r="AZ54" s="892"/>
      <c r="BA54" s="892" t="str">
        <f>IF($F54="Oui",IF(AD54="","",AD54*$I54),"")</f>
        <v/>
      </c>
      <c r="BB54" s="892"/>
      <c r="BC54" s="892"/>
      <c r="BD54" s="893">
        <f>SUM(AV54,AX54,AZ54,BB54)</f>
        <v>0</v>
      </c>
      <c r="BE54" s="891"/>
      <c r="BF54" s="901"/>
      <c r="BG54" s="891"/>
      <c r="BH54" s="901" t="str">
        <f>IF($F54="Oui",IF(AD54="","",AD54*$I54),"")</f>
        <v/>
      </c>
      <c r="BJ54" s="1065">
        <f>IF($Z54&lt;&gt;"votre valeur :",IF(ISNA(VLOOKUP($Z54,Utilitaires!$N$566:$O$571,2,FALSE)),,VLOOKUP($Z54,Utilitaires!$N$566:$O$571,2,FALSE)),$AA54)</f>
        <v>0</v>
      </c>
      <c r="BK54" s="1130">
        <f>SQRT(SUMSQ(BJ54,VLOOKUP(B54&amp;"; "&amp;$H$51,'FE Immobilisations'!G:U,7,FALSE)))</f>
        <v>0.5</v>
      </c>
    </row>
    <row r="55" spans="2:64" ht="12.75" hidden="1" customHeight="1" outlineLevel="3">
      <c r="B55" s="143" t="s">
        <v>3104</v>
      </c>
      <c r="C55" s="144"/>
      <c r="D55" s="212">
        <f>J55</f>
        <v>0</v>
      </c>
      <c r="E55" s="212"/>
      <c r="F55" s="393"/>
      <c r="G55" s="123"/>
      <c r="H55" s="219">
        <f>VLOOKUP($B55&amp;"; "&amp;$H$51,'FE Immobilisations'!$G:$U,9,FALSE)</f>
        <v>3</v>
      </c>
      <c r="I55" s="123"/>
      <c r="J55" s="152">
        <f t="shared" si="14"/>
        <v>0</v>
      </c>
      <c r="Y55" s="1092">
        <f>IF(AD55=0,AD55,AD55/J55)</f>
        <v>0</v>
      </c>
      <c r="Z55" s="124"/>
      <c r="AA55" s="820"/>
      <c r="AB55" s="820"/>
      <c r="AC55" s="820"/>
      <c r="AD55" s="152">
        <f>J55*BK55</f>
        <v>0</v>
      </c>
      <c r="AG55" s="564"/>
      <c r="AH55" s="565">
        <f>D55</f>
        <v>0</v>
      </c>
      <c r="AI55" s="565"/>
      <c r="AJ55" s="565"/>
      <c r="AK55" s="565"/>
      <c r="AL55" s="565"/>
      <c r="AM55" s="565"/>
      <c r="AN55" s="565"/>
      <c r="AO55" s="1573"/>
      <c r="AP55" s="567">
        <f>J55</f>
        <v>0</v>
      </c>
      <c r="AQ55" s="564"/>
      <c r="AR55" s="568"/>
      <c r="AU55" s="1575"/>
      <c r="AV55" s="892" t="str">
        <f>IF($F55="Oui",IF(AH55="","",AH55*$I55),"")</f>
        <v/>
      </c>
      <c r="AW55" s="892"/>
      <c r="AX55" s="892"/>
      <c r="AY55" s="892" t="str">
        <f>IF($F55="Oui",IF(AP55="","",AP55*$I55),"")</f>
        <v/>
      </c>
      <c r="AZ55" s="892"/>
      <c r="BA55" s="892" t="str">
        <f>IF($F55="Oui",IF(AD55="","",AD55*$I55),"")</f>
        <v/>
      </c>
      <c r="BB55" s="892"/>
      <c r="BC55" s="892"/>
      <c r="BD55" s="893">
        <f>SUM(AV55,AX55,AZ55,BB55)</f>
        <v>0</v>
      </c>
      <c r="BE55" s="891" t="str">
        <f>IF($F55="Oui",IF(AQ55="","",AQ55*$I55),"")</f>
        <v/>
      </c>
      <c r="BF55" s="901" t="str">
        <f>IF($F55="Oui",IF(AR55="","",AR55*$I55),"")</f>
        <v/>
      </c>
      <c r="BG55" s="891" t="str">
        <f>IF($F55="Oui",IF(#REF!="","",#REF!*$I55),"")</f>
        <v/>
      </c>
      <c r="BH55" s="901" t="str">
        <f>IF($F55="Oui",IF(AD55="","",AD55*$I55),"")</f>
        <v/>
      </c>
      <c r="BJ55" s="1065">
        <f>IF($Z55&lt;&gt;"votre valeur :",IF(ISNA(VLOOKUP($Z55,Utilitaires!$N$566:$O$571,2,FALSE)),,VLOOKUP($Z55,Utilitaires!$N$566:$O$571,2,FALSE)),$AA55)</f>
        <v>0</v>
      </c>
      <c r="BK55" s="1130">
        <f>SQRT(SUMSQ(BJ55,VLOOKUP(B55&amp;"; "&amp;$H$51,'FE Immobilisations'!G:U,7,FALSE)))</f>
        <v>0.5</v>
      </c>
    </row>
    <row r="56" spans="2:64" ht="12.75" hidden="1" customHeight="1" outlineLevel="3">
      <c r="B56" s="154"/>
      <c r="C56" s="155"/>
      <c r="D56" s="221"/>
      <c r="E56" s="221"/>
      <c r="F56" s="155"/>
      <c r="G56" s="155"/>
      <c r="H56" s="155"/>
      <c r="I56" s="155"/>
      <c r="J56" s="357"/>
      <c r="Y56" s="1092"/>
      <c r="Z56" s="822"/>
      <c r="AA56" s="820"/>
      <c r="AB56" s="820"/>
      <c r="AC56" s="820"/>
      <c r="AD56" s="401"/>
      <c r="AG56" s="564"/>
      <c r="AH56" s="565"/>
      <c r="AI56" s="620"/>
      <c r="AJ56" s="620"/>
      <c r="AK56" s="620"/>
      <c r="AL56" s="620"/>
      <c r="AM56" s="565"/>
      <c r="AN56" s="565"/>
      <c r="AO56" s="1573"/>
      <c r="AP56" s="567"/>
      <c r="AQ56" s="564"/>
      <c r="AR56" s="568"/>
      <c r="AU56" s="902"/>
      <c r="AV56" s="1581"/>
      <c r="AW56" s="1581"/>
      <c r="AX56" s="1581"/>
      <c r="AY56" s="1581" t="str">
        <f>IF($F56="Oui",IF(AP56="","",AP56*$I56),"")</f>
        <v/>
      </c>
      <c r="AZ56" s="1581"/>
      <c r="BA56" s="1581" t="str">
        <f>IF($F56="Oui",IF(AD56="","",AD56*$I56),"")</f>
        <v/>
      </c>
      <c r="BB56" s="1581"/>
      <c r="BC56" s="1581"/>
      <c r="BD56" s="1609"/>
      <c r="BE56" s="891" t="str">
        <f>IF($F56="Oui",IF(AQ56="","",AQ56*$I56),"")</f>
        <v/>
      </c>
      <c r="BF56" s="901" t="str">
        <f>IF($F56="Oui",IF(AR56="","",AR56*$I56),"")</f>
        <v/>
      </c>
      <c r="BG56" s="891" t="str">
        <f>IF($F56="Oui",IF(#REF!="","",#REF!*$I56),"")</f>
        <v/>
      </c>
      <c r="BH56" s="901"/>
      <c r="BJ56" s="1142"/>
      <c r="BK56" s="1143"/>
    </row>
    <row r="57" spans="2:64" outlineLevel="2">
      <c r="B57" s="196" t="s">
        <v>348</v>
      </c>
      <c r="C57" s="197"/>
      <c r="D57" s="214">
        <f>SUM(D53:D56)</f>
        <v>0</v>
      </c>
      <c r="E57" s="214"/>
      <c r="F57" s="199"/>
      <c r="G57" s="199"/>
      <c r="H57" s="199"/>
      <c r="I57" s="199"/>
      <c r="J57" s="200">
        <f>SUM(J53:J56)</f>
        <v>0</v>
      </c>
      <c r="Y57" s="1093">
        <f>IF(AD57=0,AD57,AD57/J57)</f>
        <v>0</v>
      </c>
      <c r="Z57" s="821"/>
      <c r="AA57" s="821"/>
      <c r="AB57" s="821"/>
      <c r="AC57" s="821"/>
      <c r="AD57" s="402">
        <f>SQRT(SUMSQ(AD53:AD56))</f>
        <v>0</v>
      </c>
      <c r="AG57" s="571"/>
      <c r="AH57" s="572">
        <f>SUM(AH53:AH56)</f>
        <v>0</v>
      </c>
      <c r="AI57" s="572"/>
      <c r="AJ57" s="572"/>
      <c r="AK57" s="572"/>
      <c r="AL57" s="572"/>
      <c r="AM57" s="572"/>
      <c r="AN57" s="572"/>
      <c r="AO57" s="573"/>
      <c r="AP57" s="573">
        <f>SUM(AP53:AP56)</f>
        <v>0</v>
      </c>
      <c r="AQ57" s="1082"/>
      <c r="AR57" s="575">
        <f>SUM(AR53:AR56)</f>
        <v>0</v>
      </c>
      <c r="AU57" s="1579"/>
      <c r="AV57" s="895">
        <f>SUM(AV53:AV56)</f>
        <v>0</v>
      </c>
      <c r="AW57" s="895"/>
      <c r="AX57" s="895"/>
      <c r="AY57" s="895"/>
      <c r="AZ57" s="895"/>
      <c r="BA57" s="895"/>
      <c r="BB57" s="895"/>
      <c r="BC57" s="895"/>
      <c r="BD57" s="898"/>
      <c r="BE57" s="894"/>
      <c r="BF57" s="896"/>
      <c r="BG57" s="894"/>
      <c r="BH57" s="896">
        <f>SUM(BH48:BH56)</f>
        <v>0</v>
      </c>
    </row>
    <row r="58" spans="2:64" outlineLevel="2">
      <c r="B58" s="116"/>
      <c r="C58" s="116"/>
      <c r="D58" s="116"/>
      <c r="E58" s="116"/>
      <c r="F58" s="116"/>
      <c r="G58" s="116"/>
      <c r="H58" s="116"/>
      <c r="I58" s="116"/>
      <c r="J58" s="116"/>
      <c r="K58" s="116"/>
      <c r="L58" s="116"/>
      <c r="M58" s="116"/>
      <c r="N58" s="116"/>
      <c r="O58" s="116"/>
      <c r="P58" s="116"/>
      <c r="Q58" s="116"/>
      <c r="R58" s="116"/>
      <c r="S58" s="116"/>
      <c r="T58" s="116"/>
      <c r="U58" s="116"/>
      <c r="AK58" s="114"/>
      <c r="AU58" s="441"/>
      <c r="AV58" s="441"/>
      <c r="AW58" s="441"/>
      <c r="AX58" s="441"/>
      <c r="AY58" s="441"/>
      <c r="AZ58" s="441"/>
      <c r="BA58" s="441"/>
      <c r="BB58" s="441"/>
      <c r="BC58" s="441"/>
      <c r="BD58" s="441"/>
      <c r="BE58" s="441"/>
      <c r="BF58" s="441"/>
    </row>
    <row r="59" spans="2:64" ht="12.75" customHeight="1" outlineLevel="2">
      <c r="B59" s="139" t="s">
        <v>423</v>
      </c>
      <c r="C59" s="140"/>
      <c r="D59" s="1513"/>
      <c r="E59" s="1648"/>
      <c r="F59" s="141"/>
      <c r="G59" s="141"/>
      <c r="H59" s="141"/>
      <c r="I59" s="141"/>
      <c r="J59" s="141"/>
      <c r="K59" s="141"/>
      <c r="L59" s="142"/>
      <c r="Y59" s="2636" t="s">
        <v>366</v>
      </c>
      <c r="Z59" s="2637"/>
      <c r="AA59" s="2637"/>
      <c r="AB59" s="2637"/>
      <c r="AC59" s="2637"/>
      <c r="AD59" s="2638"/>
      <c r="AG59" s="2639" t="s">
        <v>441</v>
      </c>
      <c r="AH59" s="2640"/>
      <c r="AI59" s="2640"/>
      <c r="AJ59" s="2640"/>
      <c r="AK59" s="2640"/>
      <c r="AL59" s="2640"/>
      <c r="AM59" s="2640"/>
      <c r="AN59" s="2640"/>
      <c r="AO59" s="2640"/>
      <c r="AP59" s="2640"/>
      <c r="AQ59" s="2640"/>
      <c r="AR59" s="2641"/>
      <c r="AU59" s="2860" t="s">
        <v>771</v>
      </c>
      <c r="AV59" s="2861"/>
      <c r="AW59" s="2861"/>
      <c r="AX59" s="2861"/>
      <c r="AY59" s="2861"/>
      <c r="AZ59" s="2861"/>
      <c r="BA59" s="2861"/>
      <c r="BB59" s="2861"/>
      <c r="BC59" s="2861"/>
      <c r="BD59" s="2861"/>
      <c r="BE59" s="2861"/>
      <c r="BF59" s="2861"/>
      <c r="BG59" s="2861"/>
      <c r="BH59" s="2862"/>
    </row>
    <row r="60" spans="2:64" ht="12.75" customHeight="1" outlineLevel="3">
      <c r="B60" s="332"/>
      <c r="C60" s="167"/>
      <c r="D60" s="1517" t="s">
        <v>308</v>
      </c>
      <c r="E60" s="1663"/>
      <c r="F60" s="155"/>
      <c r="G60" s="155"/>
      <c r="H60" s="144"/>
      <c r="I60" s="144"/>
      <c r="J60" s="144"/>
      <c r="K60" s="144"/>
      <c r="L60" s="145"/>
      <c r="Y60" s="298"/>
      <c r="Z60" s="819"/>
      <c r="AA60" s="827"/>
      <c r="AB60" s="820"/>
      <c r="AC60" s="820"/>
      <c r="AD60" s="145"/>
      <c r="AG60" s="2642" t="s">
        <v>444</v>
      </c>
      <c r="AH60" s="2643"/>
      <c r="AI60" s="2643"/>
      <c r="AJ60" s="2643"/>
      <c r="AK60" s="2643"/>
      <c r="AL60" s="2643"/>
      <c r="AM60" s="2643"/>
      <c r="AN60" s="2643"/>
      <c r="AO60" s="2643" t="s">
        <v>444</v>
      </c>
      <c r="AP60" s="2644"/>
      <c r="AQ60" s="564"/>
      <c r="AR60" s="568"/>
      <c r="AU60" s="2863" t="s">
        <v>444</v>
      </c>
      <c r="AV60" s="2864"/>
      <c r="AW60" s="2864"/>
      <c r="AX60" s="2864"/>
      <c r="AY60" s="2864"/>
      <c r="AZ60" s="2864"/>
      <c r="BA60" s="2864"/>
      <c r="BB60" s="2864"/>
      <c r="BC60" s="2864" t="s">
        <v>444</v>
      </c>
      <c r="BD60" s="2865"/>
      <c r="BE60" s="1608"/>
      <c r="BF60" s="899"/>
      <c r="BG60" s="2863" t="s">
        <v>366</v>
      </c>
      <c r="BH60" s="2865"/>
      <c r="BJ60" s="2616" t="s">
        <v>1648</v>
      </c>
      <c r="BK60" s="2617"/>
      <c r="BL60" s="2618"/>
    </row>
    <row r="61" spans="2:64" ht="12.75" customHeight="1" outlineLevel="3">
      <c r="B61" s="1504"/>
      <c r="C61" s="1505"/>
      <c r="D61" s="1505" t="s">
        <v>409</v>
      </c>
      <c r="E61" s="1656"/>
      <c r="F61" s="147" t="s">
        <v>772</v>
      </c>
      <c r="G61" s="147" t="s">
        <v>199</v>
      </c>
      <c r="H61" s="147" t="s">
        <v>119</v>
      </c>
      <c r="I61" s="2626" t="s">
        <v>1585</v>
      </c>
      <c r="J61" s="2627"/>
      <c r="K61" s="147" t="s">
        <v>335</v>
      </c>
      <c r="L61" s="1520" t="s">
        <v>444</v>
      </c>
      <c r="Y61" s="1553" t="s">
        <v>316</v>
      </c>
      <c r="Z61" s="1959" t="s">
        <v>316</v>
      </c>
      <c r="AA61" s="1559"/>
      <c r="AB61" s="820"/>
      <c r="AC61" s="820"/>
      <c r="AD61" s="1568" t="s">
        <v>444</v>
      </c>
      <c r="AG61" s="2631" t="s">
        <v>211</v>
      </c>
      <c r="AH61" s="2632"/>
      <c r="AI61" s="2632" t="s">
        <v>442</v>
      </c>
      <c r="AJ61" s="2632"/>
      <c r="AK61" s="2632" t="s">
        <v>267</v>
      </c>
      <c r="AL61" s="2632"/>
      <c r="AM61" s="2632" t="s">
        <v>443</v>
      </c>
      <c r="AN61" s="2632"/>
      <c r="AO61" s="2658" t="s">
        <v>327</v>
      </c>
      <c r="AP61" s="2659"/>
      <c r="AQ61" s="564"/>
      <c r="AR61" s="568"/>
      <c r="AU61" s="2866" t="s">
        <v>211</v>
      </c>
      <c r="AV61" s="2867"/>
      <c r="AW61" s="2867" t="s">
        <v>442</v>
      </c>
      <c r="AX61" s="2867"/>
      <c r="AY61" s="2867" t="s">
        <v>267</v>
      </c>
      <c r="AZ61" s="2867"/>
      <c r="BA61" s="2867" t="s">
        <v>443</v>
      </c>
      <c r="BB61" s="2867"/>
      <c r="BC61" s="2868" t="s">
        <v>327</v>
      </c>
      <c r="BD61" s="2869"/>
      <c r="BE61" s="2866" t="s">
        <v>636</v>
      </c>
      <c r="BF61" s="2870"/>
      <c r="BG61" s="2866" t="s">
        <v>444</v>
      </c>
      <c r="BH61" s="2870"/>
      <c r="BJ61" s="1550" t="s">
        <v>2167</v>
      </c>
      <c r="BK61" s="1567" t="s">
        <v>657</v>
      </c>
      <c r="BL61" s="1567" t="s">
        <v>120</v>
      </c>
    </row>
    <row r="62" spans="2:64" ht="12.75" customHeight="1" outlineLevel="3">
      <c r="B62" s="1504"/>
      <c r="C62" s="1505"/>
      <c r="D62" s="1505" t="s">
        <v>444</v>
      </c>
      <c r="E62" s="1656"/>
      <c r="F62" s="1561" t="str">
        <f>Descriptif!$D$4&amp;" ?"</f>
        <v>2022 ?</v>
      </c>
      <c r="G62" s="1515" t="s">
        <v>419</v>
      </c>
      <c r="H62" s="1561" t="s">
        <v>120</v>
      </c>
      <c r="I62" s="1554" t="s">
        <v>657</v>
      </c>
      <c r="J62" s="1554" t="s">
        <v>120</v>
      </c>
      <c r="K62" s="1561" t="s">
        <v>336</v>
      </c>
      <c r="L62" s="1520"/>
      <c r="Y62" s="1553" t="s">
        <v>1649</v>
      </c>
      <c r="Z62" s="1958" t="s">
        <v>1650</v>
      </c>
      <c r="AA62" s="1557"/>
      <c r="AB62" s="820"/>
      <c r="AC62" s="820"/>
      <c r="AD62" s="162"/>
      <c r="AG62" s="1572"/>
      <c r="AH62" s="1573"/>
      <c r="AI62" s="1573"/>
      <c r="AJ62" s="1573"/>
      <c r="AK62" s="1573"/>
      <c r="AL62" s="1573"/>
      <c r="AM62" s="1573"/>
      <c r="AN62" s="1573"/>
      <c r="AO62" s="565"/>
      <c r="AP62" s="565"/>
      <c r="AQ62" s="564"/>
      <c r="AR62" s="568" t="s">
        <v>636</v>
      </c>
      <c r="AU62" s="1575"/>
      <c r="AV62" s="1576"/>
      <c r="AW62" s="1576"/>
      <c r="AX62" s="1576"/>
      <c r="AY62" s="1576"/>
      <c r="AZ62" s="1576"/>
      <c r="BA62" s="1576"/>
      <c r="BB62" s="1576"/>
      <c r="BC62" s="1576"/>
      <c r="BD62" s="893"/>
      <c r="BE62" s="891" t="str">
        <f>IF($F62="Oui",IF(AQ62="","",AQ62*$K62),"")</f>
        <v/>
      </c>
      <c r="BF62" s="901" t="str">
        <f>IF($F62="Oui",IF(AR62="","",AR62*$K62),"")</f>
        <v/>
      </c>
      <c r="BG62" s="891" t="str">
        <f>IF($F62="Oui",IF(#REF!="","",#REF!*$K62),"")</f>
        <v/>
      </c>
      <c r="BH62" s="901"/>
      <c r="BJ62" s="1065"/>
      <c r="BK62" s="1130"/>
      <c r="BL62" s="1130"/>
    </row>
    <row r="63" spans="2:64" ht="12.75" customHeight="1" outlineLevel="3">
      <c r="B63" s="143" t="s">
        <v>2163</v>
      </c>
      <c r="C63" s="144"/>
      <c r="D63" s="212">
        <f>L63</f>
        <v>0</v>
      </c>
      <c r="E63" s="212"/>
      <c r="F63" s="391"/>
      <c r="G63" s="117"/>
      <c r="H63" s="343"/>
      <c r="I63" s="219">
        <f>VLOOKUP($B63&amp;"; "&amp;$I$61&amp;" "&amp;I$62,'FE Intrants'!$G:$U,9,FALSE)</f>
        <v>2210</v>
      </c>
      <c r="J63" s="219">
        <f>VLOOKUP($B63&amp;"; "&amp;$I$61&amp;" "&amp;J$62,'FE Intrants'!$G:$U,9,FALSE)</f>
        <v>938</v>
      </c>
      <c r="K63" s="117"/>
      <c r="L63" s="152">
        <f>IF(K63=0,0,(G63*((1-H63)*I63+H63*J63))/K63)</f>
        <v>0</v>
      </c>
      <c r="Y63" s="319">
        <f>IF(AD63=0,AD63,AD63/L63)</f>
        <v>0</v>
      </c>
      <c r="Z63" s="118"/>
      <c r="AA63" s="820"/>
      <c r="AB63" s="820"/>
      <c r="AC63" s="820"/>
      <c r="AD63" s="152">
        <f>IF(K63=0,0,SQRT(SUMSQ(G63*(1-H63)*I63*BK63,G63*H63*J63*BL63))/K63)</f>
        <v>0</v>
      </c>
      <c r="AG63" s="564"/>
      <c r="AH63" s="565">
        <f>D63</f>
        <v>0</v>
      </c>
      <c r="AI63" s="565"/>
      <c r="AJ63" s="565"/>
      <c r="AK63" s="565"/>
      <c r="AL63" s="565"/>
      <c r="AM63" s="565"/>
      <c r="AN63" s="565"/>
      <c r="AO63" s="1573"/>
      <c r="AP63" s="1607">
        <f>SUM(AH63:AN63)</f>
        <v>0</v>
      </c>
      <c r="AQ63" s="564"/>
      <c r="AR63" s="568"/>
      <c r="AU63" s="1575"/>
      <c r="AV63" s="892" t="str">
        <f>IF($F63="Oui",IF(AH63="","",AH63*$K63),"")</f>
        <v/>
      </c>
      <c r="AW63" s="892"/>
      <c r="AX63" s="892"/>
      <c r="AY63" s="892"/>
      <c r="AZ63" s="892"/>
      <c r="BA63" s="892"/>
      <c r="BB63" s="892"/>
      <c r="BC63" s="892"/>
      <c r="BD63" s="893">
        <f>SUM(AV63,AX63,AZ63,BB63)</f>
        <v>0</v>
      </c>
      <c r="BE63" s="891" t="str">
        <f>IF($F63="Oui",IF(AQ63="","",AQ63*$K63),"")</f>
        <v/>
      </c>
      <c r="BF63" s="901" t="str">
        <f>IF($F63="Oui",IF(AR63="","",AR63*$K63),"")</f>
        <v/>
      </c>
      <c r="BG63" s="891" t="str">
        <f>IF($F63="Oui",IF(#REF!="","",#REF!*$K63),"")</f>
        <v/>
      </c>
      <c r="BH63" s="901" t="str">
        <f>IF($F63="Oui",IF(AD63="","",AD63*$K63),"")</f>
        <v/>
      </c>
      <c r="BJ63" s="1065">
        <f>IF($Z63&lt;&gt;"votre valeur :",IF(ISNA(VLOOKUP($Z63,Utilitaires!$N$566:$O$571,2,FALSE)),,VLOOKUP($Z63,Utilitaires!$N$566:$O$571,2,FALSE)),$AA63)</f>
        <v>0</v>
      </c>
      <c r="BK63" s="1130">
        <f>SQRT(SUMSQ(BJ63,VLOOKUP(B63&amp;"; "&amp;$I$61&amp;" "&amp;I$62,'FE Intrants'!G:U,7,FALSE)))</f>
        <v>0.1</v>
      </c>
      <c r="BL63" s="1130">
        <f>SQRT(SUMSQ(BJ63,VLOOKUP(B63&amp;"; "&amp;$I$61&amp;" "&amp;J$62,'FE Intrants'!G:U,7,FALSE)))</f>
        <v>0.1</v>
      </c>
    </row>
    <row r="64" spans="2:64" ht="12.75" customHeight="1" outlineLevel="3">
      <c r="B64" s="143" t="s">
        <v>2164</v>
      </c>
      <c r="C64" s="144"/>
      <c r="D64" s="212">
        <f>L64</f>
        <v>0</v>
      </c>
      <c r="E64" s="212"/>
      <c r="F64" s="392"/>
      <c r="G64" s="120"/>
      <c r="H64" s="344"/>
      <c r="I64" s="219">
        <f>VLOOKUP($B64&amp;"; "&amp;$I$61&amp;" "&amp;I$62,'FE Intrants'!$G:$U,9,FALSE)</f>
        <v>7800</v>
      </c>
      <c r="J64" s="219">
        <f>VLOOKUP($B64&amp;"; "&amp;$I$61&amp;" "&amp;J$62,'FE Intrants'!$G:$U,9,FALSE)</f>
        <v>562</v>
      </c>
      <c r="K64" s="120"/>
      <c r="L64" s="152">
        <f>IF(K64=0,0,(G64*((1-H64)*I64+H64*J64))/K64)</f>
        <v>0</v>
      </c>
      <c r="Y64" s="319">
        <f>IF(AD64=0,AD64,AD64/L64)</f>
        <v>0</v>
      </c>
      <c r="Z64" s="121"/>
      <c r="AA64" s="820"/>
      <c r="AB64" s="820"/>
      <c r="AC64" s="820"/>
      <c r="AD64" s="152">
        <f>IF(K64=0,0,SQRT(SUMSQ(G64*(1-H64)*I64*BK64,G64*H64*J64*BL64))/K64)</f>
        <v>0</v>
      </c>
      <c r="AG64" s="564"/>
      <c r="AH64" s="565">
        <f>D64</f>
        <v>0</v>
      </c>
      <c r="AI64" s="565"/>
      <c r="AJ64" s="565"/>
      <c r="AK64" s="565"/>
      <c r="AL64" s="565"/>
      <c r="AM64" s="565"/>
      <c r="AN64" s="565"/>
      <c r="AO64" s="1573"/>
      <c r="AP64" s="567">
        <f>L64</f>
        <v>0</v>
      </c>
      <c r="AQ64" s="564"/>
      <c r="AR64" s="568"/>
      <c r="AU64" s="1575"/>
      <c r="AV64" s="892" t="str">
        <f>IF($F64="Oui",IF(AH64="","",AH64*$K64),"")</f>
        <v/>
      </c>
      <c r="AW64" s="892"/>
      <c r="AX64" s="892"/>
      <c r="AY64" s="892" t="str">
        <f>IF($F64="Oui",IF(AP64="","",AP64*$K64),"")</f>
        <v/>
      </c>
      <c r="AZ64" s="892"/>
      <c r="BA64" s="892" t="str">
        <f>IF($F64="Oui",IF(AD64="","",AD64*$K64),"")</f>
        <v/>
      </c>
      <c r="BB64" s="892"/>
      <c r="BC64" s="892"/>
      <c r="BD64" s="893">
        <f>SUM(AV64,AX64,AZ64,BB64)</f>
        <v>0</v>
      </c>
      <c r="BE64" s="891"/>
      <c r="BF64" s="901"/>
      <c r="BG64" s="891"/>
      <c r="BH64" s="901" t="str">
        <f>IF($F64="Oui",IF(AD64="","",AD64*$K64),"")</f>
        <v/>
      </c>
      <c r="BJ64" s="1065">
        <f>IF($Z64&lt;&gt;"votre valeur :",IF(ISNA(VLOOKUP($Z64,Utilitaires!$N$566:$O$571,2,FALSE)),,VLOOKUP($Z64,Utilitaires!$N$566:$O$571,2,FALSE)),$AA64)</f>
        <v>0</v>
      </c>
      <c r="BK64" s="1130">
        <f>SQRT(SUMSQ(BJ64,VLOOKUP(B64&amp;"; "&amp;$I$61&amp;" "&amp;I$62,'FE Intrants'!G:U,7,FALSE)))</f>
        <v>0.3</v>
      </c>
      <c r="BL64" s="1130">
        <f>SQRT(SUMSQ(BJ64,VLOOKUP(B64&amp;"; "&amp;$I$61&amp;" "&amp;J$62,'FE Intrants'!G:U,7,FALSE)))</f>
        <v>0.3</v>
      </c>
    </row>
    <row r="65" spans="2:64" ht="12.75" customHeight="1" outlineLevel="3">
      <c r="B65" s="143" t="s">
        <v>2165</v>
      </c>
      <c r="C65" s="144"/>
      <c r="D65" s="212">
        <f>L65</f>
        <v>0</v>
      </c>
      <c r="E65" s="212"/>
      <c r="F65" s="392"/>
      <c r="G65" s="120"/>
      <c r="H65" s="344"/>
      <c r="I65" s="219">
        <f>VLOOKUP($B65&amp;"; "&amp;$I$61&amp;" "&amp;I$62,'FE Intrants'!$G:$U,9,FALSE)</f>
        <v>1450</v>
      </c>
      <c r="J65" s="219">
        <f>VLOOKUP($B65&amp;"; "&amp;$I$61&amp;" "&amp;J$62,'FE Intrants'!$G:$U,9,FALSE)</f>
        <v>1300</v>
      </c>
      <c r="K65" s="120"/>
      <c r="L65" s="152">
        <f>IF(K65=0,0,(G65*((1-H65)*I65+H65*J65))/K65)</f>
        <v>0</v>
      </c>
      <c r="Y65" s="319">
        <f>IF(AD65=0,AD65,AD65/L65)</f>
        <v>0</v>
      </c>
      <c r="Z65" s="121"/>
      <c r="AA65" s="820"/>
      <c r="AB65" s="820"/>
      <c r="AC65" s="820"/>
      <c r="AD65" s="152">
        <f>IF(K65=0,0,SQRT(SUMSQ(G65*(1-H65)*I65*BK65,G65*H65*J65*BL65))/K65)</f>
        <v>0</v>
      </c>
      <c r="AG65" s="564"/>
      <c r="AH65" s="565">
        <f>D65</f>
        <v>0</v>
      </c>
      <c r="AI65" s="565"/>
      <c r="AJ65" s="565"/>
      <c r="AK65" s="565"/>
      <c r="AL65" s="565"/>
      <c r="AM65" s="565"/>
      <c r="AN65" s="565"/>
      <c r="AO65" s="1573"/>
      <c r="AP65" s="567">
        <f>L65</f>
        <v>0</v>
      </c>
      <c r="AQ65" s="564"/>
      <c r="AR65" s="568"/>
      <c r="AU65" s="1575"/>
      <c r="AV65" s="892" t="str">
        <f>IF($F65="Oui",IF(AH65="","",AH65*$K65),"")</f>
        <v/>
      </c>
      <c r="AW65" s="892"/>
      <c r="AX65" s="892"/>
      <c r="AY65" s="892" t="str">
        <f>IF($F65="Oui",IF(AP65="","",AP65*$K65),"")</f>
        <v/>
      </c>
      <c r="AZ65" s="892"/>
      <c r="BA65" s="892" t="str">
        <f>IF($F65="Oui",IF(AD65="","",AD65*$K65),"")</f>
        <v/>
      </c>
      <c r="BB65" s="892"/>
      <c r="BC65" s="892"/>
      <c r="BD65" s="893">
        <f>SUM(AV65,AX65,AZ65,BB65)</f>
        <v>0</v>
      </c>
      <c r="BE65" s="891" t="str">
        <f t="shared" ref="BE65:BF67" si="15">IF($F65="Oui",IF(AQ65="","",AQ65*$K65),"")</f>
        <v/>
      </c>
      <c r="BF65" s="901" t="str">
        <f t="shared" si="15"/>
        <v/>
      </c>
      <c r="BG65" s="891" t="str">
        <f>IF($F65="Oui",IF(#REF!="","",#REF!*$K65),"")</f>
        <v/>
      </c>
      <c r="BH65" s="901" t="str">
        <f>IF($F65="Oui",IF(AD65="","",AD65*$K65),"")</f>
        <v/>
      </c>
      <c r="BJ65" s="1065">
        <f>IF($Z65&lt;&gt;"votre valeur :",IF(ISNA(VLOOKUP($Z65,Utilitaires!$N$566:$O$571,2,FALSE)),,VLOOKUP($Z65,Utilitaires!$N$566:$O$571,2,FALSE)),$AA65)</f>
        <v>0</v>
      </c>
      <c r="BK65" s="1130">
        <f>SQRT(SUMSQ(BJ65,VLOOKUP(B65&amp;"; "&amp;$I$61&amp;" "&amp;I$62,'FE Intrants'!G:U,7,FALSE)))</f>
        <v>0.5</v>
      </c>
      <c r="BL65" s="1130">
        <f>SQRT(SUMSQ(BJ65,VLOOKUP(B65&amp;"; "&amp;$I$61&amp;" "&amp;J$62,'FE Intrants'!G:U,7,FALSE)))</f>
        <v>0.5</v>
      </c>
    </row>
    <row r="66" spans="2:64" ht="12.75" customHeight="1" outlineLevel="3">
      <c r="B66" s="143" t="s">
        <v>2166</v>
      </c>
      <c r="C66" s="144"/>
      <c r="D66" s="212">
        <f>L66</f>
        <v>0</v>
      </c>
      <c r="E66" s="212"/>
      <c r="F66" s="393"/>
      <c r="G66" s="123"/>
      <c r="H66" s="345"/>
      <c r="I66" s="219">
        <f>VLOOKUP($B66&amp;"; "&amp;$I$61&amp;" "&amp;I$62,'FE Intrants'!$G:$U,9,FALSE)</f>
        <v>9170</v>
      </c>
      <c r="J66" s="219">
        <f>VLOOKUP($B66&amp;"; "&amp;$I$61&amp;" "&amp;J$62,'FE Intrants'!$G:$U,9,FALSE)</f>
        <v>9170</v>
      </c>
      <c r="K66" s="123"/>
      <c r="L66" s="152">
        <f>IF(K66=0,0,(G66*((1-H66)*I66+H66*J66))/K66)</f>
        <v>0</v>
      </c>
      <c r="Y66" s="319">
        <f>IF(AD66=0,AD66,AD66/L66)</f>
        <v>0</v>
      </c>
      <c r="Z66" s="124"/>
      <c r="AA66" s="820"/>
      <c r="AB66" s="820"/>
      <c r="AC66" s="820"/>
      <c r="AD66" s="152">
        <f>IF(K66=0,0,SQRT(SUMSQ(G66*(1-H66)*I66*BK66,G66*H66*J66*BL66))/K66)</f>
        <v>0</v>
      </c>
      <c r="AG66" s="564"/>
      <c r="AH66" s="565">
        <f>D66</f>
        <v>0</v>
      </c>
      <c r="AI66" s="565"/>
      <c r="AJ66" s="565"/>
      <c r="AK66" s="565"/>
      <c r="AL66" s="565"/>
      <c r="AM66" s="565"/>
      <c r="AN66" s="565"/>
      <c r="AO66" s="1573"/>
      <c r="AP66" s="567">
        <f>L66</f>
        <v>0</v>
      </c>
      <c r="AQ66" s="564"/>
      <c r="AR66" s="568"/>
      <c r="AU66" s="1575"/>
      <c r="AV66" s="892" t="str">
        <f>IF($F66="Oui",IF(AH66="","",AH66*$K66),"")</f>
        <v/>
      </c>
      <c r="AW66" s="892"/>
      <c r="AX66" s="892"/>
      <c r="AY66" s="892" t="str">
        <f>IF($F66="Oui",IF(AP66="","",AP66*$K66),"")</f>
        <v/>
      </c>
      <c r="AZ66" s="892"/>
      <c r="BA66" s="892" t="str">
        <f>IF($F66="Oui",IF(AD66="","",AD66*$K66),"")</f>
        <v/>
      </c>
      <c r="BB66" s="892"/>
      <c r="BC66" s="892"/>
      <c r="BD66" s="893">
        <f>SUM(AV66,AX66,AZ66,BB66)</f>
        <v>0</v>
      </c>
      <c r="BE66" s="891" t="str">
        <f t="shared" si="15"/>
        <v/>
      </c>
      <c r="BF66" s="901" t="str">
        <f t="shared" si="15"/>
        <v/>
      </c>
      <c r="BG66" s="891" t="str">
        <f>IF($F66="Oui",IF(#REF!="","",#REF!*$K66),"")</f>
        <v/>
      </c>
      <c r="BH66" s="901" t="str">
        <f>IF($F66="Oui",IF(AD66="","",AD66*$K66),"")</f>
        <v/>
      </c>
      <c r="BJ66" s="1065">
        <f>IF($Z66&lt;&gt;"votre valeur :",IF(ISNA(VLOOKUP($Z66,Utilitaires!$N$566:$O$571,2,FALSE)),,VLOOKUP($Z66,Utilitaires!$N$566:$O$571,2,FALSE)),$AA66)</f>
        <v>0</v>
      </c>
      <c r="BK66" s="1130">
        <f>SQRT(SUMSQ(BJ66,VLOOKUP(B66&amp;"; "&amp;$I$61&amp;" "&amp;I$62,'FE Intrants'!G:U,7,FALSE)))</f>
        <v>0.2</v>
      </c>
      <c r="BL66" s="1130">
        <f>SQRT(SUMSQ(BJ66,VLOOKUP(B66&amp;"; "&amp;$I$61&amp;" "&amp;J$62,'FE Intrants'!G:U,7,FALSE)))</f>
        <v>0.2</v>
      </c>
    </row>
    <row r="67" spans="2:64" ht="12.75" customHeight="1" outlineLevel="3">
      <c r="B67" s="143"/>
      <c r="C67" s="144"/>
      <c r="D67" s="213"/>
      <c r="E67" s="213"/>
      <c r="F67" s="144"/>
      <c r="G67" s="144"/>
      <c r="H67" s="144"/>
      <c r="I67" s="144"/>
      <c r="J67" s="155"/>
      <c r="K67" s="155"/>
      <c r="L67" s="145"/>
      <c r="Y67" s="143"/>
      <c r="Z67" s="144"/>
      <c r="AA67" s="144"/>
      <c r="AB67" s="820"/>
      <c r="AC67" s="820"/>
      <c r="AD67" s="152"/>
      <c r="AG67" s="564"/>
      <c r="AH67" s="565"/>
      <c r="AI67" s="620"/>
      <c r="AJ67" s="620"/>
      <c r="AK67" s="620"/>
      <c r="AL67" s="620"/>
      <c r="AM67" s="565"/>
      <c r="AN67" s="565"/>
      <c r="AO67" s="1573"/>
      <c r="AP67" s="567"/>
      <c r="AQ67" s="564"/>
      <c r="AR67" s="568"/>
      <c r="AU67" s="902"/>
      <c r="AV67" s="1581"/>
      <c r="AW67" s="1581"/>
      <c r="AX67" s="1581"/>
      <c r="AY67" s="1581" t="str">
        <f>IF($F67="Oui",IF(AP67="","",AP67*$K67),"")</f>
        <v/>
      </c>
      <c r="AZ67" s="1581"/>
      <c r="BA67" s="1581" t="str">
        <f>IF($F67="Oui",IF(AD67="","",AD67*$K67),"")</f>
        <v/>
      </c>
      <c r="BB67" s="1581"/>
      <c r="BC67" s="1581"/>
      <c r="BD67" s="1609"/>
      <c r="BE67" s="891" t="str">
        <f t="shared" si="15"/>
        <v/>
      </c>
      <c r="BF67" s="901" t="str">
        <f t="shared" si="15"/>
        <v/>
      </c>
      <c r="BG67" s="891" t="str">
        <f>IF($F67="Oui",IF(#REF!="","",#REF!*$K67),"")</f>
        <v/>
      </c>
      <c r="BH67" s="901"/>
      <c r="BJ67" s="1142"/>
      <c r="BK67" s="1143"/>
      <c r="BL67" s="1143"/>
    </row>
    <row r="68" spans="2:64" outlineLevel="2">
      <c r="B68" s="196" t="s">
        <v>348</v>
      </c>
      <c r="C68" s="197"/>
      <c r="D68" s="214">
        <f>SUM(D63:D67)</f>
        <v>0</v>
      </c>
      <c r="E68" s="214"/>
      <c r="F68" s="199"/>
      <c r="G68" s="199"/>
      <c r="H68" s="199"/>
      <c r="I68" s="199"/>
      <c r="J68" s="199"/>
      <c r="K68" s="199"/>
      <c r="L68" s="200">
        <f>SUM(L63:L67)</f>
        <v>0</v>
      </c>
      <c r="Y68" s="1204">
        <f>IF(AD68=0,AD68,AD68/L68)</f>
        <v>0</v>
      </c>
      <c r="Z68" s="199"/>
      <c r="AA68" s="199"/>
      <c r="AB68" s="821"/>
      <c r="AC68" s="821"/>
      <c r="AD68" s="200">
        <f>SQRT(SUMSQ(AD63:AD67))</f>
        <v>0</v>
      </c>
      <c r="AG68" s="571"/>
      <c r="AH68" s="572">
        <f>SUM(AH63:AH67)</f>
        <v>0</v>
      </c>
      <c r="AI68" s="572"/>
      <c r="AJ68" s="572"/>
      <c r="AK68" s="572"/>
      <c r="AL68" s="572"/>
      <c r="AM68" s="572"/>
      <c r="AN68" s="572"/>
      <c r="AO68" s="573"/>
      <c r="AP68" s="573">
        <f>SUM(AP63:AP67)</f>
        <v>0</v>
      </c>
      <c r="AQ68" s="1082"/>
      <c r="AR68" s="575">
        <f>SUM(AR63:AR67)</f>
        <v>0</v>
      </c>
      <c r="AU68" s="1579"/>
      <c r="AV68" s="895">
        <f>SUM(AV64:AV67)</f>
        <v>0</v>
      </c>
      <c r="AW68" s="895"/>
      <c r="AX68" s="895"/>
      <c r="AY68" s="895"/>
      <c r="AZ68" s="895"/>
      <c r="BA68" s="895"/>
      <c r="BB68" s="895"/>
      <c r="BC68" s="895"/>
      <c r="BD68" s="898"/>
      <c r="BE68" s="894"/>
      <c r="BF68" s="896"/>
      <c r="BG68" s="894"/>
      <c r="BH68" s="896">
        <f>SUM(BH59:BH67)</f>
        <v>0</v>
      </c>
    </row>
    <row r="69" spans="2:64" outlineLevel="2">
      <c r="AK69" s="114"/>
      <c r="AU69" s="441"/>
      <c r="AV69" s="441"/>
      <c r="AW69" s="441"/>
      <c r="AX69" s="441"/>
      <c r="AY69" s="441"/>
      <c r="AZ69" s="441"/>
      <c r="BA69" s="441"/>
      <c r="BB69" s="441"/>
      <c r="BC69" s="441"/>
      <c r="BD69" s="441"/>
      <c r="BE69" s="441"/>
      <c r="BF69" s="441"/>
    </row>
    <row r="70" spans="2:64" ht="12.75" customHeight="1" outlineLevel="2" collapsed="1">
      <c r="B70" s="139" t="s">
        <v>2427</v>
      </c>
      <c r="C70" s="140"/>
      <c r="D70" s="1513"/>
      <c r="E70" s="1648"/>
      <c r="F70" s="141"/>
      <c r="G70" s="141"/>
      <c r="H70" s="141"/>
      <c r="I70" s="141"/>
      <c r="J70" s="141"/>
      <c r="K70" s="141"/>
      <c r="L70" s="142"/>
      <c r="Y70" s="2636" t="s">
        <v>366</v>
      </c>
      <c r="Z70" s="2637"/>
      <c r="AA70" s="2637"/>
      <c r="AB70" s="2637"/>
      <c r="AC70" s="2637"/>
      <c r="AD70" s="2638"/>
      <c r="AG70" s="2639" t="s">
        <v>441</v>
      </c>
      <c r="AH70" s="2640"/>
      <c r="AI70" s="2640"/>
      <c r="AJ70" s="2640"/>
      <c r="AK70" s="2640"/>
      <c r="AL70" s="2640"/>
      <c r="AM70" s="2640"/>
      <c r="AN70" s="2640"/>
      <c r="AO70" s="2640"/>
      <c r="AP70" s="2640"/>
      <c r="AQ70" s="2640"/>
      <c r="AR70" s="2641"/>
      <c r="AS70" s="114"/>
      <c r="AT70" s="114"/>
      <c r="AU70" s="2860" t="s">
        <v>771</v>
      </c>
      <c r="AV70" s="2861"/>
      <c r="AW70" s="2861"/>
      <c r="AX70" s="2861"/>
      <c r="AY70" s="2861"/>
      <c r="AZ70" s="2861"/>
      <c r="BA70" s="2861"/>
      <c r="BB70" s="2861"/>
      <c r="BC70" s="2861"/>
      <c r="BD70" s="2861"/>
      <c r="BE70" s="2861"/>
      <c r="BF70" s="2861"/>
      <c r="BG70" s="2861"/>
      <c r="BH70" s="2862"/>
    </row>
    <row r="71" spans="2:64" ht="12.75" hidden="1" customHeight="1" outlineLevel="3">
      <c r="B71" s="332"/>
      <c r="C71" s="167"/>
      <c r="D71" s="1517" t="s">
        <v>308</v>
      </c>
      <c r="E71" s="1663"/>
      <c r="F71" s="155"/>
      <c r="G71" s="144"/>
      <c r="H71" s="144"/>
      <c r="I71" s="144"/>
      <c r="J71" s="144"/>
      <c r="K71" s="144"/>
      <c r="L71" s="145"/>
      <c r="Y71" s="298"/>
      <c r="Z71" s="819"/>
      <c r="AA71" s="827"/>
      <c r="AB71" s="820"/>
      <c r="AC71" s="820"/>
      <c r="AD71" s="145"/>
      <c r="AG71" s="2642" t="s">
        <v>444</v>
      </c>
      <c r="AH71" s="2643"/>
      <c r="AI71" s="2643"/>
      <c r="AJ71" s="2643"/>
      <c r="AK71" s="2643"/>
      <c r="AL71" s="2643"/>
      <c r="AM71" s="2643"/>
      <c r="AN71" s="2643"/>
      <c r="AO71" s="2643" t="s">
        <v>444</v>
      </c>
      <c r="AP71" s="2644"/>
      <c r="AQ71" s="564"/>
      <c r="AR71" s="568"/>
      <c r="AS71" s="114"/>
      <c r="AT71" s="114"/>
      <c r="AU71" s="2863" t="s">
        <v>444</v>
      </c>
      <c r="AV71" s="2864"/>
      <c r="AW71" s="2864"/>
      <c r="AX71" s="2864"/>
      <c r="AY71" s="2864"/>
      <c r="AZ71" s="2864"/>
      <c r="BA71" s="2864"/>
      <c r="BB71" s="2864"/>
      <c r="BC71" s="2864" t="s">
        <v>444</v>
      </c>
      <c r="BD71" s="2865"/>
      <c r="BE71" s="1608"/>
      <c r="BF71" s="899"/>
      <c r="BG71" s="2863" t="s">
        <v>366</v>
      </c>
      <c r="BH71" s="2865"/>
      <c r="BJ71" s="2616" t="s">
        <v>1648</v>
      </c>
      <c r="BK71" s="2617"/>
      <c r="BL71" s="2618"/>
    </row>
    <row r="72" spans="2:64" ht="12.75" hidden="1" customHeight="1" outlineLevel="3">
      <c r="B72" s="1504"/>
      <c r="C72" s="1505"/>
      <c r="D72" s="1505" t="s">
        <v>409</v>
      </c>
      <c r="E72" s="1656"/>
      <c r="F72" s="147" t="s">
        <v>772</v>
      </c>
      <c r="G72" s="147" t="s">
        <v>199</v>
      </c>
      <c r="H72" s="147" t="s">
        <v>119</v>
      </c>
      <c r="I72" s="2626" t="s">
        <v>1585</v>
      </c>
      <c r="J72" s="2627"/>
      <c r="K72" s="147" t="s">
        <v>335</v>
      </c>
      <c r="L72" s="1568" t="s">
        <v>444</v>
      </c>
      <c r="Y72" s="1553" t="s">
        <v>316</v>
      </c>
      <c r="Z72" s="1959" t="s">
        <v>316</v>
      </c>
      <c r="AA72" s="1559"/>
      <c r="AB72" s="820"/>
      <c r="AC72" s="820"/>
      <c r="AD72" s="1568" t="s">
        <v>444</v>
      </c>
      <c r="AG72" s="2631" t="s">
        <v>211</v>
      </c>
      <c r="AH72" s="2632"/>
      <c r="AI72" s="2632" t="s">
        <v>442</v>
      </c>
      <c r="AJ72" s="2632"/>
      <c r="AK72" s="2632" t="s">
        <v>267</v>
      </c>
      <c r="AL72" s="2632"/>
      <c r="AM72" s="2632" t="s">
        <v>443</v>
      </c>
      <c r="AN72" s="2632"/>
      <c r="AO72" s="2658" t="s">
        <v>327</v>
      </c>
      <c r="AP72" s="2659"/>
      <c r="AQ72" s="564"/>
      <c r="AR72" s="568"/>
      <c r="AS72" s="114"/>
      <c r="AT72" s="114"/>
      <c r="AU72" s="2866" t="s">
        <v>211</v>
      </c>
      <c r="AV72" s="2867"/>
      <c r="AW72" s="2867" t="s">
        <v>442</v>
      </c>
      <c r="AX72" s="2867"/>
      <c r="AY72" s="2867" t="s">
        <v>267</v>
      </c>
      <c r="AZ72" s="2867"/>
      <c r="BA72" s="2867" t="s">
        <v>443</v>
      </c>
      <c r="BB72" s="2867"/>
      <c r="BC72" s="2868" t="s">
        <v>327</v>
      </c>
      <c r="BD72" s="2869"/>
      <c r="BE72" s="2866" t="s">
        <v>636</v>
      </c>
      <c r="BF72" s="2870"/>
      <c r="BG72" s="2866" t="s">
        <v>444</v>
      </c>
      <c r="BH72" s="2870"/>
      <c r="BJ72" s="1498" t="s">
        <v>2167</v>
      </c>
      <c r="BK72" s="1518" t="s">
        <v>657</v>
      </c>
      <c r="BL72" s="1518" t="s">
        <v>120</v>
      </c>
    </row>
    <row r="73" spans="2:64" ht="12.75" hidden="1" customHeight="1" outlineLevel="3">
      <c r="B73" s="1504"/>
      <c r="C73" s="1505"/>
      <c r="D73" s="1505" t="s">
        <v>444</v>
      </c>
      <c r="E73" s="1656"/>
      <c r="F73" s="1561" t="str">
        <f>Descriptif!$D$4&amp;" ?"</f>
        <v>2022 ?</v>
      </c>
      <c r="G73" s="1515" t="s">
        <v>419</v>
      </c>
      <c r="H73" s="1561" t="s">
        <v>120</v>
      </c>
      <c r="I73" s="1554" t="s">
        <v>657</v>
      </c>
      <c r="J73" s="1554" t="s">
        <v>120</v>
      </c>
      <c r="K73" s="1561" t="s">
        <v>336</v>
      </c>
      <c r="L73" s="1568"/>
      <c r="Y73" s="1553" t="s">
        <v>1649</v>
      </c>
      <c r="Z73" s="1958" t="s">
        <v>1650</v>
      </c>
      <c r="AA73" s="1557"/>
      <c r="AB73" s="820"/>
      <c r="AC73" s="820"/>
      <c r="AD73" s="1568"/>
      <c r="AG73" s="1572"/>
      <c r="AH73" s="1573"/>
      <c r="AI73" s="1573"/>
      <c r="AJ73" s="1573"/>
      <c r="AK73" s="1573"/>
      <c r="AL73" s="1573"/>
      <c r="AM73" s="1573"/>
      <c r="AN73" s="1573"/>
      <c r="AO73" s="565"/>
      <c r="AP73" s="565"/>
      <c r="AQ73" s="564"/>
      <c r="AR73" s="568" t="s">
        <v>636</v>
      </c>
      <c r="AS73" s="114"/>
      <c r="AT73" s="114"/>
      <c r="AU73" s="1575"/>
      <c r="AV73" s="1576"/>
      <c r="AW73" s="1576"/>
      <c r="AX73" s="1576"/>
      <c r="AY73" s="1576"/>
      <c r="AZ73" s="1576"/>
      <c r="BA73" s="1576"/>
      <c r="BB73" s="1576"/>
      <c r="BC73" s="1576"/>
      <c r="BD73" s="893"/>
      <c r="BE73" s="891" t="str">
        <f>IF($F73="Oui",IF(AQ73="","",AQ73*$K73),"")</f>
        <v/>
      </c>
      <c r="BF73" s="901" t="str">
        <f>IF($F73="Oui",IF(AR73="","",AR73*$K73),"")</f>
        <v/>
      </c>
      <c r="BG73" s="891" t="str">
        <f>IF($F73="Oui",IF(#REF!="","",#REF!*$K73),"")</f>
        <v/>
      </c>
      <c r="BH73" s="901"/>
      <c r="BJ73" s="1065"/>
      <c r="BK73" s="1130"/>
      <c r="BL73" s="1130"/>
    </row>
    <row r="74" spans="2:64" ht="12.75" hidden="1" customHeight="1" outlineLevel="3">
      <c r="B74" s="143" t="s">
        <v>2175</v>
      </c>
      <c r="C74" s="144"/>
      <c r="D74" s="212">
        <f>L74</f>
        <v>0</v>
      </c>
      <c r="E74" s="212"/>
      <c r="F74" s="391"/>
      <c r="G74" s="117"/>
      <c r="H74" s="343"/>
      <c r="I74" s="219">
        <f>VLOOKUP($B74&amp;"; "&amp;$I$72&amp;" "&amp;I$73,'FE Intrants'!$G:$U,9,FALSE)</f>
        <v>5500</v>
      </c>
      <c r="J74" s="219">
        <f>IF(ISNA(VLOOKUP($B74&amp;"; "&amp;$I$72&amp;" "&amp;J$73,'FE Intrants'!$G:$U,9,FALSE)),I74,VLOOKUP($B74&amp;"; "&amp;$I$72&amp;" "&amp;J$73,'FE Intrants'!$G:$U,9,FALSE))</f>
        <v>5500</v>
      </c>
      <c r="K74" s="117"/>
      <c r="L74" s="327">
        <f>IF(K74=0,0,(G74*((1-H74)*I74+H74*J74))/K74)</f>
        <v>0</v>
      </c>
      <c r="Y74" s="319">
        <f>IF(AD74=0,AD74,AD74/L74)</f>
        <v>0</v>
      </c>
      <c r="Z74" s="118"/>
      <c r="AA74" s="820"/>
      <c r="AB74" s="820"/>
      <c r="AC74" s="820"/>
      <c r="AD74" s="152">
        <f>IF(K74=0,0,(SQRT(SUMSQ(G74*(1-H74)*I74*BK74,G74*H74*J74*BL74)))/K74)</f>
        <v>0</v>
      </c>
      <c r="AG74" s="564"/>
      <c r="AH74" s="565">
        <f>D74</f>
        <v>0</v>
      </c>
      <c r="AI74" s="565"/>
      <c r="AJ74" s="565"/>
      <c r="AK74" s="565"/>
      <c r="AL74" s="565"/>
      <c r="AM74" s="565"/>
      <c r="AN74" s="565"/>
      <c r="AO74" s="1573"/>
      <c r="AP74" s="1607">
        <f>SUM(AH74:AN74)</f>
        <v>0</v>
      </c>
      <c r="AQ74" s="564"/>
      <c r="AR74" s="568"/>
      <c r="AS74" s="114"/>
      <c r="AT74" s="114"/>
      <c r="AU74" s="1575"/>
      <c r="AV74" s="892" t="str">
        <f>IF($F74="Oui",IF(AH74="","",AH74*$K74),"")</f>
        <v/>
      </c>
      <c r="AW74" s="892"/>
      <c r="AX74" s="892"/>
      <c r="AY74" s="892"/>
      <c r="AZ74" s="892"/>
      <c r="BA74" s="892"/>
      <c r="BB74" s="892"/>
      <c r="BC74" s="892"/>
      <c r="BD74" s="893">
        <f>SUM(AV74,AX74,AZ74,BB74)</f>
        <v>0</v>
      </c>
      <c r="BE74" s="891" t="str">
        <f>IF($F74="Oui",IF(AQ74="","",AQ74*$K74),"")</f>
        <v/>
      </c>
      <c r="BF74" s="901" t="str">
        <f>IF($F74="Oui",IF(AR74="","",AR74*$K74),"")</f>
        <v/>
      </c>
      <c r="BG74" s="891" t="str">
        <f>IF($F74="Oui",IF(#REF!="","",#REF!*$K74),"")</f>
        <v/>
      </c>
      <c r="BH74" s="901" t="str">
        <f>IF($F74="Oui",IF(AD74="","",AD74*$K74),"")</f>
        <v/>
      </c>
      <c r="BJ74" s="1065">
        <f>IF($Z74&lt;&gt;"votre valeur :",IF(ISNA(VLOOKUP($Z74,Utilitaires!$N$566:$O$571,2,FALSE)),,VLOOKUP($Z74,Utilitaires!$N$566:$O$571,2,FALSE)),$AA74)</f>
        <v>0</v>
      </c>
      <c r="BK74" s="1130">
        <f>SQRT(SUMSQ(BJ74,VLOOKUP(B74&amp;"; "&amp;$I$72&amp;" "&amp;$I$73,'FE Intrants'!G:U,7,FALSE)))</f>
        <v>0.2</v>
      </c>
      <c r="BL74" s="1130">
        <f>IF(ISNA(VLOOKUP(B74&amp;"; "&amp;$I$72&amp;" "&amp;$J$73,'FE Intrants'!G:U,7,FALSE)),0,SQRT(SUMSQ(BJ74,VLOOKUP(B74&amp;"; "&amp;$I$72&amp;" "&amp;$J$73,'FE Intrants'!G:U,7,FALSE))))</f>
        <v>0.2</v>
      </c>
    </row>
    <row r="75" spans="2:64" ht="12.75" hidden="1" customHeight="1" outlineLevel="3">
      <c r="B75" s="143" t="s">
        <v>2174</v>
      </c>
      <c r="C75" s="144"/>
      <c r="D75" s="212">
        <f>L75</f>
        <v>0</v>
      </c>
      <c r="E75" s="212"/>
      <c r="F75" s="392"/>
      <c r="G75" s="120"/>
      <c r="H75" s="344"/>
      <c r="I75" s="219">
        <f>VLOOKUP($B75&amp;"; "&amp;$I$72&amp;" "&amp;I$73,'FE Intrants'!$G:$U,9,FALSE)</f>
        <v>7630</v>
      </c>
      <c r="J75" s="219">
        <f>IF(ISNA(VLOOKUP($B75&amp;"; "&amp;$I$72&amp;" "&amp;J$73,'FE Intrants'!$G:$U,9,FALSE)),I75,VLOOKUP($B75&amp;"; "&amp;$I$72&amp;" "&amp;J$73,'FE Intrants'!$G:$U,9,FALSE))</f>
        <v>7630</v>
      </c>
      <c r="K75" s="120"/>
      <c r="L75" s="327">
        <f>IF(K75=0,0,(G75*((1-H75)*I75+H75*J75))/K75)</f>
        <v>0</v>
      </c>
      <c r="Y75" s="319">
        <f>IF(AD75=0,AD75,AD75/L75)</f>
        <v>0</v>
      </c>
      <c r="Z75" s="121"/>
      <c r="AA75" s="820"/>
      <c r="AB75" s="820"/>
      <c r="AC75" s="820"/>
      <c r="AD75" s="152">
        <f>IF(K75=0,0,(SQRT(SUMSQ(G75*(1-H75)*I75*BK75,G75*H75*J75*BL75)))/K75)</f>
        <v>0</v>
      </c>
      <c r="AG75" s="564"/>
      <c r="AH75" s="565">
        <f>D75</f>
        <v>0</v>
      </c>
      <c r="AI75" s="565"/>
      <c r="AJ75" s="565"/>
      <c r="AK75" s="565"/>
      <c r="AL75" s="565"/>
      <c r="AM75" s="565"/>
      <c r="AN75" s="565"/>
      <c r="AO75" s="1573"/>
      <c r="AP75" s="567">
        <f>L75</f>
        <v>0</v>
      </c>
      <c r="AQ75" s="564"/>
      <c r="AR75" s="568"/>
      <c r="AS75" s="114"/>
      <c r="AT75" s="114"/>
      <c r="AU75" s="1575"/>
      <c r="AV75" s="892" t="str">
        <f>IF($F75="Oui",IF(AH75="","",AH75*$K75),"")</f>
        <v/>
      </c>
      <c r="AW75" s="892"/>
      <c r="AX75" s="892"/>
      <c r="AY75" s="892" t="str">
        <f>IF($F75="Oui",IF(AP75="","",AP75*$K75),"")</f>
        <v/>
      </c>
      <c r="AZ75" s="892"/>
      <c r="BA75" s="892" t="str">
        <f>IF($F75="Oui",IF(AD75="","",AD75*$K75),"")</f>
        <v/>
      </c>
      <c r="BB75" s="892"/>
      <c r="BC75" s="892"/>
      <c r="BD75" s="893">
        <f>SUM(AV75,AX75,AZ75,BB75)</f>
        <v>0</v>
      </c>
      <c r="BE75" s="891"/>
      <c r="BF75" s="901"/>
      <c r="BG75" s="891"/>
      <c r="BH75" s="901" t="str">
        <f>IF($F75="Oui",IF(AD75="","",AD75*$K75),"")</f>
        <v/>
      </c>
      <c r="BJ75" s="1065">
        <f>IF($Z75&lt;&gt;"votre valeur :",IF(ISNA(VLOOKUP($Z75,Utilitaires!$N$566:$O$571,2,FALSE)),,VLOOKUP($Z75,Utilitaires!$N$566:$O$571,2,FALSE)),$AA75)</f>
        <v>0</v>
      </c>
      <c r="BK75" s="1130">
        <f>SQRT(SUMSQ(BJ75,VLOOKUP(B75&amp;"; "&amp;$I$72&amp;" "&amp;$I$73,'FE Intrants'!G:U,7,FALSE)))</f>
        <v>0.25</v>
      </c>
      <c r="BL75" s="1130">
        <f>IF(ISNA(VLOOKUP(B75&amp;"; "&amp;$I$72&amp;" "&amp;$J$73,'FE Intrants'!G:U,7,FALSE)),0,SQRT(SUMSQ(BJ75,VLOOKUP(B75&amp;"; "&amp;$I$72&amp;" "&amp;$J$73,'FE Intrants'!G:U,7,FALSE))))</f>
        <v>0</v>
      </c>
    </row>
    <row r="76" spans="2:64" ht="12.75" hidden="1" customHeight="1" outlineLevel="3">
      <c r="B76" s="143" t="s">
        <v>2176</v>
      </c>
      <c r="C76" s="144"/>
      <c r="D76" s="212">
        <f>L76</f>
        <v>0</v>
      </c>
      <c r="E76" s="212"/>
      <c r="F76" s="392"/>
      <c r="G76" s="120"/>
      <c r="H76" s="344"/>
      <c r="I76" s="219">
        <f>VLOOKUP($B76&amp;"; "&amp;$I$72&amp;" "&amp;I$73,'FE Intrants'!$G:$U,9,FALSE)</f>
        <v>2383</v>
      </c>
      <c r="J76" s="219">
        <f>IF(ISNA(VLOOKUP($B76&amp;"; "&amp;$I$72&amp;" "&amp;J$73,'FE Intrants'!$G:$U,9,FALSE)),I76,VLOOKUP($B76&amp;"; "&amp;$I$72&amp;" "&amp;J$73,'FE Intrants'!$G:$U,9,FALSE))</f>
        <v>202</v>
      </c>
      <c r="K76" s="120"/>
      <c r="L76" s="327">
        <f>IF(K76=0,0,(G76*((1-H76)*I76+H76*J76))/K76)</f>
        <v>0</v>
      </c>
      <c r="Y76" s="319">
        <f>IF(AD76=0,AD76,AD76/L76)</f>
        <v>0</v>
      </c>
      <c r="Z76" s="121"/>
      <c r="AA76" s="820"/>
      <c r="AB76" s="820"/>
      <c r="AC76" s="820"/>
      <c r="AD76" s="152">
        <f>IF(K76=0,0,(SQRT(SUMSQ(G76*(1-H76)*I76*BK76,G76*H76*J76*BL76)))/K76)</f>
        <v>0</v>
      </c>
      <c r="AG76" s="564"/>
      <c r="AH76" s="565">
        <f>D76</f>
        <v>0</v>
      </c>
      <c r="AI76" s="565"/>
      <c r="AJ76" s="565"/>
      <c r="AK76" s="565"/>
      <c r="AL76" s="565"/>
      <c r="AM76" s="565"/>
      <c r="AN76" s="565"/>
      <c r="AO76" s="1573"/>
      <c r="AP76" s="567">
        <f>L76</f>
        <v>0</v>
      </c>
      <c r="AQ76" s="564"/>
      <c r="AR76" s="568"/>
      <c r="AS76" s="114"/>
      <c r="AT76" s="114"/>
      <c r="AU76" s="1575"/>
      <c r="AV76" s="892" t="str">
        <f>IF($F76="Oui",IF(AH76="","",AH76*$K76),"")</f>
        <v/>
      </c>
      <c r="AW76" s="892"/>
      <c r="AX76" s="892"/>
      <c r="AY76" s="892" t="str">
        <f>IF($F76="Oui",IF(AP76="","",AP76*$K76),"")</f>
        <v/>
      </c>
      <c r="AZ76" s="892"/>
      <c r="BA76" s="892" t="str">
        <f>IF($F76="Oui",IF(AD76="","",AD76*$K76),"")</f>
        <v/>
      </c>
      <c r="BB76" s="892"/>
      <c r="BC76" s="892"/>
      <c r="BD76" s="893">
        <f>SUM(AV76,AX76,AZ76,BB76)</f>
        <v>0</v>
      </c>
      <c r="BE76" s="891" t="str">
        <f t="shared" ref="BE76:BF78" si="16">IF($F76="Oui",IF(AQ76="","",AQ76*$K76),"")</f>
        <v/>
      </c>
      <c r="BF76" s="901" t="str">
        <f t="shared" si="16"/>
        <v/>
      </c>
      <c r="BG76" s="891" t="str">
        <f>IF($F76="Oui",IF(#REF!="","",#REF!*$K76),"")</f>
        <v/>
      </c>
      <c r="BH76" s="901" t="str">
        <f>IF($F76="Oui",IF(AD76="","",AD76*$K76),"")</f>
        <v/>
      </c>
      <c r="BJ76" s="1065">
        <f>IF($Z76&lt;&gt;"votre valeur :",IF(ISNA(VLOOKUP($Z76,Utilitaires!$N$566:$O$571,2,FALSE)),,VLOOKUP($Z76,Utilitaires!$N$566:$O$571,2,FALSE)),$AA76)</f>
        <v>0</v>
      </c>
      <c r="BK76" s="1130">
        <f>SQRT(SUMSQ(BJ76,VLOOKUP(B76&amp;"; "&amp;$I$72&amp;" "&amp;$I$73,'FE Intrants'!G:U,7,FALSE)))</f>
        <v>0.2</v>
      </c>
      <c r="BL76" s="1130">
        <f>IF(ISNA(VLOOKUP(B76&amp;"; "&amp;$I$72&amp;" "&amp;$J$73,'FE Intrants'!G:U,7,FALSE)),0,SQRT(SUMSQ(BJ76,VLOOKUP(B76&amp;"; "&amp;$I$72&amp;" "&amp;$J$73,'FE Intrants'!G:U,7,FALSE))))</f>
        <v>0.2</v>
      </c>
    </row>
    <row r="77" spans="2:64" ht="12.75" hidden="1" customHeight="1" outlineLevel="3">
      <c r="B77" s="143" t="s">
        <v>2177</v>
      </c>
      <c r="C77" s="144"/>
      <c r="D77" s="212">
        <f>L77</f>
        <v>0</v>
      </c>
      <c r="E77" s="212"/>
      <c r="F77" s="393"/>
      <c r="G77" s="123"/>
      <c r="H77" s="345"/>
      <c r="I77" s="219">
        <f>VLOOKUP($B77&amp;"; "&amp;$I$72&amp;" "&amp;I$73,'FE Intrants'!$G:$U,9,FALSE)</f>
        <v>1870</v>
      </c>
      <c r="J77" s="219">
        <f>IF(ISNA(VLOOKUP($B77&amp;"; "&amp;$I$72&amp;" "&amp;J$73,'FE Intrants'!$G:$U,9,FALSE)),I77,VLOOKUP($B77&amp;"; "&amp;$I$72&amp;" "&amp;J$73,'FE Intrants'!$G:$U,9,FALSE))</f>
        <v>403</v>
      </c>
      <c r="K77" s="123"/>
      <c r="L77" s="327">
        <f>IF(K77=0,0,(G77*((1-H77)*I77+H77*J77))/K77)</f>
        <v>0</v>
      </c>
      <c r="Y77" s="319">
        <f>IF(AD77=0,AD77,AD77/L77)</f>
        <v>0</v>
      </c>
      <c r="Z77" s="124"/>
      <c r="AA77" s="820"/>
      <c r="AB77" s="820"/>
      <c r="AC77" s="820"/>
      <c r="AD77" s="152">
        <f>IF(K77=0,0,(SQRT(SUMSQ(G77*(1-H77)*I77*BK77,G77*H77*J77*BL77)))/K77)</f>
        <v>0</v>
      </c>
      <c r="AG77" s="564"/>
      <c r="AH77" s="565">
        <f>D77</f>
        <v>0</v>
      </c>
      <c r="AI77" s="565"/>
      <c r="AJ77" s="565"/>
      <c r="AK77" s="565"/>
      <c r="AL77" s="565"/>
      <c r="AM77" s="565"/>
      <c r="AN77" s="565"/>
      <c r="AO77" s="1573"/>
      <c r="AP77" s="567">
        <f>L77</f>
        <v>0</v>
      </c>
      <c r="AQ77" s="564"/>
      <c r="AR77" s="568"/>
      <c r="AS77" s="114"/>
      <c r="AT77" s="114"/>
      <c r="AU77" s="1575"/>
      <c r="AV77" s="892" t="str">
        <f>IF($F77="Oui",IF(AH77="","",AH77*$K77),"")</f>
        <v/>
      </c>
      <c r="AW77" s="892"/>
      <c r="AX77" s="892"/>
      <c r="AY77" s="892" t="str">
        <f>IF($F77="Oui",IF(AP77="","",AP77*$K77),"")</f>
        <v/>
      </c>
      <c r="AZ77" s="892"/>
      <c r="BA77" s="892" t="str">
        <f>IF($F77="Oui",IF(AD77="","",AD77*$K77),"")</f>
        <v/>
      </c>
      <c r="BB77" s="892"/>
      <c r="BC77" s="892"/>
      <c r="BD77" s="893">
        <f>SUM(AV77,AX77,AZ77,BB77)</f>
        <v>0</v>
      </c>
      <c r="BE77" s="891" t="str">
        <f t="shared" si="16"/>
        <v/>
      </c>
      <c r="BF77" s="901" t="str">
        <f t="shared" si="16"/>
        <v/>
      </c>
      <c r="BG77" s="891" t="str">
        <f>IF($F77="Oui",IF(#REF!="","",#REF!*$K77),"")</f>
        <v/>
      </c>
      <c r="BH77" s="901" t="str">
        <f>IF($F77="Oui",IF(AD77="","",AD77*$K77),"")</f>
        <v/>
      </c>
      <c r="BJ77" s="1065">
        <f>IF($Z77&lt;&gt;"votre valeur :",IF(ISNA(VLOOKUP($Z77,Utilitaires!$N$566:$O$571,2,FALSE)),,VLOOKUP($Z77,Utilitaires!$N$566:$O$571,2,FALSE)),$AA77)</f>
        <v>0</v>
      </c>
      <c r="BK77" s="1130">
        <f>SQRT(SUMSQ(BJ77,VLOOKUP(B77&amp;"; "&amp;$I$72&amp;" "&amp;$I$73,'FE Intrants'!G:U,7,FALSE)))</f>
        <v>0.2</v>
      </c>
      <c r="BL77" s="1130">
        <f>IF(ISNA(VLOOKUP(B77&amp;"; "&amp;$I$72&amp;" "&amp;$J$73,'FE Intrants'!G:U,7,FALSE)),0,SQRT(SUMSQ(BJ77,VLOOKUP(B77&amp;"; "&amp;$I$72&amp;" "&amp;$J$73,'FE Intrants'!G:U,7,FALSE))))</f>
        <v>0.2</v>
      </c>
    </row>
    <row r="78" spans="2:64" ht="12.75" hidden="1" customHeight="1" outlineLevel="3">
      <c r="B78" s="143"/>
      <c r="C78" s="144"/>
      <c r="D78" s="213"/>
      <c r="E78" s="213"/>
      <c r="F78" s="144"/>
      <c r="G78" s="144"/>
      <c r="H78" s="144"/>
      <c r="I78" s="144"/>
      <c r="J78" s="144"/>
      <c r="K78" s="155"/>
      <c r="L78" s="168"/>
      <c r="Y78" s="143"/>
      <c r="Z78" s="144"/>
      <c r="AA78" s="144"/>
      <c r="AB78" s="820"/>
      <c r="AC78" s="820"/>
      <c r="AD78" s="1568"/>
      <c r="AG78" s="564"/>
      <c r="AH78" s="565"/>
      <c r="AI78" s="620"/>
      <c r="AJ78" s="620"/>
      <c r="AK78" s="620"/>
      <c r="AL78" s="620"/>
      <c r="AM78" s="565"/>
      <c r="AN78" s="565"/>
      <c r="AO78" s="1573"/>
      <c r="AP78" s="567"/>
      <c r="AQ78" s="564"/>
      <c r="AR78" s="568"/>
      <c r="AS78" s="114"/>
      <c r="AT78" s="114"/>
      <c r="AU78" s="902"/>
      <c r="AV78" s="1581"/>
      <c r="AW78" s="1581"/>
      <c r="AX78" s="1581"/>
      <c r="AY78" s="1581" t="str">
        <f>IF($F78="Oui",IF(AP78="","",AP78*$K78),"")</f>
        <v/>
      </c>
      <c r="AZ78" s="1581"/>
      <c r="BA78" s="1581" t="str">
        <f>IF($F78="Oui",IF(AD78="","",AD78*$K78),"")</f>
        <v/>
      </c>
      <c r="BB78" s="1581"/>
      <c r="BC78" s="1581"/>
      <c r="BD78" s="1609"/>
      <c r="BE78" s="891" t="str">
        <f t="shared" si="16"/>
        <v/>
      </c>
      <c r="BF78" s="901" t="str">
        <f t="shared" si="16"/>
        <v/>
      </c>
      <c r="BG78" s="891" t="str">
        <f>IF($F78="Oui",IF(#REF!="","",#REF!*$K78),"")</f>
        <v/>
      </c>
      <c r="BH78" s="901"/>
      <c r="BJ78" s="1142"/>
      <c r="BK78" s="1143"/>
      <c r="BL78" s="1143"/>
    </row>
    <row r="79" spans="2:64" outlineLevel="2">
      <c r="B79" s="196" t="s">
        <v>348</v>
      </c>
      <c r="C79" s="197"/>
      <c r="D79" s="214">
        <f>SUM(D74:D78)</f>
        <v>0</v>
      </c>
      <c r="E79" s="214"/>
      <c r="F79" s="199"/>
      <c r="G79" s="199"/>
      <c r="H79" s="199"/>
      <c r="I79" s="199"/>
      <c r="J79" s="199"/>
      <c r="K79" s="199"/>
      <c r="L79" s="200">
        <f>SUM(L74:L78)</f>
        <v>0</v>
      </c>
      <c r="Y79" s="1204">
        <f>IF(AD79=0,AD79,AD79/L79)</f>
        <v>0</v>
      </c>
      <c r="Z79" s="199"/>
      <c r="AA79" s="199"/>
      <c r="AB79" s="821"/>
      <c r="AC79" s="821"/>
      <c r="AD79" s="200">
        <f>SQRT(SUMSQ(AD74:AD78))</f>
        <v>0</v>
      </c>
      <c r="AG79" s="571"/>
      <c r="AH79" s="572">
        <f>SUM(AH74:AH78)</f>
        <v>0</v>
      </c>
      <c r="AI79" s="572"/>
      <c r="AJ79" s="572"/>
      <c r="AK79" s="572"/>
      <c r="AL79" s="572"/>
      <c r="AM79" s="572"/>
      <c r="AN79" s="572"/>
      <c r="AO79" s="573"/>
      <c r="AP79" s="573">
        <f>SUM(AP74:AP78)</f>
        <v>0</v>
      </c>
      <c r="AQ79" s="1082"/>
      <c r="AR79" s="575">
        <f>SUM(AR74:AR78)</f>
        <v>0</v>
      </c>
      <c r="AS79" s="114"/>
      <c r="AT79" s="114"/>
      <c r="AU79" s="1579"/>
      <c r="AV79" s="895">
        <f>SUM(AV75:AV78)</f>
        <v>0</v>
      </c>
      <c r="AW79" s="895"/>
      <c r="AX79" s="895"/>
      <c r="AY79" s="895"/>
      <c r="AZ79" s="895"/>
      <c r="BA79" s="895"/>
      <c r="BB79" s="895"/>
      <c r="BC79" s="895"/>
      <c r="BD79" s="898"/>
      <c r="BE79" s="894"/>
      <c r="BF79" s="896"/>
      <c r="BG79" s="894"/>
      <c r="BH79" s="896">
        <f>SUM(BH70:BH78)</f>
        <v>0</v>
      </c>
    </row>
    <row r="80" spans="2:64" outlineLevel="2">
      <c r="L80" s="266"/>
      <c r="AK80" s="114"/>
      <c r="AU80" s="441"/>
      <c r="AV80" s="441"/>
      <c r="AW80" s="441"/>
      <c r="AX80" s="441"/>
      <c r="AY80" s="441"/>
      <c r="AZ80" s="441"/>
      <c r="BA80" s="441"/>
      <c r="BB80" s="441"/>
      <c r="BC80" s="441"/>
      <c r="BD80" s="441"/>
      <c r="BE80" s="441"/>
      <c r="BF80" s="441"/>
    </row>
    <row r="81" spans="2:63" ht="12.75" customHeight="1" outlineLevel="2" collapsed="1">
      <c r="B81" s="139" t="s">
        <v>283</v>
      </c>
      <c r="C81" s="140"/>
      <c r="D81" s="1513"/>
      <c r="E81" s="1648"/>
      <c r="F81" s="141"/>
      <c r="G81" s="141"/>
      <c r="H81" s="141"/>
      <c r="I81" s="141"/>
      <c r="J81" s="142"/>
      <c r="Y81" s="2636" t="s">
        <v>366</v>
      </c>
      <c r="Z81" s="2637"/>
      <c r="AA81" s="2637"/>
      <c r="AB81" s="2637"/>
      <c r="AC81" s="2637"/>
      <c r="AD81" s="2638"/>
      <c r="AG81" s="2639" t="s">
        <v>441</v>
      </c>
      <c r="AH81" s="2640"/>
      <c r="AI81" s="2640"/>
      <c r="AJ81" s="2640"/>
      <c r="AK81" s="2640"/>
      <c r="AL81" s="2640"/>
      <c r="AM81" s="2640"/>
      <c r="AN81" s="2640"/>
      <c r="AO81" s="2640"/>
      <c r="AP81" s="2640"/>
      <c r="AQ81" s="2640"/>
      <c r="AR81" s="2641"/>
      <c r="AS81" s="114"/>
      <c r="AT81" s="114"/>
      <c r="AU81" s="2860" t="s">
        <v>771</v>
      </c>
      <c r="AV81" s="2861"/>
      <c r="AW81" s="2861"/>
      <c r="AX81" s="2861"/>
      <c r="AY81" s="2861"/>
      <c r="AZ81" s="2861"/>
      <c r="BA81" s="2861"/>
      <c r="BB81" s="2861"/>
      <c r="BC81" s="2861"/>
      <c r="BD81" s="2861"/>
      <c r="BE81" s="2861"/>
      <c r="BF81" s="2861"/>
      <c r="BG81" s="2861"/>
      <c r="BH81" s="2862"/>
    </row>
    <row r="82" spans="2:63" ht="12.75" hidden="1" customHeight="1" outlineLevel="3">
      <c r="B82" s="332"/>
      <c r="C82" s="167"/>
      <c r="D82" s="1517" t="s">
        <v>308</v>
      </c>
      <c r="E82" s="1663"/>
      <c r="F82" s="155"/>
      <c r="G82" s="144"/>
      <c r="H82" s="144"/>
      <c r="I82" s="144"/>
      <c r="J82" s="145"/>
      <c r="Y82" s="1553"/>
      <c r="Z82" s="819"/>
      <c r="AA82" s="827"/>
      <c r="AB82" s="820"/>
      <c r="AC82" s="820"/>
      <c r="AD82" s="145"/>
      <c r="AG82" s="2642" t="s">
        <v>444</v>
      </c>
      <c r="AH82" s="2643"/>
      <c r="AI82" s="2643"/>
      <c r="AJ82" s="2643"/>
      <c r="AK82" s="2643"/>
      <c r="AL82" s="2643"/>
      <c r="AM82" s="2643"/>
      <c r="AN82" s="2643"/>
      <c r="AO82" s="2643" t="s">
        <v>444</v>
      </c>
      <c r="AP82" s="2644"/>
      <c r="AQ82" s="564"/>
      <c r="AR82" s="568"/>
      <c r="AS82" s="114"/>
      <c r="AT82" s="114"/>
      <c r="AU82" s="2863" t="s">
        <v>444</v>
      </c>
      <c r="AV82" s="2864"/>
      <c r="AW82" s="2864"/>
      <c r="AX82" s="2864"/>
      <c r="AY82" s="2864"/>
      <c r="AZ82" s="2864"/>
      <c r="BA82" s="2864"/>
      <c r="BB82" s="2864"/>
      <c r="BC82" s="2864" t="s">
        <v>444</v>
      </c>
      <c r="BD82" s="2865"/>
      <c r="BE82" s="1608"/>
      <c r="BF82" s="899"/>
      <c r="BG82" s="2863" t="s">
        <v>366</v>
      </c>
      <c r="BH82" s="2865"/>
      <c r="BJ82" s="1562" t="s">
        <v>1648</v>
      </c>
      <c r="BK82" s="1563"/>
    </row>
    <row r="83" spans="2:63" ht="12.75" hidden="1" customHeight="1" outlineLevel="3">
      <c r="B83" s="1504"/>
      <c r="C83" s="1505"/>
      <c r="D83" s="1505" t="s">
        <v>409</v>
      </c>
      <c r="E83" s="1656"/>
      <c r="F83" s="147" t="s">
        <v>772</v>
      </c>
      <c r="G83" s="147" t="s">
        <v>1849</v>
      </c>
      <c r="H83" s="1505" t="s">
        <v>1572</v>
      </c>
      <c r="I83" s="147" t="s">
        <v>335</v>
      </c>
      <c r="J83" s="1520" t="s">
        <v>444</v>
      </c>
      <c r="Y83" s="1553" t="s">
        <v>316</v>
      </c>
      <c r="Z83" s="1959" t="s">
        <v>316</v>
      </c>
      <c r="AA83" s="1559"/>
      <c r="AB83" s="820"/>
      <c r="AC83" s="820"/>
      <c r="AD83" s="1568" t="s">
        <v>444</v>
      </c>
      <c r="AG83" s="2631" t="s">
        <v>211</v>
      </c>
      <c r="AH83" s="2632"/>
      <c r="AI83" s="2632" t="s">
        <v>442</v>
      </c>
      <c r="AJ83" s="2632"/>
      <c r="AK83" s="2632" t="s">
        <v>267</v>
      </c>
      <c r="AL83" s="2632"/>
      <c r="AM83" s="2632" t="s">
        <v>443</v>
      </c>
      <c r="AN83" s="2632"/>
      <c r="AO83" s="2658" t="s">
        <v>327</v>
      </c>
      <c r="AP83" s="2659"/>
      <c r="AQ83" s="564"/>
      <c r="AR83" s="568"/>
      <c r="AS83" s="114"/>
      <c r="AT83" s="114"/>
      <c r="AU83" s="2866" t="s">
        <v>211</v>
      </c>
      <c r="AV83" s="2867"/>
      <c r="AW83" s="2867" t="s">
        <v>442</v>
      </c>
      <c r="AX83" s="2867"/>
      <c r="AY83" s="2867" t="s">
        <v>267</v>
      </c>
      <c r="AZ83" s="2867"/>
      <c r="BA83" s="2867" t="s">
        <v>443</v>
      </c>
      <c r="BB83" s="2867"/>
      <c r="BC83" s="2868" t="s">
        <v>327</v>
      </c>
      <c r="BD83" s="2869"/>
      <c r="BE83" s="2866" t="s">
        <v>636</v>
      </c>
      <c r="BF83" s="2870"/>
      <c r="BG83" s="2866" t="s">
        <v>444</v>
      </c>
      <c r="BH83" s="2870"/>
      <c r="BJ83" s="1550" t="s">
        <v>2167</v>
      </c>
      <c r="BK83" s="1567" t="s">
        <v>2187</v>
      </c>
    </row>
    <row r="84" spans="2:63" ht="12.75" hidden="1" customHeight="1" outlineLevel="3">
      <c r="B84" s="1504"/>
      <c r="C84" s="1505"/>
      <c r="D84" s="1505" t="s">
        <v>444</v>
      </c>
      <c r="E84" s="1656"/>
      <c r="F84" s="1561" t="str">
        <f>Descriptif!$D$4&amp;" ?"</f>
        <v>2022 ?</v>
      </c>
      <c r="G84" s="1515" t="s">
        <v>2181</v>
      </c>
      <c r="H84" s="1505"/>
      <c r="I84" s="1561" t="s">
        <v>336</v>
      </c>
      <c r="J84" s="1520"/>
      <c r="Y84" s="1553" t="s">
        <v>1649</v>
      </c>
      <c r="Z84" s="1958" t="s">
        <v>1650</v>
      </c>
      <c r="AA84" s="1557"/>
      <c r="AB84" s="820"/>
      <c r="AC84" s="820"/>
      <c r="AD84" s="1568"/>
      <c r="AG84" s="1572"/>
      <c r="AH84" s="1573"/>
      <c r="AI84" s="1573"/>
      <c r="AJ84" s="1573"/>
      <c r="AK84" s="1573"/>
      <c r="AL84" s="1573"/>
      <c r="AM84" s="1573"/>
      <c r="AN84" s="1573"/>
      <c r="AO84" s="565"/>
      <c r="AP84" s="565"/>
      <c r="AQ84" s="564"/>
      <c r="AR84" s="568" t="s">
        <v>636</v>
      </c>
      <c r="AS84" s="114"/>
      <c r="AT84" s="114"/>
      <c r="AU84" s="1575"/>
      <c r="AV84" s="1576"/>
      <c r="AW84" s="1576"/>
      <c r="AX84" s="1576"/>
      <c r="AY84" s="1576"/>
      <c r="AZ84" s="1576"/>
      <c r="BA84" s="1576"/>
      <c r="BB84" s="1576"/>
      <c r="BC84" s="1576"/>
      <c r="BD84" s="893"/>
      <c r="BE84" s="891" t="str">
        <f>IF($G84="Oui",IF(AQ84="","",AQ84*$I84),"")</f>
        <v/>
      </c>
      <c r="BF84" s="901" t="str">
        <f>IF($G84="Oui",IF(AR84="","",AR84*$I84),"")</f>
        <v/>
      </c>
      <c r="BG84" s="891" t="str">
        <f>IF($G84="Oui",IF(#REF!="","",#REF!*$I84),"")</f>
        <v/>
      </c>
      <c r="BH84" s="901"/>
      <c r="BJ84" s="1065"/>
      <c r="BK84" s="1130"/>
    </row>
    <row r="85" spans="2:63" ht="12.75" hidden="1" customHeight="1" outlineLevel="3">
      <c r="B85" s="143" t="s">
        <v>2178</v>
      </c>
      <c r="C85" s="144"/>
      <c r="D85" s="212">
        <f>J85</f>
        <v>0</v>
      </c>
      <c r="E85" s="212"/>
      <c r="F85" s="391"/>
      <c r="G85" s="117"/>
      <c r="H85" s="335">
        <f>VLOOKUP($B85&amp;"; "&amp;$H$83,'FE Intrants'!$G:$U,9,FALSE)</f>
        <v>2.13</v>
      </c>
      <c r="I85" s="117"/>
      <c r="J85" s="152">
        <f>IF(I85=0,0,G85*H85/I85)</f>
        <v>0</v>
      </c>
      <c r="Y85" s="319">
        <f>IF(AD85=0,AD85,AD85/J85)</f>
        <v>0</v>
      </c>
      <c r="Z85" s="118"/>
      <c r="AA85" s="820"/>
      <c r="AB85" s="820"/>
      <c r="AC85" s="820"/>
      <c r="AD85" s="152">
        <f>D85*BK85</f>
        <v>0</v>
      </c>
      <c r="AG85" s="564"/>
      <c r="AH85" s="565">
        <f>D85</f>
        <v>0</v>
      </c>
      <c r="AI85" s="565"/>
      <c r="AJ85" s="565"/>
      <c r="AK85" s="565"/>
      <c r="AL85" s="565"/>
      <c r="AM85" s="565"/>
      <c r="AN85" s="565"/>
      <c r="AO85" s="1573"/>
      <c r="AP85" s="1607">
        <f>SUM(AH85:AN85)</f>
        <v>0</v>
      </c>
      <c r="AQ85" s="564"/>
      <c r="AR85" s="568"/>
      <c r="AS85" s="114"/>
      <c r="AT85" s="114"/>
      <c r="AU85" s="1575"/>
      <c r="AV85" s="892" t="str">
        <f>IF($G85="Oui",IF(AH85="","",AH85*$I85),"")</f>
        <v/>
      </c>
      <c r="AW85" s="892"/>
      <c r="AX85" s="892"/>
      <c r="AY85" s="892"/>
      <c r="AZ85" s="892"/>
      <c r="BA85" s="892"/>
      <c r="BB85" s="892"/>
      <c r="BC85" s="892"/>
      <c r="BD85" s="893">
        <f>SUM(AV85,AX85,AZ85,BB85)</f>
        <v>0</v>
      </c>
      <c r="BE85" s="891" t="str">
        <f>IF($G85="Oui",IF(AQ85="","",AQ85*$I85),"")</f>
        <v/>
      </c>
      <c r="BF85" s="901" t="str">
        <f>IF($G85="Oui",IF(AR85="","",AR85*$I85),"")</f>
        <v/>
      </c>
      <c r="BG85" s="891" t="str">
        <f>IF($G85="Oui",IF(#REF!="","",#REF!*$I85),"")</f>
        <v/>
      </c>
      <c r="BH85" s="901" t="str">
        <f>IF($G85="Oui",IF(#REF!="","",#REF!*$I85),"")</f>
        <v/>
      </c>
      <c r="BJ85" s="1065">
        <f>IF($Z85&lt;&gt;"votre valeur :",IF(ISNA(VLOOKUP($Z85,Utilitaires!$N$566:$O$571,2,FALSE)),,VLOOKUP($Z85,Utilitaires!$N$566:$O$571,2,FALSE)),$AA85)</f>
        <v>0</v>
      </c>
      <c r="BK85" s="1130">
        <f>SQRT(SUMSQ(BJ85,VLOOKUP(B85&amp;"; "&amp;$H$83,'FE Intrants'!G:U,7,FALSE)))</f>
        <v>0.2</v>
      </c>
    </row>
    <row r="86" spans="2:63" ht="12.75" hidden="1" customHeight="1" outlineLevel="3">
      <c r="B86" s="143" t="s">
        <v>2179</v>
      </c>
      <c r="C86" s="144"/>
      <c r="D86" s="212">
        <f>J86</f>
        <v>0</v>
      </c>
      <c r="E86" s="212"/>
      <c r="F86" s="392"/>
      <c r="G86" s="120"/>
      <c r="H86" s="335">
        <f>VLOOKUP($B86&amp;"; "&amp;$H$83,'FE Intrants'!$G:$U,9,FALSE)</f>
        <v>2.13</v>
      </c>
      <c r="I86" s="120"/>
      <c r="J86" s="152">
        <f>IF(I86=0,0,G86*H86/I86)</f>
        <v>0</v>
      </c>
      <c r="Y86" s="319">
        <f>IF(AD86=0,AD86,AD86/J86)</f>
        <v>0</v>
      </c>
      <c r="Z86" s="121"/>
      <c r="AA86" s="820"/>
      <c r="AB86" s="820"/>
      <c r="AC86" s="820"/>
      <c r="AD86" s="152">
        <f>D86*BK86</f>
        <v>0</v>
      </c>
      <c r="AG86" s="564"/>
      <c r="AH86" s="565">
        <f>D86</f>
        <v>0</v>
      </c>
      <c r="AI86" s="565"/>
      <c r="AJ86" s="565"/>
      <c r="AK86" s="565"/>
      <c r="AL86" s="565"/>
      <c r="AM86" s="565"/>
      <c r="AN86" s="565"/>
      <c r="AO86" s="1573"/>
      <c r="AP86" s="1607">
        <f>SUM(AH86:AN86)</f>
        <v>0</v>
      </c>
      <c r="AQ86" s="564"/>
      <c r="AR86" s="568"/>
      <c r="AS86" s="114"/>
      <c r="AT86" s="114"/>
      <c r="AU86" s="1575"/>
      <c r="AV86" s="892" t="str">
        <f>IF($G86="Oui",IF(AH86="","",AH86*$I86),"")</f>
        <v/>
      </c>
      <c r="AW86" s="892"/>
      <c r="AX86" s="892"/>
      <c r="AY86" s="892" t="str">
        <f>IF($G86="Oui",IF(AP86="","",AP86*$I86),"")</f>
        <v/>
      </c>
      <c r="AZ86" s="892"/>
      <c r="BA86" s="892" t="str">
        <f>IF($G86="Oui",IF(#REF!="","",#REF!*$I86),"")</f>
        <v/>
      </c>
      <c r="BB86" s="892"/>
      <c r="BC86" s="892"/>
      <c r="BD86" s="893">
        <f>SUM(AV86,AX86,AZ86,BB86)</f>
        <v>0</v>
      </c>
      <c r="BE86" s="891"/>
      <c r="BF86" s="901"/>
      <c r="BG86" s="891"/>
      <c r="BH86" s="901" t="str">
        <f>IF($G86="Oui",IF(#REF!="","",#REF!*$I86),"")</f>
        <v/>
      </c>
      <c r="BJ86" s="1065">
        <f>IF($Z86&lt;&gt;"votre valeur :",IF(ISNA(VLOOKUP($Z86,Utilitaires!$N$566:$O$571,2,FALSE)),,VLOOKUP($Z86,Utilitaires!$N$566:$O$571,2,FALSE)),$AA86)</f>
        <v>0</v>
      </c>
      <c r="BK86" s="1130">
        <f>SQRT(SUMSQ(BJ86,VLOOKUP(B86&amp;"; "&amp;$H$83,'FE Intrants'!G:U,7,FALSE)))</f>
        <v>0.2</v>
      </c>
    </row>
    <row r="87" spans="2:63" ht="12.75" hidden="1" customHeight="1" outlineLevel="3">
      <c r="B87" s="143" t="s">
        <v>2180</v>
      </c>
      <c r="C87" s="144"/>
      <c r="D87" s="212">
        <f>J87</f>
        <v>0</v>
      </c>
      <c r="E87" s="212"/>
      <c r="F87" s="392"/>
      <c r="G87" s="120"/>
      <c r="H87" s="335">
        <f>VLOOKUP($B87&amp;"; "&amp;$H$83,'FE Intrants'!$G:$U,9,FALSE)</f>
        <v>3.67</v>
      </c>
      <c r="I87" s="120"/>
      <c r="J87" s="152">
        <f>IF(I87=0,0,G87*H87/I87)</f>
        <v>0</v>
      </c>
      <c r="Y87" s="319">
        <f>IF(AD87=0,AD87,AD87/J87)</f>
        <v>0</v>
      </c>
      <c r="Z87" s="121"/>
      <c r="AA87" s="820"/>
      <c r="AB87" s="820"/>
      <c r="AC87" s="820"/>
      <c r="AD87" s="152">
        <f>D87*BK87</f>
        <v>0</v>
      </c>
      <c r="AG87" s="564"/>
      <c r="AH87" s="565">
        <f>D87</f>
        <v>0</v>
      </c>
      <c r="AI87" s="565"/>
      <c r="AJ87" s="565"/>
      <c r="AK87" s="565"/>
      <c r="AL87" s="565"/>
      <c r="AM87" s="565"/>
      <c r="AN87" s="565"/>
      <c r="AO87" s="1573"/>
      <c r="AP87" s="1607">
        <f>SUM(AH87:AN87)</f>
        <v>0</v>
      </c>
      <c r="AQ87" s="564"/>
      <c r="AR87" s="568"/>
      <c r="AS87" s="114"/>
      <c r="AT87" s="114"/>
      <c r="AU87" s="1575"/>
      <c r="AV87" s="892" t="str">
        <f>IF($G87="Oui",IF(AH87="","",AH87*$I87),"")</f>
        <v/>
      </c>
      <c r="AW87" s="892"/>
      <c r="AX87" s="892"/>
      <c r="AY87" s="892" t="str">
        <f>IF($G87="Oui",IF(AP87="","",AP87*$I87),"")</f>
        <v/>
      </c>
      <c r="AZ87" s="892"/>
      <c r="BA87" s="892" t="str">
        <f>IF($G87="Oui",IF(#REF!="","",#REF!*$I87),"")</f>
        <v/>
      </c>
      <c r="BB87" s="892"/>
      <c r="BC87" s="892"/>
      <c r="BD87" s="893">
        <f>SUM(AV87,AX87,AZ87,BB87)</f>
        <v>0</v>
      </c>
      <c r="BE87" s="891" t="str">
        <f t="shared" ref="BE87:BF89" si="17">IF($G87="Oui",IF(AQ87="","",AQ87*$I87),"")</f>
        <v/>
      </c>
      <c r="BF87" s="901" t="str">
        <f t="shared" si="17"/>
        <v/>
      </c>
      <c r="BG87" s="891" t="str">
        <f>IF($G87="Oui",IF(#REF!="","",#REF!*$I87),"")</f>
        <v/>
      </c>
      <c r="BH87" s="901" t="str">
        <f>IF($G87="Oui",IF(#REF!="","",#REF!*$I87),"")</f>
        <v/>
      </c>
      <c r="BJ87" s="1065">
        <f>IF($Z87&lt;&gt;"votre valeur :",IF(ISNA(VLOOKUP($Z87,Utilitaires!$N$566:$O$571,2,FALSE)),,VLOOKUP($Z87,Utilitaires!$N$566:$O$571,2,FALSE)),$AA87)</f>
        <v>0</v>
      </c>
      <c r="BK87" s="1130">
        <f>SQRT(SUMSQ(BJ87,VLOOKUP(B87&amp;"; "&amp;$H$83,'FE Intrants'!G:U,7,FALSE)))</f>
        <v>0.2</v>
      </c>
    </row>
    <row r="88" spans="2:63" ht="12.75" hidden="1" customHeight="1" outlineLevel="3">
      <c r="B88" s="143" t="s">
        <v>3096</v>
      </c>
      <c r="C88" s="144"/>
      <c r="D88" s="212">
        <f>J88</f>
        <v>0</v>
      </c>
      <c r="E88" s="212"/>
      <c r="F88" s="393"/>
      <c r="G88" s="123"/>
      <c r="H88" s="335">
        <f>VLOOKUP($B88&amp;"; "&amp;$H$83,'FE Intrants'!$G:$U,9,FALSE)</f>
        <v>0.92300000000000004</v>
      </c>
      <c r="I88" s="123"/>
      <c r="J88" s="152">
        <f>IF(I88=0,0,G88*H88/I88)</f>
        <v>0</v>
      </c>
      <c r="Y88" s="319">
        <f>IF(AD88=0,AD88,AD88/J88)</f>
        <v>0</v>
      </c>
      <c r="Z88" s="124"/>
      <c r="AA88" s="820"/>
      <c r="AB88" s="820"/>
      <c r="AC88" s="820"/>
      <c r="AD88" s="152">
        <f>D88*BK88</f>
        <v>0</v>
      </c>
      <c r="AG88" s="564"/>
      <c r="AH88" s="565">
        <f>D88</f>
        <v>0</v>
      </c>
      <c r="AI88" s="565"/>
      <c r="AJ88" s="565"/>
      <c r="AK88" s="565"/>
      <c r="AL88" s="565"/>
      <c r="AM88" s="565"/>
      <c r="AN88" s="565"/>
      <c r="AO88" s="1573"/>
      <c r="AP88" s="1607">
        <f>SUM(AH88:AN88)</f>
        <v>0</v>
      </c>
      <c r="AQ88" s="564"/>
      <c r="AR88" s="568"/>
      <c r="AS88" s="114"/>
      <c r="AT88" s="114"/>
      <c r="AU88" s="1575"/>
      <c r="AV88" s="892" t="str">
        <f>IF($G88="Oui",IF(AH88="","",AH88*$I88),"")</f>
        <v/>
      </c>
      <c r="AW88" s="892"/>
      <c r="AX88" s="892"/>
      <c r="AY88" s="892" t="str">
        <f>IF($G88="Oui",IF(AP88="","",AP88*$I88),"")</f>
        <v/>
      </c>
      <c r="AZ88" s="892"/>
      <c r="BA88" s="892" t="str">
        <f>IF($G88="Oui",IF(#REF!="","",#REF!*$I88),"")</f>
        <v/>
      </c>
      <c r="BB88" s="892"/>
      <c r="BC88" s="892"/>
      <c r="BD88" s="893">
        <f>SUM(AV88,AX88,AZ88,BB88)</f>
        <v>0</v>
      </c>
      <c r="BE88" s="891" t="str">
        <f t="shared" si="17"/>
        <v/>
      </c>
      <c r="BF88" s="901" t="str">
        <f t="shared" si="17"/>
        <v/>
      </c>
      <c r="BG88" s="891" t="str">
        <f>IF($G88="Oui",IF(#REF!="","",#REF!*$I88),"")</f>
        <v/>
      </c>
      <c r="BH88" s="901" t="str">
        <f>IF($G88="Oui",IF(#REF!="","",#REF!*$I88),"")</f>
        <v/>
      </c>
      <c r="BJ88" s="1065">
        <f>IF($Z88&lt;&gt;"votre valeur :",IF(ISNA(VLOOKUP($Z88,Utilitaires!$N$566:$O$571,2,FALSE)),,VLOOKUP($Z88,Utilitaires!$N$566:$O$571,2,FALSE)),$AA88)</f>
        <v>0</v>
      </c>
      <c r="BK88" s="1130">
        <f>SQRT(SUMSQ(BJ88,VLOOKUP(B88&amp;"; "&amp;$H$83,'FE Intrants'!G:U,7,FALSE)))</f>
        <v>0.5</v>
      </c>
    </row>
    <row r="89" spans="2:63" ht="12.75" hidden="1" customHeight="1" outlineLevel="3">
      <c r="B89" s="143"/>
      <c r="C89" s="144"/>
      <c r="D89" s="213"/>
      <c r="E89" s="213"/>
      <c r="F89" s="144"/>
      <c r="G89" s="144"/>
      <c r="H89" s="144"/>
      <c r="I89" s="155"/>
      <c r="J89" s="145"/>
      <c r="Y89" s="143"/>
      <c r="Z89" s="144"/>
      <c r="AA89" s="144"/>
      <c r="AB89" s="820"/>
      <c r="AC89" s="820"/>
      <c r="AD89" s="168"/>
      <c r="AG89" s="564"/>
      <c r="AH89" s="565"/>
      <c r="AI89" s="620"/>
      <c r="AJ89" s="620"/>
      <c r="AK89" s="620"/>
      <c r="AL89" s="620"/>
      <c r="AM89" s="565"/>
      <c r="AN89" s="565"/>
      <c r="AO89" s="1573"/>
      <c r="AP89" s="567"/>
      <c r="AQ89" s="564"/>
      <c r="AR89" s="568"/>
      <c r="AS89" s="114"/>
      <c r="AT89" s="114"/>
      <c r="AU89" s="902"/>
      <c r="AV89" s="1581"/>
      <c r="AW89" s="1581"/>
      <c r="AX89" s="1581"/>
      <c r="AY89" s="1581" t="str">
        <f>IF($G89="Oui",IF(AP89="","",AP89*$I89),"")</f>
        <v/>
      </c>
      <c r="AZ89" s="1581"/>
      <c r="BA89" s="1581" t="str">
        <f>IF($G89="Oui",IF(#REF!="","",#REF!*$I89),"")</f>
        <v/>
      </c>
      <c r="BB89" s="1581"/>
      <c r="BC89" s="1581"/>
      <c r="BD89" s="1609"/>
      <c r="BE89" s="891" t="str">
        <f t="shared" si="17"/>
        <v/>
      </c>
      <c r="BF89" s="901" t="str">
        <f t="shared" si="17"/>
        <v/>
      </c>
      <c r="BG89" s="891" t="str">
        <f>IF($G89="Oui",IF(#REF!="","",#REF!*$I89),"")</f>
        <v/>
      </c>
      <c r="BH89" s="901"/>
      <c r="BJ89" s="1142"/>
      <c r="BK89" s="1143"/>
    </row>
    <row r="90" spans="2:63" outlineLevel="2">
      <c r="B90" s="196" t="s">
        <v>348</v>
      </c>
      <c r="C90" s="197"/>
      <c r="D90" s="214">
        <f>SUM(D85:D89)</f>
        <v>0</v>
      </c>
      <c r="E90" s="214"/>
      <c r="F90" s="199"/>
      <c r="G90" s="199"/>
      <c r="H90" s="199"/>
      <c r="I90" s="199"/>
      <c r="J90" s="200">
        <f>SUM(J85:J89)</f>
        <v>0</v>
      </c>
      <c r="Y90" s="1204">
        <f>IF(AD90=0,AD90,AD90/J90)</f>
        <v>0</v>
      </c>
      <c r="Z90" s="199"/>
      <c r="AA90" s="199"/>
      <c r="AB90" s="821"/>
      <c r="AC90" s="821"/>
      <c r="AD90" s="200">
        <f>SQRT(SUMSQ(AD85:AD89))</f>
        <v>0</v>
      </c>
      <c r="AG90" s="571"/>
      <c r="AH90" s="572">
        <f>SUM(AH85:AH89)</f>
        <v>0</v>
      </c>
      <c r="AI90" s="572"/>
      <c r="AJ90" s="572"/>
      <c r="AK90" s="572"/>
      <c r="AL90" s="572"/>
      <c r="AM90" s="572"/>
      <c r="AN90" s="572"/>
      <c r="AO90" s="573"/>
      <c r="AP90" s="573">
        <f>SUM(AP85:AP89)</f>
        <v>0</v>
      </c>
      <c r="AQ90" s="1082"/>
      <c r="AR90" s="575">
        <f>SUM(AR85:AR89)</f>
        <v>0</v>
      </c>
      <c r="AS90" s="114"/>
      <c r="AT90" s="114"/>
      <c r="AU90" s="1579"/>
      <c r="AV90" s="895">
        <f>SUM(AV86:AV89)</f>
        <v>0</v>
      </c>
      <c r="AW90" s="895"/>
      <c r="AX90" s="895"/>
      <c r="AY90" s="895"/>
      <c r="AZ90" s="895"/>
      <c r="BA90" s="895"/>
      <c r="BB90" s="895"/>
      <c r="BC90" s="895"/>
      <c r="BD90" s="898"/>
      <c r="BE90" s="894"/>
      <c r="BF90" s="896"/>
      <c r="BG90" s="894"/>
      <c r="BH90" s="896">
        <f>SUM(BH81:BH89)</f>
        <v>0</v>
      </c>
    </row>
    <row r="91" spans="2:63">
      <c r="AL91" s="588"/>
      <c r="AM91" s="588"/>
      <c r="AN91" s="588"/>
      <c r="AO91" s="588"/>
      <c r="AP91" s="588"/>
      <c r="AT91" s="588"/>
      <c r="AU91" s="588"/>
      <c r="AV91" s="588"/>
      <c r="AW91" s="588"/>
      <c r="AX91" s="588"/>
      <c r="AY91" s="588"/>
      <c r="AZ91" s="441"/>
      <c r="BA91" s="441"/>
      <c r="BB91" s="441"/>
      <c r="BC91" s="441"/>
      <c r="BD91" s="441"/>
      <c r="BE91" s="588"/>
      <c r="BF91" s="441"/>
    </row>
    <row r="92" spans="2:63" ht="15.6">
      <c r="B92" s="2652" t="s">
        <v>2515</v>
      </c>
      <c r="C92" s="2653"/>
      <c r="D92" s="2653"/>
      <c r="E92" s="2653"/>
      <c r="F92" s="2653"/>
      <c r="G92" s="2653"/>
      <c r="H92" s="2653"/>
      <c r="I92" s="2653"/>
      <c r="J92" s="2653"/>
      <c r="K92" s="2653"/>
      <c r="L92" s="2653"/>
      <c r="M92" s="2653"/>
      <c r="N92" s="2653"/>
      <c r="O92" s="2654"/>
      <c r="AS92" s="588"/>
      <c r="AT92" s="588"/>
      <c r="AU92" s="441"/>
      <c r="AV92" s="441"/>
      <c r="AW92" s="441"/>
      <c r="AX92" s="441"/>
      <c r="AY92" s="441"/>
      <c r="AZ92" s="441"/>
      <c r="BA92" s="441"/>
      <c r="BB92" s="441"/>
      <c r="BC92" s="441"/>
      <c r="BD92" s="441"/>
      <c r="BE92" s="588"/>
      <c r="BF92" s="588"/>
    </row>
    <row r="93" spans="2:63" outlineLevel="1">
      <c r="B93" s="268"/>
      <c r="C93" s="268"/>
      <c r="AK93" s="114"/>
      <c r="AU93" s="441"/>
      <c r="AV93" s="441"/>
      <c r="AW93" s="441"/>
      <c r="AX93" s="441"/>
      <c r="AY93" s="441"/>
      <c r="AZ93" s="441"/>
      <c r="BA93" s="441"/>
      <c r="BB93" s="441"/>
      <c r="BC93" s="441"/>
      <c r="BD93" s="441"/>
      <c r="BE93" s="441"/>
      <c r="BF93" s="441"/>
    </row>
    <row r="94" spans="2:63" ht="12.75" customHeight="1" outlineLevel="1">
      <c r="B94" s="1091" t="s">
        <v>2497</v>
      </c>
      <c r="C94" s="140"/>
      <c r="D94" s="1864"/>
      <c r="E94" s="1864"/>
      <c r="F94" s="141"/>
      <c r="G94" s="141"/>
      <c r="H94" s="141"/>
      <c r="I94" s="141"/>
      <c r="J94" s="141"/>
      <c r="K94" s="142"/>
      <c r="Y94" s="2636" t="s">
        <v>366</v>
      </c>
      <c r="Z94" s="2637"/>
      <c r="AA94" s="2637"/>
      <c r="AB94" s="2637"/>
      <c r="AC94" s="2637"/>
      <c r="AD94" s="2638"/>
      <c r="AG94" s="2639" t="s">
        <v>441</v>
      </c>
      <c r="AH94" s="2640"/>
      <c r="AI94" s="2640"/>
      <c r="AJ94" s="2640"/>
      <c r="AK94" s="2640"/>
      <c r="AL94" s="2640"/>
      <c r="AM94" s="2640"/>
      <c r="AN94" s="2640"/>
      <c r="AO94" s="2640"/>
      <c r="AP94" s="2640"/>
      <c r="AQ94" s="2640"/>
      <c r="AR94" s="2641"/>
      <c r="AU94" s="2860" t="s">
        <v>771</v>
      </c>
      <c r="AV94" s="2861"/>
      <c r="AW94" s="2861"/>
      <c r="AX94" s="2861"/>
      <c r="AY94" s="2861"/>
      <c r="AZ94" s="2861"/>
      <c r="BA94" s="2861"/>
      <c r="BB94" s="2861"/>
      <c r="BC94" s="2861"/>
      <c r="BD94" s="2861"/>
      <c r="BE94" s="2861"/>
      <c r="BF94" s="2861"/>
      <c r="BG94" s="2861"/>
      <c r="BH94" s="2862"/>
    </row>
    <row r="95" spans="2:63" ht="12.75" customHeight="1" outlineLevel="2">
      <c r="B95" s="332"/>
      <c r="C95" s="167"/>
      <c r="D95" s="1867" t="s">
        <v>308</v>
      </c>
      <c r="E95" s="1867"/>
      <c r="F95" s="167"/>
      <c r="G95" s="167"/>
      <c r="H95" s="167"/>
      <c r="I95" s="144"/>
      <c r="J95" s="144"/>
      <c r="K95" s="145"/>
      <c r="Y95" s="1595"/>
      <c r="Z95" s="819"/>
      <c r="AA95" s="827"/>
      <c r="AB95" s="820"/>
      <c r="AC95" s="820"/>
      <c r="AD95" s="145"/>
      <c r="AG95" s="2642" t="s">
        <v>444</v>
      </c>
      <c r="AH95" s="2643"/>
      <c r="AI95" s="2643"/>
      <c r="AJ95" s="2643"/>
      <c r="AK95" s="2643"/>
      <c r="AL95" s="2643"/>
      <c r="AM95" s="2643"/>
      <c r="AN95" s="2643"/>
      <c r="AO95" s="2643" t="s">
        <v>444</v>
      </c>
      <c r="AP95" s="2644"/>
      <c r="AQ95" s="564"/>
      <c r="AR95" s="568"/>
      <c r="AU95" s="2863" t="s">
        <v>444</v>
      </c>
      <c r="AV95" s="2864"/>
      <c r="AW95" s="2864"/>
      <c r="AX95" s="2864"/>
      <c r="AY95" s="2864"/>
      <c r="AZ95" s="2864"/>
      <c r="BA95" s="2864"/>
      <c r="BB95" s="2864"/>
      <c r="BC95" s="2864" t="s">
        <v>444</v>
      </c>
      <c r="BD95" s="2865"/>
      <c r="BE95" s="1608"/>
      <c r="BF95" s="899"/>
      <c r="BG95" s="2863" t="s">
        <v>366</v>
      </c>
      <c r="BH95" s="2865"/>
      <c r="BJ95" s="1600" t="s">
        <v>1648</v>
      </c>
      <c r="BK95" s="1601"/>
    </row>
    <row r="96" spans="2:63" ht="12.75" customHeight="1" outlineLevel="2">
      <c r="B96" s="143"/>
      <c r="C96" s="144"/>
      <c r="D96" s="1863" t="s">
        <v>409</v>
      </c>
      <c r="E96" s="1863"/>
      <c r="F96" s="1865" t="s">
        <v>772</v>
      </c>
      <c r="G96" s="2746" t="s">
        <v>2432</v>
      </c>
      <c r="H96" s="1863"/>
      <c r="I96" s="2746" t="s">
        <v>1266</v>
      </c>
      <c r="J96" s="1865" t="s">
        <v>335</v>
      </c>
      <c r="K96" s="1868" t="s">
        <v>444</v>
      </c>
      <c r="Y96" s="1595" t="s">
        <v>316</v>
      </c>
      <c r="Z96" s="1591" t="s">
        <v>530</v>
      </c>
      <c r="AA96" s="1592"/>
      <c r="AB96" s="820"/>
      <c r="AC96" s="820"/>
      <c r="AD96" s="1603" t="s">
        <v>444</v>
      </c>
      <c r="AG96" s="2631" t="s">
        <v>211</v>
      </c>
      <c r="AH96" s="2632"/>
      <c r="AI96" s="2632" t="s">
        <v>442</v>
      </c>
      <c r="AJ96" s="2632"/>
      <c r="AK96" s="2632" t="s">
        <v>267</v>
      </c>
      <c r="AL96" s="2632"/>
      <c r="AM96" s="2632" t="s">
        <v>443</v>
      </c>
      <c r="AN96" s="2632"/>
      <c r="AO96" s="2658" t="s">
        <v>327</v>
      </c>
      <c r="AP96" s="2659"/>
      <c r="AQ96" s="564"/>
      <c r="AR96" s="568"/>
      <c r="AU96" s="2866" t="s">
        <v>211</v>
      </c>
      <c r="AV96" s="2867"/>
      <c r="AW96" s="2867" t="s">
        <v>442</v>
      </c>
      <c r="AX96" s="2867"/>
      <c r="AY96" s="2867" t="s">
        <v>267</v>
      </c>
      <c r="AZ96" s="2867"/>
      <c r="BA96" s="2867" t="s">
        <v>443</v>
      </c>
      <c r="BB96" s="2867"/>
      <c r="BC96" s="2868" t="s">
        <v>327</v>
      </c>
      <c r="BD96" s="2869"/>
      <c r="BE96" s="2866" t="s">
        <v>636</v>
      </c>
      <c r="BF96" s="2870"/>
      <c r="BG96" s="2866" t="s">
        <v>444</v>
      </c>
      <c r="BH96" s="2870"/>
      <c r="BJ96" s="1597" t="s">
        <v>2167</v>
      </c>
      <c r="BK96" s="1604" t="s">
        <v>2187</v>
      </c>
    </row>
    <row r="97" spans="1:73" ht="12.75" customHeight="1" outlineLevel="2">
      <c r="B97" s="1862"/>
      <c r="C97" s="1863"/>
      <c r="D97" s="1863" t="s">
        <v>444</v>
      </c>
      <c r="E97" s="1863"/>
      <c r="F97" s="1866" t="str">
        <f>Descriptif!$D$4&amp;" ?"</f>
        <v>2022 ?</v>
      </c>
      <c r="G97" s="2747"/>
      <c r="H97" s="1863"/>
      <c r="I97" s="2747"/>
      <c r="J97" s="1866" t="s">
        <v>336</v>
      </c>
      <c r="K97" s="1868"/>
      <c r="Y97" s="1595" t="s">
        <v>1649</v>
      </c>
      <c r="Z97" s="1593"/>
      <c r="AA97" s="1594"/>
      <c r="AB97" s="820"/>
      <c r="AC97" s="820"/>
      <c r="AD97" s="1603"/>
      <c r="AG97" s="1605"/>
      <c r="AH97" s="1606"/>
      <c r="AI97" s="1606"/>
      <c r="AJ97" s="1606"/>
      <c r="AK97" s="1606"/>
      <c r="AL97" s="1606"/>
      <c r="AM97" s="1606"/>
      <c r="AN97" s="1606"/>
      <c r="AO97" s="565"/>
      <c r="AP97" s="565"/>
      <c r="AQ97" s="564"/>
      <c r="AR97" s="568" t="s">
        <v>636</v>
      </c>
      <c r="AU97" s="1575"/>
      <c r="AV97" s="1576"/>
      <c r="AW97" s="1576"/>
      <c r="AX97" s="1576"/>
      <c r="AY97" s="1576"/>
      <c r="AZ97" s="1576"/>
      <c r="BA97" s="1576"/>
      <c r="BB97" s="1576"/>
      <c r="BC97" s="1576"/>
      <c r="BD97" s="893"/>
      <c r="BE97" s="891" t="str">
        <f>IF($G97="Oui",IF(AQ97="","",AQ97*$J97),"")</f>
        <v/>
      </c>
      <c r="BF97" s="901" t="str">
        <f>IF($G97="Oui",IF(AR97="","",AR97*$J97),"")</f>
        <v/>
      </c>
      <c r="BG97" s="891" t="str">
        <f>IF($G97="Oui",IF(#REF!="","",#REF!*$J97),"")</f>
        <v/>
      </c>
      <c r="BH97" s="901"/>
      <c r="BJ97" s="1065"/>
      <c r="BK97" s="1130"/>
    </row>
    <row r="98" spans="1:73" outlineLevel="2">
      <c r="B98" s="143" t="s">
        <v>5218</v>
      </c>
      <c r="C98" s="144"/>
      <c r="D98" s="212">
        <f>K98</f>
        <v>1825</v>
      </c>
      <c r="E98" s="212"/>
      <c r="F98" s="391" t="s">
        <v>768</v>
      </c>
      <c r="G98" s="117">
        <v>500</v>
      </c>
      <c r="H98" s="222">
        <f>VLOOKUP($B98&amp;"; "&amp;$I98,'FE Immobilisations'!$G:$U,9,FALSE)</f>
        <v>73</v>
      </c>
      <c r="I98" s="1865" t="str">
        <f>VLOOKUP(B98,'FE Immobilisations'!$C$88:$J$131,8,FALSE)</f>
        <v>kgCO2e/m²</v>
      </c>
      <c r="J98" s="117">
        <v>20</v>
      </c>
      <c r="K98" s="152">
        <f>IF(J98=0,0,G98*H98/J98)</f>
        <v>1825</v>
      </c>
      <c r="Y98" s="319">
        <f>IF(AD98=0,AD98,AD98/K98)</f>
        <v>0.15</v>
      </c>
      <c r="Z98" s="117"/>
      <c r="AA98" s="820"/>
      <c r="AB98" s="820"/>
      <c r="AC98" s="820"/>
      <c r="AD98" s="152">
        <f>D98*BK98</f>
        <v>273.75</v>
      </c>
      <c r="AG98" s="564"/>
      <c r="AH98" s="565">
        <f>D98</f>
        <v>1825</v>
      </c>
      <c r="AI98" s="565"/>
      <c r="AJ98" s="565"/>
      <c r="AK98" s="565"/>
      <c r="AL98" s="565"/>
      <c r="AM98" s="565"/>
      <c r="AN98" s="565"/>
      <c r="AO98" s="1606"/>
      <c r="AP98" s="1607">
        <f>SUM(AH98:AN98)</f>
        <v>1825</v>
      </c>
      <c r="AQ98" s="564"/>
      <c r="AR98" s="568"/>
      <c r="AU98" s="1575"/>
      <c r="AV98" s="892" t="str">
        <f>IF($G98="Oui",IF(AH98="","",AH98*$J98),"")</f>
        <v/>
      </c>
      <c r="AW98" s="892"/>
      <c r="AX98" s="892"/>
      <c r="AY98" s="892"/>
      <c r="AZ98" s="892"/>
      <c r="BA98" s="892"/>
      <c r="BB98" s="892"/>
      <c r="BC98" s="892"/>
      <c r="BD98" s="893">
        <f>SUM(AV98,AX98,AZ98,BB98)</f>
        <v>0</v>
      </c>
      <c r="BE98" s="891" t="str">
        <f>IF($G98="Oui",IF(AQ98="","",AQ98*$J98),"")</f>
        <v/>
      </c>
      <c r="BF98" s="901" t="str">
        <f>IF($G98="Oui",IF(AR98="","",AR98*$J98),"")</f>
        <v/>
      </c>
      <c r="BG98" s="891" t="str">
        <f>IF($G98="Oui",IF(#REF!="","",#REF!*$J98),"")</f>
        <v/>
      </c>
      <c r="BH98" s="901" t="str">
        <f>IF($G98="Oui",IF(#REF!="","",#REF!*$J98),"")</f>
        <v/>
      </c>
      <c r="BJ98" s="1065">
        <f>IF($Z98&lt;&gt;"votre valeur :",IF(ISNA(VLOOKUP($Z98,Utilitaires!$N$566:$O$571,2,FALSE)),,VLOOKUP($Z98,Utilitaires!$N$566:$O$571,2,FALSE)),$AA98)</f>
        <v>0</v>
      </c>
      <c r="BK98" s="1130">
        <f>SQRT(SUMSQ(BJ98,VLOOKUP(B98&amp;"; "&amp;$I98,'FE Immobilisations'!G:U,7,FALSE)))</f>
        <v>0.15</v>
      </c>
    </row>
    <row r="99" spans="1:73" outlineLevel="2">
      <c r="B99" s="143" t="s">
        <v>2859</v>
      </c>
      <c r="C99" s="144"/>
      <c r="D99" s="212">
        <f>K99</f>
        <v>0</v>
      </c>
      <c r="E99" s="212"/>
      <c r="F99" s="392"/>
      <c r="G99" s="120"/>
      <c r="H99" s="222">
        <f>VLOOKUP($B99&amp;"; "&amp;$I99,'FE Immobilisations'!$G:$U,9,FALSE)</f>
        <v>422</v>
      </c>
      <c r="I99" s="153" t="str">
        <f>VLOOKUP(B99,'FE Immobilisations'!$C$88:$J$131,8,FALSE)</f>
        <v>kgCO2e/m²</v>
      </c>
      <c r="J99" s="120"/>
      <c r="K99" s="152">
        <f>IF(J99=0,0,G99*H99/J99)</f>
        <v>0</v>
      </c>
      <c r="Y99" s="319">
        <f>IF(AD99=0,AD99,AD99/K99)</f>
        <v>0</v>
      </c>
      <c r="Z99" s="120"/>
      <c r="AA99" s="820"/>
      <c r="AB99" s="820"/>
      <c r="AC99" s="820"/>
      <c r="AD99" s="152">
        <f>D99*BK99</f>
        <v>0</v>
      </c>
      <c r="AG99" s="564"/>
      <c r="AH99" s="565">
        <f>D99</f>
        <v>0</v>
      </c>
      <c r="AI99" s="565"/>
      <c r="AJ99" s="565"/>
      <c r="AK99" s="565"/>
      <c r="AL99" s="565"/>
      <c r="AM99" s="565"/>
      <c r="AN99" s="565"/>
      <c r="AO99" s="1606"/>
      <c r="AP99" s="1607">
        <f>SUM(AH99:AN99)</f>
        <v>0</v>
      </c>
      <c r="AQ99" s="564"/>
      <c r="AR99" s="568"/>
      <c r="AU99" s="1575"/>
      <c r="AV99" s="892" t="str">
        <f>IF($G99="Oui",IF(AH99="","",AH99*$J99),"")</f>
        <v/>
      </c>
      <c r="AW99" s="892"/>
      <c r="AX99" s="892"/>
      <c r="AY99" s="892" t="str">
        <f>IF($G99="Oui",IF(AP99="","",AP99*$J99),"")</f>
        <v/>
      </c>
      <c r="AZ99" s="892"/>
      <c r="BA99" s="892" t="str">
        <f>IF($G99="Oui",IF(#REF!="","",#REF!*$J99),"")</f>
        <v/>
      </c>
      <c r="BB99" s="892"/>
      <c r="BC99" s="892"/>
      <c r="BD99" s="893">
        <f>SUM(AV99,AX99,AZ99,BB99)</f>
        <v>0</v>
      </c>
      <c r="BE99" s="891"/>
      <c r="BF99" s="901"/>
      <c r="BG99" s="891"/>
      <c r="BH99" s="901" t="str">
        <f>IF($G99="Oui",IF(#REF!="","",#REF!*$J99),"")</f>
        <v/>
      </c>
      <c r="BJ99" s="1065">
        <f>IF($Z99&lt;&gt;"votre valeur :",IF(ISNA(VLOOKUP($Z99,Utilitaires!$N$566:$O$571,2,FALSE)),,VLOOKUP($Z99,Utilitaires!$N$566:$O$571,2,FALSE)),$AA99)</f>
        <v>0</v>
      </c>
      <c r="BK99" s="1130">
        <f>SQRT(SUMSQ(BJ99,VLOOKUP(B99&amp;"; "&amp;$I99,'FE Immobilisations'!G:U,7,FALSE)))</f>
        <v>0.15</v>
      </c>
    </row>
    <row r="100" spans="1:73" outlineLevel="2">
      <c r="B100" s="143" t="s">
        <v>2858</v>
      </c>
      <c r="C100" s="144"/>
      <c r="D100" s="212">
        <f>K100</f>
        <v>0</v>
      </c>
      <c r="E100" s="212"/>
      <c r="F100" s="393"/>
      <c r="G100" s="123"/>
      <c r="H100" s="222">
        <f>VLOOKUP($B100&amp;"; "&amp;$I100,'FE Immobilisations'!$G:$U,9,FALSE)</f>
        <v>92</v>
      </c>
      <c r="I100" s="1866" t="str">
        <f>VLOOKUP(B100,'FE Immobilisations'!$C$88:$J$131,8,FALSE)</f>
        <v>kgCO2e/m²</v>
      </c>
      <c r="J100" s="123"/>
      <c r="K100" s="152">
        <f>IF(J100=0,0,G100*H100/J100)</f>
        <v>0</v>
      </c>
      <c r="Y100" s="319">
        <f>IF(AD100=0,AD100,AD100/K100)</f>
        <v>0</v>
      </c>
      <c r="Z100" s="123"/>
      <c r="AA100" s="820"/>
      <c r="AB100" s="820"/>
      <c r="AC100" s="820"/>
      <c r="AD100" s="152">
        <f>D100*BK100</f>
        <v>0</v>
      </c>
      <c r="AG100" s="564"/>
      <c r="AH100" s="565">
        <f>D100</f>
        <v>0</v>
      </c>
      <c r="AI100" s="565"/>
      <c r="AJ100" s="565"/>
      <c r="AK100" s="565"/>
      <c r="AL100" s="565"/>
      <c r="AM100" s="565"/>
      <c r="AN100" s="565"/>
      <c r="AO100" s="1606"/>
      <c r="AP100" s="1607">
        <f>SUM(AH100:AN100)</f>
        <v>0</v>
      </c>
      <c r="AQ100" s="564"/>
      <c r="AR100" s="568"/>
      <c r="AU100" s="1575"/>
      <c r="AV100" s="892" t="str">
        <f>IF($G100="Oui",IF(AH100="","",AH100*$J100),"")</f>
        <v/>
      </c>
      <c r="AW100" s="892"/>
      <c r="AX100" s="892"/>
      <c r="AY100" s="892" t="str">
        <f>IF($G100="Oui",IF(AP100="","",AP100*$J100),"")</f>
        <v/>
      </c>
      <c r="AZ100" s="892"/>
      <c r="BA100" s="892" t="str">
        <f>IF($G100="Oui",IF(#REF!="","",#REF!*$J100),"")</f>
        <v/>
      </c>
      <c r="BB100" s="892"/>
      <c r="BC100" s="892"/>
      <c r="BD100" s="893">
        <f>SUM(AV100,AX100,AZ100,BB100)</f>
        <v>0</v>
      </c>
      <c r="BE100" s="891" t="str">
        <f>IF($G100="Oui",IF(AQ100="","",AQ100*$J100),"")</f>
        <v/>
      </c>
      <c r="BF100" s="901" t="str">
        <f>IF($G100="Oui",IF(AR100="","",AR100*$J100),"")</f>
        <v/>
      </c>
      <c r="BG100" s="891" t="str">
        <f>IF($G100="Oui",IF(#REF!="","",#REF!*$J100),"")</f>
        <v/>
      </c>
      <c r="BH100" s="901" t="str">
        <f>IF($G100="Oui",IF(#REF!="","",#REF!*$J100),"")</f>
        <v/>
      </c>
      <c r="BJ100" s="1065">
        <f>IF($Z101&lt;&gt;"votre valeur :",IF(ISNA(VLOOKUP($Z101,Utilitaires!$N$566:$O$571,2,FALSE)),,VLOOKUP($Z101,Utilitaires!$N$566:$O$571,2,FALSE)),$AA101)</f>
        <v>0</v>
      </c>
      <c r="BK100" s="1130">
        <f>SQRT(SUMSQ(BJ100,VLOOKUP(B100&amp;"; "&amp;$I100,'FE Immobilisations'!G:U,7,FALSE)))</f>
        <v>0.15</v>
      </c>
    </row>
    <row r="101" spans="1:73" outlineLevel="2">
      <c r="B101" s="154"/>
      <c r="C101" s="155"/>
      <c r="D101" s="221"/>
      <c r="E101" s="221"/>
      <c r="F101" s="155"/>
      <c r="G101" s="155"/>
      <c r="H101" s="155"/>
      <c r="I101" s="155"/>
      <c r="J101" s="155"/>
      <c r="K101" s="357"/>
      <c r="Y101" s="1595"/>
      <c r="Z101" s="819"/>
      <c r="AA101" s="827"/>
      <c r="AB101" s="820"/>
      <c r="AC101" s="820"/>
      <c r="AD101" s="145"/>
      <c r="AG101" s="564"/>
      <c r="AH101" s="565"/>
      <c r="AI101" s="620"/>
      <c r="AJ101" s="620"/>
      <c r="AK101" s="620"/>
      <c r="AL101" s="620"/>
      <c r="AM101" s="565"/>
      <c r="AN101" s="565"/>
      <c r="AO101" s="1606"/>
      <c r="AP101" s="567"/>
      <c r="AQ101" s="564"/>
      <c r="AR101" s="568"/>
      <c r="AU101" s="902"/>
      <c r="AV101" s="1581"/>
      <c r="AW101" s="1581"/>
      <c r="AX101" s="1581"/>
      <c r="AY101" s="1581" t="str">
        <f>IF($G102="Oui",IF(AP102="","",AP102*$J102),"")</f>
        <v/>
      </c>
      <c r="AZ101" s="1581"/>
      <c r="BA101" s="1581" t="str">
        <f>IF($G102="Oui",IF(#REF!="","",#REF!*$J102),"")</f>
        <v/>
      </c>
      <c r="BB101" s="1581"/>
      <c r="BC101" s="1581"/>
      <c r="BD101" s="1609"/>
      <c r="BE101" s="891" t="str">
        <f>IF($G102="Oui",IF(AQ102="","",AQ102*$J102),"")</f>
        <v/>
      </c>
      <c r="BF101" s="901" t="str">
        <f>IF($G102="Oui",IF(AR102="","",AR102*$J102),"")</f>
        <v/>
      </c>
      <c r="BG101" s="891" t="str">
        <f>IF($G102="Oui",IF(#REF!="","",#REF!*$J102),"")</f>
        <v/>
      </c>
      <c r="BH101" s="901"/>
      <c r="BJ101" s="1142"/>
      <c r="BK101" s="1143"/>
    </row>
    <row r="102" spans="1:73" outlineLevel="1">
      <c r="B102" s="1264" t="s">
        <v>348</v>
      </c>
      <c r="C102" s="197"/>
      <c r="D102" s="214">
        <f>SUM(D98:D101)</f>
        <v>1825</v>
      </c>
      <c r="E102" s="214"/>
      <c r="F102" s="197"/>
      <c r="G102" s="199"/>
      <c r="H102" s="199"/>
      <c r="I102" s="199"/>
      <c r="J102" s="199"/>
      <c r="K102" s="200">
        <f>SUM(K98:K101)</f>
        <v>1825</v>
      </c>
      <c r="X102" s="254"/>
      <c r="Y102" s="201"/>
      <c r="Z102" s="199"/>
      <c r="AA102" s="199"/>
      <c r="AB102" s="199"/>
      <c r="AC102" s="199"/>
      <c r="AD102" s="402">
        <f>SQRT(SUMSQ(AD98:AD101))</f>
        <v>273.75</v>
      </c>
      <c r="AG102" s="571"/>
      <c r="AH102" s="572">
        <f>SUM(AH98:AH101)</f>
        <v>1825</v>
      </c>
      <c r="AI102" s="572"/>
      <c r="AJ102" s="572"/>
      <c r="AK102" s="572"/>
      <c r="AL102" s="572"/>
      <c r="AM102" s="572"/>
      <c r="AN102" s="572"/>
      <c r="AO102" s="573"/>
      <c r="AP102" s="573">
        <f>SUM(AP98:AP101)</f>
        <v>1825</v>
      </c>
      <c r="AQ102" s="1082"/>
      <c r="AR102" s="575">
        <f>SUM(AR98:AR101)</f>
        <v>0</v>
      </c>
      <c r="AU102" s="1579"/>
      <c r="AV102" s="895">
        <f>SUM(AV98:AV101)</f>
        <v>0</v>
      </c>
      <c r="AW102" s="895"/>
      <c r="AX102" s="895"/>
      <c r="AY102" s="895"/>
      <c r="AZ102" s="895"/>
      <c r="BA102" s="895"/>
      <c r="BB102" s="895"/>
      <c r="BC102" s="895"/>
      <c r="BD102" s="898"/>
      <c r="BE102" s="894"/>
      <c r="BF102" s="896"/>
      <c r="BG102" s="894"/>
      <c r="BH102" s="896">
        <f>SUM(BH94:BH101)</f>
        <v>0</v>
      </c>
    </row>
    <row r="103" spans="1:73" outlineLevel="1">
      <c r="W103" s="116"/>
      <c r="AU103" s="441"/>
      <c r="AV103" s="441"/>
      <c r="AW103" s="441"/>
      <c r="AX103" s="441"/>
      <c r="AY103" s="441"/>
      <c r="AZ103" s="441"/>
      <c r="BA103" s="441"/>
      <c r="BB103" s="441"/>
      <c r="BC103" s="441"/>
      <c r="BD103" s="441"/>
      <c r="BE103" s="588"/>
      <c r="BF103" s="441"/>
    </row>
    <row r="104" spans="1:73" s="109" customFormat="1" ht="12.75" customHeight="1" outlineLevel="1" collapsed="1">
      <c r="A104" s="114"/>
      <c r="B104" s="139" t="s">
        <v>2498</v>
      </c>
      <c r="C104" s="140"/>
      <c r="D104" s="377"/>
      <c r="E104" s="1648"/>
      <c r="F104" s="141"/>
      <c r="G104" s="141"/>
      <c r="H104" s="141"/>
      <c r="I104" s="141"/>
      <c r="J104" s="141"/>
      <c r="K104" s="141"/>
      <c r="L104" s="141"/>
      <c r="M104" s="141"/>
      <c r="N104" s="141"/>
      <c r="O104" s="141"/>
      <c r="P104" s="141"/>
      <c r="Q104" s="141"/>
      <c r="R104" s="141"/>
      <c r="S104" s="141"/>
      <c r="T104" s="141"/>
      <c r="U104" s="141"/>
      <c r="V104" s="141"/>
      <c r="W104" s="1610"/>
      <c r="X104" s="127"/>
      <c r="Y104" s="2636" t="s">
        <v>366</v>
      </c>
      <c r="Z104" s="2637"/>
      <c r="AA104" s="2637"/>
      <c r="AB104" s="2637"/>
      <c r="AC104" s="2637"/>
      <c r="AD104" s="2637"/>
      <c r="AE104" s="2638"/>
      <c r="AF104" s="114"/>
      <c r="AG104" s="2639" t="s">
        <v>441</v>
      </c>
      <c r="AH104" s="2640"/>
      <c r="AI104" s="2640"/>
      <c r="AJ104" s="2640"/>
      <c r="AK104" s="2640"/>
      <c r="AL104" s="2640"/>
      <c r="AM104" s="2640"/>
      <c r="AN104" s="2640"/>
      <c r="AO104" s="2640"/>
      <c r="AP104" s="2640"/>
      <c r="AQ104" s="2640"/>
      <c r="AR104" s="2641"/>
      <c r="AS104" s="116"/>
      <c r="AT104" s="441"/>
      <c r="AU104" s="2860" t="s">
        <v>441</v>
      </c>
      <c r="AV104" s="2861"/>
      <c r="AW104" s="2861"/>
      <c r="AX104" s="2861"/>
      <c r="AY104" s="2861"/>
      <c r="AZ104" s="2861"/>
      <c r="BA104" s="2861"/>
      <c r="BB104" s="2861"/>
      <c r="BC104" s="2861"/>
      <c r="BD104" s="2861"/>
      <c r="BE104" s="2861"/>
      <c r="BF104" s="2861"/>
      <c r="BG104" s="2861"/>
      <c r="BH104" s="2862"/>
    </row>
    <row r="105" spans="1:73" s="116" customFormat="1" ht="12.75" hidden="1" customHeight="1" outlineLevel="2">
      <c r="A105" s="114"/>
      <c r="B105" s="143"/>
      <c r="C105" s="144"/>
      <c r="D105" s="1565" t="s">
        <v>308</v>
      </c>
      <c r="E105" s="1663"/>
      <c r="F105" s="155"/>
      <c r="G105" s="1554"/>
      <c r="H105" s="144"/>
      <c r="I105" s="144"/>
      <c r="J105" s="144"/>
      <c r="K105" s="144"/>
      <c r="L105" s="144"/>
      <c r="M105" s="144"/>
      <c r="N105" s="144"/>
      <c r="O105" s="144"/>
      <c r="P105" s="144"/>
      <c r="Q105" s="144"/>
      <c r="R105" s="144"/>
      <c r="S105" s="144"/>
      <c r="T105" s="155"/>
      <c r="U105" s="144"/>
      <c r="V105" s="144"/>
      <c r="W105" s="153" t="s">
        <v>275</v>
      </c>
      <c r="Y105" s="159"/>
      <c r="Z105" s="1566"/>
      <c r="AA105" s="1566"/>
      <c r="AB105" s="1551"/>
      <c r="AC105" s="1551"/>
      <c r="AD105" s="1552"/>
      <c r="AE105" s="1560" t="s">
        <v>275</v>
      </c>
      <c r="AF105" s="114"/>
      <c r="AG105" s="2642" t="s">
        <v>444</v>
      </c>
      <c r="AH105" s="2643"/>
      <c r="AI105" s="2643"/>
      <c r="AJ105" s="2643"/>
      <c r="AK105" s="2643"/>
      <c r="AL105" s="2643"/>
      <c r="AM105" s="2643"/>
      <c r="AN105" s="2643"/>
      <c r="AO105" s="2873" t="s">
        <v>444</v>
      </c>
      <c r="AP105" s="2874"/>
      <c r="AQ105" s="1081"/>
      <c r="AR105" s="578"/>
      <c r="AU105" s="2863" t="s">
        <v>444</v>
      </c>
      <c r="AV105" s="2864"/>
      <c r="AW105" s="2864"/>
      <c r="AX105" s="2864"/>
      <c r="AY105" s="2864"/>
      <c r="AZ105" s="2864"/>
      <c r="BA105" s="2864"/>
      <c r="BB105" s="2864"/>
      <c r="BC105" s="2864" t="s">
        <v>444</v>
      </c>
      <c r="BD105" s="2865"/>
      <c r="BE105" s="1580"/>
      <c r="BF105" s="899"/>
      <c r="BG105" s="2863" t="s">
        <v>366</v>
      </c>
      <c r="BH105" s="2865"/>
      <c r="BJ105" s="2616" t="s">
        <v>1648</v>
      </c>
      <c r="BK105" s="2617"/>
      <c r="BL105" s="2617"/>
      <c r="BM105" s="2617"/>
      <c r="BN105" s="2617"/>
      <c r="BO105" s="2617"/>
      <c r="BP105" s="2617"/>
      <c r="BQ105" s="2617"/>
      <c r="BR105" s="2617"/>
      <c r="BS105" s="2617"/>
      <c r="BT105" s="2617"/>
      <c r="BU105" s="2618"/>
    </row>
    <row r="106" spans="1:73" s="127" customFormat="1" ht="12.75" hidden="1" customHeight="1" outlineLevel="2">
      <c r="A106" s="109"/>
      <c r="B106" s="1553" t="s">
        <v>383</v>
      </c>
      <c r="C106" s="144"/>
      <c r="D106" s="1565" t="s">
        <v>409</v>
      </c>
      <c r="E106" s="1663"/>
      <c r="F106" s="147" t="s">
        <v>772</v>
      </c>
      <c r="G106" s="147" t="s">
        <v>452</v>
      </c>
      <c r="H106" s="147" t="s">
        <v>343</v>
      </c>
      <c r="I106" s="2626" t="s">
        <v>1572</v>
      </c>
      <c r="J106" s="2627"/>
      <c r="K106" s="147" t="s">
        <v>343</v>
      </c>
      <c r="L106" s="2626" t="s">
        <v>1573</v>
      </c>
      <c r="M106" s="2627"/>
      <c r="N106" s="147" t="s">
        <v>343</v>
      </c>
      <c r="O106" s="2626" t="s">
        <v>1575</v>
      </c>
      <c r="P106" s="2627"/>
      <c r="Q106" s="147" t="s">
        <v>343</v>
      </c>
      <c r="R106" s="2626" t="s">
        <v>1574</v>
      </c>
      <c r="S106" s="2627"/>
      <c r="T106" s="147" t="s">
        <v>335</v>
      </c>
      <c r="U106" s="1565" t="s">
        <v>444</v>
      </c>
      <c r="V106" s="1565" t="s">
        <v>444</v>
      </c>
      <c r="W106" s="153" t="s">
        <v>276</v>
      </c>
      <c r="Y106" s="1553" t="s">
        <v>316</v>
      </c>
      <c r="Z106" s="1558" t="s">
        <v>316</v>
      </c>
      <c r="AA106" s="1559"/>
      <c r="AB106" s="1656" t="s">
        <v>444</v>
      </c>
      <c r="AC106" s="1656" t="s">
        <v>444</v>
      </c>
      <c r="AD106" s="1568" t="s">
        <v>444</v>
      </c>
      <c r="AE106" s="153" t="s">
        <v>276</v>
      </c>
      <c r="AF106" s="114"/>
      <c r="AG106" s="2631" t="s">
        <v>211</v>
      </c>
      <c r="AH106" s="2632"/>
      <c r="AI106" s="2632" t="s">
        <v>442</v>
      </c>
      <c r="AJ106" s="2632"/>
      <c r="AK106" s="2632" t="s">
        <v>267</v>
      </c>
      <c r="AL106" s="2632"/>
      <c r="AM106" s="2632" t="s">
        <v>443</v>
      </c>
      <c r="AN106" s="2632"/>
      <c r="AO106" s="2648" t="s">
        <v>327</v>
      </c>
      <c r="AP106" s="2649"/>
      <c r="AQ106" s="2631" t="s">
        <v>636</v>
      </c>
      <c r="AR106" s="2650"/>
      <c r="AU106" s="2866" t="s">
        <v>211</v>
      </c>
      <c r="AV106" s="2867"/>
      <c r="AW106" s="2867" t="s">
        <v>442</v>
      </c>
      <c r="AX106" s="2867"/>
      <c r="AY106" s="2867" t="s">
        <v>267</v>
      </c>
      <c r="AZ106" s="2867"/>
      <c r="BA106" s="2867" t="s">
        <v>443</v>
      </c>
      <c r="BB106" s="2867"/>
      <c r="BC106" s="2868" t="s">
        <v>327</v>
      </c>
      <c r="BD106" s="2869"/>
      <c r="BE106" s="2866" t="s">
        <v>636</v>
      </c>
      <c r="BF106" s="2870"/>
      <c r="BG106" s="2866" t="s">
        <v>444</v>
      </c>
      <c r="BH106" s="2870"/>
      <c r="BJ106" s="2614" t="s">
        <v>1646</v>
      </c>
      <c r="BK106" s="2645"/>
      <c r="BL106" s="2645"/>
      <c r="BM106" s="2615"/>
      <c r="BN106" s="2614" t="s">
        <v>1644</v>
      </c>
      <c r="BO106" s="2645"/>
      <c r="BP106" s="2645"/>
      <c r="BQ106" s="2615"/>
      <c r="BR106" s="2614" t="s">
        <v>1645</v>
      </c>
      <c r="BS106" s="2645"/>
      <c r="BT106" s="2645"/>
      <c r="BU106" s="2615"/>
    </row>
    <row r="107" spans="1:73" s="127" customFormat="1" ht="12.75" hidden="1" customHeight="1" outlineLevel="2">
      <c r="A107" s="109"/>
      <c r="B107" s="536" t="s">
        <v>1624</v>
      </c>
      <c r="C107" s="144"/>
      <c r="D107" s="1555" t="s">
        <v>444</v>
      </c>
      <c r="E107" s="1657"/>
      <c r="F107" s="1561" t="str">
        <f>Descriptif!$D$4&amp;" ?"</f>
        <v>2022 ?</v>
      </c>
      <c r="G107" s="1561" t="s">
        <v>453</v>
      </c>
      <c r="H107" s="1561" t="s">
        <v>1621</v>
      </c>
      <c r="I107" s="1564" t="s">
        <v>411</v>
      </c>
      <c r="J107" s="1564" t="s">
        <v>257</v>
      </c>
      <c r="K107" s="1561" t="s">
        <v>790</v>
      </c>
      <c r="L107" s="1564" t="s">
        <v>411</v>
      </c>
      <c r="M107" s="1564" t="s">
        <v>257</v>
      </c>
      <c r="N107" s="1561" t="s">
        <v>791</v>
      </c>
      <c r="O107" s="1564" t="s">
        <v>411</v>
      </c>
      <c r="P107" s="1564" t="s">
        <v>257</v>
      </c>
      <c r="Q107" s="1561" t="s">
        <v>213</v>
      </c>
      <c r="R107" s="1564" t="s">
        <v>411</v>
      </c>
      <c r="S107" s="1564" t="s">
        <v>257</v>
      </c>
      <c r="T107" s="1561" t="s">
        <v>336</v>
      </c>
      <c r="U107" s="1555" t="s">
        <v>411</v>
      </c>
      <c r="V107" s="1555" t="s">
        <v>257</v>
      </c>
      <c r="W107" s="153" t="s">
        <v>444</v>
      </c>
      <c r="Y107" s="1553" t="s">
        <v>1649</v>
      </c>
      <c r="Z107" s="1556" t="s">
        <v>1650</v>
      </c>
      <c r="AA107" s="1557"/>
      <c r="AB107" s="1662" t="s">
        <v>411</v>
      </c>
      <c r="AC107" s="1662" t="s">
        <v>257</v>
      </c>
      <c r="AD107" s="162" t="s">
        <v>327</v>
      </c>
      <c r="AE107" s="153" t="s">
        <v>444</v>
      </c>
      <c r="AF107" s="109"/>
      <c r="AG107" s="1572" t="s">
        <v>411</v>
      </c>
      <c r="AH107" s="1573" t="s">
        <v>257</v>
      </c>
      <c r="AI107" s="1573" t="s">
        <v>411</v>
      </c>
      <c r="AJ107" s="1573" t="s">
        <v>257</v>
      </c>
      <c r="AK107" s="1573" t="s">
        <v>411</v>
      </c>
      <c r="AL107" s="1573" t="s">
        <v>257</v>
      </c>
      <c r="AM107" s="1573" t="s">
        <v>411</v>
      </c>
      <c r="AN107" s="1573" t="s">
        <v>257</v>
      </c>
      <c r="AO107" s="581" t="s">
        <v>411</v>
      </c>
      <c r="AP107" s="581" t="s">
        <v>257</v>
      </c>
      <c r="AQ107" s="1572" t="s">
        <v>411</v>
      </c>
      <c r="AR107" s="1574" t="s">
        <v>257</v>
      </c>
      <c r="AU107" s="1575" t="s">
        <v>411</v>
      </c>
      <c r="AV107" s="1576" t="s">
        <v>257</v>
      </c>
      <c r="AW107" s="1576" t="s">
        <v>411</v>
      </c>
      <c r="AX107" s="1576" t="s">
        <v>257</v>
      </c>
      <c r="AY107" s="1576" t="s">
        <v>411</v>
      </c>
      <c r="AZ107" s="1576" t="s">
        <v>257</v>
      </c>
      <c r="BA107" s="1576" t="s">
        <v>411</v>
      </c>
      <c r="BB107" s="1576" t="s">
        <v>257</v>
      </c>
      <c r="BC107" s="1577" t="s">
        <v>411</v>
      </c>
      <c r="BD107" s="1577" t="s">
        <v>257</v>
      </c>
      <c r="BE107" s="1575" t="s">
        <v>411</v>
      </c>
      <c r="BF107" s="1578" t="s">
        <v>257</v>
      </c>
      <c r="BG107" s="1576" t="s">
        <v>411</v>
      </c>
      <c r="BH107" s="1578" t="s">
        <v>257</v>
      </c>
      <c r="BJ107" s="1569" t="s">
        <v>1643</v>
      </c>
      <c r="BK107" s="1570" t="s">
        <v>1640</v>
      </c>
      <c r="BL107" s="1570" t="s">
        <v>1641</v>
      </c>
      <c r="BM107" s="1571" t="s">
        <v>1642</v>
      </c>
      <c r="BN107" s="1570" t="s">
        <v>1643</v>
      </c>
      <c r="BO107" s="1570" t="s">
        <v>1640</v>
      </c>
      <c r="BP107" s="1570" t="s">
        <v>1641</v>
      </c>
      <c r="BQ107" s="1570" t="s">
        <v>1642</v>
      </c>
      <c r="BR107" s="1569" t="s">
        <v>1643</v>
      </c>
      <c r="BS107" s="1570" t="s">
        <v>1640</v>
      </c>
      <c r="BT107" s="1570" t="s">
        <v>1641</v>
      </c>
      <c r="BU107" s="1571" t="s">
        <v>1642</v>
      </c>
    </row>
    <row r="108" spans="1:73" s="116" customFormat="1" ht="12.75" hidden="1" customHeight="1" outlineLevel="2">
      <c r="A108" s="114"/>
      <c r="B108" s="143" t="s">
        <v>1620</v>
      </c>
      <c r="C108" s="144"/>
      <c r="D108" s="315">
        <f>SUM(U108,V108)</f>
        <v>0</v>
      </c>
      <c r="E108" s="315"/>
      <c r="F108" s="391"/>
      <c r="G108" s="343"/>
      <c r="H108" s="1547"/>
      <c r="I108" s="335">
        <f>VLOOKUP($B108&amp;"; "&amp;$I$106&amp;", "&amp;I$107,'FE Energie'!$G:$U,9,FALSE)</f>
        <v>0.505</v>
      </c>
      <c r="J108" s="335">
        <f>VLOOKUP($B108&amp;"; "&amp;$I$106&amp;", "&amp;J$107,'FE Energie'!$G:$U,9,FALSE)</f>
        <v>3.02</v>
      </c>
      <c r="K108" s="1547"/>
      <c r="L108" s="223">
        <f>VLOOKUP($B108&amp;"; "&amp;$L$106&amp;", "&amp;L$107,'FE Energie'!$G:$U,9,FALSE)</f>
        <v>0.04</v>
      </c>
      <c r="M108" s="223">
        <f>VLOOKUP($B108&amp;"; "&amp;$L$106&amp;", "&amp;M$107,'FE Energie'!$G:$U,9,FALSE)</f>
        <v>0.23</v>
      </c>
      <c r="N108" s="1547"/>
      <c r="O108" s="217">
        <f>VLOOKUP($B108&amp;"; "&amp;$O$106&amp;", "&amp;O$107,'FE Energie'!$G:$U,9,FALSE)</f>
        <v>448</v>
      </c>
      <c r="P108" s="217">
        <f>VLOOKUP($B108&amp;"; "&amp;$O$106&amp;", "&amp;P$107,'FE Energie'!$G:$U,9,FALSE)</f>
        <v>2680</v>
      </c>
      <c r="Q108" s="1085"/>
      <c r="R108" s="223">
        <f>VLOOKUP($B108&amp;"; "&amp;$R$106&amp;", "&amp;R$107,'FE Energie'!$G:$U,9,FALSE)</f>
        <v>0.28100000000000003</v>
      </c>
      <c r="S108" s="223">
        <f>VLOOKUP($B108&amp;"; "&amp;$R$106&amp;", "&amp;S$107,'FE Energie'!$G:$U,9,FALSE)</f>
        <v>1.76</v>
      </c>
      <c r="T108" s="117"/>
      <c r="U108" s="566">
        <f>IF(T108=0,0,(IF(ISNA(H108*I108),0,H108*I108)+IF(ISNA(K108*L108),0,K108*L108)+IF(ISNA(N108*O108),0,N108*O108)+IF(ISNA(Q108*R108),0,Q108*R108))/T108)</f>
        <v>0</v>
      </c>
      <c r="V108" s="566">
        <f>IF(T108=0,0,(IF(ISNA(H108*J108),0,H108*J108)+IF(ISNA(K108*M108),0,K108*M108)+IF(ISNA(N108*P108),0,N108*P108)+IF(ISNA(Q108*S108),0,Q108*S108))/T108)</f>
        <v>0</v>
      </c>
      <c r="W108" s="1286">
        <f>IF(OR(G108=Utilitaires!$I$572,G108=Utilitaires!$I$577),V108,0)</f>
        <v>0</v>
      </c>
      <c r="Y108" s="1092">
        <f>IF(AD108=0,AD108,AD108/(U108+V108))</f>
        <v>0</v>
      </c>
      <c r="Z108" s="343"/>
      <c r="AA108" s="820"/>
      <c r="AB108" s="164">
        <f>IF(T108=0,0,(SQRT(SUMSQ(IF(ISNA($H108*I108*BN108),0,$H108*I108*BN108),IF(ISNA($K108*L108*BO108),0,$K108*L108*BO108),IF(ISNA($N108*O108*BP108),0,$N108*O108*BP108),IF(ISNA($Q108*R108*BQ108),0,$Q108*R108*BQ108))))/T108)</f>
        <v>0</v>
      </c>
      <c r="AC108" s="164">
        <f>IF(T108=0,0,(SQRT(SUMSQ(IF(ISNA($H108*J108*BR108),0,$H108*J108*BR108),IF(ISNA($K108*M108*BS108),0,$K108*M108*BS108),IF(ISNA($N108*P108*BT108),0,$N108*P108*BT108),IF(ISNA($Q108*S108*BU108),0,$Q108*S108*BU108))))/T108)</f>
        <v>0</v>
      </c>
      <c r="AD108" s="152">
        <f>SQRT(SUMSQ(AB108,AC108))</f>
        <v>0</v>
      </c>
      <c r="AE108" s="1286">
        <f>W108*Y108</f>
        <v>0</v>
      </c>
      <c r="AF108" s="114"/>
      <c r="AG108" s="564">
        <f>IF(T108=0,0,(
$H108*IF(ISNA(VLOOKUP($B108&amp;"; "&amp;$I$26&amp;", "&amp;I$27,'FE Energie'!$G:$U,10,FALSE)),0,VLOOKUP($B108&amp;"; "&amp;$I$26&amp;", "&amp;I$27,'FE Energie'!$G:$U,10,FALSE))
+$K108*IF(ISNA(VLOOKUP($B108&amp;"; "&amp;$L$26&amp;", "&amp;I$27,'FE Energie'!$G:$U,10,FALSE)),0,VLOOKUP($B108&amp;"; "&amp;$L$26&amp;", "&amp;I$27,'FE Energie'!$G:$U,10,FALSE))
+$N108*IF(ISNA(VLOOKUP($B108&amp;"; "&amp;$O$26&amp;", "&amp;I$27,'FE Energie'!$G:$U,10,FALSE)),0,VLOOKUP($B108&amp;"; "&amp;$O$26&amp;", "&amp;I$27,'FE Energie'!$G:$U,10,FALSE))
+$Q108*IF(ISNA(VLOOKUP($B108&amp;"; "&amp;$R$26&amp;", "&amp;I$27,'FE Energie'!$G:$U,10,FALSE)),0,VLOOKUP($B108&amp;"; "&amp;$R$26&amp;", "&amp;I$27,'FE Energie'!$G:$U,10,FALSE))
)/T108)</f>
        <v>0</v>
      </c>
      <c r="AH108" s="565">
        <f>IF(T108=0,0,(
$H108*IF(ISNA(VLOOKUP($B108&amp;"; "&amp;$I$26&amp;", "&amp;J$27,'FE Energie'!$G:$U,10,FALSE)),0,VLOOKUP($B108&amp;"; "&amp;$I$26&amp;", "&amp;J$27,'FE Energie'!$G:$U,10,FALSE))
+$K108*IF(ISNA(VLOOKUP($B108&amp;"; "&amp;$L$26&amp;", "&amp;J$27,'FE Energie'!$G:$U,10,FALSE)),0,VLOOKUP($B108&amp;"; "&amp;$L$26&amp;", "&amp;J$27,'FE Energie'!$G:$U,10,FALSE))
+$N108*IF(ISNA(VLOOKUP($B108&amp;"; "&amp;$O$26&amp;", "&amp;J$27,'FE Energie'!$G:$U,10,FALSE)),0,VLOOKUP($B108&amp;"; "&amp;$O$26&amp;", "&amp;J$27,'FE Energie'!$G:$U,10,FALSE))
+$Q108*IF(ISNA(VLOOKUP($B108&amp;"; "&amp;$R$26&amp;", "&amp;J$27,'FE Energie'!$G:$U,10,FALSE)),0,VLOOKUP($B108&amp;"; "&amp;$R$26&amp;", "&amp;J$27,'FE Energie'!$G:$U,10,FALSE))
)/T108)</f>
        <v>0</v>
      </c>
      <c r="AI108" s="620">
        <f>IF(T108=0,0,(
$H108*IF(ISNA((VLOOKUP($B108&amp;"; "&amp;$I$26&amp;", "&amp;I$27,'FE Energie'!$G:$U,12,FALSE)+VLOOKUP($B108&amp;"; "&amp;$I$26&amp;", "&amp;I$27,'FE Energie'!$G:$U,11,FALSE))),0,(VLOOKUP($B108&amp;"; "&amp;$I$26&amp;", "&amp;I$27,'FE Energie'!$G:$U,12,FALSE)+VLOOKUP($B108&amp;"; "&amp;$I$26&amp;", "&amp;I$27,'FE Energie'!$G:$U,11,FALSE)))
+$K108*IF(ISNA((VLOOKUP($B108&amp;"; "&amp;$L$26&amp;", "&amp;I$27,'FE Energie'!$G:$U,12,FALSE)+VLOOKUP($B108&amp;"; "&amp;$L$26&amp;", "&amp;I$27,'FE Energie'!$G:$U,11,FALSE))),0,(VLOOKUP($B108&amp;"; "&amp;$L$26&amp;", "&amp;I$27,'FE Energie'!$G:$U,12,FALSE)+VLOOKUP($B108&amp;"; "&amp;$L$26&amp;", "&amp;I$27,'FE Energie'!$G:$U,11,FALSE)))
+$N108*IF(ISNA((VLOOKUP($B108&amp;"; "&amp;$O$26&amp;", "&amp;I$27,'FE Energie'!$G:$U,12,FALSE)+VLOOKUP($B108&amp;"; "&amp;$O$26&amp;", "&amp;I$27,'FE Energie'!$G:$U,11,FALSE))),0,(VLOOKUP($B108&amp;"; "&amp;$O$26&amp;", "&amp;I$27,'FE Energie'!$G:$U,12,FALSE)+VLOOKUP($B108&amp;"; "&amp;$O$26&amp;", "&amp;I$27,'FE Energie'!$G:$U,11,FALSE)))
+$Q108*IF(ISNA((VLOOKUP($B108&amp;"; "&amp;$R$26&amp;", "&amp;I$27,'FE Energie'!$G:$U,12,FALSE)+VLOOKUP($B108&amp;"; "&amp;$R$26&amp;", "&amp;I$27,'FE Energie'!$G:$U,11,FALSE))),0,(VLOOKUP($B108&amp;"; "&amp;$R$26&amp;", "&amp;I$27,'FE Energie'!$G:$U,12,FALSE)+VLOOKUP($B108&amp;"; "&amp;$R$26&amp;", "&amp;I$27,'FE Energie'!$G:$U,11,FALSE)))
)/T108)</f>
        <v>0</v>
      </c>
      <c r="AJ108" s="620">
        <f>IF(T108=0,0,(
$H108*IF(ISNA((VLOOKUP($B108&amp;"; "&amp;$I$26&amp;", "&amp;J$27,'FE Energie'!$G:$U,12,FALSE)+VLOOKUP($B108&amp;"; "&amp;$I$26&amp;", "&amp;J$27,'FE Energie'!$G:$U,11,FALSE))),0,(VLOOKUP($B108&amp;"; "&amp;$I$26&amp;", "&amp;J$27,'FE Energie'!$G:$U,12,FALSE)+VLOOKUP($B108&amp;"; "&amp;$I$26&amp;", "&amp;J$27,'FE Energie'!$G:$U,11,FALSE)))
+$K108*IF(ISNA((VLOOKUP($B108&amp;"; "&amp;$L$26&amp;", "&amp;J$27,'FE Energie'!$G:$U,12,FALSE)+VLOOKUP($B108&amp;"; "&amp;$L$26&amp;", "&amp;J$27,'FE Energie'!$G:$U,11,FALSE))),0,(VLOOKUP($B108&amp;"; "&amp;$L$26&amp;", "&amp;J$27,'FE Energie'!$G:$U,12,FALSE)+VLOOKUP($B108&amp;"; "&amp;$L$26&amp;", "&amp;J$27,'FE Energie'!$G:$U,11,FALSE)))
+$N108*IF(ISNA((VLOOKUP($B108&amp;"; "&amp;$O$26&amp;", "&amp;J$27,'FE Energie'!$G:$U,12,FALSE)+VLOOKUP($B108&amp;"; "&amp;$O$26&amp;", "&amp;J$27,'FE Energie'!$G:$U,11,FALSE))),0,(VLOOKUP($B108&amp;"; "&amp;$O$26&amp;", "&amp;J$27,'FE Energie'!$G:$U,12,FALSE)+VLOOKUP($B108&amp;"; "&amp;$O$26&amp;", "&amp;J$27,'FE Energie'!$G:$U,11,FALSE)))
+$Q108*IF(ISNA((VLOOKUP($B108&amp;"; "&amp;$R$26&amp;", "&amp;J$27,'FE Energie'!$G:$U,12,FALSE)+VLOOKUP($B108&amp;"; "&amp;$R$26&amp;", "&amp;J$27,'FE Energie'!$G:$U,11,FALSE))),0,(VLOOKUP($B108&amp;"; "&amp;$R$26&amp;", "&amp;J$27,'FE Energie'!$G:$U,12,FALSE)+VLOOKUP($B108&amp;"; "&amp;$R$26&amp;", "&amp;J$27,'FE Energie'!$G:$U,11,FALSE)))
)/T108)</f>
        <v>0</v>
      </c>
      <c r="AK108" s="620">
        <f>IF(T108=0,0,(
$H108*IF(ISNA(VLOOKUP($B108&amp;"; "&amp;$I$26&amp;", "&amp;I$27,'FE Energie'!$G:$U,13,FALSE)),0,VLOOKUP($B108&amp;"; "&amp;$I$26&amp;", "&amp;I$27,'FE Energie'!$G:$U,13,FALSE))
+$K108*IF(ISNA(VLOOKUP($B108&amp;"; "&amp;$L$26&amp;", "&amp;I$27,'FE Energie'!$G:$U,13,FALSE)),0,VLOOKUP($B108&amp;"; "&amp;$L$26&amp;", "&amp;I$27,'FE Energie'!$G:$U,13,FALSE))
+$N108*IF(ISNA(VLOOKUP($B108&amp;"; "&amp;$O$26&amp;", "&amp;I$27,'FE Energie'!$G:$U,13,FALSE)),0,VLOOKUP($B108&amp;"; "&amp;$O$26&amp;", "&amp;I$27,'FE Energie'!$G:$U,13,FALSE))
+$Q108*IF(ISNA(VLOOKUP($B108&amp;"; "&amp;$R$26&amp;", "&amp;I$27,'FE Energie'!$G:$U,13,FALSE)),0,VLOOKUP($B108&amp;"; "&amp;$R$26&amp;", "&amp;I$27,'FE Energie'!$G:$U,13,FALSE))
)/T108)</f>
        <v>0</v>
      </c>
      <c r="AL108" s="620">
        <f>IF(T108=0,0,(
$H108*IF(ISNA(VLOOKUP($B108&amp;"; "&amp;$I$26&amp;", "&amp;J$27,'FE Energie'!$G:$U,13,FALSE)),0,VLOOKUP($B108&amp;"; "&amp;$I$26&amp;", "&amp;J$27,'FE Energie'!$G:$U,13,FALSE))
+$K108*IF(ISNA(VLOOKUP($B108&amp;"; "&amp;$L$26&amp;", "&amp;J$27,'FE Energie'!$G:$U,13,FALSE)),0,VLOOKUP($B108&amp;"; "&amp;$L$26&amp;", "&amp;J$27,'FE Energie'!$G:$U,13,FALSE))
+$N108*IF(ISNA(VLOOKUP($B108&amp;"; "&amp;$O$26&amp;", "&amp;J$27,'FE Energie'!$G:$U,13,FALSE)),0,VLOOKUP($B108&amp;"; "&amp;$O$26&amp;", "&amp;J$27,'FE Energie'!$G:$U,13,FALSE))
+$Q108*IF(ISNA(VLOOKUP($B108&amp;"; "&amp;$R$26&amp;", "&amp;J$27,'FE Energie'!$G:$U,13,FALSE)),0,VLOOKUP($B108&amp;"; "&amp;$R$26&amp;", "&amp;J$27,'FE Energie'!$G:$U,13,FALSE))
)/T108)</f>
        <v>0</v>
      </c>
      <c r="AM108" s="565">
        <f>IF(T108=0,0,(
$H108*IF(ISNA(VLOOKUP($B108&amp;"; "&amp;$I$26&amp;", "&amp;I$27,'FE Energie'!$G:$U,14,FALSE)),0,VLOOKUP($B108&amp;"; "&amp;$I$26&amp;", "&amp;I$27,'FE Energie'!$G:$U,14,FALSE))
+$K108*IF(ISNA(VLOOKUP($B108&amp;"; "&amp;$L$26&amp;", "&amp;I$27,'FE Energie'!$G:$U,14,FALSE)),0,VLOOKUP($B108&amp;"; "&amp;$L$26&amp;", "&amp;I$27,'FE Energie'!$G:$U,14,FALSE))
+$N108*IF(ISNA(VLOOKUP($B108&amp;"; "&amp;$O$26&amp;", "&amp;I$27,'FE Energie'!$G:$U,14,FALSE)),0,VLOOKUP($B108&amp;"; "&amp;$O$26&amp;", "&amp;I$27,'FE Energie'!$G:$U,14,FALSE))
+$Q108*IF(ISNA(VLOOKUP($B108&amp;"; "&amp;$R$26&amp;", "&amp;I$27,'FE Energie'!$G:$U,14,FALSE)),0,VLOOKUP($B108&amp;"; "&amp;$R$26&amp;", "&amp;I$27,'FE Energie'!$G:$U,14,FALSE))
)/T108)</f>
        <v>0</v>
      </c>
      <c r="AN108" s="565">
        <f>IF(T108=0,0,(
$H108*IF(ISNA(VLOOKUP($B108&amp;"; "&amp;$I$26&amp;", "&amp;J$27,'FE Energie'!$G:$U,14,FALSE)),0,VLOOKUP($B108&amp;"; "&amp;$I$26&amp;", "&amp;J$27,'FE Energie'!$G:$U,14,FALSE))
+$K108*IF(ISNA(VLOOKUP($B108&amp;"; "&amp;$L$26&amp;", "&amp;J$27,'FE Energie'!$G:$U,14,FALSE)),0,VLOOKUP($B108&amp;"; "&amp;$L$26&amp;", "&amp;J$27,'FE Energie'!$G:$U,14,FALSE))
+$N108*IF(ISNA(VLOOKUP($B108&amp;"; "&amp;$O$26&amp;", "&amp;J$27,'FE Energie'!$G:$U,14,FALSE)),0,VLOOKUP($B108&amp;"; "&amp;$O$26&amp;", "&amp;J$27,'FE Energie'!$G:$U,14,FALSE))
+$Q108*IF(ISNA(VLOOKUP($B108&amp;"; "&amp;$R$26&amp;", "&amp;J$27,'FE Energie'!$G:$U,14,FALSE)),0,VLOOKUP($B108&amp;"; "&amp;$R$26&amp;", "&amp;J$27,'FE Energie'!$G:$U,14,FALSE))
)/T108)</f>
        <v>0</v>
      </c>
      <c r="AO108" s="566">
        <f>SUM(AG108,AI108,AK108,AM108)</f>
        <v>0</v>
      </c>
      <c r="AP108" s="566">
        <f>SUM(AH108,AJ108,AL108,AN108)</f>
        <v>0</v>
      </c>
      <c r="AQ108" s="564">
        <f>IF(T108=0,0,(
$H108*IF(ISNA(VLOOKUP($B108&amp;"; "&amp;$I$26&amp;", "&amp;I$27,'FE Energie'!$G:$U,15,FALSE)),0,VLOOKUP($B108&amp;"; "&amp;$I$26&amp;", "&amp;I$27,'FE Energie'!$G:$U,15,FALSE))
+$K108*IF(ISNA(VLOOKUP($B108&amp;"; "&amp;$L$26&amp;", "&amp;I$27,'FE Energie'!$G:$U,15,FALSE)),0,VLOOKUP($B108&amp;"; "&amp;$L$26&amp;", "&amp;I$27,'FE Energie'!$G:$U,15,FALSE))
+$N108*IF(ISNA(VLOOKUP($B108&amp;"; "&amp;$O$26&amp;", "&amp;I$27,'FE Energie'!$G:$U,15,FALSE)),0,VLOOKUP($B108&amp;"; "&amp;$O$26&amp;", "&amp;I$27,'FE Energie'!$G:$U,15,FALSE))
+$Q108*IF(ISNA(VLOOKUP($B108&amp;"; "&amp;$R$26&amp;", "&amp;I$27,'FE Energie'!$G:$U,15,FALSE)),0,VLOOKUP($B108&amp;"; "&amp;$R$26&amp;", "&amp;I$27,'FE Energie'!$G:$U,15,FALSE))
)/T108)</f>
        <v>0</v>
      </c>
      <c r="AR108" s="568">
        <f>IF(T108=0,0,(
$H108*IF(ISNA(VLOOKUP($B108&amp;"; "&amp;$I$26&amp;", "&amp;J$27,'FE Energie'!$G:$U,15,FALSE)),0,VLOOKUP($B108&amp;"; "&amp;$I$26&amp;", "&amp;J$27,'FE Energie'!$G:$U,15,FALSE))
+$K108*IF(ISNA(VLOOKUP($B108&amp;"; "&amp;$L$26&amp;", "&amp;J$27,'FE Energie'!$G:$U,15,FALSE)),0,VLOOKUP($B108&amp;"; "&amp;$L$26&amp;", "&amp;J$27,'FE Energie'!$G:$U,15,FALSE))
+$N108*IF(ISNA(VLOOKUP($B108&amp;"; "&amp;$O$26&amp;", "&amp;J$27,'FE Energie'!$G:$U,15,FALSE)),0,VLOOKUP($B108&amp;"; "&amp;$O$26&amp;", "&amp;J$27,'FE Energie'!$G:$U,15,FALSE))
+$Q108*IF(ISNA(VLOOKUP($B108&amp;"; "&amp;$R$26&amp;", "&amp;J$27,'FE Energie'!$G:$U,15,FALSE)),0,VLOOKUP($B108&amp;"; "&amp;$R$26&amp;", "&amp;J$27,'FE Energie'!$G:$U,15,FALSE))
)/T108)</f>
        <v>0</v>
      </c>
      <c r="AU108" s="891" t="str">
        <f t="shared" ref="AU108:BB109" si="18">IF($F108="Oui",AG108*$T108,"")</f>
        <v/>
      </c>
      <c r="AV108" s="892" t="str">
        <f t="shared" si="18"/>
        <v/>
      </c>
      <c r="AW108" s="892" t="str">
        <f t="shared" si="18"/>
        <v/>
      </c>
      <c r="AX108" s="892" t="str">
        <f t="shared" si="18"/>
        <v/>
      </c>
      <c r="AY108" s="892" t="str">
        <f t="shared" si="18"/>
        <v/>
      </c>
      <c r="AZ108" s="892" t="str">
        <f t="shared" si="18"/>
        <v/>
      </c>
      <c r="BA108" s="892" t="str">
        <f t="shared" si="18"/>
        <v/>
      </c>
      <c r="BB108" s="892" t="str">
        <f t="shared" si="18"/>
        <v/>
      </c>
      <c r="BC108" s="900">
        <f>SUM(AU108,AW108,AY108,BA108)</f>
        <v>0</v>
      </c>
      <c r="BD108" s="900">
        <f>SUM(AV108,AX108,AZ108,BB108)</f>
        <v>0</v>
      </c>
      <c r="BE108" s="891" t="str">
        <f>IF($F108="Oui",IF(AQ108="","",AQ108*$T108),"")</f>
        <v/>
      </c>
      <c r="BF108" s="901" t="str">
        <f>IF($F108="Oui",IF(AR108="","",AR108*$T108),"")</f>
        <v/>
      </c>
      <c r="BG108" s="892" t="str">
        <f t="shared" ref="BG108:BH115" si="19">IF($F108="Oui",IF(AB108="","",AB108*$T108),"")</f>
        <v/>
      </c>
      <c r="BH108" s="901" t="str">
        <f t="shared" si="19"/>
        <v/>
      </c>
      <c r="BJ108" s="1065">
        <f>IF($Z108&lt;&gt;"votre valeur :",IF(ISNA(VLOOKUP($Z108,Utilitaires!$N$566:$O$571,2,FALSE)),,VLOOKUP($Z108,Utilitaires!$N$566:$O$571,2,FALSE)),$AA108)</f>
        <v>0</v>
      </c>
      <c r="BK108" s="1065">
        <f>IF($Z108&lt;&gt;"votre valeur :",IF(ISNA(VLOOKUP($Z108,Utilitaires!$N$566:$O$571,2,FALSE)),,VLOOKUP($Z108,Utilitaires!$N$566:$O$571,2,FALSE)),$AA108)</f>
        <v>0</v>
      </c>
      <c r="BL108" s="1065">
        <f>IF($Z108&lt;&gt;"votre valeur :",IF(ISNA(VLOOKUP($Z108,Utilitaires!$N$566:$O$571,2,FALSE)),,VLOOKUP($Z108,Utilitaires!$N$566:$O$571,2,FALSE)),$AA108)</f>
        <v>0</v>
      </c>
      <c r="BM108" s="1167">
        <f>IF($Z108&lt;&gt;"votre valeur :",IF(ISNA(VLOOKUP($Z108,Utilitaires!$N$566:$O$571,2,FALSE)),,VLOOKUP($Z108,Utilitaires!$N$566:$O$571,2,FALSE)),$AA108)</f>
        <v>0</v>
      </c>
      <c r="BN108" s="1068">
        <f>IF(ISNA(SQRT(SUMSQ(VLOOKUP($B108&amp;"; "&amp;$I$26&amp;", "&amp;$I$27,'FE Energie'!$G:$U,7,FALSE),$BJ108))),0,SQRT(SUMSQ(VLOOKUP($B108&amp;"; "&amp;$I$26&amp;", "&amp;$I$27,'FE Energie'!$G:$U,7,FALSE),$BJ108)))</f>
        <v>0.05</v>
      </c>
      <c r="BO108" s="1068">
        <f>IF(ISNA(SQRT(SUMSQ(VLOOKUP($B108&amp;"; "&amp;$L$26&amp;", "&amp;$L$27,'FE Energie'!$G:$U,7,FALSE),$BK108))),0,SQRT(SUMSQ(VLOOKUP($B108&amp;"; "&amp;$L$26&amp;", "&amp;$L$27,'FE Energie'!$G:$U,7,FALSE),$BK108)))</f>
        <v>0.05</v>
      </c>
      <c r="BP108" s="1068">
        <f>IF(ISNA(SQRT(SUMSQ(VLOOKUP($B108&amp;"; "&amp;$O$26&amp;", "&amp;$O$27,'FE Energie'!$G:$U,7,FALSE),$BL108))),0,SQRT(SUMSQ(VLOOKUP($B108&amp;"; "&amp;$O$26&amp;", "&amp;$O$27,'FE Energie'!$G:$U,7,FALSE),$BL108)))</f>
        <v>0.05</v>
      </c>
      <c r="BQ108" s="1068">
        <f>IF(ISNA(SQRT(SUMSQ(VLOOKUP($B108&amp;"; "&amp;$R$26&amp;", "&amp;$R$27,'FE Energie'!$G:$U,7,FALSE),$BM108))),0,SQRT(SUMSQ(VLOOKUP($B108&amp;"; "&amp;$R$26&amp;", "&amp;$R$27,'FE Energie'!$G:$U,7,FALSE),$BM108)))</f>
        <v>0.05</v>
      </c>
      <c r="BR108" s="1124">
        <f>IF(ISNA(SQRT(SUMSQ(VLOOKUP($B108&amp;"; "&amp;$I$26&amp;", "&amp;$J$27,'FE Energie'!$G:$U,7,FALSE),$BJ108))),0,SQRT(SUMSQ(VLOOKUP($B108&amp;"; "&amp;$I$26&amp;", "&amp;$J$27,'FE Energie'!$G:$U,7,FALSE),$BJ108)))</f>
        <v>0.05</v>
      </c>
      <c r="BS108" s="1070">
        <f>IF(ISNA(SQRT(SUMSQ(VLOOKUP($B108&amp;"; "&amp;$L$26&amp;", "&amp;$M$27,'FE Energie'!$G:$U,7,FALSE),$BK108))),0,SQRT(SUMSQ(VLOOKUP($B108&amp;"; "&amp;$L$26&amp;", "&amp;$M$27,'FE Energie'!$G:$U,7,FALSE),$BK108)))</f>
        <v>0.05</v>
      </c>
      <c r="BT108" s="1070">
        <f>IF(ISNA(SQRT(SUMSQ(VLOOKUP($B108&amp;"; "&amp;$O$26&amp;", "&amp;$P$27,'FE Energie'!$G:$U,7,FALSE),$BL108))),0,SQRT(SUMSQ(VLOOKUP($B108&amp;"; "&amp;$O$26&amp;", "&amp;$P$27,'FE Energie'!$G:$U,7,FALSE),$BL108)))</f>
        <v>0.05</v>
      </c>
      <c r="BU108" s="1071">
        <f>IF(ISNA(SQRT(SUMSQ(VLOOKUP($B108&amp;"; "&amp;$R$26&amp;", "&amp;$S$27,'FE Energie'!$G:$U,7,FALSE),$BM108))),0,SQRT(SUMSQ(VLOOKUP($B108&amp;"; "&amp;$R$26&amp;", "&amp;$S$27,'FE Energie'!$G:$U,7,FALSE),$BM108)))</f>
        <v>0.05</v>
      </c>
    </row>
    <row r="109" spans="1:73" s="116" customFormat="1" ht="12.75" hidden="1" customHeight="1" outlineLevel="2">
      <c r="A109" s="114"/>
      <c r="B109" s="143" t="s">
        <v>1623</v>
      </c>
      <c r="C109" s="144"/>
      <c r="D109" s="315">
        <f>SUM(U109,V109)</f>
        <v>0</v>
      </c>
      <c r="E109" s="315"/>
      <c r="F109" s="392"/>
      <c r="G109" s="345"/>
      <c r="H109" s="1548"/>
      <c r="I109" s="335">
        <f>VLOOKUP($B109&amp;"; "&amp;$I$106&amp;", "&amp;I$107,'FE Energie'!$G:$U,9,FALSE)</f>
        <v>0.48699999999999999</v>
      </c>
      <c r="J109" s="335">
        <f>VLOOKUP($B109&amp;"; "&amp;$I$106&amp;", "&amp;J$107,'FE Energie'!$G:$U,9,FALSE)</f>
        <v>2.97</v>
      </c>
      <c r="K109" s="1548"/>
      <c r="L109" s="223">
        <f>VLOOKUP($B109&amp;"; "&amp;$L$106&amp;", "&amp;L$107,'FE Energie'!$G:$U,9,FALSE)</f>
        <v>3.9E-2</v>
      </c>
      <c r="M109" s="223">
        <f>VLOOKUP($B109&amp;"; "&amp;$L$106&amp;", "&amp;M$107,'FE Energie'!$G:$U,9,FALSE)</f>
        <v>0.23300000000000001</v>
      </c>
      <c r="N109" s="1548"/>
      <c r="O109" s="217">
        <f>VLOOKUP($B109&amp;"; "&amp;$O$106&amp;", "&amp;O$107,'FE Energie'!$G:$U,9,FALSE)</f>
        <v>445</v>
      </c>
      <c r="P109" s="217">
        <f>VLOOKUP($B109&amp;"; "&amp;$O$106&amp;", "&amp;P$107,'FE Energie'!$G:$U,9,FALSE)</f>
        <v>2720</v>
      </c>
      <c r="Q109" s="1086"/>
      <c r="R109" s="223">
        <f>VLOOKUP($B109&amp;"; "&amp;$R$106&amp;", "&amp;R$107,'FE Energie'!$G:$U,9,FALSE)</f>
        <v>0.25600000000000001</v>
      </c>
      <c r="S109" s="223">
        <f>VLOOKUP($B109&amp;"; "&amp;$R$106&amp;", "&amp;S$107,'FE Energie'!$G:$U,9,FALSE)</f>
        <v>1.54</v>
      </c>
      <c r="T109" s="123"/>
      <c r="U109" s="566">
        <f t="shared" ref="U109:U115" si="20">IF(T109=0,0,(IF(ISNA(H109*I109),0,H109*I109)+IF(ISNA(K109*L109),0,K109*L109)+IF(ISNA(N109*O109),0,N109*O109)+IF(ISNA(Q109*R109),0,Q109*R109))/T109)</f>
        <v>0</v>
      </c>
      <c r="V109" s="566">
        <f t="shared" ref="V109:V115" si="21">IF(T109=0,0,(IF(ISNA(H109*J109),0,H109*J109)+IF(ISNA(K109*M109),0,K109*M109)+IF(ISNA(N109*P109),0,N109*P109)+IF(ISNA(Q109*S109),0,Q109*S109))/T109)</f>
        <v>0</v>
      </c>
      <c r="W109" s="1286">
        <f>IF(OR(G109=Utilitaires!$I$572,G109=Utilitaires!$I$577),V109,0)</f>
        <v>0</v>
      </c>
      <c r="Y109" s="1092">
        <f>IF(AD109=0,AD109,AD109/(U109+V109))</f>
        <v>0</v>
      </c>
      <c r="Z109" s="345"/>
      <c r="AA109" s="820"/>
      <c r="AB109" s="164">
        <f>IF(T109=0,0,(SQRT(SUMSQ(IF(ISNA($H109*I109*BN109),0,$H109*I109*BN109),IF(ISNA($K109*L109*BO109),0,$K109*L109*BO109),IF(ISNA($N109*O109*BP109),0,$N109*O109*BP109),IF(ISNA($Q109*R109*BQ109),0,$Q109*R109*BQ109))))/T109)</f>
        <v>0</v>
      </c>
      <c r="AC109" s="164">
        <f>IF(T109=0,0,(SQRT(SUMSQ(IF(ISNA($H109*J109*BR109),0,$H109*J109*BR109),IF(ISNA($K109*M109*BS109),0,$K109*M109*BS109),IF(ISNA($N109*P109*BT109),0,$N109*P109*BT109),IF(ISNA($Q109*S109*BU109),0,$Q109*S109*BU109))))/T109)</f>
        <v>0</v>
      </c>
      <c r="AD109" s="152">
        <f>SQRT(SUMSQ(AB109,AC109))</f>
        <v>0</v>
      </c>
      <c r="AE109" s="1286">
        <f t="shared" ref="AE109:AE115" si="22">W109*Y109</f>
        <v>0</v>
      </c>
      <c r="AF109" s="114"/>
      <c r="AG109" s="564">
        <f>IF(T109=0,0,(
$H109*IF(ISNA(VLOOKUP($B109&amp;"; "&amp;$I$26&amp;", "&amp;I$27,'FE Energie'!$G:$U,10,FALSE)),0,VLOOKUP($B109&amp;"; "&amp;$I$26&amp;", "&amp;I$27,'FE Energie'!$G:$U,10,FALSE))
+$K109*IF(ISNA(VLOOKUP($B109&amp;"; "&amp;$L$26&amp;", "&amp;I$27,'FE Energie'!$G:$U,10,FALSE)),0,VLOOKUP($B109&amp;"; "&amp;$L$26&amp;", "&amp;I$27,'FE Energie'!$G:$U,10,FALSE))
+$N109*IF(ISNA(VLOOKUP($B109&amp;"; "&amp;$O$26&amp;", "&amp;I$27,'FE Energie'!$G:$U,10,FALSE)),0,VLOOKUP($B109&amp;"; "&amp;$O$26&amp;", "&amp;I$27,'FE Energie'!$G:$U,10,FALSE))
+$Q109*IF(ISNA(VLOOKUP($B109&amp;"; "&amp;$R$26&amp;", "&amp;I$27,'FE Energie'!$G:$U,10,FALSE)),0,VLOOKUP($B109&amp;"; "&amp;$R$26&amp;", "&amp;I$27,'FE Energie'!$G:$U,10,FALSE))
)/T109)</f>
        <v>0</v>
      </c>
      <c r="AH109" s="565">
        <f>IF(T109=0,0,(
$H109*IF(ISNA(VLOOKUP($B109&amp;"; "&amp;$I$26&amp;", "&amp;J$27,'FE Energie'!$G:$U,10,FALSE)),0,VLOOKUP($B109&amp;"; "&amp;$I$26&amp;", "&amp;J$27,'FE Energie'!$G:$U,10,FALSE))
+$K109*IF(ISNA(VLOOKUP($B109&amp;"; "&amp;$L$26&amp;", "&amp;J$27,'FE Energie'!$G:$U,10,FALSE)),0,VLOOKUP($B109&amp;"; "&amp;$L$26&amp;", "&amp;J$27,'FE Energie'!$G:$U,10,FALSE))
+$N109*IF(ISNA(VLOOKUP($B109&amp;"; "&amp;$O$26&amp;", "&amp;J$27,'FE Energie'!$G:$U,10,FALSE)),0,VLOOKUP($B109&amp;"; "&amp;$O$26&amp;", "&amp;J$27,'FE Energie'!$G:$U,10,FALSE))
+$Q109*IF(ISNA(VLOOKUP($B109&amp;"; "&amp;$R$26&amp;", "&amp;J$27,'FE Energie'!$G:$U,10,FALSE)),0,VLOOKUP($B109&amp;"; "&amp;$R$26&amp;", "&amp;J$27,'FE Energie'!$G:$U,10,FALSE))
)/T109)</f>
        <v>0</v>
      </c>
      <c r="AI109" s="620">
        <f>IF(T109=0,0,(
$H109*IF(ISNA((VLOOKUP($B109&amp;"; "&amp;$I$26&amp;", "&amp;I$27,'FE Energie'!$G:$U,12,FALSE)+VLOOKUP($B109&amp;"; "&amp;$I$26&amp;", "&amp;I$27,'FE Energie'!$G:$U,11,FALSE))),0,(VLOOKUP($B109&amp;"; "&amp;$I$26&amp;", "&amp;I$27,'FE Energie'!$G:$U,12,FALSE)+VLOOKUP($B109&amp;"; "&amp;$I$26&amp;", "&amp;I$27,'FE Energie'!$G:$U,11,FALSE)))
+$K109*IF(ISNA((VLOOKUP($B109&amp;"; "&amp;$L$26&amp;", "&amp;I$27,'FE Energie'!$G:$U,12,FALSE)+VLOOKUP($B109&amp;"; "&amp;$L$26&amp;", "&amp;I$27,'FE Energie'!$G:$U,11,FALSE))),0,(VLOOKUP($B109&amp;"; "&amp;$L$26&amp;", "&amp;I$27,'FE Energie'!$G:$U,12,FALSE)+VLOOKUP($B109&amp;"; "&amp;$L$26&amp;", "&amp;I$27,'FE Energie'!$G:$U,11,FALSE)))
+$N109*IF(ISNA((VLOOKUP($B109&amp;"; "&amp;$O$26&amp;", "&amp;I$27,'FE Energie'!$G:$U,12,FALSE)+VLOOKUP($B109&amp;"; "&amp;$O$26&amp;", "&amp;I$27,'FE Energie'!$G:$U,11,FALSE))),0,(VLOOKUP($B109&amp;"; "&amp;$O$26&amp;", "&amp;I$27,'FE Energie'!$G:$U,12,FALSE)+VLOOKUP($B109&amp;"; "&amp;$O$26&amp;", "&amp;I$27,'FE Energie'!$G:$U,11,FALSE)))
+$Q109*IF(ISNA((VLOOKUP($B109&amp;"; "&amp;$R$26&amp;", "&amp;I$27,'FE Energie'!$G:$U,12,FALSE)+VLOOKUP($B109&amp;"; "&amp;$R$26&amp;", "&amp;I$27,'FE Energie'!$G:$U,11,FALSE))),0,(VLOOKUP($B109&amp;"; "&amp;$R$26&amp;", "&amp;I$27,'FE Energie'!$G:$U,12,FALSE)+VLOOKUP($B109&amp;"; "&amp;$R$26&amp;", "&amp;I$27,'FE Energie'!$G:$U,11,FALSE)))
)/T109)</f>
        <v>0</v>
      </c>
      <c r="AJ109" s="620">
        <f>IF(T109=0,0,(
$H109*IF(ISNA((VLOOKUP($B109&amp;"; "&amp;$I$26&amp;", "&amp;J$27,'FE Energie'!$G:$U,12,FALSE)+VLOOKUP($B109&amp;"; "&amp;$I$26&amp;", "&amp;J$27,'FE Energie'!$G:$U,11,FALSE))),0,(VLOOKUP($B109&amp;"; "&amp;$I$26&amp;", "&amp;J$27,'FE Energie'!$G:$U,12,FALSE)+VLOOKUP($B109&amp;"; "&amp;$I$26&amp;", "&amp;J$27,'FE Energie'!$G:$U,11,FALSE)))
+$K109*IF(ISNA((VLOOKUP($B109&amp;"; "&amp;$L$26&amp;", "&amp;J$27,'FE Energie'!$G:$U,12,FALSE)+VLOOKUP($B109&amp;"; "&amp;$L$26&amp;", "&amp;J$27,'FE Energie'!$G:$U,11,FALSE))),0,(VLOOKUP($B109&amp;"; "&amp;$L$26&amp;", "&amp;J$27,'FE Energie'!$G:$U,12,FALSE)+VLOOKUP($B109&amp;"; "&amp;$L$26&amp;", "&amp;J$27,'FE Energie'!$G:$U,11,FALSE)))
+$N109*IF(ISNA((VLOOKUP($B109&amp;"; "&amp;$O$26&amp;", "&amp;J$27,'FE Energie'!$G:$U,12,FALSE)+VLOOKUP($B109&amp;"; "&amp;$O$26&amp;", "&amp;J$27,'FE Energie'!$G:$U,11,FALSE))),0,(VLOOKUP($B109&amp;"; "&amp;$O$26&amp;", "&amp;J$27,'FE Energie'!$G:$U,12,FALSE)+VLOOKUP($B109&amp;"; "&amp;$O$26&amp;", "&amp;J$27,'FE Energie'!$G:$U,11,FALSE)))
+$Q109*IF(ISNA((VLOOKUP($B109&amp;"; "&amp;$R$26&amp;", "&amp;J$27,'FE Energie'!$G:$U,12,FALSE)+VLOOKUP($B109&amp;"; "&amp;$R$26&amp;", "&amp;J$27,'FE Energie'!$G:$U,11,FALSE))),0,(VLOOKUP($B109&amp;"; "&amp;$R$26&amp;", "&amp;J$27,'FE Energie'!$G:$U,12,FALSE)+VLOOKUP($B109&amp;"; "&amp;$R$26&amp;", "&amp;J$27,'FE Energie'!$G:$U,11,FALSE)))
)/T109)</f>
        <v>0</v>
      </c>
      <c r="AK109" s="620">
        <f>IF(T109=0,0,(
$H109*IF(ISNA(VLOOKUP($B109&amp;"; "&amp;$I$26&amp;", "&amp;I$27,'FE Energie'!$G:$U,13,FALSE)),0,VLOOKUP($B109&amp;"; "&amp;$I$26&amp;", "&amp;I$27,'FE Energie'!$G:$U,13,FALSE))
+$K109*IF(ISNA(VLOOKUP($B109&amp;"; "&amp;$L$26&amp;", "&amp;I$27,'FE Energie'!$G:$U,13,FALSE)),0,VLOOKUP($B109&amp;"; "&amp;$L$26&amp;", "&amp;I$27,'FE Energie'!$G:$U,13,FALSE))
+$N109*IF(ISNA(VLOOKUP($B109&amp;"; "&amp;$O$26&amp;", "&amp;I$27,'FE Energie'!$G:$U,13,FALSE)),0,VLOOKUP($B109&amp;"; "&amp;$O$26&amp;", "&amp;I$27,'FE Energie'!$G:$U,13,FALSE))
+$Q109*IF(ISNA(VLOOKUP($B109&amp;"; "&amp;$R$26&amp;", "&amp;I$27,'FE Energie'!$G:$U,13,FALSE)),0,VLOOKUP($B109&amp;"; "&amp;$R$26&amp;", "&amp;I$27,'FE Energie'!$G:$U,13,FALSE))
)/T109)</f>
        <v>0</v>
      </c>
      <c r="AL109" s="620">
        <f>IF(T109=0,0,(
$H109*IF(ISNA(VLOOKUP($B109&amp;"; "&amp;$I$26&amp;", "&amp;J$27,'FE Energie'!$G:$U,13,FALSE)),0,VLOOKUP($B109&amp;"; "&amp;$I$26&amp;", "&amp;J$27,'FE Energie'!$G:$U,13,FALSE))
+$K109*IF(ISNA(VLOOKUP($B109&amp;"; "&amp;$L$26&amp;", "&amp;J$27,'FE Energie'!$G:$U,13,FALSE)),0,VLOOKUP($B109&amp;"; "&amp;$L$26&amp;", "&amp;J$27,'FE Energie'!$G:$U,13,FALSE))
+$N109*IF(ISNA(VLOOKUP($B109&amp;"; "&amp;$O$26&amp;", "&amp;J$27,'FE Energie'!$G:$U,13,FALSE)),0,VLOOKUP($B109&amp;"; "&amp;$O$26&amp;", "&amp;J$27,'FE Energie'!$G:$U,13,FALSE))
+$Q109*IF(ISNA(VLOOKUP($B109&amp;"; "&amp;$R$26&amp;", "&amp;J$27,'FE Energie'!$G:$U,13,FALSE)),0,VLOOKUP($B109&amp;"; "&amp;$R$26&amp;", "&amp;J$27,'FE Energie'!$G:$U,13,FALSE))
)/T109)</f>
        <v>0</v>
      </c>
      <c r="AM109" s="565">
        <f>IF(T109=0,0,(
$H109*IF(ISNA(VLOOKUP($B109&amp;"; "&amp;$I$26&amp;", "&amp;I$27,'FE Energie'!$G:$U,14,FALSE)),0,VLOOKUP($B109&amp;"; "&amp;$I$26&amp;", "&amp;I$27,'FE Energie'!$G:$U,14,FALSE))
+$K109*IF(ISNA(VLOOKUP($B109&amp;"; "&amp;$L$26&amp;", "&amp;I$27,'FE Energie'!$G:$U,14,FALSE)),0,VLOOKUP($B109&amp;"; "&amp;$L$26&amp;", "&amp;I$27,'FE Energie'!$G:$U,14,FALSE))
+$N109*IF(ISNA(VLOOKUP($B109&amp;"; "&amp;$O$26&amp;", "&amp;I$27,'FE Energie'!$G:$U,14,FALSE)),0,VLOOKUP($B109&amp;"; "&amp;$O$26&amp;", "&amp;I$27,'FE Energie'!$G:$U,14,FALSE))
+$Q109*IF(ISNA(VLOOKUP($B109&amp;"; "&amp;$R$26&amp;", "&amp;I$27,'FE Energie'!$G:$U,14,FALSE)),0,VLOOKUP($B109&amp;"; "&amp;$R$26&amp;", "&amp;I$27,'FE Energie'!$G:$U,14,FALSE))
)/T109)</f>
        <v>0</v>
      </c>
      <c r="AN109" s="565">
        <f>IF(T109=0,0,(
$H109*IF(ISNA(VLOOKUP($B109&amp;"; "&amp;$I$26&amp;", "&amp;J$27,'FE Energie'!$G:$U,14,FALSE)),0,VLOOKUP($B109&amp;"; "&amp;$I$26&amp;", "&amp;J$27,'FE Energie'!$G:$U,14,FALSE))
+$K109*IF(ISNA(VLOOKUP($B109&amp;"; "&amp;$L$26&amp;", "&amp;J$27,'FE Energie'!$G:$U,14,FALSE)),0,VLOOKUP($B109&amp;"; "&amp;$L$26&amp;", "&amp;J$27,'FE Energie'!$G:$U,14,FALSE))
+$N109*IF(ISNA(VLOOKUP($B109&amp;"; "&amp;$O$26&amp;", "&amp;J$27,'FE Energie'!$G:$U,14,FALSE)),0,VLOOKUP($B109&amp;"; "&amp;$O$26&amp;", "&amp;J$27,'FE Energie'!$G:$U,14,FALSE))
+$Q109*IF(ISNA(VLOOKUP($B109&amp;"; "&amp;$R$26&amp;", "&amp;J$27,'FE Energie'!$G:$U,14,FALSE)),0,VLOOKUP($B109&amp;"; "&amp;$R$26&amp;", "&amp;J$27,'FE Energie'!$G:$U,14,FALSE))
)/T109)</f>
        <v>0</v>
      </c>
      <c r="AO109" s="566">
        <f t="shared" ref="AO109:AO115" si="23">SUM(AG109,AI109,AK109,AM109)</f>
        <v>0</v>
      </c>
      <c r="AP109" s="566">
        <f t="shared" ref="AP109:AP115" si="24">SUM(AH109,AJ109,AL109,AN109)</f>
        <v>0</v>
      </c>
      <c r="AQ109" s="564">
        <f>IF(T109=0,0,(
$H109*IF(ISNA(VLOOKUP($B109&amp;"; "&amp;$I$26&amp;", "&amp;I$27,'FE Energie'!$G:$U,15,FALSE)),0,VLOOKUP($B109&amp;"; "&amp;$I$26&amp;", "&amp;I$27,'FE Energie'!$G:$U,15,FALSE))
+$K109*IF(ISNA(VLOOKUP($B109&amp;"; "&amp;$L$26&amp;", "&amp;I$27,'FE Energie'!$G:$U,15,FALSE)),0,VLOOKUP($B109&amp;"; "&amp;$L$26&amp;", "&amp;I$27,'FE Energie'!$G:$U,15,FALSE))
+$N109*IF(ISNA(VLOOKUP($B109&amp;"; "&amp;$O$26&amp;", "&amp;I$27,'FE Energie'!$G:$U,15,FALSE)),0,VLOOKUP($B109&amp;"; "&amp;$O$26&amp;", "&amp;I$27,'FE Energie'!$G:$U,15,FALSE))
+$Q109*IF(ISNA(VLOOKUP($B109&amp;"; "&amp;$R$26&amp;", "&amp;I$27,'FE Energie'!$G:$U,15,FALSE)),0,VLOOKUP($B109&amp;"; "&amp;$R$26&amp;", "&amp;I$27,'FE Energie'!$G:$U,15,FALSE))
)/T109)</f>
        <v>0</v>
      </c>
      <c r="AR109" s="568">
        <f>IF(T109=0,0,(
$H109*IF(ISNA(VLOOKUP($B109&amp;"; "&amp;$I$26&amp;", "&amp;J$27,'FE Energie'!$G:$U,15,FALSE)),0,VLOOKUP($B109&amp;"; "&amp;$I$26&amp;", "&amp;J$27,'FE Energie'!$G:$U,15,FALSE))
+$K109*IF(ISNA(VLOOKUP($B109&amp;"; "&amp;$L$26&amp;", "&amp;J$27,'FE Energie'!$G:$U,15,FALSE)),0,VLOOKUP($B109&amp;"; "&amp;$L$26&amp;", "&amp;J$27,'FE Energie'!$G:$U,15,FALSE))
+$N109*IF(ISNA(VLOOKUP($B109&amp;"; "&amp;$O$26&amp;", "&amp;J$27,'FE Energie'!$G:$U,15,FALSE)),0,VLOOKUP($B109&amp;"; "&amp;$O$26&amp;", "&amp;J$27,'FE Energie'!$G:$U,15,FALSE))
+$Q109*IF(ISNA(VLOOKUP($B109&amp;"; "&amp;$R$26&amp;", "&amp;J$27,'FE Energie'!$G:$U,15,FALSE)),0,VLOOKUP($B109&amp;"; "&amp;$R$26&amp;", "&amp;J$27,'FE Energie'!$G:$U,15,FALSE))
)/T109)</f>
        <v>0</v>
      </c>
      <c r="AU109" s="891" t="str">
        <f t="shared" si="18"/>
        <v/>
      </c>
      <c r="AV109" s="892" t="str">
        <f t="shared" si="18"/>
        <v/>
      </c>
      <c r="AW109" s="892" t="str">
        <f t="shared" si="18"/>
        <v/>
      </c>
      <c r="AX109" s="892" t="str">
        <f t="shared" si="18"/>
        <v/>
      </c>
      <c r="AY109" s="892" t="str">
        <f t="shared" si="18"/>
        <v/>
      </c>
      <c r="AZ109" s="892" t="str">
        <f t="shared" si="18"/>
        <v/>
      </c>
      <c r="BA109" s="892" t="str">
        <f t="shared" si="18"/>
        <v/>
      </c>
      <c r="BB109" s="892" t="str">
        <f t="shared" si="18"/>
        <v/>
      </c>
      <c r="BC109" s="900">
        <f>SUM(AU109,AW109,AY109,BA109)</f>
        <v>0</v>
      </c>
      <c r="BD109" s="900">
        <f>SUM(AV109,AX109,AZ109,BB109)</f>
        <v>0</v>
      </c>
      <c r="BE109" s="891" t="str">
        <f>IF($F109="Oui",IF(AQ109="","",AQ109*$T109),"")</f>
        <v/>
      </c>
      <c r="BF109" s="901" t="str">
        <f>IF($F109="Oui",IF(AR109="","",AR109*$T109),"")</f>
        <v/>
      </c>
      <c r="BG109" s="892" t="str">
        <f t="shared" si="19"/>
        <v/>
      </c>
      <c r="BH109" s="901" t="str">
        <f t="shared" si="19"/>
        <v/>
      </c>
      <c r="BJ109" s="1065">
        <f>IF($Z109&lt;&gt;"votre valeur :",IF(ISNA(VLOOKUP($Z109,Utilitaires!$N$566:$O$571,2,FALSE)),,VLOOKUP($Z109,Utilitaires!$N$566:$O$571,2,FALSE)),$AA109)</f>
        <v>0</v>
      </c>
      <c r="BK109" s="1065">
        <f>IF($Z109&lt;&gt;"votre valeur :",IF(ISNA(VLOOKUP($Z109,Utilitaires!$N$566:$O$571,2,FALSE)),,VLOOKUP($Z109,Utilitaires!$N$566:$O$571,2,FALSE)),$AA109)</f>
        <v>0</v>
      </c>
      <c r="BL109" s="1065">
        <f>IF($Z109&lt;&gt;"votre valeur :",IF(ISNA(VLOOKUP($Z109,Utilitaires!$N$566:$O$571,2,FALSE)),,VLOOKUP($Z109,Utilitaires!$N$566:$O$571,2,FALSE)),$AA109)</f>
        <v>0</v>
      </c>
      <c r="BM109" s="1167">
        <f>IF($Z109&lt;&gt;"votre valeur :",IF(ISNA(VLOOKUP($Z109,Utilitaires!$N$566:$O$571,2,FALSE)),,VLOOKUP($Z109,Utilitaires!$N$566:$O$571,2,FALSE)),$AA109)</f>
        <v>0</v>
      </c>
      <c r="BN109" s="1068">
        <f>IF(ISNA(SQRT(SUMSQ(VLOOKUP($B109&amp;"; "&amp;$I$26&amp;", "&amp;$I$27,'FE Energie'!$G:$U,7,FALSE),$BJ109))),0,SQRT(SUMSQ(VLOOKUP($B109&amp;"; "&amp;$I$26&amp;", "&amp;$I$27,'FE Energie'!$G:$U,7,FALSE),$BJ109)))</f>
        <v>0.05</v>
      </c>
      <c r="BO109" s="1068">
        <f>IF(ISNA(SQRT(SUMSQ(VLOOKUP($B109&amp;"; "&amp;$L$26&amp;", "&amp;$L$27,'FE Energie'!$G:$U,7,FALSE),$BK109))),0,SQRT(SUMSQ(VLOOKUP($B109&amp;"; "&amp;$L$26&amp;", "&amp;$L$27,'FE Energie'!$G:$U,7,FALSE),$BK109)))</f>
        <v>0.05</v>
      </c>
      <c r="BP109" s="1068">
        <f>IF(ISNA(SQRT(SUMSQ(VLOOKUP($B109&amp;"; "&amp;$O$26&amp;", "&amp;$O$27,'FE Energie'!$G:$U,7,FALSE),$BL109))),0,SQRT(SUMSQ(VLOOKUP($B109&amp;"; "&amp;$O$26&amp;", "&amp;$O$27,'FE Energie'!$G:$U,7,FALSE),$BL109)))</f>
        <v>0.05</v>
      </c>
      <c r="BQ109" s="1068">
        <f>IF(ISNA(SQRT(SUMSQ(VLOOKUP($B109&amp;"; "&amp;$R$26&amp;", "&amp;$R$27,'FE Energie'!$G:$U,7,FALSE),$BM109))),0,SQRT(SUMSQ(VLOOKUP($B109&amp;"; "&amp;$R$26&amp;", "&amp;$R$27,'FE Energie'!$G:$U,7,FALSE),$BM109)))</f>
        <v>0.05</v>
      </c>
      <c r="BR109" s="1124">
        <f>IF(ISNA(SQRT(SUMSQ(VLOOKUP($B109&amp;"; "&amp;$I$26&amp;", "&amp;$J$27,'FE Energie'!$G:$U,7,FALSE),$BJ109))),0,SQRT(SUMSQ(VLOOKUP($B109&amp;"; "&amp;$I$26&amp;", "&amp;$J$27,'FE Energie'!$G:$U,7,FALSE),$BJ109)))</f>
        <v>0.05</v>
      </c>
      <c r="BS109" s="1070">
        <f>IF(ISNA(SQRT(SUMSQ(VLOOKUP($B109&amp;"; "&amp;$L$26&amp;", "&amp;$M$27,'FE Energie'!$G:$U,7,FALSE),$BK109))),0,SQRT(SUMSQ(VLOOKUP($B109&amp;"; "&amp;$L$26&amp;", "&amp;$M$27,'FE Energie'!$G:$U,7,FALSE),$BK109)))</f>
        <v>0.05</v>
      </c>
      <c r="BT109" s="1070">
        <f>IF(ISNA(SQRT(SUMSQ(VLOOKUP($B109&amp;"; "&amp;$O$26&amp;", "&amp;$P$27,'FE Energie'!$G:$U,7,FALSE),$BL109))),0,SQRT(SUMSQ(VLOOKUP($B109&amp;"; "&amp;$O$26&amp;", "&amp;$P$27,'FE Energie'!$G:$U,7,FALSE),$BL109)))</f>
        <v>0.05</v>
      </c>
      <c r="BU109" s="1071">
        <f>IF(ISNA(SQRT(SUMSQ(VLOOKUP($B109&amp;"; "&amp;$R$26&amp;", "&amp;$S$27,'FE Energie'!$G:$U,7,FALSE),$BM109))),0,SQRT(SUMSQ(VLOOKUP($B109&amp;"; "&amp;$R$26&amp;", "&amp;$S$27,'FE Energie'!$G:$U,7,FALSE),$BM109)))</f>
        <v>0.05</v>
      </c>
    </row>
    <row r="110" spans="1:73" s="116" customFormat="1" ht="12.75" hidden="1" customHeight="1" outlineLevel="2">
      <c r="A110" s="114"/>
      <c r="B110" s="536" t="s">
        <v>1637</v>
      </c>
      <c r="C110" s="144"/>
      <c r="D110" s="315"/>
      <c r="E110" s="315"/>
      <c r="F110" s="141"/>
      <c r="G110" s="822"/>
      <c r="H110" s="1583"/>
      <c r="I110" s="335"/>
      <c r="J110" s="335"/>
      <c r="K110" s="1583"/>
      <c r="L110" s="223"/>
      <c r="M110" s="223"/>
      <c r="N110" s="1583"/>
      <c r="O110" s="217"/>
      <c r="P110" s="217"/>
      <c r="Q110" s="1200"/>
      <c r="R110" s="223"/>
      <c r="S110" s="223"/>
      <c r="T110" s="1200"/>
      <c r="U110" s="566"/>
      <c r="V110" s="566"/>
      <c r="W110" s="1286"/>
      <c r="Y110" s="1092"/>
      <c r="Z110" s="820"/>
      <c r="AA110" s="820"/>
      <c r="AB110" s="164"/>
      <c r="AC110" s="164"/>
      <c r="AD110" s="152"/>
      <c r="AE110" s="1286"/>
      <c r="AF110" s="114"/>
      <c r="AG110" s="564"/>
      <c r="AH110" s="565"/>
      <c r="AI110" s="620"/>
      <c r="AJ110" s="620"/>
      <c r="AK110" s="620"/>
      <c r="AL110" s="620"/>
      <c r="AM110" s="565"/>
      <c r="AN110" s="565"/>
      <c r="AO110" s="566"/>
      <c r="AP110" s="566"/>
      <c r="AQ110" s="564"/>
      <c r="AR110" s="568"/>
      <c r="AU110" s="891"/>
      <c r="AV110" s="892"/>
      <c r="AW110" s="892"/>
      <c r="AX110" s="892"/>
      <c r="AY110" s="892"/>
      <c r="AZ110" s="892"/>
      <c r="BA110" s="892"/>
      <c r="BB110" s="892"/>
      <c r="BC110" s="900"/>
      <c r="BD110" s="900"/>
      <c r="BE110" s="891"/>
      <c r="BF110" s="901"/>
      <c r="BG110" s="892" t="str">
        <f t="shared" si="19"/>
        <v/>
      </c>
      <c r="BH110" s="901" t="str">
        <f t="shared" si="19"/>
        <v/>
      </c>
      <c r="BJ110" s="1065"/>
      <c r="BK110" s="1065"/>
      <c r="BL110" s="1065"/>
      <c r="BM110" s="1167"/>
      <c r="BN110" s="1068"/>
      <c r="BO110" s="1068"/>
      <c r="BP110" s="1068"/>
      <c r="BQ110" s="1068"/>
      <c r="BR110" s="1124"/>
      <c r="BS110" s="1070"/>
      <c r="BT110" s="1070"/>
      <c r="BU110" s="1071"/>
    </row>
    <row r="111" spans="1:73" s="116" customFormat="1" ht="12.75" hidden="1" customHeight="1" outlineLevel="2">
      <c r="A111" s="114"/>
      <c r="B111" s="143" t="s">
        <v>1626</v>
      </c>
      <c r="C111" s="144"/>
      <c r="D111" s="315">
        <f>SUM(U111,V111)</f>
        <v>0</v>
      </c>
      <c r="E111" s="315"/>
      <c r="F111" s="391"/>
      <c r="G111" s="343"/>
      <c r="H111" s="1547"/>
      <c r="I111" s="335" t="e">
        <f>VLOOKUP($B111&amp;"; "&amp;$I$106&amp;", "&amp;I$107,'FE Energie'!$G:$U,9,FALSE)</f>
        <v>#N/A</v>
      </c>
      <c r="J111" s="335" t="e">
        <f>VLOOKUP($B111&amp;"; "&amp;$I$106&amp;", "&amp;J$107,'FE Energie'!$G:$U,9,FALSE)</f>
        <v>#N/A</v>
      </c>
      <c r="K111" s="1547"/>
      <c r="L111" s="223">
        <f>VLOOKUP($B111&amp;"; "&amp;$L$106&amp;", "&amp;L$107,'FE Energie'!$G:$U,9,FALSE)</f>
        <v>3.8899999999999997E-2</v>
      </c>
      <c r="M111" s="223">
        <f>VLOOKUP($B111&amp;"; "&amp;$L$106&amp;", "&amp;M$107,'FE Energie'!$G:$U,9,FALSE)</f>
        <v>0.20499999999999999</v>
      </c>
      <c r="N111" s="1547"/>
      <c r="O111" s="217">
        <f>VLOOKUP($B111&amp;"; "&amp;$O$106&amp;", "&amp;O$107,'FE Energie'!$G:$U,9,FALSE)</f>
        <v>378</v>
      </c>
      <c r="P111" s="217">
        <f>VLOOKUP($B111&amp;"; "&amp;$O$106&amp;", "&amp;P$107,'FE Energie'!$G:$U,9,FALSE)</f>
        <v>2390</v>
      </c>
      <c r="Q111" s="1085"/>
      <c r="R111" s="223" t="e">
        <f>VLOOKUP($B111&amp;"; "&amp;$R$106&amp;", "&amp;R$107,'FE Energie'!$G:$U,9,FALSE)</f>
        <v>#N/A</v>
      </c>
      <c r="S111" s="223" t="e">
        <f>VLOOKUP($B111&amp;"; "&amp;$R$106&amp;", "&amp;S$107,'FE Energie'!$G:$U,9,FALSE)</f>
        <v>#N/A</v>
      </c>
      <c r="T111" s="117"/>
      <c r="U111" s="566">
        <f t="shared" si="20"/>
        <v>0</v>
      </c>
      <c r="V111" s="566">
        <f t="shared" si="21"/>
        <v>0</v>
      </c>
      <c r="W111" s="1286">
        <f>IF(OR(G111=Utilitaires!$I$572,G111=Utilitaires!$I$577),V111,0)</f>
        <v>0</v>
      </c>
      <c r="Y111" s="1092">
        <f>IF(AD111=0,AD111,AD111/(U111+V111))</f>
        <v>0</v>
      </c>
      <c r="Z111" s="343"/>
      <c r="AA111" s="820"/>
      <c r="AB111" s="164">
        <f>IF(T111=0,0,(SQRT(SUMSQ(IF(ISNA($H111*I111*BN111),0,$H111*I111*BN111),IF(ISNA($K111*L111*BO111),0,$K111*L111*BO111),IF(ISNA($N111*O111*BP111),0,$N111*O111*BP111),IF(ISNA($Q111*R111*BQ111),0,$Q111*R111*BQ111))))/T111)</f>
        <v>0</v>
      </c>
      <c r="AC111" s="164">
        <f>IF(T111=0,0,(SQRT(SUMSQ(IF(ISNA($H111*J111*BR111),0,$H111*J111*BR111),IF(ISNA($K111*M111*BS111),0,$K111*M111*BS111),IF(ISNA($N111*P111*BT111),0,$N111*P111*BT111),IF(ISNA($Q111*S111*BU111),0,$Q111*S111*BU111))))/T111)</f>
        <v>0</v>
      </c>
      <c r="AD111" s="152">
        <f>SQRT(SUMSQ(AB111,AC111))</f>
        <v>0</v>
      </c>
      <c r="AE111" s="1286">
        <f t="shared" si="22"/>
        <v>0</v>
      </c>
      <c r="AF111" s="114"/>
      <c r="AG111" s="564">
        <f>IF(T111=0,0,(
$H111*IF(ISNA(VLOOKUP($B111&amp;"; "&amp;$I$26&amp;", "&amp;I$27,'FE Energie'!$G:$U,10,FALSE)),0,VLOOKUP($B111&amp;"; "&amp;$I$26&amp;", "&amp;I$27,'FE Energie'!$G:$U,10,FALSE))
+$K111*IF(ISNA(VLOOKUP($B111&amp;"; "&amp;$L$26&amp;", "&amp;I$27,'FE Energie'!$G:$U,10,FALSE)),0,VLOOKUP($B111&amp;"; "&amp;$L$26&amp;", "&amp;I$27,'FE Energie'!$G:$U,10,FALSE))
+$N111*IF(ISNA(VLOOKUP($B111&amp;"; "&amp;$O$26&amp;", "&amp;I$27,'FE Energie'!$G:$U,10,FALSE)),0,VLOOKUP($B111&amp;"; "&amp;$O$26&amp;", "&amp;I$27,'FE Energie'!$G:$U,10,FALSE))
+$Q111*IF(ISNA(VLOOKUP($B111&amp;"; "&amp;$R$26&amp;", "&amp;I$27,'FE Energie'!$G:$U,10,FALSE)),0,VLOOKUP($B111&amp;"; "&amp;$R$26&amp;", "&amp;I$27,'FE Energie'!$G:$U,10,FALSE))
)/T111)</f>
        <v>0</v>
      </c>
      <c r="AH111" s="565">
        <f>IF(T111=0,0,(
$H111*IF(ISNA(VLOOKUP($B111&amp;"; "&amp;$I$26&amp;", "&amp;J$27,'FE Energie'!$G:$U,10,FALSE)),0,VLOOKUP($B111&amp;"; "&amp;$I$26&amp;", "&amp;J$27,'FE Energie'!$G:$U,10,FALSE))
+$K111*IF(ISNA(VLOOKUP($B111&amp;"; "&amp;$L$26&amp;", "&amp;J$27,'FE Energie'!$G:$U,10,FALSE)),0,VLOOKUP($B111&amp;"; "&amp;$L$26&amp;", "&amp;J$27,'FE Energie'!$G:$U,10,FALSE))
+$N111*IF(ISNA(VLOOKUP($B111&amp;"; "&amp;$O$26&amp;", "&amp;J$27,'FE Energie'!$G:$U,10,FALSE)),0,VLOOKUP($B111&amp;"; "&amp;$O$26&amp;", "&amp;J$27,'FE Energie'!$G:$U,10,FALSE))
+$Q111*IF(ISNA(VLOOKUP($B111&amp;"; "&amp;$R$26&amp;", "&amp;J$27,'FE Energie'!$G:$U,10,FALSE)),0,VLOOKUP($B111&amp;"; "&amp;$R$26&amp;", "&amp;J$27,'FE Energie'!$G:$U,10,FALSE))
)/T111)</f>
        <v>0</v>
      </c>
      <c r="AI111" s="620">
        <f>IF(T111=0,0,(
$H111*IF(ISNA((VLOOKUP($B111&amp;"; "&amp;$I$26&amp;", "&amp;I$27,'FE Energie'!$G:$U,12,FALSE)+VLOOKUP($B111&amp;"; "&amp;$I$26&amp;", "&amp;I$27,'FE Energie'!$G:$U,11,FALSE))),0,(VLOOKUP($B111&amp;"; "&amp;$I$26&amp;", "&amp;I$27,'FE Energie'!$G:$U,12,FALSE)+VLOOKUP($B111&amp;"; "&amp;$I$26&amp;", "&amp;I$27,'FE Energie'!$G:$U,11,FALSE)))
+$K111*IF(ISNA((VLOOKUP($B111&amp;"; "&amp;$L$26&amp;", "&amp;I$27,'FE Energie'!$G:$U,12,FALSE)+VLOOKUP($B111&amp;"; "&amp;$L$26&amp;", "&amp;I$27,'FE Energie'!$G:$U,11,FALSE))),0,(VLOOKUP($B111&amp;"; "&amp;$L$26&amp;", "&amp;I$27,'FE Energie'!$G:$U,12,FALSE)+VLOOKUP($B111&amp;"; "&amp;$L$26&amp;", "&amp;I$27,'FE Energie'!$G:$U,11,FALSE)))
+$N111*IF(ISNA((VLOOKUP($B111&amp;"; "&amp;$O$26&amp;", "&amp;I$27,'FE Energie'!$G:$U,12,FALSE)+VLOOKUP($B111&amp;"; "&amp;$O$26&amp;", "&amp;I$27,'FE Energie'!$G:$U,11,FALSE))),0,(VLOOKUP($B111&amp;"; "&amp;$O$26&amp;", "&amp;I$27,'FE Energie'!$G:$U,12,FALSE)+VLOOKUP($B111&amp;"; "&amp;$O$26&amp;", "&amp;I$27,'FE Energie'!$G:$U,11,FALSE)))
+$Q111*IF(ISNA((VLOOKUP($B111&amp;"; "&amp;$R$26&amp;", "&amp;I$27,'FE Energie'!$G:$U,12,FALSE)+VLOOKUP($B111&amp;"; "&amp;$R$26&amp;", "&amp;I$27,'FE Energie'!$G:$U,11,FALSE))),0,(VLOOKUP($B111&amp;"; "&amp;$R$26&amp;", "&amp;I$27,'FE Energie'!$G:$U,12,FALSE)+VLOOKUP($B111&amp;"; "&amp;$R$26&amp;", "&amp;I$27,'FE Energie'!$G:$U,11,FALSE)))
)/T111)</f>
        <v>0</v>
      </c>
      <c r="AJ111" s="620">
        <f>IF(T111=0,0,(
$H111*IF(ISNA((VLOOKUP($B111&amp;"; "&amp;$I$26&amp;", "&amp;J$27,'FE Energie'!$G:$U,12,FALSE)+VLOOKUP($B111&amp;"; "&amp;$I$26&amp;", "&amp;J$27,'FE Energie'!$G:$U,11,FALSE))),0,(VLOOKUP($B111&amp;"; "&amp;$I$26&amp;", "&amp;J$27,'FE Energie'!$G:$U,12,FALSE)+VLOOKUP($B111&amp;"; "&amp;$I$26&amp;", "&amp;J$27,'FE Energie'!$G:$U,11,FALSE)))
+$K111*IF(ISNA((VLOOKUP($B111&amp;"; "&amp;$L$26&amp;", "&amp;J$27,'FE Energie'!$G:$U,12,FALSE)+VLOOKUP($B111&amp;"; "&amp;$L$26&amp;", "&amp;J$27,'FE Energie'!$G:$U,11,FALSE))),0,(VLOOKUP($B111&amp;"; "&amp;$L$26&amp;", "&amp;J$27,'FE Energie'!$G:$U,12,FALSE)+VLOOKUP($B111&amp;"; "&amp;$L$26&amp;", "&amp;J$27,'FE Energie'!$G:$U,11,FALSE)))
+$N111*IF(ISNA((VLOOKUP($B111&amp;"; "&amp;$O$26&amp;", "&amp;J$27,'FE Energie'!$G:$U,12,FALSE)+VLOOKUP($B111&amp;"; "&amp;$O$26&amp;", "&amp;J$27,'FE Energie'!$G:$U,11,FALSE))),0,(VLOOKUP($B111&amp;"; "&amp;$O$26&amp;", "&amp;J$27,'FE Energie'!$G:$U,12,FALSE)+VLOOKUP($B111&amp;"; "&amp;$O$26&amp;", "&amp;J$27,'FE Energie'!$G:$U,11,FALSE)))
+$Q111*IF(ISNA((VLOOKUP($B111&amp;"; "&amp;$R$26&amp;", "&amp;J$27,'FE Energie'!$G:$U,12,FALSE)+VLOOKUP($B111&amp;"; "&amp;$R$26&amp;", "&amp;J$27,'FE Energie'!$G:$U,11,FALSE))),0,(VLOOKUP($B111&amp;"; "&amp;$R$26&amp;", "&amp;J$27,'FE Energie'!$G:$U,12,FALSE)+VLOOKUP($B111&amp;"; "&amp;$R$26&amp;", "&amp;J$27,'FE Energie'!$G:$U,11,FALSE)))
)/T111)</f>
        <v>0</v>
      </c>
      <c r="AK111" s="620">
        <f>IF(T111=0,0,(
$H111*IF(ISNA(VLOOKUP($B111&amp;"; "&amp;$I$26&amp;", "&amp;I$27,'FE Energie'!$G:$U,13,FALSE)),0,VLOOKUP($B111&amp;"; "&amp;$I$26&amp;", "&amp;I$27,'FE Energie'!$G:$U,13,FALSE))
+$K111*IF(ISNA(VLOOKUP($B111&amp;"; "&amp;$L$26&amp;", "&amp;I$27,'FE Energie'!$G:$U,13,FALSE)),0,VLOOKUP($B111&amp;"; "&amp;$L$26&amp;", "&amp;I$27,'FE Energie'!$G:$U,13,FALSE))
+$N111*IF(ISNA(VLOOKUP($B111&amp;"; "&amp;$O$26&amp;", "&amp;I$27,'FE Energie'!$G:$U,13,FALSE)),0,VLOOKUP($B111&amp;"; "&amp;$O$26&amp;", "&amp;I$27,'FE Energie'!$G:$U,13,FALSE))
+$Q111*IF(ISNA(VLOOKUP($B111&amp;"; "&amp;$R$26&amp;", "&amp;I$27,'FE Energie'!$G:$U,13,FALSE)),0,VLOOKUP($B111&amp;"; "&amp;$R$26&amp;", "&amp;I$27,'FE Energie'!$G:$U,13,FALSE))
)/T111)</f>
        <v>0</v>
      </c>
      <c r="AL111" s="620">
        <f>IF(T111=0,0,(
$H111*IF(ISNA(VLOOKUP($B111&amp;"; "&amp;$I$26&amp;", "&amp;J$27,'FE Energie'!$G:$U,13,FALSE)),0,VLOOKUP($B111&amp;"; "&amp;$I$26&amp;", "&amp;J$27,'FE Energie'!$G:$U,13,FALSE))
+$K111*IF(ISNA(VLOOKUP($B111&amp;"; "&amp;$L$26&amp;", "&amp;J$27,'FE Energie'!$G:$U,13,FALSE)),0,VLOOKUP($B111&amp;"; "&amp;$L$26&amp;", "&amp;J$27,'FE Energie'!$G:$U,13,FALSE))
+$N111*IF(ISNA(VLOOKUP($B111&amp;"; "&amp;$O$26&amp;", "&amp;J$27,'FE Energie'!$G:$U,13,FALSE)),0,VLOOKUP($B111&amp;"; "&amp;$O$26&amp;", "&amp;J$27,'FE Energie'!$G:$U,13,FALSE))
+$Q111*IF(ISNA(VLOOKUP($B111&amp;"; "&amp;$R$26&amp;", "&amp;J$27,'FE Energie'!$G:$U,13,FALSE)),0,VLOOKUP($B111&amp;"; "&amp;$R$26&amp;", "&amp;J$27,'FE Energie'!$G:$U,13,FALSE))
)/T111)</f>
        <v>0</v>
      </c>
      <c r="AM111" s="565">
        <f>IF(T111=0,0,(
$H111*IF(ISNA(VLOOKUP($B111&amp;"; "&amp;$I$26&amp;", "&amp;I$27,'FE Energie'!$G:$U,14,FALSE)),0,VLOOKUP($B111&amp;"; "&amp;$I$26&amp;", "&amp;I$27,'FE Energie'!$G:$U,14,FALSE))
+$K111*IF(ISNA(VLOOKUP($B111&amp;"; "&amp;$L$26&amp;", "&amp;I$27,'FE Energie'!$G:$U,14,FALSE)),0,VLOOKUP($B111&amp;"; "&amp;$L$26&amp;", "&amp;I$27,'FE Energie'!$G:$U,14,FALSE))
+$N111*IF(ISNA(VLOOKUP($B111&amp;"; "&amp;$O$26&amp;", "&amp;I$27,'FE Energie'!$G:$U,14,FALSE)),0,VLOOKUP($B111&amp;"; "&amp;$O$26&amp;", "&amp;I$27,'FE Energie'!$G:$U,14,FALSE))
+$Q111*IF(ISNA(VLOOKUP($B111&amp;"; "&amp;$R$26&amp;", "&amp;I$27,'FE Energie'!$G:$U,14,FALSE)),0,VLOOKUP($B111&amp;"; "&amp;$R$26&amp;", "&amp;I$27,'FE Energie'!$G:$U,14,FALSE))
)/T111)</f>
        <v>0</v>
      </c>
      <c r="AN111" s="565">
        <f>IF(T111=0,0,(
$H111*IF(ISNA(VLOOKUP($B111&amp;"; "&amp;$I$26&amp;", "&amp;J$27,'FE Energie'!$G:$U,14,FALSE)),0,VLOOKUP($B111&amp;"; "&amp;$I$26&amp;", "&amp;J$27,'FE Energie'!$G:$U,14,FALSE))
+$K111*IF(ISNA(VLOOKUP($B111&amp;"; "&amp;$L$26&amp;", "&amp;J$27,'FE Energie'!$G:$U,14,FALSE)),0,VLOOKUP($B111&amp;"; "&amp;$L$26&amp;", "&amp;J$27,'FE Energie'!$G:$U,14,FALSE))
+$N111*IF(ISNA(VLOOKUP($B111&amp;"; "&amp;$O$26&amp;", "&amp;J$27,'FE Energie'!$G:$U,14,FALSE)),0,VLOOKUP($B111&amp;"; "&amp;$O$26&amp;", "&amp;J$27,'FE Energie'!$G:$U,14,FALSE))
+$Q111*IF(ISNA(VLOOKUP($B111&amp;"; "&amp;$R$26&amp;", "&amp;J$27,'FE Energie'!$G:$U,14,FALSE)),0,VLOOKUP($B111&amp;"; "&amp;$R$26&amp;", "&amp;J$27,'FE Energie'!$G:$U,14,FALSE))
)/T111)</f>
        <v>0</v>
      </c>
      <c r="AO111" s="566">
        <f t="shared" si="23"/>
        <v>0</v>
      </c>
      <c r="AP111" s="566">
        <f t="shared" si="24"/>
        <v>0</v>
      </c>
      <c r="AQ111" s="564">
        <f>IF(T111=0,0,(
$H111*IF(ISNA(VLOOKUP($B111&amp;"; "&amp;$I$26&amp;", "&amp;I$27,'FE Energie'!$G:$U,15,FALSE)),0,VLOOKUP($B111&amp;"; "&amp;$I$26&amp;", "&amp;I$27,'FE Energie'!$G:$U,15,FALSE))
+$K111*IF(ISNA(VLOOKUP($B111&amp;"; "&amp;$L$26&amp;", "&amp;I$27,'FE Energie'!$G:$U,15,FALSE)),0,VLOOKUP($B111&amp;"; "&amp;$L$26&amp;", "&amp;I$27,'FE Energie'!$G:$U,15,FALSE))
+$N111*IF(ISNA(VLOOKUP($B111&amp;"; "&amp;$O$26&amp;", "&amp;I$27,'FE Energie'!$G:$U,15,FALSE)),0,VLOOKUP($B111&amp;"; "&amp;$O$26&amp;", "&amp;I$27,'FE Energie'!$G:$U,15,FALSE))
+$Q111*IF(ISNA(VLOOKUP($B111&amp;"; "&amp;$R$26&amp;", "&amp;I$27,'FE Energie'!$G:$U,15,FALSE)),0,VLOOKUP($B111&amp;"; "&amp;$R$26&amp;", "&amp;I$27,'FE Energie'!$G:$U,15,FALSE))
)/T111)</f>
        <v>0</v>
      </c>
      <c r="AR111" s="568">
        <f>IF(T111=0,0,(
$H111*IF(ISNA(VLOOKUP($B111&amp;"; "&amp;$I$26&amp;", "&amp;J$27,'FE Energie'!$G:$U,15,FALSE)),0,VLOOKUP($B111&amp;"; "&amp;$I$26&amp;", "&amp;J$27,'FE Energie'!$G:$U,15,FALSE))
+$K111*IF(ISNA(VLOOKUP($B111&amp;"; "&amp;$L$26&amp;", "&amp;J$27,'FE Energie'!$G:$U,15,FALSE)),0,VLOOKUP($B111&amp;"; "&amp;$L$26&amp;", "&amp;J$27,'FE Energie'!$G:$U,15,FALSE))
+$N111*IF(ISNA(VLOOKUP($B111&amp;"; "&amp;$O$26&amp;", "&amp;J$27,'FE Energie'!$G:$U,15,FALSE)),0,VLOOKUP($B111&amp;"; "&amp;$O$26&amp;", "&amp;J$27,'FE Energie'!$G:$U,15,FALSE))
+$Q111*IF(ISNA(VLOOKUP($B111&amp;"; "&amp;$R$26&amp;", "&amp;J$27,'FE Energie'!$G:$U,15,FALSE)),0,VLOOKUP($B111&amp;"; "&amp;$R$26&amp;", "&amp;J$27,'FE Energie'!$G:$U,15,FALSE))
)/T111)</f>
        <v>0</v>
      </c>
      <c r="AU111" s="891" t="str">
        <f t="shared" ref="AU111:BB112" si="25">IF($F111="Oui",AG111*$T111,"")</f>
        <v/>
      </c>
      <c r="AV111" s="892" t="str">
        <f t="shared" si="25"/>
        <v/>
      </c>
      <c r="AW111" s="892" t="str">
        <f t="shared" si="25"/>
        <v/>
      </c>
      <c r="AX111" s="892" t="str">
        <f t="shared" si="25"/>
        <v/>
      </c>
      <c r="AY111" s="892" t="str">
        <f t="shared" si="25"/>
        <v/>
      </c>
      <c r="AZ111" s="892" t="str">
        <f t="shared" si="25"/>
        <v/>
      </c>
      <c r="BA111" s="892" t="str">
        <f t="shared" si="25"/>
        <v/>
      </c>
      <c r="BB111" s="892" t="str">
        <f t="shared" si="25"/>
        <v/>
      </c>
      <c r="BC111" s="900">
        <f>SUM(AU111,AW111,AY111,BA111)</f>
        <v>0</v>
      </c>
      <c r="BD111" s="900">
        <f>SUM(AV111,AX111,AZ111,BB111)</f>
        <v>0</v>
      </c>
      <c r="BE111" s="891" t="str">
        <f>IF($F111="Oui",IF(AQ111="","",AQ111*$T111),"")</f>
        <v/>
      </c>
      <c r="BF111" s="901" t="str">
        <f>IF($F111="Oui",IF(AR111="","",AR111*$T111),"")</f>
        <v/>
      </c>
      <c r="BG111" s="892" t="str">
        <f t="shared" si="19"/>
        <v/>
      </c>
      <c r="BH111" s="901" t="str">
        <f t="shared" si="19"/>
        <v/>
      </c>
      <c r="BJ111" s="1065">
        <f>IF($Z111&lt;&gt;"votre valeur :",IF(ISNA(VLOOKUP($Z111,Utilitaires!$N$566:$O$571,2,FALSE)),,VLOOKUP($Z111,Utilitaires!$N$566:$O$571,2,FALSE)),$AA111)</f>
        <v>0</v>
      </c>
      <c r="BK111" s="1065">
        <f>IF($Z111&lt;&gt;"votre valeur :",IF(ISNA(VLOOKUP($Z111,Utilitaires!$N$566:$O$571,2,FALSE)),,VLOOKUP($Z111,Utilitaires!$N$566:$O$571,2,FALSE)),$AA111)</f>
        <v>0</v>
      </c>
      <c r="BL111" s="1065">
        <f>IF($Z111&lt;&gt;"votre valeur :",IF(ISNA(VLOOKUP($Z111,Utilitaires!$N$566:$O$571,2,FALSE)),,VLOOKUP($Z111,Utilitaires!$N$566:$O$571,2,FALSE)),$AA111)</f>
        <v>0</v>
      </c>
      <c r="BM111" s="1167">
        <f>IF($Z111&lt;&gt;"votre valeur :",IF(ISNA(VLOOKUP($Z111,Utilitaires!$N$566:$O$571,2,FALSE)),,VLOOKUP($Z111,Utilitaires!$N$566:$O$571,2,FALSE)),$AA111)</f>
        <v>0</v>
      </c>
      <c r="BN111" s="1068">
        <f>IF(ISNA(SQRT(SUMSQ(VLOOKUP($B111&amp;"; "&amp;$I$26&amp;", "&amp;$I$27,'FE Energie'!$G:$U,7,FALSE),$BJ111))),0,SQRT(SUMSQ(VLOOKUP($B111&amp;"; "&amp;$I$26&amp;", "&amp;$I$27,'FE Energie'!$G:$U,7,FALSE),$BJ111)))</f>
        <v>0</v>
      </c>
      <c r="BO111" s="1068">
        <f>IF(ISNA(SQRT(SUMSQ(VLOOKUP($B111&amp;"; "&amp;$L$26&amp;", "&amp;$L$27,'FE Energie'!$G:$U,7,FALSE),$BK111))),0,SQRT(SUMSQ(VLOOKUP($B111&amp;"; "&amp;$L$26&amp;", "&amp;$L$27,'FE Energie'!$G:$U,7,FALSE),$BK111)))</f>
        <v>0.05</v>
      </c>
      <c r="BP111" s="1068">
        <f>IF(ISNA(SQRT(SUMSQ(VLOOKUP($B111&amp;"; "&amp;$O$26&amp;", "&amp;$O$27,'FE Energie'!$G:$U,7,FALSE),$BL111))),0,SQRT(SUMSQ(VLOOKUP($B111&amp;"; "&amp;$O$26&amp;", "&amp;$O$27,'FE Energie'!$G:$U,7,FALSE),$BL111)))</f>
        <v>0.05</v>
      </c>
      <c r="BQ111" s="1068">
        <f>IF(ISNA(SQRT(SUMSQ(VLOOKUP($B111&amp;"; "&amp;$R$26&amp;", "&amp;$R$27,'FE Energie'!$G:$U,7,FALSE),$BM111))),0,SQRT(SUMSQ(VLOOKUP($B111&amp;"; "&amp;$R$26&amp;", "&amp;$R$27,'FE Energie'!$G:$U,7,FALSE),$BM111)))</f>
        <v>0</v>
      </c>
      <c r="BR111" s="1124">
        <f>IF(ISNA(SQRT(SUMSQ(VLOOKUP($B111&amp;"; "&amp;$I$26&amp;", "&amp;$J$27,'FE Energie'!$G:$U,7,FALSE),$BJ111))),0,SQRT(SUMSQ(VLOOKUP($B111&amp;"; "&amp;$I$26&amp;", "&amp;$J$27,'FE Energie'!$G:$U,7,FALSE),$BJ111)))</f>
        <v>0</v>
      </c>
      <c r="BS111" s="1070">
        <f>IF(ISNA(SQRT(SUMSQ(VLOOKUP($B111&amp;"; "&amp;$L$26&amp;", "&amp;$M$27,'FE Energie'!$G:$U,7,FALSE),$BK111))),0,SQRT(SUMSQ(VLOOKUP($B111&amp;"; "&amp;$L$26&amp;", "&amp;$M$27,'FE Energie'!$G:$U,7,FALSE),$BK111)))</f>
        <v>0.05</v>
      </c>
      <c r="BT111" s="1070">
        <f>IF(ISNA(SQRT(SUMSQ(VLOOKUP($B111&amp;"; "&amp;$O$26&amp;", "&amp;$P$27,'FE Energie'!$G:$U,7,FALSE),$BL111))),0,SQRT(SUMSQ(VLOOKUP($B111&amp;"; "&amp;$O$26&amp;", "&amp;$P$27,'FE Energie'!$G:$U,7,FALSE),$BL111)))</f>
        <v>0.05</v>
      </c>
      <c r="BU111" s="1071">
        <f>IF(ISNA(SQRT(SUMSQ(VLOOKUP($B111&amp;"; "&amp;$R$26&amp;", "&amp;$S$27,'FE Energie'!$G:$U,7,FALSE),$BM111))),0,SQRT(SUMSQ(VLOOKUP($B111&amp;"; "&amp;$R$26&amp;", "&amp;$S$27,'FE Energie'!$G:$U,7,FALSE),$BM111)))</f>
        <v>0</v>
      </c>
    </row>
    <row r="112" spans="1:73" s="116" customFormat="1" ht="12.75" hidden="1" customHeight="1" outlineLevel="2">
      <c r="A112" s="114"/>
      <c r="B112" s="143" t="s">
        <v>1627</v>
      </c>
      <c r="C112" s="144"/>
      <c r="D112" s="315">
        <f>SUM(U112,V112)</f>
        <v>0</v>
      </c>
      <c r="E112" s="315"/>
      <c r="F112" s="393"/>
      <c r="G112" s="345"/>
      <c r="H112" s="1548"/>
      <c r="I112" s="335" t="e">
        <f>VLOOKUP($B112&amp;"; "&amp;$I$106&amp;", "&amp;I$107,'FE Energie'!$G:$U,9,FALSE)</f>
        <v>#N/A</v>
      </c>
      <c r="J112" s="335" t="e">
        <f>VLOOKUP($B112&amp;"; "&amp;$I$106&amp;", "&amp;J$107,'FE Energie'!$G:$U,9,FALSE)</f>
        <v>#N/A</v>
      </c>
      <c r="K112" s="1548"/>
      <c r="L112" s="223" t="e">
        <f>VLOOKUP($B112&amp;"; "&amp;$L$106&amp;", "&amp;L$107,'FE Energie'!$G:$U,9,FALSE)</f>
        <v>#N/A</v>
      </c>
      <c r="M112" s="223" t="e">
        <f>VLOOKUP($B112&amp;"; "&amp;$L$106&amp;", "&amp;M$107,'FE Energie'!$G:$U,9,FALSE)</f>
        <v>#N/A</v>
      </c>
      <c r="N112" s="1548"/>
      <c r="O112" s="217" t="e">
        <f>VLOOKUP($B112&amp;"; "&amp;$O$106&amp;", "&amp;O$107,'FE Energie'!$G:$U,9,FALSE)</f>
        <v>#N/A</v>
      </c>
      <c r="P112" s="217" t="e">
        <f>VLOOKUP($B112&amp;"; "&amp;$O$106&amp;", "&amp;P$107,'FE Energie'!$G:$U,9,FALSE)</f>
        <v>#N/A</v>
      </c>
      <c r="Q112" s="1086"/>
      <c r="R112" s="223" t="e">
        <f>VLOOKUP($B112&amp;"; "&amp;$R$106&amp;", "&amp;R$107,'FE Energie'!$G:$U,9,FALSE)</f>
        <v>#N/A</v>
      </c>
      <c r="S112" s="223" t="e">
        <f>VLOOKUP($B112&amp;"; "&amp;$R$106&amp;", "&amp;S$107,'FE Energie'!$G:$U,9,FALSE)</f>
        <v>#N/A</v>
      </c>
      <c r="T112" s="123"/>
      <c r="U112" s="566">
        <f t="shared" si="20"/>
        <v>0</v>
      </c>
      <c r="V112" s="566">
        <f t="shared" si="21"/>
        <v>0</v>
      </c>
      <c r="W112" s="1286">
        <f>IF(OR(G112=Utilitaires!$I$572,G112=Utilitaires!$I$577),V112,0)</f>
        <v>0</v>
      </c>
      <c r="Y112" s="1092">
        <f>IF(AD112=0,AD112,AD112/(U112+V112))</f>
        <v>0</v>
      </c>
      <c r="Z112" s="345"/>
      <c r="AA112" s="820"/>
      <c r="AB112" s="164">
        <f>IF(T112=0,0,(SQRT(SUMSQ(IF(ISNA($H112*I112*BN112),0,$H112*I112*BN112),IF(ISNA($K112*L112*BO112),0,$K112*L112*BO112),IF(ISNA($N112*O112*BP112),0,$N112*O112*BP112),IF(ISNA($Q112*R112*BQ112),0,$Q112*R112*BQ112))))/T112)</f>
        <v>0</v>
      </c>
      <c r="AC112" s="164">
        <f>IF(T112=0,0,(SQRT(SUMSQ(IF(ISNA($H112*J112*BR112),0,$H112*J112*BR112),IF(ISNA($K112*M112*BS112),0,$K112*M112*BS112),IF(ISNA($N112*P112*BT112),0,$N112*P112*BT112),IF(ISNA($Q112*S112*BU112),0,$Q112*S112*BU112))))/T112)</f>
        <v>0</v>
      </c>
      <c r="AD112" s="152">
        <f>SQRT(SUMSQ(AB112,AC112))</f>
        <v>0</v>
      </c>
      <c r="AE112" s="1286">
        <f t="shared" si="22"/>
        <v>0</v>
      </c>
      <c r="AF112" s="114"/>
      <c r="AG112" s="564">
        <f>IF(T112=0,0,(
$H112*IF(ISNA(VLOOKUP($B112&amp;"; "&amp;$I$26&amp;", "&amp;I$27,'FE Energie'!$G:$U,10,FALSE)),0,VLOOKUP($B112&amp;"; "&amp;$I$26&amp;", "&amp;I$27,'FE Energie'!$G:$U,10,FALSE))
+$K112*IF(ISNA(VLOOKUP($B112&amp;"; "&amp;$L$26&amp;", "&amp;I$27,'FE Energie'!$G:$U,10,FALSE)),0,VLOOKUP($B112&amp;"; "&amp;$L$26&amp;", "&amp;I$27,'FE Energie'!$G:$U,10,FALSE))
+$N112*IF(ISNA(VLOOKUP($B112&amp;"; "&amp;$O$26&amp;", "&amp;I$27,'FE Energie'!$G:$U,10,FALSE)),0,VLOOKUP($B112&amp;"; "&amp;$O$26&amp;", "&amp;I$27,'FE Energie'!$G:$U,10,FALSE))
+$Q112*IF(ISNA(VLOOKUP($B112&amp;"; "&amp;$R$26&amp;", "&amp;I$27,'FE Energie'!$G:$U,10,FALSE)),0,VLOOKUP($B112&amp;"; "&amp;$R$26&amp;", "&amp;I$27,'FE Energie'!$G:$U,10,FALSE))
)/T112)</f>
        <v>0</v>
      </c>
      <c r="AH112" s="565">
        <f>IF(T112=0,0,(
$H112*IF(ISNA(VLOOKUP($B112&amp;"; "&amp;$I$26&amp;", "&amp;J$27,'FE Energie'!$G:$U,10,FALSE)),0,VLOOKUP($B112&amp;"; "&amp;$I$26&amp;", "&amp;J$27,'FE Energie'!$G:$U,10,FALSE))
+$K112*IF(ISNA(VLOOKUP($B112&amp;"; "&amp;$L$26&amp;", "&amp;J$27,'FE Energie'!$G:$U,10,FALSE)),0,VLOOKUP($B112&amp;"; "&amp;$L$26&amp;", "&amp;J$27,'FE Energie'!$G:$U,10,FALSE))
+$N112*IF(ISNA(VLOOKUP($B112&amp;"; "&amp;$O$26&amp;", "&amp;J$27,'FE Energie'!$G:$U,10,FALSE)),0,VLOOKUP($B112&amp;"; "&amp;$O$26&amp;", "&amp;J$27,'FE Energie'!$G:$U,10,FALSE))
+$Q112*IF(ISNA(VLOOKUP($B112&amp;"; "&amp;$R$26&amp;", "&amp;J$27,'FE Energie'!$G:$U,10,FALSE)),0,VLOOKUP($B112&amp;"; "&amp;$R$26&amp;", "&amp;J$27,'FE Energie'!$G:$U,10,FALSE))
)/T112)</f>
        <v>0</v>
      </c>
      <c r="AI112" s="620">
        <f>IF(T112=0,0,(
$H112*IF(ISNA((VLOOKUP($B112&amp;"; "&amp;$I$26&amp;", "&amp;I$27,'FE Energie'!$G:$U,12,FALSE)+VLOOKUP($B112&amp;"; "&amp;$I$26&amp;", "&amp;I$27,'FE Energie'!$G:$U,11,FALSE))),0,(VLOOKUP($B112&amp;"; "&amp;$I$26&amp;", "&amp;I$27,'FE Energie'!$G:$U,12,FALSE)+VLOOKUP($B112&amp;"; "&amp;$I$26&amp;", "&amp;I$27,'FE Energie'!$G:$U,11,FALSE)))
+$K112*IF(ISNA((VLOOKUP($B112&amp;"; "&amp;$L$26&amp;", "&amp;I$27,'FE Energie'!$G:$U,12,FALSE)+VLOOKUP($B112&amp;"; "&amp;$L$26&amp;", "&amp;I$27,'FE Energie'!$G:$U,11,FALSE))),0,(VLOOKUP($B112&amp;"; "&amp;$L$26&amp;", "&amp;I$27,'FE Energie'!$G:$U,12,FALSE)+VLOOKUP($B112&amp;"; "&amp;$L$26&amp;", "&amp;I$27,'FE Energie'!$G:$U,11,FALSE)))
+$N112*IF(ISNA((VLOOKUP($B112&amp;"; "&amp;$O$26&amp;", "&amp;I$27,'FE Energie'!$G:$U,12,FALSE)+VLOOKUP($B112&amp;"; "&amp;$O$26&amp;", "&amp;I$27,'FE Energie'!$G:$U,11,FALSE))),0,(VLOOKUP($B112&amp;"; "&amp;$O$26&amp;", "&amp;I$27,'FE Energie'!$G:$U,12,FALSE)+VLOOKUP($B112&amp;"; "&amp;$O$26&amp;", "&amp;I$27,'FE Energie'!$G:$U,11,FALSE)))
+$Q112*IF(ISNA((VLOOKUP($B112&amp;"; "&amp;$R$26&amp;", "&amp;I$27,'FE Energie'!$G:$U,12,FALSE)+VLOOKUP($B112&amp;"; "&amp;$R$26&amp;", "&amp;I$27,'FE Energie'!$G:$U,11,FALSE))),0,(VLOOKUP($B112&amp;"; "&amp;$R$26&amp;", "&amp;I$27,'FE Energie'!$G:$U,12,FALSE)+VLOOKUP($B112&amp;"; "&amp;$R$26&amp;", "&amp;I$27,'FE Energie'!$G:$U,11,FALSE)))
)/T112)</f>
        <v>0</v>
      </c>
      <c r="AJ112" s="620">
        <f>IF(T112=0,0,(
$H112*IF(ISNA((VLOOKUP($B112&amp;"; "&amp;$I$26&amp;", "&amp;J$27,'FE Energie'!$G:$U,12,FALSE)+VLOOKUP($B112&amp;"; "&amp;$I$26&amp;", "&amp;J$27,'FE Energie'!$G:$U,11,FALSE))),0,(VLOOKUP($B112&amp;"; "&amp;$I$26&amp;", "&amp;J$27,'FE Energie'!$G:$U,12,FALSE)+VLOOKUP($B112&amp;"; "&amp;$I$26&amp;", "&amp;J$27,'FE Energie'!$G:$U,11,FALSE)))
+$K112*IF(ISNA((VLOOKUP($B112&amp;"; "&amp;$L$26&amp;", "&amp;J$27,'FE Energie'!$G:$U,12,FALSE)+VLOOKUP($B112&amp;"; "&amp;$L$26&amp;", "&amp;J$27,'FE Energie'!$G:$U,11,FALSE))),0,(VLOOKUP($B112&amp;"; "&amp;$L$26&amp;", "&amp;J$27,'FE Energie'!$G:$U,12,FALSE)+VLOOKUP($B112&amp;"; "&amp;$L$26&amp;", "&amp;J$27,'FE Energie'!$G:$U,11,FALSE)))
+$N112*IF(ISNA((VLOOKUP($B112&amp;"; "&amp;$O$26&amp;", "&amp;J$27,'FE Energie'!$G:$U,12,FALSE)+VLOOKUP($B112&amp;"; "&amp;$O$26&amp;", "&amp;J$27,'FE Energie'!$G:$U,11,FALSE))),0,(VLOOKUP($B112&amp;"; "&amp;$O$26&amp;", "&amp;J$27,'FE Energie'!$G:$U,12,FALSE)+VLOOKUP($B112&amp;"; "&amp;$O$26&amp;", "&amp;J$27,'FE Energie'!$G:$U,11,FALSE)))
+$Q112*IF(ISNA((VLOOKUP($B112&amp;"; "&amp;$R$26&amp;", "&amp;J$27,'FE Energie'!$G:$U,12,FALSE)+VLOOKUP($B112&amp;"; "&amp;$R$26&amp;", "&amp;J$27,'FE Energie'!$G:$U,11,FALSE))),0,(VLOOKUP($B112&amp;"; "&amp;$R$26&amp;", "&amp;J$27,'FE Energie'!$G:$U,12,FALSE)+VLOOKUP($B112&amp;"; "&amp;$R$26&amp;", "&amp;J$27,'FE Energie'!$G:$U,11,FALSE)))
)/T112)</f>
        <v>0</v>
      </c>
      <c r="AK112" s="620">
        <f>IF(T112=0,0,(
$H112*IF(ISNA(VLOOKUP($B112&amp;"; "&amp;$I$26&amp;", "&amp;I$27,'FE Energie'!$G:$U,13,FALSE)),0,VLOOKUP($B112&amp;"; "&amp;$I$26&amp;", "&amp;I$27,'FE Energie'!$G:$U,13,FALSE))
+$K112*IF(ISNA(VLOOKUP($B112&amp;"; "&amp;$L$26&amp;", "&amp;I$27,'FE Energie'!$G:$U,13,FALSE)),0,VLOOKUP($B112&amp;"; "&amp;$L$26&amp;", "&amp;I$27,'FE Energie'!$G:$U,13,FALSE))
+$N112*IF(ISNA(VLOOKUP($B112&amp;"; "&amp;$O$26&amp;", "&amp;I$27,'FE Energie'!$G:$U,13,FALSE)),0,VLOOKUP($B112&amp;"; "&amp;$O$26&amp;", "&amp;I$27,'FE Energie'!$G:$U,13,FALSE))
+$Q112*IF(ISNA(VLOOKUP($B112&amp;"; "&amp;$R$26&amp;", "&amp;I$27,'FE Energie'!$G:$U,13,FALSE)),0,VLOOKUP($B112&amp;"; "&amp;$R$26&amp;", "&amp;I$27,'FE Energie'!$G:$U,13,FALSE))
)/T112)</f>
        <v>0</v>
      </c>
      <c r="AL112" s="620">
        <f>IF(T112=0,0,(
$H112*IF(ISNA(VLOOKUP($B112&amp;"; "&amp;$I$26&amp;", "&amp;J$27,'FE Energie'!$G:$U,13,FALSE)),0,VLOOKUP($B112&amp;"; "&amp;$I$26&amp;", "&amp;J$27,'FE Energie'!$G:$U,13,FALSE))
+$K112*IF(ISNA(VLOOKUP($B112&amp;"; "&amp;$L$26&amp;", "&amp;J$27,'FE Energie'!$G:$U,13,FALSE)),0,VLOOKUP($B112&amp;"; "&amp;$L$26&amp;", "&amp;J$27,'FE Energie'!$G:$U,13,FALSE))
+$N112*IF(ISNA(VLOOKUP($B112&amp;"; "&amp;$O$26&amp;", "&amp;J$27,'FE Energie'!$G:$U,13,FALSE)),0,VLOOKUP($B112&amp;"; "&amp;$O$26&amp;", "&amp;J$27,'FE Energie'!$G:$U,13,FALSE))
+$Q112*IF(ISNA(VLOOKUP($B112&amp;"; "&amp;$R$26&amp;", "&amp;J$27,'FE Energie'!$G:$U,13,FALSE)),0,VLOOKUP($B112&amp;"; "&amp;$R$26&amp;", "&amp;J$27,'FE Energie'!$G:$U,13,FALSE))
)/T112)</f>
        <v>0</v>
      </c>
      <c r="AM112" s="565">
        <f>IF(T112=0,0,(
$H112*IF(ISNA(VLOOKUP($B112&amp;"; "&amp;$I$26&amp;", "&amp;I$27,'FE Energie'!$G:$U,14,FALSE)),0,VLOOKUP($B112&amp;"; "&amp;$I$26&amp;", "&amp;I$27,'FE Energie'!$G:$U,14,FALSE))
+$K112*IF(ISNA(VLOOKUP($B112&amp;"; "&amp;$L$26&amp;", "&amp;I$27,'FE Energie'!$G:$U,14,FALSE)),0,VLOOKUP($B112&amp;"; "&amp;$L$26&amp;", "&amp;I$27,'FE Energie'!$G:$U,14,FALSE))
+$N112*IF(ISNA(VLOOKUP($B112&amp;"; "&amp;$O$26&amp;", "&amp;I$27,'FE Energie'!$G:$U,14,FALSE)),0,VLOOKUP($B112&amp;"; "&amp;$O$26&amp;", "&amp;I$27,'FE Energie'!$G:$U,14,FALSE))
+$Q112*IF(ISNA(VLOOKUP($B112&amp;"; "&amp;$R$26&amp;", "&amp;I$27,'FE Energie'!$G:$U,14,FALSE)),0,VLOOKUP($B112&amp;"; "&amp;$R$26&amp;", "&amp;I$27,'FE Energie'!$G:$U,14,FALSE))
)/T112)</f>
        <v>0</v>
      </c>
      <c r="AN112" s="565">
        <f>IF(T112=0,0,(
$H112*IF(ISNA(VLOOKUP($B112&amp;"; "&amp;$I$26&amp;", "&amp;J$27,'FE Energie'!$G:$U,14,FALSE)),0,VLOOKUP($B112&amp;"; "&amp;$I$26&amp;", "&amp;J$27,'FE Energie'!$G:$U,14,FALSE))
+$K112*IF(ISNA(VLOOKUP($B112&amp;"; "&amp;$L$26&amp;", "&amp;J$27,'FE Energie'!$G:$U,14,FALSE)),0,VLOOKUP($B112&amp;"; "&amp;$L$26&amp;", "&amp;J$27,'FE Energie'!$G:$U,14,FALSE))
+$N112*IF(ISNA(VLOOKUP($B112&amp;"; "&amp;$O$26&amp;", "&amp;J$27,'FE Energie'!$G:$U,14,FALSE)),0,VLOOKUP($B112&amp;"; "&amp;$O$26&amp;", "&amp;J$27,'FE Energie'!$G:$U,14,FALSE))
+$Q112*IF(ISNA(VLOOKUP($B112&amp;"; "&amp;$R$26&amp;", "&amp;J$27,'FE Energie'!$G:$U,14,FALSE)),0,VLOOKUP($B112&amp;"; "&amp;$R$26&amp;", "&amp;J$27,'FE Energie'!$G:$U,14,FALSE))
)/T112)</f>
        <v>0</v>
      </c>
      <c r="AO112" s="566">
        <f t="shared" si="23"/>
        <v>0</v>
      </c>
      <c r="AP112" s="566">
        <f t="shared" si="24"/>
        <v>0</v>
      </c>
      <c r="AQ112" s="564">
        <f>IF(T112=0,0,(
$H112*IF(ISNA(VLOOKUP($B112&amp;"; "&amp;$I$26&amp;", "&amp;I$27,'FE Energie'!$G:$U,15,FALSE)),0,VLOOKUP($B112&amp;"; "&amp;$I$26&amp;", "&amp;I$27,'FE Energie'!$G:$U,15,FALSE))
+$K112*IF(ISNA(VLOOKUP($B112&amp;"; "&amp;$L$26&amp;", "&amp;I$27,'FE Energie'!$G:$U,15,FALSE)),0,VLOOKUP($B112&amp;"; "&amp;$L$26&amp;", "&amp;I$27,'FE Energie'!$G:$U,15,FALSE))
+$N112*IF(ISNA(VLOOKUP($B112&amp;"; "&amp;$O$26&amp;", "&amp;I$27,'FE Energie'!$G:$U,15,FALSE)),0,VLOOKUP($B112&amp;"; "&amp;$O$26&amp;", "&amp;I$27,'FE Energie'!$G:$U,15,FALSE))
+$Q112*IF(ISNA(VLOOKUP($B112&amp;"; "&amp;$R$26&amp;", "&amp;I$27,'FE Energie'!$G:$U,15,FALSE)),0,VLOOKUP($B112&amp;"; "&amp;$R$26&amp;", "&amp;I$27,'FE Energie'!$G:$U,15,FALSE))
)/T112)</f>
        <v>0</v>
      </c>
      <c r="AR112" s="568">
        <f>IF(T112=0,0,(
$H112*IF(ISNA(VLOOKUP($B112&amp;"; "&amp;$I$26&amp;", "&amp;J$27,'FE Energie'!$G:$U,15,FALSE)),0,VLOOKUP($B112&amp;"; "&amp;$I$26&amp;", "&amp;J$27,'FE Energie'!$G:$U,15,FALSE))
+$K112*IF(ISNA(VLOOKUP($B112&amp;"; "&amp;$L$26&amp;", "&amp;J$27,'FE Energie'!$G:$U,15,FALSE)),0,VLOOKUP($B112&amp;"; "&amp;$L$26&amp;", "&amp;J$27,'FE Energie'!$G:$U,15,FALSE))
+$N112*IF(ISNA(VLOOKUP($B112&amp;"; "&amp;$O$26&amp;", "&amp;J$27,'FE Energie'!$G:$U,15,FALSE)),0,VLOOKUP($B112&amp;"; "&amp;$O$26&amp;", "&amp;J$27,'FE Energie'!$G:$U,15,FALSE))
+$Q112*IF(ISNA(VLOOKUP($B112&amp;"; "&amp;$R$26&amp;", "&amp;J$27,'FE Energie'!$G:$U,15,FALSE)),0,VLOOKUP($B112&amp;"; "&amp;$R$26&amp;", "&amp;J$27,'FE Energie'!$G:$U,15,FALSE))
)/T112)</f>
        <v>0</v>
      </c>
      <c r="AU112" s="891" t="str">
        <f t="shared" si="25"/>
        <v/>
      </c>
      <c r="AV112" s="892" t="str">
        <f t="shared" si="25"/>
        <v/>
      </c>
      <c r="AW112" s="892" t="str">
        <f t="shared" si="25"/>
        <v/>
      </c>
      <c r="AX112" s="892" t="str">
        <f t="shared" si="25"/>
        <v/>
      </c>
      <c r="AY112" s="892" t="str">
        <f t="shared" si="25"/>
        <v/>
      </c>
      <c r="AZ112" s="892" t="str">
        <f t="shared" si="25"/>
        <v/>
      </c>
      <c r="BA112" s="892" t="str">
        <f t="shared" si="25"/>
        <v/>
      </c>
      <c r="BB112" s="892" t="str">
        <f t="shared" si="25"/>
        <v/>
      </c>
      <c r="BC112" s="900">
        <f>SUM(AU112,AW112,AY112,BA112)</f>
        <v>0</v>
      </c>
      <c r="BD112" s="900">
        <f>SUM(AV112,AX112,AZ112,BB112)</f>
        <v>0</v>
      </c>
      <c r="BE112" s="891" t="str">
        <f>IF($F112="Oui",IF(AQ112="","",AQ112*$T112),"")</f>
        <v/>
      </c>
      <c r="BF112" s="901" t="str">
        <f>IF($F112="Oui",IF(AR112="","",AR112*$T112),"")</f>
        <v/>
      </c>
      <c r="BG112" s="892" t="str">
        <f t="shared" si="19"/>
        <v/>
      </c>
      <c r="BH112" s="901" t="str">
        <f t="shared" si="19"/>
        <v/>
      </c>
      <c r="BJ112" s="1065">
        <f>IF($Z112&lt;&gt;"votre valeur :",IF(ISNA(VLOOKUP($Z112,Utilitaires!$N$566:$O$571,2,FALSE)),,VLOOKUP($Z112,Utilitaires!$N$566:$O$571,2,FALSE)),$AA112)</f>
        <v>0</v>
      </c>
      <c r="BK112" s="1065">
        <f>IF($Z112&lt;&gt;"votre valeur :",IF(ISNA(VLOOKUP($Z112,Utilitaires!$N$566:$O$571,2,FALSE)),,VLOOKUP($Z112,Utilitaires!$N$566:$O$571,2,FALSE)),$AA112)</f>
        <v>0</v>
      </c>
      <c r="BL112" s="1065">
        <f>IF($Z112&lt;&gt;"votre valeur :",IF(ISNA(VLOOKUP($Z112,Utilitaires!$N$566:$O$571,2,FALSE)),,VLOOKUP($Z112,Utilitaires!$N$566:$O$571,2,FALSE)),$AA112)</f>
        <v>0</v>
      </c>
      <c r="BM112" s="1167">
        <f>IF($Z112&lt;&gt;"votre valeur :",IF(ISNA(VLOOKUP($Z112,Utilitaires!$N$566:$O$571,2,FALSE)),,VLOOKUP($Z112,Utilitaires!$N$566:$O$571,2,FALSE)),$AA112)</f>
        <v>0</v>
      </c>
      <c r="BN112" s="1068">
        <f>IF(ISNA(SQRT(SUMSQ(VLOOKUP($B112&amp;"; "&amp;$I$26&amp;", "&amp;$I$27,'FE Energie'!$G:$U,7,FALSE),$BJ112))),0,SQRT(SUMSQ(VLOOKUP($B112&amp;"; "&amp;$I$26&amp;", "&amp;$I$27,'FE Energie'!$G:$U,7,FALSE),$BJ112)))</f>
        <v>0</v>
      </c>
      <c r="BO112" s="1068">
        <f>IF(ISNA(SQRT(SUMSQ(VLOOKUP($B112&amp;"; "&amp;$L$26&amp;", "&amp;$L$27,'FE Energie'!$G:$U,7,FALSE),$BK112))),0,SQRT(SUMSQ(VLOOKUP($B112&amp;"; "&amp;$L$26&amp;", "&amp;$L$27,'FE Energie'!$G:$U,7,FALSE),$BK112)))</f>
        <v>0</v>
      </c>
      <c r="BP112" s="1068">
        <f>IF(ISNA(SQRT(SUMSQ(VLOOKUP($B112&amp;"; "&amp;$O$26&amp;", "&amp;$O$27,'FE Energie'!$G:$U,7,FALSE),$BL112))),0,SQRT(SUMSQ(VLOOKUP($B112&amp;"; "&amp;$O$26&amp;", "&amp;$O$27,'FE Energie'!$G:$U,7,FALSE),$BL112)))</f>
        <v>0</v>
      </c>
      <c r="BQ112" s="1068">
        <f>IF(ISNA(SQRT(SUMSQ(VLOOKUP($B112&amp;"; "&amp;$R$26&amp;", "&amp;$R$27,'FE Energie'!$G:$U,7,FALSE),$BM112))),0,SQRT(SUMSQ(VLOOKUP($B112&amp;"; "&amp;$R$26&amp;", "&amp;$R$27,'FE Energie'!$G:$U,7,FALSE),$BM112)))</f>
        <v>0</v>
      </c>
      <c r="BR112" s="1124">
        <f>IF(ISNA(SQRT(SUMSQ(VLOOKUP($B112&amp;"; "&amp;$I$26&amp;", "&amp;$J$27,'FE Energie'!$G:$U,7,FALSE),$BJ112))),0,SQRT(SUMSQ(VLOOKUP($B112&amp;"; "&amp;$I$26&amp;", "&amp;$J$27,'FE Energie'!$G:$U,7,FALSE),$BJ112)))</f>
        <v>0</v>
      </c>
      <c r="BS112" s="1070">
        <f>IF(ISNA(SQRT(SUMSQ(VLOOKUP($B112&amp;"; "&amp;$L$26&amp;", "&amp;$M$27,'FE Energie'!$G:$U,7,FALSE),$BK112))),0,SQRT(SUMSQ(VLOOKUP($B112&amp;"; "&amp;$L$26&amp;", "&amp;$M$27,'FE Energie'!$G:$U,7,FALSE),$BK112)))</f>
        <v>0</v>
      </c>
      <c r="BT112" s="1070">
        <f>IF(ISNA(SQRT(SUMSQ(VLOOKUP($B112&amp;"; "&amp;$O$26&amp;", "&amp;$P$27,'FE Energie'!$G:$U,7,FALSE),$BL112))),0,SQRT(SUMSQ(VLOOKUP($B112&amp;"; "&amp;$O$26&amp;", "&amp;$P$27,'FE Energie'!$G:$U,7,FALSE),$BL112)))</f>
        <v>0</v>
      </c>
      <c r="BU112" s="1071">
        <f>IF(ISNA(SQRT(SUMSQ(VLOOKUP($B112&amp;"; "&amp;$R$26&amp;", "&amp;$S$27,'FE Energie'!$G:$U,7,FALSE),$BM112))),0,SQRT(SUMSQ(VLOOKUP($B112&amp;"; "&amp;$R$26&amp;", "&amp;$S$27,'FE Energie'!$G:$U,7,FALSE),$BM112)))</f>
        <v>0</v>
      </c>
    </row>
    <row r="113" spans="1:73" s="116" customFormat="1" ht="12.75" hidden="1" customHeight="1" outlineLevel="2">
      <c r="A113" s="114"/>
      <c r="B113" s="536" t="s">
        <v>1628</v>
      </c>
      <c r="C113" s="144"/>
      <c r="D113" s="315"/>
      <c r="E113" s="315"/>
      <c r="F113" s="1554"/>
      <c r="G113" s="822"/>
      <c r="H113" s="1583"/>
      <c r="I113" s="335"/>
      <c r="J113" s="335"/>
      <c r="K113" s="1583"/>
      <c r="L113" s="223"/>
      <c r="M113" s="223"/>
      <c r="N113" s="1583"/>
      <c r="O113" s="217"/>
      <c r="P113" s="217"/>
      <c r="Q113" s="1200"/>
      <c r="R113" s="223"/>
      <c r="S113" s="223"/>
      <c r="T113" s="1200"/>
      <c r="U113" s="566"/>
      <c r="V113" s="566"/>
      <c r="W113" s="1286"/>
      <c r="Y113" s="1092"/>
      <c r="Z113" s="820"/>
      <c r="AA113" s="820"/>
      <c r="AB113" s="164"/>
      <c r="AC113" s="164"/>
      <c r="AD113" s="152"/>
      <c r="AE113" s="1286"/>
      <c r="AF113" s="114"/>
      <c r="AG113" s="564"/>
      <c r="AH113" s="565"/>
      <c r="AI113" s="620"/>
      <c r="AJ113" s="620"/>
      <c r="AK113" s="620"/>
      <c r="AL113" s="620"/>
      <c r="AM113" s="565"/>
      <c r="AN113" s="565"/>
      <c r="AO113" s="566"/>
      <c r="AP113" s="566"/>
      <c r="AQ113" s="564"/>
      <c r="AR113" s="568"/>
      <c r="AU113" s="891"/>
      <c r="AV113" s="892"/>
      <c r="AW113" s="892"/>
      <c r="AX113" s="892"/>
      <c r="AY113" s="892"/>
      <c r="AZ113" s="892"/>
      <c r="BA113" s="892"/>
      <c r="BB113" s="892"/>
      <c r="BC113" s="900"/>
      <c r="BD113" s="900"/>
      <c r="BE113" s="891"/>
      <c r="BF113" s="901"/>
      <c r="BG113" s="1576" t="str">
        <f t="shared" si="19"/>
        <v/>
      </c>
      <c r="BH113" s="1578" t="str">
        <f t="shared" si="19"/>
        <v/>
      </c>
      <c r="BJ113" s="1065"/>
      <c r="BK113" s="1065"/>
      <c r="BL113" s="1065"/>
      <c r="BM113" s="1167"/>
      <c r="BN113" s="1068"/>
      <c r="BO113" s="1068"/>
      <c r="BP113" s="1068"/>
      <c r="BQ113" s="1068"/>
      <c r="BR113" s="1124"/>
      <c r="BS113" s="1070"/>
      <c r="BT113" s="1070"/>
      <c r="BU113" s="1071"/>
    </row>
    <row r="114" spans="1:73" s="116" customFormat="1" ht="12.75" hidden="1" customHeight="1" outlineLevel="2">
      <c r="A114" s="114"/>
      <c r="B114" s="143" t="s">
        <v>1630</v>
      </c>
      <c r="C114" s="144"/>
      <c r="D114" s="315">
        <f>SUM(U114,V114)</f>
        <v>0</v>
      </c>
      <c r="E114" s="315"/>
      <c r="F114" s="391"/>
      <c r="G114" s="344"/>
      <c r="H114" s="1584"/>
      <c r="I114" s="335" t="e">
        <f>VLOOKUP($B114&amp;"; "&amp;$I$106&amp;", "&amp;I$107,'FE Energie'!$G:$U,9,FALSE)</f>
        <v>#N/A</v>
      </c>
      <c r="J114" s="335" t="e">
        <f>VLOOKUP($B114&amp;"; "&amp;$I$106&amp;", "&amp;J$107,'FE Energie'!$G:$U,9,FALSE)</f>
        <v>#N/A</v>
      </c>
      <c r="K114" s="1584"/>
      <c r="L114" s="223">
        <f>VLOOKUP($B114&amp;"; "&amp;$L$106&amp;", "&amp;L$107,'FE Energie'!$G:$U,9,FALSE)</f>
        <v>7.8399999999999997E-2</v>
      </c>
      <c r="M114" s="223">
        <f>VLOOKUP($B114&amp;"; "&amp;$L$106&amp;", "&amp;M$107,'FE Energie'!$G:$U,9,FALSE)</f>
        <v>0.19500000000000001</v>
      </c>
      <c r="N114" s="1584"/>
      <c r="O114" s="217">
        <f>VLOOKUP($B114&amp;"; "&amp;$O$106&amp;", "&amp;O$107,'FE Energie'!$G:$U,9,FALSE)</f>
        <v>916</v>
      </c>
      <c r="P114" s="217">
        <f>VLOOKUP($B114&amp;"; "&amp;$O$106&amp;", "&amp;P$107,'FE Energie'!$G:$U,9,FALSE)</f>
        <v>2269</v>
      </c>
      <c r="Q114" s="1201"/>
      <c r="R114" s="223">
        <f>VLOOKUP($B114&amp;"; "&amp;$R$106&amp;", "&amp;R$107,'FE Energie'!$G:$U,9,FALSE)</f>
        <v>0.75800000000000001</v>
      </c>
      <c r="S114" s="223">
        <f>VLOOKUP($B114&amp;"; "&amp;$R$106&amp;", "&amp;S$107,'FE Energie'!$G:$U,9,FALSE)</f>
        <v>1.88</v>
      </c>
      <c r="T114" s="120"/>
      <c r="U114" s="566">
        <f t="shared" si="20"/>
        <v>0</v>
      </c>
      <c r="V114" s="566">
        <f t="shared" si="21"/>
        <v>0</v>
      </c>
      <c r="W114" s="1286">
        <f>IF(OR(G114=Utilitaires!$I$572,G114=Utilitaires!$I$577),V114,0)</f>
        <v>0</v>
      </c>
      <c r="Y114" s="1092">
        <f>IF(AD114=0,AD114,AD114/(U114+V114))</f>
        <v>0</v>
      </c>
      <c r="Z114" s="343"/>
      <c r="AA114" s="820"/>
      <c r="AB114" s="164">
        <f>IF(T114=0,0,(SQRT(SUMSQ(IF(ISNA($H114*I114*BN114),0,$H114*I114*BN114),IF(ISNA($K114*L114*BO114),0,$K114*L114*BO114),IF(ISNA($N114*O114*BP114),0,$N114*O114*BP114),IF(ISNA($Q114*R114*BQ114),0,$Q114*R114*BQ114))))/T114)</f>
        <v>0</v>
      </c>
      <c r="AC114" s="164">
        <f>IF(T114=0,0,(SQRT(SUMSQ(IF(ISNA($H114*J114*BR114),0,$H114*J114*BR114),IF(ISNA($K114*M114*BS114),0,$K114*M114*BS114),IF(ISNA($N114*P114*BT114),0,$N114*P114*BT114),IF(ISNA($Q114*S114*BU114),0,$Q114*S114*BU114))))/T114)</f>
        <v>0</v>
      </c>
      <c r="AD114" s="152">
        <f>SQRT(SUMSQ(AB114,AC114))</f>
        <v>0</v>
      </c>
      <c r="AE114" s="1286">
        <f t="shared" si="22"/>
        <v>0</v>
      </c>
      <c r="AF114" s="114"/>
      <c r="AG114" s="564">
        <f>IF(T114=0,0,(
$H114*IF(ISNA(VLOOKUP($B114&amp;"; "&amp;$I$26&amp;", "&amp;I$27,'FE Energie'!$G:$U,10,FALSE)),0,VLOOKUP($B114&amp;"; "&amp;$I$26&amp;", "&amp;I$27,'FE Energie'!$G:$U,10,FALSE))
+$K114*IF(ISNA(VLOOKUP($B114&amp;"; "&amp;$L$26&amp;", "&amp;I$27,'FE Energie'!$G:$U,10,FALSE)),0,VLOOKUP($B114&amp;"; "&amp;$L$26&amp;", "&amp;I$27,'FE Energie'!$G:$U,10,FALSE))
+$N114*IF(ISNA(VLOOKUP($B114&amp;"; "&amp;$O$26&amp;", "&amp;I$27,'FE Energie'!$G:$U,10,FALSE)),0,VLOOKUP($B114&amp;"; "&amp;$O$26&amp;", "&amp;I$27,'FE Energie'!$G:$U,10,FALSE))
+$Q114*IF(ISNA(VLOOKUP($B114&amp;"; "&amp;$R$26&amp;", "&amp;I$27,'FE Energie'!$G:$U,10,FALSE)),0,VLOOKUP($B114&amp;"; "&amp;$R$26&amp;", "&amp;I$27,'FE Energie'!$G:$U,10,FALSE))
)/T114)</f>
        <v>0</v>
      </c>
      <c r="AH114" s="565">
        <f>IF(T114=0,0,(
$H114*IF(ISNA(VLOOKUP($B114&amp;"; "&amp;$I$26&amp;", "&amp;J$27,'FE Energie'!$G:$U,10,FALSE)),0,VLOOKUP($B114&amp;"; "&amp;$I$26&amp;", "&amp;J$27,'FE Energie'!$G:$U,10,FALSE))
+$K114*IF(ISNA(VLOOKUP($B114&amp;"; "&amp;$L$26&amp;", "&amp;J$27,'FE Energie'!$G:$U,10,FALSE)),0,VLOOKUP($B114&amp;"; "&amp;$L$26&amp;", "&amp;J$27,'FE Energie'!$G:$U,10,FALSE))
+$N114*IF(ISNA(VLOOKUP($B114&amp;"; "&amp;$O$26&amp;", "&amp;J$27,'FE Energie'!$G:$U,10,FALSE)),0,VLOOKUP($B114&amp;"; "&amp;$O$26&amp;", "&amp;J$27,'FE Energie'!$G:$U,10,FALSE))
+$Q114*IF(ISNA(VLOOKUP($B114&amp;"; "&amp;$R$26&amp;", "&amp;J$27,'FE Energie'!$G:$U,10,FALSE)),0,VLOOKUP($B114&amp;"; "&amp;$R$26&amp;", "&amp;J$27,'FE Energie'!$G:$U,10,FALSE))
)/T114)</f>
        <v>0</v>
      </c>
      <c r="AI114" s="620">
        <f>IF(T114=0,0,(
$H114*IF(ISNA((VLOOKUP($B114&amp;"; "&amp;$I$26&amp;", "&amp;I$27,'FE Energie'!$G:$U,12,FALSE)+VLOOKUP($B114&amp;"; "&amp;$I$26&amp;", "&amp;I$27,'FE Energie'!$G:$U,11,FALSE))),0,(VLOOKUP($B114&amp;"; "&amp;$I$26&amp;", "&amp;I$27,'FE Energie'!$G:$U,12,FALSE)+VLOOKUP($B114&amp;"; "&amp;$I$26&amp;", "&amp;I$27,'FE Energie'!$G:$U,11,FALSE)))
+$K114*IF(ISNA((VLOOKUP($B114&amp;"; "&amp;$L$26&amp;", "&amp;I$27,'FE Energie'!$G:$U,12,FALSE)+VLOOKUP($B114&amp;"; "&amp;$L$26&amp;", "&amp;I$27,'FE Energie'!$G:$U,11,FALSE))),0,(VLOOKUP($B114&amp;"; "&amp;$L$26&amp;", "&amp;I$27,'FE Energie'!$G:$U,12,FALSE)+VLOOKUP($B114&amp;"; "&amp;$L$26&amp;", "&amp;I$27,'FE Energie'!$G:$U,11,FALSE)))
+$N114*IF(ISNA((VLOOKUP($B114&amp;"; "&amp;$O$26&amp;", "&amp;I$27,'FE Energie'!$G:$U,12,FALSE)+VLOOKUP($B114&amp;"; "&amp;$O$26&amp;", "&amp;I$27,'FE Energie'!$G:$U,11,FALSE))),0,(VLOOKUP($B114&amp;"; "&amp;$O$26&amp;", "&amp;I$27,'FE Energie'!$G:$U,12,FALSE)+VLOOKUP($B114&amp;"; "&amp;$O$26&amp;", "&amp;I$27,'FE Energie'!$G:$U,11,FALSE)))
+$Q114*IF(ISNA((VLOOKUP($B114&amp;"; "&amp;$R$26&amp;", "&amp;I$27,'FE Energie'!$G:$U,12,FALSE)+VLOOKUP($B114&amp;"; "&amp;$R$26&amp;", "&amp;I$27,'FE Energie'!$G:$U,11,FALSE))),0,(VLOOKUP($B114&amp;"; "&amp;$R$26&amp;", "&amp;I$27,'FE Energie'!$G:$U,12,FALSE)+VLOOKUP($B114&amp;"; "&amp;$R$26&amp;", "&amp;I$27,'FE Energie'!$G:$U,11,FALSE)))
)/T114)</f>
        <v>0</v>
      </c>
      <c r="AJ114" s="620">
        <f>IF(T114=0,0,(
$H114*IF(ISNA((VLOOKUP($B114&amp;"; "&amp;$I$26&amp;", "&amp;J$27,'FE Energie'!$G:$U,12,FALSE)+VLOOKUP($B114&amp;"; "&amp;$I$26&amp;", "&amp;J$27,'FE Energie'!$G:$U,11,FALSE))),0,(VLOOKUP($B114&amp;"; "&amp;$I$26&amp;", "&amp;J$27,'FE Energie'!$G:$U,12,FALSE)+VLOOKUP($B114&amp;"; "&amp;$I$26&amp;", "&amp;J$27,'FE Energie'!$G:$U,11,FALSE)))
+$K114*IF(ISNA((VLOOKUP($B114&amp;"; "&amp;$L$26&amp;", "&amp;J$27,'FE Energie'!$G:$U,12,FALSE)+VLOOKUP($B114&amp;"; "&amp;$L$26&amp;", "&amp;J$27,'FE Energie'!$G:$U,11,FALSE))),0,(VLOOKUP($B114&amp;"; "&amp;$L$26&amp;", "&amp;J$27,'FE Energie'!$G:$U,12,FALSE)+VLOOKUP($B114&amp;"; "&amp;$L$26&amp;", "&amp;J$27,'FE Energie'!$G:$U,11,FALSE)))
+$N114*IF(ISNA((VLOOKUP($B114&amp;"; "&amp;$O$26&amp;", "&amp;J$27,'FE Energie'!$G:$U,12,FALSE)+VLOOKUP($B114&amp;"; "&amp;$O$26&amp;", "&amp;J$27,'FE Energie'!$G:$U,11,FALSE))),0,(VLOOKUP($B114&amp;"; "&amp;$O$26&amp;", "&amp;J$27,'FE Energie'!$G:$U,12,FALSE)+VLOOKUP($B114&amp;"; "&amp;$O$26&amp;", "&amp;J$27,'FE Energie'!$G:$U,11,FALSE)))
+$Q114*IF(ISNA((VLOOKUP($B114&amp;"; "&amp;$R$26&amp;", "&amp;J$27,'FE Energie'!$G:$U,12,FALSE)+VLOOKUP($B114&amp;"; "&amp;$R$26&amp;", "&amp;J$27,'FE Energie'!$G:$U,11,FALSE))),0,(VLOOKUP($B114&amp;"; "&amp;$R$26&amp;", "&amp;J$27,'FE Energie'!$G:$U,12,FALSE)+VLOOKUP($B114&amp;"; "&amp;$R$26&amp;", "&amp;J$27,'FE Energie'!$G:$U,11,FALSE)))
)/T114)</f>
        <v>0</v>
      </c>
      <c r="AK114" s="620">
        <f>IF(T114=0,0,(
$H114*IF(ISNA(VLOOKUP($B114&amp;"; "&amp;$I$26&amp;", "&amp;I$27,'FE Energie'!$G:$U,13,FALSE)),0,VLOOKUP($B114&amp;"; "&amp;$I$26&amp;", "&amp;I$27,'FE Energie'!$G:$U,13,FALSE))
+$K114*IF(ISNA(VLOOKUP($B114&amp;"; "&amp;$L$26&amp;", "&amp;I$27,'FE Energie'!$G:$U,13,FALSE)),0,VLOOKUP($B114&amp;"; "&amp;$L$26&amp;", "&amp;I$27,'FE Energie'!$G:$U,13,FALSE))
+$N114*IF(ISNA(VLOOKUP($B114&amp;"; "&amp;$O$26&amp;", "&amp;I$27,'FE Energie'!$G:$U,13,FALSE)),0,VLOOKUP($B114&amp;"; "&amp;$O$26&amp;", "&amp;I$27,'FE Energie'!$G:$U,13,FALSE))
+$Q114*IF(ISNA(VLOOKUP($B114&amp;"; "&amp;$R$26&amp;", "&amp;I$27,'FE Energie'!$G:$U,13,FALSE)),0,VLOOKUP($B114&amp;"; "&amp;$R$26&amp;", "&amp;I$27,'FE Energie'!$G:$U,13,FALSE))
)/T114)</f>
        <v>0</v>
      </c>
      <c r="AL114" s="620">
        <f>IF(T114=0,0,(
$H114*IF(ISNA(VLOOKUP($B114&amp;"; "&amp;$I$26&amp;", "&amp;J$27,'FE Energie'!$G:$U,13,FALSE)),0,VLOOKUP($B114&amp;"; "&amp;$I$26&amp;", "&amp;J$27,'FE Energie'!$G:$U,13,FALSE))
+$K114*IF(ISNA(VLOOKUP($B114&amp;"; "&amp;$L$26&amp;", "&amp;J$27,'FE Energie'!$G:$U,13,FALSE)),0,VLOOKUP($B114&amp;"; "&amp;$L$26&amp;", "&amp;J$27,'FE Energie'!$G:$U,13,FALSE))
+$N114*IF(ISNA(VLOOKUP($B114&amp;"; "&amp;$O$26&amp;", "&amp;J$27,'FE Energie'!$G:$U,13,FALSE)),0,VLOOKUP($B114&amp;"; "&amp;$O$26&amp;", "&amp;J$27,'FE Energie'!$G:$U,13,FALSE))
+$Q114*IF(ISNA(VLOOKUP($B114&amp;"; "&amp;$R$26&amp;", "&amp;J$27,'FE Energie'!$G:$U,13,FALSE)),0,VLOOKUP($B114&amp;"; "&amp;$R$26&amp;", "&amp;J$27,'FE Energie'!$G:$U,13,FALSE))
)/T114)</f>
        <v>0</v>
      </c>
      <c r="AM114" s="565">
        <f>IF(T114=0,0,(
$H114*IF(ISNA(VLOOKUP($B114&amp;"; "&amp;$I$26&amp;", "&amp;I$27,'FE Energie'!$G:$U,14,FALSE)),0,VLOOKUP($B114&amp;"; "&amp;$I$26&amp;", "&amp;I$27,'FE Energie'!$G:$U,14,FALSE))
+$K114*IF(ISNA(VLOOKUP($B114&amp;"; "&amp;$L$26&amp;", "&amp;I$27,'FE Energie'!$G:$U,14,FALSE)),0,VLOOKUP($B114&amp;"; "&amp;$L$26&amp;", "&amp;I$27,'FE Energie'!$G:$U,14,FALSE))
+$N114*IF(ISNA(VLOOKUP($B114&amp;"; "&amp;$O$26&amp;", "&amp;I$27,'FE Energie'!$G:$U,14,FALSE)),0,VLOOKUP($B114&amp;"; "&amp;$O$26&amp;", "&amp;I$27,'FE Energie'!$G:$U,14,FALSE))
+$Q114*IF(ISNA(VLOOKUP($B114&amp;"; "&amp;$R$26&amp;", "&amp;I$27,'FE Energie'!$G:$U,14,FALSE)),0,VLOOKUP($B114&amp;"; "&amp;$R$26&amp;", "&amp;I$27,'FE Energie'!$G:$U,14,FALSE))
)/T114)</f>
        <v>0</v>
      </c>
      <c r="AN114" s="565">
        <f>IF(T114=0,0,(
$H114*IF(ISNA(VLOOKUP($B114&amp;"; "&amp;$I$26&amp;", "&amp;J$27,'FE Energie'!$G:$U,14,FALSE)),0,VLOOKUP($B114&amp;"; "&amp;$I$26&amp;", "&amp;J$27,'FE Energie'!$G:$U,14,FALSE))
+$K114*IF(ISNA(VLOOKUP($B114&amp;"; "&amp;$L$26&amp;", "&amp;J$27,'FE Energie'!$G:$U,14,FALSE)),0,VLOOKUP($B114&amp;"; "&amp;$L$26&amp;", "&amp;J$27,'FE Energie'!$G:$U,14,FALSE))
+$N114*IF(ISNA(VLOOKUP($B114&amp;"; "&amp;$O$26&amp;", "&amp;J$27,'FE Energie'!$G:$U,14,FALSE)),0,VLOOKUP($B114&amp;"; "&amp;$O$26&amp;", "&amp;J$27,'FE Energie'!$G:$U,14,FALSE))
+$Q114*IF(ISNA(VLOOKUP($B114&amp;"; "&amp;$R$26&amp;", "&amp;J$27,'FE Energie'!$G:$U,14,FALSE)),0,VLOOKUP($B114&amp;"; "&amp;$R$26&amp;", "&amp;J$27,'FE Energie'!$G:$U,14,FALSE))
)/T114)</f>
        <v>0</v>
      </c>
      <c r="AO114" s="566">
        <f t="shared" si="23"/>
        <v>0</v>
      </c>
      <c r="AP114" s="566">
        <f t="shared" si="24"/>
        <v>0</v>
      </c>
      <c r="AQ114" s="564">
        <f>IF(T114=0,0,(
$H114*IF(ISNA(VLOOKUP($B114&amp;"; "&amp;$I$26&amp;", "&amp;I$27,'FE Energie'!$G:$U,15,FALSE)),0,VLOOKUP($B114&amp;"; "&amp;$I$26&amp;", "&amp;I$27,'FE Energie'!$G:$U,15,FALSE))
+$K114*IF(ISNA(VLOOKUP($B114&amp;"; "&amp;$L$26&amp;", "&amp;I$27,'FE Energie'!$G:$U,15,FALSE)),0,VLOOKUP($B114&amp;"; "&amp;$L$26&amp;", "&amp;I$27,'FE Energie'!$G:$U,15,FALSE))
+$N114*IF(ISNA(VLOOKUP($B114&amp;"; "&amp;$O$26&amp;", "&amp;I$27,'FE Energie'!$G:$U,15,FALSE)),0,VLOOKUP($B114&amp;"; "&amp;$O$26&amp;", "&amp;I$27,'FE Energie'!$G:$U,15,FALSE))
+$Q114*IF(ISNA(VLOOKUP($B114&amp;"; "&amp;$R$26&amp;", "&amp;I$27,'FE Energie'!$G:$U,15,FALSE)),0,VLOOKUP($B114&amp;"; "&amp;$R$26&amp;", "&amp;I$27,'FE Energie'!$G:$U,15,FALSE))
)/T114)</f>
        <v>0</v>
      </c>
      <c r="AR114" s="568">
        <f>IF(T114=0,0,(
$H114*IF(ISNA(VLOOKUP($B114&amp;"; "&amp;$I$26&amp;", "&amp;J$27,'FE Energie'!$G:$U,15,FALSE)),0,VLOOKUP($B114&amp;"; "&amp;$I$26&amp;", "&amp;J$27,'FE Energie'!$G:$U,15,FALSE))
+$K114*IF(ISNA(VLOOKUP($B114&amp;"; "&amp;$L$26&amp;", "&amp;J$27,'FE Energie'!$G:$U,15,FALSE)),0,VLOOKUP($B114&amp;"; "&amp;$L$26&amp;", "&amp;J$27,'FE Energie'!$G:$U,15,FALSE))
+$N114*IF(ISNA(VLOOKUP($B114&amp;"; "&amp;$O$26&amp;", "&amp;J$27,'FE Energie'!$G:$U,15,FALSE)),0,VLOOKUP($B114&amp;"; "&amp;$O$26&amp;", "&amp;J$27,'FE Energie'!$G:$U,15,FALSE))
+$Q114*IF(ISNA(VLOOKUP($B114&amp;"; "&amp;$R$26&amp;", "&amp;J$27,'FE Energie'!$G:$U,15,FALSE)),0,VLOOKUP($B114&amp;"; "&amp;$R$26&amp;", "&amp;J$27,'FE Energie'!$G:$U,15,FALSE))
)/T114)</f>
        <v>0</v>
      </c>
      <c r="AU114" s="891" t="str">
        <f t="shared" ref="AU114:BB115" si="26">IF($F114="Oui",AG114*$T114,"")</f>
        <v/>
      </c>
      <c r="AV114" s="892" t="str">
        <f t="shared" si="26"/>
        <v/>
      </c>
      <c r="AW114" s="892" t="str">
        <f t="shared" si="26"/>
        <v/>
      </c>
      <c r="AX114" s="892" t="str">
        <f t="shared" si="26"/>
        <v/>
      </c>
      <c r="AY114" s="892" t="str">
        <f t="shared" si="26"/>
        <v/>
      </c>
      <c r="AZ114" s="892" t="str">
        <f t="shared" si="26"/>
        <v/>
      </c>
      <c r="BA114" s="892" t="str">
        <f t="shared" si="26"/>
        <v/>
      </c>
      <c r="BB114" s="892" t="str">
        <f t="shared" si="26"/>
        <v/>
      </c>
      <c r="BC114" s="900">
        <f>SUM(AU114,AW114,AY114,BA114)</f>
        <v>0</v>
      </c>
      <c r="BD114" s="900">
        <f>SUM(AV114,AX114,AZ114,BB114)</f>
        <v>0</v>
      </c>
      <c r="BE114" s="891" t="str">
        <f>IF($F114="Oui",IF(AQ114="","",AQ114*$T114),"")</f>
        <v/>
      </c>
      <c r="BF114" s="901" t="str">
        <f>IF($F114="Oui",IF(AR114="","",AR114*$T114),"")</f>
        <v/>
      </c>
      <c r="BG114" s="892" t="str">
        <f t="shared" si="19"/>
        <v/>
      </c>
      <c r="BH114" s="901" t="str">
        <f t="shared" si="19"/>
        <v/>
      </c>
      <c r="BJ114" s="1065">
        <f>IF($Z114&lt;&gt;"votre valeur :",IF(ISNA(VLOOKUP($Z114,Utilitaires!$N$566:$O$571,2,FALSE)),,VLOOKUP($Z114,Utilitaires!$N$566:$O$571,2,FALSE)),$AA114)</f>
        <v>0</v>
      </c>
      <c r="BK114" s="1065">
        <f>IF($Z114&lt;&gt;"votre valeur :",IF(ISNA(VLOOKUP($Z114,Utilitaires!$N$566:$O$571,2,FALSE)),,VLOOKUP($Z114,Utilitaires!$N$566:$O$571,2,FALSE)),$AA114)</f>
        <v>0</v>
      </c>
      <c r="BL114" s="1065">
        <f>IF($Z114&lt;&gt;"votre valeur :",IF(ISNA(VLOOKUP($Z114,Utilitaires!$N$566:$O$571,2,FALSE)),,VLOOKUP($Z114,Utilitaires!$N$566:$O$571,2,FALSE)),$AA114)</f>
        <v>0</v>
      </c>
      <c r="BM114" s="1167">
        <f>IF($Z114&lt;&gt;"votre valeur :",IF(ISNA(VLOOKUP($Z114,Utilitaires!$N$566:$O$571,2,FALSE)),,VLOOKUP($Z114,Utilitaires!$N$566:$O$571,2,FALSE)),$AA114)</f>
        <v>0</v>
      </c>
      <c r="BN114" s="1068">
        <f>IF(ISNA(SQRT(SUMSQ(VLOOKUP($B114&amp;"; "&amp;$I$26&amp;", "&amp;$I$27,'FE Energie'!$G:$U,7,FALSE),$BJ114))),0,SQRT(SUMSQ(VLOOKUP($B114&amp;"; "&amp;$I$26&amp;", "&amp;$I$27,'FE Energie'!$G:$U,7,FALSE),$BJ114)))</f>
        <v>0</v>
      </c>
      <c r="BO114" s="1068">
        <f>IF(ISNA(SQRT(SUMSQ(VLOOKUP($B114&amp;"; "&amp;$L$26&amp;", "&amp;$L$27,'FE Energie'!$G:$U,7,FALSE),$BK114))),0,SQRT(SUMSQ(VLOOKUP($B114&amp;"; "&amp;$L$26&amp;", "&amp;$L$27,'FE Energie'!$G:$U,7,FALSE),$BK114)))</f>
        <v>0.05</v>
      </c>
      <c r="BP114" s="1068">
        <f>IF(ISNA(SQRT(SUMSQ(VLOOKUP($B114&amp;"; "&amp;$O$26&amp;", "&amp;$O$27,'FE Energie'!$G:$U,7,FALSE),$BL114))),0,SQRT(SUMSQ(VLOOKUP($B114&amp;"; "&amp;$O$26&amp;", "&amp;$O$27,'FE Energie'!$G:$U,7,FALSE),$BL114)))</f>
        <v>0.05</v>
      </c>
      <c r="BQ114" s="1068">
        <f>IF(ISNA(SQRT(SUMSQ(VLOOKUP($B114&amp;"; "&amp;$R$26&amp;", "&amp;$R$27,'FE Energie'!$G:$U,7,FALSE),$BM114))),0,SQRT(SUMSQ(VLOOKUP($B114&amp;"; "&amp;$R$26&amp;", "&amp;$R$27,'FE Energie'!$G:$U,7,FALSE),$BM114)))</f>
        <v>0.1</v>
      </c>
      <c r="BR114" s="1124">
        <f>IF(ISNA(SQRT(SUMSQ(VLOOKUP($B114&amp;"; "&amp;$I$26&amp;", "&amp;$J$27,'FE Energie'!$G:$U,7,FALSE),$BJ114))),0,SQRT(SUMSQ(VLOOKUP($B114&amp;"; "&amp;$I$26&amp;", "&amp;$J$27,'FE Energie'!$G:$U,7,FALSE),$BJ114)))</f>
        <v>0</v>
      </c>
      <c r="BS114" s="1070">
        <f>IF(ISNA(SQRT(SUMSQ(VLOOKUP($B114&amp;"; "&amp;$L$26&amp;", "&amp;$M$27,'FE Energie'!$G:$U,7,FALSE),$BK114))),0,SQRT(SUMSQ(VLOOKUP($B114&amp;"; "&amp;$L$26&amp;", "&amp;$M$27,'FE Energie'!$G:$U,7,FALSE),$BK114)))</f>
        <v>0.05</v>
      </c>
      <c r="BT114" s="1070">
        <f>IF(ISNA(SQRT(SUMSQ(VLOOKUP($B114&amp;"; "&amp;$O$26&amp;", "&amp;$P$27,'FE Energie'!$G:$U,7,FALSE),$BL114))),0,SQRT(SUMSQ(VLOOKUP($B114&amp;"; "&amp;$O$26&amp;", "&amp;$P$27,'FE Energie'!$G:$U,7,FALSE),$BL114)))</f>
        <v>0.05</v>
      </c>
      <c r="BU114" s="1071">
        <f>IF(ISNA(SQRT(SUMSQ(VLOOKUP($B114&amp;"; "&amp;$R$26&amp;", "&amp;$S$27,'FE Energie'!$G:$U,7,FALSE),$BM114))),0,SQRT(SUMSQ(VLOOKUP($B114&amp;"; "&amp;$R$26&amp;", "&amp;$S$27,'FE Energie'!$G:$U,7,FALSE),$BM114)))</f>
        <v>0.1</v>
      </c>
    </row>
    <row r="115" spans="1:73" s="116" customFormat="1" ht="12.75" hidden="1" customHeight="1" outlineLevel="2">
      <c r="A115" s="114"/>
      <c r="B115" s="143" t="s">
        <v>1631</v>
      </c>
      <c r="C115" s="144"/>
      <c r="D115" s="315">
        <f>SUM(U115,V115)</f>
        <v>0</v>
      </c>
      <c r="E115" s="315"/>
      <c r="F115" s="393"/>
      <c r="G115" s="345"/>
      <c r="H115" s="1548"/>
      <c r="I115" s="335">
        <f>VLOOKUP($B115&amp;"; "&amp;$I$106&amp;", "&amp;I$107,'FE Energie'!$G:$U,9,FALSE)</f>
        <v>0.27</v>
      </c>
      <c r="J115" s="335">
        <f>VLOOKUP($B115&amp;"; "&amp;$I$106&amp;", "&amp;J$107,'FE Energie'!$G:$U,9,FALSE)</f>
        <v>3.07</v>
      </c>
      <c r="K115" s="1548"/>
      <c r="L115" s="223" t="e">
        <f>VLOOKUP($B115&amp;"; "&amp;$L$106&amp;", "&amp;L$107,'FE Energie'!$G:$U,9,FALSE)</f>
        <v>#N/A</v>
      </c>
      <c r="M115" s="223" t="e">
        <f>VLOOKUP($B115&amp;"; "&amp;$L$106&amp;", "&amp;M$107,'FE Energie'!$G:$U,9,FALSE)</f>
        <v>#N/A</v>
      </c>
      <c r="N115" s="1548"/>
      <c r="O115" s="217" t="e">
        <f>VLOOKUP($B115&amp;"; "&amp;$O$106&amp;", "&amp;O$107,'FE Energie'!$G:$U,9,FALSE)</f>
        <v>#N/A</v>
      </c>
      <c r="P115" s="217" t="e">
        <f>VLOOKUP($B115&amp;"; "&amp;$O$106&amp;", "&amp;P$107,'FE Energie'!$G:$U,9,FALSE)</f>
        <v>#N/A</v>
      </c>
      <c r="Q115" s="1086"/>
      <c r="R115" s="223" t="e">
        <f>VLOOKUP($B115&amp;"; "&amp;$R$106&amp;", "&amp;R$107,'FE Energie'!$G:$U,9,FALSE)</f>
        <v>#N/A</v>
      </c>
      <c r="S115" s="223" t="e">
        <f>VLOOKUP($B115&amp;"; "&amp;$R$106&amp;", "&amp;S$107,'FE Energie'!$G:$U,9,FALSE)</f>
        <v>#N/A</v>
      </c>
      <c r="T115" s="123"/>
      <c r="U115" s="566">
        <f t="shared" si="20"/>
        <v>0</v>
      </c>
      <c r="V115" s="566">
        <f t="shared" si="21"/>
        <v>0</v>
      </c>
      <c r="W115" s="1286">
        <f>IF(OR(G115=Utilitaires!$I$572,G115=Utilitaires!$I$577),V115,0)</f>
        <v>0</v>
      </c>
      <c r="Y115" s="1092">
        <f>IF(AD115=0,AD115,AD115/(U115+V115))</f>
        <v>0</v>
      </c>
      <c r="Z115" s="345"/>
      <c r="AA115" s="820"/>
      <c r="AB115" s="164">
        <f>IF(T115=0,0,(SQRT(SUMSQ(IF(ISNA($H115*I115*BN115),0,$H115*I115*BN115),IF(ISNA($K115*L115*BO115),0,$K115*L115*BO115),IF(ISNA($N115*O115*BP115),0,$N115*O115*BP115),IF(ISNA($Q115*R115*BQ115),0,$Q115*R115*BQ115))))/T115)</f>
        <v>0</v>
      </c>
      <c r="AC115" s="164">
        <f>IF(T115=0,0,(SQRT(SUMSQ(IF(ISNA($H115*J115*BR115),0,$H115*J115*BR115),IF(ISNA($K115*M115*BS115),0,$K115*M115*BS115),IF(ISNA($N115*P115*BT115),0,$N115*P115*BT115),IF(ISNA($Q115*S115*BU115),0,$Q115*S115*BU115))))/T115)</f>
        <v>0</v>
      </c>
      <c r="AD115" s="152">
        <f>SQRT(SUMSQ(AB115,AC115))</f>
        <v>0</v>
      </c>
      <c r="AE115" s="1286">
        <f t="shared" si="22"/>
        <v>0</v>
      </c>
      <c r="AF115" s="114"/>
      <c r="AG115" s="564">
        <f>IF(T115=0,0,(
$H115*IF(ISNA(VLOOKUP($B115&amp;"; "&amp;$I$26&amp;", "&amp;I$27,'FE Energie'!$G:$U,10,FALSE)),0,VLOOKUP($B115&amp;"; "&amp;$I$26&amp;", "&amp;I$27,'FE Energie'!$G:$U,10,FALSE))
+$K115*IF(ISNA(VLOOKUP($B115&amp;"; "&amp;$L$26&amp;", "&amp;I$27,'FE Energie'!$G:$U,10,FALSE)),0,VLOOKUP($B115&amp;"; "&amp;$L$26&amp;", "&amp;I$27,'FE Energie'!$G:$U,10,FALSE))
+$N115*IF(ISNA(VLOOKUP($B115&amp;"; "&amp;$O$26&amp;", "&amp;I$27,'FE Energie'!$G:$U,10,FALSE)),0,VLOOKUP($B115&amp;"; "&amp;$O$26&amp;", "&amp;I$27,'FE Energie'!$G:$U,10,FALSE))
+$Q115*IF(ISNA(VLOOKUP($B115&amp;"; "&amp;$R$26&amp;", "&amp;I$27,'FE Energie'!$G:$U,10,FALSE)),0,VLOOKUP($B115&amp;"; "&amp;$R$26&amp;", "&amp;I$27,'FE Energie'!$G:$U,10,FALSE))
)/T115)</f>
        <v>0</v>
      </c>
      <c r="AH115" s="565">
        <f>IF(T115=0,0,(
$H115*IF(ISNA(VLOOKUP($B115&amp;"; "&amp;$I$26&amp;", "&amp;J$27,'FE Energie'!$G:$U,10,FALSE)),0,VLOOKUP($B115&amp;"; "&amp;$I$26&amp;", "&amp;J$27,'FE Energie'!$G:$U,10,FALSE))
+$K115*IF(ISNA(VLOOKUP($B115&amp;"; "&amp;$L$26&amp;", "&amp;J$27,'FE Energie'!$G:$U,10,FALSE)),0,VLOOKUP($B115&amp;"; "&amp;$L$26&amp;", "&amp;J$27,'FE Energie'!$G:$U,10,FALSE))
+$N115*IF(ISNA(VLOOKUP($B115&amp;"; "&amp;$O$26&amp;", "&amp;J$27,'FE Energie'!$G:$U,10,FALSE)),0,VLOOKUP($B115&amp;"; "&amp;$O$26&amp;", "&amp;J$27,'FE Energie'!$G:$U,10,FALSE))
+$Q115*IF(ISNA(VLOOKUP($B115&amp;"; "&amp;$R$26&amp;", "&amp;J$27,'FE Energie'!$G:$U,10,FALSE)),0,VLOOKUP($B115&amp;"; "&amp;$R$26&amp;", "&amp;J$27,'FE Energie'!$G:$U,10,FALSE))
)/T115)</f>
        <v>0</v>
      </c>
      <c r="AI115" s="620">
        <f>IF(T115=0,0,(
$H115*IF(ISNA((VLOOKUP($B115&amp;"; "&amp;$I$26&amp;", "&amp;I$27,'FE Energie'!$G:$U,12,FALSE)+VLOOKUP($B115&amp;"; "&amp;$I$26&amp;", "&amp;I$27,'FE Energie'!$G:$U,11,FALSE))),0,(VLOOKUP($B115&amp;"; "&amp;$I$26&amp;", "&amp;I$27,'FE Energie'!$G:$U,12,FALSE)+VLOOKUP($B115&amp;"; "&amp;$I$26&amp;", "&amp;I$27,'FE Energie'!$G:$U,11,FALSE)))
+$K115*IF(ISNA((VLOOKUP($B115&amp;"; "&amp;$L$26&amp;", "&amp;I$27,'FE Energie'!$G:$U,12,FALSE)+VLOOKUP($B115&amp;"; "&amp;$L$26&amp;", "&amp;I$27,'FE Energie'!$G:$U,11,FALSE))),0,(VLOOKUP($B115&amp;"; "&amp;$L$26&amp;", "&amp;I$27,'FE Energie'!$G:$U,12,FALSE)+VLOOKUP($B115&amp;"; "&amp;$L$26&amp;", "&amp;I$27,'FE Energie'!$G:$U,11,FALSE)))
+$N115*IF(ISNA((VLOOKUP($B115&amp;"; "&amp;$O$26&amp;", "&amp;I$27,'FE Energie'!$G:$U,12,FALSE)+VLOOKUP($B115&amp;"; "&amp;$O$26&amp;", "&amp;I$27,'FE Energie'!$G:$U,11,FALSE))),0,(VLOOKUP($B115&amp;"; "&amp;$O$26&amp;", "&amp;I$27,'FE Energie'!$G:$U,12,FALSE)+VLOOKUP($B115&amp;"; "&amp;$O$26&amp;", "&amp;I$27,'FE Energie'!$G:$U,11,FALSE)))
+$Q115*IF(ISNA((VLOOKUP($B115&amp;"; "&amp;$R$26&amp;", "&amp;I$27,'FE Energie'!$G:$U,12,FALSE)+VLOOKUP($B115&amp;"; "&amp;$R$26&amp;", "&amp;I$27,'FE Energie'!$G:$U,11,FALSE))),0,(VLOOKUP($B115&amp;"; "&amp;$R$26&amp;", "&amp;I$27,'FE Energie'!$G:$U,12,FALSE)+VLOOKUP($B115&amp;"; "&amp;$R$26&amp;", "&amp;I$27,'FE Energie'!$G:$U,11,FALSE)))
)/T115)</f>
        <v>0</v>
      </c>
      <c r="AJ115" s="620">
        <f>IF(T115=0,0,(
$H115*IF(ISNA((VLOOKUP($B115&amp;"; "&amp;$I$26&amp;", "&amp;J$27,'FE Energie'!$G:$U,12,FALSE)+VLOOKUP($B115&amp;"; "&amp;$I$26&amp;", "&amp;J$27,'FE Energie'!$G:$U,11,FALSE))),0,(VLOOKUP($B115&amp;"; "&amp;$I$26&amp;", "&amp;J$27,'FE Energie'!$G:$U,12,FALSE)+VLOOKUP($B115&amp;"; "&amp;$I$26&amp;", "&amp;J$27,'FE Energie'!$G:$U,11,FALSE)))
+$K115*IF(ISNA((VLOOKUP($B115&amp;"; "&amp;$L$26&amp;", "&amp;J$27,'FE Energie'!$G:$U,12,FALSE)+VLOOKUP($B115&amp;"; "&amp;$L$26&amp;", "&amp;J$27,'FE Energie'!$G:$U,11,FALSE))),0,(VLOOKUP($B115&amp;"; "&amp;$L$26&amp;", "&amp;J$27,'FE Energie'!$G:$U,12,FALSE)+VLOOKUP($B115&amp;"; "&amp;$L$26&amp;", "&amp;J$27,'FE Energie'!$G:$U,11,FALSE)))
+$N115*IF(ISNA((VLOOKUP($B115&amp;"; "&amp;$O$26&amp;", "&amp;J$27,'FE Energie'!$G:$U,12,FALSE)+VLOOKUP($B115&amp;"; "&amp;$O$26&amp;", "&amp;J$27,'FE Energie'!$G:$U,11,FALSE))),0,(VLOOKUP($B115&amp;"; "&amp;$O$26&amp;", "&amp;J$27,'FE Energie'!$G:$U,12,FALSE)+VLOOKUP($B115&amp;"; "&amp;$O$26&amp;", "&amp;J$27,'FE Energie'!$G:$U,11,FALSE)))
+$Q115*IF(ISNA((VLOOKUP($B115&amp;"; "&amp;$R$26&amp;", "&amp;J$27,'FE Energie'!$G:$U,12,FALSE)+VLOOKUP($B115&amp;"; "&amp;$R$26&amp;", "&amp;J$27,'FE Energie'!$G:$U,11,FALSE))),0,(VLOOKUP($B115&amp;"; "&amp;$R$26&amp;", "&amp;J$27,'FE Energie'!$G:$U,12,FALSE)+VLOOKUP($B115&amp;"; "&amp;$R$26&amp;", "&amp;J$27,'FE Energie'!$G:$U,11,FALSE)))
)/T115)</f>
        <v>0</v>
      </c>
      <c r="AK115" s="620">
        <f>IF(T115=0,0,(
$H115*IF(ISNA(VLOOKUP($B115&amp;"; "&amp;$I$26&amp;", "&amp;I$27,'FE Energie'!$G:$U,13,FALSE)),0,VLOOKUP($B115&amp;"; "&amp;$I$26&amp;", "&amp;I$27,'FE Energie'!$G:$U,13,FALSE))
+$K115*IF(ISNA(VLOOKUP($B115&amp;"; "&amp;$L$26&amp;", "&amp;I$27,'FE Energie'!$G:$U,13,FALSE)),0,VLOOKUP($B115&amp;"; "&amp;$L$26&amp;", "&amp;I$27,'FE Energie'!$G:$U,13,FALSE))
+$N115*IF(ISNA(VLOOKUP($B115&amp;"; "&amp;$O$26&amp;", "&amp;I$27,'FE Energie'!$G:$U,13,FALSE)),0,VLOOKUP($B115&amp;"; "&amp;$O$26&amp;", "&amp;I$27,'FE Energie'!$G:$U,13,FALSE))
+$Q115*IF(ISNA(VLOOKUP($B115&amp;"; "&amp;$R$26&amp;", "&amp;I$27,'FE Energie'!$G:$U,13,FALSE)),0,VLOOKUP($B115&amp;"; "&amp;$R$26&amp;", "&amp;I$27,'FE Energie'!$G:$U,13,FALSE))
)/T115)</f>
        <v>0</v>
      </c>
      <c r="AL115" s="620">
        <f>IF(T115=0,0,(
$H115*IF(ISNA(VLOOKUP($B115&amp;"; "&amp;$I$26&amp;", "&amp;J$27,'FE Energie'!$G:$U,13,FALSE)),0,VLOOKUP($B115&amp;"; "&amp;$I$26&amp;", "&amp;J$27,'FE Energie'!$G:$U,13,FALSE))
+$K115*IF(ISNA(VLOOKUP($B115&amp;"; "&amp;$L$26&amp;", "&amp;J$27,'FE Energie'!$G:$U,13,FALSE)),0,VLOOKUP($B115&amp;"; "&amp;$L$26&amp;", "&amp;J$27,'FE Energie'!$G:$U,13,FALSE))
+$N115*IF(ISNA(VLOOKUP($B115&amp;"; "&amp;$O$26&amp;", "&amp;J$27,'FE Energie'!$G:$U,13,FALSE)),0,VLOOKUP($B115&amp;"; "&amp;$O$26&amp;", "&amp;J$27,'FE Energie'!$G:$U,13,FALSE))
+$Q115*IF(ISNA(VLOOKUP($B115&amp;"; "&amp;$R$26&amp;", "&amp;J$27,'FE Energie'!$G:$U,13,FALSE)),0,VLOOKUP($B115&amp;"; "&amp;$R$26&amp;", "&amp;J$27,'FE Energie'!$G:$U,13,FALSE))
)/T115)</f>
        <v>0</v>
      </c>
      <c r="AM115" s="565">
        <f>IF(T115=0,0,(
$H115*IF(ISNA(VLOOKUP($B115&amp;"; "&amp;$I$26&amp;", "&amp;I$27,'FE Energie'!$G:$U,14,FALSE)),0,VLOOKUP($B115&amp;"; "&amp;$I$26&amp;", "&amp;I$27,'FE Energie'!$G:$U,14,FALSE))
+$K115*IF(ISNA(VLOOKUP($B115&amp;"; "&amp;$L$26&amp;", "&amp;I$27,'FE Energie'!$G:$U,14,FALSE)),0,VLOOKUP($B115&amp;"; "&amp;$L$26&amp;", "&amp;I$27,'FE Energie'!$G:$U,14,FALSE))
+$N115*IF(ISNA(VLOOKUP($B115&amp;"; "&amp;$O$26&amp;", "&amp;I$27,'FE Energie'!$G:$U,14,FALSE)),0,VLOOKUP($B115&amp;"; "&amp;$O$26&amp;", "&amp;I$27,'FE Energie'!$G:$U,14,FALSE))
+$Q115*IF(ISNA(VLOOKUP($B115&amp;"; "&amp;$R$26&amp;", "&amp;I$27,'FE Energie'!$G:$U,14,FALSE)),0,VLOOKUP($B115&amp;"; "&amp;$R$26&amp;", "&amp;I$27,'FE Energie'!$G:$U,14,FALSE))
)/T115)</f>
        <v>0</v>
      </c>
      <c r="AN115" s="565">
        <f>IF(T115=0,0,(
$H115*IF(ISNA(VLOOKUP($B115&amp;"; "&amp;$I$26&amp;", "&amp;J$27,'FE Energie'!$G:$U,14,FALSE)),0,VLOOKUP($B115&amp;"; "&amp;$I$26&amp;", "&amp;J$27,'FE Energie'!$G:$U,14,FALSE))
+$K115*IF(ISNA(VLOOKUP($B115&amp;"; "&amp;$L$26&amp;", "&amp;J$27,'FE Energie'!$G:$U,14,FALSE)),0,VLOOKUP($B115&amp;"; "&amp;$L$26&amp;", "&amp;J$27,'FE Energie'!$G:$U,14,FALSE))
+$N115*IF(ISNA(VLOOKUP($B115&amp;"; "&amp;$O$26&amp;", "&amp;J$27,'FE Energie'!$G:$U,14,FALSE)),0,VLOOKUP($B115&amp;"; "&amp;$O$26&amp;", "&amp;J$27,'FE Energie'!$G:$U,14,FALSE))
+$Q115*IF(ISNA(VLOOKUP($B115&amp;"; "&amp;$R$26&amp;", "&amp;J$27,'FE Energie'!$G:$U,14,FALSE)),0,VLOOKUP($B115&amp;"; "&amp;$R$26&amp;", "&amp;J$27,'FE Energie'!$G:$U,14,FALSE))
)/T115)</f>
        <v>0</v>
      </c>
      <c r="AO115" s="566">
        <f t="shared" si="23"/>
        <v>0</v>
      </c>
      <c r="AP115" s="566">
        <f t="shared" si="24"/>
        <v>0</v>
      </c>
      <c r="AQ115" s="564">
        <f>IF(T115=0,0,(
$H115*IF(ISNA(VLOOKUP($B115&amp;"; "&amp;$I$26&amp;", "&amp;I$27,'FE Energie'!$G:$U,15,FALSE)),0,VLOOKUP($B115&amp;"; "&amp;$I$26&amp;", "&amp;I$27,'FE Energie'!$G:$U,15,FALSE))
+$K115*IF(ISNA(VLOOKUP($B115&amp;"; "&amp;$L$26&amp;", "&amp;I$27,'FE Energie'!$G:$U,15,FALSE)),0,VLOOKUP($B115&amp;"; "&amp;$L$26&amp;", "&amp;I$27,'FE Energie'!$G:$U,15,FALSE))
+$N115*IF(ISNA(VLOOKUP($B115&amp;"; "&amp;$O$26&amp;", "&amp;I$27,'FE Energie'!$G:$U,15,FALSE)),0,VLOOKUP($B115&amp;"; "&amp;$O$26&amp;", "&amp;I$27,'FE Energie'!$G:$U,15,FALSE))
+$Q115*IF(ISNA(VLOOKUP($B115&amp;"; "&amp;$R$26&amp;", "&amp;I$27,'FE Energie'!$G:$U,15,FALSE)),0,VLOOKUP($B115&amp;"; "&amp;$R$26&amp;", "&amp;I$27,'FE Energie'!$G:$U,15,FALSE))
)/T115)</f>
        <v>0</v>
      </c>
      <c r="AR115" s="568">
        <f>IF(T115=0,0,(
$H115*IF(ISNA(VLOOKUP($B115&amp;"; "&amp;$I$26&amp;", "&amp;J$27,'FE Energie'!$G:$U,15,FALSE)),0,VLOOKUP($B115&amp;"; "&amp;$I$26&amp;", "&amp;J$27,'FE Energie'!$G:$U,15,FALSE))
+$K115*IF(ISNA(VLOOKUP($B115&amp;"; "&amp;$L$26&amp;", "&amp;J$27,'FE Energie'!$G:$U,15,FALSE)),0,VLOOKUP($B115&amp;"; "&amp;$L$26&amp;", "&amp;J$27,'FE Energie'!$G:$U,15,FALSE))
+$N115*IF(ISNA(VLOOKUP($B115&amp;"; "&amp;$O$26&amp;", "&amp;J$27,'FE Energie'!$G:$U,15,FALSE)),0,VLOOKUP($B115&amp;"; "&amp;$O$26&amp;", "&amp;J$27,'FE Energie'!$G:$U,15,FALSE))
+$Q115*IF(ISNA(VLOOKUP($B115&amp;"; "&amp;$R$26&amp;", "&amp;J$27,'FE Energie'!$G:$U,15,FALSE)),0,VLOOKUP($B115&amp;"; "&amp;$R$26&amp;", "&amp;J$27,'FE Energie'!$G:$U,15,FALSE))
)/T115)</f>
        <v>0</v>
      </c>
      <c r="AU115" s="891" t="str">
        <f t="shared" si="26"/>
        <v/>
      </c>
      <c r="AV115" s="892" t="str">
        <f t="shared" si="26"/>
        <v/>
      </c>
      <c r="AW115" s="892" t="str">
        <f t="shared" si="26"/>
        <v/>
      </c>
      <c r="AX115" s="892" t="str">
        <f t="shared" si="26"/>
        <v/>
      </c>
      <c r="AY115" s="892" t="str">
        <f t="shared" si="26"/>
        <v/>
      </c>
      <c r="AZ115" s="892" t="str">
        <f t="shared" si="26"/>
        <v/>
      </c>
      <c r="BA115" s="892" t="str">
        <f t="shared" si="26"/>
        <v/>
      </c>
      <c r="BB115" s="892" t="str">
        <f t="shared" si="26"/>
        <v/>
      </c>
      <c r="BC115" s="900">
        <f>SUM(AU115,AW115,AY115,BA115)</f>
        <v>0</v>
      </c>
      <c r="BD115" s="900">
        <f>SUM(AV115,AX115,AZ115,BB115)</f>
        <v>0</v>
      </c>
      <c r="BE115" s="891" t="str">
        <f>IF($F115="Oui",IF(AQ115="","",AQ115*$T115),"")</f>
        <v/>
      </c>
      <c r="BF115" s="901" t="str">
        <f>IF($F115="Oui",IF(AR115="","",AR115*$T115),"")</f>
        <v/>
      </c>
      <c r="BG115" s="892" t="str">
        <f t="shared" si="19"/>
        <v/>
      </c>
      <c r="BH115" s="901" t="str">
        <f t="shared" si="19"/>
        <v/>
      </c>
      <c r="BJ115" s="1065">
        <f>IF($Z115&lt;&gt;"votre valeur :",IF(ISNA(VLOOKUP($Z115,Utilitaires!$N$566:$O$571,2,FALSE)),,VLOOKUP($Z115,Utilitaires!$N$566:$O$571,2,FALSE)),$AA115)</f>
        <v>0</v>
      </c>
      <c r="BK115" s="1065">
        <f>IF($Z115&lt;&gt;"votre valeur :",IF(ISNA(VLOOKUP($Z115,Utilitaires!$N$566:$O$571,2,FALSE)),,VLOOKUP($Z115,Utilitaires!$N$566:$O$571,2,FALSE)),$AA115)</f>
        <v>0</v>
      </c>
      <c r="BL115" s="1065">
        <f>IF($Z115&lt;&gt;"votre valeur :",IF(ISNA(VLOOKUP($Z115,Utilitaires!$N$566:$O$571,2,FALSE)),,VLOOKUP($Z115,Utilitaires!$N$566:$O$571,2,FALSE)),$AA115)</f>
        <v>0</v>
      </c>
      <c r="BM115" s="1167">
        <f>IF($Z115&lt;&gt;"votre valeur :",IF(ISNA(VLOOKUP($Z115,Utilitaires!$N$566:$O$571,2,FALSE)),,VLOOKUP($Z115,Utilitaires!$N$566:$O$571,2,FALSE)),$AA115)</f>
        <v>0</v>
      </c>
      <c r="BN115" s="1068">
        <f>IF(ISNA(SQRT(SUMSQ(VLOOKUP($B115&amp;"; "&amp;$I$26&amp;", "&amp;$I$27,'FE Energie'!$G:$U,7,FALSE),$BJ115))),0,SQRT(SUMSQ(VLOOKUP($B115&amp;"; "&amp;$I$26&amp;", "&amp;$I$27,'FE Energie'!$G:$U,7,FALSE),$BJ115)))</f>
        <v>0.05</v>
      </c>
      <c r="BO115" s="1068">
        <f>IF(ISNA(SQRT(SUMSQ(VLOOKUP($B115&amp;"; "&amp;$L$26&amp;", "&amp;$L$27,'FE Energie'!$G:$U,7,FALSE),$BK115))),0,SQRT(SUMSQ(VLOOKUP($B115&amp;"; "&amp;$L$26&amp;", "&amp;$L$27,'FE Energie'!$G:$U,7,FALSE),$BK115)))</f>
        <v>0</v>
      </c>
      <c r="BP115" s="1068">
        <f>IF(ISNA(SQRT(SUMSQ(VLOOKUP($B115&amp;"; "&amp;$O$26&amp;", "&amp;$O$27,'FE Energie'!$G:$U,7,FALSE),$BL115))),0,SQRT(SUMSQ(VLOOKUP($B115&amp;"; "&amp;$O$26&amp;", "&amp;$O$27,'FE Energie'!$G:$U,7,FALSE),$BL115)))</f>
        <v>0</v>
      </c>
      <c r="BQ115" s="1068">
        <f>IF(ISNA(SQRT(SUMSQ(VLOOKUP($B115&amp;"; "&amp;$R$26&amp;", "&amp;$R$27,'FE Energie'!$G:$U,7,FALSE),$BM115))),0,SQRT(SUMSQ(VLOOKUP($B115&amp;"; "&amp;$R$26&amp;", "&amp;$R$27,'FE Energie'!$G:$U,7,FALSE),$BM115)))</f>
        <v>0</v>
      </c>
      <c r="BR115" s="1124">
        <f>IF(ISNA(SQRT(SUMSQ(VLOOKUP($B115&amp;"; "&amp;$I$26&amp;", "&amp;$J$27,'FE Energie'!$G:$U,7,FALSE),$BJ115))),0,SQRT(SUMSQ(VLOOKUP($B115&amp;"; "&amp;$I$26&amp;", "&amp;$J$27,'FE Energie'!$G:$U,7,FALSE),$BJ115)))</f>
        <v>0.05</v>
      </c>
      <c r="BS115" s="1070">
        <f>IF(ISNA(SQRT(SUMSQ(VLOOKUP($B115&amp;"; "&amp;$L$26&amp;", "&amp;$M$27,'FE Energie'!$G:$U,7,FALSE),$BK115))),0,SQRT(SUMSQ(VLOOKUP($B115&amp;"; "&amp;$L$26&amp;", "&amp;$M$27,'FE Energie'!$G:$U,7,FALSE),$BK115)))</f>
        <v>0</v>
      </c>
      <c r="BT115" s="1070">
        <f>IF(ISNA(SQRT(SUMSQ(VLOOKUP($B115&amp;"; "&amp;$O$26&amp;", "&amp;$P$27,'FE Energie'!$G:$U,7,FALSE),$BL115))),0,SQRT(SUMSQ(VLOOKUP($B115&amp;"; "&amp;$O$26&amp;", "&amp;$P$27,'FE Energie'!$G:$U,7,FALSE),$BL115)))</f>
        <v>0</v>
      </c>
      <c r="BU115" s="1071">
        <f>IF(ISNA(SQRT(SUMSQ(VLOOKUP($B115&amp;"; "&amp;$R$26&amp;", "&amp;$S$27,'FE Energie'!$G:$U,7,FALSE),$BM115))),0,SQRT(SUMSQ(VLOOKUP($B115&amp;"; "&amp;$R$26&amp;", "&amp;$S$27,'FE Energie'!$G:$U,7,FALSE),$BM115)))</f>
        <v>0</v>
      </c>
    </row>
    <row r="116" spans="1:73" s="116" customFormat="1" ht="12.75" hidden="1" customHeight="1" outlineLevel="2">
      <c r="A116" s="114"/>
      <c r="B116" s="143"/>
      <c r="C116" s="144"/>
      <c r="D116" s="315"/>
      <c r="E116" s="315"/>
      <c r="F116" s="144"/>
      <c r="G116" s="822"/>
      <c r="H116" s="822"/>
      <c r="I116" s="335"/>
      <c r="J116" s="335"/>
      <c r="K116" s="822"/>
      <c r="L116" s="223"/>
      <c r="M116" s="223"/>
      <c r="N116" s="822"/>
      <c r="O116" s="217"/>
      <c r="P116" s="217"/>
      <c r="Q116" s="822"/>
      <c r="R116" s="223"/>
      <c r="S116" s="223"/>
      <c r="T116" s="155"/>
      <c r="U116" s="566"/>
      <c r="V116" s="566"/>
      <c r="W116" s="1336"/>
      <c r="Y116" s="1092"/>
      <c r="Z116" s="822"/>
      <c r="AA116" s="820"/>
      <c r="AB116" s="164"/>
      <c r="AC116" s="164"/>
      <c r="AD116" s="152"/>
      <c r="AE116" s="1286"/>
      <c r="AF116" s="114"/>
      <c r="AG116" s="564"/>
      <c r="AH116" s="565"/>
      <c r="AI116" s="620"/>
      <c r="AJ116" s="620"/>
      <c r="AK116" s="620"/>
      <c r="AL116" s="620"/>
      <c r="AM116" s="565"/>
      <c r="AN116" s="565"/>
      <c r="AO116" s="566"/>
      <c r="AP116" s="566"/>
      <c r="AQ116" s="564"/>
      <c r="AR116" s="568"/>
      <c r="AU116" s="902"/>
      <c r="AV116" s="1581"/>
      <c r="AW116" s="1581"/>
      <c r="AX116" s="1581"/>
      <c r="AY116" s="1581"/>
      <c r="AZ116" s="1581"/>
      <c r="BA116" s="1581"/>
      <c r="BB116" s="1581"/>
      <c r="BC116" s="1582" t="str">
        <f>IF($F111="Oui",IF(#REF!="","",#REF!*$T111),"")</f>
        <v/>
      </c>
      <c r="BD116" s="1582" t="str">
        <f>IF($F111="Oui",IF(#REF!="","",#REF!*$T111),"")</f>
        <v/>
      </c>
      <c r="BE116" s="902" t="str">
        <f>IF($F111="Oui",IF(#REF!="","",#REF!*$T111),"")</f>
        <v/>
      </c>
      <c r="BF116" s="903" t="str">
        <f>IF($F111="Oui",IF(AS111="","",AS111*$T111),"")</f>
        <v/>
      </c>
      <c r="BG116" s="1581" t="str">
        <f>IF($F111="Oui",IF(AB111="","",AB111*$T111),"")</f>
        <v/>
      </c>
      <c r="BH116" s="903" t="str">
        <f>IF($F111="Oui",IF(AC111="","",AC111*$T111),"")</f>
        <v/>
      </c>
      <c r="BJ116" s="1058"/>
      <c r="BK116" s="1072"/>
      <c r="BL116" s="1072"/>
      <c r="BM116" s="1059"/>
      <c r="BN116" s="1073"/>
      <c r="BO116" s="1073"/>
      <c r="BP116" s="1073"/>
      <c r="BQ116" s="1073"/>
      <c r="BR116" s="1075"/>
      <c r="BS116" s="1076"/>
      <c r="BT116" s="1076"/>
      <c r="BU116" s="1077"/>
    </row>
    <row r="117" spans="1:73" s="116" customFormat="1" ht="12.75" customHeight="1" outlineLevel="1">
      <c r="A117" s="114"/>
      <c r="B117" s="1264" t="s">
        <v>348</v>
      </c>
      <c r="C117" s="197"/>
      <c r="D117" s="214">
        <f>SUM(D108:D116)</f>
        <v>0</v>
      </c>
      <c r="E117" s="202"/>
      <c r="F117" s="199"/>
      <c r="G117" s="198"/>
      <c r="H117" s="199"/>
      <c r="I117" s="199"/>
      <c r="J117" s="199"/>
      <c r="K117" s="199"/>
      <c r="L117" s="199"/>
      <c r="M117" s="199"/>
      <c r="N117" s="199"/>
      <c r="O117" s="199"/>
      <c r="P117" s="199"/>
      <c r="Q117" s="199"/>
      <c r="R117" s="199"/>
      <c r="S117" s="199"/>
      <c r="T117" s="199"/>
      <c r="U117" s="202">
        <f>SUM(U108:U116)</f>
        <v>0</v>
      </c>
      <c r="V117" s="200">
        <f>SUM(V108:V116)</f>
        <v>0</v>
      </c>
      <c r="W117" s="200">
        <f>SUM(W108:W116)</f>
        <v>0</v>
      </c>
      <c r="Y117" s="1093">
        <f>IF(AD117=0,AD117,AD117/(U117+V117))</f>
        <v>0</v>
      </c>
      <c r="Z117" s="821"/>
      <c r="AA117" s="1636"/>
      <c r="AB117" s="1636">
        <f>SQRT(SUMSQ(AB108:AB116))</f>
        <v>0</v>
      </c>
      <c r="AC117" s="1636">
        <f>SQRT(SUMSQ(AC108:AC116))</f>
        <v>0</v>
      </c>
      <c r="AD117" s="200">
        <f>SQRT(SUMSQ(AD108:AD116))</f>
        <v>0</v>
      </c>
      <c r="AE117" s="1310">
        <f>SQRT(SUMSQ(AE108:AE116))</f>
        <v>0</v>
      </c>
      <c r="AF117" s="114"/>
      <c r="AG117" s="571">
        <f t="shared" ref="AG117:AR117" si="27">SUM(AG108:AG116)</f>
        <v>0</v>
      </c>
      <c r="AH117" s="572">
        <f t="shared" si="27"/>
        <v>0</v>
      </c>
      <c r="AI117" s="621">
        <f t="shared" si="27"/>
        <v>0</v>
      </c>
      <c r="AJ117" s="621">
        <f t="shared" si="27"/>
        <v>0</v>
      </c>
      <c r="AK117" s="621">
        <f t="shared" si="27"/>
        <v>0</v>
      </c>
      <c r="AL117" s="621">
        <f t="shared" si="27"/>
        <v>0</v>
      </c>
      <c r="AM117" s="572">
        <f t="shared" si="27"/>
        <v>0</v>
      </c>
      <c r="AN117" s="572">
        <f t="shared" si="27"/>
        <v>0</v>
      </c>
      <c r="AO117" s="573">
        <f t="shared" si="27"/>
        <v>0</v>
      </c>
      <c r="AP117" s="573">
        <f t="shared" si="27"/>
        <v>0</v>
      </c>
      <c r="AQ117" s="1082">
        <f t="shared" si="27"/>
        <v>0</v>
      </c>
      <c r="AR117" s="575">
        <f t="shared" si="27"/>
        <v>0</v>
      </c>
      <c r="AS117" s="114"/>
      <c r="AT117" s="114"/>
      <c r="AU117" s="894">
        <f t="shared" ref="AU117:BH117" si="28">SUM(AU108:AU116)</f>
        <v>0</v>
      </c>
      <c r="AV117" s="895">
        <f t="shared" si="28"/>
        <v>0</v>
      </c>
      <c r="AW117" s="895">
        <f t="shared" si="28"/>
        <v>0</v>
      </c>
      <c r="AX117" s="895">
        <f t="shared" si="28"/>
        <v>0</v>
      </c>
      <c r="AY117" s="895">
        <f t="shared" si="28"/>
        <v>0</v>
      </c>
      <c r="AZ117" s="895">
        <f t="shared" si="28"/>
        <v>0</v>
      </c>
      <c r="BA117" s="895">
        <f t="shared" si="28"/>
        <v>0</v>
      </c>
      <c r="BB117" s="895">
        <f t="shared" si="28"/>
        <v>0</v>
      </c>
      <c r="BC117" s="895">
        <f t="shared" si="28"/>
        <v>0</v>
      </c>
      <c r="BD117" s="896">
        <f t="shared" si="28"/>
        <v>0</v>
      </c>
      <c r="BE117" s="894">
        <f t="shared" si="28"/>
        <v>0</v>
      </c>
      <c r="BF117" s="896">
        <f t="shared" si="28"/>
        <v>0</v>
      </c>
      <c r="BG117" s="894">
        <f t="shared" si="28"/>
        <v>0</v>
      </c>
      <c r="BH117" s="896">
        <f t="shared" si="28"/>
        <v>0</v>
      </c>
    </row>
    <row r="118" spans="1:73" outlineLevel="1">
      <c r="AK118" s="114"/>
      <c r="AU118" s="441"/>
      <c r="AV118" s="441"/>
      <c r="AW118" s="441"/>
      <c r="AX118" s="441"/>
      <c r="AY118" s="441"/>
      <c r="AZ118" s="441"/>
      <c r="BA118" s="441"/>
      <c r="BB118" s="441"/>
      <c r="BC118" s="441"/>
      <c r="BD118" s="441"/>
      <c r="BE118" s="441"/>
      <c r="BF118" s="441"/>
    </row>
    <row r="119" spans="1:73" ht="15.75" customHeight="1" outlineLevel="1" collapsed="1">
      <c r="B119" s="2652" t="s">
        <v>2499</v>
      </c>
      <c r="C119" s="2653"/>
      <c r="D119" s="2653"/>
      <c r="E119" s="2653"/>
      <c r="F119" s="2653"/>
      <c r="G119" s="2653"/>
      <c r="H119" s="2653"/>
      <c r="I119" s="2653"/>
      <c r="J119" s="2653"/>
      <c r="K119" s="2653"/>
      <c r="L119" s="2653"/>
      <c r="M119" s="2653"/>
      <c r="N119" s="2653"/>
      <c r="O119" s="2654"/>
      <c r="AK119" s="114"/>
      <c r="AU119" s="441"/>
      <c r="AV119" s="441"/>
      <c r="AW119" s="441"/>
      <c r="AX119" s="441"/>
      <c r="AY119" s="441"/>
      <c r="AZ119" s="441"/>
      <c r="BA119" s="441"/>
      <c r="BB119" s="441"/>
      <c r="BC119" s="441"/>
      <c r="BD119" s="441"/>
      <c r="BE119" s="441"/>
      <c r="BF119" s="441"/>
    </row>
    <row r="120" spans="1:73" hidden="1" outlineLevel="2">
      <c r="B120" s="116"/>
      <c r="C120" s="116"/>
      <c r="D120" s="116"/>
      <c r="E120" s="116"/>
      <c r="F120" s="116"/>
      <c r="G120" s="116"/>
      <c r="H120" s="116"/>
      <c r="I120" s="116"/>
      <c r="J120" s="116"/>
      <c r="K120" s="116"/>
      <c r="L120" s="116"/>
      <c r="M120" s="116"/>
      <c r="N120" s="116"/>
      <c r="O120" s="116"/>
      <c r="P120" s="116"/>
      <c r="Q120" s="116"/>
      <c r="AK120" s="114"/>
      <c r="AU120" s="441"/>
      <c r="AV120" s="441"/>
      <c r="AW120" s="441"/>
      <c r="AX120" s="441"/>
      <c r="AY120" s="441"/>
      <c r="AZ120" s="441"/>
      <c r="BA120" s="441"/>
      <c r="BB120" s="441"/>
      <c r="BC120" s="441"/>
      <c r="BD120" s="441"/>
      <c r="BE120" s="441"/>
      <c r="BF120" s="441"/>
    </row>
    <row r="121" spans="1:73" ht="12.75" hidden="1" customHeight="1" outlineLevel="2" collapsed="1">
      <c r="B121" s="139" t="s">
        <v>2433</v>
      </c>
      <c r="C121" s="140"/>
      <c r="D121" s="1598"/>
      <c r="E121" s="1648"/>
      <c r="F121" s="141"/>
      <c r="G121" s="141"/>
      <c r="H121" s="141"/>
      <c r="I121" s="141"/>
      <c r="J121" s="142"/>
      <c r="Y121" s="2636" t="s">
        <v>366</v>
      </c>
      <c r="Z121" s="2637"/>
      <c r="AA121" s="2637"/>
      <c r="AB121" s="2637"/>
      <c r="AC121" s="2637"/>
      <c r="AD121" s="2638"/>
      <c r="AG121" s="2639" t="s">
        <v>441</v>
      </c>
      <c r="AH121" s="2640"/>
      <c r="AI121" s="2640"/>
      <c r="AJ121" s="2640"/>
      <c r="AK121" s="2640"/>
      <c r="AL121" s="2640"/>
      <c r="AM121" s="2640"/>
      <c r="AN121" s="2640"/>
      <c r="AO121" s="2640"/>
      <c r="AP121" s="2640"/>
      <c r="AQ121" s="2640"/>
      <c r="AR121" s="2641"/>
      <c r="AU121" s="2860" t="s">
        <v>771</v>
      </c>
      <c r="AV121" s="2861"/>
      <c r="AW121" s="2861"/>
      <c r="AX121" s="2861"/>
      <c r="AY121" s="2861"/>
      <c r="AZ121" s="2861"/>
      <c r="BA121" s="2861"/>
      <c r="BB121" s="2861"/>
      <c r="BC121" s="2861"/>
      <c r="BD121" s="2861"/>
      <c r="BE121" s="2861"/>
      <c r="BF121" s="2861"/>
      <c r="BG121" s="2861"/>
      <c r="BH121" s="2862"/>
    </row>
    <row r="122" spans="1:73" ht="12.75" hidden="1" customHeight="1" outlineLevel="3">
      <c r="B122" s="332"/>
      <c r="C122" s="167"/>
      <c r="D122" s="1602" t="s">
        <v>308</v>
      </c>
      <c r="E122" s="1663"/>
      <c r="F122" s="144"/>
      <c r="G122" s="144"/>
      <c r="H122" s="144"/>
      <c r="I122" s="144"/>
      <c r="J122" s="145"/>
      <c r="Y122" s="1595"/>
      <c r="Z122" s="819"/>
      <c r="AA122" s="819"/>
      <c r="AB122" s="820"/>
      <c r="AC122" s="820"/>
      <c r="AD122" s="145"/>
      <c r="AG122" s="2642" t="s">
        <v>444</v>
      </c>
      <c r="AH122" s="2643"/>
      <c r="AI122" s="2643"/>
      <c r="AJ122" s="2643"/>
      <c r="AK122" s="2643"/>
      <c r="AL122" s="2643"/>
      <c r="AM122" s="2643"/>
      <c r="AN122" s="2643"/>
      <c r="AO122" s="2643" t="s">
        <v>444</v>
      </c>
      <c r="AP122" s="2644"/>
      <c r="AQ122" s="564"/>
      <c r="AR122" s="568"/>
      <c r="AU122" s="2863" t="s">
        <v>444</v>
      </c>
      <c r="AV122" s="2864"/>
      <c r="AW122" s="2864"/>
      <c r="AX122" s="2864"/>
      <c r="AY122" s="2864"/>
      <c r="AZ122" s="2864"/>
      <c r="BA122" s="2864"/>
      <c r="BB122" s="2864"/>
      <c r="BC122" s="2864" t="s">
        <v>444</v>
      </c>
      <c r="BD122" s="2865"/>
      <c r="BE122" s="1608"/>
      <c r="BF122" s="899"/>
      <c r="BG122" s="2863" t="s">
        <v>366</v>
      </c>
      <c r="BH122" s="2865"/>
      <c r="BJ122" s="2766" t="s">
        <v>1648</v>
      </c>
      <c r="BK122" s="2767"/>
    </row>
    <row r="123" spans="1:73" ht="12.75" hidden="1" customHeight="1" outlineLevel="3">
      <c r="B123" s="1595"/>
      <c r="C123" s="1596"/>
      <c r="D123" s="1596" t="s">
        <v>409</v>
      </c>
      <c r="E123" s="1656"/>
      <c r="F123" s="147" t="s">
        <v>772</v>
      </c>
      <c r="G123" s="147" t="s">
        <v>199</v>
      </c>
      <c r="H123" s="1596" t="s">
        <v>1585</v>
      </c>
      <c r="I123" s="147" t="s">
        <v>335</v>
      </c>
      <c r="J123" s="1603" t="s">
        <v>444</v>
      </c>
      <c r="Y123" s="1595" t="s">
        <v>316</v>
      </c>
      <c r="Z123" s="1591" t="s">
        <v>316</v>
      </c>
      <c r="AA123" s="1592"/>
      <c r="AB123" s="820"/>
      <c r="AC123" s="820"/>
      <c r="AD123" s="1603" t="s">
        <v>444</v>
      </c>
      <c r="AG123" s="2631" t="s">
        <v>211</v>
      </c>
      <c r="AH123" s="2632"/>
      <c r="AI123" s="2632" t="s">
        <v>442</v>
      </c>
      <c r="AJ123" s="2632"/>
      <c r="AK123" s="2632" t="s">
        <v>267</v>
      </c>
      <c r="AL123" s="2632"/>
      <c r="AM123" s="2632" t="s">
        <v>443</v>
      </c>
      <c r="AN123" s="2632"/>
      <c r="AO123" s="2658" t="s">
        <v>327</v>
      </c>
      <c r="AP123" s="2659"/>
      <c r="AQ123" s="564"/>
      <c r="AR123" s="568"/>
      <c r="AU123" s="2866" t="s">
        <v>211</v>
      </c>
      <c r="AV123" s="2867"/>
      <c r="AW123" s="2867" t="s">
        <v>442</v>
      </c>
      <c r="AX123" s="2867"/>
      <c r="AY123" s="2867" t="s">
        <v>267</v>
      </c>
      <c r="AZ123" s="2867"/>
      <c r="BA123" s="2867" t="s">
        <v>443</v>
      </c>
      <c r="BB123" s="2867"/>
      <c r="BC123" s="2868" t="s">
        <v>327</v>
      </c>
      <c r="BD123" s="2869"/>
      <c r="BE123" s="2866" t="s">
        <v>636</v>
      </c>
      <c r="BF123" s="2870"/>
      <c r="BG123" s="2866" t="s">
        <v>444</v>
      </c>
      <c r="BH123" s="2870"/>
      <c r="BJ123" s="1597" t="s">
        <v>2167</v>
      </c>
      <c r="BK123" s="1604" t="s">
        <v>2187</v>
      </c>
    </row>
    <row r="124" spans="1:73" ht="12.75" hidden="1" customHeight="1" outlineLevel="3">
      <c r="B124" s="1595"/>
      <c r="C124" s="1596"/>
      <c r="D124" s="1596" t="s">
        <v>444</v>
      </c>
      <c r="E124" s="1656"/>
      <c r="F124" s="1599" t="str">
        <f>Descriptif!$D$4&amp;" ?"</f>
        <v>2022 ?</v>
      </c>
      <c r="G124" s="1599" t="s">
        <v>419</v>
      </c>
      <c r="H124" s="1596"/>
      <c r="I124" s="1599" t="s">
        <v>336</v>
      </c>
      <c r="J124" s="1603"/>
      <c r="Y124" s="1595" t="s">
        <v>1649</v>
      </c>
      <c r="Z124" s="1593" t="s">
        <v>1650</v>
      </c>
      <c r="AA124" s="1594"/>
      <c r="AB124" s="820"/>
      <c r="AC124" s="820"/>
      <c r="AD124" s="1603"/>
      <c r="AG124" s="1605"/>
      <c r="AH124" s="1606"/>
      <c r="AI124" s="1606"/>
      <c r="AJ124" s="1606"/>
      <c r="AK124" s="1606"/>
      <c r="AL124" s="1606"/>
      <c r="AM124" s="1606"/>
      <c r="AN124" s="1606"/>
      <c r="AO124" s="565"/>
      <c r="AP124" s="565"/>
      <c r="AQ124" s="564"/>
      <c r="AR124" s="568" t="s">
        <v>636</v>
      </c>
      <c r="AU124" s="1575"/>
      <c r="AV124" s="1576"/>
      <c r="AW124" s="1576"/>
      <c r="AX124" s="1576"/>
      <c r="AY124" s="1576"/>
      <c r="AZ124" s="1576"/>
      <c r="BA124" s="1576"/>
      <c r="BB124" s="1576"/>
      <c r="BC124" s="1576"/>
      <c r="BD124" s="893"/>
      <c r="BE124" s="891" t="str">
        <f>IF($F124="Oui",IF(AQ124="","",AQ124*$I124),"")</f>
        <v/>
      </c>
      <c r="BF124" s="901" t="str">
        <f>IF($F124="Oui",IF(AR124="","",AR124*$I124),"")</f>
        <v/>
      </c>
      <c r="BG124" s="891" t="str">
        <f>IF($F124="Oui",IF(#REF!="","",#REF!*$I124),"")</f>
        <v/>
      </c>
      <c r="BH124" s="901"/>
      <c r="BJ124" s="1065"/>
      <c r="BK124" s="1130"/>
    </row>
    <row r="125" spans="1:73" ht="12.75" hidden="1" customHeight="1" outlineLevel="3">
      <c r="B125" s="143" t="s">
        <v>2423</v>
      </c>
      <c r="C125" s="144"/>
      <c r="D125" s="212">
        <f>J125</f>
        <v>0</v>
      </c>
      <c r="E125" s="212"/>
      <c r="F125" s="391"/>
      <c r="G125" s="117"/>
      <c r="H125" s="219">
        <f>VLOOKUP($B125&amp;"; "&amp;$H$123,'FE Immobilisations'!$G:$U,9,FALSE)</f>
        <v>200</v>
      </c>
      <c r="I125" s="117"/>
      <c r="J125" s="152">
        <f>IF(I125=0,0,G125*H125/I125)</f>
        <v>0</v>
      </c>
      <c r="Y125" s="1092">
        <f>IF(AD125=0,AD125,AD125/J125)</f>
        <v>0</v>
      </c>
      <c r="Z125" s="118"/>
      <c r="AA125" s="820"/>
      <c r="AB125" s="820"/>
      <c r="AC125" s="820"/>
      <c r="AD125" s="152">
        <f>D125*BK125</f>
        <v>0</v>
      </c>
      <c r="AG125" s="564"/>
      <c r="AH125" s="565">
        <f>D125</f>
        <v>0</v>
      </c>
      <c r="AI125" s="565"/>
      <c r="AJ125" s="565"/>
      <c r="AK125" s="565"/>
      <c r="AL125" s="565"/>
      <c r="AM125" s="565"/>
      <c r="AN125" s="565"/>
      <c r="AO125" s="1606"/>
      <c r="AP125" s="1607">
        <f>SUM(AH125:AN125)</f>
        <v>0</v>
      </c>
      <c r="AQ125" s="564"/>
      <c r="AR125" s="568"/>
      <c r="AU125" s="1575"/>
      <c r="AV125" s="892" t="str">
        <f>IF($F125="Oui",IF(AH125="","",AH125*$I125),"")</f>
        <v/>
      </c>
      <c r="AW125" s="892"/>
      <c r="AX125" s="892"/>
      <c r="AY125" s="892"/>
      <c r="AZ125" s="892"/>
      <c r="BA125" s="892"/>
      <c r="BB125" s="892"/>
      <c r="BC125" s="892"/>
      <c r="BD125" s="893">
        <f>SUM(AV125,AX125,AZ125,BB125)</f>
        <v>0</v>
      </c>
      <c r="BE125" s="891" t="str">
        <f>IF($F125="Oui",IF(AQ125="","",AQ125*$I125),"")</f>
        <v/>
      </c>
      <c r="BF125" s="901" t="str">
        <f>IF($F125="Oui",IF(AR125="","",AR125*$I125),"")</f>
        <v/>
      </c>
      <c r="BG125" s="891" t="str">
        <f>IF($F125="Oui",IF(#REF!="","",#REF!*$I125),"")</f>
        <v/>
      </c>
      <c r="BH125" s="901" t="str">
        <f>IF($F125="Oui",IF(AD125="","",AD125*$I125),"")</f>
        <v/>
      </c>
      <c r="BJ125" s="1065">
        <f>IF($Z125&lt;&gt;"votre valeur :",IF(ISNA(VLOOKUP($Z125,Utilitaires!$N$566:$O$571,2,FALSE)),,VLOOKUP($Z125,Utilitaires!$N$566:$O$571,2,FALSE)),$AA125)</f>
        <v>0</v>
      </c>
      <c r="BK125" s="1130">
        <f>SQRT(SUMSQ(BJ125,VLOOKUP(B125&amp;"; "&amp;$H$123,'FE Immobilisations'!G:U,7,FALSE)))</f>
        <v>0.2</v>
      </c>
    </row>
    <row r="126" spans="1:73" ht="12.75" hidden="1" customHeight="1" outlineLevel="3">
      <c r="B126" s="143" t="s">
        <v>2424</v>
      </c>
      <c r="C126" s="144"/>
      <c r="D126" s="212">
        <f>J126</f>
        <v>0</v>
      </c>
      <c r="E126" s="212"/>
      <c r="F126" s="392"/>
      <c r="G126" s="120"/>
      <c r="H126" s="219">
        <f>VLOOKUP($B126&amp;"; "&amp;$H$123,'FE Immobilisations'!$G:$U,9,FALSE)</f>
        <v>55.1</v>
      </c>
      <c r="I126" s="120"/>
      <c r="J126" s="152">
        <f t="shared" ref="J126:J127" si="29">IF(I126=0,0,G126*H126/I126)</f>
        <v>0</v>
      </c>
      <c r="W126" s="254"/>
      <c r="Y126" s="1092">
        <f>IF(AD126=0,AD126,AD126/J126)</f>
        <v>0</v>
      </c>
      <c r="Z126" s="121"/>
      <c r="AA126" s="820"/>
      <c r="AB126" s="820"/>
      <c r="AC126" s="820"/>
      <c r="AD126" s="152">
        <f t="shared" ref="AD126:AD127" si="30">D126*BK126</f>
        <v>0</v>
      </c>
      <c r="AG126" s="564"/>
      <c r="AH126" s="565">
        <f>D126</f>
        <v>0</v>
      </c>
      <c r="AI126" s="565"/>
      <c r="AJ126" s="565"/>
      <c r="AK126" s="565"/>
      <c r="AL126" s="565"/>
      <c r="AM126" s="565"/>
      <c r="AN126" s="565"/>
      <c r="AO126" s="1606"/>
      <c r="AP126" s="567">
        <f>J126</f>
        <v>0</v>
      </c>
      <c r="AQ126" s="564"/>
      <c r="AR126" s="568"/>
      <c r="AU126" s="1575"/>
      <c r="AV126" s="892" t="str">
        <f>IF($F126="Oui",IF(AH126="","",AH126*$I126),"")</f>
        <v/>
      </c>
      <c r="AW126" s="892"/>
      <c r="AX126" s="892"/>
      <c r="AY126" s="892" t="str">
        <f>IF($F126="Oui",IF(AP126="","",AP126*$I126),"")</f>
        <v/>
      </c>
      <c r="AZ126" s="892"/>
      <c r="BA126" s="892" t="str">
        <f>IF($F126="Oui",IF(AD126="","",AD126*$I126),"")</f>
        <v/>
      </c>
      <c r="BB126" s="892"/>
      <c r="BC126" s="892"/>
      <c r="BD126" s="893">
        <f>SUM(AV126,AX126,AZ126,BB126)</f>
        <v>0</v>
      </c>
      <c r="BE126" s="891"/>
      <c r="BF126" s="901"/>
      <c r="BG126" s="891"/>
      <c r="BH126" s="901" t="str">
        <f>IF($F126="Oui",IF(AD126="","",AD126*$I126),"")</f>
        <v/>
      </c>
      <c r="BJ126" s="1065">
        <f>IF($Z126&lt;&gt;"votre valeur :",IF(ISNA(VLOOKUP($Z126,Utilitaires!$N$566:$O$571,2,FALSE)),,VLOOKUP($Z126,Utilitaires!$N$566:$O$571,2,FALSE)),$AA126)</f>
        <v>0</v>
      </c>
      <c r="BK126" s="1130">
        <f>SQRT(SUMSQ(BJ126,VLOOKUP(B126&amp;"; "&amp;$H$123,'FE Immobilisations'!G:U,7,FALSE)))</f>
        <v>0.2</v>
      </c>
    </row>
    <row r="127" spans="1:73" ht="12.75" hidden="1" customHeight="1" outlineLevel="3">
      <c r="B127" s="143" t="s">
        <v>2425</v>
      </c>
      <c r="C127" s="144"/>
      <c r="D127" s="212">
        <f>J127</f>
        <v>0</v>
      </c>
      <c r="E127" s="212"/>
      <c r="F127" s="393"/>
      <c r="G127" s="123"/>
      <c r="H127" s="219">
        <f>VLOOKUP($B127&amp;"; "&amp;$H$123,'FE Immobilisations'!$G:$U,9,FALSE)</f>
        <v>21.6</v>
      </c>
      <c r="I127" s="123"/>
      <c r="J127" s="152">
        <f t="shared" si="29"/>
        <v>0</v>
      </c>
      <c r="Y127" s="1092">
        <f>IF(AD127=0,AD127,AD127/J127)</f>
        <v>0</v>
      </c>
      <c r="Z127" s="124"/>
      <c r="AA127" s="820"/>
      <c r="AB127" s="820"/>
      <c r="AC127" s="820"/>
      <c r="AD127" s="152">
        <f t="shared" si="30"/>
        <v>0</v>
      </c>
      <c r="AG127" s="564"/>
      <c r="AH127" s="565">
        <f>D127</f>
        <v>0</v>
      </c>
      <c r="AI127" s="565"/>
      <c r="AJ127" s="565"/>
      <c r="AK127" s="565"/>
      <c r="AL127" s="565"/>
      <c r="AM127" s="565"/>
      <c r="AN127" s="565"/>
      <c r="AO127" s="1606"/>
      <c r="AP127" s="567">
        <f>J127</f>
        <v>0</v>
      </c>
      <c r="AQ127" s="564"/>
      <c r="AR127" s="568"/>
      <c r="AU127" s="1575"/>
      <c r="AV127" s="892" t="str">
        <f>IF($F127="Oui",IF(AH127="","",AH127*$I127),"")</f>
        <v/>
      </c>
      <c r="AW127" s="892"/>
      <c r="AX127" s="892"/>
      <c r="AY127" s="892" t="str">
        <f>IF($F127="Oui",IF(AP127="","",AP127*$I127),"")</f>
        <v/>
      </c>
      <c r="AZ127" s="892"/>
      <c r="BA127" s="892" t="str">
        <f>IF($F127="Oui",IF(AD127="","",AD127*$I127),"")</f>
        <v/>
      </c>
      <c r="BB127" s="892"/>
      <c r="BC127" s="892"/>
      <c r="BD127" s="893">
        <f>SUM(AV127,AX127,AZ127,BB127)</f>
        <v>0</v>
      </c>
      <c r="BE127" s="891" t="str">
        <f>IF($F127="Oui",IF(AQ127="","",AQ127*$I127),"")</f>
        <v/>
      </c>
      <c r="BF127" s="901" t="str">
        <f>IF($F127="Oui",IF(AR127="","",AR127*$I127),"")</f>
        <v/>
      </c>
      <c r="BG127" s="891" t="str">
        <f>IF($F127="Oui",IF(#REF!="","",#REF!*$I127),"")</f>
        <v/>
      </c>
      <c r="BH127" s="901" t="str">
        <f>IF($F127="Oui",IF(AD127="","",AD127*$I127),"")</f>
        <v/>
      </c>
      <c r="BJ127" s="1065">
        <f>IF($Z127&lt;&gt;"votre valeur :",IF(ISNA(VLOOKUP($Z127,Utilitaires!$N$566:$O$571,2,FALSE)),,VLOOKUP($Z127,Utilitaires!$N$566:$O$571,2,FALSE)),$AA127)</f>
        <v>0</v>
      </c>
      <c r="BK127" s="1130">
        <f>SQRT(SUMSQ(BJ127,VLOOKUP(B127&amp;"; "&amp;$H$123,'FE Immobilisations'!G:U,7,FALSE)))</f>
        <v>0.2</v>
      </c>
    </row>
    <row r="128" spans="1:73" ht="12.75" hidden="1" customHeight="1" outlineLevel="3">
      <c r="B128" s="154"/>
      <c r="C128" s="155"/>
      <c r="D128" s="221"/>
      <c r="E128" s="221"/>
      <c r="F128" s="155"/>
      <c r="G128" s="155"/>
      <c r="H128" s="155"/>
      <c r="I128" s="155"/>
      <c r="J128" s="357"/>
      <c r="Y128" s="1092"/>
      <c r="Z128" s="822"/>
      <c r="AA128" s="820"/>
      <c r="AB128" s="820"/>
      <c r="AC128" s="820"/>
      <c r="AD128" s="401"/>
      <c r="AG128" s="564"/>
      <c r="AH128" s="565"/>
      <c r="AI128" s="620"/>
      <c r="AJ128" s="620"/>
      <c r="AK128" s="620"/>
      <c r="AL128" s="620"/>
      <c r="AM128" s="565"/>
      <c r="AN128" s="565"/>
      <c r="AO128" s="1606"/>
      <c r="AP128" s="567"/>
      <c r="AQ128" s="564"/>
      <c r="AR128" s="568"/>
      <c r="AU128" s="902"/>
      <c r="AV128" s="1581"/>
      <c r="AW128" s="1581"/>
      <c r="AX128" s="1581"/>
      <c r="AY128" s="1581" t="str">
        <f>IF($F128="Oui",IF(AP128="","",AP128*$I128),"")</f>
        <v/>
      </c>
      <c r="AZ128" s="1581"/>
      <c r="BA128" s="1581" t="str">
        <f>IF($F128="Oui",IF(AD128="","",AD128*$I128),"")</f>
        <v/>
      </c>
      <c r="BB128" s="1581"/>
      <c r="BC128" s="1581"/>
      <c r="BD128" s="1609"/>
      <c r="BE128" s="891" t="str">
        <f>IF($F128="Oui",IF(AQ128="","",AQ128*$I128),"")</f>
        <v/>
      </c>
      <c r="BF128" s="901" t="str">
        <f>IF($F128="Oui",IF(AR128="","",AR128*$I128),"")</f>
        <v/>
      </c>
      <c r="BG128" s="891" t="str">
        <f>IF($F128="Oui",IF(#REF!="","",#REF!*$I128),"")</f>
        <v/>
      </c>
      <c r="BH128" s="901"/>
      <c r="BJ128" s="1142"/>
      <c r="BK128" s="1143"/>
    </row>
    <row r="129" spans="2:64" hidden="1" outlineLevel="2">
      <c r="B129" s="196" t="s">
        <v>348</v>
      </c>
      <c r="C129" s="197"/>
      <c r="D129" s="214">
        <f>SUM(D125:D128)</f>
        <v>0</v>
      </c>
      <c r="E129" s="214"/>
      <c r="F129" s="199"/>
      <c r="G129" s="199"/>
      <c r="H129" s="199"/>
      <c r="I129" s="199"/>
      <c r="J129" s="200">
        <f>SUM(J125:J128)</f>
        <v>0</v>
      </c>
      <c r="Y129" s="1093">
        <f>IF(AD129=0,AD129,AD129/J129)</f>
        <v>0</v>
      </c>
      <c r="Z129" s="821"/>
      <c r="AA129" s="821"/>
      <c r="AB129" s="821"/>
      <c r="AC129" s="821"/>
      <c r="AD129" s="402">
        <f>SQRT(SUMSQ(AD125:AD128))</f>
        <v>0</v>
      </c>
      <c r="AG129" s="571"/>
      <c r="AH129" s="572">
        <f>SUM(AH125:AH128)</f>
        <v>0</v>
      </c>
      <c r="AI129" s="572"/>
      <c r="AJ129" s="572"/>
      <c r="AK129" s="572"/>
      <c r="AL129" s="572"/>
      <c r="AM129" s="572"/>
      <c r="AN129" s="572"/>
      <c r="AO129" s="573"/>
      <c r="AP129" s="573">
        <f>SUM(AP125:AP128)</f>
        <v>0</v>
      </c>
      <c r="AQ129" s="1082"/>
      <c r="AR129" s="575">
        <f>SUM(AR125:AR128)</f>
        <v>0</v>
      </c>
      <c r="AU129" s="1579"/>
      <c r="AV129" s="895">
        <f>SUM(AV125:AV128)</f>
        <v>0</v>
      </c>
      <c r="AW129" s="895"/>
      <c r="AX129" s="895"/>
      <c r="AY129" s="895"/>
      <c r="AZ129" s="895"/>
      <c r="BA129" s="895"/>
      <c r="BB129" s="895"/>
      <c r="BC129" s="895"/>
      <c r="BD129" s="898"/>
      <c r="BE129" s="894"/>
      <c r="BF129" s="896"/>
      <c r="BG129" s="894"/>
      <c r="BH129" s="896">
        <f>SUM(BH120:BH128)</f>
        <v>0</v>
      </c>
    </row>
    <row r="130" spans="2:64" hidden="1" outlineLevel="2">
      <c r="AK130" s="114"/>
      <c r="AU130" s="441"/>
      <c r="AV130" s="441"/>
      <c r="AW130" s="441"/>
      <c r="AX130" s="441"/>
      <c r="AY130" s="441"/>
      <c r="AZ130" s="441"/>
      <c r="BA130" s="441"/>
      <c r="BB130" s="441"/>
      <c r="BC130" s="441"/>
      <c r="BD130" s="441"/>
      <c r="BE130" s="441"/>
      <c r="BF130" s="441"/>
    </row>
    <row r="131" spans="2:64" ht="12.75" hidden="1" customHeight="1" outlineLevel="2" collapsed="1">
      <c r="B131" s="139" t="s">
        <v>221</v>
      </c>
      <c r="C131" s="140"/>
      <c r="D131" s="1598"/>
      <c r="E131" s="1648"/>
      <c r="F131" s="141"/>
      <c r="G131" s="141"/>
      <c r="H131" s="141"/>
      <c r="I131" s="141"/>
      <c r="J131" s="141"/>
      <c r="K131" s="141"/>
      <c r="L131" s="142"/>
      <c r="Y131" s="2636" t="s">
        <v>366</v>
      </c>
      <c r="Z131" s="2637"/>
      <c r="AA131" s="2637"/>
      <c r="AB131" s="2637"/>
      <c r="AC131" s="2637"/>
      <c r="AD131" s="2638"/>
      <c r="AG131" s="2639" t="s">
        <v>441</v>
      </c>
      <c r="AH131" s="2640"/>
      <c r="AI131" s="2640"/>
      <c r="AJ131" s="2640"/>
      <c r="AK131" s="2640"/>
      <c r="AL131" s="2640"/>
      <c r="AM131" s="2640"/>
      <c r="AN131" s="2640"/>
      <c r="AO131" s="2640"/>
      <c r="AP131" s="2640"/>
      <c r="AQ131" s="2640"/>
      <c r="AR131" s="2641"/>
      <c r="AU131" s="2860" t="s">
        <v>771</v>
      </c>
      <c r="AV131" s="2861"/>
      <c r="AW131" s="2861"/>
      <c r="AX131" s="2861"/>
      <c r="AY131" s="2861"/>
      <c r="AZ131" s="2861"/>
      <c r="BA131" s="2861"/>
      <c r="BB131" s="2861"/>
      <c r="BC131" s="2861"/>
      <c r="BD131" s="2861"/>
      <c r="BE131" s="2861"/>
      <c r="BF131" s="2861"/>
      <c r="BG131" s="2861"/>
      <c r="BH131" s="2862"/>
    </row>
    <row r="132" spans="2:64" ht="12.75" hidden="1" customHeight="1" outlineLevel="3">
      <c r="B132" s="332"/>
      <c r="C132" s="167"/>
      <c r="D132" s="1602" t="s">
        <v>308</v>
      </c>
      <c r="E132" s="1663"/>
      <c r="F132" s="155"/>
      <c r="G132" s="155"/>
      <c r="H132" s="144"/>
      <c r="I132" s="144"/>
      <c r="J132" s="144"/>
      <c r="K132" s="144"/>
      <c r="L132" s="145"/>
      <c r="Y132" s="298"/>
      <c r="Z132" s="819"/>
      <c r="AA132" s="827"/>
      <c r="AB132" s="820"/>
      <c r="AC132" s="820"/>
      <c r="AD132" s="145"/>
      <c r="AG132" s="2642" t="s">
        <v>444</v>
      </c>
      <c r="AH132" s="2643"/>
      <c r="AI132" s="2643"/>
      <c r="AJ132" s="2643"/>
      <c r="AK132" s="2643"/>
      <c r="AL132" s="2643"/>
      <c r="AM132" s="2643"/>
      <c r="AN132" s="2643"/>
      <c r="AO132" s="2643" t="s">
        <v>444</v>
      </c>
      <c r="AP132" s="2644"/>
      <c r="AQ132" s="564"/>
      <c r="AR132" s="568"/>
      <c r="AU132" s="2863" t="s">
        <v>444</v>
      </c>
      <c r="AV132" s="2864"/>
      <c r="AW132" s="2864"/>
      <c r="AX132" s="2864"/>
      <c r="AY132" s="2864"/>
      <c r="AZ132" s="2864"/>
      <c r="BA132" s="2864"/>
      <c r="BB132" s="2864"/>
      <c r="BC132" s="2864" t="s">
        <v>444</v>
      </c>
      <c r="BD132" s="2865"/>
      <c r="BE132" s="1608"/>
      <c r="BF132" s="899"/>
      <c r="BG132" s="2863" t="s">
        <v>366</v>
      </c>
      <c r="BH132" s="2865"/>
      <c r="BJ132" s="2616" t="s">
        <v>1648</v>
      </c>
      <c r="BK132" s="2617"/>
      <c r="BL132" s="2618"/>
    </row>
    <row r="133" spans="2:64" ht="12.75" hidden="1" customHeight="1" outlineLevel="3">
      <c r="B133" s="1595"/>
      <c r="C133" s="1596"/>
      <c r="D133" s="1596" t="s">
        <v>409</v>
      </c>
      <c r="E133" s="1656"/>
      <c r="F133" s="147" t="s">
        <v>772</v>
      </c>
      <c r="G133" s="147" t="s">
        <v>199</v>
      </c>
      <c r="H133" s="147" t="s">
        <v>119</v>
      </c>
      <c r="I133" s="2626" t="s">
        <v>1585</v>
      </c>
      <c r="J133" s="2627"/>
      <c r="K133" s="147" t="s">
        <v>335</v>
      </c>
      <c r="L133" s="1603" t="s">
        <v>444</v>
      </c>
      <c r="Y133" s="1595" t="s">
        <v>316</v>
      </c>
      <c r="Z133" s="1959" t="s">
        <v>316</v>
      </c>
      <c r="AA133" s="1592"/>
      <c r="AB133" s="820"/>
      <c r="AC133" s="820"/>
      <c r="AD133" s="1603" t="s">
        <v>444</v>
      </c>
      <c r="AG133" s="2631" t="s">
        <v>211</v>
      </c>
      <c r="AH133" s="2632"/>
      <c r="AI133" s="2632" t="s">
        <v>442</v>
      </c>
      <c r="AJ133" s="2632"/>
      <c r="AK133" s="2632" t="s">
        <v>267</v>
      </c>
      <c r="AL133" s="2632"/>
      <c r="AM133" s="2632" t="s">
        <v>443</v>
      </c>
      <c r="AN133" s="2632"/>
      <c r="AO133" s="2658" t="s">
        <v>327</v>
      </c>
      <c r="AP133" s="2659"/>
      <c r="AQ133" s="564"/>
      <c r="AR133" s="568"/>
      <c r="AU133" s="2866" t="s">
        <v>211</v>
      </c>
      <c r="AV133" s="2867"/>
      <c r="AW133" s="2867" t="s">
        <v>442</v>
      </c>
      <c r="AX133" s="2867"/>
      <c r="AY133" s="2867" t="s">
        <v>267</v>
      </c>
      <c r="AZ133" s="2867"/>
      <c r="BA133" s="2867" t="s">
        <v>443</v>
      </c>
      <c r="BB133" s="2867"/>
      <c r="BC133" s="2868" t="s">
        <v>327</v>
      </c>
      <c r="BD133" s="2869"/>
      <c r="BE133" s="2866" t="s">
        <v>636</v>
      </c>
      <c r="BF133" s="2870"/>
      <c r="BG133" s="2866" t="s">
        <v>444</v>
      </c>
      <c r="BH133" s="2870"/>
      <c r="BJ133" s="1597" t="s">
        <v>2167</v>
      </c>
      <c r="BK133" s="1604" t="s">
        <v>657</v>
      </c>
      <c r="BL133" s="1604" t="s">
        <v>120</v>
      </c>
    </row>
    <row r="134" spans="2:64" ht="12.75" hidden="1" customHeight="1" outlineLevel="3">
      <c r="B134" s="1595"/>
      <c r="C134" s="1596"/>
      <c r="D134" s="1596" t="s">
        <v>444</v>
      </c>
      <c r="E134" s="1656"/>
      <c r="F134" s="1599" t="str">
        <f>Descriptif!$D$4&amp;" ?"</f>
        <v>2022 ?</v>
      </c>
      <c r="G134" s="1599" t="s">
        <v>419</v>
      </c>
      <c r="H134" s="1599" t="s">
        <v>120</v>
      </c>
      <c r="I134" s="1596" t="s">
        <v>657</v>
      </c>
      <c r="J134" s="1596" t="s">
        <v>120</v>
      </c>
      <c r="K134" s="1599" t="s">
        <v>336</v>
      </c>
      <c r="L134" s="1603"/>
      <c r="Y134" s="1595" t="s">
        <v>1649</v>
      </c>
      <c r="Z134" s="1958" t="s">
        <v>1650</v>
      </c>
      <c r="AA134" s="1594"/>
      <c r="AB134" s="820"/>
      <c r="AC134" s="820"/>
      <c r="AD134" s="162"/>
      <c r="AG134" s="1605"/>
      <c r="AH134" s="1606"/>
      <c r="AI134" s="1606"/>
      <c r="AJ134" s="1606"/>
      <c r="AK134" s="1606"/>
      <c r="AL134" s="1606"/>
      <c r="AM134" s="1606"/>
      <c r="AN134" s="1606"/>
      <c r="AO134" s="565"/>
      <c r="AP134" s="565"/>
      <c r="AQ134" s="564"/>
      <c r="AR134" s="568" t="s">
        <v>636</v>
      </c>
      <c r="AU134" s="1575"/>
      <c r="AV134" s="1576"/>
      <c r="AW134" s="1576"/>
      <c r="AX134" s="1576"/>
      <c r="AY134" s="1576"/>
      <c r="AZ134" s="1576"/>
      <c r="BA134" s="1576"/>
      <c r="BB134" s="1576"/>
      <c r="BC134" s="1576"/>
      <c r="BD134" s="893"/>
      <c r="BE134" s="891" t="str">
        <f>IF($F134="Oui",IF(AQ134="","",AQ134*$K134),"")</f>
        <v/>
      </c>
      <c r="BF134" s="901" t="str">
        <f>IF($F134="Oui",IF(AR134="","",AR134*$K134),"")</f>
        <v/>
      </c>
      <c r="BG134" s="891" t="str">
        <f>IF($F134="Oui",IF(#REF!="","",#REF!*$K134),"")</f>
        <v/>
      </c>
      <c r="BH134" s="901"/>
      <c r="BJ134" s="1065"/>
      <c r="BK134" s="1130"/>
      <c r="BL134" s="1130"/>
    </row>
    <row r="135" spans="2:64" ht="12.75" hidden="1" customHeight="1" outlineLevel="3">
      <c r="B135" s="143" t="s">
        <v>2163</v>
      </c>
      <c r="C135" s="144"/>
      <c r="D135" s="212">
        <f>L135</f>
        <v>0</v>
      </c>
      <c r="E135" s="212"/>
      <c r="F135" s="391"/>
      <c r="G135" s="117"/>
      <c r="H135" s="343"/>
      <c r="I135" s="219">
        <f>VLOOKUP($B135&amp;"; "&amp;$I$133&amp;" "&amp;I$134,'FE Intrants'!$G:$U,9,FALSE)</f>
        <v>2210</v>
      </c>
      <c r="J135" s="219">
        <f>VLOOKUP($B135&amp;"; "&amp;$I$133&amp;" "&amp;J$134,'FE Intrants'!$G:$U,9,FALSE)</f>
        <v>938</v>
      </c>
      <c r="K135" s="117"/>
      <c r="L135" s="152">
        <f>IF(K135=0,0,G135*((1-H135)*I135+H135*J135)/K135)</f>
        <v>0</v>
      </c>
      <c r="Y135" s="319">
        <f>IF(AD135=0,AD135,AD135/L135)</f>
        <v>0</v>
      </c>
      <c r="Z135" s="118"/>
      <c r="AA135" s="820"/>
      <c r="AB135" s="820"/>
      <c r="AC135" s="820"/>
      <c r="AD135" s="152">
        <f>IF(K135=0,0,SQRT(SUMSQ(G135*(1-H135)*I135*BK135,G135*H135*J135*BL135))/K135)</f>
        <v>0</v>
      </c>
      <c r="AG135" s="564"/>
      <c r="AH135" s="565">
        <f>D135</f>
        <v>0</v>
      </c>
      <c r="AI135" s="565"/>
      <c r="AJ135" s="565"/>
      <c r="AK135" s="565"/>
      <c r="AL135" s="565"/>
      <c r="AM135" s="565"/>
      <c r="AN135" s="565"/>
      <c r="AO135" s="1606"/>
      <c r="AP135" s="1607">
        <f>SUM(AH135:AN135)</f>
        <v>0</v>
      </c>
      <c r="AQ135" s="564"/>
      <c r="AR135" s="568"/>
      <c r="AU135" s="1575"/>
      <c r="AV135" s="892" t="str">
        <f>IF($F135="Oui",IF(AH135="","",AH135*$K135),"")</f>
        <v/>
      </c>
      <c r="AW135" s="892"/>
      <c r="AX135" s="892"/>
      <c r="AY135" s="892"/>
      <c r="AZ135" s="892"/>
      <c r="BA135" s="892"/>
      <c r="BB135" s="892"/>
      <c r="BC135" s="892"/>
      <c r="BD135" s="893">
        <f>SUM(AV135,AX135,AZ135,BB135)</f>
        <v>0</v>
      </c>
      <c r="BE135" s="891" t="str">
        <f>IF($F135="Oui",IF(AQ135="","",AQ135*$K135),"")</f>
        <v/>
      </c>
      <c r="BF135" s="901" t="str">
        <f>IF($F135="Oui",IF(AR135="","",AR135*$K135),"")</f>
        <v/>
      </c>
      <c r="BG135" s="891" t="str">
        <f>IF($F135="Oui",IF(#REF!="","",#REF!*$K135),"")</f>
        <v/>
      </c>
      <c r="BH135" s="901" t="str">
        <f>IF($F135="Oui",IF(AD135="","",AD135*$K135),"")</f>
        <v/>
      </c>
      <c r="BJ135" s="1065">
        <f>IF($Z135&lt;&gt;"votre valeur :",IF(ISNA(VLOOKUP($Z135,Utilitaires!$N$566:$O$571,2,FALSE)),,VLOOKUP($Z135,Utilitaires!$N$566:$O$571,2,FALSE)),$AA135)</f>
        <v>0</v>
      </c>
      <c r="BK135" s="1130">
        <f>SQRT(SUMSQ(BJ135,VLOOKUP(B135&amp;"; "&amp;$I$133&amp;" "&amp;I$134,'FE Intrants'!G:U,7,FALSE)))</f>
        <v>0.1</v>
      </c>
      <c r="BL135" s="1130">
        <f>SQRT(SUMSQ(BJ135,VLOOKUP(B135&amp;"; "&amp;$I$133&amp;" "&amp;J$134,'FE Intrants'!G:U,7,FALSE)))</f>
        <v>0.1</v>
      </c>
    </row>
    <row r="136" spans="2:64" ht="12.75" hidden="1" customHeight="1" outlineLevel="3">
      <c r="B136" s="143" t="s">
        <v>2164</v>
      </c>
      <c r="C136" s="144"/>
      <c r="D136" s="212">
        <f>L136</f>
        <v>0</v>
      </c>
      <c r="E136" s="212"/>
      <c r="F136" s="392"/>
      <c r="G136" s="120"/>
      <c r="H136" s="344"/>
      <c r="I136" s="219">
        <f>VLOOKUP($B136&amp;"; "&amp;$I$133&amp;" "&amp;I$134,'FE Intrants'!$G:$U,9,FALSE)</f>
        <v>7800</v>
      </c>
      <c r="J136" s="219">
        <f>VLOOKUP($B136&amp;"; "&amp;$I$133&amp;" "&amp;J$134,'FE Intrants'!$G:$U,9,FALSE)</f>
        <v>562</v>
      </c>
      <c r="K136" s="120"/>
      <c r="L136" s="152">
        <f>IF(K136=0,0,G136*((1-H136)*I136+H136*J136)/K136)</f>
        <v>0</v>
      </c>
      <c r="Y136" s="319">
        <f>IF(AD136=0,AD136,AD136/L136)</f>
        <v>0</v>
      </c>
      <c r="Z136" s="121"/>
      <c r="AA136" s="820"/>
      <c r="AB136" s="820"/>
      <c r="AC136" s="820"/>
      <c r="AD136" s="152">
        <f>IF(K136=0,0,SQRT(SUMSQ(G136*(1-H136)*I136*BK136,G136*H136*J136*BL136))/K136)</f>
        <v>0</v>
      </c>
      <c r="AG136" s="564"/>
      <c r="AH136" s="565">
        <f>D136</f>
        <v>0</v>
      </c>
      <c r="AI136" s="565"/>
      <c r="AJ136" s="565"/>
      <c r="AK136" s="565"/>
      <c r="AL136" s="565"/>
      <c r="AM136" s="565"/>
      <c r="AN136" s="565"/>
      <c r="AO136" s="1606"/>
      <c r="AP136" s="567">
        <f>L136</f>
        <v>0</v>
      </c>
      <c r="AQ136" s="564"/>
      <c r="AR136" s="568"/>
      <c r="AU136" s="1575"/>
      <c r="AV136" s="892" t="str">
        <f>IF($F136="Oui",IF(AH136="","",AH136*$K136),"")</f>
        <v/>
      </c>
      <c r="AW136" s="892"/>
      <c r="AX136" s="892"/>
      <c r="AY136" s="892" t="str">
        <f>IF($F136="Oui",IF(AP136="","",AP136*$K136),"")</f>
        <v/>
      </c>
      <c r="AZ136" s="892"/>
      <c r="BA136" s="892" t="str">
        <f>IF($F136="Oui",IF(AD136="","",AD136*$K136),"")</f>
        <v/>
      </c>
      <c r="BB136" s="892"/>
      <c r="BC136" s="892"/>
      <c r="BD136" s="893">
        <f>SUM(AV136,AX136,AZ136,BB136)</f>
        <v>0</v>
      </c>
      <c r="BE136" s="891"/>
      <c r="BF136" s="901"/>
      <c r="BG136" s="891"/>
      <c r="BH136" s="901" t="str">
        <f>IF($F136="Oui",IF(AD136="","",AD136*$K136),"")</f>
        <v/>
      </c>
      <c r="BJ136" s="1065">
        <f>IF($Z136&lt;&gt;"votre valeur :",IF(ISNA(VLOOKUP($Z136,Utilitaires!$N$566:$O$571,2,FALSE)),,VLOOKUP($Z136,Utilitaires!$N$566:$O$571,2,FALSE)),$AA136)</f>
        <v>0</v>
      </c>
      <c r="BK136" s="1130">
        <f>SQRT(SUMSQ(BJ136,VLOOKUP(B136&amp;"; "&amp;$I$133&amp;" "&amp;I$134,'FE Intrants'!G:U,7,FALSE)))</f>
        <v>0.3</v>
      </c>
      <c r="BL136" s="1130">
        <f>SQRT(SUMSQ(BJ136,VLOOKUP(B136&amp;"; "&amp;$I$133&amp;" "&amp;J$134,'FE Intrants'!G:U,7,FALSE)))</f>
        <v>0.3</v>
      </c>
    </row>
    <row r="137" spans="2:64" ht="12.75" hidden="1" customHeight="1" outlineLevel="3">
      <c r="B137" s="143" t="s">
        <v>2165</v>
      </c>
      <c r="C137" s="144"/>
      <c r="D137" s="212">
        <f>L137</f>
        <v>0</v>
      </c>
      <c r="E137" s="212"/>
      <c r="F137" s="392"/>
      <c r="G137" s="120"/>
      <c r="H137" s="344"/>
      <c r="I137" s="219">
        <f>VLOOKUP($B137&amp;"; "&amp;$I$133&amp;" "&amp;I$134,'FE Intrants'!$G:$U,9,FALSE)</f>
        <v>1450</v>
      </c>
      <c r="J137" s="219">
        <f>VLOOKUP($B137&amp;"; "&amp;$I$133&amp;" "&amp;J$134,'FE Intrants'!$G:$U,9,FALSE)</f>
        <v>1300</v>
      </c>
      <c r="K137" s="120"/>
      <c r="L137" s="152">
        <f>IF(K137=0,0,G137*((1-H137)*I137+H137*J137)/K137)</f>
        <v>0</v>
      </c>
      <c r="Y137" s="319">
        <f>IF(AD137=0,AD137,AD137/L137)</f>
        <v>0</v>
      </c>
      <c r="Z137" s="121"/>
      <c r="AA137" s="820"/>
      <c r="AB137" s="820"/>
      <c r="AC137" s="820"/>
      <c r="AD137" s="152">
        <f>IF(K137=0,0,SQRT(SUMSQ(G137*(1-H137)*I137*BK137,G137*H137*J137*BL137))/K137)</f>
        <v>0</v>
      </c>
      <c r="AG137" s="564"/>
      <c r="AH137" s="565">
        <f>D137</f>
        <v>0</v>
      </c>
      <c r="AI137" s="565"/>
      <c r="AJ137" s="565"/>
      <c r="AK137" s="565"/>
      <c r="AL137" s="565"/>
      <c r="AM137" s="565"/>
      <c r="AN137" s="565"/>
      <c r="AO137" s="1606"/>
      <c r="AP137" s="567">
        <f>L137</f>
        <v>0</v>
      </c>
      <c r="AQ137" s="564"/>
      <c r="AR137" s="568"/>
      <c r="AU137" s="1575"/>
      <c r="AV137" s="892" t="str">
        <f>IF($F137="Oui",IF(AH137="","",AH137*$K137),"")</f>
        <v/>
      </c>
      <c r="AW137" s="892"/>
      <c r="AX137" s="892"/>
      <c r="AY137" s="892" t="str">
        <f>IF($F137="Oui",IF(AP137="","",AP137*$K137),"")</f>
        <v/>
      </c>
      <c r="AZ137" s="892"/>
      <c r="BA137" s="892" t="str">
        <f>IF($F137="Oui",IF(AD137="","",AD137*$K137),"")</f>
        <v/>
      </c>
      <c r="BB137" s="892"/>
      <c r="BC137" s="892"/>
      <c r="BD137" s="893">
        <f>SUM(AV137,AX137,AZ137,BB137)</f>
        <v>0</v>
      </c>
      <c r="BE137" s="891" t="str">
        <f t="shared" ref="BE137:BF139" si="31">IF($F137="Oui",IF(AQ137="","",AQ137*$K137),"")</f>
        <v/>
      </c>
      <c r="BF137" s="901" t="str">
        <f t="shared" si="31"/>
        <v/>
      </c>
      <c r="BG137" s="891" t="str">
        <f>IF($F137="Oui",IF(#REF!="","",#REF!*$K137),"")</f>
        <v/>
      </c>
      <c r="BH137" s="901" t="str">
        <f>IF($F137="Oui",IF(AD137="","",AD137*$K137),"")</f>
        <v/>
      </c>
      <c r="BJ137" s="1065">
        <f>IF($Z137&lt;&gt;"votre valeur :",IF(ISNA(VLOOKUP($Z137,Utilitaires!$N$566:$O$571,2,FALSE)),,VLOOKUP($Z137,Utilitaires!$N$566:$O$571,2,FALSE)),$AA137)</f>
        <v>0</v>
      </c>
      <c r="BK137" s="1130">
        <f>SQRT(SUMSQ(BJ137,VLOOKUP(B137&amp;"; "&amp;$I$133&amp;" "&amp;I$134,'FE Intrants'!G:U,7,FALSE)))</f>
        <v>0.5</v>
      </c>
      <c r="BL137" s="1130">
        <f>SQRT(SUMSQ(BJ137,VLOOKUP(B137&amp;"; "&amp;$I$133&amp;" "&amp;J$134,'FE Intrants'!G:U,7,FALSE)))</f>
        <v>0.5</v>
      </c>
    </row>
    <row r="138" spans="2:64" ht="12.75" hidden="1" customHeight="1" outlineLevel="3">
      <c r="B138" s="143" t="s">
        <v>2166</v>
      </c>
      <c r="C138" s="144"/>
      <c r="D138" s="212">
        <f>L138</f>
        <v>0</v>
      </c>
      <c r="E138" s="212"/>
      <c r="F138" s="393"/>
      <c r="G138" s="123"/>
      <c r="H138" s="345"/>
      <c r="I138" s="219">
        <f>VLOOKUP($B138&amp;"; "&amp;$I$133&amp;" "&amp;I$134,'FE Intrants'!$G:$U,9,FALSE)</f>
        <v>9170</v>
      </c>
      <c r="J138" s="219">
        <f>VLOOKUP($B138&amp;"; "&amp;$I$133&amp;" "&amp;J$134,'FE Intrants'!$G:$U,9,FALSE)</f>
        <v>9170</v>
      </c>
      <c r="K138" s="123"/>
      <c r="L138" s="152">
        <f>IF(K138=0,0,G138*((1-H138)*I138+H138*J138)/K138)</f>
        <v>0</v>
      </c>
      <c r="Y138" s="319">
        <f>IF(AD138=0,AD138,AD138/L138)</f>
        <v>0</v>
      </c>
      <c r="Z138" s="124"/>
      <c r="AA138" s="820"/>
      <c r="AB138" s="820"/>
      <c r="AC138" s="820"/>
      <c r="AD138" s="152">
        <f>IF(K138=0,0,SQRT(SUMSQ(G138*(1-H138)*I138*BK138,G138*H138*J138*BL138))/K138)</f>
        <v>0</v>
      </c>
      <c r="AG138" s="564"/>
      <c r="AH138" s="565">
        <f>D138</f>
        <v>0</v>
      </c>
      <c r="AI138" s="565"/>
      <c r="AJ138" s="565"/>
      <c r="AK138" s="565"/>
      <c r="AL138" s="565"/>
      <c r="AM138" s="565"/>
      <c r="AN138" s="565"/>
      <c r="AO138" s="1606"/>
      <c r="AP138" s="567">
        <f>L138</f>
        <v>0</v>
      </c>
      <c r="AQ138" s="564"/>
      <c r="AR138" s="568"/>
      <c r="AU138" s="1575"/>
      <c r="AV138" s="892" t="str">
        <f>IF($F138="Oui",IF(AH138="","",AH138*$K138),"")</f>
        <v/>
      </c>
      <c r="AW138" s="892"/>
      <c r="AX138" s="892"/>
      <c r="AY138" s="892" t="str">
        <f>IF($F138="Oui",IF(AP138="","",AP138*$K138),"")</f>
        <v/>
      </c>
      <c r="AZ138" s="892"/>
      <c r="BA138" s="892" t="str">
        <f>IF($F138="Oui",IF(AD138="","",AD138*$K138),"")</f>
        <v/>
      </c>
      <c r="BB138" s="892"/>
      <c r="BC138" s="892"/>
      <c r="BD138" s="893">
        <f>SUM(AV138,AX138,AZ138,BB138)</f>
        <v>0</v>
      </c>
      <c r="BE138" s="891" t="str">
        <f t="shared" si="31"/>
        <v/>
      </c>
      <c r="BF138" s="901" t="str">
        <f t="shared" si="31"/>
        <v/>
      </c>
      <c r="BG138" s="891" t="str">
        <f>IF($F138="Oui",IF(#REF!="","",#REF!*$K138),"")</f>
        <v/>
      </c>
      <c r="BH138" s="901" t="str">
        <f>IF($F138="Oui",IF(AD138="","",AD138*$K138),"")</f>
        <v/>
      </c>
      <c r="BJ138" s="1065">
        <f>IF($Z138&lt;&gt;"votre valeur :",IF(ISNA(VLOOKUP($Z138,Utilitaires!$N$566:$O$571,2,FALSE)),,VLOOKUP($Z138,Utilitaires!$N$566:$O$571,2,FALSE)),$AA138)</f>
        <v>0</v>
      </c>
      <c r="BK138" s="1130">
        <f>SQRT(SUMSQ(BJ138,VLOOKUP(B138&amp;"; "&amp;$I$133&amp;" "&amp;I$134,'FE Intrants'!G:U,7,FALSE)))</f>
        <v>0.2</v>
      </c>
      <c r="BL138" s="1130">
        <f>SQRT(SUMSQ(BJ138,VLOOKUP(B138&amp;"; "&amp;$I$133&amp;" "&amp;J$134,'FE Intrants'!G:U,7,FALSE)))</f>
        <v>0.2</v>
      </c>
    </row>
    <row r="139" spans="2:64" ht="12.75" hidden="1" customHeight="1" outlineLevel="3">
      <c r="B139" s="143"/>
      <c r="C139" s="144"/>
      <c r="D139" s="213"/>
      <c r="E139" s="213"/>
      <c r="F139" s="144"/>
      <c r="G139" s="144"/>
      <c r="H139" s="144"/>
      <c r="I139" s="144"/>
      <c r="J139" s="155"/>
      <c r="K139" s="155"/>
      <c r="L139" s="145"/>
      <c r="Y139" s="143"/>
      <c r="Z139" s="144"/>
      <c r="AA139" s="144"/>
      <c r="AB139" s="820"/>
      <c r="AC139" s="820"/>
      <c r="AD139" s="152"/>
      <c r="AG139" s="564"/>
      <c r="AH139" s="565"/>
      <c r="AI139" s="620"/>
      <c r="AJ139" s="620"/>
      <c r="AK139" s="620"/>
      <c r="AL139" s="620"/>
      <c r="AM139" s="565"/>
      <c r="AN139" s="565"/>
      <c r="AO139" s="1606"/>
      <c r="AP139" s="567"/>
      <c r="AQ139" s="564"/>
      <c r="AR139" s="568"/>
      <c r="AU139" s="902"/>
      <c r="AV139" s="1581"/>
      <c r="AW139" s="1581"/>
      <c r="AX139" s="1581"/>
      <c r="AY139" s="1581" t="str">
        <f>IF($F139="Oui",IF(AP139="","",AP139*$K139),"")</f>
        <v/>
      </c>
      <c r="AZ139" s="1581"/>
      <c r="BA139" s="1581" t="str">
        <f>IF($F139="Oui",IF(AD139="","",AD139*$K139),"")</f>
        <v/>
      </c>
      <c r="BB139" s="1581"/>
      <c r="BC139" s="1581"/>
      <c r="BD139" s="1609"/>
      <c r="BE139" s="891" t="str">
        <f t="shared" si="31"/>
        <v/>
      </c>
      <c r="BF139" s="901" t="str">
        <f t="shared" si="31"/>
        <v/>
      </c>
      <c r="BG139" s="891" t="str">
        <f>IF($F139="Oui",IF(#REF!="","",#REF!*$K139),"")</f>
        <v/>
      </c>
      <c r="BH139" s="901"/>
      <c r="BJ139" s="1142"/>
      <c r="BK139" s="1143"/>
      <c r="BL139" s="1143"/>
    </row>
    <row r="140" spans="2:64" hidden="1" outlineLevel="2">
      <c r="B140" s="196" t="s">
        <v>348</v>
      </c>
      <c r="C140" s="197"/>
      <c r="D140" s="214">
        <f>SUM(D135:D139)</f>
        <v>0</v>
      </c>
      <c r="E140" s="214"/>
      <c r="F140" s="199"/>
      <c r="G140" s="199"/>
      <c r="H140" s="199"/>
      <c r="I140" s="199"/>
      <c r="J140" s="199"/>
      <c r="K140" s="199"/>
      <c r="L140" s="200">
        <f>SUM(L135:L139)</f>
        <v>0</v>
      </c>
      <c r="Y140" s="1204">
        <f>IF(AD140=0,AD140,AD140/L140)</f>
        <v>0</v>
      </c>
      <c r="Z140" s="199"/>
      <c r="AA140" s="199"/>
      <c r="AB140" s="821"/>
      <c r="AC140" s="821"/>
      <c r="AD140" s="200">
        <f>SQRT(SUMSQ(AD135:AD139))</f>
        <v>0</v>
      </c>
      <c r="AG140" s="571"/>
      <c r="AH140" s="572">
        <f>SUM(AH135:AH139)</f>
        <v>0</v>
      </c>
      <c r="AI140" s="572"/>
      <c r="AJ140" s="572"/>
      <c r="AK140" s="572"/>
      <c r="AL140" s="572"/>
      <c r="AM140" s="572"/>
      <c r="AN140" s="572"/>
      <c r="AO140" s="573"/>
      <c r="AP140" s="573">
        <f>SUM(AP135:AP139)</f>
        <v>0</v>
      </c>
      <c r="AQ140" s="1082"/>
      <c r="AR140" s="575">
        <f>SUM(AR135:AR139)</f>
        <v>0</v>
      </c>
      <c r="AU140" s="1579"/>
      <c r="AV140" s="895">
        <f>SUM(AV135:AV139)</f>
        <v>0</v>
      </c>
      <c r="AW140" s="895"/>
      <c r="AX140" s="895"/>
      <c r="AY140" s="895"/>
      <c r="AZ140" s="895"/>
      <c r="BA140" s="895"/>
      <c r="BB140" s="895"/>
      <c r="BC140" s="895"/>
      <c r="BD140" s="898"/>
      <c r="BE140" s="894"/>
      <c r="BF140" s="896"/>
      <c r="BG140" s="894"/>
      <c r="BH140" s="896">
        <f>SUM(BH131:BH139)</f>
        <v>0</v>
      </c>
    </row>
    <row r="141" spans="2:64" hidden="1" outlineLevel="2">
      <c r="AK141" s="114"/>
      <c r="AU141" s="441"/>
      <c r="AV141" s="441"/>
      <c r="AW141" s="441"/>
      <c r="AX141" s="441"/>
      <c r="AY141" s="441"/>
      <c r="AZ141" s="441"/>
      <c r="BA141" s="441"/>
      <c r="BB141" s="441"/>
      <c r="BC141" s="441"/>
      <c r="BD141" s="441"/>
      <c r="BE141" s="441"/>
      <c r="BF141" s="441"/>
    </row>
    <row r="142" spans="2:64" ht="12.75" hidden="1" customHeight="1" outlineLevel="2" collapsed="1">
      <c r="B142" s="139" t="s">
        <v>130</v>
      </c>
      <c r="C142" s="140"/>
      <c r="D142" s="1598"/>
      <c r="E142" s="1648"/>
      <c r="F142" s="141"/>
      <c r="G142" s="141"/>
      <c r="H142" s="141"/>
      <c r="I142" s="141"/>
      <c r="J142" s="141"/>
      <c r="K142" s="141"/>
      <c r="L142" s="142"/>
      <c r="Y142" s="2636" t="s">
        <v>366</v>
      </c>
      <c r="Z142" s="2637"/>
      <c r="AA142" s="2637"/>
      <c r="AB142" s="2637"/>
      <c r="AC142" s="2637"/>
      <c r="AD142" s="2638"/>
      <c r="AG142" s="2639" t="s">
        <v>441</v>
      </c>
      <c r="AH142" s="2640"/>
      <c r="AI142" s="2640"/>
      <c r="AJ142" s="2640"/>
      <c r="AK142" s="2640"/>
      <c r="AL142" s="2640"/>
      <c r="AM142" s="2640"/>
      <c r="AN142" s="2640"/>
      <c r="AO142" s="2640"/>
      <c r="AP142" s="2640"/>
      <c r="AQ142" s="2640"/>
      <c r="AR142" s="2641"/>
      <c r="AS142" s="114"/>
      <c r="AT142" s="114"/>
      <c r="AU142" s="2860" t="s">
        <v>771</v>
      </c>
      <c r="AV142" s="2861"/>
      <c r="AW142" s="2861"/>
      <c r="AX142" s="2861"/>
      <c r="AY142" s="2861"/>
      <c r="AZ142" s="2861"/>
      <c r="BA142" s="2861"/>
      <c r="BB142" s="2861"/>
      <c r="BC142" s="2861"/>
      <c r="BD142" s="2861"/>
      <c r="BE142" s="2861"/>
      <c r="BF142" s="2861"/>
      <c r="BG142" s="2861"/>
      <c r="BH142" s="2862"/>
    </row>
    <row r="143" spans="2:64" ht="12.75" hidden="1" customHeight="1" outlineLevel="3">
      <c r="B143" s="332"/>
      <c r="C143" s="167"/>
      <c r="D143" s="1602" t="s">
        <v>308</v>
      </c>
      <c r="E143" s="1663"/>
      <c r="F143" s="155"/>
      <c r="G143" s="144"/>
      <c r="H143" s="144"/>
      <c r="I143" s="144"/>
      <c r="J143" s="144"/>
      <c r="K143" s="144"/>
      <c r="L143" s="145"/>
      <c r="Y143" s="298"/>
      <c r="Z143" s="819"/>
      <c r="AA143" s="827"/>
      <c r="AB143" s="820"/>
      <c r="AC143" s="820"/>
      <c r="AD143" s="145"/>
      <c r="AG143" s="2642" t="s">
        <v>444</v>
      </c>
      <c r="AH143" s="2643"/>
      <c r="AI143" s="2643"/>
      <c r="AJ143" s="2643"/>
      <c r="AK143" s="2643"/>
      <c r="AL143" s="2643"/>
      <c r="AM143" s="2643"/>
      <c r="AN143" s="2643"/>
      <c r="AO143" s="2643" t="s">
        <v>444</v>
      </c>
      <c r="AP143" s="2644"/>
      <c r="AQ143" s="564"/>
      <c r="AR143" s="568"/>
      <c r="AS143" s="114"/>
      <c r="AT143" s="114"/>
      <c r="AU143" s="2863" t="s">
        <v>444</v>
      </c>
      <c r="AV143" s="2864"/>
      <c r="AW143" s="2864"/>
      <c r="AX143" s="2864"/>
      <c r="AY143" s="2864"/>
      <c r="AZ143" s="2864"/>
      <c r="BA143" s="2864"/>
      <c r="BB143" s="2864"/>
      <c r="BC143" s="2864" t="s">
        <v>444</v>
      </c>
      <c r="BD143" s="2865"/>
      <c r="BE143" s="1608"/>
      <c r="BF143" s="899"/>
      <c r="BG143" s="2863" t="s">
        <v>366</v>
      </c>
      <c r="BH143" s="2865"/>
      <c r="BJ143" s="2616" t="s">
        <v>1648</v>
      </c>
      <c r="BK143" s="2617"/>
      <c r="BL143" s="2618"/>
    </row>
    <row r="144" spans="2:64" ht="12.75" hidden="1" customHeight="1" outlineLevel="3">
      <c r="B144" s="1595"/>
      <c r="C144" s="1596"/>
      <c r="D144" s="1596" t="s">
        <v>409</v>
      </c>
      <c r="E144" s="1656"/>
      <c r="F144" s="147" t="s">
        <v>772</v>
      </c>
      <c r="G144" s="147" t="s">
        <v>199</v>
      </c>
      <c r="H144" s="147" t="s">
        <v>119</v>
      </c>
      <c r="I144" s="2626" t="s">
        <v>1585</v>
      </c>
      <c r="J144" s="2627"/>
      <c r="K144" s="147" t="s">
        <v>335</v>
      </c>
      <c r="L144" s="1603" t="s">
        <v>444</v>
      </c>
      <c r="Y144" s="1595" t="s">
        <v>316</v>
      </c>
      <c r="Z144" s="1959" t="s">
        <v>316</v>
      </c>
      <c r="AA144" s="1592"/>
      <c r="AB144" s="820"/>
      <c r="AC144" s="820"/>
      <c r="AD144" s="1603" t="s">
        <v>444</v>
      </c>
      <c r="AG144" s="2631" t="s">
        <v>211</v>
      </c>
      <c r="AH144" s="2632"/>
      <c r="AI144" s="2632" t="s">
        <v>442</v>
      </c>
      <c r="AJ144" s="2632"/>
      <c r="AK144" s="2632" t="s">
        <v>267</v>
      </c>
      <c r="AL144" s="2632"/>
      <c r="AM144" s="2632" t="s">
        <v>443</v>
      </c>
      <c r="AN144" s="2632"/>
      <c r="AO144" s="2658" t="s">
        <v>327</v>
      </c>
      <c r="AP144" s="2659"/>
      <c r="AQ144" s="564"/>
      <c r="AR144" s="568"/>
      <c r="AS144" s="114"/>
      <c r="AT144" s="114"/>
      <c r="AU144" s="2866" t="s">
        <v>211</v>
      </c>
      <c r="AV144" s="2867"/>
      <c r="AW144" s="2867" t="s">
        <v>442</v>
      </c>
      <c r="AX144" s="2867"/>
      <c r="AY144" s="2867" t="s">
        <v>267</v>
      </c>
      <c r="AZ144" s="2867"/>
      <c r="BA144" s="2867" t="s">
        <v>443</v>
      </c>
      <c r="BB144" s="2867"/>
      <c r="BC144" s="2868" t="s">
        <v>327</v>
      </c>
      <c r="BD144" s="2869"/>
      <c r="BE144" s="2866" t="s">
        <v>636</v>
      </c>
      <c r="BF144" s="2870"/>
      <c r="BG144" s="2866" t="s">
        <v>444</v>
      </c>
      <c r="BH144" s="2870"/>
      <c r="BJ144" s="1597" t="s">
        <v>2167</v>
      </c>
      <c r="BK144" s="1604" t="s">
        <v>657</v>
      </c>
      <c r="BL144" s="1604" t="s">
        <v>120</v>
      </c>
    </row>
    <row r="145" spans="2:64" ht="12.75" hidden="1" customHeight="1" outlineLevel="3">
      <c r="B145" s="1595"/>
      <c r="C145" s="1596"/>
      <c r="D145" s="1596" t="s">
        <v>444</v>
      </c>
      <c r="E145" s="1656"/>
      <c r="F145" s="1599" t="str">
        <f>Descriptif!$D$4&amp;" ?"</f>
        <v>2022 ?</v>
      </c>
      <c r="G145" s="1599" t="s">
        <v>419</v>
      </c>
      <c r="H145" s="1599" t="s">
        <v>120</v>
      </c>
      <c r="I145" s="1596" t="s">
        <v>657</v>
      </c>
      <c r="J145" s="1596" t="s">
        <v>120</v>
      </c>
      <c r="K145" s="1599" t="s">
        <v>336</v>
      </c>
      <c r="L145" s="1603"/>
      <c r="Y145" s="1595" t="s">
        <v>1649</v>
      </c>
      <c r="Z145" s="1958" t="s">
        <v>1650</v>
      </c>
      <c r="AA145" s="1594"/>
      <c r="AB145" s="820"/>
      <c r="AC145" s="820"/>
      <c r="AD145" s="1603"/>
      <c r="AG145" s="1605"/>
      <c r="AH145" s="1606"/>
      <c r="AI145" s="1606"/>
      <c r="AJ145" s="1606"/>
      <c r="AK145" s="1606"/>
      <c r="AL145" s="1606"/>
      <c r="AM145" s="1606"/>
      <c r="AN145" s="1606"/>
      <c r="AO145" s="565"/>
      <c r="AP145" s="565"/>
      <c r="AQ145" s="564"/>
      <c r="AR145" s="568" t="s">
        <v>636</v>
      </c>
      <c r="AS145" s="114"/>
      <c r="AT145" s="114"/>
      <c r="AU145" s="1575"/>
      <c r="AV145" s="1576"/>
      <c r="AW145" s="1576"/>
      <c r="AX145" s="1576"/>
      <c r="AY145" s="1576"/>
      <c r="AZ145" s="1576"/>
      <c r="BA145" s="1576"/>
      <c r="BB145" s="1576"/>
      <c r="BC145" s="1576"/>
      <c r="BD145" s="893"/>
      <c r="BE145" s="891" t="str">
        <f>IF($F145="Oui",IF(AQ145="","",AQ145*$K145),"")</f>
        <v/>
      </c>
      <c r="BF145" s="901" t="str">
        <f>IF($F145="Oui",IF(AR145="","",AR145*$K145),"")</f>
        <v/>
      </c>
      <c r="BG145" s="891" t="str">
        <f>IF($F145="Oui",IF(#REF!="","",#REF!*$K145),"")</f>
        <v/>
      </c>
      <c r="BH145" s="901"/>
      <c r="BJ145" s="1065"/>
      <c r="BK145" s="1130"/>
      <c r="BL145" s="1130"/>
    </row>
    <row r="146" spans="2:64" ht="12.75" hidden="1" customHeight="1" outlineLevel="3">
      <c r="B146" s="143" t="s">
        <v>2175</v>
      </c>
      <c r="C146" s="144"/>
      <c r="D146" s="212">
        <f>L146</f>
        <v>0</v>
      </c>
      <c r="E146" s="212"/>
      <c r="F146" s="391"/>
      <c r="G146" s="117"/>
      <c r="H146" s="343"/>
      <c r="I146" s="219">
        <f>VLOOKUP($B146&amp;"; "&amp;$I$144&amp;" "&amp;I$145,'FE Intrants'!$G:$U,9,FALSE)</f>
        <v>5500</v>
      </c>
      <c r="J146" s="219">
        <f>IF(ISNA(VLOOKUP($B146&amp;"; "&amp;$I$144&amp;" "&amp;J$145,'FE Intrants'!$G:$U,9,FALSE)),I146,VLOOKUP($B146&amp;"; "&amp;$I$144&amp;" "&amp;J$145,'FE Intrants'!$G:$U,9,FALSE))</f>
        <v>5500</v>
      </c>
      <c r="K146" s="117"/>
      <c r="L146" s="327">
        <f>IF(K146=0,0,G146*((1-H146)*I146+H146*J146)/K146)</f>
        <v>0</v>
      </c>
      <c r="Y146" s="319">
        <f>IF(AD146=0,AD146,AD146/L146)</f>
        <v>0</v>
      </c>
      <c r="Z146" s="118"/>
      <c r="AA146" s="820"/>
      <c r="AB146" s="820"/>
      <c r="AC146" s="820"/>
      <c r="AD146" s="152">
        <f>IF(K146=0,0,SQRT(SUMSQ(G146*(1-H146)*I146*BK146,G146*H146*J146*BL146))/K146)</f>
        <v>0</v>
      </c>
      <c r="AG146" s="564"/>
      <c r="AH146" s="565">
        <f>D146</f>
        <v>0</v>
      </c>
      <c r="AI146" s="565"/>
      <c r="AJ146" s="565"/>
      <c r="AK146" s="565"/>
      <c r="AL146" s="565"/>
      <c r="AM146" s="565"/>
      <c r="AN146" s="565"/>
      <c r="AO146" s="1606"/>
      <c r="AP146" s="1607">
        <f>SUM(AH146:AN146)</f>
        <v>0</v>
      </c>
      <c r="AQ146" s="564"/>
      <c r="AR146" s="568"/>
      <c r="AS146" s="114"/>
      <c r="AT146" s="114"/>
      <c r="AU146" s="1575"/>
      <c r="AV146" s="892" t="str">
        <f>IF($F146="Oui",IF(AH146="","",AH146*$K146),"")</f>
        <v/>
      </c>
      <c r="AW146" s="892"/>
      <c r="AX146" s="892"/>
      <c r="AY146" s="892"/>
      <c r="AZ146" s="892"/>
      <c r="BA146" s="892"/>
      <c r="BB146" s="892"/>
      <c r="BC146" s="892"/>
      <c r="BD146" s="893">
        <f>SUM(AV146,AX146,AZ146,BB146)</f>
        <v>0</v>
      </c>
      <c r="BE146" s="891" t="str">
        <f>IF($F146="Oui",IF(AQ146="","",AQ146*$K146),"")</f>
        <v/>
      </c>
      <c r="BF146" s="901" t="str">
        <f>IF($F146="Oui",IF(AR146="","",AR146*$K146),"")</f>
        <v/>
      </c>
      <c r="BG146" s="891" t="str">
        <f>IF($F146="Oui",IF(#REF!="","",#REF!*$K146),"")</f>
        <v/>
      </c>
      <c r="BH146" s="901" t="str">
        <f>IF($F146="Oui",IF(AD146="","",AD146*$K146),"")</f>
        <v/>
      </c>
      <c r="BJ146" s="1065">
        <f>IF($Z146&lt;&gt;"votre valeur :",IF(ISNA(VLOOKUP($Z146,Utilitaires!$N$566:$O$571,2,FALSE)),,VLOOKUP($Z146,Utilitaires!$N$566:$O$571,2,FALSE)),$AA146)</f>
        <v>0</v>
      </c>
      <c r="BK146" s="1130">
        <f>SQRT(SUMSQ(BJ146,VLOOKUP(B146&amp;"; "&amp;$I$144&amp;" "&amp;$I$145,'FE Intrants'!G:U,7,FALSE)))</f>
        <v>0.2</v>
      </c>
      <c r="BL146" s="1130">
        <f>IF(ISNA(VLOOKUP(B146&amp;"; "&amp;$I$144&amp;" "&amp;$J$145,'FE Intrants'!G:U,7,FALSE)),0,SQRT(SUMSQ(BJ146,VLOOKUP(B146&amp;"; "&amp;$I$144&amp;" "&amp;$J$145,'FE Intrants'!G:U,7,FALSE))))</f>
        <v>0.2</v>
      </c>
    </row>
    <row r="147" spans="2:64" ht="12.75" hidden="1" customHeight="1" outlineLevel="3">
      <c r="B147" s="143" t="s">
        <v>2174</v>
      </c>
      <c r="C147" s="144"/>
      <c r="D147" s="212">
        <f>L147</f>
        <v>0</v>
      </c>
      <c r="E147" s="212"/>
      <c r="F147" s="392"/>
      <c r="G147" s="120"/>
      <c r="H147" s="344"/>
      <c r="I147" s="219">
        <f>VLOOKUP($B147&amp;"; "&amp;$I$144&amp;" "&amp;I$145,'FE Intrants'!$G:$U,9,FALSE)</f>
        <v>7630</v>
      </c>
      <c r="J147" s="219">
        <f>IF(ISNA(VLOOKUP($B147&amp;"; "&amp;$I$144&amp;" "&amp;J$145,'FE Intrants'!$G:$U,9,FALSE)),I147,VLOOKUP($B147&amp;"; "&amp;$I$144&amp;" "&amp;J$145,'FE Intrants'!$G:$U,9,FALSE))</f>
        <v>7630</v>
      </c>
      <c r="K147" s="120"/>
      <c r="L147" s="327">
        <f>IF(K147=0,0,G147*((1-H147)*I147+H147*J147)/K147)</f>
        <v>0</v>
      </c>
      <c r="Y147" s="319">
        <f>IF(AD147=0,AD147,AD147/L147)</f>
        <v>0</v>
      </c>
      <c r="Z147" s="121"/>
      <c r="AA147" s="820"/>
      <c r="AB147" s="820"/>
      <c r="AC147" s="820"/>
      <c r="AD147" s="152">
        <f>IF(K147=0,0,SQRT(SUMSQ(G147*(1-H147)*I147*BK147,G147*H147*J147*BL147))/K147)</f>
        <v>0</v>
      </c>
      <c r="AG147" s="564"/>
      <c r="AH147" s="565">
        <f>D147</f>
        <v>0</v>
      </c>
      <c r="AI147" s="565"/>
      <c r="AJ147" s="565"/>
      <c r="AK147" s="565"/>
      <c r="AL147" s="565"/>
      <c r="AM147" s="565"/>
      <c r="AN147" s="565"/>
      <c r="AO147" s="1606"/>
      <c r="AP147" s="567">
        <f>L147</f>
        <v>0</v>
      </c>
      <c r="AQ147" s="564"/>
      <c r="AR147" s="568"/>
      <c r="AS147" s="114"/>
      <c r="AT147" s="114"/>
      <c r="AU147" s="1575"/>
      <c r="AV147" s="892" t="str">
        <f>IF($F147="Oui",IF(AH147="","",AH147*$K147),"")</f>
        <v/>
      </c>
      <c r="AW147" s="892"/>
      <c r="AX147" s="892"/>
      <c r="AY147" s="892" t="str">
        <f>IF($F147="Oui",IF(AP147="","",AP147*$K147),"")</f>
        <v/>
      </c>
      <c r="AZ147" s="892"/>
      <c r="BA147" s="892" t="str">
        <f>IF($F147="Oui",IF(AD147="","",AD147*$K147),"")</f>
        <v/>
      </c>
      <c r="BB147" s="892"/>
      <c r="BC147" s="892"/>
      <c r="BD147" s="893">
        <f>SUM(AV147,AX147,AZ147,BB147)</f>
        <v>0</v>
      </c>
      <c r="BE147" s="891"/>
      <c r="BF147" s="901"/>
      <c r="BG147" s="891"/>
      <c r="BH147" s="901" t="str">
        <f>IF($F147="Oui",IF(AD147="","",AD147*$K147),"")</f>
        <v/>
      </c>
      <c r="BJ147" s="1065">
        <f>IF($Z147&lt;&gt;"votre valeur :",IF(ISNA(VLOOKUP($Z147,Utilitaires!$N$566:$O$571,2,FALSE)),,VLOOKUP($Z147,Utilitaires!$N$566:$O$571,2,FALSE)),$AA147)</f>
        <v>0</v>
      </c>
      <c r="BK147" s="1130">
        <f>SQRT(SUMSQ(BJ147,VLOOKUP(B147&amp;"; "&amp;$I$144&amp;" "&amp;$I$145,'FE Intrants'!G:U,7,FALSE)))</f>
        <v>0.25</v>
      </c>
      <c r="BL147" s="1130">
        <f>IF(ISNA(VLOOKUP(B147&amp;"; "&amp;$I$144&amp;" "&amp;$J$145,'FE Intrants'!G:U,7,FALSE)),0,SQRT(SUMSQ(BJ147,VLOOKUP(B147&amp;"; "&amp;$I$144&amp;" "&amp;$J$145,'FE Intrants'!G:U,7,FALSE))))</f>
        <v>0</v>
      </c>
    </row>
    <row r="148" spans="2:64" ht="12.75" hidden="1" customHeight="1" outlineLevel="3">
      <c r="B148" s="143" t="s">
        <v>2176</v>
      </c>
      <c r="C148" s="144"/>
      <c r="D148" s="212">
        <f>L148</f>
        <v>0</v>
      </c>
      <c r="E148" s="212"/>
      <c r="F148" s="392"/>
      <c r="G148" s="120"/>
      <c r="H148" s="344"/>
      <c r="I148" s="219">
        <f>VLOOKUP($B148&amp;"; "&amp;$I$144&amp;" "&amp;I$145,'FE Intrants'!$G:$U,9,FALSE)</f>
        <v>2383</v>
      </c>
      <c r="J148" s="219">
        <f>IF(ISNA(VLOOKUP($B148&amp;"; "&amp;$I$144&amp;" "&amp;J$145,'FE Intrants'!$G:$U,9,FALSE)),I148,VLOOKUP($B148&amp;"; "&amp;$I$144&amp;" "&amp;J$145,'FE Intrants'!$G:$U,9,FALSE))</f>
        <v>202</v>
      </c>
      <c r="K148" s="120"/>
      <c r="L148" s="327">
        <f>IF(K148=0,0,G148*((1-H148)*I148+H148*J148)/K148)</f>
        <v>0</v>
      </c>
      <c r="Y148" s="319">
        <f>IF(AD148=0,AD148,AD148/L148)</f>
        <v>0</v>
      </c>
      <c r="Z148" s="121"/>
      <c r="AA148" s="820"/>
      <c r="AB148" s="820"/>
      <c r="AC148" s="820"/>
      <c r="AD148" s="152">
        <f>IF(K148=0,0,SQRT(SUMSQ(G148*(1-H148)*I148*BK148,G148*H148*J148*BL148))/K148)</f>
        <v>0</v>
      </c>
      <c r="AG148" s="564"/>
      <c r="AH148" s="565">
        <f>D148</f>
        <v>0</v>
      </c>
      <c r="AI148" s="565"/>
      <c r="AJ148" s="565"/>
      <c r="AK148" s="565"/>
      <c r="AL148" s="565"/>
      <c r="AM148" s="565"/>
      <c r="AN148" s="565"/>
      <c r="AO148" s="1606"/>
      <c r="AP148" s="567">
        <f>L148</f>
        <v>0</v>
      </c>
      <c r="AQ148" s="564"/>
      <c r="AR148" s="568"/>
      <c r="AS148" s="114"/>
      <c r="AT148" s="114"/>
      <c r="AU148" s="1575"/>
      <c r="AV148" s="892" t="str">
        <f>IF($F148="Oui",IF(AH148="","",AH148*$K148),"")</f>
        <v/>
      </c>
      <c r="AW148" s="892"/>
      <c r="AX148" s="892"/>
      <c r="AY148" s="892" t="str">
        <f>IF($F148="Oui",IF(AP148="","",AP148*$K148),"")</f>
        <v/>
      </c>
      <c r="AZ148" s="892"/>
      <c r="BA148" s="892" t="str">
        <f>IF($F148="Oui",IF(AD148="","",AD148*$K148),"")</f>
        <v/>
      </c>
      <c r="BB148" s="892"/>
      <c r="BC148" s="892"/>
      <c r="BD148" s="893">
        <f>SUM(AV148,AX148,AZ148,BB148)</f>
        <v>0</v>
      </c>
      <c r="BE148" s="891" t="str">
        <f t="shared" ref="BE148:BF150" si="32">IF($F148="Oui",IF(AQ148="","",AQ148*$K148),"")</f>
        <v/>
      </c>
      <c r="BF148" s="901" t="str">
        <f t="shared" si="32"/>
        <v/>
      </c>
      <c r="BG148" s="891" t="str">
        <f>IF($F148="Oui",IF(#REF!="","",#REF!*$K148),"")</f>
        <v/>
      </c>
      <c r="BH148" s="901" t="str">
        <f>IF($F148="Oui",IF(AD148="","",AD148*$K148),"")</f>
        <v/>
      </c>
      <c r="BJ148" s="1065">
        <f>IF($Z148&lt;&gt;"votre valeur :",IF(ISNA(VLOOKUP($Z148,Utilitaires!$N$566:$O$571,2,FALSE)),,VLOOKUP($Z148,Utilitaires!$N$566:$O$571,2,FALSE)),$AA148)</f>
        <v>0</v>
      </c>
      <c r="BK148" s="1130">
        <f>SQRT(SUMSQ(BJ148,VLOOKUP(B148&amp;"; "&amp;$I$144&amp;" "&amp;$I$145,'FE Intrants'!G:U,7,FALSE)))</f>
        <v>0.2</v>
      </c>
      <c r="BL148" s="1130">
        <f>IF(ISNA(VLOOKUP(B148&amp;"; "&amp;$I$144&amp;" "&amp;$J$145,'FE Intrants'!G:U,7,FALSE)),0,SQRT(SUMSQ(BJ148,VLOOKUP(B148&amp;"; "&amp;$I$144&amp;" "&amp;$J$145,'FE Intrants'!G:U,7,FALSE))))</f>
        <v>0.2</v>
      </c>
    </row>
    <row r="149" spans="2:64" ht="12.75" hidden="1" customHeight="1" outlineLevel="3">
      <c r="B149" s="143" t="s">
        <v>2177</v>
      </c>
      <c r="C149" s="144"/>
      <c r="D149" s="212">
        <f>L149</f>
        <v>0</v>
      </c>
      <c r="E149" s="212"/>
      <c r="F149" s="393"/>
      <c r="G149" s="123"/>
      <c r="H149" s="345"/>
      <c r="I149" s="219">
        <f>VLOOKUP($B149&amp;"; "&amp;$I$144&amp;" "&amp;I$145,'FE Intrants'!$G:$U,9,FALSE)</f>
        <v>1870</v>
      </c>
      <c r="J149" s="219">
        <f>IF(ISNA(VLOOKUP($B149&amp;"; "&amp;$I$144&amp;" "&amp;J$145,'FE Intrants'!$G:$U,9,FALSE)),I149,VLOOKUP($B149&amp;"; "&amp;$I$144&amp;" "&amp;J$145,'FE Intrants'!$G:$U,9,FALSE))</f>
        <v>403</v>
      </c>
      <c r="K149" s="123"/>
      <c r="L149" s="327">
        <f>IF(K149=0,0,G149*((1-H149)*I149+H149*J149)/K149)</f>
        <v>0</v>
      </c>
      <c r="Y149" s="319">
        <f>IF(AD149=0,AD149,AD149/L149)</f>
        <v>0</v>
      </c>
      <c r="Z149" s="124"/>
      <c r="AA149" s="820"/>
      <c r="AB149" s="820"/>
      <c r="AC149" s="820"/>
      <c r="AD149" s="152">
        <f>IF(K149=0,0,SQRT(SUMSQ(G149*(1-H149)*I149*BK149,G149*H149*J149*BL149))/K149)</f>
        <v>0</v>
      </c>
      <c r="AG149" s="564"/>
      <c r="AH149" s="565">
        <f>D149</f>
        <v>0</v>
      </c>
      <c r="AI149" s="565"/>
      <c r="AJ149" s="565"/>
      <c r="AK149" s="565"/>
      <c r="AL149" s="565"/>
      <c r="AM149" s="565"/>
      <c r="AN149" s="565"/>
      <c r="AO149" s="1606"/>
      <c r="AP149" s="567">
        <f>L149</f>
        <v>0</v>
      </c>
      <c r="AQ149" s="564"/>
      <c r="AR149" s="568"/>
      <c r="AS149" s="114"/>
      <c r="AT149" s="114"/>
      <c r="AU149" s="1575"/>
      <c r="AV149" s="892" t="str">
        <f>IF($F149="Oui",IF(AH149="","",AH149*$K149),"")</f>
        <v/>
      </c>
      <c r="AW149" s="892"/>
      <c r="AX149" s="892"/>
      <c r="AY149" s="892" t="str">
        <f>IF($F149="Oui",IF(AP149="","",AP149*$K149),"")</f>
        <v/>
      </c>
      <c r="AZ149" s="892"/>
      <c r="BA149" s="892" t="str">
        <f>IF($F149="Oui",IF(AD149="","",AD149*$K149),"")</f>
        <v/>
      </c>
      <c r="BB149" s="892"/>
      <c r="BC149" s="892"/>
      <c r="BD149" s="893">
        <f>SUM(AV149,AX149,AZ149,BB149)</f>
        <v>0</v>
      </c>
      <c r="BE149" s="891" t="str">
        <f t="shared" si="32"/>
        <v/>
      </c>
      <c r="BF149" s="901" t="str">
        <f t="shared" si="32"/>
        <v/>
      </c>
      <c r="BG149" s="891" t="str">
        <f>IF($F149="Oui",IF(#REF!="","",#REF!*$K149),"")</f>
        <v/>
      </c>
      <c r="BH149" s="901" t="str">
        <f>IF($F149="Oui",IF(AD149="","",AD149*$K149),"")</f>
        <v/>
      </c>
      <c r="BJ149" s="1065">
        <f>IF($Z149&lt;&gt;"votre valeur :",IF(ISNA(VLOOKUP($Z149,Utilitaires!$N$566:$O$571,2,FALSE)),,VLOOKUP($Z149,Utilitaires!$N$566:$O$571,2,FALSE)),$AA149)</f>
        <v>0</v>
      </c>
      <c r="BK149" s="1130">
        <f>SQRT(SUMSQ(BJ149,VLOOKUP(B149&amp;"; "&amp;$I$144&amp;" "&amp;$I$145,'FE Intrants'!G:U,7,FALSE)))</f>
        <v>0.2</v>
      </c>
      <c r="BL149" s="1130">
        <f>IF(ISNA(VLOOKUP(B149&amp;"; "&amp;$I$144&amp;" "&amp;$J$145,'FE Intrants'!G:U,7,FALSE)),0,SQRT(SUMSQ(BJ149,VLOOKUP(B149&amp;"; "&amp;$I$144&amp;" "&amp;$J$145,'FE Intrants'!G:U,7,FALSE))))</f>
        <v>0.2</v>
      </c>
    </row>
    <row r="150" spans="2:64" ht="12.75" hidden="1" customHeight="1" outlineLevel="3">
      <c r="B150" s="143"/>
      <c r="C150" s="144"/>
      <c r="D150" s="213"/>
      <c r="E150" s="213"/>
      <c r="F150" s="144"/>
      <c r="G150" s="144"/>
      <c r="H150" s="144"/>
      <c r="I150" s="144"/>
      <c r="J150" s="144"/>
      <c r="K150" s="155"/>
      <c r="L150" s="168"/>
      <c r="Y150" s="143"/>
      <c r="Z150" s="144"/>
      <c r="AA150" s="144"/>
      <c r="AB150" s="820"/>
      <c r="AC150" s="820"/>
      <c r="AD150" s="1603"/>
      <c r="AG150" s="564"/>
      <c r="AH150" s="565"/>
      <c r="AI150" s="620"/>
      <c r="AJ150" s="620"/>
      <c r="AK150" s="620"/>
      <c r="AL150" s="620"/>
      <c r="AM150" s="565"/>
      <c r="AN150" s="565"/>
      <c r="AO150" s="1606"/>
      <c r="AP150" s="567"/>
      <c r="AQ150" s="564"/>
      <c r="AR150" s="568"/>
      <c r="AS150" s="114"/>
      <c r="AT150" s="114"/>
      <c r="AU150" s="902"/>
      <c r="AV150" s="1581"/>
      <c r="AW150" s="1581"/>
      <c r="AX150" s="1581"/>
      <c r="AY150" s="1581" t="str">
        <f>IF($F150="Oui",IF(AP150="","",AP150*$K150),"")</f>
        <v/>
      </c>
      <c r="AZ150" s="1581"/>
      <c r="BA150" s="1581" t="str">
        <f>IF($F150="Oui",IF(AD150="","",AD150*$K150),"")</f>
        <v/>
      </c>
      <c r="BB150" s="1581"/>
      <c r="BC150" s="1581"/>
      <c r="BD150" s="1609"/>
      <c r="BE150" s="891" t="str">
        <f t="shared" si="32"/>
        <v/>
      </c>
      <c r="BF150" s="901" t="str">
        <f t="shared" si="32"/>
        <v/>
      </c>
      <c r="BG150" s="891" t="str">
        <f>IF($F150="Oui",IF(#REF!="","",#REF!*$K150),"")</f>
        <v/>
      </c>
      <c r="BH150" s="901"/>
      <c r="BJ150" s="1142"/>
      <c r="BK150" s="1143"/>
      <c r="BL150" s="1143"/>
    </row>
    <row r="151" spans="2:64" hidden="1" outlineLevel="2">
      <c r="B151" s="196" t="s">
        <v>348</v>
      </c>
      <c r="C151" s="197"/>
      <c r="D151" s="214">
        <f>SUM(D146:D150)</f>
        <v>0</v>
      </c>
      <c r="E151" s="214"/>
      <c r="F151" s="199"/>
      <c r="G151" s="199"/>
      <c r="H151" s="199"/>
      <c r="I151" s="199"/>
      <c r="J151" s="199"/>
      <c r="K151" s="199"/>
      <c r="L151" s="200">
        <f>SUM(L146:L150)</f>
        <v>0</v>
      </c>
      <c r="Y151" s="1204">
        <f>IF(AD151=0,AD151,AD151/L151)</f>
        <v>0</v>
      </c>
      <c r="Z151" s="199"/>
      <c r="AA151" s="199"/>
      <c r="AB151" s="821"/>
      <c r="AC151" s="821"/>
      <c r="AD151" s="200">
        <f>SQRT(SUMSQ(AD146:AD150))</f>
        <v>0</v>
      </c>
      <c r="AG151" s="571"/>
      <c r="AH151" s="572">
        <f>SUM(AH146:AH150)</f>
        <v>0</v>
      </c>
      <c r="AI151" s="572"/>
      <c r="AJ151" s="572"/>
      <c r="AK151" s="572"/>
      <c r="AL151" s="572"/>
      <c r="AM151" s="572"/>
      <c r="AN151" s="572"/>
      <c r="AO151" s="573"/>
      <c r="AP151" s="573">
        <f>SUM(AP146:AP150)</f>
        <v>0</v>
      </c>
      <c r="AQ151" s="1082"/>
      <c r="AR151" s="575">
        <f>SUM(AR146:AR150)</f>
        <v>0</v>
      </c>
      <c r="AS151" s="114"/>
      <c r="AT151" s="114"/>
      <c r="AU151" s="1579"/>
      <c r="AV151" s="895">
        <f>SUM(AV146:AV150)</f>
        <v>0</v>
      </c>
      <c r="AW151" s="895"/>
      <c r="AX151" s="895"/>
      <c r="AY151" s="895"/>
      <c r="AZ151" s="895"/>
      <c r="BA151" s="895"/>
      <c r="BB151" s="895"/>
      <c r="BC151" s="895"/>
      <c r="BD151" s="898"/>
      <c r="BE151" s="894"/>
      <c r="BF151" s="896"/>
      <c r="BG151" s="894"/>
      <c r="BH151" s="896">
        <f>SUM(BH142:BH150)</f>
        <v>0</v>
      </c>
    </row>
    <row r="152" spans="2:64" hidden="1" outlineLevel="2">
      <c r="L152" s="266"/>
      <c r="AK152" s="114"/>
      <c r="AU152" s="441"/>
      <c r="AV152" s="441"/>
      <c r="AW152" s="441"/>
      <c r="AX152" s="441"/>
      <c r="AY152" s="441"/>
      <c r="AZ152" s="441"/>
      <c r="BA152" s="441"/>
      <c r="BB152" s="441"/>
      <c r="BC152" s="441"/>
      <c r="BD152" s="441"/>
      <c r="BE152" s="441"/>
      <c r="BF152" s="441"/>
    </row>
    <row r="153" spans="2:64" ht="12.75" hidden="1" customHeight="1" outlineLevel="2" collapsed="1">
      <c r="B153" s="139" t="s">
        <v>249</v>
      </c>
      <c r="C153" s="140"/>
      <c r="D153" s="1598"/>
      <c r="E153" s="1648"/>
      <c r="F153" s="141"/>
      <c r="G153" s="141"/>
      <c r="H153" s="141"/>
      <c r="I153" s="141"/>
      <c r="J153" s="142"/>
      <c r="Y153" s="2636" t="s">
        <v>366</v>
      </c>
      <c r="Z153" s="2637"/>
      <c r="AA153" s="2637"/>
      <c r="AB153" s="2637"/>
      <c r="AC153" s="2637"/>
      <c r="AD153" s="2638"/>
      <c r="AG153" s="2639" t="s">
        <v>441</v>
      </c>
      <c r="AH153" s="2640"/>
      <c r="AI153" s="2640"/>
      <c r="AJ153" s="2640"/>
      <c r="AK153" s="2640"/>
      <c r="AL153" s="2640"/>
      <c r="AM153" s="2640"/>
      <c r="AN153" s="2640"/>
      <c r="AO153" s="2640"/>
      <c r="AP153" s="2640"/>
      <c r="AQ153" s="2640"/>
      <c r="AR153" s="2641"/>
      <c r="AS153" s="114"/>
      <c r="AT153" s="114"/>
      <c r="AU153" s="2860" t="s">
        <v>771</v>
      </c>
      <c r="AV153" s="2861"/>
      <c r="AW153" s="2861"/>
      <c r="AX153" s="2861"/>
      <c r="AY153" s="2861"/>
      <c r="AZ153" s="2861"/>
      <c r="BA153" s="2861"/>
      <c r="BB153" s="2861"/>
      <c r="BC153" s="2861"/>
      <c r="BD153" s="2861"/>
      <c r="BE153" s="2861"/>
      <c r="BF153" s="2861"/>
      <c r="BG153" s="2861"/>
      <c r="BH153" s="2862"/>
    </row>
    <row r="154" spans="2:64" ht="12.75" hidden="1" customHeight="1" outlineLevel="3">
      <c r="B154" s="332"/>
      <c r="C154" s="167"/>
      <c r="D154" s="1602" t="s">
        <v>308</v>
      </c>
      <c r="E154" s="1663"/>
      <c r="F154" s="155"/>
      <c r="G154" s="144"/>
      <c r="H154" s="144"/>
      <c r="I154" s="144"/>
      <c r="J154" s="145"/>
      <c r="Y154" s="1595"/>
      <c r="Z154" s="819"/>
      <c r="AA154" s="827"/>
      <c r="AB154" s="820"/>
      <c r="AC154" s="820"/>
      <c r="AD154" s="145"/>
      <c r="AG154" s="2642" t="s">
        <v>444</v>
      </c>
      <c r="AH154" s="2643"/>
      <c r="AI154" s="2643"/>
      <c r="AJ154" s="2643"/>
      <c r="AK154" s="2643"/>
      <c r="AL154" s="2643"/>
      <c r="AM154" s="2643"/>
      <c r="AN154" s="2643"/>
      <c r="AO154" s="2643" t="s">
        <v>444</v>
      </c>
      <c r="AP154" s="2644"/>
      <c r="AQ154" s="564"/>
      <c r="AR154" s="568"/>
      <c r="AS154" s="114"/>
      <c r="AT154" s="114"/>
      <c r="AU154" s="2863" t="s">
        <v>444</v>
      </c>
      <c r="AV154" s="2864"/>
      <c r="AW154" s="2864"/>
      <c r="AX154" s="2864"/>
      <c r="AY154" s="2864"/>
      <c r="AZ154" s="2864"/>
      <c r="BA154" s="2864"/>
      <c r="BB154" s="2864"/>
      <c r="BC154" s="2864" t="s">
        <v>444</v>
      </c>
      <c r="BD154" s="2865"/>
      <c r="BE154" s="1608"/>
      <c r="BF154" s="899"/>
      <c r="BG154" s="2863" t="s">
        <v>366</v>
      </c>
      <c r="BH154" s="2865"/>
      <c r="BJ154" s="2766" t="s">
        <v>1648</v>
      </c>
      <c r="BK154" s="2767"/>
    </row>
    <row r="155" spans="2:64" ht="12.75" hidden="1" customHeight="1" outlineLevel="3">
      <c r="B155" s="1595"/>
      <c r="C155" s="1596"/>
      <c r="D155" s="1596" t="s">
        <v>409</v>
      </c>
      <c r="E155" s="1656"/>
      <c r="F155" s="147" t="s">
        <v>772</v>
      </c>
      <c r="G155" s="147" t="s">
        <v>1849</v>
      </c>
      <c r="H155" s="1596" t="s">
        <v>1572</v>
      </c>
      <c r="I155" s="147" t="s">
        <v>335</v>
      </c>
      <c r="J155" s="1603" t="s">
        <v>444</v>
      </c>
      <c r="Y155" s="1595" t="s">
        <v>316</v>
      </c>
      <c r="Z155" s="1591" t="s">
        <v>530</v>
      </c>
      <c r="AA155" s="1592"/>
      <c r="AB155" s="820"/>
      <c r="AC155" s="820"/>
      <c r="AD155" s="1603" t="s">
        <v>444</v>
      </c>
      <c r="AG155" s="2631" t="s">
        <v>211</v>
      </c>
      <c r="AH155" s="2632"/>
      <c r="AI155" s="2632" t="s">
        <v>442</v>
      </c>
      <c r="AJ155" s="2632"/>
      <c r="AK155" s="2632" t="s">
        <v>267</v>
      </c>
      <c r="AL155" s="2632"/>
      <c r="AM155" s="2632" t="s">
        <v>443</v>
      </c>
      <c r="AN155" s="2632"/>
      <c r="AO155" s="2658" t="s">
        <v>327</v>
      </c>
      <c r="AP155" s="2659"/>
      <c r="AQ155" s="564"/>
      <c r="AR155" s="568"/>
      <c r="AS155" s="114"/>
      <c r="AT155" s="114"/>
      <c r="AU155" s="2866" t="s">
        <v>211</v>
      </c>
      <c r="AV155" s="2867"/>
      <c r="AW155" s="2867" t="s">
        <v>442</v>
      </c>
      <c r="AX155" s="2867"/>
      <c r="AY155" s="2867" t="s">
        <v>267</v>
      </c>
      <c r="AZ155" s="2867"/>
      <c r="BA155" s="2867" t="s">
        <v>443</v>
      </c>
      <c r="BB155" s="2867"/>
      <c r="BC155" s="2868" t="s">
        <v>327</v>
      </c>
      <c r="BD155" s="2869"/>
      <c r="BE155" s="2866" t="s">
        <v>636</v>
      </c>
      <c r="BF155" s="2870"/>
      <c r="BG155" s="2866" t="s">
        <v>444</v>
      </c>
      <c r="BH155" s="2870"/>
      <c r="BJ155" s="1597" t="s">
        <v>2167</v>
      </c>
      <c r="BK155" s="1604" t="s">
        <v>2187</v>
      </c>
    </row>
    <row r="156" spans="2:64" ht="12.75" hidden="1" customHeight="1" outlineLevel="3">
      <c r="B156" s="1595"/>
      <c r="C156" s="1596"/>
      <c r="D156" s="1596" t="s">
        <v>444</v>
      </c>
      <c r="E156" s="1656"/>
      <c r="F156" s="1599" t="str">
        <f>Descriptif!$D$4&amp;" ?"</f>
        <v>2022 ?</v>
      </c>
      <c r="G156" s="1599" t="s">
        <v>2181</v>
      </c>
      <c r="H156" s="1596"/>
      <c r="I156" s="1599" t="s">
        <v>336</v>
      </c>
      <c r="J156" s="1603"/>
      <c r="Y156" s="1595" t="s">
        <v>1649</v>
      </c>
      <c r="Z156" s="1593"/>
      <c r="AA156" s="1594"/>
      <c r="AB156" s="820"/>
      <c r="AC156" s="820"/>
      <c r="AD156" s="1603"/>
      <c r="AG156" s="1605"/>
      <c r="AH156" s="1606"/>
      <c r="AI156" s="1606"/>
      <c r="AJ156" s="1606"/>
      <c r="AK156" s="1606"/>
      <c r="AL156" s="1606"/>
      <c r="AM156" s="1606"/>
      <c r="AN156" s="1606"/>
      <c r="AO156" s="565"/>
      <c r="AP156" s="565"/>
      <c r="AQ156" s="564"/>
      <c r="AR156" s="568" t="s">
        <v>636</v>
      </c>
      <c r="AS156" s="114"/>
      <c r="AT156" s="114"/>
      <c r="AU156" s="1575"/>
      <c r="AV156" s="1576"/>
      <c r="AW156" s="1576"/>
      <c r="AX156" s="1576"/>
      <c r="AY156" s="1576"/>
      <c r="AZ156" s="1576"/>
      <c r="BA156" s="1576"/>
      <c r="BB156" s="1576"/>
      <c r="BC156" s="1576"/>
      <c r="BD156" s="893"/>
      <c r="BE156" s="891" t="str">
        <f>IF($G156="Oui",IF(AQ156="","",AQ156*$I156),"")</f>
        <v/>
      </c>
      <c r="BF156" s="901" t="str">
        <f>IF($G156="Oui",IF(AR156="","",AR156*$I156),"")</f>
        <v/>
      </c>
      <c r="BG156" s="891" t="str">
        <f>IF($G156="Oui",IF(#REF!="","",#REF!*$I156),"")</f>
        <v/>
      </c>
      <c r="BH156" s="901"/>
      <c r="BJ156" s="1065"/>
      <c r="BK156" s="1130"/>
    </row>
    <row r="157" spans="2:64" ht="12.75" hidden="1" customHeight="1" outlineLevel="3">
      <c r="B157" s="143" t="s">
        <v>2178</v>
      </c>
      <c r="C157" s="144"/>
      <c r="D157" s="212">
        <f>J157</f>
        <v>0</v>
      </c>
      <c r="E157" s="212"/>
      <c r="F157" s="391"/>
      <c r="G157" s="117"/>
      <c r="H157" s="335">
        <f>VLOOKUP($B157&amp;"; "&amp;$H$155,'FE Intrants'!$G:$U,9,FALSE)</f>
        <v>2.13</v>
      </c>
      <c r="I157" s="117"/>
      <c r="J157" s="152">
        <f>IF(I157=0,0,G157*H157/I157)</f>
        <v>0</v>
      </c>
      <c r="Y157" s="319">
        <f>IF(AD157=0,AD157,AD157/J157)</f>
        <v>0</v>
      </c>
      <c r="Z157" s="118"/>
      <c r="AA157" s="820"/>
      <c r="AB157" s="820"/>
      <c r="AC157" s="820"/>
      <c r="AD157" s="152">
        <f>D157*BK157</f>
        <v>0</v>
      </c>
      <c r="AG157" s="564"/>
      <c r="AH157" s="565">
        <f>D157</f>
        <v>0</v>
      </c>
      <c r="AI157" s="565"/>
      <c r="AJ157" s="565"/>
      <c r="AK157" s="565"/>
      <c r="AL157" s="565"/>
      <c r="AM157" s="565"/>
      <c r="AN157" s="565"/>
      <c r="AO157" s="1606"/>
      <c r="AP157" s="1607">
        <f>SUM(AH157:AN157)</f>
        <v>0</v>
      </c>
      <c r="AQ157" s="564"/>
      <c r="AR157" s="568"/>
      <c r="AS157" s="114"/>
      <c r="AT157" s="114"/>
      <c r="AU157" s="1575"/>
      <c r="AV157" s="892" t="str">
        <f>IF($G157="Oui",IF(AH157="","",AH157*$I157),"")</f>
        <v/>
      </c>
      <c r="AW157" s="892"/>
      <c r="AX157" s="892"/>
      <c r="AY157" s="892"/>
      <c r="AZ157" s="892"/>
      <c r="BA157" s="892"/>
      <c r="BB157" s="892"/>
      <c r="BC157" s="892"/>
      <c r="BD157" s="893">
        <f>SUM(AV157,AX157,AZ157,BB157)</f>
        <v>0</v>
      </c>
      <c r="BE157" s="891" t="str">
        <f>IF($G157="Oui",IF(AQ157="","",AQ157*$I157),"")</f>
        <v/>
      </c>
      <c r="BF157" s="901" t="str">
        <f>IF($G157="Oui",IF(AR157="","",AR157*$I157),"")</f>
        <v/>
      </c>
      <c r="BG157" s="891" t="str">
        <f>IF($G157="Oui",IF(#REF!="","",#REF!*$I157),"")</f>
        <v/>
      </c>
      <c r="BH157" s="901" t="str">
        <f>IF($G157="Oui",IF(#REF!="","",#REF!*$I157),"")</f>
        <v/>
      </c>
      <c r="BJ157" s="1065">
        <f>IF($Z157&lt;&gt;"votre valeur :",IF(ISNA(VLOOKUP($Z157,Utilitaires!$N$566:$O$571,2,FALSE)),,VLOOKUP($Z157,Utilitaires!$N$566:$O$571,2,FALSE)),$AA157)</f>
        <v>0</v>
      </c>
      <c r="BK157" s="1130">
        <f>SQRT(SUMSQ(BJ157,VLOOKUP(B157&amp;"; "&amp;$H$155,'FE Intrants'!G:U,7,FALSE)))</f>
        <v>0.2</v>
      </c>
    </row>
    <row r="158" spans="2:64" ht="12.75" hidden="1" customHeight="1" outlineLevel="3">
      <c r="B158" s="143" t="s">
        <v>2179</v>
      </c>
      <c r="C158" s="144"/>
      <c r="D158" s="212">
        <f>J158</f>
        <v>0</v>
      </c>
      <c r="E158" s="212"/>
      <c r="F158" s="392"/>
      <c r="G158" s="120"/>
      <c r="H158" s="335">
        <f>VLOOKUP($B158&amp;"; "&amp;$H$155,'FE Intrants'!$G:$U,9,FALSE)</f>
        <v>2.13</v>
      </c>
      <c r="I158" s="120"/>
      <c r="J158" s="152">
        <f>IF(I158=0,0,G158*H158/I158)</f>
        <v>0</v>
      </c>
      <c r="Y158" s="319">
        <f>IF(AD158=0,AD158,AD158/J158)</f>
        <v>0</v>
      </c>
      <c r="Z158" s="121"/>
      <c r="AA158" s="820"/>
      <c r="AB158" s="820"/>
      <c r="AC158" s="820"/>
      <c r="AD158" s="152">
        <f t="shared" ref="AD158:AD160" si="33">D158*BK158</f>
        <v>0</v>
      </c>
      <c r="AG158" s="564"/>
      <c r="AH158" s="565">
        <f>D158</f>
        <v>0</v>
      </c>
      <c r="AI158" s="565"/>
      <c r="AJ158" s="565"/>
      <c r="AK158" s="565"/>
      <c r="AL158" s="565"/>
      <c r="AM158" s="565"/>
      <c r="AN158" s="565"/>
      <c r="AO158" s="1606"/>
      <c r="AP158" s="1607">
        <f>SUM(AH158:AN158)</f>
        <v>0</v>
      </c>
      <c r="AQ158" s="564"/>
      <c r="AR158" s="568"/>
      <c r="AS158" s="114"/>
      <c r="AT158" s="114"/>
      <c r="AU158" s="1575"/>
      <c r="AV158" s="892" t="str">
        <f>IF($G158="Oui",IF(AH158="","",AH158*$I158),"")</f>
        <v/>
      </c>
      <c r="AW158" s="892"/>
      <c r="AX158" s="892"/>
      <c r="AY158" s="892" t="str">
        <f>IF($G158="Oui",IF(AP158="","",AP158*$I158),"")</f>
        <v/>
      </c>
      <c r="AZ158" s="892"/>
      <c r="BA158" s="892" t="str">
        <f>IF($G158="Oui",IF(#REF!="","",#REF!*$I158),"")</f>
        <v/>
      </c>
      <c r="BB158" s="892"/>
      <c r="BC158" s="892"/>
      <c r="BD158" s="893">
        <f>SUM(AV158,AX158,AZ158,BB158)</f>
        <v>0</v>
      </c>
      <c r="BE158" s="891"/>
      <c r="BF158" s="901"/>
      <c r="BG158" s="891"/>
      <c r="BH158" s="901" t="str">
        <f>IF($G158="Oui",IF(#REF!="","",#REF!*$I158),"")</f>
        <v/>
      </c>
      <c r="BJ158" s="1065">
        <f>IF($Z158&lt;&gt;"votre valeur :",IF(ISNA(VLOOKUP($Z158,Utilitaires!$N$566:$O$571,2,FALSE)),,VLOOKUP($Z158,Utilitaires!$N$566:$O$571,2,FALSE)),$AA158)</f>
        <v>0</v>
      </c>
      <c r="BK158" s="1130">
        <f>SQRT(SUMSQ(BJ158,VLOOKUP(B158&amp;"; "&amp;$H$155,'FE Intrants'!G:U,7,FALSE)))</f>
        <v>0.2</v>
      </c>
    </row>
    <row r="159" spans="2:64" ht="12.75" hidden="1" customHeight="1" outlineLevel="3">
      <c r="B159" s="143" t="s">
        <v>2180</v>
      </c>
      <c r="C159" s="144"/>
      <c r="D159" s="212">
        <f>J159</f>
        <v>0</v>
      </c>
      <c r="E159" s="212"/>
      <c r="F159" s="392"/>
      <c r="G159" s="120"/>
      <c r="H159" s="335">
        <f>VLOOKUP($B159&amp;"; "&amp;$H$155,'FE Intrants'!$G:$U,9,FALSE)</f>
        <v>3.67</v>
      </c>
      <c r="I159" s="120"/>
      <c r="J159" s="152">
        <f>IF(I159=0,0,G159*H159/I159)</f>
        <v>0</v>
      </c>
      <c r="Y159" s="319">
        <f>IF(AD159=0,AD159,AD159/J159)</f>
        <v>0</v>
      </c>
      <c r="Z159" s="121"/>
      <c r="AA159" s="820"/>
      <c r="AB159" s="820"/>
      <c r="AC159" s="820"/>
      <c r="AD159" s="152">
        <f t="shared" si="33"/>
        <v>0</v>
      </c>
      <c r="AG159" s="564"/>
      <c r="AH159" s="565">
        <f>D159</f>
        <v>0</v>
      </c>
      <c r="AI159" s="565"/>
      <c r="AJ159" s="565"/>
      <c r="AK159" s="565"/>
      <c r="AL159" s="565"/>
      <c r="AM159" s="565"/>
      <c r="AN159" s="565"/>
      <c r="AO159" s="1606"/>
      <c r="AP159" s="1607">
        <f>SUM(AH159:AN159)</f>
        <v>0</v>
      </c>
      <c r="AQ159" s="564"/>
      <c r="AR159" s="568"/>
      <c r="AS159" s="114"/>
      <c r="AT159" s="114"/>
      <c r="AU159" s="1575"/>
      <c r="AV159" s="892" t="str">
        <f>IF($G159="Oui",IF(AH159="","",AH159*$I159),"")</f>
        <v/>
      </c>
      <c r="AW159" s="892"/>
      <c r="AX159" s="892"/>
      <c r="AY159" s="892" t="str">
        <f>IF($G159="Oui",IF(AP159="","",AP159*$I159),"")</f>
        <v/>
      </c>
      <c r="AZ159" s="892"/>
      <c r="BA159" s="892" t="str">
        <f>IF($G159="Oui",IF(#REF!="","",#REF!*$I159),"")</f>
        <v/>
      </c>
      <c r="BB159" s="892"/>
      <c r="BC159" s="892"/>
      <c r="BD159" s="893">
        <f>SUM(AV159,AX159,AZ159,BB159)</f>
        <v>0</v>
      </c>
      <c r="BE159" s="891" t="str">
        <f t="shared" ref="BE159:BF161" si="34">IF($G159="Oui",IF(AQ159="","",AQ159*$I159),"")</f>
        <v/>
      </c>
      <c r="BF159" s="901" t="str">
        <f t="shared" si="34"/>
        <v/>
      </c>
      <c r="BG159" s="891" t="str">
        <f>IF($G159="Oui",IF(#REF!="","",#REF!*$I159),"")</f>
        <v/>
      </c>
      <c r="BH159" s="901" t="str">
        <f>IF($G159="Oui",IF(#REF!="","",#REF!*$I159),"")</f>
        <v/>
      </c>
      <c r="BJ159" s="1065">
        <f>IF($Z159&lt;&gt;"votre valeur :",IF(ISNA(VLOOKUP($Z159,Utilitaires!$N$566:$O$571,2,FALSE)),,VLOOKUP($Z159,Utilitaires!$N$566:$O$571,2,FALSE)),$AA159)</f>
        <v>0</v>
      </c>
      <c r="BK159" s="1130">
        <f>SQRT(SUMSQ(BJ159,VLOOKUP(B159&amp;"; "&amp;$H$155,'FE Intrants'!G:U,7,FALSE)))</f>
        <v>0.2</v>
      </c>
    </row>
    <row r="160" spans="2:64" ht="12.75" hidden="1" customHeight="1" outlineLevel="3">
      <c r="B160" s="143" t="s">
        <v>3097</v>
      </c>
      <c r="C160" s="144"/>
      <c r="D160" s="212">
        <f>J160</f>
        <v>0</v>
      </c>
      <c r="E160" s="212"/>
      <c r="F160" s="393"/>
      <c r="G160" s="123"/>
      <c r="H160" s="335">
        <f>VLOOKUP($B160&amp;"; "&amp;$H$155,'FE Intrants'!$G:$U,9,FALSE)</f>
        <v>0.40899999999999997</v>
      </c>
      <c r="I160" s="123"/>
      <c r="J160" s="152">
        <f>IF(I160=0,0,G160*H160/I160)</f>
        <v>0</v>
      </c>
      <c r="Y160" s="319">
        <f>IF(AD160=0,AD160,AD160/J160)</f>
        <v>0</v>
      </c>
      <c r="Z160" s="124"/>
      <c r="AA160" s="820"/>
      <c r="AB160" s="820"/>
      <c r="AC160" s="820"/>
      <c r="AD160" s="152">
        <f t="shared" si="33"/>
        <v>0</v>
      </c>
      <c r="AG160" s="564"/>
      <c r="AH160" s="565">
        <f>D160</f>
        <v>0</v>
      </c>
      <c r="AI160" s="565"/>
      <c r="AJ160" s="565"/>
      <c r="AK160" s="565"/>
      <c r="AL160" s="565"/>
      <c r="AM160" s="565"/>
      <c r="AN160" s="565"/>
      <c r="AO160" s="1606"/>
      <c r="AP160" s="1607">
        <f>SUM(AH160:AN160)</f>
        <v>0</v>
      </c>
      <c r="AQ160" s="564"/>
      <c r="AR160" s="568"/>
      <c r="AS160" s="114"/>
      <c r="AT160" s="114"/>
      <c r="AU160" s="1575"/>
      <c r="AV160" s="892" t="str">
        <f>IF($G160="Oui",IF(AH160="","",AH160*$I160),"")</f>
        <v/>
      </c>
      <c r="AW160" s="892"/>
      <c r="AX160" s="892"/>
      <c r="AY160" s="892" t="str">
        <f>IF($G160="Oui",IF(AP160="","",AP160*$I160),"")</f>
        <v/>
      </c>
      <c r="AZ160" s="892"/>
      <c r="BA160" s="892" t="str">
        <f>IF($G160="Oui",IF(#REF!="","",#REF!*$I160),"")</f>
        <v/>
      </c>
      <c r="BB160" s="892"/>
      <c r="BC160" s="892"/>
      <c r="BD160" s="893">
        <f>SUM(AV160,AX160,AZ160,BB160)</f>
        <v>0</v>
      </c>
      <c r="BE160" s="891" t="str">
        <f t="shared" si="34"/>
        <v/>
      </c>
      <c r="BF160" s="901" t="str">
        <f t="shared" si="34"/>
        <v/>
      </c>
      <c r="BG160" s="891" t="str">
        <f>IF($G160="Oui",IF(#REF!="","",#REF!*$I160),"")</f>
        <v/>
      </c>
      <c r="BH160" s="901" t="str">
        <f>IF($G160="Oui",IF(#REF!="","",#REF!*$I160),"")</f>
        <v/>
      </c>
      <c r="BJ160" s="1065">
        <f>IF($Z160&lt;&gt;"votre valeur :",IF(ISNA(VLOOKUP($Z160,Utilitaires!$N$566:$O$571,2,FALSE)),,VLOOKUP($Z160,Utilitaires!$N$566:$O$571,2,FALSE)),$AA160)</f>
        <v>0</v>
      </c>
      <c r="BK160" s="1130">
        <f>SQRT(SUMSQ(BJ160,VLOOKUP(B160&amp;"; "&amp;$H$155,'FE Intrants'!G:U,7,FALSE)))</f>
        <v>0.5</v>
      </c>
    </row>
    <row r="161" spans="2:63" ht="12.75" hidden="1" customHeight="1" outlineLevel="3">
      <c r="B161" s="143"/>
      <c r="C161" s="144"/>
      <c r="D161" s="213"/>
      <c r="E161" s="213"/>
      <c r="F161" s="144"/>
      <c r="G161" s="144"/>
      <c r="H161" s="144"/>
      <c r="I161" s="155"/>
      <c r="J161" s="145"/>
      <c r="Y161" s="143"/>
      <c r="Z161" s="144"/>
      <c r="AA161" s="144"/>
      <c r="AB161" s="820"/>
      <c r="AC161" s="820"/>
      <c r="AD161" s="168"/>
      <c r="AG161" s="564"/>
      <c r="AH161" s="565"/>
      <c r="AI161" s="620"/>
      <c r="AJ161" s="620"/>
      <c r="AK161" s="620"/>
      <c r="AL161" s="620"/>
      <c r="AM161" s="565"/>
      <c r="AN161" s="565"/>
      <c r="AO161" s="1606"/>
      <c r="AP161" s="567"/>
      <c r="AQ161" s="564"/>
      <c r="AR161" s="568"/>
      <c r="AS161" s="114"/>
      <c r="AT161" s="114"/>
      <c r="AU161" s="902"/>
      <c r="AV161" s="1581"/>
      <c r="AW161" s="1581"/>
      <c r="AX161" s="1581"/>
      <c r="AY161" s="1581" t="str">
        <f>IF($G161="Oui",IF(AP161="","",AP161*$I161),"")</f>
        <v/>
      </c>
      <c r="AZ161" s="1581"/>
      <c r="BA161" s="1581" t="str">
        <f>IF($G161="Oui",IF(#REF!="","",#REF!*$I161),"")</f>
        <v/>
      </c>
      <c r="BB161" s="1581"/>
      <c r="BC161" s="1581"/>
      <c r="BD161" s="1609"/>
      <c r="BE161" s="891" t="str">
        <f t="shared" si="34"/>
        <v/>
      </c>
      <c r="BF161" s="901" t="str">
        <f t="shared" si="34"/>
        <v/>
      </c>
      <c r="BG161" s="891" t="str">
        <f>IF($G161="Oui",IF(#REF!="","",#REF!*$I161),"")</f>
        <v/>
      </c>
      <c r="BH161" s="901"/>
      <c r="BJ161" s="1142"/>
      <c r="BK161" s="1143"/>
    </row>
    <row r="162" spans="2:63" hidden="1" outlineLevel="2">
      <c r="B162" s="196" t="s">
        <v>348</v>
      </c>
      <c r="C162" s="197"/>
      <c r="D162" s="214">
        <f>SUM(D157:D161)</f>
        <v>0</v>
      </c>
      <c r="E162" s="214"/>
      <c r="F162" s="199"/>
      <c r="G162" s="199"/>
      <c r="H162" s="199"/>
      <c r="I162" s="199"/>
      <c r="J162" s="200">
        <f>SUM(J157:J161)</f>
        <v>0</v>
      </c>
      <c r="Y162" s="1204">
        <f>IF(AD162=0,AD162,AD162/J162)</f>
        <v>0</v>
      </c>
      <c r="Z162" s="199"/>
      <c r="AA162" s="199"/>
      <c r="AB162" s="821"/>
      <c r="AC162" s="821"/>
      <c r="AD162" s="200">
        <f>SQRT(SUMSQ(AD157:AD161))</f>
        <v>0</v>
      </c>
      <c r="AG162" s="571"/>
      <c r="AH162" s="572">
        <f>SUM(AH157:AH161)</f>
        <v>0</v>
      </c>
      <c r="AI162" s="572"/>
      <c r="AJ162" s="572"/>
      <c r="AK162" s="572"/>
      <c r="AL162" s="572"/>
      <c r="AM162" s="572"/>
      <c r="AN162" s="572"/>
      <c r="AO162" s="573"/>
      <c r="AP162" s="573">
        <f>SUM(AP157:AP161)</f>
        <v>0</v>
      </c>
      <c r="AQ162" s="1082"/>
      <c r="AR162" s="575">
        <f>SUM(AR157:AR161)</f>
        <v>0</v>
      </c>
      <c r="AS162" s="114"/>
      <c r="AT162" s="114"/>
      <c r="AU162" s="1579"/>
      <c r="AV162" s="895">
        <f>SUM(AV157:AV161)</f>
        <v>0</v>
      </c>
      <c r="AW162" s="895"/>
      <c r="AX162" s="895"/>
      <c r="AY162" s="895"/>
      <c r="AZ162" s="895"/>
      <c r="BA162" s="895"/>
      <c r="BB162" s="895"/>
      <c r="BC162" s="895"/>
      <c r="BD162" s="898"/>
      <c r="BE162" s="894"/>
      <c r="BF162" s="896"/>
      <c r="BG162" s="894"/>
      <c r="BH162" s="896">
        <f>SUM(BH153:BH161)</f>
        <v>0</v>
      </c>
    </row>
    <row r="163" spans="2:63">
      <c r="AU163" s="441"/>
      <c r="AV163" s="441"/>
      <c r="AW163" s="441"/>
      <c r="AX163" s="441"/>
      <c r="AY163" s="441"/>
      <c r="AZ163" s="441"/>
      <c r="BA163" s="441"/>
      <c r="BB163" s="441"/>
      <c r="BC163" s="441"/>
      <c r="BD163" s="441"/>
      <c r="BE163" s="441"/>
      <c r="BF163" s="441"/>
    </row>
    <row r="164" spans="2:63" ht="15.6">
      <c r="B164" s="2652" t="s">
        <v>436</v>
      </c>
      <c r="C164" s="2653"/>
      <c r="D164" s="2653"/>
      <c r="E164" s="2653"/>
      <c r="F164" s="2653"/>
      <c r="G164" s="2653"/>
      <c r="H164" s="2653"/>
      <c r="I164" s="2653"/>
      <c r="J164" s="2653"/>
      <c r="K164" s="2653"/>
      <c r="L164" s="2653"/>
      <c r="M164" s="2653"/>
      <c r="N164" s="2653"/>
      <c r="O164" s="2654"/>
      <c r="AU164" s="441"/>
      <c r="AV164" s="441"/>
      <c r="AW164" s="441"/>
      <c r="AX164" s="441"/>
      <c r="AY164" s="441"/>
      <c r="AZ164" s="441"/>
      <c r="BA164" s="441"/>
      <c r="BB164" s="441"/>
      <c r="BC164" s="441"/>
      <c r="BD164" s="441"/>
      <c r="BE164" s="441"/>
      <c r="BF164" s="441"/>
    </row>
    <row r="165" spans="2:63" outlineLevel="1">
      <c r="AU165" s="441"/>
      <c r="AV165" s="441"/>
      <c r="AW165" s="441"/>
      <c r="AX165" s="441"/>
      <c r="AY165" s="441"/>
      <c r="AZ165" s="441"/>
      <c r="BA165" s="441"/>
      <c r="BB165" s="441"/>
      <c r="BC165" s="441"/>
      <c r="BD165" s="441"/>
      <c r="BE165" s="441"/>
      <c r="BF165" s="441"/>
    </row>
    <row r="166" spans="2:63" ht="12.75" customHeight="1" outlineLevel="1">
      <c r="B166" s="139" t="s">
        <v>581</v>
      </c>
      <c r="C166" s="140"/>
      <c r="D166" s="377"/>
      <c r="E166" s="1648"/>
      <c r="F166" s="141"/>
      <c r="G166" s="141"/>
      <c r="H166" s="141"/>
      <c r="I166" s="141"/>
      <c r="J166" s="142"/>
      <c r="Y166" s="2636" t="s">
        <v>366</v>
      </c>
      <c r="Z166" s="2637"/>
      <c r="AA166" s="2637"/>
      <c r="AB166" s="2637"/>
      <c r="AC166" s="2637"/>
      <c r="AD166" s="2638"/>
      <c r="AG166" s="2639" t="s">
        <v>441</v>
      </c>
      <c r="AH166" s="2640"/>
      <c r="AI166" s="2640"/>
      <c r="AJ166" s="2640"/>
      <c r="AK166" s="2640"/>
      <c r="AL166" s="2640"/>
      <c r="AM166" s="2640"/>
      <c r="AN166" s="2640"/>
      <c r="AO166" s="2640"/>
      <c r="AP166" s="2640"/>
      <c r="AQ166" s="2640"/>
      <c r="AR166" s="2641"/>
      <c r="AU166" s="2860" t="s">
        <v>771</v>
      </c>
      <c r="AV166" s="2861"/>
      <c r="AW166" s="2861"/>
      <c r="AX166" s="2861"/>
      <c r="AY166" s="2861"/>
      <c r="AZ166" s="2861"/>
      <c r="BA166" s="2861"/>
      <c r="BB166" s="2861"/>
      <c r="BC166" s="2861"/>
      <c r="BD166" s="2861"/>
      <c r="BE166" s="2861"/>
      <c r="BF166" s="2861"/>
      <c r="BG166" s="2861"/>
      <c r="BH166" s="2862"/>
    </row>
    <row r="167" spans="2:63" ht="12.75" customHeight="1" outlineLevel="2">
      <c r="B167" s="332"/>
      <c r="C167" s="167"/>
      <c r="D167" s="378" t="s">
        <v>308</v>
      </c>
      <c r="E167" s="1663"/>
      <c r="F167" s="144"/>
      <c r="G167" s="144"/>
      <c r="H167" s="144"/>
      <c r="I167" s="144"/>
      <c r="J167" s="145"/>
      <c r="Y167" s="1595"/>
      <c r="Z167" s="819"/>
      <c r="AA167" s="827"/>
      <c r="AB167" s="820"/>
      <c r="AC167" s="820"/>
      <c r="AD167" s="145"/>
      <c r="AG167" s="2642" t="s">
        <v>444</v>
      </c>
      <c r="AH167" s="2643"/>
      <c r="AI167" s="2643"/>
      <c r="AJ167" s="2643"/>
      <c r="AK167" s="2643"/>
      <c r="AL167" s="2643"/>
      <c r="AM167" s="2643"/>
      <c r="AN167" s="2643"/>
      <c r="AO167" s="2643" t="s">
        <v>444</v>
      </c>
      <c r="AP167" s="2644"/>
      <c r="AQ167" s="564"/>
      <c r="AR167" s="568"/>
      <c r="AU167" s="2863" t="s">
        <v>444</v>
      </c>
      <c r="AV167" s="2864"/>
      <c r="AW167" s="2864"/>
      <c r="AX167" s="2864"/>
      <c r="AY167" s="2864"/>
      <c r="AZ167" s="2864"/>
      <c r="BA167" s="2864"/>
      <c r="BB167" s="2864"/>
      <c r="BC167" s="2864" t="s">
        <v>444</v>
      </c>
      <c r="BD167" s="2865"/>
      <c r="BE167" s="1608"/>
      <c r="BF167" s="899"/>
      <c r="BG167" s="2863" t="s">
        <v>366</v>
      </c>
      <c r="BH167" s="2865"/>
      <c r="BJ167" s="2766" t="s">
        <v>1648</v>
      </c>
      <c r="BK167" s="2767"/>
    </row>
    <row r="168" spans="2:63" ht="12.75" customHeight="1" outlineLevel="2">
      <c r="B168" s="143"/>
      <c r="C168" s="144"/>
      <c r="D168" s="379" t="s">
        <v>409</v>
      </c>
      <c r="E168" s="1656"/>
      <c r="F168" s="147" t="s">
        <v>772</v>
      </c>
      <c r="G168" s="147" t="s">
        <v>193</v>
      </c>
      <c r="H168" s="379" t="s">
        <v>1585</v>
      </c>
      <c r="I168" s="147" t="s">
        <v>335</v>
      </c>
      <c r="J168" s="384" t="s">
        <v>444</v>
      </c>
      <c r="Y168" s="1595" t="s">
        <v>316</v>
      </c>
      <c r="Z168" s="1591" t="s">
        <v>530</v>
      </c>
      <c r="AA168" s="1592"/>
      <c r="AB168" s="820"/>
      <c r="AC168" s="820"/>
      <c r="AD168" s="1603" t="s">
        <v>444</v>
      </c>
      <c r="AG168" s="2631" t="s">
        <v>211</v>
      </c>
      <c r="AH168" s="2632"/>
      <c r="AI168" s="2632" t="s">
        <v>442</v>
      </c>
      <c r="AJ168" s="2632"/>
      <c r="AK168" s="2632" t="s">
        <v>267</v>
      </c>
      <c r="AL168" s="2632"/>
      <c r="AM168" s="2632" t="s">
        <v>443</v>
      </c>
      <c r="AN168" s="2632"/>
      <c r="AO168" s="2658" t="s">
        <v>327</v>
      </c>
      <c r="AP168" s="2659"/>
      <c r="AQ168" s="564"/>
      <c r="AR168" s="568"/>
      <c r="AU168" s="2866" t="s">
        <v>211</v>
      </c>
      <c r="AV168" s="2867"/>
      <c r="AW168" s="2867" t="s">
        <v>442</v>
      </c>
      <c r="AX168" s="2867"/>
      <c r="AY168" s="2867" t="s">
        <v>267</v>
      </c>
      <c r="AZ168" s="2867"/>
      <c r="BA168" s="2867" t="s">
        <v>443</v>
      </c>
      <c r="BB168" s="2867"/>
      <c r="BC168" s="2868" t="s">
        <v>327</v>
      </c>
      <c r="BD168" s="2869"/>
      <c r="BE168" s="2866" t="s">
        <v>636</v>
      </c>
      <c r="BF168" s="2870"/>
      <c r="BG168" s="2866" t="s">
        <v>444</v>
      </c>
      <c r="BH168" s="2870"/>
      <c r="BJ168" s="1597" t="s">
        <v>2167</v>
      </c>
      <c r="BK168" s="1604" t="s">
        <v>2187</v>
      </c>
    </row>
    <row r="169" spans="2:63" outlineLevel="2">
      <c r="B169" s="382"/>
      <c r="C169" s="379"/>
      <c r="D169" s="379" t="s">
        <v>444</v>
      </c>
      <c r="E169" s="1656"/>
      <c r="F169" s="149" t="str">
        <f>Descriptif!$D$4&amp;" ?"</f>
        <v>2022 ?</v>
      </c>
      <c r="G169" s="149" t="s">
        <v>241</v>
      </c>
      <c r="H169" s="379"/>
      <c r="I169" s="149" t="s">
        <v>336</v>
      </c>
      <c r="J169" s="384"/>
      <c r="Y169" s="1595" t="s">
        <v>1649</v>
      </c>
      <c r="Z169" s="1593"/>
      <c r="AA169" s="1594"/>
      <c r="AB169" s="820"/>
      <c r="AC169" s="820"/>
      <c r="AD169" s="1603"/>
      <c r="AG169" s="1605"/>
      <c r="AH169" s="1606"/>
      <c r="AI169" s="1606"/>
      <c r="AJ169" s="1606"/>
      <c r="AK169" s="1606"/>
      <c r="AL169" s="1606"/>
      <c r="AM169" s="1606"/>
      <c r="AN169" s="1606"/>
      <c r="AO169" s="565"/>
      <c r="AP169" s="565"/>
      <c r="AQ169" s="564"/>
      <c r="AR169" s="568" t="s">
        <v>636</v>
      </c>
      <c r="AU169" s="1575"/>
      <c r="AV169" s="1576"/>
      <c r="AW169" s="1576"/>
      <c r="AX169" s="1576"/>
      <c r="AY169" s="1576"/>
      <c r="AZ169" s="1576"/>
      <c r="BA169" s="1576"/>
      <c r="BB169" s="1576"/>
      <c r="BC169" s="1576"/>
      <c r="BD169" s="893"/>
      <c r="BE169" s="891" t="str">
        <f>IF($G169="Oui",IF(AQ169="","",AQ169*$I169),"")</f>
        <v/>
      </c>
      <c r="BF169" s="901" t="str">
        <f>IF($G169="Oui",IF(AR169="","",AR169*$I169),"")</f>
        <v/>
      </c>
      <c r="BG169" s="891" t="str">
        <f>IF($G169="Oui",IF(#REF!="","",#REF!*$I169),"")</f>
        <v/>
      </c>
      <c r="BH169" s="901"/>
      <c r="BJ169" s="1065"/>
      <c r="BK169" s="1130"/>
    </row>
    <row r="170" spans="2:63" outlineLevel="2">
      <c r="B170" s="143" t="s">
        <v>2437</v>
      </c>
      <c r="C170" s="144"/>
      <c r="D170" s="212">
        <f>J170</f>
        <v>6270</v>
      </c>
      <c r="E170" s="212"/>
      <c r="F170" s="391" t="s">
        <v>768</v>
      </c>
      <c r="G170" s="117">
        <v>11.4</v>
      </c>
      <c r="H170" s="219">
        <f>VLOOKUP($B170&amp;"; "&amp;$H$168,'FE Immobilisations'!$G:$U,9,FALSE)</f>
        <v>5500</v>
      </c>
      <c r="I170" s="117">
        <v>10</v>
      </c>
      <c r="J170" s="152">
        <f>IF(I170=0,0,G170*H170/I170)</f>
        <v>6270</v>
      </c>
      <c r="Y170" s="319">
        <f>IF(AD170=0,AD170,AD170/J170)</f>
        <v>0.5</v>
      </c>
      <c r="Z170" s="118"/>
      <c r="AA170" s="820"/>
      <c r="AB170" s="820"/>
      <c r="AC170" s="820"/>
      <c r="AD170" s="152">
        <f>D170*BK170</f>
        <v>3135</v>
      </c>
      <c r="AG170" s="564"/>
      <c r="AH170" s="565">
        <f>D170</f>
        <v>6270</v>
      </c>
      <c r="AI170" s="565"/>
      <c r="AJ170" s="565"/>
      <c r="AK170" s="565"/>
      <c r="AL170" s="565"/>
      <c r="AM170" s="565"/>
      <c r="AN170" s="565"/>
      <c r="AO170" s="1606"/>
      <c r="AP170" s="1607">
        <f>SUM(AH170:AN170)</f>
        <v>6270</v>
      </c>
      <c r="AQ170" s="564"/>
      <c r="AR170" s="568"/>
      <c r="AU170" s="1575"/>
      <c r="AV170" s="892" t="str">
        <f>IF($G170="Oui",IF(AH170="","",AH170*$I170),"")</f>
        <v/>
      </c>
      <c r="AW170" s="892"/>
      <c r="AX170" s="892"/>
      <c r="AY170" s="892"/>
      <c r="AZ170" s="892"/>
      <c r="BA170" s="892"/>
      <c r="BB170" s="892"/>
      <c r="BC170" s="892"/>
      <c r="BD170" s="893">
        <f>SUM(AV170,AX170,AZ170,BB170)</f>
        <v>0</v>
      </c>
      <c r="BE170" s="891" t="str">
        <f>IF($G170="Oui",IF(AQ170="","",AQ170*$I170),"")</f>
        <v/>
      </c>
      <c r="BF170" s="901" t="str">
        <f>IF($G170="Oui",IF(AR170="","",AR170*$I170),"")</f>
        <v/>
      </c>
      <c r="BG170" s="891" t="str">
        <f>IF($G170="Oui",IF(#REF!="","",#REF!*$I170),"")</f>
        <v/>
      </c>
      <c r="BH170" s="901" t="str">
        <f>IF($G170="Oui",IF(#REF!="","",#REF!*$I170),"")</f>
        <v/>
      </c>
      <c r="BJ170" s="1065">
        <f>IF($Z170&lt;&gt;"votre valeur :",IF(ISNA(VLOOKUP($Z170,Utilitaires!$N$566:$O$571,2,FALSE)),,VLOOKUP($Z170,Utilitaires!$N$566:$O$571,2,FALSE)),$AA170)</f>
        <v>0</v>
      </c>
      <c r="BK170" s="1130">
        <f>SQRT(SUMSQ(BJ170,VLOOKUP(B170&amp;"; "&amp;$H$168,'FE Immobilisations'!G:U,7,FALSE)))</f>
        <v>0.5</v>
      </c>
    </row>
    <row r="171" spans="2:63" outlineLevel="2">
      <c r="B171" s="143" t="s">
        <v>2436</v>
      </c>
      <c r="C171" s="144"/>
      <c r="D171" s="212">
        <f>J171</f>
        <v>10725</v>
      </c>
      <c r="E171" s="212"/>
      <c r="F171" s="392" t="s">
        <v>768</v>
      </c>
      <c r="G171" s="120">
        <v>19.5</v>
      </c>
      <c r="H171" s="219">
        <f>VLOOKUP($B171&amp;"; "&amp;$H$168,'FE Immobilisations'!$G:$U,9,FALSE)</f>
        <v>5500</v>
      </c>
      <c r="I171" s="120">
        <v>10</v>
      </c>
      <c r="J171" s="152">
        <f>IF(I171=0,0,G171*H171/I171)</f>
        <v>10725</v>
      </c>
      <c r="Y171" s="319">
        <f>IF(AD171=0,AD171,AD171/J171)</f>
        <v>0.5</v>
      </c>
      <c r="Z171" s="121"/>
      <c r="AA171" s="820"/>
      <c r="AB171" s="820"/>
      <c r="AC171" s="820"/>
      <c r="AD171" s="152">
        <f t="shared" ref="AD171:AD172" si="35">D171*BK171</f>
        <v>5362.5</v>
      </c>
      <c r="AG171" s="564"/>
      <c r="AH171" s="565">
        <f>D171</f>
        <v>10725</v>
      </c>
      <c r="AI171" s="565"/>
      <c r="AJ171" s="565"/>
      <c r="AK171" s="565"/>
      <c r="AL171" s="565"/>
      <c r="AM171" s="565"/>
      <c r="AN171" s="565"/>
      <c r="AO171" s="1606"/>
      <c r="AP171" s="1607">
        <f>SUM(AH171:AN171)</f>
        <v>10725</v>
      </c>
      <c r="AQ171" s="564"/>
      <c r="AR171" s="568"/>
      <c r="AU171" s="1575"/>
      <c r="AV171" s="892" t="str">
        <f>IF($G171="Oui",IF(AH171="","",AH171*$I171),"")</f>
        <v/>
      </c>
      <c r="AW171" s="892"/>
      <c r="AX171" s="892"/>
      <c r="AY171" s="892" t="str">
        <f>IF($G171="Oui",IF(AP171="","",AP171*$I171),"")</f>
        <v/>
      </c>
      <c r="AZ171" s="892"/>
      <c r="BA171" s="892" t="str">
        <f>IF($G171="Oui",IF(#REF!="","",#REF!*$I171),"")</f>
        <v/>
      </c>
      <c r="BB171" s="892"/>
      <c r="BC171" s="892"/>
      <c r="BD171" s="893">
        <f>SUM(AV171,AX171,AZ171,BB171)</f>
        <v>0</v>
      </c>
      <c r="BE171" s="891"/>
      <c r="BF171" s="901"/>
      <c r="BG171" s="891"/>
      <c r="BH171" s="901" t="str">
        <f>IF($G171="Oui",IF(#REF!="","",#REF!*$I171),"")</f>
        <v/>
      </c>
      <c r="BJ171" s="1065">
        <f>IF($Z171&lt;&gt;"votre valeur :",IF(ISNA(VLOOKUP($Z171,Utilitaires!$N$566:$O$571,2,FALSE)),,VLOOKUP($Z171,Utilitaires!$N$566:$O$571,2,FALSE)),$AA171)</f>
        <v>0</v>
      </c>
      <c r="BK171" s="1130">
        <f>SQRT(SUMSQ(BJ171,VLOOKUP(B171&amp;"; "&amp;$H$168,'FE Immobilisations'!G:U,7,FALSE)))</f>
        <v>0.5</v>
      </c>
    </row>
    <row r="172" spans="2:63" outlineLevel="2">
      <c r="B172" s="143" t="s">
        <v>5229</v>
      </c>
      <c r="C172" s="144"/>
      <c r="D172" s="212">
        <f>J172</f>
        <v>2745</v>
      </c>
      <c r="E172" s="212"/>
      <c r="F172" s="393" t="s">
        <v>768</v>
      </c>
      <c r="G172" s="123">
        <v>15</v>
      </c>
      <c r="H172" s="219">
        <f>VLOOKUP($B172&amp;"; "&amp;$H$168,'FE Immobilisations'!$G:$U,9,FALSE)</f>
        <v>1830</v>
      </c>
      <c r="I172" s="123">
        <v>10</v>
      </c>
      <c r="J172" s="152">
        <f>IF(I172=0,0,G172*H172/I172)</f>
        <v>2745</v>
      </c>
      <c r="Y172" s="319">
        <f>IF(AD172=0,AD172,AD172/J172)</f>
        <v>0.5</v>
      </c>
      <c r="Z172" s="124"/>
      <c r="AA172" s="820"/>
      <c r="AB172" s="820"/>
      <c r="AC172" s="820"/>
      <c r="AD172" s="152">
        <f t="shared" si="35"/>
        <v>1372.5</v>
      </c>
      <c r="AG172" s="564"/>
      <c r="AH172" s="565">
        <f>D172</f>
        <v>2745</v>
      </c>
      <c r="AI172" s="565"/>
      <c r="AJ172" s="565"/>
      <c r="AK172" s="565"/>
      <c r="AL172" s="565"/>
      <c r="AM172" s="565"/>
      <c r="AN172" s="565"/>
      <c r="AO172" s="1606"/>
      <c r="AP172" s="1607">
        <f>SUM(AH172:AN172)</f>
        <v>2745</v>
      </c>
      <c r="AQ172" s="564"/>
      <c r="AR172" s="568"/>
      <c r="AU172" s="1575"/>
      <c r="AV172" s="892" t="str">
        <f>IF($G173="Oui",IF(AH173="","",AH173*$I173),"")</f>
        <v/>
      </c>
      <c r="AW172" s="892"/>
      <c r="AX172" s="892"/>
      <c r="AY172" s="892" t="str">
        <f>IF($G173="Oui",IF(AP173="","",AP173*$I173),"")</f>
        <v/>
      </c>
      <c r="AZ172" s="892"/>
      <c r="BA172" s="892" t="str">
        <f>IF($G173="Oui",IF(#REF!="","",#REF!*$I173),"")</f>
        <v/>
      </c>
      <c r="BB172" s="892"/>
      <c r="BC172" s="892"/>
      <c r="BD172" s="893">
        <f>SUM(AV172,AX172,AZ172,BB172)</f>
        <v>0</v>
      </c>
      <c r="BE172" s="891" t="str">
        <f>IF($G173="Oui",IF(AQ173="","",AQ173*$I173),"")</f>
        <v/>
      </c>
      <c r="BF172" s="901" t="str">
        <f>IF($G173="Oui",IF(AR173="","",AR173*$I173),"")</f>
        <v/>
      </c>
      <c r="BG172" s="891" t="str">
        <f>IF($G173="Oui",IF(#REF!="","",#REF!*$I173),"")</f>
        <v/>
      </c>
      <c r="BH172" s="901" t="str">
        <f>IF($G173="Oui",IF(#REF!="","",#REF!*$I173),"")</f>
        <v/>
      </c>
      <c r="BJ172" s="1065">
        <f>IF($Z173&lt;&gt;"votre valeur :",IF(ISNA(VLOOKUP($Z173,Utilitaires!$N$566:$O$571,2,FALSE)),,VLOOKUP($Z173,Utilitaires!$N$566:$O$571,2,FALSE)),$AA173)</f>
        <v>0</v>
      </c>
      <c r="BK172" s="1130">
        <f>SQRT(SUMSQ(BJ172,VLOOKUP(B172&amp;"; "&amp;$H$168,'FE Immobilisations'!G:U,7,FALSE)))</f>
        <v>0.5</v>
      </c>
    </row>
    <row r="173" spans="2:63" outlineLevel="2">
      <c r="B173" s="143"/>
      <c r="C173" s="144"/>
      <c r="D173" s="221"/>
      <c r="E173" s="221"/>
      <c r="F173" s="164"/>
      <c r="G173" s="164"/>
      <c r="H173" s="144"/>
      <c r="I173" s="144"/>
      <c r="J173" s="145"/>
      <c r="Y173" s="143"/>
      <c r="Z173" s="144"/>
      <c r="AA173" s="144"/>
      <c r="AB173" s="820"/>
      <c r="AC173" s="820"/>
      <c r="AD173" s="168"/>
      <c r="AG173" s="564"/>
      <c r="AH173" s="565"/>
      <c r="AI173" s="620"/>
      <c r="AJ173" s="620"/>
      <c r="AK173" s="620"/>
      <c r="AL173" s="620"/>
      <c r="AM173" s="565"/>
      <c r="AN173" s="565"/>
      <c r="AO173" s="1606"/>
      <c r="AP173" s="567"/>
      <c r="AQ173" s="564"/>
      <c r="AR173" s="568"/>
      <c r="AU173" s="902"/>
      <c r="AV173" s="1581"/>
      <c r="AW173" s="1581"/>
      <c r="AX173" s="1581"/>
      <c r="AY173" s="1581" t="str">
        <f>IF($G174="Oui",IF(AP174="","",AP174*$I174),"")</f>
        <v/>
      </c>
      <c r="AZ173" s="1581"/>
      <c r="BA173" s="1581" t="str">
        <f>IF($G174="Oui",IF(#REF!="","",#REF!*$I174),"")</f>
        <v/>
      </c>
      <c r="BB173" s="1581"/>
      <c r="BC173" s="1581"/>
      <c r="BD173" s="1609"/>
      <c r="BE173" s="891" t="str">
        <f>IF($G174="Oui",IF(AQ174="","",AQ174*$I174),"")</f>
        <v/>
      </c>
      <c r="BF173" s="901" t="str">
        <f>IF($G174="Oui",IF(AR174="","",AR174*$I174),"")</f>
        <v/>
      </c>
      <c r="BG173" s="891" t="str">
        <f>IF($G174="Oui",IF(#REF!="","",#REF!*$I174),"")</f>
        <v/>
      </c>
      <c r="BH173" s="901"/>
      <c r="BJ173" s="1142"/>
      <c r="BK173" s="1143"/>
    </row>
    <row r="174" spans="2:63" outlineLevel="1">
      <c r="B174" s="196" t="s">
        <v>348</v>
      </c>
      <c r="C174" s="197"/>
      <c r="D174" s="214">
        <f>SUM(D170:D173)</f>
        <v>19740</v>
      </c>
      <c r="E174" s="214"/>
      <c r="F174" s="203"/>
      <c r="G174" s="203"/>
      <c r="H174" s="199"/>
      <c r="I174" s="199"/>
      <c r="J174" s="200">
        <f>SUM(J170:J173)</f>
        <v>19740</v>
      </c>
      <c r="Y174" s="1204">
        <f>IF(AD174=0,AD174,AD174/J174)</f>
        <v>0.3222632640958385</v>
      </c>
      <c r="Z174" s="199"/>
      <c r="AA174" s="199"/>
      <c r="AB174" s="821"/>
      <c r="AC174" s="821"/>
      <c r="AD174" s="200">
        <f>SQRT(SUMSQ(AD170:AD173))</f>
        <v>6361.4768332518515</v>
      </c>
      <c r="AG174" s="571"/>
      <c r="AH174" s="572">
        <f>SUM(AH170:AH173)</f>
        <v>19740</v>
      </c>
      <c r="AI174" s="572"/>
      <c r="AJ174" s="572"/>
      <c r="AK174" s="572"/>
      <c r="AL174" s="572"/>
      <c r="AM174" s="572"/>
      <c r="AN174" s="572"/>
      <c r="AO174" s="573"/>
      <c r="AP174" s="573">
        <f>SUM(AP170:AP173)</f>
        <v>19740</v>
      </c>
      <c r="AQ174" s="1082"/>
      <c r="AR174" s="575">
        <f>SUM(AR170:AR173)</f>
        <v>0</v>
      </c>
      <c r="AU174" s="1579"/>
      <c r="AV174" s="895">
        <f>SUM(AV170:AV173)</f>
        <v>0</v>
      </c>
      <c r="AW174" s="895"/>
      <c r="AX174" s="895"/>
      <c r="AY174" s="895"/>
      <c r="AZ174" s="895"/>
      <c r="BA174" s="895"/>
      <c r="BB174" s="895"/>
      <c r="BC174" s="895"/>
      <c r="BD174" s="898"/>
      <c r="BE174" s="894"/>
      <c r="BF174" s="896"/>
      <c r="BG174" s="894"/>
      <c r="BH174" s="896">
        <f>SUM(BH166:BH173)</f>
        <v>0</v>
      </c>
    </row>
    <row r="175" spans="2:63" outlineLevel="1">
      <c r="D175" s="254"/>
      <c r="E175" s="254"/>
    </row>
    <row r="176" spans="2:63" ht="12.75" customHeight="1" outlineLevel="1" collapsed="1">
      <c r="B176" s="139" t="s">
        <v>582</v>
      </c>
      <c r="C176" s="140"/>
      <c r="D176" s="1598"/>
      <c r="E176" s="1648"/>
      <c r="F176" s="141"/>
      <c r="G176" s="141"/>
      <c r="H176" s="141"/>
      <c r="I176" s="141"/>
      <c r="J176" s="141"/>
      <c r="K176" s="141"/>
      <c r="L176" s="142"/>
      <c r="Y176" s="2636" t="s">
        <v>366</v>
      </c>
      <c r="Z176" s="2637"/>
      <c r="AA176" s="2637"/>
      <c r="AB176" s="2637"/>
      <c r="AC176" s="2637"/>
      <c r="AD176" s="2638"/>
      <c r="AG176" s="2639" t="s">
        <v>441</v>
      </c>
      <c r="AH176" s="2640"/>
      <c r="AI176" s="2640"/>
      <c r="AJ176" s="2640"/>
      <c r="AK176" s="2640"/>
      <c r="AL176" s="2640"/>
      <c r="AM176" s="2640"/>
      <c r="AN176" s="2640"/>
      <c r="AO176" s="2640"/>
      <c r="AP176" s="2640"/>
      <c r="AQ176" s="2640"/>
      <c r="AR176" s="2641"/>
      <c r="AU176" s="2860" t="s">
        <v>771</v>
      </c>
      <c r="AV176" s="2861"/>
      <c r="AW176" s="2861"/>
      <c r="AX176" s="2861"/>
      <c r="AY176" s="2861"/>
      <c r="AZ176" s="2861"/>
      <c r="BA176" s="2861"/>
      <c r="BB176" s="2861"/>
      <c r="BC176" s="2861"/>
      <c r="BD176" s="2861"/>
      <c r="BE176" s="2861"/>
      <c r="BF176" s="2861"/>
      <c r="BG176" s="2861"/>
      <c r="BH176" s="2862"/>
    </row>
    <row r="177" spans="2:64" ht="12.75" hidden="1" customHeight="1" outlineLevel="2">
      <c r="B177" s="332"/>
      <c r="C177" s="167"/>
      <c r="D177" s="1602" t="s">
        <v>308</v>
      </c>
      <c r="E177" s="1663"/>
      <c r="F177" s="155"/>
      <c r="G177" s="155"/>
      <c r="H177" s="144"/>
      <c r="I177" s="144"/>
      <c r="J177" s="144"/>
      <c r="K177" s="144"/>
      <c r="L177" s="145"/>
      <c r="Y177" s="298"/>
      <c r="Z177" s="819"/>
      <c r="AA177" s="827"/>
      <c r="AB177" s="820"/>
      <c r="AC177" s="820"/>
      <c r="AD177" s="145"/>
      <c r="AG177" s="2642" t="s">
        <v>444</v>
      </c>
      <c r="AH177" s="2643"/>
      <c r="AI177" s="2643"/>
      <c r="AJ177" s="2643"/>
      <c r="AK177" s="2643"/>
      <c r="AL177" s="2643"/>
      <c r="AM177" s="2643"/>
      <c r="AN177" s="2643"/>
      <c r="AO177" s="2643" t="s">
        <v>444</v>
      </c>
      <c r="AP177" s="2644"/>
      <c r="AQ177" s="564"/>
      <c r="AR177" s="568"/>
      <c r="AU177" s="2863" t="s">
        <v>444</v>
      </c>
      <c r="AV177" s="2864"/>
      <c r="AW177" s="2864"/>
      <c r="AX177" s="2864"/>
      <c r="AY177" s="2864"/>
      <c r="AZ177" s="2864"/>
      <c r="BA177" s="2864"/>
      <c r="BB177" s="2864"/>
      <c r="BC177" s="2864" t="s">
        <v>444</v>
      </c>
      <c r="BD177" s="2865"/>
      <c r="BE177" s="1608"/>
      <c r="BF177" s="899"/>
      <c r="BG177" s="2863" t="s">
        <v>366</v>
      </c>
      <c r="BH177" s="2865"/>
      <c r="BJ177" s="2616" t="s">
        <v>1648</v>
      </c>
      <c r="BK177" s="2617"/>
      <c r="BL177" s="2618"/>
    </row>
    <row r="178" spans="2:64" ht="12.75" hidden="1" customHeight="1" outlineLevel="2">
      <c r="B178" s="1595"/>
      <c r="C178" s="1596"/>
      <c r="D178" s="1596" t="s">
        <v>409</v>
      </c>
      <c r="E178" s="1656"/>
      <c r="F178" s="147" t="s">
        <v>772</v>
      </c>
      <c r="G178" s="147" t="s">
        <v>199</v>
      </c>
      <c r="H178" s="147" t="s">
        <v>119</v>
      </c>
      <c r="I178" s="2626" t="s">
        <v>1585</v>
      </c>
      <c r="J178" s="2627"/>
      <c r="K178" s="147" t="s">
        <v>335</v>
      </c>
      <c r="L178" s="1603" t="s">
        <v>444</v>
      </c>
      <c r="Y178" s="1595" t="s">
        <v>316</v>
      </c>
      <c r="Z178" s="1591" t="s">
        <v>530</v>
      </c>
      <c r="AA178" s="1592"/>
      <c r="AB178" s="820"/>
      <c r="AC178" s="820"/>
      <c r="AD178" s="1603" t="s">
        <v>444</v>
      </c>
      <c r="AG178" s="2631" t="s">
        <v>211</v>
      </c>
      <c r="AH178" s="2632"/>
      <c r="AI178" s="2632" t="s">
        <v>442</v>
      </c>
      <c r="AJ178" s="2632"/>
      <c r="AK178" s="2632" t="s">
        <v>267</v>
      </c>
      <c r="AL178" s="2632"/>
      <c r="AM178" s="2632" t="s">
        <v>443</v>
      </c>
      <c r="AN178" s="2632"/>
      <c r="AO178" s="2658" t="s">
        <v>327</v>
      </c>
      <c r="AP178" s="2659"/>
      <c r="AQ178" s="564"/>
      <c r="AR178" s="568"/>
      <c r="AU178" s="2866" t="s">
        <v>211</v>
      </c>
      <c r="AV178" s="2867"/>
      <c r="AW178" s="2867" t="s">
        <v>442</v>
      </c>
      <c r="AX178" s="2867"/>
      <c r="AY178" s="2867" t="s">
        <v>267</v>
      </c>
      <c r="AZ178" s="2867"/>
      <c r="BA178" s="2867" t="s">
        <v>443</v>
      </c>
      <c r="BB178" s="2867"/>
      <c r="BC178" s="2868" t="s">
        <v>327</v>
      </c>
      <c r="BD178" s="2869"/>
      <c r="BE178" s="2866" t="s">
        <v>636</v>
      </c>
      <c r="BF178" s="2870"/>
      <c r="BG178" s="2866" t="s">
        <v>444</v>
      </c>
      <c r="BH178" s="2870"/>
      <c r="BJ178" s="1597" t="s">
        <v>2167</v>
      </c>
      <c r="BK178" s="1604" t="s">
        <v>657</v>
      </c>
      <c r="BL178" s="1604" t="s">
        <v>120</v>
      </c>
    </row>
    <row r="179" spans="2:64" ht="12.75" hidden="1" customHeight="1" outlineLevel="2">
      <c r="B179" s="1595"/>
      <c r="C179" s="1596"/>
      <c r="D179" s="1596" t="s">
        <v>444</v>
      </c>
      <c r="E179" s="1656"/>
      <c r="F179" s="1599" t="str">
        <f>Descriptif!$D$4&amp;" ?"</f>
        <v>2022 ?</v>
      </c>
      <c r="G179" s="1599" t="s">
        <v>419</v>
      </c>
      <c r="H179" s="1599" t="s">
        <v>120</v>
      </c>
      <c r="I179" s="1596" t="s">
        <v>657</v>
      </c>
      <c r="J179" s="1596" t="s">
        <v>120</v>
      </c>
      <c r="K179" s="1599" t="s">
        <v>336</v>
      </c>
      <c r="L179" s="1603"/>
      <c r="Y179" s="1595" t="s">
        <v>1649</v>
      </c>
      <c r="Z179" s="1593"/>
      <c r="AA179" s="1594"/>
      <c r="AB179" s="820"/>
      <c r="AC179" s="820"/>
      <c r="AD179" s="162"/>
      <c r="AG179" s="1605"/>
      <c r="AH179" s="1606"/>
      <c r="AI179" s="1606"/>
      <c r="AJ179" s="1606"/>
      <c r="AK179" s="1606"/>
      <c r="AL179" s="1606"/>
      <c r="AM179" s="1606"/>
      <c r="AN179" s="1606"/>
      <c r="AO179" s="565"/>
      <c r="AP179" s="565"/>
      <c r="AQ179" s="564"/>
      <c r="AR179" s="568" t="s">
        <v>636</v>
      </c>
      <c r="AU179" s="1575"/>
      <c r="AV179" s="1576"/>
      <c r="AW179" s="1576"/>
      <c r="AX179" s="1576"/>
      <c r="AY179" s="1576"/>
      <c r="AZ179" s="1576"/>
      <c r="BA179" s="1576"/>
      <c r="BB179" s="1576"/>
      <c r="BC179" s="1576"/>
      <c r="BD179" s="893"/>
      <c r="BE179" s="891" t="str">
        <f>IF($F179="Oui",IF(AQ179="","",AQ179*$K179),"")</f>
        <v/>
      </c>
      <c r="BF179" s="901" t="str">
        <f>IF($F179="Oui",IF(AR179="","",AR179*$K179),"")</f>
        <v/>
      </c>
      <c r="BG179" s="891" t="str">
        <f>IF($F179="Oui",IF(#REF!="","",#REF!*$K179),"")</f>
        <v/>
      </c>
      <c r="BH179" s="901"/>
      <c r="BJ179" s="1065"/>
      <c r="BK179" s="1130"/>
      <c r="BL179" s="1130"/>
    </row>
    <row r="180" spans="2:64" ht="12.75" hidden="1" customHeight="1" outlineLevel="2">
      <c r="B180" s="143" t="s">
        <v>2163</v>
      </c>
      <c r="C180" s="144"/>
      <c r="D180" s="212">
        <f>L180</f>
        <v>0</v>
      </c>
      <c r="E180" s="212"/>
      <c r="F180" s="391"/>
      <c r="G180" s="117"/>
      <c r="H180" s="343"/>
      <c r="I180" s="219">
        <f>VLOOKUP($B180&amp;"; "&amp;$I$178&amp;" "&amp;I$179,'FE Intrants'!$G:$U,9,FALSE)</f>
        <v>2210</v>
      </c>
      <c r="J180" s="219">
        <f>VLOOKUP($B180&amp;"; "&amp;$I$178&amp;" "&amp;J$179,'FE Intrants'!$G:$U,9,FALSE)</f>
        <v>938</v>
      </c>
      <c r="K180" s="117"/>
      <c r="L180" s="152">
        <f>IF(K180=0,0,(G180*((1-H180)*I180+H180*J180))/K180)</f>
        <v>0</v>
      </c>
      <c r="Y180" s="319">
        <f>IF(AD180=0,AD180,AD180/L180)</f>
        <v>0</v>
      </c>
      <c r="Z180" s="118"/>
      <c r="AA180" s="820"/>
      <c r="AB180" s="820"/>
      <c r="AC180" s="820"/>
      <c r="AD180" s="152">
        <f>IF(L180=0,0,SQRT(SUMSQ(G180*(1-H180)*I180*BK180,G180*H180*J180*BL180))/K180)</f>
        <v>0</v>
      </c>
      <c r="AG180" s="564"/>
      <c r="AH180" s="565">
        <f>D180</f>
        <v>0</v>
      </c>
      <c r="AI180" s="565"/>
      <c r="AJ180" s="565"/>
      <c r="AK180" s="565"/>
      <c r="AL180" s="565"/>
      <c r="AM180" s="565"/>
      <c r="AN180" s="565"/>
      <c r="AO180" s="1606"/>
      <c r="AP180" s="1607">
        <f>SUM(AH180:AN180)</f>
        <v>0</v>
      </c>
      <c r="AQ180" s="564"/>
      <c r="AR180" s="568"/>
      <c r="AU180" s="1575"/>
      <c r="AV180" s="892" t="str">
        <f>IF($F180="Oui",IF(AH180="","",AH180*$K180),"")</f>
        <v/>
      </c>
      <c r="AW180" s="892"/>
      <c r="AX180" s="892"/>
      <c r="AY180" s="892"/>
      <c r="AZ180" s="892"/>
      <c r="BA180" s="892"/>
      <c r="BB180" s="892"/>
      <c r="BC180" s="892"/>
      <c r="BD180" s="893">
        <f>SUM(AV180,AX180,AZ180,BB180)</f>
        <v>0</v>
      </c>
      <c r="BE180" s="891" t="str">
        <f>IF($F180="Oui",IF(AQ180="","",AQ180*$K180),"")</f>
        <v/>
      </c>
      <c r="BF180" s="901" t="str">
        <f>IF($F180="Oui",IF(AR180="","",AR180*$K180),"")</f>
        <v/>
      </c>
      <c r="BG180" s="891" t="str">
        <f>IF($F180="Oui",IF(#REF!="","",#REF!*$K180),"")</f>
        <v/>
      </c>
      <c r="BH180" s="901" t="str">
        <f>IF($F180="Oui",IF(AD180="","",AD180*$K180),"")</f>
        <v/>
      </c>
      <c r="BJ180" s="1065">
        <f>IF($Z180&lt;&gt;"votre valeur :",IF(ISNA(VLOOKUP($Z180,Utilitaires!$N$566:$O$571,2,FALSE)),,VLOOKUP($Z180,Utilitaires!$N$566:$O$571,2,FALSE)),$AA180)</f>
        <v>0</v>
      </c>
      <c r="BK180" s="1130">
        <f>SQRT(SUMSQ(BJ180,VLOOKUP(B180&amp;"; "&amp;$I$178&amp;" "&amp;I$179,'FE Intrants'!G:U,7,FALSE)))</f>
        <v>0.1</v>
      </c>
      <c r="BL180" s="1130">
        <f>SQRT(SUMSQ(BJ180,VLOOKUP(B180&amp;"; "&amp;$I$178&amp;" "&amp;J$179,'FE Intrants'!G:U,7,FALSE)))</f>
        <v>0.1</v>
      </c>
    </row>
    <row r="181" spans="2:64" ht="12.75" hidden="1" customHeight="1" outlineLevel="2">
      <c r="B181" s="143" t="s">
        <v>2164</v>
      </c>
      <c r="C181" s="144"/>
      <c r="D181" s="212">
        <f>L181</f>
        <v>0</v>
      </c>
      <c r="E181" s="212"/>
      <c r="F181" s="392"/>
      <c r="G181" s="120"/>
      <c r="H181" s="344"/>
      <c r="I181" s="219">
        <f>VLOOKUP($B181&amp;"; "&amp;$I$178&amp;" "&amp;I$179,'FE Intrants'!$G:$U,9,FALSE)</f>
        <v>7800</v>
      </c>
      <c r="J181" s="219">
        <f>VLOOKUP($B181&amp;"; "&amp;$I$178&amp;" "&amp;J$179,'FE Intrants'!$G:$U,9,FALSE)</f>
        <v>562</v>
      </c>
      <c r="K181" s="120"/>
      <c r="L181" s="152">
        <f>IF(K181=0,0,(G181*((1-H181)*I181+H181*J181))/K181)</f>
        <v>0</v>
      </c>
      <c r="Y181" s="319">
        <f>IF(AD181=0,AD181,AD181/L181)</f>
        <v>0</v>
      </c>
      <c r="Z181" s="121"/>
      <c r="AA181" s="820"/>
      <c r="AB181" s="820"/>
      <c r="AC181" s="820"/>
      <c r="AD181" s="152">
        <f>IF(L181=0,0,SQRT(SUMSQ(G181*(1-H181)*I181*BK181,G181*H181*J181*BL181))/K181)</f>
        <v>0</v>
      </c>
      <c r="AG181" s="564"/>
      <c r="AH181" s="565">
        <f>D181</f>
        <v>0</v>
      </c>
      <c r="AI181" s="565"/>
      <c r="AJ181" s="565"/>
      <c r="AK181" s="565"/>
      <c r="AL181" s="565"/>
      <c r="AM181" s="565"/>
      <c r="AN181" s="565"/>
      <c r="AO181" s="1606"/>
      <c r="AP181" s="567">
        <f>L181</f>
        <v>0</v>
      </c>
      <c r="AQ181" s="564"/>
      <c r="AR181" s="568"/>
      <c r="AU181" s="1575"/>
      <c r="AV181" s="892" t="str">
        <f>IF($F181="Oui",IF(AH181="","",AH181*$K181),"")</f>
        <v/>
      </c>
      <c r="AW181" s="892"/>
      <c r="AX181" s="892"/>
      <c r="AY181" s="892" t="str">
        <f>IF($F181="Oui",IF(AP181="","",AP181*$K181),"")</f>
        <v/>
      </c>
      <c r="AZ181" s="892"/>
      <c r="BA181" s="892" t="str">
        <f>IF($F181="Oui",IF(AD181="","",AD181*$K181),"")</f>
        <v/>
      </c>
      <c r="BB181" s="892"/>
      <c r="BC181" s="892"/>
      <c r="BD181" s="893">
        <f>SUM(AV181,AX181,AZ181,BB181)</f>
        <v>0</v>
      </c>
      <c r="BE181" s="891"/>
      <c r="BF181" s="901"/>
      <c r="BG181" s="891"/>
      <c r="BH181" s="901" t="str">
        <f>IF($F181="Oui",IF(AD181="","",AD181*$K181),"")</f>
        <v/>
      </c>
      <c r="BJ181" s="1065">
        <f>IF($Z181&lt;&gt;"votre valeur :",IF(ISNA(VLOOKUP($Z181,Utilitaires!$N$566:$O$571,2,FALSE)),,VLOOKUP($Z181,Utilitaires!$N$566:$O$571,2,FALSE)),$AA181)</f>
        <v>0</v>
      </c>
      <c r="BK181" s="1130">
        <f>SQRT(SUMSQ(BJ181,VLOOKUP(B181&amp;"; "&amp;$I$178&amp;" "&amp;I$179,'FE Intrants'!G:U,7,FALSE)))</f>
        <v>0.3</v>
      </c>
      <c r="BL181" s="1130">
        <f>SQRT(SUMSQ(BJ181,VLOOKUP(B181&amp;"; "&amp;$I$178&amp;" "&amp;J$179,'FE Intrants'!G:U,7,FALSE)))</f>
        <v>0.3</v>
      </c>
    </row>
    <row r="182" spans="2:64" ht="12.75" hidden="1" customHeight="1" outlineLevel="2">
      <c r="B182" s="143" t="s">
        <v>2165</v>
      </c>
      <c r="C182" s="144"/>
      <c r="D182" s="212">
        <f>L182</f>
        <v>0</v>
      </c>
      <c r="E182" s="212"/>
      <c r="F182" s="392"/>
      <c r="G182" s="120"/>
      <c r="H182" s="344"/>
      <c r="I182" s="219">
        <f>VLOOKUP($B182&amp;"; "&amp;$I$178&amp;" "&amp;I$179,'FE Intrants'!$G:$U,9,FALSE)</f>
        <v>1450</v>
      </c>
      <c r="J182" s="219">
        <f>VLOOKUP($B182&amp;"; "&amp;$I$178&amp;" "&amp;J$179,'FE Intrants'!$G:$U,9,FALSE)</f>
        <v>1300</v>
      </c>
      <c r="K182" s="120"/>
      <c r="L182" s="152">
        <f>IF(K182=0,0,(G182*((1-H182)*I182+H182*J182))/K182)</f>
        <v>0</v>
      </c>
      <c r="Y182" s="319">
        <f>IF(AD182=0,AD182,AD182/L182)</f>
        <v>0</v>
      </c>
      <c r="Z182" s="121"/>
      <c r="AA182" s="820"/>
      <c r="AB182" s="820"/>
      <c r="AC182" s="820"/>
      <c r="AD182" s="152">
        <f>IF(L182=0,0,SQRT(SUMSQ(G182*(1-H182)*I182*BK182,G182*H182*J182*BL182))/K182)</f>
        <v>0</v>
      </c>
      <c r="AG182" s="564"/>
      <c r="AH182" s="565">
        <f>D182</f>
        <v>0</v>
      </c>
      <c r="AI182" s="565"/>
      <c r="AJ182" s="565"/>
      <c r="AK182" s="565"/>
      <c r="AL182" s="565"/>
      <c r="AM182" s="565"/>
      <c r="AN182" s="565"/>
      <c r="AO182" s="1606"/>
      <c r="AP182" s="567">
        <f>L182</f>
        <v>0</v>
      </c>
      <c r="AQ182" s="564"/>
      <c r="AR182" s="568"/>
      <c r="AU182" s="1575"/>
      <c r="AV182" s="892" t="str">
        <f>IF($F182="Oui",IF(AH182="","",AH182*$K182),"")</f>
        <v/>
      </c>
      <c r="AW182" s="892"/>
      <c r="AX182" s="892"/>
      <c r="AY182" s="892" t="str">
        <f>IF($F182="Oui",IF(AP182="","",AP182*$K182),"")</f>
        <v/>
      </c>
      <c r="AZ182" s="892"/>
      <c r="BA182" s="892" t="str">
        <f>IF($F182="Oui",IF(AD182="","",AD182*$K182),"")</f>
        <v/>
      </c>
      <c r="BB182" s="892"/>
      <c r="BC182" s="892"/>
      <c r="BD182" s="893">
        <f>SUM(AV182,AX182,AZ182,BB182)</f>
        <v>0</v>
      </c>
      <c r="BE182" s="891" t="str">
        <f t="shared" ref="BE182:BF184" si="36">IF($F182="Oui",IF(AQ182="","",AQ182*$K182),"")</f>
        <v/>
      </c>
      <c r="BF182" s="901" t="str">
        <f t="shared" si="36"/>
        <v/>
      </c>
      <c r="BG182" s="891" t="str">
        <f>IF($F182="Oui",IF(#REF!="","",#REF!*$K182),"")</f>
        <v/>
      </c>
      <c r="BH182" s="901" t="str">
        <f>IF($F182="Oui",IF(AD182="","",AD182*$K182),"")</f>
        <v/>
      </c>
      <c r="BJ182" s="1065">
        <f>IF($Z182&lt;&gt;"votre valeur :",IF(ISNA(VLOOKUP($Z182,Utilitaires!$N$566:$O$571,2,FALSE)),,VLOOKUP($Z182,Utilitaires!$N$566:$O$571,2,FALSE)),$AA182)</f>
        <v>0</v>
      </c>
      <c r="BK182" s="1130">
        <f>SQRT(SUMSQ(BJ182,VLOOKUP(B182&amp;"; "&amp;$I$178&amp;" "&amp;I$179,'FE Intrants'!G:U,7,FALSE)))</f>
        <v>0.5</v>
      </c>
      <c r="BL182" s="1130">
        <f>SQRT(SUMSQ(BJ182,VLOOKUP(B182&amp;"; "&amp;$I$178&amp;" "&amp;J$179,'FE Intrants'!G:U,7,FALSE)))</f>
        <v>0.5</v>
      </c>
    </row>
    <row r="183" spans="2:64" ht="12.75" hidden="1" customHeight="1" outlineLevel="2">
      <c r="B183" s="143" t="s">
        <v>2166</v>
      </c>
      <c r="C183" s="144"/>
      <c r="D183" s="212">
        <f>L183</f>
        <v>0</v>
      </c>
      <c r="E183" s="212"/>
      <c r="F183" s="393"/>
      <c r="G183" s="123"/>
      <c r="H183" s="345"/>
      <c r="I183" s="219">
        <f>VLOOKUP($B183&amp;"; "&amp;$I$178&amp;" "&amp;I$179,'FE Intrants'!$G:$U,9,FALSE)</f>
        <v>9170</v>
      </c>
      <c r="J183" s="219">
        <f>VLOOKUP($B183&amp;"; "&amp;$I$178&amp;" "&amp;J$179,'FE Intrants'!$G:$U,9,FALSE)</f>
        <v>9170</v>
      </c>
      <c r="K183" s="123"/>
      <c r="L183" s="152">
        <f>IF(K183=0,0,(G183*((1-H183)*I183+H183*J183))/K183)</f>
        <v>0</v>
      </c>
      <c r="Y183" s="319">
        <f>IF(AD183=0,AD183,AD183/L183)</f>
        <v>0</v>
      </c>
      <c r="Z183" s="124"/>
      <c r="AA183" s="820"/>
      <c r="AB183" s="820"/>
      <c r="AC183" s="820"/>
      <c r="AD183" s="152">
        <f>IF(L183=0,0,SQRT(SUMSQ(G183*(1-H183)*I183*BK183,G183*H183*J183*BL183))/K183)</f>
        <v>0</v>
      </c>
      <c r="AG183" s="564"/>
      <c r="AH183" s="565">
        <f>D183</f>
        <v>0</v>
      </c>
      <c r="AI183" s="565"/>
      <c r="AJ183" s="565"/>
      <c r="AK183" s="565"/>
      <c r="AL183" s="565"/>
      <c r="AM183" s="565"/>
      <c r="AN183" s="565"/>
      <c r="AO183" s="1606"/>
      <c r="AP183" s="567">
        <f>L183</f>
        <v>0</v>
      </c>
      <c r="AQ183" s="564"/>
      <c r="AR183" s="568"/>
      <c r="AU183" s="1575"/>
      <c r="AV183" s="892" t="str">
        <f>IF($F183="Oui",IF(AH183="","",AH183*$K183),"")</f>
        <v/>
      </c>
      <c r="AW183" s="892"/>
      <c r="AX183" s="892"/>
      <c r="AY183" s="892" t="str">
        <f>IF($F183="Oui",IF(AP183="","",AP183*$K183),"")</f>
        <v/>
      </c>
      <c r="AZ183" s="892"/>
      <c r="BA183" s="892" t="str">
        <f>IF($F183="Oui",IF(AD183="","",AD183*$K183),"")</f>
        <v/>
      </c>
      <c r="BB183" s="892"/>
      <c r="BC183" s="892"/>
      <c r="BD183" s="893">
        <f>SUM(AV183,AX183,AZ183,BB183)</f>
        <v>0</v>
      </c>
      <c r="BE183" s="891" t="str">
        <f t="shared" si="36"/>
        <v/>
      </c>
      <c r="BF183" s="901" t="str">
        <f t="shared" si="36"/>
        <v/>
      </c>
      <c r="BG183" s="891" t="str">
        <f>IF($F183="Oui",IF(#REF!="","",#REF!*$K183),"")</f>
        <v/>
      </c>
      <c r="BH183" s="901" t="str">
        <f>IF($F183="Oui",IF(AD183="","",AD183*$K183),"")</f>
        <v/>
      </c>
      <c r="BJ183" s="1065">
        <f>IF($Z183&lt;&gt;"votre valeur :",IF(ISNA(VLOOKUP($Z183,Utilitaires!$N$566:$O$571,2,FALSE)),,VLOOKUP($Z183,Utilitaires!$N$566:$O$571,2,FALSE)),$AA183)</f>
        <v>0</v>
      </c>
      <c r="BK183" s="1130">
        <f>SQRT(SUMSQ(BJ183,VLOOKUP(B183&amp;"; "&amp;$I$178&amp;" "&amp;I$179,'FE Intrants'!G:U,7,FALSE)))</f>
        <v>0.2</v>
      </c>
      <c r="BL183" s="1130">
        <f>SQRT(SUMSQ(BJ183,VLOOKUP(B183&amp;"; "&amp;$I$178&amp;" "&amp;J$179,'FE Intrants'!G:U,7,FALSE)))</f>
        <v>0.2</v>
      </c>
    </row>
    <row r="184" spans="2:64" ht="12.75" hidden="1" customHeight="1" outlineLevel="2">
      <c r="B184" s="143"/>
      <c r="C184" s="144"/>
      <c r="D184" s="213"/>
      <c r="E184" s="213"/>
      <c r="F184" s="144"/>
      <c r="G184" s="144"/>
      <c r="H184" s="144"/>
      <c r="I184" s="144"/>
      <c r="J184" s="155"/>
      <c r="K184" s="155"/>
      <c r="L184" s="145"/>
      <c r="Y184" s="143"/>
      <c r="Z184" s="144"/>
      <c r="AA184" s="144"/>
      <c r="AB184" s="820"/>
      <c r="AC184" s="820"/>
      <c r="AD184" s="152"/>
      <c r="AG184" s="564"/>
      <c r="AH184" s="565"/>
      <c r="AI184" s="620"/>
      <c r="AJ184" s="620"/>
      <c r="AK184" s="620"/>
      <c r="AL184" s="620"/>
      <c r="AM184" s="565"/>
      <c r="AN184" s="565"/>
      <c r="AO184" s="1606"/>
      <c r="AP184" s="567"/>
      <c r="AQ184" s="564"/>
      <c r="AR184" s="568"/>
      <c r="AU184" s="902"/>
      <c r="AV184" s="1581"/>
      <c r="AW184" s="1581"/>
      <c r="AX184" s="1581"/>
      <c r="AY184" s="1581" t="str">
        <f>IF($F184="Oui",IF(AP184="","",AP184*$K184),"")</f>
        <v/>
      </c>
      <c r="AZ184" s="1581"/>
      <c r="BA184" s="1581" t="str">
        <f>IF($F184="Oui",IF(AD184="","",AD184*$K184),"")</f>
        <v/>
      </c>
      <c r="BB184" s="1581"/>
      <c r="BC184" s="1581"/>
      <c r="BD184" s="1609"/>
      <c r="BE184" s="891" t="str">
        <f t="shared" si="36"/>
        <v/>
      </c>
      <c r="BF184" s="901" t="str">
        <f t="shared" si="36"/>
        <v/>
      </c>
      <c r="BG184" s="891" t="str">
        <f>IF($F184="Oui",IF(#REF!="","",#REF!*$K184),"")</f>
        <v/>
      </c>
      <c r="BH184" s="901"/>
      <c r="BJ184" s="1142"/>
      <c r="BK184" s="1143"/>
      <c r="BL184" s="1143"/>
    </row>
    <row r="185" spans="2:64" outlineLevel="1">
      <c r="B185" s="196" t="s">
        <v>348</v>
      </c>
      <c r="C185" s="197"/>
      <c r="D185" s="214">
        <f>SUM(D180:D184)</f>
        <v>0</v>
      </c>
      <c r="E185" s="214"/>
      <c r="F185" s="199"/>
      <c r="G185" s="199"/>
      <c r="H185" s="199"/>
      <c r="I185" s="199"/>
      <c r="J185" s="199"/>
      <c r="K185" s="199"/>
      <c r="L185" s="200">
        <f>SUM(L180:L184)</f>
        <v>0</v>
      </c>
      <c r="Y185" s="1204">
        <f>IF(AD185=0,AD185,AD185/L185)</f>
        <v>0</v>
      </c>
      <c r="Z185" s="199"/>
      <c r="AA185" s="199"/>
      <c r="AB185" s="821"/>
      <c r="AC185" s="821"/>
      <c r="AD185" s="200">
        <f>SQRT(SUMSQ(AD180:AD184))</f>
        <v>0</v>
      </c>
      <c r="AG185" s="571"/>
      <c r="AH185" s="572">
        <f>SUM(AH180:AH184)</f>
        <v>0</v>
      </c>
      <c r="AI185" s="572"/>
      <c r="AJ185" s="572"/>
      <c r="AK185" s="572"/>
      <c r="AL185" s="572"/>
      <c r="AM185" s="572"/>
      <c r="AN185" s="572"/>
      <c r="AO185" s="573"/>
      <c r="AP185" s="573">
        <f>SUM(AP180:AP184)</f>
        <v>0</v>
      </c>
      <c r="AQ185" s="1082"/>
      <c r="AR185" s="575">
        <f>SUM(AR180:AR184)</f>
        <v>0</v>
      </c>
      <c r="AU185" s="1579"/>
      <c r="AV185" s="895">
        <f>SUM(AV180:AV184)</f>
        <v>0</v>
      </c>
      <c r="AW185" s="895"/>
      <c r="AX185" s="895"/>
      <c r="AY185" s="895"/>
      <c r="AZ185" s="895"/>
      <c r="BA185" s="895"/>
      <c r="BB185" s="895"/>
      <c r="BC185" s="895"/>
      <c r="BD185" s="898"/>
      <c r="BE185" s="894"/>
      <c r="BF185" s="896"/>
      <c r="BG185" s="894"/>
      <c r="BH185" s="896">
        <f>SUM(BH176:BH184)</f>
        <v>0</v>
      </c>
    </row>
    <row r="186" spans="2:64" outlineLevel="1">
      <c r="AK186" s="114"/>
      <c r="AU186" s="441"/>
      <c r="AV186" s="441"/>
      <c r="AW186" s="441"/>
      <c r="AX186" s="441"/>
      <c r="AY186" s="441"/>
      <c r="AZ186" s="441"/>
      <c r="BA186" s="441"/>
      <c r="BB186" s="441"/>
      <c r="BC186" s="441"/>
      <c r="BD186" s="441"/>
      <c r="BE186" s="441"/>
      <c r="BF186" s="441"/>
    </row>
    <row r="187" spans="2:64" ht="12.75" customHeight="1" outlineLevel="1" collapsed="1">
      <c r="B187" s="139" t="s">
        <v>2438</v>
      </c>
      <c r="C187" s="140"/>
      <c r="D187" s="1598"/>
      <c r="E187" s="1648"/>
      <c r="F187" s="141"/>
      <c r="G187" s="141"/>
      <c r="H187" s="141"/>
      <c r="I187" s="141"/>
      <c r="J187" s="141"/>
      <c r="K187" s="141"/>
      <c r="L187" s="142"/>
      <c r="Y187" s="2636" t="s">
        <v>366</v>
      </c>
      <c r="Z187" s="2637"/>
      <c r="AA187" s="2637"/>
      <c r="AB187" s="2637"/>
      <c r="AC187" s="2637"/>
      <c r="AD187" s="2638"/>
      <c r="AG187" s="2639" t="s">
        <v>441</v>
      </c>
      <c r="AH187" s="2640"/>
      <c r="AI187" s="2640"/>
      <c r="AJ187" s="2640"/>
      <c r="AK187" s="2640"/>
      <c r="AL187" s="2640"/>
      <c r="AM187" s="2640"/>
      <c r="AN187" s="2640"/>
      <c r="AO187" s="2640"/>
      <c r="AP187" s="2640"/>
      <c r="AQ187" s="2640"/>
      <c r="AR187" s="2641"/>
      <c r="AS187" s="114"/>
      <c r="AT187" s="114"/>
      <c r="AU187" s="2860" t="s">
        <v>771</v>
      </c>
      <c r="AV187" s="2861"/>
      <c r="AW187" s="2861"/>
      <c r="AX187" s="2861"/>
      <c r="AY187" s="2861"/>
      <c r="AZ187" s="2861"/>
      <c r="BA187" s="2861"/>
      <c r="BB187" s="2861"/>
      <c r="BC187" s="2861"/>
      <c r="BD187" s="2861"/>
      <c r="BE187" s="2861"/>
      <c r="BF187" s="2861"/>
      <c r="BG187" s="2861"/>
      <c r="BH187" s="2862"/>
    </row>
    <row r="188" spans="2:64" ht="12.75" hidden="1" customHeight="1" outlineLevel="2">
      <c r="B188" s="332"/>
      <c r="C188" s="167"/>
      <c r="D188" s="1602" t="s">
        <v>308</v>
      </c>
      <c r="E188" s="1663"/>
      <c r="F188" s="155"/>
      <c r="G188" s="144"/>
      <c r="H188" s="144"/>
      <c r="I188" s="144"/>
      <c r="J188" s="144"/>
      <c r="K188" s="144"/>
      <c r="L188" s="145"/>
      <c r="Y188" s="298"/>
      <c r="Z188" s="819"/>
      <c r="AA188" s="827"/>
      <c r="AB188" s="820"/>
      <c r="AC188" s="820"/>
      <c r="AD188" s="145"/>
      <c r="AG188" s="2642" t="s">
        <v>444</v>
      </c>
      <c r="AH188" s="2643"/>
      <c r="AI188" s="2643"/>
      <c r="AJ188" s="2643"/>
      <c r="AK188" s="2643"/>
      <c r="AL188" s="2643"/>
      <c r="AM188" s="2643"/>
      <c r="AN188" s="2643"/>
      <c r="AO188" s="2643" t="s">
        <v>444</v>
      </c>
      <c r="AP188" s="2644"/>
      <c r="AQ188" s="564"/>
      <c r="AR188" s="568"/>
      <c r="AS188" s="114"/>
      <c r="AT188" s="114"/>
      <c r="AU188" s="2863" t="s">
        <v>444</v>
      </c>
      <c r="AV188" s="2864"/>
      <c r="AW188" s="2864"/>
      <c r="AX188" s="2864"/>
      <c r="AY188" s="2864"/>
      <c r="AZ188" s="2864"/>
      <c r="BA188" s="2864"/>
      <c r="BB188" s="2864"/>
      <c r="BC188" s="2864" t="s">
        <v>444</v>
      </c>
      <c r="BD188" s="2865"/>
      <c r="BE188" s="1608"/>
      <c r="BF188" s="899"/>
      <c r="BG188" s="2863" t="s">
        <v>366</v>
      </c>
      <c r="BH188" s="2865"/>
      <c r="BJ188" s="2616" t="s">
        <v>1648</v>
      </c>
      <c r="BK188" s="2617"/>
      <c r="BL188" s="2618"/>
    </row>
    <row r="189" spans="2:64" ht="12.75" hidden="1" customHeight="1" outlineLevel="2">
      <c r="B189" s="1595"/>
      <c r="C189" s="1596"/>
      <c r="D189" s="1596" t="s">
        <v>409</v>
      </c>
      <c r="E189" s="1656"/>
      <c r="F189" s="147" t="s">
        <v>772</v>
      </c>
      <c r="G189" s="147" t="s">
        <v>199</v>
      </c>
      <c r="H189" s="147" t="s">
        <v>119</v>
      </c>
      <c r="I189" s="2626" t="s">
        <v>1585</v>
      </c>
      <c r="J189" s="2627"/>
      <c r="K189" s="147" t="s">
        <v>335</v>
      </c>
      <c r="L189" s="1603" t="s">
        <v>444</v>
      </c>
      <c r="Y189" s="1595" t="s">
        <v>316</v>
      </c>
      <c r="Z189" s="1591" t="s">
        <v>530</v>
      </c>
      <c r="AA189" s="1592"/>
      <c r="AB189" s="820"/>
      <c r="AC189" s="820"/>
      <c r="AD189" s="1603" t="s">
        <v>444</v>
      </c>
      <c r="AG189" s="2631" t="s">
        <v>211</v>
      </c>
      <c r="AH189" s="2632"/>
      <c r="AI189" s="2632" t="s">
        <v>442</v>
      </c>
      <c r="AJ189" s="2632"/>
      <c r="AK189" s="2632" t="s">
        <v>267</v>
      </c>
      <c r="AL189" s="2632"/>
      <c r="AM189" s="2632" t="s">
        <v>443</v>
      </c>
      <c r="AN189" s="2632"/>
      <c r="AO189" s="2658" t="s">
        <v>327</v>
      </c>
      <c r="AP189" s="2659"/>
      <c r="AQ189" s="564"/>
      <c r="AR189" s="568"/>
      <c r="AS189" s="114"/>
      <c r="AT189" s="114"/>
      <c r="AU189" s="2866" t="s">
        <v>211</v>
      </c>
      <c r="AV189" s="2867"/>
      <c r="AW189" s="2867" t="s">
        <v>442</v>
      </c>
      <c r="AX189" s="2867"/>
      <c r="AY189" s="2867" t="s">
        <v>267</v>
      </c>
      <c r="AZ189" s="2867"/>
      <c r="BA189" s="2867" t="s">
        <v>443</v>
      </c>
      <c r="BB189" s="2867"/>
      <c r="BC189" s="2868" t="s">
        <v>327</v>
      </c>
      <c r="BD189" s="2869"/>
      <c r="BE189" s="2866" t="s">
        <v>636</v>
      </c>
      <c r="BF189" s="2870"/>
      <c r="BG189" s="2866" t="s">
        <v>444</v>
      </c>
      <c r="BH189" s="2870"/>
      <c r="BJ189" s="1597" t="s">
        <v>2167</v>
      </c>
      <c r="BK189" s="1604" t="s">
        <v>657</v>
      </c>
      <c r="BL189" s="1604" t="s">
        <v>120</v>
      </c>
    </row>
    <row r="190" spans="2:64" ht="12.75" hidden="1" customHeight="1" outlineLevel="2">
      <c r="B190" s="1595"/>
      <c r="C190" s="1596"/>
      <c r="D190" s="1596" t="s">
        <v>444</v>
      </c>
      <c r="E190" s="1656"/>
      <c r="F190" s="1599" t="str">
        <f>Descriptif!$D$4&amp;" ?"</f>
        <v>2022 ?</v>
      </c>
      <c r="G190" s="1599" t="s">
        <v>419</v>
      </c>
      <c r="H190" s="1599" t="s">
        <v>120</v>
      </c>
      <c r="I190" s="1596" t="s">
        <v>657</v>
      </c>
      <c r="J190" s="1596" t="s">
        <v>120</v>
      </c>
      <c r="K190" s="1599" t="s">
        <v>336</v>
      </c>
      <c r="L190" s="1603"/>
      <c r="Y190" s="1595" t="s">
        <v>1649</v>
      </c>
      <c r="Z190" s="1593"/>
      <c r="AA190" s="1594"/>
      <c r="AB190" s="820"/>
      <c r="AC190" s="820"/>
      <c r="AD190" s="1603"/>
      <c r="AG190" s="1605"/>
      <c r="AH190" s="1606"/>
      <c r="AI190" s="1606"/>
      <c r="AJ190" s="1606"/>
      <c r="AK190" s="1606"/>
      <c r="AL190" s="1606"/>
      <c r="AM190" s="1606"/>
      <c r="AN190" s="1606"/>
      <c r="AO190" s="565"/>
      <c r="AP190" s="565"/>
      <c r="AQ190" s="564"/>
      <c r="AR190" s="568" t="s">
        <v>636</v>
      </c>
      <c r="AS190" s="114"/>
      <c r="AT190" s="114"/>
      <c r="AU190" s="1575"/>
      <c r="AV190" s="1576"/>
      <c r="AW190" s="1576"/>
      <c r="AX190" s="1576"/>
      <c r="AY190" s="1576"/>
      <c r="AZ190" s="1576"/>
      <c r="BA190" s="1576"/>
      <c r="BB190" s="1576"/>
      <c r="BC190" s="1576"/>
      <c r="BD190" s="893"/>
      <c r="BE190" s="891" t="str">
        <f>IF($F190="Oui",IF(AQ190="","",AQ190*$K190),"")</f>
        <v/>
      </c>
      <c r="BF190" s="901" t="str">
        <f>IF($F190="Oui",IF(AR190="","",AR190*$K190),"")</f>
        <v/>
      </c>
      <c r="BG190" s="891" t="str">
        <f>IF($F190="Oui",IF(#REF!="","",#REF!*$K190),"")</f>
        <v/>
      </c>
      <c r="BH190" s="901"/>
      <c r="BJ190" s="1065"/>
      <c r="BK190" s="1130"/>
      <c r="BL190" s="1130"/>
    </row>
    <row r="191" spans="2:64" ht="12.75" hidden="1" customHeight="1" outlineLevel="2">
      <c r="B191" s="143" t="s">
        <v>2175</v>
      </c>
      <c r="C191" s="144"/>
      <c r="D191" s="212">
        <f>L191</f>
        <v>0</v>
      </c>
      <c r="E191" s="212"/>
      <c r="F191" s="391"/>
      <c r="G191" s="117"/>
      <c r="H191" s="343"/>
      <c r="I191" s="219">
        <f>VLOOKUP($B191&amp;"; "&amp;$I$189&amp;" "&amp;I$190,'FE Intrants'!$G:$U,9,FALSE)</f>
        <v>5500</v>
      </c>
      <c r="J191" s="219">
        <f>IF(ISNA(VLOOKUP($B191&amp;"; "&amp;$I$189&amp;" "&amp;J$190,'FE Intrants'!$G:$U,9,FALSE)),I191,VLOOKUP($B191&amp;"; "&amp;$I$189&amp;" "&amp;J$190,'FE Intrants'!$G:$U,9,FALSE))</f>
        <v>5500</v>
      </c>
      <c r="K191" s="117"/>
      <c r="L191" s="327">
        <f>IF(K191=0,0,G191*((1-H191)*I191+H191*J191)/K191)</f>
        <v>0</v>
      </c>
      <c r="Y191" s="319">
        <f>IF(AD191=0,AD191,AD191/L191)</f>
        <v>0</v>
      </c>
      <c r="Z191" s="118"/>
      <c r="AA191" s="820"/>
      <c r="AB191" s="820"/>
      <c r="AC191" s="820"/>
      <c r="AD191" s="152">
        <f>IF(L191=0,0,SQRT(SUMSQ(G191*(1-H191)*I191*BK191,G191*H191*J191*BL191))/K191)</f>
        <v>0</v>
      </c>
      <c r="AG191" s="564"/>
      <c r="AH191" s="565">
        <f>D191</f>
        <v>0</v>
      </c>
      <c r="AI191" s="565"/>
      <c r="AJ191" s="565"/>
      <c r="AK191" s="565"/>
      <c r="AL191" s="565"/>
      <c r="AM191" s="565"/>
      <c r="AN191" s="565"/>
      <c r="AO191" s="1606"/>
      <c r="AP191" s="1607">
        <f>SUM(AH191:AN191)</f>
        <v>0</v>
      </c>
      <c r="AQ191" s="564"/>
      <c r="AR191" s="568"/>
      <c r="AS191" s="114"/>
      <c r="AT191" s="114"/>
      <c r="AU191" s="1575"/>
      <c r="AV191" s="892" t="str">
        <f>IF($F191="Oui",IF(AH191="","",AH191*$K191),"")</f>
        <v/>
      </c>
      <c r="AW191" s="892"/>
      <c r="AX191" s="892"/>
      <c r="AY191" s="892"/>
      <c r="AZ191" s="892"/>
      <c r="BA191" s="892"/>
      <c r="BB191" s="892"/>
      <c r="BC191" s="892"/>
      <c r="BD191" s="893">
        <f>SUM(AV191,AX191,AZ191,BB191)</f>
        <v>0</v>
      </c>
      <c r="BE191" s="891" t="str">
        <f>IF($F191="Oui",IF(AQ191="","",AQ191*$K191),"")</f>
        <v/>
      </c>
      <c r="BF191" s="901" t="str">
        <f>IF($F191="Oui",IF(AR191="","",AR191*$K191),"")</f>
        <v/>
      </c>
      <c r="BG191" s="891" t="str">
        <f>IF($F191="Oui",IF(#REF!="","",#REF!*$K191),"")</f>
        <v/>
      </c>
      <c r="BH191" s="901" t="str">
        <f>IF($F191="Oui",IF(AD191="","",AD191*$K191),"")</f>
        <v/>
      </c>
      <c r="BJ191" s="1065">
        <f>IF($Z191&lt;&gt;"votre valeur :",IF(ISNA(VLOOKUP($Z191,Utilitaires!$N$566:$O$571,2,FALSE)),,VLOOKUP($Z191,Utilitaires!$N$566:$O$571,2,FALSE)),$AA191)</f>
        <v>0</v>
      </c>
      <c r="BK191" s="1130">
        <f>SQRT(SUMSQ(BJ191,VLOOKUP(B191&amp;"; "&amp;$I$189&amp;" "&amp;$I$190,'FE Intrants'!G:U,7,FALSE)))</f>
        <v>0.2</v>
      </c>
      <c r="BL191" s="1130">
        <f>IF(ISNA(VLOOKUP(B191&amp;"; "&amp;$I$189&amp;" "&amp;$J$190,'FE Intrants'!G:U,7,FALSE)),0,SQRT(SUMSQ(BJ191,VLOOKUP(B191&amp;"; "&amp;$I$189&amp;" "&amp;$J$190,'FE Intrants'!G:U,7,FALSE))))</f>
        <v>0.2</v>
      </c>
    </row>
    <row r="192" spans="2:64" ht="12.75" hidden="1" customHeight="1" outlineLevel="2">
      <c r="B192" s="143" t="s">
        <v>2174</v>
      </c>
      <c r="C192" s="144"/>
      <c r="D192" s="212">
        <f>L192</f>
        <v>0</v>
      </c>
      <c r="E192" s="212"/>
      <c r="F192" s="392"/>
      <c r="G192" s="120"/>
      <c r="H192" s="344"/>
      <c r="I192" s="219">
        <f>VLOOKUP($B192&amp;"; "&amp;$I$189&amp;" "&amp;I$190,'FE Intrants'!$G:$U,9,FALSE)</f>
        <v>7630</v>
      </c>
      <c r="J192" s="219">
        <f>IF(ISNA(VLOOKUP($B192&amp;"; "&amp;$I$189&amp;" "&amp;J$190,'FE Intrants'!$G:$U,9,FALSE)),I192,VLOOKUP($B192&amp;"; "&amp;$I$189&amp;" "&amp;J$190,'FE Intrants'!$G:$U,9,FALSE))</f>
        <v>7630</v>
      </c>
      <c r="K192" s="120"/>
      <c r="L192" s="327">
        <f>IF(K192=0,0,G192*((1-H192)*I192+H192*J192)/K192)</f>
        <v>0</v>
      </c>
      <c r="Y192" s="319">
        <f>IF(AD192=0,AD192,AD192/L192)</f>
        <v>0</v>
      </c>
      <c r="Z192" s="121"/>
      <c r="AA192" s="820"/>
      <c r="AB192" s="820"/>
      <c r="AC192" s="820"/>
      <c r="AD192" s="152">
        <f>IF(L192=0,0,SQRT(SUMSQ(G192*(1-H192)*I192*BK192,G192*H192*J192*BL192))/K192)</f>
        <v>0</v>
      </c>
      <c r="AG192" s="564"/>
      <c r="AH192" s="565">
        <f>D192</f>
        <v>0</v>
      </c>
      <c r="AI192" s="565"/>
      <c r="AJ192" s="565"/>
      <c r="AK192" s="565"/>
      <c r="AL192" s="565"/>
      <c r="AM192" s="565"/>
      <c r="AN192" s="565"/>
      <c r="AO192" s="1606"/>
      <c r="AP192" s="567">
        <f>L192</f>
        <v>0</v>
      </c>
      <c r="AQ192" s="564"/>
      <c r="AR192" s="568"/>
      <c r="AS192" s="114"/>
      <c r="AT192" s="114"/>
      <c r="AU192" s="1575"/>
      <c r="AV192" s="892" t="str">
        <f>IF($F192="Oui",IF(AH192="","",AH192*$K192),"")</f>
        <v/>
      </c>
      <c r="AW192" s="892"/>
      <c r="AX192" s="892"/>
      <c r="AY192" s="892" t="str">
        <f>IF($F192="Oui",IF(AP192="","",AP192*$K192),"")</f>
        <v/>
      </c>
      <c r="AZ192" s="892"/>
      <c r="BA192" s="892" t="str">
        <f>IF($F192="Oui",IF(AD192="","",AD192*$K192),"")</f>
        <v/>
      </c>
      <c r="BB192" s="892"/>
      <c r="BC192" s="892"/>
      <c r="BD192" s="893">
        <f>SUM(AV192,AX192,AZ192,BB192)</f>
        <v>0</v>
      </c>
      <c r="BE192" s="891"/>
      <c r="BF192" s="901"/>
      <c r="BG192" s="891"/>
      <c r="BH192" s="901" t="str">
        <f>IF($F192="Oui",IF(AD192="","",AD192*$K192),"")</f>
        <v/>
      </c>
      <c r="BJ192" s="1065">
        <f>IF($Z192&lt;&gt;"votre valeur :",IF(ISNA(VLOOKUP($Z192,Utilitaires!$N$566:$O$571,2,FALSE)),,VLOOKUP($Z192,Utilitaires!$N$566:$O$571,2,FALSE)),$AA192)</f>
        <v>0</v>
      </c>
      <c r="BK192" s="1130">
        <f>SQRT(SUMSQ(BJ192,VLOOKUP(B192&amp;"; "&amp;$I$189&amp;" "&amp;$I$190,'FE Intrants'!G:U,7,FALSE)))</f>
        <v>0.25</v>
      </c>
      <c r="BL192" s="1130">
        <f>IF(ISNA(VLOOKUP(B192&amp;"; "&amp;$I$189&amp;" "&amp;$J$190,'FE Intrants'!G:U,7,FALSE)),0,SQRT(SUMSQ(BJ192,VLOOKUP(B192&amp;"; "&amp;$I$189&amp;" "&amp;$J$190,'FE Intrants'!G:U,7,FALSE))))</f>
        <v>0</v>
      </c>
    </row>
    <row r="193" spans="2:64" ht="12.75" hidden="1" customHeight="1" outlineLevel="2">
      <c r="B193" s="143" t="s">
        <v>2176</v>
      </c>
      <c r="C193" s="144"/>
      <c r="D193" s="212">
        <f>L193</f>
        <v>0</v>
      </c>
      <c r="E193" s="212"/>
      <c r="F193" s="392"/>
      <c r="G193" s="120"/>
      <c r="H193" s="344"/>
      <c r="I193" s="219">
        <f>VLOOKUP($B193&amp;"; "&amp;$I$189&amp;" "&amp;I$190,'FE Intrants'!$G:$U,9,FALSE)</f>
        <v>2383</v>
      </c>
      <c r="J193" s="219">
        <f>IF(ISNA(VLOOKUP($B193&amp;"; "&amp;$I$189&amp;" "&amp;J$190,'FE Intrants'!$G:$U,9,FALSE)),I193,VLOOKUP($B193&amp;"; "&amp;$I$189&amp;" "&amp;J$190,'FE Intrants'!$G:$U,9,FALSE))</f>
        <v>202</v>
      </c>
      <c r="K193" s="120"/>
      <c r="L193" s="327">
        <f>IF(K193=0,0,G193*((1-H193)*I193+H193*J193)/K193)</f>
        <v>0</v>
      </c>
      <c r="Y193" s="319">
        <f>IF(AD193=0,AD193,AD193/L193)</f>
        <v>0</v>
      </c>
      <c r="Z193" s="121"/>
      <c r="AA193" s="820"/>
      <c r="AB193" s="820"/>
      <c r="AC193" s="820"/>
      <c r="AD193" s="152">
        <f>IF(L193=0,0,SQRT(SUMSQ(G193*(1-H193)*I193*BK193,G193*H193*J193*BL193))/K193)</f>
        <v>0</v>
      </c>
      <c r="AG193" s="564"/>
      <c r="AH193" s="565">
        <f>D193</f>
        <v>0</v>
      </c>
      <c r="AI193" s="565"/>
      <c r="AJ193" s="565"/>
      <c r="AK193" s="565"/>
      <c r="AL193" s="565"/>
      <c r="AM193" s="565"/>
      <c r="AN193" s="565"/>
      <c r="AO193" s="1606"/>
      <c r="AP193" s="567">
        <f>L193</f>
        <v>0</v>
      </c>
      <c r="AQ193" s="564"/>
      <c r="AR193" s="568"/>
      <c r="AS193" s="114"/>
      <c r="AT193" s="114"/>
      <c r="AU193" s="1575"/>
      <c r="AV193" s="892" t="str">
        <f>IF($F193="Oui",IF(AH193="","",AH193*$K193),"")</f>
        <v/>
      </c>
      <c r="AW193" s="892"/>
      <c r="AX193" s="892"/>
      <c r="AY193" s="892" t="str">
        <f>IF($F193="Oui",IF(AP193="","",AP193*$K193),"")</f>
        <v/>
      </c>
      <c r="AZ193" s="892"/>
      <c r="BA193" s="892" t="str">
        <f>IF($F193="Oui",IF(AD193="","",AD193*$K193),"")</f>
        <v/>
      </c>
      <c r="BB193" s="892"/>
      <c r="BC193" s="892"/>
      <c r="BD193" s="893">
        <f>SUM(AV193,AX193,AZ193,BB193)</f>
        <v>0</v>
      </c>
      <c r="BE193" s="891" t="str">
        <f t="shared" ref="BE193:BF195" si="37">IF($F193="Oui",IF(AQ193="","",AQ193*$K193),"")</f>
        <v/>
      </c>
      <c r="BF193" s="901" t="str">
        <f t="shared" si="37"/>
        <v/>
      </c>
      <c r="BG193" s="891" t="str">
        <f>IF($F193="Oui",IF(#REF!="","",#REF!*$K193),"")</f>
        <v/>
      </c>
      <c r="BH193" s="901" t="str">
        <f>IF($F193="Oui",IF(AD193="","",AD193*$K193),"")</f>
        <v/>
      </c>
      <c r="BJ193" s="1065">
        <f>IF($Z193&lt;&gt;"votre valeur :",IF(ISNA(VLOOKUP($Z193,Utilitaires!$N$566:$O$571,2,FALSE)),,VLOOKUP($Z193,Utilitaires!$N$566:$O$571,2,FALSE)),$AA193)</f>
        <v>0</v>
      </c>
      <c r="BK193" s="1130">
        <f>SQRT(SUMSQ(BJ193,VLOOKUP(B193&amp;"; "&amp;$I$189&amp;" "&amp;$I$190,'FE Intrants'!G:U,7,FALSE)))</f>
        <v>0.2</v>
      </c>
      <c r="BL193" s="1130">
        <f>IF(ISNA(VLOOKUP(B193&amp;"; "&amp;$I$189&amp;" "&amp;$J$190,'FE Intrants'!G:U,7,FALSE)),0,SQRT(SUMSQ(BJ193,VLOOKUP(B193&amp;"; "&amp;$I$189&amp;" "&amp;$J$190,'FE Intrants'!G:U,7,FALSE))))</f>
        <v>0.2</v>
      </c>
    </row>
    <row r="194" spans="2:64" ht="12.75" hidden="1" customHeight="1" outlineLevel="2">
      <c r="B194" s="143" t="s">
        <v>2177</v>
      </c>
      <c r="C194" s="144"/>
      <c r="D194" s="212">
        <f>L194</f>
        <v>0</v>
      </c>
      <c r="E194" s="212"/>
      <c r="F194" s="393"/>
      <c r="G194" s="123"/>
      <c r="H194" s="345"/>
      <c r="I194" s="219">
        <f>VLOOKUP($B194&amp;"; "&amp;$I$189&amp;" "&amp;I$190,'FE Intrants'!$G:$U,9,FALSE)</f>
        <v>1870</v>
      </c>
      <c r="J194" s="219">
        <f>IF(ISNA(VLOOKUP($B194&amp;"; "&amp;$I$189&amp;" "&amp;J$190,'FE Intrants'!$G:$U,9,FALSE)),I194,VLOOKUP($B194&amp;"; "&amp;$I$189&amp;" "&amp;J$190,'FE Intrants'!$G:$U,9,FALSE))</f>
        <v>403</v>
      </c>
      <c r="K194" s="123"/>
      <c r="L194" s="327">
        <f>IF(K194=0,0,G194*((1-H194)*I194+H194*J194)/K194)</f>
        <v>0</v>
      </c>
      <c r="Y194" s="319">
        <f>IF(AD194=0,AD194,AD194/L194)</f>
        <v>0</v>
      </c>
      <c r="Z194" s="124"/>
      <c r="AA194" s="820"/>
      <c r="AB194" s="820"/>
      <c r="AC194" s="820"/>
      <c r="AD194" s="152">
        <f>IF(L194=0,0,SQRT(SUMSQ(G194*(1-H194)*I194*BK194,G194*H194*J194*BL194))/K194)</f>
        <v>0</v>
      </c>
      <c r="AG194" s="564"/>
      <c r="AH194" s="565">
        <f>D194</f>
        <v>0</v>
      </c>
      <c r="AI194" s="565"/>
      <c r="AJ194" s="565"/>
      <c r="AK194" s="565"/>
      <c r="AL194" s="565"/>
      <c r="AM194" s="565"/>
      <c r="AN194" s="565"/>
      <c r="AO194" s="1606"/>
      <c r="AP194" s="567">
        <f>L194</f>
        <v>0</v>
      </c>
      <c r="AQ194" s="564"/>
      <c r="AR194" s="568"/>
      <c r="AS194" s="114"/>
      <c r="AT194" s="114"/>
      <c r="AU194" s="1575"/>
      <c r="AV194" s="892" t="str">
        <f>IF($F194="Oui",IF(AH194="","",AH194*$K194),"")</f>
        <v/>
      </c>
      <c r="AW194" s="892"/>
      <c r="AX194" s="892"/>
      <c r="AY194" s="892" t="str">
        <f>IF($F194="Oui",IF(AP194="","",AP194*$K194),"")</f>
        <v/>
      </c>
      <c r="AZ194" s="892"/>
      <c r="BA194" s="892" t="str">
        <f>IF($F194="Oui",IF(AD194="","",AD194*$K194),"")</f>
        <v/>
      </c>
      <c r="BB194" s="892"/>
      <c r="BC194" s="892"/>
      <c r="BD194" s="893">
        <f>SUM(AV194,AX194,AZ194,BB194)</f>
        <v>0</v>
      </c>
      <c r="BE194" s="891" t="str">
        <f t="shared" si="37"/>
        <v/>
      </c>
      <c r="BF194" s="901" t="str">
        <f t="shared" si="37"/>
        <v/>
      </c>
      <c r="BG194" s="891" t="str">
        <f>IF($F194="Oui",IF(#REF!="","",#REF!*$K194),"")</f>
        <v/>
      </c>
      <c r="BH194" s="901" t="str">
        <f>IF($F194="Oui",IF(AD194="","",AD194*$K194),"")</f>
        <v/>
      </c>
      <c r="BJ194" s="1065">
        <f>IF($Z194&lt;&gt;"votre valeur :",IF(ISNA(VLOOKUP($Z194,Utilitaires!$N$566:$O$571,2,FALSE)),,VLOOKUP($Z194,Utilitaires!$N$566:$O$571,2,FALSE)),$AA194)</f>
        <v>0</v>
      </c>
      <c r="BK194" s="1130">
        <f>SQRT(SUMSQ(BJ194,VLOOKUP(B194&amp;"; "&amp;$I$189&amp;" "&amp;$I$190,'FE Intrants'!G:U,7,FALSE)))</f>
        <v>0.2</v>
      </c>
      <c r="BL194" s="1130">
        <f>IF(ISNA(VLOOKUP(B194&amp;"; "&amp;$I$189&amp;" "&amp;$J$190,'FE Intrants'!G:U,7,FALSE)),0,SQRT(SUMSQ(BJ194,VLOOKUP(B194&amp;"; "&amp;$I$189&amp;" "&amp;$J$190,'FE Intrants'!G:U,7,FALSE))))</f>
        <v>0.2</v>
      </c>
    </row>
    <row r="195" spans="2:64" ht="12.75" hidden="1" customHeight="1" outlineLevel="2">
      <c r="B195" s="143"/>
      <c r="C195" s="144"/>
      <c r="D195" s="213"/>
      <c r="E195" s="213"/>
      <c r="F195" s="144"/>
      <c r="G195" s="144"/>
      <c r="H195" s="144"/>
      <c r="I195" s="144"/>
      <c r="J195" s="144"/>
      <c r="K195" s="155"/>
      <c r="L195" s="168"/>
      <c r="Y195" s="143"/>
      <c r="Z195" s="144"/>
      <c r="AA195" s="144"/>
      <c r="AB195" s="820"/>
      <c r="AC195" s="820"/>
      <c r="AD195" s="1603"/>
      <c r="AG195" s="564"/>
      <c r="AH195" s="565"/>
      <c r="AI195" s="620"/>
      <c r="AJ195" s="620"/>
      <c r="AK195" s="620"/>
      <c r="AL195" s="620"/>
      <c r="AM195" s="565"/>
      <c r="AN195" s="565"/>
      <c r="AO195" s="1606"/>
      <c r="AP195" s="567"/>
      <c r="AQ195" s="564"/>
      <c r="AR195" s="568"/>
      <c r="AS195" s="114"/>
      <c r="AT195" s="114"/>
      <c r="AU195" s="902"/>
      <c r="AV195" s="1581"/>
      <c r="AW195" s="1581"/>
      <c r="AX195" s="1581"/>
      <c r="AY195" s="1581" t="str">
        <f>IF($F195="Oui",IF(AP195="","",AP195*$K195),"")</f>
        <v/>
      </c>
      <c r="AZ195" s="1581"/>
      <c r="BA195" s="1581" t="str">
        <f>IF($F195="Oui",IF(AD195="","",AD195*$K195),"")</f>
        <v/>
      </c>
      <c r="BB195" s="1581"/>
      <c r="BC195" s="1581"/>
      <c r="BD195" s="1609"/>
      <c r="BE195" s="891" t="str">
        <f t="shared" si="37"/>
        <v/>
      </c>
      <c r="BF195" s="901" t="str">
        <f t="shared" si="37"/>
        <v/>
      </c>
      <c r="BG195" s="891" t="str">
        <f>IF($F195="Oui",IF(#REF!="","",#REF!*$K195),"")</f>
        <v/>
      </c>
      <c r="BH195" s="901"/>
      <c r="BJ195" s="1142"/>
      <c r="BK195" s="1143"/>
      <c r="BL195" s="1143"/>
    </row>
    <row r="196" spans="2:64" outlineLevel="1">
      <c r="B196" s="196" t="s">
        <v>348</v>
      </c>
      <c r="C196" s="197"/>
      <c r="D196" s="214">
        <f>SUM(D191:D195)</f>
        <v>0</v>
      </c>
      <c r="E196" s="214"/>
      <c r="F196" s="199"/>
      <c r="G196" s="199"/>
      <c r="H196" s="199"/>
      <c r="I196" s="199"/>
      <c r="J196" s="199"/>
      <c r="K196" s="199"/>
      <c r="L196" s="200">
        <f>SUM(L191:L195)</f>
        <v>0</v>
      </c>
      <c r="Y196" s="1204">
        <f>IF(AD196=0,AD196,AD196/L196)</f>
        <v>0</v>
      </c>
      <c r="Z196" s="199"/>
      <c r="AA196" s="199"/>
      <c r="AB196" s="821"/>
      <c r="AC196" s="821"/>
      <c r="AD196" s="200">
        <f>SQRT(SUMSQ(AD191:AD195))</f>
        <v>0</v>
      </c>
      <c r="AG196" s="571"/>
      <c r="AH196" s="572">
        <f>SUM(AH191:AH195)</f>
        <v>0</v>
      </c>
      <c r="AI196" s="572"/>
      <c r="AJ196" s="572"/>
      <c r="AK196" s="572"/>
      <c r="AL196" s="572"/>
      <c r="AM196" s="572"/>
      <c r="AN196" s="572"/>
      <c r="AO196" s="573"/>
      <c r="AP196" s="573">
        <f>SUM(AP191:AP195)</f>
        <v>0</v>
      </c>
      <c r="AQ196" s="1082"/>
      <c r="AR196" s="575">
        <f>SUM(AR191:AR195)</f>
        <v>0</v>
      </c>
      <c r="AS196" s="114"/>
      <c r="AT196" s="114"/>
      <c r="AU196" s="1579"/>
      <c r="AV196" s="895">
        <f>SUM(AV191:AV195)</f>
        <v>0</v>
      </c>
      <c r="AW196" s="895"/>
      <c r="AX196" s="895"/>
      <c r="AY196" s="895"/>
      <c r="AZ196" s="895"/>
      <c r="BA196" s="895"/>
      <c r="BB196" s="895"/>
      <c r="BC196" s="895"/>
      <c r="BD196" s="898"/>
      <c r="BE196" s="894"/>
      <c r="BF196" s="896"/>
      <c r="BG196" s="894"/>
      <c r="BH196" s="896">
        <f>SUM(BH187:BH195)</f>
        <v>0</v>
      </c>
    </row>
    <row r="197" spans="2:64" outlineLevel="1">
      <c r="L197" s="266"/>
      <c r="AK197" s="114"/>
      <c r="AU197" s="441"/>
      <c r="AV197" s="441"/>
      <c r="AW197" s="441"/>
      <c r="AX197" s="441"/>
      <c r="AY197" s="441"/>
      <c r="AZ197" s="441"/>
      <c r="BA197" s="441"/>
      <c r="BB197" s="441"/>
      <c r="BC197" s="441"/>
      <c r="BD197" s="441"/>
      <c r="BE197" s="441"/>
      <c r="BF197" s="441"/>
    </row>
    <row r="198" spans="2:64" ht="12.75" customHeight="1" outlineLevel="1" collapsed="1">
      <c r="B198" s="139" t="s">
        <v>2439</v>
      </c>
      <c r="C198" s="140"/>
      <c r="D198" s="1598"/>
      <c r="E198" s="1648"/>
      <c r="F198" s="141"/>
      <c r="G198" s="141"/>
      <c r="H198" s="141"/>
      <c r="I198" s="141"/>
      <c r="J198" s="142"/>
      <c r="Y198" s="2636" t="s">
        <v>366</v>
      </c>
      <c r="Z198" s="2637"/>
      <c r="AA198" s="2637"/>
      <c r="AB198" s="2637"/>
      <c r="AC198" s="2637"/>
      <c r="AD198" s="2638"/>
      <c r="AG198" s="2639" t="s">
        <v>441</v>
      </c>
      <c r="AH198" s="2640"/>
      <c r="AI198" s="2640"/>
      <c r="AJ198" s="2640"/>
      <c r="AK198" s="2640"/>
      <c r="AL198" s="2640"/>
      <c r="AM198" s="2640"/>
      <c r="AN198" s="2640"/>
      <c r="AO198" s="2640"/>
      <c r="AP198" s="2640"/>
      <c r="AQ198" s="2640"/>
      <c r="AR198" s="2641"/>
      <c r="AS198" s="114"/>
      <c r="AT198" s="114"/>
      <c r="AU198" s="2860" t="s">
        <v>771</v>
      </c>
      <c r="AV198" s="2861"/>
      <c r="AW198" s="2861"/>
      <c r="AX198" s="2861"/>
      <c r="AY198" s="2861"/>
      <c r="AZ198" s="2861"/>
      <c r="BA198" s="2861"/>
      <c r="BB198" s="2861"/>
      <c r="BC198" s="2861"/>
      <c r="BD198" s="2861"/>
      <c r="BE198" s="2861"/>
      <c r="BF198" s="2861"/>
      <c r="BG198" s="2861"/>
      <c r="BH198" s="2862"/>
    </row>
    <row r="199" spans="2:64" ht="12.75" hidden="1" customHeight="1" outlineLevel="2">
      <c r="B199" s="332"/>
      <c r="C199" s="167"/>
      <c r="D199" s="1602" t="s">
        <v>308</v>
      </c>
      <c r="E199" s="1663"/>
      <c r="F199" s="155"/>
      <c r="G199" s="144"/>
      <c r="H199" s="144"/>
      <c r="I199" s="144"/>
      <c r="J199" s="145"/>
      <c r="Y199" s="1595"/>
      <c r="Z199" s="819"/>
      <c r="AA199" s="827"/>
      <c r="AB199" s="820"/>
      <c r="AC199" s="820"/>
      <c r="AD199" s="145"/>
      <c r="AG199" s="2642" t="s">
        <v>444</v>
      </c>
      <c r="AH199" s="2643"/>
      <c r="AI199" s="2643"/>
      <c r="AJ199" s="2643"/>
      <c r="AK199" s="2643"/>
      <c r="AL199" s="2643"/>
      <c r="AM199" s="2643"/>
      <c r="AN199" s="2643"/>
      <c r="AO199" s="2643" t="s">
        <v>444</v>
      </c>
      <c r="AP199" s="2644"/>
      <c r="AQ199" s="564"/>
      <c r="AR199" s="568"/>
      <c r="AS199" s="114"/>
      <c r="AT199" s="114"/>
      <c r="AU199" s="2863" t="s">
        <v>444</v>
      </c>
      <c r="AV199" s="2864"/>
      <c r="AW199" s="2864"/>
      <c r="AX199" s="2864"/>
      <c r="AY199" s="2864"/>
      <c r="AZ199" s="2864"/>
      <c r="BA199" s="2864"/>
      <c r="BB199" s="2864"/>
      <c r="BC199" s="2864" t="s">
        <v>444</v>
      </c>
      <c r="BD199" s="2865"/>
      <c r="BE199" s="1608"/>
      <c r="BF199" s="899"/>
      <c r="BG199" s="2863" t="s">
        <v>366</v>
      </c>
      <c r="BH199" s="2865"/>
      <c r="BJ199" s="2766" t="s">
        <v>1648</v>
      </c>
      <c r="BK199" s="2767"/>
    </row>
    <row r="200" spans="2:64" ht="12.75" hidden="1" customHeight="1" outlineLevel="2">
      <c r="B200" s="1595"/>
      <c r="C200" s="1596"/>
      <c r="D200" s="1596" t="s">
        <v>409</v>
      </c>
      <c r="E200" s="1656"/>
      <c r="F200" s="147" t="s">
        <v>772</v>
      </c>
      <c r="G200" s="147" t="s">
        <v>1849</v>
      </c>
      <c r="H200" s="1596" t="s">
        <v>1572</v>
      </c>
      <c r="I200" s="147" t="s">
        <v>335</v>
      </c>
      <c r="J200" s="1603" t="s">
        <v>444</v>
      </c>
      <c r="Y200" s="1595" t="s">
        <v>316</v>
      </c>
      <c r="Z200" s="1591" t="s">
        <v>530</v>
      </c>
      <c r="AA200" s="1592"/>
      <c r="AB200" s="820"/>
      <c r="AC200" s="820"/>
      <c r="AD200" s="1603" t="s">
        <v>444</v>
      </c>
      <c r="AG200" s="2631" t="s">
        <v>211</v>
      </c>
      <c r="AH200" s="2632"/>
      <c r="AI200" s="2632" t="s">
        <v>442</v>
      </c>
      <c r="AJ200" s="2632"/>
      <c r="AK200" s="2632" t="s">
        <v>267</v>
      </c>
      <c r="AL200" s="2632"/>
      <c r="AM200" s="2632" t="s">
        <v>443</v>
      </c>
      <c r="AN200" s="2632"/>
      <c r="AO200" s="2658" t="s">
        <v>327</v>
      </c>
      <c r="AP200" s="2659"/>
      <c r="AQ200" s="564"/>
      <c r="AR200" s="568"/>
      <c r="AS200" s="114"/>
      <c r="AT200" s="114"/>
      <c r="AU200" s="2866" t="s">
        <v>211</v>
      </c>
      <c r="AV200" s="2867"/>
      <c r="AW200" s="2867" t="s">
        <v>442</v>
      </c>
      <c r="AX200" s="2867"/>
      <c r="AY200" s="2867" t="s">
        <v>267</v>
      </c>
      <c r="AZ200" s="2867"/>
      <c r="BA200" s="2867" t="s">
        <v>443</v>
      </c>
      <c r="BB200" s="2867"/>
      <c r="BC200" s="2868" t="s">
        <v>327</v>
      </c>
      <c r="BD200" s="2869"/>
      <c r="BE200" s="2866" t="s">
        <v>636</v>
      </c>
      <c r="BF200" s="2870"/>
      <c r="BG200" s="2866" t="s">
        <v>444</v>
      </c>
      <c r="BH200" s="2870"/>
      <c r="BJ200" s="1597" t="s">
        <v>2167</v>
      </c>
      <c r="BK200" s="1604" t="s">
        <v>2187</v>
      </c>
    </row>
    <row r="201" spans="2:64" ht="12.75" hidden="1" customHeight="1" outlineLevel="2">
      <c r="B201" s="1595"/>
      <c r="C201" s="1596"/>
      <c r="D201" s="1596" t="s">
        <v>444</v>
      </c>
      <c r="E201" s="1656"/>
      <c r="F201" s="1599" t="str">
        <f>Descriptif!$D$4&amp;" ?"</f>
        <v>2022 ?</v>
      </c>
      <c r="G201" s="1599" t="s">
        <v>2181</v>
      </c>
      <c r="H201" s="1596"/>
      <c r="I201" s="1599" t="s">
        <v>336</v>
      </c>
      <c r="J201" s="1603"/>
      <c r="Y201" s="1595" t="s">
        <v>1649</v>
      </c>
      <c r="Z201" s="1593"/>
      <c r="AA201" s="1594"/>
      <c r="AB201" s="820"/>
      <c r="AC201" s="820"/>
      <c r="AD201" s="1603"/>
      <c r="AG201" s="1605"/>
      <c r="AH201" s="1606"/>
      <c r="AI201" s="1606"/>
      <c r="AJ201" s="1606"/>
      <c r="AK201" s="1606"/>
      <c r="AL201" s="1606"/>
      <c r="AM201" s="1606"/>
      <c r="AN201" s="1606"/>
      <c r="AO201" s="565"/>
      <c r="AP201" s="565"/>
      <c r="AQ201" s="564"/>
      <c r="AR201" s="568" t="s">
        <v>636</v>
      </c>
      <c r="AS201" s="114"/>
      <c r="AT201" s="114"/>
      <c r="AU201" s="1575"/>
      <c r="AV201" s="1576"/>
      <c r="AW201" s="1576"/>
      <c r="AX201" s="1576"/>
      <c r="AY201" s="1576"/>
      <c r="AZ201" s="1576"/>
      <c r="BA201" s="1576"/>
      <c r="BB201" s="1576"/>
      <c r="BC201" s="1576"/>
      <c r="BD201" s="893"/>
      <c r="BE201" s="891" t="str">
        <f>IF($G201="Oui",IF(AQ201="","",AQ201*$I201),"")</f>
        <v/>
      </c>
      <c r="BF201" s="901" t="str">
        <f>IF($G201="Oui",IF(AR201="","",AR201*$I201),"")</f>
        <v/>
      </c>
      <c r="BG201" s="891" t="str">
        <f>IF($G201="Oui",IF(#REF!="","",#REF!*$I201),"")</f>
        <v/>
      </c>
      <c r="BH201" s="901"/>
      <c r="BJ201" s="1065"/>
      <c r="BK201" s="1130"/>
    </row>
    <row r="202" spans="2:64" ht="12.75" hidden="1" customHeight="1" outlineLevel="2">
      <c r="B202" s="143" t="s">
        <v>2178</v>
      </c>
      <c r="C202" s="144"/>
      <c r="D202" s="212">
        <f>J202</f>
        <v>0</v>
      </c>
      <c r="E202" s="212"/>
      <c r="F202" s="391"/>
      <c r="G202" s="117"/>
      <c r="H202" s="335">
        <f>VLOOKUP($B202&amp;"; "&amp;$H$200,'FE Intrants'!$G:$U,9,FALSE)</f>
        <v>2.13</v>
      </c>
      <c r="I202" s="117"/>
      <c r="J202" s="152">
        <f>IF(I202=0,0,G202*H202/I202)</f>
        <v>0</v>
      </c>
      <c r="Y202" s="319">
        <f>IF(AD202=0,AD202,AD202/J202)</f>
        <v>0</v>
      </c>
      <c r="Z202" s="118"/>
      <c r="AA202" s="820"/>
      <c r="AB202" s="820"/>
      <c r="AC202" s="820"/>
      <c r="AD202" s="152">
        <f>D202*BK202</f>
        <v>0</v>
      </c>
      <c r="AG202" s="564"/>
      <c r="AH202" s="565">
        <f>D202</f>
        <v>0</v>
      </c>
      <c r="AI202" s="565"/>
      <c r="AJ202" s="565"/>
      <c r="AK202" s="565"/>
      <c r="AL202" s="565"/>
      <c r="AM202" s="565"/>
      <c r="AN202" s="565"/>
      <c r="AO202" s="1606"/>
      <c r="AP202" s="1607">
        <f>SUM(AH202:AN202)</f>
        <v>0</v>
      </c>
      <c r="AQ202" s="564"/>
      <c r="AR202" s="568"/>
      <c r="AS202" s="114"/>
      <c r="AT202" s="114"/>
      <c r="AU202" s="1575"/>
      <c r="AV202" s="892" t="str">
        <f>IF($G202="Oui",IF(AH202="","",AH202*$I202),"")</f>
        <v/>
      </c>
      <c r="AW202" s="892"/>
      <c r="AX202" s="892"/>
      <c r="AY202" s="892"/>
      <c r="AZ202" s="892"/>
      <c r="BA202" s="892"/>
      <c r="BB202" s="892"/>
      <c r="BC202" s="892"/>
      <c r="BD202" s="893">
        <f>SUM(AV202,AX202,AZ202,BB202)</f>
        <v>0</v>
      </c>
      <c r="BE202" s="891" t="str">
        <f>IF($G202="Oui",IF(AQ202="","",AQ202*$I202),"")</f>
        <v/>
      </c>
      <c r="BF202" s="901" t="str">
        <f>IF($G202="Oui",IF(AR202="","",AR202*$I202),"")</f>
        <v/>
      </c>
      <c r="BG202" s="891" t="str">
        <f>IF($G202="Oui",IF(#REF!="","",#REF!*$I202),"")</f>
        <v/>
      </c>
      <c r="BH202" s="901" t="str">
        <f>IF($G202="Oui",IF(#REF!="","",#REF!*$I202),"")</f>
        <v/>
      </c>
      <c r="BJ202" s="1065">
        <f>IF($Z202&lt;&gt;"votre valeur :",IF(ISNA(VLOOKUP($Z202,Utilitaires!$N$566:$O$571,2,FALSE)),,VLOOKUP($Z202,Utilitaires!$N$566:$O$571,2,FALSE)),$AA202)</f>
        <v>0</v>
      </c>
      <c r="BK202" s="1130">
        <f>SQRT(SUMSQ(BJ202,VLOOKUP(B202&amp;"; "&amp;$H$200,'FE Intrants'!G:U,7,FALSE)))</f>
        <v>0.2</v>
      </c>
    </row>
    <row r="203" spans="2:64" ht="12.75" hidden="1" customHeight="1" outlineLevel="2">
      <c r="B203" s="143" t="s">
        <v>2179</v>
      </c>
      <c r="C203" s="144"/>
      <c r="D203" s="212">
        <f>J203</f>
        <v>0</v>
      </c>
      <c r="E203" s="212"/>
      <c r="F203" s="392"/>
      <c r="G203" s="120"/>
      <c r="H203" s="335">
        <f>VLOOKUP($B203&amp;"; "&amp;$H$200,'FE Intrants'!$G:$U,9,FALSE)</f>
        <v>2.13</v>
      </c>
      <c r="I203" s="120"/>
      <c r="J203" s="152">
        <f>IF(I203=0,0,G203*H203/I203)</f>
        <v>0</v>
      </c>
      <c r="Y203" s="319">
        <f>IF(AD203=0,AD203,AD203/J203)</f>
        <v>0</v>
      </c>
      <c r="Z203" s="121"/>
      <c r="AA203" s="820"/>
      <c r="AB203" s="820"/>
      <c r="AC203" s="820"/>
      <c r="AD203" s="152">
        <f>D203*BK203</f>
        <v>0</v>
      </c>
      <c r="AG203" s="564"/>
      <c r="AH203" s="565">
        <f>D203</f>
        <v>0</v>
      </c>
      <c r="AI203" s="565"/>
      <c r="AJ203" s="565"/>
      <c r="AK203" s="565"/>
      <c r="AL203" s="565"/>
      <c r="AM203" s="565"/>
      <c r="AN203" s="565"/>
      <c r="AO203" s="1606"/>
      <c r="AP203" s="1607">
        <f>SUM(AH203:AN203)</f>
        <v>0</v>
      </c>
      <c r="AQ203" s="564"/>
      <c r="AR203" s="568"/>
      <c r="AS203" s="114"/>
      <c r="AT203" s="114"/>
      <c r="AU203" s="1575"/>
      <c r="AV203" s="892" t="str">
        <f>IF($G203="Oui",IF(AH203="","",AH203*$I203),"")</f>
        <v/>
      </c>
      <c r="AW203" s="892"/>
      <c r="AX203" s="892"/>
      <c r="AY203" s="892" t="str">
        <f>IF($G203="Oui",IF(AP203="","",AP203*$I203),"")</f>
        <v/>
      </c>
      <c r="AZ203" s="892"/>
      <c r="BA203" s="892" t="str">
        <f>IF($G203="Oui",IF(#REF!="","",#REF!*$I203),"")</f>
        <v/>
      </c>
      <c r="BB203" s="892"/>
      <c r="BC203" s="892"/>
      <c r="BD203" s="893">
        <f>SUM(AV203,AX203,AZ203,BB203)</f>
        <v>0</v>
      </c>
      <c r="BE203" s="891"/>
      <c r="BF203" s="901"/>
      <c r="BG203" s="891"/>
      <c r="BH203" s="901" t="str">
        <f>IF($G203="Oui",IF(#REF!="","",#REF!*$I203),"")</f>
        <v/>
      </c>
      <c r="BJ203" s="1065">
        <f>IF($Z203&lt;&gt;"votre valeur :",IF(ISNA(VLOOKUP($Z203,Utilitaires!$N$566:$O$571,2,FALSE)),,VLOOKUP($Z203,Utilitaires!$N$566:$O$571,2,FALSE)),$AA203)</f>
        <v>0</v>
      </c>
      <c r="BK203" s="1130">
        <f>SQRT(SUMSQ(BJ203,VLOOKUP(B203&amp;"; "&amp;$H$200,'FE Intrants'!G:U,7,FALSE)))</f>
        <v>0.2</v>
      </c>
    </row>
    <row r="204" spans="2:64" ht="12.75" hidden="1" customHeight="1" outlineLevel="2">
      <c r="B204" s="143" t="s">
        <v>2180</v>
      </c>
      <c r="C204" s="144"/>
      <c r="D204" s="212">
        <f>J204</f>
        <v>0</v>
      </c>
      <c r="E204" s="212"/>
      <c r="F204" s="392"/>
      <c r="G204" s="120"/>
      <c r="H204" s="335">
        <f>VLOOKUP($B204&amp;"; "&amp;$H$200,'FE Intrants'!$G:$U,9,FALSE)</f>
        <v>3.67</v>
      </c>
      <c r="I204" s="120"/>
      <c r="J204" s="152">
        <f>IF(I204=0,0,G204*H204/I204)</f>
        <v>0</v>
      </c>
      <c r="Y204" s="319">
        <f>IF(AD204=0,AD204,AD204/J204)</f>
        <v>0</v>
      </c>
      <c r="Z204" s="121"/>
      <c r="AA204" s="820"/>
      <c r="AB204" s="820"/>
      <c r="AC204" s="820"/>
      <c r="AD204" s="152">
        <f>D204*BK204</f>
        <v>0</v>
      </c>
      <c r="AG204" s="564"/>
      <c r="AH204" s="565">
        <f>D204</f>
        <v>0</v>
      </c>
      <c r="AI204" s="565"/>
      <c r="AJ204" s="565"/>
      <c r="AK204" s="565"/>
      <c r="AL204" s="565"/>
      <c r="AM204" s="565"/>
      <c r="AN204" s="565"/>
      <c r="AO204" s="1606"/>
      <c r="AP204" s="1607">
        <f>SUM(AH204:AN204)</f>
        <v>0</v>
      </c>
      <c r="AQ204" s="564"/>
      <c r="AR204" s="568"/>
      <c r="AS204" s="114"/>
      <c r="AT204" s="114"/>
      <c r="AU204" s="1575"/>
      <c r="AV204" s="892" t="str">
        <f>IF($G204="Oui",IF(AH204="","",AH204*$I204),"")</f>
        <v/>
      </c>
      <c r="AW204" s="892"/>
      <c r="AX204" s="892"/>
      <c r="AY204" s="892" t="str">
        <f>IF($G204="Oui",IF(AP204="","",AP204*$I204),"")</f>
        <v/>
      </c>
      <c r="AZ204" s="892"/>
      <c r="BA204" s="892" t="str">
        <f>IF($G204="Oui",IF(#REF!="","",#REF!*$I204),"")</f>
        <v/>
      </c>
      <c r="BB204" s="892"/>
      <c r="BC204" s="892"/>
      <c r="BD204" s="893">
        <f>SUM(AV204,AX204,AZ204,BB204)</f>
        <v>0</v>
      </c>
      <c r="BE204" s="891" t="str">
        <f t="shared" ref="BE204:BF206" si="38">IF($G204="Oui",IF(AQ204="","",AQ204*$I204),"")</f>
        <v/>
      </c>
      <c r="BF204" s="901" t="str">
        <f t="shared" si="38"/>
        <v/>
      </c>
      <c r="BG204" s="891" t="str">
        <f>IF($G204="Oui",IF(#REF!="","",#REF!*$I204),"")</f>
        <v/>
      </c>
      <c r="BH204" s="901" t="str">
        <f>IF($G204="Oui",IF(#REF!="","",#REF!*$I204),"")</f>
        <v/>
      </c>
      <c r="BJ204" s="1065">
        <f>IF($Z204&lt;&gt;"votre valeur :",IF(ISNA(VLOOKUP($Z204,Utilitaires!$N$566:$O$571,2,FALSE)),,VLOOKUP($Z204,Utilitaires!$N$566:$O$571,2,FALSE)),$AA204)</f>
        <v>0</v>
      </c>
      <c r="BK204" s="1130">
        <f>SQRT(SUMSQ(BJ204,VLOOKUP(B204&amp;"; "&amp;$H$200,'FE Intrants'!G:U,7,FALSE)))</f>
        <v>0.2</v>
      </c>
    </row>
    <row r="205" spans="2:64" ht="12.75" hidden="1" customHeight="1" outlineLevel="2">
      <c r="B205" s="143" t="s">
        <v>3097</v>
      </c>
      <c r="C205" s="144"/>
      <c r="D205" s="212">
        <f>J205</f>
        <v>0</v>
      </c>
      <c r="E205" s="212"/>
      <c r="F205" s="393"/>
      <c r="G205" s="123"/>
      <c r="H205" s="335">
        <f>VLOOKUP($B205&amp;"; "&amp;$H$200,'FE Intrants'!$G:$U,9,FALSE)</f>
        <v>0.40899999999999997</v>
      </c>
      <c r="I205" s="123"/>
      <c r="J205" s="152">
        <f>IF(I205=0,0,G205*H205/I205)</f>
        <v>0</v>
      </c>
      <c r="Y205" s="319">
        <f>IF(AD205=0,AD205,AD205/J205)</f>
        <v>0</v>
      </c>
      <c r="Z205" s="124"/>
      <c r="AA205" s="820"/>
      <c r="AB205" s="820"/>
      <c r="AC205" s="820"/>
      <c r="AD205" s="152">
        <f>D205*BK205</f>
        <v>0</v>
      </c>
      <c r="AG205" s="564"/>
      <c r="AH205" s="565">
        <f>D205</f>
        <v>0</v>
      </c>
      <c r="AI205" s="565"/>
      <c r="AJ205" s="565"/>
      <c r="AK205" s="565"/>
      <c r="AL205" s="565"/>
      <c r="AM205" s="565"/>
      <c r="AN205" s="565"/>
      <c r="AO205" s="1606"/>
      <c r="AP205" s="1607">
        <f>SUM(AH205:AN205)</f>
        <v>0</v>
      </c>
      <c r="AQ205" s="564"/>
      <c r="AR205" s="568"/>
      <c r="AS205" s="114"/>
      <c r="AT205" s="114"/>
      <c r="AU205" s="1575"/>
      <c r="AV205" s="892" t="str">
        <f>IF($G205="Oui",IF(AH205="","",AH205*$I205),"")</f>
        <v/>
      </c>
      <c r="AW205" s="892"/>
      <c r="AX205" s="892"/>
      <c r="AY205" s="892" t="str">
        <f>IF($G205="Oui",IF(AP205="","",AP205*$I205),"")</f>
        <v/>
      </c>
      <c r="AZ205" s="892"/>
      <c r="BA205" s="892" t="str">
        <f>IF($G205="Oui",IF(#REF!="","",#REF!*$I205),"")</f>
        <v/>
      </c>
      <c r="BB205" s="892"/>
      <c r="BC205" s="892"/>
      <c r="BD205" s="893">
        <f>SUM(AV205,AX205,AZ205,BB205)</f>
        <v>0</v>
      </c>
      <c r="BE205" s="891" t="str">
        <f t="shared" si="38"/>
        <v/>
      </c>
      <c r="BF205" s="901" t="str">
        <f t="shared" si="38"/>
        <v/>
      </c>
      <c r="BG205" s="891" t="str">
        <f>IF($G205="Oui",IF(#REF!="","",#REF!*$I205),"")</f>
        <v/>
      </c>
      <c r="BH205" s="901" t="str">
        <f>IF($G205="Oui",IF(#REF!="","",#REF!*$I205),"")</f>
        <v/>
      </c>
      <c r="BJ205" s="1065">
        <f>IF($Z205&lt;&gt;"votre valeur :",IF(ISNA(VLOOKUP($Z205,Utilitaires!$N$566:$O$571,2,FALSE)),,VLOOKUP($Z205,Utilitaires!$N$566:$O$571,2,FALSE)),$AA205)</f>
        <v>0</v>
      </c>
      <c r="BK205" s="1130">
        <f>SQRT(SUMSQ(BJ205,VLOOKUP(B205&amp;"; "&amp;$H$200,'FE Intrants'!G:U,7,FALSE)))</f>
        <v>0.5</v>
      </c>
    </row>
    <row r="206" spans="2:64" ht="12.75" hidden="1" customHeight="1" outlineLevel="2">
      <c r="B206" s="143"/>
      <c r="C206" s="144"/>
      <c r="D206" s="213"/>
      <c r="E206" s="213"/>
      <c r="F206" s="144"/>
      <c r="G206" s="144"/>
      <c r="H206" s="144"/>
      <c r="I206" s="155"/>
      <c r="J206" s="145"/>
      <c r="Y206" s="143"/>
      <c r="Z206" s="144"/>
      <c r="AA206" s="144"/>
      <c r="AB206" s="820"/>
      <c r="AC206" s="820"/>
      <c r="AD206" s="168"/>
      <c r="AG206" s="564"/>
      <c r="AH206" s="565"/>
      <c r="AI206" s="620"/>
      <c r="AJ206" s="620"/>
      <c r="AK206" s="620"/>
      <c r="AL206" s="620"/>
      <c r="AM206" s="565"/>
      <c r="AN206" s="565"/>
      <c r="AO206" s="1606"/>
      <c r="AP206" s="567"/>
      <c r="AQ206" s="564"/>
      <c r="AR206" s="568"/>
      <c r="AS206" s="114"/>
      <c r="AT206" s="114"/>
      <c r="AU206" s="902"/>
      <c r="AV206" s="1581"/>
      <c r="AW206" s="1581"/>
      <c r="AX206" s="1581"/>
      <c r="AY206" s="1581" t="str">
        <f>IF($G206="Oui",IF(AP206="","",AP206*$I206),"")</f>
        <v/>
      </c>
      <c r="AZ206" s="1581"/>
      <c r="BA206" s="1581" t="str">
        <f>IF($G206="Oui",IF(#REF!="","",#REF!*$I206),"")</f>
        <v/>
      </c>
      <c r="BB206" s="1581"/>
      <c r="BC206" s="1581"/>
      <c r="BD206" s="1609"/>
      <c r="BE206" s="891" t="str">
        <f t="shared" si="38"/>
        <v/>
      </c>
      <c r="BF206" s="901" t="str">
        <f t="shared" si="38"/>
        <v/>
      </c>
      <c r="BG206" s="891" t="str">
        <f>IF($G206="Oui",IF(#REF!="","",#REF!*$I206),"")</f>
        <v/>
      </c>
      <c r="BH206" s="901"/>
      <c r="BJ206" s="1142"/>
      <c r="BK206" s="1143"/>
    </row>
    <row r="207" spans="2:64" outlineLevel="1">
      <c r="B207" s="196" t="s">
        <v>348</v>
      </c>
      <c r="C207" s="197"/>
      <c r="D207" s="214">
        <f>SUM(D202:D206)</f>
        <v>0</v>
      </c>
      <c r="E207" s="214"/>
      <c r="F207" s="199"/>
      <c r="G207" s="199"/>
      <c r="H207" s="199"/>
      <c r="I207" s="199"/>
      <c r="J207" s="200">
        <f>SUM(J202:J206)</f>
        <v>0</v>
      </c>
      <c r="Y207" s="1204">
        <f>IF(AD207=0,AD207,AD207/J207)</f>
        <v>0</v>
      </c>
      <c r="Z207" s="199"/>
      <c r="AA207" s="199"/>
      <c r="AB207" s="821"/>
      <c r="AC207" s="821"/>
      <c r="AD207" s="200">
        <f>SQRT(SUMSQ(AD202:AD206))</f>
        <v>0</v>
      </c>
      <c r="AG207" s="571"/>
      <c r="AH207" s="572">
        <f>SUM(AH202:AH206)</f>
        <v>0</v>
      </c>
      <c r="AI207" s="572"/>
      <c r="AJ207" s="572"/>
      <c r="AK207" s="572"/>
      <c r="AL207" s="572"/>
      <c r="AM207" s="572"/>
      <c r="AN207" s="572"/>
      <c r="AO207" s="573"/>
      <c r="AP207" s="573">
        <f>SUM(AP202:AP206)</f>
        <v>0</v>
      </c>
      <c r="AQ207" s="1082"/>
      <c r="AR207" s="575">
        <f>SUM(AR202:AR206)</f>
        <v>0</v>
      </c>
      <c r="AS207" s="114"/>
      <c r="AT207" s="114"/>
      <c r="AU207" s="1579"/>
      <c r="AV207" s="895">
        <f>SUM(AV202:AV206)</f>
        <v>0</v>
      </c>
      <c r="AW207" s="895"/>
      <c r="AX207" s="895"/>
      <c r="AY207" s="895"/>
      <c r="AZ207" s="895"/>
      <c r="BA207" s="895"/>
      <c r="BB207" s="895"/>
      <c r="BC207" s="895"/>
      <c r="BD207" s="898"/>
      <c r="BE207" s="894"/>
      <c r="BF207" s="896"/>
      <c r="BG207" s="894"/>
      <c r="BH207" s="896">
        <f>SUM(BH198:BH206)</f>
        <v>0</v>
      </c>
    </row>
    <row r="208" spans="2:64" outlineLevel="1">
      <c r="L208" s="266"/>
      <c r="AK208" s="114"/>
      <c r="AU208" s="441"/>
      <c r="AV208" s="441"/>
      <c r="AW208" s="441"/>
      <c r="AX208" s="441"/>
      <c r="AY208" s="441"/>
      <c r="AZ208" s="441"/>
      <c r="BA208" s="441"/>
      <c r="BB208" s="441"/>
      <c r="BC208" s="441"/>
      <c r="BD208" s="441"/>
      <c r="BE208" s="441"/>
      <c r="BF208" s="441"/>
    </row>
    <row r="209" spans="2:63" ht="12.75" customHeight="1" outlineLevel="1" collapsed="1">
      <c r="B209" s="139" t="s">
        <v>71</v>
      </c>
      <c r="C209" s="140"/>
      <c r="D209" s="1598"/>
      <c r="E209" s="1648"/>
      <c r="F209" s="141"/>
      <c r="G209" s="141"/>
      <c r="H209" s="141"/>
      <c r="I209" s="141"/>
      <c r="J209" s="142"/>
      <c r="Y209" s="2636" t="s">
        <v>366</v>
      </c>
      <c r="Z209" s="2637"/>
      <c r="AA209" s="2637"/>
      <c r="AB209" s="2637"/>
      <c r="AC209" s="2637"/>
      <c r="AD209" s="2638"/>
      <c r="AG209" s="2639" t="s">
        <v>441</v>
      </c>
      <c r="AH209" s="2640"/>
      <c r="AI209" s="2640"/>
      <c r="AJ209" s="2640"/>
      <c r="AK209" s="2640"/>
      <c r="AL209" s="2640"/>
      <c r="AM209" s="2640"/>
      <c r="AN209" s="2640"/>
      <c r="AO209" s="2640"/>
      <c r="AP209" s="2640"/>
      <c r="AQ209" s="2640"/>
      <c r="AR209" s="2641"/>
      <c r="AS209" s="114"/>
      <c r="AT209" s="114"/>
      <c r="AU209" s="2860" t="s">
        <v>771</v>
      </c>
      <c r="AV209" s="2861"/>
      <c r="AW209" s="2861"/>
      <c r="AX209" s="2861"/>
      <c r="AY209" s="2861"/>
      <c r="AZ209" s="2861"/>
      <c r="BA209" s="2861"/>
      <c r="BB209" s="2861"/>
      <c r="BC209" s="2861"/>
      <c r="BD209" s="2861"/>
      <c r="BE209" s="2861"/>
      <c r="BF209" s="2861"/>
      <c r="BG209" s="2861"/>
      <c r="BH209" s="2862"/>
    </row>
    <row r="210" spans="2:63" ht="12.75" hidden="1" customHeight="1" outlineLevel="2">
      <c r="B210" s="332"/>
      <c r="C210" s="167"/>
      <c r="D210" s="1602" t="s">
        <v>308</v>
      </c>
      <c r="E210" s="1663"/>
      <c r="F210" s="155"/>
      <c r="G210" s="155"/>
      <c r="H210" s="144"/>
      <c r="I210" s="144"/>
      <c r="J210" s="145"/>
      <c r="Y210" s="1595"/>
      <c r="Z210" s="819"/>
      <c r="AA210" s="827"/>
      <c r="AB210" s="820"/>
      <c r="AC210" s="820"/>
      <c r="AD210" s="145"/>
      <c r="AG210" s="2642" t="s">
        <v>444</v>
      </c>
      <c r="AH210" s="2643"/>
      <c r="AI210" s="2643"/>
      <c r="AJ210" s="2643"/>
      <c r="AK210" s="2643"/>
      <c r="AL210" s="2643"/>
      <c r="AM210" s="2643"/>
      <c r="AN210" s="2643"/>
      <c r="AO210" s="2643" t="s">
        <v>444</v>
      </c>
      <c r="AP210" s="2644"/>
      <c r="AQ210" s="564"/>
      <c r="AR210" s="568"/>
      <c r="AS210" s="114"/>
      <c r="AT210" s="114"/>
      <c r="AU210" s="2863" t="s">
        <v>444</v>
      </c>
      <c r="AV210" s="2864"/>
      <c r="AW210" s="2864"/>
      <c r="AX210" s="2864"/>
      <c r="AY210" s="2864"/>
      <c r="AZ210" s="2864"/>
      <c r="BA210" s="2864"/>
      <c r="BB210" s="2864"/>
      <c r="BC210" s="2864" t="s">
        <v>444</v>
      </c>
      <c r="BD210" s="2865"/>
      <c r="BE210" s="1608"/>
      <c r="BF210" s="899"/>
      <c r="BG210" s="2863" t="s">
        <v>366</v>
      </c>
      <c r="BH210" s="2865"/>
      <c r="BJ210" s="2766" t="s">
        <v>1648</v>
      </c>
      <c r="BK210" s="2767"/>
    </row>
    <row r="211" spans="2:63" ht="12.75" hidden="1" customHeight="1" outlineLevel="2">
      <c r="B211" s="143"/>
      <c r="C211" s="144"/>
      <c r="D211" s="1596" t="s">
        <v>409</v>
      </c>
      <c r="E211" s="1656"/>
      <c r="F211" s="147" t="s">
        <v>772</v>
      </c>
      <c r="G211" s="147" t="s">
        <v>567</v>
      </c>
      <c r="H211" s="1596" t="s">
        <v>2111</v>
      </c>
      <c r="I211" s="147" t="s">
        <v>335</v>
      </c>
      <c r="J211" s="1603" t="s">
        <v>444</v>
      </c>
      <c r="Y211" s="1595" t="s">
        <v>316</v>
      </c>
      <c r="Z211" s="2629" t="s">
        <v>530</v>
      </c>
      <c r="AA211" s="2630"/>
      <c r="AB211" s="820"/>
      <c r="AC211" s="820"/>
      <c r="AD211" s="1603" t="s">
        <v>444</v>
      </c>
      <c r="AG211" s="2631" t="s">
        <v>211</v>
      </c>
      <c r="AH211" s="2632"/>
      <c r="AI211" s="2632" t="s">
        <v>442</v>
      </c>
      <c r="AJ211" s="2632"/>
      <c r="AK211" s="2632" t="s">
        <v>267</v>
      </c>
      <c r="AL211" s="2632"/>
      <c r="AM211" s="2632" t="s">
        <v>443</v>
      </c>
      <c r="AN211" s="2632"/>
      <c r="AO211" s="2658" t="s">
        <v>327</v>
      </c>
      <c r="AP211" s="2659"/>
      <c r="AQ211" s="564"/>
      <c r="AR211" s="568"/>
      <c r="AS211" s="114"/>
      <c r="AT211" s="114"/>
      <c r="AU211" s="2866" t="s">
        <v>211</v>
      </c>
      <c r="AV211" s="2867"/>
      <c r="AW211" s="2867" t="s">
        <v>442</v>
      </c>
      <c r="AX211" s="2867"/>
      <c r="AY211" s="2867" t="s">
        <v>267</v>
      </c>
      <c r="AZ211" s="2867"/>
      <c r="BA211" s="2867" t="s">
        <v>443</v>
      </c>
      <c r="BB211" s="2867"/>
      <c r="BC211" s="2868" t="s">
        <v>327</v>
      </c>
      <c r="BD211" s="2869"/>
      <c r="BE211" s="2866" t="s">
        <v>636</v>
      </c>
      <c r="BF211" s="2870"/>
      <c r="BG211" s="2866" t="s">
        <v>444</v>
      </c>
      <c r="BH211" s="2870"/>
      <c r="BJ211" s="1597" t="s">
        <v>2167</v>
      </c>
      <c r="BK211" s="1604" t="s">
        <v>2187</v>
      </c>
    </row>
    <row r="212" spans="2:63" ht="12.75" hidden="1" customHeight="1" outlineLevel="2">
      <c r="B212" s="1595"/>
      <c r="C212" s="1596"/>
      <c r="D212" s="1596" t="s">
        <v>444</v>
      </c>
      <c r="E212" s="1656"/>
      <c r="F212" s="1599" t="str">
        <f>Descriptif!$D$4&amp;" ?"</f>
        <v>2022 ?</v>
      </c>
      <c r="G212" s="153" t="s">
        <v>270</v>
      </c>
      <c r="H212" s="1596"/>
      <c r="I212" s="1599" t="s">
        <v>336</v>
      </c>
      <c r="J212" s="1603"/>
      <c r="Y212" s="1595" t="s">
        <v>1649</v>
      </c>
      <c r="Z212" s="2646"/>
      <c r="AA212" s="2647"/>
      <c r="AB212" s="820"/>
      <c r="AC212" s="820"/>
      <c r="AD212" s="1603"/>
      <c r="AG212" s="1605"/>
      <c r="AH212" s="1606"/>
      <c r="AI212" s="1606"/>
      <c r="AJ212" s="1606"/>
      <c r="AK212" s="1606"/>
      <c r="AL212" s="1606"/>
      <c r="AM212" s="1606"/>
      <c r="AN212" s="1606"/>
      <c r="AO212" s="565"/>
      <c r="AP212" s="565"/>
      <c r="AQ212" s="564"/>
      <c r="AR212" s="568" t="s">
        <v>636</v>
      </c>
      <c r="AS212" s="114"/>
      <c r="AT212" s="114"/>
      <c r="AU212" s="1575"/>
      <c r="AV212" s="1576"/>
      <c r="AW212" s="1576"/>
      <c r="AX212" s="1576"/>
      <c r="AY212" s="1576"/>
      <c r="AZ212" s="1576"/>
      <c r="BA212" s="1576"/>
      <c r="BB212" s="1576"/>
      <c r="BC212" s="1576"/>
      <c r="BD212" s="893"/>
      <c r="BE212" s="891" t="str">
        <f>IF($G212="Oui",IF(AQ212="","",AQ212*$I212),"")</f>
        <v/>
      </c>
      <c r="BF212" s="901" t="str">
        <f>IF($G212="Oui",IF(AR212="","",AR212*$I212),"")</f>
        <v/>
      </c>
      <c r="BG212" s="891" t="str">
        <f>IF($G212="Oui",IF(#REF!="","",#REF!*$I212),"")</f>
        <v/>
      </c>
      <c r="BH212" s="901"/>
      <c r="BJ212" s="1065"/>
      <c r="BK212" s="1130"/>
    </row>
    <row r="213" spans="2:63" hidden="1" outlineLevel="2">
      <c r="B213" s="143" t="s">
        <v>2502</v>
      </c>
      <c r="C213" s="144"/>
      <c r="D213" s="212">
        <f>J213</f>
        <v>0</v>
      </c>
      <c r="E213" s="212"/>
      <c r="F213" s="391"/>
      <c r="G213" s="117"/>
      <c r="H213" s="335">
        <f>VLOOKUP($B213&amp;"; "&amp;$H$211,'FE Immobilisations'!$G:$U,9,FALSE)</f>
        <v>360</v>
      </c>
      <c r="I213" s="117"/>
      <c r="J213" s="152">
        <f>IF(I213=0,0,G213*H213/I213)</f>
        <v>0</v>
      </c>
      <c r="Y213" s="319">
        <f>IF(AD213=0,AD213,AD213/J213)</f>
        <v>0</v>
      </c>
      <c r="Z213" s="118" t="s">
        <v>1970</v>
      </c>
      <c r="AA213" s="820"/>
      <c r="AB213" s="820"/>
      <c r="AC213" s="820"/>
      <c r="AD213" s="152">
        <f>D213*BK213</f>
        <v>0</v>
      </c>
      <c r="AG213" s="564"/>
      <c r="AH213" s="565">
        <f>D213</f>
        <v>0</v>
      </c>
      <c r="AI213" s="565"/>
      <c r="AJ213" s="565"/>
      <c r="AK213" s="565"/>
      <c r="AL213" s="565"/>
      <c r="AM213" s="565"/>
      <c r="AN213" s="565"/>
      <c r="AO213" s="1606"/>
      <c r="AP213" s="1607">
        <f>SUM(AH213:AN213)</f>
        <v>0</v>
      </c>
      <c r="AQ213" s="564"/>
      <c r="AR213" s="568"/>
      <c r="AS213" s="114"/>
      <c r="AT213" s="114"/>
      <c r="AU213" s="1575"/>
      <c r="AV213" s="892" t="str">
        <f>IF($G213="Oui",IF(AH213="","",AH213*$I213),"")</f>
        <v/>
      </c>
      <c r="AW213" s="892"/>
      <c r="AX213" s="892"/>
      <c r="AY213" s="892"/>
      <c r="AZ213" s="892"/>
      <c r="BA213" s="892"/>
      <c r="BB213" s="892"/>
      <c r="BC213" s="892"/>
      <c r="BD213" s="893">
        <f>SUM(AV213,AX213,AZ213,BB213)</f>
        <v>0</v>
      </c>
      <c r="BE213" s="891" t="str">
        <f>IF($G213="Oui",IF(AQ213="","",AQ213*$I213),"")</f>
        <v/>
      </c>
      <c r="BF213" s="901" t="str">
        <f>IF($G213="Oui",IF(AR213="","",AR213*$I213),"")</f>
        <v/>
      </c>
      <c r="BG213" s="891" t="str">
        <f>IF($G213="Oui",IF(#REF!="","",#REF!*$I213),"")</f>
        <v/>
      </c>
      <c r="BH213" s="901" t="str">
        <f>IF($G213="Oui",IF(#REF!="","",#REF!*$I213),"")</f>
        <v/>
      </c>
      <c r="BJ213" s="1065">
        <f>IF($Z213&lt;&gt;"votre valeur :",IF(ISNA(VLOOKUP($Z213,Utilitaires!$N$566:$O$571,2,FALSE)),,VLOOKUP($Z213,Utilitaires!$N$566:$O$571,2,FALSE)),$AA213)</f>
        <v>0.5</v>
      </c>
      <c r="BK213" s="1130">
        <f>SQRT(SUMSQ(BJ213,VLOOKUP(B213&amp;"; "&amp;$H$211,'FE Intrants'!G:U,7,FALSE)))</f>
        <v>0.94339811320566047</v>
      </c>
    </row>
    <row r="214" spans="2:63" hidden="1" outlineLevel="2">
      <c r="B214" s="143" t="s">
        <v>2500</v>
      </c>
      <c r="C214" s="144"/>
      <c r="D214" s="212">
        <f>J214</f>
        <v>0</v>
      </c>
      <c r="E214" s="212"/>
      <c r="F214" s="392"/>
      <c r="G214" s="120"/>
      <c r="H214" s="335">
        <f>VLOOKUP($B214&amp;"; "&amp;$H$211,'FE Immobilisations'!$G:$U,9,FALSE)</f>
        <v>170</v>
      </c>
      <c r="I214" s="120"/>
      <c r="J214" s="152">
        <f>IF(I214=0,0,G214*H214/I214)</f>
        <v>0</v>
      </c>
      <c r="Y214" s="319">
        <f>IF(AD214=0,AD214,AD214/J214)</f>
        <v>0</v>
      </c>
      <c r="Z214" s="121"/>
      <c r="AA214" s="820"/>
      <c r="AB214" s="820"/>
      <c r="AC214" s="820"/>
      <c r="AD214" s="152">
        <f>D214*BK214</f>
        <v>0</v>
      </c>
      <c r="AG214" s="564"/>
      <c r="AH214" s="565">
        <f>D214</f>
        <v>0</v>
      </c>
      <c r="AI214" s="565"/>
      <c r="AJ214" s="565"/>
      <c r="AK214" s="565"/>
      <c r="AL214" s="565"/>
      <c r="AM214" s="565"/>
      <c r="AN214" s="565"/>
      <c r="AO214" s="1606"/>
      <c r="AP214" s="1607">
        <f>SUM(AH214:AN214)</f>
        <v>0</v>
      </c>
      <c r="AQ214" s="564"/>
      <c r="AR214" s="568"/>
      <c r="AS214" s="114"/>
      <c r="AT214" s="114"/>
      <c r="AU214" s="1575"/>
      <c r="AV214" s="892" t="str">
        <f>IF($G214="Oui",IF(AH214="","",AH214*$I214),"")</f>
        <v/>
      </c>
      <c r="AW214" s="892"/>
      <c r="AX214" s="892"/>
      <c r="AY214" s="892" t="str">
        <f>IF($G214="Oui",IF(AP214="","",AP214*$I214),"")</f>
        <v/>
      </c>
      <c r="AZ214" s="892"/>
      <c r="BA214" s="892" t="str">
        <f>IF($G214="Oui",IF(#REF!="","",#REF!*$I214),"")</f>
        <v/>
      </c>
      <c r="BB214" s="892"/>
      <c r="BC214" s="892"/>
      <c r="BD214" s="893">
        <f>SUM(AV214,AX214,AZ214,BB214)</f>
        <v>0</v>
      </c>
      <c r="BE214" s="891"/>
      <c r="BF214" s="901"/>
      <c r="BG214" s="891"/>
      <c r="BH214" s="901" t="str">
        <f>IF($G214="Oui",IF(#REF!="","",#REF!*$I214),"")</f>
        <v/>
      </c>
      <c r="BJ214" s="1065">
        <f>IF($Z214&lt;&gt;"votre valeur :",IF(ISNA(VLOOKUP($Z214,Utilitaires!$N$566:$O$571,2,FALSE)),,VLOOKUP($Z214,Utilitaires!$N$566:$O$571,2,FALSE)),$AA214)</f>
        <v>0</v>
      </c>
      <c r="BK214" s="1130">
        <f>SQRT(SUMSQ(BJ214,VLOOKUP(B214&amp;"; "&amp;$H$211,'FE Intrants'!G:U,7,FALSE)))</f>
        <v>0.8</v>
      </c>
    </row>
    <row r="215" spans="2:63" hidden="1" outlineLevel="2">
      <c r="B215" s="143" t="s">
        <v>2501</v>
      </c>
      <c r="C215" s="144"/>
      <c r="D215" s="212">
        <f>J215</f>
        <v>0</v>
      </c>
      <c r="E215" s="212"/>
      <c r="F215" s="393"/>
      <c r="G215" s="123"/>
      <c r="H215" s="335">
        <f>VLOOKUP($B215&amp;"; "&amp;$H$211,'FE Immobilisations'!$G:$U,9,FALSE)</f>
        <v>700</v>
      </c>
      <c r="I215" s="123"/>
      <c r="J215" s="152">
        <f>IF(I215=0,0,G215*H215/I215)</f>
        <v>0</v>
      </c>
      <c r="Y215" s="319">
        <f>IF(AD215=0,AD215,AD215/J215)</f>
        <v>0</v>
      </c>
      <c r="Z215" s="124"/>
      <c r="AA215" s="820"/>
      <c r="AB215" s="820"/>
      <c r="AC215" s="820"/>
      <c r="AD215" s="152">
        <f>D215*BK215</f>
        <v>0</v>
      </c>
      <c r="AG215" s="564"/>
      <c r="AH215" s="565">
        <f>D215</f>
        <v>0</v>
      </c>
      <c r="AI215" s="565"/>
      <c r="AJ215" s="565"/>
      <c r="AK215" s="565"/>
      <c r="AL215" s="565"/>
      <c r="AM215" s="565"/>
      <c r="AN215" s="565"/>
      <c r="AO215" s="1606"/>
      <c r="AP215" s="1607">
        <f>SUM(AH215:AN215)</f>
        <v>0</v>
      </c>
      <c r="AQ215" s="564"/>
      <c r="AR215" s="568"/>
      <c r="AS215" s="114"/>
      <c r="AT215" s="114"/>
      <c r="AU215" s="1575"/>
      <c r="AV215" s="892" t="str">
        <f>IF($G216="Oui",IF(AH216="","",AH216*$I216),"")</f>
        <v/>
      </c>
      <c r="AW215" s="892"/>
      <c r="AX215" s="892"/>
      <c r="AY215" s="892" t="str">
        <f>IF($G216="Oui",IF(AP216="","",AP216*$I216),"")</f>
        <v/>
      </c>
      <c r="AZ215" s="892"/>
      <c r="BA215" s="892" t="str">
        <f>IF($G216="Oui",IF(#REF!="","",#REF!*$I216),"")</f>
        <v/>
      </c>
      <c r="BB215" s="892"/>
      <c r="BC215" s="892"/>
      <c r="BD215" s="893">
        <f>SUM(AV215,AX215,AZ215,BB215)</f>
        <v>0</v>
      </c>
      <c r="BE215" s="891" t="str">
        <f>IF($G216="Oui",IF(AQ216="","",AQ216*$I216),"")</f>
        <v/>
      </c>
      <c r="BF215" s="901" t="str">
        <f>IF($G216="Oui",IF(AR216="","",AR216*$I216),"")</f>
        <v/>
      </c>
      <c r="BG215" s="891" t="str">
        <f>IF($G216="Oui",IF(#REF!="","",#REF!*$I216),"")</f>
        <v/>
      </c>
      <c r="BH215" s="901" t="str">
        <f>IF($G216="Oui",IF(#REF!="","",#REF!*$I216),"")</f>
        <v/>
      </c>
      <c r="BJ215" s="1065">
        <f>IF($Z216&lt;&gt;"votre valeur :",IF(ISNA(VLOOKUP($Z216,Utilitaires!$N$566:$O$571,2,FALSE)),,VLOOKUP($Z216,Utilitaires!$N$566:$O$571,2,FALSE)),$AA216)</f>
        <v>0</v>
      </c>
      <c r="BK215" s="1130">
        <f>SQRT(SUMSQ(BJ215,VLOOKUP(B215&amp;"; "&amp;$H$211,'FE Intrants'!G:U,7,FALSE)))</f>
        <v>0.8</v>
      </c>
    </row>
    <row r="216" spans="2:63" hidden="1" outlineLevel="2">
      <c r="B216" s="143"/>
      <c r="C216" s="144"/>
      <c r="D216" s="213"/>
      <c r="E216" s="213"/>
      <c r="F216" s="144"/>
      <c r="G216" s="144"/>
      <c r="H216" s="335"/>
      <c r="I216" s="155"/>
      <c r="J216" s="168"/>
      <c r="Y216" s="226"/>
      <c r="Z216" s="144"/>
      <c r="AA216" s="820"/>
      <c r="AB216" s="820"/>
      <c r="AC216" s="820"/>
      <c r="AD216" s="152"/>
      <c r="AG216" s="564"/>
      <c r="AH216" s="565"/>
      <c r="AI216" s="620"/>
      <c r="AJ216" s="620"/>
      <c r="AK216" s="620"/>
      <c r="AL216" s="620"/>
      <c r="AM216" s="565"/>
      <c r="AN216" s="565"/>
      <c r="AO216" s="1671"/>
      <c r="AP216" s="567"/>
      <c r="AQ216" s="564"/>
      <c r="AR216" s="568"/>
      <c r="AS216" s="114"/>
      <c r="AT216" s="114"/>
      <c r="AU216" s="902"/>
      <c r="AV216" s="1581"/>
      <c r="AW216" s="1581"/>
      <c r="AX216" s="1581"/>
      <c r="AY216" s="1581" t="str">
        <f>IF($G217="Oui",IF(AP217="","",AP217*$I217),"")</f>
        <v/>
      </c>
      <c r="AZ216" s="1581"/>
      <c r="BA216" s="1581" t="str">
        <f>IF($G217="Oui",IF(#REF!="","",#REF!*$I217),"")</f>
        <v/>
      </c>
      <c r="BB216" s="1581"/>
      <c r="BC216" s="1581"/>
      <c r="BD216" s="1609"/>
      <c r="BE216" s="891" t="str">
        <f>IF($G217="Oui",IF(AQ217="","",AQ217*$I217),"")</f>
        <v/>
      </c>
      <c r="BF216" s="901" t="str">
        <f>IF($G217="Oui",IF(AR217="","",AR217*$I217),"")</f>
        <v/>
      </c>
      <c r="BG216" s="891" t="str">
        <f>IF($G217="Oui",IF(#REF!="","",#REF!*$I217),"")</f>
        <v/>
      </c>
      <c r="BH216" s="901"/>
      <c r="BJ216" s="1142"/>
      <c r="BK216" s="1143"/>
    </row>
    <row r="217" spans="2:63" outlineLevel="1">
      <c r="B217" s="196" t="s">
        <v>348</v>
      </c>
      <c r="C217" s="197"/>
      <c r="D217" s="214">
        <f>SUM(D213:D216)</f>
        <v>0</v>
      </c>
      <c r="E217" s="214"/>
      <c r="F217" s="199"/>
      <c r="G217" s="199"/>
      <c r="H217" s="199"/>
      <c r="I217" s="199"/>
      <c r="J217" s="200">
        <f>SUM(J213:J216)</f>
        <v>0</v>
      </c>
      <c r="Y217" s="1204">
        <f>IF(AD217=0,AD217,AD217/J217)</f>
        <v>0</v>
      </c>
      <c r="Z217" s="199"/>
      <c r="AA217" s="199"/>
      <c r="AB217" s="199"/>
      <c r="AC217" s="199"/>
      <c r="AD217" s="200">
        <f>SQRT(SUMSQ(AD213:AD216))</f>
        <v>0</v>
      </c>
      <c r="AG217" s="571"/>
      <c r="AH217" s="572">
        <f>SUM(AH212:AH216)</f>
        <v>0</v>
      </c>
      <c r="AI217" s="572"/>
      <c r="AJ217" s="572"/>
      <c r="AK217" s="572"/>
      <c r="AL217" s="572"/>
      <c r="AM217" s="572"/>
      <c r="AN217" s="572"/>
      <c r="AO217" s="573"/>
      <c r="AP217" s="573">
        <f>SUM(AP212:AP216)</f>
        <v>0</v>
      </c>
      <c r="AQ217" s="1082"/>
      <c r="AR217" s="575">
        <f>SUM(AR212:AR216)</f>
        <v>0</v>
      </c>
      <c r="AS217" s="114"/>
      <c r="AT217" s="114"/>
      <c r="AU217" s="1579"/>
      <c r="AV217" s="895">
        <f>SUM(AV213:AV216)</f>
        <v>0</v>
      </c>
      <c r="AW217" s="895"/>
      <c r="AX217" s="895"/>
      <c r="AY217" s="895"/>
      <c r="AZ217" s="895"/>
      <c r="BA217" s="895"/>
      <c r="BB217" s="895"/>
      <c r="BC217" s="895"/>
      <c r="BD217" s="898"/>
      <c r="BE217" s="894"/>
      <c r="BF217" s="896"/>
      <c r="BG217" s="894"/>
      <c r="BH217" s="896">
        <f>SUM(BH209:BH216)</f>
        <v>0</v>
      </c>
    </row>
    <row r="218" spans="2:63" outlineLevel="1">
      <c r="F218" s="254"/>
      <c r="AU218" s="441"/>
      <c r="AV218" s="441"/>
      <c r="AW218" s="441"/>
      <c r="AX218" s="441"/>
      <c r="AY218" s="441"/>
      <c r="AZ218" s="441"/>
      <c r="BA218" s="441"/>
      <c r="BB218" s="441"/>
      <c r="BC218" s="441"/>
      <c r="BD218" s="441"/>
      <c r="BE218" s="441"/>
      <c r="BF218" s="441"/>
    </row>
    <row r="219" spans="2:63">
      <c r="K219" s="272"/>
      <c r="L219" s="272"/>
      <c r="M219" s="255"/>
      <c r="AU219" s="441"/>
      <c r="AV219" s="441"/>
      <c r="AW219" s="441"/>
      <c r="AX219" s="441"/>
      <c r="AY219" s="441"/>
      <c r="AZ219" s="441"/>
      <c r="BA219" s="441"/>
      <c r="BB219" s="441"/>
      <c r="BC219" s="441"/>
      <c r="BD219" s="441"/>
      <c r="BE219" s="441"/>
      <c r="BF219" s="441"/>
    </row>
    <row r="220" spans="2:63" ht="15.6">
      <c r="B220" s="2652" t="s">
        <v>420</v>
      </c>
      <c r="C220" s="2653"/>
      <c r="D220" s="2653"/>
      <c r="E220" s="2653"/>
      <c r="F220" s="2653"/>
      <c r="G220" s="2653"/>
      <c r="H220" s="2653"/>
      <c r="I220" s="2653"/>
      <c r="J220" s="2653"/>
      <c r="K220" s="2653"/>
      <c r="L220" s="2653"/>
      <c r="M220" s="2653"/>
      <c r="N220" s="2653"/>
      <c r="O220" s="2654"/>
      <c r="AU220" s="441"/>
      <c r="AV220" s="441"/>
      <c r="AW220" s="441"/>
      <c r="AX220" s="441"/>
      <c r="AY220" s="441"/>
      <c r="AZ220" s="441"/>
      <c r="BA220" s="441"/>
      <c r="BB220" s="441"/>
      <c r="BC220" s="441"/>
      <c r="BD220" s="441"/>
      <c r="BE220" s="441"/>
      <c r="BF220" s="441"/>
    </row>
    <row r="221" spans="2:63" outlineLevel="1">
      <c r="K221" s="272"/>
      <c r="AU221" s="441"/>
      <c r="AV221" s="441"/>
      <c r="AW221" s="441"/>
      <c r="AX221" s="441"/>
      <c r="AY221" s="441"/>
      <c r="AZ221" s="441"/>
      <c r="BA221" s="441"/>
      <c r="BB221" s="441"/>
      <c r="BC221" s="441"/>
      <c r="BD221" s="441"/>
      <c r="BE221" s="441"/>
      <c r="BF221" s="441"/>
    </row>
    <row r="222" spans="2:63" ht="12.75" customHeight="1" outlineLevel="1">
      <c r="B222" s="139" t="s">
        <v>583</v>
      </c>
      <c r="C222" s="140"/>
      <c r="D222" s="377"/>
      <c r="E222" s="1648"/>
      <c r="F222" s="141"/>
      <c r="G222" s="141"/>
      <c r="H222" s="141"/>
      <c r="I222" s="141"/>
      <c r="J222" s="141"/>
      <c r="K222" s="141"/>
      <c r="L222" s="141"/>
      <c r="M222" s="141"/>
      <c r="N222" s="141"/>
      <c r="O222" s="142"/>
      <c r="Y222" s="2636" t="s">
        <v>366</v>
      </c>
      <c r="Z222" s="2637"/>
      <c r="AA222" s="2637"/>
      <c r="AB222" s="2637"/>
      <c r="AC222" s="2637"/>
      <c r="AD222" s="2638"/>
      <c r="AG222" s="2639" t="s">
        <v>441</v>
      </c>
      <c r="AH222" s="2640"/>
      <c r="AI222" s="2640"/>
      <c r="AJ222" s="2640"/>
      <c r="AK222" s="2640"/>
      <c r="AL222" s="2640"/>
      <c r="AM222" s="2640"/>
      <c r="AN222" s="2640"/>
      <c r="AO222" s="2640"/>
      <c r="AP222" s="2640"/>
      <c r="AQ222" s="2640"/>
      <c r="AR222" s="2641"/>
      <c r="AU222" s="2860" t="s">
        <v>441</v>
      </c>
      <c r="AV222" s="2861"/>
      <c r="AW222" s="2861"/>
      <c r="AX222" s="2861"/>
      <c r="AY222" s="2861"/>
      <c r="AZ222" s="2861"/>
      <c r="BA222" s="2861"/>
      <c r="BB222" s="2861"/>
      <c r="BC222" s="2861"/>
      <c r="BD222" s="2861"/>
      <c r="BE222" s="2861"/>
      <c r="BF222" s="2861"/>
      <c r="BG222" s="2861"/>
      <c r="BH222" s="2862"/>
    </row>
    <row r="223" spans="2:63" ht="12.75" customHeight="1" outlineLevel="1">
      <c r="B223" s="332"/>
      <c r="C223" s="167"/>
      <c r="D223" s="378" t="s">
        <v>308</v>
      </c>
      <c r="E223" s="1663"/>
      <c r="F223" s="144"/>
      <c r="G223" s="144"/>
      <c r="H223" s="144"/>
      <c r="I223" s="155"/>
      <c r="J223" s="2768" t="s">
        <v>444</v>
      </c>
      <c r="K223" s="2768"/>
      <c r="L223" s="2768"/>
      <c r="M223" s="2768"/>
      <c r="N223" s="2768"/>
      <c r="O223" s="384" t="s">
        <v>444</v>
      </c>
      <c r="Y223" s="1614"/>
      <c r="Z223" s="819"/>
      <c r="AA223" s="827"/>
      <c r="AB223" s="820"/>
      <c r="AC223" s="820"/>
      <c r="AD223" s="145"/>
      <c r="AG223" s="2642" t="s">
        <v>444</v>
      </c>
      <c r="AH223" s="2643"/>
      <c r="AI223" s="2643"/>
      <c r="AJ223" s="2643"/>
      <c r="AK223" s="2643"/>
      <c r="AL223" s="2643"/>
      <c r="AM223" s="2643"/>
      <c r="AN223" s="2643"/>
      <c r="AO223" s="2643" t="s">
        <v>444</v>
      </c>
      <c r="AP223" s="2644"/>
      <c r="AQ223" s="624"/>
      <c r="AR223" s="578"/>
      <c r="AU223" s="2863" t="s">
        <v>444</v>
      </c>
      <c r="AV223" s="2864"/>
      <c r="AW223" s="2864"/>
      <c r="AX223" s="2864"/>
      <c r="AY223" s="2864"/>
      <c r="AZ223" s="2864"/>
      <c r="BA223" s="2864"/>
      <c r="BB223" s="2864"/>
      <c r="BC223" s="2864" t="s">
        <v>444</v>
      </c>
      <c r="BD223" s="2865"/>
      <c r="BE223" s="1580"/>
      <c r="BF223" s="899"/>
      <c r="BG223" s="2863" t="s">
        <v>366</v>
      </c>
      <c r="BH223" s="2865"/>
      <c r="BJ223" s="2766" t="s">
        <v>1648</v>
      </c>
      <c r="BK223" s="2767"/>
    </row>
    <row r="224" spans="2:63" ht="12.75" customHeight="1" outlineLevel="1">
      <c r="B224" s="143"/>
      <c r="C224" s="144"/>
      <c r="D224" s="379" t="s">
        <v>409</v>
      </c>
      <c r="E224" s="1656"/>
      <c r="F224" s="147" t="s">
        <v>772</v>
      </c>
      <c r="G224" s="147" t="s">
        <v>368</v>
      </c>
      <c r="H224" s="379" t="s">
        <v>1994</v>
      </c>
      <c r="I224" s="147" t="s">
        <v>335</v>
      </c>
      <c r="J224" s="2067" t="s">
        <v>3135</v>
      </c>
      <c r="K224" s="2082" t="s">
        <v>3136</v>
      </c>
      <c r="L224" s="2082" t="s">
        <v>3141</v>
      </c>
      <c r="M224" s="2082" t="s">
        <v>3137</v>
      </c>
      <c r="N224" s="2082" t="s">
        <v>3138</v>
      </c>
      <c r="O224" s="2192"/>
      <c r="Y224" s="1614" t="s">
        <v>316</v>
      </c>
      <c r="Z224" s="2629" t="s">
        <v>530</v>
      </c>
      <c r="AA224" s="2630"/>
      <c r="AB224" s="820"/>
      <c r="AC224" s="820"/>
      <c r="AD224" s="1618" t="s">
        <v>444</v>
      </c>
      <c r="AG224" s="2631" t="s">
        <v>211</v>
      </c>
      <c r="AH224" s="2632"/>
      <c r="AI224" s="2632" t="s">
        <v>442</v>
      </c>
      <c r="AJ224" s="2632"/>
      <c r="AK224" s="2632" t="s">
        <v>267</v>
      </c>
      <c r="AL224" s="2632"/>
      <c r="AM224" s="2632" t="s">
        <v>443</v>
      </c>
      <c r="AN224" s="2632"/>
      <c r="AO224" s="2648" t="s">
        <v>327</v>
      </c>
      <c r="AP224" s="2649"/>
      <c r="AQ224" s="2631" t="s">
        <v>636</v>
      </c>
      <c r="AR224" s="2650"/>
      <c r="AU224" s="2866" t="s">
        <v>211</v>
      </c>
      <c r="AV224" s="2867"/>
      <c r="AW224" s="2867" t="s">
        <v>442</v>
      </c>
      <c r="AX224" s="2867"/>
      <c r="AY224" s="2867" t="s">
        <v>267</v>
      </c>
      <c r="AZ224" s="2867"/>
      <c r="BA224" s="2867" t="s">
        <v>443</v>
      </c>
      <c r="BB224" s="2867"/>
      <c r="BC224" s="2868" t="s">
        <v>327</v>
      </c>
      <c r="BD224" s="2869"/>
      <c r="BE224" s="2866" t="s">
        <v>636</v>
      </c>
      <c r="BF224" s="2870"/>
      <c r="BG224" s="2866" t="s">
        <v>444</v>
      </c>
      <c r="BH224" s="2870"/>
      <c r="BJ224" s="1613" t="s">
        <v>2167</v>
      </c>
      <c r="BK224" s="1617" t="s">
        <v>2187</v>
      </c>
    </row>
    <row r="225" spans="2:63" ht="12.75" customHeight="1" outlineLevel="1">
      <c r="B225" s="382"/>
      <c r="C225" s="379"/>
      <c r="D225" s="379" t="s">
        <v>444</v>
      </c>
      <c r="E225" s="1656"/>
      <c r="F225" s="149" t="str">
        <f>Descriptif!$D$4&amp;" ?"</f>
        <v>2022 ?</v>
      </c>
      <c r="G225" s="153" t="s">
        <v>356</v>
      </c>
      <c r="H225" s="379"/>
      <c r="I225" s="149" t="s">
        <v>336</v>
      </c>
      <c r="J225" s="1615"/>
      <c r="K225" s="2191"/>
      <c r="L225" s="2191"/>
      <c r="M225" s="2191"/>
      <c r="N225" s="2191"/>
      <c r="O225" s="384"/>
      <c r="Y225" s="1614" t="s">
        <v>1649</v>
      </c>
      <c r="Z225" s="2646"/>
      <c r="AA225" s="2647"/>
      <c r="AB225" s="820"/>
      <c r="AC225" s="820"/>
      <c r="AD225" s="1618"/>
      <c r="AG225" s="1619"/>
      <c r="AH225" s="1620"/>
      <c r="AI225" s="1620"/>
      <c r="AJ225" s="1620"/>
      <c r="AK225" s="1620"/>
      <c r="AL225" s="1620"/>
      <c r="AM225" s="1620"/>
      <c r="AN225" s="1620"/>
      <c r="AO225" s="581"/>
      <c r="AP225" s="582"/>
      <c r="AQ225" s="1620"/>
      <c r="AR225" s="1621"/>
      <c r="AU225" s="1575"/>
      <c r="AV225" s="1576"/>
      <c r="AW225" s="1576"/>
      <c r="AX225" s="1576"/>
      <c r="AY225" s="1576"/>
      <c r="AZ225" s="1576"/>
      <c r="BA225" s="1576"/>
      <c r="BB225" s="1576"/>
      <c r="BC225" s="1577"/>
      <c r="BD225" s="1577"/>
      <c r="BE225" s="1575"/>
      <c r="BF225" s="1578"/>
      <c r="BG225" s="1576"/>
      <c r="BH225" s="1578"/>
      <c r="BJ225" s="1065"/>
      <c r="BK225" s="1130"/>
    </row>
    <row r="226" spans="2:63" outlineLevel="1">
      <c r="B226" s="143" t="s">
        <v>5219</v>
      </c>
      <c r="C226" s="144"/>
      <c r="D226" s="212">
        <f>O226</f>
        <v>563.33333333333337</v>
      </c>
      <c r="E226" s="212"/>
      <c r="F226" s="391" t="s">
        <v>768</v>
      </c>
      <c r="G226" s="117">
        <v>10</v>
      </c>
      <c r="H226" s="222"/>
      <c r="I226" s="117">
        <v>3</v>
      </c>
      <c r="J226" s="222">
        <f>VLOOKUP($B226&amp;"; "&amp;$H$224&amp;", "&amp;$J$224,'FE Immobilisations'!$G:$U,9,FALSE)*$G226</f>
        <v>829</v>
      </c>
      <c r="K226" s="222">
        <f>IF(ISNA(VLOOKUP($B226&amp;"; "&amp;$H$224&amp;", "&amp;$K$224,'FE Immobilisations'!$G:$U,9,FALSE)),0,VLOOKUP($B226&amp;"; "&amp;$H$224&amp;", "&amp;$K$224,'FE Immobilisations'!$G:$U,9,FALSE)*$G226)</f>
        <v>47.5</v>
      </c>
      <c r="L226" s="222">
        <f>IF(ISNA(VLOOKUP($B226&amp;"; "&amp;$H$224&amp;", "&amp;$L$224,'FE Immobilisations'!$G:$U,9,FALSE)),0,VLOOKUP($B226&amp;"; "&amp;$H$224&amp;", "&amp;$L$224,'FE Immobilisations'!$G:$U,9,FALSE)*$G226)</f>
        <v>41.900000000000006</v>
      </c>
      <c r="M226" s="222">
        <f>IF(ISNA(VLOOKUP($B226&amp;"; "&amp;$H$224&amp;", "&amp;$M$224,'FE Immobilisations'!$G:$U,9,FALSE)),0,VLOOKUP($B226&amp;"; "&amp;$H$224&amp;", "&amp;$M$224,'FE Immobilisations'!$G:$U,9,FALSE)*$G226)</f>
        <v>17.600000000000001</v>
      </c>
      <c r="N226" s="222">
        <f>IF(ISNA(VLOOKUP($B226&amp;"; "&amp;$H$224&amp;", "&amp;$N$224,'FE Immobilisations'!$G:$U,9,FALSE)),0,VLOOKUP($B226&amp;"; "&amp;$H$224&amp;", "&amp;$N$224,'FE Immobilisations'!$G:$U,9,FALSE)*$G226)</f>
        <v>754</v>
      </c>
      <c r="O226" s="152">
        <f>IF(I226=0,0,SUM(J226:N226)/I226)</f>
        <v>563.33333333333337</v>
      </c>
      <c r="Y226" s="319">
        <f>IF(AD226=0,AD226,AD226/O226)</f>
        <v>0.5</v>
      </c>
      <c r="Z226" s="118"/>
      <c r="AA226" s="820"/>
      <c r="AB226" s="820"/>
      <c r="AC226" s="820"/>
      <c r="AD226" s="152">
        <f>D226*BK226</f>
        <v>281.66666666666669</v>
      </c>
      <c r="AG226" s="564"/>
      <c r="AH226" s="565">
        <f>IF(I226=0,0,IFERROR($G226*SUM((VLOOKUP($B226&amp;"; "&amp;$H$224&amp;", "&amp;J$224,'FE Immobilisations'!$G:$U,10,FALSE)),
VLOOKUP($B226&amp;"; "&amp;$H$224&amp;", "&amp;K$224,'FE Immobilisations'!$G:$U,10,FALSE),
VLOOKUP($B226&amp;"; "&amp;$H$224&amp;", "&amp;L$224,'FE Immobilisations'!$G:$U,10,FALSE),
VLOOKUP($B226&amp;"; "&amp;$H$224&amp;", "&amp;M$224,'FE Immobilisations'!$G:$U,10,FALSE),
VLOOKUP($B226&amp;"; "&amp;$H$224&amp;", "&amp;N$224,'FE Immobilisations'!$G:$U,10,FALSE))/I226,
$G226*VLOOKUP($B226&amp;"; "&amp;$H$224&amp;", "&amp;J$224,'FE Immobilisations'!$G:$U,10,FALSE)/I226))</f>
        <v>563.33333333333337</v>
      </c>
      <c r="AI226" s="620"/>
      <c r="AJ226" s="620">
        <f>IF(I226=0,0,IFERROR($G226*SUM((VLOOKUP($B226&amp;"; "&amp;$H$224&amp;", "&amp;J$224,'FE Immobilisations'!$G:$U,11,FALSE)+VLOOKUP($B226&amp;"; "&amp;$H$224&amp;", "&amp;J$224,'FE Immobilisations'!$G:$U,12,FALSE)),
(VLOOKUP($B226&amp;"; "&amp;$H$224&amp;", "&amp;K$224,'FE Immobilisations'!$G:$U,11,FALSE)+VLOOKUP($B226&amp;"; "&amp;$H$224&amp;", "&amp;K$224,'FE Immobilisations'!$G:$U,12,FALSE)),
(VLOOKUP($B226&amp;"; "&amp;$H$224&amp;", "&amp;L$224,'FE Immobilisations'!$G:$U,11,FALSE)+VLOOKUP($B226&amp;"; "&amp;$H$224&amp;", "&amp;L$224,'FE Immobilisations'!$G:$U,12,FALSE)),
(VLOOKUP($B226&amp;"; "&amp;$H$224&amp;", "&amp;M$224,'FE Immobilisations'!$G:$U,11,FALSE)+VLOOKUP($B226&amp;"; "&amp;$H$224&amp;", "&amp;M$224,'FE Immobilisations'!$G:$U,12,FALSE)),
(VLOOKUP($B226&amp;"; "&amp;$H$224&amp;", "&amp;N$224,'FE Immobilisations'!$G:$U,11,FALSE)+VLOOKUP($B226&amp;"; "&amp;$H$224&amp;", "&amp;N$224,'FE Immobilisations'!$G:$U,12,FALSE)))/I226,
$G226*VLOOKUP($B226&amp;"; "&amp;$H$224&amp;", "&amp;J$224,'FE Immobilisations'!$G:$U,11,FALSE)+VLOOKUP($B226&amp;"; "&amp;$H$224&amp;", "&amp;J$224,'FE Immobilisations'!$G:$U,12,FALSE))/I226)</f>
        <v>0</v>
      </c>
      <c r="AK226" s="620"/>
      <c r="AL226" s="620">
        <f>IF(I226=0,0,IFERROR($G226*SUM(VLOOKUP($B226&amp;"; "&amp;$H$224&amp;", "&amp;J$224,'FE Immobilisations'!$G:$U,13,FALSE),
VLOOKUP($B226&amp;"; "&amp;$H$224&amp;", "&amp;K$224,'FE Immobilisations'!$G:$U,13,FALSE),
VLOOKUP($B226&amp;"; "&amp;$H$224&amp;", "&amp;L$224,'FE Immobilisations'!$G:$U,13,FALSE),
VLOOKUP($B226&amp;"; "&amp;$H$224&amp;", "&amp;M$224,'FE Immobilisations'!$G:$U,13,FALSE),
VLOOKUP($B226&amp;"; "&amp;$H$224&amp;", "&amp;N$224,'FE Immobilisations'!$G:$U,13,FALSE))/I226,
$G226*VLOOKUP($B226&amp;"; "&amp;$H$224&amp;", "&amp;J$224,'FE Immobilisations'!$G:$U,13,FALSE))/I226)</f>
        <v>0</v>
      </c>
      <c r="AM226" s="565"/>
      <c r="AN226" s="565">
        <f>IF(I226=0,0,IFERROR($G226*SUM((VLOOKUP($B226&amp;"; "&amp;$H$224&amp;", "&amp;J$224,'FE Immobilisations'!$G:$U,14,FALSE)),
VLOOKUP($B226&amp;"; "&amp;$H$224&amp;", "&amp;K$224,'FE Immobilisations'!$G:$U,14,FALSE),
VLOOKUP($B226&amp;"; "&amp;$H$224&amp;", "&amp;L$224,'FE Immobilisations'!$G:$U,14,FALSE),
VLOOKUP($B226&amp;"; "&amp;$H$224&amp;", "&amp;M$224,'FE Immobilisations'!$G:$U,14,FALSE),
VLOOKUP($B226&amp;"; "&amp;$H$224&amp;", "&amp;N$224,'FE Immobilisations'!$G:$U,14,FALSE))/I226,
$G226*VLOOKUP($B226&amp;"; "&amp;$H$224&amp;", "&amp;J$224,'FE Immobilisations'!$G:$U,14,FALSE))/I226)</f>
        <v>0</v>
      </c>
      <c r="AO226" s="566"/>
      <c r="AP226" s="567">
        <f>IF(I226=0,0,SUM(AG226:AN226))</f>
        <v>563.33333333333337</v>
      </c>
      <c r="AQ226" s="565"/>
      <c r="AR226" s="568">
        <f>IF(I226=0,0,IFERROR($G226*SUM((VLOOKUP($B226&amp;"; "&amp;$H$224&amp;", "&amp;J$224,'FE Immobilisations'!$G:$U,15,FALSE)),
VLOOKUP($B226&amp;"; "&amp;$H$224&amp;", "&amp;K$224,'FE Immobilisations'!$G:$U,15,FALSE),
VLOOKUP($B226&amp;"; "&amp;$H$224&amp;", "&amp;L$224,'FE Immobilisations'!$G:$U,15,FALSE),
VLOOKUP($B226&amp;"; "&amp;$H$224&amp;", "&amp;M$224,'FE Immobilisations'!$G:$U,15,FALSE),
VLOOKUP($B226&amp;"; "&amp;$H$224&amp;", "&amp;N$224,'FE Immobilisations'!$G:$U,15,FALSE))/I226,
$G226*VLOOKUP($B226&amp;"; "&amp;$H$224&amp;", "&amp;J$224,'FE Immobilisations'!$G:$U,15,FALSE)/I226))</f>
        <v>0</v>
      </c>
      <c r="AU226" s="891"/>
      <c r="AV226" s="892" t="str">
        <f>IF($F226="Oui",AH226*$I226,"")</f>
        <v/>
      </c>
      <c r="AW226" s="892"/>
      <c r="AX226" s="892" t="str">
        <f>IF($F226="Oui",AJ226*$I226,"")</f>
        <v/>
      </c>
      <c r="AY226" s="892"/>
      <c r="AZ226" s="892" t="str">
        <f>IF($F226="Oui",AL226*$I226,"")</f>
        <v/>
      </c>
      <c r="BA226" s="892"/>
      <c r="BB226" s="892" t="str">
        <f>IF($F226="Oui",AN226*$I226,"")</f>
        <v/>
      </c>
      <c r="BC226" s="900"/>
      <c r="BD226" s="900">
        <f>SUM(AV226,AX226,AZ226,BB226)</f>
        <v>0</v>
      </c>
      <c r="BE226" s="891"/>
      <c r="BF226" s="901" t="str">
        <f>IF($F226="Oui",IF(AR226="","",AR226*$I226),"")</f>
        <v/>
      </c>
      <c r="BG226" s="892"/>
      <c r="BH226" s="901" t="str">
        <f t="shared" ref="BH226:BH231" si="39">IF($F226="Oui",IF(AC226="","",AC226*$I226),"")</f>
        <v/>
      </c>
      <c r="BJ226" s="1065">
        <f>IF($Z226&lt;&gt;"votre valeur :",IF(ISNA(VLOOKUP($Z226,Utilitaires!$N$566:$O$571,2,FALSE)),,VLOOKUP($Z226,Utilitaires!$N$566:$O$571,2,FALSE)),$AA226)</f>
        <v>0</v>
      </c>
      <c r="BK226" s="1130">
        <f>SQRT(SUMSQ(BJ226,VLOOKUP(B226&amp;"; "&amp;$H$224&amp;", "&amp;$J$224,'FE Immobilisations'!G:U,7,FALSE)))</f>
        <v>0.5</v>
      </c>
    </row>
    <row r="227" spans="2:63" outlineLevel="1">
      <c r="B227" s="143" t="s">
        <v>3662</v>
      </c>
      <c r="C227" s="144"/>
      <c r="D227" s="212">
        <f>O227</f>
        <v>196.72</v>
      </c>
      <c r="E227" s="212"/>
      <c r="F227" s="392" t="s">
        <v>768</v>
      </c>
      <c r="G227" s="120">
        <v>3</v>
      </c>
      <c r="H227" s="222"/>
      <c r="I227" s="120">
        <v>3</v>
      </c>
      <c r="J227" s="222">
        <f>VLOOKUP($B227&amp;"; "&amp;$H$224&amp;", "&amp;$J$224,'FE Immobilisations'!$G:$U,9,FALSE)*$G227</f>
        <v>417</v>
      </c>
      <c r="K227" s="222">
        <f>IF(ISNA(VLOOKUP($B227&amp;"; "&amp;$H$224&amp;", "&amp;$K$224,'FE Immobilisations'!$G:$U,9,FALSE)),0,VLOOKUP($B227&amp;"; "&amp;$H$224&amp;", "&amp;$K$224,'FE Immobilisations'!$G:$U,9,FALSE)*$G227)</f>
        <v>39.900000000000006</v>
      </c>
      <c r="L227" s="222">
        <f>IF(ISNA(VLOOKUP($B227&amp;"; "&amp;$H$224&amp;", "&amp;$L$224,'FE Immobilisations'!$G:$U,9,FALSE)),0,VLOOKUP($B227&amp;"; "&amp;$H$224&amp;", "&amp;$L$224,'FE Immobilisations'!$G:$U,9,FALSE)*$G227)</f>
        <v>41.7</v>
      </c>
      <c r="M227" s="222">
        <f>IF(ISNA(VLOOKUP($B227&amp;"; "&amp;$H$224&amp;", "&amp;$M$224,'FE Immobilisations'!$G:$U,9,FALSE)),0,VLOOKUP($B227&amp;"; "&amp;$H$224&amp;", "&amp;$M$224,'FE Immobilisations'!$G:$U,9,FALSE)*$G227)</f>
        <v>18.66</v>
      </c>
      <c r="N227" s="222">
        <f>IF(ISNA(VLOOKUP($B227&amp;"; "&amp;$H$224&amp;", "&amp;$N$224,'FE Immobilisations'!$G:$U,9,FALSE)),0,VLOOKUP($B227&amp;"; "&amp;$H$224&amp;", "&amp;$N$224,'FE Immobilisations'!$G:$U,9,FALSE)*$G227)</f>
        <v>72.900000000000006</v>
      </c>
      <c r="O227" s="152">
        <f t="shared" ref="O227:O230" si="40">IF(I227=0,0,SUM(J227:N227)/I227)</f>
        <v>196.72</v>
      </c>
      <c r="Y227" s="319">
        <f>IF(AD227=0,AD227,AD227/O227)</f>
        <v>0.5</v>
      </c>
      <c r="Z227" s="121"/>
      <c r="AA227" s="820"/>
      <c r="AB227" s="820"/>
      <c r="AC227" s="820"/>
      <c r="AD227" s="152">
        <f t="shared" ref="AD227:AD230" si="41">D227*BK227</f>
        <v>98.36</v>
      </c>
      <c r="AG227" s="564"/>
      <c r="AH227" s="565">
        <f>IF(I227=0,0,IFERROR($G227*SUM((VLOOKUP($B227&amp;"; "&amp;$H$224&amp;", "&amp;J$224,'FE Immobilisations'!$G:$U,10,FALSE)),
VLOOKUP($B227&amp;"; "&amp;$H$224&amp;", "&amp;K$224,'FE Immobilisations'!$G:$U,10,FALSE),
VLOOKUP($B227&amp;"; "&amp;$H$224&amp;", "&amp;L$224,'FE Immobilisations'!$G:$U,10,FALSE),
VLOOKUP($B227&amp;"; "&amp;$H$224&amp;", "&amp;M$224,'FE Immobilisations'!$G:$U,10,FALSE),
VLOOKUP($B227&amp;"; "&amp;$H$224&amp;", "&amp;N$224,'FE Immobilisations'!$G:$U,10,FALSE))/I227,
$G227*VLOOKUP($B227&amp;"; "&amp;$H$224&amp;", "&amp;J$224,'FE Immobilisations'!$G:$U,10,FALSE)/I227))</f>
        <v>196.72000000000003</v>
      </c>
      <c r="AI227" s="620"/>
      <c r="AJ227" s="620">
        <f>IF(I227=0,0,IFERROR($G227*SUM((VLOOKUP($B227&amp;"; "&amp;$H$224&amp;", "&amp;J$224,'FE Immobilisations'!$G:$U,11,FALSE)+VLOOKUP($B227&amp;"; "&amp;$H$224&amp;", "&amp;J$224,'FE Immobilisations'!$G:$U,12,FALSE)),
(VLOOKUP($B227&amp;"; "&amp;$H$224&amp;", "&amp;K$224,'FE Immobilisations'!$G:$U,11,FALSE)+VLOOKUP($B227&amp;"; "&amp;$H$224&amp;", "&amp;K$224,'FE Immobilisations'!$G:$U,12,FALSE)),
(VLOOKUP($B227&amp;"; "&amp;$H$224&amp;", "&amp;L$224,'FE Immobilisations'!$G:$U,11,FALSE)+VLOOKUP($B227&amp;"; "&amp;$H$224&amp;", "&amp;L$224,'FE Immobilisations'!$G:$U,12,FALSE)),
(VLOOKUP($B227&amp;"; "&amp;$H$224&amp;", "&amp;M$224,'FE Immobilisations'!$G:$U,11,FALSE)+VLOOKUP($B227&amp;"; "&amp;$H$224&amp;", "&amp;M$224,'FE Immobilisations'!$G:$U,12,FALSE)),
(VLOOKUP($B227&amp;"; "&amp;$H$224&amp;", "&amp;N$224,'FE Immobilisations'!$G:$U,11,FALSE)+VLOOKUP($B227&amp;"; "&amp;$H$224&amp;", "&amp;N$224,'FE Immobilisations'!$G:$U,12,FALSE)))/I227,
$G227*VLOOKUP($B227&amp;"; "&amp;$H$224&amp;", "&amp;J$224,'FE Immobilisations'!$G:$U,11,FALSE)+VLOOKUP($B227&amp;"; "&amp;$H$224&amp;", "&amp;J$224,'FE Immobilisations'!$G:$U,12,FALSE))/I227)</f>
        <v>0</v>
      </c>
      <c r="AK227" s="620"/>
      <c r="AL227" s="620">
        <f>IF(I227=0,0,IFERROR($G227*SUM(VLOOKUP($B227&amp;"; "&amp;$H$224&amp;", "&amp;J$224,'FE Immobilisations'!$G:$U,13,FALSE),
VLOOKUP($B227&amp;"; "&amp;$H$224&amp;", "&amp;K$224,'FE Immobilisations'!$G:$U,13,FALSE),
VLOOKUP($B227&amp;"; "&amp;$H$224&amp;", "&amp;L$224,'FE Immobilisations'!$G:$U,13,FALSE),
VLOOKUP($B227&amp;"; "&amp;$H$224&amp;", "&amp;M$224,'FE Immobilisations'!$G:$U,13,FALSE),
VLOOKUP($B227&amp;"; "&amp;$H$224&amp;", "&amp;N$224,'FE Immobilisations'!$G:$U,13,FALSE))/I227,
$G227*VLOOKUP($B227&amp;"; "&amp;$H$224&amp;", "&amp;J$224,'FE Immobilisations'!$G:$U,13,FALSE))/I227)</f>
        <v>0</v>
      </c>
      <c r="AM227" s="565"/>
      <c r="AN227" s="565">
        <f>IF(I227=0,0,IFERROR($G227*SUM((VLOOKUP($B227&amp;"; "&amp;$H$224&amp;", "&amp;J$224,'FE Immobilisations'!$G:$U,14,FALSE)),
VLOOKUP($B227&amp;"; "&amp;$H$224&amp;", "&amp;K$224,'FE Immobilisations'!$G:$U,14,FALSE),
VLOOKUP($B227&amp;"; "&amp;$H$224&amp;", "&amp;L$224,'FE Immobilisations'!$G:$U,14,FALSE),
VLOOKUP($B227&amp;"; "&amp;$H$224&amp;", "&amp;M$224,'FE Immobilisations'!$G:$U,14,FALSE),
VLOOKUP($B227&amp;"; "&amp;$H$224&amp;", "&amp;N$224,'FE Immobilisations'!$G:$U,14,FALSE))/I227,
$G227*VLOOKUP($B227&amp;"; "&amp;$H$224&amp;", "&amp;J$224,'FE Immobilisations'!$G:$U,14,FALSE))/I227)</f>
        <v>0</v>
      </c>
      <c r="AO227" s="566"/>
      <c r="AP227" s="567">
        <f t="shared" ref="AP227:AP230" si="42">IF(I227=0,0,SUM(AG227:AN227))</f>
        <v>196.72000000000003</v>
      </c>
      <c r="AQ227" s="565"/>
      <c r="AR227" s="568">
        <f>IF(I227=0,0,IFERROR($G227*SUM((VLOOKUP($B227&amp;"; "&amp;$H$224&amp;", "&amp;J$224,'FE Immobilisations'!$G:$U,15,FALSE)),
VLOOKUP($B227&amp;"; "&amp;$H$224&amp;", "&amp;K$224,'FE Immobilisations'!$G:$U,15,FALSE),
VLOOKUP($B227&amp;"; "&amp;$H$224&amp;", "&amp;L$224,'FE Immobilisations'!$G:$U,15,FALSE),
VLOOKUP($B227&amp;"; "&amp;$H$224&amp;", "&amp;M$224,'FE Immobilisations'!$G:$U,15,FALSE),
VLOOKUP($B227&amp;"; "&amp;$H$224&amp;", "&amp;N$224,'FE Immobilisations'!$G:$U,15,FALSE))/I227,
$G227*VLOOKUP($B227&amp;"; "&amp;$H$224&amp;", "&amp;J$224,'FE Immobilisations'!$G:$U,15,FALSE)/I227))</f>
        <v>0</v>
      </c>
      <c r="AU227" s="891"/>
      <c r="AV227" s="892" t="str">
        <f>IF($F227="Oui",AH227*$I227,"")</f>
        <v/>
      </c>
      <c r="AW227" s="892"/>
      <c r="AX227" s="892" t="str">
        <f>IF($F227="Oui",AJ227*$I227,"")</f>
        <v/>
      </c>
      <c r="AY227" s="892"/>
      <c r="AZ227" s="892" t="str">
        <f>IF($F227="Oui",AL227*$I227,"")</f>
        <v/>
      </c>
      <c r="BA227" s="892"/>
      <c r="BB227" s="892" t="str">
        <f>IF($F227="Oui",AN227*$I227,"")</f>
        <v/>
      </c>
      <c r="BC227" s="900"/>
      <c r="BD227" s="900">
        <f>SUM(AV227,AX227,AZ227,BB227)</f>
        <v>0</v>
      </c>
      <c r="BE227" s="891"/>
      <c r="BF227" s="901" t="str">
        <f>IF($F227="Oui",IF(AR227="","",AR227*$I227),"")</f>
        <v/>
      </c>
      <c r="BG227" s="892"/>
      <c r="BH227" s="901" t="str">
        <f t="shared" si="39"/>
        <v/>
      </c>
      <c r="BJ227" s="1065">
        <f>IF($Z227&lt;&gt;"votre valeur :",IF(ISNA(VLOOKUP($Z227,Utilitaires!$N$566:$O$571,2,FALSE)),,VLOOKUP($Z227,Utilitaires!$N$566:$O$571,2,FALSE)),$AA227)</f>
        <v>0</v>
      </c>
      <c r="BK227" s="1130">
        <f>SQRT(SUMSQ(BJ227,VLOOKUP(B227&amp;"; "&amp;$H$224&amp;", "&amp;$J$224,'FE Immobilisations'!G:U,7,FALSE)))</f>
        <v>0.5</v>
      </c>
    </row>
    <row r="228" spans="2:63" outlineLevel="1">
      <c r="B228" s="143" t="s">
        <v>3693</v>
      </c>
      <c r="C228" s="144"/>
      <c r="D228" s="212">
        <f>O228</f>
        <v>978.33333333333337</v>
      </c>
      <c r="E228" s="212"/>
      <c r="F228" s="392" t="s">
        <v>768</v>
      </c>
      <c r="G228" s="120">
        <v>1</v>
      </c>
      <c r="H228" s="222"/>
      <c r="I228" s="120">
        <v>3</v>
      </c>
      <c r="J228" s="222">
        <f>VLOOKUP($B228&amp;"; "&amp;$H$224&amp;", "&amp;$J$224,'FE Immobilisations'!$G:$U,9,FALSE)*$G228</f>
        <v>2935</v>
      </c>
      <c r="K228" s="222">
        <f>IF(ISNA(VLOOKUP($B228&amp;"; "&amp;$H$224&amp;", "&amp;$K$224,'FE Immobilisations'!$G:$U,9,FALSE)),0,VLOOKUP($B228&amp;"; "&amp;$H$224&amp;", "&amp;$K$224,'FE Immobilisations'!$G:$U,9,FALSE)*$G228)</f>
        <v>0</v>
      </c>
      <c r="L228" s="222">
        <f>IF(ISNA(VLOOKUP($B228&amp;"; "&amp;$H$224&amp;", "&amp;$L$224,'FE Immobilisations'!$G:$U,9,FALSE)),0,VLOOKUP($B228&amp;"; "&amp;$H$224&amp;", "&amp;$L$224,'FE Immobilisations'!$G:$U,9,FALSE)*$G228)</f>
        <v>0</v>
      </c>
      <c r="M228" s="222">
        <f>IF(ISNA(VLOOKUP($B228&amp;"; "&amp;$H$224&amp;", "&amp;$M$224,'FE Immobilisations'!$G:$U,9,FALSE)),0,VLOOKUP($B228&amp;"; "&amp;$H$224&amp;", "&amp;$M$224,'FE Immobilisations'!$G:$U,9,FALSE)*$G228)</f>
        <v>0</v>
      </c>
      <c r="N228" s="222">
        <f>IF(ISNA(VLOOKUP($B228&amp;"; "&amp;$H$224&amp;", "&amp;$N$224,'FE Immobilisations'!$G:$U,9,FALSE)),0,VLOOKUP($B228&amp;"; "&amp;$H$224&amp;", "&amp;$N$224,'FE Immobilisations'!$G:$U,9,FALSE)*$G228)</f>
        <v>0</v>
      </c>
      <c r="O228" s="152">
        <f t="shared" si="40"/>
        <v>978.33333333333337</v>
      </c>
      <c r="Y228" s="319">
        <f>IF(AD228=0,AD228,AD228/O228)</f>
        <v>0.5</v>
      </c>
      <c r="Z228" s="121"/>
      <c r="AA228" s="820"/>
      <c r="AB228" s="820"/>
      <c r="AC228" s="820"/>
      <c r="AD228" s="152">
        <f t="shared" si="41"/>
        <v>489.16666666666669</v>
      </c>
      <c r="AG228" s="564"/>
      <c r="AH228" s="565">
        <f>IF(I228=0,0,IFERROR($G228*SUM((VLOOKUP($B228&amp;"; "&amp;$H$224&amp;", "&amp;J$224,'FE Immobilisations'!$G:$U,10,FALSE)),
VLOOKUP($B228&amp;"; "&amp;$H$224&amp;", "&amp;K$224,'FE Immobilisations'!$G:$U,10,FALSE),
VLOOKUP($B228&amp;"; "&amp;$H$224&amp;", "&amp;L$224,'FE Immobilisations'!$G:$U,10,FALSE),
VLOOKUP($B228&amp;"; "&amp;$H$224&amp;", "&amp;M$224,'FE Immobilisations'!$G:$U,10,FALSE),
VLOOKUP($B228&amp;"; "&amp;$H$224&amp;", "&amp;N$224,'FE Immobilisations'!$G:$U,10,FALSE))/I228,
$G228*VLOOKUP($B228&amp;"; "&amp;$H$224&amp;", "&amp;J$224,'FE Immobilisations'!$G:$U,10,FALSE)/I228))</f>
        <v>978.33333333333337</v>
      </c>
      <c r="AI228" s="620"/>
      <c r="AJ228" s="620">
        <f>IF(I228=0,0,IFERROR($G228*SUM((VLOOKUP($B228&amp;"; "&amp;$H$224&amp;", "&amp;J$224,'FE Immobilisations'!$G:$U,11,FALSE)+VLOOKUP($B228&amp;"; "&amp;$H$224&amp;", "&amp;J$224,'FE Immobilisations'!$G:$U,12,FALSE)),
(VLOOKUP($B228&amp;"; "&amp;$H$224&amp;", "&amp;K$224,'FE Immobilisations'!$G:$U,11,FALSE)+VLOOKUP($B228&amp;"; "&amp;$H$224&amp;", "&amp;K$224,'FE Immobilisations'!$G:$U,12,FALSE)),
(VLOOKUP($B228&amp;"; "&amp;$H$224&amp;", "&amp;L$224,'FE Immobilisations'!$G:$U,11,FALSE)+VLOOKUP($B228&amp;"; "&amp;$H$224&amp;", "&amp;L$224,'FE Immobilisations'!$G:$U,12,FALSE)),
(VLOOKUP($B228&amp;"; "&amp;$H$224&amp;", "&amp;M$224,'FE Immobilisations'!$G:$U,11,FALSE)+VLOOKUP($B228&amp;"; "&amp;$H$224&amp;", "&amp;M$224,'FE Immobilisations'!$G:$U,12,FALSE)),
(VLOOKUP($B228&amp;"; "&amp;$H$224&amp;", "&amp;N$224,'FE Immobilisations'!$G:$U,11,FALSE)+VLOOKUP($B228&amp;"; "&amp;$H$224&amp;", "&amp;N$224,'FE Immobilisations'!$G:$U,12,FALSE)))/I228,
$G228*VLOOKUP($B228&amp;"; "&amp;$H$224&amp;", "&amp;J$224,'FE Immobilisations'!$G:$U,11,FALSE)+VLOOKUP($B228&amp;"; "&amp;$H$224&amp;", "&amp;J$224,'FE Immobilisations'!$G:$U,12,FALSE))/I228)</f>
        <v>0</v>
      </c>
      <c r="AK228" s="620"/>
      <c r="AL228" s="620">
        <f>IF(I228=0,0,IFERROR($G228*SUM(VLOOKUP($B228&amp;"; "&amp;$H$224&amp;", "&amp;J$224,'FE Immobilisations'!$G:$U,13,FALSE),
VLOOKUP($B228&amp;"; "&amp;$H$224&amp;", "&amp;K$224,'FE Immobilisations'!$G:$U,13,FALSE),
VLOOKUP($B228&amp;"; "&amp;$H$224&amp;", "&amp;L$224,'FE Immobilisations'!$G:$U,13,FALSE),
VLOOKUP($B228&amp;"; "&amp;$H$224&amp;", "&amp;M$224,'FE Immobilisations'!$G:$U,13,FALSE),
VLOOKUP($B228&amp;"; "&amp;$H$224&amp;", "&amp;N$224,'FE Immobilisations'!$G:$U,13,FALSE))/I228,
$G228*VLOOKUP($B228&amp;"; "&amp;$H$224&amp;", "&amp;J$224,'FE Immobilisations'!$G:$U,13,FALSE))/I228)</f>
        <v>0</v>
      </c>
      <c r="AM228" s="565"/>
      <c r="AN228" s="565">
        <f>IF(I228=0,0,IFERROR($G228*SUM((VLOOKUP($B228&amp;"; "&amp;$H$224&amp;", "&amp;J$224,'FE Immobilisations'!$G:$U,14,FALSE)),
VLOOKUP($B228&amp;"; "&amp;$H$224&amp;", "&amp;K$224,'FE Immobilisations'!$G:$U,14,FALSE),
VLOOKUP($B228&amp;"; "&amp;$H$224&amp;", "&amp;L$224,'FE Immobilisations'!$G:$U,14,FALSE),
VLOOKUP($B228&amp;"; "&amp;$H$224&amp;", "&amp;M$224,'FE Immobilisations'!$G:$U,14,FALSE),
VLOOKUP($B228&amp;"; "&amp;$H$224&amp;", "&amp;N$224,'FE Immobilisations'!$G:$U,14,FALSE))/I228,
$G228*VLOOKUP($B228&amp;"; "&amp;$H$224&amp;", "&amp;J$224,'FE Immobilisations'!$G:$U,14,FALSE))/I228)</f>
        <v>0</v>
      </c>
      <c r="AO228" s="566"/>
      <c r="AP228" s="567">
        <f t="shared" si="42"/>
        <v>978.33333333333337</v>
      </c>
      <c r="AQ228" s="565"/>
      <c r="AR228" s="568">
        <f>IF(I228=0,0,IFERROR($G228*SUM((VLOOKUP($B228&amp;"; "&amp;$H$224&amp;", "&amp;J$224,'FE Immobilisations'!$G:$U,15,FALSE)),
VLOOKUP($B228&amp;"; "&amp;$H$224&amp;", "&amp;K$224,'FE Immobilisations'!$G:$U,15,FALSE),
VLOOKUP($B228&amp;"; "&amp;$H$224&amp;", "&amp;L$224,'FE Immobilisations'!$G:$U,15,FALSE),
VLOOKUP($B228&amp;"; "&amp;$H$224&amp;", "&amp;M$224,'FE Immobilisations'!$G:$U,15,FALSE),
VLOOKUP($B228&amp;"; "&amp;$H$224&amp;", "&amp;N$224,'FE Immobilisations'!$G:$U,15,FALSE))/I228,
$G228*VLOOKUP($B228&amp;"; "&amp;$H$224&amp;", "&amp;J$224,'FE Immobilisations'!$G:$U,15,FALSE)/I228))</f>
        <v>0</v>
      </c>
      <c r="AU228" s="891"/>
      <c r="AV228" s="892"/>
      <c r="AW228" s="892"/>
      <c r="AX228" s="892"/>
      <c r="AY228" s="892"/>
      <c r="AZ228" s="892"/>
      <c r="BA228" s="892"/>
      <c r="BB228" s="892"/>
      <c r="BC228" s="900"/>
      <c r="BD228" s="900">
        <f>SUM(AV228,AX228,AZ228,BB228)</f>
        <v>0</v>
      </c>
      <c r="BE228" s="891"/>
      <c r="BF228" s="901"/>
      <c r="BG228" s="892"/>
      <c r="BH228" s="901" t="str">
        <f t="shared" si="39"/>
        <v/>
      </c>
      <c r="BJ228" s="1065">
        <f>IF($Z228&lt;&gt;"votre valeur :",IF(ISNA(VLOOKUP($Z228,Utilitaires!$N$566:$O$571,2,FALSE)),,VLOOKUP($Z228,Utilitaires!$N$566:$O$571,2,FALSE)),$AA228)</f>
        <v>0</v>
      </c>
      <c r="BK228" s="1130">
        <f>SQRT(SUMSQ(BJ228,VLOOKUP(B228&amp;"; "&amp;$H$224&amp;", "&amp;$J$224,'FE Immobilisations'!G:U,7,FALSE)))</f>
        <v>0.5</v>
      </c>
    </row>
    <row r="229" spans="2:63" outlineLevel="1">
      <c r="B229" s="143" t="s">
        <v>3662</v>
      </c>
      <c r="C229" s="144"/>
      <c r="D229" s="212">
        <f>O229</f>
        <v>0</v>
      </c>
      <c r="E229" s="212"/>
      <c r="F229" s="392"/>
      <c r="G229" s="120"/>
      <c r="H229" s="222"/>
      <c r="I229" s="120"/>
      <c r="J229" s="222">
        <f>VLOOKUP($B229&amp;"; "&amp;$H$224&amp;", "&amp;$J$224,'FE Immobilisations'!$G:$U,9,FALSE)*$G229</f>
        <v>0</v>
      </c>
      <c r="K229" s="222">
        <f>IF(ISNA(VLOOKUP($B229&amp;"; "&amp;$H$224&amp;", "&amp;$K$224,'FE Immobilisations'!$G:$U,9,FALSE)),0,VLOOKUP($B229&amp;"; "&amp;$H$224&amp;", "&amp;$K$224,'FE Immobilisations'!$G:$U,9,FALSE)*$G229)</f>
        <v>0</v>
      </c>
      <c r="L229" s="222">
        <f>IF(ISNA(VLOOKUP($B229&amp;"; "&amp;$H$224&amp;", "&amp;$L$224,'FE Immobilisations'!$G:$U,9,FALSE)),0,VLOOKUP($B229&amp;"; "&amp;$H$224&amp;", "&amp;$L$224,'FE Immobilisations'!$G:$U,9,FALSE)*$G229)</f>
        <v>0</v>
      </c>
      <c r="M229" s="222">
        <f>IF(ISNA(VLOOKUP($B229&amp;"; "&amp;$H$224&amp;", "&amp;$M$224,'FE Immobilisations'!$G:$U,9,FALSE)),0,VLOOKUP($B229&amp;"; "&amp;$H$224&amp;", "&amp;$M$224,'FE Immobilisations'!$G:$U,9,FALSE)*$G229)</f>
        <v>0</v>
      </c>
      <c r="N229" s="222">
        <f>IF(ISNA(VLOOKUP($B229&amp;"; "&amp;$H$224&amp;", "&amp;$N$224,'FE Immobilisations'!$G:$U,9,FALSE)),0,VLOOKUP($B229&amp;"; "&amp;$H$224&amp;", "&amp;$N$224,'FE Immobilisations'!$G:$U,9,FALSE)*$G229)</f>
        <v>0</v>
      </c>
      <c r="O229" s="152">
        <f t="shared" si="40"/>
        <v>0</v>
      </c>
      <c r="Y229" s="319">
        <f>IF(AD229=0,AD229,AD229/O229)</f>
        <v>0</v>
      </c>
      <c r="Z229" s="121"/>
      <c r="AA229" s="820"/>
      <c r="AB229" s="820"/>
      <c r="AC229" s="820"/>
      <c r="AD229" s="152">
        <f t="shared" si="41"/>
        <v>0</v>
      </c>
      <c r="AG229" s="564"/>
      <c r="AH229" s="565">
        <f>IF(I229=0,0,IFERROR($G229*SUM((VLOOKUP($B229&amp;"; "&amp;$H$224&amp;", "&amp;J$224,'FE Immobilisations'!$G:$U,10,FALSE)),
VLOOKUP($B229&amp;"; "&amp;$H$224&amp;", "&amp;K$224,'FE Immobilisations'!$G:$U,10,FALSE),
VLOOKUP($B229&amp;"; "&amp;$H$224&amp;", "&amp;L$224,'FE Immobilisations'!$G:$U,10,FALSE),
VLOOKUP($B229&amp;"; "&amp;$H$224&amp;", "&amp;M$224,'FE Immobilisations'!$G:$U,10,FALSE),
VLOOKUP($B229&amp;"; "&amp;$H$224&amp;", "&amp;N$224,'FE Immobilisations'!$G:$U,10,FALSE))/I229,
$G229*VLOOKUP($B229&amp;"; "&amp;$H$224&amp;", "&amp;J$224,'FE Immobilisations'!$G:$U,10,FALSE)/I229))</f>
        <v>0</v>
      </c>
      <c r="AI229" s="620"/>
      <c r="AJ229" s="620">
        <f>IF(I229=0,0,IFERROR($G229*SUM((VLOOKUP($B229&amp;"; "&amp;$H$224&amp;", "&amp;J$224,'FE Immobilisations'!$G:$U,11,FALSE)+VLOOKUP($B229&amp;"; "&amp;$H$224&amp;", "&amp;J$224,'FE Immobilisations'!$G:$U,12,FALSE)),
(VLOOKUP($B229&amp;"; "&amp;$H$224&amp;", "&amp;K$224,'FE Immobilisations'!$G:$U,11,FALSE)+VLOOKUP($B229&amp;"; "&amp;$H$224&amp;", "&amp;K$224,'FE Immobilisations'!$G:$U,12,FALSE)),
(VLOOKUP($B229&amp;"; "&amp;$H$224&amp;", "&amp;L$224,'FE Immobilisations'!$G:$U,11,FALSE)+VLOOKUP($B229&amp;"; "&amp;$H$224&amp;", "&amp;L$224,'FE Immobilisations'!$G:$U,12,FALSE)),
(VLOOKUP($B229&amp;"; "&amp;$H$224&amp;", "&amp;M$224,'FE Immobilisations'!$G:$U,11,FALSE)+VLOOKUP($B229&amp;"; "&amp;$H$224&amp;", "&amp;M$224,'FE Immobilisations'!$G:$U,12,FALSE)),
(VLOOKUP($B229&amp;"; "&amp;$H$224&amp;", "&amp;N$224,'FE Immobilisations'!$G:$U,11,FALSE)+VLOOKUP($B229&amp;"; "&amp;$H$224&amp;", "&amp;N$224,'FE Immobilisations'!$G:$U,12,FALSE)))/I229,
$G229*VLOOKUP($B229&amp;"; "&amp;$H$224&amp;", "&amp;J$224,'FE Immobilisations'!$G:$U,11,FALSE)+VLOOKUP($B229&amp;"; "&amp;$H$224&amp;", "&amp;J$224,'FE Immobilisations'!$G:$U,12,FALSE))/I229)</f>
        <v>0</v>
      </c>
      <c r="AK229" s="620"/>
      <c r="AL229" s="620">
        <f>IF(I229=0,0,IFERROR($G229*SUM(VLOOKUP($B229&amp;"; "&amp;$H$224&amp;", "&amp;J$224,'FE Immobilisations'!$G:$U,13,FALSE),
VLOOKUP($B229&amp;"; "&amp;$H$224&amp;", "&amp;K$224,'FE Immobilisations'!$G:$U,13,FALSE),
VLOOKUP($B229&amp;"; "&amp;$H$224&amp;", "&amp;L$224,'FE Immobilisations'!$G:$U,13,FALSE),
VLOOKUP($B229&amp;"; "&amp;$H$224&amp;", "&amp;M$224,'FE Immobilisations'!$G:$U,13,FALSE),
VLOOKUP($B229&amp;"; "&amp;$H$224&amp;", "&amp;N$224,'FE Immobilisations'!$G:$U,13,FALSE))/I229,
$G229*VLOOKUP($B229&amp;"; "&amp;$H$224&amp;", "&amp;J$224,'FE Immobilisations'!$G:$U,13,FALSE))/I229)</f>
        <v>0</v>
      </c>
      <c r="AM229" s="565"/>
      <c r="AN229" s="565">
        <f>IF(I229=0,0,IFERROR($G229*SUM((VLOOKUP($B229&amp;"; "&amp;$H$224&amp;", "&amp;J$224,'FE Immobilisations'!$G:$U,14,FALSE)),
VLOOKUP($B229&amp;"; "&amp;$H$224&amp;", "&amp;K$224,'FE Immobilisations'!$G:$U,14,FALSE),
VLOOKUP($B229&amp;"; "&amp;$H$224&amp;", "&amp;L$224,'FE Immobilisations'!$G:$U,14,FALSE),
VLOOKUP($B229&amp;"; "&amp;$H$224&amp;", "&amp;M$224,'FE Immobilisations'!$G:$U,14,FALSE),
VLOOKUP($B229&amp;"; "&amp;$H$224&amp;", "&amp;N$224,'FE Immobilisations'!$G:$U,14,FALSE))/I229,
$G229*VLOOKUP($B229&amp;"; "&amp;$H$224&amp;", "&amp;J$224,'FE Immobilisations'!$G:$U,14,FALSE))/I229)</f>
        <v>0</v>
      </c>
      <c r="AO229" s="566"/>
      <c r="AP229" s="567">
        <f t="shared" si="42"/>
        <v>0</v>
      </c>
      <c r="AQ229" s="565"/>
      <c r="AR229" s="568">
        <f>IF(I229=0,0,IFERROR($G229*SUM((VLOOKUP($B229&amp;"; "&amp;$H$224&amp;", "&amp;J$224,'FE Immobilisations'!$G:$U,15,FALSE)),
VLOOKUP($B229&amp;"; "&amp;$H$224&amp;", "&amp;K$224,'FE Immobilisations'!$G:$U,15,FALSE),
VLOOKUP($B229&amp;"; "&amp;$H$224&amp;", "&amp;L$224,'FE Immobilisations'!$G:$U,15,FALSE),
VLOOKUP($B229&amp;"; "&amp;$H$224&amp;", "&amp;M$224,'FE Immobilisations'!$G:$U,15,FALSE),
VLOOKUP($B229&amp;"; "&amp;$H$224&amp;", "&amp;N$224,'FE Immobilisations'!$G:$U,15,FALSE))/I229,
$G229*VLOOKUP($B229&amp;"; "&amp;$H$224&amp;", "&amp;J$224,'FE Immobilisations'!$G:$U,15,FALSE)/I229))</f>
        <v>0</v>
      </c>
      <c r="AU229" s="891"/>
      <c r="AV229" s="892" t="str">
        <f>IF($F229="Oui",AH229*$I229,"")</f>
        <v/>
      </c>
      <c r="AW229" s="892"/>
      <c r="AX229" s="892" t="str">
        <f>IF($F229="Oui",AJ229*$I229,"")</f>
        <v/>
      </c>
      <c r="AY229" s="892"/>
      <c r="AZ229" s="892" t="str">
        <f>IF($F229="Oui",AL229*$I229,"")</f>
        <v/>
      </c>
      <c r="BA229" s="892"/>
      <c r="BB229" s="892" t="str">
        <f>IF($F229="Oui",AN229*$I229,"")</f>
        <v/>
      </c>
      <c r="BC229" s="900"/>
      <c r="BD229" s="900">
        <f>SUM(AV229,AX229,AZ229,BB229)</f>
        <v>0</v>
      </c>
      <c r="BE229" s="891"/>
      <c r="BF229" s="901" t="str">
        <f>IF($F229="Oui",IF(AR229="","",AR229*$I229),"")</f>
        <v/>
      </c>
      <c r="BG229" s="892"/>
      <c r="BH229" s="901" t="str">
        <f t="shared" si="39"/>
        <v/>
      </c>
      <c r="BJ229" s="1065">
        <f>IF($Z229&lt;&gt;"votre valeur :",IF(ISNA(VLOOKUP($Z229,Utilitaires!$N$566:$O$571,2,FALSE)),,VLOOKUP($Z229,Utilitaires!$N$566:$O$571,2,FALSE)),$AA229)</f>
        <v>0</v>
      </c>
      <c r="BK229" s="1130">
        <f>SQRT(SUMSQ(BJ229,VLOOKUP(B229&amp;"; "&amp;$H$224&amp;", "&amp;$J$224,'FE Immobilisations'!G:U,7,FALSE)))</f>
        <v>0.5</v>
      </c>
    </row>
    <row r="230" spans="2:63" outlineLevel="1">
      <c r="B230" s="143" t="s">
        <v>3693</v>
      </c>
      <c r="C230" s="144"/>
      <c r="D230" s="212">
        <f>O230</f>
        <v>0</v>
      </c>
      <c r="E230" s="212"/>
      <c r="F230" s="393"/>
      <c r="G230" s="123"/>
      <c r="H230" s="222"/>
      <c r="I230" s="123"/>
      <c r="J230" s="222">
        <f>VLOOKUP($B230&amp;"; "&amp;$H$224&amp;", "&amp;$J$224,'FE Immobilisations'!$G:$U,9,FALSE)*$G230</f>
        <v>0</v>
      </c>
      <c r="K230" s="222">
        <f>IF(ISNA(VLOOKUP($B230&amp;"; "&amp;$H$224&amp;", "&amp;$K$224,'FE Immobilisations'!$G:$U,9,FALSE)),0,VLOOKUP($B230&amp;"; "&amp;$H$224&amp;", "&amp;$K$224,'FE Immobilisations'!$G:$U,9,FALSE)*$G230)</f>
        <v>0</v>
      </c>
      <c r="L230" s="222">
        <f>IF(ISNA(VLOOKUP($B230&amp;"; "&amp;$H$224&amp;", "&amp;$L$224,'FE Immobilisations'!$G:$U,9,FALSE)),0,VLOOKUP($B230&amp;"; "&amp;$H$224&amp;", "&amp;$L$224,'FE Immobilisations'!$G:$U,9,FALSE)*$G230)</f>
        <v>0</v>
      </c>
      <c r="M230" s="222">
        <f>IF(ISNA(VLOOKUP($B230&amp;"; "&amp;$H$224&amp;", "&amp;$M$224,'FE Immobilisations'!$G:$U,9,FALSE)),0,VLOOKUP($B230&amp;"; "&amp;$H$224&amp;", "&amp;$M$224,'FE Immobilisations'!$G:$U,9,FALSE)*$G230)</f>
        <v>0</v>
      </c>
      <c r="N230" s="222">
        <f>IF(ISNA(VLOOKUP($B230&amp;"; "&amp;$H$224&amp;", "&amp;$N$224,'FE Immobilisations'!$G:$U,9,FALSE)),0,VLOOKUP($B230&amp;"; "&amp;$H$224&amp;", "&amp;$N$224,'FE Immobilisations'!$G:$U,9,FALSE)*$G230)</f>
        <v>0</v>
      </c>
      <c r="O230" s="152">
        <f t="shared" si="40"/>
        <v>0</v>
      </c>
      <c r="Y230" s="319">
        <f>IF(AD230=0,AD230,AD230/O230)</f>
        <v>0</v>
      </c>
      <c r="Z230" s="124"/>
      <c r="AA230" s="820"/>
      <c r="AB230" s="820"/>
      <c r="AC230" s="820"/>
      <c r="AD230" s="152">
        <f t="shared" si="41"/>
        <v>0</v>
      </c>
      <c r="AG230" s="564"/>
      <c r="AH230" s="565">
        <f>IF(I230=0,0,IFERROR($G230*SUM((VLOOKUP($B230&amp;"; "&amp;$H$224&amp;", "&amp;J$224,'FE Immobilisations'!$G:$U,10,FALSE)),
VLOOKUP($B230&amp;"; "&amp;$H$224&amp;", "&amp;K$224,'FE Immobilisations'!$G:$U,10,FALSE),
VLOOKUP($B230&amp;"; "&amp;$H$224&amp;", "&amp;L$224,'FE Immobilisations'!$G:$U,10,FALSE),
VLOOKUP($B230&amp;"; "&amp;$H$224&amp;", "&amp;M$224,'FE Immobilisations'!$G:$U,10,FALSE),
VLOOKUP($B230&amp;"; "&amp;$H$224&amp;", "&amp;N$224,'FE Immobilisations'!$G:$U,10,FALSE))/I230,
$G230*VLOOKUP($B230&amp;"; "&amp;$H$224&amp;", "&amp;J$224,'FE Immobilisations'!$G:$U,10,FALSE)/I230))</f>
        <v>0</v>
      </c>
      <c r="AI230" s="620"/>
      <c r="AJ230" s="620">
        <f>IF(I230=0,0,IFERROR($G230*SUM((VLOOKUP($B230&amp;"; "&amp;$H$224&amp;", "&amp;J$224,'FE Immobilisations'!$G:$U,11,FALSE)+VLOOKUP($B230&amp;"; "&amp;$H$224&amp;", "&amp;J$224,'FE Immobilisations'!$G:$U,12,FALSE)),
(VLOOKUP($B230&amp;"; "&amp;$H$224&amp;", "&amp;K$224,'FE Immobilisations'!$G:$U,11,FALSE)+VLOOKUP($B230&amp;"; "&amp;$H$224&amp;", "&amp;K$224,'FE Immobilisations'!$G:$U,12,FALSE)),
(VLOOKUP($B230&amp;"; "&amp;$H$224&amp;", "&amp;L$224,'FE Immobilisations'!$G:$U,11,FALSE)+VLOOKUP($B230&amp;"; "&amp;$H$224&amp;", "&amp;L$224,'FE Immobilisations'!$G:$U,12,FALSE)),
(VLOOKUP($B230&amp;"; "&amp;$H$224&amp;", "&amp;M$224,'FE Immobilisations'!$G:$U,11,FALSE)+VLOOKUP($B230&amp;"; "&amp;$H$224&amp;", "&amp;M$224,'FE Immobilisations'!$G:$U,12,FALSE)),
(VLOOKUP($B230&amp;"; "&amp;$H$224&amp;", "&amp;N$224,'FE Immobilisations'!$G:$U,11,FALSE)+VLOOKUP($B230&amp;"; "&amp;$H$224&amp;", "&amp;N$224,'FE Immobilisations'!$G:$U,12,FALSE)))/I230,
$G230*VLOOKUP($B230&amp;"; "&amp;$H$224&amp;", "&amp;J$224,'FE Immobilisations'!$G:$U,11,FALSE)+VLOOKUP($B230&amp;"; "&amp;$H$224&amp;", "&amp;J$224,'FE Immobilisations'!$G:$U,12,FALSE))/I230)</f>
        <v>0</v>
      </c>
      <c r="AK230" s="620"/>
      <c r="AL230" s="620">
        <f>IF(I230=0,0,IFERROR($G230*SUM(VLOOKUP($B230&amp;"; "&amp;$H$224&amp;", "&amp;J$224,'FE Immobilisations'!$G:$U,13,FALSE),
VLOOKUP($B230&amp;"; "&amp;$H$224&amp;", "&amp;K$224,'FE Immobilisations'!$G:$U,13,FALSE),
VLOOKUP($B230&amp;"; "&amp;$H$224&amp;", "&amp;L$224,'FE Immobilisations'!$G:$U,13,FALSE),
VLOOKUP($B230&amp;"; "&amp;$H$224&amp;", "&amp;M$224,'FE Immobilisations'!$G:$U,13,FALSE),
VLOOKUP($B230&amp;"; "&amp;$H$224&amp;", "&amp;N$224,'FE Immobilisations'!$G:$U,13,FALSE))/I230,
$G230*VLOOKUP($B230&amp;"; "&amp;$H$224&amp;", "&amp;J$224,'FE Immobilisations'!$G:$U,13,FALSE))/I230)</f>
        <v>0</v>
      </c>
      <c r="AM230" s="565"/>
      <c r="AN230" s="565">
        <f>IF(I230=0,0,IFERROR($G230*SUM((VLOOKUP($B230&amp;"; "&amp;$H$224&amp;", "&amp;J$224,'FE Immobilisations'!$G:$U,14,FALSE)),
VLOOKUP($B230&amp;"; "&amp;$H$224&amp;", "&amp;K$224,'FE Immobilisations'!$G:$U,14,FALSE),
VLOOKUP($B230&amp;"; "&amp;$H$224&amp;", "&amp;L$224,'FE Immobilisations'!$G:$U,14,FALSE),
VLOOKUP($B230&amp;"; "&amp;$H$224&amp;", "&amp;M$224,'FE Immobilisations'!$G:$U,14,FALSE),
VLOOKUP($B230&amp;"; "&amp;$H$224&amp;", "&amp;N$224,'FE Immobilisations'!$G:$U,14,FALSE))/I230,
$G230*VLOOKUP($B230&amp;"; "&amp;$H$224&amp;", "&amp;J$224,'FE Immobilisations'!$G:$U,14,FALSE))/I230)</f>
        <v>0</v>
      </c>
      <c r="AO230" s="566"/>
      <c r="AP230" s="567">
        <f t="shared" si="42"/>
        <v>0</v>
      </c>
      <c r="AQ230" s="565"/>
      <c r="AR230" s="568">
        <f>IF(I230=0,0,IFERROR($G230*SUM((VLOOKUP($B230&amp;"; "&amp;$H$224&amp;", "&amp;J$224,'FE Immobilisations'!$G:$U,15,FALSE)),
VLOOKUP($B230&amp;"; "&amp;$H$224&amp;", "&amp;K$224,'FE Immobilisations'!$G:$U,15,FALSE),
VLOOKUP($B230&amp;"; "&amp;$H$224&amp;", "&amp;L$224,'FE Immobilisations'!$G:$U,15,FALSE),
VLOOKUP($B230&amp;"; "&amp;$H$224&amp;", "&amp;M$224,'FE Immobilisations'!$G:$U,15,FALSE),
VLOOKUP($B230&amp;"; "&amp;$H$224&amp;", "&amp;N$224,'FE Immobilisations'!$G:$U,15,FALSE))/I230,
$G230*VLOOKUP($B230&amp;"; "&amp;$H$224&amp;", "&amp;J$224,'FE Immobilisations'!$G:$U,15,FALSE)/I230))</f>
        <v>0</v>
      </c>
      <c r="AU230" s="891"/>
      <c r="AV230" s="892"/>
      <c r="AW230" s="892"/>
      <c r="AX230" s="892"/>
      <c r="AY230" s="892"/>
      <c r="AZ230" s="892"/>
      <c r="BA230" s="892"/>
      <c r="BB230" s="892"/>
      <c r="BC230" s="900"/>
      <c r="BD230" s="900">
        <f>SUM(AV230,AX230,AZ230,BB230)</f>
        <v>0</v>
      </c>
      <c r="BE230" s="891"/>
      <c r="BF230" s="901"/>
      <c r="BG230" s="892"/>
      <c r="BH230" s="901" t="str">
        <f t="shared" si="39"/>
        <v/>
      </c>
      <c r="BJ230" s="1065">
        <f>IF($Z230&lt;&gt;"votre valeur :",IF(ISNA(VLOOKUP($Z230,Utilitaires!$N$566:$O$571,2,FALSE)),,VLOOKUP($Z230,Utilitaires!$N$566:$O$571,2,FALSE)),$AA230)</f>
        <v>0</v>
      </c>
      <c r="BK230" s="1130">
        <f>SQRT(SUMSQ(BJ230,VLOOKUP(B230&amp;"; "&amp;$H$224&amp;", "&amp;$J$224,'FE Immobilisations'!G:U,7,FALSE)))</f>
        <v>0.5</v>
      </c>
    </row>
    <row r="231" spans="2:63" outlineLevel="1">
      <c r="B231" s="143"/>
      <c r="C231" s="144"/>
      <c r="D231" s="213"/>
      <c r="E231" s="213"/>
      <c r="F231" s="144"/>
      <c r="G231" s="144"/>
      <c r="H231" s="144"/>
      <c r="I231" s="144"/>
      <c r="J231" s="144"/>
      <c r="K231" s="144"/>
      <c r="L231" s="144"/>
      <c r="M231" s="144"/>
      <c r="N231" s="144"/>
      <c r="O231" s="165"/>
      <c r="Y231" s="226"/>
      <c r="Z231" s="144"/>
      <c r="AA231" s="820"/>
      <c r="AB231" s="820"/>
      <c r="AC231" s="820"/>
      <c r="AD231" s="152"/>
      <c r="AG231" s="564"/>
      <c r="AH231" s="565"/>
      <c r="AI231" s="620"/>
      <c r="AJ231" s="620"/>
      <c r="AK231" s="620"/>
      <c r="AL231" s="620"/>
      <c r="AM231" s="565"/>
      <c r="AN231" s="565"/>
      <c r="AO231" s="565"/>
      <c r="AP231" s="568"/>
      <c r="AQ231" s="565"/>
      <c r="AR231" s="568"/>
      <c r="AU231" s="891"/>
      <c r="AV231" s="892" t="str">
        <f>IF($F231="Oui",AH231*$I231,"")</f>
        <v/>
      </c>
      <c r="AW231" s="892"/>
      <c r="AX231" s="892" t="str">
        <f>IF($F231="Oui",AJ231*$I231,"")</f>
        <v/>
      </c>
      <c r="AY231" s="892"/>
      <c r="AZ231" s="892" t="str">
        <f>IF($F231="Oui",AL231*$I231,"")</f>
        <v/>
      </c>
      <c r="BA231" s="892"/>
      <c r="BB231" s="892" t="str">
        <f>IF($F231="Oui",AN231*$I231,"")</f>
        <v/>
      </c>
      <c r="BC231" s="900"/>
      <c r="BD231" s="900"/>
      <c r="BE231" s="891"/>
      <c r="BF231" s="901" t="str">
        <f>IF($F231="Oui",IF(AR231="","",AR231*$I231),"")</f>
        <v/>
      </c>
      <c r="BG231" s="892"/>
      <c r="BH231" s="901" t="str">
        <f t="shared" si="39"/>
        <v/>
      </c>
      <c r="BJ231" s="1142"/>
      <c r="BK231" s="1143"/>
    </row>
    <row r="232" spans="2:63" outlineLevel="1">
      <c r="B232" s="196" t="s">
        <v>348</v>
      </c>
      <c r="C232" s="197"/>
      <c r="D232" s="214">
        <f>SUM(D226:D231)</f>
        <v>1738.3866666666668</v>
      </c>
      <c r="E232" s="214"/>
      <c r="F232" s="199"/>
      <c r="G232" s="199"/>
      <c r="H232" s="199"/>
      <c r="I232" s="199"/>
      <c r="J232" s="199"/>
      <c r="K232" s="199"/>
      <c r="L232" s="199"/>
      <c r="M232" s="199"/>
      <c r="N232" s="199"/>
      <c r="O232" s="200">
        <f>SUM(O226:O231)</f>
        <v>1738.3866666666668</v>
      </c>
      <c r="Y232" s="1204">
        <f>IF(AD232=0,AD232,AD232/O232)</f>
        <v>0.32959881258768242</v>
      </c>
      <c r="Z232" s="199"/>
      <c r="AA232" s="199"/>
      <c r="AB232" s="199"/>
      <c r="AC232" s="199"/>
      <c r="AD232" s="200">
        <f>SQRT(SUMSQ(AD226:AD231))</f>
        <v>572.97018115159267</v>
      </c>
      <c r="AG232" s="1082"/>
      <c r="AH232" s="572">
        <f t="shared" ref="AH232:AR232" si="43">SUM(AH223:AH231)</f>
        <v>1738.3866666666668</v>
      </c>
      <c r="AI232" s="621"/>
      <c r="AJ232" s="621">
        <f t="shared" si="43"/>
        <v>0</v>
      </c>
      <c r="AK232" s="621"/>
      <c r="AL232" s="621">
        <f t="shared" si="43"/>
        <v>0</v>
      </c>
      <c r="AM232" s="572"/>
      <c r="AN232" s="572">
        <f t="shared" si="43"/>
        <v>0</v>
      </c>
      <c r="AO232" s="572"/>
      <c r="AP232" s="575">
        <f t="shared" si="43"/>
        <v>1738.3866666666668</v>
      </c>
      <c r="AQ232" s="1082"/>
      <c r="AR232" s="575">
        <f t="shared" si="43"/>
        <v>0</v>
      </c>
      <c r="AU232" s="894"/>
      <c r="AV232" s="895">
        <f t="shared" ref="AV232:BH232" si="44">SUM(AV223:AV231)</f>
        <v>0</v>
      </c>
      <c r="AW232" s="895"/>
      <c r="AX232" s="895">
        <f t="shared" si="44"/>
        <v>0</v>
      </c>
      <c r="AY232" s="895"/>
      <c r="AZ232" s="895">
        <f t="shared" si="44"/>
        <v>0</v>
      </c>
      <c r="BA232" s="895"/>
      <c r="BB232" s="895">
        <f t="shared" si="44"/>
        <v>0</v>
      </c>
      <c r="BC232" s="895"/>
      <c r="BD232" s="896">
        <f t="shared" si="44"/>
        <v>0</v>
      </c>
      <c r="BE232" s="894"/>
      <c r="BF232" s="896">
        <f t="shared" si="44"/>
        <v>0</v>
      </c>
      <c r="BG232" s="894"/>
      <c r="BH232" s="896">
        <f t="shared" si="44"/>
        <v>0</v>
      </c>
    </row>
    <row r="233" spans="2:63" outlineLevel="1">
      <c r="B233" s="116"/>
      <c r="C233" s="116"/>
      <c r="D233" s="116"/>
      <c r="E233" s="116"/>
      <c r="F233" s="116"/>
      <c r="G233" s="116"/>
      <c r="H233" s="262"/>
      <c r="Z233" s="272"/>
      <c r="AK233" s="114"/>
      <c r="AU233" s="441"/>
      <c r="AV233" s="441"/>
      <c r="AW233" s="441"/>
      <c r="AX233" s="441"/>
      <c r="AY233" s="441"/>
      <c r="AZ233" s="441"/>
      <c r="BA233" s="441"/>
      <c r="BB233" s="441"/>
      <c r="BC233" s="441"/>
      <c r="BD233" s="441"/>
      <c r="BE233" s="441"/>
      <c r="BF233" s="441"/>
    </row>
    <row r="234" spans="2:63" ht="12.75" customHeight="1" outlineLevel="1">
      <c r="B234" s="139" t="s">
        <v>584</v>
      </c>
      <c r="C234" s="140"/>
      <c r="D234" s="377"/>
      <c r="E234" s="1648"/>
      <c r="F234" s="141"/>
      <c r="G234" s="141"/>
      <c r="H234" s="141"/>
      <c r="I234" s="141"/>
      <c r="J234" s="141"/>
      <c r="K234" s="142"/>
      <c r="Y234" s="2636" t="s">
        <v>366</v>
      </c>
      <c r="Z234" s="2637"/>
      <c r="AA234" s="2637"/>
      <c r="AB234" s="2637"/>
      <c r="AC234" s="2637"/>
      <c r="AD234" s="2638"/>
      <c r="AG234" s="2639" t="s">
        <v>441</v>
      </c>
      <c r="AH234" s="2640"/>
      <c r="AI234" s="2640"/>
      <c r="AJ234" s="2640"/>
      <c r="AK234" s="2640"/>
      <c r="AL234" s="2640"/>
      <c r="AM234" s="2640"/>
      <c r="AN234" s="2640"/>
      <c r="AO234" s="2640"/>
      <c r="AP234" s="2640"/>
      <c r="AQ234" s="2640"/>
      <c r="AR234" s="2641"/>
      <c r="AU234" s="2860" t="s">
        <v>441</v>
      </c>
      <c r="AV234" s="2861"/>
      <c r="AW234" s="2861"/>
      <c r="AX234" s="2861"/>
      <c r="AY234" s="2861"/>
      <c r="AZ234" s="2861"/>
      <c r="BA234" s="2861"/>
      <c r="BB234" s="2861"/>
      <c r="BC234" s="2861"/>
      <c r="BD234" s="2861"/>
      <c r="BE234" s="2861"/>
      <c r="BF234" s="2861"/>
      <c r="BG234" s="2861"/>
      <c r="BH234" s="2862"/>
    </row>
    <row r="235" spans="2:63" ht="12.75" customHeight="1" outlineLevel="1">
      <c r="B235" s="332"/>
      <c r="C235" s="167"/>
      <c r="D235" s="378" t="s">
        <v>308</v>
      </c>
      <c r="E235" s="1663"/>
      <c r="F235" s="144"/>
      <c r="G235" s="144"/>
      <c r="H235" s="144"/>
      <c r="I235" s="155"/>
      <c r="J235" s="144"/>
      <c r="K235" s="145"/>
      <c r="Y235" s="1614"/>
      <c r="Z235" s="819"/>
      <c r="AA235" s="827"/>
      <c r="AB235" s="820"/>
      <c r="AC235" s="820"/>
      <c r="AD235" s="145"/>
      <c r="AG235" s="2642" t="s">
        <v>444</v>
      </c>
      <c r="AH235" s="2643"/>
      <c r="AI235" s="2643"/>
      <c r="AJ235" s="2643"/>
      <c r="AK235" s="2643"/>
      <c r="AL235" s="2643"/>
      <c r="AM235" s="2643"/>
      <c r="AN235" s="2643"/>
      <c r="AO235" s="2643" t="s">
        <v>444</v>
      </c>
      <c r="AP235" s="2644"/>
      <c r="AQ235" s="624"/>
      <c r="AR235" s="578"/>
      <c r="AU235" s="2863" t="s">
        <v>444</v>
      </c>
      <c r="AV235" s="2864"/>
      <c r="AW235" s="2864"/>
      <c r="AX235" s="2864"/>
      <c r="AY235" s="2864"/>
      <c r="AZ235" s="2864"/>
      <c r="BA235" s="2864"/>
      <c r="BB235" s="2864"/>
      <c r="BC235" s="2864" t="s">
        <v>444</v>
      </c>
      <c r="BD235" s="2865"/>
      <c r="BE235" s="1580"/>
      <c r="BF235" s="899"/>
      <c r="BG235" s="2863" t="s">
        <v>366</v>
      </c>
      <c r="BH235" s="2865"/>
      <c r="BJ235" s="2766" t="s">
        <v>1648</v>
      </c>
      <c r="BK235" s="2767"/>
    </row>
    <row r="236" spans="2:63" ht="12.75" customHeight="1" outlineLevel="1">
      <c r="B236" s="143"/>
      <c r="C236" s="144"/>
      <c r="D236" s="379" t="s">
        <v>409</v>
      </c>
      <c r="E236" s="1656"/>
      <c r="F236" s="147" t="s">
        <v>772</v>
      </c>
      <c r="G236" s="147" t="s">
        <v>567</v>
      </c>
      <c r="H236" s="379" t="s">
        <v>444</v>
      </c>
      <c r="I236" s="147" t="s">
        <v>335</v>
      </c>
      <c r="J236" s="1615"/>
      <c r="K236" s="384" t="s">
        <v>444</v>
      </c>
      <c r="Y236" s="1614" t="s">
        <v>316</v>
      </c>
      <c r="Z236" s="2629" t="s">
        <v>530</v>
      </c>
      <c r="AA236" s="2630"/>
      <c r="AB236" s="820"/>
      <c r="AC236" s="820"/>
      <c r="AD236" s="1618" t="s">
        <v>444</v>
      </c>
      <c r="AG236" s="2631" t="s">
        <v>211</v>
      </c>
      <c r="AH236" s="2632"/>
      <c r="AI236" s="2632" t="s">
        <v>442</v>
      </c>
      <c r="AJ236" s="2632"/>
      <c r="AK236" s="2632" t="s">
        <v>267</v>
      </c>
      <c r="AL236" s="2632"/>
      <c r="AM236" s="2632" t="s">
        <v>443</v>
      </c>
      <c r="AN236" s="2632"/>
      <c r="AO236" s="2648" t="s">
        <v>327</v>
      </c>
      <c r="AP236" s="2649"/>
      <c r="AQ236" s="2631" t="s">
        <v>636</v>
      </c>
      <c r="AR236" s="2650"/>
      <c r="AU236" s="2866" t="s">
        <v>211</v>
      </c>
      <c r="AV236" s="2867"/>
      <c r="AW236" s="2867" t="s">
        <v>442</v>
      </c>
      <c r="AX236" s="2867"/>
      <c r="AY236" s="2867" t="s">
        <v>267</v>
      </c>
      <c r="AZ236" s="2867"/>
      <c r="BA236" s="2867" t="s">
        <v>443</v>
      </c>
      <c r="BB236" s="2867"/>
      <c r="BC236" s="2868" t="s">
        <v>327</v>
      </c>
      <c r="BD236" s="2869"/>
      <c r="BE236" s="2866" t="s">
        <v>636</v>
      </c>
      <c r="BF236" s="2870"/>
      <c r="BG236" s="2866" t="s">
        <v>444</v>
      </c>
      <c r="BH236" s="2870"/>
      <c r="BJ236" s="1613" t="s">
        <v>2167</v>
      </c>
      <c r="BK236" s="1617" t="s">
        <v>2187</v>
      </c>
    </row>
    <row r="237" spans="2:63" ht="12.75" customHeight="1" outlineLevel="1">
      <c r="B237" s="382"/>
      <c r="C237" s="379"/>
      <c r="D237" s="379" t="s">
        <v>444</v>
      </c>
      <c r="E237" s="1656"/>
      <c r="F237" s="149" t="str">
        <f>Descriptif!$D$4&amp;" ?"</f>
        <v>2022 ?</v>
      </c>
      <c r="G237" s="153" t="s">
        <v>152</v>
      </c>
      <c r="H237" s="379" t="s">
        <v>568</v>
      </c>
      <c r="I237" s="149" t="s">
        <v>336</v>
      </c>
      <c r="J237" s="1615"/>
      <c r="K237" s="384"/>
      <c r="Y237" s="1614" t="s">
        <v>1649</v>
      </c>
      <c r="Z237" s="2646"/>
      <c r="AA237" s="2647"/>
      <c r="AB237" s="820"/>
      <c r="AC237" s="820"/>
      <c r="AD237" s="1618"/>
      <c r="AG237" s="1619"/>
      <c r="AH237" s="1620"/>
      <c r="AI237" s="1620"/>
      <c r="AJ237" s="1620"/>
      <c r="AK237" s="1620"/>
      <c r="AL237" s="1620"/>
      <c r="AM237" s="1620"/>
      <c r="AN237" s="1620"/>
      <c r="AO237" s="581"/>
      <c r="AP237" s="582"/>
      <c r="AQ237" s="1620"/>
      <c r="AR237" s="1621"/>
      <c r="AU237" s="1575"/>
      <c r="AV237" s="1576"/>
      <c r="AW237" s="1576"/>
      <c r="AX237" s="1576"/>
      <c r="AY237" s="1576"/>
      <c r="AZ237" s="1576"/>
      <c r="BA237" s="1576"/>
      <c r="BB237" s="1576"/>
      <c r="BC237" s="1577"/>
      <c r="BD237" s="1577"/>
      <c r="BE237" s="1575"/>
      <c r="BF237" s="1578"/>
      <c r="BG237" s="1576"/>
      <c r="BH237" s="1578"/>
      <c r="BJ237" s="1065"/>
      <c r="BK237" s="1130"/>
    </row>
    <row r="238" spans="2:63" outlineLevel="1">
      <c r="B238" s="143" t="s">
        <v>1220</v>
      </c>
      <c r="C238" s="144"/>
      <c r="D238" s="212">
        <f>K238</f>
        <v>0</v>
      </c>
      <c r="E238" s="212"/>
      <c r="F238" s="391"/>
      <c r="G238" s="117"/>
      <c r="H238" s="219">
        <f>VLOOKUP(B238,'FE Immobilisations'!I:U,7,FALSE)</f>
        <v>917</v>
      </c>
      <c r="I238" s="117"/>
      <c r="J238" s="219"/>
      <c r="K238" s="152">
        <f>IF(I238=0,0,G238*H238/I238)</f>
        <v>0</v>
      </c>
      <c r="Y238" s="319">
        <f>IF(AD238=0,AD238,AD238/K238)</f>
        <v>0</v>
      </c>
      <c r="Z238" s="1017"/>
      <c r="AA238" s="820"/>
      <c r="AB238" s="820"/>
      <c r="AC238" s="820"/>
      <c r="AD238" s="152">
        <f>D238*BK238</f>
        <v>0</v>
      </c>
      <c r="AG238" s="564"/>
      <c r="AH238" s="565">
        <f>K238</f>
        <v>0</v>
      </c>
      <c r="AI238" s="620"/>
      <c r="AJ238" s="620"/>
      <c r="AK238" s="620"/>
      <c r="AL238" s="620"/>
      <c r="AM238" s="565"/>
      <c r="AN238" s="565"/>
      <c r="AO238" s="566"/>
      <c r="AP238" s="567">
        <f>SUM(AG238:AN238)</f>
        <v>0</v>
      </c>
      <c r="AQ238" s="565"/>
      <c r="AR238" s="568"/>
      <c r="AU238" s="891"/>
      <c r="AV238" s="892" t="str">
        <f>IF($F238="Oui",AH238*$I238,"")</f>
        <v/>
      </c>
      <c r="AW238" s="892"/>
      <c r="AX238" s="892"/>
      <c r="AY238" s="892"/>
      <c r="AZ238" s="892"/>
      <c r="BA238" s="892"/>
      <c r="BB238" s="892"/>
      <c r="BC238" s="900"/>
      <c r="BD238" s="900">
        <f>SUM(AV238,AX238,AZ238,BB238)</f>
        <v>0</v>
      </c>
      <c r="BE238" s="891"/>
      <c r="BF238" s="901" t="str">
        <f>IF($F238="Oui",IF(AR238="","",AR238*$I238),"")</f>
        <v/>
      </c>
      <c r="BG238" s="892"/>
      <c r="BH238" s="901" t="str">
        <f>IF($F238="Oui",IF(AC238="","",AC238*$I238),"")</f>
        <v/>
      </c>
      <c r="BJ238" s="2570">
        <f>IF($Z238&lt;&gt;"votre valeur :",IF(ISNA(VLOOKUP($Z238,Utilitaires!$N$566:$O$571,2,FALSE)),,VLOOKUP($Z238,Utilitaires!$N$566:$O$571,2,FALSE)),$AA238)</f>
        <v>0</v>
      </c>
      <c r="BK238" s="1130">
        <f>SQRT(SUMSQ(BJ238,VLOOKUP(B238,'FE Immobilisations'!I:U,5,FALSE)))</f>
        <v>0.5</v>
      </c>
    </row>
    <row r="239" spans="2:63" outlineLevel="1">
      <c r="B239" s="143" t="s">
        <v>1220</v>
      </c>
      <c r="C239" s="144"/>
      <c r="D239" s="212">
        <f>K239</f>
        <v>0</v>
      </c>
      <c r="E239" s="212"/>
      <c r="F239" s="393"/>
      <c r="G239" s="123"/>
      <c r="H239" s="219">
        <f>VLOOKUP(B239,'FE Immobilisations'!I:U,7,FALSE)</f>
        <v>917</v>
      </c>
      <c r="I239" s="123"/>
      <c r="J239" s="219"/>
      <c r="K239" s="152">
        <f>IF(I239=0,0,G239*H239/I239)</f>
        <v>0</v>
      </c>
      <c r="Y239" s="319">
        <f>IF(AD239=0,AD239,AD239/K239)</f>
        <v>0</v>
      </c>
      <c r="Z239" s="1017"/>
      <c r="AA239" s="820"/>
      <c r="AB239" s="820"/>
      <c r="AC239" s="820"/>
      <c r="AD239" s="152">
        <f>D239*BK239</f>
        <v>0</v>
      </c>
      <c r="AG239" s="564"/>
      <c r="AH239" s="565">
        <f>K239</f>
        <v>0</v>
      </c>
      <c r="AI239" s="620"/>
      <c r="AJ239" s="620"/>
      <c r="AK239" s="620"/>
      <c r="AL239" s="620"/>
      <c r="AM239" s="565"/>
      <c r="AN239" s="565"/>
      <c r="AO239" s="566"/>
      <c r="AP239" s="567">
        <f>SUM(AG239:AN239)</f>
        <v>0</v>
      </c>
      <c r="AQ239" s="565"/>
      <c r="AR239" s="568"/>
      <c r="AU239" s="891"/>
      <c r="AV239" s="892" t="str">
        <f>IF($F239="Oui",AH239*$I239,"")</f>
        <v/>
      </c>
      <c r="AW239" s="892"/>
      <c r="AX239" s="892"/>
      <c r="AY239" s="892"/>
      <c r="AZ239" s="892"/>
      <c r="BA239" s="892"/>
      <c r="BB239" s="892"/>
      <c r="BC239" s="900"/>
      <c r="BD239" s="900">
        <f>SUM(AV239,AX239,AZ239,BB239)</f>
        <v>0</v>
      </c>
      <c r="BE239" s="891"/>
      <c r="BF239" s="901" t="str">
        <f>IF($F239="Oui",IF(AR239="","",AR239*$I239),"")</f>
        <v/>
      </c>
      <c r="BG239" s="892"/>
      <c r="BH239" s="901" t="str">
        <f>IF($F239="Oui",IF(AC239="","",AC239*$I239),"")</f>
        <v/>
      </c>
      <c r="BJ239" s="1065">
        <f>IF($Z239&lt;&gt;"votre valeur :",IF(ISNA(VLOOKUP($Z239,Utilitaires!$N$566:$O$571,2,FALSE)),,VLOOKUP($Z239,Utilitaires!$N$566:$O$571,2,FALSE)),$AA239)</f>
        <v>0</v>
      </c>
      <c r="BK239" s="1130">
        <f>SQRT(SUMSQ(BJ239,VLOOKUP(B239,'FE Immobilisations'!I:U,5,FALSE)))</f>
        <v>0.5</v>
      </c>
    </row>
    <row r="240" spans="2:63" outlineLevel="1">
      <c r="B240" s="143"/>
      <c r="C240" s="144"/>
      <c r="D240" s="212"/>
      <c r="E240" s="212"/>
      <c r="F240" s="144"/>
      <c r="G240" s="144"/>
      <c r="H240" s="144"/>
      <c r="I240" s="144"/>
      <c r="J240" s="144"/>
      <c r="K240" s="165"/>
      <c r="Y240" s="226"/>
      <c r="Z240" s="144"/>
      <c r="AA240" s="820"/>
      <c r="AB240" s="820"/>
      <c r="AC240" s="820"/>
      <c r="AD240" s="152"/>
      <c r="AG240" s="564"/>
      <c r="AH240" s="565"/>
      <c r="AI240" s="620"/>
      <c r="AJ240" s="620"/>
      <c r="AK240" s="620"/>
      <c r="AL240" s="620"/>
      <c r="AM240" s="565"/>
      <c r="AN240" s="565"/>
      <c r="AO240" s="565"/>
      <c r="AP240" s="568"/>
      <c r="AQ240" s="565"/>
      <c r="AR240" s="568"/>
      <c r="AU240" s="891"/>
      <c r="AV240" s="892" t="str">
        <f>IF($F240="Oui",AH240*$I240,"")</f>
        <v/>
      </c>
      <c r="AW240" s="892"/>
      <c r="AX240" s="892"/>
      <c r="AY240" s="892"/>
      <c r="AZ240" s="892"/>
      <c r="BA240" s="892"/>
      <c r="BB240" s="892"/>
      <c r="BC240" s="900"/>
      <c r="BD240" s="900"/>
      <c r="BE240" s="891"/>
      <c r="BF240" s="901" t="str">
        <f>IF($F240="Oui",IF(AR240="","",AR240*$I240),"")</f>
        <v/>
      </c>
      <c r="BG240" s="892"/>
      <c r="BH240" s="901" t="str">
        <f>IF($F240="Oui",IF(AC240="","",AC240*$I240),"")</f>
        <v/>
      </c>
      <c r="BJ240" s="1142"/>
      <c r="BK240" s="1143"/>
    </row>
    <row r="241" spans="2:60" outlineLevel="1">
      <c r="B241" s="196" t="s">
        <v>348</v>
      </c>
      <c r="C241" s="197"/>
      <c r="D241" s="214">
        <f>SUM(D239:D240)</f>
        <v>0</v>
      </c>
      <c r="E241" s="214"/>
      <c r="F241" s="199"/>
      <c r="G241" s="199"/>
      <c r="H241" s="199"/>
      <c r="I241" s="199"/>
      <c r="J241" s="199"/>
      <c r="K241" s="200">
        <f>SUM(K239:K240)</f>
        <v>0</v>
      </c>
      <c r="Y241" s="1204">
        <f>IF(AD241=0,AD241,AD241/K241)</f>
        <v>0</v>
      </c>
      <c r="Z241" s="199"/>
      <c r="AA241" s="199"/>
      <c r="AB241" s="199"/>
      <c r="AC241" s="199"/>
      <c r="AD241" s="200">
        <f>SQRT(SUMSQ(AD234:AD240))</f>
        <v>0</v>
      </c>
      <c r="AG241" s="1082"/>
      <c r="AH241" s="572">
        <f>SUM(AH235:AH240)</f>
        <v>0</v>
      </c>
      <c r="AI241" s="621"/>
      <c r="AJ241" s="621"/>
      <c r="AK241" s="621"/>
      <c r="AL241" s="621"/>
      <c r="AM241" s="572"/>
      <c r="AN241" s="572"/>
      <c r="AO241" s="572"/>
      <c r="AP241" s="575">
        <f>SUM(AP235:AP240)</f>
        <v>0</v>
      </c>
      <c r="AQ241" s="1082"/>
      <c r="AR241" s="575"/>
      <c r="AU241" s="894"/>
      <c r="AV241" s="895">
        <f>SUM(AV231:AV240)</f>
        <v>0</v>
      </c>
      <c r="AW241" s="895"/>
      <c r="AX241" s="895"/>
      <c r="AY241" s="895"/>
      <c r="AZ241" s="895"/>
      <c r="BA241" s="895"/>
      <c r="BB241" s="895"/>
      <c r="BC241" s="895"/>
      <c r="BD241" s="896">
        <f>SUM(BD237:BD240)</f>
        <v>0</v>
      </c>
      <c r="BE241" s="894"/>
      <c r="BF241" s="896">
        <f>SUM(BF231:BF240)</f>
        <v>0</v>
      </c>
      <c r="BG241" s="894"/>
      <c r="BH241" s="896">
        <f>SUM(BH231:BH240)</f>
        <v>0</v>
      </c>
    </row>
    <row r="242" spans="2:60" outlineLevel="1">
      <c r="B242" s="116"/>
      <c r="C242" s="116"/>
      <c r="D242" s="116"/>
      <c r="E242" s="116"/>
      <c r="F242" s="262"/>
      <c r="K242" s="272"/>
    </row>
    <row r="243" spans="2:60">
      <c r="H243" s="126"/>
      <c r="K243" s="264"/>
      <c r="L243" s="267"/>
      <c r="M243" s="267"/>
    </row>
    <row r="244" spans="2:60">
      <c r="H244" s="126"/>
      <c r="K244" s="264"/>
      <c r="L244" s="267"/>
      <c r="M244" s="267"/>
    </row>
    <row r="245" spans="2:60">
      <c r="H245" s="126"/>
      <c r="K245" s="264"/>
      <c r="L245" s="267"/>
      <c r="M245" s="267"/>
    </row>
    <row r="246" spans="2:60" ht="20.100000000000001" customHeight="1">
      <c r="B246" s="2664" t="s">
        <v>518</v>
      </c>
      <c r="C246" s="2665"/>
      <c r="D246" s="2665"/>
      <c r="E246" s="2665"/>
      <c r="F246" s="2665"/>
      <c r="G246" s="2665"/>
      <c r="H246" s="2665"/>
      <c r="I246" s="2665"/>
      <c r="J246" s="2665"/>
      <c r="K246" s="2665"/>
      <c r="L246" s="2665"/>
      <c r="M246" s="2665"/>
      <c r="N246" s="2665"/>
      <c r="O246" s="2666"/>
    </row>
    <row r="247" spans="2:60">
      <c r="H247" s="254"/>
    </row>
    <row r="248" spans="2:60" ht="12.75" customHeight="1">
      <c r="B248" s="2667" t="str">
        <f>Descriptif!C33</f>
        <v>Immobilisations</v>
      </c>
      <c r="C248" s="2668"/>
      <c r="D248" s="2671" t="s">
        <v>409</v>
      </c>
      <c r="E248" s="2672"/>
      <c r="F248" s="2673"/>
      <c r="G248" s="129"/>
      <c r="H248" s="2671" t="s">
        <v>159</v>
      </c>
      <c r="I248" s="2673"/>
      <c r="J248" s="170"/>
      <c r="K248" s="2674" t="s">
        <v>499</v>
      </c>
      <c r="L248" s="2675"/>
      <c r="M248" s="2675"/>
      <c r="N248" s="2676"/>
      <c r="AE248" s="441"/>
      <c r="AF248" s="441"/>
      <c r="AG248" s="441"/>
      <c r="AH248" s="441"/>
      <c r="AI248" s="441"/>
      <c r="AJ248" s="441"/>
      <c r="AS248" s="114"/>
      <c r="AT248" s="114"/>
    </row>
    <row r="249" spans="2:60" ht="15">
      <c r="B249" s="2669"/>
      <c r="C249" s="2670"/>
      <c r="D249" s="281" t="s">
        <v>444</v>
      </c>
      <c r="E249" s="280" t="s">
        <v>500</v>
      </c>
      <c r="F249" s="281" t="s">
        <v>524</v>
      </c>
      <c r="G249" s="129"/>
      <c r="H249" s="281" t="s">
        <v>444</v>
      </c>
      <c r="I249" s="281" t="s">
        <v>355</v>
      </c>
      <c r="J249" s="170"/>
      <c r="K249" s="282" t="s">
        <v>43</v>
      </c>
      <c r="L249" s="282" t="s">
        <v>522</v>
      </c>
      <c r="M249" s="282" t="s">
        <v>522</v>
      </c>
      <c r="N249" s="282" t="s">
        <v>523</v>
      </c>
      <c r="AE249" s="593"/>
      <c r="AF249" s="593"/>
      <c r="AG249" s="593"/>
      <c r="AH249" s="593"/>
      <c r="AI249" s="593"/>
      <c r="AJ249" s="441"/>
      <c r="AQ249" s="593"/>
      <c r="AR249" s="593"/>
      <c r="AS249" s="114"/>
      <c r="AT249" s="114"/>
    </row>
    <row r="250" spans="2:60" s="91" customFormat="1">
      <c r="B250" s="2660" t="s">
        <v>236</v>
      </c>
      <c r="C250" s="2661"/>
      <c r="D250" s="184">
        <f>D20+D37+D47+D57+D68+D79+D90</f>
        <v>20625</v>
      </c>
      <c r="E250" s="184">
        <f>D250/1000</f>
        <v>20.625</v>
      </c>
      <c r="F250" s="185">
        <f>IF($D$254=0,"",D250/$D$254)</f>
        <v>0.46951416988073619</v>
      </c>
      <c r="G250" s="128"/>
      <c r="H250" s="184">
        <f>SQRT(SUMSQ(AD20,AD37,AD47,AD57,AD68,AD79,AD90))</f>
        <v>10312.5</v>
      </c>
      <c r="I250" s="185">
        <f>IF(D250=0,"",H250/D250)</f>
        <v>0.5</v>
      </c>
      <c r="J250" s="170"/>
      <c r="K250" s="187">
        <f>(D250-H250)/1000</f>
        <v>10.3125</v>
      </c>
      <c r="L250" s="187">
        <f>E250</f>
        <v>20.625</v>
      </c>
      <c r="M250" s="187">
        <f>E250</f>
        <v>20.625</v>
      </c>
      <c r="N250" s="187">
        <f>(D250+H250)/1000</f>
        <v>30.9375</v>
      </c>
      <c r="AE250" s="595"/>
      <c r="AF250" s="595"/>
      <c r="AG250" s="595"/>
      <c r="AH250" s="595"/>
      <c r="AI250" s="595"/>
      <c r="AJ250" s="595"/>
      <c r="AK250" s="595"/>
      <c r="AL250" s="595"/>
      <c r="AM250" s="595"/>
      <c r="AN250" s="595"/>
      <c r="AO250" s="595"/>
      <c r="AP250" s="595"/>
      <c r="AQ250" s="595"/>
      <c r="AR250" s="595"/>
    </row>
    <row r="251" spans="2:60" s="91" customFormat="1">
      <c r="B251" s="2660" t="s">
        <v>57</v>
      </c>
      <c r="C251" s="2661"/>
      <c r="D251" s="184">
        <f>D117+D102+D129+D140+D151+D162</f>
        <v>1825</v>
      </c>
      <c r="E251" s="184">
        <f>D251/1000</f>
        <v>1.825</v>
      </c>
      <c r="F251" s="185">
        <f>IF($D$254=0,"",D251/$D$254)</f>
        <v>4.1544890183386356E-2</v>
      </c>
      <c r="G251" s="128"/>
      <c r="H251" s="184">
        <f>SQRT(SUMSQ(AD117,AD102,AD129,AD140,AD151,AD162))</f>
        <v>273.75</v>
      </c>
      <c r="I251" s="185">
        <f>IF(D251=0,"",H251/D251)</f>
        <v>0.15</v>
      </c>
      <c r="J251" s="170"/>
      <c r="K251" s="187">
        <f>(D251-H251)/1000</f>
        <v>1.55125</v>
      </c>
      <c r="L251" s="187">
        <f>E251</f>
        <v>1.825</v>
      </c>
      <c r="M251" s="187">
        <f>E251</f>
        <v>1.825</v>
      </c>
      <c r="N251" s="187">
        <f>(D251+H251)/1000</f>
        <v>2.0987499999999999</v>
      </c>
      <c r="AE251" s="595"/>
      <c r="AF251" s="595"/>
      <c r="AG251" s="595"/>
      <c r="AH251" s="595"/>
      <c r="AI251" s="595"/>
      <c r="AJ251" s="595"/>
      <c r="AK251" s="595"/>
      <c r="AL251" s="595"/>
      <c r="AM251" s="595"/>
      <c r="AN251" s="595"/>
      <c r="AO251" s="595"/>
      <c r="AP251" s="595"/>
      <c r="AQ251" s="595"/>
      <c r="AR251" s="595"/>
    </row>
    <row r="252" spans="2:60" s="91" customFormat="1">
      <c r="B252" s="2660" t="s">
        <v>285</v>
      </c>
      <c r="C252" s="2661"/>
      <c r="D252" s="184">
        <f>D174+D185+D196+D207+D217</f>
        <v>19740</v>
      </c>
      <c r="E252" s="184">
        <f>D252/1000</f>
        <v>19.739999999999998</v>
      </c>
      <c r="F252" s="185">
        <f>IF($D$254=0,"",D252/$D$254)</f>
        <v>0.44936774368221732</v>
      </c>
      <c r="G252" s="128"/>
      <c r="H252" s="184">
        <f>SQRT(SUMSQ(AD174,AD185,AD196,AD207,AD217))</f>
        <v>6361.4768332518515</v>
      </c>
      <c r="I252" s="185">
        <f>IF(D252=0,"",H252/D252)</f>
        <v>0.3222632640958385</v>
      </c>
      <c r="J252" s="170"/>
      <c r="K252" s="187">
        <f>(D252-H252)/1000</f>
        <v>13.378523166748149</v>
      </c>
      <c r="L252" s="187">
        <f>E252</f>
        <v>19.739999999999998</v>
      </c>
      <c r="M252" s="187">
        <f>E252</f>
        <v>19.739999999999998</v>
      </c>
      <c r="N252" s="187">
        <f>(D252+H252)/1000</f>
        <v>26.101476833251851</v>
      </c>
      <c r="AE252" s="595"/>
      <c r="AF252" s="595"/>
      <c r="AG252" s="595"/>
      <c r="AH252" s="595"/>
      <c r="AI252" s="595"/>
      <c r="AJ252" s="595"/>
      <c r="AK252" s="595"/>
      <c r="AL252" s="595"/>
      <c r="AM252" s="595"/>
      <c r="AN252" s="595"/>
      <c r="AO252" s="595"/>
      <c r="AP252" s="595"/>
      <c r="AQ252" s="595"/>
      <c r="AR252" s="595"/>
    </row>
    <row r="253" spans="2:60" s="91" customFormat="1">
      <c r="B253" s="2660" t="s">
        <v>420</v>
      </c>
      <c r="C253" s="2661"/>
      <c r="D253" s="184">
        <f>D232+D241</f>
        <v>1738.3866666666668</v>
      </c>
      <c r="E253" s="184">
        <f>D253/1000</f>
        <v>1.7383866666666667</v>
      </c>
      <c r="F253" s="185">
        <f>IF($D$254=0,"",D253/$D$254)</f>
        <v>3.9573196253660126E-2</v>
      </c>
      <c r="G253" s="128"/>
      <c r="H253" s="184">
        <f>SQRT(AD241^2+AD232^2)</f>
        <v>572.97018115159267</v>
      </c>
      <c r="I253" s="185">
        <f>IF(D253=0,"",H253/D253)</f>
        <v>0.32959881258768242</v>
      </c>
      <c r="J253" s="170"/>
      <c r="K253" s="187">
        <f>(D253-H253)/1000</f>
        <v>1.1654164855150742</v>
      </c>
      <c r="L253" s="187">
        <f>E253</f>
        <v>1.7383866666666667</v>
      </c>
      <c r="M253" s="187">
        <f>E253</f>
        <v>1.7383866666666667</v>
      </c>
      <c r="N253" s="187">
        <f>(D253+H253)/1000</f>
        <v>2.3113568478182596</v>
      </c>
      <c r="AE253" s="595"/>
      <c r="AF253" s="595"/>
      <c r="AG253" s="595"/>
      <c r="AH253" s="595"/>
      <c r="AI253" s="595"/>
      <c r="AJ253" s="595"/>
      <c r="AK253" s="595"/>
      <c r="AL253" s="595"/>
      <c r="AM253" s="595"/>
      <c r="AN253" s="595"/>
      <c r="AO253" s="595"/>
      <c r="AP253" s="595"/>
      <c r="AQ253" s="595"/>
      <c r="AR253" s="595"/>
    </row>
    <row r="254" spans="2:60" s="98" customFormat="1" ht="15">
      <c r="B254" s="2662" t="s">
        <v>348</v>
      </c>
      <c r="C254" s="2663"/>
      <c r="D254" s="188">
        <f>SUM(D250:D253)</f>
        <v>43928.386666666665</v>
      </c>
      <c r="E254" s="189">
        <f>SUM(E250:E253)</f>
        <v>43.928386666666661</v>
      </c>
      <c r="F254" s="190">
        <f>IF($D$254=0,"",D254/$D$254)</f>
        <v>1</v>
      </c>
      <c r="G254" s="191"/>
      <c r="H254" s="188">
        <f>SQRT(SUMSQ(H250:H253))</f>
        <v>12133.395140725817</v>
      </c>
      <c r="I254" s="190">
        <f>IF(D254=0,"",H254/D254)</f>
        <v>0.27620853077977409</v>
      </c>
      <c r="J254" s="192"/>
      <c r="K254" s="187">
        <f>(D254-H254)/1000</f>
        <v>31.794991525940848</v>
      </c>
      <c r="L254" s="187">
        <f>E254</f>
        <v>43.928386666666661</v>
      </c>
      <c r="M254" s="187">
        <f>E254</f>
        <v>43.928386666666661</v>
      </c>
      <c r="N254" s="187">
        <f>(D254+H254)/1000</f>
        <v>56.061781807392485</v>
      </c>
      <c r="AE254" s="617"/>
      <c r="AF254" s="617"/>
      <c r="AG254" s="617"/>
      <c r="AH254" s="617"/>
      <c r="AI254" s="617"/>
      <c r="AJ254" s="617"/>
      <c r="AK254" s="617"/>
      <c r="AL254" s="617"/>
      <c r="AM254" s="617"/>
      <c r="AN254" s="617"/>
      <c r="AO254" s="617"/>
      <c r="AP254" s="617"/>
      <c r="AQ254" s="617"/>
      <c r="AR254" s="617"/>
    </row>
    <row r="255" spans="2:60">
      <c r="B255" s="235"/>
      <c r="C255" s="235"/>
      <c r="D255" s="235"/>
      <c r="E255" s="235"/>
      <c r="F255" s="235"/>
      <c r="G255" s="235"/>
      <c r="H255" s="235"/>
      <c r="I255" s="235"/>
      <c r="AE255" s="441"/>
      <c r="AF255" s="441"/>
      <c r="AG255" s="441"/>
      <c r="AH255" s="441"/>
      <c r="AI255" s="441"/>
      <c r="AJ255" s="441"/>
      <c r="AS255" s="114"/>
      <c r="AT255" s="114"/>
    </row>
    <row r="257" spans="2:46" ht="15.6" collapsed="1">
      <c r="B257" s="2677" t="s">
        <v>519</v>
      </c>
      <c r="C257" s="2678"/>
      <c r="D257" s="2678"/>
      <c r="E257" s="2678"/>
      <c r="F257" s="2678"/>
      <c r="G257" s="2678"/>
      <c r="H257" s="2678"/>
      <c r="I257" s="2678"/>
      <c r="J257" s="2678"/>
      <c r="K257" s="2678"/>
      <c r="L257" s="2678"/>
      <c r="M257" s="2678"/>
      <c r="N257" s="2678"/>
      <c r="O257" s="2679"/>
    </row>
    <row r="258" spans="2:46" hidden="1" outlineLevel="1"/>
    <row r="259" spans="2:46" ht="12.75" hidden="1" customHeight="1" outlineLevel="1">
      <c r="B259" s="2667" t="str">
        <f>B248</f>
        <v>Immobilisations</v>
      </c>
      <c r="C259" s="2845"/>
      <c r="D259" s="2668"/>
      <c r="E259" s="2671" t="s">
        <v>409</v>
      </c>
      <c r="F259" s="2672"/>
      <c r="G259" s="2673"/>
      <c r="H259" s="170"/>
      <c r="I259" s="2671" t="s">
        <v>159</v>
      </c>
      <c r="J259" s="2673"/>
      <c r="K259" s="170"/>
      <c r="AF259" s="441"/>
      <c r="AG259" s="441"/>
      <c r="AH259" s="441"/>
      <c r="AI259" s="441"/>
      <c r="AJ259" s="441"/>
      <c r="AS259" s="114"/>
      <c r="AT259" s="114"/>
    </row>
    <row r="260" spans="2:46" ht="12.75" hidden="1" customHeight="1" outlineLevel="1">
      <c r="B260" s="2669"/>
      <c r="C260" s="2846"/>
      <c r="D260" s="2670"/>
      <c r="E260" s="171" t="s">
        <v>444</v>
      </c>
      <c r="F260" s="171" t="s">
        <v>500</v>
      </c>
      <c r="G260" s="171" t="s">
        <v>524</v>
      </c>
      <c r="H260" s="176"/>
      <c r="I260" s="281" t="s">
        <v>444</v>
      </c>
      <c r="J260" s="281" t="s">
        <v>355</v>
      </c>
      <c r="K260" s="170"/>
      <c r="AF260" s="441"/>
      <c r="AG260" s="441"/>
      <c r="AH260" s="441"/>
      <c r="AI260" s="441"/>
      <c r="AJ260" s="441"/>
      <c r="AS260" s="114"/>
      <c r="AT260" s="114"/>
    </row>
    <row r="261" spans="2:46" hidden="1" outlineLevel="1">
      <c r="B261" s="278" t="s">
        <v>778</v>
      </c>
      <c r="C261" s="279"/>
      <c r="D261" s="136"/>
      <c r="E261" s="136">
        <f>D20</f>
        <v>20625</v>
      </c>
      <c r="F261" s="136">
        <f>E261/1000</f>
        <v>20.625</v>
      </c>
      <c r="G261" s="185">
        <f>IF($E$280=0,"",E261/$E$280)</f>
        <v>0.46951416988073619</v>
      </c>
      <c r="H261" s="170"/>
      <c r="I261" s="136">
        <f>AD20</f>
        <v>10312.5</v>
      </c>
      <c r="J261" s="185">
        <f t="shared" ref="J261:J280" si="45">IF(E261=0,"",I261/E261)</f>
        <v>0.5</v>
      </c>
      <c r="K261" s="170"/>
      <c r="L261" s="170"/>
      <c r="AC261" s="113"/>
      <c r="AD261" s="113"/>
      <c r="AE261" s="113"/>
      <c r="AF261" s="576"/>
      <c r="AG261" s="576"/>
      <c r="AH261" s="441"/>
      <c r="AI261" s="441"/>
      <c r="AJ261" s="441"/>
      <c r="AS261" s="114"/>
      <c r="AT261" s="114"/>
    </row>
    <row r="262" spans="2:46" hidden="1" outlineLevel="1">
      <c r="B262" s="278" t="s">
        <v>187</v>
      </c>
      <c r="C262" s="279"/>
      <c r="D262" s="136"/>
      <c r="E262" s="136">
        <f>W37</f>
        <v>0</v>
      </c>
      <c r="F262" s="136">
        <f>E262/1000</f>
        <v>0</v>
      </c>
      <c r="G262" s="185">
        <f t="shared" ref="G262:G279" si="46">IF($E$280=0,"",E262/$E$280)</f>
        <v>0</v>
      </c>
      <c r="H262" s="170"/>
      <c r="I262" s="136">
        <f>AE37</f>
        <v>0</v>
      </c>
      <c r="J262" s="185" t="str">
        <f t="shared" si="45"/>
        <v/>
      </c>
      <c r="K262" s="932"/>
      <c r="L262" s="170"/>
      <c r="AC262" s="113"/>
      <c r="AD262" s="113"/>
      <c r="AE262" s="113"/>
      <c r="AF262" s="576"/>
      <c r="AG262" s="576"/>
      <c r="AH262" s="441"/>
      <c r="AI262" s="441"/>
      <c r="AJ262" s="441"/>
      <c r="AS262" s="114"/>
      <c r="AT262" s="114"/>
    </row>
    <row r="263" spans="2:46" hidden="1" outlineLevel="1">
      <c r="B263" s="278" t="s">
        <v>372</v>
      </c>
      <c r="C263" s="279"/>
      <c r="D263" s="136"/>
      <c r="E263" s="136">
        <f>V37-W37</f>
        <v>0</v>
      </c>
      <c r="F263" s="136">
        <f>E263/1000</f>
        <v>0</v>
      </c>
      <c r="G263" s="185">
        <f t="shared" si="46"/>
        <v>0</v>
      </c>
      <c r="H263" s="170"/>
      <c r="I263" s="136">
        <f>SQRT(SUMPRODUCT((G28:G36&lt;&gt;Utilitaires!K586)*1,AC28:AC36,AC28:AC36))</f>
        <v>0</v>
      </c>
      <c r="J263" s="185" t="str">
        <f t="shared" si="45"/>
        <v/>
      </c>
      <c r="K263" s="932"/>
      <c r="L263" s="170"/>
      <c r="AC263" s="113"/>
      <c r="AD263" s="113"/>
      <c r="AE263" s="113"/>
      <c r="AF263" s="576"/>
      <c r="AG263" s="576"/>
      <c r="AH263" s="441"/>
      <c r="AI263" s="441"/>
      <c r="AJ263" s="441"/>
      <c r="AS263" s="114"/>
      <c r="AT263" s="114"/>
    </row>
    <row r="264" spans="2:46" hidden="1" outlineLevel="1">
      <c r="B264" s="278" t="s">
        <v>141</v>
      </c>
      <c r="C264" s="279"/>
      <c r="D264" s="136"/>
      <c r="E264" s="136">
        <f>U37</f>
        <v>0</v>
      </c>
      <c r="F264" s="136">
        <f>E264/1000</f>
        <v>0</v>
      </c>
      <c r="G264" s="185">
        <f t="shared" si="46"/>
        <v>0</v>
      </c>
      <c r="H264" s="170"/>
      <c r="I264" s="136">
        <f>AB37</f>
        <v>0</v>
      </c>
      <c r="J264" s="185" t="str">
        <f t="shared" si="45"/>
        <v/>
      </c>
      <c r="K264" s="170"/>
      <c r="L264" s="170"/>
      <c r="AC264" s="113"/>
      <c r="AD264" s="113"/>
      <c r="AE264" s="113"/>
      <c r="AF264" s="576"/>
      <c r="AG264" s="576"/>
      <c r="AH264" s="441"/>
      <c r="AI264" s="441"/>
      <c r="AJ264" s="441"/>
      <c r="AS264" s="114"/>
      <c r="AT264" s="114"/>
    </row>
    <row r="265" spans="2:46" hidden="1" outlineLevel="1">
      <c r="B265" s="278" t="s">
        <v>15</v>
      </c>
      <c r="C265" s="279"/>
      <c r="D265" s="136"/>
      <c r="E265" s="136">
        <f>D47+D57</f>
        <v>0</v>
      </c>
      <c r="F265" s="136">
        <f t="shared" ref="F265:F275" si="47">E265/1000</f>
        <v>0</v>
      </c>
      <c r="G265" s="185">
        <f t="shared" si="46"/>
        <v>0</v>
      </c>
      <c r="H265" s="170"/>
      <c r="I265" s="136">
        <f>SQRT(AD47^2+AD57^2)</f>
        <v>0</v>
      </c>
      <c r="J265" s="185" t="str">
        <f t="shared" si="45"/>
        <v/>
      </c>
      <c r="K265" s="170"/>
      <c r="L265" s="170"/>
      <c r="AC265" s="113"/>
      <c r="AD265" s="113"/>
      <c r="AE265" s="113"/>
      <c r="AF265" s="576"/>
      <c r="AG265" s="576"/>
      <c r="AH265" s="441"/>
      <c r="AI265" s="441"/>
      <c r="AJ265" s="441"/>
      <c r="AS265" s="114"/>
      <c r="AT265" s="114"/>
    </row>
    <row r="266" spans="2:46" hidden="1" outlineLevel="1">
      <c r="B266" s="278" t="s">
        <v>133</v>
      </c>
      <c r="C266" s="279"/>
      <c r="D266" s="136"/>
      <c r="E266" s="136">
        <f>D68</f>
        <v>0</v>
      </c>
      <c r="F266" s="136">
        <f t="shared" si="47"/>
        <v>0</v>
      </c>
      <c r="G266" s="185">
        <f t="shared" si="46"/>
        <v>0</v>
      </c>
      <c r="H266" s="170"/>
      <c r="I266" s="136">
        <f>AD68</f>
        <v>0</v>
      </c>
      <c r="J266" s="185" t="str">
        <f t="shared" si="45"/>
        <v/>
      </c>
      <c r="K266" s="170"/>
      <c r="L266" s="170"/>
      <c r="AC266" s="113"/>
      <c r="AD266" s="113"/>
      <c r="AE266" s="113"/>
      <c r="AF266" s="576"/>
      <c r="AG266" s="576"/>
      <c r="AH266" s="441"/>
      <c r="AI266" s="441"/>
      <c r="AJ266" s="441"/>
      <c r="AS266" s="114"/>
      <c r="AT266" s="114"/>
    </row>
    <row r="267" spans="2:46" hidden="1" outlineLevel="1">
      <c r="B267" s="278" t="s">
        <v>134</v>
      </c>
      <c r="C267" s="279"/>
      <c r="D267" s="136"/>
      <c r="E267" s="136">
        <f>D79</f>
        <v>0</v>
      </c>
      <c r="F267" s="136">
        <f t="shared" si="47"/>
        <v>0</v>
      </c>
      <c r="G267" s="185">
        <f t="shared" si="46"/>
        <v>0</v>
      </c>
      <c r="H267" s="170"/>
      <c r="I267" s="136">
        <f>AD79</f>
        <v>0</v>
      </c>
      <c r="J267" s="185" t="str">
        <f t="shared" si="45"/>
        <v/>
      </c>
      <c r="K267" s="170"/>
      <c r="L267" s="170"/>
      <c r="AC267" s="113"/>
      <c r="AD267" s="113"/>
      <c r="AE267" s="113"/>
      <c r="AF267" s="576"/>
      <c r="AG267" s="576"/>
      <c r="AH267" s="441"/>
      <c r="AI267" s="441"/>
      <c r="AJ267" s="441"/>
      <c r="AS267" s="114"/>
      <c r="AT267" s="114"/>
    </row>
    <row r="268" spans="2:46" hidden="1" outlineLevel="1">
      <c r="B268" s="278" t="s">
        <v>373</v>
      </c>
      <c r="C268" s="279"/>
      <c r="D268" s="136"/>
      <c r="E268" s="136">
        <f>D90</f>
        <v>0</v>
      </c>
      <c r="F268" s="136">
        <f t="shared" si="47"/>
        <v>0</v>
      </c>
      <c r="G268" s="185">
        <f t="shared" si="46"/>
        <v>0</v>
      </c>
      <c r="H268" s="170"/>
      <c r="I268" s="136">
        <f>AD90</f>
        <v>0</v>
      </c>
      <c r="J268" s="185" t="str">
        <f t="shared" si="45"/>
        <v/>
      </c>
      <c r="K268" s="170"/>
      <c r="L268" s="170"/>
      <c r="AC268" s="113"/>
      <c r="AD268" s="113"/>
      <c r="AE268" s="113"/>
      <c r="AF268" s="576"/>
      <c r="AG268" s="576"/>
      <c r="AH268" s="441"/>
      <c r="AI268" s="441"/>
      <c r="AJ268" s="441"/>
      <c r="AS268" s="114"/>
      <c r="AT268" s="114"/>
    </row>
    <row r="269" spans="2:46" hidden="1" outlineLevel="1">
      <c r="B269" s="278" t="s">
        <v>278</v>
      </c>
      <c r="C269" s="279"/>
      <c r="D269" s="136"/>
      <c r="E269" s="136">
        <f>W117</f>
        <v>0</v>
      </c>
      <c r="F269" s="136">
        <f t="shared" si="47"/>
        <v>0</v>
      </c>
      <c r="G269" s="185">
        <f t="shared" si="46"/>
        <v>0</v>
      </c>
      <c r="H269" s="170"/>
      <c r="I269" s="136">
        <f>AE117</f>
        <v>0</v>
      </c>
      <c r="J269" s="185" t="str">
        <f t="shared" si="45"/>
        <v/>
      </c>
      <c r="K269" s="170"/>
      <c r="L269" s="170"/>
      <c r="AC269" s="113"/>
      <c r="AD269" s="113"/>
      <c r="AE269" s="113"/>
      <c r="AF269" s="576"/>
      <c r="AG269" s="576"/>
      <c r="AH269" s="441"/>
      <c r="AI269" s="441"/>
      <c r="AJ269" s="441"/>
      <c r="AS269" s="114"/>
      <c r="AT269" s="114"/>
    </row>
    <row r="270" spans="2:46" hidden="1" outlineLevel="1">
      <c r="B270" s="278" t="s">
        <v>228</v>
      </c>
      <c r="C270" s="279"/>
      <c r="D270" s="136"/>
      <c r="E270" s="136">
        <f>V117-W117</f>
        <v>0</v>
      </c>
      <c r="F270" s="136">
        <f t="shared" si="47"/>
        <v>0</v>
      </c>
      <c r="G270" s="185">
        <f t="shared" si="46"/>
        <v>0</v>
      </c>
      <c r="H270" s="170"/>
      <c r="I270" s="136">
        <f>SQRT(SUMPRODUCT((G108:G116&lt;&gt;Utilitaires!K586)*1,AC108:AC116,AC108:AC116))</f>
        <v>0</v>
      </c>
      <c r="J270" s="185" t="str">
        <f t="shared" si="45"/>
        <v/>
      </c>
      <c r="K270" s="170"/>
      <c r="L270" s="170"/>
      <c r="AC270" s="113"/>
      <c r="AD270" s="113"/>
      <c r="AE270" s="113"/>
      <c r="AF270" s="576"/>
      <c r="AG270" s="576"/>
      <c r="AH270" s="441"/>
      <c r="AI270" s="441"/>
      <c r="AJ270" s="441"/>
      <c r="AS270" s="114"/>
      <c r="AT270" s="114"/>
    </row>
    <row r="271" spans="2:46" hidden="1" outlineLevel="1">
      <c r="B271" s="278" t="s">
        <v>227</v>
      </c>
      <c r="C271" s="279"/>
      <c r="D271" s="136"/>
      <c r="E271" s="136">
        <f>U117</f>
        <v>0</v>
      </c>
      <c r="F271" s="136">
        <f t="shared" si="47"/>
        <v>0</v>
      </c>
      <c r="G271" s="185">
        <f t="shared" si="46"/>
        <v>0</v>
      </c>
      <c r="H271" s="170"/>
      <c r="I271" s="136">
        <f>AB117</f>
        <v>0</v>
      </c>
      <c r="J271" s="185" t="str">
        <f t="shared" si="45"/>
        <v/>
      </c>
      <c r="K271" s="170"/>
      <c r="L271" s="170"/>
      <c r="AC271" s="113"/>
      <c r="AD271" s="113"/>
      <c r="AE271" s="113"/>
      <c r="AF271" s="576"/>
      <c r="AG271" s="576"/>
      <c r="AH271" s="441"/>
      <c r="AI271" s="441"/>
      <c r="AJ271" s="441"/>
      <c r="AS271" s="114"/>
      <c r="AT271" s="114"/>
    </row>
    <row r="272" spans="2:46" hidden="1" outlineLevel="1">
      <c r="B272" s="278" t="s">
        <v>117</v>
      </c>
      <c r="C272" s="279"/>
      <c r="D272" s="136"/>
      <c r="E272" s="136">
        <f>D102</f>
        <v>1825</v>
      </c>
      <c r="F272" s="136">
        <f t="shared" si="47"/>
        <v>1.825</v>
      </c>
      <c r="G272" s="185">
        <f t="shared" si="46"/>
        <v>4.1544890183386356E-2</v>
      </c>
      <c r="H272" s="170"/>
      <c r="I272" s="136">
        <f>AD102</f>
        <v>273.75</v>
      </c>
      <c r="J272" s="185">
        <f t="shared" si="45"/>
        <v>0.15</v>
      </c>
      <c r="K272" s="170"/>
      <c r="L272" s="170"/>
      <c r="AC272" s="113"/>
      <c r="AD272" s="113"/>
      <c r="AE272" s="113"/>
      <c r="AF272" s="576"/>
      <c r="AG272" s="576"/>
      <c r="AH272" s="441"/>
      <c r="AI272" s="441"/>
      <c r="AJ272" s="441"/>
      <c r="AS272" s="114"/>
      <c r="AT272" s="114"/>
    </row>
    <row r="273" spans="2:46" hidden="1" outlineLevel="1">
      <c r="B273" s="278"/>
      <c r="C273" s="279"/>
      <c r="D273" s="136"/>
      <c r="E273" s="136"/>
      <c r="F273" s="136"/>
      <c r="G273" s="185"/>
      <c r="H273" s="170"/>
      <c r="I273" s="136"/>
      <c r="J273" s="185"/>
      <c r="K273" s="170"/>
      <c r="L273" s="170"/>
      <c r="AC273" s="113"/>
      <c r="AD273" s="113"/>
      <c r="AE273" s="113"/>
      <c r="AF273" s="576"/>
      <c r="AG273" s="576"/>
      <c r="AH273" s="441"/>
      <c r="AI273" s="441"/>
      <c r="AJ273" s="441"/>
      <c r="AS273" s="114"/>
      <c r="AT273" s="114"/>
    </row>
    <row r="274" spans="2:46" hidden="1" outlineLevel="1">
      <c r="B274" s="278" t="s">
        <v>288</v>
      </c>
      <c r="C274" s="279"/>
      <c r="D274" s="136"/>
      <c r="E274" s="136">
        <f>D129</f>
        <v>0</v>
      </c>
      <c r="F274" s="136">
        <f t="shared" si="47"/>
        <v>0</v>
      </c>
      <c r="G274" s="185">
        <f t="shared" si="46"/>
        <v>0</v>
      </c>
      <c r="H274" s="170"/>
      <c r="I274" s="136">
        <f>AD129</f>
        <v>0</v>
      </c>
      <c r="J274" s="185" t="str">
        <f t="shared" si="45"/>
        <v/>
      </c>
      <c r="K274" s="170"/>
      <c r="L274" s="170"/>
      <c r="AC274" s="113"/>
      <c r="AD274" s="113"/>
      <c r="AE274" s="113"/>
      <c r="AF274" s="576"/>
      <c r="AG274" s="576"/>
      <c r="AH274" s="441"/>
      <c r="AI274" s="441"/>
      <c r="AJ274" s="441"/>
      <c r="AS274" s="114"/>
      <c r="AT274" s="114"/>
    </row>
    <row r="275" spans="2:46" hidden="1" outlineLevel="1">
      <c r="B275" s="278" t="s">
        <v>392</v>
      </c>
      <c r="C275" s="279"/>
      <c r="D275" s="136"/>
      <c r="E275" s="136">
        <f>D140</f>
        <v>0</v>
      </c>
      <c r="F275" s="136">
        <f t="shared" si="47"/>
        <v>0</v>
      </c>
      <c r="G275" s="185">
        <f t="shared" si="46"/>
        <v>0</v>
      </c>
      <c r="H275" s="170"/>
      <c r="I275" s="136">
        <f>AD140</f>
        <v>0</v>
      </c>
      <c r="J275" s="185" t="str">
        <f t="shared" si="45"/>
        <v/>
      </c>
      <c r="K275" s="170"/>
      <c r="L275" s="170"/>
      <c r="AC275" s="113"/>
      <c r="AD275" s="113"/>
      <c r="AE275" s="113"/>
      <c r="AF275" s="576"/>
      <c r="AG275" s="576"/>
      <c r="AH275" s="441"/>
      <c r="AI275" s="441"/>
      <c r="AJ275" s="441"/>
      <c r="AS275" s="114"/>
      <c r="AT275" s="114"/>
    </row>
    <row r="276" spans="2:46" hidden="1" outlineLevel="1">
      <c r="B276" s="278" t="s">
        <v>10</v>
      </c>
      <c r="C276" s="279"/>
      <c r="D276" s="136"/>
      <c r="E276" s="136">
        <f>D151</f>
        <v>0</v>
      </c>
      <c r="F276" s="136">
        <f>E276/1000</f>
        <v>0</v>
      </c>
      <c r="G276" s="185">
        <f t="shared" si="46"/>
        <v>0</v>
      </c>
      <c r="H276" s="170"/>
      <c r="I276" s="136">
        <f>AD151</f>
        <v>0</v>
      </c>
      <c r="J276" s="185" t="str">
        <f t="shared" si="45"/>
        <v/>
      </c>
      <c r="K276" s="170"/>
      <c r="L276" s="170"/>
      <c r="AC276" s="113"/>
      <c r="AD276" s="113"/>
      <c r="AE276" s="113"/>
      <c r="AF276" s="576"/>
      <c r="AG276" s="576"/>
      <c r="AH276" s="441"/>
      <c r="AI276" s="441"/>
      <c r="AJ276" s="441"/>
      <c r="AS276" s="114"/>
      <c r="AT276" s="114"/>
    </row>
    <row r="277" spans="2:46" hidden="1" outlineLevel="1">
      <c r="B277" s="278" t="s">
        <v>11</v>
      </c>
      <c r="C277" s="279"/>
      <c r="D277" s="136"/>
      <c r="E277" s="136">
        <f>D162</f>
        <v>0</v>
      </c>
      <c r="F277" s="136">
        <f>E277/1000</f>
        <v>0</v>
      </c>
      <c r="G277" s="185">
        <f t="shared" si="46"/>
        <v>0</v>
      </c>
      <c r="H277" s="170"/>
      <c r="I277" s="136">
        <f>AD162</f>
        <v>0</v>
      </c>
      <c r="J277" s="185" t="str">
        <f t="shared" si="45"/>
        <v/>
      </c>
      <c r="K277" s="170"/>
      <c r="L277" s="170"/>
      <c r="AC277" s="113"/>
      <c r="AD277" s="113"/>
      <c r="AE277" s="113"/>
      <c r="AF277" s="576"/>
      <c r="AG277" s="576"/>
      <c r="AH277" s="441"/>
      <c r="AI277" s="441"/>
      <c r="AJ277" s="441"/>
      <c r="AS277" s="114"/>
      <c r="AT277" s="114"/>
    </row>
    <row r="278" spans="2:46" hidden="1" outlineLevel="1">
      <c r="B278" s="278" t="s">
        <v>374</v>
      </c>
      <c r="C278" s="279"/>
      <c r="D278" s="136"/>
      <c r="E278" s="136">
        <f>D174+D185+D196+D207+D217</f>
        <v>19740</v>
      </c>
      <c r="F278" s="136">
        <f>E278/1000</f>
        <v>19.739999999999998</v>
      </c>
      <c r="G278" s="185">
        <f t="shared" si="46"/>
        <v>0.44936774368221732</v>
      </c>
      <c r="H278" s="170"/>
      <c r="I278" s="136">
        <f>SQRT(AD174^2+AD185^2+AD196^2+AD207^2+AD217^2)</f>
        <v>6361.4768332518515</v>
      </c>
      <c r="J278" s="185">
        <f t="shared" si="45"/>
        <v>0.3222632640958385</v>
      </c>
      <c r="K278" s="170"/>
      <c r="L278" s="170"/>
      <c r="AC278" s="113"/>
      <c r="AD278" s="113"/>
      <c r="AE278" s="113"/>
      <c r="AF278" s="576"/>
      <c r="AG278" s="576"/>
      <c r="AH278" s="441"/>
      <c r="AI278" s="441"/>
      <c r="AJ278" s="441"/>
      <c r="AS278" s="114"/>
      <c r="AT278" s="114"/>
    </row>
    <row r="279" spans="2:46" hidden="1" outlineLevel="1">
      <c r="B279" s="278" t="s">
        <v>420</v>
      </c>
      <c r="C279" s="279"/>
      <c r="D279" s="136"/>
      <c r="E279" s="136">
        <f>D232+D241</f>
        <v>1738.3866666666668</v>
      </c>
      <c r="F279" s="136">
        <f>E279/1000</f>
        <v>1.7383866666666667</v>
      </c>
      <c r="G279" s="185">
        <f t="shared" si="46"/>
        <v>3.9573196253660126E-2</v>
      </c>
      <c r="H279" s="170"/>
      <c r="I279" s="136">
        <f>SQRT(AD232^2+AD241^2)</f>
        <v>572.97018115159267</v>
      </c>
      <c r="J279" s="185">
        <f t="shared" si="45"/>
        <v>0.32959881258768242</v>
      </c>
      <c r="K279" s="170"/>
      <c r="L279" s="170"/>
      <c r="AC279" s="113"/>
      <c r="AD279" s="113"/>
      <c r="AE279" s="113"/>
      <c r="AF279" s="576"/>
      <c r="AG279" s="576"/>
      <c r="AH279" s="441"/>
      <c r="AI279" s="441"/>
      <c r="AJ279" s="441"/>
      <c r="AS279" s="114"/>
      <c r="AT279" s="114"/>
    </row>
    <row r="280" spans="2:46" s="211" customFormat="1" ht="15" hidden="1" customHeight="1" outlineLevel="1">
      <c r="B280" s="2662" t="s">
        <v>348</v>
      </c>
      <c r="C280" s="2663"/>
      <c r="D280" s="188"/>
      <c r="E280" s="188">
        <f>SUM(E261:E279)</f>
        <v>43928.386666666665</v>
      </c>
      <c r="F280" s="238">
        <f>SUM(F261:F279)</f>
        <v>43.928386666666661</v>
      </c>
      <c r="G280" s="190">
        <f>IF($E$280=0,"",E280/$E$280)</f>
        <v>1</v>
      </c>
      <c r="H280" s="192"/>
      <c r="I280" s="188">
        <f>SQRT(SUMSQ(I261:I279))</f>
        <v>12133.395140725817</v>
      </c>
      <c r="J280" s="190">
        <f t="shared" si="45"/>
        <v>0.27620853077977409</v>
      </c>
      <c r="K280" s="931"/>
      <c r="L280" s="192"/>
      <c r="AF280" s="445"/>
      <c r="AG280" s="445"/>
      <c r="AH280" s="445"/>
      <c r="AI280" s="445"/>
      <c r="AJ280" s="445"/>
      <c r="AK280" s="445"/>
      <c r="AL280" s="445"/>
      <c r="AM280" s="445"/>
      <c r="AN280" s="445"/>
      <c r="AO280" s="445"/>
      <c r="AP280" s="445"/>
      <c r="AQ280" s="445"/>
      <c r="AR280" s="445"/>
    </row>
    <row r="281" spans="2:46" hidden="1" outlineLevel="1"/>
    <row r="282" spans="2:46" ht="15">
      <c r="AP282" s="593"/>
    </row>
    <row r="283" spans="2:46" ht="15.6" collapsed="1">
      <c r="B283" s="2688" t="s">
        <v>525</v>
      </c>
      <c r="C283" s="2689"/>
      <c r="D283" s="2689"/>
      <c r="E283" s="2689"/>
      <c r="F283" s="2689"/>
      <c r="G283" s="2689"/>
      <c r="H283" s="2689"/>
      <c r="I283" s="2689"/>
      <c r="J283" s="2689"/>
      <c r="K283" s="2689"/>
      <c r="L283" s="2689"/>
      <c r="M283" s="2689"/>
      <c r="N283" s="2689"/>
      <c r="O283" s="2690"/>
    </row>
    <row r="284" spans="2:46" hidden="1" outlineLevel="1">
      <c r="B284" s="113"/>
      <c r="C284" s="113"/>
      <c r="D284" s="113"/>
      <c r="E284" s="113"/>
      <c r="F284" s="113"/>
      <c r="G284" s="113"/>
      <c r="H284" s="113"/>
      <c r="I284" s="113"/>
      <c r="J284" s="113"/>
      <c r="K284" s="113"/>
      <c r="L284" s="113"/>
      <c r="M284" s="113"/>
      <c r="N284" s="113"/>
    </row>
    <row r="285" spans="2:46" ht="36.75" hidden="1" customHeight="1" outlineLevel="1">
      <c r="B285" s="229"/>
      <c r="C285" s="229"/>
      <c r="D285" s="229"/>
      <c r="E285" s="2691" t="s">
        <v>448</v>
      </c>
      <c r="F285" s="2692"/>
      <c r="G285" s="2692"/>
      <c r="H285" s="2692"/>
      <c r="I285" s="2692"/>
      <c r="J285" s="2692"/>
      <c r="K285" s="2693"/>
      <c r="L285" s="101" t="s">
        <v>440</v>
      </c>
    </row>
    <row r="286" spans="2:46" ht="25.5" hidden="1" customHeight="1" outlineLevel="1">
      <c r="B286" s="2691" t="s">
        <v>438</v>
      </c>
      <c r="C286" s="2693"/>
      <c r="D286" s="110" t="s">
        <v>458</v>
      </c>
      <c r="E286" s="111" t="s">
        <v>853</v>
      </c>
      <c r="F286" s="111" t="s">
        <v>854</v>
      </c>
      <c r="G286" s="111" t="s">
        <v>855</v>
      </c>
      <c r="H286" s="111" t="s">
        <v>852</v>
      </c>
      <c r="I286" s="110" t="s">
        <v>513</v>
      </c>
      <c r="J286" s="111" t="s">
        <v>856</v>
      </c>
      <c r="K286" s="112" t="s">
        <v>514</v>
      </c>
      <c r="L286" s="110" t="s">
        <v>857</v>
      </c>
    </row>
    <row r="287" spans="2:46" ht="15" hidden="1" customHeight="1" outlineLevel="1">
      <c r="B287" s="2680" t="s">
        <v>459</v>
      </c>
      <c r="C287" s="2681"/>
      <c r="D287" s="230">
        <v>1</v>
      </c>
      <c r="E287" s="631"/>
      <c r="F287" s="631"/>
      <c r="G287" s="631"/>
      <c r="H287" s="631"/>
      <c r="I287" s="631"/>
      <c r="J287" s="631"/>
      <c r="K287" s="632"/>
      <c r="L287" s="633"/>
    </row>
    <row r="288" spans="2:46" ht="12.75" hidden="1" customHeight="1" outlineLevel="1">
      <c r="B288" s="2680" t="s">
        <v>460</v>
      </c>
      <c r="C288" s="2681"/>
      <c r="D288" s="230">
        <v>2</v>
      </c>
      <c r="E288" s="631">
        <f ca="1">SUMIF($G$28:$G$36,Utilitaires!$K$572,AH28:AH36)+SUMIF($G$104:$G$116,Utilitaires!$K$572,AH108:AH116)
+SUMIF($G$28:$G$36,Utilitaires!$K$577,AH28:AH36)+SUMIF($G$104:$G$116,Utilitaires!$K$577,AH108:AH116)</f>
        <v>0</v>
      </c>
      <c r="F288" s="631">
        <f ca="1">SUMIF($G$28:$G$36,Utilitaires!$K$572,AJ28:AJ36)+SUMIF($G$104:$G$116,Utilitaires!$K$572,AJ108:AJ116)
+SUMIF($G$28:$G$36,Utilitaires!$K$577,AJ28:AJ36)+SUMIF($G$104:$G$116,Utilitaires!$K$577,AJ108:AJ116)</f>
        <v>0</v>
      </c>
      <c r="G288" s="631">
        <f ca="1">SUMIF($G$28:$G$36,Utilitaires!$K$572,AL28:AL36)+SUMIF($G$104:$G$116,Utilitaires!$K$572,AL108:AL116)
+SUMIF($G$28:$G$36,Utilitaires!$K$577,AL28:AL36)+SUMIF($G$104:$G$116,Utilitaires!$K$577,AL108:AL116)</f>
        <v>0</v>
      </c>
      <c r="H288" s="631">
        <f ca="1">SUMIF($G$28:$G$36,Utilitaires!$K$572,AN28:AN36)+SUMIF($G$104:$G$116,Utilitaires!$K$572,AN108:AN116)
+SUMIF($G$28:$G$36,Utilitaires!$K$577,AN28:AN36)+SUMIF($G$104:$G$116,Utilitaires!$K$577,AN108:AN116)</f>
        <v>0</v>
      </c>
      <c r="I288" s="631">
        <f ca="1">SUM(E288:H288)</f>
        <v>0</v>
      </c>
      <c r="J288" s="631">
        <f ca="1">SUMIF($G$28:$G$36,Utilitaires!$K$572,AR28:AR36)+SUMIF($G$104:$G$116,Utilitaires!$K$572,AR108:AR116)
+SUMIF($G$28:$G$36,Utilitaires!$K$577,AR28:AR36)+SUMIF($G$104:$G$116,Utilitaires!$K$577,AR108:AR116)</f>
        <v>0</v>
      </c>
      <c r="K288" s="632">
        <f>SQRT(SUMPRODUCT(($G$28:$G$36=Utilitaires!$K$572)*1,AC28:AC36,AC28:AC36)+SUMPRODUCT(($G$108:$G$116=Utilitaires!$K$572)*1,AC108:AC116,AC108:AC116)
+SUMPRODUCT(($G$28:$G$36=Utilitaires!$K$577)*1,AC28:AC36,AC28:AC36)+SUMPRODUCT(($G$108:$G$116=Utilitaires!$K$577)*1,AC108:AC116,AC108:AC116))</f>
        <v>0</v>
      </c>
      <c r="L288" s="633"/>
    </row>
    <row r="289" spans="2:16" ht="12.75" hidden="1" customHeight="1" outlineLevel="1">
      <c r="B289" s="2680" t="s">
        <v>461</v>
      </c>
      <c r="C289" s="2681"/>
      <c r="D289" s="230">
        <v>3</v>
      </c>
      <c r="E289" s="631"/>
      <c r="F289" s="631"/>
      <c r="G289" s="631"/>
      <c r="H289" s="631"/>
      <c r="I289" s="631"/>
      <c r="J289" s="631"/>
      <c r="K289" s="632"/>
      <c r="L289" s="633"/>
    </row>
    <row r="290" spans="2:16" ht="12.75" hidden="1" customHeight="1" outlineLevel="1">
      <c r="B290" s="2680" t="s">
        <v>462</v>
      </c>
      <c r="C290" s="2681"/>
      <c r="D290" s="230">
        <v>4</v>
      </c>
      <c r="E290" s="631"/>
      <c r="F290" s="631"/>
      <c r="G290" s="631"/>
      <c r="H290" s="631"/>
      <c r="I290" s="631"/>
      <c r="J290" s="631"/>
      <c r="K290" s="632"/>
      <c r="L290" s="633"/>
    </row>
    <row r="291" spans="2:16" ht="15" hidden="1" customHeight="1" outlineLevel="1">
      <c r="B291" s="2680" t="s">
        <v>463</v>
      </c>
      <c r="C291" s="2681"/>
      <c r="D291" s="230">
        <v>5</v>
      </c>
      <c r="E291" s="631"/>
      <c r="F291" s="631"/>
      <c r="G291" s="631"/>
      <c r="H291" s="631"/>
      <c r="I291" s="631"/>
      <c r="J291" s="631"/>
      <c r="K291" s="632"/>
      <c r="L291" s="633"/>
    </row>
    <row r="292" spans="2:16" ht="12.75" hidden="1" customHeight="1" outlineLevel="1">
      <c r="B292" s="2682"/>
      <c r="C292" s="2683"/>
      <c r="D292" s="133" t="s">
        <v>439</v>
      </c>
      <c r="E292" s="634">
        <f t="shared" ref="E292:L292" ca="1" si="48">SUM(E287:E291)</f>
        <v>0</v>
      </c>
      <c r="F292" s="634">
        <f t="shared" ca="1" si="48"/>
        <v>0</v>
      </c>
      <c r="G292" s="634">
        <f t="shared" ca="1" si="48"/>
        <v>0</v>
      </c>
      <c r="H292" s="634">
        <f t="shared" ca="1" si="48"/>
        <v>0</v>
      </c>
      <c r="I292" s="634">
        <f t="shared" ca="1" si="48"/>
        <v>0</v>
      </c>
      <c r="J292" s="634">
        <f ca="1">SUM(J287:J291)</f>
        <v>0</v>
      </c>
      <c r="K292" s="635">
        <f>SQRT(SUMSQ(K287:K291))</f>
        <v>0</v>
      </c>
      <c r="L292" s="636">
        <f t="shared" si="48"/>
        <v>0</v>
      </c>
    </row>
    <row r="293" spans="2:16" ht="15" hidden="1" customHeight="1" outlineLevel="1">
      <c r="B293" s="2684" t="s">
        <v>464</v>
      </c>
      <c r="C293" s="2685"/>
      <c r="D293" s="231">
        <v>6</v>
      </c>
      <c r="E293" s="637"/>
      <c r="F293" s="637"/>
      <c r="G293" s="637"/>
      <c r="H293" s="637"/>
      <c r="I293" s="637"/>
      <c r="J293" s="637"/>
      <c r="K293" s="632"/>
      <c r="L293" s="638"/>
      <c r="N293" s="941"/>
      <c r="O293" s="941"/>
      <c r="P293" s="941"/>
    </row>
    <row r="294" spans="2:16" ht="12.75" hidden="1" customHeight="1" outlineLevel="1">
      <c r="B294" s="2686" t="s">
        <v>465</v>
      </c>
      <c r="C294" s="2687"/>
      <c r="D294" s="231">
        <v>7</v>
      </c>
      <c r="E294" s="637"/>
      <c r="F294" s="637"/>
      <c r="G294" s="637"/>
      <c r="H294" s="637"/>
      <c r="I294" s="637"/>
      <c r="J294" s="637"/>
      <c r="K294" s="632"/>
      <c r="L294" s="638"/>
      <c r="N294" s="941"/>
      <c r="O294" s="941"/>
      <c r="P294" s="941"/>
    </row>
    <row r="295" spans="2:16" ht="12.75" hidden="1" customHeight="1" outlineLevel="1">
      <c r="B295" s="2696"/>
      <c r="C295" s="2697"/>
      <c r="D295" s="134" t="s">
        <v>439</v>
      </c>
      <c r="E295" s="639">
        <f t="shared" ref="E295:L295" si="49">SUM(E293:E294)</f>
        <v>0</v>
      </c>
      <c r="F295" s="639">
        <f t="shared" si="49"/>
        <v>0</v>
      </c>
      <c r="G295" s="639">
        <f t="shared" si="49"/>
        <v>0</v>
      </c>
      <c r="H295" s="639">
        <f t="shared" si="49"/>
        <v>0</v>
      </c>
      <c r="I295" s="639">
        <f t="shared" si="49"/>
        <v>0</v>
      </c>
      <c r="J295" s="639">
        <f t="shared" si="49"/>
        <v>0</v>
      </c>
      <c r="K295" s="635">
        <f>SQRT(SUMSQ(K293:K294))</f>
        <v>0</v>
      </c>
      <c r="L295" s="640">
        <f t="shared" si="49"/>
        <v>0</v>
      </c>
    </row>
    <row r="296" spans="2:16" ht="15" hidden="1" customHeight="1" outlineLevel="1">
      <c r="B296" s="2694" t="s">
        <v>466</v>
      </c>
      <c r="C296" s="2695"/>
      <c r="D296" s="232">
        <v>8</v>
      </c>
      <c r="E296" s="641">
        <f ca="1">SUMIF($G$28:$G$36,Utilitaires!$K$572,Immobilisations!AG28:AG36)+SUMIF($G$104:$G$116,Utilitaires!$K$572,Immobilisations!AG108:AG116)
+SUMIF($G$28:$G$36,Utilitaires!$K$577,Immobilisations!AG28:AG36)+SUMIF($G$104:$G$116,Utilitaires!$K$577,Immobilisations!AG108:AG116)</f>
        <v>0</v>
      </c>
      <c r="F296" s="641">
        <f ca="1">SUMIF($G$28:$G$36,Utilitaires!$K$572,Immobilisations!AI28:AI36)+SUMIF($G$104:$G$116,Utilitaires!$K$572,Immobilisations!AI108:AI116)
+SUMIF($G$28:$G$36,Utilitaires!$K$577,Immobilisations!AI28:AI36)+SUMIF($G$104:$G$116,Utilitaires!$K$577,Immobilisations!AI108:AI116)</f>
        <v>0</v>
      </c>
      <c r="G296" s="641">
        <f ca="1">SUMIF($G$28:$G$36,Utilitaires!$K$572,Immobilisations!AK28:AK36)+SUMIF($G$104:$G$116,Utilitaires!$K$572,Immobilisations!AK108:AK116)
+SUMIF($G$28:$G$36,Utilitaires!$K$577,Immobilisations!AK28:AK36)+SUMIF($G$104:$G$116,Utilitaires!$K$577,Immobilisations!AK108:AK116)</f>
        <v>0</v>
      </c>
      <c r="H296" s="641">
        <f ca="1">SUMIF($G$28:$G$36,Utilitaires!$K$572,Immobilisations!AM28:AM36)+SUMIF($G$104:$G$116,Utilitaires!$K$572,Immobilisations!AM108:AM116)
+SUMIF($G$28:$G$36,Utilitaires!$K$577,Immobilisations!AM28:AM36)+SUMIF($G$104:$G$116,Utilitaires!$K$577,Immobilisations!AM108:AM116)</f>
        <v>0</v>
      </c>
      <c r="I296" s="641">
        <f ca="1">SUM(E296:H296)</f>
        <v>0</v>
      </c>
      <c r="J296" s="641">
        <f ca="1">SUMIF($G$28:$G$36,Utilitaires!$K$572,Immobilisations!AQ28:AQ36)+SUMIF($G$104:$G$116,Utilitaires!$K$572,Immobilisations!AQ108:AQ116)
+SUMIF($G$28:$G$36,Utilitaires!$K$577,Immobilisations!AQ28:AQ36)+SUMIF($G$104:$G$116,Utilitaires!$K$577,Immobilisations!AQ108:AQ116)</f>
        <v>0</v>
      </c>
      <c r="K296" s="632">
        <f>SQRT(SUMPRODUCT(($G$28:$G$36=Utilitaires!$K$572)*1,AB28:AB36,AB28:AB36)+SUMPRODUCT(($G$108:$G$116=Utilitaires!$K$572)*1,AB108:AB116,AB108:AB116)
+SUMPRODUCT(($G$28:$G$36=Utilitaires!$K$577)*1,AB28:AB36,AB28:AB36)+SUMPRODUCT(($G$108:$G$116=Utilitaires!$K$577)*1,AB108:AB116,AB108:AB116))</f>
        <v>0</v>
      </c>
      <c r="L296" s="641"/>
    </row>
    <row r="297" spans="2:16" ht="12.75" hidden="1" customHeight="1" outlineLevel="1">
      <c r="B297" s="2694" t="s">
        <v>467</v>
      </c>
      <c r="C297" s="2695"/>
      <c r="D297" s="232">
        <v>9</v>
      </c>
      <c r="E297" s="641"/>
      <c r="F297" s="641"/>
      <c r="G297" s="641"/>
      <c r="H297" s="641"/>
      <c r="I297" s="641"/>
      <c r="J297" s="641"/>
      <c r="K297" s="632"/>
      <c r="L297" s="641"/>
    </row>
    <row r="298" spans="2:16" ht="12.75" hidden="1" customHeight="1" outlineLevel="1">
      <c r="B298" s="2694" t="s">
        <v>468</v>
      </c>
      <c r="C298" s="2695"/>
      <c r="D298" s="232">
        <v>10</v>
      </c>
      <c r="E298" s="641">
        <f>SUMIF($G$28:$G$36,Utilitaires!$K$573,AH28:AH36)+SUMIF($G$108:$G$116,Utilitaires!$K$573,AH108:AH116)+SUMIF($G$28:$G$36,Utilitaires!$K$573,AG28:AG36)+SUMIF($G$108:$G$116,Utilitaires!$K$573,AG108:AG117)
+SUMIF($G$28:$G$36,Utilitaires!$K$578,AH28:AH36)+SUMIF($G$108:$G$116,Utilitaires!$K$578,AH108:AH116)+SUMIF($G$28:$G$36,Utilitaires!$K$578,AG28:AG36)+SUMIF($G$108:$G$116,Utilitaires!$K$578,AG108:AG117)
+AH20+AH47+AH57+AH68+AH79+AH90+AH102+AH129+AH140+AH151+AH162+AH174+AH185+AH196+AH207+AH232+AH217+AH241</f>
        <v>43928.386666666665</v>
      </c>
      <c r="F298" s="641">
        <f>SUMIF($G$28:$G$36,Utilitaires!$K$573,AJ28:AJ36)+SUMIF($G$108:$G$116,Utilitaires!$K$573,AJ108:AJ116)+SUMIF($G$28:$G$36,Utilitaires!$K$573,AI28:AI36)+SUMIF($G$108:$G$116,Utilitaires!$K$573,AI108:AI116)
+SUMIF($G$28:$G$36,Utilitaires!$K$578,AJ28:AJ36)+SUMIF($G$108:$G$116,Utilitaires!$K$578,AJ108:AJ116)+SUMIF($G$28:$G$36,Utilitaires!$K$578,AI28:AI36)+SUMIF($G$108:$G$116,Utilitaires!$K$578,AI108:AI116)
+AJ20+AJ47+AJ57+AJ68+AJ79+AJ90+AJ102+AJ129+AJ140+AJ151+AJ162+AJ174+AJ185+AJ196+AJ207+AJ217+AJ232+AJ241</f>
        <v>0</v>
      </c>
      <c r="G298" s="641">
        <f>SUMIF($G$28:$G$36,Utilitaires!$K$573,AL28:AL36)+SUMIF($G$108:$G$116,Utilitaires!$K$573,AL108:AL116)+SUMIF($G$28:$G$36,Utilitaires!$K$573,AK28:AK36)+SUMIF($G$108:$G$116,Utilitaires!$K$573,AK108:AK116)
+SUMIF($G$28:$G$36,Utilitaires!$K$578,AL28:AL36)+SUMIF($G$108:$G$116,Utilitaires!$K$578,AL108:AL116)+SUMIF($G$28:$G$36,Utilitaires!$K$578,AK28:AK36)+SUMIF($G$108:$G$116,Utilitaires!$K$578,AK108:AK116)
+AL20+AL47+AL57+AL68+AL79+AL90+AL102+AL129+AL140+AL151+AL162+AL174+AL185+AL196+AL207+AL217+AL232+AL241</f>
        <v>0</v>
      </c>
      <c r="H298" s="641">
        <f>SUMIF($G$28:$G$36,Utilitaires!$K$573,AN28:AN36)+SUMIF($G$108:$G$116,Utilitaires!$K$573,AN108:AN116)+SUMIF($G$28:$G$36,Utilitaires!$K$573,AM28:AM36)+SUMIF($G$108:$G$116,Utilitaires!$K$573,AM108:AM116)
+SUMIF($G$28:$G$36,Utilitaires!$K$578,AN28:AN36)+SUMIF($G$108:$G$116,Utilitaires!$K$578,AN108:AN116)+SUMIF($G$28:$G$36,Utilitaires!$K$578,AM28:AM36)+SUMIF($G$108:$G$116,Utilitaires!$K$578,AM108:AM116)
+AN20+AN47+AN57+AN68+AN79+AN90+AN102+AN129+AN140+AN151+AN162+AN174+AN185+AN196+AN207+AN217+AN232+AN241</f>
        <v>0</v>
      </c>
      <c r="I298" s="641">
        <f>SUM(E298:H298)</f>
        <v>43928.386666666665</v>
      </c>
      <c r="J298" s="641">
        <f>SUMIF($G$28:$G$36,Utilitaires!$K$573,AR28:AR36)+SUMIF($G$108:$G$116,Utilitaires!$K$573,AR108:AR116)+SUMIF($G$28:$G$36,Utilitaires!$K$573,AQ28:AQ36)+SUMIF($G$108:$G$116,Utilitaires!$K$573,AQ108:AQ116)
+SUMIF($G$28:$G$36,Utilitaires!$K$578,AR28:AR36)+SUMIF($G$108:$G$116,Utilitaires!$K$578,AR108:AR116)+SUMIF($G$28:$G$36,Utilitaires!$K$578,AQ28:AQ36)+SUMIF($G$108:$G$116,Utilitaires!$K$578,AQ108:AQ116)
+AR20+AR47+AR57+AR68+AR79+AR90+AR102+AR129+AR140+AR151+AR162+AR174+AR185+AR196+AR207+AR217+AR232+AR241</f>
        <v>0</v>
      </c>
      <c r="K298" s="632">
        <f>SQRT(
SUMPRODUCT(($G$28:$G$36=Utilitaires!$K$573)*1,AC28:AC36,AC28:AC36)+SUMPRODUCT(($G$108:$G$116=Utilitaires!$K$573)*1,AC108:AC116,AC108:AC116)
+SUMPRODUCT(($G$28:$G$36=Utilitaires!$K$573)*1,AB28:AB36,AB28:AB36)+SUMPRODUCT(($G$108:$G$116=Utilitaires!$K$573)*1,AB108:AB116,AB108:AB116)
+SUMPRODUCT(($G$28:$G$36=Utilitaires!$K$578)*1,AC28:AC36,AC28:AC36)+SUMPRODUCT(($G$108:$G$116=Utilitaires!$K$578)*1,AC108:AC116,AC108:AC116)
+SUMPRODUCT(($G$28:$G$36=Utilitaires!$K$578)*1,AB28:AB36,AB28:AB36)+SUMPRODUCT(($G$108:$G$116=Utilitaires!$K$578)*1,AB108:AB116,AB108:AB116)
+SUMSQ(AD20,AD47,AD57,AD68,AD79,AD90,AD102,AD129,AD140,AD151,AD162,AD174,AD185,AD196,AD207,AD217,AD232,AD241))</f>
        <v>12133.395140725817</v>
      </c>
      <c r="L298" s="641"/>
    </row>
    <row r="299" spans="2:16" ht="12.75" hidden="1" customHeight="1" outlineLevel="1">
      <c r="B299" s="2694" t="s">
        <v>386</v>
      </c>
      <c r="C299" s="2695"/>
      <c r="D299" s="232">
        <v>11</v>
      </c>
      <c r="E299" s="641"/>
      <c r="F299" s="641"/>
      <c r="G299" s="641"/>
      <c r="H299" s="641"/>
      <c r="I299" s="641"/>
      <c r="J299" s="641"/>
      <c r="K299" s="632"/>
      <c r="L299" s="641"/>
    </row>
    <row r="300" spans="2:16" ht="12.75" hidden="1" customHeight="1" outlineLevel="1">
      <c r="B300" s="2694" t="s">
        <v>469</v>
      </c>
      <c r="C300" s="2695"/>
      <c r="D300" s="232">
        <v>12</v>
      </c>
      <c r="E300" s="641"/>
      <c r="F300" s="641"/>
      <c r="G300" s="641"/>
      <c r="H300" s="641"/>
      <c r="I300" s="641"/>
      <c r="J300" s="641"/>
      <c r="K300" s="632"/>
      <c r="L300" s="641"/>
    </row>
    <row r="301" spans="2:16" ht="12.75" hidden="1" customHeight="1" outlineLevel="1">
      <c r="B301" s="2694" t="s">
        <v>470</v>
      </c>
      <c r="C301" s="2695"/>
      <c r="D301" s="232">
        <v>13</v>
      </c>
      <c r="E301" s="641"/>
      <c r="F301" s="641"/>
      <c r="G301" s="641"/>
      <c r="H301" s="641"/>
      <c r="I301" s="641"/>
      <c r="J301" s="641"/>
      <c r="K301" s="632"/>
      <c r="L301" s="641"/>
    </row>
    <row r="302" spans="2:16" ht="12.75" hidden="1" customHeight="1" outlineLevel="1">
      <c r="B302" s="2694" t="s">
        <v>471</v>
      </c>
      <c r="C302" s="2695"/>
      <c r="D302" s="232">
        <v>14</v>
      </c>
      <c r="E302" s="641"/>
      <c r="F302" s="641"/>
      <c r="G302" s="641"/>
      <c r="H302" s="641"/>
      <c r="I302" s="641"/>
      <c r="J302" s="641"/>
      <c r="K302" s="632"/>
      <c r="L302" s="641"/>
    </row>
    <row r="303" spans="2:16" ht="12.75" hidden="1" customHeight="1" outlineLevel="1">
      <c r="B303" s="2694" t="s">
        <v>472</v>
      </c>
      <c r="C303" s="2695"/>
      <c r="D303" s="232">
        <v>15</v>
      </c>
      <c r="E303" s="641"/>
      <c r="F303" s="641"/>
      <c r="G303" s="641"/>
      <c r="H303" s="641"/>
      <c r="I303" s="641"/>
      <c r="J303" s="641"/>
      <c r="K303" s="632"/>
      <c r="L303" s="641"/>
    </row>
    <row r="304" spans="2:16" ht="12.75" hidden="1" customHeight="1" outlineLevel="1">
      <c r="B304" s="2694" t="s">
        <v>473</v>
      </c>
      <c r="C304" s="2695"/>
      <c r="D304" s="232">
        <v>16</v>
      </c>
      <c r="E304" s="641"/>
      <c r="F304" s="641"/>
      <c r="G304" s="641"/>
      <c r="H304" s="641"/>
      <c r="I304" s="641"/>
      <c r="J304" s="641"/>
      <c r="K304" s="632"/>
      <c r="L304" s="641"/>
    </row>
    <row r="305" spans="2:44" ht="12.75" hidden="1" customHeight="1" outlineLevel="1">
      <c r="B305" s="2694" t="s">
        <v>474</v>
      </c>
      <c r="C305" s="2695"/>
      <c r="D305" s="232">
        <v>17</v>
      </c>
      <c r="E305" s="641"/>
      <c r="F305" s="641"/>
      <c r="G305" s="641"/>
      <c r="H305" s="641"/>
      <c r="I305" s="641"/>
      <c r="J305" s="641"/>
      <c r="K305" s="632"/>
      <c r="L305" s="641"/>
    </row>
    <row r="306" spans="2:44" ht="12.75" hidden="1" customHeight="1" outlineLevel="1">
      <c r="B306" s="2694" t="s">
        <v>475</v>
      </c>
      <c r="C306" s="2695"/>
      <c r="D306" s="232">
        <v>18</v>
      </c>
      <c r="E306" s="641"/>
      <c r="F306" s="641"/>
      <c r="G306" s="641"/>
      <c r="H306" s="641"/>
      <c r="I306" s="641"/>
      <c r="J306" s="641"/>
      <c r="K306" s="632"/>
      <c r="L306" s="641"/>
    </row>
    <row r="307" spans="2:44" ht="12.75" hidden="1" customHeight="1" outlineLevel="1">
      <c r="B307" s="2694" t="s">
        <v>476</v>
      </c>
      <c r="C307" s="2695"/>
      <c r="D307" s="232">
        <v>19</v>
      </c>
      <c r="E307" s="641"/>
      <c r="F307" s="641"/>
      <c r="G307" s="641"/>
      <c r="H307" s="641"/>
      <c r="I307" s="641"/>
      <c r="J307" s="641"/>
      <c r="K307" s="632"/>
      <c r="L307" s="641"/>
    </row>
    <row r="308" spans="2:44" ht="12.75" hidden="1" customHeight="1" outlineLevel="1">
      <c r="B308" s="2694" t="s">
        <v>477</v>
      </c>
      <c r="C308" s="2695"/>
      <c r="D308" s="232">
        <v>20</v>
      </c>
      <c r="E308" s="641"/>
      <c r="F308" s="641"/>
      <c r="G308" s="641"/>
      <c r="H308" s="641"/>
      <c r="I308" s="641"/>
      <c r="J308" s="641"/>
      <c r="K308" s="632"/>
      <c r="L308" s="641"/>
    </row>
    <row r="309" spans="2:44" ht="12.75" hidden="1" customHeight="1" outlineLevel="1">
      <c r="B309" s="2694" t="s">
        <v>478</v>
      </c>
      <c r="C309" s="2695"/>
      <c r="D309" s="232">
        <v>21</v>
      </c>
      <c r="E309" s="641"/>
      <c r="F309" s="641"/>
      <c r="G309" s="641"/>
      <c r="H309" s="641"/>
      <c r="I309" s="641"/>
      <c r="J309" s="641"/>
      <c r="K309" s="632"/>
      <c r="L309" s="641"/>
    </row>
    <row r="310" spans="2:44" ht="12.75" hidden="1" customHeight="1" outlineLevel="1">
      <c r="B310" s="2694" t="s">
        <v>479</v>
      </c>
      <c r="C310" s="2695"/>
      <c r="D310" s="232">
        <v>22</v>
      </c>
      <c r="E310" s="641"/>
      <c r="F310" s="641"/>
      <c r="G310" s="641"/>
      <c r="H310" s="641"/>
      <c r="I310" s="641"/>
      <c r="J310" s="641"/>
      <c r="K310" s="632"/>
      <c r="L310" s="641"/>
    </row>
    <row r="311" spans="2:44" ht="12.75" hidden="1" customHeight="1" outlineLevel="1">
      <c r="B311" s="2694" t="s">
        <v>449</v>
      </c>
      <c r="C311" s="2695"/>
      <c r="D311" s="232">
        <v>23</v>
      </c>
      <c r="E311" s="641"/>
      <c r="F311" s="641"/>
      <c r="G311" s="641"/>
      <c r="H311" s="641"/>
      <c r="I311" s="641"/>
      <c r="J311" s="641"/>
      <c r="K311" s="632"/>
      <c r="L311" s="641"/>
    </row>
    <row r="312" spans="2:44" ht="12.75" hidden="1" customHeight="1" outlineLevel="1">
      <c r="B312" s="2706"/>
      <c r="C312" s="2707"/>
      <c r="D312" s="135" t="s">
        <v>439</v>
      </c>
      <c r="E312" s="642">
        <f t="shared" ref="E312:J312" ca="1" si="50">SUM(E296:E311)</f>
        <v>43928.386666666665</v>
      </c>
      <c r="F312" s="642">
        <f t="shared" ca="1" si="50"/>
        <v>0</v>
      </c>
      <c r="G312" s="642">
        <f t="shared" ca="1" si="50"/>
        <v>0</v>
      </c>
      <c r="H312" s="642">
        <f t="shared" ca="1" si="50"/>
        <v>0</v>
      </c>
      <c r="I312" s="642">
        <f t="shared" ca="1" si="50"/>
        <v>43928.386666666665</v>
      </c>
      <c r="J312" s="642">
        <f t="shared" ca="1" si="50"/>
        <v>0</v>
      </c>
      <c r="K312" s="635">
        <f>SQRT(SUMSQ(K296:K311))</f>
        <v>12133.395140725817</v>
      </c>
      <c r="L312" s="642">
        <f>SUM(L296:L311)</f>
        <v>0</v>
      </c>
    </row>
    <row r="313" spans="2:44" hidden="1" outlineLevel="1"/>
    <row r="315" spans="2:44" s="113" customFormat="1" ht="15.6" collapsed="1">
      <c r="B315" s="2698" t="s">
        <v>721</v>
      </c>
      <c r="C315" s="2699"/>
      <c r="D315" s="2699"/>
      <c r="E315" s="2699"/>
      <c r="F315" s="2699"/>
      <c r="G315" s="2699"/>
      <c r="H315" s="2699"/>
      <c r="I315" s="2699"/>
      <c r="J315" s="2699"/>
      <c r="K315" s="2699"/>
      <c r="L315" s="2699"/>
      <c r="M315" s="2699"/>
      <c r="N315" s="2699"/>
      <c r="O315" s="2700"/>
      <c r="W315" s="817"/>
      <c r="AB315" s="817"/>
      <c r="AF315" s="576"/>
      <c r="AG315" s="576"/>
      <c r="AH315" s="576"/>
      <c r="AI315" s="576"/>
      <c r="AJ315" s="576"/>
      <c r="AK315" s="576"/>
      <c r="AL315" s="576"/>
      <c r="AM315" s="576"/>
      <c r="AN315" s="576"/>
      <c r="AO315" s="576"/>
      <c r="AP315" s="576"/>
      <c r="AQ315" s="576"/>
    </row>
    <row r="316" spans="2:44" s="113" customFormat="1" ht="11.4" hidden="1" outlineLevel="1">
      <c r="W316" s="817"/>
      <c r="AB316" s="817"/>
      <c r="AF316" s="576"/>
      <c r="AG316" s="576"/>
      <c r="AH316" s="576"/>
      <c r="AI316" s="576"/>
      <c r="AJ316" s="576"/>
      <c r="AK316" s="576"/>
      <c r="AL316" s="576"/>
      <c r="AM316" s="576"/>
      <c r="AN316" s="576"/>
      <c r="AO316" s="576"/>
      <c r="AP316" s="576"/>
      <c r="AQ316" s="576"/>
    </row>
    <row r="317" spans="2:44" s="113" customFormat="1" ht="38.25" hidden="1" customHeight="1" outlineLevel="1">
      <c r="B317" s="205"/>
      <c r="C317" s="205"/>
      <c r="D317" s="205"/>
      <c r="E317" s="2701" t="s">
        <v>448</v>
      </c>
      <c r="F317" s="2702"/>
      <c r="G317" s="2702"/>
      <c r="H317" s="2702"/>
      <c r="I317" s="2702"/>
      <c r="J317" s="2702"/>
      <c r="K317" s="2702"/>
      <c r="L317" s="2702"/>
      <c r="M317" s="2702"/>
      <c r="N317" s="2703"/>
      <c r="O317" s="865" t="s">
        <v>440</v>
      </c>
      <c r="W317" s="817"/>
      <c r="AB317" s="817"/>
      <c r="AF317" s="576"/>
      <c r="AG317" s="576"/>
      <c r="AH317" s="576"/>
      <c r="AI317" s="576"/>
      <c r="AJ317" s="576"/>
      <c r="AK317" s="576"/>
      <c r="AL317" s="576"/>
      <c r="AM317" s="576"/>
      <c r="AN317" s="576"/>
      <c r="AO317" s="576"/>
      <c r="AP317" s="576"/>
      <c r="AQ317" s="576"/>
    </row>
    <row r="318" spans="2:44" s="113" customFormat="1" ht="25.5" hidden="1" customHeight="1" outlineLevel="1">
      <c r="B318" s="2701" t="s">
        <v>438</v>
      </c>
      <c r="C318" s="2703"/>
      <c r="D318" s="867" t="s">
        <v>458</v>
      </c>
      <c r="E318" s="866" t="s">
        <v>853</v>
      </c>
      <c r="F318" s="866" t="s">
        <v>854</v>
      </c>
      <c r="G318" s="866" t="s">
        <v>855</v>
      </c>
      <c r="H318" s="866" t="s">
        <v>858</v>
      </c>
      <c r="I318" s="866" t="s">
        <v>859</v>
      </c>
      <c r="J318" s="866" t="s">
        <v>860</v>
      </c>
      <c r="K318" s="866" t="s">
        <v>852</v>
      </c>
      <c r="L318" s="867" t="s">
        <v>513</v>
      </c>
      <c r="M318" s="866" t="s">
        <v>856</v>
      </c>
      <c r="N318" s="866" t="s">
        <v>514</v>
      </c>
      <c r="O318" s="867" t="s">
        <v>513</v>
      </c>
      <c r="Z318" s="817"/>
      <c r="AE318" s="817"/>
      <c r="AI318" s="576"/>
      <c r="AJ318" s="576"/>
      <c r="AK318" s="576"/>
      <c r="AL318" s="576"/>
      <c r="AM318" s="576"/>
      <c r="AN318" s="576"/>
      <c r="AO318" s="576"/>
      <c r="AP318" s="576"/>
      <c r="AQ318" s="576"/>
      <c r="AR318" s="576"/>
    </row>
    <row r="319" spans="2:44" s="113" customFormat="1" ht="12.75" hidden="1" customHeight="1" outlineLevel="1">
      <c r="B319" s="2704" t="s">
        <v>459</v>
      </c>
      <c r="C319" s="2705"/>
      <c r="D319" s="861" t="s">
        <v>727</v>
      </c>
      <c r="E319" s="855"/>
      <c r="F319" s="855"/>
      <c r="G319" s="855"/>
      <c r="H319" s="855"/>
      <c r="I319" s="855"/>
      <c r="J319" s="855"/>
      <c r="K319" s="855"/>
      <c r="L319" s="864"/>
      <c r="M319" s="853"/>
      <c r="N319" s="858"/>
      <c r="O319" s="857"/>
      <c r="Z319" s="817"/>
      <c r="AE319" s="817"/>
      <c r="AI319" s="576"/>
      <c r="AJ319" s="576"/>
      <c r="AK319" s="576"/>
      <c r="AL319" s="576"/>
      <c r="AM319" s="576"/>
      <c r="AN319" s="576"/>
      <c r="AO319" s="576"/>
      <c r="AP319" s="576"/>
      <c r="AQ319" s="576"/>
      <c r="AR319" s="576"/>
    </row>
    <row r="320" spans="2:44" s="113" customFormat="1" ht="12.75" hidden="1" customHeight="1" outlineLevel="1">
      <c r="B320" s="2704" t="s">
        <v>722</v>
      </c>
      <c r="C320" s="2705"/>
      <c r="D320" s="862" t="s">
        <v>728</v>
      </c>
      <c r="E320" s="855" cm="1">
        <f t="array" ref="E320">IF(AND($F$28:$F$36="Oui", $G$28:$G$36,Utilitaires!$K$572),SUM(AH28:AH36),0)+IF(AND($F$108:$F$116="Oui", $G$108:$G$116,Utilitaires!$K$572),SUM(AH108:AH116),0)
+IF(AND($F$28:$F$36="Oui", $G$28:$G$36,Utilitaires!$K$577),SUM(AH28:AH36),0)+IF(AND($F$108:$F$116="Oui", $G$108:$G$116,Utilitaires!$K$572),SUM(AH108:AH116),0)</f>
        <v>0</v>
      </c>
      <c r="F320" s="855" cm="1">
        <f t="array" ref="F320">IF(AND($F$28:$F$36="Oui", $G$28:$G$36,Utilitaires!$K$572),SUM(AJ28:AJ36),0)+IF(AND($F$108:$F$116="Oui", $G$108:$G$116,Utilitaires!$K$572),SUM(AJ108:AJ116),0)
+IF(AND($F$28:$F$36="Oui", $G$28:$G$36,Utilitaires!$K$577),SUM(AJ28:AJ36),0)+IF(AND($F$108:$F$116="Oui", $G$108:$G$116,Utilitaires!$K$572),SUM(AJ108:AJ116),0)</f>
        <v>0</v>
      </c>
      <c r="G320" s="855" cm="1">
        <f t="array" ref="G320">IF(AND($F$28:$F$36="Oui", $G$28:$G$36,Utilitaires!$K$572),SUM(AL28:AL36),0)+IF(AND($F$108:$F$116="Oui", $G$108:$G$116,Utilitaires!$K$572),SUM(AL108:AL116),0)
+IF(AND($F$28:$F$36="Oui", $G$28:$G$36,Utilitaires!$K$577),SUM(AL28:AL36),0)+IF(AND($F$108:$F$116="Oui", $G$108:$G$116,Utilitaires!$K$572),SUM(AL108:AL116),0)</f>
        <v>0</v>
      </c>
      <c r="H320" s="855">
        <v>0</v>
      </c>
      <c r="I320" s="855">
        <v>0</v>
      </c>
      <c r="J320" s="855">
        <v>0</v>
      </c>
      <c r="K320" s="855" cm="1">
        <f t="array" ref="K320">IF(AND($F$28:$F$36="Oui", $G$28:$G$36,Utilitaires!$K$572),SUM(AN28:AN36),0)+IF(AND($F$108:$F$116="Oui", $G$108:$G$116,Utilitaires!$K$572),SUM(AN108:AN116),0)
+IF(AND($F$28:$F$36="Oui", $G$28:$G$36,Utilitaires!$K$577),SUM(AN28:AN36),0)+IF(AND($F$108:$F$116="Oui", $G$108:$G$116,Utilitaires!$K$572),SUM(AN108:AN116),0)</f>
        <v>0</v>
      </c>
      <c r="L320" s="864">
        <f>SUM(E320:K320)</f>
        <v>0</v>
      </c>
      <c r="M320" s="853" cm="1">
        <f t="array" ref="M320">IF(AND($F$28:$F$36="Oui", $G$28:$G$36,Utilitaires!$K$572),SUM(AR28:AR36),0)+IF(AND($F$108:$F$116="Oui", $G$108:$G$116,Utilitaires!$K$572),SUM(AR108:AR116),0)
+IF(AND($F$28:$F$36="Oui", $G$28:$G$36,Utilitaires!$K$577),SUM(AR28:AR36),0)+IF(AND($F$108:$F$116="Oui", $G$108:$G$116,Utilitaires!$K$572),SUM(AR108:AR116),0)</f>
        <v>0</v>
      </c>
      <c r="N320" s="858" cm="1">
        <f t="array" ref="N320">SQRT(SUMPRODUCT(($G$28:$G$36=Utilitaires!$K$572)*($F$28:$F$36="Oui"),AC28:AC36,AC28:AC36)+SUMPRODUCT(($G$108:$G$116=Utilitaires!$K$572)*($F$108:$F$116="Oui"),AC108:AC116,AC108:AC116)+
SUMPRODUCT(($G$28:$G$36=Utilitaires!$K$577)*($F$28:$F$36="Oui"),AC28:AC36,AC28:AC36)+SUMPRODUCT(($G$108:$G$116=Utilitaires!$K$577)*($F$108:$F$116="Oui"),AC108:AC116,AC108:AC116))</f>
        <v>0</v>
      </c>
      <c r="O320" s="857"/>
      <c r="Z320" s="817"/>
      <c r="AE320" s="817"/>
      <c r="AI320" s="576"/>
      <c r="AJ320" s="576"/>
      <c r="AK320" s="576"/>
      <c r="AL320" s="576"/>
      <c r="AM320" s="576"/>
      <c r="AN320" s="576"/>
      <c r="AO320" s="576"/>
      <c r="AP320" s="576"/>
      <c r="AQ320" s="576"/>
      <c r="AR320" s="576"/>
    </row>
    <row r="321" spans="2:44" s="113" customFormat="1" ht="12.75" hidden="1" customHeight="1" outlineLevel="1">
      <c r="B321" s="2704" t="s">
        <v>723</v>
      </c>
      <c r="C321" s="2705"/>
      <c r="D321" s="862" t="s">
        <v>729</v>
      </c>
      <c r="E321" s="855"/>
      <c r="F321" s="855"/>
      <c r="G321" s="855"/>
      <c r="H321" s="855"/>
      <c r="I321" s="855"/>
      <c r="J321" s="855"/>
      <c r="K321" s="855"/>
      <c r="L321" s="864"/>
      <c r="M321" s="853"/>
      <c r="N321" s="858"/>
      <c r="O321" s="857"/>
      <c r="Z321" s="817"/>
      <c r="AE321" s="817"/>
      <c r="AI321" s="576"/>
      <c r="AJ321" s="576"/>
      <c r="AK321" s="576"/>
      <c r="AL321" s="576"/>
      <c r="AM321" s="576"/>
      <c r="AN321" s="576"/>
      <c r="AO321" s="576"/>
      <c r="AP321" s="576"/>
      <c r="AQ321" s="576"/>
      <c r="AR321" s="576"/>
    </row>
    <row r="322" spans="2:44" s="113" customFormat="1" ht="12.75" hidden="1" customHeight="1" outlineLevel="1">
      <c r="B322" s="2704" t="s">
        <v>462</v>
      </c>
      <c r="C322" s="2705"/>
      <c r="D322" s="862" t="s">
        <v>730</v>
      </c>
      <c r="E322" s="855"/>
      <c r="F322" s="855"/>
      <c r="G322" s="855"/>
      <c r="H322" s="855"/>
      <c r="I322" s="855"/>
      <c r="J322" s="855"/>
      <c r="K322" s="855"/>
      <c r="L322" s="864"/>
      <c r="M322" s="853"/>
      <c r="N322" s="858"/>
      <c r="O322" s="857"/>
      <c r="Z322" s="817"/>
      <c r="AE322" s="817"/>
      <c r="AI322" s="576"/>
      <c r="AJ322" s="576"/>
      <c r="AK322" s="576"/>
      <c r="AL322" s="576"/>
      <c r="AM322" s="576"/>
      <c r="AN322" s="576"/>
      <c r="AO322" s="576"/>
      <c r="AP322" s="576"/>
      <c r="AQ322" s="576"/>
      <c r="AR322" s="576"/>
    </row>
    <row r="323" spans="2:44" s="113" customFormat="1" ht="12.75" hidden="1" customHeight="1" outlineLevel="1">
      <c r="B323" s="2710" t="s">
        <v>726</v>
      </c>
      <c r="C323" s="2711"/>
      <c r="D323" s="2712"/>
      <c r="E323" s="852">
        <f t="shared" ref="E323:O323" si="51">SUM(E319:E322)</f>
        <v>0</v>
      </c>
      <c r="F323" s="852">
        <f t="shared" si="51"/>
        <v>0</v>
      </c>
      <c r="G323" s="852">
        <f t="shared" si="51"/>
        <v>0</v>
      </c>
      <c r="H323" s="852">
        <f t="shared" si="51"/>
        <v>0</v>
      </c>
      <c r="I323" s="852">
        <f t="shared" si="51"/>
        <v>0</v>
      </c>
      <c r="J323" s="852">
        <f t="shared" si="51"/>
        <v>0</v>
      </c>
      <c r="K323" s="852">
        <f t="shared" si="51"/>
        <v>0</v>
      </c>
      <c r="L323" s="852">
        <f t="shared" si="51"/>
        <v>0</v>
      </c>
      <c r="M323" s="863">
        <f t="shared" si="51"/>
        <v>0</v>
      </c>
      <c r="N323" s="859">
        <f>SQRT(SUMSQ(N319:N322))</f>
        <v>0</v>
      </c>
      <c r="O323" s="860">
        <f t="shared" si="51"/>
        <v>0</v>
      </c>
      <c r="Z323" s="817"/>
      <c r="AE323" s="817"/>
      <c r="AI323" s="576"/>
      <c r="AJ323" s="576"/>
      <c r="AK323" s="576"/>
      <c r="AL323" s="576"/>
      <c r="AM323" s="576"/>
      <c r="AN323" s="576"/>
      <c r="AO323" s="576"/>
      <c r="AP323" s="576"/>
      <c r="AQ323" s="576"/>
      <c r="AR323" s="576"/>
    </row>
    <row r="324" spans="2:44" s="113" customFormat="1" ht="12.75" hidden="1" customHeight="1" outlineLevel="1">
      <c r="B324" s="2704" t="s">
        <v>464</v>
      </c>
      <c r="C324" s="2705"/>
      <c r="D324" s="862" t="s">
        <v>731</v>
      </c>
      <c r="E324" s="855"/>
      <c r="F324" s="855"/>
      <c r="G324" s="855"/>
      <c r="H324" s="855"/>
      <c r="I324" s="855"/>
      <c r="J324" s="855"/>
      <c r="K324" s="855"/>
      <c r="L324" s="864"/>
      <c r="M324" s="853"/>
      <c r="N324" s="858"/>
      <c r="O324" s="856"/>
      <c r="Z324" s="817"/>
      <c r="AE324" s="817"/>
      <c r="AI324" s="576"/>
      <c r="AJ324" s="576"/>
      <c r="AK324" s="576"/>
      <c r="AL324" s="576"/>
      <c r="AM324" s="576"/>
      <c r="AN324" s="576"/>
      <c r="AO324" s="576"/>
      <c r="AP324" s="576"/>
      <c r="AQ324" s="576"/>
      <c r="AR324" s="576"/>
    </row>
    <row r="325" spans="2:44" s="113" customFormat="1" ht="12.75" hidden="1" customHeight="1" outlineLevel="1">
      <c r="B325" s="2708" t="s">
        <v>465</v>
      </c>
      <c r="C325" s="2709"/>
      <c r="D325" s="862" t="s">
        <v>732</v>
      </c>
      <c r="E325" s="855"/>
      <c r="F325" s="855"/>
      <c r="G325" s="855"/>
      <c r="H325" s="855"/>
      <c r="I325" s="855"/>
      <c r="J325" s="855"/>
      <c r="K325" s="855"/>
      <c r="L325" s="864"/>
      <c r="M325" s="853"/>
      <c r="N325" s="858"/>
      <c r="O325" s="856"/>
      <c r="Z325" s="817"/>
      <c r="AE325" s="817"/>
      <c r="AI325" s="576"/>
      <c r="AJ325" s="576"/>
      <c r="AK325" s="576"/>
      <c r="AL325" s="576"/>
      <c r="AM325" s="576"/>
      <c r="AN325" s="576"/>
      <c r="AO325" s="576"/>
      <c r="AP325" s="576"/>
      <c r="AQ325" s="576"/>
      <c r="AR325" s="576"/>
    </row>
    <row r="326" spans="2:44" s="113" customFormat="1" ht="12.75" hidden="1" customHeight="1" outlineLevel="1">
      <c r="B326" s="2710" t="s">
        <v>725</v>
      </c>
      <c r="C326" s="2711"/>
      <c r="D326" s="2712"/>
      <c r="E326" s="852">
        <f t="shared" ref="E326:L326" si="52">SUM(E324:E325)</f>
        <v>0</v>
      </c>
      <c r="F326" s="852">
        <f t="shared" si="52"/>
        <v>0</v>
      </c>
      <c r="G326" s="852">
        <f t="shared" si="52"/>
        <v>0</v>
      </c>
      <c r="H326" s="852">
        <f t="shared" si="52"/>
        <v>0</v>
      </c>
      <c r="I326" s="852">
        <f t="shared" si="52"/>
        <v>0</v>
      </c>
      <c r="J326" s="852">
        <f t="shared" si="52"/>
        <v>0</v>
      </c>
      <c r="K326" s="852">
        <f t="shared" si="52"/>
        <v>0</v>
      </c>
      <c r="L326" s="852">
        <f t="shared" si="52"/>
        <v>0</v>
      </c>
      <c r="M326" s="863">
        <f>SUM(M324:M325)</f>
        <v>0</v>
      </c>
      <c r="N326" s="859">
        <f>SQRT(SUMSQ(N324:N325))</f>
        <v>0</v>
      </c>
      <c r="O326" s="860">
        <f>SUM(O324:O325)</f>
        <v>0</v>
      </c>
      <c r="Z326" s="817"/>
      <c r="AE326" s="817"/>
      <c r="AI326" s="576"/>
      <c r="AJ326" s="576"/>
      <c r="AK326" s="576"/>
      <c r="AL326" s="576"/>
      <c r="AM326" s="576"/>
      <c r="AN326" s="576"/>
      <c r="AO326" s="576"/>
      <c r="AP326" s="576"/>
      <c r="AQ326" s="576"/>
      <c r="AR326" s="576"/>
    </row>
    <row r="327" spans="2:44" s="113" customFormat="1" ht="12.75" hidden="1" customHeight="1" outlineLevel="1">
      <c r="B327" s="2713" t="s">
        <v>757</v>
      </c>
      <c r="C327" s="2714"/>
      <c r="D327" s="2714"/>
      <c r="E327" s="2714"/>
      <c r="F327" s="2714"/>
      <c r="G327" s="2714"/>
      <c r="H327" s="2714"/>
      <c r="I327" s="2714"/>
      <c r="J327" s="2714"/>
      <c r="K327" s="2714"/>
      <c r="L327" s="2714"/>
      <c r="M327" s="2714"/>
      <c r="N327" s="2714"/>
      <c r="O327" s="2715"/>
      <c r="Z327" s="817"/>
      <c r="AE327" s="817"/>
      <c r="AI327" s="576"/>
      <c r="AJ327" s="576"/>
      <c r="AK327" s="576"/>
      <c r="AL327" s="576"/>
      <c r="AM327" s="576"/>
      <c r="AN327" s="576"/>
      <c r="AO327" s="576"/>
      <c r="AP327" s="576"/>
      <c r="AQ327" s="576"/>
      <c r="AR327" s="576"/>
    </row>
    <row r="328" spans="2:44" s="113" customFormat="1" ht="12.75" hidden="1" customHeight="1" outlineLevel="1">
      <c r="B328" s="2704" t="s">
        <v>733</v>
      </c>
      <c r="C328" s="2705"/>
      <c r="D328" s="862" t="s">
        <v>741</v>
      </c>
      <c r="E328" s="855"/>
      <c r="F328" s="855"/>
      <c r="G328" s="855"/>
      <c r="H328" s="855"/>
      <c r="I328" s="855"/>
      <c r="J328" s="855"/>
      <c r="K328" s="855"/>
      <c r="L328" s="864"/>
      <c r="M328" s="853"/>
      <c r="N328" s="858"/>
      <c r="O328" s="856"/>
      <c r="Z328" s="817"/>
      <c r="AE328" s="817"/>
      <c r="AI328" s="576"/>
      <c r="AJ328" s="576"/>
      <c r="AK328" s="576"/>
      <c r="AL328" s="576"/>
      <c r="AM328" s="576"/>
      <c r="AN328" s="576"/>
      <c r="AO328" s="576"/>
      <c r="AP328" s="576"/>
      <c r="AQ328" s="576"/>
      <c r="AR328" s="576"/>
    </row>
    <row r="329" spans="2:44" s="113" customFormat="1" ht="12.75" hidden="1" customHeight="1" outlineLevel="1">
      <c r="B329" s="2708" t="s">
        <v>734</v>
      </c>
      <c r="C329" s="2709"/>
      <c r="D329" s="862" t="s">
        <v>742</v>
      </c>
      <c r="E329" s="855" cm="1">
        <f t="array" ref="E329">IF(AND($F$28:$F$36="Oui", $G$28:$G$36,Utilitaires!$K$573),SUM(AH28:AH36),0)+IF(AND($F$108:$F$116="Oui", $G$108:$G$116,Utilitaires!$K$573),SUM(AH108:AH116),0)+IF(AND($F$28:$F$36="Oui", $G$28:$G$36,Utilitaires!$K$573),SUM(AG28:AG36),0)+IF(AND($F$108:$F$116="Oui", $G$108:$G$116,Utilitaires!$K$573),SUM(AG108:AG116),0)
+IF(AND($F$28:$F$36="Oui", $G$28:$G$36,Utilitaires!$K$578),SUM(AH28:AH36),0)+IF(AND($F$108:$F$116="Oui", $G$108:$G$116,Utilitaires!$K$578),SUM(AH108:AH116),0)+IF(AND($F$28:$F$36="Oui", $G$108:$G$116,Utilitaires!$K$578),SUM(AG28:AG36),0)+IF(AND($F$108:$F$116="Oui", $G$108:$G$116,Utilitaires!$K$578),SUM(AG108:AG116),0)
+SUMIF($F$15:$F$36,"Oui",AH15:AH36)+SUMIF($F$43:$F$45,"Oui",AH43:AH45)+ SUMIF($F$53:$F$55,"Oui",AH53:AH55)+SUMIF($F$63:$F$66,"Oui",AH63:AH66)+SUMIF($F$74:$F$77,"Oui",AH74:AH77)+SUMIF($F$98:$F$100,"Oui",AH98:AH100)+SUMIF($F$125:$F$127,"Oui",AH125:AH127)+SUMIF($F$135:$F$138,"Oui",AH135:AH138)+SUMIF($F$146:$F$149,"Oui",AH146:AH149)+SUMIF($F$157:$F$160,"Oui",AH157:AH160)+SUMIF($F$170:$F$172,"Oui",AH170:AH172)+SUMIF($F$180:$F$183,"Oui",AH180:AH183)+SUMIF($F$191:$F$196,"Oui",AH191:AH196)+SUMIF($F$202:$F$205,"Oui",AH202:AH205)+SUMIF($F$213:$F$215,"Oui",AH213:AH215)+SUMIF($F$226:$F$230,"Oui",AH226:AH230)+SUMIF($F$238:$F$239,"Oui",AH238:AH239)</f>
        <v>0</v>
      </c>
      <c r="F329" s="855" cm="1">
        <f t="array" ref="F329">IF(AND($F$28:$F$36="Oui", $G$28:$G$36,Utilitaires!$K$573),SUM(AJ28:AJ36),0)+IF(AND($F$108:$F$116="Oui", $G$108:$G$116,Utilitaires!$K$573),SUM(AJ108:AJ116),0)+IF(AND($F$28:$F$36="Oui", $G$28:$G$36,Utilitaires!$K$573),SUM(AI28:AI36),0)+IF(AND($F$108:$F$116="Oui", $G$108:$G$116,Utilitaires!$K$573),SUM(AI108:AI116),0)
+IF(AND($F$28:$F$36="Oui", $G$28:$G$36,Utilitaires!$K$578),SUM(AJ28:AJ36),0)+IF(AND($F$108:$F$116="Oui", $G$108:$G$116,Utilitaires!$K$578),SUM(AJ108:AJ116),0)+IF(AND($F$28:$F$36="Oui", $G$108:$G$116,Utilitaires!$K$578),SUM(AI28:AI36),0)+IF(AND($F$108:$F$116="Oui", $G$108:$G$116,Utilitaires!$K$578),SUM(AI108:AI116),0)
+SUMIF($F$15:$F$36,"Oui",AJ15:AJ36)+SUMIF($F$43:$F$45,"Oui",AJ43:AJ45)+ SUMIF($F$53:$F$55,"Oui",AJ53:AJ55)+SUMIF($F$63:$F$66,"Oui",AJ63:AJ66)+SUMIF($F$74:$F$77,"Oui",AJ74:AJ77)+SUMIF($F$98:$F$100,"Oui",AJ98:AJ100)+SUMIF($F$125:$F$127,"Oui",AJ125:AJ127)+SUMIF($F$135:$F$138,"Oui",AJ135:AJ138)+SUMIF($F$146:$F$149,"Oui",AJ146:AJ149)+SUMIF($F$157:$F$160,"Oui",AJ157:AJ160)+SUMIF($F$170:$F$172,"Oui",AJ170:AJ172)+SUMIF($F$180:$F$183,"Oui",AJ180:AJ183)+SUMIF($F$191:$F$196,"Oui",AJ191:AJ196)+SUMIF($F$202:$F$205,"Oui",AJ202:AJ205)+SUMIF($F$213:$F$215,"Oui",AJ213:AJ215)+SUMIF($F$226:$F$230,"Oui",AJ226:AJ230)+SUMIF($F$238:$F$239,"Oui",AJ238:AJ239)</f>
        <v>0</v>
      </c>
      <c r="G329" s="855" cm="1">
        <f t="array" ref="G329">IF(AND($F$28:$F$36="Oui", $G$28:$G$36,Utilitaires!$K$573),SUM(AL28:AL36),0)+IF(AND($F$108:$F$116="Oui", $G$108:$G$116,Utilitaires!$K$573),SUM(AL108:AL116),0)+IF(AND($F$28:$F$36="Oui", $G$28:$G$36,Utilitaires!$K$573),SUM(AL28:AL36),0)+IF(AND($F$108:$F$116="Oui", $G$108:$G$116,Utilitaires!$K$573),SUM(AL108:AL116),0)
+IF(AND($F$28:$F$36="Oui", $G$28:$G$36,Utilitaires!$K$578),SUM(AL28:AL36),0)+IF(AND($F$108:$F$116="Oui", $G$108:$G$116,Utilitaires!$K$578),SUM(AL108:AL116),0)+IF(AND($F$28:$F$36="Oui", $G$108:$G$116,Utilitaires!$K$578),SUM(AL28:AL36),0)+IF(AND($F$108:$F$116="Oui", $G$108:$G$116,Utilitaires!$K$578),SUM(AL108:AL116),0)
+SUMIF($F$15:$F$36,"Oui",AL15:AL36)+SUMIF($F$43:$F$45,"Oui",AL43:AL45)+ SUMIF($F$53:$F$55,"Oui",AL53:AL55)+SUMIF($F$63:$F$66,"Oui",AL63:AL66)+SUMIF($F$74:$F$77,"Oui",AL74:AL77)+SUMIF($F$98:$F$100,"Oui",AL98:AL100)+SUMIF($F$125:$F$127,"Oui",AL125:AL127)+SUMIF($F$135:$F$138,"Oui",AL135:AL138)+SUMIF($F$146:$F$149,"Oui",AL146:AL149)+SUMIF($F$157:$F$160,"Oui",AL157:AL160)+SUMIF($F$170:$F$172,"Oui",AL170:AL172)+SUMIF($F$180:$F$183,"Oui",AL180:AL183)+SUMIF($F$191:$F$196,"Oui",AL191:AL196)+SUMIF($F$202:$F$205,"Oui",AL202:AL205)+SUMIF($F$213:$F$215,"Oui",AL213:AL215)+SUMIF($F$226:$F$230,"Oui",AL226:AL230)+SUMIF($F$238:$F$239,"Oui",AL238:AL239)</f>
        <v>0</v>
      </c>
      <c r="H329" s="855">
        <v>0</v>
      </c>
      <c r="I329" s="855">
        <v>0</v>
      </c>
      <c r="J329" s="855">
        <v>0</v>
      </c>
      <c r="K329" s="855" cm="1">
        <f t="array" ref="K329">IF(AND($F$28:$F$36="Oui", $G$28:$G$36,Utilitaires!$K$573),SUM(AN28:AN36),0)+IF(AND($F$108:$F$116="Oui", $G$108:$G$116,Utilitaires!$K$573),SUM(AN108:AN116),0)+IF(AND($F$28:$F$36="Oui", $G$28:$G$36,Utilitaires!$K$573),SUM(AN28:AN36),0)+IF(AND($F$108:$F$116="Oui", $G$108:$G$116,Utilitaires!$K$573),SUM(AN108:AN116),0)
+IF(AND($F$28:$F$36="Oui", $G$28:$G$36,Utilitaires!$K$578),SUM(AN28:AN36),0)+IF(AND($F$108:$F$116="Oui", $G$108:$G$116,Utilitaires!$K$578),SUM(AN108:AN116),0)+IF(AND($F$28:$F$36="Oui", $G$108:$G$116,Utilitaires!$K$578),SUM(AN28:AN36),0)+IF(AND($F$108:$F$116="Oui", $G$108:$G$116,Utilitaires!$K$578),SUM(AN108:AN116),0)
+SUMIF($F$15:$F$36,"Oui",AN15:AN36)+SUMIF($F$43:$F$45,"Oui",AN43:AN45)+ SUMIF($F$53:$F$55,"Oui",AN53:AN55)+SUMIF($F$63:$F$66,"Oui",AN63:AN66)+SUMIF($F$74:$F$77,"Oui",AN74:AN77)+SUMIF($F$98:$F$100,"Oui",AN98:AN100)+SUMIF($F$125:$F$127,"Oui",AN125:AN127)+SUMIF($F$135:$F$138,"Oui",AN135:AN138)+SUMIF($F$146:$F$149,"Oui",AN146:AN149)+SUMIF($F$157:$F$160,"Oui",AN157:AN160)+SUMIF($F$170:$F$172,"Oui",AN170:AN172)+SUMIF($F$180:$F$183,"Oui",AN180:AN183)+SUMIF($F$191:$F$196,"Oui",AN191:AN196)+SUMIF($F$202:$F$205,"Oui",AN202:AN205)+SUMIF($F$213:$F$215,"Oui",AN213:AN215)+SUMIF($F$226:$F$230,"Oui",AN226:AN230)+SUMIF($F$238:$F$239,"Oui",AN238:AN239)</f>
        <v>0</v>
      </c>
      <c r="L329" s="864">
        <f>SUM(E329:K329)</f>
        <v>0</v>
      </c>
      <c r="M329" s="853" cm="1">
        <f t="array" ref="M329">IF(AND($F$28:$F$36="Oui", $G$28:$G$36,Utilitaires!$K$573),SUM(AR28:AR36),0)+IF(AND($F$108:$F$116="Oui", $G$108:$G$116,Utilitaires!$K$573),SUM(AR108:AR116),0)+IF(AND($F$28:$F$36="Oui", $G$28:$G$36,Utilitaires!$K$573),SUM(AR28:AR36),0)+IF(AND($F$108:$F$116="Oui", $G$108:$G$116,Utilitaires!$K$573),SUM(AR108:AR116),0)
+IF(AND($F$28:$F$36="Oui", $G$28:$G$36,Utilitaires!$K$578),SUM(AR28:AR36),0)+IF(AND($F$108:$F$116="Oui", $G$108:$G$116,Utilitaires!$K$578),SUM(AR108:AR116),0)+IF(AND($F$28:$F$36="Oui", $G$108:$G$116,Utilitaires!$K$578),SUM(AR28:AR36),0)+IF(AND($F$108:$F$116="Oui", $G$108:$G$116,Utilitaires!$K$578),SUM(AR108:AR116),0)
+SUMIF($F$15:$F$36,"Oui",AR15:AR36)+SUMIF($F$43:$F$45,"Oui",AR43:AR45)+ SUMIF($F$53:$F$55,"Oui",AR53:AR55)+SUMIF($F$63:$F$66,"Oui",AR63:AR66)+SUMIF($F$74:$F$77,"Oui",AR74:AR77)+SUMIF($F$98:$F$100,"Oui",AR98:AR100)+SUMIF($F$125:$F$127,"Oui",AR125:AR127)+SUMIF($F$135:$F$138,"Oui",AR135:AR138)+SUMIF($F$146:$F$149,"Oui",AR146:AR149)+SUMIF($F$157:$F$160,"Oui",AR157:AR160)+SUMIF($F$170:$F$172,"Oui",AR170:AR172)+SUMIF($F$180:$F$183,"Oui",AR180:AR183)+SUMIF($F$191:$F$196,"Oui",AR191:AR196)+SUMIF($F$202:$F$205,"Oui",AR202:AR205)+SUMIF($F$213:$F$215,"Oui",AR213:AR215)+SUMIF($F$226:$F$230,"Oui",AR226:AR230)+SUMIF($F$238:$F$239,"Oui",AR238:AR239)</f>
        <v>0</v>
      </c>
      <c r="N329" s="858" cm="1">
        <f t="array" ref="N329">SQRT(
SUMPRODUCT(($G$28:$G$36=Utilitaires!$K$573)*($F$28:$F$36="Oui"),AC28:AC36,AC28:AC36)+SUMPRODUCT(($G$108:$G$116=Utilitaires!$K$573)*($F$108:$F$116="Oui"),AC108:AC116,AC108:AC116)
+SUMPRODUCT(($G$28:$G$36=Utilitaires!$K$573)*($F$28:$F$36="Oui"),AB28:AB36,AB28:AB36)+SUMPRODUCT(($G$108:$G$116=Utilitaires!$K$573)*($F$108:$F$116="Oui"),AB108:AB116,AB108:AB116)
+SUMPRODUCT(($G$28:$G$36=Utilitaires!$K$578)*($F$28:$F$36="Oui"),AC28:AC36,AC28:AC36)+SUMPRODUCT(($G$108:$G$116=Utilitaires!$K$578)*($F$108:$F$116="Oui"),AC108:AC116,AC108:AC116)
+SUMPRODUCT(($G$28:$G$36=Utilitaires!$K$578)*($F$28:$F$36="Oui"),AB28:AB36,AB28:AB36)+SUMPRODUCT(($G$108:$G$116=Utilitaires!$K$578)*($F$108:$F$116="Oui"),AB108:AB116,AB108:AB116)
+SUMSQ(AD20,AD47,AD57,AD68,AD79,AD90,AD102,AD129,AD140,AD151,AD162,AD174,AD185,AD196,AD207,AD217,AD232,AD241))</f>
        <v>12133.395140725817</v>
      </c>
      <c r="O329" s="856"/>
      <c r="Z329" s="817"/>
      <c r="AE329" s="817"/>
      <c r="AI329" s="576"/>
      <c r="AJ329" s="576"/>
      <c r="AK329" s="576"/>
      <c r="AL329" s="576"/>
      <c r="AM329" s="576"/>
      <c r="AN329" s="576"/>
      <c r="AO329" s="576"/>
      <c r="AP329" s="576"/>
      <c r="AQ329" s="576"/>
      <c r="AR329" s="576"/>
    </row>
    <row r="330" spans="2:44" s="113" customFormat="1" ht="12.75" hidden="1" customHeight="1" outlineLevel="1">
      <c r="B330" s="2708" t="s">
        <v>735</v>
      </c>
      <c r="C330" s="2709"/>
      <c r="D330" s="862" t="s">
        <v>743</v>
      </c>
      <c r="E330" s="855" cm="1">
        <f t="array" ref="E330">IF(AND($F$28:$F$36="Oui", $G$28:$G$36,Utilitaires!$K$572),SUM(AG28:AG36),0)+IF(AND($F$108:$F$116="Oui", $G$108:$G$116,Utilitaires!$K$572),SUM(AG108:AG116),0)
+IF(AND($F$28:$F$36="Oui", $G$28:$G$36,Utilitaires!$K$577),SUM(AG28:AG36),0)+IF(AND($F$108:$F$116="Oui", $G$108:$G$116,Utilitaires!$K$572),SUM(AG108:AG116),0)</f>
        <v>0</v>
      </c>
      <c r="F330" s="855" cm="1">
        <f t="array" ref="F330">IF(AND($F$28:$F$36="Oui", $G$28:$G$36,Utilitaires!$K$572),SUM(AI28:AI36),0)+IF(AND($F$108:$F$116="Oui", $G$108:$G$116,Utilitaires!$K$572),SUM(AI108:AI116),0)
+IF(AND($F$28:$F$36="Oui", $G$28:$G$36,Utilitaires!$K$577),SUM(AI28:AI36),0)+IF(AND($F$108:$F$116="Oui", $G$108:$G$116,Utilitaires!$K$572),SUM(AI108:AI116),0)</f>
        <v>0</v>
      </c>
      <c r="G330" s="855" cm="1">
        <f t="array" ref="G330">IF(AND($F$28:$F$36="Oui", $G$28:$G$36,Utilitaires!$K$572),SUM(AK28:AK36),0)+IF(AND($F$108:$F$116="Oui", $G$108:$G$116,Utilitaires!$K$572),SUM(AK108:AK116),0)
+IF(AND($F$28:$F$36="Oui", $G$28:$G$36,Utilitaires!$K$577),SUM(AK28:AK36),0)+IF(AND($F$108:$F$116="Oui", $G$108:$G$116,Utilitaires!$K$572),SUM(AK108:AK116),0)</f>
        <v>0</v>
      </c>
      <c r="H330" s="855">
        <v>0</v>
      </c>
      <c r="I330" s="855">
        <v>0</v>
      </c>
      <c r="J330" s="855">
        <v>0</v>
      </c>
      <c r="K330" s="855" cm="1">
        <f t="array" ref="K330">IF(AND($F$28:$F$36="Oui", $G$28:$G$36,Utilitaires!$K$572),SUM(AM28:AM36),0)+IF(AND($F$108:$F$116="Oui", $G$108:$G$116,Utilitaires!$K$572),SUM(AM108:AM116),0)
+IF(AND($F$28:$F$36="Oui", $G$28:$G$36,Utilitaires!$K$577),SUM(AM28:AM36),0)+IF(AND($F$108:$F$116="Oui", $G$108:$G$116,Utilitaires!$K$572),SUM(AM108:AM116),0)</f>
        <v>0</v>
      </c>
      <c r="L330" s="864">
        <f>SUM(E330:K330)</f>
        <v>0</v>
      </c>
      <c r="M330" s="853" cm="1">
        <f t="array" ref="M330">IF(AND($F$28:$F$36="Oui", $G$28:$G$36,Utilitaires!$K$572),SUM(AQ28:AQ36),0)+IF(AND($F$108:$F$116="Oui", $G$108:$G$116,Utilitaires!$K$572),SUM(AQ108:AQ116),0)
+IF(AND($F$28:$F$36="Oui", $G$28:$G$36,Utilitaires!$K$577),SUM(AQ28:AQ36),0)+IF(AND($F$108:$F$116="Oui", $G$108:$G$116,Utilitaires!$K$572),SUM(AQ108:AQ116),0)</f>
        <v>0</v>
      </c>
      <c r="N330" s="858" cm="1">
        <f t="array" ref="N330">SQRT(SUMPRODUCT(($G$28:$G$36=Utilitaires!$K$572)*($F$28:$F$36="Oui"),AB28:AB36,AB28:AB36)+SUMPRODUCT(($G$108:$G$116=Utilitaires!$K$572)*($F$108:$F$116="Oui"),AB108:AB116,AB108:AB116)+
SUMPRODUCT(($G$28:$G$36=Utilitaires!$K$577)*($F$28:$F$36="Oui"),AB28:AB36,AB28:AB36)+SUMPRODUCT(($G$108:$G$116=Utilitaires!$K$577)*($F$108:$F$116="Oui"),AB108:AB116,AB108:AB116))</f>
        <v>0</v>
      </c>
      <c r="O330" s="856"/>
      <c r="Z330" s="817"/>
      <c r="AE330" s="817"/>
      <c r="AI330" s="576"/>
      <c r="AJ330" s="576"/>
      <c r="AK330" s="576"/>
      <c r="AL330" s="576"/>
      <c r="AM330" s="576"/>
      <c r="AN330" s="576"/>
      <c r="AO330" s="576"/>
      <c r="AP330" s="576"/>
      <c r="AQ330" s="576"/>
      <c r="AR330" s="576"/>
    </row>
    <row r="331" spans="2:44" s="113" customFormat="1" ht="12.75" hidden="1" customHeight="1" outlineLevel="1">
      <c r="B331" s="2704" t="s">
        <v>815</v>
      </c>
      <c r="C331" s="2705"/>
      <c r="D331" s="862" t="s">
        <v>744</v>
      </c>
      <c r="E331" s="855"/>
      <c r="F331" s="855"/>
      <c r="G331" s="855"/>
      <c r="H331" s="855"/>
      <c r="I331" s="855"/>
      <c r="J331" s="855"/>
      <c r="K331" s="855"/>
      <c r="L331" s="864"/>
      <c r="M331" s="853"/>
      <c r="N331" s="858"/>
      <c r="O331" s="856"/>
      <c r="Z331" s="817"/>
      <c r="AE331" s="817"/>
      <c r="AI331" s="576"/>
      <c r="AJ331" s="576"/>
      <c r="AK331" s="576"/>
      <c r="AL331" s="576"/>
      <c r="AM331" s="576"/>
      <c r="AN331" s="576"/>
      <c r="AO331" s="576"/>
      <c r="AP331" s="576"/>
      <c r="AQ331" s="576"/>
      <c r="AR331" s="576"/>
    </row>
    <row r="332" spans="2:44" s="113" customFormat="1" ht="12.75" hidden="1" customHeight="1" outlineLevel="1">
      <c r="B332" s="2704" t="s">
        <v>736</v>
      </c>
      <c r="C332" s="2705"/>
      <c r="D332" s="862" t="s">
        <v>745</v>
      </c>
      <c r="E332" s="855"/>
      <c r="F332" s="855"/>
      <c r="G332" s="855"/>
      <c r="H332" s="855"/>
      <c r="I332" s="855"/>
      <c r="J332" s="855"/>
      <c r="K332" s="855"/>
      <c r="L332" s="864"/>
      <c r="M332" s="853"/>
      <c r="N332" s="858"/>
      <c r="O332" s="856"/>
      <c r="Z332" s="817"/>
      <c r="AE332" s="817"/>
      <c r="AI332" s="576"/>
      <c r="AJ332" s="576"/>
      <c r="AK332" s="576"/>
      <c r="AL332" s="576"/>
      <c r="AM332" s="576"/>
      <c r="AN332" s="576"/>
      <c r="AO332" s="576"/>
      <c r="AP332" s="576"/>
      <c r="AQ332" s="576"/>
      <c r="AR332" s="576"/>
    </row>
    <row r="333" spans="2:44" s="113" customFormat="1" ht="12.75" hidden="1" customHeight="1" outlineLevel="1">
      <c r="B333" s="2704" t="s">
        <v>470</v>
      </c>
      <c r="C333" s="2705"/>
      <c r="D333" s="862" t="s">
        <v>746</v>
      </c>
      <c r="E333" s="855"/>
      <c r="F333" s="855"/>
      <c r="G333" s="855"/>
      <c r="H333" s="855"/>
      <c r="I333" s="855"/>
      <c r="J333" s="855"/>
      <c r="K333" s="855"/>
      <c r="L333" s="864"/>
      <c r="M333" s="853"/>
      <c r="N333" s="858"/>
      <c r="O333" s="856"/>
      <c r="Z333" s="817"/>
      <c r="AE333" s="817"/>
      <c r="AI333" s="576"/>
      <c r="AJ333" s="576"/>
      <c r="AK333" s="576"/>
      <c r="AL333" s="576"/>
      <c r="AM333" s="576"/>
      <c r="AN333" s="576"/>
      <c r="AO333" s="576"/>
      <c r="AP333" s="576"/>
      <c r="AQ333" s="576"/>
      <c r="AR333" s="576"/>
    </row>
    <row r="334" spans="2:44" s="113" customFormat="1" ht="12.75" hidden="1" customHeight="1" outlineLevel="1">
      <c r="B334" s="2704" t="s">
        <v>479</v>
      </c>
      <c r="C334" s="2705"/>
      <c r="D334" s="862" t="s">
        <v>747</v>
      </c>
      <c r="E334" s="855"/>
      <c r="F334" s="855"/>
      <c r="G334" s="855"/>
      <c r="H334" s="855"/>
      <c r="I334" s="855"/>
      <c r="J334" s="855"/>
      <c r="K334" s="855"/>
      <c r="L334" s="864"/>
      <c r="M334" s="853"/>
      <c r="N334" s="858"/>
      <c r="O334" s="856"/>
      <c r="Z334" s="817"/>
      <c r="AE334" s="817"/>
      <c r="AI334" s="576"/>
      <c r="AJ334" s="576"/>
      <c r="AK334" s="576"/>
      <c r="AL334" s="576"/>
      <c r="AM334" s="576"/>
      <c r="AN334" s="576"/>
      <c r="AO334" s="576"/>
      <c r="AP334" s="576"/>
      <c r="AQ334" s="576"/>
      <c r="AR334" s="576"/>
    </row>
    <row r="335" spans="2:44" s="113" customFormat="1" ht="12.75" hidden="1" customHeight="1" outlineLevel="1">
      <c r="B335" s="2704" t="s">
        <v>471</v>
      </c>
      <c r="C335" s="2705"/>
      <c r="D335" s="862" t="s">
        <v>748</v>
      </c>
      <c r="E335" s="855"/>
      <c r="F335" s="855"/>
      <c r="G335" s="855"/>
      <c r="H335" s="855"/>
      <c r="I335" s="855"/>
      <c r="J335" s="855"/>
      <c r="K335" s="855"/>
      <c r="L335" s="864"/>
      <c r="M335" s="853"/>
      <c r="N335" s="858"/>
      <c r="O335" s="856"/>
      <c r="Z335" s="817"/>
      <c r="AE335" s="817"/>
      <c r="AI335" s="576"/>
      <c r="AJ335" s="576"/>
      <c r="AK335" s="576"/>
      <c r="AL335" s="576"/>
      <c r="AM335" s="576"/>
      <c r="AN335" s="576"/>
      <c r="AO335" s="576"/>
      <c r="AP335" s="576"/>
      <c r="AQ335" s="576"/>
      <c r="AR335" s="576"/>
    </row>
    <row r="336" spans="2:44" s="113" customFormat="1" ht="12.75" hidden="1" customHeight="1" outlineLevel="1">
      <c r="B336" s="2704" t="s">
        <v>762</v>
      </c>
      <c r="C336" s="2705"/>
      <c r="D336" s="854"/>
      <c r="E336" s="855"/>
      <c r="F336" s="855"/>
      <c r="G336" s="855"/>
      <c r="H336" s="855"/>
      <c r="I336" s="855"/>
      <c r="J336" s="855"/>
      <c r="K336" s="855"/>
      <c r="L336" s="864"/>
      <c r="M336" s="853"/>
      <c r="N336" s="858"/>
      <c r="O336" s="856"/>
      <c r="Z336" s="817"/>
      <c r="AE336" s="817"/>
      <c r="AI336" s="576"/>
      <c r="AJ336" s="576"/>
      <c r="AK336" s="576"/>
      <c r="AL336" s="576"/>
      <c r="AM336" s="576"/>
      <c r="AN336" s="576"/>
      <c r="AO336" s="576"/>
      <c r="AP336" s="576"/>
      <c r="AQ336" s="576"/>
      <c r="AR336" s="576"/>
    </row>
    <row r="337" spans="2:44" s="113" customFormat="1" ht="12.75" hidden="1" customHeight="1" outlineLevel="1">
      <c r="B337" s="2713" t="s">
        <v>756</v>
      </c>
      <c r="C337" s="2714"/>
      <c r="D337" s="2714"/>
      <c r="E337" s="2714"/>
      <c r="F337" s="2714"/>
      <c r="G337" s="2714"/>
      <c r="H337" s="2714"/>
      <c r="I337" s="2714"/>
      <c r="J337" s="2714"/>
      <c r="K337" s="2714"/>
      <c r="L337" s="2714"/>
      <c r="M337" s="2714"/>
      <c r="N337" s="2714"/>
      <c r="O337" s="2715"/>
      <c r="Z337" s="817"/>
      <c r="AE337" s="817"/>
      <c r="AI337" s="576"/>
      <c r="AJ337" s="576"/>
      <c r="AK337" s="576"/>
      <c r="AL337" s="576"/>
      <c r="AM337" s="576"/>
      <c r="AN337" s="576"/>
      <c r="AO337" s="576"/>
      <c r="AP337" s="576"/>
      <c r="AQ337" s="576"/>
      <c r="AR337" s="576"/>
    </row>
    <row r="338" spans="2:44" s="113" customFormat="1" ht="12.75" hidden="1" customHeight="1" outlineLevel="1">
      <c r="B338" s="2704" t="s">
        <v>737</v>
      </c>
      <c r="C338" s="2705"/>
      <c r="D338" s="862" t="s">
        <v>749</v>
      </c>
      <c r="E338" s="855"/>
      <c r="F338" s="855"/>
      <c r="G338" s="855"/>
      <c r="H338" s="855"/>
      <c r="I338" s="855"/>
      <c r="J338" s="855"/>
      <c r="K338" s="855"/>
      <c r="L338" s="864"/>
      <c r="M338" s="853"/>
      <c r="N338" s="858"/>
      <c r="O338" s="856"/>
      <c r="Z338" s="817"/>
      <c r="AE338" s="817"/>
      <c r="AI338" s="576"/>
      <c r="AJ338" s="576"/>
      <c r="AK338" s="576"/>
      <c r="AL338" s="576"/>
      <c r="AM338" s="576"/>
      <c r="AN338" s="576"/>
      <c r="AO338" s="576"/>
      <c r="AP338" s="576"/>
      <c r="AQ338" s="576"/>
      <c r="AR338" s="576"/>
    </row>
    <row r="339" spans="2:44" s="113" customFormat="1" ht="12.75" hidden="1" customHeight="1" outlineLevel="1">
      <c r="B339" s="2704" t="s">
        <v>738</v>
      </c>
      <c r="C339" s="2705"/>
      <c r="D339" s="862" t="s">
        <v>750</v>
      </c>
      <c r="E339" s="855"/>
      <c r="F339" s="855"/>
      <c r="G339" s="855"/>
      <c r="H339" s="855"/>
      <c r="I339" s="855"/>
      <c r="J339" s="855"/>
      <c r="K339" s="855"/>
      <c r="L339" s="864"/>
      <c r="M339" s="853"/>
      <c r="N339" s="858"/>
      <c r="O339" s="856"/>
      <c r="Z339" s="817"/>
      <c r="AE339" s="817"/>
      <c r="AI339" s="576"/>
      <c r="AJ339" s="576"/>
      <c r="AK339" s="576"/>
      <c r="AL339" s="576"/>
      <c r="AM339" s="576"/>
      <c r="AN339" s="576"/>
      <c r="AO339" s="576"/>
      <c r="AP339" s="576"/>
      <c r="AQ339" s="576"/>
      <c r="AR339" s="576"/>
    </row>
    <row r="340" spans="2:44" s="113" customFormat="1" ht="12.75" hidden="1" customHeight="1" outlineLevel="1">
      <c r="B340" s="2704" t="s">
        <v>475</v>
      </c>
      <c r="C340" s="2705"/>
      <c r="D340" s="862" t="s">
        <v>751</v>
      </c>
      <c r="E340" s="855"/>
      <c r="F340" s="855"/>
      <c r="G340" s="855"/>
      <c r="H340" s="855"/>
      <c r="I340" s="855"/>
      <c r="J340" s="855"/>
      <c r="K340" s="855"/>
      <c r="L340" s="864"/>
      <c r="M340" s="853"/>
      <c r="N340" s="858"/>
      <c r="O340" s="856"/>
      <c r="Z340" s="817"/>
      <c r="AE340" s="817"/>
      <c r="AI340" s="576"/>
      <c r="AJ340" s="576"/>
      <c r="AK340" s="576"/>
      <c r="AL340" s="576"/>
      <c r="AM340" s="576"/>
      <c r="AN340" s="576"/>
      <c r="AO340" s="576"/>
      <c r="AP340" s="576"/>
      <c r="AQ340" s="576"/>
      <c r="AR340" s="576"/>
    </row>
    <row r="341" spans="2:44" s="113" customFormat="1" ht="12.75" hidden="1" customHeight="1" outlineLevel="1">
      <c r="B341" s="2704" t="s">
        <v>476</v>
      </c>
      <c r="C341" s="2705"/>
      <c r="D341" s="862" t="s">
        <v>752</v>
      </c>
      <c r="E341" s="855"/>
      <c r="F341" s="855"/>
      <c r="G341" s="855"/>
      <c r="H341" s="855"/>
      <c r="I341" s="855"/>
      <c r="J341" s="855"/>
      <c r="K341" s="855"/>
      <c r="L341" s="864"/>
      <c r="M341" s="853"/>
      <c r="N341" s="858"/>
      <c r="O341" s="856"/>
      <c r="Z341" s="817"/>
      <c r="AE341" s="817"/>
      <c r="AI341" s="576"/>
      <c r="AJ341" s="576"/>
      <c r="AK341" s="576"/>
      <c r="AL341" s="576"/>
      <c r="AM341" s="576"/>
      <c r="AN341" s="576"/>
      <c r="AO341" s="576"/>
      <c r="AP341" s="576"/>
      <c r="AQ341" s="576"/>
      <c r="AR341" s="576"/>
    </row>
    <row r="342" spans="2:44" s="113" customFormat="1" ht="12.75" hidden="1" customHeight="1" outlineLevel="1">
      <c r="B342" s="2704" t="s">
        <v>739</v>
      </c>
      <c r="C342" s="2705"/>
      <c r="D342" s="862" t="s">
        <v>753</v>
      </c>
      <c r="E342" s="855"/>
      <c r="F342" s="855"/>
      <c r="G342" s="855"/>
      <c r="H342" s="855"/>
      <c r="I342" s="855"/>
      <c r="J342" s="855"/>
      <c r="K342" s="855"/>
      <c r="L342" s="864"/>
      <c r="M342" s="853"/>
      <c r="N342" s="858"/>
      <c r="O342" s="856"/>
      <c r="Z342" s="817"/>
      <c r="AE342" s="817"/>
      <c r="AI342" s="576"/>
      <c r="AJ342" s="576"/>
      <c r="AK342" s="576"/>
      <c r="AL342" s="576"/>
      <c r="AM342" s="576"/>
      <c r="AN342" s="576"/>
      <c r="AO342" s="576"/>
      <c r="AP342" s="576"/>
      <c r="AQ342" s="576"/>
      <c r="AR342" s="576"/>
    </row>
    <row r="343" spans="2:44" s="113" customFormat="1" ht="12.75" hidden="1" customHeight="1" outlineLevel="1">
      <c r="B343" s="2704" t="s">
        <v>740</v>
      </c>
      <c r="C343" s="2705"/>
      <c r="D343" s="862" t="s">
        <v>754</v>
      </c>
      <c r="E343" s="855"/>
      <c r="F343" s="855"/>
      <c r="G343" s="855"/>
      <c r="H343" s="855"/>
      <c r="I343" s="855"/>
      <c r="J343" s="855"/>
      <c r="K343" s="855"/>
      <c r="L343" s="864"/>
      <c r="M343" s="853"/>
      <c r="N343" s="858"/>
      <c r="O343" s="856"/>
      <c r="Z343" s="817"/>
      <c r="AE343" s="817"/>
      <c r="AI343" s="576"/>
      <c r="AJ343" s="576"/>
      <c r="AK343" s="576"/>
      <c r="AL343" s="576"/>
      <c r="AM343" s="576"/>
      <c r="AN343" s="576"/>
      <c r="AO343" s="576"/>
      <c r="AP343" s="576"/>
      <c r="AQ343" s="576"/>
      <c r="AR343" s="576"/>
    </row>
    <row r="344" spans="2:44" s="113" customFormat="1" ht="12.75" hidden="1" customHeight="1" outlineLevel="1">
      <c r="B344" s="2704" t="s">
        <v>472</v>
      </c>
      <c r="C344" s="2705"/>
      <c r="D344" s="862" t="s">
        <v>755</v>
      </c>
      <c r="E344" s="855"/>
      <c r="F344" s="855"/>
      <c r="G344" s="855"/>
      <c r="H344" s="855"/>
      <c r="I344" s="855"/>
      <c r="J344" s="855"/>
      <c r="K344" s="855"/>
      <c r="L344" s="864"/>
      <c r="M344" s="853"/>
      <c r="N344" s="858"/>
      <c r="O344" s="856"/>
      <c r="Z344" s="817"/>
      <c r="AE344" s="817"/>
      <c r="AI344" s="576"/>
      <c r="AJ344" s="576"/>
      <c r="AK344" s="576"/>
      <c r="AL344" s="576"/>
      <c r="AM344" s="576"/>
      <c r="AN344" s="576"/>
      <c r="AO344" s="576"/>
      <c r="AP344" s="576"/>
      <c r="AQ344" s="576"/>
      <c r="AR344" s="576"/>
    </row>
    <row r="345" spans="2:44" s="113" customFormat="1" ht="12.75" hidden="1" customHeight="1" outlineLevel="1">
      <c r="B345" s="2704" t="s">
        <v>763</v>
      </c>
      <c r="C345" s="2705"/>
      <c r="D345" s="854"/>
      <c r="E345" s="855"/>
      <c r="F345" s="855"/>
      <c r="G345" s="855"/>
      <c r="H345" s="855"/>
      <c r="I345" s="855"/>
      <c r="J345" s="855"/>
      <c r="K345" s="855"/>
      <c r="L345" s="864"/>
      <c r="M345" s="853"/>
      <c r="N345" s="858"/>
      <c r="O345" s="856"/>
      <c r="Z345" s="817"/>
      <c r="AE345" s="817"/>
      <c r="AI345" s="576"/>
      <c r="AJ345" s="576"/>
      <c r="AK345" s="576"/>
      <c r="AL345" s="576"/>
      <c r="AM345" s="576"/>
      <c r="AN345" s="576"/>
      <c r="AO345" s="576"/>
      <c r="AP345" s="576"/>
      <c r="AQ345" s="576"/>
      <c r="AR345" s="576"/>
    </row>
    <row r="346" spans="2:44" s="113" customFormat="1" ht="12.75" hidden="1" customHeight="1" outlineLevel="1">
      <c r="B346" s="2710" t="s">
        <v>724</v>
      </c>
      <c r="C346" s="2711"/>
      <c r="D346" s="2712"/>
      <c r="E346" s="852">
        <f t="shared" ref="E346:O346" si="53">SUM(E328:E345)</f>
        <v>0</v>
      </c>
      <c r="F346" s="852">
        <f t="shared" si="53"/>
        <v>0</v>
      </c>
      <c r="G346" s="852">
        <f t="shared" si="53"/>
        <v>0</v>
      </c>
      <c r="H346" s="852">
        <f t="shared" si="53"/>
        <v>0</v>
      </c>
      <c r="I346" s="852">
        <f t="shared" si="53"/>
        <v>0</v>
      </c>
      <c r="J346" s="852">
        <f t="shared" si="53"/>
        <v>0</v>
      </c>
      <c r="K346" s="852">
        <f t="shared" si="53"/>
        <v>0</v>
      </c>
      <c r="L346" s="852">
        <f t="shared" si="53"/>
        <v>0</v>
      </c>
      <c r="M346" s="863">
        <f t="shared" si="53"/>
        <v>0</v>
      </c>
      <c r="N346" s="859">
        <f>SQRT(SUMSQ(N328:N345))</f>
        <v>12133.395140725817</v>
      </c>
      <c r="O346" s="860">
        <f t="shared" si="53"/>
        <v>0</v>
      </c>
      <c r="Z346" s="817"/>
      <c r="AE346" s="817"/>
      <c r="AI346" s="576"/>
      <c r="AJ346" s="576"/>
      <c r="AK346" s="576"/>
      <c r="AL346" s="576"/>
      <c r="AM346" s="576"/>
      <c r="AN346" s="576"/>
      <c r="AO346" s="576"/>
      <c r="AP346" s="576"/>
      <c r="AQ346" s="576"/>
      <c r="AR346" s="576"/>
    </row>
    <row r="347" spans="2:44" s="113" customFormat="1" ht="11.4" hidden="1" outlineLevel="1">
      <c r="W347" s="817"/>
      <c r="AB347" s="817"/>
      <c r="AF347" s="576"/>
      <c r="AG347" s="576"/>
      <c r="AH347" s="576"/>
      <c r="AI347" s="576"/>
      <c r="AJ347" s="576"/>
      <c r="AK347" s="576"/>
      <c r="AL347" s="576"/>
      <c r="AM347" s="576"/>
      <c r="AN347" s="576"/>
      <c r="AO347" s="576"/>
      <c r="AP347" s="576"/>
      <c r="AQ347" s="576"/>
    </row>
    <row r="349" spans="2:44" s="113" customFormat="1" ht="15.75" customHeight="1" collapsed="1">
      <c r="B349" s="2716" t="s">
        <v>810</v>
      </c>
      <c r="C349" s="2717"/>
      <c r="D349" s="2717"/>
      <c r="E349" s="2717"/>
      <c r="F349" s="2717"/>
      <c r="G349" s="2717"/>
      <c r="H349" s="2717"/>
      <c r="I349" s="2717"/>
      <c r="J349" s="2717"/>
      <c r="K349" s="2717"/>
      <c r="L349" s="2717"/>
      <c r="M349" s="2717"/>
      <c r="N349" s="2717"/>
      <c r="O349" s="2718"/>
      <c r="W349" s="817"/>
      <c r="AB349" s="817"/>
      <c r="AF349" s="576"/>
      <c r="AG349" s="576"/>
      <c r="AH349" s="576"/>
      <c r="AI349" s="576"/>
      <c r="AJ349" s="576"/>
      <c r="AK349" s="576"/>
      <c r="AL349" s="576"/>
      <c r="AM349" s="576"/>
      <c r="AN349" s="576"/>
      <c r="AO349" s="576"/>
      <c r="AP349" s="576"/>
      <c r="AQ349" s="576"/>
    </row>
    <row r="350" spans="2:44" s="113" customFormat="1" ht="11.4" hidden="1" outlineLevel="1">
      <c r="Q350" s="908"/>
      <c r="R350" s="908"/>
      <c r="W350" s="817"/>
      <c r="AB350" s="817"/>
      <c r="AF350" s="576"/>
      <c r="AG350" s="576"/>
      <c r="AH350" s="576"/>
      <c r="AI350" s="576"/>
      <c r="AJ350" s="576"/>
      <c r="AK350" s="576"/>
      <c r="AL350" s="576"/>
      <c r="AM350" s="576"/>
      <c r="AN350" s="576"/>
      <c r="AO350" s="576"/>
      <c r="AP350" s="576"/>
      <c r="AQ350" s="576"/>
    </row>
    <row r="351" spans="2:44" s="113" customFormat="1" ht="38.25" hidden="1" customHeight="1" outlineLevel="1">
      <c r="B351" s="205"/>
      <c r="C351" s="205"/>
      <c r="D351" s="205"/>
      <c r="E351" s="2719" t="s">
        <v>448</v>
      </c>
      <c r="F351" s="2720"/>
      <c r="G351" s="2720"/>
      <c r="H351" s="2720"/>
      <c r="I351" s="2720"/>
      <c r="J351" s="2720"/>
      <c r="K351" s="2720"/>
      <c r="L351" s="2720"/>
      <c r="M351" s="2721"/>
      <c r="N351" s="971" t="s">
        <v>811</v>
      </c>
      <c r="O351" s="968" t="s">
        <v>440</v>
      </c>
      <c r="Q351" s="908"/>
      <c r="R351" s="908"/>
      <c r="W351" s="817"/>
      <c r="AB351" s="817"/>
      <c r="AF351" s="576"/>
      <c r="AG351" s="576"/>
      <c r="AH351" s="576"/>
      <c r="AI351" s="576"/>
      <c r="AJ351" s="576"/>
      <c r="AK351" s="576"/>
      <c r="AL351" s="576"/>
      <c r="AM351" s="576"/>
      <c r="AN351" s="576"/>
      <c r="AO351" s="576"/>
      <c r="AP351" s="576"/>
      <c r="AQ351" s="576"/>
    </row>
    <row r="352" spans="2:44" s="113" customFormat="1" ht="25.5" hidden="1" customHeight="1" outlineLevel="1">
      <c r="B352" s="2719" t="s">
        <v>438</v>
      </c>
      <c r="C352" s="2721"/>
      <c r="D352" s="970" t="s">
        <v>458</v>
      </c>
      <c r="E352" s="969" t="s">
        <v>853</v>
      </c>
      <c r="F352" s="969" t="s">
        <v>854</v>
      </c>
      <c r="G352" s="969" t="s">
        <v>855</v>
      </c>
      <c r="H352" s="969" t="s">
        <v>861</v>
      </c>
      <c r="I352" s="969" t="s">
        <v>852</v>
      </c>
      <c r="J352" s="970" t="s">
        <v>513</v>
      </c>
      <c r="K352" s="969" t="s">
        <v>862</v>
      </c>
      <c r="L352" s="969" t="s">
        <v>863</v>
      </c>
      <c r="M352" s="969" t="s">
        <v>514</v>
      </c>
      <c r="N352" s="972" t="s">
        <v>856</v>
      </c>
      <c r="O352" s="974" t="s">
        <v>513</v>
      </c>
      <c r="Q352" s="908"/>
      <c r="R352" s="908"/>
      <c r="W352" s="817"/>
      <c r="AB352" s="817"/>
      <c r="AF352" s="576"/>
      <c r="AG352" s="576"/>
      <c r="AH352" s="576"/>
      <c r="AI352" s="576"/>
      <c r="AJ352" s="576"/>
      <c r="AK352" s="576"/>
      <c r="AL352" s="576"/>
      <c r="AM352" s="576"/>
      <c r="AN352" s="576"/>
      <c r="AO352" s="576"/>
      <c r="AP352" s="576"/>
      <c r="AQ352" s="576"/>
    </row>
    <row r="353" spans="2:43" s="113" customFormat="1" ht="12.75" hidden="1" customHeight="1" outlineLevel="1">
      <c r="B353" s="2722" t="s">
        <v>459</v>
      </c>
      <c r="C353" s="2723"/>
      <c r="D353" s="973">
        <v>1</v>
      </c>
      <c r="E353" s="980"/>
      <c r="F353" s="980"/>
      <c r="G353" s="980"/>
      <c r="H353" s="980"/>
      <c r="I353" s="980"/>
      <c r="J353" s="981"/>
      <c r="K353" s="982"/>
      <c r="L353" s="982"/>
      <c r="M353" s="983"/>
      <c r="N353" s="984"/>
      <c r="O353" s="2724" t="s">
        <v>817</v>
      </c>
      <c r="Q353" s="908"/>
      <c r="R353" s="908"/>
      <c r="W353" s="817"/>
      <c r="AB353" s="817"/>
      <c r="AF353" s="576"/>
      <c r="AG353" s="576"/>
      <c r="AH353" s="576"/>
      <c r="AI353" s="576"/>
      <c r="AJ353" s="576"/>
      <c r="AK353" s="576"/>
      <c r="AL353" s="576"/>
      <c r="AM353" s="576"/>
      <c r="AN353" s="576"/>
      <c r="AO353" s="576"/>
      <c r="AP353" s="576"/>
      <c r="AQ353" s="576"/>
    </row>
    <row r="354" spans="2:43" s="113" customFormat="1" ht="12.75" hidden="1" customHeight="1" outlineLevel="1">
      <c r="B354" s="2722" t="s">
        <v>722</v>
      </c>
      <c r="C354" s="2723"/>
      <c r="D354" s="973">
        <v>2</v>
      </c>
      <c r="E354" s="980">
        <f ca="1">E288</f>
        <v>0</v>
      </c>
      <c r="F354" s="980">
        <f t="shared" ref="F354:G354" ca="1" si="54">F288</f>
        <v>0</v>
      </c>
      <c r="G354" s="980">
        <f t="shared" ca="1" si="54"/>
        <v>0</v>
      </c>
      <c r="H354" s="980">
        <f>0</f>
        <v>0</v>
      </c>
      <c r="I354" s="980">
        <f ca="1">H288</f>
        <v>0</v>
      </c>
      <c r="J354" s="981">
        <f ca="1">SUM(E354:I354)</f>
        <v>0</v>
      </c>
      <c r="K354" s="982">
        <f ca="1">J288</f>
        <v>0</v>
      </c>
      <c r="L354" s="982">
        <v>0</v>
      </c>
      <c r="M354" s="983">
        <f>K288</f>
        <v>0</v>
      </c>
      <c r="N354" s="984"/>
      <c r="O354" s="2725"/>
      <c r="Q354" s="908"/>
      <c r="R354" s="908"/>
      <c r="W354" s="817"/>
      <c r="AB354" s="817"/>
      <c r="AF354" s="576"/>
      <c r="AG354" s="576"/>
      <c r="AH354" s="576"/>
      <c r="AI354" s="576"/>
      <c r="AJ354" s="576"/>
      <c r="AK354" s="576"/>
      <c r="AL354" s="576"/>
      <c r="AM354" s="576"/>
      <c r="AN354" s="576"/>
      <c r="AO354" s="576"/>
      <c r="AP354" s="576"/>
      <c r="AQ354" s="576"/>
    </row>
    <row r="355" spans="2:43" s="113" customFormat="1" ht="12.75" hidden="1" customHeight="1" outlineLevel="1">
      <c r="B355" s="2722" t="s">
        <v>723</v>
      </c>
      <c r="C355" s="2723"/>
      <c r="D355" s="973">
        <v>3</v>
      </c>
      <c r="E355" s="980"/>
      <c r="F355" s="980"/>
      <c r="G355" s="980"/>
      <c r="H355" s="980"/>
      <c r="I355" s="980"/>
      <c r="J355" s="981"/>
      <c r="K355" s="982"/>
      <c r="L355" s="982"/>
      <c r="M355" s="983"/>
      <c r="N355" s="984"/>
      <c r="O355" s="2725"/>
      <c r="Q355" s="908"/>
      <c r="R355" s="908"/>
      <c r="W355" s="817"/>
      <c r="AB355" s="817"/>
      <c r="AF355" s="576"/>
      <c r="AG355" s="576"/>
      <c r="AH355" s="576"/>
      <c r="AI355" s="576"/>
      <c r="AJ355" s="576"/>
      <c r="AK355" s="576"/>
      <c r="AL355" s="576"/>
      <c r="AM355" s="576"/>
      <c r="AN355" s="576"/>
      <c r="AO355" s="576"/>
      <c r="AP355" s="576"/>
      <c r="AQ355" s="576"/>
    </row>
    <row r="356" spans="2:43" s="113" customFormat="1" ht="12.75" hidden="1" customHeight="1" outlineLevel="1">
      <c r="B356" s="2722" t="s">
        <v>462</v>
      </c>
      <c r="C356" s="2723"/>
      <c r="D356" s="973">
        <v>4</v>
      </c>
      <c r="E356" s="980"/>
      <c r="F356" s="980"/>
      <c r="G356" s="980"/>
      <c r="H356" s="980"/>
      <c r="I356" s="980"/>
      <c r="J356" s="981"/>
      <c r="K356" s="982"/>
      <c r="L356" s="982"/>
      <c r="M356" s="983"/>
      <c r="N356" s="984"/>
      <c r="O356" s="2725"/>
      <c r="Q356" s="908"/>
      <c r="R356" s="908"/>
      <c r="W356" s="817"/>
      <c r="AB356" s="817"/>
      <c r="AF356" s="576"/>
      <c r="AG356" s="576"/>
      <c r="AH356" s="576"/>
      <c r="AI356" s="576"/>
      <c r="AJ356" s="576"/>
      <c r="AK356" s="576"/>
      <c r="AL356" s="576"/>
      <c r="AM356" s="576"/>
      <c r="AN356" s="576"/>
      <c r="AO356" s="576"/>
      <c r="AP356" s="576"/>
      <c r="AQ356" s="576"/>
    </row>
    <row r="357" spans="2:43" s="113" customFormat="1" ht="12.75" hidden="1" customHeight="1" outlineLevel="1">
      <c r="B357" s="2722" t="s">
        <v>812</v>
      </c>
      <c r="C357" s="2723"/>
      <c r="D357" s="973">
        <v>5</v>
      </c>
      <c r="E357" s="980"/>
      <c r="F357" s="980"/>
      <c r="G357" s="980"/>
      <c r="H357" s="980"/>
      <c r="I357" s="980"/>
      <c r="J357" s="981"/>
      <c r="K357" s="982"/>
      <c r="L357" s="982"/>
      <c r="M357" s="983"/>
      <c r="N357" s="985"/>
      <c r="O357" s="2725"/>
      <c r="Q357" s="908"/>
      <c r="R357" s="908"/>
      <c r="W357" s="817"/>
      <c r="AB357" s="817"/>
      <c r="AF357" s="576"/>
      <c r="AG357" s="576"/>
      <c r="AH357" s="576"/>
      <c r="AI357" s="576"/>
      <c r="AJ357" s="576"/>
      <c r="AK357" s="576"/>
      <c r="AL357" s="576"/>
      <c r="AM357" s="576"/>
      <c r="AN357" s="576"/>
      <c r="AO357" s="576"/>
      <c r="AP357" s="576"/>
      <c r="AQ357" s="576"/>
    </row>
    <row r="358" spans="2:43" s="113" customFormat="1" ht="12.75" hidden="1" customHeight="1" outlineLevel="1">
      <c r="B358" s="2727" t="s">
        <v>726</v>
      </c>
      <c r="C358" s="2728"/>
      <c r="D358" s="2729"/>
      <c r="E358" s="986">
        <f ca="1">SUM(E353:E357)</f>
        <v>0</v>
      </c>
      <c r="F358" s="986">
        <f t="shared" ref="F358:N358" ca="1" si="55">SUM(F353:F357)</f>
        <v>0</v>
      </c>
      <c r="G358" s="986">
        <f t="shared" ca="1" si="55"/>
        <v>0</v>
      </c>
      <c r="H358" s="986">
        <f t="shared" si="55"/>
        <v>0</v>
      </c>
      <c r="I358" s="986">
        <f t="shared" ca="1" si="55"/>
        <v>0</v>
      </c>
      <c r="J358" s="986">
        <f t="shared" ca="1" si="55"/>
        <v>0</v>
      </c>
      <c r="K358" s="987">
        <f t="shared" ca="1" si="55"/>
        <v>0</v>
      </c>
      <c r="L358" s="987">
        <f t="shared" si="55"/>
        <v>0</v>
      </c>
      <c r="M358" s="988">
        <f>SQRT(SUMSQ(M353:M357))</f>
        <v>0</v>
      </c>
      <c r="N358" s="989">
        <f t="shared" si="55"/>
        <v>0</v>
      </c>
      <c r="O358" s="2726"/>
      <c r="Q358" s="908"/>
      <c r="R358" s="908"/>
      <c r="W358" s="817"/>
      <c r="AB358" s="817"/>
      <c r="AF358" s="576"/>
      <c r="AG358" s="576"/>
      <c r="AH358" s="576"/>
      <c r="AI358" s="576"/>
      <c r="AJ358" s="576"/>
      <c r="AK358" s="576"/>
      <c r="AL358" s="576"/>
      <c r="AM358" s="576"/>
      <c r="AN358" s="576"/>
      <c r="AO358" s="576"/>
      <c r="AP358" s="576"/>
      <c r="AQ358" s="576"/>
    </row>
    <row r="359" spans="2:43" s="113" customFormat="1" ht="12.75" hidden="1" customHeight="1" outlineLevel="1">
      <c r="B359" s="2722" t="s">
        <v>464</v>
      </c>
      <c r="C359" s="2723"/>
      <c r="D359" s="973">
        <v>6</v>
      </c>
      <c r="E359" s="980"/>
      <c r="F359" s="980"/>
      <c r="G359" s="980"/>
      <c r="H359" s="980"/>
      <c r="I359" s="980"/>
      <c r="J359" s="981"/>
      <c r="K359" s="982"/>
      <c r="L359" s="982"/>
      <c r="M359" s="983"/>
      <c r="N359" s="984"/>
      <c r="O359" s="990"/>
      <c r="Q359" s="908"/>
      <c r="R359" s="908"/>
      <c r="W359" s="817"/>
      <c r="AB359" s="817"/>
      <c r="AF359" s="576"/>
      <c r="AG359" s="576"/>
      <c r="AH359" s="576"/>
      <c r="AI359" s="576"/>
      <c r="AJ359" s="576"/>
      <c r="AK359" s="576"/>
      <c r="AL359" s="576"/>
      <c r="AM359" s="576"/>
      <c r="AN359" s="576"/>
      <c r="AO359" s="576"/>
      <c r="AP359" s="576"/>
      <c r="AQ359" s="576"/>
    </row>
    <row r="360" spans="2:43" s="113" customFormat="1" ht="12.75" hidden="1" customHeight="1" outlineLevel="1">
      <c r="B360" s="2722" t="s">
        <v>813</v>
      </c>
      <c r="C360" s="2723"/>
      <c r="D360" s="973">
        <v>7</v>
      </c>
      <c r="E360" s="980"/>
      <c r="F360" s="980"/>
      <c r="G360" s="980"/>
      <c r="H360" s="980"/>
      <c r="I360" s="980"/>
      <c r="J360" s="981"/>
      <c r="K360" s="982"/>
      <c r="L360" s="982"/>
      <c r="M360" s="983"/>
      <c r="N360" s="984"/>
      <c r="O360" s="984"/>
      <c r="Q360" s="908"/>
      <c r="R360" s="908"/>
      <c r="W360" s="817"/>
      <c r="AB360" s="817"/>
      <c r="AF360" s="576"/>
      <c r="AG360" s="576"/>
      <c r="AH360" s="576"/>
      <c r="AI360" s="576"/>
      <c r="AJ360" s="576"/>
      <c r="AK360" s="576"/>
      <c r="AL360" s="576"/>
      <c r="AM360" s="576"/>
      <c r="AN360" s="576"/>
      <c r="AO360" s="576"/>
      <c r="AP360" s="576"/>
      <c r="AQ360" s="576"/>
    </row>
    <row r="361" spans="2:43" s="113" customFormat="1" ht="12.75" hidden="1" customHeight="1" outlineLevel="1">
      <c r="B361" s="2727" t="s">
        <v>725</v>
      </c>
      <c r="C361" s="2728"/>
      <c r="D361" s="2729"/>
      <c r="E361" s="986">
        <f>SUM(E359:E360)</f>
        <v>0</v>
      </c>
      <c r="F361" s="986">
        <f t="shared" ref="F361:O361" si="56">SUM(F359:F360)</f>
        <v>0</v>
      </c>
      <c r="G361" s="986">
        <f t="shared" si="56"/>
        <v>0</v>
      </c>
      <c r="H361" s="986">
        <f t="shared" si="56"/>
        <v>0</v>
      </c>
      <c r="I361" s="986">
        <f t="shared" si="56"/>
        <v>0</v>
      </c>
      <c r="J361" s="986">
        <f t="shared" si="56"/>
        <v>0</v>
      </c>
      <c r="K361" s="987">
        <f t="shared" si="56"/>
        <v>0</v>
      </c>
      <c r="L361" s="987">
        <f t="shared" si="56"/>
        <v>0</v>
      </c>
      <c r="M361" s="988">
        <f>SQRT(SUMSQ(M359:M360))</f>
        <v>0</v>
      </c>
      <c r="N361" s="989">
        <f t="shared" si="56"/>
        <v>0</v>
      </c>
      <c r="O361" s="989">
        <f t="shared" si="56"/>
        <v>0</v>
      </c>
      <c r="Q361" s="908"/>
      <c r="R361" s="908"/>
      <c r="W361" s="817"/>
      <c r="AB361" s="817"/>
      <c r="AF361" s="576"/>
      <c r="AG361" s="576"/>
      <c r="AH361" s="576"/>
      <c r="AI361" s="576"/>
      <c r="AJ361" s="576"/>
      <c r="AK361" s="576"/>
      <c r="AL361" s="576"/>
      <c r="AM361" s="576"/>
      <c r="AN361" s="576"/>
      <c r="AO361" s="576"/>
      <c r="AP361" s="576"/>
      <c r="AQ361" s="576"/>
    </row>
    <row r="362" spans="2:43" s="113" customFormat="1" ht="12.75" hidden="1" customHeight="1" outlineLevel="1">
      <c r="B362" s="2722" t="s">
        <v>466</v>
      </c>
      <c r="C362" s="2723"/>
      <c r="D362" s="973">
        <v>8</v>
      </c>
      <c r="E362" s="980">
        <f ca="1">E296</f>
        <v>0</v>
      </c>
      <c r="F362" s="980">
        <f t="shared" ref="F362:G362" ca="1" si="57">F296</f>
        <v>0</v>
      </c>
      <c r="G362" s="980">
        <f t="shared" ca="1" si="57"/>
        <v>0</v>
      </c>
      <c r="H362" s="980">
        <v>0</v>
      </c>
      <c r="I362" s="980">
        <f ca="1">H296</f>
        <v>0</v>
      </c>
      <c r="J362" s="981">
        <f ca="1">SUM(E362:I362)</f>
        <v>0</v>
      </c>
      <c r="K362" s="982">
        <f ca="1">J296</f>
        <v>0</v>
      </c>
      <c r="L362" s="982">
        <v>0</v>
      </c>
      <c r="M362" s="983">
        <f>K296</f>
        <v>0</v>
      </c>
      <c r="N362" s="984"/>
      <c r="O362" s="984"/>
      <c r="Q362" s="908"/>
      <c r="R362" s="908"/>
      <c r="W362" s="817"/>
      <c r="AB362" s="817"/>
      <c r="AF362" s="576"/>
      <c r="AG362" s="576"/>
      <c r="AH362" s="576"/>
      <c r="AI362" s="576"/>
      <c r="AJ362" s="576"/>
      <c r="AK362" s="576"/>
      <c r="AL362" s="576"/>
      <c r="AM362" s="576"/>
      <c r="AN362" s="576"/>
      <c r="AO362" s="576"/>
      <c r="AP362" s="576"/>
      <c r="AQ362" s="576"/>
    </row>
    <row r="363" spans="2:43" s="113" customFormat="1" ht="12.75" hidden="1" customHeight="1" outlineLevel="1">
      <c r="B363" s="2722" t="s">
        <v>814</v>
      </c>
      <c r="C363" s="2723"/>
      <c r="D363" s="973">
        <v>9</v>
      </c>
      <c r="E363" s="980"/>
      <c r="F363" s="980"/>
      <c r="G363" s="980"/>
      <c r="H363" s="980"/>
      <c r="I363" s="980"/>
      <c r="J363" s="981"/>
      <c r="K363" s="982"/>
      <c r="L363" s="982"/>
      <c r="M363" s="983"/>
      <c r="N363" s="984"/>
      <c r="O363" s="984"/>
      <c r="Q363" s="908"/>
      <c r="R363" s="908"/>
      <c r="W363" s="817"/>
      <c r="AB363" s="817"/>
      <c r="AF363" s="576"/>
      <c r="AG363" s="576"/>
      <c r="AH363" s="576"/>
      <c r="AI363" s="576"/>
      <c r="AJ363" s="576"/>
      <c r="AK363" s="576"/>
      <c r="AL363" s="576"/>
      <c r="AM363" s="576"/>
      <c r="AN363" s="576"/>
      <c r="AO363" s="576"/>
      <c r="AP363" s="576"/>
      <c r="AQ363" s="576"/>
    </row>
    <row r="364" spans="2:43" s="113" customFormat="1" ht="12.75" hidden="1" customHeight="1" outlineLevel="1">
      <c r="B364" s="2722" t="s">
        <v>734</v>
      </c>
      <c r="C364" s="2723"/>
      <c r="D364" s="973">
        <v>10</v>
      </c>
      <c r="E364" s="980">
        <f>E298</f>
        <v>43928.386666666665</v>
      </c>
      <c r="F364" s="980">
        <f t="shared" ref="F364:G364" si="58">F298</f>
        <v>0</v>
      </c>
      <c r="G364" s="980">
        <f t="shared" si="58"/>
        <v>0</v>
      </c>
      <c r="H364" s="980">
        <v>0</v>
      </c>
      <c r="I364" s="980">
        <f>H298</f>
        <v>0</v>
      </c>
      <c r="J364" s="981">
        <f>SUM(E364:I364)</f>
        <v>43928.386666666665</v>
      </c>
      <c r="K364" s="982">
        <f>J298</f>
        <v>0</v>
      </c>
      <c r="L364" s="982">
        <v>0</v>
      </c>
      <c r="M364" s="983">
        <f>K298</f>
        <v>12133.395140725817</v>
      </c>
      <c r="N364" s="984"/>
      <c r="O364" s="984"/>
      <c r="Q364" s="908"/>
      <c r="R364" s="908"/>
      <c r="W364" s="817"/>
      <c r="AB364" s="817"/>
      <c r="AF364" s="576"/>
      <c r="AG364" s="576"/>
      <c r="AH364" s="576"/>
      <c r="AI364" s="576"/>
      <c r="AJ364" s="576"/>
      <c r="AK364" s="576"/>
      <c r="AL364" s="576"/>
      <c r="AM364" s="576"/>
      <c r="AN364" s="576"/>
      <c r="AO364" s="576"/>
      <c r="AP364" s="576"/>
      <c r="AQ364" s="576"/>
    </row>
    <row r="365" spans="2:43" s="113" customFormat="1" ht="12.75" hidden="1" customHeight="1" outlineLevel="1">
      <c r="B365" s="2722" t="s">
        <v>736</v>
      </c>
      <c r="C365" s="2723"/>
      <c r="D365" s="973">
        <v>11</v>
      </c>
      <c r="E365" s="980"/>
      <c r="F365" s="980"/>
      <c r="G365" s="980"/>
      <c r="H365" s="980"/>
      <c r="I365" s="980"/>
      <c r="J365" s="981"/>
      <c r="K365" s="982"/>
      <c r="L365" s="982"/>
      <c r="M365" s="983"/>
      <c r="N365" s="984"/>
      <c r="O365" s="984"/>
      <c r="Q365" s="908"/>
      <c r="R365" s="908"/>
      <c r="W365" s="817"/>
      <c r="AB365" s="817"/>
      <c r="AF365" s="576"/>
      <c r="AG365" s="576"/>
      <c r="AH365" s="576"/>
      <c r="AI365" s="576"/>
      <c r="AJ365" s="576"/>
      <c r="AK365" s="576"/>
      <c r="AL365" s="576"/>
      <c r="AM365" s="576"/>
      <c r="AN365" s="576"/>
      <c r="AO365" s="576"/>
      <c r="AP365" s="576"/>
      <c r="AQ365" s="576"/>
    </row>
    <row r="366" spans="2:43" s="113" customFormat="1" ht="12.75" hidden="1" customHeight="1" outlineLevel="1">
      <c r="B366" s="2722" t="s">
        <v>815</v>
      </c>
      <c r="C366" s="2723"/>
      <c r="D366" s="973">
        <v>12</v>
      </c>
      <c r="E366" s="980"/>
      <c r="F366" s="980"/>
      <c r="G366" s="980"/>
      <c r="H366" s="980"/>
      <c r="I366" s="980"/>
      <c r="J366" s="981"/>
      <c r="K366" s="982"/>
      <c r="L366" s="982"/>
      <c r="M366" s="983"/>
      <c r="N366" s="984"/>
      <c r="O366" s="984"/>
      <c r="Q366" s="908"/>
      <c r="R366" s="908"/>
      <c r="W366" s="817"/>
      <c r="AB366" s="817"/>
      <c r="AF366" s="576"/>
      <c r="AG366" s="576"/>
      <c r="AH366" s="576"/>
      <c r="AI366" s="576"/>
      <c r="AJ366" s="576"/>
      <c r="AK366" s="576"/>
      <c r="AL366" s="576"/>
      <c r="AM366" s="576"/>
      <c r="AN366" s="576"/>
      <c r="AO366" s="576"/>
      <c r="AP366" s="576"/>
      <c r="AQ366" s="576"/>
    </row>
    <row r="367" spans="2:43" s="113" customFormat="1" ht="12.75" hidden="1" customHeight="1" outlineLevel="1">
      <c r="B367" s="2722" t="s">
        <v>470</v>
      </c>
      <c r="C367" s="2723"/>
      <c r="D367" s="973">
        <v>13</v>
      </c>
      <c r="E367" s="980"/>
      <c r="F367" s="980"/>
      <c r="G367" s="980"/>
      <c r="H367" s="980"/>
      <c r="I367" s="980"/>
      <c r="J367" s="981"/>
      <c r="K367" s="982"/>
      <c r="L367" s="982"/>
      <c r="M367" s="983"/>
      <c r="N367" s="984"/>
      <c r="O367" s="984"/>
      <c r="Q367" s="908"/>
      <c r="R367" s="908"/>
      <c r="W367" s="817"/>
      <c r="AB367" s="817"/>
      <c r="AF367" s="576"/>
      <c r="AG367" s="576"/>
      <c r="AH367" s="576"/>
      <c r="AI367" s="576"/>
      <c r="AJ367" s="576"/>
      <c r="AK367" s="576"/>
      <c r="AL367" s="576"/>
      <c r="AM367" s="576"/>
      <c r="AN367" s="576"/>
      <c r="AO367" s="576"/>
      <c r="AP367" s="576"/>
      <c r="AQ367" s="576"/>
    </row>
    <row r="368" spans="2:43" s="113" customFormat="1" ht="12.75" hidden="1" customHeight="1" outlineLevel="1">
      <c r="B368" s="2722" t="s">
        <v>471</v>
      </c>
      <c r="C368" s="2723"/>
      <c r="D368" s="973">
        <v>14</v>
      </c>
      <c r="E368" s="980"/>
      <c r="F368" s="980"/>
      <c r="G368" s="980"/>
      <c r="H368" s="980"/>
      <c r="I368" s="980"/>
      <c r="J368" s="981"/>
      <c r="K368" s="982"/>
      <c r="L368" s="982"/>
      <c r="M368" s="983"/>
      <c r="N368" s="984"/>
      <c r="O368" s="984"/>
      <c r="Q368" s="908"/>
      <c r="R368" s="908"/>
      <c r="W368" s="817"/>
      <c r="AB368" s="817"/>
      <c r="AF368" s="576"/>
      <c r="AG368" s="576"/>
      <c r="AH368" s="576"/>
      <c r="AI368" s="576"/>
      <c r="AJ368" s="576"/>
      <c r="AK368" s="576"/>
      <c r="AL368" s="576"/>
      <c r="AM368" s="576"/>
      <c r="AN368" s="576"/>
      <c r="AO368" s="576"/>
      <c r="AP368" s="576"/>
      <c r="AQ368" s="576"/>
    </row>
    <row r="369" spans="1:43" s="113" customFormat="1" ht="12.75" hidden="1" customHeight="1" outlineLevel="1">
      <c r="B369" s="2722" t="s">
        <v>472</v>
      </c>
      <c r="C369" s="2723"/>
      <c r="D369" s="973">
        <v>15</v>
      </c>
      <c r="E369" s="980"/>
      <c r="F369" s="980"/>
      <c r="G369" s="980"/>
      <c r="H369" s="980"/>
      <c r="I369" s="980"/>
      <c r="J369" s="981"/>
      <c r="K369" s="982"/>
      <c r="L369" s="982"/>
      <c r="M369" s="983"/>
      <c r="N369" s="984"/>
      <c r="O369" s="984"/>
      <c r="Q369" s="908"/>
      <c r="R369" s="908"/>
      <c r="W369" s="817"/>
      <c r="AB369" s="817"/>
      <c r="AF369" s="576"/>
      <c r="AG369" s="576"/>
      <c r="AH369" s="576"/>
      <c r="AI369" s="576"/>
      <c r="AJ369" s="576"/>
      <c r="AK369" s="576"/>
      <c r="AL369" s="576"/>
      <c r="AM369" s="576"/>
      <c r="AN369" s="576"/>
      <c r="AO369" s="576"/>
      <c r="AP369" s="576"/>
      <c r="AQ369" s="576"/>
    </row>
    <row r="370" spans="1:43" s="113" customFormat="1" ht="12.75" hidden="1" customHeight="1" outlineLevel="1">
      <c r="B370" s="2722" t="s">
        <v>473</v>
      </c>
      <c r="C370" s="2723"/>
      <c r="D370" s="973">
        <v>16</v>
      </c>
      <c r="E370" s="980"/>
      <c r="F370" s="980"/>
      <c r="G370" s="980"/>
      <c r="H370" s="980"/>
      <c r="I370" s="980"/>
      <c r="J370" s="981"/>
      <c r="K370" s="982"/>
      <c r="L370" s="982"/>
      <c r="M370" s="983"/>
      <c r="N370" s="984"/>
      <c r="O370" s="984"/>
      <c r="Q370" s="908"/>
      <c r="R370" s="908"/>
      <c r="W370" s="817"/>
      <c r="AB370" s="817"/>
      <c r="AF370" s="576"/>
      <c r="AG370" s="576"/>
      <c r="AH370" s="576"/>
      <c r="AI370" s="576"/>
      <c r="AJ370" s="576"/>
      <c r="AK370" s="576"/>
      <c r="AL370" s="576"/>
      <c r="AM370" s="576"/>
      <c r="AN370" s="576"/>
      <c r="AO370" s="576"/>
      <c r="AP370" s="576"/>
      <c r="AQ370" s="576"/>
    </row>
    <row r="371" spans="1:43" s="113" customFormat="1" ht="12.75" hidden="1" customHeight="1" outlineLevel="1">
      <c r="B371" s="2722" t="s">
        <v>737</v>
      </c>
      <c r="C371" s="2723"/>
      <c r="D371" s="973">
        <v>17</v>
      </c>
      <c r="E371" s="980"/>
      <c r="F371" s="980"/>
      <c r="G371" s="980"/>
      <c r="H371" s="980"/>
      <c r="I371" s="980"/>
      <c r="J371" s="981"/>
      <c r="K371" s="982"/>
      <c r="L371" s="982"/>
      <c r="M371" s="983"/>
      <c r="N371" s="984"/>
      <c r="O371" s="984"/>
      <c r="Q371" s="908"/>
      <c r="R371" s="908"/>
      <c r="W371" s="817"/>
      <c r="AB371" s="817"/>
      <c r="AF371" s="576"/>
      <c r="AG371" s="576"/>
      <c r="AH371" s="576"/>
      <c r="AI371" s="576"/>
      <c r="AJ371" s="576"/>
      <c r="AK371" s="576"/>
      <c r="AL371" s="576"/>
      <c r="AM371" s="576"/>
      <c r="AN371" s="576"/>
      <c r="AO371" s="576"/>
      <c r="AP371" s="576"/>
      <c r="AQ371" s="576"/>
    </row>
    <row r="372" spans="1:43" s="113" customFormat="1" ht="12.75" hidden="1" customHeight="1" outlineLevel="1">
      <c r="B372" s="2722" t="s">
        <v>475</v>
      </c>
      <c r="C372" s="2723"/>
      <c r="D372" s="973">
        <v>18</v>
      </c>
      <c r="E372" s="980"/>
      <c r="F372" s="980"/>
      <c r="G372" s="980"/>
      <c r="H372" s="980"/>
      <c r="I372" s="980"/>
      <c r="J372" s="981"/>
      <c r="K372" s="982"/>
      <c r="L372" s="982"/>
      <c r="M372" s="983"/>
      <c r="N372" s="984"/>
      <c r="O372" s="984"/>
      <c r="Q372" s="908"/>
      <c r="R372" s="908"/>
      <c r="W372" s="817"/>
      <c r="AB372" s="817"/>
      <c r="AF372" s="576"/>
      <c r="AG372" s="576"/>
      <c r="AH372" s="576"/>
      <c r="AI372" s="576"/>
      <c r="AJ372" s="576"/>
      <c r="AK372" s="576"/>
      <c r="AL372" s="576"/>
      <c r="AM372" s="576"/>
      <c r="AN372" s="576"/>
      <c r="AO372" s="576"/>
      <c r="AP372" s="576"/>
      <c r="AQ372" s="576"/>
    </row>
    <row r="373" spans="1:43" s="113" customFormat="1" ht="12.75" hidden="1" customHeight="1" outlineLevel="1">
      <c r="B373" s="2722" t="s">
        <v>476</v>
      </c>
      <c r="C373" s="2723"/>
      <c r="D373" s="973">
        <v>19</v>
      </c>
      <c r="E373" s="980"/>
      <c r="F373" s="980"/>
      <c r="G373" s="980"/>
      <c r="H373" s="980"/>
      <c r="I373" s="980"/>
      <c r="J373" s="981"/>
      <c r="K373" s="982"/>
      <c r="L373" s="982"/>
      <c r="M373" s="983"/>
      <c r="N373" s="984"/>
      <c r="O373" s="984"/>
      <c r="Q373" s="908"/>
      <c r="R373" s="908"/>
      <c r="W373" s="817"/>
      <c r="AB373" s="817"/>
      <c r="AF373" s="576"/>
      <c r="AG373" s="576"/>
      <c r="AH373" s="576"/>
      <c r="AI373" s="576"/>
      <c r="AJ373" s="576"/>
      <c r="AK373" s="576"/>
      <c r="AL373" s="576"/>
      <c r="AM373" s="576"/>
      <c r="AN373" s="576"/>
      <c r="AO373" s="576"/>
      <c r="AP373" s="576"/>
      <c r="AQ373" s="576"/>
    </row>
    <row r="374" spans="1:43" s="113" customFormat="1" ht="12.75" hidden="1" customHeight="1" outlineLevel="1">
      <c r="B374" s="2722" t="s">
        <v>477</v>
      </c>
      <c r="C374" s="2723"/>
      <c r="D374" s="973">
        <v>20</v>
      </c>
      <c r="E374" s="980"/>
      <c r="F374" s="980"/>
      <c r="G374" s="980"/>
      <c r="H374" s="980"/>
      <c r="I374" s="980"/>
      <c r="J374" s="981"/>
      <c r="K374" s="982"/>
      <c r="L374" s="982"/>
      <c r="M374" s="983"/>
      <c r="N374" s="984"/>
      <c r="O374" s="984"/>
      <c r="Q374" s="908"/>
      <c r="R374" s="908"/>
      <c r="W374" s="817"/>
      <c r="AB374" s="817"/>
      <c r="AF374" s="576"/>
      <c r="AG374" s="576"/>
      <c r="AH374" s="576"/>
      <c r="AI374" s="576"/>
      <c r="AJ374" s="576"/>
      <c r="AK374" s="576"/>
      <c r="AL374" s="576"/>
      <c r="AM374" s="576"/>
      <c r="AN374" s="576"/>
      <c r="AO374" s="576"/>
      <c r="AP374" s="576"/>
      <c r="AQ374" s="576"/>
    </row>
    <row r="375" spans="1:43" s="113" customFormat="1" ht="12.75" hidden="1" customHeight="1" outlineLevel="1">
      <c r="B375" s="2722" t="s">
        <v>478</v>
      </c>
      <c r="C375" s="2723"/>
      <c r="D375" s="973">
        <v>21</v>
      </c>
      <c r="E375" s="980"/>
      <c r="F375" s="980"/>
      <c r="G375" s="980"/>
      <c r="H375" s="980"/>
      <c r="I375" s="980"/>
      <c r="J375" s="981"/>
      <c r="K375" s="982"/>
      <c r="L375" s="982"/>
      <c r="M375" s="983"/>
      <c r="N375" s="984"/>
      <c r="O375" s="984"/>
      <c r="Q375" s="908"/>
      <c r="R375" s="908"/>
      <c r="W375" s="817"/>
      <c r="AB375" s="817"/>
      <c r="AF375" s="576"/>
      <c r="AG375" s="576"/>
      <c r="AH375" s="576"/>
      <c r="AI375" s="576"/>
      <c r="AJ375" s="576"/>
      <c r="AK375" s="576"/>
      <c r="AL375" s="576"/>
      <c r="AM375" s="576"/>
      <c r="AN375" s="576"/>
      <c r="AO375" s="576"/>
      <c r="AP375" s="576"/>
      <c r="AQ375" s="576"/>
    </row>
    <row r="376" spans="1:43" s="113" customFormat="1" ht="12.75" hidden="1" customHeight="1" outlineLevel="1">
      <c r="B376" s="2722" t="s">
        <v>479</v>
      </c>
      <c r="C376" s="2723"/>
      <c r="D376" s="973">
        <v>22</v>
      </c>
      <c r="E376" s="980"/>
      <c r="F376" s="980"/>
      <c r="G376" s="980"/>
      <c r="H376" s="980"/>
      <c r="I376" s="980"/>
      <c r="J376" s="981"/>
      <c r="K376" s="982"/>
      <c r="L376" s="982"/>
      <c r="M376" s="983"/>
      <c r="N376" s="984"/>
      <c r="O376" s="984"/>
      <c r="Q376" s="908"/>
      <c r="R376" s="908"/>
      <c r="W376" s="817"/>
      <c r="AB376" s="817"/>
      <c r="AF376" s="576"/>
      <c r="AG376" s="576"/>
      <c r="AH376" s="576"/>
      <c r="AI376" s="576"/>
      <c r="AJ376" s="576"/>
      <c r="AK376" s="576"/>
      <c r="AL376" s="576"/>
      <c r="AM376" s="576"/>
      <c r="AN376" s="576"/>
      <c r="AO376" s="576"/>
      <c r="AP376" s="576"/>
      <c r="AQ376" s="576"/>
    </row>
    <row r="377" spans="1:43" s="113" customFormat="1" ht="12.75" hidden="1" customHeight="1" outlineLevel="1">
      <c r="B377" s="2722" t="s">
        <v>449</v>
      </c>
      <c r="C377" s="2723"/>
      <c r="D377" s="973">
        <v>23</v>
      </c>
      <c r="E377" s="980"/>
      <c r="F377" s="980"/>
      <c r="G377" s="980"/>
      <c r="H377" s="980"/>
      <c r="I377" s="980"/>
      <c r="J377" s="981"/>
      <c r="K377" s="982"/>
      <c r="L377" s="982"/>
      <c r="M377" s="983"/>
      <c r="N377" s="984"/>
      <c r="O377" s="984"/>
      <c r="Q377" s="908"/>
      <c r="R377" s="908"/>
      <c r="W377" s="817"/>
      <c r="AB377" s="817"/>
      <c r="AF377" s="576"/>
      <c r="AG377" s="576"/>
      <c r="AH377" s="576"/>
      <c r="AI377" s="576"/>
      <c r="AJ377" s="576"/>
      <c r="AK377" s="576"/>
      <c r="AL377" s="576"/>
      <c r="AM377" s="576"/>
      <c r="AN377" s="576"/>
      <c r="AO377" s="576"/>
      <c r="AP377" s="576"/>
      <c r="AQ377" s="576"/>
    </row>
    <row r="378" spans="1:43" s="113" customFormat="1" ht="12.75" hidden="1" customHeight="1" outlineLevel="1">
      <c r="B378" s="2727" t="s">
        <v>724</v>
      </c>
      <c r="C378" s="2728"/>
      <c r="D378" s="2729"/>
      <c r="E378" s="986">
        <f ca="1">SUM(E362:E377)</f>
        <v>43928.386666666665</v>
      </c>
      <c r="F378" s="986">
        <f t="shared" ref="F378:O378" ca="1" si="59">SUM(F362:F377)</f>
        <v>0</v>
      </c>
      <c r="G378" s="986">
        <f t="shared" ca="1" si="59"/>
        <v>0</v>
      </c>
      <c r="H378" s="986">
        <f t="shared" si="59"/>
        <v>0</v>
      </c>
      <c r="I378" s="986">
        <f t="shared" ca="1" si="59"/>
        <v>0</v>
      </c>
      <c r="J378" s="986">
        <f t="shared" ca="1" si="59"/>
        <v>43928.386666666665</v>
      </c>
      <c r="K378" s="987">
        <f t="shared" ca="1" si="59"/>
        <v>0</v>
      </c>
      <c r="L378" s="987">
        <f t="shared" si="59"/>
        <v>0</v>
      </c>
      <c r="M378" s="988">
        <f>SQRT(SUMSQ(M362:M377))</f>
        <v>12133.395140725817</v>
      </c>
      <c r="N378" s="989">
        <f t="shared" si="59"/>
        <v>0</v>
      </c>
      <c r="O378" s="989">
        <f t="shared" si="59"/>
        <v>0</v>
      </c>
      <c r="Q378" s="908"/>
      <c r="R378" s="908"/>
      <c r="W378" s="817"/>
      <c r="AB378" s="817"/>
      <c r="AF378" s="576"/>
      <c r="AG378" s="576"/>
      <c r="AH378" s="576"/>
      <c r="AI378" s="576"/>
      <c r="AJ378" s="576"/>
      <c r="AK378" s="576"/>
      <c r="AL378" s="576"/>
      <c r="AM378" s="576"/>
      <c r="AN378" s="576"/>
      <c r="AO378" s="576"/>
      <c r="AP378" s="576"/>
      <c r="AQ378" s="576"/>
    </row>
    <row r="379" spans="1:43" s="113" customFormat="1" ht="11.4" hidden="1" outlineLevel="1">
      <c r="Q379" s="908"/>
      <c r="R379" s="908"/>
      <c r="W379" s="817"/>
      <c r="AB379" s="817"/>
      <c r="AF379" s="576"/>
      <c r="AG379" s="576"/>
      <c r="AH379" s="576"/>
      <c r="AI379" s="576"/>
      <c r="AJ379" s="576"/>
      <c r="AK379" s="576"/>
      <c r="AL379" s="576"/>
      <c r="AM379" s="576"/>
      <c r="AN379" s="576"/>
      <c r="AO379" s="576"/>
      <c r="AP379" s="576"/>
      <c r="AQ379" s="576"/>
    </row>
    <row r="381" spans="1:43" s="418" customFormat="1" ht="15.75" hidden="1" customHeight="1" collapsed="1">
      <c r="A381" s="113"/>
      <c r="B381" s="2730" t="s">
        <v>2443</v>
      </c>
      <c r="C381" s="2731"/>
      <c r="D381" s="2731"/>
      <c r="E381" s="2731"/>
      <c r="F381" s="2731"/>
      <c r="G381" s="2731"/>
      <c r="H381" s="2731"/>
      <c r="I381" s="2731"/>
      <c r="J381" s="2731"/>
      <c r="K381" s="2731"/>
      <c r="L381" s="2731"/>
      <c r="M381" s="2731"/>
      <c r="N381" s="2731"/>
      <c r="O381" s="2732"/>
      <c r="P381" s="113"/>
      <c r="Q381" s="113"/>
      <c r="R381" s="113"/>
      <c r="S381" s="113"/>
      <c r="T381" s="113"/>
      <c r="U381" s="113"/>
      <c r="V381" s="113"/>
      <c r="W381" s="113"/>
    </row>
    <row r="382" spans="1:43" s="418" customFormat="1" ht="11.4" hidden="1" outlineLevel="1">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row>
    <row r="383" spans="1:43" s="418" customFormat="1" ht="11.4" hidden="1" outlineLevel="1">
      <c r="A383" s="113"/>
      <c r="B383" s="113" t="s">
        <v>2549</v>
      </c>
      <c r="C383" s="113"/>
      <c r="D383" s="113"/>
      <c r="E383" s="113"/>
      <c r="F383" s="113"/>
      <c r="G383" s="113"/>
      <c r="H383" s="113"/>
      <c r="I383" s="113"/>
      <c r="J383" s="113"/>
      <c r="K383" s="113"/>
      <c r="L383" s="113"/>
      <c r="M383" s="113"/>
      <c r="N383" s="113"/>
      <c r="O383" s="113"/>
      <c r="P383" s="113"/>
      <c r="Q383" s="113"/>
      <c r="R383" s="113"/>
      <c r="S383" s="113"/>
      <c r="T383" s="113"/>
      <c r="U383" s="113"/>
      <c r="V383" s="113"/>
      <c r="W383" s="113"/>
    </row>
    <row r="384" spans="1:43" s="418" customFormat="1" ht="11.4" hidden="1" outlineLevel="1">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row>
    <row r="385" spans="1:39" s="418" customFormat="1" ht="11.4" hidden="1" outlineLevel="1">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row>
    <row r="386" spans="1:39" s="418" customFormat="1" ht="11.4" hidden="1" outlineLevel="1">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row>
    <row r="387" spans="1:39" s="418" customFormat="1" ht="11.4" hidden="1" outlineLevel="1">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row>
    <row r="388" spans="1:39" s="418" customFormat="1" ht="11.4" hidden="1" outlineLevel="1">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row>
    <row r="389" spans="1:39" s="418" customFormat="1" ht="11.4" hidden="1" outlineLevel="1">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row>
    <row r="390" spans="1:39" s="418" customFormat="1" ht="11.4" hidden="1">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row>
    <row r="391" spans="1:39" s="418" customFormat="1" ht="15.6" collapsed="1">
      <c r="A391" s="113"/>
      <c r="B391" s="2733" t="s">
        <v>2554</v>
      </c>
      <c r="C391" s="2734"/>
      <c r="D391" s="2734"/>
      <c r="E391" s="2734"/>
      <c r="F391" s="2734"/>
      <c r="G391" s="2734"/>
      <c r="H391" s="2734"/>
      <c r="I391" s="2734"/>
      <c r="J391" s="2734"/>
      <c r="K391" s="2734"/>
      <c r="L391" s="2734"/>
      <c r="M391" s="2734"/>
      <c r="N391" s="2734"/>
      <c r="O391" s="2735"/>
      <c r="P391" s="113"/>
      <c r="Q391" s="113"/>
      <c r="R391" s="113"/>
      <c r="S391" s="113"/>
      <c r="T391" s="113"/>
      <c r="U391" s="113"/>
      <c r="V391" s="113"/>
      <c r="W391" s="113"/>
    </row>
    <row r="392" spans="1:39" s="418" customFormat="1" ht="11.4" hidden="1" outlineLevel="1">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row>
    <row r="393" spans="1:39" s="113" customFormat="1" ht="38.25" hidden="1" customHeight="1" outlineLevel="1">
      <c r="B393" s="205"/>
      <c r="C393" s="205"/>
      <c r="D393" s="205"/>
      <c r="E393" s="2736" t="s">
        <v>448</v>
      </c>
      <c r="F393" s="2737"/>
      <c r="G393" s="2737"/>
      <c r="H393" s="2737"/>
      <c r="I393" s="2737"/>
      <c r="J393" s="2737"/>
      <c r="K393" s="2737"/>
      <c r="L393" s="2737"/>
      <c r="M393" s="2738"/>
      <c r="N393" s="1794" t="s">
        <v>811</v>
      </c>
      <c r="O393" s="1795" t="s">
        <v>440</v>
      </c>
      <c r="Q393" s="908"/>
      <c r="R393" s="908"/>
      <c r="W393" s="817"/>
      <c r="AB393" s="576"/>
      <c r="AC393" s="576"/>
      <c r="AD393" s="576"/>
      <c r="AE393" s="576"/>
      <c r="AF393" s="576"/>
      <c r="AG393" s="576"/>
      <c r="AH393" s="576"/>
      <c r="AI393" s="576"/>
      <c r="AJ393" s="576"/>
      <c r="AK393" s="576"/>
      <c r="AL393" s="576"/>
      <c r="AM393" s="576"/>
    </row>
    <row r="394" spans="1:39" s="113" customFormat="1" ht="25.5" hidden="1" customHeight="1" outlineLevel="1">
      <c r="B394" s="2736" t="s">
        <v>438</v>
      </c>
      <c r="C394" s="2738"/>
      <c r="D394" s="1795" t="s">
        <v>2510</v>
      </c>
      <c r="E394" s="1796" t="s">
        <v>853</v>
      </c>
      <c r="F394" s="1796" t="s">
        <v>854</v>
      </c>
      <c r="G394" s="1796" t="s">
        <v>855</v>
      </c>
      <c r="H394" s="1796" t="s">
        <v>861</v>
      </c>
      <c r="I394" s="1796" t="s">
        <v>852</v>
      </c>
      <c r="J394" s="1797" t="s">
        <v>513</v>
      </c>
      <c r="K394" s="1796" t="s">
        <v>862</v>
      </c>
      <c r="L394" s="1796" t="s">
        <v>863</v>
      </c>
      <c r="M394" s="1796" t="s">
        <v>514</v>
      </c>
      <c r="N394" s="1798" t="s">
        <v>856</v>
      </c>
      <c r="O394" s="1799" t="s">
        <v>513</v>
      </c>
      <c r="Q394" s="908"/>
      <c r="R394" s="908"/>
      <c r="W394" s="817"/>
      <c r="AB394" s="576"/>
      <c r="AC394" s="576"/>
      <c r="AD394" s="576"/>
      <c r="AE394" s="576"/>
      <c r="AF394" s="576"/>
      <c r="AG394" s="576"/>
      <c r="AH394" s="576"/>
      <c r="AI394" s="576"/>
      <c r="AJ394" s="576"/>
      <c r="AK394" s="576"/>
      <c r="AL394" s="576"/>
      <c r="AM394" s="576"/>
    </row>
    <row r="395" spans="1:39" s="113" customFormat="1" ht="12.75" hidden="1" customHeight="1" outlineLevel="1">
      <c r="B395" s="2722" t="s">
        <v>2481</v>
      </c>
      <c r="C395" s="2723"/>
      <c r="D395" s="973" t="s">
        <v>2503</v>
      </c>
      <c r="E395" s="980">
        <f ca="1">E354</f>
        <v>0</v>
      </c>
      <c r="F395" s="980">
        <f t="shared" ref="F395:M395" ca="1" si="60">F354</f>
        <v>0</v>
      </c>
      <c r="G395" s="980">
        <f t="shared" ca="1" si="60"/>
        <v>0</v>
      </c>
      <c r="H395" s="980">
        <f t="shared" si="60"/>
        <v>0</v>
      </c>
      <c r="I395" s="980">
        <f t="shared" ca="1" si="60"/>
        <v>0</v>
      </c>
      <c r="J395" s="981">
        <f t="shared" ca="1" si="60"/>
        <v>0</v>
      </c>
      <c r="K395" s="982">
        <f t="shared" ca="1" si="60"/>
        <v>0</v>
      </c>
      <c r="L395" s="982">
        <f t="shared" si="60"/>
        <v>0</v>
      </c>
      <c r="M395" s="983">
        <f t="shared" si="60"/>
        <v>0</v>
      </c>
      <c r="N395" s="984"/>
      <c r="O395" s="1886" t="s">
        <v>817</v>
      </c>
      <c r="Q395" s="908"/>
      <c r="R395" s="908"/>
      <c r="W395" s="817"/>
      <c r="AB395" s="576"/>
      <c r="AC395" s="576"/>
      <c r="AD395" s="576"/>
      <c r="AE395" s="576"/>
      <c r="AF395" s="576"/>
      <c r="AG395" s="576"/>
      <c r="AH395" s="576"/>
      <c r="AI395" s="576"/>
      <c r="AJ395" s="576"/>
      <c r="AK395" s="576"/>
      <c r="AL395" s="576"/>
      <c r="AM395" s="576"/>
    </row>
    <row r="396" spans="1:39" s="113" customFormat="1" ht="12.75" hidden="1" customHeight="1" outlineLevel="1">
      <c r="B396" s="2722" t="s">
        <v>2482</v>
      </c>
      <c r="C396" s="2723"/>
      <c r="D396" s="1896" t="s">
        <v>2504</v>
      </c>
      <c r="E396" s="980"/>
      <c r="F396" s="980"/>
      <c r="G396" s="980"/>
      <c r="H396" s="980"/>
      <c r="I396" s="980"/>
      <c r="J396" s="981"/>
      <c r="K396" s="982"/>
      <c r="L396" s="982"/>
      <c r="M396" s="983"/>
      <c r="N396" s="984"/>
      <c r="O396" s="990"/>
      <c r="Q396" s="908"/>
      <c r="R396" s="908"/>
      <c r="W396" s="817"/>
      <c r="AB396" s="576"/>
      <c r="AC396" s="576"/>
      <c r="AD396" s="576"/>
      <c r="AE396" s="576"/>
      <c r="AF396" s="576"/>
      <c r="AG396" s="576"/>
      <c r="AH396" s="576"/>
      <c r="AI396" s="576"/>
      <c r="AJ396" s="576"/>
      <c r="AK396" s="576"/>
      <c r="AL396" s="576"/>
      <c r="AM396" s="576"/>
    </row>
    <row r="397" spans="1:39" s="113" customFormat="1" ht="12.75" hidden="1" customHeight="1" outlineLevel="1">
      <c r="B397" s="2722" t="s">
        <v>2483</v>
      </c>
      <c r="C397" s="2723"/>
      <c r="D397" s="973" t="s">
        <v>2505</v>
      </c>
      <c r="E397" s="980"/>
      <c r="F397" s="980"/>
      <c r="G397" s="980"/>
      <c r="H397" s="980"/>
      <c r="I397" s="980"/>
      <c r="J397" s="981"/>
      <c r="K397" s="982"/>
      <c r="L397" s="982"/>
      <c r="M397" s="983"/>
      <c r="N397" s="984"/>
      <c r="O397" s="984"/>
      <c r="Q397" s="908"/>
      <c r="R397" s="908"/>
      <c r="W397" s="817"/>
      <c r="AB397" s="576"/>
      <c r="AC397" s="576"/>
      <c r="AD397" s="576"/>
      <c r="AE397" s="576"/>
      <c r="AF397" s="576"/>
      <c r="AG397" s="576"/>
      <c r="AH397" s="576"/>
      <c r="AI397" s="576"/>
      <c r="AJ397" s="576"/>
      <c r="AK397" s="576"/>
      <c r="AL397" s="576"/>
      <c r="AM397" s="576"/>
    </row>
    <row r="398" spans="1:39" s="113" customFormat="1" ht="26.25" hidden="1" customHeight="1" outlineLevel="1">
      <c r="B398" s="2739" t="s">
        <v>2485</v>
      </c>
      <c r="C398" s="2740"/>
      <c r="D398" s="1896" t="s">
        <v>2506</v>
      </c>
      <c r="E398" s="980">
        <f t="shared" ref="E398:M398" si="61">E364</f>
        <v>43928.386666666665</v>
      </c>
      <c r="F398" s="980">
        <f t="shared" si="61"/>
        <v>0</v>
      </c>
      <c r="G398" s="980">
        <f t="shared" si="61"/>
        <v>0</v>
      </c>
      <c r="H398" s="980">
        <f t="shared" si="61"/>
        <v>0</v>
      </c>
      <c r="I398" s="980">
        <f t="shared" si="61"/>
        <v>0</v>
      </c>
      <c r="J398" s="981">
        <f t="shared" si="61"/>
        <v>43928.386666666665</v>
      </c>
      <c r="K398" s="982">
        <f t="shared" si="61"/>
        <v>0</v>
      </c>
      <c r="L398" s="982">
        <f t="shared" si="61"/>
        <v>0</v>
      </c>
      <c r="M398" s="983">
        <f t="shared" si="61"/>
        <v>12133.395140725817</v>
      </c>
      <c r="N398" s="984"/>
      <c r="O398" s="984"/>
      <c r="Q398" s="908"/>
      <c r="R398" s="908"/>
      <c r="W398" s="817"/>
      <c r="AB398" s="576"/>
      <c r="AC398" s="576"/>
      <c r="AD398" s="576"/>
      <c r="AE398" s="576"/>
      <c r="AF398" s="576"/>
      <c r="AG398" s="576"/>
      <c r="AH398" s="576"/>
      <c r="AI398" s="576"/>
      <c r="AJ398" s="576"/>
      <c r="AK398" s="576"/>
      <c r="AL398" s="576"/>
      <c r="AM398" s="576"/>
    </row>
    <row r="399" spans="1:39" s="113" customFormat="1" ht="26.25" hidden="1" customHeight="1" outlineLevel="1">
      <c r="B399" s="2739" t="s">
        <v>2484</v>
      </c>
      <c r="C399" s="2740"/>
      <c r="D399" s="1897" t="s">
        <v>2507</v>
      </c>
      <c r="E399" s="980"/>
      <c r="F399" s="980"/>
      <c r="G399" s="980"/>
      <c r="H399" s="980"/>
      <c r="I399" s="980"/>
      <c r="J399" s="981"/>
      <c r="K399" s="982"/>
      <c r="L399" s="982"/>
      <c r="M399" s="983"/>
      <c r="N399" s="984"/>
      <c r="O399" s="984"/>
      <c r="Q399" s="908"/>
      <c r="R399" s="908"/>
      <c r="W399" s="817"/>
      <c r="AB399" s="576"/>
      <c r="AC399" s="576"/>
      <c r="AD399" s="576"/>
      <c r="AE399" s="576"/>
      <c r="AF399" s="576"/>
      <c r="AG399" s="576"/>
      <c r="AH399" s="576"/>
      <c r="AI399" s="576"/>
      <c r="AJ399" s="576"/>
      <c r="AK399" s="576"/>
      <c r="AL399" s="576"/>
      <c r="AM399" s="576"/>
    </row>
    <row r="400" spans="1:39" s="113" customFormat="1" ht="26.25" hidden="1" customHeight="1" outlineLevel="1">
      <c r="B400" s="2739" t="s">
        <v>2486</v>
      </c>
      <c r="C400" s="2740"/>
      <c r="D400" s="973" t="s">
        <v>2508</v>
      </c>
      <c r="E400" s="980"/>
      <c r="F400" s="980"/>
      <c r="G400" s="980"/>
      <c r="H400" s="980"/>
      <c r="I400" s="980"/>
      <c r="J400" s="981"/>
      <c r="K400" s="982"/>
      <c r="L400" s="982"/>
      <c r="M400" s="983"/>
      <c r="N400" s="984"/>
      <c r="O400" s="984"/>
      <c r="Q400" s="908"/>
      <c r="R400" s="908"/>
      <c r="W400" s="817"/>
      <c r="AB400" s="576"/>
      <c r="AC400" s="576"/>
      <c r="AD400" s="576"/>
      <c r="AE400" s="576"/>
      <c r="AF400" s="576"/>
      <c r="AG400" s="576"/>
      <c r="AH400" s="576"/>
      <c r="AI400" s="576"/>
      <c r="AJ400" s="576"/>
      <c r="AK400" s="576"/>
      <c r="AL400" s="576"/>
      <c r="AM400" s="576"/>
    </row>
    <row r="401" spans="1:39" s="113" customFormat="1" ht="12.75" hidden="1" customHeight="1" outlineLevel="1">
      <c r="B401" s="2722" t="s">
        <v>449</v>
      </c>
      <c r="C401" s="2723"/>
      <c r="D401" s="1898" t="s">
        <v>2509</v>
      </c>
      <c r="E401" s="980">
        <f t="shared" ref="E401:M401" ca="1" si="62">E362</f>
        <v>0</v>
      </c>
      <c r="F401" s="980">
        <f t="shared" ca="1" si="62"/>
        <v>0</v>
      </c>
      <c r="G401" s="980">
        <f t="shared" ca="1" si="62"/>
        <v>0</v>
      </c>
      <c r="H401" s="980">
        <f t="shared" si="62"/>
        <v>0</v>
      </c>
      <c r="I401" s="980">
        <f t="shared" ca="1" si="62"/>
        <v>0</v>
      </c>
      <c r="J401" s="981">
        <f t="shared" ca="1" si="62"/>
        <v>0</v>
      </c>
      <c r="K401" s="982">
        <f t="shared" ca="1" si="62"/>
        <v>0</v>
      </c>
      <c r="L401" s="982">
        <f t="shared" si="62"/>
        <v>0</v>
      </c>
      <c r="M401" s="983">
        <f t="shared" si="62"/>
        <v>0</v>
      </c>
      <c r="N401" s="984"/>
      <c r="O401" s="984"/>
      <c r="Q401" s="908"/>
      <c r="R401" s="908"/>
      <c r="W401" s="817"/>
      <c r="AB401" s="576"/>
      <c r="AC401" s="576"/>
      <c r="AD401" s="576"/>
      <c r="AE401" s="576"/>
      <c r="AF401" s="576"/>
      <c r="AG401" s="576"/>
      <c r="AH401" s="576"/>
      <c r="AI401" s="576"/>
      <c r="AJ401" s="576"/>
      <c r="AK401" s="576"/>
      <c r="AL401" s="576"/>
      <c r="AM401" s="576"/>
    </row>
    <row r="402" spans="1:39" s="418" customFormat="1" ht="11.4" hidden="1" outlineLevel="1">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row>
    <row r="403" spans="1:39" s="418" customFormat="1" ht="11.4">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row>
  </sheetData>
  <mergeCells count="582">
    <mergeCell ref="Z41:AA41"/>
    <mergeCell ref="Z42:AA42"/>
    <mergeCell ref="Z13:AA13"/>
    <mergeCell ref="Z14:AA14"/>
    <mergeCell ref="B381:O381"/>
    <mergeCell ref="B391:O391"/>
    <mergeCell ref="N5:O5"/>
    <mergeCell ref="BJ235:BK235"/>
    <mergeCell ref="Y24:AE24"/>
    <mergeCell ref="BJ223:BK223"/>
    <mergeCell ref="Y234:AD234"/>
    <mergeCell ref="Z236:AA236"/>
    <mergeCell ref="Z237:AA237"/>
    <mergeCell ref="AG234:AR234"/>
    <mergeCell ref="AG235:AN235"/>
    <mergeCell ref="AO235:AP235"/>
    <mergeCell ref="AG236:AH236"/>
    <mergeCell ref="AI236:AJ236"/>
    <mergeCell ref="AK236:AL236"/>
    <mergeCell ref="AM236:AN236"/>
    <mergeCell ref="AO236:AP236"/>
    <mergeCell ref="AQ236:AR236"/>
    <mergeCell ref="AU234:BH234"/>
    <mergeCell ref="AU235:BB235"/>
    <mergeCell ref="BC235:BD235"/>
    <mergeCell ref="BG235:BH235"/>
    <mergeCell ref="AU236:AV236"/>
    <mergeCell ref="AW236:AX236"/>
    <mergeCell ref="AY236:AZ236"/>
    <mergeCell ref="BA236:BB236"/>
    <mergeCell ref="BC236:BD236"/>
    <mergeCell ref="BE236:BF236"/>
    <mergeCell ref="BG236:BH236"/>
    <mergeCell ref="BC223:BD223"/>
    <mergeCell ref="BG223:BH223"/>
    <mergeCell ref="AU224:AV224"/>
    <mergeCell ref="AW224:AX224"/>
    <mergeCell ref="AY224:AZ224"/>
    <mergeCell ref="BA224:BB224"/>
    <mergeCell ref="BC224:BD224"/>
    <mergeCell ref="BE224:BF224"/>
    <mergeCell ref="BG224:BH224"/>
    <mergeCell ref="BJ105:BU105"/>
    <mergeCell ref="I106:J106"/>
    <mergeCell ref="L106:M106"/>
    <mergeCell ref="O106:P106"/>
    <mergeCell ref="R106:S106"/>
    <mergeCell ref="AG106:AH106"/>
    <mergeCell ref="AI106:AJ106"/>
    <mergeCell ref="AK106:AL106"/>
    <mergeCell ref="AM106:AN106"/>
    <mergeCell ref="AO106:AP106"/>
    <mergeCell ref="AQ106:AR106"/>
    <mergeCell ref="AU106:AV106"/>
    <mergeCell ref="AW106:AX106"/>
    <mergeCell ref="AY106:AZ106"/>
    <mergeCell ref="BA106:BB106"/>
    <mergeCell ref="BC106:BD106"/>
    <mergeCell ref="BE106:BF106"/>
    <mergeCell ref="BG106:BH106"/>
    <mergeCell ref="BJ106:BM106"/>
    <mergeCell ref="BN106:BQ106"/>
    <mergeCell ref="BR106:BU106"/>
    <mergeCell ref="BC83:BD83"/>
    <mergeCell ref="BE83:BF83"/>
    <mergeCell ref="BG83:BH83"/>
    <mergeCell ref="AG105:AN105"/>
    <mergeCell ref="AO105:AP105"/>
    <mergeCell ref="AU105:BB105"/>
    <mergeCell ref="BC105:BD105"/>
    <mergeCell ref="BG105:BH105"/>
    <mergeCell ref="AG104:AR104"/>
    <mergeCell ref="AG83:AH83"/>
    <mergeCell ref="AI83:AJ83"/>
    <mergeCell ref="AK83:AL83"/>
    <mergeCell ref="AM83:AN83"/>
    <mergeCell ref="AO83:AP83"/>
    <mergeCell ref="AU83:AV83"/>
    <mergeCell ref="AW83:AX83"/>
    <mergeCell ref="AY83:AZ83"/>
    <mergeCell ref="BA83:BB83"/>
    <mergeCell ref="AU104:BH104"/>
    <mergeCell ref="BC72:BD72"/>
    <mergeCell ref="BE72:BF72"/>
    <mergeCell ref="BG72:BH72"/>
    <mergeCell ref="AG81:AR81"/>
    <mergeCell ref="AU81:BH81"/>
    <mergeCell ref="AG82:AN82"/>
    <mergeCell ref="AO82:AP82"/>
    <mergeCell ref="AU82:BB82"/>
    <mergeCell ref="BC82:BD82"/>
    <mergeCell ref="BG82:BH82"/>
    <mergeCell ref="AU72:AV72"/>
    <mergeCell ref="AW72:AX72"/>
    <mergeCell ref="AY72:AZ72"/>
    <mergeCell ref="BA72:BB72"/>
    <mergeCell ref="AG70:AR70"/>
    <mergeCell ref="AG71:AN71"/>
    <mergeCell ref="AO71:AP71"/>
    <mergeCell ref="AG72:AH72"/>
    <mergeCell ref="AI72:AJ72"/>
    <mergeCell ref="AK72:AL72"/>
    <mergeCell ref="AM72:AN72"/>
    <mergeCell ref="AO72:AP72"/>
    <mergeCell ref="Y70:AD70"/>
    <mergeCell ref="AG59:AR59"/>
    <mergeCell ref="AG60:AN60"/>
    <mergeCell ref="AO60:AP60"/>
    <mergeCell ref="AG61:AH61"/>
    <mergeCell ref="AI61:AJ61"/>
    <mergeCell ref="AK61:AL61"/>
    <mergeCell ref="AM61:AN61"/>
    <mergeCell ref="AO61:AP61"/>
    <mergeCell ref="AU59:BH59"/>
    <mergeCell ref="AU60:BB60"/>
    <mergeCell ref="BC60:BD60"/>
    <mergeCell ref="BG60:BH60"/>
    <mergeCell ref="AU61:AV61"/>
    <mergeCell ref="AW61:AX61"/>
    <mergeCell ref="AY61:AZ61"/>
    <mergeCell ref="BA61:BB61"/>
    <mergeCell ref="BC61:BD61"/>
    <mergeCell ref="BE61:BF61"/>
    <mergeCell ref="BG61:BH61"/>
    <mergeCell ref="Y49:AD49"/>
    <mergeCell ref="BJ50:BK50"/>
    <mergeCell ref="AU50:BB50"/>
    <mergeCell ref="BC50:BD50"/>
    <mergeCell ref="BG50:BH50"/>
    <mergeCell ref="AU51:AV51"/>
    <mergeCell ref="AW51:AX51"/>
    <mergeCell ref="AY51:AZ51"/>
    <mergeCell ref="BA51:BB51"/>
    <mergeCell ref="BC51:BD51"/>
    <mergeCell ref="BE51:BF51"/>
    <mergeCell ref="BG51:BH51"/>
    <mergeCell ref="AO25:AP25"/>
    <mergeCell ref="BG40:BH40"/>
    <mergeCell ref="AU41:AV41"/>
    <mergeCell ref="AW41:AX41"/>
    <mergeCell ref="AY41:AZ41"/>
    <mergeCell ref="BA41:BB41"/>
    <mergeCell ref="BC41:BD41"/>
    <mergeCell ref="BE41:BF41"/>
    <mergeCell ref="BG41:BH41"/>
    <mergeCell ref="AU39:BH39"/>
    <mergeCell ref="AU40:BB40"/>
    <mergeCell ref="BC40:BD40"/>
    <mergeCell ref="B319:C319"/>
    <mergeCell ref="B320:C320"/>
    <mergeCell ref="B321:C321"/>
    <mergeCell ref="B322:C322"/>
    <mergeCell ref="B323:D323"/>
    <mergeCell ref="B324:C324"/>
    <mergeCell ref="AU131:BH131"/>
    <mergeCell ref="AU132:BB132"/>
    <mergeCell ref="BC132:BD132"/>
    <mergeCell ref="BG132:BH132"/>
    <mergeCell ref="BG133:BH133"/>
    <mergeCell ref="Z224:AA224"/>
    <mergeCell ref="Z225:AA225"/>
    <mergeCell ref="AG222:AR222"/>
    <mergeCell ref="AG223:AN223"/>
    <mergeCell ref="AO223:AP223"/>
    <mergeCell ref="AG224:AH224"/>
    <mergeCell ref="AI224:AJ224"/>
    <mergeCell ref="AK224:AL224"/>
    <mergeCell ref="AM224:AN224"/>
    <mergeCell ref="AO224:AP224"/>
    <mergeCell ref="AQ224:AR224"/>
    <mergeCell ref="AU222:BH222"/>
    <mergeCell ref="AU223:BB223"/>
    <mergeCell ref="BJ71:BL71"/>
    <mergeCell ref="AO26:AP26"/>
    <mergeCell ref="AG39:AR39"/>
    <mergeCell ref="AG40:AN40"/>
    <mergeCell ref="AG41:AH41"/>
    <mergeCell ref="AI41:AJ41"/>
    <mergeCell ref="AK41:AL41"/>
    <mergeCell ref="AM41:AN41"/>
    <mergeCell ref="AO40:AP40"/>
    <mergeCell ref="AO41:AP41"/>
    <mergeCell ref="AG26:AH26"/>
    <mergeCell ref="AI26:AJ26"/>
    <mergeCell ref="AK26:AL26"/>
    <mergeCell ref="AM26:AN26"/>
    <mergeCell ref="AQ26:AR26"/>
    <mergeCell ref="AG49:AR49"/>
    <mergeCell ref="AU49:BH49"/>
    <mergeCell ref="AG50:AN50"/>
    <mergeCell ref="AO50:AP50"/>
    <mergeCell ref="AG51:AH51"/>
    <mergeCell ref="AI51:AJ51"/>
    <mergeCell ref="AK51:AL51"/>
    <mergeCell ref="AM51:AN51"/>
    <mergeCell ref="AO51:AP51"/>
    <mergeCell ref="B359:C359"/>
    <mergeCell ref="B360:C360"/>
    <mergeCell ref="B361:D361"/>
    <mergeCell ref="B362:C362"/>
    <mergeCell ref="B363:C363"/>
    <mergeCell ref="B364:C364"/>
    <mergeCell ref="B365:C365"/>
    <mergeCell ref="B366:C366"/>
    <mergeCell ref="B367:C367"/>
    <mergeCell ref="B377:C377"/>
    <mergeCell ref="B378:D378"/>
    <mergeCell ref="B368:C368"/>
    <mergeCell ref="B369:C369"/>
    <mergeCell ref="B370:C370"/>
    <mergeCell ref="B371:C371"/>
    <mergeCell ref="B372:C372"/>
    <mergeCell ref="B373:C373"/>
    <mergeCell ref="B374:C374"/>
    <mergeCell ref="B375:C375"/>
    <mergeCell ref="B376:C376"/>
    <mergeCell ref="B354:C354"/>
    <mergeCell ref="B355:C355"/>
    <mergeCell ref="B356:C356"/>
    <mergeCell ref="B357:C357"/>
    <mergeCell ref="B358:D358"/>
    <mergeCell ref="B343:C343"/>
    <mergeCell ref="B344:C344"/>
    <mergeCell ref="B345:C345"/>
    <mergeCell ref="B346:D346"/>
    <mergeCell ref="B349:O349"/>
    <mergeCell ref="E351:M351"/>
    <mergeCell ref="B352:C352"/>
    <mergeCell ref="BC133:BD133"/>
    <mergeCell ref="BE133:BF133"/>
    <mergeCell ref="B312:C312"/>
    <mergeCell ref="B296:C296"/>
    <mergeCell ref="B297:C297"/>
    <mergeCell ref="B298:C298"/>
    <mergeCell ref="B299:C299"/>
    <mergeCell ref="B300:C300"/>
    <mergeCell ref="B301:C301"/>
    <mergeCell ref="B302:C302"/>
    <mergeCell ref="B303:C303"/>
    <mergeCell ref="B304:C304"/>
    <mergeCell ref="B305:C305"/>
    <mergeCell ref="B306:C306"/>
    <mergeCell ref="B307:C307"/>
    <mergeCell ref="Y222:AD222"/>
    <mergeCell ref="B308:C308"/>
    <mergeCell ref="B309:C309"/>
    <mergeCell ref="B289:C289"/>
    <mergeCell ref="B248:C249"/>
    <mergeCell ref="B287:C287"/>
    <mergeCell ref="B288:C288"/>
    <mergeCell ref="B286:C286"/>
    <mergeCell ref="E285:K285"/>
    <mergeCell ref="J5:K5"/>
    <mergeCell ref="B334:C334"/>
    <mergeCell ref="B335:C335"/>
    <mergeCell ref="B336:C336"/>
    <mergeCell ref="B337:O337"/>
    <mergeCell ref="B338:C338"/>
    <mergeCell ref="B339:C339"/>
    <mergeCell ref="B340:C340"/>
    <mergeCell ref="B341:C341"/>
    <mergeCell ref="B315:O315"/>
    <mergeCell ref="E317:N317"/>
    <mergeCell ref="B318:C318"/>
    <mergeCell ref="B290:C290"/>
    <mergeCell ref="B291:C291"/>
    <mergeCell ref="B292:C292"/>
    <mergeCell ref="B293:C293"/>
    <mergeCell ref="B294:C294"/>
    <mergeCell ref="B295:C295"/>
    <mergeCell ref="B310:C310"/>
    <mergeCell ref="B311:C311"/>
    <mergeCell ref="K248:N248"/>
    <mergeCell ref="B280:C280"/>
    <mergeCell ref="B254:C254"/>
    <mergeCell ref="B253:C253"/>
    <mergeCell ref="Y59:AD59"/>
    <mergeCell ref="I72:J72"/>
    <mergeCell ref="B257:O257"/>
    <mergeCell ref="B283:O283"/>
    <mergeCell ref="I259:J259"/>
    <mergeCell ref="B259:D260"/>
    <mergeCell ref="E259:G259"/>
    <mergeCell ref="Y131:AD131"/>
    <mergeCell ref="Y142:AD142"/>
    <mergeCell ref="Y153:AD153"/>
    <mergeCell ref="Y198:AD198"/>
    <mergeCell ref="Z211:AA211"/>
    <mergeCell ref="Z212:AA212"/>
    <mergeCell ref="Y209:AD209"/>
    <mergeCell ref="B246:O246"/>
    <mergeCell ref="B250:C250"/>
    <mergeCell ref="B251:C251"/>
    <mergeCell ref="B252:C252"/>
    <mergeCell ref="H248:I248"/>
    <mergeCell ref="I178:J178"/>
    <mergeCell ref="D248:F248"/>
    <mergeCell ref="B164:O164"/>
    <mergeCell ref="B220:O220"/>
    <mergeCell ref="J223:N223"/>
    <mergeCell ref="N4:O4"/>
    <mergeCell ref="AG131:AR131"/>
    <mergeCell ref="AG132:AN132"/>
    <mergeCell ref="AO132:AP132"/>
    <mergeCell ref="AG133:AH133"/>
    <mergeCell ref="AI133:AJ133"/>
    <mergeCell ref="B2:O2"/>
    <mergeCell ref="B9:O9"/>
    <mergeCell ref="B92:O92"/>
    <mergeCell ref="J4:K4"/>
    <mergeCell ref="I133:J133"/>
    <mergeCell ref="Y121:AD121"/>
    <mergeCell ref="AG121:AR121"/>
    <mergeCell ref="AG122:AN122"/>
    <mergeCell ref="AO122:AP122"/>
    <mergeCell ref="D4:E4"/>
    <mergeCell ref="F4:G4"/>
    <mergeCell ref="H4:I4"/>
    <mergeCell ref="D5:E5"/>
    <mergeCell ref="F5:G5"/>
    <mergeCell ref="H5:I5"/>
    <mergeCell ref="B7:C7"/>
    <mergeCell ref="Y81:AD81"/>
    <mergeCell ref="I26:J26"/>
    <mergeCell ref="AK133:AL133"/>
    <mergeCell ref="AM133:AN133"/>
    <mergeCell ref="AO133:AP133"/>
    <mergeCell ref="AU133:AV133"/>
    <mergeCell ref="AW133:AX133"/>
    <mergeCell ref="AY133:AZ133"/>
    <mergeCell ref="BA133:BB133"/>
    <mergeCell ref="Y104:AE104"/>
    <mergeCell ref="L5:M5"/>
    <mergeCell ref="L26:M26"/>
    <mergeCell ref="O26:P26"/>
    <mergeCell ref="R26:S26"/>
    <mergeCell ref="AG25:AN25"/>
    <mergeCell ref="Y11:AD11"/>
    <mergeCell ref="Y39:AD39"/>
    <mergeCell ref="AG11:AR11"/>
    <mergeCell ref="AG12:AN12"/>
    <mergeCell ref="AO12:AP12"/>
    <mergeCell ref="AG13:AH13"/>
    <mergeCell ref="AI13:AJ13"/>
    <mergeCell ref="AK13:AL13"/>
    <mergeCell ref="AM13:AN13"/>
    <mergeCell ref="AO13:AP13"/>
    <mergeCell ref="AQ13:AR13"/>
    <mergeCell ref="AU70:BH70"/>
    <mergeCell ref="AU71:BB71"/>
    <mergeCell ref="BC71:BD71"/>
    <mergeCell ref="BG71:BH71"/>
    <mergeCell ref="BG96:BH96"/>
    <mergeCell ref="AU121:BH121"/>
    <mergeCell ref="AU122:BB122"/>
    <mergeCell ref="BJ12:BK12"/>
    <mergeCell ref="BJ25:BU25"/>
    <mergeCell ref="BJ26:BM26"/>
    <mergeCell ref="BN26:BQ26"/>
    <mergeCell ref="BR26:BU26"/>
    <mergeCell ref="AU24:BH24"/>
    <mergeCell ref="AU25:BB25"/>
    <mergeCell ref="BC25:BD25"/>
    <mergeCell ref="BG25:BH25"/>
    <mergeCell ref="AU26:AV26"/>
    <mergeCell ref="AW26:AX26"/>
    <mergeCell ref="AY26:AZ26"/>
    <mergeCell ref="BA26:BB26"/>
    <mergeCell ref="BC26:BD26"/>
    <mergeCell ref="BE26:BF26"/>
    <mergeCell ref="BG26:BH26"/>
    <mergeCell ref="BJ40:BK40"/>
    <mergeCell ref="AU11:BH11"/>
    <mergeCell ref="AU13:BB13"/>
    <mergeCell ref="AG24:AR24"/>
    <mergeCell ref="I96:I97"/>
    <mergeCell ref="G96:G97"/>
    <mergeCell ref="Y94:AD94"/>
    <mergeCell ref="AG94:AR94"/>
    <mergeCell ref="AG95:AN95"/>
    <mergeCell ref="AO95:AP95"/>
    <mergeCell ref="AG96:AH96"/>
    <mergeCell ref="AI96:AJ96"/>
    <mergeCell ref="AK96:AL96"/>
    <mergeCell ref="AM96:AN96"/>
    <mergeCell ref="AO96:AP96"/>
    <mergeCell ref="AU94:BH94"/>
    <mergeCell ref="AU95:BB95"/>
    <mergeCell ref="BC95:BD95"/>
    <mergeCell ref="BG95:BH95"/>
    <mergeCell ref="AU96:AV96"/>
    <mergeCell ref="AW96:AX96"/>
    <mergeCell ref="AY96:AZ96"/>
    <mergeCell ref="BA96:BB96"/>
    <mergeCell ref="BC96:BD96"/>
    <mergeCell ref="BE96:BF96"/>
    <mergeCell ref="BJ122:BK122"/>
    <mergeCell ref="AG123:AH123"/>
    <mergeCell ref="AI123:AJ123"/>
    <mergeCell ref="AK123:AL123"/>
    <mergeCell ref="AM123:AN123"/>
    <mergeCell ref="AO123:AP123"/>
    <mergeCell ref="AU123:AV123"/>
    <mergeCell ref="AW123:AX123"/>
    <mergeCell ref="AY123:AZ123"/>
    <mergeCell ref="BA123:BB123"/>
    <mergeCell ref="BC123:BD123"/>
    <mergeCell ref="BE123:BF123"/>
    <mergeCell ref="BG123:BH123"/>
    <mergeCell ref="BC122:BD122"/>
    <mergeCell ref="BG122:BH122"/>
    <mergeCell ref="AG142:AR142"/>
    <mergeCell ref="AU142:BH142"/>
    <mergeCell ref="AG143:AN143"/>
    <mergeCell ref="AO143:AP143"/>
    <mergeCell ref="AU143:BB143"/>
    <mergeCell ref="BC143:BD143"/>
    <mergeCell ref="BG143:BH143"/>
    <mergeCell ref="BJ143:BL143"/>
    <mergeCell ref="I144:J144"/>
    <mergeCell ref="AG144:AH144"/>
    <mergeCell ref="AI144:AJ144"/>
    <mergeCell ref="AK144:AL144"/>
    <mergeCell ref="AM144:AN144"/>
    <mergeCell ref="AO144:AP144"/>
    <mergeCell ref="AU144:AV144"/>
    <mergeCell ref="AW144:AX144"/>
    <mergeCell ref="AY144:AZ144"/>
    <mergeCell ref="BA144:BB144"/>
    <mergeCell ref="BC144:BD144"/>
    <mergeCell ref="BE144:BF144"/>
    <mergeCell ref="BG144:BH144"/>
    <mergeCell ref="AU153:BH153"/>
    <mergeCell ref="AG154:AN154"/>
    <mergeCell ref="AO154:AP154"/>
    <mergeCell ref="AU154:BB154"/>
    <mergeCell ref="BC154:BD154"/>
    <mergeCell ref="BG154:BH154"/>
    <mergeCell ref="AG155:AH155"/>
    <mergeCell ref="AI155:AJ155"/>
    <mergeCell ref="AK155:AL155"/>
    <mergeCell ref="AM155:AN155"/>
    <mergeCell ref="AO155:AP155"/>
    <mergeCell ref="AU155:AV155"/>
    <mergeCell ref="AW155:AX155"/>
    <mergeCell ref="AY155:AZ155"/>
    <mergeCell ref="BA155:BB155"/>
    <mergeCell ref="BC155:BD155"/>
    <mergeCell ref="BE155:BF155"/>
    <mergeCell ref="BG155:BH155"/>
    <mergeCell ref="BJ154:BK154"/>
    <mergeCell ref="BJ132:BL132"/>
    <mergeCell ref="BJ60:BL60"/>
    <mergeCell ref="Y166:AD166"/>
    <mergeCell ref="AG166:AR166"/>
    <mergeCell ref="AG167:AN167"/>
    <mergeCell ref="AO167:AP167"/>
    <mergeCell ref="AG168:AH168"/>
    <mergeCell ref="AI168:AJ168"/>
    <mergeCell ref="AK168:AL168"/>
    <mergeCell ref="AM168:AN168"/>
    <mergeCell ref="AO168:AP168"/>
    <mergeCell ref="AU166:BH166"/>
    <mergeCell ref="AU167:BB167"/>
    <mergeCell ref="BC167:BD167"/>
    <mergeCell ref="BG167:BH167"/>
    <mergeCell ref="AU168:AV168"/>
    <mergeCell ref="AW168:AX168"/>
    <mergeCell ref="AY168:AZ168"/>
    <mergeCell ref="BA168:BB168"/>
    <mergeCell ref="BC168:BD168"/>
    <mergeCell ref="BE168:BF168"/>
    <mergeCell ref="BG168:BH168"/>
    <mergeCell ref="AG153:AR153"/>
    <mergeCell ref="BJ167:BK167"/>
    <mergeCell ref="Y176:AD176"/>
    <mergeCell ref="AG176:AR176"/>
    <mergeCell ref="AU176:BH176"/>
    <mergeCell ref="AG177:AN177"/>
    <mergeCell ref="AO177:AP177"/>
    <mergeCell ref="AU177:BB177"/>
    <mergeCell ref="BC177:BD177"/>
    <mergeCell ref="BG177:BH177"/>
    <mergeCell ref="BJ177:BL177"/>
    <mergeCell ref="BC178:BD178"/>
    <mergeCell ref="BE178:BF178"/>
    <mergeCell ref="BG178:BH178"/>
    <mergeCell ref="Y187:AD187"/>
    <mergeCell ref="AG187:AR187"/>
    <mergeCell ref="AU187:BH187"/>
    <mergeCell ref="AG188:AN188"/>
    <mergeCell ref="AO188:AP188"/>
    <mergeCell ref="AU188:BB188"/>
    <mergeCell ref="BC188:BD188"/>
    <mergeCell ref="BG188:BH188"/>
    <mergeCell ref="AG178:AH178"/>
    <mergeCell ref="AI178:AJ178"/>
    <mergeCell ref="AK178:AL178"/>
    <mergeCell ref="AM178:AN178"/>
    <mergeCell ref="AO178:AP178"/>
    <mergeCell ref="AU178:AV178"/>
    <mergeCell ref="AW178:AX178"/>
    <mergeCell ref="AY178:AZ178"/>
    <mergeCell ref="BA178:BB178"/>
    <mergeCell ref="BJ188:BL188"/>
    <mergeCell ref="I189:J189"/>
    <mergeCell ref="AG189:AH189"/>
    <mergeCell ref="AI189:AJ189"/>
    <mergeCell ref="AK189:AL189"/>
    <mergeCell ref="AM189:AN189"/>
    <mergeCell ref="AO189:AP189"/>
    <mergeCell ref="AU189:AV189"/>
    <mergeCell ref="AW189:AX189"/>
    <mergeCell ref="AY189:AZ189"/>
    <mergeCell ref="BA189:BB189"/>
    <mergeCell ref="BC189:BD189"/>
    <mergeCell ref="BE189:BF189"/>
    <mergeCell ref="BG189:BH189"/>
    <mergeCell ref="AG198:AR198"/>
    <mergeCell ref="AU198:BH198"/>
    <mergeCell ref="AG199:AN199"/>
    <mergeCell ref="AO199:AP199"/>
    <mergeCell ref="AU199:BB199"/>
    <mergeCell ref="BC199:BD199"/>
    <mergeCell ref="BG199:BH199"/>
    <mergeCell ref="BJ199:BK199"/>
    <mergeCell ref="AG200:AH200"/>
    <mergeCell ref="AI200:AJ200"/>
    <mergeCell ref="AK200:AL200"/>
    <mergeCell ref="AM200:AN200"/>
    <mergeCell ref="AO200:AP200"/>
    <mergeCell ref="AU200:AV200"/>
    <mergeCell ref="AW200:AX200"/>
    <mergeCell ref="AY200:AZ200"/>
    <mergeCell ref="BA200:BB200"/>
    <mergeCell ref="BC200:BD200"/>
    <mergeCell ref="BE200:BF200"/>
    <mergeCell ref="BG200:BH200"/>
    <mergeCell ref="BJ210:BK210"/>
    <mergeCell ref="AG209:AR209"/>
    <mergeCell ref="AG210:AN210"/>
    <mergeCell ref="AO210:AP210"/>
    <mergeCell ref="AG211:AH211"/>
    <mergeCell ref="AI211:AJ211"/>
    <mergeCell ref="AK211:AL211"/>
    <mergeCell ref="AM211:AN211"/>
    <mergeCell ref="AO211:AP211"/>
    <mergeCell ref="AU209:BH209"/>
    <mergeCell ref="AU210:BB210"/>
    <mergeCell ref="BC210:BD210"/>
    <mergeCell ref="BG210:BH210"/>
    <mergeCell ref="AU211:AV211"/>
    <mergeCell ref="AW211:AX211"/>
    <mergeCell ref="AY211:AZ211"/>
    <mergeCell ref="BA211:BB211"/>
    <mergeCell ref="BC211:BD211"/>
    <mergeCell ref="BE211:BF211"/>
    <mergeCell ref="BG211:BH211"/>
    <mergeCell ref="B22:O22"/>
    <mergeCell ref="B119:O119"/>
    <mergeCell ref="B401:C401"/>
    <mergeCell ref="B398:C398"/>
    <mergeCell ref="B399:C399"/>
    <mergeCell ref="B400:C400"/>
    <mergeCell ref="B396:C396"/>
    <mergeCell ref="B397:C397"/>
    <mergeCell ref="E393:M393"/>
    <mergeCell ref="B394:C394"/>
    <mergeCell ref="B395:C395"/>
    <mergeCell ref="I61:J61"/>
    <mergeCell ref="B342:C342"/>
    <mergeCell ref="B325:C325"/>
    <mergeCell ref="B326:D326"/>
    <mergeCell ref="B327:O327"/>
    <mergeCell ref="B328:C328"/>
    <mergeCell ref="B329:C329"/>
    <mergeCell ref="B330:C330"/>
    <mergeCell ref="B331:C331"/>
    <mergeCell ref="B332:C332"/>
    <mergeCell ref="B333:C333"/>
    <mergeCell ref="B353:C353"/>
    <mergeCell ref="O353:O358"/>
  </mergeCells>
  <phoneticPr fontId="7"/>
  <conditionalFormatting sqref="I28:S35">
    <cfRule type="containsErrors" dxfId="104" priority="190">
      <formula>ISERROR(I28)</formula>
    </cfRule>
  </conditionalFormatting>
  <conditionalFormatting sqref="T30">
    <cfRule type="containsErrors" dxfId="103" priority="56">
      <formula>ISERROR(T30)</formula>
    </cfRule>
  </conditionalFormatting>
  <conditionalFormatting sqref="T33">
    <cfRule type="containsErrors" dxfId="102" priority="55">
      <formula>ISERROR(T33)</formula>
    </cfRule>
  </conditionalFormatting>
  <conditionalFormatting sqref="H28:H35">
    <cfRule type="containsErrors" dxfId="101" priority="54">
      <formula>ISERROR(H28)</formula>
    </cfRule>
  </conditionalFormatting>
  <conditionalFormatting sqref="I108:S115">
    <cfRule type="containsErrors" dxfId="100" priority="36">
      <formula>ISERROR(I108)</formula>
    </cfRule>
  </conditionalFormatting>
  <conditionalFormatting sqref="T110">
    <cfRule type="containsErrors" dxfId="99" priority="34">
      <formula>ISERROR(T110)</formula>
    </cfRule>
  </conditionalFormatting>
  <conditionalFormatting sqref="T113">
    <cfRule type="containsErrors" dxfId="98" priority="33">
      <formula>ISERROR(T113)</formula>
    </cfRule>
  </conditionalFormatting>
  <conditionalFormatting sqref="H108:H115">
    <cfRule type="containsErrors" dxfId="97" priority="32">
      <formula>ISERROR(H108)</formula>
    </cfRule>
  </conditionalFormatting>
  <conditionalFormatting sqref="L116:M116 I116:J116">
    <cfRule type="containsErrors" dxfId="96" priority="189">
      <formula>ISERROR(#REF!)</formula>
    </cfRule>
  </conditionalFormatting>
  <conditionalFormatting sqref="R116:S116">
    <cfRule type="containsErrors" dxfId="95" priority="257">
      <formula>ISERROR(#REF!)</formula>
    </cfRule>
  </conditionalFormatting>
  <conditionalFormatting sqref="O116:P116">
    <cfRule type="containsErrors" dxfId="94" priority="284">
      <formula>ISERROR(#REF!)</formula>
    </cfRule>
  </conditionalFormatting>
  <conditionalFormatting sqref="I36:J36 L36:M36 O36:P36 R36:S36">
    <cfRule type="containsErrors" dxfId="93" priority="356">
      <formula>ISERROR(#REF!)</formula>
    </cfRule>
  </conditionalFormatting>
  <conditionalFormatting sqref="AG226:AG230">
    <cfRule type="containsErrors" dxfId="92" priority="1">
      <formula>ISERROR(AG226)</formula>
    </cfRule>
  </conditionalFormatting>
  <dataValidations count="17">
    <dataValidation allowBlank="1" showInputMessage="1" showErrorMessage="1" sqref="C15:C18 C43:C45 C53:C55 C226:C230 C98:C100 C74:C77 C170:C172 C63:C66 C85:C88 C125:C127 C135:C138 C146:C149 C157:C160 C180:C183 C191:C194 C202:C205 C213:C216" xr:uid="{00000000-0002-0000-0B00-000000000000}"/>
    <dataValidation type="list" allowBlank="1" showInputMessage="1" showErrorMessage="1" sqref="F15:F18 F43:F45 F53:F55 F238:F239 F98:F100 F111:F112 F226:F230 F170:F172 D7 F28:F29 F34:F35 F31:F32 F63:F66 F74:F77 F85:F88 F108:F109 F114:F115 F125:F127 F135:F138 F146:F149 F157:F160 F180:F183 F191:F194 F202:F205 F213:F215" xr:uid="{00000000-0002-0000-0B00-000001000000}">
      <formula1>Liste_Immobilisations2</formula1>
    </dataValidation>
    <dataValidation type="list" allowBlank="1" showInputMessage="1" showErrorMessage="1" sqref="Z53:Z55 Z74:Z77 Z63:Z66 Z15:Z18 Z34:Z35 Z28:Z29 Z31:Z32 Z43:Z45 Z85:Z88 Z114:Z115 Z108:Z109 Z111:Z112 Z98:Z100 Z125:Z127 Z135:Z138 Z146:Z149 Z157:Z160 Z170:Z172 Z180:Z183 Z191:Z194 Z202:Z205 Z213:Z216 Z226:Z231 Z238:Z240" xr:uid="{00000000-0002-0000-0B00-000002000000}">
      <formula1>Choix_Incertitudes</formula1>
    </dataValidation>
    <dataValidation type="list" allowBlank="1" showInputMessage="1" showErrorMessage="1" sqref="B63:B66 B135:B138 B180:B183" xr:uid="{00000000-0002-0000-0B00-000003000000}">
      <formula1>FE_Intrants_Métaux</formula1>
    </dataValidation>
    <dataValidation type="list" allowBlank="1" showInputMessage="1" showErrorMessage="1" sqref="B85:B88 B157:B160 B202:B205" xr:uid="{00000000-0002-0000-0B00-000004000000}">
      <formula1>FE_Intrants_Verre</formula1>
    </dataValidation>
    <dataValidation type="list" allowBlank="1" showInputMessage="1" showErrorMessage="1" sqref="B74:B77 B146:B149 B191:B194" xr:uid="{00000000-0002-0000-0B00-000005000000}">
      <formula1>FE_Intrants_Plastique</formula1>
    </dataValidation>
    <dataValidation type="list" allowBlank="1" showInputMessage="1" showErrorMessage="1" sqref="B15:B18" xr:uid="{00000000-0002-0000-0B00-000006000000}">
      <formula1>FE_Immobilisations_Bâtiments</formula1>
    </dataValidation>
    <dataValidation type="list" allowBlank="1" showInputMessage="1" showErrorMessage="1" sqref="B34:B35 B114:B115" xr:uid="{00000000-0002-0000-0B00-000007000000}">
      <formula1>FE_Energie_Liquides</formula1>
    </dataValidation>
    <dataValidation type="list" allowBlank="1" showInputMessage="1" showErrorMessage="1" sqref="B31:B32 B111:B112" xr:uid="{00000000-0002-0000-0B00-000008000000}">
      <formula1>FE_Energie_Autres_Gaz</formula1>
    </dataValidation>
    <dataValidation type="list" allowBlank="1" showInputMessage="1" showErrorMessage="1" sqref="B36 B28:B29 B116 B108:B109" xr:uid="{00000000-0002-0000-0B00-000009000000}">
      <formula1>FE_Energie_Butane_Propane</formula1>
    </dataValidation>
    <dataValidation type="list" allowBlank="1" showInputMessage="1" showErrorMessage="1" sqref="G28:G36 G108:G116" xr:uid="{00000000-0002-0000-0B00-00000A000000}">
      <formula1>Liste_Energie</formula1>
    </dataValidation>
    <dataValidation type="list" allowBlank="1" showInputMessage="1" showErrorMessage="1" sqref="B43:B45" xr:uid="{00000000-0002-0000-0B00-00000B000000}">
      <formula1>FE_Immobilisations_Matériaux</formula1>
    </dataValidation>
    <dataValidation type="list" allowBlank="1" showInputMessage="1" showErrorMessage="1" sqref="B53:B55 B125:B127" xr:uid="{00000000-0002-0000-0B00-00000C000000}">
      <formula1>FE_Immobilisations_Enrobés</formula1>
    </dataValidation>
    <dataValidation type="list" allowBlank="1" showInputMessage="1" showErrorMessage="1" sqref="B98:B100" xr:uid="{00000000-0002-0000-0B00-00000D000000}">
      <formula1>FE_Immobilisations_Voirie</formula1>
    </dataValidation>
    <dataValidation type="list" allowBlank="1" showInputMessage="1" showErrorMessage="1" sqref="B170:B172" xr:uid="{00000000-0002-0000-0B00-00000E000000}">
      <formula1>FE_Immobilisations_VMO</formula1>
    </dataValidation>
    <dataValidation type="list" allowBlank="1" showInputMessage="1" showErrorMessage="1" sqref="B226:B230" xr:uid="{00000000-0002-0000-0B00-00000F000000}">
      <formula1>FE_Immobilisations_Informatique</formula1>
    </dataValidation>
    <dataValidation type="list" allowBlank="1" showInputMessage="1" showErrorMessage="1" sqref="B213:B215" xr:uid="{00000000-0002-0000-0B00-000010000000}">
      <formula1>FE_Immobilisations_Ratios</formula1>
    </dataValidation>
  </dataValidations>
  <hyperlinks>
    <hyperlink ref="D4" location="A3" display="bâtiments" xr:uid="{00000000-0004-0000-0B00-000000000000}"/>
    <hyperlink ref="F4" location="immos_voirie" display="Voirie" xr:uid="{00000000-0004-0000-0B00-000001000000}"/>
    <hyperlink ref="J4" location="immos_informatique" display="Informatique" xr:uid="{00000000-0004-0000-0B00-000002000000}"/>
    <hyperlink ref="H4" location="immos_machines" display="Machines et véhicules" xr:uid="{00000000-0004-0000-0B00-000003000000}"/>
    <hyperlink ref="D5" location="immos_recap" display="Total" xr:uid="{00000000-0004-0000-0B00-000004000000}"/>
    <hyperlink ref="F5" location="immos_sous_postes" display="sous-postes" xr:uid="{00000000-0004-0000-0B00-000005000000}"/>
    <hyperlink ref="H5" location="immobilisations_bilanGES" display="bilan GES" xr:uid="{00000000-0004-0000-0B00-000006000000}"/>
    <hyperlink ref="J5" location="immobilisations_GHGProtocol" display="GHG Protocol" xr:uid="{00000000-0004-0000-0B00-000007000000}"/>
    <hyperlink ref="D4:E4" location="Immobilisations!B9" display="Bâtiments" xr:uid="{00000000-0004-0000-0B00-000008000000}"/>
    <hyperlink ref="L5:M5" location="Immobilisations!B349" display="ISO 14069" xr:uid="{00000000-0004-0000-0B00-000009000000}"/>
    <hyperlink ref="N5:O5" location="'CDP 2018'!A1" display="CDP" xr:uid="{00000000-0004-0000-0B00-00000A000000}"/>
    <hyperlink ref="N4:O4" location="Descriptif!A1" display="Descriptif" xr:uid="{00000000-0004-0000-0B00-00000B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rowBreaks count="1" manualBreakCount="1">
    <brk id="219" min="1" max="5" man="1"/>
  </rowBreaks>
  <ignoredErrors>
    <ignoredError sqref="D342:D344"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68" id="{7A13271D-2EB9-4AF0-A89B-32AB8A547127}">
            <xm:f>Z15=Utilitaires!$N$572</xm:f>
            <x14:dxf>
              <fill>
                <patternFill>
                  <bgColor theme="0"/>
                </patternFill>
              </fill>
              <border>
                <left style="thin">
                  <color auto="1"/>
                </left>
                <right style="thin">
                  <color auto="1"/>
                </right>
                <top style="thin">
                  <color auto="1"/>
                </top>
                <bottom style="thin">
                  <color auto="1"/>
                </bottom>
                <vertical/>
                <horizontal/>
              </border>
            </x14:dxf>
          </x14:cfRule>
          <xm:sqref>AA15:AA18 AA226:AA230</xm:sqref>
        </x14:conditionalFormatting>
        <x14:conditionalFormatting xmlns:xm="http://schemas.microsoft.com/office/excel/2006/main">
          <x14:cfRule type="expression" priority="66"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AB126:AC127</xm:sqref>
        </x14:conditionalFormatting>
        <x14:conditionalFormatting xmlns:xm="http://schemas.microsoft.com/office/excel/2006/main">
          <x14:cfRule type="expression" priority="48" id="{F2690653-CA28-4A68-B783-97E85A773AEF}">
            <xm:f>Z28=Utilitaires!$N$572</xm:f>
            <x14:dxf>
              <fill>
                <patternFill>
                  <bgColor theme="0"/>
                </patternFill>
              </fill>
              <border>
                <left style="thin">
                  <color auto="1"/>
                </left>
                <right style="thin">
                  <color auto="1"/>
                </right>
                <top style="thin">
                  <color auto="1"/>
                </top>
                <bottom style="thin">
                  <color auto="1"/>
                </bottom>
                <vertical/>
                <horizontal/>
              </border>
            </x14:dxf>
          </x14:cfRule>
          <xm:sqref>AA28:AA29</xm:sqref>
        </x14:conditionalFormatting>
        <x14:conditionalFormatting xmlns:xm="http://schemas.microsoft.com/office/excel/2006/main">
          <x14:cfRule type="expression" priority="47" id="{2CC9432E-5D2C-44CE-890D-991693BBBE98}">
            <xm:f>Z31=Utilitaires!$N$572</xm:f>
            <x14:dxf>
              <fill>
                <patternFill>
                  <bgColor theme="0"/>
                </patternFill>
              </fill>
              <border>
                <left style="thin">
                  <color auto="1"/>
                </left>
                <right style="thin">
                  <color auto="1"/>
                </right>
                <top style="thin">
                  <color auto="1"/>
                </top>
                <bottom style="thin">
                  <color auto="1"/>
                </bottom>
                <vertical/>
                <horizontal/>
              </border>
            </x14:dxf>
          </x14:cfRule>
          <xm:sqref>AA31:AA32</xm:sqref>
        </x14:conditionalFormatting>
        <x14:conditionalFormatting xmlns:xm="http://schemas.microsoft.com/office/excel/2006/main">
          <x14:cfRule type="expression" priority="46" id="{7AD1FC14-9F15-4CEF-9689-1F1EC365C8B3}">
            <xm:f>Z34=Utilitaires!$N$572</xm:f>
            <x14:dxf>
              <fill>
                <patternFill>
                  <bgColor theme="0"/>
                </patternFill>
              </fill>
              <border>
                <left style="thin">
                  <color auto="1"/>
                </left>
                <right style="thin">
                  <color auto="1"/>
                </right>
                <top style="thin">
                  <color auto="1"/>
                </top>
                <bottom style="thin">
                  <color auto="1"/>
                </bottom>
                <vertical/>
                <horizontal/>
              </border>
            </x14:dxf>
          </x14:cfRule>
          <xm:sqref>AA34:AA35</xm:sqref>
        </x14:conditionalFormatting>
        <x14:conditionalFormatting xmlns:xm="http://schemas.microsoft.com/office/excel/2006/main">
          <x14:cfRule type="expression" priority="45" id="{C1E003D9-B395-499C-BDD8-AD0FA0E25863}">
            <xm:f>Z43=Utilitaires!$N$572</xm:f>
            <x14:dxf>
              <fill>
                <patternFill>
                  <bgColor theme="0"/>
                </patternFill>
              </fill>
              <border>
                <left style="thin">
                  <color auto="1"/>
                </left>
                <right style="thin">
                  <color auto="1"/>
                </right>
                <top style="thin">
                  <color auto="1"/>
                </top>
                <bottom style="thin">
                  <color auto="1"/>
                </bottom>
                <vertical/>
                <horizontal/>
              </border>
            </x14:dxf>
          </x14:cfRule>
          <xm:sqref>AA43:AA45</xm:sqref>
        </x14:conditionalFormatting>
        <x14:conditionalFormatting xmlns:xm="http://schemas.microsoft.com/office/excel/2006/main">
          <x14:cfRule type="expression" priority="43" id="{A0FE7AC6-163D-4491-B283-969630D1ACDC}">
            <xm:f>Z53=Utilitaires!$N$572</xm:f>
            <x14:dxf>
              <fill>
                <patternFill>
                  <bgColor theme="0"/>
                </patternFill>
              </fill>
              <border>
                <left style="thin">
                  <color auto="1"/>
                </left>
                <right style="thin">
                  <color auto="1"/>
                </right>
                <top style="thin">
                  <color auto="1"/>
                </top>
                <bottom style="thin">
                  <color auto="1"/>
                </bottom>
                <vertical/>
                <horizontal/>
              </border>
            </x14:dxf>
          </x14:cfRule>
          <xm:sqref>AA53:AA55</xm:sqref>
        </x14:conditionalFormatting>
        <x14:conditionalFormatting xmlns:xm="http://schemas.microsoft.com/office/excel/2006/main">
          <x14:cfRule type="expression" priority="40" id="{CCB35228-4B1F-4196-830B-E86D889C0438}">
            <xm:f>Z63=Utilitaires!$N$572</xm:f>
            <x14:dxf>
              <fill>
                <patternFill>
                  <bgColor theme="0"/>
                </patternFill>
              </fill>
              <border>
                <left style="thin">
                  <color auto="1"/>
                </left>
                <right style="thin">
                  <color auto="1"/>
                </right>
                <top style="thin">
                  <color auto="1"/>
                </top>
                <bottom style="thin">
                  <color auto="1"/>
                </bottom>
                <vertical/>
                <horizontal/>
              </border>
            </x14:dxf>
          </x14:cfRule>
          <xm:sqref>AA63:AA66</xm:sqref>
        </x14:conditionalFormatting>
        <x14:conditionalFormatting xmlns:xm="http://schemas.microsoft.com/office/excel/2006/main">
          <x14:cfRule type="expression" priority="39" id="{48448BC2-153B-418F-867D-08716E4D36A0}">
            <xm:f>Z74=Utilitaires!$N$572</xm:f>
            <x14:dxf>
              <fill>
                <patternFill>
                  <bgColor theme="0"/>
                </patternFill>
              </fill>
              <border>
                <left style="thin">
                  <color auto="1"/>
                </left>
                <right style="thin">
                  <color auto="1"/>
                </right>
                <top style="thin">
                  <color auto="1"/>
                </top>
                <bottom style="thin">
                  <color auto="1"/>
                </bottom>
                <vertical/>
                <horizontal/>
              </border>
            </x14:dxf>
          </x14:cfRule>
          <xm:sqref>AA74:AA77</xm:sqref>
        </x14:conditionalFormatting>
        <x14:conditionalFormatting xmlns:xm="http://schemas.microsoft.com/office/excel/2006/main">
          <x14:cfRule type="expression" priority="37" id="{B5951D16-C8AB-4D5E-9E64-1145B5542DFD}">
            <xm:f>Z85=Utilitaires!$N$572</xm:f>
            <x14:dxf>
              <fill>
                <patternFill>
                  <bgColor theme="0"/>
                </patternFill>
              </fill>
              <border>
                <left style="thin">
                  <color auto="1"/>
                </left>
                <right style="thin">
                  <color auto="1"/>
                </right>
                <top style="thin">
                  <color auto="1"/>
                </top>
                <bottom style="thin">
                  <color auto="1"/>
                </bottom>
                <vertical/>
                <horizontal/>
              </border>
            </x14:dxf>
          </x14:cfRule>
          <xm:sqref>AA85:AA88</xm:sqref>
        </x14:conditionalFormatting>
        <x14:conditionalFormatting xmlns:xm="http://schemas.microsoft.com/office/excel/2006/main">
          <x14:cfRule type="expression" priority="31" id="{F70FDFF1-7A4D-4A13-A750-9048CBB40DBB}">
            <xm:f>Z108=Utilitaires!$N$572</xm:f>
            <x14:dxf>
              <fill>
                <patternFill>
                  <bgColor theme="0"/>
                </patternFill>
              </fill>
              <border>
                <left style="thin">
                  <color auto="1"/>
                </left>
                <right style="thin">
                  <color auto="1"/>
                </right>
                <top style="thin">
                  <color auto="1"/>
                </top>
                <bottom style="thin">
                  <color auto="1"/>
                </bottom>
                <vertical/>
                <horizontal/>
              </border>
            </x14:dxf>
          </x14:cfRule>
          <xm:sqref>AA108:AA109</xm:sqref>
        </x14:conditionalFormatting>
        <x14:conditionalFormatting xmlns:xm="http://schemas.microsoft.com/office/excel/2006/main">
          <x14:cfRule type="expression" priority="30" id="{9184B39C-A5C5-484B-B01F-72B329EE3AB1}">
            <xm:f>Z111=Utilitaires!$N$572</xm:f>
            <x14:dxf>
              <fill>
                <patternFill>
                  <bgColor theme="0"/>
                </patternFill>
              </fill>
              <border>
                <left style="thin">
                  <color auto="1"/>
                </left>
                <right style="thin">
                  <color auto="1"/>
                </right>
                <top style="thin">
                  <color auto="1"/>
                </top>
                <bottom style="thin">
                  <color auto="1"/>
                </bottom>
                <vertical/>
                <horizontal/>
              </border>
            </x14:dxf>
          </x14:cfRule>
          <xm:sqref>AA111:AA112</xm:sqref>
        </x14:conditionalFormatting>
        <x14:conditionalFormatting xmlns:xm="http://schemas.microsoft.com/office/excel/2006/main">
          <x14:cfRule type="expression" priority="29" id="{B18198E1-6412-463E-905E-93876BF8CBE4}">
            <xm:f>Z114=Utilitaires!$N$572</xm:f>
            <x14:dxf>
              <fill>
                <patternFill>
                  <bgColor theme="0"/>
                </patternFill>
              </fill>
              <border>
                <left style="thin">
                  <color auto="1"/>
                </left>
                <right style="thin">
                  <color auto="1"/>
                </right>
                <top style="thin">
                  <color auto="1"/>
                </top>
                <bottom style="thin">
                  <color auto="1"/>
                </bottom>
                <vertical/>
                <horizontal/>
              </border>
            </x14:dxf>
          </x14:cfRule>
          <xm:sqref>AA114:AA115</xm:sqref>
        </x14:conditionalFormatting>
        <x14:conditionalFormatting xmlns:xm="http://schemas.microsoft.com/office/excel/2006/main">
          <x14:cfRule type="expression" priority="28" id="{E6C62B0B-7853-48C5-A1E6-E57332CA5122}">
            <xm:f>Z98=Utilitaires!$N$572</xm:f>
            <x14:dxf>
              <fill>
                <patternFill>
                  <bgColor theme="0"/>
                </patternFill>
              </fill>
              <border>
                <left style="thin">
                  <color auto="1"/>
                </left>
                <right style="thin">
                  <color auto="1"/>
                </right>
                <top style="thin">
                  <color auto="1"/>
                </top>
                <bottom style="thin">
                  <color auto="1"/>
                </bottom>
                <vertical/>
                <horizontal/>
              </border>
            </x14:dxf>
          </x14:cfRule>
          <xm:sqref>AA98:AA100</xm:sqref>
        </x14:conditionalFormatting>
        <x14:conditionalFormatting xmlns:xm="http://schemas.microsoft.com/office/excel/2006/main">
          <x14:cfRule type="expression" priority="26" id="{EB460E31-28CF-403F-866D-06E147198183}">
            <xm:f>Z125=Utilitaires!$N$572</xm:f>
            <x14:dxf>
              <fill>
                <patternFill>
                  <bgColor theme="0"/>
                </patternFill>
              </fill>
              <border>
                <left style="thin">
                  <color auto="1"/>
                </left>
                <right style="thin">
                  <color auto="1"/>
                </right>
                <top style="thin">
                  <color auto="1"/>
                </top>
                <bottom style="thin">
                  <color auto="1"/>
                </bottom>
                <vertical/>
                <horizontal/>
              </border>
            </x14:dxf>
          </x14:cfRule>
          <xm:sqref>AA125:AA127</xm:sqref>
        </x14:conditionalFormatting>
        <x14:conditionalFormatting xmlns:xm="http://schemas.microsoft.com/office/excel/2006/main">
          <x14:cfRule type="expression" priority="24" id="{C5D3FD7F-A5BE-45A8-85B4-3B03AA025C45}">
            <xm:f>Z135=Utilitaires!$N$572</xm:f>
            <x14:dxf>
              <fill>
                <patternFill>
                  <bgColor theme="0"/>
                </patternFill>
              </fill>
              <border>
                <left style="thin">
                  <color auto="1"/>
                </left>
                <right style="thin">
                  <color auto="1"/>
                </right>
                <top style="thin">
                  <color auto="1"/>
                </top>
                <bottom style="thin">
                  <color auto="1"/>
                </bottom>
                <vertical/>
                <horizontal/>
              </border>
            </x14:dxf>
          </x14:cfRule>
          <xm:sqref>AA135:AA138</xm:sqref>
        </x14:conditionalFormatting>
        <x14:conditionalFormatting xmlns:xm="http://schemas.microsoft.com/office/excel/2006/main">
          <x14:cfRule type="expression" priority="22" id="{62379FB6-BC7B-49CB-A29B-4EB7C85530D9}">
            <xm:f>Z146=Utilitaires!$N$572</xm:f>
            <x14:dxf>
              <fill>
                <patternFill>
                  <bgColor theme="0"/>
                </patternFill>
              </fill>
              <border>
                <left style="thin">
                  <color auto="1"/>
                </left>
                <right style="thin">
                  <color auto="1"/>
                </right>
                <top style="thin">
                  <color auto="1"/>
                </top>
                <bottom style="thin">
                  <color auto="1"/>
                </bottom>
                <vertical/>
                <horizontal/>
              </border>
            </x14:dxf>
          </x14:cfRule>
          <xm:sqref>AA146:AA149</xm:sqref>
        </x14:conditionalFormatting>
        <x14:conditionalFormatting xmlns:xm="http://schemas.microsoft.com/office/excel/2006/main">
          <x14:cfRule type="expression" priority="20" id="{7FE91490-BFE0-412B-9EE0-A651493BF226}">
            <xm:f>Z157=Utilitaires!$N$572</xm:f>
            <x14:dxf>
              <fill>
                <patternFill>
                  <bgColor theme="0"/>
                </patternFill>
              </fill>
              <border>
                <left style="thin">
                  <color auto="1"/>
                </left>
                <right style="thin">
                  <color auto="1"/>
                </right>
                <top style="thin">
                  <color auto="1"/>
                </top>
                <bottom style="thin">
                  <color auto="1"/>
                </bottom>
                <vertical/>
                <horizontal/>
              </border>
            </x14:dxf>
          </x14:cfRule>
          <xm:sqref>AA157:AA160</xm:sqref>
        </x14:conditionalFormatting>
        <x14:conditionalFormatting xmlns:xm="http://schemas.microsoft.com/office/excel/2006/main">
          <x14:cfRule type="expression" priority="19" id="{C281CE58-B941-453B-87FB-DACCBF93DC49}">
            <xm:f>#REF!=Utilitaires!$N$572</xm:f>
            <x14:dxf>
              <fill>
                <patternFill>
                  <bgColor theme="0"/>
                </patternFill>
              </fill>
              <border>
                <left style="thin">
                  <color auto="1"/>
                </left>
                <right style="thin">
                  <color auto="1"/>
                </right>
                <top style="thin">
                  <color auto="1"/>
                </top>
                <bottom style="thin">
                  <color auto="1"/>
                </bottom>
                <vertical/>
                <horizontal/>
              </border>
            </x14:dxf>
          </x14:cfRule>
          <xm:sqref>AB172:AC172</xm:sqref>
        </x14:conditionalFormatting>
        <x14:conditionalFormatting xmlns:xm="http://schemas.microsoft.com/office/excel/2006/main">
          <x14:cfRule type="expression" priority="18" id="{D0DE9DED-1A6C-4929-BB5B-70586CA3B122}">
            <xm:f>Z170=Utilitaires!$N$572</xm:f>
            <x14:dxf>
              <fill>
                <patternFill>
                  <bgColor theme="0"/>
                </patternFill>
              </fill>
              <border>
                <left style="thin">
                  <color auto="1"/>
                </left>
                <right style="thin">
                  <color auto="1"/>
                </right>
                <top style="thin">
                  <color auto="1"/>
                </top>
                <bottom style="thin">
                  <color auto="1"/>
                </bottom>
                <vertical/>
                <horizontal/>
              </border>
            </x14:dxf>
          </x14:cfRule>
          <xm:sqref>AA170:AA172</xm:sqref>
        </x14:conditionalFormatting>
        <x14:conditionalFormatting xmlns:xm="http://schemas.microsoft.com/office/excel/2006/main">
          <x14:cfRule type="expression" priority="16" id="{4961F25D-6D95-4FA6-B5F4-7AF6C968CC44}">
            <xm:f>Z180=Utilitaires!$N$572</xm:f>
            <x14:dxf>
              <fill>
                <patternFill>
                  <bgColor theme="0"/>
                </patternFill>
              </fill>
              <border>
                <left style="thin">
                  <color auto="1"/>
                </left>
                <right style="thin">
                  <color auto="1"/>
                </right>
                <top style="thin">
                  <color auto="1"/>
                </top>
                <bottom style="thin">
                  <color auto="1"/>
                </bottom>
                <vertical/>
                <horizontal/>
              </border>
            </x14:dxf>
          </x14:cfRule>
          <xm:sqref>AA180:AA183</xm:sqref>
        </x14:conditionalFormatting>
        <x14:conditionalFormatting xmlns:xm="http://schemas.microsoft.com/office/excel/2006/main">
          <x14:cfRule type="expression" priority="14" id="{2278A141-3172-46A7-9994-028B35C9D280}">
            <xm:f>Z191=Utilitaires!$N$572</xm:f>
            <x14:dxf>
              <fill>
                <patternFill>
                  <bgColor theme="0"/>
                </patternFill>
              </fill>
              <border>
                <left style="thin">
                  <color auto="1"/>
                </left>
                <right style="thin">
                  <color auto="1"/>
                </right>
                <top style="thin">
                  <color auto="1"/>
                </top>
                <bottom style="thin">
                  <color auto="1"/>
                </bottom>
                <vertical/>
                <horizontal/>
              </border>
            </x14:dxf>
          </x14:cfRule>
          <xm:sqref>AA191:AA194</xm:sqref>
        </x14:conditionalFormatting>
        <x14:conditionalFormatting xmlns:xm="http://schemas.microsoft.com/office/excel/2006/main">
          <x14:cfRule type="expression" priority="12" id="{6D8F5074-0796-4649-9A81-C0B3EEFAF366}">
            <xm:f>Z202=Utilitaires!$N$572</xm:f>
            <x14:dxf>
              <fill>
                <patternFill>
                  <bgColor theme="0"/>
                </patternFill>
              </fill>
              <border>
                <left style="thin">
                  <color auto="1"/>
                </left>
                <right style="thin">
                  <color auto="1"/>
                </right>
                <top style="thin">
                  <color auto="1"/>
                </top>
                <bottom style="thin">
                  <color auto="1"/>
                </bottom>
                <vertical/>
                <horizontal/>
              </border>
            </x14:dxf>
          </x14:cfRule>
          <xm:sqref>AA202:AA205</xm:sqref>
        </x14:conditionalFormatting>
        <x14:conditionalFormatting xmlns:xm="http://schemas.microsoft.com/office/excel/2006/main">
          <x14:cfRule type="expression" priority="10" id="{2A04E44F-07E3-483B-839E-FC1BFAD99956}">
            <xm:f>'Intrants 1'!$M424=Utilitaires!$N$572</xm:f>
            <x14:dxf>
              <fill>
                <patternFill>
                  <bgColor theme="0"/>
                </patternFill>
              </fill>
              <border>
                <left style="thin">
                  <color auto="1"/>
                </left>
                <right style="thin">
                  <color auto="1"/>
                </right>
                <top style="thin">
                  <color auto="1"/>
                </top>
                <bottom style="thin">
                  <color auto="1"/>
                </bottom>
                <vertical/>
                <horizontal/>
              </border>
            </x14:dxf>
          </x14:cfRule>
          <xm:sqref>AA216</xm:sqref>
        </x14:conditionalFormatting>
        <x14:conditionalFormatting xmlns:xm="http://schemas.microsoft.com/office/excel/2006/main">
          <x14:cfRule type="expression" priority="8" id="{7EBD1590-D505-4876-AD7C-FAF48AF44A56}">
            <xm:f>Z213=Utilitaires!$N$572</xm:f>
            <x14:dxf>
              <fill>
                <patternFill>
                  <bgColor theme="0"/>
                </patternFill>
              </fill>
              <border>
                <left style="thin">
                  <color auto="1"/>
                </left>
                <right style="thin">
                  <color auto="1"/>
                </right>
                <top style="thin">
                  <color auto="1"/>
                </top>
                <bottom style="thin">
                  <color auto="1"/>
                </bottom>
                <vertical/>
                <horizontal/>
              </border>
            </x14:dxf>
          </x14:cfRule>
          <xm:sqref>AA213:AA215</xm:sqref>
        </x14:conditionalFormatting>
        <x14:conditionalFormatting xmlns:xm="http://schemas.microsoft.com/office/excel/2006/main">
          <x14:cfRule type="expression" priority="6" id="{7A0E2101-01BE-4D31-8AEB-C0D15E8F549C}">
            <xm:f>'Intrants 1'!$M460=Utilitaires!$N$572</xm:f>
            <x14:dxf>
              <fill>
                <patternFill>
                  <bgColor theme="0"/>
                </patternFill>
              </fill>
              <border>
                <left style="thin">
                  <color auto="1"/>
                </left>
                <right style="thin">
                  <color auto="1"/>
                </right>
                <top style="thin">
                  <color auto="1"/>
                </top>
                <bottom style="thin">
                  <color auto="1"/>
                </bottom>
                <vertical/>
                <horizontal/>
              </border>
            </x14:dxf>
          </x14:cfRule>
          <xm:sqref>AA240</xm:sqref>
        </x14:conditionalFormatting>
        <x14:conditionalFormatting xmlns:xm="http://schemas.microsoft.com/office/excel/2006/main">
          <x14:cfRule type="expression" priority="4" id="{A0B6845F-64B9-4098-89D1-2F8D0A67F267}">
            <xm:f>Z238=Utilitaires!$N$572</xm:f>
            <x14:dxf>
              <fill>
                <patternFill>
                  <bgColor theme="0"/>
                </patternFill>
              </fill>
              <border>
                <left style="thin">
                  <color auto="1"/>
                </left>
                <right style="thin">
                  <color auto="1"/>
                </right>
                <top style="thin">
                  <color auto="1"/>
                </top>
                <bottom style="thin">
                  <color auto="1"/>
                </bottom>
                <vertical/>
                <horizontal/>
              </border>
            </x14:dxf>
          </x14:cfRule>
          <xm:sqref>AA238:AA239</xm:sqref>
        </x14:conditionalFormatting>
        <x14:conditionalFormatting xmlns:xm="http://schemas.microsoft.com/office/excel/2006/main">
          <x14:cfRule type="expression" priority="242"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AB137:AC138</xm:sqref>
        </x14:conditionalFormatting>
        <x14:conditionalFormatting xmlns:xm="http://schemas.microsoft.com/office/excel/2006/main">
          <x14:cfRule type="expression" priority="304"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AB148:AC149</xm:sqref>
        </x14:conditionalFormatting>
        <x14:conditionalFormatting xmlns:xm="http://schemas.microsoft.com/office/excel/2006/main">
          <x14:cfRule type="expression" priority="32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AB215:AC215</xm:sqref>
        </x14:conditionalFormatting>
        <x14:conditionalFormatting xmlns:xm="http://schemas.microsoft.com/office/excel/2006/main">
          <x14:cfRule type="expression" priority="348"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AB159:AC160</xm:sqref>
        </x14:conditionalFormatting>
        <x14:conditionalFormatting xmlns:xm="http://schemas.microsoft.com/office/excel/2006/main">
          <x14:cfRule type="expression" priority="34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AB17:AC18 AB12:AC12</xm:sqref>
        </x14:conditionalFormatting>
        <x14:conditionalFormatting xmlns:xm="http://schemas.microsoft.com/office/excel/2006/main">
          <x14:cfRule type="expression" priority="35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AB44:AC45 AB65:AC66 AB54:AC55</xm:sqref>
        </x14:conditionalFormatting>
        <x14:conditionalFormatting xmlns:xm="http://schemas.microsoft.com/office/excel/2006/main">
          <x14:cfRule type="expression" priority="35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AB76:AC77</xm:sqref>
        </x14:conditionalFormatting>
        <x14:conditionalFormatting xmlns:xm="http://schemas.microsoft.com/office/excel/2006/main">
          <x14:cfRule type="expression" priority="360"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AB87:AC88</xm:sqref>
        </x14:conditionalFormatting>
        <x14:conditionalFormatting xmlns:xm="http://schemas.microsoft.com/office/excel/2006/main">
          <x14:cfRule type="expression" priority="36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AB182:AC183</xm:sqref>
        </x14:conditionalFormatting>
        <x14:conditionalFormatting xmlns:xm="http://schemas.microsoft.com/office/excel/2006/main">
          <x14:cfRule type="expression" priority="378"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AB193:AC194</xm:sqref>
        </x14:conditionalFormatting>
        <x14:conditionalFormatting xmlns:xm="http://schemas.microsoft.com/office/excel/2006/main">
          <x14:cfRule type="expression" priority="38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AB204:AC205</xm:sqref>
        </x14:conditionalFormatting>
        <x14:conditionalFormatting xmlns:xm="http://schemas.microsoft.com/office/excel/2006/main">
          <x14:cfRule type="expression" priority="394" id="{7A0E2101-01BE-4D31-8AEB-C0D15E8F549C}">
            <xm:f>'Intrants 1'!#REF!=Utilitaires!$N$572</xm:f>
            <x14:dxf>
              <fill>
                <patternFill>
                  <bgColor theme="0"/>
                </patternFill>
              </fill>
              <border>
                <left style="thin">
                  <color auto="1"/>
                </left>
                <right style="thin">
                  <color auto="1"/>
                </right>
                <top style="thin">
                  <color auto="1"/>
                </top>
                <bottom style="thin">
                  <color auto="1"/>
                </bottom>
                <vertical/>
                <horizontal/>
              </border>
            </x14:dxf>
          </x14:cfRule>
          <xm:sqref>AA231</xm:sqref>
        </x14:conditionalFormatting>
        <x14:conditionalFormatting xmlns:xm="http://schemas.microsoft.com/office/excel/2006/main">
          <x14:cfRule type="expression" priority="400" id="{CEB3FA7D-19E2-4B0B-AD0D-7A6D18BA7F24}">
            <xm:f>#REF!=Utilitaires!$N$572</xm:f>
            <x14:dxf>
              <fill>
                <patternFill>
                  <bgColor theme="0"/>
                </patternFill>
              </fill>
              <border>
                <left style="thin">
                  <color auto="1"/>
                </left>
                <right style="thin">
                  <color auto="1"/>
                </right>
                <top style="thin">
                  <color auto="1"/>
                </top>
                <bottom style="thin">
                  <color auto="1"/>
                </bottom>
                <vertical/>
                <horizontal/>
              </border>
            </x14:dxf>
          </x14:cfRule>
          <xm:sqref>AB230:AC230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11000000}">
          <x14:formula1>
            <xm:f>Utilitaires!$N$567:$N$571</xm:f>
          </x14:formula1>
          <xm:sqref>Z36:AA36 Z33 Z30 Z46:AA46 Z56:AA56 Z116:AA116 Z113 Z110 Z128:AA128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theme="5"/>
    <outlinePr summaryBelow="0" summaryRight="0"/>
  </sheetPr>
  <dimension ref="A1:BM262"/>
  <sheetViews>
    <sheetView showGridLines="0" zoomScale="85" zoomScaleNormal="85" workbookViewId="0">
      <pane xSplit="3" ySplit="6" topLeftCell="D7" activePane="bottomRight" state="frozenSplit"/>
      <selection activeCell="E9" sqref="E9"/>
      <selection pane="topRight" activeCell="E9" sqref="E9"/>
      <selection pane="bottomLeft" activeCell="E9" sqref="E9"/>
      <selection pane="bottomRight" activeCell="F72" sqref="F72"/>
    </sheetView>
  </sheetViews>
  <sheetFormatPr baseColWidth="10" defaultColWidth="0" defaultRowHeight="11.4" outlineLevelRow="1" outlineLevelCol="1"/>
  <cols>
    <col min="1" max="1" width="2.75" style="113" customWidth="1"/>
    <col min="2" max="2" width="52.75" style="113" customWidth="1"/>
    <col min="3" max="3" width="2.375" style="113" customWidth="1"/>
    <col min="4" max="4" width="14.875" style="113" bestFit="1" customWidth="1"/>
    <col min="5" max="5" width="12.25" style="113" customWidth="1"/>
    <col min="6" max="6" width="15.75" style="113" customWidth="1"/>
    <col min="7" max="7" width="12.25" style="113" customWidth="1"/>
    <col min="8" max="8" width="13.375" style="113" bestFit="1" customWidth="1"/>
    <col min="9" max="23" width="12.25" style="113" customWidth="1"/>
    <col min="24" max="24" width="12.25" style="113" customWidth="1" collapsed="1"/>
    <col min="25" max="26" width="12.25" style="113" hidden="1" customWidth="1" outlineLevel="1"/>
    <col min="27" max="29" width="12.25" style="113" customWidth="1"/>
    <col min="30" max="30" width="12.25" style="576" customWidth="1"/>
    <col min="31" max="41" width="12.25" style="576" customWidth="1" outlineLevel="1"/>
    <col min="42" max="42" width="12.25" style="113" customWidth="1" outlineLevel="1"/>
    <col min="43" max="43" width="12.25" style="113" customWidth="1" collapsed="1"/>
    <col min="44" max="47" width="12.25" style="113" hidden="1" customWidth="1" outlineLevel="1"/>
    <col min="48" max="55" width="11.375" style="113" hidden="1" customWidth="1" outlineLevel="1"/>
    <col min="56" max="56" width="4.375" style="113" customWidth="1"/>
    <col min="57" max="65" width="0" style="113" hidden="1" customWidth="1"/>
    <col min="66" max="16384" width="10.875" style="113" hidden="1"/>
  </cols>
  <sheetData>
    <row r="1" spans="1:55" ht="22.8">
      <c r="X1" s="1646" t="s">
        <v>2442</v>
      </c>
      <c r="AD1" s="1645" t="s">
        <v>2441</v>
      </c>
      <c r="AQ1" s="1644" t="s">
        <v>2440</v>
      </c>
    </row>
    <row r="2" spans="1:55" ht="30" customHeight="1">
      <c r="B2" s="2602" t="str">
        <f>Descriptif!C34</f>
        <v>Utilisation</v>
      </c>
      <c r="C2" s="2603"/>
      <c r="D2" s="2603"/>
      <c r="E2" s="2603"/>
      <c r="F2" s="2603"/>
      <c r="G2" s="2603"/>
      <c r="H2" s="2603"/>
      <c r="I2" s="2603"/>
      <c r="J2" s="2603"/>
      <c r="K2" s="2603"/>
      <c r="L2" s="2603"/>
      <c r="M2" s="2603"/>
      <c r="N2" s="2603"/>
      <c r="O2" s="2604"/>
    </row>
    <row r="3" spans="1:55" s="114" customFormat="1" ht="13.2">
      <c r="AD3" s="441"/>
      <c r="AE3" s="441"/>
      <c r="AF3" s="441"/>
      <c r="AG3" s="441"/>
      <c r="AH3" s="441"/>
      <c r="AI3" s="441"/>
      <c r="AJ3" s="441"/>
      <c r="AK3" s="441"/>
      <c r="AL3" s="441"/>
      <c r="AM3" s="441"/>
      <c r="AN3" s="441"/>
      <c r="AO3" s="441"/>
    </row>
    <row r="4" spans="1:55" s="114" customFormat="1" ht="13.8">
      <c r="B4" s="1001" t="s">
        <v>536</v>
      </c>
      <c r="C4" s="210"/>
      <c r="D4" s="2760" t="s">
        <v>226</v>
      </c>
      <c r="E4" s="2760"/>
      <c r="F4" s="2760" t="s">
        <v>18</v>
      </c>
      <c r="G4" s="2760"/>
      <c r="H4" s="2760" t="s">
        <v>333</v>
      </c>
      <c r="I4" s="2760"/>
      <c r="J4" s="2760" t="s">
        <v>559</v>
      </c>
      <c r="K4" s="2760"/>
      <c r="L4" s="193"/>
      <c r="M4" s="193"/>
      <c r="N4" s="2761" t="s">
        <v>893</v>
      </c>
      <c r="O4" s="2762"/>
      <c r="AD4" s="441"/>
      <c r="AE4" s="441"/>
      <c r="AF4" s="441"/>
      <c r="AG4" s="441"/>
      <c r="AH4" s="441"/>
      <c r="AI4" s="441"/>
      <c r="AJ4" s="441"/>
      <c r="AK4" s="441"/>
      <c r="AL4" s="441"/>
      <c r="AM4" s="441"/>
      <c r="AN4" s="441"/>
      <c r="AO4" s="441"/>
    </row>
    <row r="5" spans="1:55" s="114" customFormat="1" ht="13.8">
      <c r="B5" s="194" t="s">
        <v>521</v>
      </c>
      <c r="C5" s="195"/>
      <c r="D5" s="2745" t="s">
        <v>212</v>
      </c>
      <c r="E5" s="2745"/>
      <c r="F5" s="2745" t="s">
        <v>428</v>
      </c>
      <c r="G5" s="2745"/>
      <c r="H5" s="2745" t="s">
        <v>484</v>
      </c>
      <c r="I5" s="2745"/>
      <c r="J5" s="2745" t="s">
        <v>758</v>
      </c>
      <c r="K5" s="2745"/>
      <c r="L5" s="2745" t="s">
        <v>818</v>
      </c>
      <c r="M5" s="2745"/>
      <c r="N5" s="2745" t="s">
        <v>2444</v>
      </c>
      <c r="O5" s="2775"/>
      <c r="AD5" s="441"/>
      <c r="AE5" s="441"/>
      <c r="AF5" s="441"/>
      <c r="AG5" s="441"/>
      <c r="AH5" s="441"/>
      <c r="AI5" s="441"/>
      <c r="AJ5" s="441"/>
      <c r="AK5" s="441"/>
      <c r="AL5" s="441"/>
      <c r="AM5" s="441"/>
      <c r="AN5" s="441"/>
      <c r="AO5" s="441"/>
    </row>
    <row r="6" spans="1:55" s="114" customFormat="1" ht="13.8">
      <c r="B6" s="115"/>
      <c r="C6" s="115"/>
      <c r="D6" s="115"/>
      <c r="E6" s="115"/>
      <c r="F6" s="115"/>
      <c r="G6" s="115"/>
      <c r="H6" s="109"/>
      <c r="I6" s="109"/>
      <c r="J6" s="109"/>
      <c r="AD6" s="441"/>
      <c r="AE6" s="441"/>
      <c r="AF6" s="441"/>
      <c r="AG6" s="441"/>
      <c r="AH6" s="441"/>
      <c r="AI6" s="441"/>
      <c r="AJ6" s="441"/>
      <c r="AK6" s="441"/>
      <c r="AL6" s="441"/>
      <c r="AM6" s="441"/>
      <c r="AN6" s="441"/>
      <c r="AO6" s="441"/>
    </row>
    <row r="7" spans="1:55" s="114" customFormat="1" ht="15.6" collapsed="1">
      <c r="B7" s="2652" t="s">
        <v>268</v>
      </c>
      <c r="C7" s="2653"/>
      <c r="D7" s="2653"/>
      <c r="E7" s="2653"/>
      <c r="F7" s="2653"/>
      <c r="G7" s="2653"/>
      <c r="H7" s="2653"/>
      <c r="I7" s="2653"/>
      <c r="J7" s="2653"/>
      <c r="K7" s="2653"/>
      <c r="L7" s="2653"/>
      <c r="M7" s="2653"/>
      <c r="N7" s="2653"/>
      <c r="O7" s="2654"/>
      <c r="AD7" s="441"/>
      <c r="AE7" s="441"/>
      <c r="AF7" s="441"/>
      <c r="AG7" s="441"/>
      <c r="AH7" s="441"/>
      <c r="AI7" s="441"/>
      <c r="AJ7" s="441"/>
      <c r="AK7" s="441"/>
      <c r="AL7" s="441"/>
      <c r="AM7" s="441"/>
      <c r="AN7" s="441"/>
      <c r="AO7" s="441"/>
    </row>
    <row r="8" spans="1:55" s="114" customFormat="1" ht="13.2" hidden="1" outlineLevel="1">
      <c r="AD8" s="441"/>
      <c r="AE8" s="441"/>
      <c r="AF8" s="441"/>
      <c r="AG8" s="441"/>
      <c r="AH8" s="441"/>
      <c r="AI8" s="441"/>
      <c r="AJ8" s="441"/>
      <c r="AK8" s="441"/>
      <c r="AL8" s="441"/>
      <c r="AM8" s="441"/>
      <c r="AN8" s="441"/>
      <c r="AO8" s="441"/>
    </row>
    <row r="9" spans="1:55" s="116" customFormat="1" ht="12.75" hidden="1" customHeight="1" outlineLevel="1">
      <c r="B9" s="139" t="s">
        <v>349</v>
      </c>
      <c r="C9" s="140"/>
      <c r="D9" s="141"/>
      <c r="E9" s="141"/>
      <c r="F9" s="1471"/>
      <c r="G9" s="141"/>
      <c r="H9" s="141"/>
      <c r="I9" s="141"/>
      <c r="J9" s="141"/>
      <c r="K9" s="141"/>
      <c r="L9" s="141"/>
      <c r="M9" s="141"/>
      <c r="N9" s="141"/>
      <c r="O9" s="141"/>
      <c r="P9" s="141"/>
      <c r="Q9" s="141"/>
      <c r="R9" s="141"/>
      <c r="S9" s="141"/>
      <c r="T9" s="142"/>
      <c r="U9" s="114"/>
      <c r="V9" s="2636" t="s">
        <v>366</v>
      </c>
      <c r="W9" s="2637"/>
      <c r="X9" s="2637"/>
      <c r="Y9" s="2637"/>
      <c r="Z9" s="2637"/>
      <c r="AA9" s="2638"/>
      <c r="AB9" s="1761"/>
      <c r="AC9" s="1773"/>
      <c r="AD9" s="1790"/>
      <c r="AE9" s="2639" t="s">
        <v>441</v>
      </c>
      <c r="AF9" s="2640"/>
      <c r="AG9" s="2640"/>
      <c r="AH9" s="2640"/>
      <c r="AI9" s="2640"/>
      <c r="AJ9" s="2640"/>
      <c r="AK9" s="2640"/>
      <c r="AL9" s="2640"/>
      <c r="AM9" s="2640"/>
      <c r="AN9" s="2640"/>
      <c r="AO9" s="2640"/>
      <c r="AP9" s="2641"/>
    </row>
    <row r="10" spans="1:55" s="116" customFormat="1" ht="12.75" hidden="1" customHeight="1" outlineLevel="1">
      <c r="A10" s="114"/>
      <c r="B10" s="143"/>
      <c r="C10" s="144"/>
      <c r="D10" s="1474" t="s">
        <v>308</v>
      </c>
      <c r="E10" s="1663"/>
      <c r="F10" s="1464"/>
      <c r="G10" s="144"/>
      <c r="H10" s="144"/>
      <c r="I10" s="144"/>
      <c r="J10" s="144"/>
      <c r="K10" s="144"/>
      <c r="L10" s="144"/>
      <c r="M10" s="144"/>
      <c r="N10" s="144"/>
      <c r="O10" s="144"/>
      <c r="P10" s="144"/>
      <c r="Q10" s="144"/>
      <c r="R10" s="144"/>
      <c r="S10" s="144"/>
      <c r="T10" s="145"/>
      <c r="U10" s="114"/>
      <c r="V10" s="159"/>
      <c r="W10" s="1478"/>
      <c r="X10" s="1478"/>
      <c r="Y10" s="2651"/>
      <c r="Z10" s="2651"/>
      <c r="AA10" s="2851"/>
      <c r="AB10" s="1761"/>
      <c r="AC10" s="1787"/>
      <c r="AD10" s="1790"/>
      <c r="AE10" s="2642" t="s">
        <v>444</v>
      </c>
      <c r="AF10" s="2643"/>
      <c r="AG10" s="2643"/>
      <c r="AH10" s="2643"/>
      <c r="AI10" s="2643"/>
      <c r="AJ10" s="2643"/>
      <c r="AK10" s="2643"/>
      <c r="AL10" s="2643"/>
      <c r="AM10" s="2643" t="s">
        <v>444</v>
      </c>
      <c r="AN10" s="2644"/>
      <c r="AO10" s="1081"/>
      <c r="AP10" s="578"/>
      <c r="AQ10" s="114"/>
      <c r="AR10" s="2616" t="s">
        <v>1648</v>
      </c>
      <c r="AS10" s="2617"/>
      <c r="AT10" s="2617"/>
      <c r="AU10" s="2617"/>
      <c r="AV10" s="2617"/>
      <c r="AW10" s="2617"/>
      <c r="AX10" s="2617"/>
      <c r="AY10" s="2617"/>
      <c r="AZ10" s="2617"/>
      <c r="BA10" s="2617"/>
      <c r="BB10" s="2617"/>
      <c r="BC10" s="2618"/>
    </row>
    <row r="11" spans="1:55" s="127" customFormat="1" ht="12.75" hidden="1" customHeight="1" outlineLevel="1">
      <c r="A11" s="109"/>
      <c r="B11" s="1463" t="s">
        <v>383</v>
      </c>
      <c r="C11" s="144"/>
      <c r="D11" s="1474" t="s">
        <v>409</v>
      </c>
      <c r="E11" s="1663"/>
      <c r="F11" s="2875" t="s">
        <v>2393</v>
      </c>
      <c r="G11" s="147" t="s">
        <v>343</v>
      </c>
      <c r="H11" s="2626" t="s">
        <v>1572</v>
      </c>
      <c r="I11" s="2627"/>
      <c r="J11" s="147" t="s">
        <v>343</v>
      </c>
      <c r="K11" s="2626" t="s">
        <v>1573</v>
      </c>
      <c r="L11" s="2627"/>
      <c r="M11" s="147" t="s">
        <v>343</v>
      </c>
      <c r="N11" s="2626" t="s">
        <v>1575</v>
      </c>
      <c r="O11" s="2627"/>
      <c r="P11" s="147" t="s">
        <v>343</v>
      </c>
      <c r="Q11" s="2626" t="s">
        <v>1574</v>
      </c>
      <c r="R11" s="2628"/>
      <c r="S11" s="1474" t="s">
        <v>444</v>
      </c>
      <c r="T11" s="1475" t="s">
        <v>444</v>
      </c>
      <c r="U11" s="114"/>
      <c r="V11" s="1463" t="s">
        <v>316</v>
      </c>
      <c r="W11" s="2629" t="s">
        <v>316</v>
      </c>
      <c r="X11" s="2630"/>
      <c r="Y11" s="1656" t="s">
        <v>444</v>
      </c>
      <c r="Z11" s="1656" t="s">
        <v>444</v>
      </c>
      <c r="AA11" s="1663" t="s">
        <v>444</v>
      </c>
      <c r="AB11" s="1789"/>
      <c r="AC11" s="1787"/>
      <c r="AD11" s="1791"/>
      <c r="AE11" s="2631" t="s">
        <v>211</v>
      </c>
      <c r="AF11" s="2632"/>
      <c r="AG11" s="2632" t="s">
        <v>442</v>
      </c>
      <c r="AH11" s="2632"/>
      <c r="AI11" s="2632" t="s">
        <v>267</v>
      </c>
      <c r="AJ11" s="2632"/>
      <c r="AK11" s="2632" t="s">
        <v>443</v>
      </c>
      <c r="AL11" s="2632"/>
      <c r="AM11" s="2648" t="s">
        <v>327</v>
      </c>
      <c r="AN11" s="2649"/>
      <c r="AO11" s="2631" t="s">
        <v>636</v>
      </c>
      <c r="AP11" s="2650"/>
      <c r="AQ11" s="109"/>
      <c r="AR11" s="2614" t="s">
        <v>1646</v>
      </c>
      <c r="AS11" s="2645"/>
      <c r="AT11" s="2645"/>
      <c r="AU11" s="2615"/>
      <c r="AV11" s="2614" t="s">
        <v>1644</v>
      </c>
      <c r="AW11" s="2645"/>
      <c r="AX11" s="2645"/>
      <c r="AY11" s="2615"/>
      <c r="AZ11" s="2614" t="s">
        <v>1645</v>
      </c>
      <c r="BA11" s="2645"/>
      <c r="BB11" s="2645"/>
      <c r="BC11" s="2615"/>
    </row>
    <row r="12" spans="1:55" s="127" customFormat="1" ht="12.75" hidden="1" customHeight="1" outlineLevel="1">
      <c r="A12" s="109"/>
      <c r="B12" s="536" t="s">
        <v>1624</v>
      </c>
      <c r="C12" s="144"/>
      <c r="D12" s="1469" t="s">
        <v>444</v>
      </c>
      <c r="E12" s="1657"/>
      <c r="F12" s="2876"/>
      <c r="G12" s="1472" t="s">
        <v>1621</v>
      </c>
      <c r="H12" s="1662" t="s">
        <v>411</v>
      </c>
      <c r="I12" s="1662" t="s">
        <v>257</v>
      </c>
      <c r="J12" s="1866" t="s">
        <v>790</v>
      </c>
      <c r="K12" s="1662" t="s">
        <v>411</v>
      </c>
      <c r="L12" s="1662" t="s">
        <v>257</v>
      </c>
      <c r="M12" s="1866" t="s">
        <v>791</v>
      </c>
      <c r="N12" s="1662" t="s">
        <v>411</v>
      </c>
      <c r="O12" s="1662" t="s">
        <v>257</v>
      </c>
      <c r="P12" s="1866" t="s">
        <v>213</v>
      </c>
      <c r="Q12" s="1662" t="s">
        <v>411</v>
      </c>
      <c r="R12" s="1662" t="s">
        <v>257</v>
      </c>
      <c r="S12" s="1469" t="s">
        <v>411</v>
      </c>
      <c r="T12" s="220" t="s">
        <v>257</v>
      </c>
      <c r="U12" s="114"/>
      <c r="V12" s="1463" t="s">
        <v>1649</v>
      </c>
      <c r="W12" s="2646" t="s">
        <v>1650</v>
      </c>
      <c r="X12" s="2647"/>
      <c r="Y12" s="1662" t="s">
        <v>411</v>
      </c>
      <c r="Z12" s="1662" t="s">
        <v>257</v>
      </c>
      <c r="AA12" s="166" t="s">
        <v>327</v>
      </c>
      <c r="AB12" s="1789"/>
      <c r="AC12" s="1787"/>
      <c r="AD12" s="1791"/>
      <c r="AE12" s="1671" t="s">
        <v>411</v>
      </c>
      <c r="AF12" s="1485" t="s">
        <v>257</v>
      </c>
      <c r="AG12" s="1485" t="s">
        <v>411</v>
      </c>
      <c r="AH12" s="1485" t="s">
        <v>257</v>
      </c>
      <c r="AI12" s="1485" t="s">
        <v>411</v>
      </c>
      <c r="AJ12" s="1485" t="s">
        <v>257</v>
      </c>
      <c r="AK12" s="1485" t="s">
        <v>411</v>
      </c>
      <c r="AL12" s="1485" t="s">
        <v>257</v>
      </c>
      <c r="AM12" s="581" t="s">
        <v>411</v>
      </c>
      <c r="AN12" s="582" t="s">
        <v>257</v>
      </c>
      <c r="AO12" s="1484" t="s">
        <v>411</v>
      </c>
      <c r="AP12" s="1486" t="s">
        <v>257</v>
      </c>
      <c r="AQ12" s="109"/>
      <c r="AR12" s="1481" t="s">
        <v>1643</v>
      </c>
      <c r="AS12" s="1482" t="s">
        <v>1640</v>
      </c>
      <c r="AT12" s="1482" t="s">
        <v>1641</v>
      </c>
      <c r="AU12" s="1483" t="s">
        <v>1642</v>
      </c>
      <c r="AV12" s="1482" t="s">
        <v>1643</v>
      </c>
      <c r="AW12" s="1482" t="s">
        <v>1640</v>
      </c>
      <c r="AX12" s="1482" t="s">
        <v>1641</v>
      </c>
      <c r="AY12" s="1483" t="s">
        <v>1642</v>
      </c>
      <c r="AZ12" s="1481" t="s">
        <v>1643</v>
      </c>
      <c r="BA12" s="1482" t="s">
        <v>1640</v>
      </c>
      <c r="BB12" s="1482" t="s">
        <v>1641</v>
      </c>
      <c r="BC12" s="1483" t="s">
        <v>1642</v>
      </c>
    </row>
    <row r="13" spans="1:55" s="116" customFormat="1" ht="12.75" hidden="1" customHeight="1" outlineLevel="1">
      <c r="A13" s="114"/>
      <c r="B13" s="143" t="s">
        <v>1620</v>
      </c>
      <c r="C13" s="144"/>
      <c r="D13" s="315">
        <f>SUM(S13,T13)</f>
        <v>0</v>
      </c>
      <c r="E13" s="315"/>
      <c r="F13" s="117"/>
      <c r="G13" s="1547"/>
      <c r="H13" s="335">
        <f>VLOOKUP($B13&amp;"; "&amp;$H$11&amp;", "&amp;H$12,'FE Energie'!$G:$U,9,FALSE)</f>
        <v>0.505</v>
      </c>
      <c r="I13" s="335">
        <f>VLOOKUP($B13&amp;"; "&amp;$H$11&amp;", "&amp;I$12,'FE Energie'!$G:$U,9,FALSE)</f>
        <v>3.02</v>
      </c>
      <c r="J13" s="1547"/>
      <c r="K13" s="335">
        <f>VLOOKUP($B13&amp;"; "&amp;$K$11&amp;", "&amp;K$12,'FE Energie'!$G:$U,9,FALSE)</f>
        <v>0.04</v>
      </c>
      <c r="L13" s="335">
        <f>VLOOKUP($B13&amp;"; "&amp;$K$11&amp;", "&amp;L$12,'FE Energie'!$G:$U,9,FALSE)</f>
        <v>0.23</v>
      </c>
      <c r="M13" s="1547"/>
      <c r="N13" s="335">
        <f>VLOOKUP($B13&amp;"; "&amp;$N$11&amp;", "&amp;N$12,'FE Energie'!$G:$U,9,FALSE)</f>
        <v>448</v>
      </c>
      <c r="O13" s="335">
        <f>VLOOKUP($B13&amp;"; "&amp;$N$11&amp;", "&amp;O$12,'FE Energie'!$G:$U,9,FALSE)</f>
        <v>2680</v>
      </c>
      <c r="P13" s="1547"/>
      <c r="Q13" s="335">
        <f>VLOOKUP($B13&amp;"; "&amp;$Q$11&amp;", "&amp;Q$12,'FE Energie'!$G:$U,9,FALSE)</f>
        <v>0.28100000000000003</v>
      </c>
      <c r="R13" s="335">
        <f>VLOOKUP($B13&amp;"; "&amp;$Q$11&amp;", "&amp;R$12,'FE Energie'!$G:$U,9,FALSE)</f>
        <v>1.76</v>
      </c>
      <c r="S13" s="566">
        <f>IF(ISNA(G13*H13),0,G13*H13)+IF(ISNA(J13*K13),0,J13*K13)+IF(ISNA(M13*N13),0,M13*N13)+IF(ISNA(P13*Q13),0,P13*Q13)</f>
        <v>0</v>
      </c>
      <c r="T13" s="567">
        <f>IF(ISNA(G13*I13),0,G13*I13)+IF(ISNA(J13*L13),0,J13*L13)+IF(ISNA(M13*O13),0,M13*O13)+IF(ISNA(P13*R13),0,P13*R13)</f>
        <v>0</v>
      </c>
      <c r="U13" s="114"/>
      <c r="V13" s="1092">
        <f>IF(AA13=0,AA13,AA13/(S13+T13))</f>
        <v>0</v>
      </c>
      <c r="W13" s="343"/>
      <c r="X13" s="820"/>
      <c r="Y13" s="164">
        <f>SQRT(SUMSQ(IF(ISNA($G13*H13*AV13),0,$G13*H13*AV13),IF(ISNA($J13*K13*AW13),0,$J13*K13*AW13),IF(ISNA($M13*N13*AX13),0,$M13*N13*AX13),IF(ISNA($P13*Q13*AY13),0,$P13*Q13*AY13)))</f>
        <v>0</v>
      </c>
      <c r="Z13" s="164">
        <f>SQRT(SUMSQ(IF(ISNA($G13*I13*AZ13),0,$G13*I13*AZ13),IF(ISNA($J13*L13*BA13),0,$J13*L13*BA13),IF(ISNA($M13*O13*BB13),0,$M13*O13*BB13),IF(ISNA($P13*R13*BC13),0,$P13*R13*BC13)))</f>
        <v>0</v>
      </c>
      <c r="AA13" s="151">
        <f>SQRT(SUMSQ(Y13,Z13))</f>
        <v>0</v>
      </c>
      <c r="AB13" s="1761"/>
      <c r="AC13" s="1788"/>
      <c r="AD13" s="1790"/>
      <c r="AE13" s="565">
        <f>$G13*IF(ISNA(VLOOKUP($B13&amp;"; "&amp;$H$11&amp;", "&amp;H$12,'FE Energie'!$G:$U,10,FALSE)),0,VLOOKUP($B13&amp;"; "&amp;$H$11&amp;", "&amp;H$12,'FE Energie'!$G:$U,10,FALSE))
+$J13*IF(ISNA(VLOOKUP($B13&amp;"; "&amp;$K$11&amp;", "&amp;H$12,'FE Energie'!$G:$U,10,FALSE)),0,VLOOKUP($B13&amp;"; "&amp;$K$11&amp;", "&amp;H$12,'FE Energie'!$G:$U,10,FALSE))
+$M13*IF(ISNA(VLOOKUP($B13&amp;"; "&amp;$N$11&amp;", "&amp;H$12,'FE Energie'!$G:$U,10,FALSE)),0,VLOOKUP($B13&amp;"; "&amp;$N$11&amp;", "&amp;H$12,'FE Energie'!$G:$U,10,FALSE))
+$P13*IF(ISNA(VLOOKUP($B13&amp;"; "&amp;$Q$11&amp;", "&amp;H$12,'FE Energie'!$G:$U,10,FALSE)),0,VLOOKUP($B13&amp;"; "&amp;$Q$11&amp;", "&amp;H$12,'FE Energie'!$G:$U,10,FALSE))</f>
        <v>0</v>
      </c>
      <c r="AF13" s="565">
        <f>$G13*IF(ISNA(VLOOKUP($B13&amp;"; "&amp;$H$11&amp;", "&amp;I$12,'FE Energie'!$G:$U,10,FALSE)),0,VLOOKUP($B13&amp;"; "&amp;$H$11&amp;", "&amp;I$12,'FE Energie'!$G:$U,10,FALSE))
+$J13*IF(ISNA(VLOOKUP($B13&amp;"; "&amp;$K$11&amp;", "&amp;I$12,'FE Energie'!$G:$U,10,FALSE)),0,VLOOKUP($B13&amp;"; "&amp;$K$11&amp;", "&amp;I$12,'FE Energie'!$G:$U,10,FALSE))
+$M13*IF(ISNA(VLOOKUP($B13&amp;"; "&amp;$N$11&amp;", "&amp;I$12,'FE Energie'!$G:$U,10,FALSE)),0,VLOOKUP($B13&amp;"; "&amp;$N$11&amp;", "&amp;I$12,'FE Energie'!$G:$U,10,FALSE))
+$P13*IF(ISNA(VLOOKUP($B13&amp;"; "&amp;$Q$11&amp;", "&amp;I$12,'FE Energie'!$G:$U,10,FALSE)),0,VLOOKUP($B13&amp;"; "&amp;$Q$11&amp;", "&amp;I$12,'FE Energie'!$G:$U,10,FALSE))</f>
        <v>0</v>
      </c>
      <c r="AG13" s="620">
        <f>$G13*IF(ISNA((VLOOKUP($B13&amp;"; "&amp;$H$11&amp;", "&amp;H$12,'FE Energie'!$G:$U,12,FALSE)+VLOOKUP($B13&amp;"; "&amp;$H$11&amp;", "&amp;H$12,'FE Energie'!$G:$U,11,FALSE))),0,(VLOOKUP($B13&amp;"; "&amp;$H$11&amp;", "&amp;H$12,'FE Energie'!$G:$U,12,FALSE)+VLOOKUP($B13&amp;"; "&amp;$H$11&amp;", "&amp;H$12,'FE Energie'!$G:$U,11,FALSE)))
+$J13*IF(ISNA((VLOOKUP($B13&amp;"; "&amp;$K$11&amp;", "&amp;H$12,'FE Energie'!$G:$U,12,FALSE)+VLOOKUP($B13&amp;"; "&amp;$K$11&amp;", "&amp;H$12,'FE Energie'!$G:$U,11,FALSE))),0,(VLOOKUP($B13&amp;"; "&amp;$K$11&amp;", "&amp;H$12,'FE Energie'!$G:$U,12,FALSE)+VLOOKUP($B13&amp;"; "&amp;$K$11&amp;", "&amp;H$12,'FE Energie'!$G:$U,11,FALSE)))
+$M13*IF(ISNA((VLOOKUP($B13&amp;"; "&amp;$N$11&amp;", "&amp;H$12,'FE Energie'!$G:$U,12,FALSE)+VLOOKUP($B13&amp;"; "&amp;$N$11&amp;", "&amp;H$12,'FE Energie'!$G:$U,11,FALSE))),0,(VLOOKUP($B13&amp;"; "&amp;$N$11&amp;", "&amp;H$12,'FE Energie'!$G:$U,12,FALSE)+VLOOKUP($B13&amp;"; "&amp;$N$11&amp;", "&amp;H$12,'FE Energie'!$G:$U,11,FALSE)))
+$P13*IF(ISNA((VLOOKUP($B13&amp;"; "&amp;$Q$11&amp;", "&amp;H$12,'FE Energie'!$G:$U,12,FALSE)+VLOOKUP($B13&amp;"; "&amp;$Q$11&amp;", "&amp;H$12,'FE Energie'!$G:$U,11,FALSE))),0,(VLOOKUP($B13&amp;"; "&amp;$Q$11&amp;", "&amp;H$12,'FE Energie'!$G:$U,12,FALSE)+VLOOKUP($B13&amp;"; "&amp;$Q$11&amp;", "&amp;H$12,'FE Energie'!$G:$U,11,FALSE)))</f>
        <v>0</v>
      </c>
      <c r="AH13" s="620">
        <f>$G13*IF(ISNA((VLOOKUP($B13&amp;"; "&amp;$H$11&amp;", "&amp;I$12,'FE Energie'!$G:$U,12,FALSE)+VLOOKUP($B13&amp;"; "&amp;$H$11&amp;", "&amp;I$12,'FE Energie'!$G:$U,11,FALSE))),0,(VLOOKUP($B13&amp;"; "&amp;$H$11&amp;", "&amp;I$12,'FE Energie'!$G:$U,12,FALSE)+VLOOKUP($B13&amp;"; "&amp;$H$11&amp;", "&amp;I$12,'FE Energie'!$G:$U,11,FALSE)))
+$J13*IF(ISNA((VLOOKUP($B13&amp;"; "&amp;$K$11&amp;", "&amp;I$12,'FE Energie'!$G:$U,12,FALSE)+VLOOKUP($B13&amp;"; "&amp;$K$11&amp;", "&amp;I$12,'FE Energie'!$G:$U,11,FALSE))),0,(VLOOKUP($B13&amp;"; "&amp;$K$11&amp;", "&amp;I$12,'FE Energie'!$G:$U,12,FALSE)+VLOOKUP($B13&amp;"; "&amp;$K$11&amp;", "&amp;I$12,'FE Energie'!$G:$U,11,FALSE)))
+$M13*IF(ISNA((VLOOKUP($B13&amp;"; "&amp;$N$11&amp;", "&amp;I$12,'FE Energie'!$G:$U,12,FALSE)+VLOOKUP($B13&amp;"; "&amp;$N$11&amp;", "&amp;I$12,'FE Energie'!$G:$U,11,FALSE))),0,(VLOOKUP($B13&amp;"; "&amp;$N$11&amp;", "&amp;I$12,'FE Energie'!$G:$U,12,FALSE)+VLOOKUP($B13&amp;"; "&amp;$N$11&amp;", "&amp;I$12,'FE Energie'!$G:$U,11,FALSE)))
+$P13*IF(ISNA((VLOOKUP($B13&amp;"; "&amp;$Q$11&amp;", "&amp;I$12,'FE Energie'!$G:$U,12,FALSE)+VLOOKUP($B13&amp;"; "&amp;$Q$11&amp;", "&amp;I$12,'FE Energie'!$G:$U,11,FALSE))),0,(VLOOKUP($B13&amp;"; "&amp;$Q$11&amp;", "&amp;I$12,'FE Energie'!$G:$U,12,FALSE)+VLOOKUP($B13&amp;"; "&amp;$Q$11&amp;", "&amp;I$12,'FE Energie'!$G:$U,11,FALSE)))</f>
        <v>0</v>
      </c>
      <c r="AI13" s="620">
        <f>$G13*IF(ISNA(VLOOKUP($B13&amp;"; "&amp;$H$11&amp;", "&amp;H$12,'FE Energie'!$G:$U,13,FALSE)),0,VLOOKUP($B13&amp;"; "&amp;$H$11&amp;", "&amp;H$12,'FE Energie'!$G:$U,13,FALSE))
+$J13*IF(ISNA(VLOOKUP($B13&amp;"; "&amp;$K$11&amp;", "&amp;H$12,'FE Energie'!$G:$U,13,FALSE)),0,VLOOKUP($B13&amp;"; "&amp;$K$11&amp;", "&amp;H$12,'FE Energie'!$G:$U,13,FALSE))
+$M13*IF(ISNA(VLOOKUP($B13&amp;"; "&amp;$N$11&amp;", "&amp;H$12,'FE Energie'!$G:$U,13,FALSE)),0,VLOOKUP($B13&amp;"; "&amp;$N$11&amp;", "&amp;H$12,'FE Energie'!$G:$U,13,FALSE))
+$P13*IF(ISNA(VLOOKUP($B13&amp;"; "&amp;$Q$11&amp;", "&amp;H$12,'FE Energie'!$G:$U,13,FALSE)),0,VLOOKUP($B13&amp;"; "&amp;$Q$11&amp;", "&amp;H$12,'FE Energie'!$G:$U,13,FALSE))</f>
        <v>0</v>
      </c>
      <c r="AJ13" s="620">
        <f>$G13*IF(ISNA(VLOOKUP($B13&amp;"; "&amp;$H$11&amp;", "&amp;I$12,'FE Energie'!$G:$U,13,FALSE)),0,VLOOKUP($B13&amp;"; "&amp;$H$11&amp;", "&amp;I$12,'FE Energie'!$G:$U,13,FALSE))
+$J13*IF(ISNA(VLOOKUP($B13&amp;"; "&amp;$K$11&amp;", "&amp;I$12,'FE Energie'!$G:$U,13,FALSE)),0,VLOOKUP($B13&amp;"; "&amp;$K$11&amp;", "&amp;I$12,'FE Energie'!$G:$U,13,FALSE))
+$M13*IF(ISNA(VLOOKUP($B13&amp;"; "&amp;$N$11&amp;", "&amp;I$12,'FE Energie'!$G:$U,13,FALSE)),0,VLOOKUP($B13&amp;"; "&amp;$N$11&amp;", "&amp;I$12,'FE Energie'!$G:$U,13,FALSE))
+$P13*IF(ISNA(VLOOKUP($B13&amp;"; "&amp;$Q$11&amp;", "&amp;I$12,'FE Energie'!$G:$U,13,FALSE)),0,VLOOKUP($B13&amp;"; "&amp;$Q$11&amp;", "&amp;I$12,'FE Energie'!$G:$U,13,FALSE))</f>
        <v>0</v>
      </c>
      <c r="AK13" s="565">
        <f>$G13*IF(ISNA(VLOOKUP($B13&amp;"; "&amp;$H$11&amp;", "&amp;H$12,'FE Energie'!$G:$U,14,FALSE)),0,VLOOKUP($B13&amp;"; "&amp;$H$11&amp;", "&amp;H$12,'FE Energie'!$G:$U,14,FALSE))
+$J13*IF(ISNA(VLOOKUP($B13&amp;"; "&amp;$K$11&amp;", "&amp;H$12,'FE Energie'!$G:$U,14,FALSE)),0,VLOOKUP($B13&amp;"; "&amp;$K$11&amp;", "&amp;H$12,'FE Energie'!$G:$U,14,FALSE))
+$M13*IF(ISNA(VLOOKUP($B13&amp;"; "&amp;$N$11&amp;", "&amp;H$12,'FE Energie'!$G:$U,14,FALSE)),0,VLOOKUP($B13&amp;"; "&amp;$N$11&amp;", "&amp;H$12,'FE Energie'!$G:$U,14,FALSE))
+$P13*IF(ISNA(VLOOKUP($B13&amp;"; "&amp;$Q$11&amp;", "&amp;H$12,'FE Energie'!$G:$U,14,FALSE)),0,VLOOKUP($B13&amp;"; "&amp;$Q$11&amp;", "&amp;H$12,'FE Energie'!$G:$U,14,FALSE))</f>
        <v>0</v>
      </c>
      <c r="AL13" s="565">
        <f>$G13*IF(ISNA(VLOOKUP($B13&amp;"; "&amp;$H$11&amp;", "&amp;I$12,'FE Energie'!$G:$U,14,FALSE)),0,VLOOKUP($B13&amp;"; "&amp;$H$11&amp;", "&amp;I$12,'FE Energie'!$G:$U,14,FALSE))
+$J13*IF(ISNA(VLOOKUP($B13&amp;"; "&amp;$K$11&amp;", "&amp;I$12,'FE Energie'!$G:$U,14,FALSE)),0,VLOOKUP($B13&amp;"; "&amp;$K$11&amp;", "&amp;I$12,'FE Energie'!$G:$U,14,FALSE))
+$M13*IF(ISNA(VLOOKUP($B13&amp;"; "&amp;$N$11&amp;", "&amp;I$12,'FE Energie'!$G:$U,14,FALSE)),0,VLOOKUP($B13&amp;"; "&amp;$N$11&amp;", "&amp;I$12,'FE Energie'!$G:$U,14,FALSE))
+$P13*IF(ISNA(VLOOKUP($B13&amp;"; "&amp;$Q$11&amp;", "&amp;I$12,'FE Energie'!$G:$U,14,FALSE)),0,VLOOKUP($B13&amp;"; "&amp;$Q$11&amp;", "&amp;I$12,'FE Energie'!$G:$U,14,FALSE))</f>
        <v>0</v>
      </c>
      <c r="AM13" s="566">
        <f>SUM(AE13,AG13,AI13,AK13)</f>
        <v>0</v>
      </c>
      <c r="AN13" s="566">
        <f>SUM(AF13,AH13,AJ13,AL13)</f>
        <v>0</v>
      </c>
      <c r="AO13" s="564">
        <f>$G13*IF(ISNA(VLOOKUP($B13&amp;"; "&amp;$H$11&amp;", "&amp;H$12,'FE Energie'!$G:$U,15,FALSE)),0,VLOOKUP($B13&amp;"; "&amp;$H$11&amp;", "&amp;H$12,'FE Energie'!$G:$U,15,FALSE))
+$J13*IF(ISNA(VLOOKUP($B13&amp;"; "&amp;$K$11&amp;", "&amp;H$12,'FE Energie'!$G:$U,15,FALSE)),0,VLOOKUP($B13&amp;"; "&amp;$K$11&amp;", "&amp;H$12,'FE Energie'!$G:$U,15,FALSE))
+$M13*IF(ISNA(VLOOKUP($B13&amp;"; "&amp;$N$11&amp;", "&amp;H$12,'FE Energie'!$G:$U,15,FALSE)),0,VLOOKUP($B13&amp;"; "&amp;$N$11&amp;", "&amp;H$12,'FE Energie'!$G:$U,15,FALSE))
+$P13*IF(ISNA(VLOOKUP($B13&amp;"; "&amp;$Q$11&amp;", "&amp;H$12,'FE Energie'!$G:$U,15,FALSE)),0,VLOOKUP($B13&amp;"; "&amp;$Q$11&amp;", "&amp;H$12,'FE Energie'!$G:$U,15,FALSE))</f>
        <v>0</v>
      </c>
      <c r="AP13" s="568">
        <f>$G13*IF(ISNA(VLOOKUP($B13&amp;"; "&amp;$H$11&amp;", "&amp;I$12,'FE Energie'!$G:$U,15,FALSE)),0,VLOOKUP($B13&amp;"; "&amp;$H$11&amp;", "&amp;I$12,'FE Energie'!$G:$U,15,FALSE))
+$J13*IF(ISNA(VLOOKUP($B13&amp;"; "&amp;$K$11&amp;", "&amp;I$12,'FE Energie'!$G:$U,15,FALSE)),0,VLOOKUP($B13&amp;"; "&amp;$K$11&amp;", "&amp;I$12,'FE Energie'!$G:$U,15,FALSE))
+$M13*IF(ISNA(VLOOKUP($B13&amp;"; "&amp;$N$11&amp;", "&amp;I$12,'FE Energie'!$G:$U,15,FALSE)),0,VLOOKUP($B13&amp;"; "&amp;$N$11&amp;", "&amp;I$12,'FE Energie'!$G:$U,15,FALSE))
+$P13*IF(ISNA(VLOOKUP($B13&amp;"; "&amp;$Q$11&amp;", "&amp;I$12,'FE Energie'!$G:$U,15,FALSE)),0,VLOOKUP($B13&amp;"; "&amp;$Q$11&amp;", "&amp;I$12,'FE Energie'!$G:$U,15,FALSE))</f>
        <v>0</v>
      </c>
      <c r="AQ13" s="114"/>
      <c r="AR13" s="1065">
        <f>IF($W13&lt;&gt;"votre valeur :",IF(ISNA(VLOOKUP($W13,Utilitaires!$N$566:$O$571,2,FALSE)),,VLOOKUP($W13,Utilitaires!$N$566:$O$571,2,FALSE)),$X13)</f>
        <v>0</v>
      </c>
      <c r="AS13" s="1065">
        <f>IF($W13&lt;&gt;"votre valeur :",IF(ISNA(VLOOKUP($W13,Utilitaires!$N$566:$O$571,2,FALSE)),,VLOOKUP($W13,Utilitaires!$N$566:$O$571,2,FALSE)),$X13)</f>
        <v>0</v>
      </c>
      <c r="AT13" s="1065">
        <f>IF($W13&lt;&gt;"votre valeur :",IF(ISNA(VLOOKUP($W13,Utilitaires!$N$566:$O$571,2,FALSE)),,VLOOKUP($W13,Utilitaires!$N$566:$O$571,2,FALSE)),$X13)</f>
        <v>0</v>
      </c>
      <c r="AU13" s="1167">
        <f>IF($W13&lt;&gt;"votre valeur :",IF(ISNA(VLOOKUP($W13,Utilitaires!$N$566:$O$571,2,FALSE)),,VLOOKUP($W13,Utilitaires!$N$566:$O$571,2,FALSE)),$X13)</f>
        <v>0</v>
      </c>
      <c r="AV13" s="1068">
        <f>IF(ISNA(SQRT(SUMSQ(VLOOKUP($B13&amp;"; "&amp;$H$11&amp;", "&amp;$H$12,'FE Energie'!$G:$U,7,FALSE),$AR13))),0,SQRT(SUMSQ(VLOOKUP($B13&amp;"; "&amp;$H$11&amp;", "&amp;$H$12,'FE Energie'!$G:$U,7,FALSE),$AR13)))</f>
        <v>0.05</v>
      </c>
      <c r="AW13" s="1068">
        <f>IF(ISNA(SQRT(SUMSQ(VLOOKUP($B13&amp;"; "&amp;$K$11&amp;", "&amp;$K$12,'FE Energie'!$G:$U,7,FALSE),$AS13))),0,SQRT(SUMSQ(VLOOKUP($B13&amp;"; "&amp;$K$11&amp;", "&amp;$K$12,'FE Energie'!$G:$U,7,FALSE),$AS13)))</f>
        <v>0.05</v>
      </c>
      <c r="AX13" s="1068">
        <f>IF(ISNA(SQRT(SUMSQ(VLOOKUP($B13&amp;"; "&amp;$N$11&amp;", "&amp;$N$12,'FE Energie'!$G:$U,7,FALSE),$AT13))),0,SQRT(SUMSQ(VLOOKUP($B13&amp;"; "&amp;$N$11&amp;", "&amp;$N$12,'FE Energie'!$G:$U,7,FALSE),$AT13)))</f>
        <v>0.05</v>
      </c>
      <c r="AY13" s="1068">
        <f>IF(ISNA(SQRT(SUMSQ(VLOOKUP($B13&amp;"; "&amp;$Q$11&amp;", "&amp;$Q$12,'FE Energie'!$G:$U,7,FALSE),$AU13))),0,SQRT(SUMSQ(VLOOKUP($B13&amp;"; "&amp;$Q$11&amp;", "&amp;$Q$12,'FE Energie'!$G:$U,7,FALSE),$AU13)))</f>
        <v>0.05</v>
      </c>
      <c r="AZ13" s="1069">
        <f>IF(ISNA(SQRT(SUMSQ(VLOOKUP($B13&amp;"; "&amp;$H$11&amp;", "&amp;$I$12,'FE Energie'!$G:$U,7,FALSE),$AR13))),0,SQRT(SUMSQ(VLOOKUP($B13&amp;"; "&amp;$H$11&amp;", "&amp;$I$12,'FE Energie'!$G:$U,7,FALSE),$AR13)))</f>
        <v>0.05</v>
      </c>
      <c r="BA13" s="1070">
        <f>IF(ISNA(SQRT(SUMSQ(VLOOKUP($B13&amp;"; "&amp;$K$11&amp;", "&amp;$L$12,'FE Energie'!$G:$U,7,FALSE),$AS13))),0,SQRT(SUMSQ(VLOOKUP($B13&amp;"; "&amp;$K$11&amp;", "&amp;$L$12,'FE Energie'!$G:$U,7,FALSE),$AS13)))</f>
        <v>0.05</v>
      </c>
      <c r="BB13" s="1070">
        <f>IF(ISNA(SQRT(SUMSQ(VLOOKUP($B13&amp;"; "&amp;$N$11&amp;", "&amp;$O$12,'FE Energie'!$G:$U,7,FALSE),$AT13))),0,SQRT(SUMSQ(VLOOKUP($B13&amp;"; "&amp;$N$11&amp;", "&amp;$O$12,'FE Energie'!$G:$U,7,FALSE),$AT13)))</f>
        <v>0.05</v>
      </c>
      <c r="BC13" s="1071">
        <f>IF(ISNA(SQRT(SUMSQ(VLOOKUP($B13&amp;"; "&amp;$Q$11&amp;", "&amp;$R$12,'FE Energie'!$G:$U,7,FALSE),$AU13))),0,SQRT(SUMSQ(VLOOKUP($B13&amp;"; "&amp;$Q$11&amp;", "&amp;$R$12,'FE Energie'!$G:$U,7,FALSE),$AU13)))</f>
        <v>0.05</v>
      </c>
    </row>
    <row r="14" spans="1:55" s="116" customFormat="1" ht="12.75" hidden="1" customHeight="1" outlineLevel="1">
      <c r="A14" s="114"/>
      <c r="B14" s="143" t="s">
        <v>1623</v>
      </c>
      <c r="C14" s="144"/>
      <c r="D14" s="315">
        <f t="shared" ref="D14:D26" si="0">SUM(S14,T14)</f>
        <v>0</v>
      </c>
      <c r="E14" s="315"/>
      <c r="F14" s="123"/>
      <c r="G14" s="1548"/>
      <c r="H14" s="335">
        <f>VLOOKUP($B14&amp;"; "&amp;$H$11&amp;", "&amp;H$12,'FE Energie'!$G:$U,9,FALSE)</f>
        <v>0.48699999999999999</v>
      </c>
      <c r="I14" s="335">
        <f>VLOOKUP($B14&amp;"; "&amp;$H$11&amp;", "&amp;I$12,'FE Energie'!$G:$U,9,FALSE)</f>
        <v>2.97</v>
      </c>
      <c r="J14" s="1548"/>
      <c r="K14" s="335">
        <f>VLOOKUP($B14&amp;"; "&amp;$K$11&amp;", "&amp;K$12,'FE Energie'!$G:$U,9,FALSE)</f>
        <v>3.9E-2</v>
      </c>
      <c r="L14" s="335">
        <f>VLOOKUP($B14&amp;"; "&amp;$K$11&amp;", "&amp;L$12,'FE Energie'!$G:$U,9,FALSE)</f>
        <v>0.23300000000000001</v>
      </c>
      <c r="M14" s="1548"/>
      <c r="N14" s="335">
        <f>VLOOKUP($B14&amp;"; "&amp;$N$11&amp;", "&amp;N$12,'FE Energie'!$G:$U,9,FALSE)</f>
        <v>445</v>
      </c>
      <c r="O14" s="335">
        <f>VLOOKUP($B14&amp;"; "&amp;$N$11&amp;", "&amp;O$12,'FE Energie'!$G:$U,9,FALSE)</f>
        <v>2720</v>
      </c>
      <c r="P14" s="1548"/>
      <c r="Q14" s="335">
        <f>VLOOKUP($B14&amp;"; "&amp;$Q$11&amp;", "&amp;Q$12,'FE Energie'!$G:$U,9,FALSE)</f>
        <v>0.25600000000000001</v>
      </c>
      <c r="R14" s="335">
        <f>VLOOKUP($B14&amp;"; "&amp;$Q$11&amp;", "&amp;R$12,'FE Energie'!$G:$U,9,FALSE)</f>
        <v>1.54</v>
      </c>
      <c r="S14" s="566">
        <f>IF(ISNA(G14*H14),0,G14*H14)+IF(ISNA(J14*K14),0,J14*K14)+IF(ISNA(M14*N14),0,M14*N14)+IF(ISNA(P14*Q14),0,P14*Q14)</f>
        <v>0</v>
      </c>
      <c r="T14" s="567">
        <f>IF(ISNA(G14*I14),0,G14*I14)+IF(ISNA(J14*L14),0,J14*L14)+IF(ISNA(M14*O14),0,M14*O14)+IF(ISNA(P14*R14),0,P14*R14)</f>
        <v>0</v>
      </c>
      <c r="U14" s="114"/>
      <c r="V14" s="1092">
        <f>IF(AA14=0,AA14,AA14/(S14+T14))</f>
        <v>0</v>
      </c>
      <c r="W14" s="345"/>
      <c r="X14" s="820"/>
      <c r="Y14" s="164">
        <f>SQRT(SUMSQ(IF(ISNA($G14*H14*AV14),0,$G14*H14*AV14),IF(ISNA($J14*K14*AW14),0,$J14*K14*AW14),IF(ISNA($M14*N14*AX14),0,$M14*N14*AX14),IF(ISNA($P14*Q14*AY14),0,$P14*Q14*AY14)))</f>
        <v>0</v>
      </c>
      <c r="Z14" s="164">
        <f>SQRT(SUMSQ(IF(ISNA($G14*I14*AZ14),0,$G14*I14*AZ14),IF(ISNA($J14*L14*BA14),0,$J14*L14*BA14),IF(ISNA($M14*O14*BB14),0,$M14*O14*BB14),IF(ISNA($P14*R14*BC14),0,$P14*R14*BC14)))</f>
        <v>0</v>
      </c>
      <c r="AA14" s="151">
        <f t="shared" ref="AA14:AA26" si="1">SQRT(SUMSQ(Y14,Z14))</f>
        <v>0</v>
      </c>
      <c r="AB14" s="1761"/>
      <c r="AC14" s="1788"/>
      <c r="AD14" s="1790"/>
      <c r="AE14" s="565">
        <f>$G14*IF(ISNA(VLOOKUP($B14&amp;"; "&amp;$H$11&amp;", "&amp;H$12,'FE Energie'!$G:$U,10,FALSE)),0,VLOOKUP($B14&amp;"; "&amp;$H$11&amp;", "&amp;H$12,'FE Energie'!$G:$U,10,FALSE))
+$J14*IF(ISNA(VLOOKUP($B14&amp;"; "&amp;$K$11&amp;", "&amp;H$12,'FE Energie'!$G:$U,10,FALSE)),0,VLOOKUP($B14&amp;"; "&amp;$K$11&amp;", "&amp;H$12,'FE Energie'!$G:$U,10,FALSE))
+$M14*IF(ISNA(VLOOKUP($B14&amp;"; "&amp;$N$11&amp;", "&amp;H$12,'FE Energie'!$G:$U,10,FALSE)),0,VLOOKUP($B14&amp;"; "&amp;$N$11&amp;", "&amp;H$12,'FE Energie'!$G:$U,10,FALSE))
+$P14*IF(ISNA(VLOOKUP($B14&amp;"; "&amp;$Q$11&amp;", "&amp;H$12,'FE Energie'!$G:$U,10,FALSE)),0,VLOOKUP($B14&amp;"; "&amp;$Q$11&amp;", "&amp;H$12,'FE Energie'!$G:$U,10,FALSE))</f>
        <v>0</v>
      </c>
      <c r="AF14" s="565">
        <f>$G14*IF(ISNA(VLOOKUP($B14&amp;"; "&amp;$H$11&amp;", "&amp;I$12,'FE Energie'!$G:$U,10,FALSE)),0,VLOOKUP($B14&amp;"; "&amp;$H$11&amp;", "&amp;I$12,'FE Energie'!$G:$U,10,FALSE))
+$J14*IF(ISNA(VLOOKUP($B14&amp;"; "&amp;$K$11&amp;", "&amp;I$12,'FE Energie'!$G:$U,10,FALSE)),0,VLOOKUP($B14&amp;"; "&amp;$K$11&amp;", "&amp;I$12,'FE Energie'!$G:$U,10,FALSE))
+$M14*IF(ISNA(VLOOKUP($B14&amp;"; "&amp;$N$11&amp;", "&amp;I$12,'FE Energie'!$G:$U,10,FALSE)),0,VLOOKUP($B14&amp;"; "&amp;$N$11&amp;", "&amp;I$12,'FE Energie'!$G:$U,10,FALSE))
+$P14*IF(ISNA(VLOOKUP($B14&amp;"; "&amp;$Q$11&amp;", "&amp;I$12,'FE Energie'!$G:$U,10,FALSE)),0,VLOOKUP($B14&amp;"; "&amp;$Q$11&amp;", "&amp;I$12,'FE Energie'!$G:$U,10,FALSE))</f>
        <v>0</v>
      </c>
      <c r="AG14" s="620">
        <f>$G14*IF(ISNA((VLOOKUP($B14&amp;"; "&amp;$H$11&amp;", "&amp;H$12,'FE Energie'!$G:$U,12,FALSE)+VLOOKUP($B14&amp;"; "&amp;$H$11&amp;", "&amp;H$12,'FE Energie'!$G:$U,11,FALSE))),0,(VLOOKUP($B14&amp;"; "&amp;$H$11&amp;", "&amp;H$12,'FE Energie'!$G:$U,12,FALSE)+VLOOKUP($B14&amp;"; "&amp;$H$11&amp;", "&amp;H$12,'FE Energie'!$G:$U,11,FALSE)))
+$J14*IF(ISNA((VLOOKUP($B14&amp;"; "&amp;$K$11&amp;", "&amp;H$12,'FE Energie'!$G:$U,12,FALSE)+VLOOKUP($B14&amp;"; "&amp;$K$11&amp;", "&amp;H$12,'FE Energie'!$G:$U,11,FALSE))),0,(VLOOKUP($B14&amp;"; "&amp;$K$11&amp;", "&amp;H$12,'FE Energie'!$G:$U,12,FALSE)+VLOOKUP($B14&amp;"; "&amp;$K$11&amp;", "&amp;H$12,'FE Energie'!$G:$U,11,FALSE)))
+$M14*IF(ISNA((VLOOKUP($B14&amp;"; "&amp;$N$11&amp;", "&amp;H$12,'FE Energie'!$G:$U,12,FALSE)+VLOOKUP($B14&amp;"; "&amp;$N$11&amp;", "&amp;H$12,'FE Energie'!$G:$U,11,FALSE))),0,(VLOOKUP($B14&amp;"; "&amp;$N$11&amp;", "&amp;H$12,'FE Energie'!$G:$U,12,FALSE)+VLOOKUP($B14&amp;"; "&amp;$N$11&amp;", "&amp;H$12,'FE Energie'!$G:$U,11,FALSE)))
+$P14*IF(ISNA((VLOOKUP($B14&amp;"; "&amp;$Q$11&amp;", "&amp;H$12,'FE Energie'!$G:$U,12,FALSE)+VLOOKUP($B14&amp;"; "&amp;$Q$11&amp;", "&amp;H$12,'FE Energie'!$G:$U,11,FALSE))),0,(VLOOKUP($B14&amp;"; "&amp;$Q$11&amp;", "&amp;H$12,'FE Energie'!$G:$U,12,FALSE)+VLOOKUP($B14&amp;"; "&amp;$Q$11&amp;", "&amp;H$12,'FE Energie'!$G:$U,11,FALSE)))</f>
        <v>0</v>
      </c>
      <c r="AH14" s="620">
        <f>$G14*IF(ISNA((VLOOKUP($B14&amp;"; "&amp;$H$11&amp;", "&amp;I$12,'FE Energie'!$G:$U,12,FALSE)+VLOOKUP($B14&amp;"; "&amp;$H$11&amp;", "&amp;I$12,'FE Energie'!$G:$U,11,FALSE))),0,(VLOOKUP($B14&amp;"; "&amp;$H$11&amp;", "&amp;I$12,'FE Energie'!$G:$U,12,FALSE)+VLOOKUP($B14&amp;"; "&amp;$H$11&amp;", "&amp;I$12,'FE Energie'!$G:$U,11,FALSE)))
+$J14*IF(ISNA((VLOOKUP($B14&amp;"; "&amp;$K$11&amp;", "&amp;I$12,'FE Energie'!$G:$U,12,FALSE)+VLOOKUP($B14&amp;"; "&amp;$K$11&amp;", "&amp;I$12,'FE Energie'!$G:$U,11,FALSE))),0,(VLOOKUP($B14&amp;"; "&amp;$K$11&amp;", "&amp;I$12,'FE Energie'!$G:$U,12,FALSE)+VLOOKUP($B14&amp;"; "&amp;$K$11&amp;", "&amp;I$12,'FE Energie'!$G:$U,11,FALSE)))
+$M14*IF(ISNA((VLOOKUP($B14&amp;"; "&amp;$N$11&amp;", "&amp;I$12,'FE Energie'!$G:$U,12,FALSE)+VLOOKUP($B14&amp;"; "&amp;$N$11&amp;", "&amp;I$12,'FE Energie'!$G:$U,11,FALSE))),0,(VLOOKUP($B14&amp;"; "&amp;$N$11&amp;", "&amp;I$12,'FE Energie'!$G:$U,12,FALSE)+VLOOKUP($B14&amp;"; "&amp;$N$11&amp;", "&amp;I$12,'FE Energie'!$G:$U,11,FALSE)))
+$P14*IF(ISNA((VLOOKUP($B14&amp;"; "&amp;$Q$11&amp;", "&amp;I$12,'FE Energie'!$G:$U,12,FALSE)+VLOOKUP($B14&amp;"; "&amp;$Q$11&amp;", "&amp;I$12,'FE Energie'!$G:$U,11,FALSE))),0,(VLOOKUP($B14&amp;"; "&amp;$Q$11&amp;", "&amp;I$12,'FE Energie'!$G:$U,12,FALSE)+VLOOKUP($B14&amp;"; "&amp;$Q$11&amp;", "&amp;I$12,'FE Energie'!$G:$U,11,FALSE)))</f>
        <v>0</v>
      </c>
      <c r="AI14" s="620">
        <f>$G14*IF(ISNA(VLOOKUP($B14&amp;"; "&amp;$H$11&amp;", "&amp;H$12,'FE Energie'!$G:$U,13,FALSE)),0,VLOOKUP($B14&amp;"; "&amp;$H$11&amp;", "&amp;H$12,'FE Energie'!$G:$U,13,FALSE))
+$J14*IF(ISNA(VLOOKUP($B14&amp;"; "&amp;$K$11&amp;", "&amp;H$12,'FE Energie'!$G:$U,13,FALSE)),0,VLOOKUP($B14&amp;"; "&amp;$K$11&amp;", "&amp;H$12,'FE Energie'!$G:$U,13,FALSE))
+$M14*IF(ISNA(VLOOKUP($B14&amp;"; "&amp;$N$11&amp;", "&amp;H$12,'FE Energie'!$G:$U,13,FALSE)),0,VLOOKUP($B14&amp;"; "&amp;$N$11&amp;", "&amp;H$12,'FE Energie'!$G:$U,13,FALSE))
+$P14*IF(ISNA(VLOOKUP($B14&amp;"; "&amp;$Q$11&amp;", "&amp;H$12,'FE Energie'!$G:$U,13,FALSE)),0,VLOOKUP($B14&amp;"; "&amp;$Q$11&amp;", "&amp;H$12,'FE Energie'!$G:$U,13,FALSE))</f>
        <v>0</v>
      </c>
      <c r="AJ14" s="620">
        <f>$G14*IF(ISNA(VLOOKUP($B14&amp;"; "&amp;$H$11&amp;", "&amp;I$12,'FE Energie'!$G:$U,13,FALSE)),0,VLOOKUP($B14&amp;"; "&amp;$H$11&amp;", "&amp;I$12,'FE Energie'!$G:$U,13,FALSE))
+$J14*IF(ISNA(VLOOKUP($B14&amp;"; "&amp;$K$11&amp;", "&amp;I$12,'FE Energie'!$G:$U,13,FALSE)),0,VLOOKUP($B14&amp;"; "&amp;$K$11&amp;", "&amp;I$12,'FE Energie'!$G:$U,13,FALSE))
+$M14*IF(ISNA(VLOOKUP($B14&amp;"; "&amp;$N$11&amp;", "&amp;I$12,'FE Energie'!$G:$U,13,FALSE)),0,VLOOKUP($B14&amp;"; "&amp;$N$11&amp;", "&amp;I$12,'FE Energie'!$G:$U,13,FALSE))
+$P14*IF(ISNA(VLOOKUP($B14&amp;"; "&amp;$Q$11&amp;", "&amp;I$12,'FE Energie'!$G:$U,13,FALSE)),0,VLOOKUP($B14&amp;"; "&amp;$Q$11&amp;", "&amp;I$12,'FE Energie'!$G:$U,13,FALSE))</f>
        <v>0</v>
      </c>
      <c r="AK14" s="565">
        <f>$G14*IF(ISNA(VLOOKUP($B14&amp;"; "&amp;$H$11&amp;", "&amp;H$12,'FE Energie'!$G:$U,14,FALSE)),0,VLOOKUP($B14&amp;"; "&amp;$H$11&amp;", "&amp;H$12,'FE Energie'!$G:$U,14,FALSE))
+$J14*IF(ISNA(VLOOKUP($B14&amp;"; "&amp;$K$11&amp;", "&amp;H$12,'FE Energie'!$G:$U,14,FALSE)),0,VLOOKUP($B14&amp;"; "&amp;$K$11&amp;", "&amp;H$12,'FE Energie'!$G:$U,14,FALSE))
+$M14*IF(ISNA(VLOOKUP($B14&amp;"; "&amp;$N$11&amp;", "&amp;H$12,'FE Energie'!$G:$U,14,FALSE)),0,VLOOKUP($B14&amp;"; "&amp;$N$11&amp;", "&amp;H$12,'FE Energie'!$G:$U,14,FALSE))
+$P14*IF(ISNA(VLOOKUP($B14&amp;"; "&amp;$Q$11&amp;", "&amp;H$12,'FE Energie'!$G:$U,14,FALSE)),0,VLOOKUP($B14&amp;"; "&amp;$Q$11&amp;", "&amp;H$12,'FE Energie'!$G:$U,14,FALSE))</f>
        <v>0</v>
      </c>
      <c r="AL14" s="565">
        <f>$G14*IF(ISNA(VLOOKUP($B14&amp;"; "&amp;$H$11&amp;", "&amp;I$12,'FE Energie'!$G:$U,14,FALSE)),0,VLOOKUP($B14&amp;"; "&amp;$H$11&amp;", "&amp;I$12,'FE Energie'!$G:$U,14,FALSE))
+$J14*IF(ISNA(VLOOKUP($B14&amp;"; "&amp;$K$11&amp;", "&amp;I$12,'FE Energie'!$G:$U,14,FALSE)),0,VLOOKUP($B14&amp;"; "&amp;$K$11&amp;", "&amp;I$12,'FE Energie'!$G:$U,14,FALSE))
+$M14*IF(ISNA(VLOOKUP($B14&amp;"; "&amp;$N$11&amp;", "&amp;I$12,'FE Energie'!$G:$U,14,FALSE)),0,VLOOKUP($B14&amp;"; "&amp;$N$11&amp;", "&amp;I$12,'FE Energie'!$G:$U,14,FALSE))
+$P14*IF(ISNA(VLOOKUP($B14&amp;"; "&amp;$Q$11&amp;", "&amp;I$12,'FE Energie'!$G:$U,14,FALSE)),0,VLOOKUP($B14&amp;"; "&amp;$Q$11&amp;", "&amp;I$12,'FE Energie'!$G:$U,14,FALSE))</f>
        <v>0</v>
      </c>
      <c r="AM14" s="566">
        <f t="shared" ref="AM14:AM26" si="2">SUM(AE14,AG14,AI14,AK14)</f>
        <v>0</v>
      </c>
      <c r="AN14" s="566">
        <f t="shared" ref="AN14:AN26" si="3">SUM(AF14,AH14,AJ14,AL14)</f>
        <v>0</v>
      </c>
      <c r="AO14" s="564">
        <f>$G14*IF(ISNA(VLOOKUP($B14&amp;"; "&amp;$H$11&amp;", "&amp;H$12,'FE Energie'!$G:$U,15,FALSE)),0,VLOOKUP($B14&amp;"; "&amp;$H$11&amp;", "&amp;H$12,'FE Energie'!$G:$U,15,FALSE))
+$J14*IF(ISNA(VLOOKUP($B14&amp;"; "&amp;$K$11&amp;", "&amp;H$12,'FE Energie'!$G:$U,15,FALSE)),0,VLOOKUP($B14&amp;"; "&amp;$K$11&amp;", "&amp;H$12,'FE Energie'!$G:$U,15,FALSE))
+$M14*IF(ISNA(VLOOKUP($B14&amp;"; "&amp;$N$11&amp;", "&amp;H$12,'FE Energie'!$G:$U,15,FALSE)),0,VLOOKUP($B14&amp;"; "&amp;$N$11&amp;", "&amp;H$12,'FE Energie'!$G:$U,15,FALSE))
+$P14*IF(ISNA(VLOOKUP($B14&amp;"; "&amp;$Q$11&amp;", "&amp;H$12,'FE Energie'!$G:$U,15,FALSE)),0,VLOOKUP($B14&amp;"; "&amp;$Q$11&amp;", "&amp;H$12,'FE Energie'!$G:$U,15,FALSE))</f>
        <v>0</v>
      </c>
      <c r="AP14" s="568">
        <f>$G14*IF(ISNA(VLOOKUP($B14&amp;"; "&amp;$H$11&amp;", "&amp;I$12,'FE Energie'!$G:$U,15,FALSE)),0,VLOOKUP($B14&amp;"; "&amp;$H$11&amp;", "&amp;I$12,'FE Energie'!$G:$U,15,FALSE))
+$J14*IF(ISNA(VLOOKUP($B14&amp;"; "&amp;$K$11&amp;", "&amp;I$12,'FE Energie'!$G:$U,15,FALSE)),0,VLOOKUP($B14&amp;"; "&amp;$K$11&amp;", "&amp;I$12,'FE Energie'!$G:$U,15,FALSE))
+$M14*IF(ISNA(VLOOKUP($B14&amp;"; "&amp;$N$11&amp;", "&amp;I$12,'FE Energie'!$G:$U,15,FALSE)),0,VLOOKUP($B14&amp;"; "&amp;$N$11&amp;", "&amp;I$12,'FE Energie'!$G:$U,15,FALSE))
+$P14*IF(ISNA(VLOOKUP($B14&amp;"; "&amp;$Q$11&amp;", "&amp;I$12,'FE Energie'!$G:$U,15,FALSE)),0,VLOOKUP($B14&amp;"; "&amp;$Q$11&amp;", "&amp;I$12,'FE Energie'!$G:$U,15,FALSE))</f>
        <v>0</v>
      </c>
      <c r="AQ14" s="114"/>
      <c r="AR14" s="1065">
        <f>IF($W14&lt;&gt;"votre valeur :",IF(ISNA(VLOOKUP($W14,Utilitaires!$N$566:$O$571,2,FALSE)),,VLOOKUP($W14,Utilitaires!$N$566:$O$571,2,FALSE)),$X14)</f>
        <v>0</v>
      </c>
      <c r="AS14" s="1065">
        <f>IF($W14&lt;&gt;"votre valeur :",IF(ISNA(VLOOKUP($W14,Utilitaires!$N$566:$O$571,2,FALSE)),,VLOOKUP($W14,Utilitaires!$N$566:$O$571,2,FALSE)),$X14)</f>
        <v>0</v>
      </c>
      <c r="AT14" s="1065">
        <f>IF($W14&lt;&gt;"votre valeur :",IF(ISNA(VLOOKUP($W14,Utilitaires!$N$566:$O$571,2,FALSE)),,VLOOKUP($W14,Utilitaires!$N$566:$O$571,2,FALSE)),$X14)</f>
        <v>0</v>
      </c>
      <c r="AU14" s="1167">
        <f>IF($W14&lt;&gt;"votre valeur :",IF(ISNA(VLOOKUP($W14,Utilitaires!$N$566:$O$571,2,FALSE)),,VLOOKUP($W14,Utilitaires!$N$566:$O$571,2,FALSE)),$X14)</f>
        <v>0</v>
      </c>
      <c r="AV14" s="1068">
        <f>IF(ISNA(SQRT(SUMSQ(VLOOKUP($B14&amp;"; "&amp;$H$11&amp;", "&amp;$H$12,'FE Energie'!$G:$U,7,FALSE),$AR14))),0,SQRT(SUMSQ(VLOOKUP($B14&amp;"; "&amp;$H$11&amp;", "&amp;$H$12,'FE Energie'!$G:$U,7,FALSE),$AR14)))</f>
        <v>0.05</v>
      </c>
      <c r="AW14" s="1068">
        <f>IF(ISNA(SQRT(SUMSQ(VLOOKUP($B14&amp;"; "&amp;$K$11&amp;", "&amp;$K$12,'FE Energie'!$G:$U,7,FALSE),$AS14))),0,SQRT(SUMSQ(VLOOKUP($B14&amp;"; "&amp;$K$11&amp;", "&amp;$K$12,'FE Energie'!$G:$U,7,FALSE),$AS14)))</f>
        <v>0.05</v>
      </c>
      <c r="AX14" s="1068">
        <f>IF(ISNA(SQRT(SUMSQ(VLOOKUP($B14&amp;"; "&amp;$N$11&amp;", "&amp;$N$12,'FE Energie'!$G:$U,7,FALSE),$AT14))),0,SQRT(SUMSQ(VLOOKUP($B14&amp;"; "&amp;$N$11&amp;", "&amp;$N$12,'FE Energie'!$G:$U,7,FALSE),$AT14)))</f>
        <v>0.05</v>
      </c>
      <c r="AY14" s="1068">
        <f>IF(ISNA(SQRT(SUMSQ(VLOOKUP($B14&amp;"; "&amp;$Q$11&amp;", "&amp;$Q$12,'FE Energie'!$G:$U,7,FALSE),$AU14))),0,SQRT(SUMSQ(VLOOKUP($B14&amp;"; "&amp;$Q$11&amp;", "&amp;$Q$12,'FE Energie'!$G:$U,7,FALSE),$AU14)))</f>
        <v>0.05</v>
      </c>
      <c r="AZ14" s="1069">
        <f>IF(ISNA(SQRT(SUMSQ(VLOOKUP($B14&amp;"; "&amp;$H$11&amp;", "&amp;$I$12,'FE Energie'!$G:$U,7,FALSE),$AR14))),0,SQRT(SUMSQ(VLOOKUP($B14&amp;"; "&amp;$H$11&amp;", "&amp;$I$12,'FE Energie'!$G:$U,7,FALSE),$AR14)))</f>
        <v>0.05</v>
      </c>
      <c r="BA14" s="1070">
        <f>IF(ISNA(SQRT(SUMSQ(VLOOKUP($B14&amp;"; "&amp;$K$11&amp;", "&amp;$L$12,'FE Energie'!$G:$U,7,FALSE),$AS14))),0,SQRT(SUMSQ(VLOOKUP($B14&amp;"; "&amp;$K$11&amp;", "&amp;$L$12,'FE Energie'!$G:$U,7,FALSE),$AS14)))</f>
        <v>0.05</v>
      </c>
      <c r="BB14" s="1070">
        <f>IF(ISNA(SQRT(SUMSQ(VLOOKUP($B14&amp;"; "&amp;$N$11&amp;", "&amp;$O$12,'FE Energie'!$G:$U,7,FALSE),$AT14))),0,SQRT(SUMSQ(VLOOKUP($B14&amp;"; "&amp;$N$11&amp;", "&amp;$O$12,'FE Energie'!$G:$U,7,FALSE),$AT14)))</f>
        <v>0.05</v>
      </c>
      <c r="BC14" s="1071">
        <f>IF(ISNA(SQRT(SUMSQ(VLOOKUP($B14&amp;"; "&amp;$Q$11&amp;", "&amp;$R$12,'FE Energie'!$G:$U,7,FALSE),$AU14))),0,SQRT(SUMSQ(VLOOKUP($B14&amp;"; "&amp;$Q$11&amp;", "&amp;$R$12,'FE Energie'!$G:$U,7,FALSE),$AU14)))</f>
        <v>0.05</v>
      </c>
    </row>
    <row r="15" spans="1:55" s="116" customFormat="1" ht="12.75" hidden="1" customHeight="1" outlineLevel="1">
      <c r="A15" s="114"/>
      <c r="B15" s="536" t="s">
        <v>1637</v>
      </c>
      <c r="C15" s="144"/>
      <c r="D15" s="315"/>
      <c r="E15" s="315"/>
      <c r="F15" s="822"/>
      <c r="G15" s="822"/>
      <c r="H15" s="335"/>
      <c r="I15" s="335"/>
      <c r="J15" s="822"/>
      <c r="K15" s="335"/>
      <c r="L15" s="335"/>
      <c r="M15" s="822"/>
      <c r="N15" s="335"/>
      <c r="O15" s="335"/>
      <c r="P15" s="1200"/>
      <c r="Q15" s="335"/>
      <c r="R15" s="335"/>
      <c r="S15" s="566"/>
      <c r="T15" s="567"/>
      <c r="U15" s="114"/>
      <c r="V15" s="1092"/>
      <c r="W15" s="820"/>
      <c r="X15" s="820"/>
      <c r="Y15" s="164"/>
      <c r="Z15" s="164"/>
      <c r="AA15" s="151"/>
      <c r="AB15" s="1761"/>
      <c r="AC15" s="1788"/>
      <c r="AD15" s="1790"/>
      <c r="AE15" s="565"/>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5" s="116" customFormat="1" ht="12.75" hidden="1" customHeight="1" outlineLevel="1">
      <c r="A16" s="114"/>
      <c r="B16" s="143" t="s">
        <v>1626</v>
      </c>
      <c r="C16" s="144"/>
      <c r="D16" s="315">
        <f t="shared" si="0"/>
        <v>0</v>
      </c>
      <c r="E16" s="315"/>
      <c r="F16" s="117"/>
      <c r="G16" s="1547"/>
      <c r="H16" s="335" t="e">
        <f>VLOOKUP($B16&amp;"; "&amp;$H$11&amp;", "&amp;H$12,'FE Energie'!$G:$U,9,FALSE)</f>
        <v>#N/A</v>
      </c>
      <c r="I16" s="335" t="e">
        <f>VLOOKUP($B16&amp;"; "&amp;$H$11&amp;", "&amp;I$12,'FE Energie'!$G:$U,9,FALSE)</f>
        <v>#N/A</v>
      </c>
      <c r="J16" s="1547"/>
      <c r="K16" s="335">
        <f>VLOOKUP($B16&amp;"; "&amp;$K$11&amp;", "&amp;K$12,'FE Energie'!$G:$U,9,FALSE)</f>
        <v>3.8899999999999997E-2</v>
      </c>
      <c r="L16" s="335">
        <f>VLOOKUP($B16&amp;"; "&amp;$K$11&amp;", "&amp;L$12,'FE Energie'!$G:$U,9,FALSE)</f>
        <v>0.20499999999999999</v>
      </c>
      <c r="M16" s="1547"/>
      <c r="N16" s="335">
        <f>VLOOKUP($B16&amp;"; "&amp;$N$11&amp;", "&amp;N$12,'FE Energie'!$G:$U,9,FALSE)</f>
        <v>378</v>
      </c>
      <c r="O16" s="335">
        <f>VLOOKUP($B16&amp;"; "&amp;$N$11&amp;", "&amp;O$12,'FE Energie'!$G:$U,9,FALSE)</f>
        <v>2390</v>
      </c>
      <c r="P16" s="1547"/>
      <c r="Q16" s="335" t="e">
        <f>VLOOKUP($B16&amp;"; "&amp;$Q$11&amp;", "&amp;Q$12,'FE Energie'!$G:$U,9,FALSE)</f>
        <v>#N/A</v>
      </c>
      <c r="R16" s="335" t="e">
        <f>VLOOKUP($B16&amp;"; "&amp;$Q$11&amp;", "&amp;R$12,'FE Energie'!$G:$U,9,FALSE)</f>
        <v>#N/A</v>
      </c>
      <c r="S16" s="566">
        <f>IF(ISNA(G16*H16),0,G16*H16)+IF(ISNA(J16*K16),0,J16*K16)+IF(ISNA(M16*N16),0,M16*N16)+IF(ISNA(P16*Q16),0,P16*Q16)</f>
        <v>0</v>
      </c>
      <c r="T16" s="567">
        <f>IF(ISNA(G16*I16),0,G16*I16)+IF(ISNA(J16*L16),0,J16*L16)+IF(ISNA(M16*O16),0,M16*O16)+IF(ISNA(P16*R16),0,P16*R16)</f>
        <v>0</v>
      </c>
      <c r="U16" s="114"/>
      <c r="V16" s="1092">
        <f>IF(AA16=0,AA16,AA16/(S16+T16))</f>
        <v>0</v>
      </c>
      <c r="W16" s="343"/>
      <c r="X16" s="820"/>
      <c r="Y16" s="164">
        <f>SQRT(SUMSQ(IF(ISNA($G16*H16*AV16),0,$G16*H16*AV16),IF(ISNA($J16*K16*AW16),0,$J16*K16*AW16),IF(ISNA($M16*N16*AX16),0,$M16*N16*AX16),IF(ISNA($P16*Q16*AY16),0,$P16*Q16*AY16)))</f>
        <v>0</v>
      </c>
      <c r="Z16" s="164">
        <f>SQRT(SUMSQ(IF(ISNA($G16*I16*AZ16),0,$G16*I16*AZ16),IF(ISNA($J16*L16*BA16),0,$J16*L16*BA16),IF(ISNA($M16*O16*BB16),0,$M16*O16*BB16),IF(ISNA($P16*R16*BC16),0,$P16*R16*BC16)))</f>
        <v>0</v>
      </c>
      <c r="AA16" s="151">
        <f t="shared" si="1"/>
        <v>0</v>
      </c>
      <c r="AB16" s="1761"/>
      <c r="AC16" s="1788"/>
      <c r="AD16" s="1790"/>
      <c r="AE16" s="565">
        <f>$G16*IF(ISNA(VLOOKUP($B16&amp;"; "&amp;$H$11&amp;", "&amp;H$12,'FE Energie'!$G:$U,10,FALSE)),0,VLOOKUP($B16&amp;"; "&amp;$H$11&amp;", "&amp;H$12,'FE Energie'!$G:$U,10,FALSE))
+$J16*IF(ISNA(VLOOKUP($B16&amp;"; "&amp;$K$11&amp;", "&amp;H$12,'FE Energie'!$G:$U,10,FALSE)),0,VLOOKUP($B16&amp;"; "&amp;$K$11&amp;", "&amp;H$12,'FE Energie'!$G:$U,10,FALSE))
+$M16*IF(ISNA(VLOOKUP($B16&amp;"; "&amp;$N$11&amp;", "&amp;H$12,'FE Energie'!$G:$U,10,FALSE)),0,VLOOKUP($B16&amp;"; "&amp;$N$11&amp;", "&amp;H$12,'FE Energie'!$G:$U,10,FALSE))
+$P16*IF(ISNA(VLOOKUP($B16&amp;"; "&amp;$Q$11&amp;", "&amp;H$12,'FE Energie'!$G:$U,10,FALSE)),0,VLOOKUP($B16&amp;"; "&amp;$Q$11&amp;", "&amp;H$12,'FE Energie'!$G:$U,10,FALSE))</f>
        <v>0</v>
      </c>
      <c r="AF16" s="565">
        <f>$G16*IF(ISNA(VLOOKUP($B16&amp;"; "&amp;$H$11&amp;", "&amp;I$12,'FE Energie'!$G:$U,10,FALSE)),0,VLOOKUP($B16&amp;"; "&amp;$H$11&amp;", "&amp;I$12,'FE Energie'!$G:$U,10,FALSE))
+$J16*IF(ISNA(VLOOKUP($B16&amp;"; "&amp;$K$11&amp;", "&amp;I$12,'FE Energie'!$G:$U,10,FALSE)),0,VLOOKUP($B16&amp;"; "&amp;$K$11&amp;", "&amp;I$12,'FE Energie'!$G:$U,10,FALSE))
+$M16*IF(ISNA(VLOOKUP($B16&amp;"; "&amp;$N$11&amp;", "&amp;I$12,'FE Energie'!$G:$U,10,FALSE)),0,VLOOKUP($B16&amp;"; "&amp;$N$11&amp;", "&amp;I$12,'FE Energie'!$G:$U,10,FALSE))
+$P16*IF(ISNA(VLOOKUP($B16&amp;"; "&amp;$Q$11&amp;", "&amp;I$12,'FE Energie'!$G:$U,10,FALSE)),0,VLOOKUP($B16&amp;"; "&amp;$Q$11&amp;", "&amp;I$12,'FE Energie'!$G:$U,10,FALSE))</f>
        <v>0</v>
      </c>
      <c r="AG16" s="620">
        <f>$G16*IF(ISNA((VLOOKUP($B16&amp;"; "&amp;$H$11&amp;", "&amp;H$12,'FE Energie'!$G:$U,12,FALSE)+VLOOKUP($B16&amp;"; "&amp;$H$11&amp;", "&amp;H$12,'FE Energie'!$G:$U,11,FALSE))),0,(VLOOKUP($B16&amp;"; "&amp;$H$11&amp;", "&amp;H$12,'FE Energie'!$G:$U,12,FALSE)+VLOOKUP($B16&amp;"; "&amp;$H$11&amp;", "&amp;H$12,'FE Energie'!$G:$U,11,FALSE)))
+$J16*IF(ISNA((VLOOKUP($B16&amp;"; "&amp;$K$11&amp;", "&amp;H$12,'FE Energie'!$G:$U,12,FALSE)+VLOOKUP($B16&amp;"; "&amp;$K$11&amp;", "&amp;H$12,'FE Energie'!$G:$U,11,FALSE))),0,(VLOOKUP($B16&amp;"; "&amp;$K$11&amp;", "&amp;H$12,'FE Energie'!$G:$U,12,FALSE)+VLOOKUP($B16&amp;"; "&amp;$K$11&amp;", "&amp;H$12,'FE Energie'!$G:$U,11,FALSE)))
+$M16*IF(ISNA((VLOOKUP($B16&amp;"; "&amp;$N$11&amp;", "&amp;H$12,'FE Energie'!$G:$U,12,FALSE)+VLOOKUP($B16&amp;"; "&amp;$N$11&amp;", "&amp;H$12,'FE Energie'!$G:$U,11,FALSE))),0,(VLOOKUP($B16&amp;"; "&amp;$N$11&amp;", "&amp;H$12,'FE Energie'!$G:$U,12,FALSE)+VLOOKUP($B16&amp;"; "&amp;$N$11&amp;", "&amp;H$12,'FE Energie'!$G:$U,11,FALSE)))
+$P16*IF(ISNA((VLOOKUP($B16&amp;"; "&amp;$Q$11&amp;", "&amp;H$12,'FE Energie'!$G:$U,12,FALSE)+VLOOKUP($B16&amp;"; "&amp;$Q$11&amp;", "&amp;H$12,'FE Energie'!$G:$U,11,FALSE))),0,(VLOOKUP($B16&amp;"; "&amp;$Q$11&amp;", "&amp;H$12,'FE Energie'!$G:$U,12,FALSE)+VLOOKUP($B16&amp;"; "&amp;$Q$11&amp;", "&amp;H$12,'FE Energie'!$G:$U,11,FALSE)))</f>
        <v>0</v>
      </c>
      <c r="AH16" s="620">
        <f>$G16*IF(ISNA((VLOOKUP($B16&amp;"; "&amp;$H$11&amp;", "&amp;I$12,'FE Energie'!$G:$U,12,FALSE)+VLOOKUP($B16&amp;"; "&amp;$H$11&amp;", "&amp;I$12,'FE Energie'!$G:$U,11,FALSE))),0,(VLOOKUP($B16&amp;"; "&amp;$H$11&amp;", "&amp;I$12,'FE Energie'!$G:$U,12,FALSE)+VLOOKUP($B16&amp;"; "&amp;$H$11&amp;", "&amp;I$12,'FE Energie'!$G:$U,11,FALSE)))
+$J16*IF(ISNA((VLOOKUP($B16&amp;"; "&amp;$K$11&amp;", "&amp;I$12,'FE Energie'!$G:$U,12,FALSE)+VLOOKUP($B16&amp;"; "&amp;$K$11&amp;", "&amp;I$12,'FE Energie'!$G:$U,11,FALSE))),0,(VLOOKUP($B16&amp;"; "&amp;$K$11&amp;", "&amp;I$12,'FE Energie'!$G:$U,12,FALSE)+VLOOKUP($B16&amp;"; "&amp;$K$11&amp;", "&amp;I$12,'FE Energie'!$G:$U,11,FALSE)))
+$M16*IF(ISNA((VLOOKUP($B16&amp;"; "&amp;$N$11&amp;", "&amp;I$12,'FE Energie'!$G:$U,12,FALSE)+VLOOKUP($B16&amp;"; "&amp;$N$11&amp;", "&amp;I$12,'FE Energie'!$G:$U,11,FALSE))),0,(VLOOKUP($B16&amp;"; "&amp;$N$11&amp;", "&amp;I$12,'FE Energie'!$G:$U,12,FALSE)+VLOOKUP($B16&amp;"; "&amp;$N$11&amp;", "&amp;I$12,'FE Energie'!$G:$U,11,FALSE)))
+$P16*IF(ISNA((VLOOKUP($B16&amp;"; "&amp;$Q$11&amp;", "&amp;I$12,'FE Energie'!$G:$U,12,FALSE)+VLOOKUP($B16&amp;"; "&amp;$Q$11&amp;", "&amp;I$12,'FE Energie'!$G:$U,11,FALSE))),0,(VLOOKUP($B16&amp;"; "&amp;$Q$11&amp;", "&amp;I$12,'FE Energie'!$G:$U,12,FALSE)+VLOOKUP($B16&amp;"; "&amp;$Q$11&amp;", "&amp;I$12,'FE Energie'!$G:$U,11,FALSE)))</f>
        <v>0</v>
      </c>
      <c r="AI16" s="620">
        <f>$G16*IF(ISNA(VLOOKUP($B16&amp;"; "&amp;$H$11&amp;", "&amp;H$12,'FE Energie'!$G:$U,13,FALSE)),0,VLOOKUP($B16&amp;"; "&amp;$H$11&amp;", "&amp;H$12,'FE Energie'!$G:$U,13,FALSE))
+$J16*IF(ISNA(VLOOKUP($B16&amp;"; "&amp;$K$11&amp;", "&amp;H$12,'FE Energie'!$G:$U,13,FALSE)),0,VLOOKUP($B16&amp;"; "&amp;$K$11&amp;", "&amp;H$12,'FE Energie'!$G:$U,13,FALSE))
+$M16*IF(ISNA(VLOOKUP($B16&amp;"; "&amp;$N$11&amp;", "&amp;H$12,'FE Energie'!$G:$U,13,FALSE)),0,VLOOKUP($B16&amp;"; "&amp;$N$11&amp;", "&amp;H$12,'FE Energie'!$G:$U,13,FALSE))
+$P16*IF(ISNA(VLOOKUP($B16&amp;"; "&amp;$Q$11&amp;", "&amp;H$12,'FE Energie'!$G:$U,13,FALSE)),0,VLOOKUP($B16&amp;"; "&amp;$Q$11&amp;", "&amp;H$12,'FE Energie'!$G:$U,13,FALSE))</f>
        <v>0</v>
      </c>
      <c r="AJ16" s="620">
        <f>$G16*IF(ISNA(VLOOKUP($B16&amp;"; "&amp;$H$11&amp;", "&amp;I$12,'FE Energie'!$G:$U,13,FALSE)),0,VLOOKUP($B16&amp;"; "&amp;$H$11&amp;", "&amp;I$12,'FE Energie'!$G:$U,13,FALSE))
+$J16*IF(ISNA(VLOOKUP($B16&amp;"; "&amp;$K$11&amp;", "&amp;I$12,'FE Energie'!$G:$U,13,FALSE)),0,VLOOKUP($B16&amp;"; "&amp;$K$11&amp;", "&amp;I$12,'FE Energie'!$G:$U,13,FALSE))
+$M16*IF(ISNA(VLOOKUP($B16&amp;"; "&amp;$N$11&amp;", "&amp;I$12,'FE Energie'!$G:$U,13,FALSE)),0,VLOOKUP($B16&amp;"; "&amp;$N$11&amp;", "&amp;I$12,'FE Energie'!$G:$U,13,FALSE))
+$P16*IF(ISNA(VLOOKUP($B16&amp;"; "&amp;$Q$11&amp;", "&amp;I$12,'FE Energie'!$G:$U,13,FALSE)),0,VLOOKUP($B16&amp;"; "&amp;$Q$11&amp;", "&amp;I$12,'FE Energie'!$G:$U,13,FALSE))</f>
        <v>0</v>
      </c>
      <c r="AK16" s="565">
        <f>$G16*IF(ISNA(VLOOKUP($B16&amp;"; "&amp;$H$11&amp;", "&amp;H$12,'FE Energie'!$G:$U,14,FALSE)),0,VLOOKUP($B16&amp;"; "&amp;$H$11&amp;", "&amp;H$12,'FE Energie'!$G:$U,14,FALSE))
+$J16*IF(ISNA(VLOOKUP($B16&amp;"; "&amp;$K$11&amp;", "&amp;H$12,'FE Energie'!$G:$U,14,FALSE)),0,VLOOKUP($B16&amp;"; "&amp;$K$11&amp;", "&amp;H$12,'FE Energie'!$G:$U,14,FALSE))
+$M16*IF(ISNA(VLOOKUP($B16&amp;"; "&amp;$N$11&amp;", "&amp;H$12,'FE Energie'!$G:$U,14,FALSE)),0,VLOOKUP($B16&amp;"; "&amp;$N$11&amp;", "&amp;H$12,'FE Energie'!$G:$U,14,FALSE))
+$P16*IF(ISNA(VLOOKUP($B16&amp;"; "&amp;$Q$11&amp;", "&amp;H$12,'FE Energie'!$G:$U,14,FALSE)),0,VLOOKUP($B16&amp;"; "&amp;$Q$11&amp;", "&amp;H$12,'FE Energie'!$G:$U,14,FALSE))</f>
        <v>0</v>
      </c>
      <c r="AL16" s="565">
        <f>$G16*IF(ISNA(VLOOKUP($B16&amp;"; "&amp;$H$11&amp;", "&amp;I$12,'FE Energie'!$G:$U,14,FALSE)),0,VLOOKUP($B16&amp;"; "&amp;$H$11&amp;", "&amp;I$12,'FE Energie'!$G:$U,14,FALSE))
+$J16*IF(ISNA(VLOOKUP($B16&amp;"; "&amp;$K$11&amp;", "&amp;I$12,'FE Energie'!$G:$U,14,FALSE)),0,VLOOKUP($B16&amp;"; "&amp;$K$11&amp;", "&amp;I$12,'FE Energie'!$G:$U,14,FALSE))
+$M16*IF(ISNA(VLOOKUP($B16&amp;"; "&amp;$N$11&amp;", "&amp;I$12,'FE Energie'!$G:$U,14,FALSE)),0,VLOOKUP($B16&amp;"; "&amp;$N$11&amp;", "&amp;I$12,'FE Energie'!$G:$U,14,FALSE))
+$P16*IF(ISNA(VLOOKUP($B16&amp;"; "&amp;$Q$11&amp;", "&amp;I$12,'FE Energie'!$G:$U,14,FALSE)),0,VLOOKUP($B16&amp;"; "&amp;$Q$11&amp;", "&amp;I$12,'FE Energie'!$G:$U,14,FALSE))</f>
        <v>0</v>
      </c>
      <c r="AM16" s="566">
        <f t="shared" si="2"/>
        <v>0</v>
      </c>
      <c r="AN16" s="566">
        <f t="shared" si="3"/>
        <v>0</v>
      </c>
      <c r="AO16" s="564">
        <f>$G16*IF(ISNA(VLOOKUP($B16&amp;"; "&amp;$H$11&amp;", "&amp;H$12,'FE Energie'!$G:$U,15,FALSE)),0,VLOOKUP($B16&amp;"; "&amp;$H$11&amp;", "&amp;H$12,'FE Energie'!$G:$U,15,FALSE))
+$J16*IF(ISNA(VLOOKUP($B16&amp;"; "&amp;$K$11&amp;", "&amp;H$12,'FE Energie'!$G:$U,15,FALSE)),0,VLOOKUP($B16&amp;"; "&amp;$K$11&amp;", "&amp;H$12,'FE Energie'!$G:$U,15,FALSE))
+$M16*IF(ISNA(VLOOKUP($B16&amp;"; "&amp;$N$11&amp;", "&amp;H$12,'FE Energie'!$G:$U,15,FALSE)),0,VLOOKUP($B16&amp;"; "&amp;$N$11&amp;", "&amp;H$12,'FE Energie'!$G:$U,15,FALSE))
+$P16*IF(ISNA(VLOOKUP($B16&amp;"; "&amp;$Q$11&amp;", "&amp;H$12,'FE Energie'!$G:$U,15,FALSE)),0,VLOOKUP($B16&amp;"; "&amp;$Q$11&amp;", "&amp;H$12,'FE Energie'!$G:$U,15,FALSE))</f>
        <v>0</v>
      </c>
      <c r="AP16" s="568">
        <f>$G16*IF(ISNA(VLOOKUP($B16&amp;"; "&amp;$H$11&amp;", "&amp;I$12,'FE Energie'!$G:$U,15,FALSE)),0,VLOOKUP($B16&amp;"; "&amp;$H$11&amp;", "&amp;I$12,'FE Energie'!$G:$U,15,FALSE))
+$J16*IF(ISNA(VLOOKUP($B16&amp;"; "&amp;$K$11&amp;", "&amp;I$12,'FE Energie'!$G:$U,15,FALSE)),0,VLOOKUP($B16&amp;"; "&amp;$K$11&amp;", "&amp;I$12,'FE Energie'!$G:$U,15,FALSE))
+$M16*IF(ISNA(VLOOKUP($B16&amp;"; "&amp;$N$11&amp;", "&amp;I$12,'FE Energie'!$G:$U,15,FALSE)),0,VLOOKUP($B16&amp;"; "&amp;$N$11&amp;", "&amp;I$12,'FE Energie'!$G:$U,15,FALSE))
+$P16*IF(ISNA(VLOOKUP($B16&amp;"; "&amp;$Q$11&amp;", "&amp;I$12,'FE Energie'!$G:$U,15,FALSE)),0,VLOOKUP($B16&amp;"; "&amp;$Q$11&amp;", "&amp;I$12,'FE Energie'!$G:$U,15,FALSE))</f>
        <v>0</v>
      </c>
      <c r="AQ16" s="114"/>
      <c r="AR16" s="1065">
        <f>IF($W16&lt;&gt;"votre valeur :",IF(ISNA(VLOOKUP($W16,Utilitaires!$N$566:$O$571,2,FALSE)),,VLOOKUP($W16,Utilitaires!$N$566:$O$571,2,FALSE)),$X16)</f>
        <v>0</v>
      </c>
      <c r="AS16" s="1065">
        <f>IF($W16&lt;&gt;"votre valeur :",IF(ISNA(VLOOKUP($W16,Utilitaires!$N$566:$O$571,2,FALSE)),,VLOOKUP($W16,Utilitaires!$N$566:$O$571,2,FALSE)),$X16)</f>
        <v>0</v>
      </c>
      <c r="AT16" s="1065">
        <f>IF($W16&lt;&gt;"votre valeur :",IF(ISNA(VLOOKUP($W16,Utilitaires!$N$566:$O$571,2,FALSE)),,VLOOKUP($W16,Utilitaires!$N$566:$O$571,2,FALSE)),$X16)</f>
        <v>0</v>
      </c>
      <c r="AU16" s="1167">
        <f>IF($W16&lt;&gt;"votre valeur :",IF(ISNA(VLOOKUP($W16,Utilitaires!$N$566:$O$571,2,FALSE)),,VLOOKUP($W16,Utilitaires!$N$566:$O$571,2,FALSE)),$X16)</f>
        <v>0</v>
      </c>
      <c r="AV16" s="1068">
        <f>IF(ISNA(SQRT(SUMSQ(VLOOKUP($B16&amp;"; "&amp;$H$11&amp;", "&amp;$H$12,'FE Energie'!$G:$U,7,FALSE),$AR16))),0,SQRT(SUMSQ(VLOOKUP($B16&amp;"; "&amp;$H$11&amp;", "&amp;$H$12,'FE Energie'!$G:$U,7,FALSE),$AR16)))</f>
        <v>0</v>
      </c>
      <c r="AW16" s="1068">
        <f>IF(ISNA(SQRT(SUMSQ(VLOOKUP($B16&amp;"; "&amp;$K$11&amp;", "&amp;$K$12,'FE Energie'!$G:$U,7,FALSE),$AS16))),0,SQRT(SUMSQ(VLOOKUP($B16&amp;"; "&amp;$K$11&amp;", "&amp;$K$12,'FE Energie'!$G:$U,7,FALSE),$AS16)))</f>
        <v>0.05</v>
      </c>
      <c r="AX16" s="1068">
        <f>IF(ISNA(SQRT(SUMSQ(VLOOKUP($B16&amp;"; "&amp;$N$11&amp;", "&amp;$N$12,'FE Energie'!$G:$U,7,FALSE),$AT16))),0,SQRT(SUMSQ(VLOOKUP($B16&amp;"; "&amp;$N$11&amp;", "&amp;$N$12,'FE Energie'!$G:$U,7,FALSE),$AT16)))</f>
        <v>0.05</v>
      </c>
      <c r="AY16" s="1068">
        <f>IF(ISNA(SQRT(SUMSQ(VLOOKUP($B16&amp;"; "&amp;$Q$11&amp;", "&amp;$Q$12,'FE Energie'!$G:$U,7,FALSE),$AU16))),0,SQRT(SUMSQ(VLOOKUP($B16&amp;"; "&amp;$Q$11&amp;", "&amp;$Q$12,'FE Energie'!$G:$U,7,FALSE),$AU16)))</f>
        <v>0</v>
      </c>
      <c r="AZ16" s="1069">
        <f>IF(ISNA(SQRT(SUMSQ(VLOOKUP($B16&amp;"; "&amp;$H$11&amp;", "&amp;$I$12,'FE Energie'!$G:$U,7,FALSE),$AR16))),0,SQRT(SUMSQ(VLOOKUP($B16&amp;"; "&amp;$H$11&amp;", "&amp;$I$12,'FE Energie'!$G:$U,7,FALSE),$AR16)))</f>
        <v>0</v>
      </c>
      <c r="BA16" s="1070">
        <f>IF(ISNA(SQRT(SUMSQ(VLOOKUP($B16&amp;"; "&amp;$K$11&amp;", "&amp;$L$12,'FE Energie'!$G:$U,7,FALSE),$AS16))),0,SQRT(SUMSQ(VLOOKUP($B16&amp;"; "&amp;$K$11&amp;", "&amp;$L$12,'FE Energie'!$G:$U,7,FALSE),$AS16)))</f>
        <v>0.05</v>
      </c>
      <c r="BB16" s="1070">
        <f>IF(ISNA(SQRT(SUMSQ(VLOOKUP($B16&amp;"; "&amp;$N$11&amp;", "&amp;$O$12,'FE Energie'!$G:$U,7,FALSE),$AT16))),0,SQRT(SUMSQ(VLOOKUP($B16&amp;"; "&amp;$N$11&amp;", "&amp;$O$12,'FE Energie'!$G:$U,7,FALSE),$AT16)))</f>
        <v>0.05</v>
      </c>
      <c r="BC16" s="1071">
        <f>IF(ISNA(SQRT(SUMSQ(VLOOKUP($B16&amp;"; "&amp;$Q$11&amp;", "&amp;$R$12,'FE Energie'!$G:$U,7,FALSE),$AU16))),0,SQRT(SUMSQ(VLOOKUP($B16&amp;"; "&amp;$Q$11&amp;", "&amp;$R$12,'FE Energie'!$G:$U,7,FALSE),$AU16)))</f>
        <v>0</v>
      </c>
    </row>
    <row r="17" spans="1:55" s="116" customFormat="1" ht="12.75" hidden="1" customHeight="1" outlineLevel="1">
      <c r="A17" s="114"/>
      <c r="B17" s="143" t="s">
        <v>1627</v>
      </c>
      <c r="C17" s="144"/>
      <c r="D17" s="315">
        <f t="shared" si="0"/>
        <v>0</v>
      </c>
      <c r="E17" s="315"/>
      <c r="F17" s="123"/>
      <c r="G17" s="1548"/>
      <c r="H17" s="335" t="e">
        <f>VLOOKUP($B17&amp;"; "&amp;$H$11&amp;", "&amp;H$12,'FE Energie'!$G:$U,9,FALSE)</f>
        <v>#N/A</v>
      </c>
      <c r="I17" s="335" t="e">
        <f>VLOOKUP($B17&amp;"; "&amp;$H$11&amp;", "&amp;I$12,'FE Energie'!$G:$U,9,FALSE)</f>
        <v>#N/A</v>
      </c>
      <c r="J17" s="1548"/>
      <c r="K17" s="335" t="e">
        <f>VLOOKUP($B17&amp;"; "&amp;$K$11&amp;", "&amp;K$12,'FE Energie'!$G:$U,9,FALSE)</f>
        <v>#N/A</v>
      </c>
      <c r="L17" s="335" t="e">
        <f>VLOOKUP($B17&amp;"; "&amp;$K$11&amp;", "&amp;L$12,'FE Energie'!$G:$U,9,FALSE)</f>
        <v>#N/A</v>
      </c>
      <c r="M17" s="1548"/>
      <c r="N17" s="335" t="e">
        <f>VLOOKUP($B17&amp;"; "&amp;$N$11&amp;", "&amp;N$12,'FE Energie'!$G:$U,9,FALSE)</f>
        <v>#N/A</v>
      </c>
      <c r="O17" s="335" t="e">
        <f>VLOOKUP($B17&amp;"; "&amp;$N$11&amp;", "&amp;O$12,'FE Energie'!$G:$U,9,FALSE)</f>
        <v>#N/A</v>
      </c>
      <c r="P17" s="1548"/>
      <c r="Q17" s="335" t="e">
        <f>VLOOKUP($B17&amp;"; "&amp;$Q$11&amp;", "&amp;Q$12,'FE Energie'!$G:$U,9,FALSE)</f>
        <v>#N/A</v>
      </c>
      <c r="R17" s="335" t="e">
        <f>VLOOKUP($B17&amp;"; "&amp;$Q$11&amp;", "&amp;R$12,'FE Energie'!$G:$U,9,FALSE)</f>
        <v>#N/A</v>
      </c>
      <c r="S17" s="566">
        <f>IF(ISNA(G17*H17),0,G17*H17)+IF(ISNA(J17*K17),0,J17*K17)+IF(ISNA(M17*N17),0,M17*N17)+IF(ISNA(P17*Q17),0,P17*Q17)</f>
        <v>0</v>
      </c>
      <c r="T17" s="567">
        <f>IF(ISNA(G17*I17),0,G17*I17)+IF(ISNA(J17*L17),0,J17*L17)+IF(ISNA(M17*O17),0,M17*O17)+IF(ISNA(P17*R17),0,P17*R17)</f>
        <v>0</v>
      </c>
      <c r="U17" s="114"/>
      <c r="V17" s="1092">
        <f>IF(AA17=0,AA17,AA17/(S17+T17))</f>
        <v>0</v>
      </c>
      <c r="W17" s="345"/>
      <c r="X17" s="820"/>
      <c r="Y17" s="164">
        <f>SQRT(SUMSQ(IF(ISNA($G17*H17*AV17),0,$G17*H17*AV17),IF(ISNA($J17*K17*AW17),0,$J17*K17*AW17),IF(ISNA($M17*N17*AX17),0,$M17*N17*AX17),IF(ISNA($P17*Q17*AY17),0,$P17*Q17*AY17)))</f>
        <v>0</v>
      </c>
      <c r="Z17" s="164">
        <f>SQRT(SUMSQ(IF(ISNA($G17*I17*AZ17),0,$G17*I17*AZ17),IF(ISNA($J17*L17*BA17),0,$J17*L17*BA17),IF(ISNA($M17*O17*BB17),0,$M17*O17*BB17),IF(ISNA($P17*R17*BC17),0,$P17*R17*BC17)))</f>
        <v>0</v>
      </c>
      <c r="AA17" s="151">
        <f t="shared" si="1"/>
        <v>0</v>
      </c>
      <c r="AB17" s="1761"/>
      <c r="AC17" s="1788"/>
      <c r="AD17" s="1790"/>
      <c r="AE17" s="565">
        <f>$G17*IF(ISNA(VLOOKUP($B17&amp;"; "&amp;$H$11&amp;", "&amp;H$12,'FE Energie'!$G:$U,10,FALSE)),0,VLOOKUP($B17&amp;"; "&amp;$H$11&amp;", "&amp;H$12,'FE Energie'!$G:$U,10,FALSE))
+$J17*IF(ISNA(VLOOKUP($B17&amp;"; "&amp;$K$11&amp;", "&amp;H$12,'FE Energie'!$G:$U,10,FALSE)),0,VLOOKUP($B17&amp;"; "&amp;$K$11&amp;", "&amp;H$12,'FE Energie'!$G:$U,10,FALSE))
+$M17*IF(ISNA(VLOOKUP($B17&amp;"; "&amp;$N$11&amp;", "&amp;H$12,'FE Energie'!$G:$U,10,FALSE)),0,VLOOKUP($B17&amp;"; "&amp;$N$11&amp;", "&amp;H$12,'FE Energie'!$G:$U,10,FALSE))
+$P17*IF(ISNA(VLOOKUP($B17&amp;"; "&amp;$Q$11&amp;", "&amp;H$12,'FE Energie'!$G:$U,10,FALSE)),0,VLOOKUP($B17&amp;"; "&amp;$Q$11&amp;", "&amp;H$12,'FE Energie'!$G:$U,10,FALSE))</f>
        <v>0</v>
      </c>
      <c r="AF17" s="565">
        <f>$G17*IF(ISNA(VLOOKUP($B17&amp;"; "&amp;$H$11&amp;", "&amp;I$12,'FE Energie'!$G:$U,10,FALSE)),0,VLOOKUP($B17&amp;"; "&amp;$H$11&amp;", "&amp;I$12,'FE Energie'!$G:$U,10,FALSE))
+$J17*IF(ISNA(VLOOKUP($B17&amp;"; "&amp;$K$11&amp;", "&amp;I$12,'FE Energie'!$G:$U,10,FALSE)),0,VLOOKUP($B17&amp;"; "&amp;$K$11&amp;", "&amp;I$12,'FE Energie'!$G:$U,10,FALSE))
+$M17*IF(ISNA(VLOOKUP($B17&amp;"; "&amp;$N$11&amp;", "&amp;I$12,'FE Energie'!$G:$U,10,FALSE)),0,VLOOKUP($B17&amp;"; "&amp;$N$11&amp;", "&amp;I$12,'FE Energie'!$G:$U,10,FALSE))
+$P17*IF(ISNA(VLOOKUP($B17&amp;"; "&amp;$Q$11&amp;", "&amp;I$12,'FE Energie'!$G:$U,10,FALSE)),0,VLOOKUP($B17&amp;"; "&amp;$Q$11&amp;", "&amp;I$12,'FE Energie'!$G:$U,10,FALSE))</f>
        <v>0</v>
      </c>
      <c r="AG17" s="620">
        <f>$G17*IF(ISNA((VLOOKUP($B17&amp;"; "&amp;$H$11&amp;", "&amp;H$12,'FE Energie'!$G:$U,12,FALSE)+VLOOKUP($B17&amp;"; "&amp;$H$11&amp;", "&amp;H$12,'FE Energie'!$G:$U,11,FALSE))),0,(VLOOKUP($B17&amp;"; "&amp;$H$11&amp;", "&amp;H$12,'FE Energie'!$G:$U,12,FALSE)+VLOOKUP($B17&amp;"; "&amp;$H$11&amp;", "&amp;H$12,'FE Energie'!$G:$U,11,FALSE)))
+$J17*IF(ISNA((VLOOKUP($B17&amp;"; "&amp;$K$11&amp;", "&amp;H$12,'FE Energie'!$G:$U,12,FALSE)+VLOOKUP($B17&amp;"; "&amp;$K$11&amp;", "&amp;H$12,'FE Energie'!$G:$U,11,FALSE))),0,(VLOOKUP($B17&amp;"; "&amp;$K$11&amp;", "&amp;H$12,'FE Energie'!$G:$U,12,FALSE)+VLOOKUP($B17&amp;"; "&amp;$K$11&amp;", "&amp;H$12,'FE Energie'!$G:$U,11,FALSE)))
+$M17*IF(ISNA((VLOOKUP($B17&amp;"; "&amp;$N$11&amp;", "&amp;H$12,'FE Energie'!$G:$U,12,FALSE)+VLOOKUP($B17&amp;"; "&amp;$N$11&amp;", "&amp;H$12,'FE Energie'!$G:$U,11,FALSE))),0,(VLOOKUP($B17&amp;"; "&amp;$N$11&amp;", "&amp;H$12,'FE Energie'!$G:$U,12,FALSE)+VLOOKUP($B17&amp;"; "&amp;$N$11&amp;", "&amp;H$12,'FE Energie'!$G:$U,11,FALSE)))
+$P17*IF(ISNA((VLOOKUP($B17&amp;"; "&amp;$Q$11&amp;", "&amp;H$12,'FE Energie'!$G:$U,12,FALSE)+VLOOKUP($B17&amp;"; "&amp;$Q$11&amp;", "&amp;H$12,'FE Energie'!$G:$U,11,FALSE))),0,(VLOOKUP($B17&amp;"; "&amp;$Q$11&amp;", "&amp;H$12,'FE Energie'!$G:$U,12,FALSE)+VLOOKUP($B17&amp;"; "&amp;$Q$11&amp;", "&amp;H$12,'FE Energie'!$G:$U,11,FALSE)))</f>
        <v>0</v>
      </c>
      <c r="AH17" s="620">
        <f>$G17*IF(ISNA((VLOOKUP($B17&amp;"; "&amp;$H$11&amp;", "&amp;I$12,'FE Energie'!$G:$U,12,FALSE)+VLOOKUP($B17&amp;"; "&amp;$H$11&amp;", "&amp;I$12,'FE Energie'!$G:$U,11,FALSE))),0,(VLOOKUP($B17&amp;"; "&amp;$H$11&amp;", "&amp;I$12,'FE Energie'!$G:$U,12,FALSE)+VLOOKUP($B17&amp;"; "&amp;$H$11&amp;", "&amp;I$12,'FE Energie'!$G:$U,11,FALSE)))
+$J17*IF(ISNA((VLOOKUP($B17&amp;"; "&amp;$K$11&amp;", "&amp;I$12,'FE Energie'!$G:$U,12,FALSE)+VLOOKUP($B17&amp;"; "&amp;$K$11&amp;", "&amp;I$12,'FE Energie'!$G:$U,11,FALSE))),0,(VLOOKUP($B17&amp;"; "&amp;$K$11&amp;", "&amp;I$12,'FE Energie'!$G:$U,12,FALSE)+VLOOKUP($B17&amp;"; "&amp;$K$11&amp;", "&amp;I$12,'FE Energie'!$G:$U,11,FALSE)))
+$M17*IF(ISNA((VLOOKUP($B17&amp;"; "&amp;$N$11&amp;", "&amp;I$12,'FE Energie'!$G:$U,12,FALSE)+VLOOKUP($B17&amp;"; "&amp;$N$11&amp;", "&amp;I$12,'FE Energie'!$G:$U,11,FALSE))),0,(VLOOKUP($B17&amp;"; "&amp;$N$11&amp;", "&amp;I$12,'FE Energie'!$G:$U,12,FALSE)+VLOOKUP($B17&amp;"; "&amp;$N$11&amp;", "&amp;I$12,'FE Energie'!$G:$U,11,FALSE)))
+$P17*IF(ISNA((VLOOKUP($B17&amp;"; "&amp;$Q$11&amp;", "&amp;I$12,'FE Energie'!$G:$U,12,FALSE)+VLOOKUP($B17&amp;"; "&amp;$Q$11&amp;", "&amp;I$12,'FE Energie'!$G:$U,11,FALSE))),0,(VLOOKUP($B17&amp;"; "&amp;$Q$11&amp;", "&amp;I$12,'FE Energie'!$G:$U,12,FALSE)+VLOOKUP($B17&amp;"; "&amp;$Q$11&amp;", "&amp;I$12,'FE Energie'!$G:$U,11,FALSE)))</f>
        <v>0</v>
      </c>
      <c r="AI17" s="620">
        <f>$G17*IF(ISNA(VLOOKUP($B17&amp;"; "&amp;$H$11&amp;", "&amp;H$12,'FE Energie'!$G:$U,13,FALSE)),0,VLOOKUP($B17&amp;"; "&amp;$H$11&amp;", "&amp;H$12,'FE Energie'!$G:$U,13,FALSE))
+$J17*IF(ISNA(VLOOKUP($B17&amp;"; "&amp;$K$11&amp;", "&amp;H$12,'FE Energie'!$G:$U,13,FALSE)),0,VLOOKUP($B17&amp;"; "&amp;$K$11&amp;", "&amp;H$12,'FE Energie'!$G:$U,13,FALSE))
+$M17*IF(ISNA(VLOOKUP($B17&amp;"; "&amp;$N$11&amp;", "&amp;H$12,'FE Energie'!$G:$U,13,FALSE)),0,VLOOKUP($B17&amp;"; "&amp;$N$11&amp;", "&amp;H$12,'FE Energie'!$G:$U,13,FALSE))
+$P17*IF(ISNA(VLOOKUP($B17&amp;"; "&amp;$Q$11&amp;", "&amp;H$12,'FE Energie'!$G:$U,13,FALSE)),0,VLOOKUP($B17&amp;"; "&amp;$Q$11&amp;", "&amp;H$12,'FE Energie'!$G:$U,13,FALSE))</f>
        <v>0</v>
      </c>
      <c r="AJ17" s="620">
        <f>$G17*IF(ISNA(VLOOKUP($B17&amp;"; "&amp;$H$11&amp;", "&amp;I$12,'FE Energie'!$G:$U,13,FALSE)),0,VLOOKUP($B17&amp;"; "&amp;$H$11&amp;", "&amp;I$12,'FE Energie'!$G:$U,13,FALSE))
+$J17*IF(ISNA(VLOOKUP($B17&amp;"; "&amp;$K$11&amp;", "&amp;I$12,'FE Energie'!$G:$U,13,FALSE)),0,VLOOKUP($B17&amp;"; "&amp;$K$11&amp;", "&amp;I$12,'FE Energie'!$G:$U,13,FALSE))
+$M17*IF(ISNA(VLOOKUP($B17&amp;"; "&amp;$N$11&amp;", "&amp;I$12,'FE Energie'!$G:$U,13,FALSE)),0,VLOOKUP($B17&amp;"; "&amp;$N$11&amp;", "&amp;I$12,'FE Energie'!$G:$U,13,FALSE))
+$P17*IF(ISNA(VLOOKUP($B17&amp;"; "&amp;$Q$11&amp;", "&amp;I$12,'FE Energie'!$G:$U,13,FALSE)),0,VLOOKUP($B17&amp;"; "&amp;$Q$11&amp;", "&amp;I$12,'FE Energie'!$G:$U,13,FALSE))</f>
        <v>0</v>
      </c>
      <c r="AK17" s="565">
        <f>$G17*IF(ISNA(VLOOKUP($B17&amp;"; "&amp;$H$11&amp;", "&amp;H$12,'FE Energie'!$G:$U,14,FALSE)),0,VLOOKUP($B17&amp;"; "&amp;$H$11&amp;", "&amp;H$12,'FE Energie'!$G:$U,14,FALSE))
+$J17*IF(ISNA(VLOOKUP($B17&amp;"; "&amp;$K$11&amp;", "&amp;H$12,'FE Energie'!$G:$U,14,FALSE)),0,VLOOKUP($B17&amp;"; "&amp;$K$11&amp;", "&amp;H$12,'FE Energie'!$G:$U,14,FALSE))
+$M17*IF(ISNA(VLOOKUP($B17&amp;"; "&amp;$N$11&amp;", "&amp;H$12,'FE Energie'!$G:$U,14,FALSE)),0,VLOOKUP($B17&amp;"; "&amp;$N$11&amp;", "&amp;H$12,'FE Energie'!$G:$U,14,FALSE))
+$P17*IF(ISNA(VLOOKUP($B17&amp;"; "&amp;$Q$11&amp;", "&amp;H$12,'FE Energie'!$G:$U,14,FALSE)),0,VLOOKUP($B17&amp;"; "&amp;$Q$11&amp;", "&amp;H$12,'FE Energie'!$G:$U,14,FALSE))</f>
        <v>0</v>
      </c>
      <c r="AL17" s="565">
        <f>$G17*IF(ISNA(VLOOKUP($B17&amp;"; "&amp;$H$11&amp;", "&amp;I$12,'FE Energie'!$G:$U,14,FALSE)),0,VLOOKUP($B17&amp;"; "&amp;$H$11&amp;", "&amp;I$12,'FE Energie'!$G:$U,14,FALSE))
+$J17*IF(ISNA(VLOOKUP($B17&amp;"; "&amp;$K$11&amp;", "&amp;I$12,'FE Energie'!$G:$U,14,FALSE)),0,VLOOKUP($B17&amp;"; "&amp;$K$11&amp;", "&amp;I$12,'FE Energie'!$G:$U,14,FALSE))
+$M17*IF(ISNA(VLOOKUP($B17&amp;"; "&amp;$N$11&amp;", "&amp;I$12,'FE Energie'!$G:$U,14,FALSE)),0,VLOOKUP($B17&amp;"; "&amp;$N$11&amp;", "&amp;I$12,'FE Energie'!$G:$U,14,FALSE))
+$P17*IF(ISNA(VLOOKUP($B17&amp;"; "&amp;$Q$11&amp;", "&amp;I$12,'FE Energie'!$G:$U,14,FALSE)),0,VLOOKUP($B17&amp;"; "&amp;$Q$11&amp;", "&amp;I$12,'FE Energie'!$G:$U,14,FALSE))</f>
        <v>0</v>
      </c>
      <c r="AM17" s="566">
        <f t="shared" si="2"/>
        <v>0</v>
      </c>
      <c r="AN17" s="566">
        <f t="shared" si="3"/>
        <v>0</v>
      </c>
      <c r="AO17" s="564">
        <f>$G17*IF(ISNA(VLOOKUP($B17&amp;"; "&amp;$H$11&amp;", "&amp;H$12,'FE Energie'!$G:$U,15,FALSE)),0,VLOOKUP($B17&amp;"; "&amp;$H$11&amp;", "&amp;H$12,'FE Energie'!$G:$U,15,FALSE))
+$J17*IF(ISNA(VLOOKUP($B17&amp;"; "&amp;$K$11&amp;", "&amp;H$12,'FE Energie'!$G:$U,15,FALSE)),0,VLOOKUP($B17&amp;"; "&amp;$K$11&amp;", "&amp;H$12,'FE Energie'!$G:$U,15,FALSE))
+$M17*IF(ISNA(VLOOKUP($B17&amp;"; "&amp;$N$11&amp;", "&amp;H$12,'FE Energie'!$G:$U,15,FALSE)),0,VLOOKUP($B17&amp;"; "&amp;$N$11&amp;", "&amp;H$12,'FE Energie'!$G:$U,15,FALSE))
+$P17*IF(ISNA(VLOOKUP($B17&amp;"; "&amp;$Q$11&amp;", "&amp;H$12,'FE Energie'!$G:$U,15,FALSE)),0,VLOOKUP($B17&amp;"; "&amp;$Q$11&amp;", "&amp;H$12,'FE Energie'!$G:$U,15,FALSE))</f>
        <v>0</v>
      </c>
      <c r="AP17" s="568">
        <f>$G17*IF(ISNA(VLOOKUP($B17&amp;"; "&amp;$H$11&amp;", "&amp;I$12,'FE Energie'!$G:$U,15,FALSE)),0,VLOOKUP($B17&amp;"; "&amp;$H$11&amp;", "&amp;I$12,'FE Energie'!$G:$U,15,FALSE))
+$J17*IF(ISNA(VLOOKUP($B17&amp;"; "&amp;$K$11&amp;", "&amp;I$12,'FE Energie'!$G:$U,15,FALSE)),0,VLOOKUP($B17&amp;"; "&amp;$K$11&amp;", "&amp;I$12,'FE Energie'!$G:$U,15,FALSE))
+$M17*IF(ISNA(VLOOKUP($B17&amp;"; "&amp;$N$11&amp;", "&amp;I$12,'FE Energie'!$G:$U,15,FALSE)),0,VLOOKUP($B17&amp;"; "&amp;$N$11&amp;", "&amp;I$12,'FE Energie'!$G:$U,15,FALSE))
+$P17*IF(ISNA(VLOOKUP($B17&amp;"; "&amp;$Q$11&amp;", "&amp;I$12,'FE Energie'!$G:$U,15,FALSE)),0,VLOOKUP($B17&amp;"; "&amp;$Q$11&amp;", "&amp;I$12,'FE Energie'!$G:$U,15,FALSE))</f>
        <v>0</v>
      </c>
      <c r="AQ17" s="114"/>
      <c r="AR17" s="1065">
        <f>IF($W17&lt;&gt;"votre valeur :",IF(ISNA(VLOOKUP($W17,Utilitaires!$N$566:$O$571,2,FALSE)),,VLOOKUP($W17,Utilitaires!$N$566:$O$571,2,FALSE)),$X17)</f>
        <v>0</v>
      </c>
      <c r="AS17" s="1065">
        <f>IF($W17&lt;&gt;"votre valeur :",IF(ISNA(VLOOKUP($W17,Utilitaires!$N$566:$O$571,2,FALSE)),,VLOOKUP($W17,Utilitaires!$N$566:$O$571,2,FALSE)),$X17)</f>
        <v>0</v>
      </c>
      <c r="AT17" s="1065">
        <f>IF($W17&lt;&gt;"votre valeur :",IF(ISNA(VLOOKUP($W17,Utilitaires!$N$566:$O$571,2,FALSE)),,VLOOKUP($W17,Utilitaires!$N$566:$O$571,2,FALSE)),$X17)</f>
        <v>0</v>
      </c>
      <c r="AU17" s="1167">
        <f>IF($W17&lt;&gt;"votre valeur :",IF(ISNA(VLOOKUP($W17,Utilitaires!$N$566:$O$571,2,FALSE)),,VLOOKUP($W17,Utilitaires!$N$566:$O$571,2,FALSE)),$X17)</f>
        <v>0</v>
      </c>
      <c r="AV17" s="1068">
        <f>IF(ISNA(SQRT(SUMSQ(VLOOKUP($B17&amp;"; "&amp;$H$11&amp;", "&amp;$H$12,'FE Energie'!$G:$U,7,FALSE),$AR17))),0,SQRT(SUMSQ(VLOOKUP($B17&amp;"; "&amp;$H$11&amp;", "&amp;$H$12,'FE Energie'!$G:$U,7,FALSE),$AR17)))</f>
        <v>0</v>
      </c>
      <c r="AW17" s="1068">
        <f>IF(ISNA(SQRT(SUMSQ(VLOOKUP($B17&amp;"; "&amp;$K$11&amp;", "&amp;$K$12,'FE Energie'!$G:$U,7,FALSE),$AS17))),0,SQRT(SUMSQ(VLOOKUP($B17&amp;"; "&amp;$K$11&amp;", "&amp;$K$12,'FE Energie'!$G:$U,7,FALSE),$AS17)))</f>
        <v>0</v>
      </c>
      <c r="AX17" s="1068">
        <f>IF(ISNA(SQRT(SUMSQ(VLOOKUP($B17&amp;"; "&amp;$N$11&amp;", "&amp;$N$12,'FE Energie'!$G:$U,7,FALSE),$AT17))),0,SQRT(SUMSQ(VLOOKUP($B17&amp;"; "&amp;$N$11&amp;", "&amp;$N$12,'FE Energie'!$G:$U,7,FALSE),$AT17)))</f>
        <v>0</v>
      </c>
      <c r="AY17" s="1068">
        <f>IF(ISNA(SQRT(SUMSQ(VLOOKUP($B17&amp;"; "&amp;$Q$11&amp;", "&amp;$Q$12,'FE Energie'!$G:$U,7,FALSE),$AU17))),0,SQRT(SUMSQ(VLOOKUP($B17&amp;"; "&amp;$Q$11&amp;", "&amp;$Q$12,'FE Energie'!$G:$U,7,FALSE),$AU17)))</f>
        <v>0</v>
      </c>
      <c r="AZ17" s="1069">
        <f>IF(ISNA(SQRT(SUMSQ(VLOOKUP($B17&amp;"; "&amp;$H$11&amp;", "&amp;$I$12,'FE Energie'!$G:$U,7,FALSE),$AR17))),0,SQRT(SUMSQ(VLOOKUP($B17&amp;"; "&amp;$H$11&amp;", "&amp;$I$12,'FE Energie'!$G:$U,7,FALSE),$AR17)))</f>
        <v>0</v>
      </c>
      <c r="BA17" s="1070">
        <f>IF(ISNA(SQRT(SUMSQ(VLOOKUP($B17&amp;"; "&amp;$K$11&amp;", "&amp;$L$12,'FE Energie'!$G:$U,7,FALSE),$AS17))),0,SQRT(SUMSQ(VLOOKUP($B17&amp;"; "&amp;$K$11&amp;", "&amp;$L$12,'FE Energie'!$G:$U,7,FALSE),$AS17)))</f>
        <v>0</v>
      </c>
      <c r="BB17" s="1070">
        <f>IF(ISNA(SQRT(SUMSQ(VLOOKUP($B17&amp;"; "&amp;$N$11&amp;", "&amp;$O$12,'FE Energie'!$G:$U,7,FALSE),$AT17))),0,SQRT(SUMSQ(VLOOKUP($B17&amp;"; "&amp;$N$11&amp;", "&amp;$O$12,'FE Energie'!$G:$U,7,FALSE),$AT17)))</f>
        <v>0</v>
      </c>
      <c r="BC17" s="1071">
        <f>IF(ISNA(SQRT(SUMSQ(VLOOKUP($B17&amp;"; "&amp;$Q$11&amp;", "&amp;$R$12,'FE Energie'!$G:$U,7,FALSE),$AU17))),0,SQRT(SUMSQ(VLOOKUP($B17&amp;"; "&amp;$Q$11&amp;", "&amp;$R$12,'FE Energie'!$G:$U,7,FALSE),$AU17)))</f>
        <v>0</v>
      </c>
    </row>
    <row r="18" spans="1:55" s="116" customFormat="1" ht="12.75" hidden="1" customHeight="1" outlineLevel="1">
      <c r="A18" s="114"/>
      <c r="B18" s="536" t="s">
        <v>1628</v>
      </c>
      <c r="C18" s="144"/>
      <c r="D18" s="315"/>
      <c r="E18" s="315"/>
      <c r="F18" s="822"/>
      <c r="G18" s="822"/>
      <c r="H18" s="335"/>
      <c r="I18" s="335"/>
      <c r="J18" s="822"/>
      <c r="K18" s="335"/>
      <c r="L18" s="335"/>
      <c r="M18" s="822"/>
      <c r="N18" s="335"/>
      <c r="O18" s="335"/>
      <c r="P18" s="1200"/>
      <c r="Q18" s="335"/>
      <c r="R18" s="335"/>
      <c r="S18" s="566"/>
      <c r="T18" s="567"/>
      <c r="U18" s="114"/>
      <c r="V18" s="1092"/>
      <c r="W18" s="820"/>
      <c r="X18" s="820"/>
      <c r="Y18" s="164"/>
      <c r="Z18" s="164"/>
      <c r="AA18" s="151"/>
      <c r="AB18" s="1761"/>
      <c r="AC18" s="1788"/>
      <c r="AD18" s="1790"/>
      <c r="AE18" s="565"/>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hidden="1" customHeight="1" outlineLevel="1">
      <c r="A19" s="114"/>
      <c r="B19" s="143" t="s">
        <v>1630</v>
      </c>
      <c r="C19" s="144"/>
      <c r="D19" s="315">
        <f t="shared" si="0"/>
        <v>0</v>
      </c>
      <c r="E19" s="315"/>
      <c r="F19" s="117"/>
      <c r="G19" s="1547"/>
      <c r="H19" s="335" t="e">
        <f>VLOOKUP($B19&amp;"; "&amp;$H$11&amp;", "&amp;H$12,'FE Energie'!$G:$U,9,FALSE)</f>
        <v>#N/A</v>
      </c>
      <c r="I19" s="335" t="e">
        <f>VLOOKUP($B19&amp;"; "&amp;$H$11&amp;", "&amp;I$12,'FE Energie'!$G:$U,9,FALSE)</f>
        <v>#N/A</v>
      </c>
      <c r="J19" s="1547"/>
      <c r="K19" s="335">
        <f>VLOOKUP($B19&amp;"; "&amp;$K$11&amp;", "&amp;K$12,'FE Energie'!$G:$U,9,FALSE)</f>
        <v>7.8399999999999997E-2</v>
      </c>
      <c r="L19" s="335">
        <f>VLOOKUP($B19&amp;"; "&amp;$K$11&amp;", "&amp;L$12,'FE Energie'!$G:$U,9,FALSE)</f>
        <v>0.19500000000000001</v>
      </c>
      <c r="M19" s="1547"/>
      <c r="N19" s="335">
        <f>VLOOKUP($B19&amp;"; "&amp;$N$11&amp;", "&amp;N$12,'FE Energie'!$G:$U,9,FALSE)</f>
        <v>916</v>
      </c>
      <c r="O19" s="335">
        <f>VLOOKUP($B19&amp;"; "&amp;$N$11&amp;", "&amp;O$12,'FE Energie'!$G:$U,9,FALSE)</f>
        <v>2269</v>
      </c>
      <c r="P19" s="1547"/>
      <c r="Q19" s="335">
        <f>VLOOKUP($B19&amp;"; "&amp;$Q$11&amp;", "&amp;Q$12,'FE Energie'!$G:$U,9,FALSE)</f>
        <v>0.75800000000000001</v>
      </c>
      <c r="R19" s="335">
        <f>VLOOKUP($B19&amp;"; "&amp;$Q$11&amp;", "&amp;R$12,'FE Energie'!$G:$U,9,FALSE)</f>
        <v>1.88</v>
      </c>
      <c r="S19" s="566">
        <f>IF(ISNA(G19*H19),0,G19*H19)+IF(ISNA(J19*K19),0,J19*K19)+IF(ISNA(M19*N19),0,M19*N19)+IF(ISNA(P19*Q19),0,P19*Q19)</f>
        <v>0</v>
      </c>
      <c r="T19" s="567">
        <f>IF(ISNA(G19*I19),0,G19*I19)+IF(ISNA(J19*L19),0,J19*L19)+IF(ISNA(M19*O19),0,M19*O19)+IF(ISNA(P19*R19),0,P19*R19)</f>
        <v>0</v>
      </c>
      <c r="U19" s="114"/>
      <c r="V19" s="1092">
        <f>IF(AA19=0,AA19,AA19/(S19+T19))</f>
        <v>0</v>
      </c>
      <c r="W19" s="343"/>
      <c r="X19" s="820"/>
      <c r="Y19" s="164">
        <f>SQRT(SUMSQ(IF(ISNA($G19*H19*AV19),0,$G19*H19*AV19),IF(ISNA($J19*K19*AW19),0,$J19*K19*AW19),IF(ISNA($M19*N19*AX19),0,$M19*N19*AX19),IF(ISNA($P19*Q19*AY19),0,$P19*Q19*AY19)))</f>
        <v>0</v>
      </c>
      <c r="Z19" s="164">
        <f>SQRT(SUMSQ(IF(ISNA($G19*I19*AZ19),0,$G19*I19*AZ19),IF(ISNA($J19*L19*BA19),0,$J19*L19*BA19),IF(ISNA($M19*O19*BB19),0,$M19*O19*BB19),IF(ISNA($P19*R19*BC19),0,$P19*R19*BC19)))</f>
        <v>0</v>
      </c>
      <c r="AA19" s="151">
        <f t="shared" si="1"/>
        <v>0</v>
      </c>
      <c r="AB19" s="1761"/>
      <c r="AC19" s="1788"/>
      <c r="AD19" s="1790"/>
      <c r="AE19" s="565">
        <f>$G19*IF(ISNA(VLOOKUP($B19&amp;"; "&amp;$H$11&amp;", "&amp;H$12,'FE Energie'!$G:$U,10,FALSE)),0,VLOOKUP($B19&amp;"; "&amp;$H$11&amp;", "&amp;H$12,'FE Energie'!$G:$U,10,FALSE))
+$J19*IF(ISNA(VLOOKUP($B19&amp;"; "&amp;$K$11&amp;", "&amp;H$12,'FE Energie'!$G:$U,10,FALSE)),0,VLOOKUP($B19&amp;"; "&amp;$K$11&amp;", "&amp;H$12,'FE Energie'!$G:$U,10,FALSE))
+$M19*IF(ISNA(VLOOKUP($B19&amp;"; "&amp;$N$11&amp;", "&amp;H$12,'FE Energie'!$G:$U,10,FALSE)),0,VLOOKUP($B19&amp;"; "&amp;$N$11&amp;", "&amp;H$12,'FE Energie'!$G:$U,10,FALSE))
+$P19*IF(ISNA(VLOOKUP($B19&amp;"; "&amp;$Q$11&amp;", "&amp;H$12,'FE Energie'!$G:$U,10,FALSE)),0,VLOOKUP($B19&amp;"; "&amp;$Q$11&amp;", "&amp;H$12,'FE Energie'!$G:$U,10,FALSE))</f>
        <v>0</v>
      </c>
      <c r="AF19" s="565">
        <f>$G19*IF(ISNA(VLOOKUP($B19&amp;"; "&amp;$H$11&amp;", "&amp;I$12,'FE Energie'!$G:$U,10,FALSE)),0,VLOOKUP($B19&amp;"; "&amp;$H$11&amp;", "&amp;I$12,'FE Energie'!$G:$U,10,FALSE))
+$J19*IF(ISNA(VLOOKUP($B19&amp;"; "&amp;$K$11&amp;", "&amp;I$12,'FE Energie'!$G:$U,10,FALSE)),0,VLOOKUP($B19&amp;"; "&amp;$K$11&amp;", "&amp;I$12,'FE Energie'!$G:$U,10,FALSE))
+$M19*IF(ISNA(VLOOKUP($B19&amp;"; "&amp;$N$11&amp;", "&amp;I$12,'FE Energie'!$G:$U,10,FALSE)),0,VLOOKUP($B19&amp;"; "&amp;$N$11&amp;", "&amp;I$12,'FE Energie'!$G:$U,10,FALSE))
+$P19*IF(ISNA(VLOOKUP($B19&amp;"; "&amp;$Q$11&amp;", "&amp;I$12,'FE Energie'!$G:$U,10,FALSE)),0,VLOOKUP($B19&amp;"; "&amp;$Q$11&amp;", "&amp;I$12,'FE Energie'!$G:$U,10,FALSE))</f>
        <v>0</v>
      </c>
      <c r="AG19" s="620">
        <f>$G19*IF(ISNA((VLOOKUP($B19&amp;"; "&amp;$H$11&amp;", "&amp;H$12,'FE Energie'!$G:$U,12,FALSE)+VLOOKUP($B19&amp;"; "&amp;$H$11&amp;", "&amp;H$12,'FE Energie'!$G:$U,11,FALSE))),0,(VLOOKUP($B19&amp;"; "&amp;$H$11&amp;", "&amp;H$12,'FE Energie'!$G:$U,12,FALSE)+VLOOKUP($B19&amp;"; "&amp;$H$11&amp;", "&amp;H$12,'FE Energie'!$G:$U,11,FALSE)))
+$J19*IF(ISNA((VLOOKUP($B19&amp;"; "&amp;$K$11&amp;", "&amp;H$12,'FE Energie'!$G:$U,12,FALSE)+VLOOKUP($B19&amp;"; "&amp;$K$11&amp;", "&amp;H$12,'FE Energie'!$G:$U,11,FALSE))),0,(VLOOKUP($B19&amp;"; "&amp;$K$11&amp;", "&amp;H$12,'FE Energie'!$G:$U,12,FALSE)+VLOOKUP($B19&amp;"; "&amp;$K$11&amp;", "&amp;H$12,'FE Energie'!$G:$U,11,FALSE)))
+$M19*IF(ISNA((VLOOKUP($B19&amp;"; "&amp;$N$11&amp;", "&amp;H$12,'FE Energie'!$G:$U,12,FALSE)+VLOOKUP($B19&amp;"; "&amp;$N$11&amp;", "&amp;H$12,'FE Energie'!$G:$U,11,FALSE))),0,(VLOOKUP($B19&amp;"; "&amp;$N$11&amp;", "&amp;H$12,'FE Energie'!$G:$U,12,FALSE)+VLOOKUP($B19&amp;"; "&amp;$N$11&amp;", "&amp;H$12,'FE Energie'!$G:$U,11,FALSE)))
+$P19*IF(ISNA((VLOOKUP($B19&amp;"; "&amp;$Q$11&amp;", "&amp;H$12,'FE Energie'!$G:$U,12,FALSE)+VLOOKUP($B19&amp;"; "&amp;$Q$11&amp;", "&amp;H$12,'FE Energie'!$G:$U,11,FALSE))),0,(VLOOKUP($B19&amp;"; "&amp;$Q$11&amp;", "&amp;H$12,'FE Energie'!$G:$U,12,FALSE)+VLOOKUP($B19&amp;"; "&amp;$Q$11&amp;", "&amp;H$12,'FE Energie'!$G:$U,11,FALSE)))</f>
        <v>0</v>
      </c>
      <c r="AH19" s="620">
        <f>$G19*IF(ISNA((VLOOKUP($B19&amp;"; "&amp;$H$11&amp;", "&amp;I$12,'FE Energie'!$G:$U,12,FALSE)+VLOOKUP($B19&amp;"; "&amp;$H$11&amp;", "&amp;I$12,'FE Energie'!$G:$U,11,FALSE))),0,(VLOOKUP($B19&amp;"; "&amp;$H$11&amp;", "&amp;I$12,'FE Energie'!$G:$U,12,FALSE)+VLOOKUP($B19&amp;"; "&amp;$H$11&amp;", "&amp;I$12,'FE Energie'!$G:$U,11,FALSE)))
+$J19*IF(ISNA((VLOOKUP($B19&amp;"; "&amp;$K$11&amp;", "&amp;I$12,'FE Energie'!$G:$U,12,FALSE)+VLOOKUP($B19&amp;"; "&amp;$K$11&amp;", "&amp;I$12,'FE Energie'!$G:$U,11,FALSE))),0,(VLOOKUP($B19&amp;"; "&amp;$K$11&amp;", "&amp;I$12,'FE Energie'!$G:$U,12,FALSE)+VLOOKUP($B19&amp;"; "&amp;$K$11&amp;", "&amp;I$12,'FE Energie'!$G:$U,11,FALSE)))
+$M19*IF(ISNA((VLOOKUP($B19&amp;"; "&amp;$N$11&amp;", "&amp;I$12,'FE Energie'!$G:$U,12,FALSE)+VLOOKUP($B19&amp;"; "&amp;$N$11&amp;", "&amp;I$12,'FE Energie'!$G:$U,11,FALSE))),0,(VLOOKUP($B19&amp;"; "&amp;$N$11&amp;", "&amp;I$12,'FE Energie'!$G:$U,12,FALSE)+VLOOKUP($B19&amp;"; "&amp;$N$11&amp;", "&amp;I$12,'FE Energie'!$G:$U,11,FALSE)))
+$P19*IF(ISNA((VLOOKUP($B19&amp;"; "&amp;$Q$11&amp;", "&amp;I$12,'FE Energie'!$G:$U,12,FALSE)+VLOOKUP($B19&amp;"; "&amp;$Q$11&amp;", "&amp;I$12,'FE Energie'!$G:$U,11,FALSE))),0,(VLOOKUP($B19&amp;"; "&amp;$Q$11&amp;", "&amp;I$12,'FE Energie'!$G:$U,12,FALSE)+VLOOKUP($B19&amp;"; "&amp;$Q$11&amp;", "&amp;I$12,'FE Energie'!$G:$U,11,FALSE)))</f>
        <v>0</v>
      </c>
      <c r="AI19" s="620">
        <f>$G19*IF(ISNA(VLOOKUP($B19&amp;"; "&amp;$H$11&amp;", "&amp;H$12,'FE Energie'!$G:$U,13,FALSE)),0,VLOOKUP($B19&amp;"; "&amp;$H$11&amp;", "&amp;H$12,'FE Energie'!$G:$U,13,FALSE))
+$J19*IF(ISNA(VLOOKUP($B19&amp;"; "&amp;$K$11&amp;", "&amp;H$12,'FE Energie'!$G:$U,13,FALSE)),0,VLOOKUP($B19&amp;"; "&amp;$K$11&amp;", "&amp;H$12,'FE Energie'!$G:$U,13,FALSE))
+$M19*IF(ISNA(VLOOKUP($B19&amp;"; "&amp;$N$11&amp;", "&amp;H$12,'FE Energie'!$G:$U,13,FALSE)),0,VLOOKUP($B19&amp;"; "&amp;$N$11&amp;", "&amp;H$12,'FE Energie'!$G:$U,13,FALSE))
+$P19*IF(ISNA(VLOOKUP($B19&amp;"; "&amp;$Q$11&amp;", "&amp;H$12,'FE Energie'!$G:$U,13,FALSE)),0,VLOOKUP($B19&amp;"; "&amp;$Q$11&amp;", "&amp;H$12,'FE Energie'!$G:$U,13,FALSE))</f>
        <v>0</v>
      </c>
      <c r="AJ19" s="620">
        <f>$G19*IF(ISNA(VLOOKUP($B19&amp;"; "&amp;$H$11&amp;", "&amp;I$12,'FE Energie'!$G:$U,13,FALSE)),0,VLOOKUP($B19&amp;"; "&amp;$H$11&amp;", "&amp;I$12,'FE Energie'!$G:$U,13,FALSE))
+$J19*IF(ISNA(VLOOKUP($B19&amp;"; "&amp;$K$11&amp;", "&amp;I$12,'FE Energie'!$G:$U,13,FALSE)),0,VLOOKUP($B19&amp;"; "&amp;$K$11&amp;", "&amp;I$12,'FE Energie'!$G:$U,13,FALSE))
+$M19*IF(ISNA(VLOOKUP($B19&amp;"; "&amp;$N$11&amp;", "&amp;I$12,'FE Energie'!$G:$U,13,FALSE)),0,VLOOKUP($B19&amp;"; "&amp;$N$11&amp;", "&amp;I$12,'FE Energie'!$G:$U,13,FALSE))
+$P19*IF(ISNA(VLOOKUP($B19&amp;"; "&amp;$Q$11&amp;", "&amp;I$12,'FE Energie'!$G:$U,13,FALSE)),0,VLOOKUP($B19&amp;"; "&amp;$Q$11&amp;", "&amp;I$12,'FE Energie'!$G:$U,13,FALSE))</f>
        <v>0</v>
      </c>
      <c r="AK19" s="565">
        <f>$G19*IF(ISNA(VLOOKUP($B19&amp;"; "&amp;$H$11&amp;", "&amp;H$12,'FE Energie'!$G:$U,14,FALSE)),0,VLOOKUP($B19&amp;"; "&amp;$H$11&amp;", "&amp;H$12,'FE Energie'!$G:$U,14,FALSE))
+$J19*IF(ISNA(VLOOKUP($B19&amp;"; "&amp;$K$11&amp;", "&amp;H$12,'FE Energie'!$G:$U,14,FALSE)),0,VLOOKUP($B19&amp;"; "&amp;$K$11&amp;", "&amp;H$12,'FE Energie'!$G:$U,14,FALSE))
+$M19*IF(ISNA(VLOOKUP($B19&amp;"; "&amp;$N$11&amp;", "&amp;H$12,'FE Energie'!$G:$U,14,FALSE)),0,VLOOKUP($B19&amp;"; "&amp;$N$11&amp;", "&amp;H$12,'FE Energie'!$G:$U,14,FALSE))
+$P19*IF(ISNA(VLOOKUP($B19&amp;"; "&amp;$Q$11&amp;", "&amp;H$12,'FE Energie'!$G:$U,14,FALSE)),0,VLOOKUP($B19&amp;"; "&amp;$Q$11&amp;", "&amp;H$12,'FE Energie'!$G:$U,14,FALSE))</f>
        <v>0</v>
      </c>
      <c r="AL19" s="565">
        <f>$G19*IF(ISNA(VLOOKUP($B19&amp;"; "&amp;$H$11&amp;", "&amp;I$12,'FE Energie'!$G:$U,14,FALSE)),0,VLOOKUP($B19&amp;"; "&amp;$H$11&amp;", "&amp;I$12,'FE Energie'!$G:$U,14,FALSE))
+$J19*IF(ISNA(VLOOKUP($B19&amp;"; "&amp;$K$11&amp;", "&amp;I$12,'FE Energie'!$G:$U,14,FALSE)),0,VLOOKUP($B19&amp;"; "&amp;$K$11&amp;", "&amp;I$12,'FE Energie'!$G:$U,14,FALSE))
+$M19*IF(ISNA(VLOOKUP($B19&amp;"; "&amp;$N$11&amp;", "&amp;I$12,'FE Energie'!$G:$U,14,FALSE)),0,VLOOKUP($B19&amp;"; "&amp;$N$11&amp;", "&amp;I$12,'FE Energie'!$G:$U,14,FALSE))
+$P19*IF(ISNA(VLOOKUP($B19&amp;"; "&amp;$Q$11&amp;", "&amp;I$12,'FE Energie'!$G:$U,14,FALSE)),0,VLOOKUP($B19&amp;"; "&amp;$Q$11&amp;", "&amp;I$12,'FE Energie'!$G:$U,14,FALSE))</f>
        <v>0</v>
      </c>
      <c r="AM19" s="566">
        <f t="shared" si="2"/>
        <v>0</v>
      </c>
      <c r="AN19" s="566">
        <f t="shared" si="3"/>
        <v>0</v>
      </c>
      <c r="AO19" s="564">
        <f>$G19*IF(ISNA(VLOOKUP($B19&amp;"; "&amp;$H$11&amp;", "&amp;H$12,'FE Energie'!$G:$U,15,FALSE)),0,VLOOKUP($B19&amp;"; "&amp;$H$11&amp;", "&amp;H$12,'FE Energie'!$G:$U,15,FALSE))
+$J19*IF(ISNA(VLOOKUP($B19&amp;"; "&amp;$K$11&amp;", "&amp;H$12,'FE Energie'!$G:$U,15,FALSE)),0,VLOOKUP($B19&amp;"; "&amp;$K$11&amp;", "&amp;H$12,'FE Energie'!$G:$U,15,FALSE))
+$M19*IF(ISNA(VLOOKUP($B19&amp;"; "&amp;$N$11&amp;", "&amp;H$12,'FE Energie'!$G:$U,15,FALSE)),0,VLOOKUP($B19&amp;"; "&amp;$N$11&amp;", "&amp;H$12,'FE Energie'!$G:$U,15,FALSE))
+$P19*IF(ISNA(VLOOKUP($B19&amp;"; "&amp;$Q$11&amp;", "&amp;H$12,'FE Energie'!$G:$U,15,FALSE)),0,VLOOKUP($B19&amp;"; "&amp;$Q$11&amp;", "&amp;H$12,'FE Energie'!$G:$U,15,FALSE))</f>
        <v>0</v>
      </c>
      <c r="AP19" s="568">
        <f>$G19*IF(ISNA(VLOOKUP($B19&amp;"; "&amp;$H$11&amp;", "&amp;I$12,'FE Energie'!$G:$U,15,FALSE)),0,VLOOKUP($B19&amp;"; "&amp;$H$11&amp;", "&amp;I$12,'FE Energie'!$G:$U,15,FALSE))
+$J19*IF(ISNA(VLOOKUP($B19&amp;"; "&amp;$K$11&amp;", "&amp;I$12,'FE Energie'!$G:$U,15,FALSE)),0,VLOOKUP($B19&amp;"; "&amp;$K$11&amp;", "&amp;I$12,'FE Energie'!$G:$U,15,FALSE))
+$M19*IF(ISNA(VLOOKUP($B19&amp;"; "&amp;$N$11&amp;", "&amp;I$12,'FE Energie'!$G:$U,15,FALSE)),0,VLOOKUP($B19&amp;"; "&amp;$N$11&amp;", "&amp;I$12,'FE Energie'!$G:$U,15,FALSE))
+$P19*IF(ISNA(VLOOKUP($B19&amp;"; "&amp;$Q$11&amp;", "&amp;I$12,'FE Energie'!$G:$U,15,FALSE)),0,VLOOKUP($B19&amp;"; "&amp;$Q$11&amp;", "&amp;I$12,'FE Energie'!$G:$U,15,FALSE))</f>
        <v>0</v>
      </c>
      <c r="AQ19" s="114"/>
      <c r="AR19" s="1065">
        <f>IF($W19&lt;&gt;"votre valeur :",IF(ISNA(VLOOKUP($W19,Utilitaires!$N$566:$O$571,2,FALSE)),,VLOOKUP($W19,Utilitaires!$N$566:$O$571,2,FALSE)),$X19)</f>
        <v>0</v>
      </c>
      <c r="AS19" s="1065">
        <f>IF($W19&lt;&gt;"votre valeur :",IF(ISNA(VLOOKUP($W19,Utilitaires!$N$566:$O$571,2,FALSE)),,VLOOKUP($W19,Utilitaires!$N$566:$O$571,2,FALSE)),$X19)</f>
        <v>0</v>
      </c>
      <c r="AT19" s="1065">
        <f>IF($W19&lt;&gt;"votre valeur :",IF(ISNA(VLOOKUP($W19,Utilitaires!$N$566:$O$571,2,FALSE)),,VLOOKUP($W19,Utilitaires!$N$566:$O$571,2,FALSE)),$X19)</f>
        <v>0</v>
      </c>
      <c r="AU19" s="1167">
        <f>IF($W19&lt;&gt;"votre valeur :",IF(ISNA(VLOOKUP($W19,Utilitaires!$N$566:$O$571,2,FALSE)),,VLOOKUP($W19,Utilitaires!$N$566:$O$571,2,FALSE)),$X19)</f>
        <v>0</v>
      </c>
      <c r="AV19" s="1068">
        <f>IF(ISNA(SQRT(SUMSQ(VLOOKUP($B19&amp;"; "&amp;$H$11&amp;", "&amp;$H$12,'FE Energie'!$G:$U,7,FALSE),$AR19))),0,SQRT(SUMSQ(VLOOKUP($B19&amp;"; "&amp;$H$11&amp;", "&amp;$H$12,'FE Energie'!$G:$U,7,FALSE),$AR19)))</f>
        <v>0</v>
      </c>
      <c r="AW19" s="1068">
        <f>IF(ISNA(SQRT(SUMSQ(VLOOKUP($B19&amp;"; "&amp;$K$11&amp;", "&amp;$K$12,'FE Energie'!$G:$U,7,FALSE),$AS19))),0,SQRT(SUMSQ(VLOOKUP($B19&amp;"; "&amp;$K$11&amp;", "&amp;$K$12,'FE Energie'!$G:$U,7,FALSE),$AS19)))</f>
        <v>0.05</v>
      </c>
      <c r="AX19" s="1068">
        <f>IF(ISNA(SQRT(SUMSQ(VLOOKUP($B19&amp;"; "&amp;$N$11&amp;", "&amp;$N$12,'FE Energie'!$G:$U,7,FALSE),$AT19))),0,SQRT(SUMSQ(VLOOKUP($B19&amp;"; "&amp;$N$11&amp;", "&amp;$N$12,'FE Energie'!$G:$U,7,FALSE),$AT19)))</f>
        <v>0.05</v>
      </c>
      <c r="AY19" s="1068">
        <f>IF(ISNA(SQRT(SUMSQ(VLOOKUP($B19&amp;"; "&amp;$Q$11&amp;", "&amp;$Q$12,'FE Energie'!$G:$U,7,FALSE),$AU19))),0,SQRT(SUMSQ(VLOOKUP($B19&amp;"; "&amp;$Q$11&amp;", "&amp;$Q$12,'FE Energie'!$G:$U,7,FALSE),$AU19)))</f>
        <v>0.1</v>
      </c>
      <c r="AZ19" s="1069">
        <f>IF(ISNA(SQRT(SUMSQ(VLOOKUP($B19&amp;"; "&amp;$H$11&amp;", "&amp;$I$12,'FE Energie'!$G:$U,7,FALSE),$AR19))),0,SQRT(SUMSQ(VLOOKUP($B19&amp;"; "&amp;$H$11&amp;", "&amp;$I$12,'FE Energie'!$G:$U,7,FALSE),$AR19)))</f>
        <v>0</v>
      </c>
      <c r="BA19" s="1070">
        <f>IF(ISNA(SQRT(SUMSQ(VLOOKUP($B19&amp;"; "&amp;$K$11&amp;", "&amp;$L$12,'FE Energie'!$G:$U,7,FALSE),$AS19))),0,SQRT(SUMSQ(VLOOKUP($B19&amp;"; "&amp;$K$11&amp;", "&amp;$L$12,'FE Energie'!$G:$U,7,FALSE),$AS19)))</f>
        <v>0.05</v>
      </c>
      <c r="BB19" s="1070">
        <f>IF(ISNA(SQRT(SUMSQ(VLOOKUP($B19&amp;"; "&amp;$N$11&amp;", "&amp;$O$12,'FE Energie'!$G:$U,7,FALSE),$AT19))),0,SQRT(SUMSQ(VLOOKUP($B19&amp;"; "&amp;$N$11&amp;", "&amp;$O$12,'FE Energie'!$G:$U,7,FALSE),$AT19)))</f>
        <v>0.05</v>
      </c>
      <c r="BC19" s="1071">
        <f>IF(ISNA(SQRT(SUMSQ(VLOOKUP($B19&amp;"; "&amp;$Q$11&amp;", "&amp;$R$12,'FE Energie'!$G:$U,7,FALSE),$AU19))),0,SQRT(SUMSQ(VLOOKUP($B19&amp;"; "&amp;$Q$11&amp;", "&amp;$R$12,'FE Energie'!$G:$U,7,FALSE),$AU19)))</f>
        <v>0.1</v>
      </c>
    </row>
    <row r="20" spans="1:55" s="116" customFormat="1" ht="12.75" hidden="1" customHeight="1" outlineLevel="1">
      <c r="A20" s="114"/>
      <c r="B20" s="143" t="s">
        <v>1631</v>
      </c>
      <c r="C20" s="144"/>
      <c r="D20" s="315">
        <f t="shared" si="0"/>
        <v>0</v>
      </c>
      <c r="E20" s="315"/>
      <c r="F20" s="123"/>
      <c r="G20" s="1548"/>
      <c r="H20" s="335">
        <f>VLOOKUP($B20&amp;"; "&amp;$H$11&amp;", "&amp;H$12,'FE Energie'!$G:$U,9,FALSE)</f>
        <v>0.27</v>
      </c>
      <c r="I20" s="335">
        <f>VLOOKUP($B20&amp;"; "&amp;$H$11&amp;", "&amp;I$12,'FE Energie'!$G:$U,9,FALSE)</f>
        <v>3.07</v>
      </c>
      <c r="J20" s="1548"/>
      <c r="K20" s="335" t="e">
        <f>VLOOKUP($B20&amp;"; "&amp;$K$11&amp;", "&amp;K$12,'FE Energie'!$G:$U,9,FALSE)</f>
        <v>#N/A</v>
      </c>
      <c r="L20" s="335" t="e">
        <f>VLOOKUP($B20&amp;"; "&amp;$K$11&amp;", "&amp;L$12,'FE Energie'!$G:$U,9,FALSE)</f>
        <v>#N/A</v>
      </c>
      <c r="M20" s="1548"/>
      <c r="N20" s="335" t="e">
        <f>VLOOKUP($B20&amp;"; "&amp;$N$11&amp;", "&amp;N$12,'FE Energie'!$G:$U,9,FALSE)</f>
        <v>#N/A</v>
      </c>
      <c r="O20" s="335" t="e">
        <f>VLOOKUP($B20&amp;"; "&amp;$N$11&amp;", "&amp;O$12,'FE Energie'!$G:$U,9,FALSE)</f>
        <v>#N/A</v>
      </c>
      <c r="P20" s="1548"/>
      <c r="Q20" s="335" t="e">
        <f>VLOOKUP($B20&amp;"; "&amp;$Q$11&amp;", "&amp;Q$12,'FE Energie'!$G:$U,9,FALSE)</f>
        <v>#N/A</v>
      </c>
      <c r="R20" s="335" t="e">
        <f>VLOOKUP($B20&amp;"; "&amp;$Q$11&amp;", "&amp;R$12,'FE Energie'!$G:$U,9,FALSE)</f>
        <v>#N/A</v>
      </c>
      <c r="S20" s="566">
        <f>IF(ISNA(G20*H20),0,G20*H20)+IF(ISNA(J20*K20),0,J20*K20)+IF(ISNA(M20*N20),0,M20*N20)+IF(ISNA(P20*Q20),0,P20*Q20)</f>
        <v>0</v>
      </c>
      <c r="T20" s="567">
        <f>IF(ISNA(G20*I20),0,G20*I20)+IF(ISNA(J20*L20),0,J20*L20)+IF(ISNA(M20*O20),0,M20*O20)+IF(ISNA(P20*R20),0,P20*R20)</f>
        <v>0</v>
      </c>
      <c r="U20" s="114"/>
      <c r="V20" s="1092">
        <f>IF(AA20=0,AA20,AA20/(S20+T20))</f>
        <v>0</v>
      </c>
      <c r="W20" s="345"/>
      <c r="X20" s="820"/>
      <c r="Y20" s="164">
        <f>SQRT(SUMSQ(IF(ISNA($G20*H20*AV20),0,$G20*H20*AV20),IF(ISNA($J20*K20*AW20),0,$J20*K20*AW20),IF(ISNA($M20*N20*AX20),0,$M20*N20*AX20),IF(ISNA($P20*Q20*AY20),0,$P20*Q20*AY20)))</f>
        <v>0</v>
      </c>
      <c r="Z20" s="164">
        <f>SQRT(SUMSQ(IF(ISNA($G20*I20*AZ20),0,$G20*I20*AZ20),IF(ISNA($J20*L20*BA20),0,$J20*L20*BA20),IF(ISNA($M20*O20*BB20),0,$M20*O20*BB20),IF(ISNA($P20*R20*BC20),0,$P20*R20*BC20)))</f>
        <v>0</v>
      </c>
      <c r="AA20" s="151">
        <f t="shared" si="1"/>
        <v>0</v>
      </c>
      <c r="AB20" s="1761"/>
      <c r="AC20" s="1788"/>
      <c r="AD20" s="1790"/>
      <c r="AE20" s="565">
        <f>$G20*IF(ISNA(VLOOKUP($B20&amp;"; "&amp;$H$11&amp;", "&amp;H$12,'FE Energie'!$G:$U,10,FALSE)),0,VLOOKUP($B20&amp;"; "&amp;$H$11&amp;", "&amp;H$12,'FE Energie'!$G:$U,10,FALSE))
+$J20*IF(ISNA(VLOOKUP($B20&amp;"; "&amp;$K$11&amp;", "&amp;H$12,'FE Energie'!$G:$U,10,FALSE)),0,VLOOKUP($B20&amp;"; "&amp;$K$11&amp;", "&amp;H$12,'FE Energie'!$G:$U,10,FALSE))
+$M20*IF(ISNA(VLOOKUP($B20&amp;"; "&amp;$N$11&amp;", "&amp;H$12,'FE Energie'!$G:$U,10,FALSE)),0,VLOOKUP($B20&amp;"; "&amp;$N$11&amp;", "&amp;H$12,'FE Energie'!$G:$U,10,FALSE))
+$P20*IF(ISNA(VLOOKUP($B20&amp;"; "&amp;$Q$11&amp;", "&amp;H$12,'FE Energie'!$G:$U,10,FALSE)),0,VLOOKUP($B20&amp;"; "&amp;$Q$11&amp;", "&amp;H$12,'FE Energie'!$G:$U,10,FALSE))</f>
        <v>0</v>
      </c>
      <c r="AF20" s="565">
        <f>$G20*IF(ISNA(VLOOKUP($B20&amp;"; "&amp;$H$11&amp;", "&amp;I$12,'FE Energie'!$G:$U,10,FALSE)),0,VLOOKUP($B20&amp;"; "&amp;$H$11&amp;", "&amp;I$12,'FE Energie'!$G:$U,10,FALSE))
+$J20*IF(ISNA(VLOOKUP($B20&amp;"; "&amp;$K$11&amp;", "&amp;I$12,'FE Energie'!$G:$U,10,FALSE)),0,VLOOKUP($B20&amp;"; "&amp;$K$11&amp;", "&amp;I$12,'FE Energie'!$G:$U,10,FALSE))
+$M20*IF(ISNA(VLOOKUP($B20&amp;"; "&amp;$N$11&amp;", "&amp;I$12,'FE Energie'!$G:$U,10,FALSE)),0,VLOOKUP($B20&amp;"; "&amp;$N$11&amp;", "&amp;I$12,'FE Energie'!$G:$U,10,FALSE))
+$P20*IF(ISNA(VLOOKUP($B20&amp;"; "&amp;$Q$11&amp;", "&amp;I$12,'FE Energie'!$G:$U,10,FALSE)),0,VLOOKUP($B20&amp;"; "&amp;$Q$11&amp;", "&amp;I$12,'FE Energie'!$G:$U,10,FALSE))</f>
        <v>0</v>
      </c>
      <c r="AG20" s="620">
        <f>$G20*IF(ISNA((VLOOKUP($B20&amp;"; "&amp;$H$11&amp;", "&amp;H$12,'FE Energie'!$G:$U,12,FALSE)+VLOOKUP($B20&amp;"; "&amp;$H$11&amp;", "&amp;H$12,'FE Energie'!$G:$U,11,FALSE))),0,(VLOOKUP($B20&amp;"; "&amp;$H$11&amp;", "&amp;H$12,'FE Energie'!$G:$U,12,FALSE)+VLOOKUP($B20&amp;"; "&amp;$H$11&amp;", "&amp;H$12,'FE Energie'!$G:$U,11,FALSE)))
+$J20*IF(ISNA((VLOOKUP($B20&amp;"; "&amp;$K$11&amp;", "&amp;H$12,'FE Energie'!$G:$U,12,FALSE)+VLOOKUP($B20&amp;"; "&amp;$K$11&amp;", "&amp;H$12,'FE Energie'!$G:$U,11,FALSE))),0,(VLOOKUP($B20&amp;"; "&amp;$K$11&amp;", "&amp;H$12,'FE Energie'!$G:$U,12,FALSE)+VLOOKUP($B20&amp;"; "&amp;$K$11&amp;", "&amp;H$12,'FE Energie'!$G:$U,11,FALSE)))
+$M20*IF(ISNA((VLOOKUP($B20&amp;"; "&amp;$N$11&amp;", "&amp;H$12,'FE Energie'!$G:$U,12,FALSE)+VLOOKUP($B20&amp;"; "&amp;$N$11&amp;", "&amp;H$12,'FE Energie'!$G:$U,11,FALSE))),0,(VLOOKUP($B20&amp;"; "&amp;$N$11&amp;", "&amp;H$12,'FE Energie'!$G:$U,12,FALSE)+VLOOKUP($B20&amp;"; "&amp;$N$11&amp;", "&amp;H$12,'FE Energie'!$G:$U,11,FALSE)))
+$P20*IF(ISNA((VLOOKUP($B20&amp;"; "&amp;$Q$11&amp;", "&amp;H$12,'FE Energie'!$G:$U,12,FALSE)+VLOOKUP($B20&amp;"; "&amp;$Q$11&amp;", "&amp;H$12,'FE Energie'!$G:$U,11,FALSE))),0,(VLOOKUP($B20&amp;"; "&amp;$Q$11&amp;", "&amp;H$12,'FE Energie'!$G:$U,12,FALSE)+VLOOKUP($B20&amp;"; "&amp;$Q$11&amp;", "&amp;H$12,'FE Energie'!$G:$U,11,FALSE)))</f>
        <v>0</v>
      </c>
      <c r="AH20" s="620">
        <f>$G20*IF(ISNA((VLOOKUP($B20&amp;"; "&amp;$H$11&amp;", "&amp;I$12,'FE Energie'!$G:$U,12,FALSE)+VLOOKUP($B20&amp;"; "&amp;$H$11&amp;", "&amp;I$12,'FE Energie'!$G:$U,11,FALSE))),0,(VLOOKUP($B20&amp;"; "&amp;$H$11&amp;", "&amp;I$12,'FE Energie'!$G:$U,12,FALSE)+VLOOKUP($B20&amp;"; "&amp;$H$11&amp;", "&amp;I$12,'FE Energie'!$G:$U,11,FALSE)))
+$J20*IF(ISNA((VLOOKUP($B20&amp;"; "&amp;$K$11&amp;", "&amp;I$12,'FE Energie'!$G:$U,12,FALSE)+VLOOKUP($B20&amp;"; "&amp;$K$11&amp;", "&amp;I$12,'FE Energie'!$G:$U,11,FALSE))),0,(VLOOKUP($B20&amp;"; "&amp;$K$11&amp;", "&amp;I$12,'FE Energie'!$G:$U,12,FALSE)+VLOOKUP($B20&amp;"; "&amp;$K$11&amp;", "&amp;I$12,'FE Energie'!$G:$U,11,FALSE)))
+$M20*IF(ISNA((VLOOKUP($B20&amp;"; "&amp;$N$11&amp;", "&amp;I$12,'FE Energie'!$G:$U,12,FALSE)+VLOOKUP($B20&amp;"; "&amp;$N$11&amp;", "&amp;I$12,'FE Energie'!$G:$U,11,FALSE))),0,(VLOOKUP($B20&amp;"; "&amp;$N$11&amp;", "&amp;I$12,'FE Energie'!$G:$U,12,FALSE)+VLOOKUP($B20&amp;"; "&amp;$N$11&amp;", "&amp;I$12,'FE Energie'!$G:$U,11,FALSE)))
+$P20*IF(ISNA((VLOOKUP($B20&amp;"; "&amp;$Q$11&amp;", "&amp;I$12,'FE Energie'!$G:$U,12,FALSE)+VLOOKUP($B20&amp;"; "&amp;$Q$11&amp;", "&amp;I$12,'FE Energie'!$G:$U,11,FALSE))),0,(VLOOKUP($B20&amp;"; "&amp;$Q$11&amp;", "&amp;I$12,'FE Energie'!$G:$U,12,FALSE)+VLOOKUP($B20&amp;"; "&amp;$Q$11&amp;", "&amp;I$12,'FE Energie'!$G:$U,11,FALSE)))</f>
        <v>0</v>
      </c>
      <c r="AI20" s="620">
        <f>$G20*IF(ISNA(VLOOKUP($B20&amp;"; "&amp;$H$11&amp;", "&amp;H$12,'FE Energie'!$G:$U,13,FALSE)),0,VLOOKUP($B20&amp;"; "&amp;$H$11&amp;", "&amp;H$12,'FE Energie'!$G:$U,13,FALSE))
+$J20*IF(ISNA(VLOOKUP($B20&amp;"; "&amp;$K$11&amp;", "&amp;H$12,'FE Energie'!$G:$U,13,FALSE)),0,VLOOKUP($B20&amp;"; "&amp;$K$11&amp;", "&amp;H$12,'FE Energie'!$G:$U,13,FALSE))
+$M20*IF(ISNA(VLOOKUP($B20&amp;"; "&amp;$N$11&amp;", "&amp;H$12,'FE Energie'!$G:$U,13,FALSE)),0,VLOOKUP($B20&amp;"; "&amp;$N$11&amp;", "&amp;H$12,'FE Energie'!$G:$U,13,FALSE))
+$P20*IF(ISNA(VLOOKUP($B20&amp;"; "&amp;$Q$11&amp;", "&amp;H$12,'FE Energie'!$G:$U,13,FALSE)),0,VLOOKUP($B20&amp;"; "&amp;$Q$11&amp;", "&amp;H$12,'FE Energie'!$G:$U,13,FALSE))</f>
        <v>0</v>
      </c>
      <c r="AJ20" s="620">
        <f>$G20*IF(ISNA(VLOOKUP($B20&amp;"; "&amp;$H$11&amp;", "&amp;I$12,'FE Energie'!$G:$U,13,FALSE)),0,VLOOKUP($B20&amp;"; "&amp;$H$11&amp;", "&amp;I$12,'FE Energie'!$G:$U,13,FALSE))
+$J20*IF(ISNA(VLOOKUP($B20&amp;"; "&amp;$K$11&amp;", "&amp;I$12,'FE Energie'!$G:$U,13,FALSE)),0,VLOOKUP($B20&amp;"; "&amp;$K$11&amp;", "&amp;I$12,'FE Energie'!$G:$U,13,FALSE))
+$M20*IF(ISNA(VLOOKUP($B20&amp;"; "&amp;$N$11&amp;", "&amp;I$12,'FE Energie'!$G:$U,13,FALSE)),0,VLOOKUP($B20&amp;"; "&amp;$N$11&amp;", "&amp;I$12,'FE Energie'!$G:$U,13,FALSE))
+$P20*IF(ISNA(VLOOKUP($B20&amp;"; "&amp;$Q$11&amp;", "&amp;I$12,'FE Energie'!$G:$U,13,FALSE)),0,VLOOKUP($B20&amp;"; "&amp;$Q$11&amp;", "&amp;I$12,'FE Energie'!$G:$U,13,FALSE))</f>
        <v>0</v>
      </c>
      <c r="AK20" s="565">
        <f>$G20*IF(ISNA(VLOOKUP($B20&amp;"; "&amp;$H$11&amp;", "&amp;H$12,'FE Energie'!$G:$U,14,FALSE)),0,VLOOKUP($B20&amp;"; "&amp;$H$11&amp;", "&amp;H$12,'FE Energie'!$G:$U,14,FALSE))
+$J20*IF(ISNA(VLOOKUP($B20&amp;"; "&amp;$K$11&amp;", "&amp;H$12,'FE Energie'!$G:$U,14,FALSE)),0,VLOOKUP($B20&amp;"; "&amp;$K$11&amp;", "&amp;H$12,'FE Energie'!$G:$U,14,FALSE))
+$M20*IF(ISNA(VLOOKUP($B20&amp;"; "&amp;$N$11&amp;", "&amp;H$12,'FE Energie'!$G:$U,14,FALSE)),0,VLOOKUP($B20&amp;"; "&amp;$N$11&amp;", "&amp;H$12,'FE Energie'!$G:$U,14,FALSE))
+$P20*IF(ISNA(VLOOKUP($B20&amp;"; "&amp;$Q$11&amp;", "&amp;H$12,'FE Energie'!$G:$U,14,FALSE)),0,VLOOKUP($B20&amp;"; "&amp;$Q$11&amp;", "&amp;H$12,'FE Energie'!$G:$U,14,FALSE))</f>
        <v>0</v>
      </c>
      <c r="AL20" s="565">
        <f>$G20*IF(ISNA(VLOOKUP($B20&amp;"; "&amp;$H$11&amp;", "&amp;I$12,'FE Energie'!$G:$U,14,FALSE)),0,VLOOKUP($B20&amp;"; "&amp;$H$11&amp;", "&amp;I$12,'FE Energie'!$G:$U,14,FALSE))
+$J20*IF(ISNA(VLOOKUP($B20&amp;"; "&amp;$K$11&amp;", "&amp;I$12,'FE Energie'!$G:$U,14,FALSE)),0,VLOOKUP($B20&amp;"; "&amp;$K$11&amp;", "&amp;I$12,'FE Energie'!$G:$U,14,FALSE))
+$M20*IF(ISNA(VLOOKUP($B20&amp;"; "&amp;$N$11&amp;", "&amp;I$12,'FE Energie'!$G:$U,14,FALSE)),0,VLOOKUP($B20&amp;"; "&amp;$N$11&amp;", "&amp;I$12,'FE Energie'!$G:$U,14,FALSE))
+$P20*IF(ISNA(VLOOKUP($B20&amp;"; "&amp;$Q$11&amp;", "&amp;I$12,'FE Energie'!$G:$U,14,FALSE)),0,VLOOKUP($B20&amp;"; "&amp;$Q$11&amp;", "&amp;I$12,'FE Energie'!$G:$U,14,FALSE))</f>
        <v>0</v>
      </c>
      <c r="AM20" s="566">
        <f t="shared" si="2"/>
        <v>0</v>
      </c>
      <c r="AN20" s="566">
        <f t="shared" si="3"/>
        <v>0</v>
      </c>
      <c r="AO20" s="564">
        <f>$G20*IF(ISNA(VLOOKUP($B20&amp;"; "&amp;$H$11&amp;", "&amp;H$12,'FE Energie'!$G:$U,15,FALSE)),0,VLOOKUP($B20&amp;"; "&amp;$H$11&amp;", "&amp;H$12,'FE Energie'!$G:$U,15,FALSE))
+$J20*IF(ISNA(VLOOKUP($B20&amp;"; "&amp;$K$11&amp;", "&amp;H$12,'FE Energie'!$G:$U,15,FALSE)),0,VLOOKUP($B20&amp;"; "&amp;$K$11&amp;", "&amp;H$12,'FE Energie'!$G:$U,15,FALSE))
+$M20*IF(ISNA(VLOOKUP($B20&amp;"; "&amp;$N$11&amp;", "&amp;H$12,'FE Energie'!$G:$U,15,FALSE)),0,VLOOKUP($B20&amp;"; "&amp;$N$11&amp;", "&amp;H$12,'FE Energie'!$G:$U,15,FALSE))
+$P20*IF(ISNA(VLOOKUP($B20&amp;"; "&amp;$Q$11&amp;", "&amp;H$12,'FE Energie'!$G:$U,15,FALSE)),0,VLOOKUP($B20&amp;"; "&amp;$Q$11&amp;", "&amp;H$12,'FE Energie'!$G:$U,15,FALSE))</f>
        <v>0</v>
      </c>
      <c r="AP20" s="568">
        <f>$G20*IF(ISNA(VLOOKUP($B20&amp;"; "&amp;$H$11&amp;", "&amp;I$12,'FE Energie'!$G:$U,15,FALSE)),0,VLOOKUP($B20&amp;"; "&amp;$H$11&amp;", "&amp;I$12,'FE Energie'!$G:$U,15,FALSE))
+$J20*IF(ISNA(VLOOKUP($B20&amp;"; "&amp;$K$11&amp;", "&amp;I$12,'FE Energie'!$G:$U,15,FALSE)),0,VLOOKUP($B20&amp;"; "&amp;$K$11&amp;", "&amp;I$12,'FE Energie'!$G:$U,15,FALSE))
+$M20*IF(ISNA(VLOOKUP($B20&amp;"; "&amp;$N$11&amp;", "&amp;I$12,'FE Energie'!$G:$U,15,FALSE)),0,VLOOKUP($B20&amp;"; "&amp;$N$11&amp;", "&amp;I$12,'FE Energie'!$G:$U,15,FALSE))
+$P20*IF(ISNA(VLOOKUP($B20&amp;"; "&amp;$Q$11&amp;", "&amp;I$12,'FE Energie'!$G:$U,15,FALSE)),0,VLOOKUP($B20&amp;"; "&amp;$Q$11&amp;", "&amp;I$12,'FE Energie'!$G:$U,15,FALSE))</f>
        <v>0</v>
      </c>
      <c r="AQ20" s="114"/>
      <c r="AR20" s="1065">
        <f>IF($W20&lt;&gt;"votre valeur :",IF(ISNA(VLOOKUP($W20,Utilitaires!$N$566:$O$571,2,FALSE)),,VLOOKUP($W20,Utilitaires!$N$566:$O$571,2,FALSE)),$X20)</f>
        <v>0</v>
      </c>
      <c r="AS20" s="1065">
        <f>IF($W20&lt;&gt;"votre valeur :",IF(ISNA(VLOOKUP($W20,Utilitaires!$N$566:$O$571,2,FALSE)),,VLOOKUP($W20,Utilitaires!$N$566:$O$571,2,FALSE)),$X20)</f>
        <v>0</v>
      </c>
      <c r="AT20" s="1065">
        <f>IF($W20&lt;&gt;"votre valeur :",IF(ISNA(VLOOKUP($W20,Utilitaires!$N$566:$O$571,2,FALSE)),,VLOOKUP($W20,Utilitaires!$N$566:$O$571,2,FALSE)),$X20)</f>
        <v>0</v>
      </c>
      <c r="AU20" s="1167">
        <f>IF($W20&lt;&gt;"votre valeur :",IF(ISNA(VLOOKUP($W20,Utilitaires!$N$566:$O$571,2,FALSE)),,VLOOKUP($W20,Utilitaires!$N$566:$O$571,2,FALSE)),$X20)</f>
        <v>0</v>
      </c>
      <c r="AV20" s="1068">
        <f>IF(ISNA(SQRT(SUMSQ(VLOOKUP($B20&amp;"; "&amp;$H$11&amp;", "&amp;$H$12,'FE Energie'!$G:$U,7,FALSE),$AR20))),0,SQRT(SUMSQ(VLOOKUP($B20&amp;"; "&amp;$H$11&amp;", "&amp;$H$12,'FE Energie'!$G:$U,7,FALSE),$AR20)))</f>
        <v>0.05</v>
      </c>
      <c r="AW20" s="1068">
        <f>IF(ISNA(SQRT(SUMSQ(VLOOKUP($B20&amp;"; "&amp;$K$11&amp;", "&amp;$K$12,'FE Energie'!$G:$U,7,FALSE),$AS20))),0,SQRT(SUMSQ(VLOOKUP($B20&amp;"; "&amp;$K$11&amp;", "&amp;$K$12,'FE Energie'!$G:$U,7,FALSE),$AS20)))</f>
        <v>0</v>
      </c>
      <c r="AX20" s="1068">
        <f>IF(ISNA(SQRT(SUMSQ(VLOOKUP($B20&amp;"; "&amp;$N$11&amp;", "&amp;$N$12,'FE Energie'!$G:$U,7,FALSE),$AT20))),0,SQRT(SUMSQ(VLOOKUP($B20&amp;"; "&amp;$N$11&amp;", "&amp;$N$12,'FE Energie'!$G:$U,7,FALSE),$AT20)))</f>
        <v>0</v>
      </c>
      <c r="AY20" s="1068">
        <f>IF(ISNA(SQRT(SUMSQ(VLOOKUP($B20&amp;"; "&amp;$Q$11&amp;", "&amp;$Q$12,'FE Energie'!$G:$U,7,FALSE),$AU20))),0,SQRT(SUMSQ(VLOOKUP($B20&amp;"; "&amp;$Q$11&amp;", "&amp;$Q$12,'FE Energie'!$G:$U,7,FALSE),$AU20)))</f>
        <v>0</v>
      </c>
      <c r="AZ20" s="1069">
        <f>IF(ISNA(SQRT(SUMSQ(VLOOKUP($B20&amp;"; "&amp;$H$11&amp;", "&amp;$I$12,'FE Energie'!$G:$U,7,FALSE),$AR20))),0,SQRT(SUMSQ(VLOOKUP($B20&amp;"; "&amp;$H$11&amp;", "&amp;$I$12,'FE Energie'!$G:$U,7,FALSE),$AR20)))</f>
        <v>0.05</v>
      </c>
      <c r="BA20" s="1070">
        <f>IF(ISNA(SQRT(SUMSQ(VLOOKUP($B20&amp;"; "&amp;$K$11&amp;", "&amp;$L$12,'FE Energie'!$G:$U,7,FALSE),$AS20))),0,SQRT(SUMSQ(VLOOKUP($B20&amp;"; "&amp;$K$11&amp;", "&amp;$L$12,'FE Energie'!$G:$U,7,FALSE),$AS20)))</f>
        <v>0</v>
      </c>
      <c r="BB20" s="1070">
        <f>IF(ISNA(SQRT(SUMSQ(VLOOKUP($B20&amp;"; "&amp;$N$11&amp;", "&amp;$O$12,'FE Energie'!$G:$U,7,FALSE),$AT20))),0,SQRT(SUMSQ(VLOOKUP($B20&amp;"; "&amp;$N$11&amp;", "&amp;$O$12,'FE Energie'!$G:$U,7,FALSE),$AT20)))</f>
        <v>0</v>
      </c>
      <c r="BC20" s="1071">
        <f>IF(ISNA(SQRT(SUMSQ(VLOOKUP($B20&amp;"; "&amp;$Q$11&amp;", "&amp;$R$12,'FE Energie'!$G:$U,7,FALSE),$AU20))),0,SQRT(SUMSQ(VLOOKUP($B20&amp;"; "&amp;$Q$11&amp;", "&amp;$R$12,'FE Energie'!$G:$U,7,FALSE),$AU20)))</f>
        <v>0</v>
      </c>
    </row>
    <row r="21" spans="1:55" s="116" customFormat="1" ht="12.75" hidden="1" customHeight="1" outlineLevel="1">
      <c r="A21" s="114"/>
      <c r="B21" s="536" t="s">
        <v>1632</v>
      </c>
      <c r="C21" s="144"/>
      <c r="D21" s="315"/>
      <c r="E21" s="315"/>
      <c r="F21" s="822"/>
      <c r="G21" s="822"/>
      <c r="H21" s="335"/>
      <c r="I21" s="335"/>
      <c r="J21" s="822"/>
      <c r="K21" s="335"/>
      <c r="L21" s="335"/>
      <c r="M21" s="822"/>
      <c r="N21" s="335"/>
      <c r="O21" s="335"/>
      <c r="P21" s="1200"/>
      <c r="Q21" s="335"/>
      <c r="R21" s="335"/>
      <c r="S21" s="566"/>
      <c r="T21" s="567"/>
      <c r="U21" s="114"/>
      <c r="V21" s="1092"/>
      <c r="W21" s="820"/>
      <c r="X21" s="820"/>
      <c r="Y21" s="164"/>
      <c r="Z21" s="164"/>
      <c r="AA21" s="151"/>
      <c r="AB21" s="1761"/>
      <c r="AC21" s="1788"/>
      <c r="AD21" s="1790"/>
      <c r="AE21" s="565"/>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hidden="1" customHeight="1" outlineLevel="1">
      <c r="A22" s="114"/>
      <c r="B22" s="143" t="s">
        <v>1634</v>
      </c>
      <c r="C22" s="144"/>
      <c r="D22" s="315">
        <f t="shared" si="0"/>
        <v>0</v>
      </c>
      <c r="E22" s="315"/>
      <c r="F22" s="117"/>
      <c r="G22" s="1547"/>
      <c r="H22" s="335">
        <f>VLOOKUP($B22&amp;"; "&amp;$H$11&amp;", "&amp;H$12,'FE Energie'!$G:$U,9,FALSE)</f>
        <v>0.28399999999999997</v>
      </c>
      <c r="I22" s="335">
        <f>VLOOKUP($B22&amp;"; "&amp;$H$11&amp;", "&amp;I$12,'FE Energie'!$G:$U,9,FALSE)</f>
        <v>3.07</v>
      </c>
      <c r="J22" s="1547"/>
      <c r="K22" s="335">
        <f>VLOOKUP($B22&amp;"; "&amp;$K$11&amp;", "&amp;K$12,'FE Energie'!$G:$U,9,FALSE)</f>
        <v>3.1899999999999998E-2</v>
      </c>
      <c r="L22" s="335">
        <f>VLOOKUP($B22&amp;"; "&amp;$K$11&amp;", "&amp;L$12,'FE Energie'!$G:$U,9,FALSE)</f>
        <v>0.34499999999999997</v>
      </c>
      <c r="M22" s="1547"/>
      <c r="N22" s="335">
        <f>VLOOKUP($B22&amp;"; "&amp;$N$11&amp;", "&amp;N$12,'FE Energie'!$G:$U,9,FALSE)</f>
        <v>372</v>
      </c>
      <c r="O22" s="335">
        <f>VLOOKUP($B22&amp;"; "&amp;$N$11&amp;", "&amp;O$12,'FE Energie'!$G:$U,9,FALSE)</f>
        <v>4020</v>
      </c>
      <c r="P22" s="1547"/>
      <c r="Q22" s="335" t="e">
        <f>VLOOKUP($B22&amp;"; "&amp;$Q$11&amp;", "&amp;Q$12,'FE Energie'!$G:$U,9,FALSE)</f>
        <v>#N/A</v>
      </c>
      <c r="R22" s="335" t="e">
        <f>VLOOKUP($B22&amp;"; "&amp;$Q$11&amp;", "&amp;R$12,'FE Energie'!$G:$U,9,FALSE)</f>
        <v>#N/A</v>
      </c>
      <c r="S22" s="566">
        <f>IF(ISNA(G22*H22),0,G22*H22)+IF(ISNA(J22*K22),0,J22*K22)+IF(ISNA(M22*N22),0,M22*N22)+IF(ISNA(P22*Q22),0,P22*Q22)</f>
        <v>0</v>
      </c>
      <c r="T22" s="567">
        <f>IF(ISNA(G22*I22),0,G22*I22)+IF(ISNA(J22*L22),0,J22*L22)+IF(ISNA(M22*O22),0,M22*O22)+IF(ISNA(P22*R22),0,P22*R22)</f>
        <v>0</v>
      </c>
      <c r="U22" s="114"/>
      <c r="V22" s="1092">
        <f>IF(AA22=0,AA22,AA22/(S22+T22))</f>
        <v>0</v>
      </c>
      <c r="W22" s="343"/>
      <c r="X22" s="820"/>
      <c r="Y22" s="164">
        <f>SQRT(SUMSQ(IF(ISNA($G22*H22*AV22),0,$G22*H22*AV22),IF(ISNA($J22*K22*AW22),0,$J22*K22*AW22),IF(ISNA($M22*N22*AX22),0,$M22*N22*AX22),IF(ISNA($P22*Q22*AY22),0,$P22*Q22*AY22)))</f>
        <v>0</v>
      </c>
      <c r="Z22" s="164">
        <f>SQRT(SUMSQ(IF(ISNA($G22*I22*AZ22),0,$G22*I22*AZ22),IF(ISNA($J22*L22*BA22),0,$J22*L22*BA22),IF(ISNA($M22*O22*BB22),0,$M22*O22*BB22),IF(ISNA($P22*R22*BC22),0,$P22*R22*BC22)))</f>
        <v>0</v>
      </c>
      <c r="AA22" s="151">
        <f t="shared" si="1"/>
        <v>0</v>
      </c>
      <c r="AB22" s="1761"/>
      <c r="AC22" s="1788"/>
      <c r="AD22" s="1790"/>
      <c r="AE22" s="565">
        <f>$G22*IF(ISNA(VLOOKUP($B22&amp;"; "&amp;$H$11&amp;", "&amp;H$12,'FE Energie'!$G:$U,10,FALSE)),0,VLOOKUP($B22&amp;"; "&amp;$H$11&amp;", "&amp;H$12,'FE Energie'!$G:$U,10,FALSE))
+$J22*IF(ISNA(VLOOKUP($B22&amp;"; "&amp;$K$11&amp;", "&amp;H$12,'FE Energie'!$G:$U,10,FALSE)),0,VLOOKUP($B22&amp;"; "&amp;$K$11&amp;", "&amp;H$12,'FE Energie'!$G:$U,10,FALSE))
+$M22*IF(ISNA(VLOOKUP($B22&amp;"; "&amp;$N$11&amp;", "&amp;H$12,'FE Energie'!$G:$U,10,FALSE)),0,VLOOKUP($B22&amp;"; "&amp;$N$11&amp;", "&amp;H$12,'FE Energie'!$G:$U,10,FALSE))
+$P22*IF(ISNA(VLOOKUP($B22&amp;"; "&amp;$Q$11&amp;", "&amp;H$12,'FE Energie'!$G:$U,10,FALSE)),0,VLOOKUP($B22&amp;"; "&amp;$Q$11&amp;", "&amp;H$12,'FE Energie'!$G:$U,10,FALSE))</f>
        <v>0</v>
      </c>
      <c r="AF22" s="565">
        <f>$G22*IF(ISNA(VLOOKUP($B22&amp;"; "&amp;$H$11&amp;", "&amp;I$12,'FE Energie'!$G:$U,10,FALSE)),0,VLOOKUP($B22&amp;"; "&amp;$H$11&amp;", "&amp;I$12,'FE Energie'!$G:$U,10,FALSE))
+$J22*IF(ISNA(VLOOKUP($B22&amp;"; "&amp;$K$11&amp;", "&amp;I$12,'FE Energie'!$G:$U,10,FALSE)),0,VLOOKUP($B22&amp;"; "&amp;$K$11&amp;", "&amp;I$12,'FE Energie'!$G:$U,10,FALSE))
+$M22*IF(ISNA(VLOOKUP($B22&amp;"; "&amp;$N$11&amp;", "&amp;I$12,'FE Energie'!$G:$U,10,FALSE)),0,VLOOKUP($B22&amp;"; "&amp;$N$11&amp;", "&amp;I$12,'FE Energie'!$G:$U,10,FALSE))
+$P22*IF(ISNA(VLOOKUP($B22&amp;"; "&amp;$Q$11&amp;", "&amp;I$12,'FE Energie'!$G:$U,10,FALSE)),0,VLOOKUP($B22&amp;"; "&amp;$Q$11&amp;", "&amp;I$12,'FE Energie'!$G:$U,10,FALSE))</f>
        <v>0</v>
      </c>
      <c r="AG22" s="620">
        <f>$G22*IF(ISNA((VLOOKUP($B22&amp;"; "&amp;$H$11&amp;", "&amp;H$12,'FE Energie'!$G:$U,12,FALSE)+VLOOKUP($B22&amp;"; "&amp;$H$11&amp;", "&amp;H$12,'FE Energie'!$G:$U,11,FALSE))),0,(VLOOKUP($B22&amp;"; "&amp;$H$11&amp;", "&amp;H$12,'FE Energie'!$G:$U,12,FALSE)+VLOOKUP($B22&amp;"; "&amp;$H$11&amp;", "&amp;H$12,'FE Energie'!$G:$U,11,FALSE)))
+$J22*IF(ISNA((VLOOKUP($B22&amp;"; "&amp;$K$11&amp;", "&amp;H$12,'FE Energie'!$G:$U,12,FALSE)+VLOOKUP($B22&amp;"; "&amp;$K$11&amp;", "&amp;H$12,'FE Energie'!$G:$U,11,FALSE))),0,(VLOOKUP($B22&amp;"; "&amp;$K$11&amp;", "&amp;H$12,'FE Energie'!$G:$U,12,FALSE)+VLOOKUP($B22&amp;"; "&amp;$K$11&amp;", "&amp;H$12,'FE Energie'!$G:$U,11,FALSE)))
+$M22*IF(ISNA((VLOOKUP($B22&amp;"; "&amp;$N$11&amp;", "&amp;H$12,'FE Energie'!$G:$U,12,FALSE)+VLOOKUP($B22&amp;"; "&amp;$N$11&amp;", "&amp;H$12,'FE Energie'!$G:$U,11,FALSE))),0,(VLOOKUP($B22&amp;"; "&amp;$N$11&amp;", "&amp;H$12,'FE Energie'!$G:$U,12,FALSE)+VLOOKUP($B22&amp;"; "&amp;$N$11&amp;", "&amp;H$12,'FE Energie'!$G:$U,11,FALSE)))
+$P22*IF(ISNA((VLOOKUP($B22&amp;"; "&amp;$Q$11&amp;", "&amp;H$12,'FE Energie'!$G:$U,12,FALSE)+VLOOKUP($B22&amp;"; "&amp;$Q$11&amp;", "&amp;H$12,'FE Energie'!$G:$U,11,FALSE))),0,(VLOOKUP($B22&amp;"; "&amp;$Q$11&amp;", "&amp;H$12,'FE Energie'!$G:$U,12,FALSE)+VLOOKUP($B22&amp;"; "&amp;$Q$11&amp;", "&amp;H$12,'FE Energie'!$G:$U,11,FALSE)))</f>
        <v>0</v>
      </c>
      <c r="AH22" s="620">
        <f>$G22*IF(ISNA((VLOOKUP($B22&amp;"; "&amp;$H$11&amp;", "&amp;I$12,'FE Energie'!$G:$U,12,FALSE)+VLOOKUP($B22&amp;"; "&amp;$H$11&amp;", "&amp;I$12,'FE Energie'!$G:$U,11,FALSE))),0,(VLOOKUP($B22&amp;"; "&amp;$H$11&amp;", "&amp;I$12,'FE Energie'!$G:$U,12,FALSE)+VLOOKUP($B22&amp;"; "&amp;$H$11&amp;", "&amp;I$12,'FE Energie'!$G:$U,11,FALSE)))
+$J22*IF(ISNA((VLOOKUP($B22&amp;"; "&amp;$K$11&amp;", "&amp;I$12,'FE Energie'!$G:$U,12,FALSE)+VLOOKUP($B22&amp;"; "&amp;$K$11&amp;", "&amp;I$12,'FE Energie'!$G:$U,11,FALSE))),0,(VLOOKUP($B22&amp;"; "&amp;$K$11&amp;", "&amp;I$12,'FE Energie'!$G:$U,12,FALSE)+VLOOKUP($B22&amp;"; "&amp;$K$11&amp;", "&amp;I$12,'FE Energie'!$G:$U,11,FALSE)))
+$M22*IF(ISNA((VLOOKUP($B22&amp;"; "&amp;$N$11&amp;", "&amp;I$12,'FE Energie'!$G:$U,12,FALSE)+VLOOKUP($B22&amp;"; "&amp;$N$11&amp;", "&amp;I$12,'FE Energie'!$G:$U,11,FALSE))),0,(VLOOKUP($B22&amp;"; "&amp;$N$11&amp;", "&amp;I$12,'FE Energie'!$G:$U,12,FALSE)+VLOOKUP($B22&amp;"; "&amp;$N$11&amp;", "&amp;I$12,'FE Energie'!$G:$U,11,FALSE)))
+$P22*IF(ISNA((VLOOKUP($B22&amp;"; "&amp;$Q$11&amp;", "&amp;I$12,'FE Energie'!$G:$U,12,FALSE)+VLOOKUP($B22&amp;"; "&amp;$Q$11&amp;", "&amp;I$12,'FE Energie'!$G:$U,11,FALSE))),0,(VLOOKUP($B22&amp;"; "&amp;$Q$11&amp;", "&amp;I$12,'FE Energie'!$G:$U,12,FALSE)+VLOOKUP($B22&amp;"; "&amp;$Q$11&amp;", "&amp;I$12,'FE Energie'!$G:$U,11,FALSE)))</f>
        <v>0</v>
      </c>
      <c r="AI22" s="620">
        <f>$G22*IF(ISNA(VLOOKUP($B22&amp;"; "&amp;$H$11&amp;", "&amp;H$12,'FE Energie'!$G:$U,13,FALSE)),0,VLOOKUP($B22&amp;"; "&amp;$H$11&amp;", "&amp;H$12,'FE Energie'!$G:$U,13,FALSE))
+$J22*IF(ISNA(VLOOKUP($B22&amp;"; "&amp;$K$11&amp;", "&amp;H$12,'FE Energie'!$G:$U,13,FALSE)),0,VLOOKUP($B22&amp;"; "&amp;$K$11&amp;", "&amp;H$12,'FE Energie'!$G:$U,13,FALSE))
+$M22*IF(ISNA(VLOOKUP($B22&amp;"; "&amp;$N$11&amp;", "&amp;H$12,'FE Energie'!$G:$U,13,FALSE)),0,VLOOKUP($B22&amp;"; "&amp;$N$11&amp;", "&amp;H$12,'FE Energie'!$G:$U,13,FALSE))
+$P22*IF(ISNA(VLOOKUP($B22&amp;"; "&amp;$Q$11&amp;", "&amp;H$12,'FE Energie'!$G:$U,13,FALSE)),0,VLOOKUP($B22&amp;"; "&amp;$Q$11&amp;", "&amp;H$12,'FE Energie'!$G:$U,13,FALSE))</f>
        <v>0</v>
      </c>
      <c r="AJ22" s="620">
        <f>$G22*IF(ISNA(VLOOKUP($B22&amp;"; "&amp;$H$11&amp;", "&amp;I$12,'FE Energie'!$G:$U,13,FALSE)),0,VLOOKUP($B22&amp;"; "&amp;$H$11&amp;", "&amp;I$12,'FE Energie'!$G:$U,13,FALSE))
+$J22*IF(ISNA(VLOOKUP($B22&amp;"; "&amp;$K$11&amp;", "&amp;I$12,'FE Energie'!$G:$U,13,FALSE)),0,VLOOKUP($B22&amp;"; "&amp;$K$11&amp;", "&amp;I$12,'FE Energie'!$G:$U,13,FALSE))
+$M22*IF(ISNA(VLOOKUP($B22&amp;"; "&amp;$N$11&amp;", "&amp;I$12,'FE Energie'!$G:$U,13,FALSE)),0,VLOOKUP($B22&amp;"; "&amp;$N$11&amp;", "&amp;I$12,'FE Energie'!$G:$U,13,FALSE))
+$P22*IF(ISNA(VLOOKUP($B22&amp;"; "&amp;$Q$11&amp;", "&amp;I$12,'FE Energie'!$G:$U,13,FALSE)),0,VLOOKUP($B22&amp;"; "&amp;$Q$11&amp;", "&amp;I$12,'FE Energie'!$G:$U,13,FALSE))</f>
        <v>0</v>
      </c>
      <c r="AK22" s="565">
        <f>$G22*IF(ISNA(VLOOKUP($B22&amp;"; "&amp;$H$11&amp;", "&amp;H$12,'FE Energie'!$G:$U,14,FALSE)),0,VLOOKUP($B22&amp;"; "&amp;$H$11&amp;", "&amp;H$12,'FE Energie'!$G:$U,14,FALSE))
+$J22*IF(ISNA(VLOOKUP($B22&amp;"; "&amp;$K$11&amp;", "&amp;H$12,'FE Energie'!$G:$U,14,FALSE)),0,VLOOKUP($B22&amp;"; "&amp;$K$11&amp;", "&amp;H$12,'FE Energie'!$G:$U,14,FALSE))
+$M22*IF(ISNA(VLOOKUP($B22&amp;"; "&amp;$N$11&amp;", "&amp;H$12,'FE Energie'!$G:$U,14,FALSE)),0,VLOOKUP($B22&amp;"; "&amp;$N$11&amp;", "&amp;H$12,'FE Energie'!$G:$U,14,FALSE))
+$P22*IF(ISNA(VLOOKUP($B22&amp;"; "&amp;$Q$11&amp;", "&amp;H$12,'FE Energie'!$G:$U,14,FALSE)),0,VLOOKUP($B22&amp;"; "&amp;$Q$11&amp;", "&amp;H$12,'FE Energie'!$G:$U,14,FALSE))</f>
        <v>0</v>
      </c>
      <c r="AL22" s="565">
        <f>$G22*IF(ISNA(VLOOKUP($B22&amp;"; "&amp;$H$11&amp;", "&amp;I$12,'FE Energie'!$G:$U,14,FALSE)),0,VLOOKUP($B22&amp;"; "&amp;$H$11&amp;", "&amp;I$12,'FE Energie'!$G:$U,14,FALSE))
+$J22*IF(ISNA(VLOOKUP($B22&amp;"; "&amp;$K$11&amp;", "&amp;I$12,'FE Energie'!$G:$U,14,FALSE)),0,VLOOKUP($B22&amp;"; "&amp;$K$11&amp;", "&amp;I$12,'FE Energie'!$G:$U,14,FALSE))
+$M22*IF(ISNA(VLOOKUP($B22&amp;"; "&amp;$N$11&amp;", "&amp;I$12,'FE Energie'!$G:$U,14,FALSE)),0,VLOOKUP($B22&amp;"; "&amp;$N$11&amp;", "&amp;I$12,'FE Energie'!$G:$U,14,FALSE))
+$P22*IF(ISNA(VLOOKUP($B22&amp;"; "&amp;$Q$11&amp;", "&amp;I$12,'FE Energie'!$G:$U,14,FALSE)),0,VLOOKUP($B22&amp;"; "&amp;$Q$11&amp;", "&amp;I$12,'FE Energie'!$G:$U,14,FALSE))</f>
        <v>0</v>
      </c>
      <c r="AM22" s="566">
        <f t="shared" si="2"/>
        <v>0</v>
      </c>
      <c r="AN22" s="566">
        <f t="shared" si="3"/>
        <v>0</v>
      </c>
      <c r="AO22" s="564">
        <f>$G22*IF(ISNA(VLOOKUP($B22&amp;"; "&amp;$H$11&amp;", "&amp;H$12,'FE Energie'!$G:$U,15,FALSE)),0,VLOOKUP($B22&amp;"; "&amp;$H$11&amp;", "&amp;H$12,'FE Energie'!$G:$U,15,FALSE))
+$J22*IF(ISNA(VLOOKUP($B22&amp;"; "&amp;$K$11&amp;", "&amp;H$12,'FE Energie'!$G:$U,15,FALSE)),0,VLOOKUP($B22&amp;"; "&amp;$K$11&amp;", "&amp;H$12,'FE Energie'!$G:$U,15,FALSE))
+$M22*IF(ISNA(VLOOKUP($B22&amp;"; "&amp;$N$11&amp;", "&amp;H$12,'FE Energie'!$G:$U,15,FALSE)),0,VLOOKUP($B22&amp;"; "&amp;$N$11&amp;", "&amp;H$12,'FE Energie'!$G:$U,15,FALSE))
+$P22*IF(ISNA(VLOOKUP($B22&amp;"; "&amp;$Q$11&amp;", "&amp;H$12,'FE Energie'!$G:$U,15,FALSE)),0,VLOOKUP($B22&amp;"; "&amp;$Q$11&amp;", "&amp;H$12,'FE Energie'!$G:$U,15,FALSE))</f>
        <v>0</v>
      </c>
      <c r="AP22" s="568">
        <f>$G22*IF(ISNA(VLOOKUP($B22&amp;"; "&amp;$H$11&amp;", "&amp;I$12,'FE Energie'!$G:$U,15,FALSE)),0,VLOOKUP($B22&amp;"; "&amp;$H$11&amp;", "&amp;I$12,'FE Energie'!$G:$U,15,FALSE))
+$J22*IF(ISNA(VLOOKUP($B22&amp;"; "&amp;$K$11&amp;", "&amp;I$12,'FE Energie'!$G:$U,15,FALSE)),0,VLOOKUP($B22&amp;"; "&amp;$K$11&amp;", "&amp;I$12,'FE Energie'!$G:$U,15,FALSE))
+$M22*IF(ISNA(VLOOKUP($B22&amp;"; "&amp;$N$11&amp;", "&amp;I$12,'FE Energie'!$G:$U,15,FALSE)),0,VLOOKUP($B22&amp;"; "&amp;$N$11&amp;", "&amp;I$12,'FE Energie'!$G:$U,15,FALSE))
+$P22*IF(ISNA(VLOOKUP($B22&amp;"; "&amp;$Q$11&amp;", "&amp;I$12,'FE Energie'!$G:$U,15,FALSE)),0,VLOOKUP($B22&amp;"; "&amp;$Q$11&amp;", "&amp;I$12,'FE Energie'!$G:$U,15,FALSE))</f>
        <v>0</v>
      </c>
      <c r="AQ22" s="114"/>
      <c r="AR22" s="1065">
        <f>IF($W22&lt;&gt;"votre valeur :",IF(ISNA(VLOOKUP($W22,Utilitaires!$N$566:$O$571,2,FALSE)),,VLOOKUP($W22,Utilitaires!$N$566:$O$571,2,FALSE)),$X22)</f>
        <v>0</v>
      </c>
      <c r="AS22" s="1065">
        <f>IF($W22&lt;&gt;"votre valeur :",IF(ISNA(VLOOKUP($W22,Utilitaires!$N$566:$O$571,2,FALSE)),,VLOOKUP($W22,Utilitaires!$N$566:$O$571,2,FALSE)),$X22)</f>
        <v>0</v>
      </c>
      <c r="AT22" s="1065">
        <f>IF($W22&lt;&gt;"votre valeur :",IF(ISNA(VLOOKUP($W22,Utilitaires!$N$566:$O$571,2,FALSE)),,VLOOKUP($W22,Utilitaires!$N$566:$O$571,2,FALSE)),$X22)</f>
        <v>0</v>
      </c>
      <c r="AU22" s="1167">
        <f>IF($W22&lt;&gt;"votre valeur :",IF(ISNA(VLOOKUP($W22,Utilitaires!$N$566:$O$571,2,FALSE)),,VLOOKUP($W22,Utilitaires!$N$566:$O$571,2,FALSE)),$X22)</f>
        <v>0</v>
      </c>
      <c r="AV22" s="1068">
        <f>IF(ISNA(SQRT(SUMSQ(VLOOKUP($B22&amp;"; "&amp;$H$11&amp;", "&amp;$H$12,'FE Energie'!$G:$U,7,FALSE),$AR22))),0,SQRT(SUMSQ(VLOOKUP($B22&amp;"; "&amp;$H$11&amp;", "&amp;$H$12,'FE Energie'!$G:$U,7,FALSE),$AR22)))</f>
        <v>0.2</v>
      </c>
      <c r="AW22" s="1068">
        <f>IF(ISNA(SQRT(SUMSQ(VLOOKUP($B22&amp;"; "&amp;$K$11&amp;", "&amp;$K$12,'FE Energie'!$G:$U,7,FALSE),$AS22))),0,SQRT(SUMSQ(VLOOKUP($B22&amp;"; "&amp;$K$11&amp;", "&amp;$K$12,'FE Energie'!$G:$U,7,FALSE),$AS22)))</f>
        <v>0.2</v>
      </c>
      <c r="AX22" s="1068">
        <f>IF(ISNA(SQRT(SUMSQ(VLOOKUP($B22&amp;"; "&amp;$N$11&amp;", "&amp;$N$12,'FE Energie'!$G:$U,7,FALSE),$AT22))),0,SQRT(SUMSQ(VLOOKUP($B22&amp;"; "&amp;$N$11&amp;", "&amp;$N$12,'FE Energie'!$G:$U,7,FALSE),$AT22)))</f>
        <v>0.2</v>
      </c>
      <c r="AY22" s="1068">
        <f>IF(ISNA(SQRT(SUMSQ(VLOOKUP($B22&amp;"; "&amp;$Q$11&amp;", "&amp;$Q$12,'FE Energie'!$G:$U,7,FALSE),$AU22))),0,SQRT(SUMSQ(VLOOKUP($B22&amp;"; "&amp;$Q$11&amp;", "&amp;$Q$12,'FE Energie'!$G:$U,7,FALSE),$AU22)))</f>
        <v>0</v>
      </c>
      <c r="AZ22" s="1069">
        <f>IF(ISNA(SQRT(SUMSQ(VLOOKUP($B22&amp;"; "&amp;$H$11&amp;", "&amp;$I$12,'FE Energie'!$G:$U,7,FALSE),$AR22))),0,SQRT(SUMSQ(VLOOKUP($B22&amp;"; "&amp;$H$11&amp;", "&amp;$I$12,'FE Energie'!$G:$U,7,FALSE),$AR22)))</f>
        <v>0.2</v>
      </c>
      <c r="BA22" s="1070">
        <f>IF(ISNA(SQRT(SUMSQ(VLOOKUP($B22&amp;"; "&amp;$K$11&amp;", "&amp;$L$12,'FE Energie'!$G:$U,7,FALSE),$AS22))),0,SQRT(SUMSQ(VLOOKUP($B22&amp;"; "&amp;$K$11&amp;", "&amp;$L$12,'FE Energie'!$G:$U,7,FALSE),$AS22)))</f>
        <v>0.2</v>
      </c>
      <c r="BB22" s="1070">
        <f>IF(ISNA(SQRT(SUMSQ(VLOOKUP($B22&amp;"; "&amp;$N$11&amp;", "&amp;$O$12,'FE Energie'!$G:$U,7,FALSE),$AT22))),0,SQRT(SUMSQ(VLOOKUP($B22&amp;"; "&amp;$N$11&amp;", "&amp;$O$12,'FE Energie'!$G:$U,7,FALSE),$AT22)))</f>
        <v>0.2</v>
      </c>
      <c r="BC22" s="1071">
        <f>IF(ISNA(SQRT(SUMSQ(VLOOKUP($B22&amp;"; "&amp;$Q$11&amp;", "&amp;$R$12,'FE Energie'!$G:$U,7,FALSE),$AU22))),0,SQRT(SUMSQ(VLOOKUP($B22&amp;"; "&amp;$Q$11&amp;", "&amp;$R$12,'FE Energie'!$G:$U,7,FALSE),$AU22)))</f>
        <v>0</v>
      </c>
    </row>
    <row r="23" spans="1:55" s="116" customFormat="1" ht="12.75" hidden="1" customHeight="1" outlineLevel="1">
      <c r="A23" s="114"/>
      <c r="B23" s="143" t="s">
        <v>1635</v>
      </c>
      <c r="C23" s="144"/>
      <c r="D23" s="315">
        <f t="shared" si="0"/>
        <v>0</v>
      </c>
      <c r="E23" s="315"/>
      <c r="F23" s="123"/>
      <c r="G23" s="1548"/>
      <c r="H23" s="335">
        <f>VLOOKUP($B23&amp;"; "&amp;$H$11&amp;", "&amp;H$12,'FE Energie'!$G:$U,9,FALSE)</f>
        <v>0.10299999999999999</v>
      </c>
      <c r="I23" s="335">
        <f>VLOOKUP($B23&amp;"; "&amp;$H$11&amp;", "&amp;I$12,'FE Energie'!$G:$U,9,FALSE)</f>
        <v>1.28</v>
      </c>
      <c r="J23" s="1548"/>
      <c r="K23" s="335">
        <f>VLOOKUP($B23&amp;"; "&amp;$K$11&amp;", "&amp;K$12,'FE Energie'!$G:$U,9,FALSE)</f>
        <v>3.1899999999999998E-2</v>
      </c>
      <c r="L23" s="335">
        <f>VLOOKUP($B23&amp;"; "&amp;$K$11&amp;", "&amp;L$12,'FE Energie'!$G:$U,9,FALSE)</f>
        <v>0.39800000000000002</v>
      </c>
      <c r="M23" s="1548"/>
      <c r="N23" s="335">
        <f>VLOOKUP($B23&amp;"; "&amp;$N$11&amp;", "&amp;N$12,'FE Energie'!$G:$U,9,FALSE)</f>
        <v>373</v>
      </c>
      <c r="O23" s="335">
        <f>VLOOKUP($B23&amp;"; "&amp;$N$11&amp;", "&amp;O$12,'FE Energie'!$G:$U,9,FALSE)</f>
        <v>4640</v>
      </c>
      <c r="P23" s="1548"/>
      <c r="Q23" s="335" t="e">
        <f>VLOOKUP($B23&amp;"; "&amp;$Q$11&amp;", "&amp;Q$12,'FE Energie'!$G:$U,9,FALSE)</f>
        <v>#N/A</v>
      </c>
      <c r="R23" s="335" t="e">
        <f>VLOOKUP($B23&amp;"; "&amp;$Q$11&amp;", "&amp;R$12,'FE Energie'!$G:$U,9,FALSE)</f>
        <v>#N/A</v>
      </c>
      <c r="S23" s="566">
        <f>IF(ISNA(G23*H23),0,G23*H23)+IF(ISNA(J23*K23),0,J23*K23)+IF(ISNA(M23*N23),0,M23*N23)+IF(ISNA(P23*Q23),0,P23*Q23)</f>
        <v>0</v>
      </c>
      <c r="T23" s="567">
        <f>IF(ISNA(G23*I23),0,G23*I23)+IF(ISNA(J23*L23),0,J23*L23)+IF(ISNA(M23*O23),0,M23*O23)+IF(ISNA(P23*R23),0,P23*R23)</f>
        <v>0</v>
      </c>
      <c r="U23" s="114"/>
      <c r="V23" s="1092">
        <f>IF(AA23=0,AA23,AA23/(S23+T23))</f>
        <v>0</v>
      </c>
      <c r="W23" s="345"/>
      <c r="X23" s="820"/>
      <c r="Y23" s="164">
        <f>SQRT(SUMSQ(IF(ISNA($G23*H23*AV23),0,$G23*H23*AV23),IF(ISNA($J23*K23*AW23),0,$J23*K23*AW23),IF(ISNA($M23*N23*AX23),0,$M23*N23*AX23),IF(ISNA($P23*Q23*AY23),0,$P23*Q23*AY23)))</f>
        <v>0</v>
      </c>
      <c r="Z23" s="164">
        <f>SQRT(SUMSQ(IF(ISNA($G23*I23*AZ23),0,$G23*I23*AZ23),IF(ISNA($J23*L23*BA23),0,$J23*L23*BA23),IF(ISNA($M23*O23*BB23),0,$M23*O23*BB23),IF(ISNA($P23*R23*BC23),0,$P23*R23*BC23)))</f>
        <v>0</v>
      </c>
      <c r="AA23" s="151">
        <f t="shared" si="1"/>
        <v>0</v>
      </c>
      <c r="AB23" s="1761"/>
      <c r="AC23" s="1788"/>
      <c r="AD23" s="1790"/>
      <c r="AE23" s="565">
        <f>$G23*IF(ISNA(VLOOKUP($B23&amp;"; "&amp;$H$11&amp;", "&amp;H$12,'FE Energie'!$G:$U,10,FALSE)),0,VLOOKUP($B23&amp;"; "&amp;$H$11&amp;", "&amp;H$12,'FE Energie'!$G:$U,10,FALSE))
+$J23*IF(ISNA(VLOOKUP($B23&amp;"; "&amp;$K$11&amp;", "&amp;H$12,'FE Energie'!$G:$U,10,FALSE)),0,VLOOKUP($B23&amp;"; "&amp;$K$11&amp;", "&amp;H$12,'FE Energie'!$G:$U,10,FALSE))
+$M23*IF(ISNA(VLOOKUP($B23&amp;"; "&amp;$N$11&amp;", "&amp;H$12,'FE Energie'!$G:$U,10,FALSE)),0,VLOOKUP($B23&amp;"; "&amp;$N$11&amp;", "&amp;H$12,'FE Energie'!$G:$U,10,FALSE))
+$P23*IF(ISNA(VLOOKUP($B23&amp;"; "&amp;$Q$11&amp;", "&amp;H$12,'FE Energie'!$G:$U,10,FALSE)),0,VLOOKUP($B23&amp;"; "&amp;$Q$11&amp;", "&amp;H$12,'FE Energie'!$G:$U,10,FALSE))</f>
        <v>0</v>
      </c>
      <c r="AF23" s="565">
        <f>$G23*IF(ISNA(VLOOKUP($B23&amp;"; "&amp;$H$11&amp;", "&amp;I$12,'FE Energie'!$G:$U,10,FALSE)),0,VLOOKUP($B23&amp;"; "&amp;$H$11&amp;", "&amp;I$12,'FE Energie'!$G:$U,10,FALSE))
+$J23*IF(ISNA(VLOOKUP($B23&amp;"; "&amp;$K$11&amp;", "&amp;I$12,'FE Energie'!$G:$U,10,FALSE)),0,VLOOKUP($B23&amp;"; "&amp;$K$11&amp;", "&amp;I$12,'FE Energie'!$G:$U,10,FALSE))
+$M23*IF(ISNA(VLOOKUP($B23&amp;"; "&amp;$N$11&amp;", "&amp;I$12,'FE Energie'!$G:$U,10,FALSE)),0,VLOOKUP($B23&amp;"; "&amp;$N$11&amp;", "&amp;I$12,'FE Energie'!$G:$U,10,FALSE))
+$P23*IF(ISNA(VLOOKUP($B23&amp;"; "&amp;$Q$11&amp;", "&amp;I$12,'FE Energie'!$G:$U,10,FALSE)),0,VLOOKUP($B23&amp;"; "&amp;$Q$11&amp;", "&amp;I$12,'FE Energie'!$G:$U,10,FALSE))</f>
        <v>0</v>
      </c>
      <c r="AG23" s="620">
        <f>$G23*IF(ISNA((VLOOKUP($B23&amp;"; "&amp;$H$11&amp;", "&amp;H$12,'FE Energie'!$G:$U,12,FALSE)+VLOOKUP($B23&amp;"; "&amp;$H$11&amp;", "&amp;H$12,'FE Energie'!$G:$U,11,FALSE))),0,(VLOOKUP($B23&amp;"; "&amp;$H$11&amp;", "&amp;H$12,'FE Energie'!$G:$U,12,FALSE)+VLOOKUP($B23&amp;"; "&amp;$H$11&amp;", "&amp;H$12,'FE Energie'!$G:$U,11,FALSE)))
+$J23*IF(ISNA((VLOOKUP($B23&amp;"; "&amp;$K$11&amp;", "&amp;H$12,'FE Energie'!$G:$U,12,FALSE)+VLOOKUP($B23&amp;"; "&amp;$K$11&amp;", "&amp;H$12,'FE Energie'!$G:$U,11,FALSE))),0,(VLOOKUP($B23&amp;"; "&amp;$K$11&amp;", "&amp;H$12,'FE Energie'!$G:$U,12,FALSE)+VLOOKUP($B23&amp;"; "&amp;$K$11&amp;", "&amp;H$12,'FE Energie'!$G:$U,11,FALSE)))
+$M23*IF(ISNA((VLOOKUP($B23&amp;"; "&amp;$N$11&amp;", "&amp;H$12,'FE Energie'!$G:$U,12,FALSE)+VLOOKUP($B23&amp;"; "&amp;$N$11&amp;", "&amp;H$12,'FE Energie'!$G:$U,11,FALSE))),0,(VLOOKUP($B23&amp;"; "&amp;$N$11&amp;", "&amp;H$12,'FE Energie'!$G:$U,12,FALSE)+VLOOKUP($B23&amp;"; "&amp;$N$11&amp;", "&amp;H$12,'FE Energie'!$G:$U,11,FALSE)))
+$P23*IF(ISNA((VLOOKUP($B23&amp;"; "&amp;$Q$11&amp;", "&amp;H$12,'FE Energie'!$G:$U,12,FALSE)+VLOOKUP($B23&amp;"; "&amp;$Q$11&amp;", "&amp;H$12,'FE Energie'!$G:$U,11,FALSE))),0,(VLOOKUP($B23&amp;"; "&amp;$Q$11&amp;", "&amp;H$12,'FE Energie'!$G:$U,12,FALSE)+VLOOKUP($B23&amp;"; "&amp;$Q$11&amp;", "&amp;H$12,'FE Energie'!$G:$U,11,FALSE)))</f>
        <v>0</v>
      </c>
      <c r="AH23" s="620">
        <f>$G23*IF(ISNA((VLOOKUP($B23&amp;"; "&amp;$H$11&amp;", "&amp;I$12,'FE Energie'!$G:$U,12,FALSE)+VLOOKUP($B23&amp;"; "&amp;$H$11&amp;", "&amp;I$12,'FE Energie'!$G:$U,11,FALSE))),0,(VLOOKUP($B23&amp;"; "&amp;$H$11&amp;", "&amp;I$12,'FE Energie'!$G:$U,12,FALSE)+VLOOKUP($B23&amp;"; "&amp;$H$11&amp;", "&amp;I$12,'FE Energie'!$G:$U,11,FALSE)))
+$J23*IF(ISNA((VLOOKUP($B23&amp;"; "&amp;$K$11&amp;", "&amp;I$12,'FE Energie'!$G:$U,12,FALSE)+VLOOKUP($B23&amp;"; "&amp;$K$11&amp;", "&amp;I$12,'FE Energie'!$G:$U,11,FALSE))),0,(VLOOKUP($B23&amp;"; "&amp;$K$11&amp;", "&amp;I$12,'FE Energie'!$G:$U,12,FALSE)+VLOOKUP($B23&amp;"; "&amp;$K$11&amp;", "&amp;I$12,'FE Energie'!$G:$U,11,FALSE)))
+$M23*IF(ISNA((VLOOKUP($B23&amp;"; "&amp;$N$11&amp;", "&amp;I$12,'FE Energie'!$G:$U,12,FALSE)+VLOOKUP($B23&amp;"; "&amp;$N$11&amp;", "&amp;I$12,'FE Energie'!$G:$U,11,FALSE))),0,(VLOOKUP($B23&amp;"; "&amp;$N$11&amp;", "&amp;I$12,'FE Energie'!$G:$U,12,FALSE)+VLOOKUP($B23&amp;"; "&amp;$N$11&amp;", "&amp;I$12,'FE Energie'!$G:$U,11,FALSE)))
+$P23*IF(ISNA((VLOOKUP($B23&amp;"; "&amp;$Q$11&amp;", "&amp;I$12,'FE Energie'!$G:$U,12,FALSE)+VLOOKUP($B23&amp;"; "&amp;$Q$11&amp;", "&amp;I$12,'FE Energie'!$G:$U,11,FALSE))),0,(VLOOKUP($B23&amp;"; "&amp;$Q$11&amp;", "&amp;I$12,'FE Energie'!$G:$U,12,FALSE)+VLOOKUP($B23&amp;"; "&amp;$Q$11&amp;", "&amp;I$12,'FE Energie'!$G:$U,11,FALSE)))</f>
        <v>0</v>
      </c>
      <c r="AI23" s="620">
        <f>$G23*IF(ISNA(VLOOKUP($B23&amp;"; "&amp;$H$11&amp;", "&amp;H$12,'FE Energie'!$G:$U,13,FALSE)),0,VLOOKUP($B23&amp;"; "&amp;$H$11&amp;", "&amp;H$12,'FE Energie'!$G:$U,13,FALSE))
+$J23*IF(ISNA(VLOOKUP($B23&amp;"; "&amp;$K$11&amp;", "&amp;H$12,'FE Energie'!$G:$U,13,FALSE)),0,VLOOKUP($B23&amp;"; "&amp;$K$11&amp;", "&amp;H$12,'FE Energie'!$G:$U,13,FALSE))
+$M23*IF(ISNA(VLOOKUP($B23&amp;"; "&amp;$N$11&amp;", "&amp;H$12,'FE Energie'!$G:$U,13,FALSE)),0,VLOOKUP($B23&amp;"; "&amp;$N$11&amp;", "&amp;H$12,'FE Energie'!$G:$U,13,FALSE))
+$P23*IF(ISNA(VLOOKUP($B23&amp;"; "&amp;$Q$11&amp;", "&amp;H$12,'FE Energie'!$G:$U,13,FALSE)),0,VLOOKUP($B23&amp;"; "&amp;$Q$11&amp;", "&amp;H$12,'FE Energie'!$G:$U,13,FALSE))</f>
        <v>0</v>
      </c>
      <c r="AJ23" s="620">
        <f>$G23*IF(ISNA(VLOOKUP($B23&amp;"; "&amp;$H$11&amp;", "&amp;I$12,'FE Energie'!$G:$U,13,FALSE)),0,VLOOKUP($B23&amp;"; "&amp;$H$11&amp;", "&amp;I$12,'FE Energie'!$G:$U,13,FALSE))
+$J23*IF(ISNA(VLOOKUP($B23&amp;"; "&amp;$K$11&amp;", "&amp;I$12,'FE Energie'!$G:$U,13,FALSE)),0,VLOOKUP($B23&amp;"; "&amp;$K$11&amp;", "&amp;I$12,'FE Energie'!$G:$U,13,FALSE))
+$M23*IF(ISNA(VLOOKUP($B23&amp;"; "&amp;$N$11&amp;", "&amp;I$12,'FE Energie'!$G:$U,13,FALSE)),0,VLOOKUP($B23&amp;"; "&amp;$N$11&amp;", "&amp;I$12,'FE Energie'!$G:$U,13,FALSE))
+$P23*IF(ISNA(VLOOKUP($B23&amp;"; "&amp;$Q$11&amp;", "&amp;I$12,'FE Energie'!$G:$U,13,FALSE)),0,VLOOKUP($B23&amp;"; "&amp;$Q$11&amp;", "&amp;I$12,'FE Energie'!$G:$U,13,FALSE))</f>
        <v>0</v>
      </c>
      <c r="AK23" s="565">
        <f>$G23*IF(ISNA(VLOOKUP($B23&amp;"; "&amp;$H$11&amp;", "&amp;H$12,'FE Energie'!$G:$U,14,FALSE)),0,VLOOKUP($B23&amp;"; "&amp;$H$11&amp;", "&amp;H$12,'FE Energie'!$G:$U,14,FALSE))
+$J23*IF(ISNA(VLOOKUP($B23&amp;"; "&amp;$K$11&amp;", "&amp;H$12,'FE Energie'!$G:$U,14,FALSE)),0,VLOOKUP($B23&amp;"; "&amp;$K$11&amp;", "&amp;H$12,'FE Energie'!$G:$U,14,FALSE))
+$M23*IF(ISNA(VLOOKUP($B23&amp;"; "&amp;$N$11&amp;", "&amp;H$12,'FE Energie'!$G:$U,14,FALSE)),0,VLOOKUP($B23&amp;"; "&amp;$N$11&amp;", "&amp;H$12,'FE Energie'!$G:$U,14,FALSE))
+$P23*IF(ISNA(VLOOKUP($B23&amp;"; "&amp;$Q$11&amp;", "&amp;H$12,'FE Energie'!$G:$U,14,FALSE)),0,VLOOKUP($B23&amp;"; "&amp;$Q$11&amp;", "&amp;H$12,'FE Energie'!$G:$U,14,FALSE))</f>
        <v>0</v>
      </c>
      <c r="AL23" s="565">
        <f>$G23*IF(ISNA(VLOOKUP($B23&amp;"; "&amp;$H$11&amp;", "&amp;I$12,'FE Energie'!$G:$U,14,FALSE)),0,VLOOKUP($B23&amp;"; "&amp;$H$11&amp;", "&amp;I$12,'FE Energie'!$G:$U,14,FALSE))
+$J23*IF(ISNA(VLOOKUP($B23&amp;"; "&amp;$K$11&amp;", "&amp;I$12,'FE Energie'!$G:$U,14,FALSE)),0,VLOOKUP($B23&amp;"; "&amp;$K$11&amp;", "&amp;I$12,'FE Energie'!$G:$U,14,FALSE))
+$M23*IF(ISNA(VLOOKUP($B23&amp;"; "&amp;$N$11&amp;", "&amp;I$12,'FE Energie'!$G:$U,14,FALSE)),0,VLOOKUP($B23&amp;"; "&amp;$N$11&amp;", "&amp;I$12,'FE Energie'!$G:$U,14,FALSE))
+$P23*IF(ISNA(VLOOKUP($B23&amp;"; "&amp;$Q$11&amp;", "&amp;I$12,'FE Energie'!$G:$U,14,FALSE)),0,VLOOKUP($B23&amp;"; "&amp;$Q$11&amp;", "&amp;I$12,'FE Energie'!$G:$U,14,FALSE))</f>
        <v>0</v>
      </c>
      <c r="AM23" s="566">
        <f t="shared" si="2"/>
        <v>0</v>
      </c>
      <c r="AN23" s="566">
        <f t="shared" si="3"/>
        <v>0</v>
      </c>
      <c r="AO23" s="564">
        <f>$G23*IF(ISNA(VLOOKUP($B23&amp;"; "&amp;$H$11&amp;", "&amp;H$12,'FE Energie'!$G:$U,15,FALSE)),0,VLOOKUP($B23&amp;"; "&amp;$H$11&amp;", "&amp;H$12,'FE Energie'!$G:$U,15,FALSE))
+$J23*IF(ISNA(VLOOKUP($B23&amp;"; "&amp;$K$11&amp;", "&amp;H$12,'FE Energie'!$G:$U,15,FALSE)),0,VLOOKUP($B23&amp;"; "&amp;$K$11&amp;", "&amp;H$12,'FE Energie'!$G:$U,15,FALSE))
+$M23*IF(ISNA(VLOOKUP($B23&amp;"; "&amp;$N$11&amp;", "&amp;H$12,'FE Energie'!$G:$U,15,FALSE)),0,VLOOKUP($B23&amp;"; "&amp;$N$11&amp;", "&amp;H$12,'FE Energie'!$G:$U,15,FALSE))
+$P23*IF(ISNA(VLOOKUP($B23&amp;"; "&amp;$Q$11&amp;", "&amp;H$12,'FE Energie'!$G:$U,15,FALSE)),0,VLOOKUP($B23&amp;"; "&amp;$Q$11&amp;", "&amp;H$12,'FE Energie'!$G:$U,15,FALSE))</f>
        <v>0</v>
      </c>
      <c r="AP23" s="568">
        <f>$G23*IF(ISNA(VLOOKUP($B23&amp;"; "&amp;$H$11&amp;", "&amp;I$12,'FE Energie'!$G:$U,15,FALSE)),0,VLOOKUP($B23&amp;"; "&amp;$H$11&amp;", "&amp;I$12,'FE Energie'!$G:$U,15,FALSE))
+$J23*IF(ISNA(VLOOKUP($B23&amp;"; "&amp;$K$11&amp;", "&amp;I$12,'FE Energie'!$G:$U,15,FALSE)),0,VLOOKUP($B23&amp;"; "&amp;$K$11&amp;", "&amp;I$12,'FE Energie'!$G:$U,15,FALSE))
+$M23*IF(ISNA(VLOOKUP($B23&amp;"; "&amp;$N$11&amp;", "&amp;I$12,'FE Energie'!$G:$U,15,FALSE)),0,VLOOKUP($B23&amp;"; "&amp;$N$11&amp;", "&amp;I$12,'FE Energie'!$G:$U,15,FALSE))
+$P23*IF(ISNA(VLOOKUP($B23&amp;"; "&amp;$Q$11&amp;", "&amp;I$12,'FE Energie'!$G:$U,15,FALSE)),0,VLOOKUP($B23&amp;"; "&amp;$Q$11&amp;", "&amp;I$12,'FE Energie'!$G:$U,15,FALSE))</f>
        <v>0</v>
      </c>
      <c r="AQ23" s="114"/>
      <c r="AR23" s="1065">
        <f>IF($W23&lt;&gt;"votre valeur :",IF(ISNA(VLOOKUP($W23,Utilitaires!$N$566:$O$571,2,FALSE)),,VLOOKUP($W23,Utilitaires!$N$566:$O$571,2,FALSE)),$X23)</f>
        <v>0</v>
      </c>
      <c r="AS23" s="1065">
        <f>IF($W23&lt;&gt;"votre valeur :",IF(ISNA(VLOOKUP($W23,Utilitaires!$N$566:$O$571,2,FALSE)),,VLOOKUP($W23,Utilitaires!$N$566:$O$571,2,FALSE)),$X23)</f>
        <v>0</v>
      </c>
      <c r="AT23" s="1065">
        <f>IF($W23&lt;&gt;"votre valeur :",IF(ISNA(VLOOKUP($W23,Utilitaires!$N$566:$O$571,2,FALSE)),,VLOOKUP($W23,Utilitaires!$N$566:$O$571,2,FALSE)),$X23)</f>
        <v>0</v>
      </c>
      <c r="AU23" s="1167">
        <f>IF($W23&lt;&gt;"votre valeur :",IF(ISNA(VLOOKUP($W23,Utilitaires!$N$566:$O$571,2,FALSE)),,VLOOKUP($W23,Utilitaires!$N$566:$O$571,2,FALSE)),$X23)</f>
        <v>0</v>
      </c>
      <c r="AV23" s="1068">
        <f>IF(ISNA(SQRT(SUMSQ(VLOOKUP($B23&amp;"; "&amp;$H$11&amp;", "&amp;$H$12,'FE Energie'!$G:$U,7,FALSE),$AR23))),0,SQRT(SUMSQ(VLOOKUP($B23&amp;"; "&amp;$H$11&amp;", "&amp;$H$12,'FE Energie'!$G:$U,7,FALSE),$AR23)))</f>
        <v>0.2</v>
      </c>
      <c r="AW23" s="1068">
        <f>IF(ISNA(SQRT(SUMSQ(VLOOKUP($B23&amp;"; "&amp;$K$11&amp;", "&amp;$K$12,'FE Energie'!$G:$U,7,FALSE),$AS23))),0,SQRT(SUMSQ(VLOOKUP($B23&amp;"; "&amp;$K$11&amp;", "&amp;$K$12,'FE Energie'!$G:$U,7,FALSE),$AS23)))</f>
        <v>0.2</v>
      </c>
      <c r="AX23" s="1068">
        <f>IF(ISNA(SQRT(SUMSQ(VLOOKUP($B23&amp;"; "&amp;$N$11&amp;", "&amp;$N$12,'FE Energie'!$G:$U,7,FALSE),$AT23))),0,SQRT(SUMSQ(VLOOKUP($B23&amp;"; "&amp;$N$11&amp;", "&amp;$N$12,'FE Energie'!$G:$U,7,FALSE),$AT23)))</f>
        <v>0.2</v>
      </c>
      <c r="AY23" s="1068">
        <f>IF(ISNA(SQRT(SUMSQ(VLOOKUP($B23&amp;"; "&amp;$Q$11&amp;", "&amp;$Q$12,'FE Energie'!$G:$U,7,FALSE),$AU23))),0,SQRT(SUMSQ(VLOOKUP($B23&amp;"; "&amp;$Q$11&amp;", "&amp;$Q$12,'FE Energie'!$G:$U,7,FALSE),$AU23)))</f>
        <v>0</v>
      </c>
      <c r="AZ23" s="1069">
        <f>IF(ISNA(SQRT(SUMSQ(VLOOKUP($B23&amp;"; "&amp;$H$11&amp;", "&amp;$I$12,'FE Energie'!$G:$U,7,FALSE),$AR23))),0,SQRT(SUMSQ(VLOOKUP($B23&amp;"; "&amp;$H$11&amp;", "&amp;$I$12,'FE Energie'!$G:$U,7,FALSE),$AR23)))</f>
        <v>0.2</v>
      </c>
      <c r="BA23" s="1070">
        <f>IF(ISNA(SQRT(SUMSQ(VLOOKUP($B23&amp;"; "&amp;$K$11&amp;", "&amp;$L$12,'FE Energie'!$G:$U,7,FALSE),$AS23))),0,SQRT(SUMSQ(VLOOKUP($B23&amp;"; "&amp;$K$11&amp;", "&amp;$L$12,'FE Energie'!$G:$U,7,FALSE),$AS23)))</f>
        <v>0.2</v>
      </c>
      <c r="BB23" s="1070">
        <f>IF(ISNA(SQRT(SUMSQ(VLOOKUP($B23&amp;"; "&amp;$N$11&amp;", "&amp;$O$12,'FE Energie'!$G:$U,7,FALSE),$AT23))),0,SQRT(SUMSQ(VLOOKUP($B23&amp;"; "&amp;$N$11&amp;", "&amp;$O$12,'FE Energie'!$G:$U,7,FALSE),$AT23)))</f>
        <v>0.2</v>
      </c>
      <c r="BC23" s="1071">
        <f>IF(ISNA(SQRT(SUMSQ(VLOOKUP($B23&amp;"; "&amp;$Q$11&amp;", "&amp;$R$12,'FE Energie'!$G:$U,7,FALSE),$AU23))),0,SQRT(SUMSQ(VLOOKUP($B23&amp;"; "&amp;$Q$11&amp;", "&amp;$R$12,'FE Energie'!$G:$U,7,FALSE),$AU23)))</f>
        <v>0</v>
      </c>
    </row>
    <row r="24" spans="1:55" s="116" customFormat="1" ht="12.75" hidden="1" customHeight="1" outlineLevel="1">
      <c r="A24" s="114"/>
      <c r="B24" s="536" t="s">
        <v>1636</v>
      </c>
      <c r="C24" s="144"/>
      <c r="D24" s="315"/>
      <c r="E24" s="315"/>
      <c r="F24" s="822"/>
      <c r="G24" s="822"/>
      <c r="H24" s="335"/>
      <c r="I24" s="335"/>
      <c r="J24" s="822"/>
      <c r="K24" s="335"/>
      <c r="L24" s="335"/>
      <c r="M24" s="822"/>
      <c r="N24" s="335"/>
      <c r="O24" s="335"/>
      <c r="P24" s="1200"/>
      <c r="Q24" s="335"/>
      <c r="R24" s="335"/>
      <c r="S24" s="566"/>
      <c r="T24" s="567"/>
      <c r="U24" s="114"/>
      <c r="V24" s="1092"/>
      <c r="W24" s="820"/>
      <c r="X24" s="820"/>
      <c r="Y24" s="164"/>
      <c r="Z24" s="164"/>
      <c r="AA24" s="151"/>
      <c r="AB24" s="1761"/>
      <c r="AC24" s="1788"/>
      <c r="AD24" s="1790"/>
      <c r="AE24" s="565"/>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hidden="1" customHeight="1" outlineLevel="1">
      <c r="A25" s="114"/>
      <c r="B25" s="143" t="s">
        <v>1638</v>
      </c>
      <c r="C25" s="144"/>
      <c r="D25" s="315">
        <f t="shared" si="0"/>
        <v>0</v>
      </c>
      <c r="E25" s="315"/>
      <c r="F25" s="117"/>
      <c r="G25" s="1547"/>
      <c r="H25" s="335">
        <f>VLOOKUP($B25&amp;"; "&amp;$H$11&amp;", "&amp;H$12,'FE Energie'!$G:$U,9,FALSE)</f>
        <v>0.247</v>
      </c>
      <c r="I25" s="335">
        <f>VLOOKUP($B25&amp;"; "&amp;$H$11&amp;", "&amp;I$12,'FE Energie'!$G:$U,9,FALSE)</f>
        <v>3.03</v>
      </c>
      <c r="J25" s="1547"/>
      <c r="K25" s="335">
        <f>VLOOKUP($B25&amp;"; "&amp;$K$11&amp;", "&amp;K$12,'FE Energie'!$G:$U,9,FALSE)</f>
        <v>3.1899999999999998E-2</v>
      </c>
      <c r="L25" s="335">
        <f>VLOOKUP($B25&amp;"; "&amp;$K$11&amp;", "&amp;L$12,'FE Energie'!$G:$U,9,FALSE)</f>
        <v>0.38900000000000001</v>
      </c>
      <c r="M25" s="1547"/>
      <c r="N25" s="335">
        <f>VLOOKUP($B25&amp;"; "&amp;$N$11&amp;", "&amp;N$12,'FE Energie'!$G:$U,9,FALSE)</f>
        <v>372</v>
      </c>
      <c r="O25" s="335">
        <f>VLOOKUP($B25&amp;"; "&amp;$N$11&amp;", "&amp;O$12,'FE Energie'!$G:$U,9,FALSE)</f>
        <v>4540</v>
      </c>
      <c r="P25" s="1547"/>
      <c r="Q25" s="335" t="e">
        <f>VLOOKUP($B25&amp;"; "&amp;$Q$11&amp;", "&amp;Q$12,'FE Energie'!$G:$U,9,FALSE)</f>
        <v>#N/A</v>
      </c>
      <c r="R25" s="335" t="e">
        <f>VLOOKUP($B25&amp;"; "&amp;$Q$11&amp;", "&amp;R$12,'FE Energie'!$G:$U,9,FALSE)</f>
        <v>#N/A</v>
      </c>
      <c r="S25" s="566">
        <f>IF(ISNA(G25*H25),0,G25*H25)+IF(ISNA(J25*K25),0,J25*K25)+IF(ISNA(M25*N25),0,M25*N25)+IF(ISNA(P25*Q25),0,P25*Q25)</f>
        <v>0</v>
      </c>
      <c r="T25" s="567">
        <f>IF(ISNA(G25*I25),0,G25*I25)+IF(ISNA(J25*L25),0,J25*L25)+IF(ISNA(M25*O25),0,M25*O25)+IF(ISNA(P25*R25),0,P25*R25)</f>
        <v>0</v>
      </c>
      <c r="U25" s="114"/>
      <c r="V25" s="1092">
        <f>IF(AA25=0,AA25,AA25/(S25+T25))</f>
        <v>0</v>
      </c>
      <c r="W25" s="343"/>
      <c r="X25" s="820"/>
      <c r="Y25" s="164">
        <f>SQRT(SUMSQ(IF(ISNA($G25*H25*AV25),0,$G25*H25*AV25),IF(ISNA($J25*K25*AW25),0,$J25*K25*AW25),IF(ISNA($M25*N25*AX25),0,$M25*N25*AX25),IF(ISNA($P25*Q25*AY25),0,$P25*Q25*AY25)))</f>
        <v>0</v>
      </c>
      <c r="Z25" s="164">
        <f>SQRT(SUMSQ(IF(ISNA($G25*I25*AZ25),0,$G25*I25*AZ25),IF(ISNA($J25*L25*BA25),0,$J25*L25*BA25),IF(ISNA($M25*O25*BB25),0,$M25*O25*BB25),IF(ISNA($P25*R25*BC25),0,$P25*R25*BC25)))</f>
        <v>0</v>
      </c>
      <c r="AA25" s="151">
        <f t="shared" si="1"/>
        <v>0</v>
      </c>
      <c r="AB25" s="1761"/>
      <c r="AC25" s="1788"/>
      <c r="AD25" s="1790"/>
      <c r="AE25" s="565">
        <f>$G25*IF(ISNA(VLOOKUP($B25&amp;"; "&amp;$H$11&amp;", "&amp;H$12,'FE Energie'!$G:$U,10,FALSE)),0,VLOOKUP($B25&amp;"; "&amp;$H$11&amp;", "&amp;H$12,'FE Energie'!$G:$U,10,FALSE))
+$J25*IF(ISNA(VLOOKUP($B25&amp;"; "&amp;$K$11&amp;", "&amp;H$12,'FE Energie'!$G:$U,10,FALSE)),0,VLOOKUP($B25&amp;"; "&amp;$K$11&amp;", "&amp;H$12,'FE Energie'!$G:$U,10,FALSE))
+$M25*IF(ISNA(VLOOKUP($B25&amp;"; "&amp;$N$11&amp;", "&amp;H$12,'FE Energie'!$G:$U,10,FALSE)),0,VLOOKUP($B25&amp;"; "&amp;$N$11&amp;", "&amp;H$12,'FE Energie'!$G:$U,10,FALSE))
+$P25*IF(ISNA(VLOOKUP($B25&amp;"; "&amp;$Q$11&amp;", "&amp;H$12,'FE Energie'!$G:$U,10,FALSE)),0,VLOOKUP($B25&amp;"; "&amp;$Q$11&amp;", "&amp;H$12,'FE Energie'!$G:$U,10,FALSE))</f>
        <v>0</v>
      </c>
      <c r="AF25" s="565">
        <f>$G25*IF(ISNA(VLOOKUP($B25&amp;"; "&amp;$H$11&amp;", "&amp;I$12,'FE Energie'!$G:$U,10,FALSE)),0,VLOOKUP($B25&amp;"; "&amp;$H$11&amp;", "&amp;I$12,'FE Energie'!$G:$U,10,FALSE))
+$J25*IF(ISNA(VLOOKUP($B25&amp;"; "&amp;$K$11&amp;", "&amp;I$12,'FE Energie'!$G:$U,10,FALSE)),0,VLOOKUP($B25&amp;"; "&amp;$K$11&amp;", "&amp;I$12,'FE Energie'!$G:$U,10,FALSE))
+$M25*IF(ISNA(VLOOKUP($B25&amp;"; "&amp;$N$11&amp;", "&amp;I$12,'FE Energie'!$G:$U,10,FALSE)),0,VLOOKUP($B25&amp;"; "&amp;$N$11&amp;", "&amp;I$12,'FE Energie'!$G:$U,10,FALSE))
+$P25*IF(ISNA(VLOOKUP($B25&amp;"; "&amp;$Q$11&amp;", "&amp;I$12,'FE Energie'!$G:$U,10,FALSE)),0,VLOOKUP($B25&amp;"; "&amp;$Q$11&amp;", "&amp;I$12,'FE Energie'!$G:$U,10,FALSE))</f>
        <v>0</v>
      </c>
      <c r="AG25" s="620">
        <f>$G25*IF(ISNA((VLOOKUP($B25&amp;"; "&amp;$H$11&amp;", "&amp;H$12,'FE Energie'!$G:$U,12,FALSE)+VLOOKUP($B25&amp;"; "&amp;$H$11&amp;", "&amp;H$12,'FE Energie'!$G:$U,11,FALSE))),0,(VLOOKUP($B25&amp;"; "&amp;$H$11&amp;", "&amp;H$12,'FE Energie'!$G:$U,12,FALSE)+VLOOKUP($B25&amp;"; "&amp;$H$11&amp;", "&amp;H$12,'FE Energie'!$G:$U,11,FALSE)))
+$J25*IF(ISNA((VLOOKUP($B25&amp;"; "&amp;$K$11&amp;", "&amp;H$12,'FE Energie'!$G:$U,12,FALSE)+VLOOKUP($B25&amp;"; "&amp;$K$11&amp;", "&amp;H$12,'FE Energie'!$G:$U,11,FALSE))),0,(VLOOKUP($B25&amp;"; "&amp;$K$11&amp;", "&amp;H$12,'FE Energie'!$G:$U,12,FALSE)+VLOOKUP($B25&amp;"; "&amp;$K$11&amp;", "&amp;H$12,'FE Energie'!$G:$U,11,FALSE)))
+$M25*IF(ISNA((VLOOKUP($B25&amp;"; "&amp;$N$11&amp;", "&amp;H$12,'FE Energie'!$G:$U,12,FALSE)+VLOOKUP($B25&amp;"; "&amp;$N$11&amp;", "&amp;H$12,'FE Energie'!$G:$U,11,FALSE))),0,(VLOOKUP($B25&amp;"; "&amp;$N$11&amp;", "&amp;H$12,'FE Energie'!$G:$U,12,FALSE)+VLOOKUP($B25&amp;"; "&amp;$N$11&amp;", "&amp;H$12,'FE Energie'!$G:$U,11,FALSE)))
+$P25*IF(ISNA((VLOOKUP($B25&amp;"; "&amp;$Q$11&amp;", "&amp;H$12,'FE Energie'!$G:$U,12,FALSE)+VLOOKUP($B25&amp;"; "&amp;$Q$11&amp;", "&amp;H$12,'FE Energie'!$G:$U,11,FALSE))),0,(VLOOKUP($B25&amp;"; "&amp;$Q$11&amp;", "&amp;H$12,'FE Energie'!$G:$U,12,FALSE)+VLOOKUP($B25&amp;"; "&amp;$Q$11&amp;", "&amp;H$12,'FE Energie'!$G:$U,11,FALSE)))</f>
        <v>0</v>
      </c>
      <c r="AH25" s="620">
        <f>$G25*IF(ISNA((VLOOKUP($B25&amp;"; "&amp;$H$11&amp;", "&amp;I$12,'FE Energie'!$G:$U,12,FALSE)+VLOOKUP($B25&amp;"; "&amp;$H$11&amp;", "&amp;I$12,'FE Energie'!$G:$U,11,FALSE))),0,(VLOOKUP($B25&amp;"; "&amp;$H$11&amp;", "&amp;I$12,'FE Energie'!$G:$U,12,FALSE)+VLOOKUP($B25&amp;"; "&amp;$H$11&amp;", "&amp;I$12,'FE Energie'!$G:$U,11,FALSE)))
+$J25*IF(ISNA((VLOOKUP($B25&amp;"; "&amp;$K$11&amp;", "&amp;I$12,'FE Energie'!$G:$U,12,FALSE)+VLOOKUP($B25&amp;"; "&amp;$K$11&amp;", "&amp;I$12,'FE Energie'!$G:$U,11,FALSE))),0,(VLOOKUP($B25&amp;"; "&amp;$K$11&amp;", "&amp;I$12,'FE Energie'!$G:$U,12,FALSE)+VLOOKUP($B25&amp;"; "&amp;$K$11&amp;", "&amp;I$12,'FE Energie'!$G:$U,11,FALSE)))
+$M25*IF(ISNA((VLOOKUP($B25&amp;"; "&amp;$N$11&amp;", "&amp;I$12,'FE Energie'!$G:$U,12,FALSE)+VLOOKUP($B25&amp;"; "&amp;$N$11&amp;", "&amp;I$12,'FE Energie'!$G:$U,11,FALSE))),0,(VLOOKUP($B25&amp;"; "&amp;$N$11&amp;", "&amp;I$12,'FE Energie'!$G:$U,12,FALSE)+VLOOKUP($B25&amp;"; "&amp;$N$11&amp;", "&amp;I$12,'FE Energie'!$G:$U,11,FALSE)))
+$P25*IF(ISNA((VLOOKUP($B25&amp;"; "&amp;$Q$11&amp;", "&amp;I$12,'FE Energie'!$G:$U,12,FALSE)+VLOOKUP($B25&amp;"; "&amp;$Q$11&amp;", "&amp;I$12,'FE Energie'!$G:$U,11,FALSE))),0,(VLOOKUP($B25&amp;"; "&amp;$Q$11&amp;", "&amp;I$12,'FE Energie'!$G:$U,12,FALSE)+VLOOKUP($B25&amp;"; "&amp;$Q$11&amp;", "&amp;I$12,'FE Energie'!$G:$U,11,FALSE)))</f>
        <v>0</v>
      </c>
      <c r="AI25" s="620">
        <f>$G25*IF(ISNA(VLOOKUP($B25&amp;"; "&amp;$H$11&amp;", "&amp;H$12,'FE Energie'!$G:$U,13,FALSE)),0,VLOOKUP($B25&amp;"; "&amp;$H$11&amp;", "&amp;H$12,'FE Energie'!$G:$U,13,FALSE))
+$J25*IF(ISNA(VLOOKUP($B25&amp;"; "&amp;$K$11&amp;", "&amp;H$12,'FE Energie'!$G:$U,13,FALSE)),0,VLOOKUP($B25&amp;"; "&amp;$K$11&amp;", "&amp;H$12,'FE Energie'!$G:$U,13,FALSE))
+$M25*IF(ISNA(VLOOKUP($B25&amp;"; "&amp;$N$11&amp;", "&amp;H$12,'FE Energie'!$G:$U,13,FALSE)),0,VLOOKUP($B25&amp;"; "&amp;$N$11&amp;", "&amp;H$12,'FE Energie'!$G:$U,13,FALSE))
+$P25*IF(ISNA(VLOOKUP($B25&amp;"; "&amp;$Q$11&amp;", "&amp;H$12,'FE Energie'!$G:$U,13,FALSE)),0,VLOOKUP($B25&amp;"; "&amp;$Q$11&amp;", "&amp;H$12,'FE Energie'!$G:$U,13,FALSE))</f>
        <v>0</v>
      </c>
      <c r="AJ25" s="620">
        <f>$G25*IF(ISNA(VLOOKUP($B25&amp;"; "&amp;$H$11&amp;", "&amp;I$12,'FE Energie'!$G:$U,13,FALSE)),0,VLOOKUP($B25&amp;"; "&amp;$H$11&amp;", "&amp;I$12,'FE Energie'!$G:$U,13,FALSE))
+$J25*IF(ISNA(VLOOKUP($B25&amp;"; "&amp;$K$11&amp;", "&amp;I$12,'FE Energie'!$G:$U,13,FALSE)),0,VLOOKUP($B25&amp;"; "&amp;$K$11&amp;", "&amp;I$12,'FE Energie'!$G:$U,13,FALSE))
+$M25*IF(ISNA(VLOOKUP($B25&amp;"; "&amp;$N$11&amp;", "&amp;I$12,'FE Energie'!$G:$U,13,FALSE)),0,VLOOKUP($B25&amp;"; "&amp;$N$11&amp;", "&amp;I$12,'FE Energie'!$G:$U,13,FALSE))
+$P25*IF(ISNA(VLOOKUP($B25&amp;"; "&amp;$Q$11&amp;", "&amp;I$12,'FE Energie'!$G:$U,13,FALSE)),0,VLOOKUP($B25&amp;"; "&amp;$Q$11&amp;", "&amp;I$12,'FE Energie'!$G:$U,13,FALSE))</f>
        <v>0</v>
      </c>
      <c r="AK25" s="565">
        <f>$G25*IF(ISNA(VLOOKUP($B25&amp;"; "&amp;$H$11&amp;", "&amp;H$12,'FE Energie'!$G:$U,14,FALSE)),0,VLOOKUP($B25&amp;"; "&amp;$H$11&amp;", "&amp;H$12,'FE Energie'!$G:$U,14,FALSE))
+$J25*IF(ISNA(VLOOKUP($B25&amp;"; "&amp;$K$11&amp;", "&amp;H$12,'FE Energie'!$G:$U,14,FALSE)),0,VLOOKUP($B25&amp;"; "&amp;$K$11&amp;", "&amp;H$12,'FE Energie'!$G:$U,14,FALSE))
+$M25*IF(ISNA(VLOOKUP($B25&amp;"; "&amp;$N$11&amp;", "&amp;H$12,'FE Energie'!$G:$U,14,FALSE)),0,VLOOKUP($B25&amp;"; "&amp;$N$11&amp;", "&amp;H$12,'FE Energie'!$G:$U,14,FALSE))
+$P25*IF(ISNA(VLOOKUP($B25&amp;"; "&amp;$Q$11&amp;", "&amp;H$12,'FE Energie'!$G:$U,14,FALSE)),0,VLOOKUP($B25&amp;"; "&amp;$Q$11&amp;", "&amp;H$12,'FE Energie'!$G:$U,14,FALSE))</f>
        <v>0</v>
      </c>
      <c r="AL25" s="565">
        <f>$G25*IF(ISNA(VLOOKUP($B25&amp;"; "&amp;$H$11&amp;", "&amp;I$12,'FE Energie'!$G:$U,14,FALSE)),0,VLOOKUP($B25&amp;"; "&amp;$H$11&amp;", "&amp;I$12,'FE Energie'!$G:$U,14,FALSE))
+$J25*IF(ISNA(VLOOKUP($B25&amp;"; "&amp;$K$11&amp;", "&amp;I$12,'FE Energie'!$G:$U,14,FALSE)),0,VLOOKUP($B25&amp;"; "&amp;$K$11&amp;", "&amp;I$12,'FE Energie'!$G:$U,14,FALSE))
+$M25*IF(ISNA(VLOOKUP($B25&amp;"; "&amp;$N$11&amp;", "&amp;I$12,'FE Energie'!$G:$U,14,FALSE)),0,VLOOKUP($B25&amp;"; "&amp;$N$11&amp;", "&amp;I$12,'FE Energie'!$G:$U,14,FALSE))
+$P25*IF(ISNA(VLOOKUP($B25&amp;"; "&amp;$Q$11&amp;", "&amp;I$12,'FE Energie'!$G:$U,14,FALSE)),0,VLOOKUP($B25&amp;"; "&amp;$Q$11&amp;", "&amp;I$12,'FE Energie'!$G:$U,14,FALSE))</f>
        <v>0</v>
      </c>
      <c r="AM25" s="566">
        <f t="shared" si="2"/>
        <v>0</v>
      </c>
      <c r="AN25" s="566">
        <f t="shared" si="3"/>
        <v>0</v>
      </c>
      <c r="AO25" s="564">
        <f>$G25*IF(ISNA(VLOOKUP($B25&amp;"; "&amp;$H$11&amp;", "&amp;H$12,'FE Energie'!$G:$U,15,FALSE)),0,VLOOKUP($B25&amp;"; "&amp;$H$11&amp;", "&amp;H$12,'FE Energie'!$G:$U,15,FALSE))
+$J25*IF(ISNA(VLOOKUP($B25&amp;"; "&amp;$K$11&amp;", "&amp;H$12,'FE Energie'!$G:$U,15,FALSE)),0,VLOOKUP($B25&amp;"; "&amp;$K$11&amp;", "&amp;H$12,'FE Energie'!$G:$U,15,FALSE))
+$M25*IF(ISNA(VLOOKUP($B25&amp;"; "&amp;$N$11&amp;", "&amp;H$12,'FE Energie'!$G:$U,15,FALSE)),0,VLOOKUP($B25&amp;"; "&amp;$N$11&amp;", "&amp;H$12,'FE Energie'!$G:$U,15,FALSE))
+$P25*IF(ISNA(VLOOKUP($B25&amp;"; "&amp;$Q$11&amp;", "&amp;H$12,'FE Energie'!$G:$U,15,FALSE)),0,VLOOKUP($B25&amp;"; "&amp;$Q$11&amp;", "&amp;H$12,'FE Energie'!$G:$U,15,FALSE))</f>
        <v>0</v>
      </c>
      <c r="AP25" s="568">
        <f>$G25*IF(ISNA(VLOOKUP($B25&amp;"; "&amp;$H$11&amp;", "&amp;I$12,'FE Energie'!$G:$U,15,FALSE)),0,VLOOKUP($B25&amp;"; "&amp;$H$11&amp;", "&amp;I$12,'FE Energie'!$G:$U,15,FALSE))
+$J25*IF(ISNA(VLOOKUP($B25&amp;"; "&amp;$K$11&amp;", "&amp;I$12,'FE Energie'!$G:$U,15,FALSE)),0,VLOOKUP($B25&amp;"; "&amp;$K$11&amp;", "&amp;I$12,'FE Energie'!$G:$U,15,FALSE))
+$M25*IF(ISNA(VLOOKUP($B25&amp;"; "&amp;$N$11&amp;", "&amp;I$12,'FE Energie'!$G:$U,15,FALSE)),0,VLOOKUP($B25&amp;"; "&amp;$N$11&amp;", "&amp;I$12,'FE Energie'!$G:$U,15,FALSE))
+$P25*IF(ISNA(VLOOKUP($B25&amp;"; "&amp;$Q$11&amp;", "&amp;I$12,'FE Energie'!$G:$U,15,FALSE)),0,VLOOKUP($B25&amp;"; "&amp;$Q$11&amp;", "&amp;I$12,'FE Energie'!$G:$U,15,FALSE))</f>
        <v>0</v>
      </c>
      <c r="AQ25" s="114"/>
      <c r="AR25" s="1065">
        <f>IF($W25&lt;&gt;"votre valeur :",IF(ISNA(VLOOKUP($W25,Utilitaires!$N$566:$O$571,2,FALSE)),,VLOOKUP($W25,Utilitaires!$N$566:$O$571,2,FALSE)),$X25)</f>
        <v>0</v>
      </c>
      <c r="AS25" s="1065">
        <f>IF($W25&lt;&gt;"votre valeur :",IF(ISNA(VLOOKUP($W25,Utilitaires!$N$566:$O$571,2,FALSE)),,VLOOKUP($W25,Utilitaires!$N$566:$O$571,2,FALSE)),$X25)</f>
        <v>0</v>
      </c>
      <c r="AT25" s="1065">
        <f>IF($W25&lt;&gt;"votre valeur :",IF(ISNA(VLOOKUP($W25,Utilitaires!$N$566:$O$571,2,FALSE)),,VLOOKUP($W25,Utilitaires!$N$566:$O$571,2,FALSE)),$X25)</f>
        <v>0</v>
      </c>
      <c r="AU25" s="1167">
        <f>IF($W25&lt;&gt;"votre valeur :",IF(ISNA(VLOOKUP($W25,Utilitaires!$N$566:$O$571,2,FALSE)),,VLOOKUP($W25,Utilitaires!$N$566:$O$571,2,FALSE)),$X25)</f>
        <v>0</v>
      </c>
      <c r="AV25" s="1068">
        <f>IF(ISNA(SQRT(SUMSQ(VLOOKUP($B25&amp;"; "&amp;$H$11&amp;", "&amp;$H$12,'FE Energie'!$G:$U,7,FALSE),$AR25))),0,SQRT(SUMSQ(VLOOKUP($B25&amp;"; "&amp;$H$11&amp;", "&amp;$H$12,'FE Energie'!$G:$U,7,FALSE),$AR25)))</f>
        <v>0.2</v>
      </c>
      <c r="AW25" s="1068">
        <f>IF(ISNA(SQRT(SUMSQ(VLOOKUP($B25&amp;"; "&amp;$K$11&amp;", "&amp;$K$12,'FE Energie'!$G:$U,7,FALSE),$AS25))),0,SQRT(SUMSQ(VLOOKUP($B25&amp;"; "&amp;$K$11&amp;", "&amp;$K$12,'FE Energie'!$G:$U,7,FALSE),$AS25)))</f>
        <v>0.2</v>
      </c>
      <c r="AX25" s="1068">
        <f>IF(ISNA(SQRT(SUMSQ(VLOOKUP($B25&amp;"; "&amp;$N$11&amp;", "&amp;$N$12,'FE Energie'!$G:$U,7,FALSE),$AT25))),0,SQRT(SUMSQ(VLOOKUP($B25&amp;"; "&amp;$N$11&amp;", "&amp;$N$12,'FE Energie'!$G:$U,7,FALSE),$AT25)))</f>
        <v>0.2</v>
      </c>
      <c r="AY25" s="1068">
        <f>IF(ISNA(SQRT(SUMSQ(VLOOKUP($B25&amp;"; "&amp;$Q$11&amp;", "&amp;$Q$12,'FE Energie'!$G:$U,7,FALSE),$AU25))),0,SQRT(SUMSQ(VLOOKUP($B25&amp;"; "&amp;$Q$11&amp;", "&amp;$Q$12,'FE Energie'!$G:$U,7,FALSE),$AU25)))</f>
        <v>0</v>
      </c>
      <c r="AZ25" s="1069">
        <f>IF(ISNA(SQRT(SUMSQ(VLOOKUP($B25&amp;"; "&amp;$H$11&amp;", "&amp;$I$12,'FE Energie'!$G:$U,7,FALSE),$AR25))),0,SQRT(SUMSQ(VLOOKUP($B25&amp;"; "&amp;$H$11&amp;", "&amp;$I$12,'FE Energie'!$G:$U,7,FALSE),$AR25)))</f>
        <v>0.2</v>
      </c>
      <c r="BA25" s="1070">
        <f>IF(ISNA(SQRT(SUMSQ(VLOOKUP($B25&amp;"; "&amp;$K$11&amp;", "&amp;$L$12,'FE Energie'!$G:$U,7,FALSE),$AS25))),0,SQRT(SUMSQ(VLOOKUP($B25&amp;"; "&amp;$K$11&amp;", "&amp;$L$12,'FE Energie'!$G:$U,7,FALSE),$AS25)))</f>
        <v>0.2</v>
      </c>
      <c r="BB25" s="1070">
        <f>IF(ISNA(SQRT(SUMSQ(VLOOKUP($B25&amp;"; "&amp;$N$11&amp;", "&amp;$O$12,'FE Energie'!$G:$U,7,FALSE),$AT25))),0,SQRT(SUMSQ(VLOOKUP($B25&amp;"; "&amp;$N$11&amp;", "&amp;$O$12,'FE Energie'!$G:$U,7,FALSE),$AT25)))</f>
        <v>0.2</v>
      </c>
      <c r="BC25" s="1071">
        <f>IF(ISNA(SQRT(SUMSQ(VLOOKUP($B25&amp;"; "&amp;$Q$11&amp;", "&amp;$R$12,'FE Energie'!$G:$U,7,FALSE),$AU25))),0,SQRT(SUMSQ(VLOOKUP($B25&amp;"; "&amp;$Q$11&amp;", "&amp;$R$12,'FE Energie'!$G:$U,7,FALSE),$AU25)))</f>
        <v>0</v>
      </c>
    </row>
    <row r="26" spans="1:55" s="116" customFormat="1" ht="12.75" hidden="1" customHeight="1" outlineLevel="1">
      <c r="A26" s="114"/>
      <c r="B26" s="143" t="s">
        <v>1639</v>
      </c>
      <c r="C26" s="144"/>
      <c r="D26" s="315">
        <f t="shared" si="0"/>
        <v>0</v>
      </c>
      <c r="E26" s="315"/>
      <c r="F26" s="123"/>
      <c r="G26" s="1548"/>
      <c r="H26" s="335" t="e">
        <f>VLOOKUP($B26&amp;"; "&amp;$H$11&amp;", "&amp;H$12,'FE Energie'!$G:$U,9,FALSE)</f>
        <v>#N/A</v>
      </c>
      <c r="I26" s="335" t="e">
        <f>VLOOKUP($B26&amp;"; "&amp;$H$11&amp;", "&amp;I$12,'FE Energie'!$G:$U,9,FALSE)</f>
        <v>#N/A</v>
      </c>
      <c r="J26" s="1548"/>
      <c r="K26" s="335" t="e">
        <f>VLOOKUP($B26&amp;"; "&amp;$K$11&amp;", "&amp;K$12,'FE Energie'!$G:$U,9,FALSE)</f>
        <v>#N/A</v>
      </c>
      <c r="L26" s="335" t="e">
        <f>VLOOKUP($B26&amp;"; "&amp;$K$11&amp;", "&amp;L$12,'FE Energie'!$G:$U,9,FALSE)</f>
        <v>#N/A</v>
      </c>
      <c r="M26" s="1548"/>
      <c r="N26" s="335" t="e">
        <f>VLOOKUP($B26&amp;"; "&amp;$N$11&amp;", "&amp;N$12,'FE Energie'!$G:$U,9,FALSE)</f>
        <v>#N/A</v>
      </c>
      <c r="O26" s="335" t="e">
        <f>VLOOKUP($B26&amp;"; "&amp;$N$11&amp;", "&amp;O$12,'FE Energie'!$G:$U,9,FALSE)</f>
        <v>#N/A</v>
      </c>
      <c r="P26" s="1548"/>
      <c r="Q26" s="335" t="e">
        <f>VLOOKUP($B26&amp;"; "&amp;$Q$11&amp;", "&amp;Q$12,'FE Energie'!$G:$U,9,FALSE)</f>
        <v>#N/A</v>
      </c>
      <c r="R26" s="335" t="e">
        <f>VLOOKUP($B26&amp;"; "&amp;$Q$11&amp;", "&amp;R$12,'FE Energie'!$G:$U,9,FALSE)</f>
        <v>#N/A</v>
      </c>
      <c r="S26" s="566">
        <f>IF(ISNA(G26*H26),0,G26*H26)+IF(ISNA(J26*K26),0,J26*K26)+IF(ISNA(M26*N26),0,M26*N26)+IF(ISNA(P26*Q26),0,P26*Q26)</f>
        <v>0</v>
      </c>
      <c r="T26" s="567">
        <f>IF(ISNA(G26*I26),0,G26*I26)+IF(ISNA(J26*L26),0,J26*L26)+IF(ISNA(M26*O26),0,M26*O26)+IF(ISNA(P26*R26),0,P26*R26)</f>
        <v>0</v>
      </c>
      <c r="U26" s="114"/>
      <c r="V26" s="1092">
        <f>IF(AA26=0,AA26,AA26/(S26+T26))</f>
        <v>0</v>
      </c>
      <c r="W26" s="345"/>
      <c r="X26" s="820"/>
      <c r="Y26" s="164">
        <f>SQRT(SUMSQ(IF(ISNA($G26*H26*AV26),0,$G26*H26*AV26),IF(ISNA($J26*K26*AW26),0,$J26*K26*AW26),IF(ISNA($M26*N26*AX26),0,$M26*N26*AX26),IF(ISNA($P26*Q26*AY26),0,$P26*Q26*AY26)))</f>
        <v>0</v>
      </c>
      <c r="Z26" s="164">
        <f>SQRT(SUMSQ(IF(ISNA($G26*I26*AZ26),0,$G26*I26*AZ26),IF(ISNA($J26*L26*BA26),0,$J26*L26*BA26),IF(ISNA($M26*O26*BB26),0,$M26*O26*BB26),IF(ISNA($P26*R26*BC26),0,$P26*R26*BC26)))</f>
        <v>0</v>
      </c>
      <c r="AA26" s="151">
        <f t="shared" si="1"/>
        <v>0</v>
      </c>
      <c r="AB26" s="1761"/>
      <c r="AC26" s="1788"/>
      <c r="AD26" s="1790"/>
      <c r="AE26" s="565">
        <f>$G26*IF(ISNA(VLOOKUP($B26&amp;"; "&amp;$H$11&amp;", "&amp;H$12,'FE Energie'!$G:$U,10,FALSE)),0,VLOOKUP($B26&amp;"; "&amp;$H$11&amp;", "&amp;H$12,'FE Energie'!$G:$U,10,FALSE))
+$J26*IF(ISNA(VLOOKUP($B26&amp;"; "&amp;$K$11&amp;", "&amp;H$12,'FE Energie'!$G:$U,10,FALSE)),0,VLOOKUP($B26&amp;"; "&amp;$K$11&amp;", "&amp;H$12,'FE Energie'!$G:$U,10,FALSE))
+$M26*IF(ISNA(VLOOKUP($B26&amp;"; "&amp;$N$11&amp;", "&amp;H$12,'FE Energie'!$G:$U,10,FALSE)),0,VLOOKUP($B26&amp;"; "&amp;$N$11&amp;", "&amp;H$12,'FE Energie'!$G:$U,10,FALSE))
+$P26*IF(ISNA(VLOOKUP($B26&amp;"; "&amp;$Q$11&amp;", "&amp;H$12,'FE Energie'!$G:$U,10,FALSE)),0,VLOOKUP($B26&amp;"; "&amp;$Q$11&amp;", "&amp;H$12,'FE Energie'!$G:$U,10,FALSE))</f>
        <v>0</v>
      </c>
      <c r="AF26" s="565">
        <f>$G26*IF(ISNA(VLOOKUP($B26&amp;"; "&amp;$H$11&amp;", "&amp;I$12,'FE Energie'!$G:$U,10,FALSE)),0,VLOOKUP($B26&amp;"; "&amp;$H$11&amp;", "&amp;I$12,'FE Energie'!$G:$U,10,FALSE))
+$J26*IF(ISNA(VLOOKUP($B26&amp;"; "&amp;$K$11&amp;", "&amp;I$12,'FE Energie'!$G:$U,10,FALSE)),0,VLOOKUP($B26&amp;"; "&amp;$K$11&amp;", "&amp;I$12,'FE Energie'!$G:$U,10,FALSE))
+$M26*IF(ISNA(VLOOKUP($B26&amp;"; "&amp;$N$11&amp;", "&amp;I$12,'FE Energie'!$G:$U,10,FALSE)),0,VLOOKUP($B26&amp;"; "&amp;$N$11&amp;", "&amp;I$12,'FE Energie'!$G:$U,10,FALSE))
+$P26*IF(ISNA(VLOOKUP($B26&amp;"; "&amp;$Q$11&amp;", "&amp;I$12,'FE Energie'!$G:$U,10,FALSE)),0,VLOOKUP($B26&amp;"; "&amp;$Q$11&amp;", "&amp;I$12,'FE Energie'!$G:$U,10,FALSE))</f>
        <v>0</v>
      </c>
      <c r="AG26" s="620">
        <f>$G26*IF(ISNA((VLOOKUP($B26&amp;"; "&amp;$H$11&amp;", "&amp;H$12,'FE Energie'!$G:$U,12,FALSE)+VLOOKUP($B26&amp;"; "&amp;$H$11&amp;", "&amp;H$12,'FE Energie'!$G:$U,11,FALSE))),0,(VLOOKUP($B26&amp;"; "&amp;$H$11&amp;", "&amp;H$12,'FE Energie'!$G:$U,12,FALSE)+VLOOKUP($B26&amp;"; "&amp;$H$11&amp;", "&amp;H$12,'FE Energie'!$G:$U,11,FALSE)))
+$J26*IF(ISNA((VLOOKUP($B26&amp;"; "&amp;$K$11&amp;", "&amp;H$12,'FE Energie'!$G:$U,12,FALSE)+VLOOKUP($B26&amp;"; "&amp;$K$11&amp;", "&amp;H$12,'FE Energie'!$G:$U,11,FALSE))),0,(VLOOKUP($B26&amp;"; "&amp;$K$11&amp;", "&amp;H$12,'FE Energie'!$G:$U,12,FALSE)+VLOOKUP($B26&amp;"; "&amp;$K$11&amp;", "&amp;H$12,'FE Energie'!$G:$U,11,FALSE)))
+$M26*IF(ISNA((VLOOKUP($B26&amp;"; "&amp;$N$11&amp;", "&amp;H$12,'FE Energie'!$G:$U,12,FALSE)+VLOOKUP($B26&amp;"; "&amp;$N$11&amp;", "&amp;H$12,'FE Energie'!$G:$U,11,FALSE))),0,(VLOOKUP($B26&amp;"; "&amp;$N$11&amp;", "&amp;H$12,'FE Energie'!$G:$U,12,FALSE)+VLOOKUP($B26&amp;"; "&amp;$N$11&amp;", "&amp;H$12,'FE Energie'!$G:$U,11,FALSE)))
+$P26*IF(ISNA((VLOOKUP($B26&amp;"; "&amp;$Q$11&amp;", "&amp;H$12,'FE Energie'!$G:$U,12,FALSE)+VLOOKUP($B26&amp;"; "&amp;$Q$11&amp;", "&amp;H$12,'FE Energie'!$G:$U,11,FALSE))),0,(VLOOKUP($B26&amp;"; "&amp;$Q$11&amp;", "&amp;H$12,'FE Energie'!$G:$U,12,FALSE)+VLOOKUP($B26&amp;"; "&amp;$Q$11&amp;", "&amp;H$12,'FE Energie'!$G:$U,11,FALSE)))</f>
        <v>0</v>
      </c>
      <c r="AH26" s="620">
        <f>$G26*IF(ISNA((VLOOKUP($B26&amp;"; "&amp;$H$11&amp;", "&amp;I$12,'FE Energie'!$G:$U,12,FALSE)+VLOOKUP($B26&amp;"; "&amp;$H$11&amp;", "&amp;I$12,'FE Energie'!$G:$U,11,FALSE))),0,(VLOOKUP($B26&amp;"; "&amp;$H$11&amp;", "&amp;I$12,'FE Energie'!$G:$U,12,FALSE)+VLOOKUP($B26&amp;"; "&amp;$H$11&amp;", "&amp;I$12,'FE Energie'!$G:$U,11,FALSE)))
+$J26*IF(ISNA((VLOOKUP($B26&amp;"; "&amp;$K$11&amp;", "&amp;I$12,'FE Energie'!$G:$U,12,FALSE)+VLOOKUP($B26&amp;"; "&amp;$K$11&amp;", "&amp;I$12,'FE Energie'!$G:$U,11,FALSE))),0,(VLOOKUP($B26&amp;"; "&amp;$K$11&amp;", "&amp;I$12,'FE Energie'!$G:$U,12,FALSE)+VLOOKUP($B26&amp;"; "&amp;$K$11&amp;", "&amp;I$12,'FE Energie'!$G:$U,11,FALSE)))
+$M26*IF(ISNA((VLOOKUP($B26&amp;"; "&amp;$N$11&amp;", "&amp;I$12,'FE Energie'!$G:$U,12,FALSE)+VLOOKUP($B26&amp;"; "&amp;$N$11&amp;", "&amp;I$12,'FE Energie'!$G:$U,11,FALSE))),0,(VLOOKUP($B26&amp;"; "&amp;$N$11&amp;", "&amp;I$12,'FE Energie'!$G:$U,12,FALSE)+VLOOKUP($B26&amp;"; "&amp;$N$11&amp;", "&amp;I$12,'FE Energie'!$G:$U,11,FALSE)))
+$P26*IF(ISNA((VLOOKUP($B26&amp;"; "&amp;$Q$11&amp;", "&amp;I$12,'FE Energie'!$G:$U,12,FALSE)+VLOOKUP($B26&amp;"; "&amp;$Q$11&amp;", "&amp;I$12,'FE Energie'!$G:$U,11,FALSE))),0,(VLOOKUP($B26&amp;"; "&amp;$Q$11&amp;", "&amp;I$12,'FE Energie'!$G:$U,12,FALSE)+VLOOKUP($B26&amp;"; "&amp;$Q$11&amp;", "&amp;I$12,'FE Energie'!$G:$U,11,FALSE)))</f>
        <v>0</v>
      </c>
      <c r="AI26" s="620">
        <f>$G26*IF(ISNA(VLOOKUP($B26&amp;"; "&amp;$H$11&amp;", "&amp;H$12,'FE Energie'!$G:$U,13,FALSE)),0,VLOOKUP($B26&amp;"; "&amp;$H$11&amp;", "&amp;H$12,'FE Energie'!$G:$U,13,FALSE))
+$J26*IF(ISNA(VLOOKUP($B26&amp;"; "&amp;$K$11&amp;", "&amp;H$12,'FE Energie'!$G:$U,13,FALSE)),0,VLOOKUP($B26&amp;"; "&amp;$K$11&amp;", "&amp;H$12,'FE Energie'!$G:$U,13,FALSE))
+$M26*IF(ISNA(VLOOKUP($B26&amp;"; "&amp;$N$11&amp;", "&amp;H$12,'FE Energie'!$G:$U,13,FALSE)),0,VLOOKUP($B26&amp;"; "&amp;$N$11&amp;", "&amp;H$12,'FE Energie'!$G:$U,13,FALSE))
+$P26*IF(ISNA(VLOOKUP($B26&amp;"; "&amp;$Q$11&amp;", "&amp;H$12,'FE Energie'!$G:$U,13,FALSE)),0,VLOOKUP($B26&amp;"; "&amp;$Q$11&amp;", "&amp;H$12,'FE Energie'!$G:$U,13,FALSE))</f>
        <v>0</v>
      </c>
      <c r="AJ26" s="620">
        <f>$G26*IF(ISNA(VLOOKUP($B26&amp;"; "&amp;$H$11&amp;", "&amp;I$12,'FE Energie'!$G:$U,13,FALSE)),0,VLOOKUP($B26&amp;"; "&amp;$H$11&amp;", "&amp;I$12,'FE Energie'!$G:$U,13,FALSE))
+$J26*IF(ISNA(VLOOKUP($B26&amp;"; "&amp;$K$11&amp;", "&amp;I$12,'FE Energie'!$G:$U,13,FALSE)),0,VLOOKUP($B26&amp;"; "&amp;$K$11&amp;", "&amp;I$12,'FE Energie'!$G:$U,13,FALSE))
+$M26*IF(ISNA(VLOOKUP($B26&amp;"; "&amp;$N$11&amp;", "&amp;I$12,'FE Energie'!$G:$U,13,FALSE)),0,VLOOKUP($B26&amp;"; "&amp;$N$11&amp;", "&amp;I$12,'FE Energie'!$G:$U,13,FALSE))
+$P26*IF(ISNA(VLOOKUP($B26&amp;"; "&amp;$Q$11&amp;", "&amp;I$12,'FE Energie'!$G:$U,13,FALSE)),0,VLOOKUP($B26&amp;"; "&amp;$Q$11&amp;", "&amp;I$12,'FE Energie'!$G:$U,13,FALSE))</f>
        <v>0</v>
      </c>
      <c r="AK26" s="565">
        <f>$G26*IF(ISNA(VLOOKUP($B26&amp;"; "&amp;$H$11&amp;", "&amp;H$12,'FE Energie'!$G:$U,14,FALSE)),0,VLOOKUP($B26&amp;"; "&amp;$H$11&amp;", "&amp;H$12,'FE Energie'!$G:$U,14,FALSE))
+$J26*IF(ISNA(VLOOKUP($B26&amp;"; "&amp;$K$11&amp;", "&amp;H$12,'FE Energie'!$G:$U,14,FALSE)),0,VLOOKUP($B26&amp;"; "&amp;$K$11&amp;", "&amp;H$12,'FE Energie'!$G:$U,14,FALSE))
+$M26*IF(ISNA(VLOOKUP($B26&amp;"; "&amp;$N$11&amp;", "&amp;H$12,'FE Energie'!$G:$U,14,FALSE)),0,VLOOKUP($B26&amp;"; "&amp;$N$11&amp;", "&amp;H$12,'FE Energie'!$G:$U,14,FALSE))
+$P26*IF(ISNA(VLOOKUP($B26&amp;"; "&amp;$Q$11&amp;", "&amp;H$12,'FE Energie'!$G:$U,14,FALSE)),0,VLOOKUP($B26&amp;"; "&amp;$Q$11&amp;", "&amp;H$12,'FE Energie'!$G:$U,14,FALSE))</f>
        <v>0</v>
      </c>
      <c r="AL26" s="565">
        <f>$G26*IF(ISNA(VLOOKUP($B26&amp;"; "&amp;$H$11&amp;", "&amp;I$12,'FE Energie'!$G:$U,14,FALSE)),0,VLOOKUP($B26&amp;"; "&amp;$H$11&amp;", "&amp;I$12,'FE Energie'!$G:$U,14,FALSE))
+$J26*IF(ISNA(VLOOKUP($B26&amp;"; "&amp;$K$11&amp;", "&amp;I$12,'FE Energie'!$G:$U,14,FALSE)),0,VLOOKUP($B26&amp;"; "&amp;$K$11&amp;", "&amp;I$12,'FE Energie'!$G:$U,14,FALSE))
+$M26*IF(ISNA(VLOOKUP($B26&amp;"; "&amp;$N$11&amp;", "&amp;I$12,'FE Energie'!$G:$U,14,FALSE)),0,VLOOKUP($B26&amp;"; "&amp;$N$11&amp;", "&amp;I$12,'FE Energie'!$G:$U,14,FALSE))
+$P26*IF(ISNA(VLOOKUP($B26&amp;"; "&amp;$Q$11&amp;", "&amp;I$12,'FE Energie'!$G:$U,14,FALSE)),0,VLOOKUP($B26&amp;"; "&amp;$Q$11&amp;", "&amp;I$12,'FE Energie'!$G:$U,14,FALSE))</f>
        <v>0</v>
      </c>
      <c r="AM26" s="566">
        <f t="shared" si="2"/>
        <v>0</v>
      </c>
      <c r="AN26" s="566">
        <f t="shared" si="3"/>
        <v>0</v>
      </c>
      <c r="AO26" s="564">
        <f>$G26*IF(ISNA(VLOOKUP($B26&amp;"; "&amp;$H$11&amp;", "&amp;H$12,'FE Energie'!$G:$U,15,FALSE)),0,VLOOKUP($B26&amp;"; "&amp;$H$11&amp;", "&amp;H$12,'FE Energie'!$G:$U,15,FALSE))
+$J26*IF(ISNA(VLOOKUP($B26&amp;"; "&amp;$K$11&amp;", "&amp;H$12,'FE Energie'!$G:$U,15,FALSE)),0,VLOOKUP($B26&amp;"; "&amp;$K$11&amp;", "&amp;H$12,'FE Energie'!$G:$U,15,FALSE))
+$M26*IF(ISNA(VLOOKUP($B26&amp;"; "&amp;$N$11&amp;", "&amp;H$12,'FE Energie'!$G:$U,15,FALSE)),0,VLOOKUP($B26&amp;"; "&amp;$N$11&amp;", "&amp;H$12,'FE Energie'!$G:$U,15,FALSE))
+$P26*IF(ISNA(VLOOKUP($B26&amp;"; "&amp;$Q$11&amp;", "&amp;H$12,'FE Energie'!$G:$U,15,FALSE)),0,VLOOKUP($B26&amp;"; "&amp;$Q$11&amp;", "&amp;H$12,'FE Energie'!$G:$U,15,FALSE))</f>
        <v>0</v>
      </c>
      <c r="AP26" s="568">
        <f>$G26*IF(ISNA(VLOOKUP($B26&amp;"; "&amp;$H$11&amp;", "&amp;I$12,'FE Energie'!$G:$U,15,FALSE)),0,VLOOKUP($B26&amp;"; "&amp;$H$11&amp;", "&amp;I$12,'FE Energie'!$G:$U,15,FALSE))
+$J26*IF(ISNA(VLOOKUP($B26&amp;"; "&amp;$K$11&amp;", "&amp;I$12,'FE Energie'!$G:$U,15,FALSE)),0,VLOOKUP($B26&amp;"; "&amp;$K$11&amp;", "&amp;I$12,'FE Energie'!$G:$U,15,FALSE))
+$M26*IF(ISNA(VLOOKUP($B26&amp;"; "&amp;$N$11&amp;", "&amp;I$12,'FE Energie'!$G:$U,15,FALSE)),0,VLOOKUP($B26&amp;"; "&amp;$N$11&amp;", "&amp;I$12,'FE Energie'!$G:$U,15,FALSE))
+$P26*IF(ISNA(VLOOKUP($B26&amp;"; "&amp;$Q$11&amp;", "&amp;I$12,'FE Energie'!$G:$U,15,FALSE)),0,VLOOKUP($B26&amp;"; "&amp;$Q$11&amp;", "&amp;I$12,'FE Energie'!$G:$U,15,FALSE))</f>
        <v>0</v>
      </c>
      <c r="AQ26" s="114"/>
      <c r="AR26" s="1065">
        <f>IF($W26&lt;&gt;"votre valeur :",IF(ISNA(VLOOKUP($W26,Utilitaires!$N$566:$O$571,2,FALSE)),,VLOOKUP($W26,Utilitaires!$N$566:$O$571,2,FALSE)),$X26)</f>
        <v>0</v>
      </c>
      <c r="AS26" s="1065">
        <f>IF($W26&lt;&gt;"votre valeur :",IF(ISNA(VLOOKUP($W26,Utilitaires!$N$566:$O$571,2,FALSE)),,VLOOKUP($W26,Utilitaires!$N$566:$O$571,2,FALSE)),$X26)</f>
        <v>0</v>
      </c>
      <c r="AT26" s="1065">
        <f>IF($W26&lt;&gt;"votre valeur :",IF(ISNA(VLOOKUP($W26,Utilitaires!$N$566:$O$571,2,FALSE)),,VLOOKUP($W26,Utilitaires!$N$566:$O$571,2,FALSE)),$X26)</f>
        <v>0</v>
      </c>
      <c r="AU26" s="1167">
        <f>IF($W26&lt;&gt;"votre valeur :",IF(ISNA(VLOOKUP($W26,Utilitaires!$N$566:$O$571,2,FALSE)),,VLOOKUP($W26,Utilitaires!$N$566:$O$571,2,FALSE)),$X26)</f>
        <v>0</v>
      </c>
      <c r="AV26" s="1068">
        <f>IF(ISNA(SQRT(SUMSQ(VLOOKUP($B26&amp;"; "&amp;$H$11&amp;", "&amp;$H$12,'FE Energie'!$G:$U,7,FALSE),$AR26))),0,SQRT(SUMSQ(VLOOKUP($B26&amp;"; "&amp;$H$11&amp;", "&amp;$H$12,'FE Energie'!$G:$U,7,FALSE),$AR26)))</f>
        <v>0</v>
      </c>
      <c r="AW26" s="1068">
        <f>IF(ISNA(SQRT(SUMSQ(VLOOKUP($B26&amp;"; "&amp;$K$11&amp;", "&amp;$K$12,'FE Energie'!$G:$U,7,FALSE),$AS26))),0,SQRT(SUMSQ(VLOOKUP($B26&amp;"; "&amp;$K$11&amp;", "&amp;$K$12,'FE Energie'!$G:$U,7,FALSE),$AS26)))</f>
        <v>0</v>
      </c>
      <c r="AX26" s="1068">
        <f>IF(ISNA(SQRT(SUMSQ(VLOOKUP($B26&amp;"; "&amp;$N$11&amp;", "&amp;$N$12,'FE Energie'!$G:$U,7,FALSE),$AT26))),0,SQRT(SUMSQ(VLOOKUP($B26&amp;"; "&amp;$N$11&amp;", "&amp;$N$12,'FE Energie'!$G:$U,7,FALSE),$AT26)))</f>
        <v>0</v>
      </c>
      <c r="AY26" s="1068">
        <f>IF(ISNA(SQRT(SUMSQ(VLOOKUP($B26&amp;"; "&amp;$Q$11&amp;", "&amp;$Q$12,'FE Energie'!$G:$U,7,FALSE),$AU26))),0,SQRT(SUMSQ(VLOOKUP($B26&amp;"; "&amp;$Q$11&amp;", "&amp;$Q$12,'FE Energie'!$G:$U,7,FALSE),$AU26)))</f>
        <v>0</v>
      </c>
      <c r="AZ26" s="1069">
        <f>IF(ISNA(SQRT(SUMSQ(VLOOKUP($B26&amp;"; "&amp;$H$11&amp;", "&amp;$I$12,'FE Energie'!$G:$U,7,FALSE),$AR26))),0,SQRT(SUMSQ(VLOOKUP($B26&amp;"; "&amp;$H$11&amp;", "&amp;$I$12,'FE Energie'!$G:$U,7,FALSE),$AR26)))</f>
        <v>0</v>
      </c>
      <c r="BA26" s="1070">
        <f>IF(ISNA(SQRT(SUMSQ(VLOOKUP($B26&amp;"; "&amp;$K$11&amp;", "&amp;$L$12,'FE Energie'!$G:$U,7,FALSE),$AS26))),0,SQRT(SUMSQ(VLOOKUP($B26&amp;"; "&amp;$K$11&amp;", "&amp;$L$12,'FE Energie'!$G:$U,7,FALSE),$AS26)))</f>
        <v>0</v>
      </c>
      <c r="BB26" s="1070">
        <f>IF(ISNA(SQRT(SUMSQ(VLOOKUP($B26&amp;"; "&amp;$N$11&amp;", "&amp;$O$12,'FE Energie'!$G:$U,7,FALSE),$AT26))),0,SQRT(SUMSQ(VLOOKUP($B26&amp;"; "&amp;$N$11&amp;", "&amp;$O$12,'FE Energie'!$G:$U,7,FALSE),$AT26)))</f>
        <v>0</v>
      </c>
      <c r="BC26" s="1071">
        <f>IF(ISNA(SQRT(SUMSQ(VLOOKUP($B26&amp;"; "&amp;$Q$11&amp;", "&amp;$R$12,'FE Energie'!$G:$U,7,FALSE),$AU26))),0,SQRT(SUMSQ(VLOOKUP($B26&amp;"; "&amp;$Q$11&amp;", "&amp;$R$12,'FE Energie'!$G:$U,7,FALSE),$AU26)))</f>
        <v>0</v>
      </c>
    </row>
    <row r="27" spans="1:55" s="116" customFormat="1" ht="12.75" hidden="1" customHeight="1" outlineLevel="1">
      <c r="A27" s="114"/>
      <c r="B27" s="143"/>
      <c r="C27" s="144"/>
      <c r="D27" s="315"/>
      <c r="E27" s="315"/>
      <c r="F27" s="822"/>
      <c r="G27" s="822"/>
      <c r="H27" s="335"/>
      <c r="I27" s="335"/>
      <c r="J27" s="822"/>
      <c r="K27" s="223"/>
      <c r="L27" s="223"/>
      <c r="M27" s="822"/>
      <c r="N27" s="217"/>
      <c r="O27" s="217"/>
      <c r="P27" s="822"/>
      <c r="Q27" s="223"/>
      <c r="R27" s="223"/>
      <c r="S27" s="566"/>
      <c r="T27" s="567"/>
      <c r="U27" s="114"/>
      <c r="V27" s="1092"/>
      <c r="W27" s="822"/>
      <c r="X27" s="820"/>
      <c r="Y27" s="164"/>
      <c r="Z27" s="164"/>
      <c r="AA27" s="152"/>
      <c r="AB27" s="1761"/>
      <c r="AC27" s="1773"/>
      <c r="AD27" s="1790"/>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hidden="1" customHeight="1" outlineLevel="1">
      <c r="A28" s="114"/>
      <c r="B28" s="196" t="s">
        <v>348</v>
      </c>
      <c r="C28" s="197"/>
      <c r="D28" s="202">
        <f>SUM(D13:D27)</f>
        <v>0</v>
      </c>
      <c r="E28" s="202"/>
      <c r="F28" s="198"/>
      <c r="G28" s="199"/>
      <c r="H28" s="199"/>
      <c r="I28" s="199"/>
      <c r="J28" s="199"/>
      <c r="K28" s="199"/>
      <c r="L28" s="199"/>
      <c r="M28" s="199"/>
      <c r="N28" s="199"/>
      <c r="O28" s="199"/>
      <c r="P28" s="199"/>
      <c r="Q28" s="199"/>
      <c r="R28" s="199"/>
      <c r="S28" s="202">
        <f>SUM(S13:S27)</f>
        <v>0</v>
      </c>
      <c r="T28" s="200">
        <f>SUM(T13:T27)</f>
        <v>0</v>
      </c>
      <c r="U28" s="114"/>
      <c r="V28" s="1093">
        <f>IF(AA28=0,AA28,AA28/(S28+T28))</f>
        <v>0</v>
      </c>
      <c r="W28" s="821"/>
      <c r="X28" s="1636"/>
      <c r="Y28" s="1636">
        <f>SQRT(SUMSQ(Y13:Y27))</f>
        <v>0</v>
      </c>
      <c r="Z28" s="1636">
        <f>SQRT(SUMSQ(Z13:Z27))</f>
        <v>0</v>
      </c>
      <c r="AA28" s="200">
        <f>SQRT(SUMSQ(AA13:AA27))</f>
        <v>0</v>
      </c>
      <c r="AB28" s="1761"/>
      <c r="AC28" s="1787"/>
      <c r="AD28" s="1790"/>
      <c r="AE28" s="571">
        <f t="shared" ref="AE28:AP28" si="4">SUM(AE13:AE27)</f>
        <v>0</v>
      </c>
      <c r="AF28" s="572">
        <f t="shared" si="4"/>
        <v>0</v>
      </c>
      <c r="AG28" s="621">
        <f t="shared" si="4"/>
        <v>0</v>
      </c>
      <c r="AH28" s="621">
        <f t="shared" si="4"/>
        <v>0</v>
      </c>
      <c r="AI28" s="621">
        <f t="shared" si="4"/>
        <v>0</v>
      </c>
      <c r="AJ28" s="621">
        <f t="shared" si="4"/>
        <v>0</v>
      </c>
      <c r="AK28" s="572">
        <f t="shared" si="4"/>
        <v>0</v>
      </c>
      <c r="AL28" s="572">
        <f t="shared" si="4"/>
        <v>0</v>
      </c>
      <c r="AM28" s="572">
        <f t="shared" si="4"/>
        <v>0</v>
      </c>
      <c r="AN28" s="572">
        <f t="shared" si="4"/>
        <v>0</v>
      </c>
      <c r="AO28" s="1082">
        <f t="shared" si="4"/>
        <v>0</v>
      </c>
      <c r="AP28" s="575">
        <f t="shared" si="4"/>
        <v>0</v>
      </c>
      <c r="AQ28" s="114"/>
      <c r="AR28" s="114"/>
      <c r="AS28" s="114"/>
      <c r="AT28" s="114"/>
      <c r="AU28" s="114"/>
      <c r="AV28" s="114"/>
      <c r="AW28" s="114"/>
      <c r="AX28" s="114"/>
      <c r="AY28" s="114"/>
      <c r="AZ28" s="114"/>
      <c r="BA28" s="114"/>
      <c r="BB28" s="114"/>
      <c r="BC28" s="114"/>
    </row>
    <row r="29" spans="1:55" s="116" customFormat="1" ht="12.75" hidden="1"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26"/>
      <c r="X29" s="126"/>
      <c r="Y29" s="114"/>
      <c r="Z29" s="114"/>
      <c r="AA29" s="114"/>
      <c r="AB29" s="1774"/>
      <c r="AC29" s="1787"/>
      <c r="AD29" s="1774"/>
      <c r="AE29" s="441"/>
      <c r="AF29" s="441"/>
      <c r="AG29" s="441"/>
      <c r="AH29" s="441"/>
      <c r="AI29" s="441"/>
      <c r="AJ29" s="441"/>
      <c r="AK29" s="441"/>
      <c r="AL29" s="441"/>
      <c r="AM29" s="441"/>
      <c r="AN29" s="441"/>
      <c r="AO29" s="441"/>
      <c r="AP29" s="441"/>
      <c r="AQ29" s="114"/>
      <c r="AR29" s="114"/>
      <c r="AS29" s="114"/>
      <c r="AT29" s="114"/>
      <c r="AU29" s="114"/>
      <c r="AV29" s="114"/>
      <c r="AW29" s="114"/>
      <c r="AX29" s="114"/>
      <c r="AY29" s="114"/>
      <c r="AZ29" s="114"/>
      <c r="BA29" s="114"/>
      <c r="BB29" s="114"/>
      <c r="BC29" s="114"/>
    </row>
    <row r="30" spans="1:55" s="116" customFormat="1" ht="12.75" hidden="1" customHeight="1" outlineLevel="1">
      <c r="A30" s="114"/>
      <c r="B30" s="139" t="s">
        <v>426</v>
      </c>
      <c r="C30" s="140"/>
      <c r="D30" s="141"/>
      <c r="E30" s="141"/>
      <c r="F30" s="1471"/>
      <c r="G30" s="141"/>
      <c r="H30" s="141"/>
      <c r="I30" s="141"/>
      <c r="J30" s="141"/>
      <c r="K30" s="141"/>
      <c r="L30" s="141"/>
      <c r="M30" s="141"/>
      <c r="N30" s="141"/>
      <c r="O30" s="141"/>
      <c r="P30" s="141"/>
      <c r="Q30" s="141"/>
      <c r="R30" s="141"/>
      <c r="S30" s="141"/>
      <c r="T30" s="142"/>
      <c r="U30" s="114"/>
      <c r="V30" s="2636" t="s">
        <v>366</v>
      </c>
      <c r="W30" s="2637"/>
      <c r="X30" s="2637"/>
      <c r="Y30" s="2637"/>
      <c r="Z30" s="2637"/>
      <c r="AA30" s="2638"/>
      <c r="AB30" s="1789"/>
      <c r="AC30" s="1787"/>
      <c r="AD30" s="1791"/>
      <c r="AE30" s="2639" t="s">
        <v>441</v>
      </c>
      <c r="AF30" s="2640"/>
      <c r="AG30" s="2640"/>
      <c r="AH30" s="2640"/>
      <c r="AI30" s="2640"/>
      <c r="AJ30" s="2640"/>
      <c r="AK30" s="2640"/>
      <c r="AL30" s="2640"/>
      <c r="AM30" s="2640"/>
      <c r="AN30" s="2640"/>
      <c r="AO30" s="2640"/>
      <c r="AP30" s="2641"/>
      <c r="AQ30" s="114"/>
      <c r="AR30" s="114"/>
      <c r="AS30" s="114"/>
      <c r="AT30" s="114"/>
      <c r="AU30" s="114"/>
      <c r="AV30" s="114"/>
      <c r="AW30" s="114"/>
      <c r="AX30" s="114"/>
      <c r="AY30" s="114"/>
      <c r="AZ30" s="114"/>
      <c r="BA30" s="114"/>
      <c r="BB30" s="114"/>
      <c r="BC30" s="114"/>
    </row>
    <row r="31" spans="1:55" s="116" customFormat="1" ht="12.75" hidden="1" customHeight="1" outlineLevel="1">
      <c r="A31" s="114"/>
      <c r="B31" s="143"/>
      <c r="C31" s="144"/>
      <c r="D31" s="1474" t="s">
        <v>308</v>
      </c>
      <c r="E31" s="1663"/>
      <c r="F31" s="1464"/>
      <c r="G31" s="144"/>
      <c r="H31" s="144"/>
      <c r="I31" s="144"/>
      <c r="J31" s="144"/>
      <c r="K31" s="144"/>
      <c r="L31" s="144"/>
      <c r="M31" s="144"/>
      <c r="N31" s="144"/>
      <c r="O31" s="144"/>
      <c r="P31" s="144"/>
      <c r="Q31" s="144"/>
      <c r="R31" s="144"/>
      <c r="S31" s="144"/>
      <c r="T31" s="145"/>
      <c r="U31" s="114"/>
      <c r="V31" s="159"/>
      <c r="W31" s="1478"/>
      <c r="X31" s="1478"/>
      <c r="Y31" s="1468"/>
      <c r="Z31" s="1468"/>
      <c r="AA31" s="142"/>
      <c r="AB31" s="1761"/>
      <c r="AC31" s="1788"/>
      <c r="AD31" s="1790"/>
      <c r="AE31" s="2642" t="s">
        <v>444</v>
      </c>
      <c r="AF31" s="2643"/>
      <c r="AG31" s="2643"/>
      <c r="AH31" s="2643"/>
      <c r="AI31" s="2643"/>
      <c r="AJ31" s="2643"/>
      <c r="AK31" s="2643"/>
      <c r="AL31" s="2643"/>
      <c r="AM31" s="2643" t="s">
        <v>444</v>
      </c>
      <c r="AN31" s="2644"/>
      <c r="AO31" s="577"/>
      <c r="AP31" s="578"/>
      <c r="AQ31" s="114"/>
      <c r="AR31" s="2616" t="s">
        <v>1648</v>
      </c>
      <c r="AS31" s="2617"/>
      <c r="AT31" s="2617"/>
      <c r="AU31" s="2617"/>
      <c r="AV31" s="2617"/>
      <c r="AW31" s="2617"/>
      <c r="AX31" s="2617"/>
      <c r="AY31" s="2617"/>
      <c r="AZ31" s="2617"/>
      <c r="BA31" s="2617"/>
      <c r="BB31" s="2617"/>
      <c r="BC31" s="2618"/>
    </row>
    <row r="32" spans="1:55" s="127" customFormat="1" ht="12.75" hidden="1" customHeight="1" outlineLevel="1">
      <c r="A32" s="114"/>
      <c r="B32" s="1463" t="s">
        <v>383</v>
      </c>
      <c r="C32" s="1464"/>
      <c r="D32" s="1474" t="s">
        <v>409</v>
      </c>
      <c r="E32" s="1663"/>
      <c r="F32" s="2875" t="s">
        <v>2393</v>
      </c>
      <c r="G32" s="147" t="s">
        <v>343</v>
      </c>
      <c r="H32" s="2626" t="s">
        <v>1585</v>
      </c>
      <c r="I32" s="2627"/>
      <c r="J32" s="147" t="s">
        <v>343</v>
      </c>
      <c r="K32" s="2626" t="s">
        <v>1573</v>
      </c>
      <c r="L32" s="2627"/>
      <c r="M32" s="147" t="s">
        <v>343</v>
      </c>
      <c r="N32" s="2626" t="s">
        <v>1575</v>
      </c>
      <c r="O32" s="2627"/>
      <c r="P32" s="147" t="s">
        <v>343</v>
      </c>
      <c r="Q32" s="2626" t="s">
        <v>1574</v>
      </c>
      <c r="R32" s="2628"/>
      <c r="S32" s="1474" t="s">
        <v>444</v>
      </c>
      <c r="T32" s="1475" t="s">
        <v>444</v>
      </c>
      <c r="U32" s="109"/>
      <c r="V32" s="1463" t="s">
        <v>316</v>
      </c>
      <c r="W32" s="2629" t="s">
        <v>316</v>
      </c>
      <c r="X32" s="2630"/>
      <c r="Y32" s="1656" t="s">
        <v>444</v>
      </c>
      <c r="Z32" s="1656" t="s">
        <v>444</v>
      </c>
      <c r="AA32" s="1475" t="s">
        <v>444</v>
      </c>
      <c r="AB32" s="1761"/>
      <c r="AC32" s="1788"/>
      <c r="AD32" s="1790"/>
      <c r="AE32" s="2631" t="s">
        <v>211</v>
      </c>
      <c r="AF32" s="2632"/>
      <c r="AG32" s="2632" t="s">
        <v>442</v>
      </c>
      <c r="AH32" s="2632"/>
      <c r="AI32" s="2632" t="s">
        <v>267</v>
      </c>
      <c r="AJ32" s="2632"/>
      <c r="AK32" s="2632" t="s">
        <v>443</v>
      </c>
      <c r="AL32" s="2632"/>
      <c r="AM32" s="2648" t="s">
        <v>327</v>
      </c>
      <c r="AN32" s="2649"/>
      <c r="AO32" s="2631" t="s">
        <v>636</v>
      </c>
      <c r="AP32" s="2650"/>
      <c r="AQ32" s="109"/>
      <c r="AR32" s="2614" t="s">
        <v>1646</v>
      </c>
      <c r="AS32" s="2645"/>
      <c r="AT32" s="2645"/>
      <c r="AU32" s="2615"/>
      <c r="AV32" s="2614" t="s">
        <v>1644</v>
      </c>
      <c r="AW32" s="2645"/>
      <c r="AX32" s="2645"/>
      <c r="AY32" s="2615"/>
      <c r="AZ32" s="2614" t="s">
        <v>1645</v>
      </c>
      <c r="BA32" s="2645"/>
      <c r="BB32" s="2645"/>
      <c r="BC32" s="2615"/>
    </row>
    <row r="33" spans="1:55" s="127" customFormat="1" ht="12.75" hidden="1" customHeight="1" outlineLevel="1">
      <c r="A33" s="114"/>
      <c r="B33" s="536" t="s">
        <v>1662</v>
      </c>
      <c r="C33" s="1464"/>
      <c r="D33" s="1469" t="s">
        <v>444</v>
      </c>
      <c r="E33" s="1657"/>
      <c r="F33" s="2876"/>
      <c r="G33" s="153" t="s">
        <v>287</v>
      </c>
      <c r="H33" s="1473" t="s">
        <v>411</v>
      </c>
      <c r="I33" s="1473" t="s">
        <v>257</v>
      </c>
      <c r="J33" s="1472" t="s">
        <v>790</v>
      </c>
      <c r="K33" s="1473" t="s">
        <v>411</v>
      </c>
      <c r="L33" s="1473" t="s">
        <v>257</v>
      </c>
      <c r="M33" s="1472" t="s">
        <v>791</v>
      </c>
      <c r="N33" s="1473" t="s">
        <v>411</v>
      </c>
      <c r="O33" s="1473" t="s">
        <v>257</v>
      </c>
      <c r="P33" s="1472" t="s">
        <v>213</v>
      </c>
      <c r="Q33" s="1473" t="s">
        <v>411</v>
      </c>
      <c r="R33" s="1473" t="s">
        <v>257</v>
      </c>
      <c r="S33" s="1469" t="s">
        <v>411</v>
      </c>
      <c r="T33" s="220" t="s">
        <v>257</v>
      </c>
      <c r="U33" s="109"/>
      <c r="V33" s="1463" t="s">
        <v>1649</v>
      </c>
      <c r="W33" s="2646" t="s">
        <v>1650</v>
      </c>
      <c r="X33" s="2647"/>
      <c r="Y33" s="1662" t="s">
        <v>411</v>
      </c>
      <c r="Z33" s="1662" t="s">
        <v>257</v>
      </c>
      <c r="AA33" s="162" t="s">
        <v>327</v>
      </c>
      <c r="AB33" s="1761"/>
      <c r="AC33" s="1788"/>
      <c r="AD33" s="1790"/>
      <c r="AE33" s="1484" t="s">
        <v>411</v>
      </c>
      <c r="AF33" s="1485" t="s">
        <v>257</v>
      </c>
      <c r="AG33" s="1485" t="s">
        <v>411</v>
      </c>
      <c r="AH33" s="1485" t="s">
        <v>257</v>
      </c>
      <c r="AI33" s="1485" t="s">
        <v>411</v>
      </c>
      <c r="AJ33" s="1485" t="s">
        <v>257</v>
      </c>
      <c r="AK33" s="1485" t="s">
        <v>411</v>
      </c>
      <c r="AL33" s="1485" t="s">
        <v>257</v>
      </c>
      <c r="AM33" s="581" t="s">
        <v>411</v>
      </c>
      <c r="AN33" s="582" t="s">
        <v>257</v>
      </c>
      <c r="AO33" s="1484" t="s">
        <v>411</v>
      </c>
      <c r="AP33" s="1486" t="s">
        <v>257</v>
      </c>
      <c r="AQ33" s="109"/>
      <c r="AR33" s="1481" t="s">
        <v>1670</v>
      </c>
      <c r="AS33" s="1482" t="s">
        <v>1640</v>
      </c>
      <c r="AT33" s="1482" t="s">
        <v>1641</v>
      </c>
      <c r="AU33" s="1483" t="s">
        <v>1642</v>
      </c>
      <c r="AV33" s="1090" t="s">
        <v>1667</v>
      </c>
      <c r="AW33" s="1482" t="s">
        <v>1640</v>
      </c>
      <c r="AX33" s="1482" t="s">
        <v>1641</v>
      </c>
      <c r="AY33" s="1483" t="s">
        <v>1642</v>
      </c>
      <c r="AZ33" s="1481" t="s">
        <v>1670</v>
      </c>
      <c r="BA33" s="1482" t="s">
        <v>1640</v>
      </c>
      <c r="BB33" s="1482" t="s">
        <v>1641</v>
      </c>
      <c r="BC33" s="1483" t="s">
        <v>1642</v>
      </c>
    </row>
    <row r="34" spans="1:55" s="116" customFormat="1" ht="12.75" hidden="1" customHeight="1" outlineLevel="1">
      <c r="A34" s="114"/>
      <c r="B34" s="143" t="s">
        <v>1663</v>
      </c>
      <c r="C34" s="144"/>
      <c r="D34" s="315">
        <f>S34+T34</f>
        <v>0</v>
      </c>
      <c r="E34" s="315"/>
      <c r="F34" s="117"/>
      <c r="G34" s="1547"/>
      <c r="H34" s="335" t="e">
        <f>VLOOKUP($B34&amp;"; "&amp;$H$32&amp;", "&amp;H$33,'FE Energie'!$G:$U,9,FALSE)</f>
        <v>#N/A</v>
      </c>
      <c r="I34" s="335" t="e">
        <f>VLOOKUP($B34&amp;"; "&amp;$H$32&amp;", "&amp;I$33,'FE Energie'!$G:$U,9,FALSE)</f>
        <v>#N/A</v>
      </c>
      <c r="J34" s="1547"/>
      <c r="K34" s="223" t="e">
        <f>VLOOKUP($B34&amp;"; "&amp;$K$32&amp;", "&amp;K$33,'FE Energie'!$G:$U,9,FALSE)</f>
        <v>#N/A</v>
      </c>
      <c r="L34" s="223" t="e">
        <f>VLOOKUP($B34&amp;"; "&amp;$K$32&amp;", "&amp;L$33,'FE Energie'!$G:$U,9,FALSE)</f>
        <v>#N/A</v>
      </c>
      <c r="M34" s="1547"/>
      <c r="N34" s="217" t="e">
        <f>VLOOKUP($B34&amp;"; "&amp;$N$11&amp;", "&amp;N$12,'FE Energie'!$G:$U,9,FALSE)</f>
        <v>#N/A</v>
      </c>
      <c r="O34" s="217" t="e">
        <f>VLOOKUP($B34&amp;"; "&amp;$N$32&amp;", "&amp;O$33,'FE Energie'!$G:$U,9,FALSE)</f>
        <v>#N/A</v>
      </c>
      <c r="P34" s="1547"/>
      <c r="Q34" s="223" t="e">
        <f>VLOOKUP($B34&amp;"; "&amp;$Q$32&amp;", "&amp;Q$33,'FE Energie'!$G:$U,9,FALSE)</f>
        <v>#N/A</v>
      </c>
      <c r="R34" s="223" t="e">
        <f>VLOOKUP($B34&amp;"; "&amp;$Q$32&amp;", "&amp;R$33,'FE Energie'!$G:$U,9,FALSE)</f>
        <v>#N/A</v>
      </c>
      <c r="S34" s="566">
        <f>IF(ISNA(G34*H34),0,G34*H34)+IF(ISNA(J34*K34),0,J34*K34)+IF(ISNA(M34*N34),0,M34*N34)+IF(ISNA(P34*Q34),0,P34*Q34)</f>
        <v>0</v>
      </c>
      <c r="T34" s="567">
        <f>IF(ISNA(G34*I34),0,G34*I34)+IF(ISNA(J34*L34),0,J34*L34)+IF(ISNA(M34*O34),0,M34*O34)+IF(ISNA(P34*R34),0,P34*R34)</f>
        <v>0</v>
      </c>
      <c r="U34" s="114"/>
      <c r="V34" s="1092">
        <f>IF(AA34=0,AA34,AA34/(S34+T34))</f>
        <v>0</v>
      </c>
      <c r="W34" s="343"/>
      <c r="X34" s="820"/>
      <c r="Y34" s="164">
        <f>SQRT(SUMSQ(IF(ISNA($G34*H34*AV34),0,$G34*H34*AV34),IF(ISNA($J34*K34*AW34),0,$J34*K34*AW34),IF(ISNA($M34*N34*AX34),0,$M34*N34*AX34),IF(ISNA($P34*Q34*AY34),0,$P34*Q34*AY34)))</f>
        <v>0</v>
      </c>
      <c r="Z34" s="164">
        <f>SQRT(SUMSQ(IF(ISNA($G34*I34*AZ34),0,$G34*I34*AZ34),IF(ISNA($J34*L34*BA34),0,$J34*L34*BA34),IF(ISNA($M34*O34*BB34),0,$M34*O34*BB34),IF(ISNA($P34*R34*BC34),0,$P34*R34*BC34)))</f>
        <v>0</v>
      </c>
      <c r="AA34" s="152">
        <f>SQRT(SUMSQ(Y34,Z34))</f>
        <v>0</v>
      </c>
      <c r="AB34" s="1761"/>
      <c r="AC34" s="1788"/>
      <c r="AD34" s="1790"/>
      <c r="AE34" s="564">
        <f>$G34*IF(ISNA(VLOOKUP($B34&amp;"; "&amp;$H$32&amp;", "&amp;H$33,'FE Energie'!$G:$U,10,FALSE)),0,VLOOKUP($B34&amp;"; "&amp;$H$32&amp;", "&amp;H$33,'FE Energie'!$G:$U,10,FALSE))
+$J34*IF(ISNA(VLOOKUP($B34&amp;"; "&amp;$K$32&amp;", "&amp;H$33,'FE Energie'!$G:$U,10,FALSE)),0,VLOOKUP($B34&amp;"; "&amp;$K$32&amp;", "&amp;H$33,'FE Energie'!$G:$U,10,FALSE))
+$M34*IF(ISNA(VLOOKUP($B34&amp;"; "&amp;$N$32&amp;", "&amp;H$33,'FE Energie'!$G:$U,10,FALSE)),0,VLOOKUP($B34&amp;"; "&amp;$N$32&amp;", "&amp;H$33,'FE Energie'!$G:$U,10,FALSE))
+$P34*IF(ISNA(VLOOKUP($B34&amp;"; "&amp;$Q$32&amp;", "&amp;H$33,'FE Energie'!$G:$U,10,FALSE)),0,VLOOKUP($B34&amp;"; "&amp;$Q$32&amp;", "&amp;H$33,'FE Energie'!$G:$U,10,FALSE))</f>
        <v>0</v>
      </c>
      <c r="AF34" s="565">
        <f>$G34*IF(ISNA(VLOOKUP($B34&amp;"; "&amp;$H$32&amp;", "&amp;I$33,'FE Energie'!$G:$U,10,FALSE)),0,VLOOKUP($B34&amp;"; "&amp;$H$32&amp;", "&amp;I$33,'FE Energie'!$G:$U,10,FALSE))
+$J34*IF(ISNA(VLOOKUP($B34&amp;"; "&amp;$K$32&amp;", "&amp;I$33,'FE Energie'!$G:$U,10,FALSE)),0,VLOOKUP($B34&amp;"; "&amp;$K$32&amp;", "&amp;I$33,'FE Energie'!$G:$U,10,FALSE))
+$M34*IF(ISNA(VLOOKUP($B34&amp;"; "&amp;$N$32&amp;", "&amp;I$33,'FE Energie'!$G:$U,10,FALSE)),0,VLOOKUP($B34&amp;"; "&amp;$N$32&amp;", "&amp;I$33,'FE Energie'!$G:$U,10,FALSE))
+$P34*IF(ISNA(VLOOKUP($B34&amp;"; "&amp;$Q$32&amp;", "&amp;I$33,'FE Energie'!$G:$U,10,FALSE)),0,VLOOKUP($B34&amp;"; "&amp;$Q$32&amp;", "&amp;I$33,'FE Energie'!$G:$U,10,FALSE))</f>
        <v>0</v>
      </c>
      <c r="AG34" s="620">
        <f>$G34*IF(ISNA((VLOOKUP($B34&amp;"; "&amp;$H$32&amp;", "&amp;H$33,'FE Energie'!$G:$U,12,FALSE)+VLOOKUP($B34&amp;"; "&amp;$H$32&amp;", "&amp;H$33,'FE Energie'!$G:$U,11,FALSE))),0,(VLOOKUP($B34&amp;"; "&amp;$H$32&amp;", "&amp;H$33,'FE Energie'!$G:$U,12,FALSE)+VLOOKUP($B34&amp;"; "&amp;$H$32&amp;", "&amp;H$33,'FE Energie'!$G:$U,11,FALSE)))
+$J34*IF(ISNA((VLOOKUP($B34&amp;"; "&amp;$K$32&amp;", "&amp;H$33,'FE Energie'!$G:$U,12,FALSE)+VLOOKUP($B34&amp;"; "&amp;$K$32&amp;", "&amp;H$33,'FE Energie'!$G:$U,11,FALSE))),0,(VLOOKUP($B34&amp;"; "&amp;$K$32&amp;", "&amp;H$33,'FE Energie'!$G:$U,12,FALSE)+VLOOKUP($B34&amp;"; "&amp;$K$32&amp;", "&amp;H$33,'FE Energie'!$G:$U,11,FALSE)))
+$M34*IF(ISNA((VLOOKUP($B34&amp;"; "&amp;$N$32&amp;", "&amp;H$33,'FE Energie'!$G:$U,12,FALSE)+VLOOKUP($B34&amp;"; "&amp;$N$32&amp;", "&amp;H$33,'FE Energie'!$G:$U,11,FALSE))),0,(VLOOKUP($B34&amp;"; "&amp;$N$32&amp;", "&amp;H$33,'FE Energie'!$G:$U,12,FALSE)+VLOOKUP($B34&amp;"; "&amp;$N$32&amp;", "&amp;H$33,'FE Energie'!$G:$U,11,FALSE)))
+$P34*IF(ISNA((VLOOKUP($B34&amp;"; "&amp;$Q$32&amp;", "&amp;H$33,'FE Energie'!$G:$U,12,FALSE)+VLOOKUP($B34&amp;"; "&amp;$Q$32&amp;", "&amp;H$33,'FE Energie'!$G:$U,11,FALSE))),0,(VLOOKUP($B34&amp;"; "&amp;$Q$32&amp;", "&amp;H$33,'FE Energie'!$G:$U,12,FALSE)+VLOOKUP($B34&amp;"; "&amp;$Q$32&amp;", "&amp;H$33,'FE Energie'!$G:$U,11,FALSE)))</f>
        <v>0</v>
      </c>
      <c r="AH34" s="620">
        <f>$G34*IF(ISNA((VLOOKUP($B34&amp;"; "&amp;$H$32&amp;", "&amp;I$33,'FE Energie'!$G:$U,12,FALSE)+VLOOKUP($B34&amp;"; "&amp;$H$32&amp;", "&amp;I$33,'FE Energie'!$G:$U,11,FALSE))),0,(VLOOKUP($B34&amp;"; "&amp;$H$32&amp;", "&amp;I$33,'FE Energie'!$G:$U,12,FALSE)+VLOOKUP($B34&amp;"; "&amp;$H$32&amp;", "&amp;I$33,'FE Energie'!$G:$U,11,FALSE)))
+$J34*IF(ISNA((VLOOKUP($B34&amp;"; "&amp;$K$32&amp;", "&amp;I$33,'FE Energie'!$G:$U,12,FALSE)+VLOOKUP($B34&amp;"; "&amp;$K$32&amp;", "&amp;I$33,'FE Energie'!$G:$U,11,FALSE))),0,(VLOOKUP($B34&amp;"; "&amp;$K$32&amp;", "&amp;I$33,'FE Energie'!$G:$U,12,FALSE)+VLOOKUP($B34&amp;"; "&amp;$K$32&amp;", "&amp;I$33,'FE Energie'!$G:$U,11,FALSE)))
+$M34*IF(ISNA((VLOOKUP($B34&amp;"; "&amp;$N$32&amp;", "&amp;I$33,'FE Energie'!$G:$U,12,FALSE)+VLOOKUP($B34&amp;"; "&amp;$N$32&amp;", "&amp;I$33,'FE Energie'!$G:$U,11,FALSE))),0,(VLOOKUP($B34&amp;"; "&amp;$N$32&amp;", "&amp;I$33,'FE Energie'!$G:$U,12,FALSE)+VLOOKUP($B34&amp;"; "&amp;$N$32&amp;", "&amp;I$33,'FE Energie'!$G:$U,11,FALSE)))
+$P34*IF(ISNA((VLOOKUP($B34&amp;"; "&amp;$Q$32&amp;", "&amp;I$33,'FE Energie'!$G:$U,12,FALSE)+VLOOKUP($B34&amp;"; "&amp;$Q$32&amp;", "&amp;I$33,'FE Energie'!$G:$U,11,FALSE))),0,(VLOOKUP($B34&amp;"; "&amp;$Q$32&amp;", "&amp;I$33,'FE Energie'!$G:$U,12,FALSE)+VLOOKUP($B34&amp;"; "&amp;$Q$32&amp;", "&amp;I$33,'FE Energie'!$G:$U,11,FALSE)))</f>
        <v>0</v>
      </c>
      <c r="AI34" s="620">
        <f>$G34*IF(ISNA(VLOOKUP($B34&amp;"; "&amp;$H$32&amp;", "&amp;H$33,'FE Energie'!$G:$U,13,FALSE)),0,VLOOKUP($B34&amp;"; "&amp;$H$32&amp;", "&amp;H$33,'FE Energie'!$G:$U,13,FALSE))
+$J34*IF(ISNA(VLOOKUP($B34&amp;"; "&amp;$K$32&amp;", "&amp;H$33,'FE Energie'!$G:$U,13,FALSE)),0,VLOOKUP($B34&amp;"; "&amp;$K$32&amp;", "&amp;H$33,'FE Energie'!$G:$U,13,FALSE))
+$M34*IF(ISNA(VLOOKUP($B34&amp;"; "&amp;$N$32&amp;", "&amp;H$33,'FE Energie'!$G:$U,13,FALSE)),0,VLOOKUP($B34&amp;"; "&amp;$N$32&amp;", "&amp;H$33,'FE Energie'!$G:$U,13,FALSE))
+$P34*IF(ISNA(VLOOKUP($B34&amp;"; "&amp;$Q$32&amp;", "&amp;H$33,'FE Energie'!$G:$U,13,FALSE)),0,VLOOKUP($B34&amp;"; "&amp;$Q$32&amp;", "&amp;H$33,'FE Energie'!$G:$U,13,FALSE))</f>
        <v>0</v>
      </c>
      <c r="AJ34" s="620">
        <f>$G34*IF(ISNA(VLOOKUP($B34&amp;"; "&amp;$H$32&amp;", "&amp;I$33,'FE Energie'!$G:$U,13,FALSE)),0,VLOOKUP($B34&amp;"; "&amp;$H$32&amp;", "&amp;I$33,'FE Energie'!$G:$U,13,FALSE))
+$J34*IF(ISNA(VLOOKUP($B34&amp;"; "&amp;$K$32&amp;", "&amp;I$33,'FE Energie'!$G:$U,13,FALSE)),0,VLOOKUP($B34&amp;"; "&amp;$K$32&amp;", "&amp;I$33,'FE Energie'!$G:$U,13,FALSE))
+$M34*IF(ISNA(VLOOKUP($B34&amp;"; "&amp;$N$32&amp;", "&amp;I$33,'FE Energie'!$G:$U,13,FALSE)),0,VLOOKUP($B34&amp;"; "&amp;$N$32&amp;", "&amp;I$33,'FE Energie'!$G:$U,13,FALSE))
+$P34*IF(ISNA(VLOOKUP($B34&amp;"; "&amp;$Q$32&amp;", "&amp;I$33,'FE Energie'!$G:$U,13,FALSE)),0,VLOOKUP($B34&amp;"; "&amp;$Q$32&amp;", "&amp;I$33,'FE Energie'!$G:$U,13,FALSE))</f>
        <v>0</v>
      </c>
      <c r="AK34" s="565">
        <f>$G34*IF(ISNA(VLOOKUP($B34&amp;"; "&amp;$H$32&amp;", "&amp;H$33,'FE Energie'!$G:$U,14,FALSE)),0,VLOOKUP($B34&amp;"; "&amp;$H$32&amp;", "&amp;H$33,'FE Energie'!$G:$U,14,FALSE))
+$J34*IF(ISNA(VLOOKUP($B34&amp;"; "&amp;$K$32&amp;", "&amp;H$33,'FE Energie'!$G:$U,14,FALSE)),0,VLOOKUP($B34&amp;"; "&amp;$K$32&amp;", "&amp;H$33,'FE Energie'!$G:$U,14,FALSE))
+$M34*IF(ISNA(VLOOKUP($B34&amp;"; "&amp;$N$32&amp;", "&amp;H$33,'FE Energie'!$G:$U,14,FALSE)),0,VLOOKUP($B34&amp;"; "&amp;$N$32&amp;", "&amp;H$33,'FE Energie'!$G:$U,14,FALSE))
+$P34*IF(ISNA(VLOOKUP($B34&amp;"; "&amp;$Q$32&amp;", "&amp;H$33,'FE Energie'!$G:$U,14,FALSE)),0,VLOOKUP($B34&amp;"; "&amp;$Q$32&amp;", "&amp;H$33,'FE Energie'!$G:$U,14,FALSE))</f>
        <v>0</v>
      </c>
      <c r="AL34" s="565">
        <f>$G34*IF(ISNA(VLOOKUP($B34&amp;"; "&amp;$H$32&amp;", "&amp;I$33,'FE Energie'!$G:$U,14,FALSE)),0,VLOOKUP($B34&amp;"; "&amp;$H$32&amp;", "&amp;I$33,'FE Energie'!$G:$U,14,FALSE))
+$J34*IF(ISNA(VLOOKUP($B34&amp;"; "&amp;$K$32&amp;", "&amp;I$33,'FE Energie'!$G:$U,14,FALSE)),0,VLOOKUP($B34&amp;"; "&amp;$K$32&amp;", "&amp;I$33,'FE Energie'!$G:$U,14,FALSE))
+$M34*IF(ISNA(VLOOKUP($B34&amp;"; "&amp;$N$32&amp;", "&amp;I$33,'FE Energie'!$G:$U,14,FALSE)),0,VLOOKUP($B34&amp;"; "&amp;$N$32&amp;", "&amp;I$33,'FE Energie'!$G:$U,14,FALSE))
+$P34*IF(ISNA(VLOOKUP($B34&amp;"; "&amp;$Q$32&amp;", "&amp;I$33,'FE Energie'!$G:$U,14,FALSE)),0,VLOOKUP($B34&amp;"; "&amp;$Q$32&amp;", "&amp;I$33,'FE Energie'!$G:$U,14,FALSE))</f>
        <v>0</v>
      </c>
      <c r="AM34" s="566">
        <f>SUM(AE34,AG34,AI34,AK34)</f>
        <v>0</v>
      </c>
      <c r="AN34" s="566">
        <f>SUM(AF34,AH34,AJ34,AL34)</f>
        <v>0</v>
      </c>
      <c r="AO34" s="564">
        <f>$G34*IF(ISNA(VLOOKUP($B34&amp;"; "&amp;$H$32&amp;", "&amp;H$33,'FE Energie'!$G:$U,15,FALSE)),0,VLOOKUP($B34&amp;"; "&amp;$H$32&amp;", "&amp;H$33,'FE Energie'!$G:$U,15,FALSE))
+$J34*IF(ISNA(VLOOKUP($B34&amp;"; "&amp;$K$32&amp;", "&amp;H$33,'FE Energie'!$G:$U,15,FALSE)),0,VLOOKUP($B34&amp;"; "&amp;$K$32&amp;", "&amp;H$33,'FE Energie'!$G:$U,15,FALSE))
+$M34*IF(ISNA(VLOOKUP($B34&amp;"; "&amp;$N$32&amp;", "&amp;H$33,'FE Energie'!$G:$U,15,FALSE)),0,VLOOKUP($B34&amp;"; "&amp;$N$32&amp;", "&amp;H$33,'FE Energie'!$G:$U,15,FALSE))
+$P34*IF(ISNA(VLOOKUP($B34&amp;"; "&amp;$Q$32&amp;", "&amp;H$33,'FE Energie'!$G:$U,15,FALSE)),0,VLOOKUP($B34&amp;"; "&amp;$Q$32&amp;", "&amp;H$33,'FE Energie'!$G:$U,15,FALSE))</f>
        <v>0</v>
      </c>
      <c r="AP34" s="568">
        <f>$G34*IF(ISNA(VLOOKUP($B34&amp;"; "&amp;$H$11&amp;", "&amp;I$33,'FE Energie'!$G:$U,15,FALSE)),0,VLOOKUP($B34&amp;"; "&amp;$H$11&amp;", "&amp;I$33,'FE Energie'!$G:$U,15,FALSE))
+$J34*IF(ISNA(VLOOKUP($B34&amp;"; "&amp;$K$11&amp;", "&amp;I$33,'FE Energie'!$G:$U,15,FALSE)),0,VLOOKUP($B34&amp;"; "&amp;$K$11&amp;", "&amp;I$33,'FE Energie'!$G:$U,15,FALSE))
+$M34*IF(ISNA(VLOOKUP($B34&amp;"; "&amp;$N$11&amp;", "&amp;I$33,'FE Energie'!$G:$U,15,FALSE)),0,VLOOKUP($B34&amp;"; "&amp;$N$11&amp;", "&amp;I$33,'FE Energie'!$G:$U,15,FALSE))
+$P34*IF(ISNA(VLOOKUP($B34&amp;"; "&amp;$Q$11&amp;", "&amp;I$33,'FE Energie'!$G:$U,15,FALSE)),0,VLOOKUP($B34&amp;"; "&amp;$Q$11&amp;", "&amp;I$33,'FE Energie'!$G:$U,15,FALSE))</f>
        <v>0</v>
      </c>
      <c r="AQ34" s="114"/>
      <c r="AR34" s="1065">
        <f>IF($W34&lt;&gt;"votre valeur :",IF(ISNA(VLOOKUP($W34,Utilitaires!$N$566:$O$571,2,FALSE)),,VLOOKUP($W34,Utilitaires!$N$566:$O$571,2,FALSE)),$X34)</f>
        <v>0</v>
      </c>
      <c r="AS34" s="1065">
        <f>IF($W34&lt;&gt;"votre valeur :",IF(ISNA(VLOOKUP($W34,Utilitaires!$N$566:$O$571,2,FALSE)),,VLOOKUP($W34,Utilitaires!$N$566:$O$571,2,FALSE)),$X34)</f>
        <v>0</v>
      </c>
      <c r="AT34" s="1065">
        <f>IF($W34&lt;&gt;"votre valeur :",IF(ISNA(VLOOKUP($W34,Utilitaires!$N$566:$O$571,2,FALSE)),,VLOOKUP($W34,Utilitaires!$N$566:$O$571,2,FALSE)),$X34)</f>
        <v>0</v>
      </c>
      <c r="AU34" s="1065">
        <f>IF($W34&lt;&gt;"votre valeur :",IF(ISNA(VLOOKUP($W34,Utilitaires!$N$566:$O$571,2,FALSE)),,VLOOKUP($W34,Utilitaires!$N$566:$O$571,2,FALSE)),$X34)</f>
        <v>0</v>
      </c>
      <c r="AV34" s="1068">
        <f>IF(ISNA(SQRT(SUMSQ(VLOOKUP($B34&amp;"; "&amp;$H$32&amp;", "&amp;$H$33,'FE Energie'!$G:$U,7,FALSE),$AR34))),0,SQRT(SUMSQ(VLOOKUP($B34&amp;"; "&amp;$H$32&amp;", "&amp;$H$33,'FE Energie'!$G:$U,7,FALSE),$AR34)))</f>
        <v>0</v>
      </c>
      <c r="AW34" s="1068">
        <f>IF(ISNA(SQRT(SUMSQ(VLOOKUP($B34&amp;"; "&amp;$K$32&amp;", "&amp;$K$33,'FE Energie'!$G:$U,7,FALSE),$AS34))),0,SQRT(SUMSQ(VLOOKUP($B34&amp;"; "&amp;$K$32&amp;", "&amp;$K$33,'FE Energie'!$G:$U,7,FALSE),$AS34)))</f>
        <v>0</v>
      </c>
      <c r="AX34" s="1068">
        <f>IF(ISNA(SQRT(SUMSQ(VLOOKUP($B34&amp;"; "&amp;$N$32&amp;", "&amp;$N$33,'FE Energie'!$G:$U,7,FALSE),$AT34))),0,SQRT(SUMSQ(VLOOKUP($B34&amp;"; "&amp;$N$32&amp;", "&amp;$N$33,'FE Energie'!$G:$U,7,FALSE),$AT34)))</f>
        <v>0</v>
      </c>
      <c r="AY34" s="1068">
        <f>IF(ISNA(SQRT(SUMSQ(VLOOKUP($B34&amp;"; "&amp;$Q$32&amp;", "&amp;$Q$33,'FE Energie'!$G:$U,7,FALSE),$AU34))),0,SQRT(SUMSQ(VLOOKUP($B34&amp;"; "&amp;$Q$32&amp;", "&amp;$Q$33,'FE Energie'!$G:$U,7,FALSE),$AU34)))</f>
        <v>0</v>
      </c>
      <c r="AZ34" s="1069">
        <f>IF(ISNA(SQRT(SUMSQ(VLOOKUP($B34&amp;"; "&amp;$H$32&amp;", "&amp;$I$33,'FE Energie'!$G:$U,7,FALSE),$AR34))),0,SQRT(SUMSQ(VLOOKUP($B34&amp;"; "&amp;$H$32&amp;", "&amp;$I$33,'FE Energie'!$G:$U,7,FALSE),$AR34)))</f>
        <v>0</v>
      </c>
      <c r="BA34" s="1070">
        <f>IF(ISNA(SQRT(SUMSQ(VLOOKUP($B34&amp;"; "&amp;$K$32&amp;", "&amp;$L$33,'FE Energie'!$G:$U,7,FALSE),$AS34))),0,SQRT(SUMSQ(VLOOKUP($B34&amp;"; "&amp;$K$32&amp;", "&amp;$L$33,'FE Energie'!$G:$U,7,FALSE),$AS34)))</f>
        <v>0</v>
      </c>
      <c r="BB34" s="1070">
        <f>IF(ISNA(SQRT(SUMSQ(VLOOKUP($B34&amp;"; "&amp;$N$32&amp;", "&amp;$O$33,'FE Energie'!$G:$U,7,FALSE),$AT34))),0,SQRT(SUMSQ(VLOOKUP($B34&amp;"; "&amp;$N$32&amp;", "&amp;$O$33,'FE Energie'!$G:$U,7,FALSE),$AT34)))</f>
        <v>0</v>
      </c>
      <c r="BC34" s="1071">
        <f>IF(ISNA(SQRT(SUMSQ(VLOOKUP($B34&amp;"; "&amp;$Q$32&amp;", "&amp;$R$33,'FE Energie'!$G:$U,7,FALSE),$AU34))),0,SQRT(SUMSQ(VLOOKUP($B34&amp;"; "&amp;$Q$32&amp;", "&amp;$R$33,'FE Energie'!$G:$U,7,FALSE),$AU34)))</f>
        <v>0</v>
      </c>
    </row>
    <row r="35" spans="1:55" s="116" customFormat="1" ht="12.75" hidden="1" customHeight="1" outlineLevel="1">
      <c r="A35" s="114"/>
      <c r="B35" s="143" t="s">
        <v>1664</v>
      </c>
      <c r="C35" s="144"/>
      <c r="D35" s="315">
        <f>S35+T35</f>
        <v>0</v>
      </c>
      <c r="E35" s="315"/>
      <c r="F35" s="123"/>
      <c r="G35" s="1548"/>
      <c r="H35" s="335">
        <f>VLOOKUP($B35&amp;"; "&amp;$H$32&amp;", "&amp;H$33,'FE Energie'!$G:$U,9,FALSE)</f>
        <v>902</v>
      </c>
      <c r="I35" s="335" t="e">
        <f>VLOOKUP($B35&amp;"; "&amp;$H$32&amp;", "&amp;I$33,'FE Energie'!$G:$U,9,FALSE)</f>
        <v>#N/A</v>
      </c>
      <c r="J35" s="1548"/>
      <c r="K35" s="223">
        <f>VLOOKUP($B35&amp;"; "&amp;$K$32&amp;", "&amp;K$33,'FE Energie'!$G:$U,9,FALSE)</f>
        <v>0.121</v>
      </c>
      <c r="L35" s="223" t="e">
        <f>VLOOKUP($B35&amp;"; "&amp;$K$32&amp;", "&amp;L$33,'FE Energie'!$G:$U,9,FALSE)</f>
        <v>#N/A</v>
      </c>
      <c r="M35" s="1548"/>
      <c r="N35" s="217">
        <f>VLOOKUP($B35&amp;"; "&amp;$N$11&amp;", "&amp;N$12,'FE Energie'!$G:$U,9,FALSE)</f>
        <v>1410</v>
      </c>
      <c r="O35" s="217" t="e">
        <f>VLOOKUP($B35&amp;"; "&amp;$N$32&amp;", "&amp;O$33,'FE Energie'!$G:$U,9,FALSE)</f>
        <v>#N/A</v>
      </c>
      <c r="P35" s="1548"/>
      <c r="Q35" s="223">
        <f>VLOOKUP($B35&amp;"; "&amp;$Q$32&amp;", "&amp;Q$33,'FE Energie'!$G:$U,9,FALSE)</f>
        <v>0.71299999999999997</v>
      </c>
      <c r="R35" s="223" t="e">
        <f>VLOOKUP($B35&amp;"; "&amp;$Q$32&amp;", "&amp;R$33,'FE Energie'!$G:$U,9,FALSE)</f>
        <v>#N/A</v>
      </c>
      <c r="S35" s="566">
        <f>IF(ISNA(G35*H35),0,G35*H35)+IF(ISNA(J35*K35),0,J35*K35)+IF(ISNA(M35*N35),0,M35*N35)+IF(ISNA(P35*Q35),0,P35*Q35)</f>
        <v>0</v>
      </c>
      <c r="T35" s="567">
        <f>IF(ISNA(G35*I35),0,G35*I35)+IF(ISNA(J35*L35),0,J35*L35)+IF(ISNA(M35*O35),0,M35*O35)+IF(ISNA(P35*R35),0,P35*R35)</f>
        <v>0</v>
      </c>
      <c r="U35" s="114"/>
      <c r="V35" s="1092">
        <f>IF(AA35=0,AA35,AA35/(S35+T35))</f>
        <v>0</v>
      </c>
      <c r="W35" s="345"/>
      <c r="X35" s="820"/>
      <c r="Y35" s="164">
        <f>SQRT(SUMSQ(IF(ISNA($G35*H35*AV35),0,$G35*H35*AV35),IF(ISNA($J35*K35*AW35),0,$J35*K35*AW35),IF(ISNA($M35*N35*AX35),0,$M35*N35*AX35),IF(ISNA($P35*Q35*AY35),0,$P35*Q35*AY35)))</f>
        <v>0</v>
      </c>
      <c r="Z35" s="164">
        <f>SQRT(SUMSQ(IF(ISNA($G35*I35*AZ35),0,$G35*I35*AZ35),IF(ISNA($J35*L35*BA35),0,$J35*L35*BA35),IF(ISNA($M35*O35*BB35),0,$M35*O35*BB35),IF(ISNA($P35*R35*BC35),0,$P35*R35*BC35)))</f>
        <v>0</v>
      </c>
      <c r="AA35" s="152">
        <f>SQRT(SUMSQ(Y35,Z35))</f>
        <v>0</v>
      </c>
      <c r="AB35" s="1761"/>
      <c r="AC35" s="1788"/>
      <c r="AD35" s="1790"/>
      <c r="AE35" s="564">
        <f>$G35*IF(ISNA(VLOOKUP($B35&amp;"; "&amp;$H$32&amp;", "&amp;H$33,'FE Energie'!$G:$U,10,FALSE)),0,VLOOKUP($B35&amp;"; "&amp;$H$32&amp;", "&amp;H$33,'FE Energie'!$G:$U,10,FALSE))
+$J35*IF(ISNA(VLOOKUP($B35&amp;"; "&amp;$K$32&amp;", "&amp;H$33,'FE Energie'!$G:$U,10,FALSE)),0,VLOOKUP($B35&amp;"; "&amp;$K$32&amp;", "&amp;H$33,'FE Energie'!$G:$U,10,FALSE))
+$M35*IF(ISNA(VLOOKUP($B35&amp;"; "&amp;$N$32&amp;", "&amp;H$33,'FE Energie'!$G:$U,10,FALSE)),0,VLOOKUP($B35&amp;"; "&amp;$N$32&amp;", "&amp;H$33,'FE Energie'!$G:$U,10,FALSE))
+$P35*IF(ISNA(VLOOKUP($B35&amp;"; "&amp;$Q$32&amp;", "&amp;H$33,'FE Energie'!$G:$U,10,FALSE)),0,VLOOKUP($B35&amp;"; "&amp;$Q$32&amp;", "&amp;H$33,'FE Energie'!$G:$U,10,FALSE))</f>
        <v>0</v>
      </c>
      <c r="AF35" s="565">
        <f>$G35*IF(ISNA(VLOOKUP($B35&amp;"; "&amp;$H$32&amp;", "&amp;I$33,'FE Energie'!$G:$U,10,FALSE)),0,VLOOKUP($B35&amp;"; "&amp;$H$32&amp;", "&amp;I$33,'FE Energie'!$G:$U,10,FALSE))
+$J35*IF(ISNA(VLOOKUP($B35&amp;"; "&amp;$K$32&amp;", "&amp;I$33,'FE Energie'!$G:$U,10,FALSE)),0,VLOOKUP($B35&amp;"; "&amp;$K$32&amp;", "&amp;I$33,'FE Energie'!$G:$U,10,FALSE))
+$M35*IF(ISNA(VLOOKUP($B35&amp;"; "&amp;$N$32&amp;", "&amp;I$33,'FE Energie'!$G:$U,10,FALSE)),0,VLOOKUP($B35&amp;"; "&amp;$N$32&amp;", "&amp;I$33,'FE Energie'!$G:$U,10,FALSE))
+$P35*IF(ISNA(VLOOKUP($B35&amp;"; "&amp;$Q$32&amp;", "&amp;I$33,'FE Energie'!$G:$U,10,FALSE)),0,VLOOKUP($B35&amp;"; "&amp;$Q$32&amp;", "&amp;I$33,'FE Energie'!$G:$U,10,FALSE))</f>
        <v>0</v>
      </c>
      <c r="AG35" s="620">
        <f>$G35*IF(ISNA((VLOOKUP($B35&amp;"; "&amp;$H$32&amp;", "&amp;H$33,'FE Energie'!$G:$U,12,FALSE)+VLOOKUP($B35&amp;"; "&amp;$H$32&amp;", "&amp;H$33,'FE Energie'!$G:$U,11,FALSE))),0,(VLOOKUP($B35&amp;"; "&amp;$H$32&amp;", "&amp;H$33,'FE Energie'!$G:$U,12,FALSE)+VLOOKUP($B35&amp;"; "&amp;$H$32&amp;", "&amp;H$33,'FE Energie'!$G:$U,11,FALSE)))
+$J35*IF(ISNA((VLOOKUP($B35&amp;"; "&amp;$K$32&amp;", "&amp;H$33,'FE Energie'!$G:$U,12,FALSE)+VLOOKUP($B35&amp;"; "&amp;$K$32&amp;", "&amp;H$33,'FE Energie'!$G:$U,11,FALSE))),0,(VLOOKUP($B35&amp;"; "&amp;$K$32&amp;", "&amp;H$33,'FE Energie'!$G:$U,12,FALSE)+VLOOKUP($B35&amp;"; "&amp;$K$32&amp;", "&amp;H$33,'FE Energie'!$G:$U,11,FALSE)))
+$M35*IF(ISNA((VLOOKUP($B35&amp;"; "&amp;$N$32&amp;", "&amp;H$33,'FE Energie'!$G:$U,12,FALSE)+VLOOKUP($B35&amp;"; "&amp;$N$32&amp;", "&amp;H$33,'FE Energie'!$G:$U,11,FALSE))),0,(VLOOKUP($B35&amp;"; "&amp;$N$32&amp;", "&amp;H$33,'FE Energie'!$G:$U,12,FALSE)+VLOOKUP($B35&amp;"; "&amp;$N$32&amp;", "&amp;H$33,'FE Energie'!$G:$U,11,FALSE)))
+$P35*IF(ISNA((VLOOKUP($B35&amp;"; "&amp;$Q$32&amp;", "&amp;H$33,'FE Energie'!$G:$U,12,FALSE)+VLOOKUP($B35&amp;"; "&amp;$Q$32&amp;", "&amp;H$33,'FE Energie'!$G:$U,11,FALSE))),0,(VLOOKUP($B35&amp;"; "&amp;$Q$32&amp;", "&amp;H$33,'FE Energie'!$G:$U,12,FALSE)+VLOOKUP($B35&amp;"; "&amp;$Q$32&amp;", "&amp;H$33,'FE Energie'!$G:$U,11,FALSE)))</f>
        <v>0</v>
      </c>
      <c r="AH35" s="620">
        <f>$G35*IF(ISNA((VLOOKUP($B35&amp;"; "&amp;$H$32&amp;", "&amp;I$33,'FE Energie'!$G:$U,12,FALSE)+VLOOKUP($B35&amp;"; "&amp;$H$32&amp;", "&amp;I$33,'FE Energie'!$G:$U,11,FALSE))),0,(VLOOKUP($B35&amp;"; "&amp;$H$32&amp;", "&amp;I$33,'FE Energie'!$G:$U,12,FALSE)+VLOOKUP($B35&amp;"; "&amp;$H$32&amp;", "&amp;I$33,'FE Energie'!$G:$U,11,FALSE)))
+$J35*IF(ISNA((VLOOKUP($B35&amp;"; "&amp;$K$32&amp;", "&amp;I$33,'FE Energie'!$G:$U,12,FALSE)+VLOOKUP($B35&amp;"; "&amp;$K$32&amp;", "&amp;I$33,'FE Energie'!$G:$U,11,FALSE))),0,(VLOOKUP($B35&amp;"; "&amp;$K$32&amp;", "&amp;I$33,'FE Energie'!$G:$U,12,FALSE)+VLOOKUP($B35&amp;"; "&amp;$K$32&amp;", "&amp;I$33,'FE Energie'!$G:$U,11,FALSE)))
+$M35*IF(ISNA((VLOOKUP($B35&amp;"; "&amp;$N$32&amp;", "&amp;I$33,'FE Energie'!$G:$U,12,FALSE)+VLOOKUP($B35&amp;"; "&amp;$N$32&amp;", "&amp;I$33,'FE Energie'!$G:$U,11,FALSE))),0,(VLOOKUP($B35&amp;"; "&amp;$N$32&amp;", "&amp;I$33,'FE Energie'!$G:$U,12,FALSE)+VLOOKUP($B35&amp;"; "&amp;$N$32&amp;", "&amp;I$33,'FE Energie'!$G:$U,11,FALSE)))
+$P35*IF(ISNA((VLOOKUP($B35&amp;"; "&amp;$Q$32&amp;", "&amp;I$33,'FE Energie'!$G:$U,12,FALSE)+VLOOKUP($B35&amp;"; "&amp;$Q$32&amp;", "&amp;I$33,'FE Energie'!$G:$U,11,FALSE))),0,(VLOOKUP($B35&amp;"; "&amp;$Q$32&amp;", "&amp;I$33,'FE Energie'!$G:$U,12,FALSE)+VLOOKUP($B35&amp;"; "&amp;$Q$32&amp;", "&amp;I$33,'FE Energie'!$G:$U,11,FALSE)))</f>
        <v>0</v>
      </c>
      <c r="AI35" s="620">
        <f>$G35*IF(ISNA(VLOOKUP($B35&amp;"; "&amp;$H$32&amp;", "&amp;H$33,'FE Energie'!$G:$U,13,FALSE)),0,VLOOKUP($B35&amp;"; "&amp;$H$32&amp;", "&amp;H$33,'FE Energie'!$G:$U,13,FALSE))
+$J35*IF(ISNA(VLOOKUP($B35&amp;"; "&amp;$K$32&amp;", "&amp;H$33,'FE Energie'!$G:$U,13,FALSE)),0,VLOOKUP($B35&amp;"; "&amp;$K$32&amp;", "&amp;H$33,'FE Energie'!$G:$U,13,FALSE))
+$M35*IF(ISNA(VLOOKUP($B35&amp;"; "&amp;$N$32&amp;", "&amp;H$33,'FE Energie'!$G:$U,13,FALSE)),0,VLOOKUP($B35&amp;"; "&amp;$N$32&amp;", "&amp;H$33,'FE Energie'!$G:$U,13,FALSE))
+$P35*IF(ISNA(VLOOKUP($B35&amp;"; "&amp;$Q$32&amp;", "&amp;H$33,'FE Energie'!$G:$U,13,FALSE)),0,VLOOKUP($B35&amp;"; "&amp;$Q$32&amp;", "&amp;H$33,'FE Energie'!$G:$U,13,FALSE))</f>
        <v>0</v>
      </c>
      <c r="AJ35" s="620">
        <f>$G35*IF(ISNA(VLOOKUP($B35&amp;"; "&amp;$H$32&amp;", "&amp;I$33,'FE Energie'!$G:$U,13,FALSE)),0,VLOOKUP($B35&amp;"; "&amp;$H$32&amp;", "&amp;I$33,'FE Energie'!$G:$U,13,FALSE))
+$J35*IF(ISNA(VLOOKUP($B35&amp;"; "&amp;$K$32&amp;", "&amp;I$33,'FE Energie'!$G:$U,13,FALSE)),0,VLOOKUP($B35&amp;"; "&amp;$K$32&amp;", "&amp;I$33,'FE Energie'!$G:$U,13,FALSE))
+$M35*IF(ISNA(VLOOKUP($B35&amp;"; "&amp;$N$32&amp;", "&amp;I$33,'FE Energie'!$G:$U,13,FALSE)),0,VLOOKUP($B35&amp;"; "&amp;$N$32&amp;", "&amp;I$33,'FE Energie'!$G:$U,13,FALSE))
+$P35*IF(ISNA(VLOOKUP($B35&amp;"; "&amp;$Q$32&amp;", "&amp;I$33,'FE Energie'!$G:$U,13,FALSE)),0,VLOOKUP($B35&amp;"; "&amp;$Q$32&amp;", "&amp;I$33,'FE Energie'!$G:$U,13,FALSE))</f>
        <v>0</v>
      </c>
      <c r="AK35" s="565">
        <f>$G35*IF(ISNA(VLOOKUP($B35&amp;"; "&amp;$H$32&amp;", "&amp;H$33,'FE Energie'!$G:$U,14,FALSE)),0,VLOOKUP($B35&amp;"; "&amp;$H$32&amp;", "&amp;H$33,'FE Energie'!$G:$U,14,FALSE))
+$J35*IF(ISNA(VLOOKUP($B35&amp;"; "&amp;$K$32&amp;", "&amp;H$33,'FE Energie'!$G:$U,14,FALSE)),0,VLOOKUP($B35&amp;"; "&amp;$K$32&amp;", "&amp;H$33,'FE Energie'!$G:$U,14,FALSE))
+$M35*IF(ISNA(VLOOKUP($B35&amp;"; "&amp;$N$32&amp;", "&amp;H$33,'FE Energie'!$G:$U,14,FALSE)),0,VLOOKUP($B35&amp;"; "&amp;$N$32&amp;", "&amp;H$33,'FE Energie'!$G:$U,14,FALSE))
+$P35*IF(ISNA(VLOOKUP($B35&amp;"; "&amp;$Q$32&amp;", "&amp;H$33,'FE Energie'!$G:$U,14,FALSE)),0,VLOOKUP($B35&amp;"; "&amp;$Q$32&amp;", "&amp;H$33,'FE Energie'!$G:$U,14,FALSE))</f>
        <v>0</v>
      </c>
      <c r="AL35" s="565">
        <f>$G35*IF(ISNA(VLOOKUP($B35&amp;"; "&amp;$H$32&amp;", "&amp;I$33,'FE Energie'!$G:$U,14,FALSE)),0,VLOOKUP($B35&amp;"; "&amp;$H$32&amp;", "&amp;I$33,'FE Energie'!$G:$U,14,FALSE))
+$J35*IF(ISNA(VLOOKUP($B35&amp;"; "&amp;$K$32&amp;", "&amp;I$33,'FE Energie'!$G:$U,14,FALSE)),0,VLOOKUP($B35&amp;"; "&amp;$K$32&amp;", "&amp;I$33,'FE Energie'!$G:$U,14,FALSE))
+$M35*IF(ISNA(VLOOKUP($B35&amp;"; "&amp;$N$32&amp;", "&amp;I$33,'FE Energie'!$G:$U,14,FALSE)),0,VLOOKUP($B35&amp;"; "&amp;$N$32&amp;", "&amp;I$33,'FE Energie'!$G:$U,14,FALSE))
+$P35*IF(ISNA(VLOOKUP($B35&amp;"; "&amp;$Q$32&amp;", "&amp;I$33,'FE Energie'!$G:$U,14,FALSE)),0,VLOOKUP($B35&amp;"; "&amp;$Q$32&amp;", "&amp;I$33,'FE Energie'!$G:$U,14,FALSE))</f>
        <v>0</v>
      </c>
      <c r="AM35" s="566">
        <f t="shared" ref="AM35:AM38" si="5">SUM(AE35,AG35,AI35,AK35)</f>
        <v>0</v>
      </c>
      <c r="AN35" s="566">
        <f t="shared" ref="AN35:AN38" si="6">SUM(AF35,AH35,AJ35,AL35)</f>
        <v>0</v>
      </c>
      <c r="AO35" s="564">
        <f>$G35*IF(ISNA(VLOOKUP($B35&amp;"; "&amp;$H$32&amp;", "&amp;H$33,'FE Energie'!$G:$U,15,FALSE)),0,VLOOKUP($B35&amp;"; "&amp;$H$32&amp;", "&amp;H$33,'FE Energie'!$G:$U,15,FALSE))
+$J35*IF(ISNA(VLOOKUP($B35&amp;"; "&amp;$K$32&amp;", "&amp;H$33,'FE Energie'!$G:$U,15,FALSE)),0,VLOOKUP($B35&amp;"; "&amp;$K$32&amp;", "&amp;H$33,'FE Energie'!$G:$U,15,FALSE))
+$M35*IF(ISNA(VLOOKUP($B35&amp;"; "&amp;$N$32&amp;", "&amp;H$33,'FE Energie'!$G:$U,15,FALSE)),0,VLOOKUP($B35&amp;"; "&amp;$N$32&amp;", "&amp;H$33,'FE Energie'!$G:$U,15,FALSE))
+$P35*IF(ISNA(VLOOKUP($B35&amp;"; "&amp;$Q$32&amp;", "&amp;H$33,'FE Energie'!$G:$U,15,FALSE)),0,VLOOKUP($B35&amp;"; "&amp;$Q$32&amp;", "&amp;H$33,'FE Energie'!$G:$U,15,FALSE))</f>
        <v>0</v>
      </c>
      <c r="AP35" s="568">
        <f>$G35*IF(ISNA(VLOOKUP($B35&amp;"; "&amp;$H$11&amp;", "&amp;I$33,'FE Energie'!$G:$U,15,FALSE)),0,VLOOKUP($B35&amp;"; "&amp;$H$11&amp;", "&amp;I$33,'FE Energie'!$G:$U,15,FALSE))
+$J35*IF(ISNA(VLOOKUP($B35&amp;"; "&amp;$K$11&amp;", "&amp;I$33,'FE Energie'!$G:$U,15,FALSE)),0,VLOOKUP($B35&amp;"; "&amp;$K$11&amp;", "&amp;I$33,'FE Energie'!$G:$U,15,FALSE))
+$M35*IF(ISNA(VLOOKUP($B35&amp;"; "&amp;$N$11&amp;", "&amp;I$33,'FE Energie'!$G:$U,15,FALSE)),0,VLOOKUP($B35&amp;"; "&amp;$N$11&amp;", "&amp;I$33,'FE Energie'!$G:$U,15,FALSE))
+$P35*IF(ISNA(VLOOKUP($B35&amp;"; "&amp;$Q$11&amp;", "&amp;I$33,'FE Energie'!$G:$U,15,FALSE)),0,VLOOKUP($B35&amp;"; "&amp;$Q$11&amp;", "&amp;I$33,'FE Energie'!$G:$U,15,FALSE))</f>
        <v>0</v>
      </c>
      <c r="AQ35" s="114"/>
      <c r="AR35" s="1065">
        <f>IF($W35&lt;&gt;"votre valeur :",IF(ISNA(VLOOKUP($W35,Utilitaires!$N$566:$O$571,2,FALSE)),,VLOOKUP($W35,Utilitaires!$N$566:$O$571,2,FALSE)),$X35)</f>
        <v>0</v>
      </c>
      <c r="AS35" s="1065">
        <f>IF($W35&lt;&gt;"votre valeur :",IF(ISNA(VLOOKUP($W35,Utilitaires!$N$566:$O$571,2,FALSE)),,VLOOKUP($W35,Utilitaires!$N$566:$O$571,2,FALSE)),$X35)</f>
        <v>0</v>
      </c>
      <c r="AT35" s="1065">
        <f>IF($W35&lt;&gt;"votre valeur :",IF(ISNA(VLOOKUP($W35,Utilitaires!$N$566:$O$571,2,FALSE)),,VLOOKUP($W35,Utilitaires!$N$566:$O$571,2,FALSE)),$X35)</f>
        <v>0</v>
      </c>
      <c r="AU35" s="1065">
        <f>IF($W35&lt;&gt;"votre valeur :",IF(ISNA(VLOOKUP($W35,Utilitaires!$N$566:$O$571,2,FALSE)),,VLOOKUP($W35,Utilitaires!$N$566:$O$571,2,FALSE)),$X35)</f>
        <v>0</v>
      </c>
      <c r="AV35" s="1068">
        <f>IF(ISNA(SQRT(SUMSQ(VLOOKUP($B35&amp;"; "&amp;$H$32&amp;", "&amp;$H$33,'FE Energie'!$G:$U,7,FALSE),$AR35))),0,SQRT(SUMSQ(VLOOKUP($B35&amp;"; "&amp;$H$32&amp;", "&amp;$H$33,'FE Energie'!$G:$U,7,FALSE),$AR35)))</f>
        <v>0.2</v>
      </c>
      <c r="AW35" s="1068">
        <f>IF(ISNA(SQRT(SUMSQ(VLOOKUP($B35&amp;"; "&amp;$K$32&amp;", "&amp;$K$33,'FE Energie'!$G:$U,7,FALSE),$AS35))),0,SQRT(SUMSQ(VLOOKUP($B35&amp;"; "&amp;$K$32&amp;", "&amp;$K$33,'FE Energie'!$G:$U,7,FALSE),$AS35)))</f>
        <v>0.2</v>
      </c>
      <c r="AX35" s="1068">
        <f>IF(ISNA(SQRT(SUMSQ(VLOOKUP($B35&amp;"; "&amp;$N$32&amp;", "&amp;$N$33,'FE Energie'!$G:$U,7,FALSE),$AT35))),0,SQRT(SUMSQ(VLOOKUP($B35&amp;"; "&amp;$N$32&amp;", "&amp;$N$33,'FE Energie'!$G:$U,7,FALSE),$AT35)))</f>
        <v>0.2</v>
      </c>
      <c r="AY35" s="1068">
        <f>IF(ISNA(SQRT(SUMSQ(VLOOKUP($B35&amp;"; "&amp;$Q$32&amp;", "&amp;$Q$33,'FE Energie'!$G:$U,7,FALSE),$AU35))),0,SQRT(SUMSQ(VLOOKUP($B35&amp;"; "&amp;$Q$32&amp;", "&amp;$Q$33,'FE Energie'!$G:$U,7,FALSE),$AU35)))</f>
        <v>0.2</v>
      </c>
      <c r="AZ35" s="1069">
        <f>IF(ISNA(SQRT(SUMSQ(VLOOKUP($B35&amp;"; "&amp;$H$32&amp;", "&amp;$I$33,'FE Energie'!$G:$U,7,FALSE),$AR35))),0,SQRT(SUMSQ(VLOOKUP($B35&amp;"; "&amp;$H$32&amp;", "&amp;$I$33,'FE Energie'!$G:$U,7,FALSE),$AR35)))</f>
        <v>0</v>
      </c>
      <c r="BA35" s="1070">
        <f>IF(ISNA(SQRT(SUMSQ(VLOOKUP($B35&amp;"; "&amp;$K$32&amp;", "&amp;$L$33,'FE Energie'!$G:$U,7,FALSE),$AS35))),0,SQRT(SUMSQ(VLOOKUP($B35&amp;"; "&amp;$K$32&amp;", "&amp;$L$33,'FE Energie'!$G:$U,7,FALSE),$AS35)))</f>
        <v>0</v>
      </c>
      <c r="BB35" s="1070">
        <f>IF(ISNA(SQRT(SUMSQ(VLOOKUP($B35&amp;"; "&amp;$N$32&amp;", "&amp;$O$33,'FE Energie'!$G:$U,7,FALSE),$AT35))),0,SQRT(SUMSQ(VLOOKUP($B35&amp;"; "&amp;$N$32&amp;", "&amp;$O$33,'FE Energie'!$G:$U,7,FALSE),$AT35)))</f>
        <v>0</v>
      </c>
      <c r="BC35" s="1071">
        <f>IF(ISNA(SQRT(SUMSQ(VLOOKUP($B35&amp;"; "&amp;$Q$32&amp;", "&amp;$R$33,'FE Energie'!$G:$U,7,FALSE),$AU35))),0,SQRT(SUMSQ(VLOOKUP($B35&amp;"; "&amp;$Q$32&amp;", "&amp;$R$33,'FE Energie'!$G:$U,7,FALSE),$AU35)))</f>
        <v>0</v>
      </c>
    </row>
    <row r="36" spans="1:55" s="116" customFormat="1" ht="12.75" hidden="1" customHeight="1" outlineLevel="1">
      <c r="A36" s="114"/>
      <c r="B36" s="536" t="s">
        <v>121</v>
      </c>
      <c r="C36" s="144"/>
      <c r="D36" s="315"/>
      <c r="E36" s="315"/>
      <c r="F36" s="1115"/>
      <c r="G36" s="1479" t="s">
        <v>1621</v>
      </c>
      <c r="H36" s="2628" t="s">
        <v>1572</v>
      </c>
      <c r="I36" s="2628"/>
      <c r="J36" s="1115"/>
      <c r="K36" s="223"/>
      <c r="L36" s="223"/>
      <c r="M36" s="822"/>
      <c r="N36" s="217"/>
      <c r="O36" s="217"/>
      <c r="P36" s="822"/>
      <c r="Q36" s="223"/>
      <c r="R36" s="223"/>
      <c r="S36" s="566"/>
      <c r="T36" s="567"/>
      <c r="U36" s="114"/>
      <c r="V36" s="1092"/>
      <c r="W36" s="164"/>
      <c r="X36" s="820"/>
      <c r="Y36" s="164"/>
      <c r="Z36" s="164"/>
      <c r="AA36" s="152"/>
      <c r="AB36" s="1761"/>
      <c r="AC36" s="1788"/>
      <c r="AD36" s="1790"/>
      <c r="AE36" s="564"/>
      <c r="AF36" s="565"/>
      <c r="AG36" s="620"/>
      <c r="AH36" s="620"/>
      <c r="AI36" s="620"/>
      <c r="AJ36" s="620"/>
      <c r="AK36" s="565"/>
      <c r="AL36" s="565"/>
      <c r="AM36" s="566"/>
      <c r="AN36" s="566"/>
      <c r="AO36" s="564"/>
      <c r="AP36" s="568"/>
      <c r="AQ36" s="114"/>
      <c r="AR36" s="1481" t="s">
        <v>1670</v>
      </c>
      <c r="AS36" s="1482" t="s">
        <v>1640</v>
      </c>
      <c r="AT36" s="1482" t="s">
        <v>1641</v>
      </c>
      <c r="AU36" s="1483" t="s">
        <v>1642</v>
      </c>
      <c r="AV36" s="1482" t="s">
        <v>1643</v>
      </c>
      <c r="AW36" s="1482" t="s">
        <v>1640</v>
      </c>
      <c r="AX36" s="1482" t="s">
        <v>1641</v>
      </c>
      <c r="AY36" s="1483" t="s">
        <v>1642</v>
      </c>
      <c r="AZ36" s="1481" t="s">
        <v>1643</v>
      </c>
      <c r="BA36" s="1482" t="s">
        <v>1640</v>
      </c>
      <c r="BB36" s="1482" t="s">
        <v>1641</v>
      </c>
      <c r="BC36" s="1483" t="s">
        <v>1642</v>
      </c>
    </row>
    <row r="37" spans="1:55" s="116" customFormat="1" ht="12.75" hidden="1" customHeight="1" outlineLevel="1">
      <c r="A37" s="114"/>
      <c r="B37" s="143" t="s">
        <v>1665</v>
      </c>
      <c r="C37" s="1464"/>
      <c r="D37" s="315">
        <f>S37+T37</f>
        <v>0</v>
      </c>
      <c r="E37" s="315"/>
      <c r="F37" s="117"/>
      <c r="G37" s="1547"/>
      <c r="H37" s="335">
        <f>VLOOKUP($B37&amp;"; "&amp;$H$36&amp;", "&amp;H$33,'FE Energie'!$G:$U,9,FALSE)</f>
        <v>4.1200000000000001E-2</v>
      </c>
      <c r="I37" s="335">
        <f>VLOOKUP($B37&amp;"; "&amp;$H$36&amp;", "&amp;I$33,'FE Energie'!$G:$U,9,FALSE)</f>
        <v>7.2599999999999998E-2</v>
      </c>
      <c r="J37" s="1547"/>
      <c r="K37" s="223">
        <f>VLOOKUP($B37&amp;"; "&amp;$K$32&amp;", "&amp;K$33,'FE Energie'!$G:$U,9,FALSE)</f>
        <v>1.0699999999999999E-2</v>
      </c>
      <c r="L37" s="223">
        <f>VLOOKUP($B37&amp;"; "&amp;$K$32&amp;", "&amp;L$33,'FE Energie'!$G:$U,9,FALSE)</f>
        <v>1.8800000000000001E-2</v>
      </c>
      <c r="M37" s="1547"/>
      <c r="N37" s="217" t="e">
        <f>VLOOKUP($B37&amp;"; "&amp;$N$11&amp;", "&amp;N$12,'FE Energie'!$G:$U,9,FALSE)</f>
        <v>#N/A</v>
      </c>
      <c r="O37" s="217" t="e">
        <f>VLOOKUP($B37&amp;"; "&amp;$N$32&amp;", "&amp;O$33,'FE Energie'!$G:$U,9,FALSE)</f>
        <v>#N/A</v>
      </c>
      <c r="P37" s="1547"/>
      <c r="Q37" s="223" t="e">
        <f>VLOOKUP($B37&amp;"; "&amp;$Q$32&amp;", "&amp;Q$33,'FE Energie'!$G:$U,9,FALSE)</f>
        <v>#N/A</v>
      </c>
      <c r="R37" s="223" t="e">
        <f>VLOOKUP($B37&amp;"; "&amp;$Q$32&amp;", "&amp;R$33,'FE Energie'!$G:$U,9,FALSE)</f>
        <v>#N/A</v>
      </c>
      <c r="S37" s="566">
        <f>IF(ISNA(G37*H37),0,G37*H37)+IF(ISNA(J37*K37),0,J37*K37)+IF(ISNA(M37*N37),0,M37*N37)+IF(ISNA(P37*Q37),0,P37*Q37)</f>
        <v>0</v>
      </c>
      <c r="T37" s="567">
        <f>IF(ISNA(G37*I37),0,G37*I37)+IF(ISNA(J37*L37),0,J37*L37)+IF(ISNA(M37*O37),0,M37*O37)+IF(ISNA(P37*R37),0,P37*R37)</f>
        <v>0</v>
      </c>
      <c r="U37" s="114"/>
      <c r="V37" s="1092">
        <f>IF(AA37=0,AA37,AA37/(S37+T37))</f>
        <v>0</v>
      </c>
      <c r="W37" s="343"/>
      <c r="X37" s="820"/>
      <c r="Y37" s="164">
        <f>SQRT(SUMSQ(IF(ISNA($G37*H37*AV37),0,$G37*H37*AV37),IF(ISNA($J37*K37*AW37),0,$J37*K37*AW37),IF(ISNA($M37*N37*AX37),0,$M37*N37*AX37),IF(ISNA($P37*Q37*AY37),0,$P37*Q37*AY37)))</f>
        <v>0</v>
      </c>
      <c r="Z37" s="164">
        <f>SQRT(SUMSQ(IF(ISNA($G37*I37*AZ37),0,$G37*I37*AZ37),IF(ISNA($J37*L37*BA37),0,$J37*L37*BA37),IF(ISNA($M37*O37*BB37),0,$M37*O37*BB37),IF(ISNA($P37*R37*BC37),0,$P37*R37*BC37)))</f>
        <v>0</v>
      </c>
      <c r="AA37" s="152">
        <f>SQRT(SUMSQ(Y37,Z37))</f>
        <v>0</v>
      </c>
      <c r="AB37" s="1761"/>
      <c r="AC37" s="1788"/>
      <c r="AD37" s="1790"/>
      <c r="AE37" s="564">
        <f>$G37*IF(ISNA(VLOOKUP($B37&amp;"; "&amp;$H$32&amp;", "&amp;H$33,'FE Energie'!$G:$U,10,FALSE)),0,VLOOKUP($B37&amp;"; "&amp;$H$32&amp;", "&amp;H$33,'FE Energie'!$G:$U,10,FALSE))
+$J37*IF(ISNA(VLOOKUP($B37&amp;"; "&amp;$K$32&amp;", "&amp;H$33,'FE Energie'!$G:$U,10,FALSE)),0,VLOOKUP($B37&amp;"; "&amp;$K$32&amp;", "&amp;H$33,'FE Energie'!$G:$U,10,FALSE))
+$M37*IF(ISNA(VLOOKUP($B37&amp;"; "&amp;$N$32&amp;", "&amp;H$33,'FE Energie'!$G:$U,10,FALSE)),0,VLOOKUP($B37&amp;"; "&amp;$N$32&amp;", "&amp;H$33,'FE Energie'!$G:$U,10,FALSE))
+$P37*IF(ISNA(VLOOKUP($B37&amp;"; "&amp;$Q$32&amp;", "&amp;H$33,'FE Energie'!$G:$U,10,FALSE)),0,VLOOKUP($B37&amp;"; "&amp;$Q$32&amp;", "&amp;H$33,'FE Energie'!$G:$U,10,FALSE))</f>
        <v>0</v>
      </c>
      <c r="AF37" s="565">
        <f>$G37*IF(ISNA(VLOOKUP($B37&amp;"; "&amp;$H$32&amp;", "&amp;I$33,'FE Energie'!$G:$U,10,FALSE)),0,VLOOKUP($B37&amp;"; "&amp;$H$32&amp;", "&amp;I$33,'FE Energie'!$G:$U,10,FALSE))
+$J37*IF(ISNA(VLOOKUP($B37&amp;"; "&amp;$K$32&amp;", "&amp;I$33,'FE Energie'!$G:$U,10,FALSE)),0,VLOOKUP($B37&amp;"; "&amp;$K$32&amp;", "&amp;I$33,'FE Energie'!$G:$U,10,FALSE))
+$M37*IF(ISNA(VLOOKUP($B37&amp;"; "&amp;$N$32&amp;", "&amp;I$33,'FE Energie'!$G:$U,10,FALSE)),0,VLOOKUP($B37&amp;"; "&amp;$N$32&amp;", "&amp;I$33,'FE Energie'!$G:$U,10,FALSE))
+$P37*IF(ISNA(VLOOKUP($B37&amp;"; "&amp;$Q$32&amp;", "&amp;I$33,'FE Energie'!$G:$U,10,FALSE)),0,VLOOKUP($B37&amp;"; "&amp;$Q$32&amp;", "&amp;I$33,'FE Energie'!$G:$U,10,FALSE))</f>
        <v>0</v>
      </c>
      <c r="AG37" s="620">
        <f>$G37*IF(ISNA((VLOOKUP($B37&amp;"; "&amp;$H$32&amp;", "&amp;H$33,'FE Energie'!$G:$U,12,FALSE)+VLOOKUP($B37&amp;"; "&amp;$H$32&amp;", "&amp;H$33,'FE Energie'!$G:$U,11,FALSE))),0,(VLOOKUP($B37&amp;"; "&amp;$H$32&amp;", "&amp;H$33,'FE Energie'!$G:$U,12,FALSE)+VLOOKUP($B37&amp;"; "&amp;$H$32&amp;", "&amp;H$33,'FE Energie'!$G:$U,11,FALSE)))
+$J37*IF(ISNA((VLOOKUP($B37&amp;"; "&amp;$K$32&amp;", "&amp;H$33,'FE Energie'!$G:$U,12,FALSE)+VLOOKUP($B37&amp;"; "&amp;$K$32&amp;", "&amp;H$33,'FE Energie'!$G:$U,11,FALSE))),0,(VLOOKUP($B37&amp;"; "&amp;$K$32&amp;", "&amp;H$33,'FE Energie'!$G:$U,12,FALSE)+VLOOKUP($B37&amp;"; "&amp;$K$32&amp;", "&amp;H$33,'FE Energie'!$G:$U,11,FALSE)))
+$M37*IF(ISNA((VLOOKUP($B37&amp;"; "&amp;$N$32&amp;", "&amp;H$33,'FE Energie'!$G:$U,12,FALSE)+VLOOKUP($B37&amp;"; "&amp;$N$32&amp;", "&amp;H$33,'FE Energie'!$G:$U,11,FALSE))),0,(VLOOKUP($B37&amp;"; "&amp;$N$32&amp;", "&amp;H$33,'FE Energie'!$G:$U,12,FALSE)+VLOOKUP($B37&amp;"; "&amp;$N$32&amp;", "&amp;H$33,'FE Energie'!$G:$U,11,FALSE)))
+$P37*IF(ISNA((VLOOKUP($B37&amp;"; "&amp;$Q$32&amp;", "&amp;H$33,'FE Energie'!$G:$U,12,FALSE)+VLOOKUP($B37&amp;"; "&amp;$Q$32&amp;", "&amp;H$33,'FE Energie'!$G:$U,11,FALSE))),0,(VLOOKUP($B37&amp;"; "&amp;$Q$32&amp;", "&amp;H$33,'FE Energie'!$G:$U,12,FALSE)+VLOOKUP($B37&amp;"; "&amp;$Q$32&amp;", "&amp;H$33,'FE Energie'!$G:$U,11,FALSE)))</f>
        <v>0</v>
      </c>
      <c r="AH37" s="620">
        <f>$G37*IF(ISNA((VLOOKUP($B37&amp;"; "&amp;$H$32&amp;", "&amp;I$33,'FE Energie'!$G:$U,12,FALSE)+VLOOKUP($B37&amp;"; "&amp;$H$32&amp;", "&amp;I$33,'FE Energie'!$G:$U,11,FALSE))),0,(VLOOKUP($B37&amp;"; "&amp;$H$32&amp;", "&amp;I$33,'FE Energie'!$G:$U,12,FALSE)+VLOOKUP($B37&amp;"; "&amp;$H$32&amp;", "&amp;I$33,'FE Energie'!$G:$U,11,FALSE)))
+$J37*IF(ISNA((VLOOKUP($B37&amp;"; "&amp;$K$32&amp;", "&amp;I$33,'FE Energie'!$G:$U,12,FALSE)+VLOOKUP($B37&amp;"; "&amp;$K$32&amp;", "&amp;I$33,'FE Energie'!$G:$U,11,FALSE))),0,(VLOOKUP($B37&amp;"; "&amp;$K$32&amp;", "&amp;I$33,'FE Energie'!$G:$U,12,FALSE)+VLOOKUP($B37&amp;"; "&amp;$K$32&amp;", "&amp;I$33,'FE Energie'!$G:$U,11,FALSE)))
+$M37*IF(ISNA((VLOOKUP($B37&amp;"; "&amp;$N$32&amp;", "&amp;I$33,'FE Energie'!$G:$U,12,FALSE)+VLOOKUP($B37&amp;"; "&amp;$N$32&amp;", "&amp;I$33,'FE Energie'!$G:$U,11,FALSE))),0,(VLOOKUP($B37&amp;"; "&amp;$N$32&amp;", "&amp;I$33,'FE Energie'!$G:$U,12,FALSE)+VLOOKUP($B37&amp;"; "&amp;$N$32&amp;", "&amp;I$33,'FE Energie'!$G:$U,11,FALSE)))
+$P37*IF(ISNA((VLOOKUP($B37&amp;"; "&amp;$Q$32&amp;", "&amp;I$33,'FE Energie'!$G:$U,12,FALSE)+VLOOKUP($B37&amp;"; "&amp;$Q$32&amp;", "&amp;I$33,'FE Energie'!$G:$U,11,FALSE))),0,(VLOOKUP($B37&amp;"; "&amp;$Q$32&amp;", "&amp;I$33,'FE Energie'!$G:$U,12,FALSE)+VLOOKUP($B37&amp;"; "&amp;$Q$32&amp;", "&amp;I$33,'FE Energie'!$G:$U,11,FALSE)))</f>
        <v>0</v>
      </c>
      <c r="AI37" s="620">
        <f>$G37*IF(ISNA(VLOOKUP($B37&amp;"; "&amp;$H$32&amp;", "&amp;H$33,'FE Energie'!$G:$U,13,FALSE)),0,VLOOKUP($B37&amp;"; "&amp;$H$32&amp;", "&amp;H$33,'FE Energie'!$G:$U,13,FALSE))
+$J37*IF(ISNA(VLOOKUP($B37&amp;"; "&amp;$K$32&amp;", "&amp;H$33,'FE Energie'!$G:$U,13,FALSE)),0,VLOOKUP($B37&amp;"; "&amp;$K$32&amp;", "&amp;H$33,'FE Energie'!$G:$U,13,FALSE))
+$M37*IF(ISNA(VLOOKUP($B37&amp;"; "&amp;$N$32&amp;", "&amp;H$33,'FE Energie'!$G:$U,13,FALSE)),0,VLOOKUP($B37&amp;"; "&amp;$N$32&amp;", "&amp;H$33,'FE Energie'!$G:$U,13,FALSE))
+$P37*IF(ISNA(VLOOKUP($B37&amp;"; "&amp;$Q$32&amp;", "&amp;H$33,'FE Energie'!$G:$U,13,FALSE)),0,VLOOKUP($B37&amp;"; "&amp;$Q$32&amp;", "&amp;H$33,'FE Energie'!$G:$U,13,FALSE))</f>
        <v>0</v>
      </c>
      <c r="AJ37" s="620">
        <f>$G37*IF(ISNA(VLOOKUP($B37&amp;"; "&amp;$H$32&amp;", "&amp;I$33,'FE Energie'!$G:$U,13,FALSE)),0,VLOOKUP($B37&amp;"; "&amp;$H$32&amp;", "&amp;I$33,'FE Energie'!$G:$U,13,FALSE))
+$J37*IF(ISNA(VLOOKUP($B37&amp;"; "&amp;$K$32&amp;", "&amp;I$33,'FE Energie'!$G:$U,13,FALSE)),0,VLOOKUP($B37&amp;"; "&amp;$K$32&amp;", "&amp;I$33,'FE Energie'!$G:$U,13,FALSE))
+$M37*IF(ISNA(VLOOKUP($B37&amp;"; "&amp;$N$32&amp;", "&amp;I$33,'FE Energie'!$G:$U,13,FALSE)),0,VLOOKUP($B37&amp;"; "&amp;$N$32&amp;", "&amp;I$33,'FE Energie'!$G:$U,13,FALSE))
+$P37*IF(ISNA(VLOOKUP($B37&amp;"; "&amp;$Q$32&amp;", "&amp;I$33,'FE Energie'!$G:$U,13,FALSE)),0,VLOOKUP($B37&amp;"; "&amp;$Q$32&amp;", "&amp;I$33,'FE Energie'!$G:$U,13,FALSE))</f>
        <v>0</v>
      </c>
      <c r="AK37" s="565">
        <f>$G37*IF(ISNA(VLOOKUP($B37&amp;"; "&amp;$H$32&amp;", "&amp;H$33,'FE Energie'!$G:$U,14,FALSE)),0,VLOOKUP($B37&amp;"; "&amp;$H$32&amp;", "&amp;H$33,'FE Energie'!$G:$U,14,FALSE))
+$J37*IF(ISNA(VLOOKUP($B37&amp;"; "&amp;$K$32&amp;", "&amp;H$33,'FE Energie'!$G:$U,14,FALSE)),0,VLOOKUP($B37&amp;"; "&amp;$K$32&amp;", "&amp;H$33,'FE Energie'!$G:$U,14,FALSE))
+$M37*IF(ISNA(VLOOKUP($B37&amp;"; "&amp;$N$32&amp;", "&amp;H$33,'FE Energie'!$G:$U,14,FALSE)),0,VLOOKUP($B37&amp;"; "&amp;$N$32&amp;", "&amp;H$33,'FE Energie'!$G:$U,14,FALSE))
+$P37*IF(ISNA(VLOOKUP($B37&amp;"; "&amp;$Q$32&amp;", "&amp;H$33,'FE Energie'!$G:$U,14,FALSE)),0,VLOOKUP($B37&amp;"; "&amp;$Q$32&amp;", "&amp;H$33,'FE Energie'!$G:$U,14,FALSE))</f>
        <v>0</v>
      </c>
      <c r="AL37" s="565">
        <f>$G37*IF(ISNA(VLOOKUP($B37&amp;"; "&amp;$H$32&amp;", "&amp;I$33,'FE Energie'!$G:$U,14,FALSE)),0,VLOOKUP($B37&amp;"; "&amp;$H$32&amp;", "&amp;I$33,'FE Energie'!$G:$U,14,FALSE))
+$J37*IF(ISNA(VLOOKUP($B37&amp;"; "&amp;$K$32&amp;", "&amp;I$33,'FE Energie'!$G:$U,14,FALSE)),0,VLOOKUP($B37&amp;"; "&amp;$K$32&amp;", "&amp;I$33,'FE Energie'!$G:$U,14,FALSE))
+$M37*IF(ISNA(VLOOKUP($B37&amp;"; "&amp;$N$32&amp;", "&amp;I$33,'FE Energie'!$G:$U,14,FALSE)),0,VLOOKUP($B37&amp;"; "&amp;$N$32&amp;", "&amp;I$33,'FE Energie'!$G:$U,14,FALSE))
+$P37*IF(ISNA(VLOOKUP($B37&amp;"; "&amp;$Q$32&amp;", "&amp;I$33,'FE Energie'!$G:$U,14,FALSE)),0,VLOOKUP($B37&amp;"; "&amp;$Q$32&amp;", "&amp;I$33,'FE Energie'!$G:$U,14,FALSE))</f>
        <v>0</v>
      </c>
      <c r="AM37" s="566">
        <f t="shared" si="5"/>
        <v>0</v>
      </c>
      <c r="AN37" s="566">
        <f t="shared" si="6"/>
        <v>0</v>
      </c>
      <c r="AO37" s="564">
        <f>$G37*IF(ISNA(VLOOKUP($B37&amp;"; "&amp;$H$32&amp;", "&amp;H$33,'FE Energie'!$G:$U,15,FALSE)),0,VLOOKUP($B37&amp;"; "&amp;$H$32&amp;", "&amp;H$33,'FE Energie'!$G:$U,15,FALSE))
+$J37*IF(ISNA(VLOOKUP($B37&amp;"; "&amp;$K$32&amp;", "&amp;H$33,'FE Energie'!$G:$U,15,FALSE)),0,VLOOKUP($B37&amp;"; "&amp;$K$32&amp;", "&amp;H$33,'FE Energie'!$G:$U,15,FALSE))
+$M37*IF(ISNA(VLOOKUP($B37&amp;"; "&amp;$N$32&amp;", "&amp;H$33,'FE Energie'!$G:$U,15,FALSE)),0,VLOOKUP($B37&amp;"; "&amp;$N$32&amp;", "&amp;H$33,'FE Energie'!$G:$U,15,FALSE))
+$P37*IF(ISNA(VLOOKUP($B37&amp;"; "&amp;$Q$32&amp;", "&amp;H$33,'FE Energie'!$G:$U,15,FALSE)),0,VLOOKUP($B37&amp;"; "&amp;$Q$32&amp;", "&amp;H$33,'FE Energie'!$G:$U,15,FALSE))</f>
        <v>0</v>
      </c>
      <c r="AP37" s="568">
        <f>$G37*IF(ISNA(VLOOKUP($B37&amp;"; "&amp;$H$11&amp;", "&amp;I$33,'FE Energie'!$G:$U,15,FALSE)),0,VLOOKUP($B37&amp;"; "&amp;$H$11&amp;", "&amp;I$33,'FE Energie'!$G:$U,15,FALSE))
+$J37*IF(ISNA(VLOOKUP($B37&amp;"; "&amp;$K$11&amp;", "&amp;I$33,'FE Energie'!$G:$U,15,FALSE)),0,VLOOKUP($B37&amp;"; "&amp;$K$11&amp;", "&amp;I$33,'FE Energie'!$G:$U,15,FALSE))
+$M37*IF(ISNA(VLOOKUP($B37&amp;"; "&amp;$N$11&amp;", "&amp;I$33,'FE Energie'!$G:$U,15,FALSE)),0,VLOOKUP($B37&amp;"; "&amp;$N$11&amp;", "&amp;I$33,'FE Energie'!$G:$U,15,FALSE))
+$P37*IF(ISNA(VLOOKUP($B37&amp;"; "&amp;$Q$11&amp;", "&amp;I$33,'FE Energie'!$G:$U,15,FALSE)),0,VLOOKUP($B37&amp;"; "&amp;$Q$11&amp;", "&amp;I$33,'FE Energie'!$G:$U,15,FALSE))</f>
        <v>0</v>
      </c>
      <c r="AQ37" s="114"/>
      <c r="AR37" s="1065">
        <f>IF($W37&lt;&gt;"votre valeur :",IF(ISNA(VLOOKUP($W37,Utilitaires!$N$566:$O$571,2,FALSE)),,VLOOKUP($W37,Utilitaires!$N$566:$O$571,2,FALSE)),$X37)</f>
        <v>0</v>
      </c>
      <c r="AS37" s="1065">
        <f>IF($W37&lt;&gt;"votre valeur :",IF(ISNA(VLOOKUP($W37,Utilitaires!$N$566:$O$571,2,FALSE)),,VLOOKUP($W37,Utilitaires!$N$566:$O$571,2,FALSE)),$X37)</f>
        <v>0</v>
      </c>
      <c r="AT37" s="1065">
        <f>IF($W37&lt;&gt;"votre valeur :",IF(ISNA(VLOOKUP($W37,Utilitaires!$N$566:$O$571,2,FALSE)),,VLOOKUP($W37,Utilitaires!$N$566:$O$571,2,FALSE)),$X37)</f>
        <v>0</v>
      </c>
      <c r="AU37" s="1065">
        <f>IF($W37&lt;&gt;"votre valeur :",IF(ISNA(VLOOKUP($W37,Utilitaires!$N$566:$O$571,2,FALSE)),,VLOOKUP($W37,Utilitaires!$N$566:$O$571,2,FALSE)),$X37)</f>
        <v>0</v>
      </c>
      <c r="AV37" s="1068">
        <f>IF(ISNA(SQRT(SUMSQ(VLOOKUP($B37&amp;"; "&amp;$H$36&amp;", "&amp;$H$33,'FE Energie'!$G:$U,7,FALSE),$AR37))),0,SQRT(SUMSQ(VLOOKUP($B37&amp;"; "&amp;$H$36&amp;", "&amp;$H$33,'FE Energie'!$G:$U,7,FALSE),$AR37)))</f>
        <v>0.5</v>
      </c>
      <c r="AW37" s="1068">
        <f>IF(ISNA(SQRT(SUMSQ(VLOOKUP($B37&amp;"; "&amp;$K$32&amp;", "&amp;$K$33,'FE Energie'!$G:$U,7,FALSE),$AS37))),0,SQRT(SUMSQ(VLOOKUP($B37&amp;"; "&amp;$K$32&amp;", "&amp;$K$33,'FE Energie'!$G:$U,7,FALSE),$AS37)))</f>
        <v>0.5</v>
      </c>
      <c r="AX37" s="1068">
        <f>IF(ISNA(SQRT(SUMSQ(VLOOKUP($B37&amp;"; "&amp;$N$32&amp;", "&amp;$N$33,'FE Energie'!$G:$U,7,FALSE),$AT37))),0,SQRT(SUMSQ(VLOOKUP($B37&amp;"; "&amp;$N$32&amp;", "&amp;$N$33,'FE Energie'!$G:$U,7,FALSE),$AT37)))</f>
        <v>0</v>
      </c>
      <c r="AY37" s="1068">
        <f>IF(ISNA(SQRT(SUMSQ(VLOOKUP($B37&amp;"; "&amp;$Q$32&amp;", "&amp;$Q$33,'FE Energie'!$G:$U,7,FALSE),$AU37))),0,SQRT(SUMSQ(VLOOKUP($B37&amp;"; "&amp;$Q$32&amp;", "&amp;$Q$33,'FE Energie'!$G:$U,7,FALSE),$AU37)))</f>
        <v>0</v>
      </c>
      <c r="AZ37" s="1069">
        <f>IF(ISNA(SQRT(SUMSQ(VLOOKUP($B37&amp;"; "&amp;$H$32&amp;", "&amp;$I$33,'FE Energie'!$G:$U,7,FALSE),$AR37))),0,SQRT(SUMSQ(VLOOKUP($B37&amp;"; "&amp;$H$32&amp;", "&amp;$I$33,'FE Energie'!$G:$U,7,FALSE),$AR37)))</f>
        <v>0</v>
      </c>
      <c r="BA37" s="1070">
        <f>IF(ISNA(SQRT(SUMSQ(VLOOKUP($B37&amp;"; "&amp;$K$32&amp;", "&amp;$L$33,'FE Energie'!$G:$U,7,FALSE),$AS37))),0,SQRT(SUMSQ(VLOOKUP($B37&amp;"; "&amp;$K$32&amp;", "&amp;$L$33,'FE Energie'!$G:$U,7,FALSE),$AS37)))</f>
        <v>0.5</v>
      </c>
      <c r="BB37" s="1070">
        <f>IF(ISNA(SQRT(SUMSQ(VLOOKUP($B37&amp;"; "&amp;$N$32&amp;", "&amp;$O$33,'FE Energie'!$G:$U,7,FALSE),$AT37))),0,SQRT(SUMSQ(VLOOKUP($B37&amp;"; "&amp;$N$32&amp;", "&amp;$O$33,'FE Energie'!$G:$U,7,FALSE),$AT37)))</f>
        <v>0</v>
      </c>
      <c r="BC37" s="1071">
        <f>IF(ISNA(SQRT(SUMSQ(VLOOKUP($B37&amp;"; "&amp;$Q$32&amp;", "&amp;$R$33,'FE Energie'!$G:$U,7,FALSE),$AU37))),0,SQRT(SUMSQ(VLOOKUP($B37&amp;"; "&amp;$Q$32&amp;", "&amp;$R$33,'FE Energie'!$G:$U,7,FALSE),$AU37)))</f>
        <v>0</v>
      </c>
    </row>
    <row r="38" spans="1:55" s="116" customFormat="1" ht="12.75" hidden="1" customHeight="1" outlineLevel="1">
      <c r="A38" s="114"/>
      <c r="B38" s="143" t="s">
        <v>1666</v>
      </c>
      <c r="C38" s="1464"/>
      <c r="D38" s="315">
        <f>S38+T38</f>
        <v>0</v>
      </c>
      <c r="E38" s="315"/>
      <c r="F38" s="123"/>
      <c r="G38" s="1548"/>
      <c r="H38" s="335">
        <f>VLOOKUP($B38&amp;"; "&amp;$H$36&amp;", "&amp;H$33,'FE Energie'!$G:$U,9,FALSE)</f>
        <v>4.07E-2</v>
      </c>
      <c r="I38" s="335">
        <f>VLOOKUP($B38&amp;"; "&amp;$H$36&amp;", "&amp;I$33,'FE Energie'!$G:$U,9,FALSE)</f>
        <v>4.82E-2</v>
      </c>
      <c r="J38" s="1548"/>
      <c r="K38" s="223">
        <f>VLOOKUP($B38&amp;"; "&amp;$K$32&amp;", "&amp;K$33,'FE Energie'!$G:$U,9,FALSE)</f>
        <v>1.12E-2</v>
      </c>
      <c r="L38" s="223">
        <f>VLOOKUP($B38&amp;"; "&amp;$K$32&amp;", "&amp;L$33,'FE Energie'!$G:$U,9,FALSE)</f>
        <v>1.32E-2</v>
      </c>
      <c r="M38" s="1548"/>
      <c r="N38" s="217" t="e">
        <f>VLOOKUP($B38&amp;"; "&amp;$N$11&amp;", "&amp;N$12,'FE Energie'!$G:$U,9,FALSE)</f>
        <v>#N/A</v>
      </c>
      <c r="O38" s="217" t="e">
        <f>VLOOKUP($B38&amp;"; "&amp;$N$32&amp;", "&amp;O$33,'FE Energie'!$G:$U,9,FALSE)</f>
        <v>#N/A</v>
      </c>
      <c r="P38" s="1548"/>
      <c r="Q38" s="223" t="e">
        <f>VLOOKUP($B38&amp;"; "&amp;$Q$32&amp;", "&amp;Q$33,'FE Energie'!$G:$U,9,FALSE)</f>
        <v>#N/A</v>
      </c>
      <c r="R38" s="223" t="e">
        <f>VLOOKUP($B38&amp;"; "&amp;$Q$32&amp;", "&amp;R$33,'FE Energie'!$G:$U,9,FALSE)</f>
        <v>#N/A</v>
      </c>
      <c r="S38" s="566">
        <f>IF(ISNA(G38*H38),0,G38*H38)+IF(ISNA(J38*K38),0,J38*K38)+IF(ISNA(M38*N38),0,M38*N38)+IF(ISNA(P38*Q38),0,P38*Q38)</f>
        <v>0</v>
      </c>
      <c r="T38" s="567">
        <f>IF(ISNA(G38*I38),0,G38*I38)+IF(ISNA(J38*L38),0,J38*L38)+IF(ISNA(M38*O38),0,M38*O38)+IF(ISNA(P38*R38),0,P38*R38)</f>
        <v>0</v>
      </c>
      <c r="U38" s="114"/>
      <c r="V38" s="1092">
        <f>IF(AA38=0,AA38,AA38/(S38+T38))</f>
        <v>0</v>
      </c>
      <c r="W38" s="345"/>
      <c r="X38" s="820"/>
      <c r="Y38" s="164">
        <f>SQRT(SUMSQ(IF(ISNA($G38*H38*AV38),0,$G38*H38*AV38),IF(ISNA($J38*K38*AW38),0,$J38*K38*AW38),IF(ISNA($M38*N38*AX38),0,$M38*N38*AX38),IF(ISNA($P38*Q38*AY38),0,$P38*Q38*AY38)))</f>
        <v>0</v>
      </c>
      <c r="Z38" s="164">
        <f>SQRT(SUMSQ(IF(ISNA($G38*I38*AZ38),0,$G38*I38*AZ38),IF(ISNA($J38*L38*BA38),0,$J38*L38*BA38),IF(ISNA($M38*O38*BB38),0,$M38*O38*BB38),IF(ISNA($P38*R38*BC38),0,$P38*R38*BC38)))</f>
        <v>0</v>
      </c>
      <c r="AA38" s="152">
        <f>SQRT(SUMSQ(Y38,Z38))</f>
        <v>0</v>
      </c>
      <c r="AB38" s="1761"/>
      <c r="AC38" s="1788"/>
      <c r="AD38" s="1790"/>
      <c r="AE38" s="564">
        <f>$G38*IF(ISNA(VLOOKUP($B38&amp;"; "&amp;$H$32&amp;", "&amp;H$33,'FE Energie'!$G:$U,10,FALSE)),0,VLOOKUP($B38&amp;"; "&amp;$H$32&amp;", "&amp;H$33,'FE Energie'!$G:$U,10,FALSE))
+$J38*IF(ISNA(VLOOKUP($B38&amp;"; "&amp;$K$32&amp;", "&amp;H$33,'FE Energie'!$G:$U,10,FALSE)),0,VLOOKUP($B38&amp;"; "&amp;$K$32&amp;", "&amp;H$33,'FE Energie'!$G:$U,10,FALSE))
+$M38*IF(ISNA(VLOOKUP($B38&amp;"; "&amp;$N$32&amp;", "&amp;H$33,'FE Energie'!$G:$U,10,FALSE)),0,VLOOKUP($B38&amp;"; "&amp;$N$32&amp;", "&amp;H$33,'FE Energie'!$G:$U,10,FALSE))
+$P38*IF(ISNA(VLOOKUP($B38&amp;"; "&amp;$Q$32&amp;", "&amp;H$33,'FE Energie'!$G:$U,10,FALSE)),0,VLOOKUP($B38&amp;"; "&amp;$Q$32&amp;", "&amp;H$33,'FE Energie'!$G:$U,10,FALSE))</f>
        <v>0</v>
      </c>
      <c r="AF38" s="565">
        <f>$G38*IF(ISNA(VLOOKUP($B38&amp;"; "&amp;$H$32&amp;", "&amp;I$33,'FE Energie'!$G:$U,10,FALSE)),0,VLOOKUP($B38&amp;"; "&amp;$H$32&amp;", "&amp;I$33,'FE Energie'!$G:$U,10,FALSE))
+$J38*IF(ISNA(VLOOKUP($B38&amp;"; "&amp;$K$32&amp;", "&amp;I$33,'FE Energie'!$G:$U,10,FALSE)),0,VLOOKUP($B38&amp;"; "&amp;$K$32&amp;", "&amp;I$33,'FE Energie'!$G:$U,10,FALSE))
+$M38*IF(ISNA(VLOOKUP($B38&amp;"; "&amp;$N$32&amp;", "&amp;I$33,'FE Energie'!$G:$U,10,FALSE)),0,VLOOKUP($B38&amp;"; "&amp;$N$32&amp;", "&amp;I$33,'FE Energie'!$G:$U,10,FALSE))
+$P38*IF(ISNA(VLOOKUP($B38&amp;"; "&amp;$Q$32&amp;", "&amp;I$33,'FE Energie'!$G:$U,10,FALSE)),0,VLOOKUP($B38&amp;"; "&amp;$Q$32&amp;", "&amp;I$33,'FE Energie'!$G:$U,10,FALSE))</f>
        <v>0</v>
      </c>
      <c r="AG38" s="620">
        <f>$G38*IF(ISNA((VLOOKUP($B38&amp;"; "&amp;$H$32&amp;", "&amp;H$33,'FE Energie'!$G:$U,12,FALSE)+VLOOKUP($B38&amp;"; "&amp;$H$32&amp;", "&amp;H$33,'FE Energie'!$G:$U,11,FALSE))),0,(VLOOKUP($B38&amp;"; "&amp;$H$32&amp;", "&amp;H$33,'FE Energie'!$G:$U,12,FALSE)+VLOOKUP($B38&amp;"; "&amp;$H$32&amp;", "&amp;H$33,'FE Energie'!$G:$U,11,FALSE)))
+$J38*IF(ISNA((VLOOKUP($B38&amp;"; "&amp;$K$32&amp;", "&amp;H$33,'FE Energie'!$G:$U,12,FALSE)+VLOOKUP($B38&amp;"; "&amp;$K$32&amp;", "&amp;H$33,'FE Energie'!$G:$U,11,FALSE))),0,(VLOOKUP($B38&amp;"; "&amp;$K$32&amp;", "&amp;H$33,'FE Energie'!$G:$U,12,FALSE)+VLOOKUP($B38&amp;"; "&amp;$K$32&amp;", "&amp;H$33,'FE Energie'!$G:$U,11,FALSE)))
+$M38*IF(ISNA((VLOOKUP($B38&amp;"; "&amp;$N$32&amp;", "&amp;H$33,'FE Energie'!$G:$U,12,FALSE)+VLOOKUP($B38&amp;"; "&amp;$N$32&amp;", "&amp;H$33,'FE Energie'!$G:$U,11,FALSE))),0,(VLOOKUP($B38&amp;"; "&amp;$N$32&amp;", "&amp;H$33,'FE Energie'!$G:$U,12,FALSE)+VLOOKUP($B38&amp;"; "&amp;$N$32&amp;", "&amp;H$33,'FE Energie'!$G:$U,11,FALSE)))
+$P38*IF(ISNA((VLOOKUP($B38&amp;"; "&amp;$Q$32&amp;", "&amp;H$33,'FE Energie'!$G:$U,12,FALSE)+VLOOKUP($B38&amp;"; "&amp;$Q$32&amp;", "&amp;H$33,'FE Energie'!$G:$U,11,FALSE))),0,(VLOOKUP($B38&amp;"; "&amp;$Q$32&amp;", "&amp;H$33,'FE Energie'!$G:$U,12,FALSE)+VLOOKUP($B38&amp;"; "&amp;$Q$32&amp;", "&amp;H$33,'FE Energie'!$G:$U,11,FALSE)))</f>
        <v>0</v>
      </c>
      <c r="AH38" s="620">
        <f>$G38*IF(ISNA((VLOOKUP($B38&amp;"; "&amp;$H$32&amp;", "&amp;I$33,'FE Energie'!$G:$U,12,FALSE)+VLOOKUP($B38&amp;"; "&amp;$H$32&amp;", "&amp;I$33,'FE Energie'!$G:$U,11,FALSE))),0,(VLOOKUP($B38&amp;"; "&amp;$H$32&amp;", "&amp;I$33,'FE Energie'!$G:$U,12,FALSE)+VLOOKUP($B38&amp;"; "&amp;$H$32&amp;", "&amp;I$33,'FE Energie'!$G:$U,11,FALSE)))
+$J38*IF(ISNA((VLOOKUP($B38&amp;"; "&amp;$K$32&amp;", "&amp;I$33,'FE Energie'!$G:$U,12,FALSE)+VLOOKUP($B38&amp;"; "&amp;$K$32&amp;", "&amp;I$33,'FE Energie'!$G:$U,11,FALSE))),0,(VLOOKUP($B38&amp;"; "&amp;$K$32&amp;", "&amp;I$33,'FE Energie'!$G:$U,12,FALSE)+VLOOKUP($B38&amp;"; "&amp;$K$32&amp;", "&amp;I$33,'FE Energie'!$G:$U,11,FALSE)))
+$M38*IF(ISNA((VLOOKUP($B38&amp;"; "&amp;$N$32&amp;", "&amp;I$33,'FE Energie'!$G:$U,12,FALSE)+VLOOKUP($B38&amp;"; "&amp;$N$32&amp;", "&amp;I$33,'FE Energie'!$G:$U,11,FALSE))),0,(VLOOKUP($B38&amp;"; "&amp;$N$32&amp;", "&amp;I$33,'FE Energie'!$G:$U,12,FALSE)+VLOOKUP($B38&amp;"; "&amp;$N$32&amp;", "&amp;I$33,'FE Energie'!$G:$U,11,FALSE)))
+$P38*IF(ISNA((VLOOKUP($B38&amp;"; "&amp;$Q$32&amp;", "&amp;I$33,'FE Energie'!$G:$U,12,FALSE)+VLOOKUP($B38&amp;"; "&amp;$Q$32&amp;", "&amp;I$33,'FE Energie'!$G:$U,11,FALSE))),0,(VLOOKUP($B38&amp;"; "&amp;$Q$32&amp;", "&amp;I$33,'FE Energie'!$G:$U,12,FALSE)+VLOOKUP($B38&amp;"; "&amp;$Q$32&amp;", "&amp;I$33,'FE Energie'!$G:$U,11,FALSE)))</f>
        <v>0</v>
      </c>
      <c r="AI38" s="620">
        <f>$G38*IF(ISNA(VLOOKUP($B38&amp;"; "&amp;$H$32&amp;", "&amp;H$33,'FE Energie'!$G:$U,13,FALSE)),0,VLOOKUP($B38&amp;"; "&amp;$H$32&amp;", "&amp;H$33,'FE Energie'!$G:$U,13,FALSE))
+$J38*IF(ISNA(VLOOKUP($B38&amp;"; "&amp;$K$32&amp;", "&amp;H$33,'FE Energie'!$G:$U,13,FALSE)),0,VLOOKUP($B38&amp;"; "&amp;$K$32&amp;", "&amp;H$33,'FE Energie'!$G:$U,13,FALSE))
+$M38*IF(ISNA(VLOOKUP($B38&amp;"; "&amp;$N$32&amp;", "&amp;H$33,'FE Energie'!$G:$U,13,FALSE)),0,VLOOKUP($B38&amp;"; "&amp;$N$32&amp;", "&amp;H$33,'FE Energie'!$G:$U,13,FALSE))
+$P38*IF(ISNA(VLOOKUP($B38&amp;"; "&amp;$Q$32&amp;", "&amp;H$33,'FE Energie'!$G:$U,13,FALSE)),0,VLOOKUP($B38&amp;"; "&amp;$Q$32&amp;", "&amp;H$33,'FE Energie'!$G:$U,13,FALSE))</f>
        <v>0</v>
      </c>
      <c r="AJ38" s="620">
        <f>$G38*IF(ISNA(VLOOKUP($B38&amp;"; "&amp;$H$32&amp;", "&amp;I$33,'FE Energie'!$G:$U,13,FALSE)),0,VLOOKUP($B38&amp;"; "&amp;$H$32&amp;", "&amp;I$33,'FE Energie'!$G:$U,13,FALSE))
+$J38*IF(ISNA(VLOOKUP($B38&amp;"; "&amp;$K$32&amp;", "&amp;I$33,'FE Energie'!$G:$U,13,FALSE)),0,VLOOKUP($B38&amp;"; "&amp;$K$32&amp;", "&amp;I$33,'FE Energie'!$G:$U,13,FALSE))
+$M38*IF(ISNA(VLOOKUP($B38&amp;"; "&amp;$N$32&amp;", "&amp;I$33,'FE Energie'!$G:$U,13,FALSE)),0,VLOOKUP($B38&amp;"; "&amp;$N$32&amp;", "&amp;I$33,'FE Energie'!$G:$U,13,FALSE))
+$P38*IF(ISNA(VLOOKUP($B38&amp;"; "&amp;$Q$32&amp;", "&amp;I$33,'FE Energie'!$G:$U,13,FALSE)),0,VLOOKUP($B38&amp;"; "&amp;$Q$32&amp;", "&amp;I$33,'FE Energie'!$G:$U,13,FALSE))</f>
        <v>0</v>
      </c>
      <c r="AK38" s="565">
        <f>$G38*IF(ISNA(VLOOKUP($B38&amp;"; "&amp;$H$32&amp;", "&amp;H$33,'FE Energie'!$G:$U,14,FALSE)),0,VLOOKUP($B38&amp;"; "&amp;$H$32&amp;", "&amp;H$33,'FE Energie'!$G:$U,14,FALSE))
+$J38*IF(ISNA(VLOOKUP($B38&amp;"; "&amp;$K$32&amp;", "&amp;H$33,'FE Energie'!$G:$U,14,FALSE)),0,VLOOKUP($B38&amp;"; "&amp;$K$32&amp;", "&amp;H$33,'FE Energie'!$G:$U,14,FALSE))
+$M38*IF(ISNA(VLOOKUP($B38&amp;"; "&amp;$N$32&amp;", "&amp;H$33,'FE Energie'!$G:$U,14,FALSE)),0,VLOOKUP($B38&amp;"; "&amp;$N$32&amp;", "&amp;H$33,'FE Energie'!$G:$U,14,FALSE))
+$P38*IF(ISNA(VLOOKUP($B38&amp;"; "&amp;$Q$32&amp;", "&amp;H$33,'FE Energie'!$G:$U,14,FALSE)),0,VLOOKUP($B38&amp;"; "&amp;$Q$32&amp;", "&amp;H$33,'FE Energie'!$G:$U,14,FALSE))</f>
        <v>0</v>
      </c>
      <c r="AL38" s="565">
        <f>$G38*IF(ISNA(VLOOKUP($B38&amp;"; "&amp;$H$32&amp;", "&amp;I$33,'FE Energie'!$G:$U,14,FALSE)),0,VLOOKUP($B38&amp;"; "&amp;$H$32&amp;", "&amp;I$33,'FE Energie'!$G:$U,14,FALSE))
+$J38*IF(ISNA(VLOOKUP($B38&amp;"; "&amp;$K$32&amp;", "&amp;I$33,'FE Energie'!$G:$U,14,FALSE)),0,VLOOKUP($B38&amp;"; "&amp;$K$32&amp;", "&amp;I$33,'FE Energie'!$G:$U,14,FALSE))
+$M38*IF(ISNA(VLOOKUP($B38&amp;"; "&amp;$N$32&amp;", "&amp;I$33,'FE Energie'!$G:$U,14,FALSE)),0,VLOOKUP($B38&amp;"; "&amp;$N$32&amp;", "&amp;I$33,'FE Energie'!$G:$U,14,FALSE))
+$P38*IF(ISNA(VLOOKUP($B38&amp;"; "&amp;$Q$32&amp;", "&amp;I$33,'FE Energie'!$G:$U,14,FALSE)),0,VLOOKUP($B38&amp;"; "&amp;$Q$32&amp;", "&amp;I$33,'FE Energie'!$G:$U,14,FALSE))</f>
        <v>0</v>
      </c>
      <c r="AM38" s="566">
        <f t="shared" si="5"/>
        <v>0</v>
      </c>
      <c r="AN38" s="566">
        <f t="shared" si="6"/>
        <v>0</v>
      </c>
      <c r="AO38" s="564">
        <f>$G38*IF(ISNA(VLOOKUP($B38&amp;"; "&amp;$H$32&amp;", "&amp;H$33,'FE Energie'!$G:$U,15,FALSE)),0,VLOOKUP($B38&amp;"; "&amp;$H$32&amp;", "&amp;H$33,'FE Energie'!$G:$U,15,FALSE))
+$J38*IF(ISNA(VLOOKUP($B38&amp;"; "&amp;$K$32&amp;", "&amp;H$33,'FE Energie'!$G:$U,15,FALSE)),0,VLOOKUP($B38&amp;"; "&amp;$K$32&amp;", "&amp;H$33,'FE Energie'!$G:$U,15,FALSE))
+$M38*IF(ISNA(VLOOKUP($B38&amp;"; "&amp;$N$32&amp;", "&amp;H$33,'FE Energie'!$G:$U,15,FALSE)),0,VLOOKUP($B38&amp;"; "&amp;$N$32&amp;", "&amp;H$33,'FE Energie'!$G:$U,15,FALSE))
+$P38*IF(ISNA(VLOOKUP($B38&amp;"; "&amp;$Q$32&amp;", "&amp;H$33,'FE Energie'!$G:$U,15,FALSE)),0,VLOOKUP($B38&amp;"; "&amp;$Q$32&amp;", "&amp;H$33,'FE Energie'!$G:$U,15,FALSE))</f>
        <v>0</v>
      </c>
      <c r="AP38" s="568">
        <f>$G38*IF(ISNA(VLOOKUP($B38&amp;"; "&amp;$H$11&amp;", "&amp;I$33,'FE Energie'!$G:$U,15,FALSE)),0,VLOOKUP($B38&amp;"; "&amp;$H$11&amp;", "&amp;I$33,'FE Energie'!$G:$U,15,FALSE))
+$J38*IF(ISNA(VLOOKUP($B38&amp;"; "&amp;$K$11&amp;", "&amp;I$33,'FE Energie'!$G:$U,15,FALSE)),0,VLOOKUP($B38&amp;"; "&amp;$K$11&amp;", "&amp;I$33,'FE Energie'!$G:$U,15,FALSE))
+$M38*IF(ISNA(VLOOKUP($B38&amp;"; "&amp;$N$11&amp;", "&amp;I$33,'FE Energie'!$G:$U,15,FALSE)),0,VLOOKUP($B38&amp;"; "&amp;$N$11&amp;", "&amp;I$33,'FE Energie'!$G:$U,15,FALSE))
+$P38*IF(ISNA(VLOOKUP($B38&amp;"; "&amp;$Q$11&amp;", "&amp;I$33,'FE Energie'!$G:$U,15,FALSE)),0,VLOOKUP($B38&amp;"; "&amp;$Q$11&amp;", "&amp;I$33,'FE Energie'!$G:$U,15,FALSE))</f>
        <v>0</v>
      </c>
      <c r="AQ38" s="114"/>
      <c r="AR38" s="1065">
        <f>IF($W38&lt;&gt;"votre valeur :",IF(ISNA(VLOOKUP($W38,Utilitaires!$N$566:$O$571,2,FALSE)),,VLOOKUP($W38,Utilitaires!$N$566:$O$571,2,FALSE)),$X38)</f>
        <v>0</v>
      </c>
      <c r="AS38" s="1065">
        <f>IF($W38&lt;&gt;"votre valeur :",IF(ISNA(VLOOKUP($W38,Utilitaires!$N$566:$O$571,2,FALSE)),,VLOOKUP($W38,Utilitaires!$N$566:$O$571,2,FALSE)),$X38)</f>
        <v>0</v>
      </c>
      <c r="AT38" s="1065">
        <f>IF($W38&lt;&gt;"votre valeur :",IF(ISNA(VLOOKUP($W38,Utilitaires!$N$566:$O$571,2,FALSE)),,VLOOKUP($W38,Utilitaires!$N$566:$O$571,2,FALSE)),$X38)</f>
        <v>0</v>
      </c>
      <c r="AU38" s="1065">
        <f>IF($W38&lt;&gt;"votre valeur :",IF(ISNA(VLOOKUP($W38,Utilitaires!$N$566:$O$571,2,FALSE)),,VLOOKUP($W38,Utilitaires!$N$566:$O$571,2,FALSE)),$X38)</f>
        <v>0</v>
      </c>
      <c r="AV38" s="1068">
        <f>IF(ISNA(SQRT(SUMSQ(VLOOKUP($B38&amp;"; "&amp;$H$36&amp;", "&amp;$H$33,'FE Energie'!$G:$U,7,FALSE),$AR38))),0,SQRT(SUMSQ(VLOOKUP($B38&amp;"; "&amp;$H$36&amp;", "&amp;$H$33,'FE Energie'!$G:$U,7,FALSE),$AR38)))</f>
        <v>0.5</v>
      </c>
      <c r="AW38" s="1068">
        <f>IF(ISNA(SQRT(SUMSQ(VLOOKUP($B38&amp;"; "&amp;$K$32&amp;", "&amp;$K$33,'FE Energie'!$G:$U,7,FALSE),$AS38))),0,SQRT(SUMSQ(VLOOKUP($B38&amp;"; "&amp;$K$32&amp;", "&amp;$K$33,'FE Energie'!$G:$U,7,FALSE),$AS38)))</f>
        <v>0.5</v>
      </c>
      <c r="AX38" s="1068">
        <f>IF(ISNA(SQRT(SUMSQ(VLOOKUP($B38&amp;"; "&amp;$N$32&amp;", "&amp;$N$33,'FE Energie'!$G:$U,7,FALSE),$AT38))),0,SQRT(SUMSQ(VLOOKUP($B38&amp;"; "&amp;$N$32&amp;", "&amp;$N$33,'FE Energie'!$G:$U,7,FALSE),$AT38)))</f>
        <v>0</v>
      </c>
      <c r="AY38" s="1068">
        <f>IF(ISNA(SQRT(SUMSQ(VLOOKUP($B38&amp;"; "&amp;$Q$32&amp;", "&amp;$Q$33,'FE Energie'!$G:$U,7,FALSE),$AU38))),0,SQRT(SUMSQ(VLOOKUP($B38&amp;"; "&amp;$Q$32&amp;", "&amp;$Q$33,'FE Energie'!$G:$U,7,FALSE),$AU38)))</f>
        <v>0</v>
      </c>
      <c r="AZ38" s="1069">
        <f>IF(ISNA(SQRT(SUMSQ(VLOOKUP($B38&amp;"; "&amp;$H$32&amp;", "&amp;$I$33,'FE Energie'!$G:$U,7,FALSE),$AR38))),0,SQRT(SUMSQ(VLOOKUP($B38&amp;"; "&amp;$H$32&amp;", "&amp;$I$33,'FE Energie'!$G:$U,7,FALSE),$AR38)))</f>
        <v>0</v>
      </c>
      <c r="BA38" s="1070">
        <f>IF(ISNA(SQRT(SUMSQ(VLOOKUP($B38&amp;"; "&amp;$K$32&amp;", "&amp;$L$33,'FE Energie'!$G:$U,7,FALSE),$AS38))),0,SQRT(SUMSQ(VLOOKUP($B38&amp;"; "&amp;$K$32&amp;", "&amp;$L$33,'FE Energie'!$G:$U,7,FALSE),$AS38)))</f>
        <v>0.5</v>
      </c>
      <c r="BB38" s="1070">
        <f>IF(ISNA(SQRT(SUMSQ(VLOOKUP($B38&amp;"; "&amp;$N$32&amp;", "&amp;$O$33,'FE Energie'!$G:$U,7,FALSE),$AT38))),0,SQRT(SUMSQ(VLOOKUP($B38&amp;"; "&amp;$N$32&amp;", "&amp;$O$33,'FE Energie'!$G:$U,7,FALSE),$AT38)))</f>
        <v>0</v>
      </c>
      <c r="BC38" s="1071">
        <f>IF(ISNA(SQRT(SUMSQ(VLOOKUP($B38&amp;"; "&amp;$Q$32&amp;", "&amp;$R$33,'FE Energie'!$G:$U,7,FALSE),$AU38))),0,SQRT(SUMSQ(VLOOKUP($B38&amp;"; "&amp;$Q$32&amp;", "&amp;$R$33,'FE Energie'!$G:$U,7,FALSE),$AU38)))</f>
        <v>0</v>
      </c>
    </row>
    <row r="39" spans="1:55" s="116" customFormat="1" ht="12.75" hidden="1" customHeight="1" outlineLevel="1">
      <c r="A39" s="114"/>
      <c r="B39" s="154"/>
      <c r="C39" s="155"/>
      <c r="D39" s="315"/>
      <c r="E39" s="315"/>
      <c r="F39" s="155"/>
      <c r="G39" s="155"/>
      <c r="H39" s="155"/>
      <c r="I39" s="155"/>
      <c r="J39" s="155"/>
      <c r="K39" s="155"/>
      <c r="L39" s="155"/>
      <c r="M39" s="155"/>
      <c r="N39" s="155"/>
      <c r="O39" s="155"/>
      <c r="P39" s="144"/>
      <c r="Q39" s="144"/>
      <c r="R39" s="144"/>
      <c r="S39" s="155"/>
      <c r="T39" s="156"/>
      <c r="U39" s="114"/>
      <c r="V39" s="154"/>
      <c r="W39" s="822"/>
      <c r="X39" s="822"/>
      <c r="Y39" s="155"/>
      <c r="Z39" s="169"/>
      <c r="AA39" s="156"/>
      <c r="AB39" s="1761"/>
      <c r="AC39" s="1788"/>
      <c r="AD39" s="1790"/>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hidden="1" customHeight="1" outlineLevel="1">
      <c r="A40" s="114"/>
      <c r="B40" s="196" t="s">
        <v>348</v>
      </c>
      <c r="C40" s="197"/>
      <c r="D40" s="202">
        <f>SUM(D34:D39)</f>
        <v>0</v>
      </c>
      <c r="E40" s="202"/>
      <c r="F40" s="198"/>
      <c r="G40" s="199"/>
      <c r="H40" s="199"/>
      <c r="I40" s="199"/>
      <c r="J40" s="199"/>
      <c r="K40" s="199"/>
      <c r="L40" s="199"/>
      <c r="M40" s="199"/>
      <c r="N40" s="199"/>
      <c r="O40" s="199"/>
      <c r="P40" s="199"/>
      <c r="Q40" s="199"/>
      <c r="R40" s="199"/>
      <c r="S40" s="202">
        <f>SUM(S34:S39)</f>
        <v>0</v>
      </c>
      <c r="T40" s="200">
        <f>SUM(T34:T39)</f>
        <v>0</v>
      </c>
      <c r="U40" s="114"/>
      <c r="V40" s="1093">
        <f>IF(AA40=0,AA40,AA40/(S40+T40))</f>
        <v>0</v>
      </c>
      <c r="W40" s="821"/>
      <c r="X40" s="821"/>
      <c r="Y40" s="1636">
        <f>SQRT(SUMSQ(Y34:Y39))</f>
        <v>0</v>
      </c>
      <c r="Z40" s="1636">
        <f>SQRT(SUMSQ(Z34:Z39))</f>
        <v>0</v>
      </c>
      <c r="AA40" s="200">
        <f>SQRT(SUMSQ(AA34:AA39))</f>
        <v>0</v>
      </c>
      <c r="AB40" s="1761"/>
      <c r="AC40" s="1788"/>
      <c r="AD40" s="1790"/>
      <c r="AE40" s="623">
        <f t="shared" ref="AE40:AP40" si="7">SUM(AE34:AE39)</f>
        <v>0</v>
      </c>
      <c r="AF40" s="621">
        <f t="shared" si="7"/>
        <v>0</v>
      </c>
      <c r="AG40" s="621">
        <f t="shared" si="7"/>
        <v>0</v>
      </c>
      <c r="AH40" s="621">
        <f t="shared" si="7"/>
        <v>0</v>
      </c>
      <c r="AI40" s="621">
        <f t="shared" si="7"/>
        <v>0</v>
      </c>
      <c r="AJ40" s="621">
        <f t="shared" si="7"/>
        <v>0</v>
      </c>
      <c r="AK40" s="572">
        <f t="shared" si="7"/>
        <v>0</v>
      </c>
      <c r="AL40" s="572">
        <f t="shared" si="7"/>
        <v>0</v>
      </c>
      <c r="AM40" s="572">
        <f t="shared" si="7"/>
        <v>0</v>
      </c>
      <c r="AN40" s="572">
        <f t="shared" si="7"/>
        <v>0</v>
      </c>
      <c r="AO40" s="572">
        <f t="shared" si="7"/>
        <v>0</v>
      </c>
      <c r="AP40" s="575">
        <f t="shared" si="7"/>
        <v>0</v>
      </c>
      <c r="AQ40" s="114"/>
      <c r="AR40" s="114"/>
      <c r="AS40" s="114"/>
      <c r="AT40" s="114"/>
      <c r="AU40" s="114"/>
      <c r="AV40" s="114"/>
      <c r="AW40" s="114"/>
      <c r="AX40" s="114"/>
      <c r="AY40" s="114"/>
      <c r="AZ40" s="114"/>
      <c r="BA40" s="114"/>
      <c r="BB40" s="114"/>
      <c r="BC40" s="114"/>
    </row>
    <row r="41" spans="1:55" s="114" customFormat="1" ht="13.2" hidden="1" outlineLevel="1">
      <c r="AD41" s="441"/>
      <c r="AE41" s="441"/>
      <c r="AF41" s="441"/>
      <c r="AG41" s="441"/>
      <c r="AH41" s="441"/>
      <c r="AI41" s="441"/>
      <c r="AJ41" s="441"/>
      <c r="AK41" s="441"/>
      <c r="AL41" s="441"/>
      <c r="AM41" s="441"/>
      <c r="AN41" s="441"/>
      <c r="AO41" s="441"/>
    </row>
    <row r="42" spans="1:55" s="114" customFormat="1" ht="13.2">
      <c r="AD42" s="441"/>
      <c r="AE42" s="441"/>
      <c r="AF42" s="441"/>
      <c r="AG42" s="441"/>
      <c r="AH42" s="441"/>
      <c r="AI42" s="441"/>
      <c r="AJ42" s="441"/>
      <c r="AK42" s="441"/>
      <c r="AL42" s="441"/>
      <c r="AM42" s="441"/>
      <c r="AN42" s="441"/>
      <c r="AO42" s="441"/>
    </row>
    <row r="43" spans="1:55" ht="15.6" collapsed="1">
      <c r="A43" s="114"/>
      <c r="B43" s="2652" t="s">
        <v>421</v>
      </c>
      <c r="C43" s="2653"/>
      <c r="D43" s="2653"/>
      <c r="E43" s="2653"/>
      <c r="F43" s="2653"/>
      <c r="G43" s="2653"/>
      <c r="H43" s="2653"/>
      <c r="I43" s="2653"/>
      <c r="J43" s="2653"/>
      <c r="K43" s="2653"/>
      <c r="L43" s="2653"/>
      <c r="M43" s="2653"/>
      <c r="N43" s="2653"/>
      <c r="O43" s="2654"/>
      <c r="AD43" s="441"/>
      <c r="AE43" s="441"/>
      <c r="AF43" s="441"/>
      <c r="AG43" s="441"/>
      <c r="AH43" s="441"/>
      <c r="AI43" s="441"/>
      <c r="AJ43" s="441"/>
      <c r="AK43" s="441"/>
      <c r="AL43" s="441"/>
      <c r="AM43" s="441"/>
      <c r="AN43" s="441"/>
    </row>
    <row r="44" spans="1:55" s="114" customFormat="1" ht="13.2" hidden="1" outlineLevel="1">
      <c r="AD44" s="441"/>
      <c r="AE44" s="441"/>
      <c r="AF44" s="441"/>
      <c r="AG44" s="441"/>
      <c r="AH44" s="441"/>
      <c r="AI44" s="441"/>
      <c r="AJ44" s="441"/>
      <c r="AK44" s="441"/>
      <c r="AL44" s="441"/>
      <c r="AM44" s="576"/>
      <c r="AN44" s="576"/>
      <c r="AO44" s="441"/>
    </row>
    <row r="45" spans="1:55" s="116" customFormat="1" ht="12.75" hidden="1" customHeight="1" outlineLevel="1">
      <c r="A45" s="114"/>
      <c r="B45" s="139" t="s">
        <v>262</v>
      </c>
      <c r="C45" s="140"/>
      <c r="D45" s="141"/>
      <c r="E45" s="141"/>
      <c r="F45" s="1471"/>
      <c r="G45" s="141"/>
      <c r="H45" s="141"/>
      <c r="I45" s="141"/>
      <c r="J45" s="141"/>
      <c r="K45" s="141"/>
      <c r="L45" s="141"/>
      <c r="M45" s="141"/>
      <c r="N45" s="142"/>
      <c r="U45" s="114"/>
      <c r="V45" s="2636" t="s">
        <v>366</v>
      </c>
      <c r="W45" s="2637"/>
      <c r="X45" s="2637"/>
      <c r="Y45" s="2637"/>
      <c r="Z45" s="2637"/>
      <c r="AA45" s="2637"/>
      <c r="AB45" s="2637"/>
      <c r="AC45" s="2638"/>
      <c r="AE45" s="2639" t="s">
        <v>441</v>
      </c>
      <c r="AF45" s="2640"/>
      <c r="AG45" s="2640"/>
      <c r="AH45" s="2640"/>
      <c r="AI45" s="2640"/>
      <c r="AJ45" s="2640"/>
      <c r="AK45" s="2640"/>
      <c r="AL45" s="2640"/>
      <c r="AM45" s="2640"/>
      <c r="AN45" s="2640"/>
      <c r="AO45" s="2640"/>
      <c r="AP45" s="2641"/>
      <c r="AQ45" s="114"/>
      <c r="AR45" s="114"/>
      <c r="AS45" s="114"/>
      <c r="AT45" s="114"/>
      <c r="AU45" s="114"/>
      <c r="AV45" s="114"/>
      <c r="AW45" s="114"/>
    </row>
    <row r="46" spans="1:55" s="116" customFormat="1" ht="12.75" hidden="1" customHeight="1" outlineLevel="1">
      <c r="A46" s="114"/>
      <c r="B46" s="143"/>
      <c r="C46" s="144"/>
      <c r="D46" s="1474" t="s">
        <v>308</v>
      </c>
      <c r="E46" s="1663"/>
      <c r="F46" s="1464"/>
      <c r="G46" s="144"/>
      <c r="H46" s="144"/>
      <c r="I46" s="144"/>
      <c r="J46" s="144"/>
      <c r="K46" s="144"/>
      <c r="L46" s="144"/>
      <c r="M46" s="144"/>
      <c r="N46" s="145"/>
      <c r="U46" s="114"/>
      <c r="V46" s="1463"/>
      <c r="W46" s="819"/>
      <c r="X46" s="819"/>
      <c r="Y46" s="1544"/>
      <c r="Z46" s="1544"/>
      <c r="AA46" s="1544"/>
      <c r="AB46" s="1544"/>
      <c r="AC46" s="145"/>
      <c r="AE46" s="1511"/>
      <c r="AF46" s="1499"/>
      <c r="AG46" s="1499"/>
      <c r="AH46" s="1499"/>
      <c r="AI46" s="1499"/>
      <c r="AJ46" s="1499"/>
      <c r="AK46" s="1499"/>
      <c r="AL46" s="1499"/>
      <c r="AM46" s="1499"/>
      <c r="AN46" s="1499"/>
      <c r="AO46" s="1511"/>
      <c r="AP46" s="1502"/>
      <c r="AR46" s="2616" t="s">
        <v>1648</v>
      </c>
      <c r="AS46" s="2617"/>
      <c r="AT46" s="2617"/>
      <c r="AU46" s="2617"/>
      <c r="AV46" s="2617"/>
      <c r="AW46" s="2617"/>
      <c r="AX46" s="2617"/>
      <c r="AY46" s="2618"/>
    </row>
    <row r="47" spans="1:55" s="127" customFormat="1" ht="12.75" hidden="1" customHeight="1" outlineLevel="1">
      <c r="A47" s="114"/>
      <c r="B47" s="1463" t="s">
        <v>19</v>
      </c>
      <c r="C47" s="1464"/>
      <c r="D47" s="1474" t="s">
        <v>409</v>
      </c>
      <c r="E47" s="1663"/>
      <c r="F47" s="2875" t="s">
        <v>2393</v>
      </c>
      <c r="G47" s="147" t="s">
        <v>343</v>
      </c>
      <c r="H47" s="1464" t="s">
        <v>444</v>
      </c>
      <c r="I47" s="147" t="s">
        <v>343</v>
      </c>
      <c r="J47" s="1464" t="s">
        <v>1681</v>
      </c>
      <c r="K47" s="147" t="s">
        <v>343</v>
      </c>
      <c r="L47" s="1464" t="s">
        <v>444</v>
      </c>
      <c r="M47" s="1464" t="s">
        <v>575</v>
      </c>
      <c r="N47" s="1475" t="s">
        <v>444</v>
      </c>
      <c r="U47" s="109"/>
      <c r="V47" s="1463" t="s">
        <v>316</v>
      </c>
      <c r="W47" s="2629" t="s">
        <v>316</v>
      </c>
      <c r="X47" s="2630"/>
      <c r="Y47" s="527"/>
      <c r="Z47" s="527"/>
      <c r="AA47" s="527"/>
      <c r="AB47" s="527"/>
      <c r="AC47" s="1475" t="s">
        <v>444</v>
      </c>
      <c r="AE47" s="1500" t="s">
        <v>444</v>
      </c>
      <c r="AF47" s="1501"/>
      <c r="AG47" s="1501"/>
      <c r="AH47" s="1501"/>
      <c r="AI47" s="1501"/>
      <c r="AJ47" s="1501"/>
      <c r="AK47" s="1501"/>
      <c r="AL47" s="1501"/>
      <c r="AM47" s="1501"/>
      <c r="AN47" s="1501"/>
      <c r="AO47" s="1523"/>
      <c r="AP47" s="1502"/>
      <c r="AR47" s="2614" t="s">
        <v>1646</v>
      </c>
      <c r="AS47" s="2645"/>
      <c r="AT47" s="2645"/>
      <c r="AU47" s="2615"/>
      <c r="AV47" s="2614" t="s">
        <v>1684</v>
      </c>
      <c r="AW47" s="2645"/>
      <c r="AX47" s="2645"/>
      <c r="AY47" s="2615"/>
    </row>
    <row r="48" spans="1:55" s="127" customFormat="1" ht="12.75" hidden="1" customHeight="1" outlineLevel="1">
      <c r="A48" s="114"/>
      <c r="B48" s="1463"/>
      <c r="C48" s="1464"/>
      <c r="D48" s="1469" t="s">
        <v>444</v>
      </c>
      <c r="E48" s="1657"/>
      <c r="F48" s="2876"/>
      <c r="G48" s="1472" t="s">
        <v>287</v>
      </c>
      <c r="H48" s="1464" t="s">
        <v>269</v>
      </c>
      <c r="I48" s="1472" t="s">
        <v>533</v>
      </c>
      <c r="J48" s="1464"/>
      <c r="K48" s="1472" t="s">
        <v>243</v>
      </c>
      <c r="L48" s="1464" t="s">
        <v>299</v>
      </c>
      <c r="M48" s="1464" t="s">
        <v>353</v>
      </c>
      <c r="N48" s="1475"/>
      <c r="U48" s="109"/>
      <c r="V48" s="1463" t="s">
        <v>1649</v>
      </c>
      <c r="W48" s="2646" t="s">
        <v>1650</v>
      </c>
      <c r="X48" s="2647"/>
      <c r="Y48" s="527"/>
      <c r="Z48" s="527"/>
      <c r="AA48" s="527"/>
      <c r="AB48" s="527"/>
      <c r="AC48" s="1475"/>
      <c r="AE48" s="1454" t="s">
        <v>211</v>
      </c>
      <c r="AF48" s="565"/>
      <c r="AG48" s="565" t="s">
        <v>442</v>
      </c>
      <c r="AH48" s="565"/>
      <c r="AI48" s="565" t="s">
        <v>267</v>
      </c>
      <c r="AJ48" s="565"/>
      <c r="AK48" s="565" t="s">
        <v>443</v>
      </c>
      <c r="AL48" s="565"/>
      <c r="AM48" s="565"/>
      <c r="AN48" s="565"/>
      <c r="AO48" s="564" t="s">
        <v>636</v>
      </c>
      <c r="AP48" s="568"/>
      <c r="AR48" s="1666" t="s">
        <v>1670</v>
      </c>
      <c r="AS48" s="1667" t="s">
        <v>1640</v>
      </c>
      <c r="AT48" s="1667" t="s">
        <v>1641</v>
      </c>
      <c r="AU48" s="1669" t="s">
        <v>1642</v>
      </c>
      <c r="AV48" s="1090" t="s">
        <v>1667</v>
      </c>
      <c r="AW48" s="1667" t="s">
        <v>1640</v>
      </c>
      <c r="AX48" s="1667" t="s">
        <v>1641</v>
      </c>
      <c r="AY48" s="1669" t="s">
        <v>1642</v>
      </c>
    </row>
    <row r="49" spans="1:51" s="116" customFormat="1" ht="12.75" hidden="1" customHeight="1" outlineLevel="1">
      <c r="A49" s="114"/>
      <c r="B49" s="143" t="s">
        <v>3038</v>
      </c>
      <c r="C49" s="1464"/>
      <c r="D49" s="315">
        <f>N49</f>
        <v>0</v>
      </c>
      <c r="E49" s="315"/>
      <c r="F49" s="117"/>
      <c r="G49" s="117"/>
      <c r="H49" s="217">
        <f>J49*700</f>
        <v>98.699999999999989</v>
      </c>
      <c r="I49" s="117"/>
      <c r="J49" s="223">
        <f>VLOOKUP($B49&amp;"; "&amp;$J$47,'FE Energie'!$G:$U,9,FALSE)</f>
        <v>0.14099999999999999</v>
      </c>
      <c r="K49" s="117"/>
      <c r="L49" s="217">
        <f>J49*Utilitaires!$P$20</f>
        <v>1639.5166666666664</v>
      </c>
      <c r="M49" s="342">
        <v>0.1</v>
      </c>
      <c r="N49" s="152">
        <f>(G49*H49+I49*J49+K49*L49)*(1+M49)</f>
        <v>0</v>
      </c>
      <c r="U49" s="114"/>
      <c r="V49" s="1117">
        <f>IF(AC49=0,AC49,AC49/N49)</f>
        <v>0</v>
      </c>
      <c r="W49" s="343"/>
      <c r="X49" s="820"/>
      <c r="Y49" s="1545"/>
      <c r="Z49" s="1545"/>
      <c r="AA49" s="1545"/>
      <c r="AB49" s="1545"/>
      <c r="AC49" s="152">
        <f>SQRT(SUMSQ(IF(ISNA($G49*H49*AV49),0,$G49*H49*AV49),IF(ISNA($I49*J49*AW49),0,$I49*J49*AW49),IF(ISNA($K49*L49*AX49),0,$K49*L49*AX49)))</f>
        <v>0</v>
      </c>
      <c r="AE49" s="564">
        <f>N49</f>
        <v>0</v>
      </c>
      <c r="AF49" s="565"/>
      <c r="AG49" s="565"/>
      <c r="AH49" s="565"/>
      <c r="AI49" s="565"/>
      <c r="AJ49" s="565"/>
      <c r="AK49" s="565"/>
      <c r="AL49" s="565"/>
      <c r="AM49" s="565"/>
      <c r="AN49" s="565"/>
      <c r="AO49" s="564"/>
      <c r="AP49" s="568"/>
      <c r="AR49" s="1065">
        <f>AS49</f>
        <v>0</v>
      </c>
      <c r="AS49" s="1066">
        <f>IF($W49&lt;&gt;"votre valeur :",IF(ISNA(VLOOKUP($W49,Utilitaires!$N$566:$O$571,2,FALSE)),,VLOOKUP($W49,Utilitaires!$N$566:$O$571,2,FALSE)),$X49)</f>
        <v>0</v>
      </c>
      <c r="AT49" s="1066">
        <f>AS49</f>
        <v>0</v>
      </c>
      <c r="AU49" s="1067"/>
      <c r="AV49" s="1068">
        <f>AW49</f>
        <v>0.3</v>
      </c>
      <c r="AW49" s="1068">
        <f>IF(ISNA(SQRT(SUMSQ(VLOOKUP($B49&amp;"; "&amp;$J$47,'FE Energie'!$G:$U,7,FALSE),$AS49))),0,SQRT(SUMSQ(VLOOKUP($B49&amp;"; "&amp;$J$47,'FE Energie'!$G:$U,7,FALSE),$AS49)))</f>
        <v>0.3</v>
      </c>
      <c r="AX49" s="1068">
        <f>AW49</f>
        <v>0.3</v>
      </c>
      <c r="AY49" s="1125"/>
    </row>
    <row r="50" spans="1:51" s="116" customFormat="1" ht="12.75" hidden="1" customHeight="1" outlineLevel="1">
      <c r="A50" s="114"/>
      <c r="B50" s="143" t="s">
        <v>3660</v>
      </c>
      <c r="C50" s="1464"/>
      <c r="D50" s="315">
        <f>N50</f>
        <v>0</v>
      </c>
      <c r="E50" s="315"/>
      <c r="F50" s="120"/>
      <c r="G50" s="120"/>
      <c r="H50" s="217">
        <f>J50*700</f>
        <v>159.6</v>
      </c>
      <c r="I50" s="120"/>
      <c r="J50" s="223">
        <f>VLOOKUP($B50&amp;"; "&amp;$J$47,'FE Energie'!$G:$U,9,FALSE)</f>
        <v>0.22800000000000001</v>
      </c>
      <c r="K50" s="120"/>
      <c r="L50" s="217">
        <f>J50*Utilitaires!$P$20</f>
        <v>2651.1333333333332</v>
      </c>
      <c r="M50" s="342">
        <v>0.1</v>
      </c>
      <c r="N50" s="152">
        <f>(G50*H50+I50*J50+K50*L50)*(1+M50)</f>
        <v>0</v>
      </c>
      <c r="U50" s="114"/>
      <c r="V50" s="1117">
        <f>IF(AC50=0,AC50,AC50/N50)</f>
        <v>0</v>
      </c>
      <c r="W50" s="344"/>
      <c r="X50" s="820"/>
      <c r="Y50" s="1545"/>
      <c r="Z50" s="1545"/>
      <c r="AA50" s="1545"/>
      <c r="AB50" s="1545"/>
      <c r="AC50" s="152">
        <f>SQRT(SUMSQ(IF(ISNA($G50*H50*AV50),0,$G50*H50*AV50),IF(ISNA($I50*J50*AW50),0,$I50*J50*AW50),IF(ISNA($K50*L50*AX50),0,$K50*L50*AX50)))</f>
        <v>0</v>
      </c>
      <c r="AE50" s="564">
        <f>N50</f>
        <v>0</v>
      </c>
      <c r="AF50" s="565"/>
      <c r="AG50" s="565"/>
      <c r="AH50" s="565"/>
      <c r="AI50" s="565"/>
      <c r="AJ50" s="565"/>
      <c r="AK50" s="565"/>
      <c r="AL50" s="565"/>
      <c r="AM50" s="565"/>
      <c r="AN50" s="565"/>
      <c r="AO50" s="564"/>
      <c r="AP50" s="568"/>
      <c r="AR50" s="1065">
        <f>AS50</f>
        <v>0</v>
      </c>
      <c r="AS50" s="1066">
        <f>IF($W50&lt;&gt;"votre valeur :",IF(ISNA(VLOOKUP($W50,Utilitaires!$N$566:$O$571,2,FALSE)),,VLOOKUP($W50,Utilitaires!$N$566:$O$571,2,FALSE)),$X50)</f>
        <v>0</v>
      </c>
      <c r="AT50" s="1066">
        <f>AS50</f>
        <v>0</v>
      </c>
      <c r="AU50" s="1067"/>
      <c r="AV50" s="1068">
        <f>AW50</f>
        <v>0.3</v>
      </c>
      <c r="AW50" s="1068">
        <f>IF(ISNA(SQRT(SUMSQ(VLOOKUP($B50&amp;"; "&amp;$J$47,'FE Energie'!$G:$U,7,FALSE),$AS50))),0,SQRT(SUMSQ(VLOOKUP($B50&amp;"; "&amp;$J$47,'FE Energie'!$G:$U,7,FALSE),$AS50)))</f>
        <v>0.3</v>
      </c>
      <c r="AX50" s="1068">
        <f>AW50</f>
        <v>0.3</v>
      </c>
      <c r="AY50" s="1125"/>
    </row>
    <row r="51" spans="1:51" s="116" customFormat="1" ht="12.75" hidden="1" customHeight="1" outlineLevel="1">
      <c r="A51" s="114"/>
      <c r="B51" s="143" t="s">
        <v>3039</v>
      </c>
      <c r="C51" s="1464"/>
      <c r="D51" s="315">
        <f>N51</f>
        <v>0</v>
      </c>
      <c r="E51" s="315"/>
      <c r="F51" s="123"/>
      <c r="G51" s="123"/>
      <c r="H51" s="217">
        <f>J51*700</f>
        <v>133.69999999999999</v>
      </c>
      <c r="I51" s="123"/>
      <c r="J51" s="223">
        <f>VLOOKUP($B51&amp;"; "&amp;$J$47,'FE Energie'!$G:$U,9,FALSE)</f>
        <v>0.191</v>
      </c>
      <c r="K51" s="123"/>
      <c r="L51" s="217">
        <f>J51*Utilitaires!$P$20</f>
        <v>2220.9055555555556</v>
      </c>
      <c r="M51" s="342">
        <v>0.1</v>
      </c>
      <c r="N51" s="152">
        <f>(G51*H51+I51*J51+K51*L51)*(1+M51)</f>
        <v>0</v>
      </c>
      <c r="U51" s="114"/>
      <c r="V51" s="1117">
        <f>IF(AC51=0,AC51,AC51/N51)</f>
        <v>0</v>
      </c>
      <c r="W51" s="345"/>
      <c r="X51" s="820"/>
      <c r="Y51" s="1545"/>
      <c r="Z51" s="1545"/>
      <c r="AA51" s="1545"/>
      <c r="AB51" s="1545"/>
      <c r="AC51" s="152">
        <f>SQRT(SUMSQ(IF(ISNA($G51*H51*AV51),0,$G51*H51*AV51),IF(ISNA($I51*J51*AW51),0,$I51*J51*AW51),IF(ISNA($K51*L51*AX51),0,$K51*L51*AX51)))</f>
        <v>0</v>
      </c>
      <c r="AE51" s="564">
        <f>N51</f>
        <v>0</v>
      </c>
      <c r="AF51" s="565"/>
      <c r="AG51" s="565"/>
      <c r="AH51" s="565"/>
      <c r="AI51" s="565"/>
      <c r="AJ51" s="565"/>
      <c r="AK51" s="565"/>
      <c r="AL51" s="565"/>
      <c r="AM51" s="565"/>
      <c r="AN51" s="565"/>
      <c r="AO51" s="564"/>
      <c r="AP51" s="568"/>
      <c r="AR51" s="1065">
        <f>AS51</f>
        <v>0</v>
      </c>
      <c r="AS51" s="1066">
        <f>IF($W51&lt;&gt;"votre valeur :",IF(ISNA(VLOOKUP($W51,Utilitaires!$N$566:$O$571,2,FALSE)),,VLOOKUP($W51,Utilitaires!$N$566:$O$571,2,FALSE)),$X51)</f>
        <v>0</v>
      </c>
      <c r="AT51" s="1066">
        <f>AS51</f>
        <v>0</v>
      </c>
      <c r="AU51" s="1067"/>
      <c r="AV51" s="1068">
        <f>AW51</f>
        <v>0.3</v>
      </c>
      <c r="AW51" s="1068">
        <f>IF(ISNA(SQRT(SUMSQ(VLOOKUP($B51&amp;"; "&amp;$J$47,'FE Energie'!$G:$U,7,FALSE),$AS51))),0,SQRT(SUMSQ(VLOOKUP($B51&amp;"; "&amp;$J$47,'FE Energie'!$G:$U,7,FALSE),$AS51)))</f>
        <v>0.3</v>
      </c>
      <c r="AX51" s="1068">
        <f>AW51</f>
        <v>0.3</v>
      </c>
      <c r="AY51" s="1125"/>
    </row>
    <row r="52" spans="1:51" s="116" customFormat="1" ht="12.75" hidden="1" customHeight="1" outlineLevel="1">
      <c r="A52" s="114"/>
      <c r="B52" s="143"/>
      <c r="C52" s="144"/>
      <c r="D52" s="315"/>
      <c r="E52" s="315"/>
      <c r="F52" s="155"/>
      <c r="G52" s="144"/>
      <c r="H52" s="144"/>
      <c r="I52" s="144"/>
      <c r="J52" s="144"/>
      <c r="K52" s="144"/>
      <c r="L52" s="144"/>
      <c r="M52" s="144"/>
      <c r="N52" s="152"/>
      <c r="U52" s="114"/>
      <c r="V52" s="143"/>
      <c r="W52" s="820"/>
      <c r="X52" s="820"/>
      <c r="Y52" s="1545"/>
      <c r="Z52" s="1545"/>
      <c r="AA52" s="1545"/>
      <c r="AB52" s="1545"/>
      <c r="AC52" s="165"/>
      <c r="AE52" s="564"/>
      <c r="AF52" s="565"/>
      <c r="AG52" s="565"/>
      <c r="AH52" s="565"/>
      <c r="AI52" s="565"/>
      <c r="AJ52" s="565"/>
      <c r="AK52" s="565"/>
      <c r="AL52" s="565"/>
      <c r="AM52" s="565"/>
      <c r="AN52" s="565"/>
      <c r="AO52" s="1411"/>
      <c r="AP52" s="1314"/>
      <c r="AR52" s="1087"/>
      <c r="AS52" s="1088"/>
      <c r="AT52" s="1088"/>
      <c r="AU52" s="1089"/>
      <c r="AV52" s="1073"/>
      <c r="AW52" s="1073"/>
      <c r="AX52" s="1073"/>
      <c r="AY52" s="1074"/>
    </row>
    <row r="53" spans="1:51" s="116" customFormat="1" ht="12.75" hidden="1" customHeight="1" outlineLevel="1">
      <c r="A53" s="114"/>
      <c r="B53" s="196" t="s">
        <v>348</v>
      </c>
      <c r="C53" s="197"/>
      <c r="D53" s="202">
        <f>SUM(D49:D52)</f>
        <v>0</v>
      </c>
      <c r="E53" s="202"/>
      <c r="F53" s="198"/>
      <c r="G53" s="199"/>
      <c r="H53" s="199"/>
      <c r="I53" s="199"/>
      <c r="J53" s="199"/>
      <c r="K53" s="199"/>
      <c r="L53" s="199"/>
      <c r="M53" s="199"/>
      <c r="N53" s="200">
        <f>SUM(N49:N52)</f>
        <v>0</v>
      </c>
      <c r="U53" s="114"/>
      <c r="V53" s="1203">
        <f>IF(AC53=0,AC53,AC53/N53)</f>
        <v>0</v>
      </c>
      <c r="W53" s="821"/>
      <c r="X53" s="821"/>
      <c r="Y53" s="325"/>
      <c r="Z53" s="325"/>
      <c r="AA53" s="325"/>
      <c r="AB53" s="325"/>
      <c r="AC53" s="200">
        <f>SQRT(SUMSQ(AC49:AC52))</f>
        <v>0</v>
      </c>
      <c r="AE53" s="1290">
        <f>SUM(AE49:AE52)</f>
        <v>0</v>
      </c>
      <c r="AF53" s="573"/>
      <c r="AG53" s="573">
        <f>SUM(AG49:AG52)</f>
        <v>0</v>
      </c>
      <c r="AH53" s="573"/>
      <c r="AI53" s="573">
        <f>SUM(AI49:AI52)</f>
        <v>0</v>
      </c>
      <c r="AJ53" s="573"/>
      <c r="AK53" s="573">
        <f>SUM(AK49:AK52)</f>
        <v>0</v>
      </c>
      <c r="AL53" s="573"/>
      <c r="AM53" s="573"/>
      <c r="AN53" s="573"/>
      <c r="AO53" s="572">
        <f>SUM(AO49:AO52)</f>
        <v>0</v>
      </c>
      <c r="AP53" s="575"/>
      <c r="AQ53" s="114"/>
      <c r="AR53" s="114"/>
      <c r="AS53" s="114"/>
      <c r="AT53" s="114"/>
      <c r="AU53" s="114"/>
      <c r="AV53" s="114"/>
      <c r="AW53" s="114"/>
    </row>
    <row r="54" spans="1:51" s="116" customFormat="1" ht="12.75" hidden="1" customHeight="1" outlineLevel="1">
      <c r="A54" s="114"/>
      <c r="B54" s="114"/>
      <c r="C54" s="114"/>
      <c r="D54" s="114"/>
      <c r="E54" s="114"/>
      <c r="F54" s="114"/>
      <c r="G54" s="114"/>
      <c r="H54" s="114"/>
      <c r="I54" s="114"/>
      <c r="J54" s="114"/>
      <c r="K54" s="114"/>
      <c r="L54" s="114"/>
      <c r="M54" s="114"/>
      <c r="N54" s="114"/>
      <c r="O54" s="114"/>
      <c r="P54" s="114"/>
      <c r="Q54" s="114"/>
      <c r="R54" s="114"/>
      <c r="S54" s="114"/>
      <c r="T54" s="114"/>
      <c r="U54" s="114"/>
      <c r="V54" s="114"/>
      <c r="W54" s="126"/>
      <c r="X54" s="126"/>
      <c r="Z54" s="114"/>
      <c r="AA54" s="114"/>
      <c r="AB54" s="114"/>
      <c r="AC54" s="114"/>
      <c r="AH54" s="114"/>
      <c r="AI54" s="441"/>
      <c r="AJ54" s="441"/>
      <c r="AK54" s="441"/>
      <c r="AL54" s="441"/>
      <c r="AM54" s="441"/>
      <c r="AN54" s="441"/>
      <c r="AO54" s="441"/>
      <c r="AP54" s="114"/>
      <c r="AQ54" s="114"/>
      <c r="AR54" s="114"/>
      <c r="AS54" s="114"/>
      <c r="AT54" s="114"/>
      <c r="AU54" s="114"/>
      <c r="AV54" s="114"/>
      <c r="AW54" s="114"/>
    </row>
    <row r="55" spans="1:51" s="116" customFormat="1" ht="12.75" hidden="1" customHeight="1" outlineLevel="1">
      <c r="A55" s="114"/>
      <c r="B55" s="139" t="s">
        <v>20</v>
      </c>
      <c r="C55" s="140"/>
      <c r="D55" s="141"/>
      <c r="E55" s="141"/>
      <c r="F55" s="1471"/>
      <c r="G55" s="141"/>
      <c r="H55" s="141"/>
      <c r="I55" s="141"/>
      <c r="J55" s="142"/>
      <c r="U55" s="114"/>
      <c r="V55" s="2636" t="s">
        <v>366</v>
      </c>
      <c r="W55" s="2637"/>
      <c r="X55" s="2637"/>
      <c r="Y55" s="2637"/>
      <c r="Z55" s="2637"/>
      <c r="AA55" s="2637"/>
      <c r="AB55" s="2637"/>
      <c r="AC55" s="2638"/>
      <c r="AE55" s="2639" t="s">
        <v>441</v>
      </c>
      <c r="AF55" s="2640"/>
      <c r="AG55" s="2640"/>
      <c r="AH55" s="2640"/>
      <c r="AI55" s="2640"/>
      <c r="AJ55" s="2640"/>
      <c r="AK55" s="2640"/>
      <c r="AL55" s="2640"/>
      <c r="AM55" s="2640"/>
      <c r="AN55" s="2640"/>
      <c r="AO55" s="2640"/>
      <c r="AP55" s="2641"/>
      <c r="AQ55" s="114"/>
      <c r="AR55" s="114"/>
      <c r="AS55" s="114"/>
      <c r="AT55" s="114"/>
      <c r="AU55" s="114"/>
      <c r="AV55" s="114"/>
      <c r="AW55" s="114"/>
    </row>
    <row r="56" spans="1:51" s="116" customFormat="1" ht="12.75" hidden="1" customHeight="1" outlineLevel="1">
      <c r="A56" s="114"/>
      <c r="B56" s="143"/>
      <c r="C56" s="144"/>
      <c r="D56" s="1474" t="s">
        <v>308</v>
      </c>
      <c r="E56" s="1663"/>
      <c r="F56" s="1464"/>
      <c r="G56" s="144"/>
      <c r="H56" s="144"/>
      <c r="I56" s="144"/>
      <c r="J56" s="145"/>
      <c r="U56" s="114"/>
      <c r="V56" s="1463"/>
      <c r="W56" s="819"/>
      <c r="X56" s="819"/>
      <c r="Y56" s="1544"/>
      <c r="Z56" s="1544"/>
      <c r="AA56" s="1544"/>
      <c r="AB56" s="1544"/>
      <c r="AC56" s="145"/>
      <c r="AE56" s="1511" t="s">
        <v>444</v>
      </c>
      <c r="AF56" s="1499"/>
      <c r="AG56" s="1499"/>
      <c r="AH56" s="1499"/>
      <c r="AI56" s="1499"/>
      <c r="AJ56" s="1499"/>
      <c r="AK56" s="1499"/>
      <c r="AL56" s="1499"/>
      <c r="AM56" s="1499"/>
      <c r="AN56" s="1499"/>
      <c r="AO56" s="1511"/>
      <c r="AP56" s="1502"/>
      <c r="AR56" s="2616" t="s">
        <v>1648</v>
      </c>
      <c r="AS56" s="2617"/>
      <c r="AT56" s="2617"/>
      <c r="AU56" s="2617"/>
      <c r="AV56" s="2617"/>
      <c r="AW56" s="2617"/>
      <c r="AX56" s="2617"/>
      <c r="AY56" s="2618"/>
    </row>
    <row r="57" spans="1:51" s="127" customFormat="1" ht="12.75" hidden="1" customHeight="1" outlineLevel="1">
      <c r="A57" s="114"/>
      <c r="B57" s="1463" t="s">
        <v>19</v>
      </c>
      <c r="C57" s="1464"/>
      <c r="D57" s="1474" t="s">
        <v>409</v>
      </c>
      <c r="E57" s="1663"/>
      <c r="F57" s="2875" t="s">
        <v>2393</v>
      </c>
      <c r="G57" s="147" t="s">
        <v>343</v>
      </c>
      <c r="H57" s="1464" t="s">
        <v>1681</v>
      </c>
      <c r="I57" s="1464" t="s">
        <v>575</v>
      </c>
      <c r="J57" s="1475" t="s">
        <v>444</v>
      </c>
      <c r="U57" s="109"/>
      <c r="V57" s="1463" t="s">
        <v>316</v>
      </c>
      <c r="W57" s="2629" t="s">
        <v>316</v>
      </c>
      <c r="X57" s="2630"/>
      <c r="Y57" s="527"/>
      <c r="Z57" s="527"/>
      <c r="AA57" s="527"/>
      <c r="AB57" s="527"/>
      <c r="AC57" s="1475" t="s">
        <v>444</v>
      </c>
      <c r="AE57" s="1500" t="s">
        <v>211</v>
      </c>
      <c r="AF57" s="1501"/>
      <c r="AG57" s="1501" t="s">
        <v>442</v>
      </c>
      <c r="AH57" s="1501"/>
      <c r="AI57" s="1501" t="s">
        <v>267</v>
      </c>
      <c r="AJ57" s="1501"/>
      <c r="AK57" s="1501" t="s">
        <v>443</v>
      </c>
      <c r="AL57" s="1501"/>
      <c r="AM57" s="1501"/>
      <c r="AN57" s="1501"/>
      <c r="AO57" s="1523" t="s">
        <v>636</v>
      </c>
      <c r="AP57" s="1502"/>
      <c r="AR57" s="2614" t="s">
        <v>1646</v>
      </c>
      <c r="AS57" s="2645"/>
      <c r="AT57" s="2645"/>
      <c r="AU57" s="2615"/>
      <c r="AV57" s="2614" t="s">
        <v>1684</v>
      </c>
      <c r="AW57" s="2645"/>
      <c r="AX57" s="2645"/>
      <c r="AY57" s="2615"/>
    </row>
    <row r="58" spans="1:51" s="127" customFormat="1" ht="12.75" hidden="1" customHeight="1" outlineLevel="1">
      <c r="A58" s="114"/>
      <c r="B58" s="1463"/>
      <c r="C58" s="1464"/>
      <c r="D58" s="1469" t="s">
        <v>444</v>
      </c>
      <c r="E58" s="1657"/>
      <c r="F58" s="2876"/>
      <c r="G58" s="1472" t="s">
        <v>533</v>
      </c>
      <c r="H58" s="1464"/>
      <c r="I58" s="1464" t="s">
        <v>353</v>
      </c>
      <c r="J58" s="1475"/>
      <c r="U58" s="109"/>
      <c r="V58" s="1463" t="s">
        <v>1649</v>
      </c>
      <c r="W58" s="2646" t="s">
        <v>1650</v>
      </c>
      <c r="X58" s="2647"/>
      <c r="Y58" s="527"/>
      <c r="Z58" s="527"/>
      <c r="AA58" s="527"/>
      <c r="AB58" s="527"/>
      <c r="AC58" s="1475"/>
      <c r="AE58" s="1454"/>
      <c r="AF58" s="565"/>
      <c r="AG58" s="565"/>
      <c r="AH58" s="565"/>
      <c r="AI58" s="565"/>
      <c r="AJ58" s="565"/>
      <c r="AK58" s="565"/>
      <c r="AL58" s="565"/>
      <c r="AM58" s="565"/>
      <c r="AN58" s="565"/>
      <c r="AO58" s="564"/>
      <c r="AP58" s="568"/>
      <c r="AR58" s="1666" t="s">
        <v>1670</v>
      </c>
      <c r="AS58" s="1667" t="s">
        <v>1640</v>
      </c>
      <c r="AT58" s="1667" t="s">
        <v>1641</v>
      </c>
      <c r="AU58" s="1669" t="s">
        <v>1642</v>
      </c>
      <c r="AV58" s="1090" t="s">
        <v>1667</v>
      </c>
      <c r="AW58" s="1667" t="s">
        <v>1640</v>
      </c>
      <c r="AX58" s="1667" t="s">
        <v>1641</v>
      </c>
      <c r="AY58" s="1669" t="s">
        <v>1642</v>
      </c>
    </row>
    <row r="59" spans="1:51" s="116" customFormat="1" ht="12.75" hidden="1" customHeight="1" outlineLevel="1">
      <c r="A59" s="114"/>
      <c r="B59" s="143" t="s">
        <v>3040</v>
      </c>
      <c r="C59" s="1464"/>
      <c r="D59" s="315">
        <f>J59</f>
        <v>0</v>
      </c>
      <c r="E59" s="315"/>
      <c r="F59" s="117"/>
      <c r="G59" s="117"/>
      <c r="H59" s="223">
        <f>VLOOKUP($B59&amp;"; "&amp;$H$57,'FE Energie'!$G:$U,9,FALSE)</f>
        <v>1.7000000000000001E-2</v>
      </c>
      <c r="I59" s="342">
        <v>0.1</v>
      </c>
      <c r="J59" s="152">
        <f>IF(ISNA(G59*H59),0,(G59*H59))*(1+I59)</f>
        <v>0</v>
      </c>
      <c r="U59" s="114"/>
      <c r="V59" s="1117">
        <f>IF(AC59=0,AC59,AC59/J59)</f>
        <v>0</v>
      </c>
      <c r="W59" s="343"/>
      <c r="X59" s="820"/>
      <c r="Y59" s="1545"/>
      <c r="Z59" s="1545"/>
      <c r="AA59" s="1545"/>
      <c r="AB59" s="1545"/>
      <c r="AC59" s="152">
        <f>SQRT(SUMSQ(IF(ISNA($G59*H59*AW59),0,$G59*H59*AW59)))</f>
        <v>0</v>
      </c>
      <c r="AE59" s="564">
        <f>J59</f>
        <v>0</v>
      </c>
      <c r="AF59" s="565"/>
      <c r="AG59" s="565"/>
      <c r="AH59" s="565"/>
      <c r="AI59" s="565"/>
      <c r="AJ59" s="565"/>
      <c r="AK59" s="565"/>
      <c r="AL59" s="565"/>
      <c r="AM59" s="565"/>
      <c r="AN59" s="565"/>
      <c r="AO59" s="564"/>
      <c r="AP59" s="568"/>
      <c r="AR59" s="1065"/>
      <c r="AS59" s="1066">
        <f>IF($W59&lt;&gt;"votre valeur :",IF(ISNA(VLOOKUP($W59,Utilitaires!$N$566:$O$571,2,FALSE)),,VLOOKUP($W59,Utilitaires!$N$566:$O$571,2,FALSE)),$X59)</f>
        <v>0</v>
      </c>
      <c r="AT59" s="1066"/>
      <c r="AU59" s="1067"/>
      <c r="AV59" s="1068"/>
      <c r="AW59" s="1068">
        <f>IF(ISNA(SQRT(SUMSQ(VLOOKUP($B59&amp;"; "&amp;$H$57,'FE Energie'!$G:$U,7,FALSE),$AS59))),0,SQRT(SUMSQ(VLOOKUP($B59&amp;"; "&amp;$H$57,'FE Energie'!$G:$U,7,FALSE),$AS59)))</f>
        <v>0.3</v>
      </c>
      <c r="AX59" s="1068"/>
      <c r="AY59" s="1125"/>
    </row>
    <row r="60" spans="1:51" s="116" customFormat="1" ht="12.75" hidden="1" customHeight="1" outlineLevel="1">
      <c r="A60" s="114"/>
      <c r="B60" s="143" t="s">
        <v>3665</v>
      </c>
      <c r="C60" s="1464"/>
      <c r="D60" s="315">
        <f>J60</f>
        <v>0</v>
      </c>
      <c r="E60" s="315"/>
      <c r="F60" s="120"/>
      <c r="G60" s="120"/>
      <c r="H60" s="223">
        <f>VLOOKUP($B60&amp;"; "&amp;$H$57,'FE Energie'!$G:$U,9,FALSE)</f>
        <v>0.22600000000000001</v>
      </c>
      <c r="I60" s="342">
        <v>0.1</v>
      </c>
      <c r="J60" s="152">
        <f>IF(ISNA(G60*H60),0,(G60*H60))*(1+I60)</f>
        <v>0</v>
      </c>
      <c r="U60" s="114"/>
      <c r="V60" s="1117">
        <f>IF(AC60=0,AC60,AC60/J60)</f>
        <v>0</v>
      </c>
      <c r="W60" s="344"/>
      <c r="X60" s="820"/>
      <c r="Y60" s="1545"/>
      <c r="Z60" s="1545"/>
      <c r="AA60" s="1545"/>
      <c r="AB60" s="1545"/>
      <c r="AC60" s="152">
        <f>SQRT(SUMSQ(IF(ISNA($G60*H60*AW60),0,$G60*H60*AW60)))</f>
        <v>0</v>
      </c>
      <c r="AE60" s="564">
        <f>J60</f>
        <v>0</v>
      </c>
      <c r="AF60" s="565"/>
      <c r="AG60" s="565"/>
      <c r="AH60" s="565"/>
      <c r="AI60" s="565"/>
      <c r="AJ60" s="565"/>
      <c r="AK60" s="565"/>
      <c r="AL60" s="565"/>
      <c r="AM60" s="565"/>
      <c r="AN60" s="565"/>
      <c r="AO60" s="564"/>
      <c r="AP60" s="568"/>
      <c r="AR60" s="1065"/>
      <c r="AS60" s="1066">
        <f>IF($W60&lt;&gt;"votre valeur :",IF(ISNA(VLOOKUP($W60,Utilitaires!$N$566:$O$571,2,FALSE)),,VLOOKUP($W60,Utilitaires!$N$566:$O$571,2,FALSE)),$X60)</f>
        <v>0</v>
      </c>
      <c r="AT60" s="1066"/>
      <c r="AU60" s="1067"/>
      <c r="AV60" s="1068"/>
      <c r="AW60" s="1068">
        <f>IF(ISNA(SQRT(SUMSQ(VLOOKUP($B60&amp;"; "&amp;$H$57,'FE Energie'!$G:$U,7,FALSE),$AS60))),0,SQRT(SUMSQ(VLOOKUP($B60&amp;"; "&amp;$H$57,'FE Energie'!$G:$U,7,FALSE),$AS60)))</f>
        <v>0.3</v>
      </c>
      <c r="AX60" s="1068"/>
      <c r="AY60" s="1125"/>
    </row>
    <row r="61" spans="1:51" s="116" customFormat="1" ht="12.75" hidden="1" customHeight="1" outlineLevel="1">
      <c r="A61" s="114"/>
      <c r="B61" s="143" t="s">
        <v>3664</v>
      </c>
      <c r="C61" s="1464"/>
      <c r="D61" s="315">
        <f>J61</f>
        <v>0</v>
      </c>
      <c r="E61" s="315"/>
      <c r="F61" s="123"/>
      <c r="G61" s="123"/>
      <c r="H61" s="223">
        <f>VLOOKUP($B61&amp;"; "&amp;$H$57,'FE Energie'!$G:$U,9,FALSE)</f>
        <v>0.192</v>
      </c>
      <c r="I61" s="342">
        <v>0.1</v>
      </c>
      <c r="J61" s="152">
        <f>IF(ISNA(G61*H61),0,(G61*H61))*(1+I61)</f>
        <v>0</v>
      </c>
      <c r="U61" s="114"/>
      <c r="V61" s="1117">
        <f>IF(AC61=0,AC61,AC61/J61)</f>
        <v>0</v>
      </c>
      <c r="W61" s="345"/>
      <c r="X61" s="820"/>
      <c r="Y61" s="1545"/>
      <c r="Z61" s="1545"/>
      <c r="AA61" s="1545"/>
      <c r="AB61" s="1545"/>
      <c r="AC61" s="152">
        <f>SQRT(SUMSQ(IF(ISNA($G61*H61*AW61),0,$G61*H61*AW61)))</f>
        <v>0</v>
      </c>
      <c r="AE61" s="564">
        <f>J61</f>
        <v>0</v>
      </c>
      <c r="AF61" s="565"/>
      <c r="AG61" s="565"/>
      <c r="AH61" s="565"/>
      <c r="AI61" s="565"/>
      <c r="AJ61" s="565"/>
      <c r="AK61" s="565"/>
      <c r="AL61" s="565"/>
      <c r="AM61" s="565"/>
      <c r="AN61" s="565"/>
      <c r="AO61" s="564"/>
      <c r="AP61" s="568"/>
      <c r="AR61" s="1065"/>
      <c r="AS61" s="1066">
        <f>IF($W61&lt;&gt;"votre valeur :",IF(ISNA(VLOOKUP($W61,Utilitaires!$N$566:$O$571,2,FALSE)),,VLOOKUP($W61,Utilitaires!$N$566:$O$571,2,FALSE)),$X61)</f>
        <v>0</v>
      </c>
      <c r="AT61" s="1066"/>
      <c r="AU61" s="1067"/>
      <c r="AV61" s="1068"/>
      <c r="AW61" s="1068">
        <f>IF(ISNA(SQRT(SUMSQ(VLOOKUP($B61&amp;"; "&amp;$H$57,'FE Energie'!$G:$U,7,FALSE),$AS61))),0,SQRT(SUMSQ(VLOOKUP($B61&amp;"; "&amp;$H$57,'FE Energie'!$G:$U,7,FALSE),$AS61)))</f>
        <v>0.3</v>
      </c>
      <c r="AX61" s="1068"/>
      <c r="AY61" s="1125"/>
    </row>
    <row r="62" spans="1:51" s="116" customFormat="1" ht="12.75" hidden="1" customHeight="1" outlineLevel="1">
      <c r="A62" s="114"/>
      <c r="B62" s="143"/>
      <c r="C62" s="144"/>
      <c r="D62" s="315"/>
      <c r="E62" s="315"/>
      <c r="F62" s="155"/>
      <c r="G62" s="144"/>
      <c r="H62" s="144"/>
      <c r="I62" s="144"/>
      <c r="J62" s="152"/>
      <c r="U62" s="114"/>
      <c r="V62" s="143"/>
      <c r="W62" s="820"/>
      <c r="X62" s="820"/>
      <c r="Y62" s="1545"/>
      <c r="Z62" s="1545"/>
      <c r="AA62" s="1545"/>
      <c r="AB62" s="1545"/>
      <c r="AC62" s="165"/>
      <c r="AE62" s="564"/>
      <c r="AF62" s="565"/>
      <c r="AG62" s="565"/>
      <c r="AH62" s="565"/>
      <c r="AI62" s="565"/>
      <c r="AJ62" s="565"/>
      <c r="AK62" s="565"/>
      <c r="AL62" s="565"/>
      <c r="AM62" s="565"/>
      <c r="AN62" s="565"/>
      <c r="AO62" s="1411"/>
      <c r="AP62" s="1314"/>
      <c r="AR62" s="1087"/>
      <c r="AS62" s="1088"/>
      <c r="AT62" s="1088"/>
      <c r="AU62" s="1089"/>
      <c r="AV62" s="1073"/>
      <c r="AW62" s="1073"/>
      <c r="AX62" s="1073"/>
      <c r="AY62" s="1074"/>
    </row>
    <row r="63" spans="1:51" s="116" customFormat="1" ht="12.75" hidden="1" customHeight="1" outlineLevel="1">
      <c r="A63" s="114"/>
      <c r="B63" s="196" t="s">
        <v>348</v>
      </c>
      <c r="C63" s="197"/>
      <c r="D63" s="202">
        <f>SUM(D59:D62)</f>
        <v>0</v>
      </c>
      <c r="E63" s="202"/>
      <c r="F63" s="198"/>
      <c r="G63" s="199"/>
      <c r="H63" s="199"/>
      <c r="I63" s="199"/>
      <c r="J63" s="200">
        <f>SUM(J59:J62)</f>
        <v>0</v>
      </c>
      <c r="U63" s="114"/>
      <c r="V63" s="1203">
        <f>IF(AC63=0,AC63,AC63/J63)</f>
        <v>0</v>
      </c>
      <c r="W63" s="821"/>
      <c r="X63" s="821"/>
      <c r="Y63" s="325"/>
      <c r="Z63" s="325"/>
      <c r="AA63" s="325"/>
      <c r="AB63" s="325"/>
      <c r="AC63" s="200">
        <f>SQRT(SUMSQ(AC59:AC62))</f>
        <v>0</v>
      </c>
      <c r="AE63" s="1290">
        <f>SUM(AE59:AE62)</f>
        <v>0</v>
      </c>
      <c r="AF63" s="573"/>
      <c r="AG63" s="573">
        <f>SUM(AG59:AG62)</f>
        <v>0</v>
      </c>
      <c r="AH63" s="573"/>
      <c r="AI63" s="573">
        <f>SUM(AI59:AI62)</f>
        <v>0</v>
      </c>
      <c r="AJ63" s="573"/>
      <c r="AK63" s="573">
        <f>SUM(AK59:AK62)</f>
        <v>0</v>
      </c>
      <c r="AL63" s="573"/>
      <c r="AM63" s="573"/>
      <c r="AN63" s="573"/>
      <c r="AO63" s="572">
        <f>SUM(AO59:AO62)</f>
        <v>0</v>
      </c>
      <c r="AP63" s="575"/>
      <c r="AQ63" s="114"/>
      <c r="AR63" s="114"/>
      <c r="AS63" s="114"/>
      <c r="AT63" s="114"/>
      <c r="AU63" s="114"/>
      <c r="AV63" s="114"/>
      <c r="AW63" s="114"/>
    </row>
    <row r="64" spans="1:51" s="114" customFormat="1" ht="13.2" hidden="1" outlineLevel="1">
      <c r="AD64" s="441"/>
      <c r="AE64" s="441"/>
      <c r="AF64" s="441"/>
      <c r="AG64" s="441"/>
      <c r="AH64" s="441"/>
      <c r="AI64" s="441"/>
      <c r="AJ64" s="441"/>
      <c r="AK64" s="441"/>
      <c r="AL64" s="441"/>
      <c r="AM64" s="441"/>
      <c r="AN64" s="441"/>
      <c r="AO64" s="441"/>
    </row>
    <row r="65" spans="1:55" s="114" customFormat="1" ht="13.2">
      <c r="AD65" s="441"/>
      <c r="AE65" s="441"/>
      <c r="AF65" s="441"/>
      <c r="AG65" s="441"/>
      <c r="AH65" s="441"/>
      <c r="AI65" s="441"/>
      <c r="AJ65" s="441"/>
      <c r="AK65" s="441"/>
      <c r="AL65" s="441"/>
      <c r="AM65" s="441"/>
      <c r="AN65" s="441"/>
      <c r="AO65" s="441"/>
    </row>
    <row r="66" spans="1:55" ht="15.6">
      <c r="A66" s="114"/>
      <c r="B66" s="2652" t="s">
        <v>300</v>
      </c>
      <c r="C66" s="2653"/>
      <c r="D66" s="2653"/>
      <c r="E66" s="2653"/>
      <c r="F66" s="2653"/>
      <c r="G66" s="2653"/>
      <c r="H66" s="2653"/>
      <c r="I66" s="2653"/>
      <c r="J66" s="2653"/>
      <c r="K66" s="2653"/>
      <c r="L66" s="2653"/>
      <c r="M66" s="2653"/>
      <c r="N66" s="2653"/>
      <c r="O66" s="2654"/>
      <c r="AD66" s="441"/>
      <c r="AE66" s="441"/>
      <c r="AF66" s="441"/>
      <c r="AG66" s="441"/>
      <c r="AH66" s="441"/>
      <c r="AI66" s="441"/>
    </row>
    <row r="67" spans="1:55" s="114" customFormat="1" ht="13.2" outlineLevel="1">
      <c r="B67" s="116"/>
      <c r="C67" s="116"/>
      <c r="D67" s="116"/>
      <c r="E67" s="116"/>
      <c r="F67" s="116"/>
      <c r="G67" s="116"/>
      <c r="H67" s="116"/>
      <c r="I67" s="116"/>
      <c r="J67" s="116"/>
      <c r="K67" s="116"/>
      <c r="L67" s="116"/>
      <c r="M67" s="116"/>
      <c r="N67" s="116"/>
      <c r="O67" s="116"/>
      <c r="AD67" s="441"/>
      <c r="AE67" s="441"/>
      <c r="AF67" s="441"/>
      <c r="AG67" s="576"/>
      <c r="AH67" s="576"/>
      <c r="AI67" s="441"/>
      <c r="AJ67" s="441"/>
      <c r="AK67" s="441"/>
      <c r="AL67" s="441"/>
      <c r="AM67" s="441"/>
      <c r="AN67" s="441"/>
      <c r="AO67" s="441"/>
    </row>
    <row r="68" spans="1:55" s="116" customFormat="1" ht="12.75" customHeight="1" outlineLevel="1">
      <c r="A68" s="114"/>
      <c r="B68" s="139" t="s">
        <v>2516</v>
      </c>
      <c r="C68" s="140"/>
      <c r="D68" s="141"/>
      <c r="E68" s="141"/>
      <c r="F68" s="1471"/>
      <c r="G68" s="141"/>
      <c r="H68" s="141"/>
      <c r="I68" s="142"/>
      <c r="U68" s="114"/>
      <c r="V68" s="2636" t="s">
        <v>366</v>
      </c>
      <c r="W68" s="2637"/>
      <c r="X68" s="2637"/>
      <c r="Y68" s="2637"/>
      <c r="Z68" s="2637"/>
      <c r="AA68" s="2637"/>
      <c r="AB68" s="2637"/>
      <c r="AC68" s="2638"/>
      <c r="AE68" s="2639" t="s">
        <v>441</v>
      </c>
      <c r="AF68" s="2640"/>
      <c r="AG68" s="2640"/>
      <c r="AH68" s="2640"/>
      <c r="AI68" s="2640"/>
      <c r="AJ68" s="2640"/>
      <c r="AK68" s="2640"/>
      <c r="AL68" s="2640"/>
      <c r="AM68" s="2640"/>
      <c r="AN68" s="2640"/>
      <c r="AO68" s="2640"/>
      <c r="AP68" s="2641"/>
      <c r="AU68" s="114"/>
      <c r="AV68" s="114"/>
    </row>
    <row r="69" spans="1:55" s="116" customFormat="1" ht="12.75" customHeight="1" outlineLevel="1">
      <c r="A69" s="114"/>
      <c r="B69" s="143"/>
      <c r="C69" s="144"/>
      <c r="D69" s="1474" t="s">
        <v>308</v>
      </c>
      <c r="E69" s="1663"/>
      <c r="F69" s="1464"/>
      <c r="G69" s="144"/>
      <c r="H69" s="144"/>
      <c r="I69" s="145"/>
      <c r="U69" s="114"/>
      <c r="V69" s="1463"/>
      <c r="W69" s="819"/>
      <c r="X69" s="819"/>
      <c r="Y69" s="1503"/>
      <c r="Z69" s="1503"/>
      <c r="AA69" s="1503"/>
      <c r="AB69" s="1503"/>
      <c r="AC69" s="145"/>
      <c r="AE69" s="1511" t="s">
        <v>444</v>
      </c>
      <c r="AF69" s="1499"/>
      <c r="AG69" s="1499"/>
      <c r="AH69" s="1499"/>
      <c r="AI69" s="1499"/>
      <c r="AJ69" s="1499"/>
      <c r="AK69" s="1499"/>
      <c r="AL69" s="1499"/>
      <c r="AM69" s="1499"/>
      <c r="AN69" s="1499"/>
      <c r="AO69" s="1511"/>
      <c r="AP69" s="1502"/>
      <c r="AR69" s="2616" t="s">
        <v>1648</v>
      </c>
      <c r="AS69" s="2617"/>
      <c r="AT69" s="2617"/>
      <c r="AU69" s="2617"/>
      <c r="AV69" s="2617"/>
      <c r="AW69" s="2617"/>
      <c r="AX69" s="2617"/>
      <c r="AY69" s="2618"/>
    </row>
    <row r="70" spans="1:55" s="127" customFormat="1" ht="12.75" customHeight="1" outlineLevel="1">
      <c r="A70" s="114"/>
      <c r="B70" s="1463" t="s">
        <v>345</v>
      </c>
      <c r="C70" s="1464"/>
      <c r="D70" s="1474" t="s">
        <v>409</v>
      </c>
      <c r="E70" s="1663"/>
      <c r="F70" s="2875" t="s">
        <v>2393</v>
      </c>
      <c r="G70" s="147" t="s">
        <v>343</v>
      </c>
      <c r="H70" s="1464" t="s">
        <v>1681</v>
      </c>
      <c r="I70" s="1475" t="s">
        <v>444</v>
      </c>
      <c r="U70" s="109"/>
      <c r="V70" s="1463" t="s">
        <v>316</v>
      </c>
      <c r="W70" s="2629" t="s">
        <v>316</v>
      </c>
      <c r="X70" s="2630"/>
      <c r="Y70" s="1505"/>
      <c r="Z70" s="1505"/>
      <c r="AA70" s="1505"/>
      <c r="AB70" s="1505"/>
      <c r="AC70" s="1475" t="s">
        <v>444</v>
      </c>
      <c r="AE70" s="1500" t="s">
        <v>211</v>
      </c>
      <c r="AF70" s="1501"/>
      <c r="AG70" s="1501" t="s">
        <v>442</v>
      </c>
      <c r="AH70" s="1501"/>
      <c r="AI70" s="1501" t="s">
        <v>267</v>
      </c>
      <c r="AJ70" s="1501"/>
      <c r="AK70" s="1501" t="s">
        <v>443</v>
      </c>
      <c r="AL70" s="1501"/>
      <c r="AM70" s="1501"/>
      <c r="AN70" s="1501"/>
      <c r="AO70" s="1523" t="s">
        <v>636</v>
      </c>
      <c r="AP70" s="1502"/>
      <c r="AR70" s="2614" t="s">
        <v>1646</v>
      </c>
      <c r="AS70" s="2645"/>
      <c r="AT70" s="2645"/>
      <c r="AU70" s="2615"/>
      <c r="AV70" s="2614" t="s">
        <v>1684</v>
      </c>
      <c r="AW70" s="2645"/>
      <c r="AX70" s="2645"/>
      <c r="AY70" s="2615"/>
    </row>
    <row r="71" spans="1:55" s="127" customFormat="1" ht="12.75" customHeight="1" outlineLevel="1">
      <c r="A71" s="114"/>
      <c r="B71" s="1463"/>
      <c r="C71" s="1464"/>
      <c r="D71" s="1469" t="s">
        <v>444</v>
      </c>
      <c r="E71" s="1657"/>
      <c r="F71" s="2876"/>
      <c r="G71" s="1472" t="s">
        <v>533</v>
      </c>
      <c r="H71" s="1464"/>
      <c r="I71" s="1475"/>
      <c r="U71" s="109"/>
      <c r="V71" s="1463" t="s">
        <v>1649</v>
      </c>
      <c r="W71" s="2646" t="s">
        <v>1650</v>
      </c>
      <c r="X71" s="2647"/>
      <c r="Y71" s="1516"/>
      <c r="Z71" s="1516"/>
      <c r="AA71" s="1516"/>
      <c r="AB71" s="1516"/>
      <c r="AC71" s="1475"/>
      <c r="AE71" s="1454"/>
      <c r="AF71" s="565"/>
      <c r="AG71" s="565"/>
      <c r="AH71" s="565"/>
      <c r="AI71" s="565"/>
      <c r="AJ71" s="565"/>
      <c r="AK71" s="565"/>
      <c r="AL71" s="565"/>
      <c r="AM71" s="565"/>
      <c r="AN71" s="565"/>
      <c r="AO71" s="564"/>
      <c r="AP71" s="568"/>
      <c r="AR71" s="1521" t="s">
        <v>1643</v>
      </c>
      <c r="AS71" s="1522" t="s">
        <v>1640</v>
      </c>
      <c r="AT71" s="1522" t="s">
        <v>1641</v>
      </c>
      <c r="AU71" s="1522" t="s">
        <v>1642</v>
      </c>
      <c r="AV71" s="1521" t="s">
        <v>1643</v>
      </c>
      <c r="AW71" s="1522" t="s">
        <v>1640</v>
      </c>
      <c r="AX71" s="1522" t="s">
        <v>1641</v>
      </c>
      <c r="AY71" s="1524" t="s">
        <v>1642</v>
      </c>
    </row>
    <row r="72" spans="1:55" s="116" customFormat="1" ht="12.75" customHeight="1" outlineLevel="1">
      <c r="A72" s="114"/>
      <c r="B72" s="143" t="s">
        <v>1922</v>
      </c>
      <c r="C72" s="1464"/>
      <c r="D72" s="315">
        <f>I72</f>
        <v>4894.3125</v>
      </c>
      <c r="E72" s="315"/>
      <c r="F72" s="117" t="s">
        <v>774</v>
      </c>
      <c r="G72" s="117">
        <v>61875</v>
      </c>
      <c r="H72" s="218">
        <f>VLOOKUP($B72&amp;"; "&amp;$H$70,'FE Energie'!$G:$U,9,FALSE)</f>
        <v>7.9100000000000004E-2</v>
      </c>
      <c r="I72" s="152">
        <f>G72*H72</f>
        <v>4894.3125</v>
      </c>
      <c r="U72" s="114"/>
      <c r="V72" s="226">
        <f>IF(AC72=0,AC72,AC72/I72)</f>
        <v>0.1</v>
      </c>
      <c r="W72" s="343"/>
      <c r="X72" s="820"/>
      <c r="Y72" s="164"/>
      <c r="Z72" s="164"/>
      <c r="AA72" s="164"/>
      <c r="AB72" s="164"/>
      <c r="AC72" s="152">
        <f>SQRT(SUMSQ(IF(ISNA($G72*H72*AW72),0,$G72*H72*AW72)))</f>
        <v>489.43125000000003</v>
      </c>
      <c r="AE72" s="1454">
        <f>I72</f>
        <v>4894.3125</v>
      </c>
      <c r="AF72" s="565"/>
      <c r="AG72" s="565"/>
      <c r="AH72" s="565"/>
      <c r="AI72" s="565"/>
      <c r="AJ72" s="565"/>
      <c r="AK72" s="565"/>
      <c r="AL72" s="565"/>
      <c r="AM72" s="565"/>
      <c r="AN72" s="565"/>
      <c r="AO72" s="564"/>
      <c r="AP72" s="568"/>
      <c r="AR72" s="1065"/>
      <c r="AS72" s="1066">
        <f>IF($W72&lt;&gt;"votre valeur :",IF(ISNA(VLOOKUP($W72,Utilitaires!$N$566:$O$571,2,FALSE)),,VLOOKUP($W72,Utilitaires!$N$566:$O$571,2,FALSE)),$X72)</f>
        <v>0</v>
      </c>
      <c r="AT72" s="1066"/>
      <c r="AU72" s="1066"/>
      <c r="AV72" s="1124"/>
      <c r="AW72" s="1068">
        <f>IF(ISNA(SQRT(SUMSQ(VLOOKUP($B72&amp;"; "&amp;$H$70,'FE Energie'!$G:$U,7,FALSE),$AS72))),0,SQRT(SUMSQ(VLOOKUP($B72&amp;"; "&amp;$H$70,'FE Energie'!$G:$U,7,FALSE),$AS72)))</f>
        <v>0.1</v>
      </c>
      <c r="AX72" s="1068"/>
      <c r="AY72" s="1125"/>
    </row>
    <row r="73" spans="1:55" s="116" customFormat="1" ht="12.75" customHeight="1" outlineLevel="1">
      <c r="A73" s="114"/>
      <c r="B73" s="143" t="s">
        <v>1907</v>
      </c>
      <c r="C73" s="1464"/>
      <c r="D73" s="315">
        <f>I73</f>
        <v>0</v>
      </c>
      <c r="E73" s="315"/>
      <c r="F73" s="120"/>
      <c r="G73" s="120"/>
      <c r="H73" s="218">
        <f>VLOOKUP($B73&amp;"; "&amp;$H$70,'FE Energie'!$G:$U,9,FALSE)</f>
        <v>0.52200000000000002</v>
      </c>
      <c r="I73" s="152">
        <f>G73*H73</f>
        <v>0</v>
      </c>
      <c r="U73" s="114"/>
      <c r="V73" s="226">
        <f>IF(AC73=0,AC73,AC73/I73)</f>
        <v>0</v>
      </c>
      <c r="W73" s="344"/>
      <c r="X73" s="820"/>
      <c r="Y73" s="164"/>
      <c r="Z73" s="164"/>
      <c r="AA73" s="164"/>
      <c r="AB73" s="164"/>
      <c r="AC73" s="152">
        <f>SQRT(SUMSQ(IF(ISNA($G73*H73*AW73),0,$G73*H73*AW73)))</f>
        <v>0</v>
      </c>
      <c r="AE73" s="564">
        <f>I73</f>
        <v>0</v>
      </c>
      <c r="AF73" s="565"/>
      <c r="AG73" s="565"/>
      <c r="AH73" s="565"/>
      <c r="AI73" s="565"/>
      <c r="AJ73" s="565"/>
      <c r="AK73" s="565"/>
      <c r="AL73" s="565"/>
      <c r="AM73" s="565"/>
      <c r="AN73" s="565"/>
      <c r="AO73" s="564"/>
      <c r="AP73" s="568"/>
      <c r="AR73" s="1065"/>
      <c r="AS73" s="1066">
        <f>IF($W73&lt;&gt;"votre valeur :",IF(ISNA(VLOOKUP($W73,Utilitaires!$N$566:$O$571,2,FALSE)),,VLOOKUP($W73,Utilitaires!$N$566:$O$571,2,FALSE)),$X73)</f>
        <v>0</v>
      </c>
      <c r="AT73" s="1066"/>
      <c r="AU73" s="1066"/>
      <c r="AV73" s="1124"/>
      <c r="AW73" s="1068">
        <f>IF(ISNA(SQRT(SUMSQ(VLOOKUP($B73&amp;"; "&amp;$H$70,'FE Energie'!$G:$U,7,FALSE),$AS73))),0,SQRT(SUMSQ(VLOOKUP($B73&amp;"; "&amp;$H$70,'FE Energie'!$G:$U,7,FALSE),$AS73)))</f>
        <v>0.1</v>
      </c>
      <c r="AX73" s="1068"/>
      <c r="AY73" s="1125"/>
    </row>
    <row r="74" spans="1:55" s="116" customFormat="1" ht="12.75" customHeight="1" outlineLevel="1">
      <c r="A74" s="114"/>
      <c r="B74" s="143" t="s">
        <v>1909</v>
      </c>
      <c r="C74" s="1464"/>
      <c r="D74" s="315">
        <f>I74</f>
        <v>0</v>
      </c>
      <c r="E74" s="315"/>
      <c r="F74" s="120"/>
      <c r="G74" s="120"/>
      <c r="H74" s="218">
        <f>VLOOKUP($B74&amp;"; "&amp;$H$70,'FE Energie'!$G:$U,9,FALSE)</f>
        <v>0.42</v>
      </c>
      <c r="I74" s="152">
        <f>G74*H74</f>
        <v>0</v>
      </c>
      <c r="U74" s="114"/>
      <c r="V74" s="226">
        <f>IF(AC74=0,AC74,AC74/I74)</f>
        <v>0</v>
      </c>
      <c r="W74" s="344"/>
      <c r="X74" s="820"/>
      <c r="Y74" s="164"/>
      <c r="Z74" s="164"/>
      <c r="AA74" s="164"/>
      <c r="AB74" s="164"/>
      <c r="AC74" s="152">
        <f>SQRT(SUMSQ(IF(ISNA($G74*H74*AW74),0,$G74*H74*AW74)))</f>
        <v>0</v>
      </c>
      <c r="AE74" s="564">
        <f>I74</f>
        <v>0</v>
      </c>
      <c r="AF74" s="565"/>
      <c r="AG74" s="565"/>
      <c r="AH74" s="565"/>
      <c r="AI74" s="565"/>
      <c r="AJ74" s="565"/>
      <c r="AK74" s="565"/>
      <c r="AL74" s="565"/>
      <c r="AM74" s="565"/>
      <c r="AN74" s="565"/>
      <c r="AO74" s="564"/>
      <c r="AP74" s="568"/>
      <c r="AR74" s="1065"/>
      <c r="AS74" s="1066">
        <f>IF($W74&lt;&gt;"votre valeur :",IF(ISNA(VLOOKUP($W74,Utilitaires!$N$566:$O$571,2,FALSE)),,VLOOKUP($W74,Utilitaires!$N$566:$O$571,2,FALSE)),$X74)</f>
        <v>0</v>
      </c>
      <c r="AT74" s="1066"/>
      <c r="AU74" s="1066"/>
      <c r="AV74" s="1124"/>
      <c r="AW74" s="1068">
        <f>IF(ISNA(SQRT(SUMSQ(VLOOKUP($B74&amp;"; "&amp;$H$70,'FE Energie'!$G:$U,7,FALSE),$AS74))),0,SQRT(SUMSQ(VLOOKUP($B74&amp;"; "&amp;$H$70,'FE Energie'!$G:$U,7,FALSE),$AS74)))</f>
        <v>0.1</v>
      </c>
      <c r="AX74" s="1068"/>
      <c r="AY74" s="1125"/>
    </row>
    <row r="75" spans="1:55" s="116" customFormat="1" ht="12.75" customHeight="1" outlineLevel="1">
      <c r="A75" s="114"/>
      <c r="B75" s="143" t="s">
        <v>1908</v>
      </c>
      <c r="C75" s="1464"/>
      <c r="D75" s="315">
        <f>I75</f>
        <v>0</v>
      </c>
      <c r="E75" s="315"/>
      <c r="F75" s="123"/>
      <c r="G75" s="123"/>
      <c r="H75" s="218">
        <f>VLOOKUP($B75&amp;"; "&amp;$H$70,'FE Energie'!$G:$U,9,FALSE)</f>
        <v>0.65500000000000003</v>
      </c>
      <c r="I75" s="152">
        <f>G75*H75</f>
        <v>0</v>
      </c>
      <c r="U75" s="114"/>
      <c r="V75" s="226">
        <f>IF(AC75=0,AC75,AC75/I75)</f>
        <v>0</v>
      </c>
      <c r="W75" s="345"/>
      <c r="X75" s="820"/>
      <c r="Y75" s="164"/>
      <c r="Z75" s="164"/>
      <c r="AA75" s="164"/>
      <c r="AB75" s="164"/>
      <c r="AC75" s="152">
        <f>SQRT(SUMSQ(IF(ISNA($G75*H75*AW75),0,$G75*H75*AW75)))</f>
        <v>0</v>
      </c>
      <c r="AE75" s="564">
        <f>I75</f>
        <v>0</v>
      </c>
      <c r="AF75" s="565"/>
      <c r="AG75" s="565"/>
      <c r="AH75" s="565"/>
      <c r="AI75" s="565"/>
      <c r="AJ75" s="565"/>
      <c r="AK75" s="565"/>
      <c r="AL75" s="565"/>
      <c r="AM75" s="565"/>
      <c r="AN75" s="565"/>
      <c r="AO75" s="564"/>
      <c r="AP75" s="568"/>
      <c r="AR75" s="1065"/>
      <c r="AS75" s="1066">
        <f>IF($W75&lt;&gt;"votre valeur :",IF(ISNA(VLOOKUP($W75,Utilitaires!$N$566:$O$571,2,FALSE)),,VLOOKUP($W75,Utilitaires!$N$566:$O$571,2,FALSE)),$X75)</f>
        <v>0</v>
      </c>
      <c r="AT75" s="1066"/>
      <c r="AU75" s="1066"/>
      <c r="AV75" s="1124"/>
      <c r="AW75" s="1068">
        <f>IF(ISNA(SQRT(SUMSQ(VLOOKUP($B75&amp;"; "&amp;$H$70,'FE Energie'!$G:$U,7,FALSE),$AS75))),0,SQRT(SUMSQ(VLOOKUP($B75&amp;"; "&amp;$H$70,'FE Energie'!$G:$U,7,FALSE),$AS75)))</f>
        <v>0.1</v>
      </c>
      <c r="AX75" s="1068"/>
      <c r="AY75" s="1125"/>
    </row>
    <row r="76" spans="1:55" s="116" customFormat="1" ht="12.75" customHeight="1" outlineLevel="1">
      <c r="A76" s="114"/>
      <c r="B76" s="143"/>
      <c r="C76" s="144"/>
      <c r="D76" s="315"/>
      <c r="E76" s="315"/>
      <c r="F76" s="155"/>
      <c r="G76" s="144"/>
      <c r="H76" s="144"/>
      <c r="I76" s="168"/>
      <c r="U76" s="114"/>
      <c r="V76" s="143"/>
      <c r="W76" s="823"/>
      <c r="X76" s="823"/>
      <c r="Y76" s="823"/>
      <c r="Z76" s="823"/>
      <c r="AA76" s="823"/>
      <c r="AB76" s="823"/>
      <c r="AC76" s="165"/>
      <c r="AE76" s="564"/>
      <c r="AF76" s="565"/>
      <c r="AG76" s="565"/>
      <c r="AH76" s="565"/>
      <c r="AI76" s="565"/>
      <c r="AJ76" s="565"/>
      <c r="AK76" s="565"/>
      <c r="AL76" s="565"/>
      <c r="AM76" s="565"/>
      <c r="AN76" s="565"/>
      <c r="AO76" s="1411"/>
      <c r="AP76" s="1314"/>
      <c r="AR76" s="1087"/>
      <c r="AS76" s="1088"/>
      <c r="AT76" s="1088"/>
      <c r="AU76" s="1088"/>
      <c r="AV76" s="1126"/>
      <c r="AW76" s="1073"/>
      <c r="AX76" s="1073"/>
      <c r="AY76" s="1074"/>
    </row>
    <row r="77" spans="1:55" s="116" customFormat="1" ht="12.75" customHeight="1" outlineLevel="1">
      <c r="A77" s="114"/>
      <c r="B77" s="196" t="s">
        <v>348</v>
      </c>
      <c r="C77" s="197"/>
      <c r="D77" s="202">
        <f>SUM(D72:D76)</f>
        <v>4894.3125</v>
      </c>
      <c r="E77" s="202"/>
      <c r="F77" s="198"/>
      <c r="G77" s="199"/>
      <c r="H77" s="199"/>
      <c r="I77" s="200">
        <f>SUM(I72:I76)</f>
        <v>4894.3125</v>
      </c>
      <c r="U77" s="114"/>
      <c r="V77" s="1204">
        <f>IF(AC77=0,AC77,AC77/I77)</f>
        <v>0.1</v>
      </c>
      <c r="W77" s="821"/>
      <c r="X77" s="821"/>
      <c r="Y77" s="821"/>
      <c r="Z77" s="821"/>
      <c r="AA77" s="821"/>
      <c r="AB77" s="821"/>
      <c r="AC77" s="200">
        <f>SQRT(SUMSQ(AC72:AC76))</f>
        <v>489.43125000000003</v>
      </c>
      <c r="AE77" s="1290">
        <f>SUM(AE72:AE76)</f>
        <v>4894.3125</v>
      </c>
      <c r="AF77" s="573"/>
      <c r="AG77" s="573">
        <f>SUM(AG72:AG76)</f>
        <v>0</v>
      </c>
      <c r="AH77" s="573"/>
      <c r="AI77" s="573">
        <f>SUM(AI72:AI76)</f>
        <v>0</v>
      </c>
      <c r="AJ77" s="573"/>
      <c r="AK77" s="573">
        <f>SUM(AK72:AK76)</f>
        <v>0</v>
      </c>
      <c r="AL77" s="573"/>
      <c r="AM77" s="573"/>
      <c r="AN77" s="573"/>
      <c r="AO77" s="572">
        <f>SUM(AO72:AO76)</f>
        <v>0</v>
      </c>
      <c r="AP77" s="575"/>
      <c r="AQ77" s="114"/>
    </row>
    <row r="78" spans="1:55" s="116" customFormat="1" ht="12.75" customHeight="1" outlineLevel="1">
      <c r="A78" s="114"/>
      <c r="F78" s="114"/>
      <c r="J78" s="114"/>
      <c r="K78" s="114"/>
      <c r="M78" s="114"/>
      <c r="N78" s="114"/>
      <c r="O78" s="114"/>
      <c r="P78" s="114"/>
      <c r="Q78" s="114"/>
      <c r="R78" s="114"/>
      <c r="S78" s="114"/>
      <c r="T78" s="114"/>
      <c r="U78" s="114"/>
      <c r="W78" s="488"/>
      <c r="X78" s="488"/>
      <c r="Z78" s="114"/>
      <c r="AA78" s="114"/>
      <c r="AB78" s="114"/>
      <c r="AC78" s="114"/>
      <c r="AD78" s="114"/>
      <c r="AE78" s="441"/>
      <c r="AF78" s="441"/>
      <c r="AG78" s="441"/>
      <c r="AH78" s="441"/>
      <c r="AI78" s="441"/>
      <c r="AJ78" s="441"/>
      <c r="AK78" s="441"/>
      <c r="AL78" s="114"/>
      <c r="AM78" s="114"/>
      <c r="AN78" s="114"/>
      <c r="AO78" s="114"/>
      <c r="AP78" s="441"/>
      <c r="AQ78" s="114"/>
      <c r="AR78" s="114"/>
      <c r="AS78" s="114"/>
      <c r="AT78" s="114"/>
      <c r="AU78" s="114"/>
      <c r="AV78" s="114"/>
      <c r="AW78" s="114"/>
      <c r="AX78" s="114"/>
      <c r="AY78" s="114"/>
      <c r="AZ78" s="114"/>
      <c r="BC78" s="114"/>
    </row>
    <row r="79" spans="1:55" s="114" customFormat="1" ht="12.75" customHeight="1" outlineLevel="1">
      <c r="B79" s="139" t="s">
        <v>326</v>
      </c>
      <c r="C79" s="140"/>
      <c r="D79" s="336"/>
      <c r="E79" s="1648"/>
      <c r="F79" s="141"/>
      <c r="G79" s="141"/>
      <c r="H79" s="141"/>
      <c r="I79" s="179"/>
      <c r="U79" s="109"/>
      <c r="V79" s="2636" t="s">
        <v>366</v>
      </c>
      <c r="W79" s="2637"/>
      <c r="X79" s="2637"/>
      <c r="Y79" s="2637"/>
      <c r="Z79" s="2637"/>
      <c r="AA79" s="2637"/>
      <c r="AB79" s="2637"/>
      <c r="AC79" s="2638"/>
      <c r="AE79" s="2639" t="s">
        <v>441</v>
      </c>
      <c r="AF79" s="2640"/>
      <c r="AG79" s="2640"/>
      <c r="AH79" s="2640"/>
      <c r="AI79" s="2640"/>
      <c r="AJ79" s="2640"/>
      <c r="AK79" s="2640"/>
      <c r="AL79" s="2640"/>
      <c r="AM79" s="2640"/>
      <c r="AN79" s="2640"/>
      <c r="AO79" s="2640"/>
      <c r="AP79" s="2641"/>
    </row>
    <row r="80" spans="1:55" s="114" customFormat="1" ht="13.2" outlineLevel="1">
      <c r="B80" s="143"/>
      <c r="C80" s="144"/>
      <c r="D80" s="338" t="s">
        <v>308</v>
      </c>
      <c r="E80" s="1663"/>
      <c r="F80" s="144"/>
      <c r="G80" s="144"/>
      <c r="H80" s="144"/>
      <c r="I80" s="168"/>
      <c r="U80" s="109"/>
      <c r="V80" s="352"/>
      <c r="W80" s="337"/>
      <c r="X80" s="1503"/>
      <c r="Y80" s="1503"/>
      <c r="Z80" s="1503"/>
      <c r="AA80" s="1503"/>
      <c r="AB80" s="1503"/>
      <c r="AC80" s="145"/>
      <c r="AE80" s="1511" t="s">
        <v>444</v>
      </c>
      <c r="AF80" s="1499"/>
      <c r="AG80" s="1499"/>
      <c r="AH80" s="1499"/>
      <c r="AI80" s="1499"/>
      <c r="AJ80" s="1499"/>
      <c r="AK80" s="1499"/>
      <c r="AL80" s="1499"/>
      <c r="AM80" s="1499" t="s">
        <v>444</v>
      </c>
      <c r="AN80" s="1499"/>
      <c r="AO80" s="1511"/>
      <c r="AP80" s="1502"/>
    </row>
    <row r="81" spans="1:45" s="114" customFormat="1" ht="13.2" outlineLevel="1">
      <c r="B81" s="352"/>
      <c r="C81" s="337"/>
      <c r="D81" s="337" t="s">
        <v>409</v>
      </c>
      <c r="E81" s="1656"/>
      <c r="F81" s="147" t="s">
        <v>308</v>
      </c>
      <c r="G81" s="147" t="s">
        <v>308</v>
      </c>
      <c r="H81" s="337" t="s">
        <v>8</v>
      </c>
      <c r="I81" s="369" t="s">
        <v>444</v>
      </c>
      <c r="V81" s="352"/>
      <c r="W81" s="337"/>
      <c r="X81" s="1505"/>
      <c r="Y81" s="1505"/>
      <c r="Z81" s="1505"/>
      <c r="AA81" s="1505"/>
      <c r="AB81" s="1505"/>
      <c r="AC81" s="369" t="s">
        <v>444</v>
      </c>
      <c r="AE81" s="1500" t="s">
        <v>211</v>
      </c>
      <c r="AF81" s="1501"/>
      <c r="AG81" s="1501" t="s">
        <v>442</v>
      </c>
      <c r="AH81" s="1501"/>
      <c r="AI81" s="1501" t="s">
        <v>267</v>
      </c>
      <c r="AJ81" s="1501"/>
      <c r="AK81" s="1501" t="s">
        <v>443</v>
      </c>
      <c r="AL81" s="1501"/>
      <c r="AM81" s="1514" t="s">
        <v>327</v>
      </c>
      <c r="AN81" s="1514"/>
      <c r="AO81" s="1523" t="s">
        <v>636</v>
      </c>
      <c r="AP81" s="1502"/>
    </row>
    <row r="82" spans="1:45" s="109" customFormat="1" ht="13.2" outlineLevel="1">
      <c r="A82" s="114"/>
      <c r="B82" s="352"/>
      <c r="C82" s="337"/>
      <c r="D82" s="337" t="s">
        <v>444</v>
      </c>
      <c r="E82" s="1656"/>
      <c r="F82" s="149" t="s">
        <v>309</v>
      </c>
      <c r="G82" s="149" t="s">
        <v>444</v>
      </c>
      <c r="H82" s="337" t="s">
        <v>183</v>
      </c>
      <c r="I82" s="369"/>
      <c r="U82" s="114"/>
      <c r="V82" s="352"/>
      <c r="W82" s="337"/>
      <c r="X82" s="1516"/>
      <c r="Y82" s="1516"/>
      <c r="Z82" s="1516"/>
      <c r="AA82" s="1516"/>
      <c r="AB82" s="1516"/>
      <c r="AC82" s="369"/>
      <c r="AE82" s="1454"/>
      <c r="AF82" s="565"/>
      <c r="AG82" s="565"/>
      <c r="AH82" s="565"/>
      <c r="AI82" s="565"/>
      <c r="AJ82" s="565"/>
      <c r="AK82" s="565"/>
      <c r="AL82" s="565"/>
      <c r="AM82" s="566"/>
      <c r="AN82" s="566"/>
      <c r="AO82" s="564"/>
      <c r="AP82" s="568"/>
    </row>
    <row r="83" spans="1:45" s="109" customFormat="1" ht="13.2" outlineLevel="1">
      <c r="A83" s="114"/>
      <c r="B83" s="143" t="s">
        <v>1551</v>
      </c>
      <c r="C83" s="177"/>
      <c r="D83" s="212">
        <f>I83</f>
        <v>437.14524956217161</v>
      </c>
      <c r="E83" s="212"/>
      <c r="F83" s="182">
        <f>SUM(G72:G75)</f>
        <v>61875</v>
      </c>
      <c r="G83" s="182">
        <f>I77</f>
        <v>4894.3125</v>
      </c>
      <c r="H83" s="1022">
        <f>'FE Energie'!$L$2231</f>
        <v>8.9316987740805598E-2</v>
      </c>
      <c r="I83" s="152">
        <f>G83*H83</f>
        <v>437.14524956217161</v>
      </c>
      <c r="U83" s="114"/>
      <c r="V83" s="226"/>
      <c r="W83" s="1902">
        <f>0.1/SQRT(SUMSQ(0.1,0.1,0.1))</f>
        <v>0.57735026918962573</v>
      </c>
      <c r="X83" s="164"/>
      <c r="Y83" s="164"/>
      <c r="Z83" s="164"/>
      <c r="AA83" s="164"/>
      <c r="AB83" s="164"/>
      <c r="AC83" s="152">
        <f>IF(ISNUMBER(W83),I83*W83,0)</f>
        <v>252.3859275096859</v>
      </c>
      <c r="AE83" s="1454">
        <f>I83</f>
        <v>437.14524956217161</v>
      </c>
      <c r="AF83" s="565"/>
      <c r="AG83" s="565"/>
      <c r="AH83" s="565"/>
      <c r="AI83" s="565"/>
      <c r="AJ83" s="565"/>
      <c r="AK83" s="565"/>
      <c r="AL83" s="565"/>
      <c r="AM83" s="566">
        <f>I83</f>
        <v>437.14524956217161</v>
      </c>
      <c r="AN83" s="566"/>
      <c r="AO83" s="564"/>
      <c r="AP83" s="568"/>
    </row>
    <row r="84" spans="1:45" s="114" customFormat="1" ht="12" customHeight="1" outlineLevel="1">
      <c r="B84" s="143"/>
      <c r="C84" s="144"/>
      <c r="D84" s="213"/>
      <c r="E84" s="213"/>
      <c r="F84" s="144"/>
      <c r="G84" s="144"/>
      <c r="H84" s="144"/>
      <c r="I84" s="152"/>
      <c r="V84" s="143"/>
      <c r="W84" s="177"/>
      <c r="X84" s="823"/>
      <c r="Y84" s="823"/>
      <c r="Z84" s="823"/>
      <c r="AA84" s="823"/>
      <c r="AB84" s="823"/>
      <c r="AC84" s="165"/>
      <c r="AE84" s="564"/>
      <c r="AF84" s="565"/>
      <c r="AG84" s="565"/>
      <c r="AH84" s="565"/>
      <c r="AI84" s="565"/>
      <c r="AJ84" s="565"/>
      <c r="AK84" s="565"/>
      <c r="AL84" s="565"/>
      <c r="AM84" s="566"/>
      <c r="AN84" s="566"/>
      <c r="AO84" s="1411"/>
      <c r="AP84" s="1314"/>
    </row>
    <row r="85" spans="1:45" s="114" customFormat="1" ht="13.2" outlineLevel="1">
      <c r="B85" s="196" t="s">
        <v>348</v>
      </c>
      <c r="C85" s="197"/>
      <c r="D85" s="214">
        <f>SUM(D83:D84)</f>
        <v>437.14524956217161</v>
      </c>
      <c r="E85" s="214"/>
      <c r="F85" s="199"/>
      <c r="G85" s="199"/>
      <c r="H85" s="199"/>
      <c r="I85" s="200">
        <f>SUM(I83:I84)</f>
        <v>437.14524956217161</v>
      </c>
      <c r="V85" s="201"/>
      <c r="W85" s="199"/>
      <c r="X85" s="821"/>
      <c r="Y85" s="821"/>
      <c r="Z85" s="821"/>
      <c r="AA85" s="821"/>
      <c r="AB85" s="821"/>
      <c r="AC85" s="200">
        <f>SQRT(SUMSQ(AC83:AC84))</f>
        <v>252.3859275096859</v>
      </c>
      <c r="AE85" s="1290">
        <f>SUM(AE83:AE84)</f>
        <v>437.14524956217161</v>
      </c>
      <c r="AF85" s="573"/>
      <c r="AG85" s="573">
        <f>SUM(AG83:AG84)</f>
        <v>0</v>
      </c>
      <c r="AH85" s="573"/>
      <c r="AI85" s="573">
        <f>SUM(AI83:AI84)</f>
        <v>0</v>
      </c>
      <c r="AJ85" s="573"/>
      <c r="AK85" s="573">
        <f>SUM(AK83:AK84)</f>
        <v>0</v>
      </c>
      <c r="AL85" s="573"/>
      <c r="AM85" s="573">
        <f>SUM(AM83:AM84)</f>
        <v>437.14524956217161</v>
      </c>
      <c r="AN85" s="573"/>
      <c r="AO85" s="572">
        <f>SUM(AO83:AO84)</f>
        <v>0</v>
      </c>
      <c r="AP85" s="575"/>
    </row>
    <row r="86" spans="1:45" s="114" customFormat="1" ht="13.2" outlineLevel="1">
      <c r="AD86" s="576"/>
      <c r="AE86" s="576"/>
      <c r="AF86" s="576"/>
      <c r="AG86" s="576"/>
      <c r="AH86" s="441"/>
      <c r="AI86" s="576"/>
      <c r="AJ86" s="441"/>
      <c r="AK86" s="441"/>
      <c r="AL86" s="441"/>
      <c r="AM86" s="441"/>
      <c r="AN86" s="441"/>
      <c r="AO86" s="441"/>
    </row>
    <row r="87" spans="1:45" s="114" customFormat="1" ht="13.2">
      <c r="AD87" s="576"/>
      <c r="AE87" s="576"/>
      <c r="AF87" s="576"/>
      <c r="AG87" s="576"/>
      <c r="AH87" s="441"/>
      <c r="AI87" s="576"/>
      <c r="AJ87" s="441"/>
      <c r="AK87" s="441"/>
      <c r="AL87" s="441"/>
      <c r="AM87" s="441"/>
      <c r="AN87" s="441"/>
      <c r="AO87" s="441"/>
    </row>
    <row r="88" spans="1:45" ht="15" customHeight="1" collapsed="1">
      <c r="A88" s="114"/>
      <c r="B88" s="2652" t="s">
        <v>264</v>
      </c>
      <c r="C88" s="2653"/>
      <c r="D88" s="2653"/>
      <c r="E88" s="2653"/>
      <c r="F88" s="2653"/>
      <c r="G88" s="2653"/>
      <c r="H88" s="2653"/>
      <c r="I88" s="2653"/>
      <c r="J88" s="2653"/>
      <c r="K88" s="2653"/>
      <c r="L88" s="2653"/>
      <c r="M88" s="2653"/>
      <c r="N88" s="2653"/>
      <c r="O88" s="2654"/>
      <c r="AH88" s="441"/>
    </row>
    <row r="89" spans="1:45" s="114" customFormat="1" ht="12.75" hidden="1" customHeight="1" outlineLevel="1">
      <c r="B89" s="260"/>
      <c r="C89" s="260"/>
      <c r="D89" s="260"/>
      <c r="E89" s="260"/>
      <c r="F89" s="260"/>
      <c r="H89" s="254"/>
      <c r="AD89" s="576"/>
      <c r="AE89" s="576"/>
      <c r="AF89" s="576"/>
      <c r="AG89" s="576"/>
      <c r="AH89" s="441"/>
      <c r="AI89" s="576"/>
      <c r="AJ89" s="441"/>
      <c r="AK89" s="441"/>
      <c r="AL89" s="441"/>
      <c r="AM89" s="441"/>
      <c r="AN89" s="441"/>
      <c r="AO89" s="441"/>
    </row>
    <row r="90" spans="1:45" s="114" customFormat="1" ht="12.75" hidden="1" customHeight="1" outlineLevel="1">
      <c r="B90" s="139" t="s">
        <v>585</v>
      </c>
      <c r="C90" s="140"/>
      <c r="D90" s="1471"/>
      <c r="E90" s="1648"/>
      <c r="F90" s="1471"/>
      <c r="G90" s="1468"/>
      <c r="H90" s="1468"/>
      <c r="I90" s="1470"/>
      <c r="J90" s="256"/>
      <c r="K90" s="256"/>
      <c r="L90" s="256"/>
      <c r="M90" s="256"/>
      <c r="N90" s="256"/>
      <c r="O90" s="256"/>
      <c r="P90" s="256"/>
      <c r="Q90" s="256"/>
      <c r="R90" s="256"/>
      <c r="S90" s="256"/>
      <c r="T90" s="256"/>
      <c r="V90" s="1465" t="s">
        <v>366</v>
      </c>
      <c r="W90" s="1466"/>
      <c r="X90" s="1466"/>
      <c r="Y90" s="1466"/>
      <c r="Z90" s="1466"/>
      <c r="AA90" s="1466"/>
      <c r="AB90" s="1466"/>
      <c r="AC90" s="1467"/>
      <c r="AE90" s="2639" t="s">
        <v>441</v>
      </c>
      <c r="AF90" s="2640"/>
      <c r="AG90" s="2640"/>
      <c r="AH90" s="2640"/>
      <c r="AI90" s="2640"/>
      <c r="AJ90" s="2640"/>
      <c r="AK90" s="2640"/>
      <c r="AL90" s="2640"/>
      <c r="AM90" s="2640"/>
      <c r="AN90" s="2640"/>
      <c r="AO90" s="2640"/>
      <c r="AP90" s="2641"/>
    </row>
    <row r="91" spans="1:45" s="114" customFormat="1" ht="13.2" hidden="1" outlineLevel="1">
      <c r="B91" s="332" t="s">
        <v>586</v>
      </c>
      <c r="C91" s="167"/>
      <c r="D91" s="1474" t="s">
        <v>308</v>
      </c>
      <c r="E91" s="1663"/>
      <c r="F91" s="328"/>
      <c r="G91" s="1464"/>
      <c r="H91" s="1464"/>
      <c r="I91" s="1477"/>
      <c r="J91" s="256"/>
      <c r="K91" s="256"/>
      <c r="L91" s="256"/>
      <c r="M91" s="256"/>
      <c r="N91" s="256"/>
      <c r="O91" s="256"/>
      <c r="P91" s="256"/>
      <c r="Q91" s="256"/>
      <c r="R91" s="256"/>
      <c r="S91" s="256"/>
      <c r="T91" s="256"/>
      <c r="V91" s="1170"/>
      <c r="W91" s="1478"/>
      <c r="X91" s="1478"/>
      <c r="Y91" s="1468"/>
      <c r="Z91" s="1468"/>
      <c r="AA91" s="1468"/>
      <c r="AB91" s="1468"/>
      <c r="AC91" s="142"/>
      <c r="AE91" s="1511" t="s">
        <v>444</v>
      </c>
      <c r="AF91" s="1499"/>
      <c r="AG91" s="1499"/>
      <c r="AH91" s="1499"/>
      <c r="AI91" s="1499"/>
      <c r="AJ91" s="1499"/>
      <c r="AK91" s="1499"/>
      <c r="AL91" s="1499"/>
      <c r="AM91" s="1499" t="s">
        <v>444</v>
      </c>
      <c r="AN91" s="1499"/>
      <c r="AO91" s="1511"/>
      <c r="AP91" s="1512"/>
    </row>
    <row r="92" spans="1:45" s="114" customFormat="1" ht="12.75" hidden="1" customHeight="1" outlineLevel="1">
      <c r="B92" s="143"/>
      <c r="C92" s="167"/>
      <c r="D92" s="1464" t="s">
        <v>409</v>
      </c>
      <c r="E92" s="1656"/>
      <c r="F92" s="2875" t="s">
        <v>2393</v>
      </c>
      <c r="G92" s="147" t="s">
        <v>1849</v>
      </c>
      <c r="H92" s="1464" t="s">
        <v>444</v>
      </c>
      <c r="I92" s="1475" t="s">
        <v>444</v>
      </c>
      <c r="J92" s="256"/>
      <c r="K92" s="256"/>
      <c r="L92" s="256"/>
      <c r="M92" s="256"/>
      <c r="N92" s="256"/>
      <c r="O92" s="256"/>
      <c r="P92" s="256"/>
      <c r="Q92" s="256"/>
      <c r="R92" s="256"/>
      <c r="S92" s="256"/>
      <c r="T92" s="256"/>
      <c r="V92" s="1463" t="s">
        <v>316</v>
      </c>
      <c r="W92" s="1459" t="s">
        <v>316</v>
      </c>
      <c r="X92" s="1460"/>
      <c r="Y92" s="1464"/>
      <c r="Z92" s="1464"/>
      <c r="AA92" s="1464"/>
      <c r="AB92" s="1464"/>
      <c r="AC92" s="1475" t="s">
        <v>444</v>
      </c>
      <c r="AE92" s="1500" t="s">
        <v>211</v>
      </c>
      <c r="AF92" s="1501"/>
      <c r="AG92" s="1501" t="s">
        <v>442</v>
      </c>
      <c r="AH92" s="1501"/>
      <c r="AI92" s="1501" t="s">
        <v>267</v>
      </c>
      <c r="AJ92" s="1501"/>
      <c r="AK92" s="1501" t="s">
        <v>443</v>
      </c>
      <c r="AL92" s="1501"/>
      <c r="AM92" s="1514" t="s">
        <v>327</v>
      </c>
      <c r="AN92" s="1514"/>
      <c r="AO92" s="1523"/>
      <c r="AP92" s="1502" t="s">
        <v>636</v>
      </c>
      <c r="AR92" s="1476" t="s">
        <v>530</v>
      </c>
      <c r="AS92" s="1480" t="s">
        <v>658</v>
      </c>
    </row>
    <row r="93" spans="1:45" s="114" customFormat="1" ht="12.75" hidden="1" customHeight="1" outlineLevel="1">
      <c r="B93" s="1463"/>
      <c r="C93" s="1464"/>
      <c r="D93" s="1464" t="s">
        <v>444</v>
      </c>
      <c r="E93" s="1656"/>
      <c r="F93" s="2876"/>
      <c r="G93" s="1472" t="s">
        <v>94</v>
      </c>
      <c r="H93" s="1464" t="s">
        <v>357</v>
      </c>
      <c r="I93" s="1475"/>
      <c r="J93" s="256"/>
      <c r="K93" s="256"/>
      <c r="L93" s="256"/>
      <c r="M93" s="256"/>
      <c r="N93" s="256"/>
      <c r="O93" s="256"/>
      <c r="P93" s="256"/>
      <c r="Q93" s="256"/>
      <c r="R93" s="256"/>
      <c r="S93" s="256"/>
      <c r="T93" s="256"/>
      <c r="V93" s="1463" t="s">
        <v>1649</v>
      </c>
      <c r="W93" s="1461" t="s">
        <v>1650</v>
      </c>
      <c r="X93" s="1462"/>
      <c r="Y93" s="1473"/>
      <c r="Z93" s="1473"/>
      <c r="AA93" s="1473"/>
      <c r="AB93" s="1473"/>
      <c r="AC93" s="1475"/>
      <c r="AE93" s="227"/>
      <c r="AF93" s="1516"/>
      <c r="AG93" s="1516"/>
      <c r="AH93" s="1516"/>
      <c r="AI93" s="1516"/>
      <c r="AJ93" s="1516"/>
      <c r="AK93" s="1516"/>
      <c r="AL93" s="1516"/>
      <c r="AM93" s="1516"/>
      <c r="AN93" s="1516"/>
      <c r="AO93" s="227"/>
      <c r="AP93" s="1171"/>
      <c r="AR93" s="1065"/>
      <c r="AS93" s="1130"/>
    </row>
    <row r="94" spans="1:45" s="114" customFormat="1" ht="13.2" hidden="1" outlineLevel="1">
      <c r="B94" s="143" t="s">
        <v>2370</v>
      </c>
      <c r="C94" s="144"/>
      <c r="D94" s="212">
        <f>I94</f>
        <v>0</v>
      </c>
      <c r="E94" s="212"/>
      <c r="F94" s="117"/>
      <c r="G94" s="117"/>
      <c r="H94" s="219">
        <f>'FE Hors Energie'!$O$89</f>
        <v>1</v>
      </c>
      <c r="I94" s="152">
        <f>G94*H94*1000</f>
        <v>0</v>
      </c>
      <c r="J94" s="256"/>
      <c r="K94" s="256"/>
      <c r="L94" s="256"/>
      <c r="M94" s="256"/>
      <c r="N94" s="256"/>
      <c r="O94" s="256"/>
      <c r="P94" s="256"/>
      <c r="Q94" s="256"/>
      <c r="R94" s="256"/>
      <c r="S94" s="256"/>
      <c r="T94" s="256"/>
      <c r="V94" s="226">
        <f>IF(AC94=0,AC94,AC94/I94)</f>
        <v>0</v>
      </c>
      <c r="W94" s="343"/>
      <c r="X94" s="820"/>
      <c r="Y94" s="164"/>
      <c r="Z94" s="164"/>
      <c r="AA94" s="164"/>
      <c r="AB94" s="164"/>
      <c r="AC94" s="152">
        <f>I94*AS94</f>
        <v>0</v>
      </c>
      <c r="AE94" s="1454">
        <f>I94</f>
        <v>0</v>
      </c>
      <c r="AF94" s="565"/>
      <c r="AG94" s="565"/>
      <c r="AH94" s="565"/>
      <c r="AI94" s="565"/>
      <c r="AJ94" s="565"/>
      <c r="AK94" s="565"/>
      <c r="AL94" s="565"/>
      <c r="AM94" s="566">
        <f>SUM(AE94,AG94,AI94,AK94)</f>
        <v>0</v>
      </c>
      <c r="AN94" s="566"/>
      <c r="AO94" s="564">
        <v>0</v>
      </c>
      <c r="AP94" s="568"/>
      <c r="AR94" s="1065">
        <f>IF($W94&lt;&gt;"votre valeur :",IF(ISNA(VLOOKUP($W94,Utilitaires!$N$566:$O$571,2,FALSE)),,VLOOKUP($W94,Utilitaires!$N$566:$O$571,2,FALSE)),$X94)</f>
        <v>0</v>
      </c>
      <c r="AS94" s="1130">
        <f>IF(ISNA(SQRT(SUMSQ(0.3,$AR94))),0,SQRT(SUMSQ(0.3,$AR94)))</f>
        <v>0.3</v>
      </c>
    </row>
    <row r="95" spans="1:45" s="114" customFormat="1" ht="13.2" hidden="1" outlineLevel="1">
      <c r="B95" s="143" t="s">
        <v>2371</v>
      </c>
      <c r="C95" s="144"/>
      <c r="D95" s="212">
        <f>I95</f>
        <v>0</v>
      </c>
      <c r="E95" s="212"/>
      <c r="F95" s="120"/>
      <c r="G95" s="120"/>
      <c r="H95" s="219">
        <f>'FE Hors Energie'!$S$92</f>
        <v>265</v>
      </c>
      <c r="I95" s="152">
        <f>G95*H95*1000</f>
        <v>0</v>
      </c>
      <c r="J95" s="256"/>
      <c r="K95" s="256"/>
      <c r="L95" s="256"/>
      <c r="M95" s="256"/>
      <c r="N95" s="256"/>
      <c r="O95" s="256"/>
      <c r="P95" s="256"/>
      <c r="Q95" s="256"/>
      <c r="R95" s="256"/>
      <c r="S95" s="256"/>
      <c r="T95" s="256"/>
      <c r="V95" s="226">
        <f>IF(AC95=0,AC95,AC95/I95)</f>
        <v>0</v>
      </c>
      <c r="W95" s="344"/>
      <c r="X95" s="820"/>
      <c r="Y95" s="164"/>
      <c r="Z95" s="164"/>
      <c r="AA95" s="164"/>
      <c r="AB95" s="164"/>
      <c r="AC95" s="152">
        <f>I95*AS95</f>
        <v>0</v>
      </c>
      <c r="AE95" s="564"/>
      <c r="AF95" s="565"/>
      <c r="AG95" s="565">
        <f>I95</f>
        <v>0</v>
      </c>
      <c r="AH95" s="565"/>
      <c r="AI95" s="565"/>
      <c r="AJ95" s="565"/>
      <c r="AK95" s="565"/>
      <c r="AL95" s="565"/>
      <c r="AM95" s="566">
        <f>SUM(AE95,AG95,AI95,AK95)</f>
        <v>0</v>
      </c>
      <c r="AN95" s="566"/>
      <c r="AO95" s="564">
        <v>0</v>
      </c>
      <c r="AP95" s="568"/>
      <c r="AR95" s="1065">
        <f>IF($W95&lt;&gt;"votre valeur :",IF(ISNA(VLOOKUP($W95,Utilitaires!$N$566:$O$571,2,FALSE)),,VLOOKUP($W95,Utilitaires!$N$566:$O$571,2,FALSE)),$X95)</f>
        <v>0</v>
      </c>
      <c r="AS95" s="1130">
        <f>IF(ISNA(SQRT(SUMSQ(0.3,$AR95))),0,SQRT(SUMSQ(0.3,$AR95)))</f>
        <v>0.3</v>
      </c>
    </row>
    <row r="96" spans="1:45" s="114" customFormat="1" ht="13.2" hidden="1" outlineLevel="1">
      <c r="B96" s="143" t="s">
        <v>2372</v>
      </c>
      <c r="C96" s="144"/>
      <c r="D96" s="212">
        <f>I96</f>
        <v>0</v>
      </c>
      <c r="E96" s="212"/>
      <c r="F96" s="120"/>
      <c r="G96" s="398"/>
      <c r="H96" s="219">
        <f>'FE Hors Energie'!$Q$91</f>
        <v>30</v>
      </c>
      <c r="I96" s="152">
        <f>G96*H96*1000</f>
        <v>0</v>
      </c>
      <c r="J96" s="256"/>
      <c r="K96" s="256"/>
      <c r="L96" s="256"/>
      <c r="M96" s="256"/>
      <c r="N96" s="256"/>
      <c r="O96" s="256"/>
      <c r="P96" s="256"/>
      <c r="Q96" s="256"/>
      <c r="R96" s="256"/>
      <c r="S96" s="256"/>
      <c r="T96" s="256"/>
      <c r="V96" s="226">
        <f>IF(AC96=0,AC96,AC96/I96)</f>
        <v>0</v>
      </c>
      <c r="W96" s="344"/>
      <c r="X96" s="820"/>
      <c r="Y96" s="164"/>
      <c r="Z96" s="164"/>
      <c r="AA96" s="164"/>
      <c r="AB96" s="164"/>
      <c r="AC96" s="152">
        <f>I96*AS96</f>
        <v>0</v>
      </c>
      <c r="AE96" s="564"/>
      <c r="AF96" s="565"/>
      <c r="AG96" s="565">
        <f>I96</f>
        <v>0</v>
      </c>
      <c r="AH96" s="565"/>
      <c r="AI96" s="565"/>
      <c r="AJ96" s="565"/>
      <c r="AK96" s="565"/>
      <c r="AL96" s="565"/>
      <c r="AM96" s="566">
        <f>SUM(AE96,AG96,AI96,AK96)</f>
        <v>0</v>
      </c>
      <c r="AN96" s="566"/>
      <c r="AO96" s="564">
        <v>0</v>
      </c>
      <c r="AP96" s="568"/>
      <c r="AR96" s="1065">
        <f>IF($W96&lt;&gt;"votre valeur :",IF(ISNA(VLOOKUP($W96,Utilitaires!$N$566:$O$571,2,FALSE)),,VLOOKUP($W96,Utilitaires!$N$566:$O$571,2,FALSE)),$X96)</f>
        <v>0</v>
      </c>
      <c r="AS96" s="1130">
        <f>IF(ISNA(SQRT(SUMSQ(0.3,$AR96))),0,SQRT(SUMSQ(0.3,$AR96)))</f>
        <v>0.3</v>
      </c>
    </row>
    <row r="97" spans="2:45" s="114" customFormat="1" ht="13.2" hidden="1" outlineLevel="1">
      <c r="B97" s="143" t="s">
        <v>2373</v>
      </c>
      <c r="C97" s="144"/>
      <c r="D97" s="212">
        <f>I97</f>
        <v>0</v>
      </c>
      <c r="E97" s="212"/>
      <c r="F97" s="123"/>
      <c r="G97" s="398"/>
      <c r="H97" s="219">
        <f>'FE Hors Energie'!$R$90</f>
        <v>28</v>
      </c>
      <c r="I97" s="152">
        <f>G97*H97*1000</f>
        <v>0</v>
      </c>
      <c r="J97" s="256"/>
      <c r="K97" s="256"/>
      <c r="L97" s="256"/>
      <c r="M97" s="256"/>
      <c r="N97" s="256"/>
      <c r="O97" s="256"/>
      <c r="P97" s="256"/>
      <c r="Q97" s="256"/>
      <c r="R97" s="256"/>
      <c r="S97" s="256"/>
      <c r="T97" s="256"/>
      <c r="V97" s="226">
        <f>IF(AC97=0,AC97,AC97/I97)</f>
        <v>0</v>
      </c>
      <c r="W97" s="345"/>
      <c r="X97" s="820"/>
      <c r="Y97" s="164"/>
      <c r="Z97" s="164"/>
      <c r="AA97" s="164"/>
      <c r="AB97" s="164"/>
      <c r="AC97" s="152">
        <f>I97*AS97</f>
        <v>0</v>
      </c>
      <c r="AE97" s="564"/>
      <c r="AF97" s="565"/>
      <c r="AG97" s="565"/>
      <c r="AH97" s="565"/>
      <c r="AI97" s="565">
        <f>I97</f>
        <v>0</v>
      </c>
      <c r="AJ97" s="565"/>
      <c r="AK97" s="565"/>
      <c r="AL97" s="565"/>
      <c r="AM97" s="566">
        <f>SUM(AE97,AG97,AI97,AK97)</f>
        <v>0</v>
      </c>
      <c r="AN97" s="566"/>
      <c r="AO97" s="564">
        <v>0</v>
      </c>
      <c r="AP97" s="568"/>
      <c r="AR97" s="1065">
        <f>IF($W97&lt;&gt;"votre valeur :",IF(ISNA(VLOOKUP($W97,Utilitaires!$N$566:$O$571,2,FALSE)),,VLOOKUP($W97,Utilitaires!$N$566:$O$571,2,FALSE)),$X97)</f>
        <v>0</v>
      </c>
      <c r="AS97" s="1130">
        <f>IF(ISNA(SQRT(SUMSQ(0.3,$AR97))),0,SQRT(SUMSQ(0.3,$AR97)))</f>
        <v>0.3</v>
      </c>
    </row>
    <row r="98" spans="2:45" s="114" customFormat="1" ht="13.2" hidden="1" outlineLevel="1">
      <c r="B98" s="143"/>
      <c r="C98" s="144"/>
      <c r="D98" s="212"/>
      <c r="E98" s="212"/>
      <c r="F98" s="846"/>
      <c r="G98" s="397"/>
      <c r="H98" s="219"/>
      <c r="I98" s="152"/>
      <c r="J98" s="256"/>
      <c r="K98" s="256"/>
      <c r="L98" s="256"/>
      <c r="M98" s="256"/>
      <c r="N98" s="256"/>
      <c r="O98" s="256"/>
      <c r="P98" s="256"/>
      <c r="Q98" s="256"/>
      <c r="R98" s="256"/>
      <c r="S98" s="256"/>
      <c r="T98" s="256"/>
      <c r="V98" s="226"/>
      <c r="W98" s="144"/>
      <c r="X98" s="144"/>
      <c r="Y98" s="342"/>
      <c r="Z98" s="164"/>
      <c r="AA98" s="164"/>
      <c r="AB98" s="164"/>
      <c r="AC98" s="152"/>
      <c r="AE98" s="564"/>
      <c r="AF98" s="565"/>
      <c r="AG98" s="565"/>
      <c r="AH98" s="565"/>
      <c r="AI98" s="565"/>
      <c r="AJ98" s="565"/>
      <c r="AK98" s="565"/>
      <c r="AL98" s="565"/>
      <c r="AM98" s="566"/>
      <c r="AN98" s="566"/>
      <c r="AO98" s="564"/>
      <c r="AP98" s="568"/>
      <c r="AR98" s="1065"/>
      <c r="AS98" s="1130"/>
    </row>
    <row r="99" spans="2:45" s="114" customFormat="1" ht="13.2" hidden="1" outlineLevel="1">
      <c r="B99" s="387" t="s">
        <v>1974</v>
      </c>
      <c r="C99" s="385"/>
      <c r="D99" s="388">
        <f>I99</f>
        <v>0</v>
      </c>
      <c r="E99" s="388"/>
      <c r="F99" s="117"/>
      <c r="G99" s="1047"/>
      <c r="H99" s="219">
        <f>VLOOKUP($B99,'FE Hors Energie'!$E$95:$U$124,11,FALSE)</f>
        <v>16100</v>
      </c>
      <c r="I99" s="152">
        <f>G99*H99*1000</f>
        <v>0</v>
      </c>
      <c r="J99" s="256"/>
      <c r="K99" s="256"/>
      <c r="L99" s="256"/>
      <c r="M99" s="256"/>
      <c r="N99" s="256"/>
      <c r="O99" s="256"/>
      <c r="P99" s="256"/>
      <c r="Q99" s="256"/>
      <c r="R99" s="256"/>
      <c r="S99" s="256"/>
      <c r="T99" s="256"/>
      <c r="V99" s="226">
        <f>IF(AC99=0,AC99,AC99/I99)</f>
        <v>0</v>
      </c>
      <c r="W99" s="343"/>
      <c r="X99" s="820"/>
      <c r="Y99" s="164"/>
      <c r="Z99" s="164"/>
      <c r="AA99" s="164"/>
      <c r="AB99" s="164"/>
      <c r="AC99" s="152">
        <f>I99*AS99</f>
        <v>0</v>
      </c>
      <c r="AE99" s="564"/>
      <c r="AF99" s="565"/>
      <c r="AG99" s="565"/>
      <c r="AH99" s="565"/>
      <c r="AI99" s="565"/>
      <c r="AJ99" s="565"/>
      <c r="AK99" s="565">
        <f>AC99</f>
        <v>0</v>
      </c>
      <c r="AL99" s="565"/>
      <c r="AM99" s="566">
        <f>SUM(AE99,AG99,AI99,AK99)</f>
        <v>0</v>
      </c>
      <c r="AN99" s="566"/>
      <c r="AO99" s="564">
        <v>0</v>
      </c>
      <c r="AP99" s="568"/>
      <c r="AR99" s="1065">
        <f>IF($W99&lt;&gt;"votre valeur :",IF(ISNA(VLOOKUP($W99,Utilitaires!$N$566:$O$571,2,FALSE)),,VLOOKUP($W99,Utilitaires!$N$566:$O$571,2,FALSE)),$X99)</f>
        <v>0</v>
      </c>
      <c r="AS99" s="1130">
        <f>IF(ISNA(SQRT(SUMSQ(0.3,$AR99))),0,SQRT(SUMSQ(0.3,$AR99)))</f>
        <v>0.3</v>
      </c>
    </row>
    <row r="100" spans="2:45" s="114" customFormat="1" ht="13.2" hidden="1" outlineLevel="1">
      <c r="B100" s="387" t="s">
        <v>1975</v>
      </c>
      <c r="C100" s="385"/>
      <c r="D100" s="388">
        <f>I100</f>
        <v>0</v>
      </c>
      <c r="E100" s="388"/>
      <c r="F100" s="120"/>
      <c r="G100" s="120"/>
      <c r="H100" s="219">
        <f>VLOOKUP($B100,'FE Hors Energie'!$E$95:$U$124,11,FALSE)</f>
        <v>3170</v>
      </c>
      <c r="I100" s="152">
        <f>G100*H100*1000</f>
        <v>0</v>
      </c>
      <c r="J100" s="256"/>
      <c r="K100" s="256"/>
      <c r="L100" s="256"/>
      <c r="M100" s="256"/>
      <c r="N100" s="256"/>
      <c r="O100" s="256"/>
      <c r="P100" s="256"/>
      <c r="Q100" s="256"/>
      <c r="R100" s="256"/>
      <c r="S100" s="256"/>
      <c r="T100" s="256"/>
      <c r="V100" s="226">
        <f>IF(AC100=0,AC100,AC100/I100)</f>
        <v>0</v>
      </c>
      <c r="W100" s="344"/>
      <c r="X100" s="820"/>
      <c r="Y100" s="164"/>
      <c r="Z100" s="164"/>
      <c r="AA100" s="164"/>
      <c r="AB100" s="164"/>
      <c r="AC100" s="152">
        <f>I100*AS100</f>
        <v>0</v>
      </c>
      <c r="AE100" s="564"/>
      <c r="AF100" s="565"/>
      <c r="AG100" s="565"/>
      <c r="AH100" s="565"/>
      <c r="AI100" s="565"/>
      <c r="AJ100" s="565"/>
      <c r="AK100" s="565">
        <f>AC100</f>
        <v>0</v>
      </c>
      <c r="AL100" s="565"/>
      <c r="AM100" s="566">
        <f>SUM(AE100,AG100,AI100,AK100)</f>
        <v>0</v>
      </c>
      <c r="AN100" s="566"/>
      <c r="AO100" s="564">
        <v>0</v>
      </c>
      <c r="AP100" s="568"/>
      <c r="AR100" s="1065">
        <f>IF($W100&lt;&gt;"votre valeur :",IF(ISNA(VLOOKUP($W100,Utilitaires!$N$566:$O$571,2,FALSE)),,VLOOKUP($W100,Utilitaires!$N$566:$O$571,2,FALSE)),$X100)</f>
        <v>0</v>
      </c>
      <c r="AS100" s="1130">
        <f>IF(ISNA(SQRT(SUMSQ(0.3,$AR100))),0,SQRT(SUMSQ(0.3,$AR100)))</f>
        <v>0.3</v>
      </c>
    </row>
    <row r="101" spans="2:45" s="114" customFormat="1" ht="13.2" hidden="1" outlineLevel="1">
      <c r="B101" s="387" t="s">
        <v>1981</v>
      </c>
      <c r="C101" s="385"/>
      <c r="D101" s="388">
        <f>I101</f>
        <v>0</v>
      </c>
      <c r="E101" s="388"/>
      <c r="F101" s="123"/>
      <c r="G101" s="123"/>
      <c r="H101" s="219">
        <f>VLOOKUP($B101,'FE Hors Energie'!$E$95:$U$124,11,FALSE)</f>
        <v>23500</v>
      </c>
      <c r="I101" s="152">
        <f>G101*H101*1000</f>
        <v>0</v>
      </c>
      <c r="J101" s="256"/>
      <c r="K101" s="256"/>
      <c r="L101" s="256"/>
      <c r="M101" s="256"/>
      <c r="N101" s="256"/>
      <c r="O101" s="256"/>
      <c r="P101" s="256"/>
      <c r="Q101" s="256"/>
      <c r="R101" s="256"/>
      <c r="S101" s="256"/>
      <c r="T101" s="256"/>
      <c r="V101" s="226">
        <f>IF(AC101=0,AC101,AC101/I101)</f>
        <v>0</v>
      </c>
      <c r="W101" s="345"/>
      <c r="X101" s="820"/>
      <c r="Y101" s="164"/>
      <c r="Z101" s="164"/>
      <c r="AA101" s="164"/>
      <c r="AB101" s="164"/>
      <c r="AC101" s="152">
        <f>I101*AS101</f>
        <v>0</v>
      </c>
      <c r="AE101" s="564"/>
      <c r="AF101" s="565"/>
      <c r="AG101" s="565"/>
      <c r="AH101" s="565"/>
      <c r="AI101" s="565"/>
      <c r="AJ101" s="565"/>
      <c r="AK101" s="565">
        <f>AC101</f>
        <v>0</v>
      </c>
      <c r="AL101" s="565"/>
      <c r="AM101" s="566">
        <f>SUM(AE101,AG101,AI101,AK101)</f>
        <v>0</v>
      </c>
      <c r="AN101" s="566"/>
      <c r="AO101" s="564">
        <v>0</v>
      </c>
      <c r="AP101" s="568"/>
      <c r="AR101" s="1065">
        <f>IF($W101&lt;&gt;"votre valeur :",IF(ISNA(VLOOKUP($W101,Utilitaires!$N$566:$O$571,2,FALSE)),,VLOOKUP($W101,Utilitaires!$N$566:$O$571,2,FALSE)),$X101)</f>
        <v>0</v>
      </c>
      <c r="AS101" s="1130">
        <f>IF(ISNA(SQRT(SUMSQ(0.3,$AR101))),0,SQRT(SUMSQ(0.3,$AR101)))</f>
        <v>0.3</v>
      </c>
    </row>
    <row r="102" spans="2:45" s="114" customFormat="1" ht="13.2" hidden="1" outlineLevel="1">
      <c r="B102" s="143"/>
      <c r="C102" s="144"/>
      <c r="D102" s="213"/>
      <c r="E102" s="213"/>
      <c r="F102" s="144"/>
      <c r="G102" s="144"/>
      <c r="H102" s="144"/>
      <c r="I102" s="168"/>
      <c r="J102" s="256"/>
      <c r="K102" s="256"/>
      <c r="L102" s="256"/>
      <c r="M102" s="256"/>
      <c r="N102" s="256"/>
      <c r="O102" s="256"/>
      <c r="P102" s="256"/>
      <c r="Q102" s="256"/>
      <c r="R102" s="256"/>
      <c r="S102" s="256"/>
      <c r="T102" s="256"/>
      <c r="V102" s="154"/>
      <c r="W102" s="155"/>
      <c r="X102" s="169"/>
      <c r="Y102" s="169"/>
      <c r="Z102" s="169"/>
      <c r="AA102" s="169"/>
      <c r="AB102" s="169"/>
      <c r="AC102" s="357"/>
      <c r="AE102" s="564"/>
      <c r="AF102" s="565"/>
      <c r="AG102" s="565"/>
      <c r="AH102" s="565"/>
      <c r="AI102" s="565"/>
      <c r="AJ102" s="565"/>
      <c r="AK102" s="565"/>
      <c r="AL102" s="565"/>
      <c r="AM102" s="566"/>
      <c r="AN102" s="566"/>
      <c r="AO102" s="1411"/>
      <c r="AP102" s="1314"/>
      <c r="AR102" s="1087"/>
      <c r="AS102" s="1131"/>
    </row>
    <row r="103" spans="2:45" s="114" customFormat="1" ht="13.2" hidden="1" outlineLevel="1">
      <c r="B103" s="196" t="s">
        <v>348</v>
      </c>
      <c r="C103" s="197"/>
      <c r="D103" s="214">
        <f>SUM(D94:D102)</f>
        <v>0</v>
      </c>
      <c r="E103" s="214"/>
      <c r="F103" s="197"/>
      <c r="G103" s="197"/>
      <c r="H103" s="197"/>
      <c r="I103" s="200">
        <f>SUM(I94:I102)</f>
        <v>0</v>
      </c>
      <c r="J103" s="256"/>
      <c r="K103" s="256"/>
      <c r="L103" s="256"/>
      <c r="M103" s="256"/>
      <c r="N103" s="256"/>
      <c r="O103" s="256"/>
      <c r="P103" s="256"/>
      <c r="Q103" s="256"/>
      <c r="R103" s="256"/>
      <c r="S103" s="256"/>
      <c r="T103" s="256"/>
      <c r="V103" s="1204">
        <f>IF(AC103=0,AC103,AC103/I103)</f>
        <v>0</v>
      </c>
      <c r="W103" s="350"/>
      <c r="X103" s="1417"/>
      <c r="Y103" s="1417"/>
      <c r="Z103" s="1417"/>
      <c r="AA103" s="1417"/>
      <c r="AB103" s="1417"/>
      <c r="AC103" s="1418">
        <f>SQRT(SUMSQ(AC94:AC102))</f>
        <v>0</v>
      </c>
      <c r="AE103" s="1290">
        <f>SUM(AE94:AE102)</f>
        <v>0</v>
      </c>
      <c r="AF103" s="573"/>
      <c r="AG103" s="573">
        <f>SUM(AG94:AG102)</f>
        <v>0</v>
      </c>
      <c r="AH103" s="573"/>
      <c r="AI103" s="573">
        <f>SUM(AI94:AI102)</f>
        <v>0</v>
      </c>
      <c r="AJ103" s="573"/>
      <c r="AK103" s="573">
        <f>SUM(AK94:AK102)</f>
        <v>0</v>
      </c>
      <c r="AL103" s="573"/>
      <c r="AM103" s="573">
        <f>SUM(AM94:AM102)</f>
        <v>0</v>
      </c>
      <c r="AN103" s="573"/>
      <c r="AO103" s="572">
        <f>SUM(AO94:AO102)</f>
        <v>0</v>
      </c>
      <c r="AP103" s="575"/>
    </row>
    <row r="104" spans="2:45" s="114" customFormat="1" ht="12.75" hidden="1" customHeight="1" outlineLevel="1">
      <c r="J104" s="256"/>
      <c r="K104" s="256"/>
      <c r="L104" s="256"/>
      <c r="M104" s="256"/>
      <c r="N104" s="256"/>
      <c r="O104" s="256"/>
      <c r="P104" s="256"/>
      <c r="Q104" s="256"/>
      <c r="R104" s="256"/>
      <c r="S104" s="256"/>
      <c r="T104" s="256"/>
      <c r="AD104" s="441"/>
      <c r="AE104" s="441"/>
      <c r="AF104" s="441"/>
      <c r="AG104" s="441"/>
      <c r="AH104" s="441"/>
      <c r="AI104" s="441"/>
      <c r="AJ104" s="441"/>
      <c r="AK104" s="441"/>
      <c r="AL104" s="441"/>
      <c r="AM104" s="441"/>
      <c r="AN104" s="441"/>
      <c r="AO104" s="441"/>
    </row>
    <row r="105" spans="2:45" s="91" customFormat="1" ht="12.75" hidden="1" customHeight="1" outlineLevel="1">
      <c r="B105" s="294" t="s">
        <v>589</v>
      </c>
      <c r="C105" s="295"/>
      <c r="D105" s="1471"/>
      <c r="E105" s="1648"/>
      <c r="F105" s="296"/>
      <c r="G105" s="296"/>
      <c r="H105" s="296"/>
      <c r="I105" s="297"/>
      <c r="J105" s="256"/>
      <c r="K105" s="256"/>
      <c r="L105" s="256"/>
      <c r="M105" s="256"/>
      <c r="N105" s="256"/>
      <c r="O105" s="256"/>
      <c r="P105" s="256"/>
      <c r="Q105" s="256"/>
      <c r="R105" s="256"/>
      <c r="S105" s="256"/>
      <c r="T105" s="256"/>
      <c r="V105" s="2748" t="s">
        <v>366</v>
      </c>
      <c r="W105" s="2749"/>
      <c r="X105" s="2749"/>
      <c r="Y105" s="2749"/>
      <c r="Z105" s="2749"/>
      <c r="AA105" s="2749"/>
      <c r="AB105" s="2749"/>
      <c r="AC105" s="2750"/>
      <c r="AE105" s="2639" t="s">
        <v>441</v>
      </c>
      <c r="AF105" s="2640"/>
      <c r="AG105" s="2640"/>
      <c r="AH105" s="2640"/>
      <c r="AI105" s="2640"/>
      <c r="AJ105" s="2640"/>
      <c r="AK105" s="2640"/>
      <c r="AL105" s="2640"/>
      <c r="AM105" s="2640"/>
      <c r="AN105" s="2640"/>
      <c r="AO105" s="2640"/>
      <c r="AP105" s="2641"/>
    </row>
    <row r="106" spans="2:45" s="91" customFormat="1" ht="12.75" hidden="1" customHeight="1" outlineLevel="1">
      <c r="B106" s="298"/>
      <c r="C106" s="299"/>
      <c r="D106" s="1474" t="s">
        <v>308</v>
      </c>
      <c r="E106" s="1663"/>
      <c r="F106" s="299"/>
      <c r="G106" s="299"/>
      <c r="H106" s="299"/>
      <c r="I106" s="300"/>
      <c r="J106" s="256"/>
      <c r="K106" s="256"/>
      <c r="L106" s="256"/>
      <c r="M106" s="256"/>
      <c r="N106" s="256"/>
      <c r="O106" s="256"/>
      <c r="P106" s="256"/>
      <c r="Q106" s="256"/>
      <c r="R106" s="256"/>
      <c r="S106" s="256"/>
      <c r="T106" s="256"/>
      <c r="V106" s="298"/>
      <c r="W106" s="827"/>
      <c r="X106" s="827"/>
      <c r="Y106" s="1544"/>
      <c r="Z106" s="1544"/>
      <c r="AA106" s="1544"/>
      <c r="AB106" s="1544"/>
      <c r="AC106" s="1792"/>
      <c r="AE106" s="1511" t="s">
        <v>444</v>
      </c>
      <c r="AF106" s="1499"/>
      <c r="AG106" s="1499"/>
      <c r="AH106" s="1499"/>
      <c r="AI106" s="1499"/>
      <c r="AJ106" s="1499"/>
      <c r="AK106" s="1499"/>
      <c r="AL106" s="1499"/>
      <c r="AM106" s="1499" t="s">
        <v>444</v>
      </c>
      <c r="AN106" s="1499"/>
      <c r="AO106" s="1511"/>
      <c r="AP106" s="1512"/>
      <c r="AR106" s="2616" t="s">
        <v>1648</v>
      </c>
      <c r="AS106" s="2618"/>
    </row>
    <row r="107" spans="2:45" s="91" customFormat="1" ht="12.75" hidden="1" customHeight="1" outlineLevel="1">
      <c r="B107" s="298"/>
      <c r="C107" s="299"/>
      <c r="D107" s="1464" t="s">
        <v>409</v>
      </c>
      <c r="E107" s="1656"/>
      <c r="F107" s="2875" t="s">
        <v>2393</v>
      </c>
      <c r="G107" s="147" t="s">
        <v>1849</v>
      </c>
      <c r="H107" s="2626" t="s">
        <v>1572</v>
      </c>
      <c r="I107" s="302" t="s">
        <v>444</v>
      </c>
      <c r="J107" s="256"/>
      <c r="K107" s="256"/>
      <c r="L107" s="256"/>
      <c r="M107" s="256"/>
      <c r="N107" s="256"/>
      <c r="O107" s="256"/>
      <c r="P107" s="256"/>
      <c r="Q107" s="256"/>
      <c r="R107" s="256"/>
      <c r="S107" s="256"/>
      <c r="T107" s="256"/>
      <c r="V107" s="1504" t="s">
        <v>316</v>
      </c>
      <c r="W107" s="1509" t="s">
        <v>316</v>
      </c>
      <c r="X107" s="1510"/>
      <c r="Y107" s="527"/>
      <c r="Z107" s="527"/>
      <c r="AA107" s="527"/>
      <c r="AB107" s="527"/>
      <c r="AC107" s="302" t="s">
        <v>444</v>
      </c>
      <c r="AE107" s="1500" t="s">
        <v>211</v>
      </c>
      <c r="AF107" s="1501"/>
      <c r="AG107" s="1501" t="s">
        <v>442</v>
      </c>
      <c r="AH107" s="1501"/>
      <c r="AI107" s="1501" t="s">
        <v>267</v>
      </c>
      <c r="AJ107" s="1501"/>
      <c r="AK107" s="1501" t="s">
        <v>443</v>
      </c>
      <c r="AL107" s="1501"/>
      <c r="AM107" s="1514" t="s">
        <v>327</v>
      </c>
      <c r="AN107" s="1514"/>
      <c r="AO107" s="1523"/>
      <c r="AP107" s="1502" t="s">
        <v>636</v>
      </c>
      <c r="AR107" s="1140" t="s">
        <v>1646</v>
      </c>
      <c r="AS107" s="1141" t="s">
        <v>1844</v>
      </c>
    </row>
    <row r="108" spans="2:45" s="91" customFormat="1" ht="12.75" hidden="1" customHeight="1" outlineLevel="1">
      <c r="B108" s="298"/>
      <c r="C108" s="299"/>
      <c r="D108" s="1464" t="s">
        <v>444</v>
      </c>
      <c r="E108" s="1656"/>
      <c r="F108" s="2876"/>
      <c r="G108" s="1472" t="s">
        <v>1848</v>
      </c>
      <c r="H108" s="2626"/>
      <c r="I108" s="302"/>
      <c r="J108" s="256"/>
      <c r="K108" s="256"/>
      <c r="L108" s="256"/>
      <c r="M108" s="256"/>
      <c r="N108" s="256"/>
      <c r="O108" s="256"/>
      <c r="P108" s="256"/>
      <c r="Q108" s="256"/>
      <c r="R108" s="256"/>
      <c r="S108" s="256"/>
      <c r="T108" s="256"/>
      <c r="V108" s="1504" t="s">
        <v>1649</v>
      </c>
      <c r="W108" s="1507" t="s">
        <v>1650</v>
      </c>
      <c r="X108" s="1508"/>
      <c r="Y108" s="527"/>
      <c r="Z108" s="527"/>
      <c r="AA108" s="527"/>
      <c r="AB108" s="527"/>
      <c r="AC108" s="302"/>
      <c r="AE108" s="227"/>
      <c r="AF108" s="1516"/>
      <c r="AG108" s="1516"/>
      <c r="AH108" s="1516"/>
      <c r="AI108" s="1516"/>
      <c r="AJ108" s="1516"/>
      <c r="AK108" s="1516"/>
      <c r="AL108" s="1516"/>
      <c r="AM108" s="1516"/>
      <c r="AN108" s="1516"/>
      <c r="AO108" s="227"/>
      <c r="AP108" s="1171"/>
      <c r="AR108" s="1521"/>
      <c r="AS108" s="1519"/>
    </row>
    <row r="109" spans="2:45" s="91" customFormat="1" ht="13.2" hidden="1" outlineLevel="1">
      <c r="B109" s="304" t="s">
        <v>1976</v>
      </c>
      <c r="C109" s="305"/>
      <c r="D109" s="315">
        <f>I109</f>
        <v>0</v>
      </c>
      <c r="E109" s="315"/>
      <c r="F109" s="117"/>
      <c r="G109" s="117"/>
      <c r="H109" s="317">
        <f>VLOOKUP($B109&amp;"; "&amp;$H$107,'FE Hors Energie'!$G:$U,9,FALSE)</f>
        <v>2</v>
      </c>
      <c r="I109" s="306">
        <f>G109*H109*1000</f>
        <v>0</v>
      </c>
      <c r="J109" s="256"/>
      <c r="K109" s="256"/>
      <c r="L109" s="256"/>
      <c r="M109" s="256"/>
      <c r="N109" s="256"/>
      <c r="O109" s="256"/>
      <c r="P109" s="256"/>
      <c r="Q109" s="256"/>
      <c r="R109" s="256"/>
      <c r="S109" s="256"/>
      <c r="T109" s="256"/>
      <c r="V109" s="319">
        <f>IF(AC109=0,AC109,AC109/I109)</f>
        <v>0</v>
      </c>
      <c r="W109" s="343"/>
      <c r="X109" s="820"/>
      <c r="Y109" s="1545"/>
      <c r="Z109" s="1545"/>
      <c r="AA109" s="1545"/>
      <c r="AB109" s="1545"/>
      <c r="AC109" s="306">
        <f>SQRT(SUMSQ(IF(ISNA(I109*AS109),0,I109*AS109)))</f>
        <v>0</v>
      </c>
      <c r="AE109" s="1454">
        <v>0</v>
      </c>
      <c r="AF109" s="565"/>
      <c r="AG109" s="565">
        <v>0</v>
      </c>
      <c r="AH109" s="565"/>
      <c r="AI109" s="565">
        <v>0</v>
      </c>
      <c r="AJ109" s="565"/>
      <c r="AK109" s="565">
        <f>I109</f>
        <v>0</v>
      </c>
      <c r="AL109" s="565"/>
      <c r="AM109" s="566">
        <f>I109</f>
        <v>0</v>
      </c>
      <c r="AN109" s="566"/>
      <c r="AO109" s="564">
        <v>0</v>
      </c>
      <c r="AP109" s="568"/>
      <c r="AR109" s="1065">
        <f>IF($W109&lt;&gt;"votre valeur :",IF(ISNA(VLOOKUP($W109,Utilitaires!$N$566:$O$571,2,FALSE)),,VLOOKUP($W109,Utilitaires!$N$566:$O$571,2,FALSE)),$X109)</f>
        <v>0</v>
      </c>
      <c r="AS109" s="1130">
        <f>IF(ISNA(SQRT(SUMSQ(VLOOKUP($B109&amp;"; "&amp;$H$107,'FE Hors Energie'!$G:$U,7,FALSE),$AR109))),0,SQRT(SUMSQ(VLOOKUP($B109&amp;"; "&amp;$H$107,'FE Hors Energie'!$G:$U,7,FALSE),$AR109)))</f>
        <v>0.3</v>
      </c>
    </row>
    <row r="110" spans="2:45" s="91" customFormat="1" ht="13.2" hidden="1" outlineLevel="1">
      <c r="B110" s="304" t="s">
        <v>1978</v>
      </c>
      <c r="C110" s="305"/>
      <c r="D110" s="315">
        <f>I110</f>
        <v>0</v>
      </c>
      <c r="E110" s="315"/>
      <c r="F110" s="120"/>
      <c r="G110" s="120"/>
      <c r="H110" s="317">
        <f>VLOOKUP($B110&amp;"; "&amp;$H$107,'FE Hors Energie'!$G:$U,9,FALSE)</f>
        <v>160</v>
      </c>
      <c r="I110" s="306">
        <f>G110*H110*1000</f>
        <v>0</v>
      </c>
      <c r="J110" s="256"/>
      <c r="K110" s="256"/>
      <c r="L110" s="256"/>
      <c r="M110" s="256"/>
      <c r="N110" s="256"/>
      <c r="O110" s="256"/>
      <c r="P110" s="256"/>
      <c r="Q110" s="256"/>
      <c r="R110" s="256"/>
      <c r="S110" s="256"/>
      <c r="T110" s="256"/>
      <c r="V110" s="319">
        <f>IF(AC110=0,AC110,AC110/I110)</f>
        <v>0</v>
      </c>
      <c r="W110" s="344"/>
      <c r="X110" s="820"/>
      <c r="Y110" s="1545"/>
      <c r="Z110" s="1545"/>
      <c r="AA110" s="1545"/>
      <c r="AB110" s="1545"/>
      <c r="AC110" s="306">
        <f>SQRT(SUMSQ(IF(ISNA(I110*AS110),0,I110*AS110)))</f>
        <v>0</v>
      </c>
      <c r="AE110" s="564">
        <v>0</v>
      </c>
      <c r="AF110" s="565"/>
      <c r="AG110" s="565">
        <v>0</v>
      </c>
      <c r="AH110" s="565"/>
      <c r="AI110" s="565">
        <v>0</v>
      </c>
      <c r="AJ110" s="565"/>
      <c r="AK110" s="565">
        <f>I110</f>
        <v>0</v>
      </c>
      <c r="AL110" s="565"/>
      <c r="AM110" s="566">
        <f>I110</f>
        <v>0</v>
      </c>
      <c r="AN110" s="566"/>
      <c r="AO110" s="564">
        <v>0</v>
      </c>
      <c r="AP110" s="568"/>
      <c r="AR110" s="1065">
        <f>IF($W110&lt;&gt;"votre valeur :",IF(ISNA(VLOOKUP($W110,Utilitaires!$N$566:$O$571,2,FALSE)),,VLOOKUP($W110,Utilitaires!$N$566:$O$571,2,FALSE)),$X110)</f>
        <v>0</v>
      </c>
      <c r="AS110" s="1130">
        <f>IF(ISNA(SQRT(SUMSQ(VLOOKUP($B110&amp;"; "&amp;$H$107,'FE Hors Energie'!$G:$U,7,FALSE),$AR110))),0,SQRT(SUMSQ(VLOOKUP($B110&amp;"; "&amp;$H$107,'FE Hors Energie'!$G:$U,7,FALSE),$AR110)))</f>
        <v>0.3</v>
      </c>
    </row>
    <row r="111" spans="2:45" s="91" customFormat="1" ht="13.2" hidden="1" outlineLevel="1">
      <c r="B111" s="304" t="s">
        <v>1977</v>
      </c>
      <c r="C111" s="305"/>
      <c r="D111" s="315">
        <f>I111</f>
        <v>0</v>
      </c>
      <c r="E111" s="315"/>
      <c r="F111" s="123"/>
      <c r="G111" s="123"/>
      <c r="H111" s="317">
        <f>VLOOKUP($B111&amp;"; "&amp;$H$107,'FE Hors Energie'!$G:$U,9,FALSE)</f>
        <v>1750</v>
      </c>
      <c r="I111" s="306">
        <f>G111*H111*1000</f>
        <v>0</v>
      </c>
      <c r="J111" s="256"/>
      <c r="K111" s="256"/>
      <c r="L111" s="256"/>
      <c r="M111" s="256"/>
      <c r="N111" s="256"/>
      <c r="O111" s="256"/>
      <c r="P111" s="256"/>
      <c r="Q111" s="256"/>
      <c r="R111" s="256"/>
      <c r="S111" s="256"/>
      <c r="T111" s="256"/>
      <c r="V111" s="319">
        <f>IF(AC111=0,AC111,AC111/I111)</f>
        <v>0</v>
      </c>
      <c r="W111" s="345"/>
      <c r="X111" s="820"/>
      <c r="Y111" s="1545"/>
      <c r="Z111" s="1545"/>
      <c r="AA111" s="1545"/>
      <c r="AB111" s="1545"/>
      <c r="AC111" s="306">
        <f>SQRT(SUMSQ(IF(ISNA(I111*AS111),0,I111*AS111)))</f>
        <v>0</v>
      </c>
      <c r="AE111" s="564">
        <v>0</v>
      </c>
      <c r="AF111" s="565"/>
      <c r="AG111" s="565">
        <v>0</v>
      </c>
      <c r="AH111" s="565"/>
      <c r="AI111" s="565">
        <v>0</v>
      </c>
      <c r="AJ111" s="565"/>
      <c r="AK111" s="565">
        <f>I111</f>
        <v>0</v>
      </c>
      <c r="AL111" s="565"/>
      <c r="AM111" s="566">
        <f>I111</f>
        <v>0</v>
      </c>
      <c r="AN111" s="566"/>
      <c r="AO111" s="564">
        <v>0</v>
      </c>
      <c r="AP111" s="568"/>
      <c r="AR111" s="1065">
        <f>IF($W111&lt;&gt;"votre valeur :",IF(ISNA(VLOOKUP($W111,Utilitaires!$N$566:$O$571,2,FALSE)),,VLOOKUP($W111,Utilitaires!$N$566:$O$571,2,FALSE)),$X111)</f>
        <v>0</v>
      </c>
      <c r="AS111" s="1130">
        <f>IF(ISNA(SQRT(SUMSQ(VLOOKUP($B111&amp;"; "&amp;$H$107,'FE Hors Energie'!$G:$U,7,FALSE),$AR111))),0,SQRT(SUMSQ(VLOOKUP($B111&amp;"; "&amp;$H$107,'FE Hors Energie'!$G:$U,7,FALSE),$AR111)))</f>
        <v>0.3</v>
      </c>
    </row>
    <row r="112" spans="2:45" s="91" customFormat="1" ht="13.2" hidden="1" outlineLevel="1">
      <c r="B112" s="304"/>
      <c r="C112" s="305"/>
      <c r="D112" s="316"/>
      <c r="E112" s="316"/>
      <c r="F112" s="305"/>
      <c r="G112" s="299"/>
      <c r="H112" s="305"/>
      <c r="I112" s="307"/>
      <c r="J112" s="256"/>
      <c r="K112" s="256"/>
      <c r="L112" s="256"/>
      <c r="M112" s="256"/>
      <c r="N112" s="256"/>
      <c r="O112" s="256"/>
      <c r="P112" s="256"/>
      <c r="Q112" s="256"/>
      <c r="R112" s="256"/>
      <c r="S112" s="256"/>
      <c r="T112" s="256"/>
      <c r="V112" s="304"/>
      <c r="W112" s="828"/>
      <c r="X112" s="828"/>
      <c r="Y112" s="1545"/>
      <c r="Z112" s="1545"/>
      <c r="AA112" s="1545"/>
      <c r="AB112" s="1545"/>
      <c r="AC112" s="1793"/>
      <c r="AE112" s="564"/>
      <c r="AF112" s="565"/>
      <c r="AG112" s="565"/>
      <c r="AH112" s="565"/>
      <c r="AI112" s="565"/>
      <c r="AJ112" s="565"/>
      <c r="AK112" s="565"/>
      <c r="AL112" s="565"/>
      <c r="AM112" s="566"/>
      <c r="AN112" s="566"/>
      <c r="AO112" s="564"/>
      <c r="AP112" s="568"/>
      <c r="AR112" s="1087"/>
      <c r="AS112" s="1153"/>
    </row>
    <row r="113" spans="2:42" s="91" customFormat="1" ht="13.2" hidden="1" outlineLevel="1">
      <c r="B113" s="320" t="s">
        <v>348</v>
      </c>
      <c r="C113" s="321"/>
      <c r="D113" s="322">
        <f>SUM(D109:D112)</f>
        <v>0</v>
      </c>
      <c r="E113" s="322"/>
      <c r="F113" s="321"/>
      <c r="G113" s="323"/>
      <c r="H113" s="321"/>
      <c r="I113" s="324">
        <f>SUM(I109:I112)</f>
        <v>0</v>
      </c>
      <c r="J113" s="256"/>
      <c r="K113" s="256"/>
      <c r="L113" s="256"/>
      <c r="M113" s="256"/>
      <c r="N113" s="256"/>
      <c r="O113" s="256"/>
      <c r="P113" s="256"/>
      <c r="Q113" s="256"/>
      <c r="R113" s="256"/>
      <c r="S113" s="256"/>
      <c r="T113" s="256"/>
      <c r="V113" s="1546">
        <f>IF(AC113=0,AC113,AC113/I113)</f>
        <v>0</v>
      </c>
      <c r="W113" s="829"/>
      <c r="X113" s="829"/>
      <c r="Y113" s="325"/>
      <c r="Z113" s="325"/>
      <c r="AA113" s="325"/>
      <c r="AB113" s="325"/>
      <c r="AC113" s="324">
        <f>SQRT(SUMSQ(AC109:AC112))</f>
        <v>0</v>
      </c>
      <c r="AE113" s="1290">
        <f>SUM(AE109:AE112)</f>
        <v>0</v>
      </c>
      <c r="AF113" s="573"/>
      <c r="AG113" s="573">
        <f>SUM(AG109:AG112)</f>
        <v>0</v>
      </c>
      <c r="AH113" s="573"/>
      <c r="AI113" s="573">
        <f>SUM(AI109:AI112)</f>
        <v>0</v>
      </c>
      <c r="AJ113" s="573"/>
      <c r="AK113" s="573">
        <f>SUM(AK109:AK112)</f>
        <v>0</v>
      </c>
      <c r="AL113" s="573"/>
      <c r="AM113" s="573">
        <f>SUM(AM109:AM112)</f>
        <v>0</v>
      </c>
      <c r="AN113" s="573"/>
      <c r="AO113" s="572">
        <f>SUM(AO109:AO112)</f>
        <v>0</v>
      </c>
      <c r="AP113" s="575"/>
    </row>
    <row r="114" spans="2:42" s="114" customFormat="1" ht="13.2" hidden="1" outlineLevel="1">
      <c r="F114" s="254"/>
      <c r="AD114" s="441"/>
      <c r="AE114" s="441"/>
      <c r="AF114" s="441"/>
      <c r="AG114" s="441"/>
      <c r="AH114" s="441"/>
      <c r="AI114" s="441"/>
      <c r="AJ114" s="441"/>
      <c r="AK114" s="441"/>
      <c r="AL114" s="441"/>
      <c r="AM114" s="441"/>
      <c r="AN114" s="441"/>
      <c r="AO114" s="441"/>
    </row>
    <row r="115" spans="2:42" s="114" customFormat="1" ht="13.2">
      <c r="B115" s="268"/>
      <c r="C115" s="268"/>
      <c r="AD115" s="441"/>
      <c r="AE115" s="441"/>
      <c r="AF115" s="441"/>
      <c r="AG115" s="441"/>
      <c r="AH115" s="441"/>
      <c r="AI115" s="441"/>
      <c r="AJ115" s="441"/>
      <c r="AK115" s="441"/>
      <c r="AL115" s="441"/>
      <c r="AM115" s="441"/>
      <c r="AN115" s="441"/>
      <c r="AO115" s="441"/>
    </row>
    <row r="116" spans="2:42" s="114" customFormat="1" ht="13.2">
      <c r="B116" s="268"/>
      <c r="C116" s="268"/>
      <c r="AD116" s="441"/>
      <c r="AE116" s="441"/>
      <c r="AF116" s="441"/>
      <c r="AG116" s="441"/>
      <c r="AH116" s="441"/>
      <c r="AI116" s="441"/>
      <c r="AJ116" s="441"/>
      <c r="AK116" s="441"/>
      <c r="AL116" s="441"/>
      <c r="AM116" s="441"/>
      <c r="AN116" s="441"/>
      <c r="AO116" s="441"/>
    </row>
    <row r="117" spans="2:42" s="114" customFormat="1" ht="13.2">
      <c r="B117" s="268"/>
      <c r="C117" s="268"/>
      <c r="AD117" s="441"/>
      <c r="AE117" s="441"/>
      <c r="AF117" s="441"/>
      <c r="AG117" s="441"/>
      <c r="AH117" s="441"/>
      <c r="AI117" s="441"/>
      <c r="AJ117" s="441"/>
      <c r="AK117" s="441"/>
      <c r="AL117" s="441"/>
      <c r="AM117" s="441"/>
      <c r="AN117" s="441"/>
      <c r="AO117" s="441"/>
    </row>
    <row r="118" spans="2:42" ht="20.100000000000001" customHeight="1">
      <c r="B118" s="2664" t="s">
        <v>518</v>
      </c>
      <c r="C118" s="2665"/>
      <c r="D118" s="2665"/>
      <c r="E118" s="2665"/>
      <c r="F118" s="2665"/>
      <c r="G118" s="2665"/>
      <c r="H118" s="2665"/>
      <c r="I118" s="2665"/>
      <c r="J118" s="2665"/>
      <c r="K118" s="2665"/>
      <c r="L118" s="2665"/>
      <c r="M118" s="2665"/>
      <c r="N118" s="2665"/>
      <c r="O118" s="2666"/>
      <c r="AH118" s="441"/>
      <c r="AI118" s="441"/>
      <c r="AJ118" s="441"/>
      <c r="AK118" s="441"/>
      <c r="AL118" s="441"/>
      <c r="AM118" s="441"/>
      <c r="AN118" s="441"/>
    </row>
    <row r="119" spans="2:42" s="114" customFormat="1" ht="13.2">
      <c r="B119" s="128"/>
      <c r="C119" s="128"/>
      <c r="D119" s="128"/>
      <c r="E119" s="128"/>
      <c r="F119" s="128"/>
      <c r="G119" s="128"/>
      <c r="H119" s="128"/>
      <c r="I119" s="128"/>
      <c r="J119" s="128"/>
      <c r="K119" s="128"/>
      <c r="L119" s="128"/>
      <c r="M119" s="128"/>
      <c r="N119" s="128"/>
      <c r="O119" s="128"/>
      <c r="AD119" s="441"/>
      <c r="AE119" s="441"/>
      <c r="AF119" s="441"/>
      <c r="AG119" s="441"/>
      <c r="AH119" s="441"/>
      <c r="AI119" s="441"/>
      <c r="AJ119" s="441"/>
      <c r="AK119" s="441"/>
      <c r="AL119" s="441"/>
      <c r="AM119" s="576"/>
      <c r="AN119" s="576"/>
      <c r="AO119" s="441"/>
    </row>
    <row r="120" spans="2:42" s="114" customFormat="1" ht="12.75" customHeight="1">
      <c r="B120" s="2667" t="str">
        <f>Descriptif!C34</f>
        <v>Utilisation</v>
      </c>
      <c r="C120" s="2668"/>
      <c r="D120" s="2671" t="s">
        <v>409</v>
      </c>
      <c r="E120" s="2672"/>
      <c r="F120" s="2673"/>
      <c r="G120" s="129"/>
      <c r="H120" s="2671" t="s">
        <v>159</v>
      </c>
      <c r="I120" s="2673"/>
      <c r="J120" s="170"/>
      <c r="K120" s="2674" t="s">
        <v>499</v>
      </c>
      <c r="L120" s="2675"/>
      <c r="M120" s="2675"/>
      <c r="N120" s="2676"/>
      <c r="X120" s="441"/>
      <c r="Y120" s="441"/>
      <c r="Z120" s="441"/>
      <c r="AA120" s="441"/>
      <c r="AB120" s="576"/>
      <c r="AC120" s="576"/>
      <c r="AD120" s="576"/>
      <c r="AE120" s="576"/>
      <c r="AF120" s="576"/>
      <c r="AG120" s="441"/>
      <c r="AH120" s="441"/>
      <c r="AI120" s="441"/>
    </row>
    <row r="121" spans="2:42" s="114" customFormat="1" ht="12.75" customHeight="1">
      <c r="B121" s="2669"/>
      <c r="C121" s="2670"/>
      <c r="D121" s="281" t="s">
        <v>444</v>
      </c>
      <c r="E121" s="280" t="s">
        <v>500</v>
      </c>
      <c r="F121" s="281" t="s">
        <v>524</v>
      </c>
      <c r="G121" s="129"/>
      <c r="H121" s="281" t="s">
        <v>444</v>
      </c>
      <c r="I121" s="281" t="s">
        <v>355</v>
      </c>
      <c r="J121" s="170"/>
      <c r="K121" s="282" t="s">
        <v>43</v>
      </c>
      <c r="L121" s="282" t="s">
        <v>522</v>
      </c>
      <c r="M121" s="282" t="s">
        <v>522</v>
      </c>
      <c r="N121" s="282" t="s">
        <v>523</v>
      </c>
      <c r="X121" s="441"/>
      <c r="Y121" s="441"/>
      <c r="Z121" s="441"/>
      <c r="AA121" s="441"/>
      <c r="AB121" s="441"/>
      <c r="AC121" s="441"/>
      <c r="AD121" s="441"/>
      <c r="AE121" s="441"/>
      <c r="AF121" s="441"/>
      <c r="AG121" s="441"/>
      <c r="AH121" s="441"/>
      <c r="AI121" s="441"/>
    </row>
    <row r="122" spans="2:42" s="91" customFormat="1" ht="13.2">
      <c r="B122" s="2660" t="s">
        <v>226</v>
      </c>
      <c r="C122" s="2661"/>
      <c r="D122" s="184">
        <f>D28+D40</f>
        <v>0</v>
      </c>
      <c r="E122" s="184">
        <f>D122/1000</f>
        <v>0</v>
      </c>
      <c r="F122" s="185">
        <f>IF($D$126=0,"",D122/$D$126)</f>
        <v>0</v>
      </c>
      <c r="G122" s="128"/>
      <c r="H122" s="184">
        <f>SQRT(AA28^2+AA40^2)</f>
        <v>0</v>
      </c>
      <c r="I122" s="185" t="str">
        <f>IF(D122=0,"",H122/D122)</f>
        <v/>
      </c>
      <c r="J122" s="170"/>
      <c r="K122" s="187">
        <f>(D122-H122)/1000</f>
        <v>0</v>
      </c>
      <c r="L122" s="187">
        <f>E122</f>
        <v>0</v>
      </c>
      <c r="M122" s="187">
        <f>E122</f>
        <v>0</v>
      </c>
      <c r="N122" s="187">
        <f>(D122+H122)/1000</f>
        <v>0</v>
      </c>
      <c r="X122" s="595"/>
      <c r="Y122" s="595"/>
      <c r="Z122" s="595"/>
      <c r="AA122" s="595"/>
      <c r="AB122" s="595"/>
      <c r="AC122" s="595"/>
      <c r="AD122" s="595"/>
      <c r="AE122" s="595"/>
      <c r="AF122" s="595"/>
      <c r="AG122" s="595"/>
      <c r="AH122" s="595"/>
      <c r="AI122" s="595"/>
    </row>
    <row r="123" spans="2:42" s="91" customFormat="1" ht="13.2">
      <c r="B123" s="2660" t="s">
        <v>18</v>
      </c>
      <c r="C123" s="2661"/>
      <c r="D123" s="184">
        <f>D53+D63</f>
        <v>0</v>
      </c>
      <c r="E123" s="184">
        <f>D123/1000</f>
        <v>0</v>
      </c>
      <c r="F123" s="185">
        <f>IF($D$126=0,"",D123/$D$126)</f>
        <v>0</v>
      </c>
      <c r="G123" s="128"/>
      <c r="H123" s="184">
        <f>SQRT(AC53^2+AC63^2)</f>
        <v>0</v>
      </c>
      <c r="I123" s="185" t="str">
        <f>IF(D123=0,"",H123/D123)</f>
        <v/>
      </c>
      <c r="J123" s="170"/>
      <c r="K123" s="187">
        <f>(D123-H123)/1000</f>
        <v>0</v>
      </c>
      <c r="L123" s="187">
        <f>E123</f>
        <v>0</v>
      </c>
      <c r="M123" s="187">
        <f>E123</f>
        <v>0</v>
      </c>
      <c r="N123" s="187">
        <f>(D123+H123)/1000</f>
        <v>0</v>
      </c>
      <c r="X123" s="595"/>
      <c r="Y123" s="595"/>
      <c r="Z123" s="595"/>
      <c r="AA123" s="595"/>
      <c r="AB123" s="595"/>
      <c r="AC123" s="595"/>
      <c r="AD123" s="595"/>
      <c r="AE123" s="595"/>
      <c r="AF123" s="595"/>
      <c r="AG123" s="595"/>
      <c r="AH123" s="595"/>
      <c r="AI123" s="595"/>
    </row>
    <row r="124" spans="2:42" s="91" customFormat="1" ht="13.2">
      <c r="B124" s="2660" t="s">
        <v>333</v>
      </c>
      <c r="C124" s="2661"/>
      <c r="D124" s="184">
        <f>D77+D85</f>
        <v>5331.4577495621716</v>
      </c>
      <c r="E124" s="184">
        <f>D124/1000</f>
        <v>5.3314577495621718</v>
      </c>
      <c r="F124" s="185">
        <f>IF($D$126=0,"",D124/$D$126)</f>
        <v>1</v>
      </c>
      <c r="G124" s="128"/>
      <c r="H124" s="184">
        <f>SQRT(AC77^2+AC85^2)</f>
        <v>550.67377355516669</v>
      </c>
      <c r="I124" s="185">
        <f>IF(D124=0,"",H124/D124)</f>
        <v>0.10328765591369245</v>
      </c>
      <c r="J124" s="170"/>
      <c r="K124" s="187">
        <f>(D124-H124)/1000</f>
        <v>4.7807839760070046</v>
      </c>
      <c r="L124" s="187">
        <f>E124</f>
        <v>5.3314577495621718</v>
      </c>
      <c r="M124" s="187">
        <f>E124</f>
        <v>5.3314577495621718</v>
      </c>
      <c r="N124" s="187">
        <f>(D124+H124)/1000</f>
        <v>5.8821315231173381</v>
      </c>
      <c r="X124" s="595"/>
      <c r="Y124" s="595"/>
      <c r="Z124" s="595"/>
      <c r="AA124" s="595"/>
      <c r="AB124" s="595"/>
      <c r="AC124" s="595"/>
      <c r="AD124" s="595"/>
      <c r="AE124" s="595"/>
      <c r="AF124" s="595"/>
      <c r="AG124" s="595"/>
      <c r="AH124" s="595"/>
      <c r="AI124" s="595"/>
    </row>
    <row r="125" spans="2:42" s="91" customFormat="1" ht="13.2">
      <c r="B125" s="2660" t="s">
        <v>334</v>
      </c>
      <c r="C125" s="2661"/>
      <c r="D125" s="184">
        <f>D103+D113</f>
        <v>0</v>
      </c>
      <c r="E125" s="184">
        <f>D125/1000</f>
        <v>0</v>
      </c>
      <c r="F125" s="185">
        <f>IF($D$126=0,"",D125/$D$126)</f>
        <v>0</v>
      </c>
      <c r="G125" s="128"/>
      <c r="H125" s="184">
        <f>SQRT(AC103^2+AC113^2)</f>
        <v>0</v>
      </c>
      <c r="I125" s="185" t="str">
        <f>IF(D125=0,"",H125/D125)</f>
        <v/>
      </c>
      <c r="J125" s="170"/>
      <c r="K125" s="187">
        <f>(D125-H125)/1000</f>
        <v>0</v>
      </c>
      <c r="L125" s="187">
        <f>E125</f>
        <v>0</v>
      </c>
      <c r="M125" s="187">
        <f>E125</f>
        <v>0</v>
      </c>
      <c r="N125" s="187">
        <f>(D125+H125)/1000</f>
        <v>0</v>
      </c>
      <c r="X125" s="595"/>
      <c r="Y125" s="595"/>
      <c r="Z125" s="595"/>
      <c r="AA125" s="595"/>
      <c r="AB125" s="595"/>
      <c r="AC125" s="595"/>
      <c r="AD125" s="595"/>
      <c r="AE125" s="595"/>
      <c r="AF125" s="595"/>
      <c r="AG125" s="595"/>
      <c r="AH125" s="595"/>
      <c r="AI125" s="595"/>
    </row>
    <row r="126" spans="2:42" s="98" customFormat="1" ht="15">
      <c r="B126" s="2662" t="s">
        <v>348</v>
      </c>
      <c r="C126" s="2663"/>
      <c r="D126" s="188">
        <f>SUM(D122:D125)</f>
        <v>5331.4577495621716</v>
      </c>
      <c r="E126" s="189">
        <f>SUM(E122:E125)</f>
        <v>5.3314577495621718</v>
      </c>
      <c r="F126" s="190">
        <f>IF($D$126=0,"",D126/$D$126)</f>
        <v>1</v>
      </c>
      <c r="G126" s="191"/>
      <c r="H126" s="188">
        <f>SQRT(SUMSQ(H122:H125))</f>
        <v>550.67377355516669</v>
      </c>
      <c r="I126" s="190">
        <f>IF(D126=0,"",H126/D126)</f>
        <v>0.10328765591369245</v>
      </c>
      <c r="J126" s="192"/>
      <c r="K126" s="187">
        <f>(D126-H126)/1000</f>
        <v>4.7807839760070046</v>
      </c>
      <c r="L126" s="187">
        <f>E126</f>
        <v>5.3314577495621718</v>
      </c>
      <c r="M126" s="187">
        <f>E126</f>
        <v>5.3314577495621718</v>
      </c>
      <c r="N126" s="187">
        <f>(D126+H126)/1000</f>
        <v>5.8821315231173381</v>
      </c>
      <c r="X126" s="617"/>
      <c r="Y126" s="617"/>
      <c r="Z126" s="617"/>
      <c r="AA126" s="617"/>
      <c r="AB126" s="617"/>
      <c r="AC126" s="617"/>
      <c r="AD126" s="617"/>
      <c r="AE126" s="617"/>
      <c r="AF126" s="617"/>
      <c r="AG126" s="617"/>
      <c r="AH126" s="617"/>
      <c r="AI126" s="617"/>
    </row>
    <row r="127" spans="2:42" s="91" customFormat="1" ht="13.2">
      <c r="B127" s="131"/>
      <c r="C127" s="131"/>
      <c r="D127" s="131"/>
      <c r="E127" s="131"/>
      <c r="F127" s="131"/>
      <c r="G127" s="131"/>
      <c r="H127" s="172"/>
      <c r="I127" s="172"/>
      <c r="J127" s="173"/>
      <c r="K127" s="173"/>
      <c r="L127" s="173"/>
      <c r="M127" s="173"/>
      <c r="N127" s="173"/>
      <c r="X127" s="595"/>
      <c r="Y127" s="595"/>
      <c r="Z127" s="595"/>
      <c r="AA127" s="595"/>
      <c r="AB127" s="595"/>
      <c r="AC127" s="595"/>
      <c r="AD127" s="595"/>
      <c r="AE127" s="595"/>
      <c r="AF127" s="595"/>
      <c r="AG127" s="595"/>
      <c r="AH127" s="595"/>
      <c r="AI127" s="595"/>
    </row>
    <row r="128" spans="2:42" ht="12.9" customHeight="1">
      <c r="B128" s="261"/>
      <c r="C128" s="261"/>
      <c r="D128" s="261"/>
      <c r="E128" s="261"/>
      <c r="F128" s="261"/>
      <c r="G128" s="132"/>
      <c r="H128" s="261"/>
      <c r="I128" s="261"/>
      <c r="K128" s="261"/>
      <c r="L128" s="261"/>
      <c r="M128" s="261"/>
      <c r="N128" s="132"/>
      <c r="O128" s="132"/>
      <c r="AH128" s="593"/>
      <c r="AI128" s="593"/>
      <c r="AJ128" s="593"/>
      <c r="AK128" s="593"/>
      <c r="AL128" s="593"/>
    </row>
    <row r="129" spans="2:41" ht="15.6" collapsed="1">
      <c r="B129" s="2677" t="s">
        <v>519</v>
      </c>
      <c r="C129" s="2678"/>
      <c r="D129" s="2678"/>
      <c r="E129" s="2678"/>
      <c r="F129" s="2678"/>
      <c r="G129" s="2678"/>
      <c r="H129" s="2678"/>
      <c r="I129" s="2678"/>
      <c r="J129" s="2678"/>
      <c r="K129" s="2678"/>
      <c r="L129" s="2678"/>
      <c r="M129" s="2678"/>
      <c r="N129" s="2678"/>
      <c r="O129" s="2679"/>
    </row>
    <row r="130" spans="2:41" s="114" customFormat="1" ht="13.2" hidden="1" outlineLevel="1">
      <c r="AD130" s="441"/>
      <c r="AE130" s="441"/>
      <c r="AF130" s="441"/>
      <c r="AG130" s="441"/>
      <c r="AH130" s="576"/>
      <c r="AI130" s="576"/>
      <c r="AJ130" s="576"/>
      <c r="AK130" s="576"/>
      <c r="AL130" s="576"/>
      <c r="AM130" s="576"/>
      <c r="AN130" s="576"/>
      <c r="AO130" s="441"/>
    </row>
    <row r="131" spans="2:41" s="114" customFormat="1" ht="12.75" hidden="1" customHeight="1" outlineLevel="1">
      <c r="B131" s="2667" t="str">
        <f>B120</f>
        <v>Utilisation</v>
      </c>
      <c r="C131" s="2668"/>
      <c r="D131" s="2671" t="s">
        <v>409</v>
      </c>
      <c r="E131" s="2672"/>
      <c r="F131" s="2673"/>
      <c r="G131" s="170"/>
      <c r="H131" s="2671" t="s">
        <v>159</v>
      </c>
      <c r="I131" s="2673"/>
      <c r="J131" s="170"/>
      <c r="Y131" s="441"/>
      <c r="Z131" s="441"/>
      <c r="AA131" s="441"/>
      <c r="AB131" s="441"/>
      <c r="AC131" s="441"/>
      <c r="AD131" s="576"/>
      <c r="AE131" s="576"/>
      <c r="AF131" s="576"/>
      <c r="AG131" s="576"/>
      <c r="AH131" s="576"/>
      <c r="AI131" s="441"/>
      <c r="AJ131" s="441"/>
    </row>
    <row r="132" spans="2:41" s="114" customFormat="1" ht="12.75" hidden="1" customHeight="1" outlineLevel="1">
      <c r="B132" s="2669"/>
      <c r="C132" s="2670"/>
      <c r="D132" s="171" t="s">
        <v>444</v>
      </c>
      <c r="E132" s="171" t="s">
        <v>500</v>
      </c>
      <c r="F132" s="171" t="s">
        <v>524</v>
      </c>
      <c r="G132" s="176"/>
      <c r="H132" s="281" t="s">
        <v>444</v>
      </c>
      <c r="I132" s="281" t="s">
        <v>355</v>
      </c>
      <c r="J132" s="170"/>
      <c r="Y132" s="441"/>
      <c r="Z132" s="441"/>
      <c r="AA132" s="441"/>
      <c r="AB132" s="441"/>
      <c r="AC132" s="441"/>
      <c r="AD132" s="441"/>
      <c r="AE132" s="441"/>
      <c r="AF132" s="441"/>
      <c r="AG132" s="441"/>
      <c r="AH132" s="441"/>
      <c r="AI132" s="441"/>
      <c r="AJ132" s="441"/>
    </row>
    <row r="133" spans="2:41" s="114" customFormat="1" ht="12.75" hidden="1" customHeight="1" outlineLevel="1">
      <c r="B133" s="2660" t="s">
        <v>381</v>
      </c>
      <c r="C133" s="2661"/>
      <c r="D133" s="136">
        <f>T28+T40</f>
        <v>0</v>
      </c>
      <c r="E133" s="136">
        <f t="shared" ref="E133:E139" si="8">D133/1000</f>
        <v>0</v>
      </c>
      <c r="F133" s="185">
        <f>IF($D$140=0,"",D133/$D$140)</f>
        <v>0</v>
      </c>
      <c r="G133" s="170"/>
      <c r="H133" s="136">
        <f>SQRT(Z28^2+Z40^2)</f>
        <v>0</v>
      </c>
      <c r="I133" s="185" t="str">
        <f t="shared" ref="I133:I140" si="9">IF(D133=0,"",H133/D133)</f>
        <v/>
      </c>
      <c r="J133" s="170"/>
      <c r="K133" s="170"/>
      <c r="Y133" s="441"/>
      <c r="Z133" s="441"/>
      <c r="AA133" s="441"/>
      <c r="AB133" s="441"/>
      <c r="AC133" s="441"/>
      <c r="AD133" s="441"/>
      <c r="AE133" s="441"/>
      <c r="AF133" s="441"/>
      <c r="AG133" s="441"/>
      <c r="AH133" s="441"/>
      <c r="AI133" s="441"/>
      <c r="AJ133" s="441"/>
    </row>
    <row r="134" spans="2:41" s="114" customFormat="1" ht="12.75" hidden="1" customHeight="1" outlineLevel="1">
      <c r="B134" s="2660" t="s">
        <v>414</v>
      </c>
      <c r="C134" s="2661"/>
      <c r="D134" s="136">
        <f>S28+S40</f>
        <v>0</v>
      </c>
      <c r="E134" s="136">
        <f t="shared" si="8"/>
        <v>0</v>
      </c>
      <c r="F134" s="185">
        <f t="shared" ref="F134:F140" si="10">IF($D$140=0,"",D134/$D$140)</f>
        <v>0</v>
      </c>
      <c r="G134" s="170"/>
      <c r="H134" s="136">
        <f>SQRT(Y28^2+Y40^2)</f>
        <v>0</v>
      </c>
      <c r="I134" s="185" t="str">
        <f t="shared" si="9"/>
        <v/>
      </c>
      <c r="J134" s="170"/>
      <c r="K134" s="170"/>
      <c r="Y134" s="441"/>
      <c r="Z134" s="441"/>
      <c r="AA134" s="441"/>
      <c r="AB134" s="441"/>
      <c r="AC134" s="441"/>
      <c r="AD134" s="441"/>
      <c r="AE134" s="441"/>
      <c r="AF134" s="441"/>
      <c r="AG134" s="441"/>
      <c r="AH134" s="441"/>
      <c r="AI134" s="441"/>
      <c r="AJ134" s="441"/>
    </row>
    <row r="135" spans="2:41" s="114" customFormat="1" ht="12.75" hidden="1" customHeight="1" outlineLevel="1">
      <c r="B135" s="2660" t="s">
        <v>95</v>
      </c>
      <c r="C135" s="2661"/>
      <c r="D135" s="136">
        <f>D53+D63</f>
        <v>0</v>
      </c>
      <c r="E135" s="136">
        <f t="shared" si="8"/>
        <v>0</v>
      </c>
      <c r="F135" s="185">
        <f t="shared" si="10"/>
        <v>0</v>
      </c>
      <c r="G135" s="170"/>
      <c r="H135" s="136">
        <f>SQRT(AC53^2+AC63^2)</f>
        <v>0</v>
      </c>
      <c r="I135" s="185" t="str">
        <f t="shared" si="9"/>
        <v/>
      </c>
      <c r="J135" s="170"/>
      <c r="K135" s="170"/>
      <c r="Y135" s="441"/>
      <c r="Z135" s="441"/>
      <c r="AA135" s="441"/>
      <c r="AB135" s="441"/>
      <c r="AC135" s="441"/>
      <c r="AD135" s="441"/>
      <c r="AE135" s="441"/>
      <c r="AF135" s="441"/>
      <c r="AG135" s="441"/>
      <c r="AH135" s="441"/>
      <c r="AI135" s="441"/>
      <c r="AJ135" s="441"/>
    </row>
    <row r="136" spans="2:41" s="114" customFormat="1" ht="12.75" hidden="1" customHeight="1" outlineLevel="1">
      <c r="B136" s="2660" t="s">
        <v>2</v>
      </c>
      <c r="C136" s="2661"/>
      <c r="D136" s="136">
        <f>D77</f>
        <v>4894.3125</v>
      </c>
      <c r="E136" s="136">
        <f t="shared" si="8"/>
        <v>4.8943124999999998</v>
      </c>
      <c r="F136" s="185">
        <f t="shared" si="10"/>
        <v>0.91800643086816724</v>
      </c>
      <c r="G136" s="170"/>
      <c r="H136" s="136">
        <f>AC77</f>
        <v>489.43125000000003</v>
      </c>
      <c r="I136" s="185">
        <f t="shared" si="9"/>
        <v>0.1</v>
      </c>
      <c r="J136" s="170"/>
      <c r="K136" s="170"/>
      <c r="Y136" s="441"/>
      <c r="Z136" s="441"/>
      <c r="AA136" s="441"/>
      <c r="AB136" s="441"/>
      <c r="AC136" s="441"/>
      <c r="AD136" s="441"/>
      <c r="AE136" s="441"/>
      <c r="AF136" s="441"/>
      <c r="AG136" s="441"/>
      <c r="AH136" s="441"/>
      <c r="AI136" s="441"/>
      <c r="AJ136" s="441"/>
    </row>
    <row r="137" spans="2:41" s="114" customFormat="1" ht="12.75" hidden="1" customHeight="1" outlineLevel="1">
      <c r="B137" s="2660" t="s">
        <v>326</v>
      </c>
      <c r="C137" s="2661"/>
      <c r="D137" s="136">
        <f>D85</f>
        <v>437.14524956217161</v>
      </c>
      <c r="E137" s="136">
        <f t="shared" si="8"/>
        <v>0.4371452495621716</v>
      </c>
      <c r="F137" s="185">
        <f t="shared" si="10"/>
        <v>8.1993569131832797E-2</v>
      </c>
      <c r="G137" s="170"/>
      <c r="H137" s="136">
        <f>AC85</f>
        <v>252.3859275096859</v>
      </c>
      <c r="I137" s="185">
        <f t="shared" si="9"/>
        <v>0.57735026918962573</v>
      </c>
      <c r="J137" s="170"/>
      <c r="K137" s="170"/>
      <c r="Y137" s="441"/>
      <c r="Z137" s="441"/>
      <c r="AA137" s="441"/>
      <c r="AB137" s="441"/>
      <c r="AC137" s="441"/>
      <c r="AD137" s="441"/>
      <c r="AE137" s="441"/>
      <c r="AF137" s="441"/>
      <c r="AG137" s="441"/>
      <c r="AH137" s="441"/>
      <c r="AI137" s="441"/>
      <c r="AJ137" s="441"/>
    </row>
    <row r="138" spans="2:41" s="114" customFormat="1" ht="12.75" hidden="1" customHeight="1" outlineLevel="1">
      <c r="B138" s="2660" t="s">
        <v>194</v>
      </c>
      <c r="C138" s="2661"/>
      <c r="D138" s="136">
        <f>D103</f>
        <v>0</v>
      </c>
      <c r="E138" s="136">
        <f t="shared" si="8"/>
        <v>0</v>
      </c>
      <c r="F138" s="185">
        <f t="shared" si="10"/>
        <v>0</v>
      </c>
      <c r="G138" s="170"/>
      <c r="H138" s="136">
        <f>AC103</f>
        <v>0</v>
      </c>
      <c r="I138" s="185" t="str">
        <f t="shared" si="9"/>
        <v/>
      </c>
      <c r="J138" s="170"/>
      <c r="K138" s="170"/>
      <c r="Y138" s="441"/>
      <c r="Z138" s="441"/>
      <c r="AA138" s="441"/>
      <c r="AB138" s="441"/>
      <c r="AC138" s="441"/>
      <c r="AD138" s="441"/>
      <c r="AE138" s="441"/>
      <c r="AF138" s="441"/>
      <c r="AG138" s="441"/>
      <c r="AH138" s="441"/>
      <c r="AI138" s="441"/>
      <c r="AJ138" s="441"/>
    </row>
    <row r="139" spans="2:41" s="114" customFormat="1" ht="12.75" hidden="1" customHeight="1" outlineLevel="1">
      <c r="B139" s="2660" t="s">
        <v>91</v>
      </c>
      <c r="C139" s="2661"/>
      <c r="D139" s="136">
        <f>D113</f>
        <v>0</v>
      </c>
      <c r="E139" s="136">
        <f t="shared" si="8"/>
        <v>0</v>
      </c>
      <c r="F139" s="185">
        <f t="shared" si="10"/>
        <v>0</v>
      </c>
      <c r="G139" s="170"/>
      <c r="H139" s="136">
        <f>AC113</f>
        <v>0</v>
      </c>
      <c r="I139" s="185" t="str">
        <f t="shared" si="9"/>
        <v/>
      </c>
      <c r="J139" s="170"/>
      <c r="K139" s="170"/>
      <c r="Y139" s="441"/>
      <c r="Z139" s="441"/>
      <c r="AA139" s="441"/>
      <c r="AB139" s="441"/>
      <c r="AC139" s="441"/>
      <c r="AD139" s="441"/>
      <c r="AE139" s="441"/>
      <c r="AF139" s="441"/>
      <c r="AG139" s="441"/>
      <c r="AH139" s="441"/>
      <c r="AI139" s="441"/>
      <c r="AJ139" s="441"/>
    </row>
    <row r="140" spans="2:41" s="211" customFormat="1" ht="15" hidden="1" customHeight="1" outlineLevel="1">
      <c r="B140" s="2662" t="s">
        <v>348</v>
      </c>
      <c r="C140" s="2663"/>
      <c r="D140" s="188">
        <f>SUM(D133:D139)</f>
        <v>5331.4577495621716</v>
      </c>
      <c r="E140" s="238">
        <f>SUM(E133:E139)</f>
        <v>5.3314577495621718</v>
      </c>
      <c r="F140" s="190">
        <f t="shared" si="10"/>
        <v>1</v>
      </c>
      <c r="G140" s="192"/>
      <c r="H140" s="188">
        <f>SQRT(SUMSQ(H133:H139))</f>
        <v>550.67377355516669</v>
      </c>
      <c r="I140" s="190">
        <f t="shared" si="9"/>
        <v>0.10328765591369245</v>
      </c>
      <c r="J140" s="192"/>
      <c r="K140" s="192"/>
      <c r="Y140" s="445"/>
      <c r="Z140" s="445"/>
      <c r="AA140" s="445"/>
      <c r="AB140" s="445"/>
      <c r="AC140" s="445"/>
      <c r="AD140" s="445"/>
      <c r="AE140" s="445"/>
      <c r="AF140" s="445"/>
      <c r="AG140" s="445"/>
      <c r="AH140" s="445"/>
      <c r="AI140" s="445"/>
      <c r="AJ140" s="445"/>
    </row>
    <row r="141" spans="2:41" ht="13.2">
      <c r="AH141" s="441"/>
      <c r="AI141" s="441"/>
      <c r="AJ141" s="441"/>
      <c r="AK141" s="441"/>
      <c r="AL141" s="441"/>
    </row>
    <row r="142" spans="2:41" ht="15.6" collapsed="1">
      <c r="B142" s="2688" t="s">
        <v>525</v>
      </c>
      <c r="C142" s="2689"/>
      <c r="D142" s="2689"/>
      <c r="E142" s="2689"/>
      <c r="F142" s="2689"/>
      <c r="G142" s="2689"/>
      <c r="H142" s="2689"/>
      <c r="I142" s="2689"/>
      <c r="J142" s="2689"/>
      <c r="K142" s="2689"/>
      <c r="L142" s="2689"/>
      <c r="M142" s="2689"/>
      <c r="N142" s="2689"/>
      <c r="O142" s="2690"/>
    </row>
    <row r="143" spans="2:41" hidden="1" outlineLevel="1"/>
    <row r="144" spans="2:41" ht="38.25" hidden="1" customHeight="1" outlineLevel="1">
      <c r="B144" s="229"/>
      <c r="C144" s="229"/>
      <c r="D144" s="229"/>
      <c r="E144" s="2691" t="s">
        <v>448</v>
      </c>
      <c r="F144" s="2692"/>
      <c r="G144" s="2692"/>
      <c r="H144" s="2692"/>
      <c r="I144" s="2692"/>
      <c r="J144" s="2692"/>
      <c r="K144" s="2692"/>
      <c r="L144" s="2693"/>
      <c r="M144" s="101" t="s">
        <v>440</v>
      </c>
    </row>
    <row r="145" spans="2:13" ht="38.25" hidden="1" customHeight="1" outlineLevel="1">
      <c r="B145" s="2691" t="s">
        <v>438</v>
      </c>
      <c r="C145" s="2693"/>
      <c r="D145" s="110" t="s">
        <v>458</v>
      </c>
      <c r="E145" s="111" t="s">
        <v>853</v>
      </c>
      <c r="F145" s="111" t="s">
        <v>854</v>
      </c>
      <c r="G145" s="111" t="s">
        <v>855</v>
      </c>
      <c r="H145" s="111" t="s">
        <v>852</v>
      </c>
      <c r="I145" s="110" t="s">
        <v>513</v>
      </c>
      <c r="J145" s="111" t="s">
        <v>856</v>
      </c>
      <c r="K145" s="111" t="s">
        <v>891</v>
      </c>
      <c r="L145" s="112" t="s">
        <v>514</v>
      </c>
      <c r="M145" s="110" t="s">
        <v>857</v>
      </c>
    </row>
    <row r="146" spans="2:13" ht="15" hidden="1" customHeight="1" outlineLevel="1">
      <c r="B146" s="2680" t="s">
        <v>459</v>
      </c>
      <c r="C146" s="2681"/>
      <c r="D146" s="230">
        <v>1</v>
      </c>
      <c r="E146" s="631"/>
      <c r="F146" s="631"/>
      <c r="G146" s="631"/>
      <c r="H146" s="631"/>
      <c r="I146" s="631"/>
      <c r="J146" s="631"/>
      <c r="K146" s="802"/>
      <c r="L146" s="632"/>
      <c r="M146" s="633"/>
    </row>
    <row r="147" spans="2:13" ht="12.75" hidden="1" customHeight="1" outlineLevel="1">
      <c r="B147" s="2680" t="s">
        <v>460</v>
      </c>
      <c r="C147" s="2681"/>
      <c r="D147" s="230">
        <v>2</v>
      </c>
      <c r="E147" s="631"/>
      <c r="F147" s="631"/>
      <c r="G147" s="631"/>
      <c r="H147" s="631"/>
      <c r="I147" s="631"/>
      <c r="J147" s="631"/>
      <c r="K147" s="802"/>
      <c r="L147" s="632"/>
      <c r="M147" s="633"/>
    </row>
    <row r="148" spans="2:13" ht="12.75" hidden="1" customHeight="1" outlineLevel="1">
      <c r="B148" s="2680" t="s">
        <v>461</v>
      </c>
      <c r="C148" s="2681"/>
      <c r="D148" s="230">
        <v>3</v>
      </c>
      <c r="E148" s="631"/>
      <c r="F148" s="631"/>
      <c r="G148" s="631"/>
      <c r="H148" s="631"/>
      <c r="I148" s="631"/>
      <c r="J148" s="631"/>
      <c r="K148" s="802"/>
      <c r="L148" s="632"/>
      <c r="M148" s="633"/>
    </row>
    <row r="149" spans="2:13" ht="12.75" hidden="1" customHeight="1" outlineLevel="1">
      <c r="B149" s="2680" t="s">
        <v>462</v>
      </c>
      <c r="C149" s="2681"/>
      <c r="D149" s="230">
        <v>4</v>
      </c>
      <c r="E149" s="631"/>
      <c r="F149" s="631"/>
      <c r="G149" s="631"/>
      <c r="H149" s="631"/>
      <c r="I149" s="631"/>
      <c r="J149" s="631"/>
      <c r="K149" s="802"/>
      <c r="L149" s="632"/>
      <c r="M149" s="633"/>
    </row>
    <row r="150" spans="2:13" ht="12.75" hidden="1" customHeight="1" outlineLevel="1">
      <c r="B150" s="2680" t="s">
        <v>463</v>
      </c>
      <c r="C150" s="2681"/>
      <c r="D150" s="230">
        <v>5</v>
      </c>
      <c r="E150" s="631"/>
      <c r="F150" s="631"/>
      <c r="G150" s="631"/>
      <c r="H150" s="631"/>
      <c r="I150" s="631"/>
      <c r="J150" s="631"/>
      <c r="K150" s="802"/>
      <c r="L150" s="632"/>
      <c r="M150" s="633"/>
    </row>
    <row r="151" spans="2:13" ht="12.75" hidden="1" customHeight="1" outlineLevel="1">
      <c r="B151" s="2682"/>
      <c r="C151" s="2683"/>
      <c r="D151" s="133" t="s">
        <v>439</v>
      </c>
      <c r="E151" s="634">
        <f t="shared" ref="E151:M151" si="11">SUM(E146:E150)</f>
        <v>0</v>
      </c>
      <c r="F151" s="634">
        <f t="shared" si="11"/>
        <v>0</v>
      </c>
      <c r="G151" s="634">
        <f t="shared" si="11"/>
        <v>0</v>
      </c>
      <c r="H151" s="634">
        <f t="shared" si="11"/>
        <v>0</v>
      </c>
      <c r="I151" s="634">
        <f t="shared" si="11"/>
        <v>0</v>
      </c>
      <c r="J151" s="634">
        <f>SUM(J146:J150)</f>
        <v>0</v>
      </c>
      <c r="K151" s="807">
        <f>SUM(K146:K150)</f>
        <v>0</v>
      </c>
      <c r="L151" s="635">
        <f>SQRT(SUMSQ(L146:L150))</f>
        <v>0</v>
      </c>
      <c r="M151" s="636">
        <f t="shared" si="11"/>
        <v>0</v>
      </c>
    </row>
    <row r="152" spans="2:13" ht="15" hidden="1" customHeight="1" outlineLevel="1">
      <c r="B152" s="2684" t="s">
        <v>464</v>
      </c>
      <c r="C152" s="2685"/>
      <c r="D152" s="231">
        <v>6</v>
      </c>
      <c r="E152" s="637"/>
      <c r="F152" s="637"/>
      <c r="G152" s="637"/>
      <c r="H152" s="637"/>
      <c r="I152" s="637"/>
      <c r="J152" s="637"/>
      <c r="K152" s="808"/>
      <c r="L152" s="632"/>
      <c r="M152" s="638"/>
    </row>
    <row r="153" spans="2:13" ht="12.75" hidden="1" customHeight="1" outlineLevel="1">
      <c r="B153" s="2686" t="s">
        <v>465</v>
      </c>
      <c r="C153" s="2687"/>
      <c r="D153" s="231">
        <v>7</v>
      </c>
      <c r="E153" s="637"/>
      <c r="F153" s="637"/>
      <c r="G153" s="637"/>
      <c r="H153" s="637"/>
      <c r="I153" s="637"/>
      <c r="J153" s="637"/>
      <c r="K153" s="808"/>
      <c r="L153" s="632"/>
      <c r="M153" s="638"/>
    </row>
    <row r="154" spans="2:13" ht="12.75" hidden="1" customHeight="1" outlineLevel="1">
      <c r="B154" s="2696"/>
      <c r="C154" s="2697"/>
      <c r="D154" s="134" t="s">
        <v>439</v>
      </c>
      <c r="E154" s="639">
        <f t="shared" ref="E154:M154" si="12">SUM(E152:E153)</f>
        <v>0</v>
      </c>
      <c r="F154" s="639">
        <f t="shared" si="12"/>
        <v>0</v>
      </c>
      <c r="G154" s="639">
        <f t="shared" si="12"/>
        <v>0</v>
      </c>
      <c r="H154" s="639">
        <f t="shared" si="12"/>
        <v>0</v>
      </c>
      <c r="I154" s="639">
        <f t="shared" si="12"/>
        <v>0</v>
      </c>
      <c r="J154" s="639">
        <f t="shared" si="12"/>
        <v>0</v>
      </c>
      <c r="K154" s="810">
        <v>0</v>
      </c>
      <c r="L154" s="635">
        <f>SQRT(SUMSQ(L152:L153))</f>
        <v>0</v>
      </c>
      <c r="M154" s="640">
        <f t="shared" si="12"/>
        <v>0</v>
      </c>
    </row>
    <row r="155" spans="2:13" ht="15" hidden="1" customHeight="1" outlineLevel="1">
      <c r="B155" s="2694" t="s">
        <v>466</v>
      </c>
      <c r="C155" s="2695"/>
      <c r="D155" s="232">
        <v>8</v>
      </c>
      <c r="E155" s="641"/>
      <c r="F155" s="641"/>
      <c r="G155" s="641"/>
      <c r="H155" s="641"/>
      <c r="I155" s="641"/>
      <c r="J155" s="641"/>
      <c r="K155" s="812"/>
      <c r="L155" s="632"/>
      <c r="M155" s="641"/>
    </row>
    <row r="156" spans="2:13" ht="12.75" hidden="1" customHeight="1" outlineLevel="1">
      <c r="B156" s="2694" t="s">
        <v>467</v>
      </c>
      <c r="C156" s="2695"/>
      <c r="D156" s="232">
        <v>9</v>
      </c>
      <c r="E156" s="641"/>
      <c r="F156" s="641"/>
      <c r="G156" s="641"/>
      <c r="H156" s="641"/>
      <c r="I156" s="641"/>
      <c r="J156" s="641"/>
      <c r="K156" s="812"/>
      <c r="L156" s="632"/>
      <c r="M156" s="641"/>
    </row>
    <row r="157" spans="2:13" ht="12.75" hidden="1" customHeight="1" outlineLevel="1">
      <c r="B157" s="2694" t="s">
        <v>468</v>
      </c>
      <c r="C157" s="2695"/>
      <c r="D157" s="232">
        <v>10</v>
      </c>
      <c r="E157" s="641"/>
      <c r="F157" s="641"/>
      <c r="G157" s="641"/>
      <c r="H157" s="641"/>
      <c r="I157" s="641"/>
      <c r="J157" s="641"/>
      <c r="K157" s="812"/>
      <c r="L157" s="632"/>
      <c r="M157" s="641"/>
    </row>
    <row r="158" spans="2:13" ht="12.75" hidden="1" customHeight="1" outlineLevel="1">
      <c r="B158" s="2694" t="s">
        <v>386</v>
      </c>
      <c r="C158" s="2695"/>
      <c r="D158" s="232">
        <v>11</v>
      </c>
      <c r="E158" s="641"/>
      <c r="F158" s="641"/>
      <c r="G158" s="641"/>
      <c r="H158" s="641"/>
      <c r="I158" s="641"/>
      <c r="J158" s="641"/>
      <c r="K158" s="812"/>
      <c r="L158" s="632"/>
      <c r="M158" s="641"/>
    </row>
    <row r="159" spans="2:13" ht="12.75" hidden="1" customHeight="1" outlineLevel="1">
      <c r="B159" s="2694" t="s">
        <v>469</v>
      </c>
      <c r="C159" s="2695"/>
      <c r="D159" s="232">
        <v>12</v>
      </c>
      <c r="E159" s="641"/>
      <c r="F159" s="641"/>
      <c r="G159" s="641"/>
      <c r="H159" s="641"/>
      <c r="I159" s="641"/>
      <c r="J159" s="641"/>
      <c r="K159" s="812"/>
      <c r="L159" s="632"/>
      <c r="M159" s="641"/>
    </row>
    <row r="160" spans="2:13" ht="12.75" hidden="1" customHeight="1" outlineLevel="1">
      <c r="B160" s="2694" t="s">
        <v>470</v>
      </c>
      <c r="C160" s="2695"/>
      <c r="D160" s="232">
        <v>13</v>
      </c>
      <c r="E160" s="641"/>
      <c r="F160" s="641"/>
      <c r="G160" s="641"/>
      <c r="H160" s="641"/>
      <c r="I160" s="641"/>
      <c r="J160" s="641"/>
      <c r="K160" s="812"/>
      <c r="L160" s="632"/>
      <c r="M160" s="641"/>
    </row>
    <row r="161" spans="2:28" ht="12.75" hidden="1" customHeight="1" outlineLevel="1">
      <c r="B161" s="2694" t="s">
        <v>471</v>
      </c>
      <c r="C161" s="2695"/>
      <c r="D161" s="232">
        <v>14</v>
      </c>
      <c r="E161" s="641"/>
      <c r="F161" s="641"/>
      <c r="G161" s="641"/>
      <c r="H161" s="641"/>
      <c r="I161" s="641"/>
      <c r="J161" s="641"/>
      <c r="K161" s="812"/>
      <c r="L161" s="632"/>
      <c r="M161" s="641"/>
    </row>
    <row r="162" spans="2:28" ht="12.75" hidden="1" customHeight="1" outlineLevel="1">
      <c r="B162" s="2694" t="s">
        <v>472</v>
      </c>
      <c r="C162" s="2695"/>
      <c r="D162" s="232">
        <v>15</v>
      </c>
      <c r="E162" s="641"/>
      <c r="F162" s="641"/>
      <c r="G162" s="641"/>
      <c r="H162" s="641"/>
      <c r="I162" s="641"/>
      <c r="J162" s="641"/>
      <c r="K162" s="812"/>
      <c r="L162" s="632"/>
      <c r="M162" s="641"/>
    </row>
    <row r="163" spans="2:28" ht="12.75" hidden="1" customHeight="1" outlineLevel="1">
      <c r="B163" s="2694" t="s">
        <v>473</v>
      </c>
      <c r="C163" s="2695"/>
      <c r="D163" s="232">
        <v>16</v>
      </c>
      <c r="E163" s="641"/>
      <c r="F163" s="641"/>
      <c r="G163" s="641"/>
      <c r="H163" s="641"/>
      <c r="I163" s="641"/>
      <c r="J163" s="641"/>
      <c r="K163" s="812"/>
      <c r="L163" s="632"/>
      <c r="M163" s="641"/>
    </row>
    <row r="164" spans="2:28" ht="12.75" hidden="1" customHeight="1" outlineLevel="1">
      <c r="B164" s="2694" t="s">
        <v>474</v>
      </c>
      <c r="C164" s="2695"/>
      <c r="D164" s="232">
        <v>17</v>
      </c>
      <c r="E164" s="641"/>
      <c r="F164" s="641"/>
      <c r="G164" s="641"/>
      <c r="H164" s="641"/>
      <c r="I164" s="641"/>
      <c r="J164" s="641"/>
      <c r="K164" s="812"/>
      <c r="L164" s="632"/>
      <c r="M164" s="641"/>
    </row>
    <row r="165" spans="2:28" ht="12.75" hidden="1" customHeight="1" outlineLevel="1">
      <c r="B165" s="2694" t="s">
        <v>475</v>
      </c>
      <c r="C165" s="2695"/>
      <c r="D165" s="232">
        <v>18</v>
      </c>
      <c r="E165" s="641">
        <f>AE28+AF28+AE40+AF40+AE53+AE63+AE77+AE85+AE103-E168</f>
        <v>5331.4577495621716</v>
      </c>
      <c r="F165" s="641">
        <f>AG28+AH28+AG40+AH40+AG53+AG63+AG77+AG85+AG103-F168</f>
        <v>0</v>
      </c>
      <c r="G165" s="641">
        <f>AI28+AJ28+AI40+AJ40+AI53+AI63+AI77+AI85+AI103-G168</f>
        <v>0</v>
      </c>
      <c r="H165" s="641">
        <f>AK28+AL28+AK40+AL40+AK53+AK63+AK77+AK85+AK103-H168</f>
        <v>0</v>
      </c>
      <c r="I165" s="641">
        <f>SUM(E165:H165)+IF('Bilan GES'!E38="Oui",K165,0)</f>
        <v>5331.4577495621716</v>
      </c>
      <c r="J165" s="641">
        <f>AO28+AP28+AO40+AP40+AO53+AO63+AO77+AO85+AO103-J168</f>
        <v>0</v>
      </c>
      <c r="K165" s="812">
        <f>AK113-K168</f>
        <v>0</v>
      </c>
      <c r="L165" s="632">
        <f>SQRT(AA28^2+AA40^2+AC53^2+AC63^2+AC77^2+AC85^2+AC103^2+IF('Bilan GES'!E38="Oui",AC113^2,0)-(L168^2))</f>
        <v>550.67377355516669</v>
      </c>
      <c r="M165" s="641"/>
    </row>
    <row r="166" spans="2:28" ht="12.75" hidden="1" customHeight="1" outlineLevel="1">
      <c r="B166" s="2694" t="s">
        <v>476</v>
      </c>
      <c r="C166" s="2695"/>
      <c r="D166" s="232">
        <v>19</v>
      </c>
      <c r="E166" s="641"/>
      <c r="F166" s="641"/>
      <c r="G166" s="641"/>
      <c r="H166" s="641"/>
      <c r="I166" s="641"/>
      <c r="J166" s="641"/>
      <c r="K166" s="812"/>
      <c r="L166" s="632"/>
      <c r="M166" s="641"/>
    </row>
    <row r="167" spans="2:28" ht="12.75" hidden="1" customHeight="1" outlineLevel="1">
      <c r="B167" s="2694" t="s">
        <v>477</v>
      </c>
      <c r="C167" s="2695"/>
      <c r="D167" s="232">
        <v>20</v>
      </c>
      <c r="E167" s="641"/>
      <c r="F167" s="641"/>
      <c r="G167" s="641"/>
      <c r="H167" s="641"/>
      <c r="I167" s="641"/>
      <c r="J167" s="641"/>
      <c r="K167" s="812"/>
      <c r="L167" s="632"/>
      <c r="M167" s="641"/>
    </row>
    <row r="168" spans="2:28" ht="12.75" hidden="1" customHeight="1" outlineLevel="1">
      <c r="B168" s="2694" t="s">
        <v>478</v>
      </c>
      <c r="C168" s="2695"/>
      <c r="D168" s="232">
        <v>21</v>
      </c>
      <c r="E168" s="641">
        <f>SUMIF($F$9:$F$40,Utilitaires!$O$586,AF9:AF40)+SUMIF($F$9:$F$103,Utilitaires!$O$586,AE9:AE103)+H83*SUMIF($F$68:$F$77,Utilitaires!$O$586,AE68:AE77)</f>
        <v>0</v>
      </c>
      <c r="F168" s="641">
        <f>SUMIF($F$9:$F$40,Utilitaires!$O$586,AH9:AH40)+SUMIF($F$9:$F$103,Utilitaires!$O$586,AG9:AG103)+H83*SUMIF($F$68:$F$77,Utilitaires!$O$586,AG68:AG77)</f>
        <v>0</v>
      </c>
      <c r="G168" s="641">
        <f>SUMIF($F$9:$F$40,Utilitaires!$O$586,AJ9:AJ40)+SUMIF($F$9:$F$103,Utilitaires!$O$586,AI9:AI103)+H83*SUMIF($F$68:$F$77,Utilitaires!$O$586,AI68:AI77)</f>
        <v>0</v>
      </c>
      <c r="H168" s="641">
        <f>SUMIF($F$9:$F$40,Utilitaires!$O$586,AL9:AL40)+SUMIF($F$9:$F$103,Utilitaires!$O$586,AK9:AK103)+H83*SUMIF($F$68:$F$77,Utilitaires!$O$586,AK68:AK77)</f>
        <v>0</v>
      </c>
      <c r="I168" s="641">
        <f>SUM(E168:H168)+IF('Bilan GES'!E38="Oui",K168,0)</f>
        <v>0</v>
      </c>
      <c r="J168" s="641">
        <f>SUMIF($F$9:$F$40,Utilitaires!$O$586,AP9:AP40)+SUMIF($F$9:$F$103,Utilitaires!$O$586,AO9:AO103)+H83*SUMIF($F$68:$F$77,Utilitaires!$O$586,AO68:AO77)</f>
        <v>0</v>
      </c>
      <c r="K168" s="812">
        <f xml:space="preserve"> SUMIF($F$109:$F$113,Utilitaires!$O$586,AM109:AM113)</f>
        <v>0</v>
      </c>
      <c r="L168" s="632">
        <f>SQRT(SUMPRODUCT(($F$9:$F$40=Utilitaires!$O$586)*1,AA9:AA40,AA9:AA40)+SUMPRODUCT(($F$46:IF('Bilan GES'!E38="Oui",$F$113,$F$103)=Utilitaires!$O$586)*1,AC46:IF('Bilan GES'!E38="Oui",AC$113,AC$103),AC46:IF('Bilan GES'!E38="Oui",AC$113,AC$103))+(H83^2)*SUMPRODUCT(($F$68:$F$85=Utilitaires!$O$586)*1,AC68:AC85,AC68:AC85))</f>
        <v>0</v>
      </c>
      <c r="M168" s="641"/>
      <c r="N168" s="939"/>
    </row>
    <row r="169" spans="2:28" ht="12.75" hidden="1" customHeight="1" outlineLevel="1">
      <c r="B169" s="2694" t="s">
        <v>479</v>
      </c>
      <c r="C169" s="2695"/>
      <c r="D169" s="232">
        <v>22</v>
      </c>
      <c r="E169" s="641"/>
      <c r="F169" s="641"/>
      <c r="G169" s="641"/>
      <c r="H169" s="641"/>
      <c r="I169" s="641"/>
      <c r="J169" s="641"/>
      <c r="K169" s="812"/>
      <c r="L169" s="632"/>
      <c r="M169" s="641"/>
    </row>
    <row r="170" spans="2:28" ht="12.75" hidden="1" customHeight="1" outlineLevel="1">
      <c r="B170" s="2694" t="s">
        <v>449</v>
      </c>
      <c r="C170" s="2695"/>
      <c r="D170" s="232">
        <v>23</v>
      </c>
      <c r="E170" s="641"/>
      <c r="F170" s="641"/>
      <c r="G170" s="641"/>
      <c r="H170" s="641"/>
      <c r="I170" s="641"/>
      <c r="J170" s="641"/>
      <c r="K170" s="812"/>
      <c r="L170" s="632"/>
      <c r="M170" s="641"/>
    </row>
    <row r="171" spans="2:28" ht="12.75" hidden="1" customHeight="1" outlineLevel="1">
      <c r="B171" s="2706"/>
      <c r="C171" s="2707"/>
      <c r="D171" s="135" t="s">
        <v>439</v>
      </c>
      <c r="E171" s="642">
        <f t="shared" ref="E171:J171" si="13">SUM(E155:E170)</f>
        <v>5331.4577495621716</v>
      </c>
      <c r="F171" s="642">
        <f t="shared" si="13"/>
        <v>0</v>
      </c>
      <c r="G171" s="642">
        <f t="shared" si="13"/>
        <v>0</v>
      </c>
      <c r="H171" s="642">
        <f t="shared" si="13"/>
        <v>0</v>
      </c>
      <c r="I171" s="642">
        <f t="shared" si="13"/>
        <v>5331.4577495621716</v>
      </c>
      <c r="J171" s="642">
        <f t="shared" si="13"/>
        <v>0</v>
      </c>
      <c r="K171" s="813">
        <f>SUM(K155:K170)</f>
        <v>0</v>
      </c>
      <c r="L171" s="635">
        <f>SQRT(SUMSQ(L155:L170))</f>
        <v>550.67377355516669</v>
      </c>
      <c r="M171" s="642">
        <f>SUM(M155:M170)</f>
        <v>0</v>
      </c>
    </row>
    <row r="172" spans="2:28" hidden="1" outlineLevel="1"/>
    <row r="174" spans="2:28" ht="15.6" collapsed="1">
      <c r="B174" s="2698" t="s">
        <v>721</v>
      </c>
      <c r="C174" s="2699"/>
      <c r="D174" s="2699"/>
      <c r="E174" s="2699"/>
      <c r="F174" s="2699"/>
      <c r="G174" s="2699"/>
      <c r="H174" s="2699"/>
      <c r="I174" s="2699"/>
      <c r="J174" s="2699"/>
      <c r="K174" s="2699"/>
      <c r="L174" s="2699"/>
      <c r="M174" s="2699"/>
      <c r="N174" s="2699"/>
      <c r="O174" s="2700"/>
      <c r="W174" s="817"/>
      <c r="AB174" s="817"/>
    </row>
    <row r="175" spans="2:28" hidden="1" outlineLevel="1">
      <c r="W175" s="817"/>
      <c r="AB175" s="817"/>
    </row>
    <row r="176" spans="2:28" ht="38.25" hidden="1" customHeight="1" outlineLevel="1">
      <c r="B176" s="205"/>
      <c r="C176" s="205"/>
      <c r="D176" s="205"/>
      <c r="E176" s="2701" t="s">
        <v>448</v>
      </c>
      <c r="F176" s="2702"/>
      <c r="G176" s="2702"/>
      <c r="H176" s="2702"/>
      <c r="I176" s="2702"/>
      <c r="J176" s="2702"/>
      <c r="K176" s="2702"/>
      <c r="L176" s="2702"/>
      <c r="M176" s="2702"/>
      <c r="N176" s="2703"/>
      <c r="O176" s="865" t="s">
        <v>440</v>
      </c>
      <c r="W176" s="817"/>
      <c r="AB176" s="817"/>
    </row>
    <row r="177" spans="2:44" ht="25.5" hidden="1" customHeight="1" outlineLevel="1">
      <c r="B177" s="2701" t="s">
        <v>438</v>
      </c>
      <c r="C177" s="2703"/>
      <c r="D177" s="867" t="s">
        <v>458</v>
      </c>
      <c r="E177" s="866" t="s">
        <v>853</v>
      </c>
      <c r="F177" s="866" t="s">
        <v>854</v>
      </c>
      <c r="G177" s="866" t="s">
        <v>855</v>
      </c>
      <c r="H177" s="866" t="s">
        <v>858</v>
      </c>
      <c r="I177" s="866" t="s">
        <v>859</v>
      </c>
      <c r="J177" s="866" t="s">
        <v>860</v>
      </c>
      <c r="K177" s="866" t="s">
        <v>852</v>
      </c>
      <c r="L177" s="867" t="s">
        <v>513</v>
      </c>
      <c r="M177" s="866" t="s">
        <v>856</v>
      </c>
      <c r="N177" s="866" t="s">
        <v>514</v>
      </c>
      <c r="O177" s="867" t="s">
        <v>513</v>
      </c>
      <c r="Z177" s="817"/>
      <c r="AD177" s="113"/>
      <c r="AE177" s="113"/>
      <c r="AF177" s="113"/>
      <c r="AP177" s="576"/>
      <c r="AQ177" s="576"/>
      <c r="AR177" s="576"/>
    </row>
    <row r="178" spans="2:44" ht="12.75" hidden="1" customHeight="1" outlineLevel="1">
      <c r="B178" s="2704" t="s">
        <v>459</v>
      </c>
      <c r="C178" s="2705"/>
      <c r="D178" s="861" t="s">
        <v>727</v>
      </c>
      <c r="E178" s="855"/>
      <c r="F178" s="855"/>
      <c r="G178" s="855"/>
      <c r="H178" s="855"/>
      <c r="I178" s="855"/>
      <c r="J178" s="855"/>
      <c r="K178" s="855"/>
      <c r="L178" s="864"/>
      <c r="M178" s="853"/>
      <c r="N178" s="858"/>
      <c r="O178" s="857"/>
      <c r="Z178" s="817"/>
      <c r="AD178" s="113"/>
      <c r="AE178" s="113"/>
      <c r="AF178" s="113"/>
      <c r="AP178" s="576"/>
      <c r="AQ178" s="576"/>
      <c r="AR178" s="576"/>
    </row>
    <row r="179" spans="2:44" ht="12.75" hidden="1" customHeight="1" outlineLevel="1">
      <c r="B179" s="2704" t="s">
        <v>722</v>
      </c>
      <c r="C179" s="2705"/>
      <c r="D179" s="862" t="s">
        <v>728</v>
      </c>
      <c r="E179" s="855"/>
      <c r="F179" s="855"/>
      <c r="G179" s="855"/>
      <c r="H179" s="855"/>
      <c r="I179" s="855"/>
      <c r="J179" s="855"/>
      <c r="K179" s="855"/>
      <c r="L179" s="864"/>
      <c r="M179" s="853"/>
      <c r="N179" s="858"/>
      <c r="O179" s="857"/>
      <c r="Z179" s="817"/>
      <c r="AD179" s="113"/>
      <c r="AE179" s="113"/>
      <c r="AF179" s="113"/>
      <c r="AP179" s="576"/>
      <c r="AQ179" s="576"/>
      <c r="AR179" s="576"/>
    </row>
    <row r="180" spans="2:44" ht="12.75" hidden="1" customHeight="1" outlineLevel="1">
      <c r="B180" s="2704" t="s">
        <v>723</v>
      </c>
      <c r="C180" s="2705"/>
      <c r="D180" s="862" t="s">
        <v>729</v>
      </c>
      <c r="E180" s="855"/>
      <c r="F180" s="855"/>
      <c r="G180" s="855"/>
      <c r="H180" s="855"/>
      <c r="I180" s="855"/>
      <c r="J180" s="855"/>
      <c r="K180" s="855"/>
      <c r="L180" s="864"/>
      <c r="M180" s="853"/>
      <c r="N180" s="858"/>
      <c r="O180" s="857"/>
      <c r="Z180" s="817"/>
      <c r="AD180" s="113"/>
      <c r="AE180" s="113"/>
      <c r="AF180" s="113"/>
      <c r="AP180" s="576"/>
      <c r="AQ180" s="576"/>
      <c r="AR180" s="576"/>
    </row>
    <row r="181" spans="2:44" ht="12.75" hidden="1" customHeight="1" outlineLevel="1">
      <c r="B181" s="2704" t="s">
        <v>462</v>
      </c>
      <c r="C181" s="2705"/>
      <c r="D181" s="862" t="s">
        <v>730</v>
      </c>
      <c r="E181" s="855"/>
      <c r="F181" s="855"/>
      <c r="G181" s="855"/>
      <c r="H181" s="855"/>
      <c r="I181" s="855"/>
      <c r="J181" s="855"/>
      <c r="K181" s="855"/>
      <c r="L181" s="864"/>
      <c r="M181" s="853"/>
      <c r="N181" s="858"/>
      <c r="O181" s="857"/>
      <c r="Z181" s="817"/>
      <c r="AD181" s="113"/>
      <c r="AE181" s="113"/>
      <c r="AF181" s="113"/>
      <c r="AP181" s="576"/>
      <c r="AQ181" s="576"/>
      <c r="AR181" s="576"/>
    </row>
    <row r="182" spans="2:44" ht="12.75" hidden="1" customHeight="1" outlineLevel="1">
      <c r="B182" s="2710" t="s">
        <v>726</v>
      </c>
      <c r="C182" s="2711"/>
      <c r="D182" s="2712"/>
      <c r="E182" s="852">
        <f t="shared" ref="E182:O182" si="14">SUM(E178:E181)</f>
        <v>0</v>
      </c>
      <c r="F182" s="852">
        <f t="shared" si="14"/>
        <v>0</v>
      </c>
      <c r="G182" s="852">
        <f t="shared" si="14"/>
        <v>0</v>
      </c>
      <c r="H182" s="852">
        <f t="shared" si="14"/>
        <v>0</v>
      </c>
      <c r="I182" s="852">
        <f t="shared" si="14"/>
        <v>0</v>
      </c>
      <c r="J182" s="852">
        <f t="shared" si="14"/>
        <v>0</v>
      </c>
      <c r="K182" s="852">
        <f t="shared" si="14"/>
        <v>0</v>
      </c>
      <c r="L182" s="852">
        <f t="shared" si="14"/>
        <v>0</v>
      </c>
      <c r="M182" s="863">
        <f t="shared" si="14"/>
        <v>0</v>
      </c>
      <c r="N182" s="859">
        <f>SQRT(SUMSQ(N178:N181))</f>
        <v>0</v>
      </c>
      <c r="O182" s="860">
        <f t="shared" si="14"/>
        <v>0</v>
      </c>
      <c r="Z182" s="817"/>
      <c r="AD182" s="113"/>
      <c r="AE182" s="113"/>
      <c r="AF182" s="113"/>
      <c r="AP182" s="576"/>
      <c r="AQ182" s="576"/>
      <c r="AR182" s="576"/>
    </row>
    <row r="183" spans="2:44" ht="12.75" hidden="1" customHeight="1" outlineLevel="1">
      <c r="B183" s="2704" t="s">
        <v>464</v>
      </c>
      <c r="C183" s="2705"/>
      <c r="D183" s="862" t="s">
        <v>731</v>
      </c>
      <c r="E183" s="855"/>
      <c r="F183" s="855"/>
      <c r="G183" s="855"/>
      <c r="H183" s="855"/>
      <c r="I183" s="855"/>
      <c r="J183" s="855"/>
      <c r="K183" s="855"/>
      <c r="L183" s="864"/>
      <c r="M183" s="853"/>
      <c r="N183" s="858"/>
      <c r="O183" s="856"/>
      <c r="Z183" s="817"/>
      <c r="AD183" s="113"/>
      <c r="AE183" s="113"/>
      <c r="AF183" s="113"/>
      <c r="AP183" s="576"/>
      <c r="AQ183" s="576"/>
      <c r="AR183" s="576"/>
    </row>
    <row r="184" spans="2:44" ht="12.75" hidden="1" customHeight="1" outlineLevel="1">
      <c r="B184" s="2708" t="s">
        <v>465</v>
      </c>
      <c r="C184" s="2709"/>
      <c r="D184" s="862" t="s">
        <v>732</v>
      </c>
      <c r="E184" s="855"/>
      <c r="F184" s="855"/>
      <c r="G184" s="855"/>
      <c r="H184" s="855"/>
      <c r="I184" s="855"/>
      <c r="J184" s="855"/>
      <c r="K184" s="855"/>
      <c r="L184" s="864"/>
      <c r="M184" s="853"/>
      <c r="N184" s="858"/>
      <c r="O184" s="856"/>
      <c r="Z184" s="817"/>
      <c r="AD184" s="113"/>
      <c r="AE184" s="113"/>
      <c r="AF184" s="113"/>
      <c r="AP184" s="576"/>
      <c r="AQ184" s="576"/>
      <c r="AR184" s="576"/>
    </row>
    <row r="185" spans="2:44" ht="12.75" hidden="1" customHeight="1" outlineLevel="1">
      <c r="B185" s="2710" t="s">
        <v>725</v>
      </c>
      <c r="C185" s="2711"/>
      <c r="D185" s="2712"/>
      <c r="E185" s="852">
        <f t="shared" ref="E185:L185" si="15">SUM(E183:E184)</f>
        <v>0</v>
      </c>
      <c r="F185" s="852">
        <f t="shared" si="15"/>
        <v>0</v>
      </c>
      <c r="G185" s="852">
        <f t="shared" si="15"/>
        <v>0</v>
      </c>
      <c r="H185" s="852">
        <f t="shared" si="15"/>
        <v>0</v>
      </c>
      <c r="I185" s="852">
        <f t="shared" si="15"/>
        <v>0</v>
      </c>
      <c r="J185" s="852">
        <f t="shared" si="15"/>
        <v>0</v>
      </c>
      <c r="K185" s="852">
        <f t="shared" si="15"/>
        <v>0</v>
      </c>
      <c r="L185" s="852">
        <f t="shared" si="15"/>
        <v>0</v>
      </c>
      <c r="M185" s="863">
        <f>SUM(M183:M184)</f>
        <v>0</v>
      </c>
      <c r="N185" s="859">
        <f>SQRT(SUMSQ(N183:N184))</f>
        <v>0</v>
      </c>
      <c r="O185" s="860">
        <f>SUM(O183:O184)</f>
        <v>0</v>
      </c>
      <c r="Z185" s="817"/>
      <c r="AD185" s="113"/>
      <c r="AE185" s="113"/>
      <c r="AF185" s="113"/>
      <c r="AP185" s="576"/>
      <c r="AQ185" s="576"/>
      <c r="AR185" s="576"/>
    </row>
    <row r="186" spans="2:44" ht="12.75" hidden="1" customHeight="1" outlineLevel="1">
      <c r="B186" s="2713" t="s">
        <v>757</v>
      </c>
      <c r="C186" s="2714"/>
      <c r="D186" s="2714"/>
      <c r="E186" s="2714"/>
      <c r="F186" s="2714"/>
      <c r="G186" s="2714"/>
      <c r="H186" s="2714"/>
      <c r="I186" s="2714"/>
      <c r="J186" s="2714"/>
      <c r="K186" s="2714"/>
      <c r="L186" s="2714"/>
      <c r="M186" s="2714"/>
      <c r="N186" s="2714"/>
      <c r="O186" s="2715"/>
      <c r="Z186" s="817"/>
      <c r="AD186" s="113"/>
      <c r="AE186" s="113"/>
      <c r="AF186" s="113"/>
      <c r="AP186" s="576"/>
      <c r="AQ186" s="576"/>
      <c r="AR186" s="576"/>
    </row>
    <row r="187" spans="2:44" ht="12.75" hidden="1" customHeight="1" outlineLevel="1">
      <c r="B187" s="2704" t="s">
        <v>733</v>
      </c>
      <c r="C187" s="2705"/>
      <c r="D187" s="862" t="s">
        <v>741</v>
      </c>
      <c r="E187" s="855"/>
      <c r="F187" s="855"/>
      <c r="G187" s="855"/>
      <c r="H187" s="855"/>
      <c r="I187" s="855"/>
      <c r="J187" s="855"/>
      <c r="K187" s="855"/>
      <c r="L187" s="864"/>
      <c r="M187" s="853"/>
      <c r="N187" s="858"/>
      <c r="O187" s="856"/>
      <c r="Z187" s="817"/>
      <c r="AD187" s="113"/>
      <c r="AE187" s="113"/>
      <c r="AF187" s="113"/>
      <c r="AP187" s="576"/>
      <c r="AQ187" s="576"/>
      <c r="AR187" s="576"/>
    </row>
    <row r="188" spans="2:44" ht="12.75" hidden="1" customHeight="1" outlineLevel="1">
      <c r="B188" s="2704" t="s">
        <v>734</v>
      </c>
      <c r="C188" s="2705"/>
      <c r="D188" s="862" t="s">
        <v>742</v>
      </c>
      <c r="E188" s="855"/>
      <c r="F188" s="855"/>
      <c r="G188" s="855"/>
      <c r="H188" s="855"/>
      <c r="I188" s="855"/>
      <c r="J188" s="855"/>
      <c r="K188" s="855"/>
      <c r="L188" s="864"/>
      <c r="M188" s="853"/>
      <c r="N188" s="858"/>
      <c r="O188" s="856"/>
      <c r="Z188" s="817"/>
      <c r="AD188" s="113"/>
      <c r="AE188" s="113"/>
      <c r="AF188" s="113"/>
      <c r="AP188" s="576"/>
      <c r="AQ188" s="576"/>
      <c r="AR188" s="576"/>
    </row>
    <row r="189" spans="2:44" ht="12.75" hidden="1" customHeight="1" outlineLevel="1">
      <c r="B189" s="2708" t="s">
        <v>735</v>
      </c>
      <c r="C189" s="2709"/>
      <c r="D189" s="862" t="s">
        <v>743</v>
      </c>
      <c r="E189" s="855"/>
      <c r="F189" s="855"/>
      <c r="G189" s="855"/>
      <c r="H189" s="855"/>
      <c r="I189" s="855"/>
      <c r="J189" s="855"/>
      <c r="K189" s="855"/>
      <c r="L189" s="864"/>
      <c r="M189" s="853"/>
      <c r="N189" s="858"/>
      <c r="O189" s="856"/>
      <c r="Z189" s="817"/>
      <c r="AD189" s="113"/>
      <c r="AE189" s="113"/>
      <c r="AF189" s="113"/>
      <c r="AP189" s="576"/>
      <c r="AQ189" s="576"/>
      <c r="AR189" s="576"/>
    </row>
    <row r="190" spans="2:44" ht="12.75" hidden="1" customHeight="1" outlineLevel="1">
      <c r="B190" s="2704" t="s">
        <v>815</v>
      </c>
      <c r="C190" s="2705"/>
      <c r="D190" s="862" t="s">
        <v>744</v>
      </c>
      <c r="E190" s="855"/>
      <c r="F190" s="855"/>
      <c r="G190" s="855"/>
      <c r="H190" s="855"/>
      <c r="I190" s="855"/>
      <c r="J190" s="855"/>
      <c r="K190" s="855"/>
      <c r="L190" s="864"/>
      <c r="M190" s="853"/>
      <c r="N190" s="858"/>
      <c r="O190" s="856"/>
      <c r="Z190" s="817"/>
      <c r="AD190" s="113"/>
      <c r="AE190" s="113"/>
      <c r="AF190" s="113"/>
      <c r="AP190" s="576"/>
      <c r="AQ190" s="576"/>
      <c r="AR190" s="576"/>
    </row>
    <row r="191" spans="2:44" ht="12.75" hidden="1" customHeight="1" outlineLevel="1">
      <c r="B191" s="2704" t="s">
        <v>736</v>
      </c>
      <c r="C191" s="2705"/>
      <c r="D191" s="862" t="s">
        <v>745</v>
      </c>
      <c r="E191" s="855"/>
      <c r="F191" s="855"/>
      <c r="G191" s="855"/>
      <c r="H191" s="855"/>
      <c r="I191" s="855"/>
      <c r="J191" s="855"/>
      <c r="K191" s="855"/>
      <c r="L191" s="864"/>
      <c r="M191" s="853"/>
      <c r="N191" s="858"/>
      <c r="O191" s="856"/>
      <c r="Z191" s="817"/>
      <c r="AD191" s="113"/>
      <c r="AE191" s="113"/>
      <c r="AF191" s="113"/>
      <c r="AP191" s="576"/>
      <c r="AQ191" s="576"/>
      <c r="AR191" s="576"/>
    </row>
    <row r="192" spans="2:44" ht="12.75" hidden="1" customHeight="1" outlineLevel="1">
      <c r="B192" s="2704" t="s">
        <v>470</v>
      </c>
      <c r="C192" s="2705"/>
      <c r="D192" s="862" t="s">
        <v>746</v>
      </c>
      <c r="E192" s="855"/>
      <c r="F192" s="855"/>
      <c r="G192" s="855"/>
      <c r="H192" s="855"/>
      <c r="I192" s="855"/>
      <c r="J192" s="855"/>
      <c r="K192" s="855"/>
      <c r="L192" s="864"/>
      <c r="M192" s="853"/>
      <c r="N192" s="858"/>
      <c r="O192" s="856"/>
      <c r="Z192" s="817"/>
      <c r="AD192" s="113"/>
      <c r="AE192" s="113"/>
      <c r="AF192" s="113"/>
      <c r="AP192" s="576"/>
      <c r="AQ192" s="576"/>
      <c r="AR192" s="576"/>
    </row>
    <row r="193" spans="2:44" ht="12.75" hidden="1" customHeight="1" outlineLevel="1">
      <c r="B193" s="2704" t="s">
        <v>479</v>
      </c>
      <c r="C193" s="2705"/>
      <c r="D193" s="862" t="s">
        <v>747</v>
      </c>
      <c r="E193" s="855"/>
      <c r="F193" s="855"/>
      <c r="G193" s="855"/>
      <c r="H193" s="855"/>
      <c r="I193" s="855"/>
      <c r="J193" s="855"/>
      <c r="K193" s="855"/>
      <c r="L193" s="864"/>
      <c r="M193" s="853"/>
      <c r="N193" s="858"/>
      <c r="O193" s="856"/>
      <c r="Z193" s="817"/>
      <c r="AD193" s="113"/>
      <c r="AE193" s="113"/>
      <c r="AF193" s="113"/>
      <c r="AP193" s="576"/>
      <c r="AQ193" s="576"/>
      <c r="AR193" s="576"/>
    </row>
    <row r="194" spans="2:44" ht="12.75" hidden="1" customHeight="1" outlineLevel="1">
      <c r="B194" s="2704" t="s">
        <v>471</v>
      </c>
      <c r="C194" s="2705"/>
      <c r="D194" s="862" t="s">
        <v>748</v>
      </c>
      <c r="E194" s="855"/>
      <c r="F194" s="855"/>
      <c r="G194" s="855"/>
      <c r="H194" s="855"/>
      <c r="I194" s="855"/>
      <c r="J194" s="855"/>
      <c r="K194" s="855"/>
      <c r="L194" s="864"/>
      <c r="M194" s="853"/>
      <c r="N194" s="858"/>
      <c r="O194" s="856"/>
      <c r="Z194" s="817"/>
      <c r="AD194" s="113"/>
      <c r="AE194" s="113"/>
      <c r="AF194" s="113"/>
      <c r="AP194" s="576"/>
      <c r="AQ194" s="576"/>
      <c r="AR194" s="576"/>
    </row>
    <row r="195" spans="2:44" ht="12.75" hidden="1" customHeight="1" outlineLevel="1">
      <c r="B195" s="2704" t="s">
        <v>762</v>
      </c>
      <c r="C195" s="2705"/>
      <c r="D195" s="854"/>
      <c r="E195" s="855"/>
      <c r="F195" s="855"/>
      <c r="G195" s="855"/>
      <c r="H195" s="855"/>
      <c r="I195" s="855"/>
      <c r="J195" s="855"/>
      <c r="K195" s="855"/>
      <c r="L195" s="864"/>
      <c r="M195" s="853"/>
      <c r="N195" s="858"/>
      <c r="O195" s="856"/>
      <c r="Z195" s="817"/>
      <c r="AD195" s="113"/>
      <c r="AE195" s="113"/>
      <c r="AF195" s="113"/>
      <c r="AP195" s="576"/>
      <c r="AQ195" s="576"/>
      <c r="AR195" s="576"/>
    </row>
    <row r="196" spans="2:44" ht="12.75" hidden="1" customHeight="1" outlineLevel="1">
      <c r="B196" s="2713" t="s">
        <v>756</v>
      </c>
      <c r="C196" s="2714"/>
      <c r="D196" s="2714"/>
      <c r="E196" s="2714"/>
      <c r="F196" s="2714"/>
      <c r="G196" s="2714"/>
      <c r="H196" s="2714"/>
      <c r="I196" s="2714"/>
      <c r="J196" s="2714"/>
      <c r="K196" s="2714"/>
      <c r="L196" s="2714"/>
      <c r="M196" s="2714"/>
      <c r="N196" s="2714"/>
      <c r="O196" s="2715"/>
      <c r="Z196" s="817"/>
      <c r="AD196" s="113"/>
      <c r="AE196" s="113"/>
      <c r="AF196" s="113"/>
      <c r="AP196" s="576"/>
      <c r="AQ196" s="576"/>
      <c r="AR196" s="576"/>
    </row>
    <row r="197" spans="2:44" ht="12.75" hidden="1" customHeight="1" outlineLevel="1">
      <c r="B197" s="2704" t="s">
        <v>737</v>
      </c>
      <c r="C197" s="2705"/>
      <c r="D197" s="862" t="s">
        <v>749</v>
      </c>
      <c r="E197" s="855"/>
      <c r="F197" s="855"/>
      <c r="G197" s="855"/>
      <c r="H197" s="855"/>
      <c r="I197" s="855"/>
      <c r="J197" s="855"/>
      <c r="K197" s="855"/>
      <c r="L197" s="864"/>
      <c r="M197" s="853"/>
      <c r="N197" s="858"/>
      <c r="O197" s="856"/>
      <c r="Z197" s="817"/>
      <c r="AD197" s="113"/>
      <c r="AE197" s="113"/>
      <c r="AF197" s="113"/>
      <c r="AP197" s="576"/>
      <c r="AQ197" s="576"/>
      <c r="AR197" s="576"/>
    </row>
    <row r="198" spans="2:44" ht="12.75" hidden="1" customHeight="1" outlineLevel="1">
      <c r="B198" s="2704" t="s">
        <v>738</v>
      </c>
      <c r="C198" s="2705"/>
      <c r="D198" s="862" t="s">
        <v>750</v>
      </c>
      <c r="E198" s="855">
        <f>SUMIF(F9:F113,Utilitaires!$O$588,AE9:AE113)+SUMIF(F9:F40,Utilitaires!$O$588,AF9:AF40)+H83*SUMIF($F$79:$F$85,Utilitaires!$O$588,AE79:AE85)</f>
        <v>0</v>
      </c>
      <c r="F198" s="855">
        <f>SUMIF(F9:F113,Utilitaires!$O$588,AG9:AG113)+SUMIF(F9:F40,Utilitaires!$O$588,AH9:AH40)+H83*SUMIF($F$79:$F$85,Utilitaires!$O$588,AG79:AG85)</f>
        <v>0</v>
      </c>
      <c r="G198" s="855">
        <f>SUMIF(F9:F113,Utilitaires!$O$588,AI9:AI113)+SUMIF(F9:F40,Utilitaires!$O$588,AJ9:AJ40)+H83*SUMIF($F$79:$F$85,Utilitaires!$O$588,AI79:AI85)</f>
        <v>0</v>
      </c>
      <c r="H198" s="855">
        <v>0</v>
      </c>
      <c r="I198" s="855">
        <v>0</v>
      </c>
      <c r="J198" s="855">
        <v>0</v>
      </c>
      <c r="K198" s="855">
        <f>SUMIF(F9:F113,Utilitaires!$O$588,AK9:AK113)+SUMIF(F9:F40,Utilitaires!$O$588,AL9:AL40)+H83*SUMIF($F$79:$F$85,Utilitaires!$O$588,AK79:AK85)</f>
        <v>0</v>
      </c>
      <c r="L198" s="864">
        <f>+SUM(E198:K198)</f>
        <v>0</v>
      </c>
      <c r="M198" s="853">
        <f>SUMIF(F9:F113,Utilitaires!$O$588,AO9:AO113)+SUMIF(F9:F40,Utilitaires!$O$588,AP9:AP40)+H83*SUMIF($F$79:$F$85,Utilitaires!$O$588,AO79:AO85)</f>
        <v>0</v>
      </c>
      <c r="N198" s="858">
        <f>SQRT(SUMPRODUCT((F9:F113=Utilitaires!$O$588)*1,AO9:AO113,AO9:AO113)+SUMPRODUCT((F9:F40=Utilitaires!$O$588)*1,AP9:AP40,AP9:AP40)+(H83^2)*SUMPRODUCT(($F$79:$F$85=Utilitaires!$O$588)*1,AO79:AO85,AO79:AO85))</f>
        <v>0</v>
      </c>
      <c r="O198" s="856"/>
      <c r="Z198" s="817"/>
      <c r="AD198" s="113"/>
      <c r="AE198" s="113"/>
      <c r="AF198" s="113"/>
      <c r="AP198" s="576"/>
      <c r="AQ198" s="576"/>
      <c r="AR198" s="576"/>
    </row>
    <row r="199" spans="2:44" ht="12.75" hidden="1" customHeight="1" outlineLevel="1">
      <c r="B199" s="2704" t="s">
        <v>475</v>
      </c>
      <c r="C199" s="2705"/>
      <c r="D199" s="862" t="s">
        <v>751</v>
      </c>
      <c r="E199" s="855">
        <f>AE28+AF28+AE40+AF40+AE53+AE63+AE77+AE103+AE85-E201-E198</f>
        <v>5331.4577495621716</v>
      </c>
      <c r="F199" s="855">
        <f>AG28+AH28+AG40+AH40+AG53+AG63+AG77+AG85+AG103-F201-F198</f>
        <v>0</v>
      </c>
      <c r="G199" s="855">
        <f>AI28+AJ28+AI40+AJ40+AI53+AI63+AI77+AI85+AI103-G201-G198</f>
        <v>0</v>
      </c>
      <c r="H199" s="855">
        <v>0</v>
      </c>
      <c r="I199" s="855">
        <v>0</v>
      </c>
      <c r="J199" s="855">
        <v>0</v>
      </c>
      <c r="K199" s="855">
        <f>AK28+AL28+AK40+AL40+AK53+AK63+AK77+AK85+AK103-K201-K198</f>
        <v>0</v>
      </c>
      <c r="L199" s="864">
        <f>+SUM(E199:K199)</f>
        <v>5331.4577495621716</v>
      </c>
      <c r="M199" s="853">
        <f>AK113-M201-M198</f>
        <v>0</v>
      </c>
      <c r="N199" s="858">
        <f>SQRT(AA28^2+AA40^2+AC53^2+AC63^2+AC77^2+AC85^2+AC103^2+AC113^2-N201^2-N198^2)</f>
        <v>550.67377355516669</v>
      </c>
      <c r="O199" s="856"/>
      <c r="Z199" s="817"/>
      <c r="AD199" s="113"/>
      <c r="AE199" s="113"/>
      <c r="AF199" s="113"/>
      <c r="AP199" s="576"/>
      <c r="AQ199" s="576"/>
      <c r="AR199" s="576"/>
    </row>
    <row r="200" spans="2:44" ht="12.75" hidden="1" customHeight="1" outlineLevel="1">
      <c r="B200" s="2704" t="s">
        <v>476</v>
      </c>
      <c r="C200" s="2705"/>
      <c r="D200" s="862" t="s">
        <v>752</v>
      </c>
      <c r="E200" s="855"/>
      <c r="F200" s="855"/>
      <c r="G200" s="855"/>
      <c r="H200" s="855"/>
      <c r="I200" s="855"/>
      <c r="J200" s="855"/>
      <c r="K200" s="855"/>
      <c r="L200" s="864"/>
      <c r="M200" s="853"/>
      <c r="N200" s="858"/>
      <c r="O200" s="856"/>
      <c r="Z200" s="817"/>
      <c r="AD200" s="113"/>
      <c r="AE200" s="113"/>
      <c r="AF200" s="113"/>
      <c r="AP200" s="576"/>
      <c r="AQ200" s="576"/>
      <c r="AR200" s="576"/>
    </row>
    <row r="201" spans="2:44" ht="12.75" hidden="1" customHeight="1" outlineLevel="1">
      <c r="B201" s="2704" t="s">
        <v>739</v>
      </c>
      <c r="C201" s="2705"/>
      <c r="D201" s="862" t="s">
        <v>753</v>
      </c>
      <c r="E201" s="855">
        <f>E168</f>
        <v>0</v>
      </c>
      <c r="F201" s="855">
        <f t="shared" ref="F201:G201" si="16">F168</f>
        <v>0</v>
      </c>
      <c r="G201" s="855">
        <f t="shared" si="16"/>
        <v>0</v>
      </c>
      <c r="H201" s="855">
        <v>0</v>
      </c>
      <c r="I201" s="855">
        <v>0</v>
      </c>
      <c r="J201" s="855">
        <v>0</v>
      </c>
      <c r="K201" s="855">
        <f>H168+K168</f>
        <v>0</v>
      </c>
      <c r="L201" s="864">
        <f>SUM(E201:K201)</f>
        <v>0</v>
      </c>
      <c r="M201" s="853">
        <f>J168</f>
        <v>0</v>
      </c>
      <c r="N201" s="858">
        <f>L168</f>
        <v>0</v>
      </c>
      <c r="O201" s="856"/>
      <c r="Z201" s="817"/>
      <c r="AD201" s="113"/>
      <c r="AE201" s="113"/>
      <c r="AF201" s="113"/>
      <c r="AP201" s="576"/>
      <c r="AQ201" s="576"/>
      <c r="AR201" s="576"/>
    </row>
    <row r="202" spans="2:44" ht="12.75" hidden="1" customHeight="1" outlineLevel="1">
      <c r="B202" s="2704" t="s">
        <v>740</v>
      </c>
      <c r="C202" s="2705"/>
      <c r="D202" s="862" t="s">
        <v>754</v>
      </c>
      <c r="E202" s="855"/>
      <c r="F202" s="855"/>
      <c r="G202" s="855"/>
      <c r="H202" s="855"/>
      <c r="I202" s="855"/>
      <c r="J202" s="855"/>
      <c r="K202" s="855"/>
      <c r="L202" s="864"/>
      <c r="M202" s="853"/>
      <c r="N202" s="858"/>
      <c r="O202" s="856"/>
      <c r="Z202" s="817"/>
      <c r="AD202" s="113"/>
      <c r="AE202" s="113"/>
      <c r="AF202" s="113"/>
      <c r="AP202" s="576"/>
      <c r="AQ202" s="576"/>
      <c r="AR202" s="576"/>
    </row>
    <row r="203" spans="2:44" ht="12.75" hidden="1" customHeight="1" outlineLevel="1">
      <c r="B203" s="2704" t="s">
        <v>472</v>
      </c>
      <c r="C203" s="2705"/>
      <c r="D203" s="862" t="s">
        <v>755</v>
      </c>
      <c r="E203" s="855"/>
      <c r="F203" s="855"/>
      <c r="G203" s="855"/>
      <c r="H203" s="855"/>
      <c r="I203" s="855"/>
      <c r="J203" s="855"/>
      <c r="K203" s="855"/>
      <c r="L203" s="864"/>
      <c r="M203" s="853"/>
      <c r="N203" s="858"/>
      <c r="O203" s="856"/>
      <c r="Z203" s="817"/>
      <c r="AD203" s="113"/>
      <c r="AE203" s="113"/>
      <c r="AF203" s="113"/>
      <c r="AP203" s="576"/>
      <c r="AQ203" s="576"/>
      <c r="AR203" s="576"/>
    </row>
    <row r="204" spans="2:44" ht="12.75" hidden="1" customHeight="1" outlineLevel="1">
      <c r="B204" s="2704" t="s">
        <v>763</v>
      </c>
      <c r="C204" s="2705"/>
      <c r="D204" s="854"/>
      <c r="E204" s="855"/>
      <c r="F204" s="855"/>
      <c r="G204" s="855"/>
      <c r="H204" s="855"/>
      <c r="I204" s="855"/>
      <c r="J204" s="855"/>
      <c r="K204" s="855"/>
      <c r="L204" s="864"/>
      <c r="M204" s="853"/>
      <c r="N204" s="858"/>
      <c r="O204" s="856"/>
      <c r="Z204" s="817"/>
      <c r="AD204" s="113"/>
      <c r="AE204" s="113"/>
      <c r="AF204" s="113"/>
      <c r="AP204" s="576"/>
      <c r="AQ204" s="576"/>
      <c r="AR204" s="576"/>
    </row>
    <row r="205" spans="2:44" ht="12.75" hidden="1" customHeight="1" outlineLevel="1">
      <c r="B205" s="2710" t="s">
        <v>724</v>
      </c>
      <c r="C205" s="2711"/>
      <c r="D205" s="2712"/>
      <c r="E205" s="852">
        <f t="shared" ref="E205:O205" si="17">SUM(E187:E204)</f>
        <v>5331.4577495621716</v>
      </c>
      <c r="F205" s="852">
        <f t="shared" si="17"/>
        <v>0</v>
      </c>
      <c r="G205" s="852">
        <f t="shared" si="17"/>
        <v>0</v>
      </c>
      <c r="H205" s="852">
        <f t="shared" si="17"/>
        <v>0</v>
      </c>
      <c r="I205" s="852">
        <f t="shared" si="17"/>
        <v>0</v>
      </c>
      <c r="J205" s="852">
        <f t="shared" si="17"/>
        <v>0</v>
      </c>
      <c r="K205" s="852">
        <f t="shared" si="17"/>
        <v>0</v>
      </c>
      <c r="L205" s="852">
        <f t="shared" si="17"/>
        <v>5331.4577495621716</v>
      </c>
      <c r="M205" s="863">
        <f t="shared" si="17"/>
        <v>0</v>
      </c>
      <c r="N205" s="859">
        <f>SQRT(SUMSQ(N187:N204))</f>
        <v>550.67377355516669</v>
      </c>
      <c r="O205" s="860">
        <f t="shared" si="17"/>
        <v>0</v>
      </c>
      <c r="Z205" s="817"/>
      <c r="AD205" s="113"/>
      <c r="AE205" s="113"/>
      <c r="AF205" s="113"/>
      <c r="AP205" s="576"/>
      <c r="AQ205" s="576"/>
      <c r="AR205" s="576"/>
    </row>
    <row r="206" spans="2:44" hidden="1" outlineLevel="1">
      <c r="W206" s="817"/>
      <c r="AB206" s="817"/>
    </row>
    <row r="208" spans="2:44" ht="15.75" customHeight="1" collapsed="1">
      <c r="B208" s="2716" t="s">
        <v>810</v>
      </c>
      <c r="C208" s="2717"/>
      <c r="D208" s="2717"/>
      <c r="E208" s="2717"/>
      <c r="F208" s="2717"/>
      <c r="G208" s="2717"/>
      <c r="H208" s="2717"/>
      <c r="I208" s="2717"/>
      <c r="J208" s="2717"/>
      <c r="K208" s="2717"/>
      <c r="L208" s="2717"/>
      <c r="M208" s="2717"/>
      <c r="N208" s="2717"/>
      <c r="O208" s="2718"/>
      <c r="W208" s="817"/>
      <c r="AB208" s="817"/>
    </row>
    <row r="209" spans="2:28" hidden="1" outlineLevel="1">
      <c r="Q209" s="908"/>
      <c r="R209" s="908"/>
      <c r="W209" s="817"/>
      <c r="AB209" s="817"/>
    </row>
    <row r="210" spans="2:28" ht="38.25" hidden="1" customHeight="1" outlineLevel="1">
      <c r="B210" s="205"/>
      <c r="C210" s="205"/>
      <c r="D210" s="205"/>
      <c r="E210" s="2719" t="s">
        <v>448</v>
      </c>
      <c r="F210" s="2720"/>
      <c r="G210" s="2720"/>
      <c r="H210" s="2720"/>
      <c r="I210" s="2720"/>
      <c r="J210" s="2720"/>
      <c r="K210" s="2720"/>
      <c r="L210" s="2720"/>
      <c r="M210" s="2721"/>
      <c r="N210" s="971" t="s">
        <v>811</v>
      </c>
      <c r="O210" s="968" t="s">
        <v>440</v>
      </c>
      <c r="Q210" s="908"/>
      <c r="R210" s="908"/>
      <c r="W210" s="817"/>
      <c r="AB210" s="817"/>
    </row>
    <row r="211" spans="2:28" ht="38.25" hidden="1" customHeight="1" outlineLevel="1">
      <c r="B211" s="2719" t="s">
        <v>438</v>
      </c>
      <c r="C211" s="2721"/>
      <c r="D211" s="970" t="s">
        <v>458</v>
      </c>
      <c r="E211" s="969" t="s">
        <v>853</v>
      </c>
      <c r="F211" s="969" t="s">
        <v>854</v>
      </c>
      <c r="G211" s="969" t="s">
        <v>855</v>
      </c>
      <c r="H211" s="969" t="s">
        <v>861</v>
      </c>
      <c r="I211" s="969" t="s">
        <v>852</v>
      </c>
      <c r="J211" s="970" t="s">
        <v>513</v>
      </c>
      <c r="K211" s="969" t="s">
        <v>862</v>
      </c>
      <c r="L211" s="969" t="s">
        <v>863</v>
      </c>
      <c r="M211" s="969" t="s">
        <v>514</v>
      </c>
      <c r="N211" s="972" t="s">
        <v>856</v>
      </c>
      <c r="O211" s="974" t="s">
        <v>513</v>
      </c>
      <c r="Q211" s="908"/>
      <c r="R211" s="908"/>
      <c r="W211" s="817"/>
      <c r="AB211" s="817"/>
    </row>
    <row r="212" spans="2:28" ht="12.75" hidden="1" customHeight="1" outlineLevel="1">
      <c r="B212" s="2722" t="s">
        <v>459</v>
      </c>
      <c r="C212" s="2723"/>
      <c r="D212" s="973">
        <v>1</v>
      </c>
      <c r="E212" s="980"/>
      <c r="F212" s="980"/>
      <c r="G212" s="980"/>
      <c r="H212" s="980"/>
      <c r="I212" s="980"/>
      <c r="J212" s="981"/>
      <c r="K212" s="982"/>
      <c r="L212" s="982"/>
      <c r="M212" s="983"/>
      <c r="N212" s="984"/>
      <c r="O212" s="2724" t="s">
        <v>817</v>
      </c>
      <c r="Q212" s="908"/>
      <c r="R212" s="908"/>
      <c r="W212" s="817"/>
      <c r="AB212" s="817"/>
    </row>
    <row r="213" spans="2:28" ht="12.75" hidden="1" customHeight="1" outlineLevel="1">
      <c r="B213" s="2722" t="s">
        <v>722</v>
      </c>
      <c r="C213" s="2723"/>
      <c r="D213" s="973">
        <v>2</v>
      </c>
      <c r="E213" s="980"/>
      <c r="F213" s="980"/>
      <c r="G213" s="980"/>
      <c r="H213" s="980"/>
      <c r="I213" s="980"/>
      <c r="J213" s="981"/>
      <c r="K213" s="982"/>
      <c r="L213" s="982"/>
      <c r="M213" s="983"/>
      <c r="N213" s="984"/>
      <c r="O213" s="2725"/>
      <c r="Q213" s="908"/>
      <c r="R213" s="908"/>
      <c r="W213" s="817"/>
      <c r="AB213" s="817"/>
    </row>
    <row r="214" spans="2:28" ht="12.75" hidden="1" customHeight="1" outlineLevel="1">
      <c r="B214" s="2722" t="s">
        <v>723</v>
      </c>
      <c r="C214" s="2723"/>
      <c r="D214" s="973">
        <v>3</v>
      </c>
      <c r="E214" s="980"/>
      <c r="F214" s="980"/>
      <c r="G214" s="980"/>
      <c r="H214" s="980"/>
      <c r="I214" s="980"/>
      <c r="J214" s="981"/>
      <c r="K214" s="982"/>
      <c r="L214" s="982"/>
      <c r="M214" s="983"/>
      <c r="N214" s="984"/>
      <c r="O214" s="2725"/>
      <c r="Q214" s="908"/>
      <c r="R214" s="908"/>
      <c r="W214" s="817"/>
      <c r="AB214" s="817"/>
    </row>
    <row r="215" spans="2:28" ht="12.75" hidden="1" customHeight="1" outlineLevel="1">
      <c r="B215" s="2722" t="s">
        <v>462</v>
      </c>
      <c r="C215" s="2723"/>
      <c r="D215" s="973">
        <v>4</v>
      </c>
      <c r="E215" s="980"/>
      <c r="F215" s="980"/>
      <c r="G215" s="980"/>
      <c r="H215" s="980"/>
      <c r="I215" s="980"/>
      <c r="J215" s="981"/>
      <c r="K215" s="982"/>
      <c r="L215" s="982"/>
      <c r="M215" s="983"/>
      <c r="N215" s="984"/>
      <c r="O215" s="2725"/>
      <c r="Q215" s="908"/>
      <c r="R215" s="908"/>
      <c r="W215" s="817"/>
      <c r="AB215" s="817"/>
    </row>
    <row r="216" spans="2:28" ht="12.75" hidden="1" customHeight="1" outlineLevel="1">
      <c r="B216" s="2722" t="s">
        <v>812</v>
      </c>
      <c r="C216" s="2723"/>
      <c r="D216" s="973">
        <v>5</v>
      </c>
      <c r="E216" s="980"/>
      <c r="F216" s="980"/>
      <c r="G216" s="980"/>
      <c r="H216" s="980"/>
      <c r="I216" s="980"/>
      <c r="J216" s="981"/>
      <c r="K216" s="982"/>
      <c r="L216" s="982"/>
      <c r="M216" s="983"/>
      <c r="N216" s="985"/>
      <c r="O216" s="2725"/>
      <c r="Q216" s="908"/>
      <c r="R216" s="908"/>
      <c r="W216" s="817"/>
      <c r="AB216" s="817"/>
    </row>
    <row r="217" spans="2:28" ht="12.75" hidden="1" customHeight="1" outlineLevel="1">
      <c r="B217" s="2727" t="s">
        <v>726</v>
      </c>
      <c r="C217" s="2728"/>
      <c r="D217" s="2729"/>
      <c r="E217" s="986">
        <f>SUM(E212:E216)</f>
        <v>0</v>
      </c>
      <c r="F217" s="986">
        <f t="shared" ref="F217:N217" si="18">SUM(F212:F216)</f>
        <v>0</v>
      </c>
      <c r="G217" s="986">
        <f t="shared" si="18"/>
        <v>0</v>
      </c>
      <c r="H217" s="986">
        <f t="shared" si="18"/>
        <v>0</v>
      </c>
      <c r="I217" s="986">
        <f t="shared" si="18"/>
        <v>0</v>
      </c>
      <c r="J217" s="986">
        <f t="shared" si="18"/>
        <v>0</v>
      </c>
      <c r="K217" s="987">
        <f t="shared" si="18"/>
        <v>0</v>
      </c>
      <c r="L217" s="987">
        <f t="shared" si="18"/>
        <v>0</v>
      </c>
      <c r="M217" s="988">
        <f>SQRT(SUMSQ(M212:M216))</f>
        <v>0</v>
      </c>
      <c r="N217" s="989">
        <f t="shared" si="18"/>
        <v>0</v>
      </c>
      <c r="O217" s="2726"/>
      <c r="Q217" s="908"/>
      <c r="R217" s="908"/>
      <c r="W217" s="817"/>
      <c r="AB217" s="817"/>
    </row>
    <row r="218" spans="2:28" ht="12.75" hidden="1" customHeight="1" outlineLevel="1">
      <c r="B218" s="2722" t="s">
        <v>464</v>
      </c>
      <c r="C218" s="2723"/>
      <c r="D218" s="973">
        <v>6</v>
      </c>
      <c r="E218" s="980"/>
      <c r="F218" s="980"/>
      <c r="G218" s="980"/>
      <c r="H218" s="980"/>
      <c r="I218" s="980"/>
      <c r="J218" s="981"/>
      <c r="K218" s="982"/>
      <c r="L218" s="982"/>
      <c r="M218" s="983"/>
      <c r="N218" s="984"/>
      <c r="O218" s="990"/>
      <c r="Q218" s="908"/>
      <c r="R218" s="908"/>
      <c r="W218" s="817"/>
      <c r="AB218" s="817"/>
    </row>
    <row r="219" spans="2:28" ht="12.75" hidden="1" customHeight="1" outlineLevel="1">
      <c r="B219" s="2722" t="s">
        <v>813</v>
      </c>
      <c r="C219" s="2723"/>
      <c r="D219" s="973">
        <v>7</v>
      </c>
      <c r="E219" s="980"/>
      <c r="F219" s="980"/>
      <c r="G219" s="980"/>
      <c r="H219" s="980"/>
      <c r="I219" s="980"/>
      <c r="J219" s="981"/>
      <c r="K219" s="982"/>
      <c r="L219" s="982"/>
      <c r="M219" s="983"/>
      <c r="N219" s="984"/>
      <c r="O219" s="984"/>
      <c r="Q219" s="908"/>
      <c r="R219" s="908"/>
      <c r="W219" s="817"/>
      <c r="AB219" s="817"/>
    </row>
    <row r="220" spans="2:28" ht="12.75" hidden="1" customHeight="1" outlineLevel="1">
      <c r="B220" s="2727" t="s">
        <v>725</v>
      </c>
      <c r="C220" s="2728"/>
      <c r="D220" s="2729"/>
      <c r="E220" s="986">
        <f>SUM(E218:E219)</f>
        <v>0</v>
      </c>
      <c r="F220" s="986">
        <f t="shared" ref="F220:O220" si="19">SUM(F218:F219)</f>
        <v>0</v>
      </c>
      <c r="G220" s="986">
        <f t="shared" si="19"/>
        <v>0</v>
      </c>
      <c r="H220" s="986">
        <f t="shared" si="19"/>
        <v>0</v>
      </c>
      <c r="I220" s="986">
        <f t="shared" si="19"/>
        <v>0</v>
      </c>
      <c r="J220" s="986">
        <f t="shared" si="19"/>
        <v>0</v>
      </c>
      <c r="K220" s="987">
        <f t="shared" si="19"/>
        <v>0</v>
      </c>
      <c r="L220" s="987">
        <f t="shared" si="19"/>
        <v>0</v>
      </c>
      <c r="M220" s="988">
        <f>SQRT(SUMSQ(M218:M219))</f>
        <v>0</v>
      </c>
      <c r="N220" s="989">
        <f t="shared" si="19"/>
        <v>0</v>
      </c>
      <c r="O220" s="989">
        <f t="shared" si="19"/>
        <v>0</v>
      </c>
      <c r="Q220" s="908"/>
      <c r="R220" s="908"/>
      <c r="W220" s="817"/>
      <c r="AB220" s="817"/>
    </row>
    <row r="221" spans="2:28" ht="12.75" hidden="1" customHeight="1" outlineLevel="1">
      <c r="B221" s="2722" t="s">
        <v>466</v>
      </c>
      <c r="C221" s="2723"/>
      <c r="D221" s="973">
        <v>8</v>
      </c>
      <c r="E221" s="980"/>
      <c r="F221" s="980"/>
      <c r="G221" s="980"/>
      <c r="H221" s="980"/>
      <c r="I221" s="980"/>
      <c r="J221" s="981"/>
      <c r="K221" s="982"/>
      <c r="L221" s="982"/>
      <c r="M221" s="983"/>
      <c r="N221" s="984"/>
      <c r="O221" s="984"/>
      <c r="Q221" s="908"/>
      <c r="R221" s="908"/>
      <c r="W221" s="817"/>
      <c r="AB221" s="817"/>
    </row>
    <row r="222" spans="2:28" ht="12.75" hidden="1" customHeight="1" outlineLevel="1">
      <c r="B222" s="2722" t="s">
        <v>814</v>
      </c>
      <c r="C222" s="2723"/>
      <c r="D222" s="973">
        <v>9</v>
      </c>
      <c r="E222" s="980"/>
      <c r="F222" s="980"/>
      <c r="G222" s="980"/>
      <c r="H222" s="980"/>
      <c r="I222" s="980"/>
      <c r="J222" s="981"/>
      <c r="K222" s="982"/>
      <c r="L222" s="982"/>
      <c r="M222" s="983"/>
      <c r="N222" s="984"/>
      <c r="O222" s="984"/>
      <c r="Q222" s="908"/>
      <c r="R222" s="908"/>
      <c r="W222" s="817"/>
      <c r="AB222" s="817"/>
    </row>
    <row r="223" spans="2:28" ht="12.75" hidden="1" customHeight="1" outlineLevel="1">
      <c r="B223" s="2722" t="s">
        <v>734</v>
      </c>
      <c r="C223" s="2723"/>
      <c r="D223" s="973">
        <v>10</v>
      </c>
      <c r="E223" s="980"/>
      <c r="F223" s="980"/>
      <c r="G223" s="980"/>
      <c r="H223" s="980"/>
      <c r="I223" s="980"/>
      <c r="J223" s="981"/>
      <c r="K223" s="982"/>
      <c r="L223" s="982"/>
      <c r="M223" s="983"/>
      <c r="N223" s="984"/>
      <c r="O223" s="984"/>
      <c r="Q223" s="908"/>
      <c r="R223" s="908"/>
      <c r="W223" s="817"/>
      <c r="AB223" s="817"/>
    </row>
    <row r="224" spans="2:28" ht="12.75" hidden="1" customHeight="1" outlineLevel="1">
      <c r="B224" s="2722" t="s">
        <v>736</v>
      </c>
      <c r="C224" s="2723"/>
      <c r="D224" s="973">
        <v>11</v>
      </c>
      <c r="E224" s="980"/>
      <c r="F224" s="980"/>
      <c r="G224" s="980"/>
      <c r="H224" s="980"/>
      <c r="I224" s="980"/>
      <c r="J224" s="981"/>
      <c r="K224" s="982"/>
      <c r="L224" s="982"/>
      <c r="M224" s="983"/>
      <c r="N224" s="984"/>
      <c r="O224" s="984"/>
      <c r="Q224" s="908"/>
      <c r="R224" s="908"/>
      <c r="W224" s="817"/>
      <c r="AB224" s="817"/>
    </row>
    <row r="225" spans="1:28" ht="12.75" hidden="1" customHeight="1" outlineLevel="1">
      <c r="B225" s="2722" t="s">
        <v>815</v>
      </c>
      <c r="C225" s="2723"/>
      <c r="D225" s="973">
        <v>12</v>
      </c>
      <c r="E225" s="980"/>
      <c r="F225" s="980"/>
      <c r="G225" s="980"/>
      <c r="H225" s="980"/>
      <c r="I225" s="980"/>
      <c r="J225" s="981"/>
      <c r="K225" s="982"/>
      <c r="L225" s="982"/>
      <c r="M225" s="983"/>
      <c r="N225" s="984"/>
      <c r="O225" s="984"/>
      <c r="Q225" s="908"/>
      <c r="R225" s="908"/>
      <c r="W225" s="817"/>
      <c r="AB225" s="817"/>
    </row>
    <row r="226" spans="1:28" ht="12.75" hidden="1" customHeight="1" outlineLevel="1">
      <c r="B226" s="2722" t="s">
        <v>470</v>
      </c>
      <c r="C226" s="2723"/>
      <c r="D226" s="973">
        <v>13</v>
      </c>
      <c r="E226" s="980"/>
      <c r="F226" s="980"/>
      <c r="G226" s="980"/>
      <c r="H226" s="980"/>
      <c r="I226" s="980"/>
      <c r="J226" s="981"/>
      <c r="K226" s="982"/>
      <c r="L226" s="982"/>
      <c r="M226" s="983"/>
      <c r="N226" s="984"/>
      <c r="O226" s="984"/>
      <c r="Q226" s="908"/>
      <c r="R226" s="908"/>
      <c r="W226" s="817"/>
      <c r="AB226" s="817"/>
    </row>
    <row r="227" spans="1:28" ht="12.75" hidden="1" customHeight="1" outlineLevel="1">
      <c r="B227" s="2722" t="s">
        <v>471</v>
      </c>
      <c r="C227" s="2723"/>
      <c r="D227" s="973">
        <v>14</v>
      </c>
      <c r="E227" s="980"/>
      <c r="F227" s="980"/>
      <c r="G227" s="980"/>
      <c r="H227" s="980"/>
      <c r="I227" s="980"/>
      <c r="J227" s="981"/>
      <c r="K227" s="982"/>
      <c r="L227" s="982"/>
      <c r="M227" s="983"/>
      <c r="N227" s="984"/>
      <c r="O227" s="984"/>
      <c r="Q227" s="908"/>
      <c r="R227" s="908"/>
      <c r="W227" s="817"/>
      <c r="AB227" s="817"/>
    </row>
    <row r="228" spans="1:28" ht="12.75" hidden="1" customHeight="1" outlineLevel="1">
      <c r="B228" s="2722" t="s">
        <v>472</v>
      </c>
      <c r="C228" s="2723"/>
      <c r="D228" s="973">
        <v>15</v>
      </c>
      <c r="E228" s="980"/>
      <c r="F228" s="980"/>
      <c r="G228" s="980"/>
      <c r="H228" s="980"/>
      <c r="I228" s="980"/>
      <c r="J228" s="981"/>
      <c r="K228" s="982"/>
      <c r="L228" s="982"/>
      <c r="M228" s="983"/>
      <c r="N228" s="984"/>
      <c r="O228" s="984"/>
      <c r="Q228" s="908"/>
      <c r="R228" s="908"/>
      <c r="W228" s="817"/>
      <c r="AB228" s="817"/>
    </row>
    <row r="229" spans="1:28" ht="12.75" hidden="1" customHeight="1" outlineLevel="1">
      <c r="B229" s="2722" t="s">
        <v>473</v>
      </c>
      <c r="C229" s="2723"/>
      <c r="D229" s="973">
        <v>16</v>
      </c>
      <c r="E229" s="980"/>
      <c r="F229" s="980"/>
      <c r="G229" s="980"/>
      <c r="H229" s="980"/>
      <c r="I229" s="980"/>
      <c r="J229" s="981"/>
      <c r="K229" s="982"/>
      <c r="L229" s="982"/>
      <c r="M229" s="983"/>
      <c r="N229" s="984"/>
      <c r="O229" s="984"/>
      <c r="Q229" s="908"/>
      <c r="R229" s="908"/>
      <c r="W229" s="817"/>
      <c r="AB229" s="817"/>
    </row>
    <row r="230" spans="1:28" ht="12.75" hidden="1" customHeight="1" outlineLevel="1">
      <c r="B230" s="2722" t="s">
        <v>737</v>
      </c>
      <c r="C230" s="2723"/>
      <c r="D230" s="973">
        <v>17</v>
      </c>
      <c r="E230" s="980"/>
      <c r="F230" s="980"/>
      <c r="G230" s="980"/>
      <c r="H230" s="980"/>
      <c r="I230" s="980"/>
      <c r="J230" s="981"/>
      <c r="K230" s="982"/>
      <c r="L230" s="982"/>
      <c r="M230" s="983"/>
      <c r="N230" s="984"/>
      <c r="O230" s="984"/>
      <c r="Q230" s="908"/>
      <c r="R230" s="908"/>
      <c r="W230" s="817"/>
      <c r="AB230" s="817"/>
    </row>
    <row r="231" spans="1:28" ht="12.75" hidden="1" customHeight="1" outlineLevel="1">
      <c r="B231" s="2722" t="s">
        <v>475</v>
      </c>
      <c r="C231" s="2723"/>
      <c r="D231" s="973">
        <v>18</v>
      </c>
      <c r="E231" s="980">
        <f>E165</f>
        <v>5331.4577495621716</v>
      </c>
      <c r="F231" s="980">
        <f t="shared" ref="F231:G231" si="20">F165</f>
        <v>0</v>
      </c>
      <c r="G231" s="980">
        <f t="shared" si="20"/>
        <v>0</v>
      </c>
      <c r="H231" s="980">
        <v>0</v>
      </c>
      <c r="I231" s="980">
        <f>H165</f>
        <v>0</v>
      </c>
      <c r="J231" s="981">
        <f>SUM(E231:I231)</f>
        <v>5331.4577495621716</v>
      </c>
      <c r="K231" s="982">
        <f>J165</f>
        <v>0</v>
      </c>
      <c r="L231" s="982">
        <v>0</v>
      </c>
      <c r="M231" s="983">
        <f>L165</f>
        <v>550.67377355516669</v>
      </c>
      <c r="N231" s="984"/>
      <c r="O231" s="984"/>
      <c r="Q231" s="908"/>
      <c r="R231" s="908"/>
      <c r="W231" s="817"/>
      <c r="AB231" s="817"/>
    </row>
    <row r="232" spans="1:28" ht="12.75" hidden="1" customHeight="1" outlineLevel="1">
      <c r="B232" s="2722" t="s">
        <v>476</v>
      </c>
      <c r="C232" s="2723"/>
      <c r="D232" s="973">
        <v>19</v>
      </c>
      <c r="E232" s="980"/>
      <c r="F232" s="980"/>
      <c r="G232" s="980"/>
      <c r="H232" s="980"/>
      <c r="I232" s="980"/>
      <c r="J232" s="981"/>
      <c r="K232" s="982"/>
      <c r="L232" s="982"/>
      <c r="M232" s="983"/>
      <c r="N232" s="984"/>
      <c r="O232" s="984"/>
      <c r="Q232" s="908"/>
      <c r="R232" s="908"/>
      <c r="W232" s="817"/>
      <c r="AB232" s="817"/>
    </row>
    <row r="233" spans="1:28" ht="12.75" hidden="1" customHeight="1" outlineLevel="1">
      <c r="B233" s="2722" t="s">
        <v>477</v>
      </c>
      <c r="C233" s="2723"/>
      <c r="D233" s="973">
        <v>20</v>
      </c>
      <c r="E233" s="980"/>
      <c r="F233" s="980"/>
      <c r="G233" s="980"/>
      <c r="H233" s="980"/>
      <c r="I233" s="980"/>
      <c r="J233" s="981"/>
      <c r="K233" s="982"/>
      <c r="L233" s="982"/>
      <c r="M233" s="983"/>
      <c r="N233" s="984"/>
      <c r="O233" s="984"/>
      <c r="Q233" s="908"/>
      <c r="R233" s="908"/>
      <c r="W233" s="817"/>
      <c r="AB233" s="817"/>
    </row>
    <row r="234" spans="1:28" ht="12.75" hidden="1" customHeight="1" outlineLevel="1">
      <c r="B234" s="2722" t="s">
        <v>478</v>
      </c>
      <c r="C234" s="2723"/>
      <c r="D234" s="973">
        <v>21</v>
      </c>
      <c r="E234" s="980">
        <f>E168</f>
        <v>0</v>
      </c>
      <c r="F234" s="980">
        <f t="shared" ref="F234:G234" si="21">F168</f>
        <v>0</v>
      </c>
      <c r="G234" s="980">
        <f t="shared" si="21"/>
        <v>0</v>
      </c>
      <c r="H234" s="980">
        <v>0</v>
      </c>
      <c r="I234" s="980">
        <f>H168</f>
        <v>0</v>
      </c>
      <c r="J234" s="981">
        <f>SUM(E234:I234)</f>
        <v>0</v>
      </c>
      <c r="K234" s="982">
        <f>J168</f>
        <v>0</v>
      </c>
      <c r="L234" s="982">
        <v>0</v>
      </c>
      <c r="M234" s="983">
        <f>L168</f>
        <v>0</v>
      </c>
      <c r="N234" s="984"/>
      <c r="O234" s="984"/>
      <c r="Q234" s="908"/>
      <c r="R234" s="908"/>
      <c r="W234" s="817"/>
      <c r="AB234" s="817"/>
    </row>
    <row r="235" spans="1:28" ht="12.75" hidden="1" customHeight="1" outlineLevel="1">
      <c r="B235" s="2722" t="s">
        <v>479</v>
      </c>
      <c r="C235" s="2723"/>
      <c r="D235" s="973">
        <v>22</v>
      </c>
      <c r="E235" s="980"/>
      <c r="F235" s="980"/>
      <c r="G235" s="980"/>
      <c r="H235" s="980"/>
      <c r="I235" s="980"/>
      <c r="J235" s="981"/>
      <c r="K235" s="982"/>
      <c r="L235" s="982"/>
      <c r="M235" s="983"/>
      <c r="N235" s="984"/>
      <c r="O235" s="984"/>
      <c r="Q235" s="908"/>
      <c r="R235" s="908"/>
      <c r="W235" s="817"/>
      <c r="AB235" s="817"/>
    </row>
    <row r="236" spans="1:28" ht="12.75" hidden="1" customHeight="1" outlineLevel="1">
      <c r="B236" s="2722" t="s">
        <v>449</v>
      </c>
      <c r="C236" s="2723"/>
      <c r="D236" s="973">
        <v>23</v>
      </c>
      <c r="E236" s="980"/>
      <c r="F236" s="980"/>
      <c r="G236" s="980"/>
      <c r="H236" s="980"/>
      <c r="I236" s="980"/>
      <c r="J236" s="981"/>
      <c r="K236" s="982"/>
      <c r="L236" s="982"/>
      <c r="M236" s="983"/>
      <c r="N236" s="984"/>
      <c r="O236" s="984"/>
      <c r="Q236" s="908"/>
      <c r="R236" s="908"/>
      <c r="W236" s="817"/>
      <c r="AB236" s="817"/>
    </row>
    <row r="237" spans="1:28" ht="12.75" hidden="1" customHeight="1" outlineLevel="1">
      <c r="B237" s="2727" t="s">
        <v>724</v>
      </c>
      <c r="C237" s="2728"/>
      <c r="D237" s="2729"/>
      <c r="E237" s="986">
        <f>SUM(E221:E236)</f>
        <v>5331.4577495621716</v>
      </c>
      <c r="F237" s="986">
        <f t="shared" ref="F237:O237" si="22">SUM(F221:F236)</f>
        <v>0</v>
      </c>
      <c r="G237" s="986">
        <f t="shared" si="22"/>
        <v>0</v>
      </c>
      <c r="H237" s="986">
        <f t="shared" si="22"/>
        <v>0</v>
      </c>
      <c r="I237" s="986">
        <f t="shared" si="22"/>
        <v>0</v>
      </c>
      <c r="J237" s="986">
        <f t="shared" si="22"/>
        <v>5331.4577495621716</v>
      </c>
      <c r="K237" s="987">
        <f t="shared" si="22"/>
        <v>0</v>
      </c>
      <c r="L237" s="987">
        <f t="shared" si="22"/>
        <v>0</v>
      </c>
      <c r="M237" s="988">
        <f>SQRT(SUMSQ(M221:M236))</f>
        <v>550.67377355516669</v>
      </c>
      <c r="N237" s="989">
        <f t="shared" si="22"/>
        <v>0</v>
      </c>
      <c r="O237" s="989">
        <f t="shared" si="22"/>
        <v>0</v>
      </c>
      <c r="Q237" s="908"/>
      <c r="R237" s="908"/>
      <c r="W237" s="817"/>
      <c r="AB237" s="817"/>
    </row>
    <row r="238" spans="1:28" hidden="1" outlineLevel="1">
      <c r="Q238" s="908"/>
      <c r="R238" s="908"/>
      <c r="W238" s="817"/>
      <c r="AB238" s="817"/>
    </row>
    <row r="240" spans="1:28" s="418" customFormat="1" ht="15.75" hidden="1" customHeight="1" collapsed="1">
      <c r="A240" s="113"/>
      <c r="B240" s="2730" t="s">
        <v>2443</v>
      </c>
      <c r="C240" s="2731"/>
      <c r="D240" s="2731"/>
      <c r="E240" s="2731"/>
      <c r="F240" s="2731"/>
      <c r="G240" s="2731"/>
      <c r="H240" s="2731"/>
      <c r="I240" s="2731"/>
      <c r="J240" s="2731"/>
      <c r="K240" s="2731"/>
      <c r="L240" s="2731"/>
      <c r="M240" s="2731"/>
      <c r="N240" s="2731"/>
      <c r="O240" s="2732"/>
      <c r="P240" s="113"/>
      <c r="Q240" s="113"/>
      <c r="R240" s="113"/>
      <c r="S240" s="113"/>
      <c r="T240" s="113"/>
      <c r="U240" s="113"/>
      <c r="V240" s="113"/>
      <c r="W240" s="113"/>
    </row>
    <row r="241" spans="1:41" s="418" customFormat="1" hidden="1" outlineLevel="1">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row>
    <row r="242" spans="1:41" s="418" customFormat="1" hidden="1" outlineLevel="1">
      <c r="A242" s="113"/>
      <c r="B242" s="113" t="s">
        <v>2549</v>
      </c>
      <c r="C242" s="113"/>
      <c r="D242" s="113"/>
      <c r="E242" s="113"/>
      <c r="F242" s="113"/>
      <c r="G242" s="113"/>
      <c r="H242" s="113"/>
      <c r="I242" s="113"/>
      <c r="J242" s="113"/>
      <c r="K242" s="113"/>
      <c r="L242" s="113"/>
      <c r="M242" s="113"/>
      <c r="N242" s="113"/>
      <c r="O242" s="113"/>
      <c r="P242" s="113"/>
      <c r="Q242" s="113"/>
      <c r="R242" s="113"/>
      <c r="S242" s="113"/>
      <c r="T242" s="113"/>
      <c r="U242" s="113"/>
      <c r="V242" s="113"/>
      <c r="W242" s="113"/>
    </row>
    <row r="243" spans="1:41" s="418" customFormat="1" hidden="1" outlineLevel="1">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row>
    <row r="244" spans="1:41" s="418" customFormat="1" hidden="1" outlineLevel="1">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row>
    <row r="245" spans="1:41" s="418" customFormat="1" hidden="1" outlineLevel="1">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row>
    <row r="246" spans="1:41" s="418" customFormat="1" hidden="1" outlineLevel="1">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row>
    <row r="247" spans="1:41" s="418" customFormat="1" hidden="1" outlineLevel="1">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row>
    <row r="248" spans="1:41" s="418" customFormat="1" hidden="1" outlineLevel="1">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row>
    <row r="249" spans="1:41" s="418" customFormat="1" hidden="1">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row>
    <row r="250" spans="1:41" s="418" customFormat="1" ht="15.6" collapsed="1">
      <c r="A250" s="113"/>
      <c r="B250" s="2733" t="s">
        <v>2554</v>
      </c>
      <c r="C250" s="2734"/>
      <c r="D250" s="2734"/>
      <c r="E250" s="2734"/>
      <c r="F250" s="2734"/>
      <c r="G250" s="2734"/>
      <c r="H250" s="2734"/>
      <c r="I250" s="2734"/>
      <c r="J250" s="2734"/>
      <c r="K250" s="2734"/>
      <c r="L250" s="2734"/>
      <c r="M250" s="2734"/>
      <c r="N250" s="2734"/>
      <c r="O250" s="2735"/>
      <c r="P250" s="113"/>
      <c r="Q250" s="113"/>
      <c r="R250" s="113"/>
      <c r="S250" s="113"/>
      <c r="T250" s="113"/>
      <c r="U250" s="113"/>
      <c r="V250" s="113"/>
      <c r="W250" s="113"/>
    </row>
    <row r="251" spans="1:41" s="418" customFormat="1" hidden="1" outlineLevel="1">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row>
    <row r="252" spans="1:41" ht="38.25" hidden="1" customHeight="1" outlineLevel="1">
      <c r="B252" s="205"/>
      <c r="C252" s="205"/>
      <c r="D252" s="205"/>
      <c r="E252" s="2736" t="s">
        <v>448</v>
      </c>
      <c r="F252" s="2737"/>
      <c r="G252" s="2737"/>
      <c r="H252" s="2737"/>
      <c r="I252" s="2737"/>
      <c r="J252" s="2737"/>
      <c r="K252" s="2737"/>
      <c r="L252" s="2737"/>
      <c r="M252" s="2738"/>
      <c r="N252" s="1794" t="s">
        <v>811</v>
      </c>
      <c r="O252" s="1795" t="s">
        <v>440</v>
      </c>
      <c r="Q252" s="908"/>
      <c r="R252" s="908"/>
      <c r="W252" s="817"/>
      <c r="AB252" s="576"/>
      <c r="AC252" s="576"/>
      <c r="AN252" s="113"/>
      <c r="AO252" s="113"/>
    </row>
    <row r="253" spans="1:41" ht="38.25" hidden="1" customHeight="1" outlineLevel="1">
      <c r="B253" s="2736" t="s">
        <v>438</v>
      </c>
      <c r="C253" s="2738"/>
      <c r="D253" s="1795" t="s">
        <v>2510</v>
      </c>
      <c r="E253" s="1796" t="s">
        <v>853</v>
      </c>
      <c r="F253" s="1796" t="s">
        <v>854</v>
      </c>
      <c r="G253" s="1796" t="s">
        <v>855</v>
      </c>
      <c r="H253" s="1796" t="s">
        <v>861</v>
      </c>
      <c r="I253" s="1796" t="s">
        <v>852</v>
      </c>
      <c r="J253" s="1797" t="s">
        <v>513</v>
      </c>
      <c r="K253" s="1796" t="s">
        <v>862</v>
      </c>
      <c r="L253" s="1796" t="s">
        <v>863</v>
      </c>
      <c r="M253" s="1796" t="s">
        <v>514</v>
      </c>
      <c r="N253" s="1798" t="s">
        <v>856</v>
      </c>
      <c r="O253" s="1799" t="s">
        <v>513</v>
      </c>
      <c r="Q253" s="908"/>
      <c r="R253" s="908"/>
      <c r="W253" s="817"/>
      <c r="AB253" s="576"/>
      <c r="AC253" s="576"/>
      <c r="AN253" s="113"/>
      <c r="AO253" s="113"/>
    </row>
    <row r="254" spans="1:41" ht="12.75" hidden="1" customHeight="1" outlineLevel="1">
      <c r="B254" s="2722" t="s">
        <v>2481</v>
      </c>
      <c r="C254" s="2723"/>
      <c r="D254" s="973" t="s">
        <v>2503</v>
      </c>
      <c r="E254" s="980"/>
      <c r="F254" s="980"/>
      <c r="G254" s="980"/>
      <c r="H254" s="980"/>
      <c r="I254" s="980"/>
      <c r="J254" s="981"/>
      <c r="K254" s="982"/>
      <c r="L254" s="982"/>
      <c r="M254" s="983"/>
      <c r="N254" s="984"/>
      <c r="O254" s="1886" t="s">
        <v>817</v>
      </c>
      <c r="Q254" s="908"/>
      <c r="R254" s="908"/>
      <c r="W254" s="817"/>
      <c r="AB254" s="576"/>
      <c r="AC254" s="576"/>
      <c r="AN254" s="113"/>
      <c r="AO254" s="113"/>
    </row>
    <row r="255" spans="1:41" ht="12.75" hidden="1" customHeight="1" outlineLevel="1">
      <c r="B255" s="2722" t="s">
        <v>2482</v>
      </c>
      <c r="C255" s="2723"/>
      <c r="D255" s="1896" t="s">
        <v>2504</v>
      </c>
      <c r="E255" s="980"/>
      <c r="F255" s="980"/>
      <c r="G255" s="980"/>
      <c r="H255" s="980"/>
      <c r="I255" s="980"/>
      <c r="J255" s="981"/>
      <c r="K255" s="982"/>
      <c r="L255" s="982"/>
      <c r="M255" s="983"/>
      <c r="N255" s="984"/>
      <c r="O255" s="990"/>
      <c r="Q255" s="908"/>
      <c r="R255" s="908"/>
      <c r="W255" s="817"/>
      <c r="AB255" s="576"/>
      <c r="AC255" s="576"/>
      <c r="AN255" s="113"/>
      <c r="AO255" s="113"/>
    </row>
    <row r="256" spans="1:41" ht="12.75" hidden="1" customHeight="1" outlineLevel="1">
      <c r="B256" s="2722" t="s">
        <v>2483</v>
      </c>
      <c r="C256" s="2723"/>
      <c r="D256" s="973" t="s">
        <v>2505</v>
      </c>
      <c r="E256" s="980"/>
      <c r="F256" s="980"/>
      <c r="G256" s="980"/>
      <c r="H256" s="980"/>
      <c r="I256" s="980"/>
      <c r="J256" s="981"/>
      <c r="K256" s="982"/>
      <c r="L256" s="982"/>
      <c r="M256" s="983"/>
      <c r="N256" s="984"/>
      <c r="O256" s="984"/>
      <c r="Q256" s="908"/>
      <c r="R256" s="908"/>
      <c r="W256" s="817"/>
      <c r="AB256" s="576"/>
      <c r="AC256" s="576"/>
      <c r="AN256" s="113"/>
      <c r="AO256" s="113"/>
    </row>
    <row r="257" spans="1:41" ht="26.25" hidden="1" customHeight="1" outlineLevel="1">
      <c r="B257" s="2739" t="s">
        <v>2485</v>
      </c>
      <c r="C257" s="2740"/>
      <c r="D257" s="1896" t="s">
        <v>2506</v>
      </c>
      <c r="E257" s="980"/>
      <c r="F257" s="980"/>
      <c r="G257" s="980"/>
      <c r="H257" s="980"/>
      <c r="I257" s="980"/>
      <c r="J257" s="981"/>
      <c r="K257" s="982"/>
      <c r="L257" s="982"/>
      <c r="M257" s="983"/>
      <c r="N257" s="984"/>
      <c r="O257" s="984"/>
      <c r="Q257" s="908"/>
      <c r="R257" s="908"/>
      <c r="W257" s="817"/>
      <c r="AB257" s="576"/>
      <c r="AC257" s="576"/>
      <c r="AN257" s="113"/>
      <c r="AO257" s="113"/>
    </row>
    <row r="258" spans="1:41" ht="26.25" hidden="1" customHeight="1" outlineLevel="1">
      <c r="B258" s="2739" t="s">
        <v>2484</v>
      </c>
      <c r="C258" s="2740"/>
      <c r="D258" s="1897" t="s">
        <v>2507</v>
      </c>
      <c r="E258" s="980"/>
      <c r="F258" s="980"/>
      <c r="G258" s="980"/>
      <c r="H258" s="980"/>
      <c r="I258" s="980"/>
      <c r="J258" s="981"/>
      <c r="K258" s="982"/>
      <c r="L258" s="982"/>
      <c r="M258" s="983"/>
      <c r="N258" s="984"/>
      <c r="O258" s="984"/>
      <c r="Q258" s="908"/>
      <c r="R258" s="908"/>
      <c r="W258" s="817"/>
      <c r="AB258" s="576"/>
      <c r="AC258" s="576"/>
      <c r="AN258" s="113"/>
      <c r="AO258" s="113"/>
    </row>
    <row r="259" spans="1:41" ht="26.25" hidden="1" customHeight="1" outlineLevel="1">
      <c r="B259" s="2739" t="s">
        <v>2486</v>
      </c>
      <c r="C259" s="2740"/>
      <c r="D259" s="973" t="s">
        <v>2508</v>
      </c>
      <c r="E259" s="980">
        <f>E231+E234</f>
        <v>5331.4577495621716</v>
      </c>
      <c r="F259" s="980">
        <f t="shared" ref="F259:L259" si="23">F231+F234</f>
        <v>0</v>
      </c>
      <c r="G259" s="980">
        <f t="shared" si="23"/>
        <v>0</v>
      </c>
      <c r="H259" s="980">
        <f t="shared" si="23"/>
        <v>0</v>
      </c>
      <c r="I259" s="980">
        <f t="shared" si="23"/>
        <v>0</v>
      </c>
      <c r="J259" s="981">
        <f t="shared" si="23"/>
        <v>5331.4577495621716</v>
      </c>
      <c r="K259" s="982">
        <f t="shared" si="23"/>
        <v>0</v>
      </c>
      <c r="L259" s="982">
        <f t="shared" si="23"/>
        <v>0</v>
      </c>
      <c r="M259" s="983">
        <f>SQRT(SUMSQ(M231,M234))</f>
        <v>550.67377355516669</v>
      </c>
      <c r="N259" s="984"/>
      <c r="O259" s="984"/>
      <c r="Q259" s="908"/>
      <c r="R259" s="908"/>
      <c r="W259" s="817"/>
      <c r="AB259" s="576"/>
      <c r="AC259" s="576"/>
      <c r="AN259" s="113"/>
      <c r="AO259" s="113"/>
    </row>
    <row r="260" spans="1:41" ht="12.75" hidden="1" customHeight="1" outlineLevel="1">
      <c r="B260" s="2722" t="s">
        <v>449</v>
      </c>
      <c r="C260" s="2723"/>
      <c r="D260" s="1898" t="s">
        <v>2509</v>
      </c>
      <c r="E260" s="980"/>
      <c r="F260" s="980"/>
      <c r="G260" s="980"/>
      <c r="H260" s="980"/>
      <c r="I260" s="980"/>
      <c r="J260" s="981"/>
      <c r="K260" s="982"/>
      <c r="L260" s="982"/>
      <c r="M260" s="983"/>
      <c r="N260" s="984"/>
      <c r="O260" s="984"/>
      <c r="Q260" s="908"/>
      <c r="R260" s="908"/>
      <c r="W260" s="817"/>
      <c r="AB260" s="576"/>
      <c r="AC260" s="576"/>
      <c r="AN260" s="113"/>
      <c r="AO260" s="113"/>
    </row>
    <row r="261" spans="1:41" s="418" customFormat="1" hidden="1" outlineLevel="1">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row>
    <row r="262" spans="1:41" s="418" customFormat="1">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row>
  </sheetData>
  <mergeCells count="216">
    <mergeCell ref="E252:M252"/>
    <mergeCell ref="AE90:AP90"/>
    <mergeCell ref="AE105:AP105"/>
    <mergeCell ref="V79:AC79"/>
    <mergeCell ref="V68:AC68"/>
    <mergeCell ref="AR70:AU70"/>
    <mergeCell ref="AV70:AY70"/>
    <mergeCell ref="AR106:AS106"/>
    <mergeCell ref="E176:N176"/>
    <mergeCell ref="K120:N120"/>
    <mergeCell ref="D120:F120"/>
    <mergeCell ref="B240:O240"/>
    <mergeCell ref="B250:O250"/>
    <mergeCell ref="B226:C226"/>
    <mergeCell ref="B236:C236"/>
    <mergeCell ref="B237:D237"/>
    <mergeCell ref="B227:C227"/>
    <mergeCell ref="B228:C228"/>
    <mergeCell ref="B229:C229"/>
    <mergeCell ref="B230:C230"/>
    <mergeCell ref="B231:C231"/>
    <mergeCell ref="B232:C232"/>
    <mergeCell ref="B235:C235"/>
    <mergeCell ref="B208:O208"/>
    <mergeCell ref="AR46:AY46"/>
    <mergeCell ref="AR47:AU47"/>
    <mergeCell ref="AV47:AY47"/>
    <mergeCell ref="AR56:AY56"/>
    <mergeCell ref="AR57:AU57"/>
    <mergeCell ref="AV57:AY57"/>
    <mergeCell ref="AR69:AY69"/>
    <mergeCell ref="AE55:AP55"/>
    <mergeCell ref="AE68:AP68"/>
    <mergeCell ref="AE45:AP45"/>
    <mergeCell ref="B218:C218"/>
    <mergeCell ref="B219:C219"/>
    <mergeCell ref="B220:D220"/>
    <mergeCell ref="B221:C221"/>
    <mergeCell ref="B222:C222"/>
    <mergeCell ref="B223:C223"/>
    <mergeCell ref="B224:C224"/>
    <mergeCell ref="B225:C225"/>
    <mergeCell ref="B165:C165"/>
    <mergeCell ref="B166:C166"/>
    <mergeCell ref="B167:C167"/>
    <mergeCell ref="B177:C177"/>
    <mergeCell ref="B178:C178"/>
    <mergeCell ref="B179:C179"/>
    <mergeCell ref="B180:C180"/>
    <mergeCell ref="B168:C168"/>
    <mergeCell ref="B159:C159"/>
    <mergeCell ref="B160:C160"/>
    <mergeCell ref="B161:C161"/>
    <mergeCell ref="B162:C162"/>
    <mergeCell ref="B163:C163"/>
    <mergeCell ref="B135:C135"/>
    <mergeCell ref="B136:C136"/>
    <mergeCell ref="E210:M210"/>
    <mergeCell ref="B211:C211"/>
    <mergeCell ref="B212:C212"/>
    <mergeCell ref="O212:O217"/>
    <mergeCell ref="B213:C213"/>
    <mergeCell ref="B214:C214"/>
    <mergeCell ref="B215:C215"/>
    <mergeCell ref="B216:C216"/>
    <mergeCell ref="B217:D217"/>
    <mergeCell ref="B174:O174"/>
    <mergeCell ref="B181:C181"/>
    <mergeCell ref="B182:D182"/>
    <mergeCell ref="B183:C183"/>
    <mergeCell ref="B151:C151"/>
    <mergeCell ref="B152:C152"/>
    <mergeCell ref="B233:C233"/>
    <mergeCell ref="B234:C234"/>
    <mergeCell ref="AE79:AP79"/>
    <mergeCell ref="B205:D205"/>
    <mergeCell ref="B201:C201"/>
    <mergeCell ref="B153:C153"/>
    <mergeCell ref="B169:C169"/>
    <mergeCell ref="B170:C170"/>
    <mergeCell ref="B171:C171"/>
    <mergeCell ref="B202:C202"/>
    <mergeCell ref="B203:C203"/>
    <mergeCell ref="B204:C204"/>
    <mergeCell ref="B164:C164"/>
    <mergeCell ref="B193:C193"/>
    <mergeCell ref="B194:C194"/>
    <mergeCell ref="B195:C195"/>
    <mergeCell ref="B196:O196"/>
    <mergeCell ref="B197:C197"/>
    <mergeCell ref="B198:C198"/>
    <mergeCell ref="B199:C199"/>
    <mergeCell ref="B200:C200"/>
    <mergeCell ref="B184:C184"/>
    <mergeCell ref="B185:D185"/>
    <mergeCell ref="B186:O186"/>
    <mergeCell ref="B187:C187"/>
    <mergeCell ref="B188:C188"/>
    <mergeCell ref="B189:C189"/>
    <mergeCell ref="B190:C190"/>
    <mergeCell ref="B191:C191"/>
    <mergeCell ref="B192:C192"/>
    <mergeCell ref="B137:C137"/>
    <mergeCell ref="B138:C138"/>
    <mergeCell ref="B157:C157"/>
    <mergeCell ref="B158:C158"/>
    <mergeCell ref="B139:C139"/>
    <mergeCell ref="B140:C140"/>
    <mergeCell ref="B155:C155"/>
    <mergeCell ref="B147:C147"/>
    <mergeCell ref="B148:C148"/>
    <mergeCell ref="B142:O142"/>
    <mergeCell ref="B154:C154"/>
    <mergeCell ref="E144:L144"/>
    <mergeCell ref="B156:C156"/>
    <mergeCell ref="B145:C145"/>
    <mergeCell ref="B146:C146"/>
    <mergeCell ref="B149:C149"/>
    <mergeCell ref="B150:C150"/>
    <mergeCell ref="B133:C133"/>
    <mergeCell ref="B134:C134"/>
    <mergeCell ref="D131:F131"/>
    <mergeCell ref="B125:C125"/>
    <mergeCell ref="B126:C126"/>
    <mergeCell ref="B123:C123"/>
    <mergeCell ref="B124:C124"/>
    <mergeCell ref="H120:I120"/>
    <mergeCell ref="B122:C122"/>
    <mergeCell ref="B120:C121"/>
    <mergeCell ref="H131:I131"/>
    <mergeCell ref="B131:C132"/>
    <mergeCell ref="B129:O129"/>
    <mergeCell ref="B2:O2"/>
    <mergeCell ref="B118:O118"/>
    <mergeCell ref="B7:O7"/>
    <mergeCell ref="B43:O43"/>
    <mergeCell ref="B66:O66"/>
    <mergeCell ref="L5:M5"/>
    <mergeCell ref="N4:O4"/>
    <mergeCell ref="D4:E4"/>
    <mergeCell ref="F4:G4"/>
    <mergeCell ref="H4:I4"/>
    <mergeCell ref="J4:K4"/>
    <mergeCell ref="D5:E5"/>
    <mergeCell ref="F5:G5"/>
    <mergeCell ref="H5:I5"/>
    <mergeCell ref="F32:F33"/>
    <mergeCell ref="F11:F12"/>
    <mergeCell ref="H107:H108"/>
    <mergeCell ref="B88:O88"/>
    <mergeCell ref="N5:O5"/>
    <mergeCell ref="J5:K5"/>
    <mergeCell ref="AE9:AP9"/>
    <mergeCell ref="Y10:AA10"/>
    <mergeCell ref="AE10:AL10"/>
    <mergeCell ref="AM10:AN10"/>
    <mergeCell ref="AR10:BC10"/>
    <mergeCell ref="H11:I11"/>
    <mergeCell ref="K11:L11"/>
    <mergeCell ref="N11:O11"/>
    <mergeCell ref="Q11:R11"/>
    <mergeCell ref="W11:X11"/>
    <mergeCell ref="AE11:AF11"/>
    <mergeCell ref="AG11:AH11"/>
    <mergeCell ref="AI11:AJ11"/>
    <mergeCell ref="AK11:AL11"/>
    <mergeCell ref="AM11:AN11"/>
    <mergeCell ref="AO11:AP11"/>
    <mergeCell ref="AR11:AU11"/>
    <mergeCell ref="AV11:AY11"/>
    <mergeCell ref="AZ11:BC11"/>
    <mergeCell ref="V9:AA9"/>
    <mergeCell ref="W12:X12"/>
    <mergeCell ref="V30:AA30"/>
    <mergeCell ref="AE30:AP30"/>
    <mergeCell ref="AE31:AL31"/>
    <mergeCell ref="AM31:AN31"/>
    <mergeCell ref="AR31:BC31"/>
    <mergeCell ref="H32:I32"/>
    <mergeCell ref="K32:L32"/>
    <mergeCell ref="N32:O32"/>
    <mergeCell ref="Q32:R32"/>
    <mergeCell ref="W32:X32"/>
    <mergeCell ref="AE32:AF32"/>
    <mergeCell ref="AG32:AH32"/>
    <mergeCell ref="AI32:AJ32"/>
    <mergeCell ref="AK32:AL32"/>
    <mergeCell ref="AM32:AN32"/>
    <mergeCell ref="AO32:AP32"/>
    <mergeCell ref="AR32:AU32"/>
    <mergeCell ref="AV32:AY32"/>
    <mergeCell ref="AZ32:BC32"/>
    <mergeCell ref="B260:C260"/>
    <mergeCell ref="B257:C257"/>
    <mergeCell ref="B258:C258"/>
    <mergeCell ref="B259:C259"/>
    <mergeCell ref="B255:C255"/>
    <mergeCell ref="B256:C256"/>
    <mergeCell ref="B253:C253"/>
    <mergeCell ref="B254:C254"/>
    <mergeCell ref="W33:X33"/>
    <mergeCell ref="H36:I36"/>
    <mergeCell ref="W47:X47"/>
    <mergeCell ref="F70:F71"/>
    <mergeCell ref="F92:F93"/>
    <mergeCell ref="F107:F108"/>
    <mergeCell ref="F57:F58"/>
    <mergeCell ref="F47:F48"/>
    <mergeCell ref="V45:AC45"/>
    <mergeCell ref="V55:AC55"/>
    <mergeCell ref="V105:AC105"/>
    <mergeCell ref="W48:X48"/>
    <mergeCell ref="W57:X57"/>
    <mergeCell ref="W58:X58"/>
    <mergeCell ref="W70:X70"/>
    <mergeCell ref="W71:X71"/>
  </mergeCells>
  <phoneticPr fontId="11" type="noConversion"/>
  <conditionalFormatting sqref="H9:R10 H13:I27 H34:I35 K34:L38 N34:O38 Q34:R38 H37:I38 K32 N32 Q32 K13:L27 N13:O27 Q13:R27">
    <cfRule type="containsErrors" dxfId="51" priority="43">
      <formula>ISERROR(H9)</formula>
    </cfRule>
  </conditionalFormatting>
  <dataValidations count="16">
    <dataValidation allowBlank="1" showInputMessage="1" showErrorMessage="1" sqref="C109:C111 C99:C101" xr:uid="{00000000-0002-0000-0C00-000000000000}"/>
    <dataValidation type="list" allowBlank="1" showInputMessage="1" showErrorMessage="1" sqref="F72:F75 F109:F111 F99:F101 F25:F26 F59:F61 F49:F51 F34:F38 F13:F14 F16:F17 F19:F20 F22:F23 F94:F97" xr:uid="{00000000-0002-0000-0C00-000001000000}">
      <formula1>Liste_Utilisation</formula1>
    </dataValidation>
    <dataValidation type="list" allowBlank="1" showInputMessage="1" showErrorMessage="1" sqref="B37:B38" xr:uid="{00000000-0002-0000-0C00-000002000000}">
      <formula1>FE_Energie_Bois</formula1>
    </dataValidation>
    <dataValidation type="list" allowBlank="1" showInputMessage="1" showErrorMessage="1" sqref="B34:B35" xr:uid="{00000000-0002-0000-0C00-000003000000}">
      <formula1>FE_Energie_Biocarburants_liquide_gazeux</formula1>
    </dataValidation>
    <dataValidation type="list" allowBlank="1" showInputMessage="1" showErrorMessage="1" sqref="W13:W14 W94:W101 W16:W17 W19:W20 W22:W23 W25:W26 W34:W35 W49:W51 W59:W61 W72:W75 W37:W38 W109:W111" xr:uid="{00000000-0002-0000-0C00-000004000000}">
      <formula1>Choix_Incertitudes</formula1>
    </dataValidation>
    <dataValidation type="list" allowBlank="1" showInputMessage="1" showErrorMessage="1" sqref="B25:B26" xr:uid="{00000000-0002-0000-0C00-000005000000}">
      <formula1>FE_Energie_Coke_Déchets</formula1>
    </dataValidation>
    <dataValidation type="list" allowBlank="1" showInputMessage="1" showErrorMessage="1" sqref="B19:B20" xr:uid="{00000000-0002-0000-0C00-000006000000}">
      <formula1>FE_Energie_Liquides</formula1>
    </dataValidation>
    <dataValidation type="list" allowBlank="1" showInputMessage="1" showErrorMessage="1" sqref="B16:B17" xr:uid="{00000000-0002-0000-0C00-000007000000}">
      <formula1>FE_Energie_Autres_Gaz</formula1>
    </dataValidation>
    <dataValidation type="list" allowBlank="1" showInputMessage="1" showErrorMessage="1" sqref="B27 B13:B14" xr:uid="{00000000-0002-0000-0C00-000008000000}">
      <formula1>FE_Energie_Butane_Propane</formula1>
    </dataValidation>
    <dataValidation type="list" allowBlank="1" showInputMessage="1" showErrorMessage="1" sqref="F27 F15 F18 F21 F24" xr:uid="{00000000-0002-0000-0C00-000009000000}">
      <formula1>Liste_Energie</formula1>
    </dataValidation>
    <dataValidation type="list" allowBlank="1" showInputMessage="1" showErrorMessage="1" sqref="B22:B23" xr:uid="{00000000-0002-0000-0C00-00000A000000}">
      <formula1>FE_Energie_Charbons</formula1>
    </dataValidation>
    <dataValidation type="list" allowBlank="1" showInputMessage="1" showErrorMessage="1" sqref="B59:B61" xr:uid="{00000000-0002-0000-0C00-00000B000000}">
      <formula1>FE_Energie_Réseaux_Froid</formula1>
    </dataValidation>
    <dataValidation type="list" allowBlank="1" showInputMessage="1" showErrorMessage="1" sqref="B49:B51" xr:uid="{00000000-0002-0000-0C00-00000C000000}">
      <formula1>FE_Energie_Réseaux_Chaleur</formula1>
    </dataValidation>
    <dataValidation type="list" allowBlank="1" showInputMessage="1" showErrorMessage="1" sqref="B72:B75" xr:uid="{00000000-0002-0000-0C00-00000D000000}">
      <formula1>FE_Energie_Elec_AutresPays</formula1>
    </dataValidation>
    <dataValidation type="list" allowBlank="1" showInputMessage="1" showErrorMessage="1" sqref="B109:B111" xr:uid="{00000000-0002-0000-0C00-00000E000000}">
      <formula1>FE_HorsEnergie_PRGHorsKyoto</formula1>
    </dataValidation>
    <dataValidation type="list" allowBlank="1" showInputMessage="1" showErrorMessage="1" sqref="B99:B101" xr:uid="{00000000-0002-0000-0C00-00000F000000}">
      <formula1>FE_HorsEnergie_PRGKyoto</formula1>
    </dataValidation>
  </dataValidations>
  <hyperlinks>
    <hyperlink ref="D4" location="utilisation_haut" display="combustibles" xr:uid="{00000000-0004-0000-0C00-000000000000}"/>
    <hyperlink ref="J4" location="utilisation_hors_nrj" display="hors énergie" xr:uid="{00000000-0004-0000-0C00-000001000000}"/>
    <hyperlink ref="D5" location="utilisation_recap" display="total" xr:uid="{00000000-0004-0000-0C00-000002000000}"/>
    <hyperlink ref="F5" location="utilisation_sous_postes" display="sous-postes" xr:uid="{00000000-0004-0000-0C00-000003000000}"/>
    <hyperlink ref="H4" location="utilisation_electricite" display="electricité" xr:uid="{00000000-0004-0000-0C00-000004000000}"/>
    <hyperlink ref="F4" location="utilisation_vapeur" display="vapeur et froid" xr:uid="{00000000-0004-0000-0C00-000005000000}"/>
    <hyperlink ref="H5" location="utilisation_bilanGES" display="bilan GES" xr:uid="{00000000-0004-0000-0C00-000006000000}"/>
    <hyperlink ref="J5" location="utilisation_GHGProtocol" display="GHG Protocol" xr:uid="{00000000-0004-0000-0C00-000007000000}"/>
    <hyperlink ref="L5:M5" location="Utilisation!B208" display="ISO 14069" xr:uid="{00000000-0004-0000-0C00-000008000000}"/>
    <hyperlink ref="N4:O4" location="Descriptif!A1" display="Descriptif" xr:uid="{00000000-0004-0000-0C00-000009000000}"/>
    <hyperlink ref="N5:O5" location="'CDP 2018'!A1" display="CDP" xr:uid="{00000000-0004-0000-0C00-00000A000000}"/>
  </hyperlinks>
  <pageMargins left="0.78740157499999996" right="0.78740157499999996" top="0.984251969" bottom="0.984251969" header="0.5" footer="0.5"/>
  <pageSetup paperSize="9" orientation="portrait" horizontalDpi="4294967292" verticalDpi="4294967292" r:id="rId1"/>
  <headerFooter alignWithMargins="0"/>
  <ignoredErrors>
    <ignoredError sqref="D201:D203"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7" id="{EDD23D6D-E601-40FB-8384-AD16EA734E60}">
            <xm:f>$W13=Utilitaires!$N$572</xm:f>
            <x14:dxf>
              <fill>
                <patternFill>
                  <bgColor theme="0"/>
                </patternFill>
              </fill>
              <border>
                <left style="thin">
                  <color auto="1"/>
                </left>
                <right style="thin">
                  <color auto="1"/>
                </right>
                <top style="thin">
                  <color auto="1"/>
                </top>
                <bottom style="thin">
                  <color auto="1"/>
                </bottom>
                <vertical/>
                <horizontal/>
              </border>
            </x14:dxf>
          </x14:cfRule>
          <xm:sqref>X13:X14 X49:X51 X59:X61 X72:X75</xm:sqref>
        </x14:conditionalFormatting>
        <x14:conditionalFormatting xmlns:xm="http://schemas.microsoft.com/office/excel/2006/main">
          <x14:cfRule type="expression" priority="9" id="{94F9291D-366B-4ECB-BA53-E708A3DCCCC5}">
            <xm:f>$W16=Utilitaires!$N$572</xm:f>
            <x14:dxf>
              <fill>
                <patternFill>
                  <bgColor theme="0"/>
                </patternFill>
              </fill>
              <border>
                <left style="thin">
                  <color auto="1"/>
                </left>
                <right style="thin">
                  <color auto="1"/>
                </right>
                <top style="thin">
                  <color auto="1"/>
                </top>
                <bottom style="thin">
                  <color auto="1"/>
                </bottom>
                <vertical/>
                <horizontal/>
              </border>
            </x14:dxf>
          </x14:cfRule>
          <xm:sqref>X16:X17</xm:sqref>
        </x14:conditionalFormatting>
        <x14:conditionalFormatting xmlns:xm="http://schemas.microsoft.com/office/excel/2006/main">
          <x14:cfRule type="expression" priority="8" id="{006897BC-3D4F-44A7-B37A-25906118DBA5}">
            <xm:f>$W19=Utilitaires!$N$572</xm:f>
            <x14:dxf>
              <fill>
                <patternFill>
                  <bgColor theme="0"/>
                </patternFill>
              </fill>
              <border>
                <left style="thin">
                  <color auto="1"/>
                </left>
                <right style="thin">
                  <color auto="1"/>
                </right>
                <top style="thin">
                  <color auto="1"/>
                </top>
                <bottom style="thin">
                  <color auto="1"/>
                </bottom>
                <vertical/>
                <horizontal/>
              </border>
            </x14:dxf>
          </x14:cfRule>
          <xm:sqref>X19:X20</xm:sqref>
        </x14:conditionalFormatting>
        <x14:conditionalFormatting xmlns:xm="http://schemas.microsoft.com/office/excel/2006/main">
          <x14:cfRule type="expression" priority="7" id="{EC856E8B-6BF1-4053-939B-D31D8B675E90}">
            <xm:f>$W22=Utilitaires!$N$572</xm:f>
            <x14:dxf>
              <fill>
                <patternFill>
                  <bgColor theme="0"/>
                </patternFill>
              </fill>
              <border>
                <left style="thin">
                  <color auto="1"/>
                </left>
                <right style="thin">
                  <color auto="1"/>
                </right>
                <top style="thin">
                  <color auto="1"/>
                </top>
                <bottom style="thin">
                  <color auto="1"/>
                </bottom>
                <vertical/>
                <horizontal/>
              </border>
            </x14:dxf>
          </x14:cfRule>
          <xm:sqref>X22:X23</xm:sqref>
        </x14:conditionalFormatting>
        <x14:conditionalFormatting xmlns:xm="http://schemas.microsoft.com/office/excel/2006/main">
          <x14:cfRule type="expression" priority="6" id="{32FE74DA-2650-4A98-900C-111C45FD715E}">
            <xm:f>$W25=Utilitaires!$N$572</xm:f>
            <x14:dxf>
              <fill>
                <patternFill>
                  <bgColor theme="0"/>
                </patternFill>
              </fill>
              <border>
                <left style="thin">
                  <color auto="1"/>
                </left>
                <right style="thin">
                  <color auto="1"/>
                </right>
                <top style="thin">
                  <color auto="1"/>
                </top>
                <bottom style="thin">
                  <color auto="1"/>
                </bottom>
                <vertical/>
                <horizontal/>
              </border>
            </x14:dxf>
          </x14:cfRule>
          <xm:sqref>X25:X26</xm:sqref>
        </x14:conditionalFormatting>
        <x14:conditionalFormatting xmlns:xm="http://schemas.microsoft.com/office/excel/2006/main">
          <x14:cfRule type="expression" priority="5" id="{BFC029D5-2F36-4A97-8C74-AEEE6F618D21}">
            <xm:f>$W34=Utilitaires!$N$572</xm:f>
            <x14:dxf>
              <fill>
                <patternFill>
                  <bgColor theme="0"/>
                </patternFill>
              </fill>
              <border>
                <left style="thin">
                  <color auto="1"/>
                </left>
                <right style="thin">
                  <color auto="1"/>
                </right>
                <top style="thin">
                  <color auto="1"/>
                </top>
                <bottom style="thin">
                  <color auto="1"/>
                </bottom>
                <vertical/>
                <horizontal/>
              </border>
            </x14:dxf>
          </x14:cfRule>
          <xm:sqref>X34:X35</xm:sqref>
        </x14:conditionalFormatting>
        <x14:conditionalFormatting xmlns:xm="http://schemas.microsoft.com/office/excel/2006/main">
          <x14:cfRule type="expression" priority="4" id="{1FC0F34E-B829-428F-BE5C-11F8ED16460D}">
            <xm:f>$W37=Utilitaires!$N$572</xm:f>
            <x14:dxf>
              <fill>
                <patternFill>
                  <bgColor theme="0"/>
                </patternFill>
              </fill>
              <border>
                <left style="thin">
                  <color auto="1"/>
                </left>
                <right style="thin">
                  <color auto="1"/>
                </right>
                <top style="thin">
                  <color auto="1"/>
                </top>
                <bottom style="thin">
                  <color auto="1"/>
                </bottom>
                <vertical/>
                <horizontal/>
              </border>
            </x14:dxf>
          </x14:cfRule>
          <xm:sqref>X37:X38</xm:sqref>
        </x14:conditionalFormatting>
        <x14:conditionalFormatting xmlns:xm="http://schemas.microsoft.com/office/excel/2006/main">
          <x14:cfRule type="expression" priority="3" id="{25EE1407-5D89-4110-9280-6B5F1124A1C7}">
            <xm:f>$W94=Utilitaires!$N$572</xm:f>
            <x14:dxf>
              <fill>
                <patternFill>
                  <bgColor theme="0"/>
                </patternFill>
              </fill>
              <border>
                <left style="thin">
                  <color auto="1"/>
                </left>
                <right style="thin">
                  <color auto="1"/>
                </right>
                <top style="thin">
                  <color auto="1"/>
                </top>
                <bottom style="thin">
                  <color auto="1"/>
                </bottom>
                <vertical/>
                <horizontal/>
              </border>
            </x14:dxf>
          </x14:cfRule>
          <xm:sqref>X94:X97</xm:sqref>
        </x14:conditionalFormatting>
        <x14:conditionalFormatting xmlns:xm="http://schemas.microsoft.com/office/excel/2006/main">
          <x14:cfRule type="expression" priority="2" id="{0CA18C4A-F903-465A-9F8D-447A433C6A1B}">
            <xm:f>$W99=Utilitaires!$N$572</xm:f>
            <x14:dxf>
              <fill>
                <patternFill>
                  <bgColor theme="0"/>
                </patternFill>
              </fill>
              <border>
                <left style="thin">
                  <color auto="1"/>
                </left>
                <right style="thin">
                  <color auto="1"/>
                </right>
                <top style="thin">
                  <color auto="1"/>
                </top>
                <bottom style="thin">
                  <color auto="1"/>
                </bottom>
                <vertical/>
                <horizontal/>
              </border>
            </x14:dxf>
          </x14:cfRule>
          <xm:sqref>X99:X101</xm:sqref>
        </x14:conditionalFormatting>
        <x14:conditionalFormatting xmlns:xm="http://schemas.microsoft.com/office/excel/2006/main">
          <x14:cfRule type="expression" priority="1" id="{A77E4F47-EFB2-4315-9A65-DE244ADC8F52}">
            <xm:f>$W109=Utilitaires!$N$572</xm:f>
            <x14:dxf>
              <fill>
                <patternFill>
                  <bgColor theme="0"/>
                </patternFill>
              </fill>
              <border>
                <left style="thin">
                  <color auto="1"/>
                </left>
                <right style="thin">
                  <color auto="1"/>
                </right>
                <top style="thin">
                  <color auto="1"/>
                </top>
                <bottom style="thin">
                  <color auto="1"/>
                </bottom>
                <vertical/>
                <horizontal/>
              </border>
            </x14:dxf>
          </x14:cfRule>
          <xm:sqref>X109:X111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10000000}">
          <x14:formula1>
            <xm:f>Utilitaires!$N$567:$N$571</xm:f>
          </x14:formula1>
          <xm:sqref>W27:X27 W18 W21 W24 W15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theme="5"/>
    <outlinePr summaryBelow="0" summaryRight="0"/>
  </sheetPr>
  <dimension ref="A1:BQ393"/>
  <sheetViews>
    <sheetView showGridLines="0" zoomScale="66" zoomScaleNormal="66" workbookViewId="0">
      <pane xSplit="3" ySplit="6" topLeftCell="D7" activePane="bottomRight" state="frozenSplit"/>
      <selection activeCell="E9" sqref="E9"/>
      <selection pane="topRight" activeCell="E9" sqref="E9"/>
      <selection pane="bottomLeft" activeCell="E9" sqref="E9"/>
      <selection pane="bottomRight" activeCell="G54" sqref="G54"/>
    </sheetView>
  </sheetViews>
  <sheetFormatPr baseColWidth="10" defaultColWidth="0" defaultRowHeight="11.4" outlineLevelRow="2" outlineLevelCol="1"/>
  <cols>
    <col min="1" max="1" width="2.75" style="113" customWidth="1"/>
    <col min="2" max="2" width="52.75" style="113" customWidth="1"/>
    <col min="3" max="3" width="2.375" style="113" customWidth="1"/>
    <col min="4" max="4" width="13.875" style="113" bestFit="1" customWidth="1"/>
    <col min="5" max="6" width="12.25" style="113" customWidth="1"/>
    <col min="7" max="7" width="13.375" style="113" bestFit="1" customWidth="1"/>
    <col min="8" max="8" width="12.875" style="113" bestFit="1" customWidth="1"/>
    <col min="9" max="24" width="12.25" style="113" customWidth="1"/>
    <col min="25" max="28" width="12.25" style="113" customWidth="1" outlineLevel="1"/>
    <col min="29" max="30" width="12.25" style="113" customWidth="1"/>
    <col min="31" max="35" width="12.25" style="113" customWidth="1" outlineLevel="1"/>
    <col min="36" max="47" width="12.25" style="576" customWidth="1" outlineLevel="1"/>
    <col min="48" max="51" width="12.25" style="113" customWidth="1" outlineLevel="1"/>
    <col min="52" max="54" width="10.875" style="113" customWidth="1" outlineLevel="1"/>
    <col min="55" max="55" width="10.875" style="113" customWidth="1"/>
    <col min="56" max="56" width="17.125" style="113" customWidth="1" outlineLevel="1"/>
    <col min="57" max="67" width="11.375" style="113" customWidth="1" outlineLevel="1"/>
    <col min="68" max="68" width="4.125" style="113" customWidth="1"/>
    <col min="69" max="69" width="0" style="113" hidden="1" customWidth="1"/>
    <col min="70" max="16384" width="10.875" style="113" hidden="1"/>
  </cols>
  <sheetData>
    <row r="1" spans="1:67" ht="22.8">
      <c r="X1" s="1646" t="s">
        <v>2442</v>
      </c>
      <c r="AD1" s="1645" t="s">
        <v>2441</v>
      </c>
      <c r="BC1" s="1644" t="s">
        <v>2440</v>
      </c>
    </row>
    <row r="2" spans="1:67" ht="30" customHeight="1">
      <c r="B2" s="2602" t="str">
        <f>Descriptif!C35</f>
        <v>Fin de vie</v>
      </c>
      <c r="C2" s="2603"/>
      <c r="D2" s="2603"/>
      <c r="E2" s="2603"/>
      <c r="F2" s="2603"/>
      <c r="G2" s="2603"/>
      <c r="H2" s="2603"/>
      <c r="I2" s="2603"/>
      <c r="J2" s="2603"/>
      <c r="K2" s="2603"/>
      <c r="L2" s="2603"/>
      <c r="M2" s="2603"/>
      <c r="N2" s="2603"/>
      <c r="O2" s="2604"/>
    </row>
    <row r="3" spans="1:67" s="114" customFormat="1" ht="13.2">
      <c r="AJ3" s="441"/>
      <c r="AK3" s="441"/>
      <c r="AL3" s="441"/>
      <c r="AM3" s="441"/>
      <c r="AN3" s="441"/>
      <c r="AO3" s="441"/>
      <c r="AP3" s="441"/>
      <c r="AQ3" s="441"/>
      <c r="AR3" s="441"/>
      <c r="AS3" s="441"/>
      <c r="AT3" s="441"/>
      <c r="AU3" s="441"/>
    </row>
    <row r="4" spans="1:67" s="114" customFormat="1" ht="13.8">
      <c r="B4" s="1001" t="s">
        <v>536</v>
      </c>
      <c r="C4" s="210"/>
      <c r="D4" s="2760" t="s">
        <v>226</v>
      </c>
      <c r="E4" s="2760"/>
      <c r="F4" s="2760" t="s">
        <v>5159</v>
      </c>
      <c r="G4" s="2760"/>
      <c r="H4" s="2760" t="s">
        <v>560</v>
      </c>
      <c r="I4" s="2760"/>
      <c r="J4" s="2760" t="s">
        <v>5160</v>
      </c>
      <c r="K4" s="2760"/>
      <c r="L4" s="193"/>
      <c r="M4" s="193"/>
      <c r="N4" s="2761" t="s">
        <v>893</v>
      </c>
      <c r="O4" s="2762"/>
      <c r="AJ4" s="441"/>
      <c r="AK4" s="441"/>
      <c r="AL4" s="441"/>
      <c r="AM4" s="441"/>
      <c r="AN4" s="441"/>
      <c r="AO4" s="441"/>
      <c r="AP4" s="441"/>
      <c r="AQ4" s="441"/>
      <c r="AR4" s="441"/>
      <c r="AS4" s="441"/>
      <c r="AT4" s="441"/>
      <c r="AU4" s="441"/>
    </row>
    <row r="5" spans="1:67" s="114" customFormat="1" ht="13.8">
      <c r="B5" s="194" t="s">
        <v>521</v>
      </c>
      <c r="C5" s="195"/>
      <c r="D5" s="2745" t="s">
        <v>212</v>
      </c>
      <c r="E5" s="2745"/>
      <c r="F5" s="2745" t="s">
        <v>428</v>
      </c>
      <c r="G5" s="2745"/>
      <c r="H5" s="2745" t="s">
        <v>484</v>
      </c>
      <c r="I5" s="2745"/>
      <c r="J5" s="2745" t="s">
        <v>758</v>
      </c>
      <c r="K5" s="2745"/>
      <c r="L5" s="2745" t="s">
        <v>818</v>
      </c>
      <c r="M5" s="2745"/>
      <c r="N5" s="2745" t="s">
        <v>2444</v>
      </c>
      <c r="O5" s="2775"/>
      <c r="AJ5" s="441"/>
      <c r="AK5" s="441"/>
      <c r="AL5" s="441"/>
      <c r="AM5" s="441"/>
      <c r="AN5" s="441"/>
      <c r="AO5" s="441"/>
      <c r="AP5" s="441"/>
      <c r="AQ5" s="441"/>
      <c r="AR5" s="441"/>
      <c r="AS5" s="441"/>
      <c r="AT5" s="441"/>
      <c r="AU5" s="441"/>
    </row>
    <row r="6" spans="1:67" s="114" customFormat="1" ht="13.8">
      <c r="B6" s="115"/>
      <c r="C6" s="115"/>
      <c r="D6" s="115"/>
      <c r="E6" s="115"/>
      <c r="F6" s="115"/>
      <c r="G6" s="115"/>
      <c r="H6" s="109"/>
      <c r="I6" s="109"/>
      <c r="J6" s="109"/>
      <c r="AJ6" s="441"/>
      <c r="AK6" s="441"/>
      <c r="AL6" s="441"/>
      <c r="AM6" s="441"/>
      <c r="AN6" s="441"/>
      <c r="AO6" s="441"/>
      <c r="AP6" s="441"/>
      <c r="AQ6" s="441"/>
      <c r="AR6" s="441"/>
      <c r="AS6" s="441"/>
      <c r="AT6" s="441"/>
      <c r="AU6" s="441"/>
    </row>
    <row r="7" spans="1:67" s="114" customFormat="1" ht="15.6" collapsed="1">
      <c r="B7" s="2652" t="s">
        <v>218</v>
      </c>
      <c r="C7" s="2653"/>
      <c r="D7" s="2653"/>
      <c r="E7" s="2653"/>
      <c r="F7" s="2653"/>
      <c r="G7" s="2653"/>
      <c r="H7" s="2653"/>
      <c r="I7" s="2653"/>
      <c r="J7" s="2653"/>
      <c r="K7" s="2653"/>
      <c r="L7" s="2653"/>
      <c r="M7" s="2653"/>
      <c r="N7" s="2653"/>
      <c r="O7" s="2654"/>
      <c r="AJ7" s="441"/>
      <c r="AK7" s="441"/>
      <c r="AL7" s="441"/>
      <c r="AM7" s="441"/>
      <c r="AN7" s="441"/>
      <c r="AO7" s="441"/>
      <c r="AP7" s="441"/>
      <c r="AQ7" s="441"/>
      <c r="AR7" s="441"/>
      <c r="AS7" s="441"/>
      <c r="AT7" s="441"/>
      <c r="AU7" s="441"/>
    </row>
    <row r="8" spans="1:67" s="114" customFormat="1" ht="12.75" hidden="1" customHeight="1" outlineLevel="1">
      <c r="AE8" s="264"/>
      <c r="AF8" s="264"/>
      <c r="AJ8" s="441"/>
      <c r="AK8" s="441"/>
      <c r="AL8" s="441"/>
      <c r="AM8" s="441"/>
      <c r="AN8" s="441"/>
      <c r="AO8" s="441"/>
      <c r="AP8" s="441"/>
      <c r="AQ8" s="441"/>
      <c r="AR8" s="441"/>
      <c r="AS8" s="441"/>
      <c r="AT8" s="441"/>
      <c r="AU8" s="441"/>
    </row>
    <row r="9" spans="1:67" s="116" customFormat="1" ht="12.75" hidden="1" customHeight="1" outlineLevel="1">
      <c r="B9" s="139" t="s">
        <v>349</v>
      </c>
      <c r="C9" s="140"/>
      <c r="D9" s="141"/>
      <c r="E9" s="141"/>
      <c r="F9" s="1434"/>
      <c r="G9" s="141"/>
      <c r="H9" s="141"/>
      <c r="I9" s="141"/>
      <c r="J9" s="141"/>
      <c r="K9" s="141"/>
      <c r="L9" s="141"/>
      <c r="M9" s="141"/>
      <c r="N9" s="141"/>
      <c r="O9" s="141"/>
      <c r="P9" s="141"/>
      <c r="Q9" s="141"/>
      <c r="R9" s="141"/>
      <c r="S9" s="141"/>
      <c r="T9" s="142"/>
      <c r="U9" s="114"/>
      <c r="V9" s="2636" t="s">
        <v>366</v>
      </c>
      <c r="W9" s="2637"/>
      <c r="X9" s="2637"/>
      <c r="Y9" s="2637"/>
      <c r="Z9" s="2637"/>
      <c r="AA9" s="2637"/>
      <c r="AB9" s="2637"/>
      <c r="AC9" s="2638"/>
      <c r="AD9" s="114"/>
      <c r="AE9" s="2639" t="s">
        <v>441</v>
      </c>
      <c r="AF9" s="2640"/>
      <c r="AG9" s="2640"/>
      <c r="AH9" s="2640"/>
      <c r="AI9" s="2640"/>
      <c r="AJ9" s="2640"/>
      <c r="AK9" s="2640"/>
      <c r="AL9" s="2640"/>
      <c r="AM9" s="2640"/>
      <c r="AN9" s="2640"/>
      <c r="AO9" s="2640"/>
      <c r="AP9" s="2640"/>
      <c r="AQ9" s="2640"/>
      <c r="AR9" s="2640"/>
      <c r="AS9" s="2640"/>
      <c r="AT9" s="2640"/>
      <c r="AU9" s="2640"/>
      <c r="AV9" s="2640"/>
      <c r="AW9" s="2640"/>
      <c r="AX9" s="2640"/>
      <c r="AY9" s="2640"/>
      <c r="AZ9" s="2640"/>
      <c r="BA9" s="2640"/>
      <c r="BB9" s="2641"/>
    </row>
    <row r="10" spans="1:67" s="116" customFormat="1" ht="12.75" hidden="1" customHeight="1" outlineLevel="1">
      <c r="A10" s="114"/>
      <c r="B10" s="143"/>
      <c r="C10" s="144"/>
      <c r="D10" s="1440" t="s">
        <v>308</v>
      </c>
      <c r="E10" s="1663"/>
      <c r="F10" s="1426"/>
      <c r="G10" s="144"/>
      <c r="H10" s="144"/>
      <c r="I10" s="144"/>
      <c r="J10" s="144"/>
      <c r="K10" s="144"/>
      <c r="L10" s="144"/>
      <c r="M10" s="144"/>
      <c r="N10" s="144"/>
      <c r="O10" s="144"/>
      <c r="P10" s="144"/>
      <c r="Q10" s="144"/>
      <c r="R10" s="144"/>
      <c r="S10" s="144"/>
      <c r="T10" s="145"/>
      <c r="U10" s="114"/>
      <c r="V10" s="159"/>
      <c r="W10" s="1443"/>
      <c r="X10" s="1443"/>
      <c r="Y10" s="141"/>
      <c r="Z10" s="141"/>
      <c r="AA10" s="141"/>
      <c r="AB10" s="141"/>
      <c r="AC10" s="142"/>
      <c r="AD10" s="114"/>
      <c r="AE10" s="1649" t="s">
        <v>444</v>
      </c>
      <c r="AF10" s="1650"/>
      <c r="AG10" s="1650"/>
      <c r="AH10" s="1650"/>
      <c r="AI10" s="1650"/>
      <c r="AJ10" s="1650"/>
      <c r="AK10" s="1650"/>
      <c r="AL10" s="1650"/>
      <c r="AM10" s="1650"/>
      <c r="AN10" s="1650"/>
      <c r="AO10" s="1650"/>
      <c r="AP10" s="1650"/>
      <c r="AQ10" s="1650"/>
      <c r="AR10" s="1650"/>
      <c r="AS10" s="1650"/>
      <c r="AT10" s="1650"/>
      <c r="AU10" s="2642" t="s">
        <v>444</v>
      </c>
      <c r="AV10" s="2643"/>
      <c r="AW10" s="2643"/>
      <c r="AX10" s="2644"/>
      <c r="AY10" s="566"/>
      <c r="AZ10" s="1650"/>
      <c r="BA10" s="1650"/>
      <c r="BB10" s="1668"/>
      <c r="BD10" s="2616" t="s">
        <v>1648</v>
      </c>
      <c r="BE10" s="2617"/>
      <c r="BF10" s="2617"/>
      <c r="BG10" s="2617"/>
      <c r="BH10" s="2617"/>
      <c r="BI10" s="2617"/>
      <c r="BJ10" s="2617"/>
      <c r="BK10" s="2617"/>
      <c r="BL10" s="2617"/>
      <c r="BM10" s="2617"/>
      <c r="BN10" s="2617"/>
      <c r="BO10" s="2618"/>
    </row>
    <row r="11" spans="1:67" s="127" customFormat="1" ht="12.75" hidden="1" customHeight="1" outlineLevel="1">
      <c r="A11" s="109"/>
      <c r="B11" s="1425" t="s">
        <v>383</v>
      </c>
      <c r="C11" s="144"/>
      <c r="D11" s="1440" t="s">
        <v>409</v>
      </c>
      <c r="E11" s="1663"/>
      <c r="F11" s="147" t="s">
        <v>450</v>
      </c>
      <c r="G11" s="147" t="s">
        <v>343</v>
      </c>
      <c r="H11" s="2626" t="s">
        <v>1572</v>
      </c>
      <c r="I11" s="2627"/>
      <c r="J11" s="147" t="s">
        <v>343</v>
      </c>
      <c r="K11" s="2626" t="s">
        <v>1573</v>
      </c>
      <c r="L11" s="2627"/>
      <c r="M11" s="147" t="s">
        <v>343</v>
      </c>
      <c r="N11" s="2626" t="s">
        <v>1575</v>
      </c>
      <c r="O11" s="2627"/>
      <c r="P11" s="147" t="s">
        <v>343</v>
      </c>
      <c r="Q11" s="2626" t="s">
        <v>1574</v>
      </c>
      <c r="R11" s="2628"/>
      <c r="S11" s="1440" t="s">
        <v>444</v>
      </c>
      <c r="T11" s="1446" t="s">
        <v>444</v>
      </c>
      <c r="U11" s="114"/>
      <c r="V11" s="1425" t="s">
        <v>316</v>
      </c>
      <c r="W11" s="2629" t="s">
        <v>316</v>
      </c>
      <c r="X11" s="2630"/>
      <c r="Y11" s="1656" t="s">
        <v>444</v>
      </c>
      <c r="Z11" s="1656" t="s">
        <v>444</v>
      </c>
      <c r="AA11" s="1656"/>
      <c r="AB11" s="1656"/>
      <c r="AC11" s="1446" t="s">
        <v>444</v>
      </c>
      <c r="AD11" s="114"/>
      <c r="AE11" s="1651" t="s">
        <v>211</v>
      </c>
      <c r="AF11" s="1652"/>
      <c r="AG11" s="1652"/>
      <c r="AH11" s="1652"/>
      <c r="AI11" s="1652" t="s">
        <v>442</v>
      </c>
      <c r="AJ11" s="1652"/>
      <c r="AK11" s="1652"/>
      <c r="AL11" s="1652"/>
      <c r="AM11" s="1652" t="s">
        <v>267</v>
      </c>
      <c r="AN11" s="1652"/>
      <c r="AO11" s="1652"/>
      <c r="AP11" s="1652"/>
      <c r="AQ11" s="1652" t="s">
        <v>443</v>
      </c>
      <c r="AR11" s="1652"/>
      <c r="AS11" s="1652"/>
      <c r="AT11" s="1652"/>
      <c r="AU11" s="2848" t="s">
        <v>327</v>
      </c>
      <c r="AV11" s="2648"/>
      <c r="AW11" s="2648"/>
      <c r="AX11" s="2649"/>
      <c r="AY11" s="1652" t="s">
        <v>636</v>
      </c>
      <c r="AZ11" s="1652"/>
      <c r="BA11" s="1652"/>
      <c r="BB11" s="1653"/>
      <c r="BD11" s="2614" t="s">
        <v>1646</v>
      </c>
      <c r="BE11" s="2645"/>
      <c r="BF11" s="2645"/>
      <c r="BG11" s="2615"/>
      <c r="BH11" s="2614" t="s">
        <v>1644</v>
      </c>
      <c r="BI11" s="2645"/>
      <c r="BJ11" s="2645"/>
      <c r="BK11" s="2615"/>
      <c r="BL11" s="2614" t="s">
        <v>1645</v>
      </c>
      <c r="BM11" s="2645"/>
      <c r="BN11" s="2645"/>
      <c r="BO11" s="2615"/>
    </row>
    <row r="12" spans="1:67" s="127" customFormat="1" ht="12.75" hidden="1" customHeight="1" outlineLevel="1">
      <c r="A12" s="109"/>
      <c r="B12" s="536" t="s">
        <v>1624</v>
      </c>
      <c r="C12" s="144"/>
      <c r="D12" s="1427" t="s">
        <v>444</v>
      </c>
      <c r="E12" s="1657"/>
      <c r="F12" s="1439" t="s">
        <v>447</v>
      </c>
      <c r="G12" s="1439" t="s">
        <v>1621</v>
      </c>
      <c r="H12" s="1453" t="s">
        <v>411</v>
      </c>
      <c r="I12" s="1453" t="s">
        <v>257</v>
      </c>
      <c r="J12" s="1439" t="s">
        <v>790</v>
      </c>
      <c r="K12" s="1453" t="s">
        <v>411</v>
      </c>
      <c r="L12" s="1453" t="s">
        <v>257</v>
      </c>
      <c r="M12" s="1439" t="s">
        <v>791</v>
      </c>
      <c r="N12" s="1453" t="s">
        <v>411</v>
      </c>
      <c r="O12" s="1453" t="s">
        <v>257</v>
      </c>
      <c r="P12" s="1439" t="s">
        <v>213</v>
      </c>
      <c r="Q12" s="1453" t="s">
        <v>411</v>
      </c>
      <c r="R12" s="1453" t="s">
        <v>257</v>
      </c>
      <c r="S12" s="1427" t="s">
        <v>411</v>
      </c>
      <c r="T12" s="220" t="s">
        <v>257</v>
      </c>
      <c r="U12" s="114"/>
      <c r="V12" s="1425" t="s">
        <v>1649</v>
      </c>
      <c r="W12" s="2646" t="s">
        <v>1650</v>
      </c>
      <c r="X12" s="2647"/>
      <c r="Y12" s="1662" t="s">
        <v>411</v>
      </c>
      <c r="Z12" s="1662" t="s">
        <v>257</v>
      </c>
      <c r="AA12" s="1662"/>
      <c r="AB12" s="1662"/>
      <c r="AC12" s="162" t="s">
        <v>327</v>
      </c>
      <c r="AD12" s="114"/>
      <c r="AE12" s="1670" t="s">
        <v>411</v>
      </c>
      <c r="AF12" s="1671" t="s">
        <v>257</v>
      </c>
      <c r="AG12" s="1671"/>
      <c r="AH12" s="1671"/>
      <c r="AI12" s="1671" t="s">
        <v>411</v>
      </c>
      <c r="AJ12" s="1671" t="s">
        <v>257</v>
      </c>
      <c r="AK12" s="1671"/>
      <c r="AL12" s="1671"/>
      <c r="AM12" s="1671" t="s">
        <v>411</v>
      </c>
      <c r="AN12" s="1671" t="s">
        <v>257</v>
      </c>
      <c r="AO12" s="1671"/>
      <c r="AP12" s="1671"/>
      <c r="AQ12" s="1671" t="s">
        <v>411</v>
      </c>
      <c r="AR12" s="1671" t="s">
        <v>257</v>
      </c>
      <c r="AS12" s="1671"/>
      <c r="AT12" s="1671"/>
      <c r="AU12" s="1289" t="s">
        <v>411</v>
      </c>
      <c r="AV12" s="581" t="s">
        <v>257</v>
      </c>
      <c r="AW12" s="581"/>
      <c r="AX12" s="582"/>
      <c r="AY12" s="1671" t="s">
        <v>411</v>
      </c>
      <c r="AZ12" s="1671" t="s">
        <v>257</v>
      </c>
      <c r="BA12" s="1671"/>
      <c r="BB12" s="1672"/>
      <c r="BD12" s="1447" t="s">
        <v>1643</v>
      </c>
      <c r="BE12" s="1448" t="s">
        <v>1640</v>
      </c>
      <c r="BF12" s="1448" t="s">
        <v>1641</v>
      </c>
      <c r="BG12" s="1451" t="s">
        <v>1642</v>
      </c>
      <c r="BH12" s="1448" t="s">
        <v>1643</v>
      </c>
      <c r="BI12" s="1448" t="s">
        <v>1640</v>
      </c>
      <c r="BJ12" s="1448" t="s">
        <v>1641</v>
      </c>
      <c r="BK12" s="1451" t="s">
        <v>1642</v>
      </c>
      <c r="BL12" s="1447" t="s">
        <v>1643</v>
      </c>
      <c r="BM12" s="1448" t="s">
        <v>1640</v>
      </c>
      <c r="BN12" s="1448" t="s">
        <v>1641</v>
      </c>
      <c r="BO12" s="1451" t="s">
        <v>1642</v>
      </c>
    </row>
    <row r="13" spans="1:67" s="116" customFormat="1" ht="12.75" hidden="1" customHeight="1" outlineLevel="1">
      <c r="A13" s="114"/>
      <c r="B13" s="143" t="s">
        <v>1620</v>
      </c>
      <c r="C13" s="144"/>
      <c r="D13" s="315">
        <f>SUM(S13,T13)</f>
        <v>0</v>
      </c>
      <c r="E13" s="315"/>
      <c r="F13" s="847"/>
      <c r="G13" s="343"/>
      <c r="H13" s="335">
        <f>VLOOKUP($B13&amp;"; "&amp;$H$11&amp;", "&amp;H$12,'FE Energie'!$G:$U,9,FALSE)</f>
        <v>0.505</v>
      </c>
      <c r="I13" s="335">
        <f>VLOOKUP($B13&amp;"; "&amp;$H$11&amp;", "&amp;I$12,'FE Energie'!$G:$U,9,FALSE)</f>
        <v>3.02</v>
      </c>
      <c r="J13" s="343"/>
      <c r="K13" s="223">
        <f>VLOOKUP($B13&amp;"; "&amp;$K$11&amp;", "&amp;K$12,'FE Energie'!$G:$U,9,FALSE)</f>
        <v>0.04</v>
      </c>
      <c r="L13" s="223">
        <f>VLOOKUP($B13&amp;"; "&amp;$K$11&amp;", "&amp;L$12,'FE Energie'!$G:$U,9,FALSE)</f>
        <v>0.23</v>
      </c>
      <c r="M13" s="1085"/>
      <c r="N13" s="217">
        <f>VLOOKUP($B13&amp;"; "&amp;$N$11&amp;", "&amp;N$12,'FE Energie'!$G:$U,9,FALSE)</f>
        <v>448</v>
      </c>
      <c r="O13" s="217">
        <f>VLOOKUP($B13&amp;"; "&amp;$N$11&amp;", "&amp;O$12,'FE Energie'!$G:$U,9,FALSE)</f>
        <v>2680</v>
      </c>
      <c r="P13" s="1085"/>
      <c r="Q13" s="223">
        <f>VLOOKUP($B13&amp;"; "&amp;$Q$11&amp;", "&amp;Q$12,'FE Energie'!$G:$U,9,FALSE)</f>
        <v>0.28100000000000003</v>
      </c>
      <c r="R13" s="223">
        <f>VLOOKUP($B13&amp;"; "&amp;$Q$11&amp;", "&amp;R$12,'FE Energie'!$G:$U,9,FALSE)</f>
        <v>1.76</v>
      </c>
      <c r="S13" s="566">
        <f>IF(ISNA(G13*H13),0,G13*H13)+IF(ISNA(J13*K13),0,J13*K13)+IF(ISNA(M13*N13),0,M13*N13)+IF(ISNA(P13*Q13),0,P13*Q13)</f>
        <v>0</v>
      </c>
      <c r="T13" s="567">
        <f>IF(ISNA(G13*I13),0,G13*I13)+IF(ISNA(J13*L13),0,J13*L13)+IF(ISNA(M13*O13),0,M13*O13)+IF(ISNA(P13*R13),0,P13*R13)</f>
        <v>0</v>
      </c>
      <c r="U13" s="114"/>
      <c r="V13" s="1092">
        <f>IF(AC13=0,AC13,AC13/(S13+T13))</f>
        <v>0</v>
      </c>
      <c r="W13" s="343"/>
      <c r="X13" s="820"/>
      <c r="Y13" s="164">
        <f>SQRT(SUMSQ(IF(ISNA($G13*H13*BH13),0,$G13*H13*BH13),IF(ISNA($J13*K13*BI13),0,$J13*K13*BI13),IF(ISNA($M13*N13*BJ13),0,$M13*N13*BJ13),IF(ISNA($P13*Q13*BK13),0,$P13*Q13*BK13)))</f>
        <v>0</v>
      </c>
      <c r="Z13" s="164">
        <f>SQRT(SUMSQ(IF(ISNA($G13*I13*BL13),0,$G13*I13*BL13),IF(ISNA($J13*L13*BM13),0,$J13*L13*BM13),IF(ISNA($M13*O13*BN13),0,$M13*O13*BN13),IF(ISNA($P13*R13*BO13),0,$P13*R13*BO13)))</f>
        <v>0</v>
      </c>
      <c r="AA13" s="164"/>
      <c r="AB13" s="164"/>
      <c r="AC13" s="152">
        <f>SQRT(SUMSQ(Y13,Z13))</f>
        <v>0</v>
      </c>
      <c r="AD13" s="114"/>
      <c r="AE13" s="564">
        <f>$G13*IF(ISNA(VLOOKUP($B13&amp;"; "&amp;$H$11&amp;", "&amp;H$12,'FE Energie'!$G:$U,10,FALSE)),0,VLOOKUP($B13&amp;"; "&amp;$H$11&amp;", "&amp;H$12,'FE Energie'!$G:$U,10,FALSE))
+$J13*IF(ISNA(VLOOKUP($B13&amp;"; "&amp;$K$11&amp;", "&amp;H$12,'FE Energie'!$G:$U,10,FALSE)),0,VLOOKUP($B13&amp;"; "&amp;$K$11&amp;", "&amp;H$12,'FE Energie'!$G:$U,10,FALSE))
+$M13*IF(ISNA(VLOOKUP($B13&amp;"; "&amp;$N$11&amp;", "&amp;H$12,'FE Energie'!$G:$U,10,FALSE)),0,VLOOKUP($B13&amp;"; "&amp;$N$11&amp;", "&amp;H$12,'FE Energie'!$G:$U,10,FALSE))
+$P13*IF(ISNA(VLOOKUP($B13&amp;"; "&amp;$Q$11&amp;", "&amp;H$12,'FE Energie'!$G:$U,10,FALSE)),0,VLOOKUP($B13&amp;"; "&amp;$Q$11&amp;", "&amp;H$12,'FE Energie'!$G:$U,10,FALSE))</f>
        <v>0</v>
      </c>
      <c r="AF13" s="565">
        <f>$G13*IF(ISNA(VLOOKUP($B13&amp;"; "&amp;$H$11&amp;", "&amp;I$12,'FE Energie'!$G:$U,10,FALSE)),0,VLOOKUP($B13&amp;"; "&amp;$H$11&amp;", "&amp;I$12,'FE Energie'!$G:$U,10,FALSE))
+$J13*IF(ISNA(VLOOKUP($B13&amp;"; "&amp;$K$11&amp;", "&amp;I$12,'FE Energie'!$G:$U,10,FALSE)),0,VLOOKUP($B13&amp;"; "&amp;$K$11&amp;", "&amp;I$12,'FE Energie'!$G:$U,10,FALSE))
+$M13*IF(ISNA(VLOOKUP($B13&amp;"; "&amp;$N$11&amp;", "&amp;I$12,'FE Energie'!$G:$U,10,FALSE)),0,VLOOKUP($B13&amp;"; "&amp;$N$11&amp;", "&amp;I$12,'FE Energie'!$G:$U,10,FALSE))
+$P13*IF(ISNA(VLOOKUP($B13&amp;"; "&amp;$Q$11&amp;", "&amp;I$12,'FE Energie'!$G:$U,10,FALSE)),0,VLOOKUP($B13&amp;"; "&amp;$Q$11&amp;", "&amp;I$12,'FE Energie'!$G:$U,10,FALSE))</f>
        <v>0</v>
      </c>
      <c r="AG13" s="565"/>
      <c r="AH13" s="565"/>
      <c r="AI13" s="565">
        <f>$G13*IF(ISNA((VLOOKUP($B13&amp;"; "&amp;$H$11&amp;", "&amp;H$12,'FE Energie'!$G:$U,12,FALSE)+VLOOKUP($B13&amp;"; "&amp;$H$11&amp;", "&amp;H$12,'FE Energie'!$G:$U,11,FALSE))),0,(VLOOKUP($B13&amp;"; "&amp;$H$11&amp;", "&amp;H$12,'FE Energie'!$G:$U,12,FALSE)+VLOOKUP($B13&amp;"; "&amp;$H$11&amp;", "&amp;H$12,'FE Energie'!$G:$U,11,FALSE)))
+$J13*IF(ISNA((VLOOKUP($B13&amp;"; "&amp;$K$11&amp;", "&amp;H$12,'FE Energie'!$G:$U,12,FALSE)+VLOOKUP($B13&amp;"; "&amp;$K$11&amp;", "&amp;H$12,'FE Energie'!$G:$U,11,FALSE))),0,(VLOOKUP($B13&amp;"; "&amp;$K$11&amp;", "&amp;H$12,'FE Energie'!$G:$U,12,FALSE)+VLOOKUP($B13&amp;"; "&amp;$K$11&amp;", "&amp;H$12,'FE Energie'!$G:$U,11,FALSE)))
+$M13*IF(ISNA((VLOOKUP($B13&amp;"; "&amp;$N$11&amp;", "&amp;H$12,'FE Energie'!$G:$U,12,FALSE)+VLOOKUP($B13&amp;"; "&amp;$N$11&amp;", "&amp;H$12,'FE Energie'!$G:$U,11,FALSE))),0,(VLOOKUP($B13&amp;"; "&amp;$N$11&amp;", "&amp;H$12,'FE Energie'!$G:$U,12,FALSE)+VLOOKUP($B13&amp;"; "&amp;$N$11&amp;", "&amp;H$12,'FE Energie'!$G:$U,11,FALSE)))
+$P13*IF(ISNA((VLOOKUP($B13&amp;"; "&amp;$Q$11&amp;", "&amp;H$12,'FE Energie'!$G:$U,12,FALSE)+VLOOKUP($B13&amp;"; "&amp;$Q$11&amp;", "&amp;H$12,'FE Energie'!$G:$U,11,FALSE))),0,(VLOOKUP($B13&amp;"; "&amp;$Q$11&amp;", "&amp;H$12,'FE Energie'!$G:$U,12,FALSE)+VLOOKUP($B13&amp;"; "&amp;$Q$11&amp;", "&amp;H$12,'FE Energie'!$G:$U,11,FALSE)))</f>
        <v>0</v>
      </c>
      <c r="AJ13" s="565">
        <f>$G13*IF(ISNA((VLOOKUP($B13&amp;"; "&amp;$H$11&amp;", "&amp;I$12,'FE Energie'!$G:$U,12,FALSE)+VLOOKUP($B13&amp;"; "&amp;$H$11&amp;", "&amp;I$12,'FE Energie'!$G:$U,11,FALSE))),0,(VLOOKUP($B13&amp;"; "&amp;$H$11&amp;", "&amp;I$12,'FE Energie'!$G:$U,12,FALSE)+VLOOKUP($B13&amp;"; "&amp;$H$11&amp;", "&amp;I$12,'FE Energie'!$G:$U,11,FALSE)))
+$J13*IF(ISNA((VLOOKUP($B13&amp;"; "&amp;$K$11&amp;", "&amp;I$12,'FE Energie'!$G:$U,12,FALSE)+VLOOKUP($B13&amp;"; "&amp;$K$11&amp;", "&amp;I$12,'FE Energie'!$G:$U,11,FALSE))),0,(VLOOKUP($B13&amp;"; "&amp;$K$11&amp;", "&amp;I$12,'FE Energie'!$G:$U,12,FALSE)+VLOOKUP($B13&amp;"; "&amp;$K$11&amp;", "&amp;I$12,'FE Energie'!$G:$U,11,FALSE)))
+$M13*IF(ISNA((VLOOKUP($B13&amp;"; "&amp;$N$11&amp;", "&amp;I$12,'FE Energie'!$G:$U,12,FALSE)+VLOOKUP($B13&amp;"; "&amp;$N$11&amp;", "&amp;I$12,'FE Energie'!$G:$U,11,FALSE))),0,(VLOOKUP($B13&amp;"; "&amp;$N$11&amp;", "&amp;I$12,'FE Energie'!$G:$U,12,FALSE)+VLOOKUP($B13&amp;"; "&amp;$N$11&amp;", "&amp;I$12,'FE Energie'!$G:$U,11,FALSE)))
+$P13*IF(ISNA((VLOOKUP($B13&amp;"; "&amp;$Q$11&amp;", "&amp;I$12,'FE Energie'!$G:$U,12,FALSE)+VLOOKUP($B13&amp;"; "&amp;$Q$11&amp;", "&amp;I$12,'FE Energie'!$G:$U,11,FALSE))),0,(VLOOKUP($B13&amp;"; "&amp;$Q$11&amp;", "&amp;I$12,'FE Energie'!$G:$U,12,FALSE)+VLOOKUP($B13&amp;"; "&amp;$Q$11&amp;", "&amp;I$12,'FE Energie'!$G:$U,11,FALSE)))</f>
        <v>0</v>
      </c>
      <c r="AK13" s="565"/>
      <c r="AL13" s="565"/>
      <c r="AM13" s="565">
        <f>$G13*IF(ISNA(VLOOKUP($B13&amp;"; "&amp;$H$11&amp;", "&amp;H$12,'FE Energie'!$G:$U,13,FALSE)),0,VLOOKUP($B13&amp;"; "&amp;$H$11&amp;", "&amp;H$12,'FE Energie'!$G:$U,13,FALSE))
+$J13*IF(ISNA(VLOOKUP($B13&amp;"; "&amp;$K$11&amp;", "&amp;H$12,'FE Energie'!$G:$U,13,FALSE)),0,VLOOKUP($B13&amp;"; "&amp;$K$11&amp;", "&amp;H$12,'FE Energie'!$G:$U,13,FALSE))
+$M13*IF(ISNA(VLOOKUP($B13&amp;"; "&amp;$N$11&amp;", "&amp;H$12,'FE Energie'!$G:$U,13,FALSE)),0,VLOOKUP($B13&amp;"; "&amp;$N$11&amp;", "&amp;H$12,'FE Energie'!$G:$U,13,FALSE))
+$P13*IF(ISNA(VLOOKUP($B13&amp;"; "&amp;$Q$11&amp;", "&amp;H$12,'FE Energie'!$G:$U,13,FALSE)),0,VLOOKUP($B13&amp;"; "&amp;$Q$11&amp;", "&amp;H$12,'FE Energie'!$G:$U,13,FALSE))</f>
        <v>0</v>
      </c>
      <c r="AN13" s="565">
        <f>$G13*IF(ISNA(VLOOKUP($B13&amp;"; "&amp;$H$11&amp;", "&amp;I$12,'FE Energie'!$G:$U,13,FALSE)),0,VLOOKUP($B13&amp;"; "&amp;$H$11&amp;", "&amp;I$12,'FE Energie'!$G:$U,13,FALSE))
+$J13*IF(ISNA(VLOOKUP($B13&amp;"; "&amp;$K$11&amp;", "&amp;I$12,'FE Energie'!$G:$U,13,FALSE)),0,VLOOKUP($B13&amp;"; "&amp;$K$11&amp;", "&amp;I$12,'FE Energie'!$G:$U,13,FALSE))
+$M13*IF(ISNA(VLOOKUP($B13&amp;"; "&amp;$N$11&amp;", "&amp;I$12,'FE Energie'!$G:$U,13,FALSE)),0,VLOOKUP($B13&amp;"; "&amp;$N$11&amp;", "&amp;I$12,'FE Energie'!$G:$U,13,FALSE))
+$P13*IF(ISNA(VLOOKUP($B13&amp;"; "&amp;$Q$11&amp;", "&amp;I$12,'FE Energie'!$G:$U,13,FALSE)),0,VLOOKUP($B13&amp;"; "&amp;$Q$11&amp;", "&amp;I$12,'FE Energie'!$G:$U,13,FALSE))</f>
        <v>0</v>
      </c>
      <c r="AO13" s="565"/>
      <c r="AP13" s="565"/>
      <c r="AQ13" s="565">
        <f>$G13*IF(ISNA(VLOOKUP($B13&amp;"; "&amp;$H$11&amp;", "&amp;H$12,'FE Energie'!$G:$U,14,FALSE)),0,VLOOKUP($B13&amp;"; "&amp;$H$11&amp;", "&amp;H$12,'FE Energie'!$G:$U,14,FALSE))
+$J13*IF(ISNA(VLOOKUP($B13&amp;"; "&amp;$K$11&amp;", "&amp;H$12,'FE Energie'!$G:$U,14,FALSE)),0,VLOOKUP($B13&amp;"; "&amp;$K$11&amp;", "&amp;H$12,'FE Energie'!$G:$U,14,FALSE))
+$M13*IF(ISNA(VLOOKUP($B13&amp;"; "&amp;$N$11&amp;", "&amp;H$12,'FE Energie'!$G:$U,14,FALSE)),0,VLOOKUP($B13&amp;"; "&amp;$N$11&amp;", "&amp;H$12,'FE Energie'!$G:$U,14,FALSE))
+$P13*IF(ISNA(VLOOKUP($B13&amp;"; "&amp;$Q$11&amp;", "&amp;H$12,'FE Energie'!$G:$U,14,FALSE)),0,VLOOKUP($B13&amp;"; "&amp;$Q$11&amp;", "&amp;H$12,'FE Energie'!$G:$U,14,FALSE))</f>
        <v>0</v>
      </c>
      <c r="AR13" s="565">
        <f>$G13*IF(ISNA(VLOOKUP($B13&amp;"; "&amp;$H$11&amp;", "&amp;I$12,'FE Energie'!$G:$U,14,FALSE)),0,VLOOKUP($B13&amp;"; "&amp;$H$11&amp;", "&amp;I$12,'FE Energie'!$G:$U,14,FALSE))
+$J13*IF(ISNA(VLOOKUP($B13&amp;"; "&amp;$K$11&amp;", "&amp;I$12,'FE Energie'!$G:$U,14,FALSE)),0,VLOOKUP($B13&amp;"; "&amp;$K$11&amp;", "&amp;I$12,'FE Energie'!$G:$U,14,FALSE))
+$M13*IF(ISNA(VLOOKUP($B13&amp;"; "&amp;$N$11&amp;", "&amp;I$12,'FE Energie'!$G:$U,14,FALSE)),0,VLOOKUP($B13&amp;"; "&amp;$N$11&amp;", "&amp;I$12,'FE Energie'!$G:$U,14,FALSE))
+$P13*IF(ISNA(VLOOKUP($B13&amp;"; "&amp;$Q$11&amp;", "&amp;I$12,'FE Energie'!$G:$U,14,FALSE)),0,VLOOKUP($B13&amp;"; "&amp;$Q$11&amp;", "&amp;I$12,'FE Energie'!$G:$U,14,FALSE))</f>
        <v>0</v>
      </c>
      <c r="AS13" s="565"/>
      <c r="AT13" s="565"/>
      <c r="AU13" s="1288">
        <f>SUM(AQ13,AM13,AE13,AI13)</f>
        <v>0</v>
      </c>
      <c r="AV13" s="566">
        <f>SUM(AR13,AN13,AF13,AJ13)</f>
        <v>0</v>
      </c>
      <c r="AW13" s="566"/>
      <c r="AX13" s="567"/>
      <c r="AY13" s="565">
        <f>$G13*IF(ISNA(VLOOKUP($B13&amp;"; "&amp;$H$11&amp;", "&amp;H$12,'FE Energie'!$G:$U,15,FALSE)),0,VLOOKUP($B13&amp;"; "&amp;$H$11&amp;", "&amp;H$12,'FE Energie'!$G:$U,15,FALSE))
+$J13*IF(ISNA(VLOOKUP($B13&amp;"; "&amp;$K$11&amp;", "&amp;H$12,'FE Energie'!$G:$U,15,FALSE)),0,VLOOKUP($B13&amp;"; "&amp;$K$11&amp;", "&amp;H$12,'FE Energie'!$G:$U,15,FALSE))
+$M13*IF(ISNA(VLOOKUP($B13&amp;"; "&amp;$N$11&amp;", "&amp;H$12,'FE Energie'!$G:$U,15,FALSE)),0,VLOOKUP($B13&amp;"; "&amp;$N$11&amp;", "&amp;H$12,'FE Energie'!$G:$U,15,FALSE))
+$P13*IF(ISNA(VLOOKUP($B13&amp;"; "&amp;$Q$11&amp;", "&amp;H$12,'FE Energie'!$G:$U,15,FALSE)),0,VLOOKUP($B13&amp;"; "&amp;$Q$11&amp;", "&amp;H$12,'FE Energie'!$G:$U,15,FALSE))</f>
        <v>0</v>
      </c>
      <c r="AZ13" s="565">
        <f>$G13*IF(ISNA(VLOOKUP($B13&amp;"; "&amp;$H$11&amp;", "&amp;I$12,'FE Energie'!$G:$U,15,FALSE)),0,VLOOKUP($B13&amp;"; "&amp;$H$11&amp;", "&amp;I$12,'FE Energie'!$G:$U,15,FALSE))
+$J13*IF(ISNA(VLOOKUP($B13&amp;"; "&amp;$K$11&amp;", "&amp;I$12,'FE Energie'!$G:$U,15,FALSE)),0,VLOOKUP($B13&amp;"; "&amp;$K$11&amp;", "&amp;I$12,'FE Energie'!$G:$U,15,FALSE))
+$M13*IF(ISNA(VLOOKUP($B13&amp;"; "&amp;$N$11&amp;", "&amp;I$12,'FE Energie'!$G:$U,15,FALSE)),0,VLOOKUP($B13&amp;"; "&amp;$N$11&amp;", "&amp;I$12,'FE Energie'!$G:$U,15,FALSE))
+$P13*IF(ISNA(VLOOKUP($B13&amp;"; "&amp;$Q$11&amp;", "&amp;I$12,'FE Energie'!$G:$U,15,FALSE)),0,VLOOKUP($B13&amp;"; "&amp;$Q$11&amp;", "&amp;I$12,'FE Energie'!$G:$U,15,FALSE))</f>
        <v>0</v>
      </c>
      <c r="BA13" s="565"/>
      <c r="BB13" s="568"/>
      <c r="BD13" s="1065">
        <f>IF($W13&lt;&gt;"votre valeur :",IF(ISNA(VLOOKUP($W13,Utilitaires!$N$566:$O$571,2,FALSE)),,VLOOKUP($W13,Utilitaires!$N$566:$O$571,2,FALSE)),$X13)</f>
        <v>0</v>
      </c>
      <c r="BE13" s="1066">
        <f>IF($W13&lt;&gt;"votre valeur :",IF(ISNA(VLOOKUP($W13,Utilitaires!$N$566:$O$571,2,FALSE)),,VLOOKUP($W13,Utilitaires!$N$566:$O$571,2,FALSE)),$X13)</f>
        <v>0</v>
      </c>
      <c r="BF13" s="1066">
        <f>IF($W13&lt;&gt;"votre valeur :",IF(ISNA(VLOOKUP($W13,Utilitaires!$N$566:$O$571,2,FALSE)),,VLOOKUP($W13,Utilitaires!$N$566:$O$571,2,FALSE)),$X13)</f>
        <v>0</v>
      </c>
      <c r="BG13" s="1067">
        <f>IF($W13&lt;&gt;"votre valeur :",IF(ISNA(VLOOKUP($W13,Utilitaires!$N$566:$O$571,2,FALSE)),,VLOOKUP($W13,Utilitaires!$N$566:$O$571,2,FALSE)),$X13)</f>
        <v>0</v>
      </c>
      <c r="BH13" s="1068">
        <f>IF(ISNA(SQRT(SUMSQ(VLOOKUP($B13&amp;"; "&amp;$H$11&amp;", "&amp;$H$12,'FE Energie'!$G:$U,7,FALSE),$BD13))),0,SQRT(SUMSQ(VLOOKUP($B13&amp;"; "&amp;$H$11&amp;", "&amp;$H$12,'FE Energie'!$G:$U,7,FALSE),$BD13)))</f>
        <v>0.05</v>
      </c>
      <c r="BI13" s="1068">
        <f>IF(ISNA(SQRT(SUMSQ(VLOOKUP($B13&amp;"; "&amp;$K$11&amp;", "&amp;$K$12,'FE Energie'!$G:$U,7,FALSE),$BE13))),0,SQRT(SUMSQ(VLOOKUP($B13&amp;"; "&amp;$K$11&amp;", "&amp;$K$12,'FE Energie'!$G:$U,7,FALSE),$BE13)))</f>
        <v>0.05</v>
      </c>
      <c r="BJ13" s="1068">
        <f>IF(ISNA(SQRT(SUMSQ(VLOOKUP($B13&amp;"; "&amp;$N$11&amp;", "&amp;$N$12,'FE Energie'!$G:$U,7,FALSE),$BF13))),0,SQRT(SUMSQ(VLOOKUP($B13&amp;"; "&amp;$N$11&amp;", "&amp;$N$12,'FE Energie'!$G:$U,7,FALSE),$BF13)))</f>
        <v>0.05</v>
      </c>
      <c r="BK13" s="1068">
        <f>IF(ISNA(SQRT(SUMSQ(VLOOKUP($B13&amp;"; "&amp;$Q$11&amp;", "&amp;$Q$12,'FE Energie'!$G:$U,7,FALSE),$BG13))),0,SQRT(SUMSQ(VLOOKUP($B13&amp;"; "&amp;$Q$11&amp;", "&amp;$Q$12,'FE Energie'!$G:$U,7,FALSE),$BG13)))</f>
        <v>0.05</v>
      </c>
      <c r="BL13" s="1069">
        <f>IF(ISNA(SQRT(SUMSQ(VLOOKUP($B13&amp;"; "&amp;$H$11&amp;", "&amp;$I$12,'FE Energie'!$G:$U,7,FALSE),$BD13))),0,SQRT(SUMSQ(VLOOKUP($B13&amp;"; "&amp;$H$11&amp;", "&amp;$I$12,'FE Energie'!$G:$U,7,FALSE),$BD13)))</f>
        <v>0.05</v>
      </c>
      <c r="BM13" s="1070">
        <f>IF(ISNA(SQRT(SUMSQ(VLOOKUP($B13&amp;"; "&amp;$K$11&amp;", "&amp;$L$12,'FE Energie'!$G:$U,7,FALSE),$BE13))),0,SQRT(SUMSQ(VLOOKUP($B13&amp;"; "&amp;$K$11&amp;", "&amp;$L$12,'FE Energie'!$G:$U,7,FALSE),$BE13)))</f>
        <v>0.05</v>
      </c>
      <c r="BN13" s="1070">
        <f>IF(ISNA(SQRT(SUMSQ(VLOOKUP($B13&amp;"; "&amp;$N$11&amp;", "&amp;$O$12,'FE Energie'!$G:$U,7,FALSE),$BF13))),0,SQRT(SUMSQ(VLOOKUP($B13&amp;"; "&amp;$N$11&amp;", "&amp;$O$12,'FE Energie'!$G:$U,7,FALSE),$BF13)))</f>
        <v>0.05</v>
      </c>
      <c r="BO13" s="1071">
        <f>IF(ISNA(SQRT(SUMSQ(VLOOKUP($B13&amp;"; "&amp;$Q$11&amp;", "&amp;$R$12,'FE Energie'!$G:$U,7,FALSE),$BG13))),0,SQRT(SUMSQ(VLOOKUP($B13&amp;"; "&amp;$Q$11&amp;", "&amp;$R$12,'FE Energie'!$G:$U,7,FALSE),$BG13)))</f>
        <v>0.05</v>
      </c>
    </row>
    <row r="14" spans="1:67" s="116" customFormat="1" ht="12.75" hidden="1" customHeight="1" outlineLevel="1">
      <c r="A14" s="114"/>
      <c r="B14" s="143" t="s">
        <v>1623</v>
      </c>
      <c r="C14" s="144"/>
      <c r="D14" s="315">
        <f t="shared" ref="D14:D26" si="0">SUM(S14,T14)</f>
        <v>0</v>
      </c>
      <c r="E14" s="315"/>
      <c r="F14" s="849"/>
      <c r="G14" s="345"/>
      <c r="H14" s="335">
        <f>VLOOKUP($B14&amp;"; "&amp;$H$11&amp;", "&amp;H$12,'FE Energie'!$G:$U,9,FALSE)</f>
        <v>0.48699999999999999</v>
      </c>
      <c r="I14" s="335">
        <f>VLOOKUP($B14&amp;"; "&amp;$H$11&amp;", "&amp;I$12,'FE Energie'!$G:$U,9,FALSE)</f>
        <v>2.97</v>
      </c>
      <c r="J14" s="345"/>
      <c r="K14" s="223">
        <f>VLOOKUP($B14&amp;"; "&amp;$K$11&amp;", "&amp;K$12,'FE Energie'!$G:$U,9,FALSE)</f>
        <v>3.9E-2</v>
      </c>
      <c r="L14" s="223">
        <f>VLOOKUP($B14&amp;"; "&amp;$K$11&amp;", "&amp;L$12,'FE Energie'!$G:$U,9,FALSE)</f>
        <v>0.23300000000000001</v>
      </c>
      <c r="M14" s="1086"/>
      <c r="N14" s="217">
        <f>VLOOKUP($B14&amp;"; "&amp;$N$11&amp;", "&amp;N$12,'FE Energie'!$G:$U,9,FALSE)</f>
        <v>445</v>
      </c>
      <c r="O14" s="217">
        <f>VLOOKUP($B14&amp;"; "&amp;$N$11&amp;", "&amp;O$12,'FE Energie'!$G:$U,9,FALSE)</f>
        <v>2720</v>
      </c>
      <c r="P14" s="1086"/>
      <c r="Q14" s="223">
        <f>VLOOKUP($B14&amp;"; "&amp;$Q$11&amp;", "&amp;Q$12,'FE Energie'!$G:$U,9,FALSE)</f>
        <v>0.25600000000000001</v>
      </c>
      <c r="R14" s="223">
        <f>VLOOKUP($B14&amp;"; "&amp;$Q$11&amp;", "&amp;R$12,'FE Energie'!$G:$U,9,FALSE)</f>
        <v>1.54</v>
      </c>
      <c r="S14" s="566">
        <f>IF(ISNA(G14*H14),0,G14*H14)+IF(ISNA(J14*K14),0,J14*K14)+IF(ISNA(M14*N14),0,M14*N14)+IF(ISNA(P14*Q14),0,P14*Q14)</f>
        <v>0</v>
      </c>
      <c r="T14" s="567">
        <f>IF(ISNA(G14*I14),0,G14*I14)+IF(ISNA(J14*L14),0,J14*L14)+IF(ISNA(M14*O14),0,M14*O14)+IF(ISNA(P14*R14),0,P14*R14)</f>
        <v>0</v>
      </c>
      <c r="U14" s="114"/>
      <c r="V14" s="1092">
        <f>IF(AC14=0,AC14,AC14/(S14+T14))</f>
        <v>0</v>
      </c>
      <c r="W14" s="345"/>
      <c r="X14" s="820"/>
      <c r="Y14" s="164">
        <f>SQRT(SUMSQ(IF(ISNA($G14*H14*BH14),0,$G14*H14*BH14),IF(ISNA($J14*K14*BI14),0,$J14*K14*BI14),IF(ISNA($M14*N14*BJ14),0,$M14*N14*BJ14),IF(ISNA($P14*Q14*BK14),0,$P14*Q14*BK14)))</f>
        <v>0</v>
      </c>
      <c r="Z14" s="164">
        <f>SQRT(SUMSQ(IF(ISNA($G14*I14*BL14),0,$G14*I14*BL14),IF(ISNA($J14*L14*BM14),0,$J14*L14*BM14),IF(ISNA($M14*O14*BN14),0,$M14*O14*BN14),IF(ISNA($P14*R14*BO14),0,$P14*R14*BO14)))</f>
        <v>0</v>
      </c>
      <c r="AA14" s="164"/>
      <c r="AB14" s="164"/>
      <c r="AC14" s="152">
        <f>SQRT(SUMSQ(Y14,Z14))</f>
        <v>0</v>
      </c>
      <c r="AD14" s="114"/>
      <c r="AE14" s="564">
        <f>$G14*IF(ISNA(VLOOKUP($B14&amp;"; "&amp;$H$11&amp;", "&amp;H$12,'FE Energie'!$G:$U,10,FALSE)),0,VLOOKUP($B14&amp;"; "&amp;$H$11&amp;", "&amp;H$12,'FE Energie'!$G:$U,10,FALSE))
+$J14*IF(ISNA(VLOOKUP($B14&amp;"; "&amp;$K$11&amp;", "&amp;H$12,'FE Energie'!$G:$U,10,FALSE)),0,VLOOKUP($B14&amp;"; "&amp;$K$11&amp;", "&amp;H$12,'FE Energie'!$G:$U,10,FALSE))
+$M14*IF(ISNA(VLOOKUP($B14&amp;"; "&amp;$N$11&amp;", "&amp;H$12,'FE Energie'!$G:$U,10,FALSE)),0,VLOOKUP($B14&amp;"; "&amp;$N$11&amp;", "&amp;H$12,'FE Energie'!$G:$U,10,FALSE))
+$P14*IF(ISNA(VLOOKUP($B14&amp;"; "&amp;$Q$11&amp;", "&amp;H$12,'FE Energie'!$G:$U,10,FALSE)),0,VLOOKUP($B14&amp;"; "&amp;$Q$11&amp;", "&amp;H$12,'FE Energie'!$G:$U,10,FALSE))</f>
        <v>0</v>
      </c>
      <c r="AF14" s="565">
        <f>$G14*IF(ISNA(VLOOKUP($B14&amp;"; "&amp;$H$11&amp;", "&amp;I$12,'FE Energie'!$G:$U,10,FALSE)),0,VLOOKUP($B14&amp;"; "&amp;$H$11&amp;", "&amp;I$12,'FE Energie'!$G:$U,10,FALSE))
+$J14*IF(ISNA(VLOOKUP($B14&amp;"; "&amp;$K$11&amp;", "&amp;I$12,'FE Energie'!$G:$U,10,FALSE)),0,VLOOKUP($B14&amp;"; "&amp;$K$11&amp;", "&amp;I$12,'FE Energie'!$G:$U,10,FALSE))
+$M14*IF(ISNA(VLOOKUP($B14&amp;"; "&amp;$N$11&amp;", "&amp;I$12,'FE Energie'!$G:$U,10,FALSE)),0,VLOOKUP($B14&amp;"; "&amp;$N$11&amp;", "&amp;I$12,'FE Energie'!$G:$U,10,FALSE))
+$P14*IF(ISNA(VLOOKUP($B14&amp;"; "&amp;$Q$11&amp;", "&amp;I$12,'FE Energie'!$G:$U,10,FALSE)),0,VLOOKUP($B14&amp;"; "&amp;$Q$11&amp;", "&amp;I$12,'FE Energie'!$G:$U,10,FALSE))</f>
        <v>0</v>
      </c>
      <c r="AG14" s="565"/>
      <c r="AH14" s="565"/>
      <c r="AI14" s="565">
        <f>$G14*IF(ISNA((VLOOKUP($B14&amp;"; "&amp;$H$11&amp;", "&amp;H$12,'FE Energie'!$G:$U,12,FALSE)+VLOOKUP($B14&amp;"; "&amp;$H$11&amp;", "&amp;H$12,'FE Energie'!$G:$U,11,FALSE))),0,(VLOOKUP($B14&amp;"; "&amp;$H$11&amp;", "&amp;H$12,'FE Energie'!$G:$U,12,FALSE)+VLOOKUP($B14&amp;"; "&amp;$H$11&amp;", "&amp;H$12,'FE Energie'!$G:$U,11,FALSE)))
+$J14*IF(ISNA((VLOOKUP($B14&amp;"; "&amp;$K$11&amp;", "&amp;H$12,'FE Energie'!$G:$U,12,FALSE)+VLOOKUP($B14&amp;"; "&amp;$K$11&amp;", "&amp;H$12,'FE Energie'!$G:$U,11,FALSE))),0,(VLOOKUP($B14&amp;"; "&amp;$K$11&amp;", "&amp;H$12,'FE Energie'!$G:$U,12,FALSE)+VLOOKUP($B14&amp;"; "&amp;$K$11&amp;", "&amp;H$12,'FE Energie'!$G:$U,11,FALSE)))
+$M14*IF(ISNA((VLOOKUP($B14&amp;"; "&amp;$N$11&amp;", "&amp;H$12,'FE Energie'!$G:$U,12,FALSE)+VLOOKUP($B14&amp;"; "&amp;$N$11&amp;", "&amp;H$12,'FE Energie'!$G:$U,11,FALSE))),0,(VLOOKUP($B14&amp;"; "&amp;$N$11&amp;", "&amp;H$12,'FE Energie'!$G:$U,12,FALSE)+VLOOKUP($B14&amp;"; "&amp;$N$11&amp;", "&amp;H$12,'FE Energie'!$G:$U,11,FALSE)))
+$P14*IF(ISNA((VLOOKUP($B14&amp;"; "&amp;$Q$11&amp;", "&amp;H$12,'FE Energie'!$G:$U,12,FALSE)+VLOOKUP($B14&amp;"; "&amp;$Q$11&amp;", "&amp;H$12,'FE Energie'!$G:$U,11,FALSE))),0,(VLOOKUP($B14&amp;"; "&amp;$Q$11&amp;", "&amp;H$12,'FE Energie'!$G:$U,12,FALSE)+VLOOKUP($B14&amp;"; "&amp;$Q$11&amp;", "&amp;H$12,'FE Energie'!$G:$U,11,FALSE)))</f>
        <v>0</v>
      </c>
      <c r="AJ14" s="565">
        <f>$G14*IF(ISNA((VLOOKUP($B14&amp;"; "&amp;$H$11&amp;", "&amp;I$12,'FE Energie'!$G:$U,12,FALSE)+VLOOKUP($B14&amp;"; "&amp;$H$11&amp;", "&amp;I$12,'FE Energie'!$G:$U,11,FALSE))),0,(VLOOKUP($B14&amp;"; "&amp;$H$11&amp;", "&amp;I$12,'FE Energie'!$G:$U,12,FALSE)+VLOOKUP($B14&amp;"; "&amp;$H$11&amp;", "&amp;I$12,'FE Energie'!$G:$U,11,FALSE)))
+$J14*IF(ISNA((VLOOKUP($B14&amp;"; "&amp;$K$11&amp;", "&amp;I$12,'FE Energie'!$G:$U,12,FALSE)+VLOOKUP($B14&amp;"; "&amp;$K$11&amp;", "&amp;I$12,'FE Energie'!$G:$U,11,FALSE))),0,(VLOOKUP($B14&amp;"; "&amp;$K$11&amp;", "&amp;I$12,'FE Energie'!$G:$U,12,FALSE)+VLOOKUP($B14&amp;"; "&amp;$K$11&amp;", "&amp;I$12,'FE Energie'!$G:$U,11,FALSE)))
+$M14*IF(ISNA((VLOOKUP($B14&amp;"; "&amp;$N$11&amp;", "&amp;I$12,'FE Energie'!$G:$U,12,FALSE)+VLOOKUP($B14&amp;"; "&amp;$N$11&amp;", "&amp;I$12,'FE Energie'!$G:$U,11,FALSE))),0,(VLOOKUP($B14&amp;"; "&amp;$N$11&amp;", "&amp;I$12,'FE Energie'!$G:$U,12,FALSE)+VLOOKUP($B14&amp;"; "&amp;$N$11&amp;", "&amp;I$12,'FE Energie'!$G:$U,11,FALSE)))
+$P14*IF(ISNA((VLOOKUP($B14&amp;"; "&amp;$Q$11&amp;", "&amp;I$12,'FE Energie'!$G:$U,12,FALSE)+VLOOKUP($B14&amp;"; "&amp;$Q$11&amp;", "&amp;I$12,'FE Energie'!$G:$U,11,FALSE))),0,(VLOOKUP($B14&amp;"; "&amp;$Q$11&amp;", "&amp;I$12,'FE Energie'!$G:$U,12,FALSE)+VLOOKUP($B14&amp;"; "&amp;$Q$11&amp;", "&amp;I$12,'FE Energie'!$G:$U,11,FALSE)))</f>
        <v>0</v>
      </c>
      <c r="AK14" s="565"/>
      <c r="AL14" s="565"/>
      <c r="AM14" s="565">
        <f>$G14*IF(ISNA(VLOOKUP($B14&amp;"; "&amp;$H$11&amp;", "&amp;H$12,'FE Energie'!$G:$U,13,FALSE)),0,VLOOKUP($B14&amp;"; "&amp;$H$11&amp;", "&amp;H$12,'FE Energie'!$G:$U,13,FALSE))
+$J14*IF(ISNA(VLOOKUP($B14&amp;"; "&amp;$K$11&amp;", "&amp;H$12,'FE Energie'!$G:$U,13,FALSE)),0,VLOOKUP($B14&amp;"; "&amp;$K$11&amp;", "&amp;H$12,'FE Energie'!$G:$U,13,FALSE))
+$M14*IF(ISNA(VLOOKUP($B14&amp;"; "&amp;$N$11&amp;", "&amp;H$12,'FE Energie'!$G:$U,13,FALSE)),0,VLOOKUP($B14&amp;"; "&amp;$N$11&amp;", "&amp;H$12,'FE Energie'!$G:$U,13,FALSE))
+$P14*IF(ISNA(VLOOKUP($B14&amp;"; "&amp;$Q$11&amp;", "&amp;H$12,'FE Energie'!$G:$U,13,FALSE)),0,VLOOKUP($B14&amp;"; "&amp;$Q$11&amp;", "&amp;H$12,'FE Energie'!$G:$U,13,FALSE))</f>
        <v>0</v>
      </c>
      <c r="AN14" s="565">
        <f>$G14*IF(ISNA(VLOOKUP($B14&amp;"; "&amp;$H$11&amp;", "&amp;I$12,'FE Energie'!$G:$U,13,FALSE)),0,VLOOKUP($B14&amp;"; "&amp;$H$11&amp;", "&amp;I$12,'FE Energie'!$G:$U,13,FALSE))
+$J14*IF(ISNA(VLOOKUP($B14&amp;"; "&amp;$K$11&amp;", "&amp;I$12,'FE Energie'!$G:$U,13,FALSE)),0,VLOOKUP($B14&amp;"; "&amp;$K$11&amp;", "&amp;I$12,'FE Energie'!$G:$U,13,FALSE))
+$M14*IF(ISNA(VLOOKUP($B14&amp;"; "&amp;$N$11&amp;", "&amp;I$12,'FE Energie'!$G:$U,13,FALSE)),0,VLOOKUP($B14&amp;"; "&amp;$N$11&amp;", "&amp;I$12,'FE Energie'!$G:$U,13,FALSE))
+$P14*IF(ISNA(VLOOKUP($B14&amp;"; "&amp;$Q$11&amp;", "&amp;I$12,'FE Energie'!$G:$U,13,FALSE)),0,VLOOKUP($B14&amp;"; "&amp;$Q$11&amp;", "&amp;I$12,'FE Energie'!$G:$U,13,FALSE))</f>
        <v>0</v>
      </c>
      <c r="AO14" s="565"/>
      <c r="AP14" s="565"/>
      <c r="AQ14" s="565">
        <f>$G14*IF(ISNA(VLOOKUP($B14&amp;"; "&amp;$H$11&amp;", "&amp;H$12,'FE Energie'!$G:$U,14,FALSE)),0,VLOOKUP($B14&amp;"; "&amp;$H$11&amp;", "&amp;H$12,'FE Energie'!$G:$U,14,FALSE))
+$J14*IF(ISNA(VLOOKUP($B14&amp;"; "&amp;$K$11&amp;", "&amp;H$12,'FE Energie'!$G:$U,14,FALSE)),0,VLOOKUP($B14&amp;"; "&amp;$K$11&amp;", "&amp;H$12,'FE Energie'!$G:$U,14,FALSE))
+$M14*IF(ISNA(VLOOKUP($B14&amp;"; "&amp;$N$11&amp;", "&amp;H$12,'FE Energie'!$G:$U,14,FALSE)),0,VLOOKUP($B14&amp;"; "&amp;$N$11&amp;", "&amp;H$12,'FE Energie'!$G:$U,14,FALSE))
+$P14*IF(ISNA(VLOOKUP($B14&amp;"; "&amp;$Q$11&amp;", "&amp;H$12,'FE Energie'!$G:$U,14,FALSE)),0,VLOOKUP($B14&amp;"; "&amp;$Q$11&amp;", "&amp;H$12,'FE Energie'!$G:$U,14,FALSE))</f>
        <v>0</v>
      </c>
      <c r="AR14" s="565">
        <f>$G14*IF(ISNA(VLOOKUP($B14&amp;"; "&amp;$H$11&amp;", "&amp;I$12,'FE Energie'!$G:$U,14,FALSE)),0,VLOOKUP($B14&amp;"; "&amp;$H$11&amp;", "&amp;I$12,'FE Energie'!$G:$U,14,FALSE))
+$J14*IF(ISNA(VLOOKUP($B14&amp;"; "&amp;$K$11&amp;", "&amp;I$12,'FE Energie'!$G:$U,14,FALSE)),0,VLOOKUP($B14&amp;"; "&amp;$K$11&amp;", "&amp;I$12,'FE Energie'!$G:$U,14,FALSE))
+$M14*IF(ISNA(VLOOKUP($B14&amp;"; "&amp;$N$11&amp;", "&amp;I$12,'FE Energie'!$G:$U,14,FALSE)),0,VLOOKUP($B14&amp;"; "&amp;$N$11&amp;", "&amp;I$12,'FE Energie'!$G:$U,14,FALSE))
+$P14*IF(ISNA(VLOOKUP($B14&amp;"; "&amp;$Q$11&amp;", "&amp;I$12,'FE Energie'!$G:$U,14,FALSE)),0,VLOOKUP($B14&amp;"; "&amp;$Q$11&amp;", "&amp;I$12,'FE Energie'!$G:$U,14,FALSE))</f>
        <v>0</v>
      </c>
      <c r="AS14" s="565"/>
      <c r="AT14" s="565"/>
      <c r="AU14" s="1288">
        <f t="shared" ref="AU14:AU26" si="1">SUM(AQ14,AM14,AE14,AI14)</f>
        <v>0</v>
      </c>
      <c r="AV14" s="566">
        <f t="shared" ref="AV14:AV26" si="2">SUM(AR14,AN14,AF14,AJ14)</f>
        <v>0</v>
      </c>
      <c r="AW14" s="566"/>
      <c r="AX14" s="567"/>
      <c r="AY14" s="565">
        <f>$G14*IF(ISNA(VLOOKUP($B14&amp;"; "&amp;$H$11&amp;", "&amp;H$12,'FE Energie'!$G:$U,15,FALSE)),0,VLOOKUP($B14&amp;"; "&amp;$H$11&amp;", "&amp;H$12,'FE Energie'!$G:$U,15,FALSE))
+$J14*IF(ISNA(VLOOKUP($B14&amp;"; "&amp;$K$11&amp;", "&amp;H$12,'FE Energie'!$G:$U,15,FALSE)),0,VLOOKUP($B14&amp;"; "&amp;$K$11&amp;", "&amp;H$12,'FE Energie'!$G:$U,15,FALSE))
+$M14*IF(ISNA(VLOOKUP($B14&amp;"; "&amp;$N$11&amp;", "&amp;H$12,'FE Energie'!$G:$U,15,FALSE)),0,VLOOKUP($B14&amp;"; "&amp;$N$11&amp;", "&amp;H$12,'FE Energie'!$G:$U,15,FALSE))
+$P14*IF(ISNA(VLOOKUP($B14&amp;"; "&amp;$Q$11&amp;", "&amp;H$12,'FE Energie'!$G:$U,15,FALSE)),0,VLOOKUP($B14&amp;"; "&amp;$Q$11&amp;", "&amp;H$12,'FE Energie'!$G:$U,15,FALSE))</f>
        <v>0</v>
      </c>
      <c r="AZ14" s="565">
        <f>$G14*IF(ISNA(VLOOKUP($B14&amp;"; "&amp;$H$11&amp;", "&amp;I$12,'FE Energie'!$G:$U,15,FALSE)),0,VLOOKUP($B14&amp;"; "&amp;$H$11&amp;", "&amp;I$12,'FE Energie'!$G:$U,15,FALSE))
+$J14*IF(ISNA(VLOOKUP($B14&amp;"; "&amp;$K$11&amp;", "&amp;I$12,'FE Energie'!$G:$U,15,FALSE)),0,VLOOKUP($B14&amp;"; "&amp;$K$11&amp;", "&amp;I$12,'FE Energie'!$G:$U,15,FALSE))
+$M14*IF(ISNA(VLOOKUP($B14&amp;"; "&amp;$N$11&amp;", "&amp;I$12,'FE Energie'!$G:$U,15,FALSE)),0,VLOOKUP($B14&amp;"; "&amp;$N$11&amp;", "&amp;I$12,'FE Energie'!$G:$U,15,FALSE))
+$P14*IF(ISNA(VLOOKUP($B14&amp;"; "&amp;$Q$11&amp;", "&amp;I$12,'FE Energie'!$G:$U,15,FALSE)),0,VLOOKUP($B14&amp;"; "&amp;$Q$11&amp;", "&amp;I$12,'FE Energie'!$G:$U,15,FALSE))</f>
        <v>0</v>
      </c>
      <c r="BA14" s="565"/>
      <c r="BB14" s="568"/>
      <c r="BD14" s="1065">
        <f>IF($W14&lt;&gt;"votre valeur :",IF(ISNA(VLOOKUP($W14,Utilitaires!$N$566:$O$571,2,FALSE)),,VLOOKUP($W14,Utilitaires!$N$566:$O$571,2,FALSE)),$X14)</f>
        <v>0</v>
      </c>
      <c r="BE14" s="1066">
        <f>IF($W14&lt;&gt;"votre valeur :",IF(ISNA(VLOOKUP($W14,Utilitaires!$N$566:$O$571,2,FALSE)),,VLOOKUP($W14,Utilitaires!$N$566:$O$571,2,FALSE)),$X14)</f>
        <v>0</v>
      </c>
      <c r="BF14" s="1066">
        <f>IF($W14&lt;&gt;"votre valeur :",IF(ISNA(VLOOKUP($W14,Utilitaires!$N$566:$O$571,2,FALSE)),,VLOOKUP($W14,Utilitaires!$N$566:$O$571,2,FALSE)),$X14)</f>
        <v>0</v>
      </c>
      <c r="BG14" s="1067">
        <f>IF($W14&lt;&gt;"votre valeur :",IF(ISNA(VLOOKUP($W14,Utilitaires!$N$566:$O$571,2,FALSE)),,VLOOKUP($W14,Utilitaires!$N$566:$O$571,2,FALSE)),$X14)</f>
        <v>0</v>
      </c>
      <c r="BH14" s="1068">
        <f>IF(ISNA(SQRT(SUMSQ(VLOOKUP($B14&amp;"; "&amp;$H$11&amp;", "&amp;$H$12,'FE Energie'!$G:$U,7,FALSE),$BD14))),0,SQRT(SUMSQ(VLOOKUP($B14&amp;"; "&amp;$H$11&amp;", "&amp;$H$12,'FE Energie'!$G:$U,7,FALSE),$BD14)))</f>
        <v>0.05</v>
      </c>
      <c r="BI14" s="1068">
        <f>IF(ISNA(SQRT(SUMSQ(VLOOKUP($B14&amp;"; "&amp;$K$11&amp;", "&amp;$K$12,'FE Energie'!$G:$U,7,FALSE),$BE14))),0,SQRT(SUMSQ(VLOOKUP($B14&amp;"; "&amp;$K$11&amp;", "&amp;$K$12,'FE Energie'!$G:$U,7,FALSE),$BE14)))</f>
        <v>0.05</v>
      </c>
      <c r="BJ14" s="1068">
        <f>IF(ISNA(SQRT(SUMSQ(VLOOKUP($B14&amp;"; "&amp;$N$11&amp;", "&amp;$N$12,'FE Energie'!$G:$U,7,FALSE),$BF14))),0,SQRT(SUMSQ(VLOOKUP($B14&amp;"; "&amp;$N$11&amp;", "&amp;$N$12,'FE Energie'!$G:$U,7,FALSE),$BF14)))</f>
        <v>0.05</v>
      </c>
      <c r="BK14" s="1068">
        <f>IF(ISNA(SQRT(SUMSQ(VLOOKUP($B14&amp;"; "&amp;$Q$11&amp;", "&amp;$Q$12,'FE Energie'!$G:$U,7,FALSE),$BG14))),0,SQRT(SUMSQ(VLOOKUP($B14&amp;"; "&amp;$Q$11&amp;", "&amp;$Q$12,'FE Energie'!$G:$U,7,FALSE),$BG14)))</f>
        <v>0.05</v>
      </c>
      <c r="BL14" s="1069">
        <f>IF(ISNA(SQRT(SUMSQ(VLOOKUP($B14&amp;"; "&amp;$H$11&amp;", "&amp;$I$12,'FE Energie'!$G:$U,7,FALSE),$BD14))),0,SQRT(SUMSQ(VLOOKUP($B14&amp;"; "&amp;$H$11&amp;", "&amp;$I$12,'FE Energie'!$G:$U,7,FALSE),$BD14)))</f>
        <v>0.05</v>
      </c>
      <c r="BM14" s="1070">
        <f>IF(ISNA(SQRT(SUMSQ(VLOOKUP($B14&amp;"; "&amp;$K$11&amp;", "&amp;$L$12,'FE Energie'!$G:$U,7,FALSE),$BE14))),0,SQRT(SUMSQ(VLOOKUP($B14&amp;"; "&amp;$K$11&amp;", "&amp;$L$12,'FE Energie'!$G:$U,7,FALSE),$BE14)))</f>
        <v>0.05</v>
      </c>
      <c r="BN14" s="1070">
        <f>IF(ISNA(SQRT(SUMSQ(VLOOKUP($B14&amp;"; "&amp;$N$11&amp;", "&amp;$O$12,'FE Energie'!$G:$U,7,FALSE),$BF14))),0,SQRT(SUMSQ(VLOOKUP($B14&amp;"; "&amp;$N$11&amp;", "&amp;$O$12,'FE Energie'!$G:$U,7,FALSE),$BF14)))</f>
        <v>0.05</v>
      </c>
      <c r="BO14" s="1071">
        <f>IF(ISNA(SQRT(SUMSQ(VLOOKUP($B14&amp;"; "&amp;$Q$11&amp;", "&amp;$R$12,'FE Energie'!$G:$U,7,FALSE),$BG14))),0,SQRT(SUMSQ(VLOOKUP($B14&amp;"; "&amp;$Q$11&amp;", "&amp;$R$12,'FE Energie'!$G:$U,7,FALSE),$BG14)))</f>
        <v>0.05</v>
      </c>
    </row>
    <row r="15" spans="1:67" s="116" customFormat="1" ht="12.75" hidden="1" customHeight="1" outlineLevel="1">
      <c r="A15" s="114"/>
      <c r="B15" s="536" t="s">
        <v>1637</v>
      </c>
      <c r="C15" s="144"/>
      <c r="D15" s="315"/>
      <c r="E15" s="315"/>
      <c r="F15" s="822"/>
      <c r="G15" s="822"/>
      <c r="H15" s="335"/>
      <c r="I15" s="335"/>
      <c r="J15" s="822"/>
      <c r="K15" s="223"/>
      <c r="L15" s="223"/>
      <c r="M15" s="1200"/>
      <c r="N15" s="217"/>
      <c r="O15" s="217"/>
      <c r="P15" s="1200"/>
      <c r="Q15" s="223"/>
      <c r="R15" s="223"/>
      <c r="S15" s="566"/>
      <c r="T15" s="567"/>
      <c r="U15" s="114"/>
      <c r="V15" s="1092"/>
      <c r="W15" s="820"/>
      <c r="X15" s="820"/>
      <c r="Y15" s="164"/>
      <c r="Z15" s="164"/>
      <c r="AA15" s="164"/>
      <c r="AB15" s="164"/>
      <c r="AC15" s="152"/>
      <c r="AD15" s="114"/>
      <c r="AE15" s="564"/>
      <c r="AF15" s="565"/>
      <c r="AG15" s="565"/>
      <c r="AH15" s="565"/>
      <c r="AI15" s="565"/>
      <c r="AJ15" s="565"/>
      <c r="AK15" s="565"/>
      <c r="AL15" s="565"/>
      <c r="AM15" s="565"/>
      <c r="AN15" s="565"/>
      <c r="AO15" s="565"/>
      <c r="AP15" s="565"/>
      <c r="AQ15" s="565"/>
      <c r="AR15" s="565"/>
      <c r="AS15" s="565"/>
      <c r="AT15" s="565"/>
      <c r="AU15" s="1288"/>
      <c r="AV15" s="566"/>
      <c r="AW15" s="566"/>
      <c r="AX15" s="567"/>
      <c r="AY15" s="565"/>
      <c r="AZ15" s="565"/>
      <c r="BA15" s="565"/>
      <c r="BB15" s="568"/>
      <c r="BD15" s="1065"/>
      <c r="BE15" s="1066"/>
      <c r="BF15" s="1066"/>
      <c r="BG15" s="1067"/>
      <c r="BH15" s="1068"/>
      <c r="BI15" s="1068"/>
      <c r="BJ15" s="1068"/>
      <c r="BK15" s="1068"/>
      <c r="BL15" s="1069"/>
      <c r="BM15" s="1070"/>
      <c r="BN15" s="1070"/>
      <c r="BO15" s="1071"/>
    </row>
    <row r="16" spans="1:67" s="116" customFormat="1" ht="12.75" hidden="1" customHeight="1" outlineLevel="1">
      <c r="A16" s="114"/>
      <c r="B16" s="143" t="s">
        <v>1626</v>
      </c>
      <c r="C16" s="144"/>
      <c r="D16" s="315">
        <f t="shared" si="0"/>
        <v>0</v>
      </c>
      <c r="E16" s="315"/>
      <c r="F16" s="847"/>
      <c r="G16" s="343"/>
      <c r="H16" s="335" t="e">
        <f>VLOOKUP($B16&amp;"; "&amp;$H$11&amp;", "&amp;H$12,'FE Energie'!$G:$U,9,FALSE)</f>
        <v>#N/A</v>
      </c>
      <c r="I16" s="335" t="e">
        <f>VLOOKUP($B16&amp;"; "&amp;$H$11&amp;", "&amp;I$12,'FE Energie'!$G:$U,9,FALSE)</f>
        <v>#N/A</v>
      </c>
      <c r="J16" s="343"/>
      <c r="K16" s="223">
        <f>VLOOKUP($B16&amp;"; "&amp;$K$11&amp;", "&amp;K$12,'FE Energie'!$G:$U,9,FALSE)</f>
        <v>3.8899999999999997E-2</v>
      </c>
      <c r="L16" s="223">
        <f>VLOOKUP($B16&amp;"; "&amp;$K$11&amp;", "&amp;L$12,'FE Energie'!$G:$U,9,FALSE)</f>
        <v>0.20499999999999999</v>
      </c>
      <c r="M16" s="1085"/>
      <c r="N16" s="217">
        <f>VLOOKUP($B16&amp;"; "&amp;$N$11&amp;", "&amp;N$12,'FE Energie'!$G:$U,9,FALSE)</f>
        <v>378</v>
      </c>
      <c r="O16" s="217">
        <f>VLOOKUP($B16&amp;"; "&amp;$N$11&amp;", "&amp;O$12,'FE Energie'!$G:$U,9,FALSE)</f>
        <v>2390</v>
      </c>
      <c r="P16" s="1085"/>
      <c r="Q16" s="223" t="e">
        <f>VLOOKUP($B16&amp;"; "&amp;$Q$11&amp;", "&amp;Q$12,'FE Energie'!$G:$U,9,FALSE)</f>
        <v>#N/A</v>
      </c>
      <c r="R16" s="223" t="e">
        <f>VLOOKUP($B16&amp;"; "&amp;$Q$11&amp;", "&amp;R$12,'FE Energie'!$G:$U,9,FALSE)</f>
        <v>#N/A</v>
      </c>
      <c r="S16" s="566">
        <f>IF(ISNA(G16*H16),0,G16*H16)+IF(ISNA(J16*K16),0,J16*K16)+IF(ISNA(M16*N16),0,M16*N16)+IF(ISNA(P16*Q16),0,P16*Q16)</f>
        <v>0</v>
      </c>
      <c r="T16" s="567">
        <f>IF(ISNA(G16*I16),0,G16*I16)+IF(ISNA(J16*L16),0,J16*L16)+IF(ISNA(M16*O16),0,M16*O16)+IF(ISNA(P16*R16),0,P16*R16)</f>
        <v>0</v>
      </c>
      <c r="U16" s="114"/>
      <c r="V16" s="1092">
        <f>IF(AC16=0,AC16,AC16/(S16+T16))</f>
        <v>0</v>
      </c>
      <c r="W16" s="343"/>
      <c r="X16" s="820"/>
      <c r="Y16" s="164">
        <f>SQRT(SUMSQ(IF(ISNA($G16*H16*BH16),0,$G16*H16*BH16),IF(ISNA($J16*K16*BI16),0,$J16*K16*BI16),IF(ISNA($M16*N16*BJ16),0,$M16*N16*BJ16),IF(ISNA($P16*Q16*BK16),0,$P16*Q16*BK16)))</f>
        <v>0</v>
      </c>
      <c r="Z16" s="164">
        <f>SQRT(SUMSQ(IF(ISNA($G16*I16*BL16),0,$G16*I16*BL16),IF(ISNA($J16*L16*BM16),0,$J16*L16*BM16),IF(ISNA($M16*O16*BN16),0,$M16*O16*BN16),IF(ISNA($P16*R16*BO16),0,$P16*R16*BO16)))</f>
        <v>0</v>
      </c>
      <c r="AA16" s="164"/>
      <c r="AB16" s="164"/>
      <c r="AC16" s="152">
        <f>SQRT(SUMSQ(Y16,Z16))</f>
        <v>0</v>
      </c>
      <c r="AD16" s="114"/>
      <c r="AE16" s="564">
        <f>$G16*IF(ISNA(VLOOKUP($B16&amp;"; "&amp;$H$11&amp;", "&amp;H$12,'FE Energie'!$G:$U,10,FALSE)),0,VLOOKUP($B16&amp;"; "&amp;$H$11&amp;", "&amp;H$12,'FE Energie'!$G:$U,10,FALSE))
+$J16*IF(ISNA(VLOOKUP($B16&amp;"; "&amp;$K$11&amp;", "&amp;H$12,'FE Energie'!$G:$U,10,FALSE)),0,VLOOKUP($B16&amp;"; "&amp;$K$11&amp;", "&amp;H$12,'FE Energie'!$G:$U,10,FALSE))
+$M16*IF(ISNA(VLOOKUP($B16&amp;"; "&amp;$N$11&amp;", "&amp;H$12,'FE Energie'!$G:$U,10,FALSE)),0,VLOOKUP($B16&amp;"; "&amp;$N$11&amp;", "&amp;H$12,'FE Energie'!$G:$U,10,FALSE))
+$P16*IF(ISNA(VLOOKUP($B16&amp;"; "&amp;$Q$11&amp;", "&amp;H$12,'FE Energie'!$G:$U,10,FALSE)),0,VLOOKUP($B16&amp;"; "&amp;$Q$11&amp;", "&amp;H$12,'FE Energie'!$G:$U,10,FALSE))</f>
        <v>0</v>
      </c>
      <c r="AF16" s="565">
        <f>$G16*IF(ISNA(VLOOKUP($B16&amp;"; "&amp;$H$11&amp;", "&amp;I$12,'FE Energie'!$G:$U,10,FALSE)),0,VLOOKUP($B16&amp;"; "&amp;$H$11&amp;", "&amp;I$12,'FE Energie'!$G:$U,10,FALSE))
+$J16*IF(ISNA(VLOOKUP($B16&amp;"; "&amp;$K$11&amp;", "&amp;I$12,'FE Energie'!$G:$U,10,FALSE)),0,VLOOKUP($B16&amp;"; "&amp;$K$11&amp;", "&amp;I$12,'FE Energie'!$G:$U,10,FALSE))
+$M16*IF(ISNA(VLOOKUP($B16&amp;"; "&amp;$N$11&amp;", "&amp;I$12,'FE Energie'!$G:$U,10,FALSE)),0,VLOOKUP($B16&amp;"; "&amp;$N$11&amp;", "&amp;I$12,'FE Energie'!$G:$U,10,FALSE))
+$P16*IF(ISNA(VLOOKUP($B16&amp;"; "&amp;$Q$11&amp;", "&amp;I$12,'FE Energie'!$G:$U,10,FALSE)),0,VLOOKUP($B16&amp;"; "&amp;$Q$11&amp;", "&amp;I$12,'FE Energie'!$G:$U,10,FALSE))</f>
        <v>0</v>
      </c>
      <c r="AG16" s="565"/>
      <c r="AH16" s="565"/>
      <c r="AI16" s="565">
        <f>$G16*IF(ISNA((VLOOKUP($B16&amp;"; "&amp;$H$11&amp;", "&amp;H$12,'FE Energie'!$G:$U,12,FALSE)+VLOOKUP($B16&amp;"; "&amp;$H$11&amp;", "&amp;H$12,'FE Energie'!$G:$U,11,FALSE))),0,(VLOOKUP($B16&amp;"; "&amp;$H$11&amp;", "&amp;H$12,'FE Energie'!$G:$U,12,FALSE)+VLOOKUP($B16&amp;"; "&amp;$H$11&amp;", "&amp;H$12,'FE Energie'!$G:$U,11,FALSE)))
+$J16*IF(ISNA((VLOOKUP($B16&amp;"; "&amp;$K$11&amp;", "&amp;H$12,'FE Energie'!$G:$U,12,FALSE)+VLOOKUP($B16&amp;"; "&amp;$K$11&amp;", "&amp;H$12,'FE Energie'!$G:$U,11,FALSE))),0,(VLOOKUP($B16&amp;"; "&amp;$K$11&amp;", "&amp;H$12,'FE Energie'!$G:$U,12,FALSE)+VLOOKUP($B16&amp;"; "&amp;$K$11&amp;", "&amp;H$12,'FE Energie'!$G:$U,11,FALSE)))
+$M16*IF(ISNA((VLOOKUP($B16&amp;"; "&amp;$N$11&amp;", "&amp;H$12,'FE Energie'!$G:$U,12,FALSE)+VLOOKUP($B16&amp;"; "&amp;$N$11&amp;", "&amp;H$12,'FE Energie'!$G:$U,11,FALSE))),0,(VLOOKUP($B16&amp;"; "&amp;$N$11&amp;", "&amp;H$12,'FE Energie'!$G:$U,12,FALSE)+VLOOKUP($B16&amp;"; "&amp;$N$11&amp;", "&amp;H$12,'FE Energie'!$G:$U,11,FALSE)))
+$P16*IF(ISNA((VLOOKUP($B16&amp;"; "&amp;$Q$11&amp;", "&amp;H$12,'FE Energie'!$G:$U,12,FALSE)+VLOOKUP($B16&amp;"; "&amp;$Q$11&amp;", "&amp;H$12,'FE Energie'!$G:$U,11,FALSE))),0,(VLOOKUP($B16&amp;"; "&amp;$Q$11&amp;", "&amp;H$12,'FE Energie'!$G:$U,12,FALSE)+VLOOKUP($B16&amp;"; "&amp;$Q$11&amp;", "&amp;H$12,'FE Energie'!$G:$U,11,FALSE)))</f>
        <v>0</v>
      </c>
      <c r="AJ16" s="565">
        <f>$G16*IF(ISNA((VLOOKUP($B16&amp;"; "&amp;$H$11&amp;", "&amp;I$12,'FE Energie'!$G:$U,12,FALSE)+VLOOKUP($B16&amp;"; "&amp;$H$11&amp;", "&amp;I$12,'FE Energie'!$G:$U,11,FALSE))),0,(VLOOKUP($B16&amp;"; "&amp;$H$11&amp;", "&amp;I$12,'FE Energie'!$G:$U,12,FALSE)+VLOOKUP($B16&amp;"; "&amp;$H$11&amp;", "&amp;I$12,'FE Energie'!$G:$U,11,FALSE)))
+$J16*IF(ISNA((VLOOKUP($B16&amp;"; "&amp;$K$11&amp;", "&amp;I$12,'FE Energie'!$G:$U,12,FALSE)+VLOOKUP($B16&amp;"; "&amp;$K$11&amp;", "&amp;I$12,'FE Energie'!$G:$U,11,FALSE))),0,(VLOOKUP($B16&amp;"; "&amp;$K$11&amp;", "&amp;I$12,'FE Energie'!$G:$U,12,FALSE)+VLOOKUP($B16&amp;"; "&amp;$K$11&amp;", "&amp;I$12,'FE Energie'!$G:$U,11,FALSE)))
+$M16*IF(ISNA((VLOOKUP($B16&amp;"; "&amp;$N$11&amp;", "&amp;I$12,'FE Energie'!$G:$U,12,FALSE)+VLOOKUP($B16&amp;"; "&amp;$N$11&amp;", "&amp;I$12,'FE Energie'!$G:$U,11,FALSE))),0,(VLOOKUP($B16&amp;"; "&amp;$N$11&amp;", "&amp;I$12,'FE Energie'!$G:$U,12,FALSE)+VLOOKUP($B16&amp;"; "&amp;$N$11&amp;", "&amp;I$12,'FE Energie'!$G:$U,11,FALSE)))
+$P16*IF(ISNA((VLOOKUP($B16&amp;"; "&amp;$Q$11&amp;", "&amp;I$12,'FE Energie'!$G:$U,12,FALSE)+VLOOKUP($B16&amp;"; "&amp;$Q$11&amp;", "&amp;I$12,'FE Energie'!$G:$U,11,FALSE))),0,(VLOOKUP($B16&amp;"; "&amp;$Q$11&amp;", "&amp;I$12,'FE Energie'!$G:$U,12,FALSE)+VLOOKUP($B16&amp;"; "&amp;$Q$11&amp;", "&amp;I$12,'FE Energie'!$G:$U,11,FALSE)))</f>
        <v>0</v>
      </c>
      <c r="AK16" s="565"/>
      <c r="AL16" s="565"/>
      <c r="AM16" s="565">
        <f>$G16*IF(ISNA(VLOOKUP($B16&amp;"; "&amp;$H$11&amp;", "&amp;H$12,'FE Energie'!$G:$U,13,FALSE)),0,VLOOKUP($B16&amp;"; "&amp;$H$11&amp;", "&amp;H$12,'FE Energie'!$G:$U,13,FALSE))
+$J16*IF(ISNA(VLOOKUP($B16&amp;"; "&amp;$K$11&amp;", "&amp;H$12,'FE Energie'!$G:$U,13,FALSE)),0,VLOOKUP($B16&amp;"; "&amp;$K$11&amp;", "&amp;H$12,'FE Energie'!$G:$U,13,FALSE))
+$M16*IF(ISNA(VLOOKUP($B16&amp;"; "&amp;$N$11&amp;", "&amp;H$12,'FE Energie'!$G:$U,13,FALSE)),0,VLOOKUP($B16&amp;"; "&amp;$N$11&amp;", "&amp;H$12,'FE Energie'!$G:$U,13,FALSE))
+$P16*IF(ISNA(VLOOKUP($B16&amp;"; "&amp;$Q$11&amp;", "&amp;H$12,'FE Energie'!$G:$U,13,FALSE)),0,VLOOKUP($B16&amp;"; "&amp;$Q$11&amp;", "&amp;H$12,'FE Energie'!$G:$U,13,FALSE))</f>
        <v>0</v>
      </c>
      <c r="AN16" s="565">
        <f>$G16*IF(ISNA(VLOOKUP($B16&amp;"; "&amp;$H$11&amp;", "&amp;I$12,'FE Energie'!$G:$U,13,FALSE)),0,VLOOKUP($B16&amp;"; "&amp;$H$11&amp;", "&amp;I$12,'FE Energie'!$G:$U,13,FALSE))
+$J16*IF(ISNA(VLOOKUP($B16&amp;"; "&amp;$K$11&amp;", "&amp;I$12,'FE Energie'!$G:$U,13,FALSE)),0,VLOOKUP($B16&amp;"; "&amp;$K$11&amp;", "&amp;I$12,'FE Energie'!$G:$U,13,FALSE))
+$M16*IF(ISNA(VLOOKUP($B16&amp;"; "&amp;$N$11&amp;", "&amp;I$12,'FE Energie'!$G:$U,13,FALSE)),0,VLOOKUP($B16&amp;"; "&amp;$N$11&amp;", "&amp;I$12,'FE Energie'!$G:$U,13,FALSE))
+$P16*IF(ISNA(VLOOKUP($B16&amp;"; "&amp;$Q$11&amp;", "&amp;I$12,'FE Energie'!$G:$U,13,FALSE)),0,VLOOKUP($B16&amp;"; "&amp;$Q$11&amp;", "&amp;I$12,'FE Energie'!$G:$U,13,FALSE))</f>
        <v>0</v>
      </c>
      <c r="AO16" s="565"/>
      <c r="AP16" s="565"/>
      <c r="AQ16" s="565">
        <f>$G16*IF(ISNA(VLOOKUP($B16&amp;"; "&amp;$H$11&amp;", "&amp;H$12,'FE Energie'!$G:$U,14,FALSE)),0,VLOOKUP($B16&amp;"; "&amp;$H$11&amp;", "&amp;H$12,'FE Energie'!$G:$U,14,FALSE))
+$J16*IF(ISNA(VLOOKUP($B16&amp;"; "&amp;$K$11&amp;", "&amp;H$12,'FE Energie'!$G:$U,14,FALSE)),0,VLOOKUP($B16&amp;"; "&amp;$K$11&amp;", "&amp;H$12,'FE Energie'!$G:$U,14,FALSE))
+$M16*IF(ISNA(VLOOKUP($B16&amp;"; "&amp;$N$11&amp;", "&amp;H$12,'FE Energie'!$G:$U,14,FALSE)),0,VLOOKUP($B16&amp;"; "&amp;$N$11&amp;", "&amp;H$12,'FE Energie'!$G:$U,14,FALSE))
+$P16*IF(ISNA(VLOOKUP($B16&amp;"; "&amp;$Q$11&amp;", "&amp;H$12,'FE Energie'!$G:$U,14,FALSE)),0,VLOOKUP($B16&amp;"; "&amp;$Q$11&amp;", "&amp;H$12,'FE Energie'!$G:$U,14,FALSE))</f>
        <v>0</v>
      </c>
      <c r="AR16" s="565">
        <f>$G16*IF(ISNA(VLOOKUP($B16&amp;"; "&amp;$H$11&amp;", "&amp;I$12,'FE Energie'!$G:$U,14,FALSE)),0,VLOOKUP($B16&amp;"; "&amp;$H$11&amp;", "&amp;I$12,'FE Energie'!$G:$U,14,FALSE))
+$J16*IF(ISNA(VLOOKUP($B16&amp;"; "&amp;$K$11&amp;", "&amp;I$12,'FE Energie'!$G:$U,14,FALSE)),0,VLOOKUP($B16&amp;"; "&amp;$K$11&amp;", "&amp;I$12,'FE Energie'!$G:$U,14,FALSE))
+$M16*IF(ISNA(VLOOKUP($B16&amp;"; "&amp;$N$11&amp;", "&amp;I$12,'FE Energie'!$G:$U,14,FALSE)),0,VLOOKUP($B16&amp;"; "&amp;$N$11&amp;", "&amp;I$12,'FE Energie'!$G:$U,14,FALSE))
+$P16*IF(ISNA(VLOOKUP($B16&amp;"; "&amp;$Q$11&amp;", "&amp;I$12,'FE Energie'!$G:$U,14,FALSE)),0,VLOOKUP($B16&amp;"; "&amp;$Q$11&amp;", "&amp;I$12,'FE Energie'!$G:$U,14,FALSE))</f>
        <v>0</v>
      </c>
      <c r="AS16" s="565"/>
      <c r="AT16" s="565"/>
      <c r="AU16" s="1288">
        <f t="shared" si="1"/>
        <v>0</v>
      </c>
      <c r="AV16" s="566">
        <f t="shared" si="2"/>
        <v>0</v>
      </c>
      <c r="AW16" s="566"/>
      <c r="AX16" s="567"/>
      <c r="AY16" s="565">
        <f>$G16*IF(ISNA(VLOOKUP($B16&amp;"; "&amp;$H$11&amp;", "&amp;H$12,'FE Energie'!$G:$U,15,FALSE)),0,VLOOKUP($B16&amp;"; "&amp;$H$11&amp;", "&amp;H$12,'FE Energie'!$G:$U,15,FALSE))
+$J16*IF(ISNA(VLOOKUP($B16&amp;"; "&amp;$K$11&amp;", "&amp;H$12,'FE Energie'!$G:$U,15,FALSE)),0,VLOOKUP($B16&amp;"; "&amp;$K$11&amp;", "&amp;H$12,'FE Energie'!$G:$U,15,FALSE))
+$M16*IF(ISNA(VLOOKUP($B16&amp;"; "&amp;$N$11&amp;", "&amp;H$12,'FE Energie'!$G:$U,15,FALSE)),0,VLOOKUP($B16&amp;"; "&amp;$N$11&amp;", "&amp;H$12,'FE Energie'!$G:$U,15,FALSE))
+$P16*IF(ISNA(VLOOKUP($B16&amp;"; "&amp;$Q$11&amp;", "&amp;H$12,'FE Energie'!$G:$U,15,FALSE)),0,VLOOKUP($B16&amp;"; "&amp;$Q$11&amp;", "&amp;H$12,'FE Energie'!$G:$U,15,FALSE))</f>
        <v>0</v>
      </c>
      <c r="AZ16" s="565">
        <f>$G16*IF(ISNA(VLOOKUP($B16&amp;"; "&amp;$H$11&amp;", "&amp;I$12,'FE Energie'!$G:$U,15,FALSE)),0,VLOOKUP($B16&amp;"; "&amp;$H$11&amp;", "&amp;I$12,'FE Energie'!$G:$U,15,FALSE))
+$J16*IF(ISNA(VLOOKUP($B16&amp;"; "&amp;$K$11&amp;", "&amp;I$12,'FE Energie'!$G:$U,15,FALSE)),0,VLOOKUP($B16&amp;"; "&amp;$K$11&amp;", "&amp;I$12,'FE Energie'!$G:$U,15,FALSE))
+$M16*IF(ISNA(VLOOKUP($B16&amp;"; "&amp;$N$11&amp;", "&amp;I$12,'FE Energie'!$G:$U,15,FALSE)),0,VLOOKUP($B16&amp;"; "&amp;$N$11&amp;", "&amp;I$12,'FE Energie'!$G:$U,15,FALSE))
+$P16*IF(ISNA(VLOOKUP($B16&amp;"; "&amp;$Q$11&amp;", "&amp;I$12,'FE Energie'!$G:$U,15,FALSE)),0,VLOOKUP($B16&amp;"; "&amp;$Q$11&amp;", "&amp;I$12,'FE Energie'!$G:$U,15,FALSE))</f>
        <v>0</v>
      </c>
      <c r="BA16" s="565"/>
      <c r="BB16" s="568"/>
      <c r="BD16" s="1065">
        <f>IF($W16&lt;&gt;"votre valeur :",IF(ISNA(VLOOKUP($W16,Utilitaires!$N$566:$O$571,2,FALSE)),,VLOOKUP($W16,Utilitaires!$N$566:$O$571,2,FALSE)),$X16)</f>
        <v>0</v>
      </c>
      <c r="BE16" s="1066">
        <f>IF($W16&lt;&gt;"votre valeur :",IF(ISNA(VLOOKUP($W16,Utilitaires!$N$566:$O$571,2,FALSE)),,VLOOKUP($W16,Utilitaires!$N$566:$O$571,2,FALSE)),$X16)</f>
        <v>0</v>
      </c>
      <c r="BF16" s="1066">
        <f>IF($W16&lt;&gt;"votre valeur :",IF(ISNA(VLOOKUP($W16,Utilitaires!$N$566:$O$571,2,FALSE)),,VLOOKUP($W16,Utilitaires!$N$566:$O$571,2,FALSE)),$X16)</f>
        <v>0</v>
      </c>
      <c r="BG16" s="1067">
        <f>IF($W16&lt;&gt;"votre valeur :",IF(ISNA(VLOOKUP($W16,Utilitaires!$N$566:$O$571,2,FALSE)),,VLOOKUP($W16,Utilitaires!$N$566:$O$571,2,FALSE)),$X16)</f>
        <v>0</v>
      </c>
      <c r="BH16" s="1068">
        <f>IF(ISNA(SQRT(SUMSQ(VLOOKUP($B16&amp;"; "&amp;$H$11&amp;", "&amp;$H$12,'FE Energie'!$G:$U,7,FALSE),$BD16))),0,SQRT(SUMSQ(VLOOKUP($B16&amp;"; "&amp;$H$11&amp;", "&amp;$H$12,'FE Energie'!$G:$U,7,FALSE),$BD16)))</f>
        <v>0</v>
      </c>
      <c r="BI16" s="1068">
        <f>IF(ISNA(SQRT(SUMSQ(VLOOKUP($B16&amp;"; "&amp;$K$11&amp;", "&amp;$K$12,'FE Energie'!$G:$U,7,FALSE),$BE16))),0,SQRT(SUMSQ(VLOOKUP($B16&amp;"; "&amp;$K$11&amp;", "&amp;$K$12,'FE Energie'!$G:$U,7,FALSE),$BE16)))</f>
        <v>0.05</v>
      </c>
      <c r="BJ16" s="1068">
        <f>IF(ISNA(SQRT(SUMSQ(VLOOKUP($B16&amp;"; "&amp;$N$11&amp;", "&amp;$N$12,'FE Energie'!$G:$U,7,FALSE),$BF16))),0,SQRT(SUMSQ(VLOOKUP($B16&amp;"; "&amp;$N$11&amp;", "&amp;$N$12,'FE Energie'!$G:$U,7,FALSE),$BF16)))</f>
        <v>0.05</v>
      </c>
      <c r="BK16" s="1068">
        <f>IF(ISNA(SQRT(SUMSQ(VLOOKUP($B16&amp;"; "&amp;$Q$11&amp;", "&amp;$Q$12,'FE Energie'!$G:$U,7,FALSE),$BG16))),0,SQRT(SUMSQ(VLOOKUP($B16&amp;"; "&amp;$Q$11&amp;", "&amp;$Q$12,'FE Energie'!$G:$U,7,FALSE),$BG16)))</f>
        <v>0</v>
      </c>
      <c r="BL16" s="1069">
        <f>IF(ISNA(SQRT(SUMSQ(VLOOKUP($B16&amp;"; "&amp;$H$11&amp;", "&amp;$I$12,'FE Energie'!$G:$U,7,FALSE),$BD16))),0,SQRT(SUMSQ(VLOOKUP($B16&amp;"; "&amp;$H$11&amp;", "&amp;$I$12,'FE Energie'!$G:$U,7,FALSE),$BD16)))</f>
        <v>0</v>
      </c>
      <c r="BM16" s="1070">
        <f>IF(ISNA(SQRT(SUMSQ(VLOOKUP($B16&amp;"; "&amp;$K$11&amp;", "&amp;$L$12,'FE Energie'!$G:$U,7,FALSE),$BE16))),0,SQRT(SUMSQ(VLOOKUP($B16&amp;"; "&amp;$K$11&amp;", "&amp;$L$12,'FE Energie'!$G:$U,7,FALSE),$BE16)))</f>
        <v>0.05</v>
      </c>
      <c r="BN16" s="1070">
        <f>IF(ISNA(SQRT(SUMSQ(VLOOKUP($B16&amp;"; "&amp;$N$11&amp;", "&amp;$O$12,'FE Energie'!$G:$U,7,FALSE),$BF16))),0,SQRT(SUMSQ(VLOOKUP($B16&amp;"; "&amp;$N$11&amp;", "&amp;$O$12,'FE Energie'!$G:$U,7,FALSE),$BF16)))</f>
        <v>0.05</v>
      </c>
      <c r="BO16" s="1071">
        <f>IF(ISNA(SQRT(SUMSQ(VLOOKUP($B16&amp;"; "&amp;$Q$11&amp;", "&amp;$R$12,'FE Energie'!$G:$U,7,FALSE),$BG16))),0,SQRT(SUMSQ(VLOOKUP($B16&amp;"; "&amp;$Q$11&amp;", "&amp;$R$12,'FE Energie'!$G:$U,7,FALSE),$BG16)))</f>
        <v>0</v>
      </c>
    </row>
    <row r="17" spans="1:67" s="116" customFormat="1" ht="12.75" hidden="1" customHeight="1" outlineLevel="1">
      <c r="A17" s="114"/>
      <c r="B17" s="143" t="s">
        <v>1627</v>
      </c>
      <c r="C17" s="144"/>
      <c r="D17" s="315">
        <f t="shared" si="0"/>
        <v>0</v>
      </c>
      <c r="E17" s="315"/>
      <c r="F17" s="849"/>
      <c r="G17" s="345"/>
      <c r="H17" s="335" t="e">
        <f>VLOOKUP($B17&amp;"; "&amp;$H$11&amp;", "&amp;H$12,'FE Energie'!$G:$U,9,FALSE)</f>
        <v>#N/A</v>
      </c>
      <c r="I17" s="335" t="e">
        <f>VLOOKUP($B17&amp;"; "&amp;$H$11&amp;", "&amp;I$12,'FE Energie'!$G:$U,9,FALSE)</f>
        <v>#N/A</v>
      </c>
      <c r="J17" s="345"/>
      <c r="K17" s="223" t="e">
        <f>VLOOKUP($B17&amp;"; "&amp;$K$11&amp;", "&amp;K$12,'FE Energie'!$G:$U,9,FALSE)</f>
        <v>#N/A</v>
      </c>
      <c r="L17" s="223" t="e">
        <f>VLOOKUP($B17&amp;"; "&amp;$K$11&amp;", "&amp;L$12,'FE Energie'!$G:$U,9,FALSE)</f>
        <v>#N/A</v>
      </c>
      <c r="M17" s="1086"/>
      <c r="N17" s="217" t="e">
        <f>VLOOKUP($B17&amp;"; "&amp;$N$11&amp;", "&amp;N$12,'FE Energie'!$G:$U,9,FALSE)</f>
        <v>#N/A</v>
      </c>
      <c r="O17" s="217" t="e">
        <f>VLOOKUP($B17&amp;"; "&amp;$N$11&amp;", "&amp;O$12,'FE Energie'!$G:$U,9,FALSE)</f>
        <v>#N/A</v>
      </c>
      <c r="P17" s="1086"/>
      <c r="Q17" s="223" t="e">
        <f>VLOOKUP($B17&amp;"; "&amp;$Q$11&amp;", "&amp;Q$12,'FE Energie'!$G:$U,9,FALSE)</f>
        <v>#N/A</v>
      </c>
      <c r="R17" s="223" t="e">
        <f>VLOOKUP($B17&amp;"; "&amp;$Q$11&amp;", "&amp;R$12,'FE Energie'!$G:$U,9,FALSE)</f>
        <v>#N/A</v>
      </c>
      <c r="S17" s="566">
        <f>IF(ISNA(G17*H17),0,G17*H17)+IF(ISNA(J17*K17),0,J17*K17)+IF(ISNA(M17*N17),0,M17*N17)+IF(ISNA(P17*Q17),0,P17*Q17)</f>
        <v>0</v>
      </c>
      <c r="T17" s="567">
        <f>IF(ISNA(G17*I17),0,G17*I17)+IF(ISNA(J17*L17),0,J17*L17)+IF(ISNA(M17*O17),0,M17*O17)+IF(ISNA(P17*R17),0,P17*R17)</f>
        <v>0</v>
      </c>
      <c r="U17" s="114"/>
      <c r="V17" s="1092">
        <f>IF(AC17=0,AC17,AC17/(S17+T17))</f>
        <v>0</v>
      </c>
      <c r="W17" s="345"/>
      <c r="X17" s="820"/>
      <c r="Y17" s="164">
        <f>SQRT(SUMSQ(IF(ISNA($G17*H17*BH17),0,$G17*H17*BH17),IF(ISNA($J17*K17*BI17),0,$J17*K17*BI17),IF(ISNA($M17*N17*BJ17),0,$M17*N17*BJ17),IF(ISNA($P17*Q17*BK17),0,$P17*Q17*BK17)))</f>
        <v>0</v>
      </c>
      <c r="Z17" s="164">
        <f>SQRT(SUMSQ(IF(ISNA($G17*I17*BL17),0,$G17*I17*BL17),IF(ISNA($J17*L17*BM17),0,$J17*L17*BM17),IF(ISNA($M17*O17*BN17),0,$M17*O17*BN17),IF(ISNA($P17*R17*BO17),0,$P17*R17*BO17)))</f>
        <v>0</v>
      </c>
      <c r="AA17" s="164"/>
      <c r="AB17" s="164"/>
      <c r="AC17" s="152">
        <f>SQRT(SUMSQ(Y17,Z17))</f>
        <v>0</v>
      </c>
      <c r="AD17" s="114"/>
      <c r="AE17" s="564">
        <f>$G17*IF(ISNA(VLOOKUP($B17&amp;"; "&amp;$H$11&amp;", "&amp;H$12,'FE Energie'!$G:$U,10,FALSE)),0,VLOOKUP($B17&amp;"; "&amp;$H$11&amp;", "&amp;H$12,'FE Energie'!$G:$U,10,FALSE))
+$J17*IF(ISNA(VLOOKUP($B17&amp;"; "&amp;$K$11&amp;", "&amp;H$12,'FE Energie'!$G:$U,10,FALSE)),0,VLOOKUP($B17&amp;"; "&amp;$K$11&amp;", "&amp;H$12,'FE Energie'!$G:$U,10,FALSE))
+$M17*IF(ISNA(VLOOKUP($B17&amp;"; "&amp;$N$11&amp;", "&amp;H$12,'FE Energie'!$G:$U,10,FALSE)),0,VLOOKUP($B17&amp;"; "&amp;$N$11&amp;", "&amp;H$12,'FE Energie'!$G:$U,10,FALSE))
+$P17*IF(ISNA(VLOOKUP($B17&amp;"; "&amp;$Q$11&amp;", "&amp;H$12,'FE Energie'!$G:$U,10,FALSE)),0,VLOOKUP($B17&amp;"; "&amp;$Q$11&amp;", "&amp;H$12,'FE Energie'!$G:$U,10,FALSE))</f>
        <v>0</v>
      </c>
      <c r="AF17" s="565">
        <f>$G17*IF(ISNA(VLOOKUP($B17&amp;"; "&amp;$H$11&amp;", "&amp;I$12,'FE Energie'!$G:$U,10,FALSE)),0,VLOOKUP($B17&amp;"; "&amp;$H$11&amp;", "&amp;I$12,'FE Energie'!$G:$U,10,FALSE))
+$J17*IF(ISNA(VLOOKUP($B17&amp;"; "&amp;$K$11&amp;", "&amp;I$12,'FE Energie'!$G:$U,10,FALSE)),0,VLOOKUP($B17&amp;"; "&amp;$K$11&amp;", "&amp;I$12,'FE Energie'!$G:$U,10,FALSE))
+$M17*IF(ISNA(VLOOKUP($B17&amp;"; "&amp;$N$11&amp;", "&amp;I$12,'FE Energie'!$G:$U,10,FALSE)),0,VLOOKUP($B17&amp;"; "&amp;$N$11&amp;", "&amp;I$12,'FE Energie'!$G:$U,10,FALSE))
+$P17*IF(ISNA(VLOOKUP($B17&amp;"; "&amp;$Q$11&amp;", "&amp;I$12,'FE Energie'!$G:$U,10,FALSE)),0,VLOOKUP($B17&amp;"; "&amp;$Q$11&amp;", "&amp;I$12,'FE Energie'!$G:$U,10,FALSE))</f>
        <v>0</v>
      </c>
      <c r="AG17" s="565"/>
      <c r="AH17" s="565"/>
      <c r="AI17" s="565">
        <f>$G17*IF(ISNA((VLOOKUP($B17&amp;"; "&amp;$H$11&amp;", "&amp;H$12,'FE Energie'!$G:$U,12,FALSE)+VLOOKUP($B17&amp;"; "&amp;$H$11&amp;", "&amp;H$12,'FE Energie'!$G:$U,11,FALSE))),0,(VLOOKUP($B17&amp;"; "&amp;$H$11&amp;", "&amp;H$12,'FE Energie'!$G:$U,12,FALSE)+VLOOKUP($B17&amp;"; "&amp;$H$11&amp;", "&amp;H$12,'FE Energie'!$G:$U,11,FALSE)))
+$J17*IF(ISNA((VLOOKUP($B17&amp;"; "&amp;$K$11&amp;", "&amp;H$12,'FE Energie'!$G:$U,12,FALSE)+VLOOKUP($B17&amp;"; "&amp;$K$11&amp;", "&amp;H$12,'FE Energie'!$G:$U,11,FALSE))),0,(VLOOKUP($B17&amp;"; "&amp;$K$11&amp;", "&amp;H$12,'FE Energie'!$G:$U,12,FALSE)+VLOOKUP($B17&amp;"; "&amp;$K$11&amp;", "&amp;H$12,'FE Energie'!$G:$U,11,FALSE)))
+$M17*IF(ISNA((VLOOKUP($B17&amp;"; "&amp;$N$11&amp;", "&amp;H$12,'FE Energie'!$G:$U,12,FALSE)+VLOOKUP($B17&amp;"; "&amp;$N$11&amp;", "&amp;H$12,'FE Energie'!$G:$U,11,FALSE))),0,(VLOOKUP($B17&amp;"; "&amp;$N$11&amp;", "&amp;H$12,'FE Energie'!$G:$U,12,FALSE)+VLOOKUP($B17&amp;"; "&amp;$N$11&amp;", "&amp;H$12,'FE Energie'!$G:$U,11,FALSE)))
+$P17*IF(ISNA((VLOOKUP($B17&amp;"; "&amp;$Q$11&amp;", "&amp;H$12,'FE Energie'!$G:$U,12,FALSE)+VLOOKUP($B17&amp;"; "&amp;$Q$11&amp;", "&amp;H$12,'FE Energie'!$G:$U,11,FALSE))),0,(VLOOKUP($B17&amp;"; "&amp;$Q$11&amp;", "&amp;H$12,'FE Energie'!$G:$U,12,FALSE)+VLOOKUP($B17&amp;"; "&amp;$Q$11&amp;", "&amp;H$12,'FE Energie'!$G:$U,11,FALSE)))</f>
        <v>0</v>
      </c>
      <c r="AJ17" s="565">
        <f>$G17*IF(ISNA((VLOOKUP($B17&amp;"; "&amp;$H$11&amp;", "&amp;I$12,'FE Energie'!$G:$U,12,FALSE)+VLOOKUP($B17&amp;"; "&amp;$H$11&amp;", "&amp;I$12,'FE Energie'!$G:$U,11,FALSE))),0,(VLOOKUP($B17&amp;"; "&amp;$H$11&amp;", "&amp;I$12,'FE Energie'!$G:$U,12,FALSE)+VLOOKUP($B17&amp;"; "&amp;$H$11&amp;", "&amp;I$12,'FE Energie'!$G:$U,11,FALSE)))
+$J17*IF(ISNA((VLOOKUP($B17&amp;"; "&amp;$K$11&amp;", "&amp;I$12,'FE Energie'!$G:$U,12,FALSE)+VLOOKUP($B17&amp;"; "&amp;$K$11&amp;", "&amp;I$12,'FE Energie'!$G:$U,11,FALSE))),0,(VLOOKUP($B17&amp;"; "&amp;$K$11&amp;", "&amp;I$12,'FE Energie'!$G:$U,12,FALSE)+VLOOKUP($B17&amp;"; "&amp;$K$11&amp;", "&amp;I$12,'FE Energie'!$G:$U,11,FALSE)))
+$M17*IF(ISNA((VLOOKUP($B17&amp;"; "&amp;$N$11&amp;", "&amp;I$12,'FE Energie'!$G:$U,12,FALSE)+VLOOKUP($B17&amp;"; "&amp;$N$11&amp;", "&amp;I$12,'FE Energie'!$G:$U,11,FALSE))),0,(VLOOKUP($B17&amp;"; "&amp;$N$11&amp;", "&amp;I$12,'FE Energie'!$G:$U,12,FALSE)+VLOOKUP($B17&amp;"; "&amp;$N$11&amp;", "&amp;I$12,'FE Energie'!$G:$U,11,FALSE)))
+$P17*IF(ISNA((VLOOKUP($B17&amp;"; "&amp;$Q$11&amp;", "&amp;I$12,'FE Energie'!$G:$U,12,FALSE)+VLOOKUP($B17&amp;"; "&amp;$Q$11&amp;", "&amp;I$12,'FE Energie'!$G:$U,11,FALSE))),0,(VLOOKUP($B17&amp;"; "&amp;$Q$11&amp;", "&amp;I$12,'FE Energie'!$G:$U,12,FALSE)+VLOOKUP($B17&amp;"; "&amp;$Q$11&amp;", "&amp;I$12,'FE Energie'!$G:$U,11,FALSE)))</f>
        <v>0</v>
      </c>
      <c r="AK17" s="565"/>
      <c r="AL17" s="565"/>
      <c r="AM17" s="565">
        <f>$G17*IF(ISNA(VLOOKUP($B17&amp;"; "&amp;$H$11&amp;", "&amp;H$12,'FE Energie'!$G:$U,13,FALSE)),0,VLOOKUP($B17&amp;"; "&amp;$H$11&amp;", "&amp;H$12,'FE Energie'!$G:$U,13,FALSE))
+$J17*IF(ISNA(VLOOKUP($B17&amp;"; "&amp;$K$11&amp;", "&amp;H$12,'FE Energie'!$G:$U,13,FALSE)),0,VLOOKUP($B17&amp;"; "&amp;$K$11&amp;", "&amp;H$12,'FE Energie'!$G:$U,13,FALSE))
+$M17*IF(ISNA(VLOOKUP($B17&amp;"; "&amp;$N$11&amp;", "&amp;H$12,'FE Energie'!$G:$U,13,FALSE)),0,VLOOKUP($B17&amp;"; "&amp;$N$11&amp;", "&amp;H$12,'FE Energie'!$G:$U,13,FALSE))
+$P17*IF(ISNA(VLOOKUP($B17&amp;"; "&amp;$Q$11&amp;", "&amp;H$12,'FE Energie'!$G:$U,13,FALSE)),0,VLOOKUP($B17&amp;"; "&amp;$Q$11&amp;", "&amp;H$12,'FE Energie'!$G:$U,13,FALSE))</f>
        <v>0</v>
      </c>
      <c r="AN17" s="565">
        <f>$G17*IF(ISNA(VLOOKUP($B17&amp;"; "&amp;$H$11&amp;", "&amp;I$12,'FE Energie'!$G:$U,13,FALSE)),0,VLOOKUP($B17&amp;"; "&amp;$H$11&amp;", "&amp;I$12,'FE Energie'!$G:$U,13,FALSE))
+$J17*IF(ISNA(VLOOKUP($B17&amp;"; "&amp;$K$11&amp;", "&amp;I$12,'FE Energie'!$G:$U,13,FALSE)),0,VLOOKUP($B17&amp;"; "&amp;$K$11&amp;", "&amp;I$12,'FE Energie'!$G:$U,13,FALSE))
+$M17*IF(ISNA(VLOOKUP($B17&amp;"; "&amp;$N$11&amp;", "&amp;I$12,'FE Energie'!$G:$U,13,FALSE)),0,VLOOKUP($B17&amp;"; "&amp;$N$11&amp;", "&amp;I$12,'FE Energie'!$G:$U,13,FALSE))
+$P17*IF(ISNA(VLOOKUP($B17&amp;"; "&amp;$Q$11&amp;", "&amp;I$12,'FE Energie'!$G:$U,13,FALSE)),0,VLOOKUP($B17&amp;"; "&amp;$Q$11&amp;", "&amp;I$12,'FE Energie'!$G:$U,13,FALSE))</f>
        <v>0</v>
      </c>
      <c r="AO17" s="565"/>
      <c r="AP17" s="565"/>
      <c r="AQ17" s="565">
        <f>$G17*IF(ISNA(VLOOKUP($B17&amp;"; "&amp;$H$11&amp;", "&amp;H$12,'FE Energie'!$G:$U,14,FALSE)),0,VLOOKUP($B17&amp;"; "&amp;$H$11&amp;", "&amp;H$12,'FE Energie'!$G:$U,14,FALSE))
+$J17*IF(ISNA(VLOOKUP($B17&amp;"; "&amp;$K$11&amp;", "&amp;H$12,'FE Energie'!$G:$U,14,FALSE)),0,VLOOKUP($B17&amp;"; "&amp;$K$11&amp;", "&amp;H$12,'FE Energie'!$G:$U,14,FALSE))
+$M17*IF(ISNA(VLOOKUP($B17&amp;"; "&amp;$N$11&amp;", "&amp;H$12,'FE Energie'!$G:$U,14,FALSE)),0,VLOOKUP($B17&amp;"; "&amp;$N$11&amp;", "&amp;H$12,'FE Energie'!$G:$U,14,FALSE))
+$P17*IF(ISNA(VLOOKUP($B17&amp;"; "&amp;$Q$11&amp;", "&amp;H$12,'FE Energie'!$G:$U,14,FALSE)),0,VLOOKUP($B17&amp;"; "&amp;$Q$11&amp;", "&amp;H$12,'FE Energie'!$G:$U,14,FALSE))</f>
        <v>0</v>
      </c>
      <c r="AR17" s="565">
        <f>$G17*IF(ISNA(VLOOKUP($B17&amp;"; "&amp;$H$11&amp;", "&amp;I$12,'FE Energie'!$G:$U,14,FALSE)),0,VLOOKUP($B17&amp;"; "&amp;$H$11&amp;", "&amp;I$12,'FE Energie'!$G:$U,14,FALSE))
+$J17*IF(ISNA(VLOOKUP($B17&amp;"; "&amp;$K$11&amp;", "&amp;I$12,'FE Energie'!$G:$U,14,FALSE)),0,VLOOKUP($B17&amp;"; "&amp;$K$11&amp;", "&amp;I$12,'FE Energie'!$G:$U,14,FALSE))
+$M17*IF(ISNA(VLOOKUP($B17&amp;"; "&amp;$N$11&amp;", "&amp;I$12,'FE Energie'!$G:$U,14,FALSE)),0,VLOOKUP($B17&amp;"; "&amp;$N$11&amp;", "&amp;I$12,'FE Energie'!$G:$U,14,FALSE))
+$P17*IF(ISNA(VLOOKUP($B17&amp;"; "&amp;$Q$11&amp;", "&amp;I$12,'FE Energie'!$G:$U,14,FALSE)),0,VLOOKUP($B17&amp;"; "&amp;$Q$11&amp;", "&amp;I$12,'FE Energie'!$G:$U,14,FALSE))</f>
        <v>0</v>
      </c>
      <c r="AS17" s="565"/>
      <c r="AT17" s="565"/>
      <c r="AU17" s="1288">
        <f t="shared" si="1"/>
        <v>0</v>
      </c>
      <c r="AV17" s="566">
        <f t="shared" si="2"/>
        <v>0</v>
      </c>
      <c r="AW17" s="566"/>
      <c r="AX17" s="567"/>
      <c r="AY17" s="565">
        <f>$G17*IF(ISNA(VLOOKUP($B17&amp;"; "&amp;$H$11&amp;", "&amp;H$12,'FE Energie'!$G:$U,15,FALSE)),0,VLOOKUP($B17&amp;"; "&amp;$H$11&amp;", "&amp;H$12,'FE Energie'!$G:$U,15,FALSE))
+$J17*IF(ISNA(VLOOKUP($B17&amp;"; "&amp;$K$11&amp;", "&amp;H$12,'FE Energie'!$G:$U,15,FALSE)),0,VLOOKUP($B17&amp;"; "&amp;$K$11&amp;", "&amp;H$12,'FE Energie'!$G:$U,15,FALSE))
+$M17*IF(ISNA(VLOOKUP($B17&amp;"; "&amp;$N$11&amp;", "&amp;H$12,'FE Energie'!$G:$U,15,FALSE)),0,VLOOKUP($B17&amp;"; "&amp;$N$11&amp;", "&amp;H$12,'FE Energie'!$G:$U,15,FALSE))
+$P17*IF(ISNA(VLOOKUP($B17&amp;"; "&amp;$Q$11&amp;", "&amp;H$12,'FE Energie'!$G:$U,15,FALSE)),0,VLOOKUP($B17&amp;"; "&amp;$Q$11&amp;", "&amp;H$12,'FE Energie'!$G:$U,15,FALSE))</f>
        <v>0</v>
      </c>
      <c r="AZ17" s="565">
        <f>$G17*IF(ISNA(VLOOKUP($B17&amp;"; "&amp;$H$11&amp;", "&amp;I$12,'FE Energie'!$G:$U,15,FALSE)),0,VLOOKUP($B17&amp;"; "&amp;$H$11&amp;", "&amp;I$12,'FE Energie'!$G:$U,15,FALSE))
+$J17*IF(ISNA(VLOOKUP($B17&amp;"; "&amp;$K$11&amp;", "&amp;I$12,'FE Energie'!$G:$U,15,FALSE)),0,VLOOKUP($B17&amp;"; "&amp;$K$11&amp;", "&amp;I$12,'FE Energie'!$G:$U,15,FALSE))
+$M17*IF(ISNA(VLOOKUP($B17&amp;"; "&amp;$N$11&amp;", "&amp;I$12,'FE Energie'!$G:$U,15,FALSE)),0,VLOOKUP($B17&amp;"; "&amp;$N$11&amp;", "&amp;I$12,'FE Energie'!$G:$U,15,FALSE))
+$P17*IF(ISNA(VLOOKUP($B17&amp;"; "&amp;$Q$11&amp;", "&amp;I$12,'FE Energie'!$G:$U,15,FALSE)),0,VLOOKUP($B17&amp;"; "&amp;$Q$11&amp;", "&amp;I$12,'FE Energie'!$G:$U,15,FALSE))</f>
        <v>0</v>
      </c>
      <c r="BA17" s="565"/>
      <c r="BB17" s="568"/>
      <c r="BD17" s="1065">
        <f>IF($W17&lt;&gt;"votre valeur :",IF(ISNA(VLOOKUP($W17,Utilitaires!$N$566:$O$571,2,FALSE)),,VLOOKUP($W17,Utilitaires!$N$566:$O$571,2,FALSE)),$X17)</f>
        <v>0</v>
      </c>
      <c r="BE17" s="1066">
        <f>IF($W17&lt;&gt;"votre valeur :",IF(ISNA(VLOOKUP($W17,Utilitaires!$N$566:$O$571,2,FALSE)),,VLOOKUP($W17,Utilitaires!$N$566:$O$571,2,FALSE)),$X17)</f>
        <v>0</v>
      </c>
      <c r="BF17" s="1066">
        <f>IF($W17&lt;&gt;"votre valeur :",IF(ISNA(VLOOKUP($W17,Utilitaires!$N$566:$O$571,2,FALSE)),,VLOOKUP($W17,Utilitaires!$N$566:$O$571,2,FALSE)),$X17)</f>
        <v>0</v>
      </c>
      <c r="BG17" s="1067">
        <f>IF($W17&lt;&gt;"votre valeur :",IF(ISNA(VLOOKUP($W17,Utilitaires!$N$566:$O$571,2,FALSE)),,VLOOKUP($W17,Utilitaires!$N$566:$O$571,2,FALSE)),$X17)</f>
        <v>0</v>
      </c>
      <c r="BH17" s="1068">
        <f>IF(ISNA(SQRT(SUMSQ(VLOOKUP($B17&amp;"; "&amp;$H$11&amp;", "&amp;$H$12,'FE Energie'!$G:$U,7,FALSE),$BD17))),0,SQRT(SUMSQ(VLOOKUP($B17&amp;"; "&amp;$H$11&amp;", "&amp;$H$12,'FE Energie'!$G:$U,7,FALSE),$BD17)))</f>
        <v>0</v>
      </c>
      <c r="BI17" s="1068">
        <f>IF(ISNA(SQRT(SUMSQ(VLOOKUP($B17&amp;"; "&amp;$K$11&amp;", "&amp;$K$12,'FE Energie'!$G:$U,7,FALSE),$BE17))),0,SQRT(SUMSQ(VLOOKUP($B17&amp;"; "&amp;$K$11&amp;", "&amp;$K$12,'FE Energie'!$G:$U,7,FALSE),$BE17)))</f>
        <v>0</v>
      </c>
      <c r="BJ17" s="1068">
        <f>IF(ISNA(SQRT(SUMSQ(VLOOKUP($B17&amp;"; "&amp;$N$11&amp;", "&amp;$N$12,'FE Energie'!$G:$U,7,FALSE),$BF17))),0,SQRT(SUMSQ(VLOOKUP($B17&amp;"; "&amp;$N$11&amp;", "&amp;$N$12,'FE Energie'!$G:$U,7,FALSE),$BF17)))</f>
        <v>0</v>
      </c>
      <c r="BK17" s="1068">
        <f>IF(ISNA(SQRT(SUMSQ(VLOOKUP($B17&amp;"; "&amp;$Q$11&amp;", "&amp;$Q$12,'FE Energie'!$G:$U,7,FALSE),$BG17))),0,SQRT(SUMSQ(VLOOKUP($B17&amp;"; "&amp;$Q$11&amp;", "&amp;$Q$12,'FE Energie'!$G:$U,7,FALSE),$BG17)))</f>
        <v>0</v>
      </c>
      <c r="BL17" s="1069">
        <f>IF(ISNA(SQRT(SUMSQ(VLOOKUP($B17&amp;"; "&amp;$H$11&amp;", "&amp;$I$12,'FE Energie'!$G:$U,7,FALSE),$BD17))),0,SQRT(SUMSQ(VLOOKUP($B17&amp;"; "&amp;$H$11&amp;", "&amp;$I$12,'FE Energie'!$G:$U,7,FALSE),$BD17)))</f>
        <v>0</v>
      </c>
      <c r="BM17" s="1070">
        <f>IF(ISNA(SQRT(SUMSQ(VLOOKUP($B17&amp;"; "&amp;$K$11&amp;", "&amp;$L$12,'FE Energie'!$G:$U,7,FALSE),$BE17))),0,SQRT(SUMSQ(VLOOKUP($B17&amp;"; "&amp;$K$11&amp;", "&amp;$L$12,'FE Energie'!$G:$U,7,FALSE),$BE17)))</f>
        <v>0</v>
      </c>
      <c r="BN17" s="1070">
        <f>IF(ISNA(SQRT(SUMSQ(VLOOKUP($B17&amp;"; "&amp;$N$11&amp;", "&amp;$O$12,'FE Energie'!$G:$U,7,FALSE),$BF17))),0,SQRT(SUMSQ(VLOOKUP($B17&amp;"; "&amp;$N$11&amp;", "&amp;$O$12,'FE Energie'!$G:$U,7,FALSE),$BF17)))</f>
        <v>0</v>
      </c>
      <c r="BO17" s="1071">
        <f>IF(ISNA(SQRT(SUMSQ(VLOOKUP($B17&amp;"; "&amp;$Q$11&amp;", "&amp;$R$12,'FE Energie'!$G:$U,7,FALSE),$BG17))),0,SQRT(SUMSQ(VLOOKUP($B17&amp;"; "&amp;$Q$11&amp;", "&amp;$R$12,'FE Energie'!$G:$U,7,FALSE),$BG17)))</f>
        <v>0</v>
      </c>
    </row>
    <row r="18" spans="1:67" s="116" customFormat="1" ht="12.75" hidden="1" customHeight="1" outlineLevel="1">
      <c r="A18" s="114"/>
      <c r="B18" s="536" t="s">
        <v>1628</v>
      </c>
      <c r="C18" s="144"/>
      <c r="D18" s="315"/>
      <c r="E18" s="315"/>
      <c r="F18" s="822"/>
      <c r="G18" s="822"/>
      <c r="H18" s="335"/>
      <c r="I18" s="335"/>
      <c r="J18" s="822"/>
      <c r="K18" s="223"/>
      <c r="L18" s="223"/>
      <c r="M18" s="1200"/>
      <c r="N18" s="217"/>
      <c r="O18" s="217"/>
      <c r="P18" s="1200"/>
      <c r="Q18" s="223"/>
      <c r="R18" s="223"/>
      <c r="S18" s="566"/>
      <c r="T18" s="567"/>
      <c r="U18" s="114"/>
      <c r="V18" s="1092"/>
      <c r="W18" s="820"/>
      <c r="X18" s="820"/>
      <c r="Y18" s="164"/>
      <c r="Z18" s="164"/>
      <c r="AA18" s="164"/>
      <c r="AB18" s="164"/>
      <c r="AC18" s="152"/>
      <c r="AD18" s="114"/>
      <c r="AE18" s="564"/>
      <c r="AF18" s="565"/>
      <c r="AG18" s="565"/>
      <c r="AH18" s="565"/>
      <c r="AI18" s="565"/>
      <c r="AJ18" s="565"/>
      <c r="AK18" s="565"/>
      <c r="AL18" s="565"/>
      <c r="AM18" s="565"/>
      <c r="AN18" s="565"/>
      <c r="AO18" s="565"/>
      <c r="AP18" s="565"/>
      <c r="AQ18" s="565"/>
      <c r="AR18" s="565"/>
      <c r="AS18" s="565"/>
      <c r="AT18" s="565"/>
      <c r="AU18" s="1288"/>
      <c r="AV18" s="566"/>
      <c r="AW18" s="566"/>
      <c r="AX18" s="567"/>
      <c r="AY18" s="565"/>
      <c r="AZ18" s="565"/>
      <c r="BA18" s="565"/>
      <c r="BB18" s="568"/>
      <c r="BD18" s="1065"/>
      <c r="BE18" s="1066"/>
      <c r="BF18" s="1066"/>
      <c r="BG18" s="1067"/>
      <c r="BH18" s="1068"/>
      <c r="BI18" s="1068"/>
      <c r="BJ18" s="1068"/>
      <c r="BK18" s="1068"/>
      <c r="BL18" s="1069"/>
      <c r="BM18" s="1070"/>
      <c r="BN18" s="1070"/>
      <c r="BO18" s="1071"/>
    </row>
    <row r="19" spans="1:67" s="116" customFormat="1" ht="12.75" hidden="1" customHeight="1" outlineLevel="1">
      <c r="A19" s="114"/>
      <c r="B19" s="143" t="s">
        <v>1630</v>
      </c>
      <c r="C19" s="144"/>
      <c r="D19" s="315">
        <f t="shared" si="0"/>
        <v>0</v>
      </c>
      <c r="E19" s="315"/>
      <c r="F19" s="847"/>
      <c r="G19" s="344"/>
      <c r="H19" s="335" t="e">
        <f>VLOOKUP($B19&amp;"; "&amp;$H$11&amp;", "&amp;H$12,'FE Energie'!$G:$U,9,FALSE)</f>
        <v>#N/A</v>
      </c>
      <c r="I19" s="335" t="e">
        <f>VLOOKUP($B19&amp;"; "&amp;$H$11&amp;", "&amp;I$12,'FE Energie'!$G:$U,9,FALSE)</f>
        <v>#N/A</v>
      </c>
      <c r="J19" s="344"/>
      <c r="K19" s="223">
        <f>VLOOKUP($B19&amp;"; "&amp;$K$11&amp;", "&amp;K$12,'FE Energie'!$G:$U,9,FALSE)</f>
        <v>7.8399999999999997E-2</v>
      </c>
      <c r="L19" s="223">
        <f>VLOOKUP($B19&amp;"; "&amp;$K$11&amp;", "&amp;L$12,'FE Energie'!$G:$U,9,FALSE)</f>
        <v>0.19500000000000001</v>
      </c>
      <c r="M19" s="1201"/>
      <c r="N19" s="217">
        <f>VLOOKUP($B19&amp;"; "&amp;$N$11&amp;", "&amp;N$12,'FE Energie'!$G:$U,9,FALSE)</f>
        <v>916</v>
      </c>
      <c r="O19" s="217">
        <f>VLOOKUP($B19&amp;"; "&amp;$N$11&amp;", "&amp;O$12,'FE Energie'!$G:$U,9,FALSE)</f>
        <v>2269</v>
      </c>
      <c r="P19" s="1201"/>
      <c r="Q19" s="223">
        <f>VLOOKUP($B19&amp;"; "&amp;$Q$11&amp;", "&amp;Q$12,'FE Energie'!$G:$U,9,FALSE)</f>
        <v>0.75800000000000001</v>
      </c>
      <c r="R19" s="223">
        <f>VLOOKUP($B19&amp;"; "&amp;$Q$11&amp;", "&amp;R$12,'FE Energie'!$G:$U,9,FALSE)</f>
        <v>1.88</v>
      </c>
      <c r="S19" s="566">
        <f>IF(ISNA(G19*H19),0,G19*H19)+IF(ISNA(J19*K19),0,J19*K19)+IF(ISNA(M19*N19),0,M19*N19)+IF(ISNA(P19*Q19),0,P19*Q19)</f>
        <v>0</v>
      </c>
      <c r="T19" s="567">
        <f>IF(ISNA(G19*I19),0,G19*I19)+IF(ISNA(J19*L19),0,J19*L19)+IF(ISNA(M19*O19),0,M19*O19)+IF(ISNA(P19*R19),0,P19*R19)</f>
        <v>0</v>
      </c>
      <c r="U19" s="114"/>
      <c r="V19" s="1092">
        <f>IF(AC19=0,AC19,AC19/(S19+T19))</f>
        <v>0</v>
      </c>
      <c r="W19" s="343"/>
      <c r="X19" s="820"/>
      <c r="Y19" s="164">
        <f>SQRT(SUMSQ(IF(ISNA($G19*H19*BH19),0,$G19*H19*BH19),IF(ISNA($J19*K19*BI19),0,$J19*K19*BI19),IF(ISNA($M19*N19*BJ19),0,$M19*N19*BJ19),IF(ISNA($P19*Q19*BK19),0,$P19*Q19*BK19)))</f>
        <v>0</v>
      </c>
      <c r="Z19" s="164">
        <f>SQRT(SUMSQ(IF(ISNA($G19*I19*BL19),0,$G19*I19*BL19),IF(ISNA($J19*L19*BM19),0,$J19*L19*BM19),IF(ISNA($M19*O19*BN19),0,$M19*O19*BN19),IF(ISNA($P19*R19*BO19),0,$P19*R19*BO19)))</f>
        <v>0</v>
      </c>
      <c r="AA19" s="164"/>
      <c r="AB19" s="164"/>
      <c r="AC19" s="152">
        <f>SQRT(SUMSQ(Y19,Z19))</f>
        <v>0</v>
      </c>
      <c r="AD19" s="114"/>
      <c r="AE19" s="564">
        <f>$G19*IF(ISNA(VLOOKUP($B19&amp;"; "&amp;$H$11&amp;", "&amp;H$12,'FE Energie'!$G:$U,10,FALSE)),0,VLOOKUP($B19&amp;"; "&amp;$H$11&amp;", "&amp;H$12,'FE Energie'!$G:$U,10,FALSE))
+$J19*IF(ISNA(VLOOKUP($B19&amp;"; "&amp;$K$11&amp;", "&amp;H$12,'FE Energie'!$G:$U,10,FALSE)),0,VLOOKUP($B19&amp;"; "&amp;$K$11&amp;", "&amp;H$12,'FE Energie'!$G:$U,10,FALSE))
+$M19*IF(ISNA(VLOOKUP($B19&amp;"; "&amp;$N$11&amp;", "&amp;H$12,'FE Energie'!$G:$U,10,FALSE)),0,VLOOKUP($B19&amp;"; "&amp;$N$11&amp;", "&amp;H$12,'FE Energie'!$G:$U,10,FALSE))
+$P19*IF(ISNA(VLOOKUP($B19&amp;"; "&amp;$Q$11&amp;", "&amp;H$12,'FE Energie'!$G:$U,10,FALSE)),0,VLOOKUP($B19&amp;"; "&amp;$Q$11&amp;", "&amp;H$12,'FE Energie'!$G:$U,10,FALSE))</f>
        <v>0</v>
      </c>
      <c r="AF19" s="565">
        <f>$G19*IF(ISNA(VLOOKUP($B19&amp;"; "&amp;$H$11&amp;", "&amp;I$12,'FE Energie'!$G:$U,10,FALSE)),0,VLOOKUP($B19&amp;"; "&amp;$H$11&amp;", "&amp;I$12,'FE Energie'!$G:$U,10,FALSE))
+$J19*IF(ISNA(VLOOKUP($B19&amp;"; "&amp;$K$11&amp;", "&amp;I$12,'FE Energie'!$G:$U,10,FALSE)),0,VLOOKUP($B19&amp;"; "&amp;$K$11&amp;", "&amp;I$12,'FE Energie'!$G:$U,10,FALSE))
+$M19*IF(ISNA(VLOOKUP($B19&amp;"; "&amp;$N$11&amp;", "&amp;I$12,'FE Energie'!$G:$U,10,FALSE)),0,VLOOKUP($B19&amp;"; "&amp;$N$11&amp;", "&amp;I$12,'FE Energie'!$G:$U,10,FALSE))
+$P19*IF(ISNA(VLOOKUP($B19&amp;"; "&amp;$Q$11&amp;", "&amp;I$12,'FE Energie'!$G:$U,10,FALSE)),0,VLOOKUP($B19&amp;"; "&amp;$Q$11&amp;", "&amp;I$12,'FE Energie'!$G:$U,10,FALSE))</f>
        <v>0</v>
      </c>
      <c r="AG19" s="565"/>
      <c r="AH19" s="565"/>
      <c r="AI19" s="565">
        <f>$G19*IF(ISNA((VLOOKUP($B19&amp;"; "&amp;$H$11&amp;", "&amp;H$12,'FE Energie'!$G:$U,12,FALSE)+VLOOKUP($B19&amp;"; "&amp;$H$11&amp;", "&amp;H$12,'FE Energie'!$G:$U,11,FALSE))),0,(VLOOKUP($B19&amp;"; "&amp;$H$11&amp;", "&amp;H$12,'FE Energie'!$G:$U,12,FALSE)+VLOOKUP($B19&amp;"; "&amp;$H$11&amp;", "&amp;H$12,'FE Energie'!$G:$U,11,FALSE)))
+$J19*IF(ISNA((VLOOKUP($B19&amp;"; "&amp;$K$11&amp;", "&amp;H$12,'FE Energie'!$G:$U,12,FALSE)+VLOOKUP($B19&amp;"; "&amp;$K$11&amp;", "&amp;H$12,'FE Energie'!$G:$U,11,FALSE))),0,(VLOOKUP($B19&amp;"; "&amp;$K$11&amp;", "&amp;H$12,'FE Energie'!$G:$U,12,FALSE)+VLOOKUP($B19&amp;"; "&amp;$K$11&amp;", "&amp;H$12,'FE Energie'!$G:$U,11,FALSE)))
+$M19*IF(ISNA((VLOOKUP($B19&amp;"; "&amp;$N$11&amp;", "&amp;H$12,'FE Energie'!$G:$U,12,FALSE)+VLOOKUP($B19&amp;"; "&amp;$N$11&amp;", "&amp;H$12,'FE Energie'!$G:$U,11,FALSE))),0,(VLOOKUP($B19&amp;"; "&amp;$N$11&amp;", "&amp;H$12,'FE Energie'!$G:$U,12,FALSE)+VLOOKUP($B19&amp;"; "&amp;$N$11&amp;", "&amp;H$12,'FE Energie'!$G:$U,11,FALSE)))
+$P19*IF(ISNA((VLOOKUP($B19&amp;"; "&amp;$Q$11&amp;", "&amp;H$12,'FE Energie'!$G:$U,12,FALSE)+VLOOKUP($B19&amp;"; "&amp;$Q$11&amp;", "&amp;H$12,'FE Energie'!$G:$U,11,FALSE))),0,(VLOOKUP($B19&amp;"; "&amp;$Q$11&amp;", "&amp;H$12,'FE Energie'!$G:$U,12,FALSE)+VLOOKUP($B19&amp;"; "&amp;$Q$11&amp;", "&amp;H$12,'FE Energie'!$G:$U,11,FALSE)))</f>
        <v>0</v>
      </c>
      <c r="AJ19" s="565">
        <f>$G19*IF(ISNA((VLOOKUP($B19&amp;"; "&amp;$H$11&amp;", "&amp;I$12,'FE Energie'!$G:$U,12,FALSE)+VLOOKUP($B19&amp;"; "&amp;$H$11&amp;", "&amp;I$12,'FE Energie'!$G:$U,11,FALSE))),0,(VLOOKUP($B19&amp;"; "&amp;$H$11&amp;", "&amp;I$12,'FE Energie'!$G:$U,12,FALSE)+VLOOKUP($B19&amp;"; "&amp;$H$11&amp;", "&amp;I$12,'FE Energie'!$G:$U,11,FALSE)))
+$J19*IF(ISNA((VLOOKUP($B19&amp;"; "&amp;$K$11&amp;", "&amp;I$12,'FE Energie'!$G:$U,12,FALSE)+VLOOKUP($B19&amp;"; "&amp;$K$11&amp;", "&amp;I$12,'FE Energie'!$G:$U,11,FALSE))),0,(VLOOKUP($B19&amp;"; "&amp;$K$11&amp;", "&amp;I$12,'FE Energie'!$G:$U,12,FALSE)+VLOOKUP($B19&amp;"; "&amp;$K$11&amp;", "&amp;I$12,'FE Energie'!$G:$U,11,FALSE)))
+$M19*IF(ISNA((VLOOKUP($B19&amp;"; "&amp;$N$11&amp;", "&amp;I$12,'FE Energie'!$G:$U,12,FALSE)+VLOOKUP($B19&amp;"; "&amp;$N$11&amp;", "&amp;I$12,'FE Energie'!$G:$U,11,FALSE))),0,(VLOOKUP($B19&amp;"; "&amp;$N$11&amp;", "&amp;I$12,'FE Energie'!$G:$U,12,FALSE)+VLOOKUP($B19&amp;"; "&amp;$N$11&amp;", "&amp;I$12,'FE Energie'!$G:$U,11,FALSE)))
+$P19*IF(ISNA((VLOOKUP($B19&amp;"; "&amp;$Q$11&amp;", "&amp;I$12,'FE Energie'!$G:$U,12,FALSE)+VLOOKUP($B19&amp;"; "&amp;$Q$11&amp;", "&amp;I$12,'FE Energie'!$G:$U,11,FALSE))),0,(VLOOKUP($B19&amp;"; "&amp;$Q$11&amp;", "&amp;I$12,'FE Energie'!$G:$U,12,FALSE)+VLOOKUP($B19&amp;"; "&amp;$Q$11&amp;", "&amp;I$12,'FE Energie'!$G:$U,11,FALSE)))</f>
        <v>0</v>
      </c>
      <c r="AK19" s="565"/>
      <c r="AL19" s="565"/>
      <c r="AM19" s="565">
        <f>$G19*IF(ISNA(VLOOKUP($B19&amp;"; "&amp;$H$11&amp;", "&amp;H$12,'FE Energie'!$G:$U,13,FALSE)),0,VLOOKUP($B19&amp;"; "&amp;$H$11&amp;", "&amp;H$12,'FE Energie'!$G:$U,13,FALSE))
+$J19*IF(ISNA(VLOOKUP($B19&amp;"; "&amp;$K$11&amp;", "&amp;H$12,'FE Energie'!$G:$U,13,FALSE)),0,VLOOKUP($B19&amp;"; "&amp;$K$11&amp;", "&amp;H$12,'FE Energie'!$G:$U,13,FALSE))
+$M19*IF(ISNA(VLOOKUP($B19&amp;"; "&amp;$N$11&amp;", "&amp;H$12,'FE Energie'!$G:$U,13,FALSE)),0,VLOOKUP($B19&amp;"; "&amp;$N$11&amp;", "&amp;H$12,'FE Energie'!$G:$U,13,FALSE))
+$P19*IF(ISNA(VLOOKUP($B19&amp;"; "&amp;$Q$11&amp;", "&amp;H$12,'FE Energie'!$G:$U,13,FALSE)),0,VLOOKUP($B19&amp;"; "&amp;$Q$11&amp;", "&amp;H$12,'FE Energie'!$G:$U,13,FALSE))</f>
        <v>0</v>
      </c>
      <c r="AN19" s="565">
        <f>$G19*IF(ISNA(VLOOKUP($B19&amp;"; "&amp;$H$11&amp;", "&amp;I$12,'FE Energie'!$G:$U,13,FALSE)),0,VLOOKUP($B19&amp;"; "&amp;$H$11&amp;", "&amp;I$12,'FE Energie'!$G:$U,13,FALSE))
+$J19*IF(ISNA(VLOOKUP($B19&amp;"; "&amp;$K$11&amp;", "&amp;I$12,'FE Energie'!$G:$U,13,FALSE)),0,VLOOKUP($B19&amp;"; "&amp;$K$11&amp;", "&amp;I$12,'FE Energie'!$G:$U,13,FALSE))
+$M19*IF(ISNA(VLOOKUP($B19&amp;"; "&amp;$N$11&amp;", "&amp;I$12,'FE Energie'!$G:$U,13,FALSE)),0,VLOOKUP($B19&amp;"; "&amp;$N$11&amp;", "&amp;I$12,'FE Energie'!$G:$U,13,FALSE))
+$P19*IF(ISNA(VLOOKUP($B19&amp;"; "&amp;$Q$11&amp;", "&amp;I$12,'FE Energie'!$G:$U,13,FALSE)),0,VLOOKUP($B19&amp;"; "&amp;$Q$11&amp;", "&amp;I$12,'FE Energie'!$G:$U,13,FALSE))</f>
        <v>0</v>
      </c>
      <c r="AO19" s="565"/>
      <c r="AP19" s="565"/>
      <c r="AQ19" s="565">
        <f>$G19*IF(ISNA(VLOOKUP($B19&amp;"; "&amp;$H$11&amp;", "&amp;H$12,'FE Energie'!$G:$U,14,FALSE)),0,VLOOKUP($B19&amp;"; "&amp;$H$11&amp;", "&amp;H$12,'FE Energie'!$G:$U,14,FALSE))
+$J19*IF(ISNA(VLOOKUP($B19&amp;"; "&amp;$K$11&amp;", "&amp;H$12,'FE Energie'!$G:$U,14,FALSE)),0,VLOOKUP($B19&amp;"; "&amp;$K$11&amp;", "&amp;H$12,'FE Energie'!$G:$U,14,FALSE))
+$M19*IF(ISNA(VLOOKUP($B19&amp;"; "&amp;$N$11&amp;", "&amp;H$12,'FE Energie'!$G:$U,14,FALSE)),0,VLOOKUP($B19&amp;"; "&amp;$N$11&amp;", "&amp;H$12,'FE Energie'!$G:$U,14,FALSE))
+$P19*IF(ISNA(VLOOKUP($B19&amp;"; "&amp;$Q$11&amp;", "&amp;H$12,'FE Energie'!$G:$U,14,FALSE)),0,VLOOKUP($B19&amp;"; "&amp;$Q$11&amp;", "&amp;H$12,'FE Energie'!$G:$U,14,FALSE))</f>
        <v>0</v>
      </c>
      <c r="AR19" s="565">
        <f>$G19*IF(ISNA(VLOOKUP($B19&amp;"; "&amp;$H$11&amp;", "&amp;I$12,'FE Energie'!$G:$U,14,FALSE)),0,VLOOKUP($B19&amp;"; "&amp;$H$11&amp;", "&amp;I$12,'FE Energie'!$G:$U,14,FALSE))
+$J19*IF(ISNA(VLOOKUP($B19&amp;"; "&amp;$K$11&amp;", "&amp;I$12,'FE Energie'!$G:$U,14,FALSE)),0,VLOOKUP($B19&amp;"; "&amp;$K$11&amp;", "&amp;I$12,'FE Energie'!$G:$U,14,FALSE))
+$M19*IF(ISNA(VLOOKUP($B19&amp;"; "&amp;$N$11&amp;", "&amp;I$12,'FE Energie'!$G:$U,14,FALSE)),0,VLOOKUP($B19&amp;"; "&amp;$N$11&amp;", "&amp;I$12,'FE Energie'!$G:$U,14,FALSE))
+$P19*IF(ISNA(VLOOKUP($B19&amp;"; "&amp;$Q$11&amp;", "&amp;I$12,'FE Energie'!$G:$U,14,FALSE)),0,VLOOKUP($B19&amp;"; "&amp;$Q$11&amp;", "&amp;I$12,'FE Energie'!$G:$U,14,FALSE))</f>
        <v>0</v>
      </c>
      <c r="AS19" s="565"/>
      <c r="AT19" s="565"/>
      <c r="AU19" s="1288">
        <f t="shared" si="1"/>
        <v>0</v>
      </c>
      <c r="AV19" s="566">
        <f t="shared" si="2"/>
        <v>0</v>
      </c>
      <c r="AW19" s="566"/>
      <c r="AX19" s="567"/>
      <c r="AY19" s="565">
        <f>$G19*IF(ISNA(VLOOKUP($B19&amp;"; "&amp;$H$11&amp;", "&amp;H$12,'FE Energie'!$G:$U,15,FALSE)),0,VLOOKUP($B19&amp;"; "&amp;$H$11&amp;", "&amp;H$12,'FE Energie'!$G:$U,15,FALSE))
+$J19*IF(ISNA(VLOOKUP($B19&amp;"; "&amp;$K$11&amp;", "&amp;H$12,'FE Energie'!$G:$U,15,FALSE)),0,VLOOKUP($B19&amp;"; "&amp;$K$11&amp;", "&amp;H$12,'FE Energie'!$G:$U,15,FALSE))
+$M19*IF(ISNA(VLOOKUP($B19&amp;"; "&amp;$N$11&amp;", "&amp;H$12,'FE Energie'!$G:$U,15,FALSE)),0,VLOOKUP($B19&amp;"; "&amp;$N$11&amp;", "&amp;H$12,'FE Energie'!$G:$U,15,FALSE))
+$P19*IF(ISNA(VLOOKUP($B19&amp;"; "&amp;$Q$11&amp;", "&amp;H$12,'FE Energie'!$G:$U,15,FALSE)),0,VLOOKUP($B19&amp;"; "&amp;$Q$11&amp;", "&amp;H$12,'FE Energie'!$G:$U,15,FALSE))</f>
        <v>0</v>
      </c>
      <c r="AZ19" s="565">
        <f>$G19*IF(ISNA(VLOOKUP($B19&amp;"; "&amp;$H$11&amp;", "&amp;I$12,'FE Energie'!$G:$U,15,FALSE)),0,VLOOKUP($B19&amp;"; "&amp;$H$11&amp;", "&amp;I$12,'FE Energie'!$G:$U,15,FALSE))
+$J19*IF(ISNA(VLOOKUP($B19&amp;"; "&amp;$K$11&amp;", "&amp;I$12,'FE Energie'!$G:$U,15,FALSE)),0,VLOOKUP($B19&amp;"; "&amp;$K$11&amp;", "&amp;I$12,'FE Energie'!$G:$U,15,FALSE))
+$M19*IF(ISNA(VLOOKUP($B19&amp;"; "&amp;$N$11&amp;", "&amp;I$12,'FE Energie'!$G:$U,15,FALSE)),0,VLOOKUP($B19&amp;"; "&amp;$N$11&amp;", "&amp;I$12,'FE Energie'!$G:$U,15,FALSE))
+$P19*IF(ISNA(VLOOKUP($B19&amp;"; "&amp;$Q$11&amp;", "&amp;I$12,'FE Energie'!$G:$U,15,FALSE)),0,VLOOKUP($B19&amp;"; "&amp;$Q$11&amp;", "&amp;I$12,'FE Energie'!$G:$U,15,FALSE))</f>
        <v>0</v>
      </c>
      <c r="BA19" s="565"/>
      <c r="BB19" s="568"/>
      <c r="BD19" s="1065">
        <f>IF($W19&lt;&gt;"votre valeur :",IF(ISNA(VLOOKUP($W19,Utilitaires!$N$566:$O$571,2,FALSE)),,VLOOKUP($W19,Utilitaires!$N$566:$O$571,2,FALSE)),$X19)</f>
        <v>0</v>
      </c>
      <c r="BE19" s="1066">
        <f>IF($W19&lt;&gt;"votre valeur :",IF(ISNA(VLOOKUP($W19,Utilitaires!$N$566:$O$571,2,FALSE)),,VLOOKUP($W19,Utilitaires!$N$566:$O$571,2,FALSE)),$X19)</f>
        <v>0</v>
      </c>
      <c r="BF19" s="1066">
        <f>IF($W19&lt;&gt;"votre valeur :",IF(ISNA(VLOOKUP($W19,Utilitaires!$N$566:$O$571,2,FALSE)),,VLOOKUP($W19,Utilitaires!$N$566:$O$571,2,FALSE)),$X19)</f>
        <v>0</v>
      </c>
      <c r="BG19" s="1067">
        <f>IF($W19&lt;&gt;"votre valeur :",IF(ISNA(VLOOKUP($W19,Utilitaires!$N$566:$O$571,2,FALSE)),,VLOOKUP($W19,Utilitaires!$N$566:$O$571,2,FALSE)),$X19)</f>
        <v>0</v>
      </c>
      <c r="BH19" s="1068">
        <f>IF(ISNA(SQRT(SUMSQ(VLOOKUP($B19&amp;"; "&amp;$H$11&amp;", "&amp;$H$12,'FE Energie'!$G:$U,7,FALSE),$BD19))),0,SQRT(SUMSQ(VLOOKUP($B19&amp;"; "&amp;$H$11&amp;", "&amp;$H$12,'FE Energie'!$G:$U,7,FALSE),$BD19)))</f>
        <v>0</v>
      </c>
      <c r="BI19" s="1068">
        <f>IF(ISNA(SQRT(SUMSQ(VLOOKUP($B19&amp;"; "&amp;$K$11&amp;", "&amp;$K$12,'FE Energie'!$G:$U,7,FALSE),$BE19))),0,SQRT(SUMSQ(VLOOKUP($B19&amp;"; "&amp;$K$11&amp;", "&amp;$K$12,'FE Energie'!$G:$U,7,FALSE),$BE19)))</f>
        <v>0.05</v>
      </c>
      <c r="BJ19" s="1068">
        <f>IF(ISNA(SQRT(SUMSQ(VLOOKUP($B19&amp;"; "&amp;$N$11&amp;", "&amp;$N$12,'FE Energie'!$G:$U,7,FALSE),$BF19))),0,SQRT(SUMSQ(VLOOKUP($B19&amp;"; "&amp;$N$11&amp;", "&amp;$N$12,'FE Energie'!$G:$U,7,FALSE),$BF19)))</f>
        <v>0.05</v>
      </c>
      <c r="BK19" s="1068">
        <f>IF(ISNA(SQRT(SUMSQ(VLOOKUP($B19&amp;"; "&amp;$Q$11&amp;", "&amp;$Q$12,'FE Energie'!$G:$U,7,FALSE),$BG19))),0,SQRT(SUMSQ(VLOOKUP($B19&amp;"; "&amp;$Q$11&amp;", "&amp;$Q$12,'FE Energie'!$G:$U,7,FALSE),$BG19)))</f>
        <v>0.1</v>
      </c>
      <c r="BL19" s="1069">
        <f>IF(ISNA(SQRT(SUMSQ(VLOOKUP($B19&amp;"; "&amp;$H$11&amp;", "&amp;$I$12,'FE Energie'!$G:$U,7,FALSE),$BD19))),0,SQRT(SUMSQ(VLOOKUP($B19&amp;"; "&amp;$H$11&amp;", "&amp;$I$12,'FE Energie'!$G:$U,7,FALSE),$BD19)))</f>
        <v>0</v>
      </c>
      <c r="BM19" s="1070">
        <f>IF(ISNA(SQRT(SUMSQ(VLOOKUP($B19&amp;"; "&amp;$K$11&amp;", "&amp;$L$12,'FE Energie'!$G:$U,7,FALSE),$BE19))),0,SQRT(SUMSQ(VLOOKUP($B19&amp;"; "&amp;$K$11&amp;", "&amp;$L$12,'FE Energie'!$G:$U,7,FALSE),$BE19)))</f>
        <v>0.05</v>
      </c>
      <c r="BN19" s="1070">
        <f>IF(ISNA(SQRT(SUMSQ(VLOOKUP($B19&amp;"; "&amp;$N$11&amp;", "&amp;$O$12,'FE Energie'!$G:$U,7,FALSE),$BF19))),0,SQRT(SUMSQ(VLOOKUP($B19&amp;"; "&amp;$N$11&amp;", "&amp;$O$12,'FE Energie'!$G:$U,7,FALSE),$BF19)))</f>
        <v>0.05</v>
      </c>
      <c r="BO19" s="1071">
        <f>IF(ISNA(SQRT(SUMSQ(VLOOKUP($B19&amp;"; "&amp;$Q$11&amp;", "&amp;$R$12,'FE Energie'!$G:$U,7,FALSE),$BG19))),0,SQRT(SUMSQ(VLOOKUP($B19&amp;"; "&amp;$Q$11&amp;", "&amp;$R$12,'FE Energie'!$G:$U,7,FALSE),$BG19)))</f>
        <v>0.1</v>
      </c>
    </row>
    <row r="20" spans="1:67" s="116" customFormat="1" ht="12.75" hidden="1" customHeight="1" outlineLevel="1">
      <c r="A20" s="114"/>
      <c r="B20" s="143" t="s">
        <v>1631</v>
      </c>
      <c r="C20" s="144"/>
      <c r="D20" s="315">
        <f t="shared" si="0"/>
        <v>0</v>
      </c>
      <c r="E20" s="315"/>
      <c r="F20" s="849"/>
      <c r="G20" s="345"/>
      <c r="H20" s="335">
        <f>VLOOKUP($B20&amp;"; "&amp;$H$11&amp;", "&amp;H$12,'FE Energie'!$G:$U,9,FALSE)</f>
        <v>0.27</v>
      </c>
      <c r="I20" s="335">
        <f>VLOOKUP($B20&amp;"; "&amp;$H$11&amp;", "&amp;I$12,'FE Energie'!$G:$U,9,FALSE)</f>
        <v>3.07</v>
      </c>
      <c r="J20" s="345"/>
      <c r="K20" s="223" t="e">
        <f>VLOOKUP($B20&amp;"; "&amp;$K$11&amp;", "&amp;K$12,'FE Energie'!$G:$U,9,FALSE)</f>
        <v>#N/A</v>
      </c>
      <c r="L20" s="223" t="e">
        <f>VLOOKUP($B20&amp;"; "&amp;$K$11&amp;", "&amp;L$12,'FE Energie'!$G:$U,9,FALSE)</f>
        <v>#N/A</v>
      </c>
      <c r="M20" s="1086"/>
      <c r="N20" s="217" t="e">
        <f>VLOOKUP($B20&amp;"; "&amp;$N$11&amp;", "&amp;N$12,'FE Energie'!$G:$U,9,FALSE)</f>
        <v>#N/A</v>
      </c>
      <c r="O20" s="217" t="e">
        <f>VLOOKUP($B20&amp;"; "&amp;$N$11&amp;", "&amp;O$12,'FE Energie'!$G:$U,9,FALSE)</f>
        <v>#N/A</v>
      </c>
      <c r="P20" s="1086"/>
      <c r="Q20" s="223" t="e">
        <f>VLOOKUP($B20&amp;"; "&amp;$Q$11&amp;", "&amp;Q$12,'FE Energie'!$G:$U,9,FALSE)</f>
        <v>#N/A</v>
      </c>
      <c r="R20" s="223" t="e">
        <f>VLOOKUP($B20&amp;"; "&amp;$Q$11&amp;", "&amp;R$12,'FE Energie'!$G:$U,9,FALSE)</f>
        <v>#N/A</v>
      </c>
      <c r="S20" s="566">
        <f>IF(ISNA(G20*H20),0,G20*H20)+IF(ISNA(J20*K20),0,J20*K20)+IF(ISNA(M20*N20),0,M20*N20)+IF(ISNA(P20*Q20),0,P20*Q20)</f>
        <v>0</v>
      </c>
      <c r="T20" s="567">
        <f>IF(ISNA(G20*I20),0,G20*I20)+IF(ISNA(J20*L20),0,J20*L20)+IF(ISNA(M20*O20),0,M20*O20)+IF(ISNA(P20*R20),0,P20*R20)</f>
        <v>0</v>
      </c>
      <c r="U20" s="114"/>
      <c r="V20" s="1092">
        <f>IF(AC20=0,AC20,AC20/(S20+T20))</f>
        <v>0</v>
      </c>
      <c r="W20" s="345"/>
      <c r="X20" s="820"/>
      <c r="Y20" s="164">
        <f>SQRT(SUMSQ(IF(ISNA($G20*H20*BH20),0,$G20*H20*BH20),IF(ISNA($J20*K20*BI20),0,$J20*K20*BI20),IF(ISNA($M20*N20*BJ20),0,$M20*N20*BJ20),IF(ISNA($P20*Q20*BK20),0,$P20*Q20*BK20)))</f>
        <v>0</v>
      </c>
      <c r="Z20" s="164">
        <f>SQRT(SUMSQ(IF(ISNA($G20*I20*BL20),0,$G20*I20*BL20),IF(ISNA($J20*L20*BM20),0,$J20*L20*BM20),IF(ISNA($M20*O20*BN20),0,$M20*O20*BN20),IF(ISNA($P20*R20*BO20),0,$P20*R20*BO20)))</f>
        <v>0</v>
      </c>
      <c r="AA20" s="164"/>
      <c r="AB20" s="164"/>
      <c r="AC20" s="152">
        <f>SQRT(SUMSQ(Y20,Z20))</f>
        <v>0</v>
      </c>
      <c r="AD20" s="114"/>
      <c r="AE20" s="564">
        <f>$G20*IF(ISNA(VLOOKUP($B20&amp;"; "&amp;$H$11&amp;", "&amp;H$12,'FE Energie'!$G:$U,10,FALSE)),0,VLOOKUP($B20&amp;"; "&amp;$H$11&amp;", "&amp;H$12,'FE Energie'!$G:$U,10,FALSE))
+$J20*IF(ISNA(VLOOKUP($B20&amp;"; "&amp;$K$11&amp;", "&amp;H$12,'FE Energie'!$G:$U,10,FALSE)),0,VLOOKUP($B20&amp;"; "&amp;$K$11&amp;", "&amp;H$12,'FE Energie'!$G:$U,10,FALSE))
+$M20*IF(ISNA(VLOOKUP($B20&amp;"; "&amp;$N$11&amp;", "&amp;H$12,'FE Energie'!$G:$U,10,FALSE)),0,VLOOKUP($B20&amp;"; "&amp;$N$11&amp;", "&amp;H$12,'FE Energie'!$G:$U,10,FALSE))
+$P20*IF(ISNA(VLOOKUP($B20&amp;"; "&amp;$Q$11&amp;", "&amp;H$12,'FE Energie'!$G:$U,10,FALSE)),0,VLOOKUP($B20&amp;"; "&amp;$Q$11&amp;", "&amp;H$12,'FE Energie'!$G:$U,10,FALSE))</f>
        <v>0</v>
      </c>
      <c r="AF20" s="565">
        <f>$G20*IF(ISNA(VLOOKUP($B20&amp;"; "&amp;$H$11&amp;", "&amp;I$12,'FE Energie'!$G:$U,10,FALSE)),0,VLOOKUP($B20&amp;"; "&amp;$H$11&amp;", "&amp;I$12,'FE Energie'!$G:$U,10,FALSE))
+$J20*IF(ISNA(VLOOKUP($B20&amp;"; "&amp;$K$11&amp;", "&amp;I$12,'FE Energie'!$G:$U,10,FALSE)),0,VLOOKUP($B20&amp;"; "&amp;$K$11&amp;", "&amp;I$12,'FE Energie'!$G:$U,10,FALSE))
+$M20*IF(ISNA(VLOOKUP($B20&amp;"; "&amp;$N$11&amp;", "&amp;I$12,'FE Energie'!$G:$U,10,FALSE)),0,VLOOKUP($B20&amp;"; "&amp;$N$11&amp;", "&amp;I$12,'FE Energie'!$G:$U,10,FALSE))
+$P20*IF(ISNA(VLOOKUP($B20&amp;"; "&amp;$Q$11&amp;", "&amp;I$12,'FE Energie'!$G:$U,10,FALSE)),0,VLOOKUP($B20&amp;"; "&amp;$Q$11&amp;", "&amp;I$12,'FE Energie'!$G:$U,10,FALSE))</f>
        <v>0</v>
      </c>
      <c r="AG20" s="565"/>
      <c r="AH20" s="565"/>
      <c r="AI20" s="565">
        <f>$G20*IF(ISNA((VLOOKUP($B20&amp;"; "&amp;$H$11&amp;", "&amp;H$12,'FE Energie'!$G:$U,12,FALSE)+VLOOKUP($B20&amp;"; "&amp;$H$11&amp;", "&amp;H$12,'FE Energie'!$G:$U,11,FALSE))),0,(VLOOKUP($B20&amp;"; "&amp;$H$11&amp;", "&amp;H$12,'FE Energie'!$G:$U,12,FALSE)+VLOOKUP($B20&amp;"; "&amp;$H$11&amp;", "&amp;H$12,'FE Energie'!$G:$U,11,FALSE)))
+$J20*IF(ISNA((VLOOKUP($B20&amp;"; "&amp;$K$11&amp;", "&amp;H$12,'FE Energie'!$G:$U,12,FALSE)+VLOOKUP($B20&amp;"; "&amp;$K$11&amp;", "&amp;H$12,'FE Energie'!$G:$U,11,FALSE))),0,(VLOOKUP($B20&amp;"; "&amp;$K$11&amp;", "&amp;H$12,'FE Energie'!$G:$U,12,FALSE)+VLOOKUP($B20&amp;"; "&amp;$K$11&amp;", "&amp;H$12,'FE Energie'!$G:$U,11,FALSE)))
+$M20*IF(ISNA((VLOOKUP($B20&amp;"; "&amp;$N$11&amp;", "&amp;H$12,'FE Energie'!$G:$U,12,FALSE)+VLOOKUP($B20&amp;"; "&amp;$N$11&amp;", "&amp;H$12,'FE Energie'!$G:$U,11,FALSE))),0,(VLOOKUP($B20&amp;"; "&amp;$N$11&amp;", "&amp;H$12,'FE Energie'!$G:$U,12,FALSE)+VLOOKUP($B20&amp;"; "&amp;$N$11&amp;", "&amp;H$12,'FE Energie'!$G:$U,11,FALSE)))
+$P20*IF(ISNA((VLOOKUP($B20&amp;"; "&amp;$Q$11&amp;", "&amp;H$12,'FE Energie'!$G:$U,12,FALSE)+VLOOKUP($B20&amp;"; "&amp;$Q$11&amp;", "&amp;H$12,'FE Energie'!$G:$U,11,FALSE))),0,(VLOOKUP($B20&amp;"; "&amp;$Q$11&amp;", "&amp;H$12,'FE Energie'!$G:$U,12,FALSE)+VLOOKUP($B20&amp;"; "&amp;$Q$11&amp;", "&amp;H$12,'FE Energie'!$G:$U,11,FALSE)))</f>
        <v>0</v>
      </c>
      <c r="AJ20" s="565">
        <f>$G20*IF(ISNA((VLOOKUP($B20&amp;"; "&amp;$H$11&amp;", "&amp;I$12,'FE Energie'!$G:$U,12,FALSE)+VLOOKUP($B20&amp;"; "&amp;$H$11&amp;", "&amp;I$12,'FE Energie'!$G:$U,11,FALSE))),0,(VLOOKUP($B20&amp;"; "&amp;$H$11&amp;", "&amp;I$12,'FE Energie'!$G:$U,12,FALSE)+VLOOKUP($B20&amp;"; "&amp;$H$11&amp;", "&amp;I$12,'FE Energie'!$G:$U,11,FALSE)))
+$J20*IF(ISNA((VLOOKUP($B20&amp;"; "&amp;$K$11&amp;", "&amp;I$12,'FE Energie'!$G:$U,12,FALSE)+VLOOKUP($B20&amp;"; "&amp;$K$11&amp;", "&amp;I$12,'FE Energie'!$G:$U,11,FALSE))),0,(VLOOKUP($B20&amp;"; "&amp;$K$11&amp;", "&amp;I$12,'FE Energie'!$G:$U,12,FALSE)+VLOOKUP($B20&amp;"; "&amp;$K$11&amp;", "&amp;I$12,'FE Energie'!$G:$U,11,FALSE)))
+$M20*IF(ISNA((VLOOKUP($B20&amp;"; "&amp;$N$11&amp;", "&amp;I$12,'FE Energie'!$G:$U,12,FALSE)+VLOOKUP($B20&amp;"; "&amp;$N$11&amp;", "&amp;I$12,'FE Energie'!$G:$U,11,FALSE))),0,(VLOOKUP($B20&amp;"; "&amp;$N$11&amp;", "&amp;I$12,'FE Energie'!$G:$U,12,FALSE)+VLOOKUP($B20&amp;"; "&amp;$N$11&amp;", "&amp;I$12,'FE Energie'!$G:$U,11,FALSE)))
+$P20*IF(ISNA((VLOOKUP($B20&amp;"; "&amp;$Q$11&amp;", "&amp;I$12,'FE Energie'!$G:$U,12,FALSE)+VLOOKUP($B20&amp;"; "&amp;$Q$11&amp;", "&amp;I$12,'FE Energie'!$G:$U,11,FALSE))),0,(VLOOKUP($B20&amp;"; "&amp;$Q$11&amp;", "&amp;I$12,'FE Energie'!$G:$U,12,FALSE)+VLOOKUP($B20&amp;"; "&amp;$Q$11&amp;", "&amp;I$12,'FE Energie'!$G:$U,11,FALSE)))</f>
        <v>0</v>
      </c>
      <c r="AK20" s="565"/>
      <c r="AL20" s="565"/>
      <c r="AM20" s="565">
        <f>$G20*IF(ISNA(VLOOKUP($B20&amp;"; "&amp;$H$11&amp;", "&amp;H$12,'FE Energie'!$G:$U,13,FALSE)),0,VLOOKUP($B20&amp;"; "&amp;$H$11&amp;", "&amp;H$12,'FE Energie'!$G:$U,13,FALSE))
+$J20*IF(ISNA(VLOOKUP($B20&amp;"; "&amp;$K$11&amp;", "&amp;H$12,'FE Energie'!$G:$U,13,FALSE)),0,VLOOKUP($B20&amp;"; "&amp;$K$11&amp;", "&amp;H$12,'FE Energie'!$G:$U,13,FALSE))
+$M20*IF(ISNA(VLOOKUP($B20&amp;"; "&amp;$N$11&amp;", "&amp;H$12,'FE Energie'!$G:$U,13,FALSE)),0,VLOOKUP($B20&amp;"; "&amp;$N$11&amp;", "&amp;H$12,'FE Energie'!$G:$U,13,FALSE))
+$P20*IF(ISNA(VLOOKUP($B20&amp;"; "&amp;$Q$11&amp;", "&amp;H$12,'FE Energie'!$G:$U,13,FALSE)),0,VLOOKUP($B20&amp;"; "&amp;$Q$11&amp;", "&amp;H$12,'FE Energie'!$G:$U,13,FALSE))</f>
        <v>0</v>
      </c>
      <c r="AN20" s="565">
        <f>$G20*IF(ISNA(VLOOKUP($B20&amp;"; "&amp;$H$11&amp;", "&amp;I$12,'FE Energie'!$G:$U,13,FALSE)),0,VLOOKUP($B20&amp;"; "&amp;$H$11&amp;", "&amp;I$12,'FE Energie'!$G:$U,13,FALSE))
+$J20*IF(ISNA(VLOOKUP($B20&amp;"; "&amp;$K$11&amp;", "&amp;I$12,'FE Energie'!$G:$U,13,FALSE)),0,VLOOKUP($B20&amp;"; "&amp;$K$11&amp;", "&amp;I$12,'FE Energie'!$G:$U,13,FALSE))
+$M20*IF(ISNA(VLOOKUP($B20&amp;"; "&amp;$N$11&amp;", "&amp;I$12,'FE Energie'!$G:$U,13,FALSE)),0,VLOOKUP($B20&amp;"; "&amp;$N$11&amp;", "&amp;I$12,'FE Energie'!$G:$U,13,FALSE))
+$P20*IF(ISNA(VLOOKUP($B20&amp;"; "&amp;$Q$11&amp;", "&amp;I$12,'FE Energie'!$G:$U,13,FALSE)),0,VLOOKUP($B20&amp;"; "&amp;$Q$11&amp;", "&amp;I$12,'FE Energie'!$G:$U,13,FALSE))</f>
        <v>0</v>
      </c>
      <c r="AO20" s="565"/>
      <c r="AP20" s="565"/>
      <c r="AQ20" s="565">
        <f>$G20*IF(ISNA(VLOOKUP($B20&amp;"; "&amp;$H$11&amp;", "&amp;H$12,'FE Energie'!$G:$U,14,FALSE)),0,VLOOKUP($B20&amp;"; "&amp;$H$11&amp;", "&amp;H$12,'FE Energie'!$G:$U,14,FALSE))
+$J20*IF(ISNA(VLOOKUP($B20&amp;"; "&amp;$K$11&amp;", "&amp;H$12,'FE Energie'!$G:$U,14,FALSE)),0,VLOOKUP($B20&amp;"; "&amp;$K$11&amp;", "&amp;H$12,'FE Energie'!$G:$U,14,FALSE))
+$M20*IF(ISNA(VLOOKUP($B20&amp;"; "&amp;$N$11&amp;", "&amp;H$12,'FE Energie'!$G:$U,14,FALSE)),0,VLOOKUP($B20&amp;"; "&amp;$N$11&amp;", "&amp;H$12,'FE Energie'!$G:$U,14,FALSE))
+$P20*IF(ISNA(VLOOKUP($B20&amp;"; "&amp;$Q$11&amp;", "&amp;H$12,'FE Energie'!$G:$U,14,FALSE)),0,VLOOKUP($B20&amp;"; "&amp;$Q$11&amp;", "&amp;H$12,'FE Energie'!$G:$U,14,FALSE))</f>
        <v>0</v>
      </c>
      <c r="AR20" s="565">
        <f>$G20*IF(ISNA(VLOOKUP($B20&amp;"; "&amp;$H$11&amp;", "&amp;I$12,'FE Energie'!$G:$U,14,FALSE)),0,VLOOKUP($B20&amp;"; "&amp;$H$11&amp;", "&amp;I$12,'FE Energie'!$G:$U,14,FALSE))
+$J20*IF(ISNA(VLOOKUP($B20&amp;"; "&amp;$K$11&amp;", "&amp;I$12,'FE Energie'!$G:$U,14,FALSE)),0,VLOOKUP($B20&amp;"; "&amp;$K$11&amp;", "&amp;I$12,'FE Energie'!$G:$U,14,FALSE))
+$M20*IF(ISNA(VLOOKUP($B20&amp;"; "&amp;$N$11&amp;", "&amp;I$12,'FE Energie'!$G:$U,14,FALSE)),0,VLOOKUP($B20&amp;"; "&amp;$N$11&amp;", "&amp;I$12,'FE Energie'!$G:$U,14,FALSE))
+$P20*IF(ISNA(VLOOKUP($B20&amp;"; "&amp;$Q$11&amp;", "&amp;I$12,'FE Energie'!$G:$U,14,FALSE)),0,VLOOKUP($B20&amp;"; "&amp;$Q$11&amp;", "&amp;I$12,'FE Energie'!$G:$U,14,FALSE))</f>
        <v>0</v>
      </c>
      <c r="AS20" s="565"/>
      <c r="AT20" s="565"/>
      <c r="AU20" s="1288">
        <f t="shared" si="1"/>
        <v>0</v>
      </c>
      <c r="AV20" s="566">
        <f t="shared" si="2"/>
        <v>0</v>
      </c>
      <c r="AW20" s="566"/>
      <c r="AX20" s="567"/>
      <c r="AY20" s="565">
        <f>$G20*IF(ISNA(VLOOKUP($B20&amp;"; "&amp;$H$11&amp;", "&amp;H$12,'FE Energie'!$G:$U,15,FALSE)),0,VLOOKUP($B20&amp;"; "&amp;$H$11&amp;", "&amp;H$12,'FE Energie'!$G:$U,15,FALSE))
+$J20*IF(ISNA(VLOOKUP($B20&amp;"; "&amp;$K$11&amp;", "&amp;H$12,'FE Energie'!$G:$U,15,FALSE)),0,VLOOKUP($B20&amp;"; "&amp;$K$11&amp;", "&amp;H$12,'FE Energie'!$G:$U,15,FALSE))
+$M20*IF(ISNA(VLOOKUP($B20&amp;"; "&amp;$N$11&amp;", "&amp;H$12,'FE Energie'!$G:$U,15,FALSE)),0,VLOOKUP($B20&amp;"; "&amp;$N$11&amp;", "&amp;H$12,'FE Energie'!$G:$U,15,FALSE))
+$P20*IF(ISNA(VLOOKUP($B20&amp;"; "&amp;$Q$11&amp;", "&amp;H$12,'FE Energie'!$G:$U,15,FALSE)),0,VLOOKUP($B20&amp;"; "&amp;$Q$11&amp;", "&amp;H$12,'FE Energie'!$G:$U,15,FALSE))</f>
        <v>0</v>
      </c>
      <c r="AZ20" s="565">
        <f>$G20*IF(ISNA(VLOOKUP($B20&amp;"; "&amp;$H$11&amp;", "&amp;I$12,'FE Energie'!$G:$U,15,FALSE)),0,VLOOKUP($B20&amp;"; "&amp;$H$11&amp;", "&amp;I$12,'FE Energie'!$G:$U,15,FALSE))
+$J20*IF(ISNA(VLOOKUP($B20&amp;"; "&amp;$K$11&amp;", "&amp;I$12,'FE Energie'!$G:$U,15,FALSE)),0,VLOOKUP($B20&amp;"; "&amp;$K$11&amp;", "&amp;I$12,'FE Energie'!$G:$U,15,FALSE))
+$M20*IF(ISNA(VLOOKUP($B20&amp;"; "&amp;$N$11&amp;", "&amp;I$12,'FE Energie'!$G:$U,15,FALSE)),0,VLOOKUP($B20&amp;"; "&amp;$N$11&amp;", "&amp;I$12,'FE Energie'!$G:$U,15,FALSE))
+$P20*IF(ISNA(VLOOKUP($B20&amp;"; "&amp;$Q$11&amp;", "&amp;I$12,'FE Energie'!$G:$U,15,FALSE)),0,VLOOKUP($B20&amp;"; "&amp;$Q$11&amp;", "&amp;I$12,'FE Energie'!$G:$U,15,FALSE))</f>
        <v>0</v>
      </c>
      <c r="BA20" s="565"/>
      <c r="BB20" s="568"/>
      <c r="BD20" s="1065">
        <f>IF($W20&lt;&gt;"votre valeur :",IF(ISNA(VLOOKUP($W20,Utilitaires!$N$566:$O$571,2,FALSE)),,VLOOKUP($W20,Utilitaires!$N$566:$O$571,2,FALSE)),$X20)</f>
        <v>0</v>
      </c>
      <c r="BE20" s="1066">
        <f>IF($W20&lt;&gt;"votre valeur :",IF(ISNA(VLOOKUP($W20,Utilitaires!$N$566:$O$571,2,FALSE)),,VLOOKUP($W20,Utilitaires!$N$566:$O$571,2,FALSE)),$X20)</f>
        <v>0</v>
      </c>
      <c r="BF20" s="1066">
        <f>IF($W20&lt;&gt;"votre valeur :",IF(ISNA(VLOOKUP($W20,Utilitaires!$N$566:$O$571,2,FALSE)),,VLOOKUP($W20,Utilitaires!$N$566:$O$571,2,FALSE)),$X20)</f>
        <v>0</v>
      </c>
      <c r="BG20" s="1067">
        <f>IF($W20&lt;&gt;"votre valeur :",IF(ISNA(VLOOKUP($W20,Utilitaires!$N$566:$O$571,2,FALSE)),,VLOOKUP($W20,Utilitaires!$N$566:$O$571,2,FALSE)),$X20)</f>
        <v>0</v>
      </c>
      <c r="BH20" s="1068">
        <f>IF(ISNA(SQRT(SUMSQ(VLOOKUP($B20&amp;"; "&amp;$H$11&amp;", "&amp;$H$12,'FE Energie'!$G:$U,7,FALSE),$BD20))),0,SQRT(SUMSQ(VLOOKUP($B20&amp;"; "&amp;$H$11&amp;", "&amp;$H$12,'FE Energie'!$G:$U,7,FALSE),$BD20)))</f>
        <v>0.05</v>
      </c>
      <c r="BI20" s="1068">
        <f>IF(ISNA(SQRT(SUMSQ(VLOOKUP($B20&amp;"; "&amp;$K$11&amp;", "&amp;$K$12,'FE Energie'!$G:$U,7,FALSE),$BE20))),0,SQRT(SUMSQ(VLOOKUP($B20&amp;"; "&amp;$K$11&amp;", "&amp;$K$12,'FE Energie'!$G:$U,7,FALSE),$BE20)))</f>
        <v>0</v>
      </c>
      <c r="BJ20" s="1068">
        <f>IF(ISNA(SQRT(SUMSQ(VLOOKUP($B20&amp;"; "&amp;$N$11&amp;", "&amp;$N$12,'FE Energie'!$G:$U,7,FALSE),$BF20))),0,SQRT(SUMSQ(VLOOKUP($B20&amp;"; "&amp;$N$11&amp;", "&amp;$N$12,'FE Energie'!$G:$U,7,FALSE),$BF20)))</f>
        <v>0</v>
      </c>
      <c r="BK20" s="1068">
        <f>IF(ISNA(SQRT(SUMSQ(VLOOKUP($B20&amp;"; "&amp;$Q$11&amp;", "&amp;$Q$12,'FE Energie'!$G:$U,7,FALSE),$BG20))),0,SQRT(SUMSQ(VLOOKUP($B20&amp;"; "&amp;$Q$11&amp;", "&amp;$Q$12,'FE Energie'!$G:$U,7,FALSE),$BG20)))</f>
        <v>0</v>
      </c>
      <c r="BL20" s="1069">
        <f>IF(ISNA(SQRT(SUMSQ(VLOOKUP($B20&amp;"; "&amp;$H$11&amp;", "&amp;$I$12,'FE Energie'!$G:$U,7,FALSE),$BD20))),0,SQRT(SUMSQ(VLOOKUP($B20&amp;"; "&amp;$H$11&amp;", "&amp;$I$12,'FE Energie'!$G:$U,7,FALSE),$BD20)))</f>
        <v>0.05</v>
      </c>
      <c r="BM20" s="1070">
        <f>IF(ISNA(SQRT(SUMSQ(VLOOKUP($B20&amp;"; "&amp;$K$11&amp;", "&amp;$L$12,'FE Energie'!$G:$U,7,FALSE),$BE20))),0,SQRT(SUMSQ(VLOOKUP($B20&amp;"; "&amp;$K$11&amp;", "&amp;$L$12,'FE Energie'!$G:$U,7,FALSE),$BE20)))</f>
        <v>0</v>
      </c>
      <c r="BN20" s="1070">
        <f>IF(ISNA(SQRT(SUMSQ(VLOOKUP($B20&amp;"; "&amp;$N$11&amp;", "&amp;$O$12,'FE Energie'!$G:$U,7,FALSE),$BF20))),0,SQRT(SUMSQ(VLOOKUP($B20&amp;"; "&amp;$N$11&amp;", "&amp;$O$12,'FE Energie'!$G:$U,7,FALSE),$BF20)))</f>
        <v>0</v>
      </c>
      <c r="BO20" s="1071">
        <f>IF(ISNA(SQRT(SUMSQ(VLOOKUP($B20&amp;"; "&amp;$Q$11&amp;", "&amp;$R$12,'FE Energie'!$G:$U,7,FALSE),$BG20))),0,SQRT(SUMSQ(VLOOKUP($B20&amp;"; "&amp;$Q$11&amp;", "&amp;$R$12,'FE Energie'!$G:$U,7,FALSE),$BG20)))</f>
        <v>0</v>
      </c>
    </row>
    <row r="21" spans="1:67" s="116" customFormat="1" ht="12.75" hidden="1" customHeight="1" outlineLevel="1">
      <c r="A21" s="114"/>
      <c r="B21" s="536" t="s">
        <v>1632</v>
      </c>
      <c r="C21" s="144"/>
      <c r="D21" s="315"/>
      <c r="E21" s="315"/>
      <c r="F21" s="822"/>
      <c r="G21" s="822"/>
      <c r="H21" s="335"/>
      <c r="I21" s="335"/>
      <c r="J21" s="822"/>
      <c r="K21" s="223"/>
      <c r="L21" s="223"/>
      <c r="M21" s="1200"/>
      <c r="N21" s="217"/>
      <c r="O21" s="217"/>
      <c r="P21" s="1200"/>
      <c r="Q21" s="223"/>
      <c r="R21" s="223"/>
      <c r="S21" s="566"/>
      <c r="T21" s="567"/>
      <c r="U21" s="114"/>
      <c r="V21" s="1092"/>
      <c r="W21" s="820"/>
      <c r="X21" s="820"/>
      <c r="Y21" s="164"/>
      <c r="Z21" s="164"/>
      <c r="AA21" s="164"/>
      <c r="AB21" s="164"/>
      <c r="AC21" s="152"/>
      <c r="AD21" s="114"/>
      <c r="AE21" s="564"/>
      <c r="AF21" s="565"/>
      <c r="AG21" s="565"/>
      <c r="AH21" s="565"/>
      <c r="AI21" s="565"/>
      <c r="AJ21" s="565"/>
      <c r="AK21" s="565"/>
      <c r="AL21" s="565"/>
      <c r="AM21" s="565"/>
      <c r="AN21" s="565"/>
      <c r="AO21" s="565"/>
      <c r="AP21" s="565"/>
      <c r="AQ21" s="565"/>
      <c r="AR21" s="565"/>
      <c r="AS21" s="565"/>
      <c r="AT21" s="565"/>
      <c r="AU21" s="1288"/>
      <c r="AV21" s="566"/>
      <c r="AW21" s="566"/>
      <c r="AX21" s="567"/>
      <c r="AY21" s="565"/>
      <c r="AZ21" s="565"/>
      <c r="BA21" s="565"/>
      <c r="BB21" s="568"/>
      <c r="BD21" s="1065"/>
      <c r="BE21" s="1066"/>
      <c r="BF21" s="1066"/>
      <c r="BG21" s="1067"/>
      <c r="BH21" s="1068"/>
      <c r="BI21" s="1068"/>
      <c r="BJ21" s="1068"/>
      <c r="BK21" s="1068"/>
      <c r="BL21" s="1069"/>
      <c r="BM21" s="1070"/>
      <c r="BN21" s="1070"/>
      <c r="BO21" s="1071"/>
    </row>
    <row r="22" spans="1:67" s="116" customFormat="1" ht="12.75" hidden="1" customHeight="1" outlineLevel="1">
      <c r="A22" s="114"/>
      <c r="B22" s="143" t="s">
        <v>1634</v>
      </c>
      <c r="C22" s="144"/>
      <c r="D22" s="315">
        <f t="shared" si="0"/>
        <v>0</v>
      </c>
      <c r="E22" s="315"/>
      <c r="F22" s="847"/>
      <c r="G22" s="343"/>
      <c r="H22" s="335">
        <f>VLOOKUP($B22&amp;"; "&amp;$H$11&amp;", "&amp;H$12,'FE Energie'!$G:$U,9,FALSE)</f>
        <v>0.28399999999999997</v>
      </c>
      <c r="I22" s="335">
        <f>VLOOKUP($B22&amp;"; "&amp;$H$11&amp;", "&amp;I$12,'FE Energie'!$G:$U,9,FALSE)</f>
        <v>3.07</v>
      </c>
      <c r="J22" s="343"/>
      <c r="K22" s="223">
        <f>VLOOKUP($B22&amp;"; "&amp;$K$11&amp;", "&amp;K$12,'FE Energie'!$G:$U,9,FALSE)</f>
        <v>3.1899999999999998E-2</v>
      </c>
      <c r="L22" s="223">
        <f>VLOOKUP($B22&amp;"; "&amp;$K$11&amp;", "&amp;L$12,'FE Energie'!$G:$U,9,FALSE)</f>
        <v>0.34499999999999997</v>
      </c>
      <c r="M22" s="1085"/>
      <c r="N22" s="217">
        <f>VLOOKUP($B22&amp;"; "&amp;$N$11&amp;", "&amp;N$12,'FE Energie'!$G:$U,9,FALSE)</f>
        <v>372</v>
      </c>
      <c r="O22" s="217">
        <f>VLOOKUP($B22&amp;"; "&amp;$N$11&amp;", "&amp;O$12,'FE Energie'!$G:$U,9,FALSE)</f>
        <v>4020</v>
      </c>
      <c r="P22" s="1085"/>
      <c r="Q22" s="223" t="e">
        <f>VLOOKUP($B22&amp;"; "&amp;$Q$11&amp;", "&amp;Q$12,'FE Energie'!$G:$U,9,FALSE)</f>
        <v>#N/A</v>
      </c>
      <c r="R22" s="223" t="e">
        <f>VLOOKUP($B22&amp;"; "&amp;$Q$11&amp;", "&amp;R$12,'FE Energie'!$G:$U,9,FALSE)</f>
        <v>#N/A</v>
      </c>
      <c r="S22" s="566">
        <f>IF(ISNA(G22*H22),0,G22*H22)+IF(ISNA(J22*K22),0,J22*K22)+IF(ISNA(M22*N22),0,M22*N22)+IF(ISNA(P22*Q22),0,P22*Q22)</f>
        <v>0</v>
      </c>
      <c r="T22" s="567">
        <f>IF(ISNA(G22*I22),0,G22*I22)+IF(ISNA(J22*L22),0,J22*L22)+IF(ISNA(M22*O22),0,M22*O22)+IF(ISNA(P22*R22),0,P22*R22)</f>
        <v>0</v>
      </c>
      <c r="U22" s="114"/>
      <c r="V22" s="1092">
        <f>IF(AC22=0,AC22,AC22/(S22+T22))</f>
        <v>0</v>
      </c>
      <c r="W22" s="343"/>
      <c r="X22" s="820"/>
      <c r="Y22" s="164">
        <f>SQRT(SUMSQ(IF(ISNA($G22*H22*BH22),0,$G22*H22*BH22),IF(ISNA($J22*K22*BI22),0,$J22*K22*BI22),IF(ISNA($M22*N22*BJ22),0,$M22*N22*BJ22),IF(ISNA($P22*Q22*BK22),0,$P22*Q22*BK22)))</f>
        <v>0</v>
      </c>
      <c r="Z22" s="164">
        <f>SQRT(SUMSQ(IF(ISNA($G22*I22*BL22),0,$G22*I22*BL22),IF(ISNA($J22*L22*BM22),0,$J22*L22*BM22),IF(ISNA($M22*O22*BN22),0,$M22*O22*BN22),IF(ISNA($P22*R22*BO22),0,$P22*R22*BO22)))</f>
        <v>0</v>
      </c>
      <c r="AA22" s="164"/>
      <c r="AB22" s="164"/>
      <c r="AC22" s="152">
        <f>SQRT(SUMSQ(Y22,Z22))</f>
        <v>0</v>
      </c>
      <c r="AD22" s="114"/>
      <c r="AE22" s="564">
        <f>$G22*IF(ISNA(VLOOKUP($B22&amp;"; "&amp;$H$11&amp;", "&amp;H$12,'FE Energie'!$G:$U,10,FALSE)),0,VLOOKUP($B22&amp;"; "&amp;$H$11&amp;", "&amp;H$12,'FE Energie'!$G:$U,10,FALSE))
+$J22*IF(ISNA(VLOOKUP($B22&amp;"; "&amp;$K$11&amp;", "&amp;H$12,'FE Energie'!$G:$U,10,FALSE)),0,VLOOKUP($B22&amp;"; "&amp;$K$11&amp;", "&amp;H$12,'FE Energie'!$G:$U,10,FALSE))
+$M22*IF(ISNA(VLOOKUP($B22&amp;"; "&amp;$N$11&amp;", "&amp;H$12,'FE Energie'!$G:$U,10,FALSE)),0,VLOOKUP($B22&amp;"; "&amp;$N$11&amp;", "&amp;H$12,'FE Energie'!$G:$U,10,FALSE))
+$P22*IF(ISNA(VLOOKUP($B22&amp;"; "&amp;$Q$11&amp;", "&amp;H$12,'FE Energie'!$G:$U,10,FALSE)),0,VLOOKUP($B22&amp;"; "&amp;$Q$11&amp;", "&amp;H$12,'FE Energie'!$G:$U,10,FALSE))</f>
        <v>0</v>
      </c>
      <c r="AF22" s="565">
        <f>$G22*IF(ISNA(VLOOKUP($B22&amp;"; "&amp;$H$11&amp;", "&amp;I$12,'FE Energie'!$G:$U,10,FALSE)),0,VLOOKUP($B22&amp;"; "&amp;$H$11&amp;", "&amp;I$12,'FE Energie'!$G:$U,10,FALSE))
+$J22*IF(ISNA(VLOOKUP($B22&amp;"; "&amp;$K$11&amp;", "&amp;I$12,'FE Energie'!$G:$U,10,FALSE)),0,VLOOKUP($B22&amp;"; "&amp;$K$11&amp;", "&amp;I$12,'FE Energie'!$G:$U,10,FALSE))
+$M22*IF(ISNA(VLOOKUP($B22&amp;"; "&amp;$N$11&amp;", "&amp;I$12,'FE Energie'!$G:$U,10,FALSE)),0,VLOOKUP($B22&amp;"; "&amp;$N$11&amp;", "&amp;I$12,'FE Energie'!$G:$U,10,FALSE))
+$P22*IF(ISNA(VLOOKUP($B22&amp;"; "&amp;$Q$11&amp;", "&amp;I$12,'FE Energie'!$G:$U,10,FALSE)),0,VLOOKUP($B22&amp;"; "&amp;$Q$11&amp;", "&amp;I$12,'FE Energie'!$G:$U,10,FALSE))</f>
        <v>0</v>
      </c>
      <c r="AG22" s="565"/>
      <c r="AH22" s="565"/>
      <c r="AI22" s="565">
        <f>$G22*IF(ISNA((VLOOKUP($B22&amp;"; "&amp;$H$11&amp;", "&amp;H$12,'FE Energie'!$G:$U,12,FALSE)+VLOOKUP($B22&amp;"; "&amp;$H$11&amp;", "&amp;H$12,'FE Energie'!$G:$U,11,FALSE))),0,(VLOOKUP($B22&amp;"; "&amp;$H$11&amp;", "&amp;H$12,'FE Energie'!$G:$U,12,FALSE)+VLOOKUP($B22&amp;"; "&amp;$H$11&amp;", "&amp;H$12,'FE Energie'!$G:$U,11,FALSE)))
+$J22*IF(ISNA((VLOOKUP($B22&amp;"; "&amp;$K$11&amp;", "&amp;H$12,'FE Energie'!$G:$U,12,FALSE)+VLOOKUP($B22&amp;"; "&amp;$K$11&amp;", "&amp;H$12,'FE Energie'!$G:$U,11,FALSE))),0,(VLOOKUP($B22&amp;"; "&amp;$K$11&amp;", "&amp;H$12,'FE Energie'!$G:$U,12,FALSE)+VLOOKUP($B22&amp;"; "&amp;$K$11&amp;", "&amp;H$12,'FE Energie'!$G:$U,11,FALSE)))
+$M22*IF(ISNA((VLOOKUP($B22&amp;"; "&amp;$N$11&amp;", "&amp;H$12,'FE Energie'!$G:$U,12,FALSE)+VLOOKUP($B22&amp;"; "&amp;$N$11&amp;", "&amp;H$12,'FE Energie'!$G:$U,11,FALSE))),0,(VLOOKUP($B22&amp;"; "&amp;$N$11&amp;", "&amp;H$12,'FE Energie'!$G:$U,12,FALSE)+VLOOKUP($B22&amp;"; "&amp;$N$11&amp;", "&amp;H$12,'FE Energie'!$G:$U,11,FALSE)))
+$P22*IF(ISNA((VLOOKUP($B22&amp;"; "&amp;$Q$11&amp;", "&amp;H$12,'FE Energie'!$G:$U,12,FALSE)+VLOOKUP($B22&amp;"; "&amp;$Q$11&amp;", "&amp;H$12,'FE Energie'!$G:$U,11,FALSE))),0,(VLOOKUP($B22&amp;"; "&amp;$Q$11&amp;", "&amp;H$12,'FE Energie'!$G:$U,12,FALSE)+VLOOKUP($B22&amp;"; "&amp;$Q$11&amp;", "&amp;H$12,'FE Energie'!$G:$U,11,FALSE)))</f>
        <v>0</v>
      </c>
      <c r="AJ22" s="565">
        <f>$G22*IF(ISNA((VLOOKUP($B22&amp;"; "&amp;$H$11&amp;", "&amp;I$12,'FE Energie'!$G:$U,12,FALSE)+VLOOKUP($B22&amp;"; "&amp;$H$11&amp;", "&amp;I$12,'FE Energie'!$G:$U,11,FALSE))),0,(VLOOKUP($B22&amp;"; "&amp;$H$11&amp;", "&amp;I$12,'FE Energie'!$G:$U,12,FALSE)+VLOOKUP($B22&amp;"; "&amp;$H$11&amp;", "&amp;I$12,'FE Energie'!$G:$U,11,FALSE)))
+$J22*IF(ISNA((VLOOKUP($B22&amp;"; "&amp;$K$11&amp;", "&amp;I$12,'FE Energie'!$G:$U,12,FALSE)+VLOOKUP($B22&amp;"; "&amp;$K$11&amp;", "&amp;I$12,'FE Energie'!$G:$U,11,FALSE))),0,(VLOOKUP($B22&amp;"; "&amp;$K$11&amp;", "&amp;I$12,'FE Energie'!$G:$U,12,FALSE)+VLOOKUP($B22&amp;"; "&amp;$K$11&amp;", "&amp;I$12,'FE Energie'!$G:$U,11,FALSE)))
+$M22*IF(ISNA((VLOOKUP($B22&amp;"; "&amp;$N$11&amp;", "&amp;I$12,'FE Energie'!$G:$U,12,FALSE)+VLOOKUP($B22&amp;"; "&amp;$N$11&amp;", "&amp;I$12,'FE Energie'!$G:$U,11,FALSE))),0,(VLOOKUP($B22&amp;"; "&amp;$N$11&amp;", "&amp;I$12,'FE Energie'!$G:$U,12,FALSE)+VLOOKUP($B22&amp;"; "&amp;$N$11&amp;", "&amp;I$12,'FE Energie'!$G:$U,11,FALSE)))
+$P22*IF(ISNA((VLOOKUP($B22&amp;"; "&amp;$Q$11&amp;", "&amp;I$12,'FE Energie'!$G:$U,12,FALSE)+VLOOKUP($B22&amp;"; "&amp;$Q$11&amp;", "&amp;I$12,'FE Energie'!$G:$U,11,FALSE))),0,(VLOOKUP($B22&amp;"; "&amp;$Q$11&amp;", "&amp;I$12,'FE Energie'!$G:$U,12,FALSE)+VLOOKUP($B22&amp;"; "&amp;$Q$11&amp;", "&amp;I$12,'FE Energie'!$G:$U,11,FALSE)))</f>
        <v>0</v>
      </c>
      <c r="AK22" s="565"/>
      <c r="AL22" s="565"/>
      <c r="AM22" s="565">
        <f>$G22*IF(ISNA(VLOOKUP($B22&amp;"; "&amp;$H$11&amp;", "&amp;H$12,'FE Energie'!$G:$U,13,FALSE)),0,VLOOKUP($B22&amp;"; "&amp;$H$11&amp;", "&amp;H$12,'FE Energie'!$G:$U,13,FALSE))
+$J22*IF(ISNA(VLOOKUP($B22&amp;"; "&amp;$K$11&amp;", "&amp;H$12,'FE Energie'!$G:$U,13,FALSE)),0,VLOOKUP($B22&amp;"; "&amp;$K$11&amp;", "&amp;H$12,'FE Energie'!$G:$U,13,FALSE))
+$M22*IF(ISNA(VLOOKUP($B22&amp;"; "&amp;$N$11&amp;", "&amp;H$12,'FE Energie'!$G:$U,13,FALSE)),0,VLOOKUP($B22&amp;"; "&amp;$N$11&amp;", "&amp;H$12,'FE Energie'!$G:$U,13,FALSE))
+$P22*IF(ISNA(VLOOKUP($B22&amp;"; "&amp;$Q$11&amp;", "&amp;H$12,'FE Energie'!$G:$U,13,FALSE)),0,VLOOKUP($B22&amp;"; "&amp;$Q$11&amp;", "&amp;H$12,'FE Energie'!$G:$U,13,FALSE))</f>
        <v>0</v>
      </c>
      <c r="AN22" s="565">
        <f>$G22*IF(ISNA(VLOOKUP($B22&amp;"; "&amp;$H$11&amp;", "&amp;I$12,'FE Energie'!$G:$U,13,FALSE)),0,VLOOKUP($B22&amp;"; "&amp;$H$11&amp;", "&amp;I$12,'FE Energie'!$G:$U,13,FALSE))
+$J22*IF(ISNA(VLOOKUP($B22&amp;"; "&amp;$K$11&amp;", "&amp;I$12,'FE Energie'!$G:$U,13,FALSE)),0,VLOOKUP($B22&amp;"; "&amp;$K$11&amp;", "&amp;I$12,'FE Energie'!$G:$U,13,FALSE))
+$M22*IF(ISNA(VLOOKUP($B22&amp;"; "&amp;$N$11&amp;", "&amp;I$12,'FE Energie'!$G:$U,13,FALSE)),0,VLOOKUP($B22&amp;"; "&amp;$N$11&amp;", "&amp;I$12,'FE Energie'!$G:$U,13,FALSE))
+$P22*IF(ISNA(VLOOKUP($B22&amp;"; "&amp;$Q$11&amp;", "&amp;I$12,'FE Energie'!$G:$U,13,FALSE)),0,VLOOKUP($B22&amp;"; "&amp;$Q$11&amp;", "&amp;I$12,'FE Energie'!$G:$U,13,FALSE))</f>
        <v>0</v>
      </c>
      <c r="AO22" s="565"/>
      <c r="AP22" s="565"/>
      <c r="AQ22" s="565">
        <f>$G22*IF(ISNA(VLOOKUP($B22&amp;"; "&amp;$H$11&amp;", "&amp;H$12,'FE Energie'!$G:$U,14,FALSE)),0,VLOOKUP($B22&amp;"; "&amp;$H$11&amp;", "&amp;H$12,'FE Energie'!$G:$U,14,FALSE))
+$J22*IF(ISNA(VLOOKUP($B22&amp;"; "&amp;$K$11&amp;", "&amp;H$12,'FE Energie'!$G:$U,14,FALSE)),0,VLOOKUP($B22&amp;"; "&amp;$K$11&amp;", "&amp;H$12,'FE Energie'!$G:$U,14,FALSE))
+$M22*IF(ISNA(VLOOKUP($B22&amp;"; "&amp;$N$11&amp;", "&amp;H$12,'FE Energie'!$G:$U,14,FALSE)),0,VLOOKUP($B22&amp;"; "&amp;$N$11&amp;", "&amp;H$12,'FE Energie'!$G:$U,14,FALSE))
+$P22*IF(ISNA(VLOOKUP($B22&amp;"; "&amp;$Q$11&amp;", "&amp;H$12,'FE Energie'!$G:$U,14,FALSE)),0,VLOOKUP($B22&amp;"; "&amp;$Q$11&amp;", "&amp;H$12,'FE Energie'!$G:$U,14,FALSE))</f>
        <v>0</v>
      </c>
      <c r="AR22" s="565">
        <f>$G22*IF(ISNA(VLOOKUP($B22&amp;"; "&amp;$H$11&amp;", "&amp;I$12,'FE Energie'!$G:$U,14,FALSE)),0,VLOOKUP($B22&amp;"; "&amp;$H$11&amp;", "&amp;I$12,'FE Energie'!$G:$U,14,FALSE))
+$J22*IF(ISNA(VLOOKUP($B22&amp;"; "&amp;$K$11&amp;", "&amp;I$12,'FE Energie'!$G:$U,14,FALSE)),0,VLOOKUP($B22&amp;"; "&amp;$K$11&amp;", "&amp;I$12,'FE Energie'!$G:$U,14,FALSE))
+$M22*IF(ISNA(VLOOKUP($B22&amp;"; "&amp;$N$11&amp;", "&amp;I$12,'FE Energie'!$G:$U,14,FALSE)),0,VLOOKUP($B22&amp;"; "&amp;$N$11&amp;", "&amp;I$12,'FE Energie'!$G:$U,14,FALSE))
+$P22*IF(ISNA(VLOOKUP($B22&amp;"; "&amp;$Q$11&amp;", "&amp;I$12,'FE Energie'!$G:$U,14,FALSE)),0,VLOOKUP($B22&amp;"; "&amp;$Q$11&amp;", "&amp;I$12,'FE Energie'!$G:$U,14,FALSE))</f>
        <v>0</v>
      </c>
      <c r="AS22" s="565"/>
      <c r="AT22" s="565"/>
      <c r="AU22" s="1288">
        <f t="shared" si="1"/>
        <v>0</v>
      </c>
      <c r="AV22" s="566">
        <f t="shared" si="2"/>
        <v>0</v>
      </c>
      <c r="AW22" s="566"/>
      <c r="AX22" s="567"/>
      <c r="AY22" s="565">
        <f>$G22*IF(ISNA(VLOOKUP($B22&amp;"; "&amp;$H$11&amp;", "&amp;H$12,'FE Energie'!$G:$U,15,FALSE)),0,VLOOKUP($B22&amp;"; "&amp;$H$11&amp;", "&amp;H$12,'FE Energie'!$G:$U,15,FALSE))
+$J22*IF(ISNA(VLOOKUP($B22&amp;"; "&amp;$K$11&amp;", "&amp;H$12,'FE Energie'!$G:$U,15,FALSE)),0,VLOOKUP($B22&amp;"; "&amp;$K$11&amp;", "&amp;H$12,'FE Energie'!$G:$U,15,FALSE))
+$M22*IF(ISNA(VLOOKUP($B22&amp;"; "&amp;$N$11&amp;", "&amp;H$12,'FE Energie'!$G:$U,15,FALSE)),0,VLOOKUP($B22&amp;"; "&amp;$N$11&amp;", "&amp;H$12,'FE Energie'!$G:$U,15,FALSE))
+$P22*IF(ISNA(VLOOKUP($B22&amp;"; "&amp;$Q$11&amp;", "&amp;H$12,'FE Energie'!$G:$U,15,FALSE)),0,VLOOKUP($B22&amp;"; "&amp;$Q$11&amp;", "&amp;H$12,'FE Energie'!$G:$U,15,FALSE))</f>
        <v>0</v>
      </c>
      <c r="AZ22" s="565">
        <f>$G22*IF(ISNA(VLOOKUP($B22&amp;"; "&amp;$H$11&amp;", "&amp;I$12,'FE Energie'!$G:$U,15,FALSE)),0,VLOOKUP($B22&amp;"; "&amp;$H$11&amp;", "&amp;I$12,'FE Energie'!$G:$U,15,FALSE))
+$J22*IF(ISNA(VLOOKUP($B22&amp;"; "&amp;$K$11&amp;", "&amp;I$12,'FE Energie'!$G:$U,15,FALSE)),0,VLOOKUP($B22&amp;"; "&amp;$K$11&amp;", "&amp;I$12,'FE Energie'!$G:$U,15,FALSE))
+$M22*IF(ISNA(VLOOKUP($B22&amp;"; "&amp;$N$11&amp;", "&amp;I$12,'FE Energie'!$G:$U,15,FALSE)),0,VLOOKUP($B22&amp;"; "&amp;$N$11&amp;", "&amp;I$12,'FE Energie'!$G:$U,15,FALSE))
+$P22*IF(ISNA(VLOOKUP($B22&amp;"; "&amp;$Q$11&amp;", "&amp;I$12,'FE Energie'!$G:$U,15,FALSE)),0,VLOOKUP($B22&amp;"; "&amp;$Q$11&amp;", "&amp;I$12,'FE Energie'!$G:$U,15,FALSE))</f>
        <v>0</v>
      </c>
      <c r="BA22" s="565"/>
      <c r="BB22" s="568"/>
      <c r="BD22" s="1065">
        <f>IF($W22&lt;&gt;"votre valeur :",IF(ISNA(VLOOKUP($W22,Utilitaires!$N$566:$O$571,2,FALSE)),,VLOOKUP($W22,Utilitaires!$N$566:$O$571,2,FALSE)),$X22)</f>
        <v>0</v>
      </c>
      <c r="BE22" s="1066">
        <f>IF($W22&lt;&gt;"votre valeur :",IF(ISNA(VLOOKUP($W22,Utilitaires!$N$566:$O$571,2,FALSE)),,VLOOKUP($W22,Utilitaires!$N$566:$O$571,2,FALSE)),$X22)</f>
        <v>0</v>
      </c>
      <c r="BF22" s="1066">
        <f>IF($W22&lt;&gt;"votre valeur :",IF(ISNA(VLOOKUP($W22,Utilitaires!$N$566:$O$571,2,FALSE)),,VLOOKUP($W22,Utilitaires!$N$566:$O$571,2,FALSE)),$X22)</f>
        <v>0</v>
      </c>
      <c r="BG22" s="1067">
        <f>IF($W22&lt;&gt;"votre valeur :",IF(ISNA(VLOOKUP($W22,Utilitaires!$N$566:$O$571,2,FALSE)),,VLOOKUP($W22,Utilitaires!$N$566:$O$571,2,FALSE)),$X22)</f>
        <v>0</v>
      </c>
      <c r="BH22" s="1068">
        <f>IF(ISNA(SQRT(SUMSQ(VLOOKUP($B22&amp;"; "&amp;$H$11&amp;", "&amp;$H$12,'FE Energie'!$G:$U,7,FALSE),$BD22))),0,SQRT(SUMSQ(VLOOKUP($B22&amp;"; "&amp;$H$11&amp;", "&amp;$H$12,'FE Energie'!$G:$U,7,FALSE),$BD22)))</f>
        <v>0.2</v>
      </c>
      <c r="BI22" s="1068">
        <f>IF(ISNA(SQRT(SUMSQ(VLOOKUP($B22&amp;"; "&amp;$K$11&amp;", "&amp;$K$12,'FE Energie'!$G:$U,7,FALSE),$BE22))),0,SQRT(SUMSQ(VLOOKUP($B22&amp;"; "&amp;$K$11&amp;", "&amp;$K$12,'FE Energie'!$G:$U,7,FALSE),$BE22)))</f>
        <v>0.2</v>
      </c>
      <c r="BJ22" s="1068">
        <f>IF(ISNA(SQRT(SUMSQ(VLOOKUP($B22&amp;"; "&amp;$N$11&amp;", "&amp;$N$12,'FE Energie'!$G:$U,7,FALSE),$BF22))),0,SQRT(SUMSQ(VLOOKUP($B22&amp;"; "&amp;$N$11&amp;", "&amp;$N$12,'FE Energie'!$G:$U,7,FALSE),$BF22)))</f>
        <v>0.2</v>
      </c>
      <c r="BK22" s="1068">
        <f>IF(ISNA(SQRT(SUMSQ(VLOOKUP($B22&amp;"; "&amp;$Q$11&amp;", "&amp;$Q$12,'FE Energie'!$G:$U,7,FALSE),$BG22))),0,SQRT(SUMSQ(VLOOKUP($B22&amp;"; "&amp;$Q$11&amp;", "&amp;$Q$12,'FE Energie'!$G:$U,7,FALSE),$BG22)))</f>
        <v>0</v>
      </c>
      <c r="BL22" s="1069">
        <f>IF(ISNA(SQRT(SUMSQ(VLOOKUP($B22&amp;"; "&amp;$H$11&amp;", "&amp;$I$12,'FE Energie'!$G:$U,7,FALSE),$BD22))),0,SQRT(SUMSQ(VLOOKUP($B22&amp;"; "&amp;$H$11&amp;", "&amp;$I$12,'FE Energie'!$G:$U,7,FALSE),$BD22)))</f>
        <v>0.2</v>
      </c>
      <c r="BM22" s="1070">
        <f>IF(ISNA(SQRT(SUMSQ(VLOOKUP($B22&amp;"; "&amp;$K$11&amp;", "&amp;$L$12,'FE Energie'!$G:$U,7,FALSE),$BE22))),0,SQRT(SUMSQ(VLOOKUP($B22&amp;"; "&amp;$K$11&amp;", "&amp;$L$12,'FE Energie'!$G:$U,7,FALSE),$BE22)))</f>
        <v>0.2</v>
      </c>
      <c r="BN22" s="1070">
        <f>IF(ISNA(SQRT(SUMSQ(VLOOKUP($B22&amp;"; "&amp;$N$11&amp;", "&amp;$O$12,'FE Energie'!$G:$U,7,FALSE),$BF22))),0,SQRT(SUMSQ(VLOOKUP($B22&amp;"; "&amp;$N$11&amp;", "&amp;$O$12,'FE Energie'!$G:$U,7,FALSE),$BF22)))</f>
        <v>0.2</v>
      </c>
      <c r="BO22" s="1071">
        <f>IF(ISNA(SQRT(SUMSQ(VLOOKUP($B22&amp;"; "&amp;$Q$11&amp;", "&amp;$R$12,'FE Energie'!$G:$U,7,FALSE),$BG22))),0,SQRT(SUMSQ(VLOOKUP($B22&amp;"; "&amp;$Q$11&amp;", "&amp;$R$12,'FE Energie'!$G:$U,7,FALSE),$BG22)))</f>
        <v>0</v>
      </c>
    </row>
    <row r="23" spans="1:67" s="116" customFormat="1" ht="12.75" hidden="1" customHeight="1" outlineLevel="1">
      <c r="A23" s="114"/>
      <c r="B23" s="143" t="s">
        <v>1635</v>
      </c>
      <c r="C23" s="144"/>
      <c r="D23" s="315">
        <f t="shared" si="0"/>
        <v>0</v>
      </c>
      <c r="E23" s="315"/>
      <c r="F23" s="849"/>
      <c r="G23" s="345"/>
      <c r="H23" s="335">
        <f>VLOOKUP($B23&amp;"; "&amp;$H$11&amp;", "&amp;H$12,'FE Energie'!$G:$U,9,FALSE)</f>
        <v>0.10299999999999999</v>
      </c>
      <c r="I23" s="335">
        <f>VLOOKUP($B23&amp;"; "&amp;$H$11&amp;", "&amp;I$12,'FE Energie'!$G:$U,9,FALSE)</f>
        <v>1.28</v>
      </c>
      <c r="J23" s="345"/>
      <c r="K23" s="223">
        <f>VLOOKUP($B23&amp;"; "&amp;$K$11&amp;", "&amp;K$12,'FE Energie'!$G:$U,9,FALSE)</f>
        <v>3.1899999999999998E-2</v>
      </c>
      <c r="L23" s="223">
        <f>VLOOKUP($B23&amp;"; "&amp;$K$11&amp;", "&amp;L$12,'FE Energie'!$G:$U,9,FALSE)</f>
        <v>0.39800000000000002</v>
      </c>
      <c r="M23" s="1086"/>
      <c r="N23" s="217">
        <f>VLOOKUP($B23&amp;"; "&amp;$N$11&amp;", "&amp;N$12,'FE Energie'!$G:$U,9,FALSE)</f>
        <v>373</v>
      </c>
      <c r="O23" s="217">
        <f>VLOOKUP($B23&amp;"; "&amp;$N$11&amp;", "&amp;O$12,'FE Energie'!$G:$U,9,FALSE)</f>
        <v>4640</v>
      </c>
      <c r="P23" s="1086"/>
      <c r="Q23" s="223" t="e">
        <f>VLOOKUP($B23&amp;"; "&amp;$Q$11&amp;", "&amp;Q$12,'FE Energie'!$G:$U,9,FALSE)</f>
        <v>#N/A</v>
      </c>
      <c r="R23" s="223" t="e">
        <f>VLOOKUP($B23&amp;"; "&amp;$Q$11&amp;", "&amp;R$12,'FE Energie'!$G:$U,9,FALSE)</f>
        <v>#N/A</v>
      </c>
      <c r="S23" s="566">
        <f>IF(ISNA(G23*H23),0,G23*H23)+IF(ISNA(J23*K23),0,J23*K23)+IF(ISNA(M23*N23),0,M23*N23)+IF(ISNA(P23*Q23),0,P23*Q23)</f>
        <v>0</v>
      </c>
      <c r="T23" s="567">
        <f>IF(ISNA(G23*I23),0,G23*I23)+IF(ISNA(J23*L23),0,J23*L23)+IF(ISNA(M23*O23),0,M23*O23)+IF(ISNA(P23*R23),0,P23*R23)</f>
        <v>0</v>
      </c>
      <c r="U23" s="114"/>
      <c r="V23" s="1092">
        <f>IF(AC23=0,AC23,AC23/(S23+T23))</f>
        <v>0</v>
      </c>
      <c r="W23" s="345"/>
      <c r="X23" s="820"/>
      <c r="Y23" s="164">
        <f>SQRT(SUMSQ(IF(ISNA($G23*H23*BH23),0,$G23*H23*BH23),IF(ISNA($J23*K23*BI23),0,$J23*K23*BI23),IF(ISNA($M23*N23*BJ23),0,$M23*N23*BJ23),IF(ISNA($P23*Q23*BK23),0,$P23*Q23*BK23)))</f>
        <v>0</v>
      </c>
      <c r="Z23" s="164">
        <f>SQRT(SUMSQ(IF(ISNA($G23*I23*BL23),0,$G23*I23*BL23),IF(ISNA($J23*L23*BM23),0,$J23*L23*BM23),IF(ISNA($M23*O23*BN23),0,$M23*O23*BN23),IF(ISNA($P23*R23*BO23),0,$P23*R23*BO23)))</f>
        <v>0</v>
      </c>
      <c r="AA23" s="164"/>
      <c r="AB23" s="164"/>
      <c r="AC23" s="152">
        <f>SQRT(SUMSQ(Y23,Z23))</f>
        <v>0</v>
      </c>
      <c r="AD23" s="114"/>
      <c r="AE23" s="564">
        <f>$G23*IF(ISNA(VLOOKUP($B23&amp;"; "&amp;$H$11&amp;", "&amp;H$12,'FE Energie'!$G:$U,10,FALSE)),0,VLOOKUP($B23&amp;"; "&amp;$H$11&amp;", "&amp;H$12,'FE Energie'!$G:$U,10,FALSE))
+$J23*IF(ISNA(VLOOKUP($B23&amp;"; "&amp;$K$11&amp;", "&amp;H$12,'FE Energie'!$G:$U,10,FALSE)),0,VLOOKUP($B23&amp;"; "&amp;$K$11&amp;", "&amp;H$12,'FE Energie'!$G:$U,10,FALSE))
+$M23*IF(ISNA(VLOOKUP($B23&amp;"; "&amp;$N$11&amp;", "&amp;H$12,'FE Energie'!$G:$U,10,FALSE)),0,VLOOKUP($B23&amp;"; "&amp;$N$11&amp;", "&amp;H$12,'FE Energie'!$G:$U,10,FALSE))
+$P23*IF(ISNA(VLOOKUP($B23&amp;"; "&amp;$Q$11&amp;", "&amp;H$12,'FE Energie'!$G:$U,10,FALSE)),0,VLOOKUP($B23&amp;"; "&amp;$Q$11&amp;", "&amp;H$12,'FE Energie'!$G:$U,10,FALSE))</f>
        <v>0</v>
      </c>
      <c r="AF23" s="565">
        <f>$G23*IF(ISNA(VLOOKUP($B23&amp;"; "&amp;$H$11&amp;", "&amp;I$12,'FE Energie'!$G:$U,10,FALSE)),0,VLOOKUP($B23&amp;"; "&amp;$H$11&amp;", "&amp;I$12,'FE Energie'!$G:$U,10,FALSE))
+$J23*IF(ISNA(VLOOKUP($B23&amp;"; "&amp;$K$11&amp;", "&amp;I$12,'FE Energie'!$G:$U,10,FALSE)),0,VLOOKUP($B23&amp;"; "&amp;$K$11&amp;", "&amp;I$12,'FE Energie'!$G:$U,10,FALSE))
+$M23*IF(ISNA(VLOOKUP($B23&amp;"; "&amp;$N$11&amp;", "&amp;I$12,'FE Energie'!$G:$U,10,FALSE)),0,VLOOKUP($B23&amp;"; "&amp;$N$11&amp;", "&amp;I$12,'FE Energie'!$G:$U,10,FALSE))
+$P23*IF(ISNA(VLOOKUP($B23&amp;"; "&amp;$Q$11&amp;", "&amp;I$12,'FE Energie'!$G:$U,10,FALSE)),0,VLOOKUP($B23&amp;"; "&amp;$Q$11&amp;", "&amp;I$12,'FE Energie'!$G:$U,10,FALSE))</f>
        <v>0</v>
      </c>
      <c r="AG23" s="565"/>
      <c r="AH23" s="565"/>
      <c r="AI23" s="565">
        <f>$G23*IF(ISNA((VLOOKUP($B23&amp;"; "&amp;$H$11&amp;", "&amp;H$12,'FE Energie'!$G:$U,12,FALSE)+VLOOKUP($B23&amp;"; "&amp;$H$11&amp;", "&amp;H$12,'FE Energie'!$G:$U,11,FALSE))),0,(VLOOKUP($B23&amp;"; "&amp;$H$11&amp;", "&amp;H$12,'FE Energie'!$G:$U,12,FALSE)+VLOOKUP($B23&amp;"; "&amp;$H$11&amp;", "&amp;H$12,'FE Energie'!$G:$U,11,FALSE)))
+$J23*IF(ISNA((VLOOKUP($B23&amp;"; "&amp;$K$11&amp;", "&amp;H$12,'FE Energie'!$G:$U,12,FALSE)+VLOOKUP($B23&amp;"; "&amp;$K$11&amp;", "&amp;H$12,'FE Energie'!$G:$U,11,FALSE))),0,(VLOOKUP($B23&amp;"; "&amp;$K$11&amp;", "&amp;H$12,'FE Energie'!$G:$U,12,FALSE)+VLOOKUP($B23&amp;"; "&amp;$K$11&amp;", "&amp;H$12,'FE Energie'!$G:$U,11,FALSE)))
+$M23*IF(ISNA((VLOOKUP($B23&amp;"; "&amp;$N$11&amp;", "&amp;H$12,'FE Energie'!$G:$U,12,FALSE)+VLOOKUP($B23&amp;"; "&amp;$N$11&amp;", "&amp;H$12,'FE Energie'!$G:$U,11,FALSE))),0,(VLOOKUP($B23&amp;"; "&amp;$N$11&amp;", "&amp;H$12,'FE Energie'!$G:$U,12,FALSE)+VLOOKUP($B23&amp;"; "&amp;$N$11&amp;", "&amp;H$12,'FE Energie'!$G:$U,11,FALSE)))
+$P23*IF(ISNA((VLOOKUP($B23&amp;"; "&amp;$Q$11&amp;", "&amp;H$12,'FE Energie'!$G:$U,12,FALSE)+VLOOKUP($B23&amp;"; "&amp;$Q$11&amp;", "&amp;H$12,'FE Energie'!$G:$U,11,FALSE))),0,(VLOOKUP($B23&amp;"; "&amp;$Q$11&amp;", "&amp;H$12,'FE Energie'!$G:$U,12,FALSE)+VLOOKUP($B23&amp;"; "&amp;$Q$11&amp;", "&amp;H$12,'FE Energie'!$G:$U,11,FALSE)))</f>
        <v>0</v>
      </c>
      <c r="AJ23" s="565">
        <f>$G23*IF(ISNA((VLOOKUP($B23&amp;"; "&amp;$H$11&amp;", "&amp;I$12,'FE Energie'!$G:$U,12,FALSE)+VLOOKUP($B23&amp;"; "&amp;$H$11&amp;", "&amp;I$12,'FE Energie'!$G:$U,11,FALSE))),0,(VLOOKUP($B23&amp;"; "&amp;$H$11&amp;", "&amp;I$12,'FE Energie'!$G:$U,12,FALSE)+VLOOKUP($B23&amp;"; "&amp;$H$11&amp;", "&amp;I$12,'FE Energie'!$G:$U,11,FALSE)))
+$J23*IF(ISNA((VLOOKUP($B23&amp;"; "&amp;$K$11&amp;", "&amp;I$12,'FE Energie'!$G:$U,12,FALSE)+VLOOKUP($B23&amp;"; "&amp;$K$11&amp;", "&amp;I$12,'FE Energie'!$G:$U,11,FALSE))),0,(VLOOKUP($B23&amp;"; "&amp;$K$11&amp;", "&amp;I$12,'FE Energie'!$G:$U,12,FALSE)+VLOOKUP($B23&amp;"; "&amp;$K$11&amp;", "&amp;I$12,'FE Energie'!$G:$U,11,FALSE)))
+$M23*IF(ISNA((VLOOKUP($B23&amp;"; "&amp;$N$11&amp;", "&amp;I$12,'FE Energie'!$G:$U,12,FALSE)+VLOOKUP($B23&amp;"; "&amp;$N$11&amp;", "&amp;I$12,'FE Energie'!$G:$U,11,FALSE))),0,(VLOOKUP($B23&amp;"; "&amp;$N$11&amp;", "&amp;I$12,'FE Energie'!$G:$U,12,FALSE)+VLOOKUP($B23&amp;"; "&amp;$N$11&amp;", "&amp;I$12,'FE Energie'!$G:$U,11,FALSE)))
+$P23*IF(ISNA((VLOOKUP($B23&amp;"; "&amp;$Q$11&amp;", "&amp;I$12,'FE Energie'!$G:$U,12,FALSE)+VLOOKUP($B23&amp;"; "&amp;$Q$11&amp;", "&amp;I$12,'FE Energie'!$G:$U,11,FALSE))),0,(VLOOKUP($B23&amp;"; "&amp;$Q$11&amp;", "&amp;I$12,'FE Energie'!$G:$U,12,FALSE)+VLOOKUP($B23&amp;"; "&amp;$Q$11&amp;", "&amp;I$12,'FE Energie'!$G:$U,11,FALSE)))</f>
        <v>0</v>
      </c>
      <c r="AK23" s="565"/>
      <c r="AL23" s="565"/>
      <c r="AM23" s="565">
        <f>$G23*IF(ISNA(VLOOKUP($B23&amp;"; "&amp;$H$11&amp;", "&amp;H$12,'FE Energie'!$G:$U,13,FALSE)),0,VLOOKUP($B23&amp;"; "&amp;$H$11&amp;", "&amp;H$12,'FE Energie'!$G:$U,13,FALSE))
+$J23*IF(ISNA(VLOOKUP($B23&amp;"; "&amp;$K$11&amp;", "&amp;H$12,'FE Energie'!$G:$U,13,FALSE)),0,VLOOKUP($B23&amp;"; "&amp;$K$11&amp;", "&amp;H$12,'FE Energie'!$G:$U,13,FALSE))
+$M23*IF(ISNA(VLOOKUP($B23&amp;"; "&amp;$N$11&amp;", "&amp;H$12,'FE Energie'!$G:$U,13,FALSE)),0,VLOOKUP($B23&amp;"; "&amp;$N$11&amp;", "&amp;H$12,'FE Energie'!$G:$U,13,FALSE))
+$P23*IF(ISNA(VLOOKUP($B23&amp;"; "&amp;$Q$11&amp;", "&amp;H$12,'FE Energie'!$G:$U,13,FALSE)),0,VLOOKUP($B23&amp;"; "&amp;$Q$11&amp;", "&amp;H$12,'FE Energie'!$G:$U,13,FALSE))</f>
        <v>0</v>
      </c>
      <c r="AN23" s="565">
        <f>$G23*IF(ISNA(VLOOKUP($B23&amp;"; "&amp;$H$11&amp;", "&amp;I$12,'FE Energie'!$G:$U,13,FALSE)),0,VLOOKUP($B23&amp;"; "&amp;$H$11&amp;", "&amp;I$12,'FE Energie'!$G:$U,13,FALSE))
+$J23*IF(ISNA(VLOOKUP($B23&amp;"; "&amp;$K$11&amp;", "&amp;I$12,'FE Energie'!$G:$U,13,FALSE)),0,VLOOKUP($B23&amp;"; "&amp;$K$11&amp;", "&amp;I$12,'FE Energie'!$G:$U,13,FALSE))
+$M23*IF(ISNA(VLOOKUP($B23&amp;"; "&amp;$N$11&amp;", "&amp;I$12,'FE Energie'!$G:$U,13,FALSE)),0,VLOOKUP($B23&amp;"; "&amp;$N$11&amp;", "&amp;I$12,'FE Energie'!$G:$U,13,FALSE))
+$P23*IF(ISNA(VLOOKUP($B23&amp;"; "&amp;$Q$11&amp;", "&amp;I$12,'FE Energie'!$G:$U,13,FALSE)),0,VLOOKUP($B23&amp;"; "&amp;$Q$11&amp;", "&amp;I$12,'FE Energie'!$G:$U,13,FALSE))</f>
        <v>0</v>
      </c>
      <c r="AO23" s="565"/>
      <c r="AP23" s="565"/>
      <c r="AQ23" s="565">
        <f>$G23*IF(ISNA(VLOOKUP($B23&amp;"; "&amp;$H$11&amp;", "&amp;H$12,'FE Energie'!$G:$U,14,FALSE)),0,VLOOKUP($B23&amp;"; "&amp;$H$11&amp;", "&amp;H$12,'FE Energie'!$G:$U,14,FALSE))
+$J23*IF(ISNA(VLOOKUP($B23&amp;"; "&amp;$K$11&amp;", "&amp;H$12,'FE Energie'!$G:$U,14,FALSE)),0,VLOOKUP($B23&amp;"; "&amp;$K$11&amp;", "&amp;H$12,'FE Energie'!$G:$U,14,FALSE))
+$M23*IF(ISNA(VLOOKUP($B23&amp;"; "&amp;$N$11&amp;", "&amp;H$12,'FE Energie'!$G:$U,14,FALSE)),0,VLOOKUP($B23&amp;"; "&amp;$N$11&amp;", "&amp;H$12,'FE Energie'!$G:$U,14,FALSE))
+$P23*IF(ISNA(VLOOKUP($B23&amp;"; "&amp;$Q$11&amp;", "&amp;H$12,'FE Energie'!$G:$U,14,FALSE)),0,VLOOKUP($B23&amp;"; "&amp;$Q$11&amp;", "&amp;H$12,'FE Energie'!$G:$U,14,FALSE))</f>
        <v>0</v>
      </c>
      <c r="AR23" s="565">
        <f>$G23*IF(ISNA(VLOOKUP($B23&amp;"; "&amp;$H$11&amp;", "&amp;I$12,'FE Energie'!$G:$U,14,FALSE)),0,VLOOKUP($B23&amp;"; "&amp;$H$11&amp;", "&amp;I$12,'FE Energie'!$G:$U,14,FALSE))
+$J23*IF(ISNA(VLOOKUP($B23&amp;"; "&amp;$K$11&amp;", "&amp;I$12,'FE Energie'!$G:$U,14,FALSE)),0,VLOOKUP($B23&amp;"; "&amp;$K$11&amp;", "&amp;I$12,'FE Energie'!$G:$U,14,FALSE))
+$M23*IF(ISNA(VLOOKUP($B23&amp;"; "&amp;$N$11&amp;", "&amp;I$12,'FE Energie'!$G:$U,14,FALSE)),0,VLOOKUP($B23&amp;"; "&amp;$N$11&amp;", "&amp;I$12,'FE Energie'!$G:$U,14,FALSE))
+$P23*IF(ISNA(VLOOKUP($B23&amp;"; "&amp;$Q$11&amp;", "&amp;I$12,'FE Energie'!$G:$U,14,FALSE)),0,VLOOKUP($B23&amp;"; "&amp;$Q$11&amp;", "&amp;I$12,'FE Energie'!$G:$U,14,FALSE))</f>
        <v>0</v>
      </c>
      <c r="AS23" s="565"/>
      <c r="AT23" s="565"/>
      <c r="AU23" s="1288">
        <f t="shared" si="1"/>
        <v>0</v>
      </c>
      <c r="AV23" s="566">
        <f t="shared" si="2"/>
        <v>0</v>
      </c>
      <c r="AW23" s="566"/>
      <c r="AX23" s="567"/>
      <c r="AY23" s="565">
        <f>$G23*IF(ISNA(VLOOKUP($B23&amp;"; "&amp;$H$11&amp;", "&amp;H$12,'FE Energie'!$G:$U,15,FALSE)),0,VLOOKUP($B23&amp;"; "&amp;$H$11&amp;", "&amp;H$12,'FE Energie'!$G:$U,15,FALSE))
+$J23*IF(ISNA(VLOOKUP($B23&amp;"; "&amp;$K$11&amp;", "&amp;H$12,'FE Energie'!$G:$U,15,FALSE)),0,VLOOKUP($B23&amp;"; "&amp;$K$11&amp;", "&amp;H$12,'FE Energie'!$G:$U,15,FALSE))
+$M23*IF(ISNA(VLOOKUP($B23&amp;"; "&amp;$N$11&amp;", "&amp;H$12,'FE Energie'!$G:$U,15,FALSE)),0,VLOOKUP($B23&amp;"; "&amp;$N$11&amp;", "&amp;H$12,'FE Energie'!$G:$U,15,FALSE))
+$P23*IF(ISNA(VLOOKUP($B23&amp;"; "&amp;$Q$11&amp;", "&amp;H$12,'FE Energie'!$G:$U,15,FALSE)),0,VLOOKUP($B23&amp;"; "&amp;$Q$11&amp;", "&amp;H$12,'FE Energie'!$G:$U,15,FALSE))</f>
        <v>0</v>
      </c>
      <c r="AZ23" s="565">
        <f>$G23*IF(ISNA(VLOOKUP($B23&amp;"; "&amp;$H$11&amp;", "&amp;I$12,'FE Energie'!$G:$U,15,FALSE)),0,VLOOKUP($B23&amp;"; "&amp;$H$11&amp;", "&amp;I$12,'FE Energie'!$G:$U,15,FALSE))
+$J23*IF(ISNA(VLOOKUP($B23&amp;"; "&amp;$K$11&amp;", "&amp;I$12,'FE Energie'!$G:$U,15,FALSE)),0,VLOOKUP($B23&amp;"; "&amp;$K$11&amp;", "&amp;I$12,'FE Energie'!$G:$U,15,FALSE))
+$M23*IF(ISNA(VLOOKUP($B23&amp;"; "&amp;$N$11&amp;", "&amp;I$12,'FE Energie'!$G:$U,15,FALSE)),0,VLOOKUP($B23&amp;"; "&amp;$N$11&amp;", "&amp;I$12,'FE Energie'!$G:$U,15,FALSE))
+$P23*IF(ISNA(VLOOKUP($B23&amp;"; "&amp;$Q$11&amp;", "&amp;I$12,'FE Energie'!$G:$U,15,FALSE)),0,VLOOKUP($B23&amp;"; "&amp;$Q$11&amp;", "&amp;I$12,'FE Energie'!$G:$U,15,FALSE))</f>
        <v>0</v>
      </c>
      <c r="BA23" s="565"/>
      <c r="BB23" s="568"/>
      <c r="BD23" s="1065">
        <f>IF($W23&lt;&gt;"votre valeur :",IF(ISNA(VLOOKUP($W23,Utilitaires!$N$566:$O$571,2,FALSE)),,VLOOKUP($W23,Utilitaires!$N$566:$O$571,2,FALSE)),$X23)</f>
        <v>0</v>
      </c>
      <c r="BE23" s="1066">
        <f>IF($W23&lt;&gt;"votre valeur :",IF(ISNA(VLOOKUP($W23,Utilitaires!$N$566:$O$571,2,FALSE)),,VLOOKUP($W23,Utilitaires!$N$566:$O$571,2,FALSE)),$X23)</f>
        <v>0</v>
      </c>
      <c r="BF23" s="1066">
        <f>IF($W23&lt;&gt;"votre valeur :",IF(ISNA(VLOOKUP($W23,Utilitaires!$N$566:$O$571,2,FALSE)),,VLOOKUP($W23,Utilitaires!$N$566:$O$571,2,FALSE)),$X23)</f>
        <v>0</v>
      </c>
      <c r="BG23" s="1067">
        <f>IF($W23&lt;&gt;"votre valeur :",IF(ISNA(VLOOKUP($W23,Utilitaires!$N$566:$O$571,2,FALSE)),,VLOOKUP($W23,Utilitaires!$N$566:$O$571,2,FALSE)),$X23)</f>
        <v>0</v>
      </c>
      <c r="BH23" s="1068">
        <f>IF(ISNA(SQRT(SUMSQ(VLOOKUP($B23&amp;"; "&amp;$H$11&amp;", "&amp;$H$12,'FE Energie'!$G:$U,7,FALSE),$BD23))),0,SQRT(SUMSQ(VLOOKUP($B23&amp;"; "&amp;$H$11&amp;", "&amp;$H$12,'FE Energie'!$G:$U,7,FALSE),$BD23)))</f>
        <v>0.2</v>
      </c>
      <c r="BI23" s="1068">
        <f>IF(ISNA(SQRT(SUMSQ(VLOOKUP($B23&amp;"; "&amp;$K$11&amp;", "&amp;$K$12,'FE Energie'!$G:$U,7,FALSE),$BE23))),0,SQRT(SUMSQ(VLOOKUP($B23&amp;"; "&amp;$K$11&amp;", "&amp;$K$12,'FE Energie'!$G:$U,7,FALSE),$BE23)))</f>
        <v>0.2</v>
      </c>
      <c r="BJ23" s="1068">
        <f>IF(ISNA(SQRT(SUMSQ(VLOOKUP($B23&amp;"; "&amp;$N$11&amp;", "&amp;$N$12,'FE Energie'!$G:$U,7,FALSE),$BF23))),0,SQRT(SUMSQ(VLOOKUP($B23&amp;"; "&amp;$N$11&amp;", "&amp;$N$12,'FE Energie'!$G:$U,7,FALSE),$BF23)))</f>
        <v>0.2</v>
      </c>
      <c r="BK23" s="1068">
        <f>IF(ISNA(SQRT(SUMSQ(VLOOKUP($B23&amp;"; "&amp;$Q$11&amp;", "&amp;$Q$12,'FE Energie'!$G:$U,7,FALSE),$BG23))),0,SQRT(SUMSQ(VLOOKUP($B23&amp;"; "&amp;$Q$11&amp;", "&amp;$Q$12,'FE Energie'!$G:$U,7,FALSE),$BG23)))</f>
        <v>0</v>
      </c>
      <c r="BL23" s="1069">
        <f>IF(ISNA(SQRT(SUMSQ(VLOOKUP($B23&amp;"; "&amp;$H$11&amp;", "&amp;$I$12,'FE Energie'!$G:$U,7,FALSE),$BD23))),0,SQRT(SUMSQ(VLOOKUP($B23&amp;"; "&amp;$H$11&amp;", "&amp;$I$12,'FE Energie'!$G:$U,7,FALSE),$BD23)))</f>
        <v>0.2</v>
      </c>
      <c r="BM23" s="1070">
        <f>IF(ISNA(SQRT(SUMSQ(VLOOKUP($B23&amp;"; "&amp;$K$11&amp;", "&amp;$L$12,'FE Energie'!$G:$U,7,FALSE),$BE23))),0,SQRT(SUMSQ(VLOOKUP($B23&amp;"; "&amp;$K$11&amp;", "&amp;$L$12,'FE Energie'!$G:$U,7,FALSE),$BE23)))</f>
        <v>0.2</v>
      </c>
      <c r="BN23" s="1070">
        <f>IF(ISNA(SQRT(SUMSQ(VLOOKUP($B23&amp;"; "&amp;$N$11&amp;", "&amp;$O$12,'FE Energie'!$G:$U,7,FALSE),$BF23))),0,SQRT(SUMSQ(VLOOKUP($B23&amp;"; "&amp;$N$11&amp;", "&amp;$O$12,'FE Energie'!$G:$U,7,FALSE),$BF23)))</f>
        <v>0.2</v>
      </c>
      <c r="BO23" s="1071">
        <f>IF(ISNA(SQRT(SUMSQ(VLOOKUP($B23&amp;"; "&amp;$Q$11&amp;", "&amp;$R$12,'FE Energie'!$G:$U,7,FALSE),$BG23))),0,SQRT(SUMSQ(VLOOKUP($B23&amp;"; "&amp;$Q$11&amp;", "&amp;$R$12,'FE Energie'!$G:$U,7,FALSE),$BG23)))</f>
        <v>0</v>
      </c>
    </row>
    <row r="24" spans="1:67" s="116" customFormat="1" ht="12.75" hidden="1" customHeight="1" outlineLevel="1">
      <c r="A24" s="114"/>
      <c r="B24" s="536" t="s">
        <v>1636</v>
      </c>
      <c r="C24" s="144"/>
      <c r="D24" s="315"/>
      <c r="E24" s="315"/>
      <c r="F24" s="822"/>
      <c r="G24" s="822"/>
      <c r="H24" s="335"/>
      <c r="I24" s="335"/>
      <c r="J24" s="822"/>
      <c r="K24" s="223"/>
      <c r="L24" s="223"/>
      <c r="M24" s="1200"/>
      <c r="N24" s="217"/>
      <c r="O24" s="217"/>
      <c r="P24" s="1200"/>
      <c r="Q24" s="223"/>
      <c r="R24" s="223"/>
      <c r="S24" s="566"/>
      <c r="T24" s="567"/>
      <c r="U24" s="114"/>
      <c r="V24" s="1092"/>
      <c r="W24" s="820"/>
      <c r="X24" s="820"/>
      <c r="Y24" s="164"/>
      <c r="Z24" s="164"/>
      <c r="AA24" s="164"/>
      <c r="AB24" s="164"/>
      <c r="AC24" s="152"/>
      <c r="AD24" s="114"/>
      <c r="AE24" s="564"/>
      <c r="AF24" s="565"/>
      <c r="AG24" s="565"/>
      <c r="AH24" s="565"/>
      <c r="AI24" s="565"/>
      <c r="AJ24" s="565"/>
      <c r="AK24" s="565"/>
      <c r="AL24" s="565"/>
      <c r="AM24" s="565"/>
      <c r="AN24" s="565"/>
      <c r="AO24" s="565"/>
      <c r="AP24" s="565"/>
      <c r="AQ24" s="565"/>
      <c r="AR24" s="565"/>
      <c r="AS24" s="565"/>
      <c r="AT24" s="565"/>
      <c r="AU24" s="1288"/>
      <c r="AV24" s="566"/>
      <c r="AW24" s="566"/>
      <c r="AX24" s="567"/>
      <c r="AY24" s="565"/>
      <c r="AZ24" s="565"/>
      <c r="BA24" s="565"/>
      <c r="BB24" s="568"/>
      <c r="BD24" s="1065"/>
      <c r="BE24" s="1066"/>
      <c r="BF24" s="1066"/>
      <c r="BG24" s="1067"/>
      <c r="BH24" s="1068"/>
      <c r="BI24" s="1068"/>
      <c r="BJ24" s="1068"/>
      <c r="BK24" s="1068"/>
      <c r="BL24" s="1069"/>
      <c r="BM24" s="1070"/>
      <c r="BN24" s="1070"/>
      <c r="BO24" s="1071"/>
    </row>
    <row r="25" spans="1:67" s="116" customFormat="1" ht="12.75" hidden="1" customHeight="1" outlineLevel="1">
      <c r="A25" s="114"/>
      <c r="B25" s="143" t="s">
        <v>1638</v>
      </c>
      <c r="C25" s="144"/>
      <c r="D25" s="315">
        <f t="shared" si="0"/>
        <v>0</v>
      </c>
      <c r="E25" s="315"/>
      <c r="F25" s="847"/>
      <c r="G25" s="344"/>
      <c r="H25" s="335">
        <f>VLOOKUP($B25&amp;"; "&amp;$H$11&amp;", "&amp;H$12,'FE Energie'!$G:$U,9,FALSE)</f>
        <v>0.247</v>
      </c>
      <c r="I25" s="335">
        <f>VLOOKUP($B25&amp;"; "&amp;$H$11&amp;", "&amp;I$12,'FE Energie'!$G:$U,9,FALSE)</f>
        <v>3.03</v>
      </c>
      <c r="J25" s="344"/>
      <c r="K25" s="223">
        <f>VLOOKUP($B25&amp;"; "&amp;$K$11&amp;", "&amp;K$12,'FE Energie'!$G:$U,9,FALSE)</f>
        <v>3.1899999999999998E-2</v>
      </c>
      <c r="L25" s="223">
        <f>VLOOKUP($B25&amp;"; "&amp;$K$11&amp;", "&amp;L$12,'FE Energie'!$G:$U,9,FALSE)</f>
        <v>0.38900000000000001</v>
      </c>
      <c r="M25" s="1201"/>
      <c r="N25" s="217">
        <f>VLOOKUP($B25&amp;"; "&amp;$N$11&amp;", "&amp;N$12,'FE Energie'!$G:$U,9,FALSE)</f>
        <v>372</v>
      </c>
      <c r="O25" s="217">
        <f>VLOOKUP($B25&amp;"; "&amp;$N$11&amp;", "&amp;O$12,'FE Energie'!$G:$U,9,FALSE)</f>
        <v>4540</v>
      </c>
      <c r="P25" s="1201"/>
      <c r="Q25" s="223" t="e">
        <f>VLOOKUP($B25&amp;"; "&amp;$Q$11&amp;", "&amp;Q$12,'FE Energie'!$G:$U,9,FALSE)</f>
        <v>#N/A</v>
      </c>
      <c r="R25" s="223" t="e">
        <f>VLOOKUP($B25&amp;"; "&amp;$Q$11&amp;", "&amp;R$12,'FE Energie'!$G:$U,9,FALSE)</f>
        <v>#N/A</v>
      </c>
      <c r="S25" s="566">
        <f>IF(ISNA(G25*H25),0,G25*H25)+IF(ISNA(J25*K25),0,J25*K25)+IF(ISNA(M25*N25),0,M25*N25)+IF(ISNA(P25*Q25),0,P25*Q25)</f>
        <v>0</v>
      </c>
      <c r="T25" s="567">
        <f>IF(ISNA(G25*I25),0,G25*I25)+IF(ISNA(J25*L25),0,J25*L25)+IF(ISNA(M25*O25),0,M25*O25)+IF(ISNA(P25*R25),0,P25*R25)</f>
        <v>0</v>
      </c>
      <c r="U25" s="114"/>
      <c r="V25" s="1092">
        <f>IF(AC25=0,AC25,AC25/(S25+T25))</f>
        <v>0</v>
      </c>
      <c r="W25" s="343"/>
      <c r="X25" s="820"/>
      <c r="Y25" s="164">
        <f>SQRT(SUMSQ(IF(ISNA($G25*H25*BH25),0,$G25*H25*BH25),IF(ISNA($J25*K25*BI25),0,$J25*K25*BI25),IF(ISNA($M25*N25*BJ25),0,$M25*N25*BJ25),IF(ISNA($P25*Q25*BK25),0,$P25*Q25*BK25)))</f>
        <v>0</v>
      </c>
      <c r="Z25" s="164">
        <f>SQRT(SUMSQ(IF(ISNA($G25*I25*BL25),0,$G25*I25*BL25),IF(ISNA($J25*L25*BM25),0,$J25*L25*BM25),IF(ISNA($M25*O25*BN25),0,$M25*O25*BN25),IF(ISNA($P25*R25*BO25),0,$P25*R25*BO25)))</f>
        <v>0</v>
      </c>
      <c r="AA25" s="164"/>
      <c r="AB25" s="164"/>
      <c r="AC25" s="152">
        <f>SQRT(SUMSQ(Y25,Z25))</f>
        <v>0</v>
      </c>
      <c r="AD25" s="114"/>
      <c r="AE25" s="564">
        <f>$G25*IF(ISNA(VLOOKUP($B25&amp;"; "&amp;$H$11&amp;", "&amp;H$12,'FE Energie'!$G:$U,10,FALSE)),0,VLOOKUP($B25&amp;"; "&amp;$H$11&amp;", "&amp;H$12,'FE Energie'!$G:$U,10,FALSE))
+$J25*IF(ISNA(VLOOKUP($B25&amp;"; "&amp;$K$11&amp;", "&amp;H$12,'FE Energie'!$G:$U,10,FALSE)),0,VLOOKUP($B25&amp;"; "&amp;$K$11&amp;", "&amp;H$12,'FE Energie'!$G:$U,10,FALSE))
+$M25*IF(ISNA(VLOOKUP($B25&amp;"; "&amp;$N$11&amp;", "&amp;H$12,'FE Energie'!$G:$U,10,FALSE)),0,VLOOKUP($B25&amp;"; "&amp;$N$11&amp;", "&amp;H$12,'FE Energie'!$G:$U,10,FALSE))
+$P25*IF(ISNA(VLOOKUP($B25&amp;"; "&amp;$Q$11&amp;", "&amp;H$12,'FE Energie'!$G:$U,10,FALSE)),0,VLOOKUP($B25&amp;"; "&amp;$Q$11&amp;", "&amp;H$12,'FE Energie'!$G:$U,10,FALSE))</f>
        <v>0</v>
      </c>
      <c r="AF25" s="565">
        <f>$G25*IF(ISNA(VLOOKUP($B25&amp;"; "&amp;$H$11&amp;", "&amp;I$12,'FE Energie'!$G:$U,10,FALSE)),0,VLOOKUP($B25&amp;"; "&amp;$H$11&amp;", "&amp;I$12,'FE Energie'!$G:$U,10,FALSE))
+$J25*IF(ISNA(VLOOKUP($B25&amp;"; "&amp;$K$11&amp;", "&amp;I$12,'FE Energie'!$G:$U,10,FALSE)),0,VLOOKUP($B25&amp;"; "&amp;$K$11&amp;", "&amp;I$12,'FE Energie'!$G:$U,10,FALSE))
+$M25*IF(ISNA(VLOOKUP($B25&amp;"; "&amp;$N$11&amp;", "&amp;I$12,'FE Energie'!$G:$U,10,FALSE)),0,VLOOKUP($B25&amp;"; "&amp;$N$11&amp;", "&amp;I$12,'FE Energie'!$G:$U,10,FALSE))
+$P25*IF(ISNA(VLOOKUP($B25&amp;"; "&amp;$Q$11&amp;", "&amp;I$12,'FE Energie'!$G:$U,10,FALSE)),0,VLOOKUP($B25&amp;"; "&amp;$Q$11&amp;", "&amp;I$12,'FE Energie'!$G:$U,10,FALSE))</f>
        <v>0</v>
      </c>
      <c r="AG25" s="565"/>
      <c r="AH25" s="565"/>
      <c r="AI25" s="565">
        <f>$G25*IF(ISNA((VLOOKUP($B25&amp;"; "&amp;$H$11&amp;", "&amp;H$12,'FE Energie'!$G:$U,12,FALSE)+VLOOKUP($B25&amp;"; "&amp;$H$11&amp;", "&amp;H$12,'FE Energie'!$G:$U,11,FALSE))),0,(VLOOKUP($B25&amp;"; "&amp;$H$11&amp;", "&amp;H$12,'FE Energie'!$G:$U,12,FALSE)+VLOOKUP($B25&amp;"; "&amp;$H$11&amp;", "&amp;H$12,'FE Energie'!$G:$U,11,FALSE)))
+$J25*IF(ISNA((VLOOKUP($B25&amp;"; "&amp;$K$11&amp;", "&amp;H$12,'FE Energie'!$G:$U,12,FALSE)+VLOOKUP($B25&amp;"; "&amp;$K$11&amp;", "&amp;H$12,'FE Energie'!$G:$U,11,FALSE))),0,(VLOOKUP($B25&amp;"; "&amp;$K$11&amp;", "&amp;H$12,'FE Energie'!$G:$U,12,FALSE)+VLOOKUP($B25&amp;"; "&amp;$K$11&amp;", "&amp;H$12,'FE Energie'!$G:$U,11,FALSE)))
+$M25*IF(ISNA((VLOOKUP($B25&amp;"; "&amp;$N$11&amp;", "&amp;H$12,'FE Energie'!$G:$U,12,FALSE)+VLOOKUP($B25&amp;"; "&amp;$N$11&amp;", "&amp;H$12,'FE Energie'!$G:$U,11,FALSE))),0,(VLOOKUP($B25&amp;"; "&amp;$N$11&amp;", "&amp;H$12,'FE Energie'!$G:$U,12,FALSE)+VLOOKUP($B25&amp;"; "&amp;$N$11&amp;", "&amp;H$12,'FE Energie'!$G:$U,11,FALSE)))
+$P25*IF(ISNA((VLOOKUP($B25&amp;"; "&amp;$Q$11&amp;", "&amp;H$12,'FE Energie'!$G:$U,12,FALSE)+VLOOKUP($B25&amp;"; "&amp;$Q$11&amp;", "&amp;H$12,'FE Energie'!$G:$U,11,FALSE))),0,(VLOOKUP($B25&amp;"; "&amp;$Q$11&amp;", "&amp;H$12,'FE Energie'!$G:$U,12,FALSE)+VLOOKUP($B25&amp;"; "&amp;$Q$11&amp;", "&amp;H$12,'FE Energie'!$G:$U,11,FALSE)))</f>
        <v>0</v>
      </c>
      <c r="AJ25" s="565">
        <f>$G25*IF(ISNA((VLOOKUP($B25&amp;"; "&amp;$H$11&amp;", "&amp;I$12,'FE Energie'!$G:$U,12,FALSE)+VLOOKUP($B25&amp;"; "&amp;$H$11&amp;", "&amp;I$12,'FE Energie'!$G:$U,11,FALSE))),0,(VLOOKUP($B25&amp;"; "&amp;$H$11&amp;", "&amp;I$12,'FE Energie'!$G:$U,12,FALSE)+VLOOKUP($B25&amp;"; "&amp;$H$11&amp;", "&amp;I$12,'FE Energie'!$G:$U,11,FALSE)))
+$J25*IF(ISNA((VLOOKUP($B25&amp;"; "&amp;$K$11&amp;", "&amp;I$12,'FE Energie'!$G:$U,12,FALSE)+VLOOKUP($B25&amp;"; "&amp;$K$11&amp;", "&amp;I$12,'FE Energie'!$G:$U,11,FALSE))),0,(VLOOKUP($B25&amp;"; "&amp;$K$11&amp;", "&amp;I$12,'FE Energie'!$G:$U,12,FALSE)+VLOOKUP($B25&amp;"; "&amp;$K$11&amp;", "&amp;I$12,'FE Energie'!$G:$U,11,FALSE)))
+$M25*IF(ISNA((VLOOKUP($B25&amp;"; "&amp;$N$11&amp;", "&amp;I$12,'FE Energie'!$G:$U,12,FALSE)+VLOOKUP($B25&amp;"; "&amp;$N$11&amp;", "&amp;I$12,'FE Energie'!$G:$U,11,FALSE))),0,(VLOOKUP($B25&amp;"; "&amp;$N$11&amp;", "&amp;I$12,'FE Energie'!$G:$U,12,FALSE)+VLOOKUP($B25&amp;"; "&amp;$N$11&amp;", "&amp;I$12,'FE Energie'!$G:$U,11,FALSE)))
+$P25*IF(ISNA((VLOOKUP($B25&amp;"; "&amp;$Q$11&amp;", "&amp;I$12,'FE Energie'!$G:$U,12,FALSE)+VLOOKUP($B25&amp;"; "&amp;$Q$11&amp;", "&amp;I$12,'FE Energie'!$G:$U,11,FALSE))),0,(VLOOKUP($B25&amp;"; "&amp;$Q$11&amp;", "&amp;I$12,'FE Energie'!$G:$U,12,FALSE)+VLOOKUP($B25&amp;"; "&amp;$Q$11&amp;", "&amp;I$12,'FE Energie'!$G:$U,11,FALSE)))</f>
        <v>0</v>
      </c>
      <c r="AK25" s="565"/>
      <c r="AL25" s="565"/>
      <c r="AM25" s="565">
        <f>$G25*IF(ISNA(VLOOKUP($B25&amp;"; "&amp;$H$11&amp;", "&amp;H$12,'FE Energie'!$G:$U,13,FALSE)),0,VLOOKUP($B25&amp;"; "&amp;$H$11&amp;", "&amp;H$12,'FE Energie'!$G:$U,13,FALSE))
+$J25*IF(ISNA(VLOOKUP($B25&amp;"; "&amp;$K$11&amp;", "&amp;H$12,'FE Energie'!$G:$U,13,FALSE)),0,VLOOKUP($B25&amp;"; "&amp;$K$11&amp;", "&amp;H$12,'FE Energie'!$G:$U,13,FALSE))
+$M25*IF(ISNA(VLOOKUP($B25&amp;"; "&amp;$N$11&amp;", "&amp;H$12,'FE Energie'!$G:$U,13,FALSE)),0,VLOOKUP($B25&amp;"; "&amp;$N$11&amp;", "&amp;H$12,'FE Energie'!$G:$U,13,FALSE))
+$P25*IF(ISNA(VLOOKUP($B25&amp;"; "&amp;$Q$11&amp;", "&amp;H$12,'FE Energie'!$G:$U,13,FALSE)),0,VLOOKUP($B25&amp;"; "&amp;$Q$11&amp;", "&amp;H$12,'FE Energie'!$G:$U,13,FALSE))</f>
        <v>0</v>
      </c>
      <c r="AN25" s="565">
        <f>$G25*IF(ISNA(VLOOKUP($B25&amp;"; "&amp;$H$11&amp;", "&amp;I$12,'FE Energie'!$G:$U,13,FALSE)),0,VLOOKUP($B25&amp;"; "&amp;$H$11&amp;", "&amp;I$12,'FE Energie'!$G:$U,13,FALSE))
+$J25*IF(ISNA(VLOOKUP($B25&amp;"; "&amp;$K$11&amp;", "&amp;I$12,'FE Energie'!$G:$U,13,FALSE)),0,VLOOKUP($B25&amp;"; "&amp;$K$11&amp;", "&amp;I$12,'FE Energie'!$G:$U,13,FALSE))
+$M25*IF(ISNA(VLOOKUP($B25&amp;"; "&amp;$N$11&amp;", "&amp;I$12,'FE Energie'!$G:$U,13,FALSE)),0,VLOOKUP($B25&amp;"; "&amp;$N$11&amp;", "&amp;I$12,'FE Energie'!$G:$U,13,FALSE))
+$P25*IF(ISNA(VLOOKUP($B25&amp;"; "&amp;$Q$11&amp;", "&amp;I$12,'FE Energie'!$G:$U,13,FALSE)),0,VLOOKUP($B25&amp;"; "&amp;$Q$11&amp;", "&amp;I$12,'FE Energie'!$G:$U,13,FALSE))</f>
        <v>0</v>
      </c>
      <c r="AO25" s="565"/>
      <c r="AP25" s="565"/>
      <c r="AQ25" s="565">
        <f>$G25*IF(ISNA(VLOOKUP($B25&amp;"; "&amp;$H$11&amp;", "&amp;H$12,'FE Energie'!$G:$U,14,FALSE)),0,VLOOKUP($B25&amp;"; "&amp;$H$11&amp;", "&amp;H$12,'FE Energie'!$G:$U,14,FALSE))
+$J25*IF(ISNA(VLOOKUP($B25&amp;"; "&amp;$K$11&amp;", "&amp;H$12,'FE Energie'!$G:$U,14,FALSE)),0,VLOOKUP($B25&amp;"; "&amp;$K$11&amp;", "&amp;H$12,'FE Energie'!$G:$U,14,FALSE))
+$M25*IF(ISNA(VLOOKUP($B25&amp;"; "&amp;$N$11&amp;", "&amp;H$12,'FE Energie'!$G:$U,14,FALSE)),0,VLOOKUP($B25&amp;"; "&amp;$N$11&amp;", "&amp;H$12,'FE Energie'!$G:$U,14,FALSE))
+$P25*IF(ISNA(VLOOKUP($B25&amp;"; "&amp;$Q$11&amp;", "&amp;H$12,'FE Energie'!$G:$U,14,FALSE)),0,VLOOKUP($B25&amp;"; "&amp;$Q$11&amp;", "&amp;H$12,'FE Energie'!$G:$U,14,FALSE))</f>
        <v>0</v>
      </c>
      <c r="AR25" s="565">
        <f>$G25*IF(ISNA(VLOOKUP($B25&amp;"; "&amp;$H$11&amp;", "&amp;I$12,'FE Energie'!$G:$U,14,FALSE)),0,VLOOKUP($B25&amp;"; "&amp;$H$11&amp;", "&amp;I$12,'FE Energie'!$G:$U,14,FALSE))
+$J25*IF(ISNA(VLOOKUP($B25&amp;"; "&amp;$K$11&amp;", "&amp;I$12,'FE Energie'!$G:$U,14,FALSE)),0,VLOOKUP($B25&amp;"; "&amp;$K$11&amp;", "&amp;I$12,'FE Energie'!$G:$U,14,FALSE))
+$M25*IF(ISNA(VLOOKUP($B25&amp;"; "&amp;$N$11&amp;", "&amp;I$12,'FE Energie'!$G:$U,14,FALSE)),0,VLOOKUP($B25&amp;"; "&amp;$N$11&amp;", "&amp;I$12,'FE Energie'!$G:$U,14,FALSE))
+$P25*IF(ISNA(VLOOKUP($B25&amp;"; "&amp;$Q$11&amp;", "&amp;I$12,'FE Energie'!$G:$U,14,FALSE)),0,VLOOKUP($B25&amp;"; "&amp;$Q$11&amp;", "&amp;I$12,'FE Energie'!$G:$U,14,FALSE))</f>
        <v>0</v>
      </c>
      <c r="AS25" s="565"/>
      <c r="AT25" s="565"/>
      <c r="AU25" s="1288">
        <f t="shared" si="1"/>
        <v>0</v>
      </c>
      <c r="AV25" s="566">
        <f t="shared" si="2"/>
        <v>0</v>
      </c>
      <c r="AW25" s="566"/>
      <c r="AX25" s="567"/>
      <c r="AY25" s="565">
        <f>$G25*IF(ISNA(VLOOKUP($B25&amp;"; "&amp;$H$11&amp;", "&amp;H$12,'FE Energie'!$G:$U,15,FALSE)),0,VLOOKUP($B25&amp;"; "&amp;$H$11&amp;", "&amp;H$12,'FE Energie'!$G:$U,15,FALSE))
+$J25*IF(ISNA(VLOOKUP($B25&amp;"; "&amp;$K$11&amp;", "&amp;H$12,'FE Energie'!$G:$U,15,FALSE)),0,VLOOKUP($B25&amp;"; "&amp;$K$11&amp;", "&amp;H$12,'FE Energie'!$G:$U,15,FALSE))
+$M25*IF(ISNA(VLOOKUP($B25&amp;"; "&amp;$N$11&amp;", "&amp;H$12,'FE Energie'!$G:$U,15,FALSE)),0,VLOOKUP($B25&amp;"; "&amp;$N$11&amp;", "&amp;H$12,'FE Energie'!$G:$U,15,FALSE))
+$P25*IF(ISNA(VLOOKUP($B25&amp;"; "&amp;$Q$11&amp;", "&amp;H$12,'FE Energie'!$G:$U,15,FALSE)),0,VLOOKUP($B25&amp;"; "&amp;$Q$11&amp;", "&amp;H$12,'FE Energie'!$G:$U,15,FALSE))</f>
        <v>0</v>
      </c>
      <c r="AZ25" s="565">
        <f>$G25*IF(ISNA(VLOOKUP($B25&amp;"; "&amp;$H$11&amp;", "&amp;I$12,'FE Energie'!$G:$U,15,FALSE)),0,VLOOKUP($B25&amp;"; "&amp;$H$11&amp;", "&amp;I$12,'FE Energie'!$G:$U,15,FALSE))
+$J25*IF(ISNA(VLOOKUP($B25&amp;"; "&amp;$K$11&amp;", "&amp;I$12,'FE Energie'!$G:$U,15,FALSE)),0,VLOOKUP($B25&amp;"; "&amp;$K$11&amp;", "&amp;I$12,'FE Energie'!$G:$U,15,FALSE))
+$M25*IF(ISNA(VLOOKUP($B25&amp;"; "&amp;$N$11&amp;", "&amp;I$12,'FE Energie'!$G:$U,15,FALSE)),0,VLOOKUP($B25&amp;"; "&amp;$N$11&amp;", "&amp;I$12,'FE Energie'!$G:$U,15,FALSE))
+$P25*IF(ISNA(VLOOKUP($B25&amp;"; "&amp;$Q$11&amp;", "&amp;I$12,'FE Energie'!$G:$U,15,FALSE)),0,VLOOKUP($B25&amp;"; "&amp;$Q$11&amp;", "&amp;I$12,'FE Energie'!$G:$U,15,FALSE))</f>
        <v>0</v>
      </c>
      <c r="BA25" s="565"/>
      <c r="BB25" s="568"/>
      <c r="BD25" s="1065">
        <f>IF($W25&lt;&gt;"votre valeur :",IF(ISNA(VLOOKUP($W25,Utilitaires!$N$566:$O$571,2,FALSE)),,VLOOKUP($W25,Utilitaires!$N$566:$O$571,2,FALSE)),$X25)</f>
        <v>0</v>
      </c>
      <c r="BE25" s="1066">
        <f>IF($W25&lt;&gt;"votre valeur :",IF(ISNA(VLOOKUP($W25,Utilitaires!$N$566:$O$571,2,FALSE)),,VLOOKUP($W25,Utilitaires!$N$566:$O$571,2,FALSE)),$X25)</f>
        <v>0</v>
      </c>
      <c r="BF25" s="1066">
        <f>IF($W25&lt;&gt;"votre valeur :",IF(ISNA(VLOOKUP($W25,Utilitaires!$N$566:$O$571,2,FALSE)),,VLOOKUP($W25,Utilitaires!$N$566:$O$571,2,FALSE)),$X25)</f>
        <v>0</v>
      </c>
      <c r="BG25" s="1067">
        <f>IF($W25&lt;&gt;"votre valeur :",IF(ISNA(VLOOKUP($W25,Utilitaires!$N$566:$O$571,2,FALSE)),,VLOOKUP($W25,Utilitaires!$N$566:$O$571,2,FALSE)),$X25)</f>
        <v>0</v>
      </c>
      <c r="BH25" s="1068">
        <f>IF(ISNA(SQRT(SUMSQ(VLOOKUP($B25&amp;"; "&amp;$H$11&amp;", "&amp;$H$12,'FE Energie'!$G:$U,7,FALSE),$BD25))),0,SQRT(SUMSQ(VLOOKUP($B25&amp;"; "&amp;$H$11&amp;", "&amp;$H$12,'FE Energie'!$G:$U,7,FALSE),$BD25)))</f>
        <v>0.2</v>
      </c>
      <c r="BI25" s="1068">
        <f>IF(ISNA(SQRT(SUMSQ(VLOOKUP($B25&amp;"; "&amp;$K$11&amp;", "&amp;$K$12,'FE Energie'!$G:$U,7,FALSE),$BE25))),0,SQRT(SUMSQ(VLOOKUP($B25&amp;"; "&amp;$K$11&amp;", "&amp;$K$12,'FE Energie'!$G:$U,7,FALSE),$BE25)))</f>
        <v>0.2</v>
      </c>
      <c r="BJ25" s="1068">
        <f>IF(ISNA(SQRT(SUMSQ(VLOOKUP($B25&amp;"; "&amp;$N$11&amp;", "&amp;$N$12,'FE Energie'!$G:$U,7,FALSE),$BF25))),0,SQRT(SUMSQ(VLOOKUP($B25&amp;"; "&amp;$N$11&amp;", "&amp;$N$12,'FE Energie'!$G:$U,7,FALSE),$BF25)))</f>
        <v>0.2</v>
      </c>
      <c r="BK25" s="1068">
        <f>IF(ISNA(SQRT(SUMSQ(VLOOKUP($B25&amp;"; "&amp;$Q$11&amp;", "&amp;$Q$12,'FE Energie'!$G:$U,7,FALSE),$BG25))),0,SQRT(SUMSQ(VLOOKUP($B25&amp;"; "&amp;$Q$11&amp;", "&amp;$Q$12,'FE Energie'!$G:$U,7,FALSE),$BG25)))</f>
        <v>0</v>
      </c>
      <c r="BL25" s="1069">
        <f>IF(ISNA(SQRT(SUMSQ(VLOOKUP($B25&amp;"; "&amp;$H$11&amp;", "&amp;$I$12,'FE Energie'!$G:$U,7,FALSE),$BD25))),0,SQRT(SUMSQ(VLOOKUP($B25&amp;"; "&amp;$H$11&amp;", "&amp;$I$12,'FE Energie'!$G:$U,7,FALSE),$BD25)))</f>
        <v>0.2</v>
      </c>
      <c r="BM25" s="1070">
        <f>IF(ISNA(SQRT(SUMSQ(VLOOKUP($B25&amp;"; "&amp;$K$11&amp;", "&amp;$L$12,'FE Energie'!$G:$U,7,FALSE),$BE25))),0,SQRT(SUMSQ(VLOOKUP($B25&amp;"; "&amp;$K$11&amp;", "&amp;$L$12,'FE Energie'!$G:$U,7,FALSE),$BE25)))</f>
        <v>0.2</v>
      </c>
      <c r="BN25" s="1070">
        <f>IF(ISNA(SQRT(SUMSQ(VLOOKUP($B25&amp;"; "&amp;$N$11&amp;", "&amp;$O$12,'FE Energie'!$G:$U,7,FALSE),$BF25))),0,SQRT(SUMSQ(VLOOKUP($B25&amp;"; "&amp;$N$11&amp;", "&amp;$O$12,'FE Energie'!$G:$U,7,FALSE),$BF25)))</f>
        <v>0.2</v>
      </c>
      <c r="BO25" s="1071">
        <f>IF(ISNA(SQRT(SUMSQ(VLOOKUP($B25&amp;"; "&amp;$Q$11&amp;", "&amp;$R$12,'FE Energie'!$G:$U,7,FALSE),$BG25))),0,SQRT(SUMSQ(VLOOKUP($B25&amp;"; "&amp;$Q$11&amp;", "&amp;$R$12,'FE Energie'!$G:$U,7,FALSE),$BG25)))</f>
        <v>0</v>
      </c>
    </row>
    <row r="26" spans="1:67" s="116" customFormat="1" ht="12.75" hidden="1" customHeight="1" outlineLevel="1">
      <c r="A26" s="114"/>
      <c r="B26" s="143" t="s">
        <v>1639</v>
      </c>
      <c r="C26" s="144"/>
      <c r="D26" s="315">
        <f t="shared" si="0"/>
        <v>0</v>
      </c>
      <c r="E26" s="315"/>
      <c r="F26" s="849"/>
      <c r="G26" s="345"/>
      <c r="H26" s="335" t="e">
        <f>VLOOKUP($B26&amp;"; "&amp;$H$11&amp;", "&amp;H$12,'FE Energie'!$G:$U,9,FALSE)</f>
        <v>#N/A</v>
      </c>
      <c r="I26" s="335" t="e">
        <f>VLOOKUP($B26&amp;"; "&amp;$H$11&amp;", "&amp;I$12,'FE Energie'!$G:$U,9,FALSE)</f>
        <v>#N/A</v>
      </c>
      <c r="J26" s="345"/>
      <c r="K26" s="223" t="e">
        <f>VLOOKUP($B26&amp;"; "&amp;$K$11&amp;", "&amp;K$12,'FE Energie'!$G:$U,9,FALSE)</f>
        <v>#N/A</v>
      </c>
      <c r="L26" s="223" t="e">
        <f>VLOOKUP($B26&amp;"; "&amp;$K$11&amp;", "&amp;L$12,'FE Energie'!$G:$U,9,FALSE)</f>
        <v>#N/A</v>
      </c>
      <c r="M26" s="1086"/>
      <c r="N26" s="217" t="e">
        <f>VLOOKUP($B26&amp;"; "&amp;$N$11&amp;", "&amp;N$12,'FE Energie'!$G:$U,9,FALSE)</f>
        <v>#N/A</v>
      </c>
      <c r="O26" s="217" t="e">
        <f>VLOOKUP($B26&amp;"; "&amp;$N$11&amp;", "&amp;O$12,'FE Energie'!$G:$U,9,FALSE)</f>
        <v>#N/A</v>
      </c>
      <c r="P26" s="1086"/>
      <c r="Q26" s="223" t="e">
        <f>VLOOKUP($B26&amp;"; "&amp;$Q$11&amp;", "&amp;Q$12,'FE Energie'!$G:$U,9,FALSE)</f>
        <v>#N/A</v>
      </c>
      <c r="R26" s="223" t="e">
        <f>VLOOKUP($B26&amp;"; "&amp;$Q$11&amp;", "&amp;R$12,'FE Energie'!$G:$U,9,FALSE)</f>
        <v>#N/A</v>
      </c>
      <c r="S26" s="566">
        <f>IF(ISNA(G26*H26),0,G26*H26)+IF(ISNA(J26*K26),0,J26*K26)+IF(ISNA(M26*N26),0,M26*N26)+IF(ISNA(P26*Q26),0,P26*Q26)</f>
        <v>0</v>
      </c>
      <c r="T26" s="567">
        <f>IF(ISNA(G26*I26),0,G26*I26)+IF(ISNA(J26*L26),0,J26*L26)+IF(ISNA(M26*O26),0,M26*O26)+IF(ISNA(P26*R26),0,P26*R26)</f>
        <v>0</v>
      </c>
      <c r="U26" s="114"/>
      <c r="V26" s="1092">
        <f>IF(AC26=0,AC26,AC26/(S26+T26))</f>
        <v>0</v>
      </c>
      <c r="W26" s="345"/>
      <c r="X26" s="820"/>
      <c r="Y26" s="164">
        <f>SQRT(SUMSQ(IF(ISNA($G26*H26*BH26),0,$G26*H26*BH26),IF(ISNA($J26*K26*BI26),0,$J26*K26*BI26),IF(ISNA($M26*N26*BJ26),0,$M26*N26*BJ26),IF(ISNA($P26*Q26*BK26),0,$P26*Q26*BK26)))</f>
        <v>0</v>
      </c>
      <c r="Z26" s="164">
        <f>SQRT(SUMSQ(IF(ISNA($G26*I26*BL26),0,$G26*I26*BL26),IF(ISNA($J26*L26*BM26),0,$J26*L26*BM26),IF(ISNA($M26*O26*BN26),0,$M26*O26*BN26),IF(ISNA($P26*R26*BO26),0,$P26*R26*BO26)))</f>
        <v>0</v>
      </c>
      <c r="AA26" s="164"/>
      <c r="AB26" s="164"/>
      <c r="AC26" s="152">
        <f>SQRT(SUMSQ(Y26,Z26))</f>
        <v>0</v>
      </c>
      <c r="AD26" s="114"/>
      <c r="AE26" s="564">
        <f>$G26*IF(ISNA(VLOOKUP($B26&amp;"; "&amp;$H$11&amp;", "&amp;H$12,'FE Energie'!$G:$U,10,FALSE)),0,VLOOKUP($B26&amp;"; "&amp;$H$11&amp;", "&amp;H$12,'FE Energie'!$G:$U,10,FALSE))
+$J26*IF(ISNA(VLOOKUP($B26&amp;"; "&amp;$K$11&amp;", "&amp;H$12,'FE Energie'!$G:$U,10,FALSE)),0,VLOOKUP($B26&amp;"; "&amp;$K$11&amp;", "&amp;H$12,'FE Energie'!$G:$U,10,FALSE))
+$M26*IF(ISNA(VLOOKUP($B26&amp;"; "&amp;$N$11&amp;", "&amp;H$12,'FE Energie'!$G:$U,10,FALSE)),0,VLOOKUP($B26&amp;"; "&amp;$N$11&amp;", "&amp;H$12,'FE Energie'!$G:$U,10,FALSE))
+$P26*IF(ISNA(VLOOKUP($B26&amp;"; "&amp;$Q$11&amp;", "&amp;H$12,'FE Energie'!$G:$U,10,FALSE)),0,VLOOKUP($B26&amp;"; "&amp;$Q$11&amp;", "&amp;H$12,'FE Energie'!$G:$U,10,FALSE))</f>
        <v>0</v>
      </c>
      <c r="AF26" s="565">
        <f>$G26*IF(ISNA(VLOOKUP($B26&amp;"; "&amp;$H$11&amp;", "&amp;I$12,'FE Energie'!$G:$U,10,FALSE)),0,VLOOKUP($B26&amp;"; "&amp;$H$11&amp;", "&amp;I$12,'FE Energie'!$G:$U,10,FALSE))
+$J26*IF(ISNA(VLOOKUP($B26&amp;"; "&amp;$K$11&amp;", "&amp;I$12,'FE Energie'!$G:$U,10,FALSE)),0,VLOOKUP($B26&amp;"; "&amp;$K$11&amp;", "&amp;I$12,'FE Energie'!$G:$U,10,FALSE))
+$M26*IF(ISNA(VLOOKUP($B26&amp;"; "&amp;$N$11&amp;", "&amp;I$12,'FE Energie'!$G:$U,10,FALSE)),0,VLOOKUP($B26&amp;"; "&amp;$N$11&amp;", "&amp;I$12,'FE Energie'!$G:$U,10,FALSE))
+$P26*IF(ISNA(VLOOKUP($B26&amp;"; "&amp;$Q$11&amp;", "&amp;I$12,'FE Energie'!$G:$U,10,FALSE)),0,VLOOKUP($B26&amp;"; "&amp;$Q$11&amp;", "&amp;I$12,'FE Energie'!$G:$U,10,FALSE))</f>
        <v>0</v>
      </c>
      <c r="AG26" s="565"/>
      <c r="AH26" s="565"/>
      <c r="AI26" s="565">
        <f>$G26*IF(ISNA((VLOOKUP($B26&amp;"; "&amp;$H$11&amp;", "&amp;H$12,'FE Energie'!$G:$U,12,FALSE)+VLOOKUP($B26&amp;"; "&amp;$H$11&amp;", "&amp;H$12,'FE Energie'!$G:$U,11,FALSE))),0,(VLOOKUP($B26&amp;"; "&amp;$H$11&amp;", "&amp;H$12,'FE Energie'!$G:$U,12,FALSE)+VLOOKUP($B26&amp;"; "&amp;$H$11&amp;", "&amp;H$12,'FE Energie'!$G:$U,11,FALSE)))
+$J26*IF(ISNA((VLOOKUP($B26&amp;"; "&amp;$K$11&amp;", "&amp;H$12,'FE Energie'!$G:$U,12,FALSE)+VLOOKUP($B26&amp;"; "&amp;$K$11&amp;", "&amp;H$12,'FE Energie'!$G:$U,11,FALSE))),0,(VLOOKUP($B26&amp;"; "&amp;$K$11&amp;", "&amp;H$12,'FE Energie'!$G:$U,12,FALSE)+VLOOKUP($B26&amp;"; "&amp;$K$11&amp;", "&amp;H$12,'FE Energie'!$G:$U,11,FALSE)))
+$M26*IF(ISNA((VLOOKUP($B26&amp;"; "&amp;$N$11&amp;", "&amp;H$12,'FE Energie'!$G:$U,12,FALSE)+VLOOKUP($B26&amp;"; "&amp;$N$11&amp;", "&amp;H$12,'FE Energie'!$G:$U,11,FALSE))),0,(VLOOKUP($B26&amp;"; "&amp;$N$11&amp;", "&amp;H$12,'FE Energie'!$G:$U,12,FALSE)+VLOOKUP($B26&amp;"; "&amp;$N$11&amp;", "&amp;H$12,'FE Energie'!$G:$U,11,FALSE)))
+$P26*IF(ISNA((VLOOKUP($B26&amp;"; "&amp;$Q$11&amp;", "&amp;H$12,'FE Energie'!$G:$U,12,FALSE)+VLOOKUP($B26&amp;"; "&amp;$Q$11&amp;", "&amp;H$12,'FE Energie'!$G:$U,11,FALSE))),0,(VLOOKUP($B26&amp;"; "&amp;$Q$11&amp;", "&amp;H$12,'FE Energie'!$G:$U,12,FALSE)+VLOOKUP($B26&amp;"; "&amp;$Q$11&amp;", "&amp;H$12,'FE Energie'!$G:$U,11,FALSE)))</f>
        <v>0</v>
      </c>
      <c r="AJ26" s="565">
        <f>$G26*IF(ISNA((VLOOKUP($B26&amp;"; "&amp;$H$11&amp;", "&amp;I$12,'FE Energie'!$G:$U,12,FALSE)+VLOOKUP($B26&amp;"; "&amp;$H$11&amp;", "&amp;I$12,'FE Energie'!$G:$U,11,FALSE))),0,(VLOOKUP($B26&amp;"; "&amp;$H$11&amp;", "&amp;I$12,'FE Energie'!$G:$U,12,FALSE)+VLOOKUP($B26&amp;"; "&amp;$H$11&amp;", "&amp;I$12,'FE Energie'!$G:$U,11,FALSE)))
+$J26*IF(ISNA((VLOOKUP($B26&amp;"; "&amp;$K$11&amp;", "&amp;I$12,'FE Energie'!$G:$U,12,FALSE)+VLOOKUP($B26&amp;"; "&amp;$K$11&amp;", "&amp;I$12,'FE Energie'!$G:$U,11,FALSE))),0,(VLOOKUP($B26&amp;"; "&amp;$K$11&amp;", "&amp;I$12,'FE Energie'!$G:$U,12,FALSE)+VLOOKUP($B26&amp;"; "&amp;$K$11&amp;", "&amp;I$12,'FE Energie'!$G:$U,11,FALSE)))
+$M26*IF(ISNA((VLOOKUP($B26&amp;"; "&amp;$N$11&amp;", "&amp;I$12,'FE Energie'!$G:$U,12,FALSE)+VLOOKUP($B26&amp;"; "&amp;$N$11&amp;", "&amp;I$12,'FE Energie'!$G:$U,11,FALSE))),0,(VLOOKUP($B26&amp;"; "&amp;$N$11&amp;", "&amp;I$12,'FE Energie'!$G:$U,12,FALSE)+VLOOKUP($B26&amp;"; "&amp;$N$11&amp;", "&amp;I$12,'FE Energie'!$G:$U,11,FALSE)))
+$P26*IF(ISNA((VLOOKUP($B26&amp;"; "&amp;$Q$11&amp;", "&amp;I$12,'FE Energie'!$G:$U,12,FALSE)+VLOOKUP($B26&amp;"; "&amp;$Q$11&amp;", "&amp;I$12,'FE Energie'!$G:$U,11,FALSE))),0,(VLOOKUP($B26&amp;"; "&amp;$Q$11&amp;", "&amp;I$12,'FE Energie'!$G:$U,12,FALSE)+VLOOKUP($B26&amp;"; "&amp;$Q$11&amp;", "&amp;I$12,'FE Energie'!$G:$U,11,FALSE)))</f>
        <v>0</v>
      </c>
      <c r="AK26" s="565"/>
      <c r="AL26" s="565"/>
      <c r="AM26" s="565">
        <f>$G26*IF(ISNA(VLOOKUP($B26&amp;"; "&amp;$H$11&amp;", "&amp;H$12,'FE Energie'!$G:$U,13,FALSE)),0,VLOOKUP($B26&amp;"; "&amp;$H$11&amp;", "&amp;H$12,'FE Energie'!$G:$U,13,FALSE))
+$J26*IF(ISNA(VLOOKUP($B26&amp;"; "&amp;$K$11&amp;", "&amp;H$12,'FE Energie'!$G:$U,13,FALSE)),0,VLOOKUP($B26&amp;"; "&amp;$K$11&amp;", "&amp;H$12,'FE Energie'!$G:$U,13,FALSE))
+$M26*IF(ISNA(VLOOKUP($B26&amp;"; "&amp;$N$11&amp;", "&amp;H$12,'FE Energie'!$G:$U,13,FALSE)),0,VLOOKUP($B26&amp;"; "&amp;$N$11&amp;", "&amp;H$12,'FE Energie'!$G:$U,13,FALSE))
+$P26*IF(ISNA(VLOOKUP($B26&amp;"; "&amp;$Q$11&amp;", "&amp;H$12,'FE Energie'!$G:$U,13,FALSE)),0,VLOOKUP($B26&amp;"; "&amp;$Q$11&amp;", "&amp;H$12,'FE Energie'!$G:$U,13,FALSE))</f>
        <v>0</v>
      </c>
      <c r="AN26" s="565">
        <f>$G26*IF(ISNA(VLOOKUP($B26&amp;"; "&amp;$H$11&amp;", "&amp;I$12,'FE Energie'!$G:$U,13,FALSE)),0,VLOOKUP($B26&amp;"; "&amp;$H$11&amp;", "&amp;I$12,'FE Energie'!$G:$U,13,FALSE))
+$J26*IF(ISNA(VLOOKUP($B26&amp;"; "&amp;$K$11&amp;", "&amp;I$12,'FE Energie'!$G:$U,13,FALSE)),0,VLOOKUP($B26&amp;"; "&amp;$K$11&amp;", "&amp;I$12,'FE Energie'!$G:$U,13,FALSE))
+$M26*IF(ISNA(VLOOKUP($B26&amp;"; "&amp;$N$11&amp;", "&amp;I$12,'FE Energie'!$G:$U,13,FALSE)),0,VLOOKUP($B26&amp;"; "&amp;$N$11&amp;", "&amp;I$12,'FE Energie'!$G:$U,13,FALSE))
+$P26*IF(ISNA(VLOOKUP($B26&amp;"; "&amp;$Q$11&amp;", "&amp;I$12,'FE Energie'!$G:$U,13,FALSE)),0,VLOOKUP($B26&amp;"; "&amp;$Q$11&amp;", "&amp;I$12,'FE Energie'!$G:$U,13,FALSE))</f>
        <v>0</v>
      </c>
      <c r="AO26" s="565"/>
      <c r="AP26" s="565"/>
      <c r="AQ26" s="565">
        <f>$G26*IF(ISNA(VLOOKUP($B26&amp;"; "&amp;$H$11&amp;", "&amp;H$12,'FE Energie'!$G:$U,14,FALSE)),0,VLOOKUP($B26&amp;"; "&amp;$H$11&amp;", "&amp;H$12,'FE Energie'!$G:$U,14,FALSE))
+$J26*IF(ISNA(VLOOKUP($B26&amp;"; "&amp;$K$11&amp;", "&amp;H$12,'FE Energie'!$G:$U,14,FALSE)),0,VLOOKUP($B26&amp;"; "&amp;$K$11&amp;", "&amp;H$12,'FE Energie'!$G:$U,14,FALSE))
+$M26*IF(ISNA(VLOOKUP($B26&amp;"; "&amp;$N$11&amp;", "&amp;H$12,'FE Energie'!$G:$U,14,FALSE)),0,VLOOKUP($B26&amp;"; "&amp;$N$11&amp;", "&amp;H$12,'FE Energie'!$G:$U,14,FALSE))
+$P26*IF(ISNA(VLOOKUP($B26&amp;"; "&amp;$Q$11&amp;", "&amp;H$12,'FE Energie'!$G:$U,14,FALSE)),0,VLOOKUP($B26&amp;"; "&amp;$Q$11&amp;", "&amp;H$12,'FE Energie'!$G:$U,14,FALSE))</f>
        <v>0</v>
      </c>
      <c r="AR26" s="565">
        <f>$G26*IF(ISNA(VLOOKUP($B26&amp;"; "&amp;$H$11&amp;", "&amp;I$12,'FE Energie'!$G:$U,14,FALSE)),0,VLOOKUP($B26&amp;"; "&amp;$H$11&amp;", "&amp;I$12,'FE Energie'!$G:$U,14,FALSE))
+$J26*IF(ISNA(VLOOKUP($B26&amp;"; "&amp;$K$11&amp;", "&amp;I$12,'FE Energie'!$G:$U,14,FALSE)),0,VLOOKUP($B26&amp;"; "&amp;$K$11&amp;", "&amp;I$12,'FE Energie'!$G:$U,14,FALSE))
+$M26*IF(ISNA(VLOOKUP($B26&amp;"; "&amp;$N$11&amp;", "&amp;I$12,'FE Energie'!$G:$U,14,FALSE)),0,VLOOKUP($B26&amp;"; "&amp;$N$11&amp;", "&amp;I$12,'FE Energie'!$G:$U,14,FALSE))
+$P26*IF(ISNA(VLOOKUP($B26&amp;"; "&amp;$Q$11&amp;", "&amp;I$12,'FE Energie'!$G:$U,14,FALSE)),0,VLOOKUP($B26&amp;"; "&amp;$Q$11&amp;", "&amp;I$12,'FE Energie'!$G:$U,14,FALSE))</f>
        <v>0</v>
      </c>
      <c r="AS26" s="565"/>
      <c r="AT26" s="565"/>
      <c r="AU26" s="1288">
        <f t="shared" si="1"/>
        <v>0</v>
      </c>
      <c r="AV26" s="566">
        <f t="shared" si="2"/>
        <v>0</v>
      </c>
      <c r="AW26" s="566"/>
      <c r="AX26" s="567"/>
      <c r="AY26" s="565">
        <f>$G26*IF(ISNA(VLOOKUP($B26&amp;"; "&amp;$H$11&amp;", "&amp;H$12,'FE Energie'!$G:$U,15,FALSE)),0,VLOOKUP($B26&amp;"; "&amp;$H$11&amp;", "&amp;H$12,'FE Energie'!$G:$U,15,FALSE))
+$J26*IF(ISNA(VLOOKUP($B26&amp;"; "&amp;$K$11&amp;", "&amp;H$12,'FE Energie'!$G:$U,15,FALSE)),0,VLOOKUP($B26&amp;"; "&amp;$K$11&amp;", "&amp;H$12,'FE Energie'!$G:$U,15,FALSE))
+$M26*IF(ISNA(VLOOKUP($B26&amp;"; "&amp;$N$11&amp;", "&amp;H$12,'FE Energie'!$G:$U,15,FALSE)),0,VLOOKUP($B26&amp;"; "&amp;$N$11&amp;", "&amp;H$12,'FE Energie'!$G:$U,15,FALSE))
+$P26*IF(ISNA(VLOOKUP($B26&amp;"; "&amp;$Q$11&amp;", "&amp;H$12,'FE Energie'!$G:$U,15,FALSE)),0,VLOOKUP($B26&amp;"; "&amp;$Q$11&amp;", "&amp;H$12,'FE Energie'!$G:$U,15,FALSE))</f>
        <v>0</v>
      </c>
      <c r="AZ26" s="565">
        <f>$G26*IF(ISNA(VLOOKUP($B26&amp;"; "&amp;$H$11&amp;", "&amp;I$12,'FE Energie'!$G:$U,15,FALSE)),0,VLOOKUP($B26&amp;"; "&amp;$H$11&amp;", "&amp;I$12,'FE Energie'!$G:$U,15,FALSE))
+$J26*IF(ISNA(VLOOKUP($B26&amp;"; "&amp;$K$11&amp;", "&amp;I$12,'FE Energie'!$G:$U,15,FALSE)),0,VLOOKUP($B26&amp;"; "&amp;$K$11&amp;", "&amp;I$12,'FE Energie'!$G:$U,15,FALSE))
+$M26*IF(ISNA(VLOOKUP($B26&amp;"; "&amp;$N$11&amp;", "&amp;I$12,'FE Energie'!$G:$U,15,FALSE)),0,VLOOKUP($B26&amp;"; "&amp;$N$11&amp;", "&amp;I$12,'FE Energie'!$G:$U,15,FALSE))
+$P26*IF(ISNA(VLOOKUP($B26&amp;"; "&amp;$Q$11&amp;", "&amp;I$12,'FE Energie'!$G:$U,15,FALSE)),0,VLOOKUP($B26&amp;"; "&amp;$Q$11&amp;", "&amp;I$12,'FE Energie'!$G:$U,15,FALSE))</f>
        <v>0</v>
      </c>
      <c r="BA26" s="565"/>
      <c r="BB26" s="568"/>
      <c r="BD26" s="1065">
        <f>IF($W26&lt;&gt;"votre valeur :",IF(ISNA(VLOOKUP($W26,Utilitaires!$N$566:$O$571,2,FALSE)),,VLOOKUP($W26,Utilitaires!$N$566:$O$571,2,FALSE)),$X26)</f>
        <v>0</v>
      </c>
      <c r="BE26" s="1066">
        <f>IF($W26&lt;&gt;"votre valeur :",IF(ISNA(VLOOKUP($W26,Utilitaires!$N$566:$O$571,2,FALSE)),,VLOOKUP($W26,Utilitaires!$N$566:$O$571,2,FALSE)),$X26)</f>
        <v>0</v>
      </c>
      <c r="BF26" s="1066">
        <f>IF($W26&lt;&gt;"votre valeur :",IF(ISNA(VLOOKUP($W26,Utilitaires!$N$566:$O$571,2,FALSE)),,VLOOKUP($W26,Utilitaires!$N$566:$O$571,2,FALSE)),$X26)</f>
        <v>0</v>
      </c>
      <c r="BG26" s="1067">
        <f>IF($W26&lt;&gt;"votre valeur :",IF(ISNA(VLOOKUP($W26,Utilitaires!$N$566:$O$571,2,FALSE)),,VLOOKUP($W26,Utilitaires!$N$566:$O$571,2,FALSE)),$X26)</f>
        <v>0</v>
      </c>
      <c r="BH26" s="1068">
        <f>IF(ISNA(SQRT(SUMSQ(VLOOKUP($B26&amp;"; "&amp;$H$11&amp;", "&amp;$H$12,'FE Energie'!$G:$U,7,FALSE),$BD26))),0,SQRT(SUMSQ(VLOOKUP($B26&amp;"; "&amp;$H$11&amp;", "&amp;$H$12,'FE Energie'!$G:$U,7,FALSE),$BD26)))</f>
        <v>0</v>
      </c>
      <c r="BI26" s="1068">
        <f>IF(ISNA(SQRT(SUMSQ(VLOOKUP($B26&amp;"; "&amp;$K$11&amp;", "&amp;$K$12,'FE Energie'!$G:$U,7,FALSE),$BE26))),0,SQRT(SUMSQ(VLOOKUP($B26&amp;"; "&amp;$K$11&amp;", "&amp;$K$12,'FE Energie'!$G:$U,7,FALSE),$BE26)))</f>
        <v>0</v>
      </c>
      <c r="BJ26" s="1068">
        <f>IF(ISNA(SQRT(SUMSQ(VLOOKUP($B26&amp;"; "&amp;$N$11&amp;", "&amp;$N$12,'FE Energie'!$G:$U,7,FALSE),$BF26))),0,SQRT(SUMSQ(VLOOKUP($B26&amp;"; "&amp;$N$11&amp;", "&amp;$N$12,'FE Energie'!$G:$U,7,FALSE),$BF26)))</f>
        <v>0</v>
      </c>
      <c r="BK26" s="1068">
        <f>IF(ISNA(SQRT(SUMSQ(VLOOKUP($B26&amp;"; "&amp;$Q$11&amp;", "&amp;$Q$12,'FE Energie'!$G:$U,7,FALSE),$BG26))),0,SQRT(SUMSQ(VLOOKUP($B26&amp;"; "&amp;$Q$11&amp;", "&amp;$Q$12,'FE Energie'!$G:$U,7,FALSE),$BG26)))</f>
        <v>0</v>
      </c>
      <c r="BL26" s="1069">
        <f>IF(ISNA(SQRT(SUMSQ(VLOOKUP($B26&amp;"; "&amp;$H$11&amp;", "&amp;$I$12,'FE Energie'!$G:$U,7,FALSE),$BD26))),0,SQRT(SUMSQ(VLOOKUP($B26&amp;"; "&amp;$H$11&amp;", "&amp;$I$12,'FE Energie'!$G:$U,7,FALSE),$BD26)))</f>
        <v>0</v>
      </c>
      <c r="BM26" s="1070">
        <f>IF(ISNA(SQRT(SUMSQ(VLOOKUP($B26&amp;"; "&amp;$K$11&amp;", "&amp;$L$12,'FE Energie'!$G:$U,7,FALSE),$BE26))),0,SQRT(SUMSQ(VLOOKUP($B26&amp;"; "&amp;$K$11&amp;", "&amp;$L$12,'FE Energie'!$G:$U,7,FALSE),$BE26)))</f>
        <v>0</v>
      </c>
      <c r="BN26" s="1070">
        <f>IF(ISNA(SQRT(SUMSQ(VLOOKUP($B26&amp;"; "&amp;$N$11&amp;", "&amp;$O$12,'FE Energie'!$G:$U,7,FALSE),$BF26))),0,SQRT(SUMSQ(VLOOKUP($B26&amp;"; "&amp;$N$11&amp;", "&amp;$O$12,'FE Energie'!$G:$U,7,FALSE),$BF26)))</f>
        <v>0</v>
      </c>
      <c r="BO26" s="1071">
        <f>IF(ISNA(SQRT(SUMSQ(VLOOKUP($B26&amp;"; "&amp;$Q$11&amp;", "&amp;$R$12,'FE Energie'!$G:$U,7,FALSE),$BG26))),0,SQRT(SUMSQ(VLOOKUP($B26&amp;"; "&amp;$Q$11&amp;", "&amp;$R$12,'FE Energie'!$G:$U,7,FALSE),$BG26)))</f>
        <v>0</v>
      </c>
    </row>
    <row r="27" spans="1:67" s="116" customFormat="1" ht="12.75" hidden="1" customHeight="1" outlineLevel="1">
      <c r="A27" s="114"/>
      <c r="B27" s="143"/>
      <c r="C27" s="144"/>
      <c r="D27" s="315"/>
      <c r="E27" s="315"/>
      <c r="F27" s="822"/>
      <c r="G27" s="822"/>
      <c r="H27" s="335"/>
      <c r="I27" s="335"/>
      <c r="J27" s="822"/>
      <c r="K27" s="223"/>
      <c r="L27" s="223"/>
      <c r="M27" s="1200"/>
      <c r="N27" s="217"/>
      <c r="O27" s="217"/>
      <c r="P27" s="822"/>
      <c r="Q27" s="223"/>
      <c r="R27" s="223"/>
      <c r="S27" s="566"/>
      <c r="T27" s="567"/>
      <c r="U27" s="114"/>
      <c r="V27" s="1092"/>
      <c r="W27" s="822"/>
      <c r="X27" s="820"/>
      <c r="Y27" s="164"/>
      <c r="Z27" s="164"/>
      <c r="AA27" s="164"/>
      <c r="AB27" s="164"/>
      <c r="AC27" s="152"/>
      <c r="AD27" s="114"/>
      <c r="AE27" s="564"/>
      <c r="AF27" s="565"/>
      <c r="AG27" s="565"/>
      <c r="AH27" s="565"/>
      <c r="AI27" s="565"/>
      <c r="AJ27" s="565"/>
      <c r="AK27" s="565"/>
      <c r="AL27" s="565"/>
      <c r="AM27" s="565"/>
      <c r="AN27" s="565"/>
      <c r="AO27" s="565"/>
      <c r="AP27" s="565"/>
      <c r="AQ27" s="565"/>
      <c r="AR27" s="565"/>
      <c r="AS27" s="565"/>
      <c r="AT27" s="565"/>
      <c r="AU27" s="1411"/>
      <c r="AV27" s="1313"/>
      <c r="AW27" s="1313"/>
      <c r="AX27" s="1314"/>
      <c r="AY27" s="565"/>
      <c r="AZ27" s="565"/>
      <c r="BA27" s="565"/>
      <c r="BB27" s="568"/>
      <c r="BD27" s="1058"/>
      <c r="BE27" s="1072"/>
      <c r="BF27" s="1072"/>
      <c r="BG27" s="1059"/>
      <c r="BH27" s="1073"/>
      <c r="BI27" s="1073"/>
      <c r="BJ27" s="1073"/>
      <c r="BK27" s="1074"/>
      <c r="BL27" s="1075"/>
      <c r="BM27" s="1076"/>
      <c r="BN27" s="1076"/>
      <c r="BO27" s="1077"/>
    </row>
    <row r="28" spans="1:67" s="116" customFormat="1" ht="12.75" hidden="1" customHeight="1" outlineLevel="1">
      <c r="A28" s="114"/>
      <c r="B28" s="196" t="s">
        <v>348</v>
      </c>
      <c r="C28" s="197"/>
      <c r="D28" s="202">
        <f>SUM(D13:D27)</f>
        <v>0</v>
      </c>
      <c r="E28" s="202"/>
      <c r="F28" s="198"/>
      <c r="G28" s="199"/>
      <c r="H28" s="199"/>
      <c r="I28" s="199"/>
      <c r="J28" s="199"/>
      <c r="K28" s="199"/>
      <c r="L28" s="199"/>
      <c r="M28" s="1489"/>
      <c r="N28" s="199"/>
      <c r="O28" s="199"/>
      <c r="P28" s="199"/>
      <c r="Q28" s="199"/>
      <c r="R28" s="199"/>
      <c r="S28" s="202">
        <f>SUM(S13:S27)</f>
        <v>0</v>
      </c>
      <c r="T28" s="200">
        <f>SUM(T13:T27)</f>
        <v>0</v>
      </c>
      <c r="U28" s="114"/>
      <c r="V28" s="1093">
        <f>IF(AC28=0,AC28,AC28/(S28+T28))</f>
        <v>0</v>
      </c>
      <c r="W28" s="821"/>
      <c r="X28" s="1636"/>
      <c r="Y28" s="1636">
        <f>SQRT(SUMSQ(Y13:Y27))</f>
        <v>0</v>
      </c>
      <c r="Z28" s="1636">
        <f>SQRT(SUMSQ(Z13:Z27))</f>
        <v>0</v>
      </c>
      <c r="AA28" s="1636"/>
      <c r="AB28" s="1636"/>
      <c r="AC28" s="200">
        <f>SQRT(SUMSQ(AC13:AC27))</f>
        <v>0</v>
      </c>
      <c r="AD28" s="114"/>
      <c r="AE28" s="1082">
        <f>SUM(AE13:AE27)</f>
        <v>0</v>
      </c>
      <c r="AF28" s="572">
        <f>SUM(AF13:AF27)</f>
        <v>0</v>
      </c>
      <c r="AG28" s="572"/>
      <c r="AH28" s="572"/>
      <c r="AI28" s="572">
        <f>SUM(AI13:AI27)</f>
        <v>0</v>
      </c>
      <c r="AJ28" s="572">
        <f>SUM(AJ13:AJ27)</f>
        <v>0</v>
      </c>
      <c r="AK28" s="572"/>
      <c r="AL28" s="572"/>
      <c r="AM28" s="572">
        <f>SUM(AM13:AM27)</f>
        <v>0</v>
      </c>
      <c r="AN28" s="572">
        <f>SUM(AN13:AN27)</f>
        <v>0</v>
      </c>
      <c r="AO28" s="572"/>
      <c r="AP28" s="572"/>
      <c r="AQ28" s="572">
        <f>SUM(AQ13:AQ27)</f>
        <v>0</v>
      </c>
      <c r="AR28" s="572">
        <f>SUM(AR13:AR27)</f>
        <v>0</v>
      </c>
      <c r="AS28" s="572"/>
      <c r="AT28" s="572"/>
      <c r="AU28" s="1487">
        <f>SUM(AU13:AU27)</f>
        <v>0</v>
      </c>
      <c r="AV28" s="1312">
        <f>SUM(AV13:AV27)</f>
        <v>0</v>
      </c>
      <c r="AW28" s="1312"/>
      <c r="AX28" s="1488"/>
      <c r="AY28" s="572">
        <f>SUM(AY13:AY27)</f>
        <v>0</v>
      </c>
      <c r="AZ28" s="572">
        <f>SUM(AZ13:AZ27)</f>
        <v>0</v>
      </c>
      <c r="BA28" s="572"/>
      <c r="BB28" s="575"/>
      <c r="BD28" s="114"/>
      <c r="BE28" s="114"/>
      <c r="BF28" s="114"/>
      <c r="BG28" s="114"/>
      <c r="BH28" s="114"/>
      <c r="BI28" s="114"/>
      <c r="BJ28" s="114"/>
      <c r="BK28" s="114"/>
      <c r="BL28" s="114"/>
      <c r="BM28" s="114"/>
      <c r="BN28" s="114"/>
      <c r="BO28" s="114"/>
    </row>
    <row r="29" spans="1:67" s="116" customFormat="1" ht="12.75" hidden="1" customHeight="1" outlineLevel="1">
      <c r="A29" s="114"/>
      <c r="B29" s="114"/>
      <c r="C29" s="114"/>
      <c r="D29" s="114"/>
      <c r="E29" s="114"/>
      <c r="F29" s="114"/>
      <c r="G29" s="114"/>
      <c r="H29" s="114"/>
      <c r="I29" s="114"/>
      <c r="J29" s="114"/>
      <c r="K29" s="114"/>
      <c r="L29" s="114"/>
      <c r="M29" s="1490"/>
      <c r="N29" s="114"/>
      <c r="O29" s="114"/>
      <c r="P29" s="114"/>
      <c r="Q29" s="114"/>
      <c r="R29" s="114"/>
      <c r="S29" s="114"/>
      <c r="T29" s="114"/>
      <c r="U29" s="114"/>
      <c r="V29" s="114"/>
      <c r="W29" s="126"/>
      <c r="X29" s="126"/>
      <c r="Y29" s="114"/>
      <c r="Z29" s="114"/>
      <c r="AA29" s="114"/>
      <c r="AB29" s="114"/>
      <c r="AC29" s="114"/>
      <c r="AD29" s="114"/>
      <c r="AE29" s="441"/>
      <c r="AF29" s="441"/>
      <c r="AG29" s="441"/>
      <c r="AH29" s="441"/>
      <c r="AI29" s="441"/>
      <c r="AJ29" s="441"/>
      <c r="AK29" s="441"/>
      <c r="AL29" s="441"/>
      <c r="AM29" s="441"/>
      <c r="AN29" s="441"/>
      <c r="AO29" s="441"/>
      <c r="AP29" s="441"/>
      <c r="AQ29" s="441"/>
      <c r="AR29" s="441"/>
      <c r="AS29" s="441"/>
      <c r="AT29" s="441"/>
      <c r="AU29" s="441"/>
      <c r="AV29" s="441"/>
      <c r="AW29" s="441"/>
      <c r="AY29" s="441"/>
      <c r="AZ29" s="441"/>
      <c r="BA29" s="114"/>
      <c r="BD29" s="114"/>
      <c r="BE29" s="114"/>
      <c r="BF29" s="114"/>
      <c r="BG29" s="114"/>
      <c r="BH29" s="114"/>
      <c r="BI29" s="114"/>
      <c r="BJ29" s="114"/>
      <c r="BK29" s="114"/>
      <c r="BL29" s="114"/>
      <c r="BM29" s="114"/>
      <c r="BN29" s="114"/>
      <c r="BO29" s="114"/>
    </row>
    <row r="30" spans="1:67" s="116" customFormat="1" ht="12.75" hidden="1" customHeight="1" outlineLevel="1">
      <c r="A30" s="114"/>
      <c r="B30" s="139" t="s">
        <v>426</v>
      </c>
      <c r="C30" s="140"/>
      <c r="D30" s="141"/>
      <c r="E30" s="141"/>
      <c r="F30" s="1434"/>
      <c r="G30" s="141"/>
      <c r="H30" s="141"/>
      <c r="I30" s="141"/>
      <c r="J30" s="141"/>
      <c r="K30" s="141"/>
      <c r="L30" s="141"/>
      <c r="M30" s="1491"/>
      <c r="N30" s="141"/>
      <c r="O30" s="141"/>
      <c r="P30" s="141"/>
      <c r="Q30" s="141"/>
      <c r="R30" s="141"/>
      <c r="S30" s="141"/>
      <c r="T30" s="142"/>
      <c r="U30" s="114"/>
      <c r="V30" s="2636" t="s">
        <v>366</v>
      </c>
      <c r="W30" s="2637"/>
      <c r="X30" s="2637"/>
      <c r="Y30" s="2637"/>
      <c r="Z30" s="2637"/>
      <c r="AA30" s="2637"/>
      <c r="AB30" s="2637"/>
      <c r="AC30" s="2638"/>
      <c r="AD30" s="114"/>
      <c r="AE30" s="2639" t="s">
        <v>441</v>
      </c>
      <c r="AF30" s="2640"/>
      <c r="AG30" s="2640"/>
      <c r="AH30" s="2640"/>
      <c r="AI30" s="2640"/>
      <c r="AJ30" s="2640"/>
      <c r="AK30" s="2640"/>
      <c r="AL30" s="2640"/>
      <c r="AM30" s="2640"/>
      <c r="AN30" s="2640"/>
      <c r="AO30" s="2640"/>
      <c r="AP30" s="2640"/>
      <c r="AQ30" s="2640"/>
      <c r="AR30" s="2640"/>
      <c r="AS30" s="2640"/>
      <c r="AT30" s="2640"/>
      <c r="AU30" s="2640"/>
      <c r="AV30" s="2640"/>
      <c r="AW30" s="2640"/>
      <c r="AX30" s="2640"/>
      <c r="AY30" s="2640"/>
      <c r="AZ30" s="2640"/>
      <c r="BA30" s="2640"/>
      <c r="BB30" s="2641"/>
      <c r="BD30" s="114"/>
      <c r="BE30" s="114"/>
      <c r="BF30" s="114"/>
      <c r="BG30" s="114"/>
      <c r="BH30" s="114"/>
      <c r="BI30" s="114"/>
      <c r="BJ30" s="114"/>
      <c r="BK30" s="114"/>
      <c r="BL30" s="114"/>
      <c r="BM30" s="114"/>
      <c r="BN30" s="114"/>
      <c r="BO30" s="114"/>
    </row>
    <row r="31" spans="1:67" s="116" customFormat="1" ht="12.75" hidden="1" customHeight="1" outlineLevel="1">
      <c r="A31" s="114"/>
      <c r="B31" s="143"/>
      <c r="C31" s="144"/>
      <c r="D31" s="1440" t="s">
        <v>308</v>
      </c>
      <c r="E31" s="1663"/>
      <c r="F31" s="1426"/>
      <c r="G31" s="144"/>
      <c r="H31" s="144"/>
      <c r="I31" s="144"/>
      <c r="J31" s="144"/>
      <c r="K31" s="144"/>
      <c r="L31" s="144"/>
      <c r="M31" s="1492"/>
      <c r="N31" s="144"/>
      <c r="O31" s="144"/>
      <c r="P31" s="144"/>
      <c r="Q31" s="144"/>
      <c r="R31" s="144"/>
      <c r="S31" s="144"/>
      <c r="T31" s="145"/>
      <c r="U31" s="114"/>
      <c r="V31" s="159"/>
      <c r="W31" s="1443"/>
      <c r="X31" s="1443"/>
      <c r="Y31" s="1658"/>
      <c r="Z31" s="1658"/>
      <c r="AA31" s="1658"/>
      <c r="AB31" s="1658"/>
      <c r="AC31" s="142"/>
      <c r="AD31" s="114"/>
      <c r="AE31" s="1649" t="s">
        <v>444</v>
      </c>
      <c r="AF31" s="1650"/>
      <c r="AG31" s="1650"/>
      <c r="AH31" s="1650"/>
      <c r="AI31" s="1650"/>
      <c r="AJ31" s="1650"/>
      <c r="AK31" s="1650"/>
      <c r="AL31" s="1650"/>
      <c r="AM31" s="1650"/>
      <c r="AN31" s="1650"/>
      <c r="AO31" s="1650"/>
      <c r="AP31" s="1650"/>
      <c r="AQ31" s="1650"/>
      <c r="AR31" s="1650"/>
      <c r="AS31" s="1650"/>
      <c r="AT31" s="1650"/>
      <c r="AU31" s="2642" t="s">
        <v>444</v>
      </c>
      <c r="AV31" s="2643"/>
      <c r="AW31" s="2643"/>
      <c r="AX31" s="2644"/>
      <c r="AY31" s="566"/>
      <c r="AZ31" s="1650"/>
      <c r="BA31" s="1650"/>
      <c r="BB31" s="1668"/>
      <c r="BD31" s="2616" t="s">
        <v>1648</v>
      </c>
      <c r="BE31" s="2617"/>
      <c r="BF31" s="2617"/>
      <c r="BG31" s="2617"/>
      <c r="BH31" s="2617"/>
      <c r="BI31" s="2617"/>
      <c r="BJ31" s="2617"/>
      <c r="BK31" s="2617"/>
      <c r="BL31" s="2617"/>
      <c r="BM31" s="2617"/>
      <c r="BN31" s="2617"/>
      <c r="BO31" s="2618"/>
    </row>
    <row r="32" spans="1:67" s="127" customFormat="1" ht="12.75" hidden="1" customHeight="1" outlineLevel="1">
      <c r="A32" s="114"/>
      <c r="B32" s="1425" t="s">
        <v>383</v>
      </c>
      <c r="C32" s="1426"/>
      <c r="D32" s="1440" t="s">
        <v>409</v>
      </c>
      <c r="E32" s="1663"/>
      <c r="F32" s="147" t="s">
        <v>450</v>
      </c>
      <c r="G32" s="147" t="s">
        <v>343</v>
      </c>
      <c r="H32" s="2626" t="s">
        <v>1585</v>
      </c>
      <c r="I32" s="2627"/>
      <c r="J32" s="147" t="s">
        <v>343</v>
      </c>
      <c r="K32" s="2626" t="s">
        <v>1573</v>
      </c>
      <c r="L32" s="2627"/>
      <c r="M32" s="1493" t="s">
        <v>343</v>
      </c>
      <c r="N32" s="2626" t="s">
        <v>1575</v>
      </c>
      <c r="O32" s="2627"/>
      <c r="P32" s="147" t="s">
        <v>343</v>
      </c>
      <c r="Q32" s="2626" t="s">
        <v>1574</v>
      </c>
      <c r="R32" s="2628"/>
      <c r="S32" s="1440" t="s">
        <v>444</v>
      </c>
      <c r="T32" s="1446" t="s">
        <v>444</v>
      </c>
      <c r="U32" s="109"/>
      <c r="V32" s="1425" t="s">
        <v>316</v>
      </c>
      <c r="W32" s="2629" t="s">
        <v>316</v>
      </c>
      <c r="X32" s="2630"/>
      <c r="Y32" s="1656" t="s">
        <v>444</v>
      </c>
      <c r="Z32" s="1656" t="s">
        <v>444</v>
      </c>
      <c r="AA32" s="1656"/>
      <c r="AB32" s="1656"/>
      <c r="AC32" s="1446" t="s">
        <v>444</v>
      </c>
      <c r="AD32" s="114"/>
      <c r="AE32" s="1651" t="s">
        <v>211</v>
      </c>
      <c r="AF32" s="1652"/>
      <c r="AG32" s="1652"/>
      <c r="AH32" s="1652"/>
      <c r="AI32" s="1652" t="s">
        <v>442</v>
      </c>
      <c r="AJ32" s="1652"/>
      <c r="AK32" s="1652"/>
      <c r="AL32" s="1652"/>
      <c r="AM32" s="1652" t="s">
        <v>267</v>
      </c>
      <c r="AN32" s="1652"/>
      <c r="AO32" s="1652"/>
      <c r="AP32" s="1652"/>
      <c r="AQ32" s="1652" t="s">
        <v>443</v>
      </c>
      <c r="AR32" s="1652"/>
      <c r="AS32" s="1652"/>
      <c r="AT32" s="1652"/>
      <c r="AU32" s="2848" t="s">
        <v>327</v>
      </c>
      <c r="AV32" s="2648"/>
      <c r="AW32" s="2648"/>
      <c r="AX32" s="2649"/>
      <c r="AY32" s="1652" t="s">
        <v>636</v>
      </c>
      <c r="AZ32" s="1652"/>
      <c r="BA32" s="1652"/>
      <c r="BB32" s="1653"/>
      <c r="BD32" s="2614" t="s">
        <v>1646</v>
      </c>
      <c r="BE32" s="2645"/>
      <c r="BF32" s="2645"/>
      <c r="BG32" s="2615"/>
      <c r="BH32" s="2614" t="s">
        <v>1644</v>
      </c>
      <c r="BI32" s="2645"/>
      <c r="BJ32" s="2645"/>
      <c r="BK32" s="2615"/>
      <c r="BL32" s="2614" t="s">
        <v>1645</v>
      </c>
      <c r="BM32" s="2645"/>
      <c r="BN32" s="2645"/>
      <c r="BO32" s="2615"/>
    </row>
    <row r="33" spans="1:67" s="127" customFormat="1" ht="12.75" hidden="1" customHeight="1" outlineLevel="1">
      <c r="A33" s="114"/>
      <c r="B33" s="536" t="s">
        <v>1662</v>
      </c>
      <c r="C33" s="1426"/>
      <c r="D33" s="1427" t="s">
        <v>444</v>
      </c>
      <c r="E33" s="1657"/>
      <c r="F33" s="1439" t="s">
        <v>447</v>
      </c>
      <c r="G33" s="153" t="s">
        <v>287</v>
      </c>
      <c r="H33" s="1453" t="s">
        <v>411</v>
      </c>
      <c r="I33" s="1453" t="s">
        <v>257</v>
      </c>
      <c r="J33" s="1439" t="s">
        <v>790</v>
      </c>
      <c r="K33" s="1453" t="s">
        <v>411</v>
      </c>
      <c r="L33" s="1453" t="s">
        <v>257</v>
      </c>
      <c r="M33" s="1494" t="s">
        <v>791</v>
      </c>
      <c r="N33" s="1453" t="s">
        <v>411</v>
      </c>
      <c r="O33" s="1453" t="s">
        <v>257</v>
      </c>
      <c r="P33" s="1439" t="s">
        <v>213</v>
      </c>
      <c r="Q33" s="1453" t="s">
        <v>411</v>
      </c>
      <c r="R33" s="1453" t="s">
        <v>257</v>
      </c>
      <c r="S33" s="1427" t="s">
        <v>411</v>
      </c>
      <c r="T33" s="220" t="s">
        <v>257</v>
      </c>
      <c r="U33" s="109"/>
      <c r="V33" s="1425" t="s">
        <v>1649</v>
      </c>
      <c r="W33" s="2646" t="s">
        <v>1650</v>
      </c>
      <c r="X33" s="2647"/>
      <c r="Y33" s="1662" t="s">
        <v>411</v>
      </c>
      <c r="Z33" s="1662" t="s">
        <v>257</v>
      </c>
      <c r="AA33" s="1662"/>
      <c r="AB33" s="1662"/>
      <c r="AC33" s="162" t="s">
        <v>327</v>
      </c>
      <c r="AD33" s="114"/>
      <c r="AE33" s="1670" t="s">
        <v>411</v>
      </c>
      <c r="AF33" s="1671" t="s">
        <v>257</v>
      </c>
      <c r="AG33" s="1671"/>
      <c r="AH33" s="1671"/>
      <c r="AI33" s="1671" t="s">
        <v>411</v>
      </c>
      <c r="AJ33" s="1671" t="s">
        <v>257</v>
      </c>
      <c r="AK33" s="1671"/>
      <c r="AL33" s="1671"/>
      <c r="AM33" s="1671" t="s">
        <v>411</v>
      </c>
      <c r="AN33" s="1671" t="s">
        <v>257</v>
      </c>
      <c r="AO33" s="1671"/>
      <c r="AP33" s="1671"/>
      <c r="AQ33" s="1671" t="s">
        <v>411</v>
      </c>
      <c r="AR33" s="1671" t="s">
        <v>257</v>
      </c>
      <c r="AS33" s="1671"/>
      <c r="AT33" s="1671"/>
      <c r="AU33" s="1289" t="s">
        <v>411</v>
      </c>
      <c r="AV33" s="581" t="s">
        <v>257</v>
      </c>
      <c r="AW33" s="581"/>
      <c r="AX33" s="582"/>
      <c r="AY33" s="1671" t="s">
        <v>411</v>
      </c>
      <c r="AZ33" s="1671" t="s">
        <v>257</v>
      </c>
      <c r="BA33" s="1671"/>
      <c r="BB33" s="1672"/>
      <c r="BD33" s="1447" t="s">
        <v>1670</v>
      </c>
      <c r="BE33" s="1448" t="s">
        <v>1640</v>
      </c>
      <c r="BF33" s="1448" t="s">
        <v>1641</v>
      </c>
      <c r="BG33" s="1451" t="s">
        <v>1642</v>
      </c>
      <c r="BH33" s="1090" t="s">
        <v>1667</v>
      </c>
      <c r="BI33" s="1448" t="s">
        <v>1640</v>
      </c>
      <c r="BJ33" s="1448" t="s">
        <v>1641</v>
      </c>
      <c r="BK33" s="1451" t="s">
        <v>1642</v>
      </c>
      <c r="BL33" s="1447" t="s">
        <v>1670</v>
      </c>
      <c r="BM33" s="1448" t="s">
        <v>1640</v>
      </c>
      <c r="BN33" s="1448" t="s">
        <v>1641</v>
      </c>
      <c r="BO33" s="1451" t="s">
        <v>1642</v>
      </c>
    </row>
    <row r="34" spans="1:67" s="116" customFormat="1" ht="12.75" hidden="1" customHeight="1" outlineLevel="1">
      <c r="A34" s="114"/>
      <c r="B34" s="143" t="s">
        <v>1663</v>
      </c>
      <c r="C34" s="144"/>
      <c r="D34" s="315">
        <f>S34+T34</f>
        <v>0</v>
      </c>
      <c r="E34" s="315"/>
      <c r="F34" s="847"/>
      <c r="G34" s="343"/>
      <c r="H34" s="335" t="e">
        <f>VLOOKUP($B34&amp;"; "&amp;$H$32&amp;", "&amp;H$33,'FE Energie'!$G:$U,9,FALSE)</f>
        <v>#N/A</v>
      </c>
      <c r="I34" s="335" t="e">
        <f>VLOOKUP($B34&amp;"; "&amp;$H$32&amp;", "&amp;I$33,'FE Energie'!$G:$U,9,FALSE)</f>
        <v>#N/A</v>
      </c>
      <c r="J34" s="1113"/>
      <c r="K34" s="223" t="e">
        <f>VLOOKUP($B34&amp;"; "&amp;$K$32&amp;", "&amp;K$33,'FE Energie'!$G:$U,9,FALSE)</f>
        <v>#N/A</v>
      </c>
      <c r="L34" s="223" t="e">
        <f>VLOOKUP($B34&amp;"; "&amp;$K$32&amp;", "&amp;L$33,'FE Energie'!$G:$U,9,FALSE)</f>
        <v>#N/A</v>
      </c>
      <c r="M34" s="1085"/>
      <c r="N34" s="217" t="e">
        <f>VLOOKUP($B34&amp;"; "&amp;$N$11&amp;", "&amp;N$12,'FE Energie'!$G:$U,9,FALSE)</f>
        <v>#N/A</v>
      </c>
      <c r="O34" s="217" t="e">
        <f>VLOOKUP($B34&amp;"; "&amp;$N$32&amp;", "&amp;O$33,'FE Energie'!$G:$U,9,FALSE)</f>
        <v>#N/A</v>
      </c>
      <c r="P34" s="1085"/>
      <c r="Q34" s="223" t="e">
        <f>VLOOKUP($B34&amp;"; "&amp;$Q$32&amp;", "&amp;Q$33,'FE Energie'!$G:$U,9,FALSE)</f>
        <v>#N/A</v>
      </c>
      <c r="R34" s="223" t="e">
        <f>VLOOKUP($B34&amp;"; "&amp;$Q$32&amp;", "&amp;R$33,'FE Energie'!$G:$U,9,FALSE)</f>
        <v>#N/A</v>
      </c>
      <c r="S34" s="566">
        <f>IF(ISNA(G34*H34),0,G34*H34)+IF(ISNA(J34*K34),0,J34*K34)+IF(ISNA(M34*N34),0,M34*N34)+IF(ISNA(P34*Q34),0,P34*Q34)</f>
        <v>0</v>
      </c>
      <c r="T34" s="567">
        <f>IF(ISNA(G34*I34),0,G34*I34)+IF(ISNA(J34*L34),0,J34*L34)+IF(ISNA(M34*O34),0,M34*O34)+IF(ISNA(P34*R34),0,P34*R34)</f>
        <v>0</v>
      </c>
      <c r="U34" s="114"/>
      <c r="V34" s="1092">
        <f>IF(AC34=0,AC34,AC34/(S34+T34))</f>
        <v>0</v>
      </c>
      <c r="W34" s="343"/>
      <c r="X34" s="820"/>
      <c r="Y34" s="164">
        <f>SQRT(SUMSQ(IF(ISNA($G34*H34*BH34),0,$G34*H34*BH34),IF(ISNA($J34*K34*BI34),0,$J34*K34*BI34),IF(ISNA($M34*N34*BJ34),0,$M34*N34*BJ34),IF(ISNA($P34*Q34*BK34),0,$P34*Q34*BK34)))</f>
        <v>0</v>
      </c>
      <c r="Z34" s="164">
        <f>SQRT(SUMSQ(IF(ISNA($G34*I34*BL34),0,$G34*I34*BL34),IF(ISNA($J34*L34*BM34),0,$J34*L34*BM34),IF(ISNA($M34*O34*BN34),0,$M34*O34*BN34),IF(ISNA($P34*R34*BO34),0,$P34*R34*BO34)))</f>
        <v>0</v>
      </c>
      <c r="AA34" s="164"/>
      <c r="AB34" s="164"/>
      <c r="AC34" s="152">
        <f>SQRT(SUMSQ(Y34,Z34))</f>
        <v>0</v>
      </c>
      <c r="AD34" s="114"/>
      <c r="AE34" s="564">
        <f>$G34*IF(ISNA(VLOOKUP($B34&amp;"; "&amp;$H$32&amp;", "&amp;H$33,'FE Energie'!$G:$U,10,FALSE)),0,VLOOKUP($B34&amp;"; "&amp;$H$32&amp;", "&amp;H$33,'FE Energie'!$G:$U,10,FALSE))
+$J34*IF(ISNA(VLOOKUP($B34&amp;"; "&amp;$K$32&amp;", "&amp;H$33,'FE Energie'!$G:$U,10,FALSE)),0,VLOOKUP($B34&amp;"; "&amp;$K$32&amp;", "&amp;H$33,'FE Energie'!$G:$U,10,FALSE))
+$M34*IF(ISNA(VLOOKUP($B34&amp;"; "&amp;$N$32&amp;", "&amp;H$33,'FE Energie'!$G:$U,10,FALSE)),0,VLOOKUP($B34&amp;"; "&amp;$N$32&amp;", "&amp;H$33,'FE Energie'!$G:$U,10,FALSE))
+$P34*IF(ISNA(VLOOKUP($B34&amp;"; "&amp;$Q$32&amp;", "&amp;H$33,'FE Energie'!$G:$U,10,FALSE)),0,VLOOKUP($B34&amp;"; "&amp;$Q$32&amp;", "&amp;H$33,'FE Energie'!$G:$U,10,FALSE))</f>
        <v>0</v>
      </c>
      <c r="AF34" s="565">
        <f>$G34*IF(ISNA(VLOOKUP($B34&amp;"; "&amp;$H$32&amp;", "&amp;I$33,'FE Energie'!$G:$U,10,FALSE)),0,VLOOKUP($B34&amp;"; "&amp;$H$32&amp;", "&amp;I$33,'FE Energie'!$G:$U,10,FALSE))
+$J34*IF(ISNA(VLOOKUP($B34&amp;"; "&amp;$K$32&amp;", "&amp;I$33,'FE Energie'!$G:$U,10,FALSE)),0,VLOOKUP($B34&amp;"; "&amp;$K$32&amp;", "&amp;I$33,'FE Energie'!$G:$U,10,FALSE))
+$M34*IF(ISNA(VLOOKUP($B34&amp;"; "&amp;$N$32&amp;", "&amp;I$33,'FE Energie'!$G:$U,10,FALSE)),0,VLOOKUP($B34&amp;"; "&amp;$N$32&amp;", "&amp;I$33,'FE Energie'!$G:$U,10,FALSE))
+$P34*IF(ISNA(VLOOKUP($B34&amp;"; "&amp;$Q$32&amp;", "&amp;I$33,'FE Energie'!$G:$U,10,FALSE)),0,VLOOKUP($B34&amp;"; "&amp;$Q$32&amp;", "&amp;I$33,'FE Energie'!$G:$U,10,FALSE))</f>
        <v>0</v>
      </c>
      <c r="AG34" s="565"/>
      <c r="AH34" s="565"/>
      <c r="AI34" s="565">
        <f>$G34*IF(ISNA((VLOOKUP($B34&amp;"; "&amp;$H$32&amp;", "&amp;H$33,'FE Energie'!$G:$U,12,FALSE)+VLOOKUP($B34&amp;"; "&amp;$H$32&amp;", "&amp;H$33,'FE Energie'!$G:$U,11,FALSE))),0,(VLOOKUP($B34&amp;"; "&amp;$H$32&amp;", "&amp;H$33,'FE Energie'!$G:$U,12,FALSE)+VLOOKUP($B34&amp;"; "&amp;$H$32&amp;", "&amp;H$33,'FE Energie'!$G:$U,11,FALSE)))
+$J34*IF(ISNA((VLOOKUP($B34&amp;"; "&amp;$K$32&amp;", "&amp;H$33,'FE Energie'!$G:$U,12,FALSE)+VLOOKUP($B34&amp;"; "&amp;$K$32&amp;", "&amp;H$33,'FE Energie'!$G:$U,11,FALSE))),0,(VLOOKUP($B34&amp;"; "&amp;$K$32&amp;", "&amp;H$33,'FE Energie'!$G:$U,12,FALSE)+VLOOKUP($B34&amp;"; "&amp;$K$32&amp;", "&amp;H$33,'FE Energie'!$G:$U,11,FALSE)))
+$M34*IF(ISNA((VLOOKUP($B34&amp;"; "&amp;$N$32&amp;", "&amp;H$33,'FE Energie'!$G:$U,12,FALSE)+VLOOKUP($B34&amp;"; "&amp;$N$32&amp;", "&amp;H$33,'FE Energie'!$G:$U,11,FALSE))),0,(VLOOKUP($B34&amp;"; "&amp;$N$32&amp;", "&amp;H$33,'FE Energie'!$G:$U,12,FALSE)+VLOOKUP($B34&amp;"; "&amp;$N$32&amp;", "&amp;H$33,'FE Energie'!$G:$U,11,FALSE)))
+$P34*IF(ISNA((VLOOKUP($B34&amp;"; "&amp;$Q$32&amp;", "&amp;H$33,'FE Energie'!$G:$U,12,FALSE)+VLOOKUP($B34&amp;"; "&amp;$Q$32&amp;", "&amp;H$33,'FE Energie'!$G:$U,11,FALSE))),0,(VLOOKUP($B34&amp;"; "&amp;$Q$32&amp;", "&amp;H$33,'FE Energie'!$G:$U,12,FALSE)+VLOOKUP($B34&amp;"; "&amp;$Q$32&amp;", "&amp;H$33,'FE Energie'!$G:$U,11,FALSE)))</f>
        <v>0</v>
      </c>
      <c r="AJ34" s="565">
        <f>$G34*IF(ISNA((VLOOKUP($B34&amp;"; "&amp;$H$32&amp;", "&amp;I$33,'FE Energie'!$G:$U,12,FALSE)+VLOOKUP($B34&amp;"; "&amp;$H$32&amp;", "&amp;I$33,'FE Energie'!$G:$U,11,FALSE))),0,(VLOOKUP($B34&amp;"; "&amp;$H$32&amp;", "&amp;I$33,'FE Energie'!$G:$U,12,FALSE)+VLOOKUP($B34&amp;"; "&amp;$H$32&amp;", "&amp;I$33,'FE Energie'!$G:$U,11,FALSE)))
+$J34*IF(ISNA((VLOOKUP($B34&amp;"; "&amp;$K$32&amp;", "&amp;I$33,'FE Energie'!$G:$U,12,FALSE)+VLOOKUP($B34&amp;"; "&amp;$K$32&amp;", "&amp;I$33,'FE Energie'!$G:$U,11,FALSE))),0,(VLOOKUP($B34&amp;"; "&amp;$K$32&amp;", "&amp;I$33,'FE Energie'!$G:$U,12,FALSE)+VLOOKUP($B34&amp;"; "&amp;$K$32&amp;", "&amp;I$33,'FE Energie'!$G:$U,11,FALSE)))
+$M34*IF(ISNA((VLOOKUP($B34&amp;"; "&amp;$N$32&amp;", "&amp;I$33,'FE Energie'!$G:$U,12,FALSE)+VLOOKUP($B34&amp;"; "&amp;$N$32&amp;", "&amp;I$33,'FE Energie'!$G:$U,11,FALSE))),0,(VLOOKUP($B34&amp;"; "&amp;$N$32&amp;", "&amp;I$33,'FE Energie'!$G:$U,12,FALSE)+VLOOKUP($B34&amp;"; "&amp;$N$32&amp;", "&amp;I$33,'FE Energie'!$G:$U,11,FALSE)))
+$P34*IF(ISNA((VLOOKUP($B34&amp;"; "&amp;$Q$32&amp;", "&amp;I$33,'FE Energie'!$G:$U,12,FALSE)+VLOOKUP($B34&amp;"; "&amp;$Q$32&amp;", "&amp;I$33,'FE Energie'!$G:$U,11,FALSE))),0,(VLOOKUP($B34&amp;"; "&amp;$Q$32&amp;", "&amp;I$33,'FE Energie'!$G:$U,12,FALSE)+VLOOKUP($B34&amp;"; "&amp;$Q$32&amp;", "&amp;I$33,'FE Energie'!$G:$U,11,FALSE)))</f>
        <v>0</v>
      </c>
      <c r="AK34" s="565"/>
      <c r="AL34" s="565"/>
      <c r="AM34" s="565">
        <f>$G34*IF(ISNA(VLOOKUP($B34&amp;"; "&amp;$H$32&amp;", "&amp;H$33,'FE Energie'!$G:$U,13,FALSE)),0,VLOOKUP($B34&amp;"; "&amp;$H$32&amp;", "&amp;H$33,'FE Energie'!$G:$U,13,FALSE))
+$J34*IF(ISNA(VLOOKUP($B34&amp;"; "&amp;$K$32&amp;", "&amp;H$33,'FE Energie'!$G:$U,13,FALSE)),0,VLOOKUP($B34&amp;"; "&amp;$K$32&amp;", "&amp;H$33,'FE Energie'!$G:$U,13,FALSE))
+$M34*IF(ISNA(VLOOKUP($B34&amp;"; "&amp;$N$32&amp;", "&amp;H$33,'FE Energie'!$G:$U,13,FALSE)),0,VLOOKUP($B34&amp;"; "&amp;$N$32&amp;", "&amp;H$33,'FE Energie'!$G:$U,13,FALSE))
+$P34*IF(ISNA(VLOOKUP($B34&amp;"; "&amp;$Q$32&amp;", "&amp;H$33,'FE Energie'!$G:$U,13,FALSE)),0,VLOOKUP($B34&amp;"; "&amp;$Q$32&amp;", "&amp;H$33,'FE Energie'!$G:$U,13,FALSE))</f>
        <v>0</v>
      </c>
      <c r="AN34" s="565">
        <f>$G34*IF(ISNA(VLOOKUP($B34&amp;"; "&amp;$H$32&amp;", "&amp;I$33,'FE Energie'!$G:$U,13,FALSE)),0,VLOOKUP($B34&amp;"; "&amp;$H$32&amp;", "&amp;I$33,'FE Energie'!$G:$U,13,FALSE))
+$J34*IF(ISNA(VLOOKUP($B34&amp;"; "&amp;$K$32&amp;", "&amp;I$33,'FE Energie'!$G:$U,13,FALSE)),0,VLOOKUP($B34&amp;"; "&amp;$K$32&amp;", "&amp;I$33,'FE Energie'!$G:$U,13,FALSE))
+$M34*IF(ISNA(VLOOKUP($B34&amp;"; "&amp;$N$32&amp;", "&amp;I$33,'FE Energie'!$G:$U,13,FALSE)),0,VLOOKUP($B34&amp;"; "&amp;$N$32&amp;", "&amp;I$33,'FE Energie'!$G:$U,13,FALSE))
+$P34*IF(ISNA(VLOOKUP($B34&amp;"; "&amp;$Q$32&amp;", "&amp;I$33,'FE Energie'!$G:$U,13,FALSE)),0,VLOOKUP($B34&amp;"; "&amp;$Q$32&amp;", "&amp;I$33,'FE Energie'!$G:$U,13,FALSE))</f>
        <v>0</v>
      </c>
      <c r="AO34" s="565"/>
      <c r="AP34" s="565"/>
      <c r="AQ34" s="565">
        <f>$G34*IF(ISNA(VLOOKUP($B34&amp;"; "&amp;$H$32&amp;", "&amp;H$33,'FE Energie'!$G:$U,14,FALSE)),0,VLOOKUP($B34&amp;"; "&amp;$H$32&amp;", "&amp;H$33,'FE Energie'!$G:$U,14,FALSE))
+$J34*IF(ISNA(VLOOKUP($B34&amp;"; "&amp;$K$32&amp;", "&amp;H$33,'FE Energie'!$G:$U,14,FALSE)),0,VLOOKUP($B34&amp;"; "&amp;$K$32&amp;", "&amp;H$33,'FE Energie'!$G:$U,14,FALSE))
+$M34*IF(ISNA(VLOOKUP($B34&amp;"; "&amp;$N$32&amp;", "&amp;H$33,'FE Energie'!$G:$U,14,FALSE)),0,VLOOKUP($B34&amp;"; "&amp;$N$32&amp;", "&amp;H$33,'FE Energie'!$G:$U,14,FALSE))
+$P34*IF(ISNA(VLOOKUP($B34&amp;"; "&amp;$Q$32&amp;", "&amp;H$33,'FE Energie'!$G:$U,14,FALSE)),0,VLOOKUP($B34&amp;"; "&amp;$Q$32&amp;", "&amp;H$33,'FE Energie'!$G:$U,14,FALSE))</f>
        <v>0</v>
      </c>
      <c r="AR34" s="565">
        <f>$G34*IF(ISNA(VLOOKUP($B34&amp;"; "&amp;$H$32&amp;", "&amp;I$33,'FE Energie'!$G:$U,14,FALSE)),0,VLOOKUP($B34&amp;"; "&amp;$H$32&amp;", "&amp;I$33,'FE Energie'!$G:$U,14,FALSE))
+$J34*IF(ISNA(VLOOKUP($B34&amp;"; "&amp;$K$32&amp;", "&amp;I$33,'FE Energie'!$G:$U,14,FALSE)),0,VLOOKUP($B34&amp;"; "&amp;$K$32&amp;", "&amp;I$33,'FE Energie'!$G:$U,14,FALSE))
+$M34*IF(ISNA(VLOOKUP($B34&amp;"; "&amp;$N$32&amp;", "&amp;I$33,'FE Energie'!$G:$U,14,FALSE)),0,VLOOKUP($B34&amp;"; "&amp;$N$32&amp;", "&amp;I$33,'FE Energie'!$G:$U,14,FALSE))
+$P34*IF(ISNA(VLOOKUP($B34&amp;"; "&amp;$Q$32&amp;", "&amp;I$33,'FE Energie'!$G:$U,14,FALSE)),0,VLOOKUP($B34&amp;"; "&amp;$Q$32&amp;", "&amp;I$33,'FE Energie'!$G:$U,14,FALSE))</f>
        <v>0</v>
      </c>
      <c r="AS34" s="565"/>
      <c r="AT34" s="565"/>
      <c r="AU34" s="1288">
        <f>SUM(AQ34,AM34,AE34,AI34)</f>
        <v>0</v>
      </c>
      <c r="AV34" s="566">
        <f>SUM(AR34,AN34,AF34,AJ34)</f>
        <v>0</v>
      </c>
      <c r="AW34" s="566"/>
      <c r="AX34" s="567"/>
      <c r="AY34" s="565">
        <f>$G34*IF(ISNA(VLOOKUP($B34&amp;"; "&amp;$H$32&amp;", "&amp;H$33,'FE Energie'!$G:$U,15,FALSE)),0,VLOOKUP($B34&amp;"; "&amp;$H$32&amp;", "&amp;H$33,'FE Energie'!$G:$U,15,FALSE))
+$J34*IF(ISNA(VLOOKUP($B34&amp;"; "&amp;$K$32&amp;", "&amp;H$33,'FE Energie'!$G:$U,15,FALSE)),0,VLOOKUP($B34&amp;"; "&amp;$K$32&amp;", "&amp;H$33,'FE Energie'!$G:$U,15,FALSE))
+$M34*IF(ISNA(VLOOKUP($B34&amp;"; "&amp;$N$32&amp;", "&amp;H$33,'FE Energie'!$G:$U,15,FALSE)),0,VLOOKUP($B34&amp;"; "&amp;$N$32&amp;", "&amp;H$33,'FE Energie'!$G:$U,15,FALSE))
+$P34*IF(ISNA(VLOOKUP($B34&amp;"; "&amp;$Q$32&amp;", "&amp;H$33,'FE Energie'!$G:$U,15,FALSE)),0,VLOOKUP($B34&amp;"; "&amp;$Q$32&amp;", "&amp;H$33,'FE Energie'!$G:$U,15,FALSE))</f>
        <v>0</v>
      </c>
      <c r="AZ34" s="565">
        <f>$G34*IF(ISNA(VLOOKUP($B34&amp;"; "&amp;$H$11&amp;", "&amp;I$33,'FE Energie'!$G:$U,15,FALSE)),0,VLOOKUP($B34&amp;"; "&amp;$H$11&amp;", "&amp;I$33,'FE Energie'!$G:$U,15,FALSE))
+$J34*IF(ISNA(VLOOKUP($B34&amp;"; "&amp;$K$11&amp;", "&amp;I$33,'FE Energie'!$G:$U,15,FALSE)),0,VLOOKUP($B34&amp;"; "&amp;$K$11&amp;", "&amp;I$33,'FE Energie'!$G:$U,15,FALSE))
+$M34*IF(ISNA(VLOOKUP($B34&amp;"; "&amp;$N$11&amp;", "&amp;I$33,'FE Energie'!$G:$U,15,FALSE)),0,VLOOKUP($B34&amp;"; "&amp;$N$11&amp;", "&amp;I$33,'FE Energie'!$G:$U,15,FALSE))
+$P34*IF(ISNA(VLOOKUP($B34&amp;"; "&amp;$Q$11&amp;", "&amp;I$33,'FE Energie'!$G:$U,15,FALSE)),0,VLOOKUP($B34&amp;"; "&amp;$Q$11&amp;", "&amp;I$33,'FE Energie'!$G:$U,15,FALSE))</f>
        <v>0</v>
      </c>
      <c r="BA34" s="565"/>
      <c r="BB34" s="568"/>
      <c r="BD34" s="1065">
        <f>IF($W34&lt;&gt;"votre valeur :",IF(ISNA(VLOOKUP($W34,Utilitaires!$N$566:$O$571,2,FALSE)),,VLOOKUP($W34,Utilitaires!$N$566:$O$571,2,FALSE)),$X34)</f>
        <v>0</v>
      </c>
      <c r="BE34" s="1066">
        <f>IF($W34&lt;&gt;"votre valeur :",IF(ISNA(VLOOKUP($W34,Utilitaires!$N$566:$O$571,2,FALSE)),,VLOOKUP($W34,Utilitaires!$N$566:$O$571,2,FALSE)),$X34)</f>
        <v>0</v>
      </c>
      <c r="BF34" s="1066">
        <f>IF($W34&lt;&gt;"votre valeur :",IF(ISNA(VLOOKUP($W34,Utilitaires!$N$566:$O$571,2,FALSE)),,VLOOKUP($W34,Utilitaires!$N$566:$O$571,2,FALSE)),$X34)</f>
        <v>0</v>
      </c>
      <c r="BG34" s="1067">
        <f>IF($W34&lt;&gt;"votre valeur :",IF(ISNA(VLOOKUP($W34,Utilitaires!$N$566:$O$571,2,FALSE)),,VLOOKUP($W34,Utilitaires!$N$566:$O$571,2,FALSE)),$X34)</f>
        <v>0</v>
      </c>
      <c r="BH34" s="1068">
        <f>IF(ISNA(SQRT(SUMSQ(VLOOKUP($B34&amp;"; "&amp;$H$32&amp;", "&amp;$H$33,'FE Energie'!$G:$U,7,FALSE),$BD34))),0,SQRT(SUMSQ(VLOOKUP($B34&amp;"; "&amp;$H$32&amp;", "&amp;$H$33,'FE Energie'!$G:$U,7,FALSE),$BD34)))</f>
        <v>0</v>
      </c>
      <c r="BI34" s="1068">
        <f>IF(ISNA(SQRT(SUMSQ(VLOOKUP($B34&amp;"; "&amp;$K$32&amp;", "&amp;$K$33,'FE Energie'!$G:$U,7,FALSE),$BE34))),0,SQRT(SUMSQ(VLOOKUP($B34&amp;"; "&amp;$K$32&amp;", "&amp;$K$33,'FE Energie'!$G:$U,7,FALSE),$BE34)))</f>
        <v>0</v>
      </c>
      <c r="BJ34" s="1068">
        <f>IF(ISNA(SQRT(SUMSQ(VLOOKUP($B34&amp;"; "&amp;$N$32&amp;", "&amp;$N$33,'FE Energie'!$G:$U,7,FALSE),$BF34))),0,SQRT(SUMSQ(VLOOKUP($B34&amp;"; "&amp;$N$32&amp;", "&amp;$N$33,'FE Energie'!$G:$U,7,FALSE),$BF34)))</f>
        <v>0</v>
      </c>
      <c r="BK34" s="1068">
        <f>IF(ISNA(SQRT(SUMSQ(VLOOKUP($B34&amp;"; "&amp;$Q$32&amp;", "&amp;$Q$33,'FE Energie'!$G:$U,7,FALSE),$BG34))),0,SQRT(SUMSQ(VLOOKUP($B34&amp;"; "&amp;$Q$32&amp;", "&amp;$Q$33,'FE Energie'!$G:$U,7,FALSE),$BG34)))</f>
        <v>0</v>
      </c>
      <c r="BL34" s="1069">
        <f>IF(ISNA(SQRT(SUMSQ(VLOOKUP($B34&amp;"; "&amp;$H$32&amp;", "&amp;$I$33,'FE Energie'!$G:$U,7,FALSE),$BD34))),0,SQRT(SUMSQ(VLOOKUP($B34&amp;"; "&amp;$H$32&amp;", "&amp;$I$33,'FE Energie'!$G:$U,7,FALSE),$BD34)))</f>
        <v>0</v>
      </c>
      <c r="BM34" s="1070">
        <f>IF(ISNA(SQRT(SUMSQ(VLOOKUP($B34&amp;"; "&amp;$K$32&amp;", "&amp;$L$33,'FE Energie'!$G:$U,7,FALSE),$BE34))),0,SQRT(SUMSQ(VLOOKUP($B34&amp;"; "&amp;$K$32&amp;", "&amp;$L$33,'FE Energie'!$G:$U,7,FALSE),$BE34)))</f>
        <v>0</v>
      </c>
      <c r="BN34" s="1070">
        <f>IF(ISNA(SQRT(SUMSQ(VLOOKUP($B34&amp;"; "&amp;$N$32&amp;", "&amp;$O$33,'FE Energie'!$G:$U,7,FALSE),$BF34))),0,SQRT(SUMSQ(VLOOKUP($B34&amp;"; "&amp;$N$32&amp;", "&amp;$O$33,'FE Energie'!$G:$U,7,FALSE),$BF34)))</f>
        <v>0</v>
      </c>
      <c r="BO34" s="1071">
        <f>IF(ISNA(SQRT(SUMSQ(VLOOKUP($B34&amp;"; "&amp;$Q$32&amp;", "&amp;$R$33,'FE Energie'!$G:$U,7,FALSE),$BG34))),0,SQRT(SUMSQ(VLOOKUP($B34&amp;"; "&amp;$Q$32&amp;", "&amp;$R$33,'FE Energie'!$G:$U,7,FALSE),$BG34)))</f>
        <v>0</v>
      </c>
    </row>
    <row r="35" spans="1:67" s="116" customFormat="1" ht="12.75" hidden="1" customHeight="1" outlineLevel="1">
      <c r="A35" s="114"/>
      <c r="B35" s="143" t="s">
        <v>1664</v>
      </c>
      <c r="C35" s="144"/>
      <c r="D35" s="315">
        <f>S35+T35</f>
        <v>0</v>
      </c>
      <c r="E35" s="315"/>
      <c r="F35" s="849"/>
      <c r="G35" s="345"/>
      <c r="H35" s="335">
        <f>VLOOKUP($B35&amp;"; "&amp;$H$32&amp;", "&amp;H$33,'FE Energie'!$G:$U,9,FALSE)</f>
        <v>902</v>
      </c>
      <c r="I35" s="335" t="e">
        <f>VLOOKUP($B35&amp;"; "&amp;$H$32&amp;", "&amp;I$33,'FE Energie'!$G:$U,9,FALSE)</f>
        <v>#N/A</v>
      </c>
      <c r="J35" s="1114"/>
      <c r="K35" s="223">
        <f>VLOOKUP($B35&amp;"; "&amp;$K$32&amp;", "&amp;K$33,'FE Energie'!$G:$U,9,FALSE)</f>
        <v>0.121</v>
      </c>
      <c r="L35" s="223" t="e">
        <f>VLOOKUP($B35&amp;"; "&amp;$K$32&amp;", "&amp;L$33,'FE Energie'!$G:$U,9,FALSE)</f>
        <v>#N/A</v>
      </c>
      <c r="M35" s="1086"/>
      <c r="N35" s="217">
        <f>VLOOKUP($B35&amp;"; "&amp;$N$11&amp;", "&amp;N$12,'FE Energie'!$G:$U,9,FALSE)</f>
        <v>1410</v>
      </c>
      <c r="O35" s="217" t="e">
        <f>VLOOKUP($B35&amp;"; "&amp;$N$32&amp;", "&amp;O$33,'FE Energie'!$G:$U,9,FALSE)</f>
        <v>#N/A</v>
      </c>
      <c r="P35" s="1086"/>
      <c r="Q35" s="223">
        <f>VLOOKUP($B35&amp;"; "&amp;$Q$32&amp;", "&amp;Q$33,'FE Energie'!$G:$U,9,FALSE)</f>
        <v>0.71299999999999997</v>
      </c>
      <c r="R35" s="223" t="e">
        <f>VLOOKUP($B35&amp;"; "&amp;$Q$32&amp;", "&amp;R$33,'FE Energie'!$G:$U,9,FALSE)</f>
        <v>#N/A</v>
      </c>
      <c r="S35" s="566">
        <f>IF(ISNA(G35*H35),0,G35*H35)+IF(ISNA(J35*K35),0,J35*K35)+IF(ISNA(M35*N35),0,M35*N35)+IF(ISNA(P35*Q35),0,P35*Q35)</f>
        <v>0</v>
      </c>
      <c r="T35" s="567">
        <f>IF(ISNA(G35*I35),0,G35*I35)+IF(ISNA(J35*L35),0,J35*L35)+IF(ISNA(M35*O35),0,M35*O35)+IF(ISNA(P35*R35),0,P35*R35)</f>
        <v>0</v>
      </c>
      <c r="U35" s="114"/>
      <c r="V35" s="1092">
        <f>IF(AC35=0,AC35,AC35/(S35+T35))</f>
        <v>0</v>
      </c>
      <c r="W35" s="345"/>
      <c r="X35" s="820"/>
      <c r="Y35" s="164">
        <f>SQRT(SUMSQ(IF(ISNA($G35*H35*BH35),0,$G35*H35*BH35),IF(ISNA($J35*K35*BI35),0,$J35*K35*BI35),IF(ISNA($M35*N35*BJ35),0,$M35*N35*BJ35),IF(ISNA($P35*Q35*BK35),0,$P35*Q35*BK35)))</f>
        <v>0</v>
      </c>
      <c r="Z35" s="164">
        <f>SQRT(SUMSQ(IF(ISNA($G35*I35*BL35),0,$G35*I35*BL35),IF(ISNA($J35*L35*BM35),0,$J35*L35*BM35),IF(ISNA($M35*O35*BN35),0,$M35*O35*BN35),IF(ISNA($P35*R35*BO35),0,$P35*R35*BO35)))</f>
        <v>0</v>
      </c>
      <c r="AA35" s="164"/>
      <c r="AB35" s="164"/>
      <c r="AC35" s="152">
        <f>SQRT(SUMSQ(Y35,Z35))</f>
        <v>0</v>
      </c>
      <c r="AD35" s="114"/>
      <c r="AE35" s="564">
        <f>$G35*IF(ISNA(VLOOKUP($B35&amp;"; "&amp;$H$32&amp;", "&amp;H$33,'FE Energie'!$G:$U,10,FALSE)),0,VLOOKUP($B35&amp;"; "&amp;$H$32&amp;", "&amp;H$33,'FE Energie'!$G:$U,10,FALSE))
+$J35*IF(ISNA(VLOOKUP($B35&amp;"; "&amp;$K$32&amp;", "&amp;H$33,'FE Energie'!$G:$U,10,FALSE)),0,VLOOKUP($B35&amp;"; "&amp;$K$32&amp;", "&amp;H$33,'FE Energie'!$G:$U,10,FALSE))
+$M35*IF(ISNA(VLOOKUP($B35&amp;"; "&amp;$N$32&amp;", "&amp;H$33,'FE Energie'!$G:$U,10,FALSE)),0,VLOOKUP($B35&amp;"; "&amp;$N$32&amp;", "&amp;H$33,'FE Energie'!$G:$U,10,FALSE))
+$P35*IF(ISNA(VLOOKUP($B35&amp;"; "&amp;$Q$32&amp;", "&amp;H$33,'FE Energie'!$G:$U,10,FALSE)),0,VLOOKUP($B35&amp;"; "&amp;$Q$32&amp;", "&amp;H$33,'FE Energie'!$G:$U,10,FALSE))</f>
        <v>0</v>
      </c>
      <c r="AF35" s="565">
        <f>$G35*IF(ISNA(VLOOKUP($B35&amp;"; "&amp;$H$32&amp;", "&amp;I$33,'FE Energie'!$G:$U,10,FALSE)),0,VLOOKUP($B35&amp;"; "&amp;$H$32&amp;", "&amp;I$33,'FE Energie'!$G:$U,10,FALSE))
+$J35*IF(ISNA(VLOOKUP($B35&amp;"; "&amp;$K$32&amp;", "&amp;I$33,'FE Energie'!$G:$U,10,FALSE)),0,VLOOKUP($B35&amp;"; "&amp;$K$32&amp;", "&amp;I$33,'FE Energie'!$G:$U,10,FALSE))
+$M35*IF(ISNA(VLOOKUP($B35&amp;"; "&amp;$N$32&amp;", "&amp;I$33,'FE Energie'!$G:$U,10,FALSE)),0,VLOOKUP($B35&amp;"; "&amp;$N$32&amp;", "&amp;I$33,'FE Energie'!$G:$U,10,FALSE))
+$P35*IF(ISNA(VLOOKUP($B35&amp;"; "&amp;$Q$32&amp;", "&amp;I$33,'FE Energie'!$G:$U,10,FALSE)),0,VLOOKUP($B35&amp;"; "&amp;$Q$32&amp;", "&amp;I$33,'FE Energie'!$G:$U,10,FALSE))</f>
        <v>0</v>
      </c>
      <c r="AG35" s="565"/>
      <c r="AH35" s="565"/>
      <c r="AI35" s="565">
        <f>$G35*IF(ISNA((VLOOKUP($B35&amp;"; "&amp;$H$32&amp;", "&amp;H$33,'FE Energie'!$G:$U,12,FALSE)+VLOOKUP($B35&amp;"; "&amp;$H$32&amp;", "&amp;H$33,'FE Energie'!$G:$U,11,FALSE))),0,(VLOOKUP($B35&amp;"; "&amp;$H$32&amp;", "&amp;H$33,'FE Energie'!$G:$U,12,FALSE)+VLOOKUP($B35&amp;"; "&amp;$H$32&amp;", "&amp;H$33,'FE Energie'!$G:$U,11,FALSE)))
+$J35*IF(ISNA((VLOOKUP($B35&amp;"; "&amp;$K$32&amp;", "&amp;H$33,'FE Energie'!$G:$U,12,FALSE)+VLOOKUP($B35&amp;"; "&amp;$K$32&amp;", "&amp;H$33,'FE Energie'!$G:$U,11,FALSE))),0,(VLOOKUP($B35&amp;"; "&amp;$K$32&amp;", "&amp;H$33,'FE Energie'!$G:$U,12,FALSE)+VLOOKUP($B35&amp;"; "&amp;$K$32&amp;", "&amp;H$33,'FE Energie'!$G:$U,11,FALSE)))
+$M35*IF(ISNA((VLOOKUP($B35&amp;"; "&amp;$N$32&amp;", "&amp;H$33,'FE Energie'!$G:$U,12,FALSE)+VLOOKUP($B35&amp;"; "&amp;$N$32&amp;", "&amp;H$33,'FE Energie'!$G:$U,11,FALSE))),0,(VLOOKUP($B35&amp;"; "&amp;$N$32&amp;", "&amp;H$33,'FE Energie'!$G:$U,12,FALSE)+VLOOKUP($B35&amp;"; "&amp;$N$32&amp;", "&amp;H$33,'FE Energie'!$G:$U,11,FALSE)))
+$P35*IF(ISNA((VLOOKUP($B35&amp;"; "&amp;$Q$32&amp;", "&amp;H$33,'FE Energie'!$G:$U,12,FALSE)+VLOOKUP($B35&amp;"; "&amp;$Q$32&amp;", "&amp;H$33,'FE Energie'!$G:$U,11,FALSE))),0,(VLOOKUP($B35&amp;"; "&amp;$Q$32&amp;", "&amp;H$33,'FE Energie'!$G:$U,12,FALSE)+VLOOKUP($B35&amp;"; "&amp;$Q$32&amp;", "&amp;H$33,'FE Energie'!$G:$U,11,FALSE)))</f>
        <v>0</v>
      </c>
      <c r="AJ35" s="565">
        <f>$G35*IF(ISNA((VLOOKUP($B35&amp;"; "&amp;$H$32&amp;", "&amp;I$33,'FE Energie'!$G:$U,12,FALSE)+VLOOKUP($B35&amp;"; "&amp;$H$32&amp;", "&amp;I$33,'FE Energie'!$G:$U,11,FALSE))),0,(VLOOKUP($B35&amp;"; "&amp;$H$32&amp;", "&amp;I$33,'FE Energie'!$G:$U,12,FALSE)+VLOOKUP($B35&amp;"; "&amp;$H$32&amp;", "&amp;I$33,'FE Energie'!$G:$U,11,FALSE)))
+$J35*IF(ISNA((VLOOKUP($B35&amp;"; "&amp;$K$32&amp;", "&amp;I$33,'FE Energie'!$G:$U,12,FALSE)+VLOOKUP($B35&amp;"; "&amp;$K$32&amp;", "&amp;I$33,'FE Energie'!$G:$U,11,FALSE))),0,(VLOOKUP($B35&amp;"; "&amp;$K$32&amp;", "&amp;I$33,'FE Energie'!$G:$U,12,FALSE)+VLOOKUP($B35&amp;"; "&amp;$K$32&amp;", "&amp;I$33,'FE Energie'!$G:$U,11,FALSE)))
+$M35*IF(ISNA((VLOOKUP($B35&amp;"; "&amp;$N$32&amp;", "&amp;I$33,'FE Energie'!$G:$U,12,FALSE)+VLOOKUP($B35&amp;"; "&amp;$N$32&amp;", "&amp;I$33,'FE Energie'!$G:$U,11,FALSE))),0,(VLOOKUP($B35&amp;"; "&amp;$N$32&amp;", "&amp;I$33,'FE Energie'!$G:$U,12,FALSE)+VLOOKUP($B35&amp;"; "&amp;$N$32&amp;", "&amp;I$33,'FE Energie'!$G:$U,11,FALSE)))
+$P35*IF(ISNA((VLOOKUP($B35&amp;"; "&amp;$Q$32&amp;", "&amp;I$33,'FE Energie'!$G:$U,12,FALSE)+VLOOKUP($B35&amp;"; "&amp;$Q$32&amp;", "&amp;I$33,'FE Energie'!$G:$U,11,FALSE))),0,(VLOOKUP($B35&amp;"; "&amp;$Q$32&amp;", "&amp;I$33,'FE Energie'!$G:$U,12,FALSE)+VLOOKUP($B35&amp;"; "&amp;$Q$32&amp;", "&amp;I$33,'FE Energie'!$G:$U,11,FALSE)))</f>
        <v>0</v>
      </c>
      <c r="AK35" s="565"/>
      <c r="AL35" s="565"/>
      <c r="AM35" s="565">
        <f>$G35*IF(ISNA(VLOOKUP($B35&amp;"; "&amp;$H$32&amp;", "&amp;H$33,'FE Energie'!$G:$U,13,FALSE)),0,VLOOKUP($B35&amp;"; "&amp;$H$32&amp;", "&amp;H$33,'FE Energie'!$G:$U,13,FALSE))
+$J35*IF(ISNA(VLOOKUP($B35&amp;"; "&amp;$K$32&amp;", "&amp;H$33,'FE Energie'!$G:$U,13,FALSE)),0,VLOOKUP($B35&amp;"; "&amp;$K$32&amp;", "&amp;H$33,'FE Energie'!$G:$U,13,FALSE))
+$M35*IF(ISNA(VLOOKUP($B35&amp;"; "&amp;$N$32&amp;", "&amp;H$33,'FE Energie'!$G:$U,13,FALSE)),0,VLOOKUP($B35&amp;"; "&amp;$N$32&amp;", "&amp;H$33,'FE Energie'!$G:$U,13,FALSE))
+$P35*IF(ISNA(VLOOKUP($B35&amp;"; "&amp;$Q$32&amp;", "&amp;H$33,'FE Energie'!$G:$U,13,FALSE)),0,VLOOKUP($B35&amp;"; "&amp;$Q$32&amp;", "&amp;H$33,'FE Energie'!$G:$U,13,FALSE))</f>
        <v>0</v>
      </c>
      <c r="AN35" s="565">
        <f>$G35*IF(ISNA(VLOOKUP($B35&amp;"; "&amp;$H$32&amp;", "&amp;I$33,'FE Energie'!$G:$U,13,FALSE)),0,VLOOKUP($B35&amp;"; "&amp;$H$32&amp;", "&amp;I$33,'FE Energie'!$G:$U,13,FALSE))
+$J35*IF(ISNA(VLOOKUP($B35&amp;"; "&amp;$K$32&amp;", "&amp;I$33,'FE Energie'!$G:$U,13,FALSE)),0,VLOOKUP($B35&amp;"; "&amp;$K$32&amp;", "&amp;I$33,'FE Energie'!$G:$U,13,FALSE))
+$M35*IF(ISNA(VLOOKUP($B35&amp;"; "&amp;$N$32&amp;", "&amp;I$33,'FE Energie'!$G:$U,13,FALSE)),0,VLOOKUP($B35&amp;"; "&amp;$N$32&amp;", "&amp;I$33,'FE Energie'!$G:$U,13,FALSE))
+$P35*IF(ISNA(VLOOKUP($B35&amp;"; "&amp;$Q$32&amp;", "&amp;I$33,'FE Energie'!$G:$U,13,FALSE)),0,VLOOKUP($B35&amp;"; "&amp;$Q$32&amp;", "&amp;I$33,'FE Energie'!$G:$U,13,FALSE))</f>
        <v>0</v>
      </c>
      <c r="AO35" s="565"/>
      <c r="AP35" s="565"/>
      <c r="AQ35" s="565">
        <f>$G35*IF(ISNA(VLOOKUP($B35&amp;"; "&amp;$H$32&amp;", "&amp;H$33,'FE Energie'!$G:$U,14,FALSE)),0,VLOOKUP($B35&amp;"; "&amp;$H$32&amp;", "&amp;H$33,'FE Energie'!$G:$U,14,FALSE))
+$J35*IF(ISNA(VLOOKUP($B35&amp;"; "&amp;$K$32&amp;", "&amp;H$33,'FE Energie'!$G:$U,14,FALSE)),0,VLOOKUP($B35&amp;"; "&amp;$K$32&amp;", "&amp;H$33,'FE Energie'!$G:$U,14,FALSE))
+$M35*IF(ISNA(VLOOKUP($B35&amp;"; "&amp;$N$32&amp;", "&amp;H$33,'FE Energie'!$G:$U,14,FALSE)),0,VLOOKUP($B35&amp;"; "&amp;$N$32&amp;", "&amp;H$33,'FE Energie'!$G:$U,14,FALSE))
+$P35*IF(ISNA(VLOOKUP($B35&amp;"; "&amp;$Q$32&amp;", "&amp;H$33,'FE Energie'!$G:$U,14,FALSE)),0,VLOOKUP($B35&amp;"; "&amp;$Q$32&amp;", "&amp;H$33,'FE Energie'!$G:$U,14,FALSE))</f>
        <v>0</v>
      </c>
      <c r="AR35" s="565">
        <f>$G35*IF(ISNA(VLOOKUP($B35&amp;"; "&amp;$H$32&amp;", "&amp;I$33,'FE Energie'!$G:$U,14,FALSE)),0,VLOOKUP($B35&amp;"; "&amp;$H$32&amp;", "&amp;I$33,'FE Energie'!$G:$U,14,FALSE))
+$J35*IF(ISNA(VLOOKUP($B35&amp;"; "&amp;$K$32&amp;", "&amp;I$33,'FE Energie'!$G:$U,14,FALSE)),0,VLOOKUP($B35&amp;"; "&amp;$K$32&amp;", "&amp;I$33,'FE Energie'!$G:$U,14,FALSE))
+$M35*IF(ISNA(VLOOKUP($B35&amp;"; "&amp;$N$32&amp;", "&amp;I$33,'FE Energie'!$G:$U,14,FALSE)),0,VLOOKUP($B35&amp;"; "&amp;$N$32&amp;", "&amp;I$33,'FE Energie'!$G:$U,14,FALSE))
+$P35*IF(ISNA(VLOOKUP($B35&amp;"; "&amp;$Q$32&amp;", "&amp;I$33,'FE Energie'!$G:$U,14,FALSE)),0,VLOOKUP($B35&amp;"; "&amp;$Q$32&amp;", "&amp;I$33,'FE Energie'!$G:$U,14,FALSE))</f>
        <v>0</v>
      </c>
      <c r="AS35" s="565"/>
      <c r="AT35" s="565"/>
      <c r="AU35" s="1288">
        <f>SUM(AQ35,AM35,AE35,AI35)</f>
        <v>0</v>
      </c>
      <c r="AV35" s="566">
        <f>SUM(AR35,AN35,AF35,AJ35)</f>
        <v>0</v>
      </c>
      <c r="AW35" s="566"/>
      <c r="AX35" s="567"/>
      <c r="AY35" s="565">
        <f>$G35*IF(ISNA(VLOOKUP($B35&amp;"; "&amp;$H$32&amp;", "&amp;H$33,'FE Energie'!$G:$U,15,FALSE)),0,VLOOKUP($B35&amp;"; "&amp;$H$32&amp;", "&amp;H$33,'FE Energie'!$G:$U,15,FALSE))
+$J35*IF(ISNA(VLOOKUP($B35&amp;"; "&amp;$K$32&amp;", "&amp;H$33,'FE Energie'!$G:$U,15,FALSE)),0,VLOOKUP($B35&amp;"; "&amp;$K$32&amp;", "&amp;H$33,'FE Energie'!$G:$U,15,FALSE))
+$M35*IF(ISNA(VLOOKUP($B35&amp;"; "&amp;$N$32&amp;", "&amp;H$33,'FE Energie'!$G:$U,15,FALSE)),0,VLOOKUP($B35&amp;"; "&amp;$N$32&amp;", "&amp;H$33,'FE Energie'!$G:$U,15,FALSE))
+$P35*IF(ISNA(VLOOKUP($B35&amp;"; "&amp;$Q$32&amp;", "&amp;H$33,'FE Energie'!$G:$U,15,FALSE)),0,VLOOKUP($B35&amp;"; "&amp;$Q$32&amp;", "&amp;H$33,'FE Energie'!$G:$U,15,FALSE))</f>
        <v>0</v>
      </c>
      <c r="AZ35" s="565">
        <f>$G35*IF(ISNA(VLOOKUP($B35&amp;"; "&amp;$H$11&amp;", "&amp;I$33,'FE Energie'!$G:$U,15,FALSE)),0,VLOOKUP($B35&amp;"; "&amp;$H$11&amp;", "&amp;I$33,'FE Energie'!$G:$U,15,FALSE))
+$J35*IF(ISNA(VLOOKUP($B35&amp;"; "&amp;$K$11&amp;", "&amp;I$33,'FE Energie'!$G:$U,15,FALSE)),0,VLOOKUP($B35&amp;"; "&amp;$K$11&amp;", "&amp;I$33,'FE Energie'!$G:$U,15,FALSE))
+$M35*IF(ISNA(VLOOKUP($B35&amp;"; "&amp;$N$11&amp;", "&amp;I$33,'FE Energie'!$G:$U,15,FALSE)),0,VLOOKUP($B35&amp;"; "&amp;$N$11&amp;", "&amp;I$33,'FE Energie'!$G:$U,15,FALSE))
+$P35*IF(ISNA(VLOOKUP($B35&amp;"; "&amp;$Q$11&amp;", "&amp;I$33,'FE Energie'!$G:$U,15,FALSE)),0,VLOOKUP($B35&amp;"; "&amp;$Q$11&amp;", "&amp;I$33,'FE Energie'!$G:$U,15,FALSE))</f>
        <v>0</v>
      </c>
      <c r="BA35" s="565"/>
      <c r="BB35" s="568"/>
      <c r="BD35" s="1065">
        <f>IF($W35&lt;&gt;"votre valeur :",IF(ISNA(VLOOKUP($W35,Utilitaires!$N$566:$O$571,2,FALSE)),,VLOOKUP($W35,Utilitaires!$N$566:$O$571,2,FALSE)),$X35)</f>
        <v>0</v>
      </c>
      <c r="BE35" s="1066">
        <f>IF($W35&lt;&gt;"votre valeur :",IF(ISNA(VLOOKUP($W35,Utilitaires!$N$566:$O$571,2,FALSE)),,VLOOKUP($W35,Utilitaires!$N$566:$O$571,2,FALSE)),$X35)</f>
        <v>0</v>
      </c>
      <c r="BF35" s="1066">
        <f>IF($W35&lt;&gt;"votre valeur :",IF(ISNA(VLOOKUP($W35,Utilitaires!$N$566:$O$571,2,FALSE)),,VLOOKUP($W35,Utilitaires!$N$566:$O$571,2,FALSE)),$X35)</f>
        <v>0</v>
      </c>
      <c r="BG35" s="1067">
        <f>IF($W35&lt;&gt;"votre valeur :",IF(ISNA(VLOOKUP($W35,Utilitaires!$N$566:$O$571,2,FALSE)),,VLOOKUP($W35,Utilitaires!$N$566:$O$571,2,FALSE)),$X35)</f>
        <v>0</v>
      </c>
      <c r="BH35" s="1068">
        <f>IF(ISNA(SQRT(SUMSQ(VLOOKUP($B35&amp;"; "&amp;$H$32&amp;", "&amp;$H$33,'FE Energie'!$G:$U,7,FALSE),$BD35))),0,SQRT(SUMSQ(VLOOKUP($B35&amp;"; "&amp;$H$32&amp;", "&amp;$H$33,'FE Energie'!$G:$U,7,FALSE),$BD35)))</f>
        <v>0.2</v>
      </c>
      <c r="BI35" s="1068">
        <f>IF(ISNA(SQRT(SUMSQ(VLOOKUP($B35&amp;"; "&amp;$K$32&amp;", "&amp;$K$33,'FE Energie'!$G:$U,7,FALSE),$BE35))),0,SQRT(SUMSQ(VLOOKUP($B35&amp;"; "&amp;$K$32&amp;", "&amp;$K$33,'FE Energie'!$G:$U,7,FALSE),$BE35)))</f>
        <v>0.2</v>
      </c>
      <c r="BJ35" s="1068">
        <f>IF(ISNA(SQRT(SUMSQ(VLOOKUP($B35&amp;"; "&amp;$N$32&amp;", "&amp;$N$33,'FE Energie'!$G:$U,7,FALSE),$BF35))),0,SQRT(SUMSQ(VLOOKUP($B35&amp;"; "&amp;$N$32&amp;", "&amp;$N$33,'FE Energie'!$G:$U,7,FALSE),$BF35)))</f>
        <v>0.2</v>
      </c>
      <c r="BK35" s="1068">
        <f>IF(ISNA(SQRT(SUMSQ(VLOOKUP($B35&amp;"; "&amp;$Q$32&amp;", "&amp;$Q$33,'FE Energie'!$G:$U,7,FALSE),$BG35))),0,SQRT(SUMSQ(VLOOKUP($B35&amp;"; "&amp;$Q$32&amp;", "&amp;$Q$33,'FE Energie'!$G:$U,7,FALSE),$BG35)))</f>
        <v>0.2</v>
      </c>
      <c r="BL35" s="1069">
        <f>IF(ISNA(SQRT(SUMSQ(VLOOKUP($B35&amp;"; "&amp;$H$32&amp;", "&amp;$I$33,'FE Energie'!$G:$U,7,FALSE),$BD35))),0,SQRT(SUMSQ(VLOOKUP($B35&amp;"; "&amp;$H$32&amp;", "&amp;$I$33,'FE Energie'!$G:$U,7,FALSE),$BD35)))</f>
        <v>0</v>
      </c>
      <c r="BM35" s="1070">
        <f>IF(ISNA(SQRT(SUMSQ(VLOOKUP($B35&amp;"; "&amp;$K$32&amp;", "&amp;$L$33,'FE Energie'!$G:$U,7,FALSE),$BE35))),0,SQRT(SUMSQ(VLOOKUP($B35&amp;"; "&amp;$K$32&amp;", "&amp;$L$33,'FE Energie'!$G:$U,7,FALSE),$BE35)))</f>
        <v>0</v>
      </c>
      <c r="BN35" s="1070">
        <f>IF(ISNA(SQRT(SUMSQ(VLOOKUP($B35&amp;"; "&amp;$N$32&amp;", "&amp;$O$33,'FE Energie'!$G:$U,7,FALSE),$BF35))),0,SQRT(SUMSQ(VLOOKUP($B35&amp;"; "&amp;$N$32&amp;", "&amp;$O$33,'FE Energie'!$G:$U,7,FALSE),$BF35)))</f>
        <v>0</v>
      </c>
      <c r="BO35" s="1071">
        <f>IF(ISNA(SQRT(SUMSQ(VLOOKUP($B35&amp;"; "&amp;$Q$32&amp;", "&amp;$R$33,'FE Energie'!$G:$U,7,FALSE),$BG35))),0,SQRT(SUMSQ(VLOOKUP($B35&amp;"; "&amp;$Q$32&amp;", "&amp;$R$33,'FE Energie'!$G:$U,7,FALSE),$BG35)))</f>
        <v>0</v>
      </c>
    </row>
    <row r="36" spans="1:67" s="116" customFormat="1" ht="12.75" hidden="1" customHeight="1" outlineLevel="1">
      <c r="A36" s="114"/>
      <c r="B36" s="536" t="s">
        <v>121</v>
      </c>
      <c r="C36" s="144"/>
      <c r="D36" s="315"/>
      <c r="E36" s="315"/>
      <c r="F36" s="822"/>
      <c r="G36" s="1444" t="s">
        <v>1621</v>
      </c>
      <c r="H36" s="2628" t="s">
        <v>1572</v>
      </c>
      <c r="I36" s="2628"/>
      <c r="J36" s="1115"/>
      <c r="K36" s="223"/>
      <c r="L36" s="223"/>
      <c r="M36" s="1200"/>
      <c r="N36" s="217"/>
      <c r="O36" s="217"/>
      <c r="P36" s="822"/>
      <c r="Q36" s="223"/>
      <c r="R36" s="223"/>
      <c r="S36" s="566"/>
      <c r="T36" s="567"/>
      <c r="U36" s="114"/>
      <c r="V36" s="1092"/>
      <c r="W36" s="164"/>
      <c r="X36" s="820"/>
      <c r="Y36" s="164"/>
      <c r="Z36" s="164"/>
      <c r="AA36" s="164"/>
      <c r="AB36" s="164"/>
      <c r="AC36" s="152"/>
      <c r="AD36" s="114"/>
      <c r="AE36" s="564"/>
      <c r="AF36" s="565"/>
      <c r="AG36" s="565"/>
      <c r="AH36" s="565"/>
      <c r="AI36" s="565"/>
      <c r="AJ36" s="565"/>
      <c r="AK36" s="565"/>
      <c r="AL36" s="565"/>
      <c r="AM36" s="565"/>
      <c r="AN36" s="565"/>
      <c r="AO36" s="565"/>
      <c r="AP36" s="565"/>
      <c r="AQ36" s="565"/>
      <c r="AR36" s="565"/>
      <c r="AS36" s="565"/>
      <c r="AT36" s="565"/>
      <c r="AU36" s="1288"/>
      <c r="AV36" s="566"/>
      <c r="AW36" s="566"/>
      <c r="AX36" s="567"/>
      <c r="AY36" s="565"/>
      <c r="AZ36" s="565"/>
      <c r="BA36" s="565"/>
      <c r="BB36" s="568"/>
      <c r="BD36" s="1447" t="s">
        <v>1670</v>
      </c>
      <c r="BE36" s="1448" t="s">
        <v>1640</v>
      </c>
      <c r="BF36" s="1448" t="s">
        <v>1641</v>
      </c>
      <c r="BG36" s="1451" t="s">
        <v>1642</v>
      </c>
      <c r="BH36" s="1448" t="s">
        <v>1643</v>
      </c>
      <c r="BI36" s="1448" t="s">
        <v>1640</v>
      </c>
      <c r="BJ36" s="1448" t="s">
        <v>1641</v>
      </c>
      <c r="BK36" s="1451" t="s">
        <v>1642</v>
      </c>
      <c r="BL36" s="1447" t="s">
        <v>1643</v>
      </c>
      <c r="BM36" s="1448" t="s">
        <v>1640</v>
      </c>
      <c r="BN36" s="1448" t="s">
        <v>1641</v>
      </c>
      <c r="BO36" s="1451" t="s">
        <v>1642</v>
      </c>
    </row>
    <row r="37" spans="1:67" s="116" customFormat="1" ht="12.75" hidden="1" customHeight="1" outlineLevel="1">
      <c r="A37" s="114"/>
      <c r="B37" s="143" t="s">
        <v>1665</v>
      </c>
      <c r="C37" s="1426"/>
      <c r="D37" s="315">
        <f>S37+T37</f>
        <v>0</v>
      </c>
      <c r="E37" s="315"/>
      <c r="F37" s="847"/>
      <c r="G37" s="1047"/>
      <c r="H37" s="335">
        <f>VLOOKUP($B37&amp;"; "&amp;$H$36&amp;", "&amp;H$33,'FE Energie'!$G:$U,9,FALSE)</f>
        <v>4.1200000000000001E-2</v>
      </c>
      <c r="I37" s="335">
        <f>VLOOKUP($B37&amp;"; "&amp;$H$36&amp;", "&amp;I$33,'FE Energie'!$G:$U,9,FALSE)</f>
        <v>7.2599999999999998E-2</v>
      </c>
      <c r="J37" s="1116"/>
      <c r="K37" s="223">
        <f>VLOOKUP($B37&amp;"; "&amp;$K$32&amp;", "&amp;K$33,'FE Energie'!$G:$U,9,FALSE)</f>
        <v>1.0699999999999999E-2</v>
      </c>
      <c r="L37" s="223">
        <f>VLOOKUP($B37&amp;"; "&amp;$K$32&amp;", "&amp;L$33,'FE Energie'!$G:$U,9,FALSE)</f>
        <v>1.8800000000000001E-2</v>
      </c>
      <c r="M37" s="1495"/>
      <c r="N37" s="217" t="e">
        <f>VLOOKUP($B37&amp;"; "&amp;$N$11&amp;", "&amp;N$12,'FE Energie'!$G:$U,9,FALSE)</f>
        <v>#N/A</v>
      </c>
      <c r="O37" s="217" t="e">
        <f>VLOOKUP($B37&amp;"; "&amp;$N$32&amp;", "&amp;O$33,'FE Energie'!$G:$U,9,FALSE)</f>
        <v>#N/A</v>
      </c>
      <c r="P37" s="1047"/>
      <c r="Q37" s="223" t="e">
        <f>VLOOKUP($B37&amp;"; "&amp;$Q$32&amp;", "&amp;Q$33,'FE Energie'!$G:$U,9,FALSE)</f>
        <v>#N/A</v>
      </c>
      <c r="R37" s="223" t="e">
        <f>VLOOKUP($B37&amp;"; "&amp;$Q$32&amp;", "&amp;R$33,'FE Energie'!$G:$U,9,FALSE)</f>
        <v>#N/A</v>
      </c>
      <c r="S37" s="566">
        <f>IF(ISNA(G37*H37),0,G37*H37)+IF(ISNA(J37*K37),0,J37*K37)+IF(ISNA(M37*N37),0,M37*N37)+IF(ISNA(P37*Q37),0,P37*Q37)</f>
        <v>0</v>
      </c>
      <c r="T37" s="567">
        <f>IF(ISNA(G37*I37),0,G37*I37)+IF(ISNA(J37*L37),0,J37*L37)+IF(ISNA(M37*O37),0,M37*O37)+IF(ISNA(P37*R37),0,P37*R37)</f>
        <v>0</v>
      </c>
      <c r="U37" s="114"/>
      <c r="V37" s="1092">
        <f>IF(AC37=0,AC37,AC37/(S37+T37))</f>
        <v>0</v>
      </c>
      <c r="W37" s="343"/>
      <c r="X37" s="820"/>
      <c r="Y37" s="164">
        <f>SQRT(SUMSQ(IF(ISNA($G37*H37*BH37),0,$G37*H37*BH37),IF(ISNA($J37*K37*BI37),0,$J37*K37*BI37),IF(ISNA($M37*N37*BJ37),0,$M37*N37*BJ37),IF(ISNA($P37*Q37*BK37),0,$P37*Q37*BK37)))</f>
        <v>0</v>
      </c>
      <c r="Z37" s="164">
        <f>SQRT(SUMSQ(IF(ISNA($G37*I37*BL37),0,$G37*I37*BL37),IF(ISNA($J37*L37*BM37),0,$J37*L37*BM37),IF(ISNA($M37*O37*BN37),0,$M37*O37*BN37),IF(ISNA($P37*R37*BO37),0,$P37*R37*BO37)))</f>
        <v>0</v>
      </c>
      <c r="AA37" s="164"/>
      <c r="AB37" s="164"/>
      <c r="AC37" s="152">
        <f>SQRT(SUMSQ(Y37,Z37))</f>
        <v>0</v>
      </c>
      <c r="AD37" s="114"/>
      <c r="AE37" s="564">
        <f>$G37*IF(ISNA(VLOOKUP($B37&amp;"; "&amp;$H$32&amp;", "&amp;H$33,'FE Energie'!$G:$U,10,FALSE)),0,VLOOKUP($B37&amp;"; "&amp;$H$32&amp;", "&amp;H$33,'FE Energie'!$G:$U,10,FALSE))
+$J37*IF(ISNA(VLOOKUP($B37&amp;"; "&amp;$K$32&amp;", "&amp;H$33,'FE Energie'!$G:$U,10,FALSE)),0,VLOOKUP($B37&amp;"; "&amp;$K$32&amp;", "&amp;H$33,'FE Energie'!$G:$U,10,FALSE))
+$M37*IF(ISNA(VLOOKUP($B37&amp;"; "&amp;$N$32&amp;", "&amp;H$33,'FE Energie'!$G:$U,10,FALSE)),0,VLOOKUP($B37&amp;"; "&amp;$N$32&amp;", "&amp;H$33,'FE Energie'!$G:$U,10,FALSE))
+$P37*IF(ISNA(VLOOKUP($B37&amp;"; "&amp;$Q$32&amp;", "&amp;H$33,'FE Energie'!$G:$U,10,FALSE)),0,VLOOKUP($B37&amp;"; "&amp;$Q$32&amp;", "&amp;H$33,'FE Energie'!$G:$U,10,FALSE))</f>
        <v>0</v>
      </c>
      <c r="AF37" s="565">
        <f>$G37*IF(ISNA(VLOOKUP($B37&amp;"; "&amp;$H$32&amp;", "&amp;I$33,'FE Energie'!$G:$U,10,FALSE)),0,VLOOKUP($B37&amp;"; "&amp;$H$32&amp;", "&amp;I$33,'FE Energie'!$G:$U,10,FALSE))
+$J37*IF(ISNA(VLOOKUP($B37&amp;"; "&amp;$K$32&amp;", "&amp;I$33,'FE Energie'!$G:$U,10,FALSE)),0,VLOOKUP($B37&amp;"; "&amp;$K$32&amp;", "&amp;I$33,'FE Energie'!$G:$U,10,FALSE))
+$M37*IF(ISNA(VLOOKUP($B37&amp;"; "&amp;$N$32&amp;", "&amp;I$33,'FE Energie'!$G:$U,10,FALSE)),0,VLOOKUP($B37&amp;"; "&amp;$N$32&amp;", "&amp;I$33,'FE Energie'!$G:$U,10,FALSE))
+$P37*IF(ISNA(VLOOKUP($B37&amp;"; "&amp;$Q$32&amp;", "&amp;I$33,'FE Energie'!$G:$U,10,FALSE)),0,VLOOKUP($B37&amp;"; "&amp;$Q$32&amp;", "&amp;I$33,'FE Energie'!$G:$U,10,FALSE))</f>
        <v>0</v>
      </c>
      <c r="AG37" s="565"/>
      <c r="AH37" s="565"/>
      <c r="AI37" s="565">
        <f>$G37*IF(ISNA((VLOOKUP($B37&amp;"; "&amp;$H$32&amp;", "&amp;H$33,'FE Energie'!$G:$U,12,FALSE)+VLOOKUP($B37&amp;"; "&amp;$H$32&amp;", "&amp;H$33,'FE Energie'!$G:$U,11,FALSE))),0,(VLOOKUP($B37&amp;"; "&amp;$H$32&amp;", "&amp;H$33,'FE Energie'!$G:$U,12,FALSE)+VLOOKUP($B37&amp;"; "&amp;$H$32&amp;", "&amp;H$33,'FE Energie'!$G:$U,11,FALSE)))
+$J37*IF(ISNA((VLOOKUP($B37&amp;"; "&amp;$K$32&amp;", "&amp;H$33,'FE Energie'!$G:$U,12,FALSE)+VLOOKUP($B37&amp;"; "&amp;$K$32&amp;", "&amp;H$33,'FE Energie'!$G:$U,11,FALSE))),0,(VLOOKUP($B37&amp;"; "&amp;$K$32&amp;", "&amp;H$33,'FE Energie'!$G:$U,12,FALSE)+VLOOKUP($B37&amp;"; "&amp;$K$32&amp;", "&amp;H$33,'FE Energie'!$G:$U,11,FALSE)))
+$M37*IF(ISNA((VLOOKUP($B37&amp;"; "&amp;$N$32&amp;", "&amp;H$33,'FE Energie'!$G:$U,12,FALSE)+VLOOKUP($B37&amp;"; "&amp;$N$32&amp;", "&amp;H$33,'FE Energie'!$G:$U,11,FALSE))),0,(VLOOKUP($B37&amp;"; "&amp;$N$32&amp;", "&amp;H$33,'FE Energie'!$G:$U,12,FALSE)+VLOOKUP($B37&amp;"; "&amp;$N$32&amp;", "&amp;H$33,'FE Energie'!$G:$U,11,FALSE)))
+$P37*IF(ISNA((VLOOKUP($B37&amp;"; "&amp;$Q$32&amp;", "&amp;H$33,'FE Energie'!$G:$U,12,FALSE)+VLOOKUP($B37&amp;"; "&amp;$Q$32&amp;", "&amp;H$33,'FE Energie'!$G:$U,11,FALSE))),0,(VLOOKUP($B37&amp;"; "&amp;$Q$32&amp;", "&amp;H$33,'FE Energie'!$G:$U,12,FALSE)+VLOOKUP($B37&amp;"; "&amp;$Q$32&amp;", "&amp;H$33,'FE Energie'!$G:$U,11,FALSE)))</f>
        <v>0</v>
      </c>
      <c r="AJ37" s="565">
        <f>$G37*IF(ISNA((VLOOKUP($B37&amp;"; "&amp;$H$32&amp;", "&amp;I$33,'FE Energie'!$G:$U,12,FALSE)+VLOOKUP($B37&amp;"; "&amp;$H$32&amp;", "&amp;I$33,'FE Energie'!$G:$U,11,FALSE))),0,(VLOOKUP($B37&amp;"; "&amp;$H$32&amp;", "&amp;I$33,'FE Energie'!$G:$U,12,FALSE)+VLOOKUP($B37&amp;"; "&amp;$H$32&amp;", "&amp;I$33,'FE Energie'!$G:$U,11,FALSE)))
+$J37*IF(ISNA((VLOOKUP($B37&amp;"; "&amp;$K$32&amp;", "&amp;I$33,'FE Energie'!$G:$U,12,FALSE)+VLOOKUP($B37&amp;"; "&amp;$K$32&amp;", "&amp;I$33,'FE Energie'!$G:$U,11,FALSE))),0,(VLOOKUP($B37&amp;"; "&amp;$K$32&amp;", "&amp;I$33,'FE Energie'!$G:$U,12,FALSE)+VLOOKUP($B37&amp;"; "&amp;$K$32&amp;", "&amp;I$33,'FE Energie'!$G:$U,11,FALSE)))
+$M37*IF(ISNA((VLOOKUP($B37&amp;"; "&amp;$N$32&amp;", "&amp;I$33,'FE Energie'!$G:$U,12,FALSE)+VLOOKUP($B37&amp;"; "&amp;$N$32&amp;", "&amp;I$33,'FE Energie'!$G:$U,11,FALSE))),0,(VLOOKUP($B37&amp;"; "&amp;$N$32&amp;", "&amp;I$33,'FE Energie'!$G:$U,12,FALSE)+VLOOKUP($B37&amp;"; "&amp;$N$32&amp;", "&amp;I$33,'FE Energie'!$G:$U,11,FALSE)))
+$P37*IF(ISNA((VLOOKUP($B37&amp;"; "&amp;$Q$32&amp;", "&amp;I$33,'FE Energie'!$G:$U,12,FALSE)+VLOOKUP($B37&amp;"; "&amp;$Q$32&amp;", "&amp;I$33,'FE Energie'!$G:$U,11,FALSE))),0,(VLOOKUP($B37&amp;"; "&amp;$Q$32&amp;", "&amp;I$33,'FE Energie'!$G:$U,12,FALSE)+VLOOKUP($B37&amp;"; "&amp;$Q$32&amp;", "&amp;I$33,'FE Energie'!$G:$U,11,FALSE)))</f>
        <v>0</v>
      </c>
      <c r="AK37" s="565"/>
      <c r="AL37" s="565"/>
      <c r="AM37" s="565">
        <f>$G37*IF(ISNA(VLOOKUP($B37&amp;"; "&amp;$H$32&amp;", "&amp;H$33,'FE Energie'!$G:$U,13,FALSE)),0,VLOOKUP($B37&amp;"; "&amp;$H$32&amp;", "&amp;H$33,'FE Energie'!$G:$U,13,FALSE))
+$J37*IF(ISNA(VLOOKUP($B37&amp;"; "&amp;$K$32&amp;", "&amp;H$33,'FE Energie'!$G:$U,13,FALSE)),0,VLOOKUP($B37&amp;"; "&amp;$K$32&amp;", "&amp;H$33,'FE Energie'!$G:$U,13,FALSE))
+$M37*IF(ISNA(VLOOKUP($B37&amp;"; "&amp;$N$32&amp;", "&amp;H$33,'FE Energie'!$G:$U,13,FALSE)),0,VLOOKUP($B37&amp;"; "&amp;$N$32&amp;", "&amp;H$33,'FE Energie'!$G:$U,13,FALSE))
+$P37*IF(ISNA(VLOOKUP($B37&amp;"; "&amp;$Q$32&amp;", "&amp;H$33,'FE Energie'!$G:$U,13,FALSE)),0,VLOOKUP($B37&amp;"; "&amp;$Q$32&amp;", "&amp;H$33,'FE Energie'!$G:$U,13,FALSE))</f>
        <v>0</v>
      </c>
      <c r="AN37" s="565">
        <f>$G37*IF(ISNA(VLOOKUP($B37&amp;"; "&amp;$H$32&amp;", "&amp;I$33,'FE Energie'!$G:$U,13,FALSE)),0,VLOOKUP($B37&amp;"; "&amp;$H$32&amp;", "&amp;I$33,'FE Energie'!$G:$U,13,FALSE))
+$J37*IF(ISNA(VLOOKUP($B37&amp;"; "&amp;$K$32&amp;", "&amp;I$33,'FE Energie'!$G:$U,13,FALSE)),0,VLOOKUP($B37&amp;"; "&amp;$K$32&amp;", "&amp;I$33,'FE Energie'!$G:$U,13,FALSE))
+$M37*IF(ISNA(VLOOKUP($B37&amp;"; "&amp;$N$32&amp;", "&amp;I$33,'FE Energie'!$G:$U,13,FALSE)),0,VLOOKUP($B37&amp;"; "&amp;$N$32&amp;", "&amp;I$33,'FE Energie'!$G:$U,13,FALSE))
+$P37*IF(ISNA(VLOOKUP($B37&amp;"; "&amp;$Q$32&amp;", "&amp;I$33,'FE Energie'!$G:$U,13,FALSE)),0,VLOOKUP($B37&amp;"; "&amp;$Q$32&amp;", "&amp;I$33,'FE Energie'!$G:$U,13,FALSE))</f>
        <v>0</v>
      </c>
      <c r="AO37" s="565"/>
      <c r="AP37" s="565"/>
      <c r="AQ37" s="565">
        <f>$G37*IF(ISNA(VLOOKUP($B37&amp;"; "&amp;$H$32&amp;", "&amp;H$33,'FE Energie'!$G:$U,14,FALSE)),0,VLOOKUP($B37&amp;"; "&amp;$H$32&amp;", "&amp;H$33,'FE Energie'!$G:$U,14,FALSE))
+$J37*IF(ISNA(VLOOKUP($B37&amp;"; "&amp;$K$32&amp;", "&amp;H$33,'FE Energie'!$G:$U,14,FALSE)),0,VLOOKUP($B37&amp;"; "&amp;$K$32&amp;", "&amp;H$33,'FE Energie'!$G:$U,14,FALSE))
+$M37*IF(ISNA(VLOOKUP($B37&amp;"; "&amp;$N$32&amp;", "&amp;H$33,'FE Energie'!$G:$U,14,FALSE)),0,VLOOKUP($B37&amp;"; "&amp;$N$32&amp;", "&amp;H$33,'FE Energie'!$G:$U,14,FALSE))
+$P37*IF(ISNA(VLOOKUP($B37&amp;"; "&amp;$Q$32&amp;", "&amp;H$33,'FE Energie'!$G:$U,14,FALSE)),0,VLOOKUP($B37&amp;"; "&amp;$Q$32&amp;", "&amp;H$33,'FE Energie'!$G:$U,14,FALSE))</f>
        <v>0</v>
      </c>
      <c r="AR37" s="565">
        <f>$G37*IF(ISNA(VLOOKUP($B37&amp;"; "&amp;$H$32&amp;", "&amp;I$33,'FE Energie'!$G:$U,14,FALSE)),0,VLOOKUP($B37&amp;"; "&amp;$H$32&amp;", "&amp;I$33,'FE Energie'!$G:$U,14,FALSE))
+$J37*IF(ISNA(VLOOKUP($B37&amp;"; "&amp;$K$32&amp;", "&amp;I$33,'FE Energie'!$G:$U,14,FALSE)),0,VLOOKUP($B37&amp;"; "&amp;$K$32&amp;", "&amp;I$33,'FE Energie'!$G:$U,14,FALSE))
+$M37*IF(ISNA(VLOOKUP($B37&amp;"; "&amp;$N$32&amp;", "&amp;I$33,'FE Energie'!$G:$U,14,FALSE)),0,VLOOKUP($B37&amp;"; "&amp;$N$32&amp;", "&amp;I$33,'FE Energie'!$G:$U,14,FALSE))
+$P37*IF(ISNA(VLOOKUP($B37&amp;"; "&amp;$Q$32&amp;", "&amp;I$33,'FE Energie'!$G:$U,14,FALSE)),0,VLOOKUP($B37&amp;"; "&amp;$Q$32&amp;", "&amp;I$33,'FE Energie'!$G:$U,14,FALSE))</f>
        <v>0</v>
      </c>
      <c r="AS37" s="565"/>
      <c r="AT37" s="565"/>
      <c r="AU37" s="1288">
        <f>SUM(AQ37,AM37,AE37,AI37)</f>
        <v>0</v>
      </c>
      <c r="AV37" s="566">
        <f>SUM(AR37,AN37,AF37,AJ37)</f>
        <v>0</v>
      </c>
      <c r="AW37" s="566"/>
      <c r="AX37" s="567"/>
      <c r="AY37" s="565">
        <f>$G37*IF(ISNA(VLOOKUP($B37&amp;"; "&amp;$H$32&amp;", "&amp;H$33,'FE Energie'!$G:$U,15,FALSE)),0,VLOOKUP($B37&amp;"; "&amp;$H$32&amp;", "&amp;H$33,'FE Energie'!$G:$U,15,FALSE))
+$J37*IF(ISNA(VLOOKUP($B37&amp;"; "&amp;$K$32&amp;", "&amp;H$33,'FE Energie'!$G:$U,15,FALSE)),0,VLOOKUP($B37&amp;"; "&amp;$K$32&amp;", "&amp;H$33,'FE Energie'!$G:$U,15,FALSE))
+$M37*IF(ISNA(VLOOKUP($B37&amp;"; "&amp;$N$32&amp;", "&amp;H$33,'FE Energie'!$G:$U,15,FALSE)),0,VLOOKUP($B37&amp;"; "&amp;$N$32&amp;", "&amp;H$33,'FE Energie'!$G:$U,15,FALSE))
+$P37*IF(ISNA(VLOOKUP($B37&amp;"; "&amp;$Q$32&amp;", "&amp;H$33,'FE Energie'!$G:$U,15,FALSE)),0,VLOOKUP($B37&amp;"; "&amp;$Q$32&amp;", "&amp;H$33,'FE Energie'!$G:$U,15,FALSE))</f>
        <v>0</v>
      </c>
      <c r="AZ37" s="565">
        <f>$G37*IF(ISNA(VLOOKUP($B37&amp;"; "&amp;$H$11&amp;", "&amp;I$33,'FE Energie'!$G:$U,15,FALSE)),0,VLOOKUP($B37&amp;"; "&amp;$H$11&amp;", "&amp;I$33,'FE Energie'!$G:$U,15,FALSE))
+$J37*IF(ISNA(VLOOKUP($B37&amp;"; "&amp;$K$11&amp;", "&amp;I$33,'FE Energie'!$G:$U,15,FALSE)),0,VLOOKUP($B37&amp;"; "&amp;$K$11&amp;", "&amp;I$33,'FE Energie'!$G:$U,15,FALSE))
+$M37*IF(ISNA(VLOOKUP($B37&amp;"; "&amp;$N$11&amp;", "&amp;I$33,'FE Energie'!$G:$U,15,FALSE)),0,VLOOKUP($B37&amp;"; "&amp;$N$11&amp;", "&amp;I$33,'FE Energie'!$G:$U,15,FALSE))
+$P37*IF(ISNA(VLOOKUP($B37&amp;"; "&amp;$Q$11&amp;", "&amp;I$33,'FE Energie'!$G:$U,15,FALSE)),0,VLOOKUP($B37&amp;"; "&amp;$Q$11&amp;", "&amp;I$33,'FE Energie'!$G:$U,15,FALSE))</f>
        <v>0</v>
      </c>
      <c r="BA37" s="565"/>
      <c r="BB37" s="568"/>
      <c r="BD37" s="1065">
        <f>IF($W37&lt;&gt;"votre valeur :",IF(ISNA(VLOOKUP($W37,Utilitaires!$N$566:$O$571,2,FALSE)),,VLOOKUP($W37,Utilitaires!$N$566:$O$571,2,FALSE)),$X37)</f>
        <v>0</v>
      </c>
      <c r="BE37" s="1066">
        <f>IF($W37&lt;&gt;"votre valeur :",IF(ISNA(VLOOKUP($W37,Utilitaires!$N$566:$O$571,2,FALSE)),,VLOOKUP($W37,Utilitaires!$N$566:$O$571,2,FALSE)),$X37)</f>
        <v>0</v>
      </c>
      <c r="BF37" s="1066">
        <f>IF($W37&lt;&gt;"votre valeur :",IF(ISNA(VLOOKUP($W37,Utilitaires!$N$566:$O$571,2,FALSE)),,VLOOKUP($W37,Utilitaires!$N$566:$O$571,2,FALSE)),$X37)</f>
        <v>0</v>
      </c>
      <c r="BG37" s="1067">
        <f>IF($W37&lt;&gt;"votre valeur :",IF(ISNA(VLOOKUP($W37,Utilitaires!$N$566:$O$571,2,FALSE)),,VLOOKUP($W37,Utilitaires!$N$566:$O$571,2,FALSE)),$X37)</f>
        <v>0</v>
      </c>
      <c r="BH37" s="1068">
        <f>IF(ISNA(SQRT(SUMSQ(VLOOKUP($B37&amp;"; "&amp;$H$36&amp;", "&amp;$H$33,'FE Energie'!$G:$U,7,FALSE),$BD37))),0,SQRT(SUMSQ(VLOOKUP($B37&amp;"; "&amp;$H$36&amp;", "&amp;$H$33,'FE Energie'!$G:$U,7,FALSE),$BD37)))</f>
        <v>0.5</v>
      </c>
      <c r="BI37" s="1068">
        <f>IF(ISNA(SQRT(SUMSQ(VLOOKUP($B37&amp;"; "&amp;$K$32&amp;", "&amp;$K$33,'FE Energie'!$G:$U,7,FALSE),$BE37))),0,SQRT(SUMSQ(VLOOKUP($B37&amp;"; "&amp;$K$32&amp;", "&amp;$K$33,'FE Energie'!$G:$U,7,FALSE),$BE37)))</f>
        <v>0.5</v>
      </c>
      <c r="BJ37" s="1068">
        <f>IF(ISNA(SQRT(SUMSQ(VLOOKUP($B37&amp;"; "&amp;$N$32&amp;", "&amp;$N$33,'FE Energie'!$G:$U,7,FALSE),$BF37))),0,SQRT(SUMSQ(VLOOKUP($B37&amp;"; "&amp;$N$32&amp;", "&amp;$N$33,'FE Energie'!$G:$U,7,FALSE),$BF37)))</f>
        <v>0</v>
      </c>
      <c r="BK37" s="1068">
        <f>IF(ISNA(SQRT(SUMSQ(VLOOKUP($B37&amp;"; "&amp;$Q$32&amp;", "&amp;$Q$33,'FE Energie'!$G:$U,7,FALSE),$BG37))),0,SQRT(SUMSQ(VLOOKUP($B37&amp;"; "&amp;$Q$32&amp;", "&amp;$Q$33,'FE Energie'!$G:$U,7,FALSE),$BG37)))</f>
        <v>0</v>
      </c>
      <c r="BL37" s="1069">
        <f>IF(ISNA(SQRT(SUMSQ(VLOOKUP($B37&amp;"; "&amp;$H$32&amp;", "&amp;$I$33,'FE Energie'!$G:$U,7,FALSE),$BD37))),0,SQRT(SUMSQ(VLOOKUP($B37&amp;"; "&amp;$H$32&amp;", "&amp;$I$33,'FE Energie'!$G:$U,7,FALSE),$BD37)))</f>
        <v>0</v>
      </c>
      <c r="BM37" s="1070">
        <f>IF(ISNA(SQRT(SUMSQ(VLOOKUP($B37&amp;"; "&amp;$K$32&amp;", "&amp;$L$33,'FE Energie'!$G:$U,7,FALSE),$BE37))),0,SQRT(SUMSQ(VLOOKUP($B37&amp;"; "&amp;$K$32&amp;", "&amp;$L$33,'FE Energie'!$G:$U,7,FALSE),$BE37)))</f>
        <v>0.5</v>
      </c>
      <c r="BN37" s="1070">
        <f>IF(ISNA(SQRT(SUMSQ(VLOOKUP($B37&amp;"; "&amp;$N$32&amp;", "&amp;$O$33,'FE Energie'!$G:$U,7,FALSE),$BF37))),0,SQRT(SUMSQ(VLOOKUP($B37&amp;"; "&amp;$N$32&amp;", "&amp;$O$33,'FE Energie'!$G:$U,7,FALSE),$BF37)))</f>
        <v>0</v>
      </c>
      <c r="BO37" s="1071">
        <f>IF(ISNA(SQRT(SUMSQ(VLOOKUP($B37&amp;"; "&amp;$Q$32&amp;", "&amp;$R$33,'FE Energie'!$G:$U,7,FALSE),$BG37))),0,SQRT(SUMSQ(VLOOKUP($B37&amp;"; "&amp;$Q$32&amp;", "&amp;$R$33,'FE Energie'!$G:$U,7,FALSE),$BG37)))</f>
        <v>0</v>
      </c>
    </row>
    <row r="38" spans="1:67" s="116" customFormat="1" ht="12.75" hidden="1" customHeight="1" outlineLevel="1">
      <c r="A38" s="114"/>
      <c r="B38" s="143" t="s">
        <v>1666</v>
      </c>
      <c r="C38" s="1426"/>
      <c r="D38" s="315">
        <f>S38+T38</f>
        <v>0</v>
      </c>
      <c r="E38" s="315"/>
      <c r="F38" s="849"/>
      <c r="G38" s="123"/>
      <c r="H38" s="335">
        <f>VLOOKUP($B38&amp;"; "&amp;$H$36&amp;", "&amp;H$33,'FE Energie'!$G:$U,9,FALSE)</f>
        <v>4.07E-2</v>
      </c>
      <c r="I38" s="335">
        <f>VLOOKUP($B38&amp;"; "&amp;$H$36&amp;", "&amp;I$33,'FE Energie'!$G:$U,9,FALSE)</f>
        <v>4.82E-2</v>
      </c>
      <c r="J38" s="845"/>
      <c r="K38" s="223">
        <f>VLOOKUP($B38&amp;"; "&amp;$K$32&amp;", "&amp;K$33,'FE Energie'!$G:$U,9,FALSE)</f>
        <v>1.12E-2</v>
      </c>
      <c r="L38" s="223">
        <f>VLOOKUP($B38&amp;"; "&amp;$K$32&amp;", "&amp;L$33,'FE Energie'!$G:$U,9,FALSE)</f>
        <v>1.32E-2</v>
      </c>
      <c r="M38" s="1496"/>
      <c r="N38" s="217" t="e">
        <f>VLOOKUP($B38&amp;"; "&amp;$N$11&amp;", "&amp;N$12,'FE Energie'!$G:$U,9,FALSE)</f>
        <v>#N/A</v>
      </c>
      <c r="O38" s="217" t="e">
        <f>VLOOKUP($B38&amp;"; "&amp;$N$32&amp;", "&amp;O$33,'FE Energie'!$G:$U,9,FALSE)</f>
        <v>#N/A</v>
      </c>
      <c r="P38" s="123"/>
      <c r="Q38" s="223" t="e">
        <f>VLOOKUP($B38&amp;"; "&amp;$Q$32&amp;", "&amp;Q$33,'FE Energie'!$G:$U,9,FALSE)</f>
        <v>#N/A</v>
      </c>
      <c r="R38" s="223" t="e">
        <f>VLOOKUP($B38&amp;"; "&amp;$Q$32&amp;", "&amp;R$33,'FE Energie'!$G:$U,9,FALSE)</f>
        <v>#N/A</v>
      </c>
      <c r="S38" s="566">
        <f>IF(ISNA(G38*H38),0,G38*H38)+IF(ISNA(J38*K38),0,J38*K38)+IF(ISNA(M38*N38),0,M38*N38)+IF(ISNA(P38*Q38),0,P38*Q38)</f>
        <v>0</v>
      </c>
      <c r="T38" s="567">
        <f>IF(ISNA(G38*I38),0,G38*I38)+IF(ISNA(J38*L38),0,J38*L38)+IF(ISNA(M38*O38),0,M38*O38)+IF(ISNA(P38*R38),0,P38*R38)</f>
        <v>0</v>
      </c>
      <c r="U38" s="114"/>
      <c r="V38" s="1092">
        <f>IF(AC38=0,AC38,AC38/(S38+T38))</f>
        <v>0</v>
      </c>
      <c r="W38" s="345"/>
      <c r="X38" s="820"/>
      <c r="Y38" s="164">
        <f>SQRT(SUMSQ(IF(ISNA($G38*H38*BH38),0,$G38*H38*BH38),IF(ISNA($J38*K38*BI38),0,$J38*K38*BI38),IF(ISNA($M38*N38*BJ38),0,$M38*N38*BJ38),IF(ISNA($P38*Q38*BK38),0,$P38*Q38*BK38)))</f>
        <v>0</v>
      </c>
      <c r="Z38" s="164">
        <f>SQRT(SUMSQ(IF(ISNA($G38*I38*BL38),0,$G38*I38*BL38),IF(ISNA($J38*L38*BM38),0,$J38*L38*BM38),IF(ISNA($M38*O38*BN38),0,$M38*O38*BN38),IF(ISNA($P38*R38*BO38),0,$P38*R38*BO38)))</f>
        <v>0</v>
      </c>
      <c r="AA38" s="164"/>
      <c r="AB38" s="164"/>
      <c r="AC38" s="152">
        <f>SQRT(SUMSQ(Y38,Z38))</f>
        <v>0</v>
      </c>
      <c r="AD38" s="114"/>
      <c r="AE38" s="564">
        <f>$G38*IF(ISNA(VLOOKUP($B38&amp;"; "&amp;$H$32&amp;", "&amp;H$33,'FE Energie'!$G:$U,10,FALSE)),0,VLOOKUP($B38&amp;"; "&amp;$H$32&amp;", "&amp;H$33,'FE Energie'!$G:$U,10,FALSE))
+$J38*IF(ISNA(VLOOKUP($B38&amp;"; "&amp;$K$32&amp;", "&amp;H$33,'FE Energie'!$G:$U,10,FALSE)),0,VLOOKUP($B38&amp;"; "&amp;$K$32&amp;", "&amp;H$33,'FE Energie'!$G:$U,10,FALSE))
+$M38*IF(ISNA(VLOOKUP($B38&amp;"; "&amp;$N$32&amp;", "&amp;H$33,'FE Energie'!$G:$U,10,FALSE)),0,VLOOKUP($B38&amp;"; "&amp;$N$32&amp;", "&amp;H$33,'FE Energie'!$G:$U,10,FALSE))
+$P38*IF(ISNA(VLOOKUP($B38&amp;"; "&amp;$Q$32&amp;", "&amp;H$33,'FE Energie'!$G:$U,10,FALSE)),0,VLOOKUP($B38&amp;"; "&amp;$Q$32&amp;", "&amp;H$33,'FE Energie'!$G:$U,10,FALSE))</f>
        <v>0</v>
      </c>
      <c r="AF38" s="565">
        <f>$G38*IF(ISNA(VLOOKUP($B38&amp;"; "&amp;$H$32&amp;", "&amp;I$33,'FE Energie'!$G:$U,10,FALSE)),0,VLOOKUP($B38&amp;"; "&amp;$H$32&amp;", "&amp;I$33,'FE Energie'!$G:$U,10,FALSE))
+$J38*IF(ISNA(VLOOKUP($B38&amp;"; "&amp;$K$32&amp;", "&amp;I$33,'FE Energie'!$G:$U,10,FALSE)),0,VLOOKUP($B38&amp;"; "&amp;$K$32&amp;", "&amp;I$33,'FE Energie'!$G:$U,10,FALSE))
+$M38*IF(ISNA(VLOOKUP($B38&amp;"; "&amp;$N$32&amp;", "&amp;I$33,'FE Energie'!$G:$U,10,FALSE)),0,VLOOKUP($B38&amp;"; "&amp;$N$32&amp;", "&amp;I$33,'FE Energie'!$G:$U,10,FALSE))
+$P38*IF(ISNA(VLOOKUP($B38&amp;"; "&amp;$Q$32&amp;", "&amp;I$33,'FE Energie'!$G:$U,10,FALSE)),0,VLOOKUP($B38&amp;"; "&amp;$Q$32&amp;", "&amp;I$33,'FE Energie'!$G:$U,10,FALSE))</f>
        <v>0</v>
      </c>
      <c r="AG38" s="565"/>
      <c r="AH38" s="565"/>
      <c r="AI38" s="565">
        <f>$G38*IF(ISNA((VLOOKUP($B38&amp;"; "&amp;$H$32&amp;", "&amp;H$33,'FE Energie'!$G:$U,12,FALSE)+VLOOKUP($B38&amp;"; "&amp;$H$32&amp;", "&amp;H$33,'FE Energie'!$G:$U,11,FALSE))),0,(VLOOKUP($B38&amp;"; "&amp;$H$32&amp;", "&amp;H$33,'FE Energie'!$G:$U,12,FALSE)+VLOOKUP($B38&amp;"; "&amp;$H$32&amp;", "&amp;H$33,'FE Energie'!$G:$U,11,FALSE)))
+$J38*IF(ISNA((VLOOKUP($B38&amp;"; "&amp;$K$32&amp;", "&amp;H$33,'FE Energie'!$G:$U,12,FALSE)+VLOOKUP($B38&amp;"; "&amp;$K$32&amp;", "&amp;H$33,'FE Energie'!$G:$U,11,FALSE))),0,(VLOOKUP($B38&amp;"; "&amp;$K$32&amp;", "&amp;H$33,'FE Energie'!$G:$U,12,FALSE)+VLOOKUP($B38&amp;"; "&amp;$K$32&amp;", "&amp;H$33,'FE Energie'!$G:$U,11,FALSE)))
+$M38*IF(ISNA((VLOOKUP($B38&amp;"; "&amp;$N$32&amp;", "&amp;H$33,'FE Energie'!$G:$U,12,FALSE)+VLOOKUP($B38&amp;"; "&amp;$N$32&amp;", "&amp;H$33,'FE Energie'!$G:$U,11,FALSE))),0,(VLOOKUP($B38&amp;"; "&amp;$N$32&amp;", "&amp;H$33,'FE Energie'!$G:$U,12,FALSE)+VLOOKUP($B38&amp;"; "&amp;$N$32&amp;", "&amp;H$33,'FE Energie'!$G:$U,11,FALSE)))
+$P38*IF(ISNA((VLOOKUP($B38&amp;"; "&amp;$Q$32&amp;", "&amp;H$33,'FE Energie'!$G:$U,12,FALSE)+VLOOKUP($B38&amp;"; "&amp;$Q$32&amp;", "&amp;H$33,'FE Energie'!$G:$U,11,FALSE))),0,(VLOOKUP($B38&amp;"; "&amp;$Q$32&amp;", "&amp;H$33,'FE Energie'!$G:$U,12,FALSE)+VLOOKUP($B38&amp;"; "&amp;$Q$32&amp;", "&amp;H$33,'FE Energie'!$G:$U,11,FALSE)))</f>
        <v>0</v>
      </c>
      <c r="AJ38" s="565">
        <f>$G38*IF(ISNA((VLOOKUP($B38&amp;"; "&amp;$H$32&amp;", "&amp;I$33,'FE Energie'!$G:$U,12,FALSE)+VLOOKUP($B38&amp;"; "&amp;$H$32&amp;", "&amp;I$33,'FE Energie'!$G:$U,11,FALSE))),0,(VLOOKUP($B38&amp;"; "&amp;$H$32&amp;", "&amp;I$33,'FE Energie'!$G:$U,12,FALSE)+VLOOKUP($B38&amp;"; "&amp;$H$32&amp;", "&amp;I$33,'FE Energie'!$G:$U,11,FALSE)))
+$J38*IF(ISNA((VLOOKUP($B38&amp;"; "&amp;$K$32&amp;", "&amp;I$33,'FE Energie'!$G:$U,12,FALSE)+VLOOKUP($B38&amp;"; "&amp;$K$32&amp;", "&amp;I$33,'FE Energie'!$G:$U,11,FALSE))),0,(VLOOKUP($B38&amp;"; "&amp;$K$32&amp;", "&amp;I$33,'FE Energie'!$G:$U,12,FALSE)+VLOOKUP($B38&amp;"; "&amp;$K$32&amp;", "&amp;I$33,'FE Energie'!$G:$U,11,FALSE)))
+$M38*IF(ISNA((VLOOKUP($B38&amp;"; "&amp;$N$32&amp;", "&amp;I$33,'FE Energie'!$G:$U,12,FALSE)+VLOOKUP($B38&amp;"; "&amp;$N$32&amp;", "&amp;I$33,'FE Energie'!$G:$U,11,FALSE))),0,(VLOOKUP($B38&amp;"; "&amp;$N$32&amp;", "&amp;I$33,'FE Energie'!$G:$U,12,FALSE)+VLOOKUP($B38&amp;"; "&amp;$N$32&amp;", "&amp;I$33,'FE Energie'!$G:$U,11,FALSE)))
+$P38*IF(ISNA((VLOOKUP($B38&amp;"; "&amp;$Q$32&amp;", "&amp;I$33,'FE Energie'!$G:$U,12,FALSE)+VLOOKUP($B38&amp;"; "&amp;$Q$32&amp;", "&amp;I$33,'FE Energie'!$G:$U,11,FALSE))),0,(VLOOKUP($B38&amp;"; "&amp;$Q$32&amp;", "&amp;I$33,'FE Energie'!$G:$U,12,FALSE)+VLOOKUP($B38&amp;"; "&amp;$Q$32&amp;", "&amp;I$33,'FE Energie'!$G:$U,11,FALSE)))</f>
        <v>0</v>
      </c>
      <c r="AK38" s="565"/>
      <c r="AL38" s="565"/>
      <c r="AM38" s="565">
        <f>$G38*IF(ISNA(VLOOKUP($B38&amp;"; "&amp;$H$32&amp;", "&amp;H$33,'FE Energie'!$G:$U,13,FALSE)),0,VLOOKUP($B38&amp;"; "&amp;$H$32&amp;", "&amp;H$33,'FE Energie'!$G:$U,13,FALSE))
+$J38*IF(ISNA(VLOOKUP($B38&amp;"; "&amp;$K$32&amp;", "&amp;H$33,'FE Energie'!$G:$U,13,FALSE)),0,VLOOKUP($B38&amp;"; "&amp;$K$32&amp;", "&amp;H$33,'FE Energie'!$G:$U,13,FALSE))
+$M38*IF(ISNA(VLOOKUP($B38&amp;"; "&amp;$N$32&amp;", "&amp;H$33,'FE Energie'!$G:$U,13,FALSE)),0,VLOOKUP($B38&amp;"; "&amp;$N$32&amp;", "&amp;H$33,'FE Energie'!$G:$U,13,FALSE))
+$P38*IF(ISNA(VLOOKUP($B38&amp;"; "&amp;$Q$32&amp;", "&amp;H$33,'FE Energie'!$G:$U,13,FALSE)),0,VLOOKUP($B38&amp;"; "&amp;$Q$32&amp;", "&amp;H$33,'FE Energie'!$G:$U,13,FALSE))</f>
        <v>0</v>
      </c>
      <c r="AN38" s="565">
        <f>$G38*IF(ISNA(VLOOKUP($B38&amp;"; "&amp;$H$32&amp;", "&amp;I$33,'FE Energie'!$G:$U,13,FALSE)),0,VLOOKUP($B38&amp;"; "&amp;$H$32&amp;", "&amp;I$33,'FE Energie'!$G:$U,13,FALSE))
+$J38*IF(ISNA(VLOOKUP($B38&amp;"; "&amp;$K$32&amp;", "&amp;I$33,'FE Energie'!$G:$U,13,FALSE)),0,VLOOKUP($B38&amp;"; "&amp;$K$32&amp;", "&amp;I$33,'FE Energie'!$G:$U,13,FALSE))
+$M38*IF(ISNA(VLOOKUP($B38&amp;"; "&amp;$N$32&amp;", "&amp;I$33,'FE Energie'!$G:$U,13,FALSE)),0,VLOOKUP($B38&amp;"; "&amp;$N$32&amp;", "&amp;I$33,'FE Energie'!$G:$U,13,FALSE))
+$P38*IF(ISNA(VLOOKUP($B38&amp;"; "&amp;$Q$32&amp;", "&amp;I$33,'FE Energie'!$G:$U,13,FALSE)),0,VLOOKUP($B38&amp;"; "&amp;$Q$32&amp;", "&amp;I$33,'FE Energie'!$G:$U,13,FALSE))</f>
        <v>0</v>
      </c>
      <c r="AO38" s="565"/>
      <c r="AP38" s="565"/>
      <c r="AQ38" s="565">
        <f>$G38*IF(ISNA(VLOOKUP($B38&amp;"; "&amp;$H$32&amp;", "&amp;H$33,'FE Energie'!$G:$U,14,FALSE)),0,VLOOKUP($B38&amp;"; "&amp;$H$32&amp;", "&amp;H$33,'FE Energie'!$G:$U,14,FALSE))
+$J38*IF(ISNA(VLOOKUP($B38&amp;"; "&amp;$K$32&amp;", "&amp;H$33,'FE Energie'!$G:$U,14,FALSE)),0,VLOOKUP($B38&amp;"; "&amp;$K$32&amp;", "&amp;H$33,'FE Energie'!$G:$U,14,FALSE))
+$M38*IF(ISNA(VLOOKUP($B38&amp;"; "&amp;$N$32&amp;", "&amp;H$33,'FE Energie'!$G:$U,14,FALSE)),0,VLOOKUP($B38&amp;"; "&amp;$N$32&amp;", "&amp;H$33,'FE Energie'!$G:$U,14,FALSE))
+$P38*IF(ISNA(VLOOKUP($B38&amp;"; "&amp;$Q$32&amp;", "&amp;H$33,'FE Energie'!$G:$U,14,FALSE)),0,VLOOKUP($B38&amp;"; "&amp;$Q$32&amp;", "&amp;H$33,'FE Energie'!$G:$U,14,FALSE))</f>
        <v>0</v>
      </c>
      <c r="AR38" s="565">
        <f>$G38*IF(ISNA(VLOOKUP($B38&amp;"; "&amp;$H$32&amp;", "&amp;I$33,'FE Energie'!$G:$U,14,FALSE)),0,VLOOKUP($B38&amp;"; "&amp;$H$32&amp;", "&amp;I$33,'FE Energie'!$G:$U,14,FALSE))
+$J38*IF(ISNA(VLOOKUP($B38&amp;"; "&amp;$K$32&amp;", "&amp;I$33,'FE Energie'!$G:$U,14,FALSE)),0,VLOOKUP($B38&amp;"; "&amp;$K$32&amp;", "&amp;I$33,'FE Energie'!$G:$U,14,FALSE))
+$M38*IF(ISNA(VLOOKUP($B38&amp;"; "&amp;$N$32&amp;", "&amp;I$33,'FE Energie'!$G:$U,14,FALSE)),0,VLOOKUP($B38&amp;"; "&amp;$N$32&amp;", "&amp;I$33,'FE Energie'!$G:$U,14,FALSE))
+$P38*IF(ISNA(VLOOKUP($B38&amp;"; "&amp;$Q$32&amp;", "&amp;I$33,'FE Energie'!$G:$U,14,FALSE)),0,VLOOKUP($B38&amp;"; "&amp;$Q$32&amp;", "&amp;I$33,'FE Energie'!$G:$U,14,FALSE))</f>
        <v>0</v>
      </c>
      <c r="AS38" s="565"/>
      <c r="AT38" s="565"/>
      <c r="AU38" s="1288">
        <f>SUM(AQ38,AM38,AE38,AI38)</f>
        <v>0</v>
      </c>
      <c r="AV38" s="566">
        <f>SUM(AR38,AN38,AF38,AJ38)</f>
        <v>0</v>
      </c>
      <c r="AW38" s="566"/>
      <c r="AX38" s="567"/>
      <c r="AY38" s="565">
        <f>$G38*IF(ISNA(VLOOKUP($B38&amp;"; "&amp;$H$32&amp;", "&amp;H$33,'FE Energie'!$G:$U,15,FALSE)),0,VLOOKUP($B38&amp;"; "&amp;$H$32&amp;", "&amp;H$33,'FE Energie'!$G:$U,15,FALSE))
+$J38*IF(ISNA(VLOOKUP($B38&amp;"; "&amp;$K$32&amp;", "&amp;H$33,'FE Energie'!$G:$U,15,FALSE)),0,VLOOKUP($B38&amp;"; "&amp;$K$32&amp;", "&amp;H$33,'FE Energie'!$G:$U,15,FALSE))
+$M38*IF(ISNA(VLOOKUP($B38&amp;"; "&amp;$N$32&amp;", "&amp;H$33,'FE Energie'!$G:$U,15,FALSE)),0,VLOOKUP($B38&amp;"; "&amp;$N$32&amp;", "&amp;H$33,'FE Energie'!$G:$U,15,FALSE))
+$P38*IF(ISNA(VLOOKUP($B38&amp;"; "&amp;$Q$32&amp;", "&amp;H$33,'FE Energie'!$G:$U,15,FALSE)),0,VLOOKUP($B38&amp;"; "&amp;$Q$32&amp;", "&amp;H$33,'FE Energie'!$G:$U,15,FALSE))</f>
        <v>0</v>
      </c>
      <c r="AZ38" s="565">
        <f>$G38*IF(ISNA(VLOOKUP($B38&amp;"; "&amp;$H$11&amp;", "&amp;I$33,'FE Energie'!$G:$U,15,FALSE)),0,VLOOKUP($B38&amp;"; "&amp;$H$11&amp;", "&amp;I$33,'FE Energie'!$G:$U,15,FALSE))
+$J38*IF(ISNA(VLOOKUP($B38&amp;"; "&amp;$K$11&amp;", "&amp;I$33,'FE Energie'!$G:$U,15,FALSE)),0,VLOOKUP($B38&amp;"; "&amp;$K$11&amp;", "&amp;I$33,'FE Energie'!$G:$U,15,FALSE))
+$M38*IF(ISNA(VLOOKUP($B38&amp;"; "&amp;$N$11&amp;", "&amp;I$33,'FE Energie'!$G:$U,15,FALSE)),0,VLOOKUP($B38&amp;"; "&amp;$N$11&amp;", "&amp;I$33,'FE Energie'!$G:$U,15,FALSE))
+$P38*IF(ISNA(VLOOKUP($B38&amp;"; "&amp;$Q$11&amp;", "&amp;I$33,'FE Energie'!$G:$U,15,FALSE)),0,VLOOKUP($B38&amp;"; "&amp;$Q$11&amp;", "&amp;I$33,'FE Energie'!$G:$U,15,FALSE))</f>
        <v>0</v>
      </c>
      <c r="BA38" s="565"/>
      <c r="BB38" s="568"/>
      <c r="BD38" s="1065">
        <f>IF($W38&lt;&gt;"votre valeur :",IF(ISNA(VLOOKUP($W38,Utilitaires!$N$566:$O$571,2,FALSE)),,VLOOKUP($W38,Utilitaires!$N$566:$O$571,2,FALSE)),$X38)</f>
        <v>0</v>
      </c>
      <c r="BE38" s="1066">
        <f>IF($W38&lt;&gt;"votre valeur :",IF(ISNA(VLOOKUP($W38,Utilitaires!$N$566:$O$571,2,FALSE)),,VLOOKUP($W38,Utilitaires!$N$566:$O$571,2,FALSE)),$X38)</f>
        <v>0</v>
      </c>
      <c r="BF38" s="1066">
        <f>IF($W38&lt;&gt;"votre valeur :",IF(ISNA(VLOOKUP($W38,Utilitaires!$N$566:$O$571,2,FALSE)),,VLOOKUP($W38,Utilitaires!$N$566:$O$571,2,FALSE)),$X38)</f>
        <v>0</v>
      </c>
      <c r="BG38" s="1067">
        <f>IF($W38&lt;&gt;"votre valeur :",IF(ISNA(VLOOKUP($W38,Utilitaires!$N$566:$O$571,2,FALSE)),,VLOOKUP($W38,Utilitaires!$N$566:$O$571,2,FALSE)),$X38)</f>
        <v>0</v>
      </c>
      <c r="BH38" s="1068">
        <f>IF(ISNA(SQRT(SUMSQ(VLOOKUP($B38&amp;"; "&amp;$H$36&amp;", "&amp;$H$33,'FE Energie'!$G:$U,7,FALSE),$BD38))),0,SQRT(SUMSQ(VLOOKUP($B38&amp;"; "&amp;$H$36&amp;", "&amp;$H$33,'FE Energie'!$G:$U,7,FALSE),$BD38)))</f>
        <v>0.5</v>
      </c>
      <c r="BI38" s="1068">
        <f>IF(ISNA(SQRT(SUMSQ(VLOOKUP($B38&amp;"; "&amp;$K$32&amp;", "&amp;$K$33,'FE Energie'!$G:$U,7,FALSE),$BE38))),0,SQRT(SUMSQ(VLOOKUP($B38&amp;"; "&amp;$K$32&amp;", "&amp;$K$33,'FE Energie'!$G:$U,7,FALSE),$BE38)))</f>
        <v>0.5</v>
      </c>
      <c r="BJ38" s="1068">
        <f>IF(ISNA(SQRT(SUMSQ(VLOOKUP($B38&amp;"; "&amp;$N$32&amp;", "&amp;$N$33,'FE Energie'!$G:$U,7,FALSE),$BF38))),0,SQRT(SUMSQ(VLOOKUP($B38&amp;"; "&amp;$N$32&amp;", "&amp;$N$33,'FE Energie'!$G:$U,7,FALSE),$BF38)))</f>
        <v>0</v>
      </c>
      <c r="BK38" s="1068">
        <f>IF(ISNA(SQRT(SUMSQ(VLOOKUP($B38&amp;"; "&amp;$Q$32&amp;", "&amp;$Q$33,'FE Energie'!$G:$U,7,FALSE),$BG38))),0,SQRT(SUMSQ(VLOOKUP($B38&amp;"; "&amp;$Q$32&amp;", "&amp;$Q$33,'FE Energie'!$G:$U,7,FALSE),$BG38)))</f>
        <v>0</v>
      </c>
      <c r="BL38" s="1069">
        <f>IF(ISNA(SQRT(SUMSQ(VLOOKUP($B38&amp;"; "&amp;$H$32&amp;", "&amp;$I$33,'FE Energie'!$G:$U,7,FALSE),$BD38))),0,SQRT(SUMSQ(VLOOKUP($B38&amp;"; "&amp;$H$32&amp;", "&amp;$I$33,'FE Energie'!$G:$U,7,FALSE),$BD38)))</f>
        <v>0</v>
      </c>
      <c r="BM38" s="1070">
        <f>IF(ISNA(SQRT(SUMSQ(VLOOKUP($B38&amp;"; "&amp;$K$32&amp;", "&amp;$L$33,'FE Energie'!$G:$U,7,FALSE),$BE38))),0,SQRT(SUMSQ(VLOOKUP($B38&amp;"; "&amp;$K$32&amp;", "&amp;$L$33,'FE Energie'!$G:$U,7,FALSE),$BE38)))</f>
        <v>0.5</v>
      </c>
      <c r="BN38" s="1070">
        <f>IF(ISNA(SQRT(SUMSQ(VLOOKUP($B38&amp;"; "&amp;$N$32&amp;", "&amp;$O$33,'FE Energie'!$G:$U,7,FALSE),$BF38))),0,SQRT(SUMSQ(VLOOKUP($B38&amp;"; "&amp;$N$32&amp;", "&amp;$O$33,'FE Energie'!$G:$U,7,FALSE),$BF38)))</f>
        <v>0</v>
      </c>
      <c r="BO38" s="1071">
        <f>IF(ISNA(SQRT(SUMSQ(VLOOKUP($B38&amp;"; "&amp;$Q$32&amp;", "&amp;$R$33,'FE Energie'!$G:$U,7,FALSE),$BG38))),0,SQRT(SUMSQ(VLOOKUP($B38&amp;"; "&amp;$Q$32&amp;", "&amp;$R$33,'FE Energie'!$G:$U,7,FALSE),$BG38)))</f>
        <v>0</v>
      </c>
    </row>
    <row r="39" spans="1:67" s="116" customFormat="1" ht="12.75" hidden="1" customHeight="1" outlineLevel="1">
      <c r="A39" s="114"/>
      <c r="B39" s="154"/>
      <c r="C39" s="155"/>
      <c r="D39" s="315"/>
      <c r="E39" s="315"/>
      <c r="F39" s="155"/>
      <c r="G39" s="155"/>
      <c r="H39" s="155"/>
      <c r="I39" s="155"/>
      <c r="J39" s="155"/>
      <c r="K39" s="155"/>
      <c r="L39" s="155"/>
      <c r="M39" s="155"/>
      <c r="N39" s="155"/>
      <c r="O39" s="155"/>
      <c r="P39" s="144"/>
      <c r="Q39" s="144"/>
      <c r="R39" s="144"/>
      <c r="S39" s="155"/>
      <c r="T39" s="156"/>
      <c r="U39" s="114"/>
      <c r="V39" s="154"/>
      <c r="W39" s="822"/>
      <c r="X39" s="822"/>
      <c r="Y39" s="155"/>
      <c r="Z39" s="169"/>
      <c r="AA39" s="169"/>
      <c r="AB39" s="169"/>
      <c r="AC39" s="156"/>
      <c r="AD39" s="114"/>
      <c r="AE39" s="564"/>
      <c r="AF39" s="565"/>
      <c r="AG39" s="565"/>
      <c r="AH39" s="565"/>
      <c r="AI39" s="565"/>
      <c r="AJ39" s="565"/>
      <c r="AK39" s="565"/>
      <c r="AL39" s="565"/>
      <c r="AM39" s="565"/>
      <c r="AN39" s="565"/>
      <c r="AO39" s="565"/>
      <c r="AP39" s="565"/>
      <c r="AQ39" s="565"/>
      <c r="AR39" s="565"/>
      <c r="AS39" s="565"/>
      <c r="AT39" s="565"/>
      <c r="AU39" s="1411"/>
      <c r="AV39" s="1313"/>
      <c r="AW39" s="1313"/>
      <c r="AX39" s="1314"/>
      <c r="AY39" s="565"/>
      <c r="AZ39" s="565"/>
      <c r="BA39" s="565"/>
      <c r="BB39" s="568"/>
      <c r="BD39" s="1087"/>
      <c r="BE39" s="1088"/>
      <c r="BF39" s="1088"/>
      <c r="BG39" s="1089"/>
      <c r="BH39" s="1073"/>
      <c r="BI39" s="1073"/>
      <c r="BJ39" s="1073"/>
      <c r="BK39" s="1073"/>
      <c r="BL39" s="1075"/>
      <c r="BM39" s="1076"/>
      <c r="BN39" s="1076"/>
      <c r="BO39" s="1077"/>
    </row>
    <row r="40" spans="1:67" s="116" customFormat="1" ht="12.75" hidden="1" customHeight="1" outlineLevel="1">
      <c r="A40" s="114"/>
      <c r="B40" s="196" t="s">
        <v>348</v>
      </c>
      <c r="C40" s="197"/>
      <c r="D40" s="202">
        <f>SUM(D34:D39)</f>
        <v>0</v>
      </c>
      <c r="E40" s="202"/>
      <c r="F40" s="198"/>
      <c r="G40" s="199"/>
      <c r="H40" s="199"/>
      <c r="I40" s="199"/>
      <c r="J40" s="199"/>
      <c r="K40" s="199"/>
      <c r="L40" s="199"/>
      <c r="M40" s="199"/>
      <c r="N40" s="199"/>
      <c r="O40" s="199"/>
      <c r="P40" s="199"/>
      <c r="Q40" s="199"/>
      <c r="R40" s="199"/>
      <c r="S40" s="202">
        <f>SUM(S34:S39)</f>
        <v>0</v>
      </c>
      <c r="T40" s="200">
        <f>SUM(T34:T39)</f>
        <v>0</v>
      </c>
      <c r="U40" s="114"/>
      <c r="V40" s="1093">
        <f>IF(AC40=0,AC40,AC40/(S40+T40))</f>
        <v>0</v>
      </c>
      <c r="W40" s="821"/>
      <c r="X40" s="821"/>
      <c r="Y40" s="1636">
        <f>SQRT(SUMSQ(Y34:Y39))</f>
        <v>0</v>
      </c>
      <c r="Z40" s="1636">
        <f>SQRT(SUMSQ(Z34:Z39))</f>
        <v>0</v>
      </c>
      <c r="AA40" s="1636"/>
      <c r="AB40" s="1636"/>
      <c r="AC40" s="200">
        <f>SQRT(SUMSQ(AC34:AC39))</f>
        <v>0</v>
      </c>
      <c r="AD40" s="114"/>
      <c r="AE40" s="1082">
        <f>SUM(AE34:AE39)</f>
        <v>0</v>
      </c>
      <c r="AF40" s="572">
        <f>SUM(AF34:AF39)</f>
        <v>0</v>
      </c>
      <c r="AG40" s="572"/>
      <c r="AH40" s="572"/>
      <c r="AI40" s="572">
        <f>SUM(AI34:AI39)</f>
        <v>0</v>
      </c>
      <c r="AJ40" s="572">
        <f>SUM(AJ34:AJ39)</f>
        <v>0</v>
      </c>
      <c r="AK40" s="572"/>
      <c r="AL40" s="572"/>
      <c r="AM40" s="572">
        <f>SUM(AM34:AM39)</f>
        <v>0</v>
      </c>
      <c r="AN40" s="572">
        <f>SUM(AN34:AN39)</f>
        <v>0</v>
      </c>
      <c r="AO40" s="572"/>
      <c r="AP40" s="572"/>
      <c r="AQ40" s="572">
        <f>SUM(AQ34:AQ39)</f>
        <v>0</v>
      </c>
      <c r="AR40" s="572">
        <f>SUM(AR34:AR39)</f>
        <v>0</v>
      </c>
      <c r="AS40" s="572"/>
      <c r="AT40" s="572"/>
      <c r="AU40" s="1487">
        <f>SUM(AU34:AU39)</f>
        <v>0</v>
      </c>
      <c r="AV40" s="1312">
        <f>SUM(AV34:AV39)</f>
        <v>0</v>
      </c>
      <c r="AW40" s="1312"/>
      <c r="AX40" s="1488"/>
      <c r="AY40" s="572">
        <f>SUM(AY34:AY39)</f>
        <v>0</v>
      </c>
      <c r="AZ40" s="572">
        <f>SUM(AZ34:AZ39)</f>
        <v>0</v>
      </c>
      <c r="BA40" s="572"/>
      <c r="BB40" s="575"/>
      <c r="BC40" s="114"/>
      <c r="BD40" s="114"/>
      <c r="BE40" s="114"/>
      <c r="BF40" s="114"/>
      <c r="BG40" s="114"/>
      <c r="BH40" s="114"/>
      <c r="BI40" s="114"/>
      <c r="BJ40" s="114"/>
      <c r="BK40" s="114"/>
      <c r="BL40" s="114"/>
      <c r="BM40" s="114"/>
    </row>
    <row r="41" spans="1:67" s="114" customFormat="1" ht="12.75" hidden="1" customHeight="1" outlineLevel="1">
      <c r="AJ41" s="441"/>
      <c r="AK41" s="441"/>
      <c r="AL41" s="441"/>
      <c r="AM41" s="441"/>
      <c r="AN41" s="441"/>
      <c r="AO41" s="441"/>
      <c r="AP41" s="441"/>
      <c r="AQ41" s="441"/>
      <c r="AR41" s="441"/>
      <c r="AS41" s="441"/>
      <c r="AT41" s="441"/>
      <c r="AU41" s="441"/>
    </row>
    <row r="42" spans="1:67" s="114" customFormat="1" ht="13.2">
      <c r="AJ42" s="441"/>
      <c r="AK42" s="441"/>
      <c r="AL42" s="441"/>
      <c r="AM42" s="441"/>
      <c r="AN42" s="441"/>
      <c r="AO42" s="441"/>
      <c r="AP42" s="441"/>
      <c r="AQ42" s="441"/>
      <c r="AR42" s="441"/>
      <c r="AS42" s="441"/>
      <c r="AT42" s="441"/>
      <c r="AU42" s="441"/>
    </row>
    <row r="43" spans="1:67" s="114" customFormat="1" ht="17.399999999999999">
      <c r="B43" s="2652" t="s">
        <v>4950</v>
      </c>
      <c r="C43" s="2653"/>
      <c r="D43" s="2653"/>
      <c r="E43" s="2653"/>
      <c r="F43" s="2653"/>
      <c r="G43" s="2653"/>
      <c r="H43" s="2653"/>
      <c r="I43" s="2653"/>
      <c r="J43" s="2653"/>
      <c r="K43" s="2653"/>
      <c r="L43" s="2653"/>
      <c r="M43" s="2653"/>
      <c r="N43" s="2653"/>
      <c r="O43" s="2654"/>
      <c r="Q43" s="2877"/>
      <c r="R43" s="2877"/>
      <c r="S43" s="2877"/>
      <c r="T43" s="2877"/>
      <c r="U43" s="2877"/>
      <c r="AJ43" s="441"/>
      <c r="AK43" s="441"/>
      <c r="AL43" s="441"/>
      <c r="AM43" s="441"/>
      <c r="AN43" s="441"/>
      <c r="AO43" s="441"/>
      <c r="AP43" s="441"/>
      <c r="AQ43" s="441"/>
      <c r="AR43" s="441"/>
      <c r="AS43" s="441"/>
      <c r="AT43" s="441"/>
      <c r="AU43" s="441"/>
    </row>
    <row r="44" spans="1:67" s="114" customFormat="1" ht="12.75" customHeight="1" outlineLevel="1">
      <c r="D44" s="264"/>
      <c r="G44" s="264"/>
      <c r="AJ44" s="441"/>
      <c r="AK44" s="441"/>
      <c r="AL44" s="441"/>
      <c r="AM44" s="441"/>
      <c r="AN44" s="441"/>
      <c r="AO44" s="441"/>
      <c r="AP44" s="441"/>
      <c r="AQ44" s="441"/>
      <c r="AR44" s="441"/>
      <c r="AS44" s="441"/>
      <c r="AT44" s="441"/>
      <c r="AU44" s="441"/>
    </row>
    <row r="45" spans="1:67" s="114" customFormat="1" ht="12.75" customHeight="1" outlineLevel="1">
      <c r="B45" s="1091" t="s">
        <v>4951</v>
      </c>
      <c r="C45" s="140"/>
      <c r="D45" s="2150"/>
      <c r="E45" s="2150"/>
      <c r="F45" s="2150"/>
      <c r="G45" s="2150"/>
      <c r="H45" s="2150"/>
      <c r="I45" s="2150"/>
      <c r="J45" s="2150"/>
      <c r="K45" s="2150"/>
      <c r="L45" s="2150"/>
      <c r="M45" s="2150"/>
      <c r="N45" s="1412"/>
      <c r="O45" s="1659"/>
      <c r="V45" s="2636" t="s">
        <v>366</v>
      </c>
      <c r="W45" s="2637"/>
      <c r="X45" s="2637"/>
      <c r="Y45" s="2637"/>
      <c r="Z45" s="2637"/>
      <c r="AA45" s="2637"/>
      <c r="AB45" s="2637"/>
      <c r="AC45" s="2638"/>
      <c r="AE45" s="2639" t="s">
        <v>441</v>
      </c>
      <c r="AF45" s="2640"/>
      <c r="AG45" s="2640"/>
      <c r="AH45" s="2640"/>
      <c r="AI45" s="2640"/>
      <c r="AJ45" s="2640"/>
      <c r="AK45" s="2640"/>
      <c r="AL45" s="2640"/>
      <c r="AM45" s="2640"/>
      <c r="AN45" s="2640"/>
      <c r="AO45" s="2640"/>
      <c r="AP45" s="2640"/>
      <c r="AQ45" s="2640"/>
      <c r="AR45" s="2640"/>
      <c r="AS45" s="2640"/>
      <c r="AT45" s="2640"/>
      <c r="AU45" s="2640"/>
      <c r="AV45" s="2640"/>
      <c r="AW45" s="2640"/>
      <c r="AX45" s="2640"/>
      <c r="AY45" s="2640"/>
      <c r="AZ45" s="2640"/>
      <c r="BA45" s="2640"/>
      <c r="BB45" s="2641"/>
    </row>
    <row r="46" spans="1:67" s="114" customFormat="1" ht="12.75" customHeight="1" outlineLevel="2">
      <c r="B46" s="332"/>
      <c r="C46" s="167"/>
      <c r="D46" s="2155" t="s">
        <v>308</v>
      </c>
      <c r="E46" s="2155"/>
      <c r="F46" s="2155"/>
      <c r="G46" s="2155"/>
      <c r="H46" s="2155"/>
      <c r="I46" s="2155"/>
      <c r="J46" s="2155"/>
      <c r="K46" s="2147"/>
      <c r="L46" s="2147"/>
      <c r="M46" s="2147"/>
      <c r="N46" s="565"/>
      <c r="O46" s="2156"/>
      <c r="V46" s="2161"/>
      <c r="W46" s="819"/>
      <c r="X46" s="819"/>
      <c r="Y46" s="2166"/>
      <c r="Z46" s="2166"/>
      <c r="AA46" s="2166"/>
      <c r="AB46" s="2166"/>
      <c r="AC46" s="145"/>
      <c r="AD46" s="113"/>
      <c r="AE46" s="2642" t="s">
        <v>444</v>
      </c>
      <c r="AF46" s="2643"/>
      <c r="AG46" s="2643"/>
      <c r="AH46" s="2643"/>
      <c r="AI46" s="2643"/>
      <c r="AJ46" s="2643"/>
      <c r="AK46" s="2643"/>
      <c r="AL46" s="2643"/>
      <c r="AM46" s="2643"/>
      <c r="AN46" s="2643"/>
      <c r="AO46" s="2643"/>
      <c r="AP46" s="2643"/>
      <c r="AQ46" s="2643"/>
      <c r="AR46" s="2643"/>
      <c r="AS46" s="2643"/>
      <c r="AT46" s="2643"/>
      <c r="AU46" s="2643" t="s">
        <v>444</v>
      </c>
      <c r="AV46" s="2643"/>
      <c r="AW46" s="2643"/>
      <c r="AX46" s="2644"/>
      <c r="AY46" s="2165"/>
      <c r="AZ46" s="2160"/>
      <c r="BA46" s="2160"/>
      <c r="BB46" s="2164"/>
      <c r="BD46" s="2616" t="s">
        <v>1648</v>
      </c>
      <c r="BE46" s="2618"/>
      <c r="BF46" s="1774"/>
      <c r="BG46" s="1774"/>
      <c r="BH46" s="264"/>
    </row>
    <row r="47" spans="1:67" s="114" customFormat="1" ht="12.75" customHeight="1" outlineLevel="2">
      <c r="B47" s="2149"/>
      <c r="C47" s="2147"/>
      <c r="D47" s="2147" t="s">
        <v>409</v>
      </c>
      <c r="E47" s="2147"/>
      <c r="F47" s="147" t="s">
        <v>450</v>
      </c>
      <c r="G47" s="2153" t="s">
        <v>199</v>
      </c>
      <c r="H47" s="2626" t="s">
        <v>1585</v>
      </c>
      <c r="I47" s="2628"/>
      <c r="J47" s="2628"/>
      <c r="K47" s="2768"/>
      <c r="L47" s="2768"/>
      <c r="M47" s="2768"/>
      <c r="N47" s="2768"/>
      <c r="O47" s="2156" t="s">
        <v>444</v>
      </c>
      <c r="V47" s="2161" t="s">
        <v>316</v>
      </c>
      <c r="W47" s="2629" t="s">
        <v>316</v>
      </c>
      <c r="X47" s="2630"/>
      <c r="Y47" s="2162"/>
      <c r="Z47" s="2162"/>
      <c r="AA47" s="2162"/>
      <c r="AB47" s="2162"/>
      <c r="AC47" s="2167" t="s">
        <v>444</v>
      </c>
      <c r="AE47" s="2631" t="s">
        <v>211</v>
      </c>
      <c r="AF47" s="2632"/>
      <c r="AG47" s="2632"/>
      <c r="AH47" s="2632"/>
      <c r="AI47" s="2632" t="s">
        <v>442</v>
      </c>
      <c r="AJ47" s="2632"/>
      <c r="AK47" s="2632"/>
      <c r="AL47" s="2632"/>
      <c r="AM47" s="2632" t="s">
        <v>267</v>
      </c>
      <c r="AN47" s="2632"/>
      <c r="AO47" s="2632"/>
      <c r="AP47" s="2632"/>
      <c r="AQ47" s="2632" t="s">
        <v>443</v>
      </c>
      <c r="AR47" s="2632"/>
      <c r="AS47" s="2632"/>
      <c r="AT47" s="2632"/>
      <c r="AU47" s="2648" t="s">
        <v>327</v>
      </c>
      <c r="AV47" s="2648"/>
      <c r="AW47" s="2648"/>
      <c r="AX47" s="2649"/>
      <c r="AY47" s="2168"/>
      <c r="AZ47" s="2163" t="s">
        <v>636</v>
      </c>
      <c r="BA47" s="566"/>
      <c r="BB47" s="567"/>
      <c r="BD47" s="2157" t="s">
        <v>5116</v>
      </c>
      <c r="BE47" s="2499" t="s">
        <v>2187</v>
      </c>
      <c r="BF47" s="1774"/>
      <c r="BG47" s="1774"/>
      <c r="BH47" s="264"/>
    </row>
    <row r="48" spans="1:67" s="114" customFormat="1" ht="12.75" customHeight="1" outlineLevel="2">
      <c r="B48" s="2149" t="s">
        <v>4952</v>
      </c>
      <c r="C48" s="2147"/>
      <c r="D48" s="2147" t="s">
        <v>444</v>
      </c>
      <c r="E48" s="2147"/>
      <c r="F48" s="2171" t="s">
        <v>447</v>
      </c>
      <c r="G48" s="2154" t="s">
        <v>22</v>
      </c>
      <c r="H48" s="1662"/>
      <c r="I48" s="1662"/>
      <c r="J48" s="1662"/>
      <c r="K48" s="2148"/>
      <c r="L48" s="581"/>
      <c r="M48" s="2148"/>
      <c r="N48" s="2148"/>
      <c r="O48" s="2156"/>
      <c r="V48" s="2161" t="s">
        <v>1649</v>
      </c>
      <c r="W48" s="2646" t="s">
        <v>1650</v>
      </c>
      <c r="X48" s="2647"/>
      <c r="Y48" s="1662"/>
      <c r="Z48" s="2169"/>
      <c r="AA48" s="2169"/>
      <c r="AB48" s="2169"/>
      <c r="AC48" s="2167"/>
      <c r="AE48" s="227"/>
      <c r="AF48" s="1662"/>
      <c r="AG48" s="1662"/>
      <c r="AH48" s="1662"/>
      <c r="AI48" s="1662"/>
      <c r="AJ48" s="1662"/>
      <c r="AK48" s="1662"/>
      <c r="AL48" s="1662"/>
      <c r="AM48" s="1662"/>
      <c r="AN48" s="1662"/>
      <c r="AO48" s="1662"/>
      <c r="AP48" s="1662"/>
      <c r="AQ48" s="1662"/>
      <c r="AR48" s="1662"/>
      <c r="AS48" s="1662"/>
      <c r="AT48" s="1662"/>
      <c r="AU48" s="1662"/>
      <c r="AV48" s="1662"/>
      <c r="AW48" s="1662"/>
      <c r="AX48" s="1662"/>
      <c r="AY48" s="227"/>
      <c r="AZ48" s="1662"/>
      <c r="BA48" s="1662"/>
      <c r="BB48" s="1171"/>
      <c r="BD48" s="2158"/>
      <c r="BE48" s="2500"/>
      <c r="BF48" s="1774"/>
      <c r="BG48" s="1774"/>
      <c r="BH48" s="264"/>
    </row>
    <row r="49" spans="2:60" s="114" customFormat="1" ht="12.75" customHeight="1" outlineLevel="2">
      <c r="B49" s="389" t="s">
        <v>4953</v>
      </c>
      <c r="C49" s="341"/>
      <c r="D49" s="212">
        <f>O49</f>
        <v>0</v>
      </c>
      <c r="E49" s="212"/>
      <c r="F49" s="848"/>
      <c r="G49" s="2388"/>
      <c r="H49" s="219"/>
      <c r="I49" s="219">
        <f>IF(ISNA(VLOOKUP($B49&amp;"; "&amp;H$47,'FE Déchets'!$G:$U,9,FALSE)),0,VLOOKUP($B49&amp;"; "&amp;H$47,'FE Déchets'!$G:$U,9,FALSE))</f>
        <v>130</v>
      </c>
      <c r="J49" s="219"/>
      <c r="K49" s="151"/>
      <c r="L49" s="151"/>
      <c r="M49" s="151"/>
      <c r="N49" s="151"/>
      <c r="O49" s="152">
        <f>G49*I49</f>
        <v>0</v>
      </c>
      <c r="V49" s="226">
        <f>IF(AC49=0,AC49,AC49/O49)</f>
        <v>0</v>
      </c>
      <c r="W49" s="1094"/>
      <c r="X49" s="820"/>
      <c r="Y49" s="164"/>
      <c r="Z49" s="164"/>
      <c r="AA49" s="164"/>
      <c r="AB49" s="164"/>
      <c r="AC49" s="152">
        <f>G49*I49*BE49</f>
        <v>0</v>
      </c>
      <c r="AE49" s="564">
        <f>$G49*IF(ISNA(VLOOKUP($B49&amp;"; "&amp;$H$47,'FE Déchets'!$G:$U,10,FALSE)),0,VLOOKUP($B49&amp;"; "&amp;$H$47,'FE Déchets'!$G:$U,10,FALSE))</f>
        <v>0</v>
      </c>
      <c r="AF49" s="565"/>
      <c r="AG49" s="565"/>
      <c r="AH49" s="565"/>
      <c r="AI49" s="565">
        <f>$G49*IF(ISNA(VLOOKUP($B49&amp;"; "&amp;$H$47,'FE Déchets'!$G:$U,11,FALSE)+VLOOKUP($B49&amp;"; "&amp;$H$47,'FE Déchets'!$G:$U,12,FALSE)),0,
VLOOKUP($B49&amp;"; "&amp;$H$47,'FE Déchets'!$G:$U,11,FALSE)+VLOOKUP($B49&amp;"; "&amp;$H$47,'FE Déchets'!$G:$U,12,FALSE))</f>
        <v>0</v>
      </c>
      <c r="AJ49" s="565"/>
      <c r="AK49" s="565"/>
      <c r="AL49" s="565"/>
      <c r="AM49" s="565">
        <f>$G49*IF(ISNA(VLOOKUP($B49&amp;"; "&amp;$H$47,'FE Déchets'!$G:$U,13,FALSE)),0,VLOOKUP($B49&amp;"; "&amp;$H$47,'FE Déchets'!$G:$U,13,FALSE))</f>
        <v>0</v>
      </c>
      <c r="AN49" s="565"/>
      <c r="AO49" s="565"/>
      <c r="AP49" s="565"/>
      <c r="AQ49" s="565">
        <f>$G49*IF(ISNA(VLOOKUP($B49&amp;"; "&amp;$H$47,'FE Déchets'!$G:$U,14,FALSE)),0,VLOOKUP($B49&amp;"; "&amp;$H$47,'FE Déchets'!$G:$U,14,FALSE))</f>
        <v>0</v>
      </c>
      <c r="AR49" s="565"/>
      <c r="AS49" s="565"/>
      <c r="AT49" s="565"/>
      <c r="AU49" s="566">
        <f t="shared" ref="AU49:AU51" si="3">SUM(AE49,AI49,AM49,AQ49)</f>
        <v>0</v>
      </c>
      <c r="AV49" s="566"/>
      <c r="AW49" s="566"/>
      <c r="AX49" s="566"/>
      <c r="AY49" s="564">
        <f>$G49*IF(ISNA(VLOOKUP($B49&amp;"; "&amp;$H$47,'FE Déchets'!$G:$U,15,FALSE)),0,VLOOKUP($B49&amp;"; "&amp;$H$47,'FE Déchets'!$G:$U,15,FALSE))</f>
        <v>0</v>
      </c>
      <c r="AZ49" s="565"/>
      <c r="BA49" s="565"/>
      <c r="BB49" s="568"/>
      <c r="BD49" s="2492">
        <f>IF($R49&lt;&gt;"votre valeur :",IF(ISNA(VLOOKUP($R49,Utilitaires!$N$566:$O$571,2,FALSE)),,VLOOKUP($R49,Utilitaires!$N$566:$O$571,2,FALSE)),$S49)</f>
        <v>0</v>
      </c>
      <c r="BE49" s="1130">
        <f>IF(ISNA(SQRT(SUMSQ(VLOOKUP($B49&amp;"; "&amp;$H$47,'FE Déchets'!$G:$U,7,FALSE),$BD49))),0,SQRT(SUMSQ(VLOOKUP($B49&amp;"; "&amp;$H$47,'FE Déchets'!$G:$U,7,FALSE),$BD49)))</f>
        <v>0.2</v>
      </c>
      <c r="BF49" s="2128"/>
      <c r="BG49" s="2128"/>
      <c r="BH49" s="264"/>
    </row>
    <row r="50" spans="2:60" s="114" customFormat="1" ht="12.75" customHeight="1" outlineLevel="2">
      <c r="B50" s="389" t="s">
        <v>4954</v>
      </c>
      <c r="C50" s="341"/>
      <c r="D50" s="212">
        <f t="shared" ref="D50:D51" si="4">O50</f>
        <v>0</v>
      </c>
      <c r="E50" s="212"/>
      <c r="F50" s="848"/>
      <c r="G50" s="2389"/>
      <c r="H50" s="219"/>
      <c r="I50" s="219">
        <f>IF(ISNA(VLOOKUP($B50&amp;"; "&amp;H$47,'FE Déchets'!$G:$U,9,FALSE)),0,VLOOKUP($B50&amp;"; "&amp;H$47,'FE Déchets'!$G:$U,9,FALSE))</f>
        <v>102</v>
      </c>
      <c r="J50" s="219"/>
      <c r="K50" s="151"/>
      <c r="L50" s="151"/>
      <c r="M50" s="151"/>
      <c r="N50" s="151"/>
      <c r="O50" s="152">
        <f t="shared" ref="O50:O78" si="5">G50*I50</f>
        <v>0</v>
      </c>
      <c r="V50" s="226">
        <f t="shared" ref="V50:V51" si="6">IF(AC50=0,AC50,AC50/O50)</f>
        <v>0</v>
      </c>
      <c r="W50" s="1094"/>
      <c r="X50" s="820"/>
      <c r="Y50" s="164"/>
      <c r="Z50" s="164"/>
      <c r="AA50" s="164"/>
      <c r="AB50" s="164"/>
      <c r="AC50" s="152">
        <f t="shared" ref="AC50:AC78" si="7">G50*I50*BE50</f>
        <v>0</v>
      </c>
      <c r="AE50" s="564">
        <f>$G50*IF(ISNA(VLOOKUP($B50&amp;"; "&amp;$H$47,'FE Déchets'!$G:$U,10,FALSE)),0,VLOOKUP($B50&amp;"; "&amp;$H$47,'FE Déchets'!$G:$U,10,FALSE))</f>
        <v>0</v>
      </c>
      <c r="AF50" s="565"/>
      <c r="AG50" s="565"/>
      <c r="AH50" s="565"/>
      <c r="AI50" s="565">
        <f>$G50*IF(ISNA(VLOOKUP($B50&amp;"; "&amp;$H$47,'FE Déchets'!$G:$U,11,FALSE)+VLOOKUP($B50&amp;"; "&amp;$H$47,'FE Déchets'!$G:$U,12,FALSE)),0,
VLOOKUP($B50&amp;"; "&amp;$H$47,'FE Déchets'!$G:$U,11,FALSE)+VLOOKUP($B50&amp;"; "&amp;$H$47,'FE Déchets'!$G:$U,12,FALSE))</f>
        <v>0</v>
      </c>
      <c r="AJ50" s="565"/>
      <c r="AK50" s="565"/>
      <c r="AL50" s="565"/>
      <c r="AM50" s="565">
        <f>$G50*IF(ISNA(VLOOKUP($B50&amp;"; "&amp;$H$47,'FE Déchets'!$G:$U,13,FALSE)),0,VLOOKUP($B50&amp;"; "&amp;$H$47,'FE Déchets'!$G:$U,13,FALSE))</f>
        <v>0</v>
      </c>
      <c r="AN50" s="565"/>
      <c r="AO50" s="565"/>
      <c r="AP50" s="565"/>
      <c r="AQ50" s="565">
        <f>$G50*IF(ISNA(VLOOKUP($B50&amp;"; "&amp;$H$47,'FE Déchets'!$G:$U,14,FALSE)),0,VLOOKUP($B50&amp;"; "&amp;$H$47,'FE Déchets'!$G:$U,14,FALSE))</f>
        <v>0</v>
      </c>
      <c r="AR50" s="565"/>
      <c r="AS50" s="565"/>
      <c r="AT50" s="565"/>
      <c r="AU50" s="566">
        <f t="shared" si="3"/>
        <v>0</v>
      </c>
      <c r="AV50" s="566"/>
      <c r="AW50" s="566"/>
      <c r="AX50" s="566"/>
      <c r="AY50" s="564">
        <f>$G50*IF(ISNA(VLOOKUP($B50&amp;"; "&amp;$H$47,'FE Déchets'!$G:$U,15,FALSE)),0,VLOOKUP($B50&amp;"; "&amp;$H$47,'FE Déchets'!$G:$U,15,FALSE))</f>
        <v>0</v>
      </c>
      <c r="AZ50" s="565"/>
      <c r="BA50" s="565"/>
      <c r="BB50" s="568"/>
      <c r="BD50" s="2492">
        <f>IF($R50&lt;&gt;"votre valeur :",IF(ISNA(VLOOKUP($R50,Utilitaires!$N$566:$O$571,2,FALSE)),,VLOOKUP($R50,Utilitaires!$N$566:$O$571,2,FALSE)),$S50)</f>
        <v>0</v>
      </c>
      <c r="BE50" s="1130">
        <f>IF(ISNA(SQRT(SUMSQ(VLOOKUP($B50&amp;"; "&amp;$H$47,'FE Déchets'!$G:$U,7,FALSE),$BD50))),0,SQRT(SUMSQ(VLOOKUP($B50&amp;"; "&amp;$H$47,'FE Déchets'!$G:$U,7,FALSE),$BD50)))</f>
        <v>0.2</v>
      </c>
      <c r="BF50" s="2128"/>
      <c r="BG50" s="2128"/>
      <c r="BH50" s="264"/>
    </row>
    <row r="51" spans="2:60" s="114" customFormat="1" ht="12.75" customHeight="1" outlineLevel="2">
      <c r="B51" s="389" t="s">
        <v>4955</v>
      </c>
      <c r="C51" s="341"/>
      <c r="D51" s="212">
        <f t="shared" si="4"/>
        <v>0</v>
      </c>
      <c r="E51" s="212"/>
      <c r="F51" s="849"/>
      <c r="G51" s="2390"/>
      <c r="H51" s="219"/>
      <c r="I51" s="219">
        <f>IF(ISNA(VLOOKUP($B51&amp;"; "&amp;H$47,'FE Déchets'!$G:$U,9,FALSE)),0,VLOOKUP($B51&amp;"; "&amp;H$47,'FE Déchets'!$G:$U,9,FALSE))</f>
        <v>41</v>
      </c>
      <c r="J51" s="219"/>
      <c r="K51" s="151"/>
      <c r="L51" s="151"/>
      <c r="M51" s="151"/>
      <c r="N51" s="151"/>
      <c r="O51" s="152">
        <f t="shared" si="5"/>
        <v>0</v>
      </c>
      <c r="V51" s="226">
        <f t="shared" si="6"/>
        <v>0</v>
      </c>
      <c r="W51" s="1094"/>
      <c r="X51" s="820"/>
      <c r="Y51" s="164"/>
      <c r="Z51" s="164"/>
      <c r="AA51" s="164"/>
      <c r="AB51" s="164"/>
      <c r="AC51" s="152">
        <f t="shared" si="7"/>
        <v>0</v>
      </c>
      <c r="AD51" s="113"/>
      <c r="AE51" s="564">
        <f>$G51*IF(ISNA(VLOOKUP($B51&amp;"; "&amp;$H$47,'FE Déchets'!$G:$U,10,FALSE)),0,VLOOKUP($B51&amp;"; "&amp;$H$47,'FE Déchets'!$G:$U,10,FALSE))</f>
        <v>0</v>
      </c>
      <c r="AF51" s="565"/>
      <c r="AG51" s="565"/>
      <c r="AH51" s="565"/>
      <c r="AI51" s="565">
        <f>$G51*IF(ISNA(VLOOKUP($B51&amp;"; "&amp;$H$47,'FE Déchets'!$G:$U,11,FALSE)+VLOOKUP($B51&amp;"; "&amp;$H$47,'FE Déchets'!$G:$U,12,FALSE)),0,
VLOOKUP($B51&amp;"; "&amp;$H$47,'FE Déchets'!$G:$U,11,FALSE)+VLOOKUP($B51&amp;"; "&amp;$H$47,'FE Déchets'!$G:$U,12,FALSE))</f>
        <v>0</v>
      </c>
      <c r="AJ51" s="565"/>
      <c r="AK51" s="565"/>
      <c r="AL51" s="565"/>
      <c r="AM51" s="565">
        <f>$G51*IF(ISNA(VLOOKUP($B51&amp;"; "&amp;$H$47,'FE Déchets'!$G:$U,13,FALSE)),0,VLOOKUP($B51&amp;"; "&amp;$H$47,'FE Déchets'!$G:$U,13,FALSE))</f>
        <v>0</v>
      </c>
      <c r="AN51" s="565"/>
      <c r="AO51" s="565"/>
      <c r="AP51" s="565"/>
      <c r="AQ51" s="565">
        <f>$G51*IF(ISNA(VLOOKUP($B51&amp;"; "&amp;$H$47,'FE Déchets'!$G:$U,14,FALSE)),0,VLOOKUP($B51&amp;"; "&amp;$H$47,'FE Déchets'!$G:$U,14,FALSE))</f>
        <v>0</v>
      </c>
      <c r="AR51" s="565"/>
      <c r="AS51" s="565"/>
      <c r="AT51" s="565"/>
      <c r="AU51" s="566">
        <f t="shared" si="3"/>
        <v>0</v>
      </c>
      <c r="AV51" s="566"/>
      <c r="AW51" s="566"/>
      <c r="AX51" s="566"/>
      <c r="AY51" s="564">
        <f>$G51*IF(ISNA(VLOOKUP($B51&amp;"; "&amp;$H$47,'FE Déchets'!$G:$U,15,FALSE)),0,VLOOKUP($B51&amp;"; "&amp;$H$47,'FE Déchets'!$G:$U,15,FALSE))</f>
        <v>0</v>
      </c>
      <c r="AZ51" s="565"/>
      <c r="BA51" s="565"/>
      <c r="BB51" s="568"/>
      <c r="BD51" s="2492">
        <f>IF($R51&lt;&gt;"votre valeur :",IF(ISNA(VLOOKUP($R51,Utilitaires!$N$566:$O$571,2,FALSE)),,VLOOKUP($R51,Utilitaires!$N$566:$O$571,2,FALSE)),$S51)</f>
        <v>0</v>
      </c>
      <c r="BE51" s="1130">
        <f>IF(ISNA(SQRT(SUMSQ(VLOOKUP($B51&amp;"; "&amp;$H$47,'FE Déchets'!$G:$U,7,FALSE),$BD51))),0,SQRT(SUMSQ(VLOOKUP($B51&amp;"; "&amp;$H$47,'FE Déchets'!$G:$U,7,FALSE),$BD51)))</f>
        <v>0.2</v>
      </c>
      <c r="BF51" s="2128"/>
      <c r="BG51" s="2128"/>
      <c r="BH51" s="264"/>
    </row>
    <row r="52" spans="2:60" s="114" customFormat="1" ht="12.75" customHeight="1" outlineLevel="2">
      <c r="B52" s="389"/>
      <c r="C52" s="341"/>
      <c r="D52" s="212"/>
      <c r="E52" s="212"/>
      <c r="F52" s="212"/>
      <c r="G52" s="212"/>
      <c r="H52" s="219"/>
      <c r="I52" s="219"/>
      <c r="J52" s="219"/>
      <c r="K52" s="151"/>
      <c r="L52" s="151"/>
      <c r="M52" s="151"/>
      <c r="N52" s="151"/>
      <c r="O52" s="152"/>
      <c r="V52" s="226"/>
      <c r="W52" s="820"/>
      <c r="X52" s="820"/>
      <c r="Y52" s="164"/>
      <c r="Z52" s="164"/>
      <c r="AA52" s="164"/>
      <c r="AB52" s="164"/>
      <c r="AC52" s="152"/>
      <c r="AE52" s="564"/>
      <c r="AF52" s="565"/>
      <c r="AG52" s="565"/>
      <c r="AH52" s="565"/>
      <c r="AI52" s="565"/>
      <c r="AJ52" s="565"/>
      <c r="AK52" s="565"/>
      <c r="AL52" s="565"/>
      <c r="AM52" s="565"/>
      <c r="AN52" s="565"/>
      <c r="AO52" s="565"/>
      <c r="AP52" s="565"/>
      <c r="AQ52" s="565"/>
      <c r="AR52" s="565"/>
      <c r="AS52" s="565"/>
      <c r="AT52" s="565"/>
      <c r="AU52" s="566"/>
      <c r="AV52" s="566"/>
      <c r="AW52" s="566"/>
      <c r="AX52" s="566"/>
      <c r="AY52" s="564"/>
      <c r="AZ52" s="565"/>
      <c r="BA52" s="565"/>
      <c r="BB52" s="568"/>
      <c r="BD52" s="2492"/>
      <c r="BE52" s="1130"/>
      <c r="BF52" s="2128"/>
      <c r="BG52" s="2128"/>
      <c r="BH52" s="264"/>
    </row>
    <row r="53" spans="2:60" s="114" customFormat="1" ht="12.75" customHeight="1" outlineLevel="2">
      <c r="B53" s="2386" t="s">
        <v>4956</v>
      </c>
      <c r="C53" s="341"/>
      <c r="D53" s="212"/>
      <c r="E53" s="212"/>
      <c r="F53" s="212"/>
      <c r="G53" s="212"/>
      <c r="H53" s="219"/>
      <c r="I53" s="219"/>
      <c r="J53" s="219"/>
      <c r="K53" s="151"/>
      <c r="L53" s="151"/>
      <c r="M53" s="151"/>
      <c r="N53" s="151"/>
      <c r="O53" s="152"/>
      <c r="V53" s="226"/>
      <c r="W53" s="820"/>
      <c r="X53" s="820"/>
      <c r="Y53" s="164"/>
      <c r="Z53" s="164"/>
      <c r="AA53" s="164"/>
      <c r="AB53" s="164"/>
      <c r="AC53" s="152"/>
      <c r="AE53" s="564"/>
      <c r="AF53" s="565"/>
      <c r="AG53" s="565"/>
      <c r="AH53" s="565"/>
      <c r="AI53" s="565"/>
      <c r="AJ53" s="565"/>
      <c r="AK53" s="565"/>
      <c r="AL53" s="565"/>
      <c r="AM53" s="565"/>
      <c r="AN53" s="565"/>
      <c r="AO53" s="565"/>
      <c r="AP53" s="565"/>
      <c r="AQ53" s="565"/>
      <c r="AR53" s="565"/>
      <c r="AS53" s="565"/>
      <c r="AT53" s="565"/>
      <c r="AU53" s="566"/>
      <c r="AV53" s="566"/>
      <c r="AW53" s="566"/>
      <c r="AX53" s="566"/>
      <c r="AY53" s="564"/>
      <c r="AZ53" s="565"/>
      <c r="BA53" s="565"/>
      <c r="BB53" s="568"/>
      <c r="BD53" s="2492"/>
      <c r="BE53" s="1130"/>
      <c r="BF53" s="2128"/>
      <c r="BG53" s="2128"/>
      <c r="BH53" s="264"/>
    </row>
    <row r="54" spans="2:60" s="114" customFormat="1" ht="12.75" customHeight="1" outlineLevel="2">
      <c r="B54" s="389" t="s">
        <v>4957</v>
      </c>
      <c r="C54" s="341"/>
      <c r="D54" s="212">
        <f>O54</f>
        <v>41400</v>
      </c>
      <c r="E54" s="212"/>
      <c r="F54" s="847" t="s">
        <v>768</v>
      </c>
      <c r="G54" s="847">
        <v>600</v>
      </c>
      <c r="H54" s="219"/>
      <c r="I54" s="219">
        <f>IF(ISNA(VLOOKUP($B54&amp;"; "&amp;H$47,'FE Déchets'!$G:$U,9,FALSE)),0,VLOOKUP($B54&amp;"; "&amp;H$47,'FE Déchets'!$G:$U,9,FALSE))</f>
        <v>69</v>
      </c>
      <c r="J54" s="219"/>
      <c r="K54" s="151"/>
      <c r="L54" s="151"/>
      <c r="M54" s="151"/>
      <c r="N54" s="151"/>
      <c r="O54" s="152">
        <f t="shared" si="5"/>
        <v>41400</v>
      </c>
      <c r="V54" s="226">
        <f>IF(AC54=0,AC54,AC54/O54)</f>
        <v>0.2</v>
      </c>
      <c r="W54" s="1094"/>
      <c r="X54" s="820"/>
      <c r="Y54" s="164"/>
      <c r="Z54" s="164"/>
      <c r="AA54" s="164"/>
      <c r="AB54" s="164"/>
      <c r="AC54" s="152">
        <f t="shared" si="7"/>
        <v>8280</v>
      </c>
      <c r="AE54" s="564">
        <f>$G54*IF(ISNA(VLOOKUP($B54&amp;"; "&amp;$H$47,'FE Déchets'!$G:$U,10,FALSE)),0,VLOOKUP($B54&amp;"; "&amp;$H$47,'FE Déchets'!$G:$U,10,FALSE))</f>
        <v>41400</v>
      </c>
      <c r="AF54" s="565"/>
      <c r="AG54" s="565"/>
      <c r="AH54" s="565"/>
      <c r="AI54" s="565">
        <f>$G54*IF(ISNA(VLOOKUP($B54&amp;"; "&amp;$H$47,'FE Déchets'!$G:$U,11,FALSE)+VLOOKUP($B54&amp;"; "&amp;$H$47,'FE Déchets'!$G:$U,12,FALSE)),0,
VLOOKUP($B54&amp;"; "&amp;$H$47,'FE Déchets'!$G:$U,11,FALSE)+VLOOKUP($B54&amp;"; "&amp;$H$47,'FE Déchets'!$G:$U,12,FALSE))</f>
        <v>0</v>
      </c>
      <c r="AJ54" s="565"/>
      <c r="AK54" s="565"/>
      <c r="AL54" s="565"/>
      <c r="AM54" s="565">
        <f>$G54*IF(ISNA(VLOOKUP($B54&amp;"; "&amp;$H$47,'FE Déchets'!$G:$U,13,FALSE)),0,VLOOKUP($B54&amp;"; "&amp;$H$47,'FE Déchets'!$G:$U,13,FALSE))</f>
        <v>0</v>
      </c>
      <c r="AN54" s="565"/>
      <c r="AO54" s="565"/>
      <c r="AP54" s="565"/>
      <c r="AQ54" s="565">
        <f>$G54*IF(ISNA(VLOOKUP($B54&amp;"; "&amp;$H$47,'FE Déchets'!$G:$U,14,FALSE)),0,VLOOKUP($B54&amp;"; "&amp;$H$47,'FE Déchets'!$G:$U,14,FALSE))</f>
        <v>0</v>
      </c>
      <c r="AR54" s="565"/>
      <c r="AS54" s="565"/>
      <c r="AT54" s="565"/>
      <c r="AU54" s="566">
        <f t="shared" ref="AU54:AU58" si="8">SUM(AE54,AI54,AM54,AQ54)</f>
        <v>41400</v>
      </c>
      <c r="AV54" s="566"/>
      <c r="AW54" s="566"/>
      <c r="AX54" s="566"/>
      <c r="AY54" s="564">
        <f>$G54*IF(ISNA(VLOOKUP($B54&amp;"; "&amp;$H$47,'FE Déchets'!$G:$U,15,FALSE)),0,VLOOKUP($B54&amp;"; "&amp;$H$47,'FE Déchets'!$G:$U,15,FALSE))</f>
        <v>0</v>
      </c>
      <c r="AZ54" s="565"/>
      <c r="BA54" s="565"/>
      <c r="BB54" s="568"/>
      <c r="BD54" s="2492">
        <f>IF($R54&lt;&gt;"votre valeur :",IF(ISNA(VLOOKUP($R54,Utilitaires!$N$566:$O$571,2,FALSE)),,VLOOKUP($R54,Utilitaires!$N$566:$O$571,2,FALSE)),$S54)</f>
        <v>0</v>
      </c>
      <c r="BE54" s="1130">
        <f>IF(ISNA(SQRT(SUMSQ(VLOOKUP($B54&amp;"; "&amp;$H$47,'FE Déchets'!$G:$U,7,FALSE),$BD54))),0,SQRT(SUMSQ(VLOOKUP($B54&amp;"; "&amp;$H$47,'FE Déchets'!$G:$U,7,FALSE),$BD54)))</f>
        <v>0.2</v>
      </c>
      <c r="BF54" s="2128"/>
      <c r="BG54" s="2128"/>
      <c r="BH54" s="264"/>
    </row>
    <row r="55" spans="2:60" s="114" customFormat="1" ht="12.75" customHeight="1" outlineLevel="2">
      <c r="B55" s="389" t="s">
        <v>4957</v>
      </c>
      <c r="C55" s="341"/>
      <c r="D55" s="212">
        <f t="shared" ref="D55" si="9">O55</f>
        <v>0</v>
      </c>
      <c r="E55" s="212"/>
      <c r="F55" s="2176"/>
      <c r="G55" s="2595"/>
      <c r="H55" s="219"/>
      <c r="I55" s="219">
        <f>IF(ISNA(VLOOKUP($B55&amp;"; "&amp;H$47,'FE Déchets'!$G:$U,9,FALSE)),0,VLOOKUP($B55&amp;"; "&amp;H$47,'FE Déchets'!$G:$U,9,FALSE))</f>
        <v>69</v>
      </c>
      <c r="J55" s="219"/>
      <c r="K55" s="151"/>
      <c r="L55" s="151"/>
      <c r="M55" s="151"/>
      <c r="N55" s="151"/>
      <c r="O55" s="152">
        <f t="shared" si="5"/>
        <v>0</v>
      </c>
      <c r="V55" s="226">
        <f t="shared" ref="V55" si="10">IF(AC55=0,AC55,AC55/O55)</f>
        <v>0</v>
      </c>
      <c r="W55" s="1094"/>
      <c r="X55" s="820"/>
      <c r="Y55" s="164"/>
      <c r="Z55" s="164"/>
      <c r="AA55" s="164"/>
      <c r="AB55" s="164"/>
      <c r="AC55" s="152">
        <f t="shared" si="7"/>
        <v>0</v>
      </c>
      <c r="AE55" s="564">
        <f>$G55*IF(ISNA(VLOOKUP($B55&amp;"; "&amp;$H$47,'FE Déchets'!$G:$U,10,FALSE)),0,VLOOKUP($B55&amp;"; "&amp;$H$47,'FE Déchets'!$G:$U,10,FALSE))</f>
        <v>0</v>
      </c>
      <c r="AF55" s="565"/>
      <c r="AG55" s="565"/>
      <c r="AH55" s="565"/>
      <c r="AI55" s="565">
        <f>$G55*IF(ISNA(VLOOKUP($B55&amp;"; "&amp;$H$47,'FE Déchets'!$G:$U,11,FALSE)+VLOOKUP($B55&amp;"; "&amp;$H$47,'FE Déchets'!$G:$U,12,FALSE)),0,
VLOOKUP($B55&amp;"; "&amp;$H$47,'FE Déchets'!$G:$U,11,FALSE)+VLOOKUP($B55&amp;"; "&amp;$H$47,'FE Déchets'!$G:$U,12,FALSE))</f>
        <v>0</v>
      </c>
      <c r="AJ55" s="565"/>
      <c r="AK55" s="565"/>
      <c r="AL55" s="565"/>
      <c r="AM55" s="565">
        <f>$G55*IF(ISNA(VLOOKUP($B55&amp;"; "&amp;$H$47,'FE Déchets'!$G:$U,13,FALSE)),0,VLOOKUP($B55&amp;"; "&amp;$H$47,'FE Déchets'!$G:$U,13,FALSE))</f>
        <v>0</v>
      </c>
      <c r="AN55" s="565"/>
      <c r="AO55" s="565"/>
      <c r="AP55" s="565"/>
      <c r="AQ55" s="565">
        <f>$G55*IF(ISNA(VLOOKUP($B55&amp;"; "&amp;$H$47,'FE Déchets'!$G:$U,14,FALSE)),0,VLOOKUP($B55&amp;"; "&amp;$H$47,'FE Déchets'!$G:$U,14,FALSE))</f>
        <v>0</v>
      </c>
      <c r="AR55" s="565"/>
      <c r="AS55" s="565"/>
      <c r="AT55" s="565"/>
      <c r="AU55" s="566">
        <f t="shared" ref="AU55" si="11">SUM(AE55,AI55,AM55,AQ55)</f>
        <v>0</v>
      </c>
      <c r="AV55" s="566"/>
      <c r="AW55" s="566"/>
      <c r="AX55" s="566"/>
      <c r="AY55" s="564">
        <f>$G55*IF(ISNA(VLOOKUP($B55&amp;"; "&amp;$H$47,'FE Déchets'!$G:$U,15,FALSE)),0,VLOOKUP($B55&amp;"; "&amp;$H$47,'FE Déchets'!$G:$U,15,FALSE))</f>
        <v>0</v>
      </c>
      <c r="AZ55" s="565"/>
      <c r="BA55" s="565"/>
      <c r="BB55" s="568"/>
      <c r="BD55" s="2492">
        <f>IF($R55&lt;&gt;"votre valeur :",IF(ISNA(VLOOKUP($R55,Utilitaires!$N$566:$O$571,2,FALSE)),,VLOOKUP($R55,Utilitaires!$N$566:$O$571,2,FALSE)),$S55)</f>
        <v>0</v>
      </c>
      <c r="BE55" s="1130">
        <f>IF(ISNA(SQRT(SUMSQ(VLOOKUP($B55&amp;"; "&amp;$H$47,'FE Déchets'!$G:$U,7,FALSE),$BD55))),0,SQRT(SUMSQ(VLOOKUP($B55&amp;"; "&amp;$H$47,'FE Déchets'!$G:$U,7,FALSE),$BD55)))</f>
        <v>0.2</v>
      </c>
      <c r="BF55" s="2128"/>
      <c r="BG55" s="2128"/>
      <c r="BH55" s="264"/>
    </row>
    <row r="56" spans="2:60" s="114" customFormat="1" ht="12.75" customHeight="1" outlineLevel="2">
      <c r="B56" s="389" t="s">
        <v>4958</v>
      </c>
      <c r="C56" s="341"/>
      <c r="D56" s="212">
        <f t="shared" ref="D56:D58" si="12">O56</f>
        <v>0</v>
      </c>
      <c r="E56" s="212"/>
      <c r="F56" s="848"/>
      <c r="G56" s="848"/>
      <c r="H56" s="219"/>
      <c r="I56" s="219">
        <f>IF(ISNA(VLOOKUP($B56&amp;"; "&amp;H$47,'FE Déchets'!$G:$U,9,FALSE)),0,VLOOKUP($B56&amp;"; "&amp;H$47,'FE Déchets'!$G:$U,9,FALSE))</f>
        <v>714</v>
      </c>
      <c r="J56" s="219"/>
      <c r="K56" s="151"/>
      <c r="L56" s="151"/>
      <c r="M56" s="151"/>
      <c r="N56" s="151"/>
      <c r="O56" s="152">
        <f t="shared" si="5"/>
        <v>0</v>
      </c>
      <c r="V56" s="226">
        <f t="shared" ref="V56:V58" si="13">IF(AC56=0,AC56,AC56/O56)</f>
        <v>0</v>
      </c>
      <c r="W56" s="1094"/>
      <c r="X56" s="820"/>
      <c r="Y56" s="164"/>
      <c r="Z56" s="164"/>
      <c r="AA56" s="164"/>
      <c r="AB56" s="164"/>
      <c r="AC56" s="152">
        <f t="shared" si="7"/>
        <v>0</v>
      </c>
      <c r="AE56" s="564">
        <f>$G56*IF(ISNA(VLOOKUP($B56&amp;"; "&amp;$H$47,'FE Déchets'!$G:$U,10,FALSE)),0,VLOOKUP($B56&amp;"; "&amp;$H$47,'FE Déchets'!$G:$U,10,FALSE))</f>
        <v>0</v>
      </c>
      <c r="AF56" s="565"/>
      <c r="AG56" s="565"/>
      <c r="AH56" s="565"/>
      <c r="AI56" s="565">
        <f>$G56*IF(ISNA(VLOOKUP($B56&amp;"; "&amp;$H$47,'FE Déchets'!$G:$U,11,FALSE)+VLOOKUP($B56&amp;"; "&amp;$H$47,'FE Déchets'!$G:$U,12,FALSE)),0,
VLOOKUP($B56&amp;"; "&amp;$H$47,'FE Déchets'!$G:$U,11,FALSE)+VLOOKUP($B56&amp;"; "&amp;$H$47,'FE Déchets'!$G:$U,12,FALSE))</f>
        <v>0</v>
      </c>
      <c r="AJ56" s="565"/>
      <c r="AK56" s="565"/>
      <c r="AL56" s="565"/>
      <c r="AM56" s="565">
        <f>$G56*IF(ISNA(VLOOKUP($B56&amp;"; "&amp;$H$47,'FE Déchets'!$G:$U,13,FALSE)),0,VLOOKUP($B56&amp;"; "&amp;$H$47,'FE Déchets'!$G:$U,13,FALSE))</f>
        <v>0</v>
      </c>
      <c r="AN56" s="565"/>
      <c r="AO56" s="565"/>
      <c r="AP56" s="565"/>
      <c r="AQ56" s="565">
        <f>$G56*IF(ISNA(VLOOKUP($B56&amp;"; "&amp;$H$47,'FE Déchets'!$G:$U,14,FALSE)),0,VLOOKUP($B56&amp;"; "&amp;$H$47,'FE Déchets'!$G:$U,14,FALSE))</f>
        <v>0</v>
      </c>
      <c r="AR56" s="565"/>
      <c r="AS56" s="565"/>
      <c r="AT56" s="565"/>
      <c r="AU56" s="566">
        <f t="shared" si="8"/>
        <v>0</v>
      </c>
      <c r="AV56" s="566"/>
      <c r="AW56" s="566"/>
      <c r="AX56" s="566"/>
      <c r="AY56" s="564">
        <f>$G56*IF(ISNA(VLOOKUP($B56&amp;"; "&amp;$H$47,'FE Déchets'!$G:$U,15,FALSE)),0,VLOOKUP($B56&amp;"; "&amp;$H$47,'FE Déchets'!$G:$U,15,FALSE))</f>
        <v>0</v>
      </c>
      <c r="AZ56" s="565"/>
      <c r="BA56" s="565"/>
      <c r="BB56" s="568"/>
      <c r="BD56" s="2492">
        <f>IF($R56&lt;&gt;"votre valeur :",IF(ISNA(VLOOKUP($R56,Utilitaires!$N$566:$O$571,2,FALSE)),,VLOOKUP($R56,Utilitaires!$N$566:$O$571,2,FALSE)),$S56)</f>
        <v>0</v>
      </c>
      <c r="BE56" s="1130">
        <f>IF(ISNA(SQRT(SUMSQ(VLOOKUP($B56&amp;"; "&amp;$H$47,'FE Déchets'!$G:$U,7,FALSE),$BD56))),0,SQRT(SUMSQ(VLOOKUP($B56&amp;"; "&amp;$H$47,'FE Déchets'!$G:$U,7,FALSE),$BD56)))</f>
        <v>0.2</v>
      </c>
      <c r="BF56" s="2128"/>
      <c r="BG56" s="2128"/>
      <c r="BH56" s="264"/>
    </row>
    <row r="57" spans="2:60" s="114" customFormat="1" ht="12.75" customHeight="1" outlineLevel="2">
      <c r="B57" s="389" t="s">
        <v>4959</v>
      </c>
      <c r="C57" s="341"/>
      <c r="D57" s="212">
        <f t="shared" si="12"/>
        <v>0</v>
      </c>
      <c r="E57" s="212"/>
      <c r="F57" s="2176"/>
      <c r="G57" s="2176"/>
      <c r="H57" s="219"/>
      <c r="I57" s="219">
        <f>IF(ISNA(VLOOKUP($B57&amp;"; "&amp;H$47,'FE Déchets'!$G:$U,9,FALSE)),0,VLOOKUP($B57&amp;"; "&amp;H$47,'FE Déchets'!$G:$U,9,FALSE))</f>
        <v>737</v>
      </c>
      <c r="J57" s="219"/>
      <c r="K57" s="151"/>
      <c r="L57" s="151"/>
      <c r="M57" s="151"/>
      <c r="N57" s="151"/>
      <c r="O57" s="152">
        <f t="shared" si="5"/>
        <v>0</v>
      </c>
      <c r="V57" s="226">
        <f t="shared" si="13"/>
        <v>0</v>
      </c>
      <c r="W57" s="1094"/>
      <c r="X57" s="820"/>
      <c r="Y57" s="164"/>
      <c r="Z57" s="164"/>
      <c r="AA57" s="164"/>
      <c r="AB57" s="164"/>
      <c r="AC57" s="152">
        <f t="shared" si="7"/>
        <v>0</v>
      </c>
      <c r="AE57" s="564">
        <f>$G57*IF(ISNA(VLOOKUP($B57&amp;"; "&amp;$H$47,'FE Déchets'!$G:$U,10,FALSE)),0,VLOOKUP($B57&amp;"; "&amp;$H$47,'FE Déchets'!$G:$U,10,FALSE))</f>
        <v>0</v>
      </c>
      <c r="AF57" s="565"/>
      <c r="AG57" s="565"/>
      <c r="AH57" s="565"/>
      <c r="AI57" s="565">
        <f>$G57*IF(ISNA(VLOOKUP($B57&amp;"; "&amp;$H$47,'FE Déchets'!$G:$U,11,FALSE)+VLOOKUP($B57&amp;"; "&amp;$H$47,'FE Déchets'!$G:$U,12,FALSE)),0,
VLOOKUP($B57&amp;"; "&amp;$H$47,'FE Déchets'!$G:$U,11,FALSE)+VLOOKUP($B57&amp;"; "&amp;$H$47,'FE Déchets'!$G:$U,12,FALSE))</f>
        <v>0</v>
      </c>
      <c r="AJ57" s="565"/>
      <c r="AK57" s="565"/>
      <c r="AL57" s="565"/>
      <c r="AM57" s="565">
        <f>$G57*IF(ISNA(VLOOKUP($B57&amp;"; "&amp;$H$47,'FE Déchets'!$G:$U,13,FALSE)),0,VLOOKUP($B57&amp;"; "&amp;$H$47,'FE Déchets'!$G:$U,13,FALSE))</f>
        <v>0</v>
      </c>
      <c r="AN57" s="565"/>
      <c r="AO57" s="565"/>
      <c r="AP57" s="565"/>
      <c r="AQ57" s="565">
        <f>$G57*IF(ISNA(VLOOKUP($B57&amp;"; "&amp;$H$47,'FE Déchets'!$G:$U,14,FALSE)),0,VLOOKUP($B57&amp;"; "&amp;$H$47,'FE Déchets'!$G:$U,14,FALSE))</f>
        <v>0</v>
      </c>
      <c r="AR57" s="565"/>
      <c r="AS57" s="565"/>
      <c r="AT57" s="565"/>
      <c r="AU57" s="566">
        <f t="shared" si="8"/>
        <v>0</v>
      </c>
      <c r="AV57" s="566"/>
      <c r="AW57" s="566"/>
      <c r="AX57" s="566"/>
      <c r="AY57" s="564">
        <f>$G57*IF(ISNA(VLOOKUP($B57&amp;"; "&amp;$H$47,'FE Déchets'!$G:$U,15,FALSE)),0,VLOOKUP($B57&amp;"; "&amp;$H$47,'FE Déchets'!$G:$U,15,FALSE))</f>
        <v>0</v>
      </c>
      <c r="AZ57" s="565"/>
      <c r="BA57" s="565"/>
      <c r="BB57" s="568"/>
      <c r="BD57" s="2492">
        <f>IF($R57&lt;&gt;"votre valeur :",IF(ISNA(VLOOKUP($R57,Utilitaires!$N$566:$O$571,2,FALSE)),,VLOOKUP($R57,Utilitaires!$N$566:$O$571,2,FALSE)),$S57)</f>
        <v>0</v>
      </c>
      <c r="BE57" s="1130">
        <f>IF(ISNA(SQRT(SUMSQ(VLOOKUP($B57&amp;"; "&amp;$H$47,'FE Déchets'!$G:$U,7,FALSE),$BD57))),0,SQRT(SUMSQ(VLOOKUP($B57&amp;"; "&amp;$H$47,'FE Déchets'!$G:$U,7,FALSE),$BD57)))</f>
        <v>0.2</v>
      </c>
      <c r="BF57" s="2128"/>
      <c r="BG57" s="2128"/>
      <c r="BH57" s="264"/>
    </row>
    <row r="58" spans="2:60" s="114" customFormat="1" ht="12.75" customHeight="1" outlineLevel="2">
      <c r="B58" s="389" t="s">
        <v>4960</v>
      </c>
      <c r="C58" s="341"/>
      <c r="D58" s="212">
        <f t="shared" si="12"/>
        <v>0</v>
      </c>
      <c r="E58" s="212"/>
      <c r="F58" s="849"/>
      <c r="G58" s="849"/>
      <c r="H58" s="219"/>
      <c r="I58" s="219">
        <f>IF(ISNA(VLOOKUP($B58&amp;"; "&amp;H$47,'FE Déchets'!$G:$U,9,FALSE)),0,VLOOKUP($B58&amp;"; "&amp;H$47,'FE Déchets'!$G:$U,9,FALSE))</f>
        <v>992</v>
      </c>
      <c r="J58" s="219"/>
      <c r="K58" s="151"/>
      <c r="L58" s="151"/>
      <c r="M58" s="151"/>
      <c r="N58" s="151"/>
      <c r="O58" s="152">
        <f t="shared" si="5"/>
        <v>0</v>
      </c>
      <c r="V58" s="226">
        <f t="shared" si="13"/>
        <v>0</v>
      </c>
      <c r="W58" s="1094"/>
      <c r="X58" s="820"/>
      <c r="Y58" s="164"/>
      <c r="Z58" s="164"/>
      <c r="AA58" s="164"/>
      <c r="AB58" s="164"/>
      <c r="AC58" s="152">
        <f t="shared" si="7"/>
        <v>0</v>
      </c>
      <c r="AD58" s="113"/>
      <c r="AE58" s="564">
        <f>$G58*IF(ISNA(VLOOKUP($B58&amp;"; "&amp;$H$47,'FE Déchets'!$G:$U,10,FALSE)),0,VLOOKUP($B58&amp;"; "&amp;$H$47,'FE Déchets'!$G:$U,10,FALSE))</f>
        <v>0</v>
      </c>
      <c r="AF58" s="565"/>
      <c r="AG58" s="565"/>
      <c r="AH58" s="565"/>
      <c r="AI58" s="565">
        <f>$G58*IF(ISNA(VLOOKUP($B58&amp;"; "&amp;$H$47,'FE Déchets'!$G:$U,11,FALSE)+VLOOKUP($B58&amp;"; "&amp;$H$47,'FE Déchets'!$G:$U,12,FALSE)),0,
VLOOKUP($B58&amp;"; "&amp;$H$47,'FE Déchets'!$G:$U,11,FALSE)+VLOOKUP($B58&amp;"; "&amp;$H$47,'FE Déchets'!$G:$U,12,FALSE))</f>
        <v>0</v>
      </c>
      <c r="AJ58" s="565"/>
      <c r="AK58" s="565"/>
      <c r="AL58" s="565"/>
      <c r="AM58" s="565">
        <f>$G58*IF(ISNA(VLOOKUP($B58&amp;"; "&amp;$H$47,'FE Déchets'!$G:$U,13,FALSE)),0,VLOOKUP($B58&amp;"; "&amp;$H$47,'FE Déchets'!$G:$U,13,FALSE))</f>
        <v>0</v>
      </c>
      <c r="AN58" s="565"/>
      <c r="AO58" s="565"/>
      <c r="AP58" s="565"/>
      <c r="AQ58" s="565">
        <f>$G58*IF(ISNA(VLOOKUP($B58&amp;"; "&amp;$H$47,'FE Déchets'!$G:$U,14,FALSE)),0,VLOOKUP($B58&amp;"; "&amp;$H$47,'FE Déchets'!$G:$U,14,FALSE))</f>
        <v>0</v>
      </c>
      <c r="AR58" s="565"/>
      <c r="AS58" s="565"/>
      <c r="AT58" s="565"/>
      <c r="AU58" s="566">
        <f t="shared" si="8"/>
        <v>0</v>
      </c>
      <c r="AV58" s="566"/>
      <c r="AW58" s="566"/>
      <c r="AX58" s="566"/>
      <c r="AY58" s="564">
        <f>$G58*IF(ISNA(VLOOKUP($B58&amp;"; "&amp;$H$47,'FE Déchets'!$G:$U,15,FALSE)),0,VLOOKUP($B58&amp;"; "&amp;$H$47,'FE Déchets'!$G:$U,15,FALSE))</f>
        <v>0</v>
      </c>
      <c r="AZ58" s="565"/>
      <c r="BA58" s="565"/>
      <c r="BB58" s="568"/>
      <c r="BD58" s="2492">
        <f>IF($R58&lt;&gt;"votre valeur :",IF(ISNA(VLOOKUP($R58,Utilitaires!$N$566:$O$571,2,FALSE)),,VLOOKUP($R58,Utilitaires!$N$566:$O$571,2,FALSE)),$S58)</f>
        <v>0</v>
      </c>
      <c r="BE58" s="1130">
        <f>IF(ISNA(SQRT(SUMSQ(VLOOKUP($B58&amp;"; "&amp;$H$47,'FE Déchets'!$G:$U,7,FALSE),$BD58))),0,SQRT(SUMSQ(VLOOKUP($B58&amp;"; "&amp;$H$47,'FE Déchets'!$G:$U,7,FALSE),$BD58)))</f>
        <v>0.2</v>
      </c>
      <c r="BF58" s="2128"/>
      <c r="BG58" s="2128"/>
      <c r="BH58" s="264"/>
    </row>
    <row r="59" spans="2:60" s="114" customFormat="1" ht="12.75" customHeight="1" outlineLevel="2">
      <c r="B59" s="389"/>
      <c r="C59" s="341"/>
      <c r="D59" s="212"/>
      <c r="E59" s="212"/>
      <c r="F59" s="212"/>
      <c r="G59" s="212"/>
      <c r="H59" s="219"/>
      <c r="I59" s="219"/>
      <c r="J59" s="219"/>
      <c r="K59" s="151"/>
      <c r="L59" s="151"/>
      <c r="M59" s="151"/>
      <c r="N59" s="151"/>
      <c r="O59" s="152"/>
      <c r="V59" s="226"/>
      <c r="W59" s="820"/>
      <c r="X59" s="820"/>
      <c r="Y59" s="164"/>
      <c r="Z59" s="164"/>
      <c r="AA59" s="164"/>
      <c r="AB59" s="164"/>
      <c r="AC59" s="152"/>
      <c r="AE59" s="564"/>
      <c r="AF59" s="565"/>
      <c r="AG59" s="565"/>
      <c r="AH59" s="565"/>
      <c r="AI59" s="565"/>
      <c r="AJ59" s="565"/>
      <c r="AK59" s="565"/>
      <c r="AL59" s="565"/>
      <c r="AM59" s="565"/>
      <c r="AN59" s="565"/>
      <c r="AO59" s="565"/>
      <c r="AP59" s="565"/>
      <c r="AQ59" s="565"/>
      <c r="AR59" s="565"/>
      <c r="AS59" s="565"/>
      <c r="AT59" s="565"/>
      <c r="AU59" s="566"/>
      <c r="AV59" s="566"/>
      <c r="AW59" s="566"/>
      <c r="AX59" s="566"/>
      <c r="AY59" s="564"/>
      <c r="AZ59" s="565"/>
      <c r="BA59" s="565"/>
      <c r="BB59" s="568"/>
      <c r="BD59" s="2492"/>
      <c r="BE59" s="1130"/>
      <c r="BF59" s="2128"/>
      <c r="BG59" s="2128"/>
      <c r="BH59" s="264"/>
    </row>
    <row r="60" spans="2:60" s="114" customFormat="1" ht="12.75" customHeight="1" outlineLevel="2">
      <c r="B60" s="2386" t="s">
        <v>3</v>
      </c>
      <c r="C60" s="341"/>
      <c r="D60" s="212"/>
      <c r="E60" s="212"/>
      <c r="F60" s="212"/>
      <c r="G60" s="212"/>
      <c r="H60" s="219"/>
      <c r="I60" s="219"/>
      <c r="J60" s="219"/>
      <c r="K60" s="151"/>
      <c r="L60" s="151"/>
      <c r="M60" s="151"/>
      <c r="N60" s="151"/>
      <c r="O60" s="152"/>
      <c r="V60" s="226"/>
      <c r="W60" s="820"/>
      <c r="X60" s="820"/>
      <c r="Y60" s="164"/>
      <c r="Z60" s="164"/>
      <c r="AA60" s="164"/>
      <c r="AB60" s="164"/>
      <c r="AC60" s="152"/>
      <c r="AE60" s="564"/>
      <c r="AF60" s="565"/>
      <c r="AG60" s="565"/>
      <c r="AH60" s="565"/>
      <c r="AI60" s="565"/>
      <c r="AJ60" s="565"/>
      <c r="AK60" s="565"/>
      <c r="AL60" s="565"/>
      <c r="AM60" s="565"/>
      <c r="AN60" s="565"/>
      <c r="AO60" s="565"/>
      <c r="AP60" s="565"/>
      <c r="AQ60" s="565"/>
      <c r="AR60" s="565"/>
      <c r="AS60" s="565"/>
      <c r="AT60" s="565"/>
      <c r="AU60" s="566"/>
      <c r="AV60" s="566"/>
      <c r="AW60" s="566"/>
      <c r="AX60" s="566"/>
      <c r="AY60" s="564"/>
      <c r="AZ60" s="565"/>
      <c r="BA60" s="565"/>
      <c r="BB60" s="568"/>
      <c r="BD60" s="2492"/>
      <c r="BE60" s="1130"/>
      <c r="BF60" s="2128"/>
      <c r="BG60" s="2128"/>
      <c r="BH60" s="264"/>
    </row>
    <row r="61" spans="2:60" s="114" customFormat="1" ht="12.75" customHeight="1" outlineLevel="2">
      <c r="B61" s="389" t="s">
        <v>4961</v>
      </c>
      <c r="C61" s="341"/>
      <c r="D61" s="212">
        <f>O61</f>
        <v>22919</v>
      </c>
      <c r="E61" s="212"/>
      <c r="F61" s="847" t="s">
        <v>768</v>
      </c>
      <c r="G61" s="391">
        <v>559</v>
      </c>
      <c r="H61" s="219"/>
      <c r="I61" s="219">
        <f>IF(ISNA(VLOOKUP($B61&amp;"; "&amp;H$47,'FE Déchets'!$G:$U,9,FALSE)),0,VLOOKUP($B61&amp;"; "&amp;H$47,'FE Déchets'!$G:$U,9,FALSE))</f>
        <v>41</v>
      </c>
      <c r="J61" s="219"/>
      <c r="K61" s="151"/>
      <c r="L61" s="151"/>
      <c r="M61" s="151"/>
      <c r="N61" s="151"/>
      <c r="O61" s="152">
        <f t="shared" si="5"/>
        <v>22919</v>
      </c>
      <c r="V61" s="226">
        <f>IF(AC61=0,AC61,AC61/O61)</f>
        <v>0.2</v>
      </c>
      <c r="W61" s="1094"/>
      <c r="X61" s="820"/>
      <c r="Y61" s="164"/>
      <c r="Z61" s="164"/>
      <c r="AA61" s="164"/>
      <c r="AB61" s="164"/>
      <c r="AC61" s="152">
        <f t="shared" si="7"/>
        <v>4583.8</v>
      </c>
      <c r="AE61" s="564">
        <f>$G61*IF(ISNA(VLOOKUP($B61&amp;"; "&amp;$H$47,'FE Déchets'!$G:$U,10,FALSE)),0,VLOOKUP($B61&amp;"; "&amp;$H$47,'FE Déchets'!$G:$U,10,FALSE))</f>
        <v>22919</v>
      </c>
      <c r="AF61" s="565"/>
      <c r="AG61" s="565"/>
      <c r="AH61" s="565"/>
      <c r="AI61" s="565">
        <f>$G61*IF(ISNA(VLOOKUP($B61&amp;"; "&amp;$H$47,'FE Déchets'!$G:$U,11,FALSE)+VLOOKUP($B61&amp;"; "&amp;$H$47,'FE Déchets'!$G:$U,12,FALSE)),0,
VLOOKUP($B61&amp;"; "&amp;$H$47,'FE Déchets'!$G:$U,11,FALSE)+VLOOKUP($B61&amp;"; "&amp;$H$47,'FE Déchets'!$G:$U,12,FALSE))</f>
        <v>0</v>
      </c>
      <c r="AJ61" s="565"/>
      <c r="AK61" s="565"/>
      <c r="AL61" s="565"/>
      <c r="AM61" s="565">
        <f>$G61*IF(ISNA(VLOOKUP($B61&amp;"; "&amp;$H$47,'FE Déchets'!$G:$U,13,FALSE)),0,VLOOKUP($B61&amp;"; "&amp;$H$47,'FE Déchets'!$G:$U,13,FALSE))</f>
        <v>0</v>
      </c>
      <c r="AN61" s="565"/>
      <c r="AO61" s="565"/>
      <c r="AP61" s="565"/>
      <c r="AQ61" s="565">
        <f>$G61*IF(ISNA(VLOOKUP($B61&amp;"; "&amp;$H$47,'FE Déchets'!$G:$U,14,FALSE)),0,VLOOKUP($B61&amp;"; "&amp;$H$47,'FE Déchets'!$G:$U,14,FALSE))</f>
        <v>0</v>
      </c>
      <c r="AR61" s="565"/>
      <c r="AS61" s="565"/>
      <c r="AT61" s="565"/>
      <c r="AU61" s="566">
        <f t="shared" ref="AU61:AU65" si="14">SUM(AE61,AI61,AM61,AQ61)</f>
        <v>22919</v>
      </c>
      <c r="AV61" s="566"/>
      <c r="AW61" s="566"/>
      <c r="AX61" s="566"/>
      <c r="AY61" s="564">
        <f>$G61*IF(ISNA(VLOOKUP($B61&amp;"; "&amp;$H$47,'FE Déchets'!$G:$U,15,FALSE)),0,VLOOKUP($B61&amp;"; "&amp;$H$47,'FE Déchets'!$G:$U,15,FALSE))</f>
        <v>0</v>
      </c>
      <c r="AZ61" s="565"/>
      <c r="BA61" s="565"/>
      <c r="BB61" s="568"/>
      <c r="BD61" s="2492">
        <f>IF($R61&lt;&gt;"votre valeur :",IF(ISNA(VLOOKUP($R61,Utilitaires!$N$566:$O$571,2,FALSE)),,VLOOKUP($R61,Utilitaires!$N$566:$O$571,2,FALSE)),$S61)</f>
        <v>0</v>
      </c>
      <c r="BE61" s="1130">
        <f>IF(ISNA(SQRT(SUMSQ(VLOOKUP($B61&amp;"; "&amp;$H$47,'FE Déchets'!$G:$U,7,FALSE),$BD61))),0,SQRT(SUMSQ(VLOOKUP($B61&amp;"; "&amp;$H$47,'FE Déchets'!$G:$U,7,FALSE),$BD61)))</f>
        <v>0.2</v>
      </c>
      <c r="BF61" s="2128"/>
      <c r="BG61" s="2128"/>
      <c r="BH61" s="264"/>
    </row>
    <row r="62" spans="2:60" s="114" customFormat="1" ht="12.75" customHeight="1" outlineLevel="2">
      <c r="B62" s="389" t="s">
        <v>4964</v>
      </c>
      <c r="C62" s="341"/>
      <c r="D62" s="212">
        <f t="shared" ref="D62:D65" si="15">O62</f>
        <v>4551</v>
      </c>
      <c r="E62" s="212"/>
      <c r="F62" s="2176" t="s">
        <v>768</v>
      </c>
      <c r="G62" s="2593">
        <v>111</v>
      </c>
      <c r="H62" s="219"/>
      <c r="I62" s="219">
        <f>IF(ISNA(VLOOKUP($B62&amp;"; "&amp;H$47,'FE Déchets'!$G:$U,9,FALSE)),0,VLOOKUP($B62&amp;"; "&amp;H$47,'FE Déchets'!$G:$U,9,FALSE))</f>
        <v>41</v>
      </c>
      <c r="J62" s="219"/>
      <c r="K62" s="151"/>
      <c r="L62" s="151"/>
      <c r="M62" s="151"/>
      <c r="N62" s="151"/>
      <c r="O62" s="152">
        <f t="shared" si="5"/>
        <v>4551</v>
      </c>
      <c r="V62" s="226">
        <f t="shared" ref="V62:V65" si="16">IF(AC62=0,AC62,AC62/O62)</f>
        <v>0.2</v>
      </c>
      <c r="W62" s="1094"/>
      <c r="X62" s="820"/>
      <c r="Y62" s="164"/>
      <c r="Z62" s="164"/>
      <c r="AA62" s="164"/>
      <c r="AB62" s="164"/>
      <c r="AC62" s="152">
        <f t="shared" si="7"/>
        <v>910.2</v>
      </c>
      <c r="AE62" s="564">
        <f>$G62*IF(ISNA(VLOOKUP($B62&amp;"; "&amp;$H$47,'FE Déchets'!$G:$U,10,FALSE)),0,VLOOKUP($B62&amp;"; "&amp;$H$47,'FE Déchets'!$G:$U,10,FALSE))</f>
        <v>4551</v>
      </c>
      <c r="AF62" s="565"/>
      <c r="AG62" s="565"/>
      <c r="AH62" s="565"/>
      <c r="AI62" s="565">
        <f>$G62*IF(ISNA(VLOOKUP($B62&amp;"; "&amp;$H$47,'FE Déchets'!$G:$U,11,FALSE)+VLOOKUP($B62&amp;"; "&amp;$H$47,'FE Déchets'!$G:$U,12,FALSE)),0,
VLOOKUP($B62&amp;"; "&amp;$H$47,'FE Déchets'!$G:$U,11,FALSE)+VLOOKUP($B62&amp;"; "&amp;$H$47,'FE Déchets'!$G:$U,12,FALSE))</f>
        <v>0</v>
      </c>
      <c r="AJ62" s="565"/>
      <c r="AK62" s="565"/>
      <c r="AL62" s="565"/>
      <c r="AM62" s="565">
        <f>$G62*IF(ISNA(VLOOKUP($B62&amp;"; "&amp;$H$47,'FE Déchets'!$G:$U,13,FALSE)),0,VLOOKUP($B62&amp;"; "&amp;$H$47,'FE Déchets'!$G:$U,13,FALSE))</f>
        <v>0</v>
      </c>
      <c r="AN62" s="565"/>
      <c r="AO62" s="565"/>
      <c r="AP62" s="565"/>
      <c r="AQ62" s="565">
        <f>$G62*IF(ISNA(VLOOKUP($B62&amp;"; "&amp;$H$47,'FE Déchets'!$G:$U,14,FALSE)),0,VLOOKUP($B62&amp;"; "&amp;$H$47,'FE Déchets'!$G:$U,14,FALSE))</f>
        <v>0</v>
      </c>
      <c r="AR62" s="565"/>
      <c r="AS62" s="565"/>
      <c r="AT62" s="565"/>
      <c r="AU62" s="566">
        <f t="shared" si="14"/>
        <v>4551</v>
      </c>
      <c r="AV62" s="566"/>
      <c r="AW62" s="566"/>
      <c r="AX62" s="566"/>
      <c r="AY62" s="564">
        <f>$G62*IF(ISNA(VLOOKUP($B62&amp;"; "&amp;$H$47,'FE Déchets'!$G:$U,15,FALSE)),0,VLOOKUP($B62&amp;"; "&amp;$H$47,'FE Déchets'!$G:$U,15,FALSE))</f>
        <v>0</v>
      </c>
      <c r="AZ62" s="565"/>
      <c r="BA62" s="565"/>
      <c r="BB62" s="568"/>
      <c r="BD62" s="2492">
        <f>IF($R62&lt;&gt;"votre valeur :",IF(ISNA(VLOOKUP($R62,Utilitaires!$N$566:$O$571,2,FALSE)),,VLOOKUP($R62,Utilitaires!$N$566:$O$571,2,FALSE)),$S62)</f>
        <v>0</v>
      </c>
      <c r="BE62" s="1130">
        <f>IF(ISNA(SQRT(SUMSQ(VLOOKUP($B62&amp;"; "&amp;$H$47,'FE Déchets'!$G:$U,7,FALSE),$BD62))),0,SQRT(SUMSQ(VLOOKUP($B62&amp;"; "&amp;$H$47,'FE Déchets'!$G:$U,7,FALSE),$BD62)))</f>
        <v>0.2</v>
      </c>
      <c r="BF62" s="2128"/>
      <c r="BG62" s="2128"/>
      <c r="BH62" s="264"/>
    </row>
    <row r="63" spans="2:60" s="114" customFormat="1" ht="12.75" customHeight="1" outlineLevel="2">
      <c r="B63" s="389" t="s">
        <v>4962</v>
      </c>
      <c r="C63" s="341"/>
      <c r="D63" s="212">
        <f t="shared" si="15"/>
        <v>0</v>
      </c>
      <c r="E63" s="212"/>
      <c r="F63" s="848"/>
      <c r="G63" s="848"/>
      <c r="H63" s="219"/>
      <c r="I63" s="219">
        <f>IF(ISNA(VLOOKUP($B63&amp;"; "&amp;H$47,'FE Déchets'!$G:$U,9,FALSE)),0,VLOOKUP($B63&amp;"; "&amp;H$47,'FE Déchets'!$G:$U,9,FALSE))</f>
        <v>311</v>
      </c>
      <c r="J63" s="219"/>
      <c r="K63" s="151"/>
      <c r="L63" s="151"/>
      <c r="M63" s="151"/>
      <c r="N63" s="151"/>
      <c r="O63" s="152">
        <f t="shared" si="5"/>
        <v>0</v>
      </c>
      <c r="V63" s="226">
        <f t="shared" si="16"/>
        <v>0</v>
      </c>
      <c r="W63" s="1094"/>
      <c r="X63" s="820"/>
      <c r="Y63" s="164"/>
      <c r="Z63" s="164"/>
      <c r="AA63" s="164"/>
      <c r="AB63" s="164"/>
      <c r="AC63" s="152">
        <f t="shared" si="7"/>
        <v>0</v>
      </c>
      <c r="AE63" s="564">
        <f>$G63*IF(ISNA(VLOOKUP($B63&amp;"; "&amp;$H$47,'FE Déchets'!$G:$U,10,FALSE)),0,VLOOKUP($B63&amp;"; "&amp;$H$47,'FE Déchets'!$G:$U,10,FALSE))</f>
        <v>0</v>
      </c>
      <c r="AF63" s="565"/>
      <c r="AG63" s="565"/>
      <c r="AH63" s="565"/>
      <c r="AI63" s="565">
        <f>$G63*IF(ISNA(VLOOKUP($B63&amp;"; "&amp;$H$47,'FE Déchets'!$G:$U,11,FALSE)+VLOOKUP($B63&amp;"; "&amp;$H$47,'FE Déchets'!$G:$U,12,FALSE)),0,
VLOOKUP($B63&amp;"; "&amp;$H$47,'FE Déchets'!$G:$U,11,FALSE)+VLOOKUP($B63&amp;"; "&amp;$H$47,'FE Déchets'!$G:$U,12,FALSE))</f>
        <v>0</v>
      </c>
      <c r="AJ63" s="565"/>
      <c r="AK63" s="565"/>
      <c r="AL63" s="565"/>
      <c r="AM63" s="565">
        <f>$G63*IF(ISNA(VLOOKUP($B63&amp;"; "&amp;$H$47,'FE Déchets'!$G:$U,13,FALSE)),0,VLOOKUP($B63&amp;"; "&amp;$H$47,'FE Déchets'!$G:$U,13,FALSE))</f>
        <v>0</v>
      </c>
      <c r="AN63" s="565"/>
      <c r="AO63" s="565"/>
      <c r="AP63" s="565"/>
      <c r="AQ63" s="565">
        <f>$G63*IF(ISNA(VLOOKUP($B63&amp;"; "&amp;$H$47,'FE Déchets'!$G:$U,14,FALSE)),0,VLOOKUP($B63&amp;"; "&amp;$H$47,'FE Déchets'!$G:$U,14,FALSE))</f>
        <v>0</v>
      </c>
      <c r="AR63" s="565"/>
      <c r="AS63" s="565"/>
      <c r="AT63" s="565"/>
      <c r="AU63" s="566">
        <f t="shared" si="14"/>
        <v>0</v>
      </c>
      <c r="AV63" s="566"/>
      <c r="AW63" s="566"/>
      <c r="AX63" s="566"/>
      <c r="AY63" s="564">
        <f>$G63*IF(ISNA(VLOOKUP($B63&amp;"; "&amp;$H$47,'FE Déchets'!$G:$U,15,FALSE)),0,VLOOKUP($B63&amp;"; "&amp;$H$47,'FE Déchets'!$G:$U,15,FALSE))</f>
        <v>0</v>
      </c>
      <c r="AZ63" s="565"/>
      <c r="BA63" s="565"/>
      <c r="BB63" s="568"/>
      <c r="BD63" s="2492">
        <f>IF($R63&lt;&gt;"votre valeur :",IF(ISNA(VLOOKUP($R63,Utilitaires!$N$566:$O$571,2,FALSE)),,VLOOKUP($R63,Utilitaires!$N$566:$O$571,2,FALSE)),$S63)</f>
        <v>0</v>
      </c>
      <c r="BE63" s="1130">
        <f>IF(ISNA(SQRT(SUMSQ(VLOOKUP($B63&amp;"; "&amp;$H$47,'FE Déchets'!$G:$U,7,FALSE),$BD63))),0,SQRT(SUMSQ(VLOOKUP($B63&amp;"; "&amp;$H$47,'FE Déchets'!$G:$U,7,FALSE),$BD63)))</f>
        <v>0.2</v>
      </c>
      <c r="BF63" s="2128"/>
      <c r="BG63" s="2128"/>
      <c r="BH63" s="264"/>
    </row>
    <row r="64" spans="2:60" s="114" customFormat="1" ht="12.75" customHeight="1" outlineLevel="2">
      <c r="B64" s="389" t="s">
        <v>4963</v>
      </c>
      <c r="C64" s="341"/>
      <c r="D64" s="212">
        <f t="shared" ref="D64" si="17">O64</f>
        <v>0</v>
      </c>
      <c r="E64" s="212"/>
      <c r="F64" s="2176"/>
      <c r="G64" s="2176"/>
      <c r="H64" s="219"/>
      <c r="I64" s="219">
        <f>IF(ISNA(VLOOKUP($B64&amp;"; "&amp;H$47,'FE Déchets'!$G:$U,9,FALSE)),0,VLOOKUP($B64&amp;"; "&amp;H$47,'FE Déchets'!$G:$U,9,FALSE))</f>
        <v>873</v>
      </c>
      <c r="J64" s="219"/>
      <c r="K64" s="151"/>
      <c r="L64" s="151"/>
      <c r="M64" s="151"/>
      <c r="N64" s="151"/>
      <c r="O64" s="152">
        <f t="shared" si="5"/>
        <v>0</v>
      </c>
      <c r="V64" s="226">
        <f t="shared" ref="V64" si="18">IF(AC64=0,AC64,AC64/O64)</f>
        <v>0</v>
      </c>
      <c r="W64" s="1094"/>
      <c r="X64" s="820"/>
      <c r="Y64" s="164"/>
      <c r="Z64" s="164"/>
      <c r="AA64" s="164"/>
      <c r="AB64" s="164"/>
      <c r="AC64" s="152">
        <f t="shared" si="7"/>
        <v>0</v>
      </c>
      <c r="AD64" s="113"/>
      <c r="AE64" s="564">
        <f>$G64*IF(ISNA(VLOOKUP($B64&amp;"; "&amp;$H$47,'FE Déchets'!$G:$U,10,FALSE)),0,VLOOKUP($B64&amp;"; "&amp;$H$47,'FE Déchets'!$G:$U,10,FALSE))</f>
        <v>0</v>
      </c>
      <c r="AF64" s="565"/>
      <c r="AG64" s="565"/>
      <c r="AH64" s="565"/>
      <c r="AI64" s="565">
        <f>$G64*IF(ISNA(VLOOKUP($B64&amp;"; "&amp;$H$47,'FE Déchets'!$G:$U,11,FALSE)+VLOOKUP($B64&amp;"; "&amp;$H$47,'FE Déchets'!$G:$U,12,FALSE)),0,
VLOOKUP($B64&amp;"; "&amp;$H$47,'FE Déchets'!$G:$U,11,FALSE)+VLOOKUP($B64&amp;"; "&amp;$H$47,'FE Déchets'!$G:$U,12,FALSE))</f>
        <v>0</v>
      </c>
      <c r="AJ64" s="565"/>
      <c r="AK64" s="565"/>
      <c r="AL64" s="565"/>
      <c r="AM64" s="565">
        <f>$G64*IF(ISNA(VLOOKUP($B64&amp;"; "&amp;$H$47,'FE Déchets'!$G:$U,13,FALSE)),0,VLOOKUP($B64&amp;"; "&amp;$H$47,'FE Déchets'!$G:$U,13,FALSE))</f>
        <v>0</v>
      </c>
      <c r="AN64" s="565"/>
      <c r="AO64" s="565"/>
      <c r="AP64" s="565"/>
      <c r="AQ64" s="565">
        <f>$G64*IF(ISNA(VLOOKUP($B64&amp;"; "&amp;$H$47,'FE Déchets'!$G:$U,14,FALSE)),0,VLOOKUP($B64&amp;"; "&amp;$H$47,'FE Déchets'!$G:$U,14,FALSE))</f>
        <v>0</v>
      </c>
      <c r="AR64" s="565"/>
      <c r="AS64" s="565"/>
      <c r="AT64" s="565"/>
      <c r="AU64" s="566">
        <f t="shared" ref="AU64" si="19">SUM(AE64,AI64,AM64,AQ64)</f>
        <v>0</v>
      </c>
      <c r="AV64" s="566"/>
      <c r="AW64" s="566"/>
      <c r="AX64" s="566"/>
      <c r="AY64" s="564">
        <f>$G64*IF(ISNA(VLOOKUP($B64&amp;"; "&amp;$H$47,'FE Déchets'!$G:$U,15,FALSE)),0,VLOOKUP($B64&amp;"; "&amp;$H$47,'FE Déchets'!$G:$U,15,FALSE))</f>
        <v>0</v>
      </c>
      <c r="AZ64" s="565"/>
      <c r="BA64" s="565"/>
      <c r="BB64" s="568"/>
      <c r="BD64" s="2492">
        <f>IF($R64&lt;&gt;"votre valeur :",IF(ISNA(VLOOKUP($R64,Utilitaires!$N$566:$O$571,2,FALSE)),,VLOOKUP($R64,Utilitaires!$N$566:$O$571,2,FALSE)),$S64)</f>
        <v>0</v>
      </c>
      <c r="BE64" s="1130">
        <f>IF(ISNA(SQRT(SUMSQ(VLOOKUP($B64&amp;"; "&amp;$H$47,'FE Déchets'!$G:$U,7,FALSE),$BD64))),0,SQRT(SUMSQ(VLOOKUP($B64&amp;"; "&amp;$H$47,'FE Déchets'!$G:$U,7,FALSE),$BD64)))</f>
        <v>0.2</v>
      </c>
      <c r="BF64" s="2128"/>
      <c r="BG64" s="2128"/>
      <c r="BH64" s="264"/>
    </row>
    <row r="65" spans="2:60" s="114" customFormat="1" ht="12.75" customHeight="1" outlineLevel="2">
      <c r="B65" s="389" t="s">
        <v>4964</v>
      </c>
      <c r="C65" s="341"/>
      <c r="D65" s="212">
        <f t="shared" si="15"/>
        <v>0</v>
      </c>
      <c r="E65" s="212"/>
      <c r="F65" s="849"/>
      <c r="G65" s="2596"/>
      <c r="H65" s="219"/>
      <c r="I65" s="219">
        <f>IF(ISNA(VLOOKUP($B65&amp;"; "&amp;H$47,'FE Déchets'!$G:$U,9,FALSE)),0,VLOOKUP($B65&amp;"; "&amp;H$47,'FE Déchets'!$G:$U,9,FALSE))</f>
        <v>41</v>
      </c>
      <c r="J65" s="219"/>
      <c r="K65" s="151"/>
      <c r="L65" s="151"/>
      <c r="M65" s="151"/>
      <c r="N65" s="151"/>
      <c r="O65" s="152">
        <f t="shared" si="5"/>
        <v>0</v>
      </c>
      <c r="V65" s="226">
        <f t="shared" si="16"/>
        <v>0</v>
      </c>
      <c r="W65" s="1094"/>
      <c r="X65" s="820"/>
      <c r="Y65" s="164"/>
      <c r="Z65" s="164"/>
      <c r="AA65" s="164"/>
      <c r="AB65" s="164"/>
      <c r="AC65" s="152">
        <f t="shared" si="7"/>
        <v>0</v>
      </c>
      <c r="AD65" s="113"/>
      <c r="AE65" s="564">
        <f>$G65*IF(ISNA(VLOOKUP($B65&amp;"; "&amp;$H$47,'FE Déchets'!$G:$U,10,FALSE)),0,VLOOKUP($B65&amp;"; "&amp;$H$47,'FE Déchets'!$G:$U,10,FALSE))</f>
        <v>0</v>
      </c>
      <c r="AF65" s="565"/>
      <c r="AG65" s="565"/>
      <c r="AH65" s="565"/>
      <c r="AI65" s="565">
        <f>$G65*IF(ISNA(VLOOKUP($B65&amp;"; "&amp;$H$47,'FE Déchets'!$G:$U,11,FALSE)+VLOOKUP($B65&amp;"; "&amp;$H$47,'FE Déchets'!$G:$U,12,FALSE)),0,
VLOOKUP($B65&amp;"; "&amp;$H$47,'FE Déchets'!$G:$U,11,FALSE)+VLOOKUP($B65&amp;"; "&amp;$H$47,'FE Déchets'!$G:$U,12,FALSE))</f>
        <v>0</v>
      </c>
      <c r="AJ65" s="565"/>
      <c r="AK65" s="565"/>
      <c r="AL65" s="565"/>
      <c r="AM65" s="565">
        <f>$G65*IF(ISNA(VLOOKUP($B65&amp;"; "&amp;$H$47,'FE Déchets'!$G:$U,13,FALSE)),0,VLOOKUP($B65&amp;"; "&amp;$H$47,'FE Déchets'!$G:$U,13,FALSE))</f>
        <v>0</v>
      </c>
      <c r="AN65" s="565"/>
      <c r="AO65" s="565"/>
      <c r="AP65" s="565"/>
      <c r="AQ65" s="565">
        <f>$G65*IF(ISNA(VLOOKUP($B65&amp;"; "&amp;$H$47,'FE Déchets'!$G:$U,14,FALSE)),0,VLOOKUP($B65&amp;"; "&amp;$H$47,'FE Déchets'!$G:$U,14,FALSE))</f>
        <v>0</v>
      </c>
      <c r="AR65" s="565"/>
      <c r="AS65" s="565"/>
      <c r="AT65" s="565"/>
      <c r="AU65" s="566">
        <f t="shared" si="14"/>
        <v>0</v>
      </c>
      <c r="AV65" s="566"/>
      <c r="AW65" s="566"/>
      <c r="AX65" s="566"/>
      <c r="AY65" s="564">
        <f>$G65*IF(ISNA(VLOOKUP($B65&amp;"; "&amp;$H$47,'FE Déchets'!$G:$U,15,FALSE)),0,VLOOKUP($B65&amp;"; "&amp;$H$47,'FE Déchets'!$G:$U,15,FALSE))</f>
        <v>0</v>
      </c>
      <c r="AZ65" s="565"/>
      <c r="BA65" s="565"/>
      <c r="BB65" s="568"/>
      <c r="BD65" s="2492">
        <f>IF($R65&lt;&gt;"votre valeur :",IF(ISNA(VLOOKUP($R65,Utilitaires!$N$566:$O$571,2,FALSE)),,VLOOKUP($R65,Utilitaires!$N$566:$O$571,2,FALSE)),$S65)</f>
        <v>0</v>
      </c>
      <c r="BE65" s="1130">
        <f>IF(ISNA(SQRT(SUMSQ(VLOOKUP($B65&amp;"; "&amp;$H$47,'FE Déchets'!$G:$U,7,FALSE),$BD65))),0,SQRT(SUMSQ(VLOOKUP($B65&amp;"; "&amp;$H$47,'FE Déchets'!$G:$U,7,FALSE),$BD65)))</f>
        <v>0.2</v>
      </c>
      <c r="BF65" s="2128"/>
      <c r="BG65" s="2128"/>
      <c r="BH65" s="264"/>
    </row>
    <row r="66" spans="2:60" s="114" customFormat="1" ht="12.75" customHeight="1" outlineLevel="2">
      <c r="B66" s="389"/>
      <c r="C66" s="341"/>
      <c r="D66" s="212"/>
      <c r="E66" s="212"/>
      <c r="F66" s="212"/>
      <c r="G66" s="212"/>
      <c r="H66" s="219"/>
      <c r="I66" s="219"/>
      <c r="J66" s="219"/>
      <c r="K66" s="151"/>
      <c r="L66" s="151"/>
      <c r="M66" s="151"/>
      <c r="N66" s="151"/>
      <c r="O66" s="152"/>
      <c r="V66" s="226"/>
      <c r="W66" s="820"/>
      <c r="X66" s="820"/>
      <c r="Y66" s="164"/>
      <c r="Z66" s="164"/>
      <c r="AA66" s="164"/>
      <c r="AB66" s="164"/>
      <c r="AC66" s="152"/>
      <c r="AE66" s="564"/>
      <c r="AF66" s="565"/>
      <c r="AG66" s="565"/>
      <c r="AH66" s="565"/>
      <c r="AI66" s="565"/>
      <c r="AJ66" s="565"/>
      <c r="AK66" s="565"/>
      <c r="AL66" s="565"/>
      <c r="AM66" s="565"/>
      <c r="AN66" s="565"/>
      <c r="AO66" s="565"/>
      <c r="AP66" s="565"/>
      <c r="AQ66" s="565"/>
      <c r="AR66" s="565"/>
      <c r="AS66" s="565"/>
      <c r="AT66" s="565"/>
      <c r="AU66" s="566"/>
      <c r="AV66" s="566"/>
      <c r="AW66" s="566"/>
      <c r="AX66" s="566"/>
      <c r="AY66" s="564"/>
      <c r="AZ66" s="565"/>
      <c r="BA66" s="565"/>
      <c r="BB66" s="568"/>
      <c r="BD66" s="2492"/>
      <c r="BE66" s="1130"/>
      <c r="BF66" s="2128"/>
      <c r="BG66" s="2128"/>
      <c r="BH66" s="264"/>
    </row>
    <row r="67" spans="2:60" s="114" customFormat="1" ht="12.75" customHeight="1" outlineLevel="2">
      <c r="B67" s="2386" t="s">
        <v>297</v>
      </c>
      <c r="C67" s="341"/>
      <c r="D67" s="212"/>
      <c r="E67" s="212"/>
      <c r="F67" s="212"/>
      <c r="G67" s="212"/>
      <c r="H67" s="219"/>
      <c r="I67" s="219"/>
      <c r="J67" s="219"/>
      <c r="K67" s="151"/>
      <c r="L67" s="151"/>
      <c r="M67" s="151"/>
      <c r="N67" s="151"/>
      <c r="O67" s="152"/>
      <c r="V67" s="226"/>
      <c r="W67" s="820"/>
      <c r="X67" s="820"/>
      <c r="Y67" s="164"/>
      <c r="Z67" s="164"/>
      <c r="AA67" s="164"/>
      <c r="AB67" s="164"/>
      <c r="AC67" s="152"/>
      <c r="AE67" s="564"/>
      <c r="AF67" s="565"/>
      <c r="AG67" s="565"/>
      <c r="AH67" s="565"/>
      <c r="AI67" s="565"/>
      <c r="AJ67" s="565"/>
      <c r="AK67" s="565"/>
      <c r="AL67" s="565"/>
      <c r="AM67" s="565"/>
      <c r="AN67" s="565"/>
      <c r="AO67" s="565"/>
      <c r="AP67" s="565"/>
      <c r="AQ67" s="565"/>
      <c r="AR67" s="565"/>
      <c r="AS67" s="565"/>
      <c r="AT67" s="565"/>
      <c r="AU67" s="566"/>
      <c r="AV67" s="566"/>
      <c r="AW67" s="566"/>
      <c r="AX67" s="566"/>
      <c r="AY67" s="564"/>
      <c r="AZ67" s="565"/>
      <c r="BA67" s="565"/>
      <c r="BB67" s="568"/>
      <c r="BD67" s="2492"/>
      <c r="BE67" s="1130"/>
      <c r="BF67" s="2128"/>
      <c r="BG67" s="2128"/>
      <c r="BH67" s="264"/>
    </row>
    <row r="68" spans="2:60" s="114" customFormat="1" ht="12.75" customHeight="1" outlineLevel="2">
      <c r="B68" s="389" t="s">
        <v>4967</v>
      </c>
      <c r="C68" s="341"/>
      <c r="D68" s="212">
        <f>O68</f>
        <v>3567</v>
      </c>
      <c r="E68" s="212"/>
      <c r="F68" s="847" t="s">
        <v>768</v>
      </c>
      <c r="G68" s="391">
        <v>87</v>
      </c>
      <c r="H68" s="219"/>
      <c r="I68" s="219">
        <f>IF(ISNA(VLOOKUP($B68&amp;"; "&amp;H$47,'FE Déchets'!$G:$U,9,FALSE)),0,VLOOKUP($B68&amp;"; "&amp;H$47,'FE Déchets'!$G:$U,9,FALSE))</f>
        <v>41</v>
      </c>
      <c r="J68" s="219"/>
      <c r="K68" s="151"/>
      <c r="L68" s="151"/>
      <c r="M68" s="151"/>
      <c r="N68" s="151"/>
      <c r="O68" s="152">
        <f t="shared" si="5"/>
        <v>3567</v>
      </c>
      <c r="V68" s="226">
        <f>IF(AC68=0,AC68,AC68/O68)</f>
        <v>0.20000000000000004</v>
      </c>
      <c r="W68" s="1094"/>
      <c r="X68" s="820"/>
      <c r="Y68" s="164"/>
      <c r="Z68" s="164"/>
      <c r="AA68" s="164"/>
      <c r="AB68" s="164"/>
      <c r="AC68" s="152">
        <f t="shared" si="7"/>
        <v>713.40000000000009</v>
      </c>
      <c r="AE68" s="564">
        <f>$G68*IF(ISNA(VLOOKUP($B68&amp;"; "&amp;$H$47,'FE Déchets'!$G:$U,10,FALSE)),0,VLOOKUP($B68&amp;"; "&amp;$H$47,'FE Déchets'!$G:$U,10,FALSE))</f>
        <v>3567</v>
      </c>
      <c r="AF68" s="565"/>
      <c r="AG68" s="565"/>
      <c r="AH68" s="565"/>
      <c r="AI68" s="565">
        <f>$G68*IF(ISNA(VLOOKUP($B68&amp;"; "&amp;$H$47,'FE Déchets'!$G:$U,11,FALSE)+VLOOKUP($B68&amp;"; "&amp;$H$47,'FE Déchets'!$G:$U,12,FALSE)),0,
VLOOKUP($B68&amp;"; "&amp;$H$47,'FE Déchets'!$G:$U,11,FALSE)+VLOOKUP($B68&amp;"; "&amp;$H$47,'FE Déchets'!$G:$U,12,FALSE))</f>
        <v>0</v>
      </c>
      <c r="AJ68" s="565"/>
      <c r="AK68" s="565"/>
      <c r="AL68" s="565"/>
      <c r="AM68" s="565">
        <f>$G68*IF(ISNA(VLOOKUP($B68&amp;"; "&amp;$H$47,'FE Déchets'!$G:$U,13,FALSE)),0,VLOOKUP($B68&amp;"; "&amp;$H$47,'FE Déchets'!$G:$U,13,FALSE))</f>
        <v>0</v>
      </c>
      <c r="AN68" s="565"/>
      <c r="AO68" s="565"/>
      <c r="AP68" s="565"/>
      <c r="AQ68" s="565">
        <f>$G68*IF(ISNA(VLOOKUP($B68&amp;"; "&amp;$H$47,'FE Déchets'!$G:$U,14,FALSE)),0,VLOOKUP($B68&amp;"; "&amp;$H$47,'FE Déchets'!$G:$U,14,FALSE))</f>
        <v>0</v>
      </c>
      <c r="AR68" s="565"/>
      <c r="AS68" s="565"/>
      <c r="AT68" s="565"/>
      <c r="AU68" s="566">
        <f t="shared" ref="AU68:AU71" si="20">SUM(AE68,AI68,AM68,AQ68)</f>
        <v>3567</v>
      </c>
      <c r="AV68" s="566"/>
      <c r="AW68" s="566"/>
      <c r="AX68" s="566"/>
      <c r="AY68" s="564">
        <f>$G68*IF(ISNA(VLOOKUP($B68&amp;"; "&amp;$H$47,'FE Déchets'!$G:$U,15,FALSE)),0,VLOOKUP($B68&amp;"; "&amp;$H$47,'FE Déchets'!$G:$U,15,FALSE))</f>
        <v>0</v>
      </c>
      <c r="AZ68" s="565"/>
      <c r="BA68" s="565"/>
      <c r="BB68" s="568"/>
      <c r="BD68" s="2492">
        <f>IF($R68&lt;&gt;"votre valeur :",IF(ISNA(VLOOKUP($R68,Utilitaires!$N$566:$O$571,2,FALSE)),,VLOOKUP($R68,Utilitaires!$N$566:$O$571,2,FALSE)),$S68)</f>
        <v>0</v>
      </c>
      <c r="BE68" s="1130">
        <f>IF(ISNA(SQRT(SUMSQ(VLOOKUP($B68&amp;"; "&amp;$H$47,'FE Déchets'!$G:$U,7,FALSE),$BD68))),0,SQRT(SUMSQ(VLOOKUP($B68&amp;"; "&amp;$H$47,'FE Déchets'!$G:$U,7,FALSE),$BD68)))</f>
        <v>0.2</v>
      </c>
      <c r="BF68" s="2128"/>
      <c r="BG68" s="2128"/>
      <c r="BH68" s="264"/>
    </row>
    <row r="69" spans="2:60" s="114" customFormat="1" ht="12.75" customHeight="1" outlineLevel="2">
      <c r="B69" s="389" t="s">
        <v>4965</v>
      </c>
      <c r="C69" s="341"/>
      <c r="D69" s="212">
        <f t="shared" ref="D69:D71" si="21">O69</f>
        <v>0</v>
      </c>
      <c r="E69" s="212"/>
      <c r="F69" s="2176"/>
      <c r="G69" s="2176"/>
      <c r="H69" s="219"/>
      <c r="I69" s="219">
        <f>IF(ISNA(VLOOKUP($B69&amp;"; "&amp;H$47,'FE Déchets'!$G:$U,9,FALSE)),0,VLOOKUP($B69&amp;"; "&amp;H$47,'FE Déchets'!$G:$U,9,FALSE))</f>
        <v>130</v>
      </c>
      <c r="J69" s="219"/>
      <c r="K69" s="151"/>
      <c r="L69" s="151"/>
      <c r="M69" s="151"/>
      <c r="N69" s="151"/>
      <c r="O69" s="152">
        <f t="shared" si="5"/>
        <v>0</v>
      </c>
      <c r="V69" s="226">
        <f t="shared" ref="V69:V71" si="22">IF(AC69=0,AC69,AC69/O69)</f>
        <v>0</v>
      </c>
      <c r="W69" s="1094"/>
      <c r="X69" s="820"/>
      <c r="Y69" s="164"/>
      <c r="Z69" s="164"/>
      <c r="AA69" s="164"/>
      <c r="AB69" s="164"/>
      <c r="AC69" s="152">
        <f t="shared" si="7"/>
        <v>0</v>
      </c>
      <c r="AE69" s="564">
        <f>$G69*IF(ISNA(VLOOKUP($B69&amp;"; "&amp;$H$47,'FE Déchets'!$G:$U,10,FALSE)),0,VLOOKUP($B69&amp;"; "&amp;$H$47,'FE Déchets'!$G:$U,10,FALSE))</f>
        <v>0</v>
      </c>
      <c r="AF69" s="565"/>
      <c r="AG69" s="565"/>
      <c r="AH69" s="565"/>
      <c r="AI69" s="565">
        <f>$G69*IF(ISNA(VLOOKUP($B69&amp;"; "&amp;$H$47,'FE Déchets'!$G:$U,11,FALSE)+VLOOKUP($B69&amp;"; "&amp;$H$47,'FE Déchets'!$G:$U,12,FALSE)),0,
VLOOKUP($B69&amp;"; "&amp;$H$47,'FE Déchets'!$G:$U,11,FALSE)+VLOOKUP($B69&amp;"; "&amp;$H$47,'FE Déchets'!$G:$U,12,FALSE))</f>
        <v>0</v>
      </c>
      <c r="AJ69" s="565"/>
      <c r="AK69" s="565"/>
      <c r="AL69" s="565"/>
      <c r="AM69" s="565">
        <f>$G69*IF(ISNA(VLOOKUP($B69&amp;"; "&amp;$H$47,'FE Déchets'!$G:$U,13,FALSE)),0,VLOOKUP($B69&amp;"; "&amp;$H$47,'FE Déchets'!$G:$U,13,FALSE))</f>
        <v>0</v>
      </c>
      <c r="AN69" s="565"/>
      <c r="AO69" s="565"/>
      <c r="AP69" s="565"/>
      <c r="AQ69" s="565">
        <f>$G69*IF(ISNA(VLOOKUP($B69&amp;"; "&amp;$H$47,'FE Déchets'!$G:$U,14,FALSE)),0,VLOOKUP($B69&amp;"; "&amp;$H$47,'FE Déchets'!$G:$U,14,FALSE))</f>
        <v>0</v>
      </c>
      <c r="AR69" s="565"/>
      <c r="AS69" s="565"/>
      <c r="AT69" s="565"/>
      <c r="AU69" s="566">
        <f t="shared" si="20"/>
        <v>0</v>
      </c>
      <c r="AV69" s="566"/>
      <c r="AW69" s="566"/>
      <c r="AX69" s="566"/>
      <c r="AY69" s="564">
        <f>$G69*IF(ISNA(VLOOKUP($B69&amp;"; "&amp;$H$47,'FE Déchets'!$G:$U,15,FALSE)),0,VLOOKUP($B69&amp;"; "&amp;$H$47,'FE Déchets'!$G:$U,15,FALSE))</f>
        <v>0</v>
      </c>
      <c r="AZ69" s="565"/>
      <c r="BA69" s="565"/>
      <c r="BB69" s="568"/>
      <c r="BD69" s="2492">
        <f>IF($R69&lt;&gt;"votre valeur :",IF(ISNA(VLOOKUP($R69,Utilitaires!$N$566:$O$571,2,FALSE)),,VLOOKUP($R69,Utilitaires!$N$566:$O$571,2,FALSE)),$S69)</f>
        <v>0</v>
      </c>
      <c r="BE69" s="1130">
        <f>IF(ISNA(SQRT(SUMSQ(VLOOKUP($B69&amp;"; "&amp;$H$47,'FE Déchets'!$G:$U,7,FALSE),$BD69))),0,SQRT(SUMSQ(VLOOKUP($B69&amp;"; "&amp;$H$47,'FE Déchets'!$G:$U,7,FALSE),$BD69)))</f>
        <v>0.2</v>
      </c>
      <c r="BF69" s="2128"/>
      <c r="BG69" s="2128"/>
      <c r="BH69" s="264"/>
    </row>
    <row r="70" spans="2:60" s="114" customFormat="1" ht="12.75" customHeight="1" outlineLevel="2">
      <c r="B70" s="389" t="s">
        <v>4966</v>
      </c>
      <c r="C70" s="341"/>
      <c r="D70" s="212">
        <f t="shared" si="21"/>
        <v>0</v>
      </c>
      <c r="E70" s="212"/>
      <c r="F70" s="848"/>
      <c r="G70" s="848"/>
      <c r="H70" s="219"/>
      <c r="I70" s="219">
        <f>IF(ISNA(VLOOKUP($B70&amp;"; "&amp;H$47,'FE Déchets'!$G:$U,9,FALSE)),0,VLOOKUP($B70&amp;"; "&amp;H$47,'FE Déchets'!$G:$U,9,FALSE))</f>
        <v>639</v>
      </c>
      <c r="J70" s="219"/>
      <c r="K70" s="151"/>
      <c r="L70" s="151"/>
      <c r="M70" s="151"/>
      <c r="N70" s="151"/>
      <c r="O70" s="152">
        <f t="shared" si="5"/>
        <v>0</v>
      </c>
      <c r="V70" s="226">
        <f t="shared" si="22"/>
        <v>0</v>
      </c>
      <c r="W70" s="1094"/>
      <c r="X70" s="820"/>
      <c r="Y70" s="164"/>
      <c r="Z70" s="164"/>
      <c r="AA70" s="164"/>
      <c r="AB70" s="164"/>
      <c r="AC70" s="152">
        <f t="shared" si="7"/>
        <v>0</v>
      </c>
      <c r="AE70" s="564">
        <f>$G70*IF(ISNA(VLOOKUP($B70&amp;"; "&amp;$H$47,'FE Déchets'!$G:$U,10,FALSE)),0,VLOOKUP($B70&amp;"; "&amp;$H$47,'FE Déchets'!$G:$U,10,FALSE))</f>
        <v>0</v>
      </c>
      <c r="AF70" s="565"/>
      <c r="AG70" s="565"/>
      <c r="AH70" s="565"/>
      <c r="AI70" s="565">
        <f>$G70*IF(ISNA(VLOOKUP($B70&amp;"; "&amp;$H$47,'FE Déchets'!$G:$U,11,FALSE)+VLOOKUP($B70&amp;"; "&amp;$H$47,'FE Déchets'!$G:$U,12,FALSE)),0,
VLOOKUP($B70&amp;"; "&amp;$H$47,'FE Déchets'!$G:$U,11,FALSE)+VLOOKUP($B70&amp;"; "&amp;$H$47,'FE Déchets'!$G:$U,12,FALSE))</f>
        <v>0</v>
      </c>
      <c r="AJ70" s="565"/>
      <c r="AK70" s="565"/>
      <c r="AL70" s="565"/>
      <c r="AM70" s="565">
        <f>$G70*IF(ISNA(VLOOKUP($B70&amp;"; "&amp;$H$47,'FE Déchets'!$G:$U,13,FALSE)),0,VLOOKUP($B70&amp;"; "&amp;$H$47,'FE Déchets'!$G:$U,13,FALSE))</f>
        <v>0</v>
      </c>
      <c r="AN70" s="565"/>
      <c r="AO70" s="565"/>
      <c r="AP70" s="565"/>
      <c r="AQ70" s="565">
        <f>$G70*IF(ISNA(VLOOKUP($B70&amp;"; "&amp;$H$47,'FE Déchets'!$G:$U,14,FALSE)),0,VLOOKUP($B70&amp;"; "&amp;$H$47,'FE Déchets'!$G:$U,14,FALSE))</f>
        <v>0</v>
      </c>
      <c r="AR70" s="565"/>
      <c r="AS70" s="565"/>
      <c r="AT70" s="565"/>
      <c r="AU70" s="566">
        <f t="shared" si="20"/>
        <v>0</v>
      </c>
      <c r="AV70" s="566"/>
      <c r="AW70" s="566"/>
      <c r="AX70" s="566"/>
      <c r="AY70" s="564">
        <f>$G70*IF(ISNA(VLOOKUP($B70&amp;"; "&amp;$H$47,'FE Déchets'!$G:$U,15,FALSE)),0,VLOOKUP($B70&amp;"; "&amp;$H$47,'FE Déchets'!$G:$U,15,FALSE))</f>
        <v>0</v>
      </c>
      <c r="AZ70" s="565"/>
      <c r="BA70" s="565"/>
      <c r="BB70" s="568"/>
      <c r="BD70" s="2492">
        <f>IF($R70&lt;&gt;"votre valeur :",IF(ISNA(VLOOKUP($R70,Utilitaires!$N$566:$O$571,2,FALSE)),,VLOOKUP($R70,Utilitaires!$N$566:$O$571,2,FALSE)),$S70)</f>
        <v>0</v>
      </c>
      <c r="BE70" s="1130">
        <f>IF(ISNA(SQRT(SUMSQ(VLOOKUP($B70&amp;"; "&amp;$H$47,'FE Déchets'!$G:$U,7,FALSE),$BD70))),0,SQRT(SUMSQ(VLOOKUP($B70&amp;"; "&amp;$H$47,'FE Déchets'!$G:$U,7,FALSE),$BD70)))</f>
        <v>0.2</v>
      </c>
      <c r="BF70" s="2128"/>
      <c r="BG70" s="2128"/>
      <c r="BH70" s="264"/>
    </row>
    <row r="71" spans="2:60" s="114" customFormat="1" ht="12.75" customHeight="1" outlineLevel="2">
      <c r="B71" s="389" t="s">
        <v>4967</v>
      </c>
      <c r="C71" s="341"/>
      <c r="D71" s="212">
        <f t="shared" si="21"/>
        <v>0</v>
      </c>
      <c r="E71" s="212"/>
      <c r="F71" s="849"/>
      <c r="G71" s="2596"/>
      <c r="H71" s="219"/>
      <c r="I71" s="219">
        <f>IF(ISNA(VLOOKUP($B71&amp;"; "&amp;H$47,'FE Déchets'!$G:$U,9,FALSE)),0,VLOOKUP($B71&amp;"; "&amp;H$47,'FE Déchets'!$G:$U,9,FALSE))</f>
        <v>41</v>
      </c>
      <c r="J71" s="219"/>
      <c r="K71" s="151"/>
      <c r="L71" s="151"/>
      <c r="M71" s="151"/>
      <c r="N71" s="151"/>
      <c r="O71" s="152">
        <f t="shared" si="5"/>
        <v>0</v>
      </c>
      <c r="V71" s="226">
        <f t="shared" si="22"/>
        <v>0</v>
      </c>
      <c r="W71" s="1094"/>
      <c r="X71" s="820"/>
      <c r="Y71" s="164"/>
      <c r="Z71" s="164"/>
      <c r="AA71" s="164"/>
      <c r="AB71" s="164"/>
      <c r="AC71" s="152">
        <f t="shared" si="7"/>
        <v>0</v>
      </c>
      <c r="AD71" s="113"/>
      <c r="AE71" s="564">
        <f>$G71*IF(ISNA(VLOOKUP($B71&amp;"; "&amp;$H$47,'FE Déchets'!$G:$U,10,FALSE)),0,VLOOKUP($B71&amp;"; "&amp;$H$47,'FE Déchets'!$G:$U,10,FALSE))</f>
        <v>0</v>
      </c>
      <c r="AF71" s="565"/>
      <c r="AG71" s="565"/>
      <c r="AH71" s="565"/>
      <c r="AI71" s="565">
        <f>$G71*IF(ISNA(VLOOKUP($B71&amp;"; "&amp;$H$47,'FE Déchets'!$G:$U,11,FALSE)+VLOOKUP($B71&amp;"; "&amp;$H$47,'FE Déchets'!$G:$U,12,FALSE)),0,
VLOOKUP($B71&amp;"; "&amp;$H$47,'FE Déchets'!$G:$U,11,FALSE)+VLOOKUP($B71&amp;"; "&amp;$H$47,'FE Déchets'!$G:$U,12,FALSE))</f>
        <v>0</v>
      </c>
      <c r="AJ71" s="565"/>
      <c r="AK71" s="565"/>
      <c r="AL71" s="565"/>
      <c r="AM71" s="565">
        <f>$G71*IF(ISNA(VLOOKUP($B71&amp;"; "&amp;$H$47,'FE Déchets'!$G:$U,13,FALSE)),0,VLOOKUP($B71&amp;"; "&amp;$H$47,'FE Déchets'!$G:$U,13,FALSE))</f>
        <v>0</v>
      </c>
      <c r="AN71" s="565"/>
      <c r="AO71" s="565"/>
      <c r="AP71" s="565"/>
      <c r="AQ71" s="565">
        <f>$G71*IF(ISNA(VLOOKUP($B71&amp;"; "&amp;$H$47,'FE Déchets'!$G:$U,14,FALSE)),0,VLOOKUP($B71&amp;"; "&amp;$H$47,'FE Déchets'!$G:$U,14,FALSE))</f>
        <v>0</v>
      </c>
      <c r="AR71" s="565"/>
      <c r="AS71" s="565"/>
      <c r="AT71" s="565"/>
      <c r="AU71" s="566">
        <f t="shared" si="20"/>
        <v>0</v>
      </c>
      <c r="AV71" s="566"/>
      <c r="AW71" s="566"/>
      <c r="AX71" s="566"/>
      <c r="AY71" s="564">
        <f>$G71*IF(ISNA(VLOOKUP($B71&amp;"; "&amp;$H$47,'FE Déchets'!$G:$U,15,FALSE)),0,VLOOKUP($B71&amp;"; "&amp;$H$47,'FE Déchets'!$G:$U,15,FALSE))</f>
        <v>0</v>
      </c>
      <c r="AZ71" s="565"/>
      <c r="BA71" s="565"/>
      <c r="BB71" s="568"/>
      <c r="BD71" s="2492">
        <f>IF($R71&lt;&gt;"votre valeur :",IF(ISNA(VLOOKUP($R71,Utilitaires!$N$566:$O$571,2,FALSE)),,VLOOKUP($R71,Utilitaires!$N$566:$O$571,2,FALSE)),$S71)</f>
        <v>0</v>
      </c>
      <c r="BE71" s="1130">
        <f>IF(ISNA(SQRT(SUMSQ(VLOOKUP($B71&amp;"; "&amp;$H$47,'FE Déchets'!$G:$U,7,FALSE),$BD71))),0,SQRT(SUMSQ(VLOOKUP($B71&amp;"; "&amp;$H$47,'FE Déchets'!$G:$U,7,FALSE),$BD71)))</f>
        <v>0.2</v>
      </c>
      <c r="BF71" s="2128"/>
      <c r="BG71" s="2128"/>
      <c r="BH71" s="264"/>
    </row>
    <row r="72" spans="2:60" s="114" customFormat="1" ht="12.75" customHeight="1" outlineLevel="2">
      <c r="B72" s="389"/>
      <c r="C72" s="341"/>
      <c r="D72" s="212"/>
      <c r="E72" s="212"/>
      <c r="F72" s="212"/>
      <c r="G72" s="212"/>
      <c r="H72" s="219"/>
      <c r="I72" s="219"/>
      <c r="J72" s="219"/>
      <c r="K72" s="151"/>
      <c r="L72" s="151"/>
      <c r="M72" s="151"/>
      <c r="N72" s="151"/>
      <c r="O72" s="152"/>
      <c r="V72" s="226"/>
      <c r="W72" s="820"/>
      <c r="X72" s="820"/>
      <c r="Y72" s="164"/>
      <c r="Z72" s="164"/>
      <c r="AA72" s="164"/>
      <c r="AB72" s="164"/>
      <c r="AC72" s="152"/>
      <c r="AE72" s="564"/>
      <c r="AF72" s="565"/>
      <c r="AG72" s="565"/>
      <c r="AH72" s="565"/>
      <c r="AI72" s="565"/>
      <c r="AJ72" s="565"/>
      <c r="AK72" s="565"/>
      <c r="AL72" s="565"/>
      <c r="AM72" s="565"/>
      <c r="AN72" s="565"/>
      <c r="AO72" s="565"/>
      <c r="AP72" s="565"/>
      <c r="AQ72" s="565"/>
      <c r="AR72" s="565"/>
      <c r="AS72" s="565"/>
      <c r="AT72" s="565"/>
      <c r="AU72" s="566"/>
      <c r="AV72" s="566"/>
      <c r="AW72" s="566"/>
      <c r="AX72" s="566"/>
      <c r="AY72" s="564"/>
      <c r="AZ72" s="565"/>
      <c r="BA72" s="565"/>
      <c r="BB72" s="568"/>
      <c r="BD72" s="2492"/>
      <c r="BE72" s="1130"/>
      <c r="BF72" s="2128"/>
      <c r="BG72" s="2128"/>
      <c r="BH72" s="264"/>
    </row>
    <row r="73" spans="2:60" s="114" customFormat="1" ht="12.75" customHeight="1" outlineLevel="2">
      <c r="B73" s="2386" t="s">
        <v>207</v>
      </c>
      <c r="C73" s="341"/>
      <c r="D73" s="212"/>
      <c r="E73" s="212"/>
      <c r="F73" s="212"/>
      <c r="G73" s="212"/>
      <c r="H73" s="219"/>
      <c r="I73" s="219"/>
      <c r="J73" s="219"/>
      <c r="K73" s="151"/>
      <c r="L73" s="151"/>
      <c r="M73" s="151"/>
      <c r="N73" s="151"/>
      <c r="O73" s="152"/>
      <c r="V73" s="226"/>
      <c r="W73" s="820"/>
      <c r="X73" s="820"/>
      <c r="Y73" s="164"/>
      <c r="Z73" s="164"/>
      <c r="AA73" s="164"/>
      <c r="AB73" s="164"/>
      <c r="AC73" s="152"/>
      <c r="AE73" s="564"/>
      <c r="AF73" s="565"/>
      <c r="AG73" s="565"/>
      <c r="AH73" s="565"/>
      <c r="AI73" s="565"/>
      <c r="AJ73" s="565"/>
      <c r="AK73" s="565"/>
      <c r="AL73" s="565"/>
      <c r="AM73" s="565"/>
      <c r="AN73" s="565"/>
      <c r="AO73" s="565"/>
      <c r="AP73" s="565"/>
      <c r="AQ73" s="565"/>
      <c r="AR73" s="565"/>
      <c r="AS73" s="565"/>
      <c r="AT73" s="565"/>
      <c r="AU73" s="566"/>
      <c r="AV73" s="566"/>
      <c r="AW73" s="566"/>
      <c r="AX73" s="566"/>
      <c r="AY73" s="564"/>
      <c r="AZ73" s="565"/>
      <c r="BA73" s="565"/>
      <c r="BB73" s="568"/>
      <c r="BD73" s="2492"/>
      <c r="BE73" s="1130"/>
      <c r="BF73" s="2128"/>
      <c r="BG73" s="2128"/>
      <c r="BH73" s="264"/>
    </row>
    <row r="74" spans="2:60" s="114" customFormat="1" ht="12.75" customHeight="1" outlineLevel="2">
      <c r="B74" s="389" t="s">
        <v>5225</v>
      </c>
      <c r="C74" s="341"/>
      <c r="D74" s="212">
        <f>O74</f>
        <v>885696</v>
      </c>
      <c r="E74" s="212"/>
      <c r="F74" s="847" t="s">
        <v>768</v>
      </c>
      <c r="G74" s="391">
        <v>192</v>
      </c>
      <c r="H74" s="219"/>
      <c r="I74" s="219">
        <f>IF(ISNA(VLOOKUP($B74&amp;"; "&amp;H$47,'FE Déchets'!$G:$U,9,FALSE)),0,VLOOKUP($B74&amp;"; "&amp;H$47,'FE Déchets'!$G:$U,9,FALSE))</f>
        <v>4613</v>
      </c>
      <c r="J74" s="219"/>
      <c r="K74" s="151"/>
      <c r="L74" s="151"/>
      <c r="M74" s="151"/>
      <c r="N74" s="151"/>
      <c r="O74" s="152">
        <f t="shared" si="5"/>
        <v>885696</v>
      </c>
      <c r="V74" s="226">
        <f>IF(AC74=0,AC74,AC74/O74)</f>
        <v>0.2</v>
      </c>
      <c r="W74" s="1094"/>
      <c r="X74" s="820"/>
      <c r="Y74" s="164"/>
      <c r="Z74" s="164"/>
      <c r="AA74" s="164"/>
      <c r="AB74" s="164"/>
      <c r="AC74" s="152">
        <f t="shared" si="7"/>
        <v>177139.20000000001</v>
      </c>
      <c r="AE74" s="564">
        <f>$G74*IF(ISNA(VLOOKUP($B74&amp;"; "&amp;$H$47,'FE Déchets'!$G:$U,10,FALSE)),0,VLOOKUP($B74&amp;"; "&amp;$H$47,'FE Déchets'!$G:$U,10,FALSE))</f>
        <v>885696</v>
      </c>
      <c r="AF74" s="565"/>
      <c r="AG74" s="565"/>
      <c r="AH74" s="565"/>
      <c r="AI74" s="565">
        <f>$G74*IF(ISNA(VLOOKUP($B74&amp;"; "&amp;$H$47,'FE Déchets'!$G:$U,11,FALSE)+VLOOKUP($B74&amp;"; "&amp;$H$47,'FE Déchets'!$G:$U,12,FALSE)),0,
VLOOKUP($B74&amp;"; "&amp;$H$47,'FE Déchets'!$G:$U,11,FALSE)+VLOOKUP($B74&amp;"; "&amp;$H$47,'FE Déchets'!$G:$U,12,FALSE))</f>
        <v>0</v>
      </c>
      <c r="AJ74" s="565"/>
      <c r="AK74" s="565"/>
      <c r="AL74" s="565"/>
      <c r="AM74" s="565">
        <f>$G74*IF(ISNA(VLOOKUP($B74&amp;"; "&amp;$H$47,'FE Déchets'!$G:$U,13,FALSE)),0,VLOOKUP($B74&amp;"; "&amp;$H$47,'FE Déchets'!$G:$U,13,FALSE))</f>
        <v>0</v>
      </c>
      <c r="AN74" s="565"/>
      <c r="AO74" s="565"/>
      <c r="AP74" s="565"/>
      <c r="AQ74" s="565">
        <f>$G74*IF(ISNA(VLOOKUP($B74&amp;"; "&amp;$H$47,'FE Déchets'!$G:$U,14,FALSE)),0,VLOOKUP($B74&amp;"; "&amp;$H$47,'FE Déchets'!$G:$U,14,FALSE))</f>
        <v>0</v>
      </c>
      <c r="AR74" s="565"/>
      <c r="AS74" s="565"/>
      <c r="AT74" s="565"/>
      <c r="AU74" s="566">
        <f t="shared" ref="AU74:AU78" si="23">SUM(AE74,AI74,AM74,AQ74)</f>
        <v>885696</v>
      </c>
      <c r="AV74" s="566"/>
      <c r="AW74" s="566"/>
      <c r="AX74" s="566"/>
      <c r="AY74" s="564">
        <f>$G74*IF(ISNA(VLOOKUP($B74&amp;"; "&amp;$H$47,'FE Déchets'!$G:$U,15,FALSE)),0,VLOOKUP($B74&amp;"; "&amp;$H$47,'FE Déchets'!$G:$U,15,FALSE))</f>
        <v>0</v>
      </c>
      <c r="AZ74" s="565"/>
      <c r="BA74" s="565"/>
      <c r="BB74" s="568"/>
      <c r="BD74" s="2151">
        <f>IF($R74&lt;&gt;"votre valeur :",IF(ISNA(VLOOKUP($R74,Utilitaires!$N$566:$O$571,2,FALSE)),,VLOOKUP($R74,Utilitaires!$N$566:$O$571,2,FALSE)),$S74)</f>
        <v>0</v>
      </c>
      <c r="BE74" s="1130">
        <f>IF(ISNA(SQRT(SUMSQ(VLOOKUP($B74&amp;"; "&amp;$H$47,'FE Déchets'!$G:$U,7,FALSE),$BD74))),0,SQRT(SUMSQ(VLOOKUP($B74&amp;"; "&amp;$H$47,'FE Déchets'!$G:$U,7,FALSE),$BD74)))</f>
        <v>0.2</v>
      </c>
      <c r="BF74" s="2128"/>
      <c r="BG74" s="2128"/>
      <c r="BH74" s="264"/>
    </row>
    <row r="75" spans="2:60" s="114" customFormat="1" ht="12.75" customHeight="1" outlineLevel="2">
      <c r="B75" s="389" t="s">
        <v>5113</v>
      </c>
      <c r="C75" s="341"/>
      <c r="D75" s="212">
        <f t="shared" ref="D75:D78" si="24">O75</f>
        <v>0</v>
      </c>
      <c r="E75" s="212"/>
      <c r="F75" s="2176"/>
      <c r="G75" s="2176"/>
      <c r="H75" s="219"/>
      <c r="I75" s="219">
        <f>IF(ISNA(VLOOKUP($B75&amp;"; "&amp;H$47,'FE Déchets'!$G:$U,9,FALSE)),0,VLOOKUP($B75&amp;"; "&amp;H$47,'FE Déchets'!$G:$U,9,FALSE))</f>
        <v>122</v>
      </c>
      <c r="J75" s="219"/>
      <c r="K75" s="151"/>
      <c r="L75" s="151"/>
      <c r="M75" s="151"/>
      <c r="N75" s="151"/>
      <c r="O75" s="152">
        <f t="shared" si="5"/>
        <v>0</v>
      </c>
      <c r="V75" s="226">
        <f t="shared" ref="V75:V78" si="25">IF(AC75=0,AC75,AC75/O75)</f>
        <v>0</v>
      </c>
      <c r="W75" s="1094"/>
      <c r="X75" s="820"/>
      <c r="Y75" s="164"/>
      <c r="Z75" s="164"/>
      <c r="AA75" s="164"/>
      <c r="AB75" s="164"/>
      <c r="AC75" s="152">
        <f t="shared" si="7"/>
        <v>0</v>
      </c>
      <c r="AE75" s="564">
        <f>$G75*IF(ISNA(VLOOKUP($B75&amp;"; "&amp;$H$47,'FE Déchets'!$G:$U,10,FALSE)),0,VLOOKUP($B75&amp;"; "&amp;$H$47,'FE Déchets'!$G:$U,10,FALSE))</f>
        <v>0</v>
      </c>
      <c r="AF75" s="565"/>
      <c r="AG75" s="565"/>
      <c r="AH75" s="565"/>
      <c r="AI75" s="565">
        <f>$G75*IF(ISNA(VLOOKUP($B75&amp;"; "&amp;$H$47,'FE Déchets'!$G:$U,11,FALSE)+VLOOKUP($B75&amp;"; "&amp;$H$47,'FE Déchets'!$G:$U,12,FALSE)),0,
VLOOKUP($B75&amp;"; "&amp;$H$47,'FE Déchets'!$G:$U,11,FALSE)+VLOOKUP($B75&amp;"; "&amp;$H$47,'FE Déchets'!$G:$U,12,FALSE))</f>
        <v>0</v>
      </c>
      <c r="AJ75" s="565"/>
      <c r="AK75" s="565"/>
      <c r="AL75" s="565"/>
      <c r="AM75" s="565">
        <f>$G75*IF(ISNA(VLOOKUP($B75&amp;"; "&amp;$H$47,'FE Déchets'!$G:$U,13,FALSE)),0,VLOOKUP($B75&amp;"; "&amp;$H$47,'FE Déchets'!$G:$U,13,FALSE))</f>
        <v>0</v>
      </c>
      <c r="AN75" s="565"/>
      <c r="AO75" s="565"/>
      <c r="AP75" s="565"/>
      <c r="AQ75" s="565">
        <f>$G75*IF(ISNA(VLOOKUP($B75&amp;"; "&amp;$H$47,'FE Déchets'!$G:$U,14,FALSE)),0,VLOOKUP($B75&amp;"; "&amp;$H$47,'FE Déchets'!$G:$U,14,FALSE))</f>
        <v>0</v>
      </c>
      <c r="AR75" s="565"/>
      <c r="AS75" s="565"/>
      <c r="AT75" s="565"/>
      <c r="AU75" s="566">
        <f t="shared" si="23"/>
        <v>0</v>
      </c>
      <c r="AV75" s="566"/>
      <c r="AW75" s="566"/>
      <c r="AX75" s="566"/>
      <c r="AY75" s="564">
        <f>$G75*IF(ISNA(VLOOKUP($B75&amp;"; "&amp;$H$47,'FE Déchets'!$G:$U,15,FALSE)),0,VLOOKUP($B75&amp;"; "&amp;$H$47,'FE Déchets'!$G:$U,15,FALSE))</f>
        <v>0</v>
      </c>
      <c r="AZ75" s="565"/>
      <c r="BA75" s="565"/>
      <c r="BB75" s="568"/>
      <c r="BD75" s="2151">
        <f>IF($R75&lt;&gt;"votre valeur :",IF(ISNA(VLOOKUP($R75,Utilitaires!$N$566:$O$571,2,FALSE)),,VLOOKUP($R75,Utilitaires!$N$566:$O$571,2,FALSE)),$S75)</f>
        <v>0</v>
      </c>
      <c r="BE75" s="1130">
        <f>IF(ISNA(SQRT(SUMSQ(VLOOKUP($B75&amp;"; "&amp;$H$47,'FE Déchets'!$G:$U,7,FALSE),$BD75))),0,SQRT(SUMSQ(VLOOKUP($B75&amp;"; "&amp;$H$47,'FE Déchets'!$G:$U,7,FALSE),$BD75)))</f>
        <v>0.2</v>
      </c>
      <c r="BF75" s="2128"/>
      <c r="BG75" s="2128"/>
      <c r="BH75" s="264"/>
    </row>
    <row r="76" spans="2:60" s="114" customFormat="1" ht="12.75" customHeight="1" outlineLevel="2">
      <c r="B76" s="389" t="s">
        <v>5114</v>
      </c>
      <c r="C76" s="341"/>
      <c r="D76" s="212">
        <f t="shared" ref="D76" si="26">O76</f>
        <v>0</v>
      </c>
      <c r="E76" s="212"/>
      <c r="F76" s="848"/>
      <c r="G76" s="848"/>
      <c r="H76" s="219"/>
      <c r="I76" s="219">
        <f>IF(ISNA(VLOOKUP($B76&amp;"; "&amp;H$47,'FE Déchets'!$G:$U,9,FALSE)),0,VLOOKUP($B76&amp;"; "&amp;H$47,'FE Déchets'!$G:$U,9,FALSE))</f>
        <v>1906</v>
      </c>
      <c r="J76" s="219"/>
      <c r="K76" s="151"/>
      <c r="L76" s="151"/>
      <c r="M76" s="151"/>
      <c r="N76" s="151"/>
      <c r="O76" s="152">
        <f t="shared" si="5"/>
        <v>0</v>
      </c>
      <c r="V76" s="226">
        <f t="shared" ref="V76" si="27">IF(AC76=0,AC76,AC76/O76)</f>
        <v>0</v>
      </c>
      <c r="W76" s="1094"/>
      <c r="X76" s="820"/>
      <c r="Y76" s="164"/>
      <c r="Z76" s="164"/>
      <c r="AA76" s="164"/>
      <c r="AB76" s="164"/>
      <c r="AC76" s="152">
        <f t="shared" si="7"/>
        <v>0</v>
      </c>
      <c r="AE76" s="564">
        <f>$G76*IF(ISNA(VLOOKUP($B76&amp;"; "&amp;$H$47,'FE Déchets'!$G:$U,10,FALSE)),0,VLOOKUP($B76&amp;"; "&amp;$H$47,'FE Déchets'!$G:$U,10,FALSE))</f>
        <v>0</v>
      </c>
      <c r="AF76" s="565"/>
      <c r="AG76" s="565"/>
      <c r="AH76" s="565"/>
      <c r="AI76" s="565">
        <f>$G76*IF(ISNA(VLOOKUP($B76&amp;"; "&amp;$H$47,'FE Déchets'!$G:$U,11,FALSE)+VLOOKUP($B76&amp;"; "&amp;$H$47,'FE Déchets'!$G:$U,12,FALSE)),0,
VLOOKUP($B76&amp;"; "&amp;$H$47,'FE Déchets'!$G:$U,11,FALSE)+VLOOKUP($B76&amp;"; "&amp;$H$47,'FE Déchets'!$G:$U,12,FALSE))</f>
        <v>0</v>
      </c>
      <c r="AJ76" s="565"/>
      <c r="AK76" s="565"/>
      <c r="AL76" s="565"/>
      <c r="AM76" s="565">
        <f>$G76*IF(ISNA(VLOOKUP($B76&amp;"; "&amp;$H$47,'FE Déchets'!$G:$U,13,FALSE)),0,VLOOKUP($B76&amp;"; "&amp;$H$47,'FE Déchets'!$G:$U,13,FALSE))</f>
        <v>0</v>
      </c>
      <c r="AN76" s="565"/>
      <c r="AO76" s="565"/>
      <c r="AP76" s="565"/>
      <c r="AQ76" s="565">
        <f>$G76*IF(ISNA(VLOOKUP($B76&amp;"; "&amp;$H$47,'FE Déchets'!$G:$U,14,FALSE)),0,VLOOKUP($B76&amp;"; "&amp;$H$47,'FE Déchets'!$G:$U,14,FALSE))</f>
        <v>0</v>
      </c>
      <c r="AR76" s="565"/>
      <c r="AS76" s="565"/>
      <c r="AT76" s="565"/>
      <c r="AU76" s="566">
        <f t="shared" ref="AU76" si="28">SUM(AE76,AI76,AM76,AQ76)</f>
        <v>0</v>
      </c>
      <c r="AV76" s="566"/>
      <c r="AW76" s="566"/>
      <c r="AX76" s="566"/>
      <c r="AY76" s="564">
        <f>$G76*IF(ISNA(VLOOKUP($B76&amp;"; "&amp;$H$47,'FE Déchets'!$G:$U,15,FALSE)),0,VLOOKUP($B76&amp;"; "&amp;$H$47,'FE Déchets'!$G:$U,15,FALSE))</f>
        <v>0</v>
      </c>
      <c r="AZ76" s="565"/>
      <c r="BA76" s="565"/>
      <c r="BB76" s="568"/>
      <c r="BD76" s="2492">
        <f>IF($R76&lt;&gt;"votre valeur :",IF(ISNA(VLOOKUP($R76,Utilitaires!$N$566:$O$571,2,FALSE)),,VLOOKUP($R76,Utilitaires!$N$566:$O$571,2,FALSE)),$S76)</f>
        <v>0</v>
      </c>
      <c r="BE76" s="1130">
        <f>IF(ISNA(SQRT(SUMSQ(VLOOKUP($B76&amp;"; "&amp;$H$47,'FE Déchets'!$G:$U,7,FALSE),$BD76))),0,SQRT(SUMSQ(VLOOKUP($B76&amp;"; "&amp;$H$47,'FE Déchets'!$G:$U,7,FALSE),$BD76)))</f>
        <v>0.2</v>
      </c>
      <c r="BF76" s="2128"/>
      <c r="BG76" s="2128"/>
      <c r="BH76" s="264"/>
    </row>
    <row r="77" spans="2:60" s="114" customFormat="1" ht="12.75" customHeight="1" outlineLevel="2">
      <c r="B77" s="389" t="s">
        <v>5115</v>
      </c>
      <c r="C77" s="341"/>
      <c r="D77" s="212">
        <f t="shared" si="24"/>
        <v>0</v>
      </c>
      <c r="E77" s="212"/>
      <c r="F77" s="2176"/>
      <c r="G77" s="2176"/>
      <c r="H77" s="219"/>
      <c r="I77" s="219">
        <f>IF(ISNA(VLOOKUP($B77&amp;"; "&amp;H$47,'FE Déchets'!$G:$U,9,FALSE)),0,VLOOKUP($B77&amp;"; "&amp;H$47,'FE Déchets'!$G:$U,9,FALSE))</f>
        <v>434</v>
      </c>
      <c r="J77" s="219"/>
      <c r="K77" s="151"/>
      <c r="L77" s="151"/>
      <c r="M77" s="151"/>
      <c r="N77" s="151"/>
      <c r="O77" s="152">
        <f t="shared" si="5"/>
        <v>0</v>
      </c>
      <c r="V77" s="226">
        <f t="shared" si="25"/>
        <v>0</v>
      </c>
      <c r="W77" s="1094"/>
      <c r="X77" s="820"/>
      <c r="Y77" s="164"/>
      <c r="Z77" s="164"/>
      <c r="AA77" s="164"/>
      <c r="AB77" s="164"/>
      <c r="AC77" s="152">
        <f t="shared" si="7"/>
        <v>0</v>
      </c>
      <c r="AE77" s="564">
        <f>$G77*IF(ISNA(VLOOKUP($B77&amp;"; "&amp;$H$47,'FE Déchets'!$G:$U,10,FALSE)),0,VLOOKUP($B77&amp;"; "&amp;$H$47,'FE Déchets'!$G:$U,10,FALSE))</f>
        <v>0</v>
      </c>
      <c r="AF77" s="565"/>
      <c r="AG77" s="565"/>
      <c r="AH77" s="565"/>
      <c r="AI77" s="565">
        <f>$G77*IF(ISNA(VLOOKUP($B77&amp;"; "&amp;$H$47,'FE Déchets'!$G:$U,11,FALSE)+VLOOKUP($B77&amp;"; "&amp;$H$47,'FE Déchets'!$G:$U,12,FALSE)),0,
VLOOKUP($B77&amp;"; "&amp;$H$47,'FE Déchets'!$G:$U,11,FALSE)+VLOOKUP($B77&amp;"; "&amp;$H$47,'FE Déchets'!$G:$U,12,FALSE))</f>
        <v>0</v>
      </c>
      <c r="AJ77" s="565"/>
      <c r="AK77" s="565"/>
      <c r="AL77" s="565"/>
      <c r="AM77" s="565">
        <f>$G77*IF(ISNA(VLOOKUP($B77&amp;"; "&amp;$H$47,'FE Déchets'!$G:$U,13,FALSE)),0,VLOOKUP($B77&amp;"; "&amp;$H$47,'FE Déchets'!$G:$U,13,FALSE))</f>
        <v>0</v>
      </c>
      <c r="AN77" s="565"/>
      <c r="AO77" s="565"/>
      <c r="AP77" s="565"/>
      <c r="AQ77" s="565">
        <f>$G77*IF(ISNA(VLOOKUP($B77&amp;"; "&amp;$H$47,'FE Déchets'!$G:$U,14,FALSE)),0,VLOOKUP($B77&amp;"; "&amp;$H$47,'FE Déchets'!$G:$U,14,FALSE))</f>
        <v>0</v>
      </c>
      <c r="AR77" s="565"/>
      <c r="AS77" s="565"/>
      <c r="AT77" s="565"/>
      <c r="AU77" s="566">
        <f t="shared" si="23"/>
        <v>0</v>
      </c>
      <c r="AV77" s="566"/>
      <c r="AW77" s="566"/>
      <c r="AX77" s="566"/>
      <c r="AY77" s="564">
        <f>$G77*IF(ISNA(VLOOKUP($B77&amp;"; "&amp;$H$47,'FE Déchets'!$G:$U,15,FALSE)),0,VLOOKUP($B77&amp;"; "&amp;$H$47,'FE Déchets'!$G:$U,15,FALSE))</f>
        <v>0</v>
      </c>
      <c r="AZ77" s="565"/>
      <c r="BA77" s="565"/>
      <c r="BB77" s="568"/>
      <c r="BD77" s="2151">
        <f>IF($R77&lt;&gt;"votre valeur :",IF(ISNA(VLOOKUP($R77,Utilitaires!$N$566:$O$571,2,FALSE)),,VLOOKUP($R77,Utilitaires!$N$566:$O$571,2,FALSE)),$S77)</f>
        <v>0</v>
      </c>
      <c r="BE77" s="1130">
        <f>IF(ISNA(SQRT(SUMSQ(VLOOKUP($B77&amp;"; "&amp;$H$47,'FE Déchets'!$G:$U,7,FALSE),$BD77))),0,SQRT(SUMSQ(VLOOKUP($B77&amp;"; "&amp;$H$47,'FE Déchets'!$G:$U,7,FALSE),$BD77)))</f>
        <v>0.2</v>
      </c>
      <c r="BF77" s="2128"/>
      <c r="BG77" s="2128"/>
      <c r="BH77" s="264"/>
    </row>
    <row r="78" spans="2:60" s="114" customFormat="1" ht="12.75" customHeight="1" outlineLevel="2">
      <c r="B78" s="389" t="s">
        <v>4969</v>
      </c>
      <c r="C78" s="341"/>
      <c r="D78" s="212">
        <f t="shared" si="24"/>
        <v>0</v>
      </c>
      <c r="E78" s="212"/>
      <c r="F78" s="849"/>
      <c r="G78" s="849"/>
      <c r="H78" s="219"/>
      <c r="I78" s="219">
        <f>IF(ISNA(VLOOKUP($B78&amp;"; "&amp;H$47,'FE Déchets'!$G:$U,9,FALSE)),0,VLOOKUP($B78&amp;"; "&amp;H$47,'FE Déchets'!$G:$U,9,FALSE))</f>
        <v>1844</v>
      </c>
      <c r="J78" s="219"/>
      <c r="K78" s="151"/>
      <c r="L78" s="151"/>
      <c r="M78" s="151"/>
      <c r="N78" s="151"/>
      <c r="O78" s="152">
        <f t="shared" si="5"/>
        <v>0</v>
      </c>
      <c r="V78" s="226">
        <f t="shared" si="25"/>
        <v>0</v>
      </c>
      <c r="W78" s="1094"/>
      <c r="X78" s="820"/>
      <c r="Y78" s="164"/>
      <c r="Z78" s="164"/>
      <c r="AA78" s="164"/>
      <c r="AB78" s="164"/>
      <c r="AC78" s="152">
        <f t="shared" si="7"/>
        <v>0</v>
      </c>
      <c r="AD78" s="113"/>
      <c r="AE78" s="564">
        <f>$G78*IF(ISNA(VLOOKUP($B78&amp;"; "&amp;$H$47,'FE Déchets'!$G:$U,10,FALSE)),0,VLOOKUP($B78&amp;"; "&amp;$H$47,'FE Déchets'!$G:$U,10,FALSE))</f>
        <v>0</v>
      </c>
      <c r="AF78" s="565"/>
      <c r="AG78" s="565"/>
      <c r="AH78" s="565"/>
      <c r="AI78" s="565">
        <f>$G78*IF(ISNA(VLOOKUP($B78&amp;"; "&amp;$H$47,'FE Déchets'!$G:$U,11,FALSE)+VLOOKUP($B78&amp;"; "&amp;$H$47,'FE Déchets'!$G:$U,12,FALSE)),0,
VLOOKUP($B78&amp;"; "&amp;$H$47,'FE Déchets'!$G:$U,11,FALSE)+VLOOKUP($B78&amp;"; "&amp;$H$47,'FE Déchets'!$G:$U,12,FALSE))</f>
        <v>0</v>
      </c>
      <c r="AJ78" s="565"/>
      <c r="AK78" s="565"/>
      <c r="AL78" s="565"/>
      <c r="AM78" s="565">
        <f>$G78*IF(ISNA(VLOOKUP($B78&amp;"; "&amp;$H$47,'FE Déchets'!$G:$U,13,FALSE)),0,VLOOKUP($B78&amp;"; "&amp;$H$47,'FE Déchets'!$G:$U,13,FALSE))</f>
        <v>0</v>
      </c>
      <c r="AN78" s="565"/>
      <c r="AO78" s="565"/>
      <c r="AP78" s="565"/>
      <c r="AQ78" s="565">
        <f>$G78*IF(ISNA(VLOOKUP($B78&amp;"; "&amp;$H$47,'FE Déchets'!$G:$U,14,FALSE)),0,VLOOKUP($B78&amp;"; "&amp;$H$47,'FE Déchets'!$G:$U,14,FALSE))</f>
        <v>0</v>
      </c>
      <c r="AR78" s="565"/>
      <c r="AS78" s="565"/>
      <c r="AT78" s="565"/>
      <c r="AU78" s="566">
        <f t="shared" si="23"/>
        <v>0</v>
      </c>
      <c r="AV78" s="566"/>
      <c r="AW78" s="566"/>
      <c r="AX78" s="566"/>
      <c r="AY78" s="564">
        <f>$G78*IF(ISNA(VLOOKUP($B78&amp;"; "&amp;$H$47,'FE Déchets'!$G:$U,15,FALSE)),0,VLOOKUP($B78&amp;"; "&amp;$H$47,'FE Déchets'!$G:$U,15,FALSE))</f>
        <v>0</v>
      </c>
      <c r="AZ78" s="565"/>
      <c r="BA78" s="565"/>
      <c r="BB78" s="568"/>
      <c r="BD78" s="2151">
        <f>IF($R78&lt;&gt;"votre valeur :",IF(ISNA(VLOOKUP($R78,Utilitaires!$N$566:$O$571,2,FALSE)),,VLOOKUP($R78,Utilitaires!$N$566:$O$571,2,FALSE)),$S78)</f>
        <v>0</v>
      </c>
      <c r="BE78" s="1130">
        <f>IF(ISNA(SQRT(SUMSQ(VLOOKUP($B78&amp;"; "&amp;$H$47,'FE Déchets'!$G:$U,7,FALSE),$BD78))),0,SQRT(SUMSQ(VLOOKUP($B78&amp;"; "&amp;$H$47,'FE Déchets'!$G:$U,7,FALSE),$BD78)))</f>
        <v>0.2</v>
      </c>
      <c r="BF78" s="2128"/>
      <c r="BG78" s="2128"/>
      <c r="BH78" s="264"/>
    </row>
    <row r="79" spans="2:60" s="114" customFormat="1" ht="12.75" customHeight="1" outlineLevel="2">
      <c r="B79" s="389"/>
      <c r="C79" s="341"/>
      <c r="D79" s="212"/>
      <c r="E79" s="212"/>
      <c r="F79" s="212"/>
      <c r="G79" s="212"/>
      <c r="H79" s="219"/>
      <c r="I79" s="219"/>
      <c r="J79" s="219"/>
      <c r="K79" s="151"/>
      <c r="L79" s="151"/>
      <c r="M79" s="151"/>
      <c r="N79" s="151"/>
      <c r="O79" s="152"/>
      <c r="V79" s="226"/>
      <c r="W79" s="820"/>
      <c r="X79" s="820"/>
      <c r="Y79" s="164"/>
      <c r="Z79" s="164"/>
      <c r="AA79" s="164"/>
      <c r="AB79" s="164"/>
      <c r="AC79" s="152"/>
      <c r="AE79" s="564"/>
      <c r="AF79" s="565"/>
      <c r="AG79" s="565"/>
      <c r="AH79" s="565"/>
      <c r="AI79" s="565"/>
      <c r="AJ79" s="565"/>
      <c r="AK79" s="565"/>
      <c r="AL79" s="565"/>
      <c r="AM79" s="565"/>
      <c r="AN79" s="565"/>
      <c r="AO79" s="565"/>
      <c r="AP79" s="565"/>
      <c r="AQ79" s="565"/>
      <c r="AR79" s="565"/>
      <c r="AS79" s="565"/>
      <c r="AT79" s="565"/>
      <c r="AU79" s="566"/>
      <c r="AV79" s="566"/>
      <c r="AW79" s="566"/>
      <c r="AX79" s="566"/>
      <c r="AY79" s="564"/>
      <c r="AZ79" s="565"/>
      <c r="BA79" s="565"/>
      <c r="BB79" s="568"/>
      <c r="BD79" s="2152"/>
      <c r="BE79" s="1153"/>
      <c r="BF79" s="2128"/>
      <c r="BG79" s="2128"/>
      <c r="BH79" s="264"/>
    </row>
    <row r="80" spans="2:60" s="114" customFormat="1" ht="12.75" customHeight="1" outlineLevel="1">
      <c r="B80" s="1264" t="s">
        <v>348</v>
      </c>
      <c r="C80" s="197"/>
      <c r="D80" s="214">
        <f>SUM(D49:D79)</f>
        <v>958133</v>
      </c>
      <c r="E80" s="214"/>
      <c r="F80" s="203"/>
      <c r="G80" s="203"/>
      <c r="H80" s="202"/>
      <c r="I80" s="203"/>
      <c r="J80" s="203"/>
      <c r="K80" s="202"/>
      <c r="L80" s="202"/>
      <c r="M80" s="202"/>
      <c r="N80" s="202"/>
      <c r="O80" s="200">
        <f>SUM(O49:O79)</f>
        <v>958133</v>
      </c>
      <c r="V80" s="1204">
        <f>IF(AC80=0,AC80,AC80/O80)</f>
        <v>0.1848795522124799</v>
      </c>
      <c r="W80" s="199"/>
      <c r="X80" s="199"/>
      <c r="Y80" s="204"/>
      <c r="Z80" s="204"/>
      <c r="AA80" s="204"/>
      <c r="AB80" s="204"/>
      <c r="AC80" s="200">
        <f>SQRT(SUMSQ(AC74:AC79))</f>
        <v>177139.20000000001</v>
      </c>
      <c r="AE80" s="1082">
        <f>SUM(AE49:AE79)</f>
        <v>958133</v>
      </c>
      <c r="AF80" s="572"/>
      <c r="AG80" s="572"/>
      <c r="AH80" s="572"/>
      <c r="AI80" s="572">
        <f>SUM(AI49:AI79)</f>
        <v>0</v>
      </c>
      <c r="AJ80" s="572"/>
      <c r="AK80" s="572"/>
      <c r="AL80" s="572"/>
      <c r="AM80" s="572">
        <f>SUM(AM49:AM79)</f>
        <v>0</v>
      </c>
      <c r="AN80" s="572"/>
      <c r="AO80" s="572"/>
      <c r="AP80" s="572"/>
      <c r="AQ80" s="572">
        <f>SUM(AQ49:AQ79)</f>
        <v>0</v>
      </c>
      <c r="AR80" s="572"/>
      <c r="AS80" s="572"/>
      <c r="AT80" s="572"/>
      <c r="AU80" s="573">
        <f>SUM(AU49:AU79)</f>
        <v>958133</v>
      </c>
      <c r="AV80" s="573"/>
      <c r="AW80" s="573"/>
      <c r="AX80" s="573"/>
      <c r="AY80" s="1082">
        <f>SUM(AY49:AY79)</f>
        <v>0</v>
      </c>
      <c r="AZ80" s="572"/>
      <c r="BA80" s="572"/>
      <c r="BB80" s="575"/>
      <c r="BG80" s="264"/>
      <c r="BH80" s="264"/>
    </row>
    <row r="81" spans="2:59" s="114" customFormat="1" ht="12.75" customHeight="1" outlineLevel="1">
      <c r="D81" s="264"/>
      <c r="G81" s="264"/>
      <c r="AJ81" s="441"/>
      <c r="AK81" s="441"/>
      <c r="AL81" s="441"/>
      <c r="AM81" s="441"/>
      <c r="AN81" s="441"/>
      <c r="AO81" s="441"/>
      <c r="AP81" s="441"/>
      <c r="AQ81" s="441"/>
      <c r="AR81" s="441"/>
      <c r="AS81" s="441"/>
      <c r="AT81" s="441"/>
      <c r="AU81" s="441"/>
    </row>
    <row r="82" spans="2:59" s="114" customFormat="1" ht="12.75" customHeight="1" outlineLevel="1" collapsed="1">
      <c r="B82" s="1091" t="s">
        <v>5013</v>
      </c>
      <c r="C82" s="140"/>
      <c r="D82" s="1396"/>
      <c r="E82" s="1434"/>
      <c r="F82" s="1648"/>
      <c r="G82" s="1648"/>
      <c r="H82" s="1434"/>
      <c r="I82" s="1434"/>
      <c r="J82" s="1434"/>
      <c r="K82" s="1434"/>
      <c r="L82" s="1434"/>
      <c r="M82" s="1434"/>
      <c r="N82" s="1435"/>
      <c r="V82" s="2636" t="s">
        <v>366</v>
      </c>
      <c r="W82" s="2637"/>
      <c r="X82" s="2637"/>
      <c r="Y82" s="2637"/>
      <c r="Z82" s="2637"/>
      <c r="AA82" s="2637"/>
      <c r="AB82" s="2637"/>
      <c r="AC82" s="2638"/>
      <c r="AE82" s="2639" t="s">
        <v>441</v>
      </c>
      <c r="AF82" s="2640"/>
      <c r="AG82" s="2640"/>
      <c r="AH82" s="2640"/>
      <c r="AI82" s="2640"/>
      <c r="AJ82" s="2640"/>
      <c r="AK82" s="2640"/>
      <c r="AL82" s="2640"/>
      <c r="AM82" s="2640"/>
      <c r="AN82" s="2640"/>
      <c r="AO82" s="2640"/>
      <c r="AP82" s="2640"/>
      <c r="AQ82" s="2640"/>
      <c r="AR82" s="2640"/>
      <c r="AS82" s="2640"/>
      <c r="AT82" s="2640"/>
      <c r="AU82" s="2640"/>
      <c r="AV82" s="2640"/>
      <c r="AW82" s="2640"/>
      <c r="AX82" s="2640"/>
      <c r="AY82" s="2640"/>
      <c r="AZ82" s="2640"/>
      <c r="BA82" s="2640"/>
      <c r="BB82" s="2641"/>
    </row>
    <row r="83" spans="2:59" s="114" customFormat="1" ht="12.75" hidden="1" customHeight="1" outlineLevel="2">
      <c r="B83" s="332"/>
      <c r="C83" s="167"/>
      <c r="D83" s="1402" t="s">
        <v>308</v>
      </c>
      <c r="E83" s="1440"/>
      <c r="F83" s="1663"/>
      <c r="G83" s="1663"/>
      <c r="H83" s="1440"/>
      <c r="I83" s="1440"/>
      <c r="J83" s="1440"/>
      <c r="K83" s="1426"/>
      <c r="L83" s="1426"/>
      <c r="M83" s="1426"/>
      <c r="N83" s="1446"/>
      <c r="V83" s="1425"/>
      <c r="W83" s="819"/>
      <c r="X83" s="819"/>
      <c r="Y83" s="1424"/>
      <c r="Z83" s="1424"/>
      <c r="AA83" s="1424"/>
      <c r="AB83" s="1424"/>
      <c r="AC83" s="145"/>
      <c r="AE83" s="2642" t="s">
        <v>444</v>
      </c>
      <c r="AF83" s="2643"/>
      <c r="AG83" s="2643"/>
      <c r="AH83" s="2643"/>
      <c r="AI83" s="2643"/>
      <c r="AJ83" s="2643"/>
      <c r="AK83" s="2643"/>
      <c r="AL83" s="2643"/>
      <c r="AM83" s="2643"/>
      <c r="AN83" s="2643"/>
      <c r="AO83" s="2643"/>
      <c r="AP83" s="2643"/>
      <c r="AQ83" s="2643"/>
      <c r="AR83" s="2643"/>
      <c r="AS83" s="2643"/>
      <c r="AT83" s="2643"/>
      <c r="AU83" s="2643" t="s">
        <v>444</v>
      </c>
      <c r="AV83" s="2643"/>
      <c r="AW83" s="2643"/>
      <c r="AX83" s="2644"/>
      <c r="AY83" s="1432"/>
      <c r="AZ83" s="1421"/>
      <c r="BA83" s="1421"/>
      <c r="BB83" s="1433"/>
      <c r="BD83" s="2616" t="s">
        <v>1648</v>
      </c>
      <c r="BE83" s="2618"/>
      <c r="BF83" s="1789"/>
      <c r="BG83" s="1774"/>
    </row>
    <row r="84" spans="2:59" s="114" customFormat="1" ht="12.75" hidden="1" customHeight="1" outlineLevel="2">
      <c r="B84" s="1376"/>
      <c r="C84" s="1377"/>
      <c r="D84" s="1377" t="s">
        <v>409</v>
      </c>
      <c r="E84" s="1426"/>
      <c r="F84" s="147" t="s">
        <v>450</v>
      </c>
      <c r="G84" s="1438" t="s">
        <v>199</v>
      </c>
      <c r="H84" s="2626" t="s">
        <v>1585</v>
      </c>
      <c r="I84" s="2628"/>
      <c r="J84" s="2628"/>
      <c r="K84" s="2496"/>
      <c r="L84" s="2496"/>
      <c r="M84" s="2496"/>
      <c r="N84" s="1446" t="s">
        <v>444</v>
      </c>
      <c r="V84" s="1425" t="s">
        <v>316</v>
      </c>
      <c r="W84" s="1430" t="s">
        <v>316</v>
      </c>
      <c r="X84" s="1431"/>
      <c r="Y84" s="1426"/>
      <c r="Z84" s="1426"/>
      <c r="AA84" s="1426"/>
      <c r="AB84" s="1426"/>
      <c r="AC84" s="1446" t="s">
        <v>444</v>
      </c>
      <c r="AE84" s="2631" t="s">
        <v>211</v>
      </c>
      <c r="AF84" s="2632"/>
      <c r="AG84" s="2632"/>
      <c r="AH84" s="2632"/>
      <c r="AI84" s="2632" t="s">
        <v>442</v>
      </c>
      <c r="AJ84" s="2632"/>
      <c r="AK84" s="2632"/>
      <c r="AL84" s="2632"/>
      <c r="AM84" s="2632" t="s">
        <v>267</v>
      </c>
      <c r="AN84" s="2632"/>
      <c r="AO84" s="2632"/>
      <c r="AP84" s="2632"/>
      <c r="AQ84" s="2632" t="s">
        <v>443</v>
      </c>
      <c r="AR84" s="2632"/>
      <c r="AS84" s="2632"/>
      <c r="AT84" s="2632"/>
      <c r="AU84" s="2648" t="s">
        <v>327</v>
      </c>
      <c r="AV84" s="2648"/>
      <c r="AW84" s="2648"/>
      <c r="AX84" s="2649"/>
      <c r="AY84" s="1450"/>
      <c r="AZ84" s="1423" t="s">
        <v>636</v>
      </c>
      <c r="BA84" s="566"/>
      <c r="BB84" s="567"/>
      <c r="BD84" s="1441" t="s">
        <v>5116</v>
      </c>
      <c r="BE84" s="2471" t="s">
        <v>2187</v>
      </c>
      <c r="BF84" s="1789"/>
      <c r="BG84" s="1774"/>
    </row>
    <row r="85" spans="2:59" s="114" customFormat="1" ht="13.2" hidden="1" outlineLevel="2">
      <c r="B85" s="1376" t="s">
        <v>2354</v>
      </c>
      <c r="C85" s="1377"/>
      <c r="D85" s="1377" t="s">
        <v>444</v>
      </c>
      <c r="E85" s="1426"/>
      <c r="F85" s="1439" t="s">
        <v>447</v>
      </c>
      <c r="G85" s="1439" t="s">
        <v>22</v>
      </c>
      <c r="H85" s="1453"/>
      <c r="I85" s="1453"/>
      <c r="J85" s="1453"/>
      <c r="K85" s="1427"/>
      <c r="L85" s="581"/>
      <c r="M85" s="1427"/>
      <c r="N85" s="1446"/>
      <c r="V85" s="1425" t="s">
        <v>1649</v>
      </c>
      <c r="W85" s="1428" t="s">
        <v>1650</v>
      </c>
      <c r="X85" s="1429"/>
      <c r="Y85" s="1453"/>
      <c r="Z85" s="1452"/>
      <c r="AA85" s="1452"/>
      <c r="AB85" s="1452"/>
      <c r="AC85" s="1446"/>
      <c r="AE85" s="227"/>
      <c r="AF85" s="1453"/>
      <c r="AG85" s="1453"/>
      <c r="AH85" s="1453"/>
      <c r="AI85" s="1453"/>
      <c r="AJ85" s="1453"/>
      <c r="AK85" s="1453"/>
      <c r="AL85" s="1453"/>
      <c r="AM85" s="1453"/>
      <c r="AN85" s="1453"/>
      <c r="AO85" s="1453"/>
      <c r="AP85" s="1453"/>
      <c r="AQ85" s="1453"/>
      <c r="AR85" s="1453"/>
      <c r="AS85" s="1453"/>
      <c r="AT85" s="1453"/>
      <c r="AU85" s="1453"/>
      <c r="AV85" s="1453"/>
      <c r="AW85" s="1453"/>
      <c r="AX85" s="1453"/>
      <c r="AY85" s="227"/>
      <c r="AZ85" s="1453"/>
      <c r="BA85" s="1453"/>
      <c r="BB85" s="1171"/>
      <c r="BD85" s="1442"/>
      <c r="BE85" s="2470"/>
      <c r="BF85" s="1789"/>
      <c r="BG85" s="1774"/>
    </row>
    <row r="86" spans="2:59" s="114" customFormat="1" ht="13.2" hidden="1" outlineLevel="2">
      <c r="B86" s="389" t="s">
        <v>4973</v>
      </c>
      <c r="C86" s="341"/>
      <c r="D86" s="212">
        <f>N86</f>
        <v>0</v>
      </c>
      <c r="E86" s="212"/>
      <c r="F86" s="847"/>
      <c r="G86" s="847"/>
      <c r="H86" s="219"/>
      <c r="I86" s="219">
        <f>IF(ISNA(VLOOKUP($B86&amp;"; "&amp;$H$84,'FE Déchets'!$G:$U,9,FALSE)),0, VLOOKUP($B86&amp;"; "&amp;$H$84,'FE Déchets'!$G:$U,9,FALSE))</f>
        <v>173</v>
      </c>
      <c r="J86" s="219"/>
      <c r="K86" s="151"/>
      <c r="L86" s="151"/>
      <c r="M86" s="151"/>
      <c r="N86" s="152">
        <f>G86*I86</f>
        <v>0</v>
      </c>
      <c r="V86" s="226">
        <f>IF(AC86=0,AC86,AC86/N86)</f>
        <v>0</v>
      </c>
      <c r="W86" s="343"/>
      <c r="X86" s="820"/>
      <c r="Y86" s="164"/>
      <c r="Z86" s="164"/>
      <c r="AA86" s="164"/>
      <c r="AB86" s="164"/>
      <c r="AC86" s="152">
        <f>G86*I86*BE86</f>
        <v>0</v>
      </c>
      <c r="AE86" s="564">
        <f>$G86*IF(ISNA(VLOOKUP($B86&amp;"; "&amp;$H$84,'FE Déchets'!$G:$U,10,FALSE)),0,VLOOKUP($B86&amp;"; "&amp;$H$84,'FE Déchets'!$G:$U,10,FALSE))</f>
        <v>0</v>
      </c>
      <c r="AF86" s="565"/>
      <c r="AG86" s="565"/>
      <c r="AH86" s="565"/>
      <c r="AI86" s="565">
        <f>$G86*IF(ISNA(VLOOKUP($B86&amp;"; "&amp;$H$84,'FE Déchets'!$G:$U,11,FALSE)+VLOOKUP($B86&amp;"; "&amp;$H$84,'FE Déchets'!$G:$U,12,FALSE)),0,
VLOOKUP($B86&amp;"; "&amp;$H$84,'FE Déchets'!$G:$U,11,FALSE)+VLOOKUP($B86&amp;"; "&amp;$H$84,'FE Déchets'!$G:$U,12,FALSE))</f>
        <v>0</v>
      </c>
      <c r="AJ86" s="565"/>
      <c r="AK86" s="565"/>
      <c r="AL86" s="565"/>
      <c r="AM86" s="565">
        <f>$G86*IF(ISNA(VLOOKUP($B86&amp;"; "&amp;$H$84,'FE Déchets'!$G:$U,13,FALSE)),0,VLOOKUP($B86&amp;"; "&amp;$H$84,'FE Déchets'!$G:$U,13,FALSE))</f>
        <v>0</v>
      </c>
      <c r="AN86" s="565"/>
      <c r="AO86" s="565"/>
      <c r="AP86" s="565"/>
      <c r="AQ86" s="565">
        <f>$G86*IF(ISNA(VLOOKUP($B86&amp;"; "&amp;$H$84,'FE Déchets'!$G:$U,14,FALSE)),0,VLOOKUP($B86&amp;"; "&amp;$H$84,'FE Déchets'!$G:$U,14,FALSE))</f>
        <v>0</v>
      </c>
      <c r="AR86" s="565"/>
      <c r="AS86" s="565"/>
      <c r="AT86" s="565"/>
      <c r="AU86" s="566">
        <f t="shared" ref="AU86:AU95" si="29">SUM(AE86,AI86,AM86,AQ86)</f>
        <v>0</v>
      </c>
      <c r="AV86" s="566"/>
      <c r="AW86" s="566"/>
      <c r="AX86" s="566"/>
      <c r="AY86" s="564">
        <f>$G86*IF(ISNA(VLOOKUP($B86&amp;"; "&amp;$G$84,'FE Déchets'!$G:$U,15,FALSE)),0,VLOOKUP($B86&amp;"; "&amp;$G$84,'FE Déchets'!$G:$U,15,FALSE))</f>
        <v>0</v>
      </c>
      <c r="AZ86" s="565"/>
      <c r="BA86" s="565"/>
      <c r="BB86" s="568"/>
      <c r="BD86" s="1065">
        <f>IF($W86&lt;&gt;"votre valeur :",IF(ISNA(VLOOKUP($W86,Utilitaires!$N$566:$O$571,2,FALSE)),,VLOOKUP($W86,Utilitaires!$N$566:$O$571,2,FALSE)),$X86)</f>
        <v>0</v>
      </c>
      <c r="BE86" s="1124">
        <f>IF(ISNA(SQRT(SUMSQ(VLOOKUP($B86&amp;"; "&amp;$H$84,'FE Déchets'!$G:$U,7,FALSE),$BD86))),0,SQRT(SUMSQ(VLOOKUP($B86&amp;"; "&amp;$H$84,'FE Déchets'!$G:$U,7,FALSE),$BD86)))</f>
        <v>1</v>
      </c>
      <c r="BF86" s="2504"/>
      <c r="BG86" s="2128"/>
    </row>
    <row r="87" spans="2:59" s="114" customFormat="1" ht="13.2" hidden="1" outlineLevel="2">
      <c r="B87" s="389" t="s">
        <v>4974</v>
      </c>
      <c r="C87" s="341"/>
      <c r="D87" s="212">
        <f>N87</f>
        <v>0</v>
      </c>
      <c r="E87" s="212"/>
      <c r="F87" s="2176"/>
      <c r="G87" s="2176"/>
      <c r="H87" s="219"/>
      <c r="I87" s="219">
        <f>IF(ISNA(VLOOKUP($B87&amp;"; "&amp;$H$84,'FE Déchets'!$G:$U,9,FALSE)),0, VLOOKUP($B87&amp;"; "&amp;$H$84,'FE Déchets'!$G:$U,9,FALSE))</f>
        <v>9</v>
      </c>
      <c r="J87" s="219"/>
      <c r="K87" s="151"/>
      <c r="L87" s="151"/>
      <c r="M87" s="151"/>
      <c r="N87" s="152">
        <f t="shared" ref="N87:N95" si="30">G87*I87</f>
        <v>0</v>
      </c>
      <c r="V87" s="226">
        <f>IF(AC87=0,AC87,AC87/N87)</f>
        <v>0</v>
      </c>
      <c r="W87" s="1094"/>
      <c r="X87" s="820"/>
      <c r="Y87" s="164"/>
      <c r="Z87" s="164"/>
      <c r="AA87" s="164"/>
      <c r="AB87" s="164"/>
      <c r="AC87" s="152">
        <f t="shared" ref="AC87:AC95" si="31">G87*I87*BE87</f>
        <v>0</v>
      </c>
      <c r="AE87" s="564">
        <f>$G87*IF(ISNA(VLOOKUP($B87&amp;"; "&amp;$H$84,'FE Déchets'!$G:$U,10,FALSE)),0,VLOOKUP($B87&amp;"; "&amp;$H$84,'FE Déchets'!$G:$U,10,FALSE))</f>
        <v>0</v>
      </c>
      <c r="AF87" s="565"/>
      <c r="AG87" s="565"/>
      <c r="AH87" s="565"/>
      <c r="AI87" s="565">
        <f>$G87*IF(ISNA(VLOOKUP($B87&amp;"; "&amp;$H$84,'FE Déchets'!$G:$U,11,FALSE)+VLOOKUP($B87&amp;"; "&amp;$H$84,'FE Déchets'!$G:$U,12,FALSE)),0,
VLOOKUP($B87&amp;"; "&amp;$H$84,'FE Déchets'!$G:$U,11,FALSE)+VLOOKUP($B87&amp;"; "&amp;$H$84,'FE Déchets'!$G:$U,12,FALSE))</f>
        <v>0</v>
      </c>
      <c r="AJ87" s="565"/>
      <c r="AK87" s="565"/>
      <c r="AL87" s="565"/>
      <c r="AM87" s="565">
        <f>$G87*IF(ISNA(VLOOKUP($B87&amp;"; "&amp;$H$84,'FE Déchets'!$G:$U,13,FALSE)),0,VLOOKUP($B87&amp;"; "&amp;$H$84,'FE Déchets'!$G:$U,13,FALSE))</f>
        <v>0</v>
      </c>
      <c r="AN87" s="565"/>
      <c r="AO87" s="565"/>
      <c r="AP87" s="565"/>
      <c r="AQ87" s="565">
        <f>$G87*IF(ISNA(VLOOKUP($B87&amp;"; "&amp;$H$84,'FE Déchets'!$G:$U,14,FALSE)),0,VLOOKUP($B87&amp;"; "&amp;$H$84,'FE Déchets'!$G:$U,14,FALSE))</f>
        <v>0</v>
      </c>
      <c r="AR87" s="565"/>
      <c r="AS87" s="565"/>
      <c r="AT87" s="565"/>
      <c r="AU87" s="566">
        <f t="shared" si="29"/>
        <v>0</v>
      </c>
      <c r="AV87" s="566"/>
      <c r="AW87" s="566"/>
      <c r="AX87" s="566"/>
      <c r="AY87" s="564">
        <f>$G87*IF(ISNA(VLOOKUP($B87&amp;"; "&amp;$G$84,'FE Déchets'!$G:$U,15,FALSE)),0,VLOOKUP($B87&amp;"; "&amp;$G$84,'FE Déchets'!$G:$U,15,FALSE))</f>
        <v>0</v>
      </c>
      <c r="AZ87" s="565"/>
      <c r="BA87" s="565"/>
      <c r="BB87" s="568"/>
      <c r="BD87" s="2492">
        <f>IF($W87&lt;&gt;"votre valeur :",IF(ISNA(VLOOKUP($W87,Utilitaires!$N$566:$O$571,2,FALSE)),,VLOOKUP($W87,Utilitaires!$N$566:$O$571,2,FALSE)),$X87)</f>
        <v>0</v>
      </c>
      <c r="BE87" s="2442">
        <f>IF(ISNA(SQRT(SUMSQ(VLOOKUP($B87&amp;"; "&amp;$H$84,'FE Déchets'!$G:$U,7,FALSE),$BD87))),0,SQRT(SUMSQ(VLOOKUP($B87&amp;"; "&amp;$H$84,'FE Déchets'!$G:$U,7,FALSE),$BD87)))</f>
        <v>1</v>
      </c>
      <c r="BF87" s="2504"/>
      <c r="BG87" s="2128"/>
    </row>
    <row r="88" spans="2:59" s="114" customFormat="1" ht="13.2" hidden="1" outlineLevel="2">
      <c r="B88" s="389" t="s">
        <v>4975</v>
      </c>
      <c r="C88" s="341"/>
      <c r="D88" s="212">
        <f>N88</f>
        <v>0</v>
      </c>
      <c r="E88" s="212"/>
      <c r="F88" s="848"/>
      <c r="G88" s="848"/>
      <c r="H88" s="219"/>
      <c r="I88" s="219">
        <f>IF(ISNA(VLOOKUP($B88&amp;"; "&amp;$H$84,'FE Déchets'!$G:$U,9,FALSE)),0, VLOOKUP($B88&amp;"; "&amp;$H$84,'FE Déchets'!$G:$U,9,FALSE))</f>
        <v>28</v>
      </c>
      <c r="J88" s="219"/>
      <c r="K88" s="151"/>
      <c r="L88" s="151"/>
      <c r="M88" s="151"/>
      <c r="N88" s="152">
        <f t="shared" si="30"/>
        <v>0</v>
      </c>
      <c r="V88" s="226">
        <f>IF(AC88=0,AC88,AC88/N88)</f>
        <v>0</v>
      </c>
      <c r="W88" s="1094"/>
      <c r="X88" s="820"/>
      <c r="Y88" s="164"/>
      <c r="Z88" s="164"/>
      <c r="AA88" s="164"/>
      <c r="AB88" s="164"/>
      <c r="AC88" s="152">
        <f t="shared" si="31"/>
        <v>0</v>
      </c>
      <c r="AE88" s="564">
        <f>$G88*IF(ISNA(VLOOKUP($B88&amp;"; "&amp;$H$84,'FE Déchets'!$G:$U,10,FALSE)),0,VLOOKUP($B88&amp;"; "&amp;$H$84,'FE Déchets'!$G:$U,10,FALSE))</f>
        <v>0</v>
      </c>
      <c r="AF88" s="565"/>
      <c r="AG88" s="565"/>
      <c r="AH88" s="565"/>
      <c r="AI88" s="565">
        <f>$G88*IF(ISNA(VLOOKUP($B88&amp;"; "&amp;$H$84,'FE Déchets'!$G:$U,11,FALSE)+VLOOKUP($B88&amp;"; "&amp;$H$84,'FE Déchets'!$G:$U,12,FALSE)),0,
VLOOKUP($B88&amp;"; "&amp;$H$84,'FE Déchets'!$G:$U,11,FALSE)+VLOOKUP($B88&amp;"; "&amp;$H$84,'FE Déchets'!$G:$U,12,FALSE))</f>
        <v>0</v>
      </c>
      <c r="AJ88" s="565"/>
      <c r="AK88" s="565"/>
      <c r="AL88" s="565"/>
      <c r="AM88" s="565">
        <f>$G88*IF(ISNA(VLOOKUP($B88&amp;"; "&amp;$H$84,'FE Déchets'!$G:$U,13,FALSE)),0,VLOOKUP($B88&amp;"; "&amp;$H$84,'FE Déchets'!$G:$U,13,FALSE))</f>
        <v>0</v>
      </c>
      <c r="AN88" s="565"/>
      <c r="AO88" s="565"/>
      <c r="AP88" s="565"/>
      <c r="AQ88" s="565">
        <f>$G88*IF(ISNA(VLOOKUP($B88&amp;"; "&amp;$H$84,'FE Déchets'!$G:$U,14,FALSE)),0,VLOOKUP($B88&amp;"; "&amp;$H$84,'FE Déchets'!$G:$U,14,FALSE))</f>
        <v>0</v>
      </c>
      <c r="AR88" s="565"/>
      <c r="AS88" s="565"/>
      <c r="AT88" s="565"/>
      <c r="AU88" s="566">
        <f t="shared" si="29"/>
        <v>0</v>
      </c>
      <c r="AV88" s="566"/>
      <c r="AW88" s="566"/>
      <c r="AX88" s="566"/>
      <c r="AY88" s="564">
        <f>$G88*IF(ISNA(VLOOKUP($B88&amp;"; "&amp;$G$84,'FE Déchets'!$G:$U,15,FALSE)),0,VLOOKUP($B88&amp;"; "&amp;$G$84,'FE Déchets'!$G:$U,15,FALSE))</f>
        <v>0</v>
      </c>
      <c r="AZ88" s="565"/>
      <c r="BA88" s="565"/>
      <c r="BB88" s="568"/>
      <c r="BD88" s="2492">
        <f>IF($W88&lt;&gt;"votre valeur :",IF(ISNA(VLOOKUP($W88,Utilitaires!$N$566:$O$571,2,FALSE)),,VLOOKUP($W88,Utilitaires!$N$566:$O$571,2,FALSE)),$X88)</f>
        <v>0</v>
      </c>
      <c r="BE88" s="2442">
        <f>IF(ISNA(SQRT(SUMSQ(VLOOKUP($B88&amp;"; "&amp;$H$84,'FE Déchets'!$G:$U,7,FALSE),$BD88))),0,SQRT(SUMSQ(VLOOKUP($B88&amp;"; "&amp;$H$84,'FE Déchets'!$G:$U,7,FALSE),$BD88)))</f>
        <v>1</v>
      </c>
      <c r="BF88" s="2504"/>
      <c r="BG88" s="2128"/>
    </row>
    <row r="89" spans="2:59" s="114" customFormat="1" ht="13.2" hidden="1" outlineLevel="2">
      <c r="B89" s="389" t="s">
        <v>4976</v>
      </c>
      <c r="C89" s="341"/>
      <c r="D89" s="212">
        <f>N89</f>
        <v>0</v>
      </c>
      <c r="E89" s="212"/>
      <c r="F89" s="2176"/>
      <c r="G89" s="2176"/>
      <c r="H89" s="219"/>
      <c r="I89" s="219">
        <f>IF(ISNA(VLOOKUP($B89&amp;"; "&amp;$H$84,'FE Déchets'!$G:$U,9,FALSE)),0, VLOOKUP($B89&amp;"; "&amp;$H$84,'FE Déchets'!$G:$U,9,FALSE))</f>
        <v>45</v>
      </c>
      <c r="J89" s="219"/>
      <c r="K89" s="151"/>
      <c r="L89" s="151"/>
      <c r="M89" s="151"/>
      <c r="N89" s="152">
        <f t="shared" si="30"/>
        <v>0</v>
      </c>
      <c r="V89" s="226">
        <f>IF(AC89=0,AC89,AC89/N89)</f>
        <v>0</v>
      </c>
      <c r="W89" s="1094"/>
      <c r="X89" s="820"/>
      <c r="Y89" s="164"/>
      <c r="Z89" s="164"/>
      <c r="AA89" s="164"/>
      <c r="AB89" s="164"/>
      <c r="AC89" s="152">
        <f t="shared" si="31"/>
        <v>0</v>
      </c>
      <c r="AE89" s="564">
        <f>$G89*IF(ISNA(VLOOKUP($B89&amp;"; "&amp;$H$84,'FE Déchets'!$G:$U,10,FALSE)),0,VLOOKUP($B89&amp;"; "&amp;$H$84,'FE Déchets'!$G:$U,10,FALSE))</f>
        <v>0</v>
      </c>
      <c r="AF89" s="565"/>
      <c r="AG89" s="565"/>
      <c r="AH89" s="565"/>
      <c r="AI89" s="565">
        <f>$G89*IF(ISNA(VLOOKUP($B89&amp;"; "&amp;$H$84,'FE Déchets'!$G:$U,11,FALSE)+VLOOKUP($B89&amp;"; "&amp;$H$84,'FE Déchets'!$G:$U,12,FALSE)),0,
VLOOKUP($B89&amp;"; "&amp;$H$84,'FE Déchets'!$G:$U,11,FALSE)+VLOOKUP($B89&amp;"; "&amp;$H$84,'FE Déchets'!$G:$U,12,FALSE))</f>
        <v>0</v>
      </c>
      <c r="AJ89" s="565"/>
      <c r="AK89" s="565"/>
      <c r="AL89" s="565"/>
      <c r="AM89" s="565">
        <f>$G89*IF(ISNA(VLOOKUP($B89&amp;"; "&amp;$H$84,'FE Déchets'!$G:$U,13,FALSE)),0,VLOOKUP($B89&amp;"; "&amp;$H$84,'FE Déchets'!$G:$U,13,FALSE))</f>
        <v>0</v>
      </c>
      <c r="AN89" s="565"/>
      <c r="AO89" s="565"/>
      <c r="AP89" s="565"/>
      <c r="AQ89" s="565">
        <f>$G89*IF(ISNA(VLOOKUP($B89&amp;"; "&amp;$H$84,'FE Déchets'!$G:$U,14,FALSE)),0,VLOOKUP($B89&amp;"; "&amp;$H$84,'FE Déchets'!$G:$U,14,FALSE))</f>
        <v>0</v>
      </c>
      <c r="AR89" s="565"/>
      <c r="AS89" s="565"/>
      <c r="AT89" s="565"/>
      <c r="AU89" s="566">
        <f t="shared" si="29"/>
        <v>0</v>
      </c>
      <c r="AV89" s="566"/>
      <c r="AW89" s="566"/>
      <c r="AX89" s="566"/>
      <c r="AY89" s="564">
        <f>$G89*IF(ISNA(VLOOKUP($B89&amp;"; "&amp;$G$84,'FE Déchets'!$G:$U,15,FALSE)),0,VLOOKUP($B89&amp;"; "&amp;$G$84,'FE Déchets'!$G:$U,15,FALSE))</f>
        <v>0</v>
      </c>
      <c r="AZ89" s="565"/>
      <c r="BA89" s="565"/>
      <c r="BB89" s="568"/>
      <c r="BD89" s="2492">
        <f>IF($W89&lt;&gt;"votre valeur :",IF(ISNA(VLOOKUP($W89,Utilitaires!$N$566:$O$571,2,FALSE)),,VLOOKUP($W89,Utilitaires!$N$566:$O$571,2,FALSE)),$X89)</f>
        <v>0</v>
      </c>
      <c r="BE89" s="2442">
        <f>IF(ISNA(SQRT(SUMSQ(VLOOKUP($B89&amp;"; "&amp;$H$84,'FE Déchets'!$G:$U,7,FALSE),$BD89))),0,SQRT(SUMSQ(VLOOKUP($B89&amp;"; "&amp;$H$84,'FE Déchets'!$G:$U,7,FALSE),$BD89)))</f>
        <v>0.5</v>
      </c>
      <c r="BF89" s="2504"/>
      <c r="BG89" s="2128"/>
    </row>
    <row r="90" spans="2:59" s="114" customFormat="1" ht="13.2" hidden="1" outlineLevel="2">
      <c r="B90" s="389" t="s">
        <v>4977</v>
      </c>
      <c r="C90" s="341"/>
      <c r="D90" s="212">
        <f>N90</f>
        <v>0</v>
      </c>
      <c r="E90" s="212"/>
      <c r="F90" s="849"/>
      <c r="G90" s="849"/>
      <c r="H90" s="219"/>
      <c r="I90" s="219">
        <f>IF(ISNA(VLOOKUP($B90&amp;"; "&amp;$H$84,'FE Déchets'!$G:$U,9,FALSE)),0, VLOOKUP($B90&amp;"; "&amp;$H$84,'FE Déchets'!$G:$U,9,FALSE))</f>
        <v>20</v>
      </c>
      <c r="J90" s="219"/>
      <c r="K90" s="151"/>
      <c r="L90" s="151"/>
      <c r="M90" s="151"/>
      <c r="N90" s="152">
        <f t="shared" si="30"/>
        <v>0</v>
      </c>
      <c r="V90" s="226">
        <f>IF(AC90=0,AC90,AC90/N90)</f>
        <v>0</v>
      </c>
      <c r="W90" s="1094"/>
      <c r="X90" s="820"/>
      <c r="Y90" s="164"/>
      <c r="Z90" s="164"/>
      <c r="AA90" s="164"/>
      <c r="AB90" s="164"/>
      <c r="AC90" s="152">
        <f t="shared" si="31"/>
        <v>0</v>
      </c>
      <c r="AE90" s="564">
        <f>$G90*IF(ISNA(VLOOKUP($B90&amp;"; "&amp;$H$84,'FE Déchets'!$G:$U,10,FALSE)),0,VLOOKUP($B90&amp;"; "&amp;$H$84,'FE Déchets'!$G:$U,10,FALSE))</f>
        <v>0</v>
      </c>
      <c r="AF90" s="565"/>
      <c r="AG90" s="565"/>
      <c r="AH90" s="565"/>
      <c r="AI90" s="565">
        <f>$G90*IF(ISNA(VLOOKUP($B90&amp;"; "&amp;$H$84,'FE Déchets'!$G:$U,11,FALSE)+VLOOKUP($B90&amp;"; "&amp;$H$84,'FE Déchets'!$G:$U,12,FALSE)),0,
VLOOKUP($B90&amp;"; "&amp;$H$84,'FE Déchets'!$G:$U,11,FALSE)+VLOOKUP($B90&amp;"; "&amp;$H$84,'FE Déchets'!$G:$U,12,FALSE))</f>
        <v>0</v>
      </c>
      <c r="AJ90" s="565"/>
      <c r="AK90" s="565"/>
      <c r="AL90" s="565"/>
      <c r="AM90" s="565">
        <f>$G90*IF(ISNA(VLOOKUP($B90&amp;"; "&amp;$H$84,'FE Déchets'!$G:$U,13,FALSE)),0,VLOOKUP($B90&amp;"; "&amp;$H$84,'FE Déchets'!$G:$U,13,FALSE))</f>
        <v>0</v>
      </c>
      <c r="AN90" s="565"/>
      <c r="AO90" s="565"/>
      <c r="AP90" s="565"/>
      <c r="AQ90" s="565">
        <f>$G90*IF(ISNA(VLOOKUP($B90&amp;"; "&amp;$H$84,'FE Déchets'!$G:$U,14,FALSE)),0,VLOOKUP($B90&amp;"; "&amp;$H$84,'FE Déchets'!$G:$U,14,FALSE))</f>
        <v>0</v>
      </c>
      <c r="AR90" s="565"/>
      <c r="AS90" s="565"/>
      <c r="AT90" s="565"/>
      <c r="AU90" s="566">
        <f t="shared" ref="AU90" si="32">SUM(AE90,AI90,AM90,AQ90)</f>
        <v>0</v>
      </c>
      <c r="AV90" s="566"/>
      <c r="AW90" s="566"/>
      <c r="AX90" s="566"/>
      <c r="AY90" s="564">
        <f>$G90*IF(ISNA(VLOOKUP($B90&amp;"; "&amp;$G$84,'FE Déchets'!$G:$U,15,FALSE)),0,VLOOKUP($B90&amp;"; "&amp;$G$84,'FE Déchets'!$G:$U,15,FALSE))</f>
        <v>0</v>
      </c>
      <c r="AZ90" s="565"/>
      <c r="BA90" s="565"/>
      <c r="BB90" s="568"/>
      <c r="BD90" s="2492">
        <f>IF($W90&lt;&gt;"votre valeur :",IF(ISNA(VLOOKUP($W90,Utilitaires!$N$566:$O$571,2,FALSE)),,VLOOKUP($W90,Utilitaires!$N$566:$O$571,2,FALSE)),$X90)</f>
        <v>0</v>
      </c>
      <c r="BE90" s="2442">
        <f>IF(ISNA(SQRT(SUMSQ(VLOOKUP($B90&amp;"; "&amp;$H$84,'FE Déchets'!$G:$U,7,FALSE),$BD90))),0,SQRT(SUMSQ(VLOOKUP($B90&amp;"; "&amp;$H$84,'FE Déchets'!$G:$U,7,FALSE),$BD90)))</f>
        <v>1</v>
      </c>
      <c r="BF90" s="2504"/>
      <c r="BG90" s="2128"/>
    </row>
    <row r="91" spans="2:59" s="114" customFormat="1" ht="13.2" hidden="1" outlineLevel="2">
      <c r="B91" s="389"/>
      <c r="C91" s="341"/>
      <c r="D91" s="212"/>
      <c r="E91" s="212"/>
      <c r="F91" s="212"/>
      <c r="G91" s="212"/>
      <c r="H91" s="219"/>
      <c r="I91" s="219"/>
      <c r="J91" s="219"/>
      <c r="K91" s="151"/>
      <c r="L91" s="151"/>
      <c r="M91" s="151"/>
      <c r="N91" s="152"/>
      <c r="V91" s="226"/>
      <c r="W91" s="820"/>
      <c r="X91" s="820"/>
      <c r="Y91" s="164"/>
      <c r="Z91" s="164"/>
      <c r="AA91" s="164"/>
      <c r="AB91" s="164"/>
      <c r="AC91" s="152"/>
      <c r="AE91" s="564"/>
      <c r="AF91" s="565"/>
      <c r="AG91" s="565"/>
      <c r="AH91" s="565"/>
      <c r="AI91" s="565"/>
      <c r="AJ91" s="565"/>
      <c r="AK91" s="565"/>
      <c r="AL91" s="565"/>
      <c r="AM91" s="565"/>
      <c r="AN91" s="565"/>
      <c r="AO91" s="565"/>
      <c r="AP91" s="565"/>
      <c r="AQ91" s="565"/>
      <c r="AR91" s="565"/>
      <c r="AS91" s="565"/>
      <c r="AT91" s="565"/>
      <c r="AU91" s="566"/>
      <c r="AV91" s="566"/>
      <c r="AW91" s="566"/>
      <c r="AX91" s="566"/>
      <c r="AY91" s="564"/>
      <c r="AZ91" s="565"/>
      <c r="BA91" s="565"/>
      <c r="BB91" s="568"/>
      <c r="BD91" s="2492"/>
      <c r="BE91" s="2442"/>
      <c r="BF91" s="2504"/>
      <c r="BG91" s="2128"/>
    </row>
    <row r="92" spans="2:59" s="114" customFormat="1" ht="13.2" hidden="1" outlineLevel="2">
      <c r="B92" s="2386" t="s">
        <v>2353</v>
      </c>
      <c r="C92" s="341"/>
      <c r="D92" s="212"/>
      <c r="E92" s="212"/>
      <c r="F92" s="212"/>
      <c r="G92" s="212"/>
      <c r="H92" s="219"/>
      <c r="I92" s="219"/>
      <c r="J92" s="219"/>
      <c r="K92" s="151"/>
      <c r="L92" s="151"/>
      <c r="M92" s="151"/>
      <c r="N92" s="152"/>
      <c r="V92" s="226"/>
      <c r="W92" s="820"/>
      <c r="X92" s="820"/>
      <c r="Y92" s="164"/>
      <c r="Z92" s="164"/>
      <c r="AA92" s="164"/>
      <c r="AB92" s="164"/>
      <c r="AC92" s="152"/>
      <c r="AE92" s="564"/>
      <c r="AF92" s="565"/>
      <c r="AG92" s="565"/>
      <c r="AH92" s="565"/>
      <c r="AI92" s="565"/>
      <c r="AJ92" s="565"/>
      <c r="AK92" s="565"/>
      <c r="AL92" s="565"/>
      <c r="AM92" s="565"/>
      <c r="AN92" s="565"/>
      <c r="AO92" s="565"/>
      <c r="AP92" s="565"/>
      <c r="AQ92" s="565"/>
      <c r="AR92" s="565"/>
      <c r="AS92" s="565"/>
      <c r="AT92" s="565"/>
      <c r="AU92" s="566"/>
      <c r="AV92" s="566"/>
      <c r="AW92" s="566"/>
      <c r="AX92" s="566"/>
      <c r="AY92" s="564"/>
      <c r="AZ92" s="565"/>
      <c r="BA92" s="565"/>
      <c r="BB92" s="568"/>
      <c r="BD92" s="2492"/>
      <c r="BE92" s="2442"/>
      <c r="BF92" s="2504"/>
      <c r="BG92" s="2128"/>
    </row>
    <row r="93" spans="2:59" s="114" customFormat="1" ht="13.2" hidden="1" outlineLevel="2">
      <c r="B93" s="389" t="s">
        <v>4993</v>
      </c>
      <c r="C93" s="341"/>
      <c r="D93" s="212">
        <f>N93</f>
        <v>0</v>
      </c>
      <c r="E93" s="212"/>
      <c r="F93" s="847"/>
      <c r="G93" s="847"/>
      <c r="H93" s="219"/>
      <c r="I93" s="219">
        <f>IF(ISNA(VLOOKUP($B93&amp;"; "&amp;$H$84,'FE Déchets'!$G:$U,9,FALSE)),0, VLOOKUP($B93&amp;"; "&amp;$H$84,'FE Déchets'!$G:$U,9,FALSE))</f>
        <v>386</v>
      </c>
      <c r="J93" s="219"/>
      <c r="K93" s="151"/>
      <c r="L93" s="151"/>
      <c r="M93" s="151"/>
      <c r="N93" s="152">
        <f t="shared" si="30"/>
        <v>0</v>
      </c>
      <c r="V93" s="226">
        <f>IF(AC93=0,AC93,AC93/N93)</f>
        <v>0</v>
      </c>
      <c r="W93" s="1094"/>
      <c r="X93" s="820"/>
      <c r="Y93" s="164"/>
      <c r="Z93" s="164"/>
      <c r="AA93" s="164"/>
      <c r="AB93" s="164"/>
      <c r="AC93" s="152">
        <f t="shared" si="31"/>
        <v>0</v>
      </c>
      <c r="AE93" s="564">
        <f>$G93*IF(ISNA(VLOOKUP($B93&amp;"; "&amp;$H$84,'FE Déchets'!$G:$U,10,FALSE)),0,VLOOKUP($B93&amp;"; "&amp;$H$84,'FE Déchets'!$G:$U,10,FALSE))</f>
        <v>0</v>
      </c>
      <c r="AF93" s="565"/>
      <c r="AG93" s="565"/>
      <c r="AH93" s="565"/>
      <c r="AI93" s="565">
        <f>$G93*IF(ISNA(VLOOKUP($B93&amp;"; "&amp;$H$84,'FE Déchets'!$G:$U,11,FALSE)+VLOOKUP($B93&amp;"; "&amp;$H$84,'FE Déchets'!$G:$U,12,FALSE)),0,
VLOOKUP($B93&amp;"; "&amp;$H$84,'FE Déchets'!$G:$U,11,FALSE)+VLOOKUP($B93&amp;"; "&amp;$H$84,'FE Déchets'!$G:$U,12,FALSE))</f>
        <v>0</v>
      </c>
      <c r="AJ93" s="565"/>
      <c r="AK93" s="565"/>
      <c r="AL93" s="565"/>
      <c r="AM93" s="565">
        <f>$G93*IF(ISNA(VLOOKUP($B93&amp;"; "&amp;$H$84,'FE Déchets'!$G:$U,13,FALSE)),0,VLOOKUP($B93&amp;"; "&amp;$H$84,'FE Déchets'!$G:$U,13,FALSE))</f>
        <v>0</v>
      </c>
      <c r="AN93" s="565"/>
      <c r="AO93" s="565"/>
      <c r="AP93" s="565"/>
      <c r="AQ93" s="565">
        <f>$G93*IF(ISNA(VLOOKUP($B93&amp;"; "&amp;$H$84,'FE Déchets'!$G:$U,14,FALSE)),0,VLOOKUP($B93&amp;"; "&amp;$H$84,'FE Déchets'!$G:$U,14,FALSE))</f>
        <v>0</v>
      </c>
      <c r="AR93" s="565"/>
      <c r="AS93" s="565"/>
      <c r="AT93" s="565"/>
      <c r="AU93" s="566">
        <f t="shared" ref="AU93" si="33">SUM(AE93,AI93,AM93,AQ93)</f>
        <v>0</v>
      </c>
      <c r="AV93" s="566"/>
      <c r="AW93" s="566"/>
      <c r="AX93" s="566"/>
      <c r="AY93" s="564">
        <f>$G93*IF(ISNA(VLOOKUP($B93&amp;"; "&amp;$G$84,'FE Déchets'!$G:$U,15,FALSE)),0,VLOOKUP($B93&amp;"; "&amp;$G$84,'FE Déchets'!$G:$U,15,FALSE))</f>
        <v>0</v>
      </c>
      <c r="AZ93" s="565"/>
      <c r="BA93" s="565"/>
      <c r="BB93" s="568"/>
      <c r="BD93" s="2492">
        <f>IF($W93&lt;&gt;"votre valeur :",IF(ISNA(VLOOKUP($W93,Utilitaires!$N$566:$O$571,2,FALSE)),,VLOOKUP($W93,Utilitaires!$N$566:$O$571,2,FALSE)),$X93)</f>
        <v>0</v>
      </c>
      <c r="BE93" s="2442">
        <f>IF(ISNA(SQRT(SUMSQ(VLOOKUP($B93&amp;"; "&amp;$H$84,'FE Déchets'!$G:$U,7,FALSE),$BD93))),0,SQRT(SUMSQ(VLOOKUP($B93&amp;"; "&amp;$H$84,'FE Déchets'!$G:$U,7,FALSE),$BD93)))</f>
        <v>0.5</v>
      </c>
      <c r="BF93" s="2504"/>
      <c r="BG93" s="2128"/>
    </row>
    <row r="94" spans="2:59" s="114" customFormat="1" ht="13.2" hidden="1" outlineLevel="2">
      <c r="B94" s="389" t="s">
        <v>4994</v>
      </c>
      <c r="C94" s="341"/>
      <c r="D94" s="212">
        <f>N94</f>
        <v>0</v>
      </c>
      <c r="E94" s="212"/>
      <c r="F94" s="2176"/>
      <c r="G94" s="2176"/>
      <c r="H94" s="219"/>
      <c r="I94" s="219">
        <f>IF(ISNA(VLOOKUP($B94&amp;"; "&amp;$H$84,'FE Déchets'!$G:$U,9,FALSE)),0, VLOOKUP($B94&amp;"; "&amp;$H$84,'FE Déchets'!$G:$U,9,FALSE))</f>
        <v>412</v>
      </c>
      <c r="J94" s="219"/>
      <c r="K94" s="151"/>
      <c r="L94" s="151"/>
      <c r="M94" s="151"/>
      <c r="N94" s="152">
        <f t="shared" si="30"/>
        <v>0</v>
      </c>
      <c r="V94" s="226">
        <f>IF(AC94=0,AC94,AC94/N94)</f>
        <v>0</v>
      </c>
      <c r="W94" s="1094"/>
      <c r="X94" s="820"/>
      <c r="Y94" s="164"/>
      <c r="Z94" s="164"/>
      <c r="AA94" s="164"/>
      <c r="AB94" s="164"/>
      <c r="AC94" s="152">
        <f t="shared" si="31"/>
        <v>0</v>
      </c>
      <c r="AE94" s="564">
        <f>$G94*IF(ISNA(VLOOKUP($B94&amp;"; "&amp;$H$84,'FE Déchets'!$G:$U,10,FALSE)),0,VLOOKUP($B94&amp;"; "&amp;$H$84,'FE Déchets'!$G:$U,10,FALSE))</f>
        <v>0</v>
      </c>
      <c r="AF94" s="565"/>
      <c r="AG94" s="565"/>
      <c r="AH94" s="565"/>
      <c r="AI94" s="565">
        <f>$G94*IF(ISNA(VLOOKUP($B94&amp;"; "&amp;$H$84,'FE Déchets'!$G:$U,11,FALSE)+VLOOKUP($B94&amp;"; "&amp;$H$84,'FE Déchets'!$G:$U,12,FALSE)),0,
VLOOKUP($B94&amp;"; "&amp;$H$84,'FE Déchets'!$G:$U,11,FALSE)+VLOOKUP($B94&amp;"; "&amp;$H$84,'FE Déchets'!$G:$U,12,FALSE))</f>
        <v>0</v>
      </c>
      <c r="AJ94" s="565"/>
      <c r="AK94" s="565"/>
      <c r="AL94" s="565"/>
      <c r="AM94" s="565">
        <f>$G94*IF(ISNA(VLOOKUP($B94&amp;"; "&amp;$H$84,'FE Déchets'!$G:$U,13,FALSE)),0,VLOOKUP($B94&amp;"; "&amp;$H$84,'FE Déchets'!$G:$U,13,FALSE))</f>
        <v>0</v>
      </c>
      <c r="AN94" s="565"/>
      <c r="AO94" s="565"/>
      <c r="AP94" s="565"/>
      <c r="AQ94" s="565">
        <f>$G94*IF(ISNA(VLOOKUP($B94&amp;"; "&amp;$H$84,'FE Déchets'!$G:$U,14,FALSE)),0,VLOOKUP($B94&amp;"; "&amp;$H$84,'FE Déchets'!$G:$U,14,FALSE))</f>
        <v>0</v>
      </c>
      <c r="AR94" s="565"/>
      <c r="AS94" s="565"/>
      <c r="AT94" s="565"/>
      <c r="AU94" s="566">
        <f t="shared" ref="AU94" si="34">SUM(AE94,AI94,AM94,AQ94)</f>
        <v>0</v>
      </c>
      <c r="AV94" s="566"/>
      <c r="AW94" s="566"/>
      <c r="AX94" s="566"/>
      <c r="AY94" s="564">
        <f>$G94*IF(ISNA(VLOOKUP($B94&amp;"; "&amp;$G$84,'FE Déchets'!$G:$U,15,FALSE)),0,VLOOKUP($B94&amp;"; "&amp;$G$84,'FE Déchets'!$G:$U,15,FALSE))</f>
        <v>0</v>
      </c>
      <c r="AZ94" s="565"/>
      <c r="BA94" s="565"/>
      <c r="BB94" s="568"/>
      <c r="BD94" s="2492">
        <f>IF($W94&lt;&gt;"votre valeur :",IF(ISNA(VLOOKUP($W94,Utilitaires!$N$566:$O$571,2,FALSE)),,VLOOKUP($W94,Utilitaires!$N$566:$O$571,2,FALSE)),$X94)</f>
        <v>0</v>
      </c>
      <c r="BE94" s="2442">
        <f>IF(ISNA(SQRT(SUMSQ(VLOOKUP($B94&amp;"; "&amp;$H$84,'FE Déchets'!$G:$U,7,FALSE),$BD94))),0,SQRT(SUMSQ(VLOOKUP($B94&amp;"; "&amp;$H$84,'FE Déchets'!$G:$U,7,FALSE),$BD94)))</f>
        <v>1</v>
      </c>
      <c r="BF94" s="2504"/>
      <c r="BG94" s="2128"/>
    </row>
    <row r="95" spans="2:59" s="114" customFormat="1" ht="13.2" hidden="1" outlineLevel="2">
      <c r="B95" s="389" t="s">
        <v>4995</v>
      </c>
      <c r="C95" s="341"/>
      <c r="D95" s="212">
        <f>N95</f>
        <v>0</v>
      </c>
      <c r="E95" s="212"/>
      <c r="F95" s="849"/>
      <c r="G95" s="849"/>
      <c r="H95" s="219"/>
      <c r="I95" s="219">
        <f>IF(ISNA(VLOOKUP($B95&amp;"; "&amp;$H$84,'FE Déchets'!$G:$U,9,FALSE)),0, VLOOKUP($B95&amp;"; "&amp;$H$84,'FE Déchets'!$G:$U,9,FALSE))</f>
        <v>374</v>
      </c>
      <c r="J95" s="219"/>
      <c r="K95" s="151"/>
      <c r="L95" s="151"/>
      <c r="M95" s="151"/>
      <c r="N95" s="152">
        <f t="shared" si="30"/>
        <v>0</v>
      </c>
      <c r="V95" s="226">
        <f>IF(AC95=0,AC95,AC95/N95)</f>
        <v>0</v>
      </c>
      <c r="W95" s="1094"/>
      <c r="X95" s="820"/>
      <c r="Y95" s="164"/>
      <c r="Z95" s="164"/>
      <c r="AA95" s="164"/>
      <c r="AB95" s="164"/>
      <c r="AC95" s="152">
        <f t="shared" si="31"/>
        <v>0</v>
      </c>
      <c r="AE95" s="564">
        <f>$G95*IF(ISNA(VLOOKUP($B95&amp;"; "&amp;$H$84,'FE Déchets'!$G:$U,10,FALSE)),0,VLOOKUP($B95&amp;"; "&amp;$H$84,'FE Déchets'!$G:$U,10,FALSE))</f>
        <v>0</v>
      </c>
      <c r="AF95" s="565"/>
      <c r="AG95" s="565"/>
      <c r="AH95" s="565"/>
      <c r="AI95" s="565">
        <f>$G95*IF(ISNA(VLOOKUP($B95&amp;"; "&amp;$H$84,'FE Déchets'!$G:$U,11,FALSE)+VLOOKUP($B95&amp;"; "&amp;$H$84,'FE Déchets'!$G:$U,12,FALSE)),0,
VLOOKUP($B95&amp;"; "&amp;$H$84,'FE Déchets'!$G:$U,11,FALSE)+VLOOKUP($B95&amp;"; "&amp;$H$84,'FE Déchets'!$G:$U,12,FALSE))</f>
        <v>0</v>
      </c>
      <c r="AJ95" s="565"/>
      <c r="AK95" s="565"/>
      <c r="AL95" s="565"/>
      <c r="AM95" s="565">
        <f>$G95*IF(ISNA(VLOOKUP($B95&amp;"; "&amp;$H$84,'FE Déchets'!$G:$U,13,FALSE)),0,VLOOKUP($B95&amp;"; "&amp;$H$84,'FE Déchets'!$G:$U,13,FALSE))</f>
        <v>0</v>
      </c>
      <c r="AN95" s="565"/>
      <c r="AO95" s="565"/>
      <c r="AP95" s="565"/>
      <c r="AQ95" s="565">
        <f>$G95*IF(ISNA(VLOOKUP($B95&amp;"; "&amp;$H$84,'FE Déchets'!$G:$U,14,FALSE)),0,VLOOKUP($B95&amp;"; "&amp;$H$84,'FE Déchets'!$G:$U,14,FALSE))</f>
        <v>0</v>
      </c>
      <c r="AR95" s="565"/>
      <c r="AS95" s="565"/>
      <c r="AT95" s="565"/>
      <c r="AU95" s="566">
        <f t="shared" si="29"/>
        <v>0</v>
      </c>
      <c r="AV95" s="566"/>
      <c r="AW95" s="566"/>
      <c r="AX95" s="566"/>
      <c r="AY95" s="564">
        <f>$G95*IF(ISNA(VLOOKUP($B95&amp;"; "&amp;$G$84,'FE Déchets'!$G:$U,15,FALSE)),0,VLOOKUP($B95&amp;"; "&amp;$G$84,'FE Déchets'!$G:$U,15,FALSE))</f>
        <v>0</v>
      </c>
      <c r="AZ95" s="565"/>
      <c r="BA95" s="565"/>
      <c r="BB95" s="568"/>
      <c r="BD95" s="1065">
        <f>IF($W95&lt;&gt;"votre valeur :",IF(ISNA(VLOOKUP($W95,Utilitaires!$N$566:$O$571,2,FALSE)),,VLOOKUP($W95,Utilitaires!$N$566:$O$571,2,FALSE)),$X95)</f>
        <v>0</v>
      </c>
      <c r="BE95" s="2442">
        <f>IF(ISNA(SQRT(SUMSQ(VLOOKUP($B95&amp;"; "&amp;$H$84,'FE Déchets'!$G:$U,7,FALSE),$BD95))),0,SQRT(SUMSQ(VLOOKUP($B95&amp;"; "&amp;$H$84,'FE Déchets'!$G:$U,7,FALSE),$BD95)))</f>
        <v>0.2</v>
      </c>
      <c r="BF95" s="2504"/>
      <c r="BG95" s="2128"/>
    </row>
    <row r="96" spans="2:59" s="114" customFormat="1" ht="13.2" hidden="1" outlineLevel="2">
      <c r="B96" s="154"/>
      <c r="C96" s="155"/>
      <c r="D96" s="390"/>
      <c r="E96" s="390"/>
      <c r="F96" s="390"/>
      <c r="G96" s="390"/>
      <c r="H96" s="360"/>
      <c r="I96" s="360"/>
      <c r="J96" s="360"/>
      <c r="K96" s="354"/>
      <c r="L96" s="354"/>
      <c r="M96" s="354"/>
      <c r="N96" s="156"/>
      <c r="V96" s="226"/>
      <c r="W96" s="155"/>
      <c r="X96" s="155"/>
      <c r="Y96" s="164"/>
      <c r="Z96" s="164"/>
      <c r="AA96" s="164"/>
      <c r="AB96" s="164"/>
      <c r="AC96" s="367"/>
      <c r="AE96" s="569"/>
      <c r="AF96" s="625"/>
      <c r="AG96" s="625"/>
      <c r="AH96" s="625"/>
      <c r="AI96" s="625"/>
      <c r="AJ96" s="625"/>
      <c r="AK96" s="625"/>
      <c r="AL96" s="625"/>
      <c r="AM96" s="625"/>
      <c r="AN96" s="625"/>
      <c r="AO96" s="625"/>
      <c r="AP96" s="625"/>
      <c r="AQ96" s="625"/>
      <c r="AR96" s="625"/>
      <c r="AS96" s="625"/>
      <c r="AT96" s="625"/>
      <c r="AU96" s="566"/>
      <c r="AV96" s="566"/>
      <c r="AW96" s="566"/>
      <c r="AX96" s="566"/>
      <c r="AY96" s="1411"/>
      <c r="AZ96" s="1313"/>
      <c r="BA96" s="625"/>
      <c r="BB96" s="570"/>
      <c r="BD96" s="1087"/>
      <c r="BE96" s="1075"/>
      <c r="BF96" s="2505"/>
      <c r="BG96" s="2387"/>
    </row>
    <row r="97" spans="2:60" s="114" customFormat="1" ht="13.2" outlineLevel="1">
      <c r="B97" s="1264" t="s">
        <v>348</v>
      </c>
      <c r="C97" s="197"/>
      <c r="D97" s="214">
        <f>SUM(D86:D96)</f>
        <v>0</v>
      </c>
      <c r="E97" s="214"/>
      <c r="F97" s="214"/>
      <c r="G97" s="203"/>
      <c r="H97" s="203"/>
      <c r="I97" s="202"/>
      <c r="J97" s="203"/>
      <c r="K97" s="202"/>
      <c r="L97" s="202"/>
      <c r="M97" s="202"/>
      <c r="N97" s="200">
        <f>SUM(N86:N96)</f>
        <v>0</v>
      </c>
      <c r="V97" s="1204">
        <f>IF(AC97=0,AC97,AC97/N97)</f>
        <v>0</v>
      </c>
      <c r="W97" s="199"/>
      <c r="X97" s="199"/>
      <c r="Y97" s="204"/>
      <c r="Z97" s="204"/>
      <c r="AA97" s="204"/>
      <c r="AB97" s="204"/>
      <c r="AC97" s="200">
        <f>SQRT(SUMSQ(AC86:AC96))</f>
        <v>0</v>
      </c>
      <c r="AE97" s="1082">
        <f>SUM(AE86:AE96)</f>
        <v>0</v>
      </c>
      <c r="AF97" s="572"/>
      <c r="AG97" s="572"/>
      <c r="AH97" s="572"/>
      <c r="AI97" s="572">
        <f>SUM(AI86:AI96)</f>
        <v>0</v>
      </c>
      <c r="AJ97" s="572"/>
      <c r="AK97" s="572"/>
      <c r="AL97" s="572"/>
      <c r="AM97" s="572">
        <f>SUM(AM86:AM96)</f>
        <v>0</v>
      </c>
      <c r="AN97" s="572"/>
      <c r="AO97" s="572"/>
      <c r="AP97" s="572"/>
      <c r="AQ97" s="572">
        <f>SUM(AQ86:AQ96)</f>
        <v>0</v>
      </c>
      <c r="AR97" s="572"/>
      <c r="AS97" s="572"/>
      <c r="AT97" s="572"/>
      <c r="AU97" s="573">
        <f>SUM(AU86:AU96)</f>
        <v>0</v>
      </c>
      <c r="AV97" s="573"/>
      <c r="AW97" s="573"/>
      <c r="AX97" s="573"/>
      <c r="AY97" s="1082">
        <f>SUM(AY86:AY96)</f>
        <v>0</v>
      </c>
      <c r="AZ97" s="572"/>
      <c r="BA97" s="572"/>
      <c r="BB97" s="575"/>
    </row>
    <row r="98" spans="2:60" s="114" customFormat="1" ht="13.2" outlineLevel="1">
      <c r="AA98" s="441"/>
      <c r="AD98" s="441"/>
      <c r="AE98" s="441"/>
      <c r="AF98" s="441"/>
      <c r="AG98" s="441"/>
      <c r="AH98" s="441"/>
      <c r="AI98" s="441"/>
      <c r="AJ98" s="441"/>
      <c r="AK98" s="441"/>
      <c r="AL98" s="441"/>
      <c r="AM98" s="441"/>
      <c r="AN98" s="441"/>
      <c r="AO98" s="441"/>
      <c r="AP98" s="441"/>
      <c r="AQ98" s="441"/>
      <c r="AR98" s="441"/>
      <c r="AS98" s="441"/>
      <c r="AT98" s="441"/>
      <c r="AU98" s="441"/>
      <c r="AV98" s="441"/>
      <c r="AW98" s="441"/>
      <c r="AY98" s="441"/>
      <c r="AZ98" s="441"/>
      <c r="BA98" s="441"/>
      <c r="BB98" s="441"/>
    </row>
    <row r="99" spans="2:60" s="114" customFormat="1" ht="12.75" customHeight="1" outlineLevel="1" collapsed="1">
      <c r="B99" s="1091" t="s">
        <v>4978</v>
      </c>
      <c r="C99" s="140"/>
      <c r="D99" s="1396"/>
      <c r="E99" s="1434"/>
      <c r="F99" s="1648"/>
      <c r="G99" s="1434"/>
      <c r="H99" s="1434"/>
      <c r="I99" s="1434"/>
      <c r="J99" s="1434"/>
      <c r="K99" s="1434"/>
      <c r="L99" s="1434"/>
      <c r="M99" s="1434"/>
      <c r="N99" s="1434"/>
      <c r="O99" s="1412"/>
      <c r="P99" s="1435"/>
      <c r="V99" s="2636" t="s">
        <v>366</v>
      </c>
      <c r="W99" s="2637"/>
      <c r="X99" s="2637"/>
      <c r="Y99" s="2637"/>
      <c r="Z99" s="2637"/>
      <c r="AA99" s="2637"/>
      <c r="AB99" s="2637"/>
      <c r="AC99" s="2638"/>
      <c r="AE99" s="2639" t="s">
        <v>441</v>
      </c>
      <c r="AF99" s="2640"/>
      <c r="AG99" s="2640"/>
      <c r="AH99" s="2640"/>
      <c r="AI99" s="2640"/>
      <c r="AJ99" s="2640"/>
      <c r="AK99" s="2640"/>
      <c r="AL99" s="2640"/>
      <c r="AM99" s="2640"/>
      <c r="AN99" s="2640"/>
      <c r="AO99" s="2640"/>
      <c r="AP99" s="2640"/>
      <c r="AQ99" s="2640"/>
      <c r="AR99" s="2640"/>
      <c r="AS99" s="2640"/>
      <c r="AT99" s="2640"/>
      <c r="AU99" s="2640"/>
      <c r="AV99" s="2640"/>
      <c r="AW99" s="2640"/>
      <c r="AX99" s="2640"/>
      <c r="AY99" s="2640"/>
      <c r="AZ99" s="2640"/>
      <c r="BA99" s="2640"/>
      <c r="BB99" s="2641"/>
    </row>
    <row r="100" spans="2:60" s="114" customFormat="1" ht="12.75" hidden="1" customHeight="1" outlineLevel="2">
      <c r="B100" s="332"/>
      <c r="C100" s="167"/>
      <c r="D100" s="1402" t="s">
        <v>308</v>
      </c>
      <c r="E100" s="1440"/>
      <c r="F100" s="1663"/>
      <c r="G100" s="1440"/>
      <c r="H100" s="1440"/>
      <c r="I100" s="1440"/>
      <c r="J100" s="1440"/>
      <c r="K100" s="1440"/>
      <c r="L100" s="1426"/>
      <c r="M100" s="1426"/>
      <c r="N100" s="1426"/>
      <c r="O100" s="565"/>
      <c r="P100" s="1446"/>
      <c r="V100" s="1425"/>
      <c r="W100" s="819"/>
      <c r="X100" s="819"/>
      <c r="Y100" s="1424"/>
      <c r="Z100" s="1424"/>
      <c r="AA100" s="1424"/>
      <c r="AB100" s="1424"/>
      <c r="AC100" s="145"/>
      <c r="AE100" s="2642" t="s">
        <v>444</v>
      </c>
      <c r="AF100" s="2643"/>
      <c r="AG100" s="2643"/>
      <c r="AH100" s="2643"/>
      <c r="AI100" s="2643"/>
      <c r="AJ100" s="2643"/>
      <c r="AK100" s="2643"/>
      <c r="AL100" s="2643"/>
      <c r="AM100" s="2643"/>
      <c r="AN100" s="2643"/>
      <c r="AO100" s="2643"/>
      <c r="AP100" s="2643"/>
      <c r="AQ100" s="2643"/>
      <c r="AR100" s="2643"/>
      <c r="AS100" s="2643"/>
      <c r="AT100" s="2643"/>
      <c r="AU100" s="1421" t="s">
        <v>444</v>
      </c>
      <c r="AV100" s="1421"/>
      <c r="AW100" s="1421"/>
      <c r="AX100" s="1433"/>
      <c r="AY100" s="1432"/>
      <c r="AZ100" s="1421"/>
      <c r="BA100" s="1421"/>
      <c r="BB100" s="1433"/>
      <c r="BD100" s="2616" t="s">
        <v>1648</v>
      </c>
      <c r="BE100" s="2618"/>
      <c r="BF100" s="1789"/>
      <c r="BG100" s="1774"/>
      <c r="BH100" s="1774"/>
    </row>
    <row r="101" spans="2:60" s="114" customFormat="1" ht="12.75" hidden="1" customHeight="1" outlineLevel="2">
      <c r="B101" s="1376"/>
      <c r="C101" s="1377"/>
      <c r="D101" s="1377" t="s">
        <v>409</v>
      </c>
      <c r="E101" s="1426"/>
      <c r="F101" s="2494" t="s">
        <v>450</v>
      </c>
      <c r="G101" s="2494" t="s">
        <v>199</v>
      </c>
      <c r="H101" s="2626" t="s">
        <v>1585</v>
      </c>
      <c r="I101" s="2628"/>
      <c r="J101" s="2628"/>
      <c r="K101" s="2628"/>
      <c r="L101" s="2768"/>
      <c r="M101" s="2768"/>
      <c r="N101" s="2768"/>
      <c r="O101" s="2768"/>
      <c r="P101" s="1446" t="s">
        <v>444</v>
      </c>
      <c r="V101" s="1425" t="s">
        <v>316</v>
      </c>
      <c r="W101" s="1430" t="s">
        <v>316</v>
      </c>
      <c r="X101" s="1431"/>
      <c r="Y101" s="1426"/>
      <c r="Z101" s="1426"/>
      <c r="AA101" s="1426"/>
      <c r="AB101" s="1426"/>
      <c r="AC101" s="1446" t="s">
        <v>444</v>
      </c>
      <c r="AE101" s="1422" t="s">
        <v>211</v>
      </c>
      <c r="AF101" s="1423"/>
      <c r="AG101" s="1423"/>
      <c r="AH101" s="1423"/>
      <c r="AI101" s="1423" t="s">
        <v>442</v>
      </c>
      <c r="AJ101" s="1423"/>
      <c r="AK101" s="1423"/>
      <c r="AL101" s="1423"/>
      <c r="AM101" s="1423" t="s">
        <v>267</v>
      </c>
      <c r="AN101" s="1423"/>
      <c r="AO101" s="1423"/>
      <c r="AP101" s="1423"/>
      <c r="AQ101" s="1423" t="s">
        <v>443</v>
      </c>
      <c r="AR101" s="1423"/>
      <c r="AS101" s="1423"/>
      <c r="AT101" s="1423"/>
      <c r="AU101" s="1436" t="s">
        <v>327</v>
      </c>
      <c r="AV101" s="1436"/>
      <c r="AW101" s="1436"/>
      <c r="AX101" s="1437"/>
      <c r="AY101" s="1450"/>
      <c r="AZ101" s="1423" t="s">
        <v>636</v>
      </c>
      <c r="BA101" s="566"/>
      <c r="BB101" s="567"/>
      <c r="BD101" s="1441" t="s">
        <v>5116</v>
      </c>
      <c r="BE101" s="2471" t="s">
        <v>2187</v>
      </c>
      <c r="BF101" s="1789"/>
      <c r="BG101" s="1774"/>
      <c r="BH101" s="1774"/>
    </row>
    <row r="102" spans="2:60" s="114" customFormat="1" ht="13.2" hidden="1" outlineLevel="2">
      <c r="B102" s="1002" t="s">
        <v>4979</v>
      </c>
      <c r="C102" s="1377"/>
      <c r="D102" s="1377" t="s">
        <v>444</v>
      </c>
      <c r="E102" s="1426"/>
      <c r="F102" s="2495" t="s">
        <v>447</v>
      </c>
      <c r="G102" s="2495" t="s">
        <v>22</v>
      </c>
      <c r="H102" s="1453"/>
      <c r="I102" s="1453"/>
      <c r="J102" s="1453"/>
      <c r="K102" s="1453"/>
      <c r="L102" s="1427"/>
      <c r="M102" s="581"/>
      <c r="N102" s="1427"/>
      <c r="O102" s="1427"/>
      <c r="P102" s="1446"/>
      <c r="V102" s="1425" t="s">
        <v>1649</v>
      </c>
      <c r="W102" s="1428" t="s">
        <v>1650</v>
      </c>
      <c r="X102" s="1429"/>
      <c r="Y102" s="1453"/>
      <c r="Z102" s="1452"/>
      <c r="AA102" s="1452"/>
      <c r="AB102" s="1452"/>
      <c r="AC102" s="1446"/>
      <c r="AE102" s="227"/>
      <c r="AF102" s="1453"/>
      <c r="AG102" s="1453"/>
      <c r="AH102" s="1453"/>
      <c r="AI102" s="1453"/>
      <c r="AJ102" s="1453"/>
      <c r="AK102" s="1453"/>
      <c r="AL102" s="1453"/>
      <c r="AM102" s="1453"/>
      <c r="AN102" s="1453"/>
      <c r="AO102" s="1453"/>
      <c r="AP102" s="1453"/>
      <c r="AQ102" s="1453"/>
      <c r="AR102" s="1453"/>
      <c r="AS102" s="1453"/>
      <c r="AT102" s="1453"/>
      <c r="AU102" s="1453"/>
      <c r="AV102" s="1453"/>
      <c r="AW102" s="1453"/>
      <c r="AX102" s="1453"/>
      <c r="AY102" s="227"/>
      <c r="AZ102" s="1453"/>
      <c r="BA102" s="1453"/>
      <c r="BB102" s="1171"/>
      <c r="BD102" s="1442"/>
      <c r="BE102" s="2470"/>
      <c r="BF102" s="1789"/>
      <c r="BG102" s="1774"/>
      <c r="BH102" s="1774"/>
    </row>
    <row r="103" spans="2:60" s="114" customFormat="1" ht="13.2" hidden="1" outlineLevel="2">
      <c r="B103" s="389" t="s">
        <v>4980</v>
      </c>
      <c r="C103" s="341"/>
      <c r="D103" s="212">
        <f>P103</f>
        <v>0</v>
      </c>
      <c r="E103" s="212"/>
      <c r="F103" s="2506"/>
      <c r="G103" s="2506"/>
      <c r="H103" s="219"/>
      <c r="I103" s="219">
        <f>IF(ISNA(VLOOKUP($B103&amp;"; "&amp;$H$101,'FE Déchets'!$G:$U,9,FALSE)),0, VLOOKUP($B103&amp;"; "&amp;$H$101,'FE Déchets'!$G:$U,9,FALSE))</f>
        <v>360</v>
      </c>
      <c r="J103" s="219"/>
      <c r="K103" s="219"/>
      <c r="L103" s="151"/>
      <c r="M103" s="151"/>
      <c r="N103" s="151"/>
      <c r="O103" s="151"/>
      <c r="P103" s="152">
        <f>G103*I103</f>
        <v>0</v>
      </c>
      <c r="V103" s="226">
        <f>IF(AC103=0,AC103,AC103/P103)</f>
        <v>0</v>
      </c>
      <c r="W103" s="1094"/>
      <c r="X103" s="820"/>
      <c r="Y103" s="164"/>
      <c r="Z103" s="164"/>
      <c r="AA103" s="164"/>
      <c r="AB103" s="164"/>
      <c r="AC103" s="152">
        <f>P103*BE103</f>
        <v>0</v>
      </c>
      <c r="AE103" s="564">
        <f>$G103*IF(ISNA(VLOOKUP($B103&amp;"; "&amp;$H$101,'FE Déchets'!$G:$U,10,FALSE)),0,VLOOKUP($B103&amp;"; "&amp;$H$101,'FE Déchets'!$G:$U,10,FALSE))</f>
        <v>0</v>
      </c>
      <c r="AF103" s="565"/>
      <c r="AG103" s="565"/>
      <c r="AH103" s="565"/>
      <c r="AI103" s="565">
        <f>$G103*IF(ISNA(VLOOKUP($B103&amp;"; "&amp;$H$101,'FE Déchets'!$G:$U,11,FALSE)+VLOOKUP($B103&amp;"; "&amp;$H$101,'FE Déchets'!$G:$U,12,FALSE)),0,
VLOOKUP($B103&amp;"; "&amp;$H$101,'FE Déchets'!$G:$U,11,FALSE)+VLOOKUP($B103&amp;"; "&amp;$H$101,'FE Déchets'!$G:$U,12,FALSE))</f>
        <v>0</v>
      </c>
      <c r="AJ103" s="565"/>
      <c r="AK103" s="565"/>
      <c r="AL103" s="565"/>
      <c r="AM103" s="565">
        <f>$G103*IF(ISNA(VLOOKUP($B103&amp;"; "&amp;$H$101,'FE Déchets'!$G:$U,13,FALSE)),0,VLOOKUP($B103&amp;"; "&amp;$H$101,'FE Déchets'!$G:$U,13,FALSE))</f>
        <v>0</v>
      </c>
      <c r="AN103" s="565"/>
      <c r="AO103" s="565"/>
      <c r="AP103" s="565"/>
      <c r="AQ103" s="565">
        <f>$G103*IF(ISNA(VLOOKUP($B103&amp;"; "&amp;$H$101,'FE Déchets'!$G:$U,14,FALSE)),0,VLOOKUP($B103&amp;"; "&amp;$H$101,'FE Déchets'!$G:$U,14,FALSE))</f>
        <v>0</v>
      </c>
      <c r="AR103" s="565"/>
      <c r="AS103" s="565"/>
      <c r="AT103" s="565"/>
      <c r="AU103" s="566">
        <f>SUM(AE103,AI103,AM103,AQ103)</f>
        <v>0</v>
      </c>
      <c r="AV103" s="566"/>
      <c r="AW103" s="566"/>
      <c r="AX103" s="566"/>
      <c r="AY103" s="564">
        <f>$G103*IF(ISNA(VLOOKUP($B103&amp;"; "&amp;$H$101,'FE Déchets'!$G:$U,15,FALSE)),0,VLOOKUP($B103&amp;"; "&amp;$H$101,'FE Déchets'!$G:$U,15,FALSE))</f>
        <v>0</v>
      </c>
      <c r="AZ103" s="565"/>
      <c r="BA103" s="565"/>
      <c r="BB103" s="568"/>
      <c r="BD103" s="1065">
        <f>IF($W103&lt;&gt;"votre valeur :",IF(ISNA(VLOOKUP($W103,Utilitaires!$N$566:$O$571,2,FALSE)),,VLOOKUP($W103,Utilitaires!$N$566:$O$571,2,FALSE)),$X103)</f>
        <v>0</v>
      </c>
      <c r="BE103" s="1124">
        <f>IF(ISNA(SQRT(SUMSQ(VLOOKUP($B103&amp;"; "&amp;$H$101,'FE Déchets'!$G:$U,7,FALSE),$BD103))),0,SQRT(SUMSQ(VLOOKUP($B103&amp;"; "&amp;$H$101,'FE Déchets'!$G:$U,7,FALSE),$BD103)))</f>
        <v>0.2</v>
      </c>
      <c r="BF103" s="2504"/>
      <c r="BG103" s="2128"/>
      <c r="BH103" s="2128"/>
    </row>
    <row r="104" spans="2:60" s="114" customFormat="1" ht="13.2" hidden="1" outlineLevel="2">
      <c r="B104" s="389"/>
      <c r="C104" s="341"/>
      <c r="D104" s="212"/>
      <c r="E104" s="212"/>
      <c r="F104" s="2507"/>
      <c r="G104" s="2507"/>
      <c r="H104" s="219"/>
      <c r="I104" s="219"/>
      <c r="J104" s="219"/>
      <c r="K104" s="219"/>
      <c r="L104" s="151"/>
      <c r="M104" s="151"/>
      <c r="N104" s="151"/>
      <c r="O104" s="151"/>
      <c r="P104" s="152"/>
      <c r="V104" s="226"/>
      <c r="W104" s="820"/>
      <c r="X104" s="820"/>
      <c r="Y104" s="164"/>
      <c r="Z104" s="164"/>
      <c r="AA104" s="164"/>
      <c r="AB104" s="164"/>
      <c r="AC104" s="152"/>
      <c r="AE104" s="564"/>
      <c r="AF104" s="565"/>
      <c r="AG104" s="565"/>
      <c r="AH104" s="565"/>
      <c r="AI104" s="565"/>
      <c r="AJ104" s="565"/>
      <c r="AK104" s="565"/>
      <c r="AL104" s="565"/>
      <c r="AM104" s="565"/>
      <c r="AN104" s="565"/>
      <c r="AO104" s="565"/>
      <c r="AP104" s="565"/>
      <c r="AQ104" s="565"/>
      <c r="AR104" s="565"/>
      <c r="AS104" s="565"/>
      <c r="AT104" s="565"/>
      <c r="AU104" s="566"/>
      <c r="AV104" s="566"/>
      <c r="AW104" s="566"/>
      <c r="AX104" s="566"/>
      <c r="AY104" s="564"/>
      <c r="AZ104" s="565"/>
      <c r="BA104" s="565"/>
      <c r="BB104" s="568"/>
      <c r="BD104" s="2492"/>
      <c r="BE104" s="2442"/>
      <c r="BF104" s="2504"/>
      <c r="BG104" s="2128"/>
      <c r="BH104" s="2128"/>
    </row>
    <row r="105" spans="2:60" s="114" customFormat="1" ht="13.2" hidden="1" outlineLevel="2">
      <c r="B105" s="2386" t="s">
        <v>4905</v>
      </c>
      <c r="C105" s="341"/>
      <c r="D105" s="212"/>
      <c r="E105" s="212"/>
      <c r="F105" s="2507"/>
      <c r="G105" s="2507"/>
      <c r="H105" s="219"/>
      <c r="I105" s="219"/>
      <c r="J105" s="219"/>
      <c r="K105" s="219"/>
      <c r="L105" s="151"/>
      <c r="M105" s="151"/>
      <c r="N105" s="151"/>
      <c r="O105" s="151"/>
      <c r="P105" s="152"/>
      <c r="V105" s="226"/>
      <c r="W105" s="820"/>
      <c r="X105" s="820"/>
      <c r="Y105" s="164"/>
      <c r="Z105" s="164"/>
      <c r="AA105" s="164"/>
      <c r="AB105" s="164"/>
      <c r="AC105" s="152"/>
      <c r="AE105" s="564"/>
      <c r="AF105" s="565"/>
      <c r="AG105" s="565"/>
      <c r="AH105" s="565"/>
      <c r="AI105" s="565"/>
      <c r="AJ105" s="565"/>
      <c r="AK105" s="565"/>
      <c r="AL105" s="565"/>
      <c r="AM105" s="565"/>
      <c r="AN105" s="565"/>
      <c r="AO105" s="565"/>
      <c r="AP105" s="565"/>
      <c r="AQ105" s="565"/>
      <c r="AR105" s="565"/>
      <c r="AS105" s="565"/>
      <c r="AT105" s="565"/>
      <c r="AU105" s="566"/>
      <c r="AV105" s="566"/>
      <c r="AW105" s="566"/>
      <c r="AX105" s="566"/>
      <c r="AY105" s="564"/>
      <c r="AZ105" s="565"/>
      <c r="BA105" s="565"/>
      <c r="BB105" s="568"/>
      <c r="BD105" s="2492"/>
      <c r="BE105" s="2442"/>
      <c r="BF105" s="2504"/>
      <c r="BG105" s="2128"/>
      <c r="BH105" s="2128"/>
    </row>
    <row r="106" spans="2:60" s="114" customFormat="1" ht="13.2" hidden="1" outlineLevel="2">
      <c r="B106" s="389" t="s">
        <v>4981</v>
      </c>
      <c r="C106" s="341"/>
      <c r="D106" s="212">
        <f>P106</f>
        <v>0</v>
      </c>
      <c r="E106" s="212"/>
      <c r="F106" s="2388"/>
      <c r="G106" s="2388"/>
      <c r="H106" s="219"/>
      <c r="I106" s="219">
        <f>IF(ISNA(VLOOKUP($B106&amp;"; "&amp;$H$101,'FE Déchets'!$G:$U,9,FALSE)),0, VLOOKUP($B106&amp;"; "&amp;$H$101,'FE Déchets'!$G:$U,9,FALSE))</f>
        <v>1995</v>
      </c>
      <c r="J106" s="219"/>
      <c r="K106" s="219"/>
      <c r="L106" s="151"/>
      <c r="M106" s="151"/>
      <c r="N106" s="151"/>
      <c r="O106" s="151"/>
      <c r="P106" s="152">
        <f t="shared" ref="P106:P110" si="35">G106*I106</f>
        <v>0</v>
      </c>
      <c r="V106" s="226">
        <f>IF(AC106=0,AC106,AC106/P106)</f>
        <v>0</v>
      </c>
      <c r="W106" s="343"/>
      <c r="X106" s="820"/>
      <c r="Y106" s="164"/>
      <c r="Z106" s="164"/>
      <c r="AA106" s="164"/>
      <c r="AB106" s="164"/>
      <c r="AC106" s="152">
        <f t="shared" ref="AC106:AC110" si="36">P106*BE106</f>
        <v>0</v>
      </c>
      <c r="AE106" s="564">
        <f>$G106*IF(ISNA(VLOOKUP($B106&amp;"; "&amp;$H$101,'FE Déchets'!$G:$U,10,FALSE)),0,VLOOKUP($B106&amp;"; "&amp;$H$101,'FE Déchets'!$G:$U,10,FALSE))</f>
        <v>0</v>
      </c>
      <c r="AF106" s="565"/>
      <c r="AG106" s="565"/>
      <c r="AH106" s="565"/>
      <c r="AI106" s="565">
        <f>$G106*IF(ISNA(VLOOKUP($B106&amp;"; "&amp;$H$101,'FE Déchets'!$G:$U,11,FALSE)+VLOOKUP($B106&amp;"; "&amp;$H$101,'FE Déchets'!$G:$U,12,FALSE)),0,
VLOOKUP($B106&amp;"; "&amp;$H$101,'FE Déchets'!$G:$U,11,FALSE)+VLOOKUP($B106&amp;"; "&amp;$H$101,'FE Déchets'!$G:$U,12,FALSE))</f>
        <v>0</v>
      </c>
      <c r="AJ106" s="565"/>
      <c r="AK106" s="565"/>
      <c r="AL106" s="565"/>
      <c r="AM106" s="565">
        <f>$G106*IF(ISNA(VLOOKUP($B106&amp;"; "&amp;$H$101,'FE Déchets'!$G:$U,13,FALSE)),0,VLOOKUP($B106&amp;"; "&amp;$H$101,'FE Déchets'!$G:$U,13,FALSE))</f>
        <v>0</v>
      </c>
      <c r="AN106" s="565"/>
      <c r="AO106" s="565"/>
      <c r="AP106" s="565"/>
      <c r="AQ106" s="565">
        <f>$G106*IF(ISNA(VLOOKUP($B106&amp;"; "&amp;$H$101,'FE Déchets'!$G:$U,14,FALSE)),0,VLOOKUP($B106&amp;"; "&amp;$H$101,'FE Déchets'!$G:$U,14,FALSE))</f>
        <v>0</v>
      </c>
      <c r="AR106" s="565"/>
      <c r="AS106" s="565"/>
      <c r="AT106" s="565"/>
      <c r="AU106" s="566">
        <f>SUM(AE106,AI106,AM106,AQ106)</f>
        <v>0</v>
      </c>
      <c r="AV106" s="566"/>
      <c r="AW106" s="566"/>
      <c r="AX106" s="566"/>
      <c r="AY106" s="564">
        <f>$G106*IF(ISNA(VLOOKUP($B106&amp;"; "&amp;$H$101,'FE Déchets'!$G:$U,15,FALSE)),0,VLOOKUP($B106&amp;"; "&amp;$H$101,'FE Déchets'!$G:$U,15,FALSE))</f>
        <v>0</v>
      </c>
      <c r="AZ106" s="565"/>
      <c r="BA106" s="565"/>
      <c r="BB106" s="568"/>
      <c r="BD106" s="2492">
        <f>IF($W106&lt;&gt;"votre valeur :",IF(ISNA(VLOOKUP($W106,Utilitaires!$N$566:$O$571,2,FALSE)),,VLOOKUP($W106,Utilitaires!$N$566:$O$571,2,FALSE)),$X106)</f>
        <v>0</v>
      </c>
      <c r="BE106" s="2442">
        <f>IF(ISNA(SQRT(SUMSQ(VLOOKUP($B106&amp;"; "&amp;$H$101,'FE Déchets'!$G:$U,7,FALSE),$BD106))),0,SQRT(SUMSQ(VLOOKUP($B106&amp;"; "&amp;$H$101,'FE Déchets'!$G:$U,7,FALSE),$BD106)))</f>
        <v>1</v>
      </c>
      <c r="BF106" s="2504"/>
      <c r="BG106" s="2128"/>
      <c r="BH106" s="2128"/>
    </row>
    <row r="107" spans="2:60" s="114" customFormat="1" ht="13.2" hidden="1" outlineLevel="2">
      <c r="B107" s="389" t="s">
        <v>4982</v>
      </c>
      <c r="C107" s="341"/>
      <c r="D107" s="212">
        <f>P107</f>
        <v>0</v>
      </c>
      <c r="E107" s="212"/>
      <c r="F107" s="2389"/>
      <c r="G107" s="2389"/>
      <c r="H107" s="219"/>
      <c r="I107" s="219">
        <f>IF(ISNA(VLOOKUP($B107&amp;"; "&amp;$H$101,'FE Déchets'!$G:$U,9,FALSE)),0, VLOOKUP($B107&amp;"; "&amp;$H$101,'FE Déchets'!$G:$U,9,FALSE))</f>
        <v>907</v>
      </c>
      <c r="J107" s="219"/>
      <c r="K107" s="219"/>
      <c r="L107" s="151"/>
      <c r="M107" s="151"/>
      <c r="N107" s="151"/>
      <c r="O107" s="151"/>
      <c r="P107" s="152">
        <f t="shared" si="35"/>
        <v>0</v>
      </c>
      <c r="V107" s="226">
        <f>IF(AC107=0,AC107,AC107/P107)</f>
        <v>0</v>
      </c>
      <c r="W107" s="343"/>
      <c r="X107" s="820"/>
      <c r="Y107" s="164"/>
      <c r="Z107" s="164"/>
      <c r="AA107" s="164"/>
      <c r="AB107" s="164"/>
      <c r="AC107" s="152">
        <f t="shared" si="36"/>
        <v>0</v>
      </c>
      <c r="AE107" s="564">
        <f>$G107*IF(ISNA(VLOOKUP($B107&amp;"; "&amp;$H$101,'FE Déchets'!$G:$U,10,FALSE)),0,VLOOKUP($B107&amp;"; "&amp;$H$101,'FE Déchets'!$G:$U,10,FALSE))</f>
        <v>0</v>
      </c>
      <c r="AF107" s="565"/>
      <c r="AG107" s="565"/>
      <c r="AH107" s="565"/>
      <c r="AI107" s="565">
        <f>$G107*IF(ISNA(VLOOKUP($B107&amp;"; "&amp;$H$101,'FE Déchets'!$G:$U,11,FALSE)+VLOOKUP($B107&amp;"; "&amp;$H$101,'FE Déchets'!$G:$U,12,FALSE)),0,
VLOOKUP($B107&amp;"; "&amp;$H$101,'FE Déchets'!$G:$U,11,FALSE)+VLOOKUP($B107&amp;"; "&amp;$H$101,'FE Déchets'!$G:$U,12,FALSE))</f>
        <v>0</v>
      </c>
      <c r="AJ107" s="565"/>
      <c r="AK107" s="565"/>
      <c r="AL107" s="565"/>
      <c r="AM107" s="565">
        <f>$G107*IF(ISNA(VLOOKUP($B107&amp;"; "&amp;$H$101,'FE Déchets'!$G:$U,13,FALSE)),0,VLOOKUP($B107&amp;"; "&amp;$H$101,'FE Déchets'!$G:$U,13,FALSE))</f>
        <v>0</v>
      </c>
      <c r="AN107" s="565"/>
      <c r="AO107" s="565"/>
      <c r="AP107" s="565"/>
      <c r="AQ107" s="565">
        <f>$G107*IF(ISNA(VLOOKUP($B107&amp;"; "&amp;$H$101,'FE Déchets'!$G:$U,14,FALSE)),0,VLOOKUP($B107&amp;"; "&amp;$H$101,'FE Déchets'!$G:$U,14,FALSE))</f>
        <v>0</v>
      </c>
      <c r="AR107" s="565"/>
      <c r="AS107" s="565"/>
      <c r="AT107" s="565"/>
      <c r="AU107" s="566">
        <f>SUM(AE107,AI107,AM107,AQ107)</f>
        <v>0</v>
      </c>
      <c r="AV107" s="566"/>
      <c r="AW107" s="566"/>
      <c r="AX107" s="566"/>
      <c r="AY107" s="564">
        <f>$G107*IF(ISNA(VLOOKUP($B107&amp;"; "&amp;$H$101,'FE Déchets'!$G:$U,15,FALSE)),0,VLOOKUP($B107&amp;"; "&amp;$H$101,'FE Déchets'!$G:$U,15,FALSE))</f>
        <v>0</v>
      </c>
      <c r="AZ107" s="565"/>
      <c r="BA107" s="565"/>
      <c r="BB107" s="568"/>
      <c r="BD107" s="2492">
        <f>IF($W107&lt;&gt;"votre valeur :",IF(ISNA(VLOOKUP($W107,Utilitaires!$N$566:$O$571,2,FALSE)),,VLOOKUP($W107,Utilitaires!$N$566:$O$571,2,FALSE)),$X107)</f>
        <v>0</v>
      </c>
      <c r="BE107" s="2442">
        <f>IF(ISNA(SQRT(SUMSQ(VLOOKUP($B107&amp;"; "&amp;$H$101,'FE Déchets'!$G:$U,7,FALSE),$BD107))),0,SQRT(SUMSQ(VLOOKUP($B107&amp;"; "&amp;$H$101,'FE Déchets'!$G:$U,7,FALSE),$BD107)))</f>
        <v>0.1</v>
      </c>
      <c r="BF107" s="2504"/>
      <c r="BG107" s="2128"/>
      <c r="BH107" s="2128"/>
    </row>
    <row r="108" spans="2:60" s="114" customFormat="1" ht="13.2" hidden="1" outlineLevel="2">
      <c r="B108" s="389" t="s">
        <v>4983</v>
      </c>
      <c r="C108" s="341"/>
      <c r="D108" s="212">
        <f>P108</f>
        <v>0</v>
      </c>
      <c r="E108" s="212"/>
      <c r="F108" s="2389"/>
      <c r="G108" s="2389"/>
      <c r="H108" s="219"/>
      <c r="I108" s="219">
        <f>IF(ISNA(VLOOKUP($B108&amp;"; "&amp;$H$101,'FE Déchets'!$G:$U,9,FALSE)),0, VLOOKUP($B108&amp;"; "&amp;$H$101,'FE Déchets'!$G:$U,9,FALSE))</f>
        <v>5064</v>
      </c>
      <c r="J108" s="219"/>
      <c r="K108" s="219"/>
      <c r="L108" s="151"/>
      <c r="M108" s="151"/>
      <c r="N108" s="151"/>
      <c r="O108" s="151"/>
      <c r="P108" s="152">
        <f t="shared" si="35"/>
        <v>0</v>
      </c>
      <c r="V108" s="226">
        <f>IF(AC108=0,AC108,AC108/P108)</f>
        <v>0</v>
      </c>
      <c r="W108" s="1094"/>
      <c r="X108" s="820"/>
      <c r="Y108" s="164"/>
      <c r="Z108" s="164"/>
      <c r="AA108" s="164"/>
      <c r="AB108" s="164"/>
      <c r="AC108" s="152">
        <f t="shared" si="36"/>
        <v>0</v>
      </c>
      <c r="AE108" s="564">
        <f>$G108*IF(ISNA(VLOOKUP($B108&amp;"; "&amp;$H$101,'FE Déchets'!$G:$U,10,FALSE)),0,VLOOKUP($B108&amp;"; "&amp;$H$101,'FE Déchets'!$G:$U,10,FALSE))</f>
        <v>0</v>
      </c>
      <c r="AF108" s="565"/>
      <c r="AG108" s="565"/>
      <c r="AH108" s="565"/>
      <c r="AI108" s="565">
        <f>$G108*IF(ISNA(VLOOKUP($B108&amp;"; "&amp;$H$101,'FE Déchets'!$G:$U,11,FALSE)+VLOOKUP($B108&amp;"; "&amp;$H$101,'FE Déchets'!$G:$U,12,FALSE)),0,
VLOOKUP($B108&amp;"; "&amp;$H$101,'FE Déchets'!$G:$U,11,FALSE)+VLOOKUP($B108&amp;"; "&amp;$H$101,'FE Déchets'!$G:$U,12,FALSE))</f>
        <v>0</v>
      </c>
      <c r="AJ108" s="565"/>
      <c r="AK108" s="565"/>
      <c r="AL108" s="565"/>
      <c r="AM108" s="565">
        <f>$G108*IF(ISNA(VLOOKUP($B108&amp;"; "&amp;$H$101,'FE Déchets'!$G:$U,13,FALSE)),0,VLOOKUP($B108&amp;"; "&amp;$H$101,'FE Déchets'!$G:$U,13,FALSE))</f>
        <v>0</v>
      </c>
      <c r="AN108" s="565"/>
      <c r="AO108" s="565"/>
      <c r="AP108" s="565"/>
      <c r="AQ108" s="565">
        <f>$G108*IF(ISNA(VLOOKUP($B108&amp;"; "&amp;$H$101,'FE Déchets'!$G:$U,14,FALSE)),0,VLOOKUP($B108&amp;"; "&amp;$H$101,'FE Déchets'!$G:$U,14,FALSE))</f>
        <v>0</v>
      </c>
      <c r="AR108" s="565"/>
      <c r="AS108" s="565"/>
      <c r="AT108" s="565"/>
      <c r="AU108" s="566">
        <f>SUM(AE108,AI108,AM108,AQ108)</f>
        <v>0</v>
      </c>
      <c r="AV108" s="566"/>
      <c r="AW108" s="566"/>
      <c r="AX108" s="566"/>
      <c r="AY108" s="564">
        <f>$G108*IF(ISNA(VLOOKUP($B108&amp;"; "&amp;$H$101,'FE Déchets'!$G:$U,15,FALSE)),0,VLOOKUP($B108&amp;"; "&amp;$H$101,'FE Déchets'!$G:$U,15,FALSE))</f>
        <v>0</v>
      </c>
      <c r="AZ108" s="565"/>
      <c r="BA108" s="565"/>
      <c r="BB108" s="568"/>
      <c r="BD108" s="2492">
        <f>IF($W108&lt;&gt;"votre valeur :",IF(ISNA(VLOOKUP($W108,Utilitaires!$N$566:$O$571,2,FALSE)),,VLOOKUP($W108,Utilitaires!$N$566:$O$571,2,FALSE)),$X108)</f>
        <v>0</v>
      </c>
      <c r="BE108" s="2442">
        <f>IF(ISNA(SQRT(SUMSQ(VLOOKUP($B108&amp;"; "&amp;$H$101,'FE Déchets'!$G:$U,7,FALSE),$BD108))),0,SQRT(SUMSQ(VLOOKUP($B108&amp;"; "&amp;$H$101,'FE Déchets'!$G:$U,7,FALSE),$BD108)))</f>
        <v>0.1</v>
      </c>
      <c r="BF108" s="2504"/>
      <c r="BG108" s="2128"/>
      <c r="BH108" s="2128"/>
    </row>
    <row r="109" spans="2:60" s="114" customFormat="1" ht="13.2" hidden="1" outlineLevel="2">
      <c r="B109" s="389" t="s">
        <v>4984</v>
      </c>
      <c r="C109" s="341"/>
      <c r="D109" s="212">
        <f>P109</f>
        <v>0</v>
      </c>
      <c r="E109" s="212"/>
      <c r="F109" s="2389"/>
      <c r="G109" s="2389"/>
      <c r="H109" s="219"/>
      <c r="I109" s="219">
        <f>IF(ISNA(VLOOKUP($B109&amp;"; "&amp;$H$101,'FE Déchets'!$G:$U,9,FALSE)),0, VLOOKUP($B109&amp;"; "&amp;$H$101,'FE Déchets'!$G:$U,9,FALSE))</f>
        <v>802</v>
      </c>
      <c r="J109" s="219"/>
      <c r="K109" s="219"/>
      <c r="L109" s="151"/>
      <c r="M109" s="151"/>
      <c r="N109" s="151"/>
      <c r="O109" s="151"/>
      <c r="P109" s="152">
        <f t="shared" si="35"/>
        <v>0</v>
      </c>
      <c r="V109" s="226">
        <f>IF(AC109=0,AC109,AC109/P109)</f>
        <v>0</v>
      </c>
      <c r="W109" s="343"/>
      <c r="X109" s="820"/>
      <c r="Y109" s="164"/>
      <c r="Z109" s="164"/>
      <c r="AA109" s="164"/>
      <c r="AB109" s="164"/>
      <c r="AC109" s="152">
        <f t="shared" si="36"/>
        <v>0</v>
      </c>
      <c r="AE109" s="564">
        <f>$G109*IF(ISNA(VLOOKUP($B109&amp;"; "&amp;$H$101,'FE Déchets'!$G:$U,10,FALSE)),0,VLOOKUP($B109&amp;"; "&amp;$H$101,'FE Déchets'!$G:$U,10,FALSE))</f>
        <v>0</v>
      </c>
      <c r="AF109" s="565"/>
      <c r="AG109" s="565"/>
      <c r="AH109" s="565"/>
      <c r="AI109" s="565">
        <f>$G109*IF(ISNA(VLOOKUP($B109&amp;"; "&amp;$H$101,'FE Déchets'!$G:$U,11,FALSE)+VLOOKUP($B109&amp;"; "&amp;$H$101,'FE Déchets'!$G:$U,12,FALSE)),0,
VLOOKUP($B109&amp;"; "&amp;$H$101,'FE Déchets'!$G:$U,11,FALSE)+VLOOKUP($B109&amp;"; "&amp;$H$101,'FE Déchets'!$G:$U,12,FALSE))</f>
        <v>0</v>
      </c>
      <c r="AJ109" s="565"/>
      <c r="AK109" s="565"/>
      <c r="AL109" s="565"/>
      <c r="AM109" s="565">
        <f>$G109*IF(ISNA(VLOOKUP($B109&amp;"; "&amp;$H$101,'FE Déchets'!$G:$U,13,FALSE)),0,VLOOKUP($B109&amp;"; "&amp;$H$101,'FE Déchets'!$G:$U,13,FALSE))</f>
        <v>0</v>
      </c>
      <c r="AN109" s="565"/>
      <c r="AO109" s="565"/>
      <c r="AP109" s="565"/>
      <c r="AQ109" s="565">
        <f>$G109*IF(ISNA(VLOOKUP($B109&amp;"; "&amp;$H$101,'FE Déchets'!$G:$U,14,FALSE)),0,VLOOKUP($B109&amp;"; "&amp;$H$101,'FE Déchets'!$G:$U,14,FALSE))</f>
        <v>0</v>
      </c>
      <c r="AR109" s="565"/>
      <c r="AS109" s="565"/>
      <c r="AT109" s="565"/>
      <c r="AU109" s="566">
        <f>SUM(AE109,AI109,AM109,AQ109)</f>
        <v>0</v>
      </c>
      <c r="AV109" s="566"/>
      <c r="AW109" s="566"/>
      <c r="AX109" s="566"/>
      <c r="AY109" s="564">
        <f>$G109*IF(ISNA(VLOOKUP($B109&amp;"; "&amp;$H$101,'FE Déchets'!$G:$U,15,FALSE)),0,VLOOKUP($B109&amp;"; "&amp;$H$101,'FE Déchets'!$G:$U,15,FALSE))</f>
        <v>0</v>
      </c>
      <c r="AZ109" s="565"/>
      <c r="BA109" s="565"/>
      <c r="BB109" s="568"/>
      <c r="BD109" s="1065">
        <f>IF($W109&lt;&gt;"votre valeur :",IF(ISNA(VLOOKUP($W109,Utilitaires!$N$566:$O$571,2,FALSE)),,VLOOKUP($W109,Utilitaires!$N$566:$O$571,2,FALSE)),$X109)</f>
        <v>0</v>
      </c>
      <c r="BE109" s="2442">
        <f>IF(ISNA(SQRT(SUMSQ(VLOOKUP($B109&amp;"; "&amp;$H$101,'FE Déchets'!$G:$U,7,FALSE),$BD109))),0,SQRT(SUMSQ(VLOOKUP($B109&amp;"; "&amp;$H$101,'FE Déchets'!$G:$U,7,FALSE),$BD109)))</f>
        <v>0.1</v>
      </c>
      <c r="BF109" s="2504"/>
      <c r="BG109" s="2128"/>
      <c r="BH109" s="2128"/>
    </row>
    <row r="110" spans="2:60" s="114" customFormat="1" ht="13.2" hidden="1" outlineLevel="2">
      <c r="B110" s="389" t="s">
        <v>4985</v>
      </c>
      <c r="C110" s="341"/>
      <c r="D110" s="212">
        <f>P110</f>
        <v>0</v>
      </c>
      <c r="E110" s="212"/>
      <c r="F110" s="2390"/>
      <c r="G110" s="2390"/>
      <c r="H110" s="219"/>
      <c r="I110" s="219">
        <f>IF(ISNA(VLOOKUP($B110&amp;"; "&amp;$H$101,'FE Déchets'!$G:$U,9,FALSE)),0, VLOOKUP($B110&amp;"; "&amp;$H$101,'FE Déchets'!$G:$U,9,FALSE))</f>
        <v>749</v>
      </c>
      <c r="J110" s="219"/>
      <c r="K110" s="219"/>
      <c r="L110" s="151"/>
      <c r="M110" s="151"/>
      <c r="N110" s="151"/>
      <c r="O110" s="151"/>
      <c r="P110" s="152">
        <f t="shared" si="35"/>
        <v>0</v>
      </c>
      <c r="V110" s="226">
        <f>IF(AC110=0,AC110,AC110/P110)</f>
        <v>0</v>
      </c>
      <c r="W110" s="1094"/>
      <c r="X110" s="820"/>
      <c r="Y110" s="164"/>
      <c r="Z110" s="164"/>
      <c r="AA110" s="164"/>
      <c r="AB110" s="164"/>
      <c r="AC110" s="152">
        <f t="shared" si="36"/>
        <v>0</v>
      </c>
      <c r="AE110" s="564">
        <f>$G110*IF(ISNA(VLOOKUP($B110&amp;"; "&amp;$H$101,'FE Déchets'!$G:$U,10,FALSE)),0,VLOOKUP($B110&amp;"; "&amp;$H$101,'FE Déchets'!$G:$U,10,FALSE))</f>
        <v>0</v>
      </c>
      <c r="AF110" s="565"/>
      <c r="AG110" s="565"/>
      <c r="AH110" s="565"/>
      <c r="AI110" s="565">
        <f>$G110*IF(ISNA(VLOOKUP($B110&amp;"; "&amp;$H$101,'FE Déchets'!$G:$U,11,FALSE)+VLOOKUP($B110&amp;"; "&amp;$H$101,'FE Déchets'!$G:$U,12,FALSE)),0,
VLOOKUP($B110&amp;"; "&amp;$H$101,'FE Déchets'!$G:$U,11,FALSE)+VLOOKUP($B110&amp;"; "&amp;$H$101,'FE Déchets'!$G:$U,12,FALSE))</f>
        <v>0</v>
      </c>
      <c r="AJ110" s="565"/>
      <c r="AK110" s="565"/>
      <c r="AL110" s="565"/>
      <c r="AM110" s="565">
        <f>$G110*IF(ISNA(VLOOKUP($B110&amp;"; "&amp;$H$101,'FE Déchets'!$G:$U,13,FALSE)),0,VLOOKUP($B110&amp;"; "&amp;$H$101,'FE Déchets'!$G:$U,13,FALSE))</f>
        <v>0</v>
      </c>
      <c r="AN110" s="565"/>
      <c r="AO110" s="565"/>
      <c r="AP110" s="565"/>
      <c r="AQ110" s="565">
        <f>$G110*IF(ISNA(VLOOKUP($B110&amp;"; "&amp;$H$101,'FE Déchets'!$G:$U,14,FALSE)),0,VLOOKUP($B110&amp;"; "&amp;$H$101,'FE Déchets'!$G:$U,14,FALSE))</f>
        <v>0</v>
      </c>
      <c r="AR110" s="565"/>
      <c r="AS110" s="565"/>
      <c r="AT110" s="565"/>
      <c r="AU110" s="566">
        <f>SUM(AE110,AI110,AM110,AQ110)</f>
        <v>0</v>
      </c>
      <c r="AV110" s="566"/>
      <c r="AW110" s="566"/>
      <c r="AX110" s="566"/>
      <c r="AY110" s="564">
        <f>$G110*IF(ISNA(VLOOKUP($B110&amp;"; "&amp;$H$101,'FE Déchets'!$G:$U,15,FALSE)),0,VLOOKUP($B110&amp;"; "&amp;$H$101,'FE Déchets'!$G:$U,15,FALSE))</f>
        <v>0</v>
      </c>
      <c r="AZ110" s="565"/>
      <c r="BA110" s="565"/>
      <c r="BB110" s="568"/>
      <c r="BD110" s="1065">
        <f>IF($W110&lt;&gt;"votre valeur :",IF(ISNA(VLOOKUP($W110,Utilitaires!$N$566:$O$571,2,FALSE)),,VLOOKUP($W110,Utilitaires!$N$566:$O$571,2,FALSE)),$X110)</f>
        <v>0</v>
      </c>
      <c r="BE110" s="2442">
        <f>IF(ISNA(SQRT(SUMSQ(VLOOKUP($B110&amp;"; "&amp;$H$101,'FE Déchets'!$G:$U,7,FALSE),$BD110))),0,SQRT(SUMSQ(VLOOKUP($B110&amp;"; "&amp;$H$101,'FE Déchets'!$G:$U,7,FALSE),$BD110)))</f>
        <v>0.1</v>
      </c>
      <c r="BF110" s="2504"/>
      <c r="BG110" s="2128"/>
      <c r="BH110" s="2128"/>
    </row>
    <row r="111" spans="2:60" s="114" customFormat="1" ht="13.2" hidden="1" outlineLevel="2">
      <c r="B111" s="143"/>
      <c r="C111" s="144"/>
      <c r="D111" s="219"/>
      <c r="E111" s="219"/>
      <c r="F111" s="219"/>
      <c r="G111" s="164"/>
      <c r="H111" s="326"/>
      <c r="I111" s="326"/>
      <c r="J111" s="326"/>
      <c r="K111" s="326"/>
      <c r="L111" s="151"/>
      <c r="M111" s="151"/>
      <c r="N111" s="151"/>
      <c r="O111" s="354"/>
      <c r="P111" s="152"/>
      <c r="V111" s="226"/>
      <c r="W111" s="155"/>
      <c r="X111" s="155"/>
      <c r="Y111" s="164"/>
      <c r="Z111" s="164"/>
      <c r="AA111" s="164"/>
      <c r="AB111" s="164"/>
      <c r="AC111" s="367"/>
      <c r="AE111" s="569"/>
      <c r="AF111" s="625"/>
      <c r="AG111" s="625"/>
      <c r="AH111" s="625"/>
      <c r="AI111" s="625"/>
      <c r="AJ111" s="625"/>
      <c r="AK111" s="625"/>
      <c r="AL111" s="625"/>
      <c r="AM111" s="625"/>
      <c r="AN111" s="625"/>
      <c r="AO111" s="625"/>
      <c r="AP111" s="625"/>
      <c r="AQ111" s="625"/>
      <c r="AR111" s="625"/>
      <c r="AS111" s="625"/>
      <c r="AT111" s="625"/>
      <c r="AU111" s="1313"/>
      <c r="AV111" s="1313"/>
      <c r="AW111" s="1313"/>
      <c r="AX111" s="1313"/>
      <c r="AY111" s="564">
        <f>$G111*IF(ISNA(VLOOKUP($B111&amp;"; "&amp;$H$101,'FE Déchets'!$G:$U,15,FALSE)),0,VLOOKUP($B111&amp;"; "&amp;$H$101,'FE Déchets'!$G:$U,15,FALSE))</f>
        <v>0</v>
      </c>
      <c r="AZ111" s="1313"/>
      <c r="BA111" s="625"/>
      <c r="BB111" s="570"/>
      <c r="BD111" s="1087"/>
      <c r="BE111" s="1075"/>
      <c r="BF111" s="2505"/>
      <c r="BG111" s="2387"/>
      <c r="BH111" s="2387"/>
    </row>
    <row r="112" spans="2:60" s="114" customFormat="1" ht="13.2" outlineLevel="1">
      <c r="B112" s="1264" t="s">
        <v>348</v>
      </c>
      <c r="C112" s="197"/>
      <c r="D112" s="214">
        <f>SUM(D103:D111)</f>
        <v>0</v>
      </c>
      <c r="E112" s="214"/>
      <c r="F112" s="214"/>
      <c r="G112" s="203"/>
      <c r="H112" s="203"/>
      <c r="I112" s="202"/>
      <c r="J112" s="203"/>
      <c r="K112" s="203"/>
      <c r="L112" s="202"/>
      <c r="M112" s="202"/>
      <c r="N112" s="202"/>
      <c r="O112" s="202"/>
      <c r="P112" s="200">
        <f>SUM(P103:P111)</f>
        <v>0</v>
      </c>
      <c r="V112" s="1204">
        <f>IF(AC112=0,AC112,AC112/P112)</f>
        <v>0</v>
      </c>
      <c r="W112" s="199"/>
      <c r="X112" s="199"/>
      <c r="Y112" s="204"/>
      <c r="Z112" s="204"/>
      <c r="AA112" s="204"/>
      <c r="AB112" s="204"/>
      <c r="AC112" s="200">
        <f>SQRT(SUMSQ(AC103:AC111))</f>
        <v>0</v>
      </c>
      <c r="AE112" s="1308">
        <f>SUM(AE103:AE111)</f>
        <v>0</v>
      </c>
      <c r="AF112" s="1309"/>
      <c r="AG112" s="1309"/>
      <c r="AH112" s="1309"/>
      <c r="AI112" s="1309">
        <f t="shared" ref="AI112:AY112" si="37">SUM(AI103:AI111)</f>
        <v>0</v>
      </c>
      <c r="AJ112" s="1309"/>
      <c r="AK112" s="1309"/>
      <c r="AL112" s="1309"/>
      <c r="AM112" s="1309">
        <f t="shared" si="37"/>
        <v>0</v>
      </c>
      <c r="AN112" s="1309"/>
      <c r="AO112" s="1309"/>
      <c r="AP112" s="1309"/>
      <c r="AQ112" s="1309">
        <f t="shared" si="37"/>
        <v>0</v>
      </c>
      <c r="AR112" s="1309"/>
      <c r="AS112" s="1309"/>
      <c r="AT112" s="1309"/>
      <c r="AU112" s="1312">
        <f t="shared" si="37"/>
        <v>0</v>
      </c>
      <c r="AV112" s="1312"/>
      <c r="AW112" s="1312"/>
      <c r="AX112" s="1312"/>
      <c r="AY112" s="1082">
        <f t="shared" si="37"/>
        <v>0</v>
      </c>
      <c r="AZ112" s="572"/>
      <c r="BA112" s="572"/>
      <c r="BB112" s="575"/>
    </row>
    <row r="113" spans="2:60" s="114" customFormat="1" ht="13.2" outlineLevel="1">
      <c r="Y113" s="441"/>
      <c r="AA113" s="441"/>
      <c r="AC113" s="441"/>
      <c r="AD113" s="441"/>
      <c r="AE113" s="441"/>
      <c r="AF113" s="441"/>
      <c r="AG113" s="441"/>
      <c r="AH113" s="441"/>
      <c r="AI113" s="441"/>
      <c r="AJ113" s="441"/>
      <c r="AK113" s="441"/>
      <c r="AL113" s="441"/>
      <c r="AM113" s="441"/>
      <c r="AN113" s="441"/>
      <c r="AO113" s="441"/>
      <c r="AP113" s="441"/>
      <c r="AQ113" s="441"/>
      <c r="AR113" s="441"/>
      <c r="AS113" s="441"/>
    </row>
    <row r="114" spans="2:60" s="114" customFormat="1" ht="12.75" customHeight="1" outlineLevel="1" collapsed="1">
      <c r="B114" s="1091" t="s">
        <v>5117</v>
      </c>
      <c r="C114" s="140"/>
      <c r="D114" s="1396"/>
      <c r="E114" s="1434"/>
      <c r="F114" s="1648"/>
      <c r="G114" s="1434"/>
      <c r="H114" s="1434"/>
      <c r="I114" s="1434"/>
      <c r="J114" s="1434"/>
      <c r="K114" s="1434"/>
      <c r="L114" s="1434"/>
      <c r="M114" s="1434"/>
      <c r="N114" s="1434"/>
      <c r="O114" s="1412"/>
      <c r="P114" s="1435"/>
      <c r="V114" s="2636" t="s">
        <v>366</v>
      </c>
      <c r="W114" s="2637"/>
      <c r="X114" s="2637"/>
      <c r="Y114" s="2637"/>
      <c r="Z114" s="2637"/>
      <c r="AA114" s="2637"/>
      <c r="AB114" s="2637"/>
      <c r="AC114" s="2638"/>
      <c r="AE114" s="2639" t="s">
        <v>441</v>
      </c>
      <c r="AF114" s="2640"/>
      <c r="AG114" s="2640"/>
      <c r="AH114" s="2640"/>
      <c r="AI114" s="2640"/>
      <c r="AJ114" s="2640"/>
      <c r="AK114" s="2640"/>
      <c r="AL114" s="2640"/>
      <c r="AM114" s="2640"/>
      <c r="AN114" s="2640"/>
      <c r="AO114" s="2640"/>
      <c r="AP114" s="2640"/>
      <c r="AQ114" s="2640"/>
      <c r="AR114" s="2640"/>
      <c r="AS114" s="2640"/>
      <c r="AT114" s="2640"/>
      <c r="AU114" s="2640"/>
      <c r="AV114" s="2640"/>
      <c r="AW114" s="2640"/>
      <c r="AX114" s="2640"/>
      <c r="AY114" s="2640"/>
      <c r="AZ114" s="2640"/>
      <c r="BA114" s="2640"/>
      <c r="BB114" s="2641"/>
    </row>
    <row r="115" spans="2:60" s="114" customFormat="1" ht="12.75" hidden="1" customHeight="1" outlineLevel="2">
      <c r="B115" s="332"/>
      <c r="C115" s="167"/>
      <c r="D115" s="1402" t="s">
        <v>308</v>
      </c>
      <c r="E115" s="1440"/>
      <c r="F115" s="1663"/>
      <c r="G115" s="1440"/>
      <c r="H115" s="1440"/>
      <c r="I115" s="1440"/>
      <c r="J115" s="1440"/>
      <c r="K115" s="1440"/>
      <c r="L115" s="1426"/>
      <c r="M115" s="1426"/>
      <c r="N115" s="1426"/>
      <c r="O115" s="565"/>
      <c r="P115" s="1446"/>
      <c r="V115" s="1425"/>
      <c r="W115" s="819"/>
      <c r="X115" s="819"/>
      <c r="Y115" s="1424"/>
      <c r="Z115" s="1424"/>
      <c r="AA115" s="1424"/>
      <c r="AB115" s="1424"/>
      <c r="AC115" s="145"/>
      <c r="AE115" s="2642" t="s">
        <v>444</v>
      </c>
      <c r="AF115" s="2643"/>
      <c r="AG115" s="2643"/>
      <c r="AH115" s="2643"/>
      <c r="AI115" s="2643"/>
      <c r="AJ115" s="2643"/>
      <c r="AK115" s="2643"/>
      <c r="AL115" s="2643"/>
      <c r="AM115" s="2643"/>
      <c r="AN115" s="2643"/>
      <c r="AO115" s="2643"/>
      <c r="AP115" s="2643"/>
      <c r="AQ115" s="2643"/>
      <c r="AR115" s="2643"/>
      <c r="AS115" s="2643"/>
      <c r="AT115" s="2643"/>
      <c r="AU115" s="1421" t="s">
        <v>444</v>
      </c>
      <c r="AV115" s="1421"/>
      <c r="AW115" s="1421"/>
      <c r="AX115" s="1433"/>
      <c r="AY115" s="1432"/>
      <c r="AZ115" s="1421"/>
      <c r="BA115" s="1421"/>
      <c r="BB115" s="1433"/>
      <c r="BD115" s="2616" t="s">
        <v>1648</v>
      </c>
      <c r="BE115" s="2618"/>
      <c r="BF115" s="1789"/>
      <c r="BG115" s="1774"/>
      <c r="BH115" s="1774"/>
    </row>
    <row r="116" spans="2:60" s="114" customFormat="1" ht="12.75" hidden="1" customHeight="1" outlineLevel="2">
      <c r="B116" s="1376"/>
      <c r="C116" s="1377"/>
      <c r="D116" s="1377" t="s">
        <v>409</v>
      </c>
      <c r="E116" s="1426"/>
      <c r="F116" s="147" t="s">
        <v>450</v>
      </c>
      <c r="G116" s="2494" t="s">
        <v>199</v>
      </c>
      <c r="H116" s="2626" t="s">
        <v>1585</v>
      </c>
      <c r="I116" s="2628"/>
      <c r="J116" s="2628"/>
      <c r="K116" s="2628"/>
      <c r="L116" s="1440"/>
      <c r="M116" s="1440"/>
      <c r="N116" s="1440"/>
      <c r="O116" s="1440"/>
      <c r="P116" s="1446" t="s">
        <v>444</v>
      </c>
      <c r="V116" s="1425" t="s">
        <v>316</v>
      </c>
      <c r="W116" s="1430" t="s">
        <v>316</v>
      </c>
      <c r="X116" s="1431"/>
      <c r="Y116" s="1426"/>
      <c r="Z116" s="1426"/>
      <c r="AA116" s="1426"/>
      <c r="AB116" s="1426"/>
      <c r="AC116" s="1446" t="s">
        <v>444</v>
      </c>
      <c r="AE116" s="1422" t="s">
        <v>211</v>
      </c>
      <c r="AF116" s="1423"/>
      <c r="AG116" s="1423"/>
      <c r="AH116" s="1423"/>
      <c r="AI116" s="1423" t="s">
        <v>442</v>
      </c>
      <c r="AJ116" s="1423"/>
      <c r="AK116" s="1423"/>
      <c r="AL116" s="1423"/>
      <c r="AM116" s="1423" t="s">
        <v>267</v>
      </c>
      <c r="AN116" s="1423"/>
      <c r="AO116" s="1423"/>
      <c r="AP116" s="1423"/>
      <c r="AQ116" s="1423" t="s">
        <v>443</v>
      </c>
      <c r="AR116" s="1423"/>
      <c r="AS116" s="1423"/>
      <c r="AT116" s="1423"/>
      <c r="AU116" s="1436" t="s">
        <v>327</v>
      </c>
      <c r="AV116" s="1436"/>
      <c r="AW116" s="1436"/>
      <c r="AX116" s="1437"/>
      <c r="AY116" s="1450"/>
      <c r="AZ116" s="1423" t="s">
        <v>636</v>
      </c>
      <c r="BA116" s="566"/>
      <c r="BB116" s="567"/>
      <c r="BD116" s="1441" t="s">
        <v>5116</v>
      </c>
      <c r="BE116" s="2471" t="s">
        <v>2187</v>
      </c>
      <c r="BF116" s="1789"/>
      <c r="BG116" s="1774"/>
      <c r="BH116" s="1774"/>
    </row>
    <row r="117" spans="2:60" s="114" customFormat="1" ht="13.2" hidden="1" outlineLevel="2">
      <c r="B117" s="1376" t="s">
        <v>4986</v>
      </c>
      <c r="C117" s="1377"/>
      <c r="D117" s="1377" t="s">
        <v>444</v>
      </c>
      <c r="E117" s="1426"/>
      <c r="F117" s="1439" t="s">
        <v>447</v>
      </c>
      <c r="G117" s="2495" t="s">
        <v>22</v>
      </c>
      <c r="H117" s="1453"/>
      <c r="I117" s="1453"/>
      <c r="J117" s="1453"/>
      <c r="K117" s="1453"/>
      <c r="L117" s="1427"/>
      <c r="M117" s="581"/>
      <c r="N117" s="1427"/>
      <c r="O117" s="1427"/>
      <c r="P117" s="1446"/>
      <c r="V117" s="1425" t="s">
        <v>1649</v>
      </c>
      <c r="W117" s="1428" t="s">
        <v>1650</v>
      </c>
      <c r="X117" s="1429"/>
      <c r="Y117" s="1453"/>
      <c r="Z117" s="1452"/>
      <c r="AA117" s="1452"/>
      <c r="AB117" s="1452"/>
      <c r="AC117" s="1446"/>
      <c r="AE117" s="227"/>
      <c r="AF117" s="1453"/>
      <c r="AG117" s="1453"/>
      <c r="AH117" s="1453"/>
      <c r="AI117" s="1453"/>
      <c r="AJ117" s="1453"/>
      <c r="AK117" s="1453"/>
      <c r="AL117" s="1453"/>
      <c r="AM117" s="1453"/>
      <c r="AN117" s="1453"/>
      <c r="AO117" s="1453"/>
      <c r="AP117" s="1453"/>
      <c r="AQ117" s="1453"/>
      <c r="AR117" s="1453"/>
      <c r="AS117" s="1453"/>
      <c r="AT117" s="1453"/>
      <c r="AU117" s="1453"/>
      <c r="AV117" s="1453"/>
      <c r="AW117" s="1453"/>
      <c r="AX117" s="1453"/>
      <c r="AY117" s="227"/>
      <c r="AZ117" s="1453"/>
      <c r="BA117" s="1453"/>
      <c r="BB117" s="1171"/>
      <c r="BD117" s="1442"/>
      <c r="BE117" s="2470"/>
      <c r="BF117" s="1789"/>
      <c r="BG117" s="1774"/>
      <c r="BH117" s="1774"/>
    </row>
    <row r="118" spans="2:60" s="114" customFormat="1" ht="13.2" hidden="1" outlineLevel="2">
      <c r="B118" s="389" t="s">
        <v>4987</v>
      </c>
      <c r="C118" s="341"/>
      <c r="D118" s="212">
        <f>P118</f>
        <v>0</v>
      </c>
      <c r="E118" s="212"/>
      <c r="F118" s="2388"/>
      <c r="G118" s="2388"/>
      <c r="H118" s="219"/>
      <c r="I118" s="219">
        <f>IF(ISNA(VLOOKUP($B118&amp;"; "&amp;$H$116,'FE Déchets'!$G:$U,9,FALSE)),0, VLOOKUP($B118&amp;"; "&amp;$H$116,'FE Déchets'!$G:$U,9,FALSE))</f>
        <v>437</v>
      </c>
      <c r="J118" s="219"/>
      <c r="K118" s="219"/>
      <c r="L118" s="151"/>
      <c r="M118" s="151"/>
      <c r="N118" s="151"/>
      <c r="O118" s="151"/>
      <c r="P118" s="152">
        <f>G118*I118</f>
        <v>0</v>
      </c>
      <c r="V118" s="226">
        <f>IF(AC118=0,AC118,AC118/P118)</f>
        <v>0</v>
      </c>
      <c r="W118" s="343"/>
      <c r="X118" s="820"/>
      <c r="Y118" s="164"/>
      <c r="Z118" s="164"/>
      <c r="AA118" s="164"/>
      <c r="AB118" s="164"/>
      <c r="AC118" s="152">
        <f>P118*BE118</f>
        <v>0</v>
      </c>
      <c r="AE118" s="564">
        <f>$G118*IF(ISNA(VLOOKUP($B118&amp;"; "&amp;$H$116,'FE Déchets'!$G:$U,10,FALSE)),0,VLOOKUP($B118&amp;"; "&amp;$H$116,'FE Déchets'!$G:$U,10,FALSE))</f>
        <v>0</v>
      </c>
      <c r="AF118" s="565"/>
      <c r="AG118" s="565"/>
      <c r="AH118" s="565"/>
      <c r="AI118" s="565">
        <f>$G118*IF(ISNA(VLOOKUP($B118&amp;"; "&amp;$H$116,'FE Déchets'!$G:$U,11,FALSE)+VLOOKUP($B118&amp;"; "&amp;$H$116,'FE Déchets'!$G:$U,12,FALSE)),0,
VLOOKUP($B118&amp;"; "&amp;$H$116,'FE Déchets'!$G:$U,11,FALSE)+VLOOKUP($B118&amp;"; "&amp;$H$116,'FE Déchets'!$G:$U,12,FALSE))</f>
        <v>0</v>
      </c>
      <c r="AJ118" s="565"/>
      <c r="AK118" s="565"/>
      <c r="AL118" s="565"/>
      <c r="AM118" s="565">
        <f>$G118*IF(ISNA(VLOOKUP($B118&amp;"; "&amp;$H$116,'FE Déchets'!$G:$U,13,FALSE)),0,VLOOKUP($B118&amp;"; "&amp;$H$116,'FE Déchets'!$G:$U,13,FALSE))</f>
        <v>0</v>
      </c>
      <c r="AN118" s="565"/>
      <c r="AO118" s="565"/>
      <c r="AP118" s="565"/>
      <c r="AQ118" s="565">
        <f>$G118*IF(ISNA(VLOOKUP($B118&amp;"; "&amp;$H$116,'FE Déchets'!$G:$U,14,FALSE)),0,VLOOKUP($B118&amp;"; "&amp;$H$116,'FE Déchets'!$G:$U,14,FALSE))</f>
        <v>0</v>
      </c>
      <c r="AR118" s="565"/>
      <c r="AS118" s="565"/>
      <c r="AT118" s="565"/>
      <c r="AU118" s="566">
        <f>SUM(AE118,AI118,AM118,AQ118)</f>
        <v>0</v>
      </c>
      <c r="AV118" s="566"/>
      <c r="AW118" s="566"/>
      <c r="AX118" s="566"/>
      <c r="AY118" s="564">
        <f>$G118*IF(ISNA(VLOOKUP($B118&amp;"; "&amp;$H$116,'FE Déchets'!$G:$U,15,FALSE)),0,VLOOKUP($B118&amp;"; "&amp;$H$116,'FE Déchets'!$G:$U,15,FALSE))</f>
        <v>0</v>
      </c>
      <c r="AZ118" s="565"/>
      <c r="BA118" s="565"/>
      <c r="BB118" s="568"/>
      <c r="BD118" s="1065">
        <f>IF($W118&lt;&gt;"votre valeur :",IF(ISNA(VLOOKUP($W118,Utilitaires!$N$566:$O$571,2,FALSE)),,VLOOKUP($W118,Utilitaires!$N$566:$O$571,2,FALSE)),$X118)</f>
        <v>0</v>
      </c>
      <c r="BE118" s="1124">
        <f>IF(ISNA(SQRT(SUMSQ(VLOOKUP($B118&amp;"; "&amp;$H$116,'FE Déchets'!$G:$U,7,FALSE),$BD118))),0,SQRT(SUMSQ(VLOOKUP($B118&amp;"; "&amp;$H$116,'FE Déchets'!$G:$U,7,FALSE),$BD118)))</f>
        <v>0.2</v>
      </c>
      <c r="BF118" s="2504"/>
      <c r="BG118" s="2128"/>
      <c r="BH118" s="2128"/>
    </row>
    <row r="119" spans="2:60" s="114" customFormat="1" ht="13.2" hidden="1" outlineLevel="2">
      <c r="B119" s="389" t="s">
        <v>4988</v>
      </c>
      <c r="C119" s="341"/>
      <c r="D119" s="212">
        <f>P119</f>
        <v>0</v>
      </c>
      <c r="E119" s="212"/>
      <c r="F119" s="2389"/>
      <c r="G119" s="2389"/>
      <c r="H119" s="219"/>
      <c r="I119" s="219">
        <f>IF(ISNA(VLOOKUP($B119&amp;"; "&amp;$H$116,'FE Déchets'!$G:$U,9,FALSE)),0, VLOOKUP($B119&amp;"; "&amp;$H$116,'FE Déchets'!$G:$U,9,FALSE))</f>
        <v>661</v>
      </c>
      <c r="J119" s="219"/>
      <c r="K119" s="219"/>
      <c r="L119" s="151"/>
      <c r="M119" s="151"/>
      <c r="N119" s="151"/>
      <c r="O119" s="151"/>
      <c r="P119" s="152">
        <f t="shared" ref="P119:P125" si="38">G119*I119</f>
        <v>0</v>
      </c>
      <c r="V119" s="226">
        <f>IF(AC119=0,AC119,AC119/P119)</f>
        <v>0</v>
      </c>
      <c r="W119" s="343"/>
      <c r="X119" s="820"/>
      <c r="Y119" s="164"/>
      <c r="Z119" s="164"/>
      <c r="AA119" s="164"/>
      <c r="AB119" s="164"/>
      <c r="AC119" s="152">
        <f t="shared" ref="AC119:AC125" si="39">P119*BE119</f>
        <v>0</v>
      </c>
      <c r="AE119" s="564">
        <f>$G119*IF(ISNA(VLOOKUP($B119&amp;"; "&amp;$H$116,'FE Déchets'!$G:$U,10,FALSE)),0,VLOOKUP($B119&amp;"; "&amp;$H$116,'FE Déchets'!$G:$U,10,FALSE))</f>
        <v>0</v>
      </c>
      <c r="AF119" s="565"/>
      <c r="AG119" s="565"/>
      <c r="AH119" s="565"/>
      <c r="AI119" s="565">
        <f>$G119*IF(ISNA(VLOOKUP($B119&amp;"; "&amp;$H$116,'FE Déchets'!$G:$U,11,FALSE)+VLOOKUP($B119&amp;"; "&amp;$H$116,'FE Déchets'!$G:$U,12,FALSE)),0,
VLOOKUP($B119&amp;"; "&amp;$H$116,'FE Déchets'!$G:$U,11,FALSE)+VLOOKUP($B119&amp;"; "&amp;$H$116,'FE Déchets'!$G:$U,12,FALSE))</f>
        <v>0</v>
      </c>
      <c r="AJ119" s="565"/>
      <c r="AK119" s="565"/>
      <c r="AL119" s="565"/>
      <c r="AM119" s="565">
        <f>$G119*IF(ISNA(VLOOKUP($B119&amp;"; "&amp;$H$116,'FE Déchets'!$G:$U,13,FALSE)),0,VLOOKUP($B119&amp;"; "&amp;$H$116,'FE Déchets'!$G:$U,13,FALSE))</f>
        <v>0</v>
      </c>
      <c r="AN119" s="565"/>
      <c r="AO119" s="565"/>
      <c r="AP119" s="565"/>
      <c r="AQ119" s="565">
        <f>$G119*IF(ISNA(VLOOKUP($B119&amp;"; "&amp;$H$116,'FE Déchets'!$G:$U,14,FALSE)),0,VLOOKUP($B119&amp;"; "&amp;$H$116,'FE Déchets'!$G:$U,14,FALSE))</f>
        <v>0</v>
      </c>
      <c r="AR119" s="565"/>
      <c r="AS119" s="565"/>
      <c r="AT119" s="565"/>
      <c r="AU119" s="566">
        <f>SUM(AE119,AI119,AM119,AQ119)</f>
        <v>0</v>
      </c>
      <c r="AV119" s="566"/>
      <c r="AW119" s="566"/>
      <c r="AX119" s="566"/>
      <c r="AY119" s="564">
        <f>$G119*IF(ISNA(VLOOKUP($B119&amp;"; "&amp;$H$116,'FE Déchets'!$G:$U,15,FALSE)),0,VLOOKUP($B119&amp;"; "&amp;$H$116,'FE Déchets'!$G:$U,15,FALSE))</f>
        <v>0</v>
      </c>
      <c r="AZ119" s="565"/>
      <c r="BA119" s="565"/>
      <c r="BB119" s="568"/>
      <c r="BD119" s="1065">
        <f>IF($W119&lt;&gt;"votre valeur :",IF(ISNA(VLOOKUP($W119,Utilitaires!$N$566:$O$571,2,FALSE)),,VLOOKUP($W119,Utilitaires!$N$566:$O$571,2,FALSE)),$X119)</f>
        <v>0</v>
      </c>
      <c r="BE119" s="2442">
        <f>IF(ISNA(SQRT(SUMSQ(VLOOKUP($B119&amp;"; "&amp;$H$116,'FE Déchets'!$G:$U,7,FALSE),$BD119))),0,SQRT(SUMSQ(VLOOKUP($B119&amp;"; "&amp;$H$116,'FE Déchets'!$G:$U,7,FALSE),$BD119)))</f>
        <v>0.5</v>
      </c>
      <c r="BF119" s="2504"/>
      <c r="BG119" s="2128"/>
      <c r="BH119" s="2128"/>
    </row>
    <row r="120" spans="2:60" s="114" customFormat="1" ht="13.2" hidden="1" outlineLevel="2">
      <c r="B120" s="389" t="s">
        <v>4989</v>
      </c>
      <c r="C120" s="341"/>
      <c r="D120" s="212">
        <f>P120</f>
        <v>0</v>
      </c>
      <c r="E120" s="212"/>
      <c r="F120" s="2389"/>
      <c r="G120" s="2389"/>
      <c r="H120" s="219"/>
      <c r="I120" s="219">
        <f>IF(ISNA(VLOOKUP($B120&amp;"; "&amp;$H$116,'FE Déchets'!$G:$U,9,FALSE)),0, VLOOKUP($B120&amp;"; "&amp;$H$116,'FE Déchets'!$G:$U,9,FALSE))</f>
        <v>531</v>
      </c>
      <c r="J120" s="219"/>
      <c r="K120" s="219"/>
      <c r="L120" s="151"/>
      <c r="M120" s="151"/>
      <c r="N120" s="151"/>
      <c r="O120" s="151"/>
      <c r="P120" s="152">
        <f t="shared" si="38"/>
        <v>0</v>
      </c>
      <c r="V120" s="226">
        <f>IF(AC120=0,AC120,AC120/P120)</f>
        <v>0</v>
      </c>
      <c r="W120" s="1094"/>
      <c r="X120" s="820"/>
      <c r="Y120" s="164"/>
      <c r="Z120" s="164"/>
      <c r="AA120" s="164"/>
      <c r="AB120" s="164"/>
      <c r="AC120" s="152">
        <f t="shared" si="39"/>
        <v>0</v>
      </c>
      <c r="AE120" s="564">
        <f>$G120*IF(ISNA(VLOOKUP($B120&amp;"; "&amp;$H$116,'FE Déchets'!$G:$U,10,FALSE)),0,VLOOKUP($B120&amp;"; "&amp;$H$116,'FE Déchets'!$G:$U,10,FALSE))</f>
        <v>0</v>
      </c>
      <c r="AF120" s="565"/>
      <c r="AG120" s="565"/>
      <c r="AH120" s="565"/>
      <c r="AI120" s="565">
        <f>$G120*IF(ISNA(VLOOKUP($B120&amp;"; "&amp;$H$116,'FE Déchets'!$G:$U,11,FALSE)+VLOOKUP($B120&amp;"; "&amp;$H$116,'FE Déchets'!$G:$U,12,FALSE)),0,
VLOOKUP($B120&amp;"; "&amp;$H$116,'FE Déchets'!$G:$U,11,FALSE)+VLOOKUP($B120&amp;"; "&amp;$H$116,'FE Déchets'!$G:$U,12,FALSE))</f>
        <v>0</v>
      </c>
      <c r="AJ120" s="565"/>
      <c r="AK120" s="565"/>
      <c r="AL120" s="565"/>
      <c r="AM120" s="565">
        <f>$G120*IF(ISNA(VLOOKUP($B120&amp;"; "&amp;$H$116,'FE Déchets'!$G:$U,13,FALSE)),0,VLOOKUP($B120&amp;"; "&amp;$H$116,'FE Déchets'!$G:$U,13,FALSE))</f>
        <v>0</v>
      </c>
      <c r="AN120" s="565"/>
      <c r="AO120" s="565"/>
      <c r="AP120" s="565"/>
      <c r="AQ120" s="565">
        <f>$G120*IF(ISNA(VLOOKUP($B120&amp;"; "&amp;$H$116,'FE Déchets'!$G:$U,14,FALSE)),0,VLOOKUP($B120&amp;"; "&amp;$H$116,'FE Déchets'!$G:$U,14,FALSE))</f>
        <v>0</v>
      </c>
      <c r="AR120" s="565"/>
      <c r="AS120" s="565"/>
      <c r="AT120" s="565"/>
      <c r="AU120" s="566">
        <f>SUM(AE120,AI120,AM120,AQ120)</f>
        <v>0</v>
      </c>
      <c r="AV120" s="566"/>
      <c r="AW120" s="566"/>
      <c r="AX120" s="566"/>
      <c r="AY120" s="564">
        <f>$G120*IF(ISNA(VLOOKUP($B120&amp;"; "&amp;$H$116,'FE Déchets'!$G:$U,15,FALSE)),0,VLOOKUP($B120&amp;"; "&amp;$H$116,'FE Déchets'!$G:$U,15,FALSE))</f>
        <v>0</v>
      </c>
      <c r="AZ120" s="565"/>
      <c r="BA120" s="565"/>
      <c r="BB120" s="568"/>
      <c r="BD120" s="2492">
        <f>IF($W120&lt;&gt;"votre valeur :",IF(ISNA(VLOOKUP($W120,Utilitaires!$N$566:$O$571,2,FALSE)),,VLOOKUP($W120,Utilitaires!$N$566:$O$571,2,FALSE)),$X120)</f>
        <v>0</v>
      </c>
      <c r="BE120" s="2442">
        <f>IF(ISNA(SQRT(SUMSQ(VLOOKUP($B120&amp;"; "&amp;$H$116,'FE Déchets'!$G:$U,7,FALSE),$BD120))),0,SQRT(SUMSQ(VLOOKUP($B120&amp;"; "&amp;$H$116,'FE Déchets'!$G:$U,7,FALSE),$BD120)))</f>
        <v>0.2</v>
      </c>
      <c r="BF120" s="2504"/>
      <c r="BG120" s="2128"/>
      <c r="BH120" s="2128"/>
    </row>
    <row r="121" spans="2:60" s="114" customFormat="1" ht="13.2" hidden="1" outlineLevel="2">
      <c r="B121" s="389" t="s">
        <v>4990</v>
      </c>
      <c r="C121" s="341"/>
      <c r="D121" s="212">
        <f>P121</f>
        <v>0</v>
      </c>
      <c r="E121" s="212"/>
      <c r="F121" s="2390"/>
      <c r="G121" s="2390"/>
      <c r="H121" s="219"/>
      <c r="I121" s="219">
        <f>IF(ISNA(VLOOKUP($B121&amp;"; "&amp;$H$116,'FE Déchets'!$G:$U,9,FALSE)),0, VLOOKUP($B121&amp;"; "&amp;$H$116,'FE Déchets'!$G:$U,9,FALSE))</f>
        <v>780</v>
      </c>
      <c r="J121" s="219"/>
      <c r="K121" s="219"/>
      <c r="L121" s="151"/>
      <c r="M121" s="151"/>
      <c r="N121" s="151"/>
      <c r="O121" s="151"/>
      <c r="P121" s="152">
        <f t="shared" si="38"/>
        <v>0</v>
      </c>
      <c r="V121" s="226">
        <f>IF(AC121=0,AC121,AC121/P121)</f>
        <v>0</v>
      </c>
      <c r="W121" s="1094"/>
      <c r="X121" s="820"/>
      <c r="Y121" s="164"/>
      <c r="Z121" s="164"/>
      <c r="AA121" s="164"/>
      <c r="AB121" s="164"/>
      <c r="AC121" s="152">
        <f t="shared" si="39"/>
        <v>0</v>
      </c>
      <c r="AE121" s="564">
        <f>$G121*IF(ISNA(VLOOKUP($B121&amp;"; "&amp;$H$116,'FE Déchets'!$G:$U,10,FALSE)),0,VLOOKUP($B121&amp;"; "&amp;$H$116,'FE Déchets'!$G:$U,10,FALSE))</f>
        <v>0</v>
      </c>
      <c r="AF121" s="565"/>
      <c r="AG121" s="565"/>
      <c r="AH121" s="565"/>
      <c r="AI121" s="565">
        <f>$G121*IF(ISNA(VLOOKUP($B121&amp;"; "&amp;$H$116,'FE Déchets'!$G:$U,11,FALSE)+VLOOKUP($B121&amp;"; "&amp;$H$116,'FE Déchets'!$G:$U,12,FALSE)),0,
VLOOKUP($B121&amp;"; "&amp;$H$116,'FE Déchets'!$G:$U,11,FALSE)+VLOOKUP($B121&amp;"; "&amp;$H$116,'FE Déchets'!$G:$U,12,FALSE))</f>
        <v>0</v>
      </c>
      <c r="AJ121" s="565"/>
      <c r="AK121" s="565"/>
      <c r="AL121" s="565"/>
      <c r="AM121" s="565">
        <f>$G121*IF(ISNA(VLOOKUP($B121&amp;"; "&amp;$H$116,'FE Déchets'!$G:$U,13,FALSE)),0,VLOOKUP($B121&amp;"; "&amp;$H$116,'FE Déchets'!$G:$U,13,FALSE))</f>
        <v>0</v>
      </c>
      <c r="AN121" s="565"/>
      <c r="AO121" s="565"/>
      <c r="AP121" s="565"/>
      <c r="AQ121" s="565">
        <f>$G121*IF(ISNA(VLOOKUP($B121&amp;"; "&amp;$H$116,'FE Déchets'!$G:$U,14,FALSE)),0,VLOOKUP($B121&amp;"; "&amp;$H$116,'FE Déchets'!$G:$U,14,FALSE))</f>
        <v>0</v>
      </c>
      <c r="AR121" s="565"/>
      <c r="AS121" s="565"/>
      <c r="AT121" s="565"/>
      <c r="AU121" s="566">
        <f>SUM(AE121,AI121,AM121,AQ121)</f>
        <v>0</v>
      </c>
      <c r="AV121" s="566"/>
      <c r="AW121" s="566"/>
      <c r="AX121" s="566"/>
      <c r="AY121" s="564">
        <f>$G121*IF(ISNA(VLOOKUP($B121&amp;"; "&amp;$H$116,'FE Déchets'!$G:$U,15,FALSE)),0,VLOOKUP($B121&amp;"; "&amp;$H$116,'FE Déchets'!$G:$U,15,FALSE))</f>
        <v>0</v>
      </c>
      <c r="AZ121" s="565"/>
      <c r="BA121" s="565"/>
      <c r="BB121" s="568"/>
      <c r="BD121" s="2492">
        <f>IF($W121&lt;&gt;"votre valeur :",IF(ISNA(VLOOKUP($W121,Utilitaires!$N$566:$O$571,2,FALSE)),,VLOOKUP($W121,Utilitaires!$N$566:$O$571,2,FALSE)),$X121)</f>
        <v>0</v>
      </c>
      <c r="BE121" s="2442">
        <f>IF(ISNA(SQRT(SUMSQ(VLOOKUP($B121&amp;"; "&amp;$H$116,'FE Déchets'!$G:$U,7,FALSE),$BD121))),0,SQRT(SUMSQ(VLOOKUP($B121&amp;"; "&amp;$H$116,'FE Déchets'!$G:$U,7,FALSE),$BD121)))</f>
        <v>1</v>
      </c>
      <c r="BF121" s="2504"/>
      <c r="BG121" s="2128"/>
      <c r="BH121" s="2128"/>
    </row>
    <row r="122" spans="2:60" s="114" customFormat="1" ht="13.2" hidden="1" outlineLevel="2">
      <c r="B122" s="389"/>
      <c r="C122" s="341"/>
      <c r="D122" s="212"/>
      <c r="E122" s="212"/>
      <c r="F122" s="2507"/>
      <c r="G122" s="2507"/>
      <c r="H122" s="219"/>
      <c r="I122" s="219"/>
      <c r="J122" s="219"/>
      <c r="K122" s="219"/>
      <c r="L122" s="151"/>
      <c r="M122" s="151"/>
      <c r="N122" s="151"/>
      <c r="O122" s="151"/>
      <c r="P122" s="152"/>
      <c r="V122" s="226"/>
      <c r="W122" s="820"/>
      <c r="X122" s="820"/>
      <c r="Y122" s="164"/>
      <c r="Z122" s="164"/>
      <c r="AA122" s="164"/>
      <c r="AB122" s="164"/>
      <c r="AC122" s="152"/>
      <c r="AE122" s="564"/>
      <c r="AF122" s="565"/>
      <c r="AG122" s="565"/>
      <c r="AH122" s="565"/>
      <c r="AI122" s="565"/>
      <c r="AJ122" s="565"/>
      <c r="AK122" s="565"/>
      <c r="AL122" s="565"/>
      <c r="AM122" s="565"/>
      <c r="AN122" s="565"/>
      <c r="AO122" s="565"/>
      <c r="AP122" s="565"/>
      <c r="AQ122" s="565"/>
      <c r="AR122" s="565"/>
      <c r="AS122" s="565"/>
      <c r="AT122" s="565"/>
      <c r="AU122" s="566"/>
      <c r="AV122" s="566"/>
      <c r="AW122" s="566"/>
      <c r="AX122" s="566"/>
      <c r="AY122" s="564"/>
      <c r="AZ122" s="565"/>
      <c r="BA122" s="565"/>
      <c r="BB122" s="568"/>
      <c r="BD122" s="2492"/>
      <c r="BE122" s="2442"/>
      <c r="BF122" s="2504"/>
      <c r="BG122" s="2128"/>
      <c r="BH122" s="2128"/>
    </row>
    <row r="123" spans="2:60" s="114" customFormat="1" ht="13.2" hidden="1" outlineLevel="2">
      <c r="B123" s="2386" t="s">
        <v>4940</v>
      </c>
      <c r="C123" s="341"/>
      <c r="D123" s="212"/>
      <c r="E123" s="212"/>
      <c r="F123" s="2507"/>
      <c r="G123" s="2507"/>
      <c r="H123" s="219"/>
      <c r="I123" s="219"/>
      <c r="J123" s="219"/>
      <c r="K123" s="219"/>
      <c r="L123" s="151"/>
      <c r="M123" s="151"/>
      <c r="N123" s="151"/>
      <c r="O123" s="151"/>
      <c r="P123" s="152"/>
      <c r="V123" s="226"/>
      <c r="W123" s="820"/>
      <c r="X123" s="820"/>
      <c r="Y123" s="164"/>
      <c r="Z123" s="164"/>
      <c r="AA123" s="164"/>
      <c r="AB123" s="164"/>
      <c r="AC123" s="152"/>
      <c r="AE123" s="564"/>
      <c r="AF123" s="565"/>
      <c r="AG123" s="565"/>
      <c r="AH123" s="565"/>
      <c r="AI123" s="565"/>
      <c r="AJ123" s="565"/>
      <c r="AK123" s="565"/>
      <c r="AL123" s="565"/>
      <c r="AM123" s="565"/>
      <c r="AN123" s="565"/>
      <c r="AO123" s="565"/>
      <c r="AP123" s="565"/>
      <c r="AQ123" s="565"/>
      <c r="AR123" s="565"/>
      <c r="AS123" s="565"/>
      <c r="AT123" s="565"/>
      <c r="AU123" s="566"/>
      <c r="AV123" s="566"/>
      <c r="AW123" s="566"/>
      <c r="AX123" s="566"/>
      <c r="AY123" s="564"/>
      <c r="AZ123" s="565"/>
      <c r="BA123" s="565"/>
      <c r="BB123" s="568"/>
      <c r="BD123" s="2492"/>
      <c r="BE123" s="2442"/>
      <c r="BF123" s="2504"/>
      <c r="BG123" s="2128"/>
      <c r="BH123" s="2128"/>
    </row>
    <row r="124" spans="2:60" s="114" customFormat="1" ht="13.2" hidden="1" outlineLevel="2">
      <c r="B124" s="389" t="s">
        <v>4991</v>
      </c>
      <c r="C124" s="341"/>
      <c r="D124" s="212">
        <f>P124</f>
        <v>0</v>
      </c>
      <c r="E124" s="212"/>
      <c r="F124" s="2388"/>
      <c r="G124" s="2388"/>
      <c r="H124" s="219"/>
      <c r="I124" s="219">
        <f>IF(ISNA(VLOOKUP($B124&amp;"; "&amp;$H$116,'FE Déchets'!$G:$U,9,FALSE)),0, VLOOKUP($B124&amp;"; "&amp;$H$116,'FE Déchets'!$G:$U,9,FALSE))</f>
        <v>1382</v>
      </c>
      <c r="J124" s="219"/>
      <c r="K124" s="219"/>
      <c r="L124" s="151"/>
      <c r="M124" s="151"/>
      <c r="N124" s="151"/>
      <c r="O124" s="151"/>
      <c r="P124" s="152">
        <f t="shared" si="38"/>
        <v>0</v>
      </c>
      <c r="V124" s="226">
        <f>IF(AC124=0,AC124,AC124/P124)</f>
        <v>0</v>
      </c>
      <c r="W124" s="1094"/>
      <c r="X124" s="820"/>
      <c r="Y124" s="164"/>
      <c r="Z124" s="164"/>
      <c r="AA124" s="164"/>
      <c r="AB124" s="164"/>
      <c r="AC124" s="152">
        <f t="shared" si="39"/>
        <v>0</v>
      </c>
      <c r="AE124" s="564">
        <f>$G124*IF(ISNA(VLOOKUP($B124&amp;"; "&amp;$H$116,'FE Déchets'!$G:$U,10,FALSE)),0,VLOOKUP($B124&amp;"; "&amp;$H$116,'FE Déchets'!$G:$U,10,FALSE))</f>
        <v>0</v>
      </c>
      <c r="AF124" s="565"/>
      <c r="AG124" s="565"/>
      <c r="AH124" s="565"/>
      <c r="AI124" s="565">
        <f>$G124*IF(ISNA(VLOOKUP($B124&amp;"; "&amp;$H$116,'FE Déchets'!$G:$U,11,FALSE)+VLOOKUP($B124&amp;"; "&amp;$H$116,'FE Déchets'!$G:$U,12,FALSE)),0,
VLOOKUP($B124&amp;"; "&amp;$H$116,'FE Déchets'!$G:$U,11,FALSE)+VLOOKUP($B124&amp;"; "&amp;$H$116,'FE Déchets'!$G:$U,12,FALSE))</f>
        <v>0</v>
      </c>
      <c r="AJ124" s="565"/>
      <c r="AK124" s="565"/>
      <c r="AL124" s="565"/>
      <c r="AM124" s="565">
        <f>$G124*IF(ISNA(VLOOKUP($B124&amp;"; "&amp;$H$116,'FE Déchets'!$G:$U,13,FALSE)),0,VLOOKUP($B124&amp;"; "&amp;$H$116,'FE Déchets'!$G:$U,13,FALSE))</f>
        <v>0</v>
      </c>
      <c r="AN124" s="565"/>
      <c r="AO124" s="565"/>
      <c r="AP124" s="565"/>
      <c r="AQ124" s="565">
        <f>$G124*IF(ISNA(VLOOKUP($B124&amp;"; "&amp;$H$116,'FE Déchets'!$G:$U,14,FALSE)),0,VLOOKUP($B124&amp;"; "&amp;$H$116,'FE Déchets'!$G:$U,14,FALSE))</f>
        <v>0</v>
      </c>
      <c r="AR124" s="565"/>
      <c r="AS124" s="565"/>
      <c r="AT124" s="565"/>
      <c r="AU124" s="566">
        <f>SUM(AE124,AI124,AM124,AQ124)</f>
        <v>0</v>
      </c>
      <c r="AV124" s="566"/>
      <c r="AW124" s="566"/>
      <c r="AX124" s="566"/>
      <c r="AY124" s="564">
        <f>$G124*IF(ISNA(VLOOKUP($B124&amp;"; "&amp;$H$116,'FE Déchets'!$G:$U,15,FALSE)),0,VLOOKUP($B124&amp;"; "&amp;$H$116,'FE Déchets'!$G:$U,15,FALSE))</f>
        <v>0</v>
      </c>
      <c r="AZ124" s="565"/>
      <c r="BA124" s="565"/>
      <c r="BB124" s="568"/>
      <c r="BD124" s="2492">
        <f>IF($W124&lt;&gt;"votre valeur :",IF(ISNA(VLOOKUP($W124,Utilitaires!$N$566:$O$571,2,FALSE)),,VLOOKUP($W124,Utilitaires!$N$566:$O$571,2,FALSE)),$X124)</f>
        <v>0</v>
      </c>
      <c r="BE124" s="2442">
        <f>IF(ISNA(SQRT(SUMSQ(VLOOKUP($B124&amp;"; "&amp;$H$116,'FE Déchets'!$G:$U,7,FALSE),$BD124))),0,SQRT(SUMSQ(VLOOKUP($B124&amp;"; "&amp;$H$116,'FE Déchets'!$G:$U,7,FALSE),$BD124)))</f>
        <v>0.5</v>
      </c>
      <c r="BF124" s="2504"/>
      <c r="BG124" s="2128"/>
      <c r="BH124" s="2128"/>
    </row>
    <row r="125" spans="2:60" s="114" customFormat="1" ht="13.2" hidden="1" outlineLevel="2">
      <c r="B125" s="389" t="s">
        <v>4992</v>
      </c>
      <c r="C125" s="341"/>
      <c r="D125" s="212">
        <f>P125</f>
        <v>0</v>
      </c>
      <c r="E125" s="212"/>
      <c r="F125" s="2390"/>
      <c r="G125" s="2390"/>
      <c r="H125" s="219"/>
      <c r="I125" s="219">
        <f>IF(ISNA(VLOOKUP($B125&amp;"; "&amp;$H$116,'FE Déchets'!$G:$U,9,FALSE)),0, VLOOKUP($B125&amp;"; "&amp;$H$116,'FE Déchets'!$G:$U,9,FALSE))</f>
        <v>500</v>
      </c>
      <c r="J125" s="219"/>
      <c r="K125" s="219"/>
      <c r="L125" s="151"/>
      <c r="M125" s="151"/>
      <c r="N125" s="151"/>
      <c r="O125" s="151"/>
      <c r="P125" s="152">
        <f t="shared" si="38"/>
        <v>0</v>
      </c>
      <c r="V125" s="226">
        <f>IF(AC125=0,AC125,AC125/P125)</f>
        <v>0</v>
      </c>
      <c r="W125" s="1094"/>
      <c r="X125" s="820"/>
      <c r="Y125" s="164"/>
      <c r="Z125" s="164"/>
      <c r="AA125" s="164"/>
      <c r="AB125" s="164"/>
      <c r="AC125" s="152">
        <f t="shared" si="39"/>
        <v>0</v>
      </c>
      <c r="AE125" s="564">
        <f>$G125*IF(ISNA(VLOOKUP($B125&amp;"; "&amp;$H$116,'FE Déchets'!$G:$U,10,FALSE)),0,VLOOKUP($B125&amp;"; "&amp;$H$116,'FE Déchets'!$G:$U,10,FALSE))</f>
        <v>0</v>
      </c>
      <c r="AF125" s="565"/>
      <c r="AG125" s="565"/>
      <c r="AH125" s="565"/>
      <c r="AI125" s="565">
        <f>$G125*IF(ISNA(VLOOKUP($B125&amp;"; "&amp;$H$116,'FE Déchets'!$G:$U,11,FALSE)+VLOOKUP($B125&amp;"; "&amp;$H$116,'FE Déchets'!$G:$U,12,FALSE)),0,
VLOOKUP($B125&amp;"; "&amp;$H$116,'FE Déchets'!$G:$U,11,FALSE)+VLOOKUP($B125&amp;"; "&amp;$H$116,'FE Déchets'!$G:$U,12,FALSE))</f>
        <v>0</v>
      </c>
      <c r="AJ125" s="565"/>
      <c r="AK125" s="565"/>
      <c r="AL125" s="565"/>
      <c r="AM125" s="565">
        <f>$G125*IF(ISNA(VLOOKUP($B125&amp;"; "&amp;$H$116,'FE Déchets'!$G:$U,13,FALSE)),0,VLOOKUP($B125&amp;"; "&amp;$H$116,'FE Déchets'!$G:$U,13,FALSE))</f>
        <v>0</v>
      </c>
      <c r="AN125" s="565"/>
      <c r="AO125" s="565"/>
      <c r="AP125" s="565"/>
      <c r="AQ125" s="565">
        <f>$G125*IF(ISNA(VLOOKUP($B125&amp;"; "&amp;$H$116,'FE Déchets'!$G:$U,14,FALSE)),0,VLOOKUP($B125&amp;"; "&amp;$H$116,'FE Déchets'!$G:$U,14,FALSE))</f>
        <v>0</v>
      </c>
      <c r="AR125" s="565"/>
      <c r="AS125" s="565"/>
      <c r="AT125" s="565"/>
      <c r="AU125" s="566">
        <f>SUM(AE125,AI125,AM125,AQ125)</f>
        <v>0</v>
      </c>
      <c r="AV125" s="566"/>
      <c r="AW125" s="566"/>
      <c r="AX125" s="566"/>
      <c r="AY125" s="564">
        <f>$G125*IF(ISNA(VLOOKUP($B125&amp;"; "&amp;$H$116,'FE Déchets'!$G:$U,15,FALSE)),0,VLOOKUP($B125&amp;"; "&amp;$H$116,'FE Déchets'!$G:$U,15,FALSE))</f>
        <v>0</v>
      </c>
      <c r="AZ125" s="565"/>
      <c r="BA125" s="565"/>
      <c r="BB125" s="568"/>
      <c r="BD125" s="1065">
        <f>IF($W125&lt;&gt;"votre valeur :",IF(ISNA(VLOOKUP($W125,Utilitaires!$N$566:$O$571,2,FALSE)),,VLOOKUP($W125,Utilitaires!$N$566:$O$571,2,FALSE)),$X125)</f>
        <v>0</v>
      </c>
      <c r="BE125" s="2442">
        <f>IF(ISNA(SQRT(SUMSQ(VLOOKUP($B125&amp;"; "&amp;$H$116,'FE Déchets'!$G:$U,7,FALSE),$BD125))),0,SQRT(SUMSQ(VLOOKUP($B125&amp;"; "&amp;$H$116,'FE Déchets'!$G:$U,7,FALSE),$BD125)))</f>
        <v>0.5</v>
      </c>
      <c r="BF125" s="2504"/>
      <c r="BG125" s="2128"/>
      <c r="BH125" s="2128"/>
    </row>
    <row r="126" spans="2:60" s="114" customFormat="1" ht="13.2" hidden="1" outlineLevel="2">
      <c r="B126" s="143"/>
      <c r="C126" s="144"/>
      <c r="D126" s="219"/>
      <c r="E126" s="219"/>
      <c r="F126" s="219"/>
      <c r="G126" s="164"/>
      <c r="H126" s="326"/>
      <c r="I126" s="326"/>
      <c r="J126" s="326"/>
      <c r="K126" s="326"/>
      <c r="L126" s="151"/>
      <c r="M126" s="151"/>
      <c r="N126" s="151"/>
      <c r="O126" s="354"/>
      <c r="P126" s="152"/>
      <c r="V126" s="226"/>
      <c r="W126" s="155"/>
      <c r="X126" s="155"/>
      <c r="Y126" s="164"/>
      <c r="Z126" s="164"/>
      <c r="AA126" s="164"/>
      <c r="AB126" s="164"/>
      <c r="AC126" s="367"/>
      <c r="AE126" s="569"/>
      <c r="AF126" s="625"/>
      <c r="AG126" s="625"/>
      <c r="AH126" s="625"/>
      <c r="AI126" s="625"/>
      <c r="AJ126" s="625"/>
      <c r="AK126" s="625"/>
      <c r="AL126" s="625"/>
      <c r="AM126" s="625"/>
      <c r="AN126" s="625"/>
      <c r="AO126" s="625"/>
      <c r="AP126" s="625"/>
      <c r="AQ126" s="625"/>
      <c r="AR126" s="625"/>
      <c r="AS126" s="625"/>
      <c r="AT126" s="625"/>
      <c r="AU126" s="1313"/>
      <c r="AV126" s="1313"/>
      <c r="AW126" s="1313"/>
      <c r="AX126" s="1313"/>
      <c r="AY126" s="1411"/>
      <c r="AZ126" s="1313"/>
      <c r="BA126" s="625"/>
      <c r="BB126" s="570"/>
      <c r="BD126" s="1087"/>
      <c r="BE126" s="1075"/>
      <c r="BF126" s="2505"/>
      <c r="BG126" s="2387"/>
      <c r="BH126" s="2387"/>
    </row>
    <row r="127" spans="2:60" s="114" customFormat="1" ht="13.2" outlineLevel="1">
      <c r="B127" s="1264" t="s">
        <v>348</v>
      </c>
      <c r="C127" s="197"/>
      <c r="D127" s="214">
        <f>SUM(D118:D126)</f>
        <v>0</v>
      </c>
      <c r="E127" s="214"/>
      <c r="F127" s="214"/>
      <c r="G127" s="203"/>
      <c r="H127" s="203"/>
      <c r="I127" s="202"/>
      <c r="J127" s="203"/>
      <c r="K127" s="203"/>
      <c r="L127" s="202"/>
      <c r="M127" s="202"/>
      <c r="N127" s="202"/>
      <c r="O127" s="202"/>
      <c r="P127" s="200">
        <f>SUM(P118:P126)</f>
        <v>0</v>
      </c>
      <c r="V127" s="1204">
        <f>IF(AC127=0,AC127,AC127/P127)</f>
        <v>0</v>
      </c>
      <c r="W127" s="199"/>
      <c r="X127" s="199"/>
      <c r="Y127" s="204"/>
      <c r="Z127" s="204"/>
      <c r="AA127" s="204"/>
      <c r="AB127" s="204"/>
      <c r="AC127" s="200">
        <f>SQRT(SUMSQ(AC118:AC126))</f>
        <v>0</v>
      </c>
      <c r="AE127" s="1308">
        <f>SUM(AE118:AE126)</f>
        <v>0</v>
      </c>
      <c r="AF127" s="1309"/>
      <c r="AG127" s="1309"/>
      <c r="AH127" s="1309"/>
      <c r="AI127" s="1309">
        <f>SUM(AI118:AI126)</f>
        <v>0</v>
      </c>
      <c r="AJ127" s="1309"/>
      <c r="AK127" s="1309"/>
      <c r="AL127" s="1309"/>
      <c r="AM127" s="1309">
        <f>SUM(AM118:AM126)</f>
        <v>0</v>
      </c>
      <c r="AN127" s="1309"/>
      <c r="AO127" s="1309"/>
      <c r="AP127" s="1309"/>
      <c r="AQ127" s="1309">
        <f>SUM(AQ118:AQ126)</f>
        <v>0</v>
      </c>
      <c r="AR127" s="1309"/>
      <c r="AS127" s="1309"/>
      <c r="AT127" s="1309"/>
      <c r="AU127" s="1312">
        <f>SUM(AU118:AU126)</f>
        <v>0</v>
      </c>
      <c r="AV127" s="1312"/>
      <c r="AW127" s="1312"/>
      <c r="AX127" s="1312"/>
      <c r="AY127" s="1082">
        <f>SUM(AY118:AY126)</f>
        <v>0</v>
      </c>
      <c r="AZ127" s="572"/>
      <c r="BA127" s="572"/>
      <c r="BB127" s="575"/>
    </row>
    <row r="128" spans="2:60" s="114" customFormat="1" ht="13.2" outlineLevel="1">
      <c r="AJ128" s="441"/>
      <c r="AK128" s="441"/>
      <c r="AL128" s="441"/>
      <c r="AM128" s="441"/>
      <c r="AN128" s="441"/>
      <c r="AO128" s="441"/>
      <c r="AP128" s="441"/>
      <c r="AQ128" s="441"/>
      <c r="AR128" s="441"/>
      <c r="AS128" s="576"/>
      <c r="AT128" s="576"/>
      <c r="AU128" s="441"/>
    </row>
    <row r="129" spans="2:54" s="114" customFormat="1" ht="15.75" customHeight="1" outlineLevel="1" collapsed="1">
      <c r="B129" s="2776" t="s">
        <v>2528</v>
      </c>
      <c r="C129" s="2777"/>
      <c r="D129" s="2777"/>
      <c r="E129" s="2777"/>
      <c r="F129" s="2777"/>
      <c r="G129" s="2777"/>
      <c r="H129" s="2777"/>
      <c r="I129" s="2777"/>
      <c r="J129" s="2777"/>
      <c r="K129" s="2777"/>
      <c r="L129" s="2777"/>
      <c r="M129" s="2777"/>
      <c r="N129" s="2777"/>
      <c r="O129" s="2778"/>
      <c r="T129" s="441"/>
      <c r="V129" s="441"/>
      <c r="X129" s="441"/>
      <c r="Y129" s="441"/>
      <c r="Z129" s="441"/>
      <c r="AA129" s="441"/>
      <c r="AB129" s="441"/>
      <c r="AC129" s="441"/>
      <c r="AD129" s="441"/>
      <c r="AE129" s="441"/>
      <c r="AF129" s="441"/>
      <c r="AG129" s="441"/>
      <c r="AH129" s="441"/>
      <c r="AI129" s="441"/>
      <c r="AJ129" s="441"/>
      <c r="AK129" s="441"/>
      <c r="AL129" s="441"/>
      <c r="AM129" s="441"/>
      <c r="AN129" s="441"/>
      <c r="AO129" s="441"/>
    </row>
    <row r="130" spans="2:54" s="114" customFormat="1" ht="13.2" hidden="1" outlineLevel="2">
      <c r="T130" s="441"/>
      <c r="V130" s="441"/>
      <c r="X130" s="441"/>
      <c r="Y130" s="441"/>
      <c r="Z130" s="441"/>
      <c r="AA130" s="441"/>
      <c r="AB130" s="441"/>
      <c r="AC130" s="441"/>
      <c r="AD130" s="441"/>
      <c r="AE130" s="441"/>
      <c r="AF130" s="441"/>
      <c r="AG130" s="441"/>
      <c r="AH130" s="441"/>
      <c r="AI130" s="441"/>
      <c r="AJ130" s="441"/>
      <c r="AK130" s="441"/>
      <c r="AL130" s="441"/>
      <c r="AM130" s="441"/>
      <c r="AN130" s="441"/>
      <c r="AO130" s="441"/>
    </row>
    <row r="131" spans="2:54" s="114" customFormat="1" ht="12.75" hidden="1" customHeight="1" outlineLevel="2">
      <c r="B131" s="1906" t="s">
        <v>2527</v>
      </c>
      <c r="C131" s="1907"/>
      <c r="D131" s="1908"/>
      <c r="E131" s="1908"/>
      <c r="F131" s="1908"/>
      <c r="G131" s="1908"/>
      <c r="H131" s="1909"/>
      <c r="J131" s="2779" t="s">
        <v>2530</v>
      </c>
      <c r="K131" s="2780"/>
      <c r="L131" s="2780"/>
      <c r="M131" s="2780"/>
      <c r="N131" s="2780"/>
      <c r="O131" s="2781"/>
      <c r="Q131" s="2788" t="s">
        <v>366</v>
      </c>
      <c r="R131" s="2789"/>
      <c r="S131" s="441"/>
      <c r="T131" s="441"/>
      <c r="U131" s="441"/>
      <c r="V131" s="441"/>
      <c r="W131" s="441"/>
      <c r="X131" s="441"/>
      <c r="AA131" s="441"/>
      <c r="AB131" s="441"/>
      <c r="AC131" s="441"/>
      <c r="AD131" s="441"/>
      <c r="AE131" s="441"/>
      <c r="AF131" s="441"/>
      <c r="AG131" s="441"/>
      <c r="AH131" s="441"/>
      <c r="AI131" s="441"/>
      <c r="AJ131" s="441"/>
      <c r="AK131" s="441"/>
      <c r="AL131" s="441"/>
      <c r="AM131" s="441"/>
      <c r="AN131" s="441"/>
      <c r="AO131" s="441"/>
    </row>
    <row r="132" spans="2:54" s="114" customFormat="1" ht="12.75" hidden="1" customHeight="1" outlineLevel="2">
      <c r="B132" s="1910"/>
      <c r="C132" s="1911"/>
      <c r="D132" s="1912" t="s">
        <v>308</v>
      </c>
      <c r="E132" s="1912"/>
      <c r="F132" s="1912"/>
      <c r="G132" s="1912"/>
      <c r="H132" s="1913"/>
      <c r="J132" s="2782"/>
      <c r="K132" s="2783"/>
      <c r="L132" s="2783"/>
      <c r="M132" s="2783"/>
      <c r="N132" s="2783"/>
      <c r="O132" s="2784"/>
      <c r="Q132" s="1914"/>
      <c r="R132" s="1926"/>
      <c r="S132" s="441"/>
      <c r="T132" s="441"/>
      <c r="U132" s="441"/>
      <c r="V132" s="441"/>
      <c r="W132" s="441"/>
      <c r="X132" s="441"/>
      <c r="AA132" s="441"/>
      <c r="AB132" s="441"/>
      <c r="AC132" s="441"/>
      <c r="AD132" s="441"/>
      <c r="AE132" s="441"/>
      <c r="AF132" s="441"/>
      <c r="AG132" s="441"/>
      <c r="AH132" s="441"/>
      <c r="AI132" s="441"/>
      <c r="AJ132" s="441"/>
      <c r="AK132" s="441"/>
      <c r="AL132" s="441"/>
      <c r="AM132" s="441"/>
      <c r="AN132" s="441"/>
      <c r="AO132" s="441"/>
    </row>
    <row r="133" spans="2:54" s="114" customFormat="1" ht="12.75" hidden="1" customHeight="1" outlineLevel="2">
      <c r="B133" s="1914"/>
      <c r="C133" s="1915"/>
      <c r="D133" s="1915" t="s">
        <v>2524</v>
      </c>
      <c r="E133" s="1915"/>
      <c r="F133" s="1916" t="s">
        <v>199</v>
      </c>
      <c r="G133" s="452" t="s">
        <v>1585</v>
      </c>
      <c r="H133" s="1913" t="s">
        <v>444</v>
      </c>
      <c r="J133" s="2782"/>
      <c r="K133" s="2783"/>
      <c r="L133" s="2783"/>
      <c r="M133" s="2783"/>
      <c r="N133" s="2783"/>
      <c r="O133" s="2784"/>
      <c r="Q133" s="1914" t="s">
        <v>316</v>
      </c>
      <c r="R133" s="1913" t="s">
        <v>444</v>
      </c>
      <c r="S133" s="441"/>
      <c r="T133" s="441"/>
      <c r="U133" s="441"/>
      <c r="V133" s="441"/>
      <c r="W133" s="441"/>
      <c r="X133" s="441"/>
      <c r="AA133" s="441"/>
      <c r="AB133" s="441"/>
      <c r="AC133" s="441"/>
      <c r="AD133" s="441"/>
      <c r="AE133" s="441"/>
      <c r="AF133" s="441"/>
      <c r="AG133" s="441"/>
      <c r="AH133" s="441"/>
      <c r="AI133" s="441"/>
      <c r="AJ133" s="441"/>
      <c r="AK133" s="441"/>
      <c r="AL133" s="441"/>
      <c r="AM133" s="441"/>
      <c r="AN133" s="441"/>
      <c r="AO133" s="441"/>
    </row>
    <row r="134" spans="2:54" s="114" customFormat="1" ht="12.75" hidden="1" customHeight="1" outlineLevel="2">
      <c r="B134" s="1914"/>
      <c r="C134" s="1915"/>
      <c r="D134" s="1915" t="s">
        <v>444</v>
      </c>
      <c r="E134" s="1915"/>
      <c r="F134" s="1917" t="s">
        <v>22</v>
      </c>
      <c r="G134" s="1918" t="s">
        <v>2525</v>
      </c>
      <c r="H134" s="1913"/>
      <c r="J134" s="2782"/>
      <c r="K134" s="2783"/>
      <c r="L134" s="2783"/>
      <c r="M134" s="2783"/>
      <c r="N134" s="2783"/>
      <c r="O134" s="2784"/>
      <c r="Q134" s="1914" t="s">
        <v>1649</v>
      </c>
      <c r="R134" s="1913"/>
      <c r="S134" s="441"/>
      <c r="T134" s="441"/>
      <c r="U134" s="441"/>
      <c r="V134" s="441"/>
      <c r="W134" s="441"/>
      <c r="X134" s="441"/>
      <c r="AA134" s="441"/>
      <c r="AB134" s="441"/>
      <c r="AC134" s="441"/>
      <c r="AD134" s="441"/>
      <c r="AE134" s="441"/>
      <c r="AF134" s="441"/>
      <c r="AG134" s="441"/>
      <c r="AH134" s="441"/>
      <c r="AI134" s="441"/>
      <c r="AJ134" s="441"/>
      <c r="AK134" s="441"/>
      <c r="AL134" s="441"/>
      <c r="AM134" s="441"/>
      <c r="AN134" s="441"/>
      <c r="AO134" s="441"/>
    </row>
    <row r="135" spans="2:54" s="114" customFormat="1" ht="12.75" hidden="1" customHeight="1" outlineLevel="2">
      <c r="B135" s="1919" t="s">
        <v>2168</v>
      </c>
      <c r="C135" s="1920"/>
      <c r="D135" s="1921">
        <f>H135</f>
        <v>0</v>
      </c>
      <c r="E135" s="1921"/>
      <c r="F135" s="117"/>
      <c r="G135" s="1922">
        <f>IF(ISNA(VLOOKUP($B135,'FE Intrants'!$I$81:$O$92,7,FALSE)),0,VLOOKUP($B135,'FE Intrants'!$I$81:$O$92,7,FALSE))</f>
        <v>2181</v>
      </c>
      <c r="H135" s="1924">
        <f>F135*G135</f>
        <v>0</v>
      </c>
      <c r="J135" s="2782"/>
      <c r="K135" s="2783"/>
      <c r="L135" s="2783"/>
      <c r="M135" s="2783"/>
      <c r="N135" s="2783"/>
      <c r="O135" s="2784"/>
      <c r="Q135" s="1927">
        <f>VLOOKUP(B135,'FE Intrants'!$I$81:$M$92,5,FALSE)</f>
        <v>0.28284271247461906</v>
      </c>
      <c r="R135" s="1924">
        <f>H135*Q135</f>
        <v>0</v>
      </c>
      <c r="S135" s="441"/>
      <c r="T135" s="441"/>
      <c r="U135" s="441"/>
      <c r="V135" s="441"/>
      <c r="W135" s="441"/>
      <c r="X135" s="441"/>
      <c r="AA135" s="441"/>
      <c r="AB135" s="441"/>
      <c r="AC135" s="441"/>
      <c r="AD135" s="441"/>
      <c r="AE135" s="441"/>
      <c r="AF135" s="441"/>
      <c r="AG135" s="441"/>
      <c r="AH135" s="441"/>
      <c r="AI135" s="441"/>
      <c r="AJ135" s="441"/>
      <c r="AK135" s="441"/>
      <c r="AL135" s="441"/>
      <c r="AM135" s="441"/>
      <c r="AN135" s="441"/>
      <c r="AO135" s="441"/>
    </row>
    <row r="136" spans="2:54" s="114" customFormat="1" ht="12.75" hidden="1" customHeight="1" outlineLevel="2">
      <c r="B136" s="1919" t="s">
        <v>1202</v>
      </c>
      <c r="C136" s="1920"/>
      <c r="D136" s="1921">
        <f>H136</f>
        <v>0</v>
      </c>
      <c r="E136" s="1921"/>
      <c r="F136" s="120"/>
      <c r="G136" s="1922">
        <f>IF(ISNA(VLOOKUP($B136,'FE Intrants'!$I$81:$O$92,7,FALSE)),0,VLOOKUP($B136,'FE Intrants'!$I$81:$O$92,7,FALSE))</f>
        <v>1272</v>
      </c>
      <c r="H136" s="1924">
        <f>F136*G136</f>
        <v>0</v>
      </c>
      <c r="J136" s="2782"/>
      <c r="K136" s="2783"/>
      <c r="L136" s="2783"/>
      <c r="M136" s="2783"/>
      <c r="N136" s="2783"/>
      <c r="O136" s="2784"/>
      <c r="Q136" s="1927">
        <f>VLOOKUP(B136,'FE Intrants'!$I$81:$M$92,5,FALSE)</f>
        <v>0.14142135623730953</v>
      </c>
      <c r="R136" s="1924">
        <f>H136*Q136</f>
        <v>0</v>
      </c>
      <c r="S136" s="441"/>
      <c r="T136" s="441"/>
      <c r="U136" s="441"/>
      <c r="V136" s="441"/>
      <c r="W136" s="441"/>
      <c r="X136" s="441"/>
      <c r="AA136" s="441"/>
      <c r="AB136" s="441"/>
      <c r="AC136" s="441"/>
      <c r="AD136" s="441"/>
      <c r="AE136" s="441"/>
      <c r="AF136" s="441"/>
      <c r="AG136" s="441"/>
      <c r="AH136" s="441"/>
      <c r="AI136" s="441"/>
      <c r="AJ136" s="441"/>
      <c r="AK136" s="441"/>
      <c r="AL136" s="441"/>
      <c r="AM136" s="441"/>
      <c r="AN136" s="441"/>
      <c r="AO136" s="441"/>
    </row>
    <row r="137" spans="2:54" s="114" customFormat="1" ht="12.75" hidden="1" customHeight="1" outlineLevel="2">
      <c r="B137" s="1919" t="s">
        <v>1203</v>
      </c>
      <c r="C137" s="1920"/>
      <c r="D137" s="1921">
        <f>H137</f>
        <v>810656</v>
      </c>
      <c r="E137" s="1921"/>
      <c r="F137" s="123">
        <v>112</v>
      </c>
      <c r="G137" s="1922">
        <f>IF(ISNA(VLOOKUP($B137,'FE Intrants'!$I$81:$O$92,7,FALSE)),0,VLOOKUP($B137,'FE Intrants'!$I$81:$O$92,7,FALSE))</f>
        <v>7238</v>
      </c>
      <c r="H137" s="1924">
        <f>F137*G137</f>
        <v>810656</v>
      </c>
      <c r="J137" s="2782"/>
      <c r="K137" s="2783"/>
      <c r="L137" s="2783"/>
      <c r="M137" s="2783"/>
      <c r="N137" s="2783"/>
      <c r="O137" s="2784"/>
      <c r="Q137" s="1927">
        <f>VLOOKUP(B137,'FE Intrants'!$I$81:$M$92,5,FALSE)</f>
        <v>0.42426406871192851</v>
      </c>
      <c r="R137" s="1924">
        <f>H137*Q137</f>
        <v>343932.21288573713</v>
      </c>
      <c r="S137" s="441"/>
      <c r="T137" s="441"/>
      <c r="U137" s="441"/>
      <c r="V137" s="441"/>
      <c r="W137" s="441"/>
      <c r="X137" s="441"/>
      <c r="AA137" s="441"/>
      <c r="AB137" s="441"/>
      <c r="AC137" s="441"/>
      <c r="AD137" s="441"/>
      <c r="AE137" s="441"/>
      <c r="AF137" s="441"/>
      <c r="AG137" s="441"/>
      <c r="AH137" s="441"/>
      <c r="AI137" s="441"/>
      <c r="AJ137" s="441"/>
      <c r="AK137" s="441"/>
      <c r="AL137" s="441"/>
      <c r="AM137" s="441"/>
      <c r="AN137" s="441"/>
      <c r="AO137" s="441"/>
    </row>
    <row r="138" spans="2:54" s="114" customFormat="1" ht="12.75" hidden="1" customHeight="1" outlineLevel="2">
      <c r="B138" s="452"/>
      <c r="C138" s="453"/>
      <c r="D138" s="1922"/>
      <c r="E138" s="1922"/>
      <c r="F138" s="1923"/>
      <c r="G138" s="1925"/>
      <c r="H138" s="1924"/>
      <c r="J138" s="2782"/>
      <c r="K138" s="2783"/>
      <c r="L138" s="2783"/>
      <c r="M138" s="2783"/>
      <c r="N138" s="2783"/>
      <c r="O138" s="2784"/>
      <c r="Q138" s="1927"/>
      <c r="R138" s="1928"/>
      <c r="S138" s="441"/>
      <c r="T138" s="441"/>
      <c r="U138" s="441"/>
      <c r="V138" s="441"/>
      <c r="W138" s="441"/>
      <c r="X138" s="441"/>
      <c r="AA138" s="441"/>
      <c r="AB138" s="441"/>
      <c r="AC138" s="441"/>
      <c r="AD138" s="441"/>
      <c r="AE138" s="441"/>
      <c r="AF138" s="441"/>
      <c r="AG138" s="441"/>
      <c r="AH138" s="441"/>
      <c r="AI138" s="441"/>
      <c r="AJ138" s="441"/>
      <c r="AK138" s="441"/>
      <c r="AL138" s="441"/>
      <c r="AM138" s="441"/>
      <c r="AN138" s="441"/>
      <c r="AO138" s="441"/>
    </row>
    <row r="139" spans="2:54" s="114" customFormat="1" ht="12.75" hidden="1" customHeight="1" outlineLevel="2">
      <c r="B139" s="1935" t="s">
        <v>348</v>
      </c>
      <c r="C139" s="1936"/>
      <c r="D139" s="1937">
        <f>SUM(D135:D138)</f>
        <v>810656</v>
      </c>
      <c r="E139" s="1937"/>
      <c r="F139" s="1938"/>
      <c r="G139" s="1938"/>
      <c r="H139" s="1939">
        <f>SUM(H135:H138)</f>
        <v>810656</v>
      </c>
      <c r="J139" s="2785"/>
      <c r="K139" s="2786"/>
      <c r="L139" s="2786"/>
      <c r="M139" s="2786"/>
      <c r="N139" s="2786"/>
      <c r="O139" s="2787"/>
      <c r="Q139" s="1940">
        <f>IF(R139=0,R139,R139/H139)</f>
        <v>0.42426406871192851</v>
      </c>
      <c r="R139" s="1939">
        <f>SQRT(SUMSQ(R135:R138))</f>
        <v>343932.21288573713</v>
      </c>
      <c r="S139" s="441"/>
      <c r="T139" s="441"/>
      <c r="U139" s="441"/>
      <c r="V139" s="441"/>
      <c r="W139" s="441"/>
      <c r="X139" s="441"/>
      <c r="AA139" s="441"/>
      <c r="AB139" s="441"/>
      <c r="AC139" s="441"/>
      <c r="AD139" s="441"/>
      <c r="AE139" s="441"/>
      <c r="AF139" s="441"/>
      <c r="AG139" s="441"/>
      <c r="AH139" s="441"/>
      <c r="AI139" s="441"/>
      <c r="AJ139" s="441"/>
      <c r="AK139" s="441"/>
      <c r="AL139" s="441"/>
      <c r="AM139" s="441"/>
      <c r="AN139" s="441"/>
      <c r="AO139" s="441"/>
    </row>
    <row r="140" spans="2:54" s="114" customFormat="1" ht="13.2">
      <c r="AJ140" s="441"/>
      <c r="AK140" s="441"/>
      <c r="AL140" s="441"/>
      <c r="AM140" s="441"/>
      <c r="AN140" s="441"/>
      <c r="AO140" s="441"/>
      <c r="AP140" s="441"/>
      <c r="AQ140" s="441"/>
      <c r="AR140" s="441"/>
      <c r="AS140" s="441"/>
      <c r="AT140" s="441"/>
      <c r="AU140" s="441"/>
    </row>
    <row r="141" spans="2:54" s="114" customFormat="1" ht="15.6" collapsed="1">
      <c r="B141" s="2652" t="s">
        <v>302</v>
      </c>
      <c r="C141" s="2653"/>
      <c r="D141" s="2653"/>
      <c r="E141" s="2653"/>
      <c r="F141" s="2653"/>
      <c r="G141" s="2653"/>
      <c r="H141" s="2653"/>
      <c r="I141" s="2653"/>
      <c r="J141" s="2653"/>
      <c r="K141" s="2653"/>
      <c r="L141" s="2653"/>
      <c r="M141" s="2653"/>
      <c r="N141" s="2653"/>
      <c r="O141" s="2654"/>
      <c r="AJ141" s="441"/>
      <c r="AK141" s="441"/>
      <c r="AL141" s="441"/>
      <c r="AM141" s="441"/>
      <c r="AN141" s="441"/>
      <c r="AO141" s="441"/>
      <c r="AP141" s="441"/>
      <c r="AQ141" s="441"/>
      <c r="AR141" s="441"/>
      <c r="AS141" s="441"/>
      <c r="AT141" s="441"/>
      <c r="AU141" s="441"/>
    </row>
    <row r="142" spans="2:54" s="114" customFormat="1" ht="12.75" hidden="1" customHeight="1" outlineLevel="1">
      <c r="AJ142" s="441"/>
      <c r="AK142" s="441"/>
      <c r="AL142" s="441"/>
      <c r="AM142" s="441"/>
      <c r="AN142" s="441"/>
      <c r="AO142" s="441"/>
      <c r="AP142" s="441"/>
      <c r="AQ142" s="441"/>
      <c r="AR142" s="441"/>
      <c r="AS142" s="441"/>
      <c r="AT142" s="441"/>
      <c r="AU142" s="441"/>
    </row>
    <row r="143" spans="2:54" s="114" customFormat="1" ht="12.75" hidden="1" customHeight="1" outlineLevel="1">
      <c r="B143" s="139" t="s">
        <v>585</v>
      </c>
      <c r="C143" s="140"/>
      <c r="D143" s="1396"/>
      <c r="E143" s="1648"/>
      <c r="F143" s="1396"/>
      <c r="G143" s="1378"/>
      <c r="H143" s="1378"/>
      <c r="I143" s="1394"/>
      <c r="V143" s="2636" t="s">
        <v>366</v>
      </c>
      <c r="W143" s="2637"/>
      <c r="X143" s="2637"/>
      <c r="Y143" s="2637"/>
      <c r="Z143" s="2637"/>
      <c r="AA143" s="2637"/>
      <c r="AB143" s="2637"/>
      <c r="AC143" s="2638"/>
      <c r="AE143" s="2639" t="s">
        <v>441</v>
      </c>
      <c r="AF143" s="2640"/>
      <c r="AG143" s="2640"/>
      <c r="AH143" s="2640"/>
      <c r="AI143" s="2640"/>
      <c r="AJ143" s="2640"/>
      <c r="AK143" s="2640"/>
      <c r="AL143" s="2640"/>
      <c r="AM143" s="2640"/>
      <c r="AN143" s="2640"/>
      <c r="AO143" s="2640"/>
      <c r="AP143" s="2640"/>
      <c r="AQ143" s="2640"/>
      <c r="AR143" s="2640"/>
      <c r="AS143" s="2640"/>
      <c r="AT143" s="2640"/>
      <c r="AU143" s="2640"/>
      <c r="AV143" s="2640"/>
      <c r="AW143" s="2640"/>
      <c r="AX143" s="2640"/>
      <c r="AY143" s="2640"/>
      <c r="AZ143" s="2640"/>
      <c r="BA143" s="2640"/>
      <c r="BB143" s="2641"/>
    </row>
    <row r="144" spans="2:54" s="114" customFormat="1" ht="13.2" hidden="1" outlineLevel="1">
      <c r="B144" s="332" t="s">
        <v>586</v>
      </c>
      <c r="C144" s="167"/>
      <c r="D144" s="1402" t="s">
        <v>308</v>
      </c>
      <c r="E144" s="1663"/>
      <c r="F144" s="328"/>
      <c r="G144" s="1377"/>
      <c r="H144" s="1377"/>
      <c r="I144" s="1406"/>
      <c r="V144" s="1170"/>
      <c r="W144" s="1443"/>
      <c r="X144" s="1443"/>
      <c r="Y144" s="1424"/>
      <c r="Z144" s="1424"/>
      <c r="AA144" s="1424"/>
      <c r="AB144" s="1424"/>
      <c r="AC144" s="142"/>
      <c r="AE144" s="1432" t="s">
        <v>444</v>
      </c>
      <c r="AF144" s="1421"/>
      <c r="AG144" s="1421"/>
      <c r="AH144" s="1421"/>
      <c r="AI144" s="1421"/>
      <c r="AJ144" s="1421"/>
      <c r="AK144" s="1421"/>
      <c r="AL144" s="1421"/>
      <c r="AM144" s="1421"/>
      <c r="AN144" s="1421"/>
      <c r="AO144" s="1421"/>
      <c r="AP144" s="1421"/>
      <c r="AQ144" s="1421"/>
      <c r="AR144" s="1421"/>
      <c r="AS144" s="1421"/>
      <c r="AT144" s="1421"/>
      <c r="AU144" s="1421" t="s">
        <v>444</v>
      </c>
      <c r="AV144" s="1421"/>
      <c r="AW144" s="1421"/>
      <c r="AX144" s="1421"/>
      <c r="AY144" s="1432"/>
      <c r="AZ144" s="1421"/>
      <c r="BA144" s="1421"/>
      <c r="BB144" s="1433"/>
    </row>
    <row r="145" spans="2:57" s="114" customFormat="1" ht="15.75" hidden="1" customHeight="1" outlineLevel="1">
      <c r="B145" s="143"/>
      <c r="C145" s="167"/>
      <c r="D145" s="1377" t="s">
        <v>409</v>
      </c>
      <c r="E145" s="1656"/>
      <c r="F145" s="147" t="s">
        <v>450</v>
      </c>
      <c r="G145" s="147" t="s">
        <v>4772</v>
      </c>
      <c r="H145" s="1377" t="s">
        <v>444</v>
      </c>
      <c r="I145" s="1403" t="s">
        <v>444</v>
      </c>
      <c r="V145" s="1425" t="s">
        <v>316</v>
      </c>
      <c r="W145" s="1430" t="s">
        <v>316</v>
      </c>
      <c r="X145" s="1431"/>
      <c r="Y145" s="1426"/>
      <c r="Z145" s="1426"/>
      <c r="AA145" s="1426"/>
      <c r="AB145" s="1426"/>
      <c r="AC145" s="1446" t="s">
        <v>444</v>
      </c>
      <c r="AE145" s="1422" t="s">
        <v>211</v>
      </c>
      <c r="AF145" s="1423"/>
      <c r="AG145" s="1423"/>
      <c r="AH145" s="1423"/>
      <c r="AI145" s="1423" t="s">
        <v>442</v>
      </c>
      <c r="AJ145" s="1423"/>
      <c r="AK145" s="1423"/>
      <c r="AL145" s="1423"/>
      <c r="AM145" s="1423" t="s">
        <v>267</v>
      </c>
      <c r="AN145" s="1423"/>
      <c r="AO145" s="1423"/>
      <c r="AP145" s="1423"/>
      <c r="AQ145" s="1423" t="s">
        <v>443</v>
      </c>
      <c r="AR145" s="1423"/>
      <c r="AS145" s="1423"/>
      <c r="AT145" s="1423"/>
      <c r="AU145" s="1436" t="s">
        <v>327</v>
      </c>
      <c r="AV145" s="1436"/>
      <c r="AW145" s="1436"/>
      <c r="AX145" s="1436"/>
      <c r="AY145" s="1450"/>
      <c r="AZ145" s="1423" t="s">
        <v>636</v>
      </c>
      <c r="BA145" s="566"/>
      <c r="BB145" s="567"/>
      <c r="BD145" s="1441" t="s">
        <v>530</v>
      </c>
      <c r="BE145" s="1445" t="s">
        <v>658</v>
      </c>
    </row>
    <row r="146" spans="2:57" s="114" customFormat="1" ht="13.2" hidden="1" outlineLevel="1">
      <c r="B146" s="1376"/>
      <c r="C146" s="1377"/>
      <c r="D146" s="1377" t="s">
        <v>444</v>
      </c>
      <c r="E146" s="1656"/>
      <c r="F146" s="1400" t="s">
        <v>447</v>
      </c>
      <c r="G146" s="1400" t="s">
        <v>1848</v>
      </c>
      <c r="H146" s="1377" t="s">
        <v>357</v>
      </c>
      <c r="I146" s="1403"/>
      <c r="V146" s="1425" t="s">
        <v>1649</v>
      </c>
      <c r="W146" s="1428" t="s">
        <v>1650</v>
      </c>
      <c r="X146" s="1429"/>
      <c r="Y146" s="1453"/>
      <c r="Z146" s="1453"/>
      <c r="AA146" s="1453"/>
      <c r="AB146" s="1453"/>
      <c r="AC146" s="1446"/>
      <c r="AE146" s="227"/>
      <c r="AF146" s="1453"/>
      <c r="AG146" s="1453"/>
      <c r="AH146" s="1453"/>
      <c r="AI146" s="1453"/>
      <c r="AJ146" s="1453"/>
      <c r="AK146" s="1453"/>
      <c r="AL146" s="1453"/>
      <c r="AM146" s="1453"/>
      <c r="AN146" s="1453"/>
      <c r="AO146" s="1453"/>
      <c r="AP146" s="1453"/>
      <c r="AQ146" s="1453"/>
      <c r="AR146" s="1453"/>
      <c r="AS146" s="1453"/>
      <c r="AT146" s="1453"/>
      <c r="AU146" s="1453"/>
      <c r="AV146" s="1453"/>
      <c r="AW146" s="1453"/>
      <c r="AX146" s="1453"/>
      <c r="AY146" s="227"/>
      <c r="AZ146" s="1453"/>
      <c r="BA146" s="1453"/>
      <c r="BB146" s="1171"/>
      <c r="BD146" s="1065"/>
      <c r="BE146" s="1130"/>
    </row>
    <row r="147" spans="2:57" s="114" customFormat="1" ht="13.2" hidden="1" outlineLevel="1">
      <c r="B147" s="143" t="s">
        <v>2370</v>
      </c>
      <c r="C147" s="144"/>
      <c r="D147" s="212">
        <f>I147</f>
        <v>0</v>
      </c>
      <c r="E147" s="212"/>
      <c r="F147" s="313"/>
      <c r="G147" s="117"/>
      <c r="H147" s="219">
        <f>'FE Hors Energie'!$O$89</f>
        <v>1</v>
      </c>
      <c r="I147" s="152">
        <f>G147*H147*1000</f>
        <v>0</v>
      </c>
      <c r="V147" s="226">
        <f>IF(AC147=0,AC147,AC147/I147)</f>
        <v>0</v>
      </c>
      <c r="W147" s="343"/>
      <c r="X147" s="820"/>
      <c r="Y147" s="164"/>
      <c r="Z147" s="164"/>
      <c r="AA147" s="164"/>
      <c r="AB147" s="164"/>
      <c r="AC147" s="152">
        <f>I147*BE147</f>
        <v>0</v>
      </c>
      <c r="AE147" s="1454">
        <f>I147</f>
        <v>0</v>
      </c>
      <c r="AF147" s="565"/>
      <c r="AG147" s="565"/>
      <c r="AH147" s="565"/>
      <c r="AI147" s="565"/>
      <c r="AJ147" s="565"/>
      <c r="AK147" s="565"/>
      <c r="AL147" s="565"/>
      <c r="AM147" s="565"/>
      <c r="AN147" s="565"/>
      <c r="AO147" s="565"/>
      <c r="AP147" s="565"/>
      <c r="AQ147" s="565"/>
      <c r="AR147" s="565"/>
      <c r="AS147" s="565"/>
      <c r="AT147" s="565"/>
      <c r="AU147" s="566">
        <f>SUM(AE147,AI147,AM147,AQ147)</f>
        <v>0</v>
      </c>
      <c r="AV147" s="566"/>
      <c r="AW147" s="566"/>
      <c r="AX147" s="566"/>
      <c r="AY147" s="564">
        <f>$G147*IF(ISNA(VLOOKUP($B147&amp;"; "&amp;$H$164&amp;", "&amp;H$165,'FE Déchets'!$G:$U,15,FALSE)),0,VLOOKUP($B147&amp;"; "&amp;$H$164&amp;", "&amp;H$165,'FE Déchets'!$G:$U,15,FALSE))</f>
        <v>0</v>
      </c>
      <c r="AZ147" s="565"/>
      <c r="BA147" s="565"/>
      <c r="BB147" s="568"/>
      <c r="BD147" s="1065">
        <f>IF($W147&lt;&gt;"votre valeur :",IF(ISNA(VLOOKUP($W147,Utilitaires!$N$566:$O$571,2,FALSE)),,VLOOKUP($W147,Utilitaires!$N$566:$O$571,2,FALSE)),$X147)</f>
        <v>0</v>
      </c>
      <c r="BE147" s="1130">
        <f>IF(ISNA(SQRT(SUMSQ(0.3,$BD147))),0,SQRT(SUMSQ(0.3,$BD147)))</f>
        <v>0.3</v>
      </c>
    </row>
    <row r="148" spans="2:57" s="114" customFormat="1" ht="13.2" hidden="1" outlineLevel="1">
      <c r="B148" s="143" t="s">
        <v>2371</v>
      </c>
      <c r="C148" s="144"/>
      <c r="D148" s="212">
        <f>I148</f>
        <v>0</v>
      </c>
      <c r="E148" s="212"/>
      <c r="F148" s="314"/>
      <c r="G148" s="120"/>
      <c r="H148" s="219">
        <f>'FE Hors Energie'!$S$92</f>
        <v>265</v>
      </c>
      <c r="I148" s="152">
        <f>G148*H148*1000</f>
        <v>0</v>
      </c>
      <c r="V148" s="226">
        <f>IF(AC148=0,AC148,AC148/I148)</f>
        <v>0</v>
      </c>
      <c r="W148" s="343"/>
      <c r="X148" s="820"/>
      <c r="Y148" s="164"/>
      <c r="Z148" s="164"/>
      <c r="AA148" s="164"/>
      <c r="AB148" s="164"/>
      <c r="AC148" s="152">
        <f>I148*BE148</f>
        <v>0</v>
      </c>
      <c r="AE148" s="564"/>
      <c r="AF148" s="565"/>
      <c r="AG148" s="565"/>
      <c r="AH148" s="565"/>
      <c r="AI148" s="565">
        <f>I148</f>
        <v>0</v>
      </c>
      <c r="AJ148" s="565"/>
      <c r="AK148" s="565"/>
      <c r="AL148" s="565"/>
      <c r="AM148" s="565"/>
      <c r="AN148" s="565"/>
      <c r="AO148" s="565"/>
      <c r="AP148" s="565"/>
      <c r="AQ148" s="565"/>
      <c r="AR148" s="565"/>
      <c r="AS148" s="565"/>
      <c r="AT148" s="565"/>
      <c r="AU148" s="566">
        <f t="shared" ref="AU148:AU154" si="40">SUM(AE148,AI148,AM148,AQ148)</f>
        <v>0</v>
      </c>
      <c r="AV148" s="566"/>
      <c r="AW148" s="566"/>
      <c r="AX148" s="566"/>
      <c r="AY148" s="564">
        <f>$G148*IF(ISNA(VLOOKUP($B148&amp;"; "&amp;$H$164&amp;", "&amp;H$165,'FE Déchets'!$G:$U,15,FALSE)),0,VLOOKUP($B148&amp;"; "&amp;$H$164&amp;", "&amp;H$165,'FE Déchets'!$G:$U,15,FALSE))</f>
        <v>0</v>
      </c>
      <c r="AZ148" s="565"/>
      <c r="BA148" s="565"/>
      <c r="BB148" s="568"/>
      <c r="BD148" s="1065">
        <f>IF($W148&lt;&gt;"votre valeur :",IF(ISNA(VLOOKUP($W148,Utilitaires!$N$566:$O$571,2,FALSE)),,VLOOKUP($W148,Utilitaires!$N$566:$O$571,2,FALSE)),$X148)</f>
        <v>0</v>
      </c>
      <c r="BE148" s="1130">
        <f>IF(ISNA(SQRT(SUMSQ(0.3,$BD148))),0,SQRT(SUMSQ(0.3,$BD148)))</f>
        <v>0.3</v>
      </c>
    </row>
    <row r="149" spans="2:57" s="114" customFormat="1" ht="13.2" hidden="1" outlineLevel="1">
      <c r="B149" s="143" t="s">
        <v>2372</v>
      </c>
      <c r="C149" s="144"/>
      <c r="D149" s="212">
        <f>I149</f>
        <v>0</v>
      </c>
      <c r="E149" s="212"/>
      <c r="F149" s="314"/>
      <c r="G149" s="398"/>
      <c r="H149" s="219">
        <f>'FE Hors Energie'!$Q$91</f>
        <v>30</v>
      </c>
      <c r="I149" s="152">
        <f>G149*H149*1000</f>
        <v>0</v>
      </c>
      <c r="V149" s="226">
        <f>IF(AC149=0,AC149,AC149/I149)</f>
        <v>0</v>
      </c>
      <c r="W149" s="343"/>
      <c r="X149" s="820"/>
      <c r="Y149" s="164"/>
      <c r="Z149" s="164"/>
      <c r="AA149" s="164"/>
      <c r="AB149" s="164"/>
      <c r="AC149" s="152">
        <f>I149*BE149</f>
        <v>0</v>
      </c>
      <c r="AE149" s="564"/>
      <c r="AF149" s="565"/>
      <c r="AG149" s="565"/>
      <c r="AH149" s="565"/>
      <c r="AI149" s="565">
        <f>I149</f>
        <v>0</v>
      </c>
      <c r="AJ149" s="565"/>
      <c r="AK149" s="565"/>
      <c r="AL149" s="565"/>
      <c r="AM149" s="565"/>
      <c r="AN149" s="565"/>
      <c r="AO149" s="565"/>
      <c r="AP149" s="565"/>
      <c r="AQ149" s="565"/>
      <c r="AR149" s="565"/>
      <c r="AS149" s="565"/>
      <c r="AT149" s="565"/>
      <c r="AU149" s="566">
        <f t="shared" si="40"/>
        <v>0</v>
      </c>
      <c r="AV149" s="566"/>
      <c r="AW149" s="566"/>
      <c r="AX149" s="566"/>
      <c r="AY149" s="564">
        <f>$G149*IF(ISNA(VLOOKUP($B149&amp;"; "&amp;$H$164&amp;", "&amp;H$165,'FE Déchets'!$G:$U,15,FALSE)),0,VLOOKUP($B149&amp;"; "&amp;$H$164&amp;", "&amp;H$165,'FE Déchets'!$G:$U,15,FALSE))</f>
        <v>0</v>
      </c>
      <c r="AZ149" s="565"/>
      <c r="BA149" s="565"/>
      <c r="BB149" s="568"/>
      <c r="BD149" s="1065">
        <f>IF($W149&lt;&gt;"votre valeur :",IF(ISNA(VLOOKUP($W149,Utilitaires!$N$566:$O$571,2,FALSE)),,VLOOKUP($W149,Utilitaires!$N$566:$O$571,2,FALSE)),$X149)</f>
        <v>0</v>
      </c>
      <c r="BE149" s="1130">
        <f>IF(ISNA(SQRT(SUMSQ(0.3,$BD149))),0,SQRT(SUMSQ(0.3,$BD149)))</f>
        <v>0.3</v>
      </c>
    </row>
    <row r="150" spans="2:57" s="114" customFormat="1" ht="13.2" hidden="1" outlineLevel="1">
      <c r="B150" s="143" t="s">
        <v>2373</v>
      </c>
      <c r="C150" s="144"/>
      <c r="D150" s="212">
        <f>I150</f>
        <v>0</v>
      </c>
      <c r="E150" s="212"/>
      <c r="F150" s="314"/>
      <c r="G150" s="398"/>
      <c r="H150" s="219">
        <f>'FE Hors Energie'!$R$90</f>
        <v>28</v>
      </c>
      <c r="I150" s="152">
        <f>G150*H150*1000</f>
        <v>0</v>
      </c>
      <c r="V150" s="226">
        <f>IF(AC150=0,AC150,AC150/I150)</f>
        <v>0</v>
      </c>
      <c r="W150" s="1094"/>
      <c r="X150" s="820"/>
      <c r="Y150" s="164"/>
      <c r="Z150" s="164"/>
      <c r="AA150" s="164"/>
      <c r="AB150" s="164"/>
      <c r="AC150" s="152">
        <f>I150*BE150</f>
        <v>0</v>
      </c>
      <c r="AE150" s="564"/>
      <c r="AF150" s="565"/>
      <c r="AG150" s="565"/>
      <c r="AH150" s="565"/>
      <c r="AI150" s="565"/>
      <c r="AJ150" s="565"/>
      <c r="AK150" s="565"/>
      <c r="AL150" s="565"/>
      <c r="AM150" s="565">
        <f>I150</f>
        <v>0</v>
      </c>
      <c r="AN150" s="565"/>
      <c r="AO150" s="565"/>
      <c r="AP150" s="565"/>
      <c r="AQ150" s="565"/>
      <c r="AR150" s="565"/>
      <c r="AS150" s="565"/>
      <c r="AT150" s="565"/>
      <c r="AU150" s="566">
        <f t="shared" si="40"/>
        <v>0</v>
      </c>
      <c r="AV150" s="566"/>
      <c r="AW150" s="566"/>
      <c r="AX150" s="566"/>
      <c r="AY150" s="564">
        <f>$G150*IF(ISNA(VLOOKUP($B150&amp;"; "&amp;$H$164&amp;", "&amp;H$165,'FE Déchets'!$G:$U,15,FALSE)),0,VLOOKUP($B150&amp;"; "&amp;$H$164&amp;", "&amp;H$165,'FE Déchets'!$G:$U,15,FALSE))</f>
        <v>0</v>
      </c>
      <c r="AZ150" s="565"/>
      <c r="BA150" s="565"/>
      <c r="BB150" s="568"/>
      <c r="BD150" s="1065">
        <f>IF($W150&lt;&gt;"votre valeur :",IF(ISNA(VLOOKUP($W150,Utilitaires!$N$566:$O$571,2,FALSE)),,VLOOKUP($W150,Utilitaires!$N$566:$O$571,2,FALSE)),$X150)</f>
        <v>0</v>
      </c>
      <c r="BE150" s="1130">
        <f>IF(ISNA(SQRT(SUMSQ(0.3,$BD150))),0,SQRT(SUMSQ(0.3,$BD150)))</f>
        <v>0.3</v>
      </c>
    </row>
    <row r="151" spans="2:57" s="114" customFormat="1" ht="13.2" hidden="1" outlineLevel="1">
      <c r="B151" s="143"/>
      <c r="C151" s="144"/>
      <c r="D151" s="212"/>
      <c r="E151" s="212"/>
      <c r="F151" s="846"/>
      <c r="G151" s="397"/>
      <c r="H151" s="219"/>
      <c r="I151" s="152"/>
      <c r="V151" s="226"/>
      <c r="W151" s="144"/>
      <c r="X151" s="144"/>
      <c r="Y151" s="342"/>
      <c r="Z151" s="164"/>
      <c r="AA151" s="164"/>
      <c r="AB151" s="164"/>
      <c r="AC151" s="152"/>
      <c r="AE151" s="564"/>
      <c r="AF151" s="565"/>
      <c r="AG151" s="565"/>
      <c r="AH151" s="565"/>
      <c r="AI151" s="565"/>
      <c r="AJ151" s="565"/>
      <c r="AK151" s="565"/>
      <c r="AL151" s="565"/>
      <c r="AM151" s="565"/>
      <c r="AN151" s="565"/>
      <c r="AO151" s="565"/>
      <c r="AP151" s="565"/>
      <c r="AQ151" s="565"/>
      <c r="AR151" s="565"/>
      <c r="AS151" s="565"/>
      <c r="AT151" s="565"/>
      <c r="AU151" s="566"/>
      <c r="AV151" s="566"/>
      <c r="AW151" s="566"/>
      <c r="AX151" s="566"/>
      <c r="AY151" s="564"/>
      <c r="AZ151" s="565"/>
      <c r="BA151" s="565"/>
      <c r="BB151" s="568"/>
      <c r="BD151" s="1065"/>
      <c r="BE151" s="1130"/>
    </row>
    <row r="152" spans="2:57" s="114" customFormat="1" ht="13.2" hidden="1" outlineLevel="1">
      <c r="B152" s="387" t="s">
        <v>1974</v>
      </c>
      <c r="C152" s="385"/>
      <c r="D152" s="388">
        <f>I152</f>
        <v>0</v>
      </c>
      <c r="E152" s="388"/>
      <c r="F152" s="848"/>
      <c r="G152" s="1047"/>
      <c r="H152" s="219">
        <f>VLOOKUP($B152,'FE Hors Energie'!$E$95:$U$124,11,FALSE)</f>
        <v>16100</v>
      </c>
      <c r="I152" s="152">
        <f>G152*H152*1000</f>
        <v>0</v>
      </c>
      <c r="V152" s="226">
        <f>IF(AC152=0,AC152,AC152/I152)</f>
        <v>0</v>
      </c>
      <c r="W152" s="1094"/>
      <c r="X152" s="820"/>
      <c r="Y152" s="164"/>
      <c r="Z152" s="164"/>
      <c r="AA152" s="164"/>
      <c r="AB152" s="164"/>
      <c r="AC152" s="152">
        <f>I152*BE152</f>
        <v>0</v>
      </c>
      <c r="AE152" s="564"/>
      <c r="AF152" s="565"/>
      <c r="AG152" s="565"/>
      <c r="AH152" s="565"/>
      <c r="AI152" s="565"/>
      <c r="AJ152" s="565"/>
      <c r="AK152" s="565"/>
      <c r="AL152" s="565"/>
      <c r="AM152" s="565"/>
      <c r="AN152" s="565"/>
      <c r="AO152" s="565"/>
      <c r="AP152" s="565"/>
      <c r="AQ152" s="565">
        <f>AC152</f>
        <v>0</v>
      </c>
      <c r="AR152" s="565"/>
      <c r="AS152" s="565"/>
      <c r="AT152" s="565"/>
      <c r="AU152" s="566">
        <f t="shared" si="40"/>
        <v>0</v>
      </c>
      <c r="AV152" s="566"/>
      <c r="AW152" s="566"/>
      <c r="AX152" s="566"/>
      <c r="AY152" s="564">
        <f>$G152*IF(ISNA(VLOOKUP($B152&amp;"; "&amp;$H$164&amp;", "&amp;H$165,'FE Déchets'!$G:$U,15,FALSE)),0,VLOOKUP($B152&amp;"; "&amp;$H$164&amp;", "&amp;H$165,'FE Déchets'!$G:$U,15,FALSE))</f>
        <v>0</v>
      </c>
      <c r="AZ152" s="565"/>
      <c r="BA152" s="565"/>
      <c r="BB152" s="568"/>
      <c r="BD152" s="1065">
        <f>IF($W152&lt;&gt;"votre valeur :",IF(ISNA(VLOOKUP($W152,Utilitaires!$N$566:$O$571,2,FALSE)),,VLOOKUP($W152,Utilitaires!$N$566:$O$571,2,FALSE)),$X152)</f>
        <v>0</v>
      </c>
      <c r="BE152" s="1130">
        <f>IF(ISNA(SQRT(SUMSQ(0.3,$BD152))),0,SQRT(SUMSQ(0.3,$BD152)))</f>
        <v>0.3</v>
      </c>
    </row>
    <row r="153" spans="2:57" s="114" customFormat="1" ht="13.2" hidden="1" outlineLevel="1">
      <c r="B153" s="387" t="s">
        <v>1975</v>
      </c>
      <c r="C153" s="385"/>
      <c r="D153" s="388">
        <f>I153</f>
        <v>0</v>
      </c>
      <c r="E153" s="388"/>
      <c r="F153" s="848"/>
      <c r="G153" s="120"/>
      <c r="H153" s="219">
        <f>VLOOKUP($B153,'FE Hors Energie'!$E$95:$U$124,11,FALSE)</f>
        <v>3170</v>
      </c>
      <c r="I153" s="152">
        <f>G153*H153*1000</f>
        <v>0</v>
      </c>
      <c r="V153" s="226">
        <f>IF(AC153=0,AC153,AC153/I153)</f>
        <v>0</v>
      </c>
      <c r="W153" s="1094"/>
      <c r="X153" s="820"/>
      <c r="Y153" s="164"/>
      <c r="Z153" s="164"/>
      <c r="AA153" s="164"/>
      <c r="AB153" s="164"/>
      <c r="AC153" s="152">
        <f>I153*BE153</f>
        <v>0</v>
      </c>
      <c r="AE153" s="564"/>
      <c r="AF153" s="565"/>
      <c r="AG153" s="565"/>
      <c r="AH153" s="565"/>
      <c r="AI153" s="565"/>
      <c r="AJ153" s="565"/>
      <c r="AK153" s="565"/>
      <c r="AL153" s="565"/>
      <c r="AM153" s="565"/>
      <c r="AN153" s="565"/>
      <c r="AO153" s="565"/>
      <c r="AP153" s="565"/>
      <c r="AQ153" s="565">
        <f>AC153</f>
        <v>0</v>
      </c>
      <c r="AR153" s="565"/>
      <c r="AS153" s="565"/>
      <c r="AT153" s="565"/>
      <c r="AU153" s="566">
        <f t="shared" si="40"/>
        <v>0</v>
      </c>
      <c r="AV153" s="566"/>
      <c r="AW153" s="566"/>
      <c r="AX153" s="566"/>
      <c r="AY153" s="564">
        <f>$G153*IF(ISNA(VLOOKUP($B153&amp;"; "&amp;$H$164&amp;", "&amp;H$165,'FE Déchets'!$G:$U,15,FALSE)),0,VLOOKUP($B153&amp;"; "&amp;$H$164&amp;", "&amp;H$165,'FE Déchets'!$G:$U,15,FALSE))</f>
        <v>0</v>
      </c>
      <c r="AZ153" s="565"/>
      <c r="BA153" s="565"/>
      <c r="BB153" s="568"/>
      <c r="BD153" s="1065">
        <f>IF($W153&lt;&gt;"votre valeur :",IF(ISNA(VLOOKUP($W153,Utilitaires!$N$566:$O$571,2,FALSE)),,VLOOKUP($W153,Utilitaires!$N$566:$O$571,2,FALSE)),$X153)</f>
        <v>0</v>
      </c>
      <c r="BE153" s="1130">
        <f>IF(ISNA(SQRT(SUMSQ(0.3,$BD153))),0,SQRT(SUMSQ(0.3,$BD153)))</f>
        <v>0.3</v>
      </c>
    </row>
    <row r="154" spans="2:57" s="114" customFormat="1" ht="13.2" hidden="1" outlineLevel="1">
      <c r="B154" s="387" t="s">
        <v>1981</v>
      </c>
      <c r="C154" s="385"/>
      <c r="D154" s="388">
        <f>I154</f>
        <v>0</v>
      </c>
      <c r="E154" s="388"/>
      <c r="F154" s="849"/>
      <c r="G154" s="123"/>
      <c r="H154" s="219">
        <f>VLOOKUP($B154,'FE Hors Energie'!$E$95:$U$124,11,FALSE)</f>
        <v>23500</v>
      </c>
      <c r="I154" s="152">
        <f>G154*H154*1000</f>
        <v>0</v>
      </c>
      <c r="V154" s="226">
        <f>IF(AC154=0,AC154,AC154/I154)</f>
        <v>0</v>
      </c>
      <c r="W154" s="1094"/>
      <c r="X154" s="820"/>
      <c r="Y154" s="164"/>
      <c r="Z154" s="164"/>
      <c r="AA154" s="164"/>
      <c r="AB154" s="164"/>
      <c r="AC154" s="152">
        <f>I154*BE154</f>
        <v>0</v>
      </c>
      <c r="AE154" s="564"/>
      <c r="AF154" s="565"/>
      <c r="AG154" s="565"/>
      <c r="AH154" s="565"/>
      <c r="AI154" s="565"/>
      <c r="AJ154" s="565"/>
      <c r="AK154" s="565"/>
      <c r="AL154" s="565"/>
      <c r="AM154" s="565"/>
      <c r="AN154" s="565"/>
      <c r="AO154" s="565"/>
      <c r="AP154" s="565"/>
      <c r="AQ154" s="565">
        <f>AC154</f>
        <v>0</v>
      </c>
      <c r="AR154" s="565"/>
      <c r="AS154" s="565"/>
      <c r="AT154" s="565"/>
      <c r="AU154" s="566">
        <f t="shared" si="40"/>
        <v>0</v>
      </c>
      <c r="AV154" s="566"/>
      <c r="AW154" s="566"/>
      <c r="AX154" s="566"/>
      <c r="AY154" s="564">
        <f>$G154*IF(ISNA(VLOOKUP($B154&amp;"; "&amp;$H$164&amp;", "&amp;H$165,'FE Déchets'!$G:$U,15,FALSE)),0,VLOOKUP($B154&amp;"; "&amp;$H$164&amp;", "&amp;H$165,'FE Déchets'!$G:$U,15,FALSE))</f>
        <v>0</v>
      </c>
      <c r="AZ154" s="565"/>
      <c r="BA154" s="565"/>
      <c r="BB154" s="568"/>
      <c r="BD154" s="1065">
        <f>IF($W154&lt;&gt;"votre valeur :",IF(ISNA(VLOOKUP($W154,Utilitaires!$N$566:$O$571,2,FALSE)),,VLOOKUP($W154,Utilitaires!$N$566:$O$571,2,FALSE)),$X154)</f>
        <v>0</v>
      </c>
      <c r="BE154" s="1130">
        <f>IF(ISNA(SQRT(SUMSQ(0.3,$BD154))),0,SQRT(SUMSQ(0.3,$BD154)))</f>
        <v>0.3</v>
      </c>
    </row>
    <row r="155" spans="2:57" s="114" customFormat="1" ht="13.2" hidden="1" outlineLevel="1">
      <c r="B155" s="143"/>
      <c r="C155" s="144"/>
      <c r="D155" s="213"/>
      <c r="E155" s="213"/>
      <c r="F155" s="144"/>
      <c r="G155" s="144"/>
      <c r="H155" s="144"/>
      <c r="I155" s="168"/>
      <c r="V155" s="154"/>
      <c r="W155" s="155"/>
      <c r="X155" s="169"/>
      <c r="Y155" s="169"/>
      <c r="Z155" s="169"/>
      <c r="AA155" s="169"/>
      <c r="AB155" s="169"/>
      <c r="AC155" s="357"/>
      <c r="AE155" s="564"/>
      <c r="AF155" s="565"/>
      <c r="AG155" s="565"/>
      <c r="AH155" s="565"/>
      <c r="AI155" s="565"/>
      <c r="AJ155" s="565"/>
      <c r="AK155" s="565"/>
      <c r="AL155" s="565"/>
      <c r="AM155" s="565"/>
      <c r="AN155" s="565"/>
      <c r="AO155" s="565"/>
      <c r="AP155" s="565"/>
      <c r="AQ155" s="565"/>
      <c r="AR155" s="565"/>
      <c r="AS155" s="565"/>
      <c r="AT155" s="565"/>
      <c r="AU155" s="566"/>
      <c r="AV155" s="566"/>
      <c r="AW155" s="566"/>
      <c r="AX155" s="566"/>
      <c r="AY155" s="1411"/>
      <c r="AZ155" s="1313"/>
      <c r="BA155" s="625"/>
      <c r="BB155" s="570"/>
      <c r="BD155" s="1087"/>
      <c r="BE155" s="1131"/>
    </row>
    <row r="156" spans="2:57" s="114" customFormat="1" ht="13.2" hidden="1" outlineLevel="1">
      <c r="B156" s="196" t="s">
        <v>348</v>
      </c>
      <c r="C156" s="197"/>
      <c r="D156" s="214">
        <f>SUM(D147:D155)</f>
        <v>0</v>
      </c>
      <c r="E156" s="214"/>
      <c r="F156" s="197"/>
      <c r="G156" s="197"/>
      <c r="H156" s="197"/>
      <c r="I156" s="200">
        <f>SUM(I147:I155)</f>
        <v>0</v>
      </c>
      <c r="V156" s="1204">
        <f>IF(AC156=0,AC156,AC156/I156)</f>
        <v>0</v>
      </c>
      <c r="W156" s="350"/>
      <c r="X156" s="1417"/>
      <c r="Y156" s="1417"/>
      <c r="Z156" s="1417"/>
      <c r="AA156" s="1417"/>
      <c r="AB156" s="1417"/>
      <c r="AC156" s="1418">
        <f>SQRT(SUMSQ(AC147:AC155))</f>
        <v>0</v>
      </c>
      <c r="AE156" s="1290">
        <f>SUM(AE147:AE155)</f>
        <v>0</v>
      </c>
      <c r="AF156" s="573"/>
      <c r="AG156" s="573"/>
      <c r="AH156" s="573"/>
      <c r="AI156" s="573">
        <f>SUM(AI147:AI155)</f>
        <v>0</v>
      </c>
      <c r="AJ156" s="573"/>
      <c r="AK156" s="573"/>
      <c r="AL156" s="573"/>
      <c r="AM156" s="573">
        <f>SUM(AM147:AM155)</f>
        <v>0</v>
      </c>
      <c r="AN156" s="573"/>
      <c r="AO156" s="573"/>
      <c r="AP156" s="573"/>
      <c r="AQ156" s="573">
        <f>SUM(AQ147:AQ155)</f>
        <v>0</v>
      </c>
      <c r="AR156" s="573"/>
      <c r="AS156" s="573"/>
      <c r="AT156" s="573"/>
      <c r="AU156" s="573">
        <f>SUM(AU147:AU155)</f>
        <v>0</v>
      </c>
      <c r="AV156" s="573"/>
      <c r="AW156" s="573"/>
      <c r="AX156" s="574"/>
      <c r="AY156" s="572">
        <f>SUM(AY147:AY155)</f>
        <v>0</v>
      </c>
      <c r="AZ156" s="572"/>
      <c r="BA156" s="572"/>
      <c r="BB156" s="575"/>
    </row>
    <row r="157" spans="2:57" s="114" customFormat="1" ht="12.75" hidden="1" customHeight="1" outlineLevel="1">
      <c r="B157" s="260"/>
      <c r="C157" s="260"/>
      <c r="D157" s="260"/>
      <c r="E157" s="260"/>
      <c r="G157" s="260"/>
      <c r="H157" s="260"/>
      <c r="V157" s="254"/>
      <c r="AE157" s="441"/>
      <c r="AF157" s="441"/>
      <c r="AG157" s="441"/>
      <c r="AH157" s="441"/>
      <c r="AI157" s="441"/>
      <c r="AJ157" s="441"/>
      <c r="AK157" s="441"/>
      <c r="AL157" s="441"/>
      <c r="AM157" s="441"/>
      <c r="AN157" s="441"/>
      <c r="AO157" s="441"/>
      <c r="AP157" s="441"/>
      <c r="AQ157" s="441"/>
      <c r="AR157" s="441"/>
      <c r="AS157" s="441"/>
      <c r="AT157" s="441"/>
      <c r="AU157" s="441"/>
      <c r="AV157" s="441"/>
    </row>
    <row r="158" spans="2:57" s="114" customFormat="1" ht="12.75" hidden="1" customHeight="1" outlineLevel="1">
      <c r="B158" s="139" t="s">
        <v>585</v>
      </c>
      <c r="C158" s="140"/>
      <c r="D158" s="1396"/>
      <c r="E158" s="1648"/>
      <c r="F158" s="1396"/>
      <c r="G158" s="1378"/>
      <c r="H158" s="1378"/>
      <c r="I158" s="1394"/>
      <c r="V158" s="2636" t="s">
        <v>366</v>
      </c>
      <c r="W158" s="2637"/>
      <c r="X158" s="2637"/>
      <c r="Y158" s="2637"/>
      <c r="Z158" s="2637"/>
      <c r="AA158" s="2637"/>
      <c r="AB158" s="2637"/>
      <c r="AC158" s="2638"/>
      <c r="AE158" s="2639" t="s">
        <v>441</v>
      </c>
      <c r="AF158" s="2640"/>
      <c r="AG158" s="2640"/>
      <c r="AH158" s="2640"/>
      <c r="AI158" s="2640"/>
      <c r="AJ158" s="2640"/>
      <c r="AK158" s="2640"/>
      <c r="AL158" s="2640"/>
      <c r="AM158" s="2640"/>
      <c r="AN158" s="2640"/>
      <c r="AO158" s="2640"/>
      <c r="AP158" s="2640"/>
      <c r="AQ158" s="2640"/>
      <c r="AR158" s="2640"/>
      <c r="AS158" s="2640"/>
      <c r="AT158" s="2640"/>
      <c r="AU158" s="2640"/>
      <c r="AV158" s="2640"/>
      <c r="AW158" s="2640"/>
      <c r="AX158" s="2640"/>
      <c r="AY158" s="2640"/>
      <c r="AZ158" s="2640"/>
      <c r="BA158" s="2640"/>
      <c r="BB158" s="2641"/>
    </row>
    <row r="159" spans="2:57" s="114" customFormat="1" ht="15" hidden="1" customHeight="1" outlineLevel="1">
      <c r="B159" s="332" t="s">
        <v>576</v>
      </c>
      <c r="C159" s="167"/>
      <c r="D159" s="1402" t="s">
        <v>308</v>
      </c>
      <c r="E159" s="1663"/>
      <c r="F159" s="1402"/>
      <c r="G159" s="1377"/>
      <c r="H159" s="1377"/>
      <c r="I159" s="1406"/>
      <c r="V159" s="1170"/>
      <c r="W159" s="1443"/>
      <c r="X159" s="1443"/>
      <c r="Y159" s="1424"/>
      <c r="Z159" s="1424"/>
      <c r="AA159" s="1424"/>
      <c r="AB159" s="1424"/>
      <c r="AC159" s="142"/>
      <c r="AE159" s="564"/>
      <c r="AF159" s="565"/>
      <c r="AG159" s="565"/>
      <c r="AH159" s="565"/>
      <c r="AI159" s="565"/>
      <c r="AJ159" s="565"/>
      <c r="AK159" s="565"/>
      <c r="AL159" s="565"/>
      <c r="AM159" s="565"/>
      <c r="AN159" s="565"/>
      <c r="AO159" s="565"/>
      <c r="AP159" s="565"/>
      <c r="AQ159" s="565"/>
      <c r="AR159" s="565"/>
      <c r="AS159" s="565"/>
      <c r="AT159" s="565"/>
      <c r="AU159" s="585"/>
      <c r="AV159" s="585"/>
      <c r="AW159" s="565"/>
      <c r="AX159" s="568"/>
      <c r="AY159" s="564"/>
      <c r="AZ159" s="565"/>
      <c r="BA159" s="565"/>
      <c r="BB159" s="568"/>
      <c r="BD159" s="1441" t="s">
        <v>530</v>
      </c>
      <c r="BE159" s="1445" t="s">
        <v>658</v>
      </c>
    </row>
    <row r="160" spans="2:57" s="114" customFormat="1" ht="13.2" hidden="1" outlineLevel="1">
      <c r="B160" s="1376"/>
      <c r="C160" s="1377"/>
      <c r="D160" s="1377" t="s">
        <v>409</v>
      </c>
      <c r="E160" s="1656"/>
      <c r="F160" s="147" t="s">
        <v>450</v>
      </c>
      <c r="G160" s="147" t="s">
        <v>4772</v>
      </c>
      <c r="H160" s="1377" t="s">
        <v>444</v>
      </c>
      <c r="I160" s="1403" t="s">
        <v>444</v>
      </c>
      <c r="V160" s="1425" t="s">
        <v>316</v>
      </c>
      <c r="W160" s="1430" t="s">
        <v>316</v>
      </c>
      <c r="X160" s="1431"/>
      <c r="Y160" s="1426"/>
      <c r="Z160" s="1426"/>
      <c r="AA160" s="1426"/>
      <c r="AB160" s="1426"/>
      <c r="AC160" s="1446" t="s">
        <v>444</v>
      </c>
      <c r="AE160" s="1419" t="s">
        <v>444</v>
      </c>
      <c r="AF160" s="1420"/>
      <c r="AG160" s="1420"/>
      <c r="AH160" s="565"/>
      <c r="AI160" s="1420"/>
      <c r="AJ160" s="1420"/>
      <c r="AK160" s="1420"/>
      <c r="AL160" s="565"/>
      <c r="AM160" s="1420"/>
      <c r="AN160" s="1420"/>
      <c r="AO160" s="1420"/>
      <c r="AP160" s="565"/>
      <c r="AQ160" s="1420"/>
      <c r="AR160" s="1420"/>
      <c r="AS160" s="1420"/>
      <c r="AT160" s="565"/>
      <c r="AU160" s="1420" t="s">
        <v>444</v>
      </c>
      <c r="AV160" s="565"/>
      <c r="AW160" s="565"/>
      <c r="AX160" s="1449"/>
      <c r="AY160" s="564"/>
      <c r="AZ160" s="1423" t="s">
        <v>636</v>
      </c>
      <c r="BA160" s="565"/>
      <c r="BB160" s="568"/>
      <c r="BD160" s="1065"/>
      <c r="BE160" s="1130"/>
    </row>
    <row r="161" spans="2:60" s="114" customFormat="1" ht="13.2" hidden="1" outlineLevel="1">
      <c r="B161" s="1376"/>
      <c r="C161" s="1377"/>
      <c r="D161" s="1377" t="s">
        <v>444</v>
      </c>
      <c r="E161" s="1656"/>
      <c r="F161" s="1400" t="s">
        <v>447</v>
      </c>
      <c r="G161" s="1400" t="s">
        <v>1848</v>
      </c>
      <c r="H161" s="1377" t="s">
        <v>357</v>
      </c>
      <c r="I161" s="1403"/>
      <c r="V161" s="1425" t="s">
        <v>1649</v>
      </c>
      <c r="W161" s="1428" t="s">
        <v>1650</v>
      </c>
      <c r="X161" s="1429"/>
      <c r="Y161" s="1453"/>
      <c r="Z161" s="1453"/>
      <c r="AA161" s="1453"/>
      <c r="AB161" s="1453"/>
      <c r="AC161" s="1446"/>
      <c r="AE161" s="1422" t="s">
        <v>211</v>
      </c>
      <c r="AF161" s="1423"/>
      <c r="AG161" s="1423"/>
      <c r="AH161" s="565"/>
      <c r="AI161" s="1423" t="s">
        <v>442</v>
      </c>
      <c r="AJ161" s="1423"/>
      <c r="AK161" s="1423"/>
      <c r="AL161" s="565"/>
      <c r="AM161" s="1423" t="s">
        <v>267</v>
      </c>
      <c r="AN161" s="1423"/>
      <c r="AO161" s="1423"/>
      <c r="AP161" s="565"/>
      <c r="AQ161" s="1423" t="s">
        <v>443</v>
      </c>
      <c r="AR161" s="1423"/>
      <c r="AS161" s="1423"/>
      <c r="AT161" s="565"/>
      <c r="AU161" s="1436" t="s">
        <v>327</v>
      </c>
      <c r="AV161" s="565"/>
      <c r="AW161" s="565"/>
      <c r="AX161" s="1437"/>
      <c r="AY161" s="1455"/>
      <c r="AZ161" s="565"/>
      <c r="BA161" s="565"/>
      <c r="BB161" s="568"/>
      <c r="BD161" s="1065">
        <f>IF($W161&lt;&gt;"votre valeur :",IF(ISNA(VLOOKUP($W161,Utilitaires!$N$566:$O$571,2,FALSE)),,VLOOKUP($W161,Utilitaires!$N$566:$O$571,2,FALSE)),$X161)</f>
        <v>0</v>
      </c>
      <c r="BE161" s="1130">
        <f>IF(ISNA(SQRT(SUMSQ(0.3,$BD161))),0,SQRT(SUMSQ(0.3,$BD161)))</f>
        <v>0.3</v>
      </c>
    </row>
    <row r="162" spans="2:60" s="114" customFormat="1" ht="13.2" hidden="1" outlineLevel="1">
      <c r="B162" s="143" t="s">
        <v>1976</v>
      </c>
      <c r="C162" s="144"/>
      <c r="D162" s="212">
        <f>I162</f>
        <v>0</v>
      </c>
      <c r="E162" s="212"/>
      <c r="F162" s="848"/>
      <c r="G162" s="396"/>
      <c r="H162" s="219">
        <f>VLOOKUP($B162,'FE Hors Energie'!$C$127:$O$157,13,FALSE)</f>
        <v>2</v>
      </c>
      <c r="I162" s="152">
        <f>G162*H162*1000</f>
        <v>0</v>
      </c>
      <c r="V162" s="226">
        <f>IF(AC162=0,AC162,AC162/I162)</f>
        <v>0</v>
      </c>
      <c r="W162" s="1094"/>
      <c r="X162" s="820"/>
      <c r="Y162" s="164"/>
      <c r="Z162" s="164"/>
      <c r="AA162" s="164"/>
      <c r="AB162" s="164"/>
      <c r="AC162" s="152">
        <f>I162*BE162</f>
        <v>0</v>
      </c>
      <c r="AE162" s="564"/>
      <c r="AF162" s="565"/>
      <c r="AG162" s="565"/>
      <c r="AH162" s="565"/>
      <c r="AI162" s="565"/>
      <c r="AJ162" s="565"/>
      <c r="AK162" s="565"/>
      <c r="AL162" s="565"/>
      <c r="AM162" s="565"/>
      <c r="AN162" s="565"/>
      <c r="AO162" s="565"/>
      <c r="AP162" s="565"/>
      <c r="AQ162" s="565">
        <f>I162</f>
        <v>0</v>
      </c>
      <c r="AR162" s="565"/>
      <c r="AS162" s="565"/>
      <c r="AT162" s="565"/>
      <c r="AU162" s="566">
        <f>I162</f>
        <v>0</v>
      </c>
      <c r="AV162" s="566"/>
      <c r="AW162" s="566"/>
      <c r="AX162" s="566"/>
      <c r="AY162" s="564">
        <v>0</v>
      </c>
      <c r="AZ162" s="565"/>
      <c r="BA162" s="565"/>
      <c r="BB162" s="568"/>
      <c r="BD162" s="1065">
        <f>IF($W162&lt;&gt;"votre valeur :",IF(ISNA(VLOOKUP($W162,Utilitaires!$N$566:$O$571,2,FALSE)),,VLOOKUP($W162,Utilitaires!$N$566:$O$571,2,FALSE)),$X162)</f>
        <v>0</v>
      </c>
      <c r="BE162" s="1130">
        <f>IF(ISNA(SQRT(SUMSQ(0.3,$BD162))),0,SQRT(SUMSQ(0.3,$BD162)))</f>
        <v>0.3</v>
      </c>
    </row>
    <row r="163" spans="2:60" s="114" customFormat="1" ht="13.2" hidden="1" outlineLevel="1">
      <c r="B163" s="143" t="s">
        <v>1978</v>
      </c>
      <c r="C163" s="144"/>
      <c r="D163" s="212">
        <f>I163</f>
        <v>0</v>
      </c>
      <c r="E163" s="212"/>
      <c r="F163" s="848"/>
      <c r="G163" s="394"/>
      <c r="H163" s="219">
        <f>VLOOKUP($B163,'FE Hors Energie'!$C$127:$O$157,13,FALSE)</f>
        <v>160</v>
      </c>
      <c r="I163" s="152">
        <f>G163*H163*1000</f>
        <v>0</v>
      </c>
      <c r="V163" s="226">
        <f>IF(AC163=0,AC163,AC163/I163)</f>
        <v>0</v>
      </c>
      <c r="W163" s="1094"/>
      <c r="X163" s="820"/>
      <c r="Y163" s="164"/>
      <c r="Z163" s="164"/>
      <c r="AA163" s="164"/>
      <c r="AB163" s="164"/>
      <c r="AC163" s="152">
        <f>I163*BE163</f>
        <v>0</v>
      </c>
      <c r="AE163" s="564"/>
      <c r="AF163" s="565"/>
      <c r="AG163" s="565"/>
      <c r="AH163" s="565"/>
      <c r="AI163" s="565"/>
      <c r="AJ163" s="565"/>
      <c r="AK163" s="565"/>
      <c r="AL163" s="565"/>
      <c r="AM163" s="565"/>
      <c r="AN163" s="565"/>
      <c r="AO163" s="565"/>
      <c r="AP163" s="565"/>
      <c r="AQ163" s="565">
        <f>I163</f>
        <v>0</v>
      </c>
      <c r="AR163" s="565"/>
      <c r="AS163" s="565"/>
      <c r="AT163" s="565"/>
      <c r="AU163" s="566">
        <f>I163</f>
        <v>0</v>
      </c>
      <c r="AV163" s="566"/>
      <c r="AW163" s="566"/>
      <c r="AX163" s="566"/>
      <c r="AY163" s="564">
        <v>0</v>
      </c>
      <c r="AZ163" s="565"/>
      <c r="BA163" s="565"/>
      <c r="BB163" s="568"/>
      <c r="BD163" s="1065">
        <f>IF($W163&lt;&gt;"votre valeur :",IF(ISNA(VLOOKUP($W163,Utilitaires!$N$566:$O$571,2,FALSE)),,VLOOKUP($W163,Utilitaires!$N$566:$O$571,2,FALSE)),$X163)</f>
        <v>0</v>
      </c>
      <c r="BE163" s="1130">
        <f>IF(ISNA(SQRT(SUMSQ(0.3,$BD163))),0,SQRT(SUMSQ(0.3,$BD163)))</f>
        <v>0.3</v>
      </c>
    </row>
    <row r="164" spans="2:60" s="114" customFormat="1" ht="13.2" hidden="1" outlineLevel="1">
      <c r="B164" s="143" t="s">
        <v>2374</v>
      </c>
      <c r="C164" s="144"/>
      <c r="D164" s="212">
        <f>I164</f>
        <v>0</v>
      </c>
      <c r="E164" s="212"/>
      <c r="F164" s="849"/>
      <c r="G164" s="395"/>
      <c r="H164" s="219">
        <f>VLOOKUP($B164,'FE Hors Energie'!$C$127:$O$157,13,FALSE)</f>
        <v>1730</v>
      </c>
      <c r="I164" s="152">
        <f>G164*H164*1000</f>
        <v>0</v>
      </c>
      <c r="V164" s="226">
        <f>IF(AC164=0,AC164,AC164/I164)</f>
        <v>0</v>
      </c>
      <c r="W164" s="1094"/>
      <c r="X164" s="820"/>
      <c r="Y164" s="164"/>
      <c r="Z164" s="164"/>
      <c r="AA164" s="164"/>
      <c r="AB164" s="164"/>
      <c r="AC164" s="152">
        <f>I164*BE164</f>
        <v>0</v>
      </c>
      <c r="AE164" s="564"/>
      <c r="AF164" s="565"/>
      <c r="AG164" s="565"/>
      <c r="AH164" s="565"/>
      <c r="AI164" s="565"/>
      <c r="AJ164" s="565"/>
      <c r="AK164" s="565"/>
      <c r="AL164" s="565"/>
      <c r="AM164" s="565"/>
      <c r="AN164" s="565"/>
      <c r="AO164" s="565"/>
      <c r="AP164" s="565"/>
      <c r="AQ164" s="565">
        <f>I164</f>
        <v>0</v>
      </c>
      <c r="AR164" s="565"/>
      <c r="AS164" s="565"/>
      <c r="AT164" s="565"/>
      <c r="AU164" s="566">
        <f>I164</f>
        <v>0</v>
      </c>
      <c r="AV164" s="566"/>
      <c r="AW164" s="566"/>
      <c r="AX164" s="566"/>
      <c r="AY164" s="564">
        <v>0</v>
      </c>
      <c r="AZ164" s="565"/>
      <c r="BA164" s="565"/>
      <c r="BB164" s="568"/>
      <c r="BD164" s="1087"/>
      <c r="BE164" s="1131"/>
    </row>
    <row r="165" spans="2:60" s="114" customFormat="1" ht="13.2" hidden="1" outlineLevel="1">
      <c r="B165" s="143"/>
      <c r="C165" s="144"/>
      <c r="D165" s="213"/>
      <c r="E165" s="213"/>
      <c r="F165" s="144"/>
      <c r="G165" s="144"/>
      <c r="H165" s="144"/>
      <c r="I165" s="168"/>
      <c r="V165" s="154"/>
      <c r="W165" s="155"/>
      <c r="X165" s="169"/>
      <c r="Y165" s="169"/>
      <c r="Z165" s="169"/>
      <c r="AA165" s="169"/>
      <c r="AB165" s="169"/>
      <c r="AC165" s="357"/>
      <c r="AE165" s="564"/>
      <c r="AF165" s="565"/>
      <c r="AG165" s="565"/>
      <c r="AH165" s="565"/>
      <c r="AI165" s="565"/>
      <c r="AJ165" s="565"/>
      <c r="AK165" s="565"/>
      <c r="AL165" s="565"/>
      <c r="AM165" s="565"/>
      <c r="AN165" s="565"/>
      <c r="AO165" s="565"/>
      <c r="AP165" s="565"/>
      <c r="AQ165" s="565"/>
      <c r="AR165" s="565"/>
      <c r="AS165" s="565"/>
      <c r="AT165" s="565"/>
      <c r="AU165" s="566"/>
      <c r="AV165" s="566"/>
      <c r="AW165" s="566"/>
      <c r="AX165" s="566"/>
      <c r="AY165" s="1411"/>
      <c r="AZ165" s="1313"/>
      <c r="BA165" s="625"/>
      <c r="BB165" s="570"/>
    </row>
    <row r="166" spans="2:60" s="114" customFormat="1" ht="13.2" hidden="1" outlineLevel="1">
      <c r="B166" s="196" t="s">
        <v>348</v>
      </c>
      <c r="C166" s="197"/>
      <c r="D166" s="214">
        <f>SUM(D162:D165)</f>
        <v>0</v>
      </c>
      <c r="E166" s="214"/>
      <c r="F166" s="198"/>
      <c r="G166" s="197"/>
      <c r="H166" s="197"/>
      <c r="I166" s="200">
        <f>SUM(I162:I165)</f>
        <v>0</v>
      </c>
      <c r="V166" s="1204">
        <f>IF(AC166=0,AC166,AC166/I166)</f>
        <v>0</v>
      </c>
      <c r="W166" s="350"/>
      <c r="X166" s="1417"/>
      <c r="Y166" s="1417"/>
      <c r="Z166" s="1417"/>
      <c r="AA166" s="1417"/>
      <c r="AB166" s="1417"/>
      <c r="AC166" s="1418">
        <f>SQRT(SUMSQ(AC157:AC165))</f>
        <v>0</v>
      </c>
      <c r="AE166" s="1290">
        <f>SUM(AE161:AE165)</f>
        <v>0</v>
      </c>
      <c r="AF166" s="573"/>
      <c r="AG166" s="573"/>
      <c r="AH166" s="573"/>
      <c r="AI166" s="573">
        <f>SUM(AI161:AI165)</f>
        <v>0</v>
      </c>
      <c r="AJ166" s="573"/>
      <c r="AK166" s="573"/>
      <c r="AL166" s="573"/>
      <c r="AM166" s="573">
        <f>SUM(AM161:AM165)</f>
        <v>0</v>
      </c>
      <c r="AN166" s="573"/>
      <c r="AO166" s="573"/>
      <c r="AP166" s="573"/>
      <c r="AQ166" s="573">
        <f>SUM(AQ161:AQ165)</f>
        <v>0</v>
      </c>
      <c r="AR166" s="573"/>
      <c r="AS166" s="573"/>
      <c r="AT166" s="573"/>
      <c r="AU166" s="573">
        <f>SUM(AU161:AU165)</f>
        <v>0</v>
      </c>
      <c r="AV166" s="573"/>
      <c r="AW166" s="573"/>
      <c r="AX166" s="574"/>
      <c r="AY166" s="572">
        <f>SUM(AY161:AY165)</f>
        <v>0</v>
      </c>
      <c r="AZ166" s="572"/>
      <c r="BA166" s="572"/>
      <c r="BB166" s="575"/>
    </row>
    <row r="167" spans="2:60" s="114" customFormat="1" ht="12.9" hidden="1" customHeight="1" outlineLevel="1">
      <c r="B167" s="260"/>
      <c r="C167" s="260"/>
      <c r="D167" s="260"/>
      <c r="E167" s="260"/>
      <c r="F167" s="260"/>
      <c r="G167" s="260"/>
      <c r="H167" s="260"/>
      <c r="J167" s="254"/>
      <c r="X167" s="441"/>
      <c r="Y167" s="441"/>
      <c r="Z167" s="441"/>
      <c r="AA167" s="441"/>
      <c r="AB167" s="441"/>
      <c r="AC167" s="441"/>
      <c r="AD167" s="441"/>
      <c r="AE167" s="441"/>
      <c r="AF167" s="441"/>
      <c r="AG167" s="441"/>
      <c r="AH167" s="441"/>
      <c r="AI167" s="441"/>
      <c r="AJ167" s="441"/>
      <c r="AK167" s="441"/>
      <c r="AL167" s="441"/>
      <c r="AM167" s="441"/>
      <c r="AN167" s="441"/>
    </row>
    <row r="168" spans="2:60" s="114" customFormat="1" ht="13.2">
      <c r="AJ168" s="441"/>
      <c r="AK168" s="441"/>
      <c r="AL168" s="441"/>
      <c r="AM168" s="441"/>
      <c r="AN168" s="441"/>
      <c r="AO168" s="441"/>
      <c r="AP168" s="441"/>
      <c r="AQ168" s="441"/>
      <c r="AR168" s="441"/>
      <c r="AS168" s="441"/>
      <c r="AT168" s="441"/>
      <c r="AU168" s="441"/>
    </row>
    <row r="169" spans="2:60" s="114" customFormat="1" ht="15.6" collapsed="1">
      <c r="B169" s="2652" t="s">
        <v>5112</v>
      </c>
      <c r="C169" s="2653"/>
      <c r="D169" s="2653"/>
      <c r="E169" s="2653"/>
      <c r="F169" s="2653"/>
      <c r="G169" s="2653"/>
      <c r="H169" s="2653"/>
      <c r="I169" s="2653"/>
      <c r="J169" s="2653"/>
      <c r="K169" s="2653"/>
      <c r="L169" s="2653"/>
      <c r="M169" s="2653"/>
      <c r="N169" s="2653"/>
      <c r="O169" s="2654"/>
      <c r="AJ169" s="441"/>
      <c r="AK169" s="441"/>
      <c r="AL169" s="441"/>
      <c r="AM169" s="441"/>
      <c r="AN169" s="441"/>
      <c r="AO169" s="441"/>
      <c r="AP169" s="441"/>
      <c r="AQ169" s="441"/>
      <c r="AR169" s="441"/>
      <c r="AS169" s="441"/>
      <c r="AT169" s="441"/>
      <c r="AU169" s="441"/>
    </row>
    <row r="170" spans="2:60" s="114" customFormat="1" ht="12.75" hidden="1" customHeight="1" outlineLevel="1">
      <c r="B170" s="260"/>
      <c r="C170" s="260"/>
      <c r="D170" s="260"/>
      <c r="E170" s="260"/>
      <c r="F170" s="260"/>
      <c r="H170" s="254"/>
      <c r="AJ170" s="441"/>
      <c r="AK170" s="441"/>
      <c r="AL170" s="441"/>
      <c r="AM170" s="441"/>
      <c r="AN170" s="441"/>
      <c r="AO170" s="441"/>
      <c r="AP170" s="441"/>
      <c r="AQ170" s="441"/>
      <c r="AR170" s="441"/>
      <c r="AS170" s="441"/>
      <c r="AT170" s="441"/>
      <c r="AU170" s="441"/>
    </row>
    <row r="171" spans="2:60" s="114" customFormat="1" ht="12.75" hidden="1" customHeight="1" outlineLevel="1" collapsed="1">
      <c r="B171" s="1091" t="s">
        <v>49</v>
      </c>
      <c r="C171" s="140"/>
      <c r="D171" s="2265"/>
      <c r="E171" s="2265"/>
      <c r="F171" s="2265"/>
      <c r="G171" s="2265"/>
      <c r="H171" s="2265"/>
      <c r="I171" s="2265"/>
      <c r="J171" s="2265"/>
      <c r="K171" s="2265"/>
      <c r="L171" s="2265"/>
      <c r="M171" s="2265"/>
      <c r="N171" s="2265"/>
      <c r="O171" s="1412"/>
      <c r="P171" s="1659"/>
      <c r="V171" s="2636" t="s">
        <v>366</v>
      </c>
      <c r="W171" s="2637"/>
      <c r="X171" s="2637"/>
      <c r="Y171" s="2637"/>
      <c r="Z171" s="2637"/>
      <c r="AA171" s="2637"/>
      <c r="AB171" s="2637"/>
      <c r="AC171" s="2638"/>
      <c r="AE171" s="2639" t="s">
        <v>441</v>
      </c>
      <c r="AF171" s="2640"/>
      <c r="AG171" s="2640"/>
      <c r="AH171" s="2640"/>
      <c r="AI171" s="2640"/>
      <c r="AJ171" s="2640"/>
      <c r="AK171" s="2640"/>
      <c r="AL171" s="2640"/>
      <c r="AM171" s="2640"/>
      <c r="AN171" s="2640"/>
      <c r="AO171" s="2640"/>
      <c r="AP171" s="2640"/>
      <c r="AQ171" s="2640"/>
      <c r="AR171" s="2640"/>
      <c r="AS171" s="2640"/>
      <c r="AT171" s="2640"/>
      <c r="AU171" s="2640"/>
      <c r="AV171" s="2640"/>
      <c r="AW171" s="2640"/>
      <c r="AX171" s="2640"/>
      <c r="AY171" s="2640"/>
      <c r="AZ171" s="2640"/>
      <c r="BA171" s="2640"/>
      <c r="BB171" s="2641"/>
    </row>
    <row r="172" spans="2:60" s="114" customFormat="1" ht="12.75" hidden="1" customHeight="1" outlineLevel="2">
      <c r="B172" s="332"/>
      <c r="C172" s="167"/>
      <c r="D172" s="2496" t="s">
        <v>308</v>
      </c>
      <c r="E172" s="2496"/>
      <c r="F172" s="2496"/>
      <c r="G172" s="2496"/>
      <c r="H172" s="2496"/>
      <c r="I172" s="2496"/>
      <c r="J172" s="2496"/>
      <c r="K172" s="2496"/>
      <c r="L172" s="2473"/>
      <c r="M172" s="2473"/>
      <c r="N172" s="2473"/>
      <c r="O172" s="565"/>
      <c r="P172" s="2498"/>
      <c r="V172" s="2472"/>
      <c r="W172" s="2497"/>
      <c r="X172" s="2497"/>
      <c r="Y172" s="2485"/>
      <c r="Z172" s="2485"/>
      <c r="AA172" s="2485"/>
      <c r="AB172" s="2485"/>
      <c r="AC172" s="145"/>
      <c r="AE172" s="2642" t="s">
        <v>444</v>
      </c>
      <c r="AF172" s="2643"/>
      <c r="AG172" s="2643"/>
      <c r="AH172" s="2643"/>
      <c r="AI172" s="2643"/>
      <c r="AJ172" s="2643"/>
      <c r="AK172" s="2643"/>
      <c r="AL172" s="2643"/>
      <c r="AM172" s="2643"/>
      <c r="AN172" s="2643"/>
      <c r="AO172" s="2643"/>
      <c r="AP172" s="2643"/>
      <c r="AQ172" s="2643"/>
      <c r="AR172" s="2643"/>
      <c r="AS172" s="2643"/>
      <c r="AT172" s="2643"/>
      <c r="AU172" s="2479" t="s">
        <v>444</v>
      </c>
      <c r="AV172" s="2479"/>
      <c r="AW172" s="2479"/>
      <c r="AX172" s="2479"/>
      <c r="AY172" s="2478"/>
      <c r="AZ172" s="2479"/>
      <c r="BA172" s="2479"/>
      <c r="BB172" s="2480"/>
      <c r="BD172" s="2616" t="s">
        <v>1648</v>
      </c>
      <c r="BE172" s="2618"/>
      <c r="BF172" s="1789"/>
      <c r="BG172" s="1774"/>
      <c r="BH172" s="1774"/>
    </row>
    <row r="173" spans="2:60" s="114" customFormat="1" ht="12.75" hidden="1" customHeight="1" outlineLevel="2">
      <c r="B173" s="2472"/>
      <c r="C173" s="2473"/>
      <c r="D173" s="2473" t="s">
        <v>409</v>
      </c>
      <c r="E173" s="2473"/>
      <c r="F173" s="147" t="s">
        <v>450</v>
      </c>
      <c r="G173" s="2494" t="s">
        <v>199</v>
      </c>
      <c r="H173" s="2626" t="s">
        <v>1585</v>
      </c>
      <c r="I173" s="2628"/>
      <c r="J173" s="2628"/>
      <c r="K173" s="2628"/>
      <c r="L173" s="2768"/>
      <c r="M173" s="2768"/>
      <c r="N173" s="2768"/>
      <c r="O173" s="2768"/>
      <c r="P173" s="2498" t="s">
        <v>444</v>
      </c>
      <c r="V173" s="2472" t="s">
        <v>316</v>
      </c>
      <c r="W173" s="2474" t="s">
        <v>316</v>
      </c>
      <c r="X173" s="2475"/>
      <c r="Y173" s="2473"/>
      <c r="Z173" s="2473"/>
      <c r="AA173" s="2473"/>
      <c r="AB173" s="2473"/>
      <c r="AC173" s="2498" t="s">
        <v>444</v>
      </c>
      <c r="AE173" s="2476" t="s">
        <v>211</v>
      </c>
      <c r="AF173" s="2477"/>
      <c r="AG173" s="2477"/>
      <c r="AH173" s="2477"/>
      <c r="AI173" s="2477" t="s">
        <v>442</v>
      </c>
      <c r="AJ173" s="2477"/>
      <c r="AK173" s="2477"/>
      <c r="AL173" s="2477"/>
      <c r="AM173" s="2477" t="s">
        <v>267</v>
      </c>
      <c r="AN173" s="2477"/>
      <c r="AO173" s="2477"/>
      <c r="AP173" s="2477"/>
      <c r="AQ173" s="2477" t="s">
        <v>443</v>
      </c>
      <c r="AR173" s="2477"/>
      <c r="AS173" s="2477"/>
      <c r="AT173" s="2477"/>
      <c r="AU173" s="2484" t="s">
        <v>327</v>
      </c>
      <c r="AV173" s="2484"/>
      <c r="AW173" s="2484"/>
      <c r="AX173" s="2484"/>
      <c r="AY173" s="2501"/>
      <c r="AZ173" s="2477" t="s">
        <v>636</v>
      </c>
      <c r="BA173" s="566"/>
      <c r="BB173" s="567"/>
      <c r="BD173" s="2502" t="s">
        <v>5116</v>
      </c>
      <c r="BE173" s="2471" t="s">
        <v>2187</v>
      </c>
      <c r="BF173" s="1789"/>
      <c r="BG173" s="1774"/>
      <c r="BH173" s="1774"/>
    </row>
    <row r="174" spans="2:60" s="114" customFormat="1" ht="13.2" hidden="1" outlineLevel="2">
      <c r="B174" s="2472"/>
      <c r="C174" s="2473"/>
      <c r="D174" s="2473" t="s">
        <v>444</v>
      </c>
      <c r="E174" s="2473"/>
      <c r="F174" s="2495" t="s">
        <v>447</v>
      </c>
      <c r="G174" s="2495" t="s">
        <v>22</v>
      </c>
      <c r="H174" s="1662"/>
      <c r="I174" s="1662"/>
      <c r="J174" s="1662"/>
      <c r="K174" s="1662"/>
      <c r="L174" s="2486"/>
      <c r="M174" s="581"/>
      <c r="N174" s="2486"/>
      <c r="O174" s="2486"/>
      <c r="P174" s="2498"/>
      <c r="V174" s="2472" t="s">
        <v>1649</v>
      </c>
      <c r="W174" s="2482" t="s">
        <v>1650</v>
      </c>
      <c r="X174" s="2483"/>
      <c r="Y174" s="1662"/>
      <c r="Z174" s="2286"/>
      <c r="AA174" s="2286"/>
      <c r="AB174" s="2286"/>
      <c r="AC174" s="2498"/>
      <c r="AE174" s="227"/>
      <c r="AF174" s="1662"/>
      <c r="AG174" s="1662"/>
      <c r="AH174" s="1662"/>
      <c r="AI174" s="1662"/>
      <c r="AJ174" s="1662"/>
      <c r="AK174" s="1662"/>
      <c r="AL174" s="1662"/>
      <c r="AM174" s="1662"/>
      <c r="AN174" s="1662"/>
      <c r="AO174" s="1662"/>
      <c r="AP174" s="1662"/>
      <c r="AQ174" s="1662"/>
      <c r="AR174" s="1662"/>
      <c r="AS174" s="1662"/>
      <c r="AT174" s="1662"/>
      <c r="AU174" s="1662"/>
      <c r="AV174" s="1662"/>
      <c r="AW174" s="1662"/>
      <c r="AX174" s="1662"/>
      <c r="AY174" s="227"/>
      <c r="AZ174" s="1662"/>
      <c r="BA174" s="1662"/>
      <c r="BB174" s="1171"/>
      <c r="BD174" s="2158"/>
      <c r="BE174" s="2470"/>
      <c r="BF174" s="1789"/>
      <c r="BG174" s="1774"/>
      <c r="BH174" s="1774"/>
    </row>
    <row r="175" spans="2:60" s="114" customFormat="1" ht="13.2" hidden="1" outlineLevel="2">
      <c r="B175" s="389" t="s">
        <v>4895</v>
      </c>
      <c r="C175" s="341"/>
      <c r="D175" s="212">
        <f>P175</f>
        <v>0</v>
      </c>
      <c r="E175" s="212"/>
      <c r="F175" s="2388"/>
      <c r="G175" s="2388"/>
      <c r="H175" s="219"/>
      <c r="I175" s="219">
        <f>IF(ISNA(VLOOKUP($B175&amp;"; "&amp;$H$173,'FE Déchets'!$G:$U,9,FALSE)),0,VLOOKUP($B175&amp;"; "&amp;$H$214,'FE Déchets'!$G:$U,9,FALSE))</f>
        <v>943</v>
      </c>
      <c r="J175" s="219"/>
      <c r="K175" s="219"/>
      <c r="L175" s="151"/>
      <c r="M175" s="151"/>
      <c r="N175" s="151"/>
      <c r="O175" s="151"/>
      <c r="P175" s="152">
        <f>G175*I175</f>
        <v>0</v>
      </c>
      <c r="V175" s="226">
        <f>IF(AC175=0,AC175,AC175/P175)</f>
        <v>0</v>
      </c>
      <c r="W175" s="1094"/>
      <c r="X175" s="820"/>
      <c r="Y175" s="164"/>
      <c r="Z175" s="164"/>
      <c r="AA175" s="164"/>
      <c r="AB175" s="164"/>
      <c r="AC175" s="152">
        <f>P175*BE175</f>
        <v>0</v>
      </c>
      <c r="AE175" s="564">
        <f>$G175*IF(ISNA(VLOOKUP($B175&amp;"; "&amp;$H$173,'FE Déchets'!$G:$U,10,FALSE)),0,VLOOKUP($B175&amp;"; "&amp;$H$173,'FE Déchets'!$G:$U,10,FALSE))</f>
        <v>0</v>
      </c>
      <c r="AF175" s="565"/>
      <c r="AG175" s="565"/>
      <c r="AH175" s="565"/>
      <c r="AI175" s="565">
        <f>$G175*IF(ISNA(VLOOKUP($B175&amp;"; "&amp;$H$173,'FE Déchets'!$G:$U,11,FALSE)+VLOOKUP($B175&amp;"; "&amp;$H$173,'FE Déchets'!$G:$U,12,FALSE)),0,
VLOOKUP($B175&amp;"; "&amp;$H$173,'FE Déchets'!$G:$U,11,FALSE)+VLOOKUP($B175&amp;"; "&amp;$H$173,'FE Déchets'!$G:$U,12,FALSE))</f>
        <v>0</v>
      </c>
      <c r="AJ175" s="565"/>
      <c r="AK175" s="565"/>
      <c r="AL175" s="565"/>
      <c r="AM175" s="565">
        <f>$G175*IF(ISNA(VLOOKUP($B175&amp;"; "&amp;$H$173,'FE Déchets'!$G:$U,13,FALSE)),0,VLOOKUP($B175&amp;"; "&amp;$H$173,'FE Déchets'!$G:$U,13,FALSE))</f>
        <v>0</v>
      </c>
      <c r="AN175" s="565"/>
      <c r="AO175" s="565"/>
      <c r="AP175" s="565"/>
      <c r="AQ175" s="565">
        <f>$G175*IF(ISNA(VLOOKUP($B175&amp;"; "&amp;$H$173,'FE Déchets'!$G:$U,14,FALSE)),0,VLOOKUP($B175&amp;"; "&amp;$H$173,'FE Déchets'!$G:$U,14,FALSE))</f>
        <v>0</v>
      </c>
      <c r="AR175" s="565"/>
      <c r="AS175" s="565"/>
      <c r="AT175" s="565"/>
      <c r="AU175" s="566">
        <f>SUM(AE175,AI175,AM175,AQ175)</f>
        <v>0</v>
      </c>
      <c r="AV175" s="566"/>
      <c r="AW175" s="566"/>
      <c r="AX175" s="566"/>
      <c r="AY175" s="564">
        <f>$G175*IF(ISNA(VLOOKUP($B175&amp;"; "&amp;$H$173,'FE Déchets'!$G:$U,15,FALSE)),0,VLOOKUP($B175&amp;"; "&amp;$H$173,'FE Déchets'!$G:$U,15,FALSE))</f>
        <v>0</v>
      </c>
      <c r="AZ175" s="565"/>
      <c r="BA175" s="565"/>
      <c r="BB175" s="568"/>
      <c r="BD175" s="2492">
        <f>IF($W175&lt;&gt;"votre valeur :",IF(ISNA(VLOOKUP($W175,Utilitaires!$N$566:$O$571,2,FALSE)),,VLOOKUP($W175,Utilitaires!$N$566:$O$571,2,FALSE)),$X175)</f>
        <v>0</v>
      </c>
      <c r="BE175" s="2442">
        <f>IF(ISNA(SQRT(SUMSQ(VLOOKUP($B175&amp;"; "&amp;$H$173,'FE Déchets'!$G:$U,7,FALSE),$BD175))),0,SQRT(SUMSQ(VLOOKUP($B175&amp;"; "&amp;$H$173,'FE Déchets'!$G:$U,7,FALSE),$BD175)))</f>
        <v>0.5</v>
      </c>
      <c r="BF175" s="2504"/>
      <c r="BG175" s="2128"/>
      <c r="BH175" s="2128"/>
    </row>
    <row r="176" spans="2:60" s="114" customFormat="1" ht="13.2" hidden="1" outlineLevel="2">
      <c r="B176" s="389" t="s">
        <v>4896</v>
      </c>
      <c r="C176" s="341"/>
      <c r="D176" s="212">
        <f>P176</f>
        <v>0</v>
      </c>
      <c r="E176" s="212"/>
      <c r="F176" s="2389"/>
      <c r="G176" s="2389"/>
      <c r="H176" s="219"/>
      <c r="I176" s="219">
        <f>IF(ISNA(VLOOKUP($B176&amp;"; "&amp;$H$173,'FE Déchets'!$G:$U,9,FALSE)),0,VLOOKUP($B176&amp;"; "&amp;$H$214,'FE Déchets'!$G:$U,9,FALSE))</f>
        <v>844</v>
      </c>
      <c r="J176" s="219"/>
      <c r="K176" s="219"/>
      <c r="L176" s="151"/>
      <c r="M176" s="151"/>
      <c r="N176" s="151"/>
      <c r="O176" s="151"/>
      <c r="P176" s="152">
        <f t="shared" ref="P176:P177" si="41">G176*I176</f>
        <v>0</v>
      </c>
      <c r="V176" s="226">
        <f>IF(AC176=0,AC176,AC176/P176)</f>
        <v>0</v>
      </c>
      <c r="W176" s="1094"/>
      <c r="X176" s="820"/>
      <c r="Y176" s="164"/>
      <c r="Z176" s="164"/>
      <c r="AA176" s="164"/>
      <c r="AB176" s="164"/>
      <c r="AC176" s="152">
        <f t="shared" ref="AC176:AC177" si="42">P176*BE176</f>
        <v>0</v>
      </c>
      <c r="AE176" s="564">
        <f>$G176*IF(ISNA(VLOOKUP($B176&amp;"; "&amp;$H$173,'FE Déchets'!$G:$U,10,FALSE)),0,VLOOKUP($B176&amp;"; "&amp;$H$173,'FE Déchets'!$G:$U,10,FALSE))</f>
        <v>0</v>
      </c>
      <c r="AF176" s="565"/>
      <c r="AG176" s="565"/>
      <c r="AH176" s="565"/>
      <c r="AI176" s="565">
        <f>$G176*IF(ISNA(VLOOKUP($B176&amp;"; "&amp;$H$173,'FE Déchets'!$G:$U,11,FALSE)+VLOOKUP($B176&amp;"; "&amp;$H$173,'FE Déchets'!$G:$U,12,FALSE)),0,
VLOOKUP($B176&amp;"; "&amp;$H$173,'FE Déchets'!$G:$U,11,FALSE)+VLOOKUP($B176&amp;"; "&amp;$H$173,'FE Déchets'!$G:$U,12,FALSE))</f>
        <v>0</v>
      </c>
      <c r="AJ176" s="565"/>
      <c r="AK176" s="565"/>
      <c r="AL176" s="565"/>
      <c r="AM176" s="565">
        <f>$G176*IF(ISNA(VLOOKUP($B176&amp;"; "&amp;$H$173,'FE Déchets'!$G:$U,13,FALSE)),0,VLOOKUP($B176&amp;"; "&amp;$H$173,'FE Déchets'!$G:$U,13,FALSE))</f>
        <v>0</v>
      </c>
      <c r="AN176" s="565"/>
      <c r="AO176" s="565"/>
      <c r="AP176" s="565"/>
      <c r="AQ176" s="565">
        <f>$G176*IF(ISNA(VLOOKUP($B176&amp;"; "&amp;$H$173,'FE Déchets'!$G:$U,14,FALSE)),0,VLOOKUP($B176&amp;"; "&amp;$H$173,'FE Déchets'!$G:$U,14,FALSE))</f>
        <v>0</v>
      </c>
      <c r="AR176" s="565"/>
      <c r="AS176" s="565"/>
      <c r="AT176" s="565"/>
      <c r="AU176" s="566">
        <f>SUM(AE176,AI176,AM176,AQ176)</f>
        <v>0</v>
      </c>
      <c r="AV176" s="566"/>
      <c r="AW176" s="566"/>
      <c r="AX176" s="566"/>
      <c r="AY176" s="564">
        <f>$G176*IF(ISNA(VLOOKUP($B176&amp;"; "&amp;$H$173,'FE Déchets'!$G:$U,15,FALSE)),0,VLOOKUP($B176&amp;"; "&amp;$H$173,'FE Déchets'!$G:$U,15,FALSE))</f>
        <v>0</v>
      </c>
      <c r="AZ176" s="565"/>
      <c r="BA176" s="565"/>
      <c r="BB176" s="568"/>
      <c r="BD176" s="2492">
        <f>IF($W176&lt;&gt;"votre valeur :",IF(ISNA(VLOOKUP($W176,Utilitaires!$N$566:$O$571,2,FALSE)),,VLOOKUP($W176,Utilitaires!$N$566:$O$571,2,FALSE)),$X176)</f>
        <v>0</v>
      </c>
      <c r="BE176" s="2442">
        <f>IF(ISNA(SQRT(SUMSQ(VLOOKUP($B176&amp;"; "&amp;$H$173,'FE Déchets'!$G:$U,7,FALSE),$BD176))),0,SQRT(SUMSQ(VLOOKUP($B176&amp;"; "&amp;$H$173,'FE Déchets'!$G:$U,7,FALSE),$BD176)))</f>
        <v>0.5</v>
      </c>
      <c r="BF176" s="2504"/>
      <c r="BG176" s="2128"/>
      <c r="BH176" s="2128"/>
    </row>
    <row r="177" spans="2:60" s="114" customFormat="1" ht="13.2" hidden="1" outlineLevel="2">
      <c r="B177" s="389" t="s">
        <v>5118</v>
      </c>
      <c r="C177" s="341"/>
      <c r="D177" s="212">
        <f>P177</f>
        <v>0</v>
      </c>
      <c r="E177" s="212"/>
      <c r="F177" s="2390"/>
      <c r="G177" s="2390"/>
      <c r="H177" s="219"/>
      <c r="I177" s="219">
        <f>IF(ISNA(VLOOKUP($B177&amp;"; "&amp;$H$173,'FE Déchets'!$G:$U,9,FALSE)),0,VLOOKUP($B177&amp;"; "&amp;$H$214,'FE Déchets'!$G:$U,9,FALSE))</f>
        <v>128</v>
      </c>
      <c r="J177" s="219"/>
      <c r="K177" s="219"/>
      <c r="L177" s="151"/>
      <c r="M177" s="151"/>
      <c r="N177" s="151"/>
      <c r="O177" s="151"/>
      <c r="P177" s="152">
        <f t="shared" si="41"/>
        <v>0</v>
      </c>
      <c r="V177" s="226">
        <f>IF(AC177=0,AC177,AC177/P177)</f>
        <v>0</v>
      </c>
      <c r="W177" s="1094"/>
      <c r="X177" s="820"/>
      <c r="Y177" s="164"/>
      <c r="Z177" s="164"/>
      <c r="AA177" s="164"/>
      <c r="AB177" s="164"/>
      <c r="AC177" s="152">
        <f t="shared" si="42"/>
        <v>0</v>
      </c>
      <c r="AE177" s="564">
        <f>$G177*IF(ISNA(VLOOKUP($B177&amp;"; "&amp;$H$173,'FE Déchets'!$G:$U,10,FALSE)),0,VLOOKUP($B177&amp;"; "&amp;$H$173,'FE Déchets'!$G:$U,10,FALSE))</f>
        <v>0</v>
      </c>
      <c r="AF177" s="565"/>
      <c r="AG177" s="565"/>
      <c r="AH177" s="565"/>
      <c r="AI177" s="565">
        <f>$G177*IF(ISNA(VLOOKUP($B177&amp;"; "&amp;$H$173,'FE Déchets'!$G:$U,11,FALSE)+VLOOKUP($B177&amp;"; "&amp;$H$173,'FE Déchets'!$G:$U,12,FALSE)),0,
VLOOKUP($B177&amp;"; "&amp;$H$173,'FE Déchets'!$G:$U,11,FALSE)+VLOOKUP($B177&amp;"; "&amp;$H$173,'FE Déchets'!$G:$U,12,FALSE))</f>
        <v>0</v>
      </c>
      <c r="AJ177" s="565"/>
      <c r="AK177" s="565"/>
      <c r="AL177" s="565"/>
      <c r="AM177" s="565">
        <f>$G177*IF(ISNA(VLOOKUP($B177&amp;"; "&amp;$H$173,'FE Déchets'!$G:$U,13,FALSE)),0,VLOOKUP($B177&amp;"; "&amp;$H$173,'FE Déchets'!$G:$U,13,FALSE))</f>
        <v>0</v>
      </c>
      <c r="AN177" s="565"/>
      <c r="AO177" s="565"/>
      <c r="AP177" s="565"/>
      <c r="AQ177" s="565">
        <f>$G177*IF(ISNA(VLOOKUP($B177&amp;"; "&amp;$H$173,'FE Déchets'!$G:$U,14,FALSE)),0,VLOOKUP($B177&amp;"; "&amp;$H$173,'FE Déchets'!$G:$U,14,FALSE))</f>
        <v>0</v>
      </c>
      <c r="AR177" s="565"/>
      <c r="AS177" s="565"/>
      <c r="AT177" s="565"/>
      <c r="AU177" s="566">
        <f>SUM(AE177,AI177,AM177,AQ177)</f>
        <v>0</v>
      </c>
      <c r="AV177" s="566"/>
      <c r="AW177" s="566"/>
      <c r="AX177" s="566"/>
      <c r="AY177" s="564">
        <f>$G177*IF(ISNA(VLOOKUP($B177&amp;"; "&amp;$H$173,'FE Déchets'!$G:$U,15,FALSE)),0,VLOOKUP($B177&amp;"; "&amp;$H$173,'FE Déchets'!$G:$U,15,FALSE))</f>
        <v>0</v>
      </c>
      <c r="AZ177" s="565"/>
      <c r="BA177" s="565"/>
      <c r="BB177" s="568"/>
      <c r="BD177" s="2492">
        <f>IF($W177&lt;&gt;"votre valeur :",IF(ISNA(VLOOKUP($W177,Utilitaires!$N$566:$O$571,2,FALSE)),,VLOOKUP($W177,Utilitaires!$N$566:$O$571,2,FALSE)),$X177)</f>
        <v>0</v>
      </c>
      <c r="BE177" s="2442">
        <f>IF(ISNA(SQRT(SUMSQ(VLOOKUP($B177&amp;"; "&amp;$H$173,'FE Déchets'!$G:$U,7,FALSE),$BD177))),0,SQRT(SUMSQ(VLOOKUP($B177&amp;"; "&amp;$H$173,'FE Déchets'!$G:$U,7,FALSE),$BD177)))</f>
        <v>0.5</v>
      </c>
      <c r="BF177" s="2504"/>
      <c r="BG177" s="2128"/>
      <c r="BH177" s="2128"/>
    </row>
    <row r="178" spans="2:60" s="114" customFormat="1" ht="13.2" hidden="1" outlineLevel="2">
      <c r="B178" s="143"/>
      <c r="C178" s="144"/>
      <c r="D178" s="219"/>
      <c r="E178" s="219"/>
      <c r="F178" s="219"/>
      <c r="G178" s="164"/>
      <c r="H178" s="326"/>
      <c r="I178" s="326"/>
      <c r="J178" s="326"/>
      <c r="K178" s="326"/>
      <c r="L178" s="151"/>
      <c r="M178" s="151"/>
      <c r="N178" s="151"/>
      <c r="O178" s="354"/>
      <c r="P178" s="152"/>
      <c r="V178" s="226"/>
      <c r="W178" s="155"/>
      <c r="X178" s="155"/>
      <c r="Y178" s="164"/>
      <c r="Z178" s="164"/>
      <c r="AA178" s="164"/>
      <c r="AB178" s="164"/>
      <c r="AC178" s="367"/>
      <c r="AE178" s="569"/>
      <c r="AF178" s="625"/>
      <c r="AG178" s="625"/>
      <c r="AH178" s="625"/>
      <c r="AI178" s="625"/>
      <c r="AJ178" s="625"/>
      <c r="AK178" s="625"/>
      <c r="AL178" s="625"/>
      <c r="AM178" s="625"/>
      <c r="AN178" s="625"/>
      <c r="AO178" s="625"/>
      <c r="AP178" s="625"/>
      <c r="AQ178" s="625"/>
      <c r="AR178" s="625"/>
      <c r="AS178" s="625"/>
      <c r="AT178" s="625"/>
      <c r="AU178" s="1313"/>
      <c r="AV178" s="1313"/>
      <c r="AW178" s="1313"/>
      <c r="AX178" s="1313"/>
      <c r="AY178" s="1411"/>
      <c r="AZ178" s="1313"/>
      <c r="BA178" s="625"/>
      <c r="BB178" s="570"/>
      <c r="BD178" s="2493"/>
      <c r="BE178" s="1075"/>
      <c r="BF178" s="2505"/>
      <c r="BG178" s="2387"/>
      <c r="BH178" s="2387"/>
    </row>
    <row r="179" spans="2:60" s="114" customFormat="1" ht="13.2" hidden="1" outlineLevel="1">
      <c r="B179" s="1264" t="s">
        <v>348</v>
      </c>
      <c r="C179" s="197"/>
      <c r="D179" s="214">
        <f>SUM(D175:D178)</f>
        <v>0</v>
      </c>
      <c r="E179" s="214"/>
      <c r="F179" s="214"/>
      <c r="G179" s="203"/>
      <c r="H179" s="203"/>
      <c r="I179" s="202"/>
      <c r="J179" s="203"/>
      <c r="K179" s="203"/>
      <c r="L179" s="202"/>
      <c r="M179" s="202"/>
      <c r="N179" s="202"/>
      <c r="O179" s="202"/>
      <c r="P179" s="200">
        <f>SUM(P175:P178)</f>
        <v>0</v>
      </c>
      <c r="V179" s="1204">
        <f>IF(AC179=0,AC179,AC179/P179)</f>
        <v>0</v>
      </c>
      <c r="W179" s="199"/>
      <c r="X179" s="199"/>
      <c r="Y179" s="204"/>
      <c r="Z179" s="204"/>
      <c r="AA179" s="204"/>
      <c r="AB179" s="204"/>
      <c r="AC179" s="200">
        <f>SQRT(SUMSQ(AC175:AC178))</f>
        <v>0</v>
      </c>
      <c r="AE179" s="1308">
        <f t="shared" ref="AE179" si="43">SUM(AE175:AE178)</f>
        <v>0</v>
      </c>
      <c r="AF179" s="1309"/>
      <c r="AG179" s="1309"/>
      <c r="AH179" s="1309"/>
      <c r="AI179" s="1309">
        <f t="shared" ref="AI179" si="44">SUM(AI175:AI178)</f>
        <v>0</v>
      </c>
      <c r="AJ179" s="1309"/>
      <c r="AK179" s="1309"/>
      <c r="AL179" s="1309"/>
      <c r="AM179" s="1309">
        <f t="shared" ref="AM179" si="45">SUM(AM175:AM178)</f>
        <v>0</v>
      </c>
      <c r="AN179" s="1309"/>
      <c r="AO179" s="1309"/>
      <c r="AP179" s="1309"/>
      <c r="AQ179" s="1309">
        <f t="shared" ref="AQ179" si="46">SUM(AQ175:AQ178)</f>
        <v>0</v>
      </c>
      <c r="AR179" s="1309"/>
      <c r="AS179" s="1309"/>
      <c r="AT179" s="1309"/>
      <c r="AU179" s="1312">
        <f t="shared" ref="AU179" si="47">SUM(AU175:AU178)</f>
        <v>0</v>
      </c>
      <c r="AV179" s="1312"/>
      <c r="AW179" s="1312"/>
      <c r="AX179" s="1312"/>
      <c r="AY179" s="1082">
        <f t="shared" ref="AY179" si="48">SUM(AY175:AY178)</f>
        <v>0</v>
      </c>
      <c r="AZ179" s="572"/>
      <c r="BA179" s="572"/>
      <c r="BB179" s="575"/>
    </row>
    <row r="180" spans="2:60" s="114" customFormat="1" ht="12.75" hidden="1" customHeight="1" outlineLevel="1">
      <c r="AJ180" s="441"/>
      <c r="AK180" s="441"/>
      <c r="AL180" s="441"/>
      <c r="AM180" s="441"/>
      <c r="AN180" s="441"/>
      <c r="AO180" s="441"/>
      <c r="AP180" s="441"/>
      <c r="AQ180" s="441"/>
      <c r="AR180" s="441"/>
      <c r="AS180" s="441"/>
      <c r="AT180" s="441"/>
      <c r="AU180" s="441"/>
    </row>
    <row r="181" spans="2:60" s="114" customFormat="1" ht="12.75" hidden="1" customHeight="1" outlineLevel="1" collapsed="1">
      <c r="B181" s="1091" t="s">
        <v>4951</v>
      </c>
      <c r="C181" s="140"/>
      <c r="D181" s="2265"/>
      <c r="E181" s="2265"/>
      <c r="F181" s="2265"/>
      <c r="G181" s="2265"/>
      <c r="H181" s="2265"/>
      <c r="I181" s="2265"/>
      <c r="J181" s="2265"/>
      <c r="K181" s="2265"/>
      <c r="L181" s="2265"/>
      <c r="M181" s="2265"/>
      <c r="N181" s="2265"/>
      <c r="O181" s="1412"/>
      <c r="P181" s="1659"/>
      <c r="V181" s="2636" t="s">
        <v>366</v>
      </c>
      <c r="W181" s="2637"/>
      <c r="X181" s="2637"/>
      <c r="Y181" s="2637"/>
      <c r="Z181" s="2637"/>
      <c r="AA181" s="2637"/>
      <c r="AB181" s="2637"/>
      <c r="AC181" s="2638"/>
      <c r="AE181" s="2639" t="s">
        <v>441</v>
      </c>
      <c r="AF181" s="2640"/>
      <c r="AG181" s="2640"/>
      <c r="AH181" s="2640"/>
      <c r="AI181" s="2640"/>
      <c r="AJ181" s="2640"/>
      <c r="AK181" s="2640"/>
      <c r="AL181" s="2640"/>
      <c r="AM181" s="2640"/>
      <c r="AN181" s="2640"/>
      <c r="AO181" s="2640"/>
      <c r="AP181" s="2640"/>
      <c r="AQ181" s="2640"/>
      <c r="AR181" s="2640"/>
      <c r="AS181" s="2640"/>
      <c r="AT181" s="2640"/>
      <c r="AU181" s="2640"/>
      <c r="AV181" s="2640"/>
      <c r="AW181" s="2640"/>
      <c r="AX181" s="2640"/>
      <c r="AY181" s="2640"/>
      <c r="AZ181" s="2640"/>
      <c r="BA181" s="2640"/>
      <c r="BB181" s="2641"/>
    </row>
    <row r="182" spans="2:60" s="114" customFormat="1" ht="12.75" hidden="1" customHeight="1" outlineLevel="2">
      <c r="B182" s="332"/>
      <c r="C182" s="167"/>
      <c r="D182" s="2496" t="s">
        <v>308</v>
      </c>
      <c r="E182" s="2496"/>
      <c r="F182" s="2496"/>
      <c r="G182" s="2496"/>
      <c r="H182" s="2496"/>
      <c r="I182" s="2496"/>
      <c r="J182" s="2496"/>
      <c r="K182" s="2496"/>
      <c r="L182" s="2473"/>
      <c r="M182" s="2473"/>
      <c r="N182" s="2473"/>
      <c r="O182" s="565"/>
      <c r="P182" s="2498"/>
      <c r="V182" s="2472"/>
      <c r="W182" s="2497"/>
      <c r="X182" s="2497"/>
      <c r="Y182" s="2485"/>
      <c r="Z182" s="2485"/>
      <c r="AA182" s="2485"/>
      <c r="AB182" s="2485"/>
      <c r="AC182" s="145"/>
      <c r="AE182" s="2642" t="s">
        <v>444</v>
      </c>
      <c r="AF182" s="2643"/>
      <c r="AG182" s="2643"/>
      <c r="AH182" s="2643"/>
      <c r="AI182" s="2643"/>
      <c r="AJ182" s="2643"/>
      <c r="AK182" s="2643"/>
      <c r="AL182" s="2643"/>
      <c r="AM182" s="2643"/>
      <c r="AN182" s="2643"/>
      <c r="AO182" s="2643"/>
      <c r="AP182" s="2643"/>
      <c r="AQ182" s="2643"/>
      <c r="AR182" s="2643"/>
      <c r="AS182" s="2643"/>
      <c r="AT182" s="2643"/>
      <c r="AU182" s="2479" t="s">
        <v>444</v>
      </c>
      <c r="AV182" s="2479"/>
      <c r="AW182" s="2479"/>
      <c r="AX182" s="2479"/>
      <c r="AY182" s="2478"/>
      <c r="AZ182" s="2479"/>
      <c r="BA182" s="2479"/>
      <c r="BB182" s="2480"/>
      <c r="BD182" s="2616" t="s">
        <v>1648</v>
      </c>
      <c r="BE182" s="2618"/>
      <c r="BF182" s="1789"/>
      <c r="BG182" s="1774"/>
      <c r="BH182" s="1774"/>
    </row>
    <row r="183" spans="2:60" s="114" customFormat="1" ht="12.75" hidden="1" customHeight="1" outlineLevel="2">
      <c r="B183" s="2472"/>
      <c r="C183" s="2473"/>
      <c r="D183" s="2473" t="s">
        <v>409</v>
      </c>
      <c r="E183" s="2473"/>
      <c r="F183" s="147" t="s">
        <v>450</v>
      </c>
      <c r="G183" s="2494" t="s">
        <v>199</v>
      </c>
      <c r="H183" s="2626" t="s">
        <v>1585</v>
      </c>
      <c r="I183" s="2628"/>
      <c r="J183" s="2628"/>
      <c r="K183" s="2628"/>
      <c r="L183" s="2768"/>
      <c r="M183" s="2768"/>
      <c r="N183" s="2768"/>
      <c r="O183" s="2768"/>
      <c r="P183" s="2498" t="s">
        <v>444</v>
      </c>
      <c r="V183" s="2472" t="s">
        <v>316</v>
      </c>
      <c r="W183" s="2474" t="s">
        <v>316</v>
      </c>
      <c r="X183" s="2475"/>
      <c r="Y183" s="2473"/>
      <c r="Z183" s="2473"/>
      <c r="AA183" s="2473"/>
      <c r="AB183" s="2473"/>
      <c r="AC183" s="2498" t="s">
        <v>444</v>
      </c>
      <c r="AE183" s="2476" t="s">
        <v>211</v>
      </c>
      <c r="AF183" s="2477"/>
      <c r="AG183" s="2477"/>
      <c r="AH183" s="2477"/>
      <c r="AI183" s="2477" t="s">
        <v>442</v>
      </c>
      <c r="AJ183" s="2477"/>
      <c r="AK183" s="2477"/>
      <c r="AL183" s="2477"/>
      <c r="AM183" s="2477" t="s">
        <v>267</v>
      </c>
      <c r="AN183" s="2477"/>
      <c r="AO183" s="2477"/>
      <c r="AP183" s="2477"/>
      <c r="AQ183" s="2477" t="s">
        <v>443</v>
      </c>
      <c r="AR183" s="2477"/>
      <c r="AS183" s="2477"/>
      <c r="AT183" s="2477"/>
      <c r="AU183" s="2484" t="s">
        <v>327</v>
      </c>
      <c r="AV183" s="2484"/>
      <c r="AW183" s="2484"/>
      <c r="AX183" s="2484"/>
      <c r="AY183" s="2501"/>
      <c r="AZ183" s="2477" t="s">
        <v>636</v>
      </c>
      <c r="BA183" s="566"/>
      <c r="BB183" s="567"/>
      <c r="BD183" s="2502" t="s">
        <v>5116</v>
      </c>
      <c r="BE183" s="2471" t="s">
        <v>2187</v>
      </c>
      <c r="BF183" s="1789"/>
      <c r="BG183" s="1774"/>
      <c r="BH183" s="1774"/>
    </row>
    <row r="184" spans="2:60" s="114" customFormat="1" ht="13.2" hidden="1" outlineLevel="2">
      <c r="B184" s="2472"/>
      <c r="C184" s="2473"/>
      <c r="D184" s="2473" t="s">
        <v>444</v>
      </c>
      <c r="E184" s="2473"/>
      <c r="F184" s="2495" t="s">
        <v>447</v>
      </c>
      <c r="G184" s="2495" t="s">
        <v>22</v>
      </c>
      <c r="H184" s="1662"/>
      <c r="I184" s="1662"/>
      <c r="J184" s="1662"/>
      <c r="K184" s="1662"/>
      <c r="L184" s="2486"/>
      <c r="M184" s="581"/>
      <c r="N184" s="2486"/>
      <c r="O184" s="2486"/>
      <c r="P184" s="2498"/>
      <c r="V184" s="2472" t="s">
        <v>1649</v>
      </c>
      <c r="W184" s="2482" t="s">
        <v>1650</v>
      </c>
      <c r="X184" s="2483"/>
      <c r="Y184" s="1662"/>
      <c r="Z184" s="2286"/>
      <c r="AA184" s="2286"/>
      <c r="AB184" s="2286"/>
      <c r="AC184" s="2498"/>
      <c r="AE184" s="227"/>
      <c r="AF184" s="1662"/>
      <c r="AG184" s="1662"/>
      <c r="AH184" s="1662"/>
      <c r="AI184" s="1662"/>
      <c r="AJ184" s="1662"/>
      <c r="AK184" s="1662"/>
      <c r="AL184" s="1662"/>
      <c r="AM184" s="1662"/>
      <c r="AN184" s="1662"/>
      <c r="AO184" s="1662"/>
      <c r="AP184" s="1662"/>
      <c r="AQ184" s="1662"/>
      <c r="AR184" s="1662"/>
      <c r="AS184" s="1662"/>
      <c r="AT184" s="1662"/>
      <c r="AU184" s="1662"/>
      <c r="AV184" s="1662"/>
      <c r="AW184" s="1662"/>
      <c r="AX184" s="1662"/>
      <c r="AY184" s="227"/>
      <c r="AZ184" s="1662"/>
      <c r="BA184" s="1662"/>
      <c r="BB184" s="1171"/>
      <c r="BD184" s="2158"/>
      <c r="BE184" s="2470"/>
      <c r="BF184" s="1789"/>
      <c r="BG184" s="1774"/>
      <c r="BH184" s="1774"/>
    </row>
    <row r="185" spans="2:60" s="114" customFormat="1" ht="13.2" hidden="1" outlineLevel="2">
      <c r="B185" s="389" t="s">
        <v>4998</v>
      </c>
      <c r="C185" s="341"/>
      <c r="D185" s="212">
        <f>P185</f>
        <v>0</v>
      </c>
      <c r="E185" s="212"/>
      <c r="F185" s="2388"/>
      <c r="G185" s="2388"/>
      <c r="H185" s="219"/>
      <c r="I185" s="219">
        <f>IF(ISNA(VLOOKUP($B185&amp;"; "&amp;$H$183,'FE Déchets'!$G:$U,9,FALSE)),0,VLOOKUP($B185&amp;"; "&amp;$H$214,'FE Déchets'!$G:$U,9,FALSE))</f>
        <v>134</v>
      </c>
      <c r="J185" s="219"/>
      <c r="K185" s="219"/>
      <c r="L185" s="151"/>
      <c r="M185" s="151"/>
      <c r="N185" s="151"/>
      <c r="O185" s="151"/>
      <c r="P185" s="152">
        <f>G185*I185</f>
        <v>0</v>
      </c>
      <c r="V185" s="226">
        <f>IF(AC185=0,AC185,AC185/P185)</f>
        <v>0</v>
      </c>
      <c r="W185" s="1094"/>
      <c r="X185" s="820"/>
      <c r="Y185" s="164"/>
      <c r="Z185" s="164"/>
      <c r="AA185" s="164"/>
      <c r="AB185" s="164"/>
      <c r="AC185" s="152">
        <f>P185*BE185</f>
        <v>0</v>
      </c>
      <c r="AE185" s="564">
        <f>$G185*IF(ISNA(VLOOKUP($B185&amp;"; "&amp;$H$183,'FE Déchets'!$G:$U,10,FALSE)),0,VLOOKUP($B185&amp;"; "&amp;$H$183,'FE Déchets'!$G:$U,10,FALSE))</f>
        <v>0</v>
      </c>
      <c r="AF185" s="565"/>
      <c r="AG185" s="565"/>
      <c r="AH185" s="565"/>
      <c r="AI185" s="565">
        <f>$G185*IF(ISNA(VLOOKUP($B185&amp;"; "&amp;$H$183,'FE Déchets'!$G:$U,11,FALSE)+VLOOKUP($B185&amp;"; "&amp;$H$183,'FE Déchets'!$G:$U,12,FALSE)),0,
VLOOKUP($B185&amp;"; "&amp;$H$183,'FE Déchets'!$G:$U,11,FALSE)+VLOOKUP($B185&amp;"; "&amp;$H$183,'FE Déchets'!$G:$U,12,FALSE))</f>
        <v>0</v>
      </c>
      <c r="AJ185" s="565"/>
      <c r="AK185" s="565"/>
      <c r="AL185" s="565"/>
      <c r="AM185" s="565">
        <f>$G185*IF(ISNA(VLOOKUP($B185&amp;"; "&amp;$H$183,'FE Déchets'!$G:$U,13,FALSE)),0,VLOOKUP($B185&amp;"; "&amp;$H$183,'FE Déchets'!$G:$U,13,FALSE))</f>
        <v>0</v>
      </c>
      <c r="AN185" s="565"/>
      <c r="AO185" s="565"/>
      <c r="AP185" s="565"/>
      <c r="AQ185" s="565">
        <f>$G185*IF(ISNA(VLOOKUP($B185&amp;"; "&amp;$H$183,'FE Déchets'!$G:$U,14,FALSE)),0,VLOOKUP($B185&amp;"; "&amp;$H$183,'FE Déchets'!$G:$U,14,FALSE))</f>
        <v>0</v>
      </c>
      <c r="AR185" s="565"/>
      <c r="AS185" s="565"/>
      <c r="AT185" s="565"/>
      <c r="AU185" s="566">
        <f>SUM(AE185,AI185,AM185,AQ185)</f>
        <v>0</v>
      </c>
      <c r="AV185" s="566"/>
      <c r="AW185" s="566"/>
      <c r="AX185" s="566"/>
      <c r="AY185" s="564">
        <f>$G185*IF(ISNA(VLOOKUP($B185&amp;"; "&amp;$H$183,'FE Déchets'!$G:$U,15,FALSE)),0,VLOOKUP($B185&amp;"; "&amp;$H$183,'FE Déchets'!$G:$U,15,FALSE))</f>
        <v>0</v>
      </c>
      <c r="AZ185" s="565"/>
      <c r="BA185" s="565"/>
      <c r="BB185" s="568"/>
      <c r="BD185" s="2492">
        <f>IF($W185&lt;&gt;"votre valeur :",IF(ISNA(VLOOKUP($W185,Utilitaires!$N$566:$O$571,2,FALSE)),,VLOOKUP($W185,Utilitaires!$N$566:$O$571,2,FALSE)),$X185)</f>
        <v>0</v>
      </c>
      <c r="BE185" s="2442">
        <f>IF(ISNA(SQRT(SUMSQ(VLOOKUP($B185&amp;"; "&amp;$H$183,'FE Déchets'!$G:$U,7,FALSE),$BD185))),0,SQRT(SUMSQ(VLOOKUP($B185&amp;"; "&amp;$H$183,'FE Déchets'!$G:$U,7,FALSE),$BD185)))</f>
        <v>0.1</v>
      </c>
      <c r="BF185" s="2504"/>
      <c r="BG185" s="2128"/>
      <c r="BH185" s="2128"/>
    </row>
    <row r="186" spans="2:60" s="114" customFormat="1" ht="13.2" hidden="1" outlineLevel="2">
      <c r="B186" s="389" t="s">
        <v>4998</v>
      </c>
      <c r="C186" s="341"/>
      <c r="D186" s="212">
        <f>P186</f>
        <v>0</v>
      </c>
      <c r="E186" s="212"/>
      <c r="F186" s="2390"/>
      <c r="G186" s="2390"/>
      <c r="H186" s="219"/>
      <c r="I186" s="219">
        <f>IF(ISNA(VLOOKUP($B186&amp;"; "&amp;$H$183,'FE Déchets'!$G:$U,9,FALSE)),0,VLOOKUP($B186&amp;"; "&amp;$H$214,'FE Déchets'!$G:$U,9,FALSE))</f>
        <v>134</v>
      </c>
      <c r="J186" s="219"/>
      <c r="K186" s="219"/>
      <c r="L186" s="151"/>
      <c r="M186" s="151"/>
      <c r="N186" s="151"/>
      <c r="O186" s="151"/>
      <c r="P186" s="152">
        <f t="shared" ref="P186" si="49">G186*I186</f>
        <v>0</v>
      </c>
      <c r="V186" s="226">
        <f>IF(AC186=0,AC186,AC186/P186)</f>
        <v>0</v>
      </c>
      <c r="W186" s="1094"/>
      <c r="X186" s="820"/>
      <c r="Y186" s="164"/>
      <c r="Z186" s="164"/>
      <c r="AA186" s="164"/>
      <c r="AB186" s="164"/>
      <c r="AC186" s="152">
        <f t="shared" ref="AC186" si="50">P186*BE186</f>
        <v>0</v>
      </c>
      <c r="AE186" s="564">
        <f>$G186*IF(ISNA(VLOOKUP($B186&amp;"; "&amp;$H$183,'FE Déchets'!$G:$U,10,FALSE)),0,VLOOKUP($B186&amp;"; "&amp;$H$183,'FE Déchets'!$G:$U,10,FALSE))</f>
        <v>0</v>
      </c>
      <c r="AF186" s="565"/>
      <c r="AG186" s="565"/>
      <c r="AH186" s="565"/>
      <c r="AI186" s="565">
        <f>$G186*IF(ISNA(VLOOKUP($B186&amp;"; "&amp;$H$183,'FE Déchets'!$G:$U,11,FALSE)+VLOOKUP($B186&amp;"; "&amp;$H$183,'FE Déchets'!$G:$U,12,FALSE)),0,
VLOOKUP($B186&amp;"; "&amp;$H$183,'FE Déchets'!$G:$U,11,FALSE)+VLOOKUP($B186&amp;"; "&amp;$H$183,'FE Déchets'!$G:$U,12,FALSE))</f>
        <v>0</v>
      </c>
      <c r="AJ186" s="565"/>
      <c r="AK186" s="565"/>
      <c r="AL186" s="565"/>
      <c r="AM186" s="565">
        <f>$G186*IF(ISNA(VLOOKUP($B186&amp;"; "&amp;$H$183,'FE Déchets'!$G:$U,13,FALSE)),0,VLOOKUP($B186&amp;"; "&amp;$H$183,'FE Déchets'!$G:$U,13,FALSE))</f>
        <v>0</v>
      </c>
      <c r="AN186" s="565"/>
      <c r="AO186" s="565"/>
      <c r="AP186" s="565"/>
      <c r="AQ186" s="565">
        <f>$G186*IF(ISNA(VLOOKUP($B186&amp;"; "&amp;$H$183,'FE Déchets'!$G:$U,14,FALSE)),0,VLOOKUP($B186&amp;"; "&amp;$H$183,'FE Déchets'!$G:$U,14,FALSE))</f>
        <v>0</v>
      </c>
      <c r="AR186" s="565"/>
      <c r="AS186" s="565"/>
      <c r="AT186" s="565"/>
      <c r="AU186" s="566">
        <f>SUM(AE186,AI186,AM186,AQ186)</f>
        <v>0</v>
      </c>
      <c r="AV186" s="566"/>
      <c r="AW186" s="566"/>
      <c r="AX186" s="566"/>
      <c r="AY186" s="564">
        <f>$G186*IF(ISNA(VLOOKUP($B186&amp;"; "&amp;$H$183,'FE Déchets'!$G:$U,15,FALSE)),0,VLOOKUP($B186&amp;"; "&amp;$H$183,'FE Déchets'!$G:$U,15,FALSE))</f>
        <v>0</v>
      </c>
      <c r="AZ186" s="565"/>
      <c r="BA186" s="565"/>
      <c r="BB186" s="568"/>
      <c r="BD186" s="2492">
        <f>IF($W186&lt;&gt;"votre valeur :",IF(ISNA(VLOOKUP($W186,Utilitaires!$N$566:$O$571,2,FALSE)),,VLOOKUP($W186,Utilitaires!$N$566:$O$571,2,FALSE)),$X186)</f>
        <v>0</v>
      </c>
      <c r="BE186" s="2442">
        <f>IF(ISNA(SQRT(SUMSQ(VLOOKUP($B186&amp;"; "&amp;$H$183,'FE Déchets'!$G:$U,7,FALSE),$BD186))),0,SQRT(SUMSQ(VLOOKUP($B186&amp;"; "&amp;$H$183,'FE Déchets'!$G:$U,7,FALSE),$BD186)))</f>
        <v>0.1</v>
      </c>
      <c r="BF186" s="2504"/>
      <c r="BG186" s="2128"/>
      <c r="BH186" s="2128"/>
    </row>
    <row r="187" spans="2:60" s="114" customFormat="1" ht="13.2" hidden="1" outlineLevel="2">
      <c r="B187" s="143"/>
      <c r="C187" s="144"/>
      <c r="D187" s="219"/>
      <c r="E187" s="219"/>
      <c r="F187" s="219"/>
      <c r="G187" s="164"/>
      <c r="H187" s="326"/>
      <c r="I187" s="326"/>
      <c r="J187" s="326"/>
      <c r="K187" s="326"/>
      <c r="L187" s="151"/>
      <c r="M187" s="151"/>
      <c r="N187" s="151"/>
      <c r="O187" s="354"/>
      <c r="P187" s="152"/>
      <c r="V187" s="226"/>
      <c r="W187" s="155"/>
      <c r="X187" s="155"/>
      <c r="Y187" s="164"/>
      <c r="Z187" s="164"/>
      <c r="AA187" s="164"/>
      <c r="AB187" s="164"/>
      <c r="AC187" s="367"/>
      <c r="AE187" s="569"/>
      <c r="AF187" s="625"/>
      <c r="AG187" s="625"/>
      <c r="AH187" s="625"/>
      <c r="AI187" s="625"/>
      <c r="AJ187" s="625"/>
      <c r="AK187" s="625"/>
      <c r="AL187" s="625"/>
      <c r="AM187" s="625"/>
      <c r="AN187" s="625"/>
      <c r="AO187" s="625"/>
      <c r="AP187" s="625"/>
      <c r="AQ187" s="625"/>
      <c r="AR187" s="625"/>
      <c r="AS187" s="625"/>
      <c r="AT187" s="625"/>
      <c r="AU187" s="1313"/>
      <c r="AV187" s="1313"/>
      <c r="AW187" s="1313"/>
      <c r="AX187" s="1313"/>
      <c r="AY187" s="1411"/>
      <c r="AZ187" s="1313"/>
      <c r="BA187" s="625"/>
      <c r="BB187" s="570"/>
      <c r="BD187" s="2493"/>
      <c r="BE187" s="1075"/>
      <c r="BF187" s="2505"/>
      <c r="BG187" s="2387"/>
      <c r="BH187" s="2387"/>
    </row>
    <row r="188" spans="2:60" s="114" customFormat="1" ht="13.2" hidden="1" outlineLevel="1">
      <c r="B188" s="1264" t="s">
        <v>348</v>
      </c>
      <c r="C188" s="197"/>
      <c r="D188" s="214">
        <f>SUM(D185:D187)</f>
        <v>0</v>
      </c>
      <c r="E188" s="214"/>
      <c r="F188" s="214"/>
      <c r="G188" s="203"/>
      <c r="H188" s="203"/>
      <c r="I188" s="202"/>
      <c r="J188" s="203"/>
      <c r="K188" s="203"/>
      <c r="L188" s="202"/>
      <c r="M188" s="202"/>
      <c r="N188" s="202"/>
      <c r="O188" s="202"/>
      <c r="P188" s="200">
        <f>SUM(P185:P187)</f>
        <v>0</v>
      </c>
      <c r="V188" s="1204">
        <f>IF(AC188=0,AC188,AC188/P188)</f>
        <v>0</v>
      </c>
      <c r="W188" s="199"/>
      <c r="X188" s="199"/>
      <c r="Y188" s="204"/>
      <c r="Z188" s="204"/>
      <c r="AA188" s="204"/>
      <c r="AB188" s="204"/>
      <c r="AC188" s="200">
        <f>SQRT(SUMSQ(AC185:AC187))</f>
        <v>0</v>
      </c>
      <c r="AE188" s="1308">
        <f>SUM(AE185:AE187)</f>
        <v>0</v>
      </c>
      <c r="AF188" s="1309"/>
      <c r="AG188" s="1309"/>
      <c r="AH188" s="1309"/>
      <c r="AI188" s="1309">
        <f>SUM(AI185:AI187)</f>
        <v>0</v>
      </c>
      <c r="AJ188" s="1309"/>
      <c r="AK188" s="1309"/>
      <c r="AL188" s="1309"/>
      <c r="AM188" s="1309">
        <f>SUM(AM185:AM187)</f>
        <v>0</v>
      </c>
      <c r="AN188" s="1309"/>
      <c r="AO188" s="1309"/>
      <c r="AP188" s="1309"/>
      <c r="AQ188" s="1309">
        <f>SUM(AQ185:AQ187)</f>
        <v>0</v>
      </c>
      <c r="AR188" s="1309"/>
      <c r="AS188" s="1309"/>
      <c r="AT188" s="1309"/>
      <c r="AU188" s="1312">
        <f>SUM(AU185:AU187)</f>
        <v>0</v>
      </c>
      <c r="AV188" s="1312"/>
      <c r="AW188" s="1312"/>
      <c r="AX188" s="1312"/>
      <c r="AY188" s="1082">
        <f>SUM(AY185:AY187)</f>
        <v>0</v>
      </c>
      <c r="AZ188" s="572"/>
      <c r="BA188" s="572"/>
      <c r="BB188" s="575"/>
    </row>
    <row r="189" spans="2:60" s="114" customFormat="1" ht="12.75" hidden="1" customHeight="1" outlineLevel="1">
      <c r="AJ189" s="441"/>
      <c r="AK189" s="441"/>
      <c r="AL189" s="441"/>
      <c r="AM189" s="441"/>
      <c r="AN189" s="441"/>
      <c r="AO189" s="441"/>
      <c r="AP189" s="441"/>
      <c r="AQ189" s="441"/>
      <c r="AR189" s="441"/>
      <c r="AS189" s="441"/>
      <c r="AT189" s="441"/>
      <c r="AU189" s="441"/>
    </row>
    <row r="190" spans="2:60" s="114" customFormat="1" ht="12.75" hidden="1" customHeight="1" outlineLevel="1" collapsed="1">
      <c r="B190" s="1091" t="s">
        <v>4997</v>
      </c>
      <c r="C190" s="140"/>
      <c r="D190" s="2265"/>
      <c r="E190" s="2265"/>
      <c r="F190" s="2265"/>
      <c r="G190" s="2265"/>
      <c r="H190" s="2265"/>
      <c r="I190" s="2265"/>
      <c r="J190" s="2265"/>
      <c r="K190" s="2265"/>
      <c r="L190" s="2265"/>
      <c r="M190" s="2265"/>
      <c r="N190" s="2265"/>
      <c r="O190" s="1412"/>
      <c r="P190" s="1659"/>
      <c r="V190" s="2636" t="s">
        <v>366</v>
      </c>
      <c r="W190" s="2637"/>
      <c r="X190" s="2637"/>
      <c r="Y190" s="2637"/>
      <c r="Z190" s="2637"/>
      <c r="AA190" s="2637"/>
      <c r="AB190" s="2637"/>
      <c r="AC190" s="2638"/>
      <c r="AE190" s="2639" t="s">
        <v>441</v>
      </c>
      <c r="AF190" s="2640"/>
      <c r="AG190" s="2640"/>
      <c r="AH190" s="2640"/>
      <c r="AI190" s="2640"/>
      <c r="AJ190" s="2640"/>
      <c r="AK190" s="2640"/>
      <c r="AL190" s="2640"/>
      <c r="AM190" s="2640"/>
      <c r="AN190" s="2640"/>
      <c r="AO190" s="2640"/>
      <c r="AP190" s="2640"/>
      <c r="AQ190" s="2640"/>
      <c r="AR190" s="2640"/>
      <c r="AS190" s="2640"/>
      <c r="AT190" s="2640"/>
      <c r="AU190" s="2640"/>
      <c r="AV190" s="2640"/>
      <c r="AW190" s="2640"/>
      <c r="AX190" s="2640"/>
      <c r="AY190" s="2640"/>
      <c r="AZ190" s="2640"/>
      <c r="BA190" s="2640"/>
      <c r="BB190" s="2641"/>
    </row>
    <row r="191" spans="2:60" s="114" customFormat="1" ht="12.75" hidden="1" customHeight="1" outlineLevel="2">
      <c r="B191" s="332"/>
      <c r="C191" s="167"/>
      <c r="D191" s="2496" t="s">
        <v>308</v>
      </c>
      <c r="E191" s="2496"/>
      <c r="F191" s="2496"/>
      <c r="G191" s="2496"/>
      <c r="H191" s="2496"/>
      <c r="I191" s="2496"/>
      <c r="J191" s="2496"/>
      <c r="K191" s="2496"/>
      <c r="L191" s="2473"/>
      <c r="M191" s="2473"/>
      <c r="N191" s="2473"/>
      <c r="O191" s="565"/>
      <c r="P191" s="2498"/>
      <c r="V191" s="2472"/>
      <c r="W191" s="2497"/>
      <c r="X191" s="2497"/>
      <c r="Y191" s="2485"/>
      <c r="Z191" s="2485"/>
      <c r="AA191" s="2485"/>
      <c r="AB191" s="2485"/>
      <c r="AC191" s="145"/>
      <c r="AE191" s="2642" t="s">
        <v>444</v>
      </c>
      <c r="AF191" s="2643"/>
      <c r="AG191" s="2643"/>
      <c r="AH191" s="2643"/>
      <c r="AI191" s="2643"/>
      <c r="AJ191" s="2643"/>
      <c r="AK191" s="2643"/>
      <c r="AL191" s="2643"/>
      <c r="AM191" s="2643"/>
      <c r="AN191" s="2643"/>
      <c r="AO191" s="2643"/>
      <c r="AP191" s="2643"/>
      <c r="AQ191" s="2643"/>
      <c r="AR191" s="2643"/>
      <c r="AS191" s="2643"/>
      <c r="AT191" s="2643"/>
      <c r="AU191" s="2479" t="s">
        <v>444</v>
      </c>
      <c r="AV191" s="2479"/>
      <c r="AW191" s="2479"/>
      <c r="AX191" s="2479"/>
      <c r="AY191" s="2478"/>
      <c r="AZ191" s="2479"/>
      <c r="BA191" s="2479"/>
      <c r="BB191" s="2480"/>
      <c r="BD191" s="2616" t="s">
        <v>1648</v>
      </c>
      <c r="BE191" s="2618"/>
      <c r="BF191" s="1789"/>
      <c r="BG191" s="1774"/>
      <c r="BH191" s="1774"/>
    </row>
    <row r="192" spans="2:60" s="114" customFormat="1" ht="12.75" hidden="1" customHeight="1" outlineLevel="2">
      <c r="B192" s="2472"/>
      <c r="C192" s="2473"/>
      <c r="D192" s="2473" t="s">
        <v>409</v>
      </c>
      <c r="E192" s="2473"/>
      <c r="F192" s="147" t="s">
        <v>450</v>
      </c>
      <c r="G192" s="2494" t="s">
        <v>199</v>
      </c>
      <c r="H192" s="2626" t="s">
        <v>1585</v>
      </c>
      <c r="I192" s="2628"/>
      <c r="J192" s="2628"/>
      <c r="K192" s="2628"/>
      <c r="L192" s="2768"/>
      <c r="M192" s="2768"/>
      <c r="N192" s="2768"/>
      <c r="O192" s="2768"/>
      <c r="P192" s="2498" t="s">
        <v>444</v>
      </c>
      <c r="V192" s="2472" t="s">
        <v>316</v>
      </c>
      <c r="W192" s="2474" t="s">
        <v>316</v>
      </c>
      <c r="X192" s="2475"/>
      <c r="Y192" s="2473"/>
      <c r="Z192" s="2473"/>
      <c r="AA192" s="2473"/>
      <c r="AB192" s="2473"/>
      <c r="AC192" s="2498" t="s">
        <v>444</v>
      </c>
      <c r="AE192" s="2476" t="s">
        <v>211</v>
      </c>
      <c r="AF192" s="2477"/>
      <c r="AG192" s="2477"/>
      <c r="AH192" s="2477"/>
      <c r="AI192" s="2477" t="s">
        <v>442</v>
      </c>
      <c r="AJ192" s="2477"/>
      <c r="AK192" s="2477"/>
      <c r="AL192" s="2477"/>
      <c r="AM192" s="2477" t="s">
        <v>267</v>
      </c>
      <c r="AN192" s="2477"/>
      <c r="AO192" s="2477"/>
      <c r="AP192" s="2477"/>
      <c r="AQ192" s="2477" t="s">
        <v>443</v>
      </c>
      <c r="AR192" s="2477"/>
      <c r="AS192" s="2477"/>
      <c r="AT192" s="2477"/>
      <c r="AU192" s="2484" t="s">
        <v>327</v>
      </c>
      <c r="AV192" s="2484"/>
      <c r="AW192" s="2484"/>
      <c r="AX192" s="2484"/>
      <c r="AY192" s="2501"/>
      <c r="AZ192" s="2477" t="s">
        <v>636</v>
      </c>
      <c r="BA192" s="566"/>
      <c r="BB192" s="567"/>
      <c r="BD192" s="2502" t="s">
        <v>5116</v>
      </c>
      <c r="BE192" s="2471" t="s">
        <v>2187</v>
      </c>
      <c r="BF192" s="1789"/>
      <c r="BG192" s="1774"/>
      <c r="BH192" s="1774"/>
    </row>
    <row r="193" spans="2:60" s="114" customFormat="1" ht="13.2" hidden="1" outlineLevel="2">
      <c r="B193" s="2472"/>
      <c r="C193" s="2473"/>
      <c r="D193" s="2473" t="s">
        <v>444</v>
      </c>
      <c r="E193" s="2473"/>
      <c r="F193" s="2495" t="s">
        <v>447</v>
      </c>
      <c r="G193" s="2495" t="s">
        <v>22</v>
      </c>
      <c r="H193" s="1662"/>
      <c r="I193" s="1662"/>
      <c r="J193" s="1662"/>
      <c r="K193" s="1662"/>
      <c r="L193" s="2486"/>
      <c r="M193" s="581"/>
      <c r="N193" s="2486"/>
      <c r="O193" s="2486"/>
      <c r="P193" s="2498"/>
      <c r="V193" s="2472" t="s">
        <v>1649</v>
      </c>
      <c r="W193" s="2482" t="s">
        <v>1650</v>
      </c>
      <c r="X193" s="2483"/>
      <c r="Y193" s="1662"/>
      <c r="Z193" s="2286"/>
      <c r="AA193" s="2286"/>
      <c r="AB193" s="2286"/>
      <c r="AC193" s="2498"/>
      <c r="AE193" s="227"/>
      <c r="AF193" s="1662"/>
      <c r="AG193" s="1662"/>
      <c r="AH193" s="1662"/>
      <c r="AI193" s="1662"/>
      <c r="AJ193" s="1662"/>
      <c r="AK193" s="1662"/>
      <c r="AL193" s="1662"/>
      <c r="AM193" s="1662"/>
      <c r="AN193" s="1662"/>
      <c r="AO193" s="1662"/>
      <c r="AP193" s="1662"/>
      <c r="AQ193" s="1662"/>
      <c r="AR193" s="1662"/>
      <c r="AS193" s="1662"/>
      <c r="AT193" s="1662"/>
      <c r="AU193" s="1662"/>
      <c r="AV193" s="1662"/>
      <c r="AW193" s="1662"/>
      <c r="AX193" s="1662"/>
      <c r="AY193" s="227"/>
      <c r="AZ193" s="1662"/>
      <c r="BA193" s="1662"/>
      <c r="BB193" s="1171"/>
      <c r="BD193" s="2158"/>
      <c r="BE193" s="2470"/>
      <c r="BF193" s="1789"/>
      <c r="BG193" s="1774"/>
      <c r="BH193" s="1774"/>
    </row>
    <row r="194" spans="2:60" s="114" customFormat="1" ht="13.2" hidden="1" outlineLevel="2">
      <c r="B194" s="389" t="s">
        <v>4980</v>
      </c>
      <c r="C194" s="341"/>
      <c r="D194" s="212">
        <f>P194</f>
        <v>0</v>
      </c>
      <c r="E194" s="212"/>
      <c r="F194" s="847"/>
      <c r="G194" s="847"/>
      <c r="H194" s="219"/>
      <c r="I194" s="219">
        <f>IF(ISNA(VLOOKUP($B194&amp;"; "&amp;$H$192,'FE Déchets'!$G:$U,9,FALSE)),0,VLOOKUP($B194&amp;"; "&amp;$H$214,'FE Déchets'!$G:$U,9,FALSE))</f>
        <v>360</v>
      </c>
      <c r="J194" s="219"/>
      <c r="K194" s="219"/>
      <c r="L194" s="151"/>
      <c r="M194" s="151"/>
      <c r="N194" s="151"/>
      <c r="O194" s="151"/>
      <c r="P194" s="152">
        <f>G194*I194</f>
        <v>0</v>
      </c>
      <c r="V194" s="226">
        <f>IF(AC194=0,AC194,AC194/P194)</f>
        <v>0</v>
      </c>
      <c r="W194" s="1094"/>
      <c r="X194" s="820"/>
      <c r="Y194" s="164"/>
      <c r="Z194" s="164"/>
      <c r="AA194" s="164"/>
      <c r="AB194" s="164"/>
      <c r="AC194" s="152">
        <f>P194*BE194</f>
        <v>0</v>
      </c>
      <c r="AE194" s="564">
        <f>$G194*IF(ISNA(VLOOKUP($B194&amp;"; "&amp;$H$192,'FE Déchets'!$G:$U,10,FALSE)),0,VLOOKUP($B194&amp;"; "&amp;$H$192,'FE Déchets'!$G:$U,10,FALSE))</f>
        <v>0</v>
      </c>
      <c r="AF194" s="565"/>
      <c r="AG194" s="565"/>
      <c r="AH194" s="565"/>
      <c r="AI194" s="565">
        <f>$G194*IF(ISNA(VLOOKUP($B194&amp;"; "&amp;$H$192,'FE Déchets'!$G:$U,11,FALSE)+VLOOKUP($B194&amp;"; "&amp;$H$192,'FE Déchets'!$G:$U,12,FALSE)),0,
VLOOKUP($B194&amp;"; "&amp;$H$192,'FE Déchets'!$G:$U,11,FALSE)+VLOOKUP($B194&amp;"; "&amp;$H$192,'FE Déchets'!$G:$U,12,FALSE))</f>
        <v>0</v>
      </c>
      <c r="AJ194" s="565"/>
      <c r="AK194" s="565"/>
      <c r="AL194" s="565"/>
      <c r="AM194" s="565">
        <f>$G194*IF(ISNA(VLOOKUP($B194&amp;"; "&amp;$H$192,'FE Déchets'!$G:$U,13,FALSE)),0,VLOOKUP($B194&amp;"; "&amp;$H$192,'FE Déchets'!$G:$U,13,FALSE))</f>
        <v>0</v>
      </c>
      <c r="AN194" s="565"/>
      <c r="AO194" s="565"/>
      <c r="AP194" s="565"/>
      <c r="AQ194" s="565">
        <f>$G194*IF(ISNA(VLOOKUP($B194&amp;"; "&amp;$H$192,'FE Déchets'!$G:$U,14,FALSE)),0,VLOOKUP($B194&amp;"; "&amp;$H$192,'FE Déchets'!$G:$U,14,FALSE))</f>
        <v>0</v>
      </c>
      <c r="AR194" s="565"/>
      <c r="AS194" s="565"/>
      <c r="AT194" s="565"/>
      <c r="AU194" s="566">
        <f>SUM(AE194,AI194,AM194,AQ194)</f>
        <v>0</v>
      </c>
      <c r="AV194" s="566"/>
      <c r="AW194" s="566"/>
      <c r="AX194" s="566"/>
      <c r="AY194" s="564">
        <f>$G194*IF(ISNA(VLOOKUP($B194&amp;"; "&amp;$H$192,'FE Déchets'!$G:$U,15,FALSE)),0,VLOOKUP($B194&amp;"; "&amp;$H$192,'FE Déchets'!$G:$U,15,FALSE))</f>
        <v>0</v>
      </c>
      <c r="AZ194" s="565"/>
      <c r="BA194" s="565"/>
      <c r="BB194" s="568"/>
      <c r="BD194" s="2492">
        <f>IF($W194&lt;&gt;"votre valeur :",IF(ISNA(VLOOKUP($W194,Utilitaires!$N$566:$O$571,2,FALSE)),,VLOOKUP($W194,Utilitaires!$N$566:$O$571,2,FALSE)),$X194)</f>
        <v>0</v>
      </c>
      <c r="BE194" s="2442">
        <f>IF(ISNA(SQRT(SUMSQ(VLOOKUP($B194&amp;"; "&amp;$H$192,'FE Déchets'!$G:$U,7,FALSE),$BD194))),0,SQRT(SUMSQ(VLOOKUP($B194&amp;"; "&amp;$H$192,'FE Déchets'!$G:$U,7,FALSE),$BD194)))</f>
        <v>0.2</v>
      </c>
      <c r="BF194" s="2504"/>
      <c r="BG194" s="2128"/>
      <c r="BH194" s="2128"/>
    </row>
    <row r="195" spans="2:60" s="114" customFormat="1" ht="13.2" hidden="1" outlineLevel="2">
      <c r="B195" s="389" t="s">
        <v>4980</v>
      </c>
      <c r="C195" s="341"/>
      <c r="D195" s="212">
        <f>P195</f>
        <v>0</v>
      </c>
      <c r="E195" s="212"/>
      <c r="F195" s="849"/>
      <c r="G195" s="849"/>
      <c r="H195" s="219"/>
      <c r="I195" s="219">
        <f>IF(ISNA(VLOOKUP($B195&amp;"; "&amp;$H$192,'FE Déchets'!$G:$U,9,FALSE)),0,VLOOKUP($B195&amp;"; "&amp;$H$214,'FE Déchets'!$G:$U,9,FALSE))</f>
        <v>360</v>
      </c>
      <c r="J195" s="219"/>
      <c r="K195" s="219"/>
      <c r="L195" s="151"/>
      <c r="M195" s="151"/>
      <c r="N195" s="151"/>
      <c r="O195" s="151"/>
      <c r="P195" s="152">
        <f t="shared" ref="P195" si="51">G195*I195</f>
        <v>0</v>
      </c>
      <c r="V195" s="226">
        <f>IF(AC195=0,AC195,AC195/P195)</f>
        <v>0</v>
      </c>
      <c r="W195" s="1094"/>
      <c r="X195" s="820"/>
      <c r="Y195" s="164"/>
      <c r="Z195" s="164"/>
      <c r="AA195" s="164"/>
      <c r="AB195" s="164"/>
      <c r="AC195" s="152">
        <f t="shared" ref="AC195" si="52">P195*BE195</f>
        <v>0</v>
      </c>
      <c r="AE195" s="564">
        <f>$G195*IF(ISNA(VLOOKUP($B195&amp;"; "&amp;$H$192,'FE Déchets'!$G:$U,10,FALSE)),0,VLOOKUP($B195&amp;"; "&amp;$H$192,'FE Déchets'!$G:$U,10,FALSE))</f>
        <v>0</v>
      </c>
      <c r="AF195" s="565"/>
      <c r="AG195" s="565"/>
      <c r="AH195" s="565"/>
      <c r="AI195" s="565">
        <f>$G195*IF(ISNA(VLOOKUP($B195&amp;"; "&amp;$H$192,'FE Déchets'!$G:$U,11,FALSE)+VLOOKUP($B195&amp;"; "&amp;$H$192,'FE Déchets'!$G:$U,12,FALSE)),0,
VLOOKUP($B195&amp;"; "&amp;$H$192,'FE Déchets'!$G:$U,11,FALSE)+VLOOKUP($B195&amp;"; "&amp;$H$192,'FE Déchets'!$G:$U,12,FALSE))</f>
        <v>0</v>
      </c>
      <c r="AJ195" s="565"/>
      <c r="AK195" s="565"/>
      <c r="AL195" s="565"/>
      <c r="AM195" s="565">
        <f>$G195*IF(ISNA(VLOOKUP($B195&amp;"; "&amp;$H$192,'FE Déchets'!$G:$U,13,FALSE)),0,VLOOKUP($B195&amp;"; "&amp;$H$192,'FE Déchets'!$G:$U,13,FALSE))</f>
        <v>0</v>
      </c>
      <c r="AN195" s="565"/>
      <c r="AO195" s="565"/>
      <c r="AP195" s="565"/>
      <c r="AQ195" s="565">
        <f>$G195*IF(ISNA(VLOOKUP($B195&amp;"; "&amp;$H$192,'FE Déchets'!$G:$U,14,FALSE)),0,VLOOKUP($B195&amp;"; "&amp;$H$192,'FE Déchets'!$G:$U,14,FALSE))</f>
        <v>0</v>
      </c>
      <c r="AR195" s="565"/>
      <c r="AS195" s="565"/>
      <c r="AT195" s="565"/>
      <c r="AU195" s="566">
        <f>SUM(AE195,AI195,AM195,AQ195)</f>
        <v>0</v>
      </c>
      <c r="AV195" s="566"/>
      <c r="AW195" s="566"/>
      <c r="AX195" s="566"/>
      <c r="AY195" s="564">
        <f>$G195*IF(ISNA(VLOOKUP($B195&amp;"; "&amp;$H$192,'FE Déchets'!$G:$U,15,FALSE)),0,VLOOKUP($B195&amp;"; "&amp;$H$192,'FE Déchets'!$G:$U,15,FALSE))</f>
        <v>0</v>
      </c>
      <c r="AZ195" s="565"/>
      <c r="BA195" s="565"/>
      <c r="BB195" s="568"/>
      <c r="BD195" s="2492">
        <f>IF($W195&lt;&gt;"votre valeur :",IF(ISNA(VLOOKUP($W195,Utilitaires!$N$566:$O$571,2,FALSE)),,VLOOKUP($W195,Utilitaires!$N$566:$O$571,2,FALSE)),$X195)</f>
        <v>0</v>
      </c>
      <c r="BE195" s="2442">
        <f>IF(ISNA(SQRT(SUMSQ(VLOOKUP($B195&amp;"; "&amp;$H$192,'FE Déchets'!$G:$U,7,FALSE),$BD195))),0,SQRT(SUMSQ(VLOOKUP($B195&amp;"; "&amp;$H$192,'FE Déchets'!$G:$U,7,FALSE),$BD195)))</f>
        <v>0.2</v>
      </c>
      <c r="BF195" s="2504"/>
      <c r="BG195" s="2128"/>
      <c r="BH195" s="2128"/>
    </row>
    <row r="196" spans="2:60" s="114" customFormat="1" ht="13.2" hidden="1" outlineLevel="2">
      <c r="B196" s="143"/>
      <c r="C196" s="144"/>
      <c r="D196" s="219"/>
      <c r="E196" s="219"/>
      <c r="F196" s="219"/>
      <c r="G196" s="164"/>
      <c r="H196" s="326"/>
      <c r="I196" s="326"/>
      <c r="J196" s="326"/>
      <c r="K196" s="326"/>
      <c r="L196" s="151"/>
      <c r="M196" s="151"/>
      <c r="N196" s="151"/>
      <c r="O196" s="354"/>
      <c r="P196" s="152"/>
      <c r="V196" s="226"/>
      <c r="W196" s="155"/>
      <c r="X196" s="155"/>
      <c r="Y196" s="164"/>
      <c r="Z196" s="164"/>
      <c r="AA196" s="164"/>
      <c r="AB196" s="164"/>
      <c r="AC196" s="367"/>
      <c r="AE196" s="569"/>
      <c r="AF196" s="625"/>
      <c r="AG196" s="625"/>
      <c r="AH196" s="625"/>
      <c r="AI196" s="625"/>
      <c r="AJ196" s="625"/>
      <c r="AK196" s="625"/>
      <c r="AL196" s="625"/>
      <c r="AM196" s="625"/>
      <c r="AN196" s="625"/>
      <c r="AO196" s="625"/>
      <c r="AP196" s="625"/>
      <c r="AQ196" s="625"/>
      <c r="AR196" s="625"/>
      <c r="AS196" s="625"/>
      <c r="AT196" s="625"/>
      <c r="AU196" s="1313"/>
      <c r="AV196" s="1313"/>
      <c r="AW196" s="1313"/>
      <c r="AX196" s="1313"/>
      <c r="AY196" s="1411"/>
      <c r="AZ196" s="1313"/>
      <c r="BA196" s="625"/>
      <c r="BB196" s="570"/>
      <c r="BD196" s="2493"/>
      <c r="BE196" s="1075"/>
      <c r="BF196" s="2505"/>
      <c r="BG196" s="2387"/>
      <c r="BH196" s="2387"/>
    </row>
    <row r="197" spans="2:60" s="114" customFormat="1" ht="13.2" hidden="1" outlineLevel="1">
      <c r="B197" s="1264" t="s">
        <v>348</v>
      </c>
      <c r="C197" s="197"/>
      <c r="D197" s="214">
        <f>SUM(D194:D196)</f>
        <v>0</v>
      </c>
      <c r="E197" s="214"/>
      <c r="F197" s="214"/>
      <c r="G197" s="203"/>
      <c r="H197" s="203"/>
      <c r="I197" s="202"/>
      <c r="J197" s="203"/>
      <c r="K197" s="203"/>
      <c r="L197" s="202"/>
      <c r="M197" s="202"/>
      <c r="N197" s="202"/>
      <c r="O197" s="202"/>
      <c r="P197" s="200">
        <f>SUM(P194:P196)</f>
        <v>0</v>
      </c>
      <c r="V197" s="1204">
        <f>IF(AC197=0,AC197,AC197/P197)</f>
        <v>0</v>
      </c>
      <c r="W197" s="199"/>
      <c r="X197" s="199"/>
      <c r="Y197" s="204"/>
      <c r="Z197" s="204"/>
      <c r="AA197" s="204"/>
      <c r="AB197" s="204"/>
      <c r="AC197" s="200">
        <f>SQRT(SUMSQ(AC194:AC196))</f>
        <v>0</v>
      </c>
      <c r="AE197" s="1308">
        <f>SUM(AE194:AE196)</f>
        <v>0</v>
      </c>
      <c r="AF197" s="1309"/>
      <c r="AG197" s="1309"/>
      <c r="AH197" s="1309"/>
      <c r="AI197" s="1309">
        <f>SUM(AI194:AI196)</f>
        <v>0</v>
      </c>
      <c r="AJ197" s="1309"/>
      <c r="AK197" s="1309"/>
      <c r="AL197" s="1309"/>
      <c r="AM197" s="1309">
        <f>SUM(AM194:AM196)</f>
        <v>0</v>
      </c>
      <c r="AN197" s="1309"/>
      <c r="AO197" s="1309"/>
      <c r="AP197" s="1309"/>
      <c r="AQ197" s="1309">
        <f>SUM(AQ194:AQ196)</f>
        <v>0</v>
      </c>
      <c r="AR197" s="1309"/>
      <c r="AS197" s="1309"/>
      <c r="AT197" s="1309"/>
      <c r="AU197" s="1312">
        <f>SUM(AU194:AU196)</f>
        <v>0</v>
      </c>
      <c r="AV197" s="1312"/>
      <c r="AW197" s="1312"/>
      <c r="AX197" s="1312"/>
      <c r="AY197" s="1082">
        <f>SUM(AY194:AY196)</f>
        <v>0</v>
      </c>
      <c r="AZ197" s="572"/>
      <c r="BA197" s="572"/>
      <c r="BB197" s="575"/>
    </row>
    <row r="198" spans="2:60" s="114" customFormat="1" ht="12.75" hidden="1" customHeight="1" outlineLevel="1">
      <c r="AJ198" s="441"/>
      <c r="AK198" s="441"/>
      <c r="AL198" s="441"/>
      <c r="AM198" s="441"/>
      <c r="AN198" s="441"/>
      <c r="AO198" s="441"/>
      <c r="AP198" s="441"/>
      <c r="AQ198" s="441"/>
      <c r="AR198" s="441"/>
      <c r="AS198" s="441"/>
      <c r="AT198" s="441"/>
      <c r="AU198" s="441"/>
    </row>
    <row r="199" spans="2:60" s="114" customFormat="1" ht="12.75" hidden="1" customHeight="1" outlineLevel="1" collapsed="1">
      <c r="B199" s="1091" t="s">
        <v>2352</v>
      </c>
      <c r="C199" s="140"/>
      <c r="D199" s="2265"/>
      <c r="E199" s="2265"/>
      <c r="F199" s="2265"/>
      <c r="G199" s="2265"/>
      <c r="H199" s="2265"/>
      <c r="I199" s="2265"/>
      <c r="J199" s="2265"/>
      <c r="K199" s="2265"/>
      <c r="L199" s="2265"/>
      <c r="M199" s="2265"/>
      <c r="N199" s="2265"/>
      <c r="O199" s="1412"/>
      <c r="P199" s="1659"/>
      <c r="V199" s="2636" t="s">
        <v>366</v>
      </c>
      <c r="W199" s="2637"/>
      <c r="X199" s="2637"/>
      <c r="Y199" s="2637"/>
      <c r="Z199" s="2637"/>
      <c r="AA199" s="2637"/>
      <c r="AB199" s="2637"/>
      <c r="AC199" s="2638"/>
      <c r="AE199" s="2639" t="s">
        <v>441</v>
      </c>
      <c r="AF199" s="2640"/>
      <c r="AG199" s="2640"/>
      <c r="AH199" s="2640"/>
      <c r="AI199" s="2640"/>
      <c r="AJ199" s="2640"/>
      <c r="AK199" s="2640"/>
      <c r="AL199" s="2640"/>
      <c r="AM199" s="2640"/>
      <c r="AN199" s="2640"/>
      <c r="AO199" s="2640"/>
      <c r="AP199" s="2640"/>
      <c r="AQ199" s="2640"/>
      <c r="AR199" s="2640"/>
      <c r="AS199" s="2640"/>
      <c r="AT199" s="2640"/>
      <c r="AU199" s="2640"/>
      <c r="AV199" s="2640"/>
      <c r="AW199" s="2640"/>
      <c r="AX199" s="2640"/>
      <c r="AY199" s="2640"/>
      <c r="AZ199" s="2640"/>
      <c r="BA199" s="2640"/>
      <c r="BB199" s="2641"/>
    </row>
    <row r="200" spans="2:60" s="114" customFormat="1" ht="12.75" hidden="1" customHeight="1" outlineLevel="2">
      <c r="B200" s="332"/>
      <c r="C200" s="167"/>
      <c r="D200" s="2496" t="s">
        <v>308</v>
      </c>
      <c r="E200" s="2496"/>
      <c r="F200" s="2496"/>
      <c r="G200" s="2496"/>
      <c r="H200" s="2496"/>
      <c r="I200" s="2496"/>
      <c r="J200" s="2496"/>
      <c r="K200" s="2496"/>
      <c r="L200" s="2473"/>
      <c r="M200" s="2473"/>
      <c r="N200" s="2473"/>
      <c r="O200" s="565"/>
      <c r="P200" s="2498"/>
      <c r="V200" s="2472"/>
      <c r="W200" s="2497"/>
      <c r="X200" s="2497"/>
      <c r="Y200" s="2485"/>
      <c r="Z200" s="2485"/>
      <c r="AA200" s="2485"/>
      <c r="AB200" s="2485"/>
      <c r="AC200" s="145"/>
      <c r="AE200" s="2642" t="s">
        <v>444</v>
      </c>
      <c r="AF200" s="2643"/>
      <c r="AG200" s="2643"/>
      <c r="AH200" s="2643"/>
      <c r="AI200" s="2643"/>
      <c r="AJ200" s="2643"/>
      <c r="AK200" s="2643"/>
      <c r="AL200" s="2643"/>
      <c r="AM200" s="2643"/>
      <c r="AN200" s="2643"/>
      <c r="AO200" s="2643"/>
      <c r="AP200" s="2643"/>
      <c r="AQ200" s="2643"/>
      <c r="AR200" s="2643"/>
      <c r="AS200" s="2643"/>
      <c r="AT200" s="2643"/>
      <c r="AU200" s="2479" t="s">
        <v>444</v>
      </c>
      <c r="AV200" s="2479"/>
      <c r="AW200" s="2479"/>
      <c r="AX200" s="2479"/>
      <c r="AY200" s="2478"/>
      <c r="AZ200" s="2479"/>
      <c r="BA200" s="2479"/>
      <c r="BB200" s="2480"/>
      <c r="BD200" s="2616" t="s">
        <v>1648</v>
      </c>
      <c r="BE200" s="2618"/>
      <c r="BF200" s="1789"/>
      <c r="BG200" s="1774"/>
      <c r="BH200" s="1774"/>
    </row>
    <row r="201" spans="2:60" s="114" customFormat="1" ht="12.75" hidden="1" customHeight="1" outlineLevel="2">
      <c r="B201" s="2472"/>
      <c r="C201" s="2473"/>
      <c r="D201" s="2473" t="s">
        <v>409</v>
      </c>
      <c r="E201" s="2473"/>
      <c r="F201" s="147" t="s">
        <v>450</v>
      </c>
      <c r="G201" s="2494" t="s">
        <v>199</v>
      </c>
      <c r="H201" s="2626" t="s">
        <v>1585</v>
      </c>
      <c r="I201" s="2628"/>
      <c r="J201" s="2628"/>
      <c r="K201" s="2628"/>
      <c r="L201" s="2768"/>
      <c r="M201" s="2768"/>
      <c r="N201" s="2768"/>
      <c r="O201" s="2768"/>
      <c r="P201" s="2498" t="s">
        <v>444</v>
      </c>
      <c r="V201" s="2472" t="s">
        <v>316</v>
      </c>
      <c r="W201" s="2474" t="s">
        <v>316</v>
      </c>
      <c r="X201" s="2475"/>
      <c r="Y201" s="2473"/>
      <c r="Z201" s="2473"/>
      <c r="AA201" s="2473"/>
      <c r="AB201" s="2473"/>
      <c r="AC201" s="2498" t="s">
        <v>444</v>
      </c>
      <c r="AE201" s="2476" t="s">
        <v>211</v>
      </c>
      <c r="AF201" s="2477"/>
      <c r="AG201" s="2477"/>
      <c r="AH201" s="2477"/>
      <c r="AI201" s="2477" t="s">
        <v>442</v>
      </c>
      <c r="AJ201" s="2477"/>
      <c r="AK201" s="2477"/>
      <c r="AL201" s="2477"/>
      <c r="AM201" s="2477" t="s">
        <v>267</v>
      </c>
      <c r="AN201" s="2477"/>
      <c r="AO201" s="2477"/>
      <c r="AP201" s="2477"/>
      <c r="AQ201" s="2477" t="s">
        <v>443</v>
      </c>
      <c r="AR201" s="2477"/>
      <c r="AS201" s="2477"/>
      <c r="AT201" s="2477"/>
      <c r="AU201" s="2484" t="s">
        <v>327</v>
      </c>
      <c r="AV201" s="2484"/>
      <c r="AW201" s="2484"/>
      <c r="AX201" s="2484"/>
      <c r="AY201" s="2501"/>
      <c r="AZ201" s="2477" t="s">
        <v>636</v>
      </c>
      <c r="BA201" s="566"/>
      <c r="BB201" s="567"/>
      <c r="BD201" s="2502" t="s">
        <v>5116</v>
      </c>
      <c r="BE201" s="2471" t="s">
        <v>2187</v>
      </c>
      <c r="BF201" s="1789"/>
      <c r="BG201" s="1774"/>
      <c r="BH201" s="1774"/>
    </row>
    <row r="202" spans="2:60" s="114" customFormat="1" ht="13.2" hidden="1" outlineLevel="2">
      <c r="B202" s="2472"/>
      <c r="C202" s="2473"/>
      <c r="D202" s="2473" t="s">
        <v>444</v>
      </c>
      <c r="E202" s="2473"/>
      <c r="F202" s="2495" t="s">
        <v>447</v>
      </c>
      <c r="G202" s="2495" t="s">
        <v>22</v>
      </c>
      <c r="H202" s="1662"/>
      <c r="I202" s="1662"/>
      <c r="J202" s="1662"/>
      <c r="K202" s="1662"/>
      <c r="L202" s="2486"/>
      <c r="M202" s="581"/>
      <c r="N202" s="2486"/>
      <c r="O202" s="2486"/>
      <c r="P202" s="2498"/>
      <c r="V202" s="2472" t="s">
        <v>1649</v>
      </c>
      <c r="W202" s="2482" t="s">
        <v>1650</v>
      </c>
      <c r="X202" s="2483"/>
      <c r="Y202" s="1662"/>
      <c r="Z202" s="2286"/>
      <c r="AA202" s="2286"/>
      <c r="AB202" s="2286"/>
      <c r="AC202" s="2498"/>
      <c r="AE202" s="227"/>
      <c r="AF202" s="1662"/>
      <c r="AG202" s="1662"/>
      <c r="AH202" s="1662"/>
      <c r="AI202" s="1662"/>
      <c r="AJ202" s="1662"/>
      <c r="AK202" s="1662"/>
      <c r="AL202" s="1662"/>
      <c r="AM202" s="1662"/>
      <c r="AN202" s="1662"/>
      <c r="AO202" s="1662"/>
      <c r="AP202" s="1662"/>
      <c r="AQ202" s="1662"/>
      <c r="AR202" s="1662"/>
      <c r="AS202" s="1662"/>
      <c r="AT202" s="1662"/>
      <c r="AU202" s="1662"/>
      <c r="AV202" s="1662"/>
      <c r="AW202" s="1662"/>
      <c r="AX202" s="1662"/>
      <c r="AY202" s="227"/>
      <c r="AZ202" s="1662"/>
      <c r="BA202" s="1662"/>
      <c r="BB202" s="1171"/>
      <c r="BD202" s="2158"/>
      <c r="BE202" s="2470"/>
      <c r="BF202" s="1789"/>
      <c r="BG202" s="1774"/>
      <c r="BH202" s="1774"/>
    </row>
    <row r="203" spans="2:60" s="114" customFormat="1" ht="13.2" hidden="1" outlineLevel="2">
      <c r="B203" s="389" t="s">
        <v>5119</v>
      </c>
      <c r="C203" s="341"/>
      <c r="D203" s="212">
        <f>P203</f>
        <v>0</v>
      </c>
      <c r="E203" s="212"/>
      <c r="F203" s="847"/>
      <c r="G203" s="847"/>
      <c r="H203" s="219"/>
      <c r="I203" s="219">
        <f>IF(ISNA(VLOOKUP($B203&amp;"; "&amp;$H$201,'FE Déchets'!$G:$U,9,FALSE)),0,VLOOKUP($B203&amp;"; "&amp;$H$201,'FE Déchets'!$G:$U,9,FALSE))</f>
        <v>313</v>
      </c>
      <c r="J203" s="219"/>
      <c r="K203" s="219"/>
      <c r="L203" s="151"/>
      <c r="M203" s="151"/>
      <c r="N203" s="151"/>
      <c r="O203" s="151"/>
      <c r="P203" s="152">
        <f>G203*I203</f>
        <v>0</v>
      </c>
      <c r="V203" s="226">
        <f>IF(AC203=0,AC203,AC203/P203)</f>
        <v>0</v>
      </c>
      <c r="W203" s="1094"/>
      <c r="X203" s="820"/>
      <c r="Y203" s="164"/>
      <c r="Z203" s="164"/>
      <c r="AA203" s="164"/>
      <c r="AB203" s="164"/>
      <c r="AC203" s="152">
        <f>P203*BE203</f>
        <v>0</v>
      </c>
      <c r="AE203" s="564">
        <f>$G203*IF(ISNA(VLOOKUP($B203&amp;"; "&amp;$H$214,'FE Déchets'!$G:$U,10,FALSE)),0,VLOOKUP($B203&amp;"; "&amp;$H$214,'FE Déchets'!$G:$U,10,FALSE))</f>
        <v>0</v>
      </c>
      <c r="AF203" s="565"/>
      <c r="AG203" s="565"/>
      <c r="AH203" s="565"/>
      <c r="AI203" s="565">
        <f>$G203*IF(ISNA(VLOOKUP($B203&amp;"; "&amp;$H$214,'FE Déchets'!$G:$U,11,FALSE)+VLOOKUP($B203&amp;"; "&amp;$H$214,'FE Déchets'!$G:$U,12,FALSE)),0,
VLOOKUP($B203&amp;"; "&amp;$H$214,'FE Déchets'!$G:$U,11,FALSE)+VLOOKUP($B203&amp;"; "&amp;$H$214,'FE Déchets'!$G:$U,12,FALSE))</f>
        <v>0</v>
      </c>
      <c r="AJ203" s="565"/>
      <c r="AK203" s="565"/>
      <c r="AL203" s="565"/>
      <c r="AM203" s="565">
        <f>$G203*IF(ISNA(VLOOKUP($B203&amp;"; "&amp;$H$214,'FE Déchets'!$G:$U,13,FALSE)),0,VLOOKUP($B203&amp;"; "&amp;$H$214,'FE Déchets'!$G:$U,13,FALSE))</f>
        <v>0</v>
      </c>
      <c r="AN203" s="565"/>
      <c r="AO203" s="565"/>
      <c r="AP203" s="565"/>
      <c r="AQ203" s="565">
        <f>$G203*IF(ISNA(VLOOKUP($B203&amp;"; "&amp;$H$214,'FE Déchets'!$G:$U,14,FALSE)),0,VLOOKUP($B203&amp;"; "&amp;$H$214,'FE Déchets'!$G:$U,14,FALSE))</f>
        <v>0</v>
      </c>
      <c r="AR203" s="565"/>
      <c r="AS203" s="565"/>
      <c r="AT203" s="565"/>
      <c r="AU203" s="566">
        <f>SUM(AE203,AI203,AM203,AQ203)</f>
        <v>0</v>
      </c>
      <c r="AV203" s="566"/>
      <c r="AW203" s="566"/>
      <c r="AX203" s="566"/>
      <c r="AY203" s="564">
        <f>$G203*IF(ISNA(VLOOKUP($B203&amp;"; "&amp;$H$214,'FE Déchets'!$G:$U,15,FALSE)),0,VLOOKUP($B203&amp;"; "&amp;$H$214,'FE Déchets'!$G:$U,15,FALSE))</f>
        <v>0</v>
      </c>
      <c r="AZ203" s="565"/>
      <c r="BA203" s="565"/>
      <c r="BB203" s="568"/>
      <c r="BD203" s="2492">
        <f>IF($W203&lt;&gt;"votre valeur :",IF(ISNA(VLOOKUP($W203,Utilitaires!$N$566:$O$571,2,FALSE)),,VLOOKUP($W203,Utilitaires!$N$566:$O$571,2,FALSE)),$X203)</f>
        <v>0</v>
      </c>
      <c r="BE203" s="2442">
        <f>IF(ISNA(SQRT(SUMSQ(VLOOKUP($B203&amp;"; "&amp;$H$201,'FE Déchets'!$G:$U,7,FALSE),$BD203))),0,SQRT(SUMSQ(VLOOKUP($B203&amp;"; "&amp;$H$201,'FE Déchets'!$G:$U,7,FALSE),$BD203)))</f>
        <v>0.1</v>
      </c>
      <c r="BF203" s="2504"/>
      <c r="BG203" s="2128"/>
      <c r="BH203" s="2128"/>
    </row>
    <row r="204" spans="2:60" s="114" customFormat="1" ht="13.2" hidden="1" outlineLevel="2">
      <c r="B204" s="389" t="s">
        <v>5120</v>
      </c>
      <c r="C204" s="341"/>
      <c r="D204" s="212">
        <f>P204</f>
        <v>0</v>
      </c>
      <c r="E204" s="212"/>
      <c r="F204" s="2176"/>
      <c r="G204" s="2176"/>
      <c r="H204" s="219"/>
      <c r="I204" s="219">
        <f>IF(ISNA(VLOOKUP($B204&amp;"; "&amp;$H$201,'FE Déchets'!$G:$U,9,FALSE)),0,VLOOKUP($B204&amp;"; "&amp;$H$201,'FE Déchets'!$G:$U,9,FALSE))</f>
        <v>548</v>
      </c>
      <c r="J204" s="219"/>
      <c r="K204" s="219"/>
      <c r="L204" s="151"/>
      <c r="M204" s="151"/>
      <c r="N204" s="151"/>
      <c r="O204" s="151"/>
      <c r="P204" s="152">
        <f t="shared" ref="P204:P207" si="53">G204*I204</f>
        <v>0</v>
      </c>
      <c r="V204" s="226">
        <f>IF(AC204=0,AC204,AC204/P204)</f>
        <v>0</v>
      </c>
      <c r="W204" s="1094"/>
      <c r="X204" s="820"/>
      <c r="Y204" s="164"/>
      <c r="Z204" s="164"/>
      <c r="AA204" s="164"/>
      <c r="AB204" s="164"/>
      <c r="AC204" s="152">
        <f t="shared" ref="AC204:AC207" si="54">P204*BE204</f>
        <v>0</v>
      </c>
      <c r="AE204" s="564">
        <f>$G204*IF(ISNA(VLOOKUP($B204&amp;"; "&amp;$H$214,'FE Déchets'!$G:$U,10,FALSE)),0,VLOOKUP($B204&amp;"; "&amp;$H$214,'FE Déchets'!$G:$U,10,FALSE))</f>
        <v>0</v>
      </c>
      <c r="AF204" s="565"/>
      <c r="AG204" s="565"/>
      <c r="AH204" s="565"/>
      <c r="AI204" s="565">
        <f>$G204*IF(ISNA(VLOOKUP($B204&amp;"; "&amp;$H$214,'FE Déchets'!$G:$U,11,FALSE)+VLOOKUP($B204&amp;"; "&amp;$H$214,'FE Déchets'!$G:$U,12,FALSE)),0,
VLOOKUP($B204&amp;"; "&amp;$H$214,'FE Déchets'!$G:$U,11,FALSE)+VLOOKUP($B204&amp;"; "&amp;$H$214,'FE Déchets'!$G:$U,12,FALSE))</f>
        <v>0</v>
      </c>
      <c r="AJ204" s="565"/>
      <c r="AK204" s="565"/>
      <c r="AL204" s="565"/>
      <c r="AM204" s="565">
        <f>$G204*IF(ISNA(VLOOKUP($B204&amp;"; "&amp;$H$214,'FE Déchets'!$G:$U,13,FALSE)),0,VLOOKUP($B204&amp;"; "&amp;$H$214,'FE Déchets'!$G:$U,13,FALSE))</f>
        <v>0</v>
      </c>
      <c r="AN204" s="565"/>
      <c r="AO204" s="565"/>
      <c r="AP204" s="565"/>
      <c r="AQ204" s="565">
        <f>$G204*IF(ISNA(VLOOKUP($B204&amp;"; "&amp;$H$214,'FE Déchets'!$G:$U,14,FALSE)),0,VLOOKUP($B204&amp;"; "&amp;$H$214,'FE Déchets'!$G:$U,14,FALSE))</f>
        <v>0</v>
      </c>
      <c r="AR204" s="565"/>
      <c r="AS204" s="565"/>
      <c r="AT204" s="565"/>
      <c r="AU204" s="566">
        <f>SUM(AE204,AI204,AM204,AQ204)</f>
        <v>0</v>
      </c>
      <c r="AV204" s="566"/>
      <c r="AW204" s="566"/>
      <c r="AX204" s="566"/>
      <c r="AY204" s="564">
        <f>$G204*IF(ISNA(VLOOKUP($B204&amp;"; "&amp;$H$214,'FE Déchets'!$G:$U,15,FALSE)),0,VLOOKUP($B204&amp;"; "&amp;$H$214,'FE Déchets'!$G:$U,15,FALSE))</f>
        <v>0</v>
      </c>
      <c r="AZ204" s="565"/>
      <c r="BA204" s="565"/>
      <c r="BB204" s="568"/>
      <c r="BD204" s="2492">
        <f>IF($W204&lt;&gt;"votre valeur :",IF(ISNA(VLOOKUP($W204,Utilitaires!$N$566:$O$571,2,FALSE)),,VLOOKUP($W204,Utilitaires!$N$566:$O$571,2,FALSE)),$X204)</f>
        <v>0</v>
      </c>
      <c r="BE204" s="2442">
        <f>IF(ISNA(SQRT(SUMSQ(VLOOKUP($B204&amp;"; "&amp;$H$201,'FE Déchets'!$G:$U,7,FALSE),$BD204))),0,SQRT(SUMSQ(VLOOKUP($B204&amp;"; "&amp;$H$201,'FE Déchets'!$G:$U,7,FALSE),$BD204)))</f>
        <v>0.1</v>
      </c>
      <c r="BF204" s="2504"/>
      <c r="BG204" s="2128"/>
      <c r="BH204" s="2128"/>
    </row>
    <row r="205" spans="2:60" s="114" customFormat="1" ht="13.2" hidden="1" outlineLevel="2">
      <c r="B205" s="389" t="s">
        <v>5121</v>
      </c>
      <c r="C205" s="341"/>
      <c r="D205" s="212">
        <f>P205</f>
        <v>0</v>
      </c>
      <c r="E205" s="212"/>
      <c r="F205" s="848"/>
      <c r="G205" s="848"/>
      <c r="H205" s="219"/>
      <c r="I205" s="219">
        <f>IF(ISNA(VLOOKUP($B205&amp;"; "&amp;$H$201,'FE Déchets'!$G:$U,9,FALSE)),0,VLOOKUP($B205&amp;"; "&amp;$H$201,'FE Déchets'!$G:$U,9,FALSE))</f>
        <v>173</v>
      </c>
      <c r="J205" s="219"/>
      <c r="K205" s="219"/>
      <c r="L205" s="151"/>
      <c r="M205" s="151"/>
      <c r="N205" s="151"/>
      <c r="O205" s="151"/>
      <c r="P205" s="152">
        <f t="shared" si="53"/>
        <v>0</v>
      </c>
      <c r="V205" s="226">
        <f>IF(AC205=0,AC205,AC205/P205)</f>
        <v>0</v>
      </c>
      <c r="W205" s="1094"/>
      <c r="X205" s="820"/>
      <c r="Y205" s="164"/>
      <c r="Z205" s="164"/>
      <c r="AA205" s="164"/>
      <c r="AB205" s="164"/>
      <c r="AC205" s="152">
        <f t="shared" si="54"/>
        <v>0</v>
      </c>
      <c r="AE205" s="564">
        <f>$G205*IF(ISNA(VLOOKUP($B205&amp;"; "&amp;$H$214,'FE Déchets'!$G:$U,10,FALSE)),0,VLOOKUP($B205&amp;"; "&amp;$H$214,'FE Déchets'!$G:$U,10,FALSE))</f>
        <v>0</v>
      </c>
      <c r="AF205" s="565"/>
      <c r="AG205" s="565"/>
      <c r="AH205" s="565"/>
      <c r="AI205" s="565">
        <f>$G205*IF(ISNA(VLOOKUP($B205&amp;"; "&amp;$H$214,'FE Déchets'!$G:$U,11,FALSE)+VLOOKUP($B205&amp;"; "&amp;$H$214,'FE Déchets'!$G:$U,12,FALSE)),0,
VLOOKUP($B205&amp;"; "&amp;$H$214,'FE Déchets'!$G:$U,11,FALSE)+VLOOKUP($B205&amp;"; "&amp;$H$214,'FE Déchets'!$G:$U,12,FALSE))</f>
        <v>0</v>
      </c>
      <c r="AJ205" s="565"/>
      <c r="AK205" s="565"/>
      <c r="AL205" s="565"/>
      <c r="AM205" s="565">
        <f>$G205*IF(ISNA(VLOOKUP($B205&amp;"; "&amp;$H$214,'FE Déchets'!$G:$U,13,FALSE)),0,VLOOKUP($B205&amp;"; "&amp;$H$214,'FE Déchets'!$G:$U,13,FALSE))</f>
        <v>0</v>
      </c>
      <c r="AN205" s="565"/>
      <c r="AO205" s="565"/>
      <c r="AP205" s="565"/>
      <c r="AQ205" s="565">
        <f>$G205*IF(ISNA(VLOOKUP($B205&amp;"; "&amp;$H$214,'FE Déchets'!$G:$U,14,FALSE)),0,VLOOKUP($B205&amp;"; "&amp;$H$214,'FE Déchets'!$G:$U,14,FALSE))</f>
        <v>0</v>
      </c>
      <c r="AR205" s="565"/>
      <c r="AS205" s="565"/>
      <c r="AT205" s="565"/>
      <c r="AU205" s="566">
        <f>SUM(AE205,AI205,AM205,AQ205)</f>
        <v>0</v>
      </c>
      <c r="AV205" s="566"/>
      <c r="AW205" s="566"/>
      <c r="AX205" s="566"/>
      <c r="AY205" s="564">
        <f>$G205*IF(ISNA(VLOOKUP($B205&amp;"; "&amp;$H$214,'FE Déchets'!$G:$U,15,FALSE)),0,VLOOKUP($B205&amp;"; "&amp;$H$214,'FE Déchets'!$G:$U,15,FALSE))</f>
        <v>0</v>
      </c>
      <c r="AZ205" s="565"/>
      <c r="BA205" s="565"/>
      <c r="BB205" s="568"/>
      <c r="BD205" s="2492">
        <f>IF($W205&lt;&gt;"votre valeur :",IF(ISNA(VLOOKUP($W205,Utilitaires!$N$566:$O$571,2,FALSE)),,VLOOKUP($W205,Utilitaires!$N$566:$O$571,2,FALSE)),$X205)</f>
        <v>0</v>
      </c>
      <c r="BE205" s="2442">
        <f>IF(ISNA(SQRT(SUMSQ(VLOOKUP($B205&amp;"; "&amp;$H$201,'FE Déchets'!$G:$U,7,FALSE),$BD205))),0,SQRT(SUMSQ(VLOOKUP($B205&amp;"; "&amp;$H$201,'FE Déchets'!$G:$U,7,FALSE),$BD205)))</f>
        <v>0.1</v>
      </c>
      <c r="BF205" s="2504"/>
      <c r="BG205" s="2128"/>
      <c r="BH205" s="2128"/>
    </row>
    <row r="206" spans="2:60" s="114" customFormat="1" ht="13.2" hidden="1" outlineLevel="2">
      <c r="B206" s="389" t="s">
        <v>5122</v>
      </c>
      <c r="C206" s="341"/>
      <c r="D206" s="212">
        <f>P206</f>
        <v>0</v>
      </c>
      <c r="E206" s="212"/>
      <c r="F206" s="2176"/>
      <c r="G206" s="2176"/>
      <c r="H206" s="219"/>
      <c r="I206" s="219">
        <f>IF(ISNA(VLOOKUP($B206&amp;"; "&amp;$H$201,'FE Déchets'!$G:$U,9,FALSE)),0,VLOOKUP($B206&amp;"; "&amp;$H$201,'FE Déchets'!$G:$U,9,FALSE))</f>
        <v>493</v>
      </c>
      <c r="J206" s="219"/>
      <c r="K206" s="219"/>
      <c r="L206" s="151"/>
      <c r="M206" s="151"/>
      <c r="N206" s="151"/>
      <c r="O206" s="151"/>
      <c r="P206" s="152">
        <f t="shared" si="53"/>
        <v>0</v>
      </c>
      <c r="V206" s="226">
        <f>IF(AC206=0,AC206,AC206/P206)</f>
        <v>0</v>
      </c>
      <c r="W206" s="1094"/>
      <c r="X206" s="820"/>
      <c r="Y206" s="164"/>
      <c r="Z206" s="164"/>
      <c r="AA206" s="164"/>
      <c r="AB206" s="164"/>
      <c r="AC206" s="152">
        <f t="shared" si="54"/>
        <v>0</v>
      </c>
      <c r="AE206" s="564">
        <f>$G206*IF(ISNA(VLOOKUP($B206&amp;"; "&amp;$H$214,'FE Déchets'!$G:$U,10,FALSE)),0,VLOOKUP($B206&amp;"; "&amp;$H$214,'FE Déchets'!$G:$U,10,FALSE))</f>
        <v>0</v>
      </c>
      <c r="AF206" s="565"/>
      <c r="AG206" s="565"/>
      <c r="AH206" s="565"/>
      <c r="AI206" s="565">
        <f>$G206*IF(ISNA(VLOOKUP($B206&amp;"; "&amp;$H$214,'FE Déchets'!$G:$U,11,FALSE)+VLOOKUP($B206&amp;"; "&amp;$H$214,'FE Déchets'!$G:$U,12,FALSE)),0,
VLOOKUP($B206&amp;"; "&amp;$H$214,'FE Déchets'!$G:$U,11,FALSE)+VLOOKUP($B206&amp;"; "&amp;$H$214,'FE Déchets'!$G:$U,12,FALSE))</f>
        <v>0</v>
      </c>
      <c r="AJ206" s="565"/>
      <c r="AK206" s="565"/>
      <c r="AL206" s="565"/>
      <c r="AM206" s="565">
        <f>$G206*IF(ISNA(VLOOKUP($B206&amp;"; "&amp;$H$214,'FE Déchets'!$G:$U,13,FALSE)),0,VLOOKUP($B206&amp;"; "&amp;$H$214,'FE Déchets'!$G:$U,13,FALSE))</f>
        <v>0</v>
      </c>
      <c r="AN206" s="565"/>
      <c r="AO206" s="565"/>
      <c r="AP206" s="565"/>
      <c r="AQ206" s="565">
        <f>$G206*IF(ISNA(VLOOKUP($B206&amp;"; "&amp;$H$214,'FE Déchets'!$G:$U,14,FALSE)),0,VLOOKUP($B206&amp;"; "&amp;$H$214,'FE Déchets'!$G:$U,14,FALSE))</f>
        <v>0</v>
      </c>
      <c r="AR206" s="565"/>
      <c r="AS206" s="565"/>
      <c r="AT206" s="565"/>
      <c r="AU206" s="566">
        <f>SUM(AE206,AI206,AM206,AQ206)</f>
        <v>0</v>
      </c>
      <c r="AV206" s="566"/>
      <c r="AW206" s="566"/>
      <c r="AX206" s="566"/>
      <c r="AY206" s="564">
        <f>$G206*IF(ISNA(VLOOKUP($B206&amp;"; "&amp;$H$214,'FE Déchets'!$G:$U,15,FALSE)),0,VLOOKUP($B206&amp;"; "&amp;$H$214,'FE Déchets'!$G:$U,15,FALSE))</f>
        <v>0</v>
      </c>
      <c r="AZ206" s="565"/>
      <c r="BA206" s="565"/>
      <c r="BB206" s="568"/>
      <c r="BD206" s="2492">
        <f>IF($W206&lt;&gt;"votre valeur :",IF(ISNA(VLOOKUP($W206,Utilitaires!$N$566:$O$571,2,FALSE)),,VLOOKUP($W206,Utilitaires!$N$566:$O$571,2,FALSE)),$X206)</f>
        <v>0</v>
      </c>
      <c r="BE206" s="2442">
        <f>IF(ISNA(SQRT(SUMSQ(VLOOKUP($B206&amp;"; "&amp;$H$201,'FE Déchets'!$G:$U,7,FALSE),$BD206))),0,SQRT(SUMSQ(VLOOKUP($B206&amp;"; "&amp;$H$201,'FE Déchets'!$G:$U,7,FALSE),$BD206)))</f>
        <v>0.1</v>
      </c>
      <c r="BF206" s="2504"/>
      <c r="BG206" s="2128"/>
      <c r="BH206" s="2128"/>
    </row>
    <row r="207" spans="2:60" s="114" customFormat="1" ht="13.2" hidden="1" outlineLevel="2">
      <c r="B207" s="389" t="s">
        <v>5123</v>
      </c>
      <c r="C207" s="341"/>
      <c r="D207" s="212">
        <f>P207</f>
        <v>0</v>
      </c>
      <c r="E207" s="212"/>
      <c r="F207" s="849"/>
      <c r="G207" s="849"/>
      <c r="H207" s="219"/>
      <c r="I207" s="219">
        <f>IF(ISNA(VLOOKUP($B207&amp;"; "&amp;$H$201,'FE Déchets'!$G:$U,9,FALSE)),0,VLOOKUP($B207&amp;"; "&amp;$H$201,'FE Déchets'!$G:$U,9,FALSE))</f>
        <v>141</v>
      </c>
      <c r="J207" s="219"/>
      <c r="K207" s="219"/>
      <c r="L207" s="151"/>
      <c r="M207" s="151"/>
      <c r="N207" s="151"/>
      <c r="O207" s="151"/>
      <c r="P207" s="152">
        <f t="shared" si="53"/>
        <v>0</v>
      </c>
      <c r="V207" s="226">
        <f>IF(AC207=0,AC207,AC207/P207)</f>
        <v>0</v>
      </c>
      <c r="W207" s="1094"/>
      <c r="X207" s="820"/>
      <c r="Y207" s="164"/>
      <c r="Z207" s="164"/>
      <c r="AA207" s="164"/>
      <c r="AB207" s="164"/>
      <c r="AC207" s="152">
        <f t="shared" si="54"/>
        <v>0</v>
      </c>
      <c r="AE207" s="564">
        <f>$G207*IF(ISNA(VLOOKUP($B207&amp;"; "&amp;$H$214,'FE Déchets'!$G:$U,10,FALSE)),0,VLOOKUP($B207&amp;"; "&amp;$H$214,'FE Déchets'!$G:$U,10,FALSE))</f>
        <v>0</v>
      </c>
      <c r="AF207" s="565"/>
      <c r="AG207" s="565"/>
      <c r="AH207" s="565"/>
      <c r="AI207" s="565">
        <f>$G207*IF(ISNA(VLOOKUP($B207&amp;"; "&amp;$H$214,'FE Déchets'!$G:$U,11,FALSE)+VLOOKUP($B207&amp;"; "&amp;$H$214,'FE Déchets'!$G:$U,12,FALSE)),0,
VLOOKUP($B207&amp;"; "&amp;$H$214,'FE Déchets'!$G:$U,11,FALSE)+VLOOKUP($B207&amp;"; "&amp;$H$214,'FE Déchets'!$G:$U,12,FALSE))</f>
        <v>0</v>
      </c>
      <c r="AJ207" s="565"/>
      <c r="AK207" s="565"/>
      <c r="AL207" s="565"/>
      <c r="AM207" s="565">
        <f>$G207*IF(ISNA(VLOOKUP($B207&amp;"; "&amp;$H$214,'FE Déchets'!$G:$U,13,FALSE)),0,VLOOKUP($B207&amp;"; "&amp;$H$214,'FE Déchets'!$G:$U,13,FALSE))</f>
        <v>0</v>
      </c>
      <c r="AN207" s="565"/>
      <c r="AO207" s="565"/>
      <c r="AP207" s="565"/>
      <c r="AQ207" s="565">
        <f>$G207*IF(ISNA(VLOOKUP($B207&amp;"; "&amp;$H$214,'FE Déchets'!$G:$U,14,FALSE)),0,VLOOKUP($B207&amp;"; "&amp;$H$214,'FE Déchets'!$G:$U,14,FALSE))</f>
        <v>0</v>
      </c>
      <c r="AR207" s="565"/>
      <c r="AS207" s="565"/>
      <c r="AT207" s="565"/>
      <c r="AU207" s="566">
        <f>SUM(AE207,AI207,AM207,AQ207)</f>
        <v>0</v>
      </c>
      <c r="AV207" s="566"/>
      <c r="AW207" s="566"/>
      <c r="AX207" s="566"/>
      <c r="AY207" s="564">
        <f>$G207*IF(ISNA(VLOOKUP($B207&amp;"; "&amp;$H$214,'FE Déchets'!$G:$U,15,FALSE)),0,VLOOKUP($B207&amp;"; "&amp;$H$214,'FE Déchets'!$G:$U,15,FALSE))</f>
        <v>0</v>
      </c>
      <c r="AZ207" s="565"/>
      <c r="BA207" s="565"/>
      <c r="BB207" s="568"/>
      <c r="BD207" s="2492">
        <f>IF($W207&lt;&gt;"votre valeur :",IF(ISNA(VLOOKUP($W207,Utilitaires!$N$566:$O$571,2,FALSE)),,VLOOKUP($W207,Utilitaires!$N$566:$O$571,2,FALSE)),$X207)</f>
        <v>0</v>
      </c>
      <c r="BE207" s="2442">
        <f>IF(ISNA(SQRT(SUMSQ(VLOOKUP($B207&amp;"; "&amp;$H$201,'FE Déchets'!$G:$U,7,FALSE),$BD207))),0,SQRT(SUMSQ(VLOOKUP($B207&amp;"; "&amp;$H$201,'FE Déchets'!$G:$U,7,FALSE),$BD207)))</f>
        <v>0.1</v>
      </c>
      <c r="BF207" s="2504"/>
      <c r="BG207" s="2128"/>
      <c r="BH207" s="2128"/>
    </row>
    <row r="208" spans="2:60" s="114" customFormat="1" ht="13.2" hidden="1" outlineLevel="2">
      <c r="B208" s="143"/>
      <c r="C208" s="144"/>
      <c r="D208" s="219"/>
      <c r="E208" s="219"/>
      <c r="F208" s="219"/>
      <c r="G208" s="164"/>
      <c r="H208" s="326"/>
      <c r="I208" s="326"/>
      <c r="J208" s="326"/>
      <c r="K208" s="326"/>
      <c r="L208" s="151"/>
      <c r="M208" s="151"/>
      <c r="N208" s="151"/>
      <c r="O208" s="354"/>
      <c r="P208" s="152"/>
      <c r="V208" s="226"/>
      <c r="W208" s="155"/>
      <c r="X208" s="155"/>
      <c r="Y208" s="164"/>
      <c r="Z208" s="164"/>
      <c r="AA208" s="164"/>
      <c r="AB208" s="164"/>
      <c r="AC208" s="367"/>
      <c r="AE208" s="569"/>
      <c r="AF208" s="625"/>
      <c r="AG208" s="625"/>
      <c r="AH208" s="625"/>
      <c r="AI208" s="625"/>
      <c r="AJ208" s="625"/>
      <c r="AK208" s="625"/>
      <c r="AL208" s="625"/>
      <c r="AM208" s="625"/>
      <c r="AN208" s="625"/>
      <c r="AO208" s="625"/>
      <c r="AP208" s="625"/>
      <c r="AQ208" s="625"/>
      <c r="AR208" s="625"/>
      <c r="AS208" s="625"/>
      <c r="AT208" s="625"/>
      <c r="AU208" s="1313"/>
      <c r="AV208" s="1313"/>
      <c r="AW208" s="1313"/>
      <c r="AX208" s="1313"/>
      <c r="AY208" s="1411"/>
      <c r="AZ208" s="1313"/>
      <c r="BA208" s="625"/>
      <c r="BB208" s="570"/>
      <c r="BD208" s="2493"/>
      <c r="BE208" s="1075"/>
      <c r="BF208" s="2505"/>
      <c r="BG208" s="2387"/>
      <c r="BH208" s="2387"/>
    </row>
    <row r="209" spans="2:60" s="114" customFormat="1" ht="13.2" hidden="1" outlineLevel="1">
      <c r="B209" s="1264" t="s">
        <v>348</v>
      </c>
      <c r="C209" s="197"/>
      <c r="D209" s="214">
        <f>SUM(D203:D208)</f>
        <v>0</v>
      </c>
      <c r="E209" s="214"/>
      <c r="F209" s="214"/>
      <c r="G209" s="203"/>
      <c r="H209" s="203"/>
      <c r="I209" s="202"/>
      <c r="J209" s="203"/>
      <c r="K209" s="203"/>
      <c r="L209" s="202"/>
      <c r="M209" s="202"/>
      <c r="N209" s="202"/>
      <c r="O209" s="202"/>
      <c r="P209" s="200">
        <f>SUM(P203:P208)</f>
        <v>0</v>
      </c>
      <c r="V209" s="1204">
        <f>IF(AC209=0,AC209,AC209/P209)</f>
        <v>0</v>
      </c>
      <c r="W209" s="199"/>
      <c r="X209" s="199"/>
      <c r="Y209" s="204"/>
      <c r="Z209" s="204"/>
      <c r="AA209" s="204"/>
      <c r="AB209" s="204"/>
      <c r="AC209" s="200">
        <f>SQRT(SUMSQ(AC203:AC208))</f>
        <v>0</v>
      </c>
      <c r="AE209" s="1308">
        <f>SUM(AE203:AE208)</f>
        <v>0</v>
      </c>
      <c r="AF209" s="1309"/>
      <c r="AG209" s="1309"/>
      <c r="AH209" s="1309"/>
      <c r="AI209" s="1309">
        <f>SUM(AI203:AI208)</f>
        <v>0</v>
      </c>
      <c r="AJ209" s="1309"/>
      <c r="AK209" s="1309"/>
      <c r="AL209" s="1309"/>
      <c r="AM209" s="1309">
        <f>SUM(AM203:AM208)</f>
        <v>0</v>
      </c>
      <c r="AN209" s="1309"/>
      <c r="AO209" s="1309"/>
      <c r="AP209" s="1309"/>
      <c r="AQ209" s="1309">
        <f>SUM(AQ203:AQ208)</f>
        <v>0</v>
      </c>
      <c r="AR209" s="1309"/>
      <c r="AS209" s="1309"/>
      <c r="AT209" s="1309"/>
      <c r="AU209" s="1312">
        <f>SUM(AU203:AU208)</f>
        <v>0</v>
      </c>
      <c r="AV209" s="1312"/>
      <c r="AW209" s="1312"/>
      <c r="AX209" s="1312"/>
      <c r="AY209" s="1082">
        <f>SUM(AY203:AY208)</f>
        <v>0</v>
      </c>
      <c r="AZ209" s="572"/>
      <c r="BA209" s="572"/>
      <c r="BB209" s="575"/>
    </row>
    <row r="210" spans="2:60" s="114" customFormat="1" ht="12.75" hidden="1" customHeight="1" outlineLevel="1">
      <c r="AJ210" s="441"/>
      <c r="AK210" s="441"/>
      <c r="AL210" s="441"/>
      <c r="AM210" s="441"/>
      <c r="AN210" s="441"/>
      <c r="AO210" s="441"/>
      <c r="AP210" s="441"/>
      <c r="AQ210" s="441"/>
      <c r="AR210" s="441"/>
      <c r="AS210" s="441"/>
      <c r="AT210" s="441"/>
      <c r="AU210" s="441"/>
    </row>
    <row r="211" spans="2:60" s="114" customFormat="1" ht="12.75" hidden="1" customHeight="1" outlineLevel="1" collapsed="1">
      <c r="B211" s="1091" t="s">
        <v>3296</v>
      </c>
      <c r="C211" s="140"/>
      <c r="D211" s="1396"/>
      <c r="E211" s="1396"/>
      <c r="F211" s="1396"/>
      <c r="G211" s="1396"/>
      <c r="H211" s="1396"/>
      <c r="I211" s="1396"/>
      <c r="J211" s="1396"/>
      <c r="K211" s="1396"/>
      <c r="L211" s="1396"/>
      <c r="M211" s="1396"/>
      <c r="N211" s="1396"/>
      <c r="O211" s="1412"/>
      <c r="P211" s="1397"/>
      <c r="V211" s="2636" t="s">
        <v>366</v>
      </c>
      <c r="W211" s="2637"/>
      <c r="X211" s="2637"/>
      <c r="Y211" s="2637"/>
      <c r="Z211" s="2637"/>
      <c r="AA211" s="2637"/>
      <c r="AB211" s="2637"/>
      <c r="AC211" s="2638"/>
      <c r="AE211" s="2639" t="s">
        <v>441</v>
      </c>
      <c r="AF211" s="2640"/>
      <c r="AG211" s="2640"/>
      <c r="AH211" s="2640"/>
      <c r="AI211" s="2640"/>
      <c r="AJ211" s="2640"/>
      <c r="AK211" s="2640"/>
      <c r="AL211" s="2640"/>
      <c r="AM211" s="2640"/>
      <c r="AN211" s="2640"/>
      <c r="AO211" s="2640"/>
      <c r="AP211" s="2640"/>
      <c r="AQ211" s="2640"/>
      <c r="AR211" s="2640"/>
      <c r="AS211" s="2640"/>
      <c r="AT211" s="2640"/>
      <c r="AU211" s="2640"/>
      <c r="AV211" s="2640"/>
      <c r="AW211" s="2640"/>
      <c r="AX211" s="2640"/>
      <c r="AY211" s="2640"/>
      <c r="AZ211" s="2640"/>
      <c r="BA211" s="2640"/>
      <c r="BB211" s="2641"/>
    </row>
    <row r="212" spans="2:60" s="114" customFormat="1" ht="12.75" hidden="1" customHeight="1" outlineLevel="2">
      <c r="B212" s="332"/>
      <c r="C212" s="167"/>
      <c r="D212" s="1402" t="s">
        <v>308</v>
      </c>
      <c r="E212" s="1402"/>
      <c r="F212" s="1402"/>
      <c r="G212" s="1402"/>
      <c r="H212" s="1402"/>
      <c r="I212" s="1402"/>
      <c r="J212" s="1402"/>
      <c r="K212" s="1402"/>
      <c r="L212" s="1377"/>
      <c r="M212" s="1377"/>
      <c r="N212" s="1377"/>
      <c r="O212" s="565"/>
      <c r="P212" s="1403"/>
      <c r="V212" s="1425"/>
      <c r="W212" s="819"/>
      <c r="X212" s="819"/>
      <c r="Y212" s="1424"/>
      <c r="Z212" s="1424"/>
      <c r="AA212" s="1424"/>
      <c r="AB212" s="1424"/>
      <c r="AC212" s="145"/>
      <c r="AE212" s="2642" t="s">
        <v>444</v>
      </c>
      <c r="AF212" s="2643"/>
      <c r="AG212" s="2643"/>
      <c r="AH212" s="2643"/>
      <c r="AI212" s="2643"/>
      <c r="AJ212" s="2643"/>
      <c r="AK212" s="2643"/>
      <c r="AL212" s="2643"/>
      <c r="AM212" s="2643"/>
      <c r="AN212" s="2643"/>
      <c r="AO212" s="2643"/>
      <c r="AP212" s="2643"/>
      <c r="AQ212" s="2643"/>
      <c r="AR212" s="2643"/>
      <c r="AS212" s="2643"/>
      <c r="AT212" s="2643"/>
      <c r="AU212" s="1421" t="s">
        <v>444</v>
      </c>
      <c r="AV212" s="1421"/>
      <c r="AW212" s="1421"/>
      <c r="AX212" s="1421"/>
      <c r="AY212" s="1432"/>
      <c r="AZ212" s="1421"/>
      <c r="BA212" s="1421"/>
      <c r="BB212" s="1433"/>
      <c r="BD212" s="2616" t="s">
        <v>1648</v>
      </c>
      <c r="BE212" s="2618"/>
      <c r="BF212" s="1789"/>
      <c r="BG212" s="1774"/>
      <c r="BH212" s="1774"/>
    </row>
    <row r="213" spans="2:60" s="114" customFormat="1" ht="12.75" hidden="1" customHeight="1" outlineLevel="2">
      <c r="B213" s="332"/>
      <c r="C213" s="167"/>
      <c r="D213" s="2496"/>
      <c r="E213" s="2496"/>
      <c r="F213" s="2496"/>
      <c r="G213" s="2496"/>
      <c r="H213" s="2496"/>
      <c r="I213" s="2496"/>
      <c r="J213" s="2496"/>
      <c r="K213" s="2496"/>
      <c r="L213" s="2473"/>
      <c r="M213" s="2473"/>
      <c r="N213" s="2473"/>
      <c r="O213" s="565"/>
      <c r="P213" s="2498"/>
      <c r="V213" s="2472" t="s">
        <v>316</v>
      </c>
      <c r="W213" s="2474" t="s">
        <v>316</v>
      </c>
      <c r="X213" s="2475"/>
      <c r="Y213" s="2473"/>
      <c r="Z213" s="2473"/>
      <c r="AA213" s="2473"/>
      <c r="AB213" s="2473"/>
      <c r="AC213" s="145"/>
      <c r="AE213" s="2487"/>
      <c r="AF213" s="2488"/>
      <c r="AG213" s="2488"/>
      <c r="AH213" s="2488"/>
      <c r="AI213" s="2488"/>
      <c r="AJ213" s="2488"/>
      <c r="AK213" s="2488"/>
      <c r="AL213" s="2488"/>
      <c r="AM213" s="2488"/>
      <c r="AN213" s="2488"/>
      <c r="AO213" s="2488"/>
      <c r="AP213" s="2488"/>
      <c r="AQ213" s="2488"/>
      <c r="AR213" s="2488"/>
      <c r="AS213" s="2488"/>
      <c r="AT213" s="2488"/>
      <c r="AU213" s="2488"/>
      <c r="AV213" s="2488"/>
      <c r="AW213" s="2488"/>
      <c r="AX213" s="2488"/>
      <c r="AY213" s="2487"/>
      <c r="AZ213" s="2488"/>
      <c r="BA213" s="2488"/>
      <c r="BB213" s="2489"/>
      <c r="BD213" s="2471"/>
      <c r="BE213" s="2481"/>
      <c r="BF213" s="1789"/>
      <c r="BG213" s="1774"/>
      <c r="BH213" s="1774"/>
    </row>
    <row r="214" spans="2:60" s="114" customFormat="1" ht="12.75" hidden="1" customHeight="1" outlineLevel="2">
      <c r="B214" s="1002" t="s">
        <v>207</v>
      </c>
      <c r="C214" s="1377"/>
      <c r="D214" s="1377" t="s">
        <v>409</v>
      </c>
      <c r="E214" s="1377"/>
      <c r="F214" s="147" t="s">
        <v>450</v>
      </c>
      <c r="G214" s="1399" t="s">
        <v>199</v>
      </c>
      <c r="H214" s="2626" t="s">
        <v>1585</v>
      </c>
      <c r="I214" s="2628"/>
      <c r="J214" s="2628"/>
      <c r="K214" s="2628"/>
      <c r="L214" s="2768"/>
      <c r="M214" s="2768"/>
      <c r="N214" s="2768"/>
      <c r="O214" s="2768"/>
      <c r="P214" s="1403" t="s">
        <v>444</v>
      </c>
      <c r="V214" s="1425" t="s">
        <v>1649</v>
      </c>
      <c r="W214" s="2482" t="s">
        <v>1650</v>
      </c>
      <c r="X214" s="2483"/>
      <c r="Y214" s="2473"/>
      <c r="Z214" s="1426"/>
      <c r="AA214" s="1426"/>
      <c r="AB214" s="1426"/>
      <c r="AC214" s="1446" t="s">
        <v>444</v>
      </c>
      <c r="AE214" s="1422" t="s">
        <v>211</v>
      </c>
      <c r="AF214" s="1423"/>
      <c r="AG214" s="1423"/>
      <c r="AH214" s="1423"/>
      <c r="AI214" s="1423" t="s">
        <v>442</v>
      </c>
      <c r="AJ214" s="1423"/>
      <c r="AK214" s="1423"/>
      <c r="AL214" s="1423"/>
      <c r="AM214" s="1423" t="s">
        <v>267</v>
      </c>
      <c r="AN214" s="1423"/>
      <c r="AO214" s="1423"/>
      <c r="AP214" s="1423"/>
      <c r="AQ214" s="1423" t="s">
        <v>443</v>
      </c>
      <c r="AR214" s="1423"/>
      <c r="AS214" s="1423"/>
      <c r="AT214" s="1423"/>
      <c r="AU214" s="1436" t="s">
        <v>327</v>
      </c>
      <c r="AV214" s="1436"/>
      <c r="AW214" s="1436"/>
      <c r="AX214" s="1436"/>
      <c r="AY214" s="1450"/>
      <c r="AZ214" s="1423" t="s">
        <v>636</v>
      </c>
      <c r="BA214" s="566"/>
      <c r="BB214" s="567"/>
      <c r="BD214" s="1441" t="s">
        <v>5116</v>
      </c>
      <c r="BE214" s="2471" t="s">
        <v>2187</v>
      </c>
      <c r="BF214" s="1789"/>
      <c r="BG214" s="1774"/>
      <c r="BH214" s="1774"/>
    </row>
    <row r="215" spans="2:60" s="114" customFormat="1" ht="13.2" hidden="1" outlineLevel="2">
      <c r="B215" s="389" t="s">
        <v>5119</v>
      </c>
      <c r="C215" s="341"/>
      <c r="D215" s="212">
        <f>P215</f>
        <v>0</v>
      </c>
      <c r="E215" s="212"/>
      <c r="F215" s="847"/>
      <c r="G215" s="847"/>
      <c r="H215" s="219"/>
      <c r="I215" s="219">
        <f>IF(ISNA(VLOOKUP($B215&amp;"; "&amp;$H$214,'FE Déchets'!$G:$U,9,FALSE)),0,VLOOKUP($B215&amp;"; "&amp;$H$214,'FE Déchets'!$G:$U,9,FALSE))</f>
        <v>313</v>
      </c>
      <c r="J215" s="219"/>
      <c r="K215" s="219"/>
      <c r="L215" s="151"/>
      <c r="M215" s="151"/>
      <c r="N215" s="151"/>
      <c r="O215" s="151"/>
      <c r="P215" s="152">
        <f>G215*I215</f>
        <v>0</v>
      </c>
      <c r="V215" s="226">
        <f>IF(AC215=0,AC215,AC215/P215)</f>
        <v>0</v>
      </c>
      <c r="W215" s="2125"/>
      <c r="X215" s="820"/>
      <c r="Y215" s="164"/>
      <c r="Z215" s="164"/>
      <c r="AA215" s="164"/>
      <c r="AB215" s="164"/>
      <c r="AC215" s="152">
        <f>P215*BE215</f>
        <v>0</v>
      </c>
      <c r="AE215" s="564">
        <f>$G215*IF(ISNA(VLOOKUP($B215&amp;"; "&amp;$H$214,'FE Déchets'!$G:$U,10,FALSE)),0,VLOOKUP($B215&amp;"; "&amp;$H$214,'FE Déchets'!$G:$U,10,FALSE))</f>
        <v>0</v>
      </c>
      <c r="AF215" s="565"/>
      <c r="AG215" s="565"/>
      <c r="AH215" s="565"/>
      <c r="AI215" s="565">
        <f>$G215*IF(ISNA(VLOOKUP($B215&amp;"; "&amp;$H$214,'FE Déchets'!$G:$U,11,FALSE)+VLOOKUP($B215&amp;"; "&amp;$H$214,'FE Déchets'!$G:$U,12,FALSE)),0,
VLOOKUP($B215&amp;"; "&amp;$H$214,'FE Déchets'!$G:$U,11,FALSE)+VLOOKUP($B215&amp;"; "&amp;$H$214,'FE Déchets'!$G:$U,12,FALSE))</f>
        <v>0</v>
      </c>
      <c r="AJ215" s="565"/>
      <c r="AK215" s="565"/>
      <c r="AL215" s="565"/>
      <c r="AM215" s="565">
        <f>$G215*IF(ISNA(VLOOKUP($B215&amp;"; "&amp;$H$214,'FE Déchets'!$G:$U,13,FALSE)),0,VLOOKUP($B215&amp;"; "&amp;$H$214,'FE Déchets'!$G:$U,13,FALSE))</f>
        <v>0</v>
      </c>
      <c r="AN215" s="565"/>
      <c r="AO215" s="565"/>
      <c r="AP215" s="565"/>
      <c r="AQ215" s="565">
        <f>$G215*IF(ISNA(VLOOKUP($B215&amp;"; "&amp;$H$214,'FE Déchets'!$G:$U,14,FALSE)),0,VLOOKUP($B215&amp;"; "&amp;$H$214,'FE Déchets'!$G:$U,14,FALSE))</f>
        <v>0</v>
      </c>
      <c r="AR215" s="565"/>
      <c r="AS215" s="565"/>
      <c r="AT215" s="565"/>
      <c r="AU215" s="566">
        <f>SUM(AE215,AI215,AM215,AQ215)</f>
        <v>0</v>
      </c>
      <c r="AV215" s="566"/>
      <c r="AW215" s="566"/>
      <c r="AX215" s="566"/>
      <c r="AY215" s="564">
        <f>$G215*IF(ISNA(VLOOKUP($B215&amp;"; "&amp;$H$214,'FE Déchets'!$G:$U,15,FALSE)),0,VLOOKUP($B215&amp;"; "&amp;$H$214,'FE Déchets'!$G:$U,15,FALSE))</f>
        <v>0</v>
      </c>
      <c r="AZ215" s="565"/>
      <c r="BA215" s="565"/>
      <c r="BB215" s="568"/>
      <c r="BD215" s="2492">
        <f>IF($W215&lt;&gt;"votre valeur :",IF(ISNA(VLOOKUP($W215,Utilitaires!$N$566:$O$571,2,FALSE)),,VLOOKUP($W215,Utilitaires!$N$566:$O$571,2,FALSE)),$X215)</f>
        <v>0</v>
      </c>
      <c r="BE215" s="2442">
        <f>IF(ISNA(SQRT(SUMSQ(VLOOKUP($B215&amp;"; "&amp;$H$214,'FE Déchets'!$G:$U,7,FALSE),$BD215))),0,SQRT(SUMSQ(VLOOKUP($B215&amp;"; "&amp;$H$214,'FE Déchets'!$G:$U,7,FALSE),$BD215)))</f>
        <v>0.1</v>
      </c>
      <c r="BF215" s="2504"/>
      <c r="BG215" s="2128"/>
      <c r="BH215" s="2128"/>
    </row>
    <row r="216" spans="2:60" s="114" customFormat="1" ht="13.2" hidden="1" outlineLevel="2">
      <c r="B216" s="389" t="s">
        <v>5120</v>
      </c>
      <c r="C216" s="341"/>
      <c r="D216" s="212">
        <f>P216</f>
        <v>0</v>
      </c>
      <c r="E216" s="212"/>
      <c r="F216" s="2176"/>
      <c r="G216" s="2176"/>
      <c r="H216" s="219"/>
      <c r="I216" s="219">
        <f>IF(ISNA(VLOOKUP($B216&amp;"; "&amp;$H$214,'FE Déchets'!$G:$U,9,FALSE)),0,VLOOKUP($B216&amp;"; "&amp;$H$214,'FE Déchets'!$G:$U,9,FALSE))</f>
        <v>548</v>
      </c>
      <c r="J216" s="219"/>
      <c r="K216" s="219"/>
      <c r="L216" s="151"/>
      <c r="M216" s="151"/>
      <c r="N216" s="151"/>
      <c r="O216" s="151"/>
      <c r="P216" s="152">
        <f t="shared" ref="P216:P217" si="55">G216*I216</f>
        <v>0</v>
      </c>
      <c r="V216" s="226">
        <f>IF(AC216=0,AC216,AC216/P216)</f>
        <v>0</v>
      </c>
      <c r="W216" s="1094"/>
      <c r="X216" s="820"/>
      <c r="Y216" s="164"/>
      <c r="Z216" s="164"/>
      <c r="AA216" s="164"/>
      <c r="AB216" s="164"/>
      <c r="AC216" s="152">
        <f t="shared" ref="AC216:AC217" si="56">P216*BE216</f>
        <v>0</v>
      </c>
      <c r="AE216" s="564">
        <f>$G216*IF(ISNA(VLOOKUP($B216&amp;"; "&amp;$H$214,'FE Déchets'!$G:$U,10,FALSE)),0,VLOOKUP($B216&amp;"; "&amp;$H$214,'FE Déchets'!$G:$U,10,FALSE))</f>
        <v>0</v>
      </c>
      <c r="AF216" s="565"/>
      <c r="AG216" s="565"/>
      <c r="AH216" s="565"/>
      <c r="AI216" s="565">
        <f>$G216*IF(ISNA(VLOOKUP($B216&amp;"; "&amp;$H$214,'FE Déchets'!$G:$U,11,FALSE)+VLOOKUP($B216&amp;"; "&amp;$H$214,'FE Déchets'!$G:$U,12,FALSE)),0,
VLOOKUP($B216&amp;"; "&amp;$H$214,'FE Déchets'!$G:$U,11,FALSE)+VLOOKUP($B216&amp;"; "&amp;$H$214,'FE Déchets'!$G:$U,12,FALSE))</f>
        <v>0</v>
      </c>
      <c r="AJ216" s="565"/>
      <c r="AK216" s="565"/>
      <c r="AL216" s="565"/>
      <c r="AM216" s="565">
        <f>$G216*IF(ISNA(VLOOKUP($B216&amp;"; "&amp;$H$214,'FE Déchets'!$G:$U,13,FALSE)),0,VLOOKUP($B216&amp;"; "&amp;$H$214,'FE Déchets'!$G:$U,13,FALSE))</f>
        <v>0</v>
      </c>
      <c r="AN216" s="565"/>
      <c r="AO216" s="565"/>
      <c r="AP216" s="565"/>
      <c r="AQ216" s="565">
        <f>$G216*IF(ISNA(VLOOKUP($B216&amp;"; "&amp;$H$214,'FE Déchets'!$G:$U,14,FALSE)),0,VLOOKUP($B216&amp;"; "&amp;$H$214,'FE Déchets'!$G:$U,14,FALSE))</f>
        <v>0</v>
      </c>
      <c r="AR216" s="565"/>
      <c r="AS216" s="565"/>
      <c r="AT216" s="565"/>
      <c r="AU216" s="566">
        <f>SUM(AE216,AI216,AM216,AQ216)</f>
        <v>0</v>
      </c>
      <c r="AV216" s="566"/>
      <c r="AW216" s="566"/>
      <c r="AX216" s="566"/>
      <c r="AY216" s="564">
        <f>$G216*IF(ISNA(VLOOKUP($B216&amp;"; "&amp;$H$214,'FE Déchets'!$G:$U,15,FALSE)),0,VLOOKUP($B216&amp;"; "&amp;$H$214,'FE Déchets'!$G:$U,15,FALSE))</f>
        <v>0</v>
      </c>
      <c r="AZ216" s="565"/>
      <c r="BA216" s="565"/>
      <c r="BB216" s="568"/>
      <c r="BD216" s="2492">
        <f>IF($W216&lt;&gt;"votre valeur :",IF(ISNA(VLOOKUP($W216,Utilitaires!$N$566:$O$571,2,FALSE)),,VLOOKUP($W216,Utilitaires!$N$566:$O$571,2,FALSE)),$X216)</f>
        <v>0</v>
      </c>
      <c r="BE216" s="2442">
        <f>IF(ISNA(SQRT(SUMSQ(VLOOKUP($B216&amp;"; "&amp;$H$214,'FE Déchets'!$G:$U,7,FALSE),$BD216))),0,SQRT(SUMSQ(VLOOKUP($B216&amp;"; "&amp;$H$214,'FE Déchets'!$G:$U,7,FALSE),$BD216)))</f>
        <v>0.1</v>
      </c>
      <c r="BF216" s="2504"/>
      <c r="BG216" s="2128"/>
      <c r="BH216" s="2128"/>
    </row>
    <row r="217" spans="2:60" s="114" customFormat="1" ht="13.2" hidden="1" outlineLevel="2">
      <c r="B217" s="389" t="s">
        <v>5123</v>
      </c>
      <c r="C217" s="341"/>
      <c r="D217" s="212">
        <f>P217</f>
        <v>0</v>
      </c>
      <c r="E217" s="212"/>
      <c r="F217" s="849"/>
      <c r="G217" s="849"/>
      <c r="H217" s="219"/>
      <c r="I217" s="219">
        <f>IF(ISNA(VLOOKUP($B217&amp;"; "&amp;$H$214,'FE Déchets'!$G:$U,9,FALSE)),0,VLOOKUP($B217&amp;"; "&amp;$H$214,'FE Déchets'!$G:$U,9,FALSE))</f>
        <v>141</v>
      </c>
      <c r="J217" s="219"/>
      <c r="K217" s="219"/>
      <c r="L217" s="151"/>
      <c r="M217" s="151"/>
      <c r="N217" s="151"/>
      <c r="O217" s="151"/>
      <c r="P217" s="152">
        <f t="shared" si="55"/>
        <v>0</v>
      </c>
      <c r="V217" s="226">
        <f>IF(AC217=0,AC217,AC217/P217)</f>
        <v>0</v>
      </c>
      <c r="W217" s="1094"/>
      <c r="X217" s="820"/>
      <c r="Y217" s="164"/>
      <c r="Z217" s="164"/>
      <c r="AA217" s="164"/>
      <c r="AB217" s="164"/>
      <c r="AC217" s="152">
        <f t="shared" si="56"/>
        <v>0</v>
      </c>
      <c r="AE217" s="564">
        <f>$G217*IF(ISNA(VLOOKUP($B217&amp;"; "&amp;$H$214,'FE Déchets'!$G:$U,10,FALSE)),0,VLOOKUP($B217&amp;"; "&amp;$H$214,'FE Déchets'!$G:$U,10,FALSE))</f>
        <v>0</v>
      </c>
      <c r="AF217" s="565"/>
      <c r="AG217" s="565"/>
      <c r="AH217" s="565"/>
      <c r="AI217" s="565">
        <f>$G217*IF(ISNA(VLOOKUP($B217&amp;"; "&amp;$H$214,'FE Déchets'!$G:$U,11,FALSE)+VLOOKUP($B217&amp;"; "&amp;$H$214,'FE Déchets'!$G:$U,12,FALSE)),0,
VLOOKUP($B217&amp;"; "&amp;$H$214,'FE Déchets'!$G:$U,11,FALSE)+VLOOKUP($B217&amp;"; "&amp;$H$214,'FE Déchets'!$G:$U,12,FALSE))</f>
        <v>0</v>
      </c>
      <c r="AJ217" s="565"/>
      <c r="AK217" s="565"/>
      <c r="AL217" s="565"/>
      <c r="AM217" s="565">
        <f>$G217*IF(ISNA(VLOOKUP($B217&amp;"; "&amp;$H$214,'FE Déchets'!$G:$U,13,FALSE)),0,VLOOKUP($B217&amp;"; "&amp;$H$214,'FE Déchets'!$G:$U,13,FALSE))</f>
        <v>0</v>
      </c>
      <c r="AN217" s="565"/>
      <c r="AO217" s="565"/>
      <c r="AP217" s="565"/>
      <c r="AQ217" s="565">
        <f>$G217*IF(ISNA(VLOOKUP($B217&amp;"; "&amp;$H$214,'FE Déchets'!$G:$U,14,FALSE)),0,VLOOKUP($B217&amp;"; "&amp;$H$214,'FE Déchets'!$G:$U,14,FALSE))</f>
        <v>0</v>
      </c>
      <c r="AR217" s="565"/>
      <c r="AS217" s="565"/>
      <c r="AT217" s="565"/>
      <c r="AU217" s="566">
        <f>SUM(AE217,AI217,AM217,AQ217)</f>
        <v>0</v>
      </c>
      <c r="AV217" s="566"/>
      <c r="AW217" s="566"/>
      <c r="AX217" s="566"/>
      <c r="AY217" s="564">
        <f>$G217*IF(ISNA(VLOOKUP($B217&amp;"; "&amp;$H$214,'FE Déchets'!$G:$U,15,FALSE)),0,VLOOKUP($B217&amp;"; "&amp;$H$214,'FE Déchets'!$G:$U,15,FALSE))</f>
        <v>0</v>
      </c>
      <c r="AZ217" s="565"/>
      <c r="BA217" s="565"/>
      <c r="BB217" s="568"/>
      <c r="BD217" s="2492">
        <f>IF($W217&lt;&gt;"votre valeur :",IF(ISNA(VLOOKUP($W217,Utilitaires!$N$566:$O$571,2,FALSE)),,VLOOKUP($W217,Utilitaires!$N$566:$O$571,2,FALSE)),$X217)</f>
        <v>0</v>
      </c>
      <c r="BE217" s="2442">
        <f>IF(ISNA(SQRT(SUMSQ(VLOOKUP($B217&amp;"; "&amp;$H$214,'FE Déchets'!$G:$U,7,FALSE),$BD217))),0,SQRT(SUMSQ(VLOOKUP($B217&amp;"; "&amp;$H$214,'FE Déchets'!$G:$U,7,FALSE),$BD217)))</f>
        <v>0.1</v>
      </c>
      <c r="BF217" s="2504"/>
      <c r="BG217" s="2128"/>
      <c r="BH217" s="2128"/>
    </row>
    <row r="218" spans="2:60" s="114" customFormat="1" ht="13.2" hidden="1" outlineLevel="2">
      <c r="B218" s="143"/>
      <c r="C218" s="144"/>
      <c r="D218" s="219"/>
      <c r="E218" s="219"/>
      <c r="F218" s="219"/>
      <c r="G218" s="164"/>
      <c r="H218" s="326"/>
      <c r="I218" s="326"/>
      <c r="J218" s="326"/>
      <c r="K218" s="326"/>
      <c r="L218" s="151"/>
      <c r="M218" s="151"/>
      <c r="N218" s="151"/>
      <c r="O218" s="151"/>
      <c r="P218" s="152"/>
      <c r="V218" s="226"/>
      <c r="W218" s="144"/>
      <c r="X218" s="144"/>
      <c r="Y218" s="164"/>
      <c r="Z218" s="164"/>
      <c r="AA218" s="164"/>
      <c r="AB218" s="164"/>
      <c r="AC218" s="152"/>
      <c r="AE218" s="564"/>
      <c r="AF218" s="565"/>
      <c r="AG218" s="565"/>
      <c r="AH218" s="565"/>
      <c r="AI218" s="565"/>
      <c r="AJ218" s="565"/>
      <c r="AK218" s="565"/>
      <c r="AL218" s="565"/>
      <c r="AM218" s="565"/>
      <c r="AN218" s="565"/>
      <c r="AO218" s="565"/>
      <c r="AP218" s="565"/>
      <c r="AQ218" s="565"/>
      <c r="AR218" s="565"/>
      <c r="AS218" s="565"/>
      <c r="AT218" s="565"/>
      <c r="AU218" s="566"/>
      <c r="AV218" s="566"/>
      <c r="AW218" s="566"/>
      <c r="AX218" s="566"/>
      <c r="AY218" s="564"/>
      <c r="AZ218" s="565"/>
      <c r="BA218" s="565"/>
      <c r="BB218" s="568"/>
      <c r="BD218" s="2492"/>
      <c r="BE218" s="2442"/>
      <c r="BF218" s="2505"/>
      <c r="BG218" s="2387"/>
      <c r="BH218" s="2387"/>
    </row>
    <row r="219" spans="2:60" s="114" customFormat="1" ht="13.2" hidden="1" outlineLevel="2">
      <c r="B219" s="1002" t="s">
        <v>3</v>
      </c>
      <c r="C219" s="2473"/>
      <c r="D219" s="2473"/>
      <c r="E219" s="2473"/>
      <c r="F219" s="2473"/>
      <c r="G219" s="2473"/>
      <c r="H219" s="1662"/>
      <c r="I219" s="1662"/>
      <c r="J219" s="1662"/>
      <c r="K219" s="1662"/>
      <c r="L219" s="2486"/>
      <c r="M219" s="581"/>
      <c r="N219" s="2486"/>
      <c r="O219" s="2486"/>
      <c r="P219" s="2498"/>
      <c r="U219" s="2508"/>
      <c r="V219" s="2473"/>
      <c r="W219" s="2497"/>
      <c r="X219" s="2497"/>
      <c r="Y219" s="1662"/>
      <c r="Z219" s="2286"/>
      <c r="AA219" s="2286"/>
      <c r="AB219" s="2286"/>
      <c r="AC219" s="2498"/>
      <c r="AE219" s="564"/>
      <c r="AF219" s="565"/>
      <c r="AG219" s="565"/>
      <c r="AH219" s="565"/>
      <c r="AI219" s="565"/>
      <c r="AJ219" s="565"/>
      <c r="AK219" s="565"/>
      <c r="AL219" s="565"/>
      <c r="AM219" s="565"/>
      <c r="AN219" s="565"/>
      <c r="AO219" s="565"/>
      <c r="AP219" s="565"/>
      <c r="AQ219" s="565"/>
      <c r="AR219" s="565"/>
      <c r="AS219" s="565"/>
      <c r="AT219" s="565"/>
      <c r="AU219" s="566"/>
      <c r="AV219" s="566"/>
      <c r="AW219" s="566"/>
      <c r="AX219" s="566"/>
      <c r="AY219" s="564"/>
      <c r="AZ219" s="565"/>
      <c r="BA219" s="565"/>
      <c r="BB219" s="568"/>
      <c r="BD219" s="2492"/>
      <c r="BE219" s="2442"/>
      <c r="BF219" s="1789"/>
      <c r="BG219" s="1774"/>
      <c r="BH219" s="1774"/>
    </row>
    <row r="220" spans="2:60" s="114" customFormat="1" ht="13.2" hidden="1" outlineLevel="2">
      <c r="B220" s="389" t="s">
        <v>5002</v>
      </c>
      <c r="C220" s="341"/>
      <c r="D220" s="212">
        <f>P220</f>
        <v>0</v>
      </c>
      <c r="E220" s="212"/>
      <c r="F220" s="847"/>
      <c r="G220" s="847"/>
      <c r="H220" s="219"/>
      <c r="I220" s="219">
        <f>IF(ISNA(VLOOKUP($B220&amp;"; "&amp;$H$214,'FE Déchets'!$G:$U,9,FALSE)),0,VLOOKUP($B220&amp;"; "&amp;$H$214,'FE Déchets'!$G:$U,9,FALSE))</f>
        <v>562</v>
      </c>
      <c r="J220" s="219"/>
      <c r="K220" s="219"/>
      <c r="L220" s="151"/>
      <c r="M220" s="151"/>
      <c r="N220" s="151"/>
      <c r="O220" s="151"/>
      <c r="P220" s="152">
        <f>G220*I220</f>
        <v>0</v>
      </c>
      <c r="V220" s="226">
        <f>IF(AC220=0,AC220,AC220/P220)</f>
        <v>0</v>
      </c>
      <c r="W220" s="1094"/>
      <c r="X220" s="820"/>
      <c r="Y220" s="164"/>
      <c r="Z220" s="164"/>
      <c r="AA220" s="164"/>
      <c r="AB220" s="164"/>
      <c r="AC220" s="152">
        <f>P220*BE220</f>
        <v>0</v>
      </c>
      <c r="AE220" s="564">
        <f>$G220*IF(ISNA(VLOOKUP($B220&amp;"; "&amp;$H$214,'FE Déchets'!$G:$U,10,FALSE)),0,VLOOKUP($B220&amp;"; "&amp;$H$214,'FE Déchets'!$G:$U,10,FALSE))</f>
        <v>0</v>
      </c>
      <c r="AF220" s="565"/>
      <c r="AG220" s="565"/>
      <c r="AH220" s="565"/>
      <c r="AI220" s="565">
        <f>$G220*IF(ISNA(VLOOKUP($B220&amp;"; "&amp;$H$214,'FE Déchets'!$G:$U,11,FALSE)+VLOOKUP($B220&amp;"; "&amp;$H$214,'FE Déchets'!$G:$U,12,FALSE)),0,
VLOOKUP($B220&amp;"; "&amp;$H$214,'FE Déchets'!$G:$U,11,FALSE)+VLOOKUP($B220&amp;"; "&amp;$H$214,'FE Déchets'!$G:$U,12,FALSE))</f>
        <v>0</v>
      </c>
      <c r="AJ220" s="565"/>
      <c r="AK220" s="565"/>
      <c r="AL220" s="565"/>
      <c r="AM220" s="565">
        <f>$G220*IF(ISNA(VLOOKUP($B220&amp;"; "&amp;$H$214,'FE Déchets'!$G:$U,13,FALSE)),0,VLOOKUP($B220&amp;"; "&amp;$H$214,'FE Déchets'!$G:$U,13,FALSE))</f>
        <v>0</v>
      </c>
      <c r="AN220" s="565"/>
      <c r="AO220" s="565"/>
      <c r="AP220" s="565"/>
      <c r="AQ220" s="565">
        <f>$G220*IF(ISNA(VLOOKUP($B220&amp;"; "&amp;$H$214,'FE Déchets'!$G:$U,14,FALSE)),0,VLOOKUP($B220&amp;"; "&amp;$H$214,'FE Déchets'!$G:$U,14,FALSE))</f>
        <v>0</v>
      </c>
      <c r="AR220" s="565"/>
      <c r="AS220" s="565"/>
      <c r="AT220" s="565"/>
      <c r="AU220" s="566">
        <f>SUM(AE220,AI220,AM220,AQ220)</f>
        <v>0</v>
      </c>
      <c r="AV220" s="566"/>
      <c r="AW220" s="566"/>
      <c r="AX220" s="566"/>
      <c r="AY220" s="564">
        <f>$G220*IF(ISNA(VLOOKUP($B220&amp;"; "&amp;$H$214,'FE Déchets'!$G:$U,15,FALSE)),0,VLOOKUP($B220&amp;"; "&amp;$H$214,'FE Déchets'!$G:$U,15,FALSE))</f>
        <v>0</v>
      </c>
      <c r="AZ220" s="565"/>
      <c r="BA220" s="565"/>
      <c r="BB220" s="568"/>
      <c r="BD220" s="2492">
        <f>IF($W220&lt;&gt;"votre valeur :",IF(ISNA(VLOOKUP($W220,Utilitaires!$N$566:$O$571,2,FALSE)),,VLOOKUP($W220,Utilitaires!$N$566:$O$571,2,FALSE)),$X220)</f>
        <v>0</v>
      </c>
      <c r="BE220" s="2442">
        <f>IF(ISNA(SQRT(SUMSQ(VLOOKUP($B220&amp;"; "&amp;$H$214,'FE Déchets'!$G:$U,7,FALSE),$BD220))),0,SQRT(SUMSQ(VLOOKUP($B220&amp;"; "&amp;$H$214,'FE Déchets'!$G:$U,7,FALSE),$BD220)))</f>
        <v>0.2</v>
      </c>
      <c r="BF220" s="2504"/>
      <c r="BG220" s="2128"/>
      <c r="BH220" s="2128"/>
    </row>
    <row r="221" spans="2:60" s="114" customFormat="1" ht="13.2" hidden="1" outlineLevel="2">
      <c r="B221" s="389" t="s">
        <v>5003</v>
      </c>
      <c r="C221" s="341"/>
      <c r="D221" s="212">
        <f>P221</f>
        <v>0</v>
      </c>
      <c r="E221" s="212"/>
      <c r="F221" s="2176"/>
      <c r="G221" s="2176"/>
      <c r="H221" s="219"/>
      <c r="I221" s="219">
        <f>IF(ISNA(VLOOKUP($B221&amp;"; "&amp;$H$214,'FE Déchets'!$G:$U,9,FALSE)),0,VLOOKUP($B221&amp;"; "&amp;$H$214,'FE Déchets'!$G:$U,9,FALSE))</f>
        <v>1304</v>
      </c>
      <c r="J221" s="219"/>
      <c r="K221" s="219"/>
      <c r="L221" s="151"/>
      <c r="M221" s="151"/>
      <c r="N221" s="151"/>
      <c r="O221" s="151"/>
      <c r="P221" s="152">
        <f t="shared" ref="P221:P224" si="57">G221*I221</f>
        <v>0</v>
      </c>
      <c r="V221" s="226">
        <f>IF(AC221=0,AC221,AC221/P221)</f>
        <v>0</v>
      </c>
      <c r="W221" s="1094"/>
      <c r="X221" s="820"/>
      <c r="Y221" s="164"/>
      <c r="Z221" s="164"/>
      <c r="AA221" s="164"/>
      <c r="AB221" s="164"/>
      <c r="AC221" s="152">
        <f t="shared" ref="AC221:AC224" si="58">P221*BE221</f>
        <v>0</v>
      </c>
      <c r="AE221" s="564">
        <f>$G221*IF(ISNA(VLOOKUP($B221&amp;"; "&amp;$H$214,'FE Déchets'!$G:$U,10,FALSE)),0,VLOOKUP($B221&amp;"; "&amp;$H$214,'FE Déchets'!$G:$U,10,FALSE))</f>
        <v>0</v>
      </c>
      <c r="AF221" s="565"/>
      <c r="AG221" s="565"/>
      <c r="AH221" s="565"/>
      <c r="AI221" s="565">
        <f>$G221*IF(ISNA(VLOOKUP($B221&amp;"; "&amp;$H$214,'FE Déchets'!$G:$U,11,FALSE)+VLOOKUP($B221&amp;"; "&amp;$H$214,'FE Déchets'!$G:$U,12,FALSE)),0,
VLOOKUP($B221&amp;"; "&amp;$H$214,'FE Déchets'!$G:$U,11,FALSE)+VLOOKUP($B221&amp;"; "&amp;$H$214,'FE Déchets'!$G:$U,12,FALSE))</f>
        <v>0</v>
      </c>
      <c r="AJ221" s="565"/>
      <c r="AK221" s="565"/>
      <c r="AL221" s="565"/>
      <c r="AM221" s="565">
        <f>$G221*IF(ISNA(VLOOKUP($B221&amp;"; "&amp;$H$214,'FE Déchets'!$G:$U,13,FALSE)),0,VLOOKUP($B221&amp;"; "&amp;$H$214,'FE Déchets'!$G:$U,13,FALSE))</f>
        <v>0</v>
      </c>
      <c r="AN221" s="565"/>
      <c r="AO221" s="565"/>
      <c r="AP221" s="565"/>
      <c r="AQ221" s="565">
        <f>$G221*IF(ISNA(VLOOKUP($B221&amp;"; "&amp;$H$214,'FE Déchets'!$G:$U,14,FALSE)),0,VLOOKUP($B221&amp;"; "&amp;$H$214,'FE Déchets'!$G:$U,14,FALSE))</f>
        <v>0</v>
      </c>
      <c r="AR221" s="565"/>
      <c r="AS221" s="565"/>
      <c r="AT221" s="565"/>
      <c r="AU221" s="566">
        <f>SUM(AE221,AI221,AM221,AQ221)</f>
        <v>0</v>
      </c>
      <c r="AV221" s="566"/>
      <c r="AW221" s="566"/>
      <c r="AX221" s="566"/>
      <c r="AY221" s="564">
        <f>$G221*IF(ISNA(VLOOKUP($B221&amp;"; "&amp;$H$214,'FE Déchets'!$G:$U,15,FALSE)),0,VLOOKUP($B221&amp;"; "&amp;$H$214,'FE Déchets'!$G:$U,15,FALSE))</f>
        <v>0</v>
      </c>
      <c r="AZ221" s="565"/>
      <c r="BA221" s="565"/>
      <c r="BB221" s="568"/>
      <c r="BD221" s="2492">
        <f>IF($W221&lt;&gt;"votre valeur :",IF(ISNA(VLOOKUP($W221,Utilitaires!$N$566:$O$571,2,FALSE)),,VLOOKUP($W221,Utilitaires!$N$566:$O$571,2,FALSE)),$X221)</f>
        <v>0</v>
      </c>
      <c r="BE221" s="2442">
        <f>IF(ISNA(SQRT(SUMSQ(VLOOKUP($B221&amp;"; "&amp;$H$214,'FE Déchets'!$G:$U,7,FALSE),$BD221))),0,SQRT(SUMSQ(VLOOKUP($B221&amp;"; "&amp;$H$214,'FE Déchets'!$G:$U,7,FALSE),$BD221)))</f>
        <v>0.2</v>
      </c>
      <c r="BF221" s="2504"/>
      <c r="BG221" s="2128"/>
      <c r="BH221" s="2128"/>
    </row>
    <row r="222" spans="2:60" s="114" customFormat="1" ht="13.2" hidden="1" outlineLevel="2">
      <c r="B222" s="389" t="s">
        <v>5168</v>
      </c>
      <c r="C222" s="341"/>
      <c r="D222" s="212">
        <f>P222</f>
        <v>0</v>
      </c>
      <c r="E222" s="212"/>
      <c r="F222" s="848"/>
      <c r="G222" s="848"/>
      <c r="H222" s="219"/>
      <c r="I222" s="219">
        <f>IF(ISNA(VLOOKUP($B222&amp;"; "&amp;$H$214,'FE Déchets'!$G:$U,9,FALSE)),0,VLOOKUP($B222&amp;"; "&amp;$H$214,'FE Déchets'!$G:$U,9,FALSE))</f>
        <v>8</v>
      </c>
      <c r="J222" s="219"/>
      <c r="K222" s="219"/>
      <c r="L222" s="151"/>
      <c r="M222" s="151"/>
      <c r="N222" s="151"/>
      <c r="O222" s="151"/>
      <c r="P222" s="152">
        <f t="shared" si="57"/>
        <v>0</v>
      </c>
      <c r="V222" s="226">
        <f>IF(AC222=0,AC222,AC222/P222)</f>
        <v>0</v>
      </c>
      <c r="W222" s="1094"/>
      <c r="X222" s="820"/>
      <c r="Y222" s="164"/>
      <c r="Z222" s="164"/>
      <c r="AA222" s="164"/>
      <c r="AB222" s="164"/>
      <c r="AC222" s="152">
        <f t="shared" si="58"/>
        <v>0</v>
      </c>
      <c r="AE222" s="564">
        <f>$G222*IF(ISNA(VLOOKUP($B222&amp;"; "&amp;$H$214,'FE Déchets'!$G:$U,10,FALSE)),0,VLOOKUP($B222&amp;"; "&amp;$H$214,'FE Déchets'!$G:$U,10,FALSE))</f>
        <v>0</v>
      </c>
      <c r="AF222" s="565"/>
      <c r="AG222" s="565"/>
      <c r="AH222" s="565"/>
      <c r="AI222" s="565">
        <f>$G222*IF(ISNA(VLOOKUP($B222&amp;"; "&amp;$H$214,'FE Déchets'!$G:$U,11,FALSE)+VLOOKUP($B222&amp;"; "&amp;$H$214,'FE Déchets'!$G:$U,12,FALSE)),0,
VLOOKUP($B222&amp;"; "&amp;$H$214,'FE Déchets'!$G:$U,11,FALSE)+VLOOKUP($B222&amp;"; "&amp;$H$214,'FE Déchets'!$G:$U,12,FALSE))</f>
        <v>0</v>
      </c>
      <c r="AJ222" s="565"/>
      <c r="AK222" s="565"/>
      <c r="AL222" s="565"/>
      <c r="AM222" s="565">
        <f>$G222*IF(ISNA(VLOOKUP($B222&amp;"; "&amp;$H$214,'FE Déchets'!$G:$U,13,FALSE)),0,VLOOKUP($B222&amp;"; "&amp;$H$214,'FE Déchets'!$G:$U,13,FALSE))</f>
        <v>0</v>
      </c>
      <c r="AN222" s="565"/>
      <c r="AO222" s="565"/>
      <c r="AP222" s="565"/>
      <c r="AQ222" s="565">
        <f>$G222*IF(ISNA(VLOOKUP($B222&amp;"; "&amp;$H$214,'FE Déchets'!$G:$U,14,FALSE)),0,VLOOKUP($B222&amp;"; "&amp;$H$214,'FE Déchets'!$G:$U,14,FALSE))</f>
        <v>0</v>
      </c>
      <c r="AR222" s="565"/>
      <c r="AS222" s="565"/>
      <c r="AT222" s="565"/>
      <c r="AU222" s="566">
        <f>SUM(AE222,AI222,AM222,AQ222)</f>
        <v>0</v>
      </c>
      <c r="AV222" s="566"/>
      <c r="AW222" s="566"/>
      <c r="AX222" s="566"/>
      <c r="AY222" s="564">
        <f>$G222*IF(ISNA(VLOOKUP($B222&amp;"; "&amp;$H$214,'FE Déchets'!$G:$U,15,FALSE)),0,VLOOKUP($B222&amp;"; "&amp;$H$214,'FE Déchets'!$G:$U,15,FALSE))</f>
        <v>0</v>
      </c>
      <c r="AZ222" s="565"/>
      <c r="BA222" s="565"/>
      <c r="BB222" s="568"/>
      <c r="BD222" s="2492">
        <f>IF($W222&lt;&gt;"votre valeur :",IF(ISNA(VLOOKUP($W222,Utilitaires!$N$566:$O$571,2,FALSE)),,VLOOKUP($W222,Utilitaires!$N$566:$O$571,2,FALSE)),$X222)</f>
        <v>0</v>
      </c>
      <c r="BE222" s="2442">
        <f>IF(ISNA(SQRT(SUMSQ(VLOOKUP($B222&amp;"; "&amp;$H$214,'FE Déchets'!$G:$U,7,FALSE),$BD222))),0,SQRT(SUMSQ(VLOOKUP($B222&amp;"; "&amp;$H$214,'FE Déchets'!$G:$U,7,FALSE),$BD222)))</f>
        <v>0.2</v>
      </c>
      <c r="BF222" s="2504"/>
      <c r="BG222" s="2128"/>
      <c r="BH222" s="2128"/>
    </row>
    <row r="223" spans="2:60" s="114" customFormat="1" ht="13.2" hidden="1" outlineLevel="2">
      <c r="B223" s="389" t="s">
        <v>5004</v>
      </c>
      <c r="C223" s="341"/>
      <c r="D223" s="212">
        <f>P223</f>
        <v>0</v>
      </c>
      <c r="E223" s="212"/>
      <c r="F223" s="2176"/>
      <c r="G223" s="2176"/>
      <c r="H223" s="219"/>
      <c r="I223" s="219">
        <f>IF(ISNA(VLOOKUP($B223&amp;"; "&amp;$H$214,'FE Déchets'!$G:$U,9,FALSE)),0,VLOOKUP($B223&amp;"; "&amp;$H$214,'FE Déchets'!$G:$U,9,FALSE))</f>
        <v>938</v>
      </c>
      <c r="J223" s="219"/>
      <c r="K223" s="219"/>
      <c r="L223" s="151"/>
      <c r="M223" s="151"/>
      <c r="N223" s="151"/>
      <c r="O223" s="151"/>
      <c r="P223" s="152">
        <f t="shared" si="57"/>
        <v>0</v>
      </c>
      <c r="V223" s="226">
        <f>IF(AC223=0,AC223,AC223/P223)</f>
        <v>0</v>
      </c>
      <c r="W223" s="1094"/>
      <c r="X223" s="820"/>
      <c r="Y223" s="164"/>
      <c r="Z223" s="164"/>
      <c r="AA223" s="164"/>
      <c r="AB223" s="164"/>
      <c r="AC223" s="152">
        <f t="shared" si="58"/>
        <v>0</v>
      </c>
      <c r="AE223" s="564">
        <f>$G223*IF(ISNA(VLOOKUP($B223&amp;"; "&amp;$H$214,'FE Déchets'!$G:$U,10,FALSE)),0,VLOOKUP($B223&amp;"; "&amp;$H$214,'FE Déchets'!$G:$U,10,FALSE))</f>
        <v>0</v>
      </c>
      <c r="AF223" s="565"/>
      <c r="AG223" s="565"/>
      <c r="AH223" s="565"/>
      <c r="AI223" s="565">
        <f>$G223*IF(ISNA(VLOOKUP($B223&amp;"; "&amp;$H$214,'FE Déchets'!$G:$U,11,FALSE)+VLOOKUP($B223&amp;"; "&amp;$H$214,'FE Déchets'!$G:$U,12,FALSE)),0,
VLOOKUP($B223&amp;"; "&amp;$H$214,'FE Déchets'!$G:$U,11,FALSE)+VLOOKUP($B223&amp;"; "&amp;$H$214,'FE Déchets'!$G:$U,12,FALSE))</f>
        <v>0</v>
      </c>
      <c r="AJ223" s="565"/>
      <c r="AK223" s="565"/>
      <c r="AL223" s="565"/>
      <c r="AM223" s="565">
        <f>$G223*IF(ISNA(VLOOKUP($B223&amp;"; "&amp;$H$214,'FE Déchets'!$G:$U,13,FALSE)),0,VLOOKUP($B223&amp;"; "&amp;$H$214,'FE Déchets'!$G:$U,13,FALSE))</f>
        <v>0</v>
      </c>
      <c r="AN223" s="565"/>
      <c r="AO223" s="565"/>
      <c r="AP223" s="565"/>
      <c r="AQ223" s="565">
        <f>$G223*IF(ISNA(VLOOKUP($B223&amp;"; "&amp;$H$214,'FE Déchets'!$G:$U,14,FALSE)),0,VLOOKUP($B223&amp;"; "&amp;$H$214,'FE Déchets'!$G:$U,14,FALSE))</f>
        <v>0</v>
      </c>
      <c r="AR223" s="565"/>
      <c r="AS223" s="565"/>
      <c r="AT223" s="565"/>
      <c r="AU223" s="566">
        <f>SUM(AE223,AI223,AM223,AQ223)</f>
        <v>0</v>
      </c>
      <c r="AV223" s="566"/>
      <c r="AW223" s="566"/>
      <c r="AX223" s="566"/>
      <c r="AY223" s="564">
        <f>$G223*IF(ISNA(VLOOKUP($B223&amp;"; "&amp;$H$214,'FE Déchets'!$G:$U,15,FALSE)),0,VLOOKUP($B223&amp;"; "&amp;$H$214,'FE Déchets'!$G:$U,15,FALSE))</f>
        <v>0</v>
      </c>
      <c r="AZ223" s="565"/>
      <c r="BA223" s="565"/>
      <c r="BB223" s="568"/>
      <c r="BD223" s="2492">
        <f>IF($W223&lt;&gt;"votre valeur :",IF(ISNA(VLOOKUP($W223,Utilitaires!$N$566:$O$571,2,FALSE)),,VLOOKUP($W223,Utilitaires!$N$566:$O$571,2,FALSE)),$X223)</f>
        <v>0</v>
      </c>
      <c r="BE223" s="2442">
        <f>IF(ISNA(SQRT(SUMSQ(VLOOKUP($B223&amp;"; "&amp;$H$214,'FE Déchets'!$G:$U,7,FALSE),$BD223))),0,SQRT(SUMSQ(VLOOKUP($B223&amp;"; "&amp;$H$214,'FE Déchets'!$G:$U,7,FALSE),$BD223)))</f>
        <v>0.2</v>
      </c>
      <c r="BF223" s="2504"/>
      <c r="BG223" s="2128"/>
      <c r="BH223" s="2128"/>
    </row>
    <row r="224" spans="2:60" s="114" customFormat="1" ht="13.2" hidden="1" outlineLevel="2">
      <c r="B224" s="389" t="s">
        <v>5002</v>
      </c>
      <c r="C224" s="341"/>
      <c r="D224" s="212">
        <f>P224</f>
        <v>0</v>
      </c>
      <c r="E224" s="212"/>
      <c r="F224" s="849"/>
      <c r="G224" s="849"/>
      <c r="H224" s="219"/>
      <c r="I224" s="219">
        <f>IF(ISNA(VLOOKUP($B224&amp;"; "&amp;$H$214,'FE Déchets'!$G:$U,9,FALSE)),0,VLOOKUP($B224&amp;"; "&amp;$H$214,'FE Déchets'!$G:$U,9,FALSE))</f>
        <v>562</v>
      </c>
      <c r="J224" s="219"/>
      <c r="K224" s="219"/>
      <c r="L224" s="151"/>
      <c r="M224" s="151"/>
      <c r="N224" s="151"/>
      <c r="O224" s="151"/>
      <c r="P224" s="152">
        <f t="shared" si="57"/>
        <v>0</v>
      </c>
      <c r="V224" s="226">
        <f>IF(AC224=0,AC224,AC224/P224)</f>
        <v>0</v>
      </c>
      <c r="W224" s="1094"/>
      <c r="X224" s="820"/>
      <c r="Y224" s="164"/>
      <c r="Z224" s="164"/>
      <c r="AA224" s="164"/>
      <c r="AB224" s="164"/>
      <c r="AC224" s="152">
        <f t="shared" si="58"/>
        <v>0</v>
      </c>
      <c r="AE224" s="564">
        <f>$G224*IF(ISNA(VLOOKUP($B224&amp;"; "&amp;$H$214,'FE Déchets'!$G:$U,10,FALSE)),0,VLOOKUP($B224&amp;"; "&amp;$H$214,'FE Déchets'!$G:$U,10,FALSE))</f>
        <v>0</v>
      </c>
      <c r="AF224" s="565"/>
      <c r="AG224" s="565"/>
      <c r="AH224" s="565"/>
      <c r="AI224" s="565">
        <f>$G224*IF(ISNA(VLOOKUP($B224&amp;"; "&amp;$H$214,'FE Déchets'!$G:$U,11,FALSE)+VLOOKUP($B224&amp;"; "&amp;$H$214,'FE Déchets'!$G:$U,12,FALSE)),0,
VLOOKUP($B224&amp;"; "&amp;$H$214,'FE Déchets'!$G:$U,11,FALSE)+VLOOKUP($B224&amp;"; "&amp;$H$214,'FE Déchets'!$G:$U,12,FALSE))</f>
        <v>0</v>
      </c>
      <c r="AJ224" s="565"/>
      <c r="AK224" s="565"/>
      <c r="AL224" s="565"/>
      <c r="AM224" s="565">
        <f>$G224*IF(ISNA(VLOOKUP($B224&amp;"; "&amp;$H$214,'FE Déchets'!$G:$U,13,FALSE)),0,VLOOKUP($B224&amp;"; "&amp;$H$214,'FE Déchets'!$G:$U,13,FALSE))</f>
        <v>0</v>
      </c>
      <c r="AN224" s="565"/>
      <c r="AO224" s="565"/>
      <c r="AP224" s="565"/>
      <c r="AQ224" s="565">
        <f>$G224*IF(ISNA(VLOOKUP($B224&amp;"; "&amp;$H$214,'FE Déchets'!$G:$U,14,FALSE)),0,VLOOKUP($B224&amp;"; "&amp;$H$214,'FE Déchets'!$G:$U,14,FALSE))</f>
        <v>0</v>
      </c>
      <c r="AR224" s="565"/>
      <c r="AS224" s="565"/>
      <c r="AT224" s="565"/>
      <c r="AU224" s="566">
        <f>SUM(AE224,AI224,AM224,AQ224)</f>
        <v>0</v>
      </c>
      <c r="AV224" s="566"/>
      <c r="AW224" s="566"/>
      <c r="AX224" s="566"/>
      <c r="AY224" s="564">
        <f>$G224*IF(ISNA(VLOOKUP($B224&amp;"; "&amp;$H$214,'FE Déchets'!$G:$U,15,FALSE)),0,VLOOKUP($B224&amp;"; "&amp;$H$214,'FE Déchets'!$G:$U,15,FALSE))</f>
        <v>0</v>
      </c>
      <c r="AZ224" s="565"/>
      <c r="BA224" s="565"/>
      <c r="BB224" s="568"/>
      <c r="BD224" s="2492">
        <f>IF($W224&lt;&gt;"votre valeur :",IF(ISNA(VLOOKUP($W224,Utilitaires!$N$566:$O$571,2,FALSE)),,VLOOKUP($W224,Utilitaires!$N$566:$O$571,2,FALSE)),$X224)</f>
        <v>0</v>
      </c>
      <c r="BE224" s="2442">
        <f>IF(ISNA(SQRT(SUMSQ(VLOOKUP($B224&amp;"; "&amp;$H$214,'FE Déchets'!$G:$U,7,FALSE),$BD224))),0,SQRT(SUMSQ(VLOOKUP($B224&amp;"; "&amp;$H$214,'FE Déchets'!$G:$U,7,FALSE),$BD224)))</f>
        <v>0.2</v>
      </c>
      <c r="BF224" s="2504"/>
      <c r="BG224" s="2128"/>
      <c r="BH224" s="2128"/>
    </row>
    <row r="225" spans="2:60" s="114" customFormat="1" ht="13.2" hidden="1" outlineLevel="2">
      <c r="B225" s="143"/>
      <c r="C225" s="144"/>
      <c r="D225" s="219"/>
      <c r="E225" s="219"/>
      <c r="F225" s="219"/>
      <c r="G225" s="164"/>
      <c r="H225" s="326"/>
      <c r="I225" s="326"/>
      <c r="J225" s="326"/>
      <c r="K225" s="326"/>
      <c r="L225" s="151"/>
      <c r="M225" s="151"/>
      <c r="N225" s="151"/>
      <c r="O225" s="151"/>
      <c r="P225" s="152"/>
      <c r="V225" s="226"/>
      <c r="W225" s="144"/>
      <c r="X225" s="144"/>
      <c r="Y225" s="164"/>
      <c r="Z225" s="164"/>
      <c r="AA225" s="164"/>
      <c r="AB225" s="164"/>
      <c r="AC225" s="152"/>
      <c r="AE225" s="564"/>
      <c r="AF225" s="565"/>
      <c r="AG225" s="565"/>
      <c r="AH225" s="565"/>
      <c r="AI225" s="565"/>
      <c r="AJ225" s="565"/>
      <c r="AK225" s="565"/>
      <c r="AL225" s="565"/>
      <c r="AM225" s="565"/>
      <c r="AN225" s="565"/>
      <c r="AO225" s="565"/>
      <c r="AP225" s="565"/>
      <c r="AQ225" s="565"/>
      <c r="AR225" s="565"/>
      <c r="AS225" s="565"/>
      <c r="AT225" s="565"/>
      <c r="AU225" s="566"/>
      <c r="AV225" s="566"/>
      <c r="AW225" s="566"/>
      <c r="AX225" s="566"/>
      <c r="AY225" s="564"/>
      <c r="AZ225" s="565"/>
      <c r="BA225" s="565"/>
      <c r="BB225" s="568"/>
      <c r="BD225" s="2492"/>
      <c r="BE225" s="2442"/>
      <c r="BF225" s="2505"/>
      <c r="BG225" s="2387"/>
      <c r="BH225" s="2387"/>
    </row>
    <row r="226" spans="2:60" s="114" customFormat="1" ht="13.2" hidden="1" outlineLevel="2">
      <c r="B226" s="1002" t="s">
        <v>3281</v>
      </c>
      <c r="C226" s="1377"/>
      <c r="D226" s="1377"/>
      <c r="E226" s="2473"/>
      <c r="F226" s="2473"/>
      <c r="G226" s="2473"/>
      <c r="H226" s="1401"/>
      <c r="I226" s="1401"/>
      <c r="J226" s="1401"/>
      <c r="K226" s="1401"/>
      <c r="L226" s="1384"/>
      <c r="M226" s="581"/>
      <c r="N226" s="1384"/>
      <c r="O226" s="2486"/>
      <c r="P226" s="1403"/>
      <c r="U226" s="2508"/>
      <c r="V226" s="2473"/>
      <c r="W226" s="2497"/>
      <c r="X226" s="2497"/>
      <c r="Y226" s="1662"/>
      <c r="Z226" s="1452"/>
      <c r="AA226" s="1452"/>
      <c r="AB226" s="1452"/>
      <c r="AC226" s="2498"/>
      <c r="AE226" s="564"/>
      <c r="AF226" s="565"/>
      <c r="AG226" s="565"/>
      <c r="AH226" s="565"/>
      <c r="AI226" s="565"/>
      <c r="AJ226" s="565"/>
      <c r="AK226" s="565"/>
      <c r="AL226" s="565"/>
      <c r="AM226" s="565"/>
      <c r="AN226" s="565"/>
      <c r="AO226" s="565"/>
      <c r="AP226" s="565"/>
      <c r="AQ226" s="565"/>
      <c r="AR226" s="565"/>
      <c r="AS226" s="565"/>
      <c r="AT226" s="565"/>
      <c r="AU226" s="566"/>
      <c r="AV226" s="566"/>
      <c r="AW226" s="566"/>
      <c r="AX226" s="566"/>
      <c r="AY226" s="564"/>
      <c r="AZ226" s="565"/>
      <c r="BA226" s="565"/>
      <c r="BB226" s="568"/>
      <c r="BD226" s="2492"/>
      <c r="BE226" s="2442"/>
      <c r="BF226" s="1789"/>
      <c r="BG226" s="1774"/>
      <c r="BH226" s="1774"/>
    </row>
    <row r="227" spans="2:60" s="114" customFormat="1" ht="13.2" hidden="1" outlineLevel="2">
      <c r="B227" s="389" t="s">
        <v>5005</v>
      </c>
      <c r="C227" s="341"/>
      <c r="D227" s="212">
        <f>P227</f>
        <v>0</v>
      </c>
      <c r="E227" s="212"/>
      <c r="F227" s="847"/>
      <c r="G227" s="847"/>
      <c r="H227" s="219"/>
      <c r="I227" s="219">
        <f>IF(ISNA(VLOOKUP($B227&amp;"; "&amp;$H$214,'FE Déchets'!$G:$U,9,FALSE)),0,VLOOKUP($B227&amp;"; "&amp;$H$214,'FE Déchets'!$G:$U,9,FALSE))</f>
        <v>11</v>
      </c>
      <c r="J227" s="219"/>
      <c r="K227" s="219"/>
      <c r="L227" s="151"/>
      <c r="M227" s="151"/>
      <c r="N227" s="151"/>
      <c r="O227" s="151"/>
      <c r="P227" s="152">
        <f>G227*I227</f>
        <v>0</v>
      </c>
      <c r="V227" s="226">
        <f>IF(AC227=0,AC227,AC227/P227)</f>
        <v>0</v>
      </c>
      <c r="W227" s="1094"/>
      <c r="X227" s="820"/>
      <c r="Y227" s="164"/>
      <c r="Z227" s="164"/>
      <c r="AA227" s="164"/>
      <c r="AB227" s="164"/>
      <c r="AC227" s="152">
        <f>P227*BE227</f>
        <v>0</v>
      </c>
      <c r="AE227" s="564">
        <f>$G227*IF(ISNA(VLOOKUP($B227&amp;"; "&amp;$H$214,'FE Déchets'!$G:$U,10,FALSE)),0,VLOOKUP($B227&amp;"; "&amp;$H$214,'FE Déchets'!$G:$U,10,FALSE))</f>
        <v>0</v>
      </c>
      <c r="AF227" s="565"/>
      <c r="AG227" s="565"/>
      <c r="AH227" s="565"/>
      <c r="AI227" s="565">
        <f>$G227*IF(ISNA(VLOOKUP($B227&amp;"; "&amp;$H$214,'FE Déchets'!$G:$U,11,FALSE)+VLOOKUP($B227&amp;"; "&amp;$H$214,'FE Déchets'!$G:$U,12,FALSE)),0,
VLOOKUP($B227&amp;"; "&amp;$H$214,'FE Déchets'!$G:$U,11,FALSE)+VLOOKUP($B227&amp;"; "&amp;$H$214,'FE Déchets'!$G:$U,12,FALSE))</f>
        <v>0</v>
      </c>
      <c r="AJ227" s="565"/>
      <c r="AK227" s="565"/>
      <c r="AL227" s="565"/>
      <c r="AM227" s="565">
        <f>$G227*IF(ISNA(VLOOKUP($B227&amp;"; "&amp;$H$214,'FE Déchets'!$G:$U,13,FALSE)),0,VLOOKUP($B227&amp;"; "&amp;$H$214,'FE Déchets'!$G:$U,13,FALSE))</f>
        <v>0</v>
      </c>
      <c r="AN227" s="565"/>
      <c r="AO227" s="565"/>
      <c r="AP227" s="565"/>
      <c r="AQ227" s="565">
        <f>$G227*IF(ISNA(VLOOKUP($B227&amp;"; "&amp;$H$214,'FE Déchets'!$G:$U,14,FALSE)),0,VLOOKUP($B227&amp;"; "&amp;$H$214,'FE Déchets'!$G:$U,14,FALSE))</f>
        <v>0</v>
      </c>
      <c r="AR227" s="565"/>
      <c r="AS227" s="565"/>
      <c r="AT227" s="565"/>
      <c r="AU227" s="566">
        <f>SUM(AE227,AI227,AM227,AQ227)</f>
        <v>0</v>
      </c>
      <c r="AV227" s="566"/>
      <c r="AW227" s="566"/>
      <c r="AX227" s="566"/>
      <c r="AY227" s="564">
        <f>$G227*IF(ISNA(VLOOKUP($B227&amp;"; "&amp;$H$214,'FE Déchets'!$G:$U,15,FALSE)),0,VLOOKUP($B227&amp;"; "&amp;$H$214,'FE Déchets'!$G:$U,15,FALSE))</f>
        <v>0</v>
      </c>
      <c r="AZ227" s="565"/>
      <c r="BA227" s="565"/>
      <c r="BB227" s="568"/>
      <c r="BD227" s="1065">
        <f>IF($W227&lt;&gt;"votre valeur :",IF(ISNA(VLOOKUP($W227,Utilitaires!$N$566:$O$571,2,FALSE)),,VLOOKUP($W227,Utilitaires!$N$566:$O$571,2,FALSE)),$X227)</f>
        <v>0</v>
      </c>
      <c r="BE227" s="1124">
        <f>IF(ISNA(SQRT(SUMSQ(VLOOKUP($B227&amp;"; "&amp;$H$214,'FE Déchets'!$G:$U,7,FALSE),$BD227))),0,SQRT(SUMSQ(VLOOKUP($B227&amp;"; "&amp;$H$214,'FE Déchets'!$G:$U,7,FALSE),$BD227)))</f>
        <v>0.19</v>
      </c>
      <c r="BF227" s="2504"/>
      <c r="BG227" s="2128"/>
      <c r="BH227" s="2128"/>
    </row>
    <row r="228" spans="2:60" s="114" customFormat="1" ht="13.2" hidden="1" outlineLevel="2">
      <c r="B228" s="389" t="s">
        <v>5169</v>
      </c>
      <c r="C228" s="341"/>
      <c r="D228" s="212">
        <f>P228</f>
        <v>0</v>
      </c>
      <c r="E228" s="212"/>
      <c r="F228" s="2176"/>
      <c r="G228" s="2176"/>
      <c r="H228" s="219"/>
      <c r="I228" s="219">
        <f>IF(ISNA(VLOOKUP($B228&amp;"; "&amp;$H$214,'FE Déchets'!$G:$U,9,FALSE)),0,VLOOKUP($B228&amp;"; "&amp;$H$214,'FE Déchets'!$G:$U,9,FALSE))</f>
        <v>23</v>
      </c>
      <c r="J228" s="219"/>
      <c r="K228" s="219"/>
      <c r="L228" s="151"/>
      <c r="M228" s="151"/>
      <c r="N228" s="151"/>
      <c r="O228" s="151"/>
      <c r="P228" s="152">
        <f t="shared" ref="P228:P229" si="59">G228*I228</f>
        <v>0</v>
      </c>
      <c r="V228" s="226">
        <f>IF(AC228=0,AC228,AC228/P228)</f>
        <v>0</v>
      </c>
      <c r="W228" s="1094"/>
      <c r="X228" s="820"/>
      <c r="Y228" s="164"/>
      <c r="Z228" s="164"/>
      <c r="AA228" s="164"/>
      <c r="AB228" s="164"/>
      <c r="AC228" s="152">
        <f t="shared" ref="AC228:AC229" si="60">P228*BE228</f>
        <v>0</v>
      </c>
      <c r="AE228" s="564">
        <f>$G228*IF(ISNA(VLOOKUP($B228&amp;"; "&amp;$H$214,'FE Déchets'!$G:$U,10,FALSE)),0,VLOOKUP($B228&amp;"; "&amp;$H$214,'FE Déchets'!$G:$U,10,FALSE))</f>
        <v>0</v>
      </c>
      <c r="AF228" s="565"/>
      <c r="AG228" s="565"/>
      <c r="AH228" s="565"/>
      <c r="AI228" s="565">
        <f>$G228*IF(ISNA(VLOOKUP($B228&amp;"; "&amp;$H$214,'FE Déchets'!$G:$U,11,FALSE)+VLOOKUP($B228&amp;"; "&amp;$H$214,'FE Déchets'!$G:$U,12,FALSE)),0,
VLOOKUP($B228&amp;"; "&amp;$H$214,'FE Déchets'!$G:$U,11,FALSE)+VLOOKUP($B228&amp;"; "&amp;$H$214,'FE Déchets'!$G:$U,12,FALSE))</f>
        <v>0</v>
      </c>
      <c r="AJ228" s="565"/>
      <c r="AK228" s="565"/>
      <c r="AL228" s="565"/>
      <c r="AM228" s="565">
        <f>$G228*IF(ISNA(VLOOKUP($B228&amp;"; "&amp;$H$214,'FE Déchets'!$G:$U,13,FALSE)),0,VLOOKUP($B228&amp;"; "&amp;$H$214,'FE Déchets'!$G:$U,13,FALSE))</f>
        <v>0</v>
      </c>
      <c r="AN228" s="565"/>
      <c r="AO228" s="565"/>
      <c r="AP228" s="565"/>
      <c r="AQ228" s="565">
        <f>$G228*IF(ISNA(VLOOKUP($B228&amp;"; "&amp;$H$214,'FE Déchets'!$G:$U,14,FALSE)),0,VLOOKUP($B228&amp;"; "&amp;$H$214,'FE Déchets'!$G:$U,14,FALSE))</f>
        <v>0</v>
      </c>
      <c r="AR228" s="565"/>
      <c r="AS228" s="565"/>
      <c r="AT228" s="565"/>
      <c r="AU228" s="566">
        <f>SUM(AE228,AI228,AM228,AQ228)</f>
        <v>0</v>
      </c>
      <c r="AV228" s="566"/>
      <c r="AW228" s="566"/>
      <c r="AX228" s="566"/>
      <c r="AY228" s="564">
        <f>$G228*IF(ISNA(VLOOKUP($B228&amp;"; "&amp;$H$214,'FE Déchets'!$G:$U,15,FALSE)),0,VLOOKUP($B228&amp;"; "&amp;$H$214,'FE Déchets'!$G:$U,15,FALSE))</f>
        <v>0</v>
      </c>
      <c r="AZ228" s="565"/>
      <c r="BA228" s="565"/>
      <c r="BB228" s="568"/>
      <c r="BD228" s="2492">
        <f>IF($W228&lt;&gt;"votre valeur :",IF(ISNA(VLOOKUP($W228,Utilitaires!$N$566:$O$571,2,FALSE)),,VLOOKUP($W228,Utilitaires!$N$566:$O$571,2,FALSE)),$X228)</f>
        <v>0</v>
      </c>
      <c r="BE228" s="2442">
        <f>IF(ISNA(SQRT(SUMSQ(VLOOKUP($B228&amp;"; "&amp;$H$214,'FE Déchets'!$G:$U,7,FALSE),$BD228))),0,SQRT(SUMSQ(VLOOKUP($B228&amp;"; "&amp;$H$214,'FE Déchets'!$G:$U,7,FALSE),$BD228)))</f>
        <v>0.2</v>
      </c>
      <c r="BF228" s="2504"/>
      <c r="BG228" s="2128"/>
      <c r="BH228" s="2128"/>
    </row>
    <row r="229" spans="2:60" s="114" customFormat="1" ht="13.2" hidden="1" outlineLevel="2">
      <c r="B229" s="389" t="s">
        <v>5170</v>
      </c>
      <c r="C229" s="341"/>
      <c r="D229" s="212">
        <f>P229</f>
        <v>0</v>
      </c>
      <c r="E229" s="212"/>
      <c r="F229" s="848"/>
      <c r="G229" s="848"/>
      <c r="H229" s="219"/>
      <c r="I229" s="219">
        <f>IF(ISNA(VLOOKUP($B229&amp;"; "&amp;$H$214,'FE Déchets'!$G:$U,9,FALSE)),0,VLOOKUP($B229&amp;"; "&amp;$H$214,'FE Déchets'!$G:$U,9,FALSE))</f>
        <v>9</v>
      </c>
      <c r="J229" s="219"/>
      <c r="K229" s="219"/>
      <c r="L229" s="151"/>
      <c r="M229" s="151"/>
      <c r="N229" s="151"/>
      <c r="O229" s="151"/>
      <c r="P229" s="152">
        <f t="shared" si="59"/>
        <v>0</v>
      </c>
      <c r="V229" s="226">
        <f>IF(AC229=0,AC229,AC229/P229)</f>
        <v>0</v>
      </c>
      <c r="W229" s="1094"/>
      <c r="X229" s="820"/>
      <c r="Y229" s="164"/>
      <c r="Z229" s="164"/>
      <c r="AA229" s="164"/>
      <c r="AB229" s="164"/>
      <c r="AC229" s="152">
        <f t="shared" si="60"/>
        <v>0</v>
      </c>
      <c r="AE229" s="564">
        <f>$G229*IF(ISNA(VLOOKUP($B229&amp;"; "&amp;$H$214,'FE Déchets'!$G:$U,10,FALSE)),0,VLOOKUP($B229&amp;"; "&amp;$H$214,'FE Déchets'!$G:$U,10,FALSE))</f>
        <v>0</v>
      </c>
      <c r="AF229" s="565"/>
      <c r="AG229" s="565"/>
      <c r="AH229" s="565"/>
      <c r="AI229" s="565">
        <f>$G229*IF(ISNA(VLOOKUP($B229&amp;"; "&amp;$H$214,'FE Déchets'!$G:$U,11,FALSE)+VLOOKUP($B229&amp;"; "&amp;$H$214,'FE Déchets'!$G:$U,12,FALSE)),0,
VLOOKUP($B229&amp;"; "&amp;$H$214,'FE Déchets'!$G:$U,11,FALSE)+VLOOKUP($B229&amp;"; "&amp;$H$214,'FE Déchets'!$G:$U,12,FALSE))</f>
        <v>0</v>
      </c>
      <c r="AJ229" s="565"/>
      <c r="AK229" s="565"/>
      <c r="AL229" s="565"/>
      <c r="AM229" s="565">
        <f>$G229*IF(ISNA(VLOOKUP($B229&amp;"; "&amp;$H$214,'FE Déchets'!$G:$U,13,FALSE)),0,VLOOKUP($B229&amp;"; "&amp;$H$214,'FE Déchets'!$G:$U,13,FALSE))</f>
        <v>0</v>
      </c>
      <c r="AN229" s="565"/>
      <c r="AO229" s="565"/>
      <c r="AP229" s="565"/>
      <c r="AQ229" s="565">
        <f>$G229*IF(ISNA(VLOOKUP($B229&amp;"; "&amp;$H$214,'FE Déchets'!$G:$U,14,FALSE)),0,VLOOKUP($B229&amp;"; "&amp;$H$214,'FE Déchets'!$G:$U,14,FALSE))</f>
        <v>0</v>
      </c>
      <c r="AR229" s="565"/>
      <c r="AS229" s="565"/>
      <c r="AT229" s="565"/>
      <c r="AU229" s="566">
        <f>SUM(AE229,AI229,AM229,AQ229)</f>
        <v>0</v>
      </c>
      <c r="AV229" s="566"/>
      <c r="AW229" s="566"/>
      <c r="AX229" s="566"/>
      <c r="AY229" s="564">
        <f>$G229*IF(ISNA(VLOOKUP($B229&amp;"; "&amp;$H$214,'FE Déchets'!$G:$U,15,FALSE)),0,VLOOKUP($B229&amp;"; "&amp;$H$214,'FE Déchets'!$G:$U,15,FALSE))</f>
        <v>0</v>
      </c>
      <c r="AZ229" s="565"/>
      <c r="BA229" s="565"/>
      <c r="BB229" s="568"/>
      <c r="BD229" s="2492">
        <f>IF($W229&lt;&gt;"votre valeur :",IF(ISNA(VLOOKUP($W229,Utilitaires!$N$566:$O$571,2,FALSE)),,VLOOKUP($W229,Utilitaires!$N$566:$O$571,2,FALSE)),$X229)</f>
        <v>0</v>
      </c>
      <c r="BE229" s="2442">
        <f>IF(ISNA(SQRT(SUMSQ(VLOOKUP($B229&amp;"; "&amp;$H$214,'FE Déchets'!$G:$U,7,FALSE),$BD229))),0,SQRT(SUMSQ(VLOOKUP($B229&amp;"; "&amp;$H$214,'FE Déchets'!$G:$U,7,FALSE),$BD229)))</f>
        <v>0.26</v>
      </c>
      <c r="BF229" s="2504"/>
      <c r="BG229" s="2128"/>
      <c r="BH229" s="2128"/>
    </row>
    <row r="230" spans="2:60" s="114" customFormat="1" ht="13.2" hidden="1" outlineLevel="2">
      <c r="B230" s="389" t="s">
        <v>5171</v>
      </c>
      <c r="C230" s="341"/>
      <c r="D230" s="212">
        <f>P230</f>
        <v>0</v>
      </c>
      <c r="E230" s="212"/>
      <c r="F230" s="2176"/>
      <c r="G230" s="2176"/>
      <c r="H230" s="219"/>
      <c r="I230" s="219">
        <f>IF(ISNA(VLOOKUP($B230&amp;"; "&amp;$H$214,'FE Déchets'!$G:$U,9,FALSE)),0,VLOOKUP($B230&amp;"; "&amp;$H$214,'FE Déchets'!$G:$U,9,FALSE))</f>
        <v>23</v>
      </c>
      <c r="J230" s="219"/>
      <c r="K230" s="219"/>
      <c r="L230" s="151"/>
      <c r="M230" s="151"/>
      <c r="N230" s="151"/>
      <c r="O230" s="151"/>
      <c r="P230" s="152">
        <f t="shared" ref="P230:P231" si="61">G230*I230</f>
        <v>0</v>
      </c>
      <c r="V230" s="226">
        <f>IF(AC230=0,AC230,AC230/P230)</f>
        <v>0</v>
      </c>
      <c r="W230" s="1094"/>
      <c r="X230" s="820"/>
      <c r="Y230" s="164"/>
      <c r="Z230" s="164"/>
      <c r="AA230" s="164"/>
      <c r="AB230" s="164"/>
      <c r="AC230" s="152">
        <f t="shared" ref="AC230:AC231" si="62">P230*BE230</f>
        <v>0</v>
      </c>
      <c r="AE230" s="564">
        <f>$G230*IF(ISNA(VLOOKUP($B230&amp;"; "&amp;$H$214,'FE Déchets'!$G:$U,10,FALSE)),0,VLOOKUP($B230&amp;"; "&amp;$H$214,'FE Déchets'!$G:$U,10,FALSE))</f>
        <v>0</v>
      </c>
      <c r="AF230" s="565"/>
      <c r="AG230" s="565"/>
      <c r="AH230" s="565"/>
      <c r="AI230" s="565">
        <f>$G230*IF(ISNA(VLOOKUP($B230&amp;"; "&amp;$H$214,'FE Déchets'!$G:$U,11,FALSE)+VLOOKUP($B230&amp;"; "&amp;$H$214,'FE Déchets'!$G:$U,12,FALSE)),0,
VLOOKUP($B230&amp;"; "&amp;$H$214,'FE Déchets'!$G:$U,11,FALSE)+VLOOKUP($B230&amp;"; "&amp;$H$214,'FE Déchets'!$G:$U,12,FALSE))</f>
        <v>0</v>
      </c>
      <c r="AJ230" s="565"/>
      <c r="AK230" s="565"/>
      <c r="AL230" s="565"/>
      <c r="AM230" s="565">
        <f>$G230*IF(ISNA(VLOOKUP($B230&amp;"; "&amp;$H$214,'FE Déchets'!$G:$U,13,FALSE)),0,VLOOKUP($B230&amp;"; "&amp;$H$214,'FE Déchets'!$G:$U,13,FALSE))</f>
        <v>0</v>
      </c>
      <c r="AN230" s="565"/>
      <c r="AO230" s="565"/>
      <c r="AP230" s="565"/>
      <c r="AQ230" s="565">
        <f>$G230*IF(ISNA(VLOOKUP($B230&amp;"; "&amp;$H$214,'FE Déchets'!$G:$U,14,FALSE)),0,VLOOKUP($B230&amp;"; "&amp;$H$214,'FE Déchets'!$G:$U,14,FALSE))</f>
        <v>0</v>
      </c>
      <c r="AR230" s="565"/>
      <c r="AS230" s="565"/>
      <c r="AT230" s="565"/>
      <c r="AU230" s="566">
        <f>SUM(AE230,AI230,AM230,AQ230)</f>
        <v>0</v>
      </c>
      <c r="AV230" s="566"/>
      <c r="AW230" s="566"/>
      <c r="AX230" s="566"/>
      <c r="AY230" s="564">
        <f>$G230*IF(ISNA(VLOOKUP($B230&amp;"; "&amp;$H$214,'FE Déchets'!$G:$U,15,FALSE)),0,VLOOKUP($B230&amp;"; "&amp;$H$214,'FE Déchets'!$G:$U,15,FALSE))</f>
        <v>0</v>
      </c>
      <c r="AZ230" s="565"/>
      <c r="BA230" s="565"/>
      <c r="BB230" s="568"/>
      <c r="BD230" s="2492">
        <f>IF($W230&lt;&gt;"votre valeur :",IF(ISNA(VLOOKUP($W230,Utilitaires!$N$566:$O$571,2,FALSE)),,VLOOKUP($W230,Utilitaires!$N$566:$O$571,2,FALSE)),$X230)</f>
        <v>0</v>
      </c>
      <c r="BE230" s="2442">
        <f>IF(ISNA(SQRT(SUMSQ(VLOOKUP($B230&amp;"; "&amp;$H$214,'FE Déchets'!$G:$U,7,FALSE),$BD230))),0,SQRT(SUMSQ(VLOOKUP($B230&amp;"; "&amp;$H$214,'FE Déchets'!$G:$U,7,FALSE),$BD230)))</f>
        <v>0.3</v>
      </c>
      <c r="BF230" s="2504"/>
      <c r="BG230" s="2128"/>
      <c r="BH230" s="2128"/>
    </row>
    <row r="231" spans="2:60" s="114" customFormat="1" ht="13.2" hidden="1" outlineLevel="2">
      <c r="B231" s="389" t="s">
        <v>5009</v>
      </c>
      <c r="C231" s="341"/>
      <c r="D231" s="212">
        <f>P231</f>
        <v>0</v>
      </c>
      <c r="E231" s="212"/>
      <c r="F231" s="849"/>
      <c r="G231" s="849"/>
      <c r="H231" s="219"/>
      <c r="I231" s="219">
        <f>IF(ISNA(VLOOKUP($B231&amp;"; "&amp;$H$214,'FE Déchets'!$G:$U,9,FALSE)),0,VLOOKUP($B231&amp;"; "&amp;$H$214,'FE Déchets'!$G:$U,9,FALSE))</f>
        <v>52</v>
      </c>
      <c r="J231" s="219"/>
      <c r="K231" s="219"/>
      <c r="L231" s="151"/>
      <c r="M231" s="151"/>
      <c r="N231" s="151"/>
      <c r="O231" s="151"/>
      <c r="P231" s="152">
        <f t="shared" si="61"/>
        <v>0</v>
      </c>
      <c r="V231" s="226">
        <f>IF(AC231=0,AC231,AC231/P231)</f>
        <v>0</v>
      </c>
      <c r="W231" s="1094"/>
      <c r="X231" s="820"/>
      <c r="Y231" s="164"/>
      <c r="Z231" s="164"/>
      <c r="AA231" s="164"/>
      <c r="AB231" s="164"/>
      <c r="AC231" s="152">
        <f t="shared" si="62"/>
        <v>0</v>
      </c>
      <c r="AE231" s="564">
        <f>$G231*IF(ISNA(VLOOKUP($B231&amp;"; "&amp;$H$214,'FE Déchets'!$G:$U,10,FALSE)),0,VLOOKUP($B231&amp;"; "&amp;$H$214,'FE Déchets'!$G:$U,10,FALSE))</f>
        <v>0</v>
      </c>
      <c r="AF231" s="565"/>
      <c r="AG231" s="565"/>
      <c r="AH231" s="565"/>
      <c r="AI231" s="565">
        <f>$G231*IF(ISNA(VLOOKUP($B231&amp;"; "&amp;$H$214,'FE Déchets'!$G:$U,11,FALSE)+VLOOKUP($B231&amp;"; "&amp;$H$214,'FE Déchets'!$G:$U,12,FALSE)),0,
VLOOKUP($B231&amp;"; "&amp;$H$214,'FE Déchets'!$G:$U,11,FALSE)+VLOOKUP($B231&amp;"; "&amp;$H$214,'FE Déchets'!$G:$U,12,FALSE))</f>
        <v>0</v>
      </c>
      <c r="AJ231" s="565"/>
      <c r="AK231" s="565"/>
      <c r="AL231" s="565"/>
      <c r="AM231" s="565">
        <f>$G231*IF(ISNA(VLOOKUP($B231&amp;"; "&amp;$H$214,'FE Déchets'!$G:$U,13,FALSE)),0,VLOOKUP($B231&amp;"; "&amp;$H$214,'FE Déchets'!$G:$U,13,FALSE))</f>
        <v>0</v>
      </c>
      <c r="AN231" s="565"/>
      <c r="AO231" s="565"/>
      <c r="AP231" s="565"/>
      <c r="AQ231" s="565">
        <f>$G231*IF(ISNA(VLOOKUP($B231&amp;"; "&amp;$H$214,'FE Déchets'!$G:$U,14,FALSE)),0,VLOOKUP($B231&amp;"; "&amp;$H$214,'FE Déchets'!$G:$U,14,FALSE))</f>
        <v>0</v>
      </c>
      <c r="AR231" s="565"/>
      <c r="AS231" s="565"/>
      <c r="AT231" s="565"/>
      <c r="AU231" s="566">
        <f>SUM(AE231,AI231,AM231,AQ231)</f>
        <v>0</v>
      </c>
      <c r="AV231" s="566"/>
      <c r="AW231" s="566"/>
      <c r="AX231" s="566"/>
      <c r="AY231" s="564">
        <f>$G231*IF(ISNA(VLOOKUP($B231&amp;"; "&amp;$H$214,'FE Déchets'!$G:$U,15,FALSE)),0,VLOOKUP($B231&amp;"; "&amp;$H$214,'FE Déchets'!$G:$U,15,FALSE))</f>
        <v>0</v>
      </c>
      <c r="AZ231" s="565"/>
      <c r="BA231" s="565"/>
      <c r="BB231" s="568"/>
      <c r="BD231" s="1065">
        <f>IF($W231&lt;&gt;"votre valeur :",IF(ISNA(VLOOKUP($W231,Utilitaires!$N$566:$O$571,2,FALSE)),,VLOOKUP($W231,Utilitaires!$N$566:$O$571,2,FALSE)),$X231)</f>
        <v>0</v>
      </c>
      <c r="BE231" s="2442">
        <f>IF(ISNA(SQRT(SUMSQ(VLOOKUP($B231&amp;"; "&amp;$H$214,'FE Déchets'!$G:$U,7,FALSE),$BD231))),0,SQRT(SUMSQ(VLOOKUP($B231&amp;"; "&amp;$H$214,'FE Déchets'!$G:$U,7,FALSE),$BD231)))</f>
        <v>0.12</v>
      </c>
      <c r="BF231" s="2504"/>
      <c r="BG231" s="2128"/>
      <c r="BH231" s="2128"/>
    </row>
    <row r="232" spans="2:60" s="114" customFormat="1" ht="13.2" hidden="1" outlineLevel="2">
      <c r="B232" s="143"/>
      <c r="C232" s="144"/>
      <c r="D232" s="219"/>
      <c r="E232" s="219"/>
      <c r="F232" s="219"/>
      <c r="G232" s="164"/>
      <c r="H232" s="326"/>
      <c r="I232" s="326"/>
      <c r="J232" s="326"/>
      <c r="K232" s="326"/>
      <c r="L232" s="151"/>
      <c r="M232" s="151"/>
      <c r="N232" s="151"/>
      <c r="O232" s="354"/>
      <c r="P232" s="152"/>
      <c r="V232" s="226"/>
      <c r="W232" s="155"/>
      <c r="X232" s="155"/>
      <c r="Y232" s="164"/>
      <c r="Z232" s="164"/>
      <c r="AA232" s="164"/>
      <c r="AB232" s="164"/>
      <c r="AC232" s="367"/>
      <c r="AE232" s="569"/>
      <c r="AF232" s="625"/>
      <c r="AG232" s="625"/>
      <c r="AH232" s="625"/>
      <c r="AI232" s="625"/>
      <c r="AJ232" s="625"/>
      <c r="AK232" s="625"/>
      <c r="AL232" s="625"/>
      <c r="AM232" s="625"/>
      <c r="AN232" s="625"/>
      <c r="AO232" s="625"/>
      <c r="AP232" s="625"/>
      <c r="AQ232" s="625"/>
      <c r="AR232" s="625"/>
      <c r="AS232" s="625"/>
      <c r="AT232" s="625"/>
      <c r="AU232" s="1313"/>
      <c r="AV232" s="1313"/>
      <c r="AW232" s="1313"/>
      <c r="AX232" s="1313"/>
      <c r="AY232" s="1411"/>
      <c r="AZ232" s="1313"/>
      <c r="BA232" s="625"/>
      <c r="BB232" s="570"/>
      <c r="BD232" s="1087"/>
      <c r="BE232" s="1075"/>
      <c r="BF232" s="2505"/>
      <c r="BG232" s="2387"/>
      <c r="BH232" s="2387"/>
    </row>
    <row r="233" spans="2:60" s="114" customFormat="1" ht="13.2" hidden="1" outlineLevel="1">
      <c r="B233" s="1264" t="s">
        <v>348</v>
      </c>
      <c r="C233" s="197"/>
      <c r="D233" s="214">
        <f>SUM(D227:D232)</f>
        <v>0</v>
      </c>
      <c r="E233" s="214"/>
      <c r="F233" s="214"/>
      <c r="G233" s="203"/>
      <c r="H233" s="203"/>
      <c r="I233" s="202"/>
      <c r="J233" s="203"/>
      <c r="K233" s="203"/>
      <c r="L233" s="202"/>
      <c r="M233" s="202"/>
      <c r="N233" s="202"/>
      <c r="O233" s="202"/>
      <c r="P233" s="200">
        <f>SUM(P215:P232)</f>
        <v>0</v>
      </c>
      <c r="V233" s="1204">
        <f>IF(AC233=0,AC233,AC233/P233)</f>
        <v>0</v>
      </c>
      <c r="W233" s="199"/>
      <c r="X233" s="199"/>
      <c r="Y233" s="204"/>
      <c r="Z233" s="204"/>
      <c r="AA233" s="204"/>
      <c r="AB233" s="204"/>
      <c r="AC233" s="200">
        <f>SQRT(SUMSQ(AC215:AC232))</f>
        <v>0</v>
      </c>
      <c r="AE233" s="1308">
        <f>SUM(AE215:AE232)</f>
        <v>0</v>
      </c>
      <c r="AF233" s="1309"/>
      <c r="AG233" s="1309"/>
      <c r="AH233" s="1309"/>
      <c r="AI233" s="1309">
        <f>SUM(AI215:AI232)</f>
        <v>0</v>
      </c>
      <c r="AJ233" s="1309"/>
      <c r="AK233" s="1309"/>
      <c r="AL233" s="1309"/>
      <c r="AM233" s="1309">
        <f>SUM(AM215:AM232)</f>
        <v>0</v>
      </c>
      <c r="AN233" s="1309"/>
      <c r="AO233" s="1309"/>
      <c r="AP233" s="1309"/>
      <c r="AQ233" s="1309">
        <f>SUM(AQ215:AQ232)</f>
        <v>0</v>
      </c>
      <c r="AR233" s="1309"/>
      <c r="AS233" s="1309"/>
      <c r="AT233" s="1309"/>
      <c r="AU233" s="1312">
        <f>SUM(AU215:AU232)</f>
        <v>0</v>
      </c>
      <c r="AV233" s="1312"/>
      <c r="AW233" s="1312"/>
      <c r="AX233" s="1312"/>
      <c r="AY233" s="1082">
        <f>SUM(AY215:AY232)</f>
        <v>0</v>
      </c>
      <c r="AZ233" s="572"/>
      <c r="BA233" s="572"/>
      <c r="BB233" s="575"/>
    </row>
    <row r="234" spans="2:60" s="114" customFormat="1" ht="12.75" hidden="1" customHeight="1" outlineLevel="1">
      <c r="AJ234" s="441"/>
      <c r="AK234" s="441"/>
      <c r="AL234" s="441"/>
      <c r="AM234" s="441"/>
      <c r="AN234" s="441"/>
      <c r="AO234" s="441"/>
      <c r="AP234" s="441"/>
      <c r="AQ234" s="441"/>
      <c r="AR234" s="441"/>
      <c r="AS234" s="441"/>
      <c r="AT234" s="441"/>
      <c r="AU234" s="441"/>
    </row>
    <row r="235" spans="2:60" s="114" customFormat="1" ht="13.2">
      <c r="AJ235" s="441"/>
      <c r="AK235" s="441"/>
      <c r="AL235" s="441"/>
      <c r="AM235" s="441"/>
      <c r="AN235" s="441"/>
      <c r="AO235" s="441"/>
      <c r="AP235" s="441"/>
      <c r="AQ235" s="441"/>
      <c r="AR235" s="441"/>
      <c r="AS235" s="576"/>
      <c r="AT235" s="576"/>
      <c r="AU235" s="441"/>
    </row>
    <row r="236" spans="2:60" s="114" customFormat="1" ht="13.2">
      <c r="AJ236" s="441"/>
      <c r="AK236" s="441"/>
      <c r="AL236" s="441"/>
      <c r="AM236" s="441"/>
      <c r="AN236" s="441"/>
      <c r="AO236" s="441"/>
      <c r="AP236" s="441"/>
      <c r="AQ236" s="441"/>
      <c r="AR236" s="441"/>
      <c r="AS236" s="576"/>
      <c r="AT236" s="576"/>
      <c r="AU236" s="441"/>
    </row>
    <row r="237" spans="2:60" s="114" customFormat="1" ht="13.2">
      <c r="AJ237" s="441"/>
      <c r="AK237" s="441"/>
      <c r="AL237" s="441"/>
      <c r="AM237" s="441"/>
      <c r="AN237" s="441"/>
      <c r="AO237" s="441"/>
      <c r="AP237" s="441"/>
      <c r="AQ237" s="441"/>
      <c r="AR237" s="441"/>
      <c r="AS237" s="576"/>
      <c r="AT237" s="576"/>
      <c r="AU237" s="441"/>
    </row>
    <row r="238" spans="2:60" ht="20.100000000000001" customHeight="1">
      <c r="B238" s="2664" t="s">
        <v>518</v>
      </c>
      <c r="C238" s="2665"/>
      <c r="D238" s="2665"/>
      <c r="E238" s="2665"/>
      <c r="F238" s="2665"/>
      <c r="G238" s="2665"/>
      <c r="H238" s="2665"/>
      <c r="I238" s="2665"/>
      <c r="J238" s="2665"/>
      <c r="K238" s="2665"/>
      <c r="L238" s="2665"/>
      <c r="M238" s="2665"/>
      <c r="N238" s="2665"/>
      <c r="O238" s="2666"/>
      <c r="AI238" s="114"/>
      <c r="AJ238" s="441"/>
      <c r="AK238" s="441"/>
      <c r="AL238" s="441"/>
      <c r="AM238" s="441"/>
      <c r="AN238" s="441"/>
      <c r="AO238" s="441"/>
      <c r="AP238" s="441"/>
      <c r="AQ238" s="441"/>
      <c r="AR238" s="441"/>
      <c r="AS238" s="441"/>
      <c r="AT238" s="441"/>
    </row>
    <row r="239" spans="2:60" s="114" customFormat="1" ht="13.2">
      <c r="B239" s="128"/>
      <c r="C239" s="128"/>
      <c r="D239" s="128"/>
      <c r="E239" s="128"/>
      <c r="F239" s="128"/>
      <c r="G239" s="128"/>
      <c r="H239" s="128"/>
      <c r="I239" s="128"/>
      <c r="J239" s="128"/>
      <c r="K239" s="128"/>
      <c r="L239" s="128"/>
      <c r="M239" s="128"/>
      <c r="N239" s="128"/>
      <c r="O239" s="128"/>
      <c r="AJ239" s="441"/>
      <c r="AK239" s="441"/>
      <c r="AL239" s="441"/>
      <c r="AM239" s="441"/>
      <c r="AN239" s="441"/>
      <c r="AO239" s="441"/>
      <c r="AP239" s="441"/>
      <c r="AQ239" s="441"/>
      <c r="AR239" s="441"/>
      <c r="AS239" s="441"/>
      <c r="AT239" s="441"/>
      <c r="AU239" s="441"/>
    </row>
    <row r="240" spans="2:60" s="114" customFormat="1" ht="12.75" customHeight="1">
      <c r="B240" s="2667" t="str">
        <f>Descriptif!C35</f>
        <v>Fin de vie</v>
      </c>
      <c r="C240" s="2668"/>
      <c r="D240" s="2671" t="s">
        <v>409</v>
      </c>
      <c r="E240" s="2672"/>
      <c r="F240" s="2673"/>
      <c r="G240" s="129"/>
      <c r="H240" s="2671" t="s">
        <v>159</v>
      </c>
      <c r="I240" s="2673"/>
      <c r="J240" s="170"/>
      <c r="K240" s="2674" t="s">
        <v>499</v>
      </c>
      <c r="L240" s="2675"/>
      <c r="M240" s="2675"/>
      <c r="N240" s="2676"/>
      <c r="AE240" s="441"/>
      <c r="AF240" s="441"/>
      <c r="AG240" s="441"/>
      <c r="AH240" s="441"/>
      <c r="AI240" s="441"/>
      <c r="AJ240" s="441"/>
      <c r="AK240" s="441"/>
      <c r="AL240" s="441"/>
      <c r="AM240" s="441"/>
      <c r="AN240" s="441"/>
      <c r="AO240" s="441"/>
    </row>
    <row r="241" spans="2:47" s="114" customFormat="1" ht="12.75" customHeight="1">
      <c r="B241" s="2669"/>
      <c r="C241" s="2670"/>
      <c r="D241" s="281" t="s">
        <v>444</v>
      </c>
      <c r="E241" s="280" t="s">
        <v>500</v>
      </c>
      <c r="F241" s="281" t="s">
        <v>524</v>
      </c>
      <c r="G241" s="129"/>
      <c r="H241" s="281" t="s">
        <v>444</v>
      </c>
      <c r="I241" s="281" t="s">
        <v>355</v>
      </c>
      <c r="J241" s="170"/>
      <c r="K241" s="282" t="s">
        <v>43</v>
      </c>
      <c r="L241" s="282" t="s">
        <v>522</v>
      </c>
      <c r="M241" s="282" t="s">
        <v>522</v>
      </c>
      <c r="N241" s="282" t="s">
        <v>523</v>
      </c>
      <c r="AE241" s="441"/>
      <c r="AF241" s="441"/>
      <c r="AG241" s="441"/>
      <c r="AH241" s="441"/>
      <c r="AI241" s="441"/>
      <c r="AJ241" s="441"/>
      <c r="AK241" s="441"/>
      <c r="AL241" s="441"/>
      <c r="AM241" s="441"/>
      <c r="AN241" s="441"/>
      <c r="AO241" s="441"/>
    </row>
    <row r="242" spans="2:47" s="114" customFormat="1" ht="13.8">
      <c r="B242" s="2173" t="s">
        <v>226</v>
      </c>
      <c r="C242" s="2159"/>
      <c r="D242" s="2174">
        <f>D28+D40</f>
        <v>0</v>
      </c>
      <c r="E242" s="184">
        <f t="shared" ref="E242:E251" si="63">D242/1000</f>
        <v>0</v>
      </c>
      <c r="F242" s="185">
        <f>IF($D$252=0,"",D242/$D$252)</f>
        <v>0</v>
      </c>
      <c r="G242" s="129"/>
      <c r="H242" s="2175">
        <f>SQRT(AC28^2+AC40^2)</f>
        <v>0</v>
      </c>
      <c r="I242" s="185" t="str">
        <f t="shared" ref="I242:I252" si="64">IF(D242=0,"",H242/D242)</f>
        <v/>
      </c>
      <c r="J242" s="170"/>
      <c r="K242" s="187">
        <f t="shared" ref="K242:K252" si="65">(D242-H242)/1000</f>
        <v>0</v>
      </c>
      <c r="L242" s="187">
        <f t="shared" ref="L242:L252" si="66">E242</f>
        <v>0</v>
      </c>
      <c r="M242" s="187">
        <f t="shared" ref="M242:M252" si="67">E242</f>
        <v>0</v>
      </c>
      <c r="N242" s="187">
        <f t="shared" ref="N242:N252" si="68">(D242+H242)/1000</f>
        <v>0</v>
      </c>
      <c r="AE242" s="441"/>
      <c r="AF242" s="441"/>
      <c r="AG242" s="441"/>
      <c r="AH242" s="441"/>
      <c r="AI242" s="441"/>
      <c r="AJ242" s="441"/>
      <c r="AK242" s="441"/>
      <c r="AL242" s="441"/>
      <c r="AM242" s="441"/>
      <c r="AN242" s="441"/>
      <c r="AO242" s="441"/>
    </row>
    <row r="243" spans="2:47" s="91" customFormat="1" ht="13.2">
      <c r="B243" s="2660" t="s">
        <v>5012</v>
      </c>
      <c r="C243" s="2661"/>
      <c r="D243" s="184">
        <f>D80</f>
        <v>958133</v>
      </c>
      <c r="E243" s="184">
        <f t="shared" si="63"/>
        <v>958.13300000000004</v>
      </c>
      <c r="F243" s="185">
        <f>IF($D$252=0,"",D243/$D$252)</f>
        <v>1</v>
      </c>
      <c r="G243" s="128"/>
      <c r="H243" s="136">
        <f>AC80</f>
        <v>177139.20000000001</v>
      </c>
      <c r="I243" s="185">
        <f t="shared" si="64"/>
        <v>0.1848795522124799</v>
      </c>
      <c r="J243" s="170"/>
      <c r="K243" s="187">
        <f>(D243-H243)/1000</f>
        <v>780.99380000000008</v>
      </c>
      <c r="L243" s="187">
        <f t="shared" si="66"/>
        <v>958.13300000000004</v>
      </c>
      <c r="M243" s="187">
        <f t="shared" si="67"/>
        <v>958.13300000000004</v>
      </c>
      <c r="N243" s="187">
        <f t="shared" si="68"/>
        <v>1135.2721999999999</v>
      </c>
      <c r="AE243" s="595"/>
      <c r="AF243" s="595"/>
      <c r="AG243" s="595"/>
      <c r="AH243" s="595"/>
      <c r="AI243" s="595"/>
      <c r="AJ243" s="595"/>
      <c r="AK243" s="595"/>
      <c r="AL243" s="595"/>
      <c r="AM243" s="595"/>
      <c r="AN243" s="595"/>
      <c r="AO243" s="595"/>
    </row>
    <row r="244" spans="2:47" s="91" customFormat="1" ht="13.2">
      <c r="B244" s="2660" t="s">
        <v>5013</v>
      </c>
      <c r="C244" s="2661"/>
      <c r="D244" s="184">
        <f>D97</f>
        <v>0</v>
      </c>
      <c r="E244" s="184">
        <f t="shared" si="63"/>
        <v>0</v>
      </c>
      <c r="F244" s="185">
        <f>IF($D$252=0,"",D244/$D$252)</f>
        <v>0</v>
      </c>
      <c r="G244" s="128"/>
      <c r="H244" s="136">
        <f>AC97</f>
        <v>0</v>
      </c>
      <c r="I244" s="185" t="str">
        <f t="shared" si="64"/>
        <v/>
      </c>
      <c r="J244" s="170"/>
      <c r="K244" s="187">
        <f t="shared" si="65"/>
        <v>0</v>
      </c>
      <c r="L244" s="187">
        <f t="shared" si="66"/>
        <v>0</v>
      </c>
      <c r="M244" s="187">
        <f t="shared" si="67"/>
        <v>0</v>
      </c>
      <c r="N244" s="187">
        <f t="shared" si="68"/>
        <v>0</v>
      </c>
      <c r="AE244" s="595"/>
      <c r="AF244" s="595"/>
      <c r="AG244" s="595"/>
      <c r="AH244" s="595"/>
      <c r="AI244" s="595"/>
      <c r="AJ244" s="595"/>
      <c r="AK244" s="595"/>
      <c r="AL244" s="595"/>
      <c r="AM244" s="595"/>
      <c r="AN244" s="595"/>
      <c r="AO244" s="595"/>
    </row>
    <row r="245" spans="2:47" s="91" customFormat="1" ht="13.2">
      <c r="B245" s="2660" t="s">
        <v>5124</v>
      </c>
      <c r="C245" s="2661"/>
      <c r="D245" s="184">
        <f>D112</f>
        <v>0</v>
      </c>
      <c r="E245" s="184">
        <f t="shared" si="63"/>
        <v>0</v>
      </c>
      <c r="F245" s="185">
        <f>IF($D$252=0,"",D245/$D$252)</f>
        <v>0</v>
      </c>
      <c r="G245" s="128"/>
      <c r="H245" s="136">
        <f>AC112</f>
        <v>0</v>
      </c>
      <c r="I245" s="185" t="str">
        <f t="shared" si="64"/>
        <v/>
      </c>
      <c r="J245" s="170"/>
      <c r="K245" s="187">
        <f t="shared" si="65"/>
        <v>0</v>
      </c>
      <c r="L245" s="187">
        <f t="shared" si="66"/>
        <v>0</v>
      </c>
      <c r="M245" s="187">
        <f t="shared" si="67"/>
        <v>0</v>
      </c>
      <c r="N245" s="187">
        <f t="shared" si="68"/>
        <v>0</v>
      </c>
      <c r="AE245" s="595"/>
      <c r="AF245" s="595"/>
      <c r="AG245" s="595"/>
      <c r="AH245" s="595"/>
      <c r="AI245" s="595"/>
      <c r="AJ245" s="595"/>
      <c r="AK245" s="595"/>
      <c r="AL245" s="595"/>
      <c r="AM245" s="595"/>
      <c r="AN245" s="595"/>
      <c r="AO245" s="595"/>
    </row>
    <row r="246" spans="2:47" s="91" customFormat="1" ht="12.75" hidden="1" customHeight="1">
      <c r="B246" s="2660"/>
      <c r="C246" s="2661"/>
      <c r="D246" s="184"/>
      <c r="E246" s="184"/>
      <c r="F246" s="185"/>
      <c r="G246" s="128"/>
      <c r="H246" s="136"/>
      <c r="I246" s="185" t="str">
        <f t="shared" si="64"/>
        <v/>
      </c>
      <c r="J246" s="170"/>
      <c r="K246" s="187">
        <f t="shared" si="65"/>
        <v>0</v>
      </c>
      <c r="L246" s="187">
        <f t="shared" si="66"/>
        <v>0</v>
      </c>
      <c r="M246" s="187">
        <f t="shared" si="67"/>
        <v>0</v>
      </c>
      <c r="N246" s="187">
        <f t="shared" si="68"/>
        <v>0</v>
      </c>
      <c r="AE246" s="595"/>
      <c r="AF246" s="595"/>
      <c r="AG246" s="595"/>
      <c r="AH246" s="595"/>
      <c r="AI246" s="595"/>
      <c r="AJ246" s="595"/>
      <c r="AK246" s="595"/>
      <c r="AL246" s="595"/>
      <c r="AM246" s="595"/>
      <c r="AN246" s="595"/>
      <c r="AO246" s="595"/>
    </row>
    <row r="247" spans="2:47" s="91" customFormat="1" ht="13.2">
      <c r="B247" s="2660" t="s">
        <v>5125</v>
      </c>
      <c r="C247" s="2661"/>
      <c r="D247" s="184">
        <f>D127</f>
        <v>0</v>
      </c>
      <c r="E247" s="184">
        <f t="shared" si="63"/>
        <v>0</v>
      </c>
      <c r="F247" s="185">
        <f>IF($D$252=0,"",D247/$D$252)</f>
        <v>0</v>
      </c>
      <c r="G247" s="128"/>
      <c r="H247" s="136">
        <f>AC127</f>
        <v>0</v>
      </c>
      <c r="I247" s="185" t="str">
        <f t="shared" si="64"/>
        <v/>
      </c>
      <c r="J247" s="170"/>
      <c r="K247" s="187">
        <f t="shared" si="65"/>
        <v>0</v>
      </c>
      <c r="L247" s="187">
        <f t="shared" si="66"/>
        <v>0</v>
      </c>
      <c r="M247" s="187">
        <f t="shared" si="67"/>
        <v>0</v>
      </c>
      <c r="N247" s="187">
        <f t="shared" si="68"/>
        <v>0</v>
      </c>
      <c r="AE247" s="595"/>
      <c r="AF247" s="595"/>
      <c r="AG247" s="595"/>
      <c r="AH247" s="595"/>
      <c r="AI247" s="595"/>
      <c r="AJ247" s="595"/>
      <c r="AK247" s="595"/>
      <c r="AL247" s="595"/>
      <c r="AM247" s="595"/>
      <c r="AN247" s="595"/>
      <c r="AO247" s="595"/>
    </row>
    <row r="248" spans="2:47" s="91" customFormat="1" ht="13.2">
      <c r="B248" s="2660" t="s">
        <v>163</v>
      </c>
      <c r="C248" s="2661"/>
      <c r="D248" s="184">
        <f>D156+D166</f>
        <v>0</v>
      </c>
      <c r="E248" s="184">
        <f t="shared" si="63"/>
        <v>0</v>
      </c>
      <c r="F248" s="185">
        <f>IF($D$252=0,"",D248/$D$252)</f>
        <v>0</v>
      </c>
      <c r="G248" s="128"/>
      <c r="H248" s="136">
        <f>SQRT(AC156^2+AC166^2)</f>
        <v>0</v>
      </c>
      <c r="I248" s="185" t="str">
        <f t="shared" si="64"/>
        <v/>
      </c>
      <c r="J248" s="170"/>
      <c r="K248" s="187">
        <f t="shared" si="65"/>
        <v>0</v>
      </c>
      <c r="L248" s="187">
        <f t="shared" si="66"/>
        <v>0</v>
      </c>
      <c r="M248" s="187">
        <f t="shared" si="67"/>
        <v>0</v>
      </c>
      <c r="N248" s="187">
        <f t="shared" si="68"/>
        <v>0</v>
      </c>
      <c r="AE248" s="595"/>
      <c r="AF248" s="595"/>
      <c r="AG248" s="595"/>
      <c r="AH248" s="595"/>
      <c r="AI248" s="595"/>
      <c r="AJ248" s="595"/>
      <c r="AK248" s="595"/>
      <c r="AL248" s="595"/>
      <c r="AM248" s="595"/>
      <c r="AN248" s="595"/>
      <c r="AO248" s="595"/>
    </row>
    <row r="249" spans="2:47" s="91" customFormat="1" ht="13.2">
      <c r="B249" s="2660" t="s">
        <v>49</v>
      </c>
      <c r="C249" s="2661"/>
      <c r="D249" s="184">
        <f>D179</f>
        <v>0</v>
      </c>
      <c r="E249" s="184">
        <f t="shared" si="63"/>
        <v>0</v>
      </c>
      <c r="F249" s="185">
        <f>IF($D$252=0,"",D249/$D$252)</f>
        <v>0</v>
      </c>
      <c r="G249" s="128"/>
      <c r="H249" s="136">
        <f>AC179</f>
        <v>0</v>
      </c>
      <c r="I249" s="185" t="str">
        <f t="shared" si="64"/>
        <v/>
      </c>
      <c r="J249" s="170"/>
      <c r="K249" s="187">
        <f t="shared" si="65"/>
        <v>0</v>
      </c>
      <c r="L249" s="187">
        <f t="shared" si="66"/>
        <v>0</v>
      </c>
      <c r="M249" s="187">
        <f t="shared" si="67"/>
        <v>0</v>
      </c>
      <c r="N249" s="187">
        <f t="shared" si="68"/>
        <v>0</v>
      </c>
      <c r="AE249" s="595"/>
      <c r="AF249" s="595"/>
      <c r="AG249" s="595"/>
      <c r="AH249" s="595"/>
      <c r="AI249" s="595"/>
      <c r="AJ249" s="595"/>
      <c r="AK249" s="595"/>
      <c r="AL249" s="595"/>
      <c r="AM249" s="595"/>
      <c r="AN249" s="595"/>
      <c r="AO249" s="595"/>
    </row>
    <row r="250" spans="2:47" s="91" customFormat="1" ht="13.2">
      <c r="B250" s="2490" t="s">
        <v>5126</v>
      </c>
      <c r="C250" s="2491"/>
      <c r="D250" s="184">
        <f>D188+D197+D209</f>
        <v>0</v>
      </c>
      <c r="E250" s="184">
        <f t="shared" si="63"/>
        <v>0</v>
      </c>
      <c r="F250" s="2403"/>
      <c r="G250" s="128"/>
      <c r="H250" s="1173">
        <f>SQRT(AC188^2+AC197^2+AC209^2)</f>
        <v>0</v>
      </c>
      <c r="I250" s="185" t="str">
        <f t="shared" si="64"/>
        <v/>
      </c>
      <c r="J250" s="170"/>
      <c r="K250" s="187">
        <f t="shared" ref="K250" si="69">(D250-H250)/1000</f>
        <v>0</v>
      </c>
      <c r="L250" s="187">
        <f t="shared" ref="L250" si="70">E250</f>
        <v>0</v>
      </c>
      <c r="M250" s="187">
        <f t="shared" ref="M250" si="71">E250</f>
        <v>0</v>
      </c>
      <c r="N250" s="187">
        <f t="shared" ref="N250" si="72">(D250+H250)/1000</f>
        <v>0</v>
      </c>
      <c r="AE250" s="595"/>
      <c r="AF250" s="595"/>
      <c r="AG250" s="595"/>
      <c r="AH250" s="595"/>
      <c r="AI250" s="595"/>
      <c r="AJ250" s="595"/>
      <c r="AK250" s="595"/>
      <c r="AL250" s="595"/>
      <c r="AM250" s="595"/>
      <c r="AN250" s="595"/>
      <c r="AO250" s="595"/>
    </row>
    <row r="251" spans="2:47" s="91" customFormat="1" ht="13.2">
      <c r="B251" s="2660" t="s">
        <v>3296</v>
      </c>
      <c r="C251" s="2661"/>
      <c r="D251" s="184">
        <f>D233</f>
        <v>0</v>
      </c>
      <c r="E251" s="184">
        <f t="shared" si="63"/>
        <v>0</v>
      </c>
      <c r="F251" s="185">
        <f>IF($D$252=0,"",D251/$D$252)</f>
        <v>0</v>
      </c>
      <c r="G251" s="128"/>
      <c r="H251" s="136">
        <f>AC233</f>
        <v>0</v>
      </c>
      <c r="I251" s="185" t="str">
        <f t="shared" si="64"/>
        <v/>
      </c>
      <c r="J251" s="170"/>
      <c r="K251" s="187">
        <f t="shared" si="65"/>
        <v>0</v>
      </c>
      <c r="L251" s="187">
        <f t="shared" si="66"/>
        <v>0</v>
      </c>
      <c r="M251" s="187">
        <f t="shared" si="67"/>
        <v>0</v>
      </c>
      <c r="N251" s="187">
        <f t="shared" si="68"/>
        <v>0</v>
      </c>
      <c r="AE251" s="595"/>
      <c r="AF251" s="595"/>
      <c r="AG251" s="595"/>
      <c r="AH251" s="595"/>
      <c r="AI251" s="595"/>
      <c r="AJ251" s="595"/>
      <c r="AK251" s="595"/>
      <c r="AL251" s="595"/>
      <c r="AM251" s="595"/>
      <c r="AN251" s="595"/>
      <c r="AO251" s="595"/>
    </row>
    <row r="252" spans="2:47" s="98" customFormat="1" ht="15">
      <c r="B252" s="2662" t="s">
        <v>348</v>
      </c>
      <c r="C252" s="2663"/>
      <c r="D252" s="188">
        <f>SUM(D243:D251)</f>
        <v>958133</v>
      </c>
      <c r="E252" s="189">
        <f>SUM(E243:E251)</f>
        <v>958.13300000000004</v>
      </c>
      <c r="F252" s="190">
        <f>IF($D$252=0,"",D252/$D$252)</f>
        <v>1</v>
      </c>
      <c r="G252" s="191"/>
      <c r="H252" s="188">
        <f>SQRT(SUMSQ(H243:H251))</f>
        <v>177139.20000000001</v>
      </c>
      <c r="I252" s="190">
        <f t="shared" si="64"/>
        <v>0.1848795522124799</v>
      </c>
      <c r="J252" s="192"/>
      <c r="K252" s="187">
        <f t="shared" si="65"/>
        <v>780.99380000000008</v>
      </c>
      <c r="L252" s="187">
        <f t="shared" si="66"/>
        <v>958.13300000000004</v>
      </c>
      <c r="M252" s="187">
        <f t="shared" si="67"/>
        <v>958.13300000000004</v>
      </c>
      <c r="N252" s="187">
        <f t="shared" si="68"/>
        <v>1135.2721999999999</v>
      </c>
      <c r="AE252" s="617"/>
      <c r="AF252" s="617"/>
      <c r="AG252" s="617"/>
      <c r="AH252" s="617"/>
      <c r="AI252" s="617"/>
      <c r="AJ252" s="617"/>
      <c r="AK252" s="617"/>
      <c r="AL252" s="617"/>
      <c r="AM252" s="617"/>
      <c r="AN252" s="617"/>
      <c r="AO252" s="617"/>
    </row>
    <row r="253" spans="2:47" s="91" customFormat="1" ht="13.2">
      <c r="B253" s="131"/>
      <c r="C253" s="131"/>
      <c r="D253" s="131"/>
      <c r="E253" s="131"/>
      <c r="F253" s="131"/>
      <c r="G253" s="131"/>
      <c r="H253" s="172"/>
      <c r="I253" s="172"/>
      <c r="J253" s="173"/>
      <c r="K253" s="173"/>
      <c r="L253" s="173"/>
      <c r="M253" s="173"/>
      <c r="N253" s="173"/>
      <c r="AE253" s="595"/>
      <c r="AF253" s="595"/>
      <c r="AG253" s="595"/>
      <c r="AH253" s="595"/>
      <c r="AI253" s="595"/>
      <c r="AJ253" s="595"/>
      <c r="AK253" s="595"/>
      <c r="AL253" s="595"/>
      <c r="AM253" s="595"/>
      <c r="AN253" s="595"/>
      <c r="AO253" s="595"/>
    </row>
    <row r="254" spans="2:47" ht="15.6" collapsed="1">
      <c r="B254" s="2677" t="s">
        <v>519</v>
      </c>
      <c r="C254" s="2678"/>
      <c r="D254" s="2678"/>
      <c r="E254" s="2678"/>
      <c r="F254" s="2678"/>
      <c r="G254" s="2678"/>
      <c r="H254" s="2678"/>
      <c r="I254" s="2678"/>
      <c r="J254" s="2678"/>
      <c r="K254" s="2678"/>
      <c r="L254" s="2678"/>
      <c r="M254" s="2678"/>
      <c r="N254" s="2678"/>
      <c r="O254" s="2679"/>
      <c r="AI254" s="114"/>
      <c r="AJ254" s="441"/>
      <c r="AK254" s="441"/>
      <c r="AL254" s="441"/>
      <c r="AM254" s="441"/>
      <c r="AN254" s="441"/>
      <c r="AO254" s="441"/>
      <c r="AP254" s="441"/>
      <c r="AQ254" s="441"/>
      <c r="AR254" s="441"/>
      <c r="AS254" s="441"/>
      <c r="AT254" s="441"/>
    </row>
    <row r="255" spans="2:47" s="114" customFormat="1" ht="12.75" hidden="1" customHeight="1" outlineLevel="1">
      <c r="AJ255" s="441"/>
      <c r="AK255" s="441"/>
      <c r="AL255" s="441"/>
      <c r="AM255" s="441"/>
      <c r="AN255" s="441"/>
      <c r="AO255" s="441"/>
      <c r="AP255" s="441"/>
      <c r="AQ255" s="441"/>
      <c r="AR255" s="441"/>
      <c r="AS255" s="441"/>
      <c r="AT255" s="441"/>
      <c r="AU255" s="441"/>
    </row>
    <row r="256" spans="2:47" s="114" customFormat="1" ht="12.75" hidden="1" customHeight="1" outlineLevel="1">
      <c r="B256" s="2667" t="str">
        <f>B240</f>
        <v>Fin de vie</v>
      </c>
      <c r="C256" s="2668"/>
      <c r="D256" s="2671" t="s">
        <v>409</v>
      </c>
      <c r="E256" s="2672"/>
      <c r="F256" s="2673"/>
      <c r="G256" s="170"/>
      <c r="H256" s="2671" t="s">
        <v>159</v>
      </c>
      <c r="I256" s="2673"/>
      <c r="J256" s="170"/>
      <c r="AE256" s="441"/>
      <c r="AF256" s="441"/>
      <c r="AG256" s="441"/>
      <c r="AH256" s="441"/>
      <c r="AI256" s="441"/>
      <c r="AJ256" s="441"/>
      <c r="AK256" s="441"/>
      <c r="AL256" s="441"/>
      <c r="AM256" s="441"/>
      <c r="AN256" s="441"/>
      <c r="AO256" s="441"/>
      <c r="AP256" s="441"/>
    </row>
    <row r="257" spans="2:47" s="114" customFormat="1" ht="12.75" hidden="1" customHeight="1" outlineLevel="1">
      <c r="B257" s="2669"/>
      <c r="C257" s="2670"/>
      <c r="D257" s="171" t="s">
        <v>444</v>
      </c>
      <c r="E257" s="171" t="s">
        <v>500</v>
      </c>
      <c r="F257" s="171" t="s">
        <v>524</v>
      </c>
      <c r="G257" s="176"/>
      <c r="H257" s="281" t="s">
        <v>444</v>
      </c>
      <c r="I257" s="281" t="s">
        <v>355</v>
      </c>
      <c r="J257" s="170"/>
      <c r="AE257" s="441"/>
      <c r="AF257" s="441"/>
      <c r="AG257" s="441"/>
      <c r="AH257" s="441"/>
      <c r="AI257" s="441"/>
      <c r="AJ257" s="441"/>
      <c r="AK257" s="441"/>
      <c r="AL257" s="441"/>
      <c r="AM257" s="441"/>
      <c r="AN257" s="441"/>
      <c r="AO257" s="441"/>
      <c r="AP257" s="441"/>
    </row>
    <row r="258" spans="2:47" s="114" customFormat="1" ht="12.75" hidden="1" customHeight="1" outlineLevel="1">
      <c r="B258" s="2660" t="s">
        <v>277</v>
      </c>
      <c r="C258" s="2661"/>
      <c r="D258" s="136">
        <f>T28+T40</f>
        <v>0</v>
      </c>
      <c r="E258" s="136">
        <f t="shared" ref="E258:E269" si="73">D258/1000</f>
        <v>0</v>
      </c>
      <c r="F258" s="185">
        <f t="shared" ref="F258:F270" si="74">IF($D$270=0,"",D258/$D$270)</f>
        <v>0</v>
      </c>
      <c r="G258" s="170"/>
      <c r="H258" s="136">
        <f>SQRT(Z28^2+Z40^2)</f>
        <v>0</v>
      </c>
      <c r="I258" s="185" t="str">
        <f t="shared" ref="I258:I270" si="75">IF(D258=0,"",H258/D258)</f>
        <v/>
      </c>
      <c r="J258" s="170"/>
      <c r="K258" s="170"/>
      <c r="AE258" s="441"/>
      <c r="AF258" s="441"/>
      <c r="AG258" s="441"/>
      <c r="AH258" s="441"/>
      <c r="AI258" s="441"/>
      <c r="AJ258" s="441"/>
      <c r="AK258" s="441"/>
      <c r="AL258" s="441"/>
      <c r="AM258" s="441"/>
      <c r="AN258" s="441"/>
      <c r="AO258" s="441"/>
      <c r="AP258" s="441"/>
    </row>
    <row r="259" spans="2:47" s="114" customFormat="1" ht="12.75" hidden="1" customHeight="1" outlineLevel="1">
      <c r="B259" s="2660" t="s">
        <v>89</v>
      </c>
      <c r="C259" s="2661"/>
      <c r="D259" s="136">
        <f>S28+S40</f>
        <v>0</v>
      </c>
      <c r="E259" s="136">
        <f t="shared" si="73"/>
        <v>0</v>
      </c>
      <c r="F259" s="185">
        <f t="shared" si="74"/>
        <v>0</v>
      </c>
      <c r="G259" s="170"/>
      <c r="H259" s="136">
        <f>SQRT(Y28^2+Y40^2)</f>
        <v>0</v>
      </c>
      <c r="I259" s="185" t="str">
        <f t="shared" si="75"/>
        <v/>
      </c>
      <c r="J259" s="170"/>
      <c r="K259" s="170"/>
      <c r="AE259" s="441"/>
      <c r="AF259" s="441"/>
      <c r="AG259" s="441"/>
      <c r="AH259" s="441"/>
      <c r="AI259" s="441"/>
      <c r="AJ259" s="441"/>
      <c r="AK259" s="441"/>
      <c r="AL259" s="441"/>
      <c r="AM259" s="441"/>
      <c r="AN259" s="441"/>
      <c r="AO259" s="441"/>
      <c r="AP259" s="441"/>
    </row>
    <row r="260" spans="2:47" s="114" customFormat="1" ht="12.75" hidden="1" customHeight="1" outlineLevel="1">
      <c r="B260" s="2172" t="s">
        <v>5012</v>
      </c>
      <c r="C260" s="2170"/>
      <c r="D260" s="1173">
        <f>D80</f>
        <v>958133</v>
      </c>
      <c r="E260" s="136">
        <f t="shared" si="73"/>
        <v>958.13300000000004</v>
      </c>
      <c r="F260" s="185">
        <f t="shared" si="74"/>
        <v>1</v>
      </c>
      <c r="G260" s="170"/>
      <c r="H260" s="1173">
        <f>AC80</f>
        <v>177139.20000000001</v>
      </c>
      <c r="I260" s="185">
        <f t="shared" si="75"/>
        <v>0.1848795522124799</v>
      </c>
      <c r="J260" s="170"/>
      <c r="K260" s="170"/>
      <c r="AE260" s="441"/>
      <c r="AF260" s="441"/>
      <c r="AG260" s="441"/>
      <c r="AH260" s="441"/>
      <c r="AI260" s="441"/>
      <c r="AJ260" s="441"/>
      <c r="AK260" s="441"/>
      <c r="AL260" s="441"/>
      <c r="AM260" s="441"/>
      <c r="AN260" s="441"/>
      <c r="AO260" s="441"/>
      <c r="AP260" s="441"/>
    </row>
    <row r="261" spans="2:47" s="114" customFormat="1" ht="12.75" hidden="1" customHeight="1" outlineLevel="1">
      <c r="B261" s="2660" t="s">
        <v>5013</v>
      </c>
      <c r="C261" s="2661"/>
      <c r="D261" s="136">
        <f>D97</f>
        <v>0</v>
      </c>
      <c r="E261" s="136">
        <f t="shared" si="73"/>
        <v>0</v>
      </c>
      <c r="F261" s="185">
        <f t="shared" si="74"/>
        <v>0</v>
      </c>
      <c r="G261" s="170"/>
      <c r="H261" s="136">
        <f>AC97</f>
        <v>0</v>
      </c>
      <c r="I261" s="185" t="str">
        <f t="shared" si="75"/>
        <v/>
      </c>
      <c r="J261" s="170"/>
      <c r="K261" s="170"/>
      <c r="AE261" s="441"/>
      <c r="AF261" s="441"/>
      <c r="AG261" s="441"/>
      <c r="AH261" s="441"/>
      <c r="AI261" s="441"/>
      <c r="AJ261" s="441"/>
      <c r="AK261" s="441"/>
      <c r="AL261" s="441"/>
      <c r="AM261" s="441"/>
      <c r="AN261" s="441"/>
      <c r="AO261" s="441"/>
      <c r="AP261" s="441"/>
    </row>
    <row r="262" spans="2:47" s="114" customFormat="1" ht="12.75" hidden="1" customHeight="1" outlineLevel="1">
      <c r="B262" s="2660" t="s">
        <v>5124</v>
      </c>
      <c r="C262" s="2661"/>
      <c r="D262" s="136">
        <f>D112</f>
        <v>0</v>
      </c>
      <c r="E262" s="136">
        <f t="shared" si="73"/>
        <v>0</v>
      </c>
      <c r="F262" s="185">
        <f t="shared" si="74"/>
        <v>0</v>
      </c>
      <c r="G262" s="170"/>
      <c r="H262" s="136">
        <f>AC112</f>
        <v>0</v>
      </c>
      <c r="I262" s="185" t="str">
        <f t="shared" si="75"/>
        <v/>
      </c>
      <c r="J262" s="170"/>
      <c r="K262" s="170"/>
      <c r="AE262" s="441"/>
      <c r="AF262" s="441"/>
      <c r="AG262" s="441"/>
      <c r="AH262" s="441"/>
      <c r="AI262" s="441"/>
      <c r="AJ262" s="441"/>
      <c r="AK262" s="441"/>
      <c r="AL262" s="441"/>
      <c r="AM262" s="441"/>
      <c r="AN262" s="441"/>
      <c r="AO262" s="441"/>
      <c r="AP262" s="441"/>
    </row>
    <row r="263" spans="2:47" s="114" customFormat="1" ht="12.75" hidden="1" customHeight="1" outlineLevel="1">
      <c r="B263" s="2660"/>
      <c r="C263" s="2661"/>
      <c r="D263" s="136"/>
      <c r="E263" s="136"/>
      <c r="F263" s="185">
        <f t="shared" si="74"/>
        <v>0</v>
      </c>
      <c r="G263" s="170"/>
      <c r="H263" s="136"/>
      <c r="I263" s="185" t="str">
        <f t="shared" si="75"/>
        <v/>
      </c>
      <c r="J263" s="170"/>
      <c r="K263" s="170"/>
      <c r="AE263" s="441"/>
      <c r="AF263" s="441"/>
      <c r="AG263" s="441"/>
      <c r="AH263" s="441"/>
      <c r="AI263" s="441"/>
      <c r="AJ263" s="441"/>
      <c r="AK263" s="441"/>
      <c r="AL263" s="441"/>
      <c r="AM263" s="441"/>
      <c r="AN263" s="441"/>
      <c r="AO263" s="441"/>
      <c r="AP263" s="441"/>
    </row>
    <row r="264" spans="2:47" s="114" customFormat="1" ht="12.75" hidden="1" customHeight="1" outlineLevel="1">
      <c r="B264" s="2660" t="s">
        <v>5125</v>
      </c>
      <c r="C264" s="2661"/>
      <c r="D264" s="136">
        <f>D127</f>
        <v>0</v>
      </c>
      <c r="E264" s="136">
        <f t="shared" si="73"/>
        <v>0</v>
      </c>
      <c r="F264" s="185">
        <f t="shared" si="74"/>
        <v>0</v>
      </c>
      <c r="G264" s="170"/>
      <c r="H264" s="136">
        <f>AC127</f>
        <v>0</v>
      </c>
      <c r="I264" s="185" t="str">
        <f t="shared" si="75"/>
        <v/>
      </c>
      <c r="J264" s="170"/>
      <c r="K264" s="170"/>
      <c r="AE264" s="441"/>
      <c r="AF264" s="441"/>
      <c r="AG264" s="441"/>
      <c r="AH264" s="441"/>
      <c r="AI264" s="441"/>
      <c r="AJ264" s="441"/>
      <c r="AK264" s="441"/>
      <c r="AL264" s="441"/>
      <c r="AM264" s="441"/>
      <c r="AN264" s="441"/>
      <c r="AO264" s="441"/>
      <c r="AP264" s="441"/>
    </row>
    <row r="265" spans="2:47" s="114" customFormat="1" ht="12.75" hidden="1" customHeight="1" outlineLevel="1">
      <c r="B265" s="2660" t="s">
        <v>303</v>
      </c>
      <c r="C265" s="2661"/>
      <c r="D265" s="136">
        <f>D156</f>
        <v>0</v>
      </c>
      <c r="E265" s="136">
        <f t="shared" si="73"/>
        <v>0</v>
      </c>
      <c r="F265" s="185">
        <f t="shared" si="74"/>
        <v>0</v>
      </c>
      <c r="G265" s="170"/>
      <c r="H265" s="136">
        <f>AC156</f>
        <v>0</v>
      </c>
      <c r="I265" s="185" t="str">
        <f t="shared" si="75"/>
        <v/>
      </c>
      <c r="J265" s="170"/>
      <c r="K265" s="170"/>
      <c r="AE265" s="441"/>
      <c r="AF265" s="441"/>
      <c r="AG265" s="441"/>
      <c r="AH265" s="441"/>
      <c r="AI265" s="441"/>
      <c r="AJ265" s="441"/>
      <c r="AK265" s="441"/>
      <c r="AL265" s="441"/>
      <c r="AM265" s="441"/>
      <c r="AN265" s="441"/>
      <c r="AO265" s="441"/>
      <c r="AP265" s="441"/>
    </row>
    <row r="266" spans="2:47" s="114" customFormat="1" ht="12.75" hidden="1" customHeight="1" outlineLevel="1">
      <c r="B266" s="2660" t="s">
        <v>322</v>
      </c>
      <c r="C266" s="2661"/>
      <c r="D266" s="136">
        <f>D166</f>
        <v>0</v>
      </c>
      <c r="E266" s="136">
        <f t="shared" si="73"/>
        <v>0</v>
      </c>
      <c r="F266" s="185">
        <f t="shared" si="74"/>
        <v>0</v>
      </c>
      <c r="G266" s="170"/>
      <c r="H266" s="136">
        <f>AC166</f>
        <v>0</v>
      </c>
      <c r="I266" s="185" t="str">
        <f t="shared" si="75"/>
        <v/>
      </c>
      <c r="J266" s="170"/>
      <c r="K266" s="170"/>
      <c r="AE266" s="441"/>
      <c r="AF266" s="441"/>
      <c r="AG266" s="441"/>
      <c r="AH266" s="441"/>
      <c r="AI266" s="441"/>
      <c r="AJ266" s="441"/>
      <c r="AK266" s="441"/>
      <c r="AL266" s="441"/>
      <c r="AM266" s="441"/>
      <c r="AN266" s="441"/>
      <c r="AO266" s="441"/>
      <c r="AP266" s="441"/>
    </row>
    <row r="267" spans="2:47" s="114" customFormat="1" ht="12.75" hidden="1" customHeight="1" outlineLevel="1">
      <c r="B267" s="2660" t="s">
        <v>49</v>
      </c>
      <c r="C267" s="2661"/>
      <c r="D267" s="136">
        <f>D179</f>
        <v>0</v>
      </c>
      <c r="E267" s="136">
        <f t="shared" si="73"/>
        <v>0</v>
      </c>
      <c r="F267" s="185">
        <f t="shared" si="74"/>
        <v>0</v>
      </c>
      <c r="G267" s="170"/>
      <c r="H267" s="136">
        <f>AC179</f>
        <v>0</v>
      </c>
      <c r="I267" s="185" t="str">
        <f t="shared" si="75"/>
        <v/>
      </c>
      <c r="J267" s="170"/>
      <c r="K267" s="170"/>
      <c r="AE267" s="441"/>
      <c r="AF267" s="441"/>
      <c r="AG267" s="441"/>
      <c r="AH267" s="441"/>
      <c r="AI267" s="441"/>
      <c r="AJ267" s="441"/>
      <c r="AK267" s="441"/>
      <c r="AL267" s="441"/>
      <c r="AM267" s="441"/>
      <c r="AN267" s="441"/>
      <c r="AO267" s="441"/>
      <c r="AP267" s="441"/>
    </row>
    <row r="268" spans="2:47" s="114" customFormat="1" ht="12.75" hidden="1" customHeight="1" outlineLevel="1">
      <c r="B268" s="2660" t="s">
        <v>5126</v>
      </c>
      <c r="C268" s="2661"/>
      <c r="D268" s="1173">
        <f>D188+D197+D209</f>
        <v>0</v>
      </c>
      <c r="E268" s="136">
        <f t="shared" ref="E268" si="76">D268/1000</f>
        <v>0</v>
      </c>
      <c r="F268" s="185">
        <f t="shared" si="74"/>
        <v>0</v>
      </c>
      <c r="G268" s="170"/>
      <c r="H268" s="1173">
        <f>SQRT(AC188^2+AC197^2+AC209^2)</f>
        <v>0</v>
      </c>
      <c r="I268" s="2403"/>
      <c r="J268" s="170"/>
      <c r="K268" s="170"/>
      <c r="AE268" s="441"/>
      <c r="AF268" s="441"/>
      <c r="AG268" s="441"/>
      <c r="AH268" s="441"/>
      <c r="AI268" s="441"/>
      <c r="AJ268" s="441"/>
      <c r="AK268" s="441"/>
      <c r="AL268" s="441"/>
      <c r="AM268" s="441"/>
      <c r="AN268" s="441"/>
      <c r="AO268" s="441"/>
      <c r="AP268" s="441"/>
    </row>
    <row r="269" spans="2:47" s="114" customFormat="1" ht="12.75" hidden="1" customHeight="1" outlineLevel="1">
      <c r="B269" s="2660" t="s">
        <v>3296</v>
      </c>
      <c r="C269" s="2661"/>
      <c r="D269" s="136">
        <f>D233</f>
        <v>0</v>
      </c>
      <c r="E269" s="136">
        <f t="shared" si="73"/>
        <v>0</v>
      </c>
      <c r="F269" s="185">
        <f t="shared" si="74"/>
        <v>0</v>
      </c>
      <c r="G269" s="170"/>
      <c r="H269" s="136">
        <f>AC233</f>
        <v>0</v>
      </c>
      <c r="I269" s="185" t="str">
        <f t="shared" si="75"/>
        <v/>
      </c>
      <c r="J269" s="170"/>
      <c r="K269" s="170"/>
      <c r="AE269" s="441"/>
      <c r="AF269" s="441"/>
      <c r="AG269" s="441"/>
      <c r="AH269" s="441"/>
      <c r="AI269" s="441"/>
      <c r="AJ269" s="441"/>
      <c r="AK269" s="441"/>
      <c r="AL269" s="441"/>
      <c r="AM269" s="441"/>
      <c r="AN269" s="441"/>
      <c r="AO269" s="441"/>
      <c r="AP269" s="441"/>
    </row>
    <row r="270" spans="2:47" s="211" customFormat="1" ht="15" hidden="1" customHeight="1" outlineLevel="1">
      <c r="B270" s="2662" t="s">
        <v>348</v>
      </c>
      <c r="C270" s="2663"/>
      <c r="D270" s="188">
        <f>SUM(D258:D269)</f>
        <v>958133</v>
      </c>
      <c r="E270" s="238">
        <f>SUM(E258:E269)</f>
        <v>958.13300000000004</v>
      </c>
      <c r="F270" s="190">
        <f t="shared" si="74"/>
        <v>1</v>
      </c>
      <c r="G270" s="192"/>
      <c r="H270" s="188">
        <f>SQRT(SUMSQ(H258:H269))</f>
        <v>177139.20000000001</v>
      </c>
      <c r="I270" s="190">
        <f t="shared" si="75"/>
        <v>0.1848795522124799</v>
      </c>
      <c r="J270" s="192"/>
      <c r="K270" s="192"/>
      <c r="AE270" s="445"/>
      <c r="AF270" s="445"/>
      <c r="AG270" s="445"/>
      <c r="AH270" s="445"/>
      <c r="AI270" s="445"/>
      <c r="AJ270" s="445"/>
      <c r="AK270" s="445"/>
      <c r="AL270" s="445"/>
      <c r="AM270" s="445"/>
      <c r="AN270" s="445"/>
      <c r="AO270" s="445"/>
      <c r="AP270" s="445"/>
    </row>
    <row r="271" spans="2:47" s="114" customFormat="1" ht="12.75" hidden="1" customHeight="1" outlineLevel="1">
      <c r="AJ271" s="441"/>
      <c r="AK271" s="441"/>
      <c r="AL271" s="441"/>
      <c r="AM271" s="441"/>
      <c r="AN271" s="441"/>
      <c r="AO271" s="441"/>
      <c r="AP271" s="441"/>
      <c r="AQ271" s="441"/>
      <c r="AR271" s="441"/>
      <c r="AS271" s="441"/>
      <c r="AT271" s="441"/>
      <c r="AU271" s="441"/>
    </row>
    <row r="273" spans="2:15" ht="15.6" collapsed="1">
      <c r="B273" s="2688" t="s">
        <v>525</v>
      </c>
      <c r="C273" s="2689"/>
      <c r="D273" s="2689"/>
      <c r="E273" s="2689"/>
      <c r="F273" s="2689"/>
      <c r="G273" s="2689"/>
      <c r="H273" s="2689"/>
      <c r="I273" s="2689"/>
      <c r="J273" s="2689"/>
      <c r="K273" s="2689"/>
      <c r="L273" s="2689"/>
      <c r="M273" s="2689"/>
      <c r="N273" s="2689"/>
      <c r="O273" s="2690"/>
    </row>
    <row r="274" spans="2:15" ht="12" hidden="1" customHeight="1" outlineLevel="1"/>
    <row r="275" spans="2:15" ht="38.25" hidden="1" customHeight="1" outlineLevel="1">
      <c r="B275" s="229"/>
      <c r="C275" s="229"/>
      <c r="D275" s="229"/>
      <c r="E275" s="2691" t="s">
        <v>448</v>
      </c>
      <c r="F275" s="2692"/>
      <c r="G275" s="2692"/>
      <c r="H275" s="2692"/>
      <c r="I275" s="2692"/>
      <c r="J275" s="2692"/>
      <c r="K275" s="2692"/>
      <c r="L275" s="2693"/>
      <c r="M275" s="101" t="s">
        <v>440</v>
      </c>
    </row>
    <row r="276" spans="2:15" ht="45" hidden="1" customHeight="1" outlineLevel="1">
      <c r="B276" s="2691" t="s">
        <v>438</v>
      </c>
      <c r="C276" s="2693"/>
      <c r="D276" s="110" t="s">
        <v>458</v>
      </c>
      <c r="E276" s="111" t="s">
        <v>853</v>
      </c>
      <c r="F276" s="111" t="s">
        <v>854</v>
      </c>
      <c r="G276" s="111" t="s">
        <v>855</v>
      </c>
      <c r="H276" s="111" t="s">
        <v>852</v>
      </c>
      <c r="I276" s="110" t="s">
        <v>513</v>
      </c>
      <c r="J276" s="111" t="s">
        <v>856</v>
      </c>
      <c r="K276" s="111" t="s">
        <v>891</v>
      </c>
      <c r="L276" s="112" t="s">
        <v>514</v>
      </c>
      <c r="M276" s="110" t="s">
        <v>857</v>
      </c>
    </row>
    <row r="277" spans="2:15" ht="15" hidden="1" customHeight="1" outlineLevel="1">
      <c r="B277" s="2680" t="s">
        <v>459</v>
      </c>
      <c r="C277" s="2681"/>
      <c r="D277" s="230">
        <v>1</v>
      </c>
      <c r="E277" s="631"/>
      <c r="F277" s="631"/>
      <c r="G277" s="631"/>
      <c r="H277" s="631"/>
      <c r="I277" s="631"/>
      <c r="J277" s="631"/>
      <c r="K277" s="802"/>
      <c r="L277" s="632"/>
      <c r="M277" s="633"/>
    </row>
    <row r="278" spans="2:15" ht="12.75" hidden="1" customHeight="1" outlineLevel="1">
      <c r="B278" s="2680" t="s">
        <v>460</v>
      </c>
      <c r="C278" s="2681"/>
      <c r="D278" s="230">
        <v>2</v>
      </c>
      <c r="E278" s="631"/>
      <c r="F278" s="631"/>
      <c r="G278" s="631"/>
      <c r="H278" s="631"/>
      <c r="I278" s="631"/>
      <c r="J278" s="631"/>
      <c r="K278" s="802"/>
      <c r="L278" s="632"/>
      <c r="M278" s="633"/>
    </row>
    <row r="279" spans="2:15" ht="12.75" hidden="1" customHeight="1" outlineLevel="1">
      <c r="B279" s="2680" t="s">
        <v>461</v>
      </c>
      <c r="C279" s="2681"/>
      <c r="D279" s="230">
        <v>3</v>
      </c>
      <c r="E279" s="631"/>
      <c r="F279" s="631"/>
      <c r="G279" s="631"/>
      <c r="H279" s="631"/>
      <c r="I279" s="631"/>
      <c r="J279" s="631"/>
      <c r="K279" s="802"/>
      <c r="L279" s="632"/>
      <c r="M279" s="633"/>
    </row>
    <row r="280" spans="2:15" ht="12.75" hidden="1" customHeight="1" outlineLevel="1">
      <c r="B280" s="2680" t="s">
        <v>462</v>
      </c>
      <c r="C280" s="2681"/>
      <c r="D280" s="230">
        <v>4</v>
      </c>
      <c r="E280" s="631"/>
      <c r="F280" s="631"/>
      <c r="G280" s="631"/>
      <c r="H280" s="631"/>
      <c r="I280" s="631"/>
      <c r="J280" s="631"/>
      <c r="K280" s="802"/>
      <c r="L280" s="632"/>
      <c r="M280" s="633"/>
    </row>
    <row r="281" spans="2:15" ht="12.75" hidden="1" customHeight="1" outlineLevel="1">
      <c r="B281" s="2680" t="s">
        <v>463</v>
      </c>
      <c r="C281" s="2681"/>
      <c r="D281" s="230">
        <v>5</v>
      </c>
      <c r="E281" s="631"/>
      <c r="F281" s="631"/>
      <c r="G281" s="631"/>
      <c r="H281" s="631"/>
      <c r="I281" s="631"/>
      <c r="J281" s="631"/>
      <c r="K281" s="802"/>
      <c r="L281" s="632"/>
      <c r="M281" s="633"/>
    </row>
    <row r="282" spans="2:15" ht="12.75" hidden="1" customHeight="1" outlineLevel="1">
      <c r="B282" s="2682"/>
      <c r="C282" s="2683"/>
      <c r="D282" s="133" t="s">
        <v>439</v>
      </c>
      <c r="E282" s="634">
        <f t="shared" ref="E282:M282" si="77">SUM(E277:E281)</f>
        <v>0</v>
      </c>
      <c r="F282" s="634">
        <f t="shared" si="77"/>
        <v>0</v>
      </c>
      <c r="G282" s="634">
        <f t="shared" si="77"/>
        <v>0</v>
      </c>
      <c r="H282" s="634">
        <f t="shared" si="77"/>
        <v>0</v>
      </c>
      <c r="I282" s="634">
        <f t="shared" si="77"/>
        <v>0</v>
      </c>
      <c r="J282" s="634">
        <f>SUM(J277:J281)</f>
        <v>0</v>
      </c>
      <c r="K282" s="807">
        <f>SUM(K277:K281)</f>
        <v>0</v>
      </c>
      <c r="L282" s="635">
        <f>SQRT(SUMSQ(L277:L281))</f>
        <v>0</v>
      </c>
      <c r="M282" s="636">
        <f t="shared" si="77"/>
        <v>0</v>
      </c>
    </row>
    <row r="283" spans="2:15" ht="15" hidden="1" customHeight="1" outlineLevel="1">
      <c r="B283" s="2684" t="s">
        <v>464</v>
      </c>
      <c r="C283" s="2685"/>
      <c r="D283" s="231">
        <v>6</v>
      </c>
      <c r="E283" s="637"/>
      <c r="F283" s="637"/>
      <c r="G283" s="637"/>
      <c r="H283" s="637"/>
      <c r="I283" s="637"/>
      <c r="J283" s="637"/>
      <c r="K283" s="808"/>
      <c r="L283" s="632"/>
      <c r="M283" s="638"/>
    </row>
    <row r="284" spans="2:15" ht="12.75" hidden="1" customHeight="1" outlineLevel="1">
      <c r="B284" s="2686" t="s">
        <v>465</v>
      </c>
      <c r="C284" s="2687"/>
      <c r="D284" s="231">
        <v>7</v>
      </c>
      <c r="E284" s="637"/>
      <c r="F284" s="637"/>
      <c r="G284" s="637"/>
      <c r="H284" s="637"/>
      <c r="I284" s="637"/>
      <c r="J284" s="637"/>
      <c r="K284" s="808"/>
      <c r="L284" s="632"/>
      <c r="M284" s="638"/>
    </row>
    <row r="285" spans="2:15" ht="12.75" hidden="1" customHeight="1" outlineLevel="1">
      <c r="B285" s="2696"/>
      <c r="C285" s="2697"/>
      <c r="D285" s="134" t="s">
        <v>439</v>
      </c>
      <c r="E285" s="639">
        <f t="shared" ref="E285:M285" si="78">SUM(E283:E284)</f>
        <v>0</v>
      </c>
      <c r="F285" s="639">
        <f>SUM(F283:F284)</f>
        <v>0</v>
      </c>
      <c r="G285" s="639">
        <f>SUM(G283:G284)</f>
        <v>0</v>
      </c>
      <c r="H285" s="639">
        <f t="shared" si="78"/>
        <v>0</v>
      </c>
      <c r="I285" s="639">
        <f t="shared" si="78"/>
        <v>0</v>
      </c>
      <c r="J285" s="639">
        <f t="shared" si="78"/>
        <v>0</v>
      </c>
      <c r="K285" s="810">
        <v>0</v>
      </c>
      <c r="L285" s="635">
        <f>SQRT(SUMSQ(L283:L284))</f>
        <v>0</v>
      </c>
      <c r="M285" s="640">
        <f t="shared" si="78"/>
        <v>0</v>
      </c>
    </row>
    <row r="286" spans="2:15" ht="15" hidden="1" customHeight="1" outlineLevel="1">
      <c r="B286" s="2694" t="s">
        <v>466</v>
      </c>
      <c r="C286" s="2695"/>
      <c r="D286" s="232">
        <v>8</v>
      </c>
      <c r="E286" s="641"/>
      <c r="F286" s="641"/>
      <c r="G286" s="641"/>
      <c r="H286" s="641"/>
      <c r="I286" s="641"/>
      <c r="J286" s="641"/>
      <c r="K286" s="812"/>
      <c r="L286" s="632"/>
      <c r="M286" s="641"/>
    </row>
    <row r="287" spans="2:15" ht="12.75" hidden="1" customHeight="1" outlineLevel="1">
      <c r="B287" s="2694" t="s">
        <v>467</v>
      </c>
      <c r="C287" s="2695"/>
      <c r="D287" s="232">
        <v>9</v>
      </c>
      <c r="E287" s="641"/>
      <c r="F287" s="641"/>
      <c r="G287" s="641"/>
      <c r="H287" s="641"/>
      <c r="I287" s="641"/>
      <c r="J287" s="641"/>
      <c r="K287" s="812"/>
      <c r="L287" s="632"/>
      <c r="M287" s="641"/>
    </row>
    <row r="288" spans="2:15" ht="12.75" hidden="1" customHeight="1" outlineLevel="1">
      <c r="B288" s="2694" t="s">
        <v>468</v>
      </c>
      <c r="C288" s="2695"/>
      <c r="D288" s="232">
        <v>10</v>
      </c>
      <c r="E288" s="641"/>
      <c r="F288" s="641"/>
      <c r="G288" s="641"/>
      <c r="H288" s="641"/>
      <c r="I288" s="641"/>
      <c r="J288" s="641"/>
      <c r="K288" s="812"/>
      <c r="L288" s="632"/>
      <c r="M288" s="641"/>
    </row>
    <row r="289" spans="2:15" ht="12.75" hidden="1" customHeight="1" outlineLevel="1">
      <c r="B289" s="2694" t="s">
        <v>386</v>
      </c>
      <c r="C289" s="2695"/>
      <c r="D289" s="232">
        <v>11</v>
      </c>
      <c r="E289" s="641"/>
      <c r="F289" s="641"/>
      <c r="G289" s="641"/>
      <c r="H289" s="641"/>
      <c r="I289" s="641"/>
      <c r="J289" s="641"/>
      <c r="K289" s="812"/>
      <c r="L289" s="632"/>
      <c r="M289" s="641"/>
    </row>
    <row r="290" spans="2:15" ht="12.75" hidden="1" customHeight="1" outlineLevel="1">
      <c r="B290" s="2694" t="s">
        <v>469</v>
      </c>
      <c r="C290" s="2695"/>
      <c r="D290" s="232">
        <v>12</v>
      </c>
      <c r="E290" s="641"/>
      <c r="F290" s="641"/>
      <c r="G290" s="641"/>
      <c r="H290" s="641"/>
      <c r="I290" s="641"/>
      <c r="J290" s="641"/>
      <c r="K290" s="812"/>
      <c r="L290" s="632"/>
      <c r="M290" s="641"/>
    </row>
    <row r="291" spans="2:15" ht="12.75" hidden="1" customHeight="1" outlineLevel="1">
      <c r="B291" s="2694" t="s">
        <v>470</v>
      </c>
      <c r="C291" s="2695"/>
      <c r="D291" s="232">
        <v>13</v>
      </c>
      <c r="E291" s="641"/>
      <c r="F291" s="641"/>
      <c r="G291" s="641"/>
      <c r="H291" s="641"/>
      <c r="I291" s="641"/>
      <c r="J291" s="641"/>
      <c r="K291" s="812"/>
      <c r="L291" s="632"/>
      <c r="M291" s="641"/>
    </row>
    <row r="292" spans="2:15" ht="12.75" hidden="1" customHeight="1" outlineLevel="1">
      <c r="B292" s="2694" t="s">
        <v>471</v>
      </c>
      <c r="C292" s="2695"/>
      <c r="D292" s="232">
        <v>14</v>
      </c>
      <c r="E292" s="641"/>
      <c r="F292" s="641"/>
      <c r="G292" s="641"/>
      <c r="H292" s="641"/>
      <c r="I292" s="641"/>
      <c r="J292" s="641"/>
      <c r="K292" s="812"/>
      <c r="L292" s="632"/>
      <c r="M292" s="641"/>
    </row>
    <row r="293" spans="2:15" ht="12.75" hidden="1" customHeight="1" outlineLevel="1">
      <c r="B293" s="2694" t="s">
        <v>472</v>
      </c>
      <c r="C293" s="2695"/>
      <c r="D293" s="232">
        <v>15</v>
      </c>
      <c r="E293" s="641"/>
      <c r="F293" s="641"/>
      <c r="G293" s="641"/>
      <c r="H293" s="641"/>
      <c r="I293" s="641"/>
      <c r="J293" s="641"/>
      <c r="K293" s="812"/>
      <c r="L293" s="632"/>
      <c r="M293" s="641"/>
    </row>
    <row r="294" spans="2:15" ht="12.75" hidden="1" customHeight="1" outlineLevel="1">
      <c r="B294" s="2694" t="s">
        <v>473</v>
      </c>
      <c r="C294" s="2695"/>
      <c r="D294" s="232">
        <v>16</v>
      </c>
      <c r="E294" s="641"/>
      <c r="F294" s="641"/>
      <c r="G294" s="641"/>
      <c r="H294" s="641"/>
      <c r="I294" s="641"/>
      <c r="J294" s="641"/>
      <c r="K294" s="812"/>
      <c r="L294" s="632"/>
      <c r="M294" s="641"/>
    </row>
    <row r="295" spans="2:15" ht="12.75" hidden="1" customHeight="1" outlineLevel="1">
      <c r="B295" s="2694" t="s">
        <v>474</v>
      </c>
      <c r="C295" s="2695"/>
      <c r="D295" s="232">
        <v>17</v>
      </c>
      <c r="E295" s="641"/>
      <c r="F295" s="641"/>
      <c r="G295" s="641"/>
      <c r="H295" s="641"/>
      <c r="I295" s="641"/>
      <c r="J295" s="641"/>
      <c r="K295" s="812"/>
      <c r="L295" s="632"/>
      <c r="M295" s="641"/>
      <c r="N295" s="940"/>
      <c r="O295" s="940"/>
    </row>
    <row r="296" spans="2:15" ht="12.75" hidden="1" customHeight="1" outlineLevel="1">
      <c r="B296" s="2694" t="s">
        <v>475</v>
      </c>
      <c r="C296" s="2695"/>
      <c r="D296" s="232">
        <v>18</v>
      </c>
      <c r="E296" s="641"/>
      <c r="F296" s="641"/>
      <c r="G296" s="641"/>
      <c r="H296" s="641"/>
      <c r="I296" s="641"/>
      <c r="J296" s="641"/>
      <c r="K296" s="812"/>
      <c r="L296" s="632"/>
      <c r="M296" s="641"/>
      <c r="N296" s="237"/>
      <c r="O296" s="817"/>
    </row>
    <row r="297" spans="2:15" ht="12.75" hidden="1" customHeight="1" outlineLevel="1">
      <c r="B297" s="2694" t="s">
        <v>476</v>
      </c>
      <c r="C297" s="2695"/>
      <c r="D297" s="232">
        <v>19</v>
      </c>
      <c r="E297" s="641">
        <f>SUM(AE28:AH28)+SUM(AE40:AH40)+SUM(AE80:AH80)+SUM(AE97:AH97)+SUM(AE127:AH127)+SUM(AE112:AH112)+SUM(AE179:AH179)+SUM(AE188:AH188)+SUM(AE197:AH197)+SUM(AE209:AH209)+AE156+SUM(AE233:AH233)-E299</f>
        <v>958133</v>
      </c>
      <c r="F297" s="641">
        <f>SUM(AI28:AL28)+SUM(AI40:AL40)+SUM(AI80:AL80)+SUM(AI97:AL97)+SUM(AI127:AL127)+SUM(AI112:AL112)+AI156+SUM(AI179:AL179)+SUM(AI188:AL188)+SUM(AI197:AL197)+SUM(AI209:AL209)+SUM(AI233:AL233)-F299</f>
        <v>0</v>
      </c>
      <c r="G297" s="641">
        <f>SUM(AM28:AP28)+SUM(AM40:AP40)+SUM(AM80:AP80)+SUM(AM97:AP97)+SUM(AM127:AP127)+SUM(AM112:AP112)+AM156+SUM(AM179:AP179)+SUM(AM188:AP188)+SUM(AM197:AP197)+SUM(AM209:AP209)+SUM(AM233:AP233)-G299</f>
        <v>0</v>
      </c>
      <c r="H297" s="641">
        <f>SUM(AQ28:AT28)+SUM(AQ40:AT40)+SUM(AQ80:AT80)+SUM(AQ97:AT97)+SUM(AQ127:AT127)+SUM(AQ112:AT112)+AQ156+SUM(AQ179:AT179)+SUM(AQ188:AT188)+SUM(AQ197:AT197)+SUM(AQ209:AT209)+SUM(AQ233:AT233)-H299</f>
        <v>0</v>
      </c>
      <c r="I297" s="641">
        <f>SUM(E297:H297)+IF('Bilan GES'!E38="Oui",K297,0)</f>
        <v>958133</v>
      </c>
      <c r="J297" s="641">
        <f>SUM(AY28:BB28)+SUM(AY40:BB40)+SUM(AY80:BB80)+SUM(AY97:BB97)+SUM(AY127:BB127)+SUM(AY112:BB112)+AY156++SUM(AY179:BB179)+SUM(AY188:BB188)+SUM(AY197:BB197)+SUM(AY209:BB209)+SUM(AY233:BB233)-J299</f>
        <v>0</v>
      </c>
      <c r="K297" s="812">
        <f>AQ166-K299</f>
        <v>0</v>
      </c>
      <c r="L297" s="632">
        <f>SQRT(AC40^2+AC28^2+AC80^2+AC97^2+AC112^2+AC127^2+AC156^2+AC179^2+AC188^2+AC197^2+AC209^2+AC233^2+IF('Bilan GES'!E38="Oui",AC166^2,0)-(L299^2))</f>
        <v>177139.20000000001</v>
      </c>
      <c r="M297" s="641"/>
    </row>
    <row r="298" spans="2:15" ht="12.75" hidden="1" customHeight="1" outlineLevel="1">
      <c r="B298" s="2694" t="s">
        <v>477</v>
      </c>
      <c r="C298" s="2695"/>
      <c r="D298" s="232">
        <v>20</v>
      </c>
      <c r="E298" s="641"/>
      <c r="F298" s="641"/>
      <c r="G298" s="641"/>
      <c r="H298" s="641"/>
      <c r="I298" s="641"/>
      <c r="J298" s="641"/>
      <c r="K298" s="812"/>
      <c r="L298" s="632"/>
      <c r="M298" s="641"/>
    </row>
    <row r="299" spans="2:15" ht="12.75" hidden="1" customHeight="1" outlineLevel="1">
      <c r="B299" s="2694" t="s">
        <v>478</v>
      </c>
      <c r="C299" s="2695"/>
      <c r="D299" s="232">
        <v>21</v>
      </c>
      <c r="E299" s="641">
        <f>SUMIF($F$9:$F$233,"Oui",AE9:AE233)+SUMIF($F$9:$F$233,"Oui",AF9:AF233)+SUMIF($F$9:$F$233,"Oui",AG9:AG233)+SUMIF($F$9:$F$233,"Oui",AH9:AH233)</f>
        <v>0</v>
      </c>
      <c r="F299" s="641">
        <f>SUMIF($F$9:$F$233,"Oui",AI9:AI233)+SUMIF($F$9:$F$233,"Oui",AJ9:AJ233)+SUMIF($F$9:$F$233,"Oui",AK9:AK233)+SUMIF($F$9:$F$233,"Oui",AL9:AL233)</f>
        <v>0</v>
      </c>
      <c r="G299" s="641">
        <f>SUMIF($F$9:$F$233,"Oui",AM9:AM233)+SUMIF($F$9:$F$233,"Oui",AN9:AN233)+SUMIF($F$9:$F$233,"Oui",AO9:AO233)+SUMIF($F$9:$F$233,"Oui",AP9:AP233)</f>
        <v>0</v>
      </c>
      <c r="H299" s="641">
        <f>SUMIF($F$9:$F$156,"Oui",AQ9:AQ156)+SUMIF($F$9:$F$156,"Oui",AR9:AR156)+SUMIF($F$9:$F$156,"Oui",AS9:AS156)+SUMIF($F$9:$F$156,"Oui",AT9:AT156)
+SUMIF($F$211:$F$233,"Oui",AQ211:AQ233)+SUMIF($F$211:$F$233,"Oui",AR211:AR233)+SUMIF($F$211:$F$233,"Oui",AS211:AS233)+SUMIF($F$211:$F$233,"Oui",AT211:AT233)</f>
        <v>0</v>
      </c>
      <c r="I299" s="641">
        <f>SUM(E299:H299)+IF('Bilan GES'!E38="Oui",K299,0)</f>
        <v>0</v>
      </c>
      <c r="J299" s="641">
        <f>SUMIF($F$9:$F$233,"Oui",AY9:AY233)+SUMIF($F$9:$F$233,"Oui",AZ9:AZ233)+SUMIF($F$9:$F$233,"Oui",BA9:BA233)+SUMIF($F$9:$F$233,"Oui",BB9:BB233)</f>
        <v>0</v>
      </c>
      <c r="K299" s="812">
        <f>SUMIF($F$158:$F$166,"Oui",AQ158:AT166)</f>
        <v>0</v>
      </c>
      <c r="L299" s="632">
        <f>SQRT(SUMPRODUCT(($F$13:$F$156="Oui")*1,AC13:AC156,AC13:AC156)+SUMPRODUCT(($F$211:$F$233="Oui")*1,AC211:AC233,AC211:AC233)+IF('Bilan GES'!E38="Oui",SUMPRODUCT(($F$158:$F$166="Oui")*1,AC158:AC166,AC158:AC166)))</f>
        <v>0</v>
      </c>
      <c r="M299" s="641"/>
    </row>
    <row r="300" spans="2:15" ht="12.75" hidden="1" customHeight="1" outlineLevel="1">
      <c r="B300" s="2694" t="s">
        <v>479</v>
      </c>
      <c r="C300" s="2695"/>
      <c r="D300" s="232">
        <v>22</v>
      </c>
      <c r="E300" s="641"/>
      <c r="F300" s="641"/>
      <c r="G300" s="641"/>
      <c r="H300" s="641"/>
      <c r="I300" s="641"/>
      <c r="J300" s="641"/>
      <c r="K300" s="812"/>
      <c r="L300" s="632"/>
      <c r="M300" s="641"/>
    </row>
    <row r="301" spans="2:15" ht="12.75" hidden="1" customHeight="1" outlineLevel="1">
      <c r="B301" s="2694" t="s">
        <v>449</v>
      </c>
      <c r="C301" s="2695"/>
      <c r="D301" s="232">
        <v>23</v>
      </c>
      <c r="E301" s="641"/>
      <c r="F301" s="641"/>
      <c r="G301" s="641"/>
      <c r="H301" s="641"/>
      <c r="I301" s="641"/>
      <c r="J301" s="641"/>
      <c r="K301" s="812"/>
      <c r="L301" s="632"/>
      <c r="M301" s="641"/>
    </row>
    <row r="302" spans="2:15" ht="12.75" hidden="1" customHeight="1" outlineLevel="1">
      <c r="B302" s="2706"/>
      <c r="C302" s="2707"/>
      <c r="D302" s="135" t="s">
        <v>439</v>
      </c>
      <c r="E302" s="642">
        <f t="shared" ref="E302:J302" si="79">SUM(E286:E301)</f>
        <v>958133</v>
      </c>
      <c r="F302" s="642">
        <f t="shared" si="79"/>
        <v>0</v>
      </c>
      <c r="G302" s="642">
        <f t="shared" si="79"/>
        <v>0</v>
      </c>
      <c r="H302" s="642">
        <f t="shared" si="79"/>
        <v>0</v>
      </c>
      <c r="I302" s="642">
        <f t="shared" si="79"/>
        <v>958133</v>
      </c>
      <c r="J302" s="642">
        <f t="shared" si="79"/>
        <v>0</v>
      </c>
      <c r="K302" s="813">
        <f>SUM(K286:K301)</f>
        <v>0</v>
      </c>
      <c r="L302" s="635">
        <f>SQRT(SUMSQ(L286:L301))</f>
        <v>177139.20000000001</v>
      </c>
      <c r="M302" s="642">
        <f>SUM(M286:M301)</f>
        <v>0</v>
      </c>
    </row>
    <row r="303" spans="2:15" ht="12" hidden="1" customHeight="1" outlineLevel="1"/>
    <row r="305" spans="2:50" ht="15.6" collapsed="1">
      <c r="B305" s="2698" t="s">
        <v>721</v>
      </c>
      <c r="C305" s="2699"/>
      <c r="D305" s="2699"/>
      <c r="E305" s="2699"/>
      <c r="F305" s="2699"/>
      <c r="G305" s="2699"/>
      <c r="H305" s="2699"/>
      <c r="I305" s="2699"/>
      <c r="J305" s="2699"/>
      <c r="K305" s="2699"/>
      <c r="L305" s="2699"/>
      <c r="M305" s="2699"/>
      <c r="N305" s="2699"/>
      <c r="O305" s="2700"/>
      <c r="W305" s="817"/>
      <c r="AB305" s="817"/>
      <c r="AE305" s="817"/>
    </row>
    <row r="306" spans="2:50" ht="12" hidden="1" customHeight="1" outlineLevel="1">
      <c r="W306" s="817"/>
      <c r="AB306" s="817"/>
      <c r="AE306" s="817"/>
    </row>
    <row r="307" spans="2:50" ht="38.25" hidden="1" customHeight="1" outlineLevel="1">
      <c r="B307" s="205"/>
      <c r="C307" s="205"/>
      <c r="D307" s="205"/>
      <c r="E307" s="2701" t="s">
        <v>448</v>
      </c>
      <c r="F307" s="2702"/>
      <c r="G307" s="2702"/>
      <c r="H307" s="2702"/>
      <c r="I307" s="2702"/>
      <c r="J307" s="2702"/>
      <c r="K307" s="2702"/>
      <c r="L307" s="2702"/>
      <c r="M307" s="2702"/>
      <c r="N307" s="2703"/>
      <c r="O307" s="865" t="s">
        <v>440</v>
      </c>
      <c r="W307" s="817"/>
      <c r="AB307" s="817"/>
      <c r="AE307" s="817"/>
    </row>
    <row r="308" spans="2:50" ht="25.5" hidden="1" customHeight="1" outlineLevel="1">
      <c r="B308" s="2701" t="s">
        <v>438</v>
      </c>
      <c r="C308" s="2703"/>
      <c r="D308" s="867" t="s">
        <v>458</v>
      </c>
      <c r="E308" s="866" t="s">
        <v>853</v>
      </c>
      <c r="F308" s="866" t="s">
        <v>854</v>
      </c>
      <c r="G308" s="866" t="s">
        <v>855</v>
      </c>
      <c r="H308" s="866" t="s">
        <v>858</v>
      </c>
      <c r="I308" s="866" t="s">
        <v>859</v>
      </c>
      <c r="J308" s="866" t="s">
        <v>860</v>
      </c>
      <c r="K308" s="866" t="s">
        <v>852</v>
      </c>
      <c r="L308" s="867" t="s">
        <v>513</v>
      </c>
      <c r="M308" s="866" t="s">
        <v>856</v>
      </c>
      <c r="N308" s="866" t="s">
        <v>514</v>
      </c>
      <c r="O308" s="867" t="s">
        <v>513</v>
      </c>
      <c r="Z308" s="817"/>
      <c r="AH308" s="817"/>
      <c r="AJ308" s="113"/>
      <c r="AK308" s="113"/>
      <c r="AL308" s="113"/>
      <c r="AV308" s="576"/>
      <c r="AW308" s="576"/>
      <c r="AX308" s="576"/>
    </row>
    <row r="309" spans="2:50" ht="12.75" hidden="1" customHeight="1" outlineLevel="1">
      <c r="B309" s="2704" t="s">
        <v>459</v>
      </c>
      <c r="C309" s="2705"/>
      <c r="D309" s="861" t="s">
        <v>727</v>
      </c>
      <c r="E309" s="855"/>
      <c r="F309" s="855"/>
      <c r="G309" s="855"/>
      <c r="H309" s="855"/>
      <c r="I309" s="855"/>
      <c r="J309" s="855"/>
      <c r="K309" s="855"/>
      <c r="L309" s="864"/>
      <c r="M309" s="853"/>
      <c r="N309" s="858"/>
      <c r="O309" s="857"/>
      <c r="Z309" s="817"/>
      <c r="AH309" s="817"/>
      <c r="AJ309" s="113"/>
      <c r="AK309" s="113"/>
      <c r="AL309" s="113"/>
      <c r="AV309" s="576"/>
      <c r="AW309" s="576"/>
      <c r="AX309" s="576"/>
    </row>
    <row r="310" spans="2:50" ht="12.75" hidden="1" customHeight="1" outlineLevel="1">
      <c r="B310" s="2704" t="s">
        <v>722</v>
      </c>
      <c r="C310" s="2705"/>
      <c r="D310" s="862" t="s">
        <v>728</v>
      </c>
      <c r="E310" s="855"/>
      <c r="F310" s="855"/>
      <c r="G310" s="855"/>
      <c r="H310" s="855"/>
      <c r="I310" s="855"/>
      <c r="J310" s="855"/>
      <c r="K310" s="855"/>
      <c r="L310" s="864"/>
      <c r="M310" s="853"/>
      <c r="N310" s="858"/>
      <c r="O310" s="857"/>
      <c r="Z310" s="817"/>
      <c r="AH310" s="817"/>
      <c r="AJ310" s="113"/>
      <c r="AK310" s="113"/>
      <c r="AL310" s="113"/>
      <c r="AV310" s="576"/>
      <c r="AW310" s="576"/>
      <c r="AX310" s="576"/>
    </row>
    <row r="311" spans="2:50" ht="12.75" hidden="1" customHeight="1" outlineLevel="1">
      <c r="B311" s="2704" t="s">
        <v>723</v>
      </c>
      <c r="C311" s="2705"/>
      <c r="D311" s="862" t="s">
        <v>729</v>
      </c>
      <c r="E311" s="855"/>
      <c r="F311" s="855"/>
      <c r="G311" s="855"/>
      <c r="H311" s="855"/>
      <c r="I311" s="855"/>
      <c r="J311" s="855"/>
      <c r="K311" s="855"/>
      <c r="L311" s="864"/>
      <c r="M311" s="853"/>
      <c r="N311" s="858"/>
      <c r="O311" s="857"/>
      <c r="Z311" s="817"/>
      <c r="AH311" s="817"/>
      <c r="AJ311" s="113"/>
      <c r="AK311" s="113"/>
      <c r="AL311" s="113"/>
      <c r="AV311" s="576"/>
      <c r="AW311" s="576"/>
      <c r="AX311" s="576"/>
    </row>
    <row r="312" spans="2:50" ht="12.75" hidden="1" customHeight="1" outlineLevel="1">
      <c r="B312" s="2704" t="s">
        <v>462</v>
      </c>
      <c r="C312" s="2705"/>
      <c r="D312" s="862" t="s">
        <v>730</v>
      </c>
      <c r="E312" s="855"/>
      <c r="F312" s="855"/>
      <c r="G312" s="855"/>
      <c r="H312" s="855"/>
      <c r="I312" s="855"/>
      <c r="J312" s="855"/>
      <c r="K312" s="855"/>
      <c r="L312" s="864"/>
      <c r="M312" s="853"/>
      <c r="N312" s="858"/>
      <c r="O312" s="857"/>
      <c r="Z312" s="817"/>
      <c r="AH312" s="817"/>
      <c r="AJ312" s="113"/>
      <c r="AK312" s="113"/>
      <c r="AL312" s="113"/>
      <c r="AV312" s="576"/>
      <c r="AW312" s="576"/>
      <c r="AX312" s="576"/>
    </row>
    <row r="313" spans="2:50" ht="12.75" hidden="1" customHeight="1" outlineLevel="1">
      <c r="B313" s="2710" t="s">
        <v>726</v>
      </c>
      <c r="C313" s="2711"/>
      <c r="D313" s="2712"/>
      <c r="E313" s="852">
        <f t="shared" ref="E313:O313" si="80">SUM(E309:E312)</f>
        <v>0</v>
      </c>
      <c r="F313" s="852">
        <f t="shared" si="80"/>
        <v>0</v>
      </c>
      <c r="G313" s="852">
        <f t="shared" si="80"/>
        <v>0</v>
      </c>
      <c r="H313" s="852">
        <f t="shared" si="80"/>
        <v>0</v>
      </c>
      <c r="I313" s="852">
        <f t="shared" si="80"/>
        <v>0</v>
      </c>
      <c r="J313" s="852">
        <f t="shared" si="80"/>
        <v>0</v>
      </c>
      <c r="K313" s="852">
        <f t="shared" si="80"/>
        <v>0</v>
      </c>
      <c r="L313" s="852">
        <f t="shared" si="80"/>
        <v>0</v>
      </c>
      <c r="M313" s="863">
        <f t="shared" si="80"/>
        <v>0</v>
      </c>
      <c r="N313" s="859">
        <f>SQRT(SUMSQ(N309:N312))</f>
        <v>0</v>
      </c>
      <c r="O313" s="860">
        <f t="shared" si="80"/>
        <v>0</v>
      </c>
      <c r="Z313" s="817"/>
      <c r="AH313" s="817"/>
      <c r="AJ313" s="113"/>
      <c r="AK313" s="113"/>
      <c r="AL313" s="113"/>
      <c r="AV313" s="576"/>
      <c r="AW313" s="576"/>
      <c r="AX313" s="576"/>
    </row>
    <row r="314" spans="2:50" ht="12.75" hidden="1" customHeight="1" outlineLevel="1">
      <c r="B314" s="2704" t="s">
        <v>464</v>
      </c>
      <c r="C314" s="2705"/>
      <c r="D314" s="862" t="s">
        <v>731</v>
      </c>
      <c r="E314" s="855"/>
      <c r="F314" s="855"/>
      <c r="G314" s="855"/>
      <c r="H314" s="855"/>
      <c r="I314" s="855"/>
      <c r="J314" s="855"/>
      <c r="K314" s="855"/>
      <c r="L314" s="864"/>
      <c r="M314" s="853"/>
      <c r="N314" s="858"/>
      <c r="O314" s="856"/>
      <c r="Z314" s="817"/>
      <c r="AH314" s="817"/>
      <c r="AJ314" s="113"/>
      <c r="AK314" s="113"/>
      <c r="AL314" s="113"/>
      <c r="AV314" s="576"/>
      <c r="AW314" s="576"/>
      <c r="AX314" s="576"/>
    </row>
    <row r="315" spans="2:50" ht="12.75" hidden="1" customHeight="1" outlineLevel="1">
      <c r="B315" s="2708" t="s">
        <v>465</v>
      </c>
      <c r="C315" s="2709"/>
      <c r="D315" s="862" t="s">
        <v>732</v>
      </c>
      <c r="E315" s="855"/>
      <c r="F315" s="855"/>
      <c r="G315" s="855"/>
      <c r="H315" s="855"/>
      <c r="I315" s="855"/>
      <c r="J315" s="855"/>
      <c r="K315" s="855"/>
      <c r="L315" s="864"/>
      <c r="M315" s="853"/>
      <c r="N315" s="858"/>
      <c r="O315" s="856"/>
      <c r="Z315" s="817"/>
      <c r="AH315" s="817"/>
      <c r="AJ315" s="113"/>
      <c r="AK315" s="113"/>
      <c r="AL315" s="113"/>
      <c r="AV315" s="576"/>
      <c r="AW315" s="576"/>
      <c r="AX315" s="576"/>
    </row>
    <row r="316" spans="2:50" ht="12.75" hidden="1" customHeight="1" outlineLevel="1">
      <c r="B316" s="2710" t="s">
        <v>725</v>
      </c>
      <c r="C316" s="2711"/>
      <c r="D316" s="2712"/>
      <c r="E316" s="852">
        <f t="shared" ref="E316:L316" si="81">SUM(E314:E315)</f>
        <v>0</v>
      </c>
      <c r="F316" s="852">
        <f t="shared" si="81"/>
        <v>0</v>
      </c>
      <c r="G316" s="852">
        <f t="shared" si="81"/>
        <v>0</v>
      </c>
      <c r="H316" s="852">
        <f t="shared" si="81"/>
        <v>0</v>
      </c>
      <c r="I316" s="852">
        <f t="shared" si="81"/>
        <v>0</v>
      </c>
      <c r="J316" s="852">
        <f t="shared" si="81"/>
        <v>0</v>
      </c>
      <c r="K316" s="852">
        <f t="shared" si="81"/>
        <v>0</v>
      </c>
      <c r="L316" s="852">
        <f t="shared" si="81"/>
        <v>0</v>
      </c>
      <c r="M316" s="863">
        <f>SUM(M314:M315)</f>
        <v>0</v>
      </c>
      <c r="N316" s="859">
        <f>SQRT(SUMSQ(N314:N315))</f>
        <v>0</v>
      </c>
      <c r="O316" s="860">
        <f>SUM(O314:O315)</f>
        <v>0</v>
      </c>
      <c r="Z316" s="817"/>
      <c r="AH316" s="817"/>
      <c r="AJ316" s="113"/>
      <c r="AK316" s="113"/>
      <c r="AL316" s="113"/>
      <c r="AV316" s="576"/>
      <c r="AW316" s="576"/>
      <c r="AX316" s="576"/>
    </row>
    <row r="317" spans="2:50" ht="12.75" hidden="1" customHeight="1" outlineLevel="1">
      <c r="B317" s="2713" t="s">
        <v>757</v>
      </c>
      <c r="C317" s="2714"/>
      <c r="D317" s="2714"/>
      <c r="E317" s="2714"/>
      <c r="F317" s="2714"/>
      <c r="G317" s="2714"/>
      <c r="H317" s="2714"/>
      <c r="I317" s="2714"/>
      <c r="J317" s="2714"/>
      <c r="K317" s="2714"/>
      <c r="L317" s="2714"/>
      <c r="M317" s="2714"/>
      <c r="N317" s="2714"/>
      <c r="O317" s="2715"/>
      <c r="Z317" s="817"/>
      <c r="AH317" s="817"/>
      <c r="AJ317" s="113"/>
      <c r="AK317" s="113"/>
      <c r="AL317" s="113"/>
      <c r="AV317" s="576"/>
      <c r="AW317" s="576"/>
      <c r="AX317" s="576"/>
    </row>
    <row r="318" spans="2:50" ht="12.75" hidden="1" customHeight="1" outlineLevel="1">
      <c r="B318" s="2704" t="s">
        <v>733</v>
      </c>
      <c r="C318" s="2705"/>
      <c r="D318" s="862" t="s">
        <v>741</v>
      </c>
      <c r="E318" s="855"/>
      <c r="F318" s="855"/>
      <c r="G318" s="855"/>
      <c r="H318" s="855"/>
      <c r="I318" s="855"/>
      <c r="J318" s="855"/>
      <c r="K318" s="855"/>
      <c r="L318" s="864"/>
      <c r="M318" s="853"/>
      <c r="N318" s="858"/>
      <c r="O318" s="856"/>
      <c r="Z318" s="817"/>
      <c r="AH318" s="817"/>
      <c r="AJ318" s="113"/>
      <c r="AK318" s="113"/>
      <c r="AL318" s="113"/>
      <c r="AV318" s="576"/>
      <c r="AW318" s="576"/>
      <c r="AX318" s="576"/>
    </row>
    <row r="319" spans="2:50" ht="12.75" hidden="1" customHeight="1" outlineLevel="1">
      <c r="B319" s="2704" t="s">
        <v>734</v>
      </c>
      <c r="C319" s="2705"/>
      <c r="D319" s="862" t="s">
        <v>742</v>
      </c>
      <c r="E319" s="855"/>
      <c r="F319" s="855"/>
      <c r="G319" s="855"/>
      <c r="H319" s="855"/>
      <c r="I319" s="855"/>
      <c r="J319" s="855"/>
      <c r="K319" s="855"/>
      <c r="L319" s="864"/>
      <c r="M319" s="853"/>
      <c r="N319" s="858"/>
      <c r="O319" s="856"/>
      <c r="Z319" s="817"/>
      <c r="AH319" s="817"/>
      <c r="AJ319" s="113"/>
      <c r="AK319" s="113"/>
      <c r="AL319" s="113"/>
      <c r="AV319" s="576"/>
      <c r="AW319" s="576"/>
      <c r="AX319" s="576"/>
    </row>
    <row r="320" spans="2:50" ht="12.75" hidden="1" customHeight="1" outlineLevel="1">
      <c r="B320" s="2708" t="s">
        <v>735</v>
      </c>
      <c r="C320" s="2709"/>
      <c r="D320" s="862" t="s">
        <v>743</v>
      </c>
      <c r="E320" s="855"/>
      <c r="F320" s="855"/>
      <c r="G320" s="855"/>
      <c r="H320" s="855"/>
      <c r="I320" s="855"/>
      <c r="J320" s="855"/>
      <c r="K320" s="855"/>
      <c r="L320" s="864"/>
      <c r="M320" s="853"/>
      <c r="N320" s="858"/>
      <c r="O320" s="856"/>
      <c r="Z320" s="817"/>
      <c r="AH320" s="817"/>
      <c r="AJ320" s="113"/>
      <c r="AK320" s="113"/>
      <c r="AL320" s="113"/>
      <c r="AV320" s="576"/>
      <c r="AW320" s="576"/>
      <c r="AX320" s="576"/>
    </row>
    <row r="321" spans="2:50" ht="12.75" hidden="1" customHeight="1" outlineLevel="1">
      <c r="B321" s="2704" t="s">
        <v>815</v>
      </c>
      <c r="C321" s="2705"/>
      <c r="D321" s="862" t="s">
        <v>744</v>
      </c>
      <c r="E321" s="855"/>
      <c r="F321" s="855"/>
      <c r="G321" s="855"/>
      <c r="H321" s="855"/>
      <c r="I321" s="855"/>
      <c r="J321" s="855"/>
      <c r="K321" s="855"/>
      <c r="L321" s="864"/>
      <c r="M321" s="853"/>
      <c r="N321" s="858"/>
      <c r="O321" s="856"/>
      <c r="Z321" s="817"/>
      <c r="AH321" s="817"/>
      <c r="AJ321" s="113"/>
      <c r="AK321" s="113"/>
      <c r="AL321" s="113"/>
      <c r="AV321" s="576"/>
      <c r="AW321" s="576"/>
      <c r="AX321" s="576"/>
    </row>
    <row r="322" spans="2:50" ht="12.75" hidden="1" customHeight="1" outlineLevel="1">
      <c r="B322" s="2704" t="s">
        <v>736</v>
      </c>
      <c r="C322" s="2705"/>
      <c r="D322" s="862" t="s">
        <v>745</v>
      </c>
      <c r="E322" s="855"/>
      <c r="F322" s="855"/>
      <c r="G322" s="855"/>
      <c r="H322" s="855"/>
      <c r="I322" s="855"/>
      <c r="J322" s="855"/>
      <c r="K322" s="855"/>
      <c r="L322" s="864"/>
      <c r="M322" s="853"/>
      <c r="N322" s="858"/>
      <c r="O322" s="856"/>
      <c r="Z322" s="817"/>
      <c r="AH322" s="817"/>
      <c r="AJ322" s="113"/>
      <c r="AK322" s="113"/>
      <c r="AL322" s="113"/>
      <c r="AV322" s="576"/>
      <c r="AW322" s="576"/>
      <c r="AX322" s="576"/>
    </row>
    <row r="323" spans="2:50" ht="12.75" hidden="1" customHeight="1" outlineLevel="1">
      <c r="B323" s="2704" t="s">
        <v>470</v>
      </c>
      <c r="C323" s="2705"/>
      <c r="D323" s="862" t="s">
        <v>746</v>
      </c>
      <c r="E323" s="855"/>
      <c r="F323" s="855"/>
      <c r="G323" s="855"/>
      <c r="H323" s="855"/>
      <c r="I323" s="855"/>
      <c r="J323" s="855"/>
      <c r="K323" s="855"/>
      <c r="L323" s="864"/>
      <c r="M323" s="853"/>
      <c r="N323" s="858"/>
      <c r="O323" s="856"/>
      <c r="Z323" s="817"/>
      <c r="AH323" s="817"/>
      <c r="AJ323" s="113"/>
      <c r="AK323" s="113"/>
      <c r="AL323" s="113"/>
      <c r="AV323" s="576"/>
      <c r="AW323" s="576"/>
      <c r="AX323" s="576"/>
    </row>
    <row r="324" spans="2:50" ht="12.75" hidden="1" customHeight="1" outlineLevel="1">
      <c r="B324" s="2704" t="s">
        <v>479</v>
      </c>
      <c r="C324" s="2705"/>
      <c r="D324" s="862" t="s">
        <v>747</v>
      </c>
      <c r="E324" s="855"/>
      <c r="F324" s="855"/>
      <c r="G324" s="855"/>
      <c r="H324" s="855"/>
      <c r="I324" s="855"/>
      <c r="J324" s="855"/>
      <c r="K324" s="855"/>
      <c r="L324" s="864"/>
      <c r="M324" s="853"/>
      <c r="N324" s="858"/>
      <c r="O324" s="856"/>
      <c r="Z324" s="817"/>
      <c r="AH324" s="817"/>
      <c r="AJ324" s="113"/>
      <c r="AK324" s="113"/>
      <c r="AL324" s="113"/>
      <c r="AV324" s="576"/>
      <c r="AW324" s="576"/>
      <c r="AX324" s="576"/>
    </row>
    <row r="325" spans="2:50" ht="12.75" hidden="1" customHeight="1" outlineLevel="1">
      <c r="B325" s="2704" t="s">
        <v>471</v>
      </c>
      <c r="C325" s="2705"/>
      <c r="D325" s="862" t="s">
        <v>748</v>
      </c>
      <c r="E325" s="855"/>
      <c r="F325" s="855"/>
      <c r="G325" s="855"/>
      <c r="H325" s="855"/>
      <c r="I325" s="855"/>
      <c r="J325" s="855"/>
      <c r="K325" s="855"/>
      <c r="L325" s="864"/>
      <c r="M325" s="853"/>
      <c r="N325" s="858"/>
      <c r="O325" s="856"/>
      <c r="Z325" s="817"/>
      <c r="AH325" s="817"/>
      <c r="AJ325" s="113"/>
      <c r="AK325" s="113"/>
      <c r="AL325" s="113"/>
      <c r="AV325" s="576"/>
      <c r="AW325" s="576"/>
      <c r="AX325" s="576"/>
    </row>
    <row r="326" spans="2:50" ht="12.75" hidden="1" customHeight="1" outlineLevel="1">
      <c r="B326" s="2704" t="s">
        <v>762</v>
      </c>
      <c r="C326" s="2705"/>
      <c r="D326" s="854"/>
      <c r="E326" s="855"/>
      <c r="F326" s="855"/>
      <c r="G326" s="855"/>
      <c r="H326" s="855"/>
      <c r="I326" s="855"/>
      <c r="J326" s="855"/>
      <c r="K326" s="855"/>
      <c r="L326" s="864"/>
      <c r="M326" s="853"/>
      <c r="N326" s="858"/>
      <c r="O326" s="856"/>
      <c r="Z326" s="817"/>
      <c r="AH326" s="817"/>
      <c r="AJ326" s="113"/>
      <c r="AK326" s="113"/>
      <c r="AL326" s="113"/>
      <c r="AV326" s="576"/>
      <c r="AW326" s="576"/>
      <c r="AX326" s="576"/>
    </row>
    <row r="327" spans="2:50" ht="12.75" hidden="1" customHeight="1" outlineLevel="1">
      <c r="B327" s="2713" t="s">
        <v>756</v>
      </c>
      <c r="C327" s="2714"/>
      <c r="D327" s="2714"/>
      <c r="E327" s="2714"/>
      <c r="F327" s="2714"/>
      <c r="G327" s="2714"/>
      <c r="H327" s="2714"/>
      <c r="I327" s="2714"/>
      <c r="J327" s="2714"/>
      <c r="K327" s="2714"/>
      <c r="L327" s="2714"/>
      <c r="M327" s="2714"/>
      <c r="N327" s="2714"/>
      <c r="O327" s="2715"/>
      <c r="Z327" s="817"/>
      <c r="AH327" s="817"/>
      <c r="AJ327" s="113"/>
      <c r="AK327" s="113"/>
      <c r="AL327" s="113"/>
      <c r="AV327" s="576"/>
      <c r="AW327" s="576"/>
      <c r="AX327" s="576"/>
    </row>
    <row r="328" spans="2:50" ht="12.75" hidden="1" customHeight="1" outlineLevel="1">
      <c r="B328" s="2704" t="s">
        <v>737</v>
      </c>
      <c r="C328" s="2705"/>
      <c r="D328" s="862" t="s">
        <v>749</v>
      </c>
      <c r="E328" s="855"/>
      <c r="F328" s="855"/>
      <c r="G328" s="855"/>
      <c r="H328" s="855"/>
      <c r="I328" s="855"/>
      <c r="J328" s="855"/>
      <c r="K328" s="855"/>
      <c r="L328" s="864"/>
      <c r="M328" s="853"/>
      <c r="N328" s="858"/>
      <c r="O328" s="856"/>
      <c r="Z328" s="817"/>
      <c r="AH328" s="817"/>
      <c r="AJ328" s="113"/>
      <c r="AK328" s="113"/>
      <c r="AL328" s="113"/>
      <c r="AV328" s="576"/>
      <c r="AW328" s="576"/>
      <c r="AX328" s="576"/>
    </row>
    <row r="329" spans="2:50" ht="12.75" hidden="1" customHeight="1" outlineLevel="1">
      <c r="B329" s="2704" t="s">
        <v>738</v>
      </c>
      <c r="C329" s="2705"/>
      <c r="D329" s="862" t="s">
        <v>750</v>
      </c>
      <c r="E329" s="855"/>
      <c r="F329" s="855"/>
      <c r="G329" s="855"/>
      <c r="H329" s="855"/>
      <c r="I329" s="855"/>
      <c r="J329" s="855"/>
      <c r="K329" s="855"/>
      <c r="L329" s="864"/>
      <c r="M329" s="853"/>
      <c r="N329" s="858"/>
      <c r="O329" s="856"/>
      <c r="Z329" s="817"/>
      <c r="AH329" s="817"/>
      <c r="AJ329" s="113"/>
      <c r="AK329" s="113"/>
      <c r="AL329" s="113"/>
      <c r="AV329" s="576"/>
      <c r="AW329" s="576"/>
      <c r="AX329" s="576"/>
    </row>
    <row r="330" spans="2:50" ht="12.75" hidden="1" customHeight="1" outlineLevel="1">
      <c r="B330" s="2704" t="s">
        <v>475</v>
      </c>
      <c r="C330" s="2705"/>
      <c r="D330" s="862" t="s">
        <v>751</v>
      </c>
      <c r="E330" s="855"/>
      <c r="F330" s="855"/>
      <c r="G330" s="855"/>
      <c r="H330" s="855"/>
      <c r="I330" s="855"/>
      <c r="J330" s="855"/>
      <c r="K330" s="855"/>
      <c r="L330" s="864"/>
      <c r="M330" s="853"/>
      <c r="N330" s="858"/>
      <c r="O330" s="856"/>
      <c r="Z330" s="817"/>
      <c r="AH330" s="817"/>
      <c r="AJ330" s="113"/>
      <c r="AK330" s="113"/>
      <c r="AL330" s="113"/>
      <c r="AV330" s="576"/>
      <c r="AW330" s="576"/>
      <c r="AX330" s="576"/>
    </row>
    <row r="331" spans="2:50" ht="12.75" hidden="1" customHeight="1" outlineLevel="1">
      <c r="B331" s="2704" t="s">
        <v>476</v>
      </c>
      <c r="C331" s="2705"/>
      <c r="D331" s="862" t="s">
        <v>752</v>
      </c>
      <c r="E331" s="855">
        <f>E297</f>
        <v>958133</v>
      </c>
      <c r="F331" s="855">
        <f t="shared" ref="F331:G331" si="82">F297</f>
        <v>0</v>
      </c>
      <c r="G331" s="855">
        <f t="shared" si="82"/>
        <v>0</v>
      </c>
      <c r="H331" s="855">
        <f>SUMPRODUCT((LEFT(B152:B154,3)&lt;&gt;"Per")*(LEFT(B152:B154,3)&lt;&gt;"SF6")*(AQ152:AQ154))-H332</f>
        <v>0</v>
      </c>
      <c r="I331" s="855">
        <f>SUMPRODUCT((LEFT(B152:B154,3)="Per")*(AQ152:AQ154))-I332</f>
        <v>0</v>
      </c>
      <c r="J331" s="855">
        <f>SUMPRODUCT((LEFT(B152:B154,3)="SF6")*(AQ152:AQ154))-J332</f>
        <v>0</v>
      </c>
      <c r="K331" s="855">
        <f>H297</f>
        <v>0</v>
      </c>
      <c r="L331" s="864">
        <f>SUM(E331:K331)</f>
        <v>958133</v>
      </c>
      <c r="M331" s="853">
        <f>J297</f>
        <v>0</v>
      </c>
      <c r="N331" s="858">
        <f>L297</f>
        <v>177139.20000000001</v>
      </c>
      <c r="O331" s="856"/>
      <c r="Z331" s="817"/>
      <c r="AH331" s="817"/>
      <c r="AJ331" s="113"/>
      <c r="AK331" s="113"/>
      <c r="AL331" s="113"/>
      <c r="AV331" s="576"/>
      <c r="AW331" s="576"/>
      <c r="AX331" s="576"/>
    </row>
    <row r="332" spans="2:50" ht="12.75" hidden="1" customHeight="1" outlineLevel="1">
      <c r="B332" s="2704" t="s">
        <v>739</v>
      </c>
      <c r="C332" s="2705"/>
      <c r="D332" s="862" t="s">
        <v>753</v>
      </c>
      <c r="E332" s="855">
        <f>E299</f>
        <v>0</v>
      </c>
      <c r="F332" s="855">
        <f>F299</f>
        <v>0</v>
      </c>
      <c r="G332" s="855">
        <f>G299</f>
        <v>0</v>
      </c>
      <c r="H332" s="855">
        <f>SUMPRODUCT((F152:F154="Oui")*(LEFT(B152:B154,3)&lt;&gt;"Per")*(LEFT(B152:B154,3)&lt;&gt;"SF6")*(AQ152:AQ154))</f>
        <v>0</v>
      </c>
      <c r="I332" s="855">
        <f>SUMPRODUCT((F152:F154="Oui")*(LEFT(B152:B154,3)="Per")*(AQ152:AQ154))</f>
        <v>0</v>
      </c>
      <c r="J332" s="855">
        <f>SUMPRODUCT((F152:F154="Oui")*(LEFT(B152:B154,3)="SF6")*(AQ152:AQ154))</f>
        <v>0</v>
      </c>
      <c r="K332" s="855">
        <f>SUMIF(F162:F164,"Oui",AQ162:AQ164)</f>
        <v>0</v>
      </c>
      <c r="L332" s="864">
        <f>SUM(E332:K332)</f>
        <v>0</v>
      </c>
      <c r="M332" s="853">
        <f>J299</f>
        <v>0</v>
      </c>
      <c r="N332" s="858">
        <f>L299</f>
        <v>0</v>
      </c>
      <c r="O332" s="856"/>
      <c r="Z332" s="817"/>
      <c r="AH332" s="817"/>
      <c r="AJ332" s="113"/>
      <c r="AK332" s="113"/>
      <c r="AL332" s="113"/>
      <c r="AV332" s="576"/>
      <c r="AW332" s="576"/>
      <c r="AX332" s="576"/>
    </row>
    <row r="333" spans="2:50" ht="12.75" hidden="1" customHeight="1" outlineLevel="1">
      <c r="B333" s="2704" t="s">
        <v>740</v>
      </c>
      <c r="C333" s="2705"/>
      <c r="D333" s="862" t="s">
        <v>754</v>
      </c>
      <c r="E333" s="855"/>
      <c r="F333" s="855"/>
      <c r="G333" s="855"/>
      <c r="H333" s="855"/>
      <c r="I333" s="855"/>
      <c r="J333" s="855"/>
      <c r="K333" s="855"/>
      <c r="L333" s="864"/>
      <c r="M333" s="853"/>
      <c r="N333" s="858"/>
      <c r="O333" s="856"/>
      <c r="Z333" s="817"/>
      <c r="AH333" s="817"/>
      <c r="AJ333" s="113"/>
      <c r="AK333" s="113"/>
      <c r="AL333" s="113"/>
      <c r="AV333" s="576"/>
      <c r="AW333" s="576"/>
      <c r="AX333" s="576"/>
    </row>
    <row r="334" spans="2:50" ht="12.75" hidden="1" customHeight="1" outlineLevel="1">
      <c r="B334" s="2704" t="s">
        <v>472</v>
      </c>
      <c r="C334" s="2705"/>
      <c r="D334" s="862" t="s">
        <v>755</v>
      </c>
      <c r="E334" s="855"/>
      <c r="F334" s="855"/>
      <c r="G334" s="855"/>
      <c r="H334" s="855"/>
      <c r="I334" s="855"/>
      <c r="J334" s="855"/>
      <c r="K334" s="855"/>
      <c r="L334" s="864"/>
      <c r="M334" s="853"/>
      <c r="N334" s="858"/>
      <c r="O334" s="856"/>
      <c r="Z334" s="817"/>
      <c r="AH334" s="817"/>
      <c r="AJ334" s="113"/>
      <c r="AK334" s="113"/>
      <c r="AL334" s="113"/>
      <c r="AV334" s="576"/>
      <c r="AW334" s="576"/>
      <c r="AX334" s="576"/>
    </row>
    <row r="335" spans="2:50" ht="12.75" hidden="1" customHeight="1" outlineLevel="1">
      <c r="B335" s="2704" t="s">
        <v>763</v>
      </c>
      <c r="C335" s="2705"/>
      <c r="D335" s="854"/>
      <c r="E335" s="855"/>
      <c r="F335" s="855"/>
      <c r="G335" s="855"/>
      <c r="H335" s="855"/>
      <c r="I335" s="855"/>
      <c r="J335" s="855"/>
      <c r="K335" s="855"/>
      <c r="L335" s="864"/>
      <c r="M335" s="853"/>
      <c r="N335" s="858"/>
      <c r="O335" s="856"/>
      <c r="Z335" s="817"/>
      <c r="AH335" s="817"/>
      <c r="AJ335" s="113"/>
      <c r="AK335" s="113"/>
      <c r="AL335" s="113"/>
      <c r="AV335" s="576"/>
      <c r="AW335" s="576"/>
      <c r="AX335" s="576"/>
    </row>
    <row r="336" spans="2:50" ht="12.75" hidden="1" customHeight="1" outlineLevel="1">
      <c r="B336" s="2710" t="s">
        <v>724</v>
      </c>
      <c r="C336" s="2711"/>
      <c r="D336" s="2712"/>
      <c r="E336" s="852">
        <f t="shared" ref="E336:O336" si="83">SUM(E318:E335)</f>
        <v>958133</v>
      </c>
      <c r="F336" s="852">
        <f t="shared" si="83"/>
        <v>0</v>
      </c>
      <c r="G336" s="852">
        <f t="shared" si="83"/>
        <v>0</v>
      </c>
      <c r="H336" s="852">
        <f t="shared" si="83"/>
        <v>0</v>
      </c>
      <c r="I336" s="852">
        <f t="shared" si="83"/>
        <v>0</v>
      </c>
      <c r="J336" s="852">
        <f t="shared" si="83"/>
        <v>0</v>
      </c>
      <c r="K336" s="852">
        <f t="shared" si="83"/>
        <v>0</v>
      </c>
      <c r="L336" s="852">
        <f t="shared" si="83"/>
        <v>958133</v>
      </c>
      <c r="M336" s="863">
        <f t="shared" si="83"/>
        <v>0</v>
      </c>
      <c r="N336" s="859">
        <f>SQRT(SUMSQ(N318:N335))</f>
        <v>177139.20000000001</v>
      </c>
      <c r="O336" s="860">
        <f t="shared" si="83"/>
        <v>0</v>
      </c>
      <c r="Z336" s="817"/>
      <c r="AH336" s="817"/>
      <c r="AJ336" s="113"/>
      <c r="AK336" s="113"/>
      <c r="AL336" s="113"/>
      <c r="AV336" s="576"/>
      <c r="AW336" s="576"/>
      <c r="AX336" s="576"/>
    </row>
    <row r="337" spans="2:31" ht="12" hidden="1" customHeight="1" outlineLevel="1">
      <c r="W337" s="817"/>
      <c r="AB337" s="817"/>
      <c r="AE337" s="817"/>
    </row>
    <row r="339" spans="2:31" ht="15.75" customHeight="1" collapsed="1">
      <c r="B339" s="2716" t="s">
        <v>810</v>
      </c>
      <c r="C339" s="2717"/>
      <c r="D339" s="2717"/>
      <c r="E339" s="2717"/>
      <c r="F339" s="2717"/>
      <c r="G339" s="2717"/>
      <c r="H339" s="2717"/>
      <c r="I339" s="2717"/>
      <c r="J339" s="2717"/>
      <c r="K339" s="2717"/>
      <c r="L339" s="2717"/>
      <c r="M339" s="2717"/>
      <c r="N339" s="2717"/>
      <c r="O339" s="2718"/>
      <c r="W339" s="817"/>
      <c r="AB339" s="817"/>
      <c r="AE339" s="817"/>
    </row>
    <row r="340" spans="2:31" ht="12" hidden="1" customHeight="1" outlineLevel="1">
      <c r="Q340" s="908"/>
      <c r="R340" s="908"/>
      <c r="W340" s="817"/>
      <c r="AB340" s="817"/>
      <c r="AE340" s="817"/>
    </row>
    <row r="341" spans="2:31" ht="38.25" hidden="1" customHeight="1" outlineLevel="1">
      <c r="B341" s="205"/>
      <c r="C341" s="205"/>
      <c r="D341" s="205"/>
      <c r="E341" s="2719" t="s">
        <v>448</v>
      </c>
      <c r="F341" s="2720"/>
      <c r="G341" s="2720"/>
      <c r="H341" s="2720"/>
      <c r="I341" s="2720"/>
      <c r="J341" s="2720"/>
      <c r="K341" s="2720"/>
      <c r="L341" s="2720"/>
      <c r="M341" s="2721"/>
      <c r="N341" s="971" t="s">
        <v>811</v>
      </c>
      <c r="O341" s="968" t="s">
        <v>440</v>
      </c>
      <c r="Q341" s="908"/>
      <c r="R341" s="908"/>
      <c r="W341" s="817"/>
      <c r="AB341" s="817"/>
      <c r="AE341" s="817"/>
    </row>
    <row r="342" spans="2:31" ht="38.25" hidden="1" customHeight="1" outlineLevel="1">
      <c r="B342" s="2719" t="s">
        <v>438</v>
      </c>
      <c r="C342" s="2721"/>
      <c r="D342" s="970" t="s">
        <v>458</v>
      </c>
      <c r="E342" s="969" t="s">
        <v>853</v>
      </c>
      <c r="F342" s="969" t="s">
        <v>854</v>
      </c>
      <c r="G342" s="969" t="s">
        <v>855</v>
      </c>
      <c r="H342" s="969" t="s">
        <v>861</v>
      </c>
      <c r="I342" s="969" t="s">
        <v>852</v>
      </c>
      <c r="J342" s="970" t="s">
        <v>513</v>
      </c>
      <c r="K342" s="969" t="s">
        <v>862</v>
      </c>
      <c r="L342" s="969" t="s">
        <v>863</v>
      </c>
      <c r="M342" s="969" t="s">
        <v>514</v>
      </c>
      <c r="N342" s="972" t="s">
        <v>856</v>
      </c>
      <c r="O342" s="974" t="s">
        <v>513</v>
      </c>
      <c r="Q342" s="908"/>
      <c r="R342" s="908"/>
      <c r="W342" s="817"/>
      <c r="AB342" s="817"/>
      <c r="AE342" s="817"/>
    </row>
    <row r="343" spans="2:31" ht="12.75" hidden="1" customHeight="1" outlineLevel="1">
      <c r="B343" s="2722" t="s">
        <v>459</v>
      </c>
      <c r="C343" s="2723"/>
      <c r="D343" s="973">
        <v>1</v>
      </c>
      <c r="E343" s="980"/>
      <c r="F343" s="980"/>
      <c r="G343" s="980"/>
      <c r="H343" s="980"/>
      <c r="I343" s="980"/>
      <c r="J343" s="981"/>
      <c r="K343" s="982"/>
      <c r="L343" s="982"/>
      <c r="M343" s="983"/>
      <c r="N343" s="984"/>
      <c r="O343" s="2724" t="s">
        <v>817</v>
      </c>
      <c r="Q343" s="908"/>
      <c r="R343" s="908"/>
      <c r="W343" s="817"/>
      <c r="AB343" s="817"/>
      <c r="AE343" s="817"/>
    </row>
    <row r="344" spans="2:31" ht="12.75" hidden="1" customHeight="1" outlineLevel="1">
      <c r="B344" s="2722" t="s">
        <v>722</v>
      </c>
      <c r="C344" s="2723"/>
      <c r="D344" s="973">
        <v>2</v>
      </c>
      <c r="E344" s="980"/>
      <c r="F344" s="980"/>
      <c r="G344" s="980"/>
      <c r="H344" s="980"/>
      <c r="I344" s="980"/>
      <c r="J344" s="981"/>
      <c r="K344" s="982"/>
      <c r="L344" s="982"/>
      <c r="M344" s="983"/>
      <c r="N344" s="984"/>
      <c r="O344" s="2725"/>
      <c r="Q344" s="908"/>
      <c r="R344" s="908"/>
      <c r="W344" s="817"/>
      <c r="AB344" s="817"/>
      <c r="AE344" s="817"/>
    </row>
    <row r="345" spans="2:31" ht="12.75" hidden="1" customHeight="1" outlineLevel="1">
      <c r="B345" s="2722" t="s">
        <v>723</v>
      </c>
      <c r="C345" s="2723"/>
      <c r="D345" s="973">
        <v>3</v>
      </c>
      <c r="E345" s="980"/>
      <c r="F345" s="980"/>
      <c r="G345" s="980"/>
      <c r="H345" s="980"/>
      <c r="I345" s="980"/>
      <c r="J345" s="981"/>
      <c r="K345" s="982"/>
      <c r="L345" s="982"/>
      <c r="M345" s="983"/>
      <c r="N345" s="984"/>
      <c r="O345" s="2725"/>
      <c r="Q345" s="908"/>
      <c r="R345" s="908"/>
      <c r="W345" s="817"/>
      <c r="AB345" s="817"/>
      <c r="AE345" s="817"/>
    </row>
    <row r="346" spans="2:31" ht="12.75" hidden="1" customHeight="1" outlineLevel="1">
      <c r="B346" s="2722" t="s">
        <v>462</v>
      </c>
      <c r="C346" s="2723"/>
      <c r="D346" s="973">
        <v>4</v>
      </c>
      <c r="E346" s="980"/>
      <c r="F346" s="980"/>
      <c r="G346" s="980"/>
      <c r="H346" s="980"/>
      <c r="I346" s="980"/>
      <c r="J346" s="981"/>
      <c r="K346" s="982"/>
      <c r="L346" s="982"/>
      <c r="M346" s="983"/>
      <c r="N346" s="984"/>
      <c r="O346" s="2725"/>
      <c r="Q346" s="908"/>
      <c r="R346" s="908"/>
      <c r="W346" s="817"/>
      <c r="AB346" s="817"/>
      <c r="AE346" s="817"/>
    </row>
    <row r="347" spans="2:31" ht="12.75" hidden="1" customHeight="1" outlineLevel="1">
      <c r="B347" s="2722" t="s">
        <v>812</v>
      </c>
      <c r="C347" s="2723"/>
      <c r="D347" s="973">
        <v>5</v>
      </c>
      <c r="E347" s="980"/>
      <c r="F347" s="980"/>
      <c r="G347" s="980"/>
      <c r="H347" s="980"/>
      <c r="I347" s="980"/>
      <c r="J347" s="981"/>
      <c r="K347" s="982"/>
      <c r="L347" s="982"/>
      <c r="M347" s="983"/>
      <c r="N347" s="985"/>
      <c r="O347" s="2725"/>
      <c r="Q347" s="908"/>
      <c r="R347" s="908"/>
      <c r="W347" s="817"/>
      <c r="AB347" s="817"/>
      <c r="AE347" s="817"/>
    </row>
    <row r="348" spans="2:31" ht="12.75" hidden="1" customHeight="1" outlineLevel="1">
      <c r="B348" s="2727" t="s">
        <v>726</v>
      </c>
      <c r="C348" s="2728"/>
      <c r="D348" s="2729"/>
      <c r="E348" s="986">
        <f>SUM(E343:E347)</f>
        <v>0</v>
      </c>
      <c r="F348" s="986">
        <f t="shared" ref="F348:N348" si="84">SUM(F343:F347)</f>
        <v>0</v>
      </c>
      <c r="G348" s="986">
        <f t="shared" si="84"/>
        <v>0</v>
      </c>
      <c r="H348" s="986">
        <f t="shared" si="84"/>
        <v>0</v>
      </c>
      <c r="I348" s="986">
        <f t="shared" si="84"/>
        <v>0</v>
      </c>
      <c r="J348" s="986">
        <f t="shared" si="84"/>
        <v>0</v>
      </c>
      <c r="K348" s="987">
        <f t="shared" si="84"/>
        <v>0</v>
      </c>
      <c r="L348" s="987">
        <f t="shared" si="84"/>
        <v>0</v>
      </c>
      <c r="M348" s="988">
        <f>SQRT(SUMSQ(M343:M347))</f>
        <v>0</v>
      </c>
      <c r="N348" s="989">
        <f t="shared" si="84"/>
        <v>0</v>
      </c>
      <c r="O348" s="2726"/>
      <c r="Q348" s="908"/>
      <c r="R348" s="908"/>
      <c r="W348" s="817"/>
      <c r="AB348" s="817"/>
      <c r="AE348" s="817"/>
    </row>
    <row r="349" spans="2:31" ht="12.75" hidden="1" customHeight="1" outlineLevel="1">
      <c r="B349" s="2722" t="s">
        <v>464</v>
      </c>
      <c r="C349" s="2723"/>
      <c r="D349" s="973">
        <v>6</v>
      </c>
      <c r="E349" s="980"/>
      <c r="F349" s="980"/>
      <c r="G349" s="980"/>
      <c r="H349" s="980"/>
      <c r="I349" s="980"/>
      <c r="J349" s="981"/>
      <c r="K349" s="982"/>
      <c r="L349" s="982"/>
      <c r="M349" s="983"/>
      <c r="N349" s="984"/>
      <c r="O349" s="990"/>
      <c r="Q349" s="908"/>
      <c r="R349" s="908"/>
      <c r="W349" s="817"/>
      <c r="AB349" s="817"/>
      <c r="AE349" s="817"/>
    </row>
    <row r="350" spans="2:31" ht="12.75" hidden="1" customHeight="1" outlineLevel="1">
      <c r="B350" s="2722" t="s">
        <v>813</v>
      </c>
      <c r="C350" s="2723"/>
      <c r="D350" s="973">
        <v>7</v>
      </c>
      <c r="E350" s="980"/>
      <c r="F350" s="980"/>
      <c r="G350" s="980"/>
      <c r="H350" s="980"/>
      <c r="I350" s="980"/>
      <c r="J350" s="981"/>
      <c r="K350" s="982"/>
      <c r="L350" s="982"/>
      <c r="M350" s="983"/>
      <c r="N350" s="984"/>
      <c r="O350" s="984"/>
      <c r="Q350" s="908"/>
      <c r="R350" s="908"/>
      <c r="W350" s="817"/>
      <c r="AB350" s="817"/>
      <c r="AE350" s="817"/>
    </row>
    <row r="351" spans="2:31" ht="12.75" hidden="1" customHeight="1" outlineLevel="1">
      <c r="B351" s="2727" t="s">
        <v>725</v>
      </c>
      <c r="C351" s="2728"/>
      <c r="D351" s="2729"/>
      <c r="E351" s="986">
        <f>SUM(E349:E350)</f>
        <v>0</v>
      </c>
      <c r="F351" s="986">
        <f t="shared" ref="F351:O351" si="85">SUM(F349:F350)</f>
        <v>0</v>
      </c>
      <c r="G351" s="986">
        <f t="shared" si="85"/>
        <v>0</v>
      </c>
      <c r="H351" s="986">
        <f t="shared" si="85"/>
        <v>0</v>
      </c>
      <c r="I351" s="986">
        <f t="shared" si="85"/>
        <v>0</v>
      </c>
      <c r="J351" s="986">
        <f t="shared" si="85"/>
        <v>0</v>
      </c>
      <c r="K351" s="987">
        <f t="shared" si="85"/>
        <v>0</v>
      </c>
      <c r="L351" s="987">
        <f t="shared" si="85"/>
        <v>0</v>
      </c>
      <c r="M351" s="988">
        <f>SQRT(SUMSQ(M349:M350))</f>
        <v>0</v>
      </c>
      <c r="N351" s="989">
        <f t="shared" si="85"/>
        <v>0</v>
      </c>
      <c r="O351" s="989">
        <f t="shared" si="85"/>
        <v>0</v>
      </c>
      <c r="Q351" s="908"/>
      <c r="R351" s="908"/>
      <c r="W351" s="817"/>
      <c r="AB351" s="817"/>
      <c r="AE351" s="817"/>
    </row>
    <row r="352" spans="2:31" ht="12.75" hidden="1" customHeight="1" outlineLevel="1">
      <c r="B352" s="2722" t="s">
        <v>466</v>
      </c>
      <c r="C352" s="2723"/>
      <c r="D352" s="973">
        <v>8</v>
      </c>
      <c r="E352" s="980"/>
      <c r="F352" s="980"/>
      <c r="G352" s="980"/>
      <c r="H352" s="980"/>
      <c r="I352" s="980"/>
      <c r="J352" s="981"/>
      <c r="K352" s="982"/>
      <c r="L352" s="982"/>
      <c r="M352" s="983"/>
      <c r="N352" s="984"/>
      <c r="O352" s="984"/>
      <c r="Q352" s="908"/>
      <c r="R352" s="908"/>
      <c r="W352" s="817"/>
      <c r="AB352" s="817"/>
      <c r="AE352" s="817"/>
    </row>
    <row r="353" spans="2:31" ht="12.75" hidden="1" customHeight="1" outlineLevel="1">
      <c r="B353" s="2722" t="s">
        <v>814</v>
      </c>
      <c r="C353" s="2723"/>
      <c r="D353" s="973">
        <v>9</v>
      </c>
      <c r="E353" s="980"/>
      <c r="F353" s="980"/>
      <c r="G353" s="980"/>
      <c r="H353" s="980"/>
      <c r="I353" s="980"/>
      <c r="J353" s="981"/>
      <c r="K353" s="982"/>
      <c r="L353" s="982"/>
      <c r="M353" s="983"/>
      <c r="N353" s="984"/>
      <c r="O353" s="984"/>
      <c r="Q353" s="908"/>
      <c r="R353" s="908"/>
      <c r="W353" s="817"/>
      <c r="AB353" s="817"/>
      <c r="AE353" s="817"/>
    </row>
    <row r="354" spans="2:31" ht="12.75" hidden="1" customHeight="1" outlineLevel="1">
      <c r="B354" s="2722" t="s">
        <v>734</v>
      </c>
      <c r="C354" s="2723"/>
      <c r="D354" s="973">
        <v>10</v>
      </c>
      <c r="E354" s="980"/>
      <c r="F354" s="980"/>
      <c r="G354" s="980"/>
      <c r="H354" s="980"/>
      <c r="I354" s="980"/>
      <c r="J354" s="981"/>
      <c r="K354" s="982"/>
      <c r="L354" s="982"/>
      <c r="M354" s="983"/>
      <c r="N354" s="984"/>
      <c r="O354" s="984"/>
      <c r="Q354" s="908"/>
      <c r="R354" s="908"/>
      <c r="W354" s="817"/>
      <c r="AB354" s="817"/>
      <c r="AE354" s="817"/>
    </row>
    <row r="355" spans="2:31" ht="12.75" hidden="1" customHeight="1" outlineLevel="1">
      <c r="B355" s="2722" t="s">
        <v>736</v>
      </c>
      <c r="C355" s="2723"/>
      <c r="D355" s="973">
        <v>11</v>
      </c>
      <c r="E355" s="980"/>
      <c r="F355" s="980"/>
      <c r="G355" s="980"/>
      <c r="H355" s="980"/>
      <c r="I355" s="980"/>
      <c r="J355" s="981"/>
      <c r="K355" s="982"/>
      <c r="L355" s="982"/>
      <c r="M355" s="983"/>
      <c r="N355" s="984"/>
      <c r="O355" s="984"/>
      <c r="Q355" s="908"/>
      <c r="R355" s="908"/>
      <c r="W355" s="817"/>
      <c r="AB355" s="817"/>
      <c r="AE355" s="817"/>
    </row>
    <row r="356" spans="2:31" ht="12.75" hidden="1" customHeight="1" outlineLevel="1">
      <c r="B356" s="2722" t="s">
        <v>815</v>
      </c>
      <c r="C356" s="2723"/>
      <c r="D356" s="973">
        <v>12</v>
      </c>
      <c r="E356" s="980"/>
      <c r="F356" s="980"/>
      <c r="G356" s="980"/>
      <c r="H356" s="980"/>
      <c r="I356" s="980"/>
      <c r="J356" s="981"/>
      <c r="K356" s="982"/>
      <c r="L356" s="982"/>
      <c r="M356" s="983"/>
      <c r="N356" s="984"/>
      <c r="O356" s="984"/>
      <c r="Q356" s="908"/>
      <c r="R356" s="908"/>
      <c r="W356" s="817"/>
      <c r="AB356" s="817"/>
      <c r="AE356" s="817"/>
    </row>
    <row r="357" spans="2:31" ht="12.75" hidden="1" customHeight="1" outlineLevel="1">
      <c r="B357" s="2722" t="s">
        <v>470</v>
      </c>
      <c r="C357" s="2723"/>
      <c r="D357" s="973">
        <v>13</v>
      </c>
      <c r="E357" s="980"/>
      <c r="F357" s="980"/>
      <c r="G357" s="980"/>
      <c r="H357" s="980"/>
      <c r="I357" s="980"/>
      <c r="J357" s="981"/>
      <c r="K357" s="982"/>
      <c r="L357" s="982"/>
      <c r="M357" s="983"/>
      <c r="N357" s="984"/>
      <c r="O357" s="984"/>
      <c r="Q357" s="908"/>
      <c r="R357" s="908"/>
      <c r="W357" s="817"/>
      <c r="AB357" s="817"/>
      <c r="AE357" s="817"/>
    </row>
    <row r="358" spans="2:31" ht="12.75" hidden="1" customHeight="1" outlineLevel="1">
      <c r="B358" s="2722" t="s">
        <v>471</v>
      </c>
      <c r="C358" s="2723"/>
      <c r="D358" s="973">
        <v>14</v>
      </c>
      <c r="E358" s="980"/>
      <c r="F358" s="980"/>
      <c r="G358" s="980"/>
      <c r="H358" s="980"/>
      <c r="I358" s="980"/>
      <c r="J358" s="981"/>
      <c r="K358" s="982"/>
      <c r="L358" s="982"/>
      <c r="M358" s="983"/>
      <c r="N358" s="984"/>
      <c r="O358" s="984"/>
      <c r="Q358" s="908"/>
      <c r="R358" s="908"/>
      <c r="W358" s="817"/>
      <c r="AB358" s="817"/>
      <c r="AE358" s="817"/>
    </row>
    <row r="359" spans="2:31" ht="12.75" hidden="1" customHeight="1" outlineLevel="1">
      <c r="B359" s="2722" t="s">
        <v>472</v>
      </c>
      <c r="C359" s="2723"/>
      <c r="D359" s="973">
        <v>15</v>
      </c>
      <c r="E359" s="980"/>
      <c r="F359" s="980"/>
      <c r="G359" s="980"/>
      <c r="H359" s="980"/>
      <c r="I359" s="980"/>
      <c r="J359" s="981"/>
      <c r="K359" s="982"/>
      <c r="L359" s="982"/>
      <c r="M359" s="983"/>
      <c r="N359" s="984"/>
      <c r="O359" s="984"/>
      <c r="Q359" s="908"/>
      <c r="R359" s="908"/>
      <c r="W359" s="817"/>
      <c r="AB359" s="817"/>
      <c r="AE359" s="817"/>
    </row>
    <row r="360" spans="2:31" ht="12.75" hidden="1" customHeight="1" outlineLevel="1">
      <c r="B360" s="2722" t="s">
        <v>473</v>
      </c>
      <c r="C360" s="2723"/>
      <c r="D360" s="973">
        <v>16</v>
      </c>
      <c r="E360" s="980"/>
      <c r="F360" s="980"/>
      <c r="G360" s="980"/>
      <c r="H360" s="980"/>
      <c r="I360" s="980"/>
      <c r="J360" s="981"/>
      <c r="K360" s="982"/>
      <c r="L360" s="982"/>
      <c r="M360" s="983"/>
      <c r="N360" s="984"/>
      <c r="O360" s="984"/>
      <c r="Q360" s="908"/>
      <c r="R360" s="908"/>
      <c r="W360" s="817"/>
      <c r="AB360" s="817"/>
      <c r="AE360" s="817"/>
    </row>
    <row r="361" spans="2:31" ht="12.75" hidden="1" customHeight="1" outlineLevel="1">
      <c r="B361" s="2722" t="s">
        <v>737</v>
      </c>
      <c r="C361" s="2723"/>
      <c r="D361" s="973">
        <v>17</v>
      </c>
      <c r="E361" s="980"/>
      <c r="F361" s="980"/>
      <c r="G361" s="980"/>
      <c r="H361" s="980"/>
      <c r="I361" s="980"/>
      <c r="J361" s="981"/>
      <c r="K361" s="982"/>
      <c r="L361" s="982"/>
      <c r="M361" s="983"/>
      <c r="N361" s="984"/>
      <c r="O361" s="984"/>
      <c r="Q361" s="908"/>
      <c r="R361" s="908"/>
      <c r="W361" s="817"/>
      <c r="AB361" s="817"/>
      <c r="AE361" s="817"/>
    </row>
    <row r="362" spans="2:31" ht="12.75" hidden="1" customHeight="1" outlineLevel="1">
      <c r="B362" s="2722" t="s">
        <v>475</v>
      </c>
      <c r="C362" s="2723"/>
      <c r="D362" s="973">
        <v>18</v>
      </c>
      <c r="E362" s="980"/>
      <c r="F362" s="980"/>
      <c r="G362" s="980"/>
      <c r="H362" s="980"/>
      <c r="I362" s="980"/>
      <c r="J362" s="981"/>
      <c r="K362" s="982"/>
      <c r="L362" s="982"/>
      <c r="M362" s="983"/>
      <c r="N362" s="984"/>
      <c r="O362" s="984"/>
      <c r="Q362" s="908"/>
      <c r="R362" s="908"/>
      <c r="W362" s="817"/>
      <c r="AB362" s="817"/>
      <c r="AE362" s="817"/>
    </row>
    <row r="363" spans="2:31" ht="12.75" hidden="1" customHeight="1" outlineLevel="1">
      <c r="B363" s="2722" t="s">
        <v>476</v>
      </c>
      <c r="C363" s="2723"/>
      <c r="D363" s="973">
        <v>19</v>
      </c>
      <c r="E363" s="980">
        <f>E331</f>
        <v>958133</v>
      </c>
      <c r="F363" s="980">
        <f>F331</f>
        <v>0</v>
      </c>
      <c r="G363" s="980">
        <f>G331</f>
        <v>0</v>
      </c>
      <c r="H363" s="980">
        <f>H331+I331+J331</f>
        <v>0</v>
      </c>
      <c r="I363" s="980">
        <f>K331</f>
        <v>0</v>
      </c>
      <c r="J363" s="981">
        <f>SUM(E363:I363)</f>
        <v>958133</v>
      </c>
      <c r="K363" s="982">
        <f>M331</f>
        <v>0</v>
      </c>
      <c r="L363" s="982">
        <v>0</v>
      </c>
      <c r="M363" s="983">
        <f>N331</f>
        <v>177139.20000000001</v>
      </c>
      <c r="N363" s="984"/>
      <c r="O363" s="984"/>
      <c r="Q363" s="908"/>
      <c r="R363" s="908"/>
      <c r="W363" s="817"/>
      <c r="AB363" s="817"/>
      <c r="AE363" s="817"/>
    </row>
    <row r="364" spans="2:31" ht="12.75" hidden="1" customHeight="1" outlineLevel="1">
      <c r="B364" s="2722" t="s">
        <v>477</v>
      </c>
      <c r="C364" s="2723"/>
      <c r="D364" s="973">
        <v>20</v>
      </c>
      <c r="E364" s="980"/>
      <c r="F364" s="980"/>
      <c r="G364" s="980"/>
      <c r="H364" s="980"/>
      <c r="I364" s="980"/>
      <c r="J364" s="981"/>
      <c r="K364" s="982"/>
      <c r="L364" s="982"/>
      <c r="M364" s="983"/>
      <c r="N364" s="984"/>
      <c r="O364" s="984"/>
      <c r="Q364" s="908"/>
      <c r="R364" s="908"/>
      <c r="W364" s="817"/>
      <c r="AB364" s="817"/>
      <c r="AE364" s="817"/>
    </row>
    <row r="365" spans="2:31" ht="12.75" hidden="1" customHeight="1" outlineLevel="1">
      <c r="B365" s="2722" t="s">
        <v>478</v>
      </c>
      <c r="C365" s="2723"/>
      <c r="D365" s="973">
        <v>21</v>
      </c>
      <c r="E365" s="980">
        <f>E332</f>
        <v>0</v>
      </c>
      <c r="F365" s="980">
        <f>F332</f>
        <v>0</v>
      </c>
      <c r="G365" s="980">
        <f>G332</f>
        <v>0</v>
      </c>
      <c r="H365" s="980">
        <f>H332+I332+J332</f>
        <v>0</v>
      </c>
      <c r="I365" s="980">
        <f>K332</f>
        <v>0</v>
      </c>
      <c r="J365" s="981">
        <f>SUM(E365:I365)</f>
        <v>0</v>
      </c>
      <c r="K365" s="982">
        <f>M332</f>
        <v>0</v>
      </c>
      <c r="L365" s="982">
        <v>0</v>
      </c>
      <c r="M365" s="983">
        <f>N332</f>
        <v>0</v>
      </c>
      <c r="N365" s="984"/>
      <c r="O365" s="984"/>
      <c r="Q365" s="908"/>
      <c r="R365" s="908"/>
      <c r="W365" s="817"/>
      <c r="AB365" s="817"/>
      <c r="AE365" s="817"/>
    </row>
    <row r="366" spans="2:31" ht="12.75" hidden="1" customHeight="1" outlineLevel="1">
      <c r="B366" s="2722" t="s">
        <v>479</v>
      </c>
      <c r="C366" s="2723"/>
      <c r="D366" s="973">
        <v>22</v>
      </c>
      <c r="E366" s="980"/>
      <c r="F366" s="980"/>
      <c r="G366" s="980"/>
      <c r="H366" s="980"/>
      <c r="I366" s="980"/>
      <c r="J366" s="981"/>
      <c r="K366" s="982"/>
      <c r="L366" s="982"/>
      <c r="M366" s="983"/>
      <c r="N366" s="984"/>
      <c r="O366" s="984"/>
      <c r="Q366" s="908"/>
      <c r="R366" s="908"/>
      <c r="W366" s="817"/>
      <c r="AB366" s="817"/>
      <c r="AE366" s="817"/>
    </row>
    <row r="367" spans="2:31" ht="12.75" hidden="1" customHeight="1" outlineLevel="1">
      <c r="B367" s="2722" t="s">
        <v>449</v>
      </c>
      <c r="C367" s="2723"/>
      <c r="D367" s="973">
        <v>23</v>
      </c>
      <c r="E367" s="980"/>
      <c r="F367" s="980"/>
      <c r="G367" s="980"/>
      <c r="H367" s="980"/>
      <c r="I367" s="980"/>
      <c r="J367" s="981"/>
      <c r="K367" s="982"/>
      <c r="L367" s="982"/>
      <c r="M367" s="983"/>
      <c r="N367" s="984"/>
      <c r="O367" s="984"/>
      <c r="Q367" s="908"/>
      <c r="R367" s="908"/>
      <c r="W367" s="817"/>
      <c r="AB367" s="817"/>
      <c r="AE367" s="817"/>
    </row>
    <row r="368" spans="2:31" ht="12.75" hidden="1" customHeight="1" outlineLevel="1">
      <c r="B368" s="2727" t="s">
        <v>724</v>
      </c>
      <c r="C368" s="2728"/>
      <c r="D368" s="2729"/>
      <c r="E368" s="986">
        <f>SUM(E352:E367)</f>
        <v>958133</v>
      </c>
      <c r="F368" s="986">
        <f t="shared" ref="F368:O368" si="86">SUM(F352:F367)</f>
        <v>0</v>
      </c>
      <c r="G368" s="986">
        <f t="shared" si="86"/>
        <v>0</v>
      </c>
      <c r="H368" s="986">
        <f t="shared" si="86"/>
        <v>0</v>
      </c>
      <c r="I368" s="986">
        <f t="shared" si="86"/>
        <v>0</v>
      </c>
      <c r="J368" s="986">
        <f t="shared" si="86"/>
        <v>958133</v>
      </c>
      <c r="K368" s="987">
        <f t="shared" si="86"/>
        <v>0</v>
      </c>
      <c r="L368" s="987">
        <f t="shared" si="86"/>
        <v>0</v>
      </c>
      <c r="M368" s="988">
        <f>SQRT(SUMSQ(M352:M367))</f>
        <v>177139.20000000001</v>
      </c>
      <c r="N368" s="989">
        <f t="shared" si="86"/>
        <v>0</v>
      </c>
      <c r="O368" s="989">
        <f t="shared" si="86"/>
        <v>0</v>
      </c>
      <c r="Q368" s="908"/>
      <c r="R368" s="908"/>
      <c r="W368" s="817"/>
      <c r="AB368" s="817"/>
      <c r="AE368" s="817"/>
    </row>
    <row r="369" spans="1:47" ht="12" hidden="1" customHeight="1" outlineLevel="1">
      <c r="Q369" s="908"/>
      <c r="R369" s="908"/>
      <c r="W369" s="817"/>
      <c r="AB369" s="817"/>
      <c r="AE369" s="817"/>
    </row>
    <row r="371" spans="1:47" s="418" customFormat="1" ht="15.75" hidden="1" customHeight="1">
      <c r="A371" s="113"/>
      <c r="B371" s="2730" t="s">
        <v>2443</v>
      </c>
      <c r="C371" s="2731"/>
      <c r="D371" s="2731"/>
      <c r="E371" s="2731"/>
      <c r="F371" s="2731"/>
      <c r="G371" s="2731"/>
      <c r="H371" s="2731"/>
      <c r="I371" s="2731"/>
      <c r="J371" s="2731"/>
      <c r="K371" s="2731"/>
      <c r="L371" s="2731"/>
      <c r="M371" s="2731"/>
      <c r="N371" s="2731"/>
      <c r="O371" s="2732"/>
      <c r="P371" s="113"/>
      <c r="Q371" s="113"/>
      <c r="R371" s="113"/>
      <c r="S371" s="113"/>
      <c r="T371" s="113"/>
      <c r="U371" s="113"/>
      <c r="V371" s="113"/>
      <c r="W371" s="113"/>
    </row>
    <row r="372" spans="1:47" s="418" customFormat="1" outlineLevel="1">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row>
    <row r="373" spans="1:47" s="418" customFormat="1" outlineLevel="1">
      <c r="A373" s="113"/>
      <c r="B373" s="113" t="s">
        <v>2549</v>
      </c>
      <c r="C373" s="113"/>
      <c r="D373" s="113"/>
      <c r="E373" s="113"/>
      <c r="F373" s="113"/>
      <c r="G373" s="113"/>
      <c r="H373" s="113"/>
      <c r="I373" s="113"/>
      <c r="J373" s="113"/>
      <c r="K373" s="113"/>
      <c r="L373" s="113"/>
      <c r="M373" s="113"/>
      <c r="N373" s="113"/>
      <c r="O373" s="113"/>
      <c r="P373" s="113"/>
      <c r="Q373" s="113"/>
      <c r="R373" s="113"/>
      <c r="S373" s="113"/>
      <c r="T373" s="113"/>
      <c r="U373" s="113"/>
      <c r="V373" s="113"/>
      <c r="W373" s="113"/>
    </row>
    <row r="374" spans="1:47" s="418" customFormat="1" outlineLevel="1">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row>
    <row r="375" spans="1:47" s="418" customFormat="1" outlineLevel="1">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row>
    <row r="376" spans="1:47" s="418" customFormat="1" outlineLevel="1">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row>
    <row r="377" spans="1:47" s="418" customFormat="1" outlineLevel="1">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row>
    <row r="378" spans="1:47" s="418" customFormat="1" outlineLevel="1">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row>
    <row r="379" spans="1:47" s="418" customFormat="1" outlineLevel="1">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row>
    <row r="380" spans="1:47" s="418" customFormat="1" hidden="1">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row>
    <row r="381" spans="1:47" s="418" customFormat="1" ht="15.6" collapsed="1">
      <c r="A381" s="113"/>
      <c r="B381" s="2733" t="s">
        <v>2554</v>
      </c>
      <c r="C381" s="2734"/>
      <c r="D381" s="2734"/>
      <c r="E381" s="2734"/>
      <c r="F381" s="2734"/>
      <c r="G381" s="2734"/>
      <c r="H381" s="2734"/>
      <c r="I381" s="2734"/>
      <c r="J381" s="2734"/>
      <c r="K381" s="2734"/>
      <c r="L381" s="2734"/>
      <c r="M381" s="2734"/>
      <c r="N381" s="2734"/>
      <c r="O381" s="2735"/>
      <c r="P381" s="113"/>
      <c r="Q381" s="113"/>
      <c r="R381" s="113"/>
      <c r="S381" s="113"/>
      <c r="T381" s="113"/>
      <c r="U381" s="113"/>
      <c r="V381" s="113"/>
      <c r="W381" s="113"/>
    </row>
    <row r="382" spans="1:47" s="418" customFormat="1" hidden="1" outlineLevel="1">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row>
    <row r="383" spans="1:47" ht="38.25" hidden="1" customHeight="1" outlineLevel="1">
      <c r="B383" s="205"/>
      <c r="C383" s="205"/>
      <c r="D383" s="205"/>
      <c r="E383" s="2736" t="s">
        <v>448</v>
      </c>
      <c r="F383" s="2737"/>
      <c r="G383" s="2737"/>
      <c r="H383" s="2737"/>
      <c r="I383" s="2737"/>
      <c r="J383" s="2737"/>
      <c r="K383" s="2737"/>
      <c r="L383" s="2737"/>
      <c r="M383" s="2738"/>
      <c r="N383" s="1794" t="s">
        <v>811</v>
      </c>
      <c r="O383" s="1795" t="s">
        <v>440</v>
      </c>
      <c r="Q383" s="908"/>
      <c r="R383" s="908"/>
      <c r="W383" s="817"/>
      <c r="AB383" s="576"/>
      <c r="AC383" s="576"/>
      <c r="AD383" s="576"/>
      <c r="AE383" s="576"/>
      <c r="AF383" s="576"/>
      <c r="AG383" s="576"/>
      <c r="AH383" s="576"/>
      <c r="AI383" s="576"/>
      <c r="AN383" s="113"/>
      <c r="AO383" s="113"/>
      <c r="AP383" s="113"/>
      <c r="AQ383" s="113"/>
      <c r="AR383" s="113"/>
      <c r="AS383" s="113"/>
      <c r="AT383" s="113"/>
      <c r="AU383" s="113"/>
    </row>
    <row r="384" spans="1:47" ht="38.25" hidden="1" customHeight="1" outlineLevel="1">
      <c r="B384" s="2736" t="s">
        <v>438</v>
      </c>
      <c r="C384" s="2738"/>
      <c r="D384" s="1795" t="s">
        <v>2510</v>
      </c>
      <c r="E384" s="1796" t="s">
        <v>853</v>
      </c>
      <c r="F384" s="1796" t="s">
        <v>854</v>
      </c>
      <c r="G384" s="1796" t="s">
        <v>855</v>
      </c>
      <c r="H384" s="1796" t="s">
        <v>861</v>
      </c>
      <c r="I384" s="1796" t="s">
        <v>852</v>
      </c>
      <c r="J384" s="1797" t="s">
        <v>513</v>
      </c>
      <c r="K384" s="1796" t="s">
        <v>862</v>
      </c>
      <c r="L384" s="1796" t="s">
        <v>863</v>
      </c>
      <c r="M384" s="1796" t="s">
        <v>514</v>
      </c>
      <c r="N384" s="1798" t="s">
        <v>856</v>
      </c>
      <c r="O384" s="1799" t="s">
        <v>513</v>
      </c>
      <c r="Q384" s="908"/>
      <c r="R384" s="908"/>
      <c r="W384" s="817"/>
      <c r="AB384" s="576"/>
      <c r="AC384" s="576"/>
      <c r="AD384" s="576"/>
      <c r="AE384" s="576"/>
      <c r="AF384" s="576"/>
      <c r="AG384" s="576"/>
      <c r="AH384" s="576"/>
      <c r="AI384" s="576"/>
      <c r="AN384" s="113"/>
      <c r="AO384" s="113"/>
      <c r="AP384" s="113"/>
      <c r="AQ384" s="113"/>
      <c r="AR384" s="113"/>
      <c r="AS384" s="113"/>
      <c r="AT384" s="113"/>
      <c r="AU384" s="113"/>
    </row>
    <row r="385" spans="1:47" ht="12.75" hidden="1" customHeight="1" outlineLevel="1">
      <c r="B385" s="2722" t="s">
        <v>2481</v>
      </c>
      <c r="C385" s="2723"/>
      <c r="D385" s="973" t="s">
        <v>2503</v>
      </c>
      <c r="E385" s="980"/>
      <c r="F385" s="980"/>
      <c r="G385" s="980"/>
      <c r="H385" s="980"/>
      <c r="I385" s="980"/>
      <c r="J385" s="981"/>
      <c r="K385" s="982"/>
      <c r="L385" s="982"/>
      <c r="M385" s="983"/>
      <c r="N385" s="984"/>
      <c r="O385" s="1886" t="s">
        <v>817</v>
      </c>
      <c r="Q385" s="908"/>
      <c r="R385" s="908"/>
      <c r="W385" s="817"/>
      <c r="AB385" s="576"/>
      <c r="AC385" s="576"/>
      <c r="AD385" s="576"/>
      <c r="AE385" s="576"/>
      <c r="AF385" s="576"/>
      <c r="AG385" s="576"/>
      <c r="AH385" s="576"/>
      <c r="AI385" s="576"/>
      <c r="AN385" s="113"/>
      <c r="AO385" s="113"/>
      <c r="AP385" s="113"/>
      <c r="AQ385" s="113"/>
      <c r="AR385" s="113"/>
      <c r="AS385" s="113"/>
      <c r="AT385" s="113"/>
      <c r="AU385" s="113"/>
    </row>
    <row r="386" spans="1:47" ht="12.75" hidden="1" customHeight="1" outlineLevel="1">
      <c r="B386" s="2722" t="s">
        <v>2482</v>
      </c>
      <c r="C386" s="2723"/>
      <c r="D386" s="1896" t="s">
        <v>2504</v>
      </c>
      <c r="E386" s="980"/>
      <c r="F386" s="980"/>
      <c r="G386" s="980"/>
      <c r="H386" s="980"/>
      <c r="I386" s="980"/>
      <c r="J386" s="981"/>
      <c r="K386" s="982"/>
      <c r="L386" s="982"/>
      <c r="M386" s="983"/>
      <c r="N386" s="984"/>
      <c r="O386" s="990"/>
      <c r="Q386" s="908"/>
      <c r="R386" s="908"/>
      <c r="W386" s="817"/>
      <c r="AB386" s="576"/>
      <c r="AC386" s="576"/>
      <c r="AD386" s="576"/>
      <c r="AE386" s="576"/>
      <c r="AF386" s="576"/>
      <c r="AG386" s="576"/>
      <c r="AH386" s="576"/>
      <c r="AI386" s="576"/>
      <c r="AN386" s="113"/>
      <c r="AO386" s="113"/>
      <c r="AP386" s="113"/>
      <c r="AQ386" s="113"/>
      <c r="AR386" s="113"/>
      <c r="AS386" s="113"/>
      <c r="AT386" s="113"/>
      <c r="AU386" s="113"/>
    </row>
    <row r="387" spans="1:47" ht="12.75" hidden="1" customHeight="1" outlineLevel="1">
      <c r="B387" s="2722" t="s">
        <v>2483</v>
      </c>
      <c r="C387" s="2723"/>
      <c r="D387" s="973" t="s">
        <v>2505</v>
      </c>
      <c r="E387" s="980"/>
      <c r="F387" s="980"/>
      <c r="G387" s="980"/>
      <c r="H387" s="980"/>
      <c r="I387" s="980"/>
      <c r="J387" s="981"/>
      <c r="K387" s="982"/>
      <c r="L387" s="982"/>
      <c r="M387" s="983"/>
      <c r="N387" s="984"/>
      <c r="O387" s="984"/>
      <c r="Q387" s="908"/>
      <c r="R387" s="908"/>
      <c r="W387" s="817"/>
      <c r="AB387" s="576"/>
      <c r="AC387" s="576"/>
      <c r="AD387" s="576"/>
      <c r="AE387" s="576"/>
      <c r="AF387" s="576"/>
      <c r="AG387" s="576"/>
      <c r="AH387" s="576"/>
      <c r="AI387" s="576"/>
      <c r="AN387" s="113"/>
      <c r="AO387" s="113"/>
      <c r="AP387" s="113"/>
      <c r="AQ387" s="113"/>
      <c r="AR387" s="113"/>
      <c r="AS387" s="113"/>
      <c r="AT387" s="113"/>
      <c r="AU387" s="113"/>
    </row>
    <row r="388" spans="1:47" ht="26.25" hidden="1" customHeight="1" outlineLevel="1">
      <c r="B388" s="2739" t="s">
        <v>2485</v>
      </c>
      <c r="C388" s="2740"/>
      <c r="D388" s="1896" t="s">
        <v>2506</v>
      </c>
      <c r="E388" s="980"/>
      <c r="F388" s="980"/>
      <c r="G388" s="980"/>
      <c r="H388" s="980"/>
      <c r="I388" s="980"/>
      <c r="J388" s="981"/>
      <c r="K388" s="982"/>
      <c r="L388" s="982"/>
      <c r="M388" s="983"/>
      <c r="N388" s="984"/>
      <c r="O388" s="984"/>
      <c r="Q388" s="908"/>
      <c r="R388" s="908"/>
      <c r="W388" s="817"/>
      <c r="AB388" s="576"/>
      <c r="AC388" s="576"/>
      <c r="AD388" s="576"/>
      <c r="AE388" s="576"/>
      <c r="AF388" s="576"/>
      <c r="AG388" s="576"/>
      <c r="AH388" s="576"/>
      <c r="AI388" s="576"/>
      <c r="AN388" s="113"/>
      <c r="AO388" s="113"/>
      <c r="AP388" s="113"/>
      <c r="AQ388" s="113"/>
      <c r="AR388" s="113"/>
      <c r="AS388" s="113"/>
      <c r="AT388" s="113"/>
      <c r="AU388" s="113"/>
    </row>
    <row r="389" spans="1:47" ht="26.25" hidden="1" customHeight="1" outlineLevel="1">
      <c r="B389" s="2739" t="s">
        <v>2484</v>
      </c>
      <c r="C389" s="2740"/>
      <c r="D389" s="1897" t="s">
        <v>2507</v>
      </c>
      <c r="E389" s="980"/>
      <c r="F389" s="980"/>
      <c r="G389" s="980"/>
      <c r="H389" s="980"/>
      <c r="I389" s="980"/>
      <c r="J389" s="981"/>
      <c r="K389" s="982"/>
      <c r="L389" s="982"/>
      <c r="M389" s="983"/>
      <c r="N389" s="984"/>
      <c r="O389" s="984"/>
      <c r="Q389" s="908"/>
      <c r="R389" s="908"/>
      <c r="W389" s="817"/>
      <c r="AB389" s="576"/>
      <c r="AC389" s="576"/>
      <c r="AD389" s="576"/>
      <c r="AE389" s="576"/>
      <c r="AF389" s="576"/>
      <c r="AG389" s="576"/>
      <c r="AH389" s="576"/>
      <c r="AI389" s="576"/>
      <c r="AN389" s="113"/>
      <c r="AO389" s="113"/>
      <c r="AP389" s="113"/>
      <c r="AQ389" s="113"/>
      <c r="AR389" s="113"/>
      <c r="AS389" s="113"/>
      <c r="AT389" s="113"/>
      <c r="AU389" s="113"/>
    </row>
    <row r="390" spans="1:47" ht="26.25" hidden="1" customHeight="1" outlineLevel="1">
      <c r="B390" s="2739" t="s">
        <v>2486</v>
      </c>
      <c r="C390" s="2740"/>
      <c r="D390" s="973" t="s">
        <v>2508</v>
      </c>
      <c r="E390" s="980">
        <f>E365+E363</f>
        <v>958133</v>
      </c>
      <c r="F390" s="980">
        <f t="shared" ref="F390:I390" si="87">F365+F363</f>
        <v>0</v>
      </c>
      <c r="G390" s="980">
        <f t="shared" si="87"/>
        <v>0</v>
      </c>
      <c r="H390" s="980">
        <f t="shared" si="87"/>
        <v>0</v>
      </c>
      <c r="I390" s="980">
        <f t="shared" si="87"/>
        <v>0</v>
      </c>
      <c r="J390" s="981">
        <f>SUM(E390:I390)</f>
        <v>958133</v>
      </c>
      <c r="K390" s="982">
        <f>K365+K363</f>
        <v>0</v>
      </c>
      <c r="L390" s="982">
        <f>L363+L365</f>
        <v>0</v>
      </c>
      <c r="M390" s="983">
        <f>SQRT(SUMSQ(M363,M365))</f>
        <v>177139.20000000001</v>
      </c>
      <c r="N390" s="984"/>
      <c r="O390" s="984"/>
      <c r="Q390" s="908"/>
      <c r="R390" s="908"/>
      <c r="W390" s="817"/>
      <c r="AB390" s="576"/>
      <c r="AC390" s="576"/>
      <c r="AD390" s="576"/>
      <c r="AE390" s="576"/>
      <c r="AF390" s="576"/>
      <c r="AG390" s="576"/>
      <c r="AH390" s="576"/>
      <c r="AI390" s="576"/>
      <c r="AN390" s="113"/>
      <c r="AO390" s="113"/>
      <c r="AP390" s="113"/>
      <c r="AQ390" s="113"/>
      <c r="AR390" s="113"/>
      <c r="AS390" s="113"/>
      <c r="AT390" s="113"/>
      <c r="AU390" s="113"/>
    </row>
    <row r="391" spans="1:47" ht="12.75" hidden="1" customHeight="1" outlineLevel="1">
      <c r="B391" s="2722" t="s">
        <v>449</v>
      </c>
      <c r="C391" s="2723"/>
      <c r="D391" s="1898" t="s">
        <v>2509</v>
      </c>
      <c r="E391" s="980"/>
      <c r="F391" s="980"/>
      <c r="G391" s="980"/>
      <c r="H391" s="980"/>
      <c r="I391" s="980"/>
      <c r="J391" s="981"/>
      <c r="K391" s="982"/>
      <c r="L391" s="982"/>
      <c r="M391" s="983"/>
      <c r="N391" s="984"/>
      <c r="O391" s="984"/>
      <c r="Q391" s="908"/>
      <c r="R391" s="908"/>
      <c r="W391" s="817"/>
      <c r="AB391" s="576"/>
      <c r="AC391" s="576"/>
      <c r="AD391" s="576"/>
      <c r="AE391" s="576"/>
      <c r="AF391" s="576"/>
      <c r="AG391" s="576"/>
      <c r="AH391" s="576"/>
      <c r="AI391" s="576"/>
      <c r="AN391" s="113"/>
      <c r="AO391" s="113"/>
      <c r="AP391" s="113"/>
      <c r="AQ391" s="113"/>
      <c r="AR391" s="113"/>
      <c r="AS391" s="113"/>
      <c r="AT391" s="113"/>
      <c r="AU391" s="113"/>
    </row>
    <row r="392" spans="1:47" s="418" customFormat="1" hidden="1" outlineLevel="1">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row>
    <row r="393" spans="1:47" s="418" customFormat="1">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row>
  </sheetData>
  <mergeCells count="250">
    <mergeCell ref="E383:M383"/>
    <mergeCell ref="B384:C384"/>
    <mergeCell ref="B385:C385"/>
    <mergeCell ref="B386:C386"/>
    <mergeCell ref="B387:C387"/>
    <mergeCell ref="B391:C391"/>
    <mergeCell ref="B388:C388"/>
    <mergeCell ref="B389:C389"/>
    <mergeCell ref="B390:C390"/>
    <mergeCell ref="B381:O381"/>
    <mergeCell ref="V99:AC99"/>
    <mergeCell ref="V114:AC114"/>
    <mergeCell ref="V143:AC143"/>
    <mergeCell ref="V158:AC158"/>
    <mergeCell ref="V211:AC211"/>
    <mergeCell ref="AE211:BB211"/>
    <mergeCell ref="AE158:BB158"/>
    <mergeCell ref="AE143:BB143"/>
    <mergeCell ref="AE114:BB114"/>
    <mergeCell ref="AE99:BB99"/>
    <mergeCell ref="B367:C367"/>
    <mergeCell ref="B358:C358"/>
    <mergeCell ref="B368:D368"/>
    <mergeCell ref="B268:C268"/>
    <mergeCell ref="B354:C354"/>
    <mergeCell ref="B355:C355"/>
    <mergeCell ref="B356:C356"/>
    <mergeCell ref="B357:C357"/>
    <mergeCell ref="B339:O339"/>
    <mergeCell ref="E341:M341"/>
    <mergeCell ref="B342:C342"/>
    <mergeCell ref="B343:C343"/>
    <mergeCell ref="O343:O348"/>
    <mergeCell ref="B371:O371"/>
    <mergeCell ref="AI84:AL84"/>
    <mergeCell ref="AQ84:AT84"/>
    <mergeCell ref="B359:C359"/>
    <mergeCell ref="B360:C360"/>
    <mergeCell ref="B361:C361"/>
    <mergeCell ref="B362:C362"/>
    <mergeCell ref="B363:C363"/>
    <mergeCell ref="B364:C364"/>
    <mergeCell ref="B365:C365"/>
    <mergeCell ref="B366:C366"/>
    <mergeCell ref="B349:C349"/>
    <mergeCell ref="B350:C350"/>
    <mergeCell ref="B351:D351"/>
    <mergeCell ref="B352:C352"/>
    <mergeCell ref="B353:C353"/>
    <mergeCell ref="B276:C276"/>
    <mergeCell ref="B273:O273"/>
    <mergeCell ref="B266:C266"/>
    <mergeCell ref="B267:C267"/>
    <mergeCell ref="B344:C344"/>
    <mergeCell ref="B345:C345"/>
    <mergeCell ref="B346:C346"/>
    <mergeCell ref="B347:C347"/>
    <mergeCell ref="BD31:BO31"/>
    <mergeCell ref="BD10:BO10"/>
    <mergeCell ref="BD11:BG11"/>
    <mergeCell ref="BH11:BK11"/>
    <mergeCell ref="BL11:BO11"/>
    <mergeCell ref="BD32:BG32"/>
    <mergeCell ref="BH32:BK32"/>
    <mergeCell ref="BL32:BO32"/>
    <mergeCell ref="W12:X12"/>
    <mergeCell ref="W32:X32"/>
    <mergeCell ref="W11:X11"/>
    <mergeCell ref="AE30:BB30"/>
    <mergeCell ref="AU10:AX10"/>
    <mergeCell ref="AU11:AX11"/>
    <mergeCell ref="AU31:AX31"/>
    <mergeCell ref="AU32:AX32"/>
    <mergeCell ref="V30:AC30"/>
    <mergeCell ref="B301:C301"/>
    <mergeCell ref="B302:C302"/>
    <mergeCell ref="B348:D348"/>
    <mergeCell ref="B333:C333"/>
    <mergeCell ref="B334:C334"/>
    <mergeCell ref="B335:C335"/>
    <mergeCell ref="B336:D336"/>
    <mergeCell ref="B305:O305"/>
    <mergeCell ref="B308:C308"/>
    <mergeCell ref="B309:C309"/>
    <mergeCell ref="B310:C310"/>
    <mergeCell ref="B311:C311"/>
    <mergeCell ref="B312:C312"/>
    <mergeCell ref="B313:D313"/>
    <mergeCell ref="B314:C314"/>
    <mergeCell ref="B332:C332"/>
    <mergeCell ref="B315:C315"/>
    <mergeCell ref="B316:D316"/>
    <mergeCell ref="B317:O317"/>
    <mergeCell ref="B318:C318"/>
    <mergeCell ref="B319:C319"/>
    <mergeCell ref="B320:C320"/>
    <mergeCell ref="B321:C321"/>
    <mergeCell ref="B322:C322"/>
    <mergeCell ref="B323:C323"/>
    <mergeCell ref="B324:C324"/>
    <mergeCell ref="B325:C325"/>
    <mergeCell ref="B326:C326"/>
    <mergeCell ref="B327:O327"/>
    <mergeCell ref="B328:C328"/>
    <mergeCell ref="B329:C329"/>
    <mergeCell ref="B330:C330"/>
    <mergeCell ref="B331:C331"/>
    <mergeCell ref="B277:C277"/>
    <mergeCell ref="B278:C278"/>
    <mergeCell ref="B299:C299"/>
    <mergeCell ref="B300:C300"/>
    <mergeCell ref="B288:C288"/>
    <mergeCell ref="B289:C289"/>
    <mergeCell ref="B290:C290"/>
    <mergeCell ref="B279:C279"/>
    <mergeCell ref="B280:C280"/>
    <mergeCell ref="B281:C281"/>
    <mergeCell ref="B282:C282"/>
    <mergeCell ref="B283:C283"/>
    <mergeCell ref="B284:C284"/>
    <mergeCell ref="B291:C291"/>
    <mergeCell ref="B292:C292"/>
    <mergeCell ref="B293:C293"/>
    <mergeCell ref="B294:C294"/>
    <mergeCell ref="B295:C295"/>
    <mergeCell ref="B296:C296"/>
    <mergeCell ref="B297:C297"/>
    <mergeCell ref="B298:C298"/>
    <mergeCell ref="B285:C285"/>
    <mergeCell ref="B286:C286"/>
    <mergeCell ref="B287:C287"/>
    <mergeCell ref="E275:L275"/>
    <mergeCell ref="N5:O5"/>
    <mergeCell ref="B249:C249"/>
    <mergeCell ref="B251:C251"/>
    <mergeCell ref="H36:I36"/>
    <mergeCell ref="B252:C252"/>
    <mergeCell ref="K240:N240"/>
    <mergeCell ref="D240:F240"/>
    <mergeCell ref="H214:K214"/>
    <mergeCell ref="L214:O214"/>
    <mergeCell ref="B244:C244"/>
    <mergeCell ref="B245:C245"/>
    <mergeCell ref="B246:C246"/>
    <mergeCell ref="B238:O238"/>
    <mergeCell ref="J5:K5"/>
    <mergeCell ref="F5:G5"/>
    <mergeCell ref="H5:I5"/>
    <mergeCell ref="N4:O4"/>
    <mergeCell ref="L5:M5"/>
    <mergeCell ref="B269:C269"/>
    <mergeCell ref="B270:C270"/>
    <mergeCell ref="B261:C261"/>
    <mergeCell ref="B262:C262"/>
    <mergeCell ref="B263:C263"/>
    <mergeCell ref="B264:C264"/>
    <mergeCell ref="B265:C265"/>
    <mergeCell ref="B129:O129"/>
    <mergeCell ref="J131:O139"/>
    <mergeCell ref="D5:E5"/>
    <mergeCell ref="W33:X33"/>
    <mergeCell ref="V45:AC45"/>
    <mergeCell ref="W47:X47"/>
    <mergeCell ref="W48:X48"/>
    <mergeCell ref="AE45:BB45"/>
    <mergeCell ref="AE46:AT46"/>
    <mergeCell ref="AU46:AX46"/>
    <mergeCell ref="AU47:AX47"/>
    <mergeCell ref="Q43:U43"/>
    <mergeCell ref="AE9:BB9"/>
    <mergeCell ref="H32:I32"/>
    <mergeCell ref="K32:L32"/>
    <mergeCell ref="N32:O32"/>
    <mergeCell ref="Q32:R32"/>
    <mergeCell ref="H11:I11"/>
    <mergeCell ref="K11:L11"/>
    <mergeCell ref="N11:O11"/>
    <mergeCell ref="Q11:R11"/>
    <mergeCell ref="V9:AC9"/>
    <mergeCell ref="AE84:AH84"/>
    <mergeCell ref="AE83:AT83"/>
    <mergeCell ref="BD46:BE46"/>
    <mergeCell ref="BD83:BE83"/>
    <mergeCell ref="BD100:BE100"/>
    <mergeCell ref="H116:K116"/>
    <mergeCell ref="BD115:BE115"/>
    <mergeCell ref="AE100:AT100"/>
    <mergeCell ref="AE115:AT115"/>
    <mergeCell ref="AM84:AP84"/>
    <mergeCell ref="K47:N47"/>
    <mergeCell ref="AE47:AH47"/>
    <mergeCell ref="AI47:AL47"/>
    <mergeCell ref="AM47:AP47"/>
    <mergeCell ref="AQ47:AT47"/>
    <mergeCell ref="H47:J47"/>
    <mergeCell ref="L101:O101"/>
    <mergeCell ref="H101:K101"/>
    <mergeCell ref="H84:J84"/>
    <mergeCell ref="AE82:BB82"/>
    <mergeCell ref="AU83:AX83"/>
    <mergeCell ref="AU84:AX84"/>
    <mergeCell ref="V82:AC82"/>
    <mergeCell ref="BD200:BE200"/>
    <mergeCell ref="E307:N307"/>
    <mergeCell ref="B2:O2"/>
    <mergeCell ref="B7:O7"/>
    <mergeCell ref="B43:O43"/>
    <mergeCell ref="B258:C258"/>
    <mergeCell ref="B259:C259"/>
    <mergeCell ref="B254:O254"/>
    <mergeCell ref="B256:C257"/>
    <mergeCell ref="D256:F256"/>
    <mergeCell ref="H256:I256"/>
    <mergeCell ref="B141:O141"/>
    <mergeCell ref="B169:O169"/>
    <mergeCell ref="H240:I240"/>
    <mergeCell ref="B240:C241"/>
    <mergeCell ref="B243:C243"/>
    <mergeCell ref="B247:C247"/>
    <mergeCell ref="B248:C248"/>
    <mergeCell ref="H201:K201"/>
    <mergeCell ref="L201:O201"/>
    <mergeCell ref="D4:E4"/>
    <mergeCell ref="F4:G4"/>
    <mergeCell ref="H4:I4"/>
    <mergeCell ref="J4:K4"/>
    <mergeCell ref="Q131:R131"/>
    <mergeCell ref="BD212:BE212"/>
    <mergeCell ref="AE212:AT212"/>
    <mergeCell ref="V171:AC171"/>
    <mergeCell ref="AE171:BB171"/>
    <mergeCell ref="AE172:AT172"/>
    <mergeCell ref="BD172:BE172"/>
    <mergeCell ref="H173:K173"/>
    <mergeCell ref="L173:O173"/>
    <mergeCell ref="V181:AC181"/>
    <mergeCell ref="AE181:BB181"/>
    <mergeCell ref="AE182:AT182"/>
    <mergeCell ref="BD182:BE182"/>
    <mergeCell ref="H183:K183"/>
    <mergeCell ref="L183:O183"/>
    <mergeCell ref="V190:AC190"/>
    <mergeCell ref="AE190:BB190"/>
    <mergeCell ref="AE191:AT191"/>
    <mergeCell ref="BD191:BE191"/>
    <mergeCell ref="H192:K192"/>
    <mergeCell ref="L192:O192"/>
    <mergeCell ref="V199:AC199"/>
    <mergeCell ref="AE199:BB199"/>
    <mergeCell ref="AE200:AT200"/>
  </mergeCells>
  <phoneticPr fontId="11" type="noConversion"/>
  <conditionalFormatting sqref="H9:R10 H13:I27 K13:L27 N13:O27 Q13:R27 H34:I35 K34:L38 N34:O38 Q34:R38 H37:I38 H12:R12 H11 J11:K11 M11:N11 P11:Q11">
    <cfRule type="containsErrors" dxfId="40" priority="45">
      <formula>ISERROR(H9)</formula>
    </cfRule>
  </conditionalFormatting>
  <conditionalFormatting sqref="K32">
    <cfRule type="containsErrors" dxfId="39" priority="44">
      <formula>ISERROR(K32)</formula>
    </cfRule>
  </conditionalFormatting>
  <conditionalFormatting sqref="N32">
    <cfRule type="containsErrors" dxfId="38" priority="43">
      <formula>ISERROR(N32)</formula>
    </cfRule>
  </conditionalFormatting>
  <conditionalFormatting sqref="Q32">
    <cfRule type="containsErrors" dxfId="37" priority="42">
      <formula>ISERROR(Q32)</formula>
    </cfRule>
  </conditionalFormatting>
  <dataValidations count="29">
    <dataValidation allowBlank="1" showInputMessage="1" showErrorMessage="1" sqref="C49:C80 C86:C95 C103:C110 C118:C125 C152:C154 C162:C164 C135:C137 C185:C186 C175:C177 C227:C231 C194:C195 C203:C207 C220:C224 C215:C217" xr:uid="{00000000-0002-0000-0D00-000000000000}"/>
    <dataValidation type="list" allowBlank="1" showInputMessage="1" showErrorMessage="1" sqref="B118:B121" xr:uid="{00000000-0002-0000-0D00-000001000000}">
      <formula1>FE_Déchets_DEA</formula1>
    </dataValidation>
    <dataValidation type="list" allowBlank="1" showInputMessage="1" showErrorMessage="1" sqref="B124:B125" xr:uid="{00000000-0002-0000-0D00-000002000000}">
      <formula1>FE_Déchets_Textiles</formula1>
    </dataValidation>
    <dataValidation type="list" allowBlank="1" showInputMessage="1" showErrorMessage="1" sqref="B86:B90" xr:uid="{00000000-0002-0000-0D00-000003000000}">
      <formula1>FE_Déchets_Organiques</formula1>
    </dataValidation>
    <dataValidation type="list" allowBlank="1" showInputMessage="1" showErrorMessage="1" sqref="W37:W38 R74:R78 W86:W95 W106:W110 W124:W125 W147:W154 W13:W14 W16:W17 W19:W20 W22:W23 W25:W26 W34:W35 W162:W164 R61:R65 R49:R51 R54:R58 R68:R71 W68:W71 W49:W51 W54:W58 W61:W65 W74:W78 W103 W118:W121 W185:W186 W175:W177 W227:W231 W194:W195 W203:W207 W220:W224 W215:W217" xr:uid="{00000000-0002-0000-0D00-000004000000}">
      <formula1>Choix_Incertitudes</formula1>
    </dataValidation>
    <dataValidation type="list" allowBlank="1" showInputMessage="1" showErrorMessage="1" sqref="B49:B51" xr:uid="{00000000-0002-0000-0D00-000005000000}">
      <formula1>FE_Déchets_Emballages_autres_matériaux_ménages</formula1>
    </dataValidation>
    <dataValidation type="list" allowBlank="1" showInputMessage="1" showErrorMessage="1" sqref="B175:B177" xr:uid="{00000000-0002-0000-0D00-000006000000}">
      <formula1>FE_Déchets_Dangereux</formula1>
    </dataValidation>
    <dataValidation type="list" allowBlank="1" showInputMessage="1" showErrorMessage="1" sqref="B152:B154" xr:uid="{00000000-0002-0000-0D00-000007000000}">
      <formula1>FE_HorsEnergie_PRGKyoto</formula1>
    </dataValidation>
    <dataValidation type="list" allowBlank="1" showInputMessage="1" showErrorMessage="1" sqref="B162:B164" xr:uid="{00000000-0002-0000-0D00-000008000000}">
      <formula1>FE_HorsEnergie_PRGHorsKyoto</formula1>
    </dataValidation>
    <dataValidation type="list" allowBlank="1" showInputMessage="1" showErrorMessage="1" sqref="F147:F150 F152:F154 F162:F164 F93:F95 F124:F125 F74:F78 F106:F110 F34:F35 F37:F38 F25:F26 F22:F23 F19:F20 F16:F17 F13:F14 F61:F65 F49:F51 F54:F58 F68:F71 F86:F90 F118:F121 F103 F185:F186 F175:F177 F227:F231 F194:F195 F203:F207 F220:F224 F215:F217" xr:uid="{00000000-0002-0000-0D00-000009000000}">
      <formula1>Liste_Immobilisations2</formula1>
    </dataValidation>
    <dataValidation type="list" allowBlank="1" showInputMessage="1" showErrorMessage="1" sqref="B37:B38" xr:uid="{00000000-0002-0000-0D00-00000A000000}">
      <formula1>FE_Energie_Bois</formula1>
    </dataValidation>
    <dataValidation type="list" allowBlank="1" showInputMessage="1" showErrorMessage="1" sqref="B34:B35" xr:uid="{00000000-0002-0000-0D00-00000B000000}">
      <formula1>FE_Energie_Biocarburants_liquide_gazeux</formula1>
    </dataValidation>
    <dataValidation type="list" allowBlank="1" showInputMessage="1" showErrorMessage="1" sqref="B25:B26" xr:uid="{00000000-0002-0000-0D00-00000C000000}">
      <formula1>FE_Energie_Coke_Déchets</formula1>
    </dataValidation>
    <dataValidation type="list" allowBlank="1" showInputMessage="1" showErrorMessage="1" sqref="B19:B20" xr:uid="{00000000-0002-0000-0D00-00000D000000}">
      <formula1>FE_Energie_Liquides</formula1>
    </dataValidation>
    <dataValidation type="list" allowBlank="1" showInputMessage="1" showErrorMessage="1" sqref="B16:B17" xr:uid="{00000000-0002-0000-0D00-00000E000000}">
      <formula1>FE_Energie_Autres_Gaz</formula1>
    </dataValidation>
    <dataValidation type="list" allowBlank="1" showInputMessage="1" showErrorMessage="1" sqref="B27 B13:B14" xr:uid="{00000000-0002-0000-0D00-00000F000000}">
      <formula1>FE_Energie_Butane_Propane</formula1>
    </dataValidation>
    <dataValidation type="list" allowBlank="1" showInputMessage="1" showErrorMessage="1" sqref="F36 F27 F24 F21 F18 F15" xr:uid="{00000000-0002-0000-0D00-000010000000}">
      <formula1>Liste_Energie</formula1>
    </dataValidation>
    <dataValidation type="list" allowBlank="1" showInputMessage="1" showErrorMessage="1" sqref="B22:B23" xr:uid="{00000000-0002-0000-0D00-000011000000}">
      <formula1>FE_Energie_Charbons</formula1>
    </dataValidation>
    <dataValidation type="list" allowBlank="1" showInputMessage="1" showErrorMessage="1" sqref="B74:B78" xr:uid="{00000000-0002-0000-0D00-000012000000}">
      <formula1>FE_Déchets_Emballages_plastiques_ménages</formula1>
    </dataValidation>
    <dataValidation type="list" allowBlank="1" showInputMessage="1" showErrorMessage="1" sqref="B54:B58" xr:uid="{00000000-0002-0000-0D00-000013000000}">
      <formula1>FE_Déchets_Emballages_bois_carton_ménages</formula1>
    </dataValidation>
    <dataValidation type="list" allowBlank="1" showInputMessage="1" showErrorMessage="1" sqref="B61:B65" xr:uid="{00000000-0002-0000-0D00-000014000000}">
      <formula1>FE_Déchets_Emballages_métaux_ménages</formula1>
    </dataValidation>
    <dataValidation type="list" allowBlank="1" showInputMessage="1" showErrorMessage="1" sqref="B68:B71" xr:uid="{00000000-0002-0000-0D00-000015000000}">
      <formula1>FE_Déchets_Emballages_verre_ménages</formula1>
    </dataValidation>
    <dataValidation type="list" allowBlank="1" showInputMessage="1" showErrorMessage="1" sqref="B93:B95" xr:uid="{00000000-0002-0000-0D00-000016000000}">
      <formula1>FE_Déchets_Ordures_ménagères</formula1>
    </dataValidation>
    <dataValidation type="list" allowBlank="1" showInputMessage="1" showErrorMessage="1" sqref="B103 B194:B195" xr:uid="{00000000-0002-0000-0D00-000017000000}">
      <formula1>FE_Déchets_Piles_et_accumulateurs</formula1>
    </dataValidation>
    <dataValidation type="list" allowBlank="1" showInputMessage="1" showErrorMessage="1" sqref="B106:B110" xr:uid="{00000000-0002-0000-0D00-000018000000}">
      <formula1>FE_Déchets_DEEE</formula1>
    </dataValidation>
    <dataValidation type="list" allowBlank="1" showInputMessage="1" showErrorMessage="1" sqref="B185:B186" xr:uid="{00000000-0002-0000-0D00-000019000000}">
      <formula1>FE_Déchets_Emballages_plastiques_acteurs_économiques</formula1>
    </dataValidation>
    <dataValidation type="list" allowBlank="1" showInputMessage="1" showErrorMessage="1" sqref="B215:B217 B203:B207" xr:uid="{00000000-0002-0000-0D00-00001A000000}">
      <formula1>FE_Déchets_Plastiques_acteurs_économiques</formula1>
    </dataValidation>
    <dataValidation type="list" allowBlank="1" showInputMessage="1" showErrorMessage="1" sqref="B220:B224" xr:uid="{00000000-0002-0000-0D00-00001B000000}">
      <formula1>FE_Déchets_Bâtiments_Métaux</formula1>
    </dataValidation>
    <dataValidation type="list" allowBlank="1" showInputMessage="1" showErrorMessage="1" sqref="B227:B231" xr:uid="{00000000-0002-0000-0D00-00001C000000}">
      <formula1>FE_Déchets_Bâtiments_Autres</formula1>
    </dataValidation>
  </dataValidations>
  <hyperlinks>
    <hyperlink ref="D4" location="fin_de_vie_haut" display="Combustibles" xr:uid="{00000000-0004-0000-0D00-000000000000}"/>
    <hyperlink ref="D5" location="fin_de_vie_recap" display="total" xr:uid="{00000000-0004-0000-0D00-000001000000}"/>
    <hyperlink ref="F5" location="fin_de_vie_sous_postes" display="sous-postes" xr:uid="{00000000-0004-0000-0D00-000002000000}"/>
    <hyperlink ref="F4" location="fin_de_vie_banals" display="banals" xr:uid="{00000000-0004-0000-0D00-000003000000}"/>
    <hyperlink ref="H4" location="fuites_DIS" display="fuites et DIS" xr:uid="{00000000-0004-0000-0D00-000004000000}"/>
    <hyperlink ref="H5" location="findevie_bilanGES" display="bilan GES" xr:uid="{00000000-0004-0000-0D00-000005000000}"/>
    <hyperlink ref="J5" location="findevie_GHGProtocol" display="GHG Protocol" xr:uid="{00000000-0004-0000-0D00-000006000000}"/>
    <hyperlink ref="F4:G4" location="fin_de_vie_banals" display="Déchets ménages" xr:uid="{00000000-0004-0000-0D00-000007000000}"/>
    <hyperlink ref="J4:K4" location="'Fin de vie'!A1" display="Déchets acteurs éco." xr:uid="{00000000-0004-0000-0D00-000008000000}"/>
    <hyperlink ref="L5:M5" location="'Fin de vie'!B339" display="ISO 14069" xr:uid="{00000000-0004-0000-0D00-000009000000}"/>
    <hyperlink ref="N4:O4" location="Descriptif!A1" display="Descriptif" xr:uid="{00000000-0004-0000-0D00-00000A000000}"/>
    <hyperlink ref="N5:O5" location="'CDP 2018'!A1" display="CDP" xr:uid="{00000000-0004-0000-0D00-00000B000000}"/>
  </hyperlinks>
  <pageMargins left="0.78740157499999996" right="0.78740157499999996" top="0.984251969" bottom="0.984251969" header="0.5" footer="0.5"/>
  <pageSetup paperSize="9" orientation="portrait" horizontalDpi="4294967292" verticalDpi="4294967292" r:id="rId1"/>
  <headerFooter alignWithMargins="0"/>
  <ignoredErrors>
    <ignoredError sqref="D332:D334"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1" id="{98BE4D38-FBE4-4D85-8F89-81F053DDB99B}">
            <xm:f>$W13=Utilitaires!$N$572</xm:f>
            <x14:dxf>
              <fill>
                <patternFill>
                  <bgColor theme="0"/>
                </patternFill>
              </fill>
              <border>
                <left style="thin">
                  <color auto="1"/>
                </left>
                <right style="thin">
                  <color auto="1"/>
                </right>
                <top style="thin">
                  <color auto="1"/>
                </top>
                <bottom style="thin">
                  <color auto="1"/>
                </bottom>
                <vertical/>
                <horizontal/>
              </border>
            </x14:dxf>
          </x14:cfRule>
          <xm:sqref>X13 X86:X90 X93:X95 X185:X186 X227:X231 X194:X195 X215:X217</xm:sqref>
        </x14:conditionalFormatting>
        <x14:conditionalFormatting xmlns:xm="http://schemas.microsoft.com/office/excel/2006/main">
          <x14:cfRule type="expression" priority="40" id="{0351CF65-F172-4B7E-B7B9-B09736B75AED}">
            <xm:f>$W14=Utilitaires!$N$572</xm:f>
            <x14:dxf>
              <fill>
                <patternFill>
                  <bgColor theme="0"/>
                </patternFill>
              </fill>
              <border>
                <left style="thin">
                  <color auto="1"/>
                </left>
                <right style="thin">
                  <color auto="1"/>
                </right>
                <top style="thin">
                  <color auto="1"/>
                </top>
                <bottom style="thin">
                  <color auto="1"/>
                </bottom>
                <vertical/>
                <horizontal/>
              </border>
            </x14:dxf>
          </x14:cfRule>
          <xm:sqref>X14</xm:sqref>
        </x14:conditionalFormatting>
        <x14:conditionalFormatting xmlns:xm="http://schemas.microsoft.com/office/excel/2006/main">
          <x14:cfRule type="expression" priority="39" id="{8502E9BD-196C-43D7-A12A-7989A4226D10}">
            <xm:f>$W16=Utilitaires!$N$572</xm:f>
            <x14:dxf>
              <fill>
                <patternFill>
                  <bgColor theme="0"/>
                </patternFill>
              </fill>
              <border>
                <left style="thin">
                  <color auto="1"/>
                </left>
                <right style="thin">
                  <color auto="1"/>
                </right>
                <top style="thin">
                  <color auto="1"/>
                </top>
                <bottom style="thin">
                  <color auto="1"/>
                </bottom>
                <vertical/>
                <horizontal/>
              </border>
            </x14:dxf>
          </x14:cfRule>
          <xm:sqref>X16</xm:sqref>
        </x14:conditionalFormatting>
        <x14:conditionalFormatting xmlns:xm="http://schemas.microsoft.com/office/excel/2006/main">
          <x14:cfRule type="expression" priority="38" id="{F6641D83-F2C2-4D43-B761-F288DED83042}">
            <xm:f>$W17=Utilitaires!$N$572</xm:f>
            <x14:dxf>
              <fill>
                <patternFill>
                  <bgColor theme="0"/>
                </patternFill>
              </fill>
              <border>
                <left style="thin">
                  <color auto="1"/>
                </left>
                <right style="thin">
                  <color auto="1"/>
                </right>
                <top style="thin">
                  <color auto="1"/>
                </top>
                <bottom style="thin">
                  <color auto="1"/>
                </bottom>
                <vertical/>
                <horizontal/>
              </border>
            </x14:dxf>
          </x14:cfRule>
          <xm:sqref>X17</xm:sqref>
        </x14:conditionalFormatting>
        <x14:conditionalFormatting xmlns:xm="http://schemas.microsoft.com/office/excel/2006/main">
          <x14:cfRule type="expression" priority="37" id="{D3A1BA17-AF32-4D8C-A086-B5C98C34CCC4}">
            <xm:f>$W19=Utilitaires!$N$572</xm:f>
            <x14:dxf>
              <fill>
                <patternFill>
                  <bgColor theme="0"/>
                </patternFill>
              </fill>
              <border>
                <left style="thin">
                  <color auto="1"/>
                </left>
                <right style="thin">
                  <color auto="1"/>
                </right>
                <top style="thin">
                  <color auto="1"/>
                </top>
                <bottom style="thin">
                  <color auto="1"/>
                </bottom>
                <vertical/>
                <horizontal/>
              </border>
            </x14:dxf>
          </x14:cfRule>
          <xm:sqref>X19</xm:sqref>
        </x14:conditionalFormatting>
        <x14:conditionalFormatting xmlns:xm="http://schemas.microsoft.com/office/excel/2006/main">
          <x14:cfRule type="expression" priority="36" id="{E38BC8AB-41D6-45CF-9FDE-0304D14E11D0}">
            <xm:f>$W20=Utilitaires!$N$572</xm:f>
            <x14:dxf>
              <fill>
                <patternFill>
                  <bgColor theme="0"/>
                </patternFill>
              </fill>
              <border>
                <left style="thin">
                  <color auto="1"/>
                </left>
                <right style="thin">
                  <color auto="1"/>
                </right>
                <top style="thin">
                  <color auto="1"/>
                </top>
                <bottom style="thin">
                  <color auto="1"/>
                </bottom>
                <vertical/>
                <horizontal/>
              </border>
            </x14:dxf>
          </x14:cfRule>
          <xm:sqref>X20</xm:sqref>
        </x14:conditionalFormatting>
        <x14:conditionalFormatting xmlns:xm="http://schemas.microsoft.com/office/excel/2006/main">
          <x14:cfRule type="expression" priority="35" id="{65B9F43A-D83D-4517-8ECA-24DF90F188AB}">
            <xm:f>$W22=Utilitaires!$N$572</xm:f>
            <x14:dxf>
              <fill>
                <patternFill>
                  <bgColor theme="0"/>
                </patternFill>
              </fill>
              <border>
                <left style="thin">
                  <color auto="1"/>
                </left>
                <right style="thin">
                  <color auto="1"/>
                </right>
                <top style="thin">
                  <color auto="1"/>
                </top>
                <bottom style="thin">
                  <color auto="1"/>
                </bottom>
                <vertical/>
                <horizontal/>
              </border>
            </x14:dxf>
          </x14:cfRule>
          <xm:sqref>X22</xm:sqref>
        </x14:conditionalFormatting>
        <x14:conditionalFormatting xmlns:xm="http://schemas.microsoft.com/office/excel/2006/main">
          <x14:cfRule type="expression" priority="34" id="{11A59BEA-164F-4BB6-ADE1-6543113A385A}">
            <xm:f>$W23=Utilitaires!$N$572</xm:f>
            <x14:dxf>
              <fill>
                <patternFill>
                  <bgColor theme="0"/>
                </patternFill>
              </fill>
              <border>
                <left style="thin">
                  <color auto="1"/>
                </left>
                <right style="thin">
                  <color auto="1"/>
                </right>
                <top style="thin">
                  <color auto="1"/>
                </top>
                <bottom style="thin">
                  <color auto="1"/>
                </bottom>
                <vertical/>
                <horizontal/>
              </border>
            </x14:dxf>
          </x14:cfRule>
          <xm:sqref>X23</xm:sqref>
        </x14:conditionalFormatting>
        <x14:conditionalFormatting xmlns:xm="http://schemas.microsoft.com/office/excel/2006/main">
          <x14:cfRule type="expression" priority="33" id="{F70340E3-FA18-47CB-8F53-51DCC8702321}">
            <xm:f>$W25=Utilitaires!$N$572</xm:f>
            <x14:dxf>
              <fill>
                <patternFill>
                  <bgColor theme="0"/>
                </patternFill>
              </fill>
              <border>
                <left style="thin">
                  <color auto="1"/>
                </left>
                <right style="thin">
                  <color auto="1"/>
                </right>
                <top style="thin">
                  <color auto="1"/>
                </top>
                <bottom style="thin">
                  <color auto="1"/>
                </bottom>
                <vertical/>
                <horizontal/>
              </border>
            </x14:dxf>
          </x14:cfRule>
          <xm:sqref>X25</xm:sqref>
        </x14:conditionalFormatting>
        <x14:conditionalFormatting xmlns:xm="http://schemas.microsoft.com/office/excel/2006/main">
          <x14:cfRule type="expression" priority="32" id="{801DFE55-248C-4699-A6B5-7FE42C33CCEA}">
            <xm:f>$W26=Utilitaires!$N$572</xm:f>
            <x14:dxf>
              <fill>
                <patternFill>
                  <bgColor theme="0"/>
                </patternFill>
              </fill>
              <border>
                <left style="thin">
                  <color auto="1"/>
                </left>
                <right style="thin">
                  <color auto="1"/>
                </right>
                <top style="thin">
                  <color auto="1"/>
                </top>
                <bottom style="thin">
                  <color auto="1"/>
                </bottom>
                <vertical/>
                <horizontal/>
              </border>
            </x14:dxf>
          </x14:cfRule>
          <xm:sqref>X26</xm:sqref>
        </x14:conditionalFormatting>
        <x14:conditionalFormatting xmlns:xm="http://schemas.microsoft.com/office/excel/2006/main">
          <x14:cfRule type="expression" priority="31" id="{F32BB73F-2F4D-4089-BD55-C258491DF5D8}">
            <xm:f>$W34=Utilitaires!$N$572</xm:f>
            <x14:dxf>
              <fill>
                <patternFill>
                  <bgColor theme="0"/>
                </patternFill>
              </fill>
              <border>
                <left style="thin">
                  <color auto="1"/>
                </left>
                <right style="thin">
                  <color auto="1"/>
                </right>
                <top style="thin">
                  <color auto="1"/>
                </top>
                <bottom style="thin">
                  <color auto="1"/>
                </bottom>
                <vertical/>
                <horizontal/>
              </border>
            </x14:dxf>
          </x14:cfRule>
          <xm:sqref>X34</xm:sqref>
        </x14:conditionalFormatting>
        <x14:conditionalFormatting xmlns:xm="http://schemas.microsoft.com/office/excel/2006/main">
          <x14:cfRule type="expression" priority="30" id="{308602AE-E994-434F-9B18-8759C9206CB5}">
            <xm:f>$W35=Utilitaires!$N$572</xm:f>
            <x14:dxf>
              <fill>
                <patternFill>
                  <bgColor theme="0"/>
                </patternFill>
              </fill>
              <border>
                <left style="thin">
                  <color auto="1"/>
                </left>
                <right style="thin">
                  <color auto="1"/>
                </right>
                <top style="thin">
                  <color auto="1"/>
                </top>
                <bottom style="thin">
                  <color auto="1"/>
                </bottom>
                <vertical/>
                <horizontal/>
              </border>
            </x14:dxf>
          </x14:cfRule>
          <xm:sqref>X35</xm:sqref>
        </x14:conditionalFormatting>
        <x14:conditionalFormatting xmlns:xm="http://schemas.microsoft.com/office/excel/2006/main">
          <x14:cfRule type="expression" priority="29" id="{8B043952-01F9-4D9C-B917-72CF5E09F91F}">
            <xm:f>$W37=Utilitaires!$N$572</xm:f>
            <x14:dxf>
              <fill>
                <patternFill>
                  <bgColor theme="0"/>
                </patternFill>
              </fill>
              <border>
                <left style="thin">
                  <color auto="1"/>
                </left>
                <right style="thin">
                  <color auto="1"/>
                </right>
                <top style="thin">
                  <color auto="1"/>
                </top>
                <bottom style="thin">
                  <color auto="1"/>
                </bottom>
                <vertical/>
                <horizontal/>
              </border>
            </x14:dxf>
          </x14:cfRule>
          <xm:sqref>X37</xm:sqref>
        </x14:conditionalFormatting>
        <x14:conditionalFormatting xmlns:xm="http://schemas.microsoft.com/office/excel/2006/main">
          <x14:cfRule type="expression" priority="28" id="{AB540B80-0EAD-4CF3-AB39-3E006C459074}">
            <xm:f>$W38=Utilitaires!$N$572</xm:f>
            <x14:dxf>
              <fill>
                <patternFill>
                  <bgColor theme="0"/>
                </patternFill>
              </fill>
              <border>
                <left style="thin">
                  <color auto="1"/>
                </left>
                <right style="thin">
                  <color auto="1"/>
                </right>
                <top style="thin">
                  <color auto="1"/>
                </top>
                <bottom style="thin">
                  <color auto="1"/>
                </bottom>
                <vertical/>
                <horizontal/>
              </border>
            </x14:dxf>
          </x14:cfRule>
          <xm:sqref>X38</xm:sqref>
        </x14:conditionalFormatting>
        <x14:conditionalFormatting xmlns:xm="http://schemas.microsoft.com/office/excel/2006/main">
          <x14:cfRule type="expression" priority="26" id="{56AF963F-69AB-48CE-80EB-EC798743B1BC}">
            <xm:f>$W103=Utilitaires!$N$572</xm:f>
            <x14:dxf>
              <fill>
                <patternFill>
                  <bgColor theme="0"/>
                </patternFill>
              </fill>
              <border>
                <left style="thin">
                  <color auto="1"/>
                </left>
                <right style="thin">
                  <color auto="1"/>
                </right>
                <top style="thin">
                  <color auto="1"/>
                </top>
                <bottom style="thin">
                  <color auto="1"/>
                </bottom>
                <vertical/>
                <horizontal/>
              </border>
            </x14:dxf>
          </x14:cfRule>
          <xm:sqref>X103 X106:X110</xm:sqref>
        </x14:conditionalFormatting>
        <x14:conditionalFormatting xmlns:xm="http://schemas.microsoft.com/office/excel/2006/main">
          <x14:cfRule type="expression" priority="25" id="{3DBE2CE0-4805-4ED6-912D-663A4E3301E5}">
            <xm:f>$W118=Utilitaires!$N$572</xm:f>
            <x14:dxf>
              <fill>
                <patternFill>
                  <bgColor theme="0"/>
                </patternFill>
              </fill>
              <border>
                <left style="thin">
                  <color auto="1"/>
                </left>
                <right style="thin">
                  <color auto="1"/>
                </right>
                <top style="thin">
                  <color auto="1"/>
                </top>
                <bottom style="thin">
                  <color auto="1"/>
                </bottom>
                <vertical/>
                <horizontal/>
              </border>
            </x14:dxf>
          </x14:cfRule>
          <xm:sqref>X118:X121 X124:X125</xm:sqref>
        </x14:conditionalFormatting>
        <x14:conditionalFormatting xmlns:xm="http://schemas.microsoft.com/office/excel/2006/main">
          <x14:cfRule type="expression" priority="23" id="{DA3AD7A5-FEEF-4395-B5F7-7872D1DC4C52}">
            <xm:f>$W147=Utilitaires!$N$572</xm:f>
            <x14:dxf>
              <fill>
                <patternFill>
                  <bgColor theme="0"/>
                </patternFill>
              </fill>
              <border>
                <left style="thin">
                  <color auto="1"/>
                </left>
                <right style="thin">
                  <color auto="1"/>
                </right>
                <top style="thin">
                  <color auto="1"/>
                </top>
                <bottom style="thin">
                  <color auto="1"/>
                </bottom>
                <vertical/>
                <horizontal/>
              </border>
            </x14:dxf>
          </x14:cfRule>
          <xm:sqref>X147:X150</xm:sqref>
        </x14:conditionalFormatting>
        <x14:conditionalFormatting xmlns:xm="http://schemas.microsoft.com/office/excel/2006/main">
          <x14:cfRule type="expression" priority="22" id="{CA9AF784-F3CB-41D6-AA61-D1ECD1A858D5}">
            <xm:f>$W152=Utilitaires!$N$572</xm:f>
            <x14:dxf>
              <fill>
                <patternFill>
                  <bgColor theme="0"/>
                </patternFill>
              </fill>
              <border>
                <left style="thin">
                  <color auto="1"/>
                </left>
                <right style="thin">
                  <color auto="1"/>
                </right>
                <top style="thin">
                  <color auto="1"/>
                </top>
                <bottom style="thin">
                  <color auto="1"/>
                </bottom>
                <vertical/>
                <horizontal/>
              </border>
            </x14:dxf>
          </x14:cfRule>
          <xm:sqref>X152:X154</xm:sqref>
        </x14:conditionalFormatting>
        <x14:conditionalFormatting xmlns:xm="http://schemas.microsoft.com/office/excel/2006/main">
          <x14:cfRule type="expression" priority="21" id="{A2D8EC3D-BD5F-492E-B853-BF61E96A4125}">
            <xm:f>$W162=Utilitaires!$N$572</xm:f>
            <x14:dxf>
              <fill>
                <patternFill>
                  <bgColor theme="0"/>
                </patternFill>
              </fill>
              <border>
                <left style="thin">
                  <color auto="1"/>
                </left>
                <right style="thin">
                  <color auto="1"/>
                </right>
                <top style="thin">
                  <color auto="1"/>
                </top>
                <bottom style="thin">
                  <color auto="1"/>
                </bottom>
                <vertical/>
                <horizontal/>
              </border>
            </x14:dxf>
          </x14:cfRule>
          <xm:sqref>X162:X164</xm:sqref>
        </x14:conditionalFormatting>
        <x14:conditionalFormatting xmlns:xm="http://schemas.microsoft.com/office/excel/2006/main">
          <x14:cfRule type="expression" priority="18" id="{A4652042-3BBA-4F9C-8851-67FEC796027D}">
            <xm:f>$R49=Utilitaires!$N$572</xm:f>
            <x14:dxf>
              <fill>
                <patternFill>
                  <bgColor theme="0"/>
                </patternFill>
              </fill>
              <border>
                <left style="thin">
                  <color auto="1"/>
                </left>
                <right style="thin">
                  <color auto="1"/>
                </right>
                <top style="thin">
                  <color auto="1"/>
                </top>
                <bottom style="thin">
                  <color auto="1"/>
                </bottom>
                <vertical/>
                <horizontal/>
              </border>
            </x14:dxf>
          </x14:cfRule>
          <xm:sqref>X49:X79</xm:sqref>
        </x14:conditionalFormatting>
        <x14:conditionalFormatting xmlns:xm="http://schemas.microsoft.com/office/excel/2006/main">
          <x14:cfRule type="expression" priority="17" id="{FEC4380F-091C-44ED-889A-38BBB0FBB28B}">
            <xm:f>$R79=Utilitaires!$N$572</xm:f>
            <x14:dxf>
              <fill>
                <patternFill>
                  <bgColor theme="0"/>
                </patternFill>
              </fill>
              <border>
                <left style="thin">
                  <color auto="1"/>
                </left>
                <right style="thin">
                  <color auto="1"/>
                </right>
                <top style="thin">
                  <color auto="1"/>
                </top>
                <bottom style="thin">
                  <color auto="1"/>
                </bottom>
                <vertical/>
                <horizontal/>
              </border>
            </x14:dxf>
          </x14:cfRule>
          <xm:sqref>W79</xm:sqref>
        </x14:conditionalFormatting>
        <x14:conditionalFormatting xmlns:xm="http://schemas.microsoft.com/office/excel/2006/main">
          <x14:cfRule type="expression" priority="16" id="{6073DC26-33B8-4DEB-A6B1-99677411053D}">
            <xm:f>$R52=Utilitaires!$N$572</xm:f>
            <x14:dxf>
              <fill>
                <patternFill>
                  <bgColor theme="0"/>
                </patternFill>
              </fill>
              <border>
                <left style="thin">
                  <color auto="1"/>
                </left>
                <right style="thin">
                  <color auto="1"/>
                </right>
                <top style="thin">
                  <color auto="1"/>
                </top>
                <bottom style="thin">
                  <color auto="1"/>
                </bottom>
                <vertical/>
                <horizontal/>
              </border>
            </x14:dxf>
          </x14:cfRule>
          <xm:sqref>W52:W53</xm:sqref>
        </x14:conditionalFormatting>
        <x14:conditionalFormatting xmlns:xm="http://schemas.microsoft.com/office/excel/2006/main">
          <x14:cfRule type="expression" priority="15" id="{6FEBE889-70E3-4F9D-9B80-A3759BB02AE3}">
            <xm:f>$R59=Utilitaires!$N$572</xm:f>
            <x14:dxf>
              <fill>
                <patternFill>
                  <bgColor theme="0"/>
                </patternFill>
              </fill>
              <border>
                <left style="thin">
                  <color auto="1"/>
                </left>
                <right style="thin">
                  <color auto="1"/>
                </right>
                <top style="thin">
                  <color auto="1"/>
                </top>
                <bottom style="thin">
                  <color auto="1"/>
                </bottom>
                <vertical/>
                <horizontal/>
              </border>
            </x14:dxf>
          </x14:cfRule>
          <xm:sqref>W59:W60</xm:sqref>
        </x14:conditionalFormatting>
        <x14:conditionalFormatting xmlns:xm="http://schemas.microsoft.com/office/excel/2006/main">
          <x14:cfRule type="expression" priority="14" id="{98A8813D-EE5A-4271-BF84-05C202408D4D}">
            <xm:f>$R66=Utilitaires!$N$572</xm:f>
            <x14:dxf>
              <fill>
                <patternFill>
                  <bgColor theme="0"/>
                </patternFill>
              </fill>
              <border>
                <left style="thin">
                  <color auto="1"/>
                </left>
                <right style="thin">
                  <color auto="1"/>
                </right>
                <top style="thin">
                  <color auto="1"/>
                </top>
                <bottom style="thin">
                  <color auto="1"/>
                </bottom>
                <vertical/>
                <horizontal/>
              </border>
            </x14:dxf>
          </x14:cfRule>
          <xm:sqref>W66:W67</xm:sqref>
        </x14:conditionalFormatting>
        <x14:conditionalFormatting xmlns:xm="http://schemas.microsoft.com/office/excel/2006/main">
          <x14:cfRule type="expression" priority="13" id="{2550F53A-325B-4DFC-A16A-5837EE8F8DD3}">
            <xm:f>$R72=Utilitaires!$N$572</xm:f>
            <x14:dxf>
              <fill>
                <patternFill>
                  <bgColor theme="0"/>
                </patternFill>
              </fill>
              <border>
                <left style="thin">
                  <color auto="1"/>
                </left>
                <right style="thin">
                  <color auto="1"/>
                </right>
                <top style="thin">
                  <color auto="1"/>
                </top>
                <bottom style="thin">
                  <color auto="1"/>
                </bottom>
                <vertical/>
                <horizontal/>
              </border>
            </x14:dxf>
          </x14:cfRule>
          <xm:sqref>W72:W73</xm:sqref>
        </x14:conditionalFormatting>
        <x14:conditionalFormatting xmlns:xm="http://schemas.microsoft.com/office/excel/2006/main">
          <x14:cfRule type="expression" priority="12" id="{2EFDF73F-E496-45D6-88A1-B392AAB15CA4}">
            <xm:f>$R91=Utilitaires!$N$572</xm:f>
            <x14:dxf>
              <fill>
                <patternFill>
                  <bgColor theme="0"/>
                </patternFill>
              </fill>
              <border>
                <left style="thin">
                  <color auto="1"/>
                </left>
                <right style="thin">
                  <color auto="1"/>
                </right>
                <top style="thin">
                  <color auto="1"/>
                </top>
                <bottom style="thin">
                  <color auto="1"/>
                </bottom>
                <vertical/>
                <horizontal/>
              </border>
            </x14:dxf>
          </x14:cfRule>
          <xm:sqref>X91:X92</xm:sqref>
        </x14:conditionalFormatting>
        <x14:conditionalFormatting xmlns:xm="http://schemas.microsoft.com/office/excel/2006/main">
          <x14:cfRule type="expression" priority="11" id="{C4A1D2F8-6F71-4AAF-9BD9-BCB0AF100A98}">
            <xm:f>$R91=Utilitaires!$N$572</xm:f>
            <x14:dxf>
              <fill>
                <patternFill>
                  <bgColor theme="0"/>
                </patternFill>
              </fill>
              <border>
                <left style="thin">
                  <color auto="1"/>
                </left>
                <right style="thin">
                  <color auto="1"/>
                </right>
                <top style="thin">
                  <color auto="1"/>
                </top>
                <bottom style="thin">
                  <color auto="1"/>
                </bottom>
                <vertical/>
                <horizontal/>
              </border>
            </x14:dxf>
          </x14:cfRule>
          <xm:sqref>W91:W92</xm:sqref>
        </x14:conditionalFormatting>
        <x14:conditionalFormatting xmlns:xm="http://schemas.microsoft.com/office/excel/2006/main">
          <x14:cfRule type="expression" priority="10" id="{1163676F-EDE3-42F4-A2AE-5243EDC21150}">
            <xm:f>$R104=Utilitaires!$N$572</xm:f>
            <x14:dxf>
              <fill>
                <patternFill>
                  <bgColor theme="0"/>
                </patternFill>
              </fill>
              <border>
                <left style="thin">
                  <color auto="1"/>
                </left>
                <right style="thin">
                  <color auto="1"/>
                </right>
                <top style="thin">
                  <color auto="1"/>
                </top>
                <bottom style="thin">
                  <color auto="1"/>
                </bottom>
                <vertical/>
                <horizontal/>
              </border>
            </x14:dxf>
          </x14:cfRule>
          <xm:sqref>X104:X105</xm:sqref>
        </x14:conditionalFormatting>
        <x14:conditionalFormatting xmlns:xm="http://schemas.microsoft.com/office/excel/2006/main">
          <x14:cfRule type="expression" priority="9" id="{5E6C9FFF-78CA-4ED1-BC24-E5797C6C65D8}">
            <xm:f>$R104=Utilitaires!$N$572</xm:f>
            <x14:dxf>
              <fill>
                <patternFill>
                  <bgColor theme="0"/>
                </patternFill>
              </fill>
              <border>
                <left style="thin">
                  <color auto="1"/>
                </left>
                <right style="thin">
                  <color auto="1"/>
                </right>
                <top style="thin">
                  <color auto="1"/>
                </top>
                <bottom style="thin">
                  <color auto="1"/>
                </bottom>
                <vertical/>
                <horizontal/>
              </border>
            </x14:dxf>
          </x14:cfRule>
          <xm:sqref>W104:W105</xm:sqref>
        </x14:conditionalFormatting>
        <x14:conditionalFormatting xmlns:xm="http://schemas.microsoft.com/office/excel/2006/main">
          <x14:cfRule type="expression" priority="8" id="{E339A810-D819-4DFE-9781-992F385CA79C}">
            <xm:f>$R122=Utilitaires!$N$572</xm:f>
            <x14:dxf>
              <fill>
                <patternFill>
                  <bgColor theme="0"/>
                </patternFill>
              </fill>
              <border>
                <left style="thin">
                  <color auto="1"/>
                </left>
                <right style="thin">
                  <color auto="1"/>
                </right>
                <top style="thin">
                  <color auto="1"/>
                </top>
                <bottom style="thin">
                  <color auto="1"/>
                </bottom>
                <vertical/>
                <horizontal/>
              </border>
            </x14:dxf>
          </x14:cfRule>
          <xm:sqref>X122:X123</xm:sqref>
        </x14:conditionalFormatting>
        <x14:conditionalFormatting xmlns:xm="http://schemas.microsoft.com/office/excel/2006/main">
          <x14:cfRule type="expression" priority="7" id="{7054B8EE-E3AD-4B2D-9B11-AD903E6B1E3F}">
            <xm:f>$R122=Utilitaires!$N$572</xm:f>
            <x14:dxf>
              <fill>
                <patternFill>
                  <bgColor theme="0"/>
                </patternFill>
              </fill>
              <border>
                <left style="thin">
                  <color auto="1"/>
                </left>
                <right style="thin">
                  <color auto="1"/>
                </right>
                <top style="thin">
                  <color auto="1"/>
                </top>
                <bottom style="thin">
                  <color auto="1"/>
                </bottom>
                <vertical/>
                <horizontal/>
              </border>
            </x14:dxf>
          </x14:cfRule>
          <xm:sqref>W122:W123</xm:sqref>
        </x14:conditionalFormatting>
        <x14:conditionalFormatting xmlns:xm="http://schemas.microsoft.com/office/excel/2006/main">
          <x14:cfRule type="expression" priority="6" id="{79A6F164-03F0-40CD-B158-6630449EC0C8}">
            <xm:f>$W175=Utilitaires!$N$572</xm:f>
            <x14:dxf>
              <fill>
                <patternFill>
                  <bgColor theme="0"/>
                </patternFill>
              </fill>
              <border>
                <left style="thin">
                  <color auto="1"/>
                </left>
                <right style="thin">
                  <color auto="1"/>
                </right>
                <top style="thin">
                  <color auto="1"/>
                </top>
                <bottom style="thin">
                  <color auto="1"/>
                </bottom>
                <vertical/>
                <horizontal/>
              </border>
            </x14:dxf>
          </x14:cfRule>
          <xm:sqref>X175:X177</xm:sqref>
        </x14:conditionalFormatting>
        <x14:conditionalFormatting xmlns:xm="http://schemas.microsoft.com/office/excel/2006/main">
          <x14:cfRule type="expression" priority="3" id="{6CD3EDFC-4B62-4CE7-A99F-5E62B9B41FAC}">
            <xm:f>$W203=Utilitaires!$N$572</xm:f>
            <x14:dxf>
              <fill>
                <patternFill>
                  <bgColor theme="0"/>
                </patternFill>
              </fill>
              <border>
                <left style="thin">
                  <color auto="1"/>
                </left>
                <right style="thin">
                  <color auto="1"/>
                </right>
                <top style="thin">
                  <color auto="1"/>
                </top>
                <bottom style="thin">
                  <color auto="1"/>
                </bottom>
                <vertical/>
                <horizontal/>
              </border>
            </x14:dxf>
          </x14:cfRule>
          <xm:sqref>X203:X207</xm:sqref>
        </x14:conditionalFormatting>
        <x14:conditionalFormatting xmlns:xm="http://schemas.microsoft.com/office/excel/2006/main">
          <x14:cfRule type="expression" priority="1" id="{BB6653B1-FE41-4A9D-8768-AD58ED6B96A5}">
            <xm:f>$W220=Utilitaires!$N$572</xm:f>
            <x14:dxf>
              <fill>
                <patternFill>
                  <bgColor theme="0"/>
                </patternFill>
              </fill>
              <border>
                <left style="thin">
                  <color auto="1"/>
                </left>
                <right style="thin">
                  <color auto="1"/>
                </right>
                <top style="thin">
                  <color auto="1"/>
                </top>
                <bottom style="thin">
                  <color auto="1"/>
                </bottom>
                <vertical/>
                <horizontal/>
              </border>
            </x14:dxf>
          </x14:cfRule>
          <xm:sqref>X220:X224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1D000000}">
          <x14:formula1>
            <xm:f>Utilitaires!$N$567:$N$571</xm:f>
          </x14:formula1>
          <xm:sqref>W27:X27 W18 W21 W24 W15</xm:sqref>
        </x14:dataValidation>
        <x14:dataValidation type="list" allowBlank="1" showInputMessage="1" showErrorMessage="1" xr:uid="{00000000-0002-0000-0D00-00001E000000}">
          <x14:formula1>
            <xm:f>'FE Intrants'!$I$81:$I$96</xm:f>
          </x14:formula1>
          <xm:sqref>B135:B137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1">
    <tabColor theme="9" tint="-0.249977111117893"/>
    <outlinePr summaryBelow="0"/>
  </sheetPr>
  <dimension ref="A1:BV605"/>
  <sheetViews>
    <sheetView showGridLines="0" zoomScale="85" zoomScaleNormal="85" workbookViewId="0">
      <pane ySplit="5" topLeftCell="A6" activePane="bottomLeft" state="frozenSplit"/>
      <selection pane="bottomLeft" activeCell="C11" sqref="C11"/>
    </sheetView>
  </sheetViews>
  <sheetFormatPr baseColWidth="10" defaultColWidth="0" defaultRowHeight="11.4" outlineLevelRow="2"/>
  <cols>
    <col min="1" max="1" width="2.75" style="113" customWidth="1"/>
    <col min="2" max="2" width="41.375" style="113" customWidth="1"/>
    <col min="3" max="21" width="12.75" style="113" customWidth="1"/>
    <col min="22" max="26" width="12.75" style="113" hidden="1" customWidth="1"/>
    <col min="27" max="34" width="12.25" style="113" hidden="1" customWidth="1"/>
    <col min="35" max="16384" width="11.375" style="113" hidden="1"/>
  </cols>
  <sheetData>
    <row r="1" spans="1:74">
      <c r="A1"/>
    </row>
    <row r="2" spans="1:74" ht="30" customHeight="1">
      <c r="B2" s="2919" t="s">
        <v>498</v>
      </c>
      <c r="C2" s="2920"/>
      <c r="D2" s="2920"/>
      <c r="E2" s="2920"/>
      <c r="F2" s="2920"/>
      <c r="G2" s="2920"/>
      <c r="H2" s="2920"/>
      <c r="I2" s="2920"/>
      <c r="J2" s="2920"/>
      <c r="K2" s="2920"/>
      <c r="L2" s="2920"/>
      <c r="M2" s="2920"/>
      <c r="N2" s="2920"/>
      <c r="O2" s="2921"/>
    </row>
    <row r="4" spans="1:74" s="211" customFormat="1" ht="15" customHeight="1">
      <c r="B4" s="2933" t="s">
        <v>595</v>
      </c>
      <c r="C4" s="2934"/>
      <c r="D4" s="2930" t="s">
        <v>805</v>
      </c>
      <c r="E4" s="2930"/>
      <c r="F4" s="2930" t="s">
        <v>599</v>
      </c>
      <c r="G4" s="2930"/>
      <c r="H4" s="2930" t="s">
        <v>649</v>
      </c>
      <c r="I4" s="2930"/>
      <c r="J4" s="2930" t="s">
        <v>624</v>
      </c>
      <c r="K4" s="2930"/>
      <c r="L4" s="2930"/>
      <c r="M4" s="1019"/>
      <c r="N4" s="2761" t="s">
        <v>893</v>
      </c>
      <c r="O4" s="2762"/>
    </row>
    <row r="6" spans="1:74" ht="20.100000000000001" customHeight="1">
      <c r="B6" s="2894" t="s">
        <v>595</v>
      </c>
      <c r="C6" s="2895"/>
      <c r="D6" s="2895"/>
      <c r="E6" s="2895"/>
      <c r="F6" s="2895"/>
      <c r="G6" s="2895"/>
      <c r="H6" s="2895"/>
      <c r="I6" s="2895"/>
      <c r="J6" s="2895"/>
      <c r="K6" s="2895"/>
      <c r="L6" s="2895"/>
      <c r="M6" s="2895"/>
      <c r="N6" s="2895"/>
      <c r="O6" s="2896"/>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row>
    <row r="7" spans="1:74" s="414" customFormat="1" ht="13.2" outlineLevel="1">
      <c r="C7" s="114"/>
      <c r="D7" s="114"/>
      <c r="E7" s="114"/>
      <c r="F7" s="114"/>
      <c r="G7" s="114"/>
      <c r="H7" s="114"/>
      <c r="I7" s="114"/>
      <c r="J7" s="114"/>
      <c r="K7" s="114"/>
      <c r="L7" s="114"/>
      <c r="M7" s="114"/>
      <c r="N7" s="114"/>
      <c r="O7" s="114"/>
      <c r="P7" s="114"/>
      <c r="Q7" s="114"/>
      <c r="R7" s="114"/>
      <c r="S7" s="114"/>
      <c r="T7" s="114"/>
      <c r="U7" s="114"/>
      <c r="V7" s="114"/>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row>
    <row r="8" spans="1:74" s="414" customFormat="1" ht="12.75" customHeight="1" outlineLevel="1">
      <c r="B8" s="2925" t="s">
        <v>408</v>
      </c>
      <c r="C8" s="2926"/>
      <c r="D8" s="2927"/>
      <c r="E8" s="114"/>
      <c r="F8" s="114"/>
      <c r="G8" s="114"/>
      <c r="H8" s="114"/>
      <c r="I8" s="114"/>
      <c r="J8" s="114"/>
      <c r="K8" s="114"/>
      <c r="L8" s="114"/>
      <c r="M8" s="114"/>
      <c r="N8" s="114"/>
      <c r="O8" s="114"/>
      <c r="P8" s="114"/>
      <c r="Q8" s="114"/>
      <c r="R8" s="114"/>
      <c r="S8" s="114"/>
      <c r="T8" s="114"/>
      <c r="U8" s="114"/>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row>
    <row r="9" spans="1:74" s="414" customFormat="1" ht="12.75" customHeight="1" outlineLevel="1">
      <c r="B9" s="419" t="s">
        <v>383</v>
      </c>
      <c r="C9" s="420" t="s">
        <v>362</v>
      </c>
      <c r="D9" s="420" t="s">
        <v>318</v>
      </c>
      <c r="E9" s="114"/>
      <c r="F9" s="2884" t="s">
        <v>383</v>
      </c>
      <c r="G9" s="2885"/>
      <c r="H9" s="420" t="s">
        <v>220</v>
      </c>
      <c r="J9" s="114"/>
      <c r="K9" s="114"/>
      <c r="L9" s="114"/>
      <c r="M9" s="114"/>
      <c r="N9" s="114"/>
      <c r="O9" s="114"/>
      <c r="T9" s="114"/>
      <c r="U9" s="114"/>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row>
    <row r="10" spans="1:74" s="414" customFormat="1" ht="12.75" customHeight="1" outlineLevel="1">
      <c r="B10" s="421" t="s">
        <v>341</v>
      </c>
      <c r="C10" s="415">
        <v>61392</v>
      </c>
      <c r="D10" s="422">
        <f t="shared" ref="D10:D15" si="0">C10/H10</f>
        <v>55308.108108108107</v>
      </c>
      <c r="E10" s="114"/>
      <c r="F10" s="2928" t="s">
        <v>341</v>
      </c>
      <c r="G10" s="2929"/>
      <c r="H10" s="425">
        <v>1.1100000000000001</v>
      </c>
      <c r="J10" s="114"/>
      <c r="K10" s="114"/>
      <c r="L10" s="114"/>
      <c r="M10" s="114"/>
      <c r="N10" s="114"/>
      <c r="O10" s="114"/>
      <c r="P10" s="114"/>
      <c r="Q10" s="114"/>
      <c r="R10" s="114"/>
      <c r="S10" s="114"/>
      <c r="T10" s="114"/>
      <c r="U10" s="114"/>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row>
    <row r="11" spans="1:74" s="414" customFormat="1" ht="12.75" customHeight="1" outlineLevel="1">
      <c r="B11" s="421" t="s">
        <v>42</v>
      </c>
      <c r="C11" s="415"/>
      <c r="D11" s="422">
        <f t="shared" si="0"/>
        <v>0</v>
      </c>
      <c r="E11" s="114"/>
      <c r="F11" s="2928" t="s">
        <v>42</v>
      </c>
      <c r="G11" s="2929"/>
      <c r="H11" s="425">
        <v>1.0900000000000001</v>
      </c>
      <c r="J11" s="114"/>
      <c r="K11" s="114"/>
      <c r="L11" s="114"/>
      <c r="M11" s="114"/>
      <c r="N11" s="528"/>
      <c r="O11" s="114"/>
      <c r="P11" s="114"/>
      <c r="Q11" s="114"/>
      <c r="R11" s="114"/>
      <c r="S11" s="114"/>
      <c r="T11" s="114"/>
      <c r="U11" s="114"/>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row>
    <row r="12" spans="1:74" s="414" customFormat="1" ht="12.75" customHeight="1" outlineLevel="1">
      <c r="B12" s="421" t="s">
        <v>321</v>
      </c>
      <c r="C12" s="416"/>
      <c r="D12" s="423">
        <f t="shared" si="0"/>
        <v>0</v>
      </c>
      <c r="E12" s="114"/>
      <c r="F12" s="2928" t="s">
        <v>321</v>
      </c>
      <c r="G12" s="2929"/>
      <c r="H12" s="426">
        <v>1.08</v>
      </c>
      <c r="J12" s="114"/>
      <c r="K12" s="114"/>
      <c r="L12" s="114"/>
      <c r="M12" s="114"/>
      <c r="N12" s="114"/>
      <c r="O12" s="114"/>
      <c r="P12" s="114"/>
      <c r="Q12" s="114"/>
      <c r="R12" s="114"/>
      <c r="S12" s="114"/>
      <c r="T12" s="114"/>
      <c r="U12" s="114"/>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row>
    <row r="13" spans="1:74" s="417" customFormat="1" ht="12.75" customHeight="1" outlineLevel="1">
      <c r="B13" s="421" t="s">
        <v>219</v>
      </c>
      <c r="C13" s="415"/>
      <c r="D13" s="422">
        <f t="shared" si="0"/>
        <v>0</v>
      </c>
      <c r="E13" s="264"/>
      <c r="F13" s="2928" t="s">
        <v>219</v>
      </c>
      <c r="G13" s="2929"/>
      <c r="H13" s="425">
        <v>1.07</v>
      </c>
      <c r="J13" s="264"/>
      <c r="K13" s="264"/>
      <c r="L13" s="264"/>
      <c r="M13" s="264"/>
      <c r="N13" s="264"/>
      <c r="O13" s="264"/>
      <c r="P13" s="264"/>
      <c r="Q13" s="264"/>
      <c r="R13" s="264"/>
      <c r="S13" s="264"/>
      <c r="T13" s="264"/>
      <c r="U13" s="264"/>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row>
    <row r="14" spans="1:74" s="414" customFormat="1" ht="12.75" customHeight="1" outlineLevel="1">
      <c r="B14" s="421" t="s">
        <v>410</v>
      </c>
      <c r="C14" s="270"/>
      <c r="D14" s="424">
        <f t="shared" si="0"/>
        <v>0</v>
      </c>
      <c r="E14" s="114"/>
      <c r="F14" s="2928" t="s">
        <v>410</v>
      </c>
      <c r="G14" s="2929"/>
      <c r="H14" s="427">
        <v>1.06</v>
      </c>
      <c r="J14" s="114"/>
      <c r="K14" s="114"/>
      <c r="L14" s="114"/>
      <c r="M14" s="529"/>
      <c r="N14" s="114"/>
      <c r="O14" s="114"/>
      <c r="P14" s="114"/>
      <c r="Q14" s="114"/>
      <c r="R14" s="114"/>
      <c r="S14" s="114"/>
      <c r="T14" s="114"/>
      <c r="U14" s="114"/>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row>
    <row r="15" spans="1:74" s="414" customFormat="1" ht="12.75" customHeight="1" outlineLevel="1">
      <c r="B15" s="421" t="s">
        <v>363</v>
      </c>
      <c r="C15" s="415"/>
      <c r="D15" s="422">
        <f t="shared" si="0"/>
        <v>0</v>
      </c>
      <c r="E15" s="114"/>
      <c r="F15" s="2928" t="s">
        <v>363</v>
      </c>
      <c r="G15" s="2929"/>
      <c r="H15" s="425">
        <v>1.05</v>
      </c>
      <c r="J15" s="114"/>
      <c r="K15" s="114"/>
      <c r="L15" s="114"/>
      <c r="M15" s="114"/>
      <c r="N15" s="114"/>
      <c r="O15" s="114"/>
      <c r="P15" s="114"/>
      <c r="Q15" s="114"/>
      <c r="R15" s="114"/>
      <c r="S15" s="114"/>
      <c r="T15" s="114"/>
      <c r="U15" s="114"/>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row>
    <row r="16" spans="1:74" s="414" customFormat="1" ht="13.2" outlineLevel="1">
      <c r="B16" s="114"/>
      <c r="C16" s="114"/>
      <c r="D16" s="114"/>
      <c r="E16" s="114"/>
      <c r="F16" s="114"/>
      <c r="G16" s="114"/>
      <c r="H16" s="114"/>
      <c r="I16" s="114"/>
      <c r="J16" s="114"/>
      <c r="K16" s="114"/>
      <c r="L16" s="114"/>
      <c r="M16" s="114"/>
      <c r="N16" s="114"/>
      <c r="O16" s="114"/>
      <c r="P16" s="114"/>
      <c r="Q16" s="114"/>
      <c r="R16" s="114"/>
      <c r="S16" s="114"/>
      <c r="T16" s="114"/>
      <c r="U16" s="114"/>
      <c r="V16" s="114"/>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row>
    <row r="17" spans="2:74" s="414" customFormat="1" ht="13.2" outlineLevel="1">
      <c r="B17" s="114"/>
      <c r="C17" s="114"/>
      <c r="D17" s="114"/>
      <c r="E17" s="114"/>
      <c r="F17" s="114"/>
      <c r="G17" s="114"/>
      <c r="H17" s="114"/>
      <c r="I17" s="114"/>
      <c r="J17" s="114"/>
      <c r="K17" s="114"/>
      <c r="L17" s="114"/>
      <c r="M17" s="114"/>
      <c r="N17" s="114"/>
      <c r="O17" s="114"/>
      <c r="P17" s="114"/>
      <c r="Q17" s="114"/>
      <c r="R17" s="114"/>
      <c r="S17" s="114"/>
      <c r="T17" s="114"/>
      <c r="U17" s="114"/>
      <c r="V17" s="114"/>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row>
    <row r="18" spans="2:74" s="414" customFormat="1" ht="12.75" customHeight="1" outlineLevel="1">
      <c r="B18" s="2922" t="s">
        <v>596</v>
      </c>
      <c r="C18" s="2923"/>
      <c r="D18" s="2923"/>
      <c r="E18" s="2923"/>
      <c r="F18" s="2923"/>
      <c r="G18" s="2923"/>
      <c r="H18" s="2923"/>
      <c r="I18" s="2923"/>
      <c r="J18" s="2924"/>
      <c r="K18" s="114"/>
      <c r="L18" s="114"/>
      <c r="M18" s="114"/>
      <c r="N18" s="114"/>
      <c r="O18" s="114"/>
      <c r="P18" s="114"/>
      <c r="Q18" s="114"/>
      <c r="R18" s="114"/>
      <c r="S18" s="114"/>
      <c r="T18" s="114"/>
      <c r="U18" s="114"/>
      <c r="V18" s="114"/>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row>
    <row r="19" spans="2:74" s="414" customFormat="1" ht="26.4" outlineLevel="1">
      <c r="B19" s="420" t="s">
        <v>337</v>
      </c>
      <c r="C19" s="420" t="s">
        <v>289</v>
      </c>
      <c r="D19" s="420" t="s">
        <v>272</v>
      </c>
      <c r="E19" s="420" t="s">
        <v>247</v>
      </c>
      <c r="F19" s="420" t="s">
        <v>259</v>
      </c>
      <c r="G19" s="420" t="s">
        <v>260</v>
      </c>
      <c r="H19" s="420" t="s">
        <v>248</v>
      </c>
      <c r="I19" s="439" t="s">
        <v>597</v>
      </c>
      <c r="J19" s="439" t="s">
        <v>296</v>
      </c>
      <c r="K19" s="114"/>
      <c r="L19" s="420" t="s">
        <v>337</v>
      </c>
      <c r="M19" s="420" t="s">
        <v>272</v>
      </c>
      <c r="N19" s="420" t="s">
        <v>247</v>
      </c>
      <c r="O19" s="420" t="s">
        <v>259</v>
      </c>
      <c r="P19" s="420" t="s">
        <v>318</v>
      </c>
      <c r="Q19" s="420" t="s">
        <v>248</v>
      </c>
      <c r="R19" s="439" t="s">
        <v>597</v>
      </c>
      <c r="S19" s="439" t="s">
        <v>296</v>
      </c>
      <c r="T19" s="114"/>
      <c r="U19" s="114"/>
      <c r="V19" s="114"/>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row>
    <row r="20" spans="2:74" s="414" customFormat="1" ht="13.2" outlineLevel="1">
      <c r="B20" s="425" t="s">
        <v>272</v>
      </c>
      <c r="C20" s="415"/>
      <c r="D20" s="428">
        <f t="shared" ref="D20:J26" si="1">$C20*M20</f>
        <v>0</v>
      </c>
      <c r="E20" s="428">
        <f t="shared" si="1"/>
        <v>0</v>
      </c>
      <c r="F20" s="429">
        <f t="shared" si="1"/>
        <v>0</v>
      </c>
      <c r="G20" s="429">
        <f t="shared" si="1"/>
        <v>0</v>
      </c>
      <c r="H20" s="429">
        <f t="shared" si="1"/>
        <v>0</v>
      </c>
      <c r="I20" s="429">
        <f t="shared" si="1"/>
        <v>0</v>
      </c>
      <c r="J20" s="429">
        <f t="shared" si="1"/>
        <v>0</v>
      </c>
      <c r="K20" s="114"/>
      <c r="L20" s="440" t="s">
        <v>272</v>
      </c>
      <c r="M20" s="429">
        <v>1</v>
      </c>
      <c r="N20" s="430">
        <f>O20/O21</f>
        <v>1.4292543021032504</v>
      </c>
      <c r="O20" s="431">
        <v>41860000000</v>
      </c>
      <c r="P20" s="429">
        <f>O20/3600000</f>
        <v>11627.777777777777</v>
      </c>
      <c r="Q20" s="429">
        <f>O20*Q22</f>
        <v>39675656.71931795</v>
      </c>
      <c r="R20" s="429">
        <v>1200</v>
      </c>
      <c r="S20" s="430">
        <f>1/M26</f>
        <v>2.9814814814814814</v>
      </c>
      <c r="T20" s="114"/>
      <c r="U20" s="114"/>
      <c r="V20" s="114"/>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row>
    <row r="21" spans="2:74" s="414" customFormat="1" ht="13.2" outlineLevel="1">
      <c r="B21" s="425" t="s">
        <v>247</v>
      </c>
      <c r="C21" s="415"/>
      <c r="D21" s="428">
        <f t="shared" si="1"/>
        <v>0</v>
      </c>
      <c r="E21" s="428">
        <f t="shared" si="1"/>
        <v>0</v>
      </c>
      <c r="F21" s="429">
        <f t="shared" si="1"/>
        <v>0</v>
      </c>
      <c r="G21" s="429">
        <f t="shared" si="1"/>
        <v>0</v>
      </c>
      <c r="H21" s="429">
        <f t="shared" si="1"/>
        <v>0</v>
      </c>
      <c r="I21" s="429">
        <f t="shared" si="1"/>
        <v>0</v>
      </c>
      <c r="J21" s="429">
        <f t="shared" si="1"/>
        <v>0</v>
      </c>
      <c r="K21" s="114"/>
      <c r="L21" s="440" t="s">
        <v>247</v>
      </c>
      <c r="M21" s="432">
        <f>1/N20</f>
        <v>0.69966555183946488</v>
      </c>
      <c r="N21" s="429">
        <v>1</v>
      </c>
      <c r="O21" s="431">
        <f>4.184*7000000000</f>
        <v>29288000000</v>
      </c>
      <c r="P21" s="429">
        <f>O21/3600000</f>
        <v>8135.5555555555557</v>
      </c>
      <c r="Q21" s="429">
        <f>O21*Q22</f>
        <v>27759690.253114767</v>
      </c>
      <c r="R21" s="429">
        <f>R20/N20</f>
        <v>839.59866220735785</v>
      </c>
      <c r="S21" s="430">
        <f>1/N26</f>
        <v>2.0860398860398859</v>
      </c>
      <c r="T21" s="114"/>
      <c r="U21" s="114"/>
      <c r="V21" s="114"/>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row>
    <row r="22" spans="2:74" s="414" customFormat="1" ht="13.2" outlineLevel="1">
      <c r="B22" s="425" t="s">
        <v>259</v>
      </c>
      <c r="C22" s="415"/>
      <c r="D22" s="428">
        <f t="shared" si="1"/>
        <v>0</v>
      </c>
      <c r="E22" s="428">
        <f t="shared" si="1"/>
        <v>0</v>
      </c>
      <c r="F22" s="429">
        <f t="shared" si="1"/>
        <v>0</v>
      </c>
      <c r="G22" s="429">
        <f t="shared" si="1"/>
        <v>0</v>
      </c>
      <c r="H22" s="429">
        <f t="shared" si="1"/>
        <v>0</v>
      </c>
      <c r="I22" s="429">
        <f t="shared" si="1"/>
        <v>0</v>
      </c>
      <c r="J22" s="429">
        <f t="shared" si="1"/>
        <v>0</v>
      </c>
      <c r="K22" s="114"/>
      <c r="L22" s="440" t="s">
        <v>259</v>
      </c>
      <c r="M22" s="433">
        <f>1/O20</f>
        <v>2.3889154323936934E-11</v>
      </c>
      <c r="N22" s="434">
        <f>1/O21</f>
        <v>3.414367659109533E-11</v>
      </c>
      <c r="O22" s="429">
        <v>1</v>
      </c>
      <c r="P22" s="431">
        <f>1/O23</f>
        <v>2.7777777777777776E-7</v>
      </c>
      <c r="Q22" s="435">
        <f>1/O24</f>
        <v>9.4781788627133182E-4</v>
      </c>
      <c r="R22" s="431">
        <f>1/O25</f>
        <v>2.8666985188724317E-8</v>
      </c>
      <c r="S22" s="431">
        <f>1/O26</f>
        <v>7.1225071225071231E-11</v>
      </c>
      <c r="T22" s="114"/>
      <c r="U22" s="114"/>
      <c r="V22" s="114"/>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row>
    <row r="23" spans="2:74" s="414" customFormat="1" ht="13.2" outlineLevel="1">
      <c r="B23" s="425" t="s">
        <v>318</v>
      </c>
      <c r="C23" s="415"/>
      <c r="D23" s="428">
        <f t="shared" si="1"/>
        <v>0</v>
      </c>
      <c r="E23" s="428">
        <f t="shared" si="1"/>
        <v>0</v>
      </c>
      <c r="F23" s="429">
        <f t="shared" si="1"/>
        <v>0</v>
      </c>
      <c r="G23" s="429">
        <f t="shared" si="1"/>
        <v>0</v>
      </c>
      <c r="H23" s="429">
        <f t="shared" si="1"/>
        <v>0</v>
      </c>
      <c r="I23" s="429">
        <f t="shared" si="1"/>
        <v>0</v>
      </c>
      <c r="J23" s="429">
        <f t="shared" si="1"/>
        <v>0</v>
      </c>
      <c r="K23" s="114"/>
      <c r="L23" s="440" t="s">
        <v>318</v>
      </c>
      <c r="M23" s="433">
        <f>1/P20</f>
        <v>8.6000955566172959E-5</v>
      </c>
      <c r="N23" s="431">
        <f>1/P21</f>
        <v>1.2291723572794319E-4</v>
      </c>
      <c r="O23" s="431">
        <v>3600000</v>
      </c>
      <c r="P23" s="429">
        <v>1</v>
      </c>
      <c r="Q23" s="429">
        <f>1/P24</f>
        <v>3412.1443905767946</v>
      </c>
      <c r="R23" s="430">
        <f>1/P25</f>
        <v>0.10320114667940755</v>
      </c>
      <c r="S23" s="431">
        <f>1/P26</f>
        <v>2.5641025641025641E-4</v>
      </c>
      <c r="T23" s="114"/>
      <c r="U23" s="114"/>
      <c r="V23" s="114"/>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row>
    <row r="24" spans="2:74" s="414" customFormat="1" ht="13.2" outlineLevel="1">
      <c r="B24" s="425" t="s">
        <v>248</v>
      </c>
      <c r="C24" s="415"/>
      <c r="D24" s="428">
        <f t="shared" si="1"/>
        <v>0</v>
      </c>
      <c r="E24" s="428">
        <f t="shared" si="1"/>
        <v>0</v>
      </c>
      <c r="F24" s="429">
        <f t="shared" si="1"/>
        <v>0</v>
      </c>
      <c r="G24" s="429">
        <f t="shared" si="1"/>
        <v>0</v>
      </c>
      <c r="H24" s="429">
        <f t="shared" si="1"/>
        <v>0</v>
      </c>
      <c r="I24" s="429">
        <f t="shared" si="1"/>
        <v>0</v>
      </c>
      <c r="J24" s="429">
        <f t="shared" si="1"/>
        <v>0</v>
      </c>
      <c r="K24" s="114"/>
      <c r="L24" s="440" t="s">
        <v>248</v>
      </c>
      <c r="M24" s="433">
        <f>1/Q20</f>
        <v>2.5204371715241279E-8</v>
      </c>
      <c r="N24" s="433">
        <f>1/Q21</f>
        <v>3.602345670581808E-8</v>
      </c>
      <c r="O24" s="429">
        <v>1055.0550000000001</v>
      </c>
      <c r="P24" s="436">
        <f>P20*M24</f>
        <v>2.9307083333333331E-4</v>
      </c>
      <c r="Q24" s="429">
        <v>1</v>
      </c>
      <c r="R24" s="431">
        <f>1/Q25</f>
        <v>3.0245246058289537E-5</v>
      </c>
      <c r="S24" s="431">
        <f>1/Q26</f>
        <v>7.5146367521367518E-8</v>
      </c>
      <c r="T24" s="114"/>
      <c r="U24" s="114"/>
      <c r="V24" s="114"/>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row>
    <row r="25" spans="2:74" s="414" customFormat="1" ht="13.2" outlineLevel="1">
      <c r="B25" s="425" t="s">
        <v>295</v>
      </c>
      <c r="C25" s="415"/>
      <c r="D25" s="428">
        <f t="shared" si="1"/>
        <v>0</v>
      </c>
      <c r="E25" s="428">
        <f t="shared" si="1"/>
        <v>0</v>
      </c>
      <c r="F25" s="429">
        <f t="shared" si="1"/>
        <v>0</v>
      </c>
      <c r="G25" s="429">
        <f t="shared" si="1"/>
        <v>0</v>
      </c>
      <c r="H25" s="429">
        <f t="shared" si="1"/>
        <v>0</v>
      </c>
      <c r="I25" s="429">
        <f t="shared" si="1"/>
        <v>0</v>
      </c>
      <c r="J25" s="429">
        <f t="shared" si="1"/>
        <v>0</v>
      </c>
      <c r="K25" s="114"/>
      <c r="L25" s="440" t="s">
        <v>295</v>
      </c>
      <c r="M25" s="436">
        <f>1/R20</f>
        <v>8.3333333333333339E-4</v>
      </c>
      <c r="N25" s="437">
        <f>M25*N20</f>
        <v>1.1910452517527087E-3</v>
      </c>
      <c r="O25" s="431">
        <f>O20*M25</f>
        <v>34883333.333333336</v>
      </c>
      <c r="P25" s="428">
        <f>P20*M25</f>
        <v>9.6898148148148149</v>
      </c>
      <c r="Q25" s="429">
        <f>M25*Q20</f>
        <v>33063.047266098292</v>
      </c>
      <c r="R25" s="429">
        <v>1</v>
      </c>
      <c r="S25" s="436">
        <f>S24*Q25</f>
        <v>2.4845679012345679E-3</v>
      </c>
      <c r="T25" s="114"/>
      <c r="U25" s="114"/>
      <c r="V25" s="114"/>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2:74" s="414" customFormat="1" ht="13.2" outlineLevel="1">
      <c r="B26" s="425" t="s">
        <v>12</v>
      </c>
      <c r="C26" s="415"/>
      <c r="D26" s="428">
        <f t="shared" si="1"/>
        <v>0</v>
      </c>
      <c r="E26" s="428">
        <f t="shared" si="1"/>
        <v>0</v>
      </c>
      <c r="F26" s="429">
        <f t="shared" si="1"/>
        <v>0</v>
      </c>
      <c r="G26" s="429">
        <f t="shared" si="1"/>
        <v>0</v>
      </c>
      <c r="H26" s="429">
        <f t="shared" si="1"/>
        <v>0</v>
      </c>
      <c r="I26" s="429">
        <f t="shared" si="1"/>
        <v>0</v>
      </c>
      <c r="J26" s="429">
        <f t="shared" si="1"/>
        <v>0</v>
      </c>
      <c r="K26" s="114"/>
      <c r="L26" s="440" t="s">
        <v>12</v>
      </c>
      <c r="M26" s="432">
        <f>P26/P20</f>
        <v>0.33540372670807456</v>
      </c>
      <c r="N26" s="438">
        <f>P26/P21</f>
        <v>0.47937721933897842</v>
      </c>
      <c r="O26" s="431">
        <f>P26*3600000</f>
        <v>14040000000</v>
      </c>
      <c r="P26" s="429">
        <v>3900</v>
      </c>
      <c r="Q26" s="429">
        <f>P26*Q23</f>
        <v>13307363.123249499</v>
      </c>
      <c r="R26" s="429">
        <f>1/S25</f>
        <v>402.48447204968943</v>
      </c>
      <c r="S26" s="429">
        <v>1</v>
      </c>
      <c r="T26" s="114"/>
      <c r="U26" s="114"/>
      <c r="V26" s="114"/>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row>
    <row r="27" spans="2:74" s="414" customFormat="1" ht="13.2" outlineLevel="1">
      <c r="B27" s="114"/>
      <c r="C27" s="114"/>
      <c r="D27" s="114"/>
      <c r="E27" s="114"/>
      <c r="F27" s="114"/>
      <c r="G27" s="114"/>
      <c r="H27" s="114"/>
      <c r="I27" s="114"/>
      <c r="J27" s="114"/>
      <c r="K27" s="114"/>
      <c r="L27" s="114"/>
      <c r="M27" s="114"/>
      <c r="N27" s="114"/>
      <c r="O27" s="114"/>
      <c r="P27" s="114"/>
      <c r="Q27" s="114"/>
      <c r="R27" s="114"/>
      <c r="S27" s="114"/>
      <c r="T27" s="114"/>
      <c r="U27" s="114"/>
      <c r="V27" s="114"/>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row>
    <row r="28" spans="2:74" s="414" customFormat="1" ht="13.2" outlineLevel="1">
      <c r="B28" s="114" t="s">
        <v>598</v>
      </c>
      <c r="C28" s="114"/>
      <c r="D28" s="114"/>
      <c r="E28" s="114"/>
      <c r="F28" s="114"/>
      <c r="G28" s="114"/>
      <c r="H28" s="114"/>
      <c r="I28" s="114"/>
      <c r="J28" s="114"/>
      <c r="K28" s="114"/>
      <c r="L28" s="114"/>
      <c r="M28" s="114"/>
      <c r="N28" s="114"/>
      <c r="O28" s="114"/>
      <c r="P28" s="114"/>
      <c r="Q28" s="114"/>
      <c r="R28" s="114"/>
      <c r="S28" s="114"/>
      <c r="T28" s="114"/>
      <c r="U28" s="114"/>
      <c r="V28" s="114"/>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row>
    <row r="29" spans="2:74" outlineLevel="1">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row>
    <row r="30" spans="2:74">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row>
    <row r="31" spans="2:74">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row>
    <row r="32" spans="2:74" ht="20.100000000000001" customHeight="1" collapsed="1">
      <c r="B32" s="2894" t="s">
        <v>799</v>
      </c>
      <c r="C32" s="2895"/>
      <c r="D32" s="2895"/>
      <c r="E32" s="2895"/>
      <c r="F32" s="2895"/>
      <c r="G32" s="2895"/>
      <c r="H32" s="2895"/>
      <c r="I32" s="2895"/>
      <c r="J32" s="2895"/>
      <c r="K32" s="2895"/>
      <c r="L32" s="2895"/>
      <c r="M32" s="2895"/>
      <c r="N32" s="2895"/>
      <c r="O32" s="2896"/>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row>
    <row r="33" spans="2:74" hidden="1" outlineLevel="1">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8"/>
      <c r="BJ33" s="418"/>
      <c r="BK33" s="418"/>
      <c r="BL33" s="418"/>
      <c r="BM33" s="418"/>
      <c r="BN33" s="418"/>
      <c r="BO33" s="418"/>
      <c r="BP33" s="418"/>
      <c r="BQ33" s="418"/>
      <c r="BR33" s="418"/>
      <c r="BS33" s="418"/>
      <c r="BT33" s="418"/>
      <c r="BU33" s="418"/>
      <c r="BV33" s="418"/>
    </row>
    <row r="34" spans="2:74" ht="12.75" hidden="1" customHeight="1" outlineLevel="1">
      <c r="B34" s="942" t="s">
        <v>801</v>
      </c>
      <c r="C34" s="943"/>
      <c r="D34" s="944"/>
      <c r="E34" s="945"/>
      <c r="F34" s="945"/>
      <c r="G34" s="946"/>
      <c r="I34" s="2939" t="s">
        <v>366</v>
      </c>
      <c r="J34" s="2940"/>
      <c r="K34" s="2940"/>
      <c r="L34" s="2941"/>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row>
    <row r="35" spans="2:74" ht="13.2" hidden="1" outlineLevel="1">
      <c r="B35" s="729"/>
      <c r="C35" s="765"/>
      <c r="D35" s="947" t="s">
        <v>308</v>
      </c>
      <c r="E35" s="765"/>
      <c r="F35" s="765"/>
      <c r="G35" s="948"/>
      <c r="I35" s="1962"/>
      <c r="J35" s="1963"/>
      <c r="K35" s="1963"/>
      <c r="L35" s="946"/>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row>
    <row r="36" spans="2:74" ht="12.75" hidden="1" customHeight="1" outlineLevel="1">
      <c r="B36" s="949" t="s">
        <v>800</v>
      </c>
      <c r="C36" s="950"/>
      <c r="D36" s="950" t="s">
        <v>409</v>
      </c>
      <c r="E36" s="951" t="s">
        <v>804</v>
      </c>
      <c r="F36" s="950" t="s">
        <v>500</v>
      </c>
      <c r="G36" s="952" t="s">
        <v>500</v>
      </c>
      <c r="I36" s="949" t="s">
        <v>316</v>
      </c>
      <c r="J36" s="2935" t="s">
        <v>316</v>
      </c>
      <c r="K36" s="2936"/>
      <c r="L36" s="952" t="s">
        <v>500</v>
      </c>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row>
    <row r="37" spans="2:74" ht="12.75" hidden="1" customHeight="1" outlineLevel="1">
      <c r="B37" s="949"/>
      <c r="C37" s="950"/>
      <c r="D37" s="950" t="s">
        <v>500</v>
      </c>
      <c r="E37" s="953" t="s">
        <v>803</v>
      </c>
      <c r="F37" s="950" t="s">
        <v>802</v>
      </c>
      <c r="G37" s="952"/>
      <c r="I37" s="949" t="s">
        <v>1649</v>
      </c>
      <c r="J37" s="2937" t="s">
        <v>1650</v>
      </c>
      <c r="K37" s="2938"/>
      <c r="L37" s="952"/>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row>
    <row r="38" spans="2:74" ht="13.2" hidden="1" outlineLevel="1">
      <c r="B38" s="729" t="s">
        <v>1185</v>
      </c>
      <c r="C38" s="950"/>
      <c r="D38" s="954">
        <f>G38</f>
        <v>0</v>
      </c>
      <c r="E38" s="117"/>
      <c r="F38" s="955">
        <v>-1.61</v>
      </c>
      <c r="G38" s="956">
        <f>E38*F38</f>
        <v>0</v>
      </c>
      <c r="I38" s="1960">
        <f>SQRT(SUMSQ(0.7,N38))</f>
        <v>0.7</v>
      </c>
      <c r="J38" s="343"/>
      <c r="K38" s="1961"/>
      <c r="L38" s="956">
        <f>G38*I38</f>
        <v>0</v>
      </c>
      <c r="N38" s="1968" t="str">
        <f>IF(K38="",IF(J38="","",VLOOKUP(J38,$N$567:$O$572,2)),K38)</f>
        <v/>
      </c>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row>
    <row r="39" spans="2:74" ht="13.2" hidden="1" outlineLevel="1">
      <c r="B39" s="729" t="s">
        <v>1186</v>
      </c>
      <c r="C39" s="950"/>
      <c r="D39" s="954">
        <f>G39</f>
        <v>0</v>
      </c>
      <c r="E39" s="120"/>
      <c r="F39" s="955">
        <v>190</v>
      </c>
      <c r="G39" s="956">
        <f>E39*F39</f>
        <v>0</v>
      </c>
      <c r="I39" s="1960">
        <f t="shared" ref="I39:I41" si="2">SQRT(SUMSQ(0.7,N39))</f>
        <v>0.7</v>
      </c>
      <c r="J39" s="344"/>
      <c r="K39" s="1961"/>
      <c r="L39" s="956">
        <f t="shared" ref="L39:L41" si="3">G39*I39</f>
        <v>0</v>
      </c>
      <c r="N39" s="1969" t="str">
        <f t="shared" ref="N39:N41" si="4">IF(K39="",IF(J39="","",VLOOKUP(J39,$N$567:$O$572,2)),K39)</f>
        <v/>
      </c>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row>
    <row r="40" spans="2:74" ht="13.2" hidden="1" outlineLevel="1">
      <c r="B40" s="729" t="s">
        <v>1187</v>
      </c>
      <c r="C40" s="950"/>
      <c r="D40" s="954">
        <f>G40</f>
        <v>0</v>
      </c>
      <c r="E40" s="120"/>
      <c r="F40" s="955">
        <v>-1.8</v>
      </c>
      <c r="G40" s="956">
        <f>E40*F40</f>
        <v>0</v>
      </c>
      <c r="I40" s="1960">
        <f t="shared" si="2"/>
        <v>0.7</v>
      </c>
      <c r="J40" s="344"/>
      <c r="K40" s="1961"/>
      <c r="L40" s="956">
        <f t="shared" si="3"/>
        <v>0</v>
      </c>
      <c r="N40" s="1969" t="str">
        <f t="shared" si="4"/>
        <v/>
      </c>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row>
    <row r="41" spans="2:74" ht="13.2" hidden="1" outlineLevel="1">
      <c r="B41" s="729" t="s">
        <v>1188</v>
      </c>
      <c r="C41" s="950"/>
      <c r="D41" s="954">
        <f>G41</f>
        <v>0</v>
      </c>
      <c r="E41" s="123"/>
      <c r="F41" s="955">
        <v>0</v>
      </c>
      <c r="G41" s="956">
        <f>E41*F41</f>
        <v>0</v>
      </c>
      <c r="I41" s="1960">
        <f t="shared" si="2"/>
        <v>0.7</v>
      </c>
      <c r="J41" s="345"/>
      <c r="K41" s="1961"/>
      <c r="L41" s="956">
        <f t="shared" si="3"/>
        <v>0</v>
      </c>
      <c r="N41" s="1970" t="str">
        <f t="shared" si="4"/>
        <v/>
      </c>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row>
    <row r="42" spans="2:74" ht="13.2" hidden="1" outlineLevel="1">
      <c r="B42" s="729"/>
      <c r="C42" s="765"/>
      <c r="D42" s="957"/>
      <c r="E42" s="765"/>
      <c r="F42" s="765"/>
      <c r="G42" s="958"/>
      <c r="I42" s="1964"/>
      <c r="J42" s="1965"/>
      <c r="K42" s="1965"/>
      <c r="L42" s="1966"/>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row>
    <row r="43" spans="2:74" ht="13.2" hidden="1" outlineLevel="1">
      <c r="B43" s="959" t="s">
        <v>348</v>
      </c>
      <c r="C43" s="960"/>
      <c r="D43" s="961">
        <f>SUM(D38:D42)</f>
        <v>0</v>
      </c>
      <c r="E43" s="962"/>
      <c r="F43" s="962"/>
      <c r="G43" s="963">
        <f>SUM(G38:G42)</f>
        <v>0</v>
      </c>
      <c r="I43" s="1967">
        <f>IF(G43=0,0,L43/G43)</f>
        <v>0</v>
      </c>
      <c r="J43" s="964"/>
      <c r="K43" s="964"/>
      <c r="L43" s="963">
        <f>SQRT(SUMSQ(L38:L42))</f>
        <v>0</v>
      </c>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row>
    <row r="44" spans="2:74" hidden="1" outlineLevel="1">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row>
    <row r="45" spans="2:74" ht="12.75" hidden="1" customHeight="1" outlineLevel="1">
      <c r="B45" s="942" t="s">
        <v>806</v>
      </c>
      <c r="C45" s="943"/>
      <c r="D45" s="944"/>
      <c r="E45" s="945"/>
      <c r="F45" s="945"/>
      <c r="G45" s="946"/>
      <c r="I45" s="2939" t="s">
        <v>366</v>
      </c>
      <c r="J45" s="2940"/>
      <c r="K45" s="2940"/>
      <c r="L45" s="2941"/>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row>
    <row r="46" spans="2:74" ht="13.2" hidden="1" outlineLevel="1">
      <c r="B46" s="729"/>
      <c r="C46" s="765"/>
      <c r="D46" s="947" t="s">
        <v>308</v>
      </c>
      <c r="E46" s="765"/>
      <c r="F46" s="765"/>
      <c r="G46" s="948"/>
      <c r="I46" s="1962"/>
      <c r="J46" s="1963"/>
      <c r="K46" s="1963"/>
      <c r="L46" s="946"/>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row>
    <row r="47" spans="2:74" ht="12.75" hidden="1" customHeight="1" outlineLevel="1">
      <c r="B47" s="949" t="s">
        <v>800</v>
      </c>
      <c r="C47" s="950"/>
      <c r="D47" s="950" t="s">
        <v>409</v>
      </c>
      <c r="E47" s="951" t="s">
        <v>804</v>
      </c>
      <c r="F47" s="950" t="s">
        <v>500</v>
      </c>
      <c r="G47" s="952" t="s">
        <v>500</v>
      </c>
      <c r="I47" s="949" t="s">
        <v>316</v>
      </c>
      <c r="J47" s="2935" t="s">
        <v>316</v>
      </c>
      <c r="K47" s="2936"/>
      <c r="L47" s="952" t="s">
        <v>500</v>
      </c>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row>
    <row r="48" spans="2:74" ht="12.75" hidden="1" customHeight="1" outlineLevel="1">
      <c r="B48" s="949"/>
      <c r="C48" s="950"/>
      <c r="D48" s="950" t="s">
        <v>500</v>
      </c>
      <c r="E48" s="953" t="s">
        <v>803</v>
      </c>
      <c r="F48" s="950" t="s">
        <v>802</v>
      </c>
      <c r="G48" s="952"/>
      <c r="I48" s="949" t="s">
        <v>1649</v>
      </c>
      <c r="J48" s="2937" t="s">
        <v>1650</v>
      </c>
      <c r="K48" s="2938"/>
      <c r="L48" s="952"/>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row>
    <row r="49" spans="2:73" ht="13.2" hidden="1" outlineLevel="1">
      <c r="B49" s="729" t="s">
        <v>1189</v>
      </c>
      <c r="C49" s="950"/>
      <c r="D49" s="954">
        <f>G49</f>
        <v>0</v>
      </c>
      <c r="E49" s="117"/>
      <c r="F49" s="955">
        <v>2.75</v>
      </c>
      <c r="G49" s="956">
        <f>E49*F49</f>
        <v>0</v>
      </c>
      <c r="I49" s="1960">
        <f>SQRT(SUMSQ(0.7,N49))</f>
        <v>0.7</v>
      </c>
      <c r="J49" s="343"/>
      <c r="K49" s="1961"/>
      <c r="L49" s="956">
        <f>G49*I49</f>
        <v>0</v>
      </c>
      <c r="N49" s="1968" t="str">
        <f>IF(K49="",IF(J49="","",VLOOKUP(J49,$N$567:$O$572,2)),K49)</f>
        <v/>
      </c>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row>
    <row r="50" spans="2:73" ht="13.2" hidden="1" outlineLevel="1">
      <c r="B50" s="729" t="s">
        <v>1190</v>
      </c>
      <c r="C50" s="950"/>
      <c r="D50" s="954">
        <f>G50</f>
        <v>0</v>
      </c>
      <c r="E50" s="120"/>
      <c r="F50" s="955">
        <v>290</v>
      </c>
      <c r="G50" s="956">
        <f>E50*F50</f>
        <v>0</v>
      </c>
      <c r="I50" s="1960">
        <f t="shared" ref="I50:I52" si="5">SQRT(SUMSQ(0.7,N50))</f>
        <v>0.7</v>
      </c>
      <c r="J50" s="344"/>
      <c r="K50" s="1961"/>
      <c r="L50" s="956">
        <f t="shared" ref="L50:L52" si="6">G50*I50</f>
        <v>0</v>
      </c>
      <c r="N50" s="1969" t="str">
        <f t="shared" ref="N50:N52" si="7">IF(K50="",IF(J50="","",VLOOKUP(J50,$N$567:$O$572,2)),K50)</f>
        <v/>
      </c>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row>
    <row r="51" spans="2:73" ht="13.2" hidden="1" outlineLevel="1">
      <c r="B51" s="729" t="s">
        <v>1191</v>
      </c>
      <c r="C51" s="950"/>
      <c r="D51" s="954">
        <f>G51</f>
        <v>0</v>
      </c>
      <c r="E51" s="120"/>
      <c r="F51" s="955">
        <v>0.37</v>
      </c>
      <c r="G51" s="956">
        <f>E51*F51</f>
        <v>0</v>
      </c>
      <c r="I51" s="1960">
        <f t="shared" si="5"/>
        <v>0.7</v>
      </c>
      <c r="J51" s="344"/>
      <c r="K51" s="1961"/>
      <c r="L51" s="956">
        <f t="shared" si="6"/>
        <v>0</v>
      </c>
      <c r="N51" s="1969" t="str">
        <f t="shared" si="7"/>
        <v/>
      </c>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row>
    <row r="52" spans="2:73" ht="13.2" hidden="1" outlineLevel="1">
      <c r="B52" s="729" t="s">
        <v>1192</v>
      </c>
      <c r="C52" s="950"/>
      <c r="D52" s="954">
        <f>G52</f>
        <v>0</v>
      </c>
      <c r="E52" s="123"/>
      <c r="F52" s="955">
        <v>0</v>
      </c>
      <c r="G52" s="956">
        <f>E52*F52</f>
        <v>0</v>
      </c>
      <c r="I52" s="1960">
        <f t="shared" si="5"/>
        <v>0.7</v>
      </c>
      <c r="J52" s="345"/>
      <c r="K52" s="1961"/>
      <c r="L52" s="956">
        <f t="shared" si="6"/>
        <v>0</v>
      </c>
      <c r="N52" s="1970" t="str">
        <f t="shared" si="7"/>
        <v/>
      </c>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row>
    <row r="53" spans="2:73" ht="13.2" hidden="1" outlineLevel="1">
      <c r="B53" s="729"/>
      <c r="C53" s="765"/>
      <c r="D53" s="957"/>
      <c r="E53" s="765"/>
      <c r="F53" s="765"/>
      <c r="G53" s="958"/>
      <c r="I53" s="1964"/>
      <c r="J53" s="1965"/>
      <c r="K53" s="1965"/>
      <c r="L53" s="1966"/>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row>
    <row r="54" spans="2:73" ht="13.2" hidden="1" outlineLevel="1">
      <c r="B54" s="959" t="s">
        <v>348</v>
      </c>
      <c r="C54" s="960"/>
      <c r="D54" s="961">
        <f>SUM(D49:D53)</f>
        <v>0</v>
      </c>
      <c r="E54" s="962"/>
      <c r="F54" s="962"/>
      <c r="G54" s="963">
        <f>SUM(G49:G53)</f>
        <v>0</v>
      </c>
      <c r="I54" s="1967">
        <f>IF(G54=0,0,L54/G54)</f>
        <v>0</v>
      </c>
      <c r="J54" s="964"/>
      <c r="K54" s="964"/>
      <c r="L54" s="963">
        <f>SQRT(SUMSQ(L49:L53))</f>
        <v>0</v>
      </c>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row>
    <row r="55" spans="2:73" hidden="1" outlineLevel="1">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row>
    <row r="56" spans="2:73" ht="12.75" hidden="1" customHeight="1" outlineLevel="1">
      <c r="B56" s="942" t="s">
        <v>807</v>
      </c>
      <c r="C56" s="943"/>
      <c r="D56" s="944"/>
      <c r="E56" s="945"/>
      <c r="F56" s="945"/>
      <c r="G56" s="946"/>
      <c r="I56" s="2939" t="s">
        <v>366</v>
      </c>
      <c r="J56" s="2940"/>
      <c r="K56" s="2940"/>
      <c r="L56" s="2941"/>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row>
    <row r="57" spans="2:73" ht="13.2" hidden="1" outlineLevel="1">
      <c r="B57" s="729"/>
      <c r="C57" s="765"/>
      <c r="D57" s="947" t="s">
        <v>308</v>
      </c>
      <c r="E57" s="765"/>
      <c r="F57" s="765"/>
      <c r="G57" s="948"/>
      <c r="I57" s="1962"/>
      <c r="J57" s="1963"/>
      <c r="K57" s="1963"/>
      <c r="L57" s="946"/>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row>
    <row r="58" spans="2:73" ht="12.75" hidden="1" customHeight="1" outlineLevel="1">
      <c r="B58" s="949" t="s">
        <v>800</v>
      </c>
      <c r="C58" s="950"/>
      <c r="D58" s="950" t="s">
        <v>409</v>
      </c>
      <c r="E58" s="951" t="s">
        <v>804</v>
      </c>
      <c r="F58" s="950" t="s">
        <v>500</v>
      </c>
      <c r="G58" s="952" t="s">
        <v>500</v>
      </c>
      <c r="I58" s="949" t="s">
        <v>316</v>
      </c>
      <c r="J58" s="2935" t="s">
        <v>316</v>
      </c>
      <c r="K58" s="2936"/>
      <c r="L58" s="952" t="s">
        <v>500</v>
      </c>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row>
    <row r="59" spans="2:73" ht="12.75" hidden="1" customHeight="1" outlineLevel="1">
      <c r="B59" s="949"/>
      <c r="C59" s="950"/>
      <c r="D59" s="950" t="s">
        <v>500</v>
      </c>
      <c r="E59" s="953" t="s">
        <v>803</v>
      </c>
      <c r="F59" s="950" t="s">
        <v>802</v>
      </c>
      <c r="G59" s="952"/>
      <c r="I59" s="949" t="s">
        <v>1649</v>
      </c>
      <c r="J59" s="2937" t="s">
        <v>1650</v>
      </c>
      <c r="K59" s="2938"/>
      <c r="L59" s="952"/>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row>
    <row r="60" spans="2:73" ht="13.2" hidden="1" outlineLevel="1">
      <c r="B60" s="729" t="s">
        <v>1193</v>
      </c>
      <c r="C60" s="950"/>
      <c r="D60" s="954">
        <f>G60</f>
        <v>0</v>
      </c>
      <c r="E60" s="117"/>
      <c r="F60" s="955">
        <v>3.4</v>
      </c>
      <c r="G60" s="956">
        <f>E60*F60</f>
        <v>0</v>
      </c>
      <c r="I60" s="1960">
        <f>SQRT(SUMSQ(0.7,N60))</f>
        <v>0.7</v>
      </c>
      <c r="J60" s="343"/>
      <c r="K60" s="1961"/>
      <c r="L60" s="956">
        <f>G60*I60</f>
        <v>0</v>
      </c>
      <c r="N60" s="1968" t="str">
        <f>IF(K60="",IF(J60="","",VLOOKUP(J60,$N$567:$O$572,2)),K60)</f>
        <v/>
      </c>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row>
    <row r="61" spans="2:73" ht="13.2" hidden="1" outlineLevel="1">
      <c r="B61" s="729" t="s">
        <v>1194</v>
      </c>
      <c r="C61" s="950"/>
      <c r="D61" s="954">
        <f>G61</f>
        <v>0</v>
      </c>
      <c r="E61" s="120"/>
      <c r="F61" s="955">
        <v>-0.37</v>
      </c>
      <c r="G61" s="956">
        <f>E61*F61</f>
        <v>0</v>
      </c>
      <c r="I61" s="1960">
        <f t="shared" ref="I61:I63" si="8">SQRT(SUMSQ(0.7,N61))</f>
        <v>0.7</v>
      </c>
      <c r="J61" s="344"/>
      <c r="K61" s="1961"/>
      <c r="L61" s="956">
        <f t="shared" ref="L61:L63" si="9">G61*I61</f>
        <v>0</v>
      </c>
      <c r="N61" s="1969" t="str">
        <f t="shared" ref="N61:N63" si="10">IF(K61="",IF(J61="","",VLOOKUP(J61,$N$567:$O$572,2)),K61)</f>
        <v/>
      </c>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row>
    <row r="62" spans="2:73" ht="13.2" hidden="1" outlineLevel="1">
      <c r="B62" s="729" t="s">
        <v>1195</v>
      </c>
      <c r="C62" s="950"/>
      <c r="D62" s="954">
        <f>G62</f>
        <v>0</v>
      </c>
      <c r="E62" s="120"/>
      <c r="F62" s="955">
        <v>290</v>
      </c>
      <c r="G62" s="956">
        <f>E62*F62</f>
        <v>0</v>
      </c>
      <c r="I62" s="1960">
        <f t="shared" si="8"/>
        <v>0.7</v>
      </c>
      <c r="J62" s="344"/>
      <c r="K62" s="1961"/>
      <c r="L62" s="956">
        <f t="shared" si="9"/>
        <v>0</v>
      </c>
      <c r="N62" s="1969" t="str">
        <f t="shared" si="10"/>
        <v/>
      </c>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row>
    <row r="63" spans="2:73" ht="13.2" hidden="1" outlineLevel="1">
      <c r="B63" s="729" t="s">
        <v>1196</v>
      </c>
      <c r="C63" s="950"/>
      <c r="D63" s="954">
        <f>G63</f>
        <v>0</v>
      </c>
      <c r="E63" s="123"/>
      <c r="F63" s="955">
        <v>0</v>
      </c>
      <c r="G63" s="956">
        <f>E63*F63</f>
        <v>0</v>
      </c>
      <c r="I63" s="1960">
        <f t="shared" si="8"/>
        <v>0.7</v>
      </c>
      <c r="J63" s="345"/>
      <c r="K63" s="1961"/>
      <c r="L63" s="956">
        <f t="shared" si="9"/>
        <v>0</v>
      </c>
      <c r="N63" s="1970" t="str">
        <f t="shared" si="10"/>
        <v/>
      </c>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row>
    <row r="64" spans="2:73" ht="13.2" hidden="1" outlineLevel="1">
      <c r="B64" s="729"/>
      <c r="C64" s="765"/>
      <c r="D64" s="957"/>
      <c r="E64" s="765"/>
      <c r="F64" s="765"/>
      <c r="G64" s="958"/>
      <c r="I64" s="1964"/>
      <c r="J64" s="1965"/>
      <c r="K64" s="1965"/>
      <c r="L64" s="1966"/>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row>
    <row r="65" spans="2:74" ht="13.2" hidden="1" outlineLevel="1">
      <c r="B65" s="959" t="s">
        <v>348</v>
      </c>
      <c r="C65" s="960"/>
      <c r="D65" s="961">
        <f>SUM(D60:D64)</f>
        <v>0</v>
      </c>
      <c r="E65" s="962"/>
      <c r="F65" s="962"/>
      <c r="G65" s="963">
        <f>SUM(G60:G64)</f>
        <v>0</v>
      </c>
      <c r="I65" s="1967">
        <f>IF(G65=0,0,L65/G65)</f>
        <v>0</v>
      </c>
      <c r="J65" s="964"/>
      <c r="K65" s="964"/>
      <c r="L65" s="963">
        <f>SQRT(SUMSQ(L60:L64))</f>
        <v>0</v>
      </c>
      <c r="V65" s="418"/>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418"/>
      <c r="BG65" s="418"/>
      <c r="BH65" s="418"/>
      <c r="BI65" s="418"/>
      <c r="BJ65" s="418"/>
      <c r="BK65" s="418"/>
      <c r="BL65" s="418"/>
      <c r="BM65" s="418"/>
      <c r="BN65" s="418"/>
      <c r="BO65" s="418"/>
      <c r="BP65" s="418"/>
      <c r="BQ65" s="418"/>
      <c r="BR65" s="418"/>
      <c r="BS65" s="418"/>
      <c r="BT65" s="418"/>
      <c r="BU65" s="418"/>
    </row>
    <row r="66" spans="2:74" hidden="1" outlineLevel="1">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418"/>
      <c r="BG66" s="418"/>
      <c r="BH66" s="418"/>
      <c r="BI66" s="418"/>
      <c r="BJ66" s="418"/>
      <c r="BK66" s="418"/>
      <c r="BL66" s="418"/>
      <c r="BM66" s="418"/>
      <c r="BN66" s="418"/>
      <c r="BO66" s="418"/>
      <c r="BP66" s="418"/>
      <c r="BQ66" s="418"/>
      <c r="BR66" s="418"/>
      <c r="BS66" s="418"/>
      <c r="BT66" s="418"/>
      <c r="BU66" s="418"/>
      <c r="BV66" s="418"/>
    </row>
    <row r="67" spans="2:74">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418"/>
      <c r="BG67" s="418"/>
      <c r="BH67" s="418"/>
      <c r="BI67" s="418"/>
      <c r="BJ67" s="418"/>
      <c r="BK67" s="418"/>
      <c r="BL67" s="418"/>
      <c r="BM67" s="418"/>
      <c r="BN67" s="418"/>
      <c r="BO67" s="418"/>
      <c r="BP67" s="418"/>
      <c r="BQ67" s="418"/>
      <c r="BR67" s="418"/>
      <c r="BS67" s="418"/>
      <c r="BT67" s="418"/>
      <c r="BU67" s="418"/>
      <c r="BV67" s="418"/>
    </row>
    <row r="68" spans="2:74">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J68" s="418"/>
      <c r="BK68" s="418"/>
      <c r="BL68" s="418"/>
      <c r="BM68" s="418"/>
      <c r="BN68" s="418"/>
      <c r="BO68" s="418"/>
      <c r="BP68" s="418"/>
      <c r="BQ68" s="418"/>
      <c r="BR68" s="418"/>
      <c r="BS68" s="418"/>
      <c r="BT68" s="418"/>
      <c r="BU68" s="418"/>
      <c r="BV68" s="418"/>
    </row>
    <row r="69" spans="2:74" ht="20.100000000000001" customHeight="1">
      <c r="B69" s="2878" t="s">
        <v>599</v>
      </c>
      <c r="C69" s="2879"/>
      <c r="D69" s="2879"/>
      <c r="E69" s="2879"/>
      <c r="F69" s="2879"/>
      <c r="G69" s="2879"/>
      <c r="H69" s="2879"/>
      <c r="I69" s="2879"/>
      <c r="J69" s="2879"/>
      <c r="K69" s="2879"/>
      <c r="L69" s="2879"/>
      <c r="M69" s="2879"/>
      <c r="N69" s="2879"/>
      <c r="O69" s="2880"/>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418"/>
      <c r="BG69" s="418"/>
      <c r="BH69" s="418"/>
      <c r="BI69" s="418"/>
      <c r="BJ69" s="418"/>
      <c r="BK69" s="418"/>
      <c r="BL69" s="418"/>
      <c r="BM69" s="418"/>
      <c r="BN69" s="418"/>
      <c r="BO69" s="418"/>
      <c r="BP69" s="418"/>
      <c r="BQ69" s="418"/>
      <c r="BR69" s="418"/>
      <c r="BS69" s="418"/>
      <c r="BT69" s="418"/>
      <c r="BU69" s="418"/>
      <c r="BV69" s="418"/>
    </row>
    <row r="71" spans="2:74" ht="13.8">
      <c r="B71" s="2891" t="s">
        <v>886</v>
      </c>
      <c r="C71" s="2892"/>
      <c r="D71" s="2892"/>
      <c r="E71" s="2893"/>
      <c r="G71" s="2891" t="s">
        <v>600</v>
      </c>
      <c r="H71" s="2892"/>
      <c r="I71" s="2892"/>
      <c r="J71" s="2892"/>
      <c r="K71" s="2892"/>
      <c r="L71" s="2892"/>
      <c r="M71" s="2892"/>
      <c r="N71" s="2892"/>
      <c r="O71" s="2893"/>
    </row>
    <row r="109" spans="2:15" ht="20.100000000000001" customHeight="1">
      <c r="B109" s="2894" t="s">
        <v>649</v>
      </c>
      <c r="C109" s="2895"/>
      <c r="D109" s="2895"/>
      <c r="E109" s="2895"/>
      <c r="F109" s="2895"/>
      <c r="G109" s="2895"/>
      <c r="H109" s="2895"/>
      <c r="I109" s="2895"/>
      <c r="J109" s="2895"/>
      <c r="K109" s="2895"/>
      <c r="L109" s="2895"/>
      <c r="M109" s="2895"/>
      <c r="N109" s="2895"/>
      <c r="O109" s="2896"/>
    </row>
    <row r="110" spans="2:15" ht="15" customHeight="1"/>
    <row r="111" spans="2:15" ht="15.6" collapsed="1">
      <c r="B111" s="2878" t="s">
        <v>62</v>
      </c>
      <c r="C111" s="2879"/>
      <c r="D111" s="2879"/>
      <c r="E111" s="2879"/>
      <c r="F111" s="2879"/>
      <c r="G111" s="2879"/>
      <c r="H111" s="2879"/>
      <c r="I111" s="2879"/>
      <c r="J111" s="2879"/>
      <c r="K111" s="2879"/>
      <c r="L111" s="2879"/>
      <c r="M111" s="2879"/>
      <c r="N111" s="2879"/>
      <c r="O111" s="2880"/>
    </row>
    <row r="112" spans="2:15" hidden="1" outlineLevel="1"/>
    <row r="113" spans="2:15" ht="13.2" hidden="1" outlineLevel="1">
      <c r="B113" s="754" t="s">
        <v>650</v>
      </c>
      <c r="C113" s="643" t="s">
        <v>659</v>
      </c>
      <c r="D113" s="643" t="s">
        <v>366</v>
      </c>
    </row>
    <row r="114" spans="2:15" ht="13.2" hidden="1" outlineLevel="1">
      <c r="B114" s="691" t="s">
        <v>1267</v>
      </c>
      <c r="C114" s="705">
        <v>1</v>
      </c>
      <c r="D114" s="741">
        <v>0.3</v>
      </c>
    </row>
    <row r="115" spans="2:15" ht="13.2" hidden="1" outlineLevel="1">
      <c r="B115" s="691" t="s">
        <v>1268</v>
      </c>
      <c r="C115" s="707">
        <v>1.1000000000000001</v>
      </c>
      <c r="D115" s="742">
        <v>0.3</v>
      </c>
    </row>
    <row r="116" spans="2:15" ht="13.2" hidden="1" outlineLevel="1">
      <c r="B116" s="691" t="s">
        <v>1269</v>
      </c>
      <c r="C116" s="707">
        <v>0.9</v>
      </c>
      <c r="D116" s="742">
        <v>0.3</v>
      </c>
    </row>
    <row r="117" spans="2:15" ht="13.2" hidden="1" outlineLevel="1">
      <c r="B117" s="691" t="s">
        <v>1270</v>
      </c>
      <c r="C117" s="707">
        <v>0.6</v>
      </c>
      <c r="D117" s="742">
        <v>0.3</v>
      </c>
    </row>
    <row r="118" spans="2:15" ht="13.2" hidden="1" outlineLevel="1">
      <c r="B118" s="691" t="s">
        <v>1271</v>
      </c>
      <c r="C118" s="707">
        <v>1.3</v>
      </c>
      <c r="D118" s="742">
        <v>0.3</v>
      </c>
    </row>
    <row r="119" spans="2:15" ht="13.2" hidden="1" outlineLevel="1">
      <c r="B119" s="691" t="s">
        <v>1272</v>
      </c>
      <c r="C119" s="707">
        <v>1.1000000000000001</v>
      </c>
      <c r="D119" s="742">
        <v>0.3</v>
      </c>
    </row>
    <row r="120" spans="2:15" ht="13.2" hidden="1" outlineLevel="1">
      <c r="B120" s="691" t="s">
        <v>1273</v>
      </c>
      <c r="C120" s="707">
        <v>0.9</v>
      </c>
      <c r="D120" s="742">
        <v>0.3</v>
      </c>
    </row>
    <row r="121" spans="2:15" ht="13.2" hidden="1" outlineLevel="1">
      <c r="B121" s="740"/>
      <c r="C121" s="723"/>
      <c r="D121" s="743"/>
    </row>
    <row r="122" spans="2:15" hidden="1" outlineLevel="1"/>
    <row r="123" spans="2:15" hidden="1" outlineLevel="1"/>
    <row r="124" spans="2:15" ht="15.75" hidden="1" customHeight="1" outlineLevel="1" collapsed="1">
      <c r="B124" s="2881" t="s">
        <v>665</v>
      </c>
      <c r="C124" s="2882"/>
      <c r="D124" s="2882"/>
      <c r="E124" s="2882"/>
      <c r="F124" s="2882"/>
      <c r="G124" s="2882"/>
      <c r="H124" s="2882"/>
      <c r="I124" s="2882"/>
      <c r="J124" s="2882"/>
      <c r="K124" s="2882"/>
      <c r="L124" s="2882"/>
      <c r="M124" s="2882"/>
      <c r="N124" s="2882"/>
      <c r="O124" s="2883"/>
    </row>
    <row r="125" spans="2:15" hidden="1" outlineLevel="2"/>
    <row r="126" spans="2:15" ht="12.75" hidden="1" customHeight="1" outlineLevel="2">
      <c r="B126" s="752" t="s">
        <v>662</v>
      </c>
      <c r="C126" s="2884" t="s">
        <v>660</v>
      </c>
      <c r="D126" s="2897"/>
      <c r="E126" s="2897"/>
      <c r="F126" s="2885"/>
      <c r="H126" s="4"/>
      <c r="I126" s="4"/>
      <c r="J126" s="4"/>
      <c r="K126" s="4"/>
    </row>
    <row r="127" spans="2:15" ht="26.25" hidden="1" customHeight="1" outlineLevel="2">
      <c r="B127" s="753"/>
      <c r="C127" s="726" t="s">
        <v>290</v>
      </c>
      <c r="D127" s="697" t="s">
        <v>291</v>
      </c>
      <c r="E127" s="731" t="s">
        <v>14</v>
      </c>
      <c r="F127" s="644" t="s">
        <v>366</v>
      </c>
      <c r="H127" s="91"/>
      <c r="I127" s="91"/>
      <c r="J127" s="91"/>
      <c r="K127" s="91"/>
    </row>
    <row r="128" spans="2:15" ht="13.2" hidden="1" outlineLevel="2">
      <c r="B128" s="746" t="s">
        <v>1274</v>
      </c>
      <c r="C128" s="705">
        <v>126</v>
      </c>
      <c r="D128" s="736">
        <v>38</v>
      </c>
      <c r="E128" s="734">
        <f>C128+D128</f>
        <v>164</v>
      </c>
      <c r="F128" s="695">
        <v>0.3</v>
      </c>
      <c r="H128" s="4"/>
      <c r="I128" s="4"/>
      <c r="J128" s="4"/>
      <c r="K128" s="4"/>
    </row>
    <row r="129" spans="2:11" ht="13.2" hidden="1" outlineLevel="2">
      <c r="B129" s="746" t="s">
        <v>1275</v>
      </c>
      <c r="C129" s="707">
        <v>191</v>
      </c>
      <c r="D129" s="706">
        <v>7</v>
      </c>
      <c r="E129" s="735">
        <f t="shared" ref="E129:E146" si="11">C129+D129</f>
        <v>198</v>
      </c>
      <c r="F129" s="681">
        <v>0.3</v>
      </c>
      <c r="H129" s="4"/>
      <c r="I129" s="4"/>
      <c r="J129" s="4"/>
      <c r="K129" s="4"/>
    </row>
    <row r="130" spans="2:11" ht="13.2" hidden="1" outlineLevel="2">
      <c r="B130" s="746" t="s">
        <v>1276</v>
      </c>
      <c r="C130" s="707">
        <v>163</v>
      </c>
      <c r="D130" s="706">
        <v>6</v>
      </c>
      <c r="E130" s="735">
        <f t="shared" si="11"/>
        <v>169</v>
      </c>
      <c r="F130" s="681">
        <v>0.3</v>
      </c>
      <c r="H130" s="4"/>
      <c r="I130" s="4"/>
      <c r="J130" s="4"/>
      <c r="K130" s="4"/>
    </row>
    <row r="131" spans="2:11" ht="13.2" hidden="1" outlineLevel="2">
      <c r="B131" s="746" t="s">
        <v>1277</v>
      </c>
      <c r="C131" s="707">
        <v>177</v>
      </c>
      <c r="D131" s="706">
        <v>7</v>
      </c>
      <c r="E131" s="735">
        <f t="shared" si="11"/>
        <v>184</v>
      </c>
      <c r="F131" s="681">
        <v>0.3</v>
      </c>
      <c r="H131" s="4"/>
      <c r="I131" s="4"/>
      <c r="J131" s="4"/>
      <c r="K131" s="4"/>
    </row>
    <row r="132" spans="2:11" ht="13.2" hidden="1" outlineLevel="2">
      <c r="B132" s="746" t="s">
        <v>1278</v>
      </c>
      <c r="C132" s="707">
        <v>220</v>
      </c>
      <c r="D132" s="706">
        <v>54</v>
      </c>
      <c r="E132" s="735">
        <f t="shared" si="11"/>
        <v>274</v>
      </c>
      <c r="F132" s="681">
        <v>0.3</v>
      </c>
      <c r="H132" s="4"/>
      <c r="I132" s="4"/>
      <c r="J132" s="4"/>
      <c r="K132" s="4"/>
    </row>
    <row r="133" spans="2:11" ht="13.2" hidden="1" outlineLevel="2">
      <c r="B133" s="746" t="s">
        <v>1279</v>
      </c>
      <c r="C133" s="707">
        <v>117</v>
      </c>
      <c r="D133" s="706">
        <v>35</v>
      </c>
      <c r="E133" s="735">
        <f t="shared" si="11"/>
        <v>152</v>
      </c>
      <c r="F133" s="681">
        <v>0.3</v>
      </c>
      <c r="H133" s="4"/>
      <c r="I133" s="4"/>
      <c r="J133" s="4"/>
      <c r="K133" s="4"/>
    </row>
    <row r="134" spans="2:11" ht="13.2" hidden="1" outlineLevel="2">
      <c r="B134" s="746" t="s">
        <v>1280</v>
      </c>
      <c r="C134" s="707">
        <v>142</v>
      </c>
      <c r="D134" s="706">
        <v>10</v>
      </c>
      <c r="E134" s="735">
        <f t="shared" si="11"/>
        <v>152</v>
      </c>
      <c r="F134" s="681">
        <v>0.3</v>
      </c>
      <c r="H134" s="4"/>
      <c r="I134" s="4"/>
      <c r="J134" s="4"/>
      <c r="K134" s="4"/>
    </row>
    <row r="135" spans="2:11" ht="13.2" hidden="1" outlineLevel="2">
      <c r="B135" s="746" t="s">
        <v>1281</v>
      </c>
      <c r="C135" s="707">
        <v>175</v>
      </c>
      <c r="D135" s="706">
        <v>43</v>
      </c>
      <c r="E135" s="735">
        <f t="shared" si="11"/>
        <v>218</v>
      </c>
      <c r="F135" s="681">
        <v>0.3</v>
      </c>
      <c r="H135" s="4"/>
      <c r="I135" s="4"/>
      <c r="J135" s="4"/>
      <c r="K135" s="4"/>
    </row>
    <row r="136" spans="2:11" ht="13.2" hidden="1" outlineLevel="2">
      <c r="B136" s="746" t="s">
        <v>1282</v>
      </c>
      <c r="C136" s="707">
        <v>157</v>
      </c>
      <c r="D136" s="706">
        <v>17</v>
      </c>
      <c r="E136" s="735">
        <f t="shared" si="11"/>
        <v>174</v>
      </c>
      <c r="F136" s="681">
        <v>0.3</v>
      </c>
      <c r="H136" s="4"/>
      <c r="I136" s="4"/>
      <c r="J136" s="4"/>
      <c r="K136" s="4"/>
    </row>
    <row r="137" spans="2:11" ht="13.2" hidden="1" outlineLevel="2">
      <c r="B137" s="746" t="s">
        <v>1283</v>
      </c>
      <c r="C137" s="707">
        <v>86</v>
      </c>
      <c r="D137" s="706">
        <v>9</v>
      </c>
      <c r="E137" s="735">
        <f t="shared" si="11"/>
        <v>95</v>
      </c>
      <c r="F137" s="681">
        <v>0.3</v>
      </c>
      <c r="H137" s="4"/>
      <c r="I137" s="4"/>
      <c r="J137" s="4"/>
      <c r="K137" s="4"/>
    </row>
    <row r="138" spans="2:11" ht="13.2" hidden="1" outlineLevel="2">
      <c r="B138" s="746" t="s">
        <v>1284</v>
      </c>
      <c r="C138" s="707">
        <v>127</v>
      </c>
      <c r="D138" s="706">
        <v>14</v>
      </c>
      <c r="E138" s="735">
        <f t="shared" si="11"/>
        <v>141</v>
      </c>
      <c r="F138" s="681">
        <v>0.3</v>
      </c>
      <c r="H138" s="4"/>
      <c r="I138" s="4"/>
      <c r="J138" s="4"/>
      <c r="K138" s="4"/>
    </row>
    <row r="139" spans="2:11" ht="13.2" hidden="1" outlineLevel="2">
      <c r="B139" s="746" t="s">
        <v>1285</v>
      </c>
      <c r="C139" s="707">
        <v>108</v>
      </c>
      <c r="D139" s="706">
        <v>12</v>
      </c>
      <c r="E139" s="735">
        <f t="shared" si="11"/>
        <v>120</v>
      </c>
      <c r="F139" s="681">
        <v>0.3</v>
      </c>
      <c r="H139" s="4"/>
      <c r="I139" s="4"/>
      <c r="J139" s="4"/>
      <c r="K139" s="4"/>
    </row>
    <row r="140" spans="2:11" ht="13.2" hidden="1" outlineLevel="2">
      <c r="B140" s="711" t="s">
        <v>1286</v>
      </c>
      <c r="C140" s="707">
        <v>148</v>
      </c>
      <c r="D140" s="706">
        <v>45</v>
      </c>
      <c r="E140" s="735">
        <f t="shared" si="11"/>
        <v>193</v>
      </c>
      <c r="F140" s="681">
        <v>0.3</v>
      </c>
      <c r="H140" s="4"/>
      <c r="I140" s="4"/>
      <c r="J140" s="4"/>
      <c r="K140" s="4"/>
    </row>
    <row r="141" spans="2:11" ht="13.2" hidden="1" outlineLevel="2">
      <c r="B141" s="711" t="s">
        <v>1287</v>
      </c>
      <c r="C141" s="707">
        <v>203</v>
      </c>
      <c r="D141" s="706">
        <v>50</v>
      </c>
      <c r="E141" s="735">
        <f t="shared" si="11"/>
        <v>253</v>
      </c>
      <c r="F141" s="681">
        <v>0.3</v>
      </c>
      <c r="H141" s="4"/>
      <c r="I141" s="4"/>
      <c r="J141" s="4"/>
      <c r="K141" s="4"/>
    </row>
    <row r="142" spans="2:11" ht="13.2" hidden="1" outlineLevel="2">
      <c r="B142" s="711" t="s">
        <v>1288</v>
      </c>
      <c r="C142" s="707">
        <v>260</v>
      </c>
      <c r="D142" s="706">
        <v>18</v>
      </c>
      <c r="E142" s="735">
        <f t="shared" si="11"/>
        <v>278</v>
      </c>
      <c r="F142" s="681">
        <v>0.3</v>
      </c>
      <c r="H142" s="4"/>
      <c r="I142" s="4"/>
      <c r="J142" s="4"/>
      <c r="K142" s="4"/>
    </row>
    <row r="143" spans="2:11" ht="13.2" hidden="1" outlineLevel="2">
      <c r="B143" s="746" t="s">
        <v>1289</v>
      </c>
      <c r="C143" s="707">
        <v>244</v>
      </c>
      <c r="D143" s="706">
        <v>60</v>
      </c>
      <c r="E143" s="735">
        <f t="shared" si="11"/>
        <v>304</v>
      </c>
      <c r="F143" s="681">
        <v>0.3</v>
      </c>
      <c r="H143" s="4"/>
      <c r="I143" s="4"/>
      <c r="J143" s="4"/>
      <c r="K143" s="4"/>
    </row>
    <row r="144" spans="2:11" ht="13.2" hidden="1" outlineLevel="2">
      <c r="B144" s="746" t="s">
        <v>1290</v>
      </c>
      <c r="C144" s="707">
        <v>134</v>
      </c>
      <c r="D144" s="706">
        <v>41</v>
      </c>
      <c r="E144" s="735">
        <f t="shared" si="11"/>
        <v>175</v>
      </c>
      <c r="F144" s="681">
        <v>0.3</v>
      </c>
      <c r="H144" s="4"/>
      <c r="I144" s="4"/>
      <c r="J144" s="4"/>
      <c r="K144" s="4"/>
    </row>
    <row r="145" spans="2:11" ht="13.2" hidden="1" outlineLevel="2">
      <c r="B145" s="747" t="s">
        <v>1281</v>
      </c>
      <c r="C145" s="735">
        <v>175</v>
      </c>
      <c r="D145" s="748">
        <v>43</v>
      </c>
      <c r="E145" s="735">
        <f t="shared" si="11"/>
        <v>218</v>
      </c>
      <c r="F145" s="681">
        <v>0.3</v>
      </c>
      <c r="H145" s="4"/>
      <c r="I145" s="4"/>
      <c r="J145" s="4"/>
      <c r="K145" s="4"/>
    </row>
    <row r="146" spans="2:11" ht="13.2" hidden="1" outlineLevel="2">
      <c r="B146" s="747" t="s">
        <v>1287</v>
      </c>
      <c r="C146" s="735">
        <v>203</v>
      </c>
      <c r="D146" s="748">
        <v>50</v>
      </c>
      <c r="E146" s="735">
        <f t="shared" si="11"/>
        <v>253</v>
      </c>
      <c r="F146" s="681">
        <v>0.3</v>
      </c>
      <c r="H146" s="4"/>
      <c r="I146" s="4"/>
      <c r="J146" s="4"/>
      <c r="K146" s="4"/>
    </row>
    <row r="147" spans="2:11" ht="13.2" hidden="1" outlineLevel="2">
      <c r="B147" s="749"/>
      <c r="C147" s="750"/>
      <c r="D147" s="751"/>
      <c r="E147" s="750"/>
      <c r="F147" s="725"/>
      <c r="H147" s="4"/>
      <c r="I147" s="4"/>
      <c r="J147" s="4"/>
      <c r="K147" s="4"/>
    </row>
    <row r="148" spans="2:11" ht="13.2" hidden="1" outlineLevel="2">
      <c r="B148" s="7"/>
      <c r="C148" s="7"/>
      <c r="D148" s="7"/>
      <c r="E148" s="7"/>
      <c r="F148" s="7"/>
      <c r="G148" s="4"/>
      <c r="H148" s="4"/>
      <c r="I148" s="4"/>
      <c r="J148" s="4"/>
      <c r="K148" s="4"/>
    </row>
    <row r="149" spans="2:11" ht="13.2" hidden="1" outlineLevel="2">
      <c r="B149" s="744" t="s">
        <v>661</v>
      </c>
      <c r="C149" s="643" t="s">
        <v>660</v>
      </c>
      <c r="D149" s="643" t="s">
        <v>366</v>
      </c>
      <c r="E149" s="4"/>
      <c r="F149" s="4"/>
      <c r="G149" s="4"/>
      <c r="H149" s="4"/>
      <c r="I149" s="4"/>
      <c r="J149" s="4"/>
      <c r="K149" s="4"/>
    </row>
    <row r="150" spans="2:11" ht="13.2" hidden="1" outlineLevel="2">
      <c r="B150" s="646" t="s">
        <v>1291</v>
      </c>
      <c r="C150" s="687">
        <v>248</v>
      </c>
      <c r="D150" s="651">
        <v>0.3</v>
      </c>
      <c r="E150" s="4"/>
      <c r="F150" s="4"/>
      <c r="G150" s="4"/>
      <c r="H150" s="4"/>
      <c r="I150" s="4"/>
      <c r="J150" s="4"/>
      <c r="K150" s="4"/>
    </row>
    <row r="151" spans="2:11" ht="13.2" hidden="1" outlineLevel="2">
      <c r="B151" s="646" t="s">
        <v>1292</v>
      </c>
      <c r="C151" s="688">
        <v>197</v>
      </c>
      <c r="D151" s="653">
        <v>0.3</v>
      </c>
      <c r="E151" s="4"/>
      <c r="F151" s="4"/>
      <c r="G151" s="4"/>
      <c r="H151" s="4"/>
      <c r="I151" s="4"/>
      <c r="J151" s="4"/>
      <c r="K151" s="4"/>
    </row>
    <row r="152" spans="2:11" ht="13.2" hidden="1" outlineLevel="2">
      <c r="B152" s="646" t="s">
        <v>1235</v>
      </c>
      <c r="C152" s="688">
        <v>161</v>
      </c>
      <c r="D152" s="653">
        <v>0.3</v>
      </c>
      <c r="E152" s="4"/>
      <c r="F152" s="4"/>
      <c r="G152" s="4"/>
      <c r="H152" s="4"/>
      <c r="I152" s="4"/>
      <c r="J152" s="4"/>
      <c r="K152" s="4"/>
    </row>
    <row r="153" spans="2:11" ht="13.2" hidden="1" outlineLevel="2">
      <c r="B153" s="646" t="s">
        <v>1293</v>
      </c>
      <c r="C153" s="688">
        <v>292</v>
      </c>
      <c r="D153" s="653">
        <v>0.3</v>
      </c>
      <c r="E153" s="4"/>
      <c r="F153" s="4"/>
      <c r="G153" s="4"/>
      <c r="H153" s="4"/>
      <c r="I153" s="4"/>
      <c r="J153" s="4"/>
      <c r="K153" s="4"/>
    </row>
    <row r="154" spans="2:11" ht="13.2" hidden="1" outlineLevel="2">
      <c r="B154" s="646" t="s">
        <v>1294</v>
      </c>
      <c r="C154" s="688">
        <v>259</v>
      </c>
      <c r="D154" s="653">
        <v>0.3</v>
      </c>
      <c r="E154" s="4"/>
      <c r="F154" s="4"/>
      <c r="G154" s="4"/>
      <c r="H154" s="4"/>
      <c r="I154" s="4"/>
      <c r="J154" s="4"/>
      <c r="K154" s="4"/>
    </row>
    <row r="155" spans="2:11" ht="13.2" hidden="1" outlineLevel="2">
      <c r="B155" s="647"/>
      <c r="C155" s="745"/>
      <c r="D155" s="656"/>
      <c r="E155" s="4"/>
      <c r="F155" s="4"/>
      <c r="G155" s="4"/>
      <c r="H155" s="4"/>
      <c r="I155" s="4"/>
      <c r="J155" s="4"/>
      <c r="K155" s="4"/>
    </row>
    <row r="156" spans="2:11" ht="13.2" hidden="1" outlineLevel="2">
      <c r="B156" s="4"/>
      <c r="C156" s="4"/>
      <c r="D156" s="4"/>
      <c r="E156" s="4"/>
      <c r="F156" s="4"/>
      <c r="G156" s="4"/>
      <c r="H156" s="4"/>
      <c r="I156" s="4"/>
      <c r="J156" s="4"/>
      <c r="K156" s="4"/>
    </row>
    <row r="157" spans="2:11" ht="12.75" hidden="1" customHeight="1" outlineLevel="2">
      <c r="B157" s="2942" t="s">
        <v>664</v>
      </c>
      <c r="C157" s="731" t="s">
        <v>191</v>
      </c>
      <c r="D157" s="731" t="s">
        <v>663</v>
      </c>
      <c r="E157" s="679"/>
      <c r="F157" s="91"/>
      <c r="G157" s="91"/>
      <c r="H157" s="91"/>
      <c r="I157" s="91"/>
      <c r="J157" s="91"/>
      <c r="K157" s="91"/>
    </row>
    <row r="158" spans="2:11" ht="12.75" hidden="1" customHeight="1" outlineLevel="2">
      <c r="B158" s="2943"/>
      <c r="C158" s="686" t="s">
        <v>182</v>
      </c>
      <c r="D158" s="686" t="s">
        <v>182</v>
      </c>
      <c r="E158" s="682" t="s">
        <v>366</v>
      </c>
      <c r="F158" s="91"/>
      <c r="G158" s="91"/>
      <c r="H158" s="91"/>
      <c r="I158" s="91"/>
      <c r="J158" s="91"/>
      <c r="K158" s="91"/>
    </row>
    <row r="159" spans="2:11" ht="13.2" hidden="1" outlineLevel="2">
      <c r="B159" s="646" t="s">
        <v>1295</v>
      </c>
      <c r="C159" s="693">
        <v>126</v>
      </c>
      <c r="D159" s="693">
        <v>243</v>
      </c>
      <c r="E159" s="653">
        <v>0.3</v>
      </c>
      <c r="F159" s="91"/>
      <c r="G159" s="91"/>
      <c r="H159" s="91"/>
      <c r="I159" s="91"/>
      <c r="J159" s="91"/>
      <c r="K159" s="91"/>
    </row>
    <row r="160" spans="2:11" ht="13.2" hidden="1" outlineLevel="2">
      <c r="B160" s="646" t="s">
        <v>1296</v>
      </c>
      <c r="C160" s="693">
        <v>121</v>
      </c>
      <c r="D160" s="693">
        <v>283</v>
      </c>
      <c r="E160" s="653">
        <v>0.3</v>
      </c>
      <c r="F160" s="91"/>
      <c r="G160" s="91"/>
      <c r="H160" s="91"/>
      <c r="I160" s="91"/>
      <c r="J160" s="91"/>
      <c r="K160" s="91"/>
    </row>
    <row r="161" spans="2:11" ht="13.2" hidden="1" outlineLevel="2">
      <c r="B161" s="646" t="s">
        <v>1297</v>
      </c>
      <c r="C161" s="693">
        <v>16</v>
      </c>
      <c r="D161" s="693">
        <v>131</v>
      </c>
      <c r="E161" s="653">
        <v>0.3</v>
      </c>
      <c r="F161" s="91"/>
      <c r="G161" s="91"/>
      <c r="H161" s="91"/>
      <c r="I161" s="91"/>
      <c r="J161" s="91"/>
      <c r="K161" s="91"/>
    </row>
    <row r="162" spans="2:11" ht="13.2" hidden="1" outlineLevel="2">
      <c r="B162" s="691" t="s">
        <v>1298</v>
      </c>
      <c r="C162" s="693">
        <v>67</v>
      </c>
      <c r="D162" s="693">
        <v>221</v>
      </c>
      <c r="E162" s="653">
        <v>0.3</v>
      </c>
      <c r="F162" s="91"/>
      <c r="G162" s="91"/>
      <c r="H162" s="91"/>
      <c r="I162" s="91"/>
      <c r="J162" s="91"/>
      <c r="K162" s="91"/>
    </row>
    <row r="163" spans="2:11" ht="13.2" hidden="1" outlineLevel="2">
      <c r="B163" s="646" t="s">
        <v>1299</v>
      </c>
      <c r="C163" s="693">
        <v>78</v>
      </c>
      <c r="D163" s="693">
        <v>254</v>
      </c>
      <c r="E163" s="653">
        <v>0.3</v>
      </c>
      <c r="F163" s="91"/>
      <c r="G163" s="91"/>
      <c r="H163" s="91"/>
      <c r="I163" s="91"/>
      <c r="J163" s="91"/>
      <c r="K163" s="91"/>
    </row>
    <row r="164" spans="2:11" ht="13.2" hidden="1" outlineLevel="2">
      <c r="B164" s="646" t="s">
        <v>1300</v>
      </c>
      <c r="C164" s="693">
        <v>83</v>
      </c>
      <c r="D164" s="693">
        <v>222</v>
      </c>
      <c r="E164" s="653">
        <v>0.3</v>
      </c>
      <c r="F164" s="91"/>
      <c r="G164" s="91"/>
      <c r="H164" s="91"/>
      <c r="I164" s="91"/>
      <c r="J164" s="91"/>
      <c r="K164" s="91"/>
    </row>
    <row r="165" spans="2:11" ht="13.2" hidden="1" outlineLevel="2">
      <c r="B165" s="646" t="s">
        <v>1301</v>
      </c>
      <c r="C165" s="693">
        <v>126</v>
      </c>
      <c r="D165" s="693">
        <v>243</v>
      </c>
      <c r="E165" s="653">
        <v>0.3</v>
      </c>
      <c r="F165" s="91"/>
      <c r="G165" s="91"/>
      <c r="H165" s="91"/>
      <c r="I165" s="91"/>
      <c r="J165" s="91"/>
      <c r="K165" s="91"/>
    </row>
    <row r="166" spans="2:11" ht="13.2" hidden="1" outlineLevel="2">
      <c r="B166" s="646" t="s">
        <v>1302</v>
      </c>
      <c r="C166" s="693">
        <v>121</v>
      </c>
      <c r="D166" s="693">
        <v>283</v>
      </c>
      <c r="E166" s="653">
        <v>0.3</v>
      </c>
      <c r="F166" s="91"/>
      <c r="G166" s="91"/>
      <c r="H166" s="91"/>
      <c r="I166" s="91"/>
      <c r="J166" s="91"/>
      <c r="K166" s="91"/>
    </row>
    <row r="167" spans="2:11" ht="13.2" hidden="1" outlineLevel="2">
      <c r="B167" s="646" t="s">
        <v>1303</v>
      </c>
      <c r="C167" s="693">
        <v>16</v>
      </c>
      <c r="D167" s="693">
        <v>131</v>
      </c>
      <c r="E167" s="653">
        <v>0.3</v>
      </c>
      <c r="F167" s="91"/>
      <c r="G167" s="91"/>
      <c r="H167" s="91"/>
      <c r="I167" s="91"/>
      <c r="J167" s="91"/>
      <c r="K167" s="91"/>
    </row>
    <row r="168" spans="2:11" ht="13.2" hidden="1" outlineLevel="2">
      <c r="B168" s="691" t="s">
        <v>1304</v>
      </c>
      <c r="C168" s="693">
        <v>67</v>
      </c>
      <c r="D168" s="693">
        <v>221</v>
      </c>
      <c r="E168" s="653">
        <v>0.3</v>
      </c>
      <c r="F168" s="91"/>
      <c r="G168" s="91"/>
      <c r="H168" s="91"/>
      <c r="I168" s="91"/>
      <c r="J168" s="91"/>
      <c r="K168" s="91"/>
    </row>
    <row r="169" spans="2:11" ht="13.2" hidden="1" outlineLevel="2">
      <c r="B169" s="646" t="s">
        <v>1305</v>
      </c>
      <c r="C169" s="693">
        <v>78</v>
      </c>
      <c r="D169" s="693">
        <v>254</v>
      </c>
      <c r="E169" s="653">
        <v>0.3</v>
      </c>
      <c r="F169" s="91"/>
      <c r="G169" s="91"/>
      <c r="H169" s="91"/>
      <c r="I169" s="91"/>
      <c r="J169" s="91"/>
      <c r="K169" s="91"/>
    </row>
    <row r="170" spans="2:11" ht="13.2" hidden="1" outlineLevel="2">
      <c r="B170" s="646" t="s">
        <v>1306</v>
      </c>
      <c r="C170" s="693">
        <v>83</v>
      </c>
      <c r="D170" s="693">
        <v>222</v>
      </c>
      <c r="E170" s="653">
        <v>0.3</v>
      </c>
      <c r="F170" s="91"/>
      <c r="G170" s="91"/>
      <c r="H170" s="91"/>
      <c r="I170" s="91"/>
      <c r="J170" s="91"/>
      <c r="K170" s="91"/>
    </row>
    <row r="171" spans="2:11" ht="13.2" hidden="1" outlineLevel="2">
      <c r="B171" s="646" t="s">
        <v>1307</v>
      </c>
      <c r="C171" s="693">
        <v>92</v>
      </c>
      <c r="D171" s="693">
        <v>123</v>
      </c>
      <c r="E171" s="653">
        <v>0.3</v>
      </c>
      <c r="F171" s="91"/>
      <c r="G171" s="91"/>
      <c r="H171" s="91"/>
      <c r="I171" s="91"/>
      <c r="J171" s="91"/>
      <c r="K171" s="91"/>
    </row>
    <row r="172" spans="2:11" ht="13.2" hidden="1" outlineLevel="2">
      <c r="B172" s="646" t="s">
        <v>1308</v>
      </c>
      <c r="C172" s="693">
        <v>39</v>
      </c>
      <c r="D172" s="693">
        <v>102</v>
      </c>
      <c r="E172" s="653">
        <v>0.3</v>
      </c>
      <c r="F172" s="91"/>
      <c r="G172" s="91"/>
      <c r="H172" s="91"/>
      <c r="I172" s="91"/>
      <c r="J172" s="91"/>
      <c r="K172" s="91"/>
    </row>
    <row r="173" spans="2:11" ht="13.2" hidden="1" outlineLevel="2">
      <c r="B173" s="646" t="s">
        <v>1309</v>
      </c>
      <c r="C173" s="693">
        <v>60</v>
      </c>
      <c r="D173" s="693">
        <v>82</v>
      </c>
      <c r="E173" s="653">
        <v>0.3</v>
      </c>
      <c r="F173" s="91"/>
      <c r="G173" s="91"/>
      <c r="H173" s="91"/>
      <c r="I173" s="91"/>
      <c r="J173" s="91"/>
      <c r="K173" s="91"/>
    </row>
    <row r="174" spans="2:11" ht="13.2" hidden="1" outlineLevel="2">
      <c r="B174" s="646" t="s">
        <v>1310</v>
      </c>
      <c r="C174" s="693">
        <v>31</v>
      </c>
      <c r="D174" s="693">
        <v>112</v>
      </c>
      <c r="E174" s="653">
        <v>0.3</v>
      </c>
      <c r="F174" s="91"/>
      <c r="G174" s="91"/>
      <c r="H174" s="91"/>
      <c r="I174" s="91"/>
      <c r="J174" s="91"/>
      <c r="K174" s="91"/>
    </row>
    <row r="175" spans="2:11" ht="13.2" hidden="1" outlineLevel="2">
      <c r="B175" s="646" t="s">
        <v>1311</v>
      </c>
      <c r="C175" s="693">
        <v>67</v>
      </c>
      <c r="D175" s="693">
        <v>169</v>
      </c>
      <c r="E175" s="653">
        <v>0.3</v>
      </c>
      <c r="F175" s="91"/>
      <c r="G175" s="91"/>
      <c r="H175" s="91"/>
      <c r="I175" s="91"/>
      <c r="J175" s="91"/>
      <c r="K175" s="91"/>
    </row>
    <row r="176" spans="2:11" ht="13.2" hidden="1" outlineLevel="2">
      <c r="B176" s="646" t="s">
        <v>1312</v>
      </c>
      <c r="C176" s="693">
        <v>79</v>
      </c>
      <c r="D176" s="693">
        <v>115</v>
      </c>
      <c r="E176" s="653">
        <v>0.3</v>
      </c>
      <c r="F176" s="91"/>
      <c r="G176" s="91"/>
      <c r="H176" s="91"/>
      <c r="I176" s="91"/>
      <c r="J176" s="91"/>
      <c r="K176" s="91"/>
    </row>
    <row r="177" spans="2:11" ht="13.2" hidden="1" outlineLevel="2">
      <c r="B177" s="646" t="s">
        <v>1313</v>
      </c>
      <c r="C177" s="693">
        <v>162</v>
      </c>
      <c r="D177" s="693">
        <v>217</v>
      </c>
      <c r="E177" s="653">
        <v>0.3</v>
      </c>
      <c r="F177" s="91"/>
      <c r="G177" s="91"/>
      <c r="H177" s="91"/>
      <c r="I177" s="91"/>
      <c r="J177" s="91"/>
      <c r="K177" s="91"/>
    </row>
    <row r="178" spans="2:11" ht="13.2" hidden="1" outlineLevel="2">
      <c r="B178" s="646" t="s">
        <v>1314</v>
      </c>
      <c r="C178" s="693">
        <v>32</v>
      </c>
      <c r="D178" s="693">
        <v>84</v>
      </c>
      <c r="E178" s="653">
        <v>0.3</v>
      </c>
      <c r="F178" s="91"/>
      <c r="G178" s="91"/>
      <c r="H178" s="91"/>
      <c r="I178" s="91"/>
      <c r="J178" s="91"/>
      <c r="K178" s="91"/>
    </row>
    <row r="179" spans="2:11" ht="13.2" hidden="1" outlineLevel="2">
      <c r="B179" s="646" t="s">
        <v>1315</v>
      </c>
      <c r="C179" s="693">
        <v>65</v>
      </c>
      <c r="D179" s="693">
        <v>89</v>
      </c>
      <c r="E179" s="653">
        <v>0.3</v>
      </c>
      <c r="F179" s="91"/>
      <c r="G179" s="91"/>
      <c r="H179" s="91"/>
      <c r="I179" s="91"/>
      <c r="J179" s="91"/>
      <c r="K179" s="91"/>
    </row>
    <row r="180" spans="2:11" ht="13.2" hidden="1" outlineLevel="2">
      <c r="B180" s="646" t="s">
        <v>1316</v>
      </c>
      <c r="C180" s="693">
        <v>34</v>
      </c>
      <c r="D180" s="693">
        <v>120</v>
      </c>
      <c r="E180" s="653">
        <v>0.3</v>
      </c>
      <c r="F180" s="91"/>
      <c r="G180" s="91"/>
      <c r="H180" s="91"/>
      <c r="I180" s="91"/>
      <c r="J180" s="91"/>
      <c r="K180" s="91"/>
    </row>
    <row r="181" spans="2:11" ht="13.2" hidden="1" outlineLevel="2">
      <c r="B181" s="646" t="s">
        <v>1317</v>
      </c>
      <c r="C181" s="693">
        <v>72</v>
      </c>
      <c r="D181" s="693">
        <v>181</v>
      </c>
      <c r="E181" s="653">
        <v>0.3</v>
      </c>
      <c r="F181" s="91"/>
      <c r="G181" s="91"/>
      <c r="H181" s="91"/>
      <c r="I181" s="91"/>
      <c r="J181" s="91"/>
      <c r="K181" s="91"/>
    </row>
    <row r="182" spans="2:11" ht="13.2" hidden="1" outlineLevel="2">
      <c r="B182" s="646" t="s">
        <v>1318</v>
      </c>
      <c r="C182" s="693">
        <v>93</v>
      </c>
      <c r="D182" s="693">
        <v>134</v>
      </c>
      <c r="E182" s="653">
        <v>0.3</v>
      </c>
      <c r="F182" s="91"/>
      <c r="G182" s="91"/>
      <c r="H182" s="91"/>
      <c r="I182" s="91"/>
      <c r="J182" s="91"/>
      <c r="K182" s="91"/>
    </row>
    <row r="183" spans="2:11" ht="13.2" hidden="1" outlineLevel="2">
      <c r="B183" s="646" t="s">
        <v>1319</v>
      </c>
      <c r="C183" s="693">
        <v>121</v>
      </c>
      <c r="D183" s="693">
        <v>163</v>
      </c>
      <c r="E183" s="653">
        <v>0.3</v>
      </c>
      <c r="F183" s="91"/>
      <c r="G183" s="91"/>
      <c r="H183" s="91"/>
      <c r="I183" s="91"/>
      <c r="J183" s="91"/>
      <c r="K183" s="91"/>
    </row>
    <row r="184" spans="2:11" ht="13.2" hidden="1" outlineLevel="2">
      <c r="B184" s="646" t="s">
        <v>1320</v>
      </c>
      <c r="C184" s="693">
        <v>46</v>
      </c>
      <c r="D184" s="693">
        <v>120</v>
      </c>
      <c r="E184" s="653">
        <v>0.3</v>
      </c>
      <c r="F184" s="91"/>
      <c r="G184" s="91"/>
      <c r="H184" s="91"/>
      <c r="I184" s="91"/>
      <c r="J184" s="91"/>
      <c r="K184" s="91"/>
    </row>
    <row r="185" spans="2:11" ht="13.2" hidden="1" outlineLevel="2">
      <c r="B185" s="646" t="s">
        <v>1321</v>
      </c>
      <c r="C185" s="693">
        <v>47</v>
      </c>
      <c r="D185" s="693">
        <v>64</v>
      </c>
      <c r="E185" s="653">
        <v>0.3</v>
      </c>
      <c r="F185" s="91"/>
      <c r="G185" s="91"/>
      <c r="H185" s="91"/>
      <c r="I185" s="91"/>
      <c r="J185" s="91"/>
      <c r="K185" s="91"/>
    </row>
    <row r="186" spans="2:11" ht="13.2" hidden="1" outlineLevel="2">
      <c r="B186" s="646" t="s">
        <v>1322</v>
      </c>
      <c r="C186" s="693">
        <v>24</v>
      </c>
      <c r="D186" s="693">
        <v>87</v>
      </c>
      <c r="E186" s="653">
        <v>0.3</v>
      </c>
      <c r="F186" s="91"/>
      <c r="G186" s="91"/>
      <c r="H186" s="91"/>
      <c r="I186" s="91"/>
      <c r="J186" s="91"/>
      <c r="K186" s="91"/>
    </row>
    <row r="187" spans="2:11" ht="13.2" hidden="1" outlineLevel="2">
      <c r="B187" s="646" t="s">
        <v>1323</v>
      </c>
      <c r="C187" s="693">
        <v>52</v>
      </c>
      <c r="D187" s="693">
        <v>131</v>
      </c>
      <c r="E187" s="653">
        <v>0.3</v>
      </c>
      <c r="F187" s="91"/>
      <c r="G187" s="91"/>
      <c r="H187" s="91"/>
      <c r="I187" s="91"/>
      <c r="J187" s="91"/>
      <c r="K187" s="91"/>
    </row>
    <row r="188" spans="2:11" ht="13.2" hidden="1" outlineLevel="2">
      <c r="B188" s="646" t="s">
        <v>1324</v>
      </c>
      <c r="C188" s="693">
        <v>84</v>
      </c>
      <c r="D188" s="693">
        <v>122</v>
      </c>
      <c r="E188" s="653">
        <v>0.3</v>
      </c>
      <c r="F188" s="91"/>
      <c r="G188" s="91"/>
      <c r="H188" s="91"/>
      <c r="I188" s="91"/>
      <c r="J188" s="91"/>
      <c r="K188" s="91"/>
    </row>
    <row r="189" spans="2:11" ht="13.2" hidden="1" outlineLevel="2">
      <c r="B189" s="646" t="s">
        <v>1325</v>
      </c>
      <c r="C189" s="693">
        <v>185</v>
      </c>
      <c r="D189" s="693">
        <v>275</v>
      </c>
      <c r="E189" s="653">
        <v>0.3</v>
      </c>
      <c r="F189" s="91"/>
      <c r="G189" s="91"/>
      <c r="H189" s="91"/>
      <c r="I189" s="91"/>
      <c r="J189" s="91"/>
      <c r="K189" s="91"/>
    </row>
    <row r="190" spans="2:11" ht="13.2" hidden="1" outlineLevel="2">
      <c r="B190" s="646" t="s">
        <v>1326</v>
      </c>
      <c r="C190" s="693">
        <v>18</v>
      </c>
      <c r="D190" s="693">
        <v>23</v>
      </c>
      <c r="E190" s="653">
        <v>0.3</v>
      </c>
      <c r="F190" s="91"/>
      <c r="G190" s="91"/>
      <c r="H190" s="91"/>
      <c r="I190" s="91"/>
      <c r="J190" s="91"/>
      <c r="K190" s="91"/>
    </row>
    <row r="191" spans="2:11" ht="13.2" hidden="1" outlineLevel="2">
      <c r="B191" s="646" t="s">
        <v>1327</v>
      </c>
      <c r="C191" s="693">
        <v>67</v>
      </c>
      <c r="D191" s="693">
        <v>221</v>
      </c>
      <c r="E191" s="653">
        <v>0.3</v>
      </c>
      <c r="F191" s="91"/>
      <c r="G191" s="91"/>
      <c r="H191" s="91"/>
      <c r="I191" s="91"/>
      <c r="J191" s="91"/>
      <c r="K191" s="91"/>
    </row>
    <row r="192" spans="2:11" ht="13.2" hidden="1" outlineLevel="2">
      <c r="B192" s="646" t="s">
        <v>1328</v>
      </c>
      <c r="C192" s="693">
        <v>78</v>
      </c>
      <c r="D192" s="693">
        <v>254</v>
      </c>
      <c r="E192" s="653">
        <v>0.3</v>
      </c>
      <c r="F192" s="91"/>
      <c r="G192" s="91"/>
      <c r="H192" s="91"/>
      <c r="I192" s="91"/>
      <c r="J192" s="91"/>
      <c r="K192" s="91"/>
    </row>
    <row r="193" spans="2:11" ht="13.2" hidden="1" outlineLevel="2">
      <c r="B193" s="646" t="s">
        <v>1329</v>
      </c>
      <c r="C193" s="693">
        <v>130</v>
      </c>
      <c r="D193" s="693">
        <v>232</v>
      </c>
      <c r="E193" s="653">
        <v>0.3</v>
      </c>
      <c r="F193" s="91"/>
      <c r="G193" s="91"/>
      <c r="H193" s="91"/>
      <c r="I193" s="91"/>
      <c r="J193" s="91"/>
      <c r="K193" s="91"/>
    </row>
    <row r="194" spans="2:11" ht="13.2" hidden="1" outlineLevel="2">
      <c r="B194" s="646" t="s">
        <v>1330</v>
      </c>
      <c r="C194" s="693">
        <v>111</v>
      </c>
      <c r="D194" s="693">
        <v>177</v>
      </c>
      <c r="E194" s="653">
        <v>0.3</v>
      </c>
      <c r="F194" s="91"/>
      <c r="G194" s="91"/>
      <c r="H194" s="91"/>
      <c r="I194" s="91"/>
      <c r="J194" s="91"/>
      <c r="K194" s="91"/>
    </row>
    <row r="195" spans="2:11" ht="13.2" hidden="1" outlineLevel="2">
      <c r="B195" s="646" t="s">
        <v>1331</v>
      </c>
      <c r="C195" s="693">
        <v>92</v>
      </c>
      <c r="D195" s="693">
        <v>124</v>
      </c>
      <c r="E195" s="653">
        <v>0.3</v>
      </c>
      <c r="F195" s="91"/>
      <c r="G195" s="91"/>
      <c r="H195" s="91"/>
      <c r="I195" s="91"/>
      <c r="J195" s="91"/>
      <c r="K195" s="91"/>
    </row>
    <row r="196" spans="2:11" ht="13.2" hidden="1" outlineLevel="2">
      <c r="B196" s="646" t="s">
        <v>1332</v>
      </c>
      <c r="C196" s="693">
        <v>36</v>
      </c>
      <c r="D196" s="693">
        <v>94</v>
      </c>
      <c r="E196" s="653">
        <v>0.3</v>
      </c>
      <c r="F196" s="91"/>
      <c r="G196" s="91"/>
      <c r="H196" s="91"/>
      <c r="I196" s="91"/>
      <c r="J196" s="91"/>
      <c r="K196" s="91"/>
    </row>
    <row r="197" spans="2:11" ht="13.2" hidden="1" outlineLevel="2">
      <c r="B197" s="646" t="s">
        <v>1333</v>
      </c>
      <c r="C197" s="693">
        <v>56</v>
      </c>
      <c r="D197" s="693">
        <v>77</v>
      </c>
      <c r="E197" s="653">
        <v>0.3</v>
      </c>
      <c r="F197" s="91"/>
      <c r="G197" s="91"/>
      <c r="H197" s="91"/>
      <c r="I197" s="91"/>
      <c r="J197" s="91"/>
      <c r="K197" s="91"/>
    </row>
    <row r="198" spans="2:11" ht="13.2" hidden="1" outlineLevel="2">
      <c r="B198" s="646" t="s">
        <v>1334</v>
      </c>
      <c r="C198" s="693">
        <v>17</v>
      </c>
      <c r="D198" s="693">
        <v>60</v>
      </c>
      <c r="E198" s="653">
        <v>0.3</v>
      </c>
      <c r="F198" s="91"/>
      <c r="G198" s="91"/>
      <c r="H198" s="91"/>
      <c r="I198" s="91"/>
      <c r="J198" s="91"/>
      <c r="K198" s="91"/>
    </row>
    <row r="199" spans="2:11" ht="13.2" hidden="1" outlineLevel="2">
      <c r="B199" s="646" t="s">
        <v>1335</v>
      </c>
      <c r="C199" s="693">
        <v>36</v>
      </c>
      <c r="D199" s="693">
        <v>90</v>
      </c>
      <c r="E199" s="653">
        <v>0.3</v>
      </c>
      <c r="F199" s="91"/>
      <c r="G199" s="91"/>
      <c r="H199" s="91"/>
      <c r="I199" s="91"/>
      <c r="J199" s="91"/>
      <c r="K199" s="91"/>
    </row>
    <row r="200" spans="2:11" ht="13.2" hidden="1" outlineLevel="2">
      <c r="B200" s="646" t="s">
        <v>1336</v>
      </c>
      <c r="C200" s="693">
        <v>67</v>
      </c>
      <c r="D200" s="693">
        <v>97</v>
      </c>
      <c r="E200" s="653">
        <v>0.3</v>
      </c>
      <c r="F200" s="91"/>
      <c r="G200" s="91"/>
      <c r="H200" s="91"/>
      <c r="I200" s="91"/>
      <c r="J200" s="91"/>
      <c r="K200" s="91"/>
    </row>
    <row r="201" spans="2:11" ht="13.2" hidden="1" outlineLevel="2">
      <c r="B201" s="646" t="s">
        <v>1337</v>
      </c>
      <c r="C201" s="693">
        <v>126</v>
      </c>
      <c r="D201" s="693">
        <v>243</v>
      </c>
      <c r="E201" s="653">
        <v>0.3</v>
      </c>
      <c r="F201" s="91"/>
      <c r="G201" s="91"/>
      <c r="H201" s="91"/>
      <c r="I201" s="91"/>
      <c r="J201" s="91"/>
      <c r="K201" s="91"/>
    </row>
    <row r="202" spans="2:11" ht="13.2" hidden="1" outlineLevel="2">
      <c r="B202" s="646" t="s">
        <v>1338</v>
      </c>
      <c r="C202" s="693">
        <v>121</v>
      </c>
      <c r="D202" s="693">
        <v>283</v>
      </c>
      <c r="E202" s="653">
        <v>0.3</v>
      </c>
      <c r="F202" s="91"/>
      <c r="G202" s="91"/>
      <c r="H202" s="91"/>
      <c r="I202" s="91"/>
      <c r="J202" s="91"/>
      <c r="K202" s="91"/>
    </row>
    <row r="203" spans="2:11" ht="13.2" hidden="1" outlineLevel="2">
      <c r="B203" s="646" t="s">
        <v>1339</v>
      </c>
      <c r="C203" s="693">
        <v>16</v>
      </c>
      <c r="D203" s="693">
        <v>131</v>
      </c>
      <c r="E203" s="653">
        <v>0.3</v>
      </c>
      <c r="F203" s="91"/>
      <c r="G203" s="91"/>
      <c r="H203" s="91"/>
      <c r="I203" s="91"/>
      <c r="J203" s="91"/>
      <c r="K203" s="91"/>
    </row>
    <row r="204" spans="2:11" ht="13.2" hidden="1" outlineLevel="2">
      <c r="B204" s="646" t="s">
        <v>1340</v>
      </c>
      <c r="C204" s="693">
        <v>67</v>
      </c>
      <c r="D204" s="693">
        <v>221</v>
      </c>
      <c r="E204" s="653">
        <v>0.3</v>
      </c>
      <c r="F204" s="91"/>
      <c r="G204" s="91"/>
      <c r="H204" s="91"/>
      <c r="I204" s="91"/>
      <c r="J204" s="91"/>
      <c r="K204" s="91"/>
    </row>
    <row r="205" spans="2:11" ht="13.2" hidden="1" outlineLevel="2">
      <c r="B205" s="646" t="s">
        <v>1341</v>
      </c>
      <c r="C205" s="693">
        <v>78</v>
      </c>
      <c r="D205" s="693">
        <v>254</v>
      </c>
      <c r="E205" s="653">
        <v>0.3</v>
      </c>
      <c r="F205" s="91"/>
      <c r="G205" s="91"/>
      <c r="H205" s="91"/>
      <c r="I205" s="91"/>
      <c r="J205" s="91"/>
      <c r="K205" s="91"/>
    </row>
    <row r="206" spans="2:11" ht="13.2" hidden="1" outlineLevel="2">
      <c r="B206" s="646" t="s">
        <v>1342</v>
      </c>
      <c r="C206" s="693">
        <v>83</v>
      </c>
      <c r="D206" s="693">
        <v>222</v>
      </c>
      <c r="E206" s="653">
        <v>0.3</v>
      </c>
      <c r="F206" s="91"/>
      <c r="G206" s="91"/>
      <c r="H206" s="91"/>
      <c r="I206" s="91"/>
      <c r="J206" s="91"/>
      <c r="K206" s="91"/>
    </row>
    <row r="207" spans="2:11" ht="13.2" hidden="1" outlineLevel="2">
      <c r="B207" s="646" t="s">
        <v>1343</v>
      </c>
      <c r="C207" s="693">
        <v>92</v>
      </c>
      <c r="D207" s="693">
        <v>124</v>
      </c>
      <c r="E207" s="653">
        <v>0.3</v>
      </c>
      <c r="F207" s="91"/>
      <c r="G207" s="91"/>
      <c r="H207" s="91"/>
      <c r="I207" s="91"/>
      <c r="J207" s="91"/>
      <c r="K207" s="91"/>
    </row>
    <row r="208" spans="2:11" ht="13.2" hidden="1" outlineLevel="2">
      <c r="B208" s="646" t="s">
        <v>1344</v>
      </c>
      <c r="C208" s="693">
        <v>36</v>
      </c>
      <c r="D208" s="693">
        <v>94</v>
      </c>
      <c r="E208" s="653">
        <v>0.3</v>
      </c>
      <c r="F208" s="91"/>
      <c r="G208" s="91"/>
      <c r="H208" s="91"/>
      <c r="I208" s="91"/>
      <c r="J208" s="91"/>
      <c r="K208" s="91"/>
    </row>
    <row r="209" spans="1:15" ht="13.2" hidden="1" outlineLevel="2">
      <c r="B209" s="646" t="s">
        <v>1345</v>
      </c>
      <c r="C209" s="693">
        <v>56</v>
      </c>
      <c r="D209" s="693">
        <v>77</v>
      </c>
      <c r="E209" s="653">
        <v>0.3</v>
      </c>
      <c r="F209" s="91"/>
      <c r="G209" s="91"/>
      <c r="H209" s="91"/>
      <c r="I209" s="91"/>
      <c r="J209" s="91"/>
      <c r="K209" s="91"/>
    </row>
    <row r="210" spans="1:15" ht="13.2" hidden="1" outlineLevel="2">
      <c r="B210" s="646" t="s">
        <v>1346</v>
      </c>
      <c r="C210" s="693">
        <v>17</v>
      </c>
      <c r="D210" s="693">
        <v>60</v>
      </c>
      <c r="E210" s="653">
        <v>0.3</v>
      </c>
      <c r="F210" s="91"/>
      <c r="G210" s="91"/>
      <c r="H210" s="91"/>
      <c r="I210" s="91"/>
      <c r="J210" s="91"/>
      <c r="K210" s="91"/>
    </row>
    <row r="211" spans="1:15" ht="13.2" hidden="1" outlineLevel="2">
      <c r="B211" s="646" t="s">
        <v>1347</v>
      </c>
      <c r="C211" s="693">
        <v>36</v>
      </c>
      <c r="D211" s="693">
        <v>90</v>
      </c>
      <c r="E211" s="653">
        <v>0.3</v>
      </c>
      <c r="F211" s="91"/>
      <c r="G211" s="91"/>
      <c r="H211" s="91"/>
      <c r="I211" s="91"/>
      <c r="J211" s="91"/>
      <c r="K211" s="91"/>
    </row>
    <row r="212" spans="1:15" ht="13.2" hidden="1" outlineLevel="2">
      <c r="B212" s="646" t="s">
        <v>1348</v>
      </c>
      <c r="C212" s="693">
        <v>67</v>
      </c>
      <c r="D212" s="693">
        <v>97</v>
      </c>
      <c r="E212" s="653">
        <v>0.3</v>
      </c>
      <c r="F212" s="91"/>
      <c r="G212" s="91"/>
      <c r="H212" s="91"/>
      <c r="I212" s="91"/>
      <c r="J212" s="91"/>
      <c r="K212" s="91"/>
    </row>
    <row r="213" spans="1:15" ht="13.2" hidden="1" outlineLevel="2">
      <c r="B213" s="647"/>
      <c r="C213" s="694"/>
      <c r="D213" s="694"/>
      <c r="E213" s="649"/>
      <c r="F213" s="91"/>
      <c r="G213" s="91"/>
      <c r="H213" s="91"/>
      <c r="I213" s="91"/>
      <c r="J213" s="91"/>
      <c r="K213" s="91"/>
    </row>
    <row r="214" spans="1:15" ht="13.2" hidden="1" outlineLevel="2">
      <c r="B214" s="91"/>
      <c r="C214" s="91"/>
      <c r="D214" s="91"/>
      <c r="E214" s="91"/>
      <c r="F214" s="91"/>
      <c r="G214" s="91"/>
      <c r="H214" s="91"/>
      <c r="I214" s="91"/>
      <c r="J214" s="91"/>
      <c r="K214" s="91"/>
    </row>
    <row r="215" spans="1:15" ht="13.2" hidden="1" outlineLevel="1">
      <c r="B215" s="91"/>
      <c r="C215" s="91"/>
      <c r="D215" s="91"/>
      <c r="E215" s="91"/>
      <c r="F215" s="91"/>
      <c r="G215" s="91"/>
      <c r="H215" s="91"/>
      <c r="I215" s="91"/>
      <c r="J215" s="91"/>
      <c r="K215" s="91"/>
    </row>
    <row r="216" spans="1:15" ht="15.75" hidden="1" customHeight="1" outlineLevel="1" collapsed="1">
      <c r="B216" s="2881" t="s">
        <v>666</v>
      </c>
      <c r="C216" s="2882"/>
      <c r="D216" s="2882"/>
      <c r="E216" s="2882"/>
      <c r="F216" s="2882"/>
      <c r="G216" s="2882"/>
      <c r="H216" s="2882"/>
      <c r="I216" s="2882"/>
      <c r="J216" s="2882"/>
      <c r="K216" s="2882"/>
      <c r="L216" s="2882"/>
      <c r="M216" s="2882"/>
      <c r="N216" s="2882"/>
      <c r="O216" s="2883"/>
    </row>
    <row r="217" spans="1:15" s="114" customFormat="1" ht="13.2" hidden="1" outlineLevel="2">
      <c r="A217" s="113"/>
      <c r="B217" s="91"/>
      <c r="C217" s="91"/>
      <c r="D217" s="91"/>
      <c r="E217" s="91"/>
      <c r="F217" s="91"/>
      <c r="G217" s="91"/>
      <c r="H217" s="91"/>
      <c r="I217" s="91"/>
      <c r="J217" s="91"/>
      <c r="K217" s="91"/>
    </row>
    <row r="218" spans="1:15" s="114" customFormat="1" ht="12.75" hidden="1" customHeight="1" outlineLevel="2">
      <c r="A218" s="113"/>
      <c r="B218" s="727" t="s">
        <v>668</v>
      </c>
      <c r="C218" s="2884" t="s">
        <v>290</v>
      </c>
      <c r="D218" s="2885"/>
      <c r="E218" s="2886" t="s">
        <v>291</v>
      </c>
      <c r="F218" s="2887"/>
      <c r="G218" s="2888" t="s">
        <v>366</v>
      </c>
      <c r="H218" s="91"/>
      <c r="I218" s="91"/>
      <c r="J218" s="91"/>
      <c r="K218" s="91"/>
    </row>
    <row r="219" spans="1:15" s="114" customFormat="1" ht="12.75" hidden="1" customHeight="1" outlineLevel="2">
      <c r="A219" s="113"/>
      <c r="B219" s="770"/>
      <c r="C219" s="644" t="s">
        <v>63</v>
      </c>
      <c r="D219" s="700" t="s">
        <v>63</v>
      </c>
      <c r="E219" s="644" t="s">
        <v>63</v>
      </c>
      <c r="F219" s="700" t="s">
        <v>63</v>
      </c>
      <c r="G219" s="2889"/>
      <c r="H219" s="91"/>
      <c r="I219" s="91"/>
      <c r="J219" s="91"/>
      <c r="K219" s="91"/>
    </row>
    <row r="220" spans="1:15" s="114" customFormat="1" ht="12.75" hidden="1" customHeight="1" outlineLevel="2">
      <c r="A220" s="113"/>
      <c r="B220" s="764" t="s">
        <v>667</v>
      </c>
      <c r="C220" s="684" t="s">
        <v>246</v>
      </c>
      <c r="D220" s="698" t="s">
        <v>245</v>
      </c>
      <c r="E220" s="684" t="s">
        <v>246</v>
      </c>
      <c r="F220" s="698" t="s">
        <v>245</v>
      </c>
      <c r="G220" s="2890"/>
      <c r="H220" s="91"/>
      <c r="I220" s="91"/>
      <c r="J220" s="91"/>
      <c r="K220" s="91"/>
    </row>
    <row r="221" spans="1:15" s="114" customFormat="1" ht="13.2" hidden="1" outlineLevel="2">
      <c r="A221" s="113"/>
      <c r="B221" s="650" t="s">
        <v>47</v>
      </c>
      <c r="C221" s="755">
        <v>0.2984511210828199</v>
      </c>
      <c r="D221" s="678">
        <v>0.49354957611500183</v>
      </c>
      <c r="E221" s="759">
        <v>0.26743716956961777</v>
      </c>
      <c r="F221" s="760">
        <v>0.48659938601150549</v>
      </c>
      <c r="G221" s="651">
        <v>0.3</v>
      </c>
      <c r="H221" s="91"/>
      <c r="I221" s="91"/>
      <c r="J221" s="91"/>
      <c r="K221" s="91"/>
    </row>
    <row r="222" spans="1:15" s="114" customFormat="1" ht="13.2" hidden="1" outlineLevel="2">
      <c r="A222" s="113"/>
      <c r="B222" s="652" t="s">
        <v>1349</v>
      </c>
      <c r="C222" s="756">
        <v>0.31593751606530412</v>
      </c>
      <c r="D222" s="675">
        <v>0.13060265388868414</v>
      </c>
      <c r="E222" s="761">
        <v>0.15450163843927159</v>
      </c>
      <c r="F222" s="757">
        <v>6.1488877085265174E-2</v>
      </c>
      <c r="G222" s="653">
        <v>0.3</v>
      </c>
      <c r="H222" s="91"/>
      <c r="I222" s="91"/>
    </row>
    <row r="223" spans="1:15" s="114" customFormat="1" ht="13.2" hidden="1" outlineLevel="2">
      <c r="A223" s="113"/>
      <c r="B223" s="652" t="s">
        <v>42</v>
      </c>
      <c r="C223" s="756">
        <v>5.4331940394967804E-2</v>
      </c>
      <c r="D223" s="757">
        <v>7.4456321415407312E-3</v>
      </c>
      <c r="E223" s="761">
        <v>7.3308656479797313E-2</v>
      </c>
      <c r="F223" s="757">
        <v>9.9480540525941456E-3</v>
      </c>
      <c r="G223" s="653">
        <v>0.3</v>
      </c>
      <c r="H223" s="91"/>
      <c r="I223" s="91"/>
    </row>
    <row r="224" spans="1:15" s="114" customFormat="1" ht="13.2" hidden="1" outlineLevel="2">
      <c r="A224" s="113"/>
      <c r="B224" s="652" t="s">
        <v>333</v>
      </c>
      <c r="C224" s="756">
        <v>0.30245367684319535</v>
      </c>
      <c r="D224" s="675">
        <v>0.27199594544784372</v>
      </c>
      <c r="E224" s="761">
        <v>0.4920838258087803</v>
      </c>
      <c r="F224" s="757">
        <v>0.37317356428423526</v>
      </c>
      <c r="G224" s="653">
        <v>0.3</v>
      </c>
      <c r="H224" s="91"/>
      <c r="I224" s="91"/>
    </row>
    <row r="225" spans="1:13" s="114" customFormat="1" ht="13.2" hidden="1" outlineLevel="2">
      <c r="A225" s="113"/>
      <c r="B225" s="652" t="s">
        <v>121</v>
      </c>
      <c r="C225" s="756">
        <v>2.4881942965416452E-2</v>
      </c>
      <c r="D225" s="675">
        <v>0</v>
      </c>
      <c r="E225" s="761">
        <v>1.2668709702533035E-2</v>
      </c>
      <c r="F225" s="757">
        <v>0</v>
      </c>
      <c r="G225" s="653">
        <v>0.3</v>
      </c>
      <c r="H225" s="91"/>
      <c r="I225" s="91"/>
    </row>
    <row r="226" spans="1:13" s="114" customFormat="1" ht="13.2" hidden="1" outlineLevel="2">
      <c r="A226" s="113"/>
      <c r="B226" s="652" t="s">
        <v>1350</v>
      </c>
      <c r="C226" s="756">
        <v>9.1067323722303427E-4</v>
      </c>
      <c r="D226" s="675">
        <v>9.6406192406929603E-2</v>
      </c>
      <c r="E226" s="761">
        <v>0</v>
      </c>
      <c r="F226" s="757">
        <v>6.8790118566399883E-2</v>
      </c>
      <c r="G226" s="653">
        <v>0.3</v>
      </c>
      <c r="H226" s="91"/>
      <c r="I226" s="91"/>
    </row>
    <row r="227" spans="1:13" s="114" customFormat="1" ht="13.2" hidden="1" outlineLevel="2">
      <c r="A227" s="113"/>
      <c r="B227" s="648"/>
      <c r="C227" s="758"/>
      <c r="D227" s="685"/>
      <c r="E227" s="762"/>
      <c r="F227" s="763"/>
      <c r="G227" s="656"/>
      <c r="H227" s="91"/>
      <c r="I227" s="91"/>
    </row>
    <row r="228" spans="1:13" s="114" customFormat="1" ht="13.2" hidden="1" outlineLevel="2">
      <c r="A228" s="113"/>
      <c r="B228" s="91"/>
      <c r="C228" s="91"/>
      <c r="D228" s="91"/>
      <c r="E228" s="91"/>
      <c r="F228" s="91"/>
      <c r="G228" s="91"/>
      <c r="H228" s="91"/>
      <c r="I228" s="91"/>
      <c r="J228" s="91"/>
      <c r="L228" s="91"/>
      <c r="M228" s="91"/>
    </row>
    <row r="229" spans="1:13" s="114" customFormat="1" ht="13.2" hidden="1" outlineLevel="2">
      <c r="A229" s="113"/>
      <c r="B229" s="91"/>
      <c r="C229" s="91"/>
      <c r="D229" s="91"/>
      <c r="E229" s="91"/>
      <c r="F229" s="91"/>
      <c r="G229" s="91"/>
      <c r="H229" s="91"/>
      <c r="I229" s="91"/>
      <c r="J229" s="91"/>
      <c r="L229" s="91"/>
      <c r="M229" s="91"/>
    </row>
    <row r="230" spans="1:13" s="114" customFormat="1" ht="13.2" hidden="1" outlineLevel="2">
      <c r="A230" s="113"/>
      <c r="B230" s="768" t="s">
        <v>678</v>
      </c>
      <c r="C230" s="643" t="s">
        <v>674</v>
      </c>
      <c r="D230" s="643" t="s">
        <v>366</v>
      </c>
      <c r="E230" s="91"/>
      <c r="F230" s="91"/>
      <c r="G230" s="91"/>
      <c r="H230" s="91"/>
      <c r="I230" s="91"/>
      <c r="J230" s="91"/>
      <c r="L230" s="91"/>
      <c r="M230" s="91"/>
    </row>
    <row r="231" spans="1:13" s="114" customFormat="1" ht="13.2" hidden="1" outlineLevel="2">
      <c r="A231" s="113"/>
      <c r="B231" s="646" t="s">
        <v>1351</v>
      </c>
      <c r="C231" s="674">
        <v>1971.6885743174923</v>
      </c>
      <c r="D231" s="681">
        <v>0.3</v>
      </c>
      <c r="E231" s="91"/>
      <c r="F231" s="91"/>
      <c r="G231" s="91"/>
      <c r="H231" s="91"/>
      <c r="I231" s="91"/>
      <c r="J231" s="91"/>
      <c r="L231" s="91"/>
      <c r="M231" s="91"/>
    </row>
    <row r="232" spans="1:13" s="114" customFormat="1" ht="13.2" hidden="1" outlineLevel="2">
      <c r="A232" s="113"/>
      <c r="B232" s="646" t="s">
        <v>1352</v>
      </c>
      <c r="C232" s="704">
        <v>2669.369479266079</v>
      </c>
      <c r="D232" s="681">
        <v>0.3</v>
      </c>
      <c r="E232" s="91"/>
      <c r="F232" s="91"/>
      <c r="G232" s="91"/>
      <c r="H232" s="91"/>
      <c r="I232" s="91"/>
      <c r="J232" s="91"/>
      <c r="L232" s="91"/>
      <c r="M232" s="91"/>
    </row>
    <row r="233" spans="1:13" s="114" customFormat="1" ht="13.2" hidden="1" outlineLevel="2">
      <c r="A233" s="113"/>
      <c r="B233" s="647"/>
      <c r="C233" s="714"/>
      <c r="D233" s="725"/>
      <c r="E233" s="91"/>
      <c r="F233" s="91"/>
      <c r="G233" s="91"/>
      <c r="H233" s="91"/>
      <c r="I233" s="91"/>
      <c r="J233" s="91"/>
      <c r="L233" s="91"/>
      <c r="M233" s="91"/>
    </row>
    <row r="234" spans="1:13" s="114" customFormat="1" ht="13.2" hidden="1" outlineLevel="2">
      <c r="A234" s="113"/>
      <c r="B234" s="91"/>
      <c r="C234" s="91"/>
      <c r="D234" s="91"/>
      <c r="E234" s="91"/>
      <c r="F234" s="91"/>
      <c r="G234" s="91"/>
      <c r="H234" s="91"/>
      <c r="I234" s="91"/>
      <c r="J234" s="91"/>
      <c r="L234" s="91"/>
      <c r="M234" s="91"/>
    </row>
    <row r="235" spans="1:13" s="114" customFormat="1" ht="13.2" hidden="1" outlineLevel="2">
      <c r="A235" s="113"/>
      <c r="B235" s="91"/>
      <c r="C235" s="91"/>
      <c r="D235" s="91"/>
      <c r="E235" s="91"/>
      <c r="F235" s="91"/>
      <c r="G235" s="91"/>
      <c r="H235" s="91"/>
      <c r="I235" s="91"/>
      <c r="J235" s="91"/>
      <c r="L235" s="91"/>
      <c r="M235" s="91"/>
    </row>
    <row r="236" spans="1:13" s="114" customFormat="1" ht="13.2" hidden="1" outlineLevel="2">
      <c r="A236" s="113"/>
      <c r="B236" s="768" t="s">
        <v>670</v>
      </c>
      <c r="C236" s="699" t="s">
        <v>660</v>
      </c>
      <c r="D236" s="643" t="s">
        <v>669</v>
      </c>
      <c r="E236" s="643" t="s">
        <v>366</v>
      </c>
      <c r="F236" s="91"/>
      <c r="G236" s="91"/>
      <c r="H236" s="91"/>
      <c r="I236" s="91"/>
    </row>
    <row r="237" spans="1:13" s="114" customFormat="1" ht="13.2" hidden="1" outlineLevel="2">
      <c r="A237" s="113"/>
      <c r="B237" s="650" t="s">
        <v>1353</v>
      </c>
      <c r="C237" s="702">
        <v>201.3</v>
      </c>
      <c r="D237" s="674">
        <v>104.9</v>
      </c>
      <c r="E237" s="651">
        <v>0.3</v>
      </c>
      <c r="F237" s="91"/>
    </row>
    <row r="238" spans="1:13" s="114" customFormat="1" ht="13.2" hidden="1" outlineLevel="2">
      <c r="A238" s="113"/>
      <c r="B238" s="652" t="s">
        <v>1354</v>
      </c>
      <c r="C238" s="654">
        <v>166.1</v>
      </c>
      <c r="D238" s="704">
        <v>111.7</v>
      </c>
      <c r="E238" s="653">
        <v>0.3</v>
      </c>
      <c r="F238" s="91"/>
    </row>
    <row r="239" spans="1:13" s="114" customFormat="1" ht="13.2" hidden="1" outlineLevel="2">
      <c r="A239" s="113"/>
      <c r="B239" s="652" t="s">
        <v>1355</v>
      </c>
      <c r="C239" s="654">
        <v>206.9</v>
      </c>
      <c r="D239" s="704">
        <v>65.8</v>
      </c>
      <c r="E239" s="653">
        <v>0.3</v>
      </c>
      <c r="F239" s="91"/>
    </row>
    <row r="240" spans="1:13" s="114" customFormat="1" ht="13.2" hidden="1" outlineLevel="2">
      <c r="A240" s="113"/>
      <c r="B240" s="652" t="s">
        <v>1356</v>
      </c>
      <c r="C240" s="654">
        <v>195.7</v>
      </c>
      <c r="D240" s="704">
        <v>65.900000000000006</v>
      </c>
      <c r="E240" s="653">
        <v>0.3</v>
      </c>
      <c r="F240" s="91"/>
    </row>
    <row r="241" spans="1:13" s="114" customFormat="1" ht="13.2" hidden="1" outlineLevel="2">
      <c r="A241" s="113"/>
      <c r="B241" s="652" t="s">
        <v>1357</v>
      </c>
      <c r="C241" s="654">
        <v>146.19999999999999</v>
      </c>
      <c r="D241" s="704">
        <v>71.099999999999994</v>
      </c>
      <c r="E241" s="653">
        <v>0.3</v>
      </c>
      <c r="F241" s="91"/>
    </row>
    <row r="242" spans="1:13" s="114" customFormat="1" ht="13.2" hidden="1" outlineLevel="2">
      <c r="A242" s="113"/>
      <c r="B242" s="652" t="s">
        <v>1358</v>
      </c>
      <c r="C242" s="654">
        <v>124.7</v>
      </c>
      <c r="D242" s="704">
        <v>71.2</v>
      </c>
      <c r="E242" s="653">
        <v>0.3</v>
      </c>
      <c r="F242" s="91"/>
    </row>
    <row r="243" spans="1:13" s="114" customFormat="1" ht="13.2" hidden="1" outlineLevel="2">
      <c r="A243" s="113"/>
      <c r="B243" s="650" t="s">
        <v>1359</v>
      </c>
      <c r="C243" s="702">
        <v>187.1</v>
      </c>
      <c r="D243" s="674">
        <v>119.3</v>
      </c>
      <c r="E243" s="651">
        <v>0.3</v>
      </c>
      <c r="F243" s="91"/>
      <c r="J243" s="91"/>
      <c r="M243" s="91"/>
    </row>
    <row r="244" spans="1:13" s="114" customFormat="1" ht="13.2" hidden="1" outlineLevel="2">
      <c r="A244" s="113"/>
      <c r="B244" s="652" t="s">
        <v>1360</v>
      </c>
      <c r="C244" s="654">
        <v>170.8</v>
      </c>
      <c r="D244" s="704">
        <v>120</v>
      </c>
      <c r="E244" s="653">
        <v>0.3</v>
      </c>
      <c r="F244" s="91"/>
    </row>
    <row r="245" spans="1:13" s="114" customFormat="1" ht="13.2" hidden="1" outlineLevel="2">
      <c r="A245" s="113"/>
      <c r="B245" s="652" t="s">
        <v>1361</v>
      </c>
      <c r="C245" s="654">
        <v>194.6</v>
      </c>
      <c r="D245" s="704">
        <v>71.099999999999994</v>
      </c>
      <c r="E245" s="653">
        <v>0.3</v>
      </c>
      <c r="F245" s="91"/>
    </row>
    <row r="246" spans="1:13" s="114" customFormat="1" ht="13.2" hidden="1" outlineLevel="2">
      <c r="A246" s="113"/>
      <c r="B246" s="652" t="s">
        <v>1362</v>
      </c>
      <c r="C246" s="654">
        <v>173.6</v>
      </c>
      <c r="D246" s="704">
        <v>70.8</v>
      </c>
      <c r="E246" s="653">
        <v>0.3</v>
      </c>
      <c r="F246" s="91"/>
    </row>
    <row r="247" spans="1:13" s="114" customFormat="1" ht="13.2" hidden="1" outlineLevel="2">
      <c r="A247" s="113"/>
      <c r="B247" s="652" t="s">
        <v>1363</v>
      </c>
      <c r="C247" s="654">
        <v>172.4</v>
      </c>
      <c r="D247" s="704">
        <v>89.3</v>
      </c>
      <c r="E247" s="653">
        <v>0.3</v>
      </c>
      <c r="F247" s="91"/>
    </row>
    <row r="248" spans="1:13" s="114" customFormat="1" ht="13.2" hidden="1" outlineLevel="2">
      <c r="A248" s="113"/>
      <c r="B248" s="648" t="s">
        <v>1364</v>
      </c>
      <c r="C248" s="655">
        <v>162.30000000000001</v>
      </c>
      <c r="D248" s="714">
        <v>87.8</v>
      </c>
      <c r="E248" s="656">
        <v>0.3</v>
      </c>
      <c r="F248" s="91"/>
    </row>
    <row r="249" spans="1:13" s="114" customFormat="1" ht="13.2" hidden="1" outlineLevel="2">
      <c r="A249" s="113"/>
      <c r="B249" s="650" t="s">
        <v>1365</v>
      </c>
      <c r="C249" s="702">
        <v>290.39999999999998</v>
      </c>
      <c r="D249" s="674">
        <v>105.5</v>
      </c>
      <c r="E249" s="651">
        <v>0.3</v>
      </c>
      <c r="F249" s="91"/>
    </row>
    <row r="250" spans="1:13" s="114" customFormat="1" ht="13.2" hidden="1" outlineLevel="2">
      <c r="A250" s="113"/>
      <c r="B250" s="652" t="s">
        <v>1366</v>
      </c>
      <c r="C250" s="654">
        <v>235.4</v>
      </c>
      <c r="D250" s="704">
        <v>113.9</v>
      </c>
      <c r="E250" s="653">
        <v>0.3</v>
      </c>
      <c r="F250" s="91"/>
    </row>
    <row r="251" spans="1:13" s="114" customFormat="1" ht="13.2" hidden="1" outlineLevel="2">
      <c r="A251" s="113"/>
      <c r="B251" s="652" t="s">
        <v>1367</v>
      </c>
      <c r="C251" s="654">
        <v>210.5</v>
      </c>
      <c r="D251" s="704">
        <v>78.5</v>
      </c>
      <c r="E251" s="653">
        <v>0.3</v>
      </c>
      <c r="F251" s="91"/>
    </row>
    <row r="252" spans="1:13" s="114" customFormat="1" ht="13.2" hidden="1" outlineLevel="2">
      <c r="A252" s="113"/>
      <c r="B252" s="648" t="s">
        <v>1368</v>
      </c>
      <c r="C252" s="655">
        <v>171.9</v>
      </c>
      <c r="D252" s="714">
        <v>78.599999999999994</v>
      </c>
      <c r="E252" s="656">
        <v>0.3</v>
      </c>
      <c r="F252" s="91"/>
    </row>
    <row r="253" spans="1:13" s="114" customFormat="1" ht="13.2" hidden="1" outlineLevel="2">
      <c r="A253" s="113"/>
      <c r="B253" s="650" t="s">
        <v>1369</v>
      </c>
      <c r="C253" s="702">
        <v>139.30000000000001</v>
      </c>
      <c r="D253" s="674">
        <v>113.5</v>
      </c>
      <c r="E253" s="651">
        <v>0.3</v>
      </c>
      <c r="F253" s="91"/>
      <c r="J253" s="91"/>
      <c r="L253" s="91"/>
      <c r="M253" s="91"/>
    </row>
    <row r="254" spans="1:13" s="114" customFormat="1" ht="13.2" hidden="1" outlineLevel="2">
      <c r="A254" s="113"/>
      <c r="B254" s="652" t="s">
        <v>1370</v>
      </c>
      <c r="C254" s="654">
        <v>129.30000000000001</v>
      </c>
      <c r="D254" s="704">
        <v>115.8</v>
      </c>
      <c r="E254" s="653">
        <v>0.3</v>
      </c>
      <c r="F254" s="91"/>
      <c r="J254" s="91"/>
      <c r="L254" s="91"/>
      <c r="M254" s="91"/>
    </row>
    <row r="255" spans="1:13" s="114" customFormat="1" ht="13.2" hidden="1" outlineLevel="2">
      <c r="A255" s="113"/>
      <c r="B255" s="652" t="s">
        <v>1371</v>
      </c>
      <c r="C255" s="654">
        <v>101.4</v>
      </c>
      <c r="D255" s="704">
        <v>86.9</v>
      </c>
      <c r="E255" s="653">
        <v>0.3</v>
      </c>
      <c r="F255" s="91"/>
      <c r="J255" s="91"/>
      <c r="L255" s="91"/>
      <c r="M255" s="91"/>
    </row>
    <row r="256" spans="1:13" s="114" customFormat="1" ht="13.2" hidden="1" outlineLevel="2">
      <c r="A256" s="113"/>
      <c r="B256" s="648" t="s">
        <v>1372</v>
      </c>
      <c r="C256" s="655">
        <v>79.5</v>
      </c>
      <c r="D256" s="714">
        <v>86.3</v>
      </c>
      <c r="E256" s="656">
        <v>0.3</v>
      </c>
      <c r="F256" s="91"/>
    </row>
    <row r="257" spans="1:11" s="114" customFormat="1" ht="13.2" hidden="1" outlineLevel="2">
      <c r="A257" s="113"/>
      <c r="B257" s="650" t="s">
        <v>1373</v>
      </c>
      <c r="C257" s="702">
        <v>150</v>
      </c>
      <c r="D257" s="663">
        <v>96</v>
      </c>
      <c r="E257" s="651">
        <v>0.3</v>
      </c>
      <c r="F257" s="91"/>
    </row>
    <row r="258" spans="1:11" s="114" customFormat="1" ht="13.2" hidden="1" outlineLevel="2">
      <c r="A258" s="113"/>
      <c r="B258" s="652" t="s">
        <v>1374</v>
      </c>
      <c r="C258" s="654">
        <v>106</v>
      </c>
      <c r="D258" s="660">
        <v>110</v>
      </c>
      <c r="E258" s="653">
        <v>0.3</v>
      </c>
      <c r="F258" s="91"/>
    </row>
    <row r="259" spans="1:11" s="114" customFormat="1" ht="13.2" hidden="1" outlineLevel="2">
      <c r="A259" s="113"/>
      <c r="B259" s="746" t="s">
        <v>1375</v>
      </c>
      <c r="C259" s="654">
        <v>98</v>
      </c>
      <c r="D259" s="765">
        <v>49</v>
      </c>
      <c r="E259" s="653">
        <v>0.3</v>
      </c>
      <c r="F259" s="91"/>
    </row>
    <row r="260" spans="1:11" s="114" customFormat="1" ht="13.2" hidden="1" outlineLevel="2">
      <c r="A260" s="113"/>
      <c r="B260" s="766" t="s">
        <v>1376</v>
      </c>
      <c r="C260" s="655">
        <v>65</v>
      </c>
      <c r="D260" s="767">
        <v>53</v>
      </c>
      <c r="E260" s="656">
        <v>0.3</v>
      </c>
      <c r="F260" s="91"/>
    </row>
    <row r="261" spans="1:11" s="114" customFormat="1" ht="13.2" hidden="1" outlineLevel="2">
      <c r="A261" s="113"/>
      <c r="B261" s="650" t="s">
        <v>1377</v>
      </c>
      <c r="C261" s="702">
        <v>255.1</v>
      </c>
      <c r="D261" s="674">
        <v>70.599999999999994</v>
      </c>
      <c r="E261" s="651">
        <v>0.3</v>
      </c>
      <c r="F261" s="91"/>
    </row>
    <row r="262" spans="1:11" s="114" customFormat="1" ht="13.2" hidden="1" outlineLevel="2">
      <c r="A262" s="113"/>
      <c r="B262" s="652" t="s">
        <v>1378</v>
      </c>
      <c r="C262" s="654">
        <v>229.6</v>
      </c>
      <c r="D262" s="704">
        <v>69.8</v>
      </c>
      <c r="E262" s="653">
        <v>0.3</v>
      </c>
      <c r="F262" s="91"/>
    </row>
    <row r="263" spans="1:11" s="114" customFormat="1" ht="13.2" hidden="1" outlineLevel="2">
      <c r="A263" s="113"/>
      <c r="B263" s="648"/>
      <c r="C263" s="655"/>
      <c r="D263" s="714"/>
      <c r="E263" s="656"/>
      <c r="F263" s="91"/>
    </row>
    <row r="264" spans="1:11" s="114" customFormat="1" ht="13.2" hidden="1" outlineLevel="2">
      <c r="A264" s="113"/>
      <c r="B264" s="91"/>
      <c r="C264" s="91"/>
      <c r="D264" s="91"/>
      <c r="E264" s="91"/>
      <c r="F264" s="91"/>
    </row>
    <row r="265" spans="1:11" s="114" customFormat="1" ht="13.2" hidden="1" outlineLevel="2">
      <c r="A265" s="113"/>
      <c r="B265" s="768" t="s">
        <v>672</v>
      </c>
      <c r="C265" s="643" t="s">
        <v>660</v>
      </c>
      <c r="D265" s="738" t="s">
        <v>669</v>
      </c>
      <c r="E265" s="643" t="s">
        <v>366</v>
      </c>
      <c r="F265" s="91"/>
      <c r="G265" s="91"/>
      <c r="H265" s="91"/>
      <c r="I265" s="91"/>
      <c r="J265" s="91"/>
      <c r="K265" s="91"/>
    </row>
    <row r="266" spans="1:11" s="114" customFormat="1" ht="13.2" hidden="1" outlineLevel="2">
      <c r="A266" s="113"/>
      <c r="B266" s="650" t="s">
        <v>1379</v>
      </c>
      <c r="C266" s="674">
        <v>190.59740587795986</v>
      </c>
      <c r="D266" s="674">
        <v>68</v>
      </c>
      <c r="E266" s="651">
        <v>0.3</v>
      </c>
      <c r="F266" s="91"/>
      <c r="G266" s="91"/>
      <c r="H266" s="91"/>
      <c r="I266" s="91"/>
      <c r="J266" s="91"/>
      <c r="K266" s="91"/>
    </row>
    <row r="267" spans="1:11" s="114" customFormat="1" ht="13.2" hidden="1" outlineLevel="2">
      <c r="A267" s="113"/>
      <c r="B267" s="652" t="s">
        <v>1380</v>
      </c>
      <c r="C267" s="704">
        <v>178.1308314327182</v>
      </c>
      <c r="D267" s="704">
        <v>106</v>
      </c>
      <c r="E267" s="653">
        <v>0.3</v>
      </c>
      <c r="F267" s="91"/>
      <c r="G267" s="91"/>
      <c r="H267" s="91"/>
      <c r="I267" s="91"/>
      <c r="J267" s="91"/>
      <c r="K267" s="91"/>
    </row>
    <row r="268" spans="1:11" s="114" customFormat="1" ht="13.2" hidden="1" outlineLevel="2">
      <c r="A268" s="113"/>
      <c r="B268" s="652" t="s">
        <v>1381</v>
      </c>
      <c r="C268" s="704">
        <v>142.11940453343016</v>
      </c>
      <c r="D268" s="704">
        <v>65</v>
      </c>
      <c r="E268" s="653">
        <v>0.3</v>
      </c>
      <c r="F268" s="91"/>
      <c r="G268" s="91"/>
      <c r="H268" s="91"/>
      <c r="I268" s="91"/>
      <c r="J268" s="91"/>
      <c r="K268" s="91"/>
    </row>
    <row r="269" spans="1:11" s="114" customFormat="1" ht="13.2" hidden="1" outlineLevel="2">
      <c r="A269" s="113"/>
      <c r="B269" s="652" t="s">
        <v>1382</v>
      </c>
      <c r="C269" s="704">
        <v>134.9744417541028</v>
      </c>
      <c r="D269" s="704">
        <v>108</v>
      </c>
      <c r="E269" s="653">
        <v>0.3</v>
      </c>
      <c r="F269" s="91"/>
      <c r="G269" s="91"/>
      <c r="H269" s="91"/>
      <c r="I269" s="91"/>
      <c r="J269" s="91"/>
      <c r="K269" s="91"/>
    </row>
    <row r="270" spans="1:11" s="114" customFormat="1" ht="13.2" hidden="1" outlineLevel="2">
      <c r="A270" s="113"/>
      <c r="B270" s="652" t="s">
        <v>1383</v>
      </c>
      <c r="C270" s="704">
        <v>199.92479625276908</v>
      </c>
      <c r="D270" s="704">
        <v>71</v>
      </c>
      <c r="E270" s="653">
        <v>0.3</v>
      </c>
      <c r="F270" s="91"/>
      <c r="G270" s="91"/>
      <c r="H270" s="91"/>
      <c r="I270" s="91"/>
      <c r="J270" s="91"/>
      <c r="K270" s="91"/>
    </row>
    <row r="271" spans="1:11" s="114" customFormat="1" ht="13.2" hidden="1" outlineLevel="2">
      <c r="A271" s="113"/>
      <c r="B271" s="652" t="s">
        <v>1384</v>
      </c>
      <c r="C271" s="704">
        <v>171.16777421040848</v>
      </c>
      <c r="D271" s="704">
        <v>118</v>
      </c>
      <c r="E271" s="653">
        <v>0.3</v>
      </c>
      <c r="F271" s="91"/>
      <c r="G271" s="91"/>
      <c r="H271" s="91"/>
      <c r="I271" s="91"/>
      <c r="J271" s="91"/>
      <c r="K271" s="91"/>
    </row>
    <row r="272" spans="1:11" s="114" customFormat="1" ht="13.2" hidden="1" outlineLevel="2">
      <c r="A272" s="113"/>
      <c r="B272" s="652" t="s">
        <v>1385</v>
      </c>
      <c r="C272" s="704">
        <v>107.9602742087328</v>
      </c>
      <c r="D272" s="704">
        <v>115</v>
      </c>
      <c r="E272" s="653">
        <v>0.3</v>
      </c>
      <c r="F272" s="91"/>
      <c r="G272" s="91"/>
      <c r="H272" s="91"/>
      <c r="I272" s="91"/>
      <c r="J272" s="91"/>
      <c r="K272" s="91"/>
    </row>
    <row r="273" spans="1:11" s="114" customFormat="1" ht="13.2" hidden="1" outlineLevel="2">
      <c r="A273" s="113"/>
      <c r="B273" s="646" t="s">
        <v>1386</v>
      </c>
      <c r="C273" s="704">
        <v>61</v>
      </c>
      <c r="D273" s="660">
        <v>103</v>
      </c>
      <c r="E273" s="653">
        <v>0.3</v>
      </c>
      <c r="F273" s="91"/>
      <c r="G273" s="91"/>
      <c r="H273" s="91"/>
      <c r="I273" s="91"/>
      <c r="J273" s="91"/>
      <c r="K273" s="91"/>
    </row>
    <row r="274" spans="1:11" s="114" customFormat="1" ht="13.2" hidden="1" outlineLevel="2">
      <c r="A274" s="113"/>
      <c r="B274" s="646" t="s">
        <v>1387</v>
      </c>
      <c r="C274" s="704">
        <v>63</v>
      </c>
      <c r="D274" s="660">
        <v>55</v>
      </c>
      <c r="E274" s="653">
        <v>0.3</v>
      </c>
      <c r="F274" s="91"/>
      <c r="G274" s="91"/>
      <c r="H274" s="91"/>
      <c r="I274" s="91"/>
      <c r="J274" s="91"/>
      <c r="K274" s="91"/>
    </row>
    <row r="275" spans="1:11" s="114" customFormat="1" ht="13.2" hidden="1" outlineLevel="2">
      <c r="A275" s="113"/>
      <c r="B275" s="648"/>
      <c r="C275" s="714"/>
      <c r="D275" s="714"/>
      <c r="E275" s="656"/>
      <c r="F275" s="91"/>
      <c r="G275" s="91"/>
      <c r="H275" s="91"/>
      <c r="I275" s="91"/>
      <c r="J275" s="91"/>
      <c r="K275" s="91"/>
    </row>
    <row r="276" spans="1:11" s="114" customFormat="1" ht="13.2" hidden="1" outlineLevel="2">
      <c r="A276" s="113"/>
      <c r="B276" s="91"/>
      <c r="C276" s="91"/>
      <c r="D276" s="91"/>
      <c r="E276" s="91"/>
      <c r="F276" s="91"/>
    </row>
    <row r="277" spans="1:11" s="114" customFormat="1" ht="13.2" hidden="1" outlineLevel="2">
      <c r="A277" s="113"/>
      <c r="B277" s="91"/>
      <c r="C277" s="91"/>
      <c r="D277" s="91"/>
      <c r="E277" s="91"/>
      <c r="F277" s="91"/>
    </row>
    <row r="278" spans="1:11" s="114" customFormat="1" ht="13.2" hidden="1" outlineLevel="2">
      <c r="A278" s="113"/>
      <c r="B278" s="768" t="s">
        <v>671</v>
      </c>
      <c r="C278" s="643" t="s">
        <v>674</v>
      </c>
      <c r="D278" s="643" t="s">
        <v>366</v>
      </c>
      <c r="E278" s="91"/>
      <c r="F278" s="91"/>
    </row>
    <row r="279" spans="1:11" s="114" customFormat="1" ht="13.2" hidden="1" outlineLevel="2">
      <c r="A279" s="113"/>
      <c r="B279" s="645" t="s">
        <v>1353</v>
      </c>
      <c r="C279" s="674">
        <v>1667.91</v>
      </c>
      <c r="D279" s="695">
        <v>0.3</v>
      </c>
      <c r="E279" s="91"/>
      <c r="F279" s="91"/>
    </row>
    <row r="280" spans="1:11" s="114" customFormat="1" ht="13.2" hidden="1" outlineLevel="2">
      <c r="A280" s="113"/>
      <c r="B280" s="646" t="s">
        <v>1354</v>
      </c>
      <c r="C280" s="704">
        <v>1943.58</v>
      </c>
      <c r="D280" s="681">
        <v>0.3</v>
      </c>
      <c r="E280" s="91"/>
      <c r="F280" s="91"/>
    </row>
    <row r="281" spans="1:11" s="114" customFormat="1" ht="13.2" hidden="1" outlineLevel="2">
      <c r="A281" s="113"/>
      <c r="B281" s="646" t="s">
        <v>1388</v>
      </c>
      <c r="C281" s="704">
        <v>1640.04</v>
      </c>
      <c r="D281" s="681">
        <v>0.3</v>
      </c>
      <c r="E281" s="91"/>
      <c r="F281" s="91"/>
    </row>
    <row r="282" spans="1:11" s="114" customFormat="1" ht="13.2" hidden="1" outlineLevel="2">
      <c r="A282" s="113"/>
      <c r="B282" s="647" t="s">
        <v>1389</v>
      </c>
      <c r="C282" s="714">
        <v>1792.15</v>
      </c>
      <c r="D282" s="725">
        <v>0.3</v>
      </c>
      <c r="E282" s="91"/>
      <c r="F282" s="91"/>
    </row>
    <row r="283" spans="1:11" s="114" customFormat="1" ht="13.2" hidden="1" outlineLevel="2">
      <c r="A283" s="113"/>
      <c r="B283" s="645" t="s">
        <v>1359</v>
      </c>
      <c r="C283" s="674">
        <v>2672.32</v>
      </c>
      <c r="D283" s="695">
        <v>0.3</v>
      </c>
      <c r="E283" s="91"/>
      <c r="F283" s="91"/>
    </row>
    <row r="284" spans="1:11" s="114" customFormat="1" ht="13.2" hidden="1" outlineLevel="2">
      <c r="A284" s="113"/>
      <c r="B284" s="646" t="s">
        <v>1360</v>
      </c>
      <c r="C284" s="704">
        <v>3120</v>
      </c>
      <c r="D284" s="681">
        <v>0.3</v>
      </c>
      <c r="E284" s="91"/>
      <c r="F284" s="91"/>
    </row>
    <row r="285" spans="1:11" s="114" customFormat="1" ht="13.2" hidden="1" outlineLevel="2">
      <c r="A285" s="113"/>
      <c r="B285" s="646" t="s">
        <v>1390</v>
      </c>
      <c r="C285" s="704">
        <v>1935.0150000000001</v>
      </c>
      <c r="D285" s="681">
        <v>0.3</v>
      </c>
      <c r="E285" s="91"/>
      <c r="F285" s="91"/>
    </row>
    <row r="286" spans="1:11" s="114" customFormat="1" ht="13.2" hidden="1" outlineLevel="2">
      <c r="A286" s="113"/>
      <c r="B286" s="647" t="s">
        <v>1391</v>
      </c>
      <c r="C286" s="714">
        <v>1917.92</v>
      </c>
      <c r="D286" s="725">
        <v>0.3</v>
      </c>
      <c r="E286" s="91"/>
      <c r="F286" s="91"/>
    </row>
    <row r="287" spans="1:11" s="114" customFormat="1" ht="13.2" hidden="1" outlineLevel="2">
      <c r="A287" s="113"/>
      <c r="B287" s="645" t="s">
        <v>1369</v>
      </c>
      <c r="C287" s="704">
        <v>2383.5</v>
      </c>
      <c r="D287" s="695">
        <v>0.3</v>
      </c>
      <c r="E287" s="91"/>
      <c r="F287" s="91"/>
    </row>
    <row r="288" spans="1:11" s="114" customFormat="1" ht="13.2" hidden="1" outlineLevel="2">
      <c r="A288" s="113"/>
      <c r="B288" s="646" t="s">
        <v>1370</v>
      </c>
      <c r="C288" s="704">
        <v>2918.16</v>
      </c>
      <c r="D288" s="681">
        <v>0.3</v>
      </c>
      <c r="E288" s="91"/>
      <c r="F288" s="91"/>
    </row>
    <row r="289" spans="1:11" s="114" customFormat="1" ht="13.2" hidden="1" outlineLevel="2">
      <c r="A289" s="113"/>
      <c r="B289" s="646" t="s">
        <v>1371</v>
      </c>
      <c r="C289" s="704">
        <v>1642.41</v>
      </c>
      <c r="D289" s="681">
        <v>0.3</v>
      </c>
      <c r="E289" s="91"/>
      <c r="F289" s="91"/>
    </row>
    <row r="290" spans="1:11" s="114" customFormat="1" ht="13.2" hidden="1" outlineLevel="2">
      <c r="A290" s="113"/>
      <c r="B290" s="646" t="s">
        <v>1372</v>
      </c>
      <c r="C290" s="704">
        <v>1700.11</v>
      </c>
      <c r="D290" s="681">
        <v>0.3</v>
      </c>
      <c r="E290" s="91"/>
      <c r="F290" s="91"/>
      <c r="G290" s="91"/>
      <c r="H290" s="91"/>
      <c r="I290" s="91"/>
    </row>
    <row r="291" spans="1:11" s="114" customFormat="1" ht="13.2" hidden="1" outlineLevel="2">
      <c r="A291" s="113"/>
      <c r="B291" s="650" t="s">
        <v>1392</v>
      </c>
      <c r="C291" s="674">
        <v>1629</v>
      </c>
      <c r="D291" s="695">
        <v>0.3</v>
      </c>
      <c r="E291" s="91"/>
      <c r="F291" s="91"/>
      <c r="G291" s="91"/>
      <c r="H291" s="91"/>
      <c r="I291" s="91"/>
    </row>
    <row r="292" spans="1:11" s="114" customFormat="1" ht="13.2" hidden="1" outlineLevel="2">
      <c r="A292" s="113"/>
      <c r="B292" s="652" t="s">
        <v>1393</v>
      </c>
      <c r="C292" s="704">
        <v>1633</v>
      </c>
      <c r="D292" s="681">
        <v>0.3</v>
      </c>
      <c r="E292" s="91"/>
      <c r="F292" s="91"/>
      <c r="G292" s="91"/>
      <c r="H292" s="91"/>
      <c r="I292" s="91"/>
    </row>
    <row r="293" spans="1:11" s="114" customFormat="1" ht="13.2" hidden="1" outlineLevel="2">
      <c r="A293" s="113"/>
      <c r="B293" s="746" t="s">
        <v>1394</v>
      </c>
      <c r="C293" s="704">
        <v>1110</v>
      </c>
      <c r="D293" s="681">
        <v>0.3</v>
      </c>
      <c r="E293" s="91"/>
      <c r="F293" s="91"/>
      <c r="G293" s="91"/>
      <c r="H293" s="91"/>
      <c r="I293" s="91"/>
    </row>
    <row r="294" spans="1:11" s="114" customFormat="1" ht="13.2" hidden="1" outlineLevel="2">
      <c r="A294" s="113"/>
      <c r="B294" s="766" t="s">
        <v>1395</v>
      </c>
      <c r="C294" s="704">
        <v>1302</v>
      </c>
      <c r="D294" s="681">
        <v>0.3</v>
      </c>
      <c r="E294" s="91"/>
      <c r="F294" s="91"/>
      <c r="G294" s="91"/>
      <c r="H294" s="91"/>
      <c r="I294" s="91"/>
    </row>
    <row r="295" spans="1:11" s="114" customFormat="1" ht="13.2" hidden="1" outlineLevel="2">
      <c r="A295" s="113"/>
      <c r="B295" s="645" t="s">
        <v>1377</v>
      </c>
      <c r="C295" s="674">
        <v>2379.2199999999998</v>
      </c>
      <c r="D295" s="651">
        <v>0.3</v>
      </c>
      <c r="E295" s="91"/>
      <c r="F295" s="91"/>
      <c r="G295" s="91"/>
      <c r="H295" s="91"/>
      <c r="I295" s="91"/>
    </row>
    <row r="296" spans="1:11" s="114" customFormat="1" ht="13.2" hidden="1" outlineLevel="2">
      <c r="A296" s="113"/>
      <c r="B296" s="646" t="s">
        <v>1378</v>
      </c>
      <c r="C296" s="704">
        <v>2436.02</v>
      </c>
      <c r="D296" s="653">
        <v>0.3</v>
      </c>
      <c r="E296" s="91"/>
      <c r="F296" s="91"/>
      <c r="G296" s="91"/>
      <c r="H296" s="91"/>
      <c r="I296" s="91"/>
    </row>
    <row r="297" spans="1:11" s="114" customFormat="1" ht="13.2" hidden="1" outlineLevel="2">
      <c r="A297" s="113"/>
      <c r="B297" s="647"/>
      <c r="C297" s="714"/>
      <c r="D297" s="656"/>
      <c r="E297" s="91"/>
      <c r="F297" s="91"/>
      <c r="G297" s="91"/>
      <c r="H297" s="91"/>
      <c r="I297" s="91"/>
    </row>
    <row r="298" spans="1:11" s="114" customFormat="1" ht="13.2" hidden="1" outlineLevel="2">
      <c r="A298" s="113"/>
      <c r="B298" s="91"/>
      <c r="C298" s="91"/>
      <c r="D298" s="91"/>
      <c r="E298" s="91"/>
      <c r="F298" s="91"/>
      <c r="G298" s="91"/>
      <c r="H298" s="91"/>
      <c r="I298" s="91"/>
      <c r="J298" s="91"/>
      <c r="K298" s="91"/>
    </row>
    <row r="299" spans="1:11" s="114" customFormat="1" ht="13.2" hidden="1" outlineLevel="2">
      <c r="A299" s="113"/>
      <c r="B299" s="768" t="s">
        <v>673</v>
      </c>
      <c r="C299" s="643" t="s">
        <v>674</v>
      </c>
      <c r="D299" s="643" t="s">
        <v>366</v>
      </c>
      <c r="E299" s="91"/>
      <c r="F299" s="91"/>
      <c r="G299" s="91"/>
      <c r="H299" s="91"/>
      <c r="I299" s="91"/>
      <c r="J299" s="91"/>
      <c r="K299" s="91"/>
    </row>
    <row r="300" spans="1:11" s="114" customFormat="1" ht="13.2" hidden="1" outlineLevel="2">
      <c r="A300" s="113"/>
      <c r="B300" s="650" t="s">
        <v>1379</v>
      </c>
      <c r="C300" s="674">
        <v>1398.3955530288672</v>
      </c>
      <c r="D300" s="651">
        <v>0.3</v>
      </c>
      <c r="E300" s="91"/>
      <c r="F300" s="91"/>
      <c r="G300" s="91"/>
      <c r="H300" s="91"/>
      <c r="I300" s="91"/>
      <c r="J300" s="91"/>
      <c r="K300" s="91"/>
    </row>
    <row r="301" spans="1:11" s="114" customFormat="1" ht="13.2" hidden="1" outlineLevel="2">
      <c r="A301" s="113"/>
      <c r="B301" s="652" t="s">
        <v>1380</v>
      </c>
      <c r="C301" s="704">
        <v>2690.909090909091</v>
      </c>
      <c r="D301" s="653">
        <v>0.3</v>
      </c>
      <c r="E301" s="91"/>
      <c r="F301" s="91"/>
      <c r="G301" s="91"/>
      <c r="H301" s="91"/>
      <c r="I301" s="91"/>
      <c r="J301" s="91"/>
      <c r="K301" s="91"/>
    </row>
    <row r="302" spans="1:11" s="114" customFormat="1" ht="13.2" hidden="1" outlineLevel="2">
      <c r="A302" s="113"/>
      <c r="B302" s="652" t="s">
        <v>1385</v>
      </c>
      <c r="C302" s="704">
        <v>1568.6109651427573</v>
      </c>
      <c r="D302" s="653">
        <v>0.3</v>
      </c>
      <c r="E302" s="91"/>
      <c r="F302" s="91"/>
      <c r="G302" s="91"/>
      <c r="H302" s="91"/>
      <c r="I302" s="91"/>
      <c r="J302" s="91"/>
      <c r="K302" s="91"/>
    </row>
    <row r="303" spans="1:11" s="114" customFormat="1" ht="13.2" hidden="1" outlineLevel="2">
      <c r="A303" s="113"/>
      <c r="B303" s="646" t="s">
        <v>1396</v>
      </c>
      <c r="C303" s="704">
        <v>1822</v>
      </c>
      <c r="D303" s="653">
        <v>0.3</v>
      </c>
      <c r="E303" s="91"/>
      <c r="F303" s="91"/>
      <c r="G303" s="91"/>
      <c r="H303" s="91"/>
      <c r="I303" s="91"/>
      <c r="J303" s="91"/>
      <c r="K303" s="91"/>
    </row>
    <row r="304" spans="1:11" s="114" customFormat="1" ht="13.2" hidden="1" outlineLevel="2">
      <c r="A304" s="113"/>
      <c r="B304" s="646" t="s">
        <v>1397</v>
      </c>
      <c r="C304" s="704">
        <v>1471</v>
      </c>
      <c r="D304" s="653">
        <v>0.3</v>
      </c>
      <c r="E304" s="91"/>
      <c r="F304" s="91"/>
      <c r="G304" s="91"/>
      <c r="H304" s="91"/>
      <c r="I304" s="91"/>
      <c r="J304" s="91"/>
      <c r="K304" s="91"/>
    </row>
    <row r="305" spans="1:11" s="114" customFormat="1" ht="13.2" hidden="1" outlineLevel="2">
      <c r="A305" s="113"/>
      <c r="B305" s="648"/>
      <c r="C305" s="714"/>
      <c r="D305" s="656"/>
      <c r="E305" s="91"/>
      <c r="F305" s="91"/>
      <c r="G305" s="91"/>
      <c r="H305" s="91"/>
      <c r="I305" s="91"/>
      <c r="J305" s="91"/>
      <c r="K305" s="91"/>
    </row>
    <row r="306" spans="1:11" s="114" customFormat="1" ht="13.2" hidden="1" outlineLevel="2">
      <c r="A306" s="113"/>
    </row>
    <row r="307" spans="1:11" s="114" customFormat="1" ht="13.2" hidden="1" outlineLevel="2">
      <c r="A307" s="113"/>
    </row>
    <row r="308" spans="1:11" s="114" customFormat="1" ht="39.6" hidden="1" outlineLevel="2">
      <c r="A308" s="113"/>
      <c r="B308" s="728" t="s">
        <v>677</v>
      </c>
      <c r="C308" s="769" t="s">
        <v>675</v>
      </c>
      <c r="D308" s="697" t="s">
        <v>676</v>
      </c>
      <c r="E308" s="643" t="s">
        <v>366</v>
      </c>
      <c r="F308" s="91"/>
    </row>
    <row r="309" spans="1:11" s="114" customFormat="1" ht="13.2" hidden="1" outlineLevel="2">
      <c r="A309" s="113"/>
      <c r="B309" s="646" t="s">
        <v>1398</v>
      </c>
      <c r="C309" s="674">
        <v>20</v>
      </c>
      <c r="D309" s="664"/>
      <c r="E309" s="653">
        <v>0.3</v>
      </c>
      <c r="F309" s="91"/>
    </row>
    <row r="310" spans="1:11" s="114" customFormat="1" ht="13.2" hidden="1" outlineLevel="2">
      <c r="A310" s="113"/>
      <c r="B310" s="646" t="s">
        <v>1399</v>
      </c>
      <c r="C310" s="704">
        <v>610</v>
      </c>
      <c r="D310" s="664"/>
      <c r="E310" s="653">
        <v>0.3</v>
      </c>
      <c r="F310" s="91"/>
    </row>
    <row r="311" spans="1:11" s="114" customFormat="1" ht="13.2" hidden="1" outlineLevel="2">
      <c r="A311" s="113"/>
      <c r="B311" s="646" t="s">
        <v>1400</v>
      </c>
      <c r="C311" s="704">
        <v>220</v>
      </c>
      <c r="D311" s="664"/>
      <c r="E311" s="653">
        <v>0.3</v>
      </c>
      <c r="F311" s="91"/>
    </row>
    <row r="312" spans="1:11" s="114" customFormat="1" ht="13.2" hidden="1" outlineLevel="2">
      <c r="A312" s="113"/>
      <c r="B312" s="646" t="s">
        <v>1401</v>
      </c>
      <c r="C312" s="704">
        <v>18</v>
      </c>
      <c r="D312" s="664"/>
      <c r="E312" s="653">
        <v>0.3</v>
      </c>
      <c r="F312" s="91"/>
    </row>
    <row r="313" spans="1:11" s="114" customFormat="1" ht="13.2" hidden="1" outlineLevel="2">
      <c r="A313" s="113"/>
      <c r="B313" s="646" t="s">
        <v>1402</v>
      </c>
      <c r="C313" s="704">
        <v>18</v>
      </c>
      <c r="D313" s="664">
        <v>0.8</v>
      </c>
      <c r="E313" s="653">
        <v>0.3</v>
      </c>
      <c r="F313" s="91"/>
    </row>
    <row r="314" spans="1:11" s="114" customFormat="1" ht="13.2" hidden="1" outlineLevel="2">
      <c r="A314" s="113"/>
      <c r="B314" s="646" t="s">
        <v>1403</v>
      </c>
      <c r="C314" s="704">
        <v>67</v>
      </c>
      <c r="D314" s="664"/>
      <c r="E314" s="653">
        <v>0.3</v>
      </c>
      <c r="F314" s="91"/>
    </row>
    <row r="315" spans="1:11" s="114" customFormat="1" ht="13.2" hidden="1" outlineLevel="2">
      <c r="A315" s="113"/>
      <c r="B315" s="646" t="s">
        <v>1404</v>
      </c>
      <c r="C315" s="704">
        <v>30</v>
      </c>
      <c r="D315" s="664"/>
      <c r="E315" s="653">
        <v>0.3</v>
      </c>
      <c r="F315" s="91"/>
    </row>
    <row r="316" spans="1:11" s="114" customFormat="1" ht="13.2" hidden="1" outlineLevel="2">
      <c r="A316" s="113"/>
      <c r="B316" s="646" t="s">
        <v>1405</v>
      </c>
      <c r="C316" s="704">
        <v>70</v>
      </c>
      <c r="D316" s="664"/>
      <c r="E316" s="653">
        <v>0.3</v>
      </c>
      <c r="F316" s="91"/>
    </row>
    <row r="317" spans="1:11" s="114" customFormat="1" ht="13.2" hidden="1" outlineLevel="2">
      <c r="A317" s="113"/>
      <c r="B317" s="646" t="s">
        <v>1406</v>
      </c>
      <c r="C317" s="704">
        <v>615</v>
      </c>
      <c r="D317" s="664">
        <v>0.47</v>
      </c>
      <c r="E317" s="653">
        <v>0.3</v>
      </c>
      <c r="F317" s="91"/>
    </row>
    <row r="318" spans="1:11" s="114" customFormat="1" ht="13.2" hidden="1" outlineLevel="2">
      <c r="A318" s="113"/>
      <c r="B318" s="646" t="s">
        <v>1407</v>
      </c>
      <c r="C318" s="704">
        <v>1640</v>
      </c>
      <c r="D318" s="664">
        <v>0.05</v>
      </c>
      <c r="E318" s="653">
        <v>0.3</v>
      </c>
      <c r="F318" s="91"/>
    </row>
    <row r="319" spans="1:11" s="114" customFormat="1" ht="13.2" hidden="1" outlineLevel="2">
      <c r="A319" s="113"/>
      <c r="B319" s="646" t="s">
        <v>1408</v>
      </c>
      <c r="C319" s="704">
        <v>96</v>
      </c>
      <c r="D319" s="664">
        <v>0.2</v>
      </c>
      <c r="E319" s="653">
        <v>0.3</v>
      </c>
      <c r="F319" s="91"/>
    </row>
    <row r="320" spans="1:11" s="114" customFormat="1" ht="13.2" hidden="1" outlineLevel="2">
      <c r="A320" s="113"/>
      <c r="B320" s="646" t="s">
        <v>1409</v>
      </c>
      <c r="C320" s="704">
        <v>84</v>
      </c>
      <c r="D320" s="664">
        <v>0.2</v>
      </c>
      <c r="E320" s="653">
        <v>0.3</v>
      </c>
      <c r="F320" s="91"/>
    </row>
    <row r="321" spans="1:6" s="114" customFormat="1" ht="13.2" hidden="1" outlineLevel="2">
      <c r="A321" s="113"/>
      <c r="B321" s="646" t="s">
        <v>1410</v>
      </c>
      <c r="C321" s="704">
        <v>465</v>
      </c>
      <c r="D321" s="664">
        <v>1</v>
      </c>
      <c r="E321" s="653">
        <v>0.3</v>
      </c>
      <c r="F321" s="91"/>
    </row>
    <row r="322" spans="1:6" s="114" customFormat="1" ht="13.2" hidden="1" outlineLevel="2">
      <c r="A322" s="113"/>
      <c r="B322" s="646" t="s">
        <v>1411</v>
      </c>
      <c r="C322" s="704">
        <v>171</v>
      </c>
      <c r="D322" s="664"/>
      <c r="E322" s="653">
        <v>0.3</v>
      </c>
      <c r="F322" s="91"/>
    </row>
    <row r="323" spans="1:6" s="114" customFormat="1" ht="13.2" hidden="1" outlineLevel="2">
      <c r="A323" s="113"/>
      <c r="B323" s="646" t="s">
        <v>1412</v>
      </c>
      <c r="C323" s="704">
        <v>47</v>
      </c>
      <c r="D323" s="664"/>
      <c r="E323" s="653">
        <v>0.3</v>
      </c>
      <c r="F323" s="91"/>
    </row>
    <row r="324" spans="1:6" s="114" customFormat="1" ht="13.2" hidden="1" outlineLevel="2">
      <c r="A324" s="113"/>
      <c r="B324" s="646" t="s">
        <v>1413</v>
      </c>
      <c r="C324" s="704">
        <v>66</v>
      </c>
      <c r="D324" s="664"/>
      <c r="E324" s="653">
        <v>0.3</v>
      </c>
      <c r="F324" s="91"/>
    </row>
    <row r="325" spans="1:6" s="114" customFormat="1" ht="13.2" hidden="1" outlineLevel="2">
      <c r="A325" s="113"/>
      <c r="B325" s="646" t="s">
        <v>1414</v>
      </c>
      <c r="C325" s="704">
        <v>40</v>
      </c>
      <c r="D325" s="664">
        <v>0.8</v>
      </c>
      <c r="E325" s="653">
        <v>0.3</v>
      </c>
      <c r="F325" s="91"/>
    </row>
    <row r="326" spans="1:6" s="114" customFormat="1" ht="13.2" hidden="1" outlineLevel="2">
      <c r="A326" s="113"/>
      <c r="B326" s="646" t="s">
        <v>1415</v>
      </c>
      <c r="C326" s="704">
        <v>42</v>
      </c>
      <c r="D326" s="664"/>
      <c r="E326" s="653">
        <v>0.3</v>
      </c>
      <c r="F326" s="91"/>
    </row>
    <row r="327" spans="1:6" s="114" customFormat="1" ht="13.2" hidden="1" outlineLevel="2">
      <c r="A327" s="113"/>
      <c r="B327" s="646" t="s">
        <v>1416</v>
      </c>
      <c r="C327" s="704">
        <v>58</v>
      </c>
      <c r="D327" s="664"/>
      <c r="E327" s="653">
        <v>0.3</v>
      </c>
      <c r="F327" s="91"/>
    </row>
    <row r="328" spans="1:6" s="114" customFormat="1" ht="13.2" hidden="1" outlineLevel="2">
      <c r="A328" s="113"/>
      <c r="B328" s="646" t="s">
        <v>1417</v>
      </c>
      <c r="C328" s="704">
        <v>22</v>
      </c>
      <c r="D328" s="664"/>
      <c r="E328" s="653">
        <v>0.3</v>
      </c>
      <c r="F328" s="91"/>
    </row>
    <row r="329" spans="1:6" s="114" customFormat="1" ht="13.2" hidden="1" outlineLevel="2">
      <c r="A329" s="113"/>
      <c r="B329" s="646" t="s">
        <v>1418</v>
      </c>
      <c r="C329" s="704">
        <v>20</v>
      </c>
      <c r="D329" s="664"/>
      <c r="E329" s="653">
        <v>0.3</v>
      </c>
      <c r="F329" s="91"/>
    </row>
    <row r="330" spans="1:6" s="114" customFormat="1" ht="13.2" hidden="1" outlineLevel="2">
      <c r="A330" s="113"/>
      <c r="B330" s="646" t="s">
        <v>1419</v>
      </c>
      <c r="C330" s="704">
        <v>250</v>
      </c>
      <c r="D330" s="664">
        <v>0.9</v>
      </c>
      <c r="E330" s="653">
        <v>0.3</v>
      </c>
      <c r="F330" s="91"/>
    </row>
    <row r="331" spans="1:6" s="114" customFormat="1" ht="13.2" hidden="1" outlineLevel="2">
      <c r="A331" s="113"/>
      <c r="B331" s="646" t="s">
        <v>1420</v>
      </c>
      <c r="C331" s="704">
        <v>285</v>
      </c>
      <c r="D331" s="664">
        <v>0.39</v>
      </c>
      <c r="E331" s="653">
        <v>0.3</v>
      </c>
      <c r="F331" s="91"/>
    </row>
    <row r="332" spans="1:6" s="114" customFormat="1" ht="13.2" hidden="1" outlineLevel="2">
      <c r="A332" s="113"/>
      <c r="B332" s="646" t="s">
        <v>1421</v>
      </c>
      <c r="C332" s="704">
        <v>21</v>
      </c>
      <c r="D332" s="664"/>
      <c r="E332" s="653">
        <v>0.3</v>
      </c>
      <c r="F332" s="91"/>
    </row>
    <row r="333" spans="1:6" s="114" customFormat="1" ht="13.2" hidden="1" outlineLevel="2">
      <c r="A333" s="113"/>
      <c r="B333" s="646" t="s">
        <v>1422</v>
      </c>
      <c r="C333" s="704">
        <v>40</v>
      </c>
      <c r="D333" s="664">
        <v>0.6</v>
      </c>
      <c r="E333" s="653">
        <v>0.3</v>
      </c>
      <c r="F333" s="91"/>
    </row>
    <row r="334" spans="1:6" s="114" customFormat="1" ht="13.2" hidden="1" outlineLevel="2">
      <c r="A334" s="113"/>
      <c r="B334" s="646" t="s">
        <v>1423</v>
      </c>
      <c r="C334" s="704">
        <v>14</v>
      </c>
      <c r="D334" s="664"/>
      <c r="E334" s="653">
        <v>0.3</v>
      </c>
      <c r="F334" s="91"/>
    </row>
    <row r="335" spans="1:6" s="114" customFormat="1" ht="13.2" hidden="1" outlineLevel="2">
      <c r="A335" s="113"/>
      <c r="B335" s="646" t="s">
        <v>1424</v>
      </c>
      <c r="C335" s="704">
        <v>219</v>
      </c>
      <c r="D335" s="664"/>
      <c r="E335" s="653">
        <v>0.3</v>
      </c>
      <c r="F335" s="91"/>
    </row>
    <row r="336" spans="1:6" s="114" customFormat="1" ht="13.2" hidden="1" outlineLevel="2">
      <c r="A336" s="113"/>
      <c r="B336" s="646" t="s">
        <v>1425</v>
      </c>
      <c r="C336" s="704">
        <v>278</v>
      </c>
      <c r="D336" s="664"/>
      <c r="E336" s="653">
        <v>0.3</v>
      </c>
      <c r="F336" s="91"/>
    </row>
    <row r="337" spans="1:6" s="114" customFormat="1" ht="13.2" hidden="1" outlineLevel="2">
      <c r="A337" s="113"/>
      <c r="B337" s="646" t="s">
        <v>1426</v>
      </c>
      <c r="C337" s="704">
        <v>329</v>
      </c>
      <c r="D337" s="664"/>
      <c r="E337" s="653">
        <v>0.3</v>
      </c>
      <c r="F337" s="91"/>
    </row>
    <row r="338" spans="1:6" s="114" customFormat="1" ht="13.2" hidden="1" outlineLevel="2">
      <c r="A338" s="113"/>
      <c r="B338" s="646" t="s">
        <v>1427</v>
      </c>
      <c r="C338" s="704">
        <v>91</v>
      </c>
      <c r="D338" s="664"/>
      <c r="E338" s="653">
        <v>0.3</v>
      </c>
      <c r="F338" s="91"/>
    </row>
    <row r="339" spans="1:6" s="114" customFormat="1" ht="13.2" hidden="1" outlineLevel="2">
      <c r="A339" s="113"/>
      <c r="B339" s="646" t="s">
        <v>1428</v>
      </c>
      <c r="C339" s="704">
        <v>35</v>
      </c>
      <c r="D339" s="664"/>
      <c r="E339" s="653">
        <v>0.3</v>
      </c>
      <c r="F339" s="91"/>
    </row>
    <row r="340" spans="1:6" s="114" customFormat="1" ht="13.2" hidden="1" outlineLevel="2">
      <c r="A340" s="113"/>
      <c r="B340" s="646" t="s">
        <v>1429</v>
      </c>
      <c r="C340" s="704">
        <v>59</v>
      </c>
      <c r="D340" s="664"/>
      <c r="E340" s="653">
        <v>0.3</v>
      </c>
      <c r="F340" s="91"/>
    </row>
    <row r="341" spans="1:6" s="114" customFormat="1" ht="13.2" hidden="1" outlineLevel="2">
      <c r="A341" s="113"/>
      <c r="B341" s="646" t="s">
        <v>1430</v>
      </c>
      <c r="C341" s="704">
        <v>1500</v>
      </c>
      <c r="D341" s="664">
        <v>0</v>
      </c>
      <c r="E341" s="653">
        <v>0.3</v>
      </c>
      <c r="F341" s="91"/>
    </row>
    <row r="342" spans="1:6" s="114" customFormat="1" ht="13.2" hidden="1" outlineLevel="2">
      <c r="A342" s="113"/>
      <c r="B342" s="646" t="s">
        <v>1431</v>
      </c>
      <c r="C342" s="704">
        <v>250</v>
      </c>
      <c r="D342" s="664">
        <v>0.49</v>
      </c>
      <c r="E342" s="653">
        <v>0.3</v>
      </c>
      <c r="F342" s="91"/>
    </row>
    <row r="343" spans="1:6" s="114" customFormat="1" ht="13.2" hidden="1" outlineLevel="2">
      <c r="A343" s="113"/>
      <c r="B343" s="646" t="s">
        <v>1432</v>
      </c>
      <c r="C343" s="704">
        <v>600</v>
      </c>
      <c r="D343" s="664">
        <v>0.56000000000000005</v>
      </c>
      <c r="E343" s="653">
        <v>0.3</v>
      </c>
      <c r="F343" s="91"/>
    </row>
    <row r="344" spans="1:6" s="114" customFormat="1" ht="13.2" hidden="1" outlineLevel="2">
      <c r="A344" s="113"/>
      <c r="B344" s="646" t="s">
        <v>1433</v>
      </c>
      <c r="C344" s="704">
        <v>25</v>
      </c>
      <c r="D344" s="664">
        <v>0.1</v>
      </c>
      <c r="E344" s="653">
        <v>0.3</v>
      </c>
      <c r="F344" s="91"/>
    </row>
    <row r="345" spans="1:6" s="114" customFormat="1" ht="13.2" hidden="1" outlineLevel="2">
      <c r="A345" s="113"/>
      <c r="B345" s="646" t="s">
        <v>1434</v>
      </c>
      <c r="C345" s="704">
        <v>20</v>
      </c>
      <c r="D345" s="664"/>
      <c r="E345" s="653">
        <v>0.3</v>
      </c>
      <c r="F345" s="91"/>
    </row>
    <row r="346" spans="1:6" s="114" customFormat="1" ht="13.2" hidden="1" outlineLevel="2">
      <c r="A346" s="113"/>
      <c r="B346" s="646" t="s">
        <v>1435</v>
      </c>
      <c r="C346" s="704">
        <v>430</v>
      </c>
      <c r="D346" s="664">
        <v>0.3</v>
      </c>
      <c r="E346" s="653">
        <v>0.3</v>
      </c>
      <c r="F346" s="91"/>
    </row>
    <row r="347" spans="1:6" s="114" customFormat="1" ht="13.2" hidden="1" outlineLevel="2">
      <c r="A347" s="113"/>
      <c r="B347" s="646" t="s">
        <v>1436</v>
      </c>
      <c r="C347" s="704">
        <v>45</v>
      </c>
      <c r="D347" s="664">
        <v>0.8</v>
      </c>
      <c r="E347" s="653">
        <v>0.3</v>
      </c>
      <c r="F347" s="91"/>
    </row>
    <row r="348" spans="1:6" s="114" customFormat="1" ht="13.2" hidden="1" outlineLevel="2">
      <c r="A348" s="113"/>
      <c r="B348" s="646" t="s">
        <v>1437</v>
      </c>
      <c r="C348" s="704">
        <v>307</v>
      </c>
      <c r="D348" s="664">
        <v>1</v>
      </c>
      <c r="E348" s="653">
        <v>0.3</v>
      </c>
      <c r="F348" s="91"/>
    </row>
    <row r="349" spans="1:6" s="114" customFormat="1" ht="13.2" hidden="1" outlineLevel="2">
      <c r="A349" s="113"/>
      <c r="B349" s="646" t="s">
        <v>1438</v>
      </c>
      <c r="C349" s="704">
        <v>568</v>
      </c>
      <c r="D349" s="664">
        <v>1</v>
      </c>
      <c r="E349" s="653">
        <v>0.3</v>
      </c>
      <c r="F349" s="91"/>
    </row>
    <row r="350" spans="1:6" s="114" customFormat="1" ht="13.2" hidden="1" outlineLevel="2">
      <c r="A350" s="113"/>
      <c r="B350" s="646" t="s">
        <v>1439</v>
      </c>
      <c r="C350" s="704">
        <v>546</v>
      </c>
      <c r="D350" s="664">
        <v>1</v>
      </c>
      <c r="E350" s="653">
        <v>0.3</v>
      </c>
      <c r="F350" s="91"/>
    </row>
    <row r="351" spans="1:6" s="114" customFormat="1" ht="13.2" hidden="1" outlineLevel="2">
      <c r="A351" s="113"/>
      <c r="B351" s="646" t="s">
        <v>1440</v>
      </c>
      <c r="C351" s="704">
        <v>396</v>
      </c>
      <c r="D351" s="664"/>
      <c r="E351" s="653">
        <v>0.3</v>
      </c>
      <c r="F351" s="91"/>
    </row>
    <row r="352" spans="1:6" s="114" customFormat="1" ht="13.2" hidden="1" outlineLevel="2">
      <c r="A352" s="113"/>
      <c r="B352" s="646" t="s">
        <v>1441</v>
      </c>
      <c r="C352" s="704">
        <v>228</v>
      </c>
      <c r="D352" s="664"/>
      <c r="E352" s="653">
        <v>0.3</v>
      </c>
      <c r="F352" s="91"/>
    </row>
    <row r="353" spans="1:17" s="114" customFormat="1" ht="13.2" hidden="1" outlineLevel="2">
      <c r="A353" s="113"/>
      <c r="B353" s="646" t="s">
        <v>1442</v>
      </c>
      <c r="C353" s="704">
        <v>192</v>
      </c>
      <c r="D353" s="664">
        <v>1.37</v>
      </c>
      <c r="E353" s="653">
        <v>0.3</v>
      </c>
      <c r="F353" s="91"/>
    </row>
    <row r="354" spans="1:17" s="114" customFormat="1" ht="13.2" hidden="1" outlineLevel="2">
      <c r="A354" s="113"/>
      <c r="B354" s="646" t="s">
        <v>1443</v>
      </c>
      <c r="C354" s="704">
        <v>502</v>
      </c>
      <c r="D354" s="664"/>
      <c r="E354" s="653">
        <v>0.3</v>
      </c>
      <c r="F354" s="91"/>
    </row>
    <row r="355" spans="1:17" s="114" customFormat="1" ht="13.2" hidden="1" outlineLevel="2">
      <c r="A355" s="113"/>
      <c r="B355" s="646" t="s">
        <v>1444</v>
      </c>
      <c r="C355" s="704">
        <v>590</v>
      </c>
      <c r="D355" s="664"/>
      <c r="E355" s="653">
        <v>0.3</v>
      </c>
      <c r="F355" s="91"/>
    </row>
    <row r="356" spans="1:17" s="114" customFormat="1" ht="13.2" hidden="1" outlineLevel="2">
      <c r="A356" s="113"/>
      <c r="B356" s="646" t="s">
        <v>1445</v>
      </c>
      <c r="C356" s="704">
        <v>47</v>
      </c>
      <c r="D356" s="664">
        <v>0.37</v>
      </c>
      <c r="E356" s="653">
        <v>0.3</v>
      </c>
      <c r="F356" s="91"/>
    </row>
    <row r="357" spans="1:17" s="114" customFormat="1" ht="13.2" hidden="1" outlineLevel="2">
      <c r="A357" s="113"/>
      <c r="B357" s="646" t="s">
        <v>1446</v>
      </c>
      <c r="C357" s="704">
        <v>227</v>
      </c>
      <c r="D357" s="664"/>
      <c r="E357" s="653">
        <v>0.3</v>
      </c>
      <c r="F357" s="91"/>
    </row>
    <row r="358" spans="1:17" s="114" customFormat="1" ht="13.2" hidden="1" outlineLevel="2">
      <c r="A358" s="113"/>
      <c r="B358" s="646" t="s">
        <v>1447</v>
      </c>
      <c r="C358" s="704">
        <v>153</v>
      </c>
      <c r="D358" s="664"/>
      <c r="E358" s="653">
        <v>0.3</v>
      </c>
      <c r="F358" s="91"/>
    </row>
    <row r="359" spans="1:17" s="114" customFormat="1" ht="13.2" hidden="1" outlineLevel="2">
      <c r="A359" s="113"/>
      <c r="B359" s="647"/>
      <c r="C359" s="714"/>
      <c r="D359" s="665"/>
      <c r="E359" s="656"/>
      <c r="F359" s="91"/>
    </row>
    <row r="360" spans="1:17" s="114" customFormat="1" ht="13.2" hidden="1" outlineLevel="2">
      <c r="A360" s="113"/>
      <c r="B360" s="91"/>
      <c r="C360" s="91"/>
      <c r="D360" s="91"/>
      <c r="E360" s="91"/>
      <c r="F360" s="91"/>
      <c r="G360" s="91"/>
    </row>
    <row r="361" spans="1:17" ht="15" customHeight="1"/>
    <row r="362" spans="1:17" ht="15.6" collapsed="1">
      <c r="B362" s="2878" t="s">
        <v>197</v>
      </c>
      <c r="C362" s="2879"/>
      <c r="D362" s="2879"/>
      <c r="E362" s="2879"/>
      <c r="F362" s="2879"/>
      <c r="G362" s="2879"/>
      <c r="H362" s="2879"/>
      <c r="I362" s="2879"/>
      <c r="J362" s="2879"/>
      <c r="K362" s="2879"/>
      <c r="L362" s="2879"/>
      <c r="M362" s="2879"/>
      <c r="N362" s="2879"/>
      <c r="O362" s="2880"/>
    </row>
    <row r="363" spans="1:17" hidden="1" outlineLevel="1"/>
    <row r="364" spans="1:17" ht="52.8" hidden="1" outlineLevel="1">
      <c r="B364" s="728" t="s">
        <v>680</v>
      </c>
      <c r="C364" s="738"/>
      <c r="D364" s="697" t="s">
        <v>393</v>
      </c>
      <c r="E364" s="697" t="s">
        <v>394</v>
      </c>
      <c r="F364" s="697" t="s">
        <v>395</v>
      </c>
      <c r="G364" s="697" t="s">
        <v>396</v>
      </c>
      <c r="H364" s="697" t="s">
        <v>397</v>
      </c>
      <c r="I364" s="697" t="s">
        <v>398</v>
      </c>
      <c r="J364" s="697" t="s">
        <v>399</v>
      </c>
      <c r="K364" s="697" t="s">
        <v>400</v>
      </c>
      <c r="L364" s="697" t="s">
        <v>401</v>
      </c>
      <c r="M364" s="697" t="s">
        <v>402</v>
      </c>
      <c r="N364" s="697" t="s">
        <v>403</v>
      </c>
      <c r="O364" s="697" t="s">
        <v>404</v>
      </c>
      <c r="P364" s="697" t="s">
        <v>405</v>
      </c>
      <c r="Q364" s="697" t="s">
        <v>312</v>
      </c>
    </row>
    <row r="365" spans="1:17" ht="13.2" hidden="1" outlineLevel="1">
      <c r="B365" s="738" t="s">
        <v>406</v>
      </c>
      <c r="C365" s="643" t="s">
        <v>679</v>
      </c>
      <c r="D365" s="738">
        <v>1</v>
      </c>
      <c r="E365" s="738">
        <f t="shared" ref="E365:Q365" si="12">D365+1</f>
        <v>2</v>
      </c>
      <c r="F365" s="738">
        <f t="shared" si="12"/>
        <v>3</v>
      </c>
      <c r="G365" s="738">
        <f t="shared" si="12"/>
        <v>4</v>
      </c>
      <c r="H365" s="738">
        <f t="shared" si="12"/>
        <v>5</v>
      </c>
      <c r="I365" s="738">
        <f t="shared" si="12"/>
        <v>6</v>
      </c>
      <c r="J365" s="738">
        <f t="shared" si="12"/>
        <v>7</v>
      </c>
      <c r="K365" s="738">
        <f t="shared" si="12"/>
        <v>8</v>
      </c>
      <c r="L365" s="738">
        <f t="shared" si="12"/>
        <v>9</v>
      </c>
      <c r="M365" s="738">
        <f t="shared" si="12"/>
        <v>10</v>
      </c>
      <c r="N365" s="738">
        <f t="shared" si="12"/>
        <v>11</v>
      </c>
      <c r="O365" s="738">
        <f t="shared" si="12"/>
        <v>12</v>
      </c>
      <c r="P365" s="738">
        <f t="shared" si="12"/>
        <v>13</v>
      </c>
      <c r="Q365" s="683">
        <f t="shared" si="12"/>
        <v>14</v>
      </c>
    </row>
    <row r="366" spans="1:17" ht="13.2" hidden="1" outlineLevel="1">
      <c r="B366" s="683" t="s">
        <v>382</v>
      </c>
      <c r="C366" s="683">
        <v>1</v>
      </c>
      <c r="D366" s="671">
        <v>102.6</v>
      </c>
      <c r="E366" s="689">
        <v>172.48</v>
      </c>
      <c r="F366" s="689">
        <v>165.983</v>
      </c>
      <c r="G366" s="689">
        <v>161.69999999999999</v>
      </c>
      <c r="H366" s="689">
        <v>69.42</v>
      </c>
      <c r="I366" s="689">
        <v>149.76</v>
      </c>
      <c r="J366" s="689">
        <v>127.4</v>
      </c>
      <c r="K366" s="689">
        <v>0.5</v>
      </c>
      <c r="L366" s="689">
        <v>157.41</v>
      </c>
      <c r="M366" s="689">
        <v>46.08</v>
      </c>
      <c r="N366" s="689">
        <v>57.76</v>
      </c>
      <c r="O366" s="689">
        <v>39.200000000000003</v>
      </c>
      <c r="P366" s="689">
        <v>15</v>
      </c>
      <c r="Q366" s="690">
        <f t="shared" ref="Q366:Q388" si="13">J366</f>
        <v>127.4</v>
      </c>
    </row>
    <row r="367" spans="1:17" ht="13.2" hidden="1" outlineLevel="1">
      <c r="B367" s="667" t="s">
        <v>281</v>
      </c>
      <c r="C367" s="667">
        <v>2</v>
      </c>
      <c r="D367" s="672">
        <v>102.6</v>
      </c>
      <c r="E367" s="669">
        <v>172.48</v>
      </c>
      <c r="F367" s="669">
        <v>149.49</v>
      </c>
      <c r="G367" s="669">
        <v>161.69999999999999</v>
      </c>
      <c r="H367" s="669">
        <v>69.42</v>
      </c>
      <c r="I367" s="669">
        <v>168.3</v>
      </c>
      <c r="J367" s="669">
        <v>127.4</v>
      </c>
      <c r="K367" s="669">
        <v>0.5</v>
      </c>
      <c r="L367" s="669">
        <v>157.41</v>
      </c>
      <c r="M367" s="669">
        <v>46.08</v>
      </c>
      <c r="N367" s="669">
        <v>57.76</v>
      </c>
      <c r="O367" s="669">
        <v>39.200000000000003</v>
      </c>
      <c r="P367" s="669">
        <v>5.94</v>
      </c>
      <c r="Q367" s="680">
        <f t="shared" si="13"/>
        <v>127.4</v>
      </c>
    </row>
    <row r="368" spans="1:17" ht="13.2" hidden="1" outlineLevel="1">
      <c r="B368" s="667" t="s">
        <v>282</v>
      </c>
      <c r="C368" s="667">
        <v>3</v>
      </c>
      <c r="D368" s="672">
        <v>102.6</v>
      </c>
      <c r="E368" s="669">
        <v>172.48</v>
      </c>
      <c r="F368" s="669">
        <v>155.80000000000001</v>
      </c>
      <c r="G368" s="669">
        <v>161.69999999999999</v>
      </c>
      <c r="H368" s="669">
        <v>144.06</v>
      </c>
      <c r="I368" s="669">
        <v>189.09</v>
      </c>
      <c r="J368" s="669">
        <v>127.4</v>
      </c>
      <c r="K368" s="669">
        <v>0.5</v>
      </c>
      <c r="L368" s="669">
        <v>157.41</v>
      </c>
      <c r="M368" s="669">
        <v>46.08</v>
      </c>
      <c r="N368" s="669">
        <v>62.4</v>
      </c>
      <c r="O368" s="669">
        <v>68.62</v>
      </c>
      <c r="P368" s="669">
        <v>6.44</v>
      </c>
      <c r="Q368" s="680">
        <f t="shared" si="13"/>
        <v>127.4</v>
      </c>
    </row>
    <row r="369" spans="2:17" ht="13.2" hidden="1" outlineLevel="1">
      <c r="B369" s="667" t="s">
        <v>203</v>
      </c>
      <c r="C369" s="667">
        <v>4</v>
      </c>
      <c r="D369" s="672">
        <v>102.6</v>
      </c>
      <c r="E369" s="669">
        <v>172.48</v>
      </c>
      <c r="F369" s="669">
        <v>147</v>
      </c>
      <c r="G369" s="669">
        <v>161.69999999999999</v>
      </c>
      <c r="H369" s="669">
        <v>85</v>
      </c>
      <c r="I369" s="669">
        <v>157.78</v>
      </c>
      <c r="J369" s="669">
        <v>127.4</v>
      </c>
      <c r="K369" s="669">
        <v>0.5</v>
      </c>
      <c r="L369" s="669">
        <v>157.41</v>
      </c>
      <c r="M369" s="669">
        <v>46.08</v>
      </c>
      <c r="N369" s="669">
        <v>45.6</v>
      </c>
      <c r="O369" s="669">
        <v>39.200000000000003</v>
      </c>
      <c r="P369" s="669">
        <v>15</v>
      </c>
      <c r="Q369" s="680">
        <f t="shared" si="13"/>
        <v>127.4</v>
      </c>
    </row>
    <row r="370" spans="2:17" ht="13.2" hidden="1" outlineLevel="1">
      <c r="B370" s="667" t="s">
        <v>391</v>
      </c>
      <c r="C370" s="667">
        <v>5</v>
      </c>
      <c r="D370" s="672">
        <v>102.6</v>
      </c>
      <c r="E370" s="669">
        <v>172.48</v>
      </c>
      <c r="F370" s="669">
        <v>171</v>
      </c>
      <c r="G370" s="669">
        <v>169</v>
      </c>
      <c r="H370" s="669">
        <v>95.06</v>
      </c>
      <c r="I370" s="669">
        <v>143</v>
      </c>
      <c r="J370" s="669">
        <v>129</v>
      </c>
      <c r="K370" s="669">
        <v>0.5</v>
      </c>
      <c r="L370" s="669">
        <v>157.41</v>
      </c>
      <c r="M370" s="669">
        <v>46.08</v>
      </c>
      <c r="N370" s="669">
        <v>40.950000000000003</v>
      </c>
      <c r="O370" s="669">
        <v>39.200000000000003</v>
      </c>
      <c r="P370" s="669">
        <v>8.68</v>
      </c>
      <c r="Q370" s="680">
        <f t="shared" si="13"/>
        <v>129</v>
      </c>
    </row>
    <row r="371" spans="2:17" ht="13.2" hidden="1" outlineLevel="1">
      <c r="B371" s="667" t="s">
        <v>384</v>
      </c>
      <c r="C371" s="667">
        <v>6</v>
      </c>
      <c r="D371" s="672">
        <v>102.6</v>
      </c>
      <c r="E371" s="669">
        <v>172.48</v>
      </c>
      <c r="F371" s="669">
        <v>112.1</v>
      </c>
      <c r="G371" s="669">
        <v>161.69999999999999</v>
      </c>
      <c r="H371" s="669">
        <v>30.42</v>
      </c>
      <c r="I371" s="669">
        <v>32.369999999999997</v>
      </c>
      <c r="J371" s="669">
        <v>93.06</v>
      </c>
      <c r="K371" s="669">
        <v>0.5</v>
      </c>
      <c r="L371" s="669">
        <v>157.41</v>
      </c>
      <c r="M371" s="669">
        <v>45.14</v>
      </c>
      <c r="N371" s="669">
        <v>64.08</v>
      </c>
      <c r="O371" s="669">
        <v>39.200000000000003</v>
      </c>
      <c r="P371" s="669">
        <v>15</v>
      </c>
      <c r="Q371" s="680">
        <f t="shared" si="13"/>
        <v>93.06</v>
      </c>
    </row>
    <row r="372" spans="2:17" ht="13.2" hidden="1" outlineLevel="1">
      <c r="B372" s="667" t="s">
        <v>385</v>
      </c>
      <c r="C372" s="667">
        <v>7</v>
      </c>
      <c r="D372" s="672">
        <v>102.6</v>
      </c>
      <c r="E372" s="669">
        <v>200</v>
      </c>
      <c r="F372" s="669">
        <v>172.26</v>
      </c>
      <c r="G372" s="669">
        <v>157.41</v>
      </c>
      <c r="H372" s="669">
        <v>93.1</v>
      </c>
      <c r="I372" s="669">
        <v>154.85</v>
      </c>
      <c r="J372" s="669">
        <v>123.48</v>
      </c>
      <c r="K372" s="669">
        <v>0.2</v>
      </c>
      <c r="L372" s="669">
        <v>157.41</v>
      </c>
      <c r="M372" s="669">
        <v>46.08</v>
      </c>
      <c r="N372" s="669">
        <v>58.93</v>
      </c>
      <c r="O372" s="669">
        <v>34.5</v>
      </c>
      <c r="P372" s="669">
        <v>15</v>
      </c>
      <c r="Q372" s="680">
        <f t="shared" si="13"/>
        <v>123.48</v>
      </c>
    </row>
    <row r="373" spans="2:17" ht="13.2" hidden="1" outlineLevel="1">
      <c r="B373" s="667" t="s">
        <v>250</v>
      </c>
      <c r="C373" s="667">
        <v>8</v>
      </c>
      <c r="D373" s="672">
        <v>101.46</v>
      </c>
      <c r="E373" s="669">
        <v>172.48</v>
      </c>
      <c r="F373" s="669">
        <v>191.07</v>
      </c>
      <c r="G373" s="669">
        <v>168.78</v>
      </c>
      <c r="H373" s="669">
        <v>123.75</v>
      </c>
      <c r="I373" s="669">
        <v>148.5</v>
      </c>
      <c r="J373" s="669">
        <v>135.36000000000001</v>
      </c>
      <c r="K373" s="669">
        <v>1.5</v>
      </c>
      <c r="L373" s="669">
        <v>157.41</v>
      </c>
      <c r="M373" s="669">
        <v>46.08</v>
      </c>
      <c r="N373" s="669">
        <v>57.76</v>
      </c>
      <c r="O373" s="669">
        <v>39.200000000000003</v>
      </c>
      <c r="P373" s="669">
        <v>38.880000000000003</v>
      </c>
      <c r="Q373" s="680">
        <f t="shared" si="13"/>
        <v>135.36000000000001</v>
      </c>
    </row>
    <row r="374" spans="2:17" ht="13.2" hidden="1" outlineLevel="1">
      <c r="B374" s="667" t="s">
        <v>251</v>
      </c>
      <c r="C374" s="667">
        <v>9</v>
      </c>
      <c r="D374" s="672">
        <v>102.6</v>
      </c>
      <c r="E374" s="669">
        <v>172.48</v>
      </c>
      <c r="F374" s="669">
        <v>165.983</v>
      </c>
      <c r="G374" s="669">
        <v>161.69999999999999</v>
      </c>
      <c r="H374" s="669">
        <v>69.42</v>
      </c>
      <c r="I374" s="669">
        <v>149.76</v>
      </c>
      <c r="J374" s="669">
        <v>127.4</v>
      </c>
      <c r="K374" s="669">
        <v>0.5</v>
      </c>
      <c r="L374" s="669">
        <v>157.41</v>
      </c>
      <c r="M374" s="669">
        <v>46.08</v>
      </c>
      <c r="N374" s="669">
        <v>57.76</v>
      </c>
      <c r="O374" s="669">
        <v>39.200000000000003</v>
      </c>
      <c r="P374" s="669">
        <v>15</v>
      </c>
      <c r="Q374" s="680">
        <f t="shared" si="13"/>
        <v>127.4</v>
      </c>
    </row>
    <row r="375" spans="2:17" ht="13.2" hidden="1" outlineLevel="1">
      <c r="B375" s="667" t="s">
        <v>252</v>
      </c>
      <c r="C375" s="667">
        <v>10</v>
      </c>
      <c r="D375" s="672">
        <v>102.6</v>
      </c>
      <c r="E375" s="669">
        <v>172.48</v>
      </c>
      <c r="F375" s="669">
        <v>165.62</v>
      </c>
      <c r="G375" s="669">
        <v>165</v>
      </c>
      <c r="H375" s="669">
        <v>127.71</v>
      </c>
      <c r="I375" s="669">
        <v>146.52000000000001</v>
      </c>
      <c r="J375" s="669">
        <v>118.34</v>
      </c>
      <c r="K375" s="669">
        <v>0.5</v>
      </c>
      <c r="L375" s="669">
        <v>157.41</v>
      </c>
      <c r="M375" s="669">
        <v>46.08</v>
      </c>
      <c r="N375" s="669">
        <v>32.83</v>
      </c>
      <c r="O375" s="669">
        <v>39.200000000000003</v>
      </c>
      <c r="P375" s="669">
        <v>15</v>
      </c>
      <c r="Q375" s="680">
        <f t="shared" si="13"/>
        <v>118.34</v>
      </c>
    </row>
    <row r="376" spans="2:17" ht="13.2" hidden="1" outlineLevel="1">
      <c r="B376" s="667" t="s">
        <v>214</v>
      </c>
      <c r="C376" s="667">
        <v>11</v>
      </c>
      <c r="D376" s="672">
        <v>117.81</v>
      </c>
      <c r="E376" s="669">
        <v>172.48</v>
      </c>
      <c r="F376" s="669">
        <v>184</v>
      </c>
      <c r="G376" s="669">
        <v>167.58</v>
      </c>
      <c r="H376" s="669">
        <v>69.42</v>
      </c>
      <c r="I376" s="669">
        <v>158.4</v>
      </c>
      <c r="J376" s="669">
        <v>118.58</v>
      </c>
      <c r="K376" s="669">
        <v>0.2</v>
      </c>
      <c r="L376" s="669">
        <v>157.41</v>
      </c>
      <c r="M376" s="669">
        <v>46.08</v>
      </c>
      <c r="N376" s="669">
        <v>57.76</v>
      </c>
      <c r="O376" s="669">
        <v>39.200000000000003</v>
      </c>
      <c r="P376" s="669">
        <v>15</v>
      </c>
      <c r="Q376" s="680">
        <f t="shared" si="13"/>
        <v>118.58</v>
      </c>
    </row>
    <row r="377" spans="2:17" ht="13.2" hidden="1" outlineLevel="1">
      <c r="B377" s="667" t="s">
        <v>237</v>
      </c>
      <c r="C377" s="667">
        <v>12</v>
      </c>
      <c r="D377" s="672">
        <v>102.6</v>
      </c>
      <c r="E377" s="669">
        <v>155.80000000000001</v>
      </c>
      <c r="F377" s="669">
        <v>165.983</v>
      </c>
      <c r="G377" s="669">
        <v>161.69999999999999</v>
      </c>
      <c r="H377" s="669">
        <v>69.42</v>
      </c>
      <c r="I377" s="669">
        <v>149.76</v>
      </c>
      <c r="J377" s="669">
        <v>127.4</v>
      </c>
      <c r="K377" s="669">
        <v>0.5</v>
      </c>
      <c r="L377" s="669">
        <v>157.41</v>
      </c>
      <c r="M377" s="669">
        <v>46.08</v>
      </c>
      <c r="N377" s="669">
        <v>57.76</v>
      </c>
      <c r="O377" s="669">
        <v>39.200000000000003</v>
      </c>
      <c r="P377" s="669">
        <v>14</v>
      </c>
      <c r="Q377" s="680">
        <f t="shared" si="13"/>
        <v>127.4</v>
      </c>
    </row>
    <row r="378" spans="2:17" ht="13.2" hidden="1" outlineLevel="1">
      <c r="B378" s="667" t="s">
        <v>273</v>
      </c>
      <c r="C378" s="667">
        <v>13</v>
      </c>
      <c r="D378" s="672">
        <v>102.6</v>
      </c>
      <c r="E378" s="669">
        <v>172.48</v>
      </c>
      <c r="F378" s="669">
        <v>165.983</v>
      </c>
      <c r="G378" s="669">
        <v>161.69999999999999</v>
      </c>
      <c r="H378" s="669">
        <v>69.42</v>
      </c>
      <c r="I378" s="669">
        <v>149.76</v>
      </c>
      <c r="J378" s="669">
        <v>127.4</v>
      </c>
      <c r="K378" s="669">
        <v>0.5</v>
      </c>
      <c r="L378" s="669">
        <v>157.41</v>
      </c>
      <c r="M378" s="669">
        <v>46.08</v>
      </c>
      <c r="N378" s="669">
        <v>46.74</v>
      </c>
      <c r="O378" s="669">
        <v>39.200000000000003</v>
      </c>
      <c r="P378" s="669">
        <v>15</v>
      </c>
      <c r="Q378" s="680">
        <f t="shared" si="13"/>
        <v>127.4</v>
      </c>
    </row>
    <row r="379" spans="2:17" ht="13.2" hidden="1" outlineLevel="1">
      <c r="B379" s="667" t="s">
        <v>286</v>
      </c>
      <c r="C379" s="667">
        <v>14</v>
      </c>
      <c r="D379" s="672">
        <v>102.6</v>
      </c>
      <c r="E379" s="669">
        <v>172.48</v>
      </c>
      <c r="F379" s="669">
        <v>163.35</v>
      </c>
      <c r="G379" s="669">
        <v>164.34</v>
      </c>
      <c r="H379" s="669">
        <v>115.64</v>
      </c>
      <c r="I379" s="669">
        <v>149.76</v>
      </c>
      <c r="J379" s="669">
        <v>136.62</v>
      </c>
      <c r="K379" s="669">
        <v>0.5</v>
      </c>
      <c r="L379" s="669">
        <v>157.41</v>
      </c>
      <c r="M379" s="669">
        <v>46.08</v>
      </c>
      <c r="N379" s="669">
        <v>57.76</v>
      </c>
      <c r="O379" s="669">
        <v>39.200000000000003</v>
      </c>
      <c r="P379" s="669">
        <v>15</v>
      </c>
      <c r="Q379" s="680">
        <f t="shared" si="13"/>
        <v>136.62</v>
      </c>
    </row>
    <row r="380" spans="2:17" ht="13.2" hidden="1" outlineLevel="1">
      <c r="B380" s="667" t="s">
        <v>174</v>
      </c>
      <c r="C380" s="667">
        <v>15</v>
      </c>
      <c r="D380" s="672">
        <v>102.6</v>
      </c>
      <c r="E380" s="669">
        <v>184</v>
      </c>
      <c r="F380" s="669">
        <v>144.53</v>
      </c>
      <c r="G380" s="669">
        <v>161.69999999999999</v>
      </c>
      <c r="H380" s="669">
        <v>69.42</v>
      </c>
      <c r="I380" s="669">
        <v>188</v>
      </c>
      <c r="J380" s="669">
        <v>86</v>
      </c>
      <c r="K380" s="669">
        <v>0.5</v>
      </c>
      <c r="L380" s="669">
        <v>157.41</v>
      </c>
      <c r="M380" s="669">
        <v>46.08</v>
      </c>
      <c r="N380" s="669">
        <v>48.3</v>
      </c>
      <c r="O380" s="669">
        <v>40.81</v>
      </c>
      <c r="P380" s="669">
        <v>15</v>
      </c>
      <c r="Q380" s="680">
        <f t="shared" si="13"/>
        <v>86</v>
      </c>
    </row>
    <row r="381" spans="2:17" ht="13.2" hidden="1" outlineLevel="1">
      <c r="B381" s="667" t="s">
        <v>1448</v>
      </c>
      <c r="C381" s="667">
        <v>16</v>
      </c>
      <c r="D381" s="672">
        <v>105.45</v>
      </c>
      <c r="E381" s="669">
        <v>172.48</v>
      </c>
      <c r="F381" s="669">
        <v>162.36000000000001</v>
      </c>
      <c r="G381" s="669">
        <v>161.69999999999999</v>
      </c>
      <c r="H381" s="669">
        <v>87.4</v>
      </c>
      <c r="I381" s="669">
        <v>149.76</v>
      </c>
      <c r="J381" s="669">
        <v>138.6</v>
      </c>
      <c r="K381" s="669">
        <v>0.5</v>
      </c>
      <c r="L381" s="669">
        <v>157.41</v>
      </c>
      <c r="M381" s="669">
        <v>88.29</v>
      </c>
      <c r="N381" s="669">
        <v>57.76</v>
      </c>
      <c r="O381" s="669">
        <v>39.200000000000003</v>
      </c>
      <c r="P381" s="669">
        <v>15</v>
      </c>
      <c r="Q381" s="680">
        <f t="shared" si="13"/>
        <v>138.6</v>
      </c>
    </row>
    <row r="382" spans="2:17" ht="13.2" hidden="1" outlineLevel="1">
      <c r="B382" s="667" t="s">
        <v>390</v>
      </c>
      <c r="C382" s="667">
        <v>17</v>
      </c>
      <c r="D382" s="672">
        <v>102.6</v>
      </c>
      <c r="E382" s="669">
        <v>172.48</v>
      </c>
      <c r="F382" s="669">
        <v>151.47</v>
      </c>
      <c r="G382" s="669">
        <v>161.69999999999999</v>
      </c>
      <c r="H382" s="669">
        <v>58.59</v>
      </c>
      <c r="I382" s="669">
        <v>149.76</v>
      </c>
      <c r="J382" s="669">
        <v>127.4</v>
      </c>
      <c r="K382" s="669">
        <v>0.5</v>
      </c>
      <c r="L382" s="669">
        <v>157.41</v>
      </c>
      <c r="M382" s="669">
        <v>39.06</v>
      </c>
      <c r="N382" s="669">
        <v>68.64</v>
      </c>
      <c r="O382" s="669">
        <v>39.200000000000003</v>
      </c>
      <c r="P382" s="669">
        <v>15</v>
      </c>
      <c r="Q382" s="680">
        <f t="shared" si="13"/>
        <v>127.4</v>
      </c>
    </row>
    <row r="383" spans="2:17" ht="13.2" hidden="1" outlineLevel="1">
      <c r="B383" s="667" t="s">
        <v>261</v>
      </c>
      <c r="C383" s="667">
        <v>18</v>
      </c>
      <c r="D383" s="672">
        <v>102.6</v>
      </c>
      <c r="E383" s="669">
        <v>172.48</v>
      </c>
      <c r="F383" s="669">
        <v>163.93</v>
      </c>
      <c r="G383" s="669">
        <v>153.26</v>
      </c>
      <c r="H383" s="669">
        <v>83.66</v>
      </c>
      <c r="I383" s="669">
        <v>149.76</v>
      </c>
      <c r="J383" s="669">
        <v>132.30000000000001</v>
      </c>
      <c r="K383" s="669">
        <v>1.5</v>
      </c>
      <c r="L383" s="669">
        <v>157.41</v>
      </c>
      <c r="M383" s="669">
        <v>57.67</v>
      </c>
      <c r="N383" s="669">
        <v>57.76</v>
      </c>
      <c r="O383" s="669">
        <v>39.200000000000003</v>
      </c>
      <c r="P383" s="669">
        <v>15</v>
      </c>
      <c r="Q383" s="680">
        <f t="shared" si="13"/>
        <v>132.30000000000001</v>
      </c>
    </row>
    <row r="384" spans="2:17" ht="13.2" hidden="1" outlineLevel="1">
      <c r="B384" s="667" t="s">
        <v>379</v>
      </c>
      <c r="C384" s="667">
        <v>19</v>
      </c>
      <c r="D384" s="672">
        <v>102.6</v>
      </c>
      <c r="E384" s="669">
        <v>172.48</v>
      </c>
      <c r="F384" s="669">
        <v>136.22</v>
      </c>
      <c r="G384" s="669">
        <v>161.69999999999999</v>
      </c>
      <c r="H384" s="669">
        <v>47.88</v>
      </c>
      <c r="I384" s="669">
        <v>91.8</v>
      </c>
      <c r="J384" s="669">
        <v>127.4</v>
      </c>
      <c r="K384" s="669">
        <v>0.5</v>
      </c>
      <c r="L384" s="669">
        <v>157.41</v>
      </c>
      <c r="M384" s="669">
        <v>26.46</v>
      </c>
      <c r="N384" s="669">
        <v>69.42</v>
      </c>
      <c r="O384" s="669">
        <v>24.48</v>
      </c>
      <c r="P384" s="669">
        <v>5</v>
      </c>
      <c r="Q384" s="680">
        <f t="shared" si="13"/>
        <v>127.4</v>
      </c>
    </row>
    <row r="385" spans="2:17" ht="13.2" hidden="1" outlineLevel="1">
      <c r="B385" s="667" t="s">
        <v>380</v>
      </c>
      <c r="C385" s="667">
        <v>20</v>
      </c>
      <c r="D385" s="672">
        <v>97.97</v>
      </c>
      <c r="E385" s="669">
        <v>172.48</v>
      </c>
      <c r="F385" s="669">
        <v>174.24</v>
      </c>
      <c r="G385" s="669">
        <v>153.6</v>
      </c>
      <c r="H385" s="669">
        <v>94.09</v>
      </c>
      <c r="I385" s="669">
        <v>130.56</v>
      </c>
      <c r="J385" s="669">
        <v>133.65</v>
      </c>
      <c r="K385" s="669">
        <v>0.2</v>
      </c>
      <c r="L385" s="669">
        <v>157.41</v>
      </c>
      <c r="M385" s="669">
        <v>73.08</v>
      </c>
      <c r="N385" s="669">
        <v>57.76</v>
      </c>
      <c r="O385" s="669">
        <v>39.200000000000003</v>
      </c>
      <c r="P385" s="669">
        <v>15</v>
      </c>
      <c r="Q385" s="680">
        <f t="shared" si="13"/>
        <v>133.65</v>
      </c>
    </row>
    <row r="386" spans="2:17" ht="13.2" hidden="1" outlineLevel="1">
      <c r="B386" s="667" t="s">
        <v>0</v>
      </c>
      <c r="C386" s="667">
        <v>21</v>
      </c>
      <c r="D386" s="672">
        <v>102.6</v>
      </c>
      <c r="E386" s="669">
        <v>172.48</v>
      </c>
      <c r="F386" s="669">
        <v>160.38</v>
      </c>
      <c r="G386" s="669">
        <v>159.74</v>
      </c>
      <c r="H386" s="669">
        <v>86.48</v>
      </c>
      <c r="I386" s="669">
        <v>168.78</v>
      </c>
      <c r="J386" s="669">
        <v>123.48</v>
      </c>
      <c r="K386" s="669">
        <v>0.5</v>
      </c>
      <c r="L386" s="669">
        <v>157.41</v>
      </c>
      <c r="M386" s="669">
        <v>46.08</v>
      </c>
      <c r="N386" s="669">
        <v>62.37</v>
      </c>
      <c r="O386" s="669">
        <v>37.520000000000003</v>
      </c>
      <c r="P386" s="669">
        <v>29</v>
      </c>
      <c r="Q386" s="680">
        <f t="shared" si="13"/>
        <v>123.48</v>
      </c>
    </row>
    <row r="387" spans="2:17" ht="13.2" hidden="1" outlineLevel="1">
      <c r="B387" s="667" t="s">
        <v>1449</v>
      </c>
      <c r="C387" s="667">
        <v>22</v>
      </c>
      <c r="D387" s="672">
        <v>102.6</v>
      </c>
      <c r="E387" s="669">
        <v>122.55</v>
      </c>
      <c r="F387" s="669">
        <v>165.983</v>
      </c>
      <c r="G387" s="669">
        <v>161.69999999999999</v>
      </c>
      <c r="H387" s="669">
        <v>69.42</v>
      </c>
      <c r="I387" s="669">
        <v>149.76</v>
      </c>
      <c r="J387" s="669">
        <v>127.4</v>
      </c>
      <c r="K387" s="669">
        <v>0.5</v>
      </c>
      <c r="L387" s="669">
        <v>157.41</v>
      </c>
      <c r="M387" s="669">
        <v>46.08</v>
      </c>
      <c r="N387" s="669">
        <v>57.76</v>
      </c>
      <c r="O387" s="669">
        <v>39.200000000000003</v>
      </c>
      <c r="P387" s="669">
        <v>9</v>
      </c>
      <c r="Q387" s="680">
        <f t="shared" si="13"/>
        <v>127.4</v>
      </c>
    </row>
    <row r="388" spans="2:17" ht="13.2" hidden="1" outlineLevel="1">
      <c r="B388" s="667" t="s">
        <v>86</v>
      </c>
      <c r="C388" s="667">
        <v>23</v>
      </c>
      <c r="D388" s="672">
        <v>102.6</v>
      </c>
      <c r="E388" s="669">
        <v>172.48</v>
      </c>
      <c r="F388" s="669">
        <v>140.16</v>
      </c>
      <c r="G388" s="669">
        <v>161.69999999999999</v>
      </c>
      <c r="H388" s="669">
        <v>111.02</v>
      </c>
      <c r="I388" s="669">
        <v>157.78</v>
      </c>
      <c r="J388" s="669">
        <v>127.4</v>
      </c>
      <c r="K388" s="669">
        <v>0.5</v>
      </c>
      <c r="L388" s="669">
        <v>157.41</v>
      </c>
      <c r="M388" s="669">
        <v>46.08</v>
      </c>
      <c r="N388" s="669">
        <v>42.84</v>
      </c>
      <c r="O388" s="669">
        <v>39.200000000000003</v>
      </c>
      <c r="P388" s="669">
        <v>15</v>
      </c>
      <c r="Q388" s="680">
        <f t="shared" si="13"/>
        <v>127.4</v>
      </c>
    </row>
    <row r="389" spans="2:17" ht="13.2" hidden="1" outlineLevel="1">
      <c r="B389" s="732"/>
      <c r="C389" s="732"/>
      <c r="D389" s="673"/>
      <c r="E389" s="670"/>
      <c r="F389" s="670"/>
      <c r="G389" s="670"/>
      <c r="H389" s="670"/>
      <c r="I389" s="670"/>
      <c r="J389" s="670"/>
      <c r="K389" s="670"/>
      <c r="L389" s="670"/>
      <c r="M389" s="670"/>
      <c r="N389" s="670"/>
      <c r="O389" s="670"/>
      <c r="P389" s="670"/>
      <c r="Q389" s="692"/>
    </row>
    <row r="390" spans="2:17" ht="13.2" hidden="1" outlineLevel="1">
      <c r="B390" s="4"/>
      <c r="C390" s="4"/>
      <c r="D390" s="4"/>
      <c r="E390" s="4"/>
      <c r="F390" s="4"/>
      <c r="G390" s="4"/>
      <c r="H390" s="4"/>
      <c r="I390" s="4"/>
      <c r="J390" s="4"/>
      <c r="K390" s="4"/>
      <c r="L390" s="4"/>
      <c r="M390" s="4"/>
      <c r="N390" s="4"/>
      <c r="O390" s="4"/>
      <c r="P390" s="4"/>
      <c r="Q390" s="4"/>
    </row>
    <row r="391" spans="2:17" ht="13.2" hidden="1" outlineLevel="1">
      <c r="N391" s="4"/>
      <c r="O391" s="4"/>
      <c r="P391" s="4"/>
      <c r="Q391" s="4"/>
    </row>
    <row r="392" spans="2:17" ht="13.2" hidden="1" outlineLevel="1">
      <c r="B392" s="659" t="s">
        <v>681</v>
      </c>
      <c r="C392" s="683"/>
      <c r="D392" s="683"/>
      <c r="E392" s="683"/>
      <c r="F392" s="683"/>
      <c r="G392" s="683"/>
      <c r="H392" s="683"/>
      <c r="I392" s="683"/>
      <c r="J392" s="683"/>
      <c r="K392" s="4"/>
      <c r="L392" s="4"/>
      <c r="M392" s="4"/>
      <c r="N392" s="4"/>
    </row>
    <row r="393" spans="2:17" ht="13.2" hidden="1" outlineLevel="1">
      <c r="B393" s="667"/>
      <c r="C393" s="684" t="s">
        <v>65</v>
      </c>
      <c r="D393" s="684" t="s">
        <v>66</v>
      </c>
      <c r="E393" s="684" t="s">
        <v>67</v>
      </c>
      <c r="F393" s="684" t="s">
        <v>68</v>
      </c>
      <c r="G393" s="684" t="s">
        <v>69</v>
      </c>
      <c r="H393" s="684" t="s">
        <v>70</v>
      </c>
      <c r="I393" s="684" t="s">
        <v>45</v>
      </c>
      <c r="J393" s="684" t="s">
        <v>46</v>
      </c>
      <c r="K393" s="4"/>
      <c r="L393" s="4"/>
      <c r="M393" s="4"/>
      <c r="N393" s="4"/>
    </row>
    <row r="394" spans="2:17" ht="13.2" hidden="1" outlineLevel="1">
      <c r="B394" s="668"/>
      <c r="C394" s="668" t="s">
        <v>33</v>
      </c>
      <c r="D394" s="668" t="s">
        <v>33</v>
      </c>
      <c r="E394" s="668" t="s">
        <v>33</v>
      </c>
      <c r="F394" s="668" t="s">
        <v>33</v>
      </c>
      <c r="G394" s="668" t="s">
        <v>33</v>
      </c>
      <c r="H394" s="668" t="s">
        <v>33</v>
      </c>
      <c r="I394" s="668" t="s">
        <v>33</v>
      </c>
      <c r="J394" s="668" t="s">
        <v>33</v>
      </c>
      <c r="K394" s="4"/>
      <c r="L394" s="4"/>
      <c r="M394" s="4"/>
      <c r="N394" s="4"/>
    </row>
    <row r="395" spans="2:17" ht="13.2" hidden="1" outlineLevel="1">
      <c r="B395" s="645" t="s">
        <v>384</v>
      </c>
      <c r="C395" s="782">
        <v>300</v>
      </c>
      <c r="D395" s="783">
        <v>56</v>
      </c>
      <c r="E395" s="783">
        <v>16</v>
      </c>
      <c r="F395" s="783">
        <v>0</v>
      </c>
      <c r="G395" s="783">
        <v>0</v>
      </c>
      <c r="H395" s="783">
        <v>0</v>
      </c>
      <c r="I395" s="783">
        <v>28</v>
      </c>
      <c r="J395" s="773">
        <v>0</v>
      </c>
      <c r="K395" s="4"/>
      <c r="L395" s="4"/>
      <c r="M395" s="4"/>
      <c r="N395" s="4"/>
    </row>
    <row r="396" spans="2:17" ht="13.2" hidden="1" outlineLevel="1">
      <c r="B396" s="646" t="s">
        <v>1450</v>
      </c>
      <c r="C396" s="784">
        <v>287.10000000000002</v>
      </c>
      <c r="D396" s="771">
        <v>42.9</v>
      </c>
      <c r="E396" s="771">
        <v>0</v>
      </c>
      <c r="F396" s="771">
        <v>0</v>
      </c>
      <c r="G396" s="771">
        <v>0</v>
      </c>
      <c r="H396" s="771">
        <v>0</v>
      </c>
      <c r="I396" s="771">
        <v>0</v>
      </c>
      <c r="J396" s="772">
        <v>0</v>
      </c>
      <c r="K396" s="4"/>
      <c r="L396" s="4"/>
      <c r="M396" s="4"/>
      <c r="N396" s="4"/>
    </row>
    <row r="397" spans="2:17" ht="13.2" hidden="1" outlineLevel="1">
      <c r="B397" s="646" t="s">
        <v>1451</v>
      </c>
      <c r="C397" s="784">
        <v>205.32</v>
      </c>
      <c r="D397" s="771">
        <v>95.58</v>
      </c>
      <c r="E397" s="771">
        <v>0</v>
      </c>
      <c r="F397" s="771">
        <v>0</v>
      </c>
      <c r="G397" s="771">
        <v>0</v>
      </c>
      <c r="H397" s="771">
        <v>53.1</v>
      </c>
      <c r="I397" s="771">
        <v>0</v>
      </c>
      <c r="J397" s="772">
        <v>0</v>
      </c>
      <c r="K397" s="4"/>
      <c r="L397" s="4"/>
      <c r="M397" s="4"/>
      <c r="N397" s="4"/>
    </row>
    <row r="398" spans="2:17" ht="13.2" hidden="1" outlineLevel="1">
      <c r="B398" s="646" t="s">
        <v>1452</v>
      </c>
      <c r="C398" s="784">
        <v>196.67</v>
      </c>
      <c r="D398" s="771">
        <v>0</v>
      </c>
      <c r="E398" s="771">
        <v>0</v>
      </c>
      <c r="F398" s="771">
        <v>47.09</v>
      </c>
      <c r="G398" s="771">
        <v>0</v>
      </c>
      <c r="H398" s="771">
        <v>0</v>
      </c>
      <c r="I398" s="771">
        <v>33.24</v>
      </c>
      <c r="J398" s="772">
        <v>0</v>
      </c>
      <c r="K398" s="4"/>
      <c r="L398" s="4"/>
      <c r="M398" s="4"/>
      <c r="N398" s="4"/>
    </row>
    <row r="399" spans="2:17" ht="13.2" hidden="1" outlineLevel="1">
      <c r="B399" s="646" t="s">
        <v>1453</v>
      </c>
      <c r="C399" s="784">
        <v>168</v>
      </c>
      <c r="D399" s="771">
        <v>19.2</v>
      </c>
      <c r="E399" s="771">
        <v>0</v>
      </c>
      <c r="F399" s="771">
        <v>4.8</v>
      </c>
      <c r="G399" s="771">
        <v>2.4</v>
      </c>
      <c r="H399" s="771">
        <v>4.8</v>
      </c>
      <c r="I399" s="771">
        <v>0</v>
      </c>
      <c r="J399" s="772">
        <v>40.799999999999997</v>
      </c>
      <c r="K399" s="4"/>
      <c r="L399" s="4"/>
      <c r="M399" s="4"/>
      <c r="N399" s="4"/>
    </row>
    <row r="400" spans="2:17" ht="13.2" hidden="1" outlineLevel="1">
      <c r="B400" s="646" t="s">
        <v>1454</v>
      </c>
      <c r="C400" s="784">
        <v>248.13300000000001</v>
      </c>
      <c r="D400" s="771">
        <v>44.298000000000002</v>
      </c>
      <c r="E400" s="771">
        <v>1.284</v>
      </c>
      <c r="F400" s="771">
        <v>3.8519999999999999</v>
      </c>
      <c r="G400" s="771">
        <v>1.605</v>
      </c>
      <c r="H400" s="771">
        <v>8.3460000000000001</v>
      </c>
      <c r="I400" s="771">
        <v>8.3460000000000001</v>
      </c>
      <c r="J400" s="772">
        <v>4.8150000000000004</v>
      </c>
      <c r="K400" s="4"/>
      <c r="L400" s="4"/>
      <c r="M400" s="4"/>
      <c r="N400" s="4"/>
    </row>
    <row r="401" spans="2:14" ht="13.2" hidden="1" outlineLevel="1">
      <c r="B401" s="647"/>
      <c r="C401" s="708"/>
      <c r="D401" s="709"/>
      <c r="E401" s="709"/>
      <c r="F401" s="709"/>
      <c r="G401" s="709"/>
      <c r="H401" s="709"/>
      <c r="I401" s="709"/>
      <c r="J401" s="710"/>
      <c r="K401" s="4"/>
      <c r="L401" s="4"/>
      <c r="M401" s="4"/>
      <c r="N401" s="4"/>
    </row>
    <row r="402" spans="2:14" ht="13.2" hidden="1" outlineLevel="1">
      <c r="B402" s="4"/>
      <c r="C402" s="4"/>
      <c r="D402" s="4"/>
      <c r="E402" s="4"/>
      <c r="F402" s="4"/>
      <c r="G402" s="4"/>
      <c r="H402" s="4"/>
      <c r="I402" s="4"/>
      <c r="J402" s="4"/>
      <c r="K402" s="4"/>
      <c r="L402" s="4"/>
      <c r="M402" s="4"/>
      <c r="N402" s="4"/>
    </row>
    <row r="403" spans="2:14" ht="13.2" hidden="1" outlineLevel="1">
      <c r="B403" s="666" t="s">
        <v>683</v>
      </c>
      <c r="C403" s="683"/>
      <c r="D403" s="683"/>
      <c r="E403" s="683"/>
      <c r="F403" s="683"/>
      <c r="G403" s="683"/>
      <c r="H403" s="683"/>
      <c r="I403" s="683"/>
      <c r="J403" s="683"/>
      <c r="K403" s="4"/>
      <c r="L403" s="4"/>
      <c r="M403" s="4"/>
      <c r="N403" s="4"/>
    </row>
    <row r="404" spans="2:14" ht="13.2" hidden="1" outlineLevel="1">
      <c r="B404" s="737"/>
      <c r="C404" s="684" t="s">
        <v>65</v>
      </c>
      <c r="D404" s="684" t="s">
        <v>66</v>
      </c>
      <c r="E404" s="684" t="s">
        <v>67</v>
      </c>
      <c r="F404" s="684" t="s">
        <v>68</v>
      </c>
      <c r="G404" s="684" t="s">
        <v>69</v>
      </c>
      <c r="H404" s="684" t="s">
        <v>70</v>
      </c>
      <c r="I404" s="684" t="s">
        <v>45</v>
      </c>
      <c r="J404" s="684" t="s">
        <v>46</v>
      </c>
      <c r="K404" s="4"/>
      <c r="L404" s="4"/>
      <c r="M404" s="4"/>
      <c r="N404" s="4"/>
    </row>
    <row r="405" spans="2:14" ht="13.2" hidden="1" outlineLevel="1">
      <c r="B405" s="774"/>
      <c r="C405" s="668" t="s">
        <v>33</v>
      </c>
      <c r="D405" s="668" t="s">
        <v>33</v>
      </c>
      <c r="E405" s="668" t="s">
        <v>33</v>
      </c>
      <c r="F405" s="668" t="s">
        <v>33</v>
      </c>
      <c r="G405" s="668" t="s">
        <v>33</v>
      </c>
      <c r="H405" s="668" t="s">
        <v>33</v>
      </c>
      <c r="I405" s="668" t="s">
        <v>33</v>
      </c>
      <c r="J405" s="668" t="s">
        <v>33</v>
      </c>
      <c r="K405" s="4"/>
      <c r="L405" s="4"/>
      <c r="M405" s="4"/>
      <c r="N405" s="4"/>
    </row>
    <row r="406" spans="2:14" ht="13.2" hidden="1" outlineLevel="1">
      <c r="B406" s="645" t="s">
        <v>1455</v>
      </c>
      <c r="C406" s="782">
        <v>88.69</v>
      </c>
      <c r="D406" s="783">
        <v>28.055</v>
      </c>
      <c r="E406" s="783">
        <v>0</v>
      </c>
      <c r="F406" s="783">
        <v>24.434999999999999</v>
      </c>
      <c r="G406" s="783">
        <v>0</v>
      </c>
      <c r="H406" s="783">
        <v>0</v>
      </c>
      <c r="I406" s="783">
        <v>9.9550000000000001</v>
      </c>
      <c r="J406" s="773">
        <v>29.864999999999998</v>
      </c>
      <c r="K406" s="4"/>
      <c r="L406" s="4"/>
      <c r="M406" s="4"/>
      <c r="N406" s="4"/>
    </row>
    <row r="407" spans="2:14" ht="13.2" hidden="1" outlineLevel="1">
      <c r="B407" s="646" t="s">
        <v>385</v>
      </c>
      <c r="C407" s="784">
        <v>107.31</v>
      </c>
      <c r="D407" s="771">
        <v>33.945</v>
      </c>
      <c r="E407" s="771">
        <v>0</v>
      </c>
      <c r="F407" s="771">
        <v>29.565000000000001</v>
      </c>
      <c r="G407" s="771">
        <v>0</v>
      </c>
      <c r="H407" s="771">
        <v>0</v>
      </c>
      <c r="I407" s="771">
        <v>12.045</v>
      </c>
      <c r="J407" s="772">
        <v>36.134999999999998</v>
      </c>
      <c r="K407" s="4"/>
      <c r="L407" s="4"/>
      <c r="M407" s="4"/>
      <c r="N407" s="4"/>
    </row>
    <row r="408" spans="2:14" ht="13.2" hidden="1" outlineLevel="1">
      <c r="B408" s="646" t="s">
        <v>1456</v>
      </c>
      <c r="C408" s="784">
        <v>59.29</v>
      </c>
      <c r="D408" s="771">
        <v>18.754999999999999</v>
      </c>
      <c r="E408" s="771">
        <v>0</v>
      </c>
      <c r="F408" s="771">
        <v>16.335000000000001</v>
      </c>
      <c r="G408" s="771">
        <v>0</v>
      </c>
      <c r="H408" s="771">
        <v>0</v>
      </c>
      <c r="I408" s="771">
        <v>6.6550000000000002</v>
      </c>
      <c r="J408" s="772">
        <v>19.965</v>
      </c>
      <c r="K408" s="4"/>
      <c r="L408" s="4"/>
      <c r="M408" s="4"/>
      <c r="N408" s="4"/>
    </row>
    <row r="409" spans="2:14" ht="13.2" hidden="1" outlineLevel="1">
      <c r="B409" s="646" t="s">
        <v>1457</v>
      </c>
      <c r="C409" s="784">
        <v>49.98</v>
      </c>
      <c r="D409" s="771">
        <v>15.81</v>
      </c>
      <c r="E409" s="771">
        <v>0</v>
      </c>
      <c r="F409" s="771">
        <v>13.77</v>
      </c>
      <c r="G409" s="771">
        <v>0</v>
      </c>
      <c r="H409" s="771">
        <v>0</v>
      </c>
      <c r="I409" s="771">
        <v>5.61</v>
      </c>
      <c r="J409" s="772">
        <v>16.829999999999998</v>
      </c>
      <c r="K409" s="4"/>
      <c r="L409" s="4"/>
      <c r="M409" s="4"/>
      <c r="N409" s="4"/>
    </row>
    <row r="410" spans="2:14" ht="13.2" hidden="1" outlineLevel="1">
      <c r="B410" s="646" t="s">
        <v>1454</v>
      </c>
      <c r="C410" s="784">
        <v>78.400000000000006</v>
      </c>
      <c r="D410" s="771">
        <v>24.8</v>
      </c>
      <c r="E410" s="771">
        <v>0</v>
      </c>
      <c r="F410" s="771">
        <v>21.6</v>
      </c>
      <c r="G410" s="771">
        <v>0</v>
      </c>
      <c r="H410" s="771">
        <v>0</v>
      </c>
      <c r="I410" s="771">
        <v>8.8000000000000007</v>
      </c>
      <c r="J410" s="772">
        <v>26.4</v>
      </c>
      <c r="K410" s="4"/>
      <c r="L410" s="4"/>
      <c r="M410" s="4"/>
      <c r="N410" s="4"/>
    </row>
    <row r="411" spans="2:14" ht="13.2" hidden="1" outlineLevel="1">
      <c r="B411" s="647"/>
      <c r="C411" s="708"/>
      <c r="D411" s="709"/>
      <c r="E411" s="709"/>
      <c r="F411" s="709"/>
      <c r="G411" s="709"/>
      <c r="H411" s="709"/>
      <c r="I411" s="709"/>
      <c r="J411" s="710"/>
      <c r="K411" s="5"/>
      <c r="L411" s="4"/>
      <c r="M411" s="4"/>
      <c r="N411" s="4"/>
    </row>
    <row r="412" spans="2:14" ht="13.2" hidden="1" outlineLevel="1">
      <c r="B412" s="91"/>
      <c r="C412" s="91"/>
      <c r="D412" s="91"/>
      <c r="E412" s="91"/>
      <c r="F412" s="91"/>
      <c r="G412" s="91"/>
      <c r="H412" s="91"/>
      <c r="I412" s="91"/>
      <c r="J412" s="91"/>
      <c r="K412" s="5"/>
      <c r="L412" s="4"/>
      <c r="M412" s="4"/>
      <c r="N412" s="4"/>
    </row>
    <row r="413" spans="2:14" ht="13.2" hidden="1" outlineLevel="1">
      <c r="B413" s="666" t="s">
        <v>682</v>
      </c>
      <c r="C413" s="683"/>
      <c r="D413" s="683"/>
      <c r="E413" s="683"/>
      <c r="F413" s="683"/>
      <c r="G413" s="683"/>
      <c r="H413" s="683"/>
      <c r="I413" s="683"/>
      <c r="J413" s="683"/>
      <c r="K413" s="5"/>
      <c r="L413" s="4"/>
      <c r="M413" s="4"/>
      <c r="N413" s="4"/>
    </row>
    <row r="414" spans="2:14" ht="13.2" hidden="1" outlineLevel="1">
      <c r="B414" s="737"/>
      <c r="C414" s="684" t="s">
        <v>65</v>
      </c>
      <c r="D414" s="684" t="s">
        <v>66</v>
      </c>
      <c r="E414" s="684" t="s">
        <v>67</v>
      </c>
      <c r="F414" s="684" t="s">
        <v>68</v>
      </c>
      <c r="G414" s="684" t="s">
        <v>69</v>
      </c>
      <c r="H414" s="684" t="s">
        <v>70</v>
      </c>
      <c r="I414" s="684" t="s">
        <v>45</v>
      </c>
      <c r="J414" s="684" t="s">
        <v>46</v>
      </c>
      <c r="K414" s="5"/>
      <c r="L414" s="4"/>
      <c r="M414" s="4"/>
      <c r="N414" s="4"/>
    </row>
    <row r="415" spans="2:14" ht="13.2" hidden="1" outlineLevel="1">
      <c r="B415" s="774"/>
      <c r="C415" s="668" t="s">
        <v>33</v>
      </c>
      <c r="D415" s="684" t="s">
        <v>33</v>
      </c>
      <c r="E415" s="684" t="s">
        <v>33</v>
      </c>
      <c r="F415" s="684" t="s">
        <v>33</v>
      </c>
      <c r="G415" s="684" t="s">
        <v>33</v>
      </c>
      <c r="H415" s="684" t="s">
        <v>33</v>
      </c>
      <c r="I415" s="684" t="s">
        <v>33</v>
      </c>
      <c r="J415" s="684" t="s">
        <v>33</v>
      </c>
      <c r="K415" s="5"/>
      <c r="L415" s="4"/>
      <c r="M415" s="4"/>
      <c r="N415" s="4"/>
    </row>
    <row r="416" spans="2:14" ht="13.2" hidden="1" outlineLevel="1">
      <c r="B416" s="646" t="s">
        <v>1458</v>
      </c>
      <c r="C416" s="782">
        <v>2.5</v>
      </c>
      <c r="D416" s="783">
        <v>0</v>
      </c>
      <c r="E416" s="783">
        <v>0</v>
      </c>
      <c r="F416" s="783">
        <v>17.5</v>
      </c>
      <c r="G416" s="783">
        <v>0</v>
      </c>
      <c r="H416" s="783">
        <v>0</v>
      </c>
      <c r="I416" s="783">
        <v>0</v>
      </c>
      <c r="J416" s="773">
        <v>5</v>
      </c>
      <c r="K416" s="5"/>
      <c r="L416" s="4"/>
      <c r="M416" s="4"/>
      <c r="N416" s="4"/>
    </row>
    <row r="417" spans="2:25" ht="13.2" hidden="1" outlineLevel="1">
      <c r="B417" s="647"/>
      <c r="C417" s="708"/>
      <c r="D417" s="709"/>
      <c r="E417" s="709"/>
      <c r="F417" s="709"/>
      <c r="G417" s="709"/>
      <c r="H417" s="709"/>
      <c r="I417" s="709"/>
      <c r="J417" s="710"/>
      <c r="K417" s="4"/>
      <c r="L417" s="4"/>
      <c r="M417" s="4"/>
      <c r="N417" s="4"/>
    </row>
    <row r="418" spans="2:25" ht="13.2" hidden="1" outlineLevel="1">
      <c r="N418" s="4"/>
      <c r="O418" s="4"/>
      <c r="P418" s="4"/>
      <c r="Q418" s="4"/>
    </row>
    <row r="419" spans="2:25" ht="15" customHeight="1">
      <c r="N419" s="4"/>
      <c r="O419" s="4"/>
      <c r="P419" s="4"/>
      <c r="Q419" s="4"/>
    </row>
    <row r="420" spans="2:25" ht="15.6" collapsed="1">
      <c r="B420" s="2878" t="s">
        <v>323</v>
      </c>
      <c r="C420" s="2879"/>
      <c r="D420" s="2879"/>
      <c r="E420" s="2879"/>
      <c r="F420" s="2879"/>
      <c r="G420" s="2879"/>
      <c r="H420" s="2879"/>
      <c r="I420" s="2879"/>
      <c r="J420" s="2879"/>
      <c r="K420" s="2879"/>
      <c r="L420" s="2879"/>
      <c r="M420" s="2879"/>
      <c r="N420" s="2879"/>
      <c r="O420" s="2880"/>
    </row>
    <row r="421" spans="2:25" ht="12.75" hidden="1" customHeight="1" outlineLevel="1">
      <c r="N421" s="4"/>
      <c r="O421" s="4"/>
      <c r="P421" s="4"/>
      <c r="Q421" s="4"/>
    </row>
    <row r="422" spans="2:25" ht="38.25" hidden="1" customHeight="1" outlineLevel="1">
      <c r="B422" s="775" t="s">
        <v>279</v>
      </c>
      <c r="C422" s="776" t="s">
        <v>281</v>
      </c>
      <c r="D422" s="777" t="s">
        <v>282</v>
      </c>
      <c r="E422" s="777" t="s">
        <v>203</v>
      </c>
      <c r="F422" s="777" t="s">
        <v>390</v>
      </c>
      <c r="G422" s="777" t="s">
        <v>391</v>
      </c>
      <c r="H422" s="777" t="s">
        <v>384</v>
      </c>
      <c r="I422" s="777" t="s">
        <v>385</v>
      </c>
      <c r="J422" s="777" t="s">
        <v>250</v>
      </c>
      <c r="K422" s="777" t="s">
        <v>251</v>
      </c>
      <c r="L422" s="777" t="s">
        <v>252</v>
      </c>
      <c r="M422" s="777" t="s">
        <v>261</v>
      </c>
      <c r="N422" s="777" t="s">
        <v>214</v>
      </c>
      <c r="O422" s="777" t="s">
        <v>237</v>
      </c>
      <c r="P422" s="777" t="s">
        <v>273</v>
      </c>
      <c r="Q422" s="777" t="s">
        <v>286</v>
      </c>
      <c r="R422" s="777" t="s">
        <v>174</v>
      </c>
      <c r="S422" s="777" t="s">
        <v>378</v>
      </c>
      <c r="T422" s="777" t="s">
        <v>379</v>
      </c>
      <c r="U422" s="777" t="s">
        <v>380</v>
      </c>
      <c r="V422" s="777" t="s">
        <v>0</v>
      </c>
      <c r="W422" s="777" t="s">
        <v>85</v>
      </c>
      <c r="X422" s="778" t="s">
        <v>86</v>
      </c>
      <c r="Y422" s="779" t="s">
        <v>239</v>
      </c>
    </row>
    <row r="423" spans="2:25" ht="12.75" hidden="1" customHeight="1" outlineLevel="1">
      <c r="B423" s="650" t="s">
        <v>1459</v>
      </c>
      <c r="C423" s="657">
        <v>0.16135963255667779</v>
      </c>
      <c r="D423" s="657">
        <v>1.1322529302606728</v>
      </c>
      <c r="E423" s="657">
        <v>0</v>
      </c>
      <c r="F423" s="657">
        <v>0.11257543807345416</v>
      </c>
      <c r="G423" s="657">
        <v>0.32827826419645889</v>
      </c>
      <c r="H423" s="657">
        <v>0</v>
      </c>
      <c r="I423" s="657">
        <v>0</v>
      </c>
      <c r="J423" s="657">
        <v>0</v>
      </c>
      <c r="K423" s="657">
        <v>0</v>
      </c>
      <c r="L423" s="657">
        <v>0.11662320432492823</v>
      </c>
      <c r="M423" s="657">
        <v>0</v>
      </c>
      <c r="N423" s="657">
        <v>0</v>
      </c>
      <c r="O423" s="657">
        <v>0</v>
      </c>
      <c r="P423" s="657">
        <v>0</v>
      </c>
      <c r="Q423" s="657">
        <v>5.8985636969913123E-2</v>
      </c>
      <c r="R423" s="657">
        <v>0</v>
      </c>
      <c r="S423" s="657">
        <v>0</v>
      </c>
      <c r="T423" s="657">
        <v>0</v>
      </c>
      <c r="U423" s="657">
        <v>0</v>
      </c>
      <c r="V423" s="657">
        <v>0</v>
      </c>
      <c r="W423" s="657">
        <v>0</v>
      </c>
      <c r="X423" s="657">
        <v>5.2331036539969573E-2</v>
      </c>
      <c r="Y423" s="674">
        <v>8.2426337906225902E-2</v>
      </c>
    </row>
    <row r="424" spans="2:25" ht="12.75" hidden="1" customHeight="1" outlineLevel="1">
      <c r="B424" s="652" t="s">
        <v>1460</v>
      </c>
      <c r="C424" s="657">
        <v>11.99112415628451</v>
      </c>
      <c r="D424" s="657">
        <v>20.789928272266252</v>
      </c>
      <c r="E424" s="657">
        <v>34.556882306830737</v>
      </c>
      <c r="F424" s="657">
        <v>14.227346780640884</v>
      </c>
      <c r="G424" s="657">
        <v>17.281594492651546</v>
      </c>
      <c r="H424" s="657">
        <v>16.191899241517351</v>
      </c>
      <c r="I424" s="657">
        <v>9.5702202448932088</v>
      </c>
      <c r="J424" s="657">
        <v>12.970180197159785</v>
      </c>
      <c r="K424" s="657">
        <v>6.9444380390167408</v>
      </c>
      <c r="L424" s="657">
        <v>17.529455471913302</v>
      </c>
      <c r="M424" s="657">
        <v>10.913761549316028</v>
      </c>
      <c r="N424" s="657">
        <v>15.515851655006555</v>
      </c>
      <c r="O424" s="657">
        <v>23.229424981530268</v>
      </c>
      <c r="P424" s="657">
        <v>42.572482308608755</v>
      </c>
      <c r="Q424" s="657">
        <v>24.881569926280399</v>
      </c>
      <c r="R424" s="657">
        <v>16.150589786286485</v>
      </c>
      <c r="S424" s="657">
        <v>7.6391194188642908</v>
      </c>
      <c r="T424" s="657">
        <v>19.193094420000119</v>
      </c>
      <c r="U424" s="657">
        <v>19.382767306906505</v>
      </c>
      <c r="V424" s="657">
        <v>29.17576405368558</v>
      </c>
      <c r="W424" s="657">
        <v>8.6113037490310465</v>
      </c>
      <c r="X424" s="657">
        <v>21.647155820652081</v>
      </c>
      <c r="Y424" s="704">
        <v>16.96292174452153</v>
      </c>
    </row>
    <row r="425" spans="2:25" ht="12.75" hidden="1" customHeight="1" outlineLevel="1">
      <c r="B425" s="652" t="s">
        <v>1461</v>
      </c>
      <c r="C425" s="657">
        <v>330.41228040331112</v>
      </c>
      <c r="D425" s="657">
        <v>360.23892339288238</v>
      </c>
      <c r="E425" s="657">
        <v>291.18703729453779</v>
      </c>
      <c r="F425" s="657">
        <v>251.01211860837452</v>
      </c>
      <c r="G425" s="657">
        <v>374.7811823979996</v>
      </c>
      <c r="H425" s="657">
        <v>289.28977285435229</v>
      </c>
      <c r="I425" s="657">
        <v>355.44989220715729</v>
      </c>
      <c r="J425" s="657">
        <v>264.10999185764206</v>
      </c>
      <c r="K425" s="657">
        <v>75.136777659917911</v>
      </c>
      <c r="L425" s="657">
        <v>291.27524956157197</v>
      </c>
      <c r="M425" s="657">
        <v>325.47932414031743</v>
      </c>
      <c r="N425" s="657">
        <v>171.74045944621494</v>
      </c>
      <c r="O425" s="657">
        <v>193.32540485300882</v>
      </c>
      <c r="P425" s="657">
        <v>324.16719015274168</v>
      </c>
      <c r="Q425" s="657">
        <v>288.68795295657503</v>
      </c>
      <c r="R425" s="657">
        <v>285.35411945117096</v>
      </c>
      <c r="S425" s="657">
        <v>227.50280264065248</v>
      </c>
      <c r="T425" s="657">
        <v>323.95636395462407</v>
      </c>
      <c r="U425" s="657">
        <v>255.25825243972886</v>
      </c>
      <c r="V425" s="657">
        <v>454.04713828938799</v>
      </c>
      <c r="W425" s="657">
        <v>242.77449801393695</v>
      </c>
      <c r="X425" s="657">
        <v>307.93324431701734</v>
      </c>
      <c r="Y425" s="704">
        <v>271.77373836039078</v>
      </c>
    </row>
    <row r="426" spans="2:25" ht="12.75" hidden="1" customHeight="1" outlineLevel="1">
      <c r="B426" s="652" t="s">
        <v>1462</v>
      </c>
      <c r="C426" s="657">
        <v>0.15239325431264397</v>
      </c>
      <c r="D426" s="657">
        <v>11.350882748656545</v>
      </c>
      <c r="E426" s="657">
        <v>62.255243040222233</v>
      </c>
      <c r="F426" s="657">
        <v>11.2162645998117</v>
      </c>
      <c r="G426" s="657">
        <v>31.937082742519411</v>
      </c>
      <c r="H426" s="657">
        <v>20.898924952437842</v>
      </c>
      <c r="I426" s="657">
        <v>4.3761410858945657</v>
      </c>
      <c r="J426" s="657">
        <v>17.067461632956213</v>
      </c>
      <c r="K426" s="657">
        <v>0</v>
      </c>
      <c r="L426" s="657">
        <v>9.1366275192268276</v>
      </c>
      <c r="M426" s="657">
        <v>9.8540331604680844</v>
      </c>
      <c r="N426" s="657">
        <v>3.8990892174962206</v>
      </c>
      <c r="O426" s="657">
        <v>7.1162678250324092</v>
      </c>
      <c r="P426" s="657">
        <v>13.368882562357671</v>
      </c>
      <c r="Q426" s="657">
        <v>5.1552595767961575</v>
      </c>
      <c r="R426" s="657">
        <v>29.512049479422828</v>
      </c>
      <c r="S426" s="657">
        <v>1.9366291947030818</v>
      </c>
      <c r="T426" s="657">
        <v>16.882859449277962</v>
      </c>
      <c r="U426" s="657">
        <v>9.3213507971279377</v>
      </c>
      <c r="V426" s="657">
        <v>29.131479914247457</v>
      </c>
      <c r="W426" s="657">
        <v>14.401437279842597</v>
      </c>
      <c r="X426" s="657">
        <v>17.008991734342626</v>
      </c>
      <c r="Y426" s="704">
        <v>12.784275713645256</v>
      </c>
    </row>
    <row r="427" spans="2:25" ht="12.75" hidden="1" customHeight="1" outlineLevel="1">
      <c r="B427" s="652" t="s">
        <v>1463</v>
      </c>
      <c r="C427" s="657">
        <v>199.69978462008655</v>
      </c>
      <c r="D427" s="657">
        <v>160.84744868154172</v>
      </c>
      <c r="E427" s="657">
        <v>241.69791454971357</v>
      </c>
      <c r="F427" s="657">
        <v>163.62754351905824</v>
      </c>
      <c r="G427" s="657">
        <v>161.31287704176285</v>
      </c>
      <c r="H427" s="657">
        <v>255.21769377643705</v>
      </c>
      <c r="I427" s="657">
        <v>201.04275448105562</v>
      </c>
      <c r="J427" s="657">
        <v>209.06764265701602</v>
      </c>
      <c r="K427" s="657">
        <v>199.28924349336654</v>
      </c>
      <c r="L427" s="657">
        <v>202.9508253368891</v>
      </c>
      <c r="M427" s="657">
        <v>118.60133288993546</v>
      </c>
      <c r="N427" s="657">
        <v>61.156571336533538</v>
      </c>
      <c r="O427" s="657">
        <v>118.14604329583629</v>
      </c>
      <c r="P427" s="657">
        <v>204.83251165008531</v>
      </c>
      <c r="Q427" s="657">
        <v>180.60701028750299</v>
      </c>
      <c r="R427" s="657">
        <v>187.32831221070609</v>
      </c>
      <c r="S427" s="657">
        <v>136.55990559947634</v>
      </c>
      <c r="T427" s="657">
        <v>273.73651678227071</v>
      </c>
      <c r="U427" s="657">
        <v>185.855242126299</v>
      </c>
      <c r="V427" s="657">
        <v>224.72819724548006</v>
      </c>
      <c r="W427" s="657">
        <v>93.910805030723566</v>
      </c>
      <c r="X427" s="657">
        <v>193.12186047879277</v>
      </c>
      <c r="Y427" s="704">
        <v>158.2828234438077</v>
      </c>
    </row>
    <row r="428" spans="2:25" ht="12.75" hidden="1" customHeight="1" outlineLevel="1">
      <c r="B428" s="648" t="s">
        <v>1464</v>
      </c>
      <c r="C428" s="658">
        <v>3449.95231136958</v>
      </c>
      <c r="D428" s="658">
        <v>3254.723907536862</v>
      </c>
      <c r="E428" s="658">
        <v>2301.9987386142939</v>
      </c>
      <c r="F428" s="658">
        <v>2847.1676122720332</v>
      </c>
      <c r="G428" s="658">
        <v>3226.9062225360808</v>
      </c>
      <c r="H428" s="658">
        <v>3347.1984049945686</v>
      </c>
      <c r="I428" s="658">
        <v>3202.1431475018326</v>
      </c>
      <c r="J428" s="658">
        <v>4301.052403113018</v>
      </c>
      <c r="K428" s="658">
        <v>498.93886147365833</v>
      </c>
      <c r="L428" s="658">
        <v>2760.4944000272144</v>
      </c>
      <c r="M428" s="658">
        <v>4630.1082428187519</v>
      </c>
      <c r="N428" s="658">
        <v>1231.3584635734935</v>
      </c>
      <c r="O428" s="658">
        <v>2400.0827883891607</v>
      </c>
      <c r="P428" s="658">
        <v>2355.4455825323971</v>
      </c>
      <c r="Q428" s="658">
        <v>3288.8354016835356</v>
      </c>
      <c r="R428" s="658">
        <v>2222.9567748708992</v>
      </c>
      <c r="S428" s="658">
        <v>2968.425286018974</v>
      </c>
      <c r="T428" s="658">
        <v>3548.8687889521643</v>
      </c>
      <c r="U428" s="658">
        <v>3642.8234695267406</v>
      </c>
      <c r="V428" s="658">
        <v>3856.8187983668968</v>
      </c>
      <c r="W428" s="658">
        <v>2219.4677956863852</v>
      </c>
      <c r="X428" s="658">
        <v>2808.0958065556656</v>
      </c>
      <c r="Y428" s="714">
        <v>2711.3355660899447</v>
      </c>
    </row>
    <row r="429" spans="2:25" ht="12.75" hidden="1" customHeight="1" outlineLevel="1">
      <c r="B429" s="97"/>
      <c r="C429" s="97"/>
      <c r="D429" s="97"/>
      <c r="E429" s="97"/>
      <c r="F429" s="97"/>
      <c r="G429" s="97"/>
      <c r="H429" s="97"/>
      <c r="I429" s="97"/>
      <c r="J429" s="91"/>
      <c r="K429" s="91"/>
      <c r="L429" s="91"/>
      <c r="M429" s="91"/>
      <c r="N429" s="91"/>
      <c r="O429" s="91"/>
      <c r="P429" s="91"/>
      <c r="Q429" s="91"/>
      <c r="R429" s="91"/>
      <c r="S429" s="91"/>
      <c r="T429" s="91"/>
      <c r="U429" s="91"/>
      <c r="V429" s="91"/>
      <c r="W429" s="97"/>
      <c r="X429" s="97"/>
      <c r="Y429" s="97"/>
    </row>
    <row r="430" spans="2:25" ht="38.25" hidden="1" customHeight="1" outlineLevel="1">
      <c r="B430" s="775" t="s">
        <v>377</v>
      </c>
      <c r="C430" s="780" t="s">
        <v>281</v>
      </c>
      <c r="D430" s="781" t="s">
        <v>282</v>
      </c>
      <c r="E430" s="781" t="s">
        <v>203</v>
      </c>
      <c r="F430" s="781" t="s">
        <v>390</v>
      </c>
      <c r="G430" s="781" t="s">
        <v>391</v>
      </c>
      <c r="H430" s="781" t="s">
        <v>384</v>
      </c>
      <c r="I430" s="781" t="s">
        <v>385</v>
      </c>
      <c r="J430" s="781" t="s">
        <v>250</v>
      </c>
      <c r="K430" s="781" t="s">
        <v>251</v>
      </c>
      <c r="L430" s="781" t="s">
        <v>252</v>
      </c>
      <c r="M430" s="781" t="s">
        <v>261</v>
      </c>
      <c r="N430" s="781" t="s">
        <v>214</v>
      </c>
      <c r="O430" s="781" t="s">
        <v>237</v>
      </c>
      <c r="P430" s="781" t="s">
        <v>273</v>
      </c>
      <c r="Q430" s="781" t="s">
        <v>286</v>
      </c>
      <c r="R430" s="781" t="s">
        <v>174</v>
      </c>
      <c r="S430" s="781" t="s">
        <v>378</v>
      </c>
      <c r="T430" s="781" t="s">
        <v>379</v>
      </c>
      <c r="U430" s="781" t="s">
        <v>380</v>
      </c>
      <c r="V430" s="781" t="s">
        <v>0</v>
      </c>
      <c r="W430" s="781" t="s">
        <v>85</v>
      </c>
      <c r="X430" s="779" t="s">
        <v>86</v>
      </c>
      <c r="Y430" s="779" t="s">
        <v>239</v>
      </c>
    </row>
    <row r="431" spans="2:25" ht="12.75" hidden="1" customHeight="1" outlineLevel="1">
      <c r="B431" s="650" t="s">
        <v>1459</v>
      </c>
      <c r="C431" s="677">
        <v>0.16135963255667779</v>
      </c>
      <c r="D431" s="677">
        <v>1.1322529302606728</v>
      </c>
      <c r="E431" s="677">
        <v>0</v>
      </c>
      <c r="F431" s="677">
        <v>0.11257543807345416</v>
      </c>
      <c r="G431" s="677">
        <v>0.32827826419645889</v>
      </c>
      <c r="H431" s="677">
        <v>0</v>
      </c>
      <c r="I431" s="677">
        <v>0</v>
      </c>
      <c r="J431" s="677">
        <v>0</v>
      </c>
      <c r="K431" s="677">
        <v>0</v>
      </c>
      <c r="L431" s="677">
        <v>0.11662320432492823</v>
      </c>
      <c r="M431" s="677">
        <v>0</v>
      </c>
      <c r="N431" s="677">
        <v>0</v>
      </c>
      <c r="O431" s="677">
        <v>0</v>
      </c>
      <c r="P431" s="677">
        <v>0</v>
      </c>
      <c r="Q431" s="677">
        <v>5.8985636969913123E-2</v>
      </c>
      <c r="R431" s="677">
        <v>0</v>
      </c>
      <c r="S431" s="677">
        <v>0</v>
      </c>
      <c r="T431" s="677">
        <v>0</v>
      </c>
      <c r="U431" s="677">
        <v>0</v>
      </c>
      <c r="V431" s="677">
        <v>0</v>
      </c>
      <c r="W431" s="677">
        <v>0</v>
      </c>
      <c r="X431" s="702">
        <v>5.2331036539969573E-2</v>
      </c>
      <c r="Y431" s="674">
        <v>8.2426337906225902E-2</v>
      </c>
    </row>
    <row r="432" spans="2:25" ht="12.75" hidden="1" customHeight="1" outlineLevel="1">
      <c r="B432" s="652" t="s">
        <v>1460</v>
      </c>
      <c r="C432" s="657">
        <v>16.725585807415182</v>
      </c>
      <c r="D432" s="657">
        <v>14.528460207285276</v>
      </c>
      <c r="E432" s="657">
        <v>40.210307606973302</v>
      </c>
      <c r="F432" s="657">
        <v>9.140805080604391</v>
      </c>
      <c r="G432" s="657">
        <v>21.665295916256902</v>
      </c>
      <c r="H432" s="657">
        <v>14.295988193505121</v>
      </c>
      <c r="I432" s="657">
        <v>8.2585598089437937</v>
      </c>
      <c r="J432" s="657">
        <v>13.838963082266122</v>
      </c>
      <c r="K432" s="657">
        <v>6.9444380390167408</v>
      </c>
      <c r="L432" s="657">
        <v>17.729320474567594</v>
      </c>
      <c r="M432" s="657">
        <v>12.14762733457964</v>
      </c>
      <c r="N432" s="657">
        <v>16.06020903375645</v>
      </c>
      <c r="O432" s="657">
        <v>22.749138805252372</v>
      </c>
      <c r="P432" s="657">
        <v>45.158477731563465</v>
      </c>
      <c r="Q432" s="657">
        <v>21.412649283060421</v>
      </c>
      <c r="R432" s="657">
        <v>21.448697273607618</v>
      </c>
      <c r="S432" s="657">
        <v>9.4351912181090469</v>
      </c>
      <c r="T432" s="657">
        <v>24.127247125364789</v>
      </c>
      <c r="U432" s="657">
        <v>19.140809515682797</v>
      </c>
      <c r="V432" s="657">
        <v>21.946778426260373</v>
      </c>
      <c r="W432" s="657">
        <v>9.2572197425252725</v>
      </c>
      <c r="X432" s="654">
        <v>18.461860765751698</v>
      </c>
      <c r="Y432" s="704">
        <v>16.96292174452153</v>
      </c>
    </row>
    <row r="433" spans="2:25" ht="12.75" hidden="1" customHeight="1" outlineLevel="1">
      <c r="B433" s="652" t="s">
        <v>1461</v>
      </c>
      <c r="C433" s="657">
        <v>342.7441027134409</v>
      </c>
      <c r="D433" s="657">
        <v>387.97292115588209</v>
      </c>
      <c r="E433" s="657">
        <v>304.72196491957232</v>
      </c>
      <c r="F433" s="657">
        <v>268.76622511853174</v>
      </c>
      <c r="G433" s="657">
        <v>369.83317837083797</v>
      </c>
      <c r="H433" s="657">
        <v>304.90236381084969</v>
      </c>
      <c r="I433" s="657">
        <v>316.70303102573462</v>
      </c>
      <c r="J433" s="657">
        <v>253.46626359635957</v>
      </c>
      <c r="K433" s="657">
        <v>84.567160909468242</v>
      </c>
      <c r="L433" s="657">
        <v>301.59285856879541</v>
      </c>
      <c r="M433" s="657">
        <v>306.18901949902033</v>
      </c>
      <c r="N433" s="657">
        <v>180.70673331135259</v>
      </c>
      <c r="O433" s="657">
        <v>254.54931984346032</v>
      </c>
      <c r="P433" s="657">
        <v>318.46247005720602</v>
      </c>
      <c r="Q433" s="657">
        <v>271.15585168821008</v>
      </c>
      <c r="R433" s="657">
        <v>313.57453128067823</v>
      </c>
      <c r="S433" s="657">
        <v>183.73278931928937</v>
      </c>
      <c r="T433" s="657">
        <v>354.45449449901787</v>
      </c>
      <c r="U433" s="657">
        <v>261.50184793276486</v>
      </c>
      <c r="V433" s="657">
        <v>326.00235660960396</v>
      </c>
      <c r="W433" s="657">
        <v>247.86591749810427</v>
      </c>
      <c r="X433" s="654">
        <v>296.0150688869731</v>
      </c>
      <c r="Y433" s="704">
        <v>271.77373836039078</v>
      </c>
    </row>
    <row r="434" spans="2:25" ht="12.75" hidden="1" customHeight="1" outlineLevel="1">
      <c r="B434" s="652" t="s">
        <v>1462</v>
      </c>
      <c r="C434" s="657">
        <v>1.674972969388373</v>
      </c>
      <c r="D434" s="657">
        <v>16.402773522801002</v>
      </c>
      <c r="E434" s="657">
        <v>39.138550728180931</v>
      </c>
      <c r="F434" s="657">
        <v>7.9351452299371461</v>
      </c>
      <c r="G434" s="657">
        <v>32.273484892243616</v>
      </c>
      <c r="H434" s="657">
        <v>23.740082313759185</v>
      </c>
      <c r="I434" s="657">
        <v>6.6882121222179469</v>
      </c>
      <c r="J434" s="657">
        <v>6.3794353688234855</v>
      </c>
      <c r="K434" s="657">
        <v>0</v>
      </c>
      <c r="L434" s="657">
        <v>8.8245893905335357</v>
      </c>
      <c r="M434" s="657">
        <v>9.4080829483561317</v>
      </c>
      <c r="N434" s="657">
        <v>6.8005731550123532</v>
      </c>
      <c r="O434" s="657">
        <v>6.8467556872830677</v>
      </c>
      <c r="P434" s="657">
        <v>12.496191656386834</v>
      </c>
      <c r="Q434" s="657">
        <v>3.2351439765648533</v>
      </c>
      <c r="R434" s="657">
        <v>23.822005990546646</v>
      </c>
      <c r="S434" s="657">
        <v>5.2220373979004089</v>
      </c>
      <c r="T434" s="657">
        <v>22.137815516217724</v>
      </c>
      <c r="U434" s="657">
        <v>3.4368771470609927</v>
      </c>
      <c r="V434" s="657">
        <v>24.798184587468324</v>
      </c>
      <c r="W434" s="657">
        <v>12.453351430078575</v>
      </c>
      <c r="X434" s="654">
        <v>17.683855211856294</v>
      </c>
      <c r="Y434" s="704">
        <v>12.784275713645256</v>
      </c>
    </row>
    <row r="435" spans="2:25" ht="12.75" hidden="1" customHeight="1" outlineLevel="1">
      <c r="B435" s="652" t="s">
        <v>1463</v>
      </c>
      <c r="C435" s="657">
        <v>194.83738557041076</v>
      </c>
      <c r="D435" s="657">
        <v>183.87458322717382</v>
      </c>
      <c r="E435" s="657">
        <v>247.48513612422241</v>
      </c>
      <c r="F435" s="657">
        <v>162.04666384942126</v>
      </c>
      <c r="G435" s="657">
        <v>168.90804854704805</v>
      </c>
      <c r="H435" s="657">
        <v>236.5934848876384</v>
      </c>
      <c r="I435" s="657">
        <v>206.09040871128443</v>
      </c>
      <c r="J435" s="657">
        <v>193.76092681338804</v>
      </c>
      <c r="K435" s="657">
        <v>201.98691755445896</v>
      </c>
      <c r="L435" s="657">
        <v>233.37117197927773</v>
      </c>
      <c r="M435" s="657">
        <v>149.50338502813179</v>
      </c>
      <c r="N435" s="657">
        <v>69.577569909307073</v>
      </c>
      <c r="O435" s="657">
        <v>125.48809225107681</v>
      </c>
      <c r="P435" s="657">
        <v>177.62365969513559</v>
      </c>
      <c r="Q435" s="657">
        <v>149.03685417438547</v>
      </c>
      <c r="R435" s="657">
        <v>184.48658750073972</v>
      </c>
      <c r="S435" s="657">
        <v>134.65699616773108</v>
      </c>
      <c r="T435" s="657">
        <v>285.80600491424588</v>
      </c>
      <c r="U435" s="657">
        <v>138.8258205602103</v>
      </c>
      <c r="V435" s="657">
        <v>242.36770121726659</v>
      </c>
      <c r="W435" s="657">
        <v>95.783999470945375</v>
      </c>
      <c r="X435" s="654">
        <v>176.42155614289635</v>
      </c>
      <c r="Y435" s="704">
        <v>158.2828234438077</v>
      </c>
    </row>
    <row r="436" spans="2:25" ht="12.75" hidden="1" customHeight="1" outlineLevel="1">
      <c r="B436" s="648" t="s">
        <v>1464</v>
      </c>
      <c r="C436" s="658">
        <v>3048.3147268538673</v>
      </c>
      <c r="D436" s="658">
        <v>3246.5481331568762</v>
      </c>
      <c r="E436" s="658">
        <v>2489.5973138825775</v>
      </c>
      <c r="F436" s="658">
        <v>2916.7808729194981</v>
      </c>
      <c r="G436" s="658">
        <v>3425.179320487905</v>
      </c>
      <c r="H436" s="658">
        <v>3567.9058756168283</v>
      </c>
      <c r="I436" s="658">
        <v>3201.881777416078</v>
      </c>
      <c r="J436" s="658">
        <v>3875.378721701954</v>
      </c>
      <c r="K436" s="658">
        <v>394.54333656166892</v>
      </c>
      <c r="L436" s="658">
        <v>2821.7233431716677</v>
      </c>
      <c r="M436" s="658">
        <v>3810.9069021768437</v>
      </c>
      <c r="N436" s="658">
        <v>1420.8863179556704</v>
      </c>
      <c r="O436" s="658">
        <v>2065.5095964189632</v>
      </c>
      <c r="P436" s="658">
        <v>3092.5890786691966</v>
      </c>
      <c r="Q436" s="658">
        <v>2989.1646931062305</v>
      </c>
      <c r="R436" s="658">
        <v>2461.2597066176222</v>
      </c>
      <c r="S436" s="658">
        <v>5751.1621830921777</v>
      </c>
      <c r="T436" s="658">
        <v>3553.2733989207527</v>
      </c>
      <c r="U436" s="658">
        <v>3273.8806550376557</v>
      </c>
      <c r="V436" s="658">
        <v>3428.1260435542918</v>
      </c>
      <c r="W436" s="658">
        <v>2269.0489209083316</v>
      </c>
      <c r="X436" s="655">
        <v>2747.0634653976231</v>
      </c>
      <c r="Y436" s="714">
        <v>2711.3355660899447</v>
      </c>
    </row>
    <row r="437" spans="2:25" ht="12" hidden="1" customHeight="1" outlineLevel="1"/>
    <row r="438" spans="2:25" ht="15" customHeight="1"/>
    <row r="439" spans="2:25" ht="15.6" collapsed="1">
      <c r="B439" s="2878" t="s">
        <v>150</v>
      </c>
      <c r="C439" s="2879"/>
      <c r="D439" s="2879"/>
      <c r="E439" s="2879"/>
      <c r="F439" s="2879"/>
      <c r="G439" s="2879"/>
      <c r="H439" s="2879"/>
      <c r="I439" s="2879"/>
      <c r="J439" s="2879"/>
      <c r="K439" s="2879"/>
      <c r="L439" s="2879"/>
      <c r="M439" s="2879"/>
      <c r="N439" s="2879"/>
      <c r="O439" s="2880"/>
    </row>
    <row r="440" spans="2:25" ht="12" hidden="1" customHeight="1" outlineLevel="1"/>
    <row r="441" spans="2:25" ht="12.75" hidden="1" customHeight="1" outlineLevel="1">
      <c r="B441" s="768" t="s">
        <v>685</v>
      </c>
      <c r="C441" s="644" t="s">
        <v>686</v>
      </c>
      <c r="D441" s="114"/>
    </row>
    <row r="442" spans="2:25" ht="12.75" hidden="1" customHeight="1" outlineLevel="1">
      <c r="B442" s="646" t="s">
        <v>1465</v>
      </c>
      <c r="C442" s="674">
        <v>13000</v>
      </c>
      <c r="D442" s="114"/>
    </row>
    <row r="443" spans="2:25" ht="12.75" hidden="1" customHeight="1" outlineLevel="1">
      <c r="B443" s="646" t="s">
        <v>1466</v>
      </c>
      <c r="C443" s="704">
        <v>16000</v>
      </c>
      <c r="D443" s="114"/>
    </row>
    <row r="444" spans="2:25" ht="12.75" hidden="1" customHeight="1" outlineLevel="1">
      <c r="B444" s="646" t="s">
        <v>1467</v>
      </c>
      <c r="C444" s="704">
        <v>14269.767941939974</v>
      </c>
      <c r="D444" s="114"/>
    </row>
    <row r="445" spans="2:25" ht="12.75" hidden="1" customHeight="1" outlineLevel="1">
      <c r="B445" s="647"/>
      <c r="C445" s="696"/>
      <c r="D445" s="114"/>
    </row>
    <row r="446" spans="2:25" ht="12.75" hidden="1" customHeight="1" outlineLevel="1">
      <c r="B446" s="114"/>
      <c r="C446" s="114"/>
      <c r="D446" s="114"/>
    </row>
    <row r="447" spans="2:25" ht="12.75" hidden="1" customHeight="1" outlineLevel="1">
      <c r="B447" s="785" t="s">
        <v>684</v>
      </c>
      <c r="C447" s="697" t="s">
        <v>687</v>
      </c>
      <c r="D447" s="643" t="s">
        <v>366</v>
      </c>
    </row>
    <row r="448" spans="2:25" ht="12.75" hidden="1" customHeight="1" outlineLevel="1">
      <c r="B448" s="645" t="s">
        <v>1468</v>
      </c>
      <c r="C448" s="786">
        <v>1.25</v>
      </c>
      <c r="D448" s="651">
        <v>0.1</v>
      </c>
    </row>
    <row r="449" spans="2:12" ht="12.75" hidden="1" customHeight="1" outlineLevel="1">
      <c r="B449" s="646" t="s">
        <v>1469</v>
      </c>
      <c r="C449" s="787">
        <v>2.1</v>
      </c>
      <c r="D449" s="653">
        <v>0.1</v>
      </c>
    </row>
    <row r="450" spans="2:12" ht="12.75" hidden="1" customHeight="1" outlineLevel="1">
      <c r="B450" s="647"/>
      <c r="C450" s="714"/>
      <c r="D450" s="656"/>
    </row>
    <row r="451" spans="2:12" ht="12" hidden="1" customHeight="1" outlineLevel="1"/>
    <row r="452" spans="2:12" ht="12" hidden="1" customHeight="1" outlineLevel="1"/>
    <row r="453" spans="2:12" ht="38.25" hidden="1" customHeight="1" outlineLevel="1">
      <c r="B453" s="788" t="s">
        <v>689</v>
      </c>
      <c r="C453" s="716" t="s">
        <v>153</v>
      </c>
      <c r="D453" s="716" t="s">
        <v>154</v>
      </c>
      <c r="E453" s="716" t="s">
        <v>196</v>
      </c>
      <c r="F453" s="716" t="s">
        <v>222</v>
      </c>
      <c r="G453" s="716" t="s">
        <v>223</v>
      </c>
      <c r="H453" s="716" t="s">
        <v>216</v>
      </c>
      <c r="I453" s="716" t="s">
        <v>274</v>
      </c>
      <c r="J453" s="716" t="s">
        <v>313</v>
      </c>
      <c r="K453" s="726" t="s">
        <v>149</v>
      </c>
      <c r="L453" s="644" t="s">
        <v>366</v>
      </c>
    </row>
    <row r="454" spans="2:12" ht="12.75" hidden="1" customHeight="1" outlineLevel="1">
      <c r="B454" s="650" t="s">
        <v>1470</v>
      </c>
      <c r="C454" s="657">
        <v>1195.1427408163261</v>
      </c>
      <c r="D454" s="657">
        <v>1598.1055501457727</v>
      </c>
      <c r="E454" s="657">
        <v>1231.1331454810495</v>
      </c>
      <c r="F454" s="657">
        <v>1766.2757565597667</v>
      </c>
      <c r="G454" s="657">
        <v>1145.6424198250731</v>
      </c>
      <c r="H454" s="657">
        <v>1210.3740524781335</v>
      </c>
      <c r="I454" s="657">
        <v>1888.8807463556857</v>
      </c>
      <c r="J454" s="657">
        <v>1766.7812230320694</v>
      </c>
      <c r="K454" s="657">
        <v>1473.8023206997084</v>
      </c>
      <c r="L454" s="651">
        <v>0.1</v>
      </c>
    </row>
    <row r="455" spans="2:12" ht="12.75" hidden="1" customHeight="1" outlineLevel="1">
      <c r="B455" s="652" t="s">
        <v>1471</v>
      </c>
      <c r="C455" s="657"/>
      <c r="D455" s="657"/>
      <c r="E455" s="657"/>
      <c r="F455" s="657">
        <v>178.45958833819242</v>
      </c>
      <c r="G455" s="657"/>
      <c r="H455" s="657"/>
      <c r="I455" s="657">
        <v>721.50254460641395</v>
      </c>
      <c r="J455" s="657">
        <v>421.65271768707481</v>
      </c>
      <c r="K455" s="657">
        <v>68.862142915451898</v>
      </c>
      <c r="L455" s="653">
        <v>0.1</v>
      </c>
    </row>
    <row r="456" spans="2:12" ht="12.75" hidden="1" customHeight="1" outlineLevel="1">
      <c r="B456" s="652" t="s">
        <v>1472</v>
      </c>
      <c r="C456" s="657">
        <v>270.49420000000003</v>
      </c>
      <c r="D456" s="657">
        <v>377.06862390670545</v>
      </c>
      <c r="E456" s="657">
        <v>414.52294460641394</v>
      </c>
      <c r="F456" s="657">
        <v>713.83835335276967</v>
      </c>
      <c r="G456" s="657">
        <v>581.98634927113699</v>
      </c>
      <c r="H456" s="657">
        <v>393.03157434402323</v>
      </c>
      <c r="I456" s="657">
        <v>1443.0050892128279</v>
      </c>
      <c r="J456" s="657">
        <v>843.30543537414962</v>
      </c>
      <c r="K456" s="657">
        <v>619.75928623906714</v>
      </c>
      <c r="L456" s="653">
        <v>0.1</v>
      </c>
    </row>
    <row r="457" spans="2:12" ht="12.75" hidden="1" customHeight="1" outlineLevel="1">
      <c r="B457" s="652" t="s">
        <v>554</v>
      </c>
      <c r="C457" s="657">
        <v>7722.8854244897966</v>
      </c>
      <c r="D457" s="657">
        <v>5504.0928836734684</v>
      </c>
      <c r="E457" s="657">
        <v>7477.9939206997087</v>
      </c>
      <c r="F457" s="657">
        <v>4617.7496137026237</v>
      </c>
      <c r="G457" s="657">
        <v>5865.6891895043718</v>
      </c>
      <c r="H457" s="657">
        <v>7361.5221865889207</v>
      </c>
      <c r="I457" s="657">
        <v>1977.8210518950434</v>
      </c>
      <c r="J457" s="657">
        <v>5728.0633323615148</v>
      </c>
      <c r="K457" s="657">
        <v>6317.0216711370267</v>
      </c>
      <c r="L457" s="653">
        <v>0.1</v>
      </c>
    </row>
    <row r="458" spans="2:12" ht="12.75" hidden="1" customHeight="1" outlineLevel="1">
      <c r="B458" s="652" t="s">
        <v>1473</v>
      </c>
      <c r="C458" s="657">
        <v>448.5235459183674</v>
      </c>
      <c r="D458" s="657">
        <v>276.14731574344017</v>
      </c>
      <c r="E458" s="657">
        <v>516.77193760932937</v>
      </c>
      <c r="F458" s="657">
        <v>267.25832069970852</v>
      </c>
      <c r="G458" s="657">
        <v>420.4507680758017</v>
      </c>
      <c r="H458" s="657">
        <v>539.90842565597666</v>
      </c>
      <c r="I458" s="657">
        <v>124.16418892128279</v>
      </c>
      <c r="J458" s="657">
        <v>325.01494169096208</v>
      </c>
      <c r="K458" s="657">
        <v>397.67252274052481</v>
      </c>
      <c r="L458" s="653">
        <v>0.1</v>
      </c>
    </row>
    <row r="459" spans="2:12" ht="12.75" hidden="1" customHeight="1" outlineLevel="1">
      <c r="B459" s="648"/>
      <c r="C459" s="661"/>
      <c r="D459" s="661"/>
      <c r="E459" s="661"/>
      <c r="F459" s="661"/>
      <c r="G459" s="661"/>
      <c r="H459" s="661"/>
      <c r="I459" s="661"/>
      <c r="J459" s="661"/>
      <c r="K459" s="661"/>
      <c r="L459" s="656"/>
    </row>
    <row r="460" spans="2:12" ht="12" hidden="1" customHeight="1" outlineLevel="1">
      <c r="B460" s="2"/>
      <c r="C460" s="2"/>
      <c r="D460" s="2"/>
      <c r="E460" s="2"/>
      <c r="F460" s="2"/>
      <c r="G460" s="2"/>
      <c r="H460" s="2"/>
      <c r="I460" s="2"/>
      <c r="J460" s="2"/>
      <c r="K460" s="2"/>
      <c r="L460" s="2"/>
    </row>
    <row r="461" spans="2:12" ht="25.5" hidden="1" customHeight="1" outlineLevel="1">
      <c r="B461" s="790" t="s">
        <v>690</v>
      </c>
      <c r="C461" s="697" t="s">
        <v>230</v>
      </c>
      <c r="D461" s="643" t="s">
        <v>366</v>
      </c>
      <c r="E461" s="233"/>
      <c r="F461" s="233"/>
      <c r="G461" s="233"/>
      <c r="H461" s="233"/>
      <c r="I461" s="233"/>
      <c r="J461" s="233"/>
      <c r="K461" s="233"/>
      <c r="L461" s="233"/>
    </row>
    <row r="462" spans="2:12" ht="12.75" hidden="1" customHeight="1" outlineLevel="1">
      <c r="B462" s="650" t="s">
        <v>1473</v>
      </c>
      <c r="C462" s="654">
        <v>12.858747803481242</v>
      </c>
      <c r="D462" s="651">
        <v>0.3</v>
      </c>
      <c r="E462" s="233"/>
      <c r="F462" s="233"/>
      <c r="G462" s="233"/>
      <c r="H462" s="233"/>
      <c r="I462" s="233"/>
      <c r="J462" s="233"/>
      <c r="K462" s="233"/>
      <c r="L462" s="233"/>
    </row>
    <row r="463" spans="2:12" ht="12.75" hidden="1" customHeight="1" outlineLevel="1">
      <c r="B463" s="652" t="s">
        <v>1474</v>
      </c>
      <c r="C463" s="654">
        <v>1593.6672786641668</v>
      </c>
      <c r="D463" s="653">
        <v>0.15</v>
      </c>
      <c r="E463" s="233"/>
      <c r="F463" s="233"/>
      <c r="G463" s="233"/>
      <c r="H463" s="233"/>
      <c r="I463" s="233"/>
      <c r="J463" s="233"/>
      <c r="K463" s="233"/>
      <c r="L463" s="233"/>
    </row>
    <row r="464" spans="2:12" ht="12.75" hidden="1" customHeight="1" outlineLevel="1">
      <c r="B464" s="652" t="s">
        <v>1475</v>
      </c>
      <c r="C464" s="654">
        <v>215.47587390690711</v>
      </c>
      <c r="D464" s="653">
        <v>0.3</v>
      </c>
      <c r="E464" s="233"/>
      <c r="F464" s="233"/>
      <c r="G464" s="233"/>
      <c r="H464" s="233"/>
      <c r="I464" s="233"/>
      <c r="J464" s="233"/>
      <c r="K464" s="233"/>
      <c r="L464" s="233"/>
    </row>
    <row r="465" spans="1:15" ht="12.75" hidden="1" customHeight="1" outlineLevel="1">
      <c r="B465" s="652" t="s">
        <v>1476</v>
      </c>
      <c r="C465" s="654">
        <v>772.5351983934338</v>
      </c>
      <c r="D465" s="653">
        <v>0.3</v>
      </c>
      <c r="E465" s="233"/>
      <c r="F465" s="233"/>
      <c r="G465" s="233"/>
      <c r="H465" s="233"/>
      <c r="I465" s="233"/>
      <c r="J465" s="233"/>
      <c r="K465" s="233"/>
      <c r="L465" s="233"/>
    </row>
    <row r="466" spans="1:15" ht="12.75" hidden="1" customHeight="1" outlineLevel="1">
      <c r="B466" s="652" t="s">
        <v>1477</v>
      </c>
      <c r="C466" s="654">
        <v>1379.0455930042053</v>
      </c>
      <c r="D466" s="653">
        <v>0.8</v>
      </c>
      <c r="E466" s="233"/>
      <c r="F466" s="233"/>
      <c r="G466" s="233"/>
      <c r="H466" s="233"/>
      <c r="I466" s="233"/>
      <c r="J466" s="233"/>
      <c r="K466" s="233"/>
      <c r="L466" s="233"/>
    </row>
    <row r="467" spans="1:15" ht="12.75" hidden="1" customHeight="1" outlineLevel="1">
      <c r="B467" s="648"/>
      <c r="C467" s="662"/>
      <c r="D467" s="656"/>
      <c r="E467" s="233"/>
      <c r="F467" s="233"/>
      <c r="G467" s="233"/>
      <c r="H467" s="233"/>
      <c r="I467" s="233"/>
      <c r="J467" s="233"/>
      <c r="K467" s="233"/>
      <c r="L467" s="233"/>
    </row>
    <row r="468" spans="1:15" ht="12" hidden="1" customHeight="1" outlineLevel="1">
      <c r="B468" s="233"/>
      <c r="C468" s="233"/>
      <c r="D468" s="233"/>
      <c r="E468" s="233"/>
      <c r="F468" s="233"/>
      <c r="G468" s="233"/>
      <c r="H468" s="233"/>
      <c r="I468" s="233"/>
      <c r="J468" s="233"/>
      <c r="K468" s="233"/>
      <c r="L468" s="233"/>
    </row>
    <row r="469" spans="1:15" ht="12" hidden="1" customHeight="1" outlineLevel="1">
      <c r="B469" s="233"/>
      <c r="C469" s="233"/>
      <c r="D469" s="233"/>
      <c r="E469" s="233"/>
      <c r="F469" s="233"/>
      <c r="G469" s="233"/>
      <c r="H469" s="233"/>
      <c r="I469" s="233"/>
      <c r="J469" s="233"/>
      <c r="K469" s="233"/>
      <c r="L469" s="233"/>
    </row>
    <row r="470" spans="1:15" ht="38.25" hidden="1" customHeight="1" outlineLevel="1">
      <c r="B470" s="788" t="s">
        <v>688</v>
      </c>
      <c r="C470" s="716" t="s">
        <v>153</v>
      </c>
      <c r="D470" s="716" t="s">
        <v>154</v>
      </c>
      <c r="E470" s="716" t="s">
        <v>196</v>
      </c>
      <c r="F470" s="716" t="s">
        <v>222</v>
      </c>
      <c r="G470" s="716" t="s">
        <v>223</v>
      </c>
      <c r="H470" s="716" t="s">
        <v>216</v>
      </c>
      <c r="I470" s="716" t="s">
        <v>274</v>
      </c>
      <c r="J470" s="716" t="s">
        <v>313</v>
      </c>
      <c r="K470" s="726" t="s">
        <v>149</v>
      </c>
      <c r="L470" s="644" t="s">
        <v>366</v>
      </c>
    </row>
    <row r="471" spans="1:15" ht="12.75" hidden="1" customHeight="1" outlineLevel="1">
      <c r="B471" s="650" t="s">
        <v>1478</v>
      </c>
      <c r="C471" s="789">
        <v>0.5</v>
      </c>
      <c r="D471" s="789">
        <v>0.5</v>
      </c>
      <c r="E471" s="789">
        <v>0.5</v>
      </c>
      <c r="F471" s="789">
        <v>0.5</v>
      </c>
      <c r="G471" s="789">
        <v>0.5</v>
      </c>
      <c r="H471" s="789">
        <v>0.5</v>
      </c>
      <c r="I471" s="789">
        <v>0.33</v>
      </c>
      <c r="J471" s="789">
        <v>0.33</v>
      </c>
      <c r="K471" s="789">
        <v>0.5</v>
      </c>
      <c r="L471" s="651">
        <v>0.1</v>
      </c>
    </row>
    <row r="472" spans="1:15" ht="12.75" hidden="1" customHeight="1" outlineLevel="1">
      <c r="B472" s="648"/>
      <c r="C472" s="658"/>
      <c r="D472" s="658"/>
      <c r="E472" s="658"/>
      <c r="F472" s="658"/>
      <c r="G472" s="658"/>
      <c r="H472" s="658"/>
      <c r="I472" s="658"/>
      <c r="J472" s="658"/>
      <c r="K472" s="658"/>
      <c r="L472" s="656"/>
    </row>
    <row r="473" spans="1:15" ht="12" hidden="1" customHeight="1" outlineLevel="1">
      <c r="B473" s="2"/>
      <c r="C473" s="2"/>
      <c r="D473" s="2"/>
      <c r="E473" s="2"/>
      <c r="F473" s="2"/>
      <c r="G473" s="2"/>
      <c r="H473" s="2"/>
      <c r="I473" s="2"/>
      <c r="J473" s="2"/>
      <c r="K473" s="2"/>
      <c r="L473" s="2"/>
    </row>
    <row r="475" spans="1:15" ht="15.6" collapsed="1">
      <c r="B475" s="2878" t="s">
        <v>386</v>
      </c>
      <c r="C475" s="2879"/>
      <c r="D475" s="2879"/>
      <c r="E475" s="2879"/>
      <c r="F475" s="2879"/>
      <c r="G475" s="2879"/>
      <c r="H475" s="2879"/>
      <c r="I475" s="2879"/>
      <c r="J475" s="2879"/>
      <c r="K475" s="2879"/>
      <c r="L475" s="2879"/>
      <c r="M475" s="2879"/>
      <c r="N475" s="2879"/>
      <c r="O475" s="2880"/>
    </row>
    <row r="476" spans="1:15" hidden="1" outlineLevel="1"/>
    <row r="477" spans="1:15" s="911" customFormat="1" ht="39.6" hidden="1" outlineLevel="1">
      <c r="A477" s="113"/>
      <c r="B477" s="730" t="s">
        <v>789</v>
      </c>
      <c r="C477" s="718" t="s">
        <v>360</v>
      </c>
      <c r="D477" s="719" t="s">
        <v>360</v>
      </c>
      <c r="E477" s="719" t="s">
        <v>360</v>
      </c>
      <c r="F477" s="719" t="s">
        <v>360</v>
      </c>
      <c r="G477" s="912" t="s">
        <v>360</v>
      </c>
      <c r="H477" s="718" t="s">
        <v>432</v>
      </c>
      <c r="I477" s="719" t="s">
        <v>432</v>
      </c>
      <c r="J477" s="719" t="s">
        <v>432</v>
      </c>
      <c r="K477" s="912" t="s">
        <v>432</v>
      </c>
      <c r="L477" s="910" t="s">
        <v>240</v>
      </c>
      <c r="M477" s="719" t="s">
        <v>320</v>
      </c>
      <c r="N477" s="912" t="s">
        <v>359</v>
      </c>
      <c r="O477" s="912" t="s">
        <v>348</v>
      </c>
    </row>
    <row r="478" spans="1:15" s="911" customFormat="1" ht="39.6" hidden="1" outlineLevel="1">
      <c r="A478" s="113"/>
      <c r="B478" s="913"/>
      <c r="C478" s="733" t="s">
        <v>433</v>
      </c>
      <c r="D478" s="676" t="s">
        <v>29</v>
      </c>
      <c r="E478" s="676" t="s">
        <v>48</v>
      </c>
      <c r="F478" s="676" t="s">
        <v>34</v>
      </c>
      <c r="G478" s="724" t="s">
        <v>358</v>
      </c>
      <c r="H478" s="733" t="s">
        <v>292</v>
      </c>
      <c r="I478" s="676" t="s">
        <v>48</v>
      </c>
      <c r="J478" s="676" t="s">
        <v>34</v>
      </c>
      <c r="K478" s="724" t="s">
        <v>358</v>
      </c>
      <c r="L478" s="909"/>
      <c r="M478" s="676"/>
      <c r="N478" s="724"/>
      <c r="O478" s="914"/>
    </row>
    <row r="479" spans="1:15" ht="13.2" hidden="1" outlineLevel="1">
      <c r="B479" s="701" t="s">
        <v>1479</v>
      </c>
      <c r="C479" s="712">
        <v>0</v>
      </c>
      <c r="D479" s="720">
        <v>0.46</v>
      </c>
      <c r="E479" s="720">
        <v>0</v>
      </c>
      <c r="F479" s="720">
        <v>0</v>
      </c>
      <c r="G479" s="695">
        <v>0</v>
      </c>
      <c r="H479" s="712">
        <v>0.01</v>
      </c>
      <c r="I479" s="720">
        <v>0</v>
      </c>
      <c r="J479" s="720">
        <v>0</v>
      </c>
      <c r="K479" s="695">
        <v>0</v>
      </c>
      <c r="L479" s="653">
        <v>0.53</v>
      </c>
      <c r="M479" s="713">
        <v>0</v>
      </c>
      <c r="N479" s="681">
        <v>0</v>
      </c>
      <c r="O479" s="695">
        <f>SUM(C479:N479)</f>
        <v>1</v>
      </c>
    </row>
    <row r="480" spans="1:15" ht="13.2" hidden="1" outlineLevel="1">
      <c r="B480" s="703" t="s">
        <v>1480</v>
      </c>
      <c r="C480" s="713">
        <v>0</v>
      </c>
      <c r="D480" s="721">
        <v>0.6</v>
      </c>
      <c r="E480" s="721">
        <v>0</v>
      </c>
      <c r="F480" s="721">
        <v>0</v>
      </c>
      <c r="G480" s="681">
        <v>0</v>
      </c>
      <c r="H480" s="713">
        <v>0</v>
      </c>
      <c r="I480" s="721">
        <v>0</v>
      </c>
      <c r="J480" s="721">
        <v>0</v>
      </c>
      <c r="K480" s="681">
        <v>0</v>
      </c>
      <c r="L480" s="653">
        <v>0.4</v>
      </c>
      <c r="M480" s="713">
        <v>0</v>
      </c>
      <c r="N480" s="681">
        <v>0</v>
      </c>
      <c r="O480" s="681">
        <f>SUM(C480:N480)</f>
        <v>1</v>
      </c>
    </row>
    <row r="481" spans="2:15" ht="13.2" hidden="1" outlineLevel="1">
      <c r="B481" s="703" t="s">
        <v>1481</v>
      </c>
      <c r="C481" s="713">
        <v>0</v>
      </c>
      <c r="D481" s="721">
        <v>0.89</v>
      </c>
      <c r="E481" s="721">
        <v>0</v>
      </c>
      <c r="F481" s="721">
        <v>0</v>
      </c>
      <c r="G481" s="681">
        <v>0</v>
      </c>
      <c r="H481" s="713">
        <v>0.09</v>
      </c>
      <c r="I481" s="721">
        <v>0</v>
      </c>
      <c r="J481" s="721">
        <v>0</v>
      </c>
      <c r="K481" s="681">
        <v>0</v>
      </c>
      <c r="L481" s="653">
        <v>0.02</v>
      </c>
      <c r="M481" s="713">
        <v>0</v>
      </c>
      <c r="N481" s="681">
        <v>0</v>
      </c>
      <c r="O481" s="681">
        <f t="shared" ref="O481:O544" si="14">SUM(C481:N481)</f>
        <v>1</v>
      </c>
    </row>
    <row r="482" spans="2:15" ht="13.2" hidden="1" outlineLevel="1">
      <c r="B482" s="703" t="s">
        <v>1482</v>
      </c>
      <c r="C482" s="713">
        <v>0</v>
      </c>
      <c r="D482" s="721">
        <v>1</v>
      </c>
      <c r="E482" s="721">
        <v>0</v>
      </c>
      <c r="F482" s="721">
        <v>0</v>
      </c>
      <c r="G482" s="681">
        <v>0</v>
      </c>
      <c r="H482" s="713">
        <v>0</v>
      </c>
      <c r="I482" s="721">
        <v>0</v>
      </c>
      <c r="J482" s="721">
        <v>0</v>
      </c>
      <c r="K482" s="681">
        <v>0</v>
      </c>
      <c r="L482" s="653">
        <v>0</v>
      </c>
      <c r="M482" s="713">
        <v>0</v>
      </c>
      <c r="N482" s="681">
        <v>0</v>
      </c>
      <c r="O482" s="681">
        <f t="shared" si="14"/>
        <v>1</v>
      </c>
    </row>
    <row r="483" spans="2:15" ht="13.2" hidden="1" outlineLevel="1">
      <c r="B483" s="703" t="s">
        <v>1483</v>
      </c>
      <c r="C483" s="713">
        <v>0</v>
      </c>
      <c r="D483" s="721">
        <v>0.64</v>
      </c>
      <c r="E483" s="721">
        <v>0</v>
      </c>
      <c r="F483" s="721">
        <v>0</v>
      </c>
      <c r="G483" s="681">
        <v>0</v>
      </c>
      <c r="H483" s="713">
        <v>0.35</v>
      </c>
      <c r="I483" s="721">
        <v>0</v>
      </c>
      <c r="J483" s="721">
        <v>0</v>
      </c>
      <c r="K483" s="681">
        <v>0</v>
      </c>
      <c r="L483" s="653">
        <v>0.01</v>
      </c>
      <c r="M483" s="713">
        <v>0</v>
      </c>
      <c r="N483" s="681">
        <v>0</v>
      </c>
      <c r="O483" s="681">
        <f t="shared" si="14"/>
        <v>1</v>
      </c>
    </row>
    <row r="484" spans="2:15" ht="13.2" hidden="1" outlineLevel="1">
      <c r="B484" s="703" t="s">
        <v>1484</v>
      </c>
      <c r="C484" s="713">
        <v>0.39</v>
      </c>
      <c r="D484" s="721">
        <v>0.4</v>
      </c>
      <c r="E484" s="721">
        <v>0</v>
      </c>
      <c r="F484" s="721">
        <v>0</v>
      </c>
      <c r="G484" s="681">
        <v>0</v>
      </c>
      <c r="H484" s="713">
        <v>0.16</v>
      </c>
      <c r="I484" s="721">
        <v>0</v>
      </c>
      <c r="J484" s="721">
        <v>0</v>
      </c>
      <c r="K484" s="681">
        <v>0</v>
      </c>
      <c r="L484" s="653">
        <v>0.05</v>
      </c>
      <c r="M484" s="713">
        <v>0</v>
      </c>
      <c r="N484" s="681">
        <v>0</v>
      </c>
      <c r="O484" s="681">
        <f t="shared" si="14"/>
        <v>1</v>
      </c>
    </row>
    <row r="485" spans="2:15" ht="13.2" hidden="1" outlineLevel="1">
      <c r="B485" s="703" t="s">
        <v>1485</v>
      </c>
      <c r="C485" s="713">
        <v>0</v>
      </c>
      <c r="D485" s="721">
        <v>0.99</v>
      </c>
      <c r="E485" s="721">
        <v>0</v>
      </c>
      <c r="F485" s="721">
        <v>0</v>
      </c>
      <c r="G485" s="681">
        <v>0</v>
      </c>
      <c r="H485" s="713">
        <v>0.01</v>
      </c>
      <c r="I485" s="721">
        <v>0</v>
      </c>
      <c r="J485" s="721">
        <v>0</v>
      </c>
      <c r="K485" s="681">
        <v>0</v>
      </c>
      <c r="L485" s="653">
        <v>0</v>
      </c>
      <c r="M485" s="713">
        <v>0</v>
      </c>
      <c r="N485" s="681">
        <v>0</v>
      </c>
      <c r="O485" s="681">
        <f t="shared" si="14"/>
        <v>1</v>
      </c>
    </row>
    <row r="486" spans="2:15" ht="13.2" hidden="1" outlineLevel="1">
      <c r="B486" s="703" t="s">
        <v>1486</v>
      </c>
      <c r="C486" s="713">
        <v>0.17</v>
      </c>
      <c r="D486" s="721">
        <v>0.57999999999999996</v>
      </c>
      <c r="E486" s="721">
        <v>0</v>
      </c>
      <c r="F486" s="721">
        <v>0</v>
      </c>
      <c r="G486" s="681">
        <v>0</v>
      </c>
      <c r="H486" s="713">
        <v>0</v>
      </c>
      <c r="I486" s="721">
        <v>0</v>
      </c>
      <c r="J486" s="721">
        <v>0</v>
      </c>
      <c r="K486" s="681">
        <v>0</v>
      </c>
      <c r="L486" s="653">
        <v>0.25</v>
      </c>
      <c r="M486" s="713">
        <v>0</v>
      </c>
      <c r="N486" s="681">
        <v>0</v>
      </c>
      <c r="O486" s="681">
        <f t="shared" si="14"/>
        <v>1</v>
      </c>
    </row>
    <row r="487" spans="2:15" ht="13.2" hidden="1" outlineLevel="1">
      <c r="B487" s="703" t="s">
        <v>1487</v>
      </c>
      <c r="C487" s="713">
        <v>0</v>
      </c>
      <c r="D487" s="721">
        <v>0</v>
      </c>
      <c r="E487" s="721">
        <v>0</v>
      </c>
      <c r="F487" s="721">
        <v>0</v>
      </c>
      <c r="G487" s="681">
        <v>0</v>
      </c>
      <c r="H487" s="713">
        <v>0</v>
      </c>
      <c r="I487" s="721">
        <v>0</v>
      </c>
      <c r="J487" s="721">
        <v>0</v>
      </c>
      <c r="K487" s="681">
        <v>0</v>
      </c>
      <c r="L487" s="653">
        <v>1</v>
      </c>
      <c r="M487" s="713">
        <v>0</v>
      </c>
      <c r="N487" s="681">
        <v>0</v>
      </c>
      <c r="O487" s="681">
        <f t="shared" si="14"/>
        <v>1</v>
      </c>
    </row>
    <row r="488" spans="2:15" ht="13.2" hidden="1" outlineLevel="1">
      <c r="B488" s="703" t="s">
        <v>1488</v>
      </c>
      <c r="C488" s="713">
        <v>0</v>
      </c>
      <c r="D488" s="721">
        <v>0.49</v>
      </c>
      <c r="E488" s="721">
        <v>0</v>
      </c>
      <c r="F488" s="721">
        <v>0</v>
      </c>
      <c r="G488" s="681">
        <v>0</v>
      </c>
      <c r="H488" s="713">
        <v>0</v>
      </c>
      <c r="I488" s="721">
        <v>0</v>
      </c>
      <c r="J488" s="721">
        <v>0</v>
      </c>
      <c r="K488" s="681">
        <v>0</v>
      </c>
      <c r="L488" s="653">
        <v>0.51</v>
      </c>
      <c r="M488" s="713">
        <v>0</v>
      </c>
      <c r="N488" s="681">
        <v>0</v>
      </c>
      <c r="O488" s="681">
        <f t="shared" si="14"/>
        <v>1</v>
      </c>
    </row>
    <row r="489" spans="2:15" ht="13.2" hidden="1" outlineLevel="1">
      <c r="B489" s="703" t="s">
        <v>1489</v>
      </c>
      <c r="C489" s="713">
        <v>0</v>
      </c>
      <c r="D489" s="721">
        <v>0.4</v>
      </c>
      <c r="E489" s="721">
        <v>0</v>
      </c>
      <c r="F489" s="721">
        <v>0</v>
      </c>
      <c r="G489" s="681">
        <v>0</v>
      </c>
      <c r="H489" s="713">
        <v>0</v>
      </c>
      <c r="I489" s="721">
        <v>0</v>
      </c>
      <c r="J489" s="721">
        <v>0</v>
      </c>
      <c r="K489" s="681">
        <v>0</v>
      </c>
      <c r="L489" s="653">
        <v>0.6</v>
      </c>
      <c r="M489" s="713">
        <v>0</v>
      </c>
      <c r="N489" s="681">
        <v>0</v>
      </c>
      <c r="O489" s="681">
        <f t="shared" si="14"/>
        <v>1</v>
      </c>
    </row>
    <row r="490" spans="2:15" ht="13.2" hidden="1" outlineLevel="1">
      <c r="B490" s="703" t="s">
        <v>1490</v>
      </c>
      <c r="C490" s="713">
        <v>0</v>
      </c>
      <c r="D490" s="721">
        <v>0.89</v>
      </c>
      <c r="E490" s="721">
        <v>0</v>
      </c>
      <c r="F490" s="721">
        <v>0</v>
      </c>
      <c r="G490" s="681">
        <v>0</v>
      </c>
      <c r="H490" s="713">
        <v>0.09</v>
      </c>
      <c r="I490" s="721">
        <v>0</v>
      </c>
      <c r="J490" s="721">
        <v>0</v>
      </c>
      <c r="K490" s="681">
        <v>0</v>
      </c>
      <c r="L490" s="653">
        <v>0.02</v>
      </c>
      <c r="M490" s="713">
        <v>0</v>
      </c>
      <c r="N490" s="681">
        <v>0</v>
      </c>
      <c r="O490" s="681">
        <f t="shared" si="14"/>
        <v>1</v>
      </c>
    </row>
    <row r="491" spans="2:15" ht="13.2" hidden="1" outlineLevel="1">
      <c r="B491" s="703" t="s">
        <v>1491</v>
      </c>
      <c r="C491" s="713">
        <v>0</v>
      </c>
      <c r="D491" s="721">
        <v>1</v>
      </c>
      <c r="E491" s="721">
        <v>0</v>
      </c>
      <c r="F491" s="721">
        <v>0</v>
      </c>
      <c r="G491" s="681">
        <v>0</v>
      </c>
      <c r="H491" s="713">
        <v>0</v>
      </c>
      <c r="I491" s="721">
        <v>0</v>
      </c>
      <c r="J491" s="721">
        <v>0</v>
      </c>
      <c r="K491" s="681">
        <v>0</v>
      </c>
      <c r="L491" s="653">
        <v>0</v>
      </c>
      <c r="M491" s="713">
        <v>0</v>
      </c>
      <c r="N491" s="681">
        <v>0</v>
      </c>
      <c r="O491" s="681">
        <f t="shared" si="14"/>
        <v>1</v>
      </c>
    </row>
    <row r="492" spans="2:15" ht="13.2" hidden="1" outlineLevel="1">
      <c r="B492" s="703" t="s">
        <v>1492</v>
      </c>
      <c r="C492" s="713">
        <v>0</v>
      </c>
      <c r="D492" s="721">
        <v>0.64</v>
      </c>
      <c r="E492" s="721">
        <v>0</v>
      </c>
      <c r="F492" s="721">
        <v>0</v>
      </c>
      <c r="G492" s="681">
        <v>0</v>
      </c>
      <c r="H492" s="713">
        <v>0.35</v>
      </c>
      <c r="I492" s="721">
        <v>0</v>
      </c>
      <c r="J492" s="721">
        <v>0</v>
      </c>
      <c r="K492" s="681">
        <v>0</v>
      </c>
      <c r="L492" s="653">
        <v>0.01</v>
      </c>
      <c r="M492" s="713">
        <v>0</v>
      </c>
      <c r="N492" s="681">
        <v>0</v>
      </c>
      <c r="O492" s="681">
        <f t="shared" si="14"/>
        <v>1</v>
      </c>
    </row>
    <row r="493" spans="2:15" ht="13.2" hidden="1" outlineLevel="1">
      <c r="B493" s="703" t="s">
        <v>1493</v>
      </c>
      <c r="C493" s="713">
        <v>0.39</v>
      </c>
      <c r="D493" s="721">
        <v>0.4</v>
      </c>
      <c r="E493" s="721">
        <v>0</v>
      </c>
      <c r="F493" s="721">
        <v>0</v>
      </c>
      <c r="G493" s="681">
        <v>0</v>
      </c>
      <c r="H493" s="713">
        <v>0.16</v>
      </c>
      <c r="I493" s="721">
        <v>0</v>
      </c>
      <c r="J493" s="721">
        <v>0</v>
      </c>
      <c r="K493" s="681">
        <v>0</v>
      </c>
      <c r="L493" s="653">
        <v>0.05</v>
      </c>
      <c r="M493" s="713">
        <v>0</v>
      </c>
      <c r="N493" s="681">
        <v>0</v>
      </c>
      <c r="O493" s="681">
        <f t="shared" si="14"/>
        <v>1</v>
      </c>
    </row>
    <row r="494" spans="2:15" ht="13.2" hidden="1" outlineLevel="1">
      <c r="B494" s="703" t="s">
        <v>1494</v>
      </c>
      <c r="C494" s="713">
        <v>0</v>
      </c>
      <c r="D494" s="721">
        <v>0.99</v>
      </c>
      <c r="E494" s="721">
        <v>0</v>
      </c>
      <c r="F494" s="721">
        <v>0</v>
      </c>
      <c r="G494" s="681">
        <v>0</v>
      </c>
      <c r="H494" s="713">
        <v>0.01</v>
      </c>
      <c r="I494" s="721">
        <v>0</v>
      </c>
      <c r="J494" s="721">
        <v>0</v>
      </c>
      <c r="K494" s="681">
        <v>0</v>
      </c>
      <c r="L494" s="653">
        <v>0</v>
      </c>
      <c r="M494" s="713">
        <v>0</v>
      </c>
      <c r="N494" s="681">
        <v>0</v>
      </c>
      <c r="O494" s="681">
        <f t="shared" si="14"/>
        <v>1</v>
      </c>
    </row>
    <row r="495" spans="2:15" ht="13.2" hidden="1" outlineLevel="1">
      <c r="B495" s="703" t="s">
        <v>1495</v>
      </c>
      <c r="C495" s="713">
        <v>0.17</v>
      </c>
      <c r="D495" s="721">
        <v>0.57999999999999996</v>
      </c>
      <c r="E495" s="721">
        <v>0</v>
      </c>
      <c r="F495" s="721">
        <v>0</v>
      </c>
      <c r="G495" s="681">
        <v>0</v>
      </c>
      <c r="H495" s="713">
        <v>0</v>
      </c>
      <c r="I495" s="721">
        <v>0</v>
      </c>
      <c r="J495" s="721">
        <v>0</v>
      </c>
      <c r="K495" s="681">
        <v>0</v>
      </c>
      <c r="L495" s="653">
        <v>0.25</v>
      </c>
      <c r="M495" s="713">
        <v>0</v>
      </c>
      <c r="N495" s="681">
        <v>0</v>
      </c>
      <c r="O495" s="681">
        <f t="shared" si="14"/>
        <v>1</v>
      </c>
    </row>
    <row r="496" spans="2:15" ht="13.2" hidden="1" outlineLevel="1">
      <c r="B496" s="703" t="s">
        <v>1496</v>
      </c>
      <c r="C496" s="713">
        <v>0</v>
      </c>
      <c r="D496" s="721">
        <v>0.16</v>
      </c>
      <c r="E496" s="721">
        <v>0</v>
      </c>
      <c r="F496" s="721">
        <v>0</v>
      </c>
      <c r="G496" s="681">
        <v>0</v>
      </c>
      <c r="H496" s="713">
        <v>0</v>
      </c>
      <c r="I496" s="721">
        <v>0</v>
      </c>
      <c r="J496" s="721">
        <v>0</v>
      </c>
      <c r="K496" s="681">
        <v>0</v>
      </c>
      <c r="L496" s="653">
        <v>0.84</v>
      </c>
      <c r="M496" s="713">
        <v>0</v>
      </c>
      <c r="N496" s="681">
        <v>0</v>
      </c>
      <c r="O496" s="681">
        <f t="shared" si="14"/>
        <v>1</v>
      </c>
    </row>
    <row r="497" spans="2:17" ht="13.2" hidden="1" outlineLevel="1">
      <c r="B497" s="703" t="s">
        <v>1497</v>
      </c>
      <c r="C497" s="713">
        <v>0</v>
      </c>
      <c r="D497" s="721">
        <v>0.32</v>
      </c>
      <c r="E497" s="721">
        <v>0.13</v>
      </c>
      <c r="F497" s="721">
        <v>0.02</v>
      </c>
      <c r="G497" s="681">
        <v>0</v>
      </c>
      <c r="H497" s="713">
        <v>0.02</v>
      </c>
      <c r="I497" s="721">
        <v>0.15</v>
      </c>
      <c r="J497" s="721">
        <v>0.04</v>
      </c>
      <c r="K497" s="681">
        <v>0.17</v>
      </c>
      <c r="L497" s="653">
        <v>0.15</v>
      </c>
      <c r="M497" s="713">
        <v>0</v>
      </c>
      <c r="N497" s="681">
        <v>0</v>
      </c>
      <c r="O497" s="681">
        <f t="shared" si="14"/>
        <v>1</v>
      </c>
    </row>
    <row r="498" spans="2:17" ht="13.2" hidden="1" outlineLevel="1">
      <c r="B498" s="703" t="s">
        <v>1498</v>
      </c>
      <c r="C498" s="713">
        <v>0</v>
      </c>
      <c r="D498" s="721">
        <v>0.37119999999999997</v>
      </c>
      <c r="E498" s="721">
        <v>0.17399999999999999</v>
      </c>
      <c r="F498" s="721">
        <v>2.3199999999999998E-2</v>
      </c>
      <c r="G498" s="681">
        <v>1.1599999999999999E-2</v>
      </c>
      <c r="H498" s="713">
        <v>1.4162797895388424E-2</v>
      </c>
      <c r="I498" s="721">
        <v>0.12476632621479418</v>
      </c>
      <c r="J498" s="721">
        <v>3.513463324048282E-2</v>
      </c>
      <c r="K498" s="681">
        <v>0.14593624264933458</v>
      </c>
      <c r="L498" s="653">
        <v>0.1</v>
      </c>
      <c r="M498" s="713">
        <v>0</v>
      </c>
      <c r="N498" s="681">
        <v>0</v>
      </c>
      <c r="O498" s="681">
        <f t="shared" si="14"/>
        <v>0.99999999999999989</v>
      </c>
    </row>
    <row r="499" spans="2:17" ht="13.2" hidden="1" outlineLevel="1">
      <c r="B499" s="703" t="s">
        <v>1499</v>
      </c>
      <c r="C499" s="713">
        <v>0</v>
      </c>
      <c r="D499" s="721">
        <v>0.89</v>
      </c>
      <c r="E499" s="721">
        <v>0</v>
      </c>
      <c r="F499" s="721">
        <v>0</v>
      </c>
      <c r="G499" s="681">
        <v>0</v>
      </c>
      <c r="H499" s="713">
        <v>0</v>
      </c>
      <c r="I499" s="721">
        <v>0.04</v>
      </c>
      <c r="J499" s="721">
        <v>0.01</v>
      </c>
      <c r="K499" s="681">
        <v>0.04</v>
      </c>
      <c r="L499" s="653">
        <v>0.02</v>
      </c>
      <c r="M499" s="713">
        <v>0</v>
      </c>
      <c r="N499" s="681">
        <v>0</v>
      </c>
      <c r="O499" s="681">
        <f t="shared" si="14"/>
        <v>1</v>
      </c>
    </row>
    <row r="500" spans="2:17" ht="13.2" hidden="1" outlineLevel="1">
      <c r="B500" s="703" t="s">
        <v>1500</v>
      </c>
      <c r="C500" s="713">
        <v>0</v>
      </c>
      <c r="D500" s="721">
        <v>1</v>
      </c>
      <c r="E500" s="721">
        <v>0</v>
      </c>
      <c r="F500" s="721">
        <v>0</v>
      </c>
      <c r="G500" s="681">
        <v>0</v>
      </c>
      <c r="H500" s="713">
        <v>0</v>
      </c>
      <c r="I500" s="721">
        <v>0</v>
      </c>
      <c r="J500" s="721">
        <v>0</v>
      </c>
      <c r="K500" s="681">
        <v>0</v>
      </c>
      <c r="L500" s="653">
        <v>0</v>
      </c>
      <c r="M500" s="713">
        <v>0</v>
      </c>
      <c r="N500" s="681">
        <v>0</v>
      </c>
      <c r="O500" s="681">
        <f t="shared" si="14"/>
        <v>1</v>
      </c>
    </row>
    <row r="501" spans="2:17" ht="13.2" hidden="1" outlineLevel="1">
      <c r="B501" s="703" t="s">
        <v>1501</v>
      </c>
      <c r="C501" s="713">
        <v>0</v>
      </c>
      <c r="D501" s="721">
        <v>0.64</v>
      </c>
      <c r="E501" s="721">
        <v>0</v>
      </c>
      <c r="F501" s="721">
        <v>0</v>
      </c>
      <c r="G501" s="681">
        <v>0</v>
      </c>
      <c r="H501" s="713">
        <v>0</v>
      </c>
      <c r="I501" s="721">
        <v>0.14000000000000001</v>
      </c>
      <c r="J501" s="721">
        <v>0.04</v>
      </c>
      <c r="K501" s="681">
        <v>0.17</v>
      </c>
      <c r="L501" s="653">
        <v>0.01</v>
      </c>
      <c r="M501" s="713">
        <v>0</v>
      </c>
      <c r="N501" s="681">
        <v>0</v>
      </c>
      <c r="O501" s="681">
        <f t="shared" si="14"/>
        <v>1</v>
      </c>
    </row>
    <row r="502" spans="2:17" ht="13.2" hidden="1" outlineLevel="1">
      <c r="B502" s="703" t="s">
        <v>1502</v>
      </c>
      <c r="C502" s="713">
        <v>0.41</v>
      </c>
      <c r="D502" s="721">
        <v>0.42</v>
      </c>
      <c r="E502" s="721">
        <v>0</v>
      </c>
      <c r="F502" s="721">
        <v>0</v>
      </c>
      <c r="G502" s="681">
        <v>0</v>
      </c>
      <c r="H502" s="713">
        <v>0.17</v>
      </c>
      <c r="I502" s="721">
        <v>0</v>
      </c>
      <c r="J502" s="721">
        <v>0</v>
      </c>
      <c r="K502" s="681">
        <v>0</v>
      </c>
      <c r="L502" s="653">
        <v>0</v>
      </c>
      <c r="M502" s="713">
        <v>0</v>
      </c>
      <c r="N502" s="681">
        <v>0</v>
      </c>
      <c r="O502" s="681">
        <f t="shared" si="14"/>
        <v>1</v>
      </c>
    </row>
    <row r="503" spans="2:17" ht="13.2" hidden="1" outlineLevel="1">
      <c r="B503" s="703" t="s">
        <v>1503</v>
      </c>
      <c r="C503" s="713">
        <v>0</v>
      </c>
      <c r="D503" s="721">
        <v>0.99</v>
      </c>
      <c r="E503" s="721">
        <v>0</v>
      </c>
      <c r="F503" s="721">
        <v>0</v>
      </c>
      <c r="G503" s="681">
        <v>0</v>
      </c>
      <c r="H503" s="713">
        <v>0.01</v>
      </c>
      <c r="I503" s="721">
        <v>0</v>
      </c>
      <c r="J503" s="721">
        <v>0</v>
      </c>
      <c r="K503" s="681">
        <v>0</v>
      </c>
      <c r="L503" s="653">
        <v>0</v>
      </c>
      <c r="M503" s="713">
        <v>0</v>
      </c>
      <c r="N503" s="681">
        <v>0</v>
      </c>
      <c r="O503" s="681">
        <f t="shared" si="14"/>
        <v>1</v>
      </c>
    </row>
    <row r="504" spans="2:17" ht="13.2" hidden="1" outlineLevel="1">
      <c r="B504" s="703" t="s">
        <v>1504</v>
      </c>
      <c r="C504" s="713">
        <v>0.17</v>
      </c>
      <c r="D504" s="721">
        <v>0.57999999999999996</v>
      </c>
      <c r="E504" s="721">
        <v>0</v>
      </c>
      <c r="F504" s="721">
        <v>0</v>
      </c>
      <c r="G504" s="681">
        <v>0</v>
      </c>
      <c r="H504" s="713">
        <v>0</v>
      </c>
      <c r="I504" s="721">
        <v>0</v>
      </c>
      <c r="J504" s="721">
        <v>0</v>
      </c>
      <c r="K504" s="681">
        <v>0</v>
      </c>
      <c r="L504" s="653">
        <v>0.25</v>
      </c>
      <c r="M504" s="713">
        <v>0</v>
      </c>
      <c r="N504" s="681">
        <v>0</v>
      </c>
      <c r="O504" s="681">
        <f t="shared" si="14"/>
        <v>1</v>
      </c>
    </row>
    <row r="505" spans="2:17" ht="13.2" hidden="1" outlineLevel="1">
      <c r="B505" s="703" t="s">
        <v>1505</v>
      </c>
      <c r="C505" s="713">
        <v>0</v>
      </c>
      <c r="D505" s="721">
        <v>0.16</v>
      </c>
      <c r="E505" s="721">
        <v>0</v>
      </c>
      <c r="F505" s="721">
        <v>0</v>
      </c>
      <c r="G505" s="681">
        <v>0</v>
      </c>
      <c r="H505" s="713">
        <v>0</v>
      </c>
      <c r="I505" s="721">
        <v>0</v>
      </c>
      <c r="J505" s="721">
        <v>0</v>
      </c>
      <c r="K505" s="681">
        <v>0</v>
      </c>
      <c r="L505" s="653">
        <v>0.84</v>
      </c>
      <c r="M505" s="713">
        <v>0</v>
      </c>
      <c r="N505" s="681">
        <v>0</v>
      </c>
      <c r="O505" s="681">
        <f t="shared" si="14"/>
        <v>1</v>
      </c>
    </row>
    <row r="506" spans="2:17" ht="13.2" hidden="1" outlineLevel="1">
      <c r="B506" s="703" t="s">
        <v>1506</v>
      </c>
      <c r="C506" s="713">
        <v>0</v>
      </c>
      <c r="D506" s="721">
        <v>0.17</v>
      </c>
      <c r="E506" s="721">
        <v>7.0000000000000007E-2</v>
      </c>
      <c r="F506" s="721">
        <v>0.01</v>
      </c>
      <c r="G506" s="681">
        <v>0</v>
      </c>
      <c r="H506" s="713">
        <v>0.02</v>
      </c>
      <c r="I506" s="721">
        <v>0.09</v>
      </c>
      <c r="J506" s="721">
        <v>0.02</v>
      </c>
      <c r="K506" s="681">
        <v>0.1</v>
      </c>
      <c r="L506" s="653">
        <v>0.52</v>
      </c>
      <c r="M506" s="713">
        <v>0</v>
      </c>
      <c r="N506" s="681">
        <v>0</v>
      </c>
      <c r="O506" s="681">
        <f t="shared" si="14"/>
        <v>1</v>
      </c>
      <c r="Q506" s="237"/>
    </row>
    <row r="507" spans="2:17" ht="13.2" hidden="1" outlineLevel="1">
      <c r="B507" s="703" t="s">
        <v>1507</v>
      </c>
      <c r="C507" s="713">
        <v>0</v>
      </c>
      <c r="D507" s="721">
        <v>7.6799999999999993E-2</v>
      </c>
      <c r="E507" s="721">
        <v>3.5999999999999997E-2</v>
      </c>
      <c r="F507" s="721">
        <v>4.7999999999999996E-3</v>
      </c>
      <c r="G507" s="681">
        <v>2.3999999999999998E-3</v>
      </c>
      <c r="H507" s="713">
        <v>3.0981120396162179E-3</v>
      </c>
      <c r="I507" s="721">
        <v>2.7292633859486229E-2</v>
      </c>
      <c r="J507" s="721">
        <v>7.6857010213556183E-3</v>
      </c>
      <c r="K507" s="681">
        <v>3.1923553079541943E-2</v>
      </c>
      <c r="L507" s="653">
        <v>0.8</v>
      </c>
      <c r="M507" s="713">
        <v>0.01</v>
      </c>
      <c r="N507" s="681">
        <v>0</v>
      </c>
      <c r="O507" s="681">
        <f t="shared" si="14"/>
        <v>1</v>
      </c>
      <c r="Q507" s="237"/>
    </row>
    <row r="508" spans="2:17" ht="13.2" hidden="1" outlineLevel="1">
      <c r="B508" s="703" t="s">
        <v>1508</v>
      </c>
      <c r="C508" s="713">
        <v>0</v>
      </c>
      <c r="D508" s="721">
        <v>0.89</v>
      </c>
      <c r="E508" s="721">
        <v>0</v>
      </c>
      <c r="F508" s="721">
        <v>0</v>
      </c>
      <c r="G508" s="681">
        <v>0</v>
      </c>
      <c r="H508" s="713">
        <v>0</v>
      </c>
      <c r="I508" s="721">
        <v>0.04</v>
      </c>
      <c r="J508" s="721">
        <v>0.01</v>
      </c>
      <c r="K508" s="681">
        <v>0.04</v>
      </c>
      <c r="L508" s="653">
        <v>0.02</v>
      </c>
      <c r="M508" s="713">
        <v>0</v>
      </c>
      <c r="N508" s="681">
        <v>0</v>
      </c>
      <c r="O508" s="681">
        <f t="shared" si="14"/>
        <v>1</v>
      </c>
      <c r="Q508" s="237"/>
    </row>
    <row r="509" spans="2:17" ht="13.2" hidden="1" outlineLevel="1">
      <c r="B509" s="703" t="s">
        <v>1509</v>
      </c>
      <c r="C509" s="713">
        <v>0</v>
      </c>
      <c r="D509" s="721">
        <v>1</v>
      </c>
      <c r="E509" s="721">
        <v>0</v>
      </c>
      <c r="F509" s="721">
        <v>0</v>
      </c>
      <c r="G509" s="681">
        <v>0</v>
      </c>
      <c r="H509" s="713">
        <v>0</v>
      </c>
      <c r="I509" s="721">
        <v>0</v>
      </c>
      <c r="J509" s="721">
        <v>0</v>
      </c>
      <c r="K509" s="681">
        <v>0</v>
      </c>
      <c r="L509" s="653">
        <v>0</v>
      </c>
      <c r="M509" s="713">
        <v>0</v>
      </c>
      <c r="N509" s="681">
        <v>0</v>
      </c>
      <c r="O509" s="681">
        <f t="shared" si="14"/>
        <v>1</v>
      </c>
      <c r="Q509" s="237"/>
    </row>
    <row r="510" spans="2:17" ht="13.2" hidden="1" outlineLevel="1">
      <c r="B510" s="703" t="s">
        <v>1510</v>
      </c>
      <c r="C510" s="713">
        <v>0</v>
      </c>
      <c r="D510" s="721">
        <v>0.64</v>
      </c>
      <c r="E510" s="721">
        <v>0</v>
      </c>
      <c r="F510" s="721">
        <v>0</v>
      </c>
      <c r="G510" s="681">
        <v>0</v>
      </c>
      <c r="H510" s="713">
        <v>0</v>
      </c>
      <c r="I510" s="721">
        <v>0.14000000000000001</v>
      </c>
      <c r="J510" s="721">
        <v>0.04</v>
      </c>
      <c r="K510" s="681">
        <v>0.17</v>
      </c>
      <c r="L510" s="653">
        <v>0.01</v>
      </c>
      <c r="M510" s="713">
        <v>0</v>
      </c>
      <c r="N510" s="681">
        <v>0</v>
      </c>
      <c r="O510" s="681">
        <f t="shared" si="14"/>
        <v>1</v>
      </c>
      <c r="Q510" s="237"/>
    </row>
    <row r="511" spans="2:17" ht="13.2" hidden="1" outlineLevel="1">
      <c r="B511" s="703" t="s">
        <v>1511</v>
      </c>
      <c r="C511" s="713">
        <v>0.41</v>
      </c>
      <c r="D511" s="721">
        <v>0.42</v>
      </c>
      <c r="E511" s="721">
        <v>0</v>
      </c>
      <c r="F511" s="721">
        <v>0</v>
      </c>
      <c r="G511" s="681">
        <v>0</v>
      </c>
      <c r="H511" s="713">
        <v>0.17</v>
      </c>
      <c r="I511" s="721">
        <v>0</v>
      </c>
      <c r="J511" s="721">
        <v>0</v>
      </c>
      <c r="K511" s="681">
        <v>0</v>
      </c>
      <c r="L511" s="653">
        <v>0</v>
      </c>
      <c r="M511" s="713">
        <v>0</v>
      </c>
      <c r="N511" s="681">
        <v>0</v>
      </c>
      <c r="O511" s="681">
        <f t="shared" si="14"/>
        <v>1</v>
      </c>
      <c r="Q511" s="237"/>
    </row>
    <row r="512" spans="2:17" ht="13.2" hidden="1" outlineLevel="1">
      <c r="B512" s="703" t="s">
        <v>1512</v>
      </c>
      <c r="C512" s="713">
        <v>0</v>
      </c>
      <c r="D512" s="721">
        <v>0.99</v>
      </c>
      <c r="E512" s="721">
        <v>0</v>
      </c>
      <c r="F512" s="721">
        <v>0</v>
      </c>
      <c r="G512" s="681">
        <v>0</v>
      </c>
      <c r="H512" s="713">
        <v>0.01</v>
      </c>
      <c r="I512" s="721">
        <v>0</v>
      </c>
      <c r="J512" s="721">
        <v>0</v>
      </c>
      <c r="K512" s="681">
        <v>0</v>
      </c>
      <c r="L512" s="653">
        <v>0</v>
      </c>
      <c r="M512" s="713">
        <v>0</v>
      </c>
      <c r="N512" s="681">
        <v>0</v>
      </c>
      <c r="O512" s="681">
        <f t="shared" si="14"/>
        <v>1</v>
      </c>
      <c r="Q512" s="237"/>
    </row>
    <row r="513" spans="2:17" ht="13.2" hidden="1" outlineLevel="1">
      <c r="B513" s="703" t="s">
        <v>1513</v>
      </c>
      <c r="C513" s="713">
        <v>0.17</v>
      </c>
      <c r="D513" s="721">
        <v>0.57999999999999996</v>
      </c>
      <c r="E513" s="721">
        <v>0</v>
      </c>
      <c r="F513" s="721">
        <v>0</v>
      </c>
      <c r="G513" s="681">
        <v>0</v>
      </c>
      <c r="H513" s="713">
        <v>0</v>
      </c>
      <c r="I513" s="721">
        <v>0</v>
      </c>
      <c r="J513" s="721">
        <v>0</v>
      </c>
      <c r="K513" s="681">
        <v>0</v>
      </c>
      <c r="L513" s="653">
        <v>0.25</v>
      </c>
      <c r="M513" s="713">
        <v>0</v>
      </c>
      <c r="N513" s="681">
        <v>0</v>
      </c>
      <c r="O513" s="681">
        <f t="shared" si="14"/>
        <v>1</v>
      </c>
      <c r="Q513" s="237"/>
    </row>
    <row r="514" spans="2:17" ht="13.2" hidden="1" outlineLevel="1">
      <c r="B514" s="703" t="s">
        <v>1514</v>
      </c>
      <c r="C514" s="713">
        <v>0</v>
      </c>
      <c r="D514" s="721">
        <v>0.23</v>
      </c>
      <c r="E514" s="721">
        <v>0</v>
      </c>
      <c r="F514" s="721">
        <v>0</v>
      </c>
      <c r="G514" s="681">
        <v>0</v>
      </c>
      <c r="H514" s="713">
        <v>0</v>
      </c>
      <c r="I514" s="721">
        <v>0</v>
      </c>
      <c r="J514" s="721">
        <v>0</v>
      </c>
      <c r="K514" s="681">
        <v>0</v>
      </c>
      <c r="L514" s="653">
        <v>0.77</v>
      </c>
      <c r="M514" s="713">
        <v>0</v>
      </c>
      <c r="N514" s="681">
        <v>0</v>
      </c>
      <c r="O514" s="681">
        <f t="shared" si="14"/>
        <v>1</v>
      </c>
      <c r="Q514" s="237"/>
    </row>
    <row r="515" spans="2:17" ht="13.2" hidden="1" outlineLevel="1">
      <c r="B515" s="703" t="s">
        <v>1515</v>
      </c>
      <c r="C515" s="713">
        <v>0</v>
      </c>
      <c r="D515" s="721">
        <v>0.17</v>
      </c>
      <c r="E515" s="721">
        <v>7.0000000000000007E-2</v>
      </c>
      <c r="F515" s="721">
        <v>0.01</v>
      </c>
      <c r="G515" s="681">
        <v>0</v>
      </c>
      <c r="H515" s="713">
        <v>0.02</v>
      </c>
      <c r="I515" s="721">
        <v>0.09</v>
      </c>
      <c r="J515" s="721">
        <v>0.02</v>
      </c>
      <c r="K515" s="681">
        <v>0.1</v>
      </c>
      <c r="L515" s="653">
        <v>0.52</v>
      </c>
      <c r="M515" s="713">
        <v>0</v>
      </c>
      <c r="N515" s="681">
        <v>0</v>
      </c>
      <c r="O515" s="681">
        <f t="shared" si="14"/>
        <v>1</v>
      </c>
    </row>
    <row r="516" spans="2:17" ht="13.2" hidden="1" outlineLevel="1">
      <c r="B516" s="703" t="s">
        <v>1516</v>
      </c>
      <c r="C516" s="713">
        <v>0</v>
      </c>
      <c r="D516" s="721">
        <v>0.15359999999999999</v>
      </c>
      <c r="E516" s="721">
        <v>7.1999999999999995E-2</v>
      </c>
      <c r="F516" s="721">
        <v>9.5999999999999992E-3</v>
      </c>
      <c r="G516" s="681">
        <v>4.7999999999999996E-3</v>
      </c>
      <c r="H516" s="713">
        <v>6.1962240792324359E-3</v>
      </c>
      <c r="I516" s="721">
        <v>5.4585267718972458E-2</v>
      </c>
      <c r="J516" s="721">
        <v>1.5371402042711237E-2</v>
      </c>
      <c r="K516" s="681">
        <v>6.3847106159083886E-2</v>
      </c>
      <c r="L516" s="653">
        <v>0.6</v>
      </c>
      <c r="M516" s="713">
        <v>0.02</v>
      </c>
      <c r="N516" s="681">
        <v>0</v>
      </c>
      <c r="O516" s="681">
        <f t="shared" si="14"/>
        <v>1</v>
      </c>
    </row>
    <row r="517" spans="2:17" ht="13.2" hidden="1" outlineLevel="1">
      <c r="B517" s="703" t="s">
        <v>1517</v>
      </c>
      <c r="C517" s="713">
        <v>0</v>
      </c>
      <c r="D517" s="721">
        <v>0.89</v>
      </c>
      <c r="E517" s="721">
        <v>0</v>
      </c>
      <c r="F517" s="721">
        <v>0</v>
      </c>
      <c r="G517" s="681">
        <v>0</v>
      </c>
      <c r="H517" s="713">
        <v>0</v>
      </c>
      <c r="I517" s="721">
        <v>0.04</v>
      </c>
      <c r="J517" s="721">
        <v>0.01</v>
      </c>
      <c r="K517" s="681">
        <v>0.04</v>
      </c>
      <c r="L517" s="653">
        <v>0.02</v>
      </c>
      <c r="M517" s="713">
        <v>0</v>
      </c>
      <c r="N517" s="681">
        <v>0</v>
      </c>
      <c r="O517" s="681">
        <f t="shared" si="14"/>
        <v>1</v>
      </c>
    </row>
    <row r="518" spans="2:17" ht="13.2" hidden="1" outlineLevel="1">
      <c r="B518" s="703" t="s">
        <v>1518</v>
      </c>
      <c r="C518" s="713">
        <v>0</v>
      </c>
      <c r="D518" s="721">
        <v>1</v>
      </c>
      <c r="E518" s="721">
        <v>0</v>
      </c>
      <c r="F518" s="721">
        <v>0</v>
      </c>
      <c r="G518" s="681">
        <v>0</v>
      </c>
      <c r="H518" s="713">
        <v>0</v>
      </c>
      <c r="I518" s="721">
        <v>0</v>
      </c>
      <c r="J518" s="721">
        <v>0</v>
      </c>
      <c r="K518" s="681">
        <v>0</v>
      </c>
      <c r="L518" s="653">
        <v>0</v>
      </c>
      <c r="M518" s="713">
        <v>0</v>
      </c>
      <c r="N518" s="681">
        <v>0</v>
      </c>
      <c r="O518" s="681">
        <f t="shared" si="14"/>
        <v>1</v>
      </c>
    </row>
    <row r="519" spans="2:17" ht="13.2" hidden="1" outlineLevel="1">
      <c r="B519" s="703" t="s">
        <v>1519</v>
      </c>
      <c r="C519" s="713">
        <v>0</v>
      </c>
      <c r="D519" s="721">
        <v>0.64</v>
      </c>
      <c r="E519" s="721">
        <v>0</v>
      </c>
      <c r="F519" s="721">
        <v>0</v>
      </c>
      <c r="G519" s="681">
        <v>0</v>
      </c>
      <c r="H519" s="713">
        <v>0</v>
      </c>
      <c r="I519" s="721">
        <v>0.14000000000000001</v>
      </c>
      <c r="J519" s="721">
        <v>0.04</v>
      </c>
      <c r="K519" s="681">
        <v>0.17</v>
      </c>
      <c r="L519" s="653">
        <v>0.01</v>
      </c>
      <c r="M519" s="713">
        <v>0</v>
      </c>
      <c r="N519" s="681">
        <v>0</v>
      </c>
      <c r="O519" s="681">
        <f t="shared" si="14"/>
        <v>1</v>
      </c>
    </row>
    <row r="520" spans="2:17" ht="13.2" hidden="1" outlineLevel="1">
      <c r="B520" s="703" t="s">
        <v>1520</v>
      </c>
      <c r="C520" s="713">
        <v>0.41</v>
      </c>
      <c r="D520" s="721">
        <v>0.42</v>
      </c>
      <c r="E520" s="721">
        <v>0</v>
      </c>
      <c r="F520" s="721">
        <v>0</v>
      </c>
      <c r="G520" s="681">
        <v>0</v>
      </c>
      <c r="H520" s="713">
        <v>0.17</v>
      </c>
      <c r="I520" s="721">
        <v>0</v>
      </c>
      <c r="J520" s="721">
        <v>0</v>
      </c>
      <c r="K520" s="681">
        <v>0</v>
      </c>
      <c r="L520" s="653">
        <v>0</v>
      </c>
      <c r="M520" s="713">
        <v>0</v>
      </c>
      <c r="N520" s="681">
        <v>0</v>
      </c>
      <c r="O520" s="681">
        <f t="shared" si="14"/>
        <v>1</v>
      </c>
    </row>
    <row r="521" spans="2:17" ht="13.2" hidden="1" outlineLevel="1">
      <c r="B521" s="703" t="s">
        <v>1521</v>
      </c>
      <c r="C521" s="713">
        <v>0</v>
      </c>
      <c r="D521" s="721">
        <v>0.99</v>
      </c>
      <c r="E521" s="721">
        <v>0</v>
      </c>
      <c r="F521" s="721">
        <v>0</v>
      </c>
      <c r="G521" s="681">
        <v>0</v>
      </c>
      <c r="H521" s="713">
        <v>0.01</v>
      </c>
      <c r="I521" s="721">
        <v>0</v>
      </c>
      <c r="J521" s="721">
        <v>0</v>
      </c>
      <c r="K521" s="681">
        <v>0</v>
      </c>
      <c r="L521" s="653">
        <v>0</v>
      </c>
      <c r="M521" s="713">
        <v>0</v>
      </c>
      <c r="N521" s="681">
        <v>0</v>
      </c>
      <c r="O521" s="681">
        <f t="shared" si="14"/>
        <v>1</v>
      </c>
    </row>
    <row r="522" spans="2:17" ht="13.2" hidden="1" outlineLevel="1">
      <c r="B522" s="703" t="s">
        <v>1522</v>
      </c>
      <c r="C522" s="713">
        <v>0.17</v>
      </c>
      <c r="D522" s="721">
        <v>0.57999999999999996</v>
      </c>
      <c r="E522" s="721">
        <v>0</v>
      </c>
      <c r="F522" s="721">
        <v>0</v>
      </c>
      <c r="G522" s="681">
        <v>0</v>
      </c>
      <c r="H522" s="713">
        <v>0</v>
      </c>
      <c r="I522" s="721">
        <v>0</v>
      </c>
      <c r="J522" s="721">
        <v>0</v>
      </c>
      <c r="K522" s="681">
        <v>0</v>
      </c>
      <c r="L522" s="653">
        <v>0.25</v>
      </c>
      <c r="M522" s="713">
        <v>0</v>
      </c>
      <c r="N522" s="681">
        <v>0</v>
      </c>
      <c r="O522" s="681">
        <f t="shared" si="14"/>
        <v>1</v>
      </c>
    </row>
    <row r="523" spans="2:17" ht="13.2" hidden="1" outlineLevel="1">
      <c r="B523" s="703" t="s">
        <v>1523</v>
      </c>
      <c r="C523" s="713">
        <v>0</v>
      </c>
      <c r="D523" s="721">
        <v>0.23</v>
      </c>
      <c r="E523" s="721">
        <v>0</v>
      </c>
      <c r="F523" s="721">
        <v>0</v>
      </c>
      <c r="G523" s="681">
        <v>0</v>
      </c>
      <c r="H523" s="713">
        <v>0</v>
      </c>
      <c r="I523" s="721">
        <v>0</v>
      </c>
      <c r="J523" s="721">
        <v>0</v>
      </c>
      <c r="K523" s="681">
        <v>0</v>
      </c>
      <c r="L523" s="653">
        <v>0.77</v>
      </c>
      <c r="M523" s="713">
        <v>0</v>
      </c>
      <c r="N523" s="681">
        <v>0</v>
      </c>
      <c r="O523" s="681">
        <f t="shared" si="14"/>
        <v>1</v>
      </c>
    </row>
    <row r="524" spans="2:17" ht="13.2" hidden="1" outlineLevel="1">
      <c r="B524" s="703" t="s">
        <v>1524</v>
      </c>
      <c r="C524" s="713">
        <v>0</v>
      </c>
      <c r="D524" s="721">
        <v>0.36</v>
      </c>
      <c r="E524" s="721">
        <v>0.15</v>
      </c>
      <c r="F524" s="721">
        <v>0.02</v>
      </c>
      <c r="G524" s="681">
        <v>0.01</v>
      </c>
      <c r="H524" s="713">
        <v>0.02</v>
      </c>
      <c r="I524" s="721">
        <v>0.13</v>
      </c>
      <c r="J524" s="721">
        <v>0.04</v>
      </c>
      <c r="K524" s="681">
        <v>0.15</v>
      </c>
      <c r="L524" s="653">
        <v>0.12</v>
      </c>
      <c r="M524" s="713">
        <v>0</v>
      </c>
      <c r="N524" s="681">
        <v>0</v>
      </c>
      <c r="O524" s="681">
        <f t="shared" si="14"/>
        <v>1</v>
      </c>
    </row>
    <row r="525" spans="2:17" ht="13.2" hidden="1" outlineLevel="1">
      <c r="B525" s="703" t="s">
        <v>1525</v>
      </c>
      <c r="C525" s="713">
        <v>0</v>
      </c>
      <c r="D525" s="721">
        <v>0.35200000000000004</v>
      </c>
      <c r="E525" s="721">
        <v>0.16500000000000001</v>
      </c>
      <c r="F525" s="721">
        <v>2.2000000000000002E-2</v>
      </c>
      <c r="G525" s="681">
        <v>1.1000000000000001E-2</v>
      </c>
      <c r="H525" s="713">
        <v>1.3720210461157536E-2</v>
      </c>
      <c r="I525" s="721">
        <v>0.12086737852058185</v>
      </c>
      <c r="J525" s="721">
        <v>3.4036675951717735E-2</v>
      </c>
      <c r="K525" s="681">
        <v>0.14137573506654286</v>
      </c>
      <c r="L525" s="653">
        <v>0</v>
      </c>
      <c r="M525" s="713">
        <v>0.12</v>
      </c>
      <c r="N525" s="681">
        <v>0.02</v>
      </c>
      <c r="O525" s="681">
        <f t="shared" si="14"/>
        <v>1</v>
      </c>
    </row>
    <row r="526" spans="2:17" ht="13.2" hidden="1" outlineLevel="1">
      <c r="B526" s="703" t="s">
        <v>1526</v>
      </c>
      <c r="C526" s="713">
        <v>0</v>
      </c>
      <c r="D526" s="721">
        <v>0.89</v>
      </c>
      <c r="E526" s="721">
        <v>0</v>
      </c>
      <c r="F526" s="721">
        <v>0</v>
      </c>
      <c r="G526" s="681">
        <v>0</v>
      </c>
      <c r="H526" s="713">
        <v>0</v>
      </c>
      <c r="I526" s="721">
        <v>0.04</v>
      </c>
      <c r="J526" s="721">
        <v>0.01</v>
      </c>
      <c r="K526" s="681">
        <v>0.04</v>
      </c>
      <c r="L526" s="653">
        <v>0.02</v>
      </c>
      <c r="M526" s="713">
        <v>0</v>
      </c>
      <c r="N526" s="681">
        <v>0</v>
      </c>
      <c r="O526" s="681">
        <f t="shared" si="14"/>
        <v>1</v>
      </c>
    </row>
    <row r="527" spans="2:17" ht="13.2" hidden="1" outlineLevel="1">
      <c r="B527" s="703" t="s">
        <v>1527</v>
      </c>
      <c r="C527" s="713">
        <v>0</v>
      </c>
      <c r="D527" s="721">
        <v>1</v>
      </c>
      <c r="E527" s="721">
        <v>0</v>
      </c>
      <c r="F527" s="721">
        <v>0</v>
      </c>
      <c r="G527" s="681">
        <v>0</v>
      </c>
      <c r="H527" s="713">
        <v>0</v>
      </c>
      <c r="I527" s="721">
        <v>0</v>
      </c>
      <c r="J527" s="721">
        <v>0</v>
      </c>
      <c r="K527" s="681">
        <v>0</v>
      </c>
      <c r="L527" s="653">
        <v>0</v>
      </c>
      <c r="M527" s="713">
        <v>0</v>
      </c>
      <c r="N527" s="681">
        <v>0</v>
      </c>
      <c r="O527" s="681">
        <f t="shared" si="14"/>
        <v>1</v>
      </c>
    </row>
    <row r="528" spans="2:17" ht="13.2" hidden="1" outlineLevel="1">
      <c r="B528" s="703" t="s">
        <v>1528</v>
      </c>
      <c r="C528" s="713">
        <v>0</v>
      </c>
      <c r="D528" s="721">
        <v>0</v>
      </c>
      <c r="E528" s="721">
        <v>0</v>
      </c>
      <c r="F528" s="721">
        <v>0</v>
      </c>
      <c r="G528" s="681">
        <v>0</v>
      </c>
      <c r="H528" s="713">
        <v>0</v>
      </c>
      <c r="I528" s="721">
        <v>0</v>
      </c>
      <c r="J528" s="721">
        <v>0</v>
      </c>
      <c r="K528" s="681">
        <v>0</v>
      </c>
      <c r="L528" s="653">
        <v>0</v>
      </c>
      <c r="M528" s="713">
        <v>0.5</v>
      </c>
      <c r="N528" s="681">
        <v>0.5</v>
      </c>
      <c r="O528" s="681">
        <f t="shared" si="14"/>
        <v>1</v>
      </c>
    </row>
    <row r="529" spans="2:15" ht="13.2" hidden="1" outlineLevel="1">
      <c r="B529" s="703" t="s">
        <v>1529</v>
      </c>
      <c r="C529" s="713">
        <v>0.41</v>
      </c>
      <c r="D529" s="721">
        <v>0.42</v>
      </c>
      <c r="E529" s="721">
        <v>0</v>
      </c>
      <c r="F529" s="721">
        <v>0</v>
      </c>
      <c r="G529" s="681">
        <v>0</v>
      </c>
      <c r="H529" s="713">
        <v>0.17</v>
      </c>
      <c r="I529" s="721">
        <v>0</v>
      </c>
      <c r="J529" s="721">
        <v>0</v>
      </c>
      <c r="K529" s="681">
        <v>0</v>
      </c>
      <c r="L529" s="653">
        <v>0</v>
      </c>
      <c r="M529" s="713">
        <v>0</v>
      </c>
      <c r="N529" s="681">
        <v>0</v>
      </c>
      <c r="O529" s="681">
        <f t="shared" si="14"/>
        <v>1</v>
      </c>
    </row>
    <row r="530" spans="2:15" ht="13.2" hidden="1" outlineLevel="1">
      <c r="B530" s="703" t="s">
        <v>1530</v>
      </c>
      <c r="C530" s="713">
        <v>0</v>
      </c>
      <c r="D530" s="721">
        <v>0.99</v>
      </c>
      <c r="E530" s="721">
        <v>0</v>
      </c>
      <c r="F530" s="721">
        <v>0</v>
      </c>
      <c r="G530" s="681">
        <v>0</v>
      </c>
      <c r="H530" s="713">
        <v>0.01</v>
      </c>
      <c r="I530" s="721">
        <v>0</v>
      </c>
      <c r="J530" s="721">
        <v>0</v>
      </c>
      <c r="K530" s="681">
        <v>0</v>
      </c>
      <c r="L530" s="653">
        <v>0</v>
      </c>
      <c r="M530" s="713">
        <v>0</v>
      </c>
      <c r="N530" s="681">
        <v>0</v>
      </c>
      <c r="O530" s="681">
        <f t="shared" si="14"/>
        <v>1</v>
      </c>
    </row>
    <row r="531" spans="2:15" ht="13.2" hidden="1" outlineLevel="1">
      <c r="B531" s="703" t="s">
        <v>1531</v>
      </c>
      <c r="C531" s="713">
        <v>0.22</v>
      </c>
      <c r="D531" s="721">
        <v>0.78</v>
      </c>
      <c r="E531" s="721">
        <v>0</v>
      </c>
      <c r="F531" s="721">
        <v>0</v>
      </c>
      <c r="G531" s="681">
        <v>0</v>
      </c>
      <c r="H531" s="713">
        <v>0</v>
      </c>
      <c r="I531" s="721">
        <v>0</v>
      </c>
      <c r="J531" s="721">
        <v>0</v>
      </c>
      <c r="K531" s="681">
        <v>0</v>
      </c>
      <c r="L531" s="653">
        <v>0</v>
      </c>
      <c r="M531" s="713">
        <v>0</v>
      </c>
      <c r="N531" s="681">
        <v>0</v>
      </c>
      <c r="O531" s="681">
        <f t="shared" si="14"/>
        <v>1</v>
      </c>
    </row>
    <row r="532" spans="2:15" ht="13.2" hidden="1" outlineLevel="1">
      <c r="B532" s="703" t="s">
        <v>1532</v>
      </c>
      <c r="C532" s="713">
        <v>0</v>
      </c>
      <c r="D532" s="721">
        <v>0</v>
      </c>
      <c r="E532" s="721">
        <v>0</v>
      </c>
      <c r="F532" s="721">
        <v>0</v>
      </c>
      <c r="G532" s="681">
        <v>0</v>
      </c>
      <c r="H532" s="713">
        <v>0</v>
      </c>
      <c r="I532" s="721">
        <v>0</v>
      </c>
      <c r="J532" s="721">
        <v>0</v>
      </c>
      <c r="K532" s="681">
        <v>0</v>
      </c>
      <c r="L532" s="653">
        <v>0</v>
      </c>
      <c r="M532" s="713">
        <v>1</v>
      </c>
      <c r="N532" s="681">
        <v>0</v>
      </c>
      <c r="O532" s="681">
        <f t="shared" si="14"/>
        <v>1</v>
      </c>
    </row>
    <row r="533" spans="2:15" ht="13.2" hidden="1" outlineLevel="1">
      <c r="B533" s="703" t="s">
        <v>1533</v>
      </c>
      <c r="C533" s="713">
        <v>0</v>
      </c>
      <c r="D533" s="721">
        <v>0.26</v>
      </c>
      <c r="E533" s="721">
        <v>0.12</v>
      </c>
      <c r="F533" s="721">
        <v>0.02</v>
      </c>
      <c r="G533" s="681">
        <v>0.01</v>
      </c>
      <c r="H533" s="713">
        <v>0.02</v>
      </c>
      <c r="I533" s="721">
        <v>0.21</v>
      </c>
      <c r="J533" s="721">
        <v>0.06</v>
      </c>
      <c r="K533" s="681">
        <v>0.25</v>
      </c>
      <c r="L533" s="653">
        <v>0.01</v>
      </c>
      <c r="M533" s="713">
        <v>0.03</v>
      </c>
      <c r="N533" s="681">
        <v>0.01</v>
      </c>
      <c r="O533" s="681">
        <f t="shared" si="14"/>
        <v>1</v>
      </c>
    </row>
    <row r="534" spans="2:15" ht="13.2" hidden="1" outlineLevel="1">
      <c r="B534" s="703" t="s">
        <v>1534</v>
      </c>
      <c r="C534" s="713">
        <v>0</v>
      </c>
      <c r="D534" s="721">
        <v>0.25600000000000001</v>
      </c>
      <c r="E534" s="721">
        <v>0.12</v>
      </c>
      <c r="F534" s="721">
        <v>1.6E-2</v>
      </c>
      <c r="G534" s="681">
        <v>8.0000000000000002E-3</v>
      </c>
      <c r="H534" s="713">
        <v>2.4342308882698855E-2</v>
      </c>
      <c r="I534" s="721">
        <v>0.21444212318167752</v>
      </c>
      <c r="J534" s="721">
        <v>6.0387650882079855E-2</v>
      </c>
      <c r="K534" s="681">
        <v>0.25082791705354379</v>
      </c>
      <c r="L534" s="653">
        <v>0.01</v>
      </c>
      <c r="M534" s="713">
        <v>0.03</v>
      </c>
      <c r="N534" s="681">
        <v>0.01</v>
      </c>
      <c r="O534" s="681">
        <f t="shared" si="14"/>
        <v>1</v>
      </c>
    </row>
    <row r="535" spans="2:15" ht="13.2" hidden="1" outlineLevel="1">
      <c r="B535" s="703" t="s">
        <v>1535</v>
      </c>
      <c r="C535" s="713">
        <v>0</v>
      </c>
      <c r="D535" s="721">
        <v>0.89</v>
      </c>
      <c r="E535" s="721">
        <v>0</v>
      </c>
      <c r="F535" s="721">
        <v>0</v>
      </c>
      <c r="G535" s="681">
        <v>0</v>
      </c>
      <c r="H535" s="713">
        <v>0</v>
      </c>
      <c r="I535" s="721">
        <v>0.04</v>
      </c>
      <c r="J535" s="721">
        <v>0.01</v>
      </c>
      <c r="K535" s="681">
        <v>0.04</v>
      </c>
      <c r="L535" s="653">
        <v>0.02</v>
      </c>
      <c r="M535" s="713">
        <v>0</v>
      </c>
      <c r="N535" s="681">
        <v>0</v>
      </c>
      <c r="O535" s="681">
        <f t="shared" si="14"/>
        <v>1</v>
      </c>
    </row>
    <row r="536" spans="2:15" ht="13.2" hidden="1" outlineLevel="1">
      <c r="B536" s="703" t="s">
        <v>1536</v>
      </c>
      <c r="C536" s="713">
        <v>0</v>
      </c>
      <c r="D536" s="721">
        <v>1</v>
      </c>
      <c r="E536" s="721">
        <v>0</v>
      </c>
      <c r="F536" s="721">
        <v>0</v>
      </c>
      <c r="G536" s="681">
        <v>0</v>
      </c>
      <c r="H536" s="713">
        <v>0</v>
      </c>
      <c r="I536" s="721">
        <v>0</v>
      </c>
      <c r="J536" s="721">
        <v>0</v>
      </c>
      <c r="K536" s="681">
        <v>0</v>
      </c>
      <c r="L536" s="653">
        <v>0</v>
      </c>
      <c r="M536" s="713">
        <v>0</v>
      </c>
      <c r="N536" s="681">
        <v>0</v>
      </c>
      <c r="O536" s="681">
        <f t="shared" si="14"/>
        <v>1</v>
      </c>
    </row>
    <row r="537" spans="2:15" ht="13.2" hidden="1" outlineLevel="1">
      <c r="B537" s="703" t="s">
        <v>1537</v>
      </c>
      <c r="C537" s="713">
        <v>0</v>
      </c>
      <c r="D537" s="721">
        <v>0.64</v>
      </c>
      <c r="E537" s="721">
        <v>0</v>
      </c>
      <c r="F537" s="721">
        <v>0</v>
      </c>
      <c r="G537" s="681">
        <v>0</v>
      </c>
      <c r="H537" s="713">
        <v>0</v>
      </c>
      <c r="I537" s="721">
        <v>0.14000000000000001</v>
      </c>
      <c r="J537" s="721">
        <v>0.04</v>
      </c>
      <c r="K537" s="681">
        <v>0.17</v>
      </c>
      <c r="L537" s="653">
        <v>0.01</v>
      </c>
      <c r="M537" s="713">
        <v>0</v>
      </c>
      <c r="N537" s="681">
        <v>0</v>
      </c>
      <c r="O537" s="681">
        <f t="shared" si="14"/>
        <v>1</v>
      </c>
    </row>
    <row r="538" spans="2:15" ht="13.2" hidden="1" outlineLevel="1">
      <c r="B538" s="703" t="s">
        <v>1538</v>
      </c>
      <c r="C538" s="713">
        <v>0.41</v>
      </c>
      <c r="D538" s="721">
        <v>0.42</v>
      </c>
      <c r="E538" s="721">
        <v>0</v>
      </c>
      <c r="F538" s="721">
        <v>0</v>
      </c>
      <c r="G538" s="681">
        <v>0</v>
      </c>
      <c r="H538" s="713">
        <v>0.17</v>
      </c>
      <c r="I538" s="721">
        <v>0</v>
      </c>
      <c r="J538" s="721">
        <v>0</v>
      </c>
      <c r="K538" s="681">
        <v>0</v>
      </c>
      <c r="L538" s="653">
        <v>0</v>
      </c>
      <c r="M538" s="713">
        <v>0</v>
      </c>
      <c r="N538" s="681">
        <v>0</v>
      </c>
      <c r="O538" s="681">
        <f t="shared" si="14"/>
        <v>1</v>
      </c>
    </row>
    <row r="539" spans="2:15" ht="13.2" hidden="1" outlineLevel="1">
      <c r="B539" s="703" t="s">
        <v>1539</v>
      </c>
      <c r="C539" s="713">
        <v>0</v>
      </c>
      <c r="D539" s="721">
        <v>0.99</v>
      </c>
      <c r="E539" s="721">
        <v>0</v>
      </c>
      <c r="F539" s="721">
        <v>0</v>
      </c>
      <c r="G539" s="681">
        <v>0</v>
      </c>
      <c r="H539" s="713">
        <v>0.01</v>
      </c>
      <c r="I539" s="721">
        <v>0</v>
      </c>
      <c r="J539" s="721">
        <v>0</v>
      </c>
      <c r="K539" s="681">
        <v>0</v>
      </c>
      <c r="L539" s="653">
        <v>0</v>
      </c>
      <c r="M539" s="713">
        <v>0</v>
      </c>
      <c r="N539" s="681">
        <v>0</v>
      </c>
      <c r="O539" s="681">
        <f t="shared" si="14"/>
        <v>1</v>
      </c>
    </row>
    <row r="540" spans="2:15" ht="13.2" hidden="1" outlineLevel="1">
      <c r="B540" s="703" t="s">
        <v>1540</v>
      </c>
      <c r="C540" s="713">
        <v>0.22</v>
      </c>
      <c r="D540" s="721">
        <v>0.78</v>
      </c>
      <c r="E540" s="721">
        <v>0</v>
      </c>
      <c r="F540" s="721">
        <v>0</v>
      </c>
      <c r="G540" s="681">
        <v>0</v>
      </c>
      <c r="H540" s="713">
        <v>0</v>
      </c>
      <c r="I540" s="721">
        <v>0</v>
      </c>
      <c r="J540" s="721">
        <v>0</v>
      </c>
      <c r="K540" s="681">
        <v>0</v>
      </c>
      <c r="L540" s="653">
        <v>0</v>
      </c>
      <c r="M540" s="713">
        <v>0</v>
      </c>
      <c r="N540" s="681">
        <v>0</v>
      </c>
      <c r="O540" s="681">
        <f t="shared" si="14"/>
        <v>1</v>
      </c>
    </row>
    <row r="541" spans="2:15" ht="13.2" hidden="1" outlineLevel="1">
      <c r="B541" s="703" t="s">
        <v>1541</v>
      </c>
      <c r="C541" s="713">
        <v>0</v>
      </c>
      <c r="D541" s="721">
        <v>1</v>
      </c>
      <c r="E541" s="721">
        <v>0</v>
      </c>
      <c r="F541" s="721">
        <v>0</v>
      </c>
      <c r="G541" s="681">
        <v>0</v>
      </c>
      <c r="H541" s="713">
        <v>0</v>
      </c>
      <c r="I541" s="721">
        <v>0</v>
      </c>
      <c r="J541" s="721">
        <v>0</v>
      </c>
      <c r="K541" s="681">
        <v>0</v>
      </c>
      <c r="L541" s="653">
        <v>0</v>
      </c>
      <c r="M541" s="713">
        <v>0</v>
      </c>
      <c r="N541" s="681">
        <v>0</v>
      </c>
      <c r="O541" s="681">
        <f t="shared" si="14"/>
        <v>1</v>
      </c>
    </row>
    <row r="542" spans="2:15" ht="13.2" hidden="1" outlineLevel="1">
      <c r="B542" s="703" t="s">
        <v>1542</v>
      </c>
      <c r="C542" s="713">
        <v>0</v>
      </c>
      <c r="D542" s="721">
        <v>0.5</v>
      </c>
      <c r="E542" s="721">
        <v>0</v>
      </c>
      <c r="F542" s="721">
        <v>0</v>
      </c>
      <c r="G542" s="681">
        <v>0</v>
      </c>
      <c r="H542" s="713">
        <v>0</v>
      </c>
      <c r="I542" s="721">
        <v>0</v>
      </c>
      <c r="J542" s="721">
        <v>0</v>
      </c>
      <c r="K542" s="681">
        <v>0</v>
      </c>
      <c r="L542" s="653">
        <v>0.5</v>
      </c>
      <c r="M542" s="713">
        <v>0</v>
      </c>
      <c r="N542" s="681">
        <v>0</v>
      </c>
      <c r="O542" s="681">
        <f t="shared" si="14"/>
        <v>1</v>
      </c>
    </row>
    <row r="543" spans="2:15" ht="13.2" hidden="1" outlineLevel="1">
      <c r="B543" s="703" t="s">
        <v>1543</v>
      </c>
      <c r="C543" s="713">
        <v>0</v>
      </c>
      <c r="D543" s="721">
        <v>0.5</v>
      </c>
      <c r="E543" s="721">
        <v>0</v>
      </c>
      <c r="F543" s="721">
        <v>0</v>
      </c>
      <c r="G543" s="681">
        <v>0</v>
      </c>
      <c r="H543" s="713">
        <v>0</v>
      </c>
      <c r="I543" s="721">
        <v>0</v>
      </c>
      <c r="J543" s="721">
        <v>0</v>
      </c>
      <c r="K543" s="681">
        <v>0</v>
      </c>
      <c r="L543" s="653">
        <v>0.5</v>
      </c>
      <c r="M543" s="713">
        <v>0</v>
      </c>
      <c r="N543" s="681">
        <v>0</v>
      </c>
      <c r="O543" s="681">
        <f t="shared" si="14"/>
        <v>1</v>
      </c>
    </row>
    <row r="544" spans="2:15" ht="13.2" hidden="1" outlineLevel="1">
      <c r="B544" s="703" t="s">
        <v>1544</v>
      </c>
      <c r="C544" s="713">
        <v>0</v>
      </c>
      <c r="D544" s="721">
        <v>0.5</v>
      </c>
      <c r="E544" s="721">
        <v>0</v>
      </c>
      <c r="F544" s="721">
        <v>0</v>
      </c>
      <c r="G544" s="681">
        <v>0</v>
      </c>
      <c r="H544" s="713">
        <v>0</v>
      </c>
      <c r="I544" s="721">
        <v>0</v>
      </c>
      <c r="J544" s="721">
        <v>0</v>
      </c>
      <c r="K544" s="681">
        <v>0</v>
      </c>
      <c r="L544" s="653">
        <v>0.5</v>
      </c>
      <c r="M544" s="713">
        <v>0</v>
      </c>
      <c r="N544" s="681">
        <v>0</v>
      </c>
      <c r="O544" s="681">
        <f t="shared" si="14"/>
        <v>1</v>
      </c>
    </row>
    <row r="545" spans="2:15" ht="13.2" hidden="1" outlineLevel="1">
      <c r="B545" s="703" t="s">
        <v>1545</v>
      </c>
      <c r="C545" s="713">
        <v>0</v>
      </c>
      <c r="D545" s="721">
        <v>1</v>
      </c>
      <c r="E545" s="721">
        <v>0</v>
      </c>
      <c r="F545" s="721">
        <v>0</v>
      </c>
      <c r="G545" s="681">
        <v>0</v>
      </c>
      <c r="H545" s="713">
        <v>0</v>
      </c>
      <c r="I545" s="721">
        <v>0</v>
      </c>
      <c r="J545" s="721">
        <v>0</v>
      </c>
      <c r="K545" s="681">
        <v>0</v>
      </c>
      <c r="L545" s="653">
        <v>0</v>
      </c>
      <c r="M545" s="713">
        <v>0</v>
      </c>
      <c r="N545" s="681">
        <v>0</v>
      </c>
      <c r="O545" s="681">
        <f t="shared" ref="O545:O550" si="15">SUM(C545:N545)</f>
        <v>1</v>
      </c>
    </row>
    <row r="546" spans="2:15" ht="13.2" hidden="1" outlineLevel="1">
      <c r="B546" s="703" t="s">
        <v>1546</v>
      </c>
      <c r="C546" s="713">
        <v>0</v>
      </c>
      <c r="D546" s="721">
        <v>0.5</v>
      </c>
      <c r="E546" s="721">
        <v>0</v>
      </c>
      <c r="F546" s="721">
        <v>0</v>
      </c>
      <c r="G546" s="681">
        <v>0</v>
      </c>
      <c r="H546" s="713">
        <v>0</v>
      </c>
      <c r="I546" s="721">
        <v>0</v>
      </c>
      <c r="J546" s="721">
        <v>0</v>
      </c>
      <c r="K546" s="681">
        <v>0</v>
      </c>
      <c r="L546" s="653">
        <v>0.5</v>
      </c>
      <c r="M546" s="713">
        <v>0</v>
      </c>
      <c r="N546" s="681">
        <v>0</v>
      </c>
      <c r="O546" s="681">
        <f t="shared" si="15"/>
        <v>1</v>
      </c>
    </row>
    <row r="547" spans="2:15" ht="13.2" hidden="1" outlineLevel="1">
      <c r="B547" s="703" t="s">
        <v>1547</v>
      </c>
      <c r="C547" s="713">
        <v>0.41</v>
      </c>
      <c r="D547" s="721">
        <v>0.42</v>
      </c>
      <c r="E547" s="721">
        <v>0</v>
      </c>
      <c r="F547" s="721">
        <v>0</v>
      </c>
      <c r="G547" s="681">
        <v>0</v>
      </c>
      <c r="H547" s="713">
        <v>0.17</v>
      </c>
      <c r="I547" s="721">
        <v>0</v>
      </c>
      <c r="J547" s="721">
        <v>0</v>
      </c>
      <c r="K547" s="681">
        <v>0</v>
      </c>
      <c r="L547" s="653">
        <v>0</v>
      </c>
      <c r="M547" s="713">
        <v>0</v>
      </c>
      <c r="N547" s="681">
        <v>0</v>
      </c>
      <c r="O547" s="681">
        <f t="shared" si="15"/>
        <v>1</v>
      </c>
    </row>
    <row r="548" spans="2:15" ht="13.2" hidden="1" outlineLevel="1">
      <c r="B548" s="703" t="s">
        <v>1548</v>
      </c>
      <c r="C548" s="713">
        <v>0</v>
      </c>
      <c r="D548" s="721">
        <v>1</v>
      </c>
      <c r="E548" s="721">
        <v>0</v>
      </c>
      <c r="F548" s="721">
        <v>0</v>
      </c>
      <c r="G548" s="681">
        <v>0</v>
      </c>
      <c r="H548" s="713">
        <v>0</v>
      </c>
      <c r="I548" s="721">
        <v>0</v>
      </c>
      <c r="J548" s="721">
        <v>0</v>
      </c>
      <c r="K548" s="681">
        <v>0</v>
      </c>
      <c r="L548" s="653">
        <v>0</v>
      </c>
      <c r="M548" s="713">
        <v>0</v>
      </c>
      <c r="N548" s="681">
        <v>0</v>
      </c>
      <c r="O548" s="681">
        <f t="shared" si="15"/>
        <v>1</v>
      </c>
    </row>
    <row r="549" spans="2:15" ht="13.2" hidden="1" outlineLevel="1">
      <c r="B549" s="703" t="s">
        <v>1549</v>
      </c>
      <c r="C549" s="713">
        <v>0.22</v>
      </c>
      <c r="D549" s="721">
        <v>0.78</v>
      </c>
      <c r="E549" s="721">
        <v>0</v>
      </c>
      <c r="F549" s="721">
        <v>0</v>
      </c>
      <c r="G549" s="681">
        <v>0</v>
      </c>
      <c r="H549" s="713">
        <v>0</v>
      </c>
      <c r="I549" s="721">
        <v>0</v>
      </c>
      <c r="J549" s="721">
        <v>0</v>
      </c>
      <c r="K549" s="681">
        <v>0</v>
      </c>
      <c r="L549" s="653">
        <v>0</v>
      </c>
      <c r="M549" s="713">
        <v>0</v>
      </c>
      <c r="N549" s="681">
        <v>0</v>
      </c>
      <c r="O549" s="681">
        <f t="shared" si="15"/>
        <v>1</v>
      </c>
    </row>
    <row r="550" spans="2:15" ht="13.2" hidden="1" outlineLevel="1">
      <c r="B550" s="703" t="s">
        <v>1550</v>
      </c>
      <c r="C550" s="713">
        <v>0</v>
      </c>
      <c r="D550" s="721">
        <v>0.5</v>
      </c>
      <c r="E550" s="721">
        <v>0</v>
      </c>
      <c r="F550" s="721">
        <v>0</v>
      </c>
      <c r="G550" s="681">
        <v>0</v>
      </c>
      <c r="H550" s="713">
        <v>0</v>
      </c>
      <c r="I550" s="721">
        <v>0</v>
      </c>
      <c r="J550" s="721">
        <v>0</v>
      </c>
      <c r="K550" s="681">
        <v>0</v>
      </c>
      <c r="L550" s="653">
        <v>0.5</v>
      </c>
      <c r="M550" s="713">
        <v>0</v>
      </c>
      <c r="N550" s="681">
        <v>0</v>
      </c>
      <c r="O550" s="681">
        <f t="shared" si="15"/>
        <v>1</v>
      </c>
    </row>
    <row r="551" spans="2:15" ht="13.2" hidden="1" outlineLevel="1">
      <c r="B551" s="717"/>
      <c r="C551" s="715"/>
      <c r="D551" s="722"/>
      <c r="E551" s="722"/>
      <c r="F551" s="722"/>
      <c r="G551" s="725"/>
      <c r="H551" s="715"/>
      <c r="I551" s="722"/>
      <c r="J551" s="722"/>
      <c r="K551" s="725"/>
      <c r="L551" s="656"/>
      <c r="M551" s="715"/>
      <c r="N551" s="725"/>
      <c r="O551" s="725"/>
    </row>
    <row r="552" spans="2:15" hidden="1" outlineLevel="1"/>
    <row r="555" spans="2:15" ht="20.100000000000001" customHeight="1" collapsed="1">
      <c r="B555" s="2894" t="s">
        <v>624</v>
      </c>
      <c r="C555" s="2895"/>
      <c r="D555" s="2895"/>
      <c r="E555" s="2895"/>
      <c r="F555" s="2895"/>
      <c r="G555" s="2895"/>
      <c r="H555" s="2895"/>
      <c r="I555" s="2895"/>
      <c r="J555" s="2895"/>
      <c r="K555" s="2895"/>
      <c r="L555" s="2895"/>
      <c r="M555" s="2895"/>
      <c r="N555" s="2895"/>
      <c r="O555" s="2896"/>
    </row>
    <row r="556" spans="2:15" hidden="1" outlineLevel="1"/>
    <row r="557" spans="2:15" ht="20.100000000000001" hidden="1" customHeight="1" outlineLevel="1">
      <c r="B557" s="2901" t="s">
        <v>2514</v>
      </c>
      <c r="C557" s="2902"/>
      <c r="D557" s="2902"/>
      <c r="E557" s="2902"/>
      <c r="F557" s="2902"/>
      <c r="G557" s="2902"/>
      <c r="H557" s="2902"/>
      <c r="I557" s="2902"/>
      <c r="J557" s="2902"/>
      <c r="K557" s="2902"/>
      <c r="L557" s="2902"/>
      <c r="M557" s="2902"/>
      <c r="N557" s="2902"/>
      <c r="O557" s="2903"/>
    </row>
    <row r="558" spans="2:15" ht="20.100000000000001" hidden="1" customHeight="1" outlineLevel="1">
      <c r="B558" s="2907" t="s">
        <v>808</v>
      </c>
      <c r="C558" s="2908"/>
      <c r="D558" s="2908"/>
      <c r="E558" s="2908"/>
      <c r="F558" s="2908"/>
      <c r="G558" s="2908"/>
      <c r="H558" s="2908"/>
      <c r="I558" s="2908"/>
      <c r="J558" s="2908"/>
      <c r="K558" s="2908"/>
      <c r="L558" s="2908"/>
      <c r="M558" s="2908"/>
      <c r="N558" s="2908"/>
      <c r="O558" s="2909"/>
    </row>
    <row r="559" spans="2:15" ht="20.100000000000001" hidden="1" customHeight="1" outlineLevel="1">
      <c r="B559" s="2907" t="s">
        <v>809</v>
      </c>
      <c r="C559" s="2908"/>
      <c r="D559" s="2908"/>
      <c r="E559" s="2908"/>
      <c r="F559" s="2908"/>
      <c r="G559" s="2908"/>
      <c r="H559" s="2908"/>
      <c r="I559" s="2908"/>
      <c r="J559" s="2908"/>
      <c r="K559" s="2908"/>
      <c r="L559" s="2908"/>
      <c r="M559" s="2908"/>
      <c r="N559" s="2908"/>
      <c r="O559" s="2909"/>
    </row>
    <row r="560" spans="2:15" ht="20.100000000000001" hidden="1" customHeight="1" outlineLevel="1">
      <c r="B560" s="2904" t="s">
        <v>773</v>
      </c>
      <c r="C560" s="2905"/>
      <c r="D560" s="2905"/>
      <c r="E560" s="2905"/>
      <c r="F560" s="2905"/>
      <c r="G560" s="2905"/>
      <c r="H560" s="2905"/>
      <c r="I560" s="2905"/>
      <c r="J560" s="2905"/>
      <c r="K560" s="2905"/>
      <c r="L560" s="2905"/>
      <c r="M560" s="2905"/>
      <c r="N560" s="2905"/>
      <c r="O560" s="2906"/>
    </row>
    <row r="561" spans="2:15" hidden="1" outlineLevel="1"/>
    <row r="564" spans="2:15" ht="20.100000000000001" customHeight="1" collapsed="1">
      <c r="B564" s="2916" t="s">
        <v>1651</v>
      </c>
      <c r="C564" s="2917"/>
      <c r="D564" s="2917"/>
      <c r="E564" s="2917"/>
      <c r="F564" s="2917"/>
      <c r="G564" s="2917"/>
      <c r="H564" s="2917"/>
      <c r="I564" s="2917"/>
      <c r="J564" s="2917"/>
      <c r="K564" s="2917"/>
      <c r="L564" s="2917"/>
      <c r="M564" s="2917"/>
      <c r="N564" s="2917"/>
      <c r="O564" s="2918"/>
    </row>
    <row r="565" spans="2:15" hidden="1" outlineLevel="1"/>
    <row r="566" spans="2:15" ht="15.75" hidden="1" customHeight="1" outlineLevel="1">
      <c r="B566" s="791" t="s">
        <v>456</v>
      </c>
      <c r="C566" s="116"/>
      <c r="D566" s="116"/>
      <c r="E566" s="116"/>
      <c r="F566" s="116"/>
      <c r="G566" s="116"/>
      <c r="H566" s="116"/>
      <c r="N566" s="2931" t="s">
        <v>1647</v>
      </c>
      <c r="O566" s="2932"/>
    </row>
    <row r="567" spans="2:15" ht="13.2" hidden="1" outlineLevel="1">
      <c r="B567" s="792" t="s">
        <v>696</v>
      </c>
      <c r="C567" s="116"/>
      <c r="G567" s="116"/>
      <c r="H567" s="116"/>
      <c r="N567" s="1057" t="s">
        <v>2192</v>
      </c>
      <c r="O567" s="1060">
        <v>0</v>
      </c>
    </row>
    <row r="568" spans="2:15" ht="13.2" hidden="1" outlineLevel="1">
      <c r="B568" s="792" t="s">
        <v>697</v>
      </c>
      <c r="C568" s="116"/>
      <c r="D568" s="116"/>
      <c r="E568" s="116"/>
      <c r="F568" s="116"/>
      <c r="G568" s="116"/>
      <c r="H568" s="116"/>
      <c r="N568" s="1057" t="s">
        <v>1968</v>
      </c>
      <c r="O568" s="1060">
        <v>0.15</v>
      </c>
    </row>
    <row r="569" spans="2:15" ht="13.2" hidden="1" outlineLevel="1">
      <c r="B569" s="792" t="s">
        <v>769</v>
      </c>
      <c r="C569" s="116"/>
      <c r="D569" s="116"/>
      <c r="E569" s="116"/>
      <c r="F569" s="116"/>
      <c r="G569" s="116"/>
      <c r="H569" s="116"/>
      <c r="N569" s="1057" t="s">
        <v>1969</v>
      </c>
      <c r="O569" s="1060">
        <v>0.3</v>
      </c>
    </row>
    <row r="570" spans="2:15" ht="13.2" hidden="1" outlineLevel="1">
      <c r="B570" s="116"/>
      <c r="C570" s="116"/>
      <c r="D570" s="116"/>
      <c r="E570" s="116"/>
      <c r="F570" s="116"/>
      <c r="G570" s="116"/>
      <c r="H570" s="116"/>
      <c r="N570" s="1057" t="s">
        <v>1970</v>
      </c>
      <c r="O570" s="1060">
        <v>0.5</v>
      </c>
    </row>
    <row r="571" spans="2:15" ht="12.75" hidden="1" customHeight="1" outlineLevel="1">
      <c r="B571" s="791" t="s">
        <v>698</v>
      </c>
      <c r="C571" s="2898" t="s">
        <v>62</v>
      </c>
      <c r="D571" s="2899"/>
      <c r="E571" s="2898" t="s">
        <v>559</v>
      </c>
      <c r="F571" s="2899"/>
      <c r="G571" s="2898" t="s">
        <v>323</v>
      </c>
      <c r="H571" s="2899"/>
      <c r="I571" s="2898" t="s">
        <v>150</v>
      </c>
      <c r="J571" s="2899"/>
      <c r="K571" s="2898" t="s">
        <v>162</v>
      </c>
      <c r="L571" s="2899"/>
      <c r="N571" s="1057" t="s">
        <v>1966</v>
      </c>
      <c r="O571" s="1060">
        <v>0.5</v>
      </c>
    </row>
    <row r="572" spans="2:15" ht="12.75" hidden="1" customHeight="1" outlineLevel="1">
      <c r="B572" s="2913" t="str">
        <f>"Approche "&amp;B567&amp;" 
ou approche "&amp;B569</f>
        <v>Approche Contrôle financier 
ou approche Part du capital</v>
      </c>
      <c r="C572" s="793" t="s">
        <v>451</v>
      </c>
      <c r="D572" s="794"/>
      <c r="E572" s="839" t="s">
        <v>704</v>
      </c>
      <c r="F572" s="839"/>
      <c r="G572" s="793" t="s">
        <v>451</v>
      </c>
      <c r="H572" s="794"/>
      <c r="I572" s="793" t="s">
        <v>451</v>
      </c>
      <c r="J572" s="794"/>
      <c r="K572" s="793" t="s">
        <v>451</v>
      </c>
      <c r="L572" s="794"/>
      <c r="N572" s="1058" t="s">
        <v>1967</v>
      </c>
      <c r="O572" s="1061"/>
    </row>
    <row r="573" spans="2:15" ht="12.75" hidden="1" customHeight="1" outlineLevel="1">
      <c r="B573" s="2914"/>
      <c r="C573" s="795" t="s">
        <v>631</v>
      </c>
      <c r="D573" s="796"/>
      <c r="E573" s="840" t="s">
        <v>703</v>
      </c>
      <c r="F573" s="840"/>
      <c r="G573" s="795" t="s">
        <v>632</v>
      </c>
      <c r="H573" s="796"/>
      <c r="I573" s="795" t="s">
        <v>631</v>
      </c>
      <c r="J573" s="796"/>
      <c r="K573" s="795" t="s">
        <v>497</v>
      </c>
      <c r="L573" s="796"/>
    </row>
    <row r="574" spans="2:15" ht="12.75" hidden="1" customHeight="1" outlineLevel="1">
      <c r="B574" s="2914"/>
      <c r="C574" s="795" t="s">
        <v>457</v>
      </c>
      <c r="D574" s="796"/>
      <c r="E574" s="840" t="s">
        <v>700</v>
      </c>
      <c r="F574" s="840"/>
      <c r="G574" s="795" t="s">
        <v>633</v>
      </c>
      <c r="H574" s="796"/>
      <c r="I574" s="795" t="s">
        <v>457</v>
      </c>
      <c r="J574" s="796"/>
      <c r="K574" s="795"/>
      <c r="L574" s="796"/>
    </row>
    <row r="575" spans="2:15" ht="12.75" hidden="1" customHeight="1" outlineLevel="1">
      <c r="B575" s="2915"/>
      <c r="C575" s="797"/>
      <c r="D575" s="798"/>
      <c r="E575" s="841" t="s">
        <v>701</v>
      </c>
      <c r="F575" s="841"/>
      <c r="G575" s="797"/>
      <c r="H575" s="798"/>
      <c r="I575" s="797"/>
      <c r="J575" s="798"/>
      <c r="K575" s="797"/>
      <c r="L575" s="798"/>
    </row>
    <row r="576" spans="2:15" ht="13.2" hidden="1" outlineLevel="1">
      <c r="B576" s="520"/>
      <c r="C576" s="256"/>
      <c r="D576" s="418"/>
      <c r="E576" s="418"/>
      <c r="F576" s="418"/>
      <c r="G576" s="256"/>
      <c r="H576" s="418"/>
      <c r="I576" s="256"/>
      <c r="J576" s="418"/>
      <c r="K576" s="521"/>
      <c r="L576" s="519"/>
    </row>
    <row r="577" spans="2:20" ht="12.75" hidden="1" customHeight="1" outlineLevel="1">
      <c r="B577" s="2913" t="str">
        <f>"Approche "&amp; B568</f>
        <v>Approche Contrôle opérationnel</v>
      </c>
      <c r="C577" s="793" t="s">
        <v>526</v>
      </c>
      <c r="D577" s="794"/>
      <c r="E577" s="839" t="s">
        <v>706</v>
      </c>
      <c r="F577" s="839"/>
      <c r="G577" s="793" t="s">
        <v>526</v>
      </c>
      <c r="H577" s="794"/>
      <c r="I577" s="793" t="s">
        <v>526</v>
      </c>
      <c r="J577" s="794"/>
      <c r="K577" s="793" t="s">
        <v>526</v>
      </c>
      <c r="L577" s="794"/>
    </row>
    <row r="578" spans="2:20" ht="12.75" hidden="1" customHeight="1" outlineLevel="1">
      <c r="B578" s="2914"/>
      <c r="C578" s="795" t="s">
        <v>527</v>
      </c>
      <c r="D578" s="796"/>
      <c r="E578" s="840" t="s">
        <v>705</v>
      </c>
      <c r="F578" s="840"/>
      <c r="G578" s="795" t="s">
        <v>634</v>
      </c>
      <c r="H578" s="796"/>
      <c r="I578" s="795" t="s">
        <v>528</v>
      </c>
      <c r="J578" s="796"/>
      <c r="K578" s="795" t="s">
        <v>528</v>
      </c>
      <c r="L578" s="796"/>
    </row>
    <row r="579" spans="2:20" ht="12.75" hidden="1" customHeight="1" outlineLevel="1">
      <c r="B579" s="2914"/>
      <c r="C579" s="795" t="str">
        <f>""</f>
        <v/>
      </c>
      <c r="D579" s="796"/>
      <c r="E579" s="840" t="s">
        <v>699</v>
      </c>
      <c r="F579" s="840"/>
      <c r="G579" s="795" t="s">
        <v>635</v>
      </c>
      <c r="H579" s="796"/>
      <c r="I579" s="795" t="str">
        <f>""</f>
        <v/>
      </c>
      <c r="J579" s="796"/>
      <c r="K579" s="795"/>
      <c r="L579" s="796"/>
    </row>
    <row r="580" spans="2:20" ht="12.75" hidden="1" customHeight="1" outlineLevel="1">
      <c r="B580" s="2915"/>
      <c r="C580" s="797"/>
      <c r="D580" s="799"/>
      <c r="E580" s="797" t="str">
        <f>""</f>
        <v/>
      </c>
      <c r="F580" s="842"/>
      <c r="G580" s="797"/>
      <c r="H580" s="799"/>
      <c r="I580" s="800"/>
      <c r="J580" s="799"/>
      <c r="K580" s="800"/>
      <c r="L580" s="799"/>
    </row>
    <row r="581" spans="2:20" ht="13.2" hidden="1" outlineLevel="1">
      <c r="B581" s="116"/>
      <c r="C581" s="116"/>
      <c r="D581" s="116"/>
      <c r="E581" s="116"/>
      <c r="F581" s="116"/>
      <c r="G581" s="116"/>
      <c r="H581" s="116"/>
      <c r="I581" s="113" t="str">
        <f>""</f>
        <v/>
      </c>
    </row>
    <row r="582" spans="2:20" ht="13.2" hidden="1" outlineLevel="1">
      <c r="B582" s="791" t="s">
        <v>601</v>
      </c>
      <c r="C582" s="116"/>
      <c r="D582" s="116"/>
      <c r="E582" s="116"/>
      <c r="F582" s="116"/>
      <c r="G582" s="116"/>
      <c r="H582" s="116"/>
    </row>
    <row r="583" spans="2:20" ht="13.2" hidden="1" outlineLevel="1">
      <c r="B583" s="792" t="s">
        <v>641</v>
      </c>
      <c r="C583" s="116"/>
      <c r="D583" s="116"/>
      <c r="E583" s="116"/>
      <c r="F583" s="116"/>
      <c r="G583" s="116"/>
      <c r="H583" s="116"/>
    </row>
    <row r="584" spans="2:20" hidden="1" outlineLevel="1"/>
    <row r="585" spans="2:20" ht="12.75" hidden="1" customHeight="1" outlineLevel="1">
      <c r="B585" s="2910" t="s">
        <v>625</v>
      </c>
      <c r="C585" s="2898" t="s">
        <v>62</v>
      </c>
      <c r="D585" s="2899"/>
      <c r="E585" s="2898" t="s">
        <v>559</v>
      </c>
      <c r="F585" s="2899"/>
      <c r="G585" s="2898" t="s">
        <v>323</v>
      </c>
      <c r="H585" s="2899"/>
      <c r="I585" s="2898" t="s">
        <v>150</v>
      </c>
      <c r="J585" s="2899"/>
      <c r="K585" s="2898" t="s">
        <v>162</v>
      </c>
      <c r="L585" s="2900"/>
      <c r="M585" s="2899"/>
      <c r="N585" s="904" t="s">
        <v>740</v>
      </c>
      <c r="O585" s="2898" t="s">
        <v>37</v>
      </c>
      <c r="P585" s="2899"/>
      <c r="Q585" s="2898" t="s">
        <v>780</v>
      </c>
      <c r="R585" s="2900"/>
      <c r="S585" s="2900"/>
      <c r="T585" s="2899"/>
    </row>
    <row r="586" spans="2:20" ht="12.75" hidden="1" customHeight="1" outlineLevel="1">
      <c r="B586" s="2911"/>
      <c r="C586" s="793" t="str">
        <f>IF(OR(Descriptif!$D$7=$B$567,Descriptif!$D$7=$B$569),C572,IF(Descriptif!$D$7=$B$568,C577,$B$583))</f>
        <v>Opéré</v>
      </c>
      <c r="D586" s="794"/>
      <c r="E586" s="793" t="str">
        <f>IF(OR(Descriptif!$D$7=$B$567,Descriptif!$D$7=$B$569),E572,IF(Descriptif!$D$7=$B$568,E577,$B$583))</f>
        <v>Opérée, procédés</v>
      </c>
      <c r="F586" s="839"/>
      <c r="G586" s="793" t="str">
        <f>IF(OR(Descriptif!$D$7=$B$567,Descriptif!$D$7=$B$569),G572,IF(Descriptif!$D$7=$B$568,G577,$B$583))</f>
        <v>Opéré</v>
      </c>
      <c r="H586" s="794"/>
      <c r="I586" s="793" t="str">
        <f>IF(OR(Descriptif!$D$7=$B$567,Descriptif!$D$7=$B$569),I572,IF(Descriptif!$D$7=$B$568,I577,$B$583))</f>
        <v>Opéré</v>
      </c>
      <c r="J586" s="794"/>
      <c r="K586" s="793" t="str">
        <f>IF(OR(Descriptif!$D$7=$B$567,Descriptif!$D$7=$B$569),K572,IF(Descriptif!$D$7=$B$568,K577,$B$583))</f>
        <v>Opéré</v>
      </c>
      <c r="L586" s="794"/>
      <c r="M586" s="793" t="s">
        <v>766</v>
      </c>
      <c r="N586" s="905" t="s">
        <v>766</v>
      </c>
      <c r="O586" s="793" t="s">
        <v>776</v>
      </c>
      <c r="P586" s="794"/>
      <c r="Q586" s="795" t="s">
        <v>251</v>
      </c>
      <c r="R586" s="796"/>
      <c r="S586" s="793" t="str">
        <f>IF('Déchets directs'!D7=Utilitaires!Q591,"A Mayotte",IF('Déchets directs'!D7=Utilitaires!Q593,"En Polynésie Française","Non personnalisable"))</f>
        <v>Non personnalisable</v>
      </c>
      <c r="T586" s="794"/>
    </row>
    <row r="587" spans="2:20" ht="12.75" hidden="1" customHeight="1" outlineLevel="1">
      <c r="B587" s="2911"/>
      <c r="C587" s="795" t="str">
        <f>IF(OR(Descriptif!$D$7=$B$567,Descriptif!$D$7=$B$569),C573,IF(Descriptif!$D$7=$B$568,C578,""))</f>
        <v>Non Opéré</v>
      </c>
      <c r="D587" s="796"/>
      <c r="E587" s="795" t="str">
        <f>IF(OR(Descriptif!$D$7=$B$567,Descriptif!$D$7=$B$569),E573,IF(Descriptif!$D$7=$B$568,E578,""))</f>
        <v>Opérée, fugitives</v>
      </c>
      <c r="F587" s="840"/>
      <c r="G587" s="795" t="str">
        <f>IF(OR(Descriptif!$D$7=$B$567,Descriptif!$D$7=$B$569),G573,IF(Descriptif!$D$7=$B$568,G578,""))</f>
        <v>Non opéré, supporté</v>
      </c>
      <c r="H587" s="796"/>
      <c r="I587" s="795" t="str">
        <f>IF(OR(Descriptif!$D$7=$B$567,Descriptif!$D$7=$B$569),I573,IF(Descriptif!$D$7=$B$568,I578,""))</f>
        <v>Non opéré</v>
      </c>
      <c r="J587" s="796"/>
      <c r="K587" s="795" t="str">
        <f>IF(OR(Descriptif!$D$7=$B$567,Descriptif!$D$7=$B$569),K573,IF(Descriptif!$D$7=$B$568,K578,""))</f>
        <v>Non opéré</v>
      </c>
      <c r="L587" s="796"/>
      <c r="M587" s="795" t="s">
        <v>768</v>
      </c>
      <c r="N587" s="906" t="s">
        <v>768</v>
      </c>
      <c r="O587" s="795" t="s">
        <v>774</v>
      </c>
      <c r="P587" s="796"/>
      <c r="Q587" s="795" t="s">
        <v>382</v>
      </c>
      <c r="R587" s="796"/>
      <c r="S587" s="795" t="str">
        <f>IF('Déchets directs'!D7=Utilitaires!Q591,"En métropôle",IF('Déchets directs'!D7=Utilitaires!Q593,"En dehors de la Polynésie Française",""))</f>
        <v/>
      </c>
      <c r="T587" s="796"/>
    </row>
    <row r="588" spans="2:20" ht="12.75" hidden="1" customHeight="1" outlineLevel="1">
      <c r="B588" s="2911"/>
      <c r="C588" s="795" t="str">
        <f>IF(OR(Descriptif!$D$7=$B$567,Descriptif!$D$7=$B$569),C574,IF(Descriptif!$D$7=$B$568,C579,""))</f>
        <v/>
      </c>
      <c r="D588" s="796"/>
      <c r="E588" s="795" t="str">
        <f>IF(OR(Descriptif!$D$7=$B$567,Descriptif!$D$7=$B$569),E574,IF(Descriptif!$D$7=$B$568,E579,""))</f>
        <v>Non opérée</v>
      </c>
      <c r="F588" s="840"/>
      <c r="G588" s="795" t="str">
        <f>IF(OR(Descriptif!$D$7=$B$567,Descriptif!$D$7=$B$569),G574,IF(Descriptif!$D$7=$B$568,G579,""))</f>
        <v>Non opéré, non supporté</v>
      </c>
      <c r="H588" s="796"/>
      <c r="I588" s="795" t="str">
        <f>IF(OR(Descriptif!$D$7=$B$567,Descriptif!$D$7=$B$569),I574,IF(Descriptif!$D$7=$B$568,I579,""))</f>
        <v/>
      </c>
      <c r="J588" s="796"/>
      <c r="K588" s="795"/>
      <c r="L588" s="796"/>
      <c r="M588" s="795"/>
      <c r="N588" s="906"/>
      <c r="O588" s="795" t="s">
        <v>775</v>
      </c>
      <c r="P588" s="796"/>
      <c r="Q588" s="795" t="s">
        <v>784</v>
      </c>
      <c r="R588" s="796"/>
      <c r="S588" s="795" t="str">
        <f>IF('Déchets directs'!D7=Utilitaires!Q591,"Dans l'Océan Indien","")</f>
        <v/>
      </c>
      <c r="T588" s="796"/>
    </row>
    <row r="589" spans="2:20" ht="12.75" hidden="1" customHeight="1" outlineLevel="1">
      <c r="B589" s="2912"/>
      <c r="C589" s="797"/>
      <c r="D589" s="798"/>
      <c r="E589" s="797" t="str">
        <f>IF(OR(Descriptif!$D$7=$B$567,Descriptif!$D$7=$B$569),E575,IF(Descriptif!$D$7=$B$568,E580,""))</f>
        <v/>
      </c>
      <c r="F589" s="841"/>
      <c r="G589" s="797"/>
      <c r="H589" s="798"/>
      <c r="I589" s="797"/>
      <c r="J589" s="798"/>
      <c r="K589" s="797"/>
      <c r="L589" s="798"/>
      <c r="M589" s="797"/>
      <c r="N589" s="907"/>
      <c r="O589" s="797"/>
      <c r="P589" s="798"/>
      <c r="Q589" s="795" t="s">
        <v>782</v>
      </c>
      <c r="R589" s="796"/>
      <c r="S589" s="797"/>
      <c r="T589" s="798"/>
    </row>
    <row r="590" spans="2:20" ht="13.2" hidden="1" outlineLevel="1">
      <c r="Q590" s="795" t="s">
        <v>786</v>
      </c>
      <c r="R590" s="796"/>
    </row>
    <row r="591" spans="2:20" ht="13.2" hidden="1" outlineLevel="1">
      <c r="Q591" s="795" t="s">
        <v>783</v>
      </c>
      <c r="R591" s="796"/>
    </row>
    <row r="592" spans="2:20" ht="13.2" hidden="1" outlineLevel="1">
      <c r="B592" s="266" t="s">
        <v>712</v>
      </c>
      <c r="Q592" s="795" t="s">
        <v>781</v>
      </c>
      <c r="R592" s="796"/>
    </row>
    <row r="593" spans="2:18" ht="13.2" hidden="1" outlineLevel="1">
      <c r="B593" s="114" t="s">
        <v>711</v>
      </c>
      <c r="Q593" s="795" t="s">
        <v>637</v>
      </c>
      <c r="R593" s="796"/>
    </row>
    <row r="594" spans="2:18" ht="13.2" hidden="1" outlineLevel="1">
      <c r="B594" s="114" t="s">
        <v>707</v>
      </c>
      <c r="E594" s="2"/>
      <c r="F594" s="2"/>
      <c r="G594" s="2"/>
      <c r="H594" s="2"/>
      <c r="I594" s="2"/>
      <c r="J594" s="2"/>
      <c r="K594" s="2"/>
      <c r="L594" s="2"/>
      <c r="Q594" s="797" t="s">
        <v>785</v>
      </c>
      <c r="R594" s="798"/>
    </row>
    <row r="595" spans="2:18" hidden="1" outlineLevel="1">
      <c r="E595" s="2"/>
      <c r="F595" s="2"/>
      <c r="G595" s="2"/>
      <c r="H595" s="2"/>
      <c r="I595" s="2"/>
      <c r="J595" s="2"/>
      <c r="K595" s="2"/>
      <c r="L595" s="2"/>
    </row>
    <row r="596" spans="2:18" ht="13.2" hidden="1" outlineLevel="1">
      <c r="B596" s="114" t="s">
        <v>708</v>
      </c>
      <c r="E596" s="2"/>
      <c r="F596" s="2"/>
      <c r="G596" s="2"/>
      <c r="H596" s="2"/>
      <c r="I596" s="2"/>
      <c r="J596" s="2"/>
      <c r="K596" s="2"/>
      <c r="L596" s="2"/>
    </row>
    <row r="597" spans="2:18" ht="13.2" hidden="1" outlineLevel="1">
      <c r="B597" s="4"/>
      <c r="C597" s="4" t="s">
        <v>709</v>
      </c>
      <c r="D597" s="4"/>
      <c r="E597" s="4"/>
      <c r="F597" s="4"/>
      <c r="G597" s="4"/>
      <c r="H597" s="4"/>
      <c r="I597" s="4"/>
      <c r="J597" s="4"/>
      <c r="K597" s="4"/>
      <c r="L597" s="4"/>
    </row>
    <row r="598" spans="2:18" ht="13.2" hidden="1" outlineLevel="1">
      <c r="C598" s="114" t="s">
        <v>710</v>
      </c>
      <c r="E598" s="4"/>
      <c r="F598" s="4"/>
      <c r="G598" s="4"/>
      <c r="H598" s="4"/>
      <c r="I598" s="4"/>
      <c r="J598" s="4"/>
      <c r="K598" s="4"/>
      <c r="L598" s="4"/>
    </row>
    <row r="599" spans="2:18" ht="13.2" hidden="1" outlineLevel="1">
      <c r="E599" s="4"/>
      <c r="F599" s="4"/>
      <c r="G599" s="4"/>
      <c r="H599" s="4"/>
      <c r="I599" s="4"/>
      <c r="J599" s="4"/>
      <c r="K599" s="4"/>
      <c r="L599" s="4"/>
    </row>
    <row r="600" spans="2:18" ht="13.2">
      <c r="E600" s="4"/>
      <c r="F600" s="4"/>
      <c r="G600" s="4"/>
      <c r="H600" s="4"/>
      <c r="I600" s="4"/>
      <c r="J600" s="4"/>
      <c r="K600" s="4"/>
      <c r="L600" s="4"/>
    </row>
    <row r="601" spans="2:18" ht="13.2">
      <c r="E601" s="4"/>
      <c r="F601" s="4"/>
      <c r="G601" s="4"/>
      <c r="H601" s="4"/>
      <c r="I601" s="4"/>
      <c r="J601" s="4"/>
      <c r="K601" s="4"/>
      <c r="L601" s="4"/>
    </row>
    <row r="602" spans="2:18" ht="13.2">
      <c r="E602" s="4"/>
      <c r="F602" s="4"/>
      <c r="G602" s="4"/>
      <c r="H602" s="4"/>
      <c r="I602" s="4"/>
      <c r="J602" s="4"/>
      <c r="K602" s="4"/>
      <c r="L602" s="4"/>
    </row>
    <row r="603" spans="2:18" ht="13.2">
      <c r="E603" s="4"/>
      <c r="F603" s="4"/>
      <c r="G603" s="4"/>
      <c r="H603" s="4"/>
      <c r="I603" s="4"/>
      <c r="J603" s="4"/>
      <c r="K603" s="4"/>
      <c r="L603" s="4"/>
    </row>
    <row r="604" spans="2:18" ht="13.2">
      <c r="E604" s="4"/>
      <c r="F604" s="4"/>
      <c r="G604" s="4"/>
      <c r="H604" s="4"/>
      <c r="I604" s="4"/>
      <c r="J604" s="4"/>
      <c r="K604" s="4"/>
      <c r="L604" s="4"/>
    </row>
    <row r="605" spans="2:18" ht="13.2">
      <c r="B605" s="4"/>
      <c r="C605" s="4"/>
      <c r="D605" s="4"/>
      <c r="E605" s="4"/>
      <c r="F605" s="4"/>
      <c r="G605" s="4"/>
      <c r="H605" s="4"/>
      <c r="I605" s="4"/>
      <c r="J605" s="4"/>
      <c r="K605" s="4"/>
      <c r="L605" s="4"/>
    </row>
  </sheetData>
  <mergeCells count="65">
    <mergeCell ref="N566:O566"/>
    <mergeCell ref="B32:O32"/>
    <mergeCell ref="B4:C4"/>
    <mergeCell ref="J4:L4"/>
    <mergeCell ref="J36:K36"/>
    <mergeCell ref="J37:K37"/>
    <mergeCell ref="I34:L34"/>
    <mergeCell ref="I45:L45"/>
    <mergeCell ref="J47:K47"/>
    <mergeCell ref="J48:K48"/>
    <mergeCell ref="I56:L56"/>
    <mergeCell ref="B69:O69"/>
    <mergeCell ref="B157:B158"/>
    <mergeCell ref="B124:O124"/>
    <mergeCell ref="J58:K58"/>
    <mergeCell ref="J59:K59"/>
    <mergeCell ref="B2:O2"/>
    <mergeCell ref="B6:O6"/>
    <mergeCell ref="B18:J18"/>
    <mergeCell ref="B8:D8"/>
    <mergeCell ref="F9:G9"/>
    <mergeCell ref="F10:G10"/>
    <mergeCell ref="F11:G11"/>
    <mergeCell ref="F12:G12"/>
    <mergeCell ref="F13:G13"/>
    <mergeCell ref="F14:G14"/>
    <mergeCell ref="F15:G15"/>
    <mergeCell ref="D4:E4"/>
    <mergeCell ref="F4:G4"/>
    <mergeCell ref="N4:O4"/>
    <mergeCell ref="H4:I4"/>
    <mergeCell ref="Q585:T585"/>
    <mergeCell ref="B475:O475"/>
    <mergeCell ref="B557:O557"/>
    <mergeCell ref="B560:O560"/>
    <mergeCell ref="B555:O555"/>
    <mergeCell ref="B558:O558"/>
    <mergeCell ref="B559:O559"/>
    <mergeCell ref="K585:M585"/>
    <mergeCell ref="O585:P585"/>
    <mergeCell ref="B585:B589"/>
    <mergeCell ref="B572:B575"/>
    <mergeCell ref="B577:B580"/>
    <mergeCell ref="I585:J585"/>
    <mergeCell ref="E585:F585"/>
    <mergeCell ref="B564:O564"/>
    <mergeCell ref="C571:D571"/>
    <mergeCell ref="C585:D585"/>
    <mergeCell ref="G585:H585"/>
    <mergeCell ref="K571:L571"/>
    <mergeCell ref="E571:F571"/>
    <mergeCell ref="G571:H571"/>
    <mergeCell ref="I571:J571"/>
    <mergeCell ref="B71:E71"/>
    <mergeCell ref="G71:O71"/>
    <mergeCell ref="B362:O362"/>
    <mergeCell ref="B109:O109"/>
    <mergeCell ref="C126:F126"/>
    <mergeCell ref="B111:O111"/>
    <mergeCell ref="B420:O420"/>
    <mergeCell ref="B439:O439"/>
    <mergeCell ref="B216:O216"/>
    <mergeCell ref="C218:D218"/>
    <mergeCell ref="E218:F218"/>
    <mergeCell ref="G218:G220"/>
  </mergeCells>
  <phoneticPr fontId="11" type="noConversion"/>
  <conditionalFormatting sqref="K38:K41">
    <cfRule type="expression" dxfId="2" priority="4">
      <formula>$J38=$N$572</formula>
    </cfRule>
  </conditionalFormatting>
  <conditionalFormatting sqref="K49:K52">
    <cfRule type="expression" dxfId="1" priority="2">
      <formula>$J49=$N$572</formula>
    </cfRule>
  </conditionalFormatting>
  <conditionalFormatting sqref="K60:K63">
    <cfRule type="expression" dxfId="0" priority="1">
      <formula>$J60=$N$572</formula>
    </cfRule>
  </conditionalFormatting>
  <dataValidations count="1">
    <dataValidation type="list" allowBlank="1" showInputMessage="1" showErrorMessage="1" sqref="J38:J41 J49:J52 J60:J63" xr:uid="{00000000-0002-0000-0E00-000000000000}">
      <formula1>Choix_Incertitudes</formula1>
    </dataValidation>
  </dataValidations>
  <hyperlinks>
    <hyperlink ref="B4" location="Convertisseurs" display="Converstisseurs" xr:uid="{00000000-0004-0000-0E00-000000000000}"/>
    <hyperlink ref="F4" location="Cartes" display="Cartes de France" xr:uid="{00000000-0004-0000-0E00-000001000000}"/>
    <hyperlink ref="H4" location="Données_statistiques" display="Données statistiques" xr:uid="{00000000-0004-0000-0E00-000002000000}"/>
    <hyperlink ref="J4" location="Documents" display="Documents de référence" xr:uid="{00000000-0004-0000-0E00-000003000000}"/>
    <hyperlink ref="D4:E4" location="Utilitaires!B32" display="Calculette UTFC" xr:uid="{00000000-0004-0000-0E00-000004000000}"/>
  </hyperlinks>
  <pageMargins left="0.78740157499999996" right="0.78740157499999996" top="0.984251969" bottom="0.984251969" header="0.5" footer="0.5"/>
  <pageSetup paperSize="9" orientation="portrait" horizontalDpi="4294967292" verticalDpi="4294967292"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1">
    <tabColor rgb="FFFFD833"/>
  </sheetPr>
  <dimension ref="A1:V157"/>
  <sheetViews>
    <sheetView showGridLines="0" zoomScale="85" zoomScaleNormal="85" workbookViewId="0">
      <pane ySplit="5" topLeftCell="A119" activePane="bottomLeft" state="frozenSplit"/>
      <selection pane="bottomLeft"/>
    </sheetView>
  </sheetViews>
  <sheetFormatPr baseColWidth="10" defaultColWidth="0" defaultRowHeight="13.2" zeroHeight="1"/>
  <cols>
    <col min="1" max="1" width="2.75" style="114" customWidth="1"/>
    <col min="2" max="2" width="46.375" style="114" bestFit="1" customWidth="1"/>
    <col min="3" max="4" width="15.75" style="114" customWidth="1"/>
    <col min="5" max="5" width="5.75" style="114" customWidth="1"/>
    <col min="6" max="7" width="15.75" style="114" customWidth="1"/>
    <col min="8" max="8" width="5.75" style="114" customWidth="1"/>
    <col min="9" max="14" width="10.75" style="114" customWidth="1"/>
    <col min="15" max="15" width="2.75" style="114" customWidth="1"/>
    <col min="16" max="22" width="0" style="114" hidden="1" customWidth="1"/>
    <col min="23" max="16384" width="10.875" style="114" hidden="1"/>
  </cols>
  <sheetData>
    <row r="1" spans="2:8"/>
    <row r="2" spans="2:8" ht="30" customHeight="1">
      <c r="B2" s="2944" t="s">
        <v>541</v>
      </c>
      <c r="C2" s="2945"/>
      <c r="D2" s="2945"/>
      <c r="E2" s="2945"/>
      <c r="F2" s="2945"/>
      <c r="G2" s="2945"/>
      <c r="H2" s="2945"/>
    </row>
    <row r="3" spans="2:8"/>
    <row r="4" spans="2:8" ht="13.8">
      <c r="B4" s="1020" t="s">
        <v>894</v>
      </c>
      <c r="C4" s="2948" t="s">
        <v>409</v>
      </c>
      <c r="D4" s="2949"/>
      <c r="F4" s="2948" t="s">
        <v>159</v>
      </c>
      <c r="G4" s="2949"/>
    </row>
    <row r="5" spans="2:8" ht="13.8">
      <c r="B5" s="235"/>
      <c r="C5" s="493" t="s">
        <v>444</v>
      </c>
      <c r="D5" s="493" t="s">
        <v>524</v>
      </c>
      <c r="F5" s="493" t="s">
        <v>444</v>
      </c>
      <c r="G5" s="493" t="s">
        <v>355</v>
      </c>
    </row>
    <row r="6" spans="2:8" s="211" customFormat="1" ht="20.100000000000001" customHeight="1">
      <c r="B6" s="494" t="str">
        <f>'Energie 1'!B197</f>
        <v>Energie 1</v>
      </c>
      <c r="C6" s="495">
        <f>SUM(C7:C11)</f>
        <v>398538.22810000001</v>
      </c>
      <c r="D6" s="496">
        <f t="shared" ref="D6:D11" si="0">IF(C6&lt;&gt;0,C6/$C$144/1000,"")</f>
        <v>8.2472385866816114E-2</v>
      </c>
      <c r="F6" s="495">
        <f>SQRT(SUMSQ(F7:F11))</f>
        <v>15288.625615065173</v>
      </c>
      <c r="G6" s="496">
        <f t="shared" ref="G6:G11" si="1">IF(C6&lt;&gt;0,F6/C6,"")</f>
        <v>3.8361754374109873E-2</v>
      </c>
    </row>
    <row r="7" spans="2:8" ht="12.75" customHeight="1">
      <c r="B7" s="429" t="str">
        <f>'Energie 1'!B199</f>
        <v>Combustibles, comptabilisation directe</v>
      </c>
      <c r="C7" s="467">
        <f>'Energie 1'!D199</f>
        <v>370148.3236</v>
      </c>
      <c r="D7" s="497">
        <f t="shared" si="0"/>
        <v>7.6597458460708992E-2</v>
      </c>
      <c r="F7" s="498">
        <f>'Energie 1'!H199</f>
        <v>15080.11327972312</v>
      </c>
      <c r="G7" s="497">
        <f t="shared" si="1"/>
        <v>4.0740730994149828E-2</v>
      </c>
    </row>
    <row r="8" spans="2:8" ht="12.75" customHeight="1">
      <c r="B8" s="429" t="str">
        <f>'Energie 1'!B200</f>
        <v>Chauffage fossile estimé</v>
      </c>
      <c r="C8" s="467">
        <f>'Energie 1'!D200</f>
        <v>0</v>
      </c>
      <c r="D8" s="497" t="str">
        <f t="shared" si="0"/>
        <v/>
      </c>
      <c r="F8" s="498">
        <f>'Energie 1'!H200</f>
        <v>0</v>
      </c>
      <c r="G8" s="497" t="str">
        <f t="shared" si="1"/>
        <v/>
      </c>
    </row>
    <row r="9" spans="2:8" ht="12.75" customHeight="1">
      <c r="B9" s="429" t="str">
        <f>'Energie 1'!B201</f>
        <v>Vapeur achetée</v>
      </c>
      <c r="C9" s="467">
        <f>'Energie 1'!D201</f>
        <v>0</v>
      </c>
      <c r="D9" s="497" t="str">
        <f t="shared" si="0"/>
        <v/>
      </c>
      <c r="F9" s="498">
        <f>'Energie 1'!H201</f>
        <v>0</v>
      </c>
      <c r="G9" s="497" t="str">
        <f t="shared" si="1"/>
        <v/>
      </c>
    </row>
    <row r="10" spans="2:8" ht="12.75" customHeight="1">
      <c r="B10" s="429" t="str">
        <f>'Energie 1'!B202</f>
        <v>Froid acheté</v>
      </c>
      <c r="C10" s="467">
        <f>'Energie 1'!D202</f>
        <v>0</v>
      </c>
      <c r="D10" s="497" t="str">
        <f t="shared" si="0"/>
        <v/>
      </c>
      <c r="F10" s="498">
        <f>'Energie 1'!H202</f>
        <v>0</v>
      </c>
      <c r="G10" s="497" t="str">
        <f t="shared" si="1"/>
        <v/>
      </c>
    </row>
    <row r="11" spans="2:8" ht="12.75" customHeight="1">
      <c r="B11" s="429" t="str">
        <f>'Energie 1'!B203</f>
        <v>Electricité achetée &amp; produite</v>
      </c>
      <c r="C11" s="467">
        <f>'Energie 1'!D203</f>
        <v>28389.904499999997</v>
      </c>
      <c r="D11" s="497">
        <f t="shared" si="0"/>
        <v>5.8749274061071144E-3</v>
      </c>
      <c r="F11" s="498">
        <f>'Energie 1'!H203</f>
        <v>2516.3975576894309</v>
      </c>
      <c r="G11" s="497">
        <f t="shared" si="1"/>
        <v>8.8637056094691372E-2</v>
      </c>
    </row>
    <row r="12" spans="2:8" ht="12.75" customHeight="1">
      <c r="B12" s="499"/>
      <c r="C12" s="442"/>
      <c r="D12" s="443"/>
      <c r="F12" s="444"/>
      <c r="G12" s="488"/>
    </row>
    <row r="13" spans="2:8" s="211" customFormat="1" ht="20.100000000000001" customHeight="1">
      <c r="B13" s="500" t="str">
        <f>'Energie 2'!B197</f>
        <v>Energie 2</v>
      </c>
      <c r="C13" s="501">
        <f>SUM(C14:C18)</f>
        <v>0</v>
      </c>
      <c r="D13" s="502" t="str">
        <f t="shared" ref="D13:D18" si="2">IF(C13&lt;&gt;0,C13/$C$144/1000,"")</f>
        <v/>
      </c>
      <c r="F13" s="629">
        <f>SQRT(SUMSQ(F14:F18))</f>
        <v>0</v>
      </c>
      <c r="G13" s="502" t="str">
        <f t="shared" ref="G13:G18" si="3">IF(C13&lt;&gt;0,F13/C13,"")</f>
        <v/>
      </c>
    </row>
    <row r="14" spans="2:8" ht="12.75" customHeight="1">
      <c r="B14" s="465" t="str">
        <f>'Energie 2'!B199</f>
        <v>Combustibles, comptabilisation directe</v>
      </c>
      <c r="C14" s="466">
        <f>'Energie 2'!D199</f>
        <v>0</v>
      </c>
      <c r="D14" s="503" t="str">
        <f t="shared" si="2"/>
        <v/>
      </c>
      <c r="F14" s="490">
        <f>'Energie 2'!H199</f>
        <v>0</v>
      </c>
      <c r="G14" s="503" t="str">
        <f t="shared" si="3"/>
        <v/>
      </c>
    </row>
    <row r="15" spans="2:8" ht="12.75" customHeight="1">
      <c r="B15" s="465" t="str">
        <f>'Energie 2'!B200</f>
        <v>Chauffage fossile estimé</v>
      </c>
      <c r="C15" s="466">
        <f>'Energie 2'!D200</f>
        <v>0</v>
      </c>
      <c r="D15" s="503" t="str">
        <f t="shared" si="2"/>
        <v/>
      </c>
      <c r="F15" s="490">
        <f>'Energie 2'!H200</f>
        <v>0</v>
      </c>
      <c r="G15" s="503" t="str">
        <f t="shared" si="3"/>
        <v/>
      </c>
    </row>
    <row r="16" spans="2:8" ht="12.75" customHeight="1">
      <c r="B16" s="465" t="str">
        <f>'Energie 2'!B201</f>
        <v>Vapeur achetée</v>
      </c>
      <c r="C16" s="466">
        <f>'Energie 2'!D201</f>
        <v>0</v>
      </c>
      <c r="D16" s="503" t="str">
        <f t="shared" si="2"/>
        <v/>
      </c>
      <c r="F16" s="490">
        <f>'Energie 2'!H201</f>
        <v>0</v>
      </c>
      <c r="G16" s="503" t="str">
        <f t="shared" si="3"/>
        <v/>
      </c>
    </row>
    <row r="17" spans="2:7" ht="12.75" customHeight="1">
      <c r="B17" s="465" t="str">
        <f>'Energie 2'!B202</f>
        <v>Froid acheté</v>
      </c>
      <c r="C17" s="466">
        <f>'Energie 2'!D202</f>
        <v>0</v>
      </c>
      <c r="D17" s="503" t="str">
        <f t="shared" si="2"/>
        <v/>
      </c>
      <c r="F17" s="490">
        <f>'Energie 2'!H202</f>
        <v>0</v>
      </c>
      <c r="G17" s="503" t="str">
        <f t="shared" si="3"/>
        <v/>
      </c>
    </row>
    <row r="18" spans="2:7" ht="12.75" customHeight="1">
      <c r="B18" s="465" t="str">
        <f>'Energie 2'!B203</f>
        <v>Electricité achetée &amp; produite</v>
      </c>
      <c r="C18" s="466">
        <f>'Energie 2'!D203</f>
        <v>0</v>
      </c>
      <c r="D18" s="503" t="str">
        <f t="shared" si="2"/>
        <v/>
      </c>
      <c r="F18" s="490">
        <f>'Energie 2'!H203</f>
        <v>0</v>
      </c>
      <c r="G18" s="503" t="str">
        <f t="shared" si="3"/>
        <v/>
      </c>
    </row>
    <row r="19" spans="2:7" ht="12.75" customHeight="1">
      <c r="B19" s="254"/>
      <c r="C19" s="442"/>
      <c r="D19" s="443"/>
      <c r="F19" s="444"/>
      <c r="G19" s="488"/>
    </row>
    <row r="20" spans="2:7" s="211" customFormat="1" ht="20.100000000000001" customHeight="1">
      <c r="B20" s="494" t="str">
        <f>'Hors énergie 1'!B107</f>
        <v>Hors énergie 1</v>
      </c>
      <c r="C20" s="495">
        <f>SUM(C21:C26)</f>
        <v>486</v>
      </c>
      <c r="D20" s="496">
        <f>IF(C20&lt;&gt;0,C20/$C$144/1000,"")</f>
        <v>1.0057148023756325E-4</v>
      </c>
      <c r="F20" s="495">
        <f>SQRT(SUMSQ(F21:F26))</f>
        <v>283.38426208948158</v>
      </c>
      <c r="G20" s="496">
        <f t="shared" ref="G20:G24" si="4">IF(C20&lt;&gt;0,F20/C20,"")</f>
        <v>0.58309518948452999</v>
      </c>
    </row>
    <row r="21" spans="2:7" ht="12.75" customHeight="1">
      <c r="B21" s="429" t="str">
        <f>'Hors énergie 1'!B109</f>
        <v>CO2 hors énergie</v>
      </c>
      <c r="C21" s="467">
        <f>'Hors énergie 1'!D109</f>
        <v>0</v>
      </c>
      <c r="D21" s="497" t="str">
        <f>IF(C21&lt;&gt;0,C21/$C$144/1000,"")</f>
        <v/>
      </c>
      <c r="F21" s="498">
        <f>'Hors énergie 1'!H109</f>
        <v>0</v>
      </c>
      <c r="G21" s="497" t="str">
        <f t="shared" si="4"/>
        <v/>
      </c>
    </row>
    <row r="22" spans="2:7" ht="12.75" customHeight="1">
      <c r="B22" s="429" t="str">
        <f>'Hors énergie 1'!B110</f>
        <v>Protoxyde d'azote</v>
      </c>
      <c r="C22" s="467">
        <f>'Hors énergie 1'!D110</f>
        <v>0</v>
      </c>
      <c r="D22" s="497" t="str">
        <f>IF(C22&lt;&gt;0,C22/$C$144/1000,"")</f>
        <v/>
      </c>
      <c r="F22" s="498">
        <f>'Hors énergie 1'!H110</f>
        <v>0</v>
      </c>
      <c r="G22" s="497" t="str">
        <f t="shared" si="4"/>
        <v/>
      </c>
    </row>
    <row r="23" spans="2:7" ht="12.75" customHeight="1">
      <c r="B23" s="429" t="str">
        <f>'Hors énergie 1'!B111</f>
        <v>Méthane</v>
      </c>
      <c r="C23" s="467">
        <f>'Hors énergie 1'!D111</f>
        <v>0</v>
      </c>
      <c r="D23" s="497" t="str">
        <f>IF(C23&lt;&gt;0,C23/$C$144/1000,"")</f>
        <v/>
      </c>
      <c r="F23" s="498">
        <f>'Hors énergie 1'!H111</f>
        <v>0</v>
      </c>
      <c r="G23" s="497" t="str">
        <f t="shared" si="4"/>
        <v/>
      </c>
    </row>
    <row r="24" spans="2:7" ht="12.75" customHeight="1">
      <c r="B24" s="429" t="str">
        <f>'Hors énergie 1'!B112</f>
        <v>Halocarbures de Kyoto</v>
      </c>
      <c r="C24" s="467">
        <f>'Hors énergie 1'!D112</f>
        <v>486</v>
      </c>
      <c r="D24" s="497">
        <f>IF(C24&lt;&gt;0,C24/$C$144/1000,"")</f>
        <v>1.0057148023756325E-4</v>
      </c>
      <c r="F24" s="498">
        <f>'Hors énergie 1'!H112</f>
        <v>283.38426208948158</v>
      </c>
      <c r="G24" s="497">
        <f t="shared" si="4"/>
        <v>0.58309518948452999</v>
      </c>
    </row>
    <row r="25" spans="2:7" ht="12.75" customHeight="1">
      <c r="B25" s="429" t="str">
        <f>'Hors énergie 1'!B113</f>
        <v>Gaz hors Kyoto</v>
      </c>
      <c r="C25" s="467">
        <f>'Hors énergie 1'!D113</f>
        <v>0</v>
      </c>
      <c r="D25" s="497" t="str">
        <f t="shared" ref="D25:D26" si="5">IF(C25&lt;&gt;0,C25/$C$144/1000,"")</f>
        <v/>
      </c>
      <c r="F25" s="498">
        <f>'Hors énergie 1'!H113</f>
        <v>0</v>
      </c>
      <c r="G25" s="497" t="str">
        <f t="shared" ref="G25:G26" si="6">IF(C25&lt;&gt;0,F25/C25,"")</f>
        <v/>
      </c>
    </row>
    <row r="26" spans="2:7" ht="12.75" customHeight="1">
      <c r="B26" s="429" t="str">
        <f>'Hors énergie 1'!B114</f>
        <v>Agriculture</v>
      </c>
      <c r="C26" s="467">
        <f>'Hors énergie 1'!D114</f>
        <v>0</v>
      </c>
      <c r="D26" s="497" t="str">
        <f t="shared" si="5"/>
        <v/>
      </c>
      <c r="F26" s="498">
        <f>'Hors énergie 1'!H114</f>
        <v>0</v>
      </c>
      <c r="G26" s="497" t="str">
        <f t="shared" si="6"/>
        <v/>
      </c>
    </row>
    <row r="27" spans="2:7" ht="12.75" customHeight="1">
      <c r="C27" s="441"/>
      <c r="D27" s="126"/>
      <c r="F27" s="444"/>
      <c r="G27" s="488"/>
    </row>
    <row r="28" spans="2:7" s="211" customFormat="1" ht="20.100000000000001" customHeight="1">
      <c r="B28" s="500" t="str">
        <f>'Hors énergie 2'!B107</f>
        <v>Hors énergie 2</v>
      </c>
      <c r="C28" s="501">
        <f>SUM(C29:C34)</f>
        <v>0</v>
      </c>
      <c r="D28" s="502" t="str">
        <f t="shared" ref="D28:D32" si="7">IF(C28&lt;&gt;0,C28/$C$144/1000,"")</f>
        <v/>
      </c>
      <c r="F28" s="629">
        <f>SQRT(SUMSQ(F29:F34))</f>
        <v>0</v>
      </c>
      <c r="G28" s="502" t="str">
        <f t="shared" ref="G28:G32" si="8">IF(C28&lt;&gt;0,F28/C28,"")</f>
        <v/>
      </c>
    </row>
    <row r="29" spans="2:7" ht="12.75" customHeight="1">
      <c r="B29" s="465" t="str">
        <f>'Hors énergie 2'!B109</f>
        <v>CO2 hors énergie</v>
      </c>
      <c r="C29" s="466">
        <f>'Hors énergie 2'!D109</f>
        <v>0</v>
      </c>
      <c r="D29" s="503" t="str">
        <f t="shared" si="7"/>
        <v/>
      </c>
      <c r="F29" s="490">
        <f>'Hors énergie 2'!H109</f>
        <v>0</v>
      </c>
      <c r="G29" s="503" t="str">
        <f t="shared" si="8"/>
        <v/>
      </c>
    </row>
    <row r="30" spans="2:7" ht="12.75" customHeight="1">
      <c r="B30" s="465" t="str">
        <f>'Hors énergie 2'!B110</f>
        <v>Protoxyde d'azote</v>
      </c>
      <c r="C30" s="466">
        <f>'Hors énergie 2'!D110</f>
        <v>0</v>
      </c>
      <c r="D30" s="503" t="str">
        <f t="shared" si="7"/>
        <v/>
      </c>
      <c r="F30" s="490">
        <f>'Hors énergie 2'!H110</f>
        <v>0</v>
      </c>
      <c r="G30" s="503" t="str">
        <f t="shared" si="8"/>
        <v/>
      </c>
    </row>
    <row r="31" spans="2:7" ht="12.75" customHeight="1">
      <c r="B31" s="465" t="str">
        <f>'Hors énergie 2'!B111</f>
        <v>Méthane</v>
      </c>
      <c r="C31" s="466">
        <f>'Hors énergie 2'!D111</f>
        <v>0</v>
      </c>
      <c r="D31" s="503" t="str">
        <f t="shared" si="7"/>
        <v/>
      </c>
      <c r="F31" s="490">
        <f>'Hors énergie 2'!H111</f>
        <v>0</v>
      </c>
      <c r="G31" s="503" t="str">
        <f t="shared" si="8"/>
        <v/>
      </c>
    </row>
    <row r="32" spans="2:7" ht="12.75" customHeight="1">
      <c r="B32" s="465" t="str">
        <f>'Hors énergie 2'!B112</f>
        <v>Halocarbures de Kyoto</v>
      </c>
      <c r="C32" s="466">
        <f>'Hors énergie 2'!D112</f>
        <v>0</v>
      </c>
      <c r="D32" s="503" t="str">
        <f t="shared" si="7"/>
        <v/>
      </c>
      <c r="F32" s="490">
        <f>'Hors énergie 2'!H112</f>
        <v>0</v>
      </c>
      <c r="G32" s="503" t="str">
        <f t="shared" si="8"/>
        <v/>
      </c>
    </row>
    <row r="33" spans="2:7" ht="12.75" customHeight="1">
      <c r="B33" s="465" t="str">
        <f>'Hors énergie 2'!B113</f>
        <v>Gaz hors Kyoto</v>
      </c>
      <c r="C33" s="466">
        <f>'Hors énergie 2'!D113</f>
        <v>0</v>
      </c>
      <c r="D33" s="503" t="str">
        <f t="shared" ref="D33:D34" si="9">IF(C33&lt;&gt;0,C33/$C$144/1000,"")</f>
        <v/>
      </c>
      <c r="F33" s="490">
        <f>'Hors énergie 2'!H113</f>
        <v>0</v>
      </c>
      <c r="G33" s="503" t="str">
        <f t="shared" ref="G33:G34" si="10">IF(C33&lt;&gt;0,F33/C33,"")</f>
        <v/>
      </c>
    </row>
    <row r="34" spans="2:7" ht="12.75" customHeight="1">
      <c r="B34" s="465" t="str">
        <f>'Hors énergie 2'!B114</f>
        <v>Agriculture</v>
      </c>
      <c r="C34" s="466">
        <f>'Hors énergie 2'!D114</f>
        <v>0</v>
      </c>
      <c r="D34" s="503" t="str">
        <f t="shared" si="9"/>
        <v/>
      </c>
      <c r="F34" s="490">
        <f>'Hors énergie 2'!H114</f>
        <v>0</v>
      </c>
      <c r="G34" s="503" t="str">
        <f t="shared" si="10"/>
        <v/>
      </c>
    </row>
    <row r="35" spans="2:7" ht="12.75" customHeight="1">
      <c r="B35" s="266"/>
      <c r="C35" s="504"/>
      <c r="D35" s="505"/>
      <c r="F35" s="444"/>
      <c r="G35" s="488"/>
    </row>
    <row r="36" spans="2:7" s="211" customFormat="1" ht="20.100000000000001" customHeight="1">
      <c r="B36" s="494" t="str">
        <f>'Intrants 1'!B323</f>
        <v>Intrants 1</v>
      </c>
      <c r="C36" s="495">
        <f>SUM(C37:C46)</f>
        <v>2658182</v>
      </c>
      <c r="D36" s="496">
        <f t="shared" ref="D36:D44" si="11">IF(C36&lt;&gt;0,C36/$C$144/1000,"")</f>
        <v>0.55007674584536292</v>
      </c>
      <c r="F36" s="495">
        <f>SQRT(SUMSQ(F37:F46))</f>
        <v>384846.50731551414</v>
      </c>
      <c r="G36" s="496">
        <f t="shared" ref="G36:G44" si="12">IF(C36&lt;&gt;0,F36/C36,"")</f>
        <v>0.14477808792457181</v>
      </c>
    </row>
    <row r="37" spans="2:7" ht="12.75" customHeight="1">
      <c r="B37" s="429" t="str">
        <f>'Intrants 1'!B325</f>
        <v>Métaux</v>
      </c>
      <c r="C37" s="467">
        <f>'Intrants 1'!D325</f>
        <v>2126670</v>
      </c>
      <c r="D37" s="497">
        <f t="shared" si="11"/>
        <v>0.4400871396642359</v>
      </c>
      <c r="F37" s="498">
        <f>'Intrants 1'!H325</f>
        <v>369984.32643728307</v>
      </c>
      <c r="G37" s="497">
        <f t="shared" si="12"/>
        <v>0.17397354852294106</v>
      </c>
    </row>
    <row r="38" spans="2:7" ht="12.75" customHeight="1">
      <c r="B38" s="429" t="str">
        <f>'Intrants 1'!B326</f>
        <v>Plastiques</v>
      </c>
      <c r="C38" s="467">
        <f>'Intrants 1'!D326</f>
        <v>370260</v>
      </c>
      <c r="D38" s="497">
        <f t="shared" si="11"/>
        <v>7.6620568462469493E-2</v>
      </c>
      <c r="F38" s="498">
        <f>'Intrants 1'!H326</f>
        <v>92565</v>
      </c>
      <c r="G38" s="497">
        <f t="shared" si="12"/>
        <v>0.25</v>
      </c>
    </row>
    <row r="39" spans="2:7" ht="12.75" customHeight="1">
      <c r="B39" s="429" t="str">
        <f>'Intrants 1'!B327</f>
        <v>Verre</v>
      </c>
      <c r="C39" s="467">
        <f>'Intrants 1'!D327</f>
        <v>83070</v>
      </c>
      <c r="D39" s="497">
        <f t="shared" si="11"/>
        <v>1.719027338134646E-2</v>
      </c>
      <c r="F39" s="498">
        <f>'Intrants 1'!H327</f>
        <v>43363.813084759975</v>
      </c>
      <c r="G39" s="497">
        <f t="shared" si="12"/>
        <v>0.52201532544552753</v>
      </c>
    </row>
    <row r="40" spans="2:7" ht="12.75" customHeight="1">
      <c r="B40" s="429" t="str">
        <f>'Intrants 1'!B328</f>
        <v>Papiers &amp; cartons</v>
      </c>
      <c r="C40" s="467">
        <f>'Intrants 1'!D328</f>
        <v>0</v>
      </c>
      <c r="D40" s="497" t="str">
        <f t="shared" si="11"/>
        <v/>
      </c>
      <c r="F40" s="498">
        <f>'Intrants 1'!H328</f>
        <v>0</v>
      </c>
      <c r="G40" s="497" t="str">
        <f t="shared" si="12"/>
        <v/>
      </c>
    </row>
    <row r="41" spans="2:7" ht="12.75" customHeight="1">
      <c r="B41" s="429" t="str">
        <f>'Intrants 1'!B329</f>
        <v>Matériaux de construction</v>
      </c>
      <c r="C41" s="467">
        <f>'Intrants 1'!D329</f>
        <v>0</v>
      </c>
      <c r="D41" s="497" t="str">
        <f t="shared" si="11"/>
        <v/>
      </c>
      <c r="F41" s="498">
        <f>'Intrants 1'!H329</f>
        <v>0</v>
      </c>
      <c r="G41" s="497" t="str">
        <f t="shared" si="12"/>
        <v/>
      </c>
    </row>
    <row r="42" spans="2:7" ht="12.75" customHeight="1">
      <c r="B42" s="429" t="str">
        <f>'Intrants 1'!B330</f>
        <v>Produits chimiques</v>
      </c>
      <c r="C42" s="467">
        <f>'Intrants 1'!D330</f>
        <v>0</v>
      </c>
      <c r="D42" s="497" t="str">
        <f t="shared" si="11"/>
        <v/>
      </c>
      <c r="F42" s="498">
        <f>'Intrants 1'!H330</f>
        <v>0</v>
      </c>
      <c r="G42" s="497" t="str">
        <f t="shared" si="12"/>
        <v/>
      </c>
    </row>
    <row r="43" spans="2:7" ht="12.75" customHeight="1">
      <c r="B43" s="429" t="str">
        <f>'Intrants 1'!B331</f>
        <v>Nourriture</v>
      </c>
      <c r="C43" s="467">
        <f>'Intrants 1'!D331</f>
        <v>0</v>
      </c>
      <c r="D43" s="497" t="str">
        <f t="shared" si="11"/>
        <v/>
      </c>
      <c r="F43" s="498">
        <f>'Intrants 1'!H331</f>
        <v>0</v>
      </c>
      <c r="G43" s="497" t="str">
        <f t="shared" si="12"/>
        <v/>
      </c>
    </row>
    <row r="44" spans="2:7" ht="12.75" customHeight="1">
      <c r="B44" s="429" t="str">
        <f>'Intrants 1'!B332</f>
        <v>Autres intrants</v>
      </c>
      <c r="C44" s="467">
        <f>'Intrants 1'!D332</f>
        <v>27525.000000000004</v>
      </c>
      <c r="D44" s="497">
        <f t="shared" si="11"/>
        <v>5.6959464887632281E-3</v>
      </c>
      <c r="F44" s="498">
        <f>'Intrants 1'!H332</f>
        <v>13762.500000000002</v>
      </c>
      <c r="G44" s="497">
        <f t="shared" si="12"/>
        <v>0.5</v>
      </c>
    </row>
    <row r="45" spans="2:7" ht="12.75" customHeight="1">
      <c r="B45" s="429" t="str">
        <f>'Intrants 1'!B333</f>
        <v>Ratios monétaires</v>
      </c>
      <c r="C45" s="467">
        <f>'Intrants 1'!D333</f>
        <v>31730</v>
      </c>
      <c r="D45" s="497">
        <f t="shared" ref="D45:D46" si="13">IF(C45&lt;&gt;0,C45/$C$144/1000,"")</f>
        <v>6.5661174237404982E-3</v>
      </c>
      <c r="F45" s="498">
        <f>'Intrants 1'!H333</f>
        <v>22529.02412444889</v>
      </c>
      <c r="G45" s="497">
        <f t="shared" ref="G45:G46" si="14">IF(C45&lt;&gt;0,F45/C45,"")</f>
        <v>0.71002282144496975</v>
      </c>
    </row>
    <row r="46" spans="2:7" ht="12.75" customHeight="1">
      <c r="B46" s="429" t="str">
        <f>'Intrants 1'!B334</f>
        <v>Investissements</v>
      </c>
      <c r="C46" s="467">
        <f>'Intrants 1'!D334</f>
        <v>18927</v>
      </c>
      <c r="D46" s="497">
        <f t="shared" si="13"/>
        <v>3.9167004248073243E-3</v>
      </c>
      <c r="F46" s="498">
        <f>'Intrants 1'!H334</f>
        <v>8530.5063859069924</v>
      </c>
      <c r="G46" s="497">
        <f t="shared" si="14"/>
        <v>0.45070567897220859</v>
      </c>
    </row>
    <row r="47" spans="2:7" ht="12.75" customHeight="1">
      <c r="B47" s="266"/>
      <c r="C47" s="504"/>
      <c r="D47" s="505"/>
      <c r="F47" s="444"/>
      <c r="G47" s="488"/>
    </row>
    <row r="48" spans="2:7" s="211" customFormat="1" ht="20.100000000000001" customHeight="1">
      <c r="B48" s="494" t="str">
        <f>'Intrants 2'!B321</f>
        <v>Intrants 2</v>
      </c>
      <c r="C48" s="495">
        <f>SUM(C49:C58)</f>
        <v>0</v>
      </c>
      <c r="D48" s="496" t="str">
        <f t="shared" ref="D48:D56" si="15">IF(C48&lt;&gt;0,C48/$C$144/1000,"")</f>
        <v/>
      </c>
      <c r="F48" s="495">
        <f>SQRT(SUMSQ(F49:F58))</f>
        <v>0</v>
      </c>
      <c r="G48" s="496" t="str">
        <f t="shared" ref="G48:G56" si="16">IF(C48&lt;&gt;0,F48/C48,"")</f>
        <v/>
      </c>
    </row>
    <row r="49" spans="2:7" ht="12.75" customHeight="1">
      <c r="B49" s="429" t="str">
        <f>'Intrants 2'!B323</f>
        <v>Métaux</v>
      </c>
      <c r="C49" s="467">
        <f>'Intrants 2'!D323</f>
        <v>0</v>
      </c>
      <c r="D49" s="497" t="str">
        <f t="shared" si="15"/>
        <v/>
      </c>
      <c r="F49" s="498">
        <f>'Intrants 2'!H323</f>
        <v>0</v>
      </c>
      <c r="G49" s="497" t="str">
        <f t="shared" si="16"/>
        <v/>
      </c>
    </row>
    <row r="50" spans="2:7" ht="12.75" customHeight="1">
      <c r="B50" s="429" t="str">
        <f>'Intrants 2'!B324</f>
        <v>Plastiques</v>
      </c>
      <c r="C50" s="467">
        <f>'Intrants 2'!D324</f>
        <v>0</v>
      </c>
      <c r="D50" s="497" t="str">
        <f t="shared" si="15"/>
        <v/>
      </c>
      <c r="F50" s="498">
        <f>'Intrants 2'!H324</f>
        <v>0</v>
      </c>
      <c r="G50" s="497" t="str">
        <f t="shared" si="16"/>
        <v/>
      </c>
    </row>
    <row r="51" spans="2:7" ht="12.75" customHeight="1">
      <c r="B51" s="429" t="str">
        <f>'Intrants 2'!B325</f>
        <v>Verre</v>
      </c>
      <c r="C51" s="467">
        <f>'Intrants 2'!D325</f>
        <v>0</v>
      </c>
      <c r="D51" s="497" t="str">
        <f t="shared" si="15"/>
        <v/>
      </c>
      <c r="F51" s="498">
        <f>'Intrants 2'!H325</f>
        <v>0</v>
      </c>
      <c r="G51" s="497" t="str">
        <f t="shared" si="16"/>
        <v/>
      </c>
    </row>
    <row r="52" spans="2:7" ht="12.75" customHeight="1">
      <c r="B52" s="429" t="str">
        <f>'Intrants 2'!B326</f>
        <v>Papiers &amp; cartons</v>
      </c>
      <c r="C52" s="467">
        <f>'Intrants 2'!D326</f>
        <v>0</v>
      </c>
      <c r="D52" s="497" t="str">
        <f t="shared" si="15"/>
        <v/>
      </c>
      <c r="F52" s="498">
        <f>'Intrants 2'!H326</f>
        <v>0</v>
      </c>
      <c r="G52" s="497" t="str">
        <f t="shared" si="16"/>
        <v/>
      </c>
    </row>
    <row r="53" spans="2:7" ht="12.75" customHeight="1">
      <c r="B53" s="429" t="str">
        <f>'Intrants 2'!B327</f>
        <v>Matériaux de construction</v>
      </c>
      <c r="C53" s="467">
        <f>'Intrants 2'!D327</f>
        <v>0</v>
      </c>
      <c r="D53" s="497" t="str">
        <f t="shared" si="15"/>
        <v/>
      </c>
      <c r="F53" s="498">
        <f>'Intrants 2'!H327</f>
        <v>0</v>
      </c>
      <c r="G53" s="497" t="str">
        <f t="shared" si="16"/>
        <v/>
      </c>
    </row>
    <row r="54" spans="2:7" ht="12.75" customHeight="1">
      <c r="B54" s="429" t="str">
        <f>'Intrants 2'!B328</f>
        <v>Produits chimiques</v>
      </c>
      <c r="C54" s="467">
        <f>'Intrants 2'!D328</f>
        <v>0</v>
      </c>
      <c r="D54" s="497" t="str">
        <f t="shared" si="15"/>
        <v/>
      </c>
      <c r="F54" s="498">
        <f>'Intrants 2'!H328</f>
        <v>0</v>
      </c>
      <c r="G54" s="497" t="str">
        <f t="shared" si="16"/>
        <v/>
      </c>
    </row>
    <row r="55" spans="2:7" ht="12.75" customHeight="1">
      <c r="B55" s="429" t="str">
        <f>'Intrants 2'!B329</f>
        <v>Nourriture</v>
      </c>
      <c r="C55" s="467">
        <f>'Intrants 2'!D329</f>
        <v>0</v>
      </c>
      <c r="D55" s="497" t="str">
        <f t="shared" si="15"/>
        <v/>
      </c>
      <c r="F55" s="498">
        <f>'Intrants 2'!H329</f>
        <v>0</v>
      </c>
      <c r="G55" s="497" t="str">
        <f t="shared" si="16"/>
        <v/>
      </c>
    </row>
    <row r="56" spans="2:7" ht="12.75" customHeight="1">
      <c r="B56" s="429" t="str">
        <f>'Intrants 2'!B330</f>
        <v>Autres intrants</v>
      </c>
      <c r="C56" s="467">
        <f>'Intrants 2'!D330</f>
        <v>0</v>
      </c>
      <c r="D56" s="497" t="str">
        <f t="shared" si="15"/>
        <v/>
      </c>
      <c r="F56" s="498">
        <f>'Intrants 2'!H330</f>
        <v>0</v>
      </c>
      <c r="G56" s="497" t="str">
        <f t="shared" si="16"/>
        <v/>
      </c>
    </row>
    <row r="57" spans="2:7" ht="12.75" customHeight="1">
      <c r="B57" s="429" t="str">
        <f>'Intrants 2'!B331</f>
        <v>Ratios monétaires</v>
      </c>
      <c r="C57" s="467">
        <f>'Intrants 2'!D331</f>
        <v>0</v>
      </c>
      <c r="D57" s="497" t="str">
        <f t="shared" ref="D57:D58" si="17">IF(C57&lt;&gt;0,C57/$C$144/1000,"")</f>
        <v/>
      </c>
      <c r="F57" s="498">
        <f>'Intrants 2'!H331</f>
        <v>0</v>
      </c>
      <c r="G57" s="497" t="str">
        <f t="shared" ref="G57:G58" si="18">IF(C57&lt;&gt;0,F57/C57,"")</f>
        <v/>
      </c>
    </row>
    <row r="58" spans="2:7" ht="12.75" customHeight="1">
      <c r="B58" s="429" t="str">
        <f>'Intrants 2'!B332</f>
        <v>Investissements</v>
      </c>
      <c r="C58" s="467">
        <f>'Intrants 2'!D332</f>
        <v>0</v>
      </c>
      <c r="D58" s="497" t="str">
        <f t="shared" si="17"/>
        <v/>
      </c>
      <c r="F58" s="498">
        <f>'Intrants 2'!H332</f>
        <v>0</v>
      </c>
      <c r="G58" s="497" t="str">
        <f t="shared" si="18"/>
        <v/>
      </c>
    </row>
    <row r="59" spans="2:7" ht="12.75" customHeight="1">
      <c r="B59" s="266"/>
      <c r="C59" s="504"/>
      <c r="D59" s="505"/>
      <c r="F59" s="444"/>
      <c r="G59" s="488"/>
    </row>
    <row r="60" spans="2:7" s="211" customFormat="1" ht="20.100000000000001" customHeight="1">
      <c r="B60" s="500" t="str">
        <f>'Futurs emballages'!B75</f>
        <v>Futurs emballages</v>
      </c>
      <c r="C60" s="501">
        <f>SUM(C61:C68)</f>
        <v>309180</v>
      </c>
      <c r="D60" s="502">
        <f>IF(C60&lt;&gt;0,C60/$C$144/1000,"")</f>
        <v>6.3980844156069555E-2</v>
      </c>
      <c r="F60" s="629">
        <f>SQRT(SUMSQ(F61:F68))</f>
        <v>32514.390660136934</v>
      </c>
      <c r="G60" s="502">
        <f t="shared" ref="G60:G64" si="19">IF(C60&lt;&gt;0,F60/C60,"")</f>
        <v>0.10516330506545357</v>
      </c>
    </row>
    <row r="61" spans="2:7" ht="12.75" customHeight="1">
      <c r="B61" s="465" t="str">
        <f>'Futurs emballages'!B77</f>
        <v>Métaux</v>
      </c>
      <c r="C61" s="466">
        <f>'Futurs emballages'!F77</f>
        <v>0</v>
      </c>
      <c r="D61" s="503" t="str">
        <f>IF(C61&lt;&gt;0,C61/$C$144/1000,"")</f>
        <v/>
      </c>
      <c r="F61" s="490">
        <f>'Futurs emballages'!J77</f>
        <v>0</v>
      </c>
      <c r="G61" s="503" t="str">
        <f t="shared" si="19"/>
        <v/>
      </c>
    </row>
    <row r="62" spans="2:7" ht="12.75" customHeight="1">
      <c r="B62" s="465" t="str">
        <f>'Futurs emballages'!B78</f>
        <v>Plastiques</v>
      </c>
      <c r="C62" s="466">
        <f>'Futurs emballages'!F78</f>
        <v>142980</v>
      </c>
      <c r="D62" s="503">
        <f t="shared" ref="D62:D64" si="20">IF(C62&lt;&gt;0,C62/$C$144/1000,"")</f>
        <v>2.9587881161248546E-2</v>
      </c>
      <c r="F62" s="490">
        <f>'Futurs emballages'!J78</f>
        <v>22000</v>
      </c>
      <c r="G62" s="503">
        <f t="shared" si="19"/>
        <v>0.15386767380053154</v>
      </c>
    </row>
    <row r="63" spans="2:7" ht="12.75" customHeight="1">
      <c r="B63" s="465" t="str">
        <f>'Futurs emballages'!B79</f>
        <v>Verre</v>
      </c>
      <c r="C63" s="466">
        <f>'Futurs emballages'!F79</f>
        <v>0</v>
      </c>
      <c r="D63" s="503" t="str">
        <f t="shared" si="20"/>
        <v/>
      </c>
      <c r="F63" s="490">
        <f>'Futurs emballages'!J79</f>
        <v>0</v>
      </c>
      <c r="G63" s="503" t="str">
        <f t="shared" si="19"/>
        <v/>
      </c>
    </row>
    <row r="64" spans="2:7" ht="12.75" customHeight="1">
      <c r="B64" s="465" t="str">
        <f>'Futurs emballages'!B80</f>
        <v>Papiers et cartons</v>
      </c>
      <c r="C64" s="466">
        <f>'Futurs emballages'!F80</f>
        <v>166200</v>
      </c>
      <c r="D64" s="503">
        <f t="shared" si="20"/>
        <v>3.4392962994821009E-2</v>
      </c>
      <c r="F64" s="490">
        <f>'Futurs emballages'!J80</f>
        <v>23941.294868907989</v>
      </c>
      <c r="G64" s="503">
        <f t="shared" si="19"/>
        <v>0.14405111232796625</v>
      </c>
    </row>
    <row r="65" spans="2:7" ht="12.75" customHeight="1">
      <c r="B65" s="465"/>
      <c r="C65" s="466"/>
      <c r="D65" s="503"/>
      <c r="F65" s="490"/>
      <c r="G65" s="503"/>
    </row>
    <row r="66" spans="2:7" ht="12.75" customHeight="1">
      <c r="B66" s="465"/>
      <c r="C66" s="466"/>
      <c r="D66" s="503"/>
      <c r="F66" s="490"/>
      <c r="G66" s="503"/>
    </row>
    <row r="67" spans="2:7" ht="12.75" customHeight="1">
      <c r="B67" s="465"/>
      <c r="C67" s="466"/>
      <c r="D67" s="503"/>
      <c r="F67" s="490"/>
      <c r="G67" s="503"/>
    </row>
    <row r="68" spans="2:7" ht="12.75" customHeight="1">
      <c r="B68" s="465"/>
      <c r="C68" s="466"/>
      <c r="D68" s="503"/>
      <c r="F68" s="490"/>
      <c r="G68" s="503"/>
    </row>
    <row r="69" spans="2:7" ht="12.75" customHeight="1">
      <c r="B69" s="266"/>
      <c r="C69" s="504"/>
      <c r="D69" s="505"/>
      <c r="F69" s="444"/>
      <c r="G69" s="488"/>
    </row>
    <row r="70" spans="2:7" s="211" customFormat="1" ht="20.100000000000001" customHeight="1">
      <c r="B70" s="494" t="str">
        <f>Fret!B562</f>
        <v>Fret</v>
      </c>
      <c r="C70" s="495">
        <f>SUM(C71:C82)</f>
        <v>295739.83500000002</v>
      </c>
      <c r="D70" s="496">
        <f>IF(C70&lt;&gt;0,C70/$C$144/1000,"")</f>
        <v>6.1199574014738106E-2</v>
      </c>
      <c r="F70" s="495">
        <f>SQRT(SUMSQ(F71:F82))</f>
        <v>80538.449101336722</v>
      </c>
      <c r="G70" s="496">
        <f t="shared" ref="G70:G82" si="21">IF(C70&lt;&gt;0,F70/C70,"")</f>
        <v>0.2723287145315974</v>
      </c>
    </row>
    <row r="71" spans="2:7" ht="12.75" customHeight="1">
      <c r="B71" s="429" t="str">
        <f>Fret!B564</f>
        <v>Fret routier entrant</v>
      </c>
      <c r="C71" s="467">
        <f>Fret!D564</f>
        <v>93036.035000000003</v>
      </c>
      <c r="D71" s="497">
        <f>IF(C71&lt;&gt;0,C71/$C$144/1000,"")</f>
        <v>1.9252616780624985E-2</v>
      </c>
      <c r="F71" s="498">
        <f>Fret!H564</f>
        <v>38301.610075583791</v>
      </c>
      <c r="G71" s="497">
        <f t="shared" si="21"/>
        <v>0.4116857524676733</v>
      </c>
    </row>
    <row r="72" spans="2:7" ht="12.75" customHeight="1">
      <c r="B72" s="429" t="str">
        <f>Fret!B565</f>
        <v>Fret aérien entrant</v>
      </c>
      <c r="C72" s="467">
        <f>Fret!D565</f>
        <v>0</v>
      </c>
      <c r="D72" s="497" t="str">
        <f t="shared" ref="D72:D82" si="22">IF(C72&lt;&gt;0,C72/$C$144/1000,"")</f>
        <v/>
      </c>
      <c r="F72" s="498">
        <f>Fret!H565</f>
        <v>0</v>
      </c>
      <c r="G72" s="497" t="str">
        <f t="shared" si="21"/>
        <v/>
      </c>
    </row>
    <row r="73" spans="2:7" ht="12.75" customHeight="1">
      <c r="B73" s="429" t="str">
        <f>Fret!B566</f>
        <v>Fret ferroviaire entrant</v>
      </c>
      <c r="C73" s="467">
        <f>Fret!D566</f>
        <v>0</v>
      </c>
      <c r="D73" s="497" t="str">
        <f t="shared" si="22"/>
        <v/>
      </c>
      <c r="F73" s="498">
        <f>Fret!H566</f>
        <v>0</v>
      </c>
      <c r="G73" s="497" t="str">
        <f t="shared" si="21"/>
        <v/>
      </c>
    </row>
    <row r="74" spans="2:7" ht="12.75" customHeight="1">
      <c r="B74" s="429" t="str">
        <f>Fret!B567</f>
        <v>Fret maritime et fluvial entrant</v>
      </c>
      <c r="C74" s="467">
        <f>Fret!D567</f>
        <v>48206</v>
      </c>
      <c r="D74" s="497">
        <f t="shared" si="22"/>
        <v>9.9756147661151737E-3</v>
      </c>
      <c r="F74" s="498">
        <f>Fret!H567</f>
        <v>19004.1582860173</v>
      </c>
      <c r="G74" s="497">
        <f t="shared" si="21"/>
        <v>0.39422806882996514</v>
      </c>
    </row>
    <row r="75" spans="2:7" ht="12.75" customHeight="1">
      <c r="B75" s="429" t="str">
        <f>Fret!B568</f>
        <v>Fret routier interne</v>
      </c>
      <c r="C75" s="467">
        <f>Fret!D568</f>
        <v>0</v>
      </c>
      <c r="D75" s="497" t="str">
        <f t="shared" si="22"/>
        <v/>
      </c>
      <c r="F75" s="498">
        <f>Fret!H568</f>
        <v>0</v>
      </c>
      <c r="G75" s="497" t="str">
        <f t="shared" si="21"/>
        <v/>
      </c>
    </row>
    <row r="76" spans="2:7" ht="12.75" customHeight="1">
      <c r="B76" s="429" t="str">
        <f>Fret!B569</f>
        <v>Fret aérien interne</v>
      </c>
      <c r="C76" s="467">
        <f>Fret!D569</f>
        <v>0</v>
      </c>
      <c r="D76" s="497" t="str">
        <f t="shared" si="22"/>
        <v/>
      </c>
      <c r="F76" s="498">
        <f>Fret!H569</f>
        <v>0</v>
      </c>
      <c r="G76" s="497" t="str">
        <f t="shared" si="21"/>
        <v/>
      </c>
    </row>
    <row r="77" spans="2:7" ht="12.75" customHeight="1">
      <c r="B77" s="429" t="str">
        <f>Fret!B570</f>
        <v>Fret ferroviaire interne</v>
      </c>
      <c r="C77" s="467">
        <f>Fret!D570</f>
        <v>0</v>
      </c>
      <c r="D77" s="497" t="str">
        <f t="shared" si="22"/>
        <v/>
      </c>
      <c r="F77" s="498">
        <f>Fret!H570</f>
        <v>0</v>
      </c>
      <c r="G77" s="497" t="str">
        <f t="shared" si="21"/>
        <v/>
      </c>
    </row>
    <row r="78" spans="2:7" ht="12.75" customHeight="1">
      <c r="B78" s="429" t="str">
        <f>Fret!B571</f>
        <v>Fret maritime et fluvial interne</v>
      </c>
      <c r="C78" s="467">
        <f>Fret!D571</f>
        <v>0</v>
      </c>
      <c r="D78" s="497" t="str">
        <f t="shared" si="22"/>
        <v/>
      </c>
      <c r="F78" s="498">
        <f>Fret!H571</f>
        <v>0</v>
      </c>
      <c r="G78" s="497" t="str">
        <f t="shared" si="21"/>
        <v/>
      </c>
    </row>
    <row r="79" spans="2:7" ht="12.75" customHeight="1">
      <c r="B79" s="429" t="str">
        <f>Fret!B572</f>
        <v>Fret routier sortant</v>
      </c>
      <c r="C79" s="467">
        <f>Fret!D572</f>
        <v>154497.80000000002</v>
      </c>
      <c r="D79" s="497">
        <f t="shared" si="22"/>
        <v>3.1971342467997946E-2</v>
      </c>
      <c r="F79" s="498">
        <f>Fret!H572</f>
        <v>68251.52318524872</v>
      </c>
      <c r="G79" s="497">
        <f t="shared" si="21"/>
        <v>0.44176372210639059</v>
      </c>
    </row>
    <row r="80" spans="2:7" ht="12.75" customHeight="1">
      <c r="B80" s="429" t="str">
        <f>Fret!B573</f>
        <v>Fret aérien sortant</v>
      </c>
      <c r="C80" s="467">
        <f>Fret!D573</f>
        <v>0</v>
      </c>
      <c r="D80" s="497" t="str">
        <f t="shared" si="22"/>
        <v/>
      </c>
      <c r="F80" s="498">
        <f>Fret!H573</f>
        <v>0</v>
      </c>
      <c r="G80" s="497" t="str">
        <f t="shared" si="21"/>
        <v/>
      </c>
    </row>
    <row r="81" spans="2:7" ht="12.75" customHeight="1">
      <c r="B81" s="429" t="str">
        <f>Fret!B574</f>
        <v>Fret ferroviaire sortant</v>
      </c>
      <c r="C81" s="467">
        <f>Fret!D574</f>
        <v>0</v>
      </c>
      <c r="D81" s="497" t="str">
        <f t="shared" si="22"/>
        <v/>
      </c>
      <c r="F81" s="498">
        <f>Fret!H574</f>
        <v>0</v>
      </c>
      <c r="G81" s="497" t="str">
        <f t="shared" si="21"/>
        <v/>
      </c>
    </row>
    <row r="82" spans="2:7" ht="12.75" customHeight="1">
      <c r="B82" s="429" t="str">
        <f>Fret!B575</f>
        <v>Fret maritime et fluvial sortant</v>
      </c>
      <c r="C82" s="467">
        <f>Fret!D575</f>
        <v>0</v>
      </c>
      <c r="D82" s="497" t="str">
        <f t="shared" si="22"/>
        <v/>
      </c>
      <c r="F82" s="498">
        <f>Fret!H575</f>
        <v>0</v>
      </c>
      <c r="G82" s="497" t="str">
        <f t="shared" si="21"/>
        <v/>
      </c>
    </row>
    <row r="83" spans="2:7">
      <c r="C83" s="441"/>
      <c r="D83" s="126"/>
      <c r="F83" s="441"/>
      <c r="G83" s="126"/>
    </row>
    <row r="84" spans="2:7" s="211" customFormat="1" ht="20.100000000000001" customHeight="1">
      <c r="B84" s="500" t="str">
        <f>Déplacements!B439</f>
        <v>Déplacements</v>
      </c>
      <c r="C84" s="501">
        <f>SUM(C85:C91)</f>
        <v>123694.97360000001</v>
      </c>
      <c r="D84" s="502">
        <f>IF(C84&lt;&gt;0,C84/$C$144/1000,"")</f>
        <v>2.5597091754934794E-2</v>
      </c>
      <c r="F84" s="629">
        <f>SQRT(SUMSQ(F85:F91))</f>
        <v>19958.100753395196</v>
      </c>
      <c r="G84" s="502">
        <f t="shared" ref="G84:G91" si="23">IF(C84&lt;&gt;0,F84/C84,"")</f>
        <v>0.16134932707884256</v>
      </c>
    </row>
    <row r="85" spans="2:7" ht="12.75" customHeight="1">
      <c r="B85" s="465" t="str">
        <f>Déplacements!B441</f>
        <v>Domicile-travail</v>
      </c>
      <c r="C85" s="466">
        <f>Déplacements!D441</f>
        <v>82747.526600000012</v>
      </c>
      <c r="D85" s="503">
        <f>IF(C85&lt;&gt;0,C85/$C$144/1000,"")</f>
        <v>1.7123541638187533E-2</v>
      </c>
      <c r="F85" s="490">
        <f>Déplacements!H441</f>
        <v>19859.199601136224</v>
      </c>
      <c r="G85" s="503">
        <f t="shared" si="23"/>
        <v>0.23999750103873463</v>
      </c>
    </row>
    <row r="86" spans="2:7" ht="12.75" customHeight="1">
      <c r="B86" s="465" t="str">
        <f>Déplacements!B442</f>
        <v>Employés, voiture</v>
      </c>
      <c r="C86" s="466">
        <f>Déplacements!D442</f>
        <v>38257.154999999999</v>
      </c>
      <c r="D86" s="503">
        <f t="shared" ref="D86:D91" si="24">IF(C86&lt;&gt;0,C86/$C$144/1000,"")</f>
        <v>7.9168286173413455E-3</v>
      </c>
      <c r="F86" s="490">
        <f>Déplacements!H442</f>
        <v>1582.254007494945</v>
      </c>
      <c r="G86" s="503">
        <f t="shared" si="23"/>
        <v>4.1358381392838671E-2</v>
      </c>
    </row>
    <row r="87" spans="2:7" ht="12.75" customHeight="1">
      <c r="B87" s="465" t="str">
        <f>Déplacements!B443</f>
        <v>Employés, autre route</v>
      </c>
      <c r="C87" s="466">
        <f>Déplacements!D443</f>
        <v>0</v>
      </c>
      <c r="D87" s="503" t="str">
        <f t="shared" si="24"/>
        <v/>
      </c>
      <c r="F87" s="490">
        <f>Déplacements!H443</f>
        <v>0</v>
      </c>
      <c r="G87" s="503" t="str">
        <f t="shared" si="23"/>
        <v/>
      </c>
    </row>
    <row r="88" spans="2:7" ht="12.75" customHeight="1">
      <c r="B88" s="465" t="str">
        <f>Déplacements!B444</f>
        <v>Employés, train</v>
      </c>
      <c r="C88" s="466">
        <f>Déplacements!D444</f>
        <v>45.311999999999998</v>
      </c>
      <c r="D88" s="503">
        <f t="shared" si="24"/>
        <v>9.376738503136761E-6</v>
      </c>
      <c r="F88" s="490">
        <f>Déplacements!H444</f>
        <v>7.0699812503287456</v>
      </c>
      <c r="G88" s="503">
        <f t="shared" si="23"/>
        <v>0.15602889411919019</v>
      </c>
    </row>
    <row r="89" spans="2:7" ht="12.75" customHeight="1">
      <c r="B89" s="465" t="str">
        <f>Déplacements!B445</f>
        <v>Employés, avion</v>
      </c>
      <c r="C89" s="466">
        <f>Déplacements!D445</f>
        <v>2644.98</v>
      </c>
      <c r="D89" s="503">
        <f t="shared" si="24"/>
        <v>5.4734476090277781E-4</v>
      </c>
      <c r="F89" s="490">
        <f>Déplacements!H445</f>
        <v>1197.6640413889029</v>
      </c>
      <c r="G89" s="503">
        <f t="shared" si="23"/>
        <v>0.45280646409005093</v>
      </c>
    </row>
    <row r="90" spans="2:7" ht="12.75" customHeight="1">
      <c r="B90" s="465" t="str">
        <f>Déplacements!B446</f>
        <v>Employés, bateau</v>
      </c>
      <c r="C90" s="466">
        <f>Déplacements!D446</f>
        <v>0</v>
      </c>
      <c r="D90" s="503" t="str">
        <f t="shared" si="24"/>
        <v/>
      </c>
      <c r="F90" s="490">
        <f>Déplacements!H446</f>
        <v>0</v>
      </c>
      <c r="G90" s="503" t="str">
        <f t="shared" si="23"/>
        <v/>
      </c>
    </row>
    <row r="91" spans="2:7" ht="12.75" customHeight="1">
      <c r="B91" s="465" t="str">
        <f>Déplacements!B447</f>
        <v>Visiteurs, tous modes</v>
      </c>
      <c r="C91" s="466">
        <f>Déplacements!D447</f>
        <v>0</v>
      </c>
      <c r="D91" s="503" t="str">
        <f t="shared" si="24"/>
        <v/>
      </c>
      <c r="F91" s="490">
        <f>Déplacements!H447</f>
        <v>0</v>
      </c>
      <c r="G91" s="503" t="str">
        <f t="shared" si="23"/>
        <v/>
      </c>
    </row>
    <row r="92" spans="2:7" ht="12.75" customHeight="1">
      <c r="B92" s="506"/>
      <c r="C92" s="504"/>
      <c r="D92" s="505"/>
      <c r="F92" s="444"/>
      <c r="G92" s="488"/>
    </row>
    <row r="93" spans="2:7" s="211" customFormat="1" ht="20.100000000000001" customHeight="1">
      <c r="B93" s="494" t="str">
        <f>'Déchets directs'!B218</f>
        <v>Déchets directs</v>
      </c>
      <c r="C93" s="495">
        <f>SUM(C94:C102)</f>
        <v>39170</v>
      </c>
      <c r="D93" s="496">
        <f>IF(C93&lt;&gt;0,C93/$C$144/1000,"")</f>
        <v>8.105730207624182E-3</v>
      </c>
      <c r="F93" s="495">
        <f>SQRT(SUMSQ(F94:F102))</f>
        <v>5911.8223180335863</v>
      </c>
      <c r="G93" s="496">
        <f t="shared" ref="G93:G94" si="25">IF(C93&lt;&gt;0,F93/C93,"")</f>
        <v>0.15092729941367339</v>
      </c>
    </row>
    <row r="94" spans="2:7" ht="12.75" customHeight="1">
      <c r="B94" s="429" t="str">
        <f>'Déchets directs'!B220</f>
        <v>Déchets d'emballages ménages</v>
      </c>
      <c r="C94" s="467">
        <f>'Déchets directs'!D220</f>
        <v>39170</v>
      </c>
      <c r="D94" s="497">
        <f>IF(C94&lt;&gt;0,C94/$C$144/1000,"")</f>
        <v>8.105730207624182E-3</v>
      </c>
      <c r="F94" s="498">
        <f>'Déchets directs'!H220</f>
        <v>5911.8223180335863</v>
      </c>
      <c r="G94" s="497">
        <f t="shared" si="25"/>
        <v>0.15092729941367339</v>
      </c>
    </row>
    <row r="95" spans="2:7" ht="12.75" customHeight="1">
      <c r="B95" s="429" t="str">
        <f>'Déchets directs'!B221</f>
        <v>Déchets organiques et ordures ménagères</v>
      </c>
      <c r="C95" s="467">
        <f>'Déchets directs'!D221</f>
        <v>0</v>
      </c>
      <c r="D95" s="497" t="str">
        <f t="shared" ref="D95:D102" si="26">IF(C95&lt;&gt;0,C95/$C$144/1000,"")</f>
        <v/>
      </c>
      <c r="F95" s="498">
        <f>'Déchets directs'!H221</f>
        <v>0</v>
      </c>
      <c r="G95" s="497" t="str">
        <f t="shared" ref="G95:G102" si="27">IF(C95&lt;&gt;0,F95/C95,"")</f>
        <v/>
      </c>
    </row>
    <row r="96" spans="2:7" ht="12.75" customHeight="1">
      <c r="B96" s="429" t="str">
        <f>'Déchets directs'!B222</f>
        <v>Déchets piles, accumulateurs et DEEE</v>
      </c>
      <c r="C96" s="467">
        <f>'Déchets directs'!D222</f>
        <v>0</v>
      </c>
      <c r="D96" s="497" t="str">
        <f t="shared" si="26"/>
        <v/>
      </c>
      <c r="F96" s="498">
        <f>'Déchets directs'!H222</f>
        <v>0</v>
      </c>
      <c r="G96" s="497" t="str">
        <f t="shared" si="27"/>
        <v/>
      </c>
    </row>
    <row r="97" spans="2:7" ht="12.75" customHeight="1">
      <c r="B97" s="429" t="str">
        <f>'Déchets directs'!B223</f>
        <v>Déchets d'éléments d'ameublement et textiles</v>
      </c>
      <c r="C97" s="467">
        <f>'Déchets directs'!D223</f>
        <v>0</v>
      </c>
      <c r="D97" s="497" t="str">
        <f t="shared" si="26"/>
        <v/>
      </c>
      <c r="F97" s="498">
        <f>'Déchets directs'!H223</f>
        <v>0</v>
      </c>
      <c r="G97" s="497" t="str">
        <f t="shared" si="27"/>
        <v/>
      </c>
    </row>
    <row r="98" spans="2:7" ht="12.75" customHeight="1">
      <c r="B98" s="429" t="str">
        <f>'Déchets directs'!B224</f>
        <v>Déchets dangereux</v>
      </c>
      <c r="C98" s="467">
        <f>'Déchets directs'!D224</f>
        <v>0</v>
      </c>
      <c r="D98" s="497" t="str">
        <f t="shared" si="26"/>
        <v/>
      </c>
      <c r="F98" s="498">
        <f>'Déchets directs'!H224</f>
        <v>0</v>
      </c>
      <c r="G98" s="497" t="str">
        <f t="shared" si="27"/>
        <v/>
      </c>
    </row>
    <row r="99" spans="2:7" ht="12.75" customHeight="1">
      <c r="B99" s="429" t="str">
        <f>'Déchets directs'!B225</f>
        <v>Déchets banals des acteurs économiques</v>
      </c>
      <c r="C99" s="467">
        <f>'Déchets directs'!D225</f>
        <v>0</v>
      </c>
      <c r="D99" s="497" t="str">
        <f t="shared" si="26"/>
        <v/>
      </c>
      <c r="F99" s="498">
        <f>'Déchets directs'!H225</f>
        <v>0</v>
      </c>
      <c r="G99" s="497" t="str">
        <f t="shared" si="27"/>
        <v/>
      </c>
    </row>
    <row r="100" spans="2:7" ht="12.75" customHeight="1">
      <c r="B100" s="429" t="str">
        <f>'Déchets directs'!B226</f>
        <v>Déchets bâtiments</v>
      </c>
      <c r="C100" s="467">
        <f>'Déchets directs'!D226</f>
        <v>0</v>
      </c>
      <c r="D100" s="497" t="str">
        <f t="shared" si="26"/>
        <v/>
      </c>
      <c r="F100" s="498">
        <f>'Déchets directs'!H226</f>
        <v>0</v>
      </c>
      <c r="G100" s="497" t="str">
        <f t="shared" si="27"/>
        <v/>
      </c>
    </row>
    <row r="101" spans="2:7" ht="12.75" customHeight="1">
      <c r="B101" s="429" t="str">
        <f>'Déchets directs'!B227</f>
        <v>Fuites</v>
      </c>
      <c r="C101" s="467">
        <f>'Déchets directs'!D227</f>
        <v>0</v>
      </c>
      <c r="D101" s="497" t="str">
        <f t="shared" si="26"/>
        <v/>
      </c>
      <c r="F101" s="498">
        <f>'Déchets directs'!H227</f>
        <v>0</v>
      </c>
      <c r="G101" s="497" t="str">
        <f t="shared" si="27"/>
        <v/>
      </c>
    </row>
    <row r="102" spans="2:7" ht="12.75" customHeight="1">
      <c r="B102" s="429" t="str">
        <f>'Déchets directs'!B228</f>
        <v>Eaux usées</v>
      </c>
      <c r="C102" s="467">
        <f>'Déchets directs'!D228</f>
        <v>0</v>
      </c>
      <c r="D102" s="497" t="str">
        <f t="shared" si="26"/>
        <v/>
      </c>
      <c r="F102" s="498">
        <f>'Déchets directs'!H228</f>
        <v>0</v>
      </c>
      <c r="G102" s="497" t="str">
        <f t="shared" si="27"/>
        <v/>
      </c>
    </row>
    <row r="103" spans="2:7">
      <c r="C103" s="442"/>
      <c r="D103" s="443"/>
      <c r="F103" s="444"/>
      <c r="G103" s="488"/>
    </row>
    <row r="104" spans="2:7" s="211" customFormat="1" ht="20.100000000000001" customHeight="1">
      <c r="B104" s="500" t="str">
        <f>Immobilisations!B248</f>
        <v>Immobilisations</v>
      </c>
      <c r="C104" s="501">
        <f>SUM(C105:C108)</f>
        <v>43928.386666666665</v>
      </c>
      <c r="D104" s="502">
        <f>IF(C104&lt;&gt;0,C104/$C$144/1000,"")</f>
        <v>9.0904174311002145E-3</v>
      </c>
      <c r="F104" s="629">
        <f>SQRT(SUMSQ(F105:F108))</f>
        <v>12133.395140725817</v>
      </c>
      <c r="G104" s="502">
        <f>IF(C104&lt;&gt;0,F104/C104,"")</f>
        <v>0.27620853077977409</v>
      </c>
    </row>
    <row r="105" spans="2:7">
      <c r="B105" s="465" t="str">
        <f>Immobilisations!B250</f>
        <v>Bâtiments</v>
      </c>
      <c r="C105" s="466">
        <f>Immobilisations!D250</f>
        <v>20625</v>
      </c>
      <c r="D105" s="503">
        <f>IF(C105&lt;&gt;0,C105/$C$144/1000,"")</f>
        <v>4.2680797940323912E-3</v>
      </c>
      <c r="F105" s="490">
        <f>Immobilisations!H250</f>
        <v>10312.5</v>
      </c>
      <c r="G105" s="503">
        <f>IF(C105&lt;&gt;0,F105/C105,"")</f>
        <v>0.5</v>
      </c>
    </row>
    <row r="106" spans="2:7">
      <c r="B106" s="465" t="str">
        <f>Immobilisations!B251</f>
        <v>Infra hors bâtiments</v>
      </c>
      <c r="C106" s="466">
        <f>Immobilisations!D251</f>
        <v>1825</v>
      </c>
      <c r="D106" s="503">
        <f>IF(C106&lt;&gt;0,C106/$C$144/1000,"")</f>
        <v>3.776603938961995E-4</v>
      </c>
      <c r="F106" s="490">
        <f>Immobilisations!H251</f>
        <v>273.75</v>
      </c>
      <c r="G106" s="503">
        <f>IF(C106&lt;&gt;0,F106/C106,"")</f>
        <v>0.15</v>
      </c>
    </row>
    <row r="107" spans="2:7">
      <c r="B107" s="465" t="str">
        <f>Immobilisations!B252</f>
        <v>Véhicules, machines, mobilier</v>
      </c>
      <c r="C107" s="466">
        <f>Immobilisations!D252</f>
        <v>19740</v>
      </c>
      <c r="D107" s="503">
        <f>IF(C107&lt;&gt;0,C107/$C$144/1000,"")</f>
        <v>4.0849403701430009E-3</v>
      </c>
      <c r="F107" s="490">
        <f>Immobilisations!H252</f>
        <v>6361.4768332518515</v>
      </c>
      <c r="G107" s="503">
        <f>IF(C107&lt;&gt;0,F107/C107,"")</f>
        <v>0.3222632640958385</v>
      </c>
    </row>
    <row r="108" spans="2:7">
      <c r="B108" s="465" t="str">
        <f>Immobilisations!B253</f>
        <v>Informatique</v>
      </c>
      <c r="C108" s="466">
        <f>Immobilisations!D253</f>
        <v>1738.3866666666668</v>
      </c>
      <c r="D108" s="503">
        <f>IF(C108&lt;&gt;0,C108/$C$144/1000,"")</f>
        <v>3.5973687302862166E-4</v>
      </c>
      <c r="F108" s="490">
        <f>Immobilisations!H253</f>
        <v>572.97018115159267</v>
      </c>
      <c r="G108" s="503">
        <f>IF(C108&lt;&gt;0,F108/C108,"")</f>
        <v>0.32959881258768242</v>
      </c>
    </row>
    <row r="109" spans="2:7" ht="13.8">
      <c r="C109" s="445"/>
      <c r="D109" s="446"/>
      <c r="F109" s="444"/>
      <c r="G109" s="488"/>
    </row>
    <row r="110" spans="2:7" s="211" customFormat="1" ht="20.100000000000001" customHeight="1">
      <c r="B110" s="494" t="str">
        <f>Utilisation!B120</f>
        <v>Utilisation</v>
      </c>
      <c r="C110" s="495">
        <f>SUM(C111:C114)</f>
        <v>5331.4577495621716</v>
      </c>
      <c r="D110" s="496">
        <f>IF(C110&lt;&gt;0,C110/$C$144/1000,"")</f>
        <v>1.1032769499948465E-3</v>
      </c>
      <c r="F110" s="495">
        <f>SQRT(SUMSQ(F111:F114))</f>
        <v>550.67377355516669</v>
      </c>
      <c r="G110" s="496">
        <f>IF(C110&lt;&gt;0,F110/C110,"")</f>
        <v>0.10328765591369245</v>
      </c>
    </row>
    <row r="111" spans="2:7">
      <c r="B111" s="429" t="str">
        <f>Utilisation!B122</f>
        <v>Combustibles</v>
      </c>
      <c r="C111" s="467">
        <f>Utilisation!D122</f>
        <v>0</v>
      </c>
      <c r="D111" s="497" t="str">
        <f>IF(C111&lt;&gt;0,C111/$C$144/1000,"")</f>
        <v/>
      </c>
      <c r="F111" s="498">
        <f>Utilisation!H122</f>
        <v>0</v>
      </c>
      <c r="G111" s="497" t="str">
        <f>IF(C111&lt;&gt;0,F111/C111,"")</f>
        <v/>
      </c>
    </row>
    <row r="112" spans="2:7">
      <c r="B112" s="429" t="str">
        <f>Utilisation!B123</f>
        <v>Vapeur et froid</v>
      </c>
      <c r="C112" s="467">
        <f>Utilisation!D123</f>
        <v>0</v>
      </c>
      <c r="D112" s="497" t="str">
        <f>IF(C112&lt;&gt;0,C112/$C$144/1000,"")</f>
        <v/>
      </c>
      <c r="F112" s="498">
        <f>Utilisation!H123</f>
        <v>0</v>
      </c>
      <c r="G112" s="497" t="str">
        <f>IF(C112&lt;&gt;0,F112/C112,"")</f>
        <v/>
      </c>
    </row>
    <row r="113" spans="2:7">
      <c r="B113" s="429" t="str">
        <f>Utilisation!B124</f>
        <v>Electricité</v>
      </c>
      <c r="C113" s="467">
        <f>Utilisation!D124</f>
        <v>5331.4577495621716</v>
      </c>
      <c r="D113" s="497">
        <f>IF(C113&lt;&gt;0,C113/$C$144/1000,"")</f>
        <v>1.1032769499948465E-3</v>
      </c>
      <c r="F113" s="498">
        <f>Utilisation!H124</f>
        <v>550.67377355516669</v>
      </c>
      <c r="G113" s="497">
        <f>IF(C113&lt;&gt;0,F113/C113,"")</f>
        <v>0.10328765591369245</v>
      </c>
    </row>
    <row r="114" spans="2:7">
      <c r="B114" s="429" t="str">
        <f>Utilisation!B125</f>
        <v>Emissions non énergétiques</v>
      </c>
      <c r="C114" s="467">
        <f>Utilisation!D125</f>
        <v>0</v>
      </c>
      <c r="D114" s="497" t="str">
        <f>IF(C114&lt;&gt;0,C114/$C$144/1000,"")</f>
        <v/>
      </c>
      <c r="F114" s="498">
        <f>Utilisation!H125</f>
        <v>0</v>
      </c>
      <c r="G114" s="497" t="str">
        <f>IF(C114&lt;&gt;0,F114/C114,"")</f>
        <v/>
      </c>
    </row>
    <row r="115" spans="2:7">
      <c r="B115" s="254"/>
      <c r="C115" s="441"/>
      <c r="D115" s="126"/>
      <c r="F115" s="444"/>
      <c r="G115" s="488"/>
    </row>
    <row r="116" spans="2:7" s="211" customFormat="1" ht="20.100000000000001" customHeight="1">
      <c r="B116" s="500" t="str">
        <f>'Fin de vie'!B240</f>
        <v>Fin de vie</v>
      </c>
      <c r="C116" s="501">
        <f>SUM(C118:C126)</f>
        <v>958133</v>
      </c>
      <c r="D116" s="502">
        <f>IF(C116&lt;&gt;0,C116/$C$144/1000,"")</f>
        <v>0.19827336229312181</v>
      </c>
      <c r="F116" s="629">
        <f>SQRT(SUMSQ(F118:F126))</f>
        <v>177139.20000000001</v>
      </c>
      <c r="G116" s="502">
        <f t="shared" ref="G116:G124" si="28">IF(C116&lt;&gt;0,F116/C116,"")</f>
        <v>0.1848795522124799</v>
      </c>
    </row>
    <row r="117" spans="2:7" s="211" customFormat="1" ht="12.75" customHeight="1">
      <c r="B117" s="465" t="str">
        <f>'Fin de vie'!B242</f>
        <v>Combustibles</v>
      </c>
      <c r="C117" s="466">
        <f>'Fin de vie'!D242</f>
        <v>0</v>
      </c>
      <c r="D117" s="503" t="str">
        <f>IF(C117&lt;&gt;0,C117/$C$144/1000,"")</f>
        <v/>
      </c>
      <c r="E117" s="114"/>
      <c r="F117" s="490">
        <f>'Fin de vie'!H242</f>
        <v>0</v>
      </c>
      <c r="G117" s="503" t="str">
        <f t="shared" ref="G117" si="29">IF(C117&lt;&gt;0,F117/C117,"")</f>
        <v/>
      </c>
    </row>
    <row r="118" spans="2:7">
      <c r="B118" s="465" t="str">
        <f>'Fin de vie'!B243</f>
        <v>Déchets d'emballages ménages</v>
      </c>
      <c r="C118" s="466">
        <f>'Fin de vie'!D243</f>
        <v>958133</v>
      </c>
      <c r="D118" s="503">
        <f>IF(C118&lt;&gt;0,C118/$C$144/1000,"")</f>
        <v>0.19827336229312181</v>
      </c>
      <c r="F118" s="490">
        <f>'Fin de vie'!H243</f>
        <v>177139.20000000001</v>
      </c>
      <c r="G118" s="503">
        <f t="shared" si="28"/>
        <v>0.1848795522124799</v>
      </c>
    </row>
    <row r="119" spans="2:7">
      <c r="B119" s="465" t="str">
        <f>'Fin de vie'!B244</f>
        <v>Déchets organiques et ordures ménagères</v>
      </c>
      <c r="C119" s="466">
        <f>'Fin de vie'!D244</f>
        <v>0</v>
      </c>
      <c r="D119" s="503" t="str">
        <f t="shared" ref="D119:D124" si="30">IF(C119&lt;&gt;0,C119/$C$144/1000,"")</f>
        <v/>
      </c>
      <c r="F119" s="490">
        <f>'Fin de vie'!H244</f>
        <v>0</v>
      </c>
      <c r="G119" s="503" t="str">
        <f t="shared" si="28"/>
        <v/>
      </c>
    </row>
    <row r="120" spans="2:7">
      <c r="B120" s="465" t="str">
        <f>'Fin de vie'!B245</f>
        <v>Piles, accumulateurs et DEEE</v>
      </c>
      <c r="C120" s="466">
        <f>'Fin de vie'!D245</f>
        <v>0</v>
      </c>
      <c r="D120" s="503" t="str">
        <f t="shared" si="30"/>
        <v/>
      </c>
      <c r="F120" s="490">
        <f>'Fin de vie'!H245</f>
        <v>0</v>
      </c>
      <c r="G120" s="503" t="str">
        <f t="shared" si="28"/>
        <v/>
      </c>
    </row>
    <row r="121" spans="2:7" hidden="1">
      <c r="B121" s="465">
        <f>'Fin de vie'!B246</f>
        <v>0</v>
      </c>
      <c r="C121" s="466">
        <f>'Fin de vie'!D246</f>
        <v>0</v>
      </c>
      <c r="D121" s="503" t="str">
        <f t="shared" si="30"/>
        <v/>
      </c>
      <c r="F121" s="490">
        <f>'Fin de vie'!H246</f>
        <v>0</v>
      </c>
      <c r="G121" s="503" t="str">
        <f t="shared" si="28"/>
        <v/>
      </c>
    </row>
    <row r="122" spans="2:7">
      <c r="B122" s="465" t="str">
        <f>'Fin de vie'!B247</f>
        <v>Ameublements et textiles</v>
      </c>
      <c r="C122" s="466">
        <f>'Fin de vie'!D247</f>
        <v>0</v>
      </c>
      <c r="D122" s="503" t="str">
        <f t="shared" si="30"/>
        <v/>
      </c>
      <c r="F122" s="490">
        <f>'Fin de vie'!H247</f>
        <v>0</v>
      </c>
      <c r="G122" s="503" t="str">
        <f t="shared" si="28"/>
        <v/>
      </c>
    </row>
    <row r="123" spans="2:7">
      <c r="B123" s="465" t="str">
        <f>'Fin de vie'!B248</f>
        <v>Fuites et non énergétique</v>
      </c>
      <c r="C123" s="466">
        <f>'Fin de vie'!D248</f>
        <v>0</v>
      </c>
      <c r="D123" s="503" t="str">
        <f t="shared" si="30"/>
        <v/>
      </c>
      <c r="F123" s="490">
        <f>'Fin de vie'!H248</f>
        <v>0</v>
      </c>
      <c r="G123" s="503" t="str">
        <f t="shared" si="28"/>
        <v/>
      </c>
    </row>
    <row r="124" spans="2:7">
      <c r="B124" s="465" t="str">
        <f>'Fin de vie'!B249</f>
        <v>Déchets dangereux</v>
      </c>
      <c r="C124" s="466">
        <f>'Fin de vie'!D249</f>
        <v>0</v>
      </c>
      <c r="D124" s="503" t="str">
        <f t="shared" si="30"/>
        <v/>
      </c>
      <c r="F124" s="490">
        <f>'Fin de vie'!H249</f>
        <v>0</v>
      </c>
      <c r="G124" s="503" t="str">
        <f t="shared" si="28"/>
        <v/>
      </c>
    </row>
    <row r="125" spans="2:7">
      <c r="B125" s="465" t="str">
        <f>'Fin de vie'!B250</f>
        <v>Déchets banals des acteurs économiques</v>
      </c>
      <c r="C125" s="466">
        <f>'Fin de vie'!D250</f>
        <v>0</v>
      </c>
      <c r="D125" s="503" t="str">
        <f t="shared" ref="D125:D126" si="31">IF(C125&lt;&gt;0,C125/$C$144/1000,"")</f>
        <v/>
      </c>
      <c r="F125" s="490">
        <f>'Fin de vie'!H250</f>
        <v>0</v>
      </c>
      <c r="G125" s="503" t="str">
        <f t="shared" ref="G125:G126" si="32">IF(C125&lt;&gt;0,F125/C125,"")</f>
        <v/>
      </c>
    </row>
    <row r="126" spans="2:7">
      <c r="B126" s="465" t="str">
        <f>'Fin de vie'!B251</f>
        <v>Déchets bâtiments</v>
      </c>
      <c r="C126" s="466">
        <f>'Fin de vie'!D251</f>
        <v>0</v>
      </c>
      <c r="D126" s="503" t="str">
        <f t="shared" si="31"/>
        <v/>
      </c>
      <c r="F126" s="490">
        <f>'Fin de vie'!H251</f>
        <v>0</v>
      </c>
      <c r="G126" s="503" t="str">
        <f t="shared" si="32"/>
        <v/>
      </c>
    </row>
    <row r="127" spans="2:7">
      <c r="C127" s="441"/>
      <c r="D127" s="126"/>
      <c r="F127" s="441"/>
      <c r="G127" s="254"/>
    </row>
    <row r="128" spans="2:7">
      <c r="C128" s="441"/>
      <c r="D128" s="126"/>
      <c r="F128" s="441"/>
      <c r="G128" s="254"/>
    </row>
    <row r="129" spans="2:14" ht="13.8">
      <c r="B129" s="2946" t="s">
        <v>495</v>
      </c>
      <c r="C129" s="2948" t="s">
        <v>409</v>
      </c>
      <c r="D129" s="2949"/>
      <c r="F129" s="2948" t="s">
        <v>159</v>
      </c>
      <c r="G129" s="2949"/>
      <c r="K129" s="2674" t="s">
        <v>499</v>
      </c>
      <c r="L129" s="2675"/>
      <c r="M129" s="2675"/>
      <c r="N129" s="2676"/>
    </row>
    <row r="130" spans="2:14" s="211" customFormat="1" ht="13.8">
      <c r="B130" s="2947"/>
      <c r="C130" s="493" t="s">
        <v>500</v>
      </c>
      <c r="D130" s="493" t="s">
        <v>524</v>
      </c>
      <c r="E130" s="114"/>
      <c r="F130" s="493" t="s">
        <v>500</v>
      </c>
      <c r="G130" s="493" t="s">
        <v>355</v>
      </c>
      <c r="H130" s="114"/>
      <c r="I130" s="448"/>
      <c r="J130" s="448"/>
      <c r="K130" s="563" t="s">
        <v>43</v>
      </c>
      <c r="L130" s="563" t="s">
        <v>522</v>
      </c>
      <c r="M130" s="563" t="s">
        <v>522</v>
      </c>
      <c r="N130" s="563" t="s">
        <v>523</v>
      </c>
    </row>
    <row r="131" spans="2:14" ht="14.1" customHeight="1">
      <c r="B131" s="507" t="str">
        <f>B6</f>
        <v>Energie 1</v>
      </c>
      <c r="C131" s="491">
        <f>C6/1000</f>
        <v>398.53822810000003</v>
      </c>
      <c r="D131" s="492">
        <f>D6</f>
        <v>8.2472385866816114E-2</v>
      </c>
      <c r="F131" s="491">
        <f>F6/1000</f>
        <v>15.288625615065174</v>
      </c>
      <c r="G131" s="492">
        <f>G6</f>
        <v>3.8361754374109873E-2</v>
      </c>
      <c r="I131" s="449" t="str">
        <f t="shared" ref="I131:I139" si="33">B131</f>
        <v>Energie 1</v>
      </c>
      <c r="J131" s="450"/>
      <c r="K131" s="451">
        <f t="shared" ref="K131:K143" si="34">C131-F131</f>
        <v>383.24960248493483</v>
      </c>
      <c r="L131" s="451">
        <f t="shared" ref="L131:L143" si="35">C131</f>
        <v>398.53822810000003</v>
      </c>
      <c r="M131" s="451">
        <f t="shared" ref="M131:M143" si="36">C131</f>
        <v>398.53822810000003</v>
      </c>
      <c r="N131" s="451">
        <f t="shared" ref="N131:N143" si="37">C131+F131</f>
        <v>413.82685371506523</v>
      </c>
    </row>
    <row r="132" spans="2:14" ht="14.1" customHeight="1">
      <c r="B132" s="508" t="str">
        <f>B13</f>
        <v>Energie 2</v>
      </c>
      <c r="C132" s="463">
        <f>C13/1000</f>
        <v>0</v>
      </c>
      <c r="D132" s="464" t="str">
        <f>D13</f>
        <v/>
      </c>
      <c r="F132" s="463">
        <f>F13/1000</f>
        <v>0</v>
      </c>
      <c r="G132" s="464" t="str">
        <f>G13</f>
        <v/>
      </c>
      <c r="I132" s="452" t="str">
        <f t="shared" si="33"/>
        <v>Energie 2</v>
      </c>
      <c r="J132" s="453"/>
      <c r="K132" s="454">
        <f t="shared" si="34"/>
        <v>0</v>
      </c>
      <c r="L132" s="454">
        <f t="shared" si="35"/>
        <v>0</v>
      </c>
      <c r="M132" s="454">
        <f t="shared" si="36"/>
        <v>0</v>
      </c>
      <c r="N132" s="454">
        <f t="shared" si="37"/>
        <v>0</v>
      </c>
    </row>
    <row r="133" spans="2:14" ht="14.1" customHeight="1">
      <c r="B133" s="507" t="str">
        <f>B20</f>
        <v>Hors énergie 1</v>
      </c>
      <c r="C133" s="491">
        <f>C20/1000</f>
        <v>0.48599999999999999</v>
      </c>
      <c r="D133" s="492">
        <f>D20</f>
        <v>1.0057148023756325E-4</v>
      </c>
      <c r="F133" s="491">
        <f>F20/1000</f>
        <v>0.28338426208948159</v>
      </c>
      <c r="G133" s="492">
        <f>G20</f>
        <v>0.58309518948452999</v>
      </c>
      <c r="I133" s="452" t="str">
        <f t="shared" si="33"/>
        <v>Hors énergie 1</v>
      </c>
      <c r="J133" s="453"/>
      <c r="K133" s="454">
        <f t="shared" si="34"/>
        <v>0.2026157379105184</v>
      </c>
      <c r="L133" s="454">
        <f t="shared" si="35"/>
        <v>0.48599999999999999</v>
      </c>
      <c r="M133" s="454">
        <f t="shared" si="36"/>
        <v>0.48599999999999999</v>
      </c>
      <c r="N133" s="454">
        <f t="shared" si="37"/>
        <v>0.76938426208948152</v>
      </c>
    </row>
    <row r="134" spans="2:14" ht="14.1" customHeight="1">
      <c r="B134" s="508" t="str">
        <f>B28</f>
        <v>Hors énergie 2</v>
      </c>
      <c r="C134" s="463">
        <f>C28/1000</f>
        <v>0</v>
      </c>
      <c r="D134" s="464" t="str">
        <f>D28</f>
        <v/>
      </c>
      <c r="F134" s="463">
        <f>F28/1000</f>
        <v>0</v>
      </c>
      <c r="G134" s="464" t="str">
        <f>G28</f>
        <v/>
      </c>
      <c r="I134" s="452" t="str">
        <f t="shared" si="33"/>
        <v>Hors énergie 2</v>
      </c>
      <c r="J134" s="453"/>
      <c r="K134" s="454">
        <f t="shared" si="34"/>
        <v>0</v>
      </c>
      <c r="L134" s="454">
        <f t="shared" si="35"/>
        <v>0</v>
      </c>
      <c r="M134" s="454">
        <f t="shared" si="36"/>
        <v>0</v>
      </c>
      <c r="N134" s="454">
        <f t="shared" si="37"/>
        <v>0</v>
      </c>
    </row>
    <row r="135" spans="2:14" ht="14.1" customHeight="1">
      <c r="B135" s="507" t="str">
        <f>B36</f>
        <v>Intrants 1</v>
      </c>
      <c r="C135" s="491">
        <f>C36/1000</f>
        <v>2658.1819999999998</v>
      </c>
      <c r="D135" s="492">
        <f>D36</f>
        <v>0.55007674584536292</v>
      </c>
      <c r="F135" s="491">
        <f>F36/1000</f>
        <v>384.84650731551415</v>
      </c>
      <c r="G135" s="492">
        <f>G36</f>
        <v>0.14477808792457181</v>
      </c>
      <c r="I135" s="452" t="str">
        <f t="shared" si="33"/>
        <v>Intrants 1</v>
      </c>
      <c r="J135" s="453"/>
      <c r="K135" s="454">
        <f t="shared" si="34"/>
        <v>2273.3354926844859</v>
      </c>
      <c r="L135" s="454">
        <f t="shared" si="35"/>
        <v>2658.1819999999998</v>
      </c>
      <c r="M135" s="454">
        <f t="shared" si="36"/>
        <v>2658.1819999999998</v>
      </c>
      <c r="N135" s="454">
        <f t="shared" si="37"/>
        <v>3043.0285073155137</v>
      </c>
    </row>
    <row r="136" spans="2:14" ht="14.1" customHeight="1">
      <c r="B136" s="1026" t="str">
        <f>B48</f>
        <v>Intrants 2</v>
      </c>
      <c r="C136" s="1027">
        <f>C48/1000</f>
        <v>0</v>
      </c>
      <c r="D136" s="492" t="str">
        <f>D48</f>
        <v/>
      </c>
      <c r="F136" s="1027">
        <f>F48/1000</f>
        <v>0</v>
      </c>
      <c r="G136" s="492" t="str">
        <f>G48</f>
        <v/>
      </c>
      <c r="I136" s="452" t="str">
        <f>B136</f>
        <v>Intrants 2</v>
      </c>
      <c r="J136" s="453"/>
      <c r="K136" s="454">
        <f t="shared" si="34"/>
        <v>0</v>
      </c>
      <c r="L136" s="454">
        <f t="shared" si="35"/>
        <v>0</v>
      </c>
      <c r="M136" s="454">
        <f t="shared" si="36"/>
        <v>0</v>
      </c>
      <c r="N136" s="454">
        <f t="shared" si="37"/>
        <v>0</v>
      </c>
    </row>
    <row r="137" spans="2:14" ht="14.1" customHeight="1">
      <c r="B137" s="508" t="str">
        <f>B60</f>
        <v>Futurs emballages</v>
      </c>
      <c r="C137" s="463">
        <f>C60/1000</f>
        <v>309.18</v>
      </c>
      <c r="D137" s="464">
        <f>D60</f>
        <v>6.3980844156069555E-2</v>
      </c>
      <c r="F137" s="463">
        <f>F60/1000</f>
        <v>32.514390660136932</v>
      </c>
      <c r="G137" s="464">
        <f>G60</f>
        <v>0.10516330506545357</v>
      </c>
      <c r="I137" s="452" t="str">
        <f t="shared" si="33"/>
        <v>Futurs emballages</v>
      </c>
      <c r="J137" s="453"/>
      <c r="K137" s="454">
        <f t="shared" si="34"/>
        <v>276.66560933986307</v>
      </c>
      <c r="L137" s="454">
        <f t="shared" si="35"/>
        <v>309.18</v>
      </c>
      <c r="M137" s="454">
        <f t="shared" si="36"/>
        <v>309.18</v>
      </c>
      <c r="N137" s="454">
        <f t="shared" si="37"/>
        <v>341.69439066013695</v>
      </c>
    </row>
    <row r="138" spans="2:14" ht="14.1" customHeight="1">
      <c r="B138" s="507" t="str">
        <f>B70</f>
        <v>Fret</v>
      </c>
      <c r="C138" s="491">
        <f>C70/1000</f>
        <v>295.73983500000003</v>
      </c>
      <c r="D138" s="492">
        <f>D70</f>
        <v>6.1199574014738106E-2</v>
      </c>
      <c r="F138" s="491">
        <f>F70/1000</f>
        <v>80.538449101336724</v>
      </c>
      <c r="G138" s="492">
        <f>G70</f>
        <v>0.2723287145315974</v>
      </c>
      <c r="I138" s="452" t="str">
        <f t="shared" si="33"/>
        <v>Fret</v>
      </c>
      <c r="J138" s="453"/>
      <c r="K138" s="454">
        <f t="shared" si="34"/>
        <v>215.20138589866332</v>
      </c>
      <c r="L138" s="454">
        <f t="shared" si="35"/>
        <v>295.73983500000003</v>
      </c>
      <c r="M138" s="454">
        <f t="shared" si="36"/>
        <v>295.73983500000003</v>
      </c>
      <c r="N138" s="454">
        <f t="shared" si="37"/>
        <v>376.27828410133674</v>
      </c>
    </row>
    <row r="139" spans="2:14" ht="14.1" customHeight="1">
      <c r="B139" s="508" t="str">
        <f>B84</f>
        <v>Déplacements</v>
      </c>
      <c r="C139" s="463">
        <f>C84/1000</f>
        <v>123.69497360000001</v>
      </c>
      <c r="D139" s="464">
        <f>D84</f>
        <v>2.5597091754934794E-2</v>
      </c>
      <c r="F139" s="463">
        <f>F84/1000</f>
        <v>19.958100753395197</v>
      </c>
      <c r="G139" s="464">
        <f>G84</f>
        <v>0.16134932707884256</v>
      </c>
      <c r="I139" s="452" t="str">
        <f t="shared" si="33"/>
        <v>Déplacements</v>
      </c>
      <c r="J139" s="453"/>
      <c r="K139" s="454">
        <f t="shared" si="34"/>
        <v>103.73687284660481</v>
      </c>
      <c r="L139" s="454">
        <f t="shared" si="35"/>
        <v>123.69497360000001</v>
      </c>
      <c r="M139" s="454">
        <f t="shared" si="36"/>
        <v>123.69497360000001</v>
      </c>
      <c r="N139" s="454">
        <f t="shared" si="37"/>
        <v>143.6530743533952</v>
      </c>
    </row>
    <row r="140" spans="2:14" ht="14.1" customHeight="1">
      <c r="B140" s="507" t="str">
        <f>B93</f>
        <v>Déchets directs</v>
      </c>
      <c r="C140" s="491">
        <f>C93/1000</f>
        <v>39.17</v>
      </c>
      <c r="D140" s="492">
        <f>D93</f>
        <v>8.105730207624182E-3</v>
      </c>
      <c r="F140" s="491">
        <f>F93/1000</f>
        <v>5.911822318033586</v>
      </c>
      <c r="G140" s="492">
        <f>G93</f>
        <v>0.15092729941367339</v>
      </c>
      <c r="I140" s="452" t="str">
        <f>B140</f>
        <v>Déchets directs</v>
      </c>
      <c r="J140" s="453"/>
      <c r="K140" s="454">
        <f t="shared" si="34"/>
        <v>33.258177681966416</v>
      </c>
      <c r="L140" s="454">
        <f t="shared" si="35"/>
        <v>39.17</v>
      </c>
      <c r="M140" s="454">
        <f t="shared" si="36"/>
        <v>39.17</v>
      </c>
      <c r="N140" s="454">
        <f t="shared" si="37"/>
        <v>45.081822318033588</v>
      </c>
    </row>
    <row r="141" spans="2:14" ht="14.1" customHeight="1">
      <c r="B141" s="508" t="str">
        <f>B104</f>
        <v>Immobilisations</v>
      </c>
      <c r="C141" s="463">
        <f>C104/1000</f>
        <v>43.928386666666668</v>
      </c>
      <c r="D141" s="464">
        <f>D104</f>
        <v>9.0904174311002145E-3</v>
      </c>
      <c r="F141" s="463">
        <f>F104/1000</f>
        <v>12.133395140725817</v>
      </c>
      <c r="G141" s="464">
        <f>G104</f>
        <v>0.27620853077977409</v>
      </c>
      <c r="I141" s="452" t="str">
        <f>B141</f>
        <v>Immobilisations</v>
      </c>
      <c r="J141" s="453"/>
      <c r="K141" s="454">
        <f t="shared" si="34"/>
        <v>31.794991525940851</v>
      </c>
      <c r="L141" s="454">
        <f t="shared" si="35"/>
        <v>43.928386666666668</v>
      </c>
      <c r="M141" s="454">
        <f t="shared" si="36"/>
        <v>43.928386666666668</v>
      </c>
      <c r="N141" s="454">
        <f t="shared" si="37"/>
        <v>56.061781807392485</v>
      </c>
    </row>
    <row r="142" spans="2:14" ht="14.1" customHeight="1">
      <c r="B142" s="507" t="str">
        <f>B110</f>
        <v>Utilisation</v>
      </c>
      <c r="C142" s="491">
        <f>C110/1000</f>
        <v>5.3314577495621718</v>
      </c>
      <c r="D142" s="492">
        <f>D110</f>
        <v>1.1032769499948465E-3</v>
      </c>
      <c r="F142" s="491">
        <f>F110/1000</f>
        <v>0.55067377355516667</v>
      </c>
      <c r="G142" s="492">
        <f>G110</f>
        <v>0.10328765591369245</v>
      </c>
      <c r="I142" s="452" t="str">
        <f>B142</f>
        <v>Utilisation</v>
      </c>
      <c r="J142" s="453"/>
      <c r="K142" s="454">
        <f t="shared" si="34"/>
        <v>4.7807839760070054</v>
      </c>
      <c r="L142" s="454">
        <f t="shared" si="35"/>
        <v>5.3314577495621718</v>
      </c>
      <c r="M142" s="454">
        <f t="shared" si="36"/>
        <v>5.3314577495621718</v>
      </c>
      <c r="N142" s="454">
        <f t="shared" si="37"/>
        <v>5.8821315231173381</v>
      </c>
    </row>
    <row r="143" spans="2:14" ht="14.1" customHeight="1">
      <c r="B143" s="508" t="str">
        <f>B116</f>
        <v>Fin de vie</v>
      </c>
      <c r="C143" s="463">
        <f>C116/1000</f>
        <v>958.13300000000004</v>
      </c>
      <c r="D143" s="464">
        <f>D116</f>
        <v>0.19827336229312181</v>
      </c>
      <c r="F143" s="463">
        <f>F116/1000</f>
        <v>177.13920000000002</v>
      </c>
      <c r="G143" s="464">
        <f>G116</f>
        <v>0.1848795522124799</v>
      </c>
      <c r="I143" s="455" t="str">
        <f>B143</f>
        <v>Fin de vie</v>
      </c>
      <c r="J143" s="456"/>
      <c r="K143" s="457">
        <f t="shared" si="34"/>
        <v>780.99379999999996</v>
      </c>
      <c r="L143" s="457">
        <f t="shared" si="35"/>
        <v>958.13300000000004</v>
      </c>
      <c r="M143" s="457">
        <f t="shared" si="36"/>
        <v>958.13300000000004</v>
      </c>
      <c r="N143" s="457">
        <f t="shared" si="37"/>
        <v>1135.2722000000001</v>
      </c>
    </row>
    <row r="144" spans="2:14" s="130" customFormat="1" ht="15">
      <c r="B144" s="509" t="s">
        <v>348</v>
      </c>
      <c r="C144" s="834">
        <f>SUM(C131:C143)</f>
        <v>4832.3838811162286</v>
      </c>
      <c r="D144" s="482">
        <f>SUM(D131:D143)</f>
        <v>1</v>
      </c>
      <c r="E144" s="211"/>
      <c r="F144" s="481">
        <f>SQRT(SUMSQ(F131:F143))</f>
        <v>433.40901938137472</v>
      </c>
      <c r="G144" s="482">
        <f>IF(C144&lt;&gt;0,F144/C144,"")</f>
        <v>8.9688449850813978E-2</v>
      </c>
      <c r="H144" s="211"/>
      <c r="I144" s="469" t="s">
        <v>348</v>
      </c>
      <c r="J144" s="458"/>
      <c r="K144" s="457">
        <f>C144-F144</f>
        <v>4398.9748617348541</v>
      </c>
      <c r="L144" s="457">
        <f>C144</f>
        <v>4832.3838811162286</v>
      </c>
      <c r="M144" s="457">
        <f>C144</f>
        <v>4832.3838811162286</v>
      </c>
      <c r="N144" s="457">
        <f>C144+F144</f>
        <v>5265.7929004976031</v>
      </c>
    </row>
    <row r="145" spans="2:9">
      <c r="C145" s="254"/>
      <c r="D145" s="254"/>
      <c r="F145" s="254"/>
      <c r="G145" s="254"/>
      <c r="H145" s="254"/>
    </row>
    <row r="146" spans="2:9">
      <c r="C146" s="254"/>
      <c r="D146" s="254"/>
      <c r="F146" s="254"/>
      <c r="G146" s="254"/>
      <c r="H146" s="254"/>
    </row>
    <row r="147" spans="2:9" s="130" customFormat="1" ht="15.6" hidden="1">
      <c r="B147" s="493" t="s">
        <v>546</v>
      </c>
      <c r="C147" s="468" t="s">
        <v>500</v>
      </c>
      <c r="D147" s="459"/>
      <c r="F147" s="254"/>
      <c r="G147" s="254"/>
      <c r="H147" s="459"/>
    </row>
    <row r="148" spans="2:9" hidden="1">
      <c r="B148" s="507" t="str">
        <f>Descriptif!C27</f>
        <v>Intrants 1</v>
      </c>
      <c r="C148" s="491" t="e">
        <f>'Intrants 1'!#REF!</f>
        <v>#REF!</v>
      </c>
      <c r="D148" s="460"/>
      <c r="E148" s="460"/>
      <c r="F148" s="835"/>
      <c r="G148" s="835"/>
      <c r="H148" s="835"/>
    </row>
    <row r="149" spans="2:9" hidden="1">
      <c r="B149" s="1026" t="str">
        <f>Descriptif!C28</f>
        <v>Intrants 2</v>
      </c>
      <c r="C149" s="1027">
        <f>'Intrants 2'!E330</f>
        <v>0</v>
      </c>
      <c r="D149" s="460"/>
      <c r="E149" s="460"/>
      <c r="F149" s="835"/>
      <c r="G149" s="835"/>
      <c r="H149" s="835"/>
    </row>
    <row r="150" spans="2:9" hidden="1">
      <c r="B150" s="508" t="str">
        <f>Descriptif!C33</f>
        <v>Immobilisations</v>
      </c>
      <c r="C150" s="463" t="e">
        <f>Immobilisations!#REF!</f>
        <v>#REF!</v>
      </c>
      <c r="D150" s="460"/>
      <c r="E150" s="460"/>
      <c r="F150" s="460"/>
      <c r="G150" s="460"/>
      <c r="H150" s="460"/>
    </row>
    <row r="151" spans="2:9" ht="13.8" hidden="1">
      <c r="B151" s="509" t="s">
        <v>348</v>
      </c>
      <c r="C151" s="481" t="e">
        <f>SUM(C148:C150)</f>
        <v>#REF!</v>
      </c>
      <c r="D151" s="460"/>
      <c r="E151" s="460"/>
      <c r="F151" s="460"/>
      <c r="G151" s="460"/>
      <c r="H151" s="460"/>
    </row>
    <row r="152" spans="2:9" hidden="1">
      <c r="B152" s="460"/>
      <c r="C152" s="460"/>
      <c r="D152" s="460"/>
      <c r="E152" s="460"/>
      <c r="F152" s="460"/>
      <c r="G152" s="460"/>
      <c r="H152" s="460"/>
    </row>
    <row r="153" spans="2:9" ht="15.6" hidden="1">
      <c r="B153" s="493" t="s">
        <v>547</v>
      </c>
      <c r="C153" s="468" t="s">
        <v>500</v>
      </c>
      <c r="D153" s="459"/>
      <c r="E153" s="459"/>
      <c r="F153" s="459"/>
      <c r="G153" s="459"/>
      <c r="H153" s="459"/>
      <c r="I153" s="254"/>
    </row>
    <row r="154" spans="2:9" hidden="1">
      <c r="B154" s="507" t="str">
        <f>Descriptif!C29</f>
        <v>Futurs emballages</v>
      </c>
      <c r="C154" s="491" t="e">
        <f>'Futurs emballages'!#REF!</f>
        <v>#REF!</v>
      </c>
      <c r="D154" s="460"/>
      <c r="E154" s="460"/>
      <c r="F154" s="460"/>
      <c r="G154" s="460"/>
      <c r="H154" s="460"/>
      <c r="I154" s="254"/>
    </row>
    <row r="155" spans="2:9" hidden="1">
      <c r="B155" s="508" t="str">
        <f>Descriptif!C32</f>
        <v>Déchets directs</v>
      </c>
      <c r="C155" s="463" t="e">
        <f>'Déchets directs'!#REF!</f>
        <v>#REF!</v>
      </c>
      <c r="D155" s="461"/>
      <c r="E155" s="461"/>
      <c r="F155" s="461"/>
      <c r="G155" s="461"/>
      <c r="H155" s="461"/>
      <c r="I155" s="254"/>
    </row>
    <row r="156" spans="2:9" hidden="1">
      <c r="B156" s="507" t="str">
        <f>Descriptif!C35</f>
        <v>Fin de vie</v>
      </c>
      <c r="C156" s="491" t="e">
        <f>'Fin de vie'!#REF!</f>
        <v>#REF!</v>
      </c>
      <c r="D156" s="461"/>
      <c r="E156" s="461"/>
      <c r="F156" s="461"/>
      <c r="G156" s="461"/>
      <c r="H156" s="461"/>
      <c r="I156" s="254"/>
    </row>
    <row r="157" spans="2:9" ht="13.8" hidden="1">
      <c r="B157" s="509" t="s">
        <v>348</v>
      </c>
      <c r="C157" s="481" t="e">
        <f>SUM(C154:C156)</f>
        <v>#REF!</v>
      </c>
      <c r="D157" s="254"/>
      <c r="E157" s="254"/>
      <c r="F157" s="254"/>
      <c r="G157" s="254"/>
      <c r="H157" s="254"/>
      <c r="I157" s="254"/>
    </row>
  </sheetData>
  <mergeCells count="7">
    <mergeCell ref="B2:H2"/>
    <mergeCell ref="K129:N129"/>
    <mergeCell ref="B129:B130"/>
    <mergeCell ref="F4:G4"/>
    <mergeCell ref="C4:D4"/>
    <mergeCell ref="C129:D129"/>
    <mergeCell ref="F129:G129"/>
  </mergeCells>
  <phoneticPr fontId="11" type="noConversion"/>
  <hyperlinks>
    <hyperlink ref="B13" location="'Energie 2'!A1" display="'Energie 2'!A1" xr:uid="{00000000-0004-0000-0F00-000000000000}"/>
    <hyperlink ref="B20" location="procedes1_recap" display="procedes1_recap" xr:uid="{00000000-0004-0000-0F00-000001000000}"/>
    <hyperlink ref="B28" location="procedes2_recap" display="procedes2_recap" xr:uid="{00000000-0004-0000-0F00-000002000000}"/>
    <hyperlink ref="B70" location="fret_recap" display="fret_recap" xr:uid="{00000000-0004-0000-0F00-000003000000}"/>
    <hyperlink ref="B84" location="deplacements_recap" display="deplacements_recap" xr:uid="{00000000-0004-0000-0F00-000004000000}"/>
    <hyperlink ref="B36" location="intrants_total" display="intrants_total" xr:uid="{00000000-0004-0000-0F00-000005000000}"/>
    <hyperlink ref="B60" location="emballages_recap" display="emballages_recap" xr:uid="{00000000-0004-0000-0F00-000006000000}"/>
    <hyperlink ref="B93" location="dechets_recap" display="dechets_recap" xr:uid="{00000000-0004-0000-0F00-000007000000}"/>
    <hyperlink ref="B104" location="immos_recap" display="immos_recap" xr:uid="{00000000-0004-0000-0F00-000008000000}"/>
    <hyperlink ref="B110" location="utilisation_recap" display="utilisation_recap" xr:uid="{00000000-0004-0000-0F00-000009000000}"/>
    <hyperlink ref="B116" location="fin_de_vie_recap" display="fin_de_vie_recap" xr:uid="{00000000-0004-0000-0F00-00000A000000}"/>
    <hyperlink ref="B4" location="Descriptif!A1" display="Retour au Descriptif" xr:uid="{00000000-0004-0000-0F00-00000B000000}"/>
    <hyperlink ref="B48" location="intrants_total" display="intrants_total" xr:uid="{00000000-0004-0000-0F00-00000C000000}"/>
    <hyperlink ref="B6" location="'Energie 2'!A1" display="'Energie 2'!A1" xr:uid="{00000000-0004-0000-0F00-00000D000000}"/>
  </hyperlinks>
  <pageMargins left="0.78740157480314965" right="0.78740157480314965" top="0.98425196850393704" bottom="0.98425196850393704" header="0.51181102362204722" footer="0.51181102362204722"/>
  <pageSetup paperSize="9" orientation="portrait" horizontalDpi="4294967292" verticalDpi="4294967292" r:id="rId1"/>
  <headerFooter alignWithMargins="0">
    <oddFooter>&amp;LCalcul des émissions de gaz à effet de serre&amp;Rrécapitulatifs, page &amp;P, édité le &amp;D</oddFooter>
  </headerFooter>
  <rowBreaks count="1" manualBreakCount="1">
    <brk id="190" min="1"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9">
    <tabColor rgb="FFFFD833"/>
  </sheetPr>
  <dimension ref="A1:O73"/>
  <sheetViews>
    <sheetView showGridLines="0" zoomScale="85" zoomScaleNormal="85" workbookViewId="0">
      <pane ySplit="4" topLeftCell="A5" activePane="bottomLeft" state="frozenSplit"/>
      <selection pane="bottomLeft"/>
    </sheetView>
  </sheetViews>
  <sheetFormatPr baseColWidth="10" defaultColWidth="0" defaultRowHeight="13.2" zeroHeight="1"/>
  <cols>
    <col min="1" max="1" width="2.75" style="114" customWidth="1"/>
    <col min="2" max="2" width="51.375" style="114" customWidth="1"/>
    <col min="3" max="4" width="20.75" style="114" customWidth="1"/>
    <col min="5" max="5" width="15.875" style="114" bestFit="1" customWidth="1"/>
    <col min="6" max="7" width="15.75" style="114" customWidth="1"/>
    <col min="8" max="8" width="18.375" style="114" customWidth="1"/>
    <col min="9" max="9" width="5.75" style="114" customWidth="1"/>
    <col min="10" max="11" width="15.75" style="114" customWidth="1"/>
    <col min="12" max="12" width="5.75" style="114" customWidth="1"/>
    <col min="13" max="14" width="15.75" style="114" customWidth="1"/>
    <col min="15" max="15" width="2.75" style="114" customWidth="1"/>
    <col min="16" max="16384" width="10.875" style="114" hidden="1"/>
  </cols>
  <sheetData>
    <row r="1" spans="2:14"/>
    <row r="2" spans="2:14" ht="30" customHeight="1">
      <c r="B2" s="2944" t="s">
        <v>39</v>
      </c>
      <c r="C2" s="2945"/>
      <c r="D2" s="2945"/>
      <c r="E2" s="2945"/>
      <c r="F2" s="2945"/>
      <c r="G2" s="2945"/>
      <c r="H2" s="2945"/>
      <c r="I2" s="2945"/>
      <c r="J2" s="2945"/>
      <c r="K2" s="2945"/>
      <c r="L2" s="2945"/>
      <c r="M2" s="2945"/>
      <c r="N2" s="2952"/>
    </row>
    <row r="3" spans="2:14" s="256" customFormat="1" ht="12.75" customHeight="1">
      <c r="B3" s="1020" t="s">
        <v>894</v>
      </c>
      <c r="C3" s="1021"/>
      <c r="D3" s="1021"/>
      <c r="E3" s="1021"/>
      <c r="F3" s="1021"/>
      <c r="G3" s="1021"/>
      <c r="H3" s="1021"/>
      <c r="I3" s="1021"/>
      <c r="J3" s="1021"/>
      <c r="K3" s="1021"/>
      <c r="L3" s="1021"/>
      <c r="M3" s="1021"/>
      <c r="N3" s="1021"/>
    </row>
    <row r="4" spans="2:14"/>
    <row r="5" spans="2:14" s="211" customFormat="1" ht="28.5" customHeight="1">
      <c r="B5" s="517" t="s">
        <v>602</v>
      </c>
      <c r="C5" s="517" t="s">
        <v>506</v>
      </c>
      <c r="D5" s="518" t="str">
        <f>"kg CO2e par "&amp;Descriptif!$C$15</f>
        <v>kg CO2e par Employés</v>
      </c>
      <c r="E5" s="518" t="str">
        <f>"km eq. en voiture par "&amp;Descriptif!$C$15</f>
        <v>km eq. en voiture par Employés</v>
      </c>
      <c r="F5" s="518" t="str">
        <f>"kg CO2e par "&amp;Descriptif!$D$11</f>
        <v>kg CO2e par Portes et Volets</v>
      </c>
      <c r="G5" s="518" t="s">
        <v>508</v>
      </c>
    </row>
    <row r="6" spans="2:14">
      <c r="B6" s="386" t="str">
        <f>'Recap CO2e'!B131</f>
        <v>Energie 1</v>
      </c>
      <c r="C6" s="513">
        <f>'Recap CO2e'!C131</f>
        <v>398.53822810000003</v>
      </c>
      <c r="D6" s="513">
        <f>IF(Descriptif!$D$15=0,"",C6*1000/Descriptif!$D$15)</f>
        <v>3985.3822810000001</v>
      </c>
      <c r="E6" s="513">
        <f>IF(Descriptif!$D$15=0,"",C6*1000/(Descriptif!$D$15*('FE Déplacements'!$O$29)))</f>
        <v>20757.199380208334</v>
      </c>
      <c r="F6" s="513">
        <f>IF(Descriptif!$D$12=0,"",C6*1000/Descriptif!$D$12)</f>
        <v>8.3028797520833333</v>
      </c>
      <c r="G6" s="513">
        <f>IF(Descriptif!$F$16=0,"",C6/Descriptif!$F$16)</f>
        <v>21.77804525136612</v>
      </c>
    </row>
    <row r="7" spans="2:14">
      <c r="B7" s="514" t="str">
        <f>'Recap CO2e'!B132</f>
        <v>Energie 2</v>
      </c>
      <c r="C7" s="475">
        <f>'Recap CO2e'!C132</f>
        <v>0</v>
      </c>
      <c r="D7" s="475">
        <f>IF(Descriptif!$D$15=0,"",C7*1000/Descriptif!$D$15)</f>
        <v>0</v>
      </c>
      <c r="E7" s="513">
        <f>IF(Descriptif!$D$15=0,"",C7*1000/(Descriptif!$D$15*('FE Déplacements'!$O$29)))</f>
        <v>0</v>
      </c>
      <c r="F7" s="475">
        <f>IF(Descriptif!$D$12=0,"",C7*1000/Descriptif!$D$12)</f>
        <v>0</v>
      </c>
      <c r="G7" s="475">
        <f>IF(Descriptif!$F$16=0,"",C7/Descriptif!$F$16)</f>
        <v>0</v>
      </c>
    </row>
    <row r="8" spans="2:14">
      <c r="B8" s="386" t="str">
        <f>'Recap CO2e'!B133</f>
        <v>Hors énergie 1</v>
      </c>
      <c r="C8" s="513">
        <f>'Recap CO2e'!C133</f>
        <v>0.48599999999999999</v>
      </c>
      <c r="D8" s="513">
        <f>IF(Descriptif!$D$15=0,"",C8*1000/Descriptif!$D$15)</f>
        <v>4.8600000000000003</v>
      </c>
      <c r="E8" s="513">
        <f>IF(Descriptif!$D$15=0,"",C8*1000/(Descriptif!$D$15*('FE Déplacements'!$O$29)))</f>
        <v>25.3125</v>
      </c>
      <c r="F8" s="513">
        <f>IF(Descriptif!$D$12=0,"",C8*1000/Descriptif!$D$12)</f>
        <v>1.0125E-2</v>
      </c>
      <c r="G8" s="513">
        <f>IF(Descriptif!$F$16=0,"",C8/Descriptif!$F$16)</f>
        <v>2.6557377049180327E-2</v>
      </c>
    </row>
    <row r="9" spans="2:14">
      <c r="B9" s="514" t="str">
        <f>'Recap CO2e'!B134</f>
        <v>Hors énergie 2</v>
      </c>
      <c r="C9" s="475">
        <f>'Recap CO2e'!C134</f>
        <v>0</v>
      </c>
      <c r="D9" s="475">
        <f>IF(Descriptif!$D$15=0,"",C9*1000/Descriptif!$D$15)</f>
        <v>0</v>
      </c>
      <c r="E9" s="513">
        <f>IF(Descriptif!$D$15=0,"",C9*1000/(Descriptif!$D$15*('FE Déplacements'!$O$29)))</f>
        <v>0</v>
      </c>
      <c r="F9" s="475">
        <f>IF(Descriptif!$D$12=0,"",C9*1000/Descriptif!$D$12)</f>
        <v>0</v>
      </c>
      <c r="G9" s="475">
        <f>IF(Descriptif!$F$16=0,"",C9/Descriptif!$F$16)</f>
        <v>0</v>
      </c>
    </row>
    <row r="10" spans="2:14">
      <c r="B10" s="386" t="str">
        <f>'Recap CO2e'!B135</f>
        <v>Intrants 1</v>
      </c>
      <c r="C10" s="513">
        <f>'Recap CO2e'!C135</f>
        <v>2658.1819999999998</v>
      </c>
      <c r="D10" s="513">
        <f>IF(Descriptif!$D$15=0,"",C10*1000/Descriptif!$D$15)</f>
        <v>26581.82</v>
      </c>
      <c r="E10" s="513">
        <f>IF(Descriptif!$D$15=0,"",C10*1000/(Descriptif!$D$15*('FE Déplacements'!$O$29)))</f>
        <v>138446.97916666669</v>
      </c>
      <c r="F10" s="513">
        <f>IF(Descriptif!$D$12=0,"",C10*1000/Descriptif!$D$12)</f>
        <v>55.378791666666665</v>
      </c>
      <c r="G10" s="513">
        <f>IF(Descriptif!$F$16=0,"",C10/Descriptif!$F$16)</f>
        <v>145.25584699453549</v>
      </c>
    </row>
    <row r="11" spans="2:14">
      <c r="B11" s="514" t="s">
        <v>898</v>
      </c>
      <c r="C11" s="475">
        <f>'Recap CO2e'!C136</f>
        <v>0</v>
      </c>
      <c r="D11" s="475">
        <f>IF(Descriptif!$D$15=0,"",C11*1000/Descriptif!$D$15)</f>
        <v>0</v>
      </c>
      <c r="E11" s="513">
        <f>IF(Descriptif!$D$15=0,"",C11*1000/(Descriptif!$D$15*('FE Déplacements'!$O$29)))</f>
        <v>0</v>
      </c>
      <c r="F11" s="475">
        <f>IF(Descriptif!$D$12=0,"",C11*1000/Descriptif!$D$12)</f>
        <v>0</v>
      </c>
      <c r="G11" s="475">
        <f>IF(Descriptif!$F$16=0,"",C11/Descriptif!$F$16)</f>
        <v>0</v>
      </c>
    </row>
    <row r="12" spans="2:14">
      <c r="B12" s="386" t="str">
        <f>'Recap CO2e'!B137</f>
        <v>Futurs emballages</v>
      </c>
      <c r="C12" s="513">
        <f>'Recap CO2e'!C137</f>
        <v>309.18</v>
      </c>
      <c r="D12" s="513">
        <f>IF(Descriptif!$D$15=0,"",C12*1000/Descriptif!$D$15)</f>
        <v>3091.8</v>
      </c>
      <c r="E12" s="513">
        <f>IF(Descriptif!$D$15=0,"",C12*1000/(Descriptif!$D$15*('FE Déplacements'!$O$29)))</f>
        <v>16103.125</v>
      </c>
      <c r="F12" s="513">
        <f>IF(Descriptif!$D$12=0,"",C12*1000/Descriptif!$D$12)</f>
        <v>6.4412500000000001</v>
      </c>
      <c r="G12" s="513">
        <f>IF(Descriptif!$F$16=0,"",C12/Descriptif!$F$16)</f>
        <v>16.895081967213116</v>
      </c>
    </row>
    <row r="13" spans="2:14">
      <c r="B13" s="514" t="str">
        <f>'Recap CO2e'!B138</f>
        <v>Fret</v>
      </c>
      <c r="C13" s="475">
        <f>'Recap CO2e'!C138</f>
        <v>295.73983500000003</v>
      </c>
      <c r="D13" s="475">
        <f>IF(Descriptif!$D$15=0,"",C13*1000/Descriptif!$D$15)</f>
        <v>2957.3983500000004</v>
      </c>
      <c r="E13" s="513">
        <f>IF(Descriptif!$D$15=0,"",C13*1000/(Descriptif!$D$15*('FE Déplacements'!$O$29)))</f>
        <v>15403.116406250001</v>
      </c>
      <c r="F13" s="475">
        <f>IF(Descriptif!$D$12=0,"",C13*1000/Descriptif!$D$12)</f>
        <v>6.1612465625000006</v>
      </c>
      <c r="G13" s="475">
        <f>IF(Descriptif!$F$16=0,"",C13/Descriptif!$F$16)</f>
        <v>16.160646721311476</v>
      </c>
    </row>
    <row r="14" spans="2:14">
      <c r="B14" s="386" t="str">
        <f>'Recap CO2e'!B139</f>
        <v>Déplacements</v>
      </c>
      <c r="C14" s="513">
        <f>'Recap CO2e'!C139</f>
        <v>123.69497360000001</v>
      </c>
      <c r="D14" s="513">
        <f>IF(Descriptif!$D$15=0,"",C14*1000/Descriptif!$D$15)</f>
        <v>1236.949736</v>
      </c>
      <c r="E14" s="513">
        <f>IF(Descriptif!$D$15=0,"",C14*1000/(Descriptif!$D$15*('FE Déplacements'!$O$29)))</f>
        <v>6442.4465416666671</v>
      </c>
      <c r="F14" s="513">
        <f>IF(Descriptif!$D$12=0,"",C14*1000/Descriptif!$D$12)</f>
        <v>2.5769786166666671</v>
      </c>
      <c r="G14" s="513">
        <f>IF(Descriptif!$F$16=0,"",C14/Descriptif!$F$16)</f>
        <v>6.7592881748633884</v>
      </c>
    </row>
    <row r="15" spans="2:14">
      <c r="B15" s="514" t="str">
        <f>'Recap CO2e'!B140</f>
        <v>Déchets directs</v>
      </c>
      <c r="C15" s="475">
        <f>'Recap CO2e'!C140</f>
        <v>39.17</v>
      </c>
      <c r="D15" s="475">
        <f>IF(Descriptif!$D$15=0,"",C15*1000/Descriptif!$D$15)</f>
        <v>391.7</v>
      </c>
      <c r="E15" s="513">
        <f>IF(Descriptif!$D$15=0,"",C15*1000/(Descriptif!$D$15*('FE Déplacements'!$O$29)))</f>
        <v>2040.1041666666667</v>
      </c>
      <c r="F15" s="475">
        <f>IF(Descriptif!$D$12=0,"",C15*1000/Descriptif!$D$12)</f>
        <v>0.81604166666666667</v>
      </c>
      <c r="G15" s="475">
        <f>IF(Descriptif!$F$16=0,"",C15/Descriptif!$F$16)</f>
        <v>2.1404371584699455</v>
      </c>
    </row>
    <row r="16" spans="2:14">
      <c r="B16" s="386" t="str">
        <f>'Recap CO2e'!B141</f>
        <v>Immobilisations</v>
      </c>
      <c r="C16" s="513">
        <f>'Recap CO2e'!C141</f>
        <v>43.928386666666668</v>
      </c>
      <c r="D16" s="513">
        <f>IF(Descriptif!$D$15=0,"",C16*1000/Descriptif!$D$15)</f>
        <v>439.28386666666665</v>
      </c>
      <c r="E16" s="513">
        <f>IF(Descriptif!$D$15=0,"",C16*1000/(Descriptif!$D$15*('FE Déplacements'!$O$29)))</f>
        <v>2287.9368055555556</v>
      </c>
      <c r="F16" s="513">
        <f>IF(Descriptif!$D$12=0,"",C16*1000/Descriptif!$D$12)</f>
        <v>0.91517472222222218</v>
      </c>
      <c r="G16" s="513">
        <f>IF(Descriptif!$F$16=0,"",C16/Descriptif!$F$16)</f>
        <v>2.4004582877959928</v>
      </c>
    </row>
    <row r="17" spans="2:7">
      <c r="B17" s="514" t="str">
        <f>'Recap CO2e'!B142</f>
        <v>Utilisation</v>
      </c>
      <c r="C17" s="475">
        <f>'Recap CO2e'!C142</f>
        <v>5.3314577495621718</v>
      </c>
      <c r="D17" s="475">
        <f>IF(Descriptif!$D$15=0,"",C17*1000/Descriptif!$D$15)</f>
        <v>53.314577495621712</v>
      </c>
      <c r="E17" s="513">
        <f>IF(Descriptif!$D$15=0,"",C17*1000/(Descriptif!$D$15*('FE Déplacements'!$O$29)))</f>
        <v>277.6800911230298</v>
      </c>
      <c r="F17" s="475">
        <f>IF(Descriptif!$D$12=0,"",C17*1000/Descriptif!$D$12)</f>
        <v>0.1110720364492119</v>
      </c>
      <c r="G17" s="475">
        <f>IF(Descriptif!$F$16=0,"",C17/Descriptif!$F$16)</f>
        <v>0.29133648904711318</v>
      </c>
    </row>
    <row r="18" spans="2:7">
      <c r="B18" s="386" t="str">
        <f>'Recap CO2e'!B143</f>
        <v>Fin de vie</v>
      </c>
      <c r="C18" s="513">
        <f>'Recap CO2e'!C143</f>
        <v>958.13300000000004</v>
      </c>
      <c r="D18" s="513">
        <f>IF(Descriptif!$D$15=0,"",C18*1000/Descriptif!$D$15)</f>
        <v>9581.33</v>
      </c>
      <c r="E18" s="513">
        <f>IF(Descriptif!$D$15=0,"",C18*1000/(Descriptif!$D$15*('FE Déplacements'!$O$29)))</f>
        <v>49902.760416666672</v>
      </c>
      <c r="F18" s="513">
        <f>IF(Descriptif!$D$12=0,"",C18*1000/Descriptif!$D$12)</f>
        <v>19.961104166666665</v>
      </c>
      <c r="G18" s="513">
        <f>IF(Descriptif!$F$16=0,"",C18/Descriptif!$F$16)</f>
        <v>52.356994535519128</v>
      </c>
    </row>
    <row r="19" spans="2:7" ht="13.8">
      <c r="B19" s="515" t="s">
        <v>348</v>
      </c>
      <c r="C19" s="474">
        <f>SUM(C6:C18)</f>
        <v>4832.3838811162286</v>
      </c>
      <c r="D19" s="474">
        <f>IF(Descriptif!$D$15=0,"",C19*1000/Descriptif!$D$15)</f>
        <v>48323.838811162284</v>
      </c>
      <c r="E19" s="513">
        <f>IF(Descriptif!$D$15=0,"",C19*1000/(Descriptif!$D$15*('FE Déplacements'!$O$29)))</f>
        <v>251686.66047480356</v>
      </c>
      <c r="F19" s="474">
        <f>IF(Descriptif!$D$12=0,"",C19*1000/Descriptif!$D$12)</f>
        <v>100.67466418992142</v>
      </c>
      <c r="G19" s="474">
        <f>IF(Descriptif!$F$16=0,"",C19/Descriptif!$F$16)</f>
        <v>264.06469295717096</v>
      </c>
    </row>
    <row r="20" spans="2:7"/>
    <row r="21" spans="2:7"/>
    <row r="22" spans="2:7"/>
    <row r="23" spans="2:7">
      <c r="B23" s="476" t="s">
        <v>430</v>
      </c>
      <c r="C23" s="1971">
        <v>2010</v>
      </c>
    </row>
    <row r="24" spans="2:7">
      <c r="B24" s="477" t="s">
        <v>371</v>
      </c>
      <c r="C24" s="259">
        <v>2050</v>
      </c>
    </row>
    <row r="25" spans="2:7" ht="13.8" thickBot="1">
      <c r="B25" s="477" t="s">
        <v>122</v>
      </c>
      <c r="C25" s="259">
        <v>4</v>
      </c>
    </row>
    <row r="26" spans="2:7" ht="13.8" thickBot="1">
      <c r="B26" s="480" t="str">
        <f>"Objectif : facteur "&amp;C25&amp;" en "&amp;C24</f>
        <v>Objectif : facteur 4 en 2050</v>
      </c>
      <c r="C26" s="484">
        <f>1-(1/C25)^(1/(C24-C23))</f>
        <v>3.40636710751544E-2</v>
      </c>
      <c r="D26" s="266" t="s">
        <v>166</v>
      </c>
    </row>
    <row r="27" spans="2:7">
      <c r="B27" s="264"/>
      <c r="C27" s="473"/>
    </row>
    <row r="28" spans="2:7">
      <c r="B28" s="264"/>
      <c r="C28" s="473"/>
    </row>
    <row r="29" spans="2:7" ht="13.8" thickBot="1">
      <c r="B29" s="476" t="s">
        <v>93</v>
      </c>
      <c r="C29" s="234">
        <v>0.05</v>
      </c>
      <c r="D29" s="114" t="s">
        <v>364</v>
      </c>
    </row>
    <row r="30" spans="2:7" ht="13.8" thickBot="1">
      <c r="B30" s="480" t="str">
        <f>"Objectif indexé sur la croissance : facteur "&amp;C25&amp;" en "&amp;C24</f>
        <v>Objectif indexé sur la croissance : facteur 4 en 2050</v>
      </c>
      <c r="C30" s="484">
        <f>1-(1-C26)/(1+C29)</f>
        <v>8.0060639119194699E-2</v>
      </c>
      <c r="D30" s="266" t="s">
        <v>166</v>
      </c>
    </row>
    <row r="31" spans="2:7">
      <c r="B31" s="264"/>
      <c r="C31" s="473"/>
    </row>
    <row r="32" spans="2:7">
      <c r="B32" s="264"/>
      <c r="C32" s="473"/>
    </row>
    <row r="33" spans="2:7">
      <c r="B33" s="264"/>
      <c r="C33" s="473"/>
    </row>
    <row r="34" spans="2:7" ht="15.6">
      <c r="B34" s="2763" t="s">
        <v>615</v>
      </c>
      <c r="C34" s="2764"/>
      <c r="D34" s="2764"/>
      <c r="E34" s="2764"/>
      <c r="F34" s="2765"/>
    </row>
    <row r="35" spans="2:7">
      <c r="B35" s="264"/>
      <c r="C35" s="473"/>
    </row>
    <row r="36" spans="2:7" s="211" customFormat="1" ht="13.8">
      <c r="B36" s="517" t="s">
        <v>534</v>
      </c>
      <c r="C36" s="517" t="s">
        <v>500</v>
      </c>
      <c r="D36" s="517" t="s">
        <v>609</v>
      </c>
      <c r="G36" s="114"/>
    </row>
    <row r="37" spans="2:7">
      <c r="B37" s="403" t="s">
        <v>611</v>
      </c>
      <c r="C37" s="513">
        <f>C19*$C$26</f>
        <v>164.60873503522123</v>
      </c>
      <c r="D37" s="368">
        <f>IF(C$19=0,"",C37/C$19)</f>
        <v>3.40636710751544E-2</v>
      </c>
    </row>
    <row r="38" spans="2:7">
      <c r="B38" s="479" t="s">
        <v>612</v>
      </c>
      <c r="C38" s="475">
        <f>C19*(1-(1-$C$26)^5)</f>
        <v>768.8495983557583</v>
      </c>
      <c r="D38" s="478">
        <f>IF(C$19=0,"",C38/C$19)</f>
        <v>0.15910358474628516</v>
      </c>
    </row>
    <row r="39" spans="2:7">
      <c r="B39" s="403" t="s">
        <v>613</v>
      </c>
      <c r="C39" s="513">
        <f>C19*(1-(1-$C$26)^10)</f>
        <v>1415.3724694823738</v>
      </c>
      <c r="D39" s="368">
        <f>IF(C$19=0,"",C39/C$19)</f>
        <v>0.29289321881345198</v>
      </c>
    </row>
    <row r="40" spans="2:7"/>
    <row r="41" spans="2:7"/>
    <row r="42" spans="2:7" ht="15.6">
      <c r="B42" s="2763" t="s">
        <v>616</v>
      </c>
      <c r="C42" s="2764"/>
      <c r="D42" s="2764"/>
      <c r="E42" s="2764"/>
      <c r="F42" s="2765"/>
    </row>
    <row r="43" spans="2:7"/>
    <row r="44" spans="2:7" s="211" customFormat="1" ht="13.8">
      <c r="B44" s="517" t="s">
        <v>534</v>
      </c>
      <c r="C44" s="517" t="s">
        <v>500</v>
      </c>
      <c r="D44" s="517" t="s">
        <v>609</v>
      </c>
    </row>
    <row r="45" spans="2:7">
      <c r="B45" s="403" t="s">
        <v>611</v>
      </c>
      <c r="C45" s="513">
        <f>C19*$C$30</f>
        <v>386.88374199145983</v>
      </c>
      <c r="D45" s="368">
        <f>IF(C$19=0,"",C45/C$19)</f>
        <v>8.0060639119194699E-2</v>
      </c>
    </row>
    <row r="46" spans="2:7">
      <c r="B46" s="479" t="s">
        <v>612</v>
      </c>
      <c r="C46" s="475">
        <f>C19*(1-(1-$C$30)^5)</f>
        <v>1648.4984422317589</v>
      </c>
      <c r="D46" s="478">
        <f>IF(C$19=0,"",C46/C$19)</f>
        <v>0.34113565535918755</v>
      </c>
    </row>
    <row r="47" spans="2:7">
      <c r="B47" s="403" t="s">
        <v>613</v>
      </c>
      <c r="C47" s="513">
        <f>C19*(1-(1-$C$30)^10)</f>
        <v>2734.6352880141867</v>
      </c>
      <c r="D47" s="368">
        <f>IF(C$19=0,"",C47/C$19)</f>
        <v>0.5658977753610327</v>
      </c>
    </row>
    <row r="48" spans="2:7"/>
    <row r="49" spans="2:6"/>
    <row r="50" spans="2:6" ht="15.6">
      <c r="B50" s="2763" t="s">
        <v>614</v>
      </c>
      <c r="C50" s="2764"/>
      <c r="D50" s="2764"/>
      <c r="E50" s="2764"/>
      <c r="F50" s="2765"/>
    </row>
    <row r="51" spans="2:6"/>
    <row r="52" spans="2:6" s="211" customFormat="1" ht="13.8">
      <c r="B52" s="2950" t="s">
        <v>614</v>
      </c>
      <c r="C52" s="2950" t="s">
        <v>500</v>
      </c>
      <c r="D52" s="2891" t="s">
        <v>609</v>
      </c>
      <c r="E52" s="2893"/>
    </row>
    <row r="53" spans="2:6" s="211" customFormat="1" ht="27.6">
      <c r="B53" s="2951"/>
      <c r="C53" s="2951"/>
      <c r="D53" s="930" t="s">
        <v>794</v>
      </c>
      <c r="E53" s="930" t="s">
        <v>795</v>
      </c>
    </row>
    <row r="54" spans="2:6">
      <c r="B54" s="403" t="s">
        <v>610</v>
      </c>
      <c r="C54" s="513">
        <f t="shared" ref="C54:C56" si="0">C$19-C37</f>
        <v>4667.7751460810077</v>
      </c>
      <c r="D54" s="368">
        <f>D37</f>
        <v>3.40636710751544E-2</v>
      </c>
      <c r="E54" s="929">
        <f>D45</f>
        <v>8.0060639119194699E-2</v>
      </c>
    </row>
    <row r="55" spans="2:6">
      <c r="B55" s="479" t="s">
        <v>135</v>
      </c>
      <c r="C55" s="475">
        <f t="shared" si="0"/>
        <v>4063.5342827604704</v>
      </c>
      <c r="D55" s="478">
        <f>D38</f>
        <v>0.15910358474628516</v>
      </c>
      <c r="E55" s="478">
        <f>D46</f>
        <v>0.34113565535918755</v>
      </c>
    </row>
    <row r="56" spans="2:6">
      <c r="B56" s="403" t="s">
        <v>160</v>
      </c>
      <c r="C56" s="513">
        <f t="shared" si="0"/>
        <v>3417.0114116338546</v>
      </c>
      <c r="D56" s="368">
        <f>D39</f>
        <v>0.29289321881345198</v>
      </c>
      <c r="E56" s="368">
        <f>D47</f>
        <v>0.5658977753610327</v>
      </c>
    </row>
    <row r="57" spans="2:6"/>
    <row r="67" spans="14:14" hidden="1">
      <c r="N67" s="264"/>
    </row>
    <row r="68" spans="14:14" ht="12.75" hidden="1" customHeight="1"/>
    <row r="69" spans="14:14" ht="12.75" hidden="1" customHeight="1"/>
    <row r="70" spans="14:14" ht="12.75" hidden="1" customHeight="1"/>
    <row r="71" spans="14:14" ht="12.75" hidden="1" customHeight="1"/>
    <row r="72" spans="14:14" ht="12.75" hidden="1" customHeight="1"/>
    <row r="73" spans="14:14" ht="12.75" hidden="1" customHeight="1"/>
  </sheetData>
  <mergeCells count="7">
    <mergeCell ref="D52:E52"/>
    <mergeCell ref="C52:C53"/>
    <mergeCell ref="B52:B53"/>
    <mergeCell ref="B2:N2"/>
    <mergeCell ref="B34:F34"/>
    <mergeCell ref="B42:F42"/>
    <mergeCell ref="B50:F50"/>
  </mergeCells>
  <phoneticPr fontId="7"/>
  <hyperlinks>
    <hyperlink ref="B3" location="Descriptif!A1" display="Retour au Descriptif" xr:uid="{00000000-0004-0000-1000-000000000000}"/>
  </hyperlinks>
  <pageMargins left="0.78740157499999996" right="0.78740157499999996" top="0.984251969" bottom="0.984251969" header="0.5" footer="0.5"/>
  <pageSetup paperSize="0" orientation="portrait" horizontalDpi="4294967292" verticalDpi="4294967292"/>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2">
    <tabColor rgb="FFFFD833"/>
  </sheetPr>
  <dimension ref="A1:X85"/>
  <sheetViews>
    <sheetView showGridLines="0" topLeftCell="A31" zoomScale="85" zoomScaleNormal="85" workbookViewId="0">
      <selection activeCell="E30" sqref="E30"/>
    </sheetView>
  </sheetViews>
  <sheetFormatPr baseColWidth="10" defaultColWidth="0" defaultRowHeight="13.2" zeroHeight="1"/>
  <cols>
    <col min="1" max="1" width="2.75" style="53" customWidth="1"/>
    <col min="2" max="2" width="19.25" style="53" customWidth="1"/>
    <col min="3" max="3" width="10.25" style="53" bestFit="1" customWidth="1"/>
    <col min="4" max="4" width="54.375" style="53" customWidth="1"/>
    <col min="5" max="9" width="11.25" style="53" customWidth="1"/>
    <col min="10" max="10" width="11.25" style="114" customWidth="1"/>
    <col min="11" max="12" width="11.25" style="53" customWidth="1"/>
    <col min="13" max="13" width="15.875" style="53" bestFit="1" customWidth="1"/>
    <col min="14" max="14" width="11.25" style="53" customWidth="1"/>
    <col min="15" max="21" width="11.25" style="441" customWidth="1"/>
    <col min="22" max="22" width="2.75" style="53" customWidth="1"/>
    <col min="23" max="24" width="0" style="53" hidden="1" customWidth="1"/>
    <col min="25" max="16384" width="11.375" style="53" hidden="1"/>
  </cols>
  <sheetData>
    <row r="1" spans="2:21"/>
    <row r="2" spans="2:21" ht="30" customHeight="1">
      <c r="B2" s="2602" t="s">
        <v>484</v>
      </c>
      <c r="C2" s="2603"/>
      <c r="D2" s="2603"/>
      <c r="E2" s="2603"/>
      <c r="F2" s="2603"/>
      <c r="G2" s="2603"/>
      <c r="H2" s="2603"/>
      <c r="I2" s="2603"/>
      <c r="J2" s="2603"/>
      <c r="K2" s="2603"/>
      <c r="L2" s="2603"/>
      <c r="M2" s="2604"/>
    </row>
    <row r="3" spans="2:21" ht="13.8">
      <c r="B3" s="836" t="str">
        <f>IF(Descriptif!D7=Utilitaires!B569,"Attention : Vous avez choisi l'approche Part du capital. Cette approche n'est pas une approche utilisable dans le cadre d'un Bilan GES réglementaire. Les résultats affichés ci-dessous correspondent donc au choix de l'approche Contrôle financier.","")</f>
        <v/>
      </c>
      <c r="O3" s="1000"/>
      <c r="P3" s="1000"/>
      <c r="Q3" s="1000"/>
      <c r="R3" s="1000"/>
      <c r="S3" s="1000"/>
      <c r="T3" s="1000"/>
      <c r="U3" s="1000"/>
    </row>
    <row r="4" spans="2:21" s="114" customFormat="1" ht="15" customHeight="1">
      <c r="B4" s="2948" t="s">
        <v>767</v>
      </c>
      <c r="C4" s="2972"/>
      <c r="D4" s="2949"/>
      <c r="E4" s="999" t="s">
        <v>768</v>
      </c>
      <c r="G4" s="2973" t="s">
        <v>5128</v>
      </c>
      <c r="H4" s="2974"/>
      <c r="I4" s="2974"/>
      <c r="J4" s="2974"/>
      <c r="K4" s="2974"/>
      <c r="L4" s="2974"/>
      <c r="M4" s="2974"/>
      <c r="N4" s="2974"/>
      <c r="O4" s="2974"/>
      <c r="P4" s="2974"/>
      <c r="Q4" s="2974"/>
      <c r="R4" s="2975"/>
      <c r="S4" s="1000"/>
      <c r="T4" s="1000"/>
      <c r="U4" s="1000"/>
    </row>
    <row r="5" spans="2:21" s="114" customFormat="1" ht="13.8">
      <c r="B5" s="2948" t="s">
        <v>770</v>
      </c>
      <c r="C5" s="2972"/>
      <c r="D5" s="2949"/>
      <c r="E5" s="999" t="s">
        <v>768</v>
      </c>
      <c r="G5" s="2976"/>
      <c r="H5" s="2977"/>
      <c r="I5" s="2977"/>
      <c r="J5" s="2977"/>
      <c r="K5" s="2977"/>
      <c r="L5" s="2977"/>
      <c r="M5" s="2977"/>
      <c r="N5" s="2977"/>
      <c r="O5" s="2977"/>
      <c r="P5" s="2977"/>
      <c r="Q5" s="2977"/>
      <c r="R5" s="2978"/>
      <c r="S5" s="1000"/>
      <c r="T5" s="1000"/>
      <c r="U5" s="1000"/>
    </row>
    <row r="6" spans="2:21" s="114" customFormat="1" ht="13.8">
      <c r="B6" s="836"/>
      <c r="O6" s="873"/>
      <c r="P6" s="873"/>
      <c r="Q6" s="873"/>
      <c r="R6" s="873"/>
      <c r="S6" s="873"/>
      <c r="T6" s="873"/>
      <c r="U6" s="873"/>
    </row>
    <row r="7" spans="2:21" ht="15.6">
      <c r="B7" s="2761" t="s">
        <v>894</v>
      </c>
      <c r="C7" s="2762"/>
      <c r="E7" s="2881" t="s">
        <v>539</v>
      </c>
      <c r="F7" s="2882"/>
      <c r="G7" s="2882"/>
      <c r="H7" s="2882"/>
      <c r="I7" s="2882"/>
      <c r="J7" s="2882"/>
      <c r="K7" s="2882"/>
      <c r="L7" s="2883"/>
      <c r="M7" s="114"/>
      <c r="N7" s="2982" t="s">
        <v>454</v>
      </c>
      <c r="O7" s="2983"/>
      <c r="P7" s="2983"/>
      <c r="Q7" s="2983"/>
      <c r="R7" s="2983"/>
      <c r="S7" s="2983"/>
      <c r="T7" s="2983"/>
      <c r="U7" s="2983"/>
    </row>
    <row r="8" spans="2:21" ht="39.6">
      <c r="C8" s="82"/>
      <c r="D8" s="82"/>
      <c r="E8" s="2691" t="s">
        <v>448</v>
      </c>
      <c r="F8" s="2692"/>
      <c r="G8" s="2692"/>
      <c r="H8" s="2692"/>
      <c r="I8" s="2692"/>
      <c r="J8" s="2692"/>
      <c r="K8" s="2693"/>
      <c r="L8" s="37" t="s">
        <v>440</v>
      </c>
      <c r="N8" s="2979" t="s">
        <v>448</v>
      </c>
      <c r="O8" s="2980"/>
      <c r="P8" s="2980"/>
      <c r="Q8" s="2980"/>
      <c r="R8" s="2980"/>
      <c r="S8" s="2980"/>
      <c r="T8" s="2981"/>
      <c r="U8" s="630" t="s">
        <v>440</v>
      </c>
    </row>
    <row r="9" spans="2:21" ht="26.4">
      <c r="B9" s="46" t="s">
        <v>483</v>
      </c>
      <c r="C9" s="46" t="s">
        <v>623</v>
      </c>
      <c r="D9" s="46" t="s">
        <v>438</v>
      </c>
      <c r="E9" s="47" t="s">
        <v>864</v>
      </c>
      <c r="F9" s="47" t="s">
        <v>865</v>
      </c>
      <c r="G9" s="47" t="s">
        <v>866</v>
      </c>
      <c r="H9" s="47" t="s">
        <v>868</v>
      </c>
      <c r="I9" s="46" t="s">
        <v>515</v>
      </c>
      <c r="J9" s="47" t="s">
        <v>867</v>
      </c>
      <c r="K9" s="48" t="s">
        <v>516</v>
      </c>
      <c r="L9" s="46" t="s">
        <v>517</v>
      </c>
      <c r="M9" s="89" t="s">
        <v>622</v>
      </c>
      <c r="N9" s="111" t="s">
        <v>864</v>
      </c>
      <c r="O9" s="111" t="s">
        <v>865</v>
      </c>
      <c r="P9" s="111" t="s">
        <v>866</v>
      </c>
      <c r="Q9" s="111" t="s">
        <v>868</v>
      </c>
      <c r="R9" s="110" t="s">
        <v>515</v>
      </c>
      <c r="S9" s="111" t="s">
        <v>867</v>
      </c>
      <c r="T9" s="112" t="s">
        <v>516</v>
      </c>
      <c r="U9" s="110" t="s">
        <v>517</v>
      </c>
    </row>
    <row r="10" spans="2:21" ht="12.75" customHeight="1">
      <c r="B10" s="2984" t="s">
        <v>480</v>
      </c>
      <c r="C10" s="83">
        <v>1</v>
      </c>
      <c r="D10" s="49" t="s">
        <v>459</v>
      </c>
      <c r="E10" s="631">
        <f>('Energie 1'!E225+'Energie 2'!E225+'Hors énergie 1'!E122+'Hors énergie 2'!E122+'Intrants 1'!E342+'Intrants 2'!E340+'Futurs emballages'!E102+Fret!E643+Déplacements!E497+'Déchets directs'!E250+Immobilisations!E287+Utilisation!E146+'Fin de vie'!E277)/1000</f>
        <v>302.94259600000004</v>
      </c>
      <c r="F10" s="631">
        <f>('Energie 1'!F225+'Energie 2'!F225+'Hors énergie 1'!F122+'Hors énergie 2'!F122+'Intrants 1'!F342+'Intrants 2'!F340+'Futurs emballages'!F102+Fret!F643+Déplacements!F497+'Déchets directs'!F250+Immobilisations!F287+Utilisation!F146+'Fin de vie'!F277)/1000</f>
        <v>0.23429999999999998</v>
      </c>
      <c r="G10" s="631">
        <f>('Energie 1'!G225+'Energie 2'!G225+'Hors énergie 1'!G122+'Hors énergie 2'!G122+'Intrants 1'!G342+'Intrants 2'!G340+'Futurs emballages'!G102+Fret!G643+Déplacements!G497+'Déchets directs'!G250+Immobilisations!G287+Utilisation!G146+'Fin de vie'!G277)/1000</f>
        <v>1.577381916</v>
      </c>
      <c r="H10" s="631">
        <f>('Energie 1'!H225+'Energie 2'!H225+'Hors énergie 1'!H122+'Hors énergie 2'!H122+'Intrants 1'!H342+'Intrants 2'!H340+'Futurs emballages'!H102+Fret!H643+Déplacements!H497+'Déchets directs'!H250+Immobilisations!H287+Utilisation!H146+'Fin de vie'!H277)/1000</f>
        <v>0</v>
      </c>
      <c r="I10" s="631">
        <f>('Energie 1'!I225+'Energie 2'!I225+'Hors énergie 1'!I122+'Hors énergie 2'!I122+'Intrants 1'!I342+'Intrants 2'!I340+'Futurs emballages'!I102+Fret!I643+Déplacements!I497+'Déchets directs'!I250+Immobilisations!I287+Utilisation!I146+'Fin de vie'!I277)/1000</f>
        <v>304.75427791599998</v>
      </c>
      <c r="J10" s="631">
        <f>('Energie 1'!J225+'Energie 2'!J225+'Hors énergie 1'!J122+'Hors énergie 2'!J122+'Intrants 1'!J342+'Intrants 2'!J340+'Futurs emballages'!J102+Fret!J643+Déplacements!J497+'Déchets directs'!J250+Immobilisations!J287+Utilisation!J146+'Fin de vie'!J277)/1000</f>
        <v>0</v>
      </c>
      <c r="K10" s="632">
        <f>SQRT('Energie 1'!K225^2+'Energie 2'!K225^2+'Hors énergie 1'!L122^2+'Hors énergie 2'!L122^2+'Intrants 1'!K342^2+'Intrants 2'!K340^2+'Futurs emballages'!K102^2+Fret!K643^2+Déplacements!K497^2+'Déchets directs'!L250^2+Immobilisations!K287^2+Utilisation!L146^2+'Fin de vie'!L277^2)/1000</f>
        <v>14.74906855465958</v>
      </c>
      <c r="L10" s="631">
        <f>('Energie 1'!L225+'Energie 2'!L225+'Hors énergie 1'!M122+'Hors énergie 2'!M122+'Intrants 1'!L342+'Intrants 2'!L340+'Futurs emballages'!L102+Fret!L643+Déplacements!L497+'Déchets directs'!M250+Immobilisations!L287+Utilisation!M146+'Fin de vie'!M277)/1000</f>
        <v>0</v>
      </c>
      <c r="M10" s="88">
        <v>1</v>
      </c>
      <c r="N10" s="631">
        <f t="shared" ref="N10:U14" si="0">IF($E$4="Oui",0,IF($E$5="Oui",0,E10*$M10))</f>
        <v>302.94259600000004</v>
      </c>
      <c r="O10" s="631">
        <f t="shared" si="0"/>
        <v>0.23429999999999998</v>
      </c>
      <c r="P10" s="631">
        <f t="shared" si="0"/>
        <v>1.577381916</v>
      </c>
      <c r="Q10" s="631">
        <f t="shared" si="0"/>
        <v>0</v>
      </c>
      <c r="R10" s="631">
        <f t="shared" si="0"/>
        <v>304.75427791599998</v>
      </c>
      <c r="S10" s="631">
        <f t="shared" si="0"/>
        <v>0</v>
      </c>
      <c r="T10" s="632">
        <f t="shared" si="0"/>
        <v>14.74906855465958</v>
      </c>
      <c r="U10" s="631">
        <f t="shared" si="0"/>
        <v>0</v>
      </c>
    </row>
    <row r="11" spans="2:21" ht="26.4">
      <c r="B11" s="2985"/>
      <c r="C11" s="83">
        <v>2</v>
      </c>
      <c r="D11" s="49" t="s">
        <v>460</v>
      </c>
      <c r="E11" s="631">
        <f ca="1">('Energie 1'!E226+'Energie 2'!E226+'Hors énergie 1'!E123+'Hors énergie 2'!E123+'Intrants 1'!E343+'Intrants 2'!E341+'Futurs emballages'!E103+Fret!E644+Déplacements!E498+'Déchets directs'!E251+Immobilisations!E288+Utilisation!E147+'Fin de vie'!E278)/1000</f>
        <v>0</v>
      </c>
      <c r="F11" s="631">
        <f ca="1">('Energie 1'!F226+'Energie 2'!F226+'Hors énergie 1'!F123+'Hors énergie 2'!F123+'Intrants 1'!F343+'Intrants 2'!F341+'Futurs emballages'!F103+Fret!F644+Déplacements!F498+'Déchets directs'!F251+Immobilisations!F288+Utilisation!F147+'Fin de vie'!F278)/1000</f>
        <v>0</v>
      </c>
      <c r="G11" s="631">
        <f ca="1">('Energie 1'!G226+'Energie 2'!G226+'Hors énergie 1'!G123+'Hors énergie 2'!G123+'Intrants 1'!G343+'Intrants 2'!G341+'Futurs emballages'!G103+Fret!G644+Déplacements!G498+'Déchets directs'!G251+Immobilisations!G288+Utilisation!G147+'Fin de vie'!G278)/1000</f>
        <v>0</v>
      </c>
      <c r="H11" s="631">
        <f ca="1">('Energie 1'!H226+'Energie 2'!H226+'Hors énergie 1'!H123+'Hors énergie 2'!H123+'Intrants 1'!H343+'Intrants 2'!H341+'Futurs emballages'!H103+Fret!H644+Déplacements!H498+'Déchets directs'!H251+Immobilisations!H288+Utilisation!H147+'Fin de vie'!H278)/1000</f>
        <v>0</v>
      </c>
      <c r="I11" s="631">
        <f ca="1">('Energie 1'!I226+'Energie 2'!I226+'Hors énergie 1'!I123+'Hors énergie 2'!I123+'Intrants 1'!I343+'Intrants 2'!I341+'Futurs emballages'!I103+Fret!I644+Déplacements!I498+'Déchets directs'!I251+Immobilisations!I288+Utilisation!I147+'Fin de vie'!I278)/1000</f>
        <v>0</v>
      </c>
      <c r="J11" s="631">
        <f ca="1">('Energie 1'!J226+'Energie 2'!J226+'Hors énergie 1'!J123+'Hors énergie 2'!J123+'Intrants 1'!J343+'Intrants 2'!J341+'Futurs emballages'!J103+Fret!J644+Déplacements!J498+'Déchets directs'!J251+Immobilisations!J288+Utilisation!J147+'Fin de vie'!J278)/1000</f>
        <v>0</v>
      </c>
      <c r="K11" s="632">
        <f>SQRT('Energie 1'!K226^2+'Energie 2'!K226^2+'Hors énergie 1'!L123^2+'Hors énergie 2'!L123^2+'Intrants 1'!K343^2+'Intrants 2'!K341^2+'Futurs emballages'!K103^2+Fret!K644^2+Déplacements!K498^2+'Déchets directs'!L251^2+Immobilisations!K288^2+Utilisation!L147^2+'Fin de vie'!L278^2)/1000</f>
        <v>0</v>
      </c>
      <c r="L11" s="631">
        <f>('Energie 1'!L226+'Energie 2'!L226+'Hors énergie 1'!M123+'Hors énergie 2'!M123+'Intrants 1'!L343+'Intrants 2'!L341+'Futurs emballages'!L103+Fret!L644+Déplacements!L498+'Déchets directs'!M251+Immobilisations!L288+Utilisation!LM47+'Fin de vie'!M278)/1000</f>
        <v>0</v>
      </c>
      <c r="M11" s="88">
        <v>1</v>
      </c>
      <c r="N11" s="631">
        <f t="shared" ca="1" si="0"/>
        <v>0</v>
      </c>
      <c r="O11" s="631">
        <f t="shared" ca="1" si="0"/>
        <v>0</v>
      </c>
      <c r="P11" s="631">
        <f t="shared" ca="1" si="0"/>
        <v>0</v>
      </c>
      <c r="Q11" s="631">
        <f t="shared" ca="1" si="0"/>
        <v>0</v>
      </c>
      <c r="R11" s="631">
        <f t="shared" ca="1" si="0"/>
        <v>0</v>
      </c>
      <c r="S11" s="631">
        <f t="shared" ca="1" si="0"/>
        <v>0</v>
      </c>
      <c r="T11" s="632">
        <f t="shared" si="0"/>
        <v>0</v>
      </c>
      <c r="U11" s="631">
        <f t="shared" si="0"/>
        <v>0</v>
      </c>
    </row>
    <row r="12" spans="2:21" ht="12.75" customHeight="1">
      <c r="B12" s="2985"/>
      <c r="C12" s="83">
        <v>3</v>
      </c>
      <c r="D12" s="49" t="s">
        <v>461</v>
      </c>
      <c r="E12" s="631">
        <f>('Energie 1'!E227+'Energie 2'!E227+'Hors énergie 1'!E124+'Hors énergie 2'!E124+'Intrants 1'!E344+'Intrants 2'!E342+'Futurs emballages'!E104+Fret!E645+Déplacements!E499+'Déchets directs'!E252+Immobilisations!E289+Utilisation!E148+'Fin de vie'!E279)/1000</f>
        <v>0</v>
      </c>
      <c r="F12" s="631">
        <f>('Energie 1'!F227+'Energie 2'!F227+'Hors énergie 1'!F124+'Hors énergie 2'!F124+'Intrants 1'!F344+'Intrants 2'!F342+'Futurs emballages'!F104+Fret!F645+Déplacements!F499+'Déchets directs'!F252+Immobilisations!F289+Utilisation!F148+'Fin de vie'!F279)/1000</f>
        <v>0</v>
      </c>
      <c r="G12" s="631">
        <f>('Energie 1'!G227+'Energie 2'!G227+'Hors énergie 1'!G124+'Hors énergie 2'!G124+'Intrants 1'!G344+'Intrants 2'!G342+'Futurs emballages'!G104+Fret!G645+Déplacements!G499+'Déchets directs'!G252+Immobilisations!G289+Utilisation!G148+'Fin de vie'!G279)/1000</f>
        <v>0</v>
      </c>
      <c r="H12" s="631">
        <f>('Energie 1'!H227+'Energie 2'!H227+'Hors énergie 1'!H124+'Hors énergie 2'!H124+'Intrants 1'!H344+'Intrants 2'!H342+'Futurs emballages'!H104+Fret!H645+Déplacements!H499+'Déchets directs'!H252+Immobilisations!H289+Utilisation!H148+'Fin de vie'!H279)/1000</f>
        <v>0</v>
      </c>
      <c r="I12" s="631">
        <f>('Energie 1'!I227+'Energie 2'!I227+'Hors énergie 1'!I124+'Hors énergie 2'!I124+'Intrants 1'!I344+'Intrants 2'!I342+'Futurs emballages'!I104+Fret!I645+Déplacements!I499+'Déchets directs'!I252+Immobilisations!I289+Utilisation!I148+'Fin de vie'!I279)/1000</f>
        <v>0</v>
      </c>
      <c r="J12" s="631">
        <f>('Energie 1'!J227+'Energie 2'!J227+'Hors énergie 1'!J124+'Hors énergie 2'!J124+'Intrants 1'!J344+'Intrants 2'!J342+'Futurs emballages'!J104+Fret!J645+Déplacements!J499+'Déchets directs'!J252+Immobilisations!J289+Utilisation!J148+'Fin de vie'!J279)/1000</f>
        <v>0</v>
      </c>
      <c r="K12" s="632">
        <f>SQRT('Energie 1'!K227^2+'Energie 2'!K227^2+'Hors énergie 1'!L124^2+'Hors énergie 2'!L124^2+'Intrants 1'!K344^2+'Intrants 2'!K342^2+'Futurs emballages'!K104^2+Fret!K645^2+Déplacements!K499^2+'Déchets directs'!L252^2+Immobilisations!K289^2+Utilisation!L148^2+'Fin de vie'!L279^2)/1000</f>
        <v>0</v>
      </c>
      <c r="L12" s="631">
        <f>('Energie 1'!L227+'Energie 2'!L227+'Hors énergie 1'!M124+'Hors énergie 2'!M124+'Intrants 1'!L344+'Intrants 2'!L342+'Futurs emballages'!L104+Fret!L645+Déplacements!L499+'Déchets directs'!M252+Immobilisations!L289+Utilisation!M148+'Fin de vie'!M279)/1000</f>
        <v>0</v>
      </c>
      <c r="M12" s="88">
        <v>1</v>
      </c>
      <c r="N12" s="631">
        <f t="shared" si="0"/>
        <v>0</v>
      </c>
      <c r="O12" s="631">
        <f t="shared" si="0"/>
        <v>0</v>
      </c>
      <c r="P12" s="631">
        <f t="shared" si="0"/>
        <v>0</v>
      </c>
      <c r="Q12" s="631">
        <f t="shared" si="0"/>
        <v>0</v>
      </c>
      <c r="R12" s="631">
        <f t="shared" si="0"/>
        <v>0</v>
      </c>
      <c r="S12" s="631">
        <f t="shared" si="0"/>
        <v>0</v>
      </c>
      <c r="T12" s="632">
        <f t="shared" si="0"/>
        <v>0</v>
      </c>
      <c r="U12" s="631">
        <f t="shared" si="0"/>
        <v>0</v>
      </c>
    </row>
    <row r="13" spans="2:21" ht="12.75" customHeight="1">
      <c r="B13" s="2985"/>
      <c r="C13" s="83">
        <v>4</v>
      </c>
      <c r="D13" s="49" t="s">
        <v>462</v>
      </c>
      <c r="E13" s="631">
        <f>('Energie 1'!E228+'Energie 2'!E228+'Hors énergie 1'!E125+'Hors énergie 2'!E125+'Intrants 1'!E345+'Intrants 2'!E343+'Futurs emballages'!E105+Fret!E646+Déplacements!E500+'Déchets directs'!E253+Immobilisations!E290+Utilisation!E149+'Fin de vie'!E280)/1000</f>
        <v>0</v>
      </c>
      <c r="F13" s="631">
        <f>('Energie 1'!F228+'Energie 2'!F228+'Hors énergie 1'!F125+'Hors énergie 2'!F125+'Intrants 1'!F345+'Intrants 2'!F343+'Futurs emballages'!F105+Fret!F646+Déplacements!F500+'Déchets directs'!F253+Immobilisations!F290+Utilisation!F149+'Fin de vie'!F280)/1000</f>
        <v>0</v>
      </c>
      <c r="G13" s="631">
        <f>('Energie 1'!G228+'Energie 2'!G228+'Hors énergie 1'!G125+'Hors énergie 2'!G125+'Intrants 1'!G345+'Intrants 2'!G343+'Futurs emballages'!G105+Fret!G646+Déplacements!G500+'Déchets directs'!G253+Immobilisations!G290+Utilisation!G149+'Fin de vie'!G280)/1000</f>
        <v>0</v>
      </c>
      <c r="H13" s="631">
        <f>('Energie 1'!H228+'Energie 2'!H228+'Hors énergie 1'!H125+'Hors énergie 2'!H125+'Intrants 1'!H345+'Intrants 2'!H343+'Futurs emballages'!H105+Fret!H646+Déplacements!H500+'Déchets directs'!H253+Immobilisations!H290+Utilisation!H149+'Fin de vie'!H280)/1000</f>
        <v>0.48599999999999999</v>
      </c>
      <c r="I13" s="631">
        <f>('Energie 1'!I228+'Energie 2'!I228+'Hors énergie 1'!I125+'Hors énergie 2'!I125+'Intrants 1'!I345+'Intrants 2'!I343+'Futurs emballages'!I105+Fret!I646+Déplacements!I500+'Déchets directs'!I253+Immobilisations!I290+Utilisation!I149+'Fin de vie'!I280)/1000</f>
        <v>0.48599999999999999</v>
      </c>
      <c r="J13" s="631">
        <f>('Energie 1'!J228+'Energie 2'!J228+'Hors énergie 1'!J125+'Hors énergie 2'!J125+'Intrants 1'!J345+'Intrants 2'!J343+'Futurs emballages'!J105+Fret!J646+Déplacements!J500+'Déchets directs'!J253+Immobilisations!J290+Utilisation!J149+'Fin de vie'!J280)/1000</f>
        <v>0</v>
      </c>
      <c r="K13" s="632">
        <f>SQRT('Energie 1'!K228^2+'Energie 2'!K228^2+'Hors énergie 1'!L125^2+'Hors énergie 2'!L125^2+'Intrants 1'!K345^2+'Intrants 2'!K343^2+'Futurs emballages'!K105^2+Fret!K646^2+Déplacements!K500^2+'Déchets directs'!L253^2+Immobilisations!K290^2+Utilisation!L149^2+'Fin de vie'!L280^2)/1000</f>
        <v>0.28338426208948159</v>
      </c>
      <c r="L13" s="631">
        <f>('Energie 1'!L228+'Energie 2'!L228+'Hors énergie 1'!M125+'Hors énergie 2'!M125+'Intrants 1'!L345+'Intrants 2'!L343+'Futurs emballages'!L105+Fret!L646+Déplacements!L500+'Déchets directs'!M253+Immobilisations!L290+Utilisation!M149+'Fin de vie'!M280)/1000</f>
        <v>0</v>
      </c>
      <c r="M13" s="88">
        <v>1</v>
      </c>
      <c r="N13" s="631">
        <f t="shared" si="0"/>
        <v>0</v>
      </c>
      <c r="O13" s="631">
        <f t="shared" si="0"/>
        <v>0</v>
      </c>
      <c r="P13" s="631">
        <f t="shared" si="0"/>
        <v>0</v>
      </c>
      <c r="Q13" s="631">
        <f t="shared" si="0"/>
        <v>0.48599999999999999</v>
      </c>
      <c r="R13" s="631">
        <f t="shared" si="0"/>
        <v>0.48599999999999999</v>
      </c>
      <c r="S13" s="631">
        <f t="shared" si="0"/>
        <v>0</v>
      </c>
      <c r="T13" s="632">
        <f t="shared" si="0"/>
        <v>0.28338426208948159</v>
      </c>
      <c r="U13" s="631">
        <f t="shared" si="0"/>
        <v>0</v>
      </c>
    </row>
    <row r="14" spans="2:21" ht="12.75" customHeight="1">
      <c r="B14" s="2985"/>
      <c r="C14" s="83">
        <v>5</v>
      </c>
      <c r="D14" s="49" t="s">
        <v>463</v>
      </c>
      <c r="E14" s="832"/>
      <c r="F14" s="833"/>
      <c r="G14" s="833"/>
      <c r="H14" s="833"/>
      <c r="I14" s="833"/>
      <c r="J14" s="833"/>
      <c r="K14" s="832"/>
      <c r="L14" s="833"/>
      <c r="M14" s="88">
        <v>1</v>
      </c>
      <c r="N14" s="631">
        <f t="shared" si="0"/>
        <v>0</v>
      </c>
      <c r="O14" s="631">
        <f t="shared" si="0"/>
        <v>0</v>
      </c>
      <c r="P14" s="631">
        <f t="shared" si="0"/>
        <v>0</v>
      </c>
      <c r="Q14" s="631">
        <f t="shared" si="0"/>
        <v>0</v>
      </c>
      <c r="R14" s="631">
        <f t="shared" si="0"/>
        <v>0</v>
      </c>
      <c r="S14" s="631">
        <f t="shared" si="0"/>
        <v>0</v>
      </c>
      <c r="T14" s="632">
        <f t="shared" si="0"/>
        <v>0</v>
      </c>
      <c r="U14" s="631">
        <f t="shared" si="0"/>
        <v>0</v>
      </c>
    </row>
    <row r="15" spans="2:21" ht="12.75" customHeight="1">
      <c r="B15" s="2986"/>
      <c r="C15" s="2682" t="s">
        <v>439</v>
      </c>
      <c r="D15" s="2683"/>
      <c r="E15" s="634">
        <f ca="1">SUM(E10:E14)</f>
        <v>302.94259600000004</v>
      </c>
      <c r="F15" s="634">
        <f t="shared" ref="F15:L15" ca="1" si="1">SUM(F10:F14)</f>
        <v>0.23429999999999998</v>
      </c>
      <c r="G15" s="634">
        <f t="shared" ca="1" si="1"/>
        <v>1.577381916</v>
      </c>
      <c r="H15" s="634">
        <f t="shared" ca="1" si="1"/>
        <v>0.48599999999999999</v>
      </c>
      <c r="I15" s="634">
        <f t="shared" ca="1" si="1"/>
        <v>305.24027791599997</v>
      </c>
      <c r="J15" s="634">
        <f ca="1">SUM(J10:J14)</f>
        <v>0</v>
      </c>
      <c r="K15" s="635">
        <f>SQRT(SUMSQ(K10:K14))</f>
        <v>14.751790734349781</v>
      </c>
      <c r="L15" s="636">
        <f t="shared" si="1"/>
        <v>0</v>
      </c>
      <c r="M15" s="84"/>
      <c r="N15" s="634">
        <f ca="1">SUM(N10:N14)</f>
        <v>302.94259600000004</v>
      </c>
      <c r="O15" s="634">
        <f t="shared" ref="O15:U15" ca="1" si="2">SUM(O10:O14)</f>
        <v>0.23429999999999998</v>
      </c>
      <c r="P15" s="634">
        <f t="shared" ca="1" si="2"/>
        <v>1.577381916</v>
      </c>
      <c r="Q15" s="634">
        <f t="shared" ca="1" si="2"/>
        <v>0.48599999999999999</v>
      </c>
      <c r="R15" s="634">
        <f t="shared" ca="1" si="2"/>
        <v>305.24027791599997</v>
      </c>
      <c r="S15" s="634">
        <f ca="1">SUM(S10:S14)</f>
        <v>0</v>
      </c>
      <c r="T15" s="635">
        <f>SQRT(SUMSQ(T10:T14))</f>
        <v>14.751790734349781</v>
      </c>
      <c r="U15" s="636">
        <f t="shared" si="2"/>
        <v>0</v>
      </c>
    </row>
    <row r="16" spans="2:21" ht="15" customHeight="1">
      <c r="B16" s="2987" t="s">
        <v>482</v>
      </c>
      <c r="C16" s="85">
        <v>6</v>
      </c>
      <c r="D16" s="50" t="s">
        <v>464</v>
      </c>
      <c r="E16" s="916">
        <f>('Energie 1'!E231+'Energie 2'!E231+'Hors énergie 1'!E128+'Hors énergie 2'!E128+'Intrants 1'!E348+'Intrants 2'!E346+'Futurs emballages'!E108+Fret!E649+Déplacements!E503+'Déchets directs'!E256+Immobilisations!E293+Utilisation!E152+'Fin de vie'!E283)/1000</f>
        <v>19.289968500000001</v>
      </c>
      <c r="F16" s="916">
        <f>('Energie 1'!F231+'Energie 2'!F231+'Hors énergie 1'!F128+'Hors énergie 2'!F128+'Intrants 1'!F348+'Intrants 2'!F346+'Futurs emballages'!F108+Fret!F649+Déplacements!F503+'Déchets directs'!F256+Immobilisations!F293+Utilisation!F152+'Fin de vie'!F283)/1000</f>
        <v>0</v>
      </c>
      <c r="G16" s="916">
        <f>('Energie 1'!G231+'Energie 2'!G231+'Hors énergie 1'!G128+'Hors énergie 2'!G128+'Intrants 1'!G348+'Intrants 2'!G346+'Futurs emballages'!G108+Fret!G649+Déplacements!G503+'Déchets directs'!G256+Immobilisations!G293+Utilisation!G152+'Fin de vie'!G283)/1000</f>
        <v>0</v>
      </c>
      <c r="H16" s="916">
        <f>('Energie 1'!H231+'Energie 2'!H231+'Hors énergie 1'!H128+'Hors énergie 2'!H128+'Intrants 1'!H348+'Intrants 2'!H346+'Futurs emballages'!H108+Fret!H649+Déplacements!H503+'Déchets directs'!H256+Immobilisations!H293+Utilisation!H152+'Fin de vie'!H283)/1000</f>
        <v>0</v>
      </c>
      <c r="I16" s="639">
        <f>('Energie 1'!I231+'Energie 2'!I231+'Hors énergie 1'!I128+'Hors énergie 2'!I128+'Intrants 1'!I348+'Intrants 2'!I346+'Futurs emballages'!I108+Fret!I649+Déplacements!I503+'Déchets directs'!I256+Immobilisations!I293+Utilisation!I152+'Fin de vie'!I283)/1000</f>
        <v>19.289968500000001</v>
      </c>
      <c r="J16" s="916">
        <f>('Energie 1'!J231+'Energie 2'!J231+'Hors énergie 1'!J128+'Hors énergie 2'!J128+'Intrants 1'!J348+'Intrants 2'!J346+'Futurs emballages'!J108+Fret!J649+Déplacements!J503+'Déchets directs'!J256+Immobilisations!J293+Utilisation!J152+'Fin de vie'!J283)/1000</f>
        <v>0</v>
      </c>
      <c r="K16" s="632">
        <f>SQRT('Energie 1'!K231^2+'Energie 2'!K231^2+'Hors énergie 1'!L128^2+'Hors énergie 2'!L128^2+'Intrants 1'!K348^2+'Intrants 2'!K346^2+'Futurs emballages'!K108^2+Fret!K649^2+Déplacements!K503^2+'Déchets directs'!L256^2+Immobilisations!K293^2+Utilisation!L152^2+'Fin de vie'!L283^2)/1000</f>
        <v>1.9289968500000001</v>
      </c>
      <c r="L16" s="638">
        <f>('Energie 1'!L231+'Energie 2'!L231+'Hors énergie 1'!M128+'Hors énergie 2'!M128+'Intrants 1'!L348+'Intrants 2'!L346+'Futurs emballages'!L108+Fret!L649+Déplacements!L503+'Déchets directs'!M256+Immobilisations!L293+Utilisation!M152+'Fin de vie'!M283)/1000</f>
        <v>0</v>
      </c>
      <c r="M16" s="88">
        <v>1</v>
      </c>
      <c r="N16" s="916">
        <f t="shared" ref="N16:U17" si="3">IF($E$4="Oui",0,IF($E$5="Oui",0,E16*$M16))</f>
        <v>19.289968500000001</v>
      </c>
      <c r="O16" s="916">
        <f t="shared" si="3"/>
        <v>0</v>
      </c>
      <c r="P16" s="916">
        <f t="shared" si="3"/>
        <v>0</v>
      </c>
      <c r="Q16" s="916">
        <f t="shared" si="3"/>
        <v>0</v>
      </c>
      <c r="R16" s="637">
        <f t="shared" si="3"/>
        <v>19.289968500000001</v>
      </c>
      <c r="S16" s="916">
        <f t="shared" si="3"/>
        <v>0</v>
      </c>
      <c r="T16" s="632">
        <f t="shared" si="3"/>
        <v>1.9289968500000001</v>
      </c>
      <c r="U16" s="916">
        <f t="shared" si="3"/>
        <v>0</v>
      </c>
    </row>
    <row r="17" spans="2:21" ht="12.75" customHeight="1">
      <c r="B17" s="2988"/>
      <c r="C17" s="85">
        <v>7</v>
      </c>
      <c r="D17" s="874" t="s">
        <v>465</v>
      </c>
      <c r="E17" s="916">
        <f>('Energie 1'!E232+'Energie 2'!E232+'Hors énergie 1'!E129+'Hors énergie 2'!E129+'Intrants 1'!E349+'Intrants 2'!E347+'Futurs emballages'!E109+Fret!E650+Déplacements!E504+'Déchets directs'!E257+Immobilisations!E294+Utilisation!E153+'Fin de vie'!E284)/1000</f>
        <v>0</v>
      </c>
      <c r="F17" s="916">
        <f>('Energie 1'!F232+'Energie 2'!F232+'Hors énergie 1'!F129+'Hors énergie 2'!F129+'Intrants 1'!F349+'Intrants 2'!F347+'Futurs emballages'!F109+Fret!F650+Déplacements!F504+'Déchets directs'!F257+Immobilisations!F294+Utilisation!F153+'Fin de vie'!F284)/1000</f>
        <v>0</v>
      </c>
      <c r="G17" s="916">
        <f>('Energie 1'!G232+'Energie 2'!G232+'Hors énergie 1'!G129+'Hors énergie 2'!G129+'Intrants 1'!G349+'Intrants 2'!G347+'Futurs emballages'!G109+Fret!G650+Déplacements!G504+'Déchets directs'!G257+Immobilisations!G294+Utilisation!G153+'Fin de vie'!G284)/1000</f>
        <v>0</v>
      </c>
      <c r="H17" s="916">
        <f>('Energie 1'!H232+'Energie 2'!H232+'Hors énergie 1'!H129+'Hors énergie 2'!H129+'Intrants 1'!H349+'Intrants 2'!H347+'Futurs emballages'!H109+Fret!H650+Déplacements!H504+'Déchets directs'!H257+Immobilisations!H294+Utilisation!H153+'Fin de vie'!H284)/1000</f>
        <v>0</v>
      </c>
      <c r="I17" s="639">
        <f>('Energie 1'!I232+'Energie 2'!I232+'Hors énergie 1'!I129+'Hors énergie 2'!I129+'Intrants 1'!I349+'Intrants 2'!I347+'Futurs emballages'!I109+Fret!I650+Déplacements!I504+'Déchets directs'!I257+Immobilisations!I294+Utilisation!I153+'Fin de vie'!I284)/1000</f>
        <v>0</v>
      </c>
      <c r="J17" s="916">
        <f>('Energie 1'!J232+'Energie 2'!J232+'Hors énergie 1'!J129+'Hors énergie 2'!J129+'Intrants 1'!J349+'Intrants 2'!J347+'Futurs emballages'!J109+Fret!J650+Déplacements!J504+'Déchets directs'!J257+Immobilisations!J294+Utilisation!J153+'Fin de vie'!J284)/1000</f>
        <v>0</v>
      </c>
      <c r="K17" s="632">
        <f>SQRT('Energie 1'!K232^2+'Energie 2'!K232^2+'Hors énergie 1'!L129^2+'Hors énergie 2'!L129^2+'Intrants 1'!K349^2+'Intrants 2'!K347^2+'Futurs emballages'!K109^2+Fret!K650^2+Déplacements!K504^2+'Déchets directs'!L257^2+Immobilisations!K294^2+Utilisation!L153^2+'Fin de vie'!L284^2)/1000</f>
        <v>0</v>
      </c>
      <c r="L17" s="638">
        <f>('Energie 1'!L232+'Energie 2'!L232+'Hors énergie 1'!M129+'Hors énergie 2'!M129+'Intrants 1'!L349+'Intrants 2'!L347+'Futurs emballages'!L109+Fret!L650+Déplacements!L504+'Déchets directs'!M257+Immobilisations!L294+Utilisation!M153+'Fin de vie'!M284)/1000</f>
        <v>0</v>
      </c>
      <c r="M17" s="88">
        <v>1</v>
      </c>
      <c r="N17" s="916">
        <f t="shared" si="3"/>
        <v>0</v>
      </c>
      <c r="O17" s="916">
        <f t="shared" si="3"/>
        <v>0</v>
      </c>
      <c r="P17" s="916">
        <f t="shared" si="3"/>
        <v>0</v>
      </c>
      <c r="Q17" s="916">
        <f t="shared" si="3"/>
        <v>0</v>
      </c>
      <c r="R17" s="637">
        <f t="shared" si="3"/>
        <v>0</v>
      </c>
      <c r="S17" s="916">
        <f t="shared" si="3"/>
        <v>0</v>
      </c>
      <c r="T17" s="632">
        <f t="shared" si="3"/>
        <v>0</v>
      </c>
      <c r="U17" s="916">
        <f t="shared" si="3"/>
        <v>0</v>
      </c>
    </row>
    <row r="18" spans="2:21" ht="12.75" customHeight="1">
      <c r="B18" s="2989"/>
      <c r="C18" s="2696" t="s">
        <v>439</v>
      </c>
      <c r="D18" s="2697"/>
      <c r="E18" s="917">
        <f t="shared" ref="E18:L18" si="4">SUM(E16:E17)</f>
        <v>19.289968500000001</v>
      </c>
      <c r="F18" s="917">
        <f t="shared" si="4"/>
        <v>0</v>
      </c>
      <c r="G18" s="917">
        <f t="shared" si="4"/>
        <v>0</v>
      </c>
      <c r="H18" s="917">
        <f t="shared" si="4"/>
        <v>0</v>
      </c>
      <c r="I18" s="639">
        <f t="shared" si="4"/>
        <v>19.289968500000001</v>
      </c>
      <c r="J18" s="917">
        <f>SUM(J16:J17)</f>
        <v>0</v>
      </c>
      <c r="K18" s="635">
        <f>SQRT(SUMSQ(K16:K17))</f>
        <v>1.9289968500000001</v>
      </c>
      <c r="L18" s="640">
        <f t="shared" si="4"/>
        <v>0</v>
      </c>
      <c r="M18" s="84"/>
      <c r="N18" s="917">
        <f t="shared" ref="N18:U18" si="5">SUM(N16:N17)</f>
        <v>19.289968500000001</v>
      </c>
      <c r="O18" s="917">
        <f t="shared" si="5"/>
        <v>0</v>
      </c>
      <c r="P18" s="917">
        <f t="shared" si="5"/>
        <v>0</v>
      </c>
      <c r="Q18" s="917">
        <f t="shared" si="5"/>
        <v>0</v>
      </c>
      <c r="R18" s="639">
        <f>SUM(R16:R17)</f>
        <v>19.289968500000001</v>
      </c>
      <c r="S18" s="917">
        <f>SUM(S16:S17)</f>
        <v>0</v>
      </c>
      <c r="T18" s="635">
        <f>SQRT(SUMSQ(T16:T17))</f>
        <v>1.9289968500000001</v>
      </c>
      <c r="U18" s="640">
        <f t="shared" si="5"/>
        <v>0</v>
      </c>
    </row>
    <row r="19" spans="2:21" ht="15" customHeight="1">
      <c r="B19" s="2969" t="s">
        <v>481</v>
      </c>
      <c r="C19" s="86">
        <v>8</v>
      </c>
      <c r="D19" s="51" t="s">
        <v>466</v>
      </c>
      <c r="E19" s="918">
        <f ca="1">('Energie 1'!E234+'Energie 2'!E234+'Hors énergie 1'!E131+'Hors énergie 2'!E131+'Intrants 1'!E351+'Intrants 2'!E349+'Futurs emballages'!E111+Fret!E652+Déplacements!E506+'Déchets directs'!E259+Immobilisations!E296+Utilisation!E155+'Fin de vie'!E286)/1000</f>
        <v>67.500735599999999</v>
      </c>
      <c r="F19" s="918">
        <f ca="1">('Energie 1'!F234+'Energie 2'!F234+'Hors énergie 1'!F131+'Hors énergie 2'!F131+'Intrants 1'!F351+'Intrants 2'!F349+'Futurs emballages'!F111+Fret!F652+Déplacements!F506+'Déchets directs'!F259+Immobilisations!F296+Utilisation!F155+'Fin de vie'!F286)/1000</f>
        <v>5.8653745920000002</v>
      </c>
      <c r="G19" s="918">
        <f ca="1">('Energie 1'!G234+'Energie 2'!G234+'Hors énergie 1'!G131+'Hors énergie 2'!G131+'Intrants 1'!G351+'Intrants 2'!G349+'Futurs emballages'!G111+Fret!G652+Déplacements!G506+'Déchets directs'!G259+Immobilisations!G296+Utilisation!G155+'Fin de vie'!G286)/1000</f>
        <v>1.465662E-2</v>
      </c>
      <c r="H19" s="918">
        <f ca="1">('Energie 1'!H234+'Energie 2'!H234+'Hors énergie 1'!H131+'Hors énergie 2'!H131+'Intrants 1'!H351+'Intrants 2'!H349+'Futurs emballages'!H111+Fret!H652+Déplacements!H506+'Déchets directs'!H259+Immobilisations!H296+Utilisation!H155+'Fin de vie'!H286)/1000</f>
        <v>0.68028840000000002</v>
      </c>
      <c r="I19" s="814">
        <f ca="1">('Energie 1'!I234+'Energie 2'!I234+'Hors énergie 1'!I131+'Hors énergie 2'!I131+'Intrants 1'!I351+'Intrants 2'!I349+'Futurs emballages'!I111+Fret!I652+Déplacements!I506+'Déchets directs'!I259+Immobilisations!I296+Utilisation!I155+'Fin de vie'!I286)/1000</f>
        <v>74.061055211999985</v>
      </c>
      <c r="J19" s="918">
        <f ca="1">('Energie 1'!J234+'Energie 2'!J234+'Hors énergie 1'!J131+'Hors énergie 2'!J131+'Intrants 1'!J351+'Intrants 2'!J349+'Futurs emballages'!J111+Fret!J652+Déplacements!J506+'Déchets directs'!J259+Immobilisations!J296+Utilisation!J155+'Fin de vie'!J286)/1000</f>
        <v>0</v>
      </c>
      <c r="K19" s="632">
        <f>SQRT('Energie 1'!K234^2+'Energie 2'!K234^2+'Hors énergie 1'!L131^2+'Hors énergie 2'!L131^2+'Intrants 1'!K351^2+'Intrants 2'!K349^2+'Futurs emballages'!K111^2+Fret!K652^2+Déplacements!K506^2+'Déchets directs'!L259^2+Immobilisations!K296^2+Utilisation!L155^2+'Fin de vie'!L286^2)/1000</f>
        <v>3.2149156058606336</v>
      </c>
      <c r="L19" s="814">
        <f>('Energie 1'!L234+'Energie 2'!L234+'Hors énergie 1'!M131+'Hors énergie 2'!M131+'Intrants 1'!L351+'Intrants 2'!L349+'Futurs emballages'!L111+Fret!L652+Déplacements!L506+'Déchets directs'!M259+Immobilisations!L296+Utilisation!M155+'Fin de vie'!M286)/1000</f>
        <v>0</v>
      </c>
      <c r="M19" s="88">
        <v>1</v>
      </c>
      <c r="N19" s="918">
        <f t="shared" ref="N19:U19" ca="1" si="6">IF($E$4="Oui",0,IF($E$5="Oui",0,E19*$M19))</f>
        <v>67.500735599999999</v>
      </c>
      <c r="O19" s="918">
        <f t="shared" ca="1" si="6"/>
        <v>5.8653745920000002</v>
      </c>
      <c r="P19" s="918">
        <f t="shared" ca="1" si="6"/>
        <v>1.465662E-2</v>
      </c>
      <c r="Q19" s="918">
        <f t="shared" ca="1" si="6"/>
        <v>0.68028840000000002</v>
      </c>
      <c r="R19" s="801">
        <f t="shared" ca="1" si="6"/>
        <v>74.061055211999985</v>
      </c>
      <c r="S19" s="918">
        <f t="shared" ca="1" si="6"/>
        <v>0</v>
      </c>
      <c r="T19" s="632">
        <f t="shared" si="6"/>
        <v>3.2149156058606336</v>
      </c>
      <c r="U19" s="918">
        <f t="shared" si="6"/>
        <v>0</v>
      </c>
    </row>
    <row r="20" spans="2:21" ht="12.75" customHeight="1">
      <c r="B20" s="2970"/>
      <c r="C20" s="86">
        <v>9</v>
      </c>
      <c r="D20" s="51" t="s">
        <v>467</v>
      </c>
      <c r="E20" s="918">
        <f>('Energie 1'!E235+'Energie 2'!E235+'Hors énergie 1'!E132+'Hors énergie 2'!E132+'Intrants 1'!E352+'Intrants 2'!E350+'Futurs emballages'!E112+Fret!E653+Déplacements!E507+'Déchets directs'!E260+Immobilisations!E297+Utilisation!E156+'Fin de vie'!E287)/1000</f>
        <v>2816.2550000000001</v>
      </c>
      <c r="F20" s="918">
        <f>('Energie 1'!F235+'Energie 2'!F235+'Hors énergie 1'!F132+'Hors énergie 2'!F132+'Intrants 1'!F352+'Intrants 2'!F350+'Futurs emballages'!F112+Fret!F653+Déplacements!F507+'Déchets directs'!F260+Immobilisations!F297+Utilisation!F156+'Fin de vie'!F287)/1000</f>
        <v>0</v>
      </c>
      <c r="G20" s="918">
        <f>('Energie 1'!G235+'Energie 2'!G235+'Hors énergie 1'!G132+'Hors énergie 2'!G132+'Intrants 1'!G352+'Intrants 2'!G350+'Futurs emballages'!G112+Fret!G653+Déplacements!G507+'Déchets directs'!G260+Immobilisations!G297+Utilisation!G156+'Fin de vie'!G287)/1000</f>
        <v>0</v>
      </c>
      <c r="H20" s="918">
        <f>('Energie 1'!H235+'Energie 2'!H235+'Hors énergie 1'!H132+'Hors énergie 2'!H132+'Intrants 1'!H352+'Intrants 2'!H350+'Futurs emballages'!H112+Fret!H653+Déplacements!H507+'Déchets directs'!H260+Immobilisations!H297+Utilisation!H156+'Fin de vie'!H287)/1000</f>
        <v>0</v>
      </c>
      <c r="I20" s="814">
        <f>('Energie 1'!I235+'Energie 2'!I235+'Hors énergie 1'!I132+'Hors énergie 2'!I132+'Intrants 1'!I352+'Intrants 2'!I350+'Futurs emballages'!I112+Fret!I653+Déplacements!I507+'Déchets directs'!I260+Immobilisations!I297+Utilisation!I156+'Fin de vie'!I287)/1000</f>
        <v>2816.2550000000001</v>
      </c>
      <c r="J20" s="918">
        <f>('Energie 1'!J235+'Energie 2'!J235+'Hors énergie 1'!J132+'Hors énergie 2'!J132+'Intrants 1'!J352+'Intrants 2'!J350+'Futurs emballages'!J112+Fret!J653+Déplacements!J507+'Déchets directs'!J260+Immobilisations!J297+Utilisation!J156+'Fin de vie'!J287)/1000</f>
        <v>0</v>
      </c>
      <c r="K20" s="632">
        <f>SQRT('Energie 1'!K235^2+'Energie 2'!K235^2+'Hors énergie 1'!L132^2+'Hors énergie 2'!L132^2+'Intrants 1'!K352^2+'Intrants 2'!K350^2+'Futurs emballages'!K112^2+Fret!K653^2+Déplacements!K507^2+'Déchets directs'!L260^2+Immobilisations!K297^2+Utilisation!L156^2+'Fin de vie'!L287^2)/1000</f>
        <v>385.61330974662957</v>
      </c>
      <c r="L20" s="814">
        <f>('Energie 1'!L235+'Energie 2'!L235+'Hors énergie 1'!M132+'Hors énergie 2'!M132+'Intrants 1'!L352+'Intrants 2'!L350+'Futurs emballages'!L112+Fret!L653+Déplacements!L507+'Déchets directs'!M260+Immobilisations!L297+Utilisation!M156+'Fin de vie'!M287)/1000</f>
        <v>0</v>
      </c>
      <c r="M20" s="88">
        <v>1</v>
      </c>
      <c r="N20" s="918">
        <f t="shared" ref="N20:U20" si="7">IF($E$4="Oui",0,IF($E$5="Oui",SUMPRODUCT(E10:E14,$M10:$M14)+SUMPRODUCT(E16:E17,$M16:$M17),E20*$M20))</f>
        <v>2816.2550000000001</v>
      </c>
      <c r="O20" s="918">
        <f t="shared" si="7"/>
        <v>0</v>
      </c>
      <c r="P20" s="918">
        <f t="shared" si="7"/>
        <v>0</v>
      </c>
      <c r="Q20" s="918">
        <f t="shared" si="7"/>
        <v>0</v>
      </c>
      <c r="R20" s="801">
        <f t="shared" si="7"/>
        <v>2816.2550000000001</v>
      </c>
      <c r="S20" s="918">
        <f t="shared" si="7"/>
        <v>0</v>
      </c>
      <c r="T20" s="632">
        <f t="shared" si="7"/>
        <v>385.61330974662957</v>
      </c>
      <c r="U20" s="918">
        <f t="shared" si="7"/>
        <v>0</v>
      </c>
    </row>
    <row r="21" spans="2:21">
      <c r="B21" s="2970"/>
      <c r="C21" s="86">
        <v>10</v>
      </c>
      <c r="D21" s="51" t="s">
        <v>468</v>
      </c>
      <c r="E21" s="918">
        <f>('Energie 1'!E236+'Energie 2'!E236+'Hors énergie 1'!E133+'Hors énergie 2'!E133+'Intrants 1'!E353+'Intrants 2'!E351+'Futurs emballages'!E113+Fret!E654+Déplacements!E508+'Déchets directs'!E261+Immobilisations!E298+Utilisation!E157+'Fin de vie'!E288)/1000</f>
        <v>43.928386666666668</v>
      </c>
      <c r="F21" s="918">
        <f>('Energie 1'!F236+'Energie 2'!F236+'Hors énergie 1'!F133+'Hors énergie 2'!F133+'Intrants 1'!F353+'Intrants 2'!F351+'Futurs emballages'!F113+Fret!F654+Déplacements!F508+'Déchets directs'!F261+Immobilisations!F298+Utilisation!F157+'Fin de vie'!F288)/1000</f>
        <v>0</v>
      </c>
      <c r="G21" s="918">
        <f>('Energie 1'!G236+'Energie 2'!G236+'Hors énergie 1'!G133+'Hors énergie 2'!G133+'Intrants 1'!G353+'Intrants 2'!G351+'Futurs emballages'!G113+Fret!G654+Déplacements!G508+'Déchets directs'!G261+Immobilisations!G298+Utilisation!G157+'Fin de vie'!G288)/1000</f>
        <v>0</v>
      </c>
      <c r="H21" s="918">
        <f>('Energie 1'!H236+'Energie 2'!H236+'Hors énergie 1'!H133+'Hors énergie 2'!H133+'Intrants 1'!H353+'Intrants 2'!H351+'Futurs emballages'!H113+Fret!H654+Déplacements!H508+'Déchets directs'!H261+Immobilisations!H298+Utilisation!H157+'Fin de vie'!H288)/1000</f>
        <v>0</v>
      </c>
      <c r="I21" s="814">
        <f>('Energie 1'!I236+'Energie 2'!I236+'Hors énergie 1'!I133+'Hors énergie 2'!I133+'Intrants 1'!I353+'Intrants 2'!I351+'Futurs emballages'!I113+Fret!I654+Déplacements!I508+'Déchets directs'!I261+Immobilisations!I298+Utilisation!I157+'Fin de vie'!I288)/1000</f>
        <v>43.928386666666668</v>
      </c>
      <c r="J21" s="918">
        <f>('Energie 1'!J236+'Energie 2'!J236+'Hors énergie 1'!J133+'Hors énergie 2'!J133+'Intrants 1'!J353+'Intrants 2'!J351+'Futurs emballages'!J113+Fret!J654+Déplacements!J508+'Déchets directs'!J261+Immobilisations!J298+Utilisation!J157+'Fin de vie'!J288)/1000</f>
        <v>0</v>
      </c>
      <c r="K21" s="632">
        <f>SQRT('Energie 1'!K236^2+'Energie 2'!K236^2+'Hors énergie 1'!L133^2+'Hors énergie 2'!L133^2+'Intrants 1'!K353^2+'Intrants 2'!K351^2+'Futurs emballages'!K113^2+Fret!K654^2+Déplacements!K508^2+'Déchets directs'!L261^2+Immobilisations!K298^2+Utilisation!L157^2+'Fin de vie'!L288^2)/1000</f>
        <v>12.133395140725817</v>
      </c>
      <c r="L21" s="814">
        <f>('Energie 1'!L236+'Energie 2'!L236+'Hors énergie 1'!M133+'Hors énergie 2'!M133+'Intrants 1'!L353+'Intrants 2'!L351+'Futurs emballages'!L113+Fret!L654+Déplacements!L508+'Déchets directs'!M261+Immobilisations!L298+Utilisation!M157+'Fin de vie'!M288)/1000</f>
        <v>0</v>
      </c>
      <c r="M21" s="88">
        <v>1</v>
      </c>
      <c r="N21" s="918">
        <f t="shared" ref="N21:N30" si="8">IF($E$4="Oui",0,IF($E$5="Oui",0,E21*$M21))</f>
        <v>43.928386666666668</v>
      </c>
      <c r="O21" s="918">
        <f t="shared" ref="O21:O30" si="9">IF($E$4="Oui",0,IF($E$5="Oui",0,F21*$M21))</f>
        <v>0</v>
      </c>
      <c r="P21" s="918">
        <f t="shared" ref="P21:P30" si="10">IF($E$4="Oui",0,IF($E$5="Oui",0,G21*$M21))</f>
        <v>0</v>
      </c>
      <c r="Q21" s="918">
        <f t="shared" ref="Q21:Q30" si="11">IF($E$4="Oui",0,IF($E$5="Oui",0,H21*$M21))</f>
        <v>0</v>
      </c>
      <c r="R21" s="801">
        <f t="shared" ref="R21:R30" si="12">IF($E$4="Oui",0,IF($E$5="Oui",0,I21*$M21))</f>
        <v>43.928386666666668</v>
      </c>
      <c r="S21" s="918">
        <f t="shared" ref="S21:S30" si="13">IF($E$4="Oui",0,IF($E$5="Oui",0,J21*$M21))</f>
        <v>0</v>
      </c>
      <c r="T21" s="632">
        <f t="shared" ref="T21:T30" si="14">IF($E$4="Oui",0,IF($E$5="Oui",0,K21*$M21))</f>
        <v>12.133395140725817</v>
      </c>
      <c r="U21" s="918">
        <f t="shared" ref="U21:U30" si="15">IF($E$4="Oui",0,IF($E$5="Oui",0,L21*$M21))</f>
        <v>0</v>
      </c>
    </row>
    <row r="22" spans="2:21">
      <c r="B22" s="2970"/>
      <c r="C22" s="86">
        <v>11</v>
      </c>
      <c r="D22" s="51" t="s">
        <v>386</v>
      </c>
      <c r="E22" s="918">
        <f>('Energie 1'!E237+'Energie 2'!E237+'Hors énergie 1'!E134+'Hors énergie 2'!E134+'Intrants 1'!E354+'Intrants 2'!E352+'Futurs emballages'!E114+Fret!E655+Déplacements!E509+'Déchets directs'!E262+Immobilisations!E299+Utilisation!E158+'Fin de vie'!E289)/1000</f>
        <v>39.17</v>
      </c>
      <c r="F22" s="918">
        <f>('Energie 1'!F237+'Energie 2'!F237+'Hors énergie 1'!F134+'Hors énergie 2'!F134+'Intrants 1'!F354+'Intrants 2'!F352+'Futurs emballages'!F114+Fret!F655+Déplacements!F509+'Déchets directs'!F262+Immobilisations!F299+Utilisation!F158+'Fin de vie'!F289)/1000</f>
        <v>0</v>
      </c>
      <c r="G22" s="918">
        <f>('Energie 1'!G237+'Energie 2'!G237+'Hors énergie 1'!G134+'Hors énergie 2'!G134+'Intrants 1'!G354+'Intrants 2'!G352+'Futurs emballages'!G114+Fret!G655+Déplacements!G509+'Déchets directs'!G262+Immobilisations!G299+Utilisation!G158+'Fin de vie'!G289)/1000</f>
        <v>0</v>
      </c>
      <c r="H22" s="918">
        <f>('Energie 1'!H237+'Energie 2'!H237+'Hors énergie 1'!H134+'Hors énergie 2'!H134+'Intrants 1'!H354+'Intrants 2'!H352+'Futurs emballages'!H114+Fret!H655+Déplacements!H509+'Déchets directs'!H262+Immobilisations!H299+Utilisation!H158+'Fin de vie'!H289)/1000</f>
        <v>0</v>
      </c>
      <c r="I22" s="814">
        <f>('Energie 1'!I237+'Energie 2'!I237+'Hors énergie 1'!I134+'Hors énergie 2'!I134+'Intrants 1'!I354+'Intrants 2'!I352+'Futurs emballages'!I114+Fret!I655+Déplacements!I509+'Déchets directs'!I262+Immobilisations!I299+Utilisation!I158+'Fin de vie'!I289)/1000</f>
        <v>39.17</v>
      </c>
      <c r="J22" s="918">
        <f>('Energie 1'!J237+'Energie 2'!J237+'Hors énergie 1'!J134+'Hors énergie 2'!J134+'Intrants 1'!J354+'Intrants 2'!J352+'Futurs emballages'!J114+Fret!J655+Déplacements!J509+'Déchets directs'!J262+Immobilisations!J299+Utilisation!J158+'Fin de vie'!J289)/1000</f>
        <v>0</v>
      </c>
      <c r="K22" s="632">
        <f>SQRT('Energie 1'!K237^2+'Energie 2'!K237^2+'Hors énergie 1'!L134^2+'Hors énergie 2'!L134^2+'Intrants 1'!K354^2+'Intrants 2'!K352^2+'Futurs emballages'!K114^2+Fret!K655^2+Déplacements!K509^2+'Déchets directs'!L262^2+Immobilisations!K299^2+Utilisation!L158^2+'Fin de vie'!L289^2)/1000</f>
        <v>5.911822318033586</v>
      </c>
      <c r="L22" s="814">
        <f>('Energie 1'!L237+'Energie 2'!L237+'Hors énergie 1'!M134+'Hors énergie 2'!M134+'Intrants 1'!L354+'Intrants 2'!L352+'Futurs emballages'!L114+Fret!L655+Déplacements!L509+'Déchets directs'!M262+Immobilisations!L299+Utilisation!M158+'Fin de vie'!M289)/1000</f>
        <v>0</v>
      </c>
      <c r="M22" s="88">
        <v>1</v>
      </c>
      <c r="N22" s="918">
        <f t="shared" si="8"/>
        <v>39.17</v>
      </c>
      <c r="O22" s="918">
        <f t="shared" si="9"/>
        <v>0</v>
      </c>
      <c r="P22" s="918">
        <f t="shared" si="10"/>
        <v>0</v>
      </c>
      <c r="Q22" s="918">
        <f t="shared" si="11"/>
        <v>0</v>
      </c>
      <c r="R22" s="801">
        <f t="shared" si="12"/>
        <v>39.17</v>
      </c>
      <c r="S22" s="918">
        <f t="shared" si="13"/>
        <v>0</v>
      </c>
      <c r="T22" s="632">
        <f t="shared" si="14"/>
        <v>5.911822318033586</v>
      </c>
      <c r="U22" s="918">
        <f t="shared" si="15"/>
        <v>0</v>
      </c>
    </row>
    <row r="23" spans="2:21" ht="12.75" customHeight="1">
      <c r="B23" s="2970"/>
      <c r="C23" s="86">
        <v>12</v>
      </c>
      <c r="D23" s="51" t="s">
        <v>469</v>
      </c>
      <c r="E23" s="918">
        <f>('Energie 1'!E238+'Energie 2'!E238+'Hors énergie 1'!E135+'Hors énergie 2'!E135+'Intrants 1'!E355+'Intrants 2'!E353+'Futurs emballages'!E115+Fret!E656+Déplacements!E510+'Déchets directs'!E263+Immobilisations!E300+Utilisation!E159+'Fin de vie'!E290)/1000</f>
        <v>295.73983500000003</v>
      </c>
      <c r="F23" s="918">
        <f>('Energie 1'!F238+'Energie 2'!F238+'Hors énergie 1'!F135+'Hors énergie 2'!F135+'Intrants 1'!F355+'Intrants 2'!F353+'Futurs emballages'!F115+Fret!F656+Déplacements!F510+'Déchets directs'!F263+Immobilisations!F300+Utilisation!F159+'Fin de vie'!F290)/1000</f>
        <v>0</v>
      </c>
      <c r="G23" s="918">
        <f>('Energie 1'!G238+'Energie 2'!G238+'Hors énergie 1'!G135+'Hors énergie 2'!G135+'Intrants 1'!G355+'Intrants 2'!G353+'Futurs emballages'!G115+Fret!G656+Déplacements!G510+'Déchets directs'!G263+Immobilisations!G300+Utilisation!G159+'Fin de vie'!G290)/1000</f>
        <v>0</v>
      </c>
      <c r="H23" s="918">
        <f>('Energie 1'!H238+'Energie 2'!H238+'Hors énergie 1'!H135+'Hors énergie 2'!H135+'Intrants 1'!H355+'Intrants 2'!H353+'Futurs emballages'!H115+Fret!H656+Déplacements!H510+'Déchets directs'!H263+Immobilisations!H300+Utilisation!H159+'Fin de vie'!H290)/1000</f>
        <v>0</v>
      </c>
      <c r="I23" s="814">
        <f>('Energie 1'!I238+'Energie 2'!I238+'Hors énergie 1'!I135+'Hors énergie 2'!I135+'Intrants 1'!I355+'Intrants 2'!I353+'Futurs emballages'!I115+Fret!I656+Déplacements!I510+'Déchets directs'!I263+Immobilisations!I300+Utilisation!I159+'Fin de vie'!I290)/1000</f>
        <v>295.73983500000003</v>
      </c>
      <c r="J23" s="918">
        <f ca="1">('Energie 1'!J238+'Energie 2'!J238+'Hors énergie 1'!J135+'Hors énergie 2'!J135+'Intrants 1'!J355+'Intrants 2'!J353+'Futurs emballages'!J115+Fret!J656+Déplacements!J510+'Déchets directs'!J263+Immobilisations!J300+Utilisation!J159+'Fin de vie'!J290)/1000</f>
        <v>0</v>
      </c>
      <c r="K23" s="632">
        <f>SQRT('Energie 1'!K238^2+'Energie 2'!K238^2+'Hors énergie 1'!L135^2+'Hors énergie 2'!L135^2+'Intrants 1'!K355^2+'Intrants 2'!K353^2+'Futurs emballages'!K115^2+Fret!K656^2+Déplacements!K510^2+'Déchets directs'!L263^2+Immobilisations!K300^2+Utilisation!L159^2+'Fin de vie'!L290^2)/1000</f>
        <v>80.538449101336724</v>
      </c>
      <c r="L23" s="814">
        <f>('Energie 1'!L238+'Energie 2'!L238+'Hors énergie 1'!M135+'Hors énergie 2'!M135+'Intrants 1'!L355+'Intrants 2'!L353+'Futurs emballages'!L115+Fret!L656+Déplacements!L510+'Déchets directs'!M263+Immobilisations!L300+Utilisation!M159+'Fin de vie'!M290)/1000</f>
        <v>0</v>
      </c>
      <c r="M23" s="88">
        <v>1</v>
      </c>
      <c r="N23" s="918">
        <f t="shared" si="8"/>
        <v>295.73983500000003</v>
      </c>
      <c r="O23" s="918">
        <f t="shared" si="9"/>
        <v>0</v>
      </c>
      <c r="P23" s="918">
        <f t="shared" si="10"/>
        <v>0</v>
      </c>
      <c r="Q23" s="918">
        <f t="shared" si="11"/>
        <v>0</v>
      </c>
      <c r="R23" s="801">
        <f t="shared" si="12"/>
        <v>295.73983500000003</v>
      </c>
      <c r="S23" s="918">
        <f t="shared" ca="1" si="13"/>
        <v>0</v>
      </c>
      <c r="T23" s="632">
        <f t="shared" si="14"/>
        <v>80.538449101336724</v>
      </c>
      <c r="U23" s="918">
        <f t="shared" si="15"/>
        <v>0</v>
      </c>
    </row>
    <row r="24" spans="2:21" ht="12.75" customHeight="1">
      <c r="B24" s="2970"/>
      <c r="C24" s="86">
        <v>13</v>
      </c>
      <c r="D24" s="51" t="s">
        <v>470</v>
      </c>
      <c r="E24" s="918">
        <f>('Energie 1'!E239+'Energie 2'!E239+'Hors énergie 1'!E136+'Hors énergie 2'!E136+'Intrants 1'!E356+'Intrants 2'!E354+'Futurs emballages'!E116+Fret!E657+Déplacements!E511+'Déchets directs'!E264+Immobilisations!E301+Utilisation!E160+'Fin de vie'!E291)/1000</f>
        <v>1.4468160000000001</v>
      </c>
      <c r="F24" s="918">
        <f>('Energie 1'!F239+'Energie 2'!F239+'Hors énergie 1'!F136+'Hors énergie 2'!F136+'Intrants 1'!F356+'Intrants 2'!F354+'Futurs emballages'!F116+Fret!F657+Déplacements!F511+'Déchets directs'!F264+Immobilisations!F301+Utilisation!F160+'Fin de vie'!F291)/1000</f>
        <v>1.3859999999999999E-2</v>
      </c>
      <c r="G24" s="918">
        <f>('Energie 1'!G239+'Energie 2'!G239+'Hors énergie 1'!G136+'Hors énergie 2'!G136+'Intrants 1'!G356+'Intrants 2'!G354+'Futurs emballages'!G116+Fret!G657+Déplacements!G511+'Déchets directs'!G264+Immobilisations!G301+Utilisation!G160+'Fin de vie'!G291)/1000</f>
        <v>1.7999999999999998E-4</v>
      </c>
      <c r="H24" s="918">
        <f>('Energie 1'!H239+'Energie 2'!H239+'Hors énergie 1'!H136+'Hors énergie 2'!H136+'Intrants 1'!H356+'Intrants 2'!H354+'Futurs emballages'!H116+Fret!H657+Déplacements!H511+'Déchets directs'!H264+Immobilisations!H301+Utilisation!H160+'Fin de vie'!H291)/1000</f>
        <v>2.0039999999999999E-2</v>
      </c>
      <c r="I24" s="814">
        <f>('Energie 1'!I239+'Energie 2'!I239+'Hors énergie 1'!I136+'Hors énergie 2'!I136+'Intrants 1'!I356+'Intrants 2'!I354+'Futurs emballages'!I116+Fret!I657+Déplacements!I511+'Déchets directs'!I264+Immobilisations!I301+Utilisation!I160+'Fin de vie'!I291)/1000</f>
        <v>1.480896</v>
      </c>
      <c r="J24" s="918">
        <f>('Energie 1'!J239+'Energie 2'!J239+'Hors énergie 1'!J136+'Hors énergie 2'!J136+'Intrants 1'!J356+'Intrants 2'!J354+'Futurs emballages'!J116+Fret!J657+Déplacements!J511+'Déchets directs'!J264+Immobilisations!J301+Utilisation!J160+'Fin de vie'!J291)/1000</f>
        <v>1.4507399999999999</v>
      </c>
      <c r="K24" s="632">
        <f>SQRT('Energie 1'!K239^2+'Energie 2'!K239^2+'Hors énergie 1'!L136^2+'Hors énergie 2'!L136^2+'Intrants 1'!K356^2+'Intrants 2'!K354^2+'Futurs emballages'!K116^2+Fret!K657^2+Déplacements!K511^2+'Déchets directs'!L264^2+Immobilisations!K301^2+Utilisation!L160^2+'Fin de vie'!L291^2)/1000</f>
        <v>0.85372128151185256</v>
      </c>
      <c r="L24" s="814">
        <f>('Energie 1'!L239+'Energie 2'!L239+'Hors énergie 1'!M136+'Hors énergie 2'!M136+'Intrants 1'!L356+'Intrants 2'!L354+'Futurs emballages'!L116+Fret!L657+Déplacements!L511+'Déchets directs'!M264+Immobilisations!L301+Utilisation!M160+'Fin de vie'!M291)/1000</f>
        <v>0</v>
      </c>
      <c r="M24" s="88">
        <v>1</v>
      </c>
      <c r="N24" s="918">
        <f t="shared" si="8"/>
        <v>1.4468160000000001</v>
      </c>
      <c r="O24" s="918">
        <f t="shared" si="9"/>
        <v>1.3859999999999999E-2</v>
      </c>
      <c r="P24" s="918">
        <f t="shared" si="10"/>
        <v>1.7999999999999998E-4</v>
      </c>
      <c r="Q24" s="918">
        <f t="shared" si="11"/>
        <v>2.0039999999999999E-2</v>
      </c>
      <c r="R24" s="801">
        <f t="shared" si="12"/>
        <v>1.480896</v>
      </c>
      <c r="S24" s="918">
        <f t="shared" si="13"/>
        <v>1.4507399999999999</v>
      </c>
      <c r="T24" s="632">
        <f t="shared" si="14"/>
        <v>0.85372128151185256</v>
      </c>
      <c r="U24" s="918">
        <f t="shared" si="15"/>
        <v>0</v>
      </c>
    </row>
    <row r="25" spans="2:21">
      <c r="B25" s="2970"/>
      <c r="C25" s="86">
        <v>14</v>
      </c>
      <c r="D25" s="51" t="s">
        <v>471</v>
      </c>
      <c r="E25" s="918">
        <f>('Energie 1'!E240+'Energie 2'!E240+'Hors énergie 1'!E137+'Hors énergie 2'!E137+'Intrants 1'!E357+'Intrants 2'!E355+'Futurs emballages'!E117+Fret!E658+Déplacements!E512+'Déchets directs'!E265+Immobilisations!E302+Utilisation!E161+'Fin de vie'!E292)/1000</f>
        <v>0</v>
      </c>
      <c r="F25" s="918">
        <f>('Energie 1'!F240+'Energie 2'!F240+'Hors énergie 1'!F137+'Hors énergie 2'!F137+'Intrants 1'!F357+'Intrants 2'!F355+'Futurs emballages'!F117+Fret!F658+Déplacements!F512+'Déchets directs'!F265+Immobilisations!F302+Utilisation!F161+'Fin de vie'!F292)/1000</f>
        <v>0</v>
      </c>
      <c r="G25" s="918">
        <f>('Energie 1'!G240+'Energie 2'!G240+'Hors énergie 1'!G137+'Hors énergie 2'!G137+'Intrants 1'!G357+'Intrants 2'!G355+'Futurs emballages'!G117+Fret!G658+Déplacements!G512+'Déchets directs'!G265+Immobilisations!G302+Utilisation!G161+'Fin de vie'!G292)/1000</f>
        <v>0</v>
      </c>
      <c r="H25" s="918">
        <f>('Energie 1'!H240+'Energie 2'!H240+'Hors énergie 1'!H137+'Hors énergie 2'!H137+'Intrants 1'!H357+'Intrants 2'!H355+'Futurs emballages'!H117+Fret!H658+Déplacements!H512+'Déchets directs'!H265+Immobilisations!H302+Utilisation!H161+'Fin de vie'!H292)/1000</f>
        <v>0</v>
      </c>
      <c r="I25" s="814">
        <f>('Energie 1'!I240+'Energie 2'!I240+'Hors énergie 1'!I137+'Hors énergie 2'!I137+'Intrants 1'!I357+'Intrants 2'!I355+'Futurs emballages'!I117+Fret!I658+Déplacements!I512+'Déchets directs'!I265+Immobilisations!I302+Utilisation!I161+'Fin de vie'!I292)/1000</f>
        <v>0</v>
      </c>
      <c r="J25" s="918">
        <f>('Energie 1'!J240+'Energie 2'!J240+'Hors énergie 1'!J137+'Hors énergie 2'!J137+'Intrants 1'!J357+'Intrants 2'!J355+'Futurs emballages'!J117+Fret!J658+Déplacements!J512+'Déchets directs'!J265+Immobilisations!J302+Utilisation!J161+'Fin de vie'!J292)/1000</f>
        <v>0</v>
      </c>
      <c r="K25" s="632">
        <f>SQRT('Energie 1'!K240^2+'Energie 2'!K240^2+'Hors énergie 1'!L137^2+'Hors énergie 2'!L137^2+'Intrants 1'!K357^2+'Intrants 2'!K355^2+'Futurs emballages'!K117^2+Fret!K658^2+Déplacements!K512^2+'Déchets directs'!L265^2+Immobilisations!K302^2+Utilisation!L161^2+'Fin de vie'!L292^2)/1000</f>
        <v>0</v>
      </c>
      <c r="L25" s="814">
        <f>('Energie 1'!L240+'Energie 2'!L240+'Hors énergie 1'!M137+'Hors énergie 2'!M137+'Intrants 1'!L357+'Intrants 2'!L355+'Futurs emballages'!L117+Fret!L658+Déplacements!L512+'Déchets directs'!M265+Immobilisations!L302+Utilisation!M161+'Fin de vie'!M292)/1000</f>
        <v>0</v>
      </c>
      <c r="M25" s="88">
        <v>1</v>
      </c>
      <c r="N25" s="918">
        <f t="shared" si="8"/>
        <v>0</v>
      </c>
      <c r="O25" s="918">
        <f t="shared" si="9"/>
        <v>0</v>
      </c>
      <c r="P25" s="918">
        <f t="shared" si="10"/>
        <v>0</v>
      </c>
      <c r="Q25" s="918">
        <f t="shared" si="11"/>
        <v>0</v>
      </c>
      <c r="R25" s="801">
        <f t="shared" si="12"/>
        <v>0</v>
      </c>
      <c r="S25" s="918">
        <f t="shared" si="13"/>
        <v>0</v>
      </c>
      <c r="T25" s="632">
        <f t="shared" si="14"/>
        <v>0</v>
      </c>
      <c r="U25" s="918">
        <f t="shared" si="15"/>
        <v>0</v>
      </c>
    </row>
    <row r="26" spans="2:21">
      <c r="B26" s="2970"/>
      <c r="C26" s="232">
        <v>15</v>
      </c>
      <c r="D26" s="51" t="s">
        <v>472</v>
      </c>
      <c r="E26" s="918">
        <f>('Energie 1'!E241+'Energie 2'!E241+'Hors énergie 1'!E138+'Hors énergie 2'!E138+'Intrants 1'!E358+'Intrants 2'!E356+'Futurs emballages'!E118+Fret!E659+Déplacements!E513+'Déchets directs'!E266+Immobilisations!E303+Utilisation!E162+'Fin de vie'!E293)/1000</f>
        <v>18.927</v>
      </c>
      <c r="F26" s="918">
        <f>('Energie 1'!F241+'Energie 2'!F241+'Hors énergie 1'!F138+'Hors énergie 2'!F138+'Intrants 1'!F358+'Intrants 2'!F356+'Futurs emballages'!F118+Fret!F659+Déplacements!F513+'Déchets directs'!F266+Immobilisations!F303+Utilisation!F162+'Fin de vie'!F293)/1000</f>
        <v>0</v>
      </c>
      <c r="G26" s="918">
        <f>('Energie 1'!G241+'Energie 2'!G241+'Hors énergie 1'!G138+'Hors énergie 2'!G138+'Intrants 1'!G358+'Intrants 2'!G356+'Futurs emballages'!G118+Fret!G659+Déplacements!G513+'Déchets directs'!G266+Immobilisations!G303+Utilisation!G162+'Fin de vie'!G293)/1000</f>
        <v>0</v>
      </c>
      <c r="H26" s="918">
        <f>('Energie 1'!H241+'Energie 2'!H241+'Hors énergie 1'!H138+'Hors énergie 2'!H138+'Intrants 1'!H358+'Intrants 2'!H356+'Futurs emballages'!H118+Fret!H659+Déplacements!H513+'Déchets directs'!H266+Immobilisations!H303+Utilisation!H162+'Fin de vie'!H293)/1000</f>
        <v>0</v>
      </c>
      <c r="I26" s="814">
        <f>('Energie 1'!I241+'Energie 2'!I241+'Hors énergie 1'!I138+'Hors énergie 2'!I138+'Intrants 1'!I358+'Intrants 2'!I356+'Futurs emballages'!I118+Fret!I659+Déplacements!I513+'Déchets directs'!I266+Immobilisations!I303+Utilisation!I162+'Fin de vie'!I293)/1000</f>
        <v>18.927</v>
      </c>
      <c r="J26" s="918">
        <f>('Energie 1'!J241+'Energie 2'!J241+'Hors énergie 1'!J138+'Hors énergie 2'!J138+'Intrants 1'!J358+'Intrants 2'!J356+'Futurs emballages'!J118+Fret!J659+Déplacements!J513+'Déchets directs'!J266+Immobilisations!J303+Utilisation!J162+'Fin de vie'!J293)/1000</f>
        <v>0</v>
      </c>
      <c r="K26" s="632">
        <f>SQRT('Energie 1'!K241^2+'Energie 2'!K241^2+'Hors énergie 1'!L138^2+'Hors énergie 2'!L138^2+'Intrants 1'!K358^2+'Intrants 2'!K356^2+'Futurs emballages'!K118^2+Fret!K659^2+Déplacements!K513^2+'Déchets directs'!L266^2+Immobilisations!K303^2+Utilisation!L162^2+'Fin de vie'!L293^2)/1000</f>
        <v>8.5305063859069925</v>
      </c>
      <c r="L26" s="814">
        <f>('Energie 1'!L241+'Energie 2'!L241+'Hors énergie 1'!M138+'Hors énergie 2'!M138+'Intrants 1'!L358+'Intrants 2'!L356+'Futurs emballages'!L118+Fret!L659+Déplacements!L513+'Déchets directs'!M266+Immobilisations!L303+Utilisation!M162+'Fin de vie'!M293)/1000</f>
        <v>0</v>
      </c>
      <c r="M26" s="88">
        <v>1</v>
      </c>
      <c r="N26" s="918">
        <f t="shared" si="8"/>
        <v>18.927</v>
      </c>
      <c r="O26" s="918">
        <f t="shared" si="9"/>
        <v>0</v>
      </c>
      <c r="P26" s="918">
        <f t="shared" si="10"/>
        <v>0</v>
      </c>
      <c r="Q26" s="918">
        <f t="shared" si="11"/>
        <v>0</v>
      </c>
      <c r="R26" s="801">
        <f t="shared" si="12"/>
        <v>18.927</v>
      </c>
      <c r="S26" s="918">
        <f t="shared" si="13"/>
        <v>0</v>
      </c>
      <c r="T26" s="632">
        <f t="shared" si="14"/>
        <v>8.5305063859069925</v>
      </c>
      <c r="U26" s="918">
        <f t="shared" si="15"/>
        <v>0</v>
      </c>
    </row>
    <row r="27" spans="2:21" ht="12.75" customHeight="1">
      <c r="B27" s="2970"/>
      <c r="C27" s="232">
        <v>16</v>
      </c>
      <c r="D27" s="51" t="s">
        <v>473</v>
      </c>
      <c r="E27" s="918">
        <f>('Energie 1'!E242+'Energie 2'!E242+'Hors énergie 1'!E139+'Hors énergie 2'!E139+'Intrants 1'!E359+'Intrants 2'!E357+'Futurs emballages'!E119+Fret!E660+Déplacements!E514+'Déchets directs'!E267+Immobilisations!E304+Utilisation!E163+'Fin de vie'!E294)/1000</f>
        <v>0</v>
      </c>
      <c r="F27" s="918">
        <f>('Energie 1'!F242+'Energie 2'!F242+'Hors énergie 1'!F139+'Hors énergie 2'!F139+'Intrants 1'!F359+'Intrants 2'!F357+'Futurs emballages'!F119+Fret!F660+Déplacements!F514+'Déchets directs'!F267+Immobilisations!F304+Utilisation!F163+'Fin de vie'!F294)/1000</f>
        <v>0</v>
      </c>
      <c r="G27" s="918">
        <f>('Energie 1'!G242+'Energie 2'!G242+'Hors énergie 1'!G139+'Hors énergie 2'!G139+'Intrants 1'!G359+'Intrants 2'!G357+'Futurs emballages'!G119+Fret!G660+Déplacements!G514+'Déchets directs'!G267+Immobilisations!G304+Utilisation!G163+'Fin de vie'!G294)/1000</f>
        <v>0</v>
      </c>
      <c r="H27" s="918">
        <f>('Energie 1'!H242+'Energie 2'!H242+'Hors énergie 1'!H139+'Hors énergie 2'!H139+'Intrants 1'!H359+'Intrants 2'!H357+'Futurs emballages'!H119+Fret!H660+Déplacements!H514+'Déchets directs'!H267+Immobilisations!H304+Utilisation!H163+'Fin de vie'!H294)/1000</f>
        <v>0</v>
      </c>
      <c r="I27" s="814">
        <f>('Energie 1'!I242+'Energie 2'!I242+'Hors énergie 1'!I139+'Hors énergie 2'!I139+'Intrants 1'!I359+'Intrants 2'!I357+'Futurs emballages'!I119+Fret!I660+Déplacements!I514+'Déchets directs'!I267+Immobilisations!I304+Utilisation!I163+'Fin de vie'!I294)/1000</f>
        <v>0</v>
      </c>
      <c r="J27" s="918">
        <f>('Energie 1'!J242+'Energie 2'!J242+'Hors énergie 1'!J139+'Hors énergie 2'!J139+'Intrants 1'!J359+'Intrants 2'!J357+'Futurs emballages'!J119+Fret!J660+Déplacements!J514+'Déchets directs'!J267+Immobilisations!J304+Utilisation!J163+'Fin de vie'!J294)/1000</f>
        <v>0</v>
      </c>
      <c r="K27" s="632">
        <f>SQRT('Energie 1'!K242^2+'Energie 2'!K242^2+'Hors énergie 1'!L139^2+'Hors énergie 2'!L139^2+'Intrants 1'!K359^2+'Intrants 2'!K357^2+'Futurs emballages'!K119^2+Fret!K660^2+Déplacements!K514^2+'Déchets directs'!L267^2+Immobilisations!K304^2+Utilisation!L163^2+'Fin de vie'!L294^2)/1000</f>
        <v>0</v>
      </c>
      <c r="L27" s="814">
        <f>('Energie 1'!L242+'Energie 2'!L242+'Hors énergie 1'!M139+'Hors énergie 2'!M139+'Intrants 1'!L359+'Intrants 2'!L357+'Futurs emballages'!L119+Fret!L660+Déplacements!L514+'Déchets directs'!M267+Immobilisations!L304+Utilisation!M163+'Fin de vie'!M294)/1000</f>
        <v>0</v>
      </c>
      <c r="M27" s="88">
        <v>1</v>
      </c>
      <c r="N27" s="918">
        <f t="shared" si="8"/>
        <v>0</v>
      </c>
      <c r="O27" s="918">
        <f t="shared" si="9"/>
        <v>0</v>
      </c>
      <c r="P27" s="918">
        <f t="shared" si="10"/>
        <v>0</v>
      </c>
      <c r="Q27" s="918">
        <f t="shared" si="11"/>
        <v>0</v>
      </c>
      <c r="R27" s="801">
        <f t="shared" si="12"/>
        <v>0</v>
      </c>
      <c r="S27" s="918">
        <f t="shared" si="13"/>
        <v>0</v>
      </c>
      <c r="T27" s="632">
        <f t="shared" si="14"/>
        <v>0</v>
      </c>
      <c r="U27" s="918">
        <f t="shared" si="15"/>
        <v>0</v>
      </c>
    </row>
    <row r="28" spans="2:21" ht="12.75" customHeight="1">
      <c r="B28" s="2970"/>
      <c r="C28" s="232">
        <v>17</v>
      </c>
      <c r="D28" s="51" t="s">
        <v>474</v>
      </c>
      <c r="E28" s="918">
        <f>('Energie 1'!E243+'Energie 2'!E243+'Hors énergie 1'!E140+'Hors énergie 2'!E140+'Intrants 1'!E360+'Intrants 2'!E358+'Futurs emballages'!E120+Fret!E661+Déplacements!E515+'Déchets directs'!E268+Immobilisations!E305+Utilisation!E164+'Fin de vie'!E295)/1000</f>
        <v>0</v>
      </c>
      <c r="F28" s="918">
        <f>('Energie 1'!F243+'Energie 2'!F243+'Hors énergie 1'!F140+'Hors énergie 2'!F140+'Intrants 1'!F360+'Intrants 2'!F358+'Futurs emballages'!F120+Fret!F661+Déplacements!F515+'Déchets directs'!F268+Immobilisations!F305+Utilisation!F164+'Fin de vie'!F295)/1000</f>
        <v>0</v>
      </c>
      <c r="G28" s="918">
        <f>('Energie 1'!G243+'Energie 2'!G243+'Hors énergie 1'!G140+'Hors énergie 2'!G140+'Intrants 1'!G360+'Intrants 2'!G358+'Futurs emballages'!G120+Fret!G661+Déplacements!G515+'Déchets directs'!G268+Immobilisations!G305+Utilisation!G164+'Fin de vie'!G295)/1000</f>
        <v>0</v>
      </c>
      <c r="H28" s="918">
        <f>('Energie 1'!H243+'Energie 2'!H243+'Hors énergie 1'!H140+'Hors énergie 2'!H140+'Intrants 1'!H360+'Intrants 2'!H358+'Futurs emballages'!H120+Fret!H661+Déplacements!H515+'Déchets directs'!H268+Immobilisations!H305+Utilisation!H164+'Fin de vie'!H295)/1000</f>
        <v>0</v>
      </c>
      <c r="I28" s="814">
        <f>('Energie 1'!I243+'Energie 2'!I243+'Hors énergie 1'!I140+'Hors énergie 2'!I140+'Intrants 1'!I360+'Intrants 2'!I358+'Futurs emballages'!I120+Fret!I661+Déplacements!I515+'Déchets directs'!I268+Immobilisations!I305+Utilisation!I164+'Fin de vie'!I295)/1000</f>
        <v>0</v>
      </c>
      <c r="J28" s="918">
        <f ca="1">('Energie 1'!J243+'Energie 2'!J243+'Hors énergie 1'!J140+'Hors énergie 2'!J140+'Intrants 1'!J360+'Intrants 2'!J358+'Futurs emballages'!J120+Fret!J661+Déplacements!J515+'Déchets directs'!J268+Immobilisations!J305+Utilisation!J164+'Fin de vie'!J295)/1000</f>
        <v>0</v>
      </c>
      <c r="K28" s="632">
        <f>SQRT('Energie 1'!K243^2+'Energie 2'!K243^2+'Hors énergie 1'!L140^2+'Hors énergie 2'!L140^2+'Intrants 1'!K360^2+'Intrants 2'!K358^2+'Futurs emballages'!K120^2+Fret!K661^2+Déplacements!K515^2+'Déchets directs'!L268^2+Immobilisations!K305^2+Utilisation!L164^2+'Fin de vie'!L295^2)/1000</f>
        <v>0</v>
      </c>
      <c r="L28" s="814">
        <f>('Energie 1'!L243+'Energie 2'!L243+'Hors énergie 1'!M140+'Hors énergie 2'!M140+'Intrants 1'!L360+'Intrants 2'!L358+'Futurs emballages'!L120+Fret!L661+Déplacements!L515+'Déchets directs'!M268+Immobilisations!L305+Utilisation!M164+'Fin de vie'!M295)/1000</f>
        <v>0</v>
      </c>
      <c r="M28" s="88">
        <v>1</v>
      </c>
      <c r="N28" s="918">
        <f t="shared" si="8"/>
        <v>0</v>
      </c>
      <c r="O28" s="918">
        <f t="shared" si="9"/>
        <v>0</v>
      </c>
      <c r="P28" s="918">
        <f t="shared" si="10"/>
        <v>0</v>
      </c>
      <c r="Q28" s="918">
        <f t="shared" si="11"/>
        <v>0</v>
      </c>
      <c r="R28" s="801">
        <f t="shared" si="12"/>
        <v>0</v>
      </c>
      <c r="S28" s="918">
        <f t="shared" ca="1" si="13"/>
        <v>0</v>
      </c>
      <c r="T28" s="632">
        <f t="shared" si="14"/>
        <v>0</v>
      </c>
      <c r="U28" s="918">
        <f t="shared" si="15"/>
        <v>0</v>
      </c>
    </row>
    <row r="29" spans="2:21" ht="12.75" customHeight="1">
      <c r="B29" s="2970"/>
      <c r="C29" s="232">
        <v>18</v>
      </c>
      <c r="D29" s="51" t="s">
        <v>475</v>
      </c>
      <c r="E29" s="918">
        <f>('Energie 1'!E244+'Energie 2'!E244+'Hors énergie 1'!E141+'Hors énergie 2'!E141+'Intrants 1'!E361+'Intrants 2'!E359+'Futurs emballages'!E121+Fret!E662+Déplacements!E516+'Déchets directs'!E269+Immobilisations!E306+Utilisation!E165+'Fin de vie'!E296)/1000</f>
        <v>5.3314577495621718</v>
      </c>
      <c r="F29" s="918">
        <f>('Energie 1'!F244+'Energie 2'!F244+'Hors énergie 1'!F141+'Hors énergie 2'!F141+'Intrants 1'!F361+'Intrants 2'!F359+'Futurs emballages'!F121+Fret!F662+Déplacements!F516+'Déchets directs'!F269+Immobilisations!F306+Utilisation!F165+'Fin de vie'!F296)/1000</f>
        <v>0</v>
      </c>
      <c r="G29" s="918">
        <f>('Energie 1'!G244+'Energie 2'!G244+'Hors énergie 1'!G141+'Hors énergie 2'!G141+'Intrants 1'!G361+'Intrants 2'!G359+'Futurs emballages'!G121+Fret!G662+Déplacements!G516+'Déchets directs'!G269+Immobilisations!G306+Utilisation!G165+'Fin de vie'!G296)/1000</f>
        <v>0</v>
      </c>
      <c r="H29" s="918">
        <f>('Energie 1'!H244+'Energie 2'!H244+'Hors énergie 1'!H141+'Hors énergie 2'!H141+'Intrants 1'!H361+'Intrants 2'!H359+'Futurs emballages'!H121+Fret!H662+Déplacements!H516+'Déchets directs'!H269+Immobilisations!H306+Utilisation!H165+'Fin de vie'!H296)/1000</f>
        <v>0</v>
      </c>
      <c r="I29" s="814">
        <f>('Energie 1'!I244+'Energie 2'!I244+'Hors énergie 1'!I141+'Hors énergie 2'!I141+'Intrants 1'!I361+'Intrants 2'!I359+'Futurs emballages'!I121+Fret!I662+Déplacements!I516+'Déchets directs'!I269+Immobilisations!I306+Utilisation!I165+'Fin de vie'!I296)/1000</f>
        <v>5.3314577495621718</v>
      </c>
      <c r="J29" s="918">
        <f>('Energie 1'!J244+'Energie 2'!J244+'Hors énergie 1'!J141+'Hors énergie 2'!J141+'Intrants 1'!J361+'Intrants 2'!J359+'Futurs emballages'!J121+Fret!J662+Déplacements!J516+'Déchets directs'!J269+Immobilisations!J306+Utilisation!J165+'Fin de vie'!J296)/1000</f>
        <v>0</v>
      </c>
      <c r="K29" s="632">
        <f>SQRT('Energie 1'!K244^2+'Energie 2'!K244^2+'Hors énergie 1'!L141^2+'Hors énergie 2'!L141^2+'Intrants 1'!K361^2+'Intrants 2'!K359^2+'Futurs emballages'!K121^2+Fret!K662^2+Déplacements!K516^2+'Déchets directs'!L269^2+Immobilisations!K306^2+Utilisation!L165^2+'Fin de vie'!L296^2)/1000</f>
        <v>0.55067377355516667</v>
      </c>
      <c r="L29" s="814">
        <f>('Energie 1'!L244+'Energie 2'!L244+'Hors énergie 1'!M141+'Hors énergie 2'!M141+'Intrants 1'!L361+'Intrants 2'!L359+'Futurs emballages'!L121+Fret!L662+Déplacements!L516+'Déchets directs'!M269+Immobilisations!L306+Utilisation!M165+'Fin de vie'!M296)/1000</f>
        <v>0</v>
      </c>
      <c r="M29" s="88">
        <v>1</v>
      </c>
      <c r="N29" s="918">
        <f t="shared" si="8"/>
        <v>5.3314577495621718</v>
      </c>
      <c r="O29" s="918">
        <f t="shared" si="9"/>
        <v>0</v>
      </c>
      <c r="P29" s="918">
        <f t="shared" si="10"/>
        <v>0</v>
      </c>
      <c r="Q29" s="918">
        <f t="shared" si="11"/>
        <v>0</v>
      </c>
      <c r="R29" s="801">
        <f t="shared" si="12"/>
        <v>5.3314577495621718</v>
      </c>
      <c r="S29" s="918">
        <f t="shared" si="13"/>
        <v>0</v>
      </c>
      <c r="T29" s="632">
        <f t="shared" si="14"/>
        <v>0.55067377355516667</v>
      </c>
      <c r="U29" s="918">
        <f t="shared" si="15"/>
        <v>0</v>
      </c>
    </row>
    <row r="30" spans="2:21" ht="12.75" customHeight="1">
      <c r="B30" s="2970"/>
      <c r="C30" s="232">
        <v>19</v>
      </c>
      <c r="D30" s="51" t="s">
        <v>476</v>
      </c>
      <c r="E30" s="918" t="e">
        <f>('Energie 1'!E245+'Energie 2'!E245+'Hors énergie 1'!E142+'Hors énergie 2'!E142+'Intrants 1'!E362+'Intrants 2'!E360+'Futurs emballages'!E122+Fret!E663+Déplacements!E517+'Déchets directs'!E270+Immobilisations!E307+Utilisation!E166+'Fin de vie'!E297)/1000</f>
        <v>#REF!</v>
      </c>
      <c r="F30" s="918">
        <f>('Energie 1'!F245+'Energie 2'!F245+'Hors énergie 1'!F142+'Hors énergie 2'!F142+'Intrants 1'!F362+'Intrants 2'!F360+'Futurs emballages'!F122+Fret!F663+Déplacements!F517+'Déchets directs'!F270+Immobilisations!F307+Utilisation!F166+'Fin de vie'!F297)/1000</f>
        <v>0</v>
      </c>
      <c r="G30" s="918">
        <f>('Energie 1'!G245+'Energie 2'!G245+'Hors énergie 1'!G142+'Hors énergie 2'!G142+'Intrants 1'!G362+'Intrants 2'!G360+'Futurs emballages'!G122+Fret!G663+Déplacements!G517+'Déchets directs'!G270+Immobilisations!G307+Utilisation!G166+'Fin de vie'!G297)/1000</f>
        <v>0</v>
      </c>
      <c r="H30" s="918">
        <f>('Energie 1'!H245+'Energie 2'!H245+'Hors énergie 1'!H142+'Hors énergie 2'!H142+'Intrants 1'!H362+'Intrants 2'!H360+'Futurs emballages'!H122+Fret!H663+Déplacements!H517+'Déchets directs'!H270+Immobilisations!H307+Utilisation!H166+'Fin de vie'!H297)/1000</f>
        <v>0</v>
      </c>
      <c r="I30" s="814" t="e">
        <f>('Energie 1'!I245+'Energie 2'!I245+'Hors énergie 1'!I142+'Hors énergie 2'!I142+'Intrants 1'!I362+'Intrants 2'!I360+'Futurs emballages'!I122+Fret!I663+Déplacements!I517+'Déchets directs'!I270+Immobilisations!I307+Utilisation!I166+'Fin de vie'!I297)/1000</f>
        <v>#REF!</v>
      </c>
      <c r="J30" s="918">
        <f>('Energie 1'!J245+'Energie 2'!J245+'Hors énergie 1'!J142+'Hors énergie 2'!J142+'Intrants 1'!J362+'Intrants 2'!J360+'Futurs emballages'!J122+Fret!J663+Déplacements!J517+'Déchets directs'!J270+Immobilisations!J307+Utilisation!J166+'Fin de vie'!J297)/1000</f>
        <v>0</v>
      </c>
      <c r="K30" s="632">
        <f>SQRT('Energie 1'!K245^2+'Energie 2'!K245^2+'Hors énergie 1'!L142^2+'Hors énergie 2'!L142^2+'Intrants 1'!K362^2+'Intrants 2'!K360^2+'Futurs emballages'!K122^2+Fret!K663^2+Déplacements!K517^2+'Déchets directs'!L270^2+Immobilisations!K307^2+Utilisation!L166^2+'Fin de vie'!L297^2)/1000</f>
        <v>178.24680018625861</v>
      </c>
      <c r="L30" s="814">
        <f>('Energie 1'!L245+'Energie 2'!L245+'Hors énergie 1'!M142+'Hors énergie 2'!M142+'Intrants 1'!L362+'Intrants 2'!L360+'Futurs emballages'!L122+Fret!L663+Déplacements!L517+'Déchets directs'!M270+Immobilisations!L307+Utilisation!M166+'Fin de vie'!M297)/1000</f>
        <v>0</v>
      </c>
      <c r="M30" s="88">
        <v>1</v>
      </c>
      <c r="N30" s="918" t="e">
        <f t="shared" si="8"/>
        <v>#REF!</v>
      </c>
      <c r="O30" s="918">
        <f t="shared" si="9"/>
        <v>0</v>
      </c>
      <c r="P30" s="918">
        <f t="shared" si="10"/>
        <v>0</v>
      </c>
      <c r="Q30" s="918">
        <f t="shared" si="11"/>
        <v>0</v>
      </c>
      <c r="R30" s="801" t="e">
        <f t="shared" si="12"/>
        <v>#REF!</v>
      </c>
      <c r="S30" s="918">
        <f t="shared" si="13"/>
        <v>0</v>
      </c>
      <c r="T30" s="632">
        <f t="shared" si="14"/>
        <v>178.24680018625861</v>
      </c>
      <c r="U30" s="918">
        <f t="shared" si="15"/>
        <v>0</v>
      </c>
    </row>
    <row r="31" spans="2:21">
      <c r="B31" s="2970"/>
      <c r="C31" s="232">
        <v>20</v>
      </c>
      <c r="D31" s="51" t="s">
        <v>477</v>
      </c>
      <c r="E31" s="918">
        <f>('Energie 1'!E246+'Energie 2'!E246+'Hors énergie 1'!E143+'Hors énergie 2'!E143+'Intrants 1'!E363+'Intrants 2'!E361+'Futurs emballages'!E123+Fret!E664+Déplacements!E518+'Déchets directs'!E271+Immobilisations!E308+Utilisation!E167+'Fin de vie'!E298)/1000</f>
        <v>0</v>
      </c>
      <c r="F31" s="918">
        <f>('Energie 1'!F246+'Energie 2'!F246+'Hors énergie 1'!F143+'Hors énergie 2'!F143+'Intrants 1'!F363+'Intrants 2'!F361+'Futurs emballages'!F123+Fret!F664+Déplacements!F518+'Déchets directs'!F271+Immobilisations!F308+Utilisation!F167+'Fin de vie'!F298)/1000</f>
        <v>0</v>
      </c>
      <c r="G31" s="918">
        <f>('Energie 1'!G246+'Energie 2'!G246+'Hors énergie 1'!G143+'Hors énergie 2'!G143+'Intrants 1'!G363+'Intrants 2'!G361+'Futurs emballages'!G123+Fret!G664+Déplacements!G518+'Déchets directs'!G271+Immobilisations!G308+Utilisation!G167+'Fin de vie'!G298)/1000</f>
        <v>0</v>
      </c>
      <c r="H31" s="918">
        <f>('Energie 1'!H246+'Energie 2'!H246+'Hors énergie 1'!H143+'Hors énergie 2'!H143+'Intrants 1'!H363+'Intrants 2'!H361+'Futurs emballages'!H123+Fret!H664+Déplacements!H518+'Déchets directs'!H271+Immobilisations!H308+Utilisation!H167+'Fin de vie'!H298)/1000</f>
        <v>0</v>
      </c>
      <c r="I31" s="814">
        <f>('Energie 1'!I246+'Energie 2'!I246+'Hors énergie 1'!I143+'Hors énergie 2'!I143+'Intrants 1'!I363+'Intrants 2'!I361+'Futurs emballages'!I123+Fret!I664+Déplacements!I518+'Déchets directs'!I271+Immobilisations!I308+Utilisation!I167+'Fin de vie'!I298)/1000</f>
        <v>0</v>
      </c>
      <c r="J31" s="918">
        <f>('Energie 1'!J246+'Energie 2'!J246+'Hors énergie 1'!J143+'Hors énergie 2'!J143+'Intrants 1'!J363+'Intrants 2'!J361+'Futurs emballages'!J123+Fret!J664+Déplacements!J518+'Déchets directs'!J271+Immobilisations!J308+Utilisation!J167+'Fin de vie'!J298)/1000</f>
        <v>0</v>
      </c>
      <c r="K31" s="632">
        <f>SQRT('Energie 1'!K246^2+'Energie 2'!K246^2+'Hors énergie 1'!L143^2+'Hors énergie 2'!L143^2+'Intrants 1'!K363^2+'Intrants 2'!K361^2+'Futurs emballages'!K123^2+Fret!K664^2+Déplacements!K518^2+'Déchets directs'!L271^2+Immobilisations!K308^2+Utilisation!L167^2+'Fin de vie'!L298^2)/1000</f>
        <v>0</v>
      </c>
      <c r="L31" s="814">
        <f>('Energie 1'!L246+'Energie 2'!L246+'Hors énergie 1'!M143+'Hors énergie 2'!M143+'Intrants 1'!L363+'Intrants 2'!L361+'Futurs emballages'!L123+Fret!L664+Déplacements!L518+'Déchets directs'!M271+Immobilisations!L308+Utilisation!M167+'Fin de vie'!M298)/1000</f>
        <v>0</v>
      </c>
      <c r="M31" s="88">
        <v>1</v>
      </c>
      <c r="N31" s="918">
        <f t="shared" ref="N31:U31" si="16">IF($E$4="Oui",SUMPRODUCT(E10:E14,$M10:$M14)+SUMPRODUCT(E16:E17,$M16:$M17)+SUMPRODUCT(E19:E34,$M19:$M34),IF($E$5="Oui",0,E31*$M31))</f>
        <v>0</v>
      </c>
      <c r="O31" s="918">
        <f t="shared" si="16"/>
        <v>0</v>
      </c>
      <c r="P31" s="918">
        <f t="shared" si="16"/>
        <v>0</v>
      </c>
      <c r="Q31" s="918">
        <f t="shared" si="16"/>
        <v>0</v>
      </c>
      <c r="R31" s="801">
        <f t="shared" si="16"/>
        <v>0</v>
      </c>
      <c r="S31" s="918">
        <f t="shared" si="16"/>
        <v>0</v>
      </c>
      <c r="T31" s="632">
        <f t="shared" si="16"/>
        <v>0</v>
      </c>
      <c r="U31" s="918">
        <f t="shared" si="16"/>
        <v>0</v>
      </c>
    </row>
    <row r="32" spans="2:21">
      <c r="B32" s="2970"/>
      <c r="C32" s="232">
        <v>21</v>
      </c>
      <c r="D32" s="51" t="s">
        <v>478</v>
      </c>
      <c r="E32" s="918">
        <f>('Energie 1'!E247+'Energie 2'!E247+'Hors énergie 1'!E144+'Hors énergie 2'!E144+'Intrants 1'!E364+'Intrants 2'!E362+'Futurs emballages'!E124+Fret!E665+Déplacements!E519+'Déchets directs'!E272+Immobilisations!E309+Utilisation!E168+'Fin de vie'!E299)/1000</f>
        <v>0</v>
      </c>
      <c r="F32" s="918">
        <f>('Energie 1'!F247+'Energie 2'!F247+'Hors énergie 1'!F144+'Hors énergie 2'!F144+'Intrants 1'!F364+'Intrants 2'!F362+'Futurs emballages'!F124+Fret!F665+Déplacements!F519+'Déchets directs'!F272+Immobilisations!F309+Utilisation!F168+'Fin de vie'!F299)/1000</f>
        <v>0</v>
      </c>
      <c r="G32" s="918">
        <f>('Energie 1'!G247+'Energie 2'!G247+'Hors énergie 1'!G144+'Hors énergie 2'!G144+'Intrants 1'!G364+'Intrants 2'!G362+'Futurs emballages'!G124+Fret!G665+Déplacements!G519+'Déchets directs'!G272+Immobilisations!G309+Utilisation!G168+'Fin de vie'!G299)/1000</f>
        <v>0</v>
      </c>
      <c r="H32" s="918">
        <f>('Energie 1'!H247+'Energie 2'!H247+'Hors énergie 1'!H144+'Hors énergie 2'!H144+'Intrants 1'!H364+'Intrants 2'!H362+'Futurs emballages'!H124+Fret!H665+Déplacements!H519+'Déchets directs'!H272+Immobilisations!H309+Utilisation!H168+'Fin de vie'!H299)/1000</f>
        <v>0</v>
      </c>
      <c r="I32" s="814">
        <f>('Energie 1'!I247+'Energie 2'!I247+'Hors énergie 1'!I144+'Hors énergie 2'!I144+'Intrants 1'!I364+'Intrants 2'!I362+'Futurs emballages'!I124+Fret!I665+Déplacements!I519+'Déchets directs'!I272+Immobilisations!I309+Utilisation!I168+'Fin de vie'!I299)/1000</f>
        <v>0</v>
      </c>
      <c r="J32" s="918">
        <f>('Energie 1'!J247+'Energie 2'!J247+'Hors énergie 1'!J144+'Hors énergie 2'!J144+'Intrants 1'!J364+'Intrants 2'!J362+'Futurs emballages'!J124+Fret!J665+Déplacements!J519+'Déchets directs'!J272+Immobilisations!J309+Utilisation!J168+'Fin de vie'!J299)/1000</f>
        <v>0</v>
      </c>
      <c r="K32" s="632">
        <f>SQRT('Energie 1'!K247^2+'Energie 2'!K247^2+'Hors énergie 1'!L144^2+'Hors énergie 2'!L144^2+'Intrants 1'!K364^2+'Intrants 2'!K362^2+'Futurs emballages'!K124^2+Fret!K665^2+Déplacements!K519^2+'Déchets directs'!L272^2+Immobilisations!K309^2+Utilisation!L168^2+'Fin de vie'!L299^2)/1000</f>
        <v>0</v>
      </c>
      <c r="L32" s="814">
        <f>('Energie 1'!L247+'Energie 2'!L247+'Hors énergie 1'!M144+'Hors énergie 2'!M144+'Intrants 1'!L364+'Intrants 2'!L362+'Futurs emballages'!L124+Fret!L665+Déplacements!L519+'Déchets directs'!M272+Immobilisations!L309+Utilisation!M168+'Fin de vie'!M299)/1000</f>
        <v>0</v>
      </c>
      <c r="M32" s="88">
        <v>1</v>
      </c>
      <c r="N32" s="918">
        <f t="shared" ref="N32:U34" si="17">IF($E$4="Oui",0,IF($E$5="Oui",0,E32*$M32))</f>
        <v>0</v>
      </c>
      <c r="O32" s="918">
        <f t="shared" si="17"/>
        <v>0</v>
      </c>
      <c r="P32" s="918">
        <f t="shared" si="17"/>
        <v>0</v>
      </c>
      <c r="Q32" s="918">
        <f t="shared" si="17"/>
        <v>0</v>
      </c>
      <c r="R32" s="801">
        <f t="shared" si="17"/>
        <v>0</v>
      </c>
      <c r="S32" s="918">
        <f t="shared" si="17"/>
        <v>0</v>
      </c>
      <c r="T32" s="632">
        <f t="shared" si="17"/>
        <v>0</v>
      </c>
      <c r="U32" s="918">
        <f t="shared" si="17"/>
        <v>0</v>
      </c>
    </row>
    <row r="33" spans="2:21" ht="12.75" customHeight="1">
      <c r="B33" s="2970"/>
      <c r="C33" s="232">
        <v>22</v>
      </c>
      <c r="D33" s="51" t="s">
        <v>479</v>
      </c>
      <c r="E33" s="918">
        <f ca="1">('Energie 1'!E248+'Energie 2'!E248+'Hors énergie 1'!E145+'Hors énergie 2'!E145+'Intrants 1'!E365+'Intrants 2'!E363+'Futurs emballages'!E125+Fret!E666+Déplacements!E520+'Déchets directs'!E273+Immobilisations!E310+Utilisation!E169+'Fin de vie'!E300)/1000</f>
        <v>82.7475266</v>
      </c>
      <c r="F33" s="918">
        <f>('Energie 1'!F248+'Energie 2'!F248+'Hors énergie 1'!F145+'Hors énergie 2'!F145+'Intrants 1'!F365+'Intrants 2'!F363+'Futurs emballages'!F125+Fret!F666+Déplacements!F520+'Déchets directs'!F273+Immobilisations!F310+Utilisation!F169+'Fin de vie'!F300)/1000</f>
        <v>0</v>
      </c>
      <c r="G33" s="918">
        <f>('Energie 1'!G248+'Energie 2'!G248+'Hors énergie 1'!G145+'Hors énergie 2'!G145+'Intrants 1'!G365+'Intrants 2'!G363+'Futurs emballages'!G125+Fret!G666+Déplacements!G520+'Déchets directs'!G273+Immobilisations!G310+Utilisation!G169+'Fin de vie'!G300)/1000</f>
        <v>0</v>
      </c>
      <c r="H33" s="918">
        <f>('Energie 1'!H248+'Energie 2'!H248+'Hors énergie 1'!H145+'Hors énergie 2'!H145+'Intrants 1'!H365+'Intrants 2'!H363+'Futurs emballages'!H125+Fret!H666+Déplacements!H520+'Déchets directs'!H273+Immobilisations!H310+Utilisation!H169+'Fin de vie'!H300)/1000</f>
        <v>0</v>
      </c>
      <c r="I33" s="814">
        <f ca="1">('Energie 1'!I248+'Energie 2'!I248+'Hors énergie 1'!I145+'Hors énergie 2'!I145+'Intrants 1'!I365+'Intrants 2'!I363+'Futurs emballages'!I125+Fret!I666+Déplacements!I520+'Déchets directs'!I273+Immobilisations!I310+Utilisation!I169+'Fin de vie'!I300)/1000</f>
        <v>82.7475266</v>
      </c>
      <c r="J33" s="918">
        <f>('Energie 1'!J248+'Energie 2'!J248+'Hors énergie 1'!J145+'Hors énergie 2'!J145+'Intrants 1'!J365+'Intrants 2'!J363+'Futurs emballages'!J125+Fret!J666+Déplacements!J520+'Déchets directs'!J273+Immobilisations!J310+Utilisation!J169+'Fin de vie'!J300)/1000</f>
        <v>0</v>
      </c>
      <c r="K33" s="632">
        <f>SQRT('Energie 1'!K248^2+'Energie 2'!K248^2+'Hors énergie 1'!L145^2+'Hors énergie 2'!L145^2+'Intrants 1'!K365^2+'Intrants 2'!K363^2+'Futurs emballages'!K125^2+Fret!K666^2+Déplacements!K520^2+'Déchets directs'!L273^2+Immobilisations!K310^2+Utilisation!L169^2+'Fin de vie'!L300^2)/1000</f>
        <v>19.859199601136226</v>
      </c>
      <c r="L33" s="814">
        <f>('Energie 1'!L248+'Energie 2'!L248+'Hors énergie 1'!M145+'Hors énergie 2'!M145+'Intrants 1'!L365+'Intrants 2'!L363+'Futurs emballages'!L125+Fret!L666+Déplacements!L520+'Déchets directs'!M273+Immobilisations!L310+Utilisation!M169+'Fin de vie'!M300)/1000</f>
        <v>0</v>
      </c>
      <c r="M33" s="88">
        <v>1</v>
      </c>
      <c r="N33" s="918">
        <f t="shared" ca="1" si="17"/>
        <v>82.7475266</v>
      </c>
      <c r="O33" s="918">
        <f t="shared" si="17"/>
        <v>0</v>
      </c>
      <c r="P33" s="918">
        <f t="shared" si="17"/>
        <v>0</v>
      </c>
      <c r="Q33" s="918">
        <f t="shared" si="17"/>
        <v>0</v>
      </c>
      <c r="R33" s="801">
        <f t="shared" ca="1" si="17"/>
        <v>82.7475266</v>
      </c>
      <c r="S33" s="918">
        <f t="shared" si="17"/>
        <v>0</v>
      </c>
      <c r="T33" s="632">
        <f t="shared" si="17"/>
        <v>19.859199601136226</v>
      </c>
      <c r="U33" s="918">
        <f t="shared" si="17"/>
        <v>0</v>
      </c>
    </row>
    <row r="34" spans="2:21" ht="12.75" customHeight="1">
      <c r="B34" s="2970"/>
      <c r="C34" s="232">
        <v>23</v>
      </c>
      <c r="D34" s="51" t="s">
        <v>449</v>
      </c>
      <c r="E34" s="918">
        <f>('Energie 1'!E249+'Energie 2'!E249+'Hors énergie 1'!E146+'Hors énergie 2'!E146+'Intrants 1'!E366+'Intrants 2'!E364+'Futurs emballages'!E126+Fret!E667+Déplacements!E521+'Déchets directs'!E274+Immobilisations!E311+Utilisation!E170+'Fin de vie'!E301)/1000</f>
        <v>0</v>
      </c>
      <c r="F34" s="918">
        <f>('Energie 1'!F249+'Energie 2'!F249+'Hors énergie 1'!F146+'Hors énergie 2'!F146+'Intrants 1'!F366+'Intrants 2'!F364+'Futurs emballages'!F126+Fret!F667+Déplacements!F521+'Déchets directs'!F274+Immobilisations!F311+Utilisation!F170+'Fin de vie'!F301)/1000</f>
        <v>0</v>
      </c>
      <c r="G34" s="918">
        <f>('Energie 1'!G249+'Energie 2'!G249+'Hors énergie 1'!G146+'Hors énergie 2'!G146+'Intrants 1'!G366+'Intrants 2'!G364+'Futurs emballages'!G126+Fret!G667+Déplacements!G521+'Déchets directs'!G274+Immobilisations!G311+Utilisation!G170+'Fin de vie'!G301)/1000</f>
        <v>0</v>
      </c>
      <c r="H34" s="918">
        <f>('Energie 1'!H249+'Energie 2'!H249+'Hors énergie 1'!H146+'Hors énergie 2'!H146+'Intrants 1'!H366+'Intrants 2'!H364+'Futurs emballages'!H126+Fret!H667+Déplacements!H521+'Déchets directs'!H274+Immobilisations!H311+Utilisation!H170+'Fin de vie'!H301)/1000</f>
        <v>0</v>
      </c>
      <c r="I34" s="814">
        <f>('Energie 1'!I249+'Energie 2'!I249+'Hors énergie 1'!I146+'Hors énergie 2'!I146+'Intrants 1'!I366+'Intrants 2'!I364+'Futurs emballages'!I126+Fret!I667+Déplacements!I521+'Déchets directs'!I274+Immobilisations!I311+Utilisation!I170+'Fin de vie'!I301)/1000</f>
        <v>0</v>
      </c>
      <c r="J34" s="918">
        <f>('Energie 1'!J249+'Energie 2'!J249+'Hors énergie 1'!J146+'Hors énergie 2'!J146+'Intrants 1'!J366+'Intrants 2'!J364+'Futurs emballages'!J126+Fret!J667+Déplacements!J521+'Déchets directs'!J274+Immobilisations!J311+Utilisation!J170+'Fin de vie'!J301)/1000</f>
        <v>0</v>
      </c>
      <c r="K34" s="632">
        <f>SQRT('Energie 1'!K249^2+'Energie 2'!K249^2+'Hors énergie 1'!L146^2+'Hors énergie 2'!L146^2+'Intrants 1'!K366^2+'Intrants 2'!K364^2+'Futurs emballages'!K126^2+Fret!K667^2+Déplacements!K521^2+'Déchets directs'!L274^2+Immobilisations!K311^2+Utilisation!L170^2+'Fin de vie'!L301^2)/1000</f>
        <v>0</v>
      </c>
      <c r="L34" s="814">
        <f>('Energie 1'!L249+'Energie 2'!L249+'Hors énergie 1'!M146+'Hors énergie 2'!M146+'Intrants 1'!L366+'Intrants 2'!L364+'Futurs emballages'!L126+Fret!L667+Déplacements!L521+'Déchets directs'!M274+Immobilisations!L311+Utilisation!M170+'Fin de vie'!M301)/1000</f>
        <v>0</v>
      </c>
      <c r="M34" s="88">
        <v>1</v>
      </c>
      <c r="N34" s="918">
        <f t="shared" si="17"/>
        <v>0</v>
      </c>
      <c r="O34" s="918">
        <f t="shared" si="17"/>
        <v>0</v>
      </c>
      <c r="P34" s="918">
        <f t="shared" si="17"/>
        <v>0</v>
      </c>
      <c r="Q34" s="918">
        <f t="shared" si="17"/>
        <v>0</v>
      </c>
      <c r="R34" s="801">
        <f t="shared" si="17"/>
        <v>0</v>
      </c>
      <c r="S34" s="918">
        <f t="shared" si="17"/>
        <v>0</v>
      </c>
      <c r="T34" s="632">
        <f t="shared" si="17"/>
        <v>0</v>
      </c>
      <c r="U34" s="918">
        <f t="shared" si="17"/>
        <v>0</v>
      </c>
    </row>
    <row r="35" spans="2:21" ht="12.75" customHeight="1">
      <c r="B35" s="2971"/>
      <c r="C35" s="2706" t="s">
        <v>439</v>
      </c>
      <c r="D35" s="2707"/>
      <c r="E35" s="919" t="e">
        <f t="shared" ref="E35:J35" ca="1" si="18">SUM(E19:E34)</f>
        <v>#REF!</v>
      </c>
      <c r="F35" s="919">
        <f t="shared" ca="1" si="18"/>
        <v>5.8792345920000004</v>
      </c>
      <c r="G35" s="919">
        <f t="shared" ca="1" si="18"/>
        <v>1.483662E-2</v>
      </c>
      <c r="H35" s="919">
        <f t="shared" ca="1" si="18"/>
        <v>0.70032839999999996</v>
      </c>
      <c r="I35" s="642" t="e">
        <f t="shared" ca="1" si="18"/>
        <v>#REF!</v>
      </c>
      <c r="J35" s="919">
        <f t="shared" ca="1" si="18"/>
        <v>1.4507399999999999</v>
      </c>
      <c r="K35" s="635">
        <f>SQRT(SUMSQ(K19:K34))</f>
        <v>433.14741399064314</v>
      </c>
      <c r="L35" s="642">
        <f>SUM(L19:L34)</f>
        <v>0</v>
      </c>
      <c r="M35" s="84"/>
      <c r="N35" s="919" t="e">
        <f t="shared" ref="N35:S35" ca="1" si="19">SUM(N19:N34)</f>
        <v>#REF!</v>
      </c>
      <c r="O35" s="919">
        <f t="shared" ca="1" si="19"/>
        <v>5.8792345920000004</v>
      </c>
      <c r="P35" s="919">
        <f t="shared" ca="1" si="19"/>
        <v>1.483662E-2</v>
      </c>
      <c r="Q35" s="919">
        <f t="shared" ca="1" si="19"/>
        <v>0.70032839999999996</v>
      </c>
      <c r="R35" s="642" t="e">
        <f t="shared" ca="1" si="19"/>
        <v>#REF!</v>
      </c>
      <c r="S35" s="919">
        <f t="shared" ca="1" si="19"/>
        <v>1.4507399999999999</v>
      </c>
      <c r="T35" s="635">
        <f>SQRT(SUMSQ(T19:T34))</f>
        <v>433.14741399064314</v>
      </c>
      <c r="U35" s="642">
        <f>SUM(U19:U34)</f>
        <v>0</v>
      </c>
    </row>
    <row r="36" spans="2:21"/>
    <row r="37" spans="2:21" s="114" customFormat="1">
      <c r="H37" s="844"/>
      <c r="O37" s="441"/>
      <c r="P37" s="441"/>
      <c r="Q37" s="441"/>
      <c r="R37" s="441"/>
      <c r="S37" s="441"/>
      <c r="T37" s="441"/>
      <c r="U37" s="441"/>
    </row>
    <row r="38" spans="2:21" s="114" customFormat="1" ht="20.25" customHeight="1">
      <c r="B38" s="2953" t="s">
        <v>892</v>
      </c>
      <c r="C38" s="2954"/>
      <c r="D38" s="2954"/>
      <c r="E38" s="1018" t="s">
        <v>766</v>
      </c>
      <c r="H38" s="844"/>
      <c r="O38" s="441"/>
      <c r="P38" s="441"/>
      <c r="Q38" s="441"/>
      <c r="R38" s="441"/>
      <c r="S38" s="441"/>
      <c r="T38" s="441"/>
      <c r="U38" s="441"/>
    </row>
    <row r="39" spans="2:21" s="114" customFormat="1">
      <c r="H39" s="844"/>
      <c r="O39" s="441"/>
      <c r="P39" s="441"/>
      <c r="Q39" s="441"/>
      <c r="R39" s="441"/>
      <c r="S39" s="441"/>
      <c r="T39" s="441"/>
      <c r="U39" s="441"/>
    </row>
    <row r="40" spans="2:21" ht="37.5" customHeight="1">
      <c r="B40" s="2953" t="s">
        <v>691</v>
      </c>
      <c r="C40" s="2954"/>
      <c r="D40" s="2954"/>
      <c r="E40" s="837" t="e">
        <f ca="1">'Recap CO2e'!C144-IF(E38="Oui",SUM(I15,I18,I35),I15+I18+I35+('Hors énergie 1'!K124+'Hors énergie 2'!K124+'Hors énergie 1'!K125+'Hors énergie 2'!K125+'Déchets directs'!K262+'Hors énergie 1'!K137+'Hors énergie 2'!K137+Utilisation!K165+'Fin de vie'!K297+Utilisation!K168+'Fin de vie'!K299+'Hors énergie 1'!K146+'Hors énergie 2'!K146+Déplacements!I523)/1000)</f>
        <v>#REF!</v>
      </c>
      <c r="F40" s="2967" t="e">
        <f ca="1">IF(ABS(E40)&lt;=SQRT(SUM(K15,K18,K35))," Ok"," Attention : il existe une différence entre les émissions totales et la somme des émissions ventilées par GES à destination du Bilan réglementaire. La caractérisation d'une ou plusieurs sources d'émissions n'a pas été effectuée correctement.")</f>
        <v>#REF!</v>
      </c>
      <c r="G40" s="2968"/>
      <c r="H40" s="2968"/>
      <c r="I40" s="2968"/>
      <c r="J40" s="2968"/>
      <c r="K40" s="2968"/>
      <c r="L40" s="2968"/>
      <c r="M40" s="2968"/>
      <c r="N40" s="2968"/>
      <c r="O40" s="2968"/>
      <c r="P40" s="2968"/>
      <c r="Q40" s="2968"/>
      <c r="R40" s="2968"/>
      <c r="S40" s="2968"/>
      <c r="T40" s="2968"/>
      <c r="U40" s="2968"/>
    </row>
    <row r="41" spans="2:21" s="114" customFormat="1">
      <c r="O41" s="441"/>
      <c r="P41" s="441"/>
      <c r="Q41" s="441"/>
      <c r="R41" s="441"/>
      <c r="S41" s="441"/>
      <c r="T41" s="441"/>
      <c r="U41" s="441"/>
    </row>
    <row r="42" spans="2:21" s="114" customFormat="1" ht="24.9" customHeight="1">
      <c r="B42" s="2953" t="s">
        <v>692</v>
      </c>
      <c r="C42" s="2954"/>
      <c r="D42" s="2954"/>
      <c r="E42" s="837">
        <f ca="1">(I10+I11)-(E10+E11+F10+F11+G10+G11+H10+H11)</f>
        <v>0</v>
      </c>
      <c r="F42" s="836" t="str">
        <f ca="1">IF(E42=0," Ok"," Attention : le choix d'un ou plusieurs facteurs d'émissions n'a pas été effectuée correctement.")</f>
        <v xml:space="preserve"> Ok</v>
      </c>
      <c r="O42" s="441"/>
      <c r="P42" s="441"/>
      <c r="Q42" s="441"/>
      <c r="R42" s="441"/>
      <c r="S42" s="441"/>
      <c r="T42" s="441"/>
      <c r="U42" s="441"/>
    </row>
    <row r="43" spans="2:21" s="114" customFormat="1">
      <c r="M43" s="441"/>
      <c r="N43" s="441"/>
      <c r="O43" s="441"/>
      <c r="P43" s="441"/>
      <c r="Q43" s="441"/>
      <c r="R43" s="441"/>
      <c r="S43" s="441"/>
      <c r="T43" s="441"/>
      <c r="U43" s="441"/>
    </row>
    <row r="44" spans="2:21" s="114" customFormat="1">
      <c r="B44" s="2955" t="s">
        <v>694</v>
      </c>
      <c r="C44" s="2956"/>
      <c r="D44" s="2956"/>
      <c r="E44" s="2956"/>
      <c r="F44" s="2956"/>
      <c r="G44" s="2956"/>
      <c r="H44" s="2956"/>
      <c r="I44" s="2956"/>
      <c r="J44" s="2956"/>
      <c r="K44" s="2957"/>
      <c r="M44" s="441"/>
      <c r="N44" s="441"/>
      <c r="O44" s="441"/>
      <c r="P44" s="441"/>
      <c r="Q44" s="441"/>
      <c r="R44" s="441"/>
      <c r="S44" s="441"/>
      <c r="T44" s="441"/>
      <c r="U44" s="441"/>
    </row>
    <row r="45" spans="2:21" s="114" customFormat="1">
      <c r="B45" s="2958"/>
      <c r="C45" s="2959"/>
      <c r="D45" s="2959"/>
      <c r="E45" s="2959"/>
      <c r="F45" s="2959"/>
      <c r="G45" s="2959"/>
      <c r="H45" s="2959"/>
      <c r="I45" s="2959"/>
      <c r="J45" s="2959"/>
      <c r="K45" s="2960"/>
      <c r="M45" s="441"/>
      <c r="N45" s="441"/>
      <c r="O45" s="441"/>
      <c r="P45" s="441"/>
      <c r="Q45" s="441"/>
      <c r="R45" s="441"/>
      <c r="S45" s="441"/>
      <c r="T45" s="441"/>
      <c r="U45" s="441"/>
    </row>
    <row r="46" spans="2:21" s="114" customFormat="1">
      <c r="B46" s="2961" t="s">
        <v>695</v>
      </c>
      <c r="C46" s="2962"/>
      <c r="D46" s="2962"/>
      <c r="E46" s="2962"/>
      <c r="F46" s="2962"/>
      <c r="G46" s="2962"/>
      <c r="H46" s="2962"/>
      <c r="I46" s="2962"/>
      <c r="J46" s="2962"/>
      <c r="K46" s="2963"/>
      <c r="M46" s="441"/>
      <c r="N46" s="441"/>
      <c r="O46" s="441"/>
      <c r="P46" s="441"/>
      <c r="Q46" s="441"/>
      <c r="R46" s="441"/>
      <c r="S46" s="441"/>
      <c r="T46" s="441"/>
      <c r="U46" s="441"/>
    </row>
    <row r="47" spans="2:21" s="114" customFormat="1">
      <c r="B47" s="2964" t="s">
        <v>693</v>
      </c>
      <c r="C47" s="2965"/>
      <c r="D47" s="2965"/>
      <c r="E47" s="2965"/>
      <c r="F47" s="2965"/>
      <c r="G47" s="2965"/>
      <c r="H47" s="2965"/>
      <c r="I47" s="2965"/>
      <c r="J47" s="2965"/>
      <c r="K47" s="2966"/>
      <c r="M47" s="441"/>
      <c r="N47" s="441"/>
      <c r="O47" s="441"/>
      <c r="P47" s="441"/>
      <c r="Q47" s="441"/>
      <c r="R47" s="441"/>
      <c r="S47" s="441"/>
      <c r="T47" s="441"/>
      <c r="U47" s="441"/>
    </row>
    <row r="48" spans="2:21" s="114" customFormat="1">
      <c r="M48" s="441"/>
      <c r="N48" s="441"/>
      <c r="O48" s="441"/>
      <c r="P48" s="441"/>
      <c r="Q48" s="441"/>
      <c r="R48" s="441"/>
      <c r="S48" s="441"/>
      <c r="T48" s="441"/>
      <c r="U48" s="441"/>
    </row>
    <row r="49" spans="4:21" s="114" customFormat="1">
      <c r="O49" s="441"/>
      <c r="P49" s="441"/>
      <c r="Q49" s="441"/>
      <c r="R49" s="441"/>
      <c r="S49" s="441"/>
      <c r="T49" s="441"/>
      <c r="U49" s="441"/>
    </row>
    <row r="50" spans="4:21">
      <c r="D50" s="114"/>
      <c r="E50" s="2674" t="s">
        <v>499</v>
      </c>
      <c r="F50" s="2675"/>
      <c r="G50" s="2675"/>
      <c r="H50" s="2676"/>
    </row>
    <row r="51" spans="4:21">
      <c r="D51" s="114"/>
      <c r="E51" s="489" t="s">
        <v>43</v>
      </c>
      <c r="F51" s="489" t="s">
        <v>522</v>
      </c>
      <c r="G51" s="489" t="s">
        <v>522</v>
      </c>
      <c r="H51" s="489" t="s">
        <v>523</v>
      </c>
    </row>
    <row r="52" spans="4:21">
      <c r="D52" s="87" t="s">
        <v>488</v>
      </c>
      <c r="E52" s="815">
        <f>I10-K10</f>
        <v>290.00520936134041</v>
      </c>
      <c r="F52" s="815">
        <f>I10</f>
        <v>304.75427791599998</v>
      </c>
      <c r="G52" s="815">
        <f>I10</f>
        <v>304.75427791599998</v>
      </c>
      <c r="H52" s="815">
        <f>I10+K10</f>
        <v>319.50334647065955</v>
      </c>
    </row>
    <row r="53" spans="4:21">
      <c r="D53" s="87" t="s">
        <v>489</v>
      </c>
      <c r="E53" s="815">
        <f ca="1">I11-K11</f>
        <v>0</v>
      </c>
      <c r="F53" s="815">
        <f ca="1">I11</f>
        <v>0</v>
      </c>
      <c r="G53" s="815">
        <f ca="1">I11</f>
        <v>0</v>
      </c>
      <c r="H53" s="815">
        <f ca="1">I11+K11</f>
        <v>0</v>
      </c>
    </row>
    <row r="54" spans="4:21">
      <c r="D54" s="87" t="s">
        <v>490</v>
      </c>
      <c r="E54" s="815">
        <f>I12-K12</f>
        <v>0</v>
      </c>
      <c r="F54" s="815">
        <f>I12</f>
        <v>0</v>
      </c>
      <c r="G54" s="815">
        <f>I12</f>
        <v>0</v>
      </c>
      <c r="H54" s="815">
        <f>I12+K12</f>
        <v>0</v>
      </c>
    </row>
    <row r="55" spans="4:21">
      <c r="D55" s="87" t="s">
        <v>491</v>
      </c>
      <c r="E55" s="815">
        <f>I13-K13</f>
        <v>0.2026157379105184</v>
      </c>
      <c r="F55" s="815">
        <f>I13</f>
        <v>0.48599999999999999</v>
      </c>
      <c r="G55" s="815">
        <f>I13</f>
        <v>0.48599999999999999</v>
      </c>
      <c r="H55" s="815">
        <f>I13+K13</f>
        <v>0.76938426208948152</v>
      </c>
    </row>
    <row r="56" spans="4:21">
      <c r="D56" s="87" t="s">
        <v>492</v>
      </c>
      <c r="E56" s="815">
        <f>I14-K14</f>
        <v>0</v>
      </c>
      <c r="F56" s="815">
        <f>I14</f>
        <v>0</v>
      </c>
      <c r="G56" s="815">
        <f>I14</f>
        <v>0</v>
      </c>
      <c r="H56" s="815">
        <f>I14+K14</f>
        <v>0</v>
      </c>
    </row>
    <row r="57" spans="4:21">
      <c r="D57" s="87" t="s">
        <v>485</v>
      </c>
      <c r="E57" s="815">
        <f>I16-K16</f>
        <v>17.36097165</v>
      </c>
      <c r="F57" s="815">
        <f>I16</f>
        <v>19.289968500000001</v>
      </c>
      <c r="G57" s="815">
        <f>I16</f>
        <v>19.289968500000001</v>
      </c>
      <c r="H57" s="815">
        <f>I16+K16</f>
        <v>21.218965350000001</v>
      </c>
    </row>
    <row r="58" spans="4:21">
      <c r="D58" s="87" t="s">
        <v>486</v>
      </c>
      <c r="E58" s="815">
        <f>I17-K17</f>
        <v>0</v>
      </c>
      <c r="F58" s="815">
        <f>I17</f>
        <v>0</v>
      </c>
      <c r="G58" s="815">
        <f>I17</f>
        <v>0</v>
      </c>
      <c r="H58" s="815">
        <f>I17+K17</f>
        <v>0</v>
      </c>
    </row>
    <row r="59" spans="4:21">
      <c r="D59" s="87" t="s">
        <v>487</v>
      </c>
      <c r="E59" s="815">
        <f t="shared" ref="E59:E74" ca="1" si="20">I19-K19</f>
        <v>70.846139606139346</v>
      </c>
      <c r="F59" s="815">
        <f t="shared" ref="F59:F64" ca="1" si="21">I19</f>
        <v>74.061055211999985</v>
      </c>
      <c r="G59" s="815">
        <f t="shared" ref="G59:G64" ca="1" si="22">I19</f>
        <v>74.061055211999985</v>
      </c>
      <c r="H59" s="815">
        <f t="shared" ref="H59:H74" ca="1" si="23">I19+K19</f>
        <v>77.275970817860625</v>
      </c>
    </row>
    <row r="60" spans="4:21">
      <c r="D60" s="87" t="s">
        <v>467</v>
      </c>
      <c r="E60" s="815">
        <f t="shared" si="20"/>
        <v>2430.6416902533706</v>
      </c>
      <c r="F60" s="815">
        <f t="shared" si="21"/>
        <v>2816.2550000000001</v>
      </c>
      <c r="G60" s="815">
        <f t="shared" si="22"/>
        <v>2816.2550000000001</v>
      </c>
      <c r="H60" s="815">
        <f t="shared" si="23"/>
        <v>3201.8683097466296</v>
      </c>
    </row>
    <row r="61" spans="4:21">
      <c r="D61" s="87" t="s">
        <v>468</v>
      </c>
      <c r="E61" s="815">
        <f t="shared" si="20"/>
        <v>31.794991525940851</v>
      </c>
      <c r="F61" s="815">
        <f t="shared" si="21"/>
        <v>43.928386666666668</v>
      </c>
      <c r="G61" s="815">
        <f t="shared" si="22"/>
        <v>43.928386666666668</v>
      </c>
      <c r="H61" s="815">
        <f t="shared" si="23"/>
        <v>56.061781807392485</v>
      </c>
    </row>
    <row r="62" spans="4:21">
      <c r="D62" s="87" t="s">
        <v>386</v>
      </c>
      <c r="E62" s="815">
        <f t="shared" si="20"/>
        <v>33.258177681966416</v>
      </c>
      <c r="F62" s="815">
        <f t="shared" si="21"/>
        <v>39.17</v>
      </c>
      <c r="G62" s="815">
        <f t="shared" si="22"/>
        <v>39.17</v>
      </c>
      <c r="H62" s="815">
        <f t="shared" si="23"/>
        <v>45.081822318033588</v>
      </c>
    </row>
    <row r="63" spans="4:21">
      <c r="D63" s="87" t="s">
        <v>469</v>
      </c>
      <c r="E63" s="815">
        <f t="shared" si="20"/>
        <v>215.20138589866332</v>
      </c>
      <c r="F63" s="815">
        <f t="shared" si="21"/>
        <v>295.73983500000003</v>
      </c>
      <c r="G63" s="815">
        <f t="shared" si="22"/>
        <v>295.73983500000003</v>
      </c>
      <c r="H63" s="815">
        <f t="shared" si="23"/>
        <v>376.27828410133674</v>
      </c>
    </row>
    <row r="64" spans="4:21">
      <c r="D64" s="87" t="s">
        <v>470</v>
      </c>
      <c r="E64" s="815">
        <f t="shared" si="20"/>
        <v>0.62717471848814743</v>
      </c>
      <c r="F64" s="815">
        <f t="shared" si="21"/>
        <v>1.480896</v>
      </c>
      <c r="G64" s="815">
        <f t="shared" si="22"/>
        <v>1.480896</v>
      </c>
      <c r="H64" s="815">
        <f t="shared" si="23"/>
        <v>2.3346172815118527</v>
      </c>
    </row>
    <row r="65" spans="4:8">
      <c r="D65" s="87" t="s">
        <v>471</v>
      </c>
      <c r="E65" s="815">
        <f t="shared" si="20"/>
        <v>0</v>
      </c>
      <c r="F65" s="815">
        <f t="shared" ref="F65:F74" si="24">I25</f>
        <v>0</v>
      </c>
      <c r="G65" s="815">
        <f t="shared" ref="G65:G74" si="25">I25</f>
        <v>0</v>
      </c>
      <c r="H65" s="815">
        <f t="shared" si="23"/>
        <v>0</v>
      </c>
    </row>
    <row r="66" spans="4:8">
      <c r="D66" s="87" t="s">
        <v>472</v>
      </c>
      <c r="E66" s="815">
        <f t="shared" si="20"/>
        <v>10.396493614093007</v>
      </c>
      <c r="F66" s="815">
        <f t="shared" si="24"/>
        <v>18.927</v>
      </c>
      <c r="G66" s="815">
        <f t="shared" si="25"/>
        <v>18.927</v>
      </c>
      <c r="H66" s="815">
        <f t="shared" si="23"/>
        <v>27.457506385906992</v>
      </c>
    </row>
    <row r="67" spans="4:8">
      <c r="D67" s="87" t="s">
        <v>473</v>
      </c>
      <c r="E67" s="815">
        <f t="shared" si="20"/>
        <v>0</v>
      </c>
      <c r="F67" s="815">
        <f t="shared" si="24"/>
        <v>0</v>
      </c>
      <c r="G67" s="815">
        <f t="shared" si="25"/>
        <v>0</v>
      </c>
      <c r="H67" s="815">
        <f t="shared" si="23"/>
        <v>0</v>
      </c>
    </row>
    <row r="68" spans="4:8">
      <c r="D68" s="87" t="s">
        <v>474</v>
      </c>
      <c r="E68" s="815">
        <f t="shared" si="20"/>
        <v>0</v>
      </c>
      <c r="F68" s="815">
        <f t="shared" si="24"/>
        <v>0</v>
      </c>
      <c r="G68" s="815">
        <f t="shared" si="25"/>
        <v>0</v>
      </c>
      <c r="H68" s="815">
        <f t="shared" si="23"/>
        <v>0</v>
      </c>
    </row>
    <row r="69" spans="4:8">
      <c r="D69" s="87" t="s">
        <v>475</v>
      </c>
      <c r="E69" s="815">
        <f t="shared" si="20"/>
        <v>4.7807839760070054</v>
      </c>
      <c r="F69" s="815">
        <f t="shared" si="24"/>
        <v>5.3314577495621718</v>
      </c>
      <c r="G69" s="815">
        <f t="shared" si="25"/>
        <v>5.3314577495621718</v>
      </c>
      <c r="H69" s="815">
        <f t="shared" si="23"/>
        <v>5.8821315231173381</v>
      </c>
    </row>
    <row r="70" spans="4:8">
      <c r="D70" s="87" t="s">
        <v>476</v>
      </c>
      <c r="E70" s="815" t="e">
        <f t="shared" si="20"/>
        <v>#REF!</v>
      </c>
      <c r="F70" s="815" t="e">
        <f t="shared" si="24"/>
        <v>#REF!</v>
      </c>
      <c r="G70" s="815" t="e">
        <f t="shared" si="25"/>
        <v>#REF!</v>
      </c>
      <c r="H70" s="815" t="e">
        <f t="shared" si="23"/>
        <v>#REF!</v>
      </c>
    </row>
    <row r="71" spans="4:8">
      <c r="D71" s="87" t="s">
        <v>477</v>
      </c>
      <c r="E71" s="815">
        <f t="shared" si="20"/>
        <v>0</v>
      </c>
      <c r="F71" s="815">
        <f t="shared" si="24"/>
        <v>0</v>
      </c>
      <c r="G71" s="815">
        <f t="shared" si="25"/>
        <v>0</v>
      </c>
      <c r="H71" s="815">
        <f t="shared" si="23"/>
        <v>0</v>
      </c>
    </row>
    <row r="72" spans="4:8">
      <c r="D72" s="87" t="s">
        <v>478</v>
      </c>
      <c r="E72" s="815">
        <f t="shared" si="20"/>
        <v>0</v>
      </c>
      <c r="F72" s="815">
        <f t="shared" si="24"/>
        <v>0</v>
      </c>
      <c r="G72" s="815">
        <f t="shared" si="25"/>
        <v>0</v>
      </c>
      <c r="H72" s="815">
        <f t="shared" si="23"/>
        <v>0</v>
      </c>
    </row>
    <row r="73" spans="4:8">
      <c r="D73" s="87" t="s">
        <v>479</v>
      </c>
      <c r="E73" s="815">
        <f t="shared" ca="1" si="20"/>
        <v>62.888326998863775</v>
      </c>
      <c r="F73" s="815">
        <f t="shared" ca="1" si="24"/>
        <v>82.7475266</v>
      </c>
      <c r="G73" s="815">
        <f t="shared" ca="1" si="25"/>
        <v>82.7475266</v>
      </c>
      <c r="H73" s="815">
        <f t="shared" ca="1" si="23"/>
        <v>102.60672620113623</v>
      </c>
    </row>
    <row r="74" spans="4:8">
      <c r="D74" s="87" t="s">
        <v>449</v>
      </c>
      <c r="E74" s="815">
        <f t="shared" si="20"/>
        <v>0</v>
      </c>
      <c r="F74" s="815">
        <f t="shared" si="24"/>
        <v>0</v>
      </c>
      <c r="G74" s="815">
        <f t="shared" si="25"/>
        <v>0</v>
      </c>
      <c r="H74" s="815">
        <f t="shared" si="23"/>
        <v>0</v>
      </c>
    </row>
    <row r="75" spans="4:8"/>
    <row r="82"/>
    <row r="83"/>
    <row r="84"/>
    <row r="85"/>
  </sheetData>
  <mergeCells count="24">
    <mergeCell ref="B38:D38"/>
    <mergeCell ref="E8:K8"/>
    <mergeCell ref="E7:L7"/>
    <mergeCell ref="N8:T8"/>
    <mergeCell ref="N7:U7"/>
    <mergeCell ref="B10:B15"/>
    <mergeCell ref="B16:B18"/>
    <mergeCell ref="B2:M2"/>
    <mergeCell ref="B19:B35"/>
    <mergeCell ref="C15:D15"/>
    <mergeCell ref="C18:D18"/>
    <mergeCell ref="C35:D35"/>
    <mergeCell ref="B4:D4"/>
    <mergeCell ref="B5:D5"/>
    <mergeCell ref="B7:C7"/>
    <mergeCell ref="G4:R5"/>
    <mergeCell ref="B40:D40"/>
    <mergeCell ref="B42:D42"/>
    <mergeCell ref="E50:H50"/>
    <mergeCell ref="B44:K44"/>
    <mergeCell ref="B45:K45"/>
    <mergeCell ref="B46:K46"/>
    <mergeCell ref="B47:K47"/>
    <mergeCell ref="F40:U40"/>
  </mergeCells>
  <dataValidations disablePrompts="1" count="1">
    <dataValidation type="list" allowBlank="1" showInputMessage="1" showErrorMessage="1" sqref="E4:E5 E38" xr:uid="{00000000-0002-0000-1100-000000000000}">
      <formula1>Liste_Franchises</formula1>
    </dataValidation>
  </dataValidations>
  <hyperlinks>
    <hyperlink ref="B7" location="Descriptif!A1" display="Retour au Descriptif" xr:uid="{00000000-0004-0000-1100-000000000000}"/>
  </hyperlink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D833"/>
  </sheetPr>
  <dimension ref="A1:AA63"/>
  <sheetViews>
    <sheetView showGridLines="0" zoomScale="85" zoomScaleNormal="85" workbookViewId="0">
      <pane ySplit="9" topLeftCell="A10" activePane="bottomLeft" state="frozen"/>
      <selection pane="bottomLeft"/>
    </sheetView>
  </sheetViews>
  <sheetFormatPr baseColWidth="10" defaultColWidth="11.375" defaultRowHeight="13.2" zeroHeight="1"/>
  <cols>
    <col min="1" max="1" width="2.75" style="91" customWidth="1"/>
    <col min="2" max="2" width="17" style="91" customWidth="1"/>
    <col min="3" max="3" width="10.25" style="91" customWidth="1"/>
    <col min="4" max="4" width="49.375" style="91" customWidth="1"/>
    <col min="5" max="15" width="11.25" style="91" customWidth="1"/>
    <col min="16" max="16384" width="11.375" style="91"/>
  </cols>
  <sheetData>
    <row r="1" spans="1:27" s="114" customFormat="1">
      <c r="N1" s="441"/>
      <c r="O1" s="441"/>
      <c r="P1" s="441"/>
      <c r="Q1" s="441"/>
      <c r="R1" s="441"/>
      <c r="S1" s="441"/>
      <c r="T1" s="441"/>
      <c r="U1" s="441"/>
    </row>
    <row r="2" spans="1:27" s="114" customFormat="1" ht="30" customHeight="1">
      <c r="B2" s="2944" t="s">
        <v>816</v>
      </c>
      <c r="C2" s="2945"/>
      <c r="D2" s="2945"/>
      <c r="E2" s="2945"/>
      <c r="F2" s="2945"/>
      <c r="G2" s="2945"/>
      <c r="H2" s="2945"/>
      <c r="I2" s="2945"/>
      <c r="J2" s="2945"/>
      <c r="K2" s="2945"/>
      <c r="L2" s="2945"/>
      <c r="M2" s="2945"/>
      <c r="N2" s="2945"/>
      <c r="O2" s="2952"/>
      <c r="P2" s="977"/>
      <c r="Q2" s="975"/>
      <c r="R2" s="975"/>
      <c r="S2" s="975"/>
      <c r="T2" s="975"/>
      <c r="U2" s="975"/>
      <c r="V2" s="264"/>
      <c r="W2" s="264"/>
    </row>
    <row r="3" spans="1:27" s="869" customFormat="1">
      <c r="A3" s="114"/>
    </row>
    <row r="4" spans="1:27" s="869" customFormat="1" ht="13.8">
      <c r="A4" s="114"/>
      <c r="B4" s="2948" t="s">
        <v>767</v>
      </c>
      <c r="C4" s="2972"/>
      <c r="D4" s="2949"/>
      <c r="E4" s="965" t="s">
        <v>768</v>
      </c>
    </row>
    <row r="5" spans="1:27" s="869" customFormat="1" ht="13.8">
      <c r="A5" s="114"/>
      <c r="B5" s="2948" t="s">
        <v>770</v>
      </c>
      <c r="C5" s="2972"/>
      <c r="D5" s="2949"/>
      <c r="E5" s="965" t="s">
        <v>768</v>
      </c>
    </row>
    <row r="6" spans="1:27" s="114" customFormat="1"/>
    <row r="7" spans="1:27" s="114" customFormat="1" ht="15.6">
      <c r="B7" s="2761" t="s">
        <v>894</v>
      </c>
      <c r="C7" s="2762"/>
      <c r="E7" s="2990" t="s">
        <v>539</v>
      </c>
      <c r="F7" s="2991"/>
      <c r="G7" s="2991"/>
      <c r="H7" s="2991"/>
      <c r="I7" s="2991"/>
      <c r="J7" s="2991"/>
      <c r="K7" s="2991"/>
      <c r="L7" s="2991"/>
      <c r="M7" s="2991"/>
      <c r="N7" s="2991"/>
      <c r="O7" s="2992"/>
      <c r="Q7" s="2990" t="s">
        <v>454</v>
      </c>
      <c r="R7" s="2991"/>
      <c r="S7" s="2991"/>
      <c r="T7" s="2991"/>
      <c r="U7" s="2991"/>
      <c r="V7" s="2991"/>
      <c r="W7" s="2991"/>
      <c r="X7" s="2991"/>
      <c r="Y7" s="2991"/>
      <c r="Z7" s="2991"/>
      <c r="AA7" s="2992"/>
    </row>
    <row r="8" spans="1:27" ht="52.8">
      <c r="C8" s="205"/>
      <c r="D8" s="205"/>
      <c r="E8" s="2719" t="s">
        <v>448</v>
      </c>
      <c r="F8" s="2720"/>
      <c r="G8" s="2720"/>
      <c r="H8" s="2720"/>
      <c r="I8" s="2720"/>
      <c r="J8" s="2720"/>
      <c r="K8" s="2720"/>
      <c r="L8" s="2720"/>
      <c r="M8" s="2721"/>
      <c r="N8" s="971" t="s">
        <v>811</v>
      </c>
      <c r="O8" s="968" t="s">
        <v>440</v>
      </c>
      <c r="P8" s="10"/>
      <c r="Q8" s="2719" t="s">
        <v>448</v>
      </c>
      <c r="R8" s="2720"/>
      <c r="S8" s="2720"/>
      <c r="T8" s="2720"/>
      <c r="U8" s="2720"/>
      <c r="V8" s="2720"/>
      <c r="W8" s="2720"/>
      <c r="X8" s="2720"/>
      <c r="Y8" s="2721"/>
      <c r="Z8" s="971" t="s">
        <v>811</v>
      </c>
      <c r="AA8" s="968" t="s">
        <v>440</v>
      </c>
    </row>
    <row r="9" spans="1:27" ht="52.8">
      <c r="B9" s="967" t="s">
        <v>483</v>
      </c>
      <c r="C9" s="970" t="s">
        <v>623</v>
      </c>
      <c r="D9" s="967" t="s">
        <v>438</v>
      </c>
      <c r="E9" s="969" t="s">
        <v>869</v>
      </c>
      <c r="F9" s="969" t="s">
        <v>865</v>
      </c>
      <c r="G9" s="969" t="s">
        <v>866</v>
      </c>
      <c r="H9" s="969" t="s">
        <v>874</v>
      </c>
      <c r="I9" s="969" t="s">
        <v>868</v>
      </c>
      <c r="J9" s="970" t="s">
        <v>517</v>
      </c>
      <c r="K9" s="969" t="s">
        <v>875</v>
      </c>
      <c r="L9" s="969" t="s">
        <v>876</v>
      </c>
      <c r="M9" s="969" t="s">
        <v>516</v>
      </c>
      <c r="N9" s="972" t="s">
        <v>873</v>
      </c>
      <c r="O9" s="974" t="s">
        <v>517</v>
      </c>
      <c r="P9" s="89" t="s">
        <v>622</v>
      </c>
      <c r="Q9" s="969" t="s">
        <v>869</v>
      </c>
      <c r="R9" s="969" t="s">
        <v>865</v>
      </c>
      <c r="S9" s="969" t="s">
        <v>866</v>
      </c>
      <c r="T9" s="969" t="s">
        <v>874</v>
      </c>
      <c r="U9" s="969" t="s">
        <v>868</v>
      </c>
      <c r="V9" s="970" t="s">
        <v>517</v>
      </c>
      <c r="W9" s="969" t="s">
        <v>875</v>
      </c>
      <c r="X9" s="969" t="s">
        <v>876</v>
      </c>
      <c r="Y9" s="969" t="s">
        <v>516</v>
      </c>
      <c r="Z9" s="972" t="s">
        <v>873</v>
      </c>
      <c r="AA9" s="974" t="s">
        <v>517</v>
      </c>
    </row>
    <row r="10" spans="1:27" ht="12.75" customHeight="1">
      <c r="B10" s="2993" t="s">
        <v>276</v>
      </c>
      <c r="C10" s="973">
        <v>1</v>
      </c>
      <c r="D10" s="976" t="s">
        <v>459</v>
      </c>
      <c r="E10" s="980">
        <f>('Energie 1'!E291+'Energie 2'!E291+'Hors énergie 1'!E188+'Hors énergie 2'!E188+'Intrants 1'!E408+'Intrants 2'!E406+'Futurs emballages'!E168+Fret!E709+Déplacements!E563+'Déchets directs'!E316+Immobilisations!E353+Utilisation!E212+'Fin de vie'!E343)/1000</f>
        <v>302.94259600000004</v>
      </c>
      <c r="F10" s="980">
        <f>('Energie 1'!F291+'Energie 2'!F291+'Hors énergie 1'!F188+'Hors énergie 2'!F188+'Intrants 1'!F408+'Intrants 2'!F406+'Futurs emballages'!F168+Fret!F709+Déplacements!F563+'Déchets directs'!F316+Immobilisations!F353+Utilisation!F212+'Fin de vie'!F343)/1000</f>
        <v>0.23429999999999998</v>
      </c>
      <c r="G10" s="980">
        <f>('Energie 1'!G291+'Energie 2'!G291+'Hors énergie 1'!G188+'Hors énergie 2'!G188+'Intrants 1'!G408+'Intrants 2'!G406+'Futurs emballages'!G168+Fret!G709+Déplacements!G563+'Déchets directs'!G316+Immobilisations!G353+Utilisation!G212+'Fin de vie'!G343)/1000</f>
        <v>1.577381916</v>
      </c>
      <c r="H10" s="980">
        <f>('Energie 1'!H291+'Energie 2'!H291+'Hors énergie 1'!H188+'Hors énergie 2'!H188+'Intrants 1'!H408+'Intrants 2'!H406+'Futurs emballages'!H168+Fret!H709+Déplacements!H563+'Déchets directs'!H316+Immobilisations!H353+Utilisation!H212+'Fin de vie'!H343)/1000</f>
        <v>0</v>
      </c>
      <c r="I10" s="980">
        <f>('Energie 1'!I291+'Energie 2'!I291+'Hors énergie 1'!I188+'Hors énergie 2'!I188+'Intrants 1'!I408+'Intrants 2'!I406+'Futurs emballages'!I168+Fret!I709+Déplacements!I563+'Déchets directs'!I316+Immobilisations!I353+Utilisation!I212+'Fin de vie'!I343)/1000</f>
        <v>0</v>
      </c>
      <c r="J10" s="981">
        <f>('Energie 1'!J291+'Energie 2'!J291+'Hors énergie 1'!J188+'Hors énergie 2'!J188+'Intrants 1'!J408+'Intrants 2'!J406+'Futurs emballages'!J168+Fret!J709+Déplacements!J563+'Déchets directs'!J316+Immobilisations!J353+Utilisation!J212+'Fin de vie'!J343)/1000</f>
        <v>304.75427791599998</v>
      </c>
      <c r="K10" s="982">
        <f>('Energie 1'!K291+'Energie 2'!K291+'Hors énergie 1'!K188+'Hors énergie 2'!K188+'Intrants 1'!K408+'Intrants 2'!K406+'Futurs emballages'!K168+Fret!K709+Déplacements!K563+'Déchets directs'!K316+Immobilisations!K353+Utilisation!K212+'Fin de vie'!K343)/1000</f>
        <v>0</v>
      </c>
      <c r="L10" s="982">
        <f>('Energie 1'!L291+'Energie 2'!L291+'Hors énergie 1'!L188+'Hors énergie 2'!L188+'Intrants 1'!L408+'Intrants 2'!L406+'Futurs emballages'!L168+Fret!L709+Déplacements!L563+'Déchets directs'!L316+Immobilisations!L353+Utilisation!L212+'Fin de vie'!L343)/1000</f>
        <v>0</v>
      </c>
      <c r="M10" s="983">
        <f>SQRT('Energie 1'!M291^2+'Energie 2'!M291^2+'Hors énergie 1'!M188^2+'Hors énergie 2'!M188^2+'Intrants 1'!M408^2+'Intrants 2'!M406^2+'Futurs emballages'!M168^2+Fret!M709^2+Déplacements!M563^2+'Déchets directs'!M316^2+Immobilisations!M353^2+Utilisation!M212^2+'Fin de vie'!M343^2)/1000</f>
        <v>14.74906855465958</v>
      </c>
      <c r="N10" s="984">
        <f>('Energie 1'!N291+'Energie 2'!N291+'Hors énergie 1'!N188+'Hors énergie 2'!N188+'Intrants 1'!N408+'Intrants 2'!N406+'Futurs emballages'!N168+Fret!N709+Déplacements!N563+'Déchets directs'!N316+Immobilisations!N353+Utilisation!N212+'Fin de vie'!N343)/1000</f>
        <v>0</v>
      </c>
      <c r="O10" s="2724" t="s">
        <v>817</v>
      </c>
      <c r="P10" s="88">
        <v>1</v>
      </c>
      <c r="Q10" s="980">
        <f>IF($E$4="Oui",0,IF($E$5="Oui",0,E10*$P10))</f>
        <v>302.94259600000004</v>
      </c>
      <c r="R10" s="980">
        <f t="shared" ref="R10:Z10" si="0">IF($E$4="Oui",0,IF($E$5="Oui",0,F10*$P10))</f>
        <v>0.23429999999999998</v>
      </c>
      <c r="S10" s="980">
        <f t="shared" si="0"/>
        <v>1.577381916</v>
      </c>
      <c r="T10" s="980">
        <f t="shared" si="0"/>
        <v>0</v>
      </c>
      <c r="U10" s="980">
        <f t="shared" si="0"/>
        <v>0</v>
      </c>
      <c r="V10" s="981">
        <f t="shared" si="0"/>
        <v>304.75427791599998</v>
      </c>
      <c r="W10" s="982">
        <f t="shared" si="0"/>
        <v>0</v>
      </c>
      <c r="X10" s="982">
        <f t="shared" si="0"/>
        <v>0</v>
      </c>
      <c r="Y10" s="983">
        <f>IF($E$4="Oui",0,IF($E$5="Oui",0,M10*$P10))</f>
        <v>14.74906855465958</v>
      </c>
      <c r="Z10" s="984">
        <f t="shared" si="0"/>
        <v>0</v>
      </c>
      <c r="AA10" s="2724" t="s">
        <v>817</v>
      </c>
    </row>
    <row r="11" spans="1:27">
      <c r="B11" s="2994"/>
      <c r="C11" s="973">
        <v>2</v>
      </c>
      <c r="D11" s="976" t="s">
        <v>722</v>
      </c>
      <c r="E11" s="980">
        <f ca="1">('Energie 1'!E292+'Energie 2'!E292+'Hors énergie 1'!E189+'Hors énergie 2'!E189+'Intrants 1'!E409+'Intrants 2'!E407+'Futurs emballages'!E169+Fret!E710+Déplacements!E564+'Déchets directs'!E317+Immobilisations!E354+Utilisation!E213+'Fin de vie'!E344)/1000</f>
        <v>0</v>
      </c>
      <c r="F11" s="980">
        <f ca="1">('Energie 1'!F292+'Energie 2'!F292+'Hors énergie 1'!F189+'Hors énergie 2'!F189+'Intrants 1'!F409+'Intrants 2'!F407+'Futurs emballages'!F169+Fret!F710+Déplacements!F564+'Déchets directs'!F317+Immobilisations!F354+Utilisation!F213+'Fin de vie'!F344)/1000</f>
        <v>0</v>
      </c>
      <c r="G11" s="980">
        <f ca="1">('Energie 1'!G292+'Energie 2'!G292+'Hors énergie 1'!G189+'Hors énergie 2'!G189+'Intrants 1'!G409+'Intrants 2'!G407+'Futurs emballages'!G169+Fret!G710+Déplacements!G564+'Déchets directs'!G317+Immobilisations!G354+Utilisation!G213+'Fin de vie'!G344)/1000</f>
        <v>0</v>
      </c>
      <c r="H11" s="980">
        <f>('Energie 1'!H292+'Energie 2'!H292+'Hors énergie 1'!H189+'Hors énergie 2'!H189+'Intrants 1'!H409+'Intrants 2'!H407+'Futurs emballages'!H169+Fret!H710+Déplacements!H564+'Déchets directs'!H317+Immobilisations!H354+Utilisation!H213+'Fin de vie'!H344)/1000</f>
        <v>0</v>
      </c>
      <c r="I11" s="980">
        <f ca="1">('Energie 1'!I292+'Energie 2'!I292+'Hors énergie 1'!I189+'Hors énergie 2'!I189+'Intrants 1'!I409+'Intrants 2'!I407+'Futurs emballages'!I169+Fret!I710+Déplacements!I564+'Déchets directs'!I317+Immobilisations!I354+Utilisation!I213+'Fin de vie'!I344)/1000</f>
        <v>0</v>
      </c>
      <c r="J11" s="981">
        <f ca="1">('Energie 1'!J292+'Energie 2'!J292+'Hors énergie 1'!J189+'Hors énergie 2'!J189+'Intrants 1'!J409+'Intrants 2'!J407+'Futurs emballages'!J169+Fret!J710+Déplacements!J564+'Déchets directs'!J317+Immobilisations!J354+Utilisation!J213+'Fin de vie'!J344)/1000</f>
        <v>0</v>
      </c>
      <c r="K11" s="982">
        <f ca="1">('Energie 1'!K292+'Energie 2'!K292+'Hors énergie 1'!K189+'Hors énergie 2'!K189+'Intrants 1'!K409+'Intrants 2'!K407+'Futurs emballages'!K169+Fret!K710+Déplacements!K564+'Déchets directs'!K317+Immobilisations!K354+Utilisation!K213+'Fin de vie'!K344)/1000</f>
        <v>0</v>
      </c>
      <c r="L11" s="982">
        <f>('Energie 1'!L292+'Energie 2'!L292+'Hors énergie 1'!L189+'Hors énergie 2'!L189+'Intrants 1'!L409+'Intrants 2'!L407+'Futurs emballages'!L169+Fret!L710+Déplacements!L564+'Déchets directs'!L317+Immobilisations!L354+Utilisation!L213+'Fin de vie'!L344)/1000</f>
        <v>0</v>
      </c>
      <c r="M11" s="983">
        <f>SQRT('Energie 1'!M292^2+'Energie 2'!M292^2+'Hors énergie 1'!M189^2+'Hors énergie 2'!M189^2+'Intrants 1'!M409^2+'Intrants 2'!M407^2+'Futurs emballages'!M169^2+Fret!M710^2+Déplacements!M564^2+'Déchets directs'!M317^2+Immobilisations!M354^2+Utilisation!M213^2+'Fin de vie'!M344^2)/1000</f>
        <v>0</v>
      </c>
      <c r="N11" s="984">
        <f>('Energie 1'!N292+'Energie 2'!N292+'Hors énergie 1'!N189+'Hors énergie 2'!N189+'Intrants 1'!N409+'Intrants 2'!N407+'Futurs emballages'!N169+Fret!N710+Déplacements!N564+'Déchets directs'!N317+Immobilisations!N354+Utilisation!N213+'Fin de vie'!N344)/1000</f>
        <v>0</v>
      </c>
      <c r="O11" s="2725"/>
      <c r="P11" s="88">
        <v>1</v>
      </c>
      <c r="Q11" s="980">
        <f ca="1">IF($E$4="Oui",0,IF($E$5="Oui",0,E11*$P11))</f>
        <v>0</v>
      </c>
      <c r="R11" s="980">
        <f t="shared" ref="R11:X14" ca="1" si="1">IF($E$4="Oui",0,IF($E$5="Oui",0,F11*$P11))</f>
        <v>0</v>
      </c>
      <c r="S11" s="980">
        <f t="shared" ca="1" si="1"/>
        <v>0</v>
      </c>
      <c r="T11" s="980">
        <f t="shared" si="1"/>
        <v>0</v>
      </c>
      <c r="U11" s="980">
        <f t="shared" ca="1" si="1"/>
        <v>0</v>
      </c>
      <c r="V11" s="981">
        <f t="shared" ca="1" si="1"/>
        <v>0</v>
      </c>
      <c r="W11" s="982">
        <f t="shared" ca="1" si="1"/>
        <v>0</v>
      </c>
      <c r="X11" s="982">
        <f t="shared" si="1"/>
        <v>0</v>
      </c>
      <c r="Y11" s="983">
        <f>IF($E$4="Oui",0,IF($E$5="Oui",0,M11*$P11))</f>
        <v>0</v>
      </c>
      <c r="Z11" s="984">
        <f>IF($E$4="Oui",0,IF($E$5="Oui",0,N11*$P11))</f>
        <v>0</v>
      </c>
      <c r="AA11" s="2725"/>
    </row>
    <row r="12" spans="1:27">
      <c r="B12" s="2994"/>
      <c r="C12" s="973">
        <v>3</v>
      </c>
      <c r="D12" s="976" t="s">
        <v>723</v>
      </c>
      <c r="E12" s="980">
        <f>('Energie 1'!E293+'Energie 2'!E293+'Hors énergie 1'!E190+'Hors énergie 2'!E190+'Intrants 1'!E410+'Intrants 2'!E408+'Futurs emballages'!E170+Fret!E711+Déplacements!E565+'Déchets directs'!E318+Immobilisations!E355+Utilisation!E214+'Fin de vie'!E345)/1000</f>
        <v>0</v>
      </c>
      <c r="F12" s="980">
        <f>('Energie 1'!F293+'Energie 2'!F293+'Hors énergie 1'!F190+'Hors énergie 2'!F190+'Intrants 1'!F410+'Intrants 2'!F408+'Futurs emballages'!F170+Fret!F711+Déplacements!F565+'Déchets directs'!F318+Immobilisations!F355+Utilisation!F214+'Fin de vie'!F345)/1000</f>
        <v>0</v>
      </c>
      <c r="G12" s="980">
        <f>('Energie 1'!G293+'Energie 2'!G293+'Hors énergie 1'!G190+'Hors énergie 2'!G190+'Intrants 1'!G410+'Intrants 2'!G408+'Futurs emballages'!G170+Fret!G711+Déplacements!G565+'Déchets directs'!G318+Immobilisations!G355+Utilisation!G214+'Fin de vie'!G345)/1000</f>
        <v>0</v>
      </c>
      <c r="H12" s="980">
        <f>('Energie 1'!H293+'Energie 2'!H293+'Hors énergie 1'!H190+'Hors énergie 2'!H190+'Intrants 1'!H410+'Intrants 2'!H408+'Futurs emballages'!H170+Fret!H711+Déplacements!H565+'Déchets directs'!H318+Immobilisations!H355+Utilisation!H214+'Fin de vie'!H345)/1000</f>
        <v>0</v>
      </c>
      <c r="I12" s="980">
        <f>('Energie 1'!I293+'Energie 2'!I293+'Hors énergie 1'!I190+'Hors énergie 2'!I190+'Intrants 1'!I410+'Intrants 2'!I408+'Futurs emballages'!I170+Fret!I711+Déplacements!I565+'Déchets directs'!I318+Immobilisations!I355+Utilisation!I214+'Fin de vie'!I345)/1000</f>
        <v>0</v>
      </c>
      <c r="J12" s="981">
        <f>('Energie 1'!J293+'Energie 2'!J293+'Hors énergie 1'!J190+'Hors énergie 2'!J190+'Intrants 1'!J410+'Intrants 2'!J408+'Futurs emballages'!J170+Fret!J711+Déplacements!J565+'Déchets directs'!J318+Immobilisations!J355+Utilisation!J214+'Fin de vie'!J345)/1000</f>
        <v>0</v>
      </c>
      <c r="K12" s="982">
        <f>('Energie 1'!K293+'Energie 2'!K293+'Hors énergie 1'!K190+'Hors énergie 2'!K190+'Intrants 1'!K410+'Intrants 2'!K408+'Futurs emballages'!K170+Fret!K711+Déplacements!K565+'Déchets directs'!K318+Immobilisations!K355+Utilisation!K214+'Fin de vie'!K345)/1000</f>
        <v>0</v>
      </c>
      <c r="L12" s="982">
        <f>('Energie 1'!L293+'Energie 2'!L293+'Hors énergie 1'!L190+'Hors énergie 2'!L190+'Intrants 1'!L410+'Intrants 2'!L408+'Futurs emballages'!L170+Fret!L711+Déplacements!L565+'Déchets directs'!L318+Immobilisations!L355+Utilisation!L214+'Fin de vie'!L345)/1000</f>
        <v>0</v>
      </c>
      <c r="M12" s="983">
        <f>SQRT('Energie 1'!M293^2+'Energie 2'!M293^2+'Hors énergie 1'!M190^2+'Hors énergie 2'!M190^2+'Intrants 1'!M410^2+'Intrants 2'!M408^2+'Futurs emballages'!M170^2+Fret!M711^2+Déplacements!M565^2+'Déchets directs'!M318^2+Immobilisations!M355^2+Utilisation!M214^2+'Fin de vie'!M345^2)/1000</f>
        <v>0</v>
      </c>
      <c r="N12" s="984">
        <f>('Energie 1'!N293+'Energie 2'!N293+'Hors énergie 1'!N190+'Hors énergie 2'!N190+'Intrants 1'!N410+'Intrants 2'!N408+'Futurs emballages'!N170+Fret!N711+Déplacements!N565+'Déchets directs'!N318+Immobilisations!N355+Utilisation!N214+'Fin de vie'!N345)/1000</f>
        <v>0</v>
      </c>
      <c r="O12" s="2725"/>
      <c r="P12" s="88">
        <v>1</v>
      </c>
      <c r="Q12" s="980">
        <f>IF($E$4="Oui",0,IF($E$5="Oui",0,E12*$P12))</f>
        <v>0</v>
      </c>
      <c r="R12" s="980">
        <f t="shared" si="1"/>
        <v>0</v>
      </c>
      <c r="S12" s="980">
        <f t="shared" si="1"/>
        <v>0</v>
      </c>
      <c r="T12" s="980">
        <f t="shared" si="1"/>
        <v>0</v>
      </c>
      <c r="U12" s="980">
        <f t="shared" si="1"/>
        <v>0</v>
      </c>
      <c r="V12" s="981">
        <f t="shared" si="1"/>
        <v>0</v>
      </c>
      <c r="W12" s="982">
        <f t="shared" si="1"/>
        <v>0</v>
      </c>
      <c r="X12" s="982">
        <f t="shared" si="1"/>
        <v>0</v>
      </c>
      <c r="Y12" s="983">
        <f>IF($E$4="Oui",0,IF($E$5="Oui",0,M12*$P12))</f>
        <v>0</v>
      </c>
      <c r="Z12" s="984">
        <f>IF($E$4="Oui",0,IF($E$5="Oui",0,N12*$P12))</f>
        <v>0</v>
      </c>
      <c r="AA12" s="2725"/>
    </row>
    <row r="13" spans="1:27">
      <c r="B13" s="2994"/>
      <c r="C13" s="973">
        <v>4</v>
      </c>
      <c r="D13" s="976" t="s">
        <v>462</v>
      </c>
      <c r="E13" s="980">
        <f>('Energie 1'!E294+'Energie 2'!E294+'Hors énergie 1'!E191+'Hors énergie 2'!E191+'Intrants 1'!E411+'Intrants 2'!E409+'Futurs emballages'!E171+Fret!E712+Déplacements!E566+'Déchets directs'!E319+Immobilisations!E356+Utilisation!E215+'Fin de vie'!E346)/1000</f>
        <v>0</v>
      </c>
      <c r="F13" s="980">
        <f>('Energie 1'!F294+'Energie 2'!F294+'Hors énergie 1'!F191+'Hors énergie 2'!F191+'Intrants 1'!F411+'Intrants 2'!F409+'Futurs emballages'!F171+Fret!F712+Déplacements!F566+'Déchets directs'!F319+Immobilisations!F356+Utilisation!F215+'Fin de vie'!F346)/1000</f>
        <v>0</v>
      </c>
      <c r="G13" s="980">
        <f>('Energie 1'!G294+'Energie 2'!G294+'Hors énergie 1'!G191+'Hors énergie 2'!G191+'Intrants 1'!G411+'Intrants 2'!G409+'Futurs emballages'!G171+Fret!G712+Déplacements!G566+'Déchets directs'!G319+Immobilisations!G356+Utilisation!G215+'Fin de vie'!G346)/1000</f>
        <v>0</v>
      </c>
      <c r="H13" s="980">
        <f>('Energie 1'!H294+'Energie 2'!H294+'Hors énergie 1'!H191+'Hors énergie 2'!H191+'Intrants 1'!H411+'Intrants 2'!H409+'Futurs emballages'!H171+Fret!H712+Déplacements!H566+'Déchets directs'!H319+Immobilisations!H356+Utilisation!H215+'Fin de vie'!H346)/1000</f>
        <v>0.48599999999999999</v>
      </c>
      <c r="I13" s="980">
        <f>('Energie 1'!I294+'Energie 2'!I294+'Hors énergie 1'!I191+'Hors énergie 2'!I191+'Intrants 1'!I411+'Intrants 2'!I409+'Futurs emballages'!I171+Fret!I712+Déplacements!I566+'Déchets directs'!I319+Immobilisations!I356+Utilisation!I215+'Fin de vie'!I346)/1000</f>
        <v>0</v>
      </c>
      <c r="J13" s="981">
        <f>('Energie 1'!J294+'Energie 2'!J294+'Hors énergie 1'!J191+'Hors énergie 2'!J191+'Intrants 1'!J411+'Intrants 2'!J409+'Futurs emballages'!J171+Fret!J712+Déplacements!J566+'Déchets directs'!J319+Immobilisations!J356+Utilisation!J215+'Fin de vie'!J346)/1000</f>
        <v>0.48599999999999999</v>
      </c>
      <c r="K13" s="982">
        <f>('Energie 1'!K294+'Energie 2'!K294+'Hors énergie 1'!K191+'Hors énergie 2'!K191+'Intrants 1'!K411+'Intrants 2'!K409+'Futurs emballages'!K171+Fret!K712+Déplacements!K566+'Déchets directs'!K319+Immobilisations!K356+Utilisation!K215+'Fin de vie'!K346)/1000</f>
        <v>0</v>
      </c>
      <c r="L13" s="982">
        <f>('Energie 1'!L294+'Energie 2'!L294+'Hors énergie 1'!L191+'Hors énergie 2'!L191+'Intrants 1'!L411+'Intrants 2'!L409+'Futurs emballages'!L171+Fret!L712+Déplacements!L566+'Déchets directs'!L319+Immobilisations!L356+Utilisation!L215+'Fin de vie'!L346)/1000</f>
        <v>0</v>
      </c>
      <c r="M13" s="983">
        <f>SQRT('Energie 1'!M294^2+'Energie 2'!M294^2+'Hors énergie 1'!M191^2+'Hors énergie 2'!M191^2+'Intrants 1'!M411^2+'Intrants 2'!M409^2+'Futurs emballages'!M171^2+Fret!M712^2+Déplacements!M566^2+'Déchets directs'!M319^2+Immobilisations!M356^2+Utilisation!M215^2+'Fin de vie'!M346^2)/1000</f>
        <v>0.28338426208948159</v>
      </c>
      <c r="N13" s="984">
        <f>('Energie 1'!N294+'Energie 2'!N294+'Hors énergie 1'!N191+'Hors énergie 2'!N191+'Intrants 1'!N411+'Intrants 2'!N409+'Futurs emballages'!N171+Fret!N712+Déplacements!N566+'Déchets directs'!N319+Immobilisations!N356+Utilisation!N215+'Fin de vie'!N346)/1000</f>
        <v>0</v>
      </c>
      <c r="O13" s="2725"/>
      <c r="P13" s="88">
        <v>1</v>
      </c>
      <c r="Q13" s="980">
        <f>IF($E$4="Oui",0,IF($E$5="Oui",0,E13*$P13))</f>
        <v>0</v>
      </c>
      <c r="R13" s="980">
        <f t="shared" si="1"/>
        <v>0</v>
      </c>
      <c r="S13" s="980">
        <f t="shared" si="1"/>
        <v>0</v>
      </c>
      <c r="T13" s="980">
        <f t="shared" si="1"/>
        <v>0.48599999999999999</v>
      </c>
      <c r="U13" s="980">
        <f t="shared" si="1"/>
        <v>0</v>
      </c>
      <c r="V13" s="981">
        <f t="shared" si="1"/>
        <v>0.48599999999999999</v>
      </c>
      <c r="W13" s="982">
        <f t="shared" si="1"/>
        <v>0</v>
      </c>
      <c r="X13" s="982">
        <f t="shared" si="1"/>
        <v>0</v>
      </c>
      <c r="Y13" s="983">
        <f>IF($E$4="Oui",0,IF($E$5="Oui",0,M13*$P13))</f>
        <v>0.28338426208948159</v>
      </c>
      <c r="Z13" s="984">
        <f>IF($E$4="Oui",0,IF($E$5="Oui",0,N13*$P13))</f>
        <v>0</v>
      </c>
      <c r="AA13" s="2725"/>
    </row>
    <row r="14" spans="1:27">
      <c r="B14" s="2994"/>
      <c r="C14" s="973">
        <v>5</v>
      </c>
      <c r="D14" s="976" t="s">
        <v>812</v>
      </c>
      <c r="E14" s="991"/>
      <c r="F14" s="991"/>
      <c r="G14" s="991"/>
      <c r="H14" s="991"/>
      <c r="I14" s="991"/>
      <c r="J14" s="992"/>
      <c r="K14" s="991"/>
      <c r="L14" s="991"/>
      <c r="M14" s="991"/>
      <c r="N14" s="985"/>
      <c r="O14" s="2725"/>
      <c r="P14" s="88">
        <v>1</v>
      </c>
      <c r="Q14" s="980">
        <f>IF($E$4="Oui",0,IF($E$5="Oui",0,E14*$P14))</f>
        <v>0</v>
      </c>
      <c r="R14" s="980">
        <f t="shared" si="1"/>
        <v>0</v>
      </c>
      <c r="S14" s="980">
        <f t="shared" si="1"/>
        <v>0</v>
      </c>
      <c r="T14" s="980">
        <f t="shared" si="1"/>
        <v>0</v>
      </c>
      <c r="U14" s="980">
        <f t="shared" si="1"/>
        <v>0</v>
      </c>
      <c r="V14" s="981">
        <f t="shared" si="1"/>
        <v>0</v>
      </c>
      <c r="W14" s="982">
        <f t="shared" si="1"/>
        <v>0</v>
      </c>
      <c r="X14" s="982">
        <f t="shared" si="1"/>
        <v>0</v>
      </c>
      <c r="Y14" s="983">
        <f>IF($E$4="Oui",0,IF($E$5="Oui",0,M14*$P14))</f>
        <v>0</v>
      </c>
      <c r="Z14" s="985"/>
      <c r="AA14" s="2725"/>
    </row>
    <row r="15" spans="1:27">
      <c r="B15" s="2995"/>
      <c r="C15" s="2996" t="s">
        <v>726</v>
      </c>
      <c r="D15" s="2997"/>
      <c r="E15" s="986">
        <f ca="1">SUM(E10:E14)</f>
        <v>302.94259600000004</v>
      </c>
      <c r="F15" s="986">
        <f t="shared" ref="F15:N15" ca="1" si="2">SUM(F10:F14)</f>
        <v>0.23429999999999998</v>
      </c>
      <c r="G15" s="986">
        <f t="shared" ca="1" si="2"/>
        <v>1.577381916</v>
      </c>
      <c r="H15" s="986">
        <f t="shared" si="2"/>
        <v>0.48599999999999999</v>
      </c>
      <c r="I15" s="986">
        <f t="shared" ca="1" si="2"/>
        <v>0</v>
      </c>
      <c r="J15" s="986">
        <f t="shared" ca="1" si="2"/>
        <v>305.24027791599997</v>
      </c>
      <c r="K15" s="987">
        <f t="shared" ca="1" si="2"/>
        <v>0</v>
      </c>
      <c r="L15" s="987">
        <f t="shared" si="2"/>
        <v>0</v>
      </c>
      <c r="M15" s="988">
        <f>SQRT(SUMSQ(M10:M14))</f>
        <v>14.751790734349781</v>
      </c>
      <c r="N15" s="989">
        <f t="shared" si="2"/>
        <v>0</v>
      </c>
      <c r="O15" s="2726"/>
      <c r="P15" s="870"/>
      <c r="Q15" s="986">
        <f ca="1">SUM(Q10:Q14)</f>
        <v>302.94259600000004</v>
      </c>
      <c r="R15" s="986">
        <f t="shared" ref="R15:X15" ca="1" si="3">SUM(R10:R14)</f>
        <v>0.23429999999999998</v>
      </c>
      <c r="S15" s="986">
        <f t="shared" ca="1" si="3"/>
        <v>1.577381916</v>
      </c>
      <c r="T15" s="986">
        <f t="shared" si="3"/>
        <v>0.48599999999999999</v>
      </c>
      <c r="U15" s="986">
        <f t="shared" ca="1" si="3"/>
        <v>0</v>
      </c>
      <c r="V15" s="986">
        <f t="shared" ca="1" si="3"/>
        <v>305.24027791599997</v>
      </c>
      <c r="W15" s="987">
        <f t="shared" ca="1" si="3"/>
        <v>0</v>
      </c>
      <c r="X15" s="987">
        <f t="shared" si="3"/>
        <v>0</v>
      </c>
      <c r="Y15" s="988">
        <f>SQRT(SUMSQ(Y10:Y14))</f>
        <v>14.751790734349781</v>
      </c>
      <c r="Z15" s="989">
        <f>SUM(Z10:Z14)</f>
        <v>0</v>
      </c>
      <c r="AA15" s="2726"/>
    </row>
    <row r="16" spans="1:27">
      <c r="B16" s="2993" t="s">
        <v>759</v>
      </c>
      <c r="C16" s="973">
        <v>6</v>
      </c>
      <c r="D16" s="976" t="s">
        <v>464</v>
      </c>
      <c r="E16" s="993">
        <f>('Energie 1'!E297+'Energie 2'!E297+'Hors énergie 1'!E194+'Hors énergie 2'!E194+'Intrants 1'!E414+'Intrants 2'!E412+'Futurs emballages'!E174+Fret!E715+Déplacements!E569+'Déchets directs'!E322+Immobilisations!E359+Utilisation!E218+'Fin de vie'!E349)/1000</f>
        <v>19.289968500000001</v>
      </c>
      <c r="F16" s="993">
        <f>('Energie 1'!F297+'Energie 2'!F297+'Hors énergie 1'!F194+'Hors énergie 2'!F194+'Intrants 1'!F414+'Intrants 2'!F412+'Futurs emballages'!F174+Fret!F715+Déplacements!F569+'Déchets directs'!F322+Immobilisations!F359+Utilisation!F218+'Fin de vie'!F349)/1000</f>
        <v>0</v>
      </c>
      <c r="G16" s="993">
        <f>('Energie 1'!G297+'Energie 2'!G297+'Hors énergie 1'!G194+'Hors énergie 2'!G194+'Intrants 1'!G414+'Intrants 2'!G412+'Futurs emballages'!G174+Fret!G715+Déplacements!G569+'Déchets directs'!G322+Immobilisations!G359+Utilisation!G218+'Fin de vie'!G349)/1000</f>
        <v>0</v>
      </c>
      <c r="H16" s="993">
        <f>('Energie 1'!H297+'Energie 2'!H297+'Hors énergie 1'!H194+'Hors énergie 2'!H194+'Intrants 1'!H414+'Intrants 2'!H412+'Futurs emballages'!H174+Fret!H715+Déplacements!H569+'Déchets directs'!H322+Immobilisations!H359+Utilisation!H218+'Fin de vie'!H349)/1000</f>
        <v>0</v>
      </c>
      <c r="I16" s="993">
        <f>('Energie 1'!I297+'Energie 2'!I297+'Hors énergie 1'!I194+'Hors énergie 2'!I194+'Intrants 1'!I414+'Intrants 2'!I412+'Futurs emballages'!I174+Fret!I715+Déplacements!I569+'Déchets directs'!I322+Immobilisations!I359+Utilisation!I218+'Fin de vie'!I349)/1000</f>
        <v>0</v>
      </c>
      <c r="J16" s="981">
        <f>('Energie 1'!J297+'Energie 2'!J297+'Hors énergie 1'!J194+'Hors énergie 2'!J194+'Intrants 1'!J414+'Intrants 2'!J412+'Futurs emballages'!J174+Fret!J715+Déplacements!J569+'Déchets directs'!J322+Immobilisations!J359+Utilisation!J218+'Fin de vie'!J349)/1000</f>
        <v>19.289968500000001</v>
      </c>
      <c r="K16" s="994">
        <f>('Energie 1'!K297+'Energie 2'!K297+'Hors énergie 1'!K194+'Hors énergie 2'!K194+'Intrants 1'!K414+'Intrants 2'!K412+'Futurs emballages'!K174+Fret!K715+Déplacements!K569+'Déchets directs'!K322+Immobilisations!K359+Utilisation!K218+'Fin de vie'!K349)/1000</f>
        <v>0</v>
      </c>
      <c r="L16" s="994">
        <f>('Energie 1'!L297+'Energie 2'!L297+'Hors énergie 1'!L194+'Hors énergie 2'!L194+'Intrants 1'!L414+'Intrants 2'!L412+'Futurs emballages'!L174+Fret!L715+Déplacements!L569+'Déchets directs'!L322+Immobilisations!L359+Utilisation!L218+'Fin de vie'!L349)/1000</f>
        <v>0</v>
      </c>
      <c r="M16" s="983">
        <f>SQRT('Energie 1'!M297^2+'Energie 2'!M297^2+'Hors énergie 1'!M194^2+'Hors énergie 2'!M194^2+'Intrants 1'!M414^2+'Intrants 2'!M412^2+'Futurs emballages'!M174^2+Fret!M715^2+Déplacements!M569^2+'Déchets directs'!M322^2+Immobilisations!M359^2+Utilisation!M218^2+'Fin de vie'!M349^2)/1000</f>
        <v>1.9289968500000001</v>
      </c>
      <c r="N16" s="984">
        <f>('Energie 1'!N297+'Energie 2'!N297+'Hors énergie 1'!N194+'Hors énergie 2'!N194+'Intrants 1'!N414+'Intrants 2'!N412+'Futurs emballages'!N174+Fret!N715+Déplacements!N569+'Déchets directs'!N322+Immobilisations!N359+Utilisation!N218+'Fin de vie'!N349)/1000</f>
        <v>0</v>
      </c>
      <c r="O16" s="984">
        <f>('Energie 1'!O297+'Energie 2'!O297+'Hors énergie 1'!O194+'Hors énergie 1'!O194+'Intrants 1'!O414+'Intrants 2'!O412+'Futurs emballages'!O174+Fret!O715+Déplacements!O569+'Déchets directs'!O322+Immobilisations!O359+Utilisation!O218+'Fin de vie'!O349)/1000</f>
        <v>0</v>
      </c>
      <c r="P16" s="88">
        <v>1</v>
      </c>
      <c r="Q16" s="993">
        <f>IF($E$4="Oui",0,IF($E$5="Oui",0,E16*$P16))</f>
        <v>19.289968500000001</v>
      </c>
      <c r="R16" s="993">
        <f t="shared" ref="R16:AA16" si="4">IF($E$4="Oui",0,IF($E$5="Oui",0,F16*$P16))</f>
        <v>0</v>
      </c>
      <c r="S16" s="993">
        <f t="shared" si="4"/>
        <v>0</v>
      </c>
      <c r="T16" s="993">
        <f t="shared" si="4"/>
        <v>0</v>
      </c>
      <c r="U16" s="993">
        <f t="shared" si="4"/>
        <v>0</v>
      </c>
      <c r="V16" s="981">
        <f t="shared" si="4"/>
        <v>19.289968500000001</v>
      </c>
      <c r="W16" s="994">
        <f t="shared" si="4"/>
        <v>0</v>
      </c>
      <c r="X16" s="994">
        <f t="shared" si="4"/>
        <v>0</v>
      </c>
      <c r="Y16" s="983">
        <f t="shared" si="4"/>
        <v>1.9289968500000001</v>
      </c>
      <c r="Z16" s="984">
        <f t="shared" si="4"/>
        <v>0</v>
      </c>
      <c r="AA16" s="984">
        <f t="shared" si="4"/>
        <v>0</v>
      </c>
    </row>
    <row r="17" spans="2:27">
      <c r="B17" s="2994"/>
      <c r="C17" s="973">
        <v>7</v>
      </c>
      <c r="D17" s="976" t="s">
        <v>813</v>
      </c>
      <c r="E17" s="993">
        <f>('Energie 1'!E298+'Energie 2'!E298+'Hors énergie 1'!E195+'Hors énergie 2'!E195+'Intrants 1'!E415+'Intrants 2'!E413+'Futurs emballages'!E175+Fret!E716+Déplacements!E570+'Déchets directs'!E323+Immobilisations!E360+Utilisation!E219+'Fin de vie'!E350)/1000</f>
        <v>0</v>
      </c>
      <c r="F17" s="993">
        <f>('Energie 1'!F298+'Energie 2'!F298+'Hors énergie 1'!F195+'Hors énergie 2'!F195+'Intrants 1'!F415+'Intrants 2'!F413+'Futurs emballages'!F175+Fret!F716+Déplacements!F570+'Déchets directs'!F323+Immobilisations!F360+Utilisation!F219+'Fin de vie'!F350)/1000</f>
        <v>0</v>
      </c>
      <c r="G17" s="993">
        <f>('Energie 1'!G298+'Energie 2'!G298+'Hors énergie 1'!G195+'Hors énergie 2'!G195+'Intrants 1'!G415+'Intrants 2'!G413+'Futurs emballages'!G175+Fret!G716+Déplacements!G570+'Déchets directs'!G323+Immobilisations!G360+Utilisation!G219+'Fin de vie'!G350)/1000</f>
        <v>0</v>
      </c>
      <c r="H17" s="993">
        <f>('Energie 1'!H298+'Energie 2'!H298+'Hors énergie 1'!H195+'Hors énergie 2'!H195+'Intrants 1'!H415+'Intrants 2'!H413+'Futurs emballages'!H175+Fret!H716+Déplacements!H570+'Déchets directs'!H323+Immobilisations!H360+Utilisation!H219+'Fin de vie'!H350)/1000</f>
        <v>0</v>
      </c>
      <c r="I17" s="993">
        <f>('Energie 1'!I298+'Energie 2'!I298+'Hors énergie 1'!I195+'Hors énergie 2'!I195+'Intrants 1'!I415+'Intrants 2'!I413+'Futurs emballages'!I175+Fret!I716+Déplacements!I570+'Déchets directs'!I323+Immobilisations!I360+Utilisation!I219+'Fin de vie'!I350)/1000</f>
        <v>0</v>
      </c>
      <c r="J17" s="981">
        <f>('Energie 1'!J298+'Energie 2'!J298+'Hors énergie 1'!J195+'Hors énergie 2'!J195+'Intrants 1'!J415+'Intrants 2'!J413+'Futurs emballages'!J175+Fret!J716+Déplacements!J570+'Déchets directs'!J323+Immobilisations!J360+Utilisation!J219+'Fin de vie'!J350)/1000</f>
        <v>0</v>
      </c>
      <c r="K17" s="994">
        <f>('Energie 1'!K298+'Energie 2'!K298+'Hors énergie 1'!K195+'Hors énergie 2'!K195+'Intrants 1'!K415+'Intrants 2'!K413+'Futurs emballages'!K175+Fret!K716+Déplacements!K570+'Déchets directs'!K323+Immobilisations!K360+Utilisation!K219+'Fin de vie'!K350)/1000</f>
        <v>0</v>
      </c>
      <c r="L17" s="994">
        <f>('Energie 1'!L298+'Energie 2'!L298+'Hors énergie 1'!L195+'Hors énergie 2'!L195+'Intrants 1'!L415+'Intrants 2'!L413+'Futurs emballages'!L175+Fret!L716+Déplacements!L570+'Déchets directs'!L323+Immobilisations!L360+Utilisation!L219+'Fin de vie'!L350)/1000</f>
        <v>0</v>
      </c>
      <c r="M17" s="983">
        <f>SQRT('Energie 1'!M298^2+'Energie 2'!M298^2+'Hors énergie 1'!M195^2+'Hors énergie 2'!M195^2+'Intrants 1'!M415^2+'Intrants 2'!M413^2+'Futurs emballages'!M175^2+Fret!M716^2+Déplacements!M570^2+'Déchets directs'!M323^2+Immobilisations!M360^2+Utilisation!M219^2+'Fin de vie'!M350^2)/1000</f>
        <v>0</v>
      </c>
      <c r="N17" s="984">
        <f>('Energie 1'!N298+'Energie 2'!N298+'Hors énergie 1'!N195+'Hors énergie 2'!N195+'Intrants 1'!N415+'Intrants 2'!N413+'Futurs emballages'!N175+Fret!N716+Déplacements!N570+'Déchets directs'!N323+Immobilisations!N360+Utilisation!N219+'Fin de vie'!N350)/1000</f>
        <v>0</v>
      </c>
      <c r="O17" s="984">
        <f>('Energie 1'!O298+'Energie 2'!O298+'Hors énergie 1'!O195+'Hors énergie 1'!O195+'Intrants 1'!O415+'Intrants 2'!O413+'Futurs emballages'!O175+Fret!O716+Déplacements!O570+'Déchets directs'!O323+Immobilisations!O360+Utilisation!O219+'Fin de vie'!O350)/1000</f>
        <v>0</v>
      </c>
      <c r="P17" s="88">
        <v>1</v>
      </c>
      <c r="Q17" s="993">
        <f>IF($E$4="Oui",0,IF($E$5="Oui",0,E17*$P17))</f>
        <v>0</v>
      </c>
      <c r="R17" s="993">
        <f t="shared" ref="R17:AA17" si="5">IF($E$4="Oui",0,IF($E$5="Oui",0,F17*$P17))</f>
        <v>0</v>
      </c>
      <c r="S17" s="993">
        <f t="shared" si="5"/>
        <v>0</v>
      </c>
      <c r="T17" s="993">
        <f t="shared" si="5"/>
        <v>0</v>
      </c>
      <c r="U17" s="993">
        <f t="shared" si="5"/>
        <v>0</v>
      </c>
      <c r="V17" s="981">
        <f t="shared" si="5"/>
        <v>0</v>
      </c>
      <c r="W17" s="994">
        <f t="shared" si="5"/>
        <v>0</v>
      </c>
      <c r="X17" s="994">
        <f t="shared" si="5"/>
        <v>0</v>
      </c>
      <c r="Y17" s="983">
        <f t="shared" si="5"/>
        <v>0</v>
      </c>
      <c r="Z17" s="984">
        <f t="shared" si="5"/>
        <v>0</v>
      </c>
      <c r="AA17" s="984">
        <f t="shared" si="5"/>
        <v>0</v>
      </c>
    </row>
    <row r="18" spans="2:27">
      <c r="B18" s="2995"/>
      <c r="C18" s="2996" t="s">
        <v>725</v>
      </c>
      <c r="D18" s="2997"/>
      <c r="E18" s="995">
        <f>SUM(E16:E17)</f>
        <v>19.289968500000001</v>
      </c>
      <c r="F18" s="995">
        <f t="shared" ref="F18:O18" si="6">SUM(F16:F17)</f>
        <v>0</v>
      </c>
      <c r="G18" s="995">
        <f t="shared" si="6"/>
        <v>0</v>
      </c>
      <c r="H18" s="995">
        <f t="shared" si="6"/>
        <v>0</v>
      </c>
      <c r="I18" s="995">
        <f t="shared" si="6"/>
        <v>0</v>
      </c>
      <c r="J18" s="986">
        <f t="shared" si="6"/>
        <v>19.289968500000001</v>
      </c>
      <c r="K18" s="996">
        <f t="shared" si="6"/>
        <v>0</v>
      </c>
      <c r="L18" s="996">
        <f t="shared" si="6"/>
        <v>0</v>
      </c>
      <c r="M18" s="988">
        <f>SQRT(SUMSQ(M16:M17))</f>
        <v>1.9289968500000001</v>
      </c>
      <c r="N18" s="989">
        <f t="shared" si="6"/>
        <v>0</v>
      </c>
      <c r="O18" s="989">
        <f t="shared" si="6"/>
        <v>0</v>
      </c>
      <c r="P18" s="870"/>
      <c r="Q18" s="995">
        <f>SUM(Q16:Q17)</f>
        <v>19.289968500000001</v>
      </c>
      <c r="R18" s="995">
        <f t="shared" ref="R18:X18" si="7">SUM(R16:R17)</f>
        <v>0</v>
      </c>
      <c r="S18" s="995">
        <f t="shared" si="7"/>
        <v>0</v>
      </c>
      <c r="T18" s="995">
        <f t="shared" si="7"/>
        <v>0</v>
      </c>
      <c r="U18" s="995">
        <f t="shared" si="7"/>
        <v>0</v>
      </c>
      <c r="V18" s="986">
        <f t="shared" si="7"/>
        <v>19.289968500000001</v>
      </c>
      <c r="W18" s="996">
        <f t="shared" si="7"/>
        <v>0</v>
      </c>
      <c r="X18" s="996">
        <f t="shared" si="7"/>
        <v>0</v>
      </c>
      <c r="Y18" s="988">
        <f>SQRT(SUMSQ(Y16:Y17))</f>
        <v>1.9289968500000001</v>
      </c>
      <c r="Z18" s="989">
        <f>SUM(Z16:Z17)</f>
        <v>0</v>
      </c>
      <c r="AA18" s="989">
        <f>SUM(AA16:AA17)</f>
        <v>0</v>
      </c>
    </row>
    <row r="19" spans="2:27">
      <c r="B19" s="2993" t="s">
        <v>760</v>
      </c>
      <c r="C19" s="973">
        <v>8</v>
      </c>
      <c r="D19" s="976" t="s">
        <v>466</v>
      </c>
      <c r="E19" s="993">
        <f ca="1">('Energie 1'!E300+'Energie 2'!E300+'Hors énergie 1'!E197+'Hors énergie 2'!E197+'Intrants 1'!E417+'Intrants 2'!E415+'Futurs emballages'!E177+Fret!E718+Déplacements!E572+'Déchets directs'!E325+Immobilisations!E362+Utilisation!E221+'Fin de vie'!E352)/1000</f>
        <v>67.500735599999999</v>
      </c>
      <c r="F19" s="993">
        <f ca="1">('Energie 1'!F300+'Energie 2'!F300+'Hors énergie 1'!F197+'Hors énergie 2'!F197+'Intrants 1'!F417+'Intrants 2'!F415+'Futurs emballages'!F177+Fret!F718+Déplacements!F572+'Déchets directs'!F325+Immobilisations!F362+Utilisation!F221+'Fin de vie'!F352)/1000</f>
        <v>5.8653745920000002</v>
      </c>
      <c r="G19" s="993">
        <f ca="1">('Energie 1'!G300+'Energie 2'!G300+'Hors énergie 1'!G197+'Hors énergie 2'!G197+'Intrants 1'!G417+'Intrants 2'!G415+'Futurs emballages'!G177+Fret!G718+Déplacements!G572+'Déchets directs'!G325+Immobilisations!G362+Utilisation!G221+'Fin de vie'!G352)/1000</f>
        <v>1.465662E-2</v>
      </c>
      <c r="H19" s="993">
        <f>('Energie 1'!H300+'Energie 2'!H300+'Hors énergie 1'!H197+'Hors énergie 2'!H197+'Intrants 1'!H417+'Intrants 2'!H415+'Futurs emballages'!H177+Fret!H718+Déplacements!H572+'Déchets directs'!H325+Immobilisations!H362+Utilisation!H221+'Fin de vie'!H352)/1000</f>
        <v>0</v>
      </c>
      <c r="I19" s="993">
        <f ca="1">('Energie 1'!I300+'Energie 2'!I300+'Hors énergie 1'!I197+'Hors énergie 2'!I197+'Intrants 1'!I417+'Intrants 2'!I415+'Futurs emballages'!I177+Fret!I718+Déplacements!I572+'Déchets directs'!I325+Immobilisations!I362+Utilisation!I221+'Fin de vie'!I352)/1000</f>
        <v>0</v>
      </c>
      <c r="J19" s="981">
        <f ca="1">('Energie 1'!J300+'Energie 2'!J300+'Hors énergie 1'!J197+'Hors énergie 2'!J197+'Intrants 1'!J417+'Intrants 2'!J415+'Futurs emballages'!J177+Fret!J718+Déplacements!J572+'Déchets directs'!J325+Immobilisations!J362+Utilisation!J221+'Fin de vie'!J352)/1000</f>
        <v>73.38076681199999</v>
      </c>
      <c r="K19" s="994">
        <f ca="1">('Energie 1'!K300+'Energie 2'!K300+'Hors énergie 1'!K197+'Hors énergie 2'!K197+'Intrants 1'!K417+'Intrants 2'!K415+'Futurs emballages'!K177+Fret!K718+Déplacements!K572+'Déchets directs'!K325+Immobilisations!K362+Utilisation!K221+'Fin de vie'!K352)/1000</f>
        <v>0</v>
      </c>
      <c r="L19" s="994">
        <f>('Energie 1'!L300+'Energie 2'!L300+'Hors énergie 1'!L197+'Hors énergie 2'!L197+'Intrants 1'!L417+'Intrants 2'!L415+'Futurs emballages'!L177+Fret!L718+Déplacements!L572+'Déchets directs'!L325+Immobilisations!L362+Utilisation!L221+'Fin de vie'!L352)/1000</f>
        <v>0</v>
      </c>
      <c r="M19" s="983">
        <f>SQRT('Energie 1'!M300^2+'Energie 2'!M300^2+'Hors énergie 1'!M197^2+'Hors énergie 2'!M197^2+'Intrants 1'!M417^2+'Intrants 2'!M415^2+'Futurs emballages'!M177^2+Fret!M718^2+Déplacements!M572^2+'Déchets directs'!M325^2+Immobilisations!M362^2+Utilisation!M221^2+'Fin de vie'!M352^2)/1000</f>
        <v>3.2149156058606336</v>
      </c>
      <c r="N19" s="984">
        <f>('Energie 1'!N300+'Energie 2'!N300+'Hors énergie 1'!N197+'Hors énergie 2'!N197+'Intrants 1'!N417+'Intrants 2'!N415+'Futurs emballages'!N177+Fret!N718+Déplacements!N572+'Déchets directs'!N325+Immobilisations!N362+Utilisation!N221+'Fin de vie'!N352)/1000</f>
        <v>0</v>
      </c>
      <c r="O19" s="984">
        <f>('Energie 1'!O300+'Energie 2'!O300+'Hors énergie 1'!O197+'Hors énergie 1'!O197+'Intrants 1'!O417+'Intrants 2'!O415+'Futurs emballages'!O177+Fret!O718+Déplacements!O572+'Déchets directs'!O325+Immobilisations!O362+Utilisation!O221+'Fin de vie'!O352)/1000</f>
        <v>0</v>
      </c>
      <c r="P19" s="88">
        <v>1</v>
      </c>
      <c r="Q19" s="993">
        <f t="shared" ref="Q19:AA19" ca="1" si="8">IF($E$4="Oui",0,IF($E$5="Oui",0,E19*$P19))</f>
        <v>67.500735599999999</v>
      </c>
      <c r="R19" s="993">
        <f t="shared" ca="1" si="8"/>
        <v>5.8653745920000002</v>
      </c>
      <c r="S19" s="993">
        <f t="shared" ca="1" si="8"/>
        <v>1.465662E-2</v>
      </c>
      <c r="T19" s="993">
        <f t="shared" si="8"/>
        <v>0</v>
      </c>
      <c r="U19" s="993">
        <f t="shared" ca="1" si="8"/>
        <v>0</v>
      </c>
      <c r="V19" s="981">
        <f t="shared" ca="1" si="8"/>
        <v>73.38076681199999</v>
      </c>
      <c r="W19" s="994">
        <f t="shared" ca="1" si="8"/>
        <v>0</v>
      </c>
      <c r="X19" s="994">
        <f t="shared" si="8"/>
        <v>0</v>
      </c>
      <c r="Y19" s="983">
        <f t="shared" si="8"/>
        <v>3.2149156058606336</v>
      </c>
      <c r="Z19" s="984">
        <f t="shared" si="8"/>
        <v>0</v>
      </c>
      <c r="AA19" s="984">
        <f t="shared" si="8"/>
        <v>0</v>
      </c>
    </row>
    <row r="20" spans="2:27">
      <c r="B20" s="2994"/>
      <c r="C20" s="973">
        <v>9</v>
      </c>
      <c r="D20" s="976" t="s">
        <v>814</v>
      </c>
      <c r="E20" s="993">
        <f>('Energie 1'!E301+'Energie 2'!E301+'Hors énergie 1'!E198+'Hors énergie 2'!E198+'Intrants 1'!E418+'Intrants 2'!E416+'Futurs emballages'!E178+Fret!E719+Déplacements!E573+'Déchets directs'!E326+Immobilisations!E363+Utilisation!E222+'Fin de vie'!E353)/1000</f>
        <v>2816.2550000000001</v>
      </c>
      <c r="F20" s="993">
        <f>('Energie 1'!F301+'Energie 2'!F301+'Hors énergie 1'!F198+'Hors énergie 2'!F198+'Intrants 1'!F418+'Intrants 2'!F416+'Futurs emballages'!F178+Fret!F719+Déplacements!F573+'Déchets directs'!F326+Immobilisations!F363+Utilisation!F222+'Fin de vie'!F353)/1000</f>
        <v>0</v>
      </c>
      <c r="G20" s="993">
        <f>('Energie 1'!G301+'Energie 2'!G301+'Hors énergie 1'!G198+'Hors énergie 2'!G198+'Intrants 1'!G418+'Intrants 2'!G416+'Futurs emballages'!G178+Fret!G719+Déplacements!G573+'Déchets directs'!G326+Immobilisations!G363+Utilisation!G222+'Fin de vie'!G353)/1000</f>
        <v>0</v>
      </c>
      <c r="H20" s="993">
        <f>('Energie 1'!H301+'Energie 2'!H301+'Hors énergie 1'!H198+'Hors énergie 2'!H198+'Intrants 1'!H418+'Intrants 2'!H416+'Futurs emballages'!H178+Fret!H719+Déplacements!H573+'Déchets directs'!H326+Immobilisations!H363+Utilisation!H222+'Fin de vie'!H353)/1000</f>
        <v>0</v>
      </c>
      <c r="I20" s="993">
        <f>('Energie 1'!I301+'Energie 2'!I301+'Hors énergie 1'!I198+'Hors énergie 2'!I198+'Intrants 1'!I418+'Intrants 2'!I416+'Futurs emballages'!I178+Fret!I719+Déplacements!I573+'Déchets directs'!I326+Immobilisations!I363+Utilisation!I222+'Fin de vie'!I353)/1000</f>
        <v>0</v>
      </c>
      <c r="J20" s="981">
        <f>('Energie 1'!J301+'Energie 2'!J301+'Hors énergie 1'!J198+'Hors énergie 2'!J198+'Intrants 1'!J418+'Intrants 2'!J416+'Futurs emballages'!J178+Fret!J719+Déplacements!J573+'Déchets directs'!J326+Immobilisations!J363+Utilisation!J222+'Fin de vie'!J353)/1000</f>
        <v>2816.2550000000001</v>
      </c>
      <c r="K20" s="994">
        <f>('Energie 1'!K301+'Energie 2'!K301+'Hors énergie 1'!K198+'Hors énergie 2'!K198+'Intrants 1'!K418+'Intrants 2'!K416+'Futurs emballages'!K178+Fret!K719+Déplacements!K573+'Déchets directs'!K326+Immobilisations!K363+Utilisation!K222+'Fin de vie'!K353)/1000</f>
        <v>0</v>
      </c>
      <c r="L20" s="994">
        <f>('Energie 1'!L301+'Energie 2'!L301+'Hors énergie 1'!L198+'Hors énergie 2'!L198+'Intrants 1'!L418+'Intrants 2'!L416+'Futurs emballages'!L178+Fret!L719+Déplacements!L573+'Déchets directs'!L326+Immobilisations!L363+Utilisation!L222+'Fin de vie'!L353)/1000</f>
        <v>0</v>
      </c>
      <c r="M20" s="983">
        <f>SQRT('Energie 1'!M301^2+'Energie 2'!M301^2+'Hors énergie 1'!M198^2+'Hors énergie 2'!M198^2+'Intrants 1'!M418^2+'Intrants 2'!M416^2+'Futurs emballages'!M178^2+Fret!M719^2+Déplacements!M573^2+'Déchets directs'!M326^2+Immobilisations!M363^2+Utilisation!M222^2+'Fin de vie'!M353^2)/1000</f>
        <v>385.61330974662957</v>
      </c>
      <c r="N20" s="984">
        <f>('Energie 1'!N301+'Energie 2'!N301+'Hors énergie 1'!N198+'Hors énergie 2'!N198+'Intrants 1'!N418+'Intrants 2'!N416+'Futurs emballages'!N178+Fret!N719+Déplacements!N573+'Déchets directs'!N326+Immobilisations!N363+Utilisation!N222+'Fin de vie'!N353)/1000</f>
        <v>0</v>
      </c>
      <c r="O20" s="984">
        <f>('Energie 1'!O301+'Energie 2'!O301+'Hors énergie 1'!O198+'Hors énergie 1'!O198+'Intrants 1'!O418+'Intrants 2'!O416+'Futurs emballages'!O178+Fret!O719+Déplacements!O573+'Déchets directs'!O326+Immobilisations!O363+Utilisation!O222+'Fin de vie'!O353)/1000</f>
        <v>0</v>
      </c>
      <c r="P20" s="88">
        <v>1</v>
      </c>
      <c r="Q20" s="993">
        <f>IF($E$4="Oui",0,IF($E$5="Oui",SUMPRODUCT(E10:E14,$P10:$P14)+SUMPRODUCT(E16:E17,$P16:$P17),E20*$P20))</f>
        <v>2816.2550000000001</v>
      </c>
      <c r="R20" s="993">
        <f t="shared" ref="R20:AA20" si="9">IF($E$4="Oui",0,IF($E$5="Oui",SUMPRODUCT(F10:F14,$P10:$P14)+SUMPRODUCT(F16:F17,$P16:$P17),F20*$P20))</f>
        <v>0</v>
      </c>
      <c r="S20" s="993">
        <f t="shared" si="9"/>
        <v>0</v>
      </c>
      <c r="T20" s="993">
        <f t="shared" si="9"/>
        <v>0</v>
      </c>
      <c r="U20" s="993">
        <f t="shared" si="9"/>
        <v>0</v>
      </c>
      <c r="V20" s="981">
        <f t="shared" si="9"/>
        <v>2816.2550000000001</v>
      </c>
      <c r="W20" s="994">
        <f t="shared" si="9"/>
        <v>0</v>
      </c>
      <c r="X20" s="994">
        <f t="shared" si="9"/>
        <v>0</v>
      </c>
      <c r="Y20" s="983">
        <f>IF($E$4="Oui",0,IF($E$5="Oui",SUMPRODUCT(M10:M14,$P10:$P14)+SUMPRODUCT(M16:M17,$P16:$P17),M20*$P20))</f>
        <v>385.61330974662957</v>
      </c>
      <c r="Z20" s="984">
        <f t="shared" si="9"/>
        <v>0</v>
      </c>
      <c r="AA20" s="984">
        <f t="shared" si="9"/>
        <v>0</v>
      </c>
    </row>
    <row r="21" spans="2:27">
      <c r="B21" s="2994"/>
      <c r="C21" s="973">
        <v>10</v>
      </c>
      <c r="D21" s="976" t="s">
        <v>734</v>
      </c>
      <c r="E21" s="993">
        <f>('Energie 1'!E302+'Energie 2'!E302+'Hors énergie 1'!E199+'Hors énergie 2'!E199+'Intrants 1'!E419+'Intrants 2'!E417+'Futurs emballages'!E179+Fret!E720+Déplacements!E574+'Déchets directs'!E327+Immobilisations!E364+Utilisation!E223+'Fin de vie'!E354)/1000</f>
        <v>43.928386666666668</v>
      </c>
      <c r="F21" s="993">
        <f>('Energie 1'!F302+'Energie 2'!F302+'Hors énergie 1'!F199+'Hors énergie 2'!F199+'Intrants 1'!F419+'Intrants 2'!F417+'Futurs emballages'!F179+Fret!F720+Déplacements!F574+'Déchets directs'!F327+Immobilisations!F364+Utilisation!F223+'Fin de vie'!F354)/1000</f>
        <v>0</v>
      </c>
      <c r="G21" s="993">
        <f>('Energie 1'!G302+'Energie 2'!G302+'Hors énergie 1'!G199+'Hors énergie 2'!G199+'Intrants 1'!G419+'Intrants 2'!G417+'Futurs emballages'!G179+Fret!G720+Déplacements!G574+'Déchets directs'!G327+Immobilisations!G364+Utilisation!G223+'Fin de vie'!G354)/1000</f>
        <v>0</v>
      </c>
      <c r="H21" s="993">
        <f>('Energie 1'!H302+'Energie 2'!H302+'Hors énergie 1'!H199+'Hors énergie 2'!H199+'Intrants 1'!H419+'Intrants 2'!H417+'Futurs emballages'!H179+Fret!H720+Déplacements!H574+'Déchets directs'!H327+Immobilisations!H364+Utilisation!H223+'Fin de vie'!H354)/1000</f>
        <v>0</v>
      </c>
      <c r="I21" s="993">
        <f>('Energie 1'!I302+'Energie 2'!I302+'Hors énergie 1'!I199+'Hors énergie 2'!I199+'Intrants 1'!I419+'Intrants 2'!I417+'Futurs emballages'!I179+Fret!I720+Déplacements!I574+'Déchets directs'!I327+Immobilisations!I364+Utilisation!I223+'Fin de vie'!I354)/1000</f>
        <v>0</v>
      </c>
      <c r="J21" s="981">
        <f>('Energie 1'!J302+'Energie 2'!J302+'Hors énergie 1'!J199+'Hors énergie 2'!J199+'Intrants 1'!J419+'Intrants 2'!J417+'Futurs emballages'!J179+Fret!J720+Déplacements!J574+'Déchets directs'!J327+Immobilisations!J364+Utilisation!J223+'Fin de vie'!J354)/1000</f>
        <v>43.928386666666668</v>
      </c>
      <c r="K21" s="994">
        <f>('Energie 1'!K302+'Energie 2'!K302+'Hors énergie 1'!K199+'Hors énergie 2'!K199+'Intrants 1'!K419+'Intrants 2'!K417+'Futurs emballages'!K179+Fret!K720+Déplacements!K574+'Déchets directs'!K327+Immobilisations!K364+Utilisation!K223+'Fin de vie'!K354)/1000</f>
        <v>0</v>
      </c>
      <c r="L21" s="994">
        <f>('Energie 1'!L302+'Energie 2'!L302+'Hors énergie 1'!L199+'Hors énergie 2'!L199+'Intrants 1'!L419+'Intrants 2'!L417+'Futurs emballages'!L179+Fret!L720+Déplacements!L574+'Déchets directs'!L327+Immobilisations!L364+Utilisation!L223+'Fin de vie'!L354)/1000</f>
        <v>0</v>
      </c>
      <c r="M21" s="983">
        <f>SQRT('Energie 1'!M302^2+'Energie 2'!M302^2+'Hors énergie 1'!M199^2+'Hors énergie 2'!M199^2+'Intrants 1'!M419^2+'Intrants 2'!M417^2+'Futurs emballages'!M179^2+Fret!M720^2+Déplacements!M574^2+'Déchets directs'!M327^2+Immobilisations!M364^2+Utilisation!M223^2+'Fin de vie'!M354^2)/1000</f>
        <v>12.133395140725817</v>
      </c>
      <c r="N21" s="984">
        <f>('Energie 1'!N302+'Energie 2'!N302+'Hors énergie 1'!N199+'Hors énergie 2'!N199+'Intrants 1'!N419+'Intrants 2'!N417+'Futurs emballages'!N179+Fret!N720+Déplacements!N574+'Déchets directs'!N327+Immobilisations!N364+Utilisation!N223+'Fin de vie'!N354)/1000</f>
        <v>0</v>
      </c>
      <c r="O21" s="984">
        <f>('Energie 1'!O302+'Energie 2'!O302+'Hors énergie 1'!O199+'Hors énergie 1'!O199+'Intrants 1'!O419+'Intrants 2'!O417+'Futurs emballages'!O179+Fret!O720+Déplacements!O574+'Déchets directs'!O327+Immobilisations!O364+Utilisation!O223+'Fin de vie'!O354)/1000</f>
        <v>0</v>
      </c>
      <c r="P21" s="88">
        <v>1</v>
      </c>
      <c r="Q21" s="993">
        <f t="shared" ref="Q21:Q34" si="10">IF($E$4="Oui",0,IF($E$5="Oui",0,E21*$P21))</f>
        <v>43.928386666666668</v>
      </c>
      <c r="R21" s="993">
        <f t="shared" ref="R21:R34" si="11">IF($E$4="Oui",0,IF($E$5="Oui",0,F21*$P21))</f>
        <v>0</v>
      </c>
      <c r="S21" s="993">
        <f t="shared" ref="S21:S34" si="12">IF($E$4="Oui",0,IF($E$5="Oui",0,G21*$P21))</f>
        <v>0</v>
      </c>
      <c r="T21" s="993">
        <f t="shared" ref="T21:T34" si="13">IF($E$4="Oui",0,IF($E$5="Oui",0,H21*$P21))</f>
        <v>0</v>
      </c>
      <c r="U21" s="993">
        <f t="shared" ref="U21:U34" si="14">IF($E$4="Oui",0,IF($E$5="Oui",0,I21*$P21))</f>
        <v>0</v>
      </c>
      <c r="V21" s="981">
        <f t="shared" ref="V21:V34" si="15">IF($E$4="Oui",0,IF($E$5="Oui",0,J21*$P21))</f>
        <v>43.928386666666668</v>
      </c>
      <c r="W21" s="994">
        <f t="shared" ref="W21:W34" si="16">IF($E$4="Oui",0,IF($E$5="Oui",0,K21*$P21))</f>
        <v>0</v>
      </c>
      <c r="X21" s="994">
        <f t="shared" ref="X21:X34" si="17">IF($E$4="Oui",0,IF($E$5="Oui",0,L21*$P21))</f>
        <v>0</v>
      </c>
      <c r="Y21" s="983">
        <f t="shared" ref="Y21:Y34" si="18">IF($E$4="Oui",0,IF($E$5="Oui",0,M21*$P21))</f>
        <v>12.133395140725817</v>
      </c>
      <c r="Z21" s="984">
        <f t="shared" ref="Z21:Z34" si="19">IF($E$4="Oui",0,IF($E$5="Oui",0,N21*$P21))</f>
        <v>0</v>
      </c>
      <c r="AA21" s="984">
        <f t="shared" ref="AA21:AA34" si="20">IF($E$4="Oui",0,IF($E$5="Oui",0,O21*$P21))</f>
        <v>0</v>
      </c>
    </row>
    <row r="22" spans="2:27">
      <c r="B22" s="2994"/>
      <c r="C22" s="973">
        <v>11</v>
      </c>
      <c r="D22" s="976" t="s">
        <v>736</v>
      </c>
      <c r="E22" s="993">
        <f>('Energie 1'!E303+'Energie 2'!E303+'Hors énergie 1'!E200+'Hors énergie 2'!E200+'Intrants 1'!E420+'Intrants 2'!E418+'Futurs emballages'!E180+Fret!E721+Déplacements!E575+'Déchets directs'!E328+Immobilisations!E365+Utilisation!E224+'Fin de vie'!E355)/1000</f>
        <v>39.17</v>
      </c>
      <c r="F22" s="993">
        <f>('Energie 1'!F303+'Energie 2'!F303+'Hors énergie 1'!F200+'Hors énergie 2'!F200+'Intrants 1'!F420+'Intrants 2'!F418+'Futurs emballages'!F180+Fret!F721+Déplacements!F575+'Déchets directs'!F328+Immobilisations!F365+Utilisation!F224+'Fin de vie'!F355)/1000</f>
        <v>0</v>
      </c>
      <c r="G22" s="993">
        <f>('Energie 1'!G303+'Energie 2'!G303+'Hors énergie 1'!G200+'Hors énergie 2'!G200+'Intrants 1'!G420+'Intrants 2'!G418+'Futurs emballages'!G180+Fret!G721+Déplacements!G575+'Déchets directs'!G328+Immobilisations!G365+Utilisation!G224+'Fin de vie'!G355)/1000</f>
        <v>0</v>
      </c>
      <c r="H22" s="993">
        <f>('Energie 1'!H303+'Energie 2'!H303+'Hors énergie 1'!H200+'Hors énergie 2'!H200+'Intrants 1'!H420+'Intrants 2'!H418+'Futurs emballages'!H180+Fret!H721+Déplacements!H575+'Déchets directs'!H328+Immobilisations!H365+Utilisation!H224+'Fin de vie'!H355)/1000</f>
        <v>0</v>
      </c>
      <c r="I22" s="993">
        <f>('Energie 1'!I303+'Energie 2'!I303+'Hors énergie 1'!I200+'Hors énergie 2'!I200+'Intrants 1'!I420+'Intrants 2'!I418+'Futurs emballages'!I180+Fret!I721+Déplacements!I575+'Déchets directs'!I328+Immobilisations!I365+Utilisation!I224+'Fin de vie'!I355)/1000</f>
        <v>0</v>
      </c>
      <c r="J22" s="981">
        <f>('Energie 1'!J303+'Energie 2'!J303+'Hors énergie 1'!J200+'Hors énergie 2'!J200+'Intrants 1'!J420+'Intrants 2'!J418+'Futurs emballages'!J180+Fret!J721+Déplacements!J575+'Déchets directs'!J328+Immobilisations!J365+Utilisation!J224+'Fin de vie'!J355)/1000</f>
        <v>39.17</v>
      </c>
      <c r="K22" s="994">
        <f>('Energie 1'!K303+'Energie 2'!K303+'Hors énergie 1'!K200+'Hors énergie 2'!K200+'Intrants 1'!K420+'Intrants 2'!K418+'Futurs emballages'!K180+Fret!K721+Déplacements!K575+'Déchets directs'!K328+Immobilisations!K365+Utilisation!K224+'Fin de vie'!K355)/1000</f>
        <v>0</v>
      </c>
      <c r="L22" s="994">
        <f>('Energie 1'!L303+'Energie 2'!L303+'Hors énergie 1'!L200+'Hors énergie 2'!L200+'Intrants 1'!L420+'Intrants 2'!L418+'Futurs emballages'!L180+Fret!L721+Déplacements!L575+'Déchets directs'!L328+Immobilisations!L365+Utilisation!L224+'Fin de vie'!L355)/1000</f>
        <v>0</v>
      </c>
      <c r="M22" s="983">
        <f>SQRT('Energie 1'!M303^2+'Energie 2'!M303^2+'Hors énergie 1'!M200^2+'Hors énergie 2'!M200^2+'Intrants 1'!M420^2+'Intrants 2'!M418^2+'Futurs emballages'!M180^2+Fret!M721^2+Déplacements!M575^2+'Déchets directs'!M328^2+Immobilisations!M365^2+Utilisation!M224^2+'Fin de vie'!M355^2)/1000</f>
        <v>5.911822318033586</v>
      </c>
      <c r="N22" s="984">
        <f>('Energie 1'!N303+'Energie 2'!N303+'Hors énergie 1'!N200+'Hors énergie 2'!N200+'Intrants 1'!N420+'Intrants 2'!N418+'Futurs emballages'!N180+Fret!N721+Déplacements!N575+'Déchets directs'!N328+Immobilisations!N365+Utilisation!N224+'Fin de vie'!N355)/1000</f>
        <v>0</v>
      </c>
      <c r="O22" s="984">
        <f>('Energie 1'!O303+'Energie 2'!O303+'Hors énergie 1'!O200+'Hors énergie 1'!O200+'Intrants 1'!O420+'Intrants 2'!O418+'Futurs emballages'!O180+Fret!O721+Déplacements!O575+'Déchets directs'!O328+Immobilisations!O365+Utilisation!O224+'Fin de vie'!O355)/1000</f>
        <v>0</v>
      </c>
      <c r="P22" s="88">
        <v>1</v>
      </c>
      <c r="Q22" s="993">
        <f t="shared" si="10"/>
        <v>39.17</v>
      </c>
      <c r="R22" s="993">
        <f t="shared" si="11"/>
        <v>0</v>
      </c>
      <c r="S22" s="993">
        <f t="shared" si="12"/>
        <v>0</v>
      </c>
      <c r="T22" s="993">
        <f t="shared" si="13"/>
        <v>0</v>
      </c>
      <c r="U22" s="993">
        <f t="shared" si="14"/>
        <v>0</v>
      </c>
      <c r="V22" s="981">
        <f t="shared" si="15"/>
        <v>39.17</v>
      </c>
      <c r="W22" s="994">
        <f t="shared" si="16"/>
        <v>0</v>
      </c>
      <c r="X22" s="994">
        <f t="shared" si="17"/>
        <v>0</v>
      </c>
      <c r="Y22" s="983">
        <f t="shared" si="18"/>
        <v>5.911822318033586</v>
      </c>
      <c r="Z22" s="984">
        <f t="shared" si="19"/>
        <v>0</v>
      </c>
      <c r="AA22" s="984">
        <f t="shared" si="20"/>
        <v>0</v>
      </c>
    </row>
    <row r="23" spans="2:27">
      <c r="B23" s="2994"/>
      <c r="C23" s="973">
        <v>12</v>
      </c>
      <c r="D23" s="976" t="s">
        <v>815</v>
      </c>
      <c r="E23" s="993">
        <f>('Energie 1'!E304+'Energie 2'!E304+'Hors énergie 1'!E201+'Hors énergie 2'!E201+'Intrants 1'!E421+'Intrants 2'!E419+'Futurs emballages'!E181+Fret!E722+Déplacements!E576+'Déchets directs'!E329+Immobilisations!E366+Utilisation!E225+'Fin de vie'!E356)/1000</f>
        <v>295.73983500000003</v>
      </c>
      <c r="F23" s="993">
        <f>('Energie 1'!F304+'Energie 2'!F304+'Hors énergie 1'!F201+'Hors énergie 2'!F201+'Intrants 1'!F421+'Intrants 2'!F419+'Futurs emballages'!F181+Fret!F722+Déplacements!F576+'Déchets directs'!F329+Immobilisations!F366+Utilisation!F225+'Fin de vie'!F356)/1000</f>
        <v>0</v>
      </c>
      <c r="G23" s="993">
        <f>('Energie 1'!G304+'Energie 2'!G304+'Hors énergie 1'!G201+'Hors énergie 2'!G201+'Intrants 1'!G421+'Intrants 2'!G419+'Futurs emballages'!G181+Fret!G722+Déplacements!G576+'Déchets directs'!G329+Immobilisations!G366+Utilisation!G225+'Fin de vie'!G356)/1000</f>
        <v>0</v>
      </c>
      <c r="H23" s="993">
        <f>('Energie 1'!H304+'Energie 2'!H304+'Hors énergie 1'!H201+'Hors énergie 2'!H201+'Intrants 1'!H421+'Intrants 2'!H419+'Futurs emballages'!H181+Fret!H722+Déplacements!H576+'Déchets directs'!H329+Immobilisations!H366+Utilisation!H225+'Fin de vie'!H356)/1000</f>
        <v>0</v>
      </c>
      <c r="I23" s="993">
        <f>('Energie 1'!I304+'Energie 2'!I304+'Hors énergie 1'!I201+'Hors énergie 2'!I201+'Intrants 1'!I421+'Intrants 2'!I419+'Futurs emballages'!I181+Fret!I722+Déplacements!I576+'Déchets directs'!I329+Immobilisations!I366+Utilisation!I225+'Fin de vie'!I356)/1000</f>
        <v>0</v>
      </c>
      <c r="J23" s="981">
        <f>('Energie 1'!J304+'Energie 2'!J304+'Hors énergie 1'!J201+'Hors énergie 2'!J201+'Intrants 1'!J421+'Intrants 2'!J419+'Futurs emballages'!J181+Fret!J722+Déplacements!J576+'Déchets directs'!J329+Immobilisations!J366+Utilisation!J225+'Fin de vie'!J356)/1000</f>
        <v>295.73983500000003</v>
      </c>
      <c r="K23" s="994">
        <f ca="1">('Energie 1'!K304+'Energie 2'!K304+'Hors énergie 1'!K201+'Hors énergie 2'!K201+'Intrants 1'!K421+'Intrants 2'!K419+'Futurs emballages'!K181+Fret!K722+Déplacements!K576+'Déchets directs'!K329+Immobilisations!K366+Utilisation!K225+'Fin de vie'!K356)/1000</f>
        <v>0</v>
      </c>
      <c r="L23" s="994">
        <f>('Energie 1'!L304+'Energie 2'!L304+'Hors énergie 1'!L201+'Hors énergie 2'!L201+'Intrants 1'!L421+'Intrants 2'!L419+'Futurs emballages'!L181+Fret!L722+Déplacements!L576+'Déchets directs'!L329+Immobilisations!L366+Utilisation!L225+'Fin de vie'!L356)/1000</f>
        <v>0</v>
      </c>
      <c r="M23" s="983">
        <f>SQRT('Energie 1'!M304^2+'Energie 2'!M304^2+'Hors énergie 1'!M201^2+'Hors énergie 2'!M201^2+'Intrants 1'!M421^2+'Intrants 2'!M419^2+'Futurs emballages'!M181^2+Fret!M722^2+Déplacements!M576^2+'Déchets directs'!M329^2+Immobilisations!M366^2+Utilisation!M225^2+'Fin de vie'!M356^2)/1000</f>
        <v>80.538449101336724</v>
      </c>
      <c r="N23" s="984">
        <f>('Energie 1'!N304+'Energie 2'!N304+'Hors énergie 1'!N201+'Hors énergie 2'!N201+'Intrants 1'!N421+'Intrants 2'!N419+'Futurs emballages'!N181+Fret!N722+Déplacements!N576+'Déchets directs'!N329+Immobilisations!N366+Utilisation!N225+'Fin de vie'!N356)/1000</f>
        <v>0</v>
      </c>
      <c r="O23" s="984">
        <f>('Energie 1'!O304+'Energie 2'!O304+'Hors énergie 1'!O201+'Hors énergie 1'!O201+'Intrants 1'!O421+'Intrants 2'!O419+'Futurs emballages'!O181+Fret!O722+Déplacements!O576+'Déchets directs'!O329+Immobilisations!O366+Utilisation!O225+'Fin de vie'!O356)/1000</f>
        <v>0</v>
      </c>
      <c r="P23" s="88">
        <v>1</v>
      </c>
      <c r="Q23" s="993">
        <f t="shared" si="10"/>
        <v>295.73983500000003</v>
      </c>
      <c r="R23" s="993">
        <f t="shared" si="11"/>
        <v>0</v>
      </c>
      <c r="S23" s="993">
        <f t="shared" si="12"/>
        <v>0</v>
      </c>
      <c r="T23" s="993">
        <f t="shared" si="13"/>
        <v>0</v>
      </c>
      <c r="U23" s="993">
        <f t="shared" si="14"/>
        <v>0</v>
      </c>
      <c r="V23" s="981">
        <f t="shared" si="15"/>
        <v>295.73983500000003</v>
      </c>
      <c r="W23" s="994">
        <f t="shared" ca="1" si="16"/>
        <v>0</v>
      </c>
      <c r="X23" s="994">
        <f t="shared" si="17"/>
        <v>0</v>
      </c>
      <c r="Y23" s="983">
        <f t="shared" si="18"/>
        <v>80.538449101336724</v>
      </c>
      <c r="Z23" s="984">
        <f t="shared" si="19"/>
        <v>0</v>
      </c>
      <c r="AA23" s="984">
        <f t="shared" si="20"/>
        <v>0</v>
      </c>
    </row>
    <row r="24" spans="2:27">
      <c r="B24" s="2994"/>
      <c r="C24" s="973">
        <v>13</v>
      </c>
      <c r="D24" s="976" t="s">
        <v>470</v>
      </c>
      <c r="E24" s="993">
        <f>('Energie 1'!E305+'Energie 2'!E305+'Hors énergie 1'!E202+'Hors énergie 2'!E202+'Intrants 1'!E422+'Intrants 2'!E420+'Futurs emballages'!E182+Fret!E723+Déplacements!E577+'Déchets directs'!E330+Immobilisations!E367+Utilisation!E226+'Fin de vie'!E357)/1000</f>
        <v>1.4468160000000001</v>
      </c>
      <c r="F24" s="993">
        <f>('Energie 1'!F305+'Energie 2'!F305+'Hors énergie 1'!F202+'Hors énergie 2'!F202+'Intrants 1'!F422+'Intrants 2'!F420+'Futurs emballages'!F182+Fret!F723+Déplacements!F577+'Déchets directs'!F330+Immobilisations!F367+Utilisation!F226+'Fin de vie'!F357)/1000</f>
        <v>1.3859999999999999E-2</v>
      </c>
      <c r="G24" s="993">
        <f>('Energie 1'!G305+'Energie 2'!G305+'Hors énergie 1'!G202+'Hors énergie 2'!G202+'Intrants 1'!G422+'Intrants 2'!G420+'Futurs emballages'!G182+Fret!G723+Déplacements!G577+'Déchets directs'!G330+Immobilisations!G367+Utilisation!G226+'Fin de vie'!G357)/1000</f>
        <v>1.7999999999999998E-4</v>
      </c>
      <c r="H24" s="993">
        <f>('Energie 1'!H305+'Energie 2'!H305+'Hors énergie 1'!H202+'Hors énergie 2'!H202+'Intrants 1'!H422+'Intrants 2'!H420+'Futurs emballages'!H182+Fret!H723+Déplacements!H577+'Déchets directs'!H330+Immobilisations!H367+Utilisation!H226+'Fin de vie'!H357)/1000</f>
        <v>0</v>
      </c>
      <c r="I24" s="993">
        <f>('Energie 1'!I305+'Energie 2'!I305+'Hors énergie 1'!I202+'Hors énergie 2'!I202+'Intrants 1'!I422+'Intrants 2'!I420+'Futurs emballages'!I182+Fret!I723+Déplacements!I577+'Déchets directs'!I330+Immobilisations!I367+Utilisation!I226+'Fin de vie'!I357)/1000</f>
        <v>2.0039999999999999E-2</v>
      </c>
      <c r="J24" s="981">
        <f>('Energie 1'!J305+'Energie 2'!J305+'Hors énergie 1'!J202+'Hors énergie 2'!J202+'Intrants 1'!J422+'Intrants 2'!J420+'Futurs emballages'!J182+Fret!J723+Déplacements!J577+'Déchets directs'!J330+Immobilisations!J367+Utilisation!J226+'Fin de vie'!J357)/1000</f>
        <v>1.480896</v>
      </c>
      <c r="K24" s="994">
        <f>('Energie 1'!K305+'Energie 2'!K305+'Hors énergie 1'!K202+'Hors énergie 2'!K202+'Intrants 1'!K422+'Intrants 2'!K420+'Futurs emballages'!K182+Fret!K723+Déplacements!K577+'Déchets directs'!K330+Immobilisations!K367+Utilisation!K226+'Fin de vie'!K357)/1000</f>
        <v>1.4507399999999999</v>
      </c>
      <c r="L24" s="994">
        <f>('Energie 1'!L305+'Energie 2'!L305+'Hors énergie 1'!L202+'Hors énergie 2'!L202+'Intrants 1'!L422+'Intrants 2'!L420+'Futurs emballages'!L182+Fret!L723+Déplacements!L577+'Déchets directs'!L330+Immobilisations!L367+Utilisation!L226+'Fin de vie'!L357)/1000</f>
        <v>0</v>
      </c>
      <c r="M24" s="983">
        <f>SQRT('Energie 1'!M305^2+'Energie 2'!M305^2+'Hors énergie 1'!M202^2+'Hors énergie 2'!M202^2+'Intrants 1'!M422^2+'Intrants 2'!M420^2+'Futurs emballages'!M182^2+Fret!M723^2+Déplacements!M577^2+'Déchets directs'!M330^2+Immobilisations!M367^2+Utilisation!M226^2+'Fin de vie'!M357^2)/1000</f>
        <v>0.85372128151185256</v>
      </c>
      <c r="N24" s="984">
        <f>('Energie 1'!N305+'Energie 2'!N305+'Hors énergie 1'!N202+'Hors énergie 2'!N202+'Intrants 1'!N422+'Intrants 2'!N420+'Futurs emballages'!N182+Fret!N723+Déplacements!N577+'Déchets directs'!N330+Immobilisations!N367+Utilisation!N226+'Fin de vie'!N357)/1000</f>
        <v>1.4507399999999999</v>
      </c>
      <c r="O24" s="984">
        <f>('Energie 1'!O305+'Energie 2'!O305+'Hors énergie 1'!O202+'Hors énergie 1'!O202+'Intrants 1'!O422+'Intrants 2'!O420+'Futurs emballages'!O182+Fret!O723+Déplacements!O577+'Déchets directs'!O330+Immobilisations!O367+Utilisation!O226+'Fin de vie'!O357)/1000</f>
        <v>0</v>
      </c>
      <c r="P24" s="88">
        <v>1</v>
      </c>
      <c r="Q24" s="993">
        <f t="shared" si="10"/>
        <v>1.4468160000000001</v>
      </c>
      <c r="R24" s="993">
        <f t="shared" si="11"/>
        <v>1.3859999999999999E-2</v>
      </c>
      <c r="S24" s="993">
        <f t="shared" si="12"/>
        <v>1.7999999999999998E-4</v>
      </c>
      <c r="T24" s="993">
        <f t="shared" si="13"/>
        <v>0</v>
      </c>
      <c r="U24" s="993">
        <f t="shared" si="14"/>
        <v>2.0039999999999999E-2</v>
      </c>
      <c r="V24" s="981">
        <f t="shared" si="15"/>
        <v>1.480896</v>
      </c>
      <c r="W24" s="994">
        <f t="shared" si="16"/>
        <v>1.4507399999999999</v>
      </c>
      <c r="X24" s="994">
        <f t="shared" si="17"/>
        <v>0</v>
      </c>
      <c r="Y24" s="983">
        <f t="shared" si="18"/>
        <v>0.85372128151185256</v>
      </c>
      <c r="Z24" s="984">
        <f t="shared" si="19"/>
        <v>1.4507399999999999</v>
      </c>
      <c r="AA24" s="984">
        <f t="shared" si="20"/>
        <v>0</v>
      </c>
    </row>
    <row r="25" spans="2:27">
      <c r="B25" s="2994"/>
      <c r="C25" s="973">
        <v>14</v>
      </c>
      <c r="D25" s="976" t="s">
        <v>471</v>
      </c>
      <c r="E25" s="993">
        <f>('Energie 1'!E306+'Energie 2'!E306+'Hors énergie 1'!E203+'Hors énergie 2'!E203+'Intrants 1'!E423+'Intrants 2'!E421+'Futurs emballages'!E183+Fret!E724+Déplacements!E578+'Déchets directs'!E331+Immobilisations!E368+Utilisation!E227+'Fin de vie'!E358)/1000</f>
        <v>0</v>
      </c>
      <c r="F25" s="993">
        <f>('Energie 1'!F306+'Energie 2'!F306+'Hors énergie 1'!F203+'Hors énergie 2'!F203+'Intrants 1'!F423+'Intrants 2'!F421+'Futurs emballages'!F183+Fret!F724+Déplacements!F578+'Déchets directs'!F331+Immobilisations!F368+Utilisation!F227+'Fin de vie'!F358)/1000</f>
        <v>0</v>
      </c>
      <c r="G25" s="993">
        <f>('Energie 1'!G306+'Energie 2'!G306+'Hors énergie 1'!G203+'Hors énergie 2'!G203+'Intrants 1'!G423+'Intrants 2'!G421+'Futurs emballages'!G183+Fret!G724+Déplacements!G578+'Déchets directs'!G331+Immobilisations!G368+Utilisation!G227+'Fin de vie'!G358)/1000</f>
        <v>0</v>
      </c>
      <c r="H25" s="993">
        <f>('Energie 1'!H306+'Energie 2'!H306+'Hors énergie 1'!H203+'Hors énergie 2'!H203+'Intrants 1'!H423+'Intrants 2'!H421+'Futurs emballages'!H183+Fret!H724+Déplacements!H578+'Déchets directs'!H331+Immobilisations!H368+Utilisation!H227+'Fin de vie'!H358)/1000</f>
        <v>0</v>
      </c>
      <c r="I25" s="993">
        <f>('Energie 1'!I306+'Energie 2'!I306+'Hors énergie 1'!I203+'Hors énergie 2'!I203+'Intrants 1'!I423+'Intrants 2'!I421+'Futurs emballages'!I183+Fret!I724+Déplacements!I578+'Déchets directs'!I331+Immobilisations!I368+Utilisation!I227+'Fin de vie'!I358)/1000</f>
        <v>0</v>
      </c>
      <c r="J25" s="981">
        <f>('Energie 1'!J306+'Energie 2'!J306+'Hors énergie 1'!J203+'Hors énergie 2'!J203+'Intrants 1'!J423+'Intrants 2'!J421+'Futurs emballages'!J183+Fret!J724+Déplacements!J578+'Déchets directs'!J331+Immobilisations!J368+Utilisation!J227+'Fin de vie'!J358)/1000</f>
        <v>0</v>
      </c>
      <c r="K25" s="994">
        <f>('Energie 1'!K306+'Energie 2'!K306+'Hors énergie 1'!K203+'Hors énergie 2'!K203+'Intrants 1'!K423+'Intrants 2'!K421+'Futurs emballages'!K183+Fret!K724+Déplacements!K578+'Déchets directs'!K331+Immobilisations!K368+Utilisation!K227+'Fin de vie'!K358)/1000</f>
        <v>0</v>
      </c>
      <c r="L25" s="994">
        <f>('Energie 1'!L306+'Energie 2'!L306+'Hors énergie 1'!L203+'Hors énergie 2'!L203+'Intrants 1'!L423+'Intrants 2'!L421+'Futurs emballages'!L183+Fret!L724+Déplacements!L578+'Déchets directs'!L331+Immobilisations!L368+Utilisation!L227+'Fin de vie'!L358)/1000</f>
        <v>0</v>
      </c>
      <c r="M25" s="983">
        <f>SQRT('Energie 1'!M306^2+'Energie 2'!M306^2+'Hors énergie 1'!M203^2+'Hors énergie 2'!M203^2+'Intrants 1'!M423^2+'Intrants 2'!M421^2+'Futurs emballages'!M183^2+Fret!M724^2+Déplacements!M578^2+'Déchets directs'!M331^2+Immobilisations!M368^2+Utilisation!M227^2+'Fin de vie'!M358^2)/1000</f>
        <v>0</v>
      </c>
      <c r="N25" s="984">
        <f>('Energie 1'!N306+'Energie 2'!N306+'Hors énergie 1'!N203+'Hors énergie 2'!N203+'Intrants 1'!N423+'Intrants 2'!N421+'Futurs emballages'!N183+Fret!N724+Déplacements!N578+'Déchets directs'!N331+Immobilisations!N368+Utilisation!N227+'Fin de vie'!N358)/1000</f>
        <v>0</v>
      </c>
      <c r="O25" s="984">
        <f>('Energie 1'!O306+'Energie 2'!O306+'Hors énergie 1'!O203+'Hors énergie 1'!O203+'Intrants 1'!O423+'Intrants 2'!O421+'Futurs emballages'!O183+Fret!O724+Déplacements!O578+'Déchets directs'!O331+Immobilisations!O368+Utilisation!O227+'Fin de vie'!O358)/1000</f>
        <v>0</v>
      </c>
      <c r="P25" s="88">
        <v>1</v>
      </c>
      <c r="Q25" s="993">
        <f t="shared" si="10"/>
        <v>0</v>
      </c>
      <c r="R25" s="993">
        <f t="shared" si="11"/>
        <v>0</v>
      </c>
      <c r="S25" s="993">
        <f t="shared" si="12"/>
        <v>0</v>
      </c>
      <c r="T25" s="993">
        <f t="shared" si="13"/>
        <v>0</v>
      </c>
      <c r="U25" s="993">
        <f t="shared" si="14"/>
        <v>0</v>
      </c>
      <c r="V25" s="981">
        <f t="shared" si="15"/>
        <v>0</v>
      </c>
      <c r="W25" s="994">
        <f t="shared" si="16"/>
        <v>0</v>
      </c>
      <c r="X25" s="994">
        <f t="shared" si="17"/>
        <v>0</v>
      </c>
      <c r="Y25" s="983">
        <f t="shared" si="18"/>
        <v>0</v>
      </c>
      <c r="Z25" s="984">
        <f t="shared" si="19"/>
        <v>0</v>
      </c>
      <c r="AA25" s="984">
        <f t="shared" si="20"/>
        <v>0</v>
      </c>
    </row>
    <row r="26" spans="2:27">
      <c r="B26" s="2994"/>
      <c r="C26" s="973">
        <v>15</v>
      </c>
      <c r="D26" s="976" t="s">
        <v>472</v>
      </c>
      <c r="E26" s="993">
        <f>('Energie 1'!E307+'Energie 2'!E307+'Hors énergie 1'!E204+'Hors énergie 2'!E204+'Intrants 1'!E424+'Intrants 2'!E422+'Futurs emballages'!E184+Fret!E725+Déplacements!E579+'Déchets directs'!E332+Immobilisations!E369+Utilisation!E228+'Fin de vie'!E359)/1000</f>
        <v>18.927</v>
      </c>
      <c r="F26" s="993">
        <f>('Energie 1'!F307+'Energie 2'!F307+'Hors énergie 1'!F204+'Hors énergie 2'!F204+'Intrants 1'!F424+'Intrants 2'!F422+'Futurs emballages'!F184+Fret!F725+Déplacements!F579+'Déchets directs'!F332+Immobilisations!F369+Utilisation!F228+'Fin de vie'!F359)/1000</f>
        <v>0</v>
      </c>
      <c r="G26" s="993">
        <f>('Energie 1'!G307+'Energie 2'!G307+'Hors énergie 1'!G204+'Hors énergie 2'!G204+'Intrants 1'!G424+'Intrants 2'!G422+'Futurs emballages'!G184+Fret!G725+Déplacements!G579+'Déchets directs'!G332+Immobilisations!G369+Utilisation!G228+'Fin de vie'!G359)/1000</f>
        <v>0</v>
      </c>
      <c r="H26" s="993">
        <f>('Energie 1'!H307+'Energie 2'!H307+'Hors énergie 1'!H204+'Hors énergie 2'!H204+'Intrants 1'!H424+'Intrants 2'!H422+'Futurs emballages'!H184+Fret!H725+Déplacements!H579+'Déchets directs'!H332+Immobilisations!H369+Utilisation!H228+'Fin de vie'!H359)/1000</f>
        <v>0</v>
      </c>
      <c r="I26" s="993">
        <f>('Energie 1'!I307+'Energie 2'!I307+'Hors énergie 1'!I204+'Hors énergie 2'!I204+'Intrants 1'!I424+'Intrants 2'!I422+'Futurs emballages'!I184+Fret!I725+Déplacements!I579+'Déchets directs'!I332+Immobilisations!I369+Utilisation!I228+'Fin de vie'!I359)/1000</f>
        <v>0</v>
      </c>
      <c r="J26" s="981">
        <f>('Energie 1'!J307+'Energie 2'!J307+'Hors énergie 1'!J204+'Hors énergie 2'!J204+'Intrants 1'!J424+'Intrants 2'!J422+'Futurs emballages'!J184+Fret!J725+Déplacements!J579+'Déchets directs'!J332+Immobilisations!J369+Utilisation!J228+'Fin de vie'!J359)/1000</f>
        <v>18.927</v>
      </c>
      <c r="K26" s="994">
        <f>('Energie 1'!K307+'Energie 2'!K307+'Hors énergie 1'!K204+'Hors énergie 2'!K204+'Intrants 1'!K424+'Intrants 2'!K422+'Futurs emballages'!K184+Fret!K725+Déplacements!K579+'Déchets directs'!K332+Immobilisations!K369+Utilisation!K228+'Fin de vie'!K359)/1000</f>
        <v>0</v>
      </c>
      <c r="L26" s="994">
        <f>('Energie 1'!L307+'Energie 2'!L307+'Hors énergie 1'!L204+'Hors énergie 2'!L204+'Intrants 1'!L424+'Intrants 2'!L422+'Futurs emballages'!L184+Fret!L725+Déplacements!L579+'Déchets directs'!L332+Immobilisations!L369+Utilisation!L228+'Fin de vie'!L359)/1000</f>
        <v>0</v>
      </c>
      <c r="M26" s="983">
        <f>SQRT('Energie 1'!M307^2+'Energie 2'!M307^2+'Hors énergie 1'!M204^2+'Hors énergie 2'!M204^2+'Intrants 1'!M424^2+'Intrants 2'!M422^2+'Futurs emballages'!M184^2+Fret!M725^2+Déplacements!M579^2+'Déchets directs'!M332^2+Immobilisations!M369^2+Utilisation!M228^2+'Fin de vie'!M359^2)/1000</f>
        <v>8.5305063859069925</v>
      </c>
      <c r="N26" s="984">
        <f>('Energie 1'!N307+'Energie 2'!N307+'Hors énergie 1'!N204+'Hors énergie 2'!N204+'Intrants 1'!N424+'Intrants 2'!N422+'Futurs emballages'!N184+Fret!N725+Déplacements!N579+'Déchets directs'!N332+Immobilisations!N369+Utilisation!N228+'Fin de vie'!N359)/1000</f>
        <v>0</v>
      </c>
      <c r="O26" s="984">
        <f>('Energie 1'!O307+'Energie 2'!O307+'Hors énergie 1'!O204+'Hors énergie 1'!O204+'Intrants 1'!O424+'Intrants 2'!O422+'Futurs emballages'!O184+Fret!O725+Déplacements!O579+'Déchets directs'!O332+Immobilisations!O369+Utilisation!O228+'Fin de vie'!O359)/1000</f>
        <v>0</v>
      </c>
      <c r="P26" s="88">
        <v>1</v>
      </c>
      <c r="Q26" s="993">
        <f t="shared" si="10"/>
        <v>18.927</v>
      </c>
      <c r="R26" s="993">
        <f t="shared" si="11"/>
        <v>0</v>
      </c>
      <c r="S26" s="993">
        <f t="shared" si="12"/>
        <v>0</v>
      </c>
      <c r="T26" s="993">
        <f t="shared" si="13"/>
        <v>0</v>
      </c>
      <c r="U26" s="993">
        <f t="shared" si="14"/>
        <v>0</v>
      </c>
      <c r="V26" s="981">
        <f t="shared" si="15"/>
        <v>18.927</v>
      </c>
      <c r="W26" s="994">
        <f t="shared" si="16"/>
        <v>0</v>
      </c>
      <c r="X26" s="994">
        <f t="shared" si="17"/>
        <v>0</v>
      </c>
      <c r="Y26" s="983">
        <f t="shared" si="18"/>
        <v>8.5305063859069925</v>
      </c>
      <c r="Z26" s="984">
        <f t="shared" si="19"/>
        <v>0</v>
      </c>
      <c r="AA26" s="984">
        <f t="shared" si="20"/>
        <v>0</v>
      </c>
    </row>
    <row r="27" spans="2:27">
      <c r="B27" s="2994"/>
      <c r="C27" s="973">
        <v>16</v>
      </c>
      <c r="D27" s="976" t="s">
        <v>473</v>
      </c>
      <c r="E27" s="993">
        <f>('Energie 1'!E308+'Energie 2'!E308+'Hors énergie 1'!E205+'Hors énergie 2'!E205+'Intrants 1'!E425+'Intrants 2'!E423+'Futurs emballages'!E185+Fret!E726+Déplacements!E580+'Déchets directs'!E333+Immobilisations!E370+Utilisation!E229+'Fin de vie'!E360)/1000</f>
        <v>0</v>
      </c>
      <c r="F27" s="993">
        <f>('Energie 1'!F308+'Energie 2'!F308+'Hors énergie 1'!F205+'Hors énergie 2'!F205+'Intrants 1'!F425+'Intrants 2'!F423+'Futurs emballages'!F185+Fret!F726+Déplacements!F580+'Déchets directs'!F333+Immobilisations!F370+Utilisation!F229+'Fin de vie'!F360)/1000</f>
        <v>0</v>
      </c>
      <c r="G27" s="993">
        <f>('Energie 1'!G308+'Energie 2'!G308+'Hors énergie 1'!G205+'Hors énergie 2'!G205+'Intrants 1'!G425+'Intrants 2'!G423+'Futurs emballages'!G185+Fret!G726+Déplacements!G580+'Déchets directs'!G333+Immobilisations!G370+Utilisation!G229+'Fin de vie'!G360)/1000</f>
        <v>0</v>
      </c>
      <c r="H27" s="993">
        <f>('Energie 1'!H308+'Energie 2'!H308+'Hors énergie 1'!H205+'Hors énergie 2'!H205+'Intrants 1'!H425+'Intrants 2'!H423+'Futurs emballages'!H185+Fret!H726+Déplacements!H580+'Déchets directs'!H333+Immobilisations!H370+Utilisation!H229+'Fin de vie'!H360)/1000</f>
        <v>0</v>
      </c>
      <c r="I27" s="993">
        <f>('Energie 1'!I308+'Energie 2'!I308+'Hors énergie 1'!I205+'Hors énergie 2'!I205+'Intrants 1'!I425+'Intrants 2'!I423+'Futurs emballages'!I185+Fret!I726+Déplacements!I580+'Déchets directs'!I333+Immobilisations!I370+Utilisation!I229+'Fin de vie'!I360)/1000</f>
        <v>0</v>
      </c>
      <c r="J27" s="981">
        <f>('Energie 1'!J308+'Energie 2'!J308+'Hors énergie 1'!J205+'Hors énergie 2'!J205+'Intrants 1'!J425+'Intrants 2'!J423+'Futurs emballages'!J185+Fret!J726+Déplacements!J580+'Déchets directs'!J333+Immobilisations!J370+Utilisation!J229+'Fin de vie'!J360)/1000</f>
        <v>0</v>
      </c>
      <c r="K27" s="994">
        <f>('Energie 1'!K308+'Energie 2'!K308+'Hors énergie 1'!K205+'Hors énergie 2'!K205+'Intrants 1'!K425+'Intrants 2'!K423+'Futurs emballages'!K185+Fret!K726+Déplacements!K580+'Déchets directs'!K333+Immobilisations!K370+Utilisation!K229+'Fin de vie'!K360)/1000</f>
        <v>0</v>
      </c>
      <c r="L27" s="994">
        <f>('Energie 1'!L308+'Energie 2'!L308+'Hors énergie 1'!L205+'Hors énergie 2'!L205+'Intrants 1'!L425+'Intrants 2'!L423+'Futurs emballages'!L185+Fret!L726+Déplacements!L580+'Déchets directs'!L333+Immobilisations!L370+Utilisation!L229+'Fin de vie'!L360)/1000</f>
        <v>0</v>
      </c>
      <c r="M27" s="983">
        <f>SQRT('Energie 1'!M308^2+'Energie 2'!M308^2+'Hors énergie 1'!M205^2+'Hors énergie 2'!M205^2+'Intrants 1'!M425^2+'Intrants 2'!M423^2+'Futurs emballages'!M185^2+Fret!M726^2+Déplacements!M580^2+'Déchets directs'!M333^2+Immobilisations!M370^2+Utilisation!M229^2+'Fin de vie'!M360^2)/1000</f>
        <v>0</v>
      </c>
      <c r="N27" s="984">
        <f>('Energie 1'!N308+'Energie 2'!N308+'Hors énergie 1'!N205+'Hors énergie 2'!N205+'Intrants 1'!N425+'Intrants 2'!N423+'Futurs emballages'!N185+Fret!N726+Déplacements!N580+'Déchets directs'!N333+Immobilisations!N370+Utilisation!N229+'Fin de vie'!N360)/1000</f>
        <v>0</v>
      </c>
      <c r="O27" s="984">
        <f>('Energie 1'!O308+'Energie 2'!O308+'Hors énergie 1'!O205+'Hors énergie 1'!O205+'Intrants 1'!O425+'Intrants 2'!O423+'Futurs emballages'!O185+Fret!O726+Déplacements!O580+'Déchets directs'!O333+Immobilisations!O370+Utilisation!O229+'Fin de vie'!O360)/1000</f>
        <v>0</v>
      </c>
      <c r="P27" s="88">
        <v>1</v>
      </c>
      <c r="Q27" s="993">
        <f t="shared" si="10"/>
        <v>0</v>
      </c>
      <c r="R27" s="993">
        <f t="shared" si="11"/>
        <v>0</v>
      </c>
      <c r="S27" s="993">
        <f t="shared" si="12"/>
        <v>0</v>
      </c>
      <c r="T27" s="993">
        <f t="shared" si="13"/>
        <v>0</v>
      </c>
      <c r="U27" s="993">
        <f t="shared" si="14"/>
        <v>0</v>
      </c>
      <c r="V27" s="981">
        <f t="shared" si="15"/>
        <v>0</v>
      </c>
      <c r="W27" s="994">
        <f t="shared" si="16"/>
        <v>0</v>
      </c>
      <c r="X27" s="994">
        <f t="shared" si="17"/>
        <v>0</v>
      </c>
      <c r="Y27" s="983">
        <f t="shared" si="18"/>
        <v>0</v>
      </c>
      <c r="Z27" s="984">
        <f t="shared" si="19"/>
        <v>0</v>
      </c>
      <c r="AA27" s="984">
        <f t="shared" si="20"/>
        <v>0</v>
      </c>
    </row>
    <row r="28" spans="2:27">
      <c r="B28" s="2994"/>
      <c r="C28" s="973">
        <v>17</v>
      </c>
      <c r="D28" s="976" t="s">
        <v>737</v>
      </c>
      <c r="E28" s="993">
        <f>('Energie 1'!E309+'Energie 2'!E309+'Hors énergie 1'!E206+'Hors énergie 2'!E206+'Intrants 1'!E426+'Intrants 2'!E424+'Futurs emballages'!E186+Fret!E727+Déplacements!E581+'Déchets directs'!E334+Immobilisations!E371+Utilisation!E230+'Fin de vie'!E361)/1000</f>
        <v>0</v>
      </c>
      <c r="F28" s="993">
        <f>('Energie 1'!F309+'Energie 2'!F309+'Hors énergie 1'!F206+'Hors énergie 2'!F206+'Intrants 1'!F426+'Intrants 2'!F424+'Futurs emballages'!F186+Fret!F727+Déplacements!F581+'Déchets directs'!F334+Immobilisations!F371+Utilisation!F230+'Fin de vie'!F361)/1000</f>
        <v>0</v>
      </c>
      <c r="G28" s="993">
        <f>('Energie 1'!G309+'Energie 2'!G309+'Hors énergie 1'!G206+'Hors énergie 2'!G206+'Intrants 1'!G426+'Intrants 2'!G424+'Futurs emballages'!G186+Fret!G727+Déplacements!G581+'Déchets directs'!G334+Immobilisations!G371+Utilisation!G230+'Fin de vie'!G361)/1000</f>
        <v>0</v>
      </c>
      <c r="H28" s="993">
        <f>('Energie 1'!H309+'Energie 2'!H309+'Hors énergie 1'!H206+'Hors énergie 2'!H206+'Intrants 1'!H426+'Intrants 2'!H424+'Futurs emballages'!H186+Fret!H727+Déplacements!H581+'Déchets directs'!H334+Immobilisations!H371+Utilisation!H230+'Fin de vie'!H361)/1000</f>
        <v>0</v>
      </c>
      <c r="I28" s="993">
        <f>('Energie 1'!I309+'Energie 2'!I309+'Hors énergie 1'!I206+'Hors énergie 2'!I206+'Intrants 1'!I426+'Intrants 2'!I424+'Futurs emballages'!I186+Fret!I727+Déplacements!I581+'Déchets directs'!I334+Immobilisations!I371+Utilisation!I230+'Fin de vie'!I361)/1000</f>
        <v>0</v>
      </c>
      <c r="J28" s="981">
        <f>('Energie 1'!J309+'Energie 2'!J309+'Hors énergie 1'!J206+'Hors énergie 2'!J206+'Intrants 1'!J426+'Intrants 2'!J424+'Futurs emballages'!J186+Fret!J727+Déplacements!J581+'Déchets directs'!J334+Immobilisations!J371+Utilisation!J230+'Fin de vie'!J361)/1000</f>
        <v>0</v>
      </c>
      <c r="K28" s="994">
        <f ca="1">('Energie 1'!K309+'Energie 2'!K309+'Hors énergie 1'!K206+'Hors énergie 2'!K206+'Intrants 1'!K426+'Intrants 2'!K424+'Futurs emballages'!K186+Fret!K727+Déplacements!K581+'Déchets directs'!K334+Immobilisations!K371+Utilisation!K230+'Fin de vie'!K361)/1000</f>
        <v>0</v>
      </c>
      <c r="L28" s="994">
        <f>('Energie 1'!L309+'Energie 2'!L309+'Hors énergie 1'!L206+'Hors énergie 2'!L206+'Intrants 1'!L426+'Intrants 2'!L424+'Futurs emballages'!L186+Fret!L727+Déplacements!L581+'Déchets directs'!L334+Immobilisations!L371+Utilisation!L230+'Fin de vie'!L361)/1000</f>
        <v>0</v>
      </c>
      <c r="M28" s="983">
        <f>SQRT('Energie 1'!M309^2+'Energie 2'!M309^2+'Hors énergie 1'!M206^2+'Hors énergie 2'!M206^2+'Intrants 1'!M426^2+'Intrants 2'!M424^2+'Futurs emballages'!M186^2+Fret!M727^2+Déplacements!M581^2+'Déchets directs'!M334^2+Immobilisations!M371^2+Utilisation!M230^2+'Fin de vie'!M361^2)/1000</f>
        <v>0</v>
      </c>
      <c r="N28" s="984">
        <f>('Energie 1'!N309+'Energie 2'!N309+'Hors énergie 1'!N206+'Hors énergie 2'!N206+'Intrants 1'!N426+'Intrants 2'!N424+'Futurs emballages'!N186+Fret!N727+Déplacements!N581+'Déchets directs'!N334+Immobilisations!N371+Utilisation!N230+'Fin de vie'!N361)/1000</f>
        <v>0</v>
      </c>
      <c r="O28" s="984">
        <f>('Energie 1'!O309+'Energie 2'!O309+'Hors énergie 1'!O206+'Hors énergie 1'!O206+'Intrants 1'!O426+'Intrants 2'!O424+'Futurs emballages'!O186+Fret!O727+Déplacements!O581+'Déchets directs'!O334+Immobilisations!O371+Utilisation!O230+'Fin de vie'!O361)/1000</f>
        <v>0</v>
      </c>
      <c r="P28" s="88">
        <v>1</v>
      </c>
      <c r="Q28" s="993">
        <f t="shared" si="10"/>
        <v>0</v>
      </c>
      <c r="R28" s="993">
        <f t="shared" si="11"/>
        <v>0</v>
      </c>
      <c r="S28" s="993">
        <f t="shared" si="12"/>
        <v>0</v>
      </c>
      <c r="T28" s="993">
        <f t="shared" si="13"/>
        <v>0</v>
      </c>
      <c r="U28" s="993">
        <f t="shared" si="14"/>
        <v>0</v>
      </c>
      <c r="V28" s="981">
        <f t="shared" si="15"/>
        <v>0</v>
      </c>
      <c r="W28" s="994">
        <f t="shared" ca="1" si="16"/>
        <v>0</v>
      </c>
      <c r="X28" s="994">
        <f t="shared" si="17"/>
        <v>0</v>
      </c>
      <c r="Y28" s="983">
        <f t="shared" si="18"/>
        <v>0</v>
      </c>
      <c r="Z28" s="984">
        <f t="shared" si="19"/>
        <v>0</v>
      </c>
      <c r="AA28" s="984">
        <f t="shared" si="20"/>
        <v>0</v>
      </c>
    </row>
    <row r="29" spans="2:27">
      <c r="B29" s="2994"/>
      <c r="C29" s="973">
        <v>18</v>
      </c>
      <c r="D29" s="976" t="s">
        <v>475</v>
      </c>
      <c r="E29" s="993">
        <f>('Energie 1'!E310+'Energie 2'!E310+'Hors énergie 1'!E207+'Hors énergie 2'!E207+'Intrants 1'!E427+'Intrants 2'!E425+'Futurs emballages'!E187+Fret!E728+Déplacements!E582+'Déchets directs'!E335+Immobilisations!E372+Utilisation!E231+'Fin de vie'!E362)/1000</f>
        <v>5.3314577495621718</v>
      </c>
      <c r="F29" s="993">
        <f>('Energie 1'!F310+'Energie 2'!F310+'Hors énergie 1'!F207+'Hors énergie 2'!F207+'Intrants 1'!F427+'Intrants 2'!F425+'Futurs emballages'!F187+Fret!F728+Déplacements!F582+'Déchets directs'!F335+Immobilisations!F372+Utilisation!F231+'Fin de vie'!F362)/1000</f>
        <v>0</v>
      </c>
      <c r="G29" s="993">
        <f>('Energie 1'!G310+'Energie 2'!G310+'Hors énergie 1'!G207+'Hors énergie 2'!G207+'Intrants 1'!G427+'Intrants 2'!G425+'Futurs emballages'!G187+Fret!G728+Déplacements!G582+'Déchets directs'!G335+Immobilisations!G372+Utilisation!G231+'Fin de vie'!G362)/1000</f>
        <v>0</v>
      </c>
      <c r="H29" s="993">
        <f>('Energie 1'!H310+'Energie 2'!H310+'Hors énergie 1'!H207+'Hors énergie 2'!H207+'Intrants 1'!H427+'Intrants 2'!H425+'Futurs emballages'!H187+Fret!H728+Déplacements!H582+'Déchets directs'!H335+Immobilisations!H372+Utilisation!H231+'Fin de vie'!H362)/1000</f>
        <v>0</v>
      </c>
      <c r="I29" s="993">
        <f>('Energie 1'!I310+'Energie 2'!I310+'Hors énergie 1'!I207+'Hors énergie 2'!I207+'Intrants 1'!I427+'Intrants 2'!I425+'Futurs emballages'!I187+Fret!I728+Déplacements!I582+'Déchets directs'!I335+Immobilisations!I372+Utilisation!I231+'Fin de vie'!I362)/1000</f>
        <v>0</v>
      </c>
      <c r="J29" s="981">
        <f>('Energie 1'!J310+'Energie 2'!J310+'Hors énergie 1'!J207+'Hors énergie 2'!J207+'Intrants 1'!J427+'Intrants 2'!J425+'Futurs emballages'!J187+Fret!J728+Déplacements!J582+'Déchets directs'!J335+Immobilisations!J372+Utilisation!J231+'Fin de vie'!J362)/1000</f>
        <v>5.3314577495621718</v>
      </c>
      <c r="K29" s="994">
        <f>('Energie 1'!K310+'Energie 2'!K310+'Hors énergie 1'!K207+'Hors énergie 2'!K207+'Intrants 1'!K427+'Intrants 2'!K425+'Futurs emballages'!K187+Fret!K728+Déplacements!K582+'Déchets directs'!K335+Immobilisations!K372+Utilisation!K231+'Fin de vie'!K362)/1000</f>
        <v>0</v>
      </c>
      <c r="L29" s="994">
        <f>('Energie 1'!L310+'Energie 2'!L310+'Hors énergie 1'!L207+'Hors énergie 2'!L207+'Intrants 1'!L427+'Intrants 2'!L425+'Futurs emballages'!L187+Fret!L728+Déplacements!L582+'Déchets directs'!L335+Immobilisations!L372+Utilisation!L231+'Fin de vie'!L362)/1000</f>
        <v>0</v>
      </c>
      <c r="M29" s="983">
        <f>SQRT('Energie 1'!M310^2+'Energie 2'!M310^2+'Hors énergie 1'!M207^2+'Hors énergie 2'!M207^2+'Intrants 1'!M427^2+'Intrants 2'!M425^2+'Futurs emballages'!M187^2+Fret!M728^2+Déplacements!M582^2+'Déchets directs'!M335^2+Immobilisations!M372^2+Utilisation!M231^2+'Fin de vie'!M362^2)/1000</f>
        <v>0.55067377355516667</v>
      </c>
      <c r="N29" s="984">
        <f>('Energie 1'!N310+'Energie 2'!N310+'Hors énergie 1'!N207+'Hors énergie 2'!N207+'Intrants 1'!N427+'Intrants 2'!N425+'Futurs emballages'!N187+Fret!N728+Déplacements!N582+'Déchets directs'!N335+Immobilisations!N372+Utilisation!N231+'Fin de vie'!N362)/1000</f>
        <v>0</v>
      </c>
      <c r="O29" s="984">
        <f>('Energie 1'!O310+'Energie 2'!O310+'Hors énergie 1'!O207+'Hors énergie 1'!O207+'Intrants 1'!O427+'Intrants 2'!O425+'Futurs emballages'!O187+Fret!O728+Déplacements!O582+'Déchets directs'!O335+Immobilisations!O372+Utilisation!O231+'Fin de vie'!O362)/1000</f>
        <v>0</v>
      </c>
      <c r="P29" s="88">
        <v>1</v>
      </c>
      <c r="Q29" s="993">
        <f t="shared" si="10"/>
        <v>5.3314577495621718</v>
      </c>
      <c r="R29" s="993">
        <f t="shared" si="11"/>
        <v>0</v>
      </c>
      <c r="S29" s="993">
        <f t="shared" si="12"/>
        <v>0</v>
      </c>
      <c r="T29" s="993">
        <f t="shared" si="13"/>
        <v>0</v>
      </c>
      <c r="U29" s="993">
        <f t="shared" si="14"/>
        <v>0</v>
      </c>
      <c r="V29" s="981">
        <f t="shared" si="15"/>
        <v>5.3314577495621718</v>
      </c>
      <c r="W29" s="994">
        <f t="shared" si="16"/>
        <v>0</v>
      </c>
      <c r="X29" s="994">
        <f t="shared" si="17"/>
        <v>0</v>
      </c>
      <c r="Y29" s="983">
        <f t="shared" si="18"/>
        <v>0.55067377355516667</v>
      </c>
      <c r="Z29" s="984">
        <f t="shared" si="19"/>
        <v>0</v>
      </c>
      <c r="AA29" s="984">
        <f t="shared" si="20"/>
        <v>0</v>
      </c>
    </row>
    <row r="30" spans="2:27">
      <c r="B30" s="2994"/>
      <c r="C30" s="973">
        <v>19</v>
      </c>
      <c r="D30" s="976" t="s">
        <v>476</v>
      </c>
      <c r="E30" s="993" t="e">
        <f>('Energie 1'!E311+'Energie 2'!E311+'Hors énergie 1'!E208+'Hors énergie 2'!E208+'Intrants 1'!E428+'Intrants 2'!E426+'Futurs emballages'!E188+Fret!E729+Déplacements!E583+'Déchets directs'!E336+Immobilisations!E373+Utilisation!E232+'Fin de vie'!E363)/1000</f>
        <v>#REF!</v>
      </c>
      <c r="F30" s="993">
        <f>('Energie 1'!F311+'Energie 2'!F311+'Hors énergie 1'!F208+'Hors énergie 2'!F208+'Intrants 1'!F428+'Intrants 2'!F426+'Futurs emballages'!F188+Fret!F729+Déplacements!F583+'Déchets directs'!F336+Immobilisations!F373+Utilisation!F232+'Fin de vie'!F363)/1000</f>
        <v>0</v>
      </c>
      <c r="G30" s="993">
        <f>('Energie 1'!G311+'Energie 2'!G311+'Hors énergie 1'!G208+'Hors énergie 2'!G208+'Intrants 1'!G428+'Intrants 2'!G426+'Futurs emballages'!G188+Fret!G729+Déplacements!G583+'Déchets directs'!G336+Immobilisations!G373+Utilisation!G232+'Fin de vie'!G363)/1000</f>
        <v>0</v>
      </c>
      <c r="H30" s="993">
        <f>('Energie 1'!H311+'Energie 2'!H311+'Hors énergie 1'!H208+'Hors énergie 2'!H208+'Intrants 1'!H428+'Intrants 2'!H426+'Futurs emballages'!H188+Fret!H729+Déplacements!H583+'Déchets directs'!H336+Immobilisations!H373+Utilisation!H232+'Fin de vie'!H363)/1000</f>
        <v>0</v>
      </c>
      <c r="I30" s="993">
        <f>('Energie 1'!I311+'Energie 2'!I311+'Hors énergie 1'!I208+'Hors énergie 2'!I208+'Intrants 1'!I428+'Intrants 2'!I426+'Futurs emballages'!I188+Fret!I729+Déplacements!I583+'Déchets directs'!I336+Immobilisations!I373+Utilisation!I232+'Fin de vie'!I363)/1000</f>
        <v>0</v>
      </c>
      <c r="J30" s="981" t="e">
        <f>('Energie 1'!J311+'Energie 2'!J311+'Hors énergie 1'!J208+'Hors énergie 2'!J208+'Intrants 1'!J428+'Intrants 2'!J426+'Futurs emballages'!J188+Fret!J729+Déplacements!J583+'Déchets directs'!J336+Immobilisations!J373+Utilisation!J232+'Fin de vie'!J363)/1000</f>
        <v>#REF!</v>
      </c>
      <c r="K30" s="994">
        <f>('Energie 1'!K311+'Energie 2'!K311+'Hors énergie 1'!K208+'Hors énergie 2'!K208+'Intrants 1'!K428+'Intrants 2'!K426+'Futurs emballages'!K188+Fret!K729+Déplacements!K583+'Déchets directs'!K336+Immobilisations!K373+Utilisation!K232+'Fin de vie'!K363)/1000</f>
        <v>0</v>
      </c>
      <c r="L30" s="994">
        <f>('Energie 1'!L311+'Energie 2'!L311+'Hors énergie 1'!L208+'Hors énergie 2'!L208+'Intrants 1'!L428+'Intrants 2'!L426+'Futurs emballages'!L188+Fret!L729+Déplacements!L583+'Déchets directs'!L336+Immobilisations!L373+Utilisation!L232+'Fin de vie'!L363)/1000</f>
        <v>0</v>
      </c>
      <c r="M30" s="983">
        <f>SQRT('Energie 1'!M311^2+'Energie 2'!M311^2+'Hors énergie 1'!M208^2+'Hors énergie 2'!M208^2+'Intrants 1'!M428^2+'Intrants 2'!M426^2+'Futurs emballages'!M188^2+Fret!M729^2+Déplacements!M583^2+'Déchets directs'!M336^2+Immobilisations!M373^2+Utilisation!M232^2+'Fin de vie'!M363^2)/1000</f>
        <v>178.24680018625861</v>
      </c>
      <c r="N30" s="984">
        <f>('Energie 1'!N311+'Energie 2'!N311+'Hors énergie 1'!N208+'Hors énergie 2'!N208+'Intrants 1'!N428+'Intrants 2'!N426+'Futurs emballages'!N188+Fret!N729+Déplacements!N583+'Déchets directs'!N336+Immobilisations!N373+Utilisation!N232+'Fin de vie'!N363)/1000</f>
        <v>0</v>
      </c>
      <c r="O30" s="984">
        <f>('Energie 1'!O311+'Energie 2'!O311+'Hors énergie 1'!O208+'Hors énergie 1'!O208+'Intrants 1'!O428+'Intrants 2'!O426+'Futurs emballages'!O188+Fret!O729+Déplacements!O583+'Déchets directs'!O336+Immobilisations!O373+Utilisation!O232+'Fin de vie'!O363)/1000</f>
        <v>0</v>
      </c>
      <c r="P30" s="88">
        <v>1</v>
      </c>
      <c r="Q30" s="993" t="e">
        <f t="shared" si="10"/>
        <v>#REF!</v>
      </c>
      <c r="R30" s="993">
        <f t="shared" si="11"/>
        <v>0</v>
      </c>
      <c r="S30" s="993">
        <f t="shared" si="12"/>
        <v>0</v>
      </c>
      <c r="T30" s="993">
        <f t="shared" si="13"/>
        <v>0</v>
      </c>
      <c r="U30" s="993">
        <f t="shared" si="14"/>
        <v>0</v>
      </c>
      <c r="V30" s="981" t="e">
        <f t="shared" si="15"/>
        <v>#REF!</v>
      </c>
      <c r="W30" s="994">
        <f t="shared" si="16"/>
        <v>0</v>
      </c>
      <c r="X30" s="994">
        <f t="shared" si="17"/>
        <v>0</v>
      </c>
      <c r="Y30" s="983">
        <f t="shared" si="18"/>
        <v>178.24680018625861</v>
      </c>
      <c r="Z30" s="984">
        <f t="shared" si="19"/>
        <v>0</v>
      </c>
      <c r="AA30" s="984">
        <f t="shared" si="20"/>
        <v>0</v>
      </c>
    </row>
    <row r="31" spans="2:27">
      <c r="B31" s="2994"/>
      <c r="C31" s="973">
        <v>20</v>
      </c>
      <c r="D31" s="976" t="s">
        <v>477</v>
      </c>
      <c r="E31" s="993">
        <f>('Energie 1'!E312+'Energie 2'!E312+'Hors énergie 1'!E209+'Hors énergie 2'!E209+'Intrants 1'!E429+'Intrants 2'!E427+'Futurs emballages'!E189+Fret!E730+Déplacements!E584+'Déchets directs'!E337+Immobilisations!E374+Utilisation!E233+'Fin de vie'!E364)/1000</f>
        <v>0</v>
      </c>
      <c r="F31" s="993">
        <f>('Energie 1'!F312+'Energie 2'!F312+'Hors énergie 1'!F209+'Hors énergie 2'!F209+'Intrants 1'!F429+'Intrants 2'!F427+'Futurs emballages'!F189+Fret!F730+Déplacements!F584+'Déchets directs'!F337+Immobilisations!F374+Utilisation!F233+'Fin de vie'!F364)/1000</f>
        <v>0</v>
      </c>
      <c r="G31" s="993">
        <f>('Energie 1'!G312+'Energie 2'!G312+'Hors énergie 1'!G209+'Hors énergie 2'!G209+'Intrants 1'!G429+'Intrants 2'!G427+'Futurs emballages'!G189+Fret!G730+Déplacements!G584+'Déchets directs'!G337+Immobilisations!G374+Utilisation!G233+'Fin de vie'!G364)/1000</f>
        <v>0</v>
      </c>
      <c r="H31" s="993">
        <f>('Energie 1'!H312+'Energie 2'!H312+'Hors énergie 1'!H209+'Hors énergie 2'!H209+'Intrants 1'!H429+'Intrants 2'!H427+'Futurs emballages'!H189+Fret!H730+Déplacements!H584+'Déchets directs'!H337+Immobilisations!H374+Utilisation!H233+'Fin de vie'!H364)/1000</f>
        <v>0</v>
      </c>
      <c r="I31" s="993">
        <f>('Energie 1'!I312+'Energie 2'!I312+'Hors énergie 1'!I209+'Hors énergie 2'!I209+'Intrants 1'!I429+'Intrants 2'!I427+'Futurs emballages'!I189+Fret!I730+Déplacements!I584+'Déchets directs'!I337+Immobilisations!I374+Utilisation!I233+'Fin de vie'!I364)/1000</f>
        <v>0</v>
      </c>
      <c r="J31" s="981">
        <f>('Energie 1'!J312+'Energie 2'!J312+'Hors énergie 1'!J209+'Hors énergie 2'!J209+'Intrants 1'!J429+'Intrants 2'!J427+'Futurs emballages'!J189+Fret!J730+Déplacements!J584+'Déchets directs'!J337+Immobilisations!J374+Utilisation!J233+'Fin de vie'!J364)/1000</f>
        <v>0</v>
      </c>
      <c r="K31" s="994">
        <f>('Energie 1'!K312+'Energie 2'!K312+'Hors énergie 1'!K209+'Hors énergie 2'!K209+'Intrants 1'!K429+'Intrants 2'!K427+'Futurs emballages'!K189+Fret!K730+Déplacements!K584+'Déchets directs'!K337+Immobilisations!K374+Utilisation!K233+'Fin de vie'!K364)/1000</f>
        <v>0</v>
      </c>
      <c r="L31" s="994">
        <f>('Energie 1'!L312+'Energie 2'!L312+'Hors énergie 1'!L209+'Hors énergie 2'!L209+'Intrants 1'!L429+'Intrants 2'!L427+'Futurs emballages'!L189+Fret!L730+Déplacements!L584+'Déchets directs'!L337+Immobilisations!L374+Utilisation!L233+'Fin de vie'!L364)/1000</f>
        <v>0</v>
      </c>
      <c r="M31" s="983">
        <f>SQRT('Energie 1'!M312^2+'Energie 2'!M312^2+'Hors énergie 1'!M209^2+'Hors énergie 2'!M209^2+'Intrants 1'!M429^2+'Intrants 2'!M427^2+'Futurs emballages'!M189^2+Fret!M730^2+Déplacements!M584^2+'Déchets directs'!M337^2+Immobilisations!M374^2+Utilisation!M233^2+'Fin de vie'!M364^2)/1000</f>
        <v>0</v>
      </c>
      <c r="N31" s="984">
        <f>('Energie 1'!N312+'Energie 2'!N312+'Hors énergie 1'!N209+'Hors énergie 2'!N209+'Intrants 1'!N429+'Intrants 2'!N427+'Futurs emballages'!N189+Fret!N730+Déplacements!N584+'Déchets directs'!N337+Immobilisations!N374+Utilisation!N233+'Fin de vie'!N364)/1000</f>
        <v>0</v>
      </c>
      <c r="O31" s="984">
        <f>('Energie 1'!O312+'Energie 2'!O312+'Hors énergie 1'!O209+'Hors énergie 1'!O209+'Intrants 1'!O429+'Intrants 2'!O427+'Futurs emballages'!O189+Fret!O730+Déplacements!O584+'Déchets directs'!O337+Immobilisations!O374+Utilisation!O233+'Fin de vie'!O364)/1000</f>
        <v>0</v>
      </c>
      <c r="P31" s="88">
        <v>1</v>
      </c>
      <c r="Q31" s="993">
        <f>IF($E$4="Oui",SUMPRODUCT(E10:E14,$P10:$P14)+SUMPRODUCT(E16:E17,$P16:$P17)+SUMPRODUCT(E19:E34,$P19:$P34),IF($E$5="Oui",0,E31*$P31))</f>
        <v>0</v>
      </c>
      <c r="R31" s="993">
        <f t="shared" ref="R31:AA31" si="21">IF($E$4="Oui",SUMPRODUCT(F10:F14,$P10:$P14)+SUMPRODUCT(F16:F17,$P16:$P17)+SUMPRODUCT(F19:F34,$P19:$P34),IF($E$5="Oui",0,F31*$P31))</f>
        <v>0</v>
      </c>
      <c r="S31" s="993">
        <f t="shared" si="21"/>
        <v>0</v>
      </c>
      <c r="T31" s="993">
        <f t="shared" si="21"/>
        <v>0</v>
      </c>
      <c r="U31" s="993">
        <f t="shared" si="21"/>
        <v>0</v>
      </c>
      <c r="V31" s="981">
        <f t="shared" si="21"/>
        <v>0</v>
      </c>
      <c r="W31" s="994">
        <f t="shared" si="21"/>
        <v>0</v>
      </c>
      <c r="X31" s="994">
        <f t="shared" si="21"/>
        <v>0</v>
      </c>
      <c r="Y31" s="983">
        <f t="shared" si="21"/>
        <v>0</v>
      </c>
      <c r="Z31" s="984">
        <f t="shared" si="21"/>
        <v>0</v>
      </c>
      <c r="AA31" s="984">
        <f t="shared" si="21"/>
        <v>0</v>
      </c>
    </row>
    <row r="32" spans="2:27">
      <c r="B32" s="2994"/>
      <c r="C32" s="973">
        <v>21</v>
      </c>
      <c r="D32" s="976" t="s">
        <v>478</v>
      </c>
      <c r="E32" s="993">
        <f>('Energie 1'!E313+'Energie 2'!E313+'Hors énergie 1'!E210+'Hors énergie 2'!E210+'Intrants 1'!E430+'Intrants 2'!E428+'Futurs emballages'!E190+Fret!E731+Déplacements!E585+'Déchets directs'!E338+Immobilisations!E375+Utilisation!E234+'Fin de vie'!E365)/1000</f>
        <v>0</v>
      </c>
      <c r="F32" s="993">
        <f>('Energie 1'!F313+'Energie 2'!F313+'Hors énergie 1'!F210+'Hors énergie 2'!F210+'Intrants 1'!F430+'Intrants 2'!F428+'Futurs emballages'!F190+Fret!F731+Déplacements!F585+'Déchets directs'!F338+Immobilisations!F375+Utilisation!F234+'Fin de vie'!F365)/1000</f>
        <v>0</v>
      </c>
      <c r="G32" s="993">
        <f>('Energie 1'!G313+'Energie 2'!G313+'Hors énergie 1'!G210+'Hors énergie 2'!G210+'Intrants 1'!G430+'Intrants 2'!G428+'Futurs emballages'!G190+Fret!G731+Déplacements!G585+'Déchets directs'!G338+Immobilisations!G375+Utilisation!G234+'Fin de vie'!G365)/1000</f>
        <v>0</v>
      </c>
      <c r="H32" s="993">
        <f>('Energie 1'!H313+'Energie 2'!H313+'Hors énergie 1'!H210+'Hors énergie 2'!H210+'Intrants 1'!H430+'Intrants 2'!H428+'Futurs emballages'!H190+Fret!H731+Déplacements!H585+'Déchets directs'!H338+Immobilisations!H375+Utilisation!H234+'Fin de vie'!H365)/1000</f>
        <v>0</v>
      </c>
      <c r="I32" s="993">
        <f>('Energie 1'!I313+'Energie 2'!I313+'Hors énergie 1'!I210+'Hors énergie 2'!I210+'Intrants 1'!I430+'Intrants 2'!I428+'Futurs emballages'!I190+Fret!I731+Déplacements!I585+'Déchets directs'!I338+Immobilisations!I375+Utilisation!I234+'Fin de vie'!I365)/1000</f>
        <v>0</v>
      </c>
      <c r="J32" s="981">
        <f>('Energie 1'!J313+'Energie 2'!J313+'Hors énergie 1'!J210+'Hors énergie 2'!J210+'Intrants 1'!J430+'Intrants 2'!J428+'Futurs emballages'!J190+Fret!J731+Déplacements!J585+'Déchets directs'!J338+Immobilisations!J375+Utilisation!J234+'Fin de vie'!J365)/1000</f>
        <v>0</v>
      </c>
      <c r="K32" s="994">
        <f>('Energie 1'!K313+'Energie 2'!K313+'Hors énergie 1'!K210+'Hors énergie 2'!K210+'Intrants 1'!K430+'Intrants 2'!K428+'Futurs emballages'!K190+Fret!K731+Déplacements!K585+'Déchets directs'!K338+Immobilisations!K375+Utilisation!K234+'Fin de vie'!K365)/1000</f>
        <v>0</v>
      </c>
      <c r="L32" s="994">
        <f>('Energie 1'!L313+'Energie 2'!L313+'Hors énergie 1'!L210+'Hors énergie 2'!L210+'Intrants 1'!L430+'Intrants 2'!L428+'Futurs emballages'!L190+Fret!L731+Déplacements!L585+'Déchets directs'!L338+Immobilisations!L375+Utilisation!L234+'Fin de vie'!L365)/1000</f>
        <v>0</v>
      </c>
      <c r="M32" s="983">
        <f>SQRT('Energie 1'!M313^2+'Energie 2'!M313^2+'Hors énergie 1'!M210^2+'Hors énergie 2'!M210^2+'Intrants 1'!M430^2+'Intrants 2'!M428^2+'Futurs emballages'!M190^2+Fret!M731^2+Déplacements!M585^2+'Déchets directs'!M338^2+Immobilisations!M375^2+Utilisation!M234^2+'Fin de vie'!M365^2)/1000</f>
        <v>0</v>
      </c>
      <c r="N32" s="984">
        <f>('Energie 1'!N313+'Energie 2'!N313+'Hors énergie 1'!N210+'Hors énergie 2'!N210+'Intrants 1'!N430+'Intrants 2'!N428+'Futurs emballages'!N190+Fret!N731+Déplacements!N585+'Déchets directs'!N338+Immobilisations!N375+Utilisation!N234+'Fin de vie'!N365)/1000</f>
        <v>0</v>
      </c>
      <c r="O32" s="984">
        <f>('Energie 1'!O313+'Energie 2'!O313+'Hors énergie 1'!O210+'Hors énergie 1'!O210+'Intrants 1'!O430+'Intrants 2'!O428+'Futurs emballages'!O190+Fret!O731+Déplacements!O585+'Déchets directs'!O338+Immobilisations!O375+Utilisation!O234+'Fin de vie'!O365)/1000</f>
        <v>0</v>
      </c>
      <c r="P32" s="88">
        <v>1</v>
      </c>
      <c r="Q32" s="993">
        <f t="shared" si="10"/>
        <v>0</v>
      </c>
      <c r="R32" s="993">
        <f t="shared" si="11"/>
        <v>0</v>
      </c>
      <c r="S32" s="993">
        <f t="shared" si="12"/>
        <v>0</v>
      </c>
      <c r="T32" s="993">
        <f t="shared" si="13"/>
        <v>0</v>
      </c>
      <c r="U32" s="993">
        <f t="shared" si="14"/>
        <v>0</v>
      </c>
      <c r="V32" s="981">
        <f t="shared" si="15"/>
        <v>0</v>
      </c>
      <c r="W32" s="994">
        <f t="shared" si="16"/>
        <v>0</v>
      </c>
      <c r="X32" s="994">
        <f t="shared" si="17"/>
        <v>0</v>
      </c>
      <c r="Y32" s="983">
        <f t="shared" si="18"/>
        <v>0</v>
      </c>
      <c r="Z32" s="984">
        <f t="shared" si="19"/>
        <v>0</v>
      </c>
      <c r="AA32" s="984">
        <f t="shared" si="20"/>
        <v>0</v>
      </c>
    </row>
    <row r="33" spans="2:27">
      <c r="B33" s="2994"/>
      <c r="C33" s="973">
        <v>22</v>
      </c>
      <c r="D33" s="976" t="s">
        <v>479</v>
      </c>
      <c r="E33" s="993">
        <f ca="1">('Energie 1'!E314+'Energie 2'!E314+'Hors énergie 1'!E211+'Hors énergie 2'!E211+'Intrants 1'!E431+'Intrants 2'!E429+'Futurs emballages'!E191+Fret!E732+Déplacements!E586+'Déchets directs'!E339+Immobilisations!E376+Utilisation!E235+'Fin de vie'!E366)/1000</f>
        <v>82.7475266</v>
      </c>
      <c r="F33" s="993">
        <f>('Energie 1'!F314+'Energie 2'!F314+'Hors énergie 1'!F211+'Hors énergie 2'!F211+'Intrants 1'!F431+'Intrants 2'!F429+'Futurs emballages'!F191+Fret!F732+Déplacements!F586+'Déchets directs'!F339+Immobilisations!F376+Utilisation!F235+'Fin de vie'!F366)/1000</f>
        <v>0</v>
      </c>
      <c r="G33" s="993">
        <f>('Energie 1'!G314+'Energie 2'!G314+'Hors énergie 1'!G211+'Hors énergie 2'!G211+'Intrants 1'!G431+'Intrants 2'!G429+'Futurs emballages'!G191+Fret!G732+Déplacements!G586+'Déchets directs'!G339+Immobilisations!G376+Utilisation!G235+'Fin de vie'!G366)/1000</f>
        <v>0</v>
      </c>
      <c r="H33" s="993">
        <f>('Energie 1'!H314+'Energie 2'!H314+'Hors énergie 1'!H211+'Hors énergie 2'!H211+'Intrants 1'!H431+'Intrants 2'!H429+'Futurs emballages'!H191+Fret!H732+Déplacements!H586+'Déchets directs'!H339+Immobilisations!H376+Utilisation!H235+'Fin de vie'!H366)/1000</f>
        <v>0</v>
      </c>
      <c r="I33" s="993">
        <f>('Energie 1'!I314+'Energie 2'!I314+'Hors énergie 1'!I211+'Hors énergie 2'!I211+'Intrants 1'!I431+'Intrants 2'!I429+'Futurs emballages'!I191+Fret!I732+Déplacements!I586+'Déchets directs'!I339+Immobilisations!I376+Utilisation!I235+'Fin de vie'!I366)/1000</f>
        <v>0</v>
      </c>
      <c r="J33" s="981">
        <f ca="1">('Energie 1'!J314+'Energie 2'!J314+'Hors énergie 1'!J211+'Hors énergie 2'!J211+'Intrants 1'!J431+'Intrants 2'!J429+'Futurs emballages'!J191+Fret!J732+Déplacements!J586+'Déchets directs'!J339+Immobilisations!J376+Utilisation!J235+'Fin de vie'!J366)/1000</f>
        <v>82.7475266</v>
      </c>
      <c r="K33" s="994">
        <f>('Energie 1'!K314+'Energie 2'!K314+'Hors énergie 1'!K211+'Hors énergie 2'!K211+'Intrants 1'!K431+'Intrants 2'!K429+'Futurs emballages'!K191+Fret!K732+Déplacements!K586+'Déchets directs'!K339+Immobilisations!K376+Utilisation!K235+'Fin de vie'!K366)/1000</f>
        <v>0</v>
      </c>
      <c r="L33" s="994">
        <f>('Energie 1'!L314+'Energie 2'!L314+'Hors énergie 1'!L211+'Hors énergie 2'!L211+'Intrants 1'!L431+'Intrants 2'!L429+'Futurs emballages'!L191+Fret!L732+Déplacements!L586+'Déchets directs'!L339+Immobilisations!L376+Utilisation!L235+'Fin de vie'!L366)/1000</f>
        <v>0</v>
      </c>
      <c r="M33" s="983">
        <f>SQRT('Energie 1'!M314^2+'Energie 2'!M314^2+'Hors énergie 1'!M211^2+'Hors énergie 2'!M211^2+'Intrants 1'!M431^2+'Intrants 2'!M429^2+'Futurs emballages'!M191^2+Fret!M732^2+Déplacements!M586^2+'Déchets directs'!M339^2+Immobilisations!M376^2+Utilisation!M235^2+'Fin de vie'!M366^2)/1000</f>
        <v>19.859199601136226</v>
      </c>
      <c r="N33" s="984">
        <f>('Energie 1'!N314+'Energie 2'!N314+'Hors énergie 1'!N211+'Hors énergie 2'!N211+'Intrants 1'!N431+'Intrants 2'!N429+'Futurs emballages'!N191+Fret!N732+Déplacements!N586+'Déchets directs'!N339+Immobilisations!N376+Utilisation!N235+'Fin de vie'!N366)/1000</f>
        <v>0</v>
      </c>
      <c r="O33" s="984">
        <f>('Energie 1'!O314+'Energie 2'!O314+'Hors énergie 1'!O211+'Hors énergie 1'!O211+'Intrants 1'!O431+'Intrants 2'!O429+'Futurs emballages'!O191+Fret!O732+Déplacements!O586+'Déchets directs'!O339+Immobilisations!O376+Utilisation!O235+'Fin de vie'!O366)/1000</f>
        <v>0</v>
      </c>
      <c r="P33" s="88">
        <v>1</v>
      </c>
      <c r="Q33" s="993">
        <f t="shared" ca="1" si="10"/>
        <v>82.7475266</v>
      </c>
      <c r="R33" s="993">
        <f t="shared" si="11"/>
        <v>0</v>
      </c>
      <c r="S33" s="993">
        <f t="shared" si="12"/>
        <v>0</v>
      </c>
      <c r="T33" s="993">
        <f t="shared" si="13"/>
        <v>0</v>
      </c>
      <c r="U33" s="993">
        <f t="shared" si="14"/>
        <v>0</v>
      </c>
      <c r="V33" s="981">
        <f t="shared" ca="1" si="15"/>
        <v>82.7475266</v>
      </c>
      <c r="W33" s="994">
        <f t="shared" si="16"/>
        <v>0</v>
      </c>
      <c r="X33" s="994">
        <f t="shared" si="17"/>
        <v>0</v>
      </c>
      <c r="Y33" s="983">
        <f t="shared" si="18"/>
        <v>19.859199601136226</v>
      </c>
      <c r="Z33" s="984">
        <f t="shared" si="19"/>
        <v>0</v>
      </c>
      <c r="AA33" s="984">
        <f t="shared" si="20"/>
        <v>0</v>
      </c>
    </row>
    <row r="34" spans="2:27">
      <c r="B34" s="2994"/>
      <c r="C34" s="973">
        <v>23</v>
      </c>
      <c r="D34" s="976" t="s">
        <v>449</v>
      </c>
      <c r="E34" s="993">
        <f>('Energie 1'!E315+'Energie 2'!E315+'Hors énergie 1'!E212+'Hors énergie 2'!E212+'Intrants 1'!E432+'Intrants 2'!E430+'Futurs emballages'!E192+Fret!E733+Déplacements!E587+'Déchets directs'!E340+Immobilisations!E377+Utilisation!E236+'Fin de vie'!E367)/1000</f>
        <v>0</v>
      </c>
      <c r="F34" s="993">
        <f>('Energie 1'!F315+'Energie 2'!F315+'Hors énergie 1'!F212+'Hors énergie 2'!F212+'Intrants 1'!F432+'Intrants 2'!F430+'Futurs emballages'!F192+Fret!F733+Déplacements!F587+'Déchets directs'!F340+Immobilisations!F377+Utilisation!F236+'Fin de vie'!F367)/1000</f>
        <v>0</v>
      </c>
      <c r="G34" s="993">
        <f>('Energie 1'!G315+'Energie 2'!G315+'Hors énergie 1'!G212+'Hors énergie 2'!G212+'Intrants 1'!G432+'Intrants 2'!G430+'Futurs emballages'!G192+Fret!G733+Déplacements!G587+'Déchets directs'!G340+Immobilisations!G377+Utilisation!G236+'Fin de vie'!G367)/1000</f>
        <v>0</v>
      </c>
      <c r="H34" s="993">
        <f>('Energie 1'!H315+'Energie 2'!H315+'Hors énergie 1'!H212+'Hors énergie 2'!H212+'Intrants 1'!H432+'Intrants 2'!H430+'Futurs emballages'!H192+Fret!H733+Déplacements!H587+'Déchets directs'!H340+Immobilisations!H377+Utilisation!H236+'Fin de vie'!H367)/1000</f>
        <v>0</v>
      </c>
      <c r="I34" s="993">
        <f>('Energie 1'!I315+'Energie 2'!I315+'Hors énergie 1'!I212+'Hors énergie 2'!I212+'Intrants 1'!I432+'Intrants 2'!I430+'Futurs emballages'!I192+Fret!I733+Déplacements!I587+'Déchets directs'!I340+Immobilisations!I377+Utilisation!I236+'Fin de vie'!I367)/1000</f>
        <v>0</v>
      </c>
      <c r="J34" s="981">
        <f>('Energie 1'!J315+'Energie 2'!J315+'Hors énergie 1'!J212+'Hors énergie 2'!J212+'Intrants 1'!J432+'Intrants 2'!J430+'Futurs emballages'!J192+Fret!J733+Déplacements!J587+'Déchets directs'!J340+Immobilisations!J377+Utilisation!J236+'Fin de vie'!J367)/1000</f>
        <v>0</v>
      </c>
      <c r="K34" s="994">
        <f>('Energie 1'!K315+'Energie 2'!K315+'Hors énergie 1'!K212+'Hors énergie 2'!K212+'Intrants 1'!K432+'Intrants 2'!K430+'Futurs emballages'!K192+Fret!K733+Déplacements!K587+'Déchets directs'!K340+Immobilisations!K377+Utilisation!K236+'Fin de vie'!K367)/1000</f>
        <v>0</v>
      </c>
      <c r="L34" s="994">
        <f>('Energie 1'!L315+'Energie 2'!L315+'Hors énergie 1'!L212+'Hors énergie 2'!L212+'Intrants 1'!L432+'Intrants 2'!L430+'Futurs emballages'!L192+Fret!L733+Déplacements!L587+'Déchets directs'!L340+Immobilisations!L377+Utilisation!L236+'Fin de vie'!L367)/1000</f>
        <v>0</v>
      </c>
      <c r="M34" s="983">
        <f>SQRT('Energie 1'!M315^2+'Energie 2'!M315^2+'Hors énergie 1'!M212^2+'Hors énergie 2'!M212^2+'Intrants 1'!M432^2+'Intrants 2'!M430^2+'Futurs emballages'!M192^2+Fret!M733^2+Déplacements!M587^2+'Déchets directs'!M340^2+Immobilisations!M377^2+Utilisation!M236^2+'Fin de vie'!M367^2)/1000</f>
        <v>0</v>
      </c>
      <c r="N34" s="984">
        <f>('Energie 1'!N315+'Energie 2'!N315+'Hors énergie 1'!N212+'Hors énergie 2'!N212+'Intrants 1'!N432+'Intrants 2'!N430+'Futurs emballages'!N192+Fret!N733+Déplacements!N587+'Déchets directs'!N340+Immobilisations!N377+Utilisation!N236+'Fin de vie'!N367)/1000</f>
        <v>0</v>
      </c>
      <c r="O34" s="984">
        <f>('Energie 1'!O315+'Energie 2'!O315+'Hors énergie 1'!O212+'Hors énergie 1'!O212+'Intrants 1'!O432+'Intrants 2'!O430+'Futurs emballages'!O192+Fret!O733+Déplacements!O587+'Déchets directs'!O340+Immobilisations!O377+Utilisation!O236+'Fin de vie'!O367)/1000</f>
        <v>0</v>
      </c>
      <c r="P34" s="88">
        <v>1</v>
      </c>
      <c r="Q34" s="993">
        <f t="shared" si="10"/>
        <v>0</v>
      </c>
      <c r="R34" s="993">
        <f t="shared" si="11"/>
        <v>0</v>
      </c>
      <c r="S34" s="993">
        <f t="shared" si="12"/>
        <v>0</v>
      </c>
      <c r="T34" s="993">
        <f t="shared" si="13"/>
        <v>0</v>
      </c>
      <c r="U34" s="993">
        <f t="shared" si="14"/>
        <v>0</v>
      </c>
      <c r="V34" s="981">
        <f t="shared" si="15"/>
        <v>0</v>
      </c>
      <c r="W34" s="994">
        <f t="shared" si="16"/>
        <v>0</v>
      </c>
      <c r="X34" s="994">
        <f t="shared" si="17"/>
        <v>0</v>
      </c>
      <c r="Y34" s="983">
        <f t="shared" si="18"/>
        <v>0</v>
      </c>
      <c r="Z34" s="984">
        <f t="shared" si="19"/>
        <v>0</v>
      </c>
      <c r="AA34" s="984">
        <f t="shared" si="20"/>
        <v>0</v>
      </c>
    </row>
    <row r="35" spans="2:27">
      <c r="B35" s="2995"/>
      <c r="C35" s="2996" t="s">
        <v>724</v>
      </c>
      <c r="D35" s="2997"/>
      <c r="E35" s="995" t="e">
        <f ca="1">SUM(E19:E34)</f>
        <v>#REF!</v>
      </c>
      <c r="F35" s="995">
        <f t="shared" ref="F35:O35" ca="1" si="22">SUM(F19:F34)</f>
        <v>5.8792345920000004</v>
      </c>
      <c r="G35" s="995">
        <f t="shared" ca="1" si="22"/>
        <v>1.483662E-2</v>
      </c>
      <c r="H35" s="995">
        <f t="shared" si="22"/>
        <v>0</v>
      </c>
      <c r="I35" s="995">
        <f t="shared" ca="1" si="22"/>
        <v>2.0039999999999999E-2</v>
      </c>
      <c r="J35" s="986" t="e">
        <f t="shared" ca="1" si="22"/>
        <v>#REF!</v>
      </c>
      <c r="K35" s="996">
        <f t="shared" ca="1" si="22"/>
        <v>1.4507399999999999</v>
      </c>
      <c r="L35" s="996">
        <f t="shared" si="22"/>
        <v>0</v>
      </c>
      <c r="M35" s="988">
        <f>SQRT(SUMSQ(M19:M34))</f>
        <v>433.14741399064314</v>
      </c>
      <c r="N35" s="989">
        <f t="shared" si="22"/>
        <v>1.4507399999999999</v>
      </c>
      <c r="O35" s="997">
        <f t="shared" si="22"/>
        <v>0</v>
      </c>
      <c r="P35" s="978"/>
      <c r="Q35" s="995" t="e">
        <f ca="1">SUM(Q19:Q34)</f>
        <v>#REF!</v>
      </c>
      <c r="R35" s="995">
        <f t="shared" ref="R35:X35" ca="1" si="23">SUM(R19:R34)</f>
        <v>5.8792345920000004</v>
      </c>
      <c r="S35" s="995">
        <f t="shared" ca="1" si="23"/>
        <v>1.483662E-2</v>
      </c>
      <c r="T35" s="995">
        <f t="shared" si="23"/>
        <v>0</v>
      </c>
      <c r="U35" s="995">
        <f t="shared" ca="1" si="23"/>
        <v>2.0039999999999999E-2</v>
      </c>
      <c r="V35" s="986" t="e">
        <f t="shared" ca="1" si="23"/>
        <v>#REF!</v>
      </c>
      <c r="W35" s="996">
        <f t="shared" ca="1" si="23"/>
        <v>1.4507399999999999</v>
      </c>
      <c r="X35" s="996">
        <f t="shared" si="23"/>
        <v>0</v>
      </c>
      <c r="Y35" s="988">
        <f>SQRT(SUMSQ(Y19:Y34))</f>
        <v>433.14741399064314</v>
      </c>
      <c r="Z35" s="989">
        <f>SUM(Z19:Z34)</f>
        <v>1.4507399999999999</v>
      </c>
      <c r="AA35" s="997">
        <f>SUM(AA19:AA34)</f>
        <v>0</v>
      </c>
    </row>
    <row r="36" spans="2:27">
      <c r="P36" s="869"/>
    </row>
    <row r="37" spans="2:27"/>
    <row r="38" spans="2:27">
      <c r="E38" s="2674" t="s">
        <v>499</v>
      </c>
      <c r="F38" s="2675"/>
      <c r="G38" s="2675"/>
      <c r="H38" s="2676"/>
    </row>
    <row r="39" spans="2:27">
      <c r="E39" s="966" t="s">
        <v>43</v>
      </c>
      <c r="F39" s="966" t="s">
        <v>522</v>
      </c>
      <c r="G39" s="966" t="s">
        <v>522</v>
      </c>
      <c r="H39" s="966" t="s">
        <v>523</v>
      </c>
    </row>
    <row r="40" spans="2:27">
      <c r="D40" s="87" t="s">
        <v>459</v>
      </c>
      <c r="E40" s="815">
        <f>J10-M10</f>
        <v>290.00520936134041</v>
      </c>
      <c r="F40" s="815">
        <f>J10</f>
        <v>304.75427791599998</v>
      </c>
      <c r="G40" s="815">
        <f>J10</f>
        <v>304.75427791599998</v>
      </c>
      <c r="H40" s="815">
        <f>J10+M10</f>
        <v>319.50334647065955</v>
      </c>
    </row>
    <row r="41" spans="2:27">
      <c r="D41" s="87" t="s">
        <v>722</v>
      </c>
      <c r="E41" s="815">
        <f ca="1">J11-M11</f>
        <v>0</v>
      </c>
      <c r="F41" s="815">
        <f ca="1">J11</f>
        <v>0</v>
      </c>
      <c r="G41" s="815">
        <f ca="1">J11</f>
        <v>0</v>
      </c>
      <c r="H41" s="815">
        <f ca="1">J11+M11</f>
        <v>0</v>
      </c>
    </row>
    <row r="42" spans="2:27">
      <c r="D42" s="87" t="s">
        <v>723</v>
      </c>
      <c r="E42" s="815">
        <f>J12-M12</f>
        <v>0</v>
      </c>
      <c r="F42" s="815">
        <f>J12</f>
        <v>0</v>
      </c>
      <c r="G42" s="815">
        <f>J12</f>
        <v>0</v>
      </c>
      <c r="H42" s="815">
        <f>J12+M12</f>
        <v>0</v>
      </c>
    </row>
    <row r="43" spans="2:27">
      <c r="D43" s="87" t="s">
        <v>462</v>
      </c>
      <c r="E43" s="815">
        <f>J13-M13</f>
        <v>0.2026157379105184</v>
      </c>
      <c r="F43" s="815">
        <f>J13</f>
        <v>0.48599999999999999</v>
      </c>
      <c r="G43" s="815">
        <f>J13</f>
        <v>0.48599999999999999</v>
      </c>
      <c r="H43" s="815">
        <f>J13+M13</f>
        <v>0.76938426208948152</v>
      </c>
    </row>
    <row r="44" spans="2:27">
      <c r="D44" s="87" t="s">
        <v>812</v>
      </c>
      <c r="E44" s="815">
        <f>J14-M14</f>
        <v>0</v>
      </c>
      <c r="F44" s="815">
        <f>J14</f>
        <v>0</v>
      </c>
      <c r="G44" s="815">
        <f>J14</f>
        <v>0</v>
      </c>
      <c r="H44" s="815">
        <f>J14+M14</f>
        <v>0</v>
      </c>
    </row>
    <row r="45" spans="2:27">
      <c r="D45" s="87" t="s">
        <v>464</v>
      </c>
      <c r="E45" s="815">
        <f>J16-M16</f>
        <v>17.36097165</v>
      </c>
      <c r="F45" s="815">
        <f>J16</f>
        <v>19.289968500000001</v>
      </c>
      <c r="G45" s="815">
        <f>J16</f>
        <v>19.289968500000001</v>
      </c>
      <c r="H45" s="815">
        <f>J16+M16</f>
        <v>21.218965350000001</v>
      </c>
    </row>
    <row r="46" spans="2:27">
      <c r="D46" s="87" t="s">
        <v>813</v>
      </c>
      <c r="E46" s="815">
        <f>J17-M17</f>
        <v>0</v>
      </c>
      <c r="F46" s="815">
        <f>J17</f>
        <v>0</v>
      </c>
      <c r="G46" s="815">
        <f>J17</f>
        <v>0</v>
      </c>
      <c r="H46" s="815">
        <f>J17+M17</f>
        <v>0</v>
      </c>
    </row>
    <row r="47" spans="2:27">
      <c r="D47" s="87" t="s">
        <v>466</v>
      </c>
      <c r="E47" s="815">
        <f t="shared" ref="E47:E59" ca="1" si="24">J19-M19</f>
        <v>70.165851206139351</v>
      </c>
      <c r="F47" s="815">
        <f t="shared" ref="F47:F59" ca="1" si="25">J19</f>
        <v>73.38076681199999</v>
      </c>
      <c r="G47" s="815">
        <f t="shared" ref="G47:G59" ca="1" si="26">J19</f>
        <v>73.38076681199999</v>
      </c>
      <c r="H47" s="815">
        <f t="shared" ref="H47:H59" ca="1" si="27">J19+M19</f>
        <v>76.59568241786063</v>
      </c>
    </row>
    <row r="48" spans="2:27">
      <c r="D48" s="87" t="s">
        <v>814</v>
      </c>
      <c r="E48" s="815">
        <f t="shared" si="24"/>
        <v>2430.6416902533706</v>
      </c>
      <c r="F48" s="815">
        <f t="shared" si="25"/>
        <v>2816.2550000000001</v>
      </c>
      <c r="G48" s="815">
        <f t="shared" si="26"/>
        <v>2816.2550000000001</v>
      </c>
      <c r="H48" s="815">
        <f t="shared" si="27"/>
        <v>3201.8683097466296</v>
      </c>
    </row>
    <row r="49" spans="4:8">
      <c r="D49" s="87" t="s">
        <v>734</v>
      </c>
      <c r="E49" s="815">
        <f t="shared" si="24"/>
        <v>31.794991525940851</v>
      </c>
      <c r="F49" s="815">
        <f t="shared" si="25"/>
        <v>43.928386666666668</v>
      </c>
      <c r="G49" s="815">
        <f t="shared" si="26"/>
        <v>43.928386666666668</v>
      </c>
      <c r="H49" s="815">
        <f t="shared" si="27"/>
        <v>56.061781807392485</v>
      </c>
    </row>
    <row r="50" spans="4:8">
      <c r="D50" s="87" t="s">
        <v>736</v>
      </c>
      <c r="E50" s="815">
        <f t="shared" si="24"/>
        <v>33.258177681966416</v>
      </c>
      <c r="F50" s="815">
        <f t="shared" si="25"/>
        <v>39.17</v>
      </c>
      <c r="G50" s="815">
        <f t="shared" si="26"/>
        <v>39.17</v>
      </c>
      <c r="H50" s="815">
        <f t="shared" si="27"/>
        <v>45.081822318033588</v>
      </c>
    </row>
    <row r="51" spans="4:8">
      <c r="D51" s="87" t="s">
        <v>815</v>
      </c>
      <c r="E51" s="815">
        <f t="shared" si="24"/>
        <v>215.20138589866332</v>
      </c>
      <c r="F51" s="815">
        <f t="shared" si="25"/>
        <v>295.73983500000003</v>
      </c>
      <c r="G51" s="815">
        <f t="shared" si="26"/>
        <v>295.73983500000003</v>
      </c>
      <c r="H51" s="815">
        <f t="shared" si="27"/>
        <v>376.27828410133674</v>
      </c>
    </row>
    <row r="52" spans="4:8">
      <c r="D52" s="87" t="s">
        <v>470</v>
      </c>
      <c r="E52" s="815">
        <f t="shared" si="24"/>
        <v>0.62717471848814743</v>
      </c>
      <c r="F52" s="815">
        <f t="shared" si="25"/>
        <v>1.480896</v>
      </c>
      <c r="G52" s="815">
        <f t="shared" si="26"/>
        <v>1.480896</v>
      </c>
      <c r="H52" s="815">
        <f t="shared" si="27"/>
        <v>2.3346172815118527</v>
      </c>
    </row>
    <row r="53" spans="4:8">
      <c r="D53" s="87" t="s">
        <v>471</v>
      </c>
      <c r="E53" s="815">
        <f t="shared" si="24"/>
        <v>0</v>
      </c>
      <c r="F53" s="815">
        <f t="shared" si="25"/>
        <v>0</v>
      </c>
      <c r="G53" s="815">
        <f t="shared" si="26"/>
        <v>0</v>
      </c>
      <c r="H53" s="815">
        <f t="shared" si="27"/>
        <v>0</v>
      </c>
    </row>
    <row r="54" spans="4:8">
      <c r="D54" s="87" t="s">
        <v>472</v>
      </c>
      <c r="E54" s="815">
        <f t="shared" si="24"/>
        <v>10.396493614093007</v>
      </c>
      <c r="F54" s="815">
        <f t="shared" si="25"/>
        <v>18.927</v>
      </c>
      <c r="G54" s="815">
        <f t="shared" si="26"/>
        <v>18.927</v>
      </c>
      <c r="H54" s="815">
        <f t="shared" si="27"/>
        <v>27.457506385906992</v>
      </c>
    </row>
    <row r="55" spans="4:8">
      <c r="D55" s="87" t="s">
        <v>473</v>
      </c>
      <c r="E55" s="815">
        <f t="shared" si="24"/>
        <v>0</v>
      </c>
      <c r="F55" s="815">
        <f t="shared" si="25"/>
        <v>0</v>
      </c>
      <c r="G55" s="815">
        <f t="shared" si="26"/>
        <v>0</v>
      </c>
      <c r="H55" s="815">
        <f t="shared" si="27"/>
        <v>0</v>
      </c>
    </row>
    <row r="56" spans="4:8">
      <c r="D56" s="87" t="s">
        <v>737</v>
      </c>
      <c r="E56" s="815">
        <f t="shared" si="24"/>
        <v>0</v>
      </c>
      <c r="F56" s="815">
        <f t="shared" si="25"/>
        <v>0</v>
      </c>
      <c r="G56" s="815">
        <f t="shared" si="26"/>
        <v>0</v>
      </c>
      <c r="H56" s="815">
        <f t="shared" si="27"/>
        <v>0</v>
      </c>
    </row>
    <row r="57" spans="4:8">
      <c r="D57" s="87" t="s">
        <v>475</v>
      </c>
      <c r="E57" s="815">
        <f t="shared" si="24"/>
        <v>4.7807839760070054</v>
      </c>
      <c r="F57" s="815">
        <f t="shared" si="25"/>
        <v>5.3314577495621718</v>
      </c>
      <c r="G57" s="815">
        <f t="shared" si="26"/>
        <v>5.3314577495621718</v>
      </c>
      <c r="H57" s="815">
        <f t="shared" si="27"/>
        <v>5.8821315231173381</v>
      </c>
    </row>
    <row r="58" spans="4:8">
      <c r="D58" s="87" t="s">
        <v>476</v>
      </c>
      <c r="E58" s="815" t="e">
        <f t="shared" si="24"/>
        <v>#REF!</v>
      </c>
      <c r="F58" s="815" t="e">
        <f t="shared" si="25"/>
        <v>#REF!</v>
      </c>
      <c r="G58" s="815" t="e">
        <f t="shared" si="26"/>
        <v>#REF!</v>
      </c>
      <c r="H58" s="815" t="e">
        <f t="shared" si="27"/>
        <v>#REF!</v>
      </c>
    </row>
    <row r="59" spans="4:8">
      <c r="D59" s="87" t="s">
        <v>477</v>
      </c>
      <c r="E59" s="815">
        <f t="shared" si="24"/>
        <v>0</v>
      </c>
      <c r="F59" s="815">
        <f t="shared" si="25"/>
        <v>0</v>
      </c>
      <c r="G59" s="815">
        <f t="shared" si="26"/>
        <v>0</v>
      </c>
      <c r="H59" s="815">
        <f t="shared" si="27"/>
        <v>0</v>
      </c>
    </row>
    <row r="60" spans="4:8">
      <c r="D60" s="87" t="s">
        <v>478</v>
      </c>
      <c r="E60" s="815">
        <f>J32-M32</f>
        <v>0</v>
      </c>
      <c r="F60" s="815">
        <f>J32</f>
        <v>0</v>
      </c>
      <c r="G60" s="815">
        <f>J32</f>
        <v>0</v>
      </c>
      <c r="H60" s="815">
        <f>J32+M32</f>
        <v>0</v>
      </c>
    </row>
    <row r="61" spans="4:8">
      <c r="D61" s="87" t="s">
        <v>479</v>
      </c>
      <c r="E61" s="815">
        <f ca="1">J33-M33</f>
        <v>62.888326998863775</v>
      </c>
      <c r="F61" s="815">
        <f ca="1">J33</f>
        <v>82.7475266</v>
      </c>
      <c r="G61" s="815">
        <f ca="1">J33</f>
        <v>82.7475266</v>
      </c>
      <c r="H61" s="815">
        <f ca="1">J33+M33</f>
        <v>102.60672620113623</v>
      </c>
    </row>
    <row r="62" spans="4:8">
      <c r="D62" s="87" t="s">
        <v>449</v>
      </c>
      <c r="E62" s="815">
        <f>J34-M34</f>
        <v>0</v>
      </c>
      <c r="F62" s="815">
        <f>J34</f>
        <v>0</v>
      </c>
      <c r="G62" s="815">
        <f>J34</f>
        <v>0</v>
      </c>
      <c r="H62" s="815">
        <f>J34+M34</f>
        <v>0</v>
      </c>
    </row>
    <row r="63" spans="4:8"/>
  </sheetData>
  <mergeCells count="17">
    <mergeCell ref="B4:D4"/>
    <mergeCell ref="B5:D5"/>
    <mergeCell ref="E8:M8"/>
    <mergeCell ref="B2:O2"/>
    <mergeCell ref="B10:B15"/>
    <mergeCell ref="B7:C7"/>
    <mergeCell ref="B16:B18"/>
    <mergeCell ref="B19:B35"/>
    <mergeCell ref="C15:D15"/>
    <mergeCell ref="C18:D18"/>
    <mergeCell ref="C35:D35"/>
    <mergeCell ref="E38:H38"/>
    <mergeCell ref="E7:O7"/>
    <mergeCell ref="Q7:AA7"/>
    <mergeCell ref="Q8:Y8"/>
    <mergeCell ref="AA10:AA15"/>
    <mergeCell ref="O10:O15"/>
  </mergeCells>
  <dataValidations count="1">
    <dataValidation type="list" allowBlank="1" showInputMessage="1" showErrorMessage="1" sqref="E4:E5" xr:uid="{00000000-0002-0000-1200-000000000000}">
      <formula1>Liste_Franchises</formula1>
    </dataValidation>
  </dataValidations>
  <hyperlinks>
    <hyperlink ref="B7" location="Descriptif!A1" display="Retour au Descriptif" xr:uid="{00000000-0004-0000-1200-000000000000}"/>
  </hyperlinks>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outlinePr summaryBelow="0" summaryRight="0"/>
  </sheetPr>
  <dimension ref="A1:BI375"/>
  <sheetViews>
    <sheetView showGridLines="0" zoomScale="85" zoomScaleNormal="85" workbookViewId="0">
      <pane xSplit="3" ySplit="6" topLeftCell="D8" activePane="bottomRight" state="frozen"/>
      <selection pane="topRight" activeCell="D1" sqref="D1"/>
      <selection pane="bottomLeft" activeCell="A7" sqref="A7"/>
      <selection pane="bottomRight" activeCell="B101" sqref="B101"/>
    </sheetView>
  </sheetViews>
  <sheetFormatPr baseColWidth="10" defaultColWidth="0" defaultRowHeight="11.4" zeroHeight="1" outlineLevelRow="1" outlineLevelCol="1"/>
  <cols>
    <col min="1" max="1" width="2.75" customWidth="1"/>
    <col min="2" max="2" width="52.75" customWidth="1"/>
    <col min="3" max="3" width="2.75" customWidth="1"/>
    <col min="4" max="4" width="18" bestFit="1" customWidth="1"/>
    <col min="5" max="5" width="14.25" bestFit="1" customWidth="1"/>
    <col min="6" max="7" width="11.375" customWidth="1"/>
    <col min="8" max="8" width="17.875" customWidth="1"/>
    <col min="9" max="9" width="11.375" customWidth="1"/>
    <col min="10" max="10" width="17.875" bestFit="1" customWidth="1"/>
    <col min="11" max="11" width="11.375" customWidth="1"/>
    <col min="12" max="12" width="13.375" customWidth="1"/>
    <col min="13" max="18" width="11.375" customWidth="1"/>
    <col min="19" max="19" width="11.375" customWidth="1" collapsed="1"/>
    <col min="20" max="21" width="11.375" hidden="1" customWidth="1" outlineLevel="1"/>
    <col min="22" max="24" width="11.375" customWidth="1"/>
    <col min="25" max="25" width="11.375" customWidth="1" collapsed="1"/>
    <col min="26" max="28" width="11.375" hidden="1" customWidth="1" outlineLevel="1"/>
    <col min="29" max="30" width="11.375" customWidth="1"/>
    <col min="31" max="42" width="11.375" customWidth="1" outlineLevel="1"/>
    <col min="43" max="43" width="11.375" customWidth="1" collapsed="1"/>
    <col min="44" max="55" width="11.375" hidden="1" customWidth="1" outlineLevel="1"/>
    <col min="56" max="56" width="4.125" customWidth="1"/>
    <col min="57" max="58" width="11.375" hidden="1" customWidth="1"/>
    <col min="59" max="61" width="0" hidden="1" customWidth="1"/>
    <col min="62" max="16384" width="11.375" hidden="1"/>
  </cols>
  <sheetData>
    <row r="1" spans="1:56" s="418" customFormat="1" ht="24" customHeight="1">
      <c r="A1" s="113"/>
      <c r="B1" s="113"/>
      <c r="C1" s="113"/>
      <c r="D1" s="113"/>
      <c r="E1" s="113"/>
      <c r="F1" s="113"/>
      <c r="G1" s="113"/>
      <c r="H1" s="113"/>
      <c r="I1" s="113"/>
      <c r="J1" s="113"/>
      <c r="K1" s="113"/>
      <c r="L1" s="113"/>
      <c r="M1" s="113"/>
      <c r="N1" s="113"/>
      <c r="O1" s="113"/>
      <c r="P1" s="113"/>
      <c r="Q1" s="113"/>
      <c r="R1" s="113"/>
      <c r="S1" s="1646" t="s">
        <v>2487</v>
      </c>
      <c r="T1" s="113"/>
      <c r="U1" s="113"/>
      <c r="V1" s="113"/>
      <c r="W1" s="113"/>
      <c r="X1" s="113"/>
      <c r="Y1" s="1646" t="s">
        <v>2442</v>
      </c>
      <c r="Z1" s="817"/>
      <c r="AA1" s="113"/>
      <c r="AB1" s="113"/>
      <c r="AC1" s="113"/>
      <c r="AD1" s="1645" t="s">
        <v>2441</v>
      </c>
      <c r="AE1" s="113"/>
      <c r="AF1" s="576"/>
      <c r="AG1" s="576"/>
      <c r="AH1" s="576"/>
      <c r="AI1" s="576"/>
      <c r="AJ1" s="576"/>
      <c r="AK1" s="576"/>
      <c r="AL1" s="576"/>
      <c r="AM1" s="576"/>
      <c r="AN1" s="1240"/>
      <c r="AO1" s="1240"/>
      <c r="AP1" s="576"/>
      <c r="AQ1" s="1644" t="s">
        <v>2440</v>
      </c>
      <c r="AR1" s="113"/>
      <c r="AS1" s="113"/>
      <c r="AT1" s="113"/>
      <c r="AU1" s="113"/>
      <c r="AV1" s="113"/>
      <c r="AW1" s="113"/>
      <c r="AX1" s="113"/>
      <c r="AY1" s="113"/>
      <c r="AZ1" s="113"/>
      <c r="BA1" s="113"/>
      <c r="BB1" s="113"/>
      <c r="BC1" s="113"/>
      <c r="BD1" s="113"/>
    </row>
    <row r="2" spans="1:56" s="418" customFormat="1" ht="30" customHeight="1">
      <c r="A2" s="113"/>
      <c r="B2" s="2602" t="str">
        <f>Descriptif!C23</f>
        <v>Energie 1</v>
      </c>
      <c r="C2" s="2603"/>
      <c r="D2" s="2603"/>
      <c r="E2" s="2603"/>
      <c r="F2" s="2603"/>
      <c r="G2" s="2603"/>
      <c r="H2" s="2603"/>
      <c r="I2" s="2603"/>
      <c r="J2" s="2603"/>
      <c r="K2" s="2603"/>
      <c r="L2" s="2603"/>
      <c r="M2" s="2603"/>
      <c r="N2" s="2603"/>
      <c r="O2" s="2604"/>
      <c r="P2" s="113"/>
      <c r="Q2" s="113"/>
      <c r="R2" s="113"/>
      <c r="S2" s="113"/>
      <c r="T2" s="113"/>
      <c r="U2" s="113"/>
      <c r="V2" s="113"/>
      <c r="W2" s="113"/>
      <c r="X2" s="113"/>
      <c r="Y2" s="817"/>
      <c r="Z2" s="817"/>
      <c r="AA2" s="113"/>
      <c r="AB2" s="113"/>
      <c r="AC2" s="113"/>
      <c r="AE2" s="113"/>
      <c r="AF2" s="576"/>
      <c r="AG2" s="576"/>
      <c r="AH2" s="576"/>
      <c r="AI2" s="576"/>
      <c r="AJ2" s="576"/>
      <c r="AK2" s="576"/>
      <c r="AL2" s="576"/>
      <c r="AM2" s="576"/>
      <c r="AN2" s="1240"/>
      <c r="AO2" s="1240"/>
      <c r="AP2" s="576"/>
      <c r="AQ2" s="576"/>
      <c r="AR2" s="113"/>
      <c r="AS2" s="113"/>
      <c r="AT2" s="113"/>
      <c r="AU2" s="113"/>
      <c r="AV2" s="113"/>
      <c r="AW2" s="113"/>
      <c r="AX2" s="113"/>
      <c r="AY2" s="113"/>
      <c r="AZ2" s="113"/>
      <c r="BA2" s="113"/>
      <c r="BB2" s="113"/>
      <c r="BC2" s="113"/>
      <c r="BD2" s="113"/>
    </row>
    <row r="3" spans="1:56" s="116" customFormat="1" ht="13.8">
      <c r="A3" s="114"/>
      <c r="B3" s="2622"/>
      <c r="C3" s="2622"/>
      <c r="D3" s="114"/>
      <c r="E3" s="114"/>
      <c r="F3" s="114"/>
      <c r="G3" s="114"/>
      <c r="H3" s="114"/>
      <c r="I3" s="114"/>
      <c r="J3" s="114"/>
      <c r="K3" s="114"/>
      <c r="L3" s="114"/>
      <c r="M3" s="114"/>
      <c r="N3" s="114"/>
      <c r="O3" s="114"/>
      <c r="P3" s="114"/>
      <c r="Q3" s="114"/>
      <c r="R3" s="114"/>
      <c r="S3" s="114"/>
      <c r="T3" s="114"/>
      <c r="U3" s="114"/>
      <c r="V3" s="114"/>
      <c r="W3" s="114"/>
      <c r="X3" s="114"/>
      <c r="Y3" s="126"/>
      <c r="Z3" s="126"/>
      <c r="AA3" s="114"/>
      <c r="AB3" s="114"/>
      <c r="AC3" s="114"/>
      <c r="AE3" s="114"/>
      <c r="AF3" s="441"/>
      <c r="AG3" s="441"/>
      <c r="AH3" s="441"/>
      <c r="AI3" s="441"/>
      <c r="AJ3" s="441"/>
      <c r="AK3" s="441"/>
      <c r="AL3" s="441"/>
      <c r="AM3" s="441"/>
      <c r="AN3" s="444"/>
      <c r="AO3" s="444"/>
      <c r="AP3" s="441"/>
      <c r="AQ3" s="441"/>
      <c r="AR3" s="114"/>
      <c r="AS3" s="114"/>
      <c r="AT3" s="114"/>
      <c r="AU3" s="114"/>
      <c r="AV3" s="114"/>
      <c r="AW3" s="114"/>
      <c r="AX3" s="114"/>
      <c r="AY3" s="114"/>
      <c r="AZ3" s="114"/>
      <c r="BA3" s="114"/>
      <c r="BB3" s="114"/>
      <c r="BC3" s="114"/>
      <c r="BD3" s="114"/>
    </row>
    <row r="4" spans="1:56" s="116" customFormat="1" ht="13.8">
      <c r="A4" s="114"/>
      <c r="B4" s="1844" t="s">
        <v>536</v>
      </c>
      <c r="C4" s="1845"/>
      <c r="D4" s="2623" t="s">
        <v>226</v>
      </c>
      <c r="E4" s="2623"/>
      <c r="F4" s="2623" t="s">
        <v>18</v>
      </c>
      <c r="G4" s="2623"/>
      <c r="H4" s="2623" t="s">
        <v>333</v>
      </c>
      <c r="I4" s="2623"/>
      <c r="J4" s="1846"/>
      <c r="K4" s="1846"/>
      <c r="L4" s="1846"/>
      <c r="M4" s="1846"/>
      <c r="N4" s="2624" t="s">
        <v>893</v>
      </c>
      <c r="O4" s="2625"/>
      <c r="P4" s="114"/>
      <c r="Q4" s="114"/>
      <c r="R4" s="114"/>
      <c r="S4" s="114"/>
      <c r="T4" s="114"/>
      <c r="U4" s="114"/>
      <c r="V4" s="114"/>
      <c r="W4" s="114"/>
      <c r="X4" s="114"/>
      <c r="Y4" s="126"/>
      <c r="Z4" s="126"/>
      <c r="AA4" s="114"/>
      <c r="AB4" s="114"/>
      <c r="AC4" s="114"/>
      <c r="AE4" s="114"/>
      <c r="AF4" s="441"/>
      <c r="AG4" s="441"/>
      <c r="AH4" s="441"/>
      <c r="AI4" s="441"/>
      <c r="AJ4" s="441"/>
      <c r="AK4" s="441"/>
      <c r="AL4" s="441"/>
      <c r="AM4" s="441"/>
      <c r="AN4" s="444"/>
      <c r="AO4" s="444"/>
      <c r="AP4" s="441"/>
      <c r="AQ4" s="441"/>
      <c r="AR4" s="114"/>
      <c r="AS4" s="114"/>
      <c r="AT4" s="114"/>
      <c r="AU4" s="114"/>
      <c r="AV4" s="114"/>
      <c r="AW4" s="114"/>
      <c r="AX4" s="114"/>
      <c r="AY4" s="114"/>
      <c r="AZ4" s="114"/>
      <c r="BA4" s="114"/>
      <c r="BB4" s="114"/>
      <c r="BC4" s="114"/>
      <c r="BD4" s="114"/>
    </row>
    <row r="5" spans="1:56" s="116" customFormat="1" ht="13.8">
      <c r="A5" s="114"/>
      <c r="B5" s="1847" t="s">
        <v>521</v>
      </c>
      <c r="C5" s="1848"/>
      <c r="D5" s="2619" t="s">
        <v>212</v>
      </c>
      <c r="E5" s="2619"/>
      <c r="F5" s="2619" t="s">
        <v>428</v>
      </c>
      <c r="G5" s="2619"/>
      <c r="H5" s="2619" t="s">
        <v>484</v>
      </c>
      <c r="I5" s="2619"/>
      <c r="J5" s="2619" t="s">
        <v>758</v>
      </c>
      <c r="K5" s="2619"/>
      <c r="L5" s="2619" t="s">
        <v>818</v>
      </c>
      <c r="M5" s="2619"/>
      <c r="N5" s="2620" t="s">
        <v>2444</v>
      </c>
      <c r="O5" s="2621"/>
      <c r="P5" s="114"/>
      <c r="Q5" s="114"/>
      <c r="R5" s="114"/>
      <c r="S5" s="114"/>
      <c r="T5" s="114"/>
      <c r="U5" s="114"/>
      <c r="V5" s="114"/>
      <c r="W5" s="114"/>
      <c r="X5" s="114"/>
      <c r="Y5" s="126"/>
      <c r="Z5" s="126"/>
      <c r="AA5" s="114"/>
      <c r="AB5" s="114"/>
      <c r="AC5" s="114"/>
      <c r="AE5" s="114"/>
      <c r="AF5" s="441"/>
      <c r="AG5" s="441"/>
      <c r="AH5" s="441"/>
      <c r="AI5" s="441"/>
      <c r="AJ5" s="441"/>
      <c r="AK5" s="441"/>
      <c r="AL5" s="441"/>
      <c r="AM5" s="441"/>
      <c r="AN5" s="444"/>
      <c r="AO5" s="444"/>
      <c r="AP5" s="441"/>
      <c r="AQ5" s="441"/>
      <c r="AR5" s="114"/>
      <c r="AS5" s="114"/>
      <c r="AT5" s="114"/>
      <c r="AU5" s="114"/>
      <c r="AV5" s="114"/>
      <c r="AW5" s="114"/>
      <c r="AX5" s="114"/>
      <c r="AY5" s="114"/>
      <c r="AZ5" s="114"/>
      <c r="BA5" s="114"/>
      <c r="BB5" s="114"/>
      <c r="BC5" s="114"/>
      <c r="BD5" s="114"/>
    </row>
    <row r="6" spans="1:56" s="116" customFormat="1" ht="13.8">
      <c r="A6" s="114"/>
      <c r="B6" s="115"/>
      <c r="C6" s="115"/>
      <c r="D6" s="115"/>
      <c r="E6" s="115"/>
      <c r="F6" s="115"/>
      <c r="G6" s="115"/>
      <c r="H6" s="109"/>
      <c r="I6" s="109"/>
      <c r="J6" s="109"/>
      <c r="K6" s="114"/>
      <c r="L6" s="114"/>
      <c r="M6" s="114"/>
      <c r="N6" s="114"/>
      <c r="O6" s="114"/>
      <c r="P6" s="114"/>
      <c r="Q6" s="114"/>
      <c r="R6" s="114"/>
      <c r="S6" s="114"/>
      <c r="T6" s="114"/>
      <c r="U6" s="114"/>
      <c r="V6" s="114"/>
      <c r="W6" s="114"/>
      <c r="X6" s="114"/>
      <c r="Y6" s="126"/>
      <c r="Z6" s="126"/>
      <c r="AA6" s="114"/>
      <c r="AB6" s="114"/>
      <c r="AC6" s="114"/>
      <c r="AE6" s="114"/>
      <c r="AF6" s="441"/>
      <c r="AG6" s="441"/>
      <c r="AH6" s="441"/>
      <c r="AI6" s="441"/>
      <c r="AJ6" s="441"/>
      <c r="AK6" s="441"/>
      <c r="AL6" s="441"/>
      <c r="AM6" s="441"/>
      <c r="AN6" s="444"/>
      <c r="AO6" s="444"/>
      <c r="AP6" s="441"/>
      <c r="AQ6" s="441"/>
      <c r="AR6" s="114"/>
      <c r="AS6" s="114"/>
      <c r="AT6" s="114"/>
      <c r="AU6" s="114"/>
      <c r="AV6" s="114"/>
      <c r="AW6" s="114"/>
      <c r="AX6" s="114"/>
      <c r="AY6" s="114"/>
      <c r="AZ6" s="114"/>
      <c r="BA6" s="114"/>
      <c r="BB6" s="114"/>
      <c r="BC6" s="114"/>
      <c r="BD6" s="114"/>
    </row>
    <row r="7" spans="1:56" s="418" customFormat="1" ht="15.6">
      <c r="A7" s="113"/>
      <c r="B7" s="2633" t="s">
        <v>215</v>
      </c>
      <c r="C7" s="2634"/>
      <c r="D7" s="2634"/>
      <c r="E7" s="2634"/>
      <c r="F7" s="2634"/>
      <c r="G7" s="2634"/>
      <c r="H7" s="2634"/>
      <c r="I7" s="2634"/>
      <c r="J7" s="2634"/>
      <c r="K7" s="2634"/>
      <c r="L7" s="2634"/>
      <c r="M7" s="2634"/>
      <c r="N7" s="2634"/>
      <c r="O7" s="2635"/>
      <c r="P7" s="113"/>
      <c r="Q7" s="113"/>
      <c r="R7" s="113"/>
      <c r="S7" s="113"/>
      <c r="T7" s="113"/>
      <c r="U7" s="113"/>
      <c r="V7" s="113"/>
      <c r="W7" s="113"/>
      <c r="X7" s="113"/>
      <c r="Y7" s="817"/>
      <c r="Z7" s="817"/>
      <c r="AA7" s="113"/>
      <c r="AB7" s="113"/>
      <c r="AC7" s="113"/>
      <c r="AE7" s="113"/>
      <c r="AF7" s="576"/>
      <c r="AG7" s="576"/>
      <c r="AH7" s="576"/>
      <c r="AI7" s="576"/>
      <c r="AJ7" s="576"/>
      <c r="AK7" s="576"/>
      <c r="AL7" s="576"/>
      <c r="AM7" s="576"/>
      <c r="AN7" s="1240"/>
      <c r="AO7" s="1240"/>
      <c r="AP7" s="576"/>
      <c r="AQ7" s="576"/>
      <c r="AR7" s="113"/>
      <c r="AS7" s="113"/>
      <c r="AT7" s="113"/>
      <c r="AU7" s="113"/>
      <c r="AV7" s="113"/>
      <c r="AW7" s="113"/>
      <c r="AX7" s="113"/>
      <c r="AY7" s="113"/>
      <c r="AZ7" s="113"/>
      <c r="BA7" s="113"/>
      <c r="BB7" s="113"/>
      <c r="BC7" s="113"/>
      <c r="BD7" s="113"/>
    </row>
    <row r="8" spans="1:56" s="116" customFormat="1" ht="12.75" customHeight="1" outlineLevel="1">
      <c r="A8" s="114"/>
      <c r="B8" s="114"/>
      <c r="C8" s="114"/>
      <c r="D8" s="114"/>
      <c r="E8" s="114"/>
      <c r="F8" s="114"/>
      <c r="G8" s="114"/>
      <c r="H8" s="114"/>
      <c r="I8" s="114"/>
      <c r="J8" s="114"/>
      <c r="K8" s="114"/>
      <c r="L8" s="114"/>
      <c r="M8" s="114"/>
      <c r="N8" s="114"/>
      <c r="O8" s="114"/>
      <c r="P8" s="114"/>
      <c r="Q8" s="114"/>
      <c r="R8" s="114"/>
      <c r="S8" s="114"/>
      <c r="T8" s="114"/>
      <c r="U8" s="114"/>
      <c r="V8" s="114"/>
      <c r="W8" s="114"/>
      <c r="X8" s="126"/>
      <c r="Y8" s="126"/>
      <c r="Z8" s="114"/>
      <c r="AA8" s="114"/>
      <c r="AB8" s="114"/>
      <c r="AC8" s="114"/>
      <c r="AE8" s="441"/>
      <c r="AF8" s="441"/>
      <c r="AG8" s="441"/>
      <c r="AH8" s="441"/>
      <c r="AI8" s="441"/>
      <c r="AJ8" s="441"/>
      <c r="AK8" s="441"/>
      <c r="AL8" s="441"/>
      <c r="AM8" s="576"/>
      <c r="AN8" s="444"/>
      <c r="AO8" s="444"/>
      <c r="AP8" s="441"/>
      <c r="AQ8" s="114"/>
      <c r="AR8" s="114"/>
      <c r="AS8" s="114"/>
      <c r="AT8" s="114"/>
      <c r="AU8" s="114"/>
      <c r="AV8" s="114"/>
      <c r="AW8" s="114"/>
      <c r="AX8" s="114"/>
      <c r="AY8" s="114"/>
      <c r="AZ8" s="114"/>
      <c r="BA8" s="114"/>
      <c r="BB8" s="114"/>
      <c r="BC8" s="114"/>
    </row>
    <row r="9" spans="1:56" s="116" customFormat="1" ht="12.75" customHeight="1" outlineLevel="1">
      <c r="B9" s="139" t="s">
        <v>349</v>
      </c>
      <c r="C9" s="140"/>
      <c r="D9" s="141"/>
      <c r="E9" s="1822"/>
      <c r="F9" s="141"/>
      <c r="G9" s="141"/>
      <c r="H9" s="141"/>
      <c r="I9" s="141"/>
      <c r="J9" s="141"/>
      <c r="K9" s="141"/>
      <c r="L9" s="141"/>
      <c r="M9" s="141"/>
      <c r="N9" s="141"/>
      <c r="O9" s="141"/>
      <c r="P9" s="141"/>
      <c r="Q9" s="141"/>
      <c r="R9" s="141"/>
      <c r="S9" s="142"/>
      <c r="T9" s="114"/>
      <c r="U9" s="114"/>
      <c r="V9" s="114"/>
      <c r="W9" s="2636" t="s">
        <v>366</v>
      </c>
      <c r="X9" s="2637"/>
      <c r="Y9" s="2637"/>
      <c r="Z9" s="2637"/>
      <c r="AA9" s="2637"/>
      <c r="AB9" s="2637"/>
      <c r="AC9" s="2638"/>
      <c r="AE9" s="2639" t="s">
        <v>441</v>
      </c>
      <c r="AF9" s="2640"/>
      <c r="AG9" s="2640"/>
      <c r="AH9" s="2640"/>
      <c r="AI9" s="2640"/>
      <c r="AJ9" s="2640"/>
      <c r="AK9" s="2640"/>
      <c r="AL9" s="2640"/>
      <c r="AM9" s="2640"/>
      <c r="AN9" s="2640"/>
      <c r="AO9" s="2640"/>
      <c r="AP9" s="2641"/>
    </row>
    <row r="10" spans="1:56" s="116" customFormat="1" ht="12.75" customHeight="1" outlineLevel="1">
      <c r="A10" s="114"/>
      <c r="B10" s="143"/>
      <c r="C10" s="144"/>
      <c r="D10" s="1834" t="s">
        <v>308</v>
      </c>
      <c r="E10" s="1826"/>
      <c r="F10" s="144"/>
      <c r="G10" s="144"/>
      <c r="H10" s="144"/>
      <c r="I10" s="144"/>
      <c r="J10" s="144"/>
      <c r="K10" s="144"/>
      <c r="L10" s="144"/>
      <c r="M10" s="144"/>
      <c r="N10" s="144"/>
      <c r="O10" s="144"/>
      <c r="P10" s="144"/>
      <c r="Q10" s="144"/>
      <c r="R10" s="144"/>
      <c r="S10" s="145"/>
      <c r="T10" s="114"/>
      <c r="U10" s="114"/>
      <c r="V10" s="114"/>
      <c r="W10" s="1170"/>
      <c r="X10" s="1835"/>
      <c r="Y10" s="1835"/>
      <c r="Z10" s="141"/>
      <c r="AA10" s="141"/>
      <c r="AB10" s="141"/>
      <c r="AC10" s="142"/>
      <c r="AE10" s="2642" t="s">
        <v>444</v>
      </c>
      <c r="AF10" s="2643"/>
      <c r="AG10" s="2643"/>
      <c r="AH10" s="2643"/>
      <c r="AI10" s="2643"/>
      <c r="AJ10" s="2643"/>
      <c r="AK10" s="2643"/>
      <c r="AL10" s="2643"/>
      <c r="AM10" s="2643" t="s">
        <v>444</v>
      </c>
      <c r="AN10" s="2644"/>
      <c r="AO10" s="1081"/>
      <c r="AP10" s="578"/>
      <c r="AQ10" s="114"/>
      <c r="AR10" s="2616" t="s">
        <v>1648</v>
      </c>
      <c r="AS10" s="2617"/>
      <c r="AT10" s="2617"/>
      <c r="AU10" s="2617"/>
      <c r="AV10" s="2617"/>
      <c r="AW10" s="2617"/>
      <c r="AX10" s="2617"/>
      <c r="AY10" s="2617"/>
      <c r="AZ10" s="2617"/>
      <c r="BA10" s="2617"/>
      <c r="BB10" s="2617"/>
      <c r="BC10" s="2618"/>
    </row>
    <row r="11" spans="1:56" s="127" customFormat="1" ht="12.75" customHeight="1" outlineLevel="1">
      <c r="A11" s="109"/>
      <c r="B11" s="1825" t="s">
        <v>383</v>
      </c>
      <c r="C11" s="144"/>
      <c r="D11" s="1834" t="s">
        <v>409</v>
      </c>
      <c r="E11" s="147" t="s">
        <v>452</v>
      </c>
      <c r="F11" s="147" t="s">
        <v>343</v>
      </c>
      <c r="G11" s="2626" t="s">
        <v>1572</v>
      </c>
      <c r="H11" s="2627"/>
      <c r="I11" s="147" t="s">
        <v>343</v>
      </c>
      <c r="J11" s="2626" t="s">
        <v>1573</v>
      </c>
      <c r="K11" s="2627"/>
      <c r="L11" s="147" t="s">
        <v>343</v>
      </c>
      <c r="M11" s="2626" t="s">
        <v>1575</v>
      </c>
      <c r="N11" s="2627"/>
      <c r="O11" s="147" t="s">
        <v>343</v>
      </c>
      <c r="P11" s="2626" t="s">
        <v>1574</v>
      </c>
      <c r="Q11" s="2628"/>
      <c r="R11" s="1834" t="s">
        <v>444</v>
      </c>
      <c r="S11" s="1836" t="s">
        <v>444</v>
      </c>
      <c r="T11" s="114"/>
      <c r="U11" s="114"/>
      <c r="V11" s="114"/>
      <c r="W11" s="1825" t="s">
        <v>316</v>
      </c>
      <c r="X11" s="2629" t="s">
        <v>316</v>
      </c>
      <c r="Y11" s="2630"/>
      <c r="Z11" s="1826" t="s">
        <v>444</v>
      </c>
      <c r="AA11" s="1826" t="s">
        <v>444</v>
      </c>
      <c r="AB11" s="1826"/>
      <c r="AC11" s="1836" t="s">
        <v>444</v>
      </c>
      <c r="AE11" s="2631" t="s">
        <v>211</v>
      </c>
      <c r="AF11" s="2632"/>
      <c r="AG11" s="2632" t="s">
        <v>442</v>
      </c>
      <c r="AH11" s="2632"/>
      <c r="AI11" s="2632" t="s">
        <v>267</v>
      </c>
      <c r="AJ11" s="2632"/>
      <c r="AK11" s="2632" t="s">
        <v>443</v>
      </c>
      <c r="AL11" s="2632"/>
      <c r="AM11" s="2648" t="s">
        <v>327</v>
      </c>
      <c r="AN11" s="2649"/>
      <c r="AO11" s="2631" t="s">
        <v>636</v>
      </c>
      <c r="AP11" s="2650"/>
      <c r="AQ11" s="109"/>
      <c r="AR11" s="2614" t="s">
        <v>1646</v>
      </c>
      <c r="AS11" s="2645"/>
      <c r="AT11" s="2645"/>
      <c r="AU11" s="2615"/>
      <c r="AV11" s="2614" t="s">
        <v>1644</v>
      </c>
      <c r="AW11" s="2645"/>
      <c r="AX11" s="2645"/>
      <c r="AY11" s="2615"/>
      <c r="AZ11" s="2614" t="s">
        <v>1645</v>
      </c>
      <c r="BA11" s="2645"/>
      <c r="BB11" s="2645"/>
      <c r="BC11" s="2615"/>
    </row>
    <row r="12" spans="1:56" s="127" customFormat="1" ht="12.75" customHeight="1" outlineLevel="1">
      <c r="A12" s="109"/>
      <c r="B12" s="536" t="s">
        <v>1624</v>
      </c>
      <c r="C12" s="144"/>
      <c r="D12" s="1829" t="s">
        <v>444</v>
      </c>
      <c r="E12" s="1833" t="s">
        <v>453</v>
      </c>
      <c r="F12" s="1833" t="s">
        <v>1621</v>
      </c>
      <c r="G12" s="1662" t="s">
        <v>411</v>
      </c>
      <c r="H12" s="1662" t="s">
        <v>257</v>
      </c>
      <c r="I12" s="1833" t="s">
        <v>790</v>
      </c>
      <c r="J12" s="1662" t="s">
        <v>411</v>
      </c>
      <c r="K12" s="1662" t="s">
        <v>257</v>
      </c>
      <c r="L12" s="1833" t="s">
        <v>791</v>
      </c>
      <c r="M12" s="1662" t="s">
        <v>411</v>
      </c>
      <c r="N12" s="1662" t="s">
        <v>257</v>
      </c>
      <c r="O12" s="1833" t="s">
        <v>213</v>
      </c>
      <c r="P12" s="1662" t="s">
        <v>411</v>
      </c>
      <c r="Q12" s="1662" t="s">
        <v>257</v>
      </c>
      <c r="R12" s="1829" t="s">
        <v>411</v>
      </c>
      <c r="S12" s="220" t="s">
        <v>257</v>
      </c>
      <c r="T12" s="114"/>
      <c r="U12" s="114"/>
      <c r="V12" s="114"/>
      <c r="W12" s="1825" t="s">
        <v>1649</v>
      </c>
      <c r="X12" s="2646" t="s">
        <v>1650</v>
      </c>
      <c r="Y12" s="2647"/>
      <c r="Z12" s="227" t="s">
        <v>411</v>
      </c>
      <c r="AA12" s="1662" t="s">
        <v>257</v>
      </c>
      <c r="AB12" s="1662"/>
      <c r="AC12" s="162" t="s">
        <v>327</v>
      </c>
      <c r="AE12" s="1840" t="s">
        <v>411</v>
      </c>
      <c r="AF12" s="1841" t="s">
        <v>257</v>
      </c>
      <c r="AG12" s="1841" t="s">
        <v>411</v>
      </c>
      <c r="AH12" s="1841" t="s">
        <v>257</v>
      </c>
      <c r="AI12" s="1841" t="s">
        <v>411</v>
      </c>
      <c r="AJ12" s="1841" t="s">
        <v>257</v>
      </c>
      <c r="AK12" s="1841" t="s">
        <v>411</v>
      </c>
      <c r="AL12" s="1841" t="s">
        <v>257</v>
      </c>
      <c r="AM12" s="581" t="s">
        <v>411</v>
      </c>
      <c r="AN12" s="582" t="s">
        <v>257</v>
      </c>
      <c r="AO12" s="1840" t="s">
        <v>411</v>
      </c>
      <c r="AP12" s="1842" t="s">
        <v>257</v>
      </c>
      <c r="AQ12" s="109"/>
      <c r="AR12" s="1837" t="s">
        <v>1643</v>
      </c>
      <c r="AS12" s="1839" t="s">
        <v>1640</v>
      </c>
      <c r="AT12" s="1839" t="s">
        <v>1641</v>
      </c>
      <c r="AU12" s="1838" t="s">
        <v>1642</v>
      </c>
      <c r="AV12" s="1839" t="s">
        <v>1643</v>
      </c>
      <c r="AW12" s="1839" t="s">
        <v>1640</v>
      </c>
      <c r="AX12" s="1839" t="s">
        <v>1641</v>
      </c>
      <c r="AY12" s="1838" t="s">
        <v>1642</v>
      </c>
      <c r="AZ12" s="1837" t="s">
        <v>1643</v>
      </c>
      <c r="BA12" s="1839" t="s">
        <v>1640</v>
      </c>
      <c r="BB12" s="1839" t="s">
        <v>1641</v>
      </c>
      <c r="BC12" s="1838" t="s">
        <v>1642</v>
      </c>
    </row>
    <row r="13" spans="1:56" s="116" customFormat="1" ht="12.75" customHeight="1" outlineLevel="1">
      <c r="A13" s="114"/>
      <c r="B13" s="143" t="s">
        <v>1620</v>
      </c>
      <c r="C13" s="144"/>
      <c r="D13" s="315">
        <f>SUM(R13,S13)</f>
        <v>0</v>
      </c>
      <c r="E13" s="343"/>
      <c r="F13" s="1547"/>
      <c r="G13" s="335">
        <f>VLOOKUP($B13&amp;"; "&amp;$G$11&amp;", "&amp;G$12,'FE Energie'!$G:$U,9,FALSE)</f>
        <v>0.505</v>
      </c>
      <c r="H13" s="335">
        <f>VLOOKUP($B13&amp;"; "&amp;$G$11&amp;", "&amp;H$12,'FE Energie'!$G:$U,9,FALSE)</f>
        <v>3.02</v>
      </c>
      <c r="I13" s="1547"/>
      <c r="J13" s="223">
        <f>VLOOKUP($B13&amp;"; "&amp;$J$11&amp;", "&amp;J$12,'FE Energie'!$G:$U,9,FALSE)</f>
        <v>0.04</v>
      </c>
      <c r="K13" s="223">
        <f>VLOOKUP($B13&amp;"; "&amp;$J$11&amp;", "&amp;K$12,'FE Energie'!$G:$U,9,FALSE)</f>
        <v>0.23</v>
      </c>
      <c r="L13" s="1547"/>
      <c r="M13" s="217">
        <f>VLOOKUP($B13&amp;"; "&amp;$M$11&amp;", "&amp;M$12,'FE Energie'!$G:$U,9,FALSE)</f>
        <v>448</v>
      </c>
      <c r="N13" s="217">
        <f>VLOOKUP($B13&amp;"; "&amp;$M$11&amp;", "&amp;N$12,'FE Energie'!$G:$U,9,FALSE)</f>
        <v>2680</v>
      </c>
      <c r="O13" s="1547"/>
      <c r="P13" s="223">
        <f>VLOOKUP($B13&amp;"; "&amp;$P$11&amp;", "&amp;P$12,'FE Energie'!$G:$U,9,FALSE)</f>
        <v>0.28100000000000003</v>
      </c>
      <c r="Q13" s="223">
        <f>VLOOKUP($B13&amp;"; "&amp;$P$11&amp;", "&amp;Q$12,'FE Energie'!$G:$U,9,FALSE)</f>
        <v>1.76</v>
      </c>
      <c r="R13" s="566">
        <f>IF(ISNA(F13*G13),0,F13*G13)+IF(ISNA(I13*J13),0,I13*J13)+IF(ISNA(L13*M13),0,L13*M13)+IF(ISNA(O13*P13),0,O13*P13)</f>
        <v>0</v>
      </c>
      <c r="S13" s="567">
        <f>IF(ISNA(F13*H13),0,F13*H13)+IF(ISNA(I13*K13),0,I13*K13)+IF(ISNA(L13*N13),0,L13*N13)+IF(ISNA(O13*Q13),0,O13*Q13)</f>
        <v>0</v>
      </c>
      <c r="T13" s="114"/>
      <c r="U13" s="114"/>
      <c r="V13" s="114"/>
      <c r="W13" s="1092">
        <f>IF(AC13=0,AC13,AC13/(R13+S13))</f>
        <v>0</v>
      </c>
      <c r="X13" s="343"/>
      <c r="Y13" s="820"/>
      <c r="Z13" s="1826">
        <f>SQRT(SUMSQ(IF(ISNA($F13*G13*AV13),0,$F13*G13*AV13),IF(ISNA($I13*J13*AW13),0,$I13*J13*AW13),IF(ISNA($L13*M13*AX13),0,$L13*M13*AX13),IF(ISNA($O13*P13*AY13),0,$O13*P13*AY13)))</f>
        <v>0</v>
      </c>
      <c r="AA13" s="1826">
        <f>SQRT(SUMSQ(IF(ISNA($F13*H13*AZ13),0,$F13*H13*AZ13),IF(ISNA($I13*K13*BA13),0,$I13*K13*BA13),IF(ISNA($L13*N13*BB13),0,$L13*N13*BB13),IF(ISNA($O13*Q13*BC13),0,$O13*Q13*BC13)))</f>
        <v>0</v>
      </c>
      <c r="AB13" s="1826"/>
      <c r="AC13" s="152">
        <f>SQRT(SUMSQ(Z13,AA13))</f>
        <v>0</v>
      </c>
      <c r="AE13" s="564">
        <f>$F13*IF(ISNA(VLOOKUP($B13&amp;"; "&amp;$G$11&amp;", "&amp;G$12,'FE Energie'!$G:$U,10,FALSE)),0,VLOOKUP($B13&amp;"; "&amp;$G$11&amp;", "&amp;G$12,'FE Energie'!$G:$U,10,FALSE))+$I13*IF(ISNA(VLOOKUP($B13&amp;"; "&amp;$J$11&amp;", "&amp;G$12,'FE Energie'!$G:$U,10,FALSE)),0,VLOOKUP($B13&amp;"; "&amp;$J$11&amp;", "&amp;G$12,'FE Energie'!$G:$U,10,FALSE))
+$L13*IF(ISNA(VLOOKUP($B13&amp;"; "&amp;$M$11&amp;", "&amp;G$12,'FE Energie'!$G:$U,10,FALSE)),0,VLOOKUP($B13&amp;"; "&amp;$M$11&amp;", "&amp;G$12,'FE Energie'!$G:$U,10,FALSE))
+$O13*IF(ISNA(VLOOKUP($B13&amp;"; "&amp;$P$11&amp;", "&amp;G$12,'FE Energie'!$G:$U,10,FALSE)),0,VLOOKUP($B13&amp;"; "&amp;$P$11&amp;", "&amp;G$12,'FE Energie'!$G:$U,10,FALSE))</f>
        <v>0</v>
      </c>
      <c r="AF13" s="565">
        <f>$F13*IF(ISNA(VLOOKUP($B13&amp;"; "&amp;$G$11&amp;", "&amp;H$12,'FE Energie'!$G:$U,10,FALSE)),0,VLOOKUP($B13&amp;"; "&amp;$G$11&amp;", "&amp;H$12,'FE Energie'!$G:$U,10,FALSE))
+$I13*IF(ISNA(VLOOKUP($B13&amp;"; "&amp;$J$11&amp;", "&amp;H$12,'FE Energie'!$G:$U,10,FALSE)),0,VLOOKUP($B13&amp;"; "&amp;$J$11&amp;", "&amp;H$12,'FE Energie'!$G:$U,10,FALSE))
+$L13*IF(ISNA(VLOOKUP($B13&amp;"; "&amp;$M$11&amp;", "&amp;H$12,'FE Energie'!$G:$U,10,FALSE)),0,VLOOKUP($B13&amp;"; "&amp;$M$11&amp;", "&amp;H$12,'FE Energie'!$G:$U,10,FALSE))
+$O13*IF(ISNA(VLOOKUP($B13&amp;"; "&amp;$P$11&amp;", "&amp;H$12,'FE Energie'!$G:$U,10,FALSE)),0,VLOOKUP($B13&amp;"; "&amp;$P$11&amp;", "&amp;H$12,'FE Energie'!$G:$U,10,FALSE))</f>
        <v>0</v>
      </c>
      <c r="AG13" s="620">
        <f>$F13*IF(ISNA((VLOOKUP($B13&amp;"; "&amp;$G$11&amp;", "&amp;G$12,'FE Energie'!$G:$U,12,FALSE)+VLOOKUP($B13&amp;"; "&amp;$G$11&amp;", "&amp;G$12,'FE Energie'!$G:$U,11,FALSE))),0,(VLOOKUP($B13&amp;"; "&amp;$G$11&amp;", "&amp;G$12,'FE Energie'!$G:$U,12,FALSE)+VLOOKUP($B13&amp;"; "&amp;$G$11&amp;", "&amp;G$12,'FE Energie'!$G:$U,11,FALSE)))
+$I13*IF(ISNA((VLOOKUP($B13&amp;"; "&amp;$J$11&amp;", "&amp;G$12,'FE Energie'!$G:$U,12,FALSE)+VLOOKUP($B13&amp;"; "&amp;$J$11&amp;", "&amp;G$12,'FE Energie'!$G:$U,11,FALSE))),0,(VLOOKUP($B13&amp;"; "&amp;$J$11&amp;", "&amp;G$12,'FE Energie'!$G:$U,12,FALSE)+VLOOKUP($B13&amp;"; "&amp;$J$11&amp;", "&amp;G$12,'FE Energie'!$G:$U,11,FALSE)))
+$L13*IF(ISNA((VLOOKUP($B13&amp;"; "&amp;$M$11&amp;", "&amp;G$12,'FE Energie'!$G:$U,12,FALSE)+VLOOKUP($B13&amp;"; "&amp;$M$11&amp;", "&amp;G$12,'FE Energie'!$G:$U,11,FALSE))),0,(VLOOKUP($B13&amp;"; "&amp;$M$11&amp;", "&amp;G$12,'FE Energie'!$G:$U,12,FALSE)+VLOOKUP($B13&amp;"; "&amp;$M$11&amp;", "&amp;G$12,'FE Energie'!$G:$U,11,FALSE)))
+$O13*IF(ISNA((VLOOKUP($B13&amp;"; "&amp;$P$11&amp;", "&amp;G$12,'FE Energie'!$G:$U,12,FALSE)+VLOOKUP($B13&amp;"; "&amp;$P$11&amp;", "&amp;G$12,'FE Energie'!$G:$U,11,FALSE))),0,(VLOOKUP($B13&amp;"; "&amp;$P$11&amp;", "&amp;G$12,'FE Energie'!$G:$U,12,FALSE)+VLOOKUP($B13&amp;"; "&amp;$P$11&amp;", "&amp;G$12,'FE Energie'!$G:$U,11,FALSE)))</f>
        <v>0</v>
      </c>
      <c r="AH13" s="620">
        <f>$F13*IF(ISNA((VLOOKUP($B13&amp;"; "&amp;$G$11&amp;", "&amp;H$12,'FE Energie'!$G:$U,12,FALSE)+VLOOKUP($B13&amp;"; "&amp;$G$11&amp;", "&amp;H$12,'FE Energie'!$G:$U,11,FALSE))),0,(VLOOKUP($B13&amp;"; "&amp;$G$11&amp;", "&amp;H$12,'FE Energie'!$G:$U,12,FALSE)+VLOOKUP($B13&amp;"; "&amp;$G$11&amp;", "&amp;H$12,'FE Energie'!$G:$U,11,FALSE)))
+$I13*IF(ISNA((VLOOKUP($B13&amp;"; "&amp;$J$11&amp;", "&amp;H$12,'FE Energie'!$G:$U,12,FALSE)+VLOOKUP($B13&amp;"; "&amp;$J$11&amp;", "&amp;H$12,'FE Energie'!$G:$U,11,FALSE))),0,(VLOOKUP($B13&amp;"; "&amp;$J$11&amp;", "&amp;H$12,'FE Energie'!$G:$U,12,FALSE)+VLOOKUP($B13&amp;"; "&amp;$J$11&amp;", "&amp;H$12,'FE Energie'!$G:$U,11,FALSE)))
+$L13*IF(ISNA((VLOOKUP($B13&amp;"; "&amp;$M$11&amp;", "&amp;H$12,'FE Energie'!$G:$U,12,FALSE)+VLOOKUP($B13&amp;"; "&amp;$M$11&amp;", "&amp;H$12,'FE Energie'!$G:$U,11,FALSE))),0,(VLOOKUP($B13&amp;"; "&amp;$M$11&amp;", "&amp;H$12,'FE Energie'!$G:$U,12,FALSE)+VLOOKUP($B13&amp;"; "&amp;$M$11&amp;", "&amp;H$12,'FE Energie'!$G:$U,11,FALSE)))
+$O13*IF(ISNA((VLOOKUP($B13&amp;"; "&amp;$P$11&amp;", "&amp;H$12,'FE Energie'!$G:$U,12,FALSE)+VLOOKUP($B13&amp;"; "&amp;$P$11&amp;", "&amp;H$12,'FE Energie'!$G:$U,11,FALSE))),0,(VLOOKUP($B13&amp;"; "&amp;$P$11&amp;", "&amp;H$12,'FE Energie'!$G:$U,12,FALSE)+VLOOKUP($B13&amp;"; "&amp;$P$11&amp;", "&amp;H$12,'FE Energie'!$G:$U,11,FALSE)))</f>
        <v>0</v>
      </c>
      <c r="AI13" s="620">
        <f>$F13*IF(ISNA(VLOOKUP($B13&amp;"; "&amp;$G$11&amp;", "&amp;G$12,'FE Energie'!$G:$U,13,FALSE)),0,VLOOKUP($B13&amp;"; "&amp;$G$11&amp;", "&amp;G$12,'FE Energie'!$G:$U,13,FALSE))
+$I13*IF(ISNA(VLOOKUP($B13&amp;"; "&amp;$J$11&amp;", "&amp;G$12,'FE Energie'!$G:$U,13,FALSE)),0,VLOOKUP($B13&amp;"; "&amp;$J$11&amp;", "&amp;G$12,'FE Energie'!$G:$U,13,FALSE))
+$L13*IF(ISNA(VLOOKUP($B13&amp;"; "&amp;$M$11&amp;", "&amp;G$12,'FE Energie'!$G:$U,13,FALSE)),0,VLOOKUP($B13&amp;"; "&amp;$M$11&amp;", "&amp;G$12,'FE Energie'!$G:$U,13,FALSE))
+$O13*IF(ISNA(VLOOKUP($B13&amp;"; "&amp;$P$11&amp;", "&amp;G$12,'FE Energie'!$G:$U,13,FALSE)),0,VLOOKUP($B13&amp;"; "&amp;$P$11&amp;", "&amp;G$12,'FE Energie'!$G:$U,13,FALSE))</f>
        <v>0</v>
      </c>
      <c r="AJ13" s="620">
        <f>$F13*IF(ISNA(VLOOKUP($B13&amp;"; "&amp;$G$11&amp;", "&amp;H$12,'FE Energie'!$G:$U,13,FALSE)),0,VLOOKUP($B13&amp;"; "&amp;$G$11&amp;", "&amp;H$12,'FE Energie'!$G:$U,13,FALSE))
+$I13*IF(ISNA(VLOOKUP($B13&amp;"; "&amp;$J$11&amp;", "&amp;H$12,'FE Energie'!$G:$U,13,FALSE)),0,VLOOKUP($B13&amp;"; "&amp;$J$11&amp;", "&amp;H$12,'FE Energie'!$G:$U,13,FALSE))
+$L13*IF(ISNA(VLOOKUP($B13&amp;"; "&amp;$M$11&amp;", "&amp;H$12,'FE Energie'!$G:$U,13,FALSE)),0,VLOOKUP($B13&amp;"; "&amp;$M$11&amp;", "&amp;H$12,'FE Energie'!$G:$U,13,FALSE))
+$O13*IF(ISNA(VLOOKUP($B13&amp;"; "&amp;$P$11&amp;", "&amp;H$12,'FE Energie'!$G:$U,13,FALSE)),0,VLOOKUP($B13&amp;"; "&amp;$P$11&amp;", "&amp;H$12,'FE Energie'!$G:$U,13,FALSE))</f>
        <v>0</v>
      </c>
      <c r="AK13" s="565">
        <f>$F13*IF(ISNA(VLOOKUP($B13&amp;"; "&amp;$G$11&amp;", "&amp;G$12,'FE Energie'!$G:$U,14,FALSE)),0,VLOOKUP($B13&amp;"; "&amp;$G$11&amp;", "&amp;G$12,'FE Energie'!$G:$U,14,FALSE))
+$I13*IF(ISNA(VLOOKUP($B13&amp;"; "&amp;$J$11&amp;", "&amp;G$12,'FE Energie'!$G:$U,14,FALSE)),0,VLOOKUP($B13&amp;"; "&amp;$J$11&amp;", "&amp;G$12,'FE Energie'!$G:$U,14,FALSE))
+$L13*IF(ISNA(VLOOKUP($B13&amp;"; "&amp;$M$11&amp;", "&amp;G$12,'FE Energie'!$G:$U,14,FALSE)),0,VLOOKUP($B13&amp;"; "&amp;$M$11&amp;", "&amp;G$12,'FE Energie'!$G:$U,14,FALSE))
+$O13*IF(ISNA(VLOOKUP($B13&amp;"; "&amp;$P$11&amp;", "&amp;G$12,'FE Energie'!$G:$U,14,FALSE)),0,VLOOKUP($B13&amp;"; "&amp;$P$11&amp;", "&amp;G$12,'FE Energie'!$G:$U,14,FALSE))</f>
        <v>0</v>
      </c>
      <c r="AL13" s="565">
        <f>$F13*IF(ISNA(VLOOKUP($B13&amp;"; "&amp;$G$11&amp;", "&amp;H$12,'FE Energie'!$G:$U,14,FALSE)),0,VLOOKUP($B13&amp;"; "&amp;$G$11&amp;", "&amp;H$12,'FE Energie'!$G:$U,14,FALSE))
+$I13*IF(ISNA(VLOOKUP($B13&amp;"; "&amp;$J$11&amp;", "&amp;H$12,'FE Energie'!$G:$U,14,FALSE)),0,VLOOKUP($B13&amp;"; "&amp;$J$11&amp;", "&amp;H$12,'FE Energie'!$G:$U,14,FALSE))
+$L13*IF(ISNA(VLOOKUP($B13&amp;"; "&amp;$M$11&amp;", "&amp;H$12,'FE Energie'!$G:$U,14,FALSE)),0,VLOOKUP($B13&amp;"; "&amp;$M$11&amp;", "&amp;H$12,'FE Energie'!$G:$U,14,FALSE))
+$O13*IF(ISNA(VLOOKUP($B13&amp;"; "&amp;$P$11&amp;", "&amp;H$12,'FE Energie'!$G:$U,14,FALSE)),0,VLOOKUP($B13&amp;"; "&amp;$P$11&amp;", "&amp;H$12,'FE Energie'!$G:$U,14,FALSE))</f>
        <v>0</v>
      </c>
      <c r="AM13" s="566">
        <f>SUM(AE13,AG13,AI13,AK13)</f>
        <v>0</v>
      </c>
      <c r="AN13" s="566">
        <f>SUM(AF13,AH13,AJ13,AL13)</f>
        <v>0</v>
      </c>
      <c r="AO13" s="564">
        <f>$F13*IF(ISNA(VLOOKUP($B13&amp;"; "&amp;$G$11&amp;", "&amp;G$12,'FE Energie'!$G:$U,15,FALSE)),0,VLOOKUP($B13&amp;"; "&amp;$G$11&amp;", "&amp;G$12,'FE Energie'!$G:$U,15,FALSE))
+$I13*IF(ISNA(VLOOKUP($B13&amp;"; "&amp;$J$11&amp;", "&amp;G$12,'FE Energie'!$G:$U,15,FALSE)),0,VLOOKUP($B13&amp;"; "&amp;$J$11&amp;", "&amp;G$12,'FE Energie'!$G:$U,15,FALSE))
+$L13*IF(ISNA(VLOOKUP($B13&amp;"; "&amp;$M$11&amp;", "&amp;G$12,'FE Energie'!$G:$U,15,FALSE)),0,VLOOKUP($B13&amp;"; "&amp;$M$11&amp;", "&amp;G$12,'FE Energie'!$G:$U,15,FALSE))
+$O13*IF(ISNA(VLOOKUP($B13&amp;"; "&amp;$P$11&amp;", "&amp;G$12,'FE Energie'!$G:$U,15,FALSE)),0,VLOOKUP($B13&amp;"; "&amp;$P$11&amp;", "&amp;G$12,'FE Energie'!$G:$U,15,FALSE))</f>
        <v>0</v>
      </c>
      <c r="AP13" s="568">
        <f>$F13*IF(ISNA(VLOOKUP($B13&amp;"; "&amp;$G$11&amp;", "&amp;H$12,'FE Energie'!$G:$U,15,FALSE)),0,VLOOKUP($B13&amp;"; "&amp;$G$11&amp;", "&amp;H$12,'FE Energie'!$G:$U,15,FALSE))
+$I13*IF(ISNA(VLOOKUP($B13&amp;"; "&amp;$J$11&amp;", "&amp;H$12,'FE Energie'!$G:$U,15,FALSE)),0,VLOOKUP($B13&amp;"; "&amp;$J$11&amp;", "&amp;H$12,'FE Energie'!$G:$U,15,FALSE))
+$L13*IF(ISNA(VLOOKUP($B13&amp;"; "&amp;$M$11&amp;", "&amp;H$12,'FE Energie'!$G:$U,15,FALSE)),0,VLOOKUP($B13&amp;"; "&amp;$M$11&amp;", "&amp;H$12,'FE Energie'!$G:$U,15,FALSE))
+$O13*IF(ISNA(VLOOKUP($B13&amp;"; "&amp;$P$11&amp;", "&amp;H$12,'FE Energie'!$G:$U,15,FALSE)),0,VLOOKUP($B13&amp;"; "&amp;$P$11&amp;", "&amp;H$12,'FE Energie'!$G:$U,15,FALSE))</f>
        <v>0</v>
      </c>
      <c r="AQ13" s="114"/>
      <c r="AR13" s="1065">
        <f>IF($X13&lt;&gt;"votre valeur :",IF(ISNA(VLOOKUP($X13,Utilitaires!$N$566:$O$571,2,FALSE)),,VLOOKUP($X13,Utilitaires!$N$566:$O$571,2,FALSE)),$Y13)</f>
        <v>0</v>
      </c>
      <c r="AS13" s="1065">
        <f>IF($X13&lt;&gt;"votre valeur :",IF(ISNA(VLOOKUP($X13,Utilitaires!$N$566:$O$571,2,FALSE)),,VLOOKUP($X13,Utilitaires!$N$566:$O$571,2,FALSE)),$Y13)</f>
        <v>0</v>
      </c>
      <c r="AT13" s="1065">
        <f>IF($X13&lt;&gt;"votre valeur :",IF(ISNA(VLOOKUP($X13,Utilitaires!$N$566:$O$571,2,FALSE)),,VLOOKUP($X13,Utilitaires!$N$566:$O$571,2,FALSE)),$Y13)</f>
        <v>0</v>
      </c>
      <c r="AU13" s="1167">
        <f>IF($X13&lt;&gt;"votre valeur :",IF(ISNA(VLOOKUP($X13,Utilitaires!$N$566:$O$571,2,FALSE)),,VLOOKUP($X13,Utilitaires!$N$566:$O$571,2,FALSE)),$Y13)</f>
        <v>0</v>
      </c>
      <c r="AV13" s="1068">
        <f>IF(ISNA(SQRT(SUMSQ(VLOOKUP($B13&amp;"; "&amp;$G$11&amp;", "&amp;$G$12,'FE Energie'!$G:$U,7,FALSE),$AR13))),0,SQRT(SUMSQ(VLOOKUP($B13&amp;"; "&amp;$G$11&amp;", "&amp;$G$12,'FE Energie'!$G:$U,7,FALSE),$AR13)))</f>
        <v>0.05</v>
      </c>
      <c r="AW13" s="1068">
        <f>IF(ISNA(SQRT(SUMSQ(VLOOKUP($B13&amp;"; "&amp;$J$11&amp;", "&amp;$J$12,'FE Energie'!$G:$U,7,FALSE),$AS13))),0,SQRT(SUMSQ(VLOOKUP($B13&amp;"; "&amp;$J$11&amp;", "&amp;$J$12,'FE Energie'!$G:$U,7,FALSE),$AS13)))</f>
        <v>0.05</v>
      </c>
      <c r="AX13" s="1068">
        <f>IF(ISNA(SQRT(SUMSQ(VLOOKUP($B13&amp;"; "&amp;$M$11&amp;", "&amp;$M$12,'FE Energie'!$G:$U,7,FALSE),$AT13))),0,SQRT(SUMSQ(VLOOKUP($B13&amp;"; "&amp;$M$11&amp;", "&amp;$M$12,'FE Energie'!$G:$U,7,FALSE),$AT13)))</f>
        <v>0.05</v>
      </c>
      <c r="AY13" s="1068">
        <f>IF(ISNA(SQRT(SUMSQ(VLOOKUP($B13&amp;"; "&amp;$P$11&amp;", "&amp;$P$12,'FE Energie'!$G:$U,7,FALSE),$AU13))),0,SQRT(SUMSQ(VLOOKUP($B13&amp;"; "&amp;$P$11&amp;", "&amp;$P$12,'FE Energie'!$G:$U,7,FALSE),$AU13)))</f>
        <v>0.05</v>
      </c>
      <c r="AZ13" s="1069">
        <f>IF(ISNA(SQRT(SUMSQ(VLOOKUP($B13&amp;"; "&amp;$G$11&amp;", "&amp;$H$12,'FE Energie'!$G:$U,7,FALSE),$AR13))),0,SQRT(SUMSQ(VLOOKUP($B13&amp;"; "&amp;$G$11&amp;", "&amp;$H$12,'FE Energie'!$G:$U,7,FALSE),$AR13)))</f>
        <v>0.05</v>
      </c>
      <c r="BA13" s="1070">
        <f>IF(ISNA(SQRT(SUMSQ(VLOOKUP($B13&amp;"; "&amp;$J$11&amp;", "&amp;$K$12,'FE Energie'!$G:$U,7,FALSE),$AS13))),0,SQRT(SUMSQ(VLOOKUP($B13&amp;"; "&amp;$J$11&amp;", "&amp;$K$12,'FE Energie'!$G:$U,7,FALSE),$AS13)))</f>
        <v>0.05</v>
      </c>
      <c r="BB13" s="1070">
        <f>IF(ISNA(SQRT(SUMSQ(VLOOKUP($B13&amp;"; "&amp;$M$11&amp;", "&amp;$N$12,'FE Energie'!$G:$U,7,FALSE),$AT13))),0,SQRT(SUMSQ(VLOOKUP($B13&amp;"; "&amp;$M$11&amp;", "&amp;$N$12,'FE Energie'!$G:$U,7,FALSE),$AT13)))</f>
        <v>0.05</v>
      </c>
      <c r="BC13" s="1071">
        <f>IF(ISNA(SQRT(SUMSQ(VLOOKUP($B13&amp;"; "&amp;$P$11&amp;", "&amp;$Q$12,'FE Energie'!$G:$U,7,FALSE),$AU13))),0,SQRT(SUMSQ(VLOOKUP($B13&amp;"; "&amp;$P$11&amp;", "&amp;$Q$12,'FE Energie'!$G:$U,7,FALSE),$AU13)))</f>
        <v>0.05</v>
      </c>
    </row>
    <row r="14" spans="1:56" s="116" customFormat="1" ht="12.75" customHeight="1" outlineLevel="1">
      <c r="A14" s="114"/>
      <c r="B14" s="143" t="s">
        <v>1623</v>
      </c>
      <c r="C14" s="144"/>
      <c r="D14" s="315">
        <f>SUM(R14,S14)</f>
        <v>0</v>
      </c>
      <c r="E14" s="345"/>
      <c r="F14" s="1548"/>
      <c r="G14" s="335">
        <f>VLOOKUP($B14&amp;"; "&amp;$G$11&amp;", "&amp;G$12,'FE Energie'!$G:$U,9,FALSE)</f>
        <v>0.48699999999999999</v>
      </c>
      <c r="H14" s="335">
        <f>VLOOKUP($B14&amp;"; "&amp;$G$11&amp;", "&amp;H$12,'FE Energie'!$G:$U,9,FALSE)</f>
        <v>2.97</v>
      </c>
      <c r="I14" s="1548"/>
      <c r="J14" s="223">
        <f>VLOOKUP($B14&amp;"; "&amp;$J$11&amp;", "&amp;J$12,'FE Energie'!$G:$U,9,FALSE)</f>
        <v>3.9E-2</v>
      </c>
      <c r="K14" s="223">
        <f>VLOOKUP($B14&amp;"; "&amp;$J$11&amp;", "&amp;K$12,'FE Energie'!$G:$U,9,FALSE)</f>
        <v>0.23300000000000001</v>
      </c>
      <c r="L14" s="1548"/>
      <c r="M14" s="217">
        <f>VLOOKUP($B14&amp;"; "&amp;$M$11&amp;", "&amp;M$12,'FE Energie'!$G:$U,9,FALSE)</f>
        <v>445</v>
      </c>
      <c r="N14" s="217">
        <f>VLOOKUP($B14&amp;"; "&amp;$M$11&amp;", "&amp;N$12,'FE Energie'!$G:$U,9,FALSE)</f>
        <v>2720</v>
      </c>
      <c r="O14" s="1548"/>
      <c r="P14" s="223">
        <f>VLOOKUP($B14&amp;"; "&amp;$P$11&amp;", "&amp;P$12,'FE Energie'!$G:$U,9,FALSE)</f>
        <v>0.25600000000000001</v>
      </c>
      <c r="Q14" s="223">
        <f>VLOOKUP($B14&amp;"; "&amp;$P$11&amp;", "&amp;Q$12,'FE Energie'!$G:$U,9,FALSE)</f>
        <v>1.54</v>
      </c>
      <c r="R14" s="566">
        <f>IF(ISNA(F14*G14),0,F14*G14)+IF(ISNA(I14*J14),0,I14*J14)+IF(ISNA(L14*M14),0,L14*M14)+IF(ISNA(O14*P14),0,O14*P14)</f>
        <v>0</v>
      </c>
      <c r="S14" s="567">
        <f>IF(ISNA(F14*H14),0,F14*H14)+IF(ISNA(I14*K14),0,I14*K14)+IF(ISNA(L14*N14),0,L14*N14)+IF(ISNA(O14*Q14),0,O14*Q14)</f>
        <v>0</v>
      </c>
      <c r="T14" s="114"/>
      <c r="U14" s="114"/>
      <c r="V14" s="114"/>
      <c r="W14" s="1092">
        <f>IF(AC14=0,AC14,AC14/(R14+S14))</f>
        <v>0</v>
      </c>
      <c r="X14" s="345"/>
      <c r="Y14" s="820"/>
      <c r="Z14" s="1826">
        <f>SQRT(SUMSQ(IF(ISNA($F14*G14*AV14),0,$F14*G14*AV14),IF(ISNA($I14*J14*AW14),0,$I14*J14*AW14),IF(ISNA($L14*M14*AX14),0,$L14*M14*AX14),IF(ISNA($O14*P14*AY14),0,$O14*P14*AY14)))</f>
        <v>0</v>
      </c>
      <c r="AA14" s="1826">
        <f>SQRT(SUMSQ(IF(ISNA($F14*H14*AZ14),0,$F14*H14*AZ14),IF(ISNA($I14*K14*BA14),0,$I14*K14*BA14),IF(ISNA($L14*N14*BB14),0,$L14*N14*BB14),IF(ISNA($O14*Q14*BC14),0,$O14*Q14*BC14)))</f>
        <v>0</v>
      </c>
      <c r="AB14" s="1826"/>
      <c r="AC14" s="152">
        <f>SQRT(SUMSQ(Z14,AA14))</f>
        <v>0</v>
      </c>
      <c r="AE14" s="564">
        <f>$F14*IF(ISNA(VLOOKUP($B14&amp;"; "&amp;$G$11&amp;", "&amp;G$12,'FE Energie'!$G:$U,10,FALSE)),0,VLOOKUP($B14&amp;"; "&amp;$G$11&amp;", "&amp;G$12,'FE Energie'!$G:$U,10,FALSE))
+$I14*IF(ISNA(VLOOKUP($B14&amp;"; "&amp;$J$11&amp;", "&amp;G$12,'FE Energie'!$G:$U,10,FALSE)),0,VLOOKUP($B14&amp;"; "&amp;$J$11&amp;", "&amp;G$12,'FE Energie'!$G:$U,10,FALSE))
+$L14*IF(ISNA(VLOOKUP($B14&amp;"; "&amp;$M$11&amp;", "&amp;G$12,'FE Energie'!$G:$U,10,FALSE)),0,VLOOKUP($B14&amp;"; "&amp;$M$11&amp;", "&amp;G$12,'FE Energie'!$G:$U,10,FALSE))
+$O14*IF(ISNA(VLOOKUP($B14&amp;"; "&amp;$P$11&amp;", "&amp;G$12,'FE Energie'!$G:$U,10,FALSE)),0,VLOOKUP($B14&amp;"; "&amp;$P$11&amp;", "&amp;G$12,'FE Energie'!$G:$U,10,FALSE))</f>
        <v>0</v>
      </c>
      <c r="AF14" s="565">
        <f>$F14*IF(ISNA(VLOOKUP($B14&amp;"; "&amp;$G$11&amp;", "&amp;H$12,'FE Energie'!$G:$U,10,FALSE)),0,VLOOKUP($B14&amp;"; "&amp;$G$11&amp;", "&amp;H$12,'FE Energie'!$G:$U,10,FALSE))
+$I14*IF(ISNA(VLOOKUP($B14&amp;"; "&amp;$J$11&amp;", "&amp;H$12,'FE Energie'!$G:$U,10,FALSE)),0,VLOOKUP($B14&amp;"; "&amp;$J$11&amp;", "&amp;H$12,'FE Energie'!$G:$U,10,FALSE))
+$L14*IF(ISNA(VLOOKUP($B14&amp;"; "&amp;$M$11&amp;", "&amp;H$12,'FE Energie'!$G:$U,10,FALSE)),0,VLOOKUP($B14&amp;"; "&amp;$M$11&amp;", "&amp;H$12,'FE Energie'!$G:$U,10,FALSE))
+$O14*IF(ISNA(VLOOKUP($B14&amp;"; "&amp;$P$11&amp;", "&amp;H$12,'FE Energie'!$G:$U,10,FALSE)),0,VLOOKUP($B14&amp;"; "&amp;$P$11&amp;", "&amp;H$12,'FE Energie'!$G:$U,10,FALSE))</f>
        <v>0</v>
      </c>
      <c r="AG14" s="620">
        <f>$F14*IF(ISNA((VLOOKUP($B14&amp;"; "&amp;$G$11&amp;", "&amp;G$12,'FE Energie'!$G:$U,12,FALSE)+VLOOKUP($B14&amp;"; "&amp;$G$11&amp;", "&amp;G$12,'FE Energie'!$G:$U,11,FALSE))),0,(VLOOKUP($B14&amp;"; "&amp;$G$11&amp;", "&amp;G$12,'FE Energie'!$G:$U,12,FALSE)+VLOOKUP($B14&amp;"; "&amp;$G$11&amp;", "&amp;G$12,'FE Energie'!$G:$U,11,FALSE)))
+$I14*IF(ISNA((VLOOKUP($B14&amp;"; "&amp;$J$11&amp;", "&amp;G$12,'FE Energie'!$G:$U,12,FALSE)+VLOOKUP($B14&amp;"; "&amp;$J$11&amp;", "&amp;G$12,'FE Energie'!$G:$U,11,FALSE))),0,(VLOOKUP($B14&amp;"; "&amp;$J$11&amp;", "&amp;G$12,'FE Energie'!$G:$U,12,FALSE)+VLOOKUP($B14&amp;"; "&amp;$J$11&amp;", "&amp;G$12,'FE Energie'!$G:$U,11,FALSE)))
+$L14*IF(ISNA((VLOOKUP($B14&amp;"; "&amp;$M$11&amp;", "&amp;G$12,'FE Energie'!$G:$U,12,FALSE)+VLOOKUP($B14&amp;"; "&amp;$M$11&amp;", "&amp;G$12,'FE Energie'!$G:$U,11,FALSE))),0,(VLOOKUP($B14&amp;"; "&amp;$M$11&amp;", "&amp;G$12,'FE Energie'!$G:$U,12,FALSE)+VLOOKUP($B14&amp;"; "&amp;$M$11&amp;", "&amp;G$12,'FE Energie'!$G:$U,11,FALSE)))
+$O14*IF(ISNA((VLOOKUP($B14&amp;"; "&amp;$P$11&amp;", "&amp;G$12,'FE Energie'!$G:$U,12,FALSE)+VLOOKUP($B14&amp;"; "&amp;$P$11&amp;", "&amp;G$12,'FE Energie'!$G:$U,11,FALSE))),0,(VLOOKUP($B14&amp;"; "&amp;$P$11&amp;", "&amp;G$12,'FE Energie'!$G:$U,12,FALSE)+VLOOKUP($B14&amp;"; "&amp;$P$11&amp;", "&amp;G$12,'FE Energie'!$G:$U,11,FALSE)))</f>
        <v>0</v>
      </c>
      <c r="AH14" s="620">
        <f>$F14*IF(ISNA((VLOOKUP($B14&amp;"; "&amp;$G$11&amp;", "&amp;H$12,'FE Energie'!$G:$U,12,FALSE)+VLOOKUP($B14&amp;"; "&amp;$G$11&amp;", "&amp;H$12,'FE Energie'!$G:$U,11,FALSE))),0,(VLOOKUP($B14&amp;"; "&amp;$G$11&amp;", "&amp;H$12,'FE Energie'!$G:$U,12,FALSE)+VLOOKUP($B14&amp;"; "&amp;$G$11&amp;", "&amp;H$12,'FE Energie'!$G:$U,11,FALSE)))
+$I14*IF(ISNA((VLOOKUP($B14&amp;"; "&amp;$J$11&amp;", "&amp;H$12,'FE Energie'!$G:$U,12,FALSE)+VLOOKUP($B14&amp;"; "&amp;$J$11&amp;", "&amp;H$12,'FE Energie'!$G:$U,11,FALSE))),0,(VLOOKUP($B14&amp;"; "&amp;$J$11&amp;", "&amp;H$12,'FE Energie'!$G:$U,12,FALSE)+VLOOKUP($B14&amp;"; "&amp;$J$11&amp;", "&amp;H$12,'FE Energie'!$G:$U,11,FALSE)))
+$L14*IF(ISNA((VLOOKUP($B14&amp;"; "&amp;$M$11&amp;", "&amp;H$12,'FE Energie'!$G:$U,12,FALSE)+VLOOKUP($B14&amp;"; "&amp;$M$11&amp;", "&amp;H$12,'FE Energie'!$G:$U,11,FALSE))),0,(VLOOKUP($B14&amp;"; "&amp;$M$11&amp;", "&amp;H$12,'FE Energie'!$G:$U,12,FALSE)+VLOOKUP($B14&amp;"; "&amp;$M$11&amp;", "&amp;H$12,'FE Energie'!$G:$U,11,FALSE)))
+$O14*IF(ISNA((VLOOKUP($B14&amp;"; "&amp;$P$11&amp;", "&amp;H$12,'FE Energie'!$G:$U,12,FALSE)+VLOOKUP($B14&amp;"; "&amp;$P$11&amp;", "&amp;H$12,'FE Energie'!$G:$U,11,FALSE))),0,(VLOOKUP($B14&amp;"; "&amp;$P$11&amp;", "&amp;H$12,'FE Energie'!$G:$U,12,FALSE)+VLOOKUP($B14&amp;"; "&amp;$P$11&amp;", "&amp;H$12,'FE Energie'!$G:$U,11,FALSE)))</f>
        <v>0</v>
      </c>
      <c r="AI14" s="620">
        <f>$F14*IF(ISNA(VLOOKUP($B14&amp;"; "&amp;$G$11&amp;", "&amp;G$12,'FE Energie'!$G:$U,13,FALSE)),0,VLOOKUP($B14&amp;"; "&amp;$G$11&amp;", "&amp;G$12,'FE Energie'!$G:$U,13,FALSE))
+$I14*IF(ISNA(VLOOKUP($B14&amp;"; "&amp;$J$11&amp;", "&amp;G$12,'FE Energie'!$G:$U,13,FALSE)),0,VLOOKUP($B14&amp;"; "&amp;$J$11&amp;", "&amp;G$12,'FE Energie'!$G:$U,13,FALSE))
+$L14*IF(ISNA(VLOOKUP($B14&amp;"; "&amp;$M$11&amp;", "&amp;G$12,'FE Energie'!$G:$U,13,FALSE)),0,VLOOKUP($B14&amp;"; "&amp;$M$11&amp;", "&amp;G$12,'FE Energie'!$G:$U,13,FALSE))
+$O14*IF(ISNA(VLOOKUP($B14&amp;"; "&amp;$P$11&amp;", "&amp;G$12,'FE Energie'!$G:$U,13,FALSE)),0,VLOOKUP($B14&amp;"; "&amp;$P$11&amp;", "&amp;G$12,'FE Energie'!$G:$U,13,FALSE))</f>
        <v>0</v>
      </c>
      <c r="AJ14" s="620">
        <f>$F14*IF(ISNA(VLOOKUP($B14&amp;"; "&amp;$G$11&amp;", "&amp;H$12,'FE Energie'!$G:$U,13,FALSE)),0,VLOOKUP($B14&amp;"; "&amp;$G$11&amp;", "&amp;H$12,'FE Energie'!$G:$U,13,FALSE))
+$I14*IF(ISNA(VLOOKUP($B14&amp;"; "&amp;$J$11&amp;", "&amp;H$12,'FE Energie'!$G:$U,13,FALSE)),0,VLOOKUP($B14&amp;"; "&amp;$J$11&amp;", "&amp;H$12,'FE Energie'!$G:$U,13,FALSE))
+$L14*IF(ISNA(VLOOKUP($B14&amp;"; "&amp;$M$11&amp;", "&amp;H$12,'FE Energie'!$G:$U,13,FALSE)),0,VLOOKUP($B14&amp;"; "&amp;$M$11&amp;", "&amp;H$12,'FE Energie'!$G:$U,13,FALSE))
+$O14*IF(ISNA(VLOOKUP($B14&amp;"; "&amp;$P$11&amp;", "&amp;H$12,'FE Energie'!$G:$U,13,FALSE)),0,VLOOKUP($B14&amp;"; "&amp;$P$11&amp;", "&amp;H$12,'FE Energie'!$G:$U,13,FALSE))</f>
        <v>0</v>
      </c>
      <c r="AK14" s="565">
        <f>$F14*IF(ISNA(VLOOKUP($B14&amp;"; "&amp;$G$11&amp;", "&amp;G$12,'FE Energie'!$G:$U,14,FALSE)),0,VLOOKUP($B14&amp;"; "&amp;$G$11&amp;", "&amp;G$12,'FE Energie'!$G:$U,14,FALSE))
+$I14*IF(ISNA(VLOOKUP($B14&amp;"; "&amp;$J$11&amp;", "&amp;G$12,'FE Energie'!$G:$U,14,FALSE)),0,VLOOKUP($B14&amp;"; "&amp;$J$11&amp;", "&amp;G$12,'FE Energie'!$G:$U,14,FALSE))
+$L14*IF(ISNA(VLOOKUP($B14&amp;"; "&amp;$M$11&amp;", "&amp;G$12,'FE Energie'!$G:$U,14,FALSE)),0,VLOOKUP($B14&amp;"; "&amp;$M$11&amp;", "&amp;G$12,'FE Energie'!$G:$U,14,FALSE))
+$O14*IF(ISNA(VLOOKUP($B14&amp;"; "&amp;$P$11&amp;", "&amp;G$12,'FE Energie'!$G:$U,14,FALSE)),0,VLOOKUP($B14&amp;"; "&amp;$P$11&amp;", "&amp;G$12,'FE Energie'!$G:$U,14,FALSE))</f>
        <v>0</v>
      </c>
      <c r="AL14" s="565">
        <f>$F14*IF(ISNA(VLOOKUP($B14&amp;"; "&amp;$G$11&amp;", "&amp;H$12,'FE Energie'!$G:$U,14,FALSE)),0,VLOOKUP($B14&amp;"; "&amp;$G$11&amp;", "&amp;H$12,'FE Energie'!$G:$U,14,FALSE))
+$I14*IF(ISNA(VLOOKUP($B14&amp;"; "&amp;$J$11&amp;", "&amp;H$12,'FE Energie'!$G:$U,14,FALSE)),0,VLOOKUP($B14&amp;"; "&amp;$J$11&amp;", "&amp;H$12,'FE Energie'!$G:$U,14,FALSE))
+$L14*IF(ISNA(VLOOKUP($B14&amp;"; "&amp;$M$11&amp;", "&amp;H$12,'FE Energie'!$G:$U,14,FALSE)),0,VLOOKUP($B14&amp;"; "&amp;$M$11&amp;", "&amp;H$12,'FE Energie'!$G:$U,14,FALSE))
+$O14*IF(ISNA(VLOOKUP($B14&amp;"; "&amp;$P$11&amp;", "&amp;H$12,'FE Energie'!$G:$U,14,FALSE)),0,VLOOKUP($B14&amp;"; "&amp;$P$11&amp;", "&amp;H$12,'FE Energie'!$G:$U,14,FALSE))</f>
        <v>0</v>
      </c>
      <c r="AM14" s="566">
        <f t="shared" ref="AM14:AN26" si="0">SUM(AE14,AG14,AI14,AK14)</f>
        <v>0</v>
      </c>
      <c r="AN14" s="566">
        <f t="shared" si="0"/>
        <v>0</v>
      </c>
      <c r="AO14" s="564">
        <f>$F14*IF(ISNA(VLOOKUP($B14&amp;"; "&amp;$G$11&amp;", "&amp;G$12,'FE Energie'!$G:$U,15,FALSE)),0,VLOOKUP($B14&amp;"; "&amp;$G$11&amp;", "&amp;G$12,'FE Energie'!$G:$U,15,FALSE))
+$I14*IF(ISNA(VLOOKUP($B14&amp;"; "&amp;$J$11&amp;", "&amp;G$12,'FE Energie'!$G:$U,15,FALSE)),0,VLOOKUP($B14&amp;"; "&amp;$J$11&amp;", "&amp;G$12,'FE Energie'!$G:$U,15,FALSE))
+$L14*IF(ISNA(VLOOKUP($B14&amp;"; "&amp;$M$11&amp;", "&amp;G$12,'FE Energie'!$G:$U,15,FALSE)),0,VLOOKUP($B14&amp;"; "&amp;$M$11&amp;", "&amp;G$12,'FE Energie'!$G:$U,15,FALSE))
+$O14*IF(ISNA(VLOOKUP($B14&amp;"; "&amp;$P$11&amp;", "&amp;G$12,'FE Energie'!$G:$U,15,FALSE)),0,VLOOKUP($B14&amp;"; "&amp;$P$11&amp;", "&amp;G$12,'FE Energie'!$G:$U,15,FALSE))</f>
        <v>0</v>
      </c>
      <c r="AP14" s="568">
        <f>$F14*IF(ISNA(VLOOKUP($B14&amp;"; "&amp;$G$11&amp;", "&amp;H$12,'FE Energie'!$G:$U,15,FALSE)),0,VLOOKUP($B14&amp;"; "&amp;$G$11&amp;", "&amp;H$12,'FE Energie'!$G:$U,15,FALSE))
+$I14*IF(ISNA(VLOOKUP($B14&amp;"; "&amp;$J$11&amp;", "&amp;H$12,'FE Energie'!$G:$U,15,FALSE)),0,VLOOKUP($B14&amp;"; "&amp;$J$11&amp;", "&amp;H$12,'FE Energie'!$G:$U,15,FALSE))
+$L14*IF(ISNA(VLOOKUP($B14&amp;"; "&amp;$M$11&amp;", "&amp;H$12,'FE Energie'!$G:$U,15,FALSE)),0,VLOOKUP($B14&amp;"; "&amp;$M$11&amp;", "&amp;H$12,'FE Energie'!$G:$U,15,FALSE))
+$O14*IF(ISNA(VLOOKUP($B14&amp;"; "&amp;$P$11&amp;", "&amp;H$12,'FE Energie'!$G:$U,15,FALSE)),0,VLOOKUP($B14&amp;"; "&amp;$P$11&amp;", "&amp;H$12,'FE Energie'!$G:$U,15,FALSE))</f>
        <v>0</v>
      </c>
      <c r="AQ14" s="114"/>
      <c r="AR14" s="1065">
        <f>IF($X14&lt;&gt;"votre valeur :",IF(ISNA(VLOOKUP($X14,Utilitaires!$N$566:$O$571,2,FALSE)),,VLOOKUP($X14,Utilitaires!$N$566:$O$571,2,FALSE)),$Y14)</f>
        <v>0</v>
      </c>
      <c r="AS14" s="1065">
        <f>IF($X14&lt;&gt;"votre valeur :",IF(ISNA(VLOOKUP($X14,Utilitaires!$N$566:$O$571,2,FALSE)),,VLOOKUP($X14,Utilitaires!$N$566:$O$571,2,FALSE)),$Y14)</f>
        <v>0</v>
      </c>
      <c r="AT14" s="1065">
        <f>IF($X14&lt;&gt;"votre valeur :",IF(ISNA(VLOOKUP($X14,Utilitaires!$N$566:$O$571,2,FALSE)),,VLOOKUP($X14,Utilitaires!$N$566:$O$571,2,FALSE)),$Y14)</f>
        <v>0</v>
      </c>
      <c r="AU14" s="1167">
        <f>IF($X14&lt;&gt;"votre valeur :",IF(ISNA(VLOOKUP($X14,Utilitaires!$N$566:$O$571,2,FALSE)),,VLOOKUP($X14,Utilitaires!$N$566:$O$571,2,FALSE)),$Y14)</f>
        <v>0</v>
      </c>
      <c r="AV14" s="1068">
        <f>IF(ISNA(SQRT(SUMSQ(VLOOKUP($B14&amp;"; "&amp;$G$11&amp;", "&amp;$G$12,'FE Energie'!$G:$U,7,FALSE),$AR14))),0,SQRT(SUMSQ(VLOOKUP($B14&amp;"; "&amp;$G$11&amp;", "&amp;$G$12,'FE Energie'!$G:$U,7,FALSE),$AR14)))</f>
        <v>0.05</v>
      </c>
      <c r="AW14" s="1068">
        <f>IF(ISNA(SQRT(SUMSQ(VLOOKUP($B14&amp;"; "&amp;$J$11&amp;", "&amp;$J$12,'FE Energie'!$G:$U,7,FALSE),$AS14))),0,SQRT(SUMSQ(VLOOKUP($B14&amp;"; "&amp;$J$11&amp;", "&amp;$J$12,'FE Energie'!$G:$U,7,FALSE),$AS14)))</f>
        <v>0.05</v>
      </c>
      <c r="AX14" s="1068">
        <f>IF(ISNA(SQRT(SUMSQ(VLOOKUP($B14&amp;"; "&amp;$M$11&amp;", "&amp;$M$12,'FE Energie'!$G:$U,7,FALSE),$AT14))),0,SQRT(SUMSQ(VLOOKUP($B14&amp;"; "&amp;$M$11&amp;", "&amp;$M$12,'FE Energie'!$G:$U,7,FALSE),$AT14)))</f>
        <v>0.05</v>
      </c>
      <c r="AY14" s="1068">
        <f>IF(ISNA(SQRT(SUMSQ(VLOOKUP($B14&amp;"; "&amp;$P$11&amp;", "&amp;$P$12,'FE Energie'!$G:$U,7,FALSE),$AU14))),0,SQRT(SUMSQ(VLOOKUP($B14&amp;"; "&amp;$P$11&amp;", "&amp;$P$12,'FE Energie'!$G:$U,7,FALSE),$AU14)))</f>
        <v>0.05</v>
      </c>
      <c r="AZ14" s="1069">
        <f>IF(ISNA(SQRT(SUMSQ(VLOOKUP($B14&amp;"; "&amp;$G$11&amp;", "&amp;$H$12,'FE Energie'!$G:$U,7,FALSE),$AR14))),0,SQRT(SUMSQ(VLOOKUP($B14&amp;"; "&amp;$G$11&amp;", "&amp;$H$12,'FE Energie'!$G:$U,7,FALSE),$AR14)))</f>
        <v>0.05</v>
      </c>
      <c r="BA14" s="1070">
        <f>IF(ISNA(SQRT(SUMSQ(VLOOKUP($B14&amp;"; "&amp;$J$11&amp;", "&amp;$K$12,'FE Energie'!$G:$U,7,FALSE),$AS14))),0,SQRT(SUMSQ(VLOOKUP($B14&amp;"; "&amp;$J$11&amp;", "&amp;$K$12,'FE Energie'!$G:$U,7,FALSE),$AS14)))</f>
        <v>0.05</v>
      </c>
      <c r="BB14" s="1070">
        <f>IF(ISNA(SQRT(SUMSQ(VLOOKUP($B14&amp;"; "&amp;$M$11&amp;", "&amp;$N$12,'FE Energie'!$G:$U,7,FALSE),$AT14))),0,SQRT(SUMSQ(VLOOKUP($B14&amp;"; "&amp;$M$11&amp;", "&amp;$N$12,'FE Energie'!$G:$U,7,FALSE),$AT14)))</f>
        <v>0.05</v>
      </c>
      <c r="BC14" s="1071">
        <f>IF(ISNA(SQRT(SUMSQ(VLOOKUP($B14&amp;"; "&amp;$P$11&amp;", "&amp;$Q$12,'FE Energie'!$G:$U,7,FALSE),$AU14))),0,SQRT(SUMSQ(VLOOKUP($B14&amp;"; "&amp;$P$11&amp;", "&amp;$Q$12,'FE Energie'!$G:$U,7,FALSE),$AU14)))</f>
        <v>0.05</v>
      </c>
    </row>
    <row r="15" spans="1:56" s="116" customFormat="1" ht="12.75" customHeight="1" outlineLevel="1">
      <c r="A15" s="114"/>
      <c r="B15" s="536" t="s">
        <v>1637</v>
      </c>
      <c r="C15" s="144"/>
      <c r="D15" s="315"/>
      <c r="E15" s="822"/>
      <c r="F15" s="1583"/>
      <c r="G15" s="335"/>
      <c r="H15" s="335"/>
      <c r="I15" s="1583"/>
      <c r="J15" s="223"/>
      <c r="K15" s="223"/>
      <c r="L15" s="1583"/>
      <c r="M15" s="217"/>
      <c r="N15" s="217"/>
      <c r="O15" s="1583"/>
      <c r="P15" s="223"/>
      <c r="Q15" s="223"/>
      <c r="R15" s="566"/>
      <c r="S15" s="567"/>
      <c r="T15" s="114"/>
      <c r="U15" s="114"/>
      <c r="V15" s="114"/>
      <c r="W15" s="1092"/>
      <c r="X15" s="820"/>
      <c r="Y15" s="820"/>
      <c r="Z15" s="1826"/>
      <c r="AA15" s="1826"/>
      <c r="AB15" s="1826"/>
      <c r="AC15" s="152"/>
      <c r="AE15" s="564"/>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6" s="116" customFormat="1" ht="12.75" customHeight="1" outlineLevel="1">
      <c r="A16" s="114"/>
      <c r="B16" s="143" t="s">
        <v>3253</v>
      </c>
      <c r="C16" s="144"/>
      <c r="D16" s="315">
        <f>SUM(R16,S16)</f>
        <v>12538.3236</v>
      </c>
      <c r="E16" s="343" t="s">
        <v>526</v>
      </c>
      <c r="F16" s="1547"/>
      <c r="G16" s="335" t="e">
        <f>VLOOKUP($B16&amp;"; "&amp;$G$11&amp;", "&amp;G$12,'FE Energie'!$G:$U,9,FALSE)</f>
        <v>#N/A</v>
      </c>
      <c r="H16" s="335" t="e">
        <f>VLOOKUP($B16&amp;"; "&amp;$G$11&amp;", "&amp;H$12,'FE Energie'!$G:$U,9,FALSE)</f>
        <v>#N/A</v>
      </c>
      <c r="I16" s="1547">
        <v>55308</v>
      </c>
      <c r="J16" s="223">
        <f>VLOOKUP($B16&amp;"; "&amp;$J$11&amp;", "&amp;J$12,'FE Energie'!$G:$U,9,FALSE)</f>
        <v>3.9699999999999999E-2</v>
      </c>
      <c r="K16" s="223">
        <f>VLOOKUP($B16&amp;"; "&amp;$J$11&amp;", "&amp;K$12,'FE Energie'!$G:$U,9,FALSE)</f>
        <v>0.187</v>
      </c>
      <c r="L16" s="1547"/>
      <c r="M16" s="217">
        <f>VLOOKUP($B16&amp;"; "&amp;$M$11&amp;", "&amp;M$12,'FE Energie'!$G:$U,9,FALSE)</f>
        <v>462</v>
      </c>
      <c r="N16" s="217">
        <f>VLOOKUP($B16&amp;"; "&amp;$M$11&amp;", "&amp;N$12,'FE Energie'!$G:$U,9,FALSE)</f>
        <v>2180</v>
      </c>
      <c r="O16" s="1547"/>
      <c r="P16" s="223" t="e">
        <f>VLOOKUP($B16&amp;"; "&amp;$P$11&amp;", "&amp;P$12,'FE Energie'!$G:$U,9,FALSE)</f>
        <v>#N/A</v>
      </c>
      <c r="Q16" s="223" t="e">
        <f>VLOOKUP($B16&amp;"; "&amp;$P$11&amp;", "&amp;Q$12,'FE Energie'!$G:$U,9,FALSE)</f>
        <v>#N/A</v>
      </c>
      <c r="R16" s="566">
        <f>IF(ISNA(F16*G16),0,F16*G16)+IF(ISNA(I16*J16),0,I16*J16)+IF(ISNA(L16*M16),0,L16*M16)+IF(ISNA(O16*P16),0,O16*P16)</f>
        <v>2195.7276000000002</v>
      </c>
      <c r="S16" s="567">
        <f>IF(ISNA(F16*H16),0,F16*H16)+IF(ISNA(I16*K16),0,I16*K16)+IF(ISNA(L16*N16),0,L16*N16)+IF(ISNA(O16*Q16),0,O16*Q16)</f>
        <v>10342.596</v>
      </c>
      <c r="T16" s="114"/>
      <c r="U16" s="114"/>
      <c r="V16" s="114"/>
      <c r="W16" s="1092">
        <f>IF(AC16=0,AC16,AC16/(R16+S16))</f>
        <v>4.2163145400713982E-2</v>
      </c>
      <c r="X16" s="343"/>
      <c r="Y16" s="820"/>
      <c r="Z16" s="1826">
        <f>SQRT(SUMSQ(IF(ISNA($F16*G16*AV16),0,$F16*G16*AV16),IF(ISNA($I16*J16*AW16),0,$I16*J16*AW16),IF(ISNA($L16*M16*AX16),0,$L16*M16*AX16),IF(ISNA($O16*P16*AY16),0,$O16*P16*AY16)))</f>
        <v>109.78638000000001</v>
      </c>
      <c r="AA16" s="1826">
        <f>SQRT(SUMSQ(IF(ISNA($F16*H16*AZ16),0,$F16*H16*AZ16),IF(ISNA($I16*K16*BA16),0,$I16*K16*BA16),IF(ISNA($L16*N16*BB16),0,$L16*N16*BB16),IF(ISNA($O16*Q16*BC16),0,$O16*Q16*BC16)))</f>
        <v>517.12980000000005</v>
      </c>
      <c r="AB16" s="1826"/>
      <c r="AC16" s="152">
        <f>SQRT(SUMSQ(Z16,AA16))</f>
        <v>528.65516102800359</v>
      </c>
      <c r="AE16" s="564">
        <f>$F16*IF(ISNA(VLOOKUP($B16&amp;"; "&amp;$G$11&amp;", "&amp;G$12,'FE Energie'!$G:$U,10,FALSE)),0,VLOOKUP($B16&amp;"; "&amp;$G$11&amp;", "&amp;G$12,'FE Energie'!$G:$U,10,FALSE))
+$I16*IF(ISNA(VLOOKUP($B16&amp;"; "&amp;$J$11&amp;", "&amp;G$12,'FE Energie'!$G:$U,10,FALSE)),0,VLOOKUP($B16&amp;"; "&amp;$J$11&amp;", "&amp;G$12,'FE Energie'!$G:$U,10,FALSE))
+$L16*IF(ISNA(VLOOKUP($B16&amp;"; "&amp;$M$11&amp;", "&amp;G$12,'FE Energie'!$G:$U,10,FALSE)),0,VLOOKUP($B16&amp;"; "&amp;$M$11&amp;", "&amp;G$12,'FE Energie'!$G:$U,10,FALSE))
+$O16*IF(ISNA(VLOOKUP($B16&amp;"; "&amp;$P$11&amp;", "&amp;G$12,'FE Energie'!$G:$U,10,FALSE)),0,VLOOKUP($B16&amp;"; "&amp;$P$11&amp;", "&amp;G$12,'FE Energie'!$G:$U,10,FALSE))</f>
        <v>1310.7995999999998</v>
      </c>
      <c r="AF16" s="565">
        <f>$F16*IF(ISNA(VLOOKUP($B16&amp;"; "&amp;$G$11&amp;", "&amp;H$12,'FE Energie'!$G:$U,10,FALSE)),0,VLOOKUP($B16&amp;"; "&amp;$G$11&amp;", "&amp;H$12,'FE Energie'!$G:$U,10,FALSE))
+$I16*IF(ISNA(VLOOKUP($B16&amp;"; "&amp;$J$11&amp;", "&amp;H$12,'FE Energie'!$G:$U,10,FALSE)),0,VLOOKUP($B16&amp;"; "&amp;$J$11&amp;", "&amp;H$12,'FE Energie'!$G:$U,10,FALSE))
+$L16*IF(ISNA(VLOOKUP($B16&amp;"; "&amp;$M$11&amp;", "&amp;H$12,'FE Energie'!$G:$U,10,FALSE)),0,VLOOKUP($B16&amp;"; "&amp;$M$11&amp;", "&amp;H$12,'FE Energie'!$G:$U,10,FALSE))
+$O16*IF(ISNA(VLOOKUP($B16&amp;"; "&amp;$P$11&amp;", "&amp;H$12,'FE Energie'!$G:$U,10,FALSE)),0,VLOOKUP($B16&amp;"; "&amp;$P$11&amp;", "&amp;H$12,'FE Energie'!$G:$U,10,FALSE))</f>
        <v>10342.596</v>
      </c>
      <c r="AG16" s="620">
        <f>$F16*IF(ISNA((VLOOKUP($B16&amp;"; "&amp;$G$11&amp;", "&amp;G$12,'FE Energie'!$G:$U,12,FALSE)+VLOOKUP($B16&amp;"; "&amp;$G$11&amp;", "&amp;G$12,'FE Energie'!$G:$U,11,FALSE))),0,(VLOOKUP($B16&amp;"; "&amp;$G$11&amp;", "&amp;G$12,'FE Energie'!$G:$U,12,FALSE)+VLOOKUP($B16&amp;"; "&amp;$G$11&amp;", "&amp;G$12,'FE Energie'!$G:$U,11,FALSE)))
+$I16*IF(ISNA((VLOOKUP($B16&amp;"; "&amp;$J$11&amp;", "&amp;G$12,'FE Energie'!$G:$U,12,FALSE)+VLOOKUP($B16&amp;"; "&amp;$J$11&amp;", "&amp;G$12,'FE Energie'!$G:$U,11,FALSE))),0,(VLOOKUP($B16&amp;"; "&amp;$J$11&amp;", "&amp;G$12,'FE Energie'!$G:$U,12,FALSE)+VLOOKUP($B16&amp;"; "&amp;$J$11&amp;", "&amp;G$12,'FE Energie'!$G:$U,11,FALSE)))
+$L16*IF(ISNA((VLOOKUP($B16&amp;"; "&amp;$M$11&amp;", "&amp;G$12,'FE Energie'!$G:$U,12,FALSE)+VLOOKUP($B16&amp;"; "&amp;$M$11&amp;", "&amp;G$12,'FE Energie'!$G:$U,11,FALSE))),0,(VLOOKUP($B16&amp;"; "&amp;$M$11&amp;", "&amp;G$12,'FE Energie'!$G:$U,12,FALSE)+VLOOKUP($B16&amp;"; "&amp;$M$11&amp;", "&amp;G$12,'FE Energie'!$G:$U,11,FALSE)))
+$O16*IF(ISNA((VLOOKUP($B16&amp;"; "&amp;$P$11&amp;", "&amp;G$12,'FE Energie'!$G:$U,12,FALSE)+VLOOKUP($B16&amp;"; "&amp;$P$11&amp;", "&amp;G$12,'FE Energie'!$G:$U,11,FALSE))),0,(VLOOKUP($B16&amp;"; "&amp;$P$11&amp;", "&amp;G$12,'FE Energie'!$G:$U,12,FALSE)+VLOOKUP($B16&amp;"; "&amp;$P$11&amp;", "&amp;G$12,'FE Energie'!$G:$U,11,FALSE)))</f>
        <v>189.37459200000001</v>
      </c>
      <c r="AH16" s="620">
        <f>$F16*IF(ISNA((VLOOKUP($B16&amp;"; "&amp;$G$11&amp;", "&amp;H$12,'FE Energie'!$G:$U,12,FALSE)+VLOOKUP($B16&amp;"; "&amp;$G$11&amp;", "&amp;H$12,'FE Energie'!$G:$U,11,FALSE))),0,(VLOOKUP($B16&amp;"; "&amp;$G$11&amp;", "&amp;H$12,'FE Energie'!$G:$U,12,FALSE)+VLOOKUP($B16&amp;"; "&amp;$G$11&amp;", "&amp;H$12,'FE Energie'!$G:$U,11,FALSE)))
+$I16*IF(ISNA((VLOOKUP($B16&amp;"; "&amp;$J$11&amp;", "&amp;H$12,'FE Energie'!$G:$U,12,FALSE)+VLOOKUP($B16&amp;"; "&amp;$J$11&amp;", "&amp;H$12,'FE Energie'!$G:$U,11,FALSE))),0,(VLOOKUP($B16&amp;"; "&amp;$J$11&amp;", "&amp;H$12,'FE Energie'!$G:$U,12,FALSE)+VLOOKUP($B16&amp;"; "&amp;$J$11&amp;", "&amp;H$12,'FE Energie'!$G:$U,11,FALSE)))
+$L16*IF(ISNA((VLOOKUP($B16&amp;"; "&amp;$M$11&amp;", "&amp;H$12,'FE Energie'!$G:$U,12,FALSE)+VLOOKUP($B16&amp;"; "&amp;$M$11&amp;", "&amp;H$12,'FE Energie'!$G:$U,11,FALSE))),0,(VLOOKUP($B16&amp;"; "&amp;$M$11&amp;", "&amp;H$12,'FE Energie'!$G:$U,12,FALSE)+VLOOKUP($B16&amp;"; "&amp;$M$11&amp;", "&amp;H$12,'FE Energie'!$G:$U,11,FALSE)))
+$O16*IF(ISNA((VLOOKUP($B16&amp;"; "&amp;$P$11&amp;", "&amp;H$12,'FE Energie'!$G:$U,12,FALSE)+VLOOKUP($B16&amp;"; "&amp;$P$11&amp;", "&amp;H$12,'FE Energie'!$G:$U,11,FALSE))),0,(VLOOKUP($B16&amp;"; "&amp;$P$11&amp;", "&amp;H$12,'FE Energie'!$G:$U,12,FALSE)+VLOOKUP($B16&amp;"; "&amp;$P$11&amp;", "&amp;H$12,'FE Energie'!$G:$U,11,FALSE)))</f>
        <v>0</v>
      </c>
      <c r="AI16" s="620">
        <f>$F16*IF(ISNA(VLOOKUP($B16&amp;"; "&amp;$G$11&amp;", "&amp;G$12,'FE Energie'!$G:$U,13,FALSE)),0,VLOOKUP($B16&amp;"; "&amp;$G$11&amp;", "&amp;G$12,'FE Energie'!$G:$U,13,FALSE))
+$I16*IF(ISNA(VLOOKUP($B16&amp;"; "&amp;$J$11&amp;", "&amp;G$12,'FE Energie'!$G:$U,13,FALSE)),0,VLOOKUP($B16&amp;"; "&amp;$J$11&amp;", "&amp;G$12,'FE Energie'!$G:$U,13,FALSE))
+$L16*IF(ISNA(VLOOKUP($B16&amp;"; "&amp;$M$11&amp;", "&amp;G$12,'FE Energie'!$G:$U,13,FALSE)),0,VLOOKUP($B16&amp;"; "&amp;$M$11&amp;", "&amp;G$12,'FE Energie'!$G:$U,13,FALSE))
+$O16*IF(ISNA(VLOOKUP($B16&amp;"; "&amp;$P$11&amp;", "&amp;G$12,'FE Energie'!$G:$U,13,FALSE)),0,VLOOKUP($B16&amp;"; "&amp;$P$11&amp;", "&amp;G$12,'FE Energie'!$G:$U,13,FALSE))</f>
        <v>14.65662</v>
      </c>
      <c r="AJ16" s="620">
        <f>$F16*IF(ISNA(VLOOKUP($B16&amp;"; "&amp;$G$11&amp;", "&amp;H$12,'FE Energie'!$G:$U,13,FALSE)),0,VLOOKUP($B16&amp;"; "&amp;$G$11&amp;", "&amp;H$12,'FE Energie'!$G:$U,13,FALSE))
+$I16*IF(ISNA(VLOOKUP($B16&amp;"; "&amp;$J$11&amp;", "&amp;H$12,'FE Energie'!$G:$U,13,FALSE)),0,VLOOKUP($B16&amp;"; "&amp;$J$11&amp;", "&amp;H$12,'FE Energie'!$G:$U,13,FALSE))
+$L16*IF(ISNA(VLOOKUP($B16&amp;"; "&amp;$M$11&amp;", "&amp;H$12,'FE Energie'!$G:$U,13,FALSE)),0,VLOOKUP($B16&amp;"; "&amp;$M$11&amp;", "&amp;H$12,'FE Energie'!$G:$U,13,FALSE))
+$O16*IF(ISNA(VLOOKUP($B16&amp;"; "&amp;$P$11&amp;", "&amp;H$12,'FE Energie'!$G:$U,13,FALSE)),0,VLOOKUP($B16&amp;"; "&amp;$P$11&amp;", "&amp;H$12,'FE Energie'!$G:$U,13,FALSE))</f>
        <v>26.381916</v>
      </c>
      <c r="AK16" s="565">
        <f>$F16*IF(ISNA(VLOOKUP($B16&amp;"; "&amp;$G$11&amp;", "&amp;G$12,'FE Energie'!$G:$U,14,FALSE)),0,VLOOKUP($B16&amp;"; "&amp;$G$11&amp;", "&amp;G$12,'FE Energie'!$G:$U,14,FALSE))
+$I16*IF(ISNA(VLOOKUP($B16&amp;"; "&amp;$J$11&amp;", "&amp;G$12,'FE Energie'!$G:$U,14,FALSE)),0,VLOOKUP($B16&amp;"; "&amp;$J$11&amp;", "&amp;G$12,'FE Energie'!$G:$U,14,FALSE))
+$L16*IF(ISNA(VLOOKUP($B16&amp;"; "&amp;$M$11&amp;", "&amp;G$12,'FE Energie'!$G:$U,14,FALSE)),0,VLOOKUP($B16&amp;"; "&amp;$M$11&amp;", "&amp;G$12,'FE Energie'!$G:$U,14,FALSE))
+$O16*IF(ISNA(VLOOKUP($B16&amp;"; "&amp;$P$11&amp;", "&amp;G$12,'FE Energie'!$G:$U,14,FALSE)),0,VLOOKUP($B16&amp;"; "&amp;$P$11&amp;", "&amp;G$12,'FE Energie'!$G:$U,14,FALSE))</f>
        <v>680.28840000000002</v>
      </c>
      <c r="AL16" s="565">
        <f>$F16*IF(ISNA(VLOOKUP($B16&amp;"; "&amp;$G$11&amp;", "&amp;H$12,'FE Energie'!$G:$U,14,FALSE)),0,VLOOKUP($B16&amp;"; "&amp;$G$11&amp;", "&amp;H$12,'FE Energie'!$G:$U,14,FALSE))
+$I16*IF(ISNA(VLOOKUP($B16&amp;"; "&amp;$J$11&amp;", "&amp;H$12,'FE Energie'!$G:$U,14,FALSE)),0,VLOOKUP($B16&amp;"; "&amp;$J$11&amp;", "&amp;H$12,'FE Energie'!$G:$U,14,FALSE))
+$L16*IF(ISNA(VLOOKUP($B16&amp;"; "&amp;$M$11&amp;", "&amp;H$12,'FE Energie'!$G:$U,14,FALSE)),0,VLOOKUP($B16&amp;"; "&amp;$M$11&amp;", "&amp;H$12,'FE Energie'!$G:$U,14,FALSE))
+$O16*IF(ISNA(VLOOKUP($B16&amp;"; "&amp;$P$11&amp;", "&amp;H$12,'FE Energie'!$G:$U,14,FALSE)),0,VLOOKUP($B16&amp;"; "&amp;$P$11&amp;", "&amp;H$12,'FE Energie'!$G:$U,14,FALSE))</f>
        <v>0</v>
      </c>
      <c r="AM16" s="566">
        <f t="shared" si="0"/>
        <v>2195.1192120000001</v>
      </c>
      <c r="AN16" s="566">
        <f t="shared" si="0"/>
        <v>10368.977916</v>
      </c>
      <c r="AO16" s="564">
        <f>$F16*IF(ISNA(VLOOKUP($B16&amp;"; "&amp;$G$11&amp;", "&amp;G$12,'FE Energie'!$G:$U,15,FALSE)),0,VLOOKUP($B16&amp;"; "&amp;$G$11&amp;", "&amp;G$12,'FE Energie'!$G:$U,15,FALSE))
+$I16*IF(ISNA(VLOOKUP($B16&amp;"; "&amp;$J$11&amp;", "&amp;G$12,'FE Energie'!$G:$U,15,FALSE)),0,VLOOKUP($B16&amp;"; "&amp;$J$11&amp;", "&amp;G$12,'FE Energie'!$G:$U,15,FALSE))
+$L16*IF(ISNA(VLOOKUP($B16&amp;"; "&amp;$M$11&amp;", "&amp;G$12,'FE Energie'!$G:$U,15,FALSE)),0,VLOOKUP($B16&amp;"; "&amp;$M$11&amp;", "&amp;G$12,'FE Energie'!$G:$U,15,FALSE))
+$O16*IF(ISNA(VLOOKUP($B16&amp;"; "&amp;$P$11&amp;", "&amp;G$12,'FE Energie'!$G:$U,15,FALSE)),0,VLOOKUP($B16&amp;"; "&amp;$P$11&amp;", "&amp;G$12,'FE Energie'!$G:$U,15,FALSE))</f>
        <v>0</v>
      </c>
      <c r="AP16" s="568">
        <f>$F16*IF(ISNA(VLOOKUP($B16&amp;"; "&amp;$G$11&amp;", "&amp;H$12,'FE Energie'!$G:$U,15,FALSE)),0,VLOOKUP($B16&amp;"; "&amp;$G$11&amp;", "&amp;H$12,'FE Energie'!$G:$U,15,FALSE))
+$I16*IF(ISNA(VLOOKUP($B16&amp;"; "&amp;$J$11&amp;", "&amp;H$12,'FE Energie'!$G:$U,15,FALSE)),0,VLOOKUP($B16&amp;"; "&amp;$J$11&amp;", "&amp;H$12,'FE Energie'!$G:$U,15,FALSE))
+$L16*IF(ISNA(VLOOKUP($B16&amp;"; "&amp;$M$11&amp;", "&amp;H$12,'FE Energie'!$G:$U,15,FALSE)),0,VLOOKUP($B16&amp;"; "&amp;$M$11&amp;", "&amp;H$12,'FE Energie'!$G:$U,15,FALSE))
+$O16*IF(ISNA(VLOOKUP($B16&amp;"; "&amp;$P$11&amp;", "&amp;H$12,'FE Energie'!$G:$U,15,FALSE)),0,VLOOKUP($B16&amp;"; "&amp;$P$11&amp;", "&amp;H$12,'FE Energie'!$G:$U,15,FALSE))</f>
        <v>0</v>
      </c>
      <c r="AQ16" s="114"/>
      <c r="AR16" s="1065">
        <f>IF($X16&lt;&gt;"votre valeur :",IF(ISNA(VLOOKUP($X16,Utilitaires!$N$566:$O$571,2,FALSE)),,VLOOKUP($X16,Utilitaires!$N$566:$O$571,2,FALSE)),$Y16)</f>
        <v>0</v>
      </c>
      <c r="AS16" s="1065">
        <f>IF($X16&lt;&gt;"votre valeur :",IF(ISNA(VLOOKUP($X16,Utilitaires!$N$566:$O$571,2,FALSE)),,VLOOKUP($X16,Utilitaires!$N$566:$O$571,2,FALSE)),$Y16)</f>
        <v>0</v>
      </c>
      <c r="AT16" s="1065">
        <f>IF($X16&lt;&gt;"votre valeur :",IF(ISNA(VLOOKUP($X16,Utilitaires!$N$566:$O$571,2,FALSE)),,VLOOKUP($X16,Utilitaires!$N$566:$O$571,2,FALSE)),$Y16)</f>
        <v>0</v>
      </c>
      <c r="AU16" s="1167">
        <f>IF($X16&lt;&gt;"votre valeur :",IF(ISNA(VLOOKUP($X16,Utilitaires!$N$566:$O$571,2,FALSE)),,VLOOKUP($X16,Utilitaires!$N$566:$O$571,2,FALSE)),$Y16)</f>
        <v>0</v>
      </c>
      <c r="AV16" s="1068">
        <f>IF(ISNA(SQRT(SUMSQ(VLOOKUP($B16&amp;"; "&amp;$G$11&amp;", "&amp;$G$12,'FE Energie'!$G:$U,7,FALSE),$AR16))),0,SQRT(SUMSQ(VLOOKUP($B16&amp;"; "&amp;$G$11&amp;", "&amp;$G$12,'FE Energie'!$G:$U,7,FALSE),$AR16)))</f>
        <v>0</v>
      </c>
      <c r="AW16" s="1068">
        <f>IF(ISNA(SQRT(SUMSQ(VLOOKUP($B16&amp;"; "&amp;$J$11&amp;", "&amp;$J$12,'FE Energie'!$G:$U,7,FALSE),$AS16))),0,SQRT(SUMSQ(VLOOKUP($B16&amp;"; "&amp;$J$11&amp;", "&amp;$J$12,'FE Energie'!$G:$U,7,FALSE),$AS16)))</f>
        <v>0.05</v>
      </c>
      <c r="AX16" s="1068">
        <f>IF(ISNA(SQRT(SUMSQ(VLOOKUP($B16&amp;"; "&amp;$M$11&amp;", "&amp;$M$12,'FE Energie'!$G:$U,7,FALSE),$AT16))),0,SQRT(SUMSQ(VLOOKUP($B16&amp;"; "&amp;$M$11&amp;", "&amp;$M$12,'FE Energie'!$G:$U,7,FALSE),$AT16)))</f>
        <v>0.05</v>
      </c>
      <c r="AY16" s="1068">
        <f>IF(ISNA(SQRT(SUMSQ(VLOOKUP($B16&amp;"; "&amp;$P$11&amp;", "&amp;$P$12,'FE Energie'!$G:$U,7,FALSE),$AU16))),0,SQRT(SUMSQ(VLOOKUP($B16&amp;"; "&amp;$P$11&amp;", "&amp;$P$12,'FE Energie'!$G:$U,7,FALSE),$AU16)))</f>
        <v>0</v>
      </c>
      <c r="AZ16" s="1069">
        <f>IF(ISNA(SQRT(SUMSQ(VLOOKUP($B16&amp;"; "&amp;$G$11&amp;", "&amp;$H$12,'FE Energie'!$G:$U,7,FALSE),$AR16))),0,SQRT(SUMSQ(VLOOKUP($B16&amp;"; "&amp;$G$11&amp;", "&amp;$H$12,'FE Energie'!$G:$U,7,FALSE),$AR16)))</f>
        <v>0</v>
      </c>
      <c r="BA16" s="1070">
        <f>IF(ISNA(SQRT(SUMSQ(VLOOKUP($B16&amp;"; "&amp;$J$11&amp;", "&amp;$K$12,'FE Energie'!$G:$U,7,FALSE),$AS16))),0,SQRT(SUMSQ(VLOOKUP($B16&amp;"; "&amp;$J$11&amp;", "&amp;$K$12,'FE Energie'!$G:$U,7,FALSE),$AS16)))</f>
        <v>0.05</v>
      </c>
      <c r="BB16" s="1070">
        <f>IF(ISNA(SQRT(SUMSQ(VLOOKUP($B16&amp;"; "&amp;$M$11&amp;", "&amp;$N$12,'FE Energie'!$G:$U,7,FALSE),$AT16))),0,SQRT(SUMSQ(VLOOKUP($B16&amp;"; "&amp;$M$11&amp;", "&amp;$N$12,'FE Energie'!$G:$U,7,FALSE),$AT16)))</f>
        <v>0.05</v>
      </c>
      <c r="BC16" s="1071">
        <f>IF(ISNA(SQRT(SUMSQ(VLOOKUP($B16&amp;"; "&amp;$P$11&amp;", "&amp;$Q$12,'FE Energie'!$G:$U,7,FALSE),$AU16))),0,SQRT(SUMSQ(VLOOKUP($B16&amp;"; "&amp;$P$11&amp;", "&amp;$Q$12,'FE Energie'!$G:$U,7,FALSE),$AU16)))</f>
        <v>0</v>
      </c>
    </row>
    <row r="17" spans="1:55" s="116" customFormat="1" ht="12.75" customHeight="1" outlineLevel="1">
      <c r="A17" s="114"/>
      <c r="B17" s="143" t="s">
        <v>1627</v>
      </c>
      <c r="C17" s="144"/>
      <c r="D17" s="315">
        <f>SUM(R17,S17)</f>
        <v>0</v>
      </c>
      <c r="E17" s="345"/>
      <c r="F17" s="1548"/>
      <c r="G17" s="335" t="e">
        <f>VLOOKUP($B17&amp;"; "&amp;$G$11&amp;", "&amp;G$12,'FE Energie'!$G:$U,9,FALSE)</f>
        <v>#N/A</v>
      </c>
      <c r="H17" s="335" t="e">
        <f>VLOOKUP($B17&amp;"; "&amp;$G$11&amp;", "&amp;H$12,'FE Energie'!$G:$U,9,FALSE)</f>
        <v>#N/A</v>
      </c>
      <c r="I17" s="1548"/>
      <c r="J17" s="223" t="e">
        <f>VLOOKUP($B17&amp;"; "&amp;$J$11&amp;", "&amp;J$12,'FE Energie'!$G:$U,9,FALSE)</f>
        <v>#N/A</v>
      </c>
      <c r="K17" s="223" t="e">
        <f>VLOOKUP($B17&amp;"; "&amp;$J$11&amp;", "&amp;K$12,'FE Energie'!$G:$U,9,FALSE)</f>
        <v>#N/A</v>
      </c>
      <c r="L17" s="1548"/>
      <c r="M17" s="217" t="e">
        <f>VLOOKUP($B17&amp;"; "&amp;$M$11&amp;", "&amp;M$12,'FE Energie'!$G:$U,9,FALSE)</f>
        <v>#N/A</v>
      </c>
      <c r="N17" s="217" t="e">
        <f>VLOOKUP($B17&amp;"; "&amp;$M$11&amp;", "&amp;N$12,'FE Energie'!$G:$U,9,FALSE)</f>
        <v>#N/A</v>
      </c>
      <c r="O17" s="1548"/>
      <c r="P17" s="223" t="e">
        <f>VLOOKUP($B17&amp;"; "&amp;$P$11&amp;", "&amp;P$12,'FE Energie'!$G:$U,9,FALSE)</f>
        <v>#N/A</v>
      </c>
      <c r="Q17" s="223" t="e">
        <f>VLOOKUP($B17&amp;"; "&amp;$P$11&amp;", "&amp;Q$12,'FE Energie'!$G:$U,9,FALSE)</f>
        <v>#N/A</v>
      </c>
      <c r="R17" s="566">
        <f>IF(ISNA(F17*G17),0,F17*G17)+IF(ISNA(I17*J17),0,I17*J17)+IF(ISNA(L17*M17),0,L17*M17)+IF(ISNA(O17*P17),0,O17*P17)</f>
        <v>0</v>
      </c>
      <c r="S17" s="567">
        <f>IF(ISNA(F17*H17),0,F17*H17)+IF(ISNA(I17*K17),0,I17*K17)+IF(ISNA(L17*N17),0,L17*N17)+IF(ISNA(O17*Q17),0,O17*Q17)</f>
        <v>0</v>
      </c>
      <c r="T17" s="114"/>
      <c r="U17" s="114"/>
      <c r="V17" s="114"/>
      <c r="W17" s="1092">
        <f>IF(AC17=0,AC17,AC17/(R17+S17))</f>
        <v>0</v>
      </c>
      <c r="X17" s="345"/>
      <c r="Y17" s="820"/>
      <c r="Z17" s="1826">
        <f>SQRT(SUMSQ(IF(ISNA($F17*G17*AV17),0,$F17*G17*AV17),IF(ISNA($I17*J17*AW17),0,$I17*J17*AW17),IF(ISNA($L17*M17*AX17),0,$L17*M17*AX17),IF(ISNA($O17*P17*AY17),0,$O17*P17*AY17)))</f>
        <v>0</v>
      </c>
      <c r="AA17" s="1826">
        <f>SQRT(SUMSQ(IF(ISNA($F17*H17*AZ17),0,$F17*H17*AZ17),IF(ISNA($I17*K17*BA17),0,$I17*K17*BA17),IF(ISNA($L17*N17*BB17),0,$L17*N17*BB17),IF(ISNA($O17*Q17*BC17),0,$O17*Q17*BC17)))</f>
        <v>0</v>
      </c>
      <c r="AB17" s="1826"/>
      <c r="AC17" s="152">
        <f>SQRT(SUMSQ(Z17,AA17))</f>
        <v>0</v>
      </c>
      <c r="AE17" s="564">
        <f>$F17*IF(ISNA(VLOOKUP($B17&amp;"; "&amp;$G$11&amp;", "&amp;G$12,'FE Energie'!$G:$U,10,FALSE)),0,VLOOKUP($B17&amp;"; "&amp;$G$11&amp;", "&amp;G$12,'FE Energie'!$G:$U,10,FALSE))
+$I17*IF(ISNA(VLOOKUP($B17&amp;"; "&amp;$J$11&amp;", "&amp;G$12,'FE Energie'!$G:$U,10,FALSE)),0,VLOOKUP($B17&amp;"; "&amp;$J$11&amp;", "&amp;G$12,'FE Energie'!$G:$U,10,FALSE))
+$L17*IF(ISNA(VLOOKUP($B17&amp;"; "&amp;$M$11&amp;", "&amp;G$12,'FE Energie'!$G:$U,10,FALSE)),0,VLOOKUP($B17&amp;"; "&amp;$M$11&amp;", "&amp;G$12,'FE Energie'!$G:$U,10,FALSE))
+$O17*IF(ISNA(VLOOKUP($B17&amp;"; "&amp;$P$11&amp;", "&amp;G$12,'FE Energie'!$G:$U,10,FALSE)),0,VLOOKUP($B17&amp;"; "&amp;$P$11&amp;", "&amp;G$12,'FE Energie'!$G:$U,10,FALSE))</f>
        <v>0</v>
      </c>
      <c r="AF17" s="565">
        <f>$F17*IF(ISNA(VLOOKUP($B17&amp;"; "&amp;$G$11&amp;", "&amp;H$12,'FE Energie'!$G:$U,10,FALSE)),0,VLOOKUP($B17&amp;"; "&amp;$G$11&amp;", "&amp;H$12,'FE Energie'!$G:$U,10,FALSE))
+$I17*IF(ISNA(VLOOKUP($B17&amp;"; "&amp;$J$11&amp;", "&amp;H$12,'FE Energie'!$G:$U,10,FALSE)),0,VLOOKUP($B17&amp;"; "&amp;$J$11&amp;", "&amp;H$12,'FE Energie'!$G:$U,10,FALSE))
+$L17*IF(ISNA(VLOOKUP($B17&amp;"; "&amp;$M$11&amp;", "&amp;H$12,'FE Energie'!$G:$U,10,FALSE)),0,VLOOKUP($B17&amp;"; "&amp;$M$11&amp;", "&amp;H$12,'FE Energie'!$G:$U,10,FALSE))
+$O17*IF(ISNA(VLOOKUP($B17&amp;"; "&amp;$P$11&amp;", "&amp;H$12,'FE Energie'!$G:$U,10,FALSE)),0,VLOOKUP($B17&amp;"; "&amp;$P$11&amp;", "&amp;H$12,'FE Energie'!$G:$U,10,FALSE))</f>
        <v>0</v>
      </c>
      <c r="AG17" s="620">
        <f>$F17*IF(ISNA((VLOOKUP($B17&amp;"; "&amp;$G$11&amp;", "&amp;G$12,'FE Energie'!$G:$U,12,FALSE)+VLOOKUP($B17&amp;"; "&amp;$G$11&amp;", "&amp;G$12,'FE Energie'!$G:$U,11,FALSE))),0,(VLOOKUP($B17&amp;"; "&amp;$G$11&amp;", "&amp;G$12,'FE Energie'!$G:$U,12,FALSE)+VLOOKUP($B17&amp;"; "&amp;$G$11&amp;", "&amp;G$12,'FE Energie'!$G:$U,11,FALSE)))
+$I17*IF(ISNA((VLOOKUP($B17&amp;"; "&amp;$J$11&amp;", "&amp;G$12,'FE Energie'!$G:$U,12,FALSE)+VLOOKUP($B17&amp;"; "&amp;$J$11&amp;", "&amp;G$12,'FE Energie'!$G:$U,11,FALSE))),0,(VLOOKUP($B17&amp;"; "&amp;$J$11&amp;", "&amp;G$12,'FE Energie'!$G:$U,12,FALSE)+VLOOKUP($B17&amp;"; "&amp;$J$11&amp;", "&amp;G$12,'FE Energie'!$G:$U,11,FALSE)))
+$L17*IF(ISNA((VLOOKUP($B17&amp;"; "&amp;$M$11&amp;", "&amp;G$12,'FE Energie'!$G:$U,12,FALSE)+VLOOKUP($B17&amp;"; "&amp;$M$11&amp;", "&amp;G$12,'FE Energie'!$G:$U,11,FALSE))),0,(VLOOKUP($B17&amp;"; "&amp;$M$11&amp;", "&amp;G$12,'FE Energie'!$G:$U,12,FALSE)+VLOOKUP($B17&amp;"; "&amp;$M$11&amp;", "&amp;G$12,'FE Energie'!$G:$U,11,FALSE)))
+$O17*IF(ISNA((VLOOKUP($B17&amp;"; "&amp;$P$11&amp;", "&amp;G$12,'FE Energie'!$G:$U,12,FALSE)+VLOOKUP($B17&amp;"; "&amp;$P$11&amp;", "&amp;G$12,'FE Energie'!$G:$U,11,FALSE))),0,(VLOOKUP($B17&amp;"; "&amp;$P$11&amp;", "&amp;G$12,'FE Energie'!$G:$U,12,FALSE)+VLOOKUP($B17&amp;"; "&amp;$P$11&amp;", "&amp;G$12,'FE Energie'!$G:$U,11,FALSE)))</f>
        <v>0</v>
      </c>
      <c r="AH17" s="620">
        <f>$F17*IF(ISNA((VLOOKUP($B17&amp;"; "&amp;$G$11&amp;", "&amp;H$12,'FE Energie'!$G:$U,12,FALSE)+VLOOKUP($B17&amp;"; "&amp;$G$11&amp;", "&amp;H$12,'FE Energie'!$G:$U,11,FALSE))),0,(VLOOKUP($B17&amp;"; "&amp;$G$11&amp;", "&amp;H$12,'FE Energie'!$G:$U,12,FALSE)+VLOOKUP($B17&amp;"; "&amp;$G$11&amp;", "&amp;H$12,'FE Energie'!$G:$U,11,FALSE)))
+$I17*IF(ISNA((VLOOKUP($B17&amp;"; "&amp;$J$11&amp;", "&amp;H$12,'FE Energie'!$G:$U,12,FALSE)+VLOOKUP($B17&amp;"; "&amp;$J$11&amp;", "&amp;H$12,'FE Energie'!$G:$U,11,FALSE))),0,(VLOOKUP($B17&amp;"; "&amp;$J$11&amp;", "&amp;H$12,'FE Energie'!$G:$U,12,FALSE)+VLOOKUP($B17&amp;"; "&amp;$J$11&amp;", "&amp;H$12,'FE Energie'!$G:$U,11,FALSE)))
+$L17*IF(ISNA((VLOOKUP($B17&amp;"; "&amp;$M$11&amp;", "&amp;H$12,'FE Energie'!$G:$U,12,FALSE)+VLOOKUP($B17&amp;"; "&amp;$M$11&amp;", "&amp;H$12,'FE Energie'!$G:$U,11,FALSE))),0,(VLOOKUP($B17&amp;"; "&amp;$M$11&amp;", "&amp;H$12,'FE Energie'!$G:$U,12,FALSE)+VLOOKUP($B17&amp;"; "&amp;$M$11&amp;", "&amp;H$12,'FE Energie'!$G:$U,11,FALSE)))
+$O17*IF(ISNA((VLOOKUP($B17&amp;"; "&amp;$P$11&amp;", "&amp;H$12,'FE Energie'!$G:$U,12,FALSE)+VLOOKUP($B17&amp;"; "&amp;$P$11&amp;", "&amp;H$12,'FE Energie'!$G:$U,11,FALSE))),0,(VLOOKUP($B17&amp;"; "&amp;$P$11&amp;", "&amp;H$12,'FE Energie'!$G:$U,12,FALSE)+VLOOKUP($B17&amp;"; "&amp;$P$11&amp;", "&amp;H$12,'FE Energie'!$G:$U,11,FALSE)))</f>
        <v>0</v>
      </c>
      <c r="AI17" s="620">
        <f>$F17*IF(ISNA(VLOOKUP($B17&amp;"; "&amp;$G$11&amp;", "&amp;G$12,'FE Energie'!$G:$U,13,FALSE)),0,VLOOKUP($B17&amp;"; "&amp;$G$11&amp;", "&amp;G$12,'FE Energie'!$G:$U,13,FALSE))
+$I17*IF(ISNA(VLOOKUP($B17&amp;"; "&amp;$J$11&amp;", "&amp;G$12,'FE Energie'!$G:$U,13,FALSE)),0,VLOOKUP($B17&amp;"; "&amp;$J$11&amp;", "&amp;G$12,'FE Energie'!$G:$U,13,FALSE))
+$L17*IF(ISNA(VLOOKUP($B17&amp;"; "&amp;$M$11&amp;", "&amp;G$12,'FE Energie'!$G:$U,13,FALSE)),0,VLOOKUP($B17&amp;"; "&amp;$M$11&amp;", "&amp;G$12,'FE Energie'!$G:$U,13,FALSE))
+$O17*IF(ISNA(VLOOKUP($B17&amp;"; "&amp;$P$11&amp;", "&amp;G$12,'FE Energie'!$G:$U,13,FALSE)),0,VLOOKUP($B17&amp;"; "&amp;$P$11&amp;", "&amp;G$12,'FE Energie'!$G:$U,13,FALSE))</f>
        <v>0</v>
      </c>
      <c r="AJ17" s="620">
        <f>$F17*IF(ISNA(VLOOKUP($B17&amp;"; "&amp;$G$11&amp;", "&amp;H$12,'FE Energie'!$G:$U,13,FALSE)),0,VLOOKUP($B17&amp;"; "&amp;$G$11&amp;", "&amp;H$12,'FE Energie'!$G:$U,13,FALSE))
+$I17*IF(ISNA(VLOOKUP($B17&amp;"; "&amp;$J$11&amp;", "&amp;H$12,'FE Energie'!$G:$U,13,FALSE)),0,VLOOKUP($B17&amp;"; "&amp;$J$11&amp;", "&amp;H$12,'FE Energie'!$G:$U,13,FALSE))
+$L17*IF(ISNA(VLOOKUP($B17&amp;"; "&amp;$M$11&amp;", "&amp;H$12,'FE Energie'!$G:$U,13,FALSE)),0,VLOOKUP($B17&amp;"; "&amp;$M$11&amp;", "&amp;H$12,'FE Energie'!$G:$U,13,FALSE))
+$O17*IF(ISNA(VLOOKUP($B17&amp;"; "&amp;$P$11&amp;", "&amp;H$12,'FE Energie'!$G:$U,13,FALSE)),0,VLOOKUP($B17&amp;"; "&amp;$P$11&amp;", "&amp;H$12,'FE Energie'!$G:$U,13,FALSE))</f>
        <v>0</v>
      </c>
      <c r="AK17" s="565">
        <f>$F17*IF(ISNA(VLOOKUP($B17&amp;"; "&amp;$G$11&amp;", "&amp;G$12,'FE Energie'!$G:$U,14,FALSE)),0,VLOOKUP($B17&amp;"; "&amp;$G$11&amp;", "&amp;G$12,'FE Energie'!$G:$U,14,FALSE))
+$I17*IF(ISNA(VLOOKUP($B17&amp;"; "&amp;$J$11&amp;", "&amp;G$12,'FE Energie'!$G:$U,14,FALSE)),0,VLOOKUP($B17&amp;"; "&amp;$J$11&amp;", "&amp;G$12,'FE Energie'!$G:$U,14,FALSE))
+$L17*IF(ISNA(VLOOKUP($B17&amp;"; "&amp;$M$11&amp;", "&amp;G$12,'FE Energie'!$G:$U,14,FALSE)),0,VLOOKUP($B17&amp;"; "&amp;$M$11&amp;", "&amp;G$12,'FE Energie'!$G:$U,14,FALSE))
+$O17*IF(ISNA(VLOOKUP($B17&amp;"; "&amp;$P$11&amp;", "&amp;G$12,'FE Energie'!$G:$U,14,FALSE)),0,VLOOKUP($B17&amp;"; "&amp;$P$11&amp;", "&amp;G$12,'FE Energie'!$G:$U,14,FALSE))</f>
        <v>0</v>
      </c>
      <c r="AL17" s="565">
        <f>$F17*IF(ISNA(VLOOKUP($B17&amp;"; "&amp;$G$11&amp;", "&amp;H$12,'FE Energie'!$G:$U,14,FALSE)),0,VLOOKUP($B17&amp;"; "&amp;$G$11&amp;", "&amp;H$12,'FE Energie'!$G:$U,14,FALSE))
+$I17*IF(ISNA(VLOOKUP($B17&amp;"; "&amp;$J$11&amp;", "&amp;H$12,'FE Energie'!$G:$U,14,FALSE)),0,VLOOKUP($B17&amp;"; "&amp;$J$11&amp;", "&amp;H$12,'FE Energie'!$G:$U,14,FALSE))
+$L17*IF(ISNA(VLOOKUP($B17&amp;"; "&amp;$M$11&amp;", "&amp;H$12,'FE Energie'!$G:$U,14,FALSE)),0,VLOOKUP($B17&amp;"; "&amp;$M$11&amp;", "&amp;H$12,'FE Energie'!$G:$U,14,FALSE))
+$O17*IF(ISNA(VLOOKUP($B17&amp;"; "&amp;$P$11&amp;", "&amp;H$12,'FE Energie'!$G:$U,14,FALSE)),0,VLOOKUP($B17&amp;"; "&amp;$P$11&amp;", "&amp;H$12,'FE Energie'!$G:$U,14,FALSE))</f>
        <v>0</v>
      </c>
      <c r="AM17" s="566">
        <f t="shared" si="0"/>
        <v>0</v>
      </c>
      <c r="AN17" s="566">
        <f t="shared" si="0"/>
        <v>0</v>
      </c>
      <c r="AO17" s="564">
        <f>$F17*IF(ISNA(VLOOKUP($B17&amp;"; "&amp;$G$11&amp;", "&amp;G$12,'FE Energie'!$G:$U,15,FALSE)),0,VLOOKUP($B17&amp;"; "&amp;$G$11&amp;", "&amp;G$12,'FE Energie'!$G:$U,15,FALSE))
+$I17*IF(ISNA(VLOOKUP($B17&amp;"; "&amp;$J$11&amp;", "&amp;G$12,'FE Energie'!$G:$U,15,FALSE)),0,VLOOKUP($B17&amp;"; "&amp;$J$11&amp;", "&amp;G$12,'FE Energie'!$G:$U,15,FALSE))
+$L17*IF(ISNA(VLOOKUP($B17&amp;"; "&amp;$M$11&amp;", "&amp;G$12,'FE Energie'!$G:$U,15,FALSE)),0,VLOOKUP($B17&amp;"; "&amp;$M$11&amp;", "&amp;G$12,'FE Energie'!$G:$U,15,FALSE))
+$O17*IF(ISNA(VLOOKUP($B17&amp;"; "&amp;$P$11&amp;", "&amp;G$12,'FE Energie'!$G:$U,15,FALSE)),0,VLOOKUP($B17&amp;"; "&amp;$P$11&amp;", "&amp;G$12,'FE Energie'!$G:$U,15,FALSE))</f>
        <v>0</v>
      </c>
      <c r="AP17" s="568">
        <f>$F17*IF(ISNA(VLOOKUP($B17&amp;"; "&amp;$G$11&amp;", "&amp;H$12,'FE Energie'!$G:$U,15,FALSE)),0,VLOOKUP($B17&amp;"; "&amp;$G$11&amp;", "&amp;H$12,'FE Energie'!$G:$U,15,FALSE))
+$I17*IF(ISNA(VLOOKUP($B17&amp;"; "&amp;$J$11&amp;", "&amp;H$12,'FE Energie'!$G:$U,15,FALSE)),0,VLOOKUP($B17&amp;"; "&amp;$J$11&amp;", "&amp;H$12,'FE Energie'!$G:$U,15,FALSE))
+$L17*IF(ISNA(VLOOKUP($B17&amp;"; "&amp;$M$11&amp;", "&amp;H$12,'FE Energie'!$G:$U,15,FALSE)),0,VLOOKUP($B17&amp;"; "&amp;$M$11&amp;", "&amp;H$12,'FE Energie'!$G:$U,15,FALSE))
+$O17*IF(ISNA(VLOOKUP($B17&amp;"; "&amp;$P$11&amp;", "&amp;H$12,'FE Energie'!$G:$U,15,FALSE)),0,VLOOKUP($B17&amp;"; "&amp;$P$11&amp;", "&amp;H$12,'FE Energie'!$G:$U,15,FALSE))</f>
        <v>0</v>
      </c>
      <c r="AQ17" s="114"/>
      <c r="AR17" s="1065">
        <f>IF($X17&lt;&gt;"votre valeur :",IF(ISNA(VLOOKUP($X17,Utilitaires!$N$566:$O$571,2,FALSE)),,VLOOKUP($X17,Utilitaires!$N$566:$O$571,2,FALSE)),$Y17)</f>
        <v>0</v>
      </c>
      <c r="AS17" s="1065">
        <f>IF($X17&lt;&gt;"votre valeur :",IF(ISNA(VLOOKUP($X17,Utilitaires!$N$566:$O$571,2,FALSE)),,VLOOKUP($X17,Utilitaires!$N$566:$O$571,2,FALSE)),$Y17)</f>
        <v>0</v>
      </c>
      <c r="AT17" s="1065">
        <f>IF($X17&lt;&gt;"votre valeur :",IF(ISNA(VLOOKUP($X17,Utilitaires!$N$566:$O$571,2,FALSE)),,VLOOKUP($X17,Utilitaires!$N$566:$O$571,2,FALSE)),$Y17)</f>
        <v>0</v>
      </c>
      <c r="AU17" s="1167">
        <f>IF($X17&lt;&gt;"votre valeur :",IF(ISNA(VLOOKUP($X17,Utilitaires!$N$566:$O$571,2,FALSE)),,VLOOKUP($X17,Utilitaires!$N$566:$O$571,2,FALSE)),$Y17)</f>
        <v>0</v>
      </c>
      <c r="AV17" s="1068">
        <f>IF(ISNA(SQRT(SUMSQ(VLOOKUP($B17&amp;"; "&amp;$G$11&amp;", "&amp;$G$12,'FE Energie'!$G:$U,7,FALSE),$AR17))),0,SQRT(SUMSQ(VLOOKUP($B17&amp;"; "&amp;$G$11&amp;", "&amp;$G$12,'FE Energie'!$G:$U,7,FALSE),$AR17)))</f>
        <v>0</v>
      </c>
      <c r="AW17" s="1068">
        <f>IF(ISNA(SQRT(SUMSQ(VLOOKUP($B17&amp;"; "&amp;$J$11&amp;", "&amp;$J$12,'FE Energie'!$G:$U,7,FALSE),$AS17))),0,SQRT(SUMSQ(VLOOKUP($B17&amp;"; "&amp;$J$11&amp;", "&amp;$J$12,'FE Energie'!$G:$U,7,FALSE),$AS17)))</f>
        <v>0</v>
      </c>
      <c r="AX17" s="1068">
        <f>IF(ISNA(SQRT(SUMSQ(VLOOKUP($B17&amp;"; "&amp;$M$11&amp;", "&amp;$M$12,'FE Energie'!$G:$U,7,FALSE),$AT17))),0,SQRT(SUMSQ(VLOOKUP($B17&amp;"; "&amp;$M$11&amp;", "&amp;$M$12,'FE Energie'!$G:$U,7,FALSE),$AT17)))</f>
        <v>0</v>
      </c>
      <c r="AY17" s="1068">
        <f>IF(ISNA(SQRT(SUMSQ(VLOOKUP($B17&amp;"; "&amp;$P$11&amp;", "&amp;$P$12,'FE Energie'!$G:$U,7,FALSE),$AU17))),0,SQRT(SUMSQ(VLOOKUP($B17&amp;"; "&amp;$P$11&amp;", "&amp;$P$12,'FE Energie'!$G:$U,7,FALSE),$AU17)))</f>
        <v>0</v>
      </c>
      <c r="AZ17" s="1069">
        <f>IF(ISNA(SQRT(SUMSQ(VLOOKUP($B17&amp;"; "&amp;$G$11&amp;", "&amp;$H$12,'FE Energie'!$G:$U,7,FALSE),$AR17))),0,SQRT(SUMSQ(VLOOKUP($B17&amp;"; "&amp;$G$11&amp;", "&amp;$H$12,'FE Energie'!$G:$U,7,FALSE),$AR17)))</f>
        <v>0</v>
      </c>
      <c r="BA17" s="1070">
        <f>IF(ISNA(SQRT(SUMSQ(VLOOKUP($B17&amp;"; "&amp;$J$11&amp;", "&amp;$K$12,'FE Energie'!$G:$U,7,FALSE),$AS17))),0,SQRT(SUMSQ(VLOOKUP($B17&amp;"; "&amp;$J$11&amp;", "&amp;$K$12,'FE Energie'!$G:$U,7,FALSE),$AS17)))</f>
        <v>0</v>
      </c>
      <c r="BB17" s="1070">
        <f>IF(ISNA(SQRT(SUMSQ(VLOOKUP($B17&amp;"; "&amp;$M$11&amp;", "&amp;$N$12,'FE Energie'!$G:$U,7,FALSE),$AT17))),0,SQRT(SUMSQ(VLOOKUP($B17&amp;"; "&amp;$M$11&amp;", "&amp;$N$12,'FE Energie'!$G:$U,7,FALSE),$AT17)))</f>
        <v>0</v>
      </c>
      <c r="BC17" s="1071">
        <f>IF(ISNA(SQRT(SUMSQ(VLOOKUP($B17&amp;"; "&amp;$P$11&amp;", "&amp;$Q$12,'FE Energie'!$G:$U,7,FALSE),$AU17))),0,SQRT(SUMSQ(VLOOKUP($B17&amp;"; "&amp;$P$11&amp;", "&amp;$Q$12,'FE Energie'!$G:$U,7,FALSE),$AU17)))</f>
        <v>0</v>
      </c>
    </row>
    <row r="18" spans="1:55" s="116" customFormat="1" ht="12.75" customHeight="1" outlineLevel="1">
      <c r="A18" s="114"/>
      <c r="B18" s="536" t="s">
        <v>1628</v>
      </c>
      <c r="C18" s="144"/>
      <c r="D18" s="315"/>
      <c r="E18" s="822"/>
      <c r="F18" s="1583"/>
      <c r="G18" s="335"/>
      <c r="H18" s="335"/>
      <c r="I18" s="1583"/>
      <c r="J18" s="223"/>
      <c r="K18" s="223"/>
      <c r="L18" s="1583"/>
      <c r="M18" s="217"/>
      <c r="N18" s="217"/>
      <c r="O18" s="1583"/>
      <c r="P18" s="223"/>
      <c r="Q18" s="223"/>
      <c r="R18" s="566"/>
      <c r="S18" s="567"/>
      <c r="T18" s="114"/>
      <c r="U18" s="114"/>
      <c r="V18" s="114"/>
      <c r="W18" s="1092"/>
      <c r="X18" s="820"/>
      <c r="Y18" s="820"/>
      <c r="Z18" s="1826"/>
      <c r="AA18" s="1826"/>
      <c r="AB18" s="1826"/>
      <c r="AC18" s="152"/>
      <c r="AE18" s="564"/>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customHeight="1" outlineLevel="1">
      <c r="A19" s="114"/>
      <c r="B19" s="143" t="s">
        <v>1629</v>
      </c>
      <c r="C19" s="144"/>
      <c r="D19" s="315">
        <f>SUM(R19,S19)</f>
        <v>357610</v>
      </c>
      <c r="E19" s="344" t="s">
        <v>526</v>
      </c>
      <c r="F19" s="1584"/>
      <c r="G19" s="335">
        <f>VLOOKUP($B19&amp;"; "&amp;$G$11&amp;", "&amp;G$12,'FE Energie'!$G:$U,9,FALSE)</f>
        <v>0.67600000000000005</v>
      </c>
      <c r="H19" s="335">
        <f>VLOOKUP($B19&amp;"; "&amp;$G$11&amp;", "&amp;H$12,'FE Energie'!$G:$U,9,FALSE)</f>
        <v>3.17</v>
      </c>
      <c r="I19" s="1584"/>
      <c r="J19" s="223">
        <f>VLOOKUP($B19&amp;"; "&amp;$J$11&amp;", "&amp;J$12,'FE Energie'!$G:$U,9,FALSE)</f>
        <v>5.2699999999999997E-2</v>
      </c>
      <c r="K19" s="223">
        <f>VLOOKUP($B19&amp;"; "&amp;$J$11&amp;", "&amp;K$12,'FE Energie'!$G:$U,9,FALSE)</f>
        <v>0.27200000000000002</v>
      </c>
      <c r="L19" s="1584"/>
      <c r="M19" s="217">
        <f>VLOOKUP($B19&amp;"; "&amp;$M$11&amp;", "&amp;M$12,'FE Energie'!$G:$U,9,FALSE)</f>
        <v>529</v>
      </c>
      <c r="N19" s="217">
        <f>VLOOKUP($B19&amp;"; "&amp;$M$11&amp;", "&amp;N$12,'FE Energie'!$G:$U,9,FALSE)</f>
        <v>3170</v>
      </c>
      <c r="O19" s="1584">
        <v>110000</v>
      </c>
      <c r="P19" s="223">
        <f>VLOOKUP($B19&amp;"; "&amp;$P$11&amp;", "&amp;P$12,'FE Energie'!$G:$U,9,FALSE)</f>
        <v>0.57099999999999995</v>
      </c>
      <c r="Q19" s="223">
        <f>VLOOKUP($B19&amp;"; "&amp;$P$11&amp;", "&amp;Q$12,'FE Energie'!$G:$U,9,FALSE)</f>
        <v>2.68</v>
      </c>
      <c r="R19" s="566">
        <f>IF(ISNA(F19*G19),0,F19*G19)+IF(ISNA(I19*J19),0,I19*J19)+IF(ISNA(L19*M19),0,L19*M19)+IF(ISNA(O19*P19),0,O19*P19)</f>
        <v>62809.999999999993</v>
      </c>
      <c r="S19" s="567">
        <f>IF(ISNA(F19*H19),0,F19*H19)+IF(ISNA(I19*K19),0,I19*K19)+IF(ISNA(L19*N19),0,L19*N19)+IF(ISNA(O19*Q19),0,O19*Q19)</f>
        <v>294800</v>
      </c>
      <c r="T19" s="114"/>
      <c r="U19" s="114"/>
      <c r="V19" s="114"/>
      <c r="W19" s="1092">
        <f>IF(AC19=0,AC19,AC19/(R19+S19))</f>
        <v>4.2143239970096662E-2</v>
      </c>
      <c r="X19" s="343"/>
      <c r="Y19" s="820"/>
      <c r="Z19" s="1826">
        <f>SQRT(SUMSQ(IF(ISNA($F19*G19*AV19),0,$F19*G19*AV19),IF(ISNA($I19*J19*AW19),0,$I19*J19*AW19),IF(ISNA($L19*M19*AX19),0,$L19*M19*AX19),IF(ISNA($O19*P19*AY19),0,$O19*P19*AY19)))</f>
        <v>3140.5</v>
      </c>
      <c r="AA19" s="1826">
        <f>SQRT(SUMSQ(IF(ISNA($F19*H19*AZ19),0,$F19*H19*AZ19),IF(ISNA($I19*K19*BA19),0,$I19*K19*BA19),IF(ISNA($L19*N19*BB19),0,$L19*N19*BB19),IF(ISNA($O19*Q19*BC19),0,$O19*Q19*BC19)))</f>
        <v>14740</v>
      </c>
      <c r="AB19" s="1826"/>
      <c r="AC19" s="152">
        <f>SQRT(SUMSQ(Z19,AA19))</f>
        <v>15070.844045706266</v>
      </c>
      <c r="AE19" s="564">
        <f>$F19*IF(ISNA(VLOOKUP($B19&amp;"; "&amp;$G$11&amp;", "&amp;G$12,'FE Energie'!$G:$U,10,FALSE)),0,VLOOKUP($B19&amp;"; "&amp;$G$11&amp;", "&amp;G$12,'FE Energie'!$G:$U,10,FALSE))
+$I19*IF(ISNA(VLOOKUP($B19&amp;"; "&amp;$J$11&amp;", "&amp;G$12,'FE Energie'!$G:$U,10,FALSE)),0,VLOOKUP($B19&amp;"; "&amp;$J$11&amp;", "&amp;G$12,'FE Energie'!$G:$U,10,FALSE))
+$L19*IF(ISNA(VLOOKUP($B19&amp;"; "&amp;$M$11&amp;", "&amp;G$12,'FE Energie'!$G:$U,10,FALSE)),0,VLOOKUP($B19&amp;"; "&amp;$M$11&amp;", "&amp;G$12,'FE Energie'!$G:$U,10,FALSE))
+$O19*IF(ISNA(VLOOKUP($B19&amp;"; "&amp;$P$11&amp;", "&amp;G$12,'FE Energie'!$G:$U,10,FALSE)),0,VLOOKUP($B19&amp;"; "&amp;$P$11&amp;", "&amp;G$12,'FE Energie'!$G:$U,10,FALSE))</f>
        <v>57090</v>
      </c>
      <c r="AF19" s="565">
        <f>$F19*IF(ISNA(VLOOKUP($B19&amp;"; "&amp;$G$11&amp;", "&amp;H$12,'FE Energie'!$G:$U,10,FALSE)),0,VLOOKUP($B19&amp;"; "&amp;$G$11&amp;", "&amp;H$12,'FE Energie'!$G:$U,10,FALSE))
+$I19*IF(ISNA(VLOOKUP($B19&amp;"; "&amp;$J$11&amp;", "&amp;H$12,'FE Energie'!$G:$U,10,FALSE)),0,VLOOKUP($B19&amp;"; "&amp;$J$11&amp;", "&amp;H$12,'FE Energie'!$G:$U,10,FALSE))
+$L19*IF(ISNA(VLOOKUP($B19&amp;"; "&amp;$M$11&amp;", "&amp;H$12,'FE Energie'!$G:$U,10,FALSE)),0,VLOOKUP($B19&amp;"; "&amp;$M$11&amp;", "&amp;H$12,'FE Energie'!$G:$U,10,FALSE))
+$O19*IF(ISNA(VLOOKUP($B19&amp;"; "&amp;$P$11&amp;", "&amp;H$12,'FE Energie'!$G:$U,10,FALSE)),0,VLOOKUP($B19&amp;"; "&amp;$P$11&amp;", "&amp;H$12,'FE Energie'!$G:$U,10,FALSE))</f>
        <v>292600</v>
      </c>
      <c r="AG19" s="620">
        <f>$F19*IF(ISNA((VLOOKUP($B19&amp;"; "&amp;$G$11&amp;", "&amp;G$12,'FE Energie'!$G:$U,12,FALSE)+VLOOKUP($B19&amp;"; "&amp;$G$11&amp;", "&amp;G$12,'FE Energie'!$G:$U,11,FALSE))),0,(VLOOKUP($B19&amp;"; "&amp;$G$11&amp;", "&amp;G$12,'FE Energie'!$G:$U,12,FALSE)+VLOOKUP($B19&amp;"; "&amp;$G$11&amp;", "&amp;G$12,'FE Energie'!$G:$U,11,FALSE)))
+$I19*IF(ISNA((VLOOKUP($B19&amp;"; "&amp;$J$11&amp;", "&amp;G$12,'FE Energie'!$G:$U,12,FALSE)+VLOOKUP($B19&amp;"; "&amp;$J$11&amp;", "&amp;G$12,'FE Energie'!$G:$U,11,FALSE))),0,(VLOOKUP($B19&amp;"; "&amp;$J$11&amp;", "&amp;G$12,'FE Energie'!$G:$U,12,FALSE)+VLOOKUP($B19&amp;"; "&amp;$J$11&amp;", "&amp;G$12,'FE Energie'!$G:$U,11,FALSE)))
+$L19*IF(ISNA((VLOOKUP($B19&amp;"; "&amp;$M$11&amp;", "&amp;G$12,'FE Energie'!$G:$U,12,FALSE)+VLOOKUP($B19&amp;"; "&amp;$M$11&amp;", "&amp;G$12,'FE Energie'!$G:$U,11,FALSE))),0,(VLOOKUP($B19&amp;"; "&amp;$M$11&amp;", "&amp;G$12,'FE Energie'!$G:$U,12,FALSE)+VLOOKUP($B19&amp;"; "&amp;$M$11&amp;", "&amp;G$12,'FE Energie'!$G:$U,11,FALSE)))
+$O19*IF(ISNA((VLOOKUP($B19&amp;"; "&amp;$P$11&amp;", "&amp;G$12,'FE Energie'!$G:$U,12,FALSE)+VLOOKUP($B19&amp;"; "&amp;$P$11&amp;", "&amp;G$12,'FE Energie'!$G:$U,11,FALSE))),0,(VLOOKUP($B19&amp;"; "&amp;$P$11&amp;", "&amp;G$12,'FE Energie'!$G:$U,12,FALSE)+VLOOKUP($B19&amp;"; "&amp;$P$11&amp;", "&amp;G$12,'FE Energie'!$G:$U,11,FALSE)))</f>
        <v>5676</v>
      </c>
      <c r="AH19" s="620">
        <f>$F19*IF(ISNA((VLOOKUP($B19&amp;"; "&amp;$G$11&amp;", "&amp;H$12,'FE Energie'!$G:$U,12,FALSE)+VLOOKUP($B19&amp;"; "&amp;$G$11&amp;", "&amp;H$12,'FE Energie'!$G:$U,11,FALSE))),0,(VLOOKUP($B19&amp;"; "&amp;$G$11&amp;", "&amp;H$12,'FE Energie'!$G:$U,12,FALSE)+VLOOKUP($B19&amp;"; "&amp;$G$11&amp;", "&amp;H$12,'FE Energie'!$G:$U,11,FALSE)))
+$I19*IF(ISNA((VLOOKUP($B19&amp;"; "&amp;$J$11&amp;", "&amp;H$12,'FE Energie'!$G:$U,12,FALSE)+VLOOKUP($B19&amp;"; "&amp;$J$11&amp;", "&amp;H$12,'FE Energie'!$G:$U,11,FALSE))),0,(VLOOKUP($B19&amp;"; "&amp;$J$11&amp;", "&amp;H$12,'FE Energie'!$G:$U,12,FALSE)+VLOOKUP($B19&amp;"; "&amp;$J$11&amp;", "&amp;H$12,'FE Energie'!$G:$U,11,FALSE)))
+$L19*IF(ISNA((VLOOKUP($B19&amp;"; "&amp;$M$11&amp;", "&amp;H$12,'FE Energie'!$G:$U,12,FALSE)+VLOOKUP($B19&amp;"; "&amp;$M$11&amp;", "&amp;H$12,'FE Energie'!$G:$U,11,FALSE))),0,(VLOOKUP($B19&amp;"; "&amp;$M$11&amp;", "&amp;H$12,'FE Energie'!$G:$U,12,FALSE)+VLOOKUP($B19&amp;"; "&amp;$M$11&amp;", "&amp;H$12,'FE Energie'!$G:$U,11,FALSE)))
+$O19*IF(ISNA((VLOOKUP($B19&amp;"; "&amp;$P$11&amp;", "&amp;H$12,'FE Energie'!$G:$U,12,FALSE)+VLOOKUP($B19&amp;"; "&amp;$P$11&amp;", "&amp;H$12,'FE Energie'!$G:$U,11,FALSE))),0,(VLOOKUP($B19&amp;"; "&amp;$P$11&amp;", "&amp;H$12,'FE Energie'!$G:$U,12,FALSE)+VLOOKUP($B19&amp;"; "&amp;$P$11&amp;", "&amp;H$12,'FE Energie'!$G:$U,11,FALSE)))</f>
        <v>234.29999999999998</v>
      </c>
      <c r="AI19" s="620">
        <f>$F19*IF(ISNA(VLOOKUP($B19&amp;"; "&amp;$G$11&amp;", "&amp;G$12,'FE Energie'!$G:$U,13,FALSE)),0,VLOOKUP($B19&amp;"; "&amp;$G$11&amp;", "&amp;G$12,'FE Energie'!$G:$U,13,FALSE))
+$I19*IF(ISNA(VLOOKUP($B19&amp;"; "&amp;$J$11&amp;", "&amp;G$12,'FE Energie'!$G:$U,13,FALSE)),0,VLOOKUP($B19&amp;"; "&amp;$J$11&amp;", "&amp;G$12,'FE Energie'!$G:$U,13,FALSE))
+$L19*IF(ISNA(VLOOKUP($B19&amp;"; "&amp;$M$11&amp;", "&amp;G$12,'FE Energie'!$G:$U,13,FALSE)),0,VLOOKUP($B19&amp;"; "&amp;$M$11&amp;", "&amp;G$12,'FE Energie'!$G:$U,13,FALSE))
+$O19*IF(ISNA(VLOOKUP($B19&amp;"; "&amp;$P$11&amp;", "&amp;G$12,'FE Energie'!$G:$U,13,FALSE)),0,VLOOKUP($B19&amp;"; "&amp;$P$11&amp;", "&amp;G$12,'FE Energie'!$G:$U,13,FALSE))</f>
        <v>0</v>
      </c>
      <c r="AJ19" s="620">
        <f>$F19*IF(ISNA(VLOOKUP($B19&amp;"; "&amp;$G$11&amp;", "&amp;H$12,'FE Energie'!$G:$U,13,FALSE)),0,VLOOKUP($B19&amp;"; "&amp;$G$11&amp;", "&amp;H$12,'FE Energie'!$G:$U,13,FALSE))
+$I19*IF(ISNA(VLOOKUP($B19&amp;"; "&amp;$J$11&amp;", "&amp;H$12,'FE Energie'!$G:$U,13,FALSE)),0,VLOOKUP($B19&amp;"; "&amp;$J$11&amp;", "&amp;H$12,'FE Energie'!$G:$U,13,FALSE))
+$L19*IF(ISNA(VLOOKUP($B19&amp;"; "&amp;$M$11&amp;", "&amp;H$12,'FE Energie'!$G:$U,13,FALSE)),0,VLOOKUP($B19&amp;"; "&amp;$M$11&amp;", "&amp;H$12,'FE Energie'!$G:$U,13,FALSE))
+$O19*IF(ISNA(VLOOKUP($B19&amp;"; "&amp;$P$11&amp;", "&amp;H$12,'FE Energie'!$G:$U,13,FALSE)),0,VLOOKUP($B19&amp;"; "&amp;$P$11&amp;", "&amp;H$12,'FE Energie'!$G:$U,13,FALSE))</f>
        <v>1551</v>
      </c>
      <c r="AK19" s="565">
        <f>$F19*IF(ISNA(VLOOKUP($B19&amp;"; "&amp;$G$11&amp;", "&amp;G$12,'FE Energie'!$G:$U,14,FALSE)),0,VLOOKUP($B19&amp;"; "&amp;$G$11&amp;", "&amp;G$12,'FE Energie'!$G:$U,14,FALSE))
+$I19*IF(ISNA(VLOOKUP($B19&amp;"; "&amp;$J$11&amp;", "&amp;G$12,'FE Energie'!$G:$U,14,FALSE)),0,VLOOKUP($B19&amp;"; "&amp;$J$11&amp;", "&amp;G$12,'FE Energie'!$G:$U,14,FALSE))
+$L19*IF(ISNA(VLOOKUP($B19&amp;"; "&amp;$M$11&amp;", "&amp;G$12,'FE Energie'!$G:$U,14,FALSE)),0,VLOOKUP($B19&amp;"; "&amp;$M$11&amp;", "&amp;G$12,'FE Energie'!$G:$U,14,FALSE))
+$O19*IF(ISNA(VLOOKUP($B19&amp;"; "&amp;$P$11&amp;", "&amp;G$12,'FE Energie'!$G:$U,14,FALSE)),0,VLOOKUP($B19&amp;"; "&amp;$P$11&amp;", "&amp;G$12,'FE Energie'!$G:$U,14,FALSE))</f>
        <v>0</v>
      </c>
      <c r="AL19" s="565">
        <f>$F19*IF(ISNA(VLOOKUP($B19&amp;"; "&amp;$G$11&amp;", "&amp;H$12,'FE Energie'!$G:$U,14,FALSE)),0,VLOOKUP($B19&amp;"; "&amp;$G$11&amp;", "&amp;H$12,'FE Energie'!$G:$U,14,FALSE))
+$I19*IF(ISNA(VLOOKUP($B19&amp;"; "&amp;$J$11&amp;", "&amp;H$12,'FE Energie'!$G:$U,14,FALSE)),0,VLOOKUP($B19&amp;"; "&amp;$J$11&amp;", "&amp;H$12,'FE Energie'!$G:$U,14,FALSE))
+$L19*IF(ISNA(VLOOKUP($B19&amp;"; "&amp;$M$11&amp;", "&amp;H$12,'FE Energie'!$G:$U,14,FALSE)),0,VLOOKUP($B19&amp;"; "&amp;$M$11&amp;", "&amp;H$12,'FE Energie'!$G:$U,14,FALSE))
+$O19*IF(ISNA(VLOOKUP($B19&amp;"; "&amp;$P$11&amp;", "&amp;H$12,'FE Energie'!$G:$U,14,FALSE)),0,VLOOKUP($B19&amp;"; "&amp;$P$11&amp;", "&amp;H$12,'FE Energie'!$G:$U,14,FALSE))</f>
        <v>0</v>
      </c>
      <c r="AM19" s="566">
        <f t="shared" si="0"/>
        <v>62766</v>
      </c>
      <c r="AN19" s="566">
        <f t="shared" si="0"/>
        <v>294385.3</v>
      </c>
      <c r="AO19" s="564">
        <f>$F19*IF(ISNA(VLOOKUP($B19&amp;"; "&amp;$G$11&amp;", "&amp;G$12,'FE Energie'!$G:$U,15,FALSE)),0,VLOOKUP($B19&amp;"; "&amp;$G$11&amp;", "&amp;G$12,'FE Energie'!$G:$U,15,FALSE))
+$I19*IF(ISNA(VLOOKUP($B19&amp;"; "&amp;$J$11&amp;", "&amp;G$12,'FE Energie'!$G:$U,15,FALSE)),0,VLOOKUP($B19&amp;"; "&amp;$J$11&amp;", "&amp;G$12,'FE Energie'!$G:$U,15,FALSE))
+$L19*IF(ISNA(VLOOKUP($B19&amp;"; "&amp;$M$11&amp;", "&amp;G$12,'FE Energie'!$G:$U,15,FALSE)),0,VLOOKUP($B19&amp;"; "&amp;$M$11&amp;", "&amp;G$12,'FE Energie'!$G:$U,15,FALSE))
+$O19*IF(ISNA(VLOOKUP($B19&amp;"; "&amp;$P$11&amp;", "&amp;G$12,'FE Energie'!$G:$U,15,FALSE)),0,VLOOKUP($B19&amp;"; "&amp;$P$11&amp;", "&amp;G$12,'FE Energie'!$G:$U,15,FALSE))</f>
        <v>0</v>
      </c>
      <c r="AP19" s="568">
        <f>$F19*IF(ISNA(VLOOKUP($B19&amp;"; "&amp;$G$11&amp;", "&amp;H$12,'FE Energie'!$G:$U,15,FALSE)),0,VLOOKUP($B19&amp;"; "&amp;$G$11&amp;", "&amp;H$12,'FE Energie'!$G:$U,15,FALSE))
+$I19*IF(ISNA(VLOOKUP($B19&amp;"; "&amp;$J$11&amp;", "&amp;H$12,'FE Energie'!$G:$U,15,FALSE)),0,VLOOKUP($B19&amp;"; "&amp;$J$11&amp;", "&amp;H$12,'FE Energie'!$G:$U,15,FALSE))
+$L19*IF(ISNA(VLOOKUP($B19&amp;"; "&amp;$M$11&amp;", "&amp;H$12,'FE Energie'!$G:$U,15,FALSE)),0,VLOOKUP($B19&amp;"; "&amp;$M$11&amp;", "&amp;H$12,'FE Energie'!$G:$U,15,FALSE))
+$O19*IF(ISNA(VLOOKUP($B19&amp;"; "&amp;$P$11&amp;", "&amp;H$12,'FE Energie'!$G:$U,15,FALSE)),0,VLOOKUP($B19&amp;"; "&amp;$P$11&amp;", "&amp;H$12,'FE Energie'!$G:$U,15,FALSE))</f>
        <v>0</v>
      </c>
      <c r="AQ19" s="114"/>
      <c r="AR19" s="1065">
        <f>IF($X19&lt;&gt;"votre valeur :",IF(ISNA(VLOOKUP($X19,Utilitaires!$N$566:$O$571,2,FALSE)),,VLOOKUP($X19,Utilitaires!$N$566:$O$571,2,FALSE)),$Y19)</f>
        <v>0</v>
      </c>
      <c r="AS19" s="1065">
        <f>IF($X19&lt;&gt;"votre valeur :",IF(ISNA(VLOOKUP($X19,Utilitaires!$N$566:$O$571,2,FALSE)),,VLOOKUP($X19,Utilitaires!$N$566:$O$571,2,FALSE)),$Y19)</f>
        <v>0</v>
      </c>
      <c r="AT19" s="1065">
        <f>IF($X19&lt;&gt;"votre valeur :",IF(ISNA(VLOOKUP($X19,Utilitaires!$N$566:$O$571,2,FALSE)),,VLOOKUP($X19,Utilitaires!$N$566:$O$571,2,FALSE)),$Y19)</f>
        <v>0</v>
      </c>
      <c r="AU19" s="1167">
        <f>IF($X19&lt;&gt;"votre valeur :",IF(ISNA(VLOOKUP($X19,Utilitaires!$N$566:$O$571,2,FALSE)),,VLOOKUP($X19,Utilitaires!$N$566:$O$571,2,FALSE)),$Y19)</f>
        <v>0</v>
      </c>
      <c r="AV19" s="1068">
        <f>IF(ISNA(SQRT(SUMSQ(VLOOKUP($B19&amp;"; "&amp;$G$11&amp;", "&amp;$G$12,'FE Energie'!$G:$U,7,FALSE),$AR19))),0,SQRT(SUMSQ(VLOOKUP($B19&amp;"; "&amp;$G$11&amp;", "&amp;$G$12,'FE Energie'!$G:$U,7,FALSE),$AR19)))</f>
        <v>0.05</v>
      </c>
      <c r="AW19" s="1068">
        <f>IF(ISNA(SQRT(SUMSQ(VLOOKUP($B19&amp;"; "&amp;$J$11&amp;", "&amp;$J$12,'FE Energie'!$G:$U,7,FALSE),$AS19))),0,SQRT(SUMSQ(VLOOKUP($B19&amp;"; "&amp;$J$11&amp;", "&amp;$J$12,'FE Energie'!$G:$U,7,FALSE),$AS19)))</f>
        <v>0.05</v>
      </c>
      <c r="AX19" s="1068">
        <f>IF(ISNA(SQRT(SUMSQ(VLOOKUP($B19&amp;"; "&amp;$M$11&amp;", "&amp;$M$12,'FE Energie'!$G:$U,7,FALSE),$AT19))),0,SQRT(SUMSQ(VLOOKUP($B19&amp;"; "&amp;$M$11&amp;", "&amp;$M$12,'FE Energie'!$G:$U,7,FALSE),$AT19)))</f>
        <v>0.05</v>
      </c>
      <c r="AY19" s="1068">
        <f>IF(ISNA(SQRT(SUMSQ(VLOOKUP($B19&amp;"; "&amp;$P$11&amp;", "&amp;$P$12,'FE Energie'!$G:$U,7,FALSE),$AU19))),0,SQRT(SUMSQ(VLOOKUP($B19&amp;"; "&amp;$P$11&amp;", "&amp;$P$12,'FE Energie'!$G:$U,7,FALSE),$AU19)))</f>
        <v>0.05</v>
      </c>
      <c r="AZ19" s="1069">
        <f>IF(ISNA(SQRT(SUMSQ(VLOOKUP($B19&amp;"; "&amp;$G$11&amp;", "&amp;$H$12,'FE Energie'!$G:$U,7,FALSE),$AR19))),0,SQRT(SUMSQ(VLOOKUP($B19&amp;"; "&amp;$G$11&amp;", "&amp;$H$12,'FE Energie'!$G:$U,7,FALSE),$AR19)))</f>
        <v>0.05</v>
      </c>
      <c r="BA19" s="1070">
        <f>IF(ISNA(SQRT(SUMSQ(VLOOKUP($B19&amp;"; "&amp;$J$11&amp;", "&amp;$K$12,'FE Energie'!$G:$U,7,FALSE),$AS19))),0,SQRT(SUMSQ(VLOOKUP($B19&amp;"; "&amp;$J$11&amp;", "&amp;$K$12,'FE Energie'!$G:$U,7,FALSE),$AS19)))</f>
        <v>0.05</v>
      </c>
      <c r="BB19" s="1070">
        <f>IF(ISNA(SQRT(SUMSQ(VLOOKUP($B19&amp;"; "&amp;$M$11&amp;", "&amp;$N$12,'FE Energie'!$G:$U,7,FALSE),$AT19))),0,SQRT(SUMSQ(VLOOKUP($B19&amp;"; "&amp;$M$11&amp;", "&amp;$N$12,'FE Energie'!$G:$U,7,FALSE),$AT19)))</f>
        <v>0.05</v>
      </c>
      <c r="BC19" s="1071">
        <f>IF(ISNA(SQRT(SUMSQ(VLOOKUP($B19&amp;"; "&amp;$P$11&amp;", "&amp;$Q$12,'FE Energie'!$G:$U,7,FALSE),$AU19))),0,SQRT(SUMSQ(VLOOKUP($B19&amp;"; "&amp;$P$11&amp;", "&amp;$Q$12,'FE Energie'!$G:$U,7,FALSE),$AU19)))</f>
        <v>0.05</v>
      </c>
    </row>
    <row r="20" spans="1:55" s="116" customFormat="1" ht="12.75" customHeight="1" outlineLevel="1">
      <c r="A20" s="114"/>
      <c r="B20" s="143" t="s">
        <v>1629</v>
      </c>
      <c r="C20" s="144"/>
      <c r="D20" s="315">
        <f>SUM(R20,S20)</f>
        <v>0</v>
      </c>
      <c r="E20" s="345"/>
      <c r="F20" s="1548"/>
      <c r="G20" s="335">
        <f>VLOOKUP($B20&amp;"; "&amp;$G$11&amp;", "&amp;G$12,'FE Energie'!$G:$U,9,FALSE)</f>
        <v>0.67600000000000005</v>
      </c>
      <c r="H20" s="335">
        <f>VLOOKUP($B20&amp;"; "&amp;$G$11&amp;", "&amp;H$12,'FE Energie'!$G:$U,9,FALSE)</f>
        <v>3.17</v>
      </c>
      <c r="I20" s="1548"/>
      <c r="J20" s="223">
        <f>VLOOKUP($B20&amp;"; "&amp;$J$11&amp;", "&amp;J$12,'FE Energie'!$G:$U,9,FALSE)</f>
        <v>5.2699999999999997E-2</v>
      </c>
      <c r="K20" s="223">
        <f>VLOOKUP($B20&amp;"; "&amp;$J$11&amp;", "&amp;K$12,'FE Energie'!$G:$U,9,FALSE)</f>
        <v>0.27200000000000002</v>
      </c>
      <c r="L20" s="1548"/>
      <c r="M20" s="217">
        <f>VLOOKUP($B20&amp;"; "&amp;$M$11&amp;", "&amp;M$12,'FE Energie'!$G:$U,9,FALSE)</f>
        <v>529</v>
      </c>
      <c r="N20" s="217">
        <f>VLOOKUP($B20&amp;"; "&amp;$M$11&amp;", "&amp;N$12,'FE Energie'!$G:$U,9,FALSE)</f>
        <v>3170</v>
      </c>
      <c r="O20" s="1548"/>
      <c r="P20" s="223">
        <f>VLOOKUP($B20&amp;"; "&amp;$P$11&amp;", "&amp;P$12,'FE Energie'!$G:$U,9,FALSE)</f>
        <v>0.57099999999999995</v>
      </c>
      <c r="Q20" s="223">
        <f>VLOOKUP($B20&amp;"; "&amp;$P$11&amp;", "&amp;Q$12,'FE Energie'!$G:$U,9,FALSE)</f>
        <v>2.68</v>
      </c>
      <c r="R20" s="566">
        <f>IF(ISNA(F20*G20),0,F20*G20)+IF(ISNA(I20*J20),0,I20*J20)+IF(ISNA(L20*M20),0,L20*M20)+IF(ISNA(O20*P20),0,O20*P20)</f>
        <v>0</v>
      </c>
      <c r="S20" s="567">
        <f>IF(ISNA(F20*H20),0,F20*H20)+IF(ISNA(I20*K20),0,I20*K20)+IF(ISNA(L20*N20),0,L20*N20)+IF(ISNA(O20*Q20),0,O20*Q20)</f>
        <v>0</v>
      </c>
      <c r="T20" s="114"/>
      <c r="U20" s="114"/>
      <c r="V20" s="114"/>
      <c r="W20" s="1092">
        <f>IF(AC20=0,AC20,AC20/(R20+S20))</f>
        <v>0</v>
      </c>
      <c r="X20" s="345"/>
      <c r="Y20" s="820"/>
      <c r="Z20" s="1826">
        <f>SQRT(SUMSQ(IF(ISNA($F20*G20*AV20),0,$F20*G20*AV20),IF(ISNA($I20*J20*AW20),0,$I20*J20*AW20),IF(ISNA($L20*M20*AX20),0,$L20*M20*AX20),IF(ISNA($O20*P20*AY20),0,$O20*P20*AY20)))</f>
        <v>0</v>
      </c>
      <c r="AA20" s="1826">
        <f>SQRT(SUMSQ(IF(ISNA($F20*H20*AZ20),0,$F20*H20*AZ20),IF(ISNA($I20*K20*BA20),0,$I20*K20*BA20),IF(ISNA($L20*N20*BB20),0,$L20*N20*BB20),IF(ISNA($O20*Q20*BC20),0,$O20*Q20*BC20)))</f>
        <v>0</v>
      </c>
      <c r="AB20" s="1826"/>
      <c r="AC20" s="152">
        <f>SQRT(SUMSQ(Z20,AA20))</f>
        <v>0</v>
      </c>
      <c r="AE20" s="564">
        <f>$F20*IF(ISNA(VLOOKUP($B20&amp;"; "&amp;$G$11&amp;", "&amp;G$12,'FE Energie'!$G:$U,10,FALSE)),0,VLOOKUP($B20&amp;"; "&amp;$G$11&amp;", "&amp;G$12,'FE Energie'!$G:$U,10,FALSE))
+$I20*IF(ISNA(VLOOKUP($B20&amp;"; "&amp;$J$11&amp;", "&amp;G$12,'FE Energie'!$G:$U,10,FALSE)),0,VLOOKUP($B20&amp;"; "&amp;$J$11&amp;", "&amp;G$12,'FE Energie'!$G:$U,10,FALSE))
+$L20*IF(ISNA(VLOOKUP($B20&amp;"; "&amp;$M$11&amp;", "&amp;G$12,'FE Energie'!$G:$U,10,FALSE)),0,VLOOKUP($B20&amp;"; "&amp;$M$11&amp;", "&amp;G$12,'FE Energie'!$G:$U,10,FALSE))
+$O20*IF(ISNA(VLOOKUP($B20&amp;"; "&amp;$P$11&amp;", "&amp;G$12,'FE Energie'!$G:$U,10,FALSE)),0,VLOOKUP($B20&amp;"; "&amp;$P$11&amp;", "&amp;G$12,'FE Energie'!$G:$U,10,FALSE))</f>
        <v>0</v>
      </c>
      <c r="AF20" s="565">
        <f>$F20*IF(ISNA(VLOOKUP($B20&amp;"; "&amp;$G$11&amp;", "&amp;H$12,'FE Energie'!$G:$U,10,FALSE)),0,VLOOKUP($B20&amp;"; "&amp;$G$11&amp;", "&amp;H$12,'FE Energie'!$G:$U,10,FALSE))
+$I20*IF(ISNA(VLOOKUP($B20&amp;"; "&amp;$J$11&amp;", "&amp;H$12,'FE Energie'!$G:$U,10,FALSE)),0,VLOOKUP($B20&amp;"; "&amp;$J$11&amp;", "&amp;H$12,'FE Energie'!$G:$U,10,FALSE))
+$L20*IF(ISNA(VLOOKUP($B20&amp;"; "&amp;$M$11&amp;", "&amp;H$12,'FE Energie'!$G:$U,10,FALSE)),0,VLOOKUP($B20&amp;"; "&amp;$M$11&amp;", "&amp;H$12,'FE Energie'!$G:$U,10,FALSE))
+$O20*IF(ISNA(VLOOKUP($B20&amp;"; "&amp;$P$11&amp;", "&amp;H$12,'FE Energie'!$G:$U,10,FALSE)),0,VLOOKUP($B20&amp;"; "&amp;$P$11&amp;", "&amp;H$12,'FE Energie'!$G:$U,10,FALSE))</f>
        <v>0</v>
      </c>
      <c r="AG20" s="620">
        <f>$F20*IF(ISNA((VLOOKUP($B20&amp;"; "&amp;$G$11&amp;", "&amp;G$12,'FE Energie'!$G:$U,12,FALSE)+VLOOKUP($B20&amp;"; "&amp;$G$11&amp;", "&amp;G$12,'FE Energie'!$G:$U,11,FALSE))),0,(VLOOKUP($B20&amp;"; "&amp;$G$11&amp;", "&amp;G$12,'FE Energie'!$G:$U,12,FALSE)+VLOOKUP($B20&amp;"; "&amp;$G$11&amp;", "&amp;G$12,'FE Energie'!$G:$U,11,FALSE)))
+$I20*IF(ISNA((VLOOKUP($B20&amp;"; "&amp;$J$11&amp;", "&amp;G$12,'FE Energie'!$G:$U,12,FALSE)+VLOOKUP($B20&amp;"; "&amp;$J$11&amp;", "&amp;G$12,'FE Energie'!$G:$U,11,FALSE))),0,(VLOOKUP($B20&amp;"; "&amp;$J$11&amp;", "&amp;G$12,'FE Energie'!$G:$U,12,FALSE)+VLOOKUP($B20&amp;"; "&amp;$J$11&amp;", "&amp;G$12,'FE Energie'!$G:$U,11,FALSE)))
+$L20*IF(ISNA((VLOOKUP($B20&amp;"; "&amp;$M$11&amp;", "&amp;G$12,'FE Energie'!$G:$U,12,FALSE)+VLOOKUP($B20&amp;"; "&amp;$M$11&amp;", "&amp;G$12,'FE Energie'!$G:$U,11,FALSE))),0,(VLOOKUP($B20&amp;"; "&amp;$M$11&amp;", "&amp;G$12,'FE Energie'!$G:$U,12,FALSE)+VLOOKUP($B20&amp;"; "&amp;$M$11&amp;", "&amp;G$12,'FE Energie'!$G:$U,11,FALSE)))
+$O20*IF(ISNA((VLOOKUP($B20&amp;"; "&amp;$P$11&amp;", "&amp;G$12,'FE Energie'!$G:$U,12,FALSE)+VLOOKUP($B20&amp;"; "&amp;$P$11&amp;", "&amp;G$12,'FE Energie'!$G:$U,11,FALSE))),0,(VLOOKUP($B20&amp;"; "&amp;$P$11&amp;", "&amp;G$12,'FE Energie'!$G:$U,12,FALSE)+VLOOKUP($B20&amp;"; "&amp;$P$11&amp;", "&amp;G$12,'FE Energie'!$G:$U,11,FALSE)))</f>
        <v>0</v>
      </c>
      <c r="AH20" s="620">
        <f>$F20*IF(ISNA((VLOOKUP($B20&amp;"; "&amp;$G$11&amp;", "&amp;H$12,'FE Energie'!$G:$U,12,FALSE)+VLOOKUP($B20&amp;"; "&amp;$G$11&amp;", "&amp;H$12,'FE Energie'!$G:$U,11,FALSE))),0,(VLOOKUP($B20&amp;"; "&amp;$G$11&amp;", "&amp;H$12,'FE Energie'!$G:$U,12,FALSE)+VLOOKUP($B20&amp;"; "&amp;$G$11&amp;", "&amp;H$12,'FE Energie'!$G:$U,11,FALSE)))
+$I20*IF(ISNA((VLOOKUP($B20&amp;"; "&amp;$J$11&amp;", "&amp;H$12,'FE Energie'!$G:$U,12,FALSE)+VLOOKUP($B20&amp;"; "&amp;$J$11&amp;", "&amp;H$12,'FE Energie'!$G:$U,11,FALSE))),0,(VLOOKUP($B20&amp;"; "&amp;$J$11&amp;", "&amp;H$12,'FE Energie'!$G:$U,12,FALSE)+VLOOKUP($B20&amp;"; "&amp;$J$11&amp;", "&amp;H$12,'FE Energie'!$G:$U,11,FALSE)))
+$L20*IF(ISNA((VLOOKUP($B20&amp;"; "&amp;$M$11&amp;", "&amp;H$12,'FE Energie'!$G:$U,12,FALSE)+VLOOKUP($B20&amp;"; "&amp;$M$11&amp;", "&amp;H$12,'FE Energie'!$G:$U,11,FALSE))),0,(VLOOKUP($B20&amp;"; "&amp;$M$11&amp;", "&amp;H$12,'FE Energie'!$G:$U,12,FALSE)+VLOOKUP($B20&amp;"; "&amp;$M$11&amp;", "&amp;H$12,'FE Energie'!$G:$U,11,FALSE)))
+$O20*IF(ISNA((VLOOKUP($B20&amp;"; "&amp;$P$11&amp;", "&amp;H$12,'FE Energie'!$G:$U,12,FALSE)+VLOOKUP($B20&amp;"; "&amp;$P$11&amp;", "&amp;H$12,'FE Energie'!$G:$U,11,FALSE))),0,(VLOOKUP($B20&amp;"; "&amp;$P$11&amp;", "&amp;H$12,'FE Energie'!$G:$U,12,FALSE)+VLOOKUP($B20&amp;"; "&amp;$P$11&amp;", "&amp;H$12,'FE Energie'!$G:$U,11,FALSE)))</f>
        <v>0</v>
      </c>
      <c r="AI20" s="620">
        <f>$F20*IF(ISNA(VLOOKUP($B20&amp;"; "&amp;$G$11&amp;", "&amp;G$12,'FE Energie'!$G:$U,13,FALSE)),0,VLOOKUP($B20&amp;"; "&amp;$G$11&amp;", "&amp;G$12,'FE Energie'!$G:$U,13,FALSE))
+$I20*IF(ISNA(VLOOKUP($B20&amp;"; "&amp;$J$11&amp;", "&amp;G$12,'FE Energie'!$G:$U,13,FALSE)),0,VLOOKUP($B20&amp;"; "&amp;$J$11&amp;", "&amp;G$12,'FE Energie'!$G:$U,13,FALSE))
+$L20*IF(ISNA(VLOOKUP($B20&amp;"; "&amp;$M$11&amp;", "&amp;G$12,'FE Energie'!$G:$U,13,FALSE)),0,VLOOKUP($B20&amp;"; "&amp;$M$11&amp;", "&amp;G$12,'FE Energie'!$G:$U,13,FALSE))
+$O20*IF(ISNA(VLOOKUP($B20&amp;"; "&amp;$P$11&amp;", "&amp;G$12,'FE Energie'!$G:$U,13,FALSE)),0,VLOOKUP($B20&amp;"; "&amp;$P$11&amp;", "&amp;G$12,'FE Energie'!$G:$U,13,FALSE))</f>
        <v>0</v>
      </c>
      <c r="AJ20" s="620">
        <f>$F20*IF(ISNA(VLOOKUP($B20&amp;"; "&amp;$G$11&amp;", "&amp;H$12,'FE Energie'!$G:$U,13,FALSE)),0,VLOOKUP($B20&amp;"; "&amp;$G$11&amp;", "&amp;H$12,'FE Energie'!$G:$U,13,FALSE))
+$I20*IF(ISNA(VLOOKUP($B20&amp;"; "&amp;$J$11&amp;", "&amp;H$12,'FE Energie'!$G:$U,13,FALSE)),0,VLOOKUP($B20&amp;"; "&amp;$J$11&amp;", "&amp;H$12,'FE Energie'!$G:$U,13,FALSE))
+$L20*IF(ISNA(VLOOKUP($B20&amp;"; "&amp;$M$11&amp;", "&amp;H$12,'FE Energie'!$G:$U,13,FALSE)),0,VLOOKUP($B20&amp;"; "&amp;$M$11&amp;", "&amp;H$12,'FE Energie'!$G:$U,13,FALSE))
+$O20*IF(ISNA(VLOOKUP($B20&amp;"; "&amp;$P$11&amp;", "&amp;H$12,'FE Energie'!$G:$U,13,FALSE)),0,VLOOKUP($B20&amp;"; "&amp;$P$11&amp;", "&amp;H$12,'FE Energie'!$G:$U,13,FALSE))</f>
        <v>0</v>
      </c>
      <c r="AK20" s="565">
        <f>$F20*IF(ISNA(VLOOKUP($B20&amp;"; "&amp;$G$11&amp;", "&amp;G$12,'FE Energie'!$G:$U,14,FALSE)),0,VLOOKUP($B20&amp;"; "&amp;$G$11&amp;", "&amp;G$12,'FE Energie'!$G:$U,14,FALSE))
+$I20*IF(ISNA(VLOOKUP($B20&amp;"; "&amp;$J$11&amp;", "&amp;G$12,'FE Energie'!$G:$U,14,FALSE)),0,VLOOKUP($B20&amp;"; "&amp;$J$11&amp;", "&amp;G$12,'FE Energie'!$G:$U,14,FALSE))
+$L20*IF(ISNA(VLOOKUP($B20&amp;"; "&amp;$M$11&amp;", "&amp;G$12,'FE Energie'!$G:$U,14,FALSE)),0,VLOOKUP($B20&amp;"; "&amp;$M$11&amp;", "&amp;G$12,'FE Energie'!$G:$U,14,FALSE))
+$O20*IF(ISNA(VLOOKUP($B20&amp;"; "&amp;$P$11&amp;", "&amp;G$12,'FE Energie'!$G:$U,14,FALSE)),0,VLOOKUP($B20&amp;"; "&amp;$P$11&amp;", "&amp;G$12,'FE Energie'!$G:$U,14,FALSE))</f>
        <v>0</v>
      </c>
      <c r="AL20" s="565">
        <f>$F20*IF(ISNA(VLOOKUP($B20&amp;"; "&amp;$G$11&amp;", "&amp;H$12,'FE Energie'!$G:$U,14,FALSE)),0,VLOOKUP($B20&amp;"; "&amp;$G$11&amp;", "&amp;H$12,'FE Energie'!$G:$U,14,FALSE))
+$I20*IF(ISNA(VLOOKUP($B20&amp;"; "&amp;$J$11&amp;", "&amp;H$12,'FE Energie'!$G:$U,14,FALSE)),0,VLOOKUP($B20&amp;"; "&amp;$J$11&amp;", "&amp;H$12,'FE Energie'!$G:$U,14,FALSE))
+$L20*IF(ISNA(VLOOKUP($B20&amp;"; "&amp;$M$11&amp;", "&amp;H$12,'FE Energie'!$G:$U,14,FALSE)),0,VLOOKUP($B20&amp;"; "&amp;$M$11&amp;", "&amp;H$12,'FE Energie'!$G:$U,14,FALSE))
+$O20*IF(ISNA(VLOOKUP($B20&amp;"; "&amp;$P$11&amp;", "&amp;H$12,'FE Energie'!$G:$U,14,FALSE)),0,VLOOKUP($B20&amp;"; "&amp;$P$11&amp;", "&amp;H$12,'FE Energie'!$G:$U,14,FALSE))</f>
        <v>0</v>
      </c>
      <c r="AM20" s="566">
        <f t="shared" si="0"/>
        <v>0</v>
      </c>
      <c r="AN20" s="566">
        <f t="shared" si="0"/>
        <v>0</v>
      </c>
      <c r="AO20" s="564">
        <f>$F20*IF(ISNA(VLOOKUP($B20&amp;"; "&amp;$G$11&amp;", "&amp;G$12,'FE Energie'!$G:$U,15,FALSE)),0,VLOOKUP($B20&amp;"; "&amp;$G$11&amp;", "&amp;G$12,'FE Energie'!$G:$U,15,FALSE))
+$I20*IF(ISNA(VLOOKUP($B20&amp;"; "&amp;$J$11&amp;", "&amp;G$12,'FE Energie'!$G:$U,15,FALSE)),0,VLOOKUP($B20&amp;"; "&amp;$J$11&amp;", "&amp;G$12,'FE Energie'!$G:$U,15,FALSE))
+$L20*IF(ISNA(VLOOKUP($B20&amp;"; "&amp;$M$11&amp;", "&amp;G$12,'FE Energie'!$G:$U,15,FALSE)),0,VLOOKUP($B20&amp;"; "&amp;$M$11&amp;", "&amp;G$12,'FE Energie'!$G:$U,15,FALSE))
+$O20*IF(ISNA(VLOOKUP($B20&amp;"; "&amp;$P$11&amp;", "&amp;G$12,'FE Energie'!$G:$U,15,FALSE)),0,VLOOKUP($B20&amp;"; "&amp;$P$11&amp;", "&amp;G$12,'FE Energie'!$G:$U,15,FALSE))</f>
        <v>0</v>
      </c>
      <c r="AP20" s="568">
        <f>$F20*IF(ISNA(VLOOKUP($B20&amp;"; "&amp;$G$11&amp;", "&amp;H$12,'FE Energie'!$G:$U,15,FALSE)),0,VLOOKUP($B20&amp;"; "&amp;$G$11&amp;", "&amp;H$12,'FE Energie'!$G:$U,15,FALSE))
+$I20*IF(ISNA(VLOOKUP($B20&amp;"; "&amp;$J$11&amp;", "&amp;H$12,'FE Energie'!$G:$U,15,FALSE)),0,VLOOKUP($B20&amp;"; "&amp;$J$11&amp;", "&amp;H$12,'FE Energie'!$G:$U,15,FALSE))
+$L20*IF(ISNA(VLOOKUP($B20&amp;"; "&amp;$M$11&amp;", "&amp;H$12,'FE Energie'!$G:$U,15,FALSE)),0,VLOOKUP($B20&amp;"; "&amp;$M$11&amp;", "&amp;H$12,'FE Energie'!$G:$U,15,FALSE))
+$O20*IF(ISNA(VLOOKUP($B20&amp;"; "&amp;$P$11&amp;", "&amp;H$12,'FE Energie'!$G:$U,15,FALSE)),0,VLOOKUP($B20&amp;"; "&amp;$P$11&amp;", "&amp;H$12,'FE Energie'!$G:$U,15,FALSE))</f>
        <v>0</v>
      </c>
      <c r="AQ20" s="114"/>
      <c r="AR20" s="1065">
        <f>IF($X20&lt;&gt;"votre valeur :",IF(ISNA(VLOOKUP($X20,Utilitaires!$N$566:$O$571,2,FALSE)),,VLOOKUP($X20,Utilitaires!$N$566:$O$571,2,FALSE)),$Y20)</f>
        <v>0</v>
      </c>
      <c r="AS20" s="1065">
        <f>IF($X20&lt;&gt;"votre valeur :",IF(ISNA(VLOOKUP($X20,Utilitaires!$N$566:$O$571,2,FALSE)),,VLOOKUP($X20,Utilitaires!$N$566:$O$571,2,FALSE)),$Y20)</f>
        <v>0</v>
      </c>
      <c r="AT20" s="1065">
        <f>IF($X20&lt;&gt;"votre valeur :",IF(ISNA(VLOOKUP($X20,Utilitaires!$N$566:$O$571,2,FALSE)),,VLOOKUP($X20,Utilitaires!$N$566:$O$571,2,FALSE)),$Y20)</f>
        <v>0</v>
      </c>
      <c r="AU20" s="1167">
        <f>IF($X20&lt;&gt;"votre valeur :",IF(ISNA(VLOOKUP($X20,Utilitaires!$N$566:$O$571,2,FALSE)),,VLOOKUP($X20,Utilitaires!$N$566:$O$571,2,FALSE)),$Y20)</f>
        <v>0</v>
      </c>
      <c r="AV20" s="1068">
        <f>IF(ISNA(SQRT(SUMSQ(VLOOKUP($B20&amp;"; "&amp;$G$11&amp;", "&amp;$G$12,'FE Energie'!$G:$U,7,FALSE),$AR20))),0,SQRT(SUMSQ(VLOOKUP($B20&amp;"; "&amp;$G$11&amp;", "&amp;$G$12,'FE Energie'!$G:$U,7,FALSE),$AR20)))</f>
        <v>0.05</v>
      </c>
      <c r="AW20" s="1068">
        <f>IF(ISNA(SQRT(SUMSQ(VLOOKUP($B20&amp;"; "&amp;$J$11&amp;", "&amp;$J$12,'FE Energie'!$G:$U,7,FALSE),$AS20))),0,SQRT(SUMSQ(VLOOKUP($B20&amp;"; "&amp;$J$11&amp;", "&amp;$J$12,'FE Energie'!$G:$U,7,FALSE),$AS20)))</f>
        <v>0.05</v>
      </c>
      <c r="AX20" s="1068">
        <f>IF(ISNA(SQRT(SUMSQ(VLOOKUP($B20&amp;"; "&amp;$M$11&amp;", "&amp;$M$12,'FE Energie'!$G:$U,7,FALSE),$AT20))),0,SQRT(SUMSQ(VLOOKUP($B20&amp;"; "&amp;$M$11&amp;", "&amp;$M$12,'FE Energie'!$G:$U,7,FALSE),$AT20)))</f>
        <v>0.05</v>
      </c>
      <c r="AY20" s="1068">
        <f>IF(ISNA(SQRT(SUMSQ(VLOOKUP($B20&amp;"; "&amp;$P$11&amp;", "&amp;$P$12,'FE Energie'!$G:$U,7,FALSE),$AU20))),0,SQRT(SUMSQ(VLOOKUP($B20&amp;"; "&amp;$P$11&amp;", "&amp;$P$12,'FE Energie'!$G:$U,7,FALSE),$AU20)))</f>
        <v>0.05</v>
      </c>
      <c r="AZ20" s="1069">
        <f>IF(ISNA(SQRT(SUMSQ(VLOOKUP($B20&amp;"; "&amp;$G$11&amp;", "&amp;$H$12,'FE Energie'!$G:$U,7,FALSE),$AR20))),0,SQRT(SUMSQ(VLOOKUP($B20&amp;"; "&amp;$G$11&amp;", "&amp;$H$12,'FE Energie'!$G:$U,7,FALSE),$AR20)))</f>
        <v>0.05</v>
      </c>
      <c r="BA20" s="1070">
        <f>IF(ISNA(SQRT(SUMSQ(VLOOKUP($B20&amp;"; "&amp;$J$11&amp;", "&amp;$K$12,'FE Energie'!$G:$U,7,FALSE),$AS20))),0,SQRT(SUMSQ(VLOOKUP($B20&amp;"; "&amp;$J$11&amp;", "&amp;$K$12,'FE Energie'!$G:$U,7,FALSE),$AS20)))</f>
        <v>0.05</v>
      </c>
      <c r="BB20" s="1070">
        <f>IF(ISNA(SQRT(SUMSQ(VLOOKUP($B20&amp;"; "&amp;$M$11&amp;", "&amp;$N$12,'FE Energie'!$G:$U,7,FALSE),$AT20))),0,SQRT(SUMSQ(VLOOKUP($B20&amp;"; "&amp;$M$11&amp;", "&amp;$N$12,'FE Energie'!$G:$U,7,FALSE),$AT20)))</f>
        <v>0.05</v>
      </c>
      <c r="BC20" s="1071">
        <f>IF(ISNA(SQRT(SUMSQ(VLOOKUP($B20&amp;"; "&amp;$P$11&amp;", "&amp;$Q$12,'FE Energie'!$G:$U,7,FALSE),$AU20))),0,SQRT(SUMSQ(VLOOKUP($B20&amp;"; "&amp;$P$11&amp;", "&amp;$Q$12,'FE Energie'!$G:$U,7,FALSE),$AU20)))</f>
        <v>0.05</v>
      </c>
    </row>
    <row r="21" spans="1:55" s="116" customFormat="1" ht="12.75" customHeight="1" outlineLevel="1">
      <c r="A21" s="114"/>
      <c r="B21" s="536" t="s">
        <v>1632</v>
      </c>
      <c r="C21" s="144"/>
      <c r="D21" s="315"/>
      <c r="E21" s="822"/>
      <c r="F21" s="1583"/>
      <c r="G21" s="335"/>
      <c r="H21" s="335"/>
      <c r="I21" s="1583"/>
      <c r="J21" s="223"/>
      <c r="K21" s="223"/>
      <c r="L21" s="1583"/>
      <c r="M21" s="217"/>
      <c r="N21" s="217"/>
      <c r="O21" s="1583"/>
      <c r="P21" s="223"/>
      <c r="Q21" s="223"/>
      <c r="R21" s="566"/>
      <c r="S21" s="567"/>
      <c r="T21" s="114"/>
      <c r="U21" s="114"/>
      <c r="V21" s="114"/>
      <c r="W21" s="1092"/>
      <c r="X21" s="820"/>
      <c r="Y21" s="820"/>
      <c r="Z21" s="1826"/>
      <c r="AA21" s="1826"/>
      <c r="AB21" s="1826"/>
      <c r="AC21" s="152"/>
      <c r="AE21" s="564"/>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customHeight="1" outlineLevel="1">
      <c r="A22" s="114"/>
      <c r="B22" s="143" t="s">
        <v>1634</v>
      </c>
      <c r="C22" s="144"/>
      <c r="D22" s="315">
        <f>SUM(R22,S22)</f>
        <v>0</v>
      </c>
      <c r="E22" s="343"/>
      <c r="F22" s="1547"/>
      <c r="G22" s="335">
        <f>VLOOKUP($B22&amp;"; "&amp;$G$11&amp;", "&amp;G$12,'FE Energie'!$G:$U,9,FALSE)</f>
        <v>0.28399999999999997</v>
      </c>
      <c r="H22" s="335">
        <f>VLOOKUP($B22&amp;"; "&amp;$G$11&amp;", "&amp;H$12,'FE Energie'!$G:$U,9,FALSE)</f>
        <v>3.07</v>
      </c>
      <c r="I22" s="1547"/>
      <c r="J22" s="223">
        <f>VLOOKUP($B22&amp;"; "&amp;$J$11&amp;", "&amp;J$12,'FE Energie'!$G:$U,9,FALSE)</f>
        <v>3.1899999999999998E-2</v>
      </c>
      <c r="K22" s="223">
        <f>VLOOKUP($B22&amp;"; "&amp;$J$11&amp;", "&amp;K$12,'FE Energie'!$G:$U,9,FALSE)</f>
        <v>0.34499999999999997</v>
      </c>
      <c r="L22" s="1547"/>
      <c r="M22" s="217">
        <f>VLOOKUP($B22&amp;"; "&amp;$M$11&amp;", "&amp;M$12,'FE Energie'!$G:$U,9,FALSE)</f>
        <v>372</v>
      </c>
      <c r="N22" s="217">
        <f>VLOOKUP($B22&amp;"; "&amp;$M$11&amp;", "&amp;N$12,'FE Energie'!$G:$U,9,FALSE)</f>
        <v>4020</v>
      </c>
      <c r="O22" s="1547"/>
      <c r="P22" s="223" t="e">
        <f>VLOOKUP($B22&amp;"; "&amp;$P$11&amp;", "&amp;P$12,'FE Energie'!$G:$U,9,FALSE)</f>
        <v>#N/A</v>
      </c>
      <c r="Q22" s="223" t="e">
        <f>VLOOKUP($B22&amp;"; "&amp;$P$11&amp;", "&amp;Q$12,'FE Energie'!$G:$U,9,FALSE)</f>
        <v>#N/A</v>
      </c>
      <c r="R22" s="566">
        <f>IF(ISNA(F22*G22),0,F22*G22)+IF(ISNA(I22*J22),0,I22*J22)+IF(ISNA(L22*M22),0,L22*M22)+IF(ISNA(O22*P22),0,O22*P22)</f>
        <v>0</v>
      </c>
      <c r="S22" s="567">
        <f>IF(ISNA(F22*H22),0,F22*H22)+IF(ISNA(I22*K22),0,I22*K22)+IF(ISNA(L22*N22),0,L22*N22)+IF(ISNA(O22*Q22),0,O22*Q22)</f>
        <v>0</v>
      </c>
      <c r="T22" s="114"/>
      <c r="U22" s="114"/>
      <c r="V22" s="114"/>
      <c r="W22" s="1092">
        <f>IF(AC22=0,AC22,AC22/(R22+S22))</f>
        <v>0</v>
      </c>
      <c r="X22" s="343"/>
      <c r="Y22" s="820"/>
      <c r="Z22" s="1826">
        <f>SQRT(SUMSQ(IF(ISNA($F22*G22*AV22),0,$F22*G22*AV22),IF(ISNA($I22*J22*AW22),0,$I22*J22*AW22),IF(ISNA($L22*M22*AX22),0,$L22*M22*AX22),IF(ISNA($O22*P22*AY22),0,$O22*P22*AY22)))</f>
        <v>0</v>
      </c>
      <c r="AA22" s="1826">
        <f>SQRT(SUMSQ(IF(ISNA($F22*H22*AZ22),0,$F22*H22*AZ22),IF(ISNA($I22*K22*BA22),0,$I22*K22*BA22),IF(ISNA($L22*N22*BB22),0,$L22*N22*BB22),IF(ISNA($O22*Q22*BC22),0,$O22*Q22*BC22)))</f>
        <v>0</v>
      </c>
      <c r="AB22" s="1826"/>
      <c r="AC22" s="152">
        <f>SQRT(SUMSQ(Z22,AA22))</f>
        <v>0</v>
      </c>
      <c r="AE22" s="564">
        <f>$F22*IF(ISNA(VLOOKUP($B22&amp;"; "&amp;$G$11&amp;", "&amp;G$12,'FE Energie'!$G:$U,10,FALSE)),0,VLOOKUP($B22&amp;"; "&amp;$G$11&amp;", "&amp;G$12,'FE Energie'!$G:$U,10,FALSE))
+$I22*IF(ISNA(VLOOKUP($B22&amp;"; "&amp;$J$11&amp;", "&amp;G$12,'FE Energie'!$G:$U,10,FALSE)),0,VLOOKUP($B22&amp;"; "&amp;$J$11&amp;", "&amp;G$12,'FE Energie'!$G:$U,10,FALSE))
+$L22*IF(ISNA(VLOOKUP($B22&amp;"; "&amp;$M$11&amp;", "&amp;G$12,'FE Energie'!$G:$U,10,FALSE)),0,VLOOKUP($B22&amp;"; "&amp;$M$11&amp;", "&amp;G$12,'FE Energie'!$G:$U,10,FALSE))
+$O22*IF(ISNA(VLOOKUP($B22&amp;"; "&amp;$P$11&amp;", "&amp;G$12,'FE Energie'!$G:$U,10,FALSE)),0,VLOOKUP($B22&amp;"; "&amp;$P$11&amp;", "&amp;G$12,'FE Energie'!$G:$U,10,FALSE))</f>
        <v>0</v>
      </c>
      <c r="AF22" s="565">
        <f>$F22*IF(ISNA(VLOOKUP($B22&amp;"; "&amp;$G$11&amp;", "&amp;H$12,'FE Energie'!$G:$U,10,FALSE)),0,VLOOKUP($B22&amp;"; "&amp;$G$11&amp;", "&amp;H$12,'FE Energie'!$G:$U,10,FALSE))
+$I22*IF(ISNA(VLOOKUP($B22&amp;"; "&amp;$J$11&amp;", "&amp;H$12,'FE Energie'!$G:$U,10,FALSE)),0,VLOOKUP($B22&amp;"; "&amp;$J$11&amp;", "&amp;H$12,'FE Energie'!$G:$U,10,FALSE))
+$L22*IF(ISNA(VLOOKUP($B22&amp;"; "&amp;$M$11&amp;", "&amp;H$12,'FE Energie'!$G:$U,10,FALSE)),0,VLOOKUP($B22&amp;"; "&amp;$M$11&amp;", "&amp;H$12,'FE Energie'!$G:$U,10,FALSE))
+$O22*IF(ISNA(VLOOKUP($B22&amp;"; "&amp;$P$11&amp;", "&amp;H$12,'FE Energie'!$G:$U,10,FALSE)),0,VLOOKUP($B22&amp;"; "&amp;$P$11&amp;", "&amp;H$12,'FE Energie'!$G:$U,10,FALSE))</f>
        <v>0</v>
      </c>
      <c r="AG22" s="620">
        <f>$F22*IF(ISNA((VLOOKUP($B22&amp;"; "&amp;$G$11&amp;", "&amp;G$12,'FE Energie'!$G:$U,12,FALSE)+VLOOKUP($B22&amp;"; "&amp;$G$11&amp;", "&amp;G$12,'FE Energie'!$G:$U,11,FALSE))),0,(VLOOKUP($B22&amp;"; "&amp;$G$11&amp;", "&amp;G$12,'FE Energie'!$G:$U,12,FALSE)+VLOOKUP($B22&amp;"; "&amp;$G$11&amp;", "&amp;G$12,'FE Energie'!$G:$U,11,FALSE)))
+$I22*IF(ISNA((VLOOKUP($B22&amp;"; "&amp;$J$11&amp;", "&amp;G$12,'FE Energie'!$G:$U,12,FALSE)+VLOOKUP($B22&amp;"; "&amp;$J$11&amp;", "&amp;G$12,'FE Energie'!$G:$U,11,FALSE))),0,(VLOOKUP($B22&amp;"; "&amp;$J$11&amp;", "&amp;G$12,'FE Energie'!$G:$U,12,FALSE)+VLOOKUP($B22&amp;"; "&amp;$J$11&amp;", "&amp;G$12,'FE Energie'!$G:$U,11,FALSE)))
+$L22*IF(ISNA((VLOOKUP($B22&amp;"; "&amp;$M$11&amp;", "&amp;G$12,'FE Energie'!$G:$U,12,FALSE)+VLOOKUP($B22&amp;"; "&amp;$M$11&amp;", "&amp;G$12,'FE Energie'!$G:$U,11,FALSE))),0,(VLOOKUP($B22&amp;"; "&amp;$M$11&amp;", "&amp;G$12,'FE Energie'!$G:$U,12,FALSE)+VLOOKUP($B22&amp;"; "&amp;$M$11&amp;", "&amp;G$12,'FE Energie'!$G:$U,11,FALSE)))
+$O22*IF(ISNA((VLOOKUP($B22&amp;"; "&amp;$P$11&amp;", "&amp;G$12,'FE Energie'!$G:$U,12,FALSE)+VLOOKUP($B22&amp;"; "&amp;$P$11&amp;", "&amp;G$12,'FE Energie'!$G:$U,11,FALSE))),0,(VLOOKUP($B22&amp;"; "&amp;$P$11&amp;", "&amp;G$12,'FE Energie'!$G:$U,12,FALSE)+VLOOKUP($B22&amp;"; "&amp;$P$11&amp;", "&amp;G$12,'FE Energie'!$G:$U,11,FALSE)))</f>
        <v>0</v>
      </c>
      <c r="AH22" s="620">
        <f>$F22*IF(ISNA((VLOOKUP($B22&amp;"; "&amp;$G$11&amp;", "&amp;H$12,'FE Energie'!$G:$U,12,FALSE)+VLOOKUP($B22&amp;"; "&amp;$G$11&amp;", "&amp;H$12,'FE Energie'!$G:$U,11,FALSE))),0,(VLOOKUP($B22&amp;"; "&amp;$G$11&amp;", "&amp;H$12,'FE Energie'!$G:$U,12,FALSE)+VLOOKUP($B22&amp;"; "&amp;$G$11&amp;", "&amp;H$12,'FE Energie'!$G:$U,11,FALSE)))
+$I22*IF(ISNA((VLOOKUP($B22&amp;"; "&amp;$J$11&amp;", "&amp;H$12,'FE Energie'!$G:$U,12,FALSE)+VLOOKUP($B22&amp;"; "&amp;$J$11&amp;", "&amp;H$12,'FE Energie'!$G:$U,11,FALSE))),0,(VLOOKUP($B22&amp;"; "&amp;$J$11&amp;", "&amp;H$12,'FE Energie'!$G:$U,12,FALSE)+VLOOKUP($B22&amp;"; "&amp;$J$11&amp;", "&amp;H$12,'FE Energie'!$G:$U,11,FALSE)))
+$L22*IF(ISNA((VLOOKUP($B22&amp;"; "&amp;$M$11&amp;", "&amp;H$12,'FE Energie'!$G:$U,12,FALSE)+VLOOKUP($B22&amp;"; "&amp;$M$11&amp;", "&amp;H$12,'FE Energie'!$G:$U,11,FALSE))),0,(VLOOKUP($B22&amp;"; "&amp;$M$11&amp;", "&amp;H$12,'FE Energie'!$G:$U,12,FALSE)+VLOOKUP($B22&amp;"; "&amp;$M$11&amp;", "&amp;H$12,'FE Energie'!$G:$U,11,FALSE)))
+$O22*IF(ISNA((VLOOKUP($B22&amp;"; "&amp;$P$11&amp;", "&amp;H$12,'FE Energie'!$G:$U,12,FALSE)+VLOOKUP($B22&amp;"; "&amp;$P$11&amp;", "&amp;H$12,'FE Energie'!$G:$U,11,FALSE))),0,(VLOOKUP($B22&amp;"; "&amp;$P$11&amp;", "&amp;H$12,'FE Energie'!$G:$U,12,FALSE)+VLOOKUP($B22&amp;"; "&amp;$P$11&amp;", "&amp;H$12,'FE Energie'!$G:$U,11,FALSE)))</f>
        <v>0</v>
      </c>
      <c r="AI22" s="620">
        <f>$F22*IF(ISNA(VLOOKUP($B22&amp;"; "&amp;$G$11&amp;", "&amp;G$12,'FE Energie'!$G:$U,13,FALSE)),0,VLOOKUP($B22&amp;"; "&amp;$G$11&amp;", "&amp;G$12,'FE Energie'!$G:$U,13,FALSE))
+$I22*IF(ISNA(VLOOKUP($B22&amp;"; "&amp;$J$11&amp;", "&amp;G$12,'FE Energie'!$G:$U,13,FALSE)),0,VLOOKUP($B22&amp;"; "&amp;$J$11&amp;", "&amp;G$12,'FE Energie'!$G:$U,13,FALSE))
+$L22*IF(ISNA(VLOOKUP($B22&amp;"; "&amp;$M$11&amp;", "&amp;G$12,'FE Energie'!$G:$U,13,FALSE)),0,VLOOKUP($B22&amp;"; "&amp;$M$11&amp;", "&amp;G$12,'FE Energie'!$G:$U,13,FALSE))
+$O22*IF(ISNA(VLOOKUP($B22&amp;"; "&amp;$P$11&amp;", "&amp;G$12,'FE Energie'!$G:$U,13,FALSE)),0,VLOOKUP($B22&amp;"; "&amp;$P$11&amp;", "&amp;G$12,'FE Energie'!$G:$U,13,FALSE))</f>
        <v>0</v>
      </c>
      <c r="AJ22" s="620">
        <f>$F22*IF(ISNA(VLOOKUP($B22&amp;"; "&amp;$G$11&amp;", "&amp;H$12,'FE Energie'!$G:$U,13,FALSE)),0,VLOOKUP($B22&amp;"; "&amp;$G$11&amp;", "&amp;H$12,'FE Energie'!$G:$U,13,FALSE))
+$I22*IF(ISNA(VLOOKUP($B22&amp;"; "&amp;$J$11&amp;", "&amp;H$12,'FE Energie'!$G:$U,13,FALSE)),0,VLOOKUP($B22&amp;"; "&amp;$J$11&amp;", "&amp;H$12,'FE Energie'!$G:$U,13,FALSE))
+$L22*IF(ISNA(VLOOKUP($B22&amp;"; "&amp;$M$11&amp;", "&amp;H$12,'FE Energie'!$G:$U,13,FALSE)),0,VLOOKUP($B22&amp;"; "&amp;$M$11&amp;", "&amp;H$12,'FE Energie'!$G:$U,13,FALSE))
+$O22*IF(ISNA(VLOOKUP($B22&amp;"; "&amp;$P$11&amp;", "&amp;H$12,'FE Energie'!$G:$U,13,FALSE)),0,VLOOKUP($B22&amp;"; "&amp;$P$11&amp;", "&amp;H$12,'FE Energie'!$G:$U,13,FALSE))</f>
        <v>0</v>
      </c>
      <c r="AK22" s="565">
        <f>$F22*IF(ISNA(VLOOKUP($B22&amp;"; "&amp;$G$11&amp;", "&amp;G$12,'FE Energie'!$G:$U,14,FALSE)),0,VLOOKUP($B22&amp;"; "&amp;$G$11&amp;", "&amp;G$12,'FE Energie'!$G:$U,14,FALSE))
+$I22*IF(ISNA(VLOOKUP($B22&amp;"; "&amp;$J$11&amp;", "&amp;G$12,'FE Energie'!$G:$U,14,FALSE)),0,VLOOKUP($B22&amp;"; "&amp;$J$11&amp;", "&amp;G$12,'FE Energie'!$G:$U,14,FALSE))
+$L22*IF(ISNA(VLOOKUP($B22&amp;"; "&amp;$M$11&amp;", "&amp;G$12,'FE Energie'!$G:$U,14,FALSE)),0,VLOOKUP($B22&amp;"; "&amp;$M$11&amp;", "&amp;G$12,'FE Energie'!$G:$U,14,FALSE))
+$O22*IF(ISNA(VLOOKUP($B22&amp;"; "&amp;$P$11&amp;", "&amp;G$12,'FE Energie'!$G:$U,14,FALSE)),0,VLOOKUP($B22&amp;"; "&amp;$P$11&amp;", "&amp;G$12,'FE Energie'!$G:$U,14,FALSE))</f>
        <v>0</v>
      </c>
      <c r="AL22" s="565">
        <f>$F22*IF(ISNA(VLOOKUP($B22&amp;"; "&amp;$G$11&amp;", "&amp;H$12,'FE Energie'!$G:$U,14,FALSE)),0,VLOOKUP($B22&amp;"; "&amp;$G$11&amp;", "&amp;H$12,'FE Energie'!$G:$U,14,FALSE))
+$I22*IF(ISNA(VLOOKUP($B22&amp;"; "&amp;$J$11&amp;", "&amp;H$12,'FE Energie'!$G:$U,14,FALSE)),0,VLOOKUP($B22&amp;"; "&amp;$J$11&amp;", "&amp;H$12,'FE Energie'!$G:$U,14,FALSE))
+$L22*IF(ISNA(VLOOKUP($B22&amp;"; "&amp;$M$11&amp;", "&amp;H$12,'FE Energie'!$G:$U,14,FALSE)),0,VLOOKUP($B22&amp;"; "&amp;$M$11&amp;", "&amp;H$12,'FE Energie'!$G:$U,14,FALSE))
+$O22*IF(ISNA(VLOOKUP($B22&amp;"; "&amp;$P$11&amp;", "&amp;H$12,'FE Energie'!$G:$U,14,FALSE)),0,VLOOKUP($B22&amp;"; "&amp;$P$11&amp;", "&amp;H$12,'FE Energie'!$G:$U,14,FALSE))</f>
        <v>0</v>
      </c>
      <c r="AM22" s="566">
        <f t="shared" si="0"/>
        <v>0</v>
      </c>
      <c r="AN22" s="566">
        <f t="shared" si="0"/>
        <v>0</v>
      </c>
      <c r="AO22" s="564">
        <f>$F22*IF(ISNA(VLOOKUP($B22&amp;"; "&amp;$G$11&amp;", "&amp;G$12,'FE Energie'!$G:$U,15,FALSE)),0,VLOOKUP($B22&amp;"; "&amp;$G$11&amp;", "&amp;G$12,'FE Energie'!$G:$U,15,FALSE))
+$I22*IF(ISNA(VLOOKUP($B22&amp;"; "&amp;$J$11&amp;", "&amp;G$12,'FE Energie'!$G:$U,15,FALSE)),0,VLOOKUP($B22&amp;"; "&amp;$J$11&amp;", "&amp;G$12,'FE Energie'!$G:$U,15,FALSE))
+$L22*IF(ISNA(VLOOKUP($B22&amp;"; "&amp;$M$11&amp;", "&amp;G$12,'FE Energie'!$G:$U,15,FALSE)),0,VLOOKUP($B22&amp;"; "&amp;$M$11&amp;", "&amp;G$12,'FE Energie'!$G:$U,15,FALSE))
+$O22*IF(ISNA(VLOOKUP($B22&amp;"; "&amp;$P$11&amp;", "&amp;G$12,'FE Energie'!$G:$U,15,FALSE)),0,VLOOKUP($B22&amp;"; "&amp;$P$11&amp;", "&amp;G$12,'FE Energie'!$G:$U,15,FALSE))</f>
        <v>0</v>
      </c>
      <c r="AP22" s="568">
        <f>$F22*IF(ISNA(VLOOKUP($B22&amp;"; "&amp;$G$11&amp;", "&amp;H$12,'FE Energie'!$G:$U,15,FALSE)),0,VLOOKUP($B22&amp;"; "&amp;$G$11&amp;", "&amp;H$12,'FE Energie'!$G:$U,15,FALSE))
+$I22*IF(ISNA(VLOOKUP($B22&amp;"; "&amp;$J$11&amp;", "&amp;H$12,'FE Energie'!$G:$U,15,FALSE)),0,VLOOKUP($B22&amp;"; "&amp;$J$11&amp;", "&amp;H$12,'FE Energie'!$G:$U,15,FALSE))
+$L22*IF(ISNA(VLOOKUP($B22&amp;"; "&amp;$M$11&amp;", "&amp;H$12,'FE Energie'!$G:$U,15,FALSE)),0,VLOOKUP($B22&amp;"; "&amp;$M$11&amp;", "&amp;H$12,'FE Energie'!$G:$U,15,FALSE))
+$O22*IF(ISNA(VLOOKUP($B22&amp;"; "&amp;$P$11&amp;", "&amp;H$12,'FE Energie'!$G:$U,15,FALSE)),0,VLOOKUP($B22&amp;"; "&amp;$P$11&amp;", "&amp;H$12,'FE Energie'!$G:$U,15,FALSE))</f>
        <v>0</v>
      </c>
      <c r="AQ22" s="114"/>
      <c r="AR22" s="1065">
        <f>IF($X22&lt;&gt;"votre valeur :",IF(ISNA(VLOOKUP($X22,Utilitaires!$N$566:$O$571,2,FALSE)),,VLOOKUP($X22,Utilitaires!$N$566:$O$571,2,FALSE)),$Y22)</f>
        <v>0</v>
      </c>
      <c r="AS22" s="1065">
        <f>IF($X22&lt;&gt;"votre valeur :",IF(ISNA(VLOOKUP($X22,Utilitaires!$N$566:$O$571,2,FALSE)),,VLOOKUP($X22,Utilitaires!$N$566:$O$571,2,FALSE)),$Y22)</f>
        <v>0</v>
      </c>
      <c r="AT22" s="1065">
        <f>IF($X22&lt;&gt;"votre valeur :",IF(ISNA(VLOOKUP($X22,Utilitaires!$N$566:$O$571,2,FALSE)),,VLOOKUP($X22,Utilitaires!$N$566:$O$571,2,FALSE)),$Y22)</f>
        <v>0</v>
      </c>
      <c r="AU22" s="1167">
        <f>IF($X22&lt;&gt;"votre valeur :",IF(ISNA(VLOOKUP($X22,Utilitaires!$N$566:$O$571,2,FALSE)),,VLOOKUP($X22,Utilitaires!$N$566:$O$571,2,FALSE)),$Y22)</f>
        <v>0</v>
      </c>
      <c r="AV22" s="1068">
        <f>IF(ISNA(SQRT(SUMSQ(VLOOKUP($B22&amp;"; "&amp;$G$11&amp;", "&amp;$G$12,'FE Energie'!$G:$U,7,FALSE),$AR22))),0,SQRT(SUMSQ(VLOOKUP($B22&amp;"; "&amp;$G$11&amp;", "&amp;$G$12,'FE Energie'!$G:$U,7,FALSE),$AR22)))</f>
        <v>0.2</v>
      </c>
      <c r="AW22" s="1068">
        <f>IF(ISNA(SQRT(SUMSQ(VLOOKUP($B22&amp;"; "&amp;$J$11&amp;", "&amp;$J$12,'FE Energie'!$G:$U,7,FALSE),$AS22))),0,SQRT(SUMSQ(VLOOKUP($B22&amp;"; "&amp;$J$11&amp;", "&amp;$J$12,'FE Energie'!$G:$U,7,FALSE),$AS22)))</f>
        <v>0.2</v>
      </c>
      <c r="AX22" s="1068">
        <f>IF(ISNA(SQRT(SUMSQ(VLOOKUP($B22&amp;"; "&amp;$M$11&amp;", "&amp;$M$12,'FE Energie'!$G:$U,7,FALSE),$AT22))),0,SQRT(SUMSQ(VLOOKUP($B22&amp;"; "&amp;$M$11&amp;", "&amp;$M$12,'FE Energie'!$G:$U,7,FALSE),$AT22)))</f>
        <v>0.2</v>
      </c>
      <c r="AY22" s="1068">
        <f>IF(ISNA(SQRT(SUMSQ(VLOOKUP($B22&amp;"; "&amp;$P$11&amp;", "&amp;$P$12,'FE Energie'!$G:$U,7,FALSE),$AU22))),0,SQRT(SUMSQ(VLOOKUP($B22&amp;"; "&amp;$P$11&amp;", "&amp;$P$12,'FE Energie'!$G:$U,7,FALSE),$AU22)))</f>
        <v>0</v>
      </c>
      <c r="AZ22" s="1069">
        <f>IF(ISNA(SQRT(SUMSQ(VLOOKUP($B22&amp;"; "&amp;$G$11&amp;", "&amp;$H$12,'FE Energie'!$G:$U,7,FALSE),$AR22))),0,SQRT(SUMSQ(VLOOKUP($B22&amp;"; "&amp;$G$11&amp;", "&amp;$H$12,'FE Energie'!$G:$U,7,FALSE),$AR22)))</f>
        <v>0.2</v>
      </c>
      <c r="BA22" s="1070">
        <f>IF(ISNA(SQRT(SUMSQ(VLOOKUP($B22&amp;"; "&amp;$J$11&amp;", "&amp;$K$12,'FE Energie'!$G:$U,7,FALSE),$AS22))),0,SQRT(SUMSQ(VLOOKUP($B22&amp;"; "&amp;$J$11&amp;", "&amp;$K$12,'FE Energie'!$G:$U,7,FALSE),$AS22)))</f>
        <v>0.2</v>
      </c>
      <c r="BB22" s="1070">
        <f>IF(ISNA(SQRT(SUMSQ(VLOOKUP($B22&amp;"; "&amp;$M$11&amp;", "&amp;$N$12,'FE Energie'!$G:$U,7,FALSE),$AT22))),0,SQRT(SUMSQ(VLOOKUP($B22&amp;"; "&amp;$M$11&amp;", "&amp;$N$12,'FE Energie'!$G:$U,7,FALSE),$AT22)))</f>
        <v>0.2</v>
      </c>
      <c r="BC22" s="1071">
        <f>IF(ISNA(SQRT(SUMSQ(VLOOKUP($B22&amp;"; "&amp;$P$11&amp;", "&amp;$Q$12,'FE Energie'!$G:$U,7,FALSE),$AU22))),0,SQRT(SUMSQ(VLOOKUP($B22&amp;"; "&amp;$P$11&amp;", "&amp;$Q$12,'FE Energie'!$G:$U,7,FALSE),$AU22)))</f>
        <v>0</v>
      </c>
    </row>
    <row r="23" spans="1:55" s="116" customFormat="1" ht="12.75" customHeight="1" outlineLevel="1">
      <c r="A23" s="114"/>
      <c r="B23" s="143" t="s">
        <v>1635</v>
      </c>
      <c r="C23" s="144"/>
      <c r="D23" s="315">
        <f>SUM(R23,S23)</f>
        <v>0</v>
      </c>
      <c r="E23" s="345"/>
      <c r="F23" s="1548"/>
      <c r="G23" s="335">
        <f>VLOOKUP($B23&amp;"; "&amp;$G$11&amp;", "&amp;G$12,'FE Energie'!$G:$U,9,FALSE)</f>
        <v>0.10299999999999999</v>
      </c>
      <c r="H23" s="335">
        <f>VLOOKUP($B23&amp;"; "&amp;$G$11&amp;", "&amp;H$12,'FE Energie'!$G:$U,9,FALSE)</f>
        <v>1.28</v>
      </c>
      <c r="I23" s="1548"/>
      <c r="J23" s="223">
        <f>VLOOKUP($B23&amp;"; "&amp;$J$11&amp;", "&amp;J$12,'FE Energie'!$G:$U,9,FALSE)</f>
        <v>3.1899999999999998E-2</v>
      </c>
      <c r="K23" s="223">
        <f>VLOOKUP($B23&amp;"; "&amp;$J$11&amp;", "&amp;K$12,'FE Energie'!$G:$U,9,FALSE)</f>
        <v>0.39800000000000002</v>
      </c>
      <c r="L23" s="1548"/>
      <c r="M23" s="217">
        <f>VLOOKUP($B23&amp;"; "&amp;$M$11&amp;", "&amp;M$12,'FE Energie'!$G:$U,9,FALSE)</f>
        <v>373</v>
      </c>
      <c r="N23" s="217">
        <f>VLOOKUP($B23&amp;"; "&amp;$M$11&amp;", "&amp;N$12,'FE Energie'!$G:$U,9,FALSE)</f>
        <v>4640</v>
      </c>
      <c r="O23" s="1548"/>
      <c r="P23" s="223" t="e">
        <f>VLOOKUP($B23&amp;"; "&amp;$P$11&amp;", "&amp;P$12,'FE Energie'!$G:$U,9,FALSE)</f>
        <v>#N/A</v>
      </c>
      <c r="Q23" s="223" t="e">
        <f>VLOOKUP($B23&amp;"; "&amp;$P$11&amp;", "&amp;Q$12,'FE Energie'!$G:$U,9,FALSE)</f>
        <v>#N/A</v>
      </c>
      <c r="R23" s="566">
        <f>IF(ISNA(F23*G23),0,F23*G23)+IF(ISNA(I23*J23),0,I23*J23)+IF(ISNA(L23*M23),0,L23*M23)+IF(ISNA(O23*P23),0,O23*P23)</f>
        <v>0</v>
      </c>
      <c r="S23" s="567">
        <f>IF(ISNA(F23*H23),0,F23*H23)+IF(ISNA(I23*K23),0,I23*K23)+IF(ISNA(L23*N23),0,L23*N23)+IF(ISNA(O23*Q23),0,O23*Q23)</f>
        <v>0</v>
      </c>
      <c r="T23" s="114"/>
      <c r="U23" s="114"/>
      <c r="V23" s="114"/>
      <c r="W23" s="1092">
        <f>IF(AC23=0,AC23,AC23/(R23+S23))</f>
        <v>0</v>
      </c>
      <c r="X23" s="345"/>
      <c r="Y23" s="820"/>
      <c r="Z23" s="1826">
        <f>SQRT(SUMSQ(IF(ISNA($F23*G23*AV23),0,$F23*G23*AV23),IF(ISNA($I23*J23*AW23),0,$I23*J23*AW23),IF(ISNA($L23*M23*AX23),0,$L23*M23*AX23),IF(ISNA($O23*P23*AY23),0,$O23*P23*AY23)))</f>
        <v>0</v>
      </c>
      <c r="AA23" s="1826">
        <f>SQRT(SUMSQ(IF(ISNA($F23*H23*AZ23),0,$F23*H23*AZ23),IF(ISNA($I23*K23*BA23),0,$I23*K23*BA23),IF(ISNA($L23*N23*BB23),0,$L23*N23*BB23),IF(ISNA($O23*Q23*BC23),0,$O23*Q23*BC23)))</f>
        <v>0</v>
      </c>
      <c r="AB23" s="1826"/>
      <c r="AC23" s="152">
        <f>SQRT(SUMSQ(Z23,AA23))</f>
        <v>0</v>
      </c>
      <c r="AE23" s="564">
        <f>$F23*IF(ISNA(VLOOKUP($B23&amp;"; "&amp;$G$11&amp;", "&amp;G$12,'FE Energie'!$G:$U,10,FALSE)),0,VLOOKUP($B23&amp;"; "&amp;$G$11&amp;", "&amp;G$12,'FE Energie'!$G:$U,10,FALSE))
+$I23*IF(ISNA(VLOOKUP($B23&amp;"; "&amp;$J$11&amp;", "&amp;G$12,'FE Energie'!$G:$U,10,FALSE)),0,VLOOKUP($B23&amp;"; "&amp;$J$11&amp;", "&amp;G$12,'FE Energie'!$G:$U,10,FALSE))
+$L23*IF(ISNA(VLOOKUP($B23&amp;"; "&amp;$M$11&amp;", "&amp;G$12,'FE Energie'!$G:$U,10,FALSE)),0,VLOOKUP($B23&amp;"; "&amp;$M$11&amp;", "&amp;G$12,'FE Energie'!$G:$U,10,FALSE))
+$O23*IF(ISNA(VLOOKUP($B23&amp;"; "&amp;$P$11&amp;", "&amp;G$12,'FE Energie'!$G:$U,10,FALSE)),0,VLOOKUP($B23&amp;"; "&amp;$P$11&amp;", "&amp;G$12,'FE Energie'!$G:$U,10,FALSE))</f>
        <v>0</v>
      </c>
      <c r="AF23" s="565">
        <f>$F23*IF(ISNA(VLOOKUP($B23&amp;"; "&amp;$G$11&amp;", "&amp;H$12,'FE Energie'!$G:$U,10,FALSE)),0,VLOOKUP($B23&amp;"; "&amp;$G$11&amp;", "&amp;H$12,'FE Energie'!$G:$U,10,FALSE))
+$I23*IF(ISNA(VLOOKUP($B23&amp;"; "&amp;$J$11&amp;", "&amp;H$12,'FE Energie'!$G:$U,10,FALSE)),0,VLOOKUP($B23&amp;"; "&amp;$J$11&amp;", "&amp;H$12,'FE Energie'!$G:$U,10,FALSE))
+$L23*IF(ISNA(VLOOKUP($B23&amp;"; "&amp;$M$11&amp;", "&amp;H$12,'FE Energie'!$G:$U,10,FALSE)),0,VLOOKUP($B23&amp;"; "&amp;$M$11&amp;", "&amp;H$12,'FE Energie'!$G:$U,10,FALSE))
+$O23*IF(ISNA(VLOOKUP($B23&amp;"; "&amp;$P$11&amp;", "&amp;H$12,'FE Energie'!$G:$U,10,FALSE)),0,VLOOKUP($B23&amp;"; "&amp;$P$11&amp;", "&amp;H$12,'FE Energie'!$G:$U,10,FALSE))</f>
        <v>0</v>
      </c>
      <c r="AG23" s="620">
        <f>$F23*IF(ISNA((VLOOKUP($B23&amp;"; "&amp;$G$11&amp;", "&amp;G$12,'FE Energie'!$G:$U,12,FALSE)+VLOOKUP($B23&amp;"; "&amp;$G$11&amp;", "&amp;G$12,'FE Energie'!$G:$U,11,FALSE))),0,(VLOOKUP($B23&amp;"; "&amp;$G$11&amp;", "&amp;G$12,'FE Energie'!$G:$U,12,FALSE)+VLOOKUP($B23&amp;"; "&amp;$G$11&amp;", "&amp;G$12,'FE Energie'!$G:$U,11,FALSE)))
+$I23*IF(ISNA((VLOOKUP($B23&amp;"; "&amp;$J$11&amp;", "&amp;G$12,'FE Energie'!$G:$U,12,FALSE)+VLOOKUP($B23&amp;"; "&amp;$J$11&amp;", "&amp;G$12,'FE Energie'!$G:$U,11,FALSE))),0,(VLOOKUP($B23&amp;"; "&amp;$J$11&amp;", "&amp;G$12,'FE Energie'!$G:$U,12,FALSE)+VLOOKUP($B23&amp;"; "&amp;$J$11&amp;", "&amp;G$12,'FE Energie'!$G:$U,11,FALSE)))
+$L23*IF(ISNA((VLOOKUP($B23&amp;"; "&amp;$M$11&amp;", "&amp;G$12,'FE Energie'!$G:$U,12,FALSE)+VLOOKUP($B23&amp;"; "&amp;$M$11&amp;", "&amp;G$12,'FE Energie'!$G:$U,11,FALSE))),0,(VLOOKUP($B23&amp;"; "&amp;$M$11&amp;", "&amp;G$12,'FE Energie'!$G:$U,12,FALSE)+VLOOKUP($B23&amp;"; "&amp;$M$11&amp;", "&amp;G$12,'FE Energie'!$G:$U,11,FALSE)))
+$O23*IF(ISNA((VLOOKUP($B23&amp;"; "&amp;$P$11&amp;", "&amp;G$12,'FE Energie'!$G:$U,12,FALSE)+VLOOKUP($B23&amp;"; "&amp;$P$11&amp;", "&amp;G$12,'FE Energie'!$G:$U,11,FALSE))),0,(VLOOKUP($B23&amp;"; "&amp;$P$11&amp;", "&amp;G$12,'FE Energie'!$G:$U,12,FALSE)+VLOOKUP($B23&amp;"; "&amp;$P$11&amp;", "&amp;G$12,'FE Energie'!$G:$U,11,FALSE)))</f>
        <v>0</v>
      </c>
      <c r="AH23" s="620">
        <f>$F23*IF(ISNA((VLOOKUP($B23&amp;"; "&amp;$G$11&amp;", "&amp;H$12,'FE Energie'!$G:$U,12,FALSE)+VLOOKUP($B23&amp;"; "&amp;$G$11&amp;", "&amp;H$12,'FE Energie'!$G:$U,11,FALSE))),0,(VLOOKUP($B23&amp;"; "&amp;$G$11&amp;", "&amp;H$12,'FE Energie'!$G:$U,12,FALSE)+VLOOKUP($B23&amp;"; "&amp;$G$11&amp;", "&amp;H$12,'FE Energie'!$G:$U,11,FALSE)))
+$I23*IF(ISNA((VLOOKUP($B23&amp;"; "&amp;$J$11&amp;", "&amp;H$12,'FE Energie'!$G:$U,12,FALSE)+VLOOKUP($B23&amp;"; "&amp;$J$11&amp;", "&amp;H$12,'FE Energie'!$G:$U,11,FALSE))),0,(VLOOKUP($B23&amp;"; "&amp;$J$11&amp;", "&amp;H$12,'FE Energie'!$G:$U,12,FALSE)+VLOOKUP($B23&amp;"; "&amp;$J$11&amp;", "&amp;H$12,'FE Energie'!$G:$U,11,FALSE)))
+$L23*IF(ISNA((VLOOKUP($B23&amp;"; "&amp;$M$11&amp;", "&amp;H$12,'FE Energie'!$G:$U,12,FALSE)+VLOOKUP($B23&amp;"; "&amp;$M$11&amp;", "&amp;H$12,'FE Energie'!$G:$U,11,FALSE))),0,(VLOOKUP($B23&amp;"; "&amp;$M$11&amp;", "&amp;H$12,'FE Energie'!$G:$U,12,FALSE)+VLOOKUP($B23&amp;"; "&amp;$M$11&amp;", "&amp;H$12,'FE Energie'!$G:$U,11,FALSE)))
+$O23*IF(ISNA((VLOOKUP($B23&amp;"; "&amp;$P$11&amp;", "&amp;H$12,'FE Energie'!$G:$U,12,FALSE)+VLOOKUP($B23&amp;"; "&amp;$P$11&amp;", "&amp;H$12,'FE Energie'!$G:$U,11,FALSE))),0,(VLOOKUP($B23&amp;"; "&amp;$P$11&amp;", "&amp;H$12,'FE Energie'!$G:$U,12,FALSE)+VLOOKUP($B23&amp;"; "&amp;$P$11&amp;", "&amp;H$12,'FE Energie'!$G:$U,11,FALSE)))</f>
        <v>0</v>
      </c>
      <c r="AI23" s="620">
        <f>$F23*IF(ISNA(VLOOKUP($B23&amp;"; "&amp;$G$11&amp;", "&amp;G$12,'FE Energie'!$G:$U,13,FALSE)),0,VLOOKUP($B23&amp;"; "&amp;$G$11&amp;", "&amp;G$12,'FE Energie'!$G:$U,13,FALSE))
+$I23*IF(ISNA(VLOOKUP($B23&amp;"; "&amp;$J$11&amp;", "&amp;G$12,'FE Energie'!$G:$U,13,FALSE)),0,VLOOKUP($B23&amp;"; "&amp;$J$11&amp;", "&amp;G$12,'FE Energie'!$G:$U,13,FALSE))
+$L23*IF(ISNA(VLOOKUP($B23&amp;"; "&amp;$M$11&amp;", "&amp;G$12,'FE Energie'!$G:$U,13,FALSE)),0,VLOOKUP($B23&amp;"; "&amp;$M$11&amp;", "&amp;G$12,'FE Energie'!$G:$U,13,FALSE))
+$O23*IF(ISNA(VLOOKUP($B23&amp;"; "&amp;$P$11&amp;", "&amp;G$12,'FE Energie'!$G:$U,13,FALSE)),0,VLOOKUP($B23&amp;"; "&amp;$P$11&amp;", "&amp;G$12,'FE Energie'!$G:$U,13,FALSE))</f>
        <v>0</v>
      </c>
      <c r="AJ23" s="620">
        <f>$F23*IF(ISNA(VLOOKUP($B23&amp;"; "&amp;$G$11&amp;", "&amp;H$12,'FE Energie'!$G:$U,13,FALSE)),0,VLOOKUP($B23&amp;"; "&amp;$G$11&amp;", "&amp;H$12,'FE Energie'!$G:$U,13,FALSE))
+$I23*IF(ISNA(VLOOKUP($B23&amp;"; "&amp;$J$11&amp;", "&amp;H$12,'FE Energie'!$G:$U,13,FALSE)),0,VLOOKUP($B23&amp;"; "&amp;$J$11&amp;", "&amp;H$12,'FE Energie'!$G:$U,13,FALSE))
+$L23*IF(ISNA(VLOOKUP($B23&amp;"; "&amp;$M$11&amp;", "&amp;H$12,'FE Energie'!$G:$U,13,FALSE)),0,VLOOKUP($B23&amp;"; "&amp;$M$11&amp;", "&amp;H$12,'FE Energie'!$G:$U,13,FALSE))
+$O23*IF(ISNA(VLOOKUP($B23&amp;"; "&amp;$P$11&amp;", "&amp;H$12,'FE Energie'!$G:$U,13,FALSE)),0,VLOOKUP($B23&amp;"; "&amp;$P$11&amp;", "&amp;H$12,'FE Energie'!$G:$U,13,FALSE))</f>
        <v>0</v>
      </c>
      <c r="AK23" s="565">
        <f>$F23*IF(ISNA(VLOOKUP($B23&amp;"; "&amp;$G$11&amp;", "&amp;G$12,'FE Energie'!$G:$U,14,FALSE)),0,VLOOKUP($B23&amp;"; "&amp;$G$11&amp;", "&amp;G$12,'FE Energie'!$G:$U,14,FALSE))
+$I23*IF(ISNA(VLOOKUP($B23&amp;"; "&amp;$J$11&amp;", "&amp;G$12,'FE Energie'!$G:$U,14,FALSE)),0,VLOOKUP($B23&amp;"; "&amp;$J$11&amp;", "&amp;G$12,'FE Energie'!$G:$U,14,FALSE))
+$L23*IF(ISNA(VLOOKUP($B23&amp;"; "&amp;$M$11&amp;", "&amp;G$12,'FE Energie'!$G:$U,14,FALSE)),0,VLOOKUP($B23&amp;"; "&amp;$M$11&amp;", "&amp;G$12,'FE Energie'!$G:$U,14,FALSE))
+$O23*IF(ISNA(VLOOKUP($B23&amp;"; "&amp;$P$11&amp;", "&amp;G$12,'FE Energie'!$G:$U,14,FALSE)),0,VLOOKUP($B23&amp;"; "&amp;$P$11&amp;", "&amp;G$12,'FE Energie'!$G:$U,14,FALSE))</f>
        <v>0</v>
      </c>
      <c r="AL23" s="565">
        <f>$F23*IF(ISNA(VLOOKUP($B23&amp;"; "&amp;$G$11&amp;", "&amp;H$12,'FE Energie'!$G:$U,14,FALSE)),0,VLOOKUP($B23&amp;"; "&amp;$G$11&amp;", "&amp;H$12,'FE Energie'!$G:$U,14,FALSE))
+$I23*IF(ISNA(VLOOKUP($B23&amp;"; "&amp;$J$11&amp;", "&amp;H$12,'FE Energie'!$G:$U,14,FALSE)),0,VLOOKUP($B23&amp;"; "&amp;$J$11&amp;", "&amp;H$12,'FE Energie'!$G:$U,14,FALSE))
+$L23*IF(ISNA(VLOOKUP($B23&amp;"; "&amp;$M$11&amp;", "&amp;H$12,'FE Energie'!$G:$U,14,FALSE)),0,VLOOKUP($B23&amp;"; "&amp;$M$11&amp;", "&amp;H$12,'FE Energie'!$G:$U,14,FALSE))
+$O23*IF(ISNA(VLOOKUP($B23&amp;"; "&amp;$P$11&amp;", "&amp;H$12,'FE Energie'!$G:$U,14,FALSE)),0,VLOOKUP($B23&amp;"; "&amp;$P$11&amp;", "&amp;H$12,'FE Energie'!$G:$U,14,FALSE))</f>
        <v>0</v>
      </c>
      <c r="AM23" s="566">
        <f t="shared" si="0"/>
        <v>0</v>
      </c>
      <c r="AN23" s="566">
        <f t="shared" si="0"/>
        <v>0</v>
      </c>
      <c r="AO23" s="564">
        <f>$F23*IF(ISNA(VLOOKUP($B23&amp;"; "&amp;$G$11&amp;", "&amp;G$12,'FE Energie'!$G:$U,15,FALSE)),0,VLOOKUP($B23&amp;"; "&amp;$G$11&amp;", "&amp;G$12,'FE Energie'!$G:$U,15,FALSE))
+$I23*IF(ISNA(VLOOKUP($B23&amp;"; "&amp;$J$11&amp;", "&amp;G$12,'FE Energie'!$G:$U,15,FALSE)),0,VLOOKUP($B23&amp;"; "&amp;$J$11&amp;", "&amp;G$12,'FE Energie'!$G:$U,15,FALSE))
+$L23*IF(ISNA(VLOOKUP($B23&amp;"; "&amp;$M$11&amp;", "&amp;G$12,'FE Energie'!$G:$U,15,FALSE)),0,VLOOKUP($B23&amp;"; "&amp;$M$11&amp;", "&amp;G$12,'FE Energie'!$G:$U,15,FALSE))
+$O23*IF(ISNA(VLOOKUP($B23&amp;"; "&amp;$P$11&amp;", "&amp;G$12,'FE Energie'!$G:$U,15,FALSE)),0,VLOOKUP($B23&amp;"; "&amp;$P$11&amp;", "&amp;G$12,'FE Energie'!$G:$U,15,FALSE))</f>
        <v>0</v>
      </c>
      <c r="AP23" s="568">
        <f>$F23*IF(ISNA(VLOOKUP($B23&amp;"; "&amp;$G$11&amp;", "&amp;H$12,'FE Energie'!$G:$U,15,FALSE)),0,VLOOKUP($B23&amp;"; "&amp;$G$11&amp;", "&amp;H$12,'FE Energie'!$G:$U,15,FALSE))
+$I23*IF(ISNA(VLOOKUP($B23&amp;"; "&amp;$J$11&amp;", "&amp;H$12,'FE Energie'!$G:$U,15,FALSE)),0,VLOOKUP($B23&amp;"; "&amp;$J$11&amp;", "&amp;H$12,'FE Energie'!$G:$U,15,FALSE))
+$L23*IF(ISNA(VLOOKUP($B23&amp;"; "&amp;$M$11&amp;", "&amp;H$12,'FE Energie'!$G:$U,15,FALSE)),0,VLOOKUP($B23&amp;"; "&amp;$M$11&amp;", "&amp;H$12,'FE Energie'!$G:$U,15,FALSE))
+$O23*IF(ISNA(VLOOKUP($B23&amp;"; "&amp;$P$11&amp;", "&amp;H$12,'FE Energie'!$G:$U,15,FALSE)),0,VLOOKUP($B23&amp;"; "&amp;$P$11&amp;", "&amp;H$12,'FE Energie'!$G:$U,15,FALSE))</f>
        <v>0</v>
      </c>
      <c r="AQ23" s="114"/>
      <c r="AR23" s="1065">
        <f>IF($X23&lt;&gt;"votre valeur :",IF(ISNA(VLOOKUP($X23,Utilitaires!$N$566:$O$571,2,FALSE)),,VLOOKUP($X23,Utilitaires!$N$566:$O$571,2,FALSE)),$Y23)</f>
        <v>0</v>
      </c>
      <c r="AS23" s="1065">
        <f>IF($X23&lt;&gt;"votre valeur :",IF(ISNA(VLOOKUP($X23,Utilitaires!$N$566:$O$571,2,FALSE)),,VLOOKUP($X23,Utilitaires!$N$566:$O$571,2,FALSE)),$Y23)</f>
        <v>0</v>
      </c>
      <c r="AT23" s="1065">
        <f>IF($X23&lt;&gt;"votre valeur :",IF(ISNA(VLOOKUP($X23,Utilitaires!$N$566:$O$571,2,FALSE)),,VLOOKUP($X23,Utilitaires!$N$566:$O$571,2,FALSE)),$Y23)</f>
        <v>0</v>
      </c>
      <c r="AU23" s="1167">
        <f>IF($X23&lt;&gt;"votre valeur :",IF(ISNA(VLOOKUP($X23,Utilitaires!$N$566:$O$571,2,FALSE)),,VLOOKUP($X23,Utilitaires!$N$566:$O$571,2,FALSE)),$Y23)</f>
        <v>0</v>
      </c>
      <c r="AV23" s="1068">
        <f>IF(ISNA(SQRT(SUMSQ(VLOOKUP($B23&amp;"; "&amp;$G$11&amp;", "&amp;$G$12,'FE Energie'!$G:$U,7,FALSE),$AR23))),0,SQRT(SUMSQ(VLOOKUP($B23&amp;"; "&amp;$G$11&amp;", "&amp;$G$12,'FE Energie'!$G:$U,7,FALSE),$AR23)))</f>
        <v>0.2</v>
      </c>
      <c r="AW23" s="1068">
        <f>IF(ISNA(SQRT(SUMSQ(VLOOKUP($B23&amp;"; "&amp;$J$11&amp;", "&amp;$J$12,'FE Energie'!$G:$U,7,FALSE),$AS23))),0,SQRT(SUMSQ(VLOOKUP($B23&amp;"; "&amp;$J$11&amp;", "&amp;$J$12,'FE Energie'!$G:$U,7,FALSE),$AS23)))</f>
        <v>0.2</v>
      </c>
      <c r="AX23" s="1068">
        <f>IF(ISNA(SQRT(SUMSQ(VLOOKUP($B23&amp;"; "&amp;$M$11&amp;", "&amp;$M$12,'FE Energie'!$G:$U,7,FALSE),$AT23))),0,SQRT(SUMSQ(VLOOKUP($B23&amp;"; "&amp;$M$11&amp;", "&amp;$M$12,'FE Energie'!$G:$U,7,FALSE),$AT23)))</f>
        <v>0.2</v>
      </c>
      <c r="AY23" s="1068">
        <f>IF(ISNA(SQRT(SUMSQ(VLOOKUP($B23&amp;"; "&amp;$P$11&amp;", "&amp;$P$12,'FE Energie'!$G:$U,7,FALSE),$AU23))),0,SQRT(SUMSQ(VLOOKUP($B23&amp;"; "&amp;$P$11&amp;", "&amp;$P$12,'FE Energie'!$G:$U,7,FALSE),$AU23)))</f>
        <v>0</v>
      </c>
      <c r="AZ23" s="1069">
        <f>IF(ISNA(SQRT(SUMSQ(VLOOKUP($B23&amp;"; "&amp;$G$11&amp;", "&amp;$H$12,'FE Energie'!$G:$U,7,FALSE),$AR23))),0,SQRT(SUMSQ(VLOOKUP($B23&amp;"; "&amp;$G$11&amp;", "&amp;$H$12,'FE Energie'!$G:$U,7,FALSE),$AR23)))</f>
        <v>0.2</v>
      </c>
      <c r="BA23" s="1070">
        <f>IF(ISNA(SQRT(SUMSQ(VLOOKUP($B23&amp;"; "&amp;$J$11&amp;", "&amp;$K$12,'FE Energie'!$G:$U,7,FALSE),$AS23))),0,SQRT(SUMSQ(VLOOKUP($B23&amp;"; "&amp;$J$11&amp;", "&amp;$K$12,'FE Energie'!$G:$U,7,FALSE),$AS23)))</f>
        <v>0.2</v>
      </c>
      <c r="BB23" s="1070">
        <f>IF(ISNA(SQRT(SUMSQ(VLOOKUP($B23&amp;"; "&amp;$M$11&amp;", "&amp;$N$12,'FE Energie'!$G:$U,7,FALSE),$AT23))),0,SQRT(SUMSQ(VLOOKUP($B23&amp;"; "&amp;$M$11&amp;", "&amp;$N$12,'FE Energie'!$G:$U,7,FALSE),$AT23)))</f>
        <v>0.2</v>
      </c>
      <c r="BC23" s="1071">
        <f>IF(ISNA(SQRT(SUMSQ(VLOOKUP($B23&amp;"; "&amp;$P$11&amp;", "&amp;$Q$12,'FE Energie'!$G:$U,7,FALSE),$AU23))),0,SQRT(SUMSQ(VLOOKUP($B23&amp;"; "&amp;$P$11&amp;", "&amp;$Q$12,'FE Energie'!$G:$U,7,FALSE),$AU23)))</f>
        <v>0</v>
      </c>
    </row>
    <row r="24" spans="1:55" s="116" customFormat="1" ht="12.75" customHeight="1" outlineLevel="1">
      <c r="A24" s="114"/>
      <c r="B24" s="536" t="s">
        <v>1636</v>
      </c>
      <c r="C24" s="144"/>
      <c r="D24" s="315"/>
      <c r="E24" s="822"/>
      <c r="F24" s="1583"/>
      <c r="G24" s="335"/>
      <c r="H24" s="335"/>
      <c r="I24" s="1583"/>
      <c r="J24" s="223"/>
      <c r="K24" s="223"/>
      <c r="L24" s="1583"/>
      <c r="M24" s="217"/>
      <c r="N24" s="217"/>
      <c r="O24" s="1583"/>
      <c r="P24" s="223"/>
      <c r="Q24" s="223"/>
      <c r="R24" s="566"/>
      <c r="S24" s="567"/>
      <c r="T24" s="114"/>
      <c r="U24" s="114"/>
      <c r="V24" s="114"/>
      <c r="W24" s="1092"/>
      <c r="X24" s="820"/>
      <c r="Y24" s="820"/>
      <c r="Z24" s="1826"/>
      <c r="AA24" s="1826"/>
      <c r="AB24" s="1826"/>
      <c r="AC24" s="152"/>
      <c r="AE24" s="564"/>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customHeight="1" outlineLevel="1">
      <c r="A25" s="114"/>
      <c r="B25" s="143" t="s">
        <v>1638</v>
      </c>
      <c r="C25" s="144"/>
      <c r="D25" s="315">
        <f>SUM(R25,S25)</f>
        <v>0</v>
      </c>
      <c r="E25" s="344"/>
      <c r="F25" s="1584"/>
      <c r="G25" s="335">
        <f>VLOOKUP($B25&amp;"; "&amp;$G$11&amp;", "&amp;G$12,'FE Energie'!$G:$U,9,FALSE)</f>
        <v>0.247</v>
      </c>
      <c r="H25" s="335">
        <f>VLOOKUP($B25&amp;"; "&amp;$G$11&amp;", "&amp;H$12,'FE Energie'!$G:$U,9,FALSE)</f>
        <v>3.03</v>
      </c>
      <c r="I25" s="1584"/>
      <c r="J25" s="223">
        <f>VLOOKUP($B25&amp;"; "&amp;$J$11&amp;", "&amp;J$12,'FE Energie'!$G:$U,9,FALSE)</f>
        <v>3.1899999999999998E-2</v>
      </c>
      <c r="K25" s="223">
        <f>VLOOKUP($B25&amp;"; "&amp;$J$11&amp;", "&amp;K$12,'FE Energie'!$G:$U,9,FALSE)</f>
        <v>0.38900000000000001</v>
      </c>
      <c r="L25" s="1584"/>
      <c r="M25" s="217">
        <f>VLOOKUP($B25&amp;"; "&amp;$M$11&amp;", "&amp;M$12,'FE Energie'!$G:$U,9,FALSE)</f>
        <v>372</v>
      </c>
      <c r="N25" s="217">
        <f>VLOOKUP($B25&amp;"; "&amp;$M$11&amp;", "&amp;N$12,'FE Energie'!$G:$U,9,FALSE)</f>
        <v>4540</v>
      </c>
      <c r="O25" s="1584"/>
      <c r="P25" s="223" t="e">
        <f>VLOOKUP($B25&amp;"; "&amp;$P$11&amp;", "&amp;P$12,'FE Energie'!$G:$U,9,FALSE)</f>
        <v>#N/A</v>
      </c>
      <c r="Q25" s="223" t="e">
        <f>VLOOKUP($B25&amp;"; "&amp;$P$11&amp;", "&amp;Q$12,'FE Energie'!$G:$U,9,FALSE)</f>
        <v>#N/A</v>
      </c>
      <c r="R25" s="566">
        <f>IF(ISNA(F25*G25),0,F25*G25)+IF(ISNA(I25*J25),0,I25*J25)+IF(ISNA(L25*M25),0,L25*M25)+IF(ISNA(O25*P25),0,O25*P25)</f>
        <v>0</v>
      </c>
      <c r="S25" s="567">
        <f>IF(ISNA(F25*H25),0,F25*H25)+IF(ISNA(I25*K25),0,I25*K25)+IF(ISNA(L25*N25),0,L25*N25)+IF(ISNA(O25*Q25),0,O25*Q25)</f>
        <v>0</v>
      </c>
      <c r="T25" s="114"/>
      <c r="U25" s="114"/>
      <c r="V25" s="114"/>
      <c r="W25" s="1092">
        <f>IF(AC25=0,AC25,AC25/(R25+S25))</f>
        <v>0</v>
      </c>
      <c r="X25" s="343"/>
      <c r="Y25" s="820"/>
      <c r="Z25" s="1826">
        <f>SQRT(SUMSQ(IF(ISNA($F25*G25*AV25),0,$F25*G25*AV25),IF(ISNA($I25*J25*AW25),0,$I25*J25*AW25),IF(ISNA($L25*M25*AX25),0,$L25*M25*AX25),IF(ISNA($O25*P25*AY25),0,$O25*P25*AY25)))</f>
        <v>0</v>
      </c>
      <c r="AA25" s="1826">
        <f>SQRT(SUMSQ(IF(ISNA($F25*H25*AZ25),0,$F25*H25*AZ25),IF(ISNA($I25*K25*BA25),0,$I25*K25*BA25),IF(ISNA($L25*N25*BB25),0,$L25*N25*BB25),IF(ISNA($O25*Q25*BC25),0,$O25*Q25*BC25)))</f>
        <v>0</v>
      </c>
      <c r="AB25" s="1826"/>
      <c r="AC25" s="152">
        <f>SQRT(SUMSQ(Z25,AA25))</f>
        <v>0</v>
      </c>
      <c r="AE25" s="564">
        <f>$F25*IF(ISNA(VLOOKUP($B25&amp;"; "&amp;$G$11&amp;", "&amp;G$12,'FE Energie'!$G:$U,10,FALSE)),0,VLOOKUP($B25&amp;"; "&amp;$G$11&amp;", "&amp;G$12,'FE Energie'!$G:$U,10,FALSE))
+$I25*IF(ISNA(VLOOKUP($B25&amp;"; "&amp;$J$11&amp;", "&amp;G$12,'FE Energie'!$G:$U,10,FALSE)),0,VLOOKUP($B25&amp;"; "&amp;$J$11&amp;", "&amp;G$12,'FE Energie'!$G:$U,10,FALSE))
+$L25*IF(ISNA(VLOOKUP($B25&amp;"; "&amp;$M$11&amp;", "&amp;G$12,'FE Energie'!$G:$U,10,FALSE)),0,VLOOKUP($B25&amp;"; "&amp;$M$11&amp;", "&amp;G$12,'FE Energie'!$G:$U,10,FALSE))
+$O25*IF(ISNA(VLOOKUP($B25&amp;"; "&amp;$P$11&amp;", "&amp;G$12,'FE Energie'!$G:$U,10,FALSE)),0,VLOOKUP($B25&amp;"; "&amp;$P$11&amp;", "&amp;G$12,'FE Energie'!$G:$U,10,FALSE))</f>
        <v>0</v>
      </c>
      <c r="AF25" s="565">
        <f>$F25*IF(ISNA(VLOOKUP($B25&amp;"; "&amp;$G$11&amp;", "&amp;H$12,'FE Energie'!$G:$U,10,FALSE)),0,VLOOKUP($B25&amp;"; "&amp;$G$11&amp;", "&amp;H$12,'FE Energie'!$G:$U,10,FALSE))
+$I25*IF(ISNA(VLOOKUP($B25&amp;"; "&amp;$J$11&amp;", "&amp;H$12,'FE Energie'!$G:$U,10,FALSE)),0,VLOOKUP($B25&amp;"; "&amp;$J$11&amp;", "&amp;H$12,'FE Energie'!$G:$U,10,FALSE))
+$L25*IF(ISNA(VLOOKUP($B25&amp;"; "&amp;$M$11&amp;", "&amp;H$12,'FE Energie'!$G:$U,10,FALSE)),0,VLOOKUP($B25&amp;"; "&amp;$M$11&amp;", "&amp;H$12,'FE Energie'!$G:$U,10,FALSE))
+$O25*IF(ISNA(VLOOKUP($B25&amp;"; "&amp;$P$11&amp;", "&amp;H$12,'FE Energie'!$G:$U,10,FALSE)),0,VLOOKUP($B25&amp;"; "&amp;$P$11&amp;", "&amp;H$12,'FE Energie'!$G:$U,10,FALSE))</f>
        <v>0</v>
      </c>
      <c r="AG25" s="620">
        <f>$F25*IF(ISNA((VLOOKUP($B25&amp;"; "&amp;$G$11&amp;", "&amp;G$12,'FE Energie'!$G:$U,12,FALSE)+VLOOKUP($B25&amp;"; "&amp;$G$11&amp;", "&amp;G$12,'FE Energie'!$G:$U,11,FALSE))),0,(VLOOKUP($B25&amp;"; "&amp;$G$11&amp;", "&amp;G$12,'FE Energie'!$G:$U,12,FALSE)+VLOOKUP($B25&amp;"; "&amp;$G$11&amp;", "&amp;G$12,'FE Energie'!$G:$U,11,FALSE)))
+$I25*IF(ISNA((VLOOKUP($B25&amp;"; "&amp;$J$11&amp;", "&amp;G$12,'FE Energie'!$G:$U,12,FALSE)+VLOOKUP($B25&amp;"; "&amp;$J$11&amp;", "&amp;G$12,'FE Energie'!$G:$U,11,FALSE))),0,(VLOOKUP($B25&amp;"; "&amp;$J$11&amp;", "&amp;G$12,'FE Energie'!$G:$U,12,FALSE)+VLOOKUP($B25&amp;"; "&amp;$J$11&amp;", "&amp;G$12,'FE Energie'!$G:$U,11,FALSE)))
+$L25*IF(ISNA((VLOOKUP($B25&amp;"; "&amp;$M$11&amp;", "&amp;G$12,'FE Energie'!$G:$U,12,FALSE)+VLOOKUP($B25&amp;"; "&amp;$M$11&amp;", "&amp;G$12,'FE Energie'!$G:$U,11,FALSE))),0,(VLOOKUP($B25&amp;"; "&amp;$M$11&amp;", "&amp;G$12,'FE Energie'!$G:$U,12,FALSE)+VLOOKUP($B25&amp;"; "&amp;$M$11&amp;", "&amp;G$12,'FE Energie'!$G:$U,11,FALSE)))
+$O25*IF(ISNA((VLOOKUP($B25&amp;"; "&amp;$P$11&amp;", "&amp;G$12,'FE Energie'!$G:$U,12,FALSE)+VLOOKUP($B25&amp;"; "&amp;$P$11&amp;", "&amp;G$12,'FE Energie'!$G:$U,11,FALSE))),0,(VLOOKUP($B25&amp;"; "&amp;$P$11&amp;", "&amp;G$12,'FE Energie'!$G:$U,12,FALSE)+VLOOKUP($B25&amp;"; "&amp;$P$11&amp;", "&amp;G$12,'FE Energie'!$G:$U,11,FALSE)))</f>
        <v>0</v>
      </c>
      <c r="AH25" s="620">
        <f>$F25*IF(ISNA((VLOOKUP($B25&amp;"; "&amp;$G$11&amp;", "&amp;H$12,'FE Energie'!$G:$U,12,FALSE)+VLOOKUP($B25&amp;"; "&amp;$G$11&amp;", "&amp;H$12,'FE Energie'!$G:$U,11,FALSE))),0,(VLOOKUP($B25&amp;"; "&amp;$G$11&amp;", "&amp;H$12,'FE Energie'!$G:$U,12,FALSE)+VLOOKUP($B25&amp;"; "&amp;$G$11&amp;", "&amp;H$12,'FE Energie'!$G:$U,11,FALSE)))
+$I25*IF(ISNA((VLOOKUP($B25&amp;"; "&amp;$J$11&amp;", "&amp;H$12,'FE Energie'!$G:$U,12,FALSE)+VLOOKUP($B25&amp;"; "&amp;$J$11&amp;", "&amp;H$12,'FE Energie'!$G:$U,11,FALSE))),0,(VLOOKUP($B25&amp;"; "&amp;$J$11&amp;", "&amp;H$12,'FE Energie'!$G:$U,12,FALSE)+VLOOKUP($B25&amp;"; "&amp;$J$11&amp;", "&amp;H$12,'FE Energie'!$G:$U,11,FALSE)))
+$L25*IF(ISNA((VLOOKUP($B25&amp;"; "&amp;$M$11&amp;", "&amp;H$12,'FE Energie'!$G:$U,12,FALSE)+VLOOKUP($B25&amp;"; "&amp;$M$11&amp;", "&amp;H$12,'FE Energie'!$G:$U,11,FALSE))),0,(VLOOKUP($B25&amp;"; "&amp;$M$11&amp;", "&amp;H$12,'FE Energie'!$G:$U,12,FALSE)+VLOOKUP($B25&amp;"; "&amp;$M$11&amp;", "&amp;H$12,'FE Energie'!$G:$U,11,FALSE)))
+$O25*IF(ISNA((VLOOKUP($B25&amp;"; "&amp;$P$11&amp;", "&amp;H$12,'FE Energie'!$G:$U,12,FALSE)+VLOOKUP($B25&amp;"; "&amp;$P$11&amp;", "&amp;H$12,'FE Energie'!$G:$U,11,FALSE))),0,(VLOOKUP($B25&amp;"; "&amp;$P$11&amp;", "&amp;H$12,'FE Energie'!$G:$U,12,FALSE)+VLOOKUP($B25&amp;"; "&amp;$P$11&amp;", "&amp;H$12,'FE Energie'!$G:$U,11,FALSE)))</f>
        <v>0</v>
      </c>
      <c r="AI25" s="620">
        <f>$F25*IF(ISNA(VLOOKUP($B25&amp;"; "&amp;$G$11&amp;", "&amp;G$12,'FE Energie'!$G:$U,13,FALSE)),0,VLOOKUP($B25&amp;"; "&amp;$G$11&amp;", "&amp;G$12,'FE Energie'!$G:$U,13,FALSE))
+$I25*IF(ISNA(VLOOKUP($B25&amp;"; "&amp;$J$11&amp;", "&amp;G$12,'FE Energie'!$G:$U,13,FALSE)),0,VLOOKUP($B25&amp;"; "&amp;$J$11&amp;", "&amp;G$12,'FE Energie'!$G:$U,13,FALSE))
+$L25*IF(ISNA(VLOOKUP($B25&amp;"; "&amp;$M$11&amp;", "&amp;G$12,'FE Energie'!$G:$U,13,FALSE)),0,VLOOKUP($B25&amp;"; "&amp;$M$11&amp;", "&amp;G$12,'FE Energie'!$G:$U,13,FALSE))
+$O25*IF(ISNA(VLOOKUP($B25&amp;"; "&amp;$P$11&amp;", "&amp;G$12,'FE Energie'!$G:$U,13,FALSE)),0,VLOOKUP($B25&amp;"; "&amp;$P$11&amp;", "&amp;G$12,'FE Energie'!$G:$U,13,FALSE))</f>
        <v>0</v>
      </c>
      <c r="AJ25" s="620">
        <f>$F25*IF(ISNA(VLOOKUP($B25&amp;"; "&amp;$G$11&amp;", "&amp;H$12,'FE Energie'!$G:$U,13,FALSE)),0,VLOOKUP($B25&amp;"; "&amp;$G$11&amp;", "&amp;H$12,'FE Energie'!$G:$U,13,FALSE))
+$I25*IF(ISNA(VLOOKUP($B25&amp;"; "&amp;$J$11&amp;", "&amp;H$12,'FE Energie'!$G:$U,13,FALSE)),0,VLOOKUP($B25&amp;"; "&amp;$J$11&amp;", "&amp;H$12,'FE Energie'!$G:$U,13,FALSE))
+$L25*IF(ISNA(VLOOKUP($B25&amp;"; "&amp;$M$11&amp;", "&amp;H$12,'FE Energie'!$G:$U,13,FALSE)),0,VLOOKUP($B25&amp;"; "&amp;$M$11&amp;", "&amp;H$12,'FE Energie'!$G:$U,13,FALSE))
+$O25*IF(ISNA(VLOOKUP($B25&amp;"; "&amp;$P$11&amp;", "&amp;H$12,'FE Energie'!$G:$U,13,FALSE)),0,VLOOKUP($B25&amp;"; "&amp;$P$11&amp;", "&amp;H$12,'FE Energie'!$G:$U,13,FALSE))</f>
        <v>0</v>
      </c>
      <c r="AK25" s="565">
        <f>$F25*IF(ISNA(VLOOKUP($B25&amp;"; "&amp;$G$11&amp;", "&amp;G$12,'FE Energie'!$G:$U,14,FALSE)),0,VLOOKUP($B25&amp;"; "&amp;$G$11&amp;", "&amp;G$12,'FE Energie'!$G:$U,14,FALSE))
+$I25*IF(ISNA(VLOOKUP($B25&amp;"; "&amp;$J$11&amp;", "&amp;G$12,'FE Energie'!$G:$U,14,FALSE)),0,VLOOKUP($B25&amp;"; "&amp;$J$11&amp;", "&amp;G$12,'FE Energie'!$G:$U,14,FALSE))
+$L25*IF(ISNA(VLOOKUP($B25&amp;"; "&amp;$M$11&amp;", "&amp;G$12,'FE Energie'!$G:$U,14,FALSE)),0,VLOOKUP($B25&amp;"; "&amp;$M$11&amp;", "&amp;G$12,'FE Energie'!$G:$U,14,FALSE))
+$O25*IF(ISNA(VLOOKUP($B25&amp;"; "&amp;$P$11&amp;", "&amp;G$12,'FE Energie'!$G:$U,14,FALSE)),0,VLOOKUP($B25&amp;"; "&amp;$P$11&amp;", "&amp;G$12,'FE Energie'!$G:$U,14,FALSE))</f>
        <v>0</v>
      </c>
      <c r="AL25" s="565">
        <f>$F25*IF(ISNA(VLOOKUP($B25&amp;"; "&amp;$G$11&amp;", "&amp;H$12,'FE Energie'!$G:$U,14,FALSE)),0,VLOOKUP($B25&amp;"; "&amp;$G$11&amp;", "&amp;H$12,'FE Energie'!$G:$U,14,FALSE))
+$I25*IF(ISNA(VLOOKUP($B25&amp;"; "&amp;$J$11&amp;", "&amp;H$12,'FE Energie'!$G:$U,14,FALSE)),0,VLOOKUP($B25&amp;"; "&amp;$J$11&amp;", "&amp;H$12,'FE Energie'!$G:$U,14,FALSE))
+$L25*IF(ISNA(VLOOKUP($B25&amp;"; "&amp;$M$11&amp;", "&amp;H$12,'FE Energie'!$G:$U,14,FALSE)),0,VLOOKUP($B25&amp;"; "&amp;$M$11&amp;", "&amp;H$12,'FE Energie'!$G:$U,14,FALSE))
+$O25*IF(ISNA(VLOOKUP($B25&amp;"; "&amp;$P$11&amp;", "&amp;H$12,'FE Energie'!$G:$U,14,FALSE)),0,VLOOKUP($B25&amp;"; "&amp;$P$11&amp;", "&amp;H$12,'FE Energie'!$G:$U,14,FALSE))</f>
        <v>0</v>
      </c>
      <c r="AM25" s="566">
        <f t="shared" si="0"/>
        <v>0</v>
      </c>
      <c r="AN25" s="566">
        <f t="shared" si="0"/>
        <v>0</v>
      </c>
      <c r="AO25" s="564">
        <f>$F25*IF(ISNA(VLOOKUP($B25&amp;"; "&amp;$G$11&amp;", "&amp;G$12,'FE Energie'!$G:$U,15,FALSE)),0,VLOOKUP($B25&amp;"; "&amp;$G$11&amp;", "&amp;G$12,'FE Energie'!$G:$U,15,FALSE))
+$I25*IF(ISNA(VLOOKUP($B25&amp;"; "&amp;$J$11&amp;", "&amp;G$12,'FE Energie'!$G:$U,15,FALSE)),0,VLOOKUP($B25&amp;"; "&amp;$J$11&amp;", "&amp;G$12,'FE Energie'!$G:$U,15,FALSE))
+$L25*IF(ISNA(VLOOKUP($B25&amp;"; "&amp;$M$11&amp;", "&amp;G$12,'FE Energie'!$G:$U,15,FALSE)),0,VLOOKUP($B25&amp;"; "&amp;$M$11&amp;", "&amp;G$12,'FE Energie'!$G:$U,15,FALSE))
+$O25*IF(ISNA(VLOOKUP($B25&amp;"; "&amp;$P$11&amp;", "&amp;G$12,'FE Energie'!$G:$U,15,FALSE)),0,VLOOKUP($B25&amp;"; "&amp;$P$11&amp;", "&amp;G$12,'FE Energie'!$G:$U,15,FALSE))</f>
        <v>0</v>
      </c>
      <c r="AP25" s="568">
        <f>$F25*IF(ISNA(VLOOKUP($B25&amp;"; "&amp;$G$11&amp;", "&amp;H$12,'FE Energie'!$G:$U,15,FALSE)),0,VLOOKUP($B25&amp;"; "&amp;$G$11&amp;", "&amp;H$12,'FE Energie'!$G:$U,15,FALSE))
+$I25*IF(ISNA(VLOOKUP($B25&amp;"; "&amp;$J$11&amp;", "&amp;H$12,'FE Energie'!$G:$U,15,FALSE)),0,VLOOKUP($B25&amp;"; "&amp;$J$11&amp;", "&amp;H$12,'FE Energie'!$G:$U,15,FALSE))
+$L25*IF(ISNA(VLOOKUP($B25&amp;"; "&amp;$M$11&amp;", "&amp;H$12,'FE Energie'!$G:$U,15,FALSE)),0,VLOOKUP($B25&amp;"; "&amp;$M$11&amp;", "&amp;H$12,'FE Energie'!$G:$U,15,FALSE))
+$O25*IF(ISNA(VLOOKUP($B25&amp;"; "&amp;$P$11&amp;", "&amp;H$12,'FE Energie'!$G:$U,15,FALSE)),0,VLOOKUP($B25&amp;"; "&amp;$P$11&amp;", "&amp;H$12,'FE Energie'!$G:$U,15,FALSE))</f>
        <v>0</v>
      </c>
      <c r="AQ25" s="114"/>
      <c r="AR25" s="1065">
        <f>IF($X25&lt;&gt;"votre valeur :",IF(ISNA(VLOOKUP($X25,Utilitaires!$N$566:$O$571,2,FALSE)),,VLOOKUP($X25,Utilitaires!$N$566:$O$571,2,FALSE)),$Y25)</f>
        <v>0</v>
      </c>
      <c r="AS25" s="1065">
        <f>IF($X25&lt;&gt;"votre valeur :",IF(ISNA(VLOOKUP($X25,Utilitaires!$N$566:$O$571,2,FALSE)),,VLOOKUP($X25,Utilitaires!$N$566:$O$571,2,FALSE)),$Y25)</f>
        <v>0</v>
      </c>
      <c r="AT25" s="1065">
        <f>IF($X25&lt;&gt;"votre valeur :",IF(ISNA(VLOOKUP($X25,Utilitaires!$N$566:$O$571,2,FALSE)),,VLOOKUP($X25,Utilitaires!$N$566:$O$571,2,FALSE)),$Y25)</f>
        <v>0</v>
      </c>
      <c r="AU25" s="1167">
        <f>IF($X25&lt;&gt;"votre valeur :",IF(ISNA(VLOOKUP($X25,Utilitaires!$N$566:$O$571,2,FALSE)),,VLOOKUP($X25,Utilitaires!$N$566:$O$571,2,FALSE)),$Y25)</f>
        <v>0</v>
      </c>
      <c r="AV25" s="1068">
        <f>IF(ISNA(SQRT(SUMSQ(VLOOKUP($B25&amp;"; "&amp;$G$11&amp;", "&amp;$G$12,'FE Energie'!$G:$U,7,FALSE),$AR25))),0,SQRT(SUMSQ(VLOOKUP($B25&amp;"; "&amp;$G$11&amp;", "&amp;$G$12,'FE Energie'!$G:$U,7,FALSE),$AR25)))</f>
        <v>0.2</v>
      </c>
      <c r="AW25" s="1068">
        <f>IF(ISNA(SQRT(SUMSQ(VLOOKUP($B25&amp;"; "&amp;$J$11&amp;", "&amp;$J$12,'FE Energie'!$G:$U,7,FALSE),$AS25))),0,SQRT(SUMSQ(VLOOKUP($B25&amp;"; "&amp;$J$11&amp;", "&amp;$J$12,'FE Energie'!$G:$U,7,FALSE),$AS25)))</f>
        <v>0.2</v>
      </c>
      <c r="AX25" s="1068">
        <f>IF(ISNA(SQRT(SUMSQ(VLOOKUP($B25&amp;"; "&amp;$M$11&amp;", "&amp;$M$12,'FE Energie'!$G:$U,7,FALSE),$AT25))),0,SQRT(SUMSQ(VLOOKUP($B25&amp;"; "&amp;$M$11&amp;", "&amp;$M$12,'FE Energie'!$G:$U,7,FALSE),$AT25)))</f>
        <v>0.2</v>
      </c>
      <c r="AY25" s="1068">
        <f>IF(ISNA(SQRT(SUMSQ(VLOOKUP($B25&amp;"; "&amp;$P$11&amp;", "&amp;$P$12,'FE Energie'!$G:$U,7,FALSE),$AU25))),0,SQRT(SUMSQ(VLOOKUP($B25&amp;"; "&amp;$P$11&amp;", "&amp;$P$12,'FE Energie'!$G:$U,7,FALSE),$AU25)))</f>
        <v>0</v>
      </c>
      <c r="AZ25" s="1069">
        <f>IF(ISNA(SQRT(SUMSQ(VLOOKUP($B25&amp;"; "&amp;$G$11&amp;", "&amp;$H$12,'FE Energie'!$G:$U,7,FALSE),$AR25))),0,SQRT(SUMSQ(VLOOKUP($B25&amp;"; "&amp;$G$11&amp;", "&amp;$H$12,'FE Energie'!$G:$U,7,FALSE),$AR25)))</f>
        <v>0.2</v>
      </c>
      <c r="BA25" s="1070">
        <f>IF(ISNA(SQRT(SUMSQ(VLOOKUP($B25&amp;"; "&amp;$J$11&amp;", "&amp;$K$12,'FE Energie'!$G:$U,7,FALSE),$AS25))),0,SQRT(SUMSQ(VLOOKUP($B25&amp;"; "&amp;$J$11&amp;", "&amp;$K$12,'FE Energie'!$G:$U,7,FALSE),$AS25)))</f>
        <v>0.2</v>
      </c>
      <c r="BB25" s="1070">
        <f>IF(ISNA(SQRT(SUMSQ(VLOOKUP($B25&amp;"; "&amp;$M$11&amp;", "&amp;$N$12,'FE Energie'!$G:$U,7,FALSE),$AT25))),0,SQRT(SUMSQ(VLOOKUP($B25&amp;"; "&amp;$M$11&amp;", "&amp;$N$12,'FE Energie'!$G:$U,7,FALSE),$AT25)))</f>
        <v>0.2</v>
      </c>
      <c r="BC25" s="1071">
        <f>IF(ISNA(SQRT(SUMSQ(VLOOKUP($B25&amp;"; "&amp;$P$11&amp;", "&amp;$Q$12,'FE Energie'!$G:$U,7,FALSE),$AU25))),0,SQRT(SUMSQ(VLOOKUP($B25&amp;"; "&amp;$P$11&amp;", "&amp;$Q$12,'FE Energie'!$G:$U,7,FALSE),$AU25)))</f>
        <v>0</v>
      </c>
    </row>
    <row r="26" spans="1:55" s="116" customFormat="1" ht="12.75" customHeight="1" outlineLevel="1">
      <c r="A26" s="114"/>
      <c r="B26" s="143" t="s">
        <v>4080</v>
      </c>
      <c r="C26" s="144"/>
      <c r="D26" s="315">
        <f>SUM(R26,S26)</f>
        <v>0</v>
      </c>
      <c r="E26" s="345"/>
      <c r="F26" s="1548"/>
      <c r="G26" s="335" t="e">
        <f>VLOOKUP($B26&amp;"; "&amp;$G$11&amp;", "&amp;G$12,'FE Energie'!$G:$U,9,FALSE)</f>
        <v>#N/A</v>
      </c>
      <c r="H26" s="335" t="e">
        <f>VLOOKUP($B26&amp;"; "&amp;$G$11&amp;", "&amp;H$12,'FE Energie'!$G:$U,9,FALSE)</f>
        <v>#N/A</v>
      </c>
      <c r="I26" s="1548"/>
      <c r="J26" s="223" t="e">
        <f>VLOOKUP($B26&amp;"; "&amp;$J$11&amp;", "&amp;J$12,'FE Energie'!$G:$U,9,FALSE)</f>
        <v>#N/A</v>
      </c>
      <c r="K26" s="223" t="e">
        <f>VLOOKUP($B26&amp;"; "&amp;$J$11&amp;", "&amp;K$12,'FE Energie'!$G:$U,9,FALSE)</f>
        <v>#N/A</v>
      </c>
      <c r="L26" s="1548"/>
      <c r="M26" s="217" t="e">
        <f>VLOOKUP($B26&amp;"; "&amp;$M$11&amp;", "&amp;M$12,'FE Energie'!$G:$U,9,FALSE)</f>
        <v>#N/A</v>
      </c>
      <c r="N26" s="217" t="e">
        <f>VLOOKUP($B26&amp;"; "&amp;$M$11&amp;", "&amp;N$12,'FE Energie'!$G:$U,9,FALSE)</f>
        <v>#N/A</v>
      </c>
      <c r="O26" s="1548"/>
      <c r="P26" s="223" t="e">
        <f>VLOOKUP($B26&amp;"; "&amp;$P$11&amp;", "&amp;P$12,'FE Energie'!$G:$U,9,FALSE)</f>
        <v>#N/A</v>
      </c>
      <c r="Q26" s="223" t="e">
        <f>VLOOKUP($B26&amp;"; "&amp;$P$11&amp;", "&amp;Q$12,'FE Energie'!$G:$U,9,FALSE)</f>
        <v>#N/A</v>
      </c>
      <c r="R26" s="566">
        <f>IF(ISNA(F26*G26),0,F26*G26)+IF(ISNA(I26*J26),0,I26*J26)+IF(ISNA(L26*M26),0,L26*M26)+IF(ISNA(O26*P26),0,O26*P26)</f>
        <v>0</v>
      </c>
      <c r="S26" s="567">
        <f>IF(ISNA(F26*H26),0,F26*H26)+IF(ISNA(I26*K26),0,I26*K26)+IF(ISNA(L26*N26),0,L26*N26)+IF(ISNA(O26*Q26),0,O26*Q26)</f>
        <v>0</v>
      </c>
      <c r="T26" s="114"/>
      <c r="U26" s="114"/>
      <c r="V26" s="114"/>
      <c r="W26" s="1092">
        <f>IF(AC26=0,AC26,AC26/(R26+S26))</f>
        <v>0</v>
      </c>
      <c r="X26" s="345"/>
      <c r="Y26" s="820"/>
      <c r="Z26" s="1826">
        <f>SQRT(SUMSQ(IF(ISNA($F26*G26*AV26),0,$F26*G26*AV26),IF(ISNA($I26*J26*AW26),0,$I26*J26*AW26),IF(ISNA($L26*M26*AX26),0,$L26*M26*AX26),IF(ISNA($O26*P26*AY26),0,$O26*P26*AY26)))</f>
        <v>0</v>
      </c>
      <c r="AA26" s="1826">
        <f>SQRT(SUMSQ(IF(ISNA($F26*H26*AZ26),0,$F26*H26*AZ26),IF(ISNA($I26*K26*BA26),0,$I26*K26*BA26),IF(ISNA($L26*N26*BB26),0,$L26*N26*BB26),IF(ISNA($O26*Q26*BC26),0,$O26*Q26*BC26)))</f>
        <v>0</v>
      </c>
      <c r="AB26" s="1826"/>
      <c r="AC26" s="152">
        <f>SQRT(SUMSQ(Z26,AA26))</f>
        <v>0</v>
      </c>
      <c r="AE26" s="564">
        <f>$F26*IF(ISNA(VLOOKUP($B26&amp;"; "&amp;$G$11&amp;", "&amp;G$12,'FE Energie'!$G:$U,10,FALSE)),0,VLOOKUP($B26&amp;"; "&amp;$G$11&amp;", "&amp;G$12,'FE Energie'!$G:$U,10,FALSE))
+$I26*IF(ISNA(VLOOKUP($B26&amp;"; "&amp;$J$11&amp;", "&amp;G$12,'FE Energie'!$G:$U,10,FALSE)),0,VLOOKUP($B26&amp;"; "&amp;$J$11&amp;", "&amp;G$12,'FE Energie'!$G:$U,10,FALSE))
+$L26*IF(ISNA(VLOOKUP($B26&amp;"; "&amp;$M$11&amp;", "&amp;G$12,'FE Energie'!$G:$U,10,FALSE)),0,VLOOKUP($B26&amp;"; "&amp;$M$11&amp;", "&amp;G$12,'FE Energie'!$G:$U,10,FALSE))
+$O26*IF(ISNA(VLOOKUP($B26&amp;"; "&amp;$P$11&amp;", "&amp;G$12,'FE Energie'!$G:$U,10,FALSE)),0,VLOOKUP($B26&amp;"; "&amp;$P$11&amp;", "&amp;G$12,'FE Energie'!$G:$U,10,FALSE))</f>
        <v>0</v>
      </c>
      <c r="AF26" s="565">
        <f>$F26*IF(ISNA(VLOOKUP($B26&amp;"; "&amp;$G$11&amp;", "&amp;H$12,'FE Energie'!$G:$U,10,FALSE)),0,VLOOKUP($B26&amp;"; "&amp;$G$11&amp;", "&amp;H$12,'FE Energie'!$G:$U,10,FALSE))
+$I26*IF(ISNA(VLOOKUP($B26&amp;"; "&amp;$J$11&amp;", "&amp;H$12,'FE Energie'!$G:$U,10,FALSE)),0,VLOOKUP($B26&amp;"; "&amp;$J$11&amp;", "&amp;H$12,'FE Energie'!$G:$U,10,FALSE))
+$L26*IF(ISNA(VLOOKUP($B26&amp;"; "&amp;$M$11&amp;", "&amp;H$12,'FE Energie'!$G:$U,10,FALSE)),0,VLOOKUP($B26&amp;"; "&amp;$M$11&amp;", "&amp;H$12,'FE Energie'!$G:$U,10,FALSE))
+$O26*IF(ISNA(VLOOKUP($B26&amp;"; "&amp;$P$11&amp;", "&amp;H$12,'FE Energie'!$G:$U,10,FALSE)),0,VLOOKUP($B26&amp;"; "&amp;$P$11&amp;", "&amp;H$12,'FE Energie'!$G:$U,10,FALSE))</f>
        <v>0</v>
      </c>
      <c r="AG26" s="620">
        <f>$F26*IF(ISNA((VLOOKUP($B26&amp;"; "&amp;$G$11&amp;", "&amp;G$12,'FE Energie'!$G:$U,12,FALSE)+VLOOKUP($B26&amp;"; "&amp;$G$11&amp;", "&amp;G$12,'FE Energie'!$G:$U,11,FALSE))),0,(VLOOKUP($B26&amp;"; "&amp;$G$11&amp;", "&amp;G$12,'FE Energie'!$G:$U,12,FALSE)+VLOOKUP($B26&amp;"; "&amp;$G$11&amp;", "&amp;G$12,'FE Energie'!$G:$U,11,FALSE)))
+$I26*IF(ISNA((VLOOKUP($B26&amp;"; "&amp;$J$11&amp;", "&amp;G$12,'FE Energie'!$G:$U,12,FALSE)+VLOOKUP($B26&amp;"; "&amp;$J$11&amp;", "&amp;G$12,'FE Energie'!$G:$U,11,FALSE))),0,(VLOOKUP($B26&amp;"; "&amp;$J$11&amp;", "&amp;G$12,'FE Energie'!$G:$U,12,FALSE)+VLOOKUP($B26&amp;"; "&amp;$J$11&amp;", "&amp;G$12,'FE Energie'!$G:$U,11,FALSE)))
+$L26*IF(ISNA((VLOOKUP($B26&amp;"; "&amp;$M$11&amp;", "&amp;G$12,'FE Energie'!$G:$U,12,FALSE)+VLOOKUP($B26&amp;"; "&amp;$M$11&amp;", "&amp;G$12,'FE Energie'!$G:$U,11,FALSE))),0,(VLOOKUP($B26&amp;"; "&amp;$M$11&amp;", "&amp;G$12,'FE Energie'!$G:$U,12,FALSE)+VLOOKUP($B26&amp;"; "&amp;$M$11&amp;", "&amp;G$12,'FE Energie'!$G:$U,11,FALSE)))
+$O26*IF(ISNA((VLOOKUP($B26&amp;"; "&amp;$P$11&amp;", "&amp;G$12,'FE Energie'!$G:$U,12,FALSE)+VLOOKUP($B26&amp;"; "&amp;$P$11&amp;", "&amp;G$12,'FE Energie'!$G:$U,11,FALSE))),0,(VLOOKUP($B26&amp;"; "&amp;$P$11&amp;", "&amp;G$12,'FE Energie'!$G:$U,12,FALSE)+VLOOKUP($B26&amp;"; "&amp;$P$11&amp;", "&amp;G$12,'FE Energie'!$G:$U,11,FALSE)))</f>
        <v>0</v>
      </c>
      <c r="AH26" s="620">
        <f>$F26*IF(ISNA((VLOOKUP($B26&amp;"; "&amp;$G$11&amp;", "&amp;H$12,'FE Energie'!$G:$U,12,FALSE)+VLOOKUP($B26&amp;"; "&amp;$G$11&amp;", "&amp;H$12,'FE Energie'!$G:$U,11,FALSE))),0,(VLOOKUP($B26&amp;"; "&amp;$G$11&amp;", "&amp;H$12,'FE Energie'!$G:$U,12,FALSE)+VLOOKUP($B26&amp;"; "&amp;$G$11&amp;", "&amp;H$12,'FE Energie'!$G:$U,11,FALSE)))
+$I26*IF(ISNA((VLOOKUP($B26&amp;"; "&amp;$J$11&amp;", "&amp;H$12,'FE Energie'!$G:$U,12,FALSE)+VLOOKUP($B26&amp;"; "&amp;$J$11&amp;", "&amp;H$12,'FE Energie'!$G:$U,11,FALSE))),0,(VLOOKUP($B26&amp;"; "&amp;$J$11&amp;", "&amp;H$12,'FE Energie'!$G:$U,12,FALSE)+VLOOKUP($B26&amp;"; "&amp;$J$11&amp;", "&amp;H$12,'FE Energie'!$G:$U,11,FALSE)))
+$L26*IF(ISNA((VLOOKUP($B26&amp;"; "&amp;$M$11&amp;", "&amp;H$12,'FE Energie'!$G:$U,12,FALSE)+VLOOKUP($B26&amp;"; "&amp;$M$11&amp;", "&amp;H$12,'FE Energie'!$G:$U,11,FALSE))),0,(VLOOKUP($B26&amp;"; "&amp;$M$11&amp;", "&amp;H$12,'FE Energie'!$G:$U,12,FALSE)+VLOOKUP($B26&amp;"; "&amp;$M$11&amp;", "&amp;H$12,'FE Energie'!$G:$U,11,FALSE)))
+$O26*IF(ISNA((VLOOKUP($B26&amp;"; "&amp;$P$11&amp;", "&amp;H$12,'FE Energie'!$G:$U,12,FALSE)+VLOOKUP($B26&amp;"; "&amp;$P$11&amp;", "&amp;H$12,'FE Energie'!$G:$U,11,FALSE))),0,(VLOOKUP($B26&amp;"; "&amp;$P$11&amp;", "&amp;H$12,'FE Energie'!$G:$U,12,FALSE)+VLOOKUP($B26&amp;"; "&amp;$P$11&amp;", "&amp;H$12,'FE Energie'!$G:$U,11,FALSE)))</f>
        <v>0</v>
      </c>
      <c r="AI26" s="620">
        <f>$F26*IF(ISNA(VLOOKUP($B26&amp;"; "&amp;$G$11&amp;", "&amp;G$12,'FE Energie'!$G:$U,13,FALSE)),0,VLOOKUP($B26&amp;"; "&amp;$G$11&amp;", "&amp;G$12,'FE Energie'!$G:$U,13,FALSE))
+$I26*IF(ISNA(VLOOKUP($B26&amp;"; "&amp;$J$11&amp;", "&amp;G$12,'FE Energie'!$G:$U,13,FALSE)),0,VLOOKUP($B26&amp;"; "&amp;$J$11&amp;", "&amp;G$12,'FE Energie'!$G:$U,13,FALSE))
+$L26*IF(ISNA(VLOOKUP($B26&amp;"; "&amp;$M$11&amp;", "&amp;G$12,'FE Energie'!$G:$U,13,FALSE)),0,VLOOKUP($B26&amp;"; "&amp;$M$11&amp;", "&amp;G$12,'FE Energie'!$G:$U,13,FALSE))
+$O26*IF(ISNA(VLOOKUP($B26&amp;"; "&amp;$P$11&amp;", "&amp;G$12,'FE Energie'!$G:$U,13,FALSE)),0,VLOOKUP($B26&amp;"; "&amp;$P$11&amp;", "&amp;G$12,'FE Energie'!$G:$U,13,FALSE))</f>
        <v>0</v>
      </c>
      <c r="AJ26" s="620">
        <f>$F26*IF(ISNA(VLOOKUP($B26&amp;"; "&amp;$G$11&amp;", "&amp;H$12,'FE Energie'!$G:$U,13,FALSE)),0,VLOOKUP($B26&amp;"; "&amp;$G$11&amp;", "&amp;H$12,'FE Energie'!$G:$U,13,FALSE))
+$I26*IF(ISNA(VLOOKUP($B26&amp;"; "&amp;$J$11&amp;", "&amp;H$12,'FE Energie'!$G:$U,13,FALSE)),0,VLOOKUP($B26&amp;"; "&amp;$J$11&amp;", "&amp;H$12,'FE Energie'!$G:$U,13,FALSE))
+$L26*IF(ISNA(VLOOKUP($B26&amp;"; "&amp;$M$11&amp;", "&amp;H$12,'FE Energie'!$G:$U,13,FALSE)),0,VLOOKUP($B26&amp;"; "&amp;$M$11&amp;", "&amp;H$12,'FE Energie'!$G:$U,13,FALSE))
+$O26*IF(ISNA(VLOOKUP($B26&amp;"; "&amp;$P$11&amp;", "&amp;H$12,'FE Energie'!$G:$U,13,FALSE)),0,VLOOKUP($B26&amp;"; "&amp;$P$11&amp;", "&amp;H$12,'FE Energie'!$G:$U,13,FALSE))</f>
        <v>0</v>
      </c>
      <c r="AK26" s="565">
        <f>$F26*IF(ISNA(VLOOKUP($B26&amp;"; "&amp;$G$11&amp;", "&amp;G$12,'FE Energie'!$G:$U,14,FALSE)),0,VLOOKUP($B26&amp;"; "&amp;$G$11&amp;", "&amp;G$12,'FE Energie'!$G:$U,14,FALSE))
+$I26*IF(ISNA(VLOOKUP($B26&amp;"; "&amp;$J$11&amp;", "&amp;G$12,'FE Energie'!$G:$U,14,FALSE)),0,VLOOKUP($B26&amp;"; "&amp;$J$11&amp;", "&amp;G$12,'FE Energie'!$G:$U,14,FALSE))
+$L26*IF(ISNA(VLOOKUP($B26&amp;"; "&amp;$M$11&amp;", "&amp;G$12,'FE Energie'!$G:$U,14,FALSE)),0,VLOOKUP($B26&amp;"; "&amp;$M$11&amp;", "&amp;G$12,'FE Energie'!$G:$U,14,FALSE))
+$O26*IF(ISNA(VLOOKUP($B26&amp;"; "&amp;$P$11&amp;", "&amp;G$12,'FE Energie'!$G:$U,14,FALSE)),0,VLOOKUP($B26&amp;"; "&amp;$P$11&amp;", "&amp;G$12,'FE Energie'!$G:$U,14,FALSE))</f>
        <v>0</v>
      </c>
      <c r="AL26" s="565">
        <f>$F26*IF(ISNA(VLOOKUP($B26&amp;"; "&amp;$G$11&amp;", "&amp;H$12,'FE Energie'!$G:$U,14,FALSE)),0,VLOOKUP($B26&amp;"; "&amp;$G$11&amp;", "&amp;H$12,'FE Energie'!$G:$U,14,FALSE))
+$I26*IF(ISNA(VLOOKUP($B26&amp;"; "&amp;$J$11&amp;", "&amp;H$12,'FE Energie'!$G:$U,14,FALSE)),0,VLOOKUP($B26&amp;"; "&amp;$J$11&amp;", "&amp;H$12,'FE Energie'!$G:$U,14,FALSE))
+$L26*IF(ISNA(VLOOKUP($B26&amp;"; "&amp;$M$11&amp;", "&amp;H$12,'FE Energie'!$G:$U,14,FALSE)),0,VLOOKUP($B26&amp;"; "&amp;$M$11&amp;", "&amp;H$12,'FE Energie'!$G:$U,14,FALSE))
+$O26*IF(ISNA(VLOOKUP($B26&amp;"; "&amp;$P$11&amp;", "&amp;H$12,'FE Energie'!$G:$U,14,FALSE)),0,VLOOKUP($B26&amp;"; "&amp;$P$11&amp;", "&amp;H$12,'FE Energie'!$G:$U,14,FALSE))</f>
        <v>0</v>
      </c>
      <c r="AM26" s="566">
        <f t="shared" si="0"/>
        <v>0</v>
      </c>
      <c r="AN26" s="566">
        <f t="shared" si="0"/>
        <v>0</v>
      </c>
      <c r="AO26" s="564">
        <f>$F26*IF(ISNA(VLOOKUP($B26&amp;"; "&amp;$G$11&amp;", "&amp;G$12,'FE Energie'!$G:$U,15,FALSE)),0,VLOOKUP($B26&amp;"; "&amp;$G$11&amp;", "&amp;G$12,'FE Energie'!$G:$U,15,FALSE))
+$I26*IF(ISNA(VLOOKUP($B26&amp;"; "&amp;$J$11&amp;", "&amp;G$12,'FE Energie'!$G:$U,15,FALSE)),0,VLOOKUP($B26&amp;"; "&amp;$J$11&amp;", "&amp;G$12,'FE Energie'!$G:$U,15,FALSE))
+$L26*IF(ISNA(VLOOKUP($B26&amp;"; "&amp;$M$11&amp;", "&amp;G$12,'FE Energie'!$G:$U,15,FALSE)),0,VLOOKUP($B26&amp;"; "&amp;$M$11&amp;", "&amp;G$12,'FE Energie'!$G:$U,15,FALSE))
+$O26*IF(ISNA(VLOOKUP($B26&amp;"; "&amp;$P$11&amp;", "&amp;G$12,'FE Energie'!$G:$U,15,FALSE)),0,VLOOKUP($B26&amp;"; "&amp;$P$11&amp;", "&amp;G$12,'FE Energie'!$G:$U,15,FALSE))</f>
        <v>0</v>
      </c>
      <c r="AP26" s="568">
        <f>$F26*IF(ISNA(VLOOKUP($B26&amp;"; "&amp;$G$11&amp;", "&amp;H$12,'FE Energie'!$G:$U,15,FALSE)),0,VLOOKUP($B26&amp;"; "&amp;$G$11&amp;", "&amp;H$12,'FE Energie'!$G:$U,15,FALSE))
+$I26*IF(ISNA(VLOOKUP($B26&amp;"; "&amp;$J$11&amp;", "&amp;H$12,'FE Energie'!$G:$U,15,FALSE)),0,VLOOKUP($B26&amp;"; "&amp;$J$11&amp;", "&amp;H$12,'FE Energie'!$G:$U,15,FALSE))
+$L26*IF(ISNA(VLOOKUP($B26&amp;"; "&amp;$M$11&amp;", "&amp;H$12,'FE Energie'!$G:$U,15,FALSE)),0,VLOOKUP($B26&amp;"; "&amp;$M$11&amp;", "&amp;H$12,'FE Energie'!$G:$U,15,FALSE))
+$O26*IF(ISNA(VLOOKUP($B26&amp;"; "&amp;$P$11&amp;", "&amp;H$12,'FE Energie'!$G:$U,15,FALSE)),0,VLOOKUP($B26&amp;"; "&amp;$P$11&amp;", "&amp;H$12,'FE Energie'!$G:$U,15,FALSE))</f>
        <v>0</v>
      </c>
      <c r="AQ26" s="114"/>
      <c r="AR26" s="1065">
        <f>IF($X26&lt;&gt;"votre valeur :",IF(ISNA(VLOOKUP($X26,Utilitaires!$N$566:$O$571,2,FALSE)),,VLOOKUP($X26,Utilitaires!$N$566:$O$571,2,FALSE)),$Y26)</f>
        <v>0</v>
      </c>
      <c r="AS26" s="1065">
        <f>IF($X26&lt;&gt;"votre valeur :",IF(ISNA(VLOOKUP($X26,Utilitaires!$N$566:$O$571,2,FALSE)),,VLOOKUP($X26,Utilitaires!$N$566:$O$571,2,FALSE)),$Y26)</f>
        <v>0</v>
      </c>
      <c r="AT26" s="1065">
        <f>IF($X26&lt;&gt;"votre valeur :",IF(ISNA(VLOOKUP($X26,Utilitaires!$N$566:$O$571,2,FALSE)),,VLOOKUP($X26,Utilitaires!$N$566:$O$571,2,FALSE)),$Y26)</f>
        <v>0</v>
      </c>
      <c r="AU26" s="1167">
        <f>IF($X26&lt;&gt;"votre valeur :",IF(ISNA(VLOOKUP($X26,Utilitaires!$N$566:$O$571,2,FALSE)),,VLOOKUP($X26,Utilitaires!$N$566:$O$571,2,FALSE)),$Y26)</f>
        <v>0</v>
      </c>
      <c r="AV26" s="1068">
        <f>IF(ISNA(SQRT(SUMSQ(VLOOKUP($B26&amp;"; "&amp;$G$11&amp;", "&amp;$G$12,'FE Energie'!$G:$U,7,FALSE),$AR26))),0,SQRT(SUMSQ(VLOOKUP($B26&amp;"; "&amp;$G$11&amp;", "&amp;$G$12,'FE Energie'!$G:$U,7,FALSE),$AR26)))</f>
        <v>0</v>
      </c>
      <c r="AW26" s="1068">
        <f>IF(ISNA(SQRT(SUMSQ(VLOOKUP($B26&amp;"; "&amp;$J$11&amp;", "&amp;$J$12,'FE Energie'!$G:$U,7,FALSE),$AS26))),0,SQRT(SUMSQ(VLOOKUP($B26&amp;"; "&amp;$J$11&amp;", "&amp;$J$12,'FE Energie'!$G:$U,7,FALSE),$AS26)))</f>
        <v>0</v>
      </c>
      <c r="AX26" s="1068">
        <f>IF(ISNA(SQRT(SUMSQ(VLOOKUP($B26&amp;"; "&amp;$M$11&amp;", "&amp;$M$12,'FE Energie'!$G:$U,7,FALSE),$AT26))),0,SQRT(SUMSQ(VLOOKUP($B26&amp;"; "&amp;$M$11&amp;", "&amp;$M$12,'FE Energie'!$G:$U,7,FALSE),$AT26)))</f>
        <v>0</v>
      </c>
      <c r="AY26" s="1068">
        <f>IF(ISNA(SQRT(SUMSQ(VLOOKUP($B26&amp;"; "&amp;$P$11&amp;", "&amp;$P$12,'FE Energie'!$G:$U,7,FALSE),$AU26))),0,SQRT(SUMSQ(VLOOKUP($B26&amp;"; "&amp;$P$11&amp;", "&amp;$P$12,'FE Energie'!$G:$U,7,FALSE),$AU26)))</f>
        <v>0</v>
      </c>
      <c r="AZ26" s="1069">
        <f>IF(ISNA(SQRT(SUMSQ(VLOOKUP($B26&amp;"; "&amp;$G$11&amp;", "&amp;$H$12,'FE Energie'!$G:$U,7,FALSE),$AR26))),0,SQRT(SUMSQ(VLOOKUP($B26&amp;"; "&amp;$G$11&amp;", "&amp;$H$12,'FE Energie'!$G:$U,7,FALSE),$AR26)))</f>
        <v>0</v>
      </c>
      <c r="BA26" s="1070">
        <f>IF(ISNA(SQRT(SUMSQ(VLOOKUP($B26&amp;"; "&amp;$J$11&amp;", "&amp;$K$12,'FE Energie'!$G:$U,7,FALSE),$AS26))),0,SQRT(SUMSQ(VLOOKUP($B26&amp;"; "&amp;$J$11&amp;", "&amp;$K$12,'FE Energie'!$G:$U,7,FALSE),$AS26)))</f>
        <v>0</v>
      </c>
      <c r="BB26" s="1070">
        <f>IF(ISNA(SQRT(SUMSQ(VLOOKUP($B26&amp;"; "&amp;$M$11&amp;", "&amp;$N$12,'FE Energie'!$G:$U,7,FALSE),$AT26))),0,SQRT(SUMSQ(VLOOKUP($B26&amp;"; "&amp;$M$11&amp;", "&amp;$N$12,'FE Energie'!$G:$U,7,FALSE),$AT26)))</f>
        <v>0</v>
      </c>
      <c r="BC26" s="1071">
        <f>IF(ISNA(SQRT(SUMSQ(VLOOKUP($B26&amp;"; "&amp;$P$11&amp;", "&amp;$Q$12,'FE Energie'!$G:$U,7,FALSE),$AU26))),0,SQRT(SUMSQ(VLOOKUP($B26&amp;"; "&amp;$P$11&amp;", "&amp;$Q$12,'FE Energie'!$G:$U,7,FALSE),$AU26)))</f>
        <v>0</v>
      </c>
    </row>
    <row r="27" spans="1:55" s="116" customFormat="1" ht="12.75" customHeight="1" outlineLevel="1">
      <c r="A27" s="114"/>
      <c r="B27" s="143"/>
      <c r="C27" s="144"/>
      <c r="D27" s="315"/>
      <c r="E27" s="822"/>
      <c r="F27" s="822"/>
      <c r="G27" s="335"/>
      <c r="H27" s="335"/>
      <c r="I27" s="822"/>
      <c r="J27" s="223"/>
      <c r="K27" s="223"/>
      <c r="L27" s="822"/>
      <c r="M27" s="217"/>
      <c r="N27" s="217"/>
      <c r="O27" s="822"/>
      <c r="P27" s="223"/>
      <c r="Q27" s="223"/>
      <c r="R27" s="566"/>
      <c r="S27" s="567"/>
      <c r="T27" s="114"/>
      <c r="U27" s="114"/>
      <c r="V27" s="114"/>
      <c r="W27" s="1647"/>
      <c r="X27" s="822"/>
      <c r="Y27" s="822"/>
      <c r="Z27" s="329"/>
      <c r="AA27" s="329"/>
      <c r="AB27" s="329"/>
      <c r="AC27" s="156"/>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customHeight="1" outlineLevel="1">
      <c r="A28" s="114"/>
      <c r="B28" s="196" t="s">
        <v>348</v>
      </c>
      <c r="C28" s="197"/>
      <c r="D28" s="202">
        <f>SUM(D13:D27)</f>
        <v>370148.3236</v>
      </c>
      <c r="E28" s="198"/>
      <c r="F28" s="199"/>
      <c r="G28" s="199"/>
      <c r="H28" s="199"/>
      <c r="I28" s="199"/>
      <c r="J28" s="199"/>
      <c r="K28" s="199"/>
      <c r="L28" s="199"/>
      <c r="M28" s="199"/>
      <c r="N28" s="199"/>
      <c r="O28" s="199"/>
      <c r="P28" s="199"/>
      <c r="Q28" s="199"/>
      <c r="R28" s="202">
        <f>SUM(R13:R27)</f>
        <v>65005.727599999991</v>
      </c>
      <c r="S28" s="200">
        <f>SUM(S13:S27)</f>
        <v>305142.59600000002</v>
      </c>
      <c r="T28" s="114"/>
      <c r="U28" s="114"/>
      <c r="V28" s="114"/>
      <c r="W28" s="1093">
        <f>IF(AC28=0,AC28,AC28/(R28+S28))</f>
        <v>4.0740730994149828E-2</v>
      </c>
      <c r="X28" s="821"/>
      <c r="Y28" s="1636"/>
      <c r="Z28" s="1636">
        <f>SQRT(SUMSQ(Z13:Z27))</f>
        <v>3142.4183838619429</v>
      </c>
      <c r="AA28" s="1636">
        <f>SQRT(SUMSQ(AA13:AA27))</f>
        <v>14749.06855465958</v>
      </c>
      <c r="AB28" s="1636"/>
      <c r="AC28" s="200">
        <f>SQRT(SUMSQ(AC13:AC27))</f>
        <v>15080.11327972312</v>
      </c>
      <c r="AE28" s="1082">
        <f t="shared" ref="AE28:AP28" si="1">SUM(AE13:AE27)</f>
        <v>58400.799599999998</v>
      </c>
      <c r="AF28" s="572">
        <f t="shared" si="1"/>
        <v>302942.59600000002</v>
      </c>
      <c r="AG28" s="621">
        <f t="shared" si="1"/>
        <v>5865.3745920000001</v>
      </c>
      <c r="AH28" s="621">
        <f t="shared" si="1"/>
        <v>234.29999999999998</v>
      </c>
      <c r="AI28" s="621">
        <f t="shared" si="1"/>
        <v>14.65662</v>
      </c>
      <c r="AJ28" s="621">
        <f t="shared" si="1"/>
        <v>1577.381916</v>
      </c>
      <c r="AK28" s="572">
        <f t="shared" si="1"/>
        <v>680.28840000000002</v>
      </c>
      <c r="AL28" s="572">
        <f t="shared" si="1"/>
        <v>0</v>
      </c>
      <c r="AM28" s="573">
        <f t="shared" si="1"/>
        <v>64961.119211999998</v>
      </c>
      <c r="AN28" s="574">
        <f t="shared" si="1"/>
        <v>304754.27791599999</v>
      </c>
      <c r="AO28" s="572">
        <f t="shared" si="1"/>
        <v>0</v>
      </c>
      <c r="AP28" s="575">
        <f t="shared" si="1"/>
        <v>0</v>
      </c>
      <c r="AQ28" s="114"/>
      <c r="AR28" s="114"/>
      <c r="AS28" s="114"/>
      <c r="AT28" s="114"/>
      <c r="AU28" s="114"/>
      <c r="AV28" s="114"/>
      <c r="AW28" s="114"/>
      <c r="AX28" s="114"/>
      <c r="AY28" s="114"/>
      <c r="AZ28" s="114"/>
      <c r="BA28" s="114"/>
      <c r="BB28" s="114"/>
      <c r="BC28" s="114"/>
    </row>
    <row r="29" spans="1:55" s="116" customFormat="1" ht="12.75"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26"/>
      <c r="Y29" s="126"/>
      <c r="Z29" s="114"/>
      <c r="AA29" s="114"/>
      <c r="AB29" s="114"/>
      <c r="AC29" s="114"/>
      <c r="AE29" s="441"/>
      <c r="AF29" s="441"/>
      <c r="AG29" s="441"/>
      <c r="AH29" s="441"/>
      <c r="AI29" s="441"/>
      <c r="AJ29" s="441"/>
      <c r="AK29" s="441"/>
      <c r="AL29" s="441"/>
      <c r="AM29" s="441"/>
      <c r="AN29" s="444"/>
      <c r="AO29" s="444"/>
      <c r="AP29" s="441"/>
      <c r="AQ29" s="114"/>
      <c r="AR29" s="114"/>
      <c r="AS29" s="114"/>
      <c r="AT29" s="114"/>
      <c r="AU29" s="114"/>
      <c r="AV29" s="114"/>
      <c r="AW29" s="114"/>
      <c r="AX29" s="114"/>
      <c r="AY29" s="114"/>
      <c r="AZ29" s="114"/>
      <c r="BA29" s="114"/>
      <c r="BB29" s="114"/>
      <c r="BC29" s="114"/>
    </row>
    <row r="30" spans="1:55" s="116" customFormat="1" ht="12.75" customHeight="1" outlineLevel="1">
      <c r="A30" s="114"/>
      <c r="B30" s="139" t="s">
        <v>426</v>
      </c>
      <c r="C30" s="140"/>
      <c r="D30" s="141"/>
      <c r="E30" s="1822"/>
      <c r="F30" s="141"/>
      <c r="G30" s="141"/>
      <c r="H30" s="141"/>
      <c r="I30" s="141"/>
      <c r="J30" s="141"/>
      <c r="K30" s="141"/>
      <c r="L30" s="141"/>
      <c r="M30" s="141"/>
      <c r="N30" s="141"/>
      <c r="O30" s="141"/>
      <c r="P30" s="141"/>
      <c r="Q30" s="141"/>
      <c r="R30" s="141"/>
      <c r="S30" s="142"/>
      <c r="T30" s="114"/>
      <c r="U30" s="114"/>
      <c r="V30" s="114"/>
      <c r="W30" s="2636" t="s">
        <v>366</v>
      </c>
      <c r="X30" s="2637"/>
      <c r="Y30" s="2637"/>
      <c r="Z30" s="2637"/>
      <c r="AA30" s="2637"/>
      <c r="AB30" s="2637"/>
      <c r="AC30" s="2638"/>
      <c r="AE30" s="2639" t="s">
        <v>441</v>
      </c>
      <c r="AF30" s="2640"/>
      <c r="AG30" s="2640"/>
      <c r="AH30" s="2640"/>
      <c r="AI30" s="2640"/>
      <c r="AJ30" s="2640"/>
      <c r="AK30" s="2640"/>
      <c r="AL30" s="2640"/>
      <c r="AM30" s="2640"/>
      <c r="AN30" s="2640"/>
      <c r="AO30" s="2640"/>
      <c r="AP30" s="2641"/>
      <c r="AQ30" s="114"/>
      <c r="AR30" s="114"/>
      <c r="AS30" s="114"/>
      <c r="AT30" s="114"/>
      <c r="AU30" s="114"/>
      <c r="AV30" s="114"/>
      <c r="AW30" s="114"/>
      <c r="AX30" s="114"/>
      <c r="AY30" s="114"/>
      <c r="AZ30" s="114"/>
      <c r="BA30" s="114"/>
      <c r="BB30" s="114"/>
      <c r="BC30" s="114"/>
    </row>
    <row r="31" spans="1:55" s="116" customFormat="1" ht="12.75" customHeight="1" outlineLevel="1">
      <c r="A31" s="114"/>
      <c r="B31" s="143"/>
      <c r="C31" s="144"/>
      <c r="D31" s="1834" t="s">
        <v>308</v>
      </c>
      <c r="E31" s="1826"/>
      <c r="F31" s="144"/>
      <c r="G31" s="144"/>
      <c r="H31" s="144"/>
      <c r="I31" s="144"/>
      <c r="J31" s="144"/>
      <c r="K31" s="144"/>
      <c r="L31" s="144"/>
      <c r="M31" s="144"/>
      <c r="N31" s="144"/>
      <c r="O31" s="144"/>
      <c r="P31" s="144"/>
      <c r="Q31" s="144"/>
      <c r="R31" s="144"/>
      <c r="S31" s="145"/>
      <c r="T31" s="114"/>
      <c r="U31" s="114"/>
      <c r="V31" s="114"/>
      <c r="W31" s="159"/>
      <c r="X31" s="1835"/>
      <c r="Y31" s="1835"/>
      <c r="Z31" s="1830"/>
      <c r="AA31" s="1830"/>
      <c r="AB31" s="1830"/>
      <c r="AC31" s="142"/>
      <c r="AE31" s="2642" t="s">
        <v>444</v>
      </c>
      <c r="AF31" s="2643"/>
      <c r="AG31" s="2643"/>
      <c r="AH31" s="2643"/>
      <c r="AI31" s="2643"/>
      <c r="AJ31" s="2643"/>
      <c r="AK31" s="2643"/>
      <c r="AL31" s="2643"/>
      <c r="AM31" s="2643" t="s">
        <v>444</v>
      </c>
      <c r="AN31" s="2644"/>
      <c r="AO31" s="577"/>
      <c r="AP31" s="578"/>
      <c r="AQ31" s="114"/>
      <c r="AR31" s="2616" t="s">
        <v>1648</v>
      </c>
      <c r="AS31" s="2617"/>
      <c r="AT31" s="2617"/>
      <c r="AU31" s="2617"/>
      <c r="AV31" s="2617"/>
      <c r="AW31" s="2617"/>
      <c r="AX31" s="2617"/>
      <c r="AY31" s="2617"/>
      <c r="AZ31" s="2617"/>
      <c r="BA31" s="2617"/>
      <c r="BB31" s="2617"/>
      <c r="BC31" s="2618"/>
    </row>
    <row r="32" spans="1:55" s="127" customFormat="1" ht="12.75" customHeight="1" outlineLevel="1">
      <c r="A32" s="114"/>
      <c r="B32" s="1825" t="s">
        <v>383</v>
      </c>
      <c r="C32" s="1826"/>
      <c r="D32" s="1834" t="s">
        <v>409</v>
      </c>
      <c r="E32" s="147" t="s">
        <v>452</v>
      </c>
      <c r="F32" s="147" t="s">
        <v>343</v>
      </c>
      <c r="G32" s="2626" t="s">
        <v>1585</v>
      </c>
      <c r="H32" s="2627"/>
      <c r="I32" s="147" t="s">
        <v>343</v>
      </c>
      <c r="J32" s="2626" t="s">
        <v>1573</v>
      </c>
      <c r="K32" s="2627"/>
      <c r="L32" s="147" t="s">
        <v>343</v>
      </c>
      <c r="M32" s="2626" t="s">
        <v>1575</v>
      </c>
      <c r="N32" s="2627"/>
      <c r="O32" s="147" t="s">
        <v>343</v>
      </c>
      <c r="P32" s="2626" t="s">
        <v>1574</v>
      </c>
      <c r="Q32" s="2628"/>
      <c r="R32" s="1834" t="s">
        <v>444</v>
      </c>
      <c r="S32" s="1836" t="s">
        <v>444</v>
      </c>
      <c r="T32" s="109"/>
      <c r="U32" s="109"/>
      <c r="V32" s="109"/>
      <c r="W32" s="1825" t="s">
        <v>316</v>
      </c>
      <c r="X32" s="2629" t="s">
        <v>316</v>
      </c>
      <c r="Y32" s="2630"/>
      <c r="Z32" s="1826" t="s">
        <v>444</v>
      </c>
      <c r="AA32" s="1826" t="s">
        <v>444</v>
      </c>
      <c r="AB32" s="1826"/>
      <c r="AC32" s="1836" t="s">
        <v>444</v>
      </c>
      <c r="AE32" s="2631" t="s">
        <v>211</v>
      </c>
      <c r="AF32" s="2632"/>
      <c r="AG32" s="2632" t="s">
        <v>442</v>
      </c>
      <c r="AH32" s="2632"/>
      <c r="AI32" s="2632" t="s">
        <v>267</v>
      </c>
      <c r="AJ32" s="2632"/>
      <c r="AK32" s="2632" t="s">
        <v>443</v>
      </c>
      <c r="AL32" s="2632"/>
      <c r="AM32" s="2648" t="s">
        <v>327</v>
      </c>
      <c r="AN32" s="2649"/>
      <c r="AO32" s="2631" t="s">
        <v>636</v>
      </c>
      <c r="AP32" s="2650"/>
      <c r="AQ32" s="109"/>
      <c r="AR32" s="2614" t="s">
        <v>1646</v>
      </c>
      <c r="AS32" s="2645"/>
      <c r="AT32" s="2645"/>
      <c r="AU32" s="2615"/>
      <c r="AV32" s="2614" t="s">
        <v>1644</v>
      </c>
      <c r="AW32" s="2645"/>
      <c r="AX32" s="2645"/>
      <c r="AY32" s="2615"/>
      <c r="AZ32" s="2614" t="s">
        <v>1645</v>
      </c>
      <c r="BA32" s="2645"/>
      <c r="BB32" s="2645"/>
      <c r="BC32" s="2615"/>
    </row>
    <row r="33" spans="1:55" s="127" customFormat="1" ht="12.75" customHeight="1" outlineLevel="1">
      <c r="A33" s="114"/>
      <c r="B33" s="536" t="s">
        <v>4810</v>
      </c>
      <c r="C33" s="1826"/>
      <c r="D33" s="1829" t="s">
        <v>444</v>
      </c>
      <c r="E33" s="1833" t="s">
        <v>453</v>
      </c>
      <c r="F33" s="153" t="s">
        <v>287</v>
      </c>
      <c r="G33" s="1662" t="s">
        <v>411</v>
      </c>
      <c r="H33" s="1662" t="s">
        <v>257</v>
      </c>
      <c r="I33" s="1833" t="s">
        <v>790</v>
      </c>
      <c r="J33" s="1662" t="s">
        <v>411</v>
      </c>
      <c r="K33" s="1662" t="s">
        <v>257</v>
      </c>
      <c r="L33" s="1833" t="s">
        <v>791</v>
      </c>
      <c r="M33" s="1662" t="s">
        <v>411</v>
      </c>
      <c r="N33" s="1662" t="s">
        <v>257</v>
      </c>
      <c r="O33" s="1833" t="s">
        <v>213</v>
      </c>
      <c r="P33" s="1662" t="s">
        <v>411</v>
      </c>
      <c r="Q33" s="1662" t="s">
        <v>257</v>
      </c>
      <c r="R33" s="1829" t="s">
        <v>411</v>
      </c>
      <c r="S33" s="220" t="s">
        <v>257</v>
      </c>
      <c r="T33" s="109"/>
      <c r="U33" s="109"/>
      <c r="V33" s="109"/>
      <c r="W33" s="1825" t="s">
        <v>1649</v>
      </c>
      <c r="X33" s="2646" t="s">
        <v>1650</v>
      </c>
      <c r="Y33" s="2647"/>
      <c r="Z33" s="227" t="s">
        <v>411</v>
      </c>
      <c r="AA33" s="1662" t="s">
        <v>257</v>
      </c>
      <c r="AB33" s="1662"/>
      <c r="AC33" s="162" t="s">
        <v>327</v>
      </c>
      <c r="AE33" s="1840" t="s">
        <v>411</v>
      </c>
      <c r="AF33" s="1841" t="s">
        <v>257</v>
      </c>
      <c r="AG33" s="1841" t="s">
        <v>411</v>
      </c>
      <c r="AH33" s="1841" t="s">
        <v>257</v>
      </c>
      <c r="AI33" s="1841" t="s">
        <v>411</v>
      </c>
      <c r="AJ33" s="1841" t="s">
        <v>257</v>
      </c>
      <c r="AK33" s="1841" t="s">
        <v>411</v>
      </c>
      <c r="AL33" s="1841" t="s">
        <v>257</v>
      </c>
      <c r="AM33" s="581" t="s">
        <v>411</v>
      </c>
      <c r="AN33" s="582" t="s">
        <v>257</v>
      </c>
      <c r="AO33" s="1840" t="s">
        <v>411</v>
      </c>
      <c r="AP33" s="1842" t="s">
        <v>257</v>
      </c>
      <c r="AQ33" s="109"/>
      <c r="AR33" s="1837" t="s">
        <v>1670</v>
      </c>
      <c r="AS33" s="1839" t="s">
        <v>1640</v>
      </c>
      <c r="AT33" s="1839" t="s">
        <v>1641</v>
      </c>
      <c r="AU33" s="1838" t="s">
        <v>1642</v>
      </c>
      <c r="AV33" s="1090" t="s">
        <v>1667</v>
      </c>
      <c r="AW33" s="1839" t="s">
        <v>1640</v>
      </c>
      <c r="AX33" s="1839" t="s">
        <v>1641</v>
      </c>
      <c r="AY33" s="1838" t="s">
        <v>1642</v>
      </c>
      <c r="AZ33" s="1837" t="s">
        <v>1670</v>
      </c>
      <c r="BA33" s="1839" t="s">
        <v>1640</v>
      </c>
      <c r="BB33" s="1839" t="s">
        <v>1641</v>
      </c>
      <c r="BC33" s="1838" t="s">
        <v>1642</v>
      </c>
    </row>
    <row r="34" spans="1:55" s="116" customFormat="1" ht="12.75" customHeight="1" outlineLevel="1">
      <c r="A34" s="114"/>
      <c r="B34" s="143" t="s">
        <v>4811</v>
      </c>
      <c r="C34" s="144"/>
      <c r="D34" s="315">
        <f>R34+S34</f>
        <v>0</v>
      </c>
      <c r="E34" s="343"/>
      <c r="F34" s="1547"/>
      <c r="G34" s="335" t="e">
        <f>VLOOKUP($B34&amp;"; "&amp;$G$32&amp;", "&amp;G$33,'FE Energie'!$G:$U,9,FALSE)</f>
        <v>#N/A</v>
      </c>
      <c r="H34" s="335" t="e">
        <f>VLOOKUP($B34&amp;"; "&amp;$G$32&amp;", "&amp;H$33,'FE Energie'!$G:$U,9,FALSE)</f>
        <v>#N/A</v>
      </c>
      <c r="I34" s="1547"/>
      <c r="J34" s="223">
        <f>VLOOKUP($B34&amp;"; "&amp;$J$32&amp;", "&amp;J$33,'FE Energie'!$G:$U,9,FALSE)</f>
        <v>4.5499999999999999E-2</v>
      </c>
      <c r="K34" s="223">
        <f>VLOOKUP($B34&amp;"; "&amp;$J$32&amp;", "&amp;K$33,'FE Energie'!$G:$U,9,FALSE)</f>
        <v>2.0100000000000001E-3</v>
      </c>
      <c r="L34" s="1547"/>
      <c r="M34" s="217">
        <f>VLOOKUP($B34&amp;"; "&amp;$M$11&amp;", "&amp;M$12,'FE Energie'!$G:$U,9,FALSE)</f>
        <v>533</v>
      </c>
      <c r="N34" s="217">
        <f>VLOOKUP($B34&amp;"; "&amp;$M$32&amp;", "&amp;N$33,'FE Energie'!$G:$U,9,FALSE)</f>
        <v>18.100000000000001</v>
      </c>
      <c r="O34" s="1547"/>
      <c r="P34" s="223" t="e">
        <f>VLOOKUP($B34&amp;"; "&amp;$P$32&amp;", "&amp;P$33,'FE Energie'!$G:$U,9,FALSE)</f>
        <v>#N/A</v>
      </c>
      <c r="Q34" s="223" t="e">
        <f>VLOOKUP($B34&amp;"; "&amp;$P$32&amp;", "&amp;Q$33,'FE Energie'!$G:$U,9,FALSE)</f>
        <v>#N/A</v>
      </c>
      <c r="R34" s="566">
        <f>IF(ISNA(F34*G34),0,F34*G34)+IF(ISNA(I34*J34),0,I34*J34)+IF(ISNA(L34*M34),0,L34*M34)+IF(ISNA(O34*P34),0,O34*P34)</f>
        <v>0</v>
      </c>
      <c r="S34" s="567">
        <f>IF(ISNA(F34*H34),0,F34*H34)+IF(ISNA(I34*K34),0,I34*K34)+IF(ISNA(L34*N34),0,L34*N34)+IF(ISNA(O34*Q34),0,O34*Q34)</f>
        <v>0</v>
      </c>
      <c r="T34" s="114"/>
      <c r="U34" s="114"/>
      <c r="V34" s="114"/>
      <c r="W34" s="1092">
        <f>IF(AC34=0,AC34,AC34/(R34+S34))</f>
        <v>0</v>
      </c>
      <c r="X34" s="343"/>
      <c r="Y34" s="820"/>
      <c r="Z34" s="1826">
        <f>SQRT(SUMSQ(IF(ISNA($F34*G34*AV34),0,$F34*G34*AV34),IF(ISNA($I34*J34*AW34),0,$I34*J34*AW34),IF(ISNA($L34*M34*AX34),0,$L34*M34*AX34),IF(ISNA($O34*P34*AY34),0,$O34*P34*AY34)))</f>
        <v>0</v>
      </c>
      <c r="AA34" s="1826">
        <f>SQRT(SUMSQ(IF(ISNA($F34*H34*AZ34),0,$F34*H34*AZ34),IF(ISNA($I34*K34*BA34),0,$I34*K34*BA34),IF(ISNA($L34*N34*BB34),0,$L34*N34*BB34),IF(ISNA($O34*Q34*BC34),0,$O34*Q34*BC34)))</f>
        <v>0</v>
      </c>
      <c r="AB34" s="1826"/>
      <c r="AC34" s="152">
        <f>SQRT(SUMSQ(Z34,AA34))</f>
        <v>0</v>
      </c>
      <c r="AE34" s="564">
        <f>$F34*IF(ISNA(VLOOKUP($B34&amp;"; "&amp;$G$32&amp;", "&amp;G$33,'FE Energie'!$G:$U,10,FALSE)),0,VLOOKUP($B34&amp;"; "&amp;$G$32&amp;", "&amp;G$33,'FE Energie'!$G:$U,10,FALSE))
+$I34*IF(ISNA(VLOOKUP($B34&amp;"; "&amp;$J$32&amp;", "&amp;G$33,'FE Energie'!$G:$U,10,FALSE)),0,VLOOKUP($B34&amp;"; "&amp;$J$32&amp;", "&amp;G$33,'FE Energie'!$G:$U,10,FALSE))
+$L34*IF(ISNA(VLOOKUP($B34&amp;"; "&amp;$M$32&amp;", "&amp;G$33,'FE Energie'!$G:$U,10,FALSE)),0,VLOOKUP($B34&amp;"; "&amp;$M$32&amp;", "&amp;G$33,'FE Energie'!$G:$U,10,FALSE))
+$O34*IF(ISNA(VLOOKUP($B34&amp;"; "&amp;$P$32&amp;", "&amp;G$33,'FE Energie'!$G:$U,10,FALSE)),0,VLOOKUP($B34&amp;"; "&amp;$P$32&amp;", "&amp;G$33,'FE Energie'!$G:$U,10,FALSE))</f>
        <v>0</v>
      </c>
      <c r="AF34" s="565">
        <f>$F34*IF(ISNA(VLOOKUP($B34&amp;"; "&amp;$G$32&amp;", "&amp;H$33,'FE Energie'!$G:$U,10,FALSE)),0,VLOOKUP($B34&amp;"; "&amp;$G$32&amp;", "&amp;H$33,'FE Energie'!$G:$U,10,FALSE))
+$I34*IF(ISNA(VLOOKUP($B34&amp;"; "&amp;$J$32&amp;", "&amp;H$33,'FE Energie'!$G:$U,10,FALSE)),0,VLOOKUP($B34&amp;"; "&amp;$J$32&amp;", "&amp;H$33,'FE Energie'!$G:$U,10,FALSE))
+$L34*IF(ISNA(VLOOKUP($B34&amp;"; "&amp;$M$32&amp;", "&amp;H$33,'FE Energie'!$G:$U,10,FALSE)),0,VLOOKUP($B34&amp;"; "&amp;$M$32&amp;", "&amp;H$33,'FE Energie'!$G:$U,10,FALSE))
+$O34*IF(ISNA(VLOOKUP($B34&amp;"; "&amp;$P$32&amp;", "&amp;H$33,'FE Energie'!$G:$U,10,FALSE)),0,VLOOKUP($B34&amp;"; "&amp;$P$32&amp;", "&amp;H$33,'FE Energie'!$G:$U,10,FALSE))</f>
        <v>0</v>
      </c>
      <c r="AG34" s="620">
        <f>$F34*IF(ISNA((VLOOKUP($B34&amp;"; "&amp;$G$32&amp;", "&amp;G$33,'FE Energie'!$G:$U,12,FALSE)+VLOOKUP($B34&amp;"; "&amp;$G$32&amp;", "&amp;G$33,'FE Energie'!$G:$U,11,FALSE))),0,(VLOOKUP($B34&amp;"; "&amp;$G$32&amp;", "&amp;G$33,'FE Energie'!$G:$U,12,FALSE)+VLOOKUP($B34&amp;"; "&amp;$G$32&amp;", "&amp;G$33,'FE Energie'!$G:$U,11,FALSE)))
+$I34*IF(ISNA((VLOOKUP($B34&amp;"; "&amp;$J$32&amp;", "&amp;G$33,'FE Energie'!$G:$U,12,FALSE)+VLOOKUP($B34&amp;"; "&amp;$J$32&amp;", "&amp;G$33,'FE Energie'!$G:$U,11,FALSE))),0,(VLOOKUP($B34&amp;"; "&amp;$J$32&amp;", "&amp;G$33,'FE Energie'!$G:$U,12,FALSE)+VLOOKUP($B34&amp;"; "&amp;$J$32&amp;", "&amp;G$33,'FE Energie'!$G:$U,11,FALSE)))
+$L34*IF(ISNA((VLOOKUP($B34&amp;"; "&amp;$M$32&amp;", "&amp;G$33,'FE Energie'!$G:$U,12,FALSE)+VLOOKUP($B34&amp;"; "&amp;$M$32&amp;", "&amp;G$33,'FE Energie'!$G:$U,11,FALSE))),0,(VLOOKUP($B34&amp;"; "&amp;$M$32&amp;", "&amp;G$33,'FE Energie'!$G:$U,12,FALSE)+VLOOKUP($B34&amp;"; "&amp;$M$32&amp;", "&amp;G$33,'FE Energie'!$G:$U,11,FALSE)))
+$O34*IF(ISNA((VLOOKUP($B34&amp;"; "&amp;$P$32&amp;", "&amp;G$33,'FE Energie'!$G:$U,12,FALSE)+VLOOKUP($B34&amp;"; "&amp;$P$32&amp;", "&amp;G$33,'FE Energie'!$G:$U,11,FALSE))),0,(VLOOKUP($B34&amp;"; "&amp;$P$32&amp;", "&amp;G$33,'FE Energie'!$G:$U,12,FALSE)+VLOOKUP($B34&amp;"; "&amp;$P$32&amp;", "&amp;G$33,'FE Energie'!$G:$U,11,FALSE)))</f>
        <v>0</v>
      </c>
      <c r="AH34" s="620">
        <f>$F34*IF(ISNA((VLOOKUP($B34&amp;"; "&amp;$G$32&amp;", "&amp;H$33,'FE Energie'!$G:$U,12,FALSE)+VLOOKUP($B34&amp;"; "&amp;$G$32&amp;", "&amp;H$33,'FE Energie'!$G:$U,11,FALSE))),0,(VLOOKUP($B34&amp;"; "&amp;$G$32&amp;", "&amp;H$33,'FE Energie'!$G:$U,12,FALSE)+VLOOKUP($B34&amp;"; "&amp;$G$32&amp;", "&amp;H$33,'FE Energie'!$G:$U,11,FALSE)))
+$I34*IF(ISNA((VLOOKUP($B34&amp;"; "&amp;$J$32&amp;", "&amp;H$33,'FE Energie'!$G:$U,12,FALSE)+VLOOKUP($B34&amp;"; "&amp;$J$32&amp;", "&amp;H$33,'FE Energie'!$G:$U,11,FALSE))),0,(VLOOKUP($B34&amp;"; "&amp;$J$32&amp;", "&amp;H$33,'FE Energie'!$G:$U,12,FALSE)+VLOOKUP($B34&amp;"; "&amp;$J$32&amp;", "&amp;H$33,'FE Energie'!$G:$U,11,FALSE)))
+$L34*IF(ISNA((VLOOKUP($B34&amp;"; "&amp;$M$32&amp;", "&amp;H$33,'FE Energie'!$G:$U,12,FALSE)+VLOOKUP($B34&amp;"; "&amp;$M$32&amp;", "&amp;H$33,'FE Energie'!$G:$U,11,FALSE))),0,(VLOOKUP($B34&amp;"; "&amp;$M$32&amp;", "&amp;H$33,'FE Energie'!$G:$U,12,FALSE)+VLOOKUP($B34&amp;"; "&amp;$M$32&amp;", "&amp;H$33,'FE Energie'!$G:$U,11,FALSE)))
+$O34*IF(ISNA((VLOOKUP($B34&amp;"; "&amp;$P$32&amp;", "&amp;H$33,'FE Energie'!$G:$U,12,FALSE)+VLOOKUP($B34&amp;"; "&amp;$P$32&amp;", "&amp;H$33,'FE Energie'!$G:$U,11,FALSE))),0,(VLOOKUP($B34&amp;"; "&amp;$P$32&amp;", "&amp;H$33,'FE Energie'!$G:$U,12,FALSE)+VLOOKUP($B34&amp;"; "&amp;$P$32&amp;", "&amp;H$33,'FE Energie'!$G:$U,11,FALSE)))</f>
        <v>0</v>
      </c>
      <c r="AI34" s="620">
        <f>$F34*IF(ISNA(VLOOKUP($B34&amp;"; "&amp;$G$32&amp;", "&amp;G$33,'FE Energie'!$G:$U,13,FALSE)),0,VLOOKUP($B34&amp;"; "&amp;$G$32&amp;", "&amp;G$33,'FE Energie'!$G:$U,13,FALSE))
+$I34*IF(ISNA(VLOOKUP($B34&amp;"; "&amp;$J$32&amp;", "&amp;G$33,'FE Energie'!$G:$U,13,FALSE)),0,VLOOKUP($B34&amp;"; "&amp;$J$32&amp;", "&amp;G$33,'FE Energie'!$G:$U,13,FALSE))
+$L34*IF(ISNA(VLOOKUP($B34&amp;"; "&amp;$M$32&amp;", "&amp;G$33,'FE Energie'!$G:$U,13,FALSE)),0,VLOOKUP($B34&amp;"; "&amp;$M$32&amp;", "&amp;G$33,'FE Energie'!$G:$U,13,FALSE))
+$O34*IF(ISNA(VLOOKUP($B34&amp;"; "&amp;$P$32&amp;", "&amp;G$33,'FE Energie'!$G:$U,13,FALSE)),0,VLOOKUP($B34&amp;"; "&amp;$P$32&amp;", "&amp;G$33,'FE Energie'!$G:$U,13,FALSE))</f>
        <v>0</v>
      </c>
      <c r="AJ34" s="620">
        <f>$F34*IF(ISNA(VLOOKUP($B34&amp;"; "&amp;$G$32&amp;", "&amp;H$33,'FE Energie'!$G:$U,13,FALSE)),0,VLOOKUP($B34&amp;"; "&amp;$G$32&amp;", "&amp;H$33,'FE Energie'!$G:$U,13,FALSE))
+$I34*IF(ISNA(VLOOKUP($B34&amp;"; "&amp;$J$32&amp;", "&amp;H$33,'FE Energie'!$G:$U,13,FALSE)),0,VLOOKUP($B34&amp;"; "&amp;$J$32&amp;", "&amp;H$33,'FE Energie'!$G:$U,13,FALSE))
+$L34*IF(ISNA(VLOOKUP($B34&amp;"; "&amp;$M$32&amp;", "&amp;H$33,'FE Energie'!$G:$U,13,FALSE)),0,VLOOKUP($B34&amp;"; "&amp;$M$32&amp;", "&amp;H$33,'FE Energie'!$G:$U,13,FALSE))
+$O34*IF(ISNA(VLOOKUP($B34&amp;"; "&amp;$P$32&amp;", "&amp;H$33,'FE Energie'!$G:$U,13,FALSE)),0,VLOOKUP($B34&amp;"; "&amp;$P$32&amp;", "&amp;H$33,'FE Energie'!$G:$U,13,FALSE))</f>
        <v>0</v>
      </c>
      <c r="AK34" s="565">
        <f>$F34*IF(ISNA(VLOOKUP($B34&amp;"; "&amp;$G$32&amp;", "&amp;G$33,'FE Energie'!$G:$U,14,FALSE)),0,VLOOKUP($B34&amp;"; "&amp;$G$32&amp;", "&amp;G$33,'FE Energie'!$G:$U,14,FALSE))
+$I34*IF(ISNA(VLOOKUP($B34&amp;"; "&amp;$J$32&amp;", "&amp;G$33,'FE Energie'!$G:$U,14,FALSE)),0,VLOOKUP($B34&amp;"; "&amp;$J$32&amp;", "&amp;G$33,'FE Energie'!$G:$U,14,FALSE))
+$L34*IF(ISNA(VLOOKUP($B34&amp;"; "&amp;$M$32&amp;", "&amp;G$33,'FE Energie'!$G:$U,14,FALSE)),0,VLOOKUP($B34&amp;"; "&amp;$M$32&amp;", "&amp;G$33,'FE Energie'!$G:$U,14,FALSE))
+$O34*IF(ISNA(VLOOKUP($B34&amp;"; "&amp;$P$32&amp;", "&amp;G$33,'FE Energie'!$G:$U,14,FALSE)),0,VLOOKUP($B34&amp;"; "&amp;$P$32&amp;", "&amp;G$33,'FE Energie'!$G:$U,14,FALSE))</f>
        <v>0</v>
      </c>
      <c r="AL34" s="565">
        <f>$F34*IF(ISNA(VLOOKUP($B34&amp;"; "&amp;$G$32&amp;", "&amp;H$33,'FE Energie'!$G:$U,14,FALSE)),0,VLOOKUP($B34&amp;"; "&amp;$G$32&amp;", "&amp;H$33,'FE Energie'!$G:$U,14,FALSE))
+$I34*IF(ISNA(VLOOKUP($B34&amp;"; "&amp;$J$32&amp;", "&amp;H$33,'FE Energie'!$G:$U,14,FALSE)),0,VLOOKUP($B34&amp;"; "&amp;$J$32&amp;", "&amp;H$33,'FE Energie'!$G:$U,14,FALSE))
+$L34*IF(ISNA(VLOOKUP($B34&amp;"; "&amp;$M$32&amp;", "&amp;H$33,'FE Energie'!$G:$U,14,FALSE)),0,VLOOKUP($B34&amp;"; "&amp;$M$32&amp;", "&amp;H$33,'FE Energie'!$G:$U,14,FALSE))
+$O34*IF(ISNA(VLOOKUP($B34&amp;"; "&amp;$P$32&amp;", "&amp;H$33,'FE Energie'!$G:$U,14,FALSE)),0,VLOOKUP($B34&amp;"; "&amp;$P$32&amp;", "&amp;H$33,'FE Energie'!$G:$U,14,FALSE))</f>
        <v>0</v>
      </c>
      <c r="AM34" s="566">
        <f>SUM(AE34,AG34,AI34,AK34)</f>
        <v>0</v>
      </c>
      <c r="AN34" s="566">
        <f>SUM(AF34,AH34,AJ34,AL34)</f>
        <v>0</v>
      </c>
      <c r="AO34" s="564">
        <f>$F34*IF(ISNA(VLOOKUP($B34&amp;"; "&amp;$G$32&amp;", "&amp;G$33,'FE Energie'!$G:$U,15,FALSE)),0,VLOOKUP($B34&amp;"; "&amp;$G$32&amp;", "&amp;G$33,'FE Energie'!$G:$U,15,FALSE))
+$I34*IF(ISNA(VLOOKUP($B34&amp;"; "&amp;$J$32&amp;", "&amp;G$33,'FE Energie'!$G:$U,15,FALSE)),0,VLOOKUP($B34&amp;"; "&amp;$J$32&amp;", "&amp;G$33,'FE Energie'!$G:$U,15,FALSE))
+$L34*IF(ISNA(VLOOKUP($B34&amp;"; "&amp;$M$32&amp;", "&amp;G$33,'FE Energie'!$G:$U,15,FALSE)),0,VLOOKUP($B34&amp;"; "&amp;$M$32&amp;", "&amp;G$33,'FE Energie'!$G:$U,15,FALSE))
+$O34*IF(ISNA(VLOOKUP($B34&amp;"; "&amp;$P$32&amp;", "&amp;G$33,'FE Energie'!$G:$U,15,FALSE)),0,VLOOKUP($B34&amp;"; "&amp;$P$32&amp;", "&amp;G$33,'FE Energie'!$G:$U,15,FALSE))</f>
        <v>0</v>
      </c>
      <c r="AP34" s="568">
        <f>$F34*IF(ISNA(VLOOKUP($B34&amp;"; "&amp;$G$11&amp;", "&amp;H$33,'FE Energie'!$G:$U,15,FALSE)),0,VLOOKUP($B34&amp;"; "&amp;$G$11&amp;", "&amp;H$33,'FE Energie'!$G:$U,15,FALSE))
+$I34*IF(ISNA(VLOOKUP($B34&amp;"; "&amp;$J$11&amp;", "&amp;H$33,'FE Energie'!$G:$U,15,FALSE)),0,VLOOKUP($B34&amp;"; "&amp;$J$11&amp;", "&amp;H$33,'FE Energie'!$G:$U,15,FALSE))
+$L34*IF(ISNA(VLOOKUP($B34&amp;"; "&amp;$M$11&amp;", "&amp;H$33,'FE Energie'!$G:$U,15,FALSE)),0,VLOOKUP($B34&amp;"; "&amp;$M$11&amp;", "&amp;H$33,'FE Energie'!$G:$U,15,FALSE))
+$O34*IF(ISNA(VLOOKUP($B34&amp;"; "&amp;$P$11&amp;", "&amp;H$33,'FE Energie'!$G:$U,15,FALSE)),0,VLOOKUP($B34&amp;"; "&amp;$P$11&amp;", "&amp;H$33,'FE Energie'!$G:$U,15,FALSE))</f>
        <v>0</v>
      </c>
      <c r="AQ34" s="114"/>
      <c r="AR34" s="1065">
        <f>IF($X34&lt;&gt;"votre valeur :",IF(ISNA(VLOOKUP($X34,Utilitaires!$N$566:$O$571,2,FALSE)),,VLOOKUP($X34,Utilitaires!$N$566:$O$571,2,FALSE)),$Y34)</f>
        <v>0</v>
      </c>
      <c r="AS34" s="1065">
        <f>IF($X34&lt;&gt;"votre valeur :",IF(ISNA(VLOOKUP($X34,Utilitaires!$N$566:$O$571,2,FALSE)),,VLOOKUP($X34,Utilitaires!$N$566:$O$571,2,FALSE)),$Y34)</f>
        <v>0</v>
      </c>
      <c r="AT34" s="1065">
        <f>IF($X34&lt;&gt;"votre valeur :",IF(ISNA(VLOOKUP($X34,Utilitaires!$N$566:$O$571,2,FALSE)),,VLOOKUP($X34,Utilitaires!$N$566:$O$571,2,FALSE)),$Y34)</f>
        <v>0</v>
      </c>
      <c r="AU34" s="1065">
        <f>IF($X34&lt;&gt;"votre valeur :",IF(ISNA(VLOOKUP($X34,Utilitaires!$N$566:$O$571,2,FALSE)),,VLOOKUP($X34,Utilitaires!$N$566:$O$571,2,FALSE)),$Y34)</f>
        <v>0</v>
      </c>
      <c r="AV34" s="1068">
        <f>IF(ISNA(SQRT(SUMSQ(VLOOKUP($B34&amp;"; "&amp;$G$32&amp;", "&amp;$G$33,'FE Energie'!$G:$U,7,FALSE),$AR34))),0,SQRT(SUMSQ(VLOOKUP($B34&amp;"; "&amp;$G$32&amp;", "&amp;$G$33,'FE Energie'!$G:$U,7,FALSE),$AR34)))</f>
        <v>0</v>
      </c>
      <c r="AW34" s="1068">
        <f>IF(ISNA(SQRT(SUMSQ(VLOOKUP($B34&amp;"; "&amp;$J$32&amp;", "&amp;$J$33,'FE Energie'!$G:$U,7,FALSE),$AS34))),0,SQRT(SUMSQ(VLOOKUP($B34&amp;"; "&amp;$J$32&amp;", "&amp;$J$33,'FE Energie'!$G:$U,7,FALSE),$AS34)))</f>
        <v>0.7</v>
      </c>
      <c r="AX34" s="1068">
        <f>IF(ISNA(SQRT(SUMSQ(VLOOKUP($B34&amp;"; "&amp;$M$32&amp;", "&amp;$M$33,'FE Energie'!$G:$U,7,FALSE),$AT34))),0,SQRT(SUMSQ(VLOOKUP($B34&amp;"; "&amp;$M$32&amp;", "&amp;$M$33,'FE Energie'!$G:$U,7,FALSE),$AT34)))</f>
        <v>0.7</v>
      </c>
      <c r="AY34" s="1068">
        <f>IF(ISNA(SQRT(SUMSQ(VLOOKUP($B34&amp;"; "&amp;$P$32&amp;", "&amp;$P$33,'FE Energie'!$G:$U,7,FALSE),$AU34))),0,SQRT(SUMSQ(VLOOKUP($B34&amp;"; "&amp;$P$32&amp;", "&amp;$P$33,'FE Energie'!$G:$U,7,FALSE),$AU34)))</f>
        <v>0</v>
      </c>
      <c r="AZ34" s="1069">
        <f>IF(ISNA(SQRT(SUMSQ(VLOOKUP($B34&amp;"; "&amp;$G$32&amp;", "&amp;$H$33,'FE Energie'!$G:$U,7,FALSE),$AR34))),0,SQRT(SUMSQ(VLOOKUP($B34&amp;"; "&amp;$G$32&amp;", "&amp;$H$33,'FE Energie'!$G:$U,7,FALSE),$AR34)))</f>
        <v>0</v>
      </c>
      <c r="BA34" s="1070">
        <f>IF(ISNA(SQRT(SUMSQ(VLOOKUP($B34&amp;"; "&amp;$J$32&amp;", "&amp;$K$33,'FE Energie'!$G:$U,7,FALSE),$AS34))),0,SQRT(SUMSQ(VLOOKUP($B34&amp;"; "&amp;$J$32&amp;", "&amp;$K$33,'FE Energie'!$G:$U,7,FALSE),$AS34)))</f>
        <v>0.7</v>
      </c>
      <c r="BB34" s="1070">
        <f>IF(ISNA(SQRT(SUMSQ(VLOOKUP($B34&amp;"; "&amp;$M$32&amp;", "&amp;$N$33,'FE Energie'!$G:$U,7,FALSE),$AT34))),0,SQRT(SUMSQ(VLOOKUP($B34&amp;"; "&amp;$M$32&amp;", "&amp;$N$33,'FE Energie'!$G:$U,7,FALSE),$AT34)))</f>
        <v>0.7</v>
      </c>
      <c r="BC34" s="1071">
        <f>IF(ISNA(SQRT(SUMSQ(VLOOKUP($B34&amp;"; "&amp;$P$32&amp;", "&amp;$Q$33,'FE Energie'!$G:$U,7,FALSE),$AU34))),0,SQRT(SUMSQ(VLOOKUP($B34&amp;"; "&amp;$P$32&amp;", "&amp;$Q$33,'FE Energie'!$G:$U,7,FALSE),$AU34)))</f>
        <v>0</v>
      </c>
    </row>
    <row r="35" spans="1:55" s="116" customFormat="1" ht="12.75" customHeight="1" outlineLevel="1">
      <c r="A35" s="114"/>
      <c r="B35" s="143" t="s">
        <v>4813</v>
      </c>
      <c r="C35" s="144"/>
      <c r="D35" s="315">
        <f>R35+S35</f>
        <v>0</v>
      </c>
      <c r="E35" s="345"/>
      <c r="F35" s="1548"/>
      <c r="G35" s="335" t="e">
        <f>VLOOKUP($B35&amp;"; "&amp;$G$32&amp;", "&amp;G$33,'FE Energie'!$G:$U,9,FALSE)</f>
        <v>#N/A</v>
      </c>
      <c r="H35" s="335" t="e">
        <f>VLOOKUP($B35&amp;"; "&amp;$G$32&amp;", "&amp;H$33,'FE Energie'!$G:$U,9,FALSE)</f>
        <v>#N/A</v>
      </c>
      <c r="I35" s="1548"/>
      <c r="J35" s="223">
        <f>VLOOKUP($B35&amp;"; "&amp;$J$32&amp;", "&amp;J$33,'FE Energie'!$G:$U,9,FALSE)</f>
        <v>7.3999999999999996E-2</v>
      </c>
      <c r="K35" s="223">
        <f>VLOOKUP($B35&amp;"; "&amp;$J$32&amp;", "&amp;K$33,'FE Energie'!$G:$U,9,FALSE)</f>
        <v>0</v>
      </c>
      <c r="L35" s="1548"/>
      <c r="M35" s="217">
        <f>VLOOKUP($B35&amp;"; "&amp;$M$11&amp;", "&amp;M$12,'FE Energie'!$G:$U,9,FALSE)</f>
        <v>863</v>
      </c>
      <c r="N35" s="217">
        <f>VLOOKUP($B35&amp;"; "&amp;$M$32&amp;", "&amp;N$33,'FE Energie'!$G:$U,9,FALSE)</f>
        <v>0</v>
      </c>
      <c r="O35" s="1548"/>
      <c r="P35" s="223">
        <f>VLOOKUP($B35&amp;"; "&amp;$P$32&amp;", "&amp;P$33,'FE Energie'!$G:$U,9,FALSE)</f>
        <v>0.49</v>
      </c>
      <c r="Q35" s="223">
        <f>VLOOKUP($B35&amp;"; "&amp;$P$32&amp;", "&amp;Q$33,'FE Energie'!$G:$U,9,FALSE)</f>
        <v>0</v>
      </c>
      <c r="R35" s="566">
        <f>IF(ISNA(F35*G35),0,F35*G35)+IF(ISNA(I35*J35),0,I35*J35)+IF(ISNA(L35*M35),0,L35*M35)+IF(ISNA(O35*P35),0,O35*P35)</f>
        <v>0</v>
      </c>
      <c r="S35" s="567">
        <f>IF(ISNA(F35*H35),0,F35*H35)+IF(ISNA(I35*K35),0,I35*K35)+IF(ISNA(L35*N35),0,L35*N35)+IF(ISNA(O35*Q35),0,O35*Q35)</f>
        <v>0</v>
      </c>
      <c r="T35" s="114"/>
      <c r="U35" s="114"/>
      <c r="V35" s="114"/>
      <c r="W35" s="1092">
        <f>IF(AC35=0,AC35,AC35/(R35+S35))</f>
        <v>0</v>
      </c>
      <c r="X35" s="345"/>
      <c r="Y35" s="820"/>
      <c r="Z35" s="1826">
        <f>SQRT(SUMSQ(IF(ISNA($F35*G35*AV35),0,$F35*G35*AV35),IF(ISNA($I35*J35*AW35),0,$I35*J35*AW35),IF(ISNA($L35*M35*AX35),0,$L35*M35*AX35),IF(ISNA($O35*P35*AY35),0,$O35*P35*AY35)))</f>
        <v>0</v>
      </c>
      <c r="AA35" s="1826">
        <f>SQRT(SUMSQ(IF(ISNA($F35*H35*AZ35),0,$F35*H35*AZ35),IF(ISNA($I35*K35*BA35),0,$I35*K35*BA35),IF(ISNA($L35*N35*BB35),0,$L35*N35*BB35),IF(ISNA($O35*Q35*BC35),0,$O35*Q35*BC35)))</f>
        <v>0</v>
      </c>
      <c r="AB35" s="1826"/>
      <c r="AC35" s="152">
        <f>SQRT(SUMSQ(Z35,AA35))</f>
        <v>0</v>
      </c>
      <c r="AE35" s="564">
        <f>$F35*IF(ISNA(VLOOKUP($B35&amp;"; "&amp;$G$32&amp;", "&amp;G$33,'FE Energie'!$G:$U,10,FALSE)),0,VLOOKUP($B35&amp;"; "&amp;$G$32&amp;", "&amp;G$33,'FE Energie'!$G:$U,10,FALSE))
+$I35*IF(ISNA(VLOOKUP($B35&amp;"; "&amp;$J$32&amp;", "&amp;G$33,'FE Energie'!$G:$U,10,FALSE)),0,VLOOKUP($B35&amp;"; "&amp;$J$32&amp;", "&amp;G$33,'FE Energie'!$G:$U,10,FALSE))
+$L35*IF(ISNA(VLOOKUP($B35&amp;"; "&amp;$M$32&amp;", "&amp;G$33,'FE Energie'!$G:$U,10,FALSE)),0,VLOOKUP($B35&amp;"; "&amp;$M$32&amp;", "&amp;G$33,'FE Energie'!$G:$U,10,FALSE))
+$O35*IF(ISNA(VLOOKUP($B35&amp;"; "&amp;$P$32&amp;", "&amp;G$33,'FE Energie'!$G:$U,10,FALSE)),0,VLOOKUP($B35&amp;"; "&amp;$P$32&amp;", "&amp;G$33,'FE Energie'!$G:$U,10,FALSE))</f>
        <v>0</v>
      </c>
      <c r="AF35" s="565">
        <f>$F35*IF(ISNA(VLOOKUP($B35&amp;"; "&amp;$G$32&amp;", "&amp;H$33,'FE Energie'!$G:$U,10,FALSE)),0,VLOOKUP($B35&amp;"; "&amp;$G$32&amp;", "&amp;H$33,'FE Energie'!$G:$U,10,FALSE))
+$I35*IF(ISNA(VLOOKUP($B35&amp;"; "&amp;$J$32&amp;", "&amp;H$33,'FE Energie'!$G:$U,10,FALSE)),0,VLOOKUP($B35&amp;"; "&amp;$J$32&amp;", "&amp;H$33,'FE Energie'!$G:$U,10,FALSE))
+$L35*IF(ISNA(VLOOKUP($B35&amp;"; "&amp;$M$32&amp;", "&amp;H$33,'FE Energie'!$G:$U,10,FALSE)),0,VLOOKUP($B35&amp;"; "&amp;$M$32&amp;", "&amp;H$33,'FE Energie'!$G:$U,10,FALSE))
+$O35*IF(ISNA(VLOOKUP($B35&amp;"; "&amp;$P$32&amp;", "&amp;H$33,'FE Energie'!$G:$U,10,FALSE)),0,VLOOKUP($B35&amp;"; "&amp;$P$32&amp;", "&amp;H$33,'FE Energie'!$G:$U,10,FALSE))</f>
        <v>0</v>
      </c>
      <c r="AG35" s="620">
        <f>$F35*IF(ISNA((VLOOKUP($B35&amp;"; "&amp;$G$32&amp;", "&amp;G$33,'FE Energie'!$G:$U,12,FALSE)+VLOOKUP($B35&amp;"; "&amp;$G$32&amp;", "&amp;G$33,'FE Energie'!$G:$U,11,FALSE))),0,(VLOOKUP($B35&amp;"; "&amp;$G$32&amp;", "&amp;G$33,'FE Energie'!$G:$U,12,FALSE)+VLOOKUP($B35&amp;"; "&amp;$G$32&amp;", "&amp;G$33,'FE Energie'!$G:$U,11,FALSE)))
+$I35*IF(ISNA((VLOOKUP($B35&amp;"; "&amp;$J$32&amp;", "&amp;G$33,'FE Energie'!$G:$U,12,FALSE)+VLOOKUP($B35&amp;"; "&amp;$J$32&amp;", "&amp;G$33,'FE Energie'!$G:$U,11,FALSE))),0,(VLOOKUP($B35&amp;"; "&amp;$J$32&amp;", "&amp;G$33,'FE Energie'!$G:$U,12,FALSE)+VLOOKUP($B35&amp;"; "&amp;$J$32&amp;", "&amp;G$33,'FE Energie'!$G:$U,11,FALSE)))
+$L35*IF(ISNA((VLOOKUP($B35&amp;"; "&amp;$M$32&amp;", "&amp;G$33,'FE Energie'!$G:$U,12,FALSE)+VLOOKUP($B35&amp;"; "&amp;$M$32&amp;", "&amp;G$33,'FE Energie'!$G:$U,11,FALSE))),0,(VLOOKUP($B35&amp;"; "&amp;$M$32&amp;", "&amp;G$33,'FE Energie'!$G:$U,12,FALSE)+VLOOKUP($B35&amp;"; "&amp;$M$32&amp;", "&amp;G$33,'FE Energie'!$G:$U,11,FALSE)))
+$O35*IF(ISNA((VLOOKUP($B35&amp;"; "&amp;$P$32&amp;", "&amp;G$33,'FE Energie'!$G:$U,12,FALSE)+VLOOKUP($B35&amp;"; "&amp;$P$32&amp;", "&amp;G$33,'FE Energie'!$G:$U,11,FALSE))),0,(VLOOKUP($B35&amp;"; "&amp;$P$32&amp;", "&amp;G$33,'FE Energie'!$G:$U,12,FALSE)+VLOOKUP($B35&amp;"; "&amp;$P$32&amp;", "&amp;G$33,'FE Energie'!$G:$U,11,FALSE)))</f>
        <v>0</v>
      </c>
      <c r="AH35" s="620">
        <f>$F35*IF(ISNA((VLOOKUP($B35&amp;"; "&amp;$G$32&amp;", "&amp;H$33,'FE Energie'!$G:$U,12,FALSE)+VLOOKUP($B35&amp;"; "&amp;$G$32&amp;", "&amp;H$33,'FE Energie'!$G:$U,11,FALSE))),0,(VLOOKUP($B35&amp;"; "&amp;$G$32&amp;", "&amp;H$33,'FE Energie'!$G:$U,12,FALSE)+VLOOKUP($B35&amp;"; "&amp;$G$32&amp;", "&amp;H$33,'FE Energie'!$G:$U,11,FALSE)))
+$I35*IF(ISNA((VLOOKUP($B35&amp;"; "&amp;$J$32&amp;", "&amp;H$33,'FE Energie'!$G:$U,12,FALSE)+VLOOKUP($B35&amp;"; "&amp;$J$32&amp;", "&amp;H$33,'FE Energie'!$G:$U,11,FALSE))),0,(VLOOKUP($B35&amp;"; "&amp;$J$32&amp;", "&amp;H$33,'FE Energie'!$G:$U,12,FALSE)+VLOOKUP($B35&amp;"; "&amp;$J$32&amp;", "&amp;H$33,'FE Energie'!$G:$U,11,FALSE)))
+$L35*IF(ISNA((VLOOKUP($B35&amp;"; "&amp;$M$32&amp;", "&amp;H$33,'FE Energie'!$G:$U,12,FALSE)+VLOOKUP($B35&amp;"; "&amp;$M$32&amp;", "&amp;H$33,'FE Energie'!$G:$U,11,FALSE))),0,(VLOOKUP($B35&amp;"; "&amp;$M$32&amp;", "&amp;H$33,'FE Energie'!$G:$U,12,FALSE)+VLOOKUP($B35&amp;"; "&amp;$M$32&amp;", "&amp;H$33,'FE Energie'!$G:$U,11,FALSE)))
+$O35*IF(ISNA((VLOOKUP($B35&amp;"; "&amp;$P$32&amp;", "&amp;H$33,'FE Energie'!$G:$U,12,FALSE)+VLOOKUP($B35&amp;"; "&amp;$P$32&amp;", "&amp;H$33,'FE Energie'!$G:$U,11,FALSE))),0,(VLOOKUP($B35&amp;"; "&amp;$P$32&amp;", "&amp;H$33,'FE Energie'!$G:$U,12,FALSE)+VLOOKUP($B35&amp;"; "&amp;$P$32&amp;", "&amp;H$33,'FE Energie'!$G:$U,11,FALSE)))</f>
        <v>0</v>
      </c>
      <c r="AI35" s="620">
        <f>$F35*IF(ISNA(VLOOKUP($B35&amp;"; "&amp;$G$32&amp;", "&amp;G$33,'FE Energie'!$G:$U,13,FALSE)),0,VLOOKUP($B35&amp;"; "&amp;$G$32&amp;", "&amp;G$33,'FE Energie'!$G:$U,13,FALSE))
+$I35*IF(ISNA(VLOOKUP($B35&amp;"; "&amp;$J$32&amp;", "&amp;G$33,'FE Energie'!$G:$U,13,FALSE)),0,VLOOKUP($B35&amp;"; "&amp;$J$32&amp;", "&amp;G$33,'FE Energie'!$G:$U,13,FALSE))
+$L35*IF(ISNA(VLOOKUP($B35&amp;"; "&amp;$M$32&amp;", "&amp;G$33,'FE Energie'!$G:$U,13,FALSE)),0,VLOOKUP($B35&amp;"; "&amp;$M$32&amp;", "&amp;G$33,'FE Energie'!$G:$U,13,FALSE))
+$O35*IF(ISNA(VLOOKUP($B35&amp;"; "&amp;$P$32&amp;", "&amp;G$33,'FE Energie'!$G:$U,13,FALSE)),0,VLOOKUP($B35&amp;"; "&amp;$P$32&amp;", "&amp;G$33,'FE Energie'!$G:$U,13,FALSE))</f>
        <v>0</v>
      </c>
      <c r="AJ35" s="620">
        <f>$F35*IF(ISNA(VLOOKUP($B35&amp;"; "&amp;$G$32&amp;", "&amp;H$33,'FE Energie'!$G:$U,13,FALSE)),0,VLOOKUP($B35&amp;"; "&amp;$G$32&amp;", "&amp;H$33,'FE Energie'!$G:$U,13,FALSE))
+$I35*IF(ISNA(VLOOKUP($B35&amp;"; "&amp;$J$32&amp;", "&amp;H$33,'FE Energie'!$G:$U,13,FALSE)),0,VLOOKUP($B35&amp;"; "&amp;$J$32&amp;", "&amp;H$33,'FE Energie'!$G:$U,13,FALSE))
+$L35*IF(ISNA(VLOOKUP($B35&amp;"; "&amp;$M$32&amp;", "&amp;H$33,'FE Energie'!$G:$U,13,FALSE)),0,VLOOKUP($B35&amp;"; "&amp;$M$32&amp;", "&amp;H$33,'FE Energie'!$G:$U,13,FALSE))
+$O35*IF(ISNA(VLOOKUP($B35&amp;"; "&amp;$P$32&amp;", "&amp;H$33,'FE Energie'!$G:$U,13,FALSE)),0,VLOOKUP($B35&amp;"; "&amp;$P$32&amp;", "&amp;H$33,'FE Energie'!$G:$U,13,FALSE))</f>
        <v>0</v>
      </c>
      <c r="AK35" s="565">
        <f>$F35*IF(ISNA(VLOOKUP($B35&amp;"; "&amp;$G$32&amp;", "&amp;G$33,'FE Energie'!$G:$U,14,FALSE)),0,VLOOKUP($B35&amp;"; "&amp;$G$32&amp;", "&amp;G$33,'FE Energie'!$G:$U,14,FALSE))
+$I35*IF(ISNA(VLOOKUP($B35&amp;"; "&amp;$J$32&amp;", "&amp;G$33,'FE Energie'!$G:$U,14,FALSE)),0,VLOOKUP($B35&amp;"; "&amp;$J$32&amp;", "&amp;G$33,'FE Energie'!$G:$U,14,FALSE))
+$L35*IF(ISNA(VLOOKUP($B35&amp;"; "&amp;$M$32&amp;", "&amp;G$33,'FE Energie'!$G:$U,14,FALSE)),0,VLOOKUP($B35&amp;"; "&amp;$M$32&amp;", "&amp;G$33,'FE Energie'!$G:$U,14,FALSE))
+$O35*IF(ISNA(VLOOKUP($B35&amp;"; "&amp;$P$32&amp;", "&amp;G$33,'FE Energie'!$G:$U,14,FALSE)),0,VLOOKUP($B35&amp;"; "&amp;$P$32&amp;", "&amp;G$33,'FE Energie'!$G:$U,14,FALSE))</f>
        <v>0</v>
      </c>
      <c r="AL35" s="565">
        <f>$F35*IF(ISNA(VLOOKUP($B35&amp;"; "&amp;$G$32&amp;", "&amp;H$33,'FE Energie'!$G:$U,14,FALSE)),0,VLOOKUP($B35&amp;"; "&amp;$G$32&amp;", "&amp;H$33,'FE Energie'!$G:$U,14,FALSE))
+$I35*IF(ISNA(VLOOKUP($B35&amp;"; "&amp;$J$32&amp;", "&amp;H$33,'FE Energie'!$G:$U,14,FALSE)),0,VLOOKUP($B35&amp;"; "&amp;$J$32&amp;", "&amp;H$33,'FE Energie'!$G:$U,14,FALSE))
+$L35*IF(ISNA(VLOOKUP($B35&amp;"; "&amp;$M$32&amp;", "&amp;H$33,'FE Energie'!$G:$U,14,FALSE)),0,VLOOKUP($B35&amp;"; "&amp;$M$32&amp;", "&amp;H$33,'FE Energie'!$G:$U,14,FALSE))
+$O35*IF(ISNA(VLOOKUP($B35&amp;"; "&amp;$P$32&amp;", "&amp;H$33,'FE Energie'!$G:$U,14,FALSE)),0,VLOOKUP($B35&amp;"; "&amp;$P$32&amp;", "&amp;H$33,'FE Energie'!$G:$U,14,FALSE))</f>
        <v>0</v>
      </c>
      <c r="AM35" s="566">
        <f>SUM(AE35,AG35,AI35,AK35)</f>
        <v>0</v>
      </c>
      <c r="AN35" s="566">
        <f>SUM(AF35,AH35,AJ35,AL35)</f>
        <v>0</v>
      </c>
      <c r="AO35" s="564">
        <f>$F35*IF(ISNA(VLOOKUP($B35&amp;"; "&amp;$G$32&amp;", "&amp;G$33,'FE Energie'!$G:$U,15,FALSE)),0,VLOOKUP($B35&amp;"; "&amp;$G$32&amp;", "&amp;G$33,'FE Energie'!$G:$U,15,FALSE))
+$I35*IF(ISNA(VLOOKUP($B35&amp;"; "&amp;$J$32&amp;", "&amp;G$33,'FE Energie'!$G:$U,15,FALSE)),0,VLOOKUP($B35&amp;"; "&amp;$J$32&amp;", "&amp;G$33,'FE Energie'!$G:$U,15,FALSE))
+$L35*IF(ISNA(VLOOKUP($B35&amp;"; "&amp;$M$32&amp;", "&amp;G$33,'FE Energie'!$G:$U,15,FALSE)),0,VLOOKUP($B35&amp;"; "&amp;$M$32&amp;", "&amp;G$33,'FE Energie'!$G:$U,15,FALSE))
+$O35*IF(ISNA(VLOOKUP($B35&amp;"; "&amp;$P$32&amp;", "&amp;G$33,'FE Energie'!$G:$U,15,FALSE)),0,VLOOKUP($B35&amp;"; "&amp;$P$32&amp;", "&amp;G$33,'FE Energie'!$G:$U,15,FALSE))</f>
        <v>0</v>
      </c>
      <c r="AP35" s="568">
        <f>$F35*IF(ISNA(VLOOKUP($B35&amp;"; "&amp;$G$11&amp;", "&amp;H$33,'FE Energie'!$G:$U,15,FALSE)),0,VLOOKUP($B35&amp;"; "&amp;$G$11&amp;", "&amp;H$33,'FE Energie'!$G:$U,15,FALSE))
+$I35*IF(ISNA(VLOOKUP($B35&amp;"; "&amp;$J$11&amp;", "&amp;H$33,'FE Energie'!$G:$U,15,FALSE)),0,VLOOKUP($B35&amp;"; "&amp;$J$11&amp;", "&amp;H$33,'FE Energie'!$G:$U,15,FALSE))
+$L35*IF(ISNA(VLOOKUP($B35&amp;"; "&amp;$M$11&amp;", "&amp;H$33,'FE Energie'!$G:$U,15,FALSE)),0,VLOOKUP($B35&amp;"; "&amp;$M$11&amp;", "&amp;H$33,'FE Energie'!$G:$U,15,FALSE))
+$O35*IF(ISNA(VLOOKUP($B35&amp;"; "&amp;$P$11&amp;", "&amp;H$33,'FE Energie'!$G:$U,15,FALSE)),0,VLOOKUP($B35&amp;"; "&amp;$P$11&amp;", "&amp;H$33,'FE Energie'!$G:$U,15,FALSE))</f>
        <v>0</v>
      </c>
      <c r="AQ35" s="114"/>
      <c r="AR35" s="1065">
        <f>IF($X35&lt;&gt;"votre valeur :",IF(ISNA(VLOOKUP($X35,Utilitaires!$N$566:$O$571,2,FALSE)),,VLOOKUP($X35,Utilitaires!$N$566:$O$571,2,FALSE)),$Y35)</f>
        <v>0</v>
      </c>
      <c r="AS35" s="1065">
        <f>IF($X35&lt;&gt;"votre valeur :",IF(ISNA(VLOOKUP($X35,Utilitaires!$N$566:$O$571,2,FALSE)),,VLOOKUP($X35,Utilitaires!$N$566:$O$571,2,FALSE)),$Y35)</f>
        <v>0</v>
      </c>
      <c r="AT35" s="1065">
        <f>IF($X35&lt;&gt;"votre valeur :",IF(ISNA(VLOOKUP($X35,Utilitaires!$N$566:$O$571,2,FALSE)),,VLOOKUP($X35,Utilitaires!$N$566:$O$571,2,FALSE)),$Y35)</f>
        <v>0</v>
      </c>
      <c r="AU35" s="1065">
        <f>IF($X35&lt;&gt;"votre valeur :",IF(ISNA(VLOOKUP($X35,Utilitaires!$N$566:$O$571,2,FALSE)),,VLOOKUP($X35,Utilitaires!$N$566:$O$571,2,FALSE)),$Y35)</f>
        <v>0</v>
      </c>
      <c r="AV35" s="1068">
        <f>IF(ISNA(SQRT(SUMSQ(VLOOKUP($B35&amp;"; "&amp;$G$32&amp;", "&amp;$G$33,'FE Energie'!$G:$U,7,FALSE),$AR35))),0,SQRT(SUMSQ(VLOOKUP($B35&amp;"; "&amp;$G$32&amp;", "&amp;$G$33,'FE Energie'!$G:$U,7,FALSE),$AR35)))</f>
        <v>0</v>
      </c>
      <c r="AW35" s="1068">
        <f>IF(ISNA(SQRT(SUMSQ(VLOOKUP($B35&amp;"; "&amp;$J$32&amp;", "&amp;$J$33,'FE Energie'!$G:$U,7,FALSE),$AS35))),0,SQRT(SUMSQ(VLOOKUP($B35&amp;"; "&amp;$J$32&amp;", "&amp;$J$33,'FE Energie'!$G:$U,7,FALSE),$AS35)))</f>
        <v>0.2</v>
      </c>
      <c r="AX35" s="1068">
        <f>IF(ISNA(SQRT(SUMSQ(VLOOKUP($B35&amp;"; "&amp;$M$32&amp;", "&amp;$M$33,'FE Energie'!$G:$U,7,FALSE),$AT35))),0,SQRT(SUMSQ(VLOOKUP($B35&amp;"; "&amp;$M$32&amp;", "&amp;$M$33,'FE Energie'!$G:$U,7,FALSE),$AT35)))</f>
        <v>0.2</v>
      </c>
      <c r="AY35" s="1068">
        <f>IF(ISNA(SQRT(SUMSQ(VLOOKUP($B35&amp;"; "&amp;$P$32&amp;", "&amp;$P$33,'FE Energie'!$G:$U,7,FALSE),$AU35))),0,SQRT(SUMSQ(VLOOKUP($B35&amp;"; "&amp;$P$32&amp;", "&amp;$P$33,'FE Energie'!$G:$U,7,FALSE),$AU35)))</f>
        <v>0.2</v>
      </c>
      <c r="AZ35" s="1069">
        <f>IF(ISNA(SQRT(SUMSQ(VLOOKUP($B35&amp;"; "&amp;$G$32&amp;", "&amp;$H$33,'FE Energie'!$G:$U,7,FALSE),$AR35))),0,SQRT(SUMSQ(VLOOKUP($B35&amp;"; "&amp;$G$32&amp;", "&amp;$H$33,'FE Energie'!$G:$U,7,FALSE),$AR35)))</f>
        <v>0</v>
      </c>
      <c r="BA35" s="1070">
        <f>IF(ISNA(SQRT(SUMSQ(VLOOKUP($B35&amp;"; "&amp;$J$32&amp;", "&amp;$K$33,'FE Energie'!$G:$U,7,FALSE),$AS35))),0,SQRT(SUMSQ(VLOOKUP($B35&amp;"; "&amp;$J$32&amp;", "&amp;$K$33,'FE Energie'!$G:$U,7,FALSE),$AS35)))</f>
        <v>0.2</v>
      </c>
      <c r="BB35" s="1070">
        <f>IF(ISNA(SQRT(SUMSQ(VLOOKUP($B35&amp;"; "&amp;$M$32&amp;", "&amp;$N$33,'FE Energie'!$G:$U,7,FALSE),$AT35))),0,SQRT(SUMSQ(VLOOKUP($B35&amp;"; "&amp;$M$32&amp;", "&amp;$N$33,'FE Energie'!$G:$U,7,FALSE),$AT35)))</f>
        <v>0.2</v>
      </c>
      <c r="BC35" s="1071">
        <f>IF(ISNA(SQRT(SUMSQ(VLOOKUP($B35&amp;"; "&amp;$P$32&amp;", "&amp;$Q$33,'FE Energie'!$G:$U,7,FALSE),$AU35))),0,SQRT(SUMSQ(VLOOKUP($B35&amp;"; "&amp;$P$32&amp;", "&amp;$Q$33,'FE Energie'!$G:$U,7,FALSE),$AU35)))</f>
        <v>0.2</v>
      </c>
    </row>
    <row r="36" spans="1:55" s="116" customFormat="1" ht="12.75" customHeight="1" outlineLevel="1">
      <c r="A36" s="114"/>
      <c r="B36" s="536" t="s">
        <v>121</v>
      </c>
      <c r="C36" s="144"/>
      <c r="D36" s="315"/>
      <c r="E36" s="822"/>
      <c r="F36" s="1853" t="s">
        <v>1621</v>
      </c>
      <c r="G36" s="2628" t="s">
        <v>1572</v>
      </c>
      <c r="H36" s="2628"/>
      <c r="I36" s="1583"/>
      <c r="J36" s="223"/>
      <c r="K36" s="223"/>
      <c r="L36" s="1583"/>
      <c r="M36" s="217"/>
      <c r="N36" s="217"/>
      <c r="O36" s="1583"/>
      <c r="P36" s="223"/>
      <c r="Q36" s="223"/>
      <c r="R36" s="566"/>
      <c r="S36" s="567"/>
      <c r="T36" s="114"/>
      <c r="U36" s="114"/>
      <c r="V36" s="114"/>
      <c r="W36" s="1092"/>
      <c r="X36" s="164"/>
      <c r="Y36" s="820"/>
      <c r="Z36" s="1826"/>
      <c r="AA36" s="1826"/>
      <c r="AB36" s="1826"/>
      <c r="AC36" s="152"/>
      <c r="AE36" s="564"/>
      <c r="AF36" s="565"/>
      <c r="AG36" s="620"/>
      <c r="AH36" s="620"/>
      <c r="AI36" s="620"/>
      <c r="AJ36" s="620"/>
      <c r="AK36" s="565"/>
      <c r="AL36" s="565"/>
      <c r="AM36" s="566"/>
      <c r="AN36" s="566"/>
      <c r="AO36" s="564"/>
      <c r="AP36" s="568"/>
      <c r="AQ36" s="114"/>
      <c r="AR36" s="1837" t="s">
        <v>1670</v>
      </c>
      <c r="AS36" s="1839" t="s">
        <v>1640</v>
      </c>
      <c r="AT36" s="1839" t="s">
        <v>1641</v>
      </c>
      <c r="AU36" s="1838" t="s">
        <v>1642</v>
      </c>
      <c r="AV36" s="1839" t="s">
        <v>1643</v>
      </c>
      <c r="AW36" s="1839" t="s">
        <v>1640</v>
      </c>
      <c r="AX36" s="1839" t="s">
        <v>1641</v>
      </c>
      <c r="AY36" s="1838" t="s">
        <v>1642</v>
      </c>
      <c r="AZ36" s="1837" t="s">
        <v>1643</v>
      </c>
      <c r="BA36" s="1839" t="s">
        <v>1640</v>
      </c>
      <c r="BB36" s="1839" t="s">
        <v>1641</v>
      </c>
      <c r="BC36" s="1838" t="s">
        <v>1642</v>
      </c>
    </row>
    <row r="37" spans="1:55" s="116" customFormat="1" ht="12.75" customHeight="1" outlineLevel="1">
      <c r="A37" s="114"/>
      <c r="B37" s="143" t="s">
        <v>1665</v>
      </c>
      <c r="C37" s="1826"/>
      <c r="D37" s="315">
        <f>R37+S37</f>
        <v>0</v>
      </c>
      <c r="E37" s="1047"/>
      <c r="F37" s="1547"/>
      <c r="G37" s="335">
        <f>VLOOKUP($B37&amp;"; "&amp;$G$36&amp;", "&amp;G$33,'FE Energie'!$G:$U,9,FALSE)</f>
        <v>4.1200000000000001E-2</v>
      </c>
      <c r="H37" s="335">
        <f>VLOOKUP($B37&amp;"; "&amp;$G$36&amp;", "&amp;H$33,'FE Energie'!$G:$U,9,FALSE)</f>
        <v>7.2599999999999998E-2</v>
      </c>
      <c r="I37" s="1547"/>
      <c r="J37" s="223">
        <f>VLOOKUP($B37&amp;"; "&amp;$J$32&amp;", "&amp;J$33,'FE Energie'!$G:$U,9,FALSE)</f>
        <v>1.0699999999999999E-2</v>
      </c>
      <c r="K37" s="223">
        <f>VLOOKUP($B37&amp;"; "&amp;$J$32&amp;", "&amp;K$33,'FE Energie'!$G:$U,9,FALSE)</f>
        <v>1.8800000000000001E-2</v>
      </c>
      <c r="L37" s="1547"/>
      <c r="M37" s="217" t="e">
        <f>VLOOKUP($B37&amp;"; "&amp;$M$11&amp;", "&amp;M$12,'FE Energie'!$G:$U,9,FALSE)</f>
        <v>#N/A</v>
      </c>
      <c r="N37" s="217" t="e">
        <f>VLOOKUP($B37&amp;"; "&amp;$M$32&amp;", "&amp;N$33,'FE Energie'!$G:$U,9,FALSE)</f>
        <v>#N/A</v>
      </c>
      <c r="O37" s="1547"/>
      <c r="P37" s="223" t="e">
        <f>VLOOKUP($B37&amp;"; "&amp;$P$32&amp;", "&amp;P$33,'FE Energie'!$G:$U,9,FALSE)</f>
        <v>#N/A</v>
      </c>
      <c r="Q37" s="223" t="e">
        <f>VLOOKUP($B37&amp;"; "&amp;$P$32&amp;", "&amp;Q$33,'FE Energie'!$G:$U,9,FALSE)</f>
        <v>#N/A</v>
      </c>
      <c r="R37" s="566">
        <f>IF(ISNA(F37*G37),0,F37*G37)+IF(ISNA(I37*J37),0,I37*J37)+IF(ISNA(L37*M37),0,L37*M37)+IF(ISNA(O37*P37),0,O37*P37)</f>
        <v>0</v>
      </c>
      <c r="S37" s="567">
        <f>IF(ISNA(F37*H37),0,F37*H37)+IF(ISNA(I37*K37),0,I37*K37)+IF(ISNA(L37*N37),0,L37*N37)+IF(ISNA(O37*Q37),0,O37*Q37)</f>
        <v>0</v>
      </c>
      <c r="T37" s="114"/>
      <c r="U37" s="114"/>
      <c r="V37" s="114"/>
      <c r="W37" s="1092">
        <f>IF(AC37=0,AC37,AC37/(R37+S37))</f>
        <v>0</v>
      </c>
      <c r="X37" s="343"/>
      <c r="Y37" s="820"/>
      <c r="Z37" s="1826">
        <f>SQRT(SUMSQ(IF(ISNA($F37*G37*AV37),0,$F37*G37*AV37),IF(ISNA($I37*J37*AW37),0,$I37*J37*AW37),IF(ISNA($L37*M37*AX37),0,$L37*M37*AX37),IF(ISNA($O37*P37*AY37),0,$O37*P37*AY37)))</f>
        <v>0</v>
      </c>
      <c r="AA37" s="1826">
        <f>SQRT(SUMSQ(IF(ISNA($F37*H37*AZ37),0,$F37*H37*AZ37),IF(ISNA($I37*K37*BA37),0,$I37*K37*BA37),IF(ISNA($L37*N37*BB37),0,$L37*N37*BB37),IF(ISNA($O37*Q37*BC37),0,$O37*Q37*BC37)))</f>
        <v>0</v>
      </c>
      <c r="AB37" s="1826"/>
      <c r="AC37" s="152">
        <f>SQRT(SUMSQ(Z37,AA37))</f>
        <v>0</v>
      </c>
      <c r="AE37" s="564">
        <f>$F37*IF(ISNA(VLOOKUP($B37&amp;"; "&amp;$G$36&amp;", "&amp;G$33,'FE Energie'!$G:$U,10,FALSE)),0,VLOOKUP($B37&amp;"; "&amp;$G$36&amp;", "&amp;G$33,'FE Energie'!$G:$U,10,FALSE))
+$I37*IF(ISNA(VLOOKUP($B37&amp;"; "&amp;$J$32&amp;", "&amp;G$33,'FE Energie'!$G:$U,10,FALSE)),0,VLOOKUP($B37&amp;"; "&amp;$J$32&amp;", "&amp;G$33,'FE Energie'!$G:$U,10,FALSE))
+$L37*IF(ISNA(VLOOKUP($B37&amp;"; "&amp;$M$32&amp;", "&amp;G$33,'FE Energie'!$G:$U,10,FALSE)),0,VLOOKUP($B37&amp;"; "&amp;$M$32&amp;", "&amp;G$33,'FE Energie'!$G:$U,10,FALSE))
+$O37*IF(ISNA(VLOOKUP($B37&amp;"; "&amp;$P$32&amp;", "&amp;G$33,'FE Energie'!$G:$U,10,FALSE)),0,VLOOKUP($B37&amp;"; "&amp;$P$32&amp;", "&amp;G$33,'FE Energie'!$G:$U,10,FALSE))</f>
        <v>0</v>
      </c>
      <c r="AF37" s="565">
        <f>$F37*IF(ISNA(VLOOKUP($B37&amp;"; "&amp;$G$36&amp;", "&amp;H$33,'FE Energie'!$G:$U,10,FALSE)),0,VLOOKUP($B37&amp;"; "&amp;$G$36&amp;", "&amp;H$33,'FE Energie'!$G:$U,10,FALSE))
+$I37*IF(ISNA(VLOOKUP($B37&amp;"; "&amp;$J$32&amp;", "&amp;H$33,'FE Energie'!$G:$U,10,FALSE)),0,VLOOKUP($B37&amp;"; "&amp;$J$32&amp;", "&amp;H$33,'FE Energie'!$G:$U,10,FALSE))
+$L37*IF(ISNA(VLOOKUP($B37&amp;"; "&amp;$M$32&amp;", "&amp;H$33,'FE Energie'!$G:$U,10,FALSE)),0,VLOOKUP($B37&amp;"; "&amp;$M$32&amp;", "&amp;H$33,'FE Energie'!$G:$U,10,FALSE))
+$O37*IF(ISNA(VLOOKUP($B37&amp;"; "&amp;$P$32&amp;", "&amp;H$33,'FE Energie'!$G:$U,10,FALSE)),0,VLOOKUP($B37&amp;"; "&amp;$P$32&amp;", "&amp;H$33,'FE Energie'!$G:$U,10,FALSE))</f>
        <v>0</v>
      </c>
      <c r="AG37" s="620">
        <f>$F37*IF(ISNA((VLOOKUP($B37&amp;"; "&amp;$G$36&amp;", "&amp;G$33,'FE Energie'!$G:$U,12,FALSE)+VLOOKUP($B37&amp;"; "&amp;$G$36&amp;", "&amp;G$33,'FE Energie'!$G:$U,11,FALSE))),0,(VLOOKUP($B37&amp;"; "&amp;$G$36&amp;", "&amp;G$33,'FE Energie'!$G:$U,12,FALSE)+VLOOKUP($B37&amp;"; "&amp;$G$36&amp;", "&amp;G$33,'FE Energie'!$G:$U,11,FALSE)))
+$I37*IF(ISNA((VLOOKUP($B37&amp;"; "&amp;$J$32&amp;", "&amp;G$33,'FE Energie'!$G:$U,12,FALSE)+VLOOKUP($B37&amp;"; "&amp;$J$32&amp;", "&amp;G$33,'FE Energie'!$G:$U,11,FALSE))),0,(VLOOKUP($B37&amp;"; "&amp;$J$32&amp;", "&amp;G$33,'FE Energie'!$G:$U,12,FALSE)+VLOOKUP($B37&amp;"; "&amp;$J$32&amp;", "&amp;G$33,'FE Energie'!$G:$U,11,FALSE)))
+$L37*IF(ISNA((VLOOKUP($B37&amp;"; "&amp;$M$32&amp;", "&amp;G$33,'FE Energie'!$G:$U,12,FALSE)+VLOOKUP($B37&amp;"; "&amp;$M$32&amp;", "&amp;G$33,'FE Energie'!$G:$U,11,FALSE))),0,(VLOOKUP($B37&amp;"; "&amp;$M$32&amp;", "&amp;G$33,'FE Energie'!$G:$U,12,FALSE)+VLOOKUP($B37&amp;"; "&amp;$M$32&amp;", "&amp;G$33,'FE Energie'!$G:$U,11,FALSE)))
+$O37*IF(ISNA((VLOOKUP($B37&amp;"; "&amp;$P$32&amp;", "&amp;G$33,'FE Energie'!$G:$U,12,FALSE)+VLOOKUP($B37&amp;"; "&amp;$P$32&amp;", "&amp;G$33,'FE Energie'!$G:$U,11,FALSE))),0,(VLOOKUP($B37&amp;"; "&amp;$P$32&amp;", "&amp;G$33,'FE Energie'!$G:$U,12,FALSE)+VLOOKUP($B37&amp;"; "&amp;$P$32&amp;", "&amp;G$33,'FE Energie'!$G:$U,11,FALSE)))</f>
        <v>0</v>
      </c>
      <c r="AH37" s="620">
        <f>$F37*IF(ISNA((VLOOKUP($B37&amp;"; "&amp;$G$36&amp;", "&amp;H$33,'FE Energie'!$G:$U,12,FALSE)+VLOOKUP($B37&amp;"; "&amp;$G$36&amp;", "&amp;H$33,'FE Energie'!$G:$U,11,FALSE))),0,(VLOOKUP($B37&amp;"; "&amp;$G$36&amp;", "&amp;H$33,'FE Energie'!$G:$U,12,FALSE)+VLOOKUP($B37&amp;"; "&amp;$G$36&amp;", "&amp;H$33,'FE Energie'!$G:$U,11,FALSE)))
+$I37*IF(ISNA((VLOOKUP($B37&amp;"; "&amp;$J$32&amp;", "&amp;H$33,'FE Energie'!$G:$U,12,FALSE)+VLOOKUP($B37&amp;"; "&amp;$J$32&amp;", "&amp;H$33,'FE Energie'!$G:$U,11,FALSE))),0,(VLOOKUP($B37&amp;"; "&amp;$J$32&amp;", "&amp;H$33,'FE Energie'!$G:$U,12,FALSE)+VLOOKUP($B37&amp;"; "&amp;$J$32&amp;", "&amp;H$33,'FE Energie'!$G:$U,11,FALSE)))
+$L37*IF(ISNA((VLOOKUP($B37&amp;"; "&amp;$M$32&amp;", "&amp;H$33,'FE Energie'!$G:$U,12,FALSE)+VLOOKUP($B37&amp;"; "&amp;$M$32&amp;", "&amp;H$33,'FE Energie'!$G:$U,11,FALSE))),0,(VLOOKUP($B37&amp;"; "&amp;$M$32&amp;", "&amp;H$33,'FE Energie'!$G:$U,12,FALSE)+VLOOKUP($B37&amp;"; "&amp;$M$32&amp;", "&amp;H$33,'FE Energie'!$G:$U,11,FALSE)))
+$O37*IF(ISNA((VLOOKUP($B37&amp;"; "&amp;$P$32&amp;", "&amp;H$33,'FE Energie'!$G:$U,12,FALSE)+VLOOKUP($B37&amp;"; "&amp;$P$32&amp;", "&amp;H$33,'FE Energie'!$G:$U,11,FALSE))),0,(VLOOKUP($B37&amp;"; "&amp;$P$32&amp;", "&amp;H$33,'FE Energie'!$G:$U,12,FALSE)+VLOOKUP($B37&amp;"; "&amp;$P$32&amp;", "&amp;H$33,'FE Energie'!$G:$U,11,FALSE)))</f>
        <v>0</v>
      </c>
      <c r="AI37" s="620">
        <f>$F37*IF(ISNA(VLOOKUP($B37&amp;"; "&amp;$G$36&amp;", "&amp;G$33,'FE Energie'!$G:$U,13,FALSE)),0,VLOOKUP($B37&amp;"; "&amp;$G$36&amp;", "&amp;G$33,'FE Energie'!$G:$U,13,FALSE))
+$I37*IF(ISNA(VLOOKUP($B37&amp;"; "&amp;$J$32&amp;", "&amp;G$33,'FE Energie'!$G:$U,13,FALSE)),0,VLOOKUP($B37&amp;"; "&amp;$J$32&amp;", "&amp;G$33,'FE Energie'!$G:$U,13,FALSE))
+$L37*IF(ISNA(VLOOKUP($B37&amp;"; "&amp;$M$32&amp;", "&amp;G$33,'FE Energie'!$G:$U,13,FALSE)),0,VLOOKUP($B37&amp;"; "&amp;$M$32&amp;", "&amp;G$33,'FE Energie'!$G:$U,13,FALSE))
+$O37*IF(ISNA(VLOOKUP($B37&amp;"; "&amp;$P$32&amp;", "&amp;G$33,'FE Energie'!$G:$U,13,FALSE)),0,VLOOKUP($B37&amp;"; "&amp;$P$32&amp;", "&amp;G$33,'FE Energie'!$G:$U,13,FALSE))</f>
        <v>0</v>
      </c>
      <c r="AJ37" s="620">
        <f>$F37*IF(ISNA(VLOOKUP($B37&amp;"; "&amp;$G$36&amp;", "&amp;H$33,'FE Energie'!$G:$U,13,FALSE)),0,VLOOKUP($B37&amp;"; "&amp;$G$36&amp;", "&amp;H$33,'FE Energie'!$G:$U,13,FALSE))
+$I37*IF(ISNA(VLOOKUP($B37&amp;"; "&amp;$J$32&amp;", "&amp;H$33,'FE Energie'!$G:$U,13,FALSE)),0,VLOOKUP($B37&amp;"; "&amp;$J$32&amp;", "&amp;H$33,'FE Energie'!$G:$U,13,FALSE))
+$L37*IF(ISNA(VLOOKUP($B37&amp;"; "&amp;$M$32&amp;", "&amp;H$33,'FE Energie'!$G:$U,13,FALSE)),0,VLOOKUP($B37&amp;"; "&amp;$M$32&amp;", "&amp;H$33,'FE Energie'!$G:$U,13,FALSE))
+$O37*IF(ISNA(VLOOKUP($B37&amp;"; "&amp;$P$32&amp;", "&amp;H$33,'FE Energie'!$G:$U,13,FALSE)),0,VLOOKUP($B37&amp;"; "&amp;$P$32&amp;", "&amp;H$33,'FE Energie'!$G:$U,13,FALSE))</f>
        <v>0</v>
      </c>
      <c r="AK37" s="565">
        <f>$F37*IF(ISNA(VLOOKUP($B37&amp;"; "&amp;$G$36&amp;", "&amp;G$33,'FE Energie'!$G:$U,14,FALSE)),0,VLOOKUP($B37&amp;"; "&amp;$G$36&amp;", "&amp;G$33,'FE Energie'!$G:$U,14,FALSE))
+$I37*IF(ISNA(VLOOKUP($B37&amp;"; "&amp;$J$32&amp;", "&amp;G$33,'FE Energie'!$G:$U,14,FALSE)),0,VLOOKUP($B37&amp;"; "&amp;$J$32&amp;", "&amp;G$33,'FE Energie'!$G:$U,14,FALSE))
+$L37*IF(ISNA(VLOOKUP($B37&amp;"; "&amp;$M$32&amp;", "&amp;G$33,'FE Energie'!$G:$U,14,FALSE)),0,VLOOKUP($B37&amp;"; "&amp;$M$32&amp;", "&amp;G$33,'FE Energie'!$G:$U,14,FALSE))
+$O37*IF(ISNA(VLOOKUP($B37&amp;"; "&amp;$P$32&amp;", "&amp;G$33,'FE Energie'!$G:$U,14,FALSE)),0,VLOOKUP($B37&amp;"; "&amp;$P$32&amp;", "&amp;G$33,'FE Energie'!$G:$U,14,FALSE))</f>
        <v>0</v>
      </c>
      <c r="AL37" s="565">
        <f>$F37*IF(ISNA(VLOOKUP($B37&amp;"; "&amp;$G$36&amp;", "&amp;H$33,'FE Energie'!$G:$U,14,FALSE)),0,VLOOKUP($B37&amp;"; "&amp;$G$36&amp;", "&amp;H$33,'FE Energie'!$G:$U,14,FALSE))
+$I37*IF(ISNA(VLOOKUP($B37&amp;"; "&amp;$J$32&amp;", "&amp;H$33,'FE Energie'!$G:$U,14,FALSE)),0,VLOOKUP($B37&amp;"; "&amp;$J$32&amp;", "&amp;H$33,'FE Energie'!$G:$U,14,FALSE))
+$L37*IF(ISNA(VLOOKUP($B37&amp;"; "&amp;$M$32&amp;", "&amp;H$33,'FE Energie'!$G:$U,14,FALSE)),0,VLOOKUP($B37&amp;"; "&amp;$M$32&amp;", "&amp;H$33,'FE Energie'!$G:$U,14,FALSE))
+$O37*IF(ISNA(VLOOKUP($B37&amp;"; "&amp;$P$32&amp;", "&amp;H$33,'FE Energie'!$G:$U,14,FALSE)),0,VLOOKUP($B37&amp;"; "&amp;$P$32&amp;", "&amp;H$33,'FE Energie'!$G:$U,14,FALSE))</f>
        <v>0</v>
      </c>
      <c r="AM37" s="566">
        <f>SUM(AE37,AG37,AI37,AK37)</f>
        <v>0</v>
      </c>
      <c r="AN37" s="566">
        <f>SUM(AF37,AH37,AJ37,AL37)</f>
        <v>0</v>
      </c>
      <c r="AO37" s="564">
        <f>$F37*IF(ISNA(VLOOKUP($B37&amp;"; "&amp;$G$36&amp;", "&amp;G$33,'FE Energie'!$G:$U,15,FALSE)),0,VLOOKUP($B37&amp;"; "&amp;$G$36&amp;", "&amp;G$33,'FE Energie'!$G:$U,15,FALSE))
+$I37*IF(ISNA(VLOOKUP($B37&amp;"; "&amp;$J$32&amp;", "&amp;G$33,'FE Energie'!$G:$U,15,FALSE)),0,VLOOKUP($B37&amp;"; "&amp;$J$32&amp;", "&amp;G$33,'FE Energie'!$G:$U,15,FALSE))
+$L37*IF(ISNA(VLOOKUP($B37&amp;"; "&amp;$M$32&amp;", "&amp;G$33,'FE Energie'!$G:$U,15,FALSE)),0,VLOOKUP($B37&amp;"; "&amp;$M$32&amp;", "&amp;G$33,'FE Energie'!$G:$U,15,FALSE))
+$O37*IF(ISNA(VLOOKUP($B37&amp;"; "&amp;$P$32&amp;", "&amp;G$33,'FE Energie'!$G:$U,15,FALSE)),0,VLOOKUP($B37&amp;"; "&amp;$P$32&amp;", "&amp;G$33,'FE Energie'!$G:$U,15,FALSE))</f>
        <v>0</v>
      </c>
      <c r="AP37" s="568">
        <f>$F37*IF(ISNA(VLOOKUP($B37&amp;"; "&amp;$G$36&amp;", "&amp;H$33,'FE Energie'!$G:$U,15,FALSE)),0,VLOOKUP($B37&amp;"; "&amp;$G$36&amp;", "&amp;H$33,'FE Energie'!$G:$U,15,FALSE))
+$I37*IF(ISNA(VLOOKUP($B37&amp;"; "&amp;$J$32&amp;", "&amp;H$33,'FE Energie'!$G:$U,15,FALSE)),0,VLOOKUP($B37&amp;"; "&amp;$J$32&amp;", "&amp;H$33,'FE Energie'!$G:$U,15,FALSE))
+$L37*IF(ISNA(VLOOKUP($B37&amp;"; "&amp;$M$32&amp;", "&amp;H$33,'FE Energie'!$G:$U,15,FALSE)),0,VLOOKUP($B37&amp;"; "&amp;$M$32&amp;", "&amp;H$33,'FE Energie'!$G:$U,15,FALSE))
+$O37*IF(ISNA(VLOOKUP($B37&amp;"; "&amp;$P$32&amp;", "&amp;H$33,'FE Energie'!$G:$U,15,FALSE)),0,VLOOKUP($B37&amp;"; "&amp;$P$32&amp;", "&amp;H$33,'FE Energie'!$G:$U,15,FALSE))</f>
        <v>0</v>
      </c>
      <c r="AQ37" s="114"/>
      <c r="AR37" s="1065">
        <f>IF($X37&lt;&gt;"votre valeur :",IF(ISNA(VLOOKUP($X37,Utilitaires!$N$566:$O$571,2,FALSE)),,VLOOKUP($X37,Utilitaires!$N$566:$O$571,2,FALSE)),$Y37)</f>
        <v>0</v>
      </c>
      <c r="AS37" s="1065">
        <f>IF($X37&lt;&gt;"votre valeur :",IF(ISNA(VLOOKUP($X37,Utilitaires!$N$566:$O$571,2,FALSE)),,VLOOKUP($X37,Utilitaires!$N$566:$O$571,2,FALSE)),$Y37)</f>
        <v>0</v>
      </c>
      <c r="AT37" s="1065">
        <f>IF($X37&lt;&gt;"votre valeur :",IF(ISNA(VLOOKUP($X37,Utilitaires!$N$566:$O$571,2,FALSE)),,VLOOKUP($X37,Utilitaires!$N$566:$O$571,2,FALSE)),$Y37)</f>
        <v>0</v>
      </c>
      <c r="AU37" s="1065">
        <f>IF($X37&lt;&gt;"votre valeur :",IF(ISNA(VLOOKUP($X37,Utilitaires!$N$566:$O$571,2,FALSE)),,VLOOKUP($X37,Utilitaires!$N$566:$O$571,2,FALSE)),$Y37)</f>
        <v>0</v>
      </c>
      <c r="AV37" s="1068">
        <f>IF(ISNA(SQRT(SUMSQ(VLOOKUP($B37&amp;"; "&amp;$G$36&amp;", "&amp;$G$33,'FE Energie'!$G:$U,7,FALSE),$AR37))),0,SQRT(SUMSQ(VLOOKUP($B37&amp;"; "&amp;$G$36&amp;", "&amp;$G$33,'FE Energie'!$G:$U,7,FALSE),$AR37)))</f>
        <v>0.5</v>
      </c>
      <c r="AW37" s="1068">
        <f>IF(ISNA(SQRT(SUMSQ(VLOOKUP($B37&amp;"; "&amp;$J$32&amp;", "&amp;$J$33,'FE Energie'!$G:$U,7,FALSE),$AS37))),0,SQRT(SUMSQ(VLOOKUP($B37&amp;"; "&amp;$J$32&amp;", "&amp;$J$33,'FE Energie'!$G:$U,7,FALSE),$AS37)))</f>
        <v>0.5</v>
      </c>
      <c r="AX37" s="1068">
        <f>IF(ISNA(SQRT(SUMSQ(VLOOKUP($B37&amp;"; "&amp;$M$32&amp;", "&amp;$M$33,'FE Energie'!$G:$U,7,FALSE),$AT37))),0,SQRT(SUMSQ(VLOOKUP($B37&amp;"; "&amp;$M$32&amp;", "&amp;$M$33,'FE Energie'!$G:$U,7,FALSE),$AT37)))</f>
        <v>0</v>
      </c>
      <c r="AY37" s="1068">
        <f>IF(ISNA(SQRT(SUMSQ(VLOOKUP($B37&amp;"; "&amp;$P$32&amp;", "&amp;$P$33,'FE Energie'!$G:$U,7,FALSE),$AU37))),0,SQRT(SUMSQ(VLOOKUP($B37&amp;"; "&amp;$P$32&amp;", "&amp;$P$33,'FE Energie'!$G:$U,7,FALSE),$AU37)))</f>
        <v>0</v>
      </c>
      <c r="AZ37" s="1069">
        <f>IF(ISNA(SQRT(SUMSQ(VLOOKUP($B37&amp;"; "&amp;$G$32&amp;", "&amp;$H$33,'FE Energie'!$G:$U,7,FALSE),$AR37))),0,SQRT(SUMSQ(VLOOKUP($B37&amp;"; "&amp;$G$32&amp;", "&amp;$H$33,'FE Energie'!$G:$U,7,FALSE),$AR37)))</f>
        <v>0</v>
      </c>
      <c r="BA37" s="1070">
        <f>IF(ISNA(SQRT(SUMSQ(VLOOKUP($B37&amp;"; "&amp;$J$32&amp;", "&amp;$K$33,'FE Energie'!$G:$U,7,FALSE),$AS37))),0,SQRT(SUMSQ(VLOOKUP($B37&amp;"; "&amp;$J$32&amp;", "&amp;$K$33,'FE Energie'!$G:$U,7,FALSE),$AS37)))</f>
        <v>0.5</v>
      </c>
      <c r="BB37" s="1070">
        <f>IF(ISNA(SQRT(SUMSQ(VLOOKUP($B37&amp;"; "&amp;$M$32&amp;", "&amp;$N$33,'FE Energie'!$G:$U,7,FALSE),$AT37))),0,SQRT(SUMSQ(VLOOKUP($B37&amp;"; "&amp;$M$32&amp;", "&amp;$N$33,'FE Energie'!$G:$U,7,FALSE),$AT37)))</f>
        <v>0</v>
      </c>
      <c r="BC37" s="1071">
        <f>IF(ISNA(SQRT(SUMSQ(VLOOKUP($B37&amp;"; "&amp;$P$32&amp;", "&amp;$Q$33,'FE Energie'!$G:$U,7,FALSE),$AU37))),0,SQRT(SUMSQ(VLOOKUP($B37&amp;"; "&amp;$P$32&amp;", "&amp;$Q$33,'FE Energie'!$G:$U,7,FALSE),$AU37)))</f>
        <v>0</v>
      </c>
    </row>
    <row r="38" spans="1:55" s="116" customFormat="1" ht="12.75" customHeight="1" outlineLevel="1">
      <c r="A38" s="114"/>
      <c r="B38" s="143" t="s">
        <v>1666</v>
      </c>
      <c r="C38" s="1826"/>
      <c r="D38" s="315">
        <f>R38+S38</f>
        <v>0</v>
      </c>
      <c r="E38" s="123"/>
      <c r="F38" s="1548"/>
      <c r="G38" s="335">
        <f>VLOOKUP($B38&amp;"; "&amp;$G$36&amp;", "&amp;G$33,'FE Energie'!$G:$U,9,FALSE)</f>
        <v>4.07E-2</v>
      </c>
      <c r="H38" s="335">
        <f>VLOOKUP($B38&amp;"; "&amp;$G$36&amp;", "&amp;H$33,'FE Energie'!$G:$U,9,FALSE)</f>
        <v>4.82E-2</v>
      </c>
      <c r="I38" s="1548"/>
      <c r="J38" s="223">
        <f>VLOOKUP($B38&amp;"; "&amp;$J$32&amp;", "&amp;J$33,'FE Energie'!$G:$U,9,FALSE)</f>
        <v>1.12E-2</v>
      </c>
      <c r="K38" s="223">
        <f>VLOOKUP($B38&amp;"; "&amp;$J$32&amp;", "&amp;K$33,'FE Energie'!$G:$U,9,FALSE)</f>
        <v>1.32E-2</v>
      </c>
      <c r="L38" s="1548"/>
      <c r="M38" s="217" t="e">
        <f>VLOOKUP($B38&amp;"; "&amp;$M$11&amp;", "&amp;M$12,'FE Energie'!$G:$U,9,FALSE)</f>
        <v>#N/A</v>
      </c>
      <c r="N38" s="217" t="e">
        <f>VLOOKUP($B38&amp;"; "&amp;$M$32&amp;", "&amp;N$33,'FE Energie'!$G:$U,9,FALSE)</f>
        <v>#N/A</v>
      </c>
      <c r="O38" s="1548"/>
      <c r="P38" s="223" t="e">
        <f>VLOOKUP($B38&amp;"; "&amp;$P$32&amp;", "&amp;P$33,'FE Energie'!$G:$U,9,FALSE)</f>
        <v>#N/A</v>
      </c>
      <c r="Q38" s="223" t="e">
        <f>VLOOKUP($B38&amp;"; "&amp;$P$32&amp;", "&amp;Q$33,'FE Energie'!$G:$U,9,FALSE)</f>
        <v>#N/A</v>
      </c>
      <c r="R38" s="566">
        <f>IF(ISNA(F38*G38),0,F38*G38)+IF(ISNA(I38*J38),0,I38*J38)+IF(ISNA(L38*M38),0,L38*M38)+IF(ISNA(O38*P38),0,O38*P38)</f>
        <v>0</v>
      </c>
      <c r="S38" s="567">
        <f>IF(ISNA(F38*H38),0,F38*H38)+IF(ISNA(I38*K38),0,I38*K38)+IF(ISNA(L38*N38),0,L38*N38)+IF(ISNA(O38*Q38),0,O38*Q38)</f>
        <v>0</v>
      </c>
      <c r="T38" s="114"/>
      <c r="U38" s="114"/>
      <c r="V38" s="114"/>
      <c r="W38" s="1092">
        <f>IF(AC38=0,AC38,AC38/(R38+S38))</f>
        <v>0</v>
      </c>
      <c r="X38" s="345"/>
      <c r="Y38" s="820"/>
      <c r="Z38" s="1826">
        <f>SQRT(SUMSQ(IF(ISNA($F38*G38*AV38),0,$F38*G38*AV38),IF(ISNA($I38*J38*AW38),0,$I38*J38*AW38),IF(ISNA($L38*M38*AX38),0,$L38*M38*AX38),IF(ISNA($O38*P38*AY38),0,$O38*P38*AY38)))</f>
        <v>0</v>
      </c>
      <c r="AA38" s="1826">
        <f>SQRT(SUMSQ(IF(ISNA($F38*H38*AZ38),0,$F38*H38*AZ38),IF(ISNA($I38*K38*BA38),0,$I38*K38*BA38),IF(ISNA($L38*N38*BB38),0,$L38*N38*BB38),IF(ISNA($O38*Q38*BC38),0,$O38*Q38*BC38)))</f>
        <v>0</v>
      </c>
      <c r="AB38" s="1826"/>
      <c r="AC38" s="152">
        <f>SQRT(SUMSQ(Z38,AA38))</f>
        <v>0</v>
      </c>
      <c r="AE38" s="564">
        <f>$F38*IF(ISNA(VLOOKUP($B38&amp;"; "&amp;$G$36&amp;", "&amp;G$33,'FE Energie'!$G:$U,10,FALSE)),0,VLOOKUP($B38&amp;"; "&amp;$G$36&amp;", "&amp;G$33,'FE Energie'!$G:$U,10,FALSE))
+$I38*IF(ISNA(VLOOKUP($B38&amp;"; "&amp;$J$32&amp;", "&amp;G$33,'FE Energie'!$G:$U,10,FALSE)),0,VLOOKUP($B38&amp;"; "&amp;$J$32&amp;", "&amp;G$33,'FE Energie'!$G:$U,10,FALSE))
+$L38*IF(ISNA(VLOOKUP($B38&amp;"; "&amp;$M$32&amp;", "&amp;G$33,'FE Energie'!$G:$U,10,FALSE)),0,VLOOKUP($B38&amp;"; "&amp;$M$32&amp;", "&amp;G$33,'FE Energie'!$G:$U,10,FALSE))
+$O38*IF(ISNA(VLOOKUP($B38&amp;"; "&amp;$P$32&amp;", "&amp;G$33,'FE Energie'!$G:$U,10,FALSE)),0,VLOOKUP($B38&amp;"; "&amp;$P$32&amp;", "&amp;G$33,'FE Energie'!$G:$U,10,FALSE))</f>
        <v>0</v>
      </c>
      <c r="AF38" s="565">
        <f>$F38*IF(ISNA(VLOOKUP($B38&amp;"; "&amp;$G$36&amp;", "&amp;H$33,'FE Energie'!$G:$U,10,FALSE)),0,VLOOKUP($B38&amp;"; "&amp;$G$36&amp;", "&amp;H$33,'FE Energie'!$G:$U,10,FALSE))
+$I38*IF(ISNA(VLOOKUP($B38&amp;"; "&amp;$J$32&amp;", "&amp;H$33,'FE Energie'!$G:$U,10,FALSE)),0,VLOOKUP($B38&amp;"; "&amp;$J$32&amp;", "&amp;H$33,'FE Energie'!$G:$U,10,FALSE))
+$L38*IF(ISNA(VLOOKUP($B38&amp;"; "&amp;$M$32&amp;", "&amp;H$33,'FE Energie'!$G:$U,10,FALSE)),0,VLOOKUP($B38&amp;"; "&amp;$M$32&amp;", "&amp;H$33,'FE Energie'!$G:$U,10,FALSE))
+$O38*IF(ISNA(VLOOKUP($B38&amp;"; "&amp;$P$32&amp;", "&amp;H$33,'FE Energie'!$G:$U,10,FALSE)),0,VLOOKUP($B38&amp;"; "&amp;$P$32&amp;", "&amp;H$33,'FE Energie'!$G:$U,10,FALSE))</f>
        <v>0</v>
      </c>
      <c r="AG38" s="620">
        <f>$F38*IF(ISNA((VLOOKUP($B38&amp;"; "&amp;$G$36&amp;", "&amp;G$33,'FE Energie'!$G:$U,12,FALSE)+VLOOKUP($B38&amp;"; "&amp;$G$36&amp;", "&amp;G$33,'FE Energie'!$G:$U,11,FALSE))),0,(VLOOKUP($B38&amp;"; "&amp;$G$36&amp;", "&amp;G$33,'FE Energie'!$G:$U,12,FALSE)+VLOOKUP($B38&amp;"; "&amp;$G$36&amp;", "&amp;G$33,'FE Energie'!$G:$U,11,FALSE)))
+$I38*IF(ISNA((VLOOKUP($B38&amp;"; "&amp;$J$32&amp;", "&amp;G$33,'FE Energie'!$G:$U,12,FALSE)+VLOOKUP($B38&amp;"; "&amp;$J$32&amp;", "&amp;G$33,'FE Energie'!$G:$U,11,FALSE))),0,(VLOOKUP($B38&amp;"; "&amp;$J$32&amp;", "&amp;G$33,'FE Energie'!$G:$U,12,FALSE)+VLOOKUP($B38&amp;"; "&amp;$J$32&amp;", "&amp;G$33,'FE Energie'!$G:$U,11,FALSE)))
+$L38*IF(ISNA((VLOOKUP($B38&amp;"; "&amp;$M$32&amp;", "&amp;G$33,'FE Energie'!$G:$U,12,FALSE)+VLOOKUP($B38&amp;"; "&amp;$M$32&amp;", "&amp;G$33,'FE Energie'!$G:$U,11,FALSE))),0,(VLOOKUP($B38&amp;"; "&amp;$M$32&amp;", "&amp;G$33,'FE Energie'!$G:$U,12,FALSE)+VLOOKUP($B38&amp;"; "&amp;$M$32&amp;", "&amp;G$33,'FE Energie'!$G:$U,11,FALSE)))
+$O38*IF(ISNA((VLOOKUP($B38&amp;"; "&amp;$P$32&amp;", "&amp;G$33,'FE Energie'!$G:$U,12,FALSE)+VLOOKUP($B38&amp;"; "&amp;$P$32&amp;", "&amp;G$33,'FE Energie'!$G:$U,11,FALSE))),0,(VLOOKUP($B38&amp;"; "&amp;$P$32&amp;", "&amp;G$33,'FE Energie'!$G:$U,12,FALSE)+VLOOKUP($B38&amp;"; "&amp;$P$32&amp;", "&amp;G$33,'FE Energie'!$G:$U,11,FALSE)))</f>
        <v>0</v>
      </c>
      <c r="AH38" s="620">
        <f>$F38*IF(ISNA((VLOOKUP($B38&amp;"; "&amp;$G$36&amp;", "&amp;H$33,'FE Energie'!$G:$U,12,FALSE)+VLOOKUP($B38&amp;"; "&amp;$G$36&amp;", "&amp;H$33,'FE Energie'!$G:$U,11,FALSE))),0,(VLOOKUP($B38&amp;"; "&amp;$G$36&amp;", "&amp;H$33,'FE Energie'!$G:$U,12,FALSE)+VLOOKUP($B38&amp;"; "&amp;$G$36&amp;", "&amp;H$33,'FE Energie'!$G:$U,11,FALSE)))
+$I38*IF(ISNA((VLOOKUP($B38&amp;"; "&amp;$J$32&amp;", "&amp;H$33,'FE Energie'!$G:$U,12,FALSE)+VLOOKUP($B38&amp;"; "&amp;$J$32&amp;", "&amp;H$33,'FE Energie'!$G:$U,11,FALSE))),0,(VLOOKUP($B38&amp;"; "&amp;$J$32&amp;", "&amp;H$33,'FE Energie'!$G:$U,12,FALSE)+VLOOKUP($B38&amp;"; "&amp;$J$32&amp;", "&amp;H$33,'FE Energie'!$G:$U,11,FALSE)))
+$L38*IF(ISNA((VLOOKUP($B38&amp;"; "&amp;$M$32&amp;", "&amp;H$33,'FE Energie'!$G:$U,12,FALSE)+VLOOKUP($B38&amp;"; "&amp;$M$32&amp;", "&amp;H$33,'FE Energie'!$G:$U,11,FALSE))),0,(VLOOKUP($B38&amp;"; "&amp;$M$32&amp;", "&amp;H$33,'FE Energie'!$G:$U,12,FALSE)+VLOOKUP($B38&amp;"; "&amp;$M$32&amp;", "&amp;H$33,'FE Energie'!$G:$U,11,FALSE)))
+$O38*IF(ISNA((VLOOKUP($B38&amp;"; "&amp;$P$32&amp;", "&amp;H$33,'FE Energie'!$G:$U,12,FALSE)+VLOOKUP($B38&amp;"; "&amp;$P$32&amp;", "&amp;H$33,'FE Energie'!$G:$U,11,FALSE))),0,(VLOOKUP($B38&amp;"; "&amp;$P$32&amp;", "&amp;H$33,'FE Energie'!$G:$U,12,FALSE)+VLOOKUP($B38&amp;"; "&amp;$P$32&amp;", "&amp;H$33,'FE Energie'!$G:$U,11,FALSE)))</f>
        <v>0</v>
      </c>
      <c r="AI38" s="620">
        <f>$F38*IF(ISNA(VLOOKUP($B38&amp;"; "&amp;$G$36&amp;", "&amp;G$33,'FE Energie'!$G:$U,13,FALSE)),0,VLOOKUP($B38&amp;"; "&amp;$G$36&amp;", "&amp;G$33,'FE Energie'!$G:$U,13,FALSE))
+$I38*IF(ISNA(VLOOKUP($B38&amp;"; "&amp;$J$32&amp;", "&amp;G$33,'FE Energie'!$G:$U,13,FALSE)),0,VLOOKUP($B38&amp;"; "&amp;$J$32&amp;", "&amp;G$33,'FE Energie'!$G:$U,13,FALSE))
+$L38*IF(ISNA(VLOOKUP($B38&amp;"; "&amp;$M$32&amp;", "&amp;G$33,'FE Energie'!$G:$U,13,FALSE)),0,VLOOKUP($B38&amp;"; "&amp;$M$32&amp;", "&amp;G$33,'FE Energie'!$G:$U,13,FALSE))
+$O38*IF(ISNA(VLOOKUP($B38&amp;"; "&amp;$P$32&amp;", "&amp;G$33,'FE Energie'!$G:$U,13,FALSE)),0,VLOOKUP($B38&amp;"; "&amp;$P$32&amp;", "&amp;G$33,'FE Energie'!$G:$U,13,FALSE))</f>
        <v>0</v>
      </c>
      <c r="AJ38" s="620">
        <f>$F38*IF(ISNA(VLOOKUP($B38&amp;"; "&amp;$G$36&amp;", "&amp;H$33,'FE Energie'!$G:$U,13,FALSE)),0,VLOOKUP($B38&amp;"; "&amp;$G$36&amp;", "&amp;H$33,'FE Energie'!$G:$U,13,FALSE))
+$I38*IF(ISNA(VLOOKUP($B38&amp;"; "&amp;$J$32&amp;", "&amp;H$33,'FE Energie'!$G:$U,13,FALSE)),0,VLOOKUP($B38&amp;"; "&amp;$J$32&amp;", "&amp;H$33,'FE Energie'!$G:$U,13,FALSE))
+$L38*IF(ISNA(VLOOKUP($B38&amp;"; "&amp;$M$32&amp;", "&amp;H$33,'FE Energie'!$G:$U,13,FALSE)),0,VLOOKUP($B38&amp;"; "&amp;$M$32&amp;", "&amp;H$33,'FE Energie'!$G:$U,13,FALSE))
+$O38*IF(ISNA(VLOOKUP($B38&amp;"; "&amp;$P$32&amp;", "&amp;H$33,'FE Energie'!$G:$U,13,FALSE)),0,VLOOKUP($B38&amp;"; "&amp;$P$32&amp;", "&amp;H$33,'FE Energie'!$G:$U,13,FALSE))</f>
        <v>0</v>
      </c>
      <c r="AK38" s="565">
        <f>$F38*IF(ISNA(VLOOKUP($B38&amp;"; "&amp;$G$36&amp;", "&amp;G$33,'FE Energie'!$G:$U,14,FALSE)),0,VLOOKUP($B38&amp;"; "&amp;$G$36&amp;", "&amp;G$33,'FE Energie'!$G:$U,14,FALSE))
+$I38*IF(ISNA(VLOOKUP($B38&amp;"; "&amp;$J$32&amp;", "&amp;G$33,'FE Energie'!$G:$U,14,FALSE)),0,VLOOKUP($B38&amp;"; "&amp;$J$32&amp;", "&amp;G$33,'FE Energie'!$G:$U,14,FALSE))
+$L38*IF(ISNA(VLOOKUP($B38&amp;"; "&amp;$M$32&amp;", "&amp;G$33,'FE Energie'!$G:$U,14,FALSE)),0,VLOOKUP($B38&amp;"; "&amp;$M$32&amp;", "&amp;G$33,'FE Energie'!$G:$U,14,FALSE))
+$O38*IF(ISNA(VLOOKUP($B38&amp;"; "&amp;$P$32&amp;", "&amp;G$33,'FE Energie'!$G:$U,14,FALSE)),0,VLOOKUP($B38&amp;"; "&amp;$P$32&amp;", "&amp;G$33,'FE Energie'!$G:$U,14,FALSE))</f>
        <v>0</v>
      </c>
      <c r="AL38" s="565">
        <f>$F38*IF(ISNA(VLOOKUP($B38&amp;"; "&amp;$G$36&amp;", "&amp;H$33,'FE Energie'!$G:$U,14,FALSE)),0,VLOOKUP($B38&amp;"; "&amp;$G$36&amp;", "&amp;H$33,'FE Energie'!$G:$U,14,FALSE))
+$I38*IF(ISNA(VLOOKUP($B38&amp;"; "&amp;$J$32&amp;", "&amp;H$33,'FE Energie'!$G:$U,14,FALSE)),0,VLOOKUP($B38&amp;"; "&amp;$J$32&amp;", "&amp;H$33,'FE Energie'!$G:$U,14,FALSE))
+$L38*IF(ISNA(VLOOKUP($B38&amp;"; "&amp;$M$32&amp;", "&amp;H$33,'FE Energie'!$G:$U,14,FALSE)),0,VLOOKUP($B38&amp;"; "&amp;$M$32&amp;", "&amp;H$33,'FE Energie'!$G:$U,14,FALSE))
+$O38*IF(ISNA(VLOOKUP($B38&amp;"; "&amp;$P$32&amp;", "&amp;H$33,'FE Energie'!$G:$U,14,FALSE)),0,VLOOKUP($B38&amp;"; "&amp;$P$32&amp;", "&amp;H$33,'FE Energie'!$G:$U,14,FALSE))</f>
        <v>0</v>
      </c>
      <c r="AM38" s="566">
        <f>SUM(AE38,AG38,AI38,AK38)</f>
        <v>0</v>
      </c>
      <c r="AN38" s="566">
        <f>SUM(AF38,AH38,AJ38,AL38)</f>
        <v>0</v>
      </c>
      <c r="AO38" s="564">
        <f>$F38*IF(ISNA(VLOOKUP($B38&amp;"; "&amp;$G$36&amp;", "&amp;G$33,'FE Energie'!$G:$U,15,FALSE)),0,VLOOKUP($B38&amp;"; "&amp;$G$36&amp;", "&amp;G$33,'FE Energie'!$G:$U,15,FALSE))
+$I38*IF(ISNA(VLOOKUP($B38&amp;"; "&amp;$J$32&amp;", "&amp;G$33,'FE Energie'!$G:$U,15,FALSE)),0,VLOOKUP($B38&amp;"; "&amp;$J$32&amp;", "&amp;G$33,'FE Energie'!$G:$U,15,FALSE))
+$L38*IF(ISNA(VLOOKUP($B38&amp;"; "&amp;$M$32&amp;", "&amp;G$33,'FE Energie'!$G:$U,15,FALSE)),0,VLOOKUP($B38&amp;"; "&amp;$M$32&amp;", "&amp;G$33,'FE Energie'!$G:$U,15,FALSE))
+$O38*IF(ISNA(VLOOKUP($B38&amp;"; "&amp;$P$32&amp;", "&amp;G$33,'FE Energie'!$G:$U,15,FALSE)),0,VLOOKUP($B38&amp;"; "&amp;$P$32&amp;", "&amp;G$33,'FE Energie'!$G:$U,15,FALSE))</f>
        <v>0</v>
      </c>
      <c r="AP38" s="568">
        <f>$F38*IF(ISNA(VLOOKUP($B38&amp;"; "&amp;$G$36&amp;", "&amp;H$33,'FE Energie'!$G:$U,15,FALSE)),0,VLOOKUP($B38&amp;"; "&amp;$G$36&amp;", "&amp;H$33,'FE Energie'!$G:$U,15,FALSE))
+$I38*IF(ISNA(VLOOKUP($B38&amp;"; "&amp;$J$32&amp;", "&amp;H$33,'FE Energie'!$G:$U,15,FALSE)),0,VLOOKUP($B38&amp;"; "&amp;$J$32&amp;", "&amp;H$33,'FE Energie'!$G:$U,15,FALSE))
+$L38*IF(ISNA(VLOOKUP($B38&amp;"; "&amp;$M$32&amp;", "&amp;H$33,'FE Energie'!$G:$U,15,FALSE)),0,VLOOKUP($B38&amp;"; "&amp;$M$32&amp;", "&amp;H$33,'FE Energie'!$G:$U,15,FALSE))
+$O38*IF(ISNA(VLOOKUP($B38&amp;"; "&amp;$P$32&amp;", "&amp;H$33,'FE Energie'!$G:$U,15,FALSE)),0,VLOOKUP($B38&amp;"; "&amp;$P$32&amp;", "&amp;H$33,'FE Energie'!$G:$U,15,FALSE))</f>
        <v>0</v>
      </c>
      <c r="AQ38" s="114"/>
      <c r="AR38" s="1065">
        <f>IF($X38&lt;&gt;"votre valeur :",IF(ISNA(VLOOKUP($X38,Utilitaires!$N$566:$O$571,2,FALSE)),,VLOOKUP($X38,Utilitaires!$N$566:$O$571,2,FALSE)),$Y38)</f>
        <v>0</v>
      </c>
      <c r="AS38" s="1065">
        <f>IF($X38&lt;&gt;"votre valeur :",IF(ISNA(VLOOKUP($X38,Utilitaires!$N$566:$O$571,2,FALSE)),,VLOOKUP($X38,Utilitaires!$N$566:$O$571,2,FALSE)),$Y38)</f>
        <v>0</v>
      </c>
      <c r="AT38" s="1065">
        <f>IF($X38&lt;&gt;"votre valeur :",IF(ISNA(VLOOKUP($X38,Utilitaires!$N$566:$O$571,2,FALSE)),,VLOOKUP($X38,Utilitaires!$N$566:$O$571,2,FALSE)),$Y38)</f>
        <v>0</v>
      </c>
      <c r="AU38" s="1065">
        <f>IF($X38&lt;&gt;"votre valeur :",IF(ISNA(VLOOKUP($X38,Utilitaires!$N$566:$O$571,2,FALSE)),,VLOOKUP($X38,Utilitaires!$N$566:$O$571,2,FALSE)),$Y38)</f>
        <v>0</v>
      </c>
      <c r="AV38" s="1068">
        <f>IF(ISNA(SQRT(SUMSQ(VLOOKUP($B38&amp;"; "&amp;$G$36&amp;", "&amp;$G$33,'FE Energie'!$G:$U,7,FALSE),$AR38))),0,SQRT(SUMSQ(VLOOKUP($B38&amp;"; "&amp;$G$36&amp;", "&amp;$G$33,'FE Energie'!$G:$U,7,FALSE),$AR38)))</f>
        <v>0.5</v>
      </c>
      <c r="AW38" s="1068">
        <f>IF(ISNA(SQRT(SUMSQ(VLOOKUP($B38&amp;"; "&amp;$J$32&amp;", "&amp;$J$33,'FE Energie'!$G:$U,7,FALSE),$AS38))),0,SQRT(SUMSQ(VLOOKUP($B38&amp;"; "&amp;$J$32&amp;", "&amp;$J$33,'FE Energie'!$G:$U,7,FALSE),$AS38)))</f>
        <v>0.5</v>
      </c>
      <c r="AX38" s="1068">
        <f>IF(ISNA(SQRT(SUMSQ(VLOOKUP($B38&amp;"; "&amp;$M$32&amp;", "&amp;$M$33,'FE Energie'!$G:$U,7,FALSE),$AT38))),0,SQRT(SUMSQ(VLOOKUP($B38&amp;"; "&amp;$M$32&amp;", "&amp;$M$33,'FE Energie'!$G:$U,7,FALSE),$AT38)))</f>
        <v>0</v>
      </c>
      <c r="AY38" s="1068">
        <f>IF(ISNA(SQRT(SUMSQ(VLOOKUP($B38&amp;"; "&amp;$P$32&amp;", "&amp;$P$33,'FE Energie'!$G:$U,7,FALSE),$AU38))),0,SQRT(SUMSQ(VLOOKUP($B38&amp;"; "&amp;$P$32&amp;", "&amp;$P$33,'FE Energie'!$G:$U,7,FALSE),$AU38)))</f>
        <v>0</v>
      </c>
      <c r="AZ38" s="1069">
        <f>IF(ISNA(SQRT(SUMSQ(VLOOKUP($B38&amp;"; "&amp;$G$32&amp;", "&amp;$H$33,'FE Energie'!$G:$U,7,FALSE),$AR38))),0,SQRT(SUMSQ(VLOOKUP($B38&amp;"; "&amp;$G$32&amp;", "&amp;$H$33,'FE Energie'!$G:$U,7,FALSE),$AR38)))</f>
        <v>0</v>
      </c>
      <c r="BA38" s="1070">
        <f>IF(ISNA(SQRT(SUMSQ(VLOOKUP($B38&amp;"; "&amp;$J$32&amp;", "&amp;$K$33,'FE Energie'!$G:$U,7,FALSE),$AS38))),0,SQRT(SUMSQ(VLOOKUP($B38&amp;"; "&amp;$J$32&amp;", "&amp;$K$33,'FE Energie'!$G:$U,7,FALSE),$AS38)))</f>
        <v>0.5</v>
      </c>
      <c r="BB38" s="1070">
        <f>IF(ISNA(SQRT(SUMSQ(VLOOKUP($B38&amp;"; "&amp;$M$32&amp;", "&amp;$N$33,'FE Energie'!$G:$U,7,FALSE),$AT38))),0,SQRT(SUMSQ(VLOOKUP($B38&amp;"; "&amp;$M$32&amp;", "&amp;$N$33,'FE Energie'!$G:$U,7,FALSE),$AT38)))</f>
        <v>0</v>
      </c>
      <c r="BC38" s="1071">
        <f>IF(ISNA(SQRT(SUMSQ(VLOOKUP($B38&amp;"; "&amp;$P$32&amp;", "&amp;$Q$33,'FE Energie'!$G:$U,7,FALSE),$AU38))),0,SQRT(SUMSQ(VLOOKUP($B38&amp;"; "&amp;$P$32&amp;", "&amp;$Q$33,'FE Energie'!$G:$U,7,FALSE),$AU38)))</f>
        <v>0</v>
      </c>
    </row>
    <row r="39" spans="1:55" s="116" customFormat="1" ht="12.75" customHeight="1" outlineLevel="1">
      <c r="A39" s="114"/>
      <c r="B39" s="154"/>
      <c r="C39" s="155"/>
      <c r="D39" s="315"/>
      <c r="E39" s="155"/>
      <c r="F39" s="155"/>
      <c r="G39" s="155"/>
      <c r="H39" s="155"/>
      <c r="I39" s="155"/>
      <c r="J39" s="155"/>
      <c r="K39" s="155"/>
      <c r="L39" s="155"/>
      <c r="M39" s="155"/>
      <c r="N39" s="155"/>
      <c r="O39" s="144"/>
      <c r="P39" s="144"/>
      <c r="Q39" s="144"/>
      <c r="R39" s="155"/>
      <c r="S39" s="156"/>
      <c r="T39" s="114"/>
      <c r="U39" s="114"/>
      <c r="V39" s="114"/>
      <c r="W39" s="154"/>
      <c r="X39" s="822"/>
      <c r="Y39" s="822"/>
      <c r="Z39" s="1826"/>
      <c r="AA39" s="1826"/>
      <c r="AB39" s="1826"/>
      <c r="AC39" s="156"/>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customHeight="1" outlineLevel="1">
      <c r="A40" s="114"/>
      <c r="B40" s="196" t="s">
        <v>348</v>
      </c>
      <c r="C40" s="197"/>
      <c r="D40" s="202">
        <f>SUM(D34:D39)</f>
        <v>0</v>
      </c>
      <c r="E40" s="198"/>
      <c r="F40" s="199"/>
      <c r="G40" s="199"/>
      <c r="H40" s="199"/>
      <c r="I40" s="199"/>
      <c r="J40" s="199"/>
      <c r="K40" s="199"/>
      <c r="L40" s="199"/>
      <c r="M40" s="199"/>
      <c r="N40" s="199"/>
      <c r="O40" s="199"/>
      <c r="P40" s="199"/>
      <c r="Q40" s="199"/>
      <c r="R40" s="202">
        <f>SUM(R34:R39)</f>
        <v>0</v>
      </c>
      <c r="S40" s="200">
        <f>SUM(S34:S39)</f>
        <v>0</v>
      </c>
      <c r="T40" s="114"/>
      <c r="U40" s="114"/>
      <c r="V40" s="114"/>
      <c r="W40" s="1093">
        <f>IF(AC40=0,AC40,AC40/(R40+S40))</f>
        <v>0</v>
      </c>
      <c r="X40" s="821"/>
      <c r="Y40" s="1636"/>
      <c r="Z40" s="1636">
        <f>SQRT(SUMSQ(Z34:Z39))</f>
        <v>0</v>
      </c>
      <c r="AA40" s="1636">
        <f>SQRT(SUMSQ(AA34:AA39))</f>
        <v>0</v>
      </c>
      <c r="AB40" s="1636"/>
      <c r="AC40" s="200">
        <f>SQRT(SUMSQ(AC34:AC39))</f>
        <v>0</v>
      </c>
      <c r="AE40" s="623">
        <f t="shared" ref="AE40:AP40" si="2">SUM(AE34:AE39)</f>
        <v>0</v>
      </c>
      <c r="AF40" s="621">
        <f t="shared" si="2"/>
        <v>0</v>
      </c>
      <c r="AG40" s="621">
        <f t="shared" si="2"/>
        <v>0</v>
      </c>
      <c r="AH40" s="621">
        <f t="shared" si="2"/>
        <v>0</v>
      </c>
      <c r="AI40" s="621">
        <f t="shared" si="2"/>
        <v>0</v>
      </c>
      <c r="AJ40" s="621">
        <f t="shared" si="2"/>
        <v>0</v>
      </c>
      <c r="AK40" s="572">
        <f t="shared" si="2"/>
        <v>0</v>
      </c>
      <c r="AL40" s="572">
        <f t="shared" si="2"/>
        <v>0</v>
      </c>
      <c r="AM40" s="573">
        <f t="shared" si="2"/>
        <v>0</v>
      </c>
      <c r="AN40" s="574">
        <f t="shared" si="2"/>
        <v>0</v>
      </c>
      <c r="AO40" s="572">
        <f t="shared" si="2"/>
        <v>0</v>
      </c>
      <c r="AP40" s="575">
        <f t="shared" si="2"/>
        <v>0</v>
      </c>
      <c r="AQ40" s="114"/>
      <c r="AR40" s="114"/>
      <c r="AS40" s="114"/>
      <c r="AT40" s="114"/>
      <c r="AU40" s="114"/>
      <c r="AV40" s="114"/>
      <c r="AW40" s="114"/>
      <c r="AX40" s="114"/>
      <c r="AY40" s="114"/>
      <c r="AZ40" s="114"/>
      <c r="BA40" s="114"/>
      <c r="BB40" s="114"/>
      <c r="BC40" s="114"/>
    </row>
    <row r="41" spans="1:55" s="116" customFormat="1" ht="12.75" customHeight="1" outlineLevel="1">
      <c r="A41" s="114"/>
      <c r="B41" s="114"/>
      <c r="C41" s="114"/>
      <c r="D41" s="114"/>
      <c r="E41" s="114"/>
      <c r="F41" s="114"/>
      <c r="G41" s="114"/>
      <c r="H41" s="114"/>
      <c r="I41" s="114"/>
      <c r="J41" s="126"/>
      <c r="K41" s="114"/>
      <c r="L41" s="114"/>
      <c r="M41" s="114"/>
      <c r="N41" s="114"/>
      <c r="O41" s="114"/>
      <c r="P41" s="114"/>
      <c r="Q41" s="114"/>
      <c r="R41" s="114"/>
      <c r="S41" s="114"/>
      <c r="T41" s="114"/>
      <c r="U41" s="114"/>
      <c r="V41" s="114"/>
      <c r="W41" s="114"/>
      <c r="X41" s="126"/>
      <c r="Y41" s="126"/>
      <c r="Z41" s="114"/>
      <c r="AA41" s="114"/>
      <c r="AB41" s="114"/>
      <c r="AC41" s="114"/>
      <c r="AE41" s="441"/>
      <c r="AF41" s="441"/>
      <c r="AG41" s="441"/>
      <c r="AH41" s="441"/>
      <c r="AI41" s="441"/>
      <c r="AJ41" s="441"/>
      <c r="AK41" s="441"/>
      <c r="AL41" s="441"/>
      <c r="AM41" s="441"/>
      <c r="AN41" s="444"/>
      <c r="AO41" s="444"/>
      <c r="AP41" s="441"/>
      <c r="AQ41" s="114"/>
      <c r="AR41" s="114"/>
      <c r="AS41" s="114"/>
      <c r="AT41" s="114"/>
      <c r="AU41" s="114"/>
      <c r="AV41" s="114"/>
      <c r="AW41" s="114"/>
      <c r="AX41" s="114"/>
      <c r="AY41" s="114"/>
      <c r="AZ41" s="114"/>
      <c r="BA41" s="114"/>
      <c r="BB41" s="114"/>
      <c r="BC41" s="114"/>
    </row>
    <row r="42" spans="1:55" s="116" customFormat="1" ht="14.25" customHeight="1" outlineLevel="1">
      <c r="A42" s="114"/>
      <c r="B42" s="1091" t="s">
        <v>446</v>
      </c>
      <c r="C42" s="140"/>
      <c r="D42" s="141"/>
      <c r="E42" s="1822"/>
      <c r="F42" s="141"/>
      <c r="G42" s="141"/>
      <c r="H42" s="2651"/>
      <c r="I42" s="2651"/>
      <c r="J42" s="141"/>
      <c r="K42" s="141"/>
      <c r="L42" s="157"/>
      <c r="M42" s="158"/>
      <c r="T42" s="114"/>
      <c r="U42" s="114"/>
      <c r="V42" s="114"/>
      <c r="W42" s="2636" t="s">
        <v>366</v>
      </c>
      <c r="X42" s="2637"/>
      <c r="Y42" s="2637"/>
      <c r="Z42" s="2637"/>
      <c r="AA42" s="2637"/>
      <c r="AB42" s="2637"/>
      <c r="AC42" s="2638"/>
      <c r="AE42" s="2639" t="s">
        <v>441</v>
      </c>
      <c r="AF42" s="2640"/>
      <c r="AG42" s="2640"/>
      <c r="AH42" s="2640"/>
      <c r="AI42" s="2640"/>
      <c r="AJ42" s="2640"/>
      <c r="AK42" s="2640"/>
      <c r="AL42" s="2640"/>
      <c r="AM42" s="2640"/>
      <c r="AN42" s="2640"/>
      <c r="AO42" s="2640"/>
      <c r="AP42" s="2641"/>
      <c r="AQ42" s="114"/>
      <c r="AR42" s="114"/>
      <c r="AS42" s="114"/>
      <c r="AT42" s="114"/>
      <c r="AU42" s="114"/>
      <c r="AV42" s="114"/>
      <c r="AW42" s="114"/>
      <c r="AX42" s="114"/>
      <c r="AY42" s="114"/>
      <c r="AZ42" s="114"/>
      <c r="BA42" s="114"/>
      <c r="BB42" s="114"/>
      <c r="BC42" s="114"/>
    </row>
    <row r="43" spans="1:55" s="116" customFormat="1" ht="14.1" customHeight="1" outlineLevel="1">
      <c r="A43" s="114"/>
      <c r="B43" s="143"/>
      <c r="C43" s="144"/>
      <c r="D43" s="1834" t="s">
        <v>308</v>
      </c>
      <c r="E43" s="1826"/>
      <c r="F43" s="144"/>
      <c r="G43" s="144"/>
      <c r="H43" s="2655" t="s">
        <v>411</v>
      </c>
      <c r="I43" s="2655"/>
      <c r="J43" s="2655" t="s">
        <v>257</v>
      </c>
      <c r="K43" s="2655"/>
      <c r="L43" s="1829"/>
      <c r="M43" s="220"/>
      <c r="T43" s="114"/>
      <c r="U43" s="114"/>
      <c r="V43" s="114"/>
      <c r="W43" s="159"/>
      <c r="X43" s="1835"/>
      <c r="Y43" s="1835"/>
      <c r="Z43" s="1830"/>
      <c r="AA43" s="1830"/>
      <c r="AB43" s="1830"/>
      <c r="AC43" s="142"/>
      <c r="AE43" s="2642" t="s">
        <v>444</v>
      </c>
      <c r="AF43" s="2643"/>
      <c r="AG43" s="2643"/>
      <c r="AH43" s="2643"/>
      <c r="AI43" s="2643"/>
      <c r="AJ43" s="2643"/>
      <c r="AK43" s="2643"/>
      <c r="AL43" s="2643"/>
      <c r="AM43" s="2643" t="s">
        <v>444</v>
      </c>
      <c r="AN43" s="2644"/>
      <c r="AO43" s="624"/>
      <c r="AP43" s="578"/>
      <c r="AQ43" s="114"/>
      <c r="AR43" s="2616" t="s">
        <v>1648</v>
      </c>
      <c r="AS43" s="2617"/>
      <c r="AT43" s="2617"/>
      <c r="AU43" s="2617"/>
      <c r="AV43" s="2617"/>
      <c r="AW43" s="2617"/>
      <c r="AX43" s="2617"/>
      <c r="AY43" s="2617"/>
      <c r="AZ43" s="2617"/>
      <c r="BA43" s="2617"/>
      <c r="BB43" s="2617"/>
      <c r="BC43" s="2618"/>
    </row>
    <row r="44" spans="1:55" s="127" customFormat="1" ht="12.75" customHeight="1" outlineLevel="1">
      <c r="A44" s="114"/>
      <c r="B44" s="1825" t="s">
        <v>329</v>
      </c>
      <c r="C44" s="1826"/>
      <c r="D44" s="1834" t="s">
        <v>409</v>
      </c>
      <c r="E44" s="1832" t="s">
        <v>452</v>
      </c>
      <c r="F44" s="1832" t="s">
        <v>13</v>
      </c>
      <c r="G44" s="1832" t="s">
        <v>1</v>
      </c>
      <c r="H44" s="1854" t="s">
        <v>1573</v>
      </c>
      <c r="I44" s="1854" t="s">
        <v>444</v>
      </c>
      <c r="J44" s="2656" t="s">
        <v>1573</v>
      </c>
      <c r="K44" s="1854" t="s">
        <v>444</v>
      </c>
      <c r="L44" s="1834" t="s">
        <v>444</v>
      </c>
      <c r="M44" s="1836" t="s">
        <v>444</v>
      </c>
      <c r="T44" s="109"/>
      <c r="U44" s="109"/>
      <c r="V44" s="109"/>
      <c r="W44" s="1825" t="s">
        <v>316</v>
      </c>
      <c r="X44" s="2629" t="s">
        <v>316</v>
      </c>
      <c r="Y44" s="2630"/>
      <c r="Z44" s="1826" t="s">
        <v>444</v>
      </c>
      <c r="AA44" s="1826" t="s">
        <v>444</v>
      </c>
      <c r="AB44" s="1826"/>
      <c r="AC44" s="1836" t="s">
        <v>444</v>
      </c>
      <c r="AD44" s="116"/>
      <c r="AE44" s="2631" t="s">
        <v>211</v>
      </c>
      <c r="AF44" s="2632"/>
      <c r="AG44" s="2632" t="s">
        <v>442</v>
      </c>
      <c r="AH44" s="2632"/>
      <c r="AI44" s="2632" t="s">
        <v>267</v>
      </c>
      <c r="AJ44" s="2632"/>
      <c r="AK44" s="2632" t="s">
        <v>443</v>
      </c>
      <c r="AL44" s="2632"/>
      <c r="AM44" s="2648" t="s">
        <v>327</v>
      </c>
      <c r="AN44" s="2649"/>
      <c r="AO44" s="2631" t="s">
        <v>636</v>
      </c>
      <c r="AP44" s="2650"/>
      <c r="AQ44" s="109"/>
      <c r="AR44" s="2614" t="s">
        <v>1646</v>
      </c>
      <c r="AS44" s="2645"/>
      <c r="AT44" s="2645"/>
      <c r="AU44" s="2615"/>
      <c r="AV44" s="2614" t="s">
        <v>1644</v>
      </c>
      <c r="AW44" s="2645"/>
      <c r="AX44" s="2645"/>
      <c r="AY44" s="2615"/>
      <c r="AZ44" s="2614" t="s">
        <v>1645</v>
      </c>
      <c r="BA44" s="2645"/>
      <c r="BB44" s="2645"/>
      <c r="BC44" s="2615"/>
    </row>
    <row r="45" spans="1:55" s="127" customFormat="1" ht="12.75" customHeight="1" outlineLevel="1">
      <c r="A45" s="114"/>
      <c r="B45" s="536" t="s">
        <v>1624</v>
      </c>
      <c r="C45" s="1826"/>
      <c r="D45" s="1829" t="s">
        <v>444</v>
      </c>
      <c r="E45" s="1833" t="s">
        <v>453</v>
      </c>
      <c r="F45" s="153" t="s">
        <v>170</v>
      </c>
      <c r="G45" s="1833" t="s">
        <v>311</v>
      </c>
      <c r="H45" s="1854"/>
      <c r="I45" s="1854" t="s">
        <v>33</v>
      </c>
      <c r="J45" s="2656"/>
      <c r="K45" s="1854" t="s">
        <v>33</v>
      </c>
      <c r="L45" s="1829" t="s">
        <v>411</v>
      </c>
      <c r="M45" s="220" t="s">
        <v>257</v>
      </c>
      <c r="T45" s="109"/>
      <c r="U45" s="109"/>
      <c r="V45" s="109"/>
      <c r="W45" s="1825" t="s">
        <v>1649</v>
      </c>
      <c r="X45" s="2646" t="s">
        <v>1650</v>
      </c>
      <c r="Y45" s="2647"/>
      <c r="Z45" s="227" t="s">
        <v>411</v>
      </c>
      <c r="AA45" s="1662" t="s">
        <v>257</v>
      </c>
      <c r="AB45" s="1662"/>
      <c r="AC45" s="162" t="s">
        <v>327</v>
      </c>
      <c r="AD45" s="116"/>
      <c r="AE45" s="1840" t="s">
        <v>411</v>
      </c>
      <c r="AF45" s="1841" t="s">
        <v>257</v>
      </c>
      <c r="AG45" s="1841" t="s">
        <v>411</v>
      </c>
      <c r="AH45" s="1841" t="s">
        <v>257</v>
      </c>
      <c r="AI45" s="1841" t="s">
        <v>411</v>
      </c>
      <c r="AJ45" s="1841" t="s">
        <v>257</v>
      </c>
      <c r="AK45" s="1841" t="s">
        <v>411</v>
      </c>
      <c r="AL45" s="1841" t="s">
        <v>257</v>
      </c>
      <c r="AM45" s="581" t="s">
        <v>411</v>
      </c>
      <c r="AN45" s="582" t="s">
        <v>257</v>
      </c>
      <c r="AO45" s="1841" t="s">
        <v>411</v>
      </c>
      <c r="AP45" s="1842" t="s">
        <v>257</v>
      </c>
      <c r="AQ45" s="109"/>
      <c r="AR45" s="1837" t="s">
        <v>1643</v>
      </c>
      <c r="AS45" s="1839" t="s">
        <v>1640</v>
      </c>
      <c r="AT45" s="1839" t="s">
        <v>1641</v>
      </c>
      <c r="AU45" s="1838" t="s">
        <v>1642</v>
      </c>
      <c r="AV45" s="1839" t="s">
        <v>1643</v>
      </c>
      <c r="AW45" s="1839" t="s">
        <v>1640</v>
      </c>
      <c r="AX45" s="1839" t="s">
        <v>1641</v>
      </c>
      <c r="AY45" s="1838" t="s">
        <v>1642</v>
      </c>
      <c r="AZ45" s="1837" t="s">
        <v>1643</v>
      </c>
      <c r="BA45" s="1839" t="s">
        <v>1640</v>
      </c>
      <c r="BB45" s="1839" t="s">
        <v>1641</v>
      </c>
      <c r="BC45" s="1838" t="s">
        <v>1642</v>
      </c>
    </row>
    <row r="46" spans="1:55" s="116" customFormat="1" ht="12" customHeight="1" outlineLevel="1">
      <c r="A46" s="114"/>
      <c r="B46" s="143" t="s">
        <v>1620</v>
      </c>
      <c r="C46" s="1826"/>
      <c r="D46" s="315">
        <f>L46+M46</f>
        <v>0</v>
      </c>
      <c r="E46" s="117"/>
      <c r="F46" s="117"/>
      <c r="G46" s="117"/>
      <c r="H46" s="1855">
        <f>VLOOKUP($B46&amp;"; "&amp;$H$44&amp;", "&amp;H$43,'FE Energie'!$G:$U,9,FALSE)</f>
        <v>0.04</v>
      </c>
      <c r="I46" s="1856">
        <f>F46*H46</f>
        <v>0</v>
      </c>
      <c r="J46" s="1855">
        <f>VLOOKUP($B46&amp;"; "&amp;$J$44&amp;", "&amp;J$43,'FE Energie'!$G:$U,9,FALSE)</f>
        <v>0.23</v>
      </c>
      <c r="K46" s="1856">
        <f>F46*J46</f>
        <v>0</v>
      </c>
      <c r="L46" s="151">
        <f>G46*I46</f>
        <v>0</v>
      </c>
      <c r="M46" s="152">
        <f>G46*K46</f>
        <v>0</v>
      </c>
      <c r="T46" s="114"/>
      <c r="U46" s="114"/>
      <c r="V46" s="114"/>
      <c r="W46" s="1092">
        <f>IF(AC46=0,AC46,AC46/(L46+M46))</f>
        <v>0</v>
      </c>
      <c r="X46" s="1094"/>
      <c r="Y46" s="820"/>
      <c r="Z46" s="1826">
        <f>SQRT(SUMSQ(IF(ISNA($F46*G46*H46*AW46),0,$F46*G46*H46*AW46)))</f>
        <v>0</v>
      </c>
      <c r="AA46" s="1826">
        <f>SQRT(SUMSQ(IF(ISNA($F46*G46*J46*BA46),0,$F46*G46*J46*BA46)))</f>
        <v>0</v>
      </c>
      <c r="AB46" s="1826"/>
      <c r="AC46" s="152">
        <f>SQRT(Z46^2+AA46^2)</f>
        <v>0</v>
      </c>
      <c r="AE46" s="564">
        <f>$F46*$G46*IF(ISNA(VLOOKUP($B46&amp;"; "&amp;$H$44&amp;", "&amp;H$43,'FE Energie'!$G:$U,10,FALSE)),0,VLOOKUP($B46&amp;"; "&amp;$H$44&amp;", "&amp;H$43,'FE Energie'!$G:$U,10,FALSE))</f>
        <v>0</v>
      </c>
      <c r="AF46" s="565">
        <f>$F46*$G46*IF(ISNA(VLOOKUP($B46&amp;"; "&amp;$J$44&amp;", "&amp;J$43,'FE Energie'!$G:$U,10,FALSE)),0,VLOOKUP($B46&amp;"; "&amp;$J$44&amp;", "&amp;J$43,'FE Energie'!$G:$U,10,FALSE))</f>
        <v>0</v>
      </c>
      <c r="AG46" s="565">
        <f>$F46*$G46*IF(ISNA((VLOOKUP($B46&amp;"; "&amp;$H$44&amp;", "&amp;H$43,'FE Energie'!$G:$U,12,FALSE)+VLOOKUP($B46&amp;"; "&amp;$H$44&amp;", "&amp;H$43,'FE Energie'!$G:$U,11,FALSE))),0,(VLOOKUP($B46&amp;"; "&amp;$H$44&amp;", "&amp;H$43,'FE Energie'!$G:$U,12,FALSE)+VLOOKUP($B46&amp;"; "&amp;$H$44&amp;", "&amp;H$43,'FE Energie'!$G:$U,11,FALSE)))</f>
        <v>0</v>
      </c>
      <c r="AH46" s="565">
        <f>$F46*$G46*IF(ISNA((VLOOKUP($B46&amp;"; "&amp;$H$44&amp;", "&amp;J$43,'FE Energie'!$G:$U,12,FALSE)+VLOOKUP($B46&amp;"; "&amp;$H$44&amp;", "&amp;J$43,'FE Energie'!$G:$U,11,FALSE))),0,(VLOOKUP($B46&amp;"; "&amp;$H$44&amp;", "&amp;J$43,'FE Energie'!$G:$U,12,FALSE)+VLOOKUP($B46&amp;"; "&amp;$H$44&amp;", "&amp;J$43,'FE Energie'!$G:$U,11,FALSE)))</f>
        <v>0</v>
      </c>
      <c r="AI46" s="565">
        <f>$F46*$G46*IF(ISNA(VLOOKUP($B46&amp;"; "&amp;$H$44&amp;", "&amp;H$43,'FE Energie'!$G:$U,13,FALSE)),0,VLOOKUP($B46&amp;"; "&amp;$J$32&amp;", "&amp;H$43,'FE Energie'!$G:$U,13,FALSE))</f>
        <v>0</v>
      </c>
      <c r="AJ46" s="565">
        <f>$F46*$G46*IF(ISNA(VLOOKUP($B46&amp;"; "&amp;$H$44&amp;", "&amp;J$43,'FE Energie'!$G:$U,13,FALSE)),0,VLOOKUP($B46&amp;"; "&amp;$J$32&amp;", "&amp;J$43,'FE Energie'!$G:$U,13,FALSE))</f>
        <v>0</v>
      </c>
      <c r="AK46" s="565">
        <f>$F46*$G46*IF(ISNA(VLOOKUP($B46&amp;"; "&amp;$H$44&amp;", "&amp;H$43,'FE Energie'!$G:$U,14,FALSE)),0,VLOOKUP($B46&amp;"; "&amp;$H$44&amp;", "&amp;H$43,'FE Energie'!$G:$U,14,FALSE))</f>
        <v>0</v>
      </c>
      <c r="AL46" s="565">
        <f>$F46*$G46*IF(ISNA(VLOOKUP($B46&amp;"; "&amp;$H$44&amp;", "&amp;J$43,'FE Energie'!$G:$U,14,FALSE)),0,VLOOKUP($B46&amp;"; "&amp;$H$44&amp;", "&amp;J$43,'FE Energie'!$G:$U,14,FALSE))</f>
        <v>0</v>
      </c>
      <c r="AM46" s="566">
        <f>L46</f>
        <v>0</v>
      </c>
      <c r="AN46" s="567">
        <f>M46</f>
        <v>0</v>
      </c>
      <c r="AO46" s="565">
        <f>$F46*$G46*IF(ISNA(VLOOKUP($B46&amp;"; "&amp;$H$44&amp;", "&amp;H$43,'FE Energie'!$G:$U,15,FALSE)),0,VLOOKUP($B46&amp;"; "&amp;$H$44&amp;", "&amp;H$43,'FE Energie'!$G:$U,15,FALSE))</f>
        <v>0</v>
      </c>
      <c r="AP46" s="568">
        <f>$F46*$G46*IF(ISNA(VLOOKUP($B46&amp;"; "&amp;$H$44&amp;", "&amp;J$43,'FE Energie'!$G:$U,15,FALSE)),0,VLOOKUP($B46&amp;"; "&amp;$H$44&amp;", "&amp;J$43,'FE Energie'!$G:$U,15,FALSE))</f>
        <v>0</v>
      </c>
      <c r="AQ46" s="114"/>
      <c r="AR46" s="1065"/>
      <c r="AS46" s="1066">
        <f>IF($X46&lt;&gt;"votre valeur :",IF(ISNA(VLOOKUP($X46,Utilitaires!$N$566:$O$571,2,FALSE)),,VLOOKUP($X46,Utilitaires!$N$566:$O$571,2,FALSE)),$Y46)</f>
        <v>0</v>
      </c>
      <c r="AT46" s="1066"/>
      <c r="AU46" s="1067"/>
      <c r="AV46" s="1068"/>
      <c r="AW46" s="1068">
        <f>IF(ISNA(SQRT(SUMSQ(VLOOKUP($B46&amp;"; "&amp;$H$44&amp;", "&amp;$H$43,'FE Energie'!$G:$U,7,FALSE),$AS46))),0,SQRT(SUMSQ(VLOOKUP($B46&amp;"; "&amp;$H$44&amp;", "&amp;$H$43,'FE Energie'!$G:$U,7,FALSE),$AS46)))</f>
        <v>0.05</v>
      </c>
      <c r="AX46" s="1068"/>
      <c r="AY46" s="1068"/>
      <c r="AZ46" s="1069"/>
      <c r="BA46" s="1070">
        <f>IF(ISNA(SQRT(SUMSQ(VLOOKUP($B46&amp;"; "&amp;$J$44&amp;", "&amp;$J$43,'FE Energie'!$G:$U,7,FALSE),$AS46))),0,SQRT(SUMSQ(VLOOKUP($B46&amp;"; "&amp;$J$44&amp;", "&amp;$J$43,'FE Energie'!$G:$U,7,FALSE),$AS46)))</f>
        <v>0.05</v>
      </c>
      <c r="BB46" s="1070"/>
      <c r="BC46" s="1071"/>
    </row>
    <row r="47" spans="1:55" s="116" customFormat="1" ht="12" customHeight="1" outlineLevel="1">
      <c r="A47" s="114"/>
      <c r="B47" s="536" t="s">
        <v>1668</v>
      </c>
      <c r="C47" s="1826"/>
      <c r="D47" s="315"/>
      <c r="E47" s="1047"/>
      <c r="F47" s="1047"/>
      <c r="G47" s="1047"/>
      <c r="H47" s="1855"/>
      <c r="I47" s="1856"/>
      <c r="J47" s="1855"/>
      <c r="K47" s="1856"/>
      <c r="L47" s="151"/>
      <c r="M47" s="152"/>
      <c r="T47" s="114"/>
      <c r="U47" s="114"/>
      <c r="V47" s="114"/>
      <c r="W47" s="1092"/>
      <c r="X47" s="820"/>
      <c r="Y47" s="820"/>
      <c r="Z47" s="1826"/>
      <c r="AA47" s="1826"/>
      <c r="AB47" s="1826"/>
      <c r="AC47" s="152"/>
      <c r="AE47" s="564"/>
      <c r="AF47" s="565"/>
      <c r="AG47" s="565"/>
      <c r="AH47" s="565"/>
      <c r="AI47" s="565"/>
      <c r="AJ47" s="565"/>
      <c r="AK47" s="565"/>
      <c r="AL47" s="565"/>
      <c r="AM47" s="566"/>
      <c r="AN47" s="567"/>
      <c r="AO47" s="565"/>
      <c r="AP47" s="568"/>
      <c r="AQ47" s="114"/>
      <c r="AR47" s="1065"/>
      <c r="AS47" s="1066"/>
      <c r="AT47" s="1066"/>
      <c r="AU47" s="1067"/>
      <c r="AV47" s="1068"/>
      <c r="AW47" s="1068"/>
      <c r="AX47" s="1068"/>
      <c r="AY47" s="1068"/>
      <c r="AZ47" s="1069"/>
      <c r="BA47" s="1070"/>
      <c r="BB47" s="1070"/>
      <c r="BC47" s="1071"/>
    </row>
    <row r="48" spans="1:55" s="116" customFormat="1" ht="12" customHeight="1" outlineLevel="1">
      <c r="A48" s="114"/>
      <c r="B48" s="143" t="s">
        <v>3100</v>
      </c>
      <c r="C48" s="1826"/>
      <c r="D48" s="315">
        <f>L48+M48</f>
        <v>0</v>
      </c>
      <c r="E48" s="120"/>
      <c r="F48" s="120"/>
      <c r="G48" s="120"/>
      <c r="H48" s="1855">
        <f>IF(ISNA(VLOOKUP($B48&amp;"; "&amp;$H$44&amp;", "&amp;H$43,'FE Energie'!$G:$U,9,FALSE)),0,VLOOKUP($B48&amp;"; "&amp;$H$44&amp;", "&amp;H$43,'FE Energie'!$G:$U,9,FALSE))</f>
        <v>0</v>
      </c>
      <c r="I48" s="1856">
        <f>F48*H48</f>
        <v>0</v>
      </c>
      <c r="J48" s="1855">
        <f>IF(ISNA(VLOOKUP($B48&amp;"; "&amp;$J$44&amp;", "&amp;J$43,'FE Energie'!$G:$U,9,FALSE)),0,VLOOKUP($B48&amp;"; "&amp;$J$44&amp;", "&amp;J$43,'FE Energie'!$G:$U,9,FALSE))</f>
        <v>0</v>
      </c>
      <c r="K48" s="1856">
        <f>F48*J48</f>
        <v>0</v>
      </c>
      <c r="L48" s="151">
        <f>G48*I48</f>
        <v>0</v>
      </c>
      <c r="M48" s="152">
        <f>G48*K48</f>
        <v>0</v>
      </c>
      <c r="T48" s="114"/>
      <c r="U48" s="114"/>
      <c r="V48" s="114"/>
      <c r="W48" s="1092">
        <f>IF(AC35=0,AC35,AC35/(R35+S35))</f>
        <v>0</v>
      </c>
      <c r="X48" s="1094"/>
      <c r="Y48" s="820"/>
      <c r="Z48" s="1826">
        <f>SQRT(SUMSQ(IF(ISNA($F48*G48*H48*AW48),0,$F48*G48*H48*AW48)))</f>
        <v>0</v>
      </c>
      <c r="AA48" s="1826">
        <f>SQRT(SUMSQ(IF(ISNA($F48*G48*J48*BA48),0,$F48*G48*J48*BA48)))</f>
        <v>0</v>
      </c>
      <c r="AB48" s="1826"/>
      <c r="AC48" s="152">
        <f>SQRT(Z48^2+AA48^2)</f>
        <v>0</v>
      </c>
      <c r="AE48" s="564">
        <f>$F48*$G48*IF(ISNA(VLOOKUP($B48&amp;"; "&amp;$H$44&amp;", "&amp;H$43,'FE Energie'!$G:$U,10,FALSE)),0,VLOOKUP($B48&amp;"; "&amp;$H$44&amp;", "&amp;H$43,'FE Energie'!$G:$U,10,FALSE))</f>
        <v>0</v>
      </c>
      <c r="AF48" s="565">
        <f>$F48*$G48*IF(ISNA(VLOOKUP($B48&amp;"; "&amp;$J$44&amp;", "&amp;J$43,'FE Energie'!$G:$U,10,FALSE)),0,VLOOKUP($B48&amp;"; "&amp;$J$44&amp;", "&amp;J$43,'FE Energie'!$G:$U,10,FALSE))</f>
        <v>0</v>
      </c>
      <c r="AG48" s="565">
        <f>$F48*$G48*IF(ISNA((VLOOKUP($B48&amp;"; "&amp;$H$44&amp;", "&amp;H$43,'FE Energie'!$G:$U,12,FALSE)+VLOOKUP($B48&amp;"; "&amp;$H$44&amp;", "&amp;H$43,'FE Energie'!$G:$U,11,FALSE))),0,(VLOOKUP($B48&amp;"; "&amp;$H$44&amp;", "&amp;H$43,'FE Energie'!$G:$U,12,FALSE)+VLOOKUP($B48&amp;"; "&amp;$H$44&amp;", "&amp;H$43,'FE Energie'!$G:$U,11,FALSE)))</f>
        <v>0</v>
      </c>
      <c r="AH48" s="565">
        <f>$F48*$G48*IF(ISNA((VLOOKUP($B48&amp;"; "&amp;$H$44&amp;", "&amp;J$43,'FE Energie'!$G:$U,12,FALSE)+VLOOKUP($B48&amp;"; "&amp;$H$44&amp;", "&amp;J$43,'FE Energie'!$G:$U,11,FALSE))),0,(VLOOKUP($B48&amp;"; "&amp;$H$44&amp;", "&amp;J$43,'FE Energie'!$G:$U,12,FALSE)+VLOOKUP($B48&amp;"; "&amp;$H$44&amp;", "&amp;J$43,'FE Energie'!$G:$U,11,FALSE)))</f>
        <v>0</v>
      </c>
      <c r="AI48" s="565">
        <f>$F48*$G48*IF(ISNA(VLOOKUP($B48&amp;"; "&amp;$H$44&amp;", "&amp;H$43,'FE Energie'!$G:$U,13,FALSE)),0,VLOOKUP($B48&amp;"; "&amp;$J$32&amp;", "&amp;H$43,'FE Energie'!$G:$U,13,FALSE))</f>
        <v>0</v>
      </c>
      <c r="AJ48" s="565">
        <f>$F48*$G48*IF(ISNA(VLOOKUP($B48&amp;"; "&amp;$H$44&amp;", "&amp;J$43,'FE Energie'!$G:$U,13,FALSE)),0,VLOOKUP($B48&amp;"; "&amp;$J$32&amp;", "&amp;J$43,'FE Energie'!$G:$U,13,FALSE))</f>
        <v>0</v>
      </c>
      <c r="AK48" s="565">
        <f>$F48*$G48*IF(ISNA(VLOOKUP($B48&amp;"; "&amp;$H$44&amp;", "&amp;H$43,'FE Energie'!$G:$U,14,FALSE)),0,VLOOKUP($B48&amp;"; "&amp;$H$44&amp;", "&amp;H$43,'FE Energie'!$G:$U,14,FALSE))</f>
        <v>0</v>
      </c>
      <c r="AL48" s="565">
        <f>$F48*$G48*IF(ISNA(VLOOKUP($B48&amp;"; "&amp;$H$44&amp;", "&amp;J$43,'FE Energie'!$G:$U,14,FALSE)),0,VLOOKUP($B48&amp;"; "&amp;$H$44&amp;", "&amp;J$43,'FE Energie'!$G:$U,14,FALSE))</f>
        <v>0</v>
      </c>
      <c r="AM48" s="566">
        <f>L48</f>
        <v>0</v>
      </c>
      <c r="AN48" s="567">
        <f>M48</f>
        <v>0</v>
      </c>
      <c r="AO48" s="565">
        <f>$F48*$G48*IF(ISNA(VLOOKUP($B48&amp;"; "&amp;$H$44&amp;", "&amp;H$43,'FE Energie'!$G:$U,15,FALSE)),0,VLOOKUP($B48&amp;"; "&amp;$H$44&amp;", "&amp;H$43,'FE Energie'!$G:$U,15,FALSE))</f>
        <v>0</v>
      </c>
      <c r="AP48" s="568">
        <f>$F48*$G48*IF(ISNA(VLOOKUP($B48&amp;"; "&amp;$H$44&amp;", "&amp;J$43,'FE Energie'!$G:$U,15,FALSE)),0,VLOOKUP($B48&amp;"; "&amp;$H$44&amp;", "&amp;J$43,'FE Energie'!$G:$U,15,FALSE))</f>
        <v>0</v>
      </c>
      <c r="AQ48" s="114"/>
      <c r="AR48" s="1065"/>
      <c r="AS48" s="1066">
        <f>IF($X48&lt;&gt;"votre valeur :",IF(ISNA(VLOOKUP($X48,Utilitaires!$N$566:$O$571,2,FALSE)),,VLOOKUP($X48,Utilitaires!$N$566:$O$571,2,FALSE)),$Y48)</f>
        <v>0</v>
      </c>
      <c r="AT48" s="1066"/>
      <c r="AU48" s="1067"/>
      <c r="AV48" s="1068"/>
      <c r="AW48" s="1068">
        <f>IF(ISNA(SQRT(SUMSQ(VLOOKUP($B48&amp;"; "&amp;$H$44&amp;", "&amp;$H$43,'FE Energie'!$G:$U,7,FALSE),$AS48))),0,SQRT(SUMSQ(VLOOKUP($B48&amp;"; "&amp;$H$44&amp;", "&amp;$H$43,'FE Energie'!$G:$U,7,FALSE),$AS48)))</f>
        <v>0</v>
      </c>
      <c r="AX48" s="1068"/>
      <c r="AY48" s="1068"/>
      <c r="AZ48" s="1069"/>
      <c r="BA48" s="1070">
        <f>IF(ISNA(SQRT(SUMSQ(VLOOKUP($B48&amp;"; "&amp;$J$44&amp;", "&amp;$J$43,'FE Energie'!$G:$U,7,FALSE),$AS48))),0,SQRT(SUMSQ(VLOOKUP($B48&amp;"; "&amp;$J$44&amp;", "&amp;$J$43,'FE Energie'!$G:$U,7,FALSE),$AS48)))</f>
        <v>0</v>
      </c>
      <c r="BB48" s="1070"/>
      <c r="BC48" s="1071"/>
    </row>
    <row r="49" spans="1:56" s="116" customFormat="1" ht="12" customHeight="1" outlineLevel="1">
      <c r="A49" s="114"/>
      <c r="B49" s="536" t="s">
        <v>1628</v>
      </c>
      <c r="C49" s="1826"/>
      <c r="D49" s="315"/>
      <c r="E49" s="120"/>
      <c r="F49" s="120"/>
      <c r="G49" s="120"/>
      <c r="H49" s="1855"/>
      <c r="I49" s="1856"/>
      <c r="J49" s="1855"/>
      <c r="K49" s="1856"/>
      <c r="L49" s="151"/>
      <c r="M49" s="152"/>
      <c r="T49" s="114"/>
      <c r="U49" s="114"/>
      <c r="V49" s="114"/>
      <c r="W49" s="1092"/>
      <c r="X49" s="820"/>
      <c r="Y49" s="820"/>
      <c r="Z49" s="1826"/>
      <c r="AA49" s="1826"/>
      <c r="AB49" s="1826"/>
      <c r="AC49" s="152"/>
      <c r="AE49" s="564"/>
      <c r="AF49" s="565"/>
      <c r="AG49" s="565"/>
      <c r="AH49" s="565"/>
      <c r="AI49" s="565"/>
      <c r="AJ49" s="565"/>
      <c r="AK49" s="565"/>
      <c r="AL49" s="565"/>
      <c r="AM49" s="566"/>
      <c r="AN49" s="567"/>
      <c r="AO49" s="565"/>
      <c r="AP49" s="568"/>
      <c r="AQ49" s="114"/>
      <c r="AR49" s="1837"/>
      <c r="AS49" s="1066"/>
      <c r="AT49" s="1839"/>
      <c r="AU49" s="1838"/>
      <c r="AV49" s="1839"/>
      <c r="AW49" s="1068"/>
      <c r="AX49" s="1839"/>
      <c r="AY49" s="1838"/>
      <c r="AZ49" s="1837"/>
      <c r="BA49" s="1070"/>
      <c r="BB49" s="1839"/>
      <c r="BC49" s="1838"/>
    </row>
    <row r="50" spans="1:56" s="116" customFormat="1" ht="12" customHeight="1" outlineLevel="1">
      <c r="A50" s="114"/>
      <c r="B50" s="143" t="s">
        <v>1629</v>
      </c>
      <c r="C50" s="1826"/>
      <c r="D50" s="315">
        <f>L50+M50</f>
        <v>0</v>
      </c>
      <c r="E50" s="120"/>
      <c r="F50" s="120"/>
      <c r="G50" s="120"/>
      <c r="H50" s="1855">
        <f>VLOOKUP($B50&amp;"; "&amp;$H$44&amp;", "&amp;H$43,'FE Energie'!$G:$U,9,FALSE)</f>
        <v>5.2699999999999997E-2</v>
      </c>
      <c r="I50" s="1856">
        <f>F50*H50</f>
        <v>0</v>
      </c>
      <c r="J50" s="1855">
        <f>VLOOKUP($B50&amp;"; "&amp;$J$44&amp;", "&amp;J$43,'FE Energie'!$G:$U,9,FALSE)</f>
        <v>0.27200000000000002</v>
      </c>
      <c r="K50" s="1856">
        <f>F50*J50</f>
        <v>0</v>
      </c>
      <c r="L50" s="151">
        <f>G50*I50</f>
        <v>0</v>
      </c>
      <c r="M50" s="152">
        <f>G50*K50</f>
        <v>0</v>
      </c>
      <c r="T50" s="114"/>
      <c r="U50" s="114"/>
      <c r="V50" s="114"/>
      <c r="W50" s="1092">
        <f>IF(AC37=0,AC37,AC37/(R37+S37))</f>
        <v>0</v>
      </c>
      <c r="X50" s="1094"/>
      <c r="Y50" s="820"/>
      <c r="Z50" s="1826">
        <f>SQRT(SUMSQ(IF(ISNA($F50*G50*H50*AW50),0,$F50*G50*H50*AW50)))</f>
        <v>0</v>
      </c>
      <c r="AA50" s="1826">
        <f>SQRT(SUMSQ(IF(ISNA($F50*G50*J50*BA50),0,$F50*G50*J50*BA50)))</f>
        <v>0</v>
      </c>
      <c r="AB50" s="1826"/>
      <c r="AC50" s="152">
        <f>SQRT(Z50^2+AA50^2)</f>
        <v>0</v>
      </c>
      <c r="AE50" s="564">
        <f>$F50*$G50*IF(ISNA(VLOOKUP($B50&amp;"; "&amp;$H$44&amp;", "&amp;H$43,'FE Energie'!$G:$U,10,FALSE)),0,VLOOKUP($B50&amp;"; "&amp;$H$44&amp;", "&amp;H$43,'FE Energie'!$G:$U,10,FALSE))</f>
        <v>0</v>
      </c>
      <c r="AF50" s="565">
        <f>$F50*$G50*IF(ISNA(VLOOKUP($B50&amp;"; "&amp;$J$44&amp;", "&amp;J$43,'FE Energie'!$G:$U,10,FALSE)),0,VLOOKUP($B50&amp;"; "&amp;$J$44&amp;", "&amp;J$43,'FE Energie'!$G:$U,10,FALSE))</f>
        <v>0</v>
      </c>
      <c r="AG50" s="565">
        <f>$F50*$G50*IF(ISNA((VLOOKUP($B50&amp;"; "&amp;$H$44&amp;", "&amp;H$43,'FE Energie'!$G:$U,12,FALSE)+VLOOKUP($B50&amp;"; "&amp;$H$44&amp;", "&amp;H$43,'FE Energie'!$G:$U,11,FALSE))),0,(VLOOKUP($B50&amp;"; "&amp;$H$44&amp;", "&amp;H$43,'FE Energie'!$G:$U,12,FALSE)+VLOOKUP($B50&amp;"; "&amp;$H$44&amp;", "&amp;H$43,'FE Energie'!$G:$U,11,FALSE)))</f>
        <v>0</v>
      </c>
      <c r="AH50" s="565">
        <f>$F50*$G50*IF(ISNA((VLOOKUP($B50&amp;"; "&amp;$H$44&amp;", "&amp;J$43,'FE Energie'!$G:$U,12,FALSE)+VLOOKUP($B50&amp;"; "&amp;$H$44&amp;", "&amp;J$43,'FE Energie'!$G:$U,11,FALSE))),0,(VLOOKUP($B50&amp;"; "&amp;$H$44&amp;", "&amp;J$43,'FE Energie'!$G:$U,12,FALSE)+VLOOKUP($B50&amp;"; "&amp;$H$44&amp;", "&amp;J$43,'FE Energie'!$G:$U,11,FALSE)))</f>
        <v>0</v>
      </c>
      <c r="AI50" s="565">
        <f>$F50*$G50*IF(ISNA(VLOOKUP($B50&amp;"; "&amp;$H$44&amp;", "&amp;H$43,'FE Energie'!$G:$U,13,FALSE)),0,VLOOKUP($B50&amp;"; "&amp;$J$32&amp;", "&amp;H$43,'FE Energie'!$G:$U,13,FALSE))</f>
        <v>0</v>
      </c>
      <c r="AJ50" s="565">
        <f>$F50*$G50*IF(ISNA(VLOOKUP($B50&amp;"; "&amp;$H$44&amp;", "&amp;J$43,'FE Energie'!$G:$U,13,FALSE)),0,VLOOKUP($B50&amp;"; "&amp;$J$32&amp;", "&amp;J$43,'FE Energie'!$G:$U,13,FALSE))</f>
        <v>0</v>
      </c>
      <c r="AK50" s="565">
        <f>$F50*$G50*IF(ISNA(VLOOKUP($B50&amp;"; "&amp;$H$44&amp;", "&amp;H$43,'FE Energie'!$G:$U,14,FALSE)),0,VLOOKUP($B50&amp;"; "&amp;$H$44&amp;", "&amp;H$43,'FE Energie'!$G:$U,14,FALSE))</f>
        <v>0</v>
      </c>
      <c r="AL50" s="565">
        <f>$F50*$G50*IF(ISNA(VLOOKUP($B50&amp;"; "&amp;$H$44&amp;", "&amp;J$43,'FE Energie'!$G:$U,14,FALSE)),0,VLOOKUP($B50&amp;"; "&amp;$H$44&amp;", "&amp;J$43,'FE Energie'!$G:$U,14,FALSE))</f>
        <v>0</v>
      </c>
      <c r="AM50" s="566">
        <f>L50</f>
        <v>0</v>
      </c>
      <c r="AN50" s="567">
        <f>M50</f>
        <v>0</v>
      </c>
      <c r="AO50" s="565">
        <f>$F50*$G50*IF(ISNA(VLOOKUP($B50&amp;"; "&amp;$H$44&amp;", "&amp;H$43,'FE Energie'!$G:$U,15,FALSE)),0,VLOOKUP($B50&amp;"; "&amp;$H$44&amp;", "&amp;H$43,'FE Energie'!$G:$U,15,FALSE))</f>
        <v>0</v>
      </c>
      <c r="AP50" s="568">
        <f>$F50*$G50*IF(ISNA(VLOOKUP($B50&amp;"; "&amp;$H$44&amp;", "&amp;J$43,'FE Energie'!$G:$U,15,FALSE)),0,VLOOKUP($B50&amp;"; "&amp;$H$44&amp;", "&amp;J$43,'FE Energie'!$G:$U,15,FALSE))</f>
        <v>0</v>
      </c>
      <c r="AQ50" s="114"/>
      <c r="AR50" s="1065"/>
      <c r="AS50" s="1066">
        <f>IF($X50&lt;&gt;"votre valeur :",IF(ISNA(VLOOKUP($X50,Utilitaires!$N$566:$O$571,2,FALSE)),,VLOOKUP($X50,Utilitaires!$N$566:$O$571,2,FALSE)),$Y50)</f>
        <v>0</v>
      </c>
      <c r="AT50" s="1066"/>
      <c r="AU50" s="1067"/>
      <c r="AV50" s="1068"/>
      <c r="AW50" s="1068">
        <f>IF(ISNA(SQRT(SUMSQ(VLOOKUP($B50&amp;"; "&amp;$H$44&amp;", "&amp;$H$43,'FE Energie'!$G:$U,7,FALSE),$AS50))),0,SQRT(SUMSQ(VLOOKUP($B50&amp;"; "&amp;$H$44&amp;", "&amp;$H$43,'FE Energie'!$G:$U,7,FALSE),$AS50)))</f>
        <v>0.05</v>
      </c>
      <c r="AX50" s="1068"/>
      <c r="AY50" s="1068"/>
      <c r="AZ50" s="1069"/>
      <c r="BA50" s="1070">
        <f>IF(ISNA(SQRT(SUMSQ(VLOOKUP($B50&amp;"; "&amp;$J$44&amp;", "&amp;$J$43,'FE Energie'!$G:$U,7,FALSE),$AS50))),0,SQRT(SUMSQ(VLOOKUP($B50&amp;"; "&amp;$J$44&amp;", "&amp;$J$43,'FE Energie'!$G:$U,7,FALSE),$AS50)))</f>
        <v>0.05</v>
      </c>
      <c r="BB50" s="1070"/>
      <c r="BC50" s="1071"/>
    </row>
    <row r="51" spans="1:56" s="116" customFormat="1" ht="12" customHeight="1" outlineLevel="1">
      <c r="A51" s="114"/>
      <c r="B51" s="536" t="s">
        <v>1632</v>
      </c>
      <c r="C51" s="1826"/>
      <c r="D51" s="315"/>
      <c r="E51" s="398"/>
      <c r="F51" s="398"/>
      <c r="G51" s="398"/>
      <c r="H51" s="1855"/>
      <c r="I51" s="1856"/>
      <c r="J51" s="1855"/>
      <c r="K51" s="1856"/>
      <c r="L51" s="151"/>
      <c r="M51" s="152"/>
      <c r="T51" s="114"/>
      <c r="U51" s="114"/>
      <c r="V51" s="114"/>
      <c r="W51" s="1092"/>
      <c r="X51" s="820"/>
      <c r="Y51" s="820"/>
      <c r="Z51" s="1826"/>
      <c r="AA51" s="1826"/>
      <c r="AB51" s="1826"/>
      <c r="AC51" s="152"/>
      <c r="AE51" s="564"/>
      <c r="AF51" s="565"/>
      <c r="AG51" s="565"/>
      <c r="AH51" s="565"/>
      <c r="AI51" s="565"/>
      <c r="AJ51" s="565"/>
      <c r="AK51" s="565"/>
      <c r="AL51" s="565"/>
      <c r="AM51" s="566"/>
      <c r="AN51" s="567"/>
      <c r="AO51" s="565"/>
      <c r="AP51" s="568"/>
      <c r="AQ51" s="114"/>
      <c r="AR51" s="1065"/>
      <c r="AS51" s="1066"/>
      <c r="AT51" s="1066"/>
      <c r="AU51" s="1067"/>
      <c r="AV51" s="1068"/>
      <c r="AW51" s="1068"/>
      <c r="AX51" s="1068"/>
      <c r="AY51" s="1068"/>
      <c r="AZ51" s="1069"/>
      <c r="BA51" s="1070"/>
      <c r="BB51" s="1070"/>
      <c r="BC51" s="1071"/>
    </row>
    <row r="52" spans="1:56" s="116" customFormat="1" ht="12" customHeight="1" outlineLevel="1">
      <c r="A52" s="114"/>
      <c r="B52" s="143" t="s">
        <v>1669</v>
      </c>
      <c r="C52" s="1826"/>
      <c r="D52" s="315">
        <f>L52+M52</f>
        <v>0</v>
      </c>
      <c r="E52" s="123"/>
      <c r="F52" s="123"/>
      <c r="G52" s="123"/>
      <c r="H52" s="1855">
        <f>VLOOKUP($B52&amp;"; "&amp;$H$44&amp;", "&amp;H$43,'FE Energie'!$G:$U,9,FALSE)</f>
        <v>3.1899999999999998E-2</v>
      </c>
      <c r="I52" s="1856">
        <f>F52*H52</f>
        <v>0</v>
      </c>
      <c r="J52" s="1855">
        <f>VLOOKUP($B52&amp;"; "&amp;$J$44&amp;", "&amp;J$43,'FE Energie'!$G:$U,9,FALSE)</f>
        <v>0.35599999999999998</v>
      </c>
      <c r="K52" s="1856">
        <f>F52*J52</f>
        <v>0</v>
      </c>
      <c r="L52" s="151">
        <f>G52*I52</f>
        <v>0</v>
      </c>
      <c r="M52" s="152">
        <f>G52*K52</f>
        <v>0</v>
      </c>
      <c r="T52" s="114"/>
      <c r="U52" s="114"/>
      <c r="V52" s="114"/>
      <c r="W52" s="1092">
        <f>IF(AC38=0,AC38,AC38/(R38+S38))</f>
        <v>0</v>
      </c>
      <c r="X52" s="1094"/>
      <c r="Y52" s="820"/>
      <c r="Z52" s="1826">
        <f>SQRT(SUMSQ(IF(ISNA($F52*G52*H52*AW52),0,$F52*G52*H52*AW52)))</f>
        <v>0</v>
      </c>
      <c r="AA52" s="1826">
        <f>SQRT(SUMSQ(IF(ISNA($F52*G52*J52*BA52),0,$F52*G52*J52*BA52)))</f>
        <v>0</v>
      </c>
      <c r="AB52" s="1826"/>
      <c r="AC52" s="152">
        <f>SQRT(Z52^2+AA52^2)</f>
        <v>0</v>
      </c>
      <c r="AE52" s="564">
        <f>$F52*$G52*IF(ISNA(VLOOKUP($B52&amp;"; "&amp;$H$44&amp;", "&amp;H$43,'FE Energie'!$G:$U,10,FALSE)),0,VLOOKUP($B52&amp;"; "&amp;$H$44&amp;", "&amp;H$43,'FE Energie'!$G:$U,10,FALSE))</f>
        <v>0</v>
      </c>
      <c r="AF52" s="565">
        <f>$F52*$G52*IF(ISNA(VLOOKUP($B52&amp;"; "&amp;$J$44&amp;", "&amp;J$43,'FE Energie'!$G:$U,10,FALSE)),0,VLOOKUP($B52&amp;"; "&amp;$J$44&amp;", "&amp;J$43,'FE Energie'!$G:$U,10,FALSE))</f>
        <v>0</v>
      </c>
      <c r="AG52" s="565">
        <f>$F52*$G52*IF(ISNA((VLOOKUP($B52&amp;"; "&amp;$H$44&amp;", "&amp;H$43,'FE Energie'!$G:$U,12,FALSE)+VLOOKUP($B52&amp;"; "&amp;$H$44&amp;", "&amp;H$43,'FE Energie'!$G:$U,11,FALSE))),0,(VLOOKUP($B52&amp;"; "&amp;$H$44&amp;", "&amp;H$43,'FE Energie'!$G:$U,12,FALSE)+VLOOKUP($B52&amp;"; "&amp;$H$44&amp;", "&amp;H$43,'FE Energie'!$G:$U,11,FALSE)))</f>
        <v>0</v>
      </c>
      <c r="AH52" s="565">
        <f>$F52*$G52*IF(ISNA((VLOOKUP($B52&amp;"; "&amp;$H$44&amp;", "&amp;J$43,'FE Energie'!$G:$U,12,FALSE)+VLOOKUP($B52&amp;"; "&amp;$H$44&amp;", "&amp;J$43,'FE Energie'!$G:$U,11,FALSE))),0,(VLOOKUP($B52&amp;"; "&amp;$H$44&amp;", "&amp;J$43,'FE Energie'!$G:$U,12,FALSE)+VLOOKUP($B52&amp;"; "&amp;$H$44&amp;", "&amp;J$43,'FE Energie'!$G:$U,11,FALSE)))</f>
        <v>0</v>
      </c>
      <c r="AI52" s="565">
        <f>$F52*$G52*IF(ISNA(VLOOKUP($B52&amp;"; "&amp;$H$44&amp;", "&amp;H$43,'FE Energie'!$G:$U,13,FALSE)),0,VLOOKUP($B52&amp;"; "&amp;$J$32&amp;", "&amp;H$43,'FE Energie'!$G:$U,13,FALSE))</f>
        <v>0</v>
      </c>
      <c r="AJ52" s="565">
        <f>$F52*$G52*IF(ISNA(VLOOKUP($B52&amp;"; "&amp;$H$44&amp;", "&amp;J$43,'FE Energie'!$G:$U,13,FALSE)),0,VLOOKUP($B52&amp;"; "&amp;$J$32&amp;", "&amp;J$43,'FE Energie'!$G:$U,13,FALSE))</f>
        <v>0</v>
      </c>
      <c r="AK52" s="565">
        <f>$F52*$G52*IF(ISNA(VLOOKUP($B52&amp;"; "&amp;$H$44&amp;", "&amp;H$43,'FE Energie'!$G:$U,14,FALSE)),0,VLOOKUP($B52&amp;"; "&amp;$H$44&amp;", "&amp;H$43,'FE Energie'!$G:$U,14,FALSE))</f>
        <v>0</v>
      </c>
      <c r="AL52" s="565">
        <f>$F52*$G52*IF(ISNA(VLOOKUP($B52&amp;"; "&amp;$H$44&amp;", "&amp;J$43,'FE Energie'!$G:$U,14,FALSE)),0,VLOOKUP($B52&amp;"; "&amp;$H$44&amp;", "&amp;J$43,'FE Energie'!$G:$U,14,FALSE))</f>
        <v>0</v>
      </c>
      <c r="AM52" s="566">
        <f>L52</f>
        <v>0</v>
      </c>
      <c r="AN52" s="567">
        <f>M52</f>
        <v>0</v>
      </c>
      <c r="AO52" s="565">
        <f>$F52*$G52*IF(ISNA(VLOOKUP($B52&amp;"; "&amp;$H$44&amp;", "&amp;H$43,'FE Energie'!$G:$U,15,FALSE)),0,VLOOKUP($B52&amp;"; "&amp;$H$44&amp;", "&amp;H$43,'FE Energie'!$G:$U,15,FALSE))</f>
        <v>0</v>
      </c>
      <c r="AP52" s="568">
        <f>$F52*$G52*IF(ISNA(VLOOKUP($B52&amp;"; "&amp;$H$44&amp;", "&amp;J$43,'FE Energie'!$G:$U,15,FALSE)),0,VLOOKUP($B52&amp;"; "&amp;$H$44&amp;", "&amp;J$43,'FE Energie'!$G:$U,15,FALSE))</f>
        <v>0</v>
      </c>
      <c r="AQ52" s="114"/>
      <c r="AR52" s="1065"/>
      <c r="AS52" s="1066">
        <f>IF($X52&lt;&gt;"votre valeur :",IF(ISNA(VLOOKUP($X52,Utilitaires!$N$566:$O$571,2,FALSE)),,VLOOKUP($X52,Utilitaires!$N$566:$O$571,2,FALSE)),$Y52)</f>
        <v>0</v>
      </c>
      <c r="AT52" s="1066"/>
      <c r="AU52" s="1067"/>
      <c r="AV52" s="1068"/>
      <c r="AW52" s="1068">
        <f>IF(ISNA(SQRT(SUMSQ(VLOOKUP($B52&amp;"; "&amp;$H$44&amp;", "&amp;$H$43,'FE Energie'!$G:$U,7,FALSE),$AS52))),0,SQRT(SUMSQ(VLOOKUP($B52&amp;"; "&amp;$H$44&amp;", "&amp;$H$43,'FE Energie'!$G:$U,7,FALSE),$AS52)))</f>
        <v>0.2</v>
      </c>
      <c r="AX52" s="1068"/>
      <c r="AY52" s="1068"/>
      <c r="AZ52" s="1069"/>
      <c r="BA52" s="1070">
        <f>IF(ISNA(SQRT(SUMSQ(VLOOKUP($B52&amp;"; "&amp;$J$44&amp;", "&amp;$J$43,'FE Energie'!$G:$U,7,FALSE),$AS52))),0,SQRT(SUMSQ(VLOOKUP($B52&amp;"; "&amp;$J$44&amp;", "&amp;$J$43,'FE Energie'!$G:$U,7,FALSE),$AS52)))</f>
        <v>0.2</v>
      </c>
      <c r="BB52" s="1070"/>
      <c r="BC52" s="1071"/>
    </row>
    <row r="53" spans="1:56" s="116" customFormat="1" ht="12.75" customHeight="1" outlineLevel="1">
      <c r="A53" s="114"/>
      <c r="B53" s="154"/>
      <c r="C53" s="155"/>
      <c r="D53" s="315"/>
      <c r="E53" s="155"/>
      <c r="F53" s="155"/>
      <c r="G53" s="155"/>
      <c r="H53" s="155"/>
      <c r="I53" s="155"/>
      <c r="J53" s="155"/>
      <c r="K53" s="155"/>
      <c r="L53" s="215"/>
      <c r="M53" s="156"/>
      <c r="T53" s="114"/>
      <c r="U53" s="114"/>
      <c r="V53" s="114"/>
      <c r="W53" s="143"/>
      <c r="X53" s="820"/>
      <c r="Y53" s="820"/>
      <c r="Z53" s="1826"/>
      <c r="AA53" s="1826"/>
      <c r="AB53" s="1826"/>
      <c r="AC53" s="152"/>
      <c r="AE53" s="569"/>
      <c r="AF53" s="625"/>
      <c r="AG53" s="625"/>
      <c r="AH53" s="625"/>
      <c r="AI53" s="625"/>
      <c r="AJ53" s="625"/>
      <c r="AK53" s="625"/>
      <c r="AL53" s="625"/>
      <c r="AM53" s="1313"/>
      <c r="AN53" s="1314"/>
      <c r="AO53" s="625"/>
      <c r="AP53" s="570"/>
      <c r="AQ53" s="114"/>
      <c r="AR53" s="1087"/>
      <c r="AS53" s="1088"/>
      <c r="AT53" s="1088"/>
      <c r="AU53" s="1089"/>
      <c r="AV53" s="1073"/>
      <c r="AW53" s="1073"/>
      <c r="AX53" s="1073"/>
      <c r="AY53" s="1073"/>
      <c r="AZ53" s="1075"/>
      <c r="BA53" s="1076"/>
      <c r="BB53" s="1076"/>
      <c r="BC53" s="1077"/>
    </row>
    <row r="54" spans="1:56" s="116" customFormat="1" ht="12.75" customHeight="1" outlineLevel="1">
      <c r="A54" s="114"/>
      <c r="B54" s="196" t="s">
        <v>348</v>
      </c>
      <c r="C54" s="197"/>
      <c r="D54" s="202">
        <f>SUM(D46:D53)</f>
        <v>0</v>
      </c>
      <c r="E54" s="198"/>
      <c r="F54" s="199"/>
      <c r="G54" s="199"/>
      <c r="H54" s="199"/>
      <c r="I54" s="199"/>
      <c r="J54" s="199"/>
      <c r="K54" s="199"/>
      <c r="L54" s="202">
        <f>SUM(L46:L53)</f>
        <v>0</v>
      </c>
      <c r="M54" s="200">
        <f>SUM(M46:M53)</f>
        <v>0</v>
      </c>
      <c r="T54" s="114"/>
      <c r="U54" s="114"/>
      <c r="V54" s="114"/>
      <c r="W54" s="1093">
        <f>IF(AC54=0,AC54,AC54/(L54+M54))</f>
        <v>0</v>
      </c>
      <c r="X54" s="821"/>
      <c r="Y54" s="821"/>
      <c r="Z54" s="1637">
        <f>SQRT(SUMSQ(Z46:Z53))</f>
        <v>0</v>
      </c>
      <c r="AA54" s="1637">
        <f>SQRT(SUMSQ(AA46:AA53))</f>
        <v>0</v>
      </c>
      <c r="AB54" s="1637"/>
      <c r="AC54" s="200">
        <f>SQRT(SUMSQ(AC46:AC53))</f>
        <v>0</v>
      </c>
      <c r="AE54" s="1308">
        <f t="shared" ref="AE54:AP54" si="3">SUM(AE46:AE53)</f>
        <v>0</v>
      </c>
      <c r="AF54" s="1309">
        <f t="shared" si="3"/>
        <v>0</v>
      </c>
      <c r="AG54" s="1309">
        <f t="shared" si="3"/>
        <v>0</v>
      </c>
      <c r="AH54" s="1309">
        <f t="shared" si="3"/>
        <v>0</v>
      </c>
      <c r="AI54" s="1309">
        <f t="shared" si="3"/>
        <v>0</v>
      </c>
      <c r="AJ54" s="1309">
        <f t="shared" si="3"/>
        <v>0</v>
      </c>
      <c r="AK54" s="1309">
        <f t="shared" si="3"/>
        <v>0</v>
      </c>
      <c r="AL54" s="1309">
        <f t="shared" si="3"/>
        <v>0</v>
      </c>
      <c r="AM54" s="1312">
        <f t="shared" si="3"/>
        <v>0</v>
      </c>
      <c r="AN54" s="1488">
        <f t="shared" si="3"/>
        <v>0</v>
      </c>
      <c r="AO54" s="572">
        <f t="shared" si="3"/>
        <v>0</v>
      </c>
      <c r="AP54" s="575">
        <f t="shared" si="3"/>
        <v>0</v>
      </c>
      <c r="AQ54" s="114"/>
      <c r="AR54" s="114"/>
      <c r="AS54" s="114"/>
      <c r="AT54" s="114"/>
      <c r="AU54" s="114"/>
      <c r="AV54" s="114"/>
      <c r="AW54" s="114"/>
      <c r="AX54" s="114"/>
      <c r="AY54" s="114"/>
      <c r="AZ54" s="114"/>
      <c r="BA54" s="114"/>
      <c r="BB54" s="114"/>
      <c r="BC54" s="114"/>
    </row>
    <row r="55" spans="1:56" s="116" customFormat="1" ht="12.75" customHeight="1" outlineLevel="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26"/>
      <c r="Y55" s="126"/>
      <c r="Z55" s="114"/>
      <c r="AA55" s="114"/>
      <c r="AB55" s="114"/>
      <c r="AC55" s="114"/>
      <c r="AE55" s="441"/>
      <c r="AF55" s="441"/>
      <c r="AG55" s="441"/>
      <c r="AH55" s="441"/>
      <c r="AI55" s="441"/>
      <c r="AJ55" s="441"/>
      <c r="AK55" s="441"/>
      <c r="AL55" s="441"/>
      <c r="AM55" s="444"/>
      <c r="AN55" s="444"/>
      <c r="AO55" s="444"/>
      <c r="AP55" s="441"/>
      <c r="AQ55" s="114"/>
      <c r="AR55" s="114"/>
      <c r="AS55" s="114"/>
      <c r="AT55" s="114"/>
      <c r="AU55" s="114"/>
      <c r="AV55" s="114"/>
      <c r="AW55" s="114"/>
      <c r="AX55" s="114"/>
      <c r="AY55" s="114"/>
      <c r="AZ55" s="114"/>
      <c r="BA55" s="114"/>
      <c r="BB55" s="114"/>
      <c r="BC55" s="114"/>
    </row>
    <row r="56" spans="1:56" s="116" customFormat="1" ht="13.2">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26"/>
      <c r="Y56" s="126"/>
      <c r="Z56" s="114"/>
      <c r="AA56" s="114"/>
      <c r="AB56" s="114"/>
      <c r="AC56" s="114"/>
      <c r="AE56" s="441"/>
      <c r="AF56" s="441"/>
      <c r="AG56" s="441"/>
      <c r="AH56" s="441"/>
      <c r="AI56" s="441"/>
      <c r="AJ56" s="441"/>
      <c r="AK56" s="441"/>
      <c r="AL56" s="441"/>
      <c r="AM56" s="444"/>
      <c r="AN56" s="444"/>
      <c r="AO56" s="444"/>
      <c r="AP56" s="441"/>
      <c r="AQ56" s="114"/>
      <c r="AR56" s="114"/>
      <c r="AS56" s="114"/>
      <c r="AT56" s="114"/>
      <c r="AU56" s="114"/>
      <c r="AV56" s="114"/>
      <c r="AW56" s="114"/>
      <c r="AX56" s="114"/>
      <c r="AY56" s="114"/>
      <c r="AZ56" s="114"/>
      <c r="BA56" s="114"/>
      <c r="BB56" s="114"/>
      <c r="BC56" s="114"/>
    </row>
    <row r="57" spans="1:56" s="418" customFormat="1" ht="15.6" collapsed="1">
      <c r="A57" s="114"/>
      <c r="B57" s="2652" t="s">
        <v>520</v>
      </c>
      <c r="C57" s="2653"/>
      <c r="D57" s="2653"/>
      <c r="E57" s="2653"/>
      <c r="F57" s="2653"/>
      <c r="G57" s="2653"/>
      <c r="H57" s="2653"/>
      <c r="I57" s="2653"/>
      <c r="J57" s="2653"/>
      <c r="K57" s="2653"/>
      <c r="L57" s="2653"/>
      <c r="M57" s="2653"/>
      <c r="N57" s="2653"/>
      <c r="O57" s="2654"/>
      <c r="P57" s="113"/>
      <c r="Q57" s="113"/>
      <c r="R57" s="113"/>
      <c r="S57" s="113"/>
      <c r="T57" s="113"/>
      <c r="U57" s="113"/>
      <c r="V57" s="113"/>
      <c r="W57" s="113"/>
      <c r="X57" s="113"/>
      <c r="Y57" s="817"/>
      <c r="Z57" s="817"/>
      <c r="AA57" s="113"/>
      <c r="AB57" s="113"/>
      <c r="AC57" s="113"/>
      <c r="AE57" s="113"/>
      <c r="AF57" s="441"/>
      <c r="AG57" s="576"/>
      <c r="AH57" s="576"/>
      <c r="AI57" s="576"/>
      <c r="AJ57" s="576"/>
      <c r="AK57" s="576"/>
      <c r="AL57" s="576"/>
      <c r="AM57" s="1240"/>
      <c r="AN57" s="1240"/>
      <c r="AO57" s="1240"/>
      <c r="AP57" s="441"/>
      <c r="AQ57" s="441"/>
      <c r="AR57" s="113"/>
      <c r="AS57" s="113"/>
      <c r="AT57" s="113"/>
      <c r="AU57" s="113"/>
      <c r="AV57" s="113"/>
      <c r="AW57" s="113"/>
      <c r="AX57" s="113"/>
      <c r="AY57" s="113"/>
      <c r="AZ57" s="113"/>
      <c r="BA57" s="113"/>
      <c r="BB57" s="113"/>
      <c r="BC57" s="113"/>
      <c r="BD57" s="113"/>
    </row>
    <row r="58" spans="1:56" s="116" customFormat="1" ht="12.75" hidden="1" customHeight="1" outlineLevel="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26"/>
      <c r="Y58" s="126"/>
      <c r="Z58" s="114"/>
      <c r="AA58" s="114"/>
      <c r="AB58" s="114"/>
      <c r="AC58" s="114"/>
      <c r="AE58" s="441"/>
      <c r="AF58" s="441"/>
      <c r="AG58" s="441"/>
      <c r="AH58" s="441"/>
      <c r="AI58" s="441"/>
      <c r="AJ58" s="441"/>
      <c r="AK58" s="441"/>
      <c r="AL58" s="441"/>
      <c r="AM58" s="444"/>
      <c r="AN58" s="444"/>
      <c r="AO58" s="1240"/>
      <c r="AP58" s="576"/>
      <c r="AQ58" s="114"/>
      <c r="AR58" s="114"/>
      <c r="AS58" s="114"/>
      <c r="AT58" s="114"/>
      <c r="AU58" s="114"/>
      <c r="AV58" s="114"/>
      <c r="AW58" s="114"/>
      <c r="AX58" s="114"/>
      <c r="AY58" s="114"/>
      <c r="AZ58" s="114"/>
      <c r="BA58" s="114"/>
      <c r="BB58" s="114"/>
      <c r="BC58" s="114"/>
    </row>
    <row r="59" spans="1:56" s="116" customFormat="1" ht="12.75" hidden="1" customHeight="1" outlineLevel="1">
      <c r="A59" s="114"/>
      <c r="B59" s="139" t="s">
        <v>262</v>
      </c>
      <c r="C59" s="140"/>
      <c r="D59" s="141"/>
      <c r="E59" s="1822"/>
      <c r="F59" s="141"/>
      <c r="G59" s="141"/>
      <c r="H59" s="141"/>
      <c r="I59" s="141"/>
      <c r="J59" s="141"/>
      <c r="K59" s="141"/>
      <c r="L59" s="141"/>
      <c r="M59" s="142"/>
      <c r="T59" s="114"/>
      <c r="U59" s="114"/>
      <c r="V59" s="114"/>
      <c r="W59" s="2636" t="s">
        <v>366</v>
      </c>
      <c r="X59" s="2637"/>
      <c r="Y59" s="2637"/>
      <c r="Z59" s="2637"/>
      <c r="AA59" s="2637"/>
      <c r="AB59" s="2637"/>
      <c r="AC59" s="2638"/>
      <c r="AE59" s="2639" t="s">
        <v>441</v>
      </c>
      <c r="AF59" s="2640"/>
      <c r="AG59" s="2640"/>
      <c r="AH59" s="2640"/>
      <c r="AI59" s="2641"/>
      <c r="AJ59" s="441"/>
      <c r="AK59" s="441"/>
      <c r="AL59" s="441"/>
      <c r="AM59" s="444"/>
      <c r="AN59" s="444"/>
      <c r="AO59" s="444"/>
      <c r="AP59" s="441"/>
      <c r="AQ59" s="114"/>
      <c r="AR59" s="114"/>
      <c r="AS59" s="114"/>
      <c r="AT59" s="114"/>
      <c r="AU59" s="114"/>
      <c r="AV59" s="114"/>
      <c r="AW59" s="114"/>
      <c r="AX59" s="114"/>
      <c r="AY59" s="114"/>
      <c r="AZ59" s="114"/>
      <c r="BA59" s="114"/>
      <c r="BB59" s="114"/>
      <c r="BC59" s="114"/>
    </row>
    <row r="60" spans="1:56" s="116" customFormat="1" ht="12.75" hidden="1" customHeight="1" outlineLevel="1">
      <c r="A60" s="114"/>
      <c r="B60" s="143"/>
      <c r="C60" s="144"/>
      <c r="D60" s="1834" t="s">
        <v>308</v>
      </c>
      <c r="E60" s="1826"/>
      <c r="F60" s="144"/>
      <c r="G60" s="144"/>
      <c r="H60" s="144"/>
      <c r="I60" s="144"/>
      <c r="J60" s="144"/>
      <c r="K60" s="144"/>
      <c r="L60" s="144"/>
      <c r="M60" s="145"/>
      <c r="T60" s="114"/>
      <c r="U60" s="114"/>
      <c r="V60" s="114"/>
      <c r="W60" s="1825"/>
      <c r="X60" s="819"/>
      <c r="Y60" s="819"/>
      <c r="Z60" s="144"/>
      <c r="AA60" s="144"/>
      <c r="AB60" s="144"/>
      <c r="AC60" s="145"/>
      <c r="AE60" s="584"/>
      <c r="AF60" s="585"/>
      <c r="AG60" s="585"/>
      <c r="AH60" s="585"/>
      <c r="AI60" s="586"/>
      <c r="AK60" s="441"/>
      <c r="AL60" s="441"/>
      <c r="AM60" s="444"/>
      <c r="AN60" s="444"/>
      <c r="AO60" s="444"/>
      <c r="AP60" s="441"/>
      <c r="AQ60" s="114"/>
      <c r="AR60" s="2616" t="s">
        <v>1648</v>
      </c>
      <c r="AS60" s="2617"/>
      <c r="AT60" s="2617"/>
      <c r="AU60" s="2617"/>
      <c r="AV60" s="2617"/>
      <c r="AW60" s="2617"/>
      <c r="AX60" s="2617"/>
      <c r="AY60" s="2617"/>
      <c r="AZ60" s="2617"/>
      <c r="BA60" s="2617"/>
      <c r="BB60" s="2617"/>
      <c r="BC60" s="2618"/>
    </row>
    <row r="61" spans="1:56" s="127" customFormat="1" ht="12.75" hidden="1" customHeight="1" outlineLevel="1">
      <c r="A61" s="114"/>
      <c r="B61" s="1825" t="s">
        <v>19</v>
      </c>
      <c r="C61" s="1826"/>
      <c r="D61" s="1834" t="s">
        <v>409</v>
      </c>
      <c r="E61" s="147" t="s">
        <v>452</v>
      </c>
      <c r="F61" s="147" t="s">
        <v>343</v>
      </c>
      <c r="G61" s="1826" t="s">
        <v>444</v>
      </c>
      <c r="H61" s="147" t="s">
        <v>343</v>
      </c>
      <c r="I61" s="1826" t="s">
        <v>1681</v>
      </c>
      <c r="J61" s="147" t="s">
        <v>343</v>
      </c>
      <c r="K61" s="1826" t="s">
        <v>444</v>
      </c>
      <c r="L61" s="1826" t="s">
        <v>575</v>
      </c>
      <c r="M61" s="1836" t="s">
        <v>444</v>
      </c>
      <c r="T61" s="109"/>
      <c r="U61" s="109"/>
      <c r="V61" s="109"/>
      <c r="W61" s="1825" t="s">
        <v>316</v>
      </c>
      <c r="X61" s="2629" t="s">
        <v>316</v>
      </c>
      <c r="Y61" s="2630"/>
      <c r="Z61" s="1826"/>
      <c r="AA61" s="1826"/>
      <c r="AB61" s="1826"/>
      <c r="AC61" s="1836" t="s">
        <v>444</v>
      </c>
      <c r="AE61" s="2657" t="s">
        <v>444</v>
      </c>
      <c r="AF61" s="2658"/>
      <c r="AG61" s="2658"/>
      <c r="AH61" s="2659"/>
      <c r="AI61" s="587"/>
      <c r="AK61" s="588"/>
      <c r="AL61" s="588"/>
      <c r="AM61" s="1639"/>
      <c r="AN61" s="444"/>
      <c r="AO61" s="444"/>
      <c r="AP61" s="588"/>
      <c r="AQ61" s="109"/>
      <c r="AR61" s="2614" t="s">
        <v>1646</v>
      </c>
      <c r="AS61" s="2645"/>
      <c r="AT61" s="2645"/>
      <c r="AU61" s="2615"/>
      <c r="AV61" s="2614" t="s">
        <v>1684</v>
      </c>
      <c r="AW61" s="2645"/>
      <c r="AX61" s="2645"/>
      <c r="AY61" s="2615"/>
      <c r="AZ61" s="2614"/>
      <c r="BA61" s="2645"/>
      <c r="BB61" s="2645"/>
      <c r="BC61" s="2615"/>
    </row>
    <row r="62" spans="1:56" s="127" customFormat="1" ht="12.75" hidden="1" customHeight="1" outlineLevel="1">
      <c r="A62" s="114"/>
      <c r="B62" s="1825"/>
      <c r="C62" s="1826"/>
      <c r="D62" s="1829" t="s">
        <v>444</v>
      </c>
      <c r="E62" s="1833" t="s">
        <v>453</v>
      </c>
      <c r="F62" s="1833" t="s">
        <v>287</v>
      </c>
      <c r="G62" s="1826" t="s">
        <v>269</v>
      </c>
      <c r="H62" s="1833" t="s">
        <v>533</v>
      </c>
      <c r="I62" s="1826"/>
      <c r="J62" s="1833" t="s">
        <v>243</v>
      </c>
      <c r="K62" s="1826" t="s">
        <v>299</v>
      </c>
      <c r="L62" s="1826" t="s">
        <v>353</v>
      </c>
      <c r="M62" s="1836"/>
      <c r="T62" s="109"/>
      <c r="U62" s="109"/>
      <c r="V62" s="109"/>
      <c r="W62" s="1825" t="s">
        <v>1649</v>
      </c>
      <c r="X62" s="2646" t="s">
        <v>1650</v>
      </c>
      <c r="Y62" s="2647"/>
      <c r="Z62" s="1826"/>
      <c r="AA62" s="1826"/>
      <c r="AB62" s="1826"/>
      <c r="AC62" s="1836"/>
      <c r="AE62" s="1823" t="s">
        <v>211</v>
      </c>
      <c r="AF62" s="1824" t="s">
        <v>442</v>
      </c>
      <c r="AG62" s="1824" t="s">
        <v>267</v>
      </c>
      <c r="AH62" s="1824" t="s">
        <v>443</v>
      </c>
      <c r="AI62" s="589" t="s">
        <v>636</v>
      </c>
      <c r="AK62" s="588"/>
      <c r="AL62" s="588"/>
      <c r="AM62" s="1639"/>
      <c r="AN62" s="1639"/>
      <c r="AO62" s="1639"/>
      <c r="AP62" s="588"/>
      <c r="AQ62" s="109"/>
      <c r="AR62" s="1837" t="s">
        <v>1670</v>
      </c>
      <c r="AS62" s="1839" t="s">
        <v>1640</v>
      </c>
      <c r="AT62" s="1839" t="s">
        <v>1641</v>
      </c>
      <c r="AU62" s="1838" t="s">
        <v>1642</v>
      </c>
      <c r="AV62" s="1090" t="s">
        <v>1667</v>
      </c>
      <c r="AW62" s="1839" t="s">
        <v>1640</v>
      </c>
      <c r="AX62" s="1839" t="s">
        <v>1641</v>
      </c>
      <c r="AY62" s="1838" t="s">
        <v>1642</v>
      </c>
      <c r="AZ62" s="1837"/>
      <c r="BA62" s="1839"/>
      <c r="BB62" s="1839"/>
      <c r="BC62" s="1838"/>
    </row>
    <row r="63" spans="1:56" s="116" customFormat="1" ht="12.75" hidden="1" customHeight="1" outlineLevel="1">
      <c r="A63" s="114"/>
      <c r="B63" s="143" t="s">
        <v>3038</v>
      </c>
      <c r="C63" s="1826"/>
      <c r="D63" s="315">
        <f>M63</f>
        <v>0</v>
      </c>
      <c r="E63" s="117"/>
      <c r="F63" s="117"/>
      <c r="G63" s="217">
        <f>I63*700</f>
        <v>98.699999999999989</v>
      </c>
      <c r="H63" s="117"/>
      <c r="I63" s="223">
        <f>VLOOKUP($B63&amp;"; "&amp;$I$61,'FE Energie'!$G:$U,9,FALSE)</f>
        <v>0.14099999999999999</v>
      </c>
      <c r="J63" s="117"/>
      <c r="K63" s="217">
        <f>I63*Utilitaires!$P$20</f>
        <v>1639.5166666666664</v>
      </c>
      <c r="L63" s="342">
        <v>0.1</v>
      </c>
      <c r="M63" s="152">
        <f>(F63*G63+H63*I63+J63*K63)*(1+L63)</f>
        <v>0</v>
      </c>
      <c r="T63" s="114"/>
      <c r="U63" s="114"/>
      <c r="V63" s="114"/>
      <c r="W63" s="1117">
        <f>IF(AC63=0,AC63,AC63/M63)</f>
        <v>0</v>
      </c>
      <c r="X63" s="343"/>
      <c r="Y63" s="820"/>
      <c r="Z63" s="342"/>
      <c r="AA63" s="342"/>
      <c r="AB63" s="342"/>
      <c r="AC63" s="152">
        <f>SQRT(SUMSQ(IF(ISNA($F63*G63*AV63),0,$F63*G63*AV63),IF(ISNA($H63*I63*AW63),0,$H63*I63*AW63),IF(ISNA($J63*K63*AX63),0,$J63*K63*AX63)))</f>
        <v>0</v>
      </c>
      <c r="AE63" s="564">
        <f>M63</f>
        <v>0</v>
      </c>
      <c r="AF63" s="565"/>
      <c r="AG63" s="565"/>
      <c r="AH63" s="565"/>
      <c r="AI63" s="590"/>
      <c r="AK63" s="441"/>
      <c r="AL63" s="441"/>
      <c r="AM63" s="444"/>
      <c r="AN63" s="1639"/>
      <c r="AO63" s="1639"/>
      <c r="AP63" s="441"/>
      <c r="AQ63" s="114"/>
      <c r="AR63" s="1065">
        <f>AS63</f>
        <v>0</v>
      </c>
      <c r="AS63" s="1066">
        <f>IF($X63&lt;&gt;"votre valeur :",IF(ISNA(VLOOKUP($X63,Utilitaires!$N$566:$O$571,2,FALSE)),,VLOOKUP($X63,Utilitaires!$N$566:$O$571,2,FALSE)),$Y63)</f>
        <v>0</v>
      </c>
      <c r="AT63" s="1066">
        <f>AS63</f>
        <v>0</v>
      </c>
      <c r="AU63" s="1067"/>
      <c r="AV63" s="1068">
        <f>AW63</f>
        <v>0.3</v>
      </c>
      <c r="AW63" s="1068">
        <f>IF(ISNA(SQRT(SUMSQ(VLOOKUP($B63&amp;"; "&amp;$I$61,'FE Energie'!$G:$U,7,FALSE),$AS63))),0,SQRT(SUMSQ(VLOOKUP($B63&amp;"; "&amp;$I$61,'FE Energie'!$G:$U,7,FALSE),$AS63)))</f>
        <v>0.3</v>
      </c>
      <c r="AX63" s="1068">
        <f>AW63</f>
        <v>0.3</v>
      </c>
      <c r="AY63" s="1068"/>
      <c r="AZ63" s="1069"/>
      <c r="BA63" s="1070"/>
      <c r="BB63" s="1070"/>
      <c r="BC63" s="1071"/>
    </row>
    <row r="64" spans="1:56" s="116" customFormat="1" ht="12.75" hidden="1" customHeight="1" outlineLevel="1">
      <c r="A64" s="114"/>
      <c r="B64" s="143" t="s">
        <v>3041</v>
      </c>
      <c r="C64" s="1826"/>
      <c r="D64" s="315">
        <f>M64</f>
        <v>0</v>
      </c>
      <c r="E64" s="120"/>
      <c r="F64" s="120"/>
      <c r="G64" s="217">
        <f>I64*700</f>
        <v>0</v>
      </c>
      <c r="H64" s="120"/>
      <c r="I64" s="223">
        <f>VLOOKUP($B64&amp;"; "&amp;$I$61,'FE Energie'!$G:$U,9,FALSE)</f>
        <v>0</v>
      </c>
      <c r="J64" s="120"/>
      <c r="K64" s="217">
        <f>I64*Utilitaires!$P$20</f>
        <v>0</v>
      </c>
      <c r="L64" s="342">
        <v>0.1</v>
      </c>
      <c r="M64" s="152">
        <f>(F64*G64+H64*I64+J64*K64)*(1+L64)</f>
        <v>0</v>
      </c>
      <c r="T64" s="114"/>
      <c r="U64" s="114"/>
      <c r="V64" s="114"/>
      <c r="W64" s="1117">
        <f>IF(AC64=0,AC64,AC64/M64)</f>
        <v>0</v>
      </c>
      <c r="X64" s="344"/>
      <c r="Y64" s="820"/>
      <c r="Z64" s="342"/>
      <c r="AA64" s="342"/>
      <c r="AB64" s="342"/>
      <c r="AC64" s="152">
        <f>SQRT(SUMSQ(IF(ISNA($F64*G64*AV64),0,$F64*G64*AV64),IF(ISNA($H64*I64*AW64),0,$H64*I64*AW64),IF(ISNA($J64*K64*AX64),0,$J64*K64*AX64)))</f>
        <v>0</v>
      </c>
      <c r="AE64" s="564">
        <f>M64</f>
        <v>0</v>
      </c>
      <c r="AF64" s="565"/>
      <c r="AG64" s="565"/>
      <c r="AH64" s="565"/>
      <c r="AI64" s="590"/>
      <c r="AK64" s="441"/>
      <c r="AL64" s="441"/>
      <c r="AM64" s="444"/>
      <c r="AN64" s="444"/>
      <c r="AO64" s="444"/>
      <c r="AP64" s="441"/>
      <c r="AQ64" s="114"/>
      <c r="AR64" s="1065">
        <f>AS64</f>
        <v>0</v>
      </c>
      <c r="AS64" s="1066">
        <f>IF($X64&lt;&gt;"votre valeur :",IF(ISNA(VLOOKUP($X64,Utilitaires!$N$566:$O$571,2,FALSE)),,VLOOKUP($X64,Utilitaires!$N$566:$O$571,2,FALSE)),$Y64)</f>
        <v>0</v>
      </c>
      <c r="AT64" s="1066">
        <f>AS64</f>
        <v>0</v>
      </c>
      <c r="AU64" s="1067"/>
      <c r="AV64" s="1068">
        <f>AW64</f>
        <v>0.3</v>
      </c>
      <c r="AW64" s="1068">
        <f>IF(ISNA(SQRT(SUMSQ(VLOOKUP($B64&amp;"; "&amp;$I$61,'FE Energie'!$G:$U,7,FALSE),$AS64))),0,SQRT(SUMSQ(VLOOKUP($B64&amp;"; "&amp;$I$61,'FE Energie'!$G:$U,7,FALSE),$AS64)))</f>
        <v>0.3</v>
      </c>
      <c r="AX64" s="1068">
        <f>AW64</f>
        <v>0.3</v>
      </c>
      <c r="AY64" s="1068"/>
      <c r="AZ64" s="1069"/>
      <c r="BA64" s="1070"/>
      <c r="BB64" s="1070"/>
      <c r="BC64" s="1071"/>
    </row>
    <row r="65" spans="1:56" s="116" customFormat="1" ht="12.75" hidden="1" customHeight="1" outlineLevel="1">
      <c r="A65" s="114"/>
      <c r="B65" s="143" t="s">
        <v>3659</v>
      </c>
      <c r="C65" s="1826"/>
      <c r="D65" s="315">
        <f>M65</f>
        <v>0</v>
      </c>
      <c r="E65" s="123"/>
      <c r="F65" s="123"/>
      <c r="G65" s="217">
        <f>I65*700</f>
        <v>11.200000000000001</v>
      </c>
      <c r="H65" s="123"/>
      <c r="I65" s="223">
        <f>VLOOKUP($B65&amp;"; "&amp;$I$61,'FE Energie'!$G:$U,9,FALSE)</f>
        <v>1.6E-2</v>
      </c>
      <c r="J65" s="123"/>
      <c r="K65" s="217">
        <f>I65*Utilitaires!$P$20</f>
        <v>186.04444444444445</v>
      </c>
      <c r="L65" s="342">
        <v>0.1</v>
      </c>
      <c r="M65" s="152">
        <f>(F65*G65+H65*I65+J65*K65)*(1+L65)</f>
        <v>0</v>
      </c>
      <c r="T65" s="114"/>
      <c r="U65" s="114"/>
      <c r="V65" s="114"/>
      <c r="W65" s="1117">
        <f>IF(AC65=0,AC65,AC65/M65)</f>
        <v>0</v>
      </c>
      <c r="X65" s="345"/>
      <c r="Y65" s="820"/>
      <c r="Z65" s="342"/>
      <c r="AA65" s="342"/>
      <c r="AB65" s="342"/>
      <c r="AC65" s="152">
        <f>SQRT(SUMSQ(IF(ISNA($F65*G65*AV65),0,$F65*G65*AV65),IF(ISNA($H65*I65*AW65),0,$H65*I65*AW65),IF(ISNA($J65*K65*AX65),0,$J65*K65*AX65)))</f>
        <v>0</v>
      </c>
      <c r="AE65" s="564">
        <f>M65</f>
        <v>0</v>
      </c>
      <c r="AF65" s="565"/>
      <c r="AG65" s="565"/>
      <c r="AH65" s="565"/>
      <c r="AI65" s="590"/>
      <c r="AK65" s="441"/>
      <c r="AL65" s="441"/>
      <c r="AM65" s="444"/>
      <c r="AN65" s="444"/>
      <c r="AO65" s="444"/>
      <c r="AP65" s="441"/>
      <c r="AQ65" s="114"/>
      <c r="AR65" s="1065">
        <f>AS65</f>
        <v>0</v>
      </c>
      <c r="AS65" s="1066">
        <f>IF($X65&lt;&gt;"votre valeur :",IF(ISNA(VLOOKUP($X65,Utilitaires!$N$566:$O$571,2,FALSE)),,VLOOKUP($X65,Utilitaires!$N$566:$O$571,2,FALSE)),$Y65)</f>
        <v>0</v>
      </c>
      <c r="AT65" s="1066">
        <f>AS65</f>
        <v>0</v>
      </c>
      <c r="AU65" s="1067"/>
      <c r="AV65" s="1068">
        <f>AW65</f>
        <v>0.3</v>
      </c>
      <c r="AW65" s="1068">
        <f>IF(ISNA(SQRT(SUMSQ(VLOOKUP($B65&amp;"; "&amp;$I$61,'FE Energie'!$G:$U,7,FALSE),$AS65))),0,SQRT(SUMSQ(VLOOKUP($B65&amp;"; "&amp;$I$61,'FE Energie'!$G:$U,7,FALSE),$AS65)))</f>
        <v>0.3</v>
      </c>
      <c r="AX65" s="1068">
        <f>AW65</f>
        <v>0.3</v>
      </c>
      <c r="AY65" s="1068"/>
      <c r="AZ65" s="1069"/>
      <c r="BA65" s="1070"/>
      <c r="BB65" s="1070"/>
      <c r="BC65" s="1071"/>
    </row>
    <row r="66" spans="1:56" s="116" customFormat="1" ht="12.75" hidden="1" customHeight="1" outlineLevel="1">
      <c r="A66" s="114"/>
      <c r="B66" s="143"/>
      <c r="C66" s="144"/>
      <c r="D66" s="315"/>
      <c r="E66" s="155"/>
      <c r="F66" s="144"/>
      <c r="G66" s="144"/>
      <c r="H66" s="144"/>
      <c r="I66" s="144"/>
      <c r="J66" s="144"/>
      <c r="K66" s="144"/>
      <c r="L66" s="144"/>
      <c r="M66" s="152"/>
      <c r="T66" s="114"/>
      <c r="U66" s="114"/>
      <c r="V66" s="114"/>
      <c r="W66" s="143"/>
      <c r="X66" s="820"/>
      <c r="Y66" s="820"/>
      <c r="Z66" s="144"/>
      <c r="AA66" s="144"/>
      <c r="AB66" s="144"/>
      <c r="AC66" s="165"/>
      <c r="AE66" s="564"/>
      <c r="AF66" s="565"/>
      <c r="AG66" s="565"/>
      <c r="AH66" s="565"/>
      <c r="AI66" s="591"/>
      <c r="AK66" s="441"/>
      <c r="AL66" s="441"/>
      <c r="AM66" s="444"/>
      <c r="AN66" s="444"/>
      <c r="AO66" s="444"/>
      <c r="AP66" s="441"/>
      <c r="AQ66" s="114"/>
      <c r="AR66" s="1087"/>
      <c r="AS66" s="1088"/>
      <c r="AT66" s="1088"/>
      <c r="AU66" s="1089"/>
      <c r="AV66" s="1073"/>
      <c r="AW66" s="1073"/>
      <c r="AX66" s="1073"/>
      <c r="AY66" s="1073"/>
      <c r="AZ66" s="1075"/>
      <c r="BA66" s="1076"/>
      <c r="BB66" s="1076"/>
      <c r="BC66" s="1077"/>
    </row>
    <row r="67" spans="1:56" s="116" customFormat="1" ht="12.75" hidden="1" customHeight="1" outlineLevel="1">
      <c r="A67" s="114"/>
      <c r="B67" s="196" t="s">
        <v>348</v>
      </c>
      <c r="C67" s="197"/>
      <c r="D67" s="202">
        <f>SUM(D63:D66)</f>
        <v>0</v>
      </c>
      <c r="E67" s="198"/>
      <c r="F67" s="199"/>
      <c r="G67" s="199"/>
      <c r="H67" s="199"/>
      <c r="I67" s="199"/>
      <c r="J67" s="199"/>
      <c r="K67" s="199"/>
      <c r="L67" s="199"/>
      <c r="M67" s="200">
        <f>SUM(M63:M66)</f>
        <v>0</v>
      </c>
      <c r="T67" s="114"/>
      <c r="U67" s="114"/>
      <c r="V67" s="114"/>
      <c r="W67" s="1203">
        <f>IF(AC67=0,AC67,AC67/M67)</f>
        <v>0</v>
      </c>
      <c r="X67" s="821"/>
      <c r="Y67" s="821"/>
      <c r="Z67" s="199"/>
      <c r="AA67" s="199"/>
      <c r="AB67" s="199"/>
      <c r="AC67" s="200">
        <f>SQRT(SUMSQ(AC63:AC66))</f>
        <v>0</v>
      </c>
      <c r="AE67" s="571">
        <f>SUM(AE63:AE66)</f>
        <v>0</v>
      </c>
      <c r="AF67" s="572">
        <f>SUM(AF63:AF66)</f>
        <v>0</v>
      </c>
      <c r="AG67" s="572">
        <f>SUM(AG63:AG66)</f>
        <v>0</v>
      </c>
      <c r="AH67" s="572">
        <f>SUM(AH63:AH66)</f>
        <v>0</v>
      </c>
      <c r="AI67" s="592">
        <f>SUM(AI63:AI66)</f>
        <v>0</v>
      </c>
      <c r="AK67" s="441"/>
      <c r="AL67" s="441"/>
      <c r="AM67" s="444"/>
      <c r="AN67" s="444"/>
      <c r="AO67" s="444"/>
      <c r="AP67" s="441"/>
      <c r="AQ67" s="114"/>
      <c r="AR67" s="114"/>
      <c r="AS67" s="114"/>
      <c r="AT67" s="114"/>
      <c r="AU67" s="114"/>
      <c r="AV67" s="114"/>
      <c r="AW67" s="114"/>
      <c r="AX67" s="114"/>
      <c r="AY67" s="114"/>
      <c r="AZ67" s="114"/>
      <c r="BA67" s="114"/>
      <c r="BB67" s="114"/>
      <c r="BC67" s="114"/>
    </row>
    <row r="68" spans="1:56" s="116" customFormat="1" ht="12.75" hidden="1" customHeight="1" outlineLevel="1">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26"/>
      <c r="Y68" s="126"/>
      <c r="AA68" s="114"/>
      <c r="AB68" s="114"/>
      <c r="AC68" s="114"/>
      <c r="AE68" s="441"/>
      <c r="AF68" s="441"/>
      <c r="AG68" s="441"/>
      <c r="AH68" s="441"/>
      <c r="AI68" s="441"/>
      <c r="AJ68" s="441"/>
      <c r="AK68" s="441"/>
      <c r="AL68" s="441"/>
      <c r="AM68" s="444"/>
      <c r="AN68" s="444"/>
      <c r="AO68" s="444"/>
      <c r="AP68" s="441"/>
      <c r="AQ68" s="114"/>
      <c r="AR68" s="114"/>
      <c r="AS68" s="114"/>
      <c r="AT68" s="114"/>
      <c r="AU68" s="114"/>
      <c r="AV68" s="114"/>
      <c r="AW68" s="114"/>
      <c r="AX68" s="114"/>
      <c r="AY68" s="114"/>
      <c r="AZ68" s="114"/>
      <c r="BA68" s="114"/>
      <c r="BB68" s="114"/>
      <c r="BC68" s="114"/>
    </row>
    <row r="69" spans="1:56" s="116" customFormat="1" ht="12.75" hidden="1" customHeight="1" outlineLevel="1">
      <c r="A69" s="114"/>
      <c r="B69" s="139" t="s">
        <v>20</v>
      </c>
      <c r="C69" s="140"/>
      <c r="D69" s="141"/>
      <c r="E69" s="1822"/>
      <c r="F69" s="141"/>
      <c r="G69" s="141"/>
      <c r="H69" s="141"/>
      <c r="I69" s="142"/>
      <c r="T69" s="114"/>
      <c r="U69" s="114"/>
      <c r="V69" s="114"/>
      <c r="W69" s="2636" t="s">
        <v>366</v>
      </c>
      <c r="X69" s="2637"/>
      <c r="Y69" s="2637"/>
      <c r="Z69" s="2637"/>
      <c r="AA69" s="2637"/>
      <c r="AB69" s="2637"/>
      <c r="AC69" s="2638"/>
      <c r="AE69" s="2639" t="s">
        <v>441</v>
      </c>
      <c r="AF69" s="2640"/>
      <c r="AG69" s="2640"/>
      <c r="AH69" s="2640"/>
      <c r="AI69" s="2641"/>
      <c r="AJ69" s="441"/>
      <c r="AK69" s="441"/>
      <c r="AL69" s="441"/>
      <c r="AM69" s="444"/>
      <c r="AN69" s="444"/>
      <c r="AO69" s="444"/>
      <c r="AP69" s="441"/>
      <c r="AQ69" s="114"/>
      <c r="AR69" s="114"/>
      <c r="AS69" s="114"/>
      <c r="AT69" s="114"/>
      <c r="AU69" s="114"/>
      <c r="AV69" s="114"/>
      <c r="AW69" s="114"/>
      <c r="AX69" s="114"/>
      <c r="AY69" s="114"/>
      <c r="AZ69" s="114"/>
      <c r="BA69" s="114"/>
      <c r="BB69" s="114"/>
      <c r="BC69" s="114"/>
    </row>
    <row r="70" spans="1:56" s="116" customFormat="1" ht="12.75" hidden="1" customHeight="1" outlineLevel="1">
      <c r="A70" s="114"/>
      <c r="B70" s="143"/>
      <c r="C70" s="144"/>
      <c r="D70" s="1834" t="s">
        <v>308</v>
      </c>
      <c r="E70" s="1826"/>
      <c r="F70" s="144"/>
      <c r="G70" s="144"/>
      <c r="H70" s="144"/>
      <c r="I70" s="145"/>
      <c r="T70" s="114"/>
      <c r="U70" s="114"/>
      <c r="V70" s="114"/>
      <c r="W70" s="1825"/>
      <c r="X70" s="819"/>
      <c r="Y70" s="819"/>
      <c r="Z70" s="144"/>
      <c r="AA70" s="144"/>
      <c r="AB70" s="144"/>
      <c r="AC70" s="145"/>
      <c r="AE70" s="584"/>
      <c r="AF70" s="585"/>
      <c r="AG70" s="585"/>
      <c r="AH70" s="585"/>
      <c r="AI70" s="586"/>
      <c r="AK70" s="441"/>
      <c r="AL70" s="441"/>
      <c r="AM70" s="444"/>
      <c r="AN70" s="444"/>
      <c r="AO70" s="444"/>
      <c r="AP70" s="441"/>
      <c r="AQ70" s="114"/>
      <c r="AR70" s="2616" t="s">
        <v>1648</v>
      </c>
      <c r="AS70" s="2617"/>
      <c r="AT70" s="2617"/>
      <c r="AU70" s="2617"/>
      <c r="AV70" s="2617"/>
      <c r="AW70" s="2617"/>
      <c r="AX70" s="2617"/>
      <c r="AY70" s="2617"/>
      <c r="AZ70" s="2617"/>
      <c r="BA70" s="2617"/>
      <c r="BB70" s="2617"/>
      <c r="BC70" s="2618"/>
    </row>
    <row r="71" spans="1:56" s="127" customFormat="1" ht="12.75" hidden="1" customHeight="1" outlineLevel="1">
      <c r="A71" s="114"/>
      <c r="B71" s="1825" t="s">
        <v>19</v>
      </c>
      <c r="C71" s="1826"/>
      <c r="D71" s="1834" t="s">
        <v>409</v>
      </c>
      <c r="E71" s="147" t="s">
        <v>452</v>
      </c>
      <c r="F71" s="147" t="s">
        <v>343</v>
      </c>
      <c r="G71" s="1826" t="s">
        <v>1681</v>
      </c>
      <c r="H71" s="1826" t="s">
        <v>575</v>
      </c>
      <c r="I71" s="1836" t="s">
        <v>444</v>
      </c>
      <c r="T71" s="109"/>
      <c r="U71" s="109"/>
      <c r="V71" s="109"/>
      <c r="W71" s="1825" t="s">
        <v>316</v>
      </c>
      <c r="X71" s="2629" t="s">
        <v>316</v>
      </c>
      <c r="Y71" s="2630"/>
      <c r="Z71" s="1826"/>
      <c r="AA71" s="1826"/>
      <c r="AB71" s="1826"/>
      <c r="AC71" s="1836" t="s">
        <v>444</v>
      </c>
      <c r="AE71" s="2657" t="s">
        <v>444</v>
      </c>
      <c r="AF71" s="2658"/>
      <c r="AG71" s="2658"/>
      <c r="AH71" s="2659"/>
      <c r="AI71" s="587"/>
      <c r="AK71" s="588"/>
      <c r="AL71" s="588"/>
      <c r="AM71" s="1639"/>
      <c r="AN71" s="444"/>
      <c r="AO71" s="444"/>
      <c r="AP71" s="588"/>
      <c r="AQ71" s="109"/>
      <c r="AR71" s="2614" t="s">
        <v>1646</v>
      </c>
      <c r="AS71" s="2645"/>
      <c r="AT71" s="2645"/>
      <c r="AU71" s="2615"/>
      <c r="AV71" s="2614" t="s">
        <v>1684</v>
      </c>
      <c r="AW71" s="2645"/>
      <c r="AX71" s="2645"/>
      <c r="AY71" s="2615"/>
      <c r="AZ71" s="2614"/>
      <c r="BA71" s="2645"/>
      <c r="BB71" s="2645"/>
      <c r="BC71" s="2615"/>
    </row>
    <row r="72" spans="1:56" s="127" customFormat="1" ht="12.75" hidden="1" customHeight="1" outlineLevel="1">
      <c r="A72" s="114"/>
      <c r="B72" s="1825"/>
      <c r="C72" s="1826"/>
      <c r="D72" s="1829" t="s">
        <v>444</v>
      </c>
      <c r="E72" s="1833" t="s">
        <v>453</v>
      </c>
      <c r="F72" s="1833" t="s">
        <v>533</v>
      </c>
      <c r="G72" s="1826" t="s">
        <v>2555</v>
      </c>
      <c r="H72" s="1826" t="s">
        <v>353</v>
      </c>
      <c r="I72" s="1836"/>
      <c r="T72" s="109"/>
      <c r="U72" s="109"/>
      <c r="V72" s="109"/>
      <c r="W72" s="1825" t="s">
        <v>1649</v>
      </c>
      <c r="X72" s="2646" t="s">
        <v>1650</v>
      </c>
      <c r="Y72" s="2647"/>
      <c r="Z72" s="1826"/>
      <c r="AA72" s="1826"/>
      <c r="AB72" s="1826"/>
      <c r="AC72" s="1836"/>
      <c r="AE72" s="1823" t="s">
        <v>211</v>
      </c>
      <c r="AF72" s="1824" t="s">
        <v>442</v>
      </c>
      <c r="AG72" s="1824" t="s">
        <v>267</v>
      </c>
      <c r="AH72" s="1824" t="s">
        <v>443</v>
      </c>
      <c r="AI72" s="589" t="s">
        <v>636</v>
      </c>
      <c r="AK72" s="588"/>
      <c r="AL72" s="588"/>
      <c r="AM72" s="1639"/>
      <c r="AN72" s="1639"/>
      <c r="AO72" s="1639"/>
      <c r="AP72" s="588"/>
      <c r="AQ72" s="109"/>
      <c r="AR72" s="1837" t="s">
        <v>1670</v>
      </c>
      <c r="AS72" s="1839" t="s">
        <v>1640</v>
      </c>
      <c r="AT72" s="1839" t="s">
        <v>1641</v>
      </c>
      <c r="AU72" s="1838" t="s">
        <v>1642</v>
      </c>
      <c r="AV72" s="1090" t="s">
        <v>1667</v>
      </c>
      <c r="AW72" s="1839" t="s">
        <v>1640</v>
      </c>
      <c r="AX72" s="1839" t="s">
        <v>1641</v>
      </c>
      <c r="AY72" s="1838" t="s">
        <v>1642</v>
      </c>
      <c r="AZ72" s="1837"/>
      <c r="BA72" s="1839"/>
      <c r="BB72" s="1839"/>
      <c r="BC72" s="1838"/>
    </row>
    <row r="73" spans="1:56" s="116" customFormat="1" ht="12.75" hidden="1" customHeight="1" outlineLevel="1">
      <c r="A73" s="114"/>
      <c r="B73" s="143" t="s">
        <v>3040</v>
      </c>
      <c r="C73" s="1826"/>
      <c r="D73" s="315">
        <f>I73</f>
        <v>0</v>
      </c>
      <c r="E73" s="117"/>
      <c r="F73" s="117"/>
      <c r="G73" s="223">
        <f>VLOOKUP($B73&amp;"; "&amp;$G$71&amp;", "&amp;$G$72,'FE Energie'!$G:$U,9,FALSE)</f>
        <v>0.01</v>
      </c>
      <c r="H73" s="342">
        <v>0.1</v>
      </c>
      <c r="I73" s="152">
        <f>IF(ISNA(F73*G73),0,(F73*G73))*(1+H73)</f>
        <v>0</v>
      </c>
      <c r="T73" s="114"/>
      <c r="U73" s="114"/>
      <c r="V73" s="114"/>
      <c r="W73" s="1117">
        <f>IF(AC73=0,AC73,AC73/I73)</f>
        <v>0</v>
      </c>
      <c r="X73" s="343"/>
      <c r="Y73" s="820"/>
      <c r="Z73" s="342"/>
      <c r="AA73" s="342"/>
      <c r="AB73" s="342"/>
      <c r="AC73" s="152">
        <f>SQRT(SUMSQ(IF(ISNA($F73*G73*AW73),0,$F73*G73*AW73)))</f>
        <v>0</v>
      </c>
      <c r="AE73" s="564">
        <f>I73</f>
        <v>0</v>
      </c>
      <c r="AF73" s="565"/>
      <c r="AG73" s="565"/>
      <c r="AH73" s="565"/>
      <c r="AI73" s="590"/>
      <c r="AK73" s="441"/>
      <c r="AL73" s="441"/>
      <c r="AM73" s="444"/>
      <c r="AN73" s="1639"/>
      <c r="AO73" s="1639"/>
      <c r="AP73" s="441"/>
      <c r="AQ73" s="114"/>
      <c r="AR73" s="1065"/>
      <c r="AS73" s="1066">
        <f>IF($X73&lt;&gt;"votre valeur :",IF(ISNA(VLOOKUP($X73,Utilitaires!$N$566:$O$571,2,FALSE)),,VLOOKUP($X73,Utilitaires!$N$566:$O$571,2,FALSE)),$Y73)</f>
        <v>0</v>
      </c>
      <c r="AT73" s="1066"/>
      <c r="AU73" s="1067"/>
      <c r="AV73" s="1068"/>
      <c r="AW73" s="1068">
        <f>IF(ISNA(SQRT(SUMSQ(VLOOKUP($B73&amp;"; "&amp;$G$71&amp;", "&amp;$G$72,'FE Energie'!$G:$U,7,FALSE),$AS73))),0,SQRT(SUMSQ(VLOOKUP($B73&amp;"; "&amp;$G$71&amp;", "&amp;$G$72,'FE Energie'!$G:$U,7,FALSE),$AS73)))</f>
        <v>0.3</v>
      </c>
      <c r="AX73" s="1068"/>
      <c r="AY73" s="1068"/>
      <c r="AZ73" s="1069"/>
      <c r="BA73" s="1070"/>
      <c r="BB73" s="1070"/>
      <c r="BC73" s="1071"/>
    </row>
    <row r="74" spans="1:56" s="116" customFormat="1" ht="12.75" hidden="1" customHeight="1" outlineLevel="1">
      <c r="A74" s="114"/>
      <c r="B74" s="143" t="s">
        <v>3661</v>
      </c>
      <c r="C74" s="1826"/>
      <c r="D74" s="315">
        <f>I74</f>
        <v>0</v>
      </c>
      <c r="E74" s="120"/>
      <c r="F74" s="120"/>
      <c r="G74" s="223">
        <f>VLOOKUP($B74&amp;"; "&amp;$G$71&amp;", "&amp;$G$72,'FE Energie'!$G:$U,9,FALSE)</f>
        <v>1.2999999999999999E-2</v>
      </c>
      <c r="H74" s="342">
        <v>0.1</v>
      </c>
      <c r="I74" s="152">
        <f>IF(ISNA(F74*G74),0,(F74*G74))*(1+H74)</f>
        <v>0</v>
      </c>
      <c r="T74" s="114"/>
      <c r="U74" s="114"/>
      <c r="V74" s="114"/>
      <c r="W74" s="1117">
        <f>IF(AC74=0,AC74,AC74/I74)</f>
        <v>0</v>
      </c>
      <c r="X74" s="344"/>
      <c r="Y74" s="820"/>
      <c r="Z74" s="1635"/>
      <c r="AA74" s="342"/>
      <c r="AB74" s="342"/>
      <c r="AC74" s="152">
        <f>SQRT(SUMSQ(IF(ISNA($F74*G74*AW74),0,$F74*G74*AW74)))</f>
        <v>0</v>
      </c>
      <c r="AE74" s="564">
        <f>I74</f>
        <v>0</v>
      </c>
      <c r="AF74" s="565"/>
      <c r="AG74" s="565"/>
      <c r="AH74" s="565"/>
      <c r="AI74" s="590"/>
      <c r="AK74" s="441"/>
      <c r="AL74" s="441"/>
      <c r="AM74" s="444"/>
      <c r="AN74" s="444"/>
      <c r="AO74" s="444"/>
      <c r="AP74" s="441"/>
      <c r="AQ74" s="114"/>
      <c r="AR74" s="1065"/>
      <c r="AS74" s="1066">
        <f>IF($X74&lt;&gt;"votre valeur :",IF(ISNA(VLOOKUP($X74,Utilitaires!$N$566:$O$571,2,FALSE)),,VLOOKUP($X74,Utilitaires!$N$566:$O$571,2,FALSE)),$Y74)</f>
        <v>0</v>
      </c>
      <c r="AT74" s="1066"/>
      <c r="AU74" s="1067"/>
      <c r="AV74" s="1068"/>
      <c r="AW74" s="1068">
        <f>IF(ISNA(SQRT(SUMSQ(VLOOKUP($B74&amp;"; "&amp;$G$71&amp;", "&amp;$G$72,'FE Energie'!$G:$U,7,FALSE),$AS74))),0,SQRT(SUMSQ(VLOOKUP($B74&amp;"; "&amp;$G$71&amp;", "&amp;$G$72,'FE Energie'!$G:$U,7,FALSE),$AS74)))</f>
        <v>0.3</v>
      </c>
      <c r="AX74" s="1068"/>
      <c r="AY74" s="1068"/>
      <c r="AZ74" s="1069"/>
      <c r="BA74" s="1070"/>
      <c r="BB74" s="1070"/>
      <c r="BC74" s="1071"/>
    </row>
    <row r="75" spans="1:56" s="116" customFormat="1" ht="12.75" hidden="1" customHeight="1" outlineLevel="1">
      <c r="A75" s="114"/>
      <c r="B75" s="143" t="s">
        <v>3042</v>
      </c>
      <c r="C75" s="1826"/>
      <c r="D75" s="315">
        <f>I75</f>
        <v>0</v>
      </c>
      <c r="E75" s="123"/>
      <c r="F75" s="123"/>
      <c r="G75" s="223">
        <f>VLOOKUP($B75&amp;"; "&amp;$G$71&amp;", "&amp;$G$72,'FE Energie'!$G:$U,9,FALSE)</f>
        <v>8.0000000000000002E-3</v>
      </c>
      <c r="H75" s="342">
        <v>0.1</v>
      </c>
      <c r="I75" s="152">
        <f>IF(ISNA(F75*G75),0,(F75*G75))*(1+H75)</f>
        <v>0</v>
      </c>
      <c r="T75" s="114"/>
      <c r="U75" s="114"/>
      <c r="V75" s="114"/>
      <c r="W75" s="1117">
        <f>IF(AC75=0,AC75,AC75/I75)</f>
        <v>0</v>
      </c>
      <c r="X75" s="345"/>
      <c r="Y75" s="820"/>
      <c r="Z75" s="342"/>
      <c r="AA75" s="342"/>
      <c r="AB75" s="342"/>
      <c r="AC75" s="152">
        <f>SQRT(SUMSQ(IF(ISNA($F75*G75*AW75),0,$F75*G75*AW75)))</f>
        <v>0</v>
      </c>
      <c r="AE75" s="564">
        <f>I75</f>
        <v>0</v>
      </c>
      <c r="AF75" s="565"/>
      <c r="AG75" s="565"/>
      <c r="AH75" s="565"/>
      <c r="AI75" s="590"/>
      <c r="AK75" s="441"/>
      <c r="AL75" s="441"/>
      <c r="AM75" s="444"/>
      <c r="AN75" s="444"/>
      <c r="AO75" s="444"/>
      <c r="AP75" s="441"/>
      <c r="AQ75" s="114"/>
      <c r="AR75" s="1065"/>
      <c r="AS75" s="1066">
        <f>IF($X75&lt;&gt;"votre valeur :",IF(ISNA(VLOOKUP($X75,Utilitaires!$N$566:$O$571,2,FALSE)),,VLOOKUP($X75,Utilitaires!$N$566:$O$571,2,FALSE)),$Y75)</f>
        <v>0</v>
      </c>
      <c r="AT75" s="1066"/>
      <c r="AU75" s="1067"/>
      <c r="AV75" s="1068"/>
      <c r="AW75" s="1068">
        <f>IF(ISNA(SQRT(SUMSQ(VLOOKUP($B75&amp;"; "&amp;$G$71&amp;", "&amp;$G$72,'FE Energie'!$G:$U,7,FALSE),$AS75))),0,SQRT(SUMSQ(VLOOKUP($B75&amp;"; "&amp;$G$71&amp;", "&amp;$G$72,'FE Energie'!$G:$U,7,FALSE),$AS75)))</f>
        <v>0.3</v>
      </c>
      <c r="AX75" s="1068"/>
      <c r="AY75" s="1068"/>
      <c r="AZ75" s="1069"/>
      <c r="BA75" s="1070"/>
      <c r="BB75" s="1070"/>
      <c r="BC75" s="1071"/>
    </row>
    <row r="76" spans="1:56" s="116" customFormat="1" ht="12.75" hidden="1" customHeight="1" outlineLevel="1">
      <c r="A76" s="114"/>
      <c r="B76" s="143"/>
      <c r="C76" s="144"/>
      <c r="D76" s="315"/>
      <c r="E76" s="155"/>
      <c r="F76" s="144"/>
      <c r="G76" s="144"/>
      <c r="H76" s="144"/>
      <c r="I76" s="152"/>
      <c r="T76" s="114"/>
      <c r="U76" s="114"/>
      <c r="V76" s="114"/>
      <c r="W76" s="143"/>
      <c r="X76" s="820"/>
      <c r="Y76" s="820"/>
      <c r="Z76" s="144"/>
      <c r="AA76" s="144"/>
      <c r="AB76" s="144"/>
      <c r="AC76" s="165"/>
      <c r="AE76" s="564"/>
      <c r="AF76" s="565"/>
      <c r="AG76" s="565"/>
      <c r="AH76" s="565"/>
      <c r="AI76" s="591"/>
      <c r="AK76" s="441"/>
      <c r="AL76" s="441"/>
      <c r="AM76" s="444"/>
      <c r="AN76" s="444"/>
      <c r="AO76" s="444"/>
      <c r="AP76" s="441"/>
      <c r="AQ76" s="114"/>
      <c r="AR76" s="1087"/>
      <c r="AS76" s="1088"/>
      <c r="AT76" s="1088"/>
      <c r="AU76" s="1089"/>
      <c r="AV76" s="1073"/>
      <c r="AW76" s="1073"/>
      <c r="AX76" s="1073"/>
      <c r="AY76" s="1073"/>
      <c r="AZ76" s="1075"/>
      <c r="BA76" s="1076"/>
      <c r="BB76" s="1076"/>
      <c r="BC76" s="1077"/>
    </row>
    <row r="77" spans="1:56" s="116" customFormat="1" ht="12.75" hidden="1" customHeight="1" outlineLevel="1">
      <c r="A77" s="114"/>
      <c r="B77" s="196" t="s">
        <v>348</v>
      </c>
      <c r="C77" s="197"/>
      <c r="D77" s="202">
        <f>SUM(D73:D76)</f>
        <v>0</v>
      </c>
      <c r="E77" s="198"/>
      <c r="F77" s="199"/>
      <c r="G77" s="199"/>
      <c r="H77" s="199"/>
      <c r="I77" s="200">
        <f>SUM(I73:I76)</f>
        <v>0</v>
      </c>
      <c r="T77" s="114"/>
      <c r="U77" s="114"/>
      <c r="V77" s="114"/>
      <c r="W77" s="1203">
        <f>IF(AC77=0,AC77,AC77/I77)</f>
        <v>0</v>
      </c>
      <c r="X77" s="821"/>
      <c r="Y77" s="821"/>
      <c r="Z77" s="199"/>
      <c r="AA77" s="199"/>
      <c r="AB77" s="199"/>
      <c r="AC77" s="200">
        <f>SQRT(SUMSQ(AC73:AC76))</f>
        <v>0</v>
      </c>
      <c r="AE77" s="571">
        <f>SUM(AE73:AE76)</f>
        <v>0</v>
      </c>
      <c r="AF77" s="572">
        <f>SUM(AF73:AF76)</f>
        <v>0</v>
      </c>
      <c r="AG77" s="572">
        <f>SUM(AG73:AG76)</f>
        <v>0</v>
      </c>
      <c r="AH77" s="572">
        <f>SUM(AH73:AH76)</f>
        <v>0</v>
      </c>
      <c r="AI77" s="592">
        <f>SUM(AI73:AI76)</f>
        <v>0</v>
      </c>
      <c r="AK77" s="441"/>
      <c r="AL77" s="441"/>
      <c r="AM77" s="444"/>
      <c r="AN77" s="444"/>
      <c r="AO77" s="444"/>
      <c r="AP77" s="441"/>
      <c r="AQ77" s="114"/>
      <c r="AR77" s="114"/>
      <c r="AS77" s="114"/>
      <c r="AT77" s="114"/>
      <c r="AU77" s="114"/>
      <c r="AV77" s="114"/>
      <c r="AW77" s="114"/>
      <c r="AX77" s="114"/>
      <c r="AY77" s="114"/>
      <c r="AZ77" s="114"/>
      <c r="BA77" s="114"/>
      <c r="BB77" s="114"/>
      <c r="BC77" s="114"/>
    </row>
    <row r="78" spans="1:56" s="116" customFormat="1" ht="12.75" hidden="1" customHeight="1" outlineLevel="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26"/>
      <c r="Y78" s="126"/>
      <c r="Z78" s="114"/>
      <c r="AA78" s="114"/>
      <c r="AB78" s="114"/>
      <c r="AC78" s="114"/>
      <c r="AE78" s="441"/>
      <c r="AF78" s="441"/>
      <c r="AG78" s="441"/>
      <c r="AH78" s="441"/>
      <c r="AI78" s="441"/>
      <c r="AJ78" s="441"/>
      <c r="AK78" s="441"/>
      <c r="AL78" s="441"/>
      <c r="AM78" s="444"/>
      <c r="AN78" s="444"/>
      <c r="AO78" s="444"/>
      <c r="AP78" s="441"/>
      <c r="AQ78" s="114"/>
      <c r="AR78" s="114"/>
      <c r="AS78" s="114"/>
      <c r="AT78" s="114"/>
      <c r="AU78" s="114"/>
      <c r="AV78" s="114"/>
      <c r="AW78" s="114"/>
      <c r="AX78" s="114"/>
      <c r="AY78" s="114"/>
      <c r="AZ78" s="114"/>
      <c r="BA78" s="114"/>
      <c r="BB78" s="114"/>
      <c r="BC78" s="114"/>
    </row>
    <row r="79" spans="1:56" s="116" customFormat="1" ht="13.2" collapsed="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26"/>
      <c r="Y79" s="126"/>
      <c r="Z79" s="114"/>
      <c r="AA79" s="114"/>
      <c r="AB79" s="114"/>
      <c r="AC79" s="114"/>
      <c r="AE79" s="441"/>
      <c r="AF79" s="441"/>
      <c r="AG79" s="441"/>
      <c r="AH79" s="441"/>
      <c r="AI79" s="441"/>
      <c r="AJ79" s="441"/>
      <c r="AK79" s="441"/>
      <c r="AL79" s="441"/>
      <c r="AM79" s="444"/>
      <c r="AN79" s="444"/>
      <c r="AO79" s="444"/>
      <c r="AP79" s="441"/>
      <c r="AQ79" s="114"/>
      <c r="AR79" s="114"/>
      <c r="AS79" s="114"/>
      <c r="AT79" s="114"/>
      <c r="AU79" s="114"/>
      <c r="AV79" s="114"/>
      <c r="AW79" s="114"/>
      <c r="AX79" s="114"/>
      <c r="AY79" s="114"/>
      <c r="AZ79" s="114"/>
      <c r="BA79" s="114"/>
      <c r="BB79" s="114"/>
      <c r="BC79" s="114"/>
    </row>
    <row r="80" spans="1:56" s="418" customFormat="1" ht="15.6">
      <c r="A80" s="114"/>
      <c r="B80" s="2652" t="s">
        <v>205</v>
      </c>
      <c r="C80" s="2653"/>
      <c r="D80" s="2653"/>
      <c r="E80" s="2653"/>
      <c r="F80" s="2653"/>
      <c r="G80" s="2653"/>
      <c r="H80" s="2653"/>
      <c r="I80" s="2653"/>
      <c r="J80" s="2653"/>
      <c r="K80" s="2653"/>
      <c r="L80" s="2653"/>
      <c r="M80" s="2653"/>
      <c r="N80" s="2653"/>
      <c r="O80" s="2654"/>
      <c r="P80" s="113"/>
      <c r="Q80" s="113"/>
      <c r="R80" s="113"/>
      <c r="S80" s="113"/>
      <c r="T80" s="113"/>
      <c r="U80" s="113"/>
      <c r="V80" s="113"/>
      <c r="W80" s="113"/>
      <c r="X80" s="113"/>
      <c r="Y80" s="817"/>
      <c r="Z80" s="817"/>
      <c r="AA80" s="113"/>
      <c r="AB80" s="113"/>
      <c r="AC80" s="113"/>
      <c r="AE80" s="113"/>
      <c r="AF80" s="441"/>
      <c r="AG80" s="576"/>
      <c r="AH80" s="576"/>
      <c r="AI80" s="576"/>
      <c r="AJ80" s="576"/>
      <c r="AK80" s="576"/>
      <c r="AL80" s="576"/>
      <c r="AM80" s="1240"/>
      <c r="AN80" s="1240"/>
      <c r="AO80" s="1240"/>
      <c r="AP80" s="441"/>
      <c r="AQ80" s="441"/>
      <c r="AR80" s="113"/>
      <c r="AS80" s="114"/>
      <c r="AT80" s="114"/>
      <c r="AU80" s="114"/>
      <c r="AV80" s="114"/>
      <c r="AW80" s="114"/>
      <c r="AX80" s="114"/>
      <c r="AY80" s="114"/>
      <c r="AZ80" s="114"/>
      <c r="BA80" s="114"/>
      <c r="BB80" s="114"/>
      <c r="BC80" s="114"/>
      <c r="BD80" s="114"/>
    </row>
    <row r="81" spans="1:58" s="116" customFormat="1" ht="12.75" customHeight="1" outlineLevel="1">
      <c r="A81" s="114"/>
      <c r="O81" s="114"/>
      <c r="P81" s="114"/>
      <c r="Q81" s="114"/>
      <c r="R81" s="114"/>
      <c r="S81" s="114"/>
      <c r="T81" s="114"/>
      <c r="U81" s="114"/>
      <c r="V81" s="114"/>
      <c r="W81" s="114"/>
      <c r="X81" s="126"/>
      <c r="Y81" s="126"/>
      <c r="Z81" s="114"/>
      <c r="AA81" s="114"/>
      <c r="AB81" s="114"/>
      <c r="AC81" s="114"/>
      <c r="AE81" s="441"/>
      <c r="AF81" s="441"/>
      <c r="AG81" s="441"/>
      <c r="AH81" s="441"/>
      <c r="AI81" s="441"/>
      <c r="AJ81" s="441"/>
      <c r="AK81" s="441"/>
      <c r="AL81" s="441"/>
      <c r="AM81" s="444"/>
      <c r="AN81" s="444"/>
      <c r="AO81" s="1240"/>
      <c r="AP81" s="576"/>
      <c r="AQ81" s="114"/>
      <c r="AR81" s="114"/>
      <c r="AS81" s="114"/>
      <c r="AT81" s="114"/>
      <c r="AU81" s="114"/>
      <c r="AV81" s="114"/>
      <c r="AW81" s="114"/>
      <c r="AX81" s="114"/>
      <c r="AY81" s="114"/>
      <c r="AZ81" s="114"/>
      <c r="BA81" s="114"/>
      <c r="BB81" s="114"/>
      <c r="BC81" s="114"/>
    </row>
    <row r="82" spans="1:58" s="116" customFormat="1" ht="12.75" customHeight="1" outlineLevel="1">
      <c r="A82" s="114"/>
      <c r="B82" s="139" t="s">
        <v>849</v>
      </c>
      <c r="C82" s="140"/>
      <c r="D82" s="141"/>
      <c r="E82" s="1822"/>
      <c r="F82" s="141"/>
      <c r="G82" s="141"/>
      <c r="H82" s="141"/>
      <c r="I82" s="141"/>
      <c r="J82" s="141"/>
      <c r="K82" s="142"/>
      <c r="T82" s="1610"/>
      <c r="V82" s="114"/>
      <c r="W82" s="2636" t="s">
        <v>366</v>
      </c>
      <c r="X82" s="2637"/>
      <c r="Y82" s="2637"/>
      <c r="Z82" s="2637"/>
      <c r="AA82" s="2637"/>
      <c r="AB82" s="2637"/>
      <c r="AC82" s="2638"/>
      <c r="AE82" s="2639" t="s">
        <v>441</v>
      </c>
      <c r="AF82" s="2640"/>
      <c r="AG82" s="2640"/>
      <c r="AH82" s="2640"/>
      <c r="AI82" s="2640"/>
      <c r="AJ82" s="2640"/>
      <c r="AK82" s="2640"/>
      <c r="AL82" s="2640"/>
      <c r="AM82" s="2640"/>
      <c r="AN82" s="2640"/>
      <c r="AO82" s="2640"/>
      <c r="AP82" s="2641"/>
      <c r="AQ82" s="113"/>
    </row>
    <row r="83" spans="1:58" s="116" customFormat="1" ht="12.75" customHeight="1" outlineLevel="1">
      <c r="A83" s="114"/>
      <c r="B83" s="143"/>
      <c r="C83" s="144"/>
      <c r="D83" s="1834" t="s">
        <v>308</v>
      </c>
      <c r="E83" s="1826"/>
      <c r="F83" s="144"/>
      <c r="G83" s="144"/>
      <c r="H83" s="144"/>
      <c r="I83" s="144"/>
      <c r="J83" s="144"/>
      <c r="K83" s="145"/>
      <c r="T83" s="1872"/>
      <c r="V83" s="114"/>
      <c r="W83" s="159"/>
      <c r="X83" s="1835"/>
      <c r="Y83" s="1835"/>
      <c r="Z83" s="1830"/>
      <c r="AA83" s="1830"/>
      <c r="AB83" s="144"/>
      <c r="AC83" s="142"/>
      <c r="AE83" s="2642" t="s">
        <v>444</v>
      </c>
      <c r="AF83" s="2643"/>
      <c r="AG83" s="2643"/>
      <c r="AH83" s="2643"/>
      <c r="AI83" s="2643"/>
      <c r="AJ83" s="2643"/>
      <c r="AK83" s="2643"/>
      <c r="AL83" s="2643"/>
      <c r="AM83" s="2643" t="s">
        <v>444</v>
      </c>
      <c r="AN83" s="2644"/>
      <c r="AO83" s="1081"/>
      <c r="AP83" s="578"/>
      <c r="AR83" s="2616" t="s">
        <v>1648</v>
      </c>
      <c r="AS83" s="2617"/>
      <c r="AT83" s="2617"/>
      <c r="AU83" s="2617"/>
      <c r="AV83" s="2617"/>
      <c r="AW83" s="2617"/>
      <c r="AX83" s="2617"/>
      <c r="AY83" s="2617"/>
      <c r="AZ83" s="2617"/>
      <c r="BA83" s="2617"/>
      <c r="BB83" s="2617"/>
      <c r="BC83" s="2618"/>
    </row>
    <row r="84" spans="1:58" s="116" customFormat="1" ht="12.75" customHeight="1" outlineLevel="1">
      <c r="A84" s="114"/>
      <c r="B84" s="1825"/>
      <c r="C84" s="1826"/>
      <c r="D84" s="1834" t="s">
        <v>409</v>
      </c>
      <c r="E84" s="147" t="s">
        <v>452</v>
      </c>
      <c r="F84" s="147" t="s">
        <v>343</v>
      </c>
      <c r="G84" s="2626" t="s">
        <v>1681</v>
      </c>
      <c r="H84" s="2628"/>
      <c r="I84" s="2628"/>
      <c r="J84" s="1834" t="s">
        <v>444</v>
      </c>
      <c r="K84" s="1836" t="s">
        <v>444</v>
      </c>
      <c r="T84" s="1873" t="s">
        <v>444</v>
      </c>
      <c r="V84" s="114"/>
      <c r="W84" s="1825" t="s">
        <v>316</v>
      </c>
      <c r="X84" s="2629" t="s">
        <v>316</v>
      </c>
      <c r="Y84" s="2630"/>
      <c r="Z84" s="1826" t="s">
        <v>444</v>
      </c>
      <c r="AA84" s="1826" t="s">
        <v>444</v>
      </c>
      <c r="AB84" s="1826"/>
      <c r="AC84" s="1836" t="s">
        <v>444</v>
      </c>
      <c r="AE84" s="2631" t="s">
        <v>211</v>
      </c>
      <c r="AF84" s="2632"/>
      <c r="AG84" s="2632" t="s">
        <v>442</v>
      </c>
      <c r="AH84" s="2632"/>
      <c r="AI84" s="2632" t="s">
        <v>267</v>
      </c>
      <c r="AJ84" s="2632"/>
      <c r="AK84" s="2632" t="s">
        <v>443</v>
      </c>
      <c r="AL84" s="2632"/>
      <c r="AM84" s="2648" t="s">
        <v>327</v>
      </c>
      <c r="AN84" s="2649"/>
      <c r="AO84" s="2631" t="s">
        <v>636</v>
      </c>
      <c r="AP84" s="2650"/>
      <c r="AR84" s="2614" t="s">
        <v>1646</v>
      </c>
      <c r="AS84" s="2645"/>
      <c r="AT84" s="2645"/>
      <c r="AU84" s="2615"/>
      <c r="AV84" s="2614" t="s">
        <v>1644</v>
      </c>
      <c r="AW84" s="2645"/>
      <c r="AX84" s="2645"/>
      <c r="AY84" s="2615"/>
      <c r="AZ84" s="2614" t="s">
        <v>1645</v>
      </c>
      <c r="BA84" s="2645"/>
      <c r="BB84" s="2645"/>
      <c r="BC84" s="2615"/>
    </row>
    <row r="85" spans="1:58" s="116" customFormat="1" ht="12.75" customHeight="1" outlineLevel="1">
      <c r="A85" s="114"/>
      <c r="B85" s="1002" t="s">
        <v>5019</v>
      </c>
      <c r="C85" s="1826"/>
      <c r="D85" s="1829" t="s">
        <v>444</v>
      </c>
      <c r="E85" s="1833" t="s">
        <v>453</v>
      </c>
      <c r="F85" s="1833" t="s">
        <v>533</v>
      </c>
      <c r="G85" s="1662" t="s">
        <v>411</v>
      </c>
      <c r="H85" s="1120" t="s">
        <v>1771</v>
      </c>
      <c r="I85" s="1662" t="s">
        <v>885</v>
      </c>
      <c r="J85" s="1829" t="s">
        <v>411</v>
      </c>
      <c r="K85" s="220" t="s">
        <v>777</v>
      </c>
      <c r="T85" s="1874" t="s">
        <v>885</v>
      </c>
      <c r="V85" s="114"/>
      <c r="W85" s="1825" t="s">
        <v>1649</v>
      </c>
      <c r="X85" s="2646" t="s">
        <v>1650</v>
      </c>
      <c r="Y85" s="2647"/>
      <c r="Z85" s="227" t="s">
        <v>411</v>
      </c>
      <c r="AA85" s="1662" t="s">
        <v>257</v>
      </c>
      <c r="AB85" s="1826"/>
      <c r="AC85" s="162" t="s">
        <v>327</v>
      </c>
      <c r="AE85" s="1840" t="s">
        <v>411</v>
      </c>
      <c r="AF85" s="1841" t="s">
        <v>777</v>
      </c>
      <c r="AG85" s="1841" t="s">
        <v>411</v>
      </c>
      <c r="AH85" s="1841" t="s">
        <v>777</v>
      </c>
      <c r="AI85" s="1841" t="s">
        <v>411</v>
      </c>
      <c r="AJ85" s="1841" t="s">
        <v>777</v>
      </c>
      <c r="AK85" s="1841" t="s">
        <v>411</v>
      </c>
      <c r="AL85" s="1841" t="s">
        <v>777</v>
      </c>
      <c r="AM85" s="581" t="s">
        <v>411</v>
      </c>
      <c r="AN85" s="582" t="s">
        <v>777</v>
      </c>
      <c r="AO85" s="1840" t="s">
        <v>411</v>
      </c>
      <c r="AP85" s="1842" t="s">
        <v>777</v>
      </c>
      <c r="AR85" s="1837" t="s">
        <v>1643</v>
      </c>
      <c r="AS85" s="1839" t="s">
        <v>1640</v>
      </c>
      <c r="AT85" s="1839" t="s">
        <v>1641</v>
      </c>
      <c r="AU85" s="1838" t="s">
        <v>1642</v>
      </c>
      <c r="AV85" s="1839" t="s">
        <v>1643</v>
      </c>
      <c r="AW85" s="1839" t="s">
        <v>1640</v>
      </c>
      <c r="AX85" s="1839" t="s">
        <v>1641</v>
      </c>
      <c r="AY85" s="1838" t="s">
        <v>1642</v>
      </c>
      <c r="AZ85" s="1837" t="s">
        <v>1643</v>
      </c>
      <c r="BA85" s="1839" t="s">
        <v>1640</v>
      </c>
      <c r="BB85" s="1839" t="s">
        <v>1641</v>
      </c>
      <c r="BC85" s="1838" t="s">
        <v>1642</v>
      </c>
    </row>
    <row r="86" spans="1:58" s="116" customFormat="1" ht="12.75" customHeight="1" outlineLevel="1">
      <c r="A86" s="114"/>
      <c r="B86" s="143" t="s">
        <v>1769</v>
      </c>
      <c r="C86" s="2393"/>
      <c r="D86" s="315">
        <f>J86+K86</f>
        <v>0</v>
      </c>
      <c r="E86" s="117"/>
      <c r="F86" s="117"/>
      <c r="G86" s="223">
        <f>VLOOKUP($B86&amp;"; "&amp;$G$84&amp;", "&amp;G$85,'FE Energie'!$G:$U,9,FALSE)</f>
        <v>1.01E-2</v>
      </c>
      <c r="H86" s="223">
        <f>VLOOKUP($B86&amp;"; "&amp;$G$84&amp;", "&amp;H$85,'FE Energie'!$G:$U,9,FALSE)</f>
        <v>3.3300000000000003E-2</v>
      </c>
      <c r="I86" s="223">
        <f>VLOOKUP($B86&amp;"; "&amp;$G$84&amp;", "&amp;I$85,'FE Energie'!$G:$U,9,FALSE)</f>
        <v>6.0000000000000001E-3</v>
      </c>
      <c r="J86" s="566">
        <f>IF(ISNA(G86),0,F86*G86)</f>
        <v>0</v>
      </c>
      <c r="K86" s="567">
        <f>IF(ISNA(H86),0,F86*H86)</f>
        <v>0</v>
      </c>
      <c r="T86" s="587">
        <f>IF(ISNA(I86),(100+'FE Energie'!$L$2231)*D86,F86*I86)</f>
        <v>0</v>
      </c>
      <c r="V86" s="114"/>
      <c r="W86" s="226">
        <f>IF(AC86=0,AC86,AC86/(J86+K86))</f>
        <v>0</v>
      </c>
      <c r="X86" s="343"/>
      <c r="Y86" s="820"/>
      <c r="Z86" s="2393">
        <f>SQRT(SUMSQ(IF(ISNA($F86*G86*AW86),0,$F86*G86*AW86)))</f>
        <v>0</v>
      </c>
      <c r="AA86" s="2393">
        <f>SQRT(SUMSQ(IF(ISNA($F86*H86*BA86),0,$F86*H86*BA86)))</f>
        <v>0</v>
      </c>
      <c r="AB86" s="342"/>
      <c r="AC86" s="152">
        <f>SQRT(Z86^2+AA86^2)</f>
        <v>0</v>
      </c>
      <c r="AE86" s="564">
        <f t="shared" ref="AE86:AE88" si="4">J86</f>
        <v>0</v>
      </c>
      <c r="AF86" s="565">
        <f t="shared" ref="AF86:AF88" si="5">K86</f>
        <v>0</v>
      </c>
      <c r="AG86" s="565"/>
      <c r="AH86" s="565"/>
      <c r="AI86" s="565"/>
      <c r="AJ86" s="565"/>
      <c r="AK86" s="565"/>
      <c r="AL86" s="565"/>
      <c r="AM86" s="566">
        <f>J86</f>
        <v>0</v>
      </c>
      <c r="AN86" s="566">
        <f>K86</f>
        <v>0</v>
      </c>
      <c r="AO86" s="564"/>
      <c r="AP86" s="568"/>
      <c r="AR86" s="2394"/>
      <c r="AS86" s="1066">
        <f>IF($X86&lt;&gt;"votre valeur :",IF(ISNA(VLOOKUP($X86,Utilitaires!$N$566:$O$571,2,FALSE)),,VLOOKUP($X86,Utilitaires!$N$566:$O$571,2,FALSE)),$Y86)</f>
        <v>0</v>
      </c>
      <c r="AT86" s="1066"/>
      <c r="AU86" s="2395"/>
      <c r="AV86" s="1068"/>
      <c r="AW86" s="1068">
        <f>IF(ISNA(SQRT(SUMSQ(VLOOKUP($B86&amp;"; "&amp;$G$84&amp;", "&amp;$G$85,'FE Energie'!$G:$U,7,FALSE),$AS86))),0,SQRT(SUMSQ(VLOOKUP($B86&amp;"; "&amp;$G$84&amp;", "&amp;$G$85,'FE Energie'!$G:$U,7,FALSE),$AS86)))</f>
        <v>0.3</v>
      </c>
      <c r="AX86" s="1068"/>
      <c r="AY86" s="1068"/>
      <c r="AZ86" s="1069"/>
      <c r="BA86" s="1070">
        <f>IF(ISNA(SQRT(SUMSQ(VLOOKUP($B86&amp;"; "&amp;$G$84&amp;", "&amp;$H$85,'FE Energie'!$G:$U,7,FALSE),$AS86))),0,SQRT(SUMSQ(VLOOKUP($B86&amp;"; "&amp;$G$84&amp;", "&amp;$H$85,'FE Energie'!$G:$U,7,FALSE),$AS86)))</f>
        <v>0.3</v>
      </c>
      <c r="BB86" s="1070"/>
      <c r="BC86" s="1071"/>
    </row>
    <row r="87" spans="1:58" s="116" customFormat="1" ht="12.75" customHeight="1" outlineLevel="1">
      <c r="A87" s="114"/>
      <c r="B87" s="143" t="s">
        <v>1770</v>
      </c>
      <c r="C87" s="2393"/>
      <c r="D87" s="315">
        <f>J87+K87</f>
        <v>0</v>
      </c>
      <c r="E87" s="120"/>
      <c r="F87" s="120"/>
      <c r="G87" s="223">
        <f>VLOOKUP($B87&amp;"; "&amp;$G$84&amp;", "&amp;G$85,'FE Energie'!$G:$U,9,FALSE)</f>
        <v>0.01</v>
      </c>
      <c r="H87" s="223">
        <f>VLOOKUP($B87&amp;"; "&amp;$G$84&amp;", "&amp;H$85,'FE Energie'!$G:$U,9,FALSE)</f>
        <v>3.2199999999999999E-2</v>
      </c>
      <c r="I87" s="223">
        <f>VLOOKUP($B87&amp;"; "&amp;$G$84&amp;", "&amp;I$85,'FE Energie'!$G:$U,9,FALSE)</f>
        <v>6.0000000000000001E-3</v>
      </c>
      <c r="J87" s="566">
        <f t="shared" ref="J87:J88" si="6">IF(ISNA(G87),0,F87*G87)</f>
        <v>0</v>
      </c>
      <c r="K87" s="567">
        <f t="shared" ref="K87:K88" si="7">IF(ISNA(H87),0,F87*H87)</f>
        <v>0</v>
      </c>
      <c r="T87" s="587">
        <f>IF(ISNA(I87),(100+'FE Energie'!$L$2231)*D87,F87*I87)</f>
        <v>0</v>
      </c>
      <c r="V87" s="114"/>
      <c r="W87" s="226">
        <f>IF(AC87=0,AC87,AC87/(J87+K87))</f>
        <v>0</v>
      </c>
      <c r="X87" s="344"/>
      <c r="Y87" s="820"/>
      <c r="Z87" s="2393">
        <f>SQRT(SUMSQ(IF(ISNA($F87*G87*AW87),0,$F87*G87*AW87)))</f>
        <v>0</v>
      </c>
      <c r="AA87" s="2393">
        <f>SQRT(SUMSQ(IF(ISNA($F87*H87*BA87),0,$F87*H87*BA87)))</f>
        <v>0</v>
      </c>
      <c r="AB87" s="342"/>
      <c r="AC87" s="152">
        <f>SQRT(Z87^2+AA87^2)</f>
        <v>0</v>
      </c>
      <c r="AE87" s="564">
        <f t="shared" si="4"/>
        <v>0</v>
      </c>
      <c r="AF87" s="565">
        <f t="shared" si="5"/>
        <v>0</v>
      </c>
      <c r="AG87" s="565"/>
      <c r="AH87" s="565"/>
      <c r="AI87" s="565"/>
      <c r="AJ87" s="565"/>
      <c r="AK87" s="565"/>
      <c r="AL87" s="565"/>
      <c r="AM87" s="566">
        <f t="shared" ref="AM87:AM88" si="8">J87</f>
        <v>0</v>
      </c>
      <c r="AN87" s="566">
        <f t="shared" ref="AN87:AN88" si="9">K87</f>
        <v>0</v>
      </c>
      <c r="AO87" s="564"/>
      <c r="AP87" s="568"/>
      <c r="AR87" s="2394"/>
      <c r="AS87" s="1066">
        <f>IF($X87&lt;&gt;"votre valeur :",IF(ISNA(VLOOKUP($X87,Utilitaires!$N$566:$O$571,2,FALSE)),,VLOOKUP($X87,Utilitaires!$N$566:$O$571,2,FALSE)),$Y87)</f>
        <v>0</v>
      </c>
      <c r="AT87" s="1066"/>
      <c r="AU87" s="2395"/>
      <c r="AV87" s="1068"/>
      <c r="AW87" s="1068">
        <f>IF(ISNA(SQRT(SUMSQ(VLOOKUP($B87&amp;"; "&amp;$G$84&amp;", "&amp;$G$85,'FE Energie'!$G:$U,7,FALSE),$AS87))),0,SQRT(SUMSQ(VLOOKUP($B87&amp;"; "&amp;$G$84&amp;", "&amp;$G$85,'FE Energie'!$G:$U,7,FALSE),$AS87)))</f>
        <v>0.3</v>
      </c>
      <c r="AX87" s="1068"/>
      <c r="AY87" s="1068"/>
      <c r="AZ87" s="1069"/>
      <c r="BA87" s="1070">
        <f>IF(ISNA(SQRT(SUMSQ(VLOOKUP($B87&amp;"; "&amp;$G$84&amp;", "&amp;$H$85,'FE Energie'!$G:$U,7,FALSE),$AS87))),0,SQRT(SUMSQ(VLOOKUP($B87&amp;"; "&amp;$G$84&amp;", "&amp;$H$85,'FE Energie'!$G:$U,7,FALSE),$AS87)))</f>
        <v>0.3</v>
      </c>
      <c r="BB87" s="1070"/>
      <c r="BC87" s="1071"/>
    </row>
    <row r="88" spans="1:58" s="116" customFormat="1" ht="12.75" customHeight="1" outlineLevel="1">
      <c r="A88" s="114"/>
      <c r="B88" s="143" t="s">
        <v>5038</v>
      </c>
      <c r="C88" s="2393"/>
      <c r="D88" s="315">
        <f>J88+K88</f>
        <v>0</v>
      </c>
      <c r="E88" s="123"/>
      <c r="F88" s="123"/>
      <c r="G88" s="223">
        <f>VLOOKUP($B88&amp;"; "&amp;$G$84&amp;", "&amp;G$85,'FE Energie'!$G:$U,9,FALSE)</f>
        <v>1.3899999999999999E-2</v>
      </c>
      <c r="H88" s="223">
        <f>VLOOKUP($B88&amp;"; "&amp;$G$84&amp;", "&amp;H$85,'FE Energie'!$G:$U,9,FALSE)</f>
        <v>4.0099999999999997E-2</v>
      </c>
      <c r="I88" s="223">
        <f>VLOOKUP($B88&amp;"; "&amp;$G$84&amp;", "&amp;I$85,'FE Energie'!$G:$U,9,FALSE)</f>
        <v>4.4799999999999996E-3</v>
      </c>
      <c r="J88" s="566">
        <f t="shared" si="6"/>
        <v>0</v>
      </c>
      <c r="K88" s="567">
        <f t="shared" si="7"/>
        <v>0</v>
      </c>
      <c r="T88" s="587">
        <f>IF(ISNA(I88),(100+'FE Energie'!$L$2231)*D88,F88*I88)</f>
        <v>0</v>
      </c>
      <c r="V88" s="114"/>
      <c r="W88" s="226">
        <f>IF(AC88=0,AC88,AC88/(J88+K88))</f>
        <v>0</v>
      </c>
      <c r="X88" s="345"/>
      <c r="Y88" s="820"/>
      <c r="Z88" s="2393">
        <f>SQRT(SUMSQ(IF(ISNA($F88*G88*AW88),0,$F88*G88*AW88)))</f>
        <v>0</v>
      </c>
      <c r="AA88" s="2393">
        <f>SQRT(SUMSQ(IF(ISNA($F88*H88*BA88),0,$F88*H88*BA88)))</f>
        <v>0</v>
      </c>
      <c r="AB88" s="342"/>
      <c r="AC88" s="152">
        <f>SQRT(Z88^2+AA88^2)</f>
        <v>0</v>
      </c>
      <c r="AE88" s="564">
        <f t="shared" si="4"/>
        <v>0</v>
      </c>
      <c r="AF88" s="565">
        <f t="shared" si="5"/>
        <v>0</v>
      </c>
      <c r="AG88" s="565"/>
      <c r="AH88" s="565"/>
      <c r="AI88" s="565"/>
      <c r="AJ88" s="565"/>
      <c r="AK88" s="565"/>
      <c r="AL88" s="565"/>
      <c r="AM88" s="566">
        <f t="shared" si="8"/>
        <v>0</v>
      </c>
      <c r="AN88" s="566">
        <f t="shared" si="9"/>
        <v>0</v>
      </c>
      <c r="AO88" s="564"/>
      <c r="AP88" s="568"/>
      <c r="AR88" s="2394"/>
      <c r="AS88" s="1066">
        <f>IF($X88&lt;&gt;"votre valeur :",IF(ISNA(VLOOKUP($X88,Utilitaires!$N$566:$O$571,2,FALSE)),,VLOOKUP($X88,Utilitaires!$N$566:$O$571,2,FALSE)),$Y88)</f>
        <v>0</v>
      </c>
      <c r="AT88" s="1066"/>
      <c r="AU88" s="2395"/>
      <c r="AV88" s="1068"/>
      <c r="AW88" s="1068">
        <f>IF(ISNA(SQRT(SUMSQ(VLOOKUP($B88&amp;"; "&amp;$G$84&amp;", "&amp;$G$85,'FE Energie'!$G:$U,7,FALSE),$AS88))),0,SQRT(SUMSQ(VLOOKUP($B88&amp;"; "&amp;$G$84&amp;", "&amp;$G$85,'FE Energie'!$G:$U,7,FALSE),$AS88)))</f>
        <v>0.3</v>
      </c>
      <c r="AX88" s="1068"/>
      <c r="AY88" s="1068"/>
      <c r="AZ88" s="1069"/>
      <c r="BA88" s="1070">
        <f>IF(ISNA(SQRT(SUMSQ(VLOOKUP($B88&amp;"; "&amp;$G$84&amp;", "&amp;$H$85,'FE Energie'!$G:$U,7,FALSE),$AS88))),0,SQRT(SUMSQ(VLOOKUP($B88&amp;"; "&amp;$G$84&amp;", "&amp;$H$85,'FE Energie'!$G:$U,7,FALSE),$AS88)))</f>
        <v>0.3</v>
      </c>
      <c r="BB88" s="1070"/>
      <c r="BC88" s="1071"/>
    </row>
    <row r="89" spans="1:58" s="116" customFormat="1" ht="12.75" customHeight="1" outlineLevel="1">
      <c r="A89" s="114"/>
      <c r="B89" s="143"/>
      <c r="C89" s="144"/>
      <c r="D89" s="315"/>
      <c r="E89" s="820"/>
      <c r="F89" s="144"/>
      <c r="G89" s="144"/>
      <c r="H89" s="144"/>
      <c r="I89" s="144"/>
      <c r="J89" s="144"/>
      <c r="K89" s="152"/>
      <c r="T89" s="1776"/>
      <c r="V89" s="114"/>
      <c r="W89" s="143"/>
      <c r="X89" s="820"/>
      <c r="Y89" s="820"/>
      <c r="Z89" s="2393"/>
      <c r="AA89" s="2393"/>
      <c r="AB89" s="144"/>
      <c r="AC89" s="165"/>
      <c r="AE89" s="564"/>
      <c r="AF89" s="565"/>
      <c r="AG89" s="565"/>
      <c r="AH89" s="565"/>
      <c r="AI89" s="565"/>
      <c r="AJ89" s="565"/>
      <c r="AK89" s="565"/>
      <c r="AL89" s="565"/>
      <c r="AM89" s="566"/>
      <c r="AN89" s="566"/>
      <c r="AO89" s="564"/>
      <c r="AP89" s="568"/>
      <c r="AR89" s="2399"/>
      <c r="AS89" s="1066"/>
      <c r="AT89" s="1066"/>
      <c r="AU89" s="1066"/>
      <c r="AV89" s="2401"/>
      <c r="AW89" s="1068"/>
      <c r="AX89" s="1068"/>
      <c r="AY89" s="2402"/>
      <c r="AZ89" s="1070"/>
      <c r="BA89" s="1070"/>
      <c r="BB89" s="1070"/>
      <c r="BC89" s="1071"/>
    </row>
    <row r="90" spans="1:58" s="116" customFormat="1" ht="12.75" customHeight="1" outlineLevel="1">
      <c r="A90" s="114"/>
      <c r="B90" s="1002" t="s">
        <v>5039</v>
      </c>
      <c r="C90" s="144"/>
      <c r="D90" s="315"/>
      <c r="E90" s="820"/>
      <c r="F90" s="144"/>
      <c r="G90" s="144"/>
      <c r="H90" s="144"/>
      <c r="I90" s="144"/>
      <c r="J90" s="144"/>
      <c r="K90" s="152"/>
      <c r="T90" s="1287"/>
      <c r="V90" s="114"/>
      <c r="W90" s="143"/>
      <c r="X90" s="820"/>
      <c r="Y90" s="820"/>
      <c r="Z90" s="2393"/>
      <c r="AA90" s="2393"/>
      <c r="AB90" s="144"/>
      <c r="AC90" s="165"/>
      <c r="AE90" s="564"/>
      <c r="AF90" s="565"/>
      <c r="AG90" s="565"/>
      <c r="AH90" s="565"/>
      <c r="AI90" s="565"/>
      <c r="AJ90" s="565"/>
      <c r="AK90" s="565"/>
      <c r="AL90" s="565"/>
      <c r="AM90" s="566"/>
      <c r="AN90" s="566"/>
      <c r="AO90" s="564"/>
      <c r="AP90" s="568"/>
      <c r="AR90" s="2399"/>
      <c r="AS90" s="1066"/>
      <c r="AT90" s="1066"/>
      <c r="AU90" s="1066"/>
      <c r="AV90" s="2401"/>
      <c r="AW90" s="1068"/>
      <c r="AX90" s="1068"/>
      <c r="AY90" s="2402"/>
      <c r="AZ90" s="1070"/>
      <c r="BA90" s="1070"/>
      <c r="BB90" s="1070"/>
      <c r="BC90" s="1071"/>
    </row>
    <row r="91" spans="1:58" s="116" customFormat="1" ht="12.75" customHeight="1" outlineLevel="1">
      <c r="A91" s="114"/>
      <c r="B91" s="143" t="s">
        <v>5047</v>
      </c>
      <c r="C91" s="1826"/>
      <c r="D91" s="315">
        <f>J91+K91</f>
        <v>0</v>
      </c>
      <c r="E91" s="117"/>
      <c r="F91" s="117"/>
      <c r="G91" s="223">
        <f>VLOOKUP($B91&amp;"; "&amp;$G$84&amp;", "&amp;G$85,'FE Energie'!$G:$U,9,FALSE)</f>
        <v>9.7000000000000003E-3</v>
      </c>
      <c r="H91" s="223">
        <f>VLOOKUP($B91&amp;"; "&amp;$G$84&amp;", "&amp;H$85,'FE Energie'!$G:$U,9,FALSE)</f>
        <v>2.5899999999999999E-2</v>
      </c>
      <c r="I91" s="223">
        <f>VLOOKUP($B91&amp;"; "&amp;$G$84&amp;", "&amp;I$85,'FE Energie'!$G:$U,9,FALSE)</f>
        <v>4.8999999999999998E-3</v>
      </c>
      <c r="J91" s="566">
        <f>IF(ISNA(G91),0,F91*G91)</f>
        <v>0</v>
      </c>
      <c r="K91" s="567">
        <f>IF(ISNA(H91),0,F91*H91)</f>
        <v>0</v>
      </c>
      <c r="T91" s="587">
        <f>IF(ISNA(I91),(100+'FE Energie'!$L$2231)*D91,F91*I91)</f>
        <v>0</v>
      </c>
      <c r="V91" s="114"/>
      <c r="W91" s="226">
        <f>IF(AC91=0,AC91,AC91/(J91+K91))</f>
        <v>0</v>
      </c>
      <c r="X91" s="343"/>
      <c r="Y91" s="820"/>
      <c r="Z91" s="1826">
        <f>SQRT(SUMSQ(IF(ISNA($F91*G91*AW91),0,$F91*G91*AW91)))</f>
        <v>0</v>
      </c>
      <c r="AA91" s="1826">
        <f>SQRT(SUMSQ(IF(ISNA($F91*H91*BA91),0,$F91*H91*BA91)))</f>
        <v>0</v>
      </c>
      <c r="AB91" s="342"/>
      <c r="AC91" s="152">
        <f>SQRT(Z91^2+AA91^2)</f>
        <v>0</v>
      </c>
      <c r="AE91" s="564">
        <f t="shared" ref="AE91:AF93" si="10">J91</f>
        <v>0</v>
      </c>
      <c r="AF91" s="565">
        <f t="shared" si="10"/>
        <v>0</v>
      </c>
      <c r="AG91" s="565"/>
      <c r="AH91" s="565"/>
      <c r="AI91" s="565"/>
      <c r="AJ91" s="565"/>
      <c r="AK91" s="565"/>
      <c r="AL91" s="565"/>
      <c r="AM91" s="566">
        <f>J91</f>
        <v>0</v>
      </c>
      <c r="AN91" s="566">
        <f>K91</f>
        <v>0</v>
      </c>
      <c r="AO91" s="564"/>
      <c r="AP91" s="568"/>
      <c r="AR91" s="1065"/>
      <c r="AS91" s="1066">
        <f>IF($X91&lt;&gt;"votre valeur :",IF(ISNA(VLOOKUP($X91,Utilitaires!$N$566:$O$571,2,FALSE)),,VLOOKUP($X91,Utilitaires!$N$566:$O$571,2,FALSE)),$Y91)</f>
        <v>0</v>
      </c>
      <c r="AT91" s="1066"/>
      <c r="AU91" s="1067"/>
      <c r="AV91" s="1068"/>
      <c r="AW91" s="1068">
        <f>IF(ISNA(SQRT(SUMSQ(VLOOKUP($B91&amp;"; "&amp;$G$84&amp;", "&amp;$G$85,'FE Energie'!$G:$U,7,FALSE),$AS91))),0,SQRT(SUMSQ(VLOOKUP($B91&amp;"; "&amp;$G$84&amp;", "&amp;$G$85,'FE Energie'!$G:$U,7,FALSE),$AS91)))</f>
        <v>0.3</v>
      </c>
      <c r="AX91" s="1068"/>
      <c r="AY91" s="1068"/>
      <c r="AZ91" s="1069"/>
      <c r="BA91" s="1070">
        <f>IF(ISNA(SQRT(SUMSQ(VLOOKUP($B91&amp;"; "&amp;$G$84&amp;", "&amp;$H$85,'FE Energie'!$G:$U,7,FALSE),$AS91))),0,SQRT(SUMSQ(VLOOKUP($B91&amp;"; "&amp;$G$84&amp;", "&amp;$H$85,'FE Energie'!$G:$U,7,FALSE),$AS91)))</f>
        <v>0.3</v>
      </c>
      <c r="BB91" s="1070"/>
      <c r="BC91" s="1071"/>
    </row>
    <row r="92" spans="1:58" s="116" customFormat="1" ht="12.75" customHeight="1" outlineLevel="1">
      <c r="A92" s="114"/>
      <c r="B92" s="143" t="s">
        <v>5048</v>
      </c>
      <c r="C92" s="1826"/>
      <c r="D92" s="315">
        <f>J92+K92</f>
        <v>0</v>
      </c>
      <c r="E92" s="120"/>
      <c r="F92" s="120"/>
      <c r="G92" s="223">
        <f>VLOOKUP($B92&amp;"; "&amp;$G$84&amp;", "&amp;G$85,'FE Energie'!$G:$U,9,FALSE)</f>
        <v>1.4800000000000001E-2</v>
      </c>
      <c r="H92" s="223">
        <f>VLOOKUP($B92&amp;"; "&amp;$G$84&amp;", "&amp;H$85,'FE Energie'!$G:$U,9,FALSE)</f>
        <v>5.2400000000000002E-2</v>
      </c>
      <c r="I92" s="223">
        <f>VLOOKUP($B92&amp;"; "&amp;$G$84&amp;", "&amp;I$85,'FE Energie'!$G:$U,9,FALSE)</f>
        <v>4.5199999999999997E-3</v>
      </c>
      <c r="J92" s="566">
        <f t="shared" ref="J92:J93" si="11">IF(ISNA(G92),0,F92*G92)</f>
        <v>0</v>
      </c>
      <c r="K92" s="567">
        <f t="shared" ref="K92:K93" si="12">IF(ISNA(H92),0,F92*H92)</f>
        <v>0</v>
      </c>
      <c r="T92" s="587">
        <f>IF(ISNA(I92),(100+'FE Energie'!$L$2231)*D92,F92*I92)</f>
        <v>0</v>
      </c>
      <c r="V92" s="114"/>
      <c r="W92" s="226">
        <f>IF(AC92=0,AC92,AC92/(J92+K92))</f>
        <v>0</v>
      </c>
      <c r="X92" s="344"/>
      <c r="Y92" s="820"/>
      <c r="Z92" s="1826">
        <f>SQRT(SUMSQ(IF(ISNA($F92*G92*AW92),0,$F92*G92*AW92)))</f>
        <v>0</v>
      </c>
      <c r="AA92" s="1826">
        <f>SQRT(SUMSQ(IF(ISNA($F92*H92*BA92),0,$F92*H92*BA92)))</f>
        <v>0</v>
      </c>
      <c r="AB92" s="342"/>
      <c r="AC92" s="152">
        <f>SQRT(Z92^2+AA92^2)</f>
        <v>0</v>
      </c>
      <c r="AE92" s="564">
        <f t="shared" si="10"/>
        <v>0</v>
      </c>
      <c r="AF92" s="565">
        <f t="shared" si="10"/>
        <v>0</v>
      </c>
      <c r="AG92" s="565"/>
      <c r="AH92" s="565"/>
      <c r="AI92" s="565"/>
      <c r="AJ92" s="565"/>
      <c r="AK92" s="565"/>
      <c r="AL92" s="565"/>
      <c r="AM92" s="566">
        <f t="shared" ref="AM92:AM93" si="13">J92</f>
        <v>0</v>
      </c>
      <c r="AN92" s="566">
        <f t="shared" ref="AN92:AN93" si="14">K92</f>
        <v>0</v>
      </c>
      <c r="AO92" s="564"/>
      <c r="AP92" s="568"/>
      <c r="AR92" s="1065"/>
      <c r="AS92" s="1066">
        <f>IF($X92&lt;&gt;"votre valeur :",IF(ISNA(VLOOKUP($X92,Utilitaires!$N$566:$O$571,2,FALSE)),,VLOOKUP($X92,Utilitaires!$N$566:$O$571,2,FALSE)),$Y92)</f>
        <v>0</v>
      </c>
      <c r="AT92" s="1066"/>
      <c r="AU92" s="1067"/>
      <c r="AV92" s="1068"/>
      <c r="AW92" s="1068">
        <f>IF(ISNA(SQRT(SUMSQ(VLOOKUP($B92&amp;"; "&amp;$G$84&amp;", "&amp;$G$85,'FE Energie'!$G:$U,7,FALSE),$AS92))),0,SQRT(SUMSQ(VLOOKUP($B92&amp;"; "&amp;$G$84&amp;", "&amp;$G$85,'FE Energie'!$G:$U,7,FALSE),$AS92)))</f>
        <v>0.3</v>
      </c>
      <c r="AX92" s="1068"/>
      <c r="AY92" s="1068"/>
      <c r="AZ92" s="1069"/>
      <c r="BA92" s="1070">
        <f>IF(ISNA(SQRT(SUMSQ(VLOOKUP($B92&amp;"; "&amp;$G$84&amp;", "&amp;$H$85,'FE Energie'!$G:$U,7,FALSE),$AS92))),0,SQRT(SUMSQ(VLOOKUP($B92&amp;"; "&amp;$G$84&amp;", "&amp;$H$85,'FE Energie'!$G:$U,7,FALSE),$AS92)))</f>
        <v>0.3</v>
      </c>
      <c r="BB92" s="1070"/>
      <c r="BC92" s="1071"/>
    </row>
    <row r="93" spans="1:58" s="116" customFormat="1" ht="12.75" customHeight="1" outlineLevel="1">
      <c r="A93" s="114"/>
      <c r="B93" s="143" t="s">
        <v>5049</v>
      </c>
      <c r="C93" s="1826"/>
      <c r="D93" s="315">
        <f>J93+K93</f>
        <v>0</v>
      </c>
      <c r="E93" s="123"/>
      <c r="F93" s="123"/>
      <c r="G93" s="223">
        <f>VLOOKUP($B93&amp;"; "&amp;$G$84&amp;", "&amp;G$85,'FE Energie'!$G:$U,9,FALSE)</f>
        <v>1.4E-2</v>
      </c>
      <c r="H93" s="223">
        <f>VLOOKUP($B93&amp;"; "&amp;$G$84&amp;", "&amp;H$85,'FE Energie'!$G:$U,9,FALSE)</f>
        <v>4.1500000000000002E-2</v>
      </c>
      <c r="I93" s="223">
        <f>VLOOKUP($B93&amp;"; "&amp;$G$84&amp;", "&amp;I$85,'FE Energie'!$G:$U,9,FALSE)</f>
        <v>4.4799999999999996E-3</v>
      </c>
      <c r="J93" s="566">
        <f t="shared" si="11"/>
        <v>0</v>
      </c>
      <c r="K93" s="567">
        <f t="shared" si="12"/>
        <v>0</v>
      </c>
      <c r="T93" s="587">
        <f>IF(ISNA(I93),(100+'FE Energie'!$L$2231)*D93,F93*I93)</f>
        <v>0</v>
      </c>
      <c r="V93" s="114"/>
      <c r="W93" s="226">
        <f>IF(AC93=0,AC93,AC93/(J93+K93))</f>
        <v>0</v>
      </c>
      <c r="X93" s="345"/>
      <c r="Y93" s="820"/>
      <c r="Z93" s="1826">
        <f>SQRT(SUMSQ(IF(ISNA($F93*G93*AW93),0,$F93*G93*AW93)))</f>
        <v>0</v>
      </c>
      <c r="AA93" s="1826">
        <f>SQRT(SUMSQ(IF(ISNA($F93*H93*BA93),0,$F93*H93*BA93)))</f>
        <v>0</v>
      </c>
      <c r="AB93" s="342"/>
      <c r="AC93" s="152">
        <f>SQRT(Z93^2+AA93^2)</f>
        <v>0</v>
      </c>
      <c r="AE93" s="564">
        <f t="shared" si="10"/>
        <v>0</v>
      </c>
      <c r="AF93" s="565">
        <f t="shared" si="10"/>
        <v>0</v>
      </c>
      <c r="AG93" s="565"/>
      <c r="AH93" s="565"/>
      <c r="AI93" s="565"/>
      <c r="AJ93" s="565"/>
      <c r="AK93" s="565"/>
      <c r="AL93" s="565"/>
      <c r="AM93" s="566">
        <f t="shared" si="13"/>
        <v>0</v>
      </c>
      <c r="AN93" s="566">
        <f t="shared" si="14"/>
        <v>0</v>
      </c>
      <c r="AO93" s="564"/>
      <c r="AP93" s="568"/>
      <c r="AR93" s="1065"/>
      <c r="AS93" s="1066">
        <f>IF($X93&lt;&gt;"votre valeur :",IF(ISNA(VLOOKUP($X93,Utilitaires!$N$566:$O$571,2,FALSE)),,VLOOKUP($X93,Utilitaires!$N$566:$O$571,2,FALSE)),$Y93)</f>
        <v>0</v>
      </c>
      <c r="AT93" s="1066"/>
      <c r="AU93" s="1067"/>
      <c r="AV93" s="1068"/>
      <c r="AW93" s="1068">
        <f>IF(ISNA(SQRT(SUMSQ(VLOOKUP($B93&amp;"; "&amp;$G$84&amp;", "&amp;$G$85,'FE Energie'!$G:$U,7,FALSE),$AS93))),0,SQRT(SUMSQ(VLOOKUP($B93&amp;"; "&amp;$G$84&amp;", "&amp;$G$85,'FE Energie'!$G:$U,7,FALSE),$AS93)))</f>
        <v>0.3</v>
      </c>
      <c r="AX93" s="1068"/>
      <c r="AY93" s="1068"/>
      <c r="AZ93" s="1069"/>
      <c r="BA93" s="1070">
        <f>IF(ISNA(SQRT(SUMSQ(VLOOKUP($B93&amp;"; "&amp;$G$84&amp;", "&amp;$H$85,'FE Energie'!$G:$U,7,FALSE),$AS93))),0,SQRT(SUMSQ(VLOOKUP($B93&amp;"; "&amp;$G$84&amp;", "&amp;$H$85,'FE Energie'!$G:$U,7,FALSE),$AS93)))</f>
        <v>0.3</v>
      </c>
      <c r="BB93" s="1070"/>
      <c r="BC93" s="1071"/>
    </row>
    <row r="94" spans="1:58" s="116" customFormat="1" ht="12.75" customHeight="1" outlineLevel="1">
      <c r="A94" s="114"/>
      <c r="B94" s="143"/>
      <c r="C94" s="144"/>
      <c r="D94" s="315"/>
      <c r="E94" s="155"/>
      <c r="F94" s="144"/>
      <c r="G94" s="144"/>
      <c r="H94" s="144"/>
      <c r="I94" s="144"/>
      <c r="J94" s="155"/>
      <c r="K94" s="156"/>
      <c r="T94" s="1776"/>
      <c r="V94" s="114"/>
      <c r="W94" s="143"/>
      <c r="X94" s="820"/>
      <c r="Y94" s="820"/>
      <c r="Z94" s="1826"/>
      <c r="AA94" s="1826"/>
      <c r="AB94" s="144"/>
      <c r="AC94" s="165"/>
      <c r="AE94" s="564"/>
      <c r="AF94" s="565"/>
      <c r="AG94" s="565"/>
      <c r="AH94" s="565"/>
      <c r="AI94" s="565"/>
      <c r="AJ94" s="565"/>
      <c r="AK94" s="565"/>
      <c r="AL94" s="565"/>
      <c r="AM94" s="566"/>
      <c r="AN94" s="566"/>
      <c r="AO94" s="569"/>
      <c r="AP94" s="570"/>
      <c r="AR94" s="1087"/>
      <c r="AS94" s="1088"/>
      <c r="AT94" s="1088"/>
      <c r="AU94" s="1089"/>
      <c r="AV94" s="1073"/>
      <c r="AW94" s="1073"/>
      <c r="AX94" s="1073"/>
      <c r="AY94" s="1073"/>
      <c r="AZ94" s="1075"/>
      <c r="BA94" s="1076"/>
      <c r="BB94" s="1076"/>
      <c r="BC94" s="1077"/>
    </row>
    <row r="95" spans="1:58" s="116" customFormat="1" ht="12.75" customHeight="1" outlineLevel="1">
      <c r="A95" s="114"/>
      <c r="B95" s="196" t="s">
        <v>348</v>
      </c>
      <c r="C95" s="197"/>
      <c r="D95" s="202">
        <f>SUM(D86:D94)</f>
        <v>0</v>
      </c>
      <c r="E95" s="198"/>
      <c r="F95" s="199"/>
      <c r="G95" s="199"/>
      <c r="H95" s="199"/>
      <c r="I95" s="199"/>
      <c r="J95" s="202">
        <f>SUM(J86:J94)</f>
        <v>0</v>
      </c>
      <c r="K95" s="200">
        <f>SUM(K86:K94)</f>
        <v>0</v>
      </c>
      <c r="T95" s="1310">
        <f>SUM(T91:T94)</f>
        <v>0</v>
      </c>
      <c r="V95" s="114"/>
      <c r="W95" s="1203">
        <f>IF(AC95=0,AC95,AC95/(J95+K95))</f>
        <v>0</v>
      </c>
      <c r="X95" s="1637"/>
      <c r="Y95" s="1637"/>
      <c r="Z95" s="1637">
        <f>SQRT(SUMSQ(Z86:Z94))</f>
        <v>0</v>
      </c>
      <c r="AA95" s="1637">
        <f>SQRT(SUMSQ(AA86:AA94))</f>
        <v>0</v>
      </c>
      <c r="AB95" s="199"/>
      <c r="AC95" s="200">
        <f>SQRT(SUMSQ(AC86:AC94))</f>
        <v>0</v>
      </c>
      <c r="AE95" s="571">
        <f t="shared" ref="AE95:AP95" si="15">SUM(AE86:AE94)</f>
        <v>0</v>
      </c>
      <c r="AF95" s="572">
        <f t="shared" si="15"/>
        <v>0</v>
      </c>
      <c r="AG95" s="572">
        <f t="shared" si="15"/>
        <v>0</v>
      </c>
      <c r="AH95" s="572">
        <f t="shared" si="15"/>
        <v>0</v>
      </c>
      <c r="AI95" s="572">
        <f t="shared" si="15"/>
        <v>0</v>
      </c>
      <c r="AJ95" s="572">
        <f t="shared" si="15"/>
        <v>0</v>
      </c>
      <c r="AK95" s="572">
        <f t="shared" si="15"/>
        <v>0</v>
      </c>
      <c r="AL95" s="572">
        <f t="shared" si="15"/>
        <v>0</v>
      </c>
      <c r="AM95" s="573">
        <f t="shared" si="15"/>
        <v>0</v>
      </c>
      <c r="AN95" s="574">
        <f t="shared" si="15"/>
        <v>0</v>
      </c>
      <c r="AO95" s="572">
        <f t="shared" si="15"/>
        <v>0</v>
      </c>
      <c r="AP95" s="575">
        <f t="shared" si="15"/>
        <v>0</v>
      </c>
      <c r="AQ95" s="114"/>
      <c r="AR95" s="114"/>
      <c r="AS95" s="114"/>
      <c r="AT95" s="114"/>
      <c r="AU95" s="114"/>
      <c r="AV95" s="114"/>
      <c r="AW95" s="114"/>
      <c r="AX95" s="114"/>
      <c r="AY95" s="114"/>
      <c r="AZ95" s="114"/>
      <c r="BA95" s="114"/>
      <c r="BB95" s="114"/>
      <c r="BC95" s="114"/>
    </row>
    <row r="96" spans="1:58" s="116" customFormat="1" ht="12.75" customHeight="1" outlineLevel="1">
      <c r="A96" s="114"/>
      <c r="O96" s="114"/>
      <c r="P96" s="114"/>
      <c r="Q96" s="114"/>
      <c r="V96" s="114"/>
      <c r="W96" s="114"/>
      <c r="X96" s="126"/>
      <c r="Y96" s="126"/>
      <c r="Z96" s="114"/>
      <c r="AA96" s="114"/>
      <c r="AB96" s="114"/>
      <c r="AC96" s="114"/>
      <c r="AD96" s="256"/>
      <c r="AE96" s="441"/>
      <c r="AF96" s="441"/>
      <c r="AG96" s="441"/>
      <c r="AH96" s="441"/>
      <c r="AI96" s="441"/>
      <c r="AJ96" s="441"/>
      <c r="AK96" s="441"/>
      <c r="AL96" s="441"/>
      <c r="AM96" s="441"/>
      <c r="AN96" s="444"/>
      <c r="AO96" s="1240"/>
      <c r="AP96" s="576"/>
      <c r="AQ96" s="114"/>
      <c r="AR96" s="114"/>
      <c r="AS96" s="114"/>
      <c r="AT96" s="114"/>
      <c r="AU96" s="114"/>
      <c r="AV96" s="114"/>
      <c r="AW96" s="114"/>
      <c r="AX96" s="114"/>
      <c r="AY96" s="114"/>
      <c r="AZ96" s="114"/>
      <c r="BA96" s="114"/>
      <c r="BB96" s="114"/>
      <c r="BC96" s="114"/>
      <c r="BD96" s="114"/>
      <c r="BE96" s="114"/>
      <c r="BF96" s="114"/>
    </row>
    <row r="97" spans="1:58" s="116" customFormat="1" ht="12.75" customHeight="1" outlineLevel="1">
      <c r="A97" s="114"/>
      <c r="B97" s="139" t="s">
        <v>792</v>
      </c>
      <c r="C97" s="140"/>
      <c r="D97" s="141"/>
      <c r="E97" s="1822"/>
      <c r="F97" s="141"/>
      <c r="G97" s="141"/>
      <c r="H97" s="141"/>
      <c r="I97" s="141"/>
      <c r="J97" s="141"/>
      <c r="K97" s="141"/>
      <c r="L97" s="142"/>
      <c r="T97" s="1871"/>
      <c r="U97" s="142"/>
      <c r="V97" s="114"/>
      <c r="W97" s="2636" t="s">
        <v>366</v>
      </c>
      <c r="X97" s="2637"/>
      <c r="Y97" s="2637"/>
      <c r="Z97" s="2637"/>
      <c r="AA97" s="2637"/>
      <c r="AB97" s="2637"/>
      <c r="AC97" s="2638"/>
      <c r="AD97" s="1643"/>
      <c r="AE97" s="2639" t="s">
        <v>441</v>
      </c>
      <c r="AF97" s="2640"/>
      <c r="AG97" s="2640"/>
      <c r="AH97" s="2640"/>
      <c r="AI97" s="2640"/>
      <c r="AJ97" s="2640"/>
      <c r="AK97" s="2640"/>
      <c r="AL97" s="2640"/>
      <c r="AM97" s="2640"/>
      <c r="AN97" s="2640"/>
      <c r="AO97" s="2640"/>
      <c r="AP97" s="2641"/>
      <c r="AQ97" s="114"/>
      <c r="AR97" s="114"/>
      <c r="AS97" s="114"/>
      <c r="AT97" s="114"/>
      <c r="AU97" s="114"/>
      <c r="AV97" s="113"/>
      <c r="AW97" s="114"/>
      <c r="AX97" s="114"/>
      <c r="AY97" s="114"/>
      <c r="AZ97" s="114"/>
      <c r="BA97" s="114"/>
      <c r="BB97" s="114"/>
      <c r="BC97" s="114"/>
      <c r="BD97" s="114"/>
      <c r="BE97" s="114"/>
      <c r="BF97" s="114"/>
    </row>
    <row r="98" spans="1:58" s="116" customFormat="1" ht="12.75" customHeight="1" outlineLevel="1">
      <c r="A98" s="114"/>
      <c r="B98" s="143"/>
      <c r="C98" s="144"/>
      <c r="D98" s="1834" t="s">
        <v>308</v>
      </c>
      <c r="E98" s="1826"/>
      <c r="F98" s="144"/>
      <c r="G98" s="144"/>
      <c r="H98" s="144"/>
      <c r="I98" s="144"/>
      <c r="J98" s="144"/>
      <c r="K98" s="144"/>
      <c r="L98" s="145"/>
      <c r="T98" s="143"/>
      <c r="U98" s="145"/>
      <c r="V98" s="114"/>
      <c r="W98" s="1170"/>
      <c r="X98" s="1835"/>
      <c r="Y98" s="1835"/>
      <c r="Z98" s="1830"/>
      <c r="AA98" s="1830"/>
      <c r="AB98" s="1830"/>
      <c r="AC98" s="142"/>
      <c r="AD98" s="256"/>
      <c r="AE98" s="2642" t="s">
        <v>444</v>
      </c>
      <c r="AF98" s="2643"/>
      <c r="AG98" s="2643"/>
      <c r="AH98" s="2643"/>
      <c r="AI98" s="2643"/>
      <c r="AJ98" s="2643"/>
      <c r="AK98" s="2643"/>
      <c r="AL98" s="2643"/>
      <c r="AM98" s="2643" t="s">
        <v>444</v>
      </c>
      <c r="AN98" s="2644"/>
      <c r="AO98" s="577"/>
      <c r="AP98" s="578"/>
      <c r="AQ98" s="114"/>
      <c r="AR98" s="2616" t="s">
        <v>1648</v>
      </c>
      <c r="AS98" s="2617"/>
      <c r="AT98" s="2617"/>
      <c r="AU98" s="2617"/>
      <c r="AV98" s="2617"/>
      <c r="AW98" s="2617"/>
      <c r="AX98" s="2617"/>
      <c r="AY98" s="2618"/>
    </row>
    <row r="99" spans="1:58" s="116" customFormat="1" ht="12.75" customHeight="1" outlineLevel="1">
      <c r="A99" s="114"/>
      <c r="B99" s="1825"/>
      <c r="C99" s="1826"/>
      <c r="D99" s="1834" t="s">
        <v>409</v>
      </c>
      <c r="E99" s="147" t="s">
        <v>452</v>
      </c>
      <c r="F99" s="147" t="s">
        <v>343</v>
      </c>
      <c r="G99" s="2626" t="s">
        <v>1681</v>
      </c>
      <c r="H99" s="2628"/>
      <c r="I99" s="2628"/>
      <c r="J99" s="2628"/>
      <c r="K99" s="1834" t="s">
        <v>444</v>
      </c>
      <c r="L99" s="1836" t="s">
        <v>444</v>
      </c>
      <c r="T99" s="536" t="s">
        <v>444</v>
      </c>
      <c r="U99" s="1972" t="s">
        <v>444</v>
      </c>
      <c r="V99" s="114"/>
      <c r="W99" s="1825" t="s">
        <v>316</v>
      </c>
      <c r="X99" s="2629" t="s">
        <v>316</v>
      </c>
      <c r="Y99" s="2630"/>
      <c r="Z99" s="1826" t="s">
        <v>444</v>
      </c>
      <c r="AA99" s="1826" t="s">
        <v>444</v>
      </c>
      <c r="AB99" s="1826"/>
      <c r="AC99" s="1836" t="s">
        <v>444</v>
      </c>
      <c r="AD99" s="256"/>
      <c r="AE99" s="2631" t="s">
        <v>211</v>
      </c>
      <c r="AF99" s="2632"/>
      <c r="AG99" s="2632" t="s">
        <v>442</v>
      </c>
      <c r="AH99" s="2632"/>
      <c r="AI99" s="2632" t="s">
        <v>267</v>
      </c>
      <c r="AJ99" s="2632"/>
      <c r="AK99" s="2632" t="s">
        <v>443</v>
      </c>
      <c r="AL99" s="2632"/>
      <c r="AM99" s="2648" t="s">
        <v>327</v>
      </c>
      <c r="AN99" s="2649"/>
      <c r="AO99" s="2631" t="s">
        <v>636</v>
      </c>
      <c r="AP99" s="2650"/>
      <c r="AQ99" s="114"/>
      <c r="AR99" s="2610" t="s">
        <v>1646</v>
      </c>
      <c r="AS99" s="2611"/>
      <c r="AT99" s="2614" t="s">
        <v>1644</v>
      </c>
      <c r="AU99" s="2615"/>
      <c r="AV99" s="2614" t="s">
        <v>1645</v>
      </c>
      <c r="AW99" s="2615"/>
      <c r="AX99" s="2614" t="s">
        <v>1776</v>
      </c>
      <c r="AY99" s="2615"/>
    </row>
    <row r="100" spans="1:58" s="116" customFormat="1" ht="12.75" customHeight="1" outlineLevel="1">
      <c r="A100" s="114"/>
      <c r="B100" s="536" t="s">
        <v>1773</v>
      </c>
      <c r="C100" s="1826"/>
      <c r="D100" s="1829" t="s">
        <v>444</v>
      </c>
      <c r="E100" s="1833" t="s">
        <v>453</v>
      </c>
      <c r="F100" s="1833" t="s">
        <v>533</v>
      </c>
      <c r="G100" s="1662" t="s">
        <v>1765</v>
      </c>
      <c r="H100" s="1120" t="s">
        <v>1771</v>
      </c>
      <c r="I100" s="1662" t="s">
        <v>885</v>
      </c>
      <c r="J100" s="1662"/>
      <c r="K100" s="1829" t="s">
        <v>411</v>
      </c>
      <c r="L100" s="220" t="s">
        <v>777</v>
      </c>
      <c r="T100" s="1875" t="s">
        <v>885</v>
      </c>
      <c r="U100" s="220" t="s">
        <v>1775</v>
      </c>
      <c r="V100" s="114"/>
      <c r="W100" s="1825" t="s">
        <v>1649</v>
      </c>
      <c r="X100" s="2646" t="s">
        <v>1650</v>
      </c>
      <c r="Y100" s="2647"/>
      <c r="Z100" s="227" t="s">
        <v>411</v>
      </c>
      <c r="AA100" s="1662" t="s">
        <v>777</v>
      </c>
      <c r="AB100" s="1662" t="s">
        <v>1775</v>
      </c>
      <c r="AC100" s="162" t="s">
        <v>327</v>
      </c>
      <c r="AE100" s="1973" t="s">
        <v>411</v>
      </c>
      <c r="AF100" s="1974" t="s">
        <v>777</v>
      </c>
      <c r="AG100" s="1974" t="s">
        <v>411</v>
      </c>
      <c r="AH100" s="1974" t="s">
        <v>777</v>
      </c>
      <c r="AI100" s="1974" t="s">
        <v>411</v>
      </c>
      <c r="AJ100" s="1974" t="s">
        <v>777</v>
      </c>
      <c r="AK100" s="1974" t="s">
        <v>411</v>
      </c>
      <c r="AL100" s="1974" t="s">
        <v>777</v>
      </c>
      <c r="AM100" s="581" t="s">
        <v>411</v>
      </c>
      <c r="AN100" s="582" t="s">
        <v>777</v>
      </c>
      <c r="AO100" s="1973" t="s">
        <v>411</v>
      </c>
      <c r="AP100" s="1975" t="s">
        <v>777</v>
      </c>
      <c r="AQ100" s="114"/>
      <c r="AR100" s="2612" t="s">
        <v>1640</v>
      </c>
      <c r="AS100" s="2613"/>
      <c r="AT100" s="2612" t="s">
        <v>1640</v>
      </c>
      <c r="AU100" s="2613"/>
      <c r="AV100" s="2612" t="s">
        <v>1640</v>
      </c>
      <c r="AW100" s="2613"/>
      <c r="AX100" s="2612" t="s">
        <v>309</v>
      </c>
      <c r="AY100" s="2613"/>
    </row>
    <row r="101" spans="1:58" s="116" customFormat="1" ht="12.75" customHeight="1" outlineLevel="1">
      <c r="A101" s="114"/>
      <c r="B101" s="143" t="s">
        <v>4124</v>
      </c>
      <c r="C101" s="1826"/>
      <c r="D101" s="315">
        <f>K101+L101</f>
        <v>25830.547500000001</v>
      </c>
      <c r="E101" s="117" t="s">
        <v>526</v>
      </c>
      <c r="F101" s="117">
        <v>473955</v>
      </c>
      <c r="G101" s="223">
        <f>VLOOKUP($B101&amp;"; "&amp;$G$99&amp;", "&amp;G$100,'FE Energie'!$G:$U,9,FALSE)</f>
        <v>1.38E-2</v>
      </c>
      <c r="H101" s="223">
        <f>VLOOKUP($B101&amp;"; "&amp;$G$99&amp;", "&amp;H$100,'FE Energie'!$G:$U,9,FALSE)</f>
        <v>4.07E-2</v>
      </c>
      <c r="I101" s="223">
        <f>VLOOKUP($B101&amp;"; "&amp;$G$99&amp;", "&amp;I$100,'FE Energie'!$G:$U,9,FALSE)</f>
        <v>5.4000000000000003E-3</v>
      </c>
      <c r="J101" s="223"/>
      <c r="K101" s="566">
        <f>IF(ISNA(G101),0,F101*G101)</f>
        <v>6540.5789999999997</v>
      </c>
      <c r="L101" s="567">
        <f>F101*H101</f>
        <v>19289.968499999999</v>
      </c>
      <c r="T101" s="1288">
        <f>IF(ISNA(I101),0,F101*I101)</f>
        <v>2559.357</v>
      </c>
      <c r="U101" s="567"/>
      <c r="V101" s="114"/>
      <c r="W101" s="226">
        <f>IF(AC101=0,AC101,AC101/(K101+L101))</f>
        <v>7.8854905490116659E-2</v>
      </c>
      <c r="X101" s="343"/>
      <c r="Y101" s="820"/>
      <c r="Z101" s="1826">
        <f>SQRT(SUMSQ(IF(ISNA($F101*G101*AT101),0,$F101*G101*AT101)))</f>
        <v>654.05790000000002</v>
      </c>
      <c r="AA101" s="1826">
        <f>SQRT(SUMSQ(IF(ISNA($F101*H101*AV101),0,$F101*H101*AV101)))</f>
        <v>1928.99685</v>
      </c>
      <c r="AB101" s="164"/>
      <c r="AC101" s="152">
        <f>SQRT(SUMSQ(Z101,AA101,AB101))</f>
        <v>2036.8653818704693</v>
      </c>
      <c r="AE101" s="564">
        <f>K101</f>
        <v>6540.5789999999997</v>
      </c>
      <c r="AF101" s="565">
        <f>L101</f>
        <v>19289.968499999999</v>
      </c>
      <c r="AG101" s="565"/>
      <c r="AH101" s="565"/>
      <c r="AI101" s="565"/>
      <c r="AJ101" s="565"/>
      <c r="AK101" s="565"/>
      <c r="AL101" s="565"/>
      <c r="AM101" s="566">
        <f t="shared" ref="AM101:AN103" si="16">K101</f>
        <v>6540.5789999999997</v>
      </c>
      <c r="AN101" s="566">
        <f t="shared" si="16"/>
        <v>19289.968499999999</v>
      </c>
      <c r="AO101" s="564"/>
      <c r="AP101" s="568"/>
      <c r="AQ101" s="114"/>
      <c r="AR101" s="2612">
        <f>IF($X101&lt;&gt;"votre valeur :",IF(ISNA(VLOOKUP($X101,Utilitaires!$N$566:$O$571,2,FALSE)),,VLOOKUP($X101,Utilitaires!$N$566:$O$571,2,FALSE)),$Y101)</f>
        <v>0</v>
      </c>
      <c r="AS101" s="2613"/>
      <c r="AT101" s="2612">
        <f>IF(ISNA(SQRT(SUMSQ(VLOOKUP($B101&amp;"; "&amp;$G$99&amp;", "&amp;$G$100,'FE Energie'!$G:$U,7,FALSE),$AR101))),0,SQRT(SUMSQ(VLOOKUP($B101&amp;"; "&amp;$G$99&amp;", "&amp;$G$100,'FE Energie'!$G:$U,7,FALSE),$AR101)))</f>
        <v>0.1</v>
      </c>
      <c r="AU101" s="2613"/>
      <c r="AV101" s="2612">
        <f>IF(ISNA(SQRT(SUMSQ(VLOOKUP($B101&amp;"; "&amp;$G$99&amp;", "&amp;$H$100,'FE Energie'!$G:$U,7,FALSE),$AR101))),0,SQRT(SUMSQ(VLOOKUP($B101&amp;"; "&amp;$G$99&amp;", "&amp;$H$100,'FE Energie'!$G:$U,7,FALSE),$AR101)))</f>
        <v>0.1</v>
      </c>
      <c r="AW101" s="2613"/>
      <c r="AX101" s="2612"/>
      <c r="AY101" s="2613"/>
    </row>
    <row r="102" spans="1:58" s="116" customFormat="1" ht="12.75" customHeight="1" outlineLevel="1">
      <c r="A102" s="114"/>
      <c r="B102" s="143" t="s">
        <v>4125</v>
      </c>
      <c r="C102" s="1826"/>
      <c r="D102" s="315">
        <f>K102+L102</f>
        <v>0</v>
      </c>
      <c r="E102" s="120"/>
      <c r="F102" s="120"/>
      <c r="G102" s="223">
        <f>VLOOKUP($B102&amp;"; "&amp;$G$99&amp;", "&amp;G$100,'FE Energie'!$G:$U,9,FALSE)</f>
        <v>1.35E-2</v>
      </c>
      <c r="H102" s="223">
        <f>VLOOKUP($B102&amp;"; "&amp;$G$99&amp;", "&amp;H$100,'FE Energie'!$G:$U,9,FALSE)</f>
        <v>4.1799999999999997E-2</v>
      </c>
      <c r="I102" s="223">
        <f>VLOOKUP($B102&amp;"; "&amp;$G$99&amp;", "&amp;I$100,'FE Energie'!$G:$U,9,FALSE)</f>
        <v>5.4000000000000003E-3</v>
      </c>
      <c r="J102" s="223"/>
      <c r="K102" s="566">
        <f t="shared" ref="K102:K103" si="17">IF(ISNA(G102),0,F102*G102)</f>
        <v>0</v>
      </c>
      <c r="L102" s="567">
        <f>F102*H102</f>
        <v>0</v>
      </c>
      <c r="T102" s="1288">
        <f t="shared" ref="T102:T103" si="18">IF(ISNA(I102),0,F102*I102)</f>
        <v>0</v>
      </c>
      <c r="U102" s="567"/>
      <c r="V102" s="114"/>
      <c r="W102" s="226">
        <f>IF(AC102=0,AC102,AC102/(K102+L102))</f>
        <v>0</v>
      </c>
      <c r="X102" s="344"/>
      <c r="Y102" s="820"/>
      <c r="Z102" s="1826">
        <f>SQRT(SUMSQ(IF(ISNA($F102*G102*AT102),0,$F102*G102*AT102)))</f>
        <v>0</v>
      </c>
      <c r="AA102" s="1826">
        <f>SQRT(SUMSQ(IF(ISNA($F102*H102*AV102),0,$F102*H102*AV102)))</f>
        <v>0</v>
      </c>
      <c r="AB102" s="164"/>
      <c r="AC102" s="152">
        <f>SQRT(SUMSQ(Z102,AA102,AB102))</f>
        <v>0</v>
      </c>
      <c r="AE102" s="564">
        <f t="shared" ref="AE102:AE103" si="19">K102</f>
        <v>0</v>
      </c>
      <c r="AF102" s="565">
        <f t="shared" ref="AF102:AF103" si="20">L102</f>
        <v>0</v>
      </c>
      <c r="AG102" s="565"/>
      <c r="AH102" s="565"/>
      <c r="AI102" s="565"/>
      <c r="AJ102" s="565"/>
      <c r="AK102" s="565"/>
      <c r="AL102" s="565"/>
      <c r="AM102" s="566">
        <f t="shared" si="16"/>
        <v>0</v>
      </c>
      <c r="AN102" s="566">
        <f t="shared" si="16"/>
        <v>0</v>
      </c>
      <c r="AO102" s="564"/>
      <c r="AP102" s="568"/>
      <c r="AQ102" s="114"/>
      <c r="AR102" s="2612">
        <f>IF($X102&lt;&gt;"votre valeur :",IF(ISNA(VLOOKUP($X102,Utilitaires!$N$566:$O$571,2,FALSE)),,VLOOKUP($X102,Utilitaires!$N$566:$O$571,2,FALSE)),$Y102)</f>
        <v>0</v>
      </c>
      <c r="AS102" s="2613"/>
      <c r="AT102" s="2612">
        <f>IF(ISNA(SQRT(SUMSQ(VLOOKUP($B102&amp;"; "&amp;$G$99&amp;", "&amp;$G$100,'FE Energie'!$G:$U,7,FALSE),$AR102))),0,SQRT(SUMSQ(VLOOKUP($B102&amp;"; "&amp;$G$99&amp;", "&amp;$G$100,'FE Energie'!$G:$U,7,FALSE),$AR102)))</f>
        <v>0.1</v>
      </c>
      <c r="AU102" s="2613"/>
      <c r="AV102" s="2612">
        <f>IF(ISNA(SQRT(SUMSQ(VLOOKUP($B102&amp;"; "&amp;$G$99&amp;", "&amp;$H$100,'FE Energie'!$G:$U,7,FALSE),$AR102))),0,SQRT(SUMSQ(VLOOKUP($B102&amp;"; "&amp;$G$99&amp;", "&amp;$H$100,'FE Energie'!$G:$U,7,FALSE),$AR102)))</f>
        <v>0.1</v>
      </c>
      <c r="AW102" s="2613"/>
      <c r="AX102" s="2612"/>
      <c r="AY102" s="2613"/>
    </row>
    <row r="103" spans="1:58" s="116" customFormat="1" ht="12.75" customHeight="1" outlineLevel="1">
      <c r="A103" s="114"/>
      <c r="B103" s="143" t="s">
        <v>3256</v>
      </c>
      <c r="C103" s="1826"/>
      <c r="D103" s="315">
        <f>K103+L103</f>
        <v>0</v>
      </c>
      <c r="E103" s="123"/>
      <c r="F103" s="123"/>
      <c r="G103" s="223">
        <f>VLOOKUP($B103&amp;"; "&amp;$G$99&amp;", "&amp;G$100,'FE Energie'!$G:$U,9,FALSE)</f>
        <v>1.2500000000000001E-2</v>
      </c>
      <c r="H103" s="223">
        <f>VLOOKUP($B103&amp;"; "&amp;$G$99&amp;", "&amp;H$100,'FE Energie'!$G:$U,9,FALSE)</f>
        <v>3.95E-2</v>
      </c>
      <c r="I103" s="223">
        <f>VLOOKUP($B103&amp;"; "&amp;$G$99&amp;", "&amp;I$100,'FE Energie'!$G:$U,9,FALSE)</f>
        <v>5.1000000000000004E-3</v>
      </c>
      <c r="J103" s="223"/>
      <c r="K103" s="566">
        <f t="shared" si="17"/>
        <v>0</v>
      </c>
      <c r="L103" s="567">
        <f>F103*H103</f>
        <v>0</v>
      </c>
      <c r="T103" s="1288">
        <f t="shared" si="18"/>
        <v>0</v>
      </c>
      <c r="U103" s="567"/>
      <c r="V103" s="114"/>
      <c r="W103" s="226">
        <f>IF(AC103=0,AC103,AC103/(K103+L103))</f>
        <v>0</v>
      </c>
      <c r="X103" s="345"/>
      <c r="Y103" s="820"/>
      <c r="Z103" s="1826">
        <f>SQRT(SUMSQ(IF(ISNA($F103*G103*AT103),0,$F103*G103*AT103)))</f>
        <v>0</v>
      </c>
      <c r="AA103" s="1826">
        <f>SQRT(SUMSQ(IF(ISNA($F103*H103*AV103),0,$F103*H103*AV103)))</f>
        <v>0</v>
      </c>
      <c r="AB103" s="164"/>
      <c r="AC103" s="152">
        <f>SQRT(SUMSQ(Z103,AA103,AB103))</f>
        <v>0</v>
      </c>
      <c r="AE103" s="564">
        <f t="shared" si="19"/>
        <v>0</v>
      </c>
      <c r="AF103" s="565">
        <f t="shared" si="20"/>
        <v>0</v>
      </c>
      <c r="AG103" s="565"/>
      <c r="AH103" s="565"/>
      <c r="AI103" s="565"/>
      <c r="AJ103" s="565"/>
      <c r="AK103" s="565"/>
      <c r="AL103" s="565"/>
      <c r="AM103" s="566">
        <f t="shared" si="16"/>
        <v>0</v>
      </c>
      <c r="AN103" s="567">
        <f t="shared" si="16"/>
        <v>0</v>
      </c>
      <c r="AO103" s="564"/>
      <c r="AP103" s="568"/>
      <c r="AQ103" s="114"/>
      <c r="AR103" s="2612">
        <f>IF($X103&lt;&gt;"votre valeur :",IF(ISNA(VLOOKUP($X103,Utilitaires!$N$566:$O$571,2,FALSE)),,VLOOKUP($X103,Utilitaires!$N$566:$O$571,2,FALSE)),$Y103)</f>
        <v>0</v>
      </c>
      <c r="AS103" s="2613"/>
      <c r="AT103" s="2612">
        <f>IF(ISNA(SQRT(SUMSQ(VLOOKUP($B103&amp;"; "&amp;$G$99&amp;", "&amp;$G$100,'FE Energie'!$G:$U,7,FALSE),$AR103))),0,SQRT(SUMSQ(VLOOKUP($B103&amp;"; "&amp;$G$99&amp;", "&amp;$G$100,'FE Energie'!$G:$U,7,FALSE),$AR103)))</f>
        <v>0.1</v>
      </c>
      <c r="AU103" s="2613"/>
      <c r="AV103" s="2612">
        <f>IF(ISNA(SQRT(SUMSQ(VLOOKUP($B103&amp;"; "&amp;$G$99&amp;", "&amp;$H$100,'FE Energie'!$G:$U,7,FALSE),$AR103))),0,SQRT(SUMSQ(VLOOKUP($B103&amp;"; "&amp;$G$99&amp;", "&amp;$H$100,'FE Energie'!$G:$U,7,FALSE),$AR103)))</f>
        <v>0.1</v>
      </c>
      <c r="AW103" s="2613"/>
      <c r="AX103" s="2612"/>
      <c r="AY103" s="2613"/>
    </row>
    <row r="104" spans="1:58" s="116" customFormat="1" ht="12.75" customHeight="1" outlineLevel="1">
      <c r="A104" s="114"/>
      <c r="B104" s="536" t="s">
        <v>1774</v>
      </c>
      <c r="C104" s="1826"/>
      <c r="D104" s="315"/>
      <c r="E104" s="144"/>
      <c r="F104" s="144"/>
      <c r="G104" s="1122" t="s">
        <v>411</v>
      </c>
      <c r="H104" s="223"/>
      <c r="I104" s="223"/>
      <c r="J104" s="1123" t="s">
        <v>1764</v>
      </c>
      <c r="K104" s="566"/>
      <c r="L104" s="567"/>
      <c r="T104" s="1288"/>
      <c r="U104" s="567"/>
      <c r="V104" s="114"/>
      <c r="W104" s="226"/>
      <c r="X104" s="820"/>
      <c r="Y104" s="820"/>
      <c r="Z104" s="1826"/>
      <c r="AA104" s="1826"/>
      <c r="AB104" s="164"/>
      <c r="AC104" s="152"/>
      <c r="AE104" s="564"/>
      <c r="AF104" s="565"/>
      <c r="AG104" s="565"/>
      <c r="AH104" s="565"/>
      <c r="AI104" s="565"/>
      <c r="AJ104" s="565"/>
      <c r="AK104" s="565"/>
      <c r="AL104" s="565"/>
      <c r="AM104" s="566"/>
      <c r="AN104" s="567"/>
      <c r="AO104" s="564"/>
      <c r="AP104" s="568"/>
      <c r="AQ104" s="114"/>
      <c r="AR104" s="2612"/>
      <c r="AS104" s="2613"/>
      <c r="AT104" s="2612"/>
      <c r="AU104" s="2613"/>
      <c r="AV104" s="2612"/>
      <c r="AW104" s="2613"/>
      <c r="AX104" s="2612"/>
      <c r="AY104" s="2613"/>
    </row>
    <row r="105" spans="1:58" s="116" customFormat="1" ht="12.75" customHeight="1" outlineLevel="1">
      <c r="A105" s="114"/>
      <c r="B105" s="143" t="s">
        <v>5050</v>
      </c>
      <c r="C105" s="1826"/>
      <c r="D105" s="315">
        <f>K105+L105</f>
        <v>0</v>
      </c>
      <c r="E105" s="1121"/>
      <c r="F105" s="1121"/>
      <c r="G105" s="223">
        <f>IF(ISNA(VLOOKUP($B105&amp;"; "&amp;$G$99&amp;", "&amp;G$104,'FE Energie'!$G:$U,9,FALSE)),0,VLOOKUP($B105&amp;"; "&amp;$G$99&amp;", "&amp;G$104,'FE Energie'!$G:$U,9,FALSE))</f>
        <v>3.9E-2</v>
      </c>
      <c r="H105" s="223">
        <f>VLOOKUP($B105&amp;"; "&amp;$G$99&amp;", "&amp;H$100,'FE Energie'!$G:$U,9,FALSE)</f>
        <v>0.314</v>
      </c>
      <c r="I105" s="223">
        <f>IF(ISNA(VLOOKUP($B105&amp;"; "&amp;$G$99&amp;", "&amp;I$100,'FE Energie'!$G:$U,9,FALSE)),$G$190*SUM(G105,H105,J105),VLOOKUP($B105&amp;"; "&amp;$G$99&amp;", "&amp;I$100,'FE Energie'!$G:$U,9,FALSE))</f>
        <v>8.5445096322241676E-2</v>
      </c>
      <c r="J105" s="2415">
        <f>IF(ISNA(VLOOKUP($B105&amp;"; "&amp;$G$99&amp;", "&amp;J$104,'FE Energie'!$G:$U,9,FALSE)),0,VLOOKUP($B105&amp;"; "&amp;$G$99&amp;", "&amp;J$104,'FE Energie'!$G:$U,9,FALSE))</f>
        <v>0.60365000000000002</v>
      </c>
      <c r="K105" s="566">
        <f>F105*G105</f>
        <v>0</v>
      </c>
      <c r="L105" s="567">
        <f>F105*H105</f>
        <v>0</v>
      </c>
      <c r="T105" s="1288">
        <f>IF(ISNA(F105*I105),0,F105*I105)</f>
        <v>0</v>
      </c>
      <c r="U105" s="567">
        <f>F105*J105</f>
        <v>0</v>
      </c>
      <c r="V105" s="114"/>
      <c r="W105" s="226">
        <f>IF(AC105=0,AC105,AC105/(K105+L105+U105))</f>
        <v>0</v>
      </c>
      <c r="X105" s="343"/>
      <c r="Y105" s="820"/>
      <c r="Z105" s="1826">
        <f>SQRT(SUMSQ(IF(ISNA($F105*G105*AT105),0,$F105*G105*AT105)))</f>
        <v>0</v>
      </c>
      <c r="AA105" s="1826">
        <f>SQRT(SUMSQ(IF(ISNA($F105*H105*AV105),0,$F105*H105*AV105)))</f>
        <v>0</v>
      </c>
      <c r="AB105" s="164">
        <f>SQRT(SUMSQ(IF(ISNA($F105*J105*AX105),0,$F105*J105*AX105)))</f>
        <v>0</v>
      </c>
      <c r="AC105" s="152">
        <f>SQRT(SUMSQ(Z105,AA105,AB105))</f>
        <v>0</v>
      </c>
      <c r="AE105" s="564">
        <f>$F105*IF(ISNA(VLOOKUP($B105&amp;"; "&amp;$G$99&amp;", "&amp;G$104,'FE Energie'!$G:$U,10,FALSE)),0,VLOOKUP($B105&amp;"; "&amp;$G$99&amp;", "&amp;G$104,'FE Energie'!$G:$U,10,FALSE))</f>
        <v>0</v>
      </c>
      <c r="AF105" s="565">
        <f>$F105*IF(ISNA(VLOOKUP($B105&amp;"; "&amp;$G$99&amp;", "&amp;H$100,'FE Energie'!$G:$U,10,FALSE)),0,VLOOKUP($B105&amp;"; "&amp;$G$99&amp;", "&amp;H$100,'FE Energie'!$G:$U,10,FALSE))</f>
        <v>0</v>
      </c>
      <c r="AG105" s="565">
        <f>$F105*IF(ISNA(VLOOKUP($B105&amp;"; "&amp;$G$99&amp;", "&amp;G$104,'FE Energie'!$G:$U,11,FALSE)),0,VLOOKUP($B105&amp;"; "&amp;$G$99&amp;", "&amp;G$104,'FE Energie'!$G:$U,11,FALSE))+$F105*IF(ISNA(VLOOKUP($B105&amp;"; "&amp;$G$99&amp;", "&amp;G$104,'FE Energie'!$G:$U,12,FALSE)),0,VLOOKUP($B105&amp;"; "&amp;$G$99&amp;", "&amp;G$104,'FE Energie'!$G:$U,12,FALSE))</f>
        <v>0</v>
      </c>
      <c r="AH105" s="565">
        <f>$F105*IF(ISNA(VLOOKUP($B105&amp;"; "&amp;$G$99&amp;", "&amp;H$100,'FE Energie'!$G:$U,11,FALSE)),0,VLOOKUP($B105&amp;"; "&amp;$G$99&amp;", "&amp;H$100,'FE Energie'!$G:$U,11,FALSE))+$F105*IF(ISNA(VLOOKUP($B105&amp;"; "&amp;$G$99&amp;", "&amp;H$100,'FE Energie'!$G:$U,12,FALSE)),0,VLOOKUP($B105&amp;"; "&amp;$G$99&amp;", "&amp;H$100,'FE Energie'!$G:$U,12,FALSE))</f>
        <v>0</v>
      </c>
      <c r="AI105" s="565">
        <f>$F105*IF(ISNA(VLOOKUP($B105&amp;"; "&amp;$G$99&amp;", "&amp;G$104,'FE Energie'!$G:$U,13,FALSE)),0,VLOOKUP($B105&amp;"; "&amp;$G$99&amp;", "&amp;G$104,'FE Energie'!$G:$U,13,FALSE))</f>
        <v>0</v>
      </c>
      <c r="AJ105" s="565">
        <f>$F105*IF(ISNA(VLOOKUP($B105&amp;"; "&amp;$G$99&amp;", "&amp;H$100,'FE Energie'!$G:$U,13,FALSE)),0,VLOOKUP($B105&amp;"; "&amp;$G$99&amp;", "&amp;H$100,'FE Energie'!$G:$U,13,FALSE))</f>
        <v>0</v>
      </c>
      <c r="AK105" s="565">
        <f>$F105*IF(ISNA(VLOOKUP($B105&amp;"; "&amp;$G$99&amp;", "&amp;G$104,'FE Energie'!$G:$U,14,FALSE)),0,VLOOKUP($B105&amp;"; "&amp;$G$99&amp;", "&amp;G$104,'FE Energie'!$G:$U,14,FALSE))</f>
        <v>0</v>
      </c>
      <c r="AL105" s="565">
        <f>$F105*IF(ISNA(VLOOKUP($B105&amp;"; "&amp;$G$99&amp;", "&amp;H$100,'FE Energie'!$G:$U,14,FALSE)),0,VLOOKUP($B105&amp;"; "&amp;$G$99&amp;", "&amp;H$100,'FE Energie'!$G:$U,14,FALSE))</f>
        <v>0</v>
      </c>
      <c r="AM105" s="566">
        <f t="shared" ref="AM105:AN107" si="21">SUM(AE105,AG105,AI105,AK105)</f>
        <v>0</v>
      </c>
      <c r="AN105" s="567">
        <f t="shared" si="21"/>
        <v>0</v>
      </c>
      <c r="AO105" s="564">
        <f>$F105*IF(ISNA(VLOOKUP($B105&amp;"; "&amp;$G$99&amp;", "&amp;G$104,'FE Energie'!$G:$U,15,FALSE)),0,VLOOKUP($B105&amp;"; "&amp;$G$99&amp;", "&amp;G$104,'FE Energie'!$G:$U,15,FALSE))</f>
        <v>0</v>
      </c>
      <c r="AP105" s="568">
        <f>$F105*IF(ISNA(VLOOKUP($B105&amp;"; "&amp;$G$99&amp;", "&amp;H$100,'FE Energie'!$G:$U,15,FALSE)),0,VLOOKUP($B105&amp;"; "&amp;$G$99&amp;", "&amp;H$100,'FE Energie'!$G:$U,15,FALSE))</f>
        <v>0</v>
      </c>
      <c r="AQ105" s="114"/>
      <c r="AR105" s="2612">
        <f>IF($X105&lt;&gt;"votre valeur :",IF(ISNA(VLOOKUP($X105,Utilitaires!$N$566:$O$571,2,FALSE)),,VLOOKUP($X105,Utilitaires!$N$566:$O$571,2,FALSE)),$Y105)</f>
        <v>0</v>
      </c>
      <c r="AS105" s="2613"/>
      <c r="AT105" s="2612">
        <f>IF(ISNA(SQRT(SUMSQ(VLOOKUP($B105&amp;"; "&amp;$G$99&amp;", "&amp;$G$104,'FE Energie'!$G:$U,7,FALSE),$AR105))),0,SQRT(SUMSQ(VLOOKUP($B105&amp;"; "&amp;$G$99&amp;", "&amp;$G$104,'FE Energie'!$G:$U,7,FALSE),$AR105)))</f>
        <v>0.15</v>
      </c>
      <c r="AU105" s="2613"/>
      <c r="AV105" s="2612">
        <f>IF(ISNA(SQRT(SUMSQ(VLOOKUP($B105&amp;"; "&amp;$G$99&amp;", "&amp;$H$100,'FE Energie'!$G:$U,7,FALSE),$AR105))),0,SQRT(SUMSQ(VLOOKUP($B105&amp;"; "&amp;$G$99&amp;", "&amp;$H$100,'FE Energie'!$G:$U,7,FALSE),$AR105)))</f>
        <v>0.15</v>
      </c>
      <c r="AW105" s="2613"/>
      <c r="AX105" s="2612">
        <f>IF(ISNA(SQRT(SUMSQ(VLOOKUP($B105&amp;"; "&amp;$G$99&amp;", "&amp;$J$104,'FE Energie'!$G:$U,7,FALSE),$AR105))),0,SQRT(SUMSQ(VLOOKUP($B105&amp;"; "&amp;$G$99&amp;", "&amp;$J$104,'FE Energie'!$G:$U,7,FALSE),$AR105)))</f>
        <v>0.15</v>
      </c>
      <c r="AY105" s="2613"/>
    </row>
    <row r="106" spans="1:58" s="116" customFormat="1" ht="12.75" customHeight="1" outlineLevel="1">
      <c r="A106" s="114"/>
      <c r="B106" s="143" t="s">
        <v>5077</v>
      </c>
      <c r="C106" s="1826"/>
      <c r="D106" s="315">
        <f>K106+L106</f>
        <v>0</v>
      </c>
      <c r="E106" s="398"/>
      <c r="F106" s="398"/>
      <c r="G106" s="223">
        <f>IF(ISNA(VLOOKUP($B106&amp;"; "&amp;$G$99&amp;", "&amp;G$104,'FE Energie'!$G:$U,9,FALSE)),0,VLOOKUP($B106&amp;"; "&amp;$G$99&amp;", "&amp;G$104,'FE Energie'!$G:$U,9,FALSE))</f>
        <v>0.11600000000000001</v>
      </c>
      <c r="H106" s="223">
        <f>VLOOKUP($B106&amp;"; "&amp;$G$99&amp;", "&amp;H$100,'FE Energie'!$G:$U,9,FALSE)</f>
        <v>0.71599999999999997</v>
      </c>
      <c r="I106" s="223">
        <f>IF(ISNA(VLOOKUP($B106&amp;"; "&amp;$G$99&amp;", "&amp;I$100,'FE Energie'!$G:$U,9,FALSE)),$G$190*SUM(G106,H106,J106),VLOOKUP($B106&amp;"; "&amp;$G$99&amp;", "&amp;I$100,'FE Energie'!$G:$U,9,FALSE))</f>
        <v>7.4983397548161107E-2</v>
      </c>
      <c r="J106" s="223">
        <f>IF(ISNA(VLOOKUP($B106&amp;"; "&amp;$G$99&amp;", "&amp;J$104,'FE Energie'!$G:$U,9,FALSE)),0,VLOOKUP($B106&amp;"; "&amp;$G$99&amp;", "&amp;J$104,'FE Energie'!$G:$U,9,FALSE))</f>
        <v>7.5199999999999998E-3</v>
      </c>
      <c r="K106" s="566">
        <f>F106*G106</f>
        <v>0</v>
      </c>
      <c r="L106" s="567">
        <f>F106*H106</f>
        <v>0</v>
      </c>
      <c r="T106" s="1288">
        <f>IF(ISNA(F106*I106),0,F106*I106)</f>
        <v>0</v>
      </c>
      <c r="U106" s="567">
        <f>F106*J106</f>
        <v>0</v>
      </c>
      <c r="V106" s="114"/>
      <c r="W106" s="226">
        <f>IF(AC106=0,AC106,AC106/(K106+L106+U106))</f>
        <v>0</v>
      </c>
      <c r="X106" s="344"/>
      <c r="Y106" s="820"/>
      <c r="Z106" s="1826">
        <f>SQRT(SUMSQ(IF(ISNA($F106*G106*AT106),0,$F106*G106*AT106)))</f>
        <v>0</v>
      </c>
      <c r="AA106" s="1826">
        <f>SQRT(SUMSQ(IF(ISNA($F106*H106*AV106),0,$F106*H106*AV106)))</f>
        <v>0</v>
      </c>
      <c r="AB106" s="164">
        <f t="shared" ref="AB106:AB107" si="22">SQRT(SUMSQ(IF(ISNA($F106*J106*AX106),0,$F106*J106*AX106)))</f>
        <v>0</v>
      </c>
      <c r="AC106" s="152">
        <f>SQRT(SUMSQ(Z106,AA106,AB106))</f>
        <v>0</v>
      </c>
      <c r="AE106" s="564">
        <f>$F106*IF(ISNA(VLOOKUP($B106&amp;"; "&amp;$G$99&amp;", "&amp;G$104,'FE Energie'!$G:$U,10,FALSE)),0,VLOOKUP($B106&amp;"; "&amp;$G$99&amp;", "&amp;G$104,'FE Energie'!$G:$U,10,FALSE))</f>
        <v>0</v>
      </c>
      <c r="AF106" s="565">
        <f>$F106*IF(ISNA(VLOOKUP($B106&amp;"; "&amp;$G$99&amp;", "&amp;H$100,'FE Energie'!$G:$U,10,FALSE)),0,VLOOKUP($B106&amp;"; "&amp;$G$99&amp;", "&amp;H$100,'FE Energie'!$G:$U,10,FALSE))</f>
        <v>0</v>
      </c>
      <c r="AG106" s="565">
        <f>$F106*IF(ISNA(VLOOKUP($B106&amp;"; "&amp;$G$99&amp;", "&amp;G$104,'FE Energie'!$G:$U,11,FALSE)),0,VLOOKUP($B106&amp;"; "&amp;$G$99&amp;", "&amp;G$104,'FE Energie'!$G:$U,11,FALSE))+$F106*IF(ISNA(VLOOKUP($B106&amp;"; "&amp;$G$99&amp;", "&amp;G$104,'FE Energie'!$G:$U,12,FALSE)),0,VLOOKUP($B106&amp;"; "&amp;$G$99&amp;", "&amp;G$104,'FE Energie'!$G:$U,12,FALSE))</f>
        <v>0</v>
      </c>
      <c r="AH106" s="565">
        <f>$F106*IF(ISNA(VLOOKUP($B106&amp;"; "&amp;$G$99&amp;", "&amp;H$100,'FE Energie'!$G:$U,11,FALSE)),0,VLOOKUP($B106&amp;"; "&amp;$G$99&amp;", "&amp;H$100,'FE Energie'!$G:$U,11,FALSE))+$F106*IF(ISNA(VLOOKUP($B106&amp;"; "&amp;$G$99&amp;", "&amp;H$100,'FE Energie'!$G:$U,12,FALSE)),0,VLOOKUP($B106&amp;"; "&amp;$G$99&amp;", "&amp;H$100,'FE Energie'!$G:$U,12,FALSE))</f>
        <v>0</v>
      </c>
      <c r="AI106" s="565">
        <f>$F106*IF(ISNA(VLOOKUP($B106&amp;"; "&amp;$G$99&amp;", "&amp;G$104,'FE Energie'!$G:$U,13,FALSE)),0,VLOOKUP($B106&amp;"; "&amp;$G$99&amp;", "&amp;G$104,'FE Energie'!$G:$U,13,FALSE))</f>
        <v>0</v>
      </c>
      <c r="AJ106" s="565">
        <f>$F106*IF(ISNA(VLOOKUP($B106&amp;"; "&amp;$G$99&amp;", "&amp;H$100,'FE Energie'!$G:$U,13,FALSE)),0,VLOOKUP($B106&amp;"; "&amp;$G$99&amp;", "&amp;H$100,'FE Energie'!$G:$U,13,FALSE))</f>
        <v>0</v>
      </c>
      <c r="AK106" s="565">
        <f>$F106*IF(ISNA(VLOOKUP($B106&amp;"; "&amp;$G$99&amp;", "&amp;G$104,'FE Energie'!$G:$U,14,FALSE)),0,VLOOKUP($B106&amp;"; "&amp;$G$99&amp;", "&amp;G$104,'FE Energie'!$G:$U,14,FALSE))</f>
        <v>0</v>
      </c>
      <c r="AL106" s="565">
        <f>$F106*IF(ISNA(VLOOKUP($B106&amp;"; "&amp;$G$99&amp;", "&amp;H$100,'FE Energie'!$G:$U,14,FALSE)),0,VLOOKUP($B106&amp;"; "&amp;$G$99&amp;", "&amp;H$100,'FE Energie'!$G:$U,14,FALSE))</f>
        <v>0</v>
      </c>
      <c r="AM106" s="566">
        <f t="shared" si="21"/>
        <v>0</v>
      </c>
      <c r="AN106" s="567">
        <f t="shared" si="21"/>
        <v>0</v>
      </c>
      <c r="AO106" s="564">
        <f>$F106*IF(ISNA(VLOOKUP($B106&amp;"; "&amp;$G$99&amp;", "&amp;G$104,'FE Energie'!$G:$U,15,FALSE)),0,VLOOKUP($B106&amp;"; "&amp;$G$99&amp;", "&amp;G$104,'FE Energie'!$G:$U,15,FALSE))</f>
        <v>0</v>
      </c>
      <c r="AP106" s="568">
        <f>$F106*IF(ISNA(VLOOKUP($B106&amp;"; "&amp;$G$99&amp;", "&amp;H$100,'FE Energie'!$G:$U,15,FALSE)),0,VLOOKUP($B106&amp;"; "&amp;$G$99&amp;", "&amp;H$100,'FE Energie'!$G:$U,15,FALSE))</f>
        <v>0</v>
      </c>
      <c r="AQ106" s="114"/>
      <c r="AR106" s="2612">
        <f>IF($X106&lt;&gt;"votre valeur :",IF(ISNA(VLOOKUP($X106,Utilitaires!$N$566:$O$571,2,FALSE)),,VLOOKUP($X106,Utilitaires!$N$566:$O$571,2,FALSE)),$Y106)</f>
        <v>0</v>
      </c>
      <c r="AS106" s="2613"/>
      <c r="AT106" s="2612">
        <f>IF(ISNA(SQRT(SUMSQ(VLOOKUP($B106&amp;"; "&amp;$G$99&amp;", "&amp;$G$104,'FE Energie'!$G:$U,7,FALSE),$AR106))),0,SQRT(SUMSQ(VLOOKUP($B106&amp;"; "&amp;$G$99&amp;", "&amp;$G$104,'FE Energie'!$G:$U,7,FALSE),$AR106)))</f>
        <v>0.15</v>
      </c>
      <c r="AU106" s="2613"/>
      <c r="AV106" s="2612">
        <f>IF(ISNA(SQRT(SUMSQ(VLOOKUP($B106&amp;"; "&amp;$G$99&amp;", "&amp;$H$100,'FE Energie'!$G:$U,7,FALSE),$AR106))),0,SQRT(SUMSQ(VLOOKUP($B106&amp;"; "&amp;$G$99&amp;", "&amp;$H$100,'FE Energie'!$G:$U,7,FALSE),$AR106)))</f>
        <v>0.15</v>
      </c>
      <c r="AW106" s="2613"/>
      <c r="AX106" s="2612">
        <f>IF(ISNA(SQRT(SUMSQ(VLOOKUP($B106&amp;"; "&amp;$G$99&amp;", "&amp;$J$104,'FE Energie'!$G:$U,7,FALSE),$AR106))),0,SQRT(SUMSQ(VLOOKUP($B106&amp;"; "&amp;$G$99&amp;", "&amp;$J$104,'FE Energie'!$G:$U,7,FALSE),$AR106)))</f>
        <v>0.15</v>
      </c>
      <c r="AY106" s="2613"/>
    </row>
    <row r="107" spans="1:58" s="116" customFormat="1" ht="12.75" customHeight="1" outlineLevel="1">
      <c r="A107" s="114"/>
      <c r="B107" s="143" t="s">
        <v>5076</v>
      </c>
      <c r="C107" s="1826"/>
      <c r="D107" s="315">
        <f>K107+L107</f>
        <v>0</v>
      </c>
      <c r="E107" s="123"/>
      <c r="F107" s="123"/>
      <c r="G107" s="2052">
        <f>IF(ISNA(VLOOKUP($B107&amp;"; "&amp;$G$99&amp;", "&amp;G$104,'FE Energie'!$G:$U,9,FALSE)),0,VLOOKUP($B107&amp;"; "&amp;$G$99&amp;", "&amp;G$104,'FE Energie'!$G:$U,9,FALSE))</f>
        <v>8.2900000000000001E-2</v>
      </c>
      <c r="H107" s="223">
        <f>VLOOKUP($B107&amp;"; "&amp;$G$99&amp;", "&amp;H$100,'FE Energie'!$G:$U,9,FALSE)</f>
        <v>0.41099999999999998</v>
      </c>
      <c r="I107" s="223">
        <f>IF(ISNA(VLOOKUP($B107&amp;"; "&amp;$G$99&amp;", "&amp;I$100,'FE Energie'!$G:$U,9,FALSE)),$G$190*SUM(G107,H107,J107),VLOOKUP($B107&amp;"; "&amp;$G$99&amp;", "&amp;I$100,'FE Energie'!$G:$U,9,FALSE))</f>
        <v>4.9299999999999997E-2</v>
      </c>
      <c r="J107" s="223">
        <f>IF(ISNA(VLOOKUP($B107&amp;"; "&amp;$G$99&amp;", "&amp;J$104,'FE Energie'!$G:$U,9,FALSE)),0,VLOOKUP($B107&amp;"; "&amp;$G$99&amp;", "&amp;J$104,'FE Energie'!$G:$U,9,FALSE))</f>
        <v>0</v>
      </c>
      <c r="K107" s="566">
        <f>F107*G107</f>
        <v>0</v>
      </c>
      <c r="L107" s="567">
        <f>F107*H107</f>
        <v>0</v>
      </c>
      <c r="T107" s="1288">
        <f>IF(ISNA(F107*I107),0,F107*I107)</f>
        <v>0</v>
      </c>
      <c r="U107" s="567">
        <f>F107*J107</f>
        <v>0</v>
      </c>
      <c r="V107" s="114"/>
      <c r="W107" s="226">
        <f>IF(AC107=0,AC107,AC107/(K107+L107+U107))</f>
        <v>0</v>
      </c>
      <c r="X107" s="345"/>
      <c r="Y107" s="820"/>
      <c r="Z107" s="1826">
        <f>SQRT(SUMSQ(IF(ISNA($F107*G107*AT107),0,$F107*G107*AT107)))</f>
        <v>0</v>
      </c>
      <c r="AA107" s="1826">
        <f>SQRT(SUMSQ(IF(ISNA($F107*H107*AV107),0,$F107*H107*AV107)))</f>
        <v>0</v>
      </c>
      <c r="AB107" s="164">
        <f t="shared" si="22"/>
        <v>0</v>
      </c>
      <c r="AC107" s="152">
        <f>SQRT(SUMSQ(Z107,AA107,AB107))</f>
        <v>0</v>
      </c>
      <c r="AE107" s="564">
        <f>$F107*IF(ISNA(VLOOKUP($B107&amp;"; "&amp;$G$99&amp;", "&amp;G$104,'FE Energie'!$G:$U,10,FALSE)),0,VLOOKUP($B107&amp;"; "&amp;$G$99&amp;", "&amp;G$104,'FE Energie'!$G:$U,10,FALSE))</f>
        <v>0</v>
      </c>
      <c r="AF107" s="565">
        <f>$F107*IF(ISNA(VLOOKUP($B107&amp;"; "&amp;$G$99&amp;", "&amp;H$100,'FE Energie'!$G:$U,10,FALSE)),0,VLOOKUP($B107&amp;"; "&amp;$G$99&amp;", "&amp;H$100,'FE Energie'!$G:$U,10,FALSE))</f>
        <v>0</v>
      </c>
      <c r="AG107" s="565">
        <f>$F107*IF(ISNA(VLOOKUP($B107&amp;"; "&amp;$G$99&amp;", "&amp;G$104,'FE Energie'!$G:$U,11,FALSE)),0,VLOOKUP($B107&amp;"; "&amp;$G$99&amp;", "&amp;G$104,'FE Energie'!$G:$U,11,FALSE))+$F107*IF(ISNA(VLOOKUP($B107&amp;"; "&amp;$G$99&amp;", "&amp;G$104,'FE Energie'!$G:$U,12,FALSE)),0,VLOOKUP($B107&amp;"; "&amp;$G$99&amp;", "&amp;G$104,'FE Energie'!$G:$U,12,FALSE))</f>
        <v>0</v>
      </c>
      <c r="AH107" s="565">
        <f>$F107*IF(ISNA(VLOOKUP($B107&amp;"; "&amp;$G$99&amp;", "&amp;H$100,'FE Energie'!$G:$U,11,FALSE)),0,VLOOKUP($B107&amp;"; "&amp;$G$99&amp;", "&amp;H$100,'FE Energie'!$G:$U,11,FALSE))+$F107*IF(ISNA(VLOOKUP($B107&amp;"; "&amp;$G$99&amp;", "&amp;H$100,'FE Energie'!$G:$U,12,FALSE)),0,VLOOKUP($B107&amp;"; "&amp;$G$99&amp;", "&amp;H$100,'FE Energie'!$G:$U,12,FALSE))</f>
        <v>0</v>
      </c>
      <c r="AI107" s="565">
        <f>$F107*IF(ISNA(VLOOKUP($B107&amp;"; "&amp;$G$99&amp;", "&amp;G$104,'FE Energie'!$G:$U,13,FALSE)),0,VLOOKUP($B107&amp;"; "&amp;$G$99&amp;", "&amp;G$104,'FE Energie'!$G:$U,13,FALSE))</f>
        <v>0</v>
      </c>
      <c r="AJ107" s="565">
        <f>$F107*IF(ISNA(VLOOKUP($B107&amp;"; "&amp;$G$99&amp;", "&amp;H$100,'FE Energie'!$G:$U,13,FALSE)),0,VLOOKUP($B107&amp;"; "&amp;$G$99&amp;", "&amp;H$100,'FE Energie'!$G:$U,13,FALSE))</f>
        <v>0</v>
      </c>
      <c r="AK107" s="565">
        <f>$F107*IF(ISNA(VLOOKUP($B107&amp;"; "&amp;$G$99&amp;", "&amp;G$104,'FE Energie'!$G:$U,14,FALSE)),0,VLOOKUP($B107&amp;"; "&amp;$G$99&amp;", "&amp;G$104,'FE Energie'!$G:$U,14,FALSE))</f>
        <v>0</v>
      </c>
      <c r="AL107" s="565">
        <f>$F107*IF(ISNA(VLOOKUP($B107&amp;"; "&amp;$G$99&amp;", "&amp;H$100,'FE Energie'!$G:$U,14,FALSE)),0,VLOOKUP($B107&amp;"; "&amp;$G$99&amp;", "&amp;H$100,'FE Energie'!$G:$U,14,FALSE))</f>
        <v>0</v>
      </c>
      <c r="AM107" s="566">
        <f t="shared" si="21"/>
        <v>0</v>
      </c>
      <c r="AN107" s="567">
        <f t="shared" si="21"/>
        <v>0</v>
      </c>
      <c r="AO107" s="564">
        <f>$F107*IF(ISNA(VLOOKUP($B107&amp;"; "&amp;$G$99&amp;", "&amp;G$104,'FE Energie'!$G:$U,15,FALSE)),0,VLOOKUP($B107&amp;"; "&amp;$G$99&amp;", "&amp;G$104,'FE Energie'!$G:$U,15,FALSE))</f>
        <v>0</v>
      </c>
      <c r="AP107" s="568">
        <f>$F107*IF(ISNA(VLOOKUP($B107&amp;"; "&amp;$G$99&amp;", "&amp;H$100,'FE Energie'!$G:$U,15,FALSE)),0,VLOOKUP($B107&amp;"; "&amp;$G$99&amp;", "&amp;H$100,'FE Energie'!$G:$U,15,FALSE))</f>
        <v>0</v>
      </c>
      <c r="AQ107" s="114"/>
      <c r="AR107" s="2612">
        <f>IF($X107&lt;&gt;"votre valeur :",IF(ISNA(VLOOKUP($X107,Utilitaires!$N$566:$O$571,2,FALSE)),,VLOOKUP($X107,Utilitaires!$N$566:$O$571,2,FALSE)),$Y107)</f>
        <v>0</v>
      </c>
      <c r="AS107" s="2613"/>
      <c r="AT107" s="2612">
        <f>IF(ISNA(SQRT(SUMSQ(VLOOKUP($B107&amp;"; "&amp;$G$99&amp;", "&amp;$G$104,'FE Energie'!$G:$U,7,FALSE),$AR107))),0,SQRT(SUMSQ(VLOOKUP($B107&amp;"; "&amp;$G$99&amp;", "&amp;$G$104,'FE Energie'!$G:$U,7,FALSE),$AR107)))</f>
        <v>0.15</v>
      </c>
      <c r="AU107" s="2613"/>
      <c r="AV107" s="2612">
        <f>IF(ISNA(SQRT(SUMSQ(VLOOKUP($B107&amp;"; "&amp;$G$99&amp;", "&amp;$H$100,'FE Energie'!$G:$U,7,FALSE),$AR107))),0,SQRT(SUMSQ(VLOOKUP($B107&amp;"; "&amp;$G$99&amp;", "&amp;$H$100,'FE Energie'!$G:$U,7,FALSE),$AR107)))</f>
        <v>0.15</v>
      </c>
      <c r="AW107" s="2613"/>
      <c r="AX107" s="2612">
        <f>IF(ISNA(SQRT(SUMSQ(VLOOKUP($B107&amp;"; "&amp;$G$99&amp;", "&amp;$J$104,'FE Energie'!$G:$U,7,FALSE),$AR107))),0,SQRT(SUMSQ(VLOOKUP($B107&amp;"; "&amp;$G$99&amp;", "&amp;$J$104,'FE Energie'!$G:$U,7,FALSE),$AR107)))</f>
        <v>0</v>
      </c>
      <c r="AY107" s="2613"/>
    </row>
    <row r="108" spans="1:58" s="116" customFormat="1" ht="12.75" customHeight="1" outlineLevel="1">
      <c r="A108" s="114"/>
      <c r="B108" s="143"/>
      <c r="C108" s="144"/>
      <c r="D108" s="315"/>
      <c r="E108" s="155"/>
      <c r="F108" s="144"/>
      <c r="G108" s="144"/>
      <c r="H108" s="144"/>
      <c r="I108" s="144"/>
      <c r="J108" s="144"/>
      <c r="K108" s="155"/>
      <c r="L108" s="156"/>
      <c r="T108" s="154"/>
      <c r="U108" s="156"/>
      <c r="V108" s="114"/>
      <c r="W108" s="143"/>
      <c r="X108" s="820"/>
      <c r="Y108" s="820"/>
      <c r="Z108" s="1826"/>
      <c r="AA108" s="1826"/>
      <c r="AB108" s="164"/>
      <c r="AC108" s="152"/>
      <c r="AE108" s="564"/>
      <c r="AF108" s="565"/>
      <c r="AG108" s="565"/>
      <c r="AH108" s="565"/>
      <c r="AI108" s="565"/>
      <c r="AJ108" s="565"/>
      <c r="AK108" s="565"/>
      <c r="AL108" s="565"/>
      <c r="AM108" s="566"/>
      <c r="AN108" s="567"/>
      <c r="AO108" s="569"/>
      <c r="AP108" s="570"/>
      <c r="AQ108" s="114"/>
      <c r="AR108" s="2608"/>
      <c r="AS108" s="2609"/>
      <c r="AT108" s="2608"/>
      <c r="AU108" s="2609"/>
      <c r="AV108" s="2608"/>
      <c r="AW108" s="2609"/>
      <c r="AX108" s="2608"/>
      <c r="AY108" s="2609"/>
    </row>
    <row r="109" spans="1:58" s="116" customFormat="1" ht="12.75" customHeight="1" outlineLevel="1">
      <c r="A109" s="114"/>
      <c r="B109" s="196" t="s">
        <v>348</v>
      </c>
      <c r="C109" s="197"/>
      <c r="D109" s="202">
        <f>SUM(D101:D108)</f>
        <v>25830.547500000001</v>
      </c>
      <c r="E109" s="198"/>
      <c r="F109" s="199"/>
      <c r="G109" s="199"/>
      <c r="H109" s="199"/>
      <c r="I109" s="199"/>
      <c r="J109" s="199"/>
      <c r="K109" s="202">
        <f>SUM(K101:K108)</f>
        <v>6540.5789999999997</v>
      </c>
      <c r="L109" s="200">
        <f>SUM(L101:L108)</f>
        <v>19289.968499999999</v>
      </c>
      <c r="T109" s="1876">
        <f>SUM(T101:T108)</f>
        <v>2559.357</v>
      </c>
      <c r="U109" s="200">
        <f>SUM(U101:U108)</f>
        <v>0</v>
      </c>
      <c r="V109" s="114"/>
      <c r="W109" s="1204">
        <f>IF(AC109=0,AC109,AC109/(K109+L109))</f>
        <v>7.8854905490116659E-2</v>
      </c>
      <c r="X109" s="821"/>
      <c r="Y109" s="1636"/>
      <c r="Z109" s="1636">
        <f>SQRT(SUMSQ(Z101:Z108))</f>
        <v>654.05790000000002</v>
      </c>
      <c r="AA109" s="1636">
        <f>SQRT(SUMSQ(AA101:AA108))</f>
        <v>1928.99685</v>
      </c>
      <c r="AB109" s="203">
        <f>SQRT(SUMSQ(AB101:AB108))</f>
        <v>0</v>
      </c>
      <c r="AC109" s="200">
        <f>SQRT(SUMSQ(AC101:AC108))</f>
        <v>2036.8653818704693</v>
      </c>
      <c r="AE109" s="1082">
        <f t="shared" ref="AE109:AP109" si="23">SUM(AE98:AE108)</f>
        <v>6540.5789999999997</v>
      </c>
      <c r="AF109" s="572">
        <f t="shared" si="23"/>
        <v>19289.968499999999</v>
      </c>
      <c r="AG109" s="572">
        <f t="shared" si="23"/>
        <v>0</v>
      </c>
      <c r="AH109" s="572">
        <f t="shared" si="23"/>
        <v>0</v>
      </c>
      <c r="AI109" s="572">
        <f t="shared" si="23"/>
        <v>0</v>
      </c>
      <c r="AJ109" s="572">
        <f t="shared" si="23"/>
        <v>0</v>
      </c>
      <c r="AK109" s="572">
        <f t="shared" si="23"/>
        <v>0</v>
      </c>
      <c r="AL109" s="572">
        <f t="shared" si="23"/>
        <v>0</v>
      </c>
      <c r="AM109" s="573">
        <f t="shared" si="23"/>
        <v>6540.5789999999997</v>
      </c>
      <c r="AN109" s="574">
        <f t="shared" si="23"/>
        <v>19289.968499999999</v>
      </c>
      <c r="AO109" s="572">
        <f t="shared" si="23"/>
        <v>0</v>
      </c>
      <c r="AP109" s="575">
        <f t="shared" si="23"/>
        <v>0</v>
      </c>
      <c r="AQ109" s="114"/>
      <c r="AR109" s="114"/>
      <c r="AS109" s="114"/>
      <c r="AT109" s="114"/>
      <c r="AU109" s="114"/>
      <c r="AV109" s="114"/>
      <c r="AW109" s="114"/>
      <c r="AX109" s="114"/>
      <c r="AY109" s="114"/>
      <c r="AZ109" s="114"/>
      <c r="BA109" s="114"/>
      <c r="BB109" s="114"/>
      <c r="BC109" s="114"/>
    </row>
    <row r="110" spans="1:58" s="116" customFormat="1" ht="12.75" customHeight="1" outlineLevel="1">
      <c r="A110" s="114"/>
      <c r="O110" s="114"/>
      <c r="P110" s="114"/>
      <c r="Q110" s="114"/>
      <c r="V110" s="114"/>
      <c r="W110" s="114"/>
      <c r="X110" s="126"/>
      <c r="Y110" s="126"/>
      <c r="Z110" s="114"/>
      <c r="AA110" s="114"/>
      <c r="AB110" s="114"/>
      <c r="AC110" s="114"/>
      <c r="AE110" s="441"/>
      <c r="AF110" s="441"/>
      <c r="AG110" s="441"/>
      <c r="AH110" s="441"/>
      <c r="AI110" s="441"/>
      <c r="AJ110" s="441"/>
      <c r="AK110" s="441"/>
      <c r="AL110" s="441"/>
      <c r="AM110" s="441"/>
      <c r="AN110" s="444"/>
      <c r="AO110" s="1240"/>
      <c r="AP110" s="576"/>
      <c r="AQ110" s="114"/>
      <c r="AR110" s="114"/>
      <c r="AS110" s="114"/>
      <c r="AT110" s="114"/>
      <c r="AU110" s="114"/>
      <c r="AV110" s="114"/>
      <c r="AW110" s="114"/>
      <c r="AX110" s="114"/>
      <c r="AY110" s="114"/>
      <c r="AZ110" s="114"/>
      <c r="BA110" s="114"/>
      <c r="BB110" s="114"/>
      <c r="BC110" s="114"/>
    </row>
    <row r="111" spans="1:58" s="116" customFormat="1" ht="12.75" customHeight="1" outlineLevel="1">
      <c r="A111" s="114"/>
      <c r="B111" s="139" t="s">
        <v>2388</v>
      </c>
      <c r="C111" s="140"/>
      <c r="D111" s="141"/>
      <c r="E111" s="1822"/>
      <c r="F111" s="141"/>
      <c r="G111" s="141"/>
      <c r="H111" s="142"/>
      <c r="T111" s="114"/>
      <c r="U111" s="114"/>
      <c r="V111" s="114"/>
      <c r="W111" s="2636" t="s">
        <v>366</v>
      </c>
      <c r="X111" s="2637"/>
      <c r="Y111" s="2637"/>
      <c r="Z111" s="2637"/>
      <c r="AA111" s="2637"/>
      <c r="AB111" s="2637"/>
      <c r="AC111" s="2638"/>
      <c r="AE111" s="1132" t="s">
        <v>441</v>
      </c>
      <c r="AF111" s="1127"/>
      <c r="AG111" s="1127"/>
      <c r="AH111" s="1127"/>
      <c r="AI111" s="1128"/>
      <c r="AJ111" s="441"/>
      <c r="AK111" s="441"/>
      <c r="AL111" s="576"/>
      <c r="AM111" s="444"/>
      <c r="AN111" s="444"/>
      <c r="AO111" s="444"/>
      <c r="AP111" s="114"/>
      <c r="AQ111" s="114"/>
      <c r="AR111" s="114"/>
      <c r="AS111" s="114"/>
      <c r="AT111" s="114"/>
      <c r="AU111" s="114"/>
      <c r="AV111" s="114"/>
      <c r="AW111" s="114"/>
      <c r="AX111" s="114"/>
      <c r="AY111" s="114"/>
      <c r="AZ111" s="114"/>
      <c r="BA111" s="114"/>
      <c r="BB111" s="114"/>
    </row>
    <row r="112" spans="1:58" s="116" customFormat="1" ht="12.75" customHeight="1" outlineLevel="1">
      <c r="A112" s="114"/>
      <c r="B112" s="143"/>
      <c r="C112" s="144"/>
      <c r="D112" s="1834" t="s">
        <v>308</v>
      </c>
      <c r="E112" s="1826"/>
      <c r="F112" s="144"/>
      <c r="G112" s="144"/>
      <c r="H112" s="145"/>
      <c r="T112" s="114"/>
      <c r="U112" s="114"/>
      <c r="V112" s="114"/>
      <c r="W112" s="1825"/>
      <c r="X112" s="819"/>
      <c r="Y112" s="819"/>
      <c r="Z112" s="819"/>
      <c r="AA112" s="819"/>
      <c r="AB112" s="819"/>
      <c r="AC112" s="145"/>
      <c r="AE112" s="584"/>
      <c r="AF112" s="585"/>
      <c r="AG112" s="585"/>
      <c r="AH112" s="585"/>
      <c r="AI112" s="586"/>
      <c r="AJ112" s="441"/>
      <c r="AK112" s="441"/>
      <c r="AL112" s="114"/>
      <c r="AM112" s="444"/>
      <c r="AN112" s="444"/>
      <c r="AO112" s="444"/>
      <c r="AP112" s="114"/>
      <c r="AQ112" s="114"/>
      <c r="AR112" s="2616" t="s">
        <v>1648</v>
      </c>
      <c r="AS112" s="2617"/>
      <c r="AT112" s="2617"/>
      <c r="AU112" s="2617"/>
      <c r="AV112" s="2617"/>
      <c r="AW112" s="2617"/>
      <c r="AX112" s="2617"/>
      <c r="AY112" s="2618"/>
    </row>
    <row r="113" spans="1:55" s="127" customFormat="1" ht="12.75" customHeight="1" outlineLevel="1">
      <c r="A113" s="114"/>
      <c r="B113" s="1825" t="s">
        <v>345</v>
      </c>
      <c r="C113" s="1826"/>
      <c r="D113" s="1834" t="s">
        <v>409</v>
      </c>
      <c r="E113" s="147" t="s">
        <v>452</v>
      </c>
      <c r="F113" s="147" t="s">
        <v>343</v>
      </c>
      <c r="G113" s="1826" t="s">
        <v>1681</v>
      </c>
      <c r="H113" s="1836" t="s">
        <v>444</v>
      </c>
      <c r="T113" s="1013"/>
      <c r="U113" s="1013"/>
      <c r="V113" s="109"/>
      <c r="W113" s="1825" t="s">
        <v>316</v>
      </c>
      <c r="X113" s="2629" t="s">
        <v>316</v>
      </c>
      <c r="Y113" s="2630"/>
      <c r="Z113" s="144"/>
      <c r="AA113" s="144"/>
      <c r="AB113" s="144"/>
      <c r="AC113" s="1836" t="s">
        <v>444</v>
      </c>
      <c r="AE113" s="2657" t="s">
        <v>444</v>
      </c>
      <c r="AF113" s="2658"/>
      <c r="AG113" s="2658"/>
      <c r="AH113" s="2659"/>
      <c r="AI113" s="587"/>
      <c r="AJ113" s="588"/>
      <c r="AK113" s="588"/>
      <c r="AL113" s="114"/>
      <c r="AM113" s="444"/>
      <c r="AN113" s="444"/>
      <c r="AO113" s="1639"/>
      <c r="AP113" s="109"/>
      <c r="AQ113" s="109"/>
      <c r="AR113" s="2614" t="s">
        <v>1646</v>
      </c>
      <c r="AS113" s="2645"/>
      <c r="AT113" s="2645"/>
      <c r="AU113" s="2615"/>
      <c r="AV113" s="2614" t="s">
        <v>1844</v>
      </c>
      <c r="AW113" s="2645"/>
      <c r="AX113" s="2645"/>
      <c r="AY113" s="2615"/>
    </row>
    <row r="114" spans="1:55" s="127" customFormat="1" ht="12.75" customHeight="1" outlineLevel="1">
      <c r="A114" s="114"/>
      <c r="B114" s="1825"/>
      <c r="C114" s="1826"/>
      <c r="D114" s="1829" t="s">
        <v>444</v>
      </c>
      <c r="E114" s="1833" t="s">
        <v>453</v>
      </c>
      <c r="F114" s="1833" t="s">
        <v>533</v>
      </c>
      <c r="G114" s="1826"/>
      <c r="H114" s="1836"/>
      <c r="T114" s="1014"/>
      <c r="U114" s="1014"/>
      <c r="V114" s="109"/>
      <c r="W114" s="1825" t="s">
        <v>1649</v>
      </c>
      <c r="X114" s="2646" t="s">
        <v>1650</v>
      </c>
      <c r="Y114" s="2647"/>
      <c r="Z114" s="1826"/>
      <c r="AA114" s="1826"/>
      <c r="AB114" s="1826"/>
      <c r="AC114" s="1836"/>
      <c r="AE114" s="1823" t="s">
        <v>211</v>
      </c>
      <c r="AF114" s="1824" t="s">
        <v>442</v>
      </c>
      <c r="AG114" s="1824" t="s">
        <v>267</v>
      </c>
      <c r="AH114" s="1824" t="s">
        <v>443</v>
      </c>
      <c r="AI114" s="589" t="s">
        <v>636</v>
      </c>
      <c r="AJ114" s="588"/>
      <c r="AK114" s="588"/>
      <c r="AL114" s="109"/>
      <c r="AM114" s="1639"/>
      <c r="AN114" s="1639"/>
      <c r="AO114" s="1639"/>
      <c r="AP114" s="109"/>
      <c r="AQ114" s="109"/>
      <c r="AR114" s="1837" t="s">
        <v>1643</v>
      </c>
      <c r="AS114" s="1839" t="s">
        <v>1640</v>
      </c>
      <c r="AT114" s="1839" t="s">
        <v>1641</v>
      </c>
      <c r="AU114" s="1839" t="s">
        <v>1642</v>
      </c>
      <c r="AV114" s="1837" t="s">
        <v>1643</v>
      </c>
      <c r="AW114" s="1839" t="s">
        <v>1640</v>
      </c>
      <c r="AX114" s="1839" t="s">
        <v>1641</v>
      </c>
      <c r="AY114" s="1838" t="s">
        <v>1642</v>
      </c>
    </row>
    <row r="115" spans="1:55" s="116" customFormat="1" ht="12.75" customHeight="1" outlineLevel="1">
      <c r="A115" s="114"/>
      <c r="B115" s="143" t="s">
        <v>1906</v>
      </c>
      <c r="C115" s="1826"/>
      <c r="D115" s="315">
        <f>H115</f>
        <v>0</v>
      </c>
      <c r="E115" s="117"/>
      <c r="F115" s="117"/>
      <c r="G115" s="218">
        <f>VLOOKUP($B115&amp;"; "&amp;$G$113,'FE Energie'!$G:$U,9,FALSE)</f>
        <v>0.186</v>
      </c>
      <c r="H115" s="152">
        <f>F115*G115</f>
        <v>0</v>
      </c>
      <c r="T115" s="114"/>
      <c r="U115" s="114"/>
      <c r="V115" s="114"/>
      <c r="W115" s="226">
        <f>IF(AC115=0,AC115,AC115/H115)</f>
        <v>0</v>
      </c>
      <c r="X115" s="343"/>
      <c r="Y115" s="820"/>
      <c r="Z115" s="1826"/>
      <c r="AA115" s="1826"/>
      <c r="AB115" s="1826"/>
      <c r="AC115" s="152">
        <f>SQRT(SUMSQ(IF(ISNA($F115*G115*AW115),0,$F115*G115*AW115)))</f>
        <v>0</v>
      </c>
      <c r="AE115" s="564">
        <f>H115</f>
        <v>0</v>
      </c>
      <c r="AF115" s="620"/>
      <c r="AG115" s="620"/>
      <c r="AH115" s="565"/>
      <c r="AI115" s="590"/>
      <c r="AJ115" s="441"/>
      <c r="AK115" s="441"/>
      <c r="AL115" s="109"/>
      <c r="AM115" s="1639"/>
      <c r="AN115" s="1639"/>
      <c r="AO115" s="444"/>
      <c r="AP115" s="114"/>
      <c r="AQ115" s="114"/>
      <c r="AR115" s="1065"/>
      <c r="AS115" s="1066">
        <f>IF($X115&lt;&gt;"votre valeur :",IF(ISNA(VLOOKUP($X115,Utilitaires!$N$566:$O$571,2,FALSE)),,VLOOKUP($X115,Utilitaires!$N$566:$O$571,2,FALSE)),$Y115)</f>
        <v>0</v>
      </c>
      <c r="AT115" s="1066"/>
      <c r="AU115" s="1066"/>
      <c r="AV115" s="1124"/>
      <c r="AW115" s="1068">
        <f>IF(ISNA(SQRT(SUMSQ(VLOOKUP($B115&amp;"; "&amp;$G$113,'FE Energie'!$G:$U,7,FALSE),$AS115))),0,SQRT(SUMSQ(VLOOKUP($B115&amp;"; "&amp;$G$113,'FE Energie'!$G:$U,7,FALSE),$AS115)))</f>
        <v>0.1</v>
      </c>
      <c r="AX115" s="1068"/>
      <c r="AY115" s="1125"/>
    </row>
    <row r="116" spans="1:55" s="116" customFormat="1" ht="12.75" customHeight="1" outlineLevel="1">
      <c r="A116" s="114"/>
      <c r="B116" s="143" t="s">
        <v>1907</v>
      </c>
      <c r="C116" s="1826"/>
      <c r="D116" s="315">
        <f>H116</f>
        <v>0</v>
      </c>
      <c r="E116" s="120"/>
      <c r="F116" s="120"/>
      <c r="G116" s="218">
        <f>VLOOKUP($B116&amp;"; "&amp;$G$113,'FE Energie'!$G:$U,9,FALSE)</f>
        <v>0.52200000000000002</v>
      </c>
      <c r="H116" s="152">
        <f>F116*G116</f>
        <v>0</v>
      </c>
      <c r="T116" s="114"/>
      <c r="U116" s="114"/>
      <c r="V116" s="114"/>
      <c r="W116" s="226">
        <f>IF(AC116=0,AC116,AC116/H116)</f>
        <v>0</v>
      </c>
      <c r="X116" s="344"/>
      <c r="Y116" s="820"/>
      <c r="Z116" s="342"/>
      <c r="AA116" s="342"/>
      <c r="AB116" s="342"/>
      <c r="AC116" s="152">
        <f>SQRT(SUMSQ(IF(ISNA($F116*G116*AW116),0,$F116*G116*AW116)))</f>
        <v>0</v>
      </c>
      <c r="AE116" s="564">
        <f>H116</f>
        <v>0</v>
      </c>
      <c r="AF116" s="620"/>
      <c r="AG116" s="620"/>
      <c r="AH116" s="565"/>
      <c r="AI116" s="590"/>
      <c r="AJ116" s="441"/>
      <c r="AK116" s="441"/>
      <c r="AL116" s="114"/>
      <c r="AM116" s="444"/>
      <c r="AN116" s="444"/>
      <c r="AO116" s="444"/>
      <c r="AP116" s="114"/>
      <c r="AQ116" s="114"/>
      <c r="AR116" s="1065"/>
      <c r="AS116" s="1066">
        <f>IF($X116&lt;&gt;"votre valeur :",IF(ISNA(VLOOKUP($X116,Utilitaires!$N$566:$O$571,2,FALSE)),,VLOOKUP($X116,Utilitaires!$N$566:$O$571,2,FALSE)),$Y116)</f>
        <v>0</v>
      </c>
      <c r="AT116" s="1066"/>
      <c r="AU116" s="1066"/>
      <c r="AV116" s="1124"/>
      <c r="AW116" s="1068">
        <f>IF(ISNA(SQRT(SUMSQ(VLOOKUP($B116&amp;"; "&amp;$G$113,'FE Energie'!$G:$U,7,FALSE),$AS116))),0,SQRT(SUMSQ(VLOOKUP($B116&amp;"; "&amp;$G$113,'FE Energie'!$G:$U,7,FALSE),$AS116)))</f>
        <v>0.1</v>
      </c>
      <c r="AX116" s="1068"/>
      <c r="AY116" s="1125"/>
    </row>
    <row r="117" spans="1:55" s="116" customFormat="1" ht="12.75" customHeight="1" outlineLevel="1">
      <c r="A117" s="114"/>
      <c r="B117" s="143" t="s">
        <v>1909</v>
      </c>
      <c r="C117" s="1826"/>
      <c r="D117" s="315">
        <f>H117</f>
        <v>0</v>
      </c>
      <c r="E117" s="120"/>
      <c r="F117" s="120"/>
      <c r="G117" s="218">
        <f>VLOOKUP($B117&amp;"; "&amp;$G$113,'FE Energie'!$G:$U,9,FALSE)</f>
        <v>0.42</v>
      </c>
      <c r="H117" s="152">
        <f>F117*G117</f>
        <v>0</v>
      </c>
      <c r="T117" s="114"/>
      <c r="U117" s="114"/>
      <c r="V117" s="114"/>
      <c r="W117" s="226">
        <f>IF(AC117=0,AC117,AC117/H117)</f>
        <v>0</v>
      </c>
      <c r="X117" s="344"/>
      <c r="Y117" s="820"/>
      <c r="Z117" s="342"/>
      <c r="AA117" s="342"/>
      <c r="AB117" s="342"/>
      <c r="AC117" s="152">
        <f>SQRT(SUMSQ(IF(ISNA($F117*G117*AW117),0,$F117*G117*AW117)))</f>
        <v>0</v>
      </c>
      <c r="AE117" s="564">
        <f>H117</f>
        <v>0</v>
      </c>
      <c r="AF117" s="620"/>
      <c r="AG117" s="620"/>
      <c r="AH117" s="565"/>
      <c r="AI117" s="590"/>
      <c r="AJ117" s="441"/>
      <c r="AK117" s="441"/>
      <c r="AL117" s="114"/>
      <c r="AM117" s="444"/>
      <c r="AN117" s="444"/>
      <c r="AO117" s="444"/>
      <c r="AP117" s="114"/>
      <c r="AQ117" s="114"/>
      <c r="AR117" s="1065"/>
      <c r="AS117" s="1066">
        <f>IF($X117&lt;&gt;"votre valeur :",IF(ISNA(VLOOKUP($X117,Utilitaires!$N$566:$O$571,2,FALSE)),,VLOOKUP($X117,Utilitaires!$N$566:$O$571,2,FALSE)),$Y117)</f>
        <v>0</v>
      </c>
      <c r="AT117" s="1066"/>
      <c r="AU117" s="1066"/>
      <c r="AV117" s="1124"/>
      <c r="AW117" s="1068">
        <f>IF(ISNA(SQRT(SUMSQ(VLOOKUP($B117&amp;"; "&amp;$G$113,'FE Energie'!$G:$U,7,FALSE),$AS117))),0,SQRT(SUMSQ(VLOOKUP($B117&amp;"; "&amp;$G$113,'FE Energie'!$G:$U,7,FALSE),$AS117)))</f>
        <v>0.1</v>
      </c>
      <c r="AX117" s="1068"/>
      <c r="AY117" s="1125"/>
    </row>
    <row r="118" spans="1:55" s="116" customFormat="1" ht="12.75" customHeight="1" outlineLevel="1">
      <c r="A118" s="114"/>
      <c r="B118" s="143" t="s">
        <v>1908</v>
      </c>
      <c r="C118" s="1826"/>
      <c r="D118" s="315">
        <f>H118</f>
        <v>0</v>
      </c>
      <c r="E118" s="123"/>
      <c r="F118" s="123"/>
      <c r="G118" s="218">
        <f>VLOOKUP($B118&amp;"; "&amp;$G$113,'FE Energie'!$G:$U,9,FALSE)</f>
        <v>0.65500000000000003</v>
      </c>
      <c r="H118" s="152">
        <f>F118*G118</f>
        <v>0</v>
      </c>
      <c r="T118" s="114"/>
      <c r="U118" s="114"/>
      <c r="V118" s="114"/>
      <c r="W118" s="226">
        <f>IF(AC118=0,AC118,AC118/H118)</f>
        <v>0</v>
      </c>
      <c r="X118" s="345"/>
      <c r="Y118" s="820"/>
      <c r="Z118" s="342"/>
      <c r="AA118" s="342"/>
      <c r="AB118" s="342"/>
      <c r="AC118" s="152">
        <f>SQRT(SUMSQ(IF(ISNA($F118*G118*AW118),0,$F118*G118*AW118)))</f>
        <v>0</v>
      </c>
      <c r="AE118" s="564">
        <f>H118</f>
        <v>0</v>
      </c>
      <c r="AF118" s="620"/>
      <c r="AG118" s="620"/>
      <c r="AH118" s="565"/>
      <c r="AI118" s="590"/>
      <c r="AJ118" s="441"/>
      <c r="AK118" s="441"/>
      <c r="AL118" s="114"/>
      <c r="AM118" s="444"/>
      <c r="AN118" s="444"/>
      <c r="AO118" s="444"/>
      <c r="AP118" s="114"/>
      <c r="AQ118" s="114"/>
      <c r="AR118" s="1065"/>
      <c r="AS118" s="1066">
        <f>IF($X118&lt;&gt;"votre valeur :",IF(ISNA(VLOOKUP($X118,Utilitaires!$N$566:$O$571,2,FALSE)),,VLOOKUP($X118,Utilitaires!$N$566:$O$571,2,FALSE)),$Y118)</f>
        <v>0</v>
      </c>
      <c r="AT118" s="1066"/>
      <c r="AU118" s="1066"/>
      <c r="AV118" s="1124"/>
      <c r="AW118" s="1068">
        <f>IF(ISNA(SQRT(SUMSQ(VLOOKUP($B118&amp;"; "&amp;$G$113,'FE Energie'!$G:$U,7,FALSE),$AS118))),0,SQRT(SUMSQ(VLOOKUP($B118&amp;"; "&amp;$G$113,'FE Energie'!$G:$U,7,FALSE),$AS118)))</f>
        <v>0.1</v>
      </c>
      <c r="AX118" s="1068"/>
      <c r="AY118" s="1125"/>
    </row>
    <row r="119" spans="1:55" s="116" customFormat="1" ht="12.75" customHeight="1" outlineLevel="1">
      <c r="A119" s="114"/>
      <c r="B119" s="143"/>
      <c r="C119" s="144"/>
      <c r="D119" s="315"/>
      <c r="E119" s="155"/>
      <c r="F119" s="144"/>
      <c r="G119" s="144"/>
      <c r="H119" s="168"/>
      <c r="T119" s="114"/>
      <c r="U119" s="114"/>
      <c r="V119" s="114"/>
      <c r="W119" s="143"/>
      <c r="X119" s="823"/>
      <c r="Y119" s="823"/>
      <c r="Z119" s="144"/>
      <c r="AA119" s="144"/>
      <c r="AB119" s="144"/>
      <c r="AC119" s="165"/>
      <c r="AE119" s="564"/>
      <c r="AF119" s="565"/>
      <c r="AG119" s="565"/>
      <c r="AH119" s="565"/>
      <c r="AI119" s="591"/>
      <c r="AJ119" s="441"/>
      <c r="AK119" s="441"/>
      <c r="AL119" s="114"/>
      <c r="AM119" s="444"/>
      <c r="AN119" s="444"/>
      <c r="AO119" s="444"/>
      <c r="AP119" s="114"/>
      <c r="AQ119" s="114"/>
      <c r="AR119" s="1087"/>
      <c r="AS119" s="1088"/>
      <c r="AT119" s="1088"/>
      <c r="AU119" s="1088"/>
      <c r="AV119" s="1126"/>
      <c r="AW119" s="1073"/>
      <c r="AX119" s="1073"/>
      <c r="AY119" s="1074"/>
    </row>
    <row r="120" spans="1:55" s="116" customFormat="1" ht="12.75" customHeight="1" outlineLevel="1">
      <c r="A120" s="114"/>
      <c r="B120" s="196" t="s">
        <v>348</v>
      </c>
      <c r="C120" s="197"/>
      <c r="D120" s="202">
        <f>SUM(D115:D119)</f>
        <v>0</v>
      </c>
      <c r="E120" s="198"/>
      <c r="F120" s="199"/>
      <c r="G120" s="199"/>
      <c r="H120" s="200">
        <f>SUM(H115:H119)</f>
        <v>0</v>
      </c>
      <c r="T120" s="114"/>
      <c r="U120" s="114"/>
      <c r="V120" s="114"/>
      <c r="W120" s="1204">
        <f>IF(AC120=0,AC120,AC120/H120)</f>
        <v>0</v>
      </c>
      <c r="X120" s="821"/>
      <c r="Y120" s="821"/>
      <c r="Z120" s="199"/>
      <c r="AA120" s="199"/>
      <c r="AB120" s="199"/>
      <c r="AC120" s="200">
        <f>SQRT(SUMSQ(AC115:AC119))</f>
        <v>0</v>
      </c>
      <c r="AE120" s="571">
        <f>SUM(AE115:AE119)</f>
        <v>0</v>
      </c>
      <c r="AF120" s="831">
        <f>SUM(AF115:AF119)</f>
        <v>0</v>
      </c>
      <c r="AG120" s="831">
        <f>SUM(AG115:AG119)</f>
        <v>0</v>
      </c>
      <c r="AH120" s="572">
        <f>SUM(AH115:AH119)</f>
        <v>0</v>
      </c>
      <c r="AI120" s="592">
        <f>SUM(AI115:AI119)</f>
        <v>0</v>
      </c>
      <c r="AJ120" s="441"/>
      <c r="AK120" s="441"/>
      <c r="AL120" s="114"/>
      <c r="AM120" s="444"/>
      <c r="AN120" s="444"/>
      <c r="AO120" s="444"/>
      <c r="AP120" s="114"/>
      <c r="AQ120" s="114"/>
      <c r="AR120" s="114"/>
      <c r="AS120" s="114"/>
      <c r="AT120" s="114"/>
      <c r="AU120" s="114"/>
      <c r="AV120" s="114"/>
      <c r="AW120" s="114"/>
      <c r="AX120" s="114"/>
      <c r="AY120" s="114"/>
      <c r="AZ120" s="114"/>
      <c r="BA120" s="114"/>
      <c r="BB120" s="114"/>
      <c r="BC120" s="114"/>
    </row>
    <row r="121" spans="1:55" s="116" customFormat="1" ht="12.75" customHeight="1" outlineLevel="1">
      <c r="A121" s="114"/>
      <c r="E121" s="114"/>
      <c r="H121" s="114"/>
      <c r="T121" s="114"/>
      <c r="U121" s="114"/>
      <c r="V121" s="114"/>
      <c r="X121" s="488"/>
      <c r="Y121" s="488"/>
      <c r="AA121" s="114"/>
      <c r="AB121" s="114"/>
      <c r="AC121" s="114"/>
      <c r="AE121" s="441"/>
      <c r="AF121" s="441"/>
      <c r="AG121" s="441"/>
      <c r="AH121" s="441"/>
      <c r="AI121" s="441"/>
      <c r="AJ121" s="441"/>
      <c r="AK121" s="441"/>
      <c r="AL121" s="114"/>
      <c r="AM121" s="444"/>
      <c r="AN121" s="444"/>
      <c r="AO121" s="444"/>
      <c r="AP121" s="441"/>
      <c r="AQ121" s="114"/>
      <c r="AR121" s="114"/>
      <c r="AS121" s="114"/>
      <c r="AT121" s="114"/>
      <c r="AU121" s="114"/>
      <c r="AV121" s="114"/>
      <c r="AW121" s="114"/>
      <c r="AX121" s="114"/>
      <c r="AY121" s="114"/>
      <c r="AZ121" s="114"/>
      <c r="BA121" s="114"/>
      <c r="BB121" s="114"/>
      <c r="BC121" s="114"/>
    </row>
    <row r="122" spans="1:55" s="116" customFormat="1" ht="12.75" customHeight="1" outlineLevel="1">
      <c r="A122" s="114"/>
      <c r="B122" s="139" t="s">
        <v>2389</v>
      </c>
      <c r="C122" s="140"/>
      <c r="D122" s="141"/>
      <c r="E122" s="1822"/>
      <c r="F122" s="141"/>
      <c r="G122" s="141"/>
      <c r="H122" s="142"/>
      <c r="T122" s="114"/>
      <c r="U122" s="114"/>
      <c r="V122" s="114"/>
      <c r="W122" s="2636" t="s">
        <v>366</v>
      </c>
      <c r="X122" s="2637"/>
      <c r="Y122" s="2637"/>
      <c r="Z122" s="2637"/>
      <c r="AA122" s="2637"/>
      <c r="AB122" s="2637"/>
      <c r="AC122" s="2638"/>
      <c r="AE122" s="2639" t="s">
        <v>441</v>
      </c>
      <c r="AF122" s="2640"/>
      <c r="AG122" s="2640"/>
      <c r="AH122" s="2640"/>
      <c r="AI122" s="2641"/>
      <c r="AJ122" s="441"/>
      <c r="AK122" s="441"/>
      <c r="AL122" s="441"/>
      <c r="AM122" s="444"/>
      <c r="AN122" s="444"/>
      <c r="AO122" s="444"/>
      <c r="AP122" s="114"/>
      <c r="AQ122" s="114"/>
      <c r="AZ122" s="114"/>
      <c r="BA122" s="114"/>
      <c r="BB122" s="114"/>
    </row>
    <row r="123" spans="1:55" s="116" customFormat="1" ht="12.75" customHeight="1" outlineLevel="1">
      <c r="A123" s="114"/>
      <c r="B123" s="143"/>
      <c r="C123" s="144"/>
      <c r="D123" s="1834" t="s">
        <v>308</v>
      </c>
      <c r="E123" s="1826"/>
      <c r="F123" s="144"/>
      <c r="G123" s="144"/>
      <c r="H123" s="145"/>
      <c r="T123" s="114"/>
      <c r="U123" s="114"/>
      <c r="V123" s="114"/>
      <c r="W123" s="1825"/>
      <c r="X123" s="819"/>
      <c r="Y123" s="819"/>
      <c r="Z123" s="819"/>
      <c r="AA123" s="819"/>
      <c r="AB123" s="819"/>
      <c r="AC123" s="145"/>
      <c r="AE123" s="584"/>
      <c r="AF123" s="585"/>
      <c r="AG123" s="585"/>
      <c r="AH123" s="585"/>
      <c r="AI123" s="586"/>
      <c r="AJ123" s="441"/>
      <c r="AK123" s="441"/>
      <c r="AL123" s="441"/>
      <c r="AM123" s="444"/>
      <c r="AN123" s="444"/>
      <c r="AO123" s="444"/>
      <c r="AP123" s="114"/>
      <c r="AR123" s="2616" t="s">
        <v>1648</v>
      </c>
      <c r="AS123" s="2617"/>
      <c r="AT123" s="2617"/>
      <c r="AU123" s="2617"/>
      <c r="AV123" s="2617"/>
      <c r="AW123" s="2617"/>
      <c r="AX123" s="2617"/>
      <c r="AY123" s="2618"/>
      <c r="AZ123" s="114"/>
      <c r="BA123" s="114"/>
      <c r="BB123" s="114"/>
    </row>
    <row r="124" spans="1:55" s="116" customFormat="1" ht="12.75" customHeight="1" outlineLevel="1">
      <c r="A124" s="114"/>
      <c r="B124" s="1825" t="s">
        <v>238</v>
      </c>
      <c r="C124" s="1826"/>
      <c r="D124" s="1834" t="s">
        <v>409</v>
      </c>
      <c r="E124" s="147" t="s">
        <v>452</v>
      </c>
      <c r="F124" s="147" t="s">
        <v>343</v>
      </c>
      <c r="G124" s="1826" t="s">
        <v>1681</v>
      </c>
      <c r="H124" s="1836" t="s">
        <v>444</v>
      </c>
      <c r="T124" s="114"/>
      <c r="U124" s="114"/>
      <c r="V124" s="114"/>
      <c r="W124" s="1825" t="s">
        <v>316</v>
      </c>
      <c r="X124" s="2629" t="s">
        <v>316</v>
      </c>
      <c r="Y124" s="2630"/>
      <c r="Z124" s="819"/>
      <c r="AA124" s="819"/>
      <c r="AB124" s="819"/>
      <c r="AC124" s="1836" t="s">
        <v>444</v>
      </c>
      <c r="AE124" s="2657" t="s">
        <v>444</v>
      </c>
      <c r="AF124" s="2658"/>
      <c r="AG124" s="2658"/>
      <c r="AH124" s="2659"/>
      <c r="AI124" s="587"/>
      <c r="AJ124" s="441"/>
      <c r="AK124" s="441"/>
      <c r="AL124" s="441"/>
      <c r="AM124" s="444"/>
      <c r="AN124" s="444"/>
      <c r="AO124" s="444"/>
      <c r="AP124" s="114"/>
      <c r="AR124" s="2614" t="s">
        <v>1646</v>
      </c>
      <c r="AS124" s="2645"/>
      <c r="AT124" s="2645"/>
      <c r="AU124" s="2615"/>
      <c r="AV124" s="2614" t="s">
        <v>1844</v>
      </c>
      <c r="AW124" s="2645"/>
      <c r="AX124" s="2645"/>
      <c r="AY124" s="2615"/>
      <c r="AZ124" s="114"/>
      <c r="BA124" s="114"/>
      <c r="BB124" s="114"/>
    </row>
    <row r="125" spans="1:55" s="116" customFormat="1" ht="12.75" customHeight="1" outlineLevel="1">
      <c r="A125" s="114"/>
      <c r="B125" s="1825"/>
      <c r="C125" s="1826"/>
      <c r="D125" s="1829" t="s">
        <v>444</v>
      </c>
      <c r="E125" s="1833" t="s">
        <v>453</v>
      </c>
      <c r="F125" s="1833" t="s">
        <v>533</v>
      </c>
      <c r="G125" s="1826"/>
      <c r="H125" s="1836"/>
      <c r="T125" s="114"/>
      <c r="U125" s="114"/>
      <c r="V125" s="114"/>
      <c r="W125" s="1825" t="s">
        <v>1649</v>
      </c>
      <c r="X125" s="2646" t="s">
        <v>1650</v>
      </c>
      <c r="Y125" s="2647"/>
      <c r="Z125" s="144"/>
      <c r="AA125" s="144"/>
      <c r="AB125" s="144"/>
      <c r="AC125" s="1836"/>
      <c r="AE125" s="1823" t="s">
        <v>211</v>
      </c>
      <c r="AF125" s="1824" t="s">
        <v>442</v>
      </c>
      <c r="AG125" s="1824" t="s">
        <v>267</v>
      </c>
      <c r="AH125" s="1824" t="s">
        <v>443</v>
      </c>
      <c r="AI125" s="589" t="s">
        <v>636</v>
      </c>
      <c r="AJ125" s="441"/>
      <c r="AK125" s="441"/>
      <c r="AL125" s="441"/>
      <c r="AM125" s="444"/>
      <c r="AN125" s="444"/>
      <c r="AO125" s="444"/>
      <c r="AP125" s="114"/>
      <c r="AR125" s="1837" t="s">
        <v>1643</v>
      </c>
      <c r="AS125" s="1839" t="s">
        <v>1640</v>
      </c>
      <c r="AT125" s="1839" t="s">
        <v>1641</v>
      </c>
      <c r="AU125" s="1839" t="s">
        <v>1642</v>
      </c>
      <c r="AV125" s="1837" t="s">
        <v>1643</v>
      </c>
      <c r="AW125" s="1839" t="s">
        <v>1640</v>
      </c>
      <c r="AX125" s="1839" t="s">
        <v>1641</v>
      </c>
      <c r="AY125" s="1838" t="s">
        <v>1642</v>
      </c>
      <c r="AZ125" s="114"/>
      <c r="BA125" s="114"/>
      <c r="BB125" s="114"/>
    </row>
    <row r="126" spans="1:55" s="116" customFormat="1" ht="12.75" customHeight="1" outlineLevel="1">
      <c r="A126" s="114"/>
      <c r="B126" s="143" t="s">
        <v>5212</v>
      </c>
      <c r="C126" s="1826"/>
      <c r="D126" s="315">
        <f>H126</f>
        <v>0</v>
      </c>
      <c r="E126" s="117"/>
      <c r="F126" s="117"/>
      <c r="G126" s="218">
        <f>VLOOKUP($B126&amp;"; "&amp;$G$124,'FE Energie'!$G:$U,9,FALSE)</f>
        <v>2.8000000000000001E-2</v>
      </c>
      <c r="H126" s="152">
        <f>F126*G126</f>
        <v>0</v>
      </c>
      <c r="T126" s="114"/>
      <c r="U126" s="114"/>
      <c r="V126" s="114"/>
      <c r="W126" s="226">
        <f>IF(AC126=0,AC126,AC126/H126)</f>
        <v>0</v>
      </c>
      <c r="X126" s="343"/>
      <c r="Y126" s="820"/>
      <c r="Z126" s="1826"/>
      <c r="AA126" s="1826"/>
      <c r="AB126" s="1826"/>
      <c r="AC126" s="152">
        <f>SQRT(SUMSQ(IF(ISNA($F126*G126*AW126),0,$F126*G126*AW126)))</f>
        <v>0</v>
      </c>
      <c r="AE126" s="564">
        <f>H126</f>
        <v>0</v>
      </c>
      <c r="AF126" s="565"/>
      <c r="AG126" s="565"/>
      <c r="AH126" s="565"/>
      <c r="AI126" s="590"/>
      <c r="AJ126" s="441"/>
      <c r="AK126" s="441"/>
      <c r="AL126" s="441"/>
      <c r="AM126" s="444"/>
      <c r="AN126" s="444"/>
      <c r="AO126" s="444"/>
      <c r="AP126" s="114"/>
      <c r="AR126" s="1065"/>
      <c r="AS126" s="1066">
        <f>IF($X126&lt;&gt;"votre valeur :",IF(ISNA(VLOOKUP($X126,Utilitaires!$N$566:$O$571,2,FALSE)),,VLOOKUP($X126,Utilitaires!$N$566:$O$571,2,FALSE)),$Y126)</f>
        <v>0</v>
      </c>
      <c r="AT126" s="1066"/>
      <c r="AU126" s="1066"/>
      <c r="AV126" s="1124"/>
      <c r="AW126" s="1068">
        <f>IF(ISNA(SQRT(SUMSQ(VLOOKUP($B126&amp;"; "&amp;$G$124,'FE Energie'!$G:$U,7,FALSE),$AS126))),0,SQRT(SUMSQ(VLOOKUP($B126&amp;"; "&amp;$G$124,'FE Energie'!$G:$U,7,FALSE),$AS126)))</f>
        <v>0.15</v>
      </c>
      <c r="AX126" s="1068"/>
      <c r="AY126" s="1125"/>
      <c r="AZ126" s="114"/>
      <c r="BA126" s="114"/>
      <c r="BB126" s="114"/>
    </row>
    <row r="127" spans="1:55" s="116" customFormat="1" ht="12.75" customHeight="1" outlineLevel="1">
      <c r="A127" s="114"/>
      <c r="B127" s="143" t="s">
        <v>2476</v>
      </c>
      <c r="C127" s="1826"/>
      <c r="D127" s="315">
        <f>H127</f>
        <v>0</v>
      </c>
      <c r="E127" s="120"/>
      <c r="F127" s="120"/>
      <c r="G127" s="218">
        <f>VLOOKUP($B127&amp;"; "&amp;$G$124,'FE Energie'!$G:$U,9,FALSE)</f>
        <v>0.436</v>
      </c>
      <c r="H127" s="152">
        <f>F127*G127</f>
        <v>0</v>
      </c>
      <c r="T127" s="114"/>
      <c r="U127" s="114"/>
      <c r="V127" s="114"/>
      <c r="W127" s="226">
        <f>IF(AC127=0,AC127,AC127/H127)</f>
        <v>0</v>
      </c>
      <c r="X127" s="344"/>
      <c r="Y127" s="820"/>
      <c r="Z127" s="1826"/>
      <c r="AA127" s="1826"/>
      <c r="AB127" s="1826"/>
      <c r="AC127" s="152">
        <f>SQRT(SUMSQ(IF(ISNA($F127*G127*AW127),0,$F127*G127*AW127)))</f>
        <v>0</v>
      </c>
      <c r="AE127" s="564">
        <f>H127</f>
        <v>0</v>
      </c>
      <c r="AF127" s="565"/>
      <c r="AG127" s="565"/>
      <c r="AH127" s="565"/>
      <c r="AI127" s="590"/>
      <c r="AJ127" s="441"/>
      <c r="AK127" s="441"/>
      <c r="AL127" s="441"/>
      <c r="AM127" s="444"/>
      <c r="AN127" s="444"/>
      <c r="AO127" s="444"/>
      <c r="AP127" s="114"/>
      <c r="AR127" s="1065"/>
      <c r="AS127" s="1066">
        <f>IF($X127&lt;&gt;"votre valeur :",IF(ISNA(VLOOKUP($X127,Utilitaires!$N$566:$O$571,2,FALSE)),,VLOOKUP($X127,Utilitaires!$N$566:$O$571,2,FALSE)),$Y127)</f>
        <v>0</v>
      </c>
      <c r="AT127" s="1066"/>
      <c r="AU127" s="1066"/>
      <c r="AV127" s="1124"/>
      <c r="AW127" s="1068">
        <f>IF(ISNA(SQRT(SUMSQ(VLOOKUP($B127&amp;"; "&amp;$G$124,'FE Energie'!$G:$U,7,FALSE),$AS127))),0,SQRT(SUMSQ(VLOOKUP($B127&amp;"; "&amp;$G$124,'FE Energie'!$G:$U,7,FALSE),$AS127)))</f>
        <v>0.15</v>
      </c>
      <c r="AX127" s="1068"/>
      <c r="AY127" s="1125"/>
      <c r="AZ127" s="114"/>
      <c r="BA127" s="114"/>
      <c r="BB127" s="114"/>
    </row>
    <row r="128" spans="1:55" s="116" customFormat="1" ht="12.75" customHeight="1" outlineLevel="1">
      <c r="A128" s="114"/>
      <c r="B128" s="143" t="s">
        <v>1791</v>
      </c>
      <c r="C128" s="1826"/>
      <c r="D128" s="315">
        <f>H128</f>
        <v>0</v>
      </c>
      <c r="E128" s="120"/>
      <c r="F128" s="120"/>
      <c r="G128" s="218">
        <f>VLOOKUP($B128&amp;"; "&amp;$G$124,'FE Energie'!$G:$U,9,FALSE)</f>
        <v>0.33</v>
      </c>
      <c r="H128" s="152">
        <f>F128*G128</f>
        <v>0</v>
      </c>
      <c r="T128" s="114"/>
      <c r="U128" s="114"/>
      <c r="V128" s="114"/>
      <c r="W128" s="226">
        <f>IF(AC128=0,AC128,AC128/H128)</f>
        <v>0</v>
      </c>
      <c r="X128" s="344"/>
      <c r="Y128" s="820"/>
      <c r="Z128" s="342"/>
      <c r="AA128" s="342"/>
      <c r="AB128" s="342"/>
      <c r="AC128" s="152">
        <f>SQRT(SUMSQ(IF(ISNA($F128*G128*AW128),0,$F128*G128*AW128)))</f>
        <v>0</v>
      </c>
      <c r="AE128" s="564">
        <f>H128</f>
        <v>0</v>
      </c>
      <c r="AF128" s="565"/>
      <c r="AG128" s="565"/>
      <c r="AH128" s="565"/>
      <c r="AI128" s="590"/>
      <c r="AJ128" s="441"/>
      <c r="AK128" s="441"/>
      <c r="AL128" s="441"/>
      <c r="AM128" s="444"/>
      <c r="AN128" s="444"/>
      <c r="AO128" s="444"/>
      <c r="AP128" s="114"/>
      <c r="AR128" s="1065"/>
      <c r="AS128" s="1066">
        <f>IF($X128&lt;&gt;"votre valeur :",IF(ISNA(VLOOKUP($X128,Utilitaires!$N$566:$O$571,2,FALSE)),,VLOOKUP($X128,Utilitaires!$N$566:$O$571,2,FALSE)),$Y128)</f>
        <v>0</v>
      </c>
      <c r="AT128" s="1066"/>
      <c r="AU128" s="1066"/>
      <c r="AV128" s="1124"/>
      <c r="AW128" s="1068">
        <f>IF(ISNA(SQRT(SUMSQ(VLOOKUP($B128&amp;"; "&amp;$G$124,'FE Energie'!$G:$U,7,FALSE),$AS128))),0,SQRT(SUMSQ(VLOOKUP($B128&amp;"; "&amp;$G$124,'FE Energie'!$G:$U,7,FALSE),$AS128)))</f>
        <v>0.15</v>
      </c>
      <c r="AX128" s="1068"/>
      <c r="AY128" s="1125"/>
      <c r="AZ128" s="114"/>
      <c r="BA128" s="114"/>
      <c r="BB128" s="114"/>
    </row>
    <row r="129" spans="1:55" s="116" customFormat="1" ht="12.75" customHeight="1" outlineLevel="1">
      <c r="A129" s="114"/>
      <c r="B129" s="143" t="s">
        <v>2477</v>
      </c>
      <c r="C129" s="1826"/>
      <c r="D129" s="315">
        <f>H129</f>
        <v>0</v>
      </c>
      <c r="E129" s="120"/>
      <c r="F129" s="120"/>
      <c r="G129" s="218">
        <f>VLOOKUP($B129&amp;"; "&amp;$G$124,'FE Energie'!$G:$U,9,FALSE)</f>
        <v>0.72099999999999997</v>
      </c>
      <c r="H129" s="152">
        <f>F129*G129</f>
        <v>0</v>
      </c>
      <c r="T129" s="114"/>
      <c r="U129" s="114"/>
      <c r="V129" s="114"/>
      <c r="W129" s="226">
        <f>IF(AC129=0,AC129,AC129/H129)</f>
        <v>0</v>
      </c>
      <c r="X129" s="344"/>
      <c r="Y129" s="820"/>
      <c r="Z129" s="342"/>
      <c r="AA129" s="342"/>
      <c r="AB129" s="342"/>
      <c r="AC129" s="152">
        <f>SQRT(SUMSQ(IF(ISNA($F129*G129*AW129),0,$F129*G129*AW129)))</f>
        <v>0</v>
      </c>
      <c r="AE129" s="564">
        <f>H129</f>
        <v>0</v>
      </c>
      <c r="AF129" s="565"/>
      <c r="AG129" s="565"/>
      <c r="AH129" s="565"/>
      <c r="AI129" s="590"/>
      <c r="AJ129" s="441"/>
      <c r="AK129" s="441"/>
      <c r="AL129" s="441"/>
      <c r="AM129" s="444"/>
      <c r="AN129" s="444"/>
      <c r="AO129" s="444"/>
      <c r="AP129" s="114"/>
      <c r="AR129" s="1065"/>
      <c r="AS129" s="1066">
        <f>IF($X129&lt;&gt;"votre valeur :",IF(ISNA(VLOOKUP($X129,Utilitaires!$N$566:$O$571,2,FALSE)),,VLOOKUP($X129,Utilitaires!$N$566:$O$571,2,FALSE)),$Y129)</f>
        <v>0</v>
      </c>
      <c r="AT129" s="1066"/>
      <c r="AU129" s="1066"/>
      <c r="AV129" s="1124"/>
      <c r="AW129" s="1068">
        <f>IF(ISNA(SQRT(SUMSQ(VLOOKUP($B129&amp;"; "&amp;$G$124,'FE Energie'!$G:$U,7,FALSE),$AS129))),0,SQRT(SUMSQ(VLOOKUP($B129&amp;"; "&amp;$G$124,'FE Energie'!$G:$U,7,FALSE),$AS129)))</f>
        <v>0.15</v>
      </c>
      <c r="AX129" s="1068"/>
      <c r="AY129" s="1125"/>
      <c r="AZ129" s="114"/>
      <c r="BA129" s="114"/>
      <c r="BB129" s="114"/>
    </row>
    <row r="130" spans="1:55" s="116" customFormat="1" ht="12.75" customHeight="1" outlineLevel="1">
      <c r="A130" s="114"/>
      <c r="B130" s="143" t="s">
        <v>2478</v>
      </c>
      <c r="C130" s="1826"/>
      <c r="D130" s="315">
        <f>H130</f>
        <v>0</v>
      </c>
      <c r="E130" s="123"/>
      <c r="F130" s="123"/>
      <c r="G130" s="218">
        <f>VLOOKUP($B130&amp;"; "&amp;$G$124,'FE Energie'!$G:$U,9,FALSE)</f>
        <v>0.35</v>
      </c>
      <c r="H130" s="152">
        <f>F130*G130</f>
        <v>0</v>
      </c>
      <c r="T130" s="114"/>
      <c r="U130" s="114"/>
      <c r="V130" s="114"/>
      <c r="W130" s="226">
        <f>IF(AC130=0,AC130,AC130/H130)</f>
        <v>0</v>
      </c>
      <c r="X130" s="345"/>
      <c r="Y130" s="820"/>
      <c r="Z130" s="342"/>
      <c r="AA130" s="342"/>
      <c r="AB130" s="342"/>
      <c r="AC130" s="152">
        <f>SQRT(SUMSQ(IF(ISNA($F130*G130*AW130),0,$F130*G130*AW130)))</f>
        <v>0</v>
      </c>
      <c r="AE130" s="564">
        <f>H130</f>
        <v>0</v>
      </c>
      <c r="AF130" s="565"/>
      <c r="AG130" s="565"/>
      <c r="AH130" s="565"/>
      <c r="AI130" s="590"/>
      <c r="AJ130" s="441"/>
      <c r="AK130" s="441"/>
      <c r="AL130" s="441"/>
      <c r="AM130" s="444"/>
      <c r="AN130" s="444"/>
      <c r="AO130" s="444"/>
      <c r="AP130" s="114"/>
      <c r="AR130" s="1065"/>
      <c r="AS130" s="1066">
        <f>IF($X130&lt;&gt;"votre valeur :",IF(ISNA(VLOOKUP($X130,Utilitaires!$N$566:$O$571,2,FALSE)),,VLOOKUP($X130,Utilitaires!$N$566:$O$571,2,FALSE)),$Y130)</f>
        <v>0</v>
      </c>
      <c r="AT130" s="1066"/>
      <c r="AU130" s="1066"/>
      <c r="AV130" s="1124"/>
      <c r="AW130" s="1068">
        <f>IF(ISNA(SQRT(SUMSQ(VLOOKUP($B130&amp;"; "&amp;$G$124,'FE Energie'!$G:$U,7,FALSE),$AS130))),0,SQRT(SUMSQ(VLOOKUP($B130&amp;"; "&amp;$G$124,'FE Energie'!$G:$U,7,FALSE),$AS130)))</f>
        <v>0.15</v>
      </c>
      <c r="AX130" s="1068"/>
      <c r="AY130" s="1125"/>
      <c r="AZ130" s="114"/>
      <c r="BA130" s="114"/>
      <c r="BB130" s="114"/>
    </row>
    <row r="131" spans="1:55" s="116" customFormat="1" ht="12.75" customHeight="1" outlineLevel="1">
      <c r="A131" s="114"/>
      <c r="B131" s="143"/>
      <c r="C131" s="144"/>
      <c r="D131" s="315"/>
      <c r="E131" s="155"/>
      <c r="F131" s="144"/>
      <c r="G131" s="144"/>
      <c r="H131" s="152"/>
      <c r="T131" s="114"/>
      <c r="U131" s="114"/>
      <c r="V131" s="114"/>
      <c r="W131" s="143"/>
      <c r="X131" s="823"/>
      <c r="Y131" s="823"/>
      <c r="Z131" s="144"/>
      <c r="AA131" s="144"/>
      <c r="AB131" s="144"/>
      <c r="AC131" s="165"/>
      <c r="AE131" s="564"/>
      <c r="AF131" s="565"/>
      <c r="AG131" s="565"/>
      <c r="AH131" s="565"/>
      <c r="AI131" s="591"/>
      <c r="AJ131" s="441"/>
      <c r="AK131" s="441"/>
      <c r="AL131" s="441"/>
      <c r="AM131" s="444"/>
      <c r="AN131" s="444"/>
      <c r="AO131" s="444"/>
      <c r="AP131" s="114"/>
      <c r="AQ131" s="114"/>
      <c r="AR131" s="1087"/>
      <c r="AS131" s="1088"/>
      <c r="AT131" s="1088"/>
      <c r="AU131" s="1088"/>
      <c r="AV131" s="1126"/>
      <c r="AW131" s="1073"/>
      <c r="AX131" s="1073"/>
      <c r="AY131" s="1074"/>
      <c r="AZ131" s="114"/>
      <c r="BA131" s="114"/>
      <c r="BB131" s="114"/>
    </row>
    <row r="132" spans="1:55" s="116" customFormat="1" ht="12.75" customHeight="1" outlineLevel="1">
      <c r="A132" s="114"/>
      <c r="B132" s="196" t="s">
        <v>348</v>
      </c>
      <c r="C132" s="197"/>
      <c r="D132" s="202">
        <f>SUM(D126:D131)</f>
        <v>0</v>
      </c>
      <c r="E132" s="198"/>
      <c r="F132" s="199"/>
      <c r="G132" s="199"/>
      <c r="H132" s="200">
        <f>SUM(H126:H131)</f>
        <v>0</v>
      </c>
      <c r="T132" s="114"/>
      <c r="U132" s="114"/>
      <c r="V132" s="114"/>
      <c r="W132" s="1203">
        <f>IF(AC132=0,AC132,AC132/H132)</f>
        <v>0</v>
      </c>
      <c r="X132" s="821"/>
      <c r="Y132" s="821"/>
      <c r="Z132" s="199"/>
      <c r="AA132" s="199"/>
      <c r="AB132" s="199"/>
      <c r="AC132" s="200">
        <f>SQRT(SUMSQ(AC126:AC131))</f>
        <v>0</v>
      </c>
      <c r="AE132" s="571">
        <f>SUM(AE126:AE131)</f>
        <v>0</v>
      </c>
      <c r="AF132" s="572">
        <f>SUM(AF126:AF131)</f>
        <v>0</v>
      </c>
      <c r="AG132" s="572">
        <f>SUM(AG126:AG131)</f>
        <v>0</v>
      </c>
      <c r="AH132" s="572">
        <f>SUM(AH126:AH131)</f>
        <v>0</v>
      </c>
      <c r="AI132" s="592">
        <f>SUM(AI126:AI131)</f>
        <v>0</v>
      </c>
      <c r="AJ132" s="441"/>
      <c r="AK132" s="441"/>
      <c r="AL132" s="441"/>
      <c r="AM132" s="444"/>
      <c r="AN132" s="444"/>
      <c r="AO132" s="444"/>
      <c r="AP132" s="114"/>
      <c r="AQ132" s="114"/>
      <c r="AR132" s="114"/>
      <c r="AS132" s="114"/>
      <c r="AT132" s="114"/>
      <c r="AU132" s="114"/>
      <c r="AV132" s="114"/>
      <c r="AW132" s="114"/>
      <c r="AX132" s="114"/>
      <c r="AY132" s="114"/>
      <c r="AZ132" s="114"/>
      <c r="BA132" s="114"/>
      <c r="BB132" s="114"/>
    </row>
    <row r="133" spans="1:55" s="116" customFormat="1" ht="12.75" customHeight="1" outlineLevel="1">
      <c r="A133" s="114"/>
      <c r="B133" s="114"/>
      <c r="C133" s="114"/>
      <c r="D133" s="114"/>
      <c r="E133" s="114"/>
      <c r="F133" s="114"/>
      <c r="G133" s="114"/>
      <c r="H133" s="114"/>
      <c r="T133" s="114"/>
      <c r="U133" s="114"/>
      <c r="V133" s="114"/>
      <c r="W133" s="114"/>
      <c r="X133" s="126"/>
      <c r="Y133" s="126"/>
      <c r="Z133" s="114"/>
      <c r="AA133" s="114"/>
      <c r="AB133" s="114"/>
      <c r="AC133" s="114"/>
      <c r="AE133" s="441"/>
      <c r="AF133" s="441"/>
      <c r="AG133" s="441"/>
      <c r="AH133" s="441"/>
      <c r="AI133" s="441"/>
      <c r="AJ133" s="441"/>
      <c r="AK133" s="441"/>
      <c r="AL133" s="441"/>
      <c r="AM133" s="444"/>
      <c r="AN133" s="444"/>
      <c r="AO133" s="444"/>
      <c r="AP133" s="441"/>
      <c r="AQ133" s="114"/>
      <c r="AR133" s="114"/>
      <c r="AS133" s="114"/>
      <c r="AT133" s="114"/>
      <c r="AU133" s="114"/>
      <c r="AV133" s="114"/>
      <c r="AW133" s="114"/>
      <c r="AX133" s="114"/>
      <c r="AY133" s="114"/>
      <c r="AZ133" s="114"/>
      <c r="BA133" s="114"/>
      <c r="BB133" s="114"/>
      <c r="BC133" s="114"/>
    </row>
    <row r="134" spans="1:55" s="116" customFormat="1" ht="12.75" customHeight="1" outlineLevel="1">
      <c r="A134" s="114"/>
      <c r="B134" s="139" t="s">
        <v>2390</v>
      </c>
      <c r="C134" s="140"/>
      <c r="D134" s="141"/>
      <c r="E134" s="1822"/>
      <c r="F134" s="141"/>
      <c r="G134" s="141"/>
      <c r="H134" s="142"/>
      <c r="T134" s="114"/>
      <c r="U134" s="114"/>
      <c r="V134" s="114"/>
      <c r="W134" s="2636" t="s">
        <v>366</v>
      </c>
      <c r="X134" s="2637"/>
      <c r="Y134" s="2637"/>
      <c r="Z134" s="2637"/>
      <c r="AA134" s="2637"/>
      <c r="AB134" s="2637"/>
      <c r="AC134" s="2638"/>
      <c r="AE134" s="2639" t="s">
        <v>441</v>
      </c>
      <c r="AF134" s="2640"/>
      <c r="AG134" s="2640"/>
      <c r="AH134" s="2640"/>
      <c r="AI134" s="2641"/>
      <c r="AJ134" s="441"/>
      <c r="AK134" s="441"/>
      <c r="AL134" s="441"/>
      <c r="AM134" s="444"/>
      <c r="AN134" s="444"/>
      <c r="AO134" s="444"/>
      <c r="AP134" s="114"/>
      <c r="AQ134" s="114"/>
      <c r="AR134" s="114"/>
      <c r="AS134" s="114"/>
      <c r="AT134" s="114"/>
      <c r="AU134" s="114"/>
      <c r="AV134" s="114"/>
      <c r="AW134" s="114"/>
      <c r="AX134" s="114"/>
      <c r="AY134" s="114"/>
      <c r="AZ134" s="114"/>
      <c r="BA134" s="114"/>
      <c r="BB134" s="114"/>
    </row>
    <row r="135" spans="1:55" s="116" customFormat="1" ht="12.75" customHeight="1" outlineLevel="1">
      <c r="A135" s="114"/>
      <c r="B135" s="143"/>
      <c r="C135" s="144"/>
      <c r="D135" s="1834" t="s">
        <v>308</v>
      </c>
      <c r="E135" s="1826"/>
      <c r="F135" s="144"/>
      <c r="G135" s="144"/>
      <c r="H135" s="145"/>
      <c r="T135" s="114"/>
      <c r="U135" s="114"/>
      <c r="V135" s="114"/>
      <c r="W135" s="1825"/>
      <c r="X135" s="819"/>
      <c r="Y135" s="819"/>
      <c r="Z135" s="819"/>
      <c r="AA135" s="819"/>
      <c r="AB135" s="819"/>
      <c r="AC135" s="145"/>
      <c r="AE135" s="584"/>
      <c r="AF135" s="585"/>
      <c r="AG135" s="585"/>
      <c r="AH135" s="585"/>
      <c r="AI135" s="586"/>
      <c r="AJ135" s="441"/>
      <c r="AK135" s="441"/>
      <c r="AL135" s="441"/>
      <c r="AM135" s="444"/>
      <c r="AN135" s="444"/>
      <c r="AO135" s="444"/>
      <c r="AP135" s="114"/>
      <c r="AQ135" s="114"/>
      <c r="AR135" s="2616" t="s">
        <v>1648</v>
      </c>
      <c r="AS135" s="2617"/>
      <c r="AT135" s="2617"/>
      <c r="AU135" s="2617"/>
      <c r="AV135" s="2617"/>
      <c r="AW135" s="2617"/>
      <c r="AX135" s="2617"/>
      <c r="AY135" s="2618"/>
      <c r="AZ135" s="114"/>
      <c r="BA135" s="114"/>
      <c r="BB135" s="114"/>
    </row>
    <row r="136" spans="1:55" s="116" customFormat="1" ht="12.75" customHeight="1" outlineLevel="1">
      <c r="A136" s="114"/>
      <c r="B136" s="1825" t="s">
        <v>640</v>
      </c>
      <c r="C136" s="1826"/>
      <c r="D136" s="1834" t="s">
        <v>409</v>
      </c>
      <c r="E136" s="147" t="s">
        <v>452</v>
      </c>
      <c r="F136" s="147" t="s">
        <v>343</v>
      </c>
      <c r="G136" s="1826" t="s">
        <v>1681</v>
      </c>
      <c r="H136" s="1836" t="s">
        <v>444</v>
      </c>
      <c r="T136" s="114"/>
      <c r="U136" s="114"/>
      <c r="V136" s="114"/>
      <c r="W136" s="1825" t="s">
        <v>316</v>
      </c>
      <c r="X136" s="2629" t="s">
        <v>316</v>
      </c>
      <c r="Y136" s="2630"/>
      <c r="Z136" s="819"/>
      <c r="AA136" s="819"/>
      <c r="AB136" s="819"/>
      <c r="AC136" s="1836" t="s">
        <v>444</v>
      </c>
      <c r="AE136" s="2657" t="s">
        <v>444</v>
      </c>
      <c r="AF136" s="2658"/>
      <c r="AG136" s="2658"/>
      <c r="AH136" s="2659"/>
      <c r="AI136" s="587"/>
      <c r="AJ136" s="441"/>
      <c r="AK136" s="441"/>
      <c r="AL136" s="441"/>
      <c r="AM136" s="444"/>
      <c r="AN136" s="444"/>
      <c r="AO136" s="444"/>
      <c r="AP136" s="114"/>
      <c r="AQ136" s="114"/>
      <c r="AR136" s="2614" t="s">
        <v>1646</v>
      </c>
      <c r="AS136" s="2645"/>
      <c r="AT136" s="2645"/>
      <c r="AU136" s="2615"/>
      <c r="AV136" s="2614" t="s">
        <v>1844</v>
      </c>
      <c r="AW136" s="2645"/>
      <c r="AX136" s="2645"/>
      <c r="AY136" s="2615"/>
      <c r="AZ136" s="114"/>
      <c r="BA136" s="114"/>
      <c r="BB136" s="114"/>
    </row>
    <row r="137" spans="1:55" s="116" customFormat="1" ht="12.75" customHeight="1" outlineLevel="1">
      <c r="A137" s="114"/>
      <c r="B137" s="1825"/>
      <c r="C137" s="1826"/>
      <c r="D137" s="1829" t="s">
        <v>444</v>
      </c>
      <c r="E137" s="1833" t="s">
        <v>453</v>
      </c>
      <c r="F137" s="153" t="s">
        <v>533</v>
      </c>
      <c r="G137" s="1826"/>
      <c r="H137" s="1836"/>
      <c r="T137" s="114"/>
      <c r="U137" s="114"/>
      <c r="V137" s="114"/>
      <c r="W137" s="1825" t="s">
        <v>1649</v>
      </c>
      <c r="X137" s="2646" t="s">
        <v>1650</v>
      </c>
      <c r="Y137" s="2647"/>
      <c r="Z137" s="819"/>
      <c r="AA137" s="819"/>
      <c r="AB137" s="819"/>
      <c r="AC137" s="1836"/>
      <c r="AE137" s="1823" t="s">
        <v>211</v>
      </c>
      <c r="AF137" s="1824" t="s">
        <v>442</v>
      </c>
      <c r="AG137" s="1824" t="s">
        <v>267</v>
      </c>
      <c r="AH137" s="1824" t="s">
        <v>443</v>
      </c>
      <c r="AI137" s="589" t="s">
        <v>636</v>
      </c>
      <c r="AJ137" s="441"/>
      <c r="AK137" s="441"/>
      <c r="AL137" s="441"/>
      <c r="AM137" s="444"/>
      <c r="AN137" s="444"/>
      <c r="AO137" s="444"/>
      <c r="AP137" s="114"/>
      <c r="AQ137" s="114"/>
      <c r="AR137" s="1837" t="s">
        <v>1643</v>
      </c>
      <c r="AS137" s="1839" t="s">
        <v>1640</v>
      </c>
      <c r="AT137" s="1839" t="s">
        <v>1641</v>
      </c>
      <c r="AU137" s="1839" t="s">
        <v>1642</v>
      </c>
      <c r="AV137" s="1837" t="s">
        <v>1643</v>
      </c>
      <c r="AW137" s="1839" t="s">
        <v>1640</v>
      </c>
      <c r="AX137" s="1839" t="s">
        <v>1641</v>
      </c>
      <c r="AY137" s="1838" t="s">
        <v>1642</v>
      </c>
      <c r="AZ137" s="114"/>
      <c r="BA137" s="114"/>
      <c r="BB137" s="114"/>
    </row>
    <row r="138" spans="1:55" s="116" customFormat="1" ht="12.75" customHeight="1" outlineLevel="1">
      <c r="A138" s="114"/>
      <c r="B138" s="178" t="s">
        <v>1910</v>
      </c>
      <c r="C138" s="1826"/>
      <c r="D138" s="315">
        <f t="shared" ref="D138:D149" si="24">H138</f>
        <v>0</v>
      </c>
      <c r="E138" s="117"/>
      <c r="F138" s="117"/>
      <c r="G138" s="218">
        <f>VLOOKUP($B138&amp;"; "&amp;$G$136,'FE Energie'!$G:$U,9,FALSE)</f>
        <v>3.1E-2</v>
      </c>
      <c r="H138" s="152">
        <f t="shared" ref="H138:H149" si="25">F138*G138</f>
        <v>0</v>
      </c>
      <c r="T138" s="114"/>
      <c r="U138" s="114"/>
      <c r="V138" s="114"/>
      <c r="W138" s="226">
        <f t="shared" ref="W138:W149" si="26">IF(AC138=0,AC138,AC138/H138)</f>
        <v>0</v>
      </c>
      <c r="X138" s="343"/>
      <c r="Y138" s="820"/>
      <c r="Z138" s="819"/>
      <c r="AA138" s="819"/>
      <c r="AB138" s="819"/>
      <c r="AC138" s="152">
        <f t="shared" ref="AC138:AC149" si="27">SQRT(SUMSQ(IF(ISNA($F138*G138*AW138),0,$F138*G138*AW138)))</f>
        <v>0</v>
      </c>
      <c r="AE138" s="564">
        <f t="shared" ref="AE138:AE149" si="28">H138</f>
        <v>0</v>
      </c>
      <c r="AF138" s="565"/>
      <c r="AG138" s="565"/>
      <c r="AH138" s="565"/>
      <c r="AI138" s="590"/>
      <c r="AJ138" s="441"/>
      <c r="AK138" s="441"/>
      <c r="AL138" s="441"/>
      <c r="AM138" s="444"/>
      <c r="AN138" s="444"/>
      <c r="AO138" s="444"/>
      <c r="AP138" s="114"/>
      <c r="AQ138" s="114"/>
      <c r="AR138" s="1065"/>
      <c r="AS138" s="1066">
        <f>IF($X138&lt;&gt;"votre valeur :",IF(ISNA(VLOOKUP($X138,Utilitaires!$N$566:$O$571,2,FALSE)),,VLOOKUP($X138,Utilitaires!$N$566:$O$571,2,FALSE)),$Y138)</f>
        <v>0</v>
      </c>
      <c r="AT138" s="1066"/>
      <c r="AU138" s="1066"/>
      <c r="AV138" s="1124"/>
      <c r="AW138" s="1068">
        <f>IF(ISNA(SQRT(SUMSQ(VLOOKUP($B138&amp;"; "&amp;$G$136,'FE Energie'!$G:$U,7,FALSE),$AS138))),0,SQRT(SUMSQ(VLOOKUP($B138&amp;"; "&amp;$G$136,'FE Energie'!$G:$U,7,FALSE),$AS138)))</f>
        <v>0.1</v>
      </c>
      <c r="AX138" s="1068"/>
      <c r="AY138" s="1125"/>
      <c r="AZ138" s="114"/>
      <c r="BA138" s="114"/>
      <c r="BB138" s="114"/>
    </row>
    <row r="139" spans="1:55" s="116" customFormat="1" ht="12.75" customHeight="1" outlineLevel="1">
      <c r="A139" s="114"/>
      <c r="B139" s="178" t="s">
        <v>1911</v>
      </c>
      <c r="C139" s="1826"/>
      <c r="D139" s="315">
        <f t="shared" si="24"/>
        <v>0</v>
      </c>
      <c r="E139" s="120"/>
      <c r="F139" s="120"/>
      <c r="G139" s="218">
        <f>VLOOKUP($B139&amp;"; "&amp;$G$136,'FE Energie'!$G:$U,9,FALSE)</f>
        <v>4.1000000000000002E-2</v>
      </c>
      <c r="H139" s="152">
        <f t="shared" si="25"/>
        <v>0</v>
      </c>
      <c r="T139" s="114"/>
      <c r="U139" s="114"/>
      <c r="V139" s="114"/>
      <c r="W139" s="226">
        <f t="shared" si="26"/>
        <v>0</v>
      </c>
      <c r="X139" s="344"/>
      <c r="Y139" s="820"/>
      <c r="Z139" s="819"/>
      <c r="AA139" s="819"/>
      <c r="AB139" s="819"/>
      <c r="AC139" s="152">
        <f t="shared" si="27"/>
        <v>0</v>
      </c>
      <c r="AE139" s="564">
        <f t="shared" si="28"/>
        <v>0</v>
      </c>
      <c r="AF139" s="565"/>
      <c r="AG139" s="565"/>
      <c r="AH139" s="565"/>
      <c r="AI139" s="590"/>
      <c r="AJ139" s="441"/>
      <c r="AK139" s="441"/>
      <c r="AL139" s="441"/>
      <c r="AM139" s="444"/>
      <c r="AN139" s="444"/>
      <c r="AO139" s="444"/>
      <c r="AP139" s="114"/>
      <c r="AQ139" s="114"/>
      <c r="AR139" s="1065"/>
      <c r="AS139" s="1066">
        <f>IF($X139&lt;&gt;"votre valeur :",IF(ISNA(VLOOKUP($X139,Utilitaires!$N$566:$O$571,2,FALSE)),,VLOOKUP($X139,Utilitaires!$N$566:$O$571,2,FALSE)),$Y139)</f>
        <v>0</v>
      </c>
      <c r="AT139" s="1066"/>
      <c r="AU139" s="1066"/>
      <c r="AV139" s="1124"/>
      <c r="AW139" s="1068">
        <f>IF(ISNA(SQRT(SUMSQ(VLOOKUP($B139&amp;"; "&amp;$G$136,'FE Energie'!$G:$U,7,FALSE),$AS139))),0,SQRT(SUMSQ(VLOOKUP($B139&amp;"; "&amp;$G$136,'FE Energie'!$G:$U,7,FALSE),$AS139)))</f>
        <v>0.1</v>
      </c>
      <c r="AX139" s="1068"/>
      <c r="AY139" s="1125"/>
      <c r="AZ139" s="114"/>
      <c r="BA139" s="114"/>
      <c r="BB139" s="114"/>
    </row>
    <row r="140" spans="1:55" s="116" customFormat="1" ht="12.75" customHeight="1" outlineLevel="1">
      <c r="A140" s="114"/>
      <c r="B140" s="178" t="s">
        <v>1912</v>
      </c>
      <c r="C140" s="1826"/>
      <c r="D140" s="315">
        <f t="shared" si="24"/>
        <v>0</v>
      </c>
      <c r="E140" s="120"/>
      <c r="F140" s="120"/>
      <c r="G140" s="218">
        <f>VLOOKUP($B140&amp;"; "&amp;$G$136,'FE Energie'!$G:$U,9,FALSE)</f>
        <v>0.04</v>
      </c>
      <c r="H140" s="152">
        <f t="shared" si="25"/>
        <v>0</v>
      </c>
      <c r="T140" s="114"/>
      <c r="U140" s="114"/>
      <c r="V140" s="114"/>
      <c r="W140" s="226">
        <f t="shared" si="26"/>
        <v>0</v>
      </c>
      <c r="X140" s="344"/>
      <c r="Y140" s="820"/>
      <c r="Z140" s="819"/>
      <c r="AA140" s="819"/>
      <c r="AB140" s="819"/>
      <c r="AC140" s="152">
        <f t="shared" si="27"/>
        <v>0</v>
      </c>
      <c r="AE140" s="564">
        <f t="shared" si="28"/>
        <v>0</v>
      </c>
      <c r="AF140" s="565"/>
      <c r="AG140" s="565"/>
      <c r="AH140" s="565"/>
      <c r="AI140" s="590"/>
      <c r="AJ140" s="441"/>
      <c r="AK140" s="441"/>
      <c r="AL140" s="441"/>
      <c r="AM140" s="444"/>
      <c r="AN140" s="444"/>
      <c r="AO140" s="444"/>
      <c r="AP140" s="114"/>
      <c r="AQ140" s="114"/>
      <c r="AR140" s="1065"/>
      <c r="AS140" s="1066">
        <f>IF($X140&lt;&gt;"votre valeur :",IF(ISNA(VLOOKUP($X140,Utilitaires!$N$566:$O$571,2,FALSE)),,VLOOKUP($X140,Utilitaires!$N$566:$O$571,2,FALSE)),$Y140)</f>
        <v>0</v>
      </c>
      <c r="AT140" s="1066"/>
      <c r="AU140" s="1066"/>
      <c r="AV140" s="1124"/>
      <c r="AW140" s="1068">
        <f>IF(ISNA(SQRT(SUMSQ(VLOOKUP($B140&amp;"; "&amp;$G$136,'FE Energie'!$G:$U,7,FALSE),$AS140))),0,SQRT(SUMSQ(VLOOKUP($B140&amp;"; "&amp;$G$136,'FE Energie'!$G:$U,7,FALSE),$AS140)))</f>
        <v>0.1</v>
      </c>
      <c r="AX140" s="1068"/>
      <c r="AY140" s="1125"/>
      <c r="AZ140" s="114"/>
      <c r="BA140" s="114"/>
      <c r="BB140" s="114"/>
    </row>
    <row r="141" spans="1:55" s="116" customFormat="1" ht="12.75" customHeight="1" outlineLevel="1">
      <c r="A141" s="114"/>
      <c r="B141" s="178" t="s">
        <v>1914</v>
      </c>
      <c r="C141" s="1826"/>
      <c r="D141" s="315">
        <f t="shared" si="24"/>
        <v>0</v>
      </c>
      <c r="E141" s="120"/>
      <c r="F141" s="120"/>
      <c r="G141" s="218">
        <f>VLOOKUP($B141&amp;"; "&amp;$G$136,'FE Energie'!$G:$U,9,FALSE)</f>
        <v>2.7E-2</v>
      </c>
      <c r="H141" s="152">
        <f t="shared" si="25"/>
        <v>0</v>
      </c>
      <c r="T141" s="114"/>
      <c r="U141" s="114"/>
      <c r="V141" s="114"/>
      <c r="W141" s="226">
        <f t="shared" si="26"/>
        <v>0</v>
      </c>
      <c r="X141" s="344"/>
      <c r="Y141" s="820"/>
      <c r="Z141" s="819"/>
      <c r="AA141" s="819"/>
      <c r="AB141" s="819"/>
      <c r="AC141" s="152">
        <f t="shared" si="27"/>
        <v>0</v>
      </c>
      <c r="AE141" s="564">
        <f t="shared" si="28"/>
        <v>0</v>
      </c>
      <c r="AF141" s="565"/>
      <c r="AG141" s="565"/>
      <c r="AH141" s="565"/>
      <c r="AI141" s="590"/>
      <c r="AJ141" s="441"/>
      <c r="AK141" s="441"/>
      <c r="AL141" s="441"/>
      <c r="AM141" s="444"/>
      <c r="AN141" s="444"/>
      <c r="AO141" s="444"/>
      <c r="AP141" s="114"/>
      <c r="AQ141" s="114"/>
      <c r="AR141" s="1065"/>
      <c r="AS141" s="1066">
        <f>IF($X141&lt;&gt;"votre valeur :",IF(ISNA(VLOOKUP($X141,Utilitaires!$N$566:$O$571,2,FALSE)),,VLOOKUP($X141,Utilitaires!$N$566:$O$571,2,FALSE)),$Y141)</f>
        <v>0</v>
      </c>
      <c r="AT141" s="1066"/>
      <c r="AU141" s="1066"/>
      <c r="AV141" s="1124"/>
      <c r="AW141" s="1068">
        <f>IF(ISNA(SQRT(SUMSQ(VLOOKUP($B141&amp;"; "&amp;$G$136,'FE Energie'!$G:$U,7,FALSE),$AS141))),0,SQRT(SUMSQ(VLOOKUP($B141&amp;"; "&amp;$G$136,'FE Energie'!$G:$U,7,FALSE),$AS141)))</f>
        <v>0.1</v>
      </c>
      <c r="AX141" s="1068"/>
      <c r="AY141" s="1125"/>
      <c r="AZ141" s="114"/>
      <c r="BA141" s="114"/>
      <c r="BB141" s="114"/>
    </row>
    <row r="142" spans="1:55" s="116" customFormat="1" ht="12.75" customHeight="1" outlineLevel="1">
      <c r="A142" s="114"/>
      <c r="B142" s="178" t="s">
        <v>1915</v>
      </c>
      <c r="C142" s="1826"/>
      <c r="D142" s="315">
        <f t="shared" si="24"/>
        <v>0</v>
      </c>
      <c r="E142" s="120"/>
      <c r="F142" s="120"/>
      <c r="G142" s="218">
        <f>VLOOKUP($B142&amp;"; "&amp;$G$136,'FE Energie'!$G:$U,9,FALSE)</f>
        <v>3.3000000000000002E-2</v>
      </c>
      <c r="H142" s="152">
        <f t="shared" si="25"/>
        <v>0</v>
      </c>
      <c r="T142" s="114"/>
      <c r="U142" s="114"/>
      <c r="V142" s="114"/>
      <c r="W142" s="226">
        <f t="shared" si="26"/>
        <v>0</v>
      </c>
      <c r="X142" s="344"/>
      <c r="Y142" s="820"/>
      <c r="Z142" s="819"/>
      <c r="AA142" s="819"/>
      <c r="AB142" s="819"/>
      <c r="AC142" s="152">
        <f t="shared" si="27"/>
        <v>0</v>
      </c>
      <c r="AE142" s="564">
        <f t="shared" si="28"/>
        <v>0</v>
      </c>
      <c r="AF142" s="565"/>
      <c r="AG142" s="565"/>
      <c r="AH142" s="565"/>
      <c r="AI142" s="590"/>
      <c r="AJ142" s="441"/>
      <c r="AK142" s="441"/>
      <c r="AL142" s="441"/>
      <c r="AM142" s="444"/>
      <c r="AN142" s="444"/>
      <c r="AO142" s="444"/>
      <c r="AP142" s="114"/>
      <c r="AQ142" s="114"/>
      <c r="AR142" s="1065"/>
      <c r="AS142" s="1066">
        <f>IF($X142&lt;&gt;"votre valeur :",IF(ISNA(VLOOKUP($X142,Utilitaires!$N$566:$O$571,2,FALSE)),,VLOOKUP($X142,Utilitaires!$N$566:$O$571,2,FALSE)),$Y142)</f>
        <v>0</v>
      </c>
      <c r="AT142" s="1066"/>
      <c r="AU142" s="1066"/>
      <c r="AV142" s="1124"/>
      <c r="AW142" s="1068">
        <f>IF(ISNA(SQRT(SUMSQ(VLOOKUP($B142&amp;"; "&amp;$G$136,'FE Energie'!$G:$U,7,FALSE),$AS142))),0,SQRT(SUMSQ(VLOOKUP($B142&amp;"; "&amp;$G$136,'FE Energie'!$G:$U,7,FALSE),$AS142)))</f>
        <v>0.1</v>
      </c>
      <c r="AX142" s="1068"/>
      <c r="AY142" s="1125"/>
      <c r="AZ142" s="114"/>
      <c r="BA142" s="114"/>
      <c r="BB142" s="114"/>
    </row>
    <row r="143" spans="1:55" s="116" customFormat="1" ht="12.75" customHeight="1" outlineLevel="1">
      <c r="A143" s="114"/>
      <c r="B143" s="178" t="s">
        <v>1913</v>
      </c>
      <c r="C143" s="1826"/>
      <c r="D143" s="315">
        <f t="shared" si="24"/>
        <v>0</v>
      </c>
      <c r="E143" s="120"/>
      <c r="F143" s="120"/>
      <c r="G143" s="218">
        <f>VLOOKUP($B143&amp;"; "&amp;$G$136,'FE Energie'!$G:$U,9,FALSE)</f>
        <v>2.1999999999999999E-2</v>
      </c>
      <c r="H143" s="152">
        <f t="shared" si="25"/>
        <v>0</v>
      </c>
      <c r="T143" s="114"/>
      <c r="U143" s="114"/>
      <c r="V143" s="114"/>
      <c r="W143" s="226">
        <f t="shared" si="26"/>
        <v>0</v>
      </c>
      <c r="X143" s="344"/>
      <c r="Y143" s="820"/>
      <c r="Z143" s="819"/>
      <c r="AA143" s="819"/>
      <c r="AB143" s="819"/>
      <c r="AC143" s="152">
        <f t="shared" si="27"/>
        <v>0</v>
      </c>
      <c r="AE143" s="564">
        <f t="shared" si="28"/>
        <v>0</v>
      </c>
      <c r="AF143" s="565"/>
      <c r="AG143" s="565"/>
      <c r="AH143" s="565"/>
      <c r="AI143" s="590"/>
      <c r="AJ143" s="441"/>
      <c r="AK143" s="441"/>
      <c r="AL143" s="441"/>
      <c r="AM143" s="444"/>
      <c r="AN143" s="444"/>
      <c r="AO143" s="444"/>
      <c r="AP143" s="114"/>
      <c r="AQ143" s="114"/>
      <c r="AR143" s="1065"/>
      <c r="AS143" s="1066">
        <f>IF($X143&lt;&gt;"votre valeur :",IF(ISNA(VLOOKUP($X143,Utilitaires!$N$566:$O$571,2,FALSE)),,VLOOKUP($X143,Utilitaires!$N$566:$O$571,2,FALSE)),$Y143)</f>
        <v>0</v>
      </c>
      <c r="AT143" s="1066"/>
      <c r="AU143" s="1066"/>
      <c r="AV143" s="1124"/>
      <c r="AW143" s="1068">
        <f>IF(ISNA(SQRT(SUMSQ(VLOOKUP($B143&amp;"; "&amp;$G$136,'FE Energie'!$G:$U,7,FALSE),$AS143))),0,SQRT(SUMSQ(VLOOKUP($B143&amp;"; "&amp;$G$136,'FE Energie'!$G:$U,7,FALSE),$AS143)))</f>
        <v>0.1</v>
      </c>
      <c r="AX143" s="1068"/>
      <c r="AY143" s="1125"/>
      <c r="AZ143" s="114"/>
      <c r="BA143" s="114"/>
      <c r="BB143" s="114"/>
    </row>
    <row r="144" spans="1:55" s="116" customFormat="1" ht="12.75" customHeight="1" outlineLevel="1">
      <c r="A144" s="114"/>
      <c r="B144" s="178" t="s">
        <v>1916</v>
      </c>
      <c r="C144" s="1826"/>
      <c r="D144" s="315">
        <f t="shared" si="24"/>
        <v>0</v>
      </c>
      <c r="E144" s="120"/>
      <c r="F144" s="120"/>
      <c r="G144" s="218">
        <f>VLOOKUP($B144&amp;"; "&amp;$G$136,'FE Energie'!$G:$U,9,FALSE)</f>
        <v>1.4999999999999999E-2</v>
      </c>
      <c r="H144" s="152">
        <f t="shared" si="25"/>
        <v>0</v>
      </c>
      <c r="T144" s="114"/>
      <c r="U144" s="114"/>
      <c r="V144" s="114"/>
      <c r="W144" s="226">
        <f t="shared" si="26"/>
        <v>0</v>
      </c>
      <c r="X144" s="344"/>
      <c r="Y144" s="820"/>
      <c r="Z144" s="819"/>
      <c r="AA144" s="819"/>
      <c r="AB144" s="819"/>
      <c r="AC144" s="152">
        <f t="shared" si="27"/>
        <v>0</v>
      </c>
      <c r="AE144" s="564">
        <f t="shared" si="28"/>
        <v>0</v>
      </c>
      <c r="AF144" s="565"/>
      <c r="AG144" s="565"/>
      <c r="AH144" s="565"/>
      <c r="AI144" s="590"/>
      <c r="AJ144" s="441"/>
      <c r="AK144" s="441"/>
      <c r="AL144" s="441"/>
      <c r="AM144" s="444"/>
      <c r="AN144" s="444"/>
      <c r="AO144" s="444"/>
      <c r="AP144" s="114"/>
      <c r="AQ144" s="114"/>
      <c r="AR144" s="1065"/>
      <c r="AS144" s="1066">
        <f>IF($X144&lt;&gt;"votre valeur :",IF(ISNA(VLOOKUP($X144,Utilitaires!$N$566:$O$571,2,FALSE)),,VLOOKUP($X144,Utilitaires!$N$566:$O$571,2,FALSE)),$Y144)</f>
        <v>0</v>
      </c>
      <c r="AT144" s="1066"/>
      <c r="AU144" s="1066"/>
      <c r="AV144" s="1124"/>
      <c r="AW144" s="1068">
        <f>IF(ISNA(SQRT(SUMSQ(VLOOKUP($B144&amp;"; "&amp;$G$136,'FE Energie'!$G:$U,7,FALSE),$AS144))),0,SQRT(SUMSQ(VLOOKUP($B144&amp;"; "&amp;$G$136,'FE Energie'!$G:$U,7,FALSE),$AS144)))</f>
        <v>0.1</v>
      </c>
      <c r="AX144" s="1068"/>
      <c r="AY144" s="1125"/>
      <c r="AZ144" s="114"/>
      <c r="BA144" s="114"/>
      <c r="BB144" s="114"/>
    </row>
    <row r="145" spans="1:56" s="116" customFormat="1" ht="12.75" customHeight="1" outlineLevel="1">
      <c r="A145" s="114"/>
      <c r="B145" s="178" t="s">
        <v>1917</v>
      </c>
      <c r="C145" s="1826"/>
      <c r="D145" s="315">
        <f t="shared" si="24"/>
        <v>0</v>
      </c>
      <c r="E145" s="120"/>
      <c r="F145" s="120"/>
      <c r="G145" s="218">
        <f>VLOOKUP($B145&amp;"; "&amp;$G$136,'FE Energie'!$G:$U,9,FALSE)</f>
        <v>1.7000000000000001E-2</v>
      </c>
      <c r="H145" s="152">
        <f t="shared" si="25"/>
        <v>0</v>
      </c>
      <c r="T145" s="114"/>
      <c r="U145" s="114"/>
      <c r="V145" s="114"/>
      <c r="W145" s="226">
        <f t="shared" si="26"/>
        <v>0</v>
      </c>
      <c r="X145" s="344"/>
      <c r="Y145" s="820"/>
      <c r="Z145" s="819"/>
      <c r="AA145" s="819"/>
      <c r="AB145" s="819"/>
      <c r="AC145" s="152">
        <f t="shared" si="27"/>
        <v>0</v>
      </c>
      <c r="AE145" s="564">
        <f t="shared" si="28"/>
        <v>0</v>
      </c>
      <c r="AF145" s="565"/>
      <c r="AG145" s="565"/>
      <c r="AH145" s="565"/>
      <c r="AI145" s="590"/>
      <c r="AJ145" s="441"/>
      <c r="AK145" s="441"/>
      <c r="AL145" s="441"/>
      <c r="AM145" s="444"/>
      <c r="AN145" s="444"/>
      <c r="AO145" s="444"/>
      <c r="AP145" s="114"/>
      <c r="AQ145" s="114"/>
      <c r="AR145" s="1065"/>
      <c r="AS145" s="1066">
        <f>IF($X145&lt;&gt;"votre valeur :",IF(ISNA(VLOOKUP($X145,Utilitaires!$N$566:$O$571,2,FALSE)),,VLOOKUP($X145,Utilitaires!$N$566:$O$571,2,FALSE)),$Y145)</f>
        <v>0</v>
      </c>
      <c r="AT145" s="1066"/>
      <c r="AU145" s="1066"/>
      <c r="AV145" s="1124"/>
      <c r="AW145" s="1068">
        <f>IF(ISNA(SQRT(SUMSQ(VLOOKUP($B145&amp;"; "&amp;$G$136,'FE Energie'!$G:$U,7,FALSE),$AS145))),0,SQRT(SUMSQ(VLOOKUP($B145&amp;"; "&amp;$G$136,'FE Energie'!$G:$U,7,FALSE),$AS145)))</f>
        <v>0.1</v>
      </c>
      <c r="AX145" s="1068"/>
      <c r="AY145" s="1125"/>
      <c r="AZ145" s="114"/>
      <c r="BA145" s="114"/>
      <c r="BB145" s="114"/>
    </row>
    <row r="146" spans="1:56" s="116" customFormat="1" ht="12.75" customHeight="1" outlineLevel="1">
      <c r="A146" s="114"/>
      <c r="B146" s="178" t="s">
        <v>1918</v>
      </c>
      <c r="C146" s="1826"/>
      <c r="D146" s="315">
        <f t="shared" si="24"/>
        <v>0</v>
      </c>
      <c r="E146" s="120"/>
      <c r="F146" s="120"/>
      <c r="G146" s="218">
        <f>VLOOKUP($B146&amp;"; "&amp;$G$136,'FE Energie'!$G:$U,9,FALSE)</f>
        <v>4.8000000000000001E-2</v>
      </c>
      <c r="H146" s="152">
        <f t="shared" si="25"/>
        <v>0</v>
      </c>
      <c r="T146" s="114"/>
      <c r="U146" s="114"/>
      <c r="V146" s="114"/>
      <c r="W146" s="226">
        <f t="shared" si="26"/>
        <v>0</v>
      </c>
      <c r="X146" s="344"/>
      <c r="Y146" s="820"/>
      <c r="Z146" s="819"/>
      <c r="AA146" s="819"/>
      <c r="AB146" s="819"/>
      <c r="AC146" s="152">
        <f t="shared" si="27"/>
        <v>0</v>
      </c>
      <c r="AE146" s="564">
        <f t="shared" si="28"/>
        <v>0</v>
      </c>
      <c r="AF146" s="565"/>
      <c r="AG146" s="565"/>
      <c r="AH146" s="565"/>
      <c r="AI146" s="590"/>
      <c r="AJ146" s="441"/>
      <c r="AK146" s="441"/>
      <c r="AL146" s="441"/>
      <c r="AM146" s="444"/>
      <c r="AN146" s="444"/>
      <c r="AO146" s="444"/>
      <c r="AP146" s="114"/>
      <c r="AQ146" s="114"/>
      <c r="AR146" s="1065"/>
      <c r="AS146" s="1066">
        <f>IF($X146&lt;&gt;"votre valeur :",IF(ISNA(VLOOKUP($X146,Utilitaires!$N$566:$O$571,2,FALSE)),,VLOOKUP($X146,Utilitaires!$N$566:$O$571,2,FALSE)),$Y146)</f>
        <v>0</v>
      </c>
      <c r="AT146" s="1066"/>
      <c r="AU146" s="1066"/>
      <c r="AV146" s="1124"/>
      <c r="AW146" s="1068">
        <f>IF(ISNA(SQRT(SUMSQ(VLOOKUP($B146&amp;"; "&amp;$G$136,'FE Energie'!$G:$U,7,FALSE),$AS146))),0,SQRT(SUMSQ(VLOOKUP($B146&amp;"; "&amp;$G$136,'FE Energie'!$G:$U,7,FALSE),$AS146)))</f>
        <v>0.1</v>
      </c>
      <c r="AX146" s="1068"/>
      <c r="AY146" s="1125"/>
      <c r="AZ146" s="114"/>
      <c r="BA146" s="114"/>
      <c r="BB146" s="114"/>
    </row>
    <row r="147" spans="1:56" s="116" customFormat="1" ht="12.75" customHeight="1" outlineLevel="1">
      <c r="A147" s="114"/>
      <c r="B147" s="178" t="s">
        <v>1919</v>
      </c>
      <c r="C147" s="1826"/>
      <c r="D147" s="315">
        <f t="shared" si="24"/>
        <v>0</v>
      </c>
      <c r="E147" s="120"/>
      <c r="F147" s="120"/>
      <c r="G147" s="218">
        <f>VLOOKUP($B147&amp;"; "&amp;$G$136,'FE Energie'!$G:$U,9,FALSE)</f>
        <v>4.8000000000000001E-2</v>
      </c>
      <c r="H147" s="152">
        <f t="shared" si="25"/>
        <v>0</v>
      </c>
      <c r="T147" s="114"/>
      <c r="U147" s="114"/>
      <c r="V147" s="114"/>
      <c r="W147" s="226">
        <f t="shared" si="26"/>
        <v>0</v>
      </c>
      <c r="X147" s="344"/>
      <c r="Y147" s="820"/>
      <c r="Z147" s="819"/>
      <c r="AA147" s="819"/>
      <c r="AB147" s="819"/>
      <c r="AC147" s="152">
        <f t="shared" si="27"/>
        <v>0</v>
      </c>
      <c r="AE147" s="564">
        <f t="shared" si="28"/>
        <v>0</v>
      </c>
      <c r="AF147" s="565"/>
      <c r="AG147" s="565"/>
      <c r="AH147" s="565"/>
      <c r="AI147" s="590"/>
      <c r="AJ147" s="441"/>
      <c r="AK147" s="441"/>
      <c r="AL147" s="441"/>
      <c r="AM147" s="444"/>
      <c r="AN147" s="444"/>
      <c r="AO147" s="444"/>
      <c r="AP147" s="114"/>
      <c r="AQ147" s="114"/>
      <c r="AR147" s="1065"/>
      <c r="AS147" s="1066">
        <f>IF($X147&lt;&gt;"votre valeur :",IF(ISNA(VLOOKUP($X147,Utilitaires!$N$566:$O$571,2,FALSE)),,VLOOKUP($X147,Utilitaires!$N$566:$O$571,2,FALSE)),$Y147)</f>
        <v>0</v>
      </c>
      <c r="AT147" s="1066"/>
      <c r="AU147" s="1066"/>
      <c r="AV147" s="1124"/>
      <c r="AW147" s="1068">
        <f>IF(ISNA(SQRT(SUMSQ(VLOOKUP($B147&amp;"; "&amp;$G$136,'FE Energie'!$G:$U,7,FALSE),$AS147))),0,SQRT(SUMSQ(VLOOKUP($B147&amp;"; "&amp;$G$136,'FE Energie'!$G:$U,7,FALSE),$AS147)))</f>
        <v>0.1</v>
      </c>
      <c r="AX147" s="1068"/>
      <c r="AY147" s="1125"/>
      <c r="AZ147" s="114"/>
      <c r="BA147" s="114"/>
      <c r="BB147" s="114"/>
    </row>
    <row r="148" spans="1:56" s="116" customFormat="1" ht="12.75" customHeight="1" outlineLevel="1">
      <c r="A148" s="114"/>
      <c r="B148" s="178" t="s">
        <v>1920</v>
      </c>
      <c r="C148" s="1826"/>
      <c r="D148" s="315">
        <f t="shared" si="24"/>
        <v>0</v>
      </c>
      <c r="E148" s="120"/>
      <c r="F148" s="120"/>
      <c r="G148" s="218">
        <f>VLOOKUP($B148&amp;"; "&amp;$G$136,'FE Energie'!$G:$U,9,FALSE)</f>
        <v>5.6000000000000001E-2</v>
      </c>
      <c r="H148" s="152">
        <f t="shared" si="25"/>
        <v>0</v>
      </c>
      <c r="T148" s="114"/>
      <c r="U148" s="114"/>
      <c r="V148" s="114"/>
      <c r="W148" s="226">
        <f t="shared" si="26"/>
        <v>0</v>
      </c>
      <c r="X148" s="344"/>
      <c r="Y148" s="820"/>
      <c r="Z148" s="819"/>
      <c r="AA148" s="819"/>
      <c r="AB148" s="819"/>
      <c r="AC148" s="152">
        <f t="shared" si="27"/>
        <v>0</v>
      </c>
      <c r="AE148" s="564">
        <f t="shared" si="28"/>
        <v>0</v>
      </c>
      <c r="AF148" s="565"/>
      <c r="AG148" s="565"/>
      <c r="AH148" s="565"/>
      <c r="AI148" s="590"/>
      <c r="AJ148" s="441"/>
      <c r="AK148" s="441"/>
      <c r="AL148" s="441"/>
      <c r="AM148" s="444"/>
      <c r="AN148" s="444"/>
      <c r="AO148" s="444"/>
      <c r="AP148" s="114"/>
      <c r="AQ148" s="114"/>
      <c r="AR148" s="1065"/>
      <c r="AS148" s="1066">
        <f>IF($X148&lt;&gt;"votre valeur :",IF(ISNA(VLOOKUP($X148,Utilitaires!$N$566:$O$571,2,FALSE)),,VLOOKUP($X148,Utilitaires!$N$566:$O$571,2,FALSE)),$Y148)</f>
        <v>0</v>
      </c>
      <c r="AT148" s="1066"/>
      <c r="AU148" s="1066"/>
      <c r="AV148" s="1124"/>
      <c r="AW148" s="1068">
        <f>IF(ISNA(SQRT(SUMSQ(VLOOKUP($B148&amp;"; "&amp;$G$136,'FE Energie'!$G:$U,7,FALSE),$AS148))),0,SQRT(SUMSQ(VLOOKUP($B148&amp;"; "&amp;$G$136,'FE Energie'!$G:$U,7,FALSE),$AS148)))</f>
        <v>0.1</v>
      </c>
      <c r="AX148" s="1068"/>
      <c r="AY148" s="1125"/>
      <c r="AZ148" s="114"/>
      <c r="BA148" s="114"/>
      <c r="BB148" s="114"/>
    </row>
    <row r="149" spans="1:56" s="116" customFormat="1" ht="12.75" customHeight="1" outlineLevel="1">
      <c r="A149" s="114"/>
      <c r="B149" s="178" t="s">
        <v>1921</v>
      </c>
      <c r="C149" s="1826"/>
      <c r="D149" s="315">
        <f t="shared" si="24"/>
        <v>0</v>
      </c>
      <c r="E149" s="123"/>
      <c r="F149" s="123"/>
      <c r="G149" s="218">
        <f>VLOOKUP($B149&amp;"; "&amp;$G$136,'FE Energie'!$G:$U,9,FALSE)</f>
        <v>2.7E-2</v>
      </c>
      <c r="H149" s="152">
        <f t="shared" si="25"/>
        <v>0</v>
      </c>
      <c r="T149" s="114"/>
      <c r="U149" s="114"/>
      <c r="V149" s="114"/>
      <c r="W149" s="226">
        <f t="shared" si="26"/>
        <v>0</v>
      </c>
      <c r="X149" s="345"/>
      <c r="Y149" s="820"/>
      <c r="Z149" s="819"/>
      <c r="AA149" s="819"/>
      <c r="AB149" s="819"/>
      <c r="AC149" s="152">
        <f t="shared" si="27"/>
        <v>0</v>
      </c>
      <c r="AE149" s="564">
        <f t="shared" si="28"/>
        <v>0</v>
      </c>
      <c r="AF149" s="565"/>
      <c r="AG149" s="565"/>
      <c r="AH149" s="565"/>
      <c r="AI149" s="590"/>
      <c r="AJ149" s="441"/>
      <c r="AK149" s="441"/>
      <c r="AL149" s="441"/>
      <c r="AM149" s="444"/>
      <c r="AN149" s="444"/>
      <c r="AO149" s="444"/>
      <c r="AP149" s="114"/>
      <c r="AQ149" s="114"/>
      <c r="AR149" s="1065"/>
      <c r="AS149" s="1066">
        <f>IF($X149&lt;&gt;"votre valeur :",IF(ISNA(VLOOKUP($X149,Utilitaires!$N$566:$O$571,2,FALSE)),,VLOOKUP($X149,Utilitaires!$N$566:$O$571,2,FALSE)),$Y149)</f>
        <v>0</v>
      </c>
      <c r="AT149" s="1066"/>
      <c r="AU149" s="1066"/>
      <c r="AV149" s="1124"/>
      <c r="AW149" s="1068">
        <f>IF(ISNA(SQRT(SUMSQ(VLOOKUP($B149&amp;"; "&amp;$G$136,'FE Energie'!$G:$U,7,FALSE),$AS149))),0,SQRT(SUMSQ(VLOOKUP($B149&amp;"; "&amp;$G$136,'FE Energie'!$G:$U,7,FALSE),$AS149)))</f>
        <v>0.1</v>
      </c>
      <c r="AX149" s="1068"/>
      <c r="AY149" s="1125"/>
      <c r="AZ149" s="114"/>
      <c r="BA149" s="114"/>
      <c r="BB149" s="114"/>
    </row>
    <row r="150" spans="1:56" s="116" customFormat="1" ht="12.75" customHeight="1" outlineLevel="1">
      <c r="A150" s="114"/>
      <c r="B150" s="143"/>
      <c r="C150" s="1826"/>
      <c r="D150" s="315"/>
      <c r="E150" s="150"/>
      <c r="F150" s="150"/>
      <c r="G150" s="150"/>
      <c r="H150" s="152"/>
      <c r="T150" s="114"/>
      <c r="U150" s="114"/>
      <c r="V150" s="114"/>
      <c r="W150" s="163"/>
      <c r="X150" s="820"/>
      <c r="Y150" s="820"/>
      <c r="Z150" s="819"/>
      <c r="AA150" s="819"/>
      <c r="AB150" s="819"/>
      <c r="AC150" s="165"/>
      <c r="AE150" s="564"/>
      <c r="AF150" s="565"/>
      <c r="AG150" s="565"/>
      <c r="AH150" s="565"/>
      <c r="AI150" s="590"/>
      <c r="AJ150" s="441"/>
      <c r="AK150" s="441"/>
      <c r="AL150" s="441"/>
      <c r="AM150" s="444"/>
      <c r="AN150" s="444"/>
      <c r="AO150" s="444"/>
      <c r="AP150" s="114"/>
      <c r="AQ150" s="114"/>
      <c r="AR150" s="1087"/>
      <c r="AS150" s="1088"/>
      <c r="AT150" s="1088"/>
      <c r="AU150" s="1088"/>
      <c r="AV150" s="1126"/>
      <c r="AW150" s="1073"/>
      <c r="AX150" s="1073"/>
      <c r="AY150" s="1074"/>
      <c r="AZ150" s="114"/>
      <c r="BA150" s="114"/>
      <c r="BB150" s="114"/>
    </row>
    <row r="151" spans="1:56" s="116" customFormat="1" ht="12.75" customHeight="1" outlineLevel="1">
      <c r="A151" s="114"/>
      <c r="B151" s="143" t="s">
        <v>535</v>
      </c>
      <c r="C151" s="144"/>
      <c r="D151" s="315"/>
      <c r="E151" s="144"/>
      <c r="F151" s="164">
        <f>SUM(F138:F149)</f>
        <v>0</v>
      </c>
      <c r="G151" s="144"/>
      <c r="H151" s="165"/>
      <c r="T151" s="114"/>
      <c r="U151" s="114"/>
      <c r="V151" s="114"/>
      <c r="W151" s="143"/>
      <c r="X151" s="820"/>
      <c r="Y151" s="820"/>
      <c r="Z151" s="819"/>
      <c r="AA151" s="819"/>
      <c r="AB151" s="819"/>
      <c r="AC151" s="165"/>
      <c r="AE151" s="564"/>
      <c r="AF151" s="565"/>
      <c r="AG151" s="565"/>
      <c r="AH151" s="565"/>
      <c r="AI151" s="591"/>
      <c r="AJ151" s="441"/>
      <c r="AK151" s="441"/>
      <c r="AL151" s="441"/>
      <c r="AM151" s="444"/>
      <c r="AN151" s="444"/>
      <c r="AO151" s="444"/>
      <c r="AP151" s="114"/>
      <c r="AQ151" s="114"/>
      <c r="AR151" s="114"/>
      <c r="AS151" s="114"/>
      <c r="AT151" s="114"/>
      <c r="AU151" s="114"/>
      <c r="AV151" s="114"/>
      <c r="AW151" s="114"/>
      <c r="AX151" s="114"/>
      <c r="AY151" s="114"/>
      <c r="AZ151" s="114"/>
      <c r="BA151" s="114"/>
      <c r="BB151" s="114"/>
    </row>
    <row r="152" spans="1:56" s="116" customFormat="1" ht="12.75" customHeight="1" outlineLevel="1">
      <c r="A152" s="114"/>
      <c r="B152" s="196" t="s">
        <v>319</v>
      </c>
      <c r="C152" s="197"/>
      <c r="D152" s="202">
        <f>SUM(D138:D151)</f>
        <v>0</v>
      </c>
      <c r="E152" s="197"/>
      <c r="F152" s="197"/>
      <c r="G152" s="197"/>
      <c r="H152" s="200">
        <f>SUM(H138:H151)</f>
        <v>0</v>
      </c>
      <c r="T152" s="114"/>
      <c r="U152" s="114"/>
      <c r="V152" s="114"/>
      <c r="W152" s="1203">
        <f>IF(AC152=0,AC152,AC152/H152)</f>
        <v>0</v>
      </c>
      <c r="X152" s="821"/>
      <c r="Y152" s="821"/>
      <c r="Z152" s="821"/>
      <c r="AA152" s="821"/>
      <c r="AB152" s="821"/>
      <c r="AC152" s="200">
        <f>SQRT(SUMSQ(AC138:AC151))</f>
        <v>0</v>
      </c>
      <c r="AE152" s="571">
        <f>SUM(AE138:AE151)</f>
        <v>0</v>
      </c>
      <c r="AF152" s="572">
        <f>SUM(AF138:AF151)</f>
        <v>0</v>
      </c>
      <c r="AG152" s="572">
        <f>SUM(AG138:AG151)</f>
        <v>0</v>
      </c>
      <c r="AH152" s="572">
        <f>SUM(AH138:AH151)</f>
        <v>0</v>
      </c>
      <c r="AI152" s="592">
        <f>SUM(AI138:AI151)</f>
        <v>0</v>
      </c>
      <c r="AJ152" s="441"/>
      <c r="AK152" s="441"/>
      <c r="AL152" s="441"/>
      <c r="AM152" s="444"/>
      <c r="AN152" s="444"/>
      <c r="AO152" s="444"/>
      <c r="AP152" s="114"/>
      <c r="AQ152" s="114"/>
      <c r="AR152" s="114"/>
      <c r="AS152" s="114"/>
      <c r="AT152" s="114"/>
      <c r="AU152" s="114"/>
      <c r="AV152" s="114"/>
      <c r="AW152" s="114"/>
      <c r="AX152" s="114"/>
      <c r="AY152" s="114"/>
      <c r="AZ152" s="114"/>
      <c r="BA152" s="114"/>
      <c r="BB152" s="114"/>
    </row>
    <row r="153" spans="1:56" s="116" customFormat="1" ht="12.75" customHeight="1" outlineLevel="1">
      <c r="A153" s="114"/>
      <c r="B153" s="114"/>
      <c r="C153" s="114"/>
      <c r="D153" s="114"/>
      <c r="E153" s="114"/>
      <c r="F153" s="114"/>
      <c r="G153" s="114"/>
      <c r="H153" s="114"/>
      <c r="J153" s="114"/>
      <c r="K153" s="114"/>
      <c r="L153" s="114"/>
      <c r="M153" s="114"/>
      <c r="N153" s="114"/>
      <c r="O153" s="114"/>
      <c r="P153" s="114"/>
      <c r="Q153" s="114"/>
      <c r="S153" s="114"/>
      <c r="T153" s="114"/>
      <c r="U153" s="114"/>
      <c r="V153" s="114"/>
      <c r="W153" s="114"/>
      <c r="X153" s="126"/>
      <c r="Y153" s="126"/>
      <c r="AA153" s="114"/>
      <c r="AB153" s="114"/>
      <c r="AC153" s="114"/>
      <c r="AE153" s="441"/>
      <c r="AF153" s="441"/>
      <c r="AG153" s="441"/>
      <c r="AH153" s="441"/>
      <c r="AI153" s="441"/>
      <c r="AJ153" s="441"/>
      <c r="AK153" s="441"/>
      <c r="AL153" s="441"/>
      <c r="AM153" s="444"/>
      <c r="AN153" s="444"/>
      <c r="AO153" s="444"/>
      <c r="AP153" s="441"/>
      <c r="AQ153" s="114"/>
      <c r="AR153" s="109"/>
      <c r="AS153" s="109"/>
      <c r="AT153" s="109"/>
      <c r="AU153" s="109"/>
      <c r="AV153" s="109"/>
      <c r="AW153" s="109"/>
      <c r="AX153" s="109"/>
      <c r="AY153" s="109"/>
      <c r="AZ153" s="109"/>
      <c r="BA153" s="109"/>
      <c r="BB153" s="109"/>
      <c r="BC153" s="109"/>
      <c r="BD153" s="127"/>
    </row>
    <row r="154" spans="1:56" s="116" customFormat="1" ht="12.75" customHeight="1" outlineLevel="1">
      <c r="A154" s="114"/>
      <c r="B154" s="139" t="s">
        <v>2391</v>
      </c>
      <c r="C154" s="140"/>
      <c r="D154" s="141"/>
      <c r="E154" s="1822"/>
      <c r="F154" s="141"/>
      <c r="G154" s="141"/>
      <c r="H154" s="141"/>
      <c r="I154" s="141"/>
      <c r="J154" s="141"/>
      <c r="K154" s="179"/>
      <c r="T154" s="114"/>
      <c r="U154" s="114"/>
      <c r="V154" s="114"/>
      <c r="W154" s="2636" t="s">
        <v>366</v>
      </c>
      <c r="X154" s="2637"/>
      <c r="Y154" s="2637"/>
      <c r="Z154" s="2637"/>
      <c r="AA154" s="2637"/>
      <c r="AB154" s="2637"/>
      <c r="AC154" s="2638"/>
      <c r="AE154" s="1132" t="s">
        <v>441</v>
      </c>
      <c r="AF154" s="1127"/>
      <c r="AG154" s="1127"/>
      <c r="AH154" s="1127"/>
      <c r="AI154" s="1128"/>
      <c r="AJ154" s="441"/>
      <c r="AK154" s="441"/>
      <c r="AL154" s="441"/>
      <c r="AM154" s="444"/>
      <c r="AN154" s="444"/>
      <c r="AO154" s="444"/>
      <c r="AP154" s="114"/>
      <c r="AQ154" s="109"/>
      <c r="AR154" s="109"/>
      <c r="AS154" s="109"/>
      <c r="AT154" s="109"/>
      <c r="AU154" s="109"/>
      <c r="AV154" s="109"/>
      <c r="AW154" s="109"/>
      <c r="AX154" s="109"/>
      <c r="AY154" s="109"/>
      <c r="AZ154" s="109"/>
      <c r="BA154" s="109"/>
      <c r="BB154" s="109"/>
      <c r="BC154" s="127"/>
    </row>
    <row r="155" spans="1:56" s="116" customFormat="1" ht="12.75" customHeight="1" outlineLevel="1">
      <c r="A155" s="114"/>
      <c r="B155" s="143" t="s">
        <v>26</v>
      </c>
      <c r="C155" s="144"/>
      <c r="D155" s="1834" t="s">
        <v>308</v>
      </c>
      <c r="E155" s="1826"/>
      <c r="F155" s="144"/>
      <c r="G155" s="144"/>
      <c r="H155" s="144"/>
      <c r="I155" s="144"/>
      <c r="J155" s="144"/>
      <c r="K155" s="168"/>
      <c r="T155" s="114"/>
      <c r="U155" s="114"/>
      <c r="V155" s="114"/>
      <c r="W155" s="1825"/>
      <c r="X155" s="819"/>
      <c r="Y155" s="819"/>
      <c r="Z155" s="819"/>
      <c r="AA155" s="819"/>
      <c r="AB155" s="819"/>
      <c r="AC155" s="145"/>
      <c r="AE155" s="584"/>
      <c r="AF155" s="585"/>
      <c r="AG155" s="585"/>
      <c r="AH155" s="585"/>
      <c r="AI155" s="586"/>
      <c r="AJ155" s="441"/>
      <c r="AK155" s="441"/>
      <c r="AL155" s="441"/>
      <c r="AM155" s="444"/>
      <c r="AN155" s="444"/>
      <c r="AO155" s="444"/>
      <c r="AP155" s="114"/>
      <c r="AQ155" s="114"/>
      <c r="AR155" s="2616" t="s">
        <v>1648</v>
      </c>
      <c r="AS155" s="2617"/>
      <c r="AT155" s="2617"/>
      <c r="AU155" s="2617"/>
      <c r="AV155" s="2617"/>
      <c r="AW155" s="2617"/>
      <c r="AX155" s="2617"/>
      <c r="AY155" s="2618"/>
      <c r="AZ155" s="114"/>
      <c r="BA155" s="114"/>
      <c r="BB155" s="114"/>
    </row>
    <row r="156" spans="1:56" s="127" customFormat="1" ht="12.75" customHeight="1" outlineLevel="1">
      <c r="A156" s="114"/>
      <c r="B156" s="180" t="s">
        <v>27</v>
      </c>
      <c r="C156" s="181"/>
      <c r="D156" s="1834" t="s">
        <v>409</v>
      </c>
      <c r="E156" s="147" t="s">
        <v>452</v>
      </c>
      <c r="F156" s="147" t="s">
        <v>455</v>
      </c>
      <c r="G156" s="147" t="s">
        <v>1</v>
      </c>
      <c r="H156" s="1826" t="s">
        <v>1681</v>
      </c>
      <c r="I156" s="1826" t="s">
        <v>309</v>
      </c>
      <c r="J156" s="1826" t="s">
        <v>444</v>
      </c>
      <c r="K156" s="1836" t="s">
        <v>444</v>
      </c>
      <c r="T156" s="109"/>
      <c r="U156" s="109"/>
      <c r="V156" s="114"/>
      <c r="W156" s="1825" t="s">
        <v>316</v>
      </c>
      <c r="X156" s="2629" t="s">
        <v>316</v>
      </c>
      <c r="Y156" s="2630"/>
      <c r="Z156" s="819"/>
      <c r="AA156" s="819"/>
      <c r="AB156" s="819"/>
      <c r="AC156" s="1836" t="s">
        <v>444</v>
      </c>
      <c r="AE156" s="2657" t="s">
        <v>444</v>
      </c>
      <c r="AF156" s="2658"/>
      <c r="AG156" s="2658"/>
      <c r="AH156" s="2659"/>
      <c r="AI156" s="587"/>
      <c r="AJ156" s="588"/>
      <c r="AK156" s="588"/>
      <c r="AL156" s="588"/>
      <c r="AM156" s="444"/>
      <c r="AN156" s="444"/>
      <c r="AO156" s="1639"/>
      <c r="AP156" s="109"/>
      <c r="AQ156" s="114"/>
      <c r="AR156" s="2614" t="s">
        <v>1646</v>
      </c>
      <c r="AS156" s="2645"/>
      <c r="AT156" s="2645"/>
      <c r="AU156" s="2615"/>
      <c r="AV156" s="2614" t="s">
        <v>1844</v>
      </c>
      <c r="AW156" s="2645"/>
      <c r="AX156" s="2645"/>
      <c r="AY156" s="2615"/>
      <c r="AZ156" s="114"/>
      <c r="BA156" s="114"/>
      <c r="BB156" s="114"/>
      <c r="BC156" s="116"/>
    </row>
    <row r="157" spans="1:56" s="127" customFormat="1" ht="12.75" customHeight="1" outlineLevel="1">
      <c r="A157" s="114"/>
      <c r="B157" s="1825"/>
      <c r="C157" s="181"/>
      <c r="D157" s="1829" t="s">
        <v>444</v>
      </c>
      <c r="E157" s="1833" t="s">
        <v>453</v>
      </c>
      <c r="F157" s="1833" t="s">
        <v>429</v>
      </c>
      <c r="G157" s="153" t="s">
        <v>315</v>
      </c>
      <c r="H157" s="1826"/>
      <c r="I157" s="1826" t="s">
        <v>33</v>
      </c>
      <c r="J157" s="1826" t="s">
        <v>33</v>
      </c>
      <c r="K157" s="1836"/>
      <c r="T157" s="109"/>
      <c r="U157" s="109"/>
      <c r="V157" s="114"/>
      <c r="W157" s="1825" t="s">
        <v>1649</v>
      </c>
      <c r="X157" s="2646" t="s">
        <v>1650</v>
      </c>
      <c r="Y157" s="2647"/>
      <c r="Z157" s="819"/>
      <c r="AA157" s="819"/>
      <c r="AB157" s="819"/>
      <c r="AC157" s="1836"/>
      <c r="AE157" s="1823" t="s">
        <v>211</v>
      </c>
      <c r="AF157" s="1824" t="s">
        <v>442</v>
      </c>
      <c r="AG157" s="1824" t="s">
        <v>267</v>
      </c>
      <c r="AH157" s="1824" t="s">
        <v>443</v>
      </c>
      <c r="AI157" s="589" t="s">
        <v>636</v>
      </c>
      <c r="AJ157" s="588"/>
      <c r="AK157" s="588"/>
      <c r="AL157" s="588"/>
      <c r="AM157" s="1639"/>
      <c r="AN157" s="1639"/>
      <c r="AO157" s="1639"/>
      <c r="AP157" s="109"/>
      <c r="AQ157" s="114"/>
      <c r="AR157" s="1837" t="s">
        <v>1643</v>
      </c>
      <c r="AS157" s="1839" t="s">
        <v>1640</v>
      </c>
      <c r="AT157" s="1839" t="s">
        <v>1641</v>
      </c>
      <c r="AU157" s="1839" t="s">
        <v>1642</v>
      </c>
      <c r="AV157" s="1837" t="s">
        <v>1643</v>
      </c>
      <c r="AW157" s="1839" t="s">
        <v>1640</v>
      </c>
      <c r="AX157" s="1839" t="s">
        <v>1641</v>
      </c>
      <c r="AY157" s="1838" t="s">
        <v>1642</v>
      </c>
      <c r="AZ157" s="114"/>
      <c r="BA157" s="114"/>
      <c r="BB157" s="114"/>
      <c r="BC157" s="116"/>
    </row>
    <row r="158" spans="1:56" s="116" customFormat="1" ht="12" customHeight="1" outlineLevel="1">
      <c r="A158" s="114"/>
      <c r="B158" s="143" t="s">
        <v>1291</v>
      </c>
      <c r="C158" s="181"/>
      <c r="D158" s="315">
        <f>K158</f>
        <v>0</v>
      </c>
      <c r="E158" s="117"/>
      <c r="F158" s="1955" t="s">
        <v>1907</v>
      </c>
      <c r="G158" s="117"/>
      <c r="H158" s="218">
        <f>VLOOKUP($F158&amp;"; "&amp;$H$156,'FE Energie'!$G:$U,9,FALSE)</f>
        <v>0.52200000000000002</v>
      </c>
      <c r="I158" s="222">
        <f>IF(ISNA(VLOOKUP($B158&amp;", "&amp;F158,Utilitaires!$B$159:$E$213,2,FALSE)),VLOOKUP($B158&amp;", France",Utilitaires!$B$159:$E$213,2,FALSE),VLOOKUP($B158&amp;", "&amp;F158,Utilitaires!$B$159:$E$213,2,FALSE))</f>
        <v>121</v>
      </c>
      <c r="J158" s="224">
        <f>H158*I158</f>
        <v>63.161999999999999</v>
      </c>
      <c r="K158" s="152">
        <f>G158*J158</f>
        <v>0</v>
      </c>
      <c r="T158" s="114"/>
      <c r="U158" s="114"/>
      <c r="V158" s="114"/>
      <c r="W158" s="226">
        <f>IF(AC158=0,AC158,AC158/K158)</f>
        <v>0</v>
      </c>
      <c r="X158" s="343"/>
      <c r="Y158" s="820"/>
      <c r="Z158" s="819"/>
      <c r="AA158" s="819"/>
      <c r="AB158" s="819"/>
      <c r="AC158" s="152">
        <f>SQRT(SUMSQ(IF(ISNA($J158*G158*AW158),0,$J158*G158*AW158)))</f>
        <v>0</v>
      </c>
      <c r="AE158" s="564">
        <f>K158</f>
        <v>0</v>
      </c>
      <c r="AF158" s="565"/>
      <c r="AG158" s="565"/>
      <c r="AH158" s="565"/>
      <c r="AI158" s="590"/>
      <c r="AJ158" s="441"/>
      <c r="AK158" s="441"/>
      <c r="AL158" s="441"/>
      <c r="AM158" s="1639"/>
      <c r="AN158" s="1639"/>
      <c r="AO158" s="444"/>
      <c r="AP158" s="114"/>
      <c r="AQ158" s="114"/>
      <c r="AR158" s="1065"/>
      <c r="AS158" s="1066">
        <f>IF($X158&lt;&gt;"votre valeur :",IF(ISNA(VLOOKUP($X158,Utilitaires!$N$566:$O$571,2,FALSE)),,VLOOKUP($X158,Utilitaires!$N$566:$O$571,2,FALSE)),$Y158)</f>
        <v>0</v>
      </c>
      <c r="AT158" s="1066"/>
      <c r="AU158" s="1066"/>
      <c r="AV158" s="1124"/>
      <c r="AW158" s="1068">
        <f>IF(ISNA(SQRT(SUMSQ(VLOOKUP($F158&amp;"; "&amp;$H$156,'FE Energie'!$G:$U,7,FALSE),$AS158))),0,SQRT(SUMSQ(VLOOKUP($F158&amp;"; "&amp;$H$156,'FE Energie'!$G:$U,7,FALSE),$AS158)))</f>
        <v>0.1</v>
      </c>
      <c r="AX158" s="1068"/>
      <c r="AY158" s="1125"/>
      <c r="AZ158" s="114"/>
      <c r="BA158" s="114"/>
      <c r="BB158" s="114"/>
    </row>
    <row r="159" spans="1:56" s="116" customFormat="1" ht="12" customHeight="1" outlineLevel="1">
      <c r="A159" s="114"/>
      <c r="B159" s="143" t="s">
        <v>1292</v>
      </c>
      <c r="C159" s="181"/>
      <c r="D159" s="315">
        <f>K159</f>
        <v>0</v>
      </c>
      <c r="E159" s="120"/>
      <c r="F159" s="1956" t="s">
        <v>1922</v>
      </c>
      <c r="G159" s="120"/>
      <c r="H159" s="218">
        <f>VLOOKUP($F159&amp;"; "&amp;$H$156,'FE Energie'!$G:$U,9,FALSE)</f>
        <v>7.9100000000000004E-2</v>
      </c>
      <c r="I159" s="222">
        <f>IF(ISNA(VLOOKUP($B159&amp;", "&amp;F159,Utilitaires!$B$159:$E$213,2,FALSE)),VLOOKUP($B159&amp;", France",Utilitaires!$B$159:$E$213,2,FALSE),VLOOKUP($B159&amp;", "&amp;F159,Utilitaires!$B$159:$E$213,2,FALSE))</f>
        <v>126</v>
      </c>
      <c r="J159" s="224">
        <f>H159*I159</f>
        <v>9.9665999999999997</v>
      </c>
      <c r="K159" s="152">
        <f>G159*J159</f>
        <v>0</v>
      </c>
      <c r="T159" s="114"/>
      <c r="U159" s="114"/>
      <c r="V159" s="114"/>
      <c r="W159" s="226">
        <f>IF(AC159=0,AC159,AC159/K159)</f>
        <v>0</v>
      </c>
      <c r="X159" s="344"/>
      <c r="Y159" s="820"/>
      <c r="Z159" s="819"/>
      <c r="AA159" s="819"/>
      <c r="AB159" s="819"/>
      <c r="AC159" s="152">
        <f>SQRT(SUMSQ(IF(ISNA($J159*G159*AW159),0,$J159*G159*AW159)))</f>
        <v>0</v>
      </c>
      <c r="AE159" s="564">
        <f>K159</f>
        <v>0</v>
      </c>
      <c r="AF159" s="565"/>
      <c r="AG159" s="565"/>
      <c r="AH159" s="565"/>
      <c r="AI159" s="590"/>
      <c r="AJ159" s="441"/>
      <c r="AK159" s="441"/>
      <c r="AL159" s="441"/>
      <c r="AM159" s="444"/>
      <c r="AN159" s="444"/>
      <c r="AO159" s="444"/>
      <c r="AP159" s="114"/>
      <c r="AQ159" s="114"/>
      <c r="AR159" s="1065"/>
      <c r="AS159" s="1066">
        <f>IF($X159&lt;&gt;"votre valeur :",IF(ISNA(VLOOKUP($X159,Utilitaires!$N$566:$O$571,2,FALSE)),,VLOOKUP($X159,Utilitaires!$N$566:$O$571,2,FALSE)),$Y159)</f>
        <v>0</v>
      </c>
      <c r="AT159" s="1066"/>
      <c r="AU159" s="1066"/>
      <c r="AV159" s="1124"/>
      <c r="AW159" s="1068">
        <f>IF(ISNA(SQRT(SUMSQ(VLOOKUP($F159&amp;"; "&amp;$H$156,'FE Energie'!$G:$U,7,FALSE),$AS159))),0,SQRT(SUMSQ(VLOOKUP($F159&amp;"; "&amp;$H$156,'FE Energie'!$G:$U,7,FALSE),$AS159)))</f>
        <v>0.1</v>
      </c>
      <c r="AX159" s="1068"/>
      <c r="AY159" s="1125"/>
      <c r="AZ159" s="114"/>
      <c r="BA159" s="114"/>
      <c r="BB159" s="114"/>
    </row>
    <row r="160" spans="1:56" s="116" customFormat="1" ht="12" customHeight="1" outlineLevel="1">
      <c r="A160" s="114"/>
      <c r="B160" s="143" t="s">
        <v>1293</v>
      </c>
      <c r="C160" s="181"/>
      <c r="D160" s="315">
        <f>K160</f>
        <v>0</v>
      </c>
      <c r="E160" s="120"/>
      <c r="F160" s="1956" t="s">
        <v>1923</v>
      </c>
      <c r="G160" s="120"/>
      <c r="H160" s="218">
        <f>VLOOKUP($F160&amp;"; "&amp;$H$156,'FE Energie'!$G:$U,9,FALSE)</f>
        <v>0.46100000000000002</v>
      </c>
      <c r="I160" s="222">
        <f>IF(ISNA(VLOOKUP($B160&amp;", "&amp;F160,Utilitaires!$B$159:$E$213,2,FALSE)),VLOOKUP($B160&amp;", France",Utilitaires!$B$159:$E$213,2,FALSE),VLOOKUP($B160&amp;", "&amp;F160,Utilitaires!$B$159:$E$213,2,FALSE))</f>
        <v>67</v>
      </c>
      <c r="J160" s="224">
        <f>H160*I160</f>
        <v>30.887</v>
      </c>
      <c r="K160" s="152">
        <f>G160*J160</f>
        <v>0</v>
      </c>
      <c r="T160" s="114"/>
      <c r="U160" s="114"/>
      <c r="V160" s="114"/>
      <c r="W160" s="226">
        <f>IF(AC160=0,AC160,AC160/K160)</f>
        <v>0</v>
      </c>
      <c r="X160" s="344"/>
      <c r="Y160" s="820"/>
      <c r="Z160" s="819"/>
      <c r="AA160" s="819"/>
      <c r="AB160" s="819"/>
      <c r="AC160" s="152">
        <f>SQRT(SUMSQ(IF(ISNA($J160*G160*AW160),0,$J160*G160*AW160)))</f>
        <v>0</v>
      </c>
      <c r="AE160" s="564">
        <f>K160</f>
        <v>0</v>
      </c>
      <c r="AF160" s="565"/>
      <c r="AG160" s="565"/>
      <c r="AH160" s="565"/>
      <c r="AI160" s="590"/>
      <c r="AJ160" s="441"/>
      <c r="AK160" s="441"/>
      <c r="AL160" s="441"/>
      <c r="AM160" s="444"/>
      <c r="AN160" s="444"/>
      <c r="AO160" s="444"/>
      <c r="AP160" s="114"/>
      <c r="AQ160" s="114"/>
      <c r="AR160" s="1065"/>
      <c r="AS160" s="1066">
        <f>IF($X160&lt;&gt;"votre valeur :",IF(ISNA(VLOOKUP($X160,Utilitaires!$N$566:$O$571,2,FALSE)),,VLOOKUP($X160,Utilitaires!$N$566:$O$571,2,FALSE)),$Y160)</f>
        <v>0</v>
      </c>
      <c r="AT160" s="1066"/>
      <c r="AU160" s="1066"/>
      <c r="AV160" s="1124"/>
      <c r="AW160" s="1068">
        <f>IF(ISNA(SQRT(SUMSQ(VLOOKUP($F160&amp;"; "&amp;$H$156,'FE Energie'!$G:$U,7,FALSE),$AS160))),0,SQRT(SUMSQ(VLOOKUP($F160&amp;"; "&amp;$H$156,'FE Energie'!$G:$U,7,FALSE),$AS160)))</f>
        <v>0.1</v>
      </c>
      <c r="AX160" s="1068"/>
      <c r="AY160" s="1125"/>
      <c r="AZ160" s="114"/>
      <c r="BA160" s="114"/>
      <c r="BB160" s="114"/>
    </row>
    <row r="161" spans="1:56" s="116" customFormat="1" ht="12" customHeight="1" outlineLevel="1">
      <c r="A161" s="114"/>
      <c r="B161" s="143" t="s">
        <v>1294</v>
      </c>
      <c r="C161" s="181"/>
      <c r="D161" s="315">
        <f>K161</f>
        <v>0</v>
      </c>
      <c r="E161" s="123"/>
      <c r="F161" s="1957" t="s">
        <v>1924</v>
      </c>
      <c r="G161" s="123"/>
      <c r="H161" s="218">
        <f>VLOOKUP($F161&amp;"; "&amp;$H$156,'FE Energie'!$G:$U,9,FALSE)</f>
        <v>0.23799999999999999</v>
      </c>
      <c r="I161" s="222">
        <f>IF(ISNA(VLOOKUP($B161&amp;", "&amp;F161,Utilitaires!$B$159:$E$213,2,FALSE)),VLOOKUP($B161&amp;", France",Utilitaires!$B$159:$E$213,2,FALSE),VLOOKUP($B161&amp;", "&amp;F161,Utilitaires!$B$159:$E$213,2,FALSE))</f>
        <v>83</v>
      </c>
      <c r="J161" s="224">
        <f>H161*I161</f>
        <v>19.753999999999998</v>
      </c>
      <c r="K161" s="152">
        <f>G161*J161</f>
        <v>0</v>
      </c>
      <c r="T161" s="114"/>
      <c r="U161" s="114"/>
      <c r="V161" s="114"/>
      <c r="W161" s="226">
        <f>IF(AC161=0,AC161,AC161/K161)</f>
        <v>0</v>
      </c>
      <c r="X161" s="345"/>
      <c r="Y161" s="820"/>
      <c r="Z161" s="819"/>
      <c r="AA161" s="819"/>
      <c r="AB161" s="819"/>
      <c r="AC161" s="152">
        <f>SQRT(SUMSQ(IF(ISNA($J161*G161*AW161),0,$J161*G161*AW161)))</f>
        <v>0</v>
      </c>
      <c r="AE161" s="564">
        <f>K161</f>
        <v>0</v>
      </c>
      <c r="AF161" s="565"/>
      <c r="AG161" s="565"/>
      <c r="AH161" s="565"/>
      <c r="AI161" s="590"/>
      <c r="AJ161" s="441"/>
      <c r="AK161" s="441"/>
      <c r="AL161" s="441"/>
      <c r="AM161" s="444"/>
      <c r="AN161" s="444"/>
      <c r="AO161" s="444"/>
      <c r="AP161" s="114"/>
      <c r="AQ161" s="114"/>
      <c r="AR161" s="1065"/>
      <c r="AS161" s="1066">
        <f>IF($X161&lt;&gt;"votre valeur :",IF(ISNA(VLOOKUP($X161,Utilitaires!$N$566:$O$571,2,FALSE)),,VLOOKUP($X161,Utilitaires!$N$566:$O$571,2,FALSE)),$Y161)</f>
        <v>0</v>
      </c>
      <c r="AT161" s="1066"/>
      <c r="AU161" s="1066"/>
      <c r="AV161" s="1124"/>
      <c r="AW161" s="1068">
        <f>IF(ISNA(SQRT(SUMSQ(VLOOKUP($F161&amp;"; "&amp;$H$156,'FE Energie'!$G:$U,7,FALSE),$AS161))),0,SQRT(SUMSQ(VLOOKUP($F161&amp;"; "&amp;$H$156,'FE Energie'!$G:$U,7,FALSE),$AS161)))</f>
        <v>0.1</v>
      </c>
      <c r="AX161" s="1068"/>
      <c r="AY161" s="1125"/>
      <c r="AZ161" s="114"/>
      <c r="BA161" s="114"/>
      <c r="BB161" s="114"/>
    </row>
    <row r="162" spans="1:56" s="116" customFormat="1" ht="12.75" customHeight="1" outlineLevel="1">
      <c r="A162" s="114"/>
      <c r="B162" s="143"/>
      <c r="C162" s="144"/>
      <c r="D162" s="315"/>
      <c r="E162" s="155"/>
      <c r="F162" s="144"/>
      <c r="G162" s="144"/>
      <c r="H162" s="144"/>
      <c r="I162" s="144"/>
      <c r="J162" s="144"/>
      <c r="K162" s="152"/>
      <c r="T162" s="114"/>
      <c r="U162" s="114"/>
      <c r="V162" s="114"/>
      <c r="W162" s="143"/>
      <c r="X162" s="823"/>
      <c r="Y162" s="823"/>
      <c r="Z162" s="819"/>
      <c r="AA162" s="819"/>
      <c r="AB162" s="819"/>
      <c r="AC162" s="165"/>
      <c r="AE162" s="564"/>
      <c r="AF162" s="565"/>
      <c r="AG162" s="565"/>
      <c r="AH162" s="565"/>
      <c r="AI162" s="591"/>
      <c r="AJ162" s="441"/>
      <c r="AK162" s="441"/>
      <c r="AL162" s="441"/>
      <c r="AM162" s="444"/>
      <c r="AN162" s="444"/>
      <c r="AO162" s="444"/>
      <c r="AP162" s="114"/>
      <c r="AQ162" s="114"/>
      <c r="AR162" s="1087"/>
      <c r="AS162" s="1088"/>
      <c r="AT162" s="1088"/>
      <c r="AU162" s="1088"/>
      <c r="AV162" s="1126"/>
      <c r="AW162" s="1073"/>
      <c r="AX162" s="1073"/>
      <c r="AY162" s="1074"/>
      <c r="AZ162" s="114"/>
      <c r="BA162" s="114"/>
      <c r="BB162" s="114"/>
    </row>
    <row r="163" spans="1:56" s="116" customFormat="1" ht="12.75" customHeight="1" outlineLevel="1">
      <c r="A163" s="114"/>
      <c r="B163" s="196" t="s">
        <v>348</v>
      </c>
      <c r="C163" s="197"/>
      <c r="D163" s="202">
        <f>SUM(D158:D162)</f>
        <v>0</v>
      </c>
      <c r="E163" s="198"/>
      <c r="F163" s="199"/>
      <c r="G163" s="199"/>
      <c r="H163" s="199"/>
      <c r="I163" s="199"/>
      <c r="J163" s="199"/>
      <c r="K163" s="200">
        <f>SUM(K158:K162)</f>
        <v>0</v>
      </c>
      <c r="T163" s="114"/>
      <c r="U163" s="114"/>
      <c r="V163" s="114"/>
      <c r="W163" s="1203">
        <f>IF(AC163=0,AC163,AC163/K163)</f>
        <v>0</v>
      </c>
      <c r="X163" s="821"/>
      <c r="Y163" s="821"/>
      <c r="Z163" s="821"/>
      <c r="AA163" s="821"/>
      <c r="AB163" s="821"/>
      <c r="AC163" s="200">
        <f>SQRT(SUMSQ(AC158:AC162))</f>
        <v>0</v>
      </c>
      <c r="AE163" s="571">
        <f>SUM(AE158:AE162)</f>
        <v>0</v>
      </c>
      <c r="AF163" s="572">
        <f>SUM(AF158:AF162)</f>
        <v>0</v>
      </c>
      <c r="AG163" s="572">
        <f>SUM(AG158:AG162)</f>
        <v>0</v>
      </c>
      <c r="AH163" s="572">
        <f>SUM(AH158:AH162)</f>
        <v>0</v>
      </c>
      <c r="AI163" s="592">
        <f>SUM(AI158:AI162)</f>
        <v>0</v>
      </c>
      <c r="AJ163" s="441"/>
      <c r="AK163" s="441"/>
      <c r="AL163" s="441"/>
      <c r="AM163" s="444"/>
      <c r="AN163" s="444"/>
      <c r="AO163" s="444"/>
      <c r="AP163" s="114"/>
      <c r="AQ163" s="114"/>
      <c r="AR163" s="114"/>
      <c r="AS163" s="114"/>
      <c r="AT163" s="114"/>
      <c r="AU163" s="114"/>
      <c r="AV163" s="114"/>
      <c r="AW163" s="114"/>
      <c r="AX163" s="114"/>
      <c r="AY163" s="114"/>
      <c r="AZ163" s="114"/>
      <c r="BA163" s="114"/>
      <c r="BB163" s="114"/>
    </row>
    <row r="164" spans="1:56" s="116" customFormat="1" ht="12.75" customHeight="1" outlineLevel="1">
      <c r="A164" s="114"/>
      <c r="B164" s="114"/>
      <c r="C164" s="114"/>
      <c r="D164" s="114"/>
      <c r="E164" s="114"/>
      <c r="F164" s="114"/>
      <c r="G164" s="114"/>
      <c r="H164" s="114"/>
      <c r="I164" s="114"/>
      <c r="K164" s="114"/>
      <c r="T164" s="114"/>
      <c r="U164" s="114"/>
      <c r="V164" s="114"/>
      <c r="W164" s="114"/>
      <c r="X164" s="488"/>
      <c r="Y164" s="488"/>
      <c r="AA164" s="114"/>
      <c r="AB164" s="114"/>
      <c r="AC164" s="114"/>
      <c r="AE164" s="441"/>
      <c r="AF164" s="441"/>
      <c r="AG164" s="441"/>
      <c r="AH164" s="441"/>
      <c r="AI164" s="441"/>
      <c r="AJ164" s="441"/>
      <c r="AK164" s="441"/>
      <c r="AL164" s="441"/>
      <c r="AM164" s="444"/>
      <c r="AN164" s="444"/>
      <c r="AO164" s="444"/>
      <c r="AP164" s="441"/>
      <c r="AQ164" s="114"/>
      <c r="AR164" s="109"/>
      <c r="AS164" s="109"/>
      <c r="AT164" s="109"/>
      <c r="AU164" s="109"/>
      <c r="AV164" s="109"/>
      <c r="AW164" s="109"/>
      <c r="AX164" s="109"/>
      <c r="AY164" s="109"/>
      <c r="AZ164" s="109"/>
      <c r="BA164" s="109"/>
      <c r="BB164" s="109"/>
      <c r="BC164" s="109"/>
      <c r="BD164" s="127"/>
    </row>
    <row r="165" spans="1:56" s="116" customFormat="1" ht="12.75" customHeight="1" outlineLevel="1">
      <c r="A165" s="114"/>
      <c r="B165" s="139" t="s">
        <v>2392</v>
      </c>
      <c r="C165" s="140"/>
      <c r="D165" s="141"/>
      <c r="E165" s="1822"/>
      <c r="F165" s="141"/>
      <c r="G165" s="141"/>
      <c r="H165" s="141"/>
      <c r="I165" s="141"/>
      <c r="J165" s="141"/>
      <c r="K165" s="179"/>
      <c r="T165" s="114"/>
      <c r="U165" s="114"/>
      <c r="V165" s="114"/>
      <c r="W165" s="2636" t="s">
        <v>366</v>
      </c>
      <c r="X165" s="2637"/>
      <c r="Y165" s="2637"/>
      <c r="Z165" s="2637"/>
      <c r="AA165" s="2637"/>
      <c r="AB165" s="2637"/>
      <c r="AC165" s="2638"/>
      <c r="AE165" s="1132" t="s">
        <v>441</v>
      </c>
      <c r="AF165" s="1127"/>
      <c r="AG165" s="1127"/>
      <c r="AH165" s="1127"/>
      <c r="AI165" s="1128"/>
      <c r="AJ165" s="441"/>
      <c r="AK165" s="441"/>
      <c r="AL165" s="441"/>
      <c r="AM165" s="444"/>
      <c r="AN165" s="444"/>
      <c r="AO165" s="444"/>
      <c r="AP165" s="114"/>
      <c r="AQ165" s="109"/>
      <c r="AR165" s="109"/>
      <c r="AS165" s="109"/>
      <c r="AT165" s="109"/>
      <c r="AU165" s="109"/>
      <c r="AV165" s="109"/>
      <c r="AW165" s="109"/>
      <c r="AX165" s="109"/>
      <c r="AY165" s="109"/>
      <c r="AZ165" s="109"/>
      <c r="BA165" s="109"/>
      <c r="BB165" s="109"/>
      <c r="BC165" s="127"/>
    </row>
    <row r="166" spans="1:56" s="116" customFormat="1" ht="12.75" customHeight="1" outlineLevel="1">
      <c r="A166" s="114"/>
      <c r="B166" s="143" t="s">
        <v>365</v>
      </c>
      <c r="C166" s="144"/>
      <c r="D166" s="1834" t="s">
        <v>308</v>
      </c>
      <c r="E166" s="1826"/>
      <c r="F166" s="144"/>
      <c r="G166" s="144"/>
      <c r="H166" s="144"/>
      <c r="I166" s="144"/>
      <c r="J166" s="144"/>
      <c r="K166" s="168"/>
      <c r="T166" s="114"/>
      <c r="U166" s="114"/>
      <c r="V166" s="114"/>
      <c r="W166" s="1825"/>
      <c r="X166" s="819"/>
      <c r="Y166" s="819"/>
      <c r="Z166" s="819"/>
      <c r="AA166" s="819"/>
      <c r="AB166" s="819"/>
      <c r="AC166" s="145"/>
      <c r="AE166" s="584"/>
      <c r="AF166" s="585"/>
      <c r="AG166" s="585"/>
      <c r="AH166" s="585"/>
      <c r="AI166" s="586"/>
      <c r="AJ166" s="441"/>
      <c r="AK166" s="441"/>
      <c r="AL166" s="441"/>
      <c r="AM166" s="444"/>
      <c r="AN166" s="444"/>
      <c r="AO166" s="444"/>
      <c r="AP166" s="114"/>
      <c r="AQ166" s="114"/>
      <c r="AR166" s="2616" t="s">
        <v>1648</v>
      </c>
      <c r="AS166" s="2617"/>
      <c r="AT166" s="2617"/>
      <c r="AU166" s="2617"/>
      <c r="AV166" s="2617"/>
      <c r="AW166" s="2617"/>
      <c r="AX166" s="2617"/>
      <c r="AY166" s="2618"/>
      <c r="AZ166" s="114"/>
      <c r="BA166" s="114"/>
      <c r="BB166" s="114"/>
    </row>
    <row r="167" spans="1:56" s="127" customFormat="1" ht="12.75" customHeight="1" outlineLevel="1">
      <c r="A167" s="114"/>
      <c r="B167" s="180" t="s">
        <v>27</v>
      </c>
      <c r="C167" s="181"/>
      <c r="D167" s="1834" t="s">
        <v>409</v>
      </c>
      <c r="E167" s="147" t="s">
        <v>452</v>
      </c>
      <c r="F167" s="147" t="s">
        <v>455</v>
      </c>
      <c r="G167" s="147" t="s">
        <v>1</v>
      </c>
      <c r="H167" s="1826" t="s">
        <v>1681</v>
      </c>
      <c r="I167" s="1826" t="s">
        <v>309</v>
      </c>
      <c r="J167" s="1826" t="s">
        <v>444</v>
      </c>
      <c r="K167" s="1836" t="s">
        <v>444</v>
      </c>
      <c r="T167" s="109"/>
      <c r="U167" s="109"/>
      <c r="V167" s="114"/>
      <c r="W167" s="1825" t="s">
        <v>316</v>
      </c>
      <c r="X167" s="2629" t="s">
        <v>316</v>
      </c>
      <c r="Y167" s="2630"/>
      <c r="Z167" s="819"/>
      <c r="AA167" s="819"/>
      <c r="AB167" s="819"/>
      <c r="AC167" s="1836" t="s">
        <v>444</v>
      </c>
      <c r="AE167" s="2657" t="s">
        <v>444</v>
      </c>
      <c r="AF167" s="2658"/>
      <c r="AG167" s="2658"/>
      <c r="AH167" s="2659"/>
      <c r="AI167" s="587"/>
      <c r="AJ167" s="588"/>
      <c r="AK167" s="588"/>
      <c r="AL167" s="588"/>
      <c r="AM167" s="444"/>
      <c r="AN167" s="444"/>
      <c r="AO167" s="1639"/>
      <c r="AP167" s="109"/>
      <c r="AQ167" s="114"/>
      <c r="AR167" s="2614" t="s">
        <v>1646</v>
      </c>
      <c r="AS167" s="2645"/>
      <c r="AT167" s="2645"/>
      <c r="AU167" s="2615"/>
      <c r="AV167" s="2614" t="s">
        <v>1844</v>
      </c>
      <c r="AW167" s="2645"/>
      <c r="AX167" s="2645"/>
      <c r="AY167" s="2615"/>
      <c r="AZ167" s="114"/>
      <c r="BA167" s="114"/>
      <c r="BB167" s="114"/>
      <c r="BC167" s="116"/>
    </row>
    <row r="168" spans="1:56" s="127" customFormat="1" ht="12.75" customHeight="1" outlineLevel="1">
      <c r="A168" s="114"/>
      <c r="B168" s="1825"/>
      <c r="C168" s="1826"/>
      <c r="D168" s="1829" t="s">
        <v>444</v>
      </c>
      <c r="E168" s="1833" t="s">
        <v>453</v>
      </c>
      <c r="F168" s="153" t="s">
        <v>429</v>
      </c>
      <c r="G168" s="153" t="s">
        <v>315</v>
      </c>
      <c r="H168" s="1826"/>
      <c r="I168" s="1826" t="s">
        <v>33</v>
      </c>
      <c r="J168" s="1826" t="s">
        <v>33</v>
      </c>
      <c r="K168" s="1836"/>
      <c r="T168" s="109"/>
      <c r="U168" s="109"/>
      <c r="V168" s="114"/>
      <c r="W168" s="1825" t="s">
        <v>1649</v>
      </c>
      <c r="X168" s="2646" t="s">
        <v>1650</v>
      </c>
      <c r="Y168" s="2647"/>
      <c r="Z168" s="819"/>
      <c r="AA168" s="819"/>
      <c r="AB168" s="819"/>
      <c r="AC168" s="1836"/>
      <c r="AE168" s="1823" t="s">
        <v>211</v>
      </c>
      <c r="AF168" s="1824" t="s">
        <v>442</v>
      </c>
      <c r="AG168" s="1824" t="s">
        <v>267</v>
      </c>
      <c r="AH168" s="1824" t="s">
        <v>443</v>
      </c>
      <c r="AI168" s="589" t="s">
        <v>636</v>
      </c>
      <c r="AJ168" s="588"/>
      <c r="AK168" s="588"/>
      <c r="AL168" s="588"/>
      <c r="AM168" s="1639"/>
      <c r="AN168" s="1639"/>
      <c r="AO168" s="1639"/>
      <c r="AP168" s="109"/>
      <c r="AQ168" s="114"/>
      <c r="AR168" s="1837" t="s">
        <v>1643</v>
      </c>
      <c r="AS168" s="1839" t="s">
        <v>1640</v>
      </c>
      <c r="AT168" s="1839" t="s">
        <v>1641</v>
      </c>
      <c r="AU168" s="1839" t="s">
        <v>1642</v>
      </c>
      <c r="AV168" s="1837" t="s">
        <v>1643</v>
      </c>
      <c r="AW168" s="1839" t="s">
        <v>1640</v>
      </c>
      <c r="AX168" s="1839" t="s">
        <v>1641</v>
      </c>
      <c r="AY168" s="1838" t="s">
        <v>1642</v>
      </c>
      <c r="AZ168" s="114"/>
      <c r="BA168" s="114"/>
      <c r="BB168" s="114"/>
      <c r="BC168" s="116"/>
    </row>
    <row r="169" spans="1:56" s="116" customFormat="1" ht="12" customHeight="1" outlineLevel="1">
      <c r="A169" s="114"/>
      <c r="B169" s="143" t="s">
        <v>1291</v>
      </c>
      <c r="C169" s="1826"/>
      <c r="D169" s="315">
        <f>K169</f>
        <v>0</v>
      </c>
      <c r="E169" s="117"/>
      <c r="F169" s="1952" t="s">
        <v>1906</v>
      </c>
      <c r="G169" s="117"/>
      <c r="H169" s="218">
        <f>VLOOKUP($F169&amp;"; "&amp;$H$167,'FE Energie'!$G:$U,9,FALSE)</f>
        <v>0.186</v>
      </c>
      <c r="I169" s="222">
        <f>IF(ISNA(VLOOKUP($B169&amp;", "&amp;F169,Utilitaires!$B$159:$E$213,3,FALSE)),VLOOKUP($B169&amp;", France",Utilitaires!$B$159:$E$213,3,FALSE),VLOOKUP($B169&amp;", "&amp;F169,Utilitaires!$B$159:$E$213,3,FALSE))</f>
        <v>283</v>
      </c>
      <c r="J169" s="224">
        <f>H169*I169</f>
        <v>52.637999999999998</v>
      </c>
      <c r="K169" s="152">
        <f>G169*J169</f>
        <v>0</v>
      </c>
      <c r="T169" s="114"/>
      <c r="U169" s="114"/>
      <c r="V169" s="114"/>
      <c r="W169" s="226">
        <f>IF(AC169=0,AC169,AC169/K169)</f>
        <v>0</v>
      </c>
      <c r="X169" s="343"/>
      <c r="Y169" s="820"/>
      <c r="Z169" s="819"/>
      <c r="AA169" s="819"/>
      <c r="AB169" s="819"/>
      <c r="AC169" s="152">
        <f>SQRT(SUMSQ(IF(ISNA($J169*G169*AW169),0,$J169*G169*AW169)))</f>
        <v>0</v>
      </c>
      <c r="AE169" s="564">
        <f>K169</f>
        <v>0</v>
      </c>
      <c r="AF169" s="565"/>
      <c r="AG169" s="565"/>
      <c r="AH169" s="565"/>
      <c r="AI169" s="590"/>
      <c r="AJ169" s="441"/>
      <c r="AK169" s="441"/>
      <c r="AL169" s="441"/>
      <c r="AM169" s="1639"/>
      <c r="AN169" s="1639"/>
      <c r="AO169" s="444"/>
      <c r="AP169" s="114"/>
      <c r="AQ169" s="114"/>
      <c r="AR169" s="1065"/>
      <c r="AS169" s="1066">
        <f>IF($X169&lt;&gt;"votre valeur :",IF(ISNA(VLOOKUP($X169,Utilitaires!$N$566:$O$571,2,FALSE)),,VLOOKUP($X169,Utilitaires!$N$566:$O$571,2,FALSE)),$Y169)</f>
        <v>0</v>
      </c>
      <c r="AT169" s="1066"/>
      <c r="AU169" s="1066"/>
      <c r="AV169" s="1124"/>
      <c r="AW169" s="1068">
        <f>IF(ISNA(SQRT(SUMSQ(VLOOKUP($F169&amp;"; "&amp;$H$167,'FE Energie'!$G:$U,7,FALSE),$AS169))),0,SQRT(SUMSQ(VLOOKUP($F169&amp;"; "&amp;$H$167,'FE Energie'!$G:$U,7,FALSE),$AS169)))</f>
        <v>0.1</v>
      </c>
      <c r="AX169" s="1068"/>
      <c r="AY169" s="1125"/>
      <c r="AZ169" s="114"/>
      <c r="BA169" s="114"/>
      <c r="BB169" s="114"/>
    </row>
    <row r="170" spans="1:56" s="116" customFormat="1" ht="12" customHeight="1" outlineLevel="1">
      <c r="A170" s="114"/>
      <c r="B170" s="143" t="s">
        <v>1292</v>
      </c>
      <c r="C170" s="1826"/>
      <c r="D170" s="315">
        <f>K170</f>
        <v>0</v>
      </c>
      <c r="E170" s="120"/>
      <c r="F170" s="1953" t="s">
        <v>1925</v>
      </c>
      <c r="G170" s="120"/>
      <c r="H170" s="218">
        <f>VLOOKUP($F170&amp;"; "&amp;$H$167,'FE Energie'!$G:$U,9,FALSE)</f>
        <v>0.84099999999999997</v>
      </c>
      <c r="I170" s="222">
        <f>IF(ISNA(VLOOKUP($B170&amp;", "&amp;F170,Utilitaires!$B$159:$E$213,3,FALSE)),VLOOKUP($B170&amp;", France",Utilitaires!$B$159:$E$213,3,FALSE),VLOOKUP($B170&amp;", "&amp;F170,Utilitaires!$B$159:$E$213,3,FALSE))</f>
        <v>243</v>
      </c>
      <c r="J170" s="224">
        <f>H170*I170</f>
        <v>204.363</v>
      </c>
      <c r="K170" s="152">
        <f>G170*J170</f>
        <v>0</v>
      </c>
      <c r="T170" s="114"/>
      <c r="U170" s="114"/>
      <c r="V170" s="114"/>
      <c r="W170" s="226">
        <f>IF(AC170=0,AC170,AC170/K170)</f>
        <v>0</v>
      </c>
      <c r="X170" s="344"/>
      <c r="Y170" s="820"/>
      <c r="Z170" s="819"/>
      <c r="AA170" s="819"/>
      <c r="AB170" s="819"/>
      <c r="AC170" s="152">
        <f>SQRT(SUMSQ(IF(ISNA($J170*G170*AW170),0,$J170*G170*AW170)))</f>
        <v>0</v>
      </c>
      <c r="AE170" s="564">
        <f>K170</f>
        <v>0</v>
      </c>
      <c r="AF170" s="565"/>
      <c r="AG170" s="565"/>
      <c r="AH170" s="565"/>
      <c r="AI170" s="590"/>
      <c r="AJ170" s="441"/>
      <c r="AK170" s="441"/>
      <c r="AL170" s="441"/>
      <c r="AM170" s="444"/>
      <c r="AN170" s="444"/>
      <c r="AO170" s="444"/>
      <c r="AP170" s="114"/>
      <c r="AQ170" s="114"/>
      <c r="AR170" s="1065"/>
      <c r="AS170" s="1066">
        <f>IF($X170&lt;&gt;"votre valeur :",IF(ISNA(VLOOKUP($X170,Utilitaires!$N$566:$O$571,2,FALSE)),,VLOOKUP($X170,Utilitaires!$N$566:$O$571,2,FALSE)),$Y170)</f>
        <v>0</v>
      </c>
      <c r="AT170" s="1066"/>
      <c r="AU170" s="1066"/>
      <c r="AV170" s="1124"/>
      <c r="AW170" s="1068">
        <f>IF(ISNA(SQRT(SUMSQ(VLOOKUP($F170&amp;"; "&amp;$H$167,'FE Energie'!$G:$U,7,FALSE),$AS170))),0,SQRT(SUMSQ(VLOOKUP($F170&amp;"; "&amp;$H$167,'FE Energie'!$G:$U,7,FALSE),$AS170)))</f>
        <v>0.1</v>
      </c>
      <c r="AX170" s="1068"/>
      <c r="AY170" s="1125"/>
      <c r="AZ170" s="114"/>
      <c r="BA170" s="114"/>
      <c r="BB170" s="114"/>
    </row>
    <row r="171" spans="1:56" s="116" customFormat="1" ht="12" customHeight="1" outlineLevel="1">
      <c r="A171" s="114"/>
      <c r="B171" s="143" t="s">
        <v>1293</v>
      </c>
      <c r="C171" s="1826"/>
      <c r="D171" s="315">
        <f>K171</f>
        <v>0</v>
      </c>
      <c r="E171" s="120"/>
      <c r="F171" s="1953" t="s">
        <v>1926</v>
      </c>
      <c r="G171" s="120"/>
      <c r="H171" s="218">
        <f>VLOOKUP($F171&amp;"; "&amp;$H$167,'FE Energie'!$G:$U,9,FALSE)</f>
        <v>0.68899999999999995</v>
      </c>
      <c r="I171" s="222">
        <f>IF(ISNA(VLOOKUP($B171&amp;", "&amp;F171,Utilitaires!$B$159:$E$213,3,FALSE)),VLOOKUP($B171&amp;", France",Utilitaires!$B$159:$E$213,3,FALSE),VLOOKUP($B171&amp;", "&amp;F171,Utilitaires!$B$159:$E$213,3,FALSE))</f>
        <v>221</v>
      </c>
      <c r="J171" s="224">
        <f>H171*I171</f>
        <v>152.26899999999998</v>
      </c>
      <c r="K171" s="152">
        <f>G171*J171</f>
        <v>0</v>
      </c>
      <c r="T171" s="114"/>
      <c r="U171" s="114"/>
      <c r="V171" s="114"/>
      <c r="W171" s="226">
        <f>IF(AC171=0,AC171,AC171/K171)</f>
        <v>0</v>
      </c>
      <c r="X171" s="344"/>
      <c r="Y171" s="820"/>
      <c r="Z171" s="819"/>
      <c r="AA171" s="819"/>
      <c r="AB171" s="819"/>
      <c r="AC171" s="152">
        <f>SQRT(SUMSQ(IF(ISNA($J171*G171*AW171),0,$J171*G171*AW171)))</f>
        <v>0</v>
      </c>
      <c r="AE171" s="564">
        <f>K171</f>
        <v>0</v>
      </c>
      <c r="AF171" s="565"/>
      <c r="AG171" s="565"/>
      <c r="AH171" s="565"/>
      <c r="AI171" s="590"/>
      <c r="AJ171" s="441"/>
      <c r="AK171" s="441"/>
      <c r="AL171" s="441"/>
      <c r="AM171" s="444"/>
      <c r="AN171" s="444"/>
      <c r="AO171" s="444"/>
      <c r="AP171" s="114"/>
      <c r="AQ171" s="114"/>
      <c r="AR171" s="1065"/>
      <c r="AS171" s="1066">
        <f>IF($X171&lt;&gt;"votre valeur :",IF(ISNA(VLOOKUP($X171,Utilitaires!$N$566:$O$571,2,FALSE)),,VLOOKUP($X171,Utilitaires!$N$566:$O$571,2,FALSE)),$Y171)</f>
        <v>0</v>
      </c>
      <c r="AT171" s="1066"/>
      <c r="AU171" s="1066"/>
      <c r="AV171" s="1124"/>
      <c r="AW171" s="1068">
        <f>IF(ISNA(SQRT(SUMSQ(VLOOKUP($F171&amp;"; "&amp;$H$167,'FE Energie'!$G:$U,7,FALSE),$AS171))),0,SQRT(SUMSQ(VLOOKUP($F171&amp;"; "&amp;$H$167,'FE Energie'!$G:$U,7,FALSE),$AS171)))</f>
        <v>0.1</v>
      </c>
      <c r="AX171" s="1068"/>
      <c r="AY171" s="1125"/>
      <c r="AZ171" s="114"/>
      <c r="BA171" s="114"/>
      <c r="BB171" s="114"/>
    </row>
    <row r="172" spans="1:56" s="116" customFormat="1" ht="12" customHeight="1" outlineLevel="1">
      <c r="A172" s="114"/>
      <c r="B172" s="143" t="s">
        <v>1294</v>
      </c>
      <c r="C172" s="1826"/>
      <c r="D172" s="315">
        <f>K172</f>
        <v>0</v>
      </c>
      <c r="E172" s="123"/>
      <c r="F172" s="1954" t="s">
        <v>1927</v>
      </c>
      <c r="G172" s="123"/>
      <c r="H172" s="218">
        <f>VLOOKUP($F172&amp;"; "&amp;$H$167,'FE Energie'!$G:$U,9,FALSE)</f>
        <v>0.53300000000000003</v>
      </c>
      <c r="I172" s="222">
        <f>IF(ISNA(VLOOKUP($B172&amp;", "&amp;F172,Utilitaires!$B$159:$E$213,3,FALSE)),VLOOKUP($B172&amp;", France",Utilitaires!$B$159:$E$213,3,FALSE),VLOOKUP($B172&amp;", "&amp;F172,Utilitaires!$B$159:$E$213,3,FALSE))</f>
        <v>222</v>
      </c>
      <c r="J172" s="224">
        <f>H172*I172</f>
        <v>118.32600000000001</v>
      </c>
      <c r="K172" s="152">
        <f>G172*J172</f>
        <v>0</v>
      </c>
      <c r="T172" s="114"/>
      <c r="U172" s="114"/>
      <c r="V172" s="114"/>
      <c r="W172" s="226">
        <f>IF(AC172=0,AC172,AC172/K172)</f>
        <v>0</v>
      </c>
      <c r="X172" s="345"/>
      <c r="Y172" s="820"/>
      <c r="Z172" s="819"/>
      <c r="AA172" s="819"/>
      <c r="AB172" s="819"/>
      <c r="AC172" s="152">
        <f>SQRT(SUMSQ(IF(ISNA($J172*G172*AW172),0,$J172*G172*AW172)))</f>
        <v>0</v>
      </c>
      <c r="AE172" s="564">
        <f>K172</f>
        <v>0</v>
      </c>
      <c r="AF172" s="565"/>
      <c r="AG172" s="565"/>
      <c r="AH172" s="565"/>
      <c r="AI172" s="590"/>
      <c r="AJ172" s="441"/>
      <c r="AK172" s="441"/>
      <c r="AL172" s="441"/>
      <c r="AM172" s="444"/>
      <c r="AN172" s="444"/>
      <c r="AO172" s="444"/>
      <c r="AP172" s="114"/>
      <c r="AQ172" s="114"/>
      <c r="AR172" s="1065"/>
      <c r="AS172" s="1066">
        <f>IF($X172&lt;&gt;"votre valeur :",IF(ISNA(VLOOKUP($X172,Utilitaires!$N$566:$O$571,2,FALSE)),,VLOOKUP($X172,Utilitaires!$N$566:$O$571,2,FALSE)),$Y172)</f>
        <v>0</v>
      </c>
      <c r="AT172" s="1066"/>
      <c r="AU172" s="1066"/>
      <c r="AV172" s="1124"/>
      <c r="AW172" s="1068">
        <f>IF(ISNA(SQRT(SUMSQ(VLOOKUP($F172&amp;"; "&amp;$H$167,'FE Energie'!$G:$U,7,FALSE),$AS172))),0,SQRT(SUMSQ(VLOOKUP($F172&amp;"; "&amp;$H$167,'FE Energie'!$G:$U,7,FALSE),$AS172)))</f>
        <v>0.1</v>
      </c>
      <c r="AX172" s="1068"/>
      <c r="AY172" s="1125"/>
      <c r="AZ172" s="114"/>
      <c r="BA172" s="114"/>
      <c r="BB172" s="114"/>
    </row>
    <row r="173" spans="1:56" s="116" customFormat="1" ht="12.75" customHeight="1" outlineLevel="1">
      <c r="A173" s="114"/>
      <c r="B173" s="143"/>
      <c r="C173" s="144"/>
      <c r="D173" s="315"/>
      <c r="E173" s="155"/>
      <c r="F173" s="144"/>
      <c r="G173" s="144"/>
      <c r="H173" s="144"/>
      <c r="I173" s="144"/>
      <c r="J173" s="144"/>
      <c r="K173" s="152"/>
      <c r="T173" s="114"/>
      <c r="U173" s="114"/>
      <c r="V173" s="114"/>
      <c r="W173" s="143"/>
      <c r="X173" s="823"/>
      <c r="Y173" s="823"/>
      <c r="Z173" s="819"/>
      <c r="AA173" s="819"/>
      <c r="AB173" s="819"/>
      <c r="AC173" s="165"/>
      <c r="AE173" s="564"/>
      <c r="AF173" s="565"/>
      <c r="AG173" s="565"/>
      <c r="AH173" s="565"/>
      <c r="AI173" s="591"/>
      <c r="AJ173" s="441"/>
      <c r="AK173" s="441"/>
      <c r="AL173" s="441"/>
      <c r="AM173" s="444"/>
      <c r="AN173" s="444"/>
      <c r="AO173" s="444"/>
      <c r="AP173" s="114"/>
      <c r="AR173" s="1087"/>
      <c r="AS173" s="1088"/>
      <c r="AT173" s="1088"/>
      <c r="AU173" s="1088"/>
      <c r="AV173" s="1126"/>
      <c r="AW173" s="1073"/>
      <c r="AX173" s="1073"/>
      <c r="AY173" s="1074"/>
    </row>
    <row r="174" spans="1:56" s="116" customFormat="1" ht="12.75" customHeight="1" outlineLevel="1">
      <c r="A174" s="114"/>
      <c r="B174" s="196" t="s">
        <v>348</v>
      </c>
      <c r="C174" s="197"/>
      <c r="D174" s="202">
        <f>SUM(D169:D173)</f>
        <v>0</v>
      </c>
      <c r="E174" s="198"/>
      <c r="F174" s="199"/>
      <c r="G174" s="199"/>
      <c r="H174" s="199"/>
      <c r="I174" s="199"/>
      <c r="J174" s="199"/>
      <c r="K174" s="200">
        <f>SUM(K169:K173)</f>
        <v>0</v>
      </c>
      <c r="T174" s="114"/>
      <c r="U174" s="114"/>
      <c r="V174" s="114"/>
      <c r="W174" s="1203">
        <f>IF(AC174=0,AC174,AC174/K174)</f>
        <v>0</v>
      </c>
      <c r="X174" s="821"/>
      <c r="Y174" s="821"/>
      <c r="Z174" s="821"/>
      <c r="AA174" s="821"/>
      <c r="AB174" s="821"/>
      <c r="AC174" s="200">
        <f>SQRT(SUMSQ(AC169:AC173))</f>
        <v>0</v>
      </c>
      <c r="AE174" s="571">
        <f>SUM(AE169:AE173)</f>
        <v>0</v>
      </c>
      <c r="AF174" s="572">
        <f>SUM(AF169:AF173)</f>
        <v>0</v>
      </c>
      <c r="AG174" s="572">
        <f>SUM(AG169:AG173)</f>
        <v>0</v>
      </c>
      <c r="AH174" s="572">
        <f>SUM(AH169:AH173)</f>
        <v>0</v>
      </c>
      <c r="AI174" s="592">
        <f>SUM(AI169:AI173)</f>
        <v>0</v>
      </c>
      <c r="AJ174" s="441"/>
      <c r="AK174" s="441"/>
      <c r="AL174" s="441"/>
      <c r="AM174" s="444"/>
      <c r="AN174" s="444"/>
      <c r="AO174" s="444"/>
      <c r="AP174" s="114"/>
    </row>
    <row r="175" spans="1:56" s="116" customFormat="1" ht="12.75" customHeight="1" outlineLevel="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26"/>
      <c r="Y175" s="126"/>
      <c r="Z175" s="114"/>
      <c r="AA175" s="114"/>
      <c r="AB175" s="114"/>
      <c r="AC175" s="114"/>
      <c r="AE175" s="441"/>
      <c r="AF175" s="441"/>
      <c r="AG175" s="441"/>
      <c r="AH175" s="441"/>
      <c r="AI175" s="441"/>
      <c r="AJ175" s="441"/>
      <c r="AK175" s="441"/>
      <c r="AL175" s="441"/>
      <c r="AM175" s="444"/>
      <c r="AN175" s="444"/>
      <c r="AO175" s="444"/>
      <c r="AP175" s="441"/>
      <c r="AQ175" s="114"/>
    </row>
    <row r="176" spans="1:56" s="116" customFormat="1" ht="12.75" customHeight="1" outlineLevel="1">
      <c r="A176" s="114"/>
      <c r="B176" s="139" t="s">
        <v>2488</v>
      </c>
      <c r="C176" s="140"/>
      <c r="D176" s="141"/>
      <c r="E176" s="1822"/>
      <c r="F176" s="141"/>
      <c r="G176" s="141"/>
      <c r="H176" s="141"/>
      <c r="I176" s="141"/>
      <c r="J176" s="142"/>
      <c r="V176" s="114"/>
      <c r="W176" s="2636" t="s">
        <v>366</v>
      </c>
      <c r="X176" s="2637"/>
      <c r="Y176" s="2637"/>
      <c r="Z176" s="2637"/>
      <c r="AA176" s="2637"/>
      <c r="AB176" s="2637"/>
      <c r="AC176" s="2638"/>
      <c r="AE176" s="2639" t="s">
        <v>441</v>
      </c>
      <c r="AF176" s="2640"/>
      <c r="AG176" s="2640"/>
      <c r="AH176" s="2640"/>
      <c r="AI176" s="2640"/>
      <c r="AJ176" s="2640"/>
      <c r="AK176" s="2640"/>
      <c r="AL176" s="2640"/>
      <c r="AM176" s="2640"/>
      <c r="AN176" s="2640"/>
      <c r="AO176" s="2640"/>
      <c r="AP176" s="2641"/>
      <c r="AQ176" s="113"/>
    </row>
    <row r="177" spans="1:56" s="116" customFormat="1" ht="12.75" customHeight="1" outlineLevel="1">
      <c r="A177" s="114"/>
      <c r="B177" s="143"/>
      <c r="C177" s="144"/>
      <c r="D177" s="1834" t="s">
        <v>308</v>
      </c>
      <c r="E177" s="1826"/>
      <c r="F177" s="144"/>
      <c r="G177" s="144"/>
      <c r="H177" s="144"/>
      <c r="I177" s="144"/>
      <c r="J177" s="145"/>
      <c r="V177" s="114"/>
      <c r="W177" s="1825"/>
      <c r="X177" s="819"/>
      <c r="Y177" s="819"/>
      <c r="Z177" s="819"/>
      <c r="AA177" s="819"/>
      <c r="AB177" s="819"/>
      <c r="AC177" s="145"/>
      <c r="AE177" s="2642" t="s">
        <v>444</v>
      </c>
      <c r="AF177" s="2643"/>
      <c r="AG177" s="2643"/>
      <c r="AH177" s="2643"/>
      <c r="AI177" s="2643"/>
      <c r="AJ177" s="2643"/>
      <c r="AK177" s="2643"/>
      <c r="AL177" s="2643"/>
      <c r="AM177" s="624" t="s">
        <v>444</v>
      </c>
      <c r="AN177" s="624"/>
      <c r="AO177" s="1081"/>
      <c r="AP177" s="578"/>
      <c r="AR177" s="2616" t="s">
        <v>1648</v>
      </c>
      <c r="AS177" s="2617"/>
      <c r="AT177" s="2617"/>
      <c r="AU177" s="2617"/>
      <c r="AV177" s="2617"/>
      <c r="AW177" s="2617"/>
      <c r="AX177" s="2617"/>
      <c r="AY177" s="2617"/>
      <c r="AZ177" s="2617"/>
      <c r="BA177" s="2617"/>
      <c r="BB177" s="2617"/>
      <c r="BC177" s="2618"/>
    </row>
    <row r="178" spans="1:56" s="116" customFormat="1" ht="12.75" customHeight="1" outlineLevel="1">
      <c r="A178" s="114"/>
      <c r="B178" s="1825" t="s">
        <v>1777</v>
      </c>
      <c r="C178" s="1826"/>
      <c r="D178" s="1834" t="s">
        <v>409</v>
      </c>
      <c r="E178" s="147" t="s">
        <v>452</v>
      </c>
      <c r="F178" s="147" t="s">
        <v>343</v>
      </c>
      <c r="G178" s="2626" t="s">
        <v>1681</v>
      </c>
      <c r="H178" s="2628"/>
      <c r="I178" s="1834" t="s">
        <v>444</v>
      </c>
      <c r="J178" s="1836" t="s">
        <v>444</v>
      </c>
      <c r="V178" s="114"/>
      <c r="W178" s="1825" t="s">
        <v>316</v>
      </c>
      <c r="X178" s="2629" t="s">
        <v>316</v>
      </c>
      <c r="Y178" s="2630"/>
      <c r="Z178" s="819" t="s">
        <v>444</v>
      </c>
      <c r="AA178" s="819" t="s">
        <v>444</v>
      </c>
      <c r="AB178" s="819"/>
      <c r="AC178" s="1836" t="s">
        <v>444</v>
      </c>
      <c r="AE178" s="2631" t="s">
        <v>211</v>
      </c>
      <c r="AF178" s="2632"/>
      <c r="AG178" s="2632" t="s">
        <v>442</v>
      </c>
      <c r="AH178" s="2632"/>
      <c r="AI178" s="2632" t="s">
        <v>267</v>
      </c>
      <c r="AJ178" s="2632"/>
      <c r="AK178" s="2632" t="s">
        <v>443</v>
      </c>
      <c r="AL178" s="2632"/>
      <c r="AM178" s="1640" t="s">
        <v>327</v>
      </c>
      <c r="AN178" s="1640"/>
      <c r="AO178" s="2631" t="s">
        <v>636</v>
      </c>
      <c r="AP178" s="2650"/>
      <c r="AR178" s="2614" t="s">
        <v>1646</v>
      </c>
      <c r="AS178" s="2645"/>
      <c r="AT178" s="2645"/>
      <c r="AU178" s="2615"/>
      <c r="AV178" s="2614" t="s">
        <v>1644</v>
      </c>
      <c r="AW178" s="2645"/>
      <c r="AX178" s="2645"/>
      <c r="AY178" s="2615"/>
      <c r="AZ178" s="2614" t="s">
        <v>1645</v>
      </c>
      <c r="BA178" s="2645"/>
      <c r="BB178" s="2645"/>
      <c r="BC178" s="2615"/>
    </row>
    <row r="179" spans="1:56" s="116" customFormat="1" ht="12.75" customHeight="1" outlineLevel="1">
      <c r="A179" s="114"/>
      <c r="B179" s="1825"/>
      <c r="C179" s="1826"/>
      <c r="D179" s="1829" t="s">
        <v>444</v>
      </c>
      <c r="E179" s="1833" t="s">
        <v>453</v>
      </c>
      <c r="F179" s="1833" t="s">
        <v>533</v>
      </c>
      <c r="G179" s="1662" t="s">
        <v>411</v>
      </c>
      <c r="H179" s="1120" t="s">
        <v>257</v>
      </c>
      <c r="I179" s="1829" t="s">
        <v>411</v>
      </c>
      <c r="J179" s="220" t="s">
        <v>257</v>
      </c>
      <c r="V179" s="114"/>
      <c r="W179" s="1825" t="s">
        <v>1649</v>
      </c>
      <c r="X179" s="2646" t="s">
        <v>1650</v>
      </c>
      <c r="Y179" s="2647"/>
      <c r="Z179" s="227" t="s">
        <v>411</v>
      </c>
      <c r="AA179" s="1662" t="s">
        <v>257</v>
      </c>
      <c r="AB179" s="1662"/>
      <c r="AC179" s="162" t="s">
        <v>327</v>
      </c>
      <c r="AE179" s="1840" t="s">
        <v>411</v>
      </c>
      <c r="AF179" s="1841" t="s">
        <v>777</v>
      </c>
      <c r="AG179" s="1841" t="s">
        <v>411</v>
      </c>
      <c r="AH179" s="1841" t="s">
        <v>777</v>
      </c>
      <c r="AI179" s="1841" t="s">
        <v>411</v>
      </c>
      <c r="AJ179" s="1841" t="s">
        <v>777</v>
      </c>
      <c r="AK179" s="1841" t="s">
        <v>411</v>
      </c>
      <c r="AL179" s="1841" t="s">
        <v>777</v>
      </c>
      <c r="AM179" s="581" t="s">
        <v>411</v>
      </c>
      <c r="AN179" s="581" t="s">
        <v>777</v>
      </c>
      <c r="AO179" s="1840" t="s">
        <v>411</v>
      </c>
      <c r="AP179" s="1842" t="s">
        <v>777</v>
      </c>
      <c r="AR179" s="1837" t="s">
        <v>1643</v>
      </c>
      <c r="AS179" s="1839" t="s">
        <v>1640</v>
      </c>
      <c r="AT179" s="1839" t="s">
        <v>1641</v>
      </c>
      <c r="AU179" s="1838" t="s">
        <v>1642</v>
      </c>
      <c r="AV179" s="1839" t="s">
        <v>1643</v>
      </c>
      <c r="AW179" s="1839" t="s">
        <v>1640</v>
      </c>
      <c r="AX179" s="1839" t="s">
        <v>1641</v>
      </c>
      <c r="AY179" s="1838" t="s">
        <v>1642</v>
      </c>
      <c r="AZ179" s="1837" t="s">
        <v>1643</v>
      </c>
      <c r="BA179" s="1839" t="s">
        <v>1640</v>
      </c>
      <c r="BB179" s="1839" t="s">
        <v>1641</v>
      </c>
      <c r="BC179" s="1838" t="s">
        <v>1642</v>
      </c>
    </row>
    <row r="180" spans="1:56" s="116" customFormat="1" ht="12.75" customHeight="1" outlineLevel="1">
      <c r="A180" s="114"/>
      <c r="B180" s="143" t="s">
        <v>5018</v>
      </c>
      <c r="C180" s="1826"/>
      <c r="D180" s="315">
        <f>I180+J180</f>
        <v>0</v>
      </c>
      <c r="E180" s="117"/>
      <c r="F180" s="117"/>
      <c r="G180" s="223">
        <f>VLOOKUP($B180&amp;"; "&amp;$G$178&amp;", "&amp;G$179,'FE Energie'!$G:$U,9,FALSE)</f>
        <v>4.3900000000000002E-2</v>
      </c>
      <c r="H180" s="223">
        <f>VLOOKUP($B180&amp;"; "&amp;$G$178&amp;", "&amp;H$179,'FE Energie'!$G:$U,9,FALSE)</f>
        <v>0</v>
      </c>
      <c r="I180" s="566">
        <f>F180*G180</f>
        <v>0</v>
      </c>
      <c r="J180" s="567">
        <f>F180*H180</f>
        <v>0</v>
      </c>
      <c r="V180" s="114"/>
      <c r="W180" s="226">
        <f>IF(AC180=0,AC180,AC180/(I180+J180))</f>
        <v>0</v>
      </c>
      <c r="X180" s="343"/>
      <c r="Y180" s="820"/>
      <c r="Z180" s="819">
        <f>SQRT(SUMSQ(IF(ISNA($F180*G180*AW180),0,$F180*G180*AW180)))</f>
        <v>0</v>
      </c>
      <c r="AA180" s="819">
        <f>SQRT(SUMSQ(IF(ISNA($F180*H180*BA180),0,$F180*H180*BA180)))</f>
        <v>0</v>
      </c>
      <c r="AB180" s="819"/>
      <c r="AC180" s="152">
        <f>SQRT(Z180^2+AA180^2)</f>
        <v>0</v>
      </c>
      <c r="AE180" s="564">
        <f t="shared" ref="AE180:AF182" si="29">I180</f>
        <v>0</v>
      </c>
      <c r="AF180" s="565">
        <f t="shared" si="29"/>
        <v>0</v>
      </c>
      <c r="AG180" s="565"/>
      <c r="AH180" s="565"/>
      <c r="AI180" s="565"/>
      <c r="AJ180" s="565"/>
      <c r="AK180" s="565"/>
      <c r="AL180" s="565"/>
      <c r="AM180" s="566">
        <f>I180</f>
        <v>0</v>
      </c>
      <c r="AN180" s="566">
        <f>J180</f>
        <v>0</v>
      </c>
      <c r="AO180" s="564"/>
      <c r="AP180" s="568"/>
      <c r="AR180" s="1065"/>
      <c r="AS180" s="1066">
        <f>IF($X180&lt;&gt;"votre valeur :",IF(ISNA(VLOOKUP($X180,Utilitaires!$N$566:$O$571,2,FALSE)),,VLOOKUP($X180,Utilitaires!$N$566:$O$571,2,FALSE)),$Y180)</f>
        <v>0</v>
      </c>
      <c r="AT180" s="1066"/>
      <c r="AU180" s="1067"/>
      <c r="AV180" s="1068"/>
      <c r="AW180" s="1068">
        <f>IF(ISNA(SQRT(SUMSQ(VLOOKUP($B180&amp;"; "&amp;$G$178&amp;", "&amp;$G$179,'FE Energie'!$G:$U,7,FALSE),$AS180))),0,SQRT(SUMSQ(VLOOKUP($B180&amp;"; "&amp;$G$178&amp;", "&amp;$G$179,'FE Energie'!$G:$U,7,FALSE),$AS180)))</f>
        <v>0.3</v>
      </c>
      <c r="AX180" s="1068"/>
      <c r="AY180" s="1068"/>
      <c r="AZ180" s="1069"/>
      <c r="BA180" s="1070">
        <f>IF(ISNA(SQRT(SUMSQ(VLOOKUP($B180&amp;"; "&amp;$G$178&amp;", "&amp;$H$179,'FE Energie'!$G:$U,7,FALSE),$AS180))),0,SQRT(SUMSQ(VLOOKUP($B180&amp;"; "&amp;$G$178&amp;", "&amp;$H$179,'FE Energie'!$G:$U,7,FALSE),$AS180)))</f>
        <v>0.3</v>
      </c>
      <c r="BB180" s="1070"/>
      <c r="BC180" s="1071"/>
    </row>
    <row r="181" spans="1:56" s="116" customFormat="1" ht="12.75" customHeight="1" outlineLevel="1">
      <c r="A181" s="114"/>
      <c r="B181" s="143" t="s">
        <v>2810</v>
      </c>
      <c r="C181" s="1826"/>
      <c r="D181" s="315">
        <f>I181+J181</f>
        <v>0</v>
      </c>
      <c r="E181" s="120"/>
      <c r="F181" s="120"/>
      <c r="G181" s="223">
        <f>VLOOKUP($B181&amp;"; "&amp;$G$178&amp;", "&amp;G$179,'FE Energie'!$G:$U,9,FALSE)</f>
        <v>1.41E-2</v>
      </c>
      <c r="H181" s="223">
        <f>VLOOKUP($B181&amp;"; "&amp;$G$178&amp;", "&amp;H$179,'FE Energie'!$G:$U,9,FALSE)</f>
        <v>0</v>
      </c>
      <c r="I181" s="566">
        <f>F181*G181</f>
        <v>0</v>
      </c>
      <c r="J181" s="567">
        <f>F181*H181</f>
        <v>0</v>
      </c>
      <c r="V181" s="114"/>
      <c r="W181" s="226">
        <f>IF(AC181=0,AC181,AC181/(I181+J181))</f>
        <v>0</v>
      </c>
      <c r="X181" s="344"/>
      <c r="Y181" s="820"/>
      <c r="Z181" s="819">
        <f>SQRT(SUMSQ(IF(ISNA($F181*G181*AW181),0,$F181*G181*AW181)))</f>
        <v>0</v>
      </c>
      <c r="AA181" s="819">
        <f>SQRT(SUMSQ(IF(ISNA($F181*H181*BA181),0,$F181*H181*BA181)))</f>
        <v>0</v>
      </c>
      <c r="AB181" s="819"/>
      <c r="AC181" s="152">
        <f>SQRT(Z181^2+AA181^2)</f>
        <v>0</v>
      </c>
      <c r="AE181" s="564">
        <f t="shared" si="29"/>
        <v>0</v>
      </c>
      <c r="AF181" s="565">
        <f t="shared" si="29"/>
        <v>0</v>
      </c>
      <c r="AG181" s="565"/>
      <c r="AH181" s="565"/>
      <c r="AI181" s="565"/>
      <c r="AJ181" s="565"/>
      <c r="AK181" s="565"/>
      <c r="AL181" s="565"/>
      <c r="AM181" s="566"/>
      <c r="AN181" s="566"/>
      <c r="AO181" s="564"/>
      <c r="AP181" s="568"/>
      <c r="AR181" s="1065"/>
      <c r="AS181" s="1066">
        <f>IF($X181&lt;&gt;"votre valeur :",IF(ISNA(VLOOKUP($X181,Utilitaires!$N$566:$O$571,2,FALSE)),,VLOOKUP($X181,Utilitaires!$N$566:$O$571,2,FALSE)),$Y181)</f>
        <v>0</v>
      </c>
      <c r="AT181" s="1066"/>
      <c r="AU181" s="1067"/>
      <c r="AV181" s="1068"/>
      <c r="AW181" s="1068">
        <f>IF(ISNA(SQRT(SUMSQ(VLOOKUP($B181&amp;"; "&amp;$G$178&amp;", "&amp;$G$179,'FE Energie'!$G:$U,7,FALSE),$AS181))),0,SQRT(SUMSQ(VLOOKUP($B181&amp;"; "&amp;$G$178&amp;", "&amp;$G$179,'FE Energie'!$G:$U,7,FALSE),$AS181)))</f>
        <v>0.5</v>
      </c>
      <c r="AX181" s="1068"/>
      <c r="AY181" s="1068"/>
      <c r="AZ181" s="1069"/>
      <c r="BA181" s="1070">
        <f>IF(ISNA(SQRT(SUMSQ(VLOOKUP($B181&amp;"; "&amp;$G$178&amp;", "&amp;$H$179,'FE Energie'!$G:$U,7,FALSE),$AS181))),0,SQRT(SUMSQ(VLOOKUP($B181&amp;"; "&amp;$G$178&amp;", "&amp;$H$179,'FE Energie'!$G:$U,7,FALSE),$AS181)))</f>
        <v>0.5</v>
      </c>
      <c r="BB181" s="1070"/>
      <c r="BC181" s="1071"/>
    </row>
    <row r="182" spans="1:56" s="116" customFormat="1" ht="12.75" customHeight="1" outlineLevel="1">
      <c r="A182" s="114"/>
      <c r="B182" s="143" t="s">
        <v>2489</v>
      </c>
      <c r="C182" s="1826"/>
      <c r="D182" s="315">
        <f>I182+J182</f>
        <v>0</v>
      </c>
      <c r="E182" s="123"/>
      <c r="F182" s="123"/>
      <c r="G182" s="223">
        <f>VLOOKUP($B182&amp;"; "&amp;$G$178&amp;", "&amp;G$179,'FE Energie'!$G:$U,9,FALSE)</f>
        <v>6.0000000000000001E-3</v>
      </c>
      <c r="H182" s="223">
        <f>VLOOKUP($B182&amp;"; "&amp;$G$178&amp;", "&amp;H$179,'FE Energie'!$G:$U,9,FALSE)</f>
        <v>0</v>
      </c>
      <c r="I182" s="566">
        <f>F182*G182</f>
        <v>0</v>
      </c>
      <c r="J182" s="567">
        <f>F182*H182</f>
        <v>0</v>
      </c>
      <c r="V182" s="114"/>
      <c r="W182" s="226">
        <f>IF(AC182=0,AC182,AC182/(I182+J182))</f>
        <v>0</v>
      </c>
      <c r="X182" s="345"/>
      <c r="Y182" s="820"/>
      <c r="Z182" s="819">
        <f>SQRT(SUMSQ(IF(ISNA($F182*G182*AW182),0,$F182*G182*AW182)))</f>
        <v>0</v>
      </c>
      <c r="AA182" s="819">
        <f>SQRT(SUMSQ(IF(ISNA($F182*H182*BA182),0,$F182*H182*BA182)))</f>
        <v>0</v>
      </c>
      <c r="AB182" s="819"/>
      <c r="AC182" s="152">
        <f>SQRT(Z182^2+AA182^2)</f>
        <v>0</v>
      </c>
      <c r="AE182" s="564">
        <f t="shared" si="29"/>
        <v>0</v>
      </c>
      <c r="AF182" s="565">
        <f t="shared" si="29"/>
        <v>0</v>
      </c>
      <c r="AG182" s="565"/>
      <c r="AH182" s="565"/>
      <c r="AI182" s="565"/>
      <c r="AJ182" s="565"/>
      <c r="AK182" s="565"/>
      <c r="AL182" s="565"/>
      <c r="AM182" s="566"/>
      <c r="AN182" s="566"/>
      <c r="AO182" s="564"/>
      <c r="AP182" s="568"/>
      <c r="AR182" s="1065"/>
      <c r="AS182" s="1066">
        <f>IF($X182&lt;&gt;"votre valeur :",IF(ISNA(VLOOKUP($X182,Utilitaires!$N$566:$O$571,2,FALSE)),,VLOOKUP($X182,Utilitaires!$N$566:$O$571,2,FALSE)),$Y182)</f>
        <v>0</v>
      </c>
      <c r="AT182" s="1066"/>
      <c r="AU182" s="1067"/>
      <c r="AV182" s="1068"/>
      <c r="AW182" s="1068">
        <f>IF(ISNA(SQRT(SUMSQ(VLOOKUP($B182&amp;"; "&amp;$G$178&amp;", "&amp;$G$179,'FE Energie'!$G:$U,7,FALSE),$AS182))),0,SQRT(SUMSQ(VLOOKUP($B182&amp;"; "&amp;$G$178&amp;", "&amp;$G$179,'FE Energie'!$G:$U,7,FALSE),$AS182)))</f>
        <v>0.5</v>
      </c>
      <c r="AX182" s="1068"/>
      <c r="AY182" s="1068"/>
      <c r="AZ182" s="1069"/>
      <c r="BA182" s="1070">
        <f>IF(ISNA(SQRT(SUMSQ(VLOOKUP($B182&amp;"; "&amp;$G$178&amp;", "&amp;$H$179,'FE Energie'!$G:$U,7,FALSE),$AS182))),0,SQRT(SUMSQ(VLOOKUP($B182&amp;"; "&amp;$G$178&amp;", "&amp;$H$179,'FE Energie'!$G:$U,7,FALSE),$AS182)))</f>
        <v>0.5</v>
      </c>
      <c r="BB182" s="1070"/>
      <c r="BC182" s="1071"/>
    </row>
    <row r="183" spans="1:56" s="116" customFormat="1" ht="12.75" customHeight="1" outlineLevel="1">
      <c r="A183" s="114"/>
      <c r="B183" s="143"/>
      <c r="C183" s="144"/>
      <c r="D183" s="315"/>
      <c r="E183" s="155"/>
      <c r="F183" s="144"/>
      <c r="G183" s="144"/>
      <c r="H183" s="144"/>
      <c r="I183" s="155"/>
      <c r="J183" s="156"/>
      <c r="V183" s="114"/>
      <c r="W183" s="143"/>
      <c r="X183" s="820"/>
      <c r="Y183" s="820"/>
      <c r="Z183" s="819"/>
      <c r="AA183" s="819"/>
      <c r="AB183" s="819"/>
      <c r="AC183" s="152"/>
      <c r="AE183" s="564"/>
      <c r="AF183" s="565"/>
      <c r="AG183" s="565"/>
      <c r="AH183" s="565"/>
      <c r="AI183" s="565"/>
      <c r="AJ183" s="565"/>
      <c r="AK183" s="565"/>
      <c r="AL183" s="565"/>
      <c r="AM183" s="566"/>
      <c r="AN183" s="566"/>
      <c r="AO183" s="569"/>
      <c r="AP183" s="570"/>
      <c r="AR183" s="1087"/>
      <c r="AS183" s="1088"/>
      <c r="AT183" s="1088"/>
      <c r="AU183" s="1089"/>
      <c r="AV183" s="1073"/>
      <c r="AW183" s="1073"/>
      <c r="AX183" s="1073"/>
      <c r="AY183" s="1073"/>
      <c r="AZ183" s="1075"/>
      <c r="BA183" s="1076"/>
      <c r="BB183" s="1076"/>
      <c r="BC183" s="1077"/>
    </row>
    <row r="184" spans="1:56" s="116" customFormat="1" ht="12.75" customHeight="1" outlineLevel="1">
      <c r="A184" s="114"/>
      <c r="B184" s="196" t="s">
        <v>348</v>
      </c>
      <c r="C184" s="197"/>
      <c r="D184" s="202">
        <f>SUM(D180:D183)</f>
        <v>0</v>
      </c>
      <c r="E184" s="198"/>
      <c r="F184" s="199"/>
      <c r="G184" s="199"/>
      <c r="H184" s="199"/>
      <c r="I184" s="202">
        <f>SUM(I180:I183)</f>
        <v>0</v>
      </c>
      <c r="J184" s="200">
        <f>SUM(J180:J183)</f>
        <v>0</v>
      </c>
      <c r="V184" s="114"/>
      <c r="W184" s="1203">
        <f>IF(AC184=0,AC184,AC184/(J184+I184))</f>
        <v>0</v>
      </c>
      <c r="X184" s="821"/>
      <c r="Y184" s="1636"/>
      <c r="Z184" s="1636">
        <f>SQRT(SUMSQ(Z180:Z183))</f>
        <v>0</v>
      </c>
      <c r="AA184" s="1636">
        <f>SQRT(SUMSQ(AA180:AA183))</f>
        <v>0</v>
      </c>
      <c r="AB184" s="1636"/>
      <c r="AC184" s="200">
        <f>SQRT(SUMSQ(AC180:AC183))</f>
        <v>0</v>
      </c>
      <c r="AE184" s="571">
        <f t="shared" ref="AE184:AP184" si="30">SUM(AE177:AE183)</f>
        <v>0</v>
      </c>
      <c r="AF184" s="572">
        <f t="shared" si="30"/>
        <v>0</v>
      </c>
      <c r="AG184" s="572">
        <f t="shared" si="30"/>
        <v>0</v>
      </c>
      <c r="AH184" s="572">
        <f t="shared" si="30"/>
        <v>0</v>
      </c>
      <c r="AI184" s="572">
        <f t="shared" si="30"/>
        <v>0</v>
      </c>
      <c r="AJ184" s="572">
        <f t="shared" si="30"/>
        <v>0</v>
      </c>
      <c r="AK184" s="572">
        <f t="shared" si="30"/>
        <v>0</v>
      </c>
      <c r="AL184" s="572">
        <f t="shared" si="30"/>
        <v>0</v>
      </c>
      <c r="AM184" s="573">
        <f t="shared" si="30"/>
        <v>0</v>
      </c>
      <c r="AN184" s="574">
        <f t="shared" si="30"/>
        <v>0</v>
      </c>
      <c r="AO184" s="572">
        <f t="shared" si="30"/>
        <v>0</v>
      </c>
      <c r="AP184" s="575">
        <f t="shared" si="30"/>
        <v>0</v>
      </c>
      <c r="AQ184" s="114"/>
      <c r="AR184" s="114"/>
      <c r="AS184" s="114"/>
      <c r="AT184" s="114"/>
      <c r="AU184" s="114"/>
      <c r="AV184" s="114"/>
      <c r="AW184" s="114"/>
      <c r="AX184" s="114"/>
      <c r="AY184" s="114"/>
      <c r="AZ184" s="114"/>
      <c r="BA184" s="114"/>
      <c r="BB184" s="114"/>
      <c r="BC184" s="114"/>
    </row>
    <row r="185" spans="1:56" s="116" customFormat="1" ht="12.75" customHeight="1" outlineLevel="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26"/>
      <c r="Y185" s="126"/>
      <c r="Z185" s="114"/>
      <c r="AA185" s="114"/>
      <c r="AB185" s="114"/>
      <c r="AC185" s="114"/>
      <c r="AE185" s="441"/>
      <c r="AF185" s="441"/>
      <c r="AG185" s="441"/>
      <c r="AH185" s="441"/>
      <c r="AI185" s="441"/>
      <c r="AJ185" s="441"/>
      <c r="AK185" s="441"/>
      <c r="AL185" s="441"/>
      <c r="AM185" s="444"/>
      <c r="AN185" s="444"/>
      <c r="AO185" s="444"/>
      <c r="AP185" s="441"/>
      <c r="AQ185" s="114"/>
      <c r="AR185" s="114"/>
      <c r="AS185" s="114"/>
      <c r="AT185" s="114"/>
      <c r="AU185" s="114"/>
      <c r="AV185" s="114"/>
      <c r="AW185" s="114"/>
      <c r="AX185" s="114"/>
      <c r="AY185" s="114"/>
      <c r="AZ185" s="114"/>
      <c r="BA185" s="114"/>
      <c r="BB185" s="114"/>
      <c r="BC185" s="114"/>
    </row>
    <row r="186" spans="1:56" s="116" customFormat="1" ht="12.75" customHeight="1" outlineLevel="1">
      <c r="A186" s="114"/>
      <c r="B186" s="139" t="s">
        <v>326</v>
      </c>
      <c r="C186" s="140"/>
      <c r="D186" s="141"/>
      <c r="E186" s="141"/>
      <c r="F186" s="141"/>
      <c r="G186" s="141"/>
      <c r="H186" s="179"/>
      <c r="T186" s="114"/>
      <c r="U186" s="114"/>
      <c r="V186" s="114"/>
      <c r="W186" s="2636" t="s">
        <v>366</v>
      </c>
      <c r="X186" s="2637"/>
      <c r="Y186" s="2637"/>
      <c r="Z186" s="2637"/>
      <c r="AA186" s="2637"/>
      <c r="AB186" s="2637"/>
      <c r="AC186" s="2638"/>
      <c r="AE186" s="2639" t="s">
        <v>441</v>
      </c>
      <c r="AF186" s="2640"/>
      <c r="AG186" s="2640"/>
      <c r="AH186" s="2640"/>
      <c r="AI186" s="2641"/>
      <c r="AJ186" s="441"/>
      <c r="AK186" s="441"/>
      <c r="AL186" s="441"/>
      <c r="AM186" s="444"/>
      <c r="AN186" s="444"/>
      <c r="AO186" s="444"/>
      <c r="AP186" s="441"/>
      <c r="AQ186" s="114"/>
      <c r="AR186" s="109"/>
      <c r="AS186" s="109"/>
      <c r="AT186" s="109"/>
      <c r="AU186" s="109"/>
      <c r="AV186" s="109"/>
      <c r="AW186" s="109"/>
      <c r="AX186" s="109"/>
      <c r="AY186" s="109"/>
      <c r="AZ186" s="109"/>
      <c r="BA186" s="109"/>
      <c r="BB186" s="109"/>
      <c r="BC186" s="109"/>
      <c r="BD186" s="127"/>
    </row>
    <row r="187" spans="1:56" s="116" customFormat="1" ht="12.75" customHeight="1" outlineLevel="1">
      <c r="A187" s="114"/>
      <c r="B187" s="143"/>
      <c r="C187" s="144"/>
      <c r="D187" s="1834" t="s">
        <v>308</v>
      </c>
      <c r="E187" s="144"/>
      <c r="F187" s="144"/>
      <c r="G187" s="144"/>
      <c r="H187" s="168"/>
      <c r="T187" s="114"/>
      <c r="U187" s="114"/>
      <c r="V187" s="114"/>
      <c r="W187" s="1825"/>
      <c r="X187" s="819"/>
      <c r="Y187" s="819"/>
      <c r="Z187" s="819"/>
      <c r="AA187" s="819"/>
      <c r="AB187" s="819"/>
      <c r="AC187" s="145"/>
      <c r="AE187" s="584"/>
      <c r="AF187" s="585"/>
      <c r="AG187" s="585"/>
      <c r="AH187" s="585"/>
      <c r="AI187" s="586"/>
      <c r="AK187" s="441"/>
      <c r="AL187" s="441"/>
      <c r="AM187" s="444"/>
      <c r="AN187" s="444"/>
      <c r="AO187" s="444"/>
      <c r="AP187" s="441"/>
      <c r="AQ187" s="114"/>
      <c r="AR187" s="109"/>
      <c r="AS187" s="109"/>
      <c r="AT187" s="109"/>
      <c r="AU187" s="109"/>
      <c r="AV187" s="109"/>
      <c r="AW187" s="109"/>
      <c r="AX187" s="109"/>
      <c r="AY187" s="109"/>
      <c r="AZ187" s="109"/>
      <c r="BA187" s="109"/>
      <c r="BB187" s="109"/>
      <c r="BC187" s="109"/>
      <c r="BD187" s="127"/>
    </row>
    <row r="188" spans="1:56" s="116" customFormat="1" ht="12.75" customHeight="1" outlineLevel="1">
      <c r="A188" s="114"/>
      <c r="B188" s="1825"/>
      <c r="C188" s="1826"/>
      <c r="D188" s="1834" t="s">
        <v>409</v>
      </c>
      <c r="E188" s="147" t="s">
        <v>308</v>
      </c>
      <c r="F188" s="147" t="s">
        <v>308</v>
      </c>
      <c r="G188" s="1826" t="s">
        <v>8</v>
      </c>
      <c r="H188" s="1836" t="s">
        <v>444</v>
      </c>
      <c r="T188" s="114"/>
      <c r="U188" s="114"/>
      <c r="V188" s="114"/>
      <c r="W188" s="1825"/>
      <c r="X188" s="819"/>
      <c r="Y188" s="819"/>
      <c r="Z188" s="819"/>
      <c r="AA188" s="819"/>
      <c r="AB188" s="819"/>
      <c r="AC188" s="1836" t="s">
        <v>444</v>
      </c>
      <c r="AE188" s="2657" t="s">
        <v>444</v>
      </c>
      <c r="AF188" s="2658"/>
      <c r="AG188" s="2658"/>
      <c r="AH188" s="2659"/>
      <c r="AI188" s="587"/>
      <c r="AK188" s="441"/>
      <c r="AL188" s="441"/>
      <c r="AM188" s="444"/>
      <c r="AN188" s="444"/>
      <c r="AO188" s="444"/>
      <c r="AP188" s="441"/>
      <c r="AQ188" s="114"/>
      <c r="AR188" s="114"/>
      <c r="AS188" s="114"/>
      <c r="AT188" s="114"/>
      <c r="AU188" s="114"/>
      <c r="AV188" s="114"/>
      <c r="AW188" s="114"/>
      <c r="AX188" s="114"/>
      <c r="AY188" s="114"/>
      <c r="AZ188" s="114"/>
      <c r="BA188" s="114"/>
      <c r="BB188" s="114"/>
      <c r="BC188" s="114"/>
    </row>
    <row r="189" spans="1:56" s="127" customFormat="1" ht="12.75" customHeight="1" outlineLevel="1">
      <c r="A189" s="114"/>
      <c r="B189" s="1825"/>
      <c r="C189" s="1826"/>
      <c r="D189" s="1829" t="s">
        <v>444</v>
      </c>
      <c r="E189" s="1833" t="s">
        <v>532</v>
      </c>
      <c r="F189" s="1833" t="s">
        <v>444</v>
      </c>
      <c r="G189" s="1826" t="s">
        <v>183</v>
      </c>
      <c r="H189" s="1836"/>
      <c r="T189" s="109"/>
      <c r="U189" s="109"/>
      <c r="V189" s="114"/>
      <c r="W189" s="1825"/>
      <c r="X189" s="819"/>
      <c r="Y189" s="819"/>
      <c r="Z189" s="819"/>
      <c r="AA189" s="819"/>
      <c r="AB189" s="819"/>
      <c r="AC189" s="1836"/>
      <c r="AE189" s="1823" t="s">
        <v>211</v>
      </c>
      <c r="AF189" s="1824" t="s">
        <v>442</v>
      </c>
      <c r="AG189" s="1824" t="s">
        <v>267</v>
      </c>
      <c r="AH189" s="1824" t="s">
        <v>443</v>
      </c>
      <c r="AI189" s="589" t="s">
        <v>636</v>
      </c>
      <c r="AK189" s="588"/>
      <c r="AL189" s="588"/>
      <c r="AM189" s="1639"/>
      <c r="AN189" s="444"/>
      <c r="AO189" s="444"/>
      <c r="AP189" s="588"/>
      <c r="AQ189" s="109"/>
      <c r="AR189" s="114"/>
      <c r="AS189" s="114"/>
      <c r="AT189" s="114"/>
      <c r="AU189" s="114"/>
      <c r="AV189" s="114"/>
      <c r="AW189" s="114"/>
      <c r="AX189" s="114"/>
      <c r="AY189" s="114"/>
      <c r="AZ189" s="114"/>
      <c r="BA189" s="114"/>
      <c r="BB189" s="114"/>
      <c r="BC189" s="114"/>
      <c r="BD189" s="116"/>
    </row>
    <row r="190" spans="1:56" s="127" customFormat="1" ht="12.75" customHeight="1" outlineLevel="1">
      <c r="A190" s="114"/>
      <c r="B190" s="143" t="s">
        <v>831</v>
      </c>
      <c r="C190" s="1826"/>
      <c r="D190" s="315">
        <f>H190</f>
        <v>2559.3570000000004</v>
      </c>
      <c r="E190" s="182">
        <f>SUM(F91:F93)+SUM(F101:F107)+SUM(F115:F118)+SUM(F126:F130)+F151+SUMPRODUCT(I158:I161,G158:G161)+SUMPRODUCT(I169:I172,G169:G172)</f>
        <v>473955</v>
      </c>
      <c r="F190" s="182">
        <f>J95+K95+K109+L109+H152+H132+H120+K163+K174+I184+J184</f>
        <v>25830.547500000001</v>
      </c>
      <c r="G190" s="1901">
        <f>'FE Energie'!$L$2231</f>
        <v>8.9316987740805598E-2</v>
      </c>
      <c r="H190" s="152">
        <f>(F190-J95-K95-K109-L109)*G190+T109+T95</f>
        <v>2559.3570000000004</v>
      </c>
      <c r="T190" s="109"/>
      <c r="U190" s="109"/>
      <c r="V190" s="114"/>
      <c r="W190" s="1825"/>
      <c r="X190" s="1902">
        <f>0.1/SQRT(SUMSQ(0.1,0.1,0.1))</f>
        <v>0.57735026918962573</v>
      </c>
      <c r="Y190" s="825"/>
      <c r="Z190" s="820"/>
      <c r="AA190" s="820"/>
      <c r="AB190" s="820"/>
      <c r="AC190" s="152">
        <f>IF(ISNUMBER(X190),H190*X190,0)</f>
        <v>1477.6454529023531</v>
      </c>
      <c r="AE190" s="564">
        <f>H190</f>
        <v>2559.3570000000004</v>
      </c>
      <c r="AF190" s="565"/>
      <c r="AG190" s="565"/>
      <c r="AH190" s="565"/>
      <c r="AI190" s="590"/>
      <c r="AK190" s="588"/>
      <c r="AL190" s="588"/>
      <c r="AM190" s="1639"/>
      <c r="AN190" s="1639"/>
      <c r="AO190" s="1639"/>
      <c r="AP190" s="588"/>
      <c r="AQ190" s="109"/>
      <c r="AR190" s="114"/>
      <c r="AS190" s="114"/>
      <c r="AT190" s="114"/>
      <c r="AU190" s="114"/>
      <c r="AV190" s="114"/>
      <c r="AW190" s="114"/>
      <c r="AX190" s="114"/>
      <c r="AY190" s="114"/>
      <c r="AZ190" s="114"/>
      <c r="BA190" s="114"/>
      <c r="BB190" s="114"/>
      <c r="BC190" s="114"/>
      <c r="BD190" s="116"/>
    </row>
    <row r="191" spans="1:56" s="116" customFormat="1" ht="12" customHeight="1" outlineLevel="1">
      <c r="A191" s="114"/>
      <c r="B191" s="143"/>
      <c r="C191" s="144"/>
      <c r="D191" s="315"/>
      <c r="E191" s="144"/>
      <c r="F191" s="144"/>
      <c r="G191" s="144"/>
      <c r="H191" s="152"/>
      <c r="T191" s="114"/>
      <c r="U191" s="114"/>
      <c r="V191" s="114"/>
      <c r="W191" s="143"/>
      <c r="X191" s="823"/>
      <c r="Y191" s="823"/>
      <c r="Z191" s="823"/>
      <c r="AA191" s="823"/>
      <c r="AB191" s="823"/>
      <c r="AC191" s="165"/>
      <c r="AE191" s="564"/>
      <c r="AF191" s="565"/>
      <c r="AG191" s="565"/>
      <c r="AH191" s="565"/>
      <c r="AI191" s="591"/>
      <c r="AK191" s="441"/>
      <c r="AL191" s="441"/>
      <c r="AM191" s="444"/>
      <c r="AN191" s="1639"/>
      <c r="AO191" s="1639"/>
      <c r="AP191" s="441"/>
      <c r="AQ191" s="114"/>
      <c r="AR191" s="114"/>
      <c r="AS191" s="114"/>
      <c r="AT191" s="114"/>
      <c r="AU191" s="114"/>
      <c r="AV191" s="114"/>
      <c r="AW191" s="114"/>
      <c r="AX191" s="114"/>
      <c r="AY191" s="114"/>
      <c r="AZ191" s="114"/>
      <c r="BA191" s="114"/>
      <c r="BB191" s="114"/>
      <c r="BC191" s="114"/>
    </row>
    <row r="192" spans="1:56" s="116" customFormat="1" ht="12.75" customHeight="1" outlineLevel="1">
      <c r="A192" s="114"/>
      <c r="B192" s="196" t="s">
        <v>348</v>
      </c>
      <c r="C192" s="197"/>
      <c r="D192" s="202">
        <f>SUM(D190:D191)</f>
        <v>2559.3570000000004</v>
      </c>
      <c r="E192" s="199"/>
      <c r="F192" s="199"/>
      <c r="G192" s="199"/>
      <c r="H192" s="200">
        <f>SUM(H190:H191)</f>
        <v>2559.3570000000004</v>
      </c>
      <c r="T192" s="114"/>
      <c r="U192" s="114"/>
      <c r="V192" s="114"/>
      <c r="W192" s="201"/>
      <c r="X192" s="821"/>
      <c r="Y192" s="821"/>
      <c r="Z192" s="821"/>
      <c r="AA192" s="821"/>
      <c r="AB192" s="821"/>
      <c r="AC192" s="200">
        <f>SQRT(SUMSQ(AC190:AC191))</f>
        <v>1477.6454529023531</v>
      </c>
      <c r="AE192" s="571">
        <f>SUM(AE190:AE191)</f>
        <v>2559.3570000000004</v>
      </c>
      <c r="AF192" s="572">
        <f>SUM(AF190:AF191)</f>
        <v>0</v>
      </c>
      <c r="AG192" s="572">
        <f>SUM(AG190:AG191)</f>
        <v>0</v>
      </c>
      <c r="AH192" s="572">
        <f>SUM(AH190:AH191)</f>
        <v>0</v>
      </c>
      <c r="AI192" s="592">
        <f>SUM(AI190:AI191)</f>
        <v>0</v>
      </c>
      <c r="AK192" s="441"/>
      <c r="AL192" s="441"/>
      <c r="AM192" s="444"/>
      <c r="AN192" s="444"/>
      <c r="AO192" s="444"/>
      <c r="AP192" s="441"/>
      <c r="AQ192" s="114"/>
      <c r="AR192" s="114"/>
      <c r="AS192" s="114"/>
      <c r="AT192" s="114"/>
      <c r="AU192" s="114"/>
      <c r="AV192" s="114"/>
      <c r="AW192" s="114"/>
      <c r="AX192" s="114"/>
      <c r="AY192" s="114"/>
      <c r="AZ192" s="114"/>
      <c r="BA192" s="114"/>
      <c r="BB192" s="114"/>
      <c r="BC192" s="114"/>
    </row>
    <row r="193" spans="1:56" s="116" customFormat="1" ht="12.75" customHeight="1" outlineLevel="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26"/>
      <c r="Y193" s="126"/>
      <c r="Z193" s="114"/>
      <c r="AA193" s="114"/>
      <c r="AB193" s="114"/>
      <c r="AC193" s="114"/>
      <c r="AE193" s="441"/>
      <c r="AF193" s="441"/>
      <c r="AG193" s="441"/>
      <c r="AH193" s="441"/>
      <c r="AI193" s="441"/>
      <c r="AJ193" s="441"/>
      <c r="AK193" s="441"/>
      <c r="AL193" s="441"/>
      <c r="AM193" s="444"/>
      <c r="AN193" s="444"/>
      <c r="AO193" s="444"/>
      <c r="AP193" s="441"/>
      <c r="AQ193" s="114"/>
      <c r="AR193" s="114"/>
      <c r="AS193" s="114"/>
      <c r="AT193" s="114"/>
      <c r="AU193" s="114"/>
      <c r="AV193" s="114"/>
      <c r="AW193" s="114"/>
      <c r="AX193" s="114"/>
      <c r="AY193" s="114"/>
      <c r="AZ193" s="114"/>
      <c r="BA193" s="114"/>
      <c r="BB193" s="114"/>
      <c r="BC193" s="114"/>
    </row>
    <row r="194" spans="1:56" s="116" customFormat="1" ht="13.2" collapsed="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26"/>
      <c r="Y194" s="126"/>
      <c r="Z194" s="114"/>
      <c r="AA194" s="114"/>
      <c r="AB194" s="114"/>
      <c r="AC194" s="114"/>
      <c r="AE194" s="441"/>
      <c r="AF194" s="588"/>
      <c r="AG194" s="588"/>
      <c r="AH194" s="588"/>
      <c r="AI194" s="588"/>
      <c r="AJ194" s="576"/>
      <c r="AK194" s="441"/>
      <c r="AL194" s="441"/>
      <c r="AM194" s="444"/>
      <c r="AN194" s="444"/>
      <c r="AO194" s="444"/>
      <c r="AP194" s="441"/>
      <c r="AQ194" s="114"/>
      <c r="AR194" s="113"/>
      <c r="AS194" s="113"/>
      <c r="AT194" s="113"/>
      <c r="AU194" s="113"/>
      <c r="AV194" s="113"/>
      <c r="AW194" s="113"/>
      <c r="AX194" s="113"/>
      <c r="AY194" s="113"/>
      <c r="AZ194" s="113"/>
      <c r="BA194" s="113"/>
      <c r="BB194" s="113"/>
      <c r="BC194" s="113"/>
      <c r="BD194" s="418"/>
    </row>
    <row r="195" spans="1:56" s="418" customFormat="1" ht="20.100000000000001" customHeight="1">
      <c r="A195" s="113"/>
      <c r="B195" s="2664" t="s">
        <v>518</v>
      </c>
      <c r="C195" s="2665"/>
      <c r="D195" s="2665"/>
      <c r="E195" s="2665"/>
      <c r="F195" s="2665"/>
      <c r="G195" s="2665"/>
      <c r="H195" s="2665"/>
      <c r="I195" s="2665"/>
      <c r="J195" s="2665"/>
      <c r="K195" s="2665"/>
      <c r="L195" s="2665"/>
      <c r="M195" s="2665"/>
      <c r="N195" s="2665"/>
      <c r="O195" s="2666"/>
      <c r="P195" s="113"/>
      <c r="Q195" s="113"/>
      <c r="R195" s="113"/>
      <c r="S195" s="113"/>
      <c r="T195" s="113"/>
      <c r="U195" s="113"/>
      <c r="V195" s="113"/>
      <c r="W195" s="113"/>
      <c r="X195" s="113"/>
      <c r="Y195" s="817"/>
      <c r="Z195" s="817"/>
      <c r="AA195" s="113"/>
      <c r="AB195" s="113"/>
      <c r="AC195" s="113"/>
      <c r="AE195" s="113"/>
      <c r="AF195" s="441"/>
      <c r="AG195" s="588"/>
      <c r="AH195" s="588"/>
      <c r="AI195" s="588"/>
      <c r="AJ195" s="588"/>
      <c r="AK195" s="441"/>
      <c r="AL195" s="576"/>
      <c r="AM195" s="1240"/>
      <c r="AN195" s="1240"/>
      <c r="AO195" s="1240"/>
      <c r="AP195" s="441"/>
      <c r="AQ195" s="441"/>
      <c r="AR195" s="113"/>
      <c r="AS195" s="114"/>
      <c r="AT195" s="114"/>
      <c r="AU195" s="114"/>
      <c r="AV195" s="114"/>
      <c r="AW195" s="114"/>
      <c r="AX195" s="114"/>
      <c r="AY195" s="114"/>
      <c r="AZ195" s="114"/>
      <c r="BA195" s="114"/>
      <c r="BB195" s="114"/>
      <c r="BC195" s="114"/>
      <c r="BD195" s="114"/>
    </row>
    <row r="196" spans="1:56" s="116" customFormat="1" ht="13.2">
      <c r="A196" s="114"/>
      <c r="B196" s="128"/>
      <c r="C196" s="128"/>
      <c r="D196" s="128"/>
      <c r="E196" s="128"/>
      <c r="F196" s="128"/>
      <c r="G196" s="128"/>
      <c r="H196" s="128"/>
      <c r="I196" s="128"/>
      <c r="J196" s="128"/>
      <c r="K196" s="128"/>
      <c r="L196" s="128"/>
      <c r="M196" s="128"/>
      <c r="N196" s="128"/>
      <c r="O196" s="128"/>
      <c r="P196" s="114"/>
      <c r="Q196" s="114"/>
      <c r="R196" s="114"/>
      <c r="S196" s="114"/>
      <c r="T196" s="114"/>
      <c r="U196" s="114"/>
      <c r="V196" s="114"/>
      <c r="W196" s="114"/>
      <c r="X196" s="114"/>
      <c r="Y196" s="126"/>
      <c r="Z196" s="126"/>
      <c r="AA196" s="114"/>
      <c r="AB196" s="114"/>
      <c r="AC196" s="114"/>
      <c r="AE196" s="114"/>
      <c r="AF196" s="441"/>
      <c r="AG196" s="441"/>
      <c r="AH196" s="441"/>
      <c r="AI196" s="441"/>
      <c r="AJ196" s="441"/>
      <c r="AK196" s="441"/>
      <c r="AL196" s="441"/>
      <c r="AM196" s="444"/>
      <c r="AN196" s="444"/>
      <c r="AO196" s="444"/>
      <c r="AP196" s="441"/>
      <c r="AQ196" s="576"/>
      <c r="AR196" s="113"/>
      <c r="AS196" s="114"/>
      <c r="AT196" s="114"/>
      <c r="AU196" s="114"/>
      <c r="AV196" s="114"/>
      <c r="AW196" s="114"/>
      <c r="AX196" s="114"/>
      <c r="AY196" s="114"/>
      <c r="AZ196" s="114"/>
      <c r="BA196" s="114"/>
      <c r="BB196" s="114"/>
      <c r="BC196" s="114"/>
      <c r="BD196" s="114"/>
    </row>
    <row r="197" spans="1:56" s="116" customFormat="1" ht="12.75" customHeight="1">
      <c r="A197" s="114"/>
      <c r="B197" s="2667" t="str">
        <f>Descriptif!C23</f>
        <v>Energie 1</v>
      </c>
      <c r="C197" s="2668"/>
      <c r="D197" s="2671" t="s">
        <v>409</v>
      </c>
      <c r="E197" s="2672"/>
      <c r="F197" s="2673"/>
      <c r="G197" s="129"/>
      <c r="H197" s="2671" t="s">
        <v>159</v>
      </c>
      <c r="I197" s="2673"/>
      <c r="J197" s="170"/>
      <c r="K197" s="2674" t="s">
        <v>499</v>
      </c>
      <c r="L197" s="2675"/>
      <c r="M197" s="2675"/>
      <c r="N197" s="2676"/>
      <c r="O197" s="1641"/>
      <c r="P197" s="1641"/>
      <c r="Q197" s="114"/>
      <c r="R197" s="114"/>
      <c r="S197" s="126"/>
      <c r="T197" s="126"/>
      <c r="U197" s="114"/>
      <c r="V197" s="114"/>
      <c r="W197" s="114"/>
      <c r="Y197" s="114"/>
      <c r="Z197" s="588"/>
      <c r="AA197" s="441"/>
      <c r="AB197" s="441"/>
      <c r="AC197" s="441"/>
      <c r="AD197" s="441"/>
      <c r="AE197" s="441"/>
      <c r="AF197" s="441"/>
      <c r="AG197" s="444"/>
      <c r="AH197" s="444"/>
      <c r="AI197" s="444"/>
      <c r="AJ197" s="441"/>
      <c r="AK197" s="441"/>
      <c r="AL197" s="114"/>
      <c r="AM197" s="114"/>
      <c r="AN197" s="114"/>
      <c r="AO197" s="114"/>
      <c r="AP197" s="114"/>
      <c r="AQ197" s="114"/>
      <c r="AR197" s="114"/>
      <c r="AS197" s="114"/>
      <c r="AT197" s="114"/>
      <c r="AU197" s="114"/>
      <c r="AV197" s="114"/>
      <c r="AW197" s="114"/>
      <c r="AX197" s="114"/>
    </row>
    <row r="198" spans="1:56" s="116" customFormat="1" ht="12.75" customHeight="1">
      <c r="A198" s="114"/>
      <c r="B198" s="2669"/>
      <c r="C198" s="2670"/>
      <c r="D198" s="1828" t="s">
        <v>444</v>
      </c>
      <c r="E198" s="1831" t="s">
        <v>500</v>
      </c>
      <c r="F198" s="1828" t="s">
        <v>524</v>
      </c>
      <c r="G198" s="129"/>
      <c r="H198" s="1828" t="s">
        <v>444</v>
      </c>
      <c r="I198" s="1828" t="s">
        <v>355</v>
      </c>
      <c r="J198" s="170"/>
      <c r="K198" s="1827" t="s">
        <v>43</v>
      </c>
      <c r="L198" s="1827" t="s">
        <v>522</v>
      </c>
      <c r="M198" s="1827" t="s">
        <v>522</v>
      </c>
      <c r="N198" s="1827" t="s">
        <v>523</v>
      </c>
      <c r="O198" s="1641"/>
      <c r="P198" s="1641"/>
      <c r="Q198" s="114"/>
      <c r="R198" s="114"/>
      <c r="S198" s="126"/>
      <c r="T198" s="126"/>
      <c r="U198" s="114"/>
      <c r="V198" s="114"/>
      <c r="W198" s="114"/>
      <c r="Y198" s="114"/>
      <c r="Z198" s="588"/>
      <c r="AA198" s="441"/>
      <c r="AB198" s="441"/>
      <c r="AC198" s="441"/>
      <c r="AD198" s="441"/>
      <c r="AE198" s="441"/>
      <c r="AF198" s="441"/>
      <c r="AG198" s="444"/>
      <c r="AH198" s="444"/>
      <c r="AI198" s="444"/>
      <c r="AJ198" s="441"/>
      <c r="AK198" s="441"/>
      <c r="AL198" s="114"/>
      <c r="AM198" s="114"/>
      <c r="AN198" s="114"/>
      <c r="AO198" s="114"/>
      <c r="AP198" s="114"/>
      <c r="AQ198" s="114"/>
      <c r="AR198" s="114"/>
      <c r="AS198" s="114"/>
      <c r="AT198" s="114"/>
      <c r="AU198" s="114"/>
      <c r="AV198" s="114"/>
      <c r="AW198" s="114"/>
      <c r="AX198" s="114"/>
    </row>
    <row r="199" spans="1:56" s="116" customFormat="1" ht="13.2">
      <c r="A199" s="114"/>
      <c r="B199" s="2660" t="s">
        <v>184</v>
      </c>
      <c r="C199" s="2661"/>
      <c r="D199" s="183">
        <f>D28+D40</f>
        <v>370148.3236</v>
      </c>
      <c r="E199" s="184">
        <f>D199/1000</f>
        <v>370.14832360000003</v>
      </c>
      <c r="F199" s="185">
        <f t="shared" ref="F199:F204" si="31">IF($D$204=0,"",D199/$D$204)</f>
        <v>0.92876491513663151</v>
      </c>
      <c r="G199" s="128"/>
      <c r="H199" s="136">
        <f>SQRT(AC28^2+AC40^2)</f>
        <v>15080.11327972312</v>
      </c>
      <c r="I199" s="185">
        <f t="shared" ref="I199:I204" si="32">IF(D199=0,"",H199/D199)</f>
        <v>4.0740730994149828E-2</v>
      </c>
      <c r="J199" s="170"/>
      <c r="K199" s="187">
        <f t="shared" ref="K199:K204" si="33">(D199-H199)/1000</f>
        <v>355.06821032027693</v>
      </c>
      <c r="L199" s="187">
        <f t="shared" ref="L199:L204" si="34">E199</f>
        <v>370.14832360000003</v>
      </c>
      <c r="M199" s="187">
        <f t="shared" ref="M199:M204" si="35">E199</f>
        <v>370.14832360000003</v>
      </c>
      <c r="N199" s="187">
        <f t="shared" ref="N199:N204" si="36">(D199+H199)/1000</f>
        <v>385.22843687972312</v>
      </c>
      <c r="O199" s="1642"/>
      <c r="P199" s="1642"/>
      <c r="Q199" s="114"/>
      <c r="R199" s="114"/>
      <c r="S199" s="126"/>
      <c r="T199" s="126"/>
      <c r="U199" s="114"/>
      <c r="V199" s="114"/>
      <c r="W199" s="114"/>
      <c r="Y199" s="114"/>
      <c r="Z199" s="441"/>
      <c r="AA199" s="441"/>
      <c r="AB199" s="441"/>
      <c r="AC199" s="441"/>
      <c r="AD199" s="441"/>
      <c r="AE199" s="441"/>
      <c r="AF199" s="441"/>
      <c r="AG199" s="444"/>
      <c r="AH199" s="444"/>
      <c r="AI199" s="444"/>
      <c r="AJ199" s="441"/>
      <c r="AK199" s="441"/>
      <c r="AL199" s="114"/>
      <c r="AM199" s="114"/>
      <c r="AN199" s="114"/>
      <c r="AO199" s="114"/>
      <c r="AP199" s="114"/>
      <c r="AQ199" s="114"/>
      <c r="AR199" s="114"/>
      <c r="AS199" s="114"/>
      <c r="AT199" s="114"/>
      <c r="AU199" s="114"/>
      <c r="AV199" s="114"/>
      <c r="AW199" s="114"/>
      <c r="AX199" s="114"/>
    </row>
    <row r="200" spans="1:56" s="116" customFormat="1" ht="13.2">
      <c r="A200" s="114"/>
      <c r="B200" s="2660" t="s">
        <v>23</v>
      </c>
      <c r="C200" s="2661"/>
      <c r="D200" s="136">
        <f>M54+L54</f>
        <v>0</v>
      </c>
      <c r="E200" s="186">
        <f>D200/1000</f>
        <v>0</v>
      </c>
      <c r="F200" s="185">
        <f t="shared" si="31"/>
        <v>0</v>
      </c>
      <c r="G200" s="128"/>
      <c r="H200" s="136">
        <f>AC54</f>
        <v>0</v>
      </c>
      <c r="I200" s="185" t="str">
        <f t="shared" si="32"/>
        <v/>
      </c>
      <c r="J200" s="170"/>
      <c r="K200" s="187">
        <f t="shared" si="33"/>
        <v>0</v>
      </c>
      <c r="L200" s="187">
        <f t="shared" si="34"/>
        <v>0</v>
      </c>
      <c r="M200" s="187">
        <f t="shared" si="35"/>
        <v>0</v>
      </c>
      <c r="N200" s="187">
        <f t="shared" si="36"/>
        <v>0</v>
      </c>
      <c r="O200" s="1642"/>
      <c r="P200" s="1642"/>
      <c r="Q200" s="114"/>
      <c r="R200" s="114"/>
      <c r="S200" s="126"/>
      <c r="T200" s="126"/>
      <c r="U200" s="114"/>
      <c r="V200" s="114"/>
      <c r="W200" s="114"/>
      <c r="Y200" s="114"/>
      <c r="Z200" s="576"/>
      <c r="AA200" s="576"/>
      <c r="AB200" s="576"/>
      <c r="AC200" s="576"/>
      <c r="AD200" s="576"/>
      <c r="AE200" s="441"/>
      <c r="AF200" s="441"/>
      <c r="AG200" s="444"/>
      <c r="AH200" s="444"/>
      <c r="AI200" s="444"/>
      <c r="AJ200" s="441"/>
      <c r="AK200" s="441"/>
      <c r="AL200" s="114"/>
      <c r="AM200" s="114"/>
      <c r="AN200" s="114"/>
      <c r="AO200" s="114"/>
      <c r="AP200" s="114"/>
      <c r="AQ200" s="114"/>
      <c r="AR200" s="114"/>
      <c r="AS200" s="114"/>
      <c r="AT200" s="114"/>
      <c r="AU200" s="114"/>
      <c r="AV200" s="114"/>
      <c r="AW200" s="114"/>
      <c r="AX200" s="114"/>
    </row>
    <row r="201" spans="1:56" s="116" customFormat="1" ht="13.2">
      <c r="A201" s="114"/>
      <c r="B201" s="2660" t="s">
        <v>24</v>
      </c>
      <c r="C201" s="2661"/>
      <c r="D201" s="136">
        <f>M67</f>
        <v>0</v>
      </c>
      <c r="E201" s="186">
        <f>D201/1000</f>
        <v>0</v>
      </c>
      <c r="F201" s="185">
        <f t="shared" si="31"/>
        <v>0</v>
      </c>
      <c r="G201" s="128"/>
      <c r="H201" s="136">
        <f>AC67</f>
        <v>0</v>
      </c>
      <c r="I201" s="185" t="str">
        <f t="shared" si="32"/>
        <v/>
      </c>
      <c r="J201" s="170"/>
      <c r="K201" s="187">
        <f t="shared" si="33"/>
        <v>0</v>
      </c>
      <c r="L201" s="187">
        <f t="shared" si="34"/>
        <v>0</v>
      </c>
      <c r="M201" s="187">
        <f t="shared" si="35"/>
        <v>0</v>
      </c>
      <c r="N201" s="187">
        <f t="shared" si="36"/>
        <v>0</v>
      </c>
      <c r="O201" s="1642"/>
      <c r="P201" s="1642"/>
      <c r="Q201" s="114"/>
      <c r="R201" s="114"/>
      <c r="S201" s="126"/>
      <c r="T201" s="126"/>
      <c r="U201" s="114"/>
      <c r="V201" s="114"/>
      <c r="W201" s="114"/>
      <c r="Y201" s="114"/>
      <c r="Z201" s="441"/>
      <c r="AA201" s="441"/>
      <c r="AB201" s="441"/>
      <c r="AC201" s="441"/>
      <c r="AD201" s="441"/>
      <c r="AE201" s="441"/>
      <c r="AF201" s="441"/>
      <c r="AG201" s="441"/>
      <c r="AH201" s="444"/>
      <c r="AI201" s="444"/>
      <c r="AJ201" s="441"/>
      <c r="AK201" s="441"/>
      <c r="AL201" s="114"/>
      <c r="AM201" s="113"/>
      <c r="AN201" s="113"/>
      <c r="AO201" s="113"/>
      <c r="AP201" s="113"/>
      <c r="AQ201" s="113"/>
      <c r="AR201" s="113"/>
      <c r="AS201" s="113"/>
      <c r="AT201" s="113"/>
      <c r="AU201" s="113"/>
      <c r="AV201" s="113"/>
      <c r="AW201" s="113"/>
      <c r="AX201" s="113"/>
      <c r="AY201" s="418"/>
    </row>
    <row r="202" spans="1:56" s="116" customFormat="1" ht="13.2">
      <c r="A202" s="114"/>
      <c r="B202" s="2660" t="s">
        <v>434</v>
      </c>
      <c r="C202" s="2661"/>
      <c r="D202" s="136">
        <f>I77</f>
        <v>0</v>
      </c>
      <c r="E202" s="186">
        <f>D202/1000</f>
        <v>0</v>
      </c>
      <c r="F202" s="185">
        <f t="shared" si="31"/>
        <v>0</v>
      </c>
      <c r="G202" s="128"/>
      <c r="H202" s="136">
        <f>AC77</f>
        <v>0</v>
      </c>
      <c r="I202" s="185" t="str">
        <f t="shared" si="32"/>
        <v/>
      </c>
      <c r="J202" s="170"/>
      <c r="K202" s="187">
        <f t="shared" si="33"/>
        <v>0</v>
      </c>
      <c r="L202" s="187">
        <f t="shared" si="34"/>
        <v>0</v>
      </c>
      <c r="M202" s="187">
        <f t="shared" si="35"/>
        <v>0</v>
      </c>
      <c r="N202" s="187">
        <f t="shared" si="36"/>
        <v>0</v>
      </c>
      <c r="O202" s="1642"/>
      <c r="P202" s="1642"/>
      <c r="Q202" s="114"/>
      <c r="R202" s="114"/>
      <c r="S202" s="126"/>
      <c r="T202" s="126"/>
      <c r="U202" s="114"/>
      <c r="V202" s="114"/>
      <c r="W202" s="114"/>
      <c r="Y202" s="114"/>
      <c r="Z202" s="441"/>
      <c r="AA202" s="441"/>
      <c r="AB202" s="441"/>
      <c r="AC202" s="441"/>
      <c r="AD202" s="441"/>
      <c r="AE202" s="441"/>
      <c r="AF202" s="441"/>
      <c r="AG202" s="441"/>
      <c r="AH202" s="444"/>
      <c r="AI202" s="444"/>
      <c r="AJ202" s="441"/>
      <c r="AK202" s="441"/>
      <c r="AL202" s="114"/>
      <c r="AM202" s="113"/>
      <c r="AN202" s="113"/>
      <c r="AO202" s="113"/>
      <c r="AP202" s="113"/>
      <c r="AQ202" s="113"/>
      <c r="AR202" s="113"/>
      <c r="AS202" s="113"/>
      <c r="AT202" s="113"/>
      <c r="AU202" s="113"/>
      <c r="AV202" s="113"/>
      <c r="AW202" s="113"/>
      <c r="AX202" s="113"/>
      <c r="AY202" s="418"/>
    </row>
    <row r="203" spans="1:56" s="116" customFormat="1" ht="15">
      <c r="A203" s="114"/>
      <c r="B203" s="2660" t="s">
        <v>1845</v>
      </c>
      <c r="C203" s="2661"/>
      <c r="D203" s="136">
        <f>J95+K95+H120+H132+H152+K163+K174+H192+K109+L109+I184+J184+U109</f>
        <v>28389.904499999997</v>
      </c>
      <c r="E203" s="186">
        <f>D203/1000</f>
        <v>28.389904499999997</v>
      </c>
      <c r="F203" s="185">
        <f t="shared" si="31"/>
        <v>7.1235084863368464E-2</v>
      </c>
      <c r="G203" s="128"/>
      <c r="H203" s="136">
        <f>SQRT(AC95^2+AC120^2+AC132^2+AC152^2+AC163^2+AC174^2+AC192^2+AC184^2+AC109^2)</f>
        <v>2516.3975576894309</v>
      </c>
      <c r="I203" s="185">
        <f t="shared" si="32"/>
        <v>8.8637056094691372E-2</v>
      </c>
      <c r="J203" s="170"/>
      <c r="K203" s="187">
        <f t="shared" si="33"/>
        <v>25.873506942310566</v>
      </c>
      <c r="L203" s="187">
        <f t="shared" si="34"/>
        <v>28.389904499999997</v>
      </c>
      <c r="M203" s="187">
        <f t="shared" si="35"/>
        <v>28.389904499999997</v>
      </c>
      <c r="N203" s="187">
        <f t="shared" si="36"/>
        <v>30.906302057689427</v>
      </c>
      <c r="O203" s="1642"/>
      <c r="P203" s="1642"/>
      <c r="Q203" s="114"/>
      <c r="R203" s="114"/>
      <c r="S203" s="126"/>
      <c r="T203" s="126"/>
      <c r="U203" s="114"/>
      <c r="V203" s="114"/>
      <c r="W203" s="114"/>
      <c r="Y203" s="114"/>
      <c r="Z203" s="441"/>
      <c r="AA203" s="441"/>
      <c r="AB203" s="441"/>
      <c r="AC203" s="441"/>
      <c r="AD203" s="441"/>
      <c r="AE203" s="593"/>
      <c r="AF203" s="441"/>
      <c r="AG203" s="441"/>
      <c r="AH203" s="444"/>
      <c r="AI203" s="444"/>
      <c r="AJ203" s="441"/>
      <c r="AK203" s="441"/>
      <c r="AL203" s="114"/>
      <c r="AM203" s="113"/>
      <c r="AN203" s="113"/>
      <c r="AO203" s="113"/>
      <c r="AP203" s="113"/>
      <c r="AQ203" s="113"/>
      <c r="AR203" s="113"/>
      <c r="AS203" s="113"/>
      <c r="AT203" s="113"/>
      <c r="AU203" s="113"/>
      <c r="AV203" s="113"/>
      <c r="AW203" s="113"/>
      <c r="AX203" s="113"/>
      <c r="AY203" s="418"/>
    </row>
    <row r="204" spans="1:56" s="418" customFormat="1" ht="15">
      <c r="A204" s="113"/>
      <c r="B204" s="2662" t="s">
        <v>348</v>
      </c>
      <c r="C204" s="2663"/>
      <c r="D204" s="188">
        <f>SUM(D199:D203)</f>
        <v>398538.22810000001</v>
      </c>
      <c r="E204" s="189">
        <f>SUM(E199:E203)</f>
        <v>398.53822810000003</v>
      </c>
      <c r="F204" s="190">
        <f t="shared" si="31"/>
        <v>1</v>
      </c>
      <c r="G204" s="191"/>
      <c r="H204" s="188">
        <f>SQRT(SUMSQ(H199:H203))</f>
        <v>15288.625615065173</v>
      </c>
      <c r="I204" s="190">
        <f t="shared" si="32"/>
        <v>3.8361754374109873E-2</v>
      </c>
      <c r="J204" s="192"/>
      <c r="K204" s="187">
        <f t="shared" si="33"/>
        <v>383.24960248493483</v>
      </c>
      <c r="L204" s="187">
        <f t="shared" si="34"/>
        <v>398.53822810000003</v>
      </c>
      <c r="M204" s="187">
        <f t="shared" si="35"/>
        <v>398.53822810000003</v>
      </c>
      <c r="N204" s="187">
        <f t="shared" si="36"/>
        <v>413.82685371506517</v>
      </c>
      <c r="O204" s="1642"/>
      <c r="P204" s="1642"/>
      <c r="Q204" s="130"/>
      <c r="R204" s="130"/>
      <c r="S204" s="824"/>
      <c r="T204" s="824"/>
      <c r="U204" s="130"/>
      <c r="V204" s="130"/>
      <c r="W204" s="130"/>
      <c r="X204" s="1238"/>
      <c r="Y204" s="113"/>
      <c r="Z204" s="593"/>
      <c r="AA204" s="593"/>
      <c r="AB204" s="593"/>
      <c r="AC204" s="593"/>
      <c r="AD204" s="593"/>
      <c r="AE204" s="593"/>
      <c r="AF204" s="576"/>
      <c r="AG204" s="576"/>
      <c r="AH204" s="1240"/>
      <c r="AI204" s="1240"/>
      <c r="AJ204" s="576"/>
      <c r="AK204" s="576"/>
      <c r="AL204" s="113"/>
      <c r="AM204" s="132"/>
      <c r="AN204" s="132"/>
      <c r="AO204" s="132"/>
      <c r="AP204" s="132"/>
      <c r="AQ204" s="132"/>
      <c r="AR204" s="132"/>
      <c r="AS204" s="132"/>
      <c r="AT204" s="132"/>
      <c r="AU204" s="132"/>
      <c r="AV204" s="132"/>
      <c r="AW204" s="132"/>
      <c r="AX204" s="132"/>
      <c r="AY204" s="261"/>
    </row>
    <row r="205" spans="1:56" s="418" customFormat="1" ht="12">
      <c r="A205" s="113"/>
      <c r="B205" s="131"/>
      <c r="C205" s="131"/>
      <c r="D205" s="131"/>
      <c r="E205" s="131"/>
      <c r="F205" s="131"/>
      <c r="G205" s="131"/>
      <c r="H205" s="172"/>
      <c r="I205" s="172"/>
      <c r="J205" s="173"/>
      <c r="K205" s="173"/>
      <c r="L205" s="173"/>
      <c r="M205" s="173"/>
      <c r="N205" s="173"/>
      <c r="O205" s="173"/>
      <c r="P205" s="173"/>
      <c r="Q205" s="113"/>
      <c r="R205" s="113"/>
      <c r="S205" s="817"/>
      <c r="T205" s="817"/>
      <c r="U205" s="113"/>
      <c r="V205" s="113"/>
      <c r="W205" s="113"/>
      <c r="Y205" s="113"/>
      <c r="Z205" s="576"/>
      <c r="AA205" s="576"/>
      <c r="AB205" s="576"/>
      <c r="AC205" s="576"/>
      <c r="AD205" s="576"/>
      <c r="AE205" s="576"/>
      <c r="AF205" s="576"/>
      <c r="AG205" s="576"/>
      <c r="AH205" s="1240"/>
      <c r="AI205" s="1240"/>
      <c r="AJ205" s="576"/>
      <c r="AK205" s="576"/>
      <c r="AL205" s="113"/>
      <c r="AM205" s="132"/>
      <c r="AN205" s="132"/>
      <c r="AO205" s="132"/>
      <c r="AP205" s="132"/>
      <c r="AQ205" s="132"/>
      <c r="AR205" s="132"/>
      <c r="AS205" s="132"/>
      <c r="AT205" s="132"/>
      <c r="AU205" s="132"/>
      <c r="AV205" s="132"/>
      <c r="AW205" s="132"/>
      <c r="AX205" s="132"/>
      <c r="AY205" s="261"/>
    </row>
    <row r="206" spans="1:56" s="418" customForma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817"/>
      <c r="Z206" s="817"/>
      <c r="AA206" s="113"/>
      <c r="AB206" s="113"/>
      <c r="AC206" s="113"/>
      <c r="AE206" s="113"/>
      <c r="AF206" s="576"/>
      <c r="AG206" s="576"/>
      <c r="AH206" s="576"/>
      <c r="AI206" s="576"/>
      <c r="AJ206" s="576"/>
      <c r="AK206" s="576"/>
      <c r="AL206" s="576"/>
      <c r="AM206" s="576"/>
      <c r="AN206" s="1240"/>
      <c r="AO206" s="1240"/>
      <c r="AP206" s="576"/>
      <c r="AQ206" s="576"/>
      <c r="AR206" s="113"/>
      <c r="AS206" s="113"/>
      <c r="AT206" s="113"/>
      <c r="AU206" s="113"/>
      <c r="AV206" s="113"/>
      <c r="AW206" s="113"/>
      <c r="AX206" s="113"/>
      <c r="AY206" s="113"/>
      <c r="AZ206" s="113"/>
      <c r="BA206" s="113"/>
      <c r="BB206" s="113"/>
      <c r="BC206" s="113"/>
      <c r="BD206" s="113"/>
    </row>
    <row r="207" spans="1:56" s="418" customFormat="1" ht="15.6" collapsed="1">
      <c r="A207" s="113"/>
      <c r="B207" s="2677" t="s">
        <v>519</v>
      </c>
      <c r="C207" s="2678"/>
      <c r="D207" s="2678"/>
      <c r="E207" s="2678"/>
      <c r="F207" s="2678"/>
      <c r="G207" s="2678"/>
      <c r="H207" s="2678"/>
      <c r="I207" s="2678"/>
      <c r="J207" s="2678"/>
      <c r="K207" s="2678"/>
      <c r="L207" s="2678"/>
      <c r="M207" s="2678"/>
      <c r="N207" s="2678"/>
      <c r="O207" s="2679"/>
      <c r="P207" s="113"/>
      <c r="Q207" s="113"/>
      <c r="R207" s="113"/>
      <c r="S207" s="113"/>
      <c r="T207" s="113"/>
      <c r="U207" s="113"/>
      <c r="V207" s="113"/>
      <c r="W207" s="113"/>
      <c r="X207" s="113"/>
      <c r="Y207" s="817"/>
      <c r="Z207" s="817"/>
      <c r="AA207" s="113"/>
      <c r="AB207" s="113"/>
      <c r="AC207" s="113"/>
      <c r="AE207" s="113"/>
      <c r="AF207" s="576"/>
      <c r="AG207" s="576"/>
      <c r="AH207" s="576"/>
      <c r="AI207" s="576"/>
      <c r="AJ207" s="576"/>
      <c r="AK207" s="576"/>
      <c r="AL207" s="576"/>
      <c r="AM207" s="576"/>
      <c r="AN207" s="1240"/>
      <c r="AO207" s="1240"/>
      <c r="AP207" s="576"/>
      <c r="AQ207" s="576"/>
      <c r="AR207" s="113"/>
      <c r="AS207" s="114"/>
      <c r="AT207" s="114"/>
      <c r="AU207" s="114"/>
      <c r="AV207" s="114"/>
      <c r="AW207" s="114"/>
      <c r="AX207" s="114"/>
      <c r="AY207" s="114"/>
      <c r="AZ207" s="114"/>
      <c r="BA207" s="114"/>
      <c r="BB207" s="114"/>
      <c r="BC207" s="114"/>
      <c r="BD207" s="114"/>
    </row>
    <row r="208" spans="1:56" s="418" customFormat="1" ht="12.75" hidden="1" customHeight="1" outlineLevel="1">
      <c r="A208" s="113"/>
      <c r="B208" s="113"/>
      <c r="C208" s="113"/>
      <c r="D208" s="113"/>
      <c r="E208" s="113"/>
      <c r="F208" s="113"/>
      <c r="G208" s="113"/>
      <c r="H208" s="113"/>
      <c r="I208" s="113"/>
      <c r="J208" s="113"/>
      <c r="K208" s="113"/>
      <c r="L208" s="113"/>
      <c r="M208" s="113"/>
      <c r="N208" s="113"/>
      <c r="O208" s="113"/>
      <c r="P208" s="113"/>
      <c r="Q208" s="113"/>
      <c r="R208" s="113"/>
      <c r="S208" s="113"/>
      <c r="T208" s="817"/>
      <c r="U208" s="817"/>
      <c r="V208" s="113"/>
      <c r="W208" s="113"/>
      <c r="X208" s="113"/>
      <c r="Z208" s="113"/>
      <c r="AA208" s="576"/>
      <c r="AB208" s="576"/>
      <c r="AC208" s="576"/>
      <c r="AD208" s="576"/>
      <c r="AE208" s="576"/>
      <c r="AF208" s="441"/>
      <c r="AG208" s="576"/>
      <c r="AH208" s="576"/>
      <c r="AI208" s="1240"/>
      <c r="AJ208" s="1240"/>
      <c r="AK208" s="576"/>
      <c r="AL208" s="576"/>
      <c r="AM208" s="113"/>
      <c r="AN208" s="114"/>
      <c r="AO208" s="114"/>
      <c r="AP208" s="114"/>
      <c r="AQ208" s="114"/>
      <c r="AR208" s="114"/>
      <c r="AS208" s="114"/>
      <c r="AT208" s="114"/>
      <c r="AU208" s="114"/>
      <c r="AV208" s="114"/>
      <c r="AW208" s="114"/>
      <c r="AX208" s="114"/>
      <c r="AY208" s="114"/>
      <c r="AZ208" s="116"/>
    </row>
    <row r="209" spans="1:56" s="116" customFormat="1" ht="12.75" hidden="1" customHeight="1" outlineLevel="1">
      <c r="A209" s="114"/>
      <c r="B209" s="2667" t="str">
        <f>B197</f>
        <v>Energie 1</v>
      </c>
      <c r="C209" s="2668"/>
      <c r="D209" s="2671" t="s">
        <v>409</v>
      </c>
      <c r="E209" s="2672"/>
      <c r="F209" s="2673"/>
      <c r="G209" s="170"/>
      <c r="H209" s="2671" t="s">
        <v>159</v>
      </c>
      <c r="I209" s="2673"/>
      <c r="J209" s="170"/>
      <c r="K209" s="170"/>
      <c r="L209" s="114"/>
      <c r="M209" s="114"/>
      <c r="N209" s="114"/>
      <c r="O209" s="114"/>
      <c r="P209" s="114"/>
      <c r="Q209" s="114"/>
      <c r="R209" s="114"/>
      <c r="S209" s="114"/>
      <c r="T209" s="126"/>
      <c r="U209" s="126"/>
      <c r="V209" s="114"/>
      <c r="W209" s="114"/>
      <c r="X209" s="114"/>
      <c r="Z209" s="114"/>
      <c r="AA209" s="441"/>
      <c r="AB209" s="576"/>
      <c r="AC209" s="576"/>
      <c r="AD209" s="576"/>
      <c r="AE209" s="576"/>
      <c r="AF209" s="576"/>
      <c r="AG209" s="441"/>
      <c r="AH209" s="441"/>
      <c r="AI209" s="444"/>
      <c r="AJ209" s="444"/>
      <c r="AK209" s="441"/>
      <c r="AL209" s="576"/>
      <c r="AM209" s="113"/>
      <c r="AN209" s="114"/>
      <c r="AO209" s="114"/>
      <c r="AP209" s="114"/>
      <c r="AQ209" s="114"/>
      <c r="AR209" s="114"/>
      <c r="AS209" s="114"/>
      <c r="AT209" s="114"/>
      <c r="AU209" s="114"/>
      <c r="AV209" s="114"/>
      <c r="AW209" s="114"/>
      <c r="AX209" s="114"/>
      <c r="AY209" s="114"/>
    </row>
    <row r="210" spans="1:56" s="116" customFormat="1" ht="15" hidden="1" customHeight="1" outlineLevel="1">
      <c r="A210" s="114"/>
      <c r="B210" s="2669"/>
      <c r="C210" s="2670"/>
      <c r="D210" s="171" t="s">
        <v>444</v>
      </c>
      <c r="E210" s="171" t="s">
        <v>500</v>
      </c>
      <c r="F210" s="171" t="s">
        <v>524</v>
      </c>
      <c r="G210" s="176"/>
      <c r="H210" s="1828" t="s">
        <v>444</v>
      </c>
      <c r="I210" s="1828" t="s">
        <v>355</v>
      </c>
      <c r="J210" s="170"/>
      <c r="K210" s="170"/>
      <c r="L210" s="114"/>
      <c r="M210" s="114"/>
      <c r="N210" s="114"/>
      <c r="O210" s="114"/>
      <c r="P210" s="114"/>
      <c r="Q210" s="114"/>
      <c r="R210" s="114"/>
      <c r="S210" s="114"/>
      <c r="T210" s="126"/>
      <c r="U210" s="126"/>
      <c r="V210" s="114"/>
      <c r="W210" s="114"/>
      <c r="X210" s="114"/>
      <c r="Z210" s="114"/>
      <c r="AA210" s="441"/>
      <c r="AB210" s="576"/>
      <c r="AC210" s="576"/>
      <c r="AD210" s="576"/>
      <c r="AE210" s="576"/>
      <c r="AF210" s="576"/>
      <c r="AG210" s="441"/>
      <c r="AH210" s="441"/>
      <c r="AI210" s="444"/>
      <c r="AJ210" s="444"/>
      <c r="AK210" s="441"/>
      <c r="AL210" s="441"/>
      <c r="AM210" s="114"/>
      <c r="AN210" s="114"/>
      <c r="AO210" s="114"/>
      <c r="AP210" s="114"/>
      <c r="AQ210" s="114"/>
      <c r="AR210" s="114"/>
      <c r="AS210" s="114"/>
      <c r="AT210" s="114"/>
      <c r="AU210" s="114"/>
      <c r="AV210" s="114"/>
      <c r="AW210" s="114"/>
      <c r="AX210" s="114"/>
      <c r="AY210" s="114"/>
    </row>
    <row r="211" spans="1:56" s="116" customFormat="1" ht="12.75" hidden="1" customHeight="1" outlineLevel="1">
      <c r="A211" s="114"/>
      <c r="B211" s="2660" t="s">
        <v>16</v>
      </c>
      <c r="C211" s="2661"/>
      <c r="D211" s="136">
        <f>S28+S40</f>
        <v>305142.59600000002</v>
      </c>
      <c r="E211" s="136">
        <f t="shared" ref="E211:E218" si="37">D211/1000</f>
        <v>305.14259600000003</v>
      </c>
      <c r="F211" s="185">
        <f>IF($D$219=0,"",D211/$D$219)</f>
        <v>0.76565452065851647</v>
      </c>
      <c r="G211" s="170"/>
      <c r="H211" s="136">
        <f>SQRT(AA28^2+AA40^2)</f>
        <v>14749.06855465958</v>
      </c>
      <c r="I211" s="185">
        <f t="shared" ref="I211:I219" si="38">IF(D211=0,"",H211/D211)</f>
        <v>4.8335003857211657E-2</v>
      </c>
      <c r="J211" s="170"/>
      <c r="K211" s="170"/>
      <c r="L211" s="114"/>
      <c r="M211" s="114"/>
      <c r="N211" s="114"/>
      <c r="O211" s="114"/>
      <c r="P211" s="114"/>
      <c r="Q211" s="114"/>
      <c r="R211" s="114"/>
      <c r="S211" s="114"/>
      <c r="T211" s="126"/>
      <c r="U211" s="126"/>
      <c r="V211" s="114"/>
      <c r="W211" s="114"/>
      <c r="X211" s="114"/>
      <c r="Z211" s="114"/>
      <c r="AA211" s="441"/>
      <c r="AB211" s="576"/>
      <c r="AC211" s="576"/>
      <c r="AD211" s="576"/>
      <c r="AE211" s="576"/>
      <c r="AF211" s="576"/>
      <c r="AG211" s="441"/>
      <c r="AH211" s="441"/>
      <c r="AI211" s="444"/>
      <c r="AJ211" s="444"/>
      <c r="AK211" s="441"/>
      <c r="AL211" s="441"/>
      <c r="AM211" s="114"/>
      <c r="AN211" s="114"/>
      <c r="AO211" s="114"/>
      <c r="AP211" s="114"/>
      <c r="AQ211" s="114"/>
      <c r="AR211" s="114"/>
      <c r="AS211" s="114"/>
      <c r="AT211" s="114"/>
      <c r="AU211" s="114"/>
      <c r="AV211" s="114"/>
      <c r="AW211" s="114"/>
      <c r="AX211" s="114"/>
      <c r="AY211" s="114"/>
    </row>
    <row r="212" spans="1:56" s="116" customFormat="1" ht="12.75" hidden="1" customHeight="1" outlineLevel="1">
      <c r="A212" s="114"/>
      <c r="B212" s="2660" t="s">
        <v>414</v>
      </c>
      <c r="C212" s="2661"/>
      <c r="D212" s="136">
        <f>R28+R40</f>
        <v>65005.727599999991</v>
      </c>
      <c r="E212" s="136">
        <f t="shared" si="37"/>
        <v>65.005727599999986</v>
      </c>
      <c r="F212" s="185">
        <f t="shared" ref="F212:F219" si="39">IF($D$219=0,"",D212/$D$219)</f>
        <v>0.16311039447811504</v>
      </c>
      <c r="G212" s="170"/>
      <c r="H212" s="136">
        <f>SQRT(Z28^2+Z40^2)</f>
        <v>3142.4183838619429</v>
      </c>
      <c r="I212" s="185">
        <f t="shared" si="38"/>
        <v>4.8340638584928985E-2</v>
      </c>
      <c r="J212" s="170"/>
      <c r="K212" s="170"/>
      <c r="L212" s="114"/>
      <c r="M212" s="114"/>
      <c r="N212" s="114"/>
      <c r="O212" s="114"/>
      <c r="P212" s="114"/>
      <c r="Q212" s="114"/>
      <c r="R212" s="114"/>
      <c r="S212" s="114"/>
      <c r="T212" s="126"/>
      <c r="U212" s="126"/>
      <c r="V212" s="114"/>
      <c r="W212" s="114"/>
      <c r="X212" s="114"/>
      <c r="Z212" s="114"/>
      <c r="AA212" s="441"/>
      <c r="AB212" s="576"/>
      <c r="AC212" s="576"/>
      <c r="AD212" s="576"/>
      <c r="AE212" s="576"/>
      <c r="AF212" s="576"/>
      <c r="AG212" s="441"/>
      <c r="AH212" s="441"/>
      <c r="AI212" s="444"/>
      <c r="AJ212" s="444"/>
      <c r="AK212" s="441"/>
      <c r="AL212" s="441"/>
      <c r="AM212" s="114"/>
      <c r="AN212" s="114"/>
      <c r="AO212" s="114"/>
      <c r="AP212" s="114"/>
      <c r="AQ212" s="114"/>
      <c r="AR212" s="114"/>
      <c r="AS212" s="114"/>
      <c r="AT212" s="114"/>
      <c r="AU212" s="114"/>
      <c r="AV212" s="114"/>
      <c r="AW212" s="114"/>
      <c r="AX212" s="114"/>
      <c r="AY212" s="114"/>
    </row>
    <row r="213" spans="1:56" s="116" customFormat="1" ht="12.75" hidden="1" customHeight="1" outlineLevel="1">
      <c r="A213" s="114"/>
      <c r="B213" s="2660" t="s">
        <v>301</v>
      </c>
      <c r="C213" s="2661"/>
      <c r="D213" s="136">
        <f>M54</f>
        <v>0</v>
      </c>
      <c r="E213" s="136">
        <f t="shared" si="37"/>
        <v>0</v>
      </c>
      <c r="F213" s="185">
        <f t="shared" si="39"/>
        <v>0</v>
      </c>
      <c r="G213" s="170"/>
      <c r="H213" s="136">
        <f>AA54</f>
        <v>0</v>
      </c>
      <c r="I213" s="185" t="str">
        <f t="shared" si="38"/>
        <v/>
      </c>
      <c r="J213" s="170"/>
      <c r="K213" s="170"/>
      <c r="L213" s="114"/>
      <c r="M213" s="114"/>
      <c r="N213" s="114"/>
      <c r="O213" s="114"/>
      <c r="P213" s="114"/>
      <c r="Q213" s="114"/>
      <c r="R213" s="114"/>
      <c r="S213" s="114"/>
      <c r="T213" s="126"/>
      <c r="U213" s="126"/>
      <c r="V213" s="114"/>
      <c r="W213" s="114"/>
      <c r="X213" s="114"/>
      <c r="Z213" s="114"/>
      <c r="AA213" s="441"/>
      <c r="AB213" s="576"/>
      <c r="AC213" s="576"/>
      <c r="AD213" s="576"/>
      <c r="AE213" s="576"/>
      <c r="AF213" s="576"/>
      <c r="AG213" s="441"/>
      <c r="AH213" s="441"/>
      <c r="AI213" s="444"/>
      <c r="AJ213" s="444"/>
      <c r="AK213" s="441"/>
      <c r="AL213" s="441"/>
      <c r="AM213" s="114"/>
      <c r="AN213" s="114"/>
      <c r="AO213" s="114"/>
      <c r="AP213" s="114"/>
      <c r="AQ213" s="114"/>
      <c r="AR213" s="114"/>
      <c r="AS213" s="114"/>
      <c r="AT213" s="114"/>
      <c r="AU213" s="114"/>
      <c r="AV213" s="114"/>
      <c r="AW213" s="114"/>
      <c r="AX213" s="114"/>
      <c r="AY213" s="114"/>
    </row>
    <row r="214" spans="1:56" s="116" customFormat="1" ht="12.75" hidden="1" customHeight="1" outlineLevel="1">
      <c r="A214" s="114"/>
      <c r="B214" s="2660" t="s">
        <v>123</v>
      </c>
      <c r="C214" s="2661"/>
      <c r="D214" s="136">
        <f>L54</f>
        <v>0</v>
      </c>
      <c r="E214" s="136">
        <f t="shared" si="37"/>
        <v>0</v>
      </c>
      <c r="F214" s="185">
        <f t="shared" si="39"/>
        <v>0</v>
      </c>
      <c r="G214" s="170"/>
      <c r="H214" s="136">
        <f>Z54</f>
        <v>0</v>
      </c>
      <c r="I214" s="185" t="str">
        <f t="shared" si="38"/>
        <v/>
      </c>
      <c r="J214" s="170"/>
      <c r="K214" s="170"/>
      <c r="L214" s="114"/>
      <c r="M214" s="114"/>
      <c r="N214" s="114"/>
      <c r="O214" s="114"/>
      <c r="P214" s="114"/>
      <c r="Q214" s="114"/>
      <c r="R214" s="114"/>
      <c r="S214" s="114"/>
      <c r="T214" s="126"/>
      <c r="U214" s="126"/>
      <c r="V214" s="114"/>
      <c r="W214" s="114"/>
      <c r="X214" s="114"/>
      <c r="Z214" s="114"/>
      <c r="AA214" s="441"/>
      <c r="AB214" s="441"/>
      <c r="AC214" s="441"/>
      <c r="AD214" s="441"/>
      <c r="AE214" s="441"/>
      <c r="AF214" s="441"/>
      <c r="AG214" s="441"/>
      <c r="AH214" s="441"/>
      <c r="AI214" s="444"/>
      <c r="AJ214" s="444"/>
      <c r="AK214" s="441"/>
      <c r="AL214" s="441"/>
      <c r="AM214" s="114"/>
      <c r="AN214" s="114"/>
      <c r="AO214" s="114"/>
      <c r="AP214" s="114"/>
      <c r="AQ214" s="114"/>
      <c r="AR214" s="114"/>
      <c r="AS214" s="114"/>
      <c r="AT214" s="114"/>
      <c r="AU214" s="114"/>
      <c r="AV214" s="114"/>
      <c r="AW214" s="114"/>
      <c r="AX214" s="114"/>
      <c r="AY214" s="114"/>
    </row>
    <row r="215" spans="1:56" s="116" customFormat="1" ht="12.75" hidden="1" customHeight="1" outlineLevel="1">
      <c r="A215" s="114"/>
      <c r="B215" s="2660" t="s">
        <v>330</v>
      </c>
      <c r="C215" s="2661"/>
      <c r="D215" s="136">
        <f>M67</f>
        <v>0</v>
      </c>
      <c r="E215" s="136">
        <f t="shared" si="37"/>
        <v>0</v>
      </c>
      <c r="F215" s="185">
        <f t="shared" si="39"/>
        <v>0</v>
      </c>
      <c r="G215" s="170"/>
      <c r="H215" s="136">
        <f>AC67</f>
        <v>0</v>
      </c>
      <c r="I215" s="185" t="str">
        <f t="shared" si="38"/>
        <v/>
      </c>
      <c r="J215" s="170"/>
      <c r="K215" s="170"/>
      <c r="L215" s="114"/>
      <c r="M215" s="114"/>
      <c r="N215" s="114"/>
      <c r="O215" s="114"/>
      <c r="P215" s="114"/>
      <c r="Q215" s="114"/>
      <c r="R215" s="114"/>
      <c r="S215" s="114"/>
      <c r="T215" s="126"/>
      <c r="U215" s="126"/>
      <c r="V215" s="114"/>
      <c r="W215" s="114"/>
      <c r="X215" s="114"/>
      <c r="Z215" s="114"/>
      <c r="AA215" s="441"/>
      <c r="AB215" s="441"/>
      <c r="AC215" s="441"/>
      <c r="AD215" s="441"/>
      <c r="AE215" s="441"/>
      <c r="AF215" s="441"/>
      <c r="AG215" s="441"/>
      <c r="AH215" s="441"/>
      <c r="AI215" s="444"/>
      <c r="AJ215" s="444"/>
      <c r="AK215" s="441"/>
      <c r="AL215" s="441"/>
      <c r="AM215" s="114"/>
      <c r="AN215" s="114"/>
      <c r="AO215" s="114"/>
      <c r="AP215" s="114"/>
      <c r="AQ215" s="114"/>
      <c r="AR215" s="114"/>
      <c r="AS215" s="114"/>
      <c r="AT215" s="114"/>
      <c r="AU215" s="114"/>
      <c r="AV215" s="114"/>
      <c r="AW215" s="114"/>
      <c r="AX215" s="114"/>
      <c r="AY215" s="114"/>
    </row>
    <row r="216" spans="1:56" s="116" customFormat="1" ht="12.75" hidden="1" customHeight="1" outlineLevel="1">
      <c r="A216" s="114"/>
      <c r="B216" s="2660" t="s">
        <v>20</v>
      </c>
      <c r="C216" s="2661"/>
      <c r="D216" s="136">
        <f>I77</f>
        <v>0</v>
      </c>
      <c r="E216" s="136">
        <f t="shared" si="37"/>
        <v>0</v>
      </c>
      <c r="F216" s="185">
        <f t="shared" si="39"/>
        <v>0</v>
      </c>
      <c r="G216" s="170"/>
      <c r="H216" s="136">
        <f>AC77</f>
        <v>0</v>
      </c>
      <c r="I216" s="185" t="str">
        <f t="shared" si="38"/>
        <v/>
      </c>
      <c r="J216" s="170"/>
      <c r="K216" s="170"/>
      <c r="L216" s="114"/>
      <c r="M216" s="114"/>
      <c r="N216" s="114"/>
      <c r="O216" s="114"/>
      <c r="P216" s="114"/>
      <c r="Q216" s="114"/>
      <c r="R216" s="114"/>
      <c r="S216" s="114"/>
      <c r="T216" s="126"/>
      <c r="U216" s="126"/>
      <c r="V216" s="114"/>
      <c r="W216" s="114"/>
      <c r="X216" s="114"/>
      <c r="Z216" s="114"/>
      <c r="AA216" s="441"/>
      <c r="AB216" s="441"/>
      <c r="AC216" s="441"/>
      <c r="AD216" s="441"/>
      <c r="AE216" s="441"/>
      <c r="AF216" s="441"/>
      <c r="AG216" s="441"/>
      <c r="AH216" s="441"/>
      <c r="AI216" s="444"/>
      <c r="AJ216" s="444"/>
      <c r="AK216" s="441"/>
      <c r="AL216" s="441"/>
      <c r="AM216" s="114"/>
      <c r="AN216" s="211"/>
      <c r="AO216" s="211"/>
      <c r="AP216" s="211"/>
      <c r="AQ216" s="211"/>
      <c r="AR216" s="211"/>
      <c r="AS216" s="211"/>
      <c r="AT216" s="211"/>
      <c r="AU216" s="211"/>
      <c r="AV216" s="211"/>
      <c r="AW216" s="211"/>
      <c r="AX216" s="211"/>
      <c r="AY216" s="211"/>
      <c r="AZ216" s="1084"/>
    </row>
    <row r="217" spans="1:56" s="116" customFormat="1" ht="12.75" hidden="1" customHeight="1" outlineLevel="1">
      <c r="A217" s="114"/>
      <c r="B217" s="2660" t="s">
        <v>205</v>
      </c>
      <c r="C217" s="2661"/>
      <c r="D217" s="136">
        <f>J95+K95+H120+H132+H152+K163+K174+K109+L109+I184+J184+U109</f>
        <v>25830.547500000001</v>
      </c>
      <c r="E217" s="136">
        <f t="shared" si="37"/>
        <v>25.830547500000002</v>
      </c>
      <c r="F217" s="185">
        <f>IF($D$219=0,"",D217/$D$219)</f>
        <v>6.4813224124433744E-2</v>
      </c>
      <c r="G217" s="170"/>
      <c r="H217" s="136">
        <f>SQRT(AC95^2+AC120^2+AC132^2+AC152^2+AC163^2+AC174^2+AC109^2)</f>
        <v>2036.8653818704693</v>
      </c>
      <c r="I217" s="185">
        <f>IF(D217=0,"",H217/D217)</f>
        <v>7.8854905490116659E-2</v>
      </c>
      <c r="J217" s="170"/>
      <c r="K217" s="170"/>
      <c r="L217" s="114"/>
      <c r="M217" s="114"/>
      <c r="N217" s="114"/>
      <c r="O217" s="114"/>
      <c r="P217" s="114"/>
      <c r="Q217" s="114"/>
      <c r="R217" s="114"/>
      <c r="S217" s="114"/>
      <c r="T217" s="126"/>
      <c r="U217" s="126"/>
      <c r="V217" s="114"/>
      <c r="W217" s="114"/>
      <c r="X217" s="114"/>
      <c r="Z217" s="114"/>
      <c r="AA217" s="441"/>
      <c r="AB217" s="441"/>
      <c r="AC217" s="441"/>
      <c r="AD217" s="441"/>
      <c r="AE217" s="441"/>
      <c r="AF217" s="441"/>
      <c r="AG217" s="441"/>
      <c r="AH217" s="441"/>
      <c r="AI217" s="444"/>
      <c r="AJ217" s="444"/>
      <c r="AK217" s="441"/>
      <c r="AL217" s="441"/>
      <c r="AM217" s="114"/>
      <c r="AN217" s="113"/>
      <c r="AO217" s="113"/>
      <c r="AP217" s="113"/>
      <c r="AQ217" s="113"/>
      <c r="AR217" s="113"/>
      <c r="AS217" s="113"/>
      <c r="AT217" s="113"/>
      <c r="AU217" s="113"/>
      <c r="AV217" s="113"/>
      <c r="AW217" s="113"/>
      <c r="AX217" s="113"/>
      <c r="AY217" s="113"/>
      <c r="AZ217" s="418"/>
    </row>
    <row r="218" spans="1:56" s="116" customFormat="1" ht="15" hidden="1" customHeight="1" outlineLevel="1">
      <c r="A218" s="114"/>
      <c r="B218" s="2660" t="s">
        <v>326</v>
      </c>
      <c r="C218" s="2661"/>
      <c r="D218" s="136">
        <f>H192</f>
        <v>2559.3570000000004</v>
      </c>
      <c r="E218" s="136">
        <f t="shared" si="37"/>
        <v>2.5593570000000003</v>
      </c>
      <c r="F218" s="185">
        <f t="shared" si="39"/>
        <v>6.4218607389347213E-3</v>
      </c>
      <c r="G218" s="170"/>
      <c r="H218" s="136">
        <f>AC192</f>
        <v>1477.6454529023531</v>
      </c>
      <c r="I218" s="185">
        <f t="shared" si="38"/>
        <v>0.57735026918962573</v>
      </c>
      <c r="J218" s="170"/>
      <c r="K218" s="170"/>
      <c r="L218" s="114"/>
      <c r="M218" s="114"/>
      <c r="N218" s="114"/>
      <c r="O218" s="114"/>
      <c r="P218" s="114"/>
      <c r="Q218" s="114"/>
      <c r="R218" s="114"/>
      <c r="S218" s="114"/>
      <c r="T218" s="126"/>
      <c r="U218" s="126"/>
      <c r="V218" s="114"/>
      <c r="W218" s="114"/>
      <c r="X218" s="114"/>
      <c r="Z218" s="114"/>
      <c r="AA218" s="441"/>
      <c r="AB218" s="441"/>
      <c r="AC218" s="441"/>
      <c r="AD218" s="441"/>
      <c r="AE218" s="441"/>
      <c r="AF218" s="441"/>
      <c r="AG218" s="593"/>
      <c r="AH218" s="441"/>
      <c r="AI218" s="444"/>
      <c r="AJ218" s="444"/>
      <c r="AK218" s="441"/>
      <c r="AL218" s="441"/>
      <c r="AM218" s="114"/>
      <c r="AN218" s="113"/>
      <c r="AO218" s="113"/>
      <c r="AP218" s="113"/>
      <c r="AQ218" s="113"/>
      <c r="AR218" s="113"/>
      <c r="AS218" s="113"/>
      <c r="AT218" s="113"/>
      <c r="AU218" s="113"/>
      <c r="AV218" s="113"/>
      <c r="AW218" s="113"/>
      <c r="AX218" s="113"/>
      <c r="AY218" s="113"/>
      <c r="AZ218" s="418"/>
    </row>
    <row r="219" spans="1:56" s="1084" customFormat="1" ht="15" hidden="1" customHeight="1" outlineLevel="1">
      <c r="A219" s="211"/>
      <c r="B219" s="2662" t="s">
        <v>348</v>
      </c>
      <c r="C219" s="2663"/>
      <c r="D219" s="188">
        <f>SUM(D211:D218)</f>
        <v>398538.22810000001</v>
      </c>
      <c r="E219" s="238">
        <f>SUM(E211:E218)</f>
        <v>398.53822810000003</v>
      </c>
      <c r="F219" s="190">
        <f t="shared" si="39"/>
        <v>1</v>
      </c>
      <c r="G219" s="192"/>
      <c r="H219" s="188">
        <f>SQRT(SUMSQ(H211:H218))</f>
        <v>15288.62561506517</v>
      </c>
      <c r="I219" s="190">
        <f t="shared" si="38"/>
        <v>3.8361754374109866E-2</v>
      </c>
      <c r="J219" s="192"/>
      <c r="K219" s="192"/>
      <c r="L219" s="211"/>
      <c r="M219" s="211"/>
      <c r="N219" s="211"/>
      <c r="O219" s="211"/>
      <c r="P219" s="211"/>
      <c r="Q219" s="211"/>
      <c r="R219" s="211"/>
      <c r="S219" s="211"/>
      <c r="T219" s="446"/>
      <c r="U219" s="446"/>
      <c r="V219" s="211"/>
      <c r="W219" s="211"/>
      <c r="X219" s="211"/>
      <c r="Z219" s="211"/>
      <c r="AA219" s="445"/>
      <c r="AB219" s="445"/>
      <c r="AC219" s="445"/>
      <c r="AD219" s="445"/>
      <c r="AE219" s="445"/>
      <c r="AF219" s="445"/>
      <c r="AG219" s="445"/>
      <c r="AH219" s="445"/>
      <c r="AI219" s="447"/>
      <c r="AJ219" s="447"/>
      <c r="AK219" s="445"/>
      <c r="AL219" s="445"/>
      <c r="AM219" s="211"/>
      <c r="AN219" s="113"/>
      <c r="AO219" s="113"/>
      <c r="AP219" s="113"/>
      <c r="AQ219" s="113"/>
      <c r="AR219" s="113"/>
      <c r="AS219" s="113"/>
      <c r="AT219" s="113"/>
      <c r="AU219" s="113"/>
      <c r="AV219" s="113"/>
      <c r="AW219" s="113"/>
      <c r="AX219" s="113"/>
      <c r="AY219" s="113"/>
      <c r="AZ219" s="418"/>
    </row>
    <row r="220" spans="1:56" s="418" customFormat="1" ht="12.75" customHeight="1" collapsed="1">
      <c r="A220" s="113"/>
      <c r="B220" s="173"/>
      <c r="C220" s="173"/>
      <c r="D220" s="173"/>
      <c r="E220" s="173"/>
      <c r="F220" s="173"/>
      <c r="G220" s="173"/>
      <c r="H220" s="173"/>
      <c r="I220" s="173"/>
      <c r="J220" s="173"/>
      <c r="K220" s="173"/>
      <c r="L220" s="113"/>
      <c r="M220" s="113"/>
      <c r="N220" s="113"/>
      <c r="O220" s="113"/>
      <c r="P220" s="113"/>
      <c r="Q220" s="113"/>
      <c r="R220" s="113"/>
      <c r="S220" s="113"/>
      <c r="T220" s="817"/>
      <c r="U220" s="817"/>
      <c r="V220" s="113"/>
      <c r="W220" s="113"/>
      <c r="X220" s="113"/>
      <c r="Z220" s="113"/>
      <c r="AA220" s="576"/>
      <c r="AB220" s="441"/>
      <c r="AC220" s="441"/>
      <c r="AD220" s="441"/>
      <c r="AE220" s="441"/>
      <c r="AF220" s="441"/>
      <c r="AG220" s="576"/>
      <c r="AH220" s="576"/>
      <c r="AI220" s="1240"/>
      <c r="AJ220" s="1240"/>
      <c r="AK220" s="576"/>
      <c r="AL220" s="576"/>
      <c r="AM220" s="113"/>
      <c r="AN220" s="113"/>
      <c r="AO220" s="113"/>
      <c r="AP220" s="113"/>
      <c r="AQ220" s="113"/>
      <c r="AR220" s="114"/>
      <c r="AS220" s="114"/>
      <c r="AT220" s="114"/>
      <c r="AU220" s="114"/>
      <c r="AV220" s="114"/>
      <c r="AW220" s="114"/>
      <c r="AX220" s="114"/>
      <c r="AY220" s="114"/>
      <c r="AZ220" s="116"/>
    </row>
    <row r="221" spans="1:56" s="418" customFormat="1" ht="15.6">
      <c r="A221" s="113"/>
      <c r="B221" s="2688" t="s">
        <v>525</v>
      </c>
      <c r="C221" s="2689"/>
      <c r="D221" s="2689"/>
      <c r="E221" s="2689"/>
      <c r="F221" s="2689"/>
      <c r="G221" s="2689"/>
      <c r="H221" s="2689"/>
      <c r="I221" s="2689"/>
      <c r="J221" s="2689"/>
      <c r="K221" s="2689"/>
      <c r="L221" s="2689"/>
      <c r="M221" s="2689"/>
      <c r="N221" s="2689"/>
      <c r="O221" s="2690"/>
      <c r="P221" s="113"/>
      <c r="Q221" s="113"/>
      <c r="R221" s="113"/>
      <c r="S221" s="113"/>
      <c r="T221" s="113"/>
      <c r="U221" s="113"/>
      <c r="V221" s="113"/>
      <c r="W221" s="113"/>
      <c r="X221" s="113"/>
      <c r="Y221" s="817"/>
      <c r="Z221" s="817"/>
      <c r="AA221" s="113"/>
      <c r="AB221" s="113"/>
      <c r="AC221" s="113"/>
      <c r="AE221" s="113"/>
      <c r="AF221" s="576"/>
      <c r="AG221" s="576"/>
      <c r="AH221" s="576"/>
      <c r="AI221" s="576"/>
      <c r="AJ221" s="576"/>
      <c r="AK221" s="576"/>
      <c r="AL221" s="576"/>
      <c r="AM221" s="576"/>
      <c r="AN221" s="1240"/>
      <c r="AO221" s="1240"/>
      <c r="AP221" s="576"/>
      <c r="AQ221" s="576"/>
      <c r="AR221" s="113"/>
      <c r="AS221" s="113"/>
      <c r="AT221" s="113"/>
      <c r="AU221" s="113"/>
      <c r="AV221" s="113"/>
      <c r="AW221" s="113"/>
      <c r="AX221" s="113"/>
      <c r="AY221" s="113"/>
      <c r="AZ221" s="113"/>
      <c r="BA221" s="113"/>
      <c r="BB221" s="113"/>
      <c r="BC221" s="113"/>
      <c r="BD221" s="113"/>
    </row>
    <row r="222" spans="1:56" s="418" customFormat="1" ht="12" customHeight="1" outlineLevel="1">
      <c r="A222" s="113"/>
      <c r="B222" s="175"/>
      <c r="C222" s="175"/>
      <c r="D222" s="175"/>
      <c r="E222" s="175"/>
      <c r="F222" s="175"/>
      <c r="G222" s="175"/>
      <c r="H222" s="175"/>
      <c r="I222" s="175"/>
      <c r="J222" s="175"/>
      <c r="K222" s="175"/>
      <c r="L222" s="175"/>
      <c r="M222" s="175"/>
      <c r="N222" s="175"/>
      <c r="O222" s="175"/>
      <c r="P222" s="113"/>
      <c r="Q222" s="113"/>
      <c r="R222" s="113"/>
      <c r="S222" s="113"/>
      <c r="T222" s="113"/>
      <c r="U222" s="113"/>
      <c r="V222" s="113"/>
      <c r="W222" s="113"/>
      <c r="X222" s="113"/>
      <c r="Y222" s="817"/>
      <c r="Z222" s="817"/>
      <c r="AA222" s="113"/>
      <c r="AB222" s="113"/>
      <c r="AC222" s="113"/>
      <c r="AE222" s="113"/>
      <c r="AF222" s="576"/>
      <c r="AG222" s="576"/>
      <c r="AH222" s="576"/>
      <c r="AI222" s="576"/>
      <c r="AJ222" s="576"/>
      <c r="AK222" s="576"/>
      <c r="AL222" s="576"/>
      <c r="AM222" s="576"/>
      <c r="AN222" s="1240"/>
      <c r="AO222" s="1240"/>
      <c r="AP222" s="576"/>
      <c r="AQ222" s="576"/>
      <c r="AR222" s="113"/>
      <c r="AS222" s="113"/>
      <c r="AT222" s="113"/>
      <c r="AU222" s="113"/>
      <c r="AV222" s="113"/>
      <c r="AW222" s="113"/>
      <c r="AX222" s="113"/>
      <c r="AY222" s="113"/>
      <c r="AZ222" s="113"/>
      <c r="BA222" s="113"/>
      <c r="BB222" s="113"/>
      <c r="BC222" s="113"/>
      <c r="BD222" s="113"/>
    </row>
    <row r="223" spans="1:56" s="418" customFormat="1" ht="38.25" customHeight="1" outlineLevel="1">
      <c r="A223" s="113"/>
      <c r="B223" s="205"/>
      <c r="C223" s="205"/>
      <c r="D223" s="205"/>
      <c r="E223" s="2691" t="s">
        <v>448</v>
      </c>
      <c r="F223" s="2692"/>
      <c r="G223" s="2692"/>
      <c r="H223" s="2692"/>
      <c r="I223" s="2692"/>
      <c r="J223" s="2692"/>
      <c r="K223" s="2693"/>
      <c r="L223" s="101" t="s">
        <v>440</v>
      </c>
      <c r="M223" s="175"/>
      <c r="N223" s="175"/>
      <c r="O223" s="851"/>
      <c r="P223" s="113"/>
      <c r="Q223" s="113"/>
      <c r="R223" s="113"/>
      <c r="S223" s="113"/>
      <c r="T223" s="113"/>
      <c r="U223" s="113"/>
      <c r="V223" s="113"/>
      <c r="W223" s="113"/>
      <c r="X223" s="113"/>
      <c r="Y223" s="817"/>
      <c r="Z223" s="817"/>
      <c r="AA223" s="113"/>
      <c r="AB223" s="113"/>
      <c r="AC223" s="113"/>
      <c r="AE223" s="113"/>
      <c r="AF223" s="576"/>
      <c r="AG223" s="576"/>
      <c r="AH223" s="576"/>
      <c r="AI223" s="576"/>
      <c r="AJ223" s="576"/>
      <c r="AK223" s="576"/>
      <c r="AL223" s="576"/>
      <c r="AM223" s="576"/>
      <c r="AN223" s="1240"/>
      <c r="AO223" s="1240"/>
      <c r="AP223" s="576"/>
      <c r="AQ223" s="576"/>
      <c r="AR223" s="113"/>
      <c r="AS223" s="113"/>
      <c r="AT223" s="113"/>
      <c r="AU223" s="113"/>
      <c r="AV223" s="113"/>
      <c r="AW223" s="113"/>
      <c r="AX223" s="113"/>
      <c r="AY223" s="113"/>
      <c r="AZ223" s="113"/>
      <c r="BA223" s="113"/>
      <c r="BB223" s="113"/>
      <c r="BC223" s="113"/>
      <c r="BD223" s="113"/>
    </row>
    <row r="224" spans="1:56" s="418" customFormat="1" ht="25.5" customHeight="1" outlineLevel="1">
      <c r="A224" s="113"/>
      <c r="B224" s="2691" t="s">
        <v>438</v>
      </c>
      <c r="C224" s="2693"/>
      <c r="D224" s="110" t="s">
        <v>458</v>
      </c>
      <c r="E224" s="111" t="s">
        <v>853</v>
      </c>
      <c r="F224" s="111" t="s">
        <v>854</v>
      </c>
      <c r="G224" s="111" t="s">
        <v>855</v>
      </c>
      <c r="H224" s="111" t="s">
        <v>852</v>
      </c>
      <c r="I224" s="110" t="s">
        <v>513</v>
      </c>
      <c r="J224" s="111" t="s">
        <v>856</v>
      </c>
      <c r="K224" s="112" t="s">
        <v>514</v>
      </c>
      <c r="L224" s="110" t="s">
        <v>857</v>
      </c>
      <c r="M224" s="175"/>
      <c r="N224" s="175"/>
      <c r="O224" s="851"/>
      <c r="P224" s="113"/>
      <c r="Q224" s="113"/>
      <c r="R224" s="113"/>
      <c r="S224" s="113"/>
      <c r="T224" s="113"/>
      <c r="U224" s="113"/>
      <c r="V224" s="113"/>
      <c r="W224" s="113"/>
      <c r="X224" s="113"/>
      <c r="Y224" s="817"/>
      <c r="Z224" s="817"/>
      <c r="AA224" s="113"/>
      <c r="AB224" s="113"/>
      <c r="AC224" s="113"/>
      <c r="AE224" s="113"/>
      <c r="AF224" s="576"/>
      <c r="AG224" s="576"/>
      <c r="AH224" s="576"/>
      <c r="AI224" s="576"/>
      <c r="AJ224" s="576"/>
      <c r="AK224" s="576"/>
      <c r="AL224" s="576"/>
      <c r="AM224" s="576"/>
      <c r="AN224" s="1240"/>
      <c r="AO224" s="1240"/>
      <c r="AP224" s="576"/>
      <c r="AQ224" s="576"/>
      <c r="AR224" s="113"/>
      <c r="AS224" s="113"/>
      <c r="AT224" s="113"/>
      <c r="AU224" s="113"/>
      <c r="AV224" s="113"/>
      <c r="AW224" s="113"/>
      <c r="AX224" s="113"/>
      <c r="AY224" s="113"/>
      <c r="AZ224" s="113"/>
      <c r="BA224" s="113"/>
      <c r="BB224" s="113"/>
      <c r="BC224" s="113"/>
      <c r="BD224" s="113"/>
    </row>
    <row r="225" spans="1:56" s="418" customFormat="1" ht="12.75" customHeight="1" outlineLevel="1">
      <c r="A225" s="113"/>
      <c r="B225" s="2680" t="s">
        <v>459</v>
      </c>
      <c r="C225" s="2681"/>
      <c r="D225" s="206">
        <v>1</v>
      </c>
      <c r="E225" s="631">
        <f>SUMIF($E$9:$E$52,Utilitaires!$C$572,AF9:AF52)+SUMIF($E$9:$E$52,Utilitaires!$C$577,AF9:AF52)</f>
        <v>302942.59600000002</v>
      </c>
      <c r="F225" s="631">
        <f>SUMIF($E$9:$E$52,Utilitaires!$C$572,AH9:AH52)+SUMIF($E$9:$E$52,Utilitaires!$C$577,AH9:AH52)</f>
        <v>234.29999999999998</v>
      </c>
      <c r="G225" s="631">
        <f>SUMIF($E$9:$E$52,Utilitaires!$C$572,AJ9:AJ52)+SUMIF($E$9:$E$52,Utilitaires!$C$577,AJ9:AJ52)</f>
        <v>1577.381916</v>
      </c>
      <c r="H225" s="631">
        <f>SUMIF($E$9:$E$52,Utilitaires!$C$572,AL9:AL52)+SUMIF($E$9:$E$52,Utilitaires!$C$577,AL9:AL52)</f>
        <v>0</v>
      </c>
      <c r="I225" s="631">
        <f>SUM(E225:H225)</f>
        <v>304754.27791599999</v>
      </c>
      <c r="J225" s="631">
        <f>SUMIF($E$9:$E$40,Utilitaires!$C$572,AP9:AP40)+SUMIF($E$9:$E$40,Utilitaires!$C$577,AP9:AP40)</f>
        <v>0</v>
      </c>
      <c r="K225" s="632">
        <f>SQRT(SUMPRODUCT(($E$9:$E$53=Utilitaires!$C$572)*1,AA9:AA53,AA9:AA53)+SUMPRODUCT(($E$9:$E$53=Utilitaires!$C$577)*1,AA9:AA53,AA9:AA53))</f>
        <v>14749.06855465958</v>
      </c>
      <c r="L225" s="633"/>
      <c r="M225" s="175"/>
      <c r="N225" s="851"/>
      <c r="O225" s="175"/>
      <c r="P225" s="113"/>
      <c r="Q225" s="113"/>
      <c r="R225" s="113"/>
      <c r="S225" s="113"/>
      <c r="T225" s="113"/>
      <c r="U225" s="113"/>
      <c r="V225" s="113"/>
      <c r="W225" s="113"/>
      <c r="X225" s="113"/>
      <c r="Y225" s="817"/>
      <c r="Z225" s="817"/>
      <c r="AA225" s="113"/>
      <c r="AB225" s="113"/>
      <c r="AC225" s="113"/>
      <c r="AE225" s="113"/>
      <c r="AF225" s="576"/>
      <c r="AG225" s="576"/>
      <c r="AH225" s="576"/>
      <c r="AI225" s="576"/>
      <c r="AJ225" s="576"/>
      <c r="AK225" s="576"/>
      <c r="AL225" s="576"/>
      <c r="AM225" s="576"/>
      <c r="AN225" s="1240"/>
      <c r="AO225" s="1240"/>
      <c r="AP225" s="576"/>
      <c r="AQ225" s="576"/>
      <c r="AR225" s="113"/>
      <c r="AS225" s="113"/>
      <c r="AT225" s="113"/>
      <c r="AU225" s="113"/>
      <c r="AV225" s="113"/>
      <c r="AW225" s="113"/>
      <c r="AX225" s="113"/>
      <c r="AY225" s="113"/>
      <c r="AZ225" s="113"/>
      <c r="BA225" s="113"/>
      <c r="BB225" s="113"/>
      <c r="BC225" s="113"/>
      <c r="BD225" s="113"/>
    </row>
    <row r="226" spans="1:56" s="418" customFormat="1" ht="12.75" customHeight="1" outlineLevel="1">
      <c r="A226" s="113"/>
      <c r="B226" s="2680" t="s">
        <v>460</v>
      </c>
      <c r="C226" s="2681"/>
      <c r="D226" s="206">
        <v>2</v>
      </c>
      <c r="E226" s="631"/>
      <c r="F226" s="631"/>
      <c r="G226" s="631"/>
      <c r="H226" s="631"/>
      <c r="I226" s="631"/>
      <c r="J226" s="631"/>
      <c r="K226" s="632"/>
      <c r="L226" s="633"/>
      <c r="M226" s="113"/>
      <c r="N226" s="113"/>
      <c r="O226" s="113"/>
      <c r="P226" s="113"/>
      <c r="Q226" s="113"/>
      <c r="R226" s="113"/>
      <c r="S226" s="113"/>
      <c r="T226" s="113"/>
      <c r="U226" s="113"/>
      <c r="V226" s="113"/>
      <c r="W226" s="113"/>
      <c r="X226" s="113"/>
      <c r="Y226" s="113"/>
      <c r="Z226" s="113"/>
      <c r="AA226" s="113"/>
      <c r="AB226" s="113"/>
      <c r="AC226" s="113"/>
      <c r="AE226" s="113"/>
      <c r="AF226" s="113"/>
      <c r="AG226" s="113"/>
      <c r="AH226" s="113"/>
      <c r="AI226" s="113"/>
      <c r="AJ226" s="113"/>
      <c r="AK226" s="113"/>
      <c r="AL226" s="113"/>
      <c r="AM226" s="113"/>
      <c r="AP226" s="113"/>
      <c r="AQ226" s="113"/>
      <c r="AR226" s="113"/>
      <c r="AS226" s="113"/>
      <c r="AT226" s="113"/>
      <c r="AU226" s="113"/>
      <c r="AV226" s="113"/>
      <c r="AW226" s="113"/>
      <c r="AX226" s="113"/>
      <c r="AY226" s="113"/>
      <c r="AZ226" s="113"/>
      <c r="BA226" s="113"/>
      <c r="BB226" s="113"/>
      <c r="BC226" s="113"/>
      <c r="BD226" s="113"/>
    </row>
    <row r="227" spans="1:56" s="418" customFormat="1" ht="12.75" customHeight="1" outlineLevel="1">
      <c r="A227" s="113"/>
      <c r="B227" s="2680" t="s">
        <v>461</v>
      </c>
      <c r="C227" s="2681"/>
      <c r="D227" s="206">
        <v>3</v>
      </c>
      <c r="E227" s="631"/>
      <c r="F227" s="631"/>
      <c r="G227" s="631"/>
      <c r="H227" s="631"/>
      <c r="I227" s="631"/>
      <c r="J227" s="631"/>
      <c r="K227" s="632"/>
      <c r="L227" s="633"/>
      <c r="M227" s="113"/>
      <c r="N227" s="113"/>
      <c r="O227" s="113"/>
      <c r="P227" s="113"/>
      <c r="Q227" s="113"/>
      <c r="R227" s="113"/>
      <c r="S227" s="113"/>
      <c r="T227" s="113"/>
      <c r="U227" s="113"/>
      <c r="V227" s="113"/>
      <c r="W227" s="113"/>
      <c r="X227" s="113"/>
      <c r="Y227" s="113"/>
      <c r="Z227" s="113"/>
      <c r="AA227" s="113"/>
      <c r="AB227" s="113"/>
      <c r="AC227" s="113"/>
      <c r="AE227" s="113"/>
      <c r="AF227" s="113"/>
      <c r="AG227" s="113"/>
      <c r="AH227" s="113"/>
      <c r="AI227" s="113"/>
      <c r="AJ227" s="113"/>
      <c r="AK227" s="113"/>
      <c r="AL227" s="113"/>
      <c r="AM227" s="113"/>
      <c r="AP227" s="113"/>
      <c r="AQ227" s="113"/>
      <c r="AR227" s="113"/>
      <c r="AS227" s="113"/>
      <c r="AT227" s="113"/>
      <c r="AU227" s="113"/>
      <c r="AV227" s="113"/>
      <c r="AW227" s="113"/>
      <c r="AX227" s="113"/>
      <c r="AY227" s="113"/>
      <c r="AZ227" s="113"/>
      <c r="BA227" s="113"/>
      <c r="BB227" s="113"/>
      <c r="BC227" s="113"/>
      <c r="BD227" s="113"/>
    </row>
    <row r="228" spans="1:56" s="418" customFormat="1" ht="12.75" customHeight="1" outlineLevel="1">
      <c r="A228" s="113"/>
      <c r="B228" s="2680" t="s">
        <v>462</v>
      </c>
      <c r="C228" s="2681"/>
      <c r="D228" s="206">
        <v>4</v>
      </c>
      <c r="E228" s="631">
        <f>SUMIF($E$101:$E$107,Utilitaires!$C$572,U101:U107)+SUMIF($E$101:$E$107,Utilitaires!$C$577,U101:U107)</f>
        <v>0</v>
      </c>
      <c r="F228" s="631">
        <v>0</v>
      </c>
      <c r="G228" s="631">
        <v>0</v>
      </c>
      <c r="H228" s="631">
        <v>0</v>
      </c>
      <c r="I228" s="631">
        <f>E228</f>
        <v>0</v>
      </c>
      <c r="J228" s="631">
        <v>0</v>
      </c>
      <c r="K228" s="632">
        <f>SQRT(SUMPRODUCT(($E$105:$E$107=Utilitaires!$C$572)*1,AB105:AB107,AB105:AB107)+SUMPRODUCT(($E$105:$E$107=Utilitaires!$C$577)*1,AB105:AB107,AB105:AB107))</f>
        <v>0</v>
      </c>
      <c r="L228" s="633"/>
      <c r="M228" s="113"/>
      <c r="N228" s="113"/>
      <c r="O228" s="113"/>
      <c r="P228" s="113"/>
      <c r="Q228" s="113"/>
      <c r="R228" s="113"/>
      <c r="S228" s="113"/>
      <c r="T228" s="113"/>
      <c r="U228" s="113"/>
      <c r="V228" s="113"/>
      <c r="W228" s="113"/>
      <c r="X228" s="113"/>
      <c r="Y228" s="113"/>
      <c r="Z228" s="113"/>
      <c r="AA228" s="113"/>
      <c r="AB228" s="113"/>
      <c r="AC228" s="113"/>
      <c r="AE228" s="113"/>
      <c r="AF228" s="113"/>
      <c r="AG228" s="113"/>
      <c r="AH228" s="113"/>
      <c r="AI228" s="113"/>
      <c r="AJ228" s="113"/>
      <c r="AK228" s="113"/>
      <c r="AL228" s="113"/>
      <c r="AM228" s="113"/>
      <c r="AP228" s="113"/>
      <c r="AQ228" s="113"/>
      <c r="AR228" s="113"/>
      <c r="AS228" s="113"/>
      <c r="AT228" s="113"/>
      <c r="AU228" s="113"/>
      <c r="AV228" s="113"/>
      <c r="AW228" s="113"/>
      <c r="AX228" s="113"/>
      <c r="AY228" s="113"/>
      <c r="AZ228" s="113"/>
      <c r="BA228" s="113"/>
      <c r="BB228" s="113"/>
      <c r="BC228" s="113"/>
      <c r="BD228" s="113"/>
    </row>
    <row r="229" spans="1:56" s="418" customFormat="1" ht="12.75" customHeight="1" outlineLevel="1">
      <c r="A229" s="113"/>
      <c r="B229" s="2680" t="s">
        <v>463</v>
      </c>
      <c r="C229" s="2681"/>
      <c r="D229" s="206">
        <v>5</v>
      </c>
      <c r="E229" s="631"/>
      <c r="F229" s="631"/>
      <c r="G229" s="631"/>
      <c r="H229" s="631"/>
      <c r="I229" s="631"/>
      <c r="J229" s="631"/>
      <c r="K229" s="632"/>
      <c r="L229" s="633"/>
      <c r="M229" s="113"/>
      <c r="N229" s="113"/>
      <c r="O229" s="113"/>
      <c r="P229" s="113"/>
      <c r="Q229" s="113"/>
      <c r="R229" s="113"/>
      <c r="S229" s="113"/>
      <c r="T229" s="113"/>
      <c r="U229" s="113"/>
      <c r="V229" s="113"/>
      <c r="W229" s="113"/>
      <c r="X229" s="113"/>
      <c r="Y229" s="113"/>
      <c r="Z229" s="113"/>
      <c r="AA229" s="113"/>
      <c r="AB229" s="113"/>
      <c r="AC229" s="113"/>
      <c r="AE229" s="113"/>
      <c r="AF229" s="113"/>
      <c r="AG229" s="113"/>
      <c r="AH229" s="113"/>
      <c r="AI229" s="113"/>
      <c r="AJ229" s="113"/>
      <c r="AK229" s="113"/>
      <c r="AL229" s="113"/>
      <c r="AM229" s="113"/>
      <c r="AP229" s="113"/>
      <c r="AQ229" s="113"/>
      <c r="AR229" s="113"/>
      <c r="AS229" s="113"/>
      <c r="AT229" s="113"/>
      <c r="AU229" s="113"/>
      <c r="AV229" s="113"/>
      <c r="AW229" s="113"/>
      <c r="AX229" s="113"/>
      <c r="AY229" s="113"/>
      <c r="AZ229" s="113"/>
      <c r="BA229" s="113"/>
      <c r="BB229" s="113"/>
      <c r="BC229" s="113"/>
      <c r="BD229" s="113"/>
    </row>
    <row r="230" spans="1:56" s="418" customFormat="1" ht="12.75" customHeight="1" outlineLevel="1">
      <c r="A230" s="113"/>
      <c r="B230" s="2682"/>
      <c r="C230" s="2683"/>
      <c r="D230" s="133" t="s">
        <v>439</v>
      </c>
      <c r="E230" s="634">
        <f t="shared" ref="E230:L230" si="40">SUM(E225:E229)</f>
        <v>302942.59600000002</v>
      </c>
      <c r="F230" s="634">
        <f t="shared" si="40"/>
        <v>234.29999999999998</v>
      </c>
      <c r="G230" s="634">
        <f t="shared" si="40"/>
        <v>1577.381916</v>
      </c>
      <c r="H230" s="634">
        <f t="shared" si="40"/>
        <v>0</v>
      </c>
      <c r="I230" s="634">
        <f t="shared" si="40"/>
        <v>304754.27791599999</v>
      </c>
      <c r="J230" s="634">
        <f>SUM(J225:J229)</f>
        <v>0</v>
      </c>
      <c r="K230" s="635">
        <f>SQRT(SUMSQ(K225:K229))</f>
        <v>14749.06855465958</v>
      </c>
      <c r="L230" s="636">
        <f t="shared" si="40"/>
        <v>0</v>
      </c>
      <c r="M230" s="114"/>
      <c r="N230" s="260"/>
      <c r="O230" s="260"/>
      <c r="P230" s="260"/>
      <c r="Q230" s="113"/>
      <c r="R230" s="113"/>
      <c r="S230" s="113"/>
      <c r="T230" s="113"/>
      <c r="U230" s="113"/>
      <c r="V230" s="113"/>
      <c r="W230" s="113"/>
      <c r="X230" s="113"/>
      <c r="Y230" s="113"/>
      <c r="Z230" s="113"/>
      <c r="AA230" s="113"/>
      <c r="AB230" s="113"/>
      <c r="AC230" s="113"/>
      <c r="AE230" s="113"/>
      <c r="AF230" s="113"/>
      <c r="AG230" s="113"/>
      <c r="AH230" s="113"/>
      <c r="AI230" s="113"/>
      <c r="AJ230" s="113"/>
      <c r="AK230" s="113"/>
      <c r="AL230" s="113"/>
      <c r="AM230" s="113"/>
      <c r="AP230" s="113"/>
      <c r="AQ230" s="113"/>
      <c r="AR230" s="113"/>
      <c r="AS230" s="113"/>
      <c r="AT230" s="113"/>
      <c r="AU230" s="113"/>
      <c r="AV230" s="113"/>
      <c r="AW230" s="113"/>
      <c r="AX230" s="113"/>
      <c r="AY230" s="113"/>
      <c r="AZ230" s="113"/>
      <c r="BA230" s="113"/>
      <c r="BB230" s="113"/>
      <c r="BC230" s="113"/>
      <c r="BD230" s="113"/>
    </row>
    <row r="231" spans="1:56" s="418" customFormat="1" ht="12.75" customHeight="1" outlineLevel="1">
      <c r="A231" s="113"/>
      <c r="B231" s="2684" t="s">
        <v>464</v>
      </c>
      <c r="C231" s="2685"/>
      <c r="D231" s="207">
        <v>6</v>
      </c>
      <c r="E231" s="637">
        <f>SUMIF($E$82:$E$109,Utilitaires!$C$572,AF82:AF109)+SUMIF($E$82:$E$109,Utilitaires!$C$577,AF82:AF109)+
SUMIF($E$111:$E$174,Utilitaires!$C$572,AE111:AE174)+SUMIF($E$111:$E$174,Utilitaires!$C$577,AE111:AE174)+
SUMIF($E$180:$E$182,Utilitaires!$C$577,AF180:AF184)+SUMIF($E$180:$E$182,Utilitaires!$C$572,AF180:AF184)</f>
        <v>19289.968499999999</v>
      </c>
      <c r="F231" s="637">
        <f>SUMIF($E$82:$E$109,Utilitaires!$C$572,AH82:AH109)+SUMIF($E$82:$E$109,Utilitaires!$C$577,AH82:AH109)
+SUMIF($E$111:$E$174,Utilitaires!$C$572,AF111:AF174)+SUMIF($E$111:$E$174,Utilitaires!$C$577,AF111:AF174)
+SUMIF($E$180:$E$182,Utilitaires!$C$577,AH180:AH182)+SUMIF($E$180:$E$182,Utilitaires!$C$572,AH180:AH182)</f>
        <v>0</v>
      </c>
      <c r="G231" s="637">
        <f>SUMIF($E$82:$E$109,Utilitaires!$C$572,AJ82:AJ109)+SUMIF($E$82:$E$109,Utilitaires!$C$577,AJ82:AJ109)+SUMIF($E$111:$E$174,Utilitaires!$C$572,AG111:AG174)+SUMIF($E$111:$E$174,Utilitaires!$C$577,AG111:AG174)+SUMIF($E$176:$E$182,Utilitaires!$C$572,AJ176:AJ182)+SUMIF($E$176:$E$182,Utilitaires!$C$577,AJ176:AJ182)</f>
        <v>0</v>
      </c>
      <c r="H231" s="637">
        <v>0</v>
      </c>
      <c r="I231" s="637">
        <f>SUM(E231:H231)</f>
        <v>19289.968499999999</v>
      </c>
      <c r="J231" s="637">
        <f>SUMIF($E$82:$E$109,Utilitaires!$C$572,AP82:AP109)+SUMIF($E$82:$E$109,Utilitaires!$C$577,AP82:AP109)+SUMIF($E$111:$E$174,Utilitaires!$C$572,AJ111:AJ174)+SUMIF($E$111:$E$174,Utilitaires!$C$577,AJ111:AJ174)</f>
        <v>0</v>
      </c>
      <c r="K231" s="632">
        <f>SQRT(SUMPRODUCT(($E$82:$E$109=Utilitaires!$C$572)*1,AA82:AA109,AA82:AA109)+SUMPRODUCT(($E$82:$E$109=Utilitaires!$C$577)*1,AA82:AA109,AA82:AA109)+SUMPRODUCT(($E$111:$E$174=Utilitaires!$C$572)*1,AC111:AC174,AC111:AC174)+SUMPRODUCT(($E$111:$E$174=Utilitaires!$C$577)*1,AC111:AC174,AC111:AC174)+SUMPRODUCT(($E$180:$E$182=Utilitaires!$C$572)*1,AA180:AA182,AA180:AA182)+SUMPRODUCT(($E$180:$E$182=Utilitaires!$C$577)*1,AA180:AA182,AA180:AA182))</f>
        <v>1928.99685</v>
      </c>
      <c r="L231" s="638"/>
      <c r="M231" s="114"/>
      <c r="N231" s="441"/>
      <c r="O231" s="441"/>
      <c r="P231" s="441"/>
      <c r="Q231" s="113"/>
      <c r="R231" s="113"/>
      <c r="S231" s="113"/>
      <c r="T231" s="113"/>
      <c r="U231" s="113"/>
      <c r="V231" s="113"/>
      <c r="W231" s="113"/>
      <c r="X231" s="113"/>
      <c r="Y231" s="113"/>
      <c r="Z231" s="113"/>
      <c r="AA231" s="113"/>
      <c r="AB231" s="113"/>
      <c r="AC231" s="113"/>
      <c r="AE231" s="113"/>
      <c r="AF231" s="113"/>
      <c r="AG231" s="113"/>
      <c r="AH231" s="113"/>
      <c r="AI231" s="113"/>
      <c r="AJ231" s="113"/>
      <c r="AK231" s="113"/>
      <c r="AL231" s="113"/>
      <c r="AM231" s="113"/>
      <c r="AP231" s="113"/>
      <c r="AQ231" s="113"/>
      <c r="AR231" s="113"/>
      <c r="AS231" s="113"/>
      <c r="AT231" s="113"/>
      <c r="AU231" s="113"/>
      <c r="AV231" s="113"/>
      <c r="AW231" s="113"/>
      <c r="AX231" s="113"/>
      <c r="AY231" s="113"/>
      <c r="AZ231" s="113"/>
      <c r="BA231" s="113"/>
      <c r="BB231" s="113"/>
      <c r="BC231" s="113"/>
      <c r="BD231" s="113"/>
    </row>
    <row r="232" spans="1:56" s="418" customFormat="1" ht="12.75" customHeight="1" outlineLevel="1">
      <c r="A232" s="113"/>
      <c r="B232" s="2686" t="s">
        <v>465</v>
      </c>
      <c r="C232" s="2687"/>
      <c r="D232" s="207">
        <v>7</v>
      </c>
      <c r="E232" s="637">
        <f>(1/(1+10%))*SUMIF($E$59:$E$77,Utilitaires!$C$572,AE59:AE77)+(1/(1+10%))*SUMIF($E$59:$E$77,Utilitaires!$C$577,AE59:AE77)</f>
        <v>0</v>
      </c>
      <c r="F232" s="637">
        <f>(1/(1+10%))*SUMIF($E$59:$E$77,Utilitaires!$C$572,AF59:AF77)+(1/(1+10%))*SUMIF($E$59:$E$77,Utilitaires!$C$577,AF59:AF77)</f>
        <v>0</v>
      </c>
      <c r="G232" s="637">
        <f>(1/(1+10%))*SUMIF($E$59:$E$77,Utilitaires!$C$572,AG59:AG77)+(1/(1+10%))*SUMIF($E$59:$E$77,Utilitaires!$C$577,AG59:AG77)</f>
        <v>0</v>
      </c>
      <c r="H232" s="637">
        <v>0</v>
      </c>
      <c r="I232" s="637">
        <f>SUM(E232:H232)</f>
        <v>0</v>
      </c>
      <c r="J232" s="637">
        <f>(1/(1+10%))*SUMIF($E$59:$E$77,Utilitaires!$C$572,AJ59:AJ77)+(1/(1+10%))*SUMIF($E$59:$E$77,Utilitaires!$C$577,AJ59:AJ77)</f>
        <v>0</v>
      </c>
      <c r="K232" s="632">
        <f>(1/SQRT((1+10%^2)))*SQRT(SUMPRODUCT(($E$59:$E$67=Utilitaires!$C$572)*1,AB59:AB67,AB59:AB67)+SUMPRODUCT(($E$59:$E$67=Utilitaires!$C$577)*1,AB59:AB67,AB59:AB67)+SUMPRODUCT(($E$69:$E$77=Utilitaires!$C$572)*1,AB69:AB77,AB69:AB77)+SUMPRODUCT(($E$69:$E$77=Utilitaires!$C$577)*1,AB69:AB77,AB69:AB77))</f>
        <v>0</v>
      </c>
      <c r="L232" s="638"/>
      <c r="M232" s="114"/>
      <c r="N232" s="441"/>
      <c r="O232" s="441"/>
      <c r="P232" s="441"/>
      <c r="Q232" s="113"/>
      <c r="R232" s="113"/>
      <c r="S232" s="113"/>
      <c r="T232" s="113"/>
      <c r="U232" s="113"/>
      <c r="V232" s="113"/>
      <c r="W232" s="113"/>
      <c r="X232" s="113"/>
      <c r="Y232" s="113"/>
      <c r="Z232" s="113"/>
      <c r="AA232" s="113"/>
      <c r="AB232" s="113"/>
      <c r="AC232" s="113"/>
      <c r="AE232" s="113"/>
      <c r="AF232" s="113"/>
      <c r="AG232" s="113"/>
      <c r="AH232" s="113"/>
      <c r="AI232" s="113"/>
      <c r="AJ232" s="113"/>
      <c r="AK232" s="113"/>
      <c r="AL232" s="113"/>
      <c r="AM232" s="113"/>
      <c r="AP232" s="113"/>
      <c r="AQ232" s="113"/>
      <c r="AR232" s="113"/>
      <c r="AS232" s="113"/>
      <c r="AT232" s="113"/>
      <c r="AU232" s="113"/>
      <c r="AV232" s="113"/>
      <c r="AW232" s="113"/>
      <c r="AX232" s="113"/>
      <c r="AY232" s="113"/>
      <c r="AZ232" s="113"/>
      <c r="BA232" s="113"/>
      <c r="BB232" s="113"/>
      <c r="BC232" s="113"/>
      <c r="BD232" s="113"/>
    </row>
    <row r="233" spans="1:56" s="418" customFormat="1" ht="12.75" customHeight="1" outlineLevel="1">
      <c r="A233" s="113"/>
      <c r="B233" s="2696"/>
      <c r="C233" s="2697"/>
      <c r="D233" s="134" t="s">
        <v>439</v>
      </c>
      <c r="E233" s="639">
        <f t="shared" ref="E233:L233" si="41">SUM(E231:E232)</f>
        <v>19289.968499999999</v>
      </c>
      <c r="F233" s="639">
        <f t="shared" si="41"/>
        <v>0</v>
      </c>
      <c r="G233" s="639">
        <f t="shared" si="41"/>
        <v>0</v>
      </c>
      <c r="H233" s="639">
        <f t="shared" si="41"/>
        <v>0</v>
      </c>
      <c r="I233" s="639">
        <f t="shared" si="41"/>
        <v>19289.968499999999</v>
      </c>
      <c r="J233" s="639">
        <f t="shared" si="41"/>
        <v>0</v>
      </c>
      <c r="K233" s="635">
        <f>SQRT(SUMSQ(K231:K232))</f>
        <v>1928.99685</v>
      </c>
      <c r="L233" s="640">
        <f t="shared" si="41"/>
        <v>0</v>
      </c>
      <c r="M233" s="113"/>
      <c r="N233" s="113"/>
      <c r="O233" s="113"/>
      <c r="P233" s="237"/>
      <c r="Q233" s="113"/>
      <c r="R233" s="113"/>
      <c r="S233" s="113"/>
      <c r="T233" s="113"/>
      <c r="U233" s="113"/>
      <c r="V233" s="113"/>
      <c r="W233" s="113"/>
      <c r="X233" s="113"/>
      <c r="Y233" s="113"/>
      <c r="Z233" s="113"/>
      <c r="AA233" s="113"/>
      <c r="AB233" s="113"/>
      <c r="AC233" s="113"/>
      <c r="AE233" s="113"/>
      <c r="AF233" s="113"/>
      <c r="AG233" s="113"/>
      <c r="AH233" s="113"/>
      <c r="AI233" s="113"/>
      <c r="AJ233" s="113"/>
      <c r="AK233" s="113"/>
      <c r="AL233" s="113"/>
      <c r="AM233" s="113"/>
      <c r="AP233" s="113"/>
      <c r="AQ233" s="113"/>
      <c r="AR233" s="113"/>
      <c r="AS233" s="113"/>
      <c r="AT233" s="113"/>
      <c r="AU233" s="113"/>
      <c r="AV233" s="113"/>
      <c r="AW233" s="113"/>
      <c r="AX233" s="113"/>
      <c r="AY233" s="113"/>
      <c r="AZ233" s="113"/>
      <c r="BA233" s="113"/>
      <c r="BB233" s="113"/>
      <c r="BC233" s="113"/>
      <c r="BD233" s="113"/>
    </row>
    <row r="234" spans="1:56" s="418" customFormat="1" ht="12.75" customHeight="1" outlineLevel="1">
      <c r="A234" s="113"/>
      <c r="B234" s="2694" t="s">
        <v>466</v>
      </c>
      <c r="C234" s="2695"/>
      <c r="D234" s="208">
        <v>8</v>
      </c>
      <c r="E234" s="801">
        <f>SUMIF($E$9:$E$52,Utilitaires!$C$572,AE9:AE52)+SUMIF($E$9:$E$52,Utilitaires!$C$577,AE9:AE52)+(10%/(1+10%))*SUMIF($E$59:$E$77,Utilitaires!$C$572,AE59:AE77)+(10%/(1+10%))*SUMIF($E$59:$E$77,Utilitaires!$C$577,AE59:AE77)+
SUMIF($E$82:$E$109,Utilitaires!$C$572,AE82:AE109)+SUMIF($E$82:$E$109,Utilitaires!$C$577,AE82:AE109)+
SUMIF($E$82:$E$109,Utilitaires!$C$572,T82:T109)+SUMIF($E$82:$E$109,Utilitaires!$C$577,T82:T109)+SUMIF($E$176:$E$184,Utilitaires!$C$572,AE176:AE184)+SUMIF($E$176:$E$184,Utilitaires!$C$577,AE176:AE184)+
$G190*(SUMIF($E$111:$E$184,Utilitaires!$C$572,AE111:AE184)+SUMIF($E$111:$E$184,Utilitaires!$C$577,AE111:AE184)+SUMIF($E$180:$E$184,Utilitaires!$C$577,AF180:AF184)+SUMIF($E$180:$E$184,Utilitaires!$C$572,AF180:AF184))</f>
        <v>67500.7356</v>
      </c>
      <c r="F234" s="801">
        <f>SUMIF($E$9:$E$40,Utilitaires!$C$572,AG9:AG40)+SUMIF($E$9:$E$40,Utilitaires!$C$577,AG9:AG40)+
SUMIF($E$82:$E$109,Utilitaires!$C$572,AG82:AG109)+SUMIF($E$82:$E$109,Utilitaires!$C$577,AG82:AG109)+
$G190*SUMIF($E$111:$E$174,Utilitaires!$C$572,AF111:AF174)+$G190*SUMIF($E$111:$E$174,Utilitaires!$C$577,AF111:AF174)+
$G190*SUMIF($E$180:$E$184,Utilitaires!$C$572,AG180:AG184)+$G190*SUMIF($E$180:$E$184,Utilitaires!$C$572,AH180:AH184)+
$G190*SUMIF($E$180:$E$184,Utilitaires!$C$577,AG180:AG184)+$G190*SUMIF($E$180:$E$184,Utilitaires!$C$577,AH180:AH184)+
(10%/(1+10%))*SUMIF($E$59:$E$77,Utilitaires!$C$572,AF59:AF77)+(10%/(1+10%))*SUMIF($E$59:$E$77,Utilitaires!$C$577,AF59:AF77)</f>
        <v>5865.3745920000001</v>
      </c>
      <c r="G234" s="801">
        <f>SUMIF($E$9:$E$40,Utilitaires!$C$572,AI9:AI40)+SUMIF($E$9:$E$40,Utilitaires!$C$577,AI9:AI40)+SUMIF($E$82:$E$109,Utilitaires!$C$572,AI82:AI109)+SUMIF($E$82:$E$109,Utilitaires!$C$577,AI82:AI109)+$G190*SUMIF($E$111:$E$174,Utilitaires!$C$572,AG111:AG174)+$G190*SUMIF($E$111:$E$174,Utilitaires!$C$577,AG111:AG174)+$G190*SUMIF($E$180:$E$184,Utilitaires!$C$572,AI180:AI184)+$G190*SUMIF($E$180:$E$184,Utilitaires!$C$577,AJ180:AJ184)+$G190*SUMIF($E$180:$E$184,Utilitaires!$C$577,AI180:AI184)+$G190*SUMIF($E$180:$E$184,Utilitaires!$C$572,AJ180:AJ184)
+(10%/(1+10%))*SUMIF($E$59:$E$77,Utilitaires!$C$572,AG59:AG77)+(10%/(1+10%))*SUMIF($E$59:$E$77,Utilitaires!$C$577,AG59:AG77)</f>
        <v>14.65662</v>
      </c>
      <c r="H234" s="801">
        <f>SUMIF($E$9:$E$40,Utilitaires!$C$572,AK9:AK40)+
SUMIF($E$9:$E$40,Utilitaires!$C$577,AK9:AK40)+
SUMIF($E$82:$E$109,Utilitaires!$C$572,AK82:AK109)+
SUMIF($E$82:$E$109,Utilitaires!$C$577,AK82:AK109)+
$G190*SUMIF($E$111:$E$174,Utilitaires!$C$572,AH111:AH174)+
$G190*SUMIF($E$111:$E$174,Utilitaires!$C$577,AH111:AH174)+
$G190*SUMIF($E$180:$E$184,Utilitaires!$C$572,AK180:AK184)+
$G190*SUMIF($E$180:$E$184,Utilitaires!$C$577,AL180:AL184)+
$G190*SUMIF($E$180:$E$184,Utilitaires!$C$577,AK180:AK184)+
$G190*SUMIF($E$180:$E$184,Utilitaires!$C$572,AL180:AL184)
+(10%/(1+10%))*SUMIF($E$59:$E$77,Utilitaires!$C$572,AH59:AH77)+
(10%/(1+10%))*SUMIF($E$59:$E$77,Utilitaires!$C$577,AH59:AH77)</f>
        <v>680.28840000000002</v>
      </c>
      <c r="I234" s="801">
        <f>SUM(E234:H234)</f>
        <v>74061.055211999992</v>
      </c>
      <c r="J234" s="801">
        <f>SUMIF($E$9:$E$40,Utilitaires!$C$572,AO9:AO40)+SUMIF($E$9:$E$40,Utilitaires!$C$577,AO9:AO40)+(1+$G190)*SUMIF($E$97:$E$109,Utilitaires!$C$572,AO97:AO109)+(1+$G190)*SUMIF($E$97:$E$109,Utilitaires!$C$577,AO97:AO109)+$G190*SUMIF($E$97:$E$109,Utilitaires!$C$572,AP97:AP109)+$G190*SUMIF($E$97:$E$109,Utilitaires!$C$577,AP97:AP109)+$G190*SUMIF($E$111:$E$174,Utilitaires!$C$572,AI111:AI174)+$G190*SUMIF($E$111:$E$174,Utilitaires!$C$577,AI111:AI174)
+(10%/(1+10%))*SUMIF($E$59:$E$77,Utilitaires!$C$572,AJ59:AJ77)+(10%/(1+10%))*SUMIF($E$59:$E$77,Utilitaires!$C$577,AJ59:AJ77)</f>
        <v>0</v>
      </c>
      <c r="K234" s="632">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+SUMPRODUCT(($E$59:$E$67=Utilitaires!$C$572)*1,AB59:AB67,AB59:AB67)+SUMPRODUCT(($E$59:$E$67=Utilitaires!$C$577)*1,AB59:AB67,AB59:AB67)+SUMPRODUCT(($E$69:$E$77=Utilitaires!$C$572)*1,AB69:AB77,AB69:AB77)+SUMPRODUCT(($E$69:$E$77=Utilitaires!$C$577)*1,AB69:AB77,AB69:AB77)-K232^2
+(1+$G190^2)*(SUMPRODUCT(($E$82:$E$109=Utilitaires!$C$572)*1,Z82:Z109,Z82:Z109)+SUMPRODUCT(($E$82:$E$109=Utilitaires!$C$577)*1,Z82:Z109,Z82:Z109)+SUMPRODUCT(($E$180:$E$184=Utilitaires!$C$572)*1,Z180:Z184,Z180:Z184)+SUMPRODUCT(($E$180:$E$184=Utilitaires!$C$577)*1,Z180:Z184,Z180:Z184))
+$G190^2*(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3214.9156058606336</v>
      </c>
      <c r="L234" s="801"/>
      <c r="M234" s="113"/>
      <c r="N234" s="576"/>
      <c r="O234" s="113"/>
      <c r="P234" s="113"/>
      <c r="Q234" s="113"/>
      <c r="R234" s="113"/>
      <c r="S234" s="113"/>
      <c r="T234" s="113"/>
      <c r="U234" s="113"/>
      <c r="V234" s="113"/>
      <c r="W234" s="113"/>
      <c r="X234" s="113"/>
      <c r="Y234" s="113"/>
      <c r="Z234" s="113"/>
      <c r="AA234" s="113"/>
      <c r="AB234" s="113"/>
      <c r="AC234" s="113"/>
      <c r="AE234" s="113"/>
      <c r="AF234" s="113"/>
      <c r="AG234" s="113"/>
      <c r="AH234" s="113"/>
      <c r="AI234" s="113"/>
      <c r="AJ234" s="113"/>
      <c r="AK234" s="113"/>
      <c r="AL234" s="113"/>
      <c r="AM234" s="113"/>
      <c r="AP234" s="113"/>
      <c r="AQ234" s="113"/>
      <c r="AR234" s="113"/>
      <c r="AS234" s="113"/>
      <c r="AT234" s="113"/>
      <c r="AU234" s="113"/>
      <c r="AV234" s="113"/>
      <c r="AW234" s="113"/>
      <c r="AX234" s="113"/>
      <c r="AY234" s="113"/>
      <c r="AZ234" s="113"/>
      <c r="BA234" s="113"/>
      <c r="BB234" s="113"/>
      <c r="BC234" s="113"/>
      <c r="BD234" s="113"/>
    </row>
    <row r="235" spans="1:56" s="418" customFormat="1" ht="12.75" customHeight="1" outlineLevel="1">
      <c r="A235" s="113"/>
      <c r="B235" s="2694" t="s">
        <v>467</v>
      </c>
      <c r="C235" s="2695"/>
      <c r="D235" s="208">
        <v>9</v>
      </c>
      <c r="E235" s="801"/>
      <c r="F235" s="801"/>
      <c r="G235" s="801"/>
      <c r="H235" s="801"/>
      <c r="I235" s="801"/>
      <c r="J235" s="801"/>
      <c r="K235" s="632"/>
      <c r="L235" s="801"/>
      <c r="M235" s="576"/>
      <c r="N235" s="113"/>
      <c r="O235" s="113"/>
      <c r="P235" s="113"/>
      <c r="Q235" s="113"/>
      <c r="R235" s="113"/>
      <c r="S235" s="113"/>
      <c r="T235" s="113"/>
      <c r="U235" s="113"/>
      <c r="V235" s="113"/>
      <c r="W235" s="113"/>
      <c r="X235" s="113"/>
      <c r="Y235" s="113"/>
      <c r="Z235" s="113"/>
      <c r="AA235" s="113"/>
      <c r="AB235" s="113"/>
      <c r="AC235" s="113"/>
      <c r="AE235" s="113"/>
      <c r="AF235" s="113"/>
      <c r="AG235" s="113"/>
      <c r="AH235" s="113"/>
      <c r="AI235" s="113"/>
      <c r="AJ235" s="113"/>
      <c r="AK235" s="113"/>
      <c r="AL235" s="113"/>
      <c r="AM235" s="113"/>
      <c r="AP235" s="113"/>
      <c r="AQ235" s="113"/>
      <c r="AR235" s="113"/>
      <c r="AS235" s="113"/>
      <c r="AT235" s="113"/>
      <c r="AU235" s="113"/>
      <c r="AV235" s="113"/>
      <c r="AW235" s="113"/>
      <c r="AX235" s="113"/>
      <c r="AY235" s="113"/>
      <c r="AZ235" s="113"/>
      <c r="BA235" s="113"/>
      <c r="BB235" s="113"/>
      <c r="BC235" s="113"/>
      <c r="BD235" s="113"/>
    </row>
    <row r="236" spans="1:56" s="418" customFormat="1" ht="12.75" customHeight="1" outlineLevel="1">
      <c r="A236" s="113"/>
      <c r="B236" s="2694" t="s">
        <v>468</v>
      </c>
      <c r="C236" s="2695"/>
      <c r="D236" s="208">
        <v>10</v>
      </c>
      <c r="E236" s="801"/>
      <c r="F236" s="801"/>
      <c r="G236" s="801"/>
      <c r="H236" s="801"/>
      <c r="I236" s="801"/>
      <c r="J236" s="801"/>
      <c r="K236" s="632"/>
      <c r="L236" s="801"/>
      <c r="M236" s="113"/>
      <c r="N236" s="113"/>
      <c r="O236" s="113"/>
      <c r="P236" s="113"/>
      <c r="Q236" s="113"/>
      <c r="R236" s="113"/>
      <c r="S236" s="113"/>
      <c r="T236" s="113"/>
      <c r="U236" s="113"/>
      <c r="V236" s="113"/>
      <c r="W236" s="113"/>
      <c r="X236" s="113"/>
      <c r="Y236" s="113"/>
      <c r="Z236" s="113"/>
      <c r="AA236" s="113"/>
      <c r="AB236" s="113"/>
      <c r="AC236" s="113"/>
      <c r="AE236" s="113"/>
      <c r="AF236" s="113"/>
      <c r="AG236" s="113"/>
      <c r="AH236" s="113"/>
      <c r="AI236" s="113"/>
      <c r="AJ236" s="113"/>
      <c r="AK236" s="113"/>
      <c r="AL236" s="113"/>
      <c r="AM236" s="113"/>
      <c r="AP236" s="113"/>
      <c r="AQ236" s="113"/>
      <c r="AR236" s="113"/>
      <c r="AS236" s="113"/>
      <c r="AT236" s="113"/>
      <c r="AU236" s="113"/>
      <c r="AV236" s="113"/>
      <c r="AW236" s="113"/>
      <c r="AX236" s="113"/>
      <c r="AY236" s="113"/>
      <c r="AZ236" s="113"/>
      <c r="BA236" s="113"/>
      <c r="BB236" s="113"/>
      <c r="BC236" s="113"/>
      <c r="BD236" s="113"/>
    </row>
    <row r="237" spans="1:56" s="418" customFormat="1" ht="12.75" customHeight="1" outlineLevel="1">
      <c r="A237" s="113"/>
      <c r="B237" s="2694" t="s">
        <v>386</v>
      </c>
      <c r="C237" s="2695"/>
      <c r="D237" s="208">
        <v>11</v>
      </c>
      <c r="E237" s="801"/>
      <c r="F237" s="801"/>
      <c r="G237" s="801"/>
      <c r="H237" s="801"/>
      <c r="I237" s="801"/>
      <c r="J237" s="801"/>
      <c r="K237" s="632"/>
      <c r="L237" s="801"/>
      <c r="M237" s="113"/>
      <c r="N237" s="113"/>
      <c r="O237" s="113"/>
      <c r="P237" s="113"/>
      <c r="Q237" s="113"/>
      <c r="R237" s="113"/>
      <c r="S237" s="113"/>
      <c r="T237" s="113"/>
      <c r="U237" s="113"/>
      <c r="V237" s="113"/>
      <c r="W237" s="113"/>
      <c r="X237" s="113"/>
      <c r="Y237" s="113"/>
      <c r="Z237" s="113"/>
      <c r="AA237" s="113"/>
      <c r="AB237" s="113"/>
      <c r="AC237" s="113"/>
      <c r="AE237" s="113"/>
      <c r="AF237" s="113"/>
      <c r="AG237" s="113"/>
      <c r="AH237" s="113"/>
      <c r="AI237" s="113"/>
      <c r="AJ237" s="113"/>
      <c r="AK237" s="113"/>
      <c r="AL237" s="113"/>
      <c r="AM237" s="113"/>
      <c r="AP237" s="113"/>
      <c r="AQ237" s="113"/>
      <c r="AR237" s="113"/>
      <c r="AS237" s="113"/>
      <c r="AT237" s="113"/>
      <c r="AU237" s="113"/>
      <c r="AV237" s="113"/>
      <c r="AW237" s="113"/>
      <c r="AX237" s="113"/>
      <c r="AY237" s="113"/>
      <c r="AZ237" s="113"/>
      <c r="BA237" s="113"/>
      <c r="BB237" s="113"/>
      <c r="BC237" s="113"/>
      <c r="BD237" s="113"/>
    </row>
    <row r="238" spans="1:56" s="418" customFormat="1" ht="12.75" customHeight="1" outlineLevel="1">
      <c r="A238" s="113"/>
      <c r="B238" s="2694" t="s">
        <v>469</v>
      </c>
      <c r="C238" s="2695"/>
      <c r="D238" s="208">
        <v>12</v>
      </c>
      <c r="E238" s="801"/>
      <c r="F238" s="801"/>
      <c r="G238" s="801"/>
      <c r="H238" s="801"/>
      <c r="I238" s="801"/>
      <c r="J238" s="801"/>
      <c r="K238" s="632"/>
      <c r="L238" s="801"/>
      <c r="M238" s="113"/>
      <c r="N238" s="113"/>
      <c r="O238" s="113"/>
      <c r="P238" s="113"/>
      <c r="Q238" s="113"/>
      <c r="R238" s="113"/>
      <c r="S238" s="113"/>
      <c r="T238" s="113"/>
      <c r="U238" s="113"/>
      <c r="V238" s="113"/>
      <c r="W238" s="113"/>
      <c r="X238" s="113"/>
      <c r="Y238" s="113"/>
      <c r="Z238" s="113"/>
      <c r="AA238" s="113"/>
      <c r="AB238" s="113"/>
      <c r="AC238" s="113"/>
      <c r="AE238" s="113"/>
      <c r="AF238" s="113"/>
      <c r="AG238" s="113"/>
      <c r="AH238" s="113"/>
      <c r="AI238" s="113"/>
      <c r="AJ238" s="113"/>
      <c r="AK238" s="113"/>
      <c r="AL238" s="113"/>
      <c r="AM238" s="113"/>
      <c r="AP238" s="113"/>
      <c r="AQ238" s="113"/>
      <c r="AR238" s="113"/>
      <c r="AS238" s="113"/>
      <c r="AT238" s="113"/>
      <c r="AU238" s="113"/>
      <c r="AV238" s="113"/>
      <c r="AW238" s="113"/>
      <c r="AX238" s="113"/>
      <c r="AY238" s="113"/>
      <c r="AZ238" s="113"/>
      <c r="BA238" s="113"/>
      <c r="BB238" s="113"/>
      <c r="BC238" s="113"/>
      <c r="BD238" s="113"/>
    </row>
    <row r="239" spans="1:56" s="418" customFormat="1" ht="12.75" customHeight="1" outlineLevel="1">
      <c r="A239" s="113"/>
      <c r="B239" s="2694" t="s">
        <v>470</v>
      </c>
      <c r="C239" s="2695"/>
      <c r="D239" s="208">
        <v>13</v>
      </c>
      <c r="E239" s="801"/>
      <c r="F239" s="801"/>
      <c r="G239" s="801"/>
      <c r="H239" s="801"/>
      <c r="I239" s="801"/>
      <c r="J239" s="801"/>
      <c r="K239" s="632"/>
      <c r="L239" s="801"/>
      <c r="M239" s="113"/>
      <c r="N239" s="113"/>
      <c r="O239" s="113"/>
      <c r="P239" s="113"/>
      <c r="Q239" s="113"/>
      <c r="R239" s="113"/>
      <c r="S239" s="113"/>
      <c r="T239" s="113"/>
      <c r="U239" s="113"/>
      <c r="V239" s="113"/>
      <c r="W239" s="113"/>
      <c r="X239" s="113"/>
      <c r="Y239" s="113"/>
      <c r="Z239" s="113"/>
      <c r="AA239" s="113"/>
      <c r="AB239" s="113"/>
      <c r="AC239" s="113"/>
      <c r="AE239" s="113"/>
      <c r="AF239" s="113"/>
      <c r="AG239" s="113"/>
      <c r="AH239" s="113"/>
      <c r="AI239" s="113"/>
      <c r="AJ239" s="113"/>
      <c r="AK239" s="113"/>
      <c r="AL239" s="113"/>
      <c r="AM239" s="113"/>
      <c r="AP239" s="113"/>
      <c r="AQ239" s="113"/>
      <c r="AR239" s="113"/>
      <c r="AS239" s="113"/>
      <c r="AT239" s="113"/>
      <c r="AU239" s="113"/>
      <c r="AV239" s="113"/>
      <c r="AW239" s="113"/>
      <c r="AX239" s="113"/>
      <c r="AY239" s="113"/>
      <c r="AZ239" s="113"/>
      <c r="BA239" s="113"/>
      <c r="BB239" s="113"/>
      <c r="BC239" s="113"/>
      <c r="BD239" s="113"/>
    </row>
    <row r="240" spans="1:56" s="418" customFormat="1" ht="12.75" customHeight="1" outlineLevel="1">
      <c r="A240" s="113"/>
      <c r="B240" s="2694" t="s">
        <v>471</v>
      </c>
      <c r="C240" s="2695"/>
      <c r="D240" s="208">
        <v>14</v>
      </c>
      <c r="E240" s="801">
        <f>SUMIF($E$9:$E$54,Utilitaires!$C$573,AE9:AE54)+SUMIF($E$9:$E$54,Utilitaires!$C$573,AF9:AF54)+SUMIF($E$59:$E$77,Utilitaires!$C$573,AE59:AE77)+
SUMIF($E$82:$E$109,Utilitaires!$C$573,AE82:AE109)+SUMIF($E$82:$E$109,Utilitaires!$C$573,AF82:AF109)+SUMIF($E$82:$E$109,Utilitaires!$C$573,T82:T109)+
(1+$G190)*SUMIF($E$111:$E$174,Utilitaires!$C$573,AE111:AE174)+(1+$G190)*SUMIF($E$180:$E$184,Utilitaires!$C$573,AF180:AF184)+(1+$G190)*SUMIF($E$180:$E$184,Utilitaires!$C$573,AE180:AE184)</f>
        <v>0</v>
      </c>
      <c r="F240" s="801">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40" s="801">
        <f>SUMIF($E$9:$E$54,Utilitaires!$C$573,AI9:AI54)+SUMIF($E$9:$E$54,Utilitaires!$C$573,AJ9:AJ54)+SUMIF($E$59:$E$77,Utilitaires!$C$573,AG59:AG77)+SUMIF($E$82:$E$109,Utilitaires!$C$573,AI82:AI109)+SUMIF($E$82:$E$109,Utilitaires!$C$573,AJ82:AJ109)+(1+$G190)*SUMIF($E$111:$E$174,Utilitaires!$C$573,AG111:AG174)+(1+$G190)*SUMIF($E$180:$E$184,Utilitaires!$C$573,AJ180:AJ184)+(1+$G190)*SUMIF($E$180:$E$184,Utilitaires!$C$573,AI180:AI184)</f>
        <v>0</v>
      </c>
      <c r="H240" s="801">
        <f>SUMIF($E$9:$E$54,Utilitaires!$C$573,AK9:AK54)+SUMIF($E$9:$E$54,Utilitaires!$C$573,AL9:AL54)+SUMIF($E$59:$E$77,Utilitaires!$C$573,AH59:AH77)+SUMIF($E$82:$E$109,Utilitaires!$C$573,AK82:AK109)+SUMIF($E$82:$E$109,Utilitaires!$C$573,AL82:AL109)+(1+$G190)*SUMIF($E$111:$E$174,Utilitaires!$C$573,AH111:AH174)+(1+$G190)*SUMIF($E$180:$E$184,Utilitaires!$C$573,AK180:AK184)+(1+$G190)*SUMIF($E$180:$E$184,Utilitaires!$C$573,AL180:AL184)</f>
        <v>0</v>
      </c>
      <c r="I240" s="801">
        <f>SUM(E240:H240)</f>
        <v>0</v>
      </c>
      <c r="J240" s="801">
        <f>SUMIF($E$9:$E$54,Utilitaires!$C$573,AO9:AO54)+SUMIF($E$9:$E$54,Utilitaires!$C$573,AP9:AP54)+SUMIF($E$59:$E$77,Utilitaires!$C$573,AJ59:AJ77)+(1+$G190)*SUMIF($E$97:$E$109,Utilitaires!$C$573,AO97:AO109)+(1+$G190)*SUMIF($E$97:$E$109,Utilitaires!$C$573,AP97:AP109)+(1+$G190)*SUMIF($E$111:$E$174,Utilitaires!$C$573,AI111:AI174)</f>
        <v>0</v>
      </c>
      <c r="K240" s="632">
        <f>SQRT(SUMPRODUCT(($E$9:$E$54=Utilitaires!$C$573)*1,Z9:Z54,Z9:Z54)+SUMPRODUCT(($E$9:$E$54=Utilitaires!$C$573)*1,AA9:AA54,AA9:AA54)+SUMPRODUCT(($E$59:$E$77=Utilitaires!$C$573)*1,AB59:AB77,AB59:AB77)
+(1+$G190^2)*(SUMPRODUCT(($E$82:$E$109=Utilitaires!$C$573)*1,Z82:Z109,Z82:Z109)
+SUMPRODUCT(($E$82:$E$109=Utilitaires!$C$573)*1,AA82:AA109,AA82:AA109)
+SUMPRODUCT(($E$111:$E$174=Utilitaires!$C$573)*1,AC111:AC174,AC111:AC174))+SUMPRODUCT(($E$180:$E$182=Utilitaires!$C$573)*1,AA180:AA182,AA180:AA182)+SUMPRODUCT(($E$180:$E$182=Utilitaires!$C$573)*1,Z180:Z182,AA180:AA182))</f>
        <v>0</v>
      </c>
      <c r="L240" s="801"/>
      <c r="M240" s="113"/>
      <c r="N240" s="113"/>
      <c r="O240" s="113"/>
      <c r="P240" s="113"/>
      <c r="Q240" s="113"/>
      <c r="R240" s="113"/>
      <c r="S240" s="113"/>
      <c r="T240" s="113"/>
      <c r="U240" s="113"/>
      <c r="V240" s="113"/>
      <c r="W240" s="113"/>
      <c r="X240" s="113"/>
      <c r="Y240" s="817"/>
      <c r="Z240" s="817"/>
      <c r="AA240" s="113"/>
      <c r="AB240" s="113"/>
      <c r="AC240" s="113"/>
      <c r="AE240" s="113"/>
      <c r="AF240" s="576"/>
      <c r="AG240" s="576"/>
      <c r="AH240" s="576"/>
      <c r="AI240" s="576"/>
      <c r="AJ240" s="576"/>
      <c r="AK240" s="576"/>
      <c r="AL240" s="576"/>
      <c r="AM240" s="576"/>
      <c r="AN240" s="1240"/>
      <c r="AO240" s="1240"/>
      <c r="AP240" s="576"/>
      <c r="AQ240" s="576"/>
      <c r="AR240" s="113"/>
      <c r="AS240" s="113"/>
      <c r="AT240" s="113"/>
      <c r="AU240" s="113"/>
      <c r="AV240" s="113"/>
      <c r="AW240" s="113"/>
      <c r="AX240" s="113"/>
      <c r="AY240" s="113"/>
      <c r="AZ240" s="113"/>
      <c r="BA240" s="113"/>
      <c r="BB240" s="113"/>
      <c r="BC240" s="113"/>
      <c r="BD240" s="113"/>
    </row>
    <row r="241" spans="1:56" s="418" customFormat="1" ht="12.75" customHeight="1" outlineLevel="1">
      <c r="A241" s="113"/>
      <c r="B241" s="2694" t="s">
        <v>472</v>
      </c>
      <c r="C241" s="2695"/>
      <c r="D241" s="208">
        <v>15</v>
      </c>
      <c r="E241" s="801"/>
      <c r="F241" s="801"/>
      <c r="G241" s="801"/>
      <c r="H241" s="801"/>
      <c r="I241" s="801"/>
      <c r="J241" s="801"/>
      <c r="K241" s="632"/>
      <c r="L241" s="801"/>
      <c r="M241" s="113"/>
      <c r="N241" s="113"/>
      <c r="O241" s="113"/>
      <c r="P241" s="113"/>
      <c r="Q241" s="113"/>
      <c r="R241" s="113"/>
      <c r="S241" s="113"/>
      <c r="T241" s="113"/>
      <c r="U241" s="113"/>
      <c r="V241" s="113"/>
      <c r="W241" s="113"/>
      <c r="X241" s="113"/>
      <c r="Y241" s="817"/>
      <c r="Z241" s="817"/>
      <c r="AA241" s="113"/>
      <c r="AB241" s="113"/>
      <c r="AC241" s="113"/>
      <c r="AE241" s="113"/>
      <c r="AF241" s="576"/>
      <c r="AG241" s="576"/>
      <c r="AH241" s="576"/>
      <c r="AI241" s="576"/>
      <c r="AJ241" s="576"/>
      <c r="AK241" s="576"/>
      <c r="AL241" s="576"/>
      <c r="AM241" s="576"/>
      <c r="AN241" s="1240"/>
      <c r="AO241" s="1240"/>
      <c r="AP241" s="576"/>
      <c r="AQ241" s="576"/>
      <c r="AR241" s="113"/>
      <c r="AS241" s="113"/>
      <c r="AT241" s="113"/>
      <c r="AU241" s="113"/>
      <c r="AV241" s="113"/>
      <c r="AW241" s="113"/>
      <c r="AX241" s="113"/>
      <c r="AY241" s="113"/>
      <c r="AZ241" s="113"/>
      <c r="BA241" s="113"/>
      <c r="BB241" s="113"/>
      <c r="BC241" s="113"/>
      <c r="BD241" s="113"/>
    </row>
    <row r="242" spans="1:56" s="418" customFormat="1" ht="12.75" customHeight="1" outlineLevel="1">
      <c r="A242" s="113"/>
      <c r="B242" s="2694" t="s">
        <v>473</v>
      </c>
      <c r="C242" s="2695"/>
      <c r="D242" s="208">
        <v>16</v>
      </c>
      <c r="E242" s="801"/>
      <c r="F242" s="801"/>
      <c r="G242" s="801"/>
      <c r="H242" s="801"/>
      <c r="I242" s="801"/>
      <c r="J242" s="801"/>
      <c r="K242" s="632"/>
      <c r="L242" s="801"/>
      <c r="M242" s="175"/>
      <c r="N242" s="576"/>
      <c r="O242" s="576"/>
      <c r="P242" s="113"/>
      <c r="Q242" s="113"/>
      <c r="R242" s="113"/>
      <c r="S242" s="113"/>
      <c r="T242" s="113"/>
      <c r="U242" s="113"/>
      <c r="V242" s="113"/>
      <c r="W242" s="113"/>
      <c r="X242" s="113"/>
      <c r="Y242" s="817"/>
      <c r="Z242" s="817"/>
      <c r="AA242" s="113"/>
      <c r="AB242" s="113"/>
      <c r="AC242" s="113"/>
      <c r="AE242" s="113"/>
      <c r="AF242" s="576"/>
      <c r="AG242" s="576"/>
      <c r="AH242" s="576"/>
      <c r="AI242" s="576"/>
      <c r="AJ242" s="576"/>
      <c r="AK242" s="576"/>
      <c r="AL242" s="576"/>
      <c r="AM242" s="576"/>
      <c r="AN242" s="1240"/>
      <c r="AO242" s="1240"/>
      <c r="AP242" s="576"/>
      <c r="AQ242" s="576"/>
      <c r="AR242" s="113"/>
      <c r="AS242" s="113"/>
      <c r="AT242" s="113"/>
      <c r="AU242" s="113"/>
      <c r="AV242" s="113"/>
      <c r="AW242" s="113"/>
      <c r="AX242" s="113"/>
      <c r="AY242" s="113"/>
      <c r="AZ242" s="113"/>
      <c r="BA242" s="113"/>
      <c r="BB242" s="113"/>
      <c r="BC242" s="113"/>
      <c r="BD242" s="113"/>
    </row>
    <row r="243" spans="1:56" s="418" customFormat="1" ht="12.75" customHeight="1" outlineLevel="1">
      <c r="A243" s="113"/>
      <c r="B243" s="2694" t="s">
        <v>474</v>
      </c>
      <c r="C243" s="2695"/>
      <c r="D243" s="208">
        <v>17</v>
      </c>
      <c r="E243" s="801"/>
      <c r="F243" s="801"/>
      <c r="G243" s="801"/>
      <c r="H243" s="801"/>
      <c r="I243" s="801"/>
      <c r="J243" s="801"/>
      <c r="K243" s="632"/>
      <c r="L243" s="801"/>
      <c r="M243" s="175"/>
      <c r="N243" s="576"/>
      <c r="O243" s="576"/>
      <c r="P243" s="113"/>
      <c r="Q243" s="113"/>
      <c r="R243" s="113"/>
      <c r="S243" s="113"/>
      <c r="T243" s="113"/>
      <c r="U243" s="113"/>
      <c r="V243" s="113"/>
      <c r="W243" s="113"/>
      <c r="X243" s="113"/>
      <c r="Y243" s="817"/>
      <c r="Z243" s="817"/>
      <c r="AA243" s="113"/>
      <c r="AB243" s="113"/>
      <c r="AC243" s="113"/>
      <c r="AE243" s="113"/>
      <c r="AF243" s="576"/>
      <c r="AG243" s="576"/>
      <c r="AH243" s="576"/>
      <c r="AI243" s="576"/>
      <c r="AJ243" s="576"/>
      <c r="AK243" s="576"/>
      <c r="AL243" s="576"/>
      <c r="AM243" s="576"/>
      <c r="AN243" s="1240"/>
      <c r="AO243" s="1240"/>
      <c r="AP243" s="576"/>
      <c r="AQ243" s="576"/>
      <c r="AR243" s="113"/>
      <c r="AS243" s="113"/>
      <c r="AT243" s="113"/>
      <c r="AU243" s="113"/>
      <c r="AV243" s="113"/>
      <c r="AW243" s="113"/>
      <c r="AX243" s="113"/>
      <c r="AY243" s="113"/>
      <c r="AZ243" s="113"/>
      <c r="BA243" s="113"/>
      <c r="BB243" s="113"/>
      <c r="BC243" s="113"/>
      <c r="BD243" s="113"/>
    </row>
    <row r="244" spans="1:56" s="418" customFormat="1" ht="12.75" customHeight="1" outlineLevel="1">
      <c r="A244" s="113"/>
      <c r="B244" s="2694" t="s">
        <v>475</v>
      </c>
      <c r="C244" s="2695"/>
      <c r="D244" s="208">
        <v>18</v>
      </c>
      <c r="E244" s="801"/>
      <c r="F244" s="801"/>
      <c r="G244" s="801"/>
      <c r="H244" s="801"/>
      <c r="I244" s="801"/>
      <c r="J244" s="801"/>
      <c r="K244" s="632"/>
      <c r="L244" s="801"/>
      <c r="M244" s="175"/>
      <c r="N244" s="576"/>
      <c r="O244" s="576"/>
      <c r="P244" s="113"/>
      <c r="Q244" s="113"/>
      <c r="R244" s="113"/>
      <c r="S244" s="113"/>
      <c r="T244" s="113"/>
      <c r="U244" s="113"/>
      <c r="V244" s="113"/>
      <c r="W244" s="113"/>
      <c r="X244" s="113"/>
      <c r="Y244" s="817"/>
      <c r="Z244" s="817"/>
      <c r="AA244" s="113"/>
      <c r="AB244" s="113"/>
      <c r="AC244" s="113"/>
      <c r="AE244" s="113"/>
      <c r="AF244" s="576"/>
      <c r="AG244" s="576"/>
      <c r="AH244" s="576"/>
      <c r="AI244" s="576"/>
      <c r="AJ244" s="576"/>
      <c r="AK244" s="576"/>
      <c r="AL244" s="576"/>
      <c r="AM244" s="576"/>
      <c r="AN244" s="1240"/>
      <c r="AO244" s="1240"/>
      <c r="AP244" s="576"/>
      <c r="AQ244" s="576"/>
      <c r="AR244" s="113"/>
      <c r="AS244" s="113"/>
      <c r="AT244" s="113"/>
      <c r="AU244" s="113"/>
      <c r="AV244" s="113"/>
      <c r="AW244" s="113"/>
      <c r="AX244" s="113"/>
      <c r="AY244" s="113"/>
      <c r="AZ244" s="113"/>
      <c r="BA244" s="113"/>
      <c r="BB244" s="113"/>
      <c r="BC244" s="113"/>
      <c r="BD244" s="113"/>
    </row>
    <row r="245" spans="1:56" s="418" customFormat="1" ht="12.75" customHeight="1" outlineLevel="1">
      <c r="A245" s="113"/>
      <c r="B245" s="2694" t="s">
        <v>476</v>
      </c>
      <c r="C245" s="2695"/>
      <c r="D245" s="208">
        <v>19</v>
      </c>
      <c r="E245" s="801">
        <v>0</v>
      </c>
      <c r="F245" s="801"/>
      <c r="G245" s="801"/>
      <c r="H245" s="801"/>
      <c r="I245" s="801"/>
      <c r="J245" s="801"/>
      <c r="K245" s="632"/>
      <c r="L245" s="801"/>
      <c r="M245" s="175"/>
      <c r="N245" s="576"/>
      <c r="O245" s="576"/>
      <c r="P245" s="113"/>
      <c r="Q245" s="113"/>
      <c r="R245" s="113"/>
      <c r="S245" s="113"/>
      <c r="T245" s="113"/>
      <c r="U245" s="113"/>
      <c r="V245" s="113"/>
      <c r="W245" s="113"/>
      <c r="X245" s="113"/>
      <c r="Y245" s="817"/>
      <c r="Z245" s="817"/>
      <c r="AA245" s="113"/>
      <c r="AB245" s="113"/>
      <c r="AC245" s="113"/>
      <c r="AE245" s="113"/>
      <c r="AF245" s="576"/>
      <c r="AG245" s="576"/>
      <c r="AH245" s="576"/>
      <c r="AI245" s="576"/>
      <c r="AJ245" s="576"/>
      <c r="AK245" s="576"/>
      <c r="AL245" s="576"/>
      <c r="AM245" s="576"/>
      <c r="AN245" s="1240"/>
      <c r="AO245" s="1240"/>
      <c r="AP245" s="576"/>
      <c r="AQ245" s="576"/>
      <c r="AR245" s="113"/>
      <c r="AS245" s="113"/>
      <c r="AT245" s="113"/>
      <c r="AU245" s="113"/>
      <c r="AV245" s="113"/>
      <c r="AW245" s="113"/>
      <c r="AX245" s="113"/>
      <c r="AY245" s="113"/>
      <c r="AZ245" s="113"/>
      <c r="BA245" s="113"/>
      <c r="BB245" s="113"/>
      <c r="BC245" s="113"/>
      <c r="BD245" s="113"/>
    </row>
    <row r="246" spans="1:56" s="418" customFormat="1" ht="12.75" customHeight="1" outlineLevel="1">
      <c r="A246" s="113"/>
      <c r="B246" s="2694" t="s">
        <v>477</v>
      </c>
      <c r="C246" s="2695"/>
      <c r="D246" s="208">
        <v>20</v>
      </c>
      <c r="E246" s="801"/>
      <c r="F246" s="801"/>
      <c r="G246" s="801"/>
      <c r="H246" s="801"/>
      <c r="I246" s="801"/>
      <c r="J246" s="801"/>
      <c r="K246" s="632"/>
      <c r="L246" s="801"/>
      <c r="M246" s="175"/>
      <c r="N246" s="576"/>
      <c r="O246" s="576"/>
      <c r="P246" s="113"/>
      <c r="Q246" s="113"/>
      <c r="R246" s="113"/>
      <c r="S246" s="113"/>
      <c r="T246" s="113"/>
      <c r="U246" s="113"/>
      <c r="V246" s="113"/>
      <c r="W246" s="113"/>
      <c r="X246" s="113"/>
      <c r="Y246" s="817"/>
      <c r="Z246" s="817"/>
      <c r="AA246" s="113"/>
      <c r="AB246" s="113"/>
      <c r="AC246" s="113"/>
      <c r="AE246" s="113"/>
      <c r="AF246" s="576"/>
      <c r="AG246" s="576"/>
      <c r="AH246" s="576"/>
      <c r="AI246" s="576"/>
      <c r="AJ246" s="576"/>
      <c r="AK246" s="576"/>
      <c r="AL246" s="576"/>
      <c r="AM246" s="576"/>
      <c r="AN246" s="1240"/>
      <c r="AO246" s="1240"/>
      <c r="AP246" s="576"/>
      <c r="AQ246" s="576"/>
      <c r="AR246" s="113"/>
      <c r="AS246" s="113"/>
      <c r="AT246" s="113"/>
      <c r="AU246" s="113"/>
      <c r="AV246" s="113"/>
      <c r="AW246" s="113"/>
      <c r="AX246" s="113"/>
      <c r="AY246" s="113"/>
      <c r="AZ246" s="113"/>
      <c r="BA246" s="113"/>
      <c r="BB246" s="113"/>
      <c r="BC246" s="113"/>
      <c r="BD246" s="113"/>
    </row>
    <row r="247" spans="1:56" s="418" customFormat="1" ht="12.75" customHeight="1" outlineLevel="1">
      <c r="A247" s="113"/>
      <c r="B247" s="2694" t="s">
        <v>478</v>
      </c>
      <c r="C247" s="2695"/>
      <c r="D247" s="208">
        <v>21</v>
      </c>
      <c r="E247" s="801"/>
      <c r="F247" s="801"/>
      <c r="G247" s="801"/>
      <c r="H247" s="801"/>
      <c r="I247" s="801"/>
      <c r="J247" s="801"/>
      <c r="K247" s="632"/>
      <c r="L247" s="801"/>
      <c r="M247" s="175"/>
      <c r="N247" s="576"/>
      <c r="O247" s="576"/>
      <c r="P247" s="113"/>
      <c r="Q247" s="113"/>
      <c r="R247" s="113"/>
      <c r="S247" s="113"/>
      <c r="T247" s="113"/>
      <c r="U247" s="113"/>
      <c r="V247" s="113"/>
      <c r="W247" s="113"/>
      <c r="X247" s="113"/>
      <c r="Y247" s="817"/>
      <c r="Z247" s="817"/>
      <c r="AA247" s="113"/>
      <c r="AB247" s="113"/>
      <c r="AC247" s="113"/>
      <c r="AE247" s="113"/>
      <c r="AF247" s="576"/>
      <c r="AG247" s="576"/>
      <c r="AH247" s="576"/>
      <c r="AI247" s="576"/>
      <c r="AJ247" s="576"/>
      <c r="AK247" s="576"/>
      <c r="AL247" s="576"/>
      <c r="AM247" s="576"/>
      <c r="AN247" s="1240"/>
      <c r="AO247" s="1240"/>
      <c r="AP247" s="576"/>
      <c r="AQ247" s="576"/>
      <c r="AR247" s="113"/>
      <c r="AS247" s="113"/>
      <c r="AT247" s="113"/>
      <c r="AU247" s="113"/>
      <c r="AV247" s="113"/>
      <c r="AW247" s="113"/>
      <c r="AX247" s="113"/>
      <c r="AY247" s="113"/>
      <c r="AZ247" s="113"/>
      <c r="BA247" s="113"/>
      <c r="BB247" s="113"/>
      <c r="BC247" s="113"/>
      <c r="BD247" s="113"/>
    </row>
    <row r="248" spans="1:56" s="418" customFormat="1" ht="12.75" customHeight="1" outlineLevel="1">
      <c r="A248" s="113"/>
      <c r="B248" s="2694" t="s">
        <v>479</v>
      </c>
      <c r="C248" s="2695"/>
      <c r="D248" s="208">
        <v>22</v>
      </c>
      <c r="E248" s="801"/>
      <c r="F248" s="801"/>
      <c r="G248" s="801"/>
      <c r="H248" s="801"/>
      <c r="I248" s="801"/>
      <c r="J248" s="801"/>
      <c r="K248" s="632"/>
      <c r="L248" s="801"/>
      <c r="M248" s="175"/>
      <c r="N248" s="576"/>
      <c r="O248" s="576"/>
      <c r="P248" s="113"/>
      <c r="Q248" s="113"/>
      <c r="R248" s="113"/>
      <c r="S248" s="113"/>
      <c r="T248" s="113"/>
      <c r="U248" s="113"/>
      <c r="V248" s="113"/>
      <c r="W248" s="113"/>
      <c r="X248" s="113"/>
      <c r="Y248" s="817"/>
      <c r="Z248" s="817"/>
      <c r="AA248" s="113"/>
      <c r="AB248" s="113"/>
      <c r="AC248" s="113"/>
      <c r="AE248" s="113"/>
      <c r="AF248" s="576"/>
      <c r="AG248" s="576"/>
      <c r="AH248" s="576"/>
      <c r="AI248" s="576"/>
      <c r="AJ248" s="576"/>
      <c r="AK248" s="576"/>
      <c r="AL248" s="576"/>
      <c r="AM248" s="576"/>
      <c r="AN248" s="1240"/>
      <c r="AO248" s="1240"/>
      <c r="AP248" s="576"/>
      <c r="AQ248" s="576"/>
      <c r="AR248" s="113"/>
      <c r="AS248" s="113"/>
      <c r="AT248" s="113"/>
      <c r="AU248" s="113"/>
      <c r="AV248" s="113"/>
      <c r="AW248" s="113"/>
      <c r="AX248" s="113"/>
      <c r="AY248" s="113"/>
      <c r="AZ248" s="113"/>
      <c r="BA248" s="113"/>
      <c r="BB248" s="113"/>
      <c r="BC248" s="113"/>
      <c r="BD248" s="113"/>
    </row>
    <row r="249" spans="1:56" s="418" customFormat="1" ht="12.75" customHeight="1" outlineLevel="1">
      <c r="A249" s="113"/>
      <c r="B249" s="2694" t="s">
        <v>449</v>
      </c>
      <c r="C249" s="2695"/>
      <c r="D249" s="208">
        <v>23</v>
      </c>
      <c r="E249" s="801">
        <f>SUMIF($E$9:$E$54,Utilitaires!$C$574,AE9:AE54)+SUMIF($E$9:$E$54,Utilitaires!$C$574,AF9:AF54)+SUMIF($E$9:$E$54,Utilitaires!$C$578,AE9:AE54)+SUMIF($E$9:$E$54,Utilitaires!$C$578,AF9:AF54)+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(1+$G190)*SUMIF($E$180:$E$184,Utilitaires!$C$574,AE180:AE184)+(1+$G190)*SUMIF($E$180:$E$184,Utilitaires!$C$578,AF180:AF184)+
(1+$G190)*SUMIF($E$180:$E$184,Utilitaires!$C$578,AE180:AE184)+(1+$G190)*SUMIF($E$180:$E$184,Utilitaires!$C$574,AF180:AF184)</f>
        <v>0</v>
      </c>
      <c r="F249" s="801">
        <f>SUMIF($E$9:$E$54,Utilitaires!$C$574,AG9:AG54)+SUMIF($E$9:$E$54,Utilitaires!$C$574,AH9:AH54)+SUMIF($E$9:$E$54,Utilitaires!$C$578,AG9:AG54)+SUMIF($E$9:$E$54,Utilitaires!$C$578,AH9:AH54)+SUMIF($E$59:$E$77,Utilitaires!$C$574,AF59:AF77)+SUMIF($E$59:$E$77,Utilitaires!$C$578,AF59:AF77)+SUMIF($E$82:$E$109,Utilitaires!$C$574,AG82:AG109)+SUMIF($E$82:$E$109,Utilitaires!$C$578,AG82:AG109)+SUMIF($E$82:$E$109,Utilitaires!$C$574,AH82:AH109)+SUMIF($E$82:$E$109,Utilitaires!$C$578,AH82:AH109)+(1+$G190)*SUMIF($E$111:$E$174,Utilitaires!$C$574,AF111:AF174)+(1+$G190)*SUMIF($E$111:$E$174,Utilitaires!$C$578,AF111:AF174)+(1+$G190)*SUMIF($E$180:$E$184,Utilitaires!$C$574,AG180:AG184)+(1+$G190)*SUMIF($E$180:$E$184,Utilitaires!$C$578,AH180:AH184)+(1+$G190)*SUMIF($E$180:$E$184,Utilitaires!$C$578,AG180:AG184)+(1+$G190)*SUMIF($E$180:$E$184,Utilitaires!$C$574,AH180:AH184)</f>
        <v>0</v>
      </c>
      <c r="G249" s="801">
        <f>SUMIF($E$9:$E$54,Utilitaires!$C$574,AI9:AI54)+SUMIF($E$9:$E$54,Utilitaires!$C$574,AJ9:AJ54)+SUMIF($E$9:$E$54,Utilitaires!$C$578,AI9:AI54)+SUMIF($E$9:$E$54,Utilitaires!$C$578,AJ9:AJ54)+SUMIF($E$59:$E$77,Utilitaires!$C$574,AG59:AG77)+SUMIF($E$59:$E$77,Utilitaires!$C$578,AG59:AG77)+SUMIF($E$82:$E$109,Utilitaires!$C$574,AI82:AI109)+SUMIF($E$82:$E$109,Utilitaires!$C$578,AI82:AI109)+SUMIF($E$82:$E$109,Utilitaires!$C$574,AJ82:AJ109)+SUMIF($E$82:$E$109,Utilitaires!$C$578,AJ82:AJ109)+(1+$G190)*SUMIF($E$111:$E$174,Utilitaires!$C$574,AG111:AG174)+(1+$G190)*SUMIF($E$111:$E$174,Utilitaires!$C$578,AG111:AG174)+(1+$G190)*SUMIF($E$180:$E$184,Utilitaires!$C$574,AI180:AI184)+(1+$G190)*SUMIF($E$180:$E$184,Utilitaires!$C$578,AI180:AI184)+(1+$G190)*SUMIF($E$180:$E$184,Utilitaires!$C$578,AJ180:AJ184)+(1+$G190)*SUMIF($E$180:$E$184,Utilitaires!$C$574,AJ180:AJ184)</f>
        <v>0</v>
      </c>
      <c r="H249" s="801">
        <f>SUMIF($E$9:$E$54,Utilitaires!$C$574,AK9:AK54)+SUMIF($E$9:$E$54,Utilitaires!$C$574,AL9:AL54)+SUMIF($E$9:$E$54,Utilitaires!$C$578,AK9:AK54)+SUMIF($E$9:$E$54,Utilitaires!$C$578,AL9:AL54)+SUMIF($E$59:$E$77,Utilitaires!$C$574,AH59:AH77)+SUMIF($E$59:$E$77,Utilitaires!$C$578,AH59:AH77)+SUMIF($E$82:$E$109,Utilitaires!$C$574,AK82:AK109)+SUMIF($E$82:$E$109,Utilitaires!$C$578,AK82:AK109)+SUMIF($E$82:$E$109,Utilitaires!$C$574,AL82:AL109)+SUMIF($E$82:$E$109,Utilitaires!$C$578,AL82:AL109)+(1+$G190)*SUMIF($E$111:$E$174,Utilitaires!$C$574,AH111:AH174)+(1+$G190)*SUMIF($E$111:$E$174,Utilitaires!$C$578,AH111:AH174)</f>
        <v>0</v>
      </c>
      <c r="I249" s="801">
        <f>SUM(E249:H249)</f>
        <v>0</v>
      </c>
      <c r="J249" s="801">
        <f>SUMIF($E$9:$E$54,Utilitaires!$C$574,AO9:AO54)+SUMIF($E$9:$E$54,Utilitaires!$C$574,AP9:AP54)+SUMIF($E$9:$E$54,Utilitaires!$C$578,AO9:AO54)+SUMIF($E$9:$E$54,Utilitaires!$C$578,AP9:AP54)+SUMIF($E$59:$E$77,Utilitaires!$C$574,AJ59:AJ77)+SUMIF($E$59:$E$77,Utilitaires!$C$578,AJ59:AJ77)+SUMIF($E$97:$E$109,Utilitaires!$C$574,AO97:AO109)+SUMIF($E$97:$E$109,Utilitaires!$C$578,AO97:AO109)+SUMIF($E$97:$E$109,Utilitaires!$C$574,AP97:AP109)+SUMIF($E$97:$E$109,Utilitaires!$C$578,AP97:AP109)+(1+$G190)*SUMIF($E$111:$E$174,Utilitaires!$C$574,AJ111:AJ174)+(1+$G190)*SUMIF($E$111:$E$174,Utilitaires!$C$578,AJ111:AJ174)</f>
        <v>0</v>
      </c>
      <c r="K249" s="632">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+SUMPRODUCT(($E$111:$E$174=Utilitaires!$C$574)*1,AC111:AC174,AC111:AC174)+SUMPRODUCT(($E$111:$E$174=Utilitaires!$C$578)*1,AC111:AC174,AC111:AC174)))</f>
        <v>0</v>
      </c>
      <c r="L249" s="801"/>
      <c r="M249" s="576"/>
      <c r="N249" s="576"/>
      <c r="O249" s="576"/>
      <c r="P249" s="113"/>
      <c r="Q249" s="113"/>
      <c r="R249" s="113"/>
      <c r="S249" s="113"/>
      <c r="T249" s="113"/>
      <c r="U249" s="113"/>
      <c r="V249" s="113"/>
      <c r="W249" s="113"/>
      <c r="X249" s="113"/>
      <c r="Y249" s="817"/>
      <c r="Z249" s="817"/>
      <c r="AA249" s="113"/>
      <c r="AB249" s="113"/>
      <c r="AC249" s="113"/>
      <c r="AE249" s="113"/>
      <c r="AF249" s="576"/>
      <c r="AG249" s="576"/>
      <c r="AH249" s="576"/>
      <c r="AI249" s="576"/>
      <c r="AJ249" s="576"/>
      <c r="AK249" s="576"/>
      <c r="AL249" s="576"/>
      <c r="AM249" s="576"/>
      <c r="AN249" s="1240"/>
      <c r="AO249" s="1240"/>
      <c r="AP249" s="576"/>
      <c r="AQ249" s="576"/>
      <c r="AR249" s="113"/>
      <c r="AS249" s="113"/>
      <c r="AT249" s="113"/>
      <c r="AU249" s="113"/>
      <c r="AV249" s="113"/>
      <c r="AW249" s="113"/>
      <c r="AX249" s="113"/>
      <c r="AY249" s="113"/>
      <c r="AZ249" s="113"/>
      <c r="BA249" s="113"/>
      <c r="BB249" s="113"/>
      <c r="BC249" s="113"/>
      <c r="BD249" s="113"/>
    </row>
    <row r="250" spans="1:56" s="418" customFormat="1" ht="12.75" customHeight="1" outlineLevel="1">
      <c r="A250" s="113"/>
      <c r="B250" s="2706"/>
      <c r="C250" s="2707"/>
      <c r="D250" s="135" t="s">
        <v>439</v>
      </c>
      <c r="E250" s="642">
        <f t="shared" ref="E250:J250" si="42">SUM(E234:E249)</f>
        <v>67500.7356</v>
      </c>
      <c r="F250" s="642">
        <f t="shared" si="42"/>
        <v>5865.3745920000001</v>
      </c>
      <c r="G250" s="642">
        <f t="shared" si="42"/>
        <v>14.65662</v>
      </c>
      <c r="H250" s="642">
        <f t="shared" si="42"/>
        <v>680.28840000000002</v>
      </c>
      <c r="I250" s="642">
        <f t="shared" si="42"/>
        <v>74061.055211999992</v>
      </c>
      <c r="J250" s="642">
        <f t="shared" si="42"/>
        <v>0</v>
      </c>
      <c r="K250" s="635">
        <f>SQRT(SUMSQ(K234:K249))</f>
        <v>3214.9156058606336</v>
      </c>
      <c r="L250" s="642">
        <f>SUM(L234:L249)</f>
        <v>0</v>
      </c>
      <c r="M250" s="933"/>
      <c r="N250" s="933"/>
      <c r="O250" s="933"/>
      <c r="P250" s="113"/>
      <c r="Q250" s="113"/>
      <c r="R250" s="113"/>
      <c r="S250" s="113"/>
      <c r="T250" s="113"/>
      <c r="U250" s="113"/>
      <c r="V250" s="113"/>
      <c r="W250" s="113"/>
      <c r="X250" s="113"/>
      <c r="Y250" s="817"/>
      <c r="Z250" s="817"/>
      <c r="AA250" s="113"/>
      <c r="AB250" s="113"/>
      <c r="AC250" s="113"/>
      <c r="AE250" s="113"/>
      <c r="AF250" s="576"/>
      <c r="AG250" s="576"/>
      <c r="AH250" s="576"/>
      <c r="AI250" s="576"/>
      <c r="AJ250" s="576"/>
      <c r="AK250" s="576"/>
      <c r="AL250" s="576"/>
      <c r="AM250" s="576"/>
      <c r="AN250" s="1240"/>
      <c r="AO250" s="1240"/>
      <c r="AP250" s="576"/>
      <c r="AQ250" s="576"/>
      <c r="AR250" s="113"/>
      <c r="AS250" s="113"/>
      <c r="AT250" s="113"/>
      <c r="AU250" s="113"/>
      <c r="AV250" s="113"/>
      <c r="AW250" s="113"/>
      <c r="AX250" s="113"/>
      <c r="AY250" s="113"/>
      <c r="AZ250" s="113"/>
      <c r="BA250" s="113"/>
      <c r="BB250" s="113"/>
      <c r="BC250" s="113"/>
      <c r="BD250" s="113"/>
    </row>
    <row r="251" spans="1:56" s="418" customFormat="1" ht="14.25" customHeight="1" outlineLevel="1">
      <c r="A251" s="113"/>
      <c r="B251" s="137"/>
      <c r="C251" s="137"/>
      <c r="D251" s="137"/>
      <c r="E251" s="137"/>
      <c r="F251" s="138"/>
      <c r="G251" s="138"/>
      <c r="H251" s="138"/>
      <c r="I251" s="1976"/>
      <c r="J251" s="137"/>
      <c r="K251" s="138"/>
      <c r="L251" s="138"/>
      <c r="M251" s="138"/>
      <c r="N251" s="138"/>
      <c r="O251" s="113"/>
      <c r="P251" s="113"/>
      <c r="Q251" s="113"/>
      <c r="R251" s="113"/>
      <c r="S251" s="113"/>
      <c r="T251" s="113"/>
      <c r="U251" s="113"/>
      <c r="V251" s="113"/>
      <c r="W251" s="113"/>
      <c r="X251" s="113"/>
      <c r="Y251" s="817"/>
      <c r="Z251" s="817"/>
      <c r="AA251" s="113"/>
      <c r="AB251" s="113"/>
      <c r="AC251" s="113"/>
      <c r="AE251" s="113"/>
      <c r="AF251" s="576"/>
      <c r="AG251" s="576"/>
      <c r="AH251" s="576"/>
      <c r="AI251" s="576"/>
      <c r="AJ251" s="576"/>
      <c r="AK251" s="576"/>
      <c r="AL251" s="576"/>
      <c r="AM251" s="576"/>
      <c r="AN251" s="1240"/>
      <c r="AO251" s="1240"/>
      <c r="AP251" s="576"/>
      <c r="AQ251" s="576"/>
      <c r="AR251" s="113"/>
      <c r="AS251" s="113"/>
      <c r="AT251" s="113"/>
      <c r="AU251" s="113"/>
      <c r="AV251" s="113"/>
      <c r="AW251" s="113"/>
      <c r="AX251" s="113"/>
      <c r="AY251" s="113"/>
      <c r="AZ251" s="113"/>
      <c r="BA251" s="113"/>
      <c r="BB251" s="113"/>
      <c r="BC251" s="113"/>
      <c r="BD251" s="113"/>
    </row>
    <row r="252" spans="1:56" s="418" customFormat="1" collapsed="1">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817"/>
      <c r="Z252" s="817"/>
      <c r="AA252" s="113"/>
      <c r="AB252" s="113"/>
      <c r="AC252" s="113"/>
      <c r="AE252" s="113"/>
      <c r="AF252" s="576"/>
      <c r="AG252" s="576"/>
      <c r="AH252" s="576"/>
      <c r="AI252" s="576"/>
      <c r="AJ252" s="576"/>
      <c r="AK252" s="576"/>
      <c r="AL252" s="576"/>
      <c r="AM252" s="576"/>
      <c r="AN252" s="1240"/>
      <c r="AO252" s="1240"/>
      <c r="AP252" s="576"/>
      <c r="AQ252" s="576"/>
      <c r="AR252" s="113"/>
      <c r="AS252" s="113"/>
      <c r="AT252" s="113"/>
      <c r="AU252" s="113"/>
      <c r="AV252" s="113"/>
      <c r="AW252" s="113"/>
      <c r="AX252" s="113"/>
      <c r="AY252" s="113"/>
      <c r="AZ252" s="113"/>
      <c r="BA252" s="113"/>
      <c r="BB252" s="113"/>
      <c r="BC252" s="113"/>
      <c r="BD252" s="113"/>
    </row>
    <row r="253" spans="1:56" s="418" customFormat="1" ht="15.6" collapsed="1">
      <c r="A253" s="113"/>
      <c r="B253" s="2698" t="s">
        <v>721</v>
      </c>
      <c r="C253" s="2699"/>
      <c r="D253" s="2699"/>
      <c r="E253" s="2699"/>
      <c r="F253" s="2699"/>
      <c r="G253" s="2699"/>
      <c r="H253" s="2699"/>
      <c r="I253" s="2699"/>
      <c r="J253" s="2699"/>
      <c r="K253" s="2699"/>
      <c r="L253" s="2699"/>
      <c r="M253" s="2699"/>
      <c r="N253" s="2699"/>
      <c r="O253" s="2700"/>
      <c r="P253" s="113"/>
      <c r="Q253" s="113"/>
      <c r="R253" s="113"/>
      <c r="S253" s="113"/>
      <c r="T253" s="113"/>
      <c r="U253" s="113"/>
      <c r="V253" s="113"/>
      <c r="W253" s="113"/>
      <c r="X253" s="113"/>
      <c r="Y253" s="817"/>
      <c r="Z253" s="817"/>
      <c r="AA253" s="113"/>
      <c r="AB253" s="113"/>
      <c r="AC253" s="113"/>
      <c r="AE253" s="113"/>
      <c r="AF253" s="576"/>
      <c r="AG253" s="576"/>
      <c r="AH253" s="576"/>
      <c r="AI253" s="576"/>
      <c r="AJ253" s="576"/>
      <c r="AK253" s="576"/>
      <c r="AL253" s="576"/>
      <c r="AM253" s="576"/>
      <c r="AN253" s="1240"/>
      <c r="AO253" s="1240"/>
      <c r="AP253" s="576"/>
      <c r="AQ253" s="576"/>
      <c r="AR253" s="113"/>
      <c r="AS253" s="576"/>
      <c r="AT253" s="576"/>
      <c r="AU253" s="576"/>
      <c r="AV253" s="576"/>
      <c r="AW253" s="576"/>
      <c r="AX253" s="576"/>
      <c r="AY253" s="113"/>
      <c r="AZ253" s="113"/>
      <c r="BA253" s="113"/>
      <c r="BB253" s="113"/>
      <c r="BC253" s="113"/>
      <c r="BD253" s="113"/>
    </row>
    <row r="254" spans="1:56" s="418" customFormat="1" hidden="1" outlineLevel="1">
      <c r="A254" s="113"/>
      <c r="B254" s="113"/>
      <c r="C254" s="113"/>
      <c r="D254" s="113"/>
      <c r="E254" s="113"/>
      <c r="F254" s="113"/>
      <c r="G254" s="113"/>
      <c r="H254" s="113"/>
      <c r="I254" s="113"/>
      <c r="J254" s="113"/>
      <c r="K254" s="113"/>
      <c r="L254" s="113"/>
      <c r="M254" s="113"/>
      <c r="N254" s="113"/>
      <c r="O254" s="113"/>
      <c r="P254" s="113"/>
      <c r="Q254" s="908"/>
      <c r="R254" s="908"/>
      <c r="S254" s="113"/>
      <c r="T254" s="113"/>
      <c r="U254" s="113"/>
      <c r="V254" s="113"/>
      <c r="W254" s="113"/>
      <c r="X254" s="113"/>
      <c r="Y254" s="817"/>
      <c r="Z254" s="817"/>
      <c r="AA254" s="113"/>
      <c r="AB254" s="113"/>
      <c r="AC254" s="113"/>
      <c r="AE254" s="113"/>
      <c r="AF254" s="576"/>
      <c r="AG254" s="576"/>
      <c r="AH254" s="576"/>
      <c r="AI254" s="576"/>
      <c r="AJ254" s="576"/>
      <c r="AK254" s="576"/>
      <c r="AL254" s="576"/>
      <c r="AM254" s="576"/>
      <c r="AN254" s="1240"/>
      <c r="AO254" s="1240"/>
      <c r="AP254" s="576"/>
      <c r="AQ254" s="576"/>
      <c r="AR254" s="113"/>
      <c r="AS254" s="576"/>
      <c r="AT254" s="576"/>
      <c r="AU254" s="576"/>
      <c r="AV254" s="576"/>
      <c r="AW254" s="576"/>
      <c r="AX254" s="576"/>
      <c r="AY254" s="113"/>
      <c r="AZ254" s="113"/>
      <c r="BA254" s="113"/>
      <c r="BB254" s="113"/>
      <c r="BC254" s="113"/>
      <c r="BD254" s="113"/>
    </row>
    <row r="255" spans="1:56" s="418" customFormat="1" ht="38.25" hidden="1" customHeight="1" outlineLevel="1">
      <c r="A255" s="113"/>
      <c r="B255" s="205"/>
      <c r="C255" s="205"/>
      <c r="D255" s="205"/>
      <c r="E255" s="2701" t="s">
        <v>448</v>
      </c>
      <c r="F255" s="2702"/>
      <c r="G255" s="2702"/>
      <c r="H255" s="2702"/>
      <c r="I255" s="2702"/>
      <c r="J255" s="2702"/>
      <c r="K255" s="2702"/>
      <c r="L255" s="2702"/>
      <c r="M255" s="2702"/>
      <c r="N255" s="2703"/>
      <c r="O255" s="1843" t="s">
        <v>440</v>
      </c>
      <c r="P255" s="113"/>
      <c r="Q255" s="908"/>
      <c r="R255" s="908"/>
      <c r="S255" s="113"/>
      <c r="T255" s="113"/>
      <c r="U255" s="113"/>
      <c r="V255" s="113"/>
      <c r="W255" s="113"/>
      <c r="X255" s="113"/>
      <c r="Y255" s="817"/>
      <c r="Z255" s="817"/>
      <c r="AA255" s="113"/>
      <c r="AB255" s="113"/>
      <c r="AC255" s="113"/>
      <c r="AE255" s="113"/>
      <c r="AF255" s="576"/>
      <c r="AG255" s="576"/>
      <c r="AH255" s="576"/>
      <c r="AI255" s="576"/>
      <c r="AJ255" s="576"/>
      <c r="AK255" s="576"/>
      <c r="AL255" s="576"/>
      <c r="AM255" s="576"/>
      <c r="AN255" s="1240"/>
      <c r="AO255" s="1240"/>
      <c r="AP255" s="576"/>
      <c r="AQ255" s="576"/>
      <c r="AR255" s="113"/>
      <c r="AS255" s="576"/>
      <c r="AT255" s="576"/>
      <c r="AU255" s="576"/>
      <c r="AV255" s="576"/>
      <c r="AW255" s="576"/>
      <c r="AX255" s="576"/>
      <c r="AY255" s="113"/>
      <c r="AZ255" s="113"/>
      <c r="BA255" s="113"/>
      <c r="BB255" s="113"/>
      <c r="BC255" s="113"/>
      <c r="BD255" s="113"/>
    </row>
    <row r="256" spans="1:56" s="418" customFormat="1" ht="25.5" hidden="1" customHeight="1" outlineLevel="1">
      <c r="A256" s="113"/>
      <c r="B256" s="2701" t="s">
        <v>438</v>
      </c>
      <c r="C256" s="2703"/>
      <c r="D256" s="867" t="s">
        <v>458</v>
      </c>
      <c r="E256" s="866" t="s">
        <v>853</v>
      </c>
      <c r="F256" s="866" t="s">
        <v>854</v>
      </c>
      <c r="G256" s="866" t="s">
        <v>855</v>
      </c>
      <c r="H256" s="866" t="s">
        <v>858</v>
      </c>
      <c r="I256" s="866" t="s">
        <v>859</v>
      </c>
      <c r="J256" s="866" t="s">
        <v>860</v>
      </c>
      <c r="K256" s="866" t="s">
        <v>852</v>
      </c>
      <c r="L256" s="867" t="s">
        <v>513</v>
      </c>
      <c r="M256" s="866" t="s">
        <v>856</v>
      </c>
      <c r="N256" s="866" t="s">
        <v>514</v>
      </c>
      <c r="O256" s="867" t="s">
        <v>513</v>
      </c>
      <c r="P256" s="113"/>
      <c r="Q256" s="908"/>
      <c r="R256" s="908"/>
      <c r="S256" s="113"/>
      <c r="T256" s="113"/>
      <c r="U256" s="113"/>
      <c r="V256" s="113"/>
      <c r="W256" s="113"/>
      <c r="X256" s="113"/>
      <c r="Y256" s="113"/>
      <c r="Z256" s="113"/>
      <c r="AA256" s="113"/>
      <c r="AB256" s="113"/>
      <c r="AC256" s="817"/>
      <c r="AD256" s="1638"/>
      <c r="AE256" s="113"/>
      <c r="AF256" s="113"/>
      <c r="AG256" s="113"/>
      <c r="AH256" s="113"/>
      <c r="AI256" s="576"/>
      <c r="AJ256" s="576"/>
      <c r="AK256" s="576"/>
      <c r="AL256" s="576"/>
      <c r="AM256" s="576"/>
      <c r="AN256" s="1240"/>
      <c r="AO256" s="1240"/>
      <c r="AP256" s="576"/>
      <c r="AQ256" s="576"/>
      <c r="AR256" s="576"/>
      <c r="AS256" s="576"/>
      <c r="AT256" s="576"/>
      <c r="AU256" s="576"/>
      <c r="AV256" s="576"/>
      <c r="AW256" s="576"/>
      <c r="AX256" s="576"/>
      <c r="AY256" s="113"/>
      <c r="AZ256" s="113"/>
      <c r="BA256" s="113"/>
      <c r="BB256" s="113"/>
      <c r="BC256" s="113"/>
      <c r="BD256" s="113"/>
    </row>
    <row r="257" spans="1:56" s="418" customFormat="1" ht="12.75" hidden="1" customHeight="1" outlineLevel="1">
      <c r="A257" s="113"/>
      <c r="B257" s="2704" t="s">
        <v>459</v>
      </c>
      <c r="C257" s="2705"/>
      <c r="D257" s="861" t="s">
        <v>727</v>
      </c>
      <c r="E257" s="855">
        <f>SUMIF($E$9:$E$52,Utilitaires!$C$572,AF9:AF52)+SUMIF($E$9:$E$52,Utilitaires!$C$577,AF9:AF52)</f>
        <v>302942.59600000002</v>
      </c>
      <c r="F257" s="855">
        <f>SUMIF($E$9:$E$52,Utilitaires!$C$572,AH9:AH52)+SUMIF($E$9:$E$52,Utilitaires!$C$577,AH9:AH52)</f>
        <v>234.29999999999998</v>
      </c>
      <c r="G257" s="855">
        <f>SUMIF($E$9:$E$52,Utilitaires!$C$572,AJ9:AJ52)+SUMIF($E$9:$E$52,Utilitaires!$C$577,AJ9:AJ52)</f>
        <v>1577.381916</v>
      </c>
      <c r="H257" s="855">
        <v>0</v>
      </c>
      <c r="I257" s="855">
        <v>0</v>
      </c>
      <c r="J257" s="855">
        <v>0</v>
      </c>
      <c r="K257" s="855">
        <v>0</v>
      </c>
      <c r="L257" s="864">
        <f>SUM(E257:K257)</f>
        <v>304754.27791599999</v>
      </c>
      <c r="M257" s="853">
        <f ca="1">SUMIF($E$9:$E$52,Utilitaires!$C$572,AP9:AP40)+SUMIF($E$9:$E$52,Utilitaires!$C$577,AP9:AP40)</f>
        <v>0</v>
      </c>
      <c r="N257" s="858">
        <f>SQRT(SUMPRODUCT(($E$9:$E$52=Utilitaires!$C$572)*1,AA9:AA52,AA9:AA52)+SUMPRODUCT(($E$9:$E$52=Utilitaires!$C$577)*1,AA9:AA52,AA9:AA52))</f>
        <v>14749.06855465958</v>
      </c>
      <c r="O257" s="857"/>
      <c r="P257" s="113"/>
      <c r="Q257" s="113"/>
      <c r="R257" s="113"/>
      <c r="S257" s="113"/>
      <c r="T257" s="113"/>
      <c r="U257" s="113"/>
      <c r="V257" s="113"/>
      <c r="W257" s="113"/>
      <c r="X257" s="113"/>
      <c r="Y257" s="113"/>
      <c r="Z257" s="113"/>
      <c r="AA257" s="113"/>
      <c r="AB257" s="113"/>
      <c r="AC257" s="817"/>
      <c r="AD257" s="1638"/>
      <c r="AE257" s="113"/>
      <c r="AF257" s="113"/>
      <c r="AG257" s="113"/>
      <c r="AH257" s="113"/>
      <c r="AI257" s="576"/>
      <c r="AJ257" s="576"/>
      <c r="AK257" s="576"/>
      <c r="AL257" s="576"/>
      <c r="AM257" s="576"/>
      <c r="AN257" s="1240"/>
      <c r="AO257" s="1240"/>
      <c r="AP257" s="576"/>
      <c r="AQ257" s="576"/>
      <c r="AR257" s="576"/>
      <c r="AS257" s="576"/>
      <c r="AT257" s="576"/>
      <c r="AU257" s="576"/>
      <c r="AV257" s="576"/>
      <c r="AW257" s="576"/>
      <c r="AX257" s="576"/>
      <c r="AY257" s="113"/>
      <c r="AZ257" s="113"/>
      <c r="BA257" s="113"/>
      <c r="BB257" s="113"/>
      <c r="BC257" s="113"/>
      <c r="BD257" s="113"/>
    </row>
    <row r="258" spans="1:56" s="418" customFormat="1" ht="12.75" hidden="1" customHeight="1" outlineLevel="1">
      <c r="A258" s="113"/>
      <c r="B258" s="2704" t="s">
        <v>722</v>
      </c>
      <c r="C258" s="2705"/>
      <c r="D258" s="862" t="s">
        <v>728</v>
      </c>
      <c r="E258" s="855"/>
      <c r="F258" s="855"/>
      <c r="G258" s="855"/>
      <c r="H258" s="855"/>
      <c r="I258" s="855"/>
      <c r="J258" s="855"/>
      <c r="K258" s="855"/>
      <c r="L258" s="864"/>
      <c r="M258" s="853"/>
      <c r="N258" s="858"/>
      <c r="O258" s="857"/>
      <c r="P258" s="113"/>
      <c r="Q258" s="113"/>
      <c r="R258" s="113"/>
      <c r="S258" s="113"/>
      <c r="T258" s="113"/>
      <c r="U258" s="113"/>
      <c r="V258" s="113"/>
      <c r="W258" s="113"/>
      <c r="X258" s="113"/>
      <c r="Y258" s="113"/>
      <c r="Z258" s="113"/>
      <c r="AA258" s="113"/>
      <c r="AB258" s="113"/>
      <c r="AC258" s="817"/>
      <c r="AD258" s="1638"/>
      <c r="AE258" s="113"/>
      <c r="AF258" s="113"/>
      <c r="AG258" s="113"/>
      <c r="AH258" s="113"/>
      <c r="AI258" s="576"/>
      <c r="AJ258" s="576"/>
      <c r="AK258" s="576"/>
      <c r="AL258" s="576"/>
      <c r="AM258" s="576"/>
      <c r="AN258" s="1240"/>
      <c r="AO258" s="1240"/>
      <c r="AP258" s="576"/>
      <c r="AQ258" s="576"/>
      <c r="AR258" s="576"/>
      <c r="AS258" s="576"/>
      <c r="AT258" s="576"/>
      <c r="AU258" s="576"/>
      <c r="AV258" s="576"/>
      <c r="AW258" s="576"/>
      <c r="AX258" s="576"/>
      <c r="AY258" s="113"/>
      <c r="AZ258" s="113"/>
      <c r="BA258" s="113"/>
      <c r="BB258" s="113"/>
      <c r="BC258" s="113"/>
      <c r="BD258" s="113"/>
    </row>
    <row r="259" spans="1:56" s="418" customFormat="1" ht="12.75" hidden="1" customHeight="1" outlineLevel="1">
      <c r="A259" s="113"/>
      <c r="B259" s="2704" t="s">
        <v>723</v>
      </c>
      <c r="C259" s="2705"/>
      <c r="D259" s="862" t="s">
        <v>729</v>
      </c>
      <c r="E259" s="855"/>
      <c r="F259" s="855"/>
      <c r="G259" s="855"/>
      <c r="H259" s="855"/>
      <c r="I259" s="855"/>
      <c r="J259" s="855"/>
      <c r="K259" s="855"/>
      <c r="L259" s="864"/>
      <c r="M259" s="853"/>
      <c r="N259" s="858"/>
      <c r="O259" s="857"/>
      <c r="P259" s="576"/>
      <c r="Q259" s="113"/>
      <c r="R259" s="113"/>
      <c r="S259" s="113"/>
      <c r="T259" s="113"/>
      <c r="U259" s="113"/>
      <c r="V259" s="113"/>
      <c r="W259" s="113"/>
      <c r="X259" s="113"/>
      <c r="Y259" s="113"/>
      <c r="Z259" s="113"/>
      <c r="AA259" s="113"/>
      <c r="AB259" s="113"/>
      <c r="AC259" s="817"/>
      <c r="AD259" s="1638"/>
      <c r="AE259" s="113"/>
      <c r="AF259" s="113"/>
      <c r="AG259" s="113"/>
      <c r="AH259" s="113"/>
      <c r="AI259" s="576"/>
      <c r="AJ259" s="576"/>
      <c r="AK259" s="576"/>
      <c r="AL259" s="576"/>
      <c r="AM259" s="576"/>
      <c r="AN259" s="1240"/>
      <c r="AO259" s="1240"/>
      <c r="AP259" s="576"/>
      <c r="AQ259" s="576"/>
      <c r="AR259" s="576"/>
      <c r="AS259" s="576"/>
      <c r="AT259" s="576"/>
      <c r="AU259" s="576"/>
      <c r="AV259" s="576"/>
      <c r="AW259" s="576"/>
      <c r="AX259" s="576"/>
      <c r="AY259" s="113"/>
      <c r="AZ259" s="113"/>
      <c r="BA259" s="113"/>
      <c r="BB259" s="113"/>
      <c r="BC259" s="113"/>
      <c r="BD259" s="113"/>
    </row>
    <row r="260" spans="1:56" s="418" customFormat="1" ht="12.75" hidden="1" customHeight="1" outlineLevel="1">
      <c r="A260" s="113"/>
      <c r="B260" s="2704" t="s">
        <v>462</v>
      </c>
      <c r="C260" s="2705"/>
      <c r="D260" s="862" t="s">
        <v>730</v>
      </c>
      <c r="E260" s="855"/>
      <c r="F260" s="855"/>
      <c r="G260" s="855"/>
      <c r="H260" s="855"/>
      <c r="I260" s="855"/>
      <c r="J260" s="855"/>
      <c r="K260" s="855"/>
      <c r="L260" s="864"/>
      <c r="M260" s="853"/>
      <c r="N260" s="858"/>
      <c r="O260" s="857"/>
      <c r="P260" s="113"/>
      <c r="Q260" s="113"/>
      <c r="R260" s="113"/>
      <c r="S260" s="113"/>
      <c r="T260" s="113"/>
      <c r="U260" s="113"/>
      <c r="V260" s="113"/>
      <c r="W260" s="113"/>
      <c r="X260" s="113"/>
      <c r="Y260" s="113"/>
      <c r="Z260" s="113"/>
      <c r="AA260" s="113"/>
      <c r="AB260" s="113"/>
      <c r="AC260" s="817"/>
      <c r="AD260" s="1638"/>
      <c r="AE260" s="113"/>
      <c r="AF260" s="113"/>
      <c r="AG260" s="113"/>
      <c r="AH260" s="113"/>
      <c r="AI260" s="576"/>
      <c r="AJ260" s="576"/>
      <c r="AK260" s="576"/>
      <c r="AL260" s="576"/>
      <c r="AM260" s="576"/>
      <c r="AN260" s="1240"/>
      <c r="AO260" s="1240"/>
      <c r="AP260" s="576"/>
      <c r="AQ260" s="576"/>
      <c r="AR260" s="576"/>
      <c r="AS260" s="576"/>
      <c r="AT260" s="576"/>
      <c r="AU260" s="576"/>
      <c r="AV260" s="576"/>
      <c r="AW260" s="576"/>
      <c r="AX260" s="576"/>
      <c r="AY260" s="113"/>
      <c r="AZ260" s="113"/>
      <c r="BA260" s="113"/>
      <c r="BB260" s="113"/>
      <c r="BC260" s="113"/>
      <c r="BD260" s="113"/>
    </row>
    <row r="261" spans="1:56" s="418" customFormat="1" ht="12.75" hidden="1" customHeight="1" outlineLevel="1">
      <c r="A261" s="113"/>
      <c r="B261" s="2710" t="s">
        <v>726</v>
      </c>
      <c r="C261" s="2711"/>
      <c r="D261" s="2712"/>
      <c r="E261" s="852">
        <f t="shared" ref="E261:O261" si="43">SUM(E257:E260)</f>
        <v>302942.59600000002</v>
      </c>
      <c r="F261" s="852">
        <f t="shared" si="43"/>
        <v>234.29999999999998</v>
      </c>
      <c r="G261" s="852">
        <f t="shared" si="43"/>
        <v>1577.381916</v>
      </c>
      <c r="H261" s="852">
        <f t="shared" si="43"/>
        <v>0</v>
      </c>
      <c r="I261" s="852">
        <f t="shared" si="43"/>
        <v>0</v>
      </c>
      <c r="J261" s="852">
        <f t="shared" si="43"/>
        <v>0</v>
      </c>
      <c r="K261" s="852">
        <f t="shared" si="43"/>
        <v>0</v>
      </c>
      <c r="L261" s="852">
        <f t="shared" si="43"/>
        <v>304754.27791599999</v>
      </c>
      <c r="M261" s="863">
        <f t="shared" ca="1" si="43"/>
        <v>0</v>
      </c>
      <c r="N261" s="859">
        <f>SQRT(SUMSQ(N257:N260))</f>
        <v>14749.06855465958</v>
      </c>
      <c r="O261" s="860">
        <f t="shared" si="43"/>
        <v>0</v>
      </c>
      <c r="P261" s="113"/>
      <c r="Q261" s="113"/>
      <c r="R261" s="113"/>
      <c r="S261" s="113"/>
      <c r="T261" s="113"/>
      <c r="U261" s="113"/>
      <c r="V261" s="113"/>
      <c r="W261" s="113"/>
      <c r="X261" s="113"/>
      <c r="Y261" s="113"/>
      <c r="Z261" s="113"/>
      <c r="AA261" s="113"/>
      <c r="AB261" s="113"/>
      <c r="AC261" s="817"/>
      <c r="AD261" s="1638"/>
      <c r="AE261" s="113"/>
      <c r="AF261" s="113"/>
      <c r="AG261" s="113"/>
      <c r="AH261" s="113"/>
      <c r="AI261" s="576"/>
      <c r="AJ261" s="576"/>
      <c r="AK261" s="576"/>
      <c r="AL261" s="576"/>
      <c r="AM261" s="576"/>
      <c r="AN261" s="1240"/>
      <c r="AO261" s="1240"/>
      <c r="AP261" s="576"/>
      <c r="AQ261" s="576"/>
      <c r="AR261" s="576"/>
      <c r="AS261" s="576"/>
      <c r="AT261" s="576"/>
      <c r="AU261" s="576"/>
      <c r="AV261" s="576"/>
      <c r="AW261" s="576"/>
      <c r="AX261" s="576"/>
      <c r="AY261" s="113"/>
      <c r="AZ261" s="113"/>
      <c r="BA261" s="113"/>
      <c r="BB261" s="113"/>
      <c r="BC261" s="113"/>
      <c r="BD261" s="113"/>
    </row>
    <row r="262" spans="1:56" s="418" customFormat="1" ht="12.75" hidden="1" customHeight="1" outlineLevel="1">
      <c r="A262" s="113"/>
      <c r="B262" s="2704" t="s">
        <v>464</v>
      </c>
      <c r="C262" s="2705"/>
      <c r="D262" s="862" t="s">
        <v>731</v>
      </c>
      <c r="E262" s="855">
        <f>SUMIF($E$82:$E$109,Utilitaires!$C$572,AF82:AF109)+SUMIF($E$82:$E$109,Utilitaires!$C$577,AF82:AF109)+
SUMIF($E$111:$E$174,Utilitaires!$C$572,AE111:AE174)+SUMIF($E$111:$E$174,Utilitaires!$C$577,AE111:AE174)+
SUMIF($E$180:$E$184,Utilitaires!$C$572,AF180:AF184)+SUMIF($E$180:$E$184,Utilitaires!$C$577,AF180:AF184)</f>
        <v>19289.968499999999</v>
      </c>
      <c r="F262" s="855">
        <f>SUMIF($E$82:$E$109,Utilitaires!$C$572,AH82:AH109)+SUMIF($E$82:$E$109,Utilitaires!$C$577,AH82:AH109)+SUMIF($E$111:$E$174,Utilitaires!$C$572,AF111:AF174)+SUMIF($E$111:$E$174,Utilitaires!$C$577,AF111:AF174)+SUMIF($E$180:$E$184,Utilitaires!$C$572,AH180:AH184)+SUMIF($E$180:$E$184,Utilitaires!$C$577,AH180:AH184)</f>
        <v>0</v>
      </c>
      <c r="G262" s="855">
        <f>SUMIF($E$82:$E$109,Utilitaires!$C$572,AJ82:AJ109)+SUMIF($E$82:$E$109,Utilitaires!$C$577,AJ82:AJ109)+SUMIF($E$111:$E$174,Utilitaires!$C$572,AG111:AG174)+SUMIF($E$111:$E$174,Utilitaires!$C$577,AG111:AG174)+SUMIF($E$180:$E$184,Utilitaires!$C$572,AJ180:AJ184)+SUMIF($E$180:$E$184,Utilitaires!$C$577,AJ180:AJ184)</f>
        <v>0</v>
      </c>
      <c r="H262" s="855">
        <v>0</v>
      </c>
      <c r="I262" s="855">
        <v>0</v>
      </c>
      <c r="J262" s="855">
        <v>0</v>
      </c>
      <c r="K262" s="855">
        <v>0</v>
      </c>
      <c r="L262" s="864">
        <f>SUM(E262:K262)</f>
        <v>19289.968499999999</v>
      </c>
      <c r="M262" s="853">
        <f>SUMIF($E$82:$E$109,Utilitaires!$C$572,AP82:AP109)+SUMIF($E$82:$E$109,Utilitaires!$C$577,AP82:AP109)+SUMIF($E$111:$E$174,Utilitaires!$C$572,AJ111:AJ174)+SUMIF($E$111:$E$174,Utilitaires!$C$577,AJ111:AJ174)+SUMIF($E$180:$E$184,Utilitaires!$C$572,AP180:AP184)+SUMIF($E$180:$E$184,Utilitaires!$C$577,AP180:AP184)</f>
        <v>0</v>
      </c>
      <c r="N262" s="858">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1928.99685</v>
      </c>
      <c r="O262" s="856"/>
      <c r="P262" s="113"/>
      <c r="Q262" s="113"/>
      <c r="R262" s="113"/>
      <c r="S262" s="113"/>
      <c r="T262" s="113"/>
      <c r="U262" s="113"/>
      <c r="V262" s="113"/>
      <c r="W262" s="113"/>
      <c r="X262" s="113"/>
      <c r="Y262" s="113"/>
      <c r="Z262" s="113"/>
      <c r="AA262" s="113"/>
      <c r="AB262" s="113"/>
      <c r="AC262" s="817"/>
      <c r="AD262" s="1638"/>
      <c r="AE262" s="113"/>
      <c r="AF262" s="113"/>
      <c r="AG262" s="113"/>
      <c r="AH262" s="113"/>
      <c r="AI262" s="576"/>
      <c r="AJ262" s="576"/>
      <c r="AK262" s="576"/>
      <c r="AL262" s="576"/>
      <c r="AM262" s="576"/>
      <c r="AN262" s="1240"/>
      <c r="AO262" s="1240"/>
      <c r="AP262" s="576"/>
      <c r="AQ262" s="576"/>
      <c r="AR262" s="576"/>
      <c r="AS262" s="576"/>
      <c r="AT262" s="576"/>
      <c r="AU262" s="576"/>
      <c r="AV262" s="576"/>
      <c r="AW262" s="576"/>
      <c r="AX262" s="576"/>
      <c r="AY262" s="113"/>
      <c r="AZ262" s="113"/>
      <c r="BA262" s="113"/>
      <c r="BB262" s="113"/>
      <c r="BC262" s="113"/>
      <c r="BD262" s="113"/>
    </row>
    <row r="263" spans="1:56" s="418" customFormat="1" ht="12.75" hidden="1" customHeight="1" outlineLevel="1">
      <c r="A263" s="113"/>
      <c r="B263" s="2708" t="s">
        <v>465</v>
      </c>
      <c r="C263" s="2709"/>
      <c r="D263" s="862" t="s">
        <v>732</v>
      </c>
      <c r="E263" s="855">
        <f>(1/(1+10%))*SUMIF($E$59:$E$77,Utilitaires!$C$572,AE59:AE77)+(1/(1+10%))*SUMIF($E$59:$E$77,Utilitaires!$C$577,AE59:AE77)</f>
        <v>0</v>
      </c>
      <c r="F263" s="855">
        <f>(1/(1+10%))*SUMIF($E$59:$E$77,Utilitaires!$C$572,AF59:AF77)+(1/(1+10%))*SUMIF($E$59:$E$77,Utilitaires!$C$577,AF59:AF77)</f>
        <v>0</v>
      </c>
      <c r="G263" s="855">
        <f>(1/(1+10%))*SUMIF($E$59:$E$77,Utilitaires!$C$572,AG59:AG77)+(1/(1+10%))*SUMIF($E$59:$E$77,Utilitaires!$C$577,AG59:AG77)</f>
        <v>0</v>
      </c>
      <c r="H263" s="855">
        <v>0</v>
      </c>
      <c r="I263" s="855">
        <v>0</v>
      </c>
      <c r="J263" s="855">
        <v>0</v>
      </c>
      <c r="K263" s="855">
        <v>0</v>
      </c>
      <c r="L263" s="864">
        <f>SUM(E263:K263)</f>
        <v>0</v>
      </c>
      <c r="M263" s="853">
        <f>(1/(1+10%))*SUMIF($E$59:$E$77,Utilitaires!$C$572,AJ59:AJ77)+(1/(1+10%))*SUMIF($E$59:$E$77,Utilitaires!$C$577,AJ59:AJ77)</f>
        <v>0</v>
      </c>
      <c r="N263" s="858">
        <f>(1/SQRT((1+10%^2)))*SQRT(SUMPRODUCT(($E$59:$E$67=Utilitaires!$C$572)*1,AB59:AB67,AB59:AB67)+SUMPRODUCT(($E$59:$E$67=Utilitaires!$C$577)*1,AB59:AB67,AB59:AB67)+SUMPRODUCT(($E$69:$E$77=Utilitaires!$C$572)*1,AB69:AB77,AB69:AB77)+SUMPRODUCT(($E$69:$E$77=Utilitaires!$C$577)*1,AB69:AB77,AB69:AB77))</f>
        <v>0</v>
      </c>
      <c r="O263" s="856"/>
      <c r="P263" s="817"/>
      <c r="Q263" s="113"/>
      <c r="R263" s="113"/>
      <c r="S263" s="113"/>
      <c r="T263" s="113"/>
      <c r="U263" s="113"/>
      <c r="V263" s="113"/>
      <c r="W263" s="113"/>
      <c r="X263" s="113"/>
      <c r="Y263" s="113"/>
      <c r="Z263" s="113"/>
      <c r="AA263" s="113"/>
      <c r="AB263" s="113"/>
      <c r="AC263" s="817"/>
      <c r="AD263" s="1638"/>
      <c r="AE263" s="113"/>
      <c r="AF263" s="113"/>
      <c r="AG263" s="113"/>
      <c r="AH263" s="113"/>
      <c r="AI263" s="576"/>
      <c r="AJ263" s="576"/>
      <c r="AK263" s="576"/>
      <c r="AL263" s="576"/>
      <c r="AM263" s="576"/>
      <c r="AN263" s="1240"/>
      <c r="AO263" s="1240"/>
      <c r="AP263" s="576"/>
      <c r="AQ263" s="576"/>
      <c r="AR263" s="576"/>
      <c r="AS263" s="576"/>
      <c r="AT263" s="576"/>
      <c r="AU263" s="576"/>
      <c r="AV263" s="576"/>
      <c r="AW263" s="576"/>
      <c r="AX263" s="576"/>
      <c r="AY263" s="113"/>
      <c r="AZ263" s="113"/>
      <c r="BA263" s="113"/>
      <c r="BB263" s="113"/>
      <c r="BC263" s="113"/>
      <c r="BD263" s="113"/>
    </row>
    <row r="264" spans="1:56" s="418" customFormat="1" ht="12.75" hidden="1" customHeight="1" outlineLevel="1">
      <c r="A264" s="113"/>
      <c r="B264" s="2710" t="s">
        <v>725</v>
      </c>
      <c r="C264" s="2711"/>
      <c r="D264" s="2712"/>
      <c r="E264" s="852">
        <f t="shared" ref="E264:K264" si="44">SUM(E262:E263)</f>
        <v>19289.968499999999</v>
      </c>
      <c r="F264" s="852">
        <f t="shared" si="44"/>
        <v>0</v>
      </c>
      <c r="G264" s="852">
        <f t="shared" si="44"/>
        <v>0</v>
      </c>
      <c r="H264" s="852">
        <f t="shared" si="44"/>
        <v>0</v>
      </c>
      <c r="I264" s="852">
        <f t="shared" si="44"/>
        <v>0</v>
      </c>
      <c r="J264" s="852">
        <f t="shared" si="44"/>
        <v>0</v>
      </c>
      <c r="K264" s="852">
        <f t="shared" si="44"/>
        <v>0</v>
      </c>
      <c r="L264" s="852">
        <f>SUM(L262:L263)</f>
        <v>19289.968499999999</v>
      </c>
      <c r="M264" s="863">
        <f>SUM(M262:M263)</f>
        <v>0</v>
      </c>
      <c r="N264" s="859">
        <f>SQRT(SUMSQ(N262:N263))</f>
        <v>1928.99685</v>
      </c>
      <c r="O264" s="860">
        <f>SUM(O262:O263)</f>
        <v>0</v>
      </c>
      <c r="P264" s="817"/>
      <c r="Q264" s="113"/>
      <c r="R264" s="113"/>
      <c r="S264" s="113"/>
      <c r="T264" s="113"/>
      <c r="U264" s="113"/>
      <c r="V264" s="113"/>
      <c r="W264" s="113"/>
      <c r="X264" s="113"/>
      <c r="Y264" s="113"/>
      <c r="Z264" s="113"/>
      <c r="AA264" s="113"/>
      <c r="AB264" s="113"/>
      <c r="AC264" s="817"/>
      <c r="AD264" s="1638"/>
      <c r="AE264" s="113"/>
      <c r="AF264" s="113"/>
      <c r="AG264" s="113"/>
      <c r="AH264" s="113"/>
      <c r="AI264" s="576"/>
      <c r="AJ264" s="576"/>
      <c r="AK264" s="576"/>
      <c r="AL264" s="576"/>
      <c r="AM264" s="576"/>
      <c r="AN264" s="1240"/>
      <c r="AO264" s="1240"/>
      <c r="AP264" s="576"/>
      <c r="AQ264" s="576"/>
      <c r="AR264" s="576"/>
      <c r="AS264" s="576"/>
      <c r="AT264" s="576"/>
      <c r="AU264" s="576"/>
      <c r="AV264" s="576"/>
      <c r="AW264" s="576"/>
      <c r="AX264" s="576"/>
      <c r="AY264" s="113"/>
      <c r="AZ264" s="113"/>
      <c r="BA264" s="113"/>
      <c r="BB264" s="113"/>
      <c r="BC264" s="113"/>
      <c r="BD264" s="113"/>
    </row>
    <row r="265" spans="1:56" s="418" customFormat="1" ht="12.75" hidden="1" customHeight="1" outlineLevel="1">
      <c r="A265" s="113"/>
      <c r="B265" s="2713" t="s">
        <v>757</v>
      </c>
      <c r="C265" s="2714"/>
      <c r="D265" s="2714"/>
      <c r="E265" s="2714"/>
      <c r="F265" s="2714"/>
      <c r="G265" s="2714"/>
      <c r="H265" s="2714"/>
      <c r="I265" s="2714"/>
      <c r="J265" s="2714"/>
      <c r="K265" s="2714"/>
      <c r="L265" s="2714"/>
      <c r="M265" s="2714"/>
      <c r="N265" s="2714"/>
      <c r="O265" s="2715"/>
      <c r="P265" s="817"/>
      <c r="Q265" s="113"/>
      <c r="R265" s="113"/>
      <c r="S265" s="113"/>
      <c r="T265" s="113"/>
      <c r="U265" s="113"/>
      <c r="V265" s="113"/>
      <c r="W265" s="113"/>
      <c r="X265" s="113"/>
      <c r="Y265" s="113"/>
      <c r="Z265" s="113"/>
      <c r="AA265" s="113"/>
      <c r="AB265" s="113"/>
      <c r="AC265" s="817"/>
      <c r="AD265" s="1638"/>
      <c r="AE265" s="113"/>
      <c r="AF265" s="113"/>
      <c r="AG265" s="113"/>
      <c r="AH265" s="113"/>
      <c r="AI265" s="576"/>
      <c r="AJ265" s="576"/>
      <c r="AK265" s="576"/>
      <c r="AL265" s="576"/>
      <c r="AM265" s="576"/>
      <c r="AN265" s="1240"/>
      <c r="AO265" s="1240"/>
      <c r="AP265" s="576"/>
      <c r="AQ265" s="576"/>
      <c r="AR265" s="576"/>
      <c r="AS265" s="576"/>
      <c r="AT265" s="576"/>
      <c r="AU265" s="576"/>
      <c r="AV265" s="576"/>
      <c r="AW265" s="576"/>
      <c r="AX265" s="576"/>
      <c r="AY265" s="113"/>
      <c r="AZ265" s="113"/>
      <c r="BA265" s="113"/>
      <c r="BB265" s="113"/>
      <c r="BC265" s="113"/>
      <c r="BD265" s="113"/>
    </row>
    <row r="266" spans="1:56" s="418" customFormat="1" ht="12.75" hidden="1" customHeight="1" outlineLevel="1">
      <c r="A266" s="113"/>
      <c r="B266" s="2704" t="s">
        <v>733</v>
      </c>
      <c r="C266" s="2705"/>
      <c r="D266" s="862" t="s">
        <v>741</v>
      </c>
      <c r="E266" s="855"/>
      <c r="F266" s="855"/>
      <c r="G266" s="855"/>
      <c r="H266" s="855"/>
      <c r="I266" s="855"/>
      <c r="J266" s="855"/>
      <c r="K266" s="855"/>
      <c r="L266" s="864"/>
      <c r="M266" s="853"/>
      <c r="N266" s="858"/>
      <c r="O266" s="856"/>
      <c r="P266" s="817"/>
      <c r="Q266" s="283"/>
      <c r="R266" s="935"/>
      <c r="S266" s="935"/>
      <c r="T266" s="113"/>
      <c r="U266" s="113"/>
      <c r="V266" s="113"/>
      <c r="W266" s="113"/>
      <c r="X266" s="113"/>
      <c r="Y266" s="113"/>
      <c r="Z266" s="113"/>
      <c r="AA266" s="113"/>
      <c r="AB266" s="113"/>
      <c r="AC266" s="817"/>
      <c r="AD266" s="1638"/>
      <c r="AE266" s="113"/>
      <c r="AF266" s="113"/>
      <c r="AG266" s="113"/>
      <c r="AH266" s="113"/>
      <c r="AI266" s="576"/>
      <c r="AJ266" s="576"/>
      <c r="AK266" s="576"/>
      <c r="AL266" s="576"/>
      <c r="AM266" s="576"/>
      <c r="AN266" s="1240"/>
      <c r="AO266" s="1240"/>
      <c r="AP266" s="576"/>
      <c r="AQ266" s="576"/>
      <c r="AR266" s="576"/>
      <c r="AS266" s="576"/>
      <c r="AT266" s="576"/>
      <c r="AU266" s="576"/>
      <c r="AV266" s="576"/>
      <c r="AW266" s="576"/>
      <c r="AX266" s="576"/>
      <c r="AY266" s="113"/>
      <c r="AZ266" s="113"/>
      <c r="BA266" s="113"/>
      <c r="BB266" s="113"/>
      <c r="BC266" s="113"/>
      <c r="BD266" s="113"/>
    </row>
    <row r="267" spans="1:56" s="418" customFormat="1" ht="12.75" hidden="1" customHeight="1" outlineLevel="1">
      <c r="A267" s="113"/>
      <c r="B267" s="2704" t="s">
        <v>734</v>
      </c>
      <c r="C267" s="2705"/>
      <c r="D267" s="862" t="s">
        <v>742</v>
      </c>
      <c r="E267" s="855"/>
      <c r="F267" s="855"/>
      <c r="G267" s="855"/>
      <c r="H267" s="855"/>
      <c r="I267" s="855"/>
      <c r="J267" s="855"/>
      <c r="K267" s="855"/>
      <c r="L267" s="864"/>
      <c r="M267" s="853"/>
      <c r="N267" s="858"/>
      <c r="O267" s="856"/>
      <c r="P267" s="817"/>
      <c r="Q267" s="936"/>
      <c r="R267" s="937"/>
      <c r="S267" s="937"/>
      <c r="T267" s="817"/>
      <c r="U267" s="817"/>
      <c r="V267" s="817"/>
      <c r="W267" s="113"/>
      <c r="X267" s="113"/>
      <c r="Y267" s="113"/>
      <c r="Z267" s="113"/>
      <c r="AA267" s="113"/>
      <c r="AB267" s="113"/>
      <c r="AC267" s="817"/>
      <c r="AD267" s="1638"/>
      <c r="AE267" s="113"/>
      <c r="AF267" s="113"/>
      <c r="AG267" s="113"/>
      <c r="AH267" s="113"/>
      <c r="AI267" s="576"/>
      <c r="AJ267" s="576"/>
      <c r="AK267" s="576"/>
      <c r="AL267" s="576"/>
      <c r="AM267" s="576"/>
      <c r="AN267" s="1240"/>
      <c r="AO267" s="1240"/>
      <c r="AP267" s="576"/>
      <c r="AQ267" s="576"/>
      <c r="AR267" s="576"/>
      <c r="AS267" s="576"/>
      <c r="AT267" s="576"/>
      <c r="AU267" s="576"/>
      <c r="AV267" s="576"/>
      <c r="AW267" s="576"/>
      <c r="AX267" s="576"/>
      <c r="AY267" s="113"/>
      <c r="AZ267" s="113"/>
      <c r="BA267" s="113"/>
      <c r="BB267" s="113"/>
      <c r="BC267" s="113"/>
      <c r="BD267" s="113"/>
    </row>
    <row r="268" spans="1:56" s="418" customFormat="1" ht="12.75" hidden="1" customHeight="1" outlineLevel="1">
      <c r="A268" s="113"/>
      <c r="B268" s="2708" t="s">
        <v>735</v>
      </c>
      <c r="C268" s="2709"/>
      <c r="D268" s="862" t="s">
        <v>743</v>
      </c>
      <c r="E268" s="855">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67500.7356</v>
      </c>
      <c r="F268" s="855">
        <f>SUMIF($E$9:$E$40,Utilitaires!$C$572,AG9:AG40)+SUMIF($E$9:$E$40,Utilitaires!$C$577,AG9:AG40)+
SUMIF($E$82:$E$109,Utilitaires!$C$572,AG82:AG109)+SUMIF($E$82:$E$109,Utilitaires!$C$577,AG82:AG109)+
$G190*SUMIF($E$111:$E$174,Utilitaires!$C$572,AF111:AF174)+$G190*SUMIF($E$111:$E$174,Utilitaires!$C$577,AF111:AF174)+(1+$G190)*SUMIF($E$180:$E$184,Utilitaires!$C$572,AG180:AG184)+(1+$G190)*SUMIF($E$180:$E$184,Utilitaires!$C$577,AG180:AG184)+$G190*SUMIF($E$180:$E$184,Utilitaires!$C$572,AH180:AH184)+$G190*SUMIF($E$180:$E$184,Utilitaires!$C$577,AH180:AH184)
+(10%/(1+10%))*SUMIF($E$59:$E$77,Utilitaires!$C$572,AF59:AF77)+(10%/(1+10%))*SUMIF($E$59:$E$77,Utilitaires!$C$577,AF59:AF77)</f>
        <v>5865.3745920000001</v>
      </c>
      <c r="G268" s="855">
        <f>SUMIF($E$9:$E$40,Utilitaires!$C$572,AI9:AI40)+SUMIF($E$9:$E$40,Utilitaires!$C$577,AI9:AI40)+SUMIF($E$82:$E$109,Utilitaires!$C$572,AI82:AI109)+SUMIF($E$82:$E$109,Utilitaires!$C$577,AI82:AI109)+$G190*SUMIF($E$111:$E$174,Utilitaires!$C$572,AG111:AG174)+$G190*SUMIF($E$111:$E$174,Utilitaires!$C$577,AG111:AG174)+(1+$G190)*SUMIF($E$180:$E$184,Utilitaires!$C$572,AI180:AI184)+(1+$G190)*SUMIF($E$180:$E$184,Utilitaires!$C$577,AI180:AI184)+$G190*SUMIF($E$180:$E$184,Utilitaires!$C$572,AJ180:AJ184)+$G190*SUMIF($E$180:$E$184,Utilitaires!$C$577,AJ180:AJ184)
+(10%/(1+10%))*SUMIF($E$59:$E$77,Utilitaires!$C$572,AG59:AG77)+(10%/(1+10%))*SUMIF($E$59:$E$77,Utilitaires!$C$577,AG59:AG77)</f>
        <v>14.65662</v>
      </c>
      <c r="H268" s="855">
        <v>0</v>
      </c>
      <c r="I268" s="855">
        <v>0</v>
      </c>
      <c r="J268" s="855">
        <v>0</v>
      </c>
      <c r="K268" s="855">
        <f>SUMIF($E$9:$E$40,Utilitaires!$C$572,AK9:AK40)+SUMIF($E$9:$E$40,Utilitaires!$C$577,AK9:AK40)+SUMIF($E$82:$E$109,Utilitaires!$C$572,AK82:AK109)+SUMIF($E$82:$E$109,Utilitaires!$C$577,AK82:AK109)+$G190*SUMIF($E$111:$E$174,Utilitaires!$C$572,AH111:AH174)+$G190*SUMIF($E$111:$E$174,Utilitaires!$C$577,AH111:AH174)+(1+$G190)*SUMIF($E$180:$E$184,Utilitaires!$C$572,AK180:AK184)+(1+$G190)*SUMIF($E$180:$E$184,Utilitaires!$C$577,AK180:AK184)+$G190*SUMIF($E$180:$E$184,Utilitaires!$C$572,AL180:AL184)+$G190*SUMIF($E$180:$E$184,Utilitaires!$C$577,AL180:AL184)
+(10%/(1+10%))*SUMIF($E$59:$E$77,Utilitaires!$C$572,AH59:AH77)+(10%/(1+10%))*SUMIF($E$59:$E$77,Utilitaires!$C$577,AH59:AH77)</f>
        <v>680.28840000000002</v>
      </c>
      <c r="L268" s="864">
        <f>SUM(E268:K268)</f>
        <v>74061.055211999992</v>
      </c>
      <c r="M268" s="853">
        <f>SUMIF($E$9:$E$40,Utilitaires!$C$572,AO9:AO40)+SUMIF($E$9:$E$40,Utilitaires!$C$577,AO9:AO40)+SUMIF($E$97:$E$109,Utilitaires!$C$572,AO97:AO109)+SUMIF($E$97:$E$109,Utilitaires!$C$577,AO97:AO109)+$G190*SUMIF($E$111:$E$174,Utilitaires!$C$572,AJ111:AJ174)+$G190*SUMIF($E$111:$E$174,Utilitaires!$C$577,AJ111:AJ174)+(1+$G190)*SUMIF($E$180:$E$184,Utilitaires!$C$572,AO180:AO184)+(1+$G190)*SUMIF($E$180:$E$184,Utilitaires!$C$577,AO180:AO184)+$G190*SUMIF($E$180:$E$184,Utilitaires!$C$572,AP180:AP184)+$G190*SUMIF($E$180:$E$184,Utilitaires!$C$577,AP180:AP184)
+(10%/(1+10%))*SUMIF($E$59:$E$77,Utilitaires!$C$572,AJ59:AJ77)+(10%/(1+10%))*SUMIF($E$59:$E$77,Utilitaires!$C$577,AJ59:AJ77)</f>
        <v>0</v>
      </c>
      <c r="N268" s="858">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+SUMPRODUCT(($E$59:$E$67=Utilitaires!$C$572)*1,AB59:AB67,AB59:AB67)+SUMPRODUCT(($E$59:$E$67=Utilitaires!$C$577)*1,AB59:AB67,AB59:AB67)+SUMPRODUCT(($E$69:$E$77=Utilitaires!$C$572)*1,AB69:AB77,AB69:AB77)+SUMPRODUCT(($E$69:$E$77=Utilitaires!$C$577)*1,AB69:AB77,AB69:AB77)-N263^2+
(1+$G190^2)*(SUMPRODUCT(($E$82:$E$109=Utilitaires!$C$572)*1,Z82:Z109,Z82:Z109)+SUMPRODUCT(($E$82:$E$109=Utilitaires!$C$577)*1,Z82:Z109,Z82:Z109))
+$G190^2*(SUMPRODUCT(($E$82:$E$109=Utilitaires!$C$572)*1,AA82:AA109,AA82:AA109)+SUMPRODUCT(($E$82:$E$109=Utilitaires!$C$577)*1,AA82:AA109,AA82:AA109)
+SUMPRODUCT(($E$111:$E$174=Utilitaires!$C$572)*1,Z111:Z174,Z111:Z174)+SUMPRODUCT(($E$111:$E$174=Utilitaires!$C$577)*1,Z111:Z174,Z111:Z174))
+(1+$G190^2)*(SUMPRODUCT(($E$180:$E$184=Utilitaires!$C$572)*1,Z180:Z184,Z180:Z184)+SUMPRODUCT(($E$180:$E$184=Utilitaires!$C$577)*1,Z180:Z184,Z180:Z184))
+$G190^2*(SUMPRODUCT(($E$180:$E$184=Utilitaires!$C$572)*1,AA180:AA184,AA180:AA184)+SUMPRODUCT(($E$180:$E$184=Utilitaires!$C$577)*1,AA180:AA184,AA180:AA184)))</f>
        <v>3214.9156058606336</v>
      </c>
      <c r="O268" s="856"/>
      <c r="P268" s="817"/>
      <c r="Q268" s="938"/>
      <c r="R268" s="937"/>
      <c r="S268" s="937"/>
      <c r="T268" s="817"/>
      <c r="U268" s="817"/>
      <c r="V268" s="817"/>
      <c r="W268" s="113"/>
      <c r="X268" s="113"/>
      <c r="Y268" s="113"/>
      <c r="Z268" s="113"/>
      <c r="AA268" s="113"/>
      <c r="AB268" s="113"/>
      <c r="AC268" s="817"/>
      <c r="AD268" s="1638"/>
      <c r="AE268" s="113"/>
      <c r="AF268" s="113"/>
      <c r="AG268" s="113"/>
      <c r="AH268" s="113"/>
      <c r="AI268" s="576"/>
      <c r="AJ268" s="576"/>
      <c r="AK268" s="576"/>
      <c r="AL268" s="576"/>
      <c r="AM268" s="576"/>
      <c r="AN268" s="1240"/>
      <c r="AO268" s="1240"/>
      <c r="AP268" s="576"/>
      <c r="AQ268" s="576"/>
      <c r="AR268" s="576"/>
      <c r="AS268" s="576"/>
      <c r="AT268" s="576"/>
      <c r="AU268" s="576"/>
      <c r="AV268" s="576"/>
      <c r="AW268" s="576"/>
      <c r="AX268" s="576"/>
      <c r="AY268" s="113"/>
      <c r="AZ268" s="113"/>
      <c r="BA268" s="113"/>
      <c r="BB268" s="113"/>
      <c r="BC268" s="113"/>
      <c r="BD268" s="113"/>
    </row>
    <row r="269" spans="1:56" s="418" customFormat="1" ht="12.75" hidden="1" customHeight="1" outlineLevel="1">
      <c r="A269" s="113"/>
      <c r="B269" s="2704" t="s">
        <v>815</v>
      </c>
      <c r="C269" s="2705"/>
      <c r="D269" s="862" t="s">
        <v>744</v>
      </c>
      <c r="E269" s="855"/>
      <c r="F269" s="855"/>
      <c r="G269" s="855"/>
      <c r="H269" s="855"/>
      <c r="I269" s="855"/>
      <c r="J269" s="855"/>
      <c r="K269" s="855"/>
      <c r="L269" s="864"/>
      <c r="M269" s="853"/>
      <c r="N269" s="858"/>
      <c r="O269" s="856"/>
      <c r="P269" s="113"/>
      <c r="Q269" s="936"/>
      <c r="R269" s="937"/>
      <c r="S269" s="937"/>
      <c r="T269" s="817"/>
      <c r="U269" s="817"/>
      <c r="V269" s="817"/>
      <c r="W269" s="113"/>
      <c r="X269" s="113"/>
      <c r="Y269" s="113"/>
      <c r="Z269" s="113"/>
      <c r="AA269" s="113"/>
      <c r="AB269" s="113"/>
      <c r="AC269" s="817"/>
      <c r="AD269" s="1638"/>
      <c r="AE269" s="113"/>
      <c r="AF269" s="113"/>
      <c r="AG269" s="113"/>
      <c r="AH269" s="113"/>
      <c r="AI269" s="576"/>
      <c r="AJ269" s="576"/>
      <c r="AK269" s="576"/>
      <c r="AL269" s="576"/>
      <c r="AM269" s="576"/>
      <c r="AN269" s="1240"/>
      <c r="AO269" s="1240"/>
      <c r="AP269" s="576"/>
      <c r="AQ269" s="576"/>
      <c r="AR269" s="576"/>
      <c r="AS269" s="576"/>
      <c r="AT269" s="576"/>
      <c r="AU269" s="576"/>
      <c r="AV269" s="576"/>
      <c r="AW269" s="576"/>
      <c r="AX269" s="576"/>
      <c r="AY269" s="113"/>
      <c r="AZ269" s="113"/>
      <c r="BA269" s="113"/>
      <c r="BB269" s="113"/>
      <c r="BC269" s="113"/>
      <c r="BD269" s="113"/>
    </row>
    <row r="270" spans="1:56" s="418" customFormat="1" ht="12.75" hidden="1" customHeight="1" outlineLevel="1">
      <c r="A270" s="113"/>
      <c r="B270" s="2704" t="s">
        <v>736</v>
      </c>
      <c r="C270" s="2705"/>
      <c r="D270" s="862" t="s">
        <v>745</v>
      </c>
      <c r="E270" s="855"/>
      <c r="F270" s="855"/>
      <c r="G270" s="855"/>
      <c r="H270" s="855"/>
      <c r="I270" s="855"/>
      <c r="J270" s="855"/>
      <c r="K270" s="855"/>
      <c r="L270" s="864"/>
      <c r="M270" s="853"/>
      <c r="N270" s="858"/>
      <c r="O270" s="856"/>
      <c r="P270" s="934"/>
      <c r="Q270" s="113"/>
      <c r="R270" s="113"/>
      <c r="S270" s="113"/>
      <c r="T270" s="113"/>
      <c r="U270" s="113"/>
      <c r="V270" s="113"/>
      <c r="W270" s="113"/>
      <c r="X270" s="113"/>
      <c r="Y270" s="113"/>
      <c r="Z270" s="113"/>
      <c r="AA270" s="113"/>
      <c r="AB270" s="113"/>
      <c r="AC270" s="817"/>
      <c r="AD270" s="1638"/>
      <c r="AE270" s="113"/>
      <c r="AF270" s="113"/>
      <c r="AG270" s="113"/>
      <c r="AH270" s="113"/>
      <c r="AI270" s="576"/>
      <c r="AJ270" s="576"/>
      <c r="AK270" s="576"/>
      <c r="AL270" s="576"/>
      <c r="AM270" s="576"/>
      <c r="AN270" s="1240"/>
      <c r="AO270" s="1240"/>
      <c r="AP270" s="576"/>
      <c r="AQ270" s="576"/>
      <c r="AR270" s="576"/>
      <c r="AS270" s="576"/>
      <c r="AT270" s="576"/>
      <c r="AU270" s="576"/>
      <c r="AV270" s="576"/>
      <c r="AW270" s="576"/>
      <c r="AX270" s="576"/>
      <c r="AY270" s="113"/>
      <c r="AZ270" s="113"/>
      <c r="BA270" s="113"/>
      <c r="BB270" s="113"/>
      <c r="BC270" s="113"/>
      <c r="BD270" s="113"/>
    </row>
    <row r="271" spans="1:56" s="418" customFormat="1" ht="12.75" hidden="1" customHeight="1" outlineLevel="1">
      <c r="A271" s="113"/>
      <c r="B271" s="2704" t="s">
        <v>470</v>
      </c>
      <c r="C271" s="2705"/>
      <c r="D271" s="862" t="s">
        <v>746</v>
      </c>
      <c r="E271" s="855"/>
      <c r="F271" s="855"/>
      <c r="G271" s="855"/>
      <c r="H271" s="855"/>
      <c r="I271" s="855"/>
      <c r="J271" s="855"/>
      <c r="K271" s="855"/>
      <c r="L271" s="864"/>
      <c r="M271" s="853"/>
      <c r="N271" s="858"/>
      <c r="O271" s="856"/>
      <c r="P271" s="113"/>
      <c r="Q271" s="237"/>
      <c r="R271" s="113"/>
      <c r="S271" s="113"/>
      <c r="T271" s="113"/>
      <c r="U271" s="113"/>
      <c r="V271" s="113"/>
      <c r="W271" s="113"/>
      <c r="X271" s="113"/>
      <c r="Y271" s="113"/>
      <c r="Z271" s="113"/>
      <c r="AA271" s="113"/>
      <c r="AB271" s="113"/>
      <c r="AC271" s="817"/>
      <c r="AD271" s="1638"/>
      <c r="AE271" s="113"/>
      <c r="AF271" s="113"/>
      <c r="AG271" s="113"/>
      <c r="AH271" s="113"/>
      <c r="AI271" s="576"/>
      <c r="AJ271" s="576"/>
      <c r="AK271" s="576"/>
      <c r="AL271" s="576"/>
      <c r="AM271" s="576"/>
      <c r="AN271" s="1240"/>
      <c r="AO271" s="1240"/>
      <c r="AP271" s="576"/>
      <c r="AQ271" s="576"/>
      <c r="AR271" s="576"/>
      <c r="AS271" s="576"/>
      <c r="AT271" s="576"/>
      <c r="AU271" s="576"/>
      <c r="AV271" s="576"/>
      <c r="AW271" s="576"/>
      <c r="AX271" s="576"/>
      <c r="AY271" s="113"/>
      <c r="AZ271" s="113"/>
      <c r="BA271" s="113"/>
      <c r="BB271" s="113"/>
      <c r="BC271" s="113"/>
      <c r="BD271" s="113"/>
    </row>
    <row r="272" spans="1:56" s="418" customFormat="1" ht="12.75" hidden="1" customHeight="1" outlineLevel="1">
      <c r="A272" s="113"/>
      <c r="B272" s="2704" t="s">
        <v>479</v>
      </c>
      <c r="C272" s="2705"/>
      <c r="D272" s="862" t="s">
        <v>747</v>
      </c>
      <c r="E272" s="855"/>
      <c r="F272" s="855"/>
      <c r="G272" s="855"/>
      <c r="H272" s="855"/>
      <c r="I272" s="855"/>
      <c r="J272" s="855"/>
      <c r="K272" s="855"/>
      <c r="L272" s="864"/>
      <c r="M272" s="853"/>
      <c r="N272" s="858"/>
      <c r="O272" s="856"/>
      <c r="P272" s="113"/>
      <c r="Q272" s="113"/>
      <c r="R272" s="113"/>
      <c r="S272" s="113"/>
      <c r="T272" s="113"/>
      <c r="U272" s="113"/>
      <c r="V272" s="113"/>
      <c r="W272" s="113"/>
      <c r="X272" s="113"/>
      <c r="Y272" s="113"/>
      <c r="Z272" s="113"/>
      <c r="AA272" s="113"/>
      <c r="AB272" s="113"/>
      <c r="AC272" s="817"/>
      <c r="AD272" s="1638"/>
      <c r="AE272" s="113"/>
      <c r="AF272" s="113"/>
      <c r="AG272" s="113"/>
      <c r="AH272" s="113"/>
      <c r="AI272" s="576"/>
      <c r="AJ272" s="576"/>
      <c r="AK272" s="576"/>
      <c r="AL272" s="576"/>
      <c r="AM272" s="576"/>
      <c r="AN272" s="1240"/>
      <c r="AO272" s="1240"/>
      <c r="AP272" s="576"/>
      <c r="AQ272" s="576"/>
      <c r="AR272" s="576"/>
      <c r="AS272" s="576"/>
      <c r="AT272" s="576"/>
      <c r="AU272" s="576"/>
      <c r="AV272" s="576"/>
      <c r="AW272" s="576"/>
      <c r="AX272" s="576"/>
      <c r="AY272" s="113"/>
      <c r="AZ272" s="113"/>
      <c r="BA272" s="113"/>
      <c r="BB272" s="113"/>
      <c r="BC272" s="113"/>
      <c r="BD272" s="113"/>
    </row>
    <row r="273" spans="1:56" s="418" customFormat="1" ht="12.75" hidden="1" customHeight="1" outlineLevel="1">
      <c r="A273" s="113"/>
      <c r="B273" s="2704" t="s">
        <v>471</v>
      </c>
      <c r="C273" s="2705"/>
      <c r="D273" s="862" t="s">
        <v>748</v>
      </c>
      <c r="E273" s="855">
        <f>SUMIF($E$9:$E$54,Utilitaires!$C$573,AE9:AE54)+SUMIF($E$9:$E$54,Utilitaires!$C$573,AF9:AF54)+
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273" s="855">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73" s="855">
        <f>SUMIF($E$9:$E$54,Utilitaires!$C$573,AI9:AI54)+SUMIF($E$9:$E$54,Utilitaires!$C$573,AJ9:AJ54)+SUMIF($E$59:$E$77,Utilitaires!$C$573,AG59:AG77)+SUMIF($E$82:$E$109,Utilitaires!$C$573,AI82:AI109)+SUMIF($E$82:$E$109,Utilitaires!$C$573,AJ82:AJ109)+(1+$G190)*SUMIF($E$111:$E$174,Utilitaires!$C$573,AG111:AG174)+(1+$G190)*SUMIF($E$180:$E$184,Utilitaires!$C$573,AI180:AI184)+(1+$G190)*SUMIF($E$180:$E$184,Utilitaires!$C$573,AJ180:AJ184)</f>
        <v>0</v>
      </c>
      <c r="H273" s="855">
        <v>0</v>
      </c>
      <c r="I273" s="855">
        <v>0</v>
      </c>
      <c r="J273" s="855">
        <v>0</v>
      </c>
      <c r="K273" s="855">
        <v>0</v>
      </c>
      <c r="L273" s="864">
        <f>SUM(E273:K273)</f>
        <v>0</v>
      </c>
      <c r="M273" s="853">
        <f>SUMIF($E$9:$E$54,Utilitaires!$C$573,AO9:AO54)+SUMIF($E$9:$E$54,Utilitaires!$C$573,AP9:AP54)+SUMIF($E$59:$E$77,Utilitaires!$C$573,AJ59:AJ77)+SUMIF($E$97:$E$109,Utilitaires!$C$573,AO97:AO109)+SUMIF($E$97:$E$109,Utilitaires!$C$573,AP97:AP109)+(1+$G190)*SUMIF($E$111:$E$174,Utilitaires!$C$573,AJ111:AJ174)+(1+$G190)*SUMIF($E$180:$E$184,Utilitaires!$C$573,AO180:AO184)+(1+$G190)*SUMIF($E$180:$E$184,Utilitaires!$C$573,AP180:AP184)</f>
        <v>0</v>
      </c>
      <c r="N273" s="858">
        <f>SQRT(SUMPRODUCT(($E$9:$E$54=Utilitaires!$C$573)*1,Z9:Z54,Z9:Z54)+SUMPRODUCT(($E$9:$E$54=Utilitaires!$C$573)*1,AA9:AA54,AA9:AA54)+SUMPRODUCT(($E$59:$E$77=Utilitaires!$C$573)*1,AB59:AB77,AB59:AB77)
+(1+$G190^2)*(SUMPRODUCT(($E$82:$E$109=Utilitaires!$C$573)*1,Z82:Z109,Z82:Z109)
+SUMPRODUCT(($E$82:$E$109=Utilitaires!$C$573)*1,AA82:AA109,AA82:AA109)+
SUMPRODUCT(($E$180:$E$184=Utilitaires!$C$573)*1,Z180:Z184,Z180:Z184)+SUMPRODUCT(($E$180:$E$184=Utilitaires!$C$573)*1,AA180:AA184,AA180:AA184)
+SUMPRODUCT(($E$111:$E$174=Utilitaires!$C$573)*1,AC111:AC174,AC111:AC174))
)</f>
        <v>0</v>
      </c>
      <c r="O273" s="856"/>
      <c r="P273" s="113"/>
      <c r="Q273" s="113"/>
      <c r="R273" s="113"/>
      <c r="S273" s="113"/>
      <c r="T273" s="113"/>
      <c r="U273" s="113"/>
      <c r="V273" s="113"/>
      <c r="W273" s="113"/>
      <c r="X273" s="113"/>
      <c r="Y273" s="113"/>
      <c r="Z273" s="113"/>
      <c r="AA273" s="113"/>
      <c r="AB273" s="113"/>
      <c r="AC273" s="817"/>
      <c r="AD273" s="1638"/>
      <c r="AE273" s="113"/>
      <c r="AF273" s="113"/>
      <c r="AG273" s="113"/>
      <c r="AH273" s="113"/>
      <c r="AI273" s="576"/>
      <c r="AJ273" s="576"/>
      <c r="AK273" s="576"/>
      <c r="AL273" s="576"/>
      <c r="AM273" s="576"/>
      <c r="AN273" s="1240"/>
      <c r="AO273" s="1240"/>
      <c r="AP273" s="576"/>
      <c r="AQ273" s="576"/>
      <c r="AR273" s="576"/>
      <c r="AS273" s="576"/>
      <c r="AT273" s="576"/>
      <c r="AU273" s="576"/>
      <c r="AV273" s="576"/>
      <c r="AW273" s="576"/>
      <c r="AX273" s="576"/>
      <c r="AY273" s="113"/>
      <c r="AZ273" s="113"/>
      <c r="BA273" s="113"/>
      <c r="BB273" s="113"/>
      <c r="BC273" s="113"/>
      <c r="BD273" s="113"/>
    </row>
    <row r="274" spans="1:56" s="418" customFormat="1" ht="12.75" hidden="1" customHeight="1" outlineLevel="1">
      <c r="A274" s="113"/>
      <c r="B274" s="2704" t="s">
        <v>762</v>
      </c>
      <c r="C274" s="2705"/>
      <c r="D274" s="854"/>
      <c r="E274" s="855">
        <f>SUMIF($E$9:$E$54,Utilitaires!$C$574,AE9:AE54)+SUMIF($E$9:$E$54,Utilitaires!$C$574,AF9:AF54)+
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
(1+$G190)*SUMIF($E$180:$E$184,Utilitaires!$C$574,AF180:AF184)+(1+$G190)*SUMIF($E$180:$E$184,Utilitaires!$C$578,AF180:AF184)</f>
        <v>0</v>
      </c>
      <c r="F274" s="855">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274" s="855">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274" s="855">
        <v>0</v>
      </c>
      <c r="I274" s="855">
        <v>0</v>
      </c>
      <c r="J274" s="855">
        <v>0</v>
      </c>
      <c r="K274" s="855">
        <v>0</v>
      </c>
      <c r="L274" s="864">
        <f>SUM(E274:K274)</f>
        <v>0</v>
      </c>
      <c r="M274" s="853">
        <f>SUMIF($E$9:$E$54,Utilitaires!$C$574,AO9:AO54)+SUMIF($E$9:$E$54,Utilitaires!$C$574,AP9:AP54)+SUMIF($E$9:$E$54,Utilitaires!$C$578,AO9:AO54)+SUMIF($E$9:$E$54,Utilitaires!$C$578,AP9:AP54)+
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N274" s="858">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+SUMPRODUCT(($E$111:$E$174=Utilitaires!$C$574)*1,AC111:AC174,AC111:AC174)+SUMPRODUCT(($E$111:$E$174=Utilitaires!$C$578)*1,AC111:AC174,AC111:AC174))
)</f>
        <v>0</v>
      </c>
      <c r="O274" s="856"/>
      <c r="P274" s="113"/>
      <c r="Q274" s="113"/>
      <c r="R274" s="113"/>
      <c r="S274" s="113"/>
      <c r="T274" s="113"/>
      <c r="U274" s="113"/>
      <c r="V274" s="113"/>
      <c r="W274" s="113"/>
      <c r="X274" s="113"/>
      <c r="Y274" s="113"/>
      <c r="Z274" s="113"/>
      <c r="AA274" s="113"/>
      <c r="AB274" s="113"/>
      <c r="AC274" s="817"/>
      <c r="AD274" s="1638"/>
      <c r="AE274" s="113"/>
      <c r="AF274" s="113"/>
      <c r="AG274" s="113"/>
      <c r="AH274" s="113"/>
      <c r="AI274" s="576"/>
      <c r="AJ274" s="576"/>
      <c r="AK274" s="576"/>
      <c r="AL274" s="576"/>
      <c r="AM274" s="576"/>
      <c r="AN274" s="1240"/>
      <c r="AO274" s="1240"/>
      <c r="AP274" s="576"/>
      <c r="AQ274" s="576"/>
      <c r="AR274" s="576"/>
      <c r="AS274" s="576"/>
      <c r="AT274" s="576"/>
      <c r="AU274" s="576"/>
      <c r="AV274" s="576"/>
      <c r="AW274" s="576"/>
      <c r="AX274" s="576"/>
      <c r="AY274" s="113"/>
      <c r="AZ274" s="113"/>
      <c r="BA274" s="113"/>
      <c r="BB274" s="113"/>
      <c r="BC274" s="113"/>
      <c r="BD274" s="113"/>
    </row>
    <row r="275" spans="1:56" s="418" customFormat="1" ht="12.75" hidden="1" customHeight="1" outlineLevel="1">
      <c r="A275" s="113"/>
      <c r="B275" s="2713" t="s">
        <v>756</v>
      </c>
      <c r="C275" s="2714"/>
      <c r="D275" s="2714"/>
      <c r="E275" s="2714"/>
      <c r="F275" s="2714"/>
      <c r="G275" s="2714"/>
      <c r="H275" s="2714"/>
      <c r="I275" s="2714"/>
      <c r="J275" s="2714"/>
      <c r="K275" s="2714"/>
      <c r="L275" s="2714"/>
      <c r="M275" s="2714"/>
      <c r="N275" s="2714"/>
      <c r="O275" s="2715"/>
      <c r="P275" s="113"/>
      <c r="Q275" s="113"/>
      <c r="R275" s="113"/>
      <c r="S275" s="113"/>
      <c r="T275" s="113"/>
      <c r="U275" s="113"/>
      <c r="V275" s="113"/>
      <c r="W275" s="113"/>
      <c r="X275" s="113"/>
      <c r="Y275" s="113"/>
      <c r="Z275" s="113"/>
      <c r="AA275" s="113"/>
      <c r="AB275" s="113"/>
      <c r="AC275" s="817"/>
      <c r="AD275" s="1638"/>
      <c r="AE275" s="113"/>
      <c r="AF275" s="113"/>
      <c r="AG275" s="113"/>
      <c r="AH275" s="113"/>
      <c r="AI275" s="576"/>
      <c r="AJ275" s="576"/>
      <c r="AK275" s="576"/>
      <c r="AL275" s="576"/>
      <c r="AM275" s="576"/>
      <c r="AN275" s="1240"/>
      <c r="AO275" s="1240"/>
      <c r="AP275" s="576"/>
      <c r="AQ275" s="576"/>
      <c r="AR275" s="576"/>
      <c r="AS275" s="576"/>
      <c r="AT275" s="576"/>
      <c r="AU275" s="576"/>
      <c r="AV275" s="576"/>
      <c r="AW275" s="576"/>
      <c r="AX275" s="576"/>
      <c r="AY275" s="113"/>
      <c r="AZ275" s="113"/>
      <c r="BA275" s="113"/>
      <c r="BB275" s="113"/>
      <c r="BC275" s="113"/>
      <c r="BD275" s="113"/>
    </row>
    <row r="276" spans="1:56" s="418" customFormat="1" ht="12.75" hidden="1" customHeight="1" outlineLevel="1">
      <c r="A276" s="113"/>
      <c r="B276" s="2704" t="s">
        <v>737</v>
      </c>
      <c r="C276" s="2705"/>
      <c r="D276" s="862" t="s">
        <v>749</v>
      </c>
      <c r="E276" s="855"/>
      <c r="F276" s="855"/>
      <c r="G276" s="855"/>
      <c r="H276" s="855"/>
      <c r="I276" s="855"/>
      <c r="J276" s="855"/>
      <c r="K276" s="855"/>
      <c r="L276" s="864"/>
      <c r="M276" s="853"/>
      <c r="N276" s="858"/>
      <c r="O276" s="856"/>
      <c r="P276" s="113"/>
      <c r="Q276" s="113"/>
      <c r="R276" s="113"/>
      <c r="S276" s="113"/>
      <c r="T276" s="113"/>
      <c r="U276" s="113"/>
      <c r="V276" s="113"/>
      <c r="W276" s="113"/>
      <c r="X276" s="113"/>
      <c r="Y276" s="113"/>
      <c r="Z276" s="113"/>
      <c r="AA276" s="113"/>
      <c r="AB276" s="113"/>
      <c r="AC276" s="817"/>
      <c r="AD276" s="1638"/>
      <c r="AE276" s="113"/>
      <c r="AF276" s="113"/>
      <c r="AG276" s="113"/>
      <c r="AH276" s="113"/>
      <c r="AI276" s="576"/>
      <c r="AJ276" s="576"/>
      <c r="AK276" s="576"/>
      <c r="AL276" s="576"/>
      <c r="AM276" s="576"/>
      <c r="AN276" s="1240"/>
      <c r="AO276" s="1240"/>
      <c r="AP276" s="576"/>
      <c r="AQ276" s="576"/>
      <c r="AR276" s="576"/>
      <c r="AS276" s="576"/>
      <c r="AT276" s="576"/>
      <c r="AU276" s="576"/>
      <c r="AV276" s="576"/>
      <c r="AW276" s="576"/>
      <c r="AX276" s="576"/>
      <c r="AY276" s="113"/>
      <c r="AZ276" s="113"/>
      <c r="BA276" s="113"/>
      <c r="BB276" s="113"/>
      <c r="BC276" s="113"/>
      <c r="BD276" s="113"/>
    </row>
    <row r="277" spans="1:56" s="418" customFormat="1" ht="12.75" hidden="1" customHeight="1" outlineLevel="1">
      <c r="A277" s="113"/>
      <c r="B277" s="2704" t="s">
        <v>738</v>
      </c>
      <c r="C277" s="2705"/>
      <c r="D277" s="862" t="s">
        <v>750</v>
      </c>
      <c r="E277" s="855"/>
      <c r="F277" s="855"/>
      <c r="G277" s="855"/>
      <c r="H277" s="855"/>
      <c r="I277" s="855"/>
      <c r="J277" s="855"/>
      <c r="K277" s="855"/>
      <c r="L277" s="864"/>
      <c r="M277" s="853"/>
      <c r="N277" s="858"/>
      <c r="O277" s="856"/>
      <c r="P277" s="113"/>
      <c r="Q277" s="113"/>
      <c r="R277" s="113"/>
      <c r="S277" s="113"/>
      <c r="T277" s="113"/>
      <c r="U277" s="113"/>
      <c r="V277" s="113"/>
      <c r="W277" s="113"/>
      <c r="X277" s="113"/>
      <c r="Y277" s="113"/>
      <c r="Z277" s="113"/>
      <c r="AA277" s="113"/>
      <c r="AB277" s="113"/>
      <c r="AC277" s="817"/>
      <c r="AD277" s="1638"/>
      <c r="AE277" s="113"/>
      <c r="AF277" s="113"/>
      <c r="AG277" s="113"/>
      <c r="AH277" s="113"/>
      <c r="AI277" s="576"/>
      <c r="AJ277" s="576"/>
      <c r="AK277" s="576"/>
      <c r="AL277" s="576"/>
      <c r="AM277" s="576"/>
      <c r="AN277" s="1240"/>
      <c r="AO277" s="1240"/>
      <c r="AP277" s="576"/>
      <c r="AQ277" s="576"/>
      <c r="AR277" s="576"/>
      <c r="AS277" s="576"/>
      <c r="AT277" s="576"/>
      <c r="AU277" s="576"/>
      <c r="AV277" s="576"/>
      <c r="AW277" s="576"/>
      <c r="AX277" s="576"/>
      <c r="AY277" s="113"/>
      <c r="AZ277" s="113"/>
      <c r="BA277" s="113"/>
      <c r="BB277" s="113"/>
      <c r="BC277" s="113"/>
      <c r="BD277" s="113"/>
    </row>
    <row r="278" spans="1:56" s="418" customFormat="1" ht="12.75" hidden="1" customHeight="1" outlineLevel="1">
      <c r="A278" s="113"/>
      <c r="B278" s="2704" t="s">
        <v>475</v>
      </c>
      <c r="C278" s="2705"/>
      <c r="D278" s="862" t="s">
        <v>751</v>
      </c>
      <c r="E278" s="855"/>
      <c r="F278" s="855"/>
      <c r="G278" s="855"/>
      <c r="H278" s="855"/>
      <c r="I278" s="855"/>
      <c r="J278" s="855"/>
      <c r="K278" s="855"/>
      <c r="L278" s="864"/>
      <c r="M278" s="853"/>
      <c r="N278" s="858"/>
      <c r="O278" s="856"/>
      <c r="P278" s="113"/>
      <c r="Q278" s="113"/>
      <c r="R278" s="113"/>
      <c r="S278" s="113"/>
      <c r="T278" s="113"/>
      <c r="U278" s="113"/>
      <c r="V278" s="113"/>
      <c r="W278" s="113"/>
      <c r="X278" s="113"/>
      <c r="Y278" s="113"/>
      <c r="Z278" s="113"/>
      <c r="AA278" s="113"/>
      <c r="AB278" s="113"/>
      <c r="AC278" s="817"/>
      <c r="AD278" s="1638"/>
      <c r="AE278" s="113"/>
      <c r="AF278" s="113"/>
      <c r="AG278" s="113"/>
      <c r="AH278" s="113"/>
      <c r="AI278" s="576"/>
      <c r="AJ278" s="576"/>
      <c r="AK278" s="576"/>
      <c r="AL278" s="576"/>
      <c r="AM278" s="576"/>
      <c r="AN278" s="1240"/>
      <c r="AO278" s="1240"/>
      <c r="AP278" s="576"/>
      <c r="AQ278" s="576"/>
      <c r="AR278" s="576"/>
      <c r="AS278" s="576"/>
      <c r="AT278" s="576"/>
      <c r="AU278" s="576"/>
      <c r="AV278" s="576"/>
      <c r="AW278" s="576"/>
      <c r="AX278" s="576"/>
      <c r="AY278" s="113"/>
      <c r="AZ278" s="113"/>
      <c r="BA278" s="113"/>
      <c r="BB278" s="113"/>
      <c r="BC278" s="113"/>
      <c r="BD278" s="113"/>
    </row>
    <row r="279" spans="1:56" s="418" customFormat="1" ht="12.75" hidden="1" customHeight="1" outlineLevel="1">
      <c r="A279" s="113"/>
      <c r="B279" s="2704" t="s">
        <v>476</v>
      </c>
      <c r="C279" s="2705"/>
      <c r="D279" s="862" t="s">
        <v>752</v>
      </c>
      <c r="E279" s="855"/>
      <c r="F279" s="855"/>
      <c r="G279" s="855"/>
      <c r="H279" s="855"/>
      <c r="I279" s="855"/>
      <c r="J279" s="855"/>
      <c r="K279" s="855"/>
      <c r="L279" s="864"/>
      <c r="M279" s="853"/>
      <c r="N279" s="858"/>
      <c r="O279" s="856"/>
      <c r="P279" s="113"/>
      <c r="Q279" s="113"/>
      <c r="R279" s="113"/>
      <c r="S279" s="113"/>
      <c r="T279" s="113"/>
      <c r="U279" s="113"/>
      <c r="V279" s="113"/>
      <c r="W279" s="113"/>
      <c r="X279" s="113"/>
      <c r="Y279" s="113"/>
      <c r="Z279" s="113"/>
      <c r="AA279" s="113"/>
      <c r="AB279" s="113"/>
      <c r="AC279" s="817"/>
      <c r="AD279" s="1638"/>
      <c r="AE279" s="113"/>
      <c r="AF279" s="113"/>
      <c r="AG279" s="113"/>
      <c r="AH279" s="113"/>
      <c r="AI279" s="576"/>
      <c r="AJ279" s="576"/>
      <c r="AK279" s="576"/>
      <c r="AL279" s="576"/>
      <c r="AM279" s="576"/>
      <c r="AN279" s="1240"/>
      <c r="AO279" s="1240"/>
      <c r="AP279" s="576"/>
      <c r="AQ279" s="576"/>
      <c r="AR279" s="576"/>
      <c r="AS279" s="576"/>
      <c r="AT279" s="576"/>
      <c r="AU279" s="576"/>
      <c r="AV279" s="576"/>
      <c r="AW279" s="576"/>
      <c r="AX279" s="576"/>
      <c r="AY279" s="113"/>
      <c r="AZ279" s="113"/>
      <c r="BA279" s="113"/>
      <c r="BB279" s="113"/>
      <c r="BC279" s="113"/>
      <c r="BD279" s="113"/>
    </row>
    <row r="280" spans="1:56" s="418" customFormat="1" ht="12.75" hidden="1" customHeight="1" outlineLevel="1">
      <c r="A280" s="113"/>
      <c r="B280" s="2704" t="s">
        <v>739</v>
      </c>
      <c r="C280" s="2705"/>
      <c r="D280" s="862" t="s">
        <v>753</v>
      </c>
      <c r="E280" s="855"/>
      <c r="F280" s="855"/>
      <c r="G280" s="855"/>
      <c r="H280" s="855"/>
      <c r="I280" s="855"/>
      <c r="J280" s="855"/>
      <c r="K280" s="855"/>
      <c r="L280" s="864"/>
      <c r="M280" s="853"/>
      <c r="N280" s="858"/>
      <c r="O280" s="856"/>
      <c r="P280" s="113"/>
      <c r="Q280" s="113"/>
      <c r="R280" s="113"/>
      <c r="S280" s="113"/>
      <c r="T280" s="113"/>
      <c r="U280" s="113"/>
      <c r="V280" s="113"/>
      <c r="W280" s="113"/>
      <c r="X280" s="113"/>
      <c r="Y280" s="113"/>
      <c r="Z280" s="113"/>
      <c r="AA280" s="113"/>
      <c r="AB280" s="113"/>
      <c r="AC280" s="817"/>
      <c r="AD280" s="1638"/>
      <c r="AE280" s="113"/>
      <c r="AF280" s="113"/>
      <c r="AG280" s="113"/>
      <c r="AH280" s="113"/>
      <c r="AI280" s="576"/>
      <c r="AJ280" s="576"/>
      <c r="AK280" s="576"/>
      <c r="AL280" s="576"/>
      <c r="AM280" s="576"/>
      <c r="AN280" s="1240"/>
      <c r="AO280" s="1240"/>
      <c r="AP280" s="576"/>
      <c r="AQ280" s="576"/>
      <c r="AR280" s="576"/>
      <c r="AS280" s="576"/>
      <c r="AT280" s="576"/>
      <c r="AU280" s="576"/>
      <c r="AV280" s="576"/>
      <c r="AW280" s="576"/>
      <c r="AX280" s="576"/>
      <c r="AY280" s="113"/>
      <c r="AZ280" s="113"/>
      <c r="BA280" s="113"/>
      <c r="BB280" s="113"/>
      <c r="BC280" s="113"/>
      <c r="BD280" s="113"/>
    </row>
    <row r="281" spans="1:56" s="418" customFormat="1" ht="12.75" hidden="1" customHeight="1" outlineLevel="1">
      <c r="A281" s="113"/>
      <c r="B281" s="2704" t="s">
        <v>740</v>
      </c>
      <c r="C281" s="2705"/>
      <c r="D281" s="862" t="s">
        <v>754</v>
      </c>
      <c r="E281" s="855"/>
      <c r="F281" s="855"/>
      <c r="G281" s="855"/>
      <c r="H281" s="855"/>
      <c r="I281" s="855"/>
      <c r="J281" s="855"/>
      <c r="K281" s="855"/>
      <c r="L281" s="864"/>
      <c r="M281" s="853"/>
      <c r="N281" s="858"/>
      <c r="O281" s="856"/>
      <c r="P281" s="113"/>
      <c r="Q281" s="113"/>
      <c r="R281" s="113"/>
      <c r="S281" s="113"/>
      <c r="T281" s="113"/>
      <c r="U281" s="113"/>
      <c r="V281" s="113"/>
      <c r="W281" s="113"/>
      <c r="X281" s="113"/>
      <c r="Y281" s="113"/>
      <c r="Z281" s="113"/>
      <c r="AA281" s="113"/>
      <c r="AB281" s="113"/>
      <c r="AC281" s="817"/>
      <c r="AD281" s="1638"/>
      <c r="AE281" s="113"/>
      <c r="AF281" s="113"/>
      <c r="AG281" s="113"/>
      <c r="AH281" s="113"/>
      <c r="AI281" s="576"/>
      <c r="AJ281" s="576"/>
      <c r="AK281" s="576"/>
      <c r="AL281" s="576"/>
      <c r="AM281" s="576"/>
      <c r="AN281" s="1240"/>
      <c r="AO281" s="1240"/>
      <c r="AP281" s="576"/>
      <c r="AQ281" s="576"/>
      <c r="AR281" s="576"/>
      <c r="AS281" s="576"/>
      <c r="AT281" s="576"/>
      <c r="AU281" s="576"/>
      <c r="AV281" s="576"/>
      <c r="AW281" s="576"/>
      <c r="AX281" s="576"/>
      <c r="AY281" s="113"/>
      <c r="AZ281" s="113"/>
      <c r="BA281" s="113"/>
      <c r="BB281" s="113"/>
      <c r="BC281" s="113"/>
      <c r="BD281" s="113"/>
    </row>
    <row r="282" spans="1:56" s="418" customFormat="1" ht="12.75" hidden="1" customHeight="1" outlineLevel="1">
      <c r="A282" s="113"/>
      <c r="B282" s="2704" t="s">
        <v>472</v>
      </c>
      <c r="C282" s="2705"/>
      <c r="D282" s="862" t="s">
        <v>755</v>
      </c>
      <c r="E282" s="855"/>
      <c r="F282" s="855"/>
      <c r="G282" s="855"/>
      <c r="H282" s="855"/>
      <c r="I282" s="855"/>
      <c r="J282" s="855"/>
      <c r="K282" s="855"/>
      <c r="L282" s="864"/>
      <c r="M282" s="853"/>
      <c r="N282" s="858"/>
      <c r="O282" s="856"/>
      <c r="P282" s="113"/>
      <c r="Q282" s="113"/>
      <c r="R282" s="113"/>
      <c r="S282" s="113"/>
      <c r="T282" s="113"/>
      <c r="U282" s="113"/>
      <c r="V282" s="113"/>
      <c r="W282" s="113"/>
      <c r="X282" s="113"/>
      <c r="Y282" s="113"/>
      <c r="Z282" s="113"/>
      <c r="AA282" s="113"/>
      <c r="AB282" s="113"/>
      <c r="AC282" s="817"/>
      <c r="AD282" s="1638"/>
      <c r="AE282" s="113"/>
      <c r="AF282" s="113"/>
      <c r="AG282" s="113"/>
      <c r="AH282" s="113"/>
      <c r="AI282" s="576"/>
      <c r="AJ282" s="576"/>
      <c r="AK282" s="576"/>
      <c r="AL282" s="576"/>
      <c r="AM282" s="576"/>
      <c r="AN282" s="1240"/>
      <c r="AO282" s="1240"/>
      <c r="AP282" s="576"/>
      <c r="AQ282" s="576"/>
      <c r="AR282" s="576"/>
      <c r="AS282" s="113"/>
      <c r="AT282" s="113"/>
      <c r="AU282" s="113"/>
      <c r="AV282" s="113"/>
      <c r="AW282" s="113"/>
      <c r="AX282" s="113"/>
      <c r="AY282" s="113"/>
      <c r="AZ282" s="113"/>
      <c r="BA282" s="113"/>
      <c r="BB282" s="113"/>
      <c r="BC282" s="113"/>
      <c r="BD282" s="113"/>
    </row>
    <row r="283" spans="1:56" s="418" customFormat="1" ht="12.75" hidden="1" customHeight="1" outlineLevel="1">
      <c r="A283" s="113"/>
      <c r="B283" s="2704" t="s">
        <v>763</v>
      </c>
      <c r="C283" s="2705"/>
      <c r="D283" s="854"/>
      <c r="E283" s="855"/>
      <c r="F283" s="855"/>
      <c r="G283" s="855"/>
      <c r="H283" s="855"/>
      <c r="I283" s="855"/>
      <c r="J283" s="855"/>
      <c r="K283" s="855"/>
      <c r="L283" s="864"/>
      <c r="M283" s="853"/>
      <c r="N283" s="858"/>
      <c r="O283" s="856"/>
      <c r="P283" s="113"/>
      <c r="Q283" s="113"/>
      <c r="R283" s="113"/>
      <c r="S283" s="113"/>
      <c r="T283" s="113"/>
      <c r="U283" s="113"/>
      <c r="V283" s="113"/>
      <c r="W283" s="113"/>
      <c r="X283" s="113"/>
      <c r="Y283" s="113"/>
      <c r="Z283" s="113"/>
      <c r="AA283" s="113"/>
      <c r="AB283" s="113"/>
      <c r="AC283" s="817"/>
      <c r="AD283" s="1638"/>
      <c r="AE283" s="113"/>
      <c r="AF283" s="113"/>
      <c r="AG283" s="113"/>
      <c r="AH283" s="113"/>
      <c r="AI283" s="576"/>
      <c r="AJ283" s="576"/>
      <c r="AK283" s="576"/>
      <c r="AL283" s="576"/>
      <c r="AM283" s="576"/>
      <c r="AN283" s="1240"/>
      <c r="AO283" s="1240"/>
      <c r="AP283" s="576"/>
      <c r="AQ283" s="576"/>
      <c r="AR283" s="576"/>
      <c r="AS283" s="113"/>
      <c r="AT283" s="113"/>
      <c r="AU283" s="113"/>
      <c r="AV283" s="113"/>
      <c r="AW283" s="113"/>
      <c r="AX283" s="113"/>
      <c r="AY283" s="113"/>
      <c r="AZ283" s="113"/>
      <c r="BA283" s="113"/>
      <c r="BB283" s="113"/>
      <c r="BC283" s="113"/>
      <c r="BD283" s="113"/>
    </row>
    <row r="284" spans="1:56" s="418" customFormat="1" ht="12.75" hidden="1" customHeight="1" outlineLevel="1">
      <c r="A284" s="113"/>
      <c r="B284" s="2710" t="s">
        <v>724</v>
      </c>
      <c r="C284" s="2711"/>
      <c r="D284" s="2712"/>
      <c r="E284" s="852">
        <f t="shared" ref="E284:O284" si="45">SUM(E266:E283)</f>
        <v>67500.7356</v>
      </c>
      <c r="F284" s="852">
        <f t="shared" si="45"/>
        <v>5865.3745920000001</v>
      </c>
      <c r="G284" s="852">
        <f t="shared" si="45"/>
        <v>14.65662</v>
      </c>
      <c r="H284" s="852">
        <f t="shared" si="45"/>
        <v>0</v>
      </c>
      <c r="I284" s="852">
        <f t="shared" si="45"/>
        <v>0</v>
      </c>
      <c r="J284" s="852">
        <f t="shared" si="45"/>
        <v>0</v>
      </c>
      <c r="K284" s="852">
        <f t="shared" si="45"/>
        <v>680.28840000000002</v>
      </c>
      <c r="L284" s="852">
        <f t="shared" si="45"/>
        <v>74061.055211999992</v>
      </c>
      <c r="M284" s="863">
        <f t="shared" si="45"/>
        <v>0</v>
      </c>
      <c r="N284" s="859">
        <f>SQRT(SUMSQ(N266:N283))</f>
        <v>3214.9156058606336</v>
      </c>
      <c r="O284" s="860">
        <f t="shared" si="45"/>
        <v>0</v>
      </c>
      <c r="P284" s="113"/>
      <c r="Q284" s="113"/>
      <c r="R284" s="113"/>
      <c r="S284" s="113"/>
      <c r="T284" s="113"/>
      <c r="U284" s="113"/>
      <c r="V284" s="113"/>
      <c r="W284" s="113"/>
      <c r="X284" s="113"/>
      <c r="Y284" s="113"/>
      <c r="Z284" s="113"/>
      <c r="AA284" s="113"/>
      <c r="AB284" s="113"/>
      <c r="AC284" s="817"/>
      <c r="AD284" s="1638"/>
      <c r="AE284" s="113"/>
      <c r="AF284" s="113"/>
      <c r="AG284" s="113"/>
      <c r="AH284" s="113"/>
      <c r="AI284" s="576"/>
      <c r="AJ284" s="576"/>
      <c r="AK284" s="576"/>
      <c r="AL284" s="576"/>
      <c r="AM284" s="576"/>
      <c r="AN284" s="1240"/>
      <c r="AO284" s="1240"/>
      <c r="AP284" s="576"/>
      <c r="AQ284" s="576"/>
      <c r="AR284" s="576"/>
      <c r="AS284" s="113"/>
      <c r="AT284" s="113"/>
      <c r="AU284" s="113"/>
      <c r="AV284" s="113"/>
      <c r="AW284" s="113"/>
      <c r="AX284" s="113"/>
      <c r="AY284" s="113"/>
      <c r="AZ284" s="113"/>
      <c r="BA284" s="113"/>
      <c r="BB284" s="113"/>
      <c r="BC284" s="113"/>
      <c r="BD284" s="113"/>
    </row>
    <row r="285" spans="1:56" s="418" customFormat="1" hidden="1" outlineLevel="1">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817"/>
      <c r="Z285" s="817"/>
      <c r="AA285" s="113"/>
      <c r="AB285" s="113"/>
      <c r="AC285" s="113"/>
      <c r="AE285" s="113"/>
      <c r="AF285" s="576"/>
      <c r="AG285" s="576"/>
      <c r="AH285" s="576"/>
      <c r="AI285" s="576"/>
      <c r="AJ285" s="576"/>
      <c r="AK285" s="576"/>
      <c r="AL285" s="576"/>
      <c r="AM285" s="576"/>
      <c r="AN285" s="1240"/>
      <c r="AO285" s="1240"/>
      <c r="AP285" s="576"/>
      <c r="AQ285" s="576"/>
      <c r="AR285" s="113"/>
      <c r="AS285" s="113"/>
      <c r="AT285" s="113"/>
      <c r="AU285" s="113"/>
      <c r="AV285" s="113"/>
      <c r="AW285" s="113"/>
      <c r="AX285" s="113"/>
      <c r="AY285" s="113"/>
      <c r="AZ285" s="113"/>
      <c r="BA285" s="113"/>
      <c r="BB285" s="113"/>
      <c r="BC285" s="113"/>
      <c r="BD285" s="113"/>
    </row>
    <row r="286" spans="1:56" s="418" customFormat="1" collapsed="1">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817"/>
      <c r="Z286" s="817"/>
      <c r="AA286" s="113"/>
      <c r="AB286" s="113"/>
      <c r="AC286" s="113"/>
      <c r="AE286" s="113"/>
      <c r="AF286" s="576"/>
      <c r="AG286" s="576"/>
      <c r="AH286" s="576"/>
      <c r="AI286" s="576"/>
      <c r="AJ286" s="576"/>
      <c r="AK286" s="576"/>
      <c r="AL286" s="576"/>
      <c r="AM286" s="576"/>
      <c r="AN286" s="1240"/>
      <c r="AO286" s="1240"/>
      <c r="AP286" s="576"/>
      <c r="AQ286" s="576"/>
      <c r="AR286" s="113"/>
      <c r="AS286" s="113"/>
      <c r="AT286" s="113"/>
      <c r="AU286" s="113"/>
      <c r="AV286" s="113"/>
      <c r="AW286" s="113"/>
      <c r="AX286" s="113"/>
      <c r="AY286" s="113"/>
      <c r="AZ286" s="113"/>
      <c r="BA286" s="113"/>
      <c r="BB286" s="113"/>
      <c r="BC286" s="113"/>
      <c r="BD286" s="113"/>
    </row>
    <row r="287" spans="1:56" s="418" customFormat="1" ht="15.75" customHeight="1" collapsed="1">
      <c r="A287" s="113"/>
      <c r="B287" s="2716" t="s">
        <v>810</v>
      </c>
      <c r="C287" s="2717"/>
      <c r="D287" s="2717"/>
      <c r="E287" s="2717"/>
      <c r="F287" s="2717"/>
      <c r="G287" s="2717"/>
      <c r="H287" s="2717"/>
      <c r="I287" s="2717"/>
      <c r="J287" s="2717"/>
      <c r="K287" s="2717"/>
      <c r="L287" s="2717"/>
      <c r="M287" s="2717"/>
      <c r="N287" s="2717"/>
      <c r="O287" s="2718"/>
      <c r="P287" s="113"/>
      <c r="Q287" s="113"/>
      <c r="R287" s="113"/>
      <c r="S287" s="113"/>
      <c r="T287" s="113"/>
      <c r="U287" s="113"/>
      <c r="V287" s="113"/>
      <c r="W287" s="113"/>
      <c r="X287" s="113"/>
      <c r="Y287" s="817"/>
      <c r="Z287" s="817"/>
      <c r="AA287" s="113"/>
      <c r="AB287" s="113"/>
      <c r="AC287" s="113"/>
      <c r="AE287" s="113"/>
      <c r="AF287" s="576"/>
      <c r="AG287" s="576"/>
      <c r="AH287" s="576"/>
      <c r="AI287" s="576"/>
      <c r="AJ287" s="576"/>
      <c r="AK287" s="576"/>
      <c r="AL287" s="576"/>
      <c r="AM287" s="576"/>
      <c r="AN287" s="1240"/>
      <c r="AO287" s="1240"/>
      <c r="AP287" s="576"/>
      <c r="AQ287" s="576"/>
      <c r="AR287" s="113"/>
      <c r="AS287" s="113"/>
      <c r="AT287" s="113"/>
      <c r="AU287" s="113"/>
      <c r="AV287" s="113"/>
      <c r="AW287" s="113"/>
      <c r="AX287" s="113"/>
      <c r="AY287" s="113"/>
      <c r="AZ287" s="113"/>
      <c r="BA287" s="113"/>
      <c r="BB287" s="113"/>
      <c r="BC287" s="113"/>
      <c r="BD287" s="113"/>
    </row>
    <row r="288" spans="1:56" s="418" customFormat="1" hidden="1" outlineLevel="1">
      <c r="A288" s="113"/>
      <c r="B288" s="113"/>
      <c r="C288" s="113"/>
      <c r="D288" s="113"/>
      <c r="E288" s="113"/>
      <c r="F288" s="113"/>
      <c r="G288" s="113"/>
      <c r="H288" s="113"/>
      <c r="I288" s="113"/>
      <c r="J288" s="113"/>
      <c r="K288" s="113"/>
      <c r="L288" s="113"/>
      <c r="M288" s="113"/>
      <c r="N288" s="113"/>
      <c r="O288" s="113"/>
      <c r="P288" s="113"/>
      <c r="Q288" s="908"/>
      <c r="R288" s="908"/>
      <c r="S288" s="113"/>
      <c r="T288" s="113"/>
      <c r="U288" s="113"/>
      <c r="V288" s="113"/>
      <c r="W288" s="113"/>
      <c r="X288" s="113"/>
      <c r="Y288" s="817"/>
      <c r="Z288" s="817"/>
      <c r="AA288" s="113"/>
      <c r="AB288" s="113"/>
      <c r="AC288" s="113"/>
      <c r="AE288" s="113"/>
      <c r="AF288" s="576"/>
      <c r="AG288" s="576"/>
      <c r="AH288" s="576"/>
      <c r="AI288" s="576"/>
      <c r="AJ288" s="576"/>
      <c r="AK288" s="576"/>
      <c r="AL288" s="576"/>
      <c r="AM288" s="576"/>
      <c r="AN288" s="1240"/>
      <c r="AO288" s="1240"/>
      <c r="AP288" s="576"/>
      <c r="AQ288" s="576"/>
      <c r="AR288" s="113"/>
      <c r="AS288" s="113"/>
      <c r="AT288" s="113"/>
      <c r="AU288" s="113"/>
      <c r="AV288" s="113"/>
      <c r="AW288" s="113"/>
      <c r="AX288" s="113"/>
      <c r="AY288" s="113"/>
      <c r="AZ288" s="113"/>
      <c r="BA288" s="113"/>
      <c r="BB288" s="113"/>
      <c r="BC288" s="113"/>
      <c r="BD288" s="113"/>
    </row>
    <row r="289" spans="1:56" s="418" customFormat="1" ht="38.25" hidden="1" customHeight="1" outlineLevel="1">
      <c r="A289" s="113"/>
      <c r="B289" s="205"/>
      <c r="C289" s="205"/>
      <c r="D289" s="205"/>
      <c r="E289" s="2719" t="s">
        <v>448</v>
      </c>
      <c r="F289" s="2720"/>
      <c r="G289" s="2720"/>
      <c r="H289" s="2720"/>
      <c r="I289" s="2720"/>
      <c r="J289" s="2720"/>
      <c r="K289" s="2720"/>
      <c r="L289" s="2720"/>
      <c r="M289" s="2721"/>
      <c r="N289" s="971" t="s">
        <v>811</v>
      </c>
      <c r="O289" s="968" t="s">
        <v>440</v>
      </c>
      <c r="P289" s="113"/>
      <c r="Q289" s="908"/>
      <c r="R289" s="908"/>
      <c r="S289" s="113"/>
      <c r="T289" s="113"/>
      <c r="U289" s="113"/>
      <c r="V289" s="113"/>
      <c r="W289" s="113"/>
      <c r="X289" s="113"/>
      <c r="Y289" s="817"/>
      <c r="Z289" s="817"/>
      <c r="AA289" s="113"/>
      <c r="AB289" s="113"/>
      <c r="AC289" s="113"/>
      <c r="AE289" s="113"/>
      <c r="AF289" s="576"/>
      <c r="AG289" s="576"/>
      <c r="AH289" s="576"/>
      <c r="AI289" s="576"/>
      <c r="AJ289" s="576"/>
      <c r="AK289" s="576"/>
      <c r="AL289" s="576"/>
      <c r="AM289" s="576"/>
      <c r="AN289" s="1240"/>
      <c r="AO289" s="1240"/>
      <c r="AP289" s="576"/>
      <c r="AQ289" s="576"/>
      <c r="AR289" s="113"/>
      <c r="AS289" s="113"/>
      <c r="AT289" s="113"/>
      <c r="AU289" s="113"/>
      <c r="AV289" s="113"/>
      <c r="AW289" s="113"/>
      <c r="AX289" s="113"/>
      <c r="AY289" s="113"/>
      <c r="AZ289" s="113"/>
      <c r="BA289" s="113"/>
      <c r="BB289" s="113"/>
      <c r="BC289" s="113"/>
      <c r="BD289" s="113"/>
    </row>
    <row r="290" spans="1:56" s="418" customFormat="1" ht="38.25" hidden="1" customHeight="1" outlineLevel="1">
      <c r="A290" s="113"/>
      <c r="B290" s="2719" t="s">
        <v>438</v>
      </c>
      <c r="C290" s="2721"/>
      <c r="D290" s="970" t="s">
        <v>458</v>
      </c>
      <c r="E290" s="969" t="s">
        <v>853</v>
      </c>
      <c r="F290" s="969" t="s">
        <v>854</v>
      </c>
      <c r="G290" s="969" t="s">
        <v>855</v>
      </c>
      <c r="H290" s="969" t="s">
        <v>861</v>
      </c>
      <c r="I290" s="969" t="s">
        <v>852</v>
      </c>
      <c r="J290" s="970" t="s">
        <v>513</v>
      </c>
      <c r="K290" s="969" t="s">
        <v>862</v>
      </c>
      <c r="L290" s="969" t="s">
        <v>863</v>
      </c>
      <c r="M290" s="969" t="s">
        <v>514</v>
      </c>
      <c r="N290" s="972" t="s">
        <v>856</v>
      </c>
      <c r="O290" s="974" t="s">
        <v>513</v>
      </c>
      <c r="P290" s="113"/>
      <c r="Q290" s="908"/>
      <c r="R290" s="908"/>
      <c r="S290" s="113"/>
      <c r="T290" s="113"/>
      <c r="U290" s="113"/>
      <c r="V290" s="113"/>
      <c r="W290" s="113"/>
      <c r="X290" s="113"/>
      <c r="Y290" s="817"/>
      <c r="Z290" s="817"/>
      <c r="AA290" s="113"/>
      <c r="AB290" s="113"/>
      <c r="AC290" s="113"/>
      <c r="AE290" s="113"/>
      <c r="AF290" s="576"/>
      <c r="AG290" s="576"/>
      <c r="AH290" s="576"/>
      <c r="AI290" s="576"/>
      <c r="AJ290" s="576"/>
      <c r="AK290" s="576"/>
      <c r="AL290" s="576"/>
      <c r="AM290" s="576"/>
      <c r="AN290" s="1240"/>
      <c r="AO290" s="1240"/>
      <c r="AP290" s="576"/>
      <c r="AQ290" s="576"/>
      <c r="AR290" s="113"/>
      <c r="AS290" s="113"/>
      <c r="AT290" s="113"/>
      <c r="AU290" s="113"/>
      <c r="AV290" s="113"/>
      <c r="AW290" s="113"/>
      <c r="AX290" s="113"/>
      <c r="AY290" s="113"/>
      <c r="AZ290" s="113"/>
      <c r="BA290" s="113"/>
      <c r="BB290" s="113"/>
      <c r="BC290" s="113"/>
      <c r="BD290" s="113"/>
    </row>
    <row r="291" spans="1:56" s="418" customFormat="1" ht="12.75" hidden="1" customHeight="1" outlineLevel="1">
      <c r="A291" s="113"/>
      <c r="B291" s="2722" t="s">
        <v>459</v>
      </c>
      <c r="C291" s="2723"/>
      <c r="D291" s="973">
        <v>1</v>
      </c>
      <c r="E291" s="980">
        <f>SUMIF($E$9:$E$40,Utilitaires!$C$572,AF9:AF40)+SUMIF($E$9:$E$40,Utilitaires!$C$577,AF9:AF40)</f>
        <v>302942.59600000002</v>
      </c>
      <c r="F291" s="980">
        <f>SUMIF($E$9:$E$40,Utilitaires!$C$572,AH9:AH40)+SUMIF($E$9:$E$40,Utilitaires!$C$577,AH9:AH40)</f>
        <v>234.29999999999998</v>
      </c>
      <c r="G291" s="980">
        <f>SUMIF($E$9:$E$40,Utilitaires!$C$572,AJ9:AJ40)+SUMIF($E$9:$E$40,Utilitaires!$C$577,AJ9:AJ40)</f>
        <v>1577.381916</v>
      </c>
      <c r="H291" s="980">
        <v>0</v>
      </c>
      <c r="I291" s="980">
        <v>0</v>
      </c>
      <c r="J291" s="981">
        <f>SUM(E291:I291)</f>
        <v>304754.27791599999</v>
      </c>
      <c r="K291" s="982">
        <f>SUMIF($E$9:$E$40,Utilitaires!$C$572,AP9:AP40)+SUMIF($E$9:$E$40,Utilitaires!$C$577,AP9:AP40)</f>
        <v>0</v>
      </c>
      <c r="L291" s="982">
        <v>0</v>
      </c>
      <c r="M291" s="983">
        <f>SQRT(SUMPRODUCT(($E$9:$E$40=Utilitaires!$C$572)*1,AA9:AA40,AA9:AA40)+SUMPRODUCT(($E$9:$E$40=Utilitaires!$C$577)*1,AA9:AA40,AA9:AA40))</f>
        <v>14749.06855465958</v>
      </c>
      <c r="N291" s="984"/>
      <c r="O291" s="2724" t="s">
        <v>817</v>
      </c>
      <c r="P291" s="113"/>
      <c r="Q291" s="908"/>
      <c r="R291" s="908"/>
      <c r="S291" s="113"/>
      <c r="T291" s="113"/>
      <c r="U291" s="113"/>
      <c r="V291" s="113"/>
      <c r="W291" s="113"/>
      <c r="X291" s="113"/>
      <c r="Y291" s="817"/>
      <c r="Z291" s="817"/>
      <c r="AA291" s="113"/>
      <c r="AB291" s="113"/>
      <c r="AC291" s="113"/>
      <c r="AE291" s="113"/>
      <c r="AF291" s="576"/>
      <c r="AG291" s="576"/>
      <c r="AH291" s="576"/>
      <c r="AI291" s="576"/>
      <c r="AJ291" s="576"/>
      <c r="AK291" s="576"/>
      <c r="AL291" s="576"/>
      <c r="AM291" s="576"/>
      <c r="AN291" s="1240"/>
      <c r="AO291" s="1240"/>
      <c r="AP291" s="576"/>
      <c r="AQ291" s="576"/>
      <c r="AR291" s="113"/>
      <c r="AS291" s="113"/>
      <c r="AT291" s="113"/>
      <c r="AU291" s="113"/>
      <c r="AV291" s="113"/>
      <c r="AW291" s="113"/>
      <c r="AX291" s="113"/>
      <c r="AY291" s="113"/>
      <c r="AZ291" s="113"/>
      <c r="BA291" s="113"/>
      <c r="BB291" s="113"/>
      <c r="BC291" s="113"/>
      <c r="BD291" s="113"/>
    </row>
    <row r="292" spans="1:56" s="418" customFormat="1" ht="12.75" hidden="1" customHeight="1" outlineLevel="1">
      <c r="A292" s="113"/>
      <c r="B292" s="2722" t="s">
        <v>722</v>
      </c>
      <c r="C292" s="2723"/>
      <c r="D292" s="973">
        <v>2</v>
      </c>
      <c r="E292" s="980"/>
      <c r="F292" s="980"/>
      <c r="G292" s="980"/>
      <c r="H292" s="980"/>
      <c r="I292" s="980"/>
      <c r="J292" s="981"/>
      <c r="K292" s="982"/>
      <c r="L292" s="982"/>
      <c r="M292" s="983"/>
      <c r="N292" s="984"/>
      <c r="O292" s="2725"/>
      <c r="P292" s="113"/>
      <c r="Q292" s="908"/>
      <c r="R292" s="908"/>
      <c r="S292" s="113"/>
      <c r="T292" s="113"/>
      <c r="U292" s="113"/>
      <c r="V292" s="113"/>
      <c r="W292" s="113"/>
      <c r="X292" s="113"/>
      <c r="Y292" s="817"/>
      <c r="Z292" s="817"/>
      <c r="AA292" s="113"/>
      <c r="AB292" s="113"/>
      <c r="AC292" s="113"/>
      <c r="AE292" s="113"/>
      <c r="AF292" s="576"/>
      <c r="AG292" s="576"/>
      <c r="AH292" s="576"/>
      <c r="AI292" s="576"/>
      <c r="AJ292" s="576"/>
      <c r="AK292" s="576"/>
      <c r="AL292" s="576"/>
      <c r="AM292" s="576"/>
      <c r="AN292" s="1240"/>
      <c r="AO292" s="1240"/>
      <c r="AP292" s="576"/>
      <c r="AQ292" s="576"/>
      <c r="AR292" s="113"/>
      <c r="AS292" s="113"/>
      <c r="AT292" s="113"/>
      <c r="AU292" s="113"/>
      <c r="AV292" s="113"/>
      <c r="AW292" s="113"/>
      <c r="AX292" s="113"/>
      <c r="AY292" s="113"/>
      <c r="AZ292" s="113"/>
      <c r="BA292" s="113"/>
      <c r="BB292" s="113"/>
      <c r="BC292" s="113"/>
      <c r="BD292" s="113"/>
    </row>
    <row r="293" spans="1:56" s="418" customFormat="1" ht="12.75" hidden="1" customHeight="1" outlineLevel="1">
      <c r="A293" s="113"/>
      <c r="B293" s="2722" t="s">
        <v>723</v>
      </c>
      <c r="C293" s="2723"/>
      <c r="D293" s="973">
        <v>3</v>
      </c>
      <c r="E293" s="980"/>
      <c r="F293" s="980"/>
      <c r="G293" s="980"/>
      <c r="H293" s="980"/>
      <c r="I293" s="980"/>
      <c r="J293" s="981"/>
      <c r="K293" s="982"/>
      <c r="L293" s="982"/>
      <c r="M293" s="983"/>
      <c r="N293" s="984"/>
      <c r="O293" s="2725"/>
      <c r="P293" s="113"/>
      <c r="Q293" s="908"/>
      <c r="R293" s="908"/>
      <c r="S293" s="113"/>
      <c r="T293" s="113"/>
      <c r="U293" s="113"/>
      <c r="V293" s="113"/>
      <c r="W293" s="113"/>
      <c r="X293" s="113"/>
      <c r="Y293" s="817"/>
      <c r="Z293" s="817"/>
      <c r="AA293" s="113"/>
      <c r="AB293" s="113"/>
      <c r="AC293" s="113"/>
      <c r="AE293" s="113"/>
      <c r="AF293" s="576"/>
      <c r="AG293" s="576"/>
      <c r="AH293" s="576"/>
      <c r="AI293" s="576"/>
      <c r="AJ293" s="576"/>
      <c r="AK293" s="576"/>
      <c r="AL293" s="576"/>
      <c r="AM293" s="576"/>
      <c r="AN293" s="1240"/>
      <c r="AO293" s="1240"/>
      <c r="AP293" s="576"/>
      <c r="AQ293" s="576"/>
      <c r="AR293" s="113"/>
      <c r="AS293" s="113"/>
      <c r="AT293" s="113"/>
      <c r="AU293" s="113"/>
      <c r="AV293" s="113"/>
      <c r="AW293" s="113"/>
      <c r="AX293" s="113"/>
      <c r="AY293" s="113"/>
      <c r="AZ293" s="113"/>
      <c r="BA293" s="113"/>
      <c r="BB293" s="113"/>
      <c r="BC293" s="113"/>
      <c r="BD293" s="113"/>
    </row>
    <row r="294" spans="1:56" s="418" customFormat="1" ht="12.75" hidden="1" customHeight="1" outlineLevel="1">
      <c r="A294" s="113"/>
      <c r="B294" s="2722" t="s">
        <v>462</v>
      </c>
      <c r="C294" s="2723"/>
      <c r="D294" s="973">
        <v>4</v>
      </c>
      <c r="E294" s="980"/>
      <c r="F294" s="980"/>
      <c r="G294" s="980"/>
      <c r="H294" s="980"/>
      <c r="I294" s="980"/>
      <c r="J294" s="981"/>
      <c r="K294" s="982"/>
      <c r="L294" s="982"/>
      <c r="M294" s="983"/>
      <c r="N294" s="984"/>
      <c r="O294" s="2725"/>
      <c r="P294" s="113"/>
      <c r="Q294" s="908"/>
      <c r="R294" s="908"/>
      <c r="S294" s="113"/>
      <c r="T294" s="113"/>
      <c r="U294" s="113"/>
      <c r="V294" s="113"/>
      <c r="W294" s="113"/>
      <c r="X294" s="113"/>
      <c r="Y294" s="817"/>
      <c r="Z294" s="817"/>
      <c r="AA294" s="113"/>
      <c r="AB294" s="113"/>
      <c r="AC294" s="113"/>
      <c r="AE294" s="113"/>
      <c r="AF294" s="576"/>
      <c r="AG294" s="576"/>
      <c r="AH294" s="576"/>
      <c r="AI294" s="576"/>
      <c r="AJ294" s="576"/>
      <c r="AK294" s="576"/>
      <c r="AL294" s="576"/>
      <c r="AM294" s="576"/>
      <c r="AN294" s="1240"/>
      <c r="AO294" s="1240"/>
      <c r="AP294" s="576"/>
      <c r="AQ294" s="576"/>
      <c r="AR294" s="113"/>
      <c r="AS294" s="113"/>
      <c r="AT294" s="113"/>
      <c r="AU294" s="113"/>
      <c r="AV294" s="113"/>
      <c r="AW294" s="113"/>
      <c r="AX294" s="113"/>
      <c r="AY294" s="113"/>
      <c r="AZ294" s="113"/>
      <c r="BA294" s="113"/>
      <c r="BB294" s="113"/>
      <c r="BC294" s="113"/>
      <c r="BD294" s="113"/>
    </row>
    <row r="295" spans="1:56" s="418" customFormat="1" ht="12.75" hidden="1" customHeight="1" outlineLevel="1">
      <c r="A295" s="113"/>
      <c r="B295" s="2722" t="s">
        <v>812</v>
      </c>
      <c r="C295" s="2723"/>
      <c r="D295" s="973">
        <v>5</v>
      </c>
      <c r="E295" s="980"/>
      <c r="F295" s="980"/>
      <c r="G295" s="980"/>
      <c r="H295" s="980"/>
      <c r="I295" s="980"/>
      <c r="J295" s="981"/>
      <c r="K295" s="982"/>
      <c r="L295" s="982"/>
      <c r="M295" s="983"/>
      <c r="N295" s="985"/>
      <c r="O295" s="2725"/>
      <c r="P295" s="113"/>
      <c r="Q295" s="908"/>
      <c r="R295" s="908"/>
      <c r="S295" s="113"/>
      <c r="T295" s="113"/>
      <c r="U295" s="113"/>
      <c r="V295" s="113"/>
      <c r="W295" s="113"/>
      <c r="X295" s="113"/>
      <c r="Y295" s="817"/>
      <c r="Z295" s="817"/>
      <c r="AA295" s="113"/>
      <c r="AB295" s="113"/>
      <c r="AC295" s="113"/>
      <c r="AE295" s="113"/>
      <c r="AF295" s="576"/>
      <c r="AG295" s="576"/>
      <c r="AH295" s="576"/>
      <c r="AI295" s="576"/>
      <c r="AJ295" s="576"/>
      <c r="AK295" s="576"/>
      <c r="AL295" s="576"/>
      <c r="AM295" s="576"/>
      <c r="AN295" s="1240"/>
      <c r="AO295" s="1240"/>
      <c r="AP295" s="576"/>
      <c r="AQ295" s="576"/>
      <c r="AR295" s="113"/>
      <c r="AS295" s="113"/>
      <c r="AT295" s="113"/>
      <c r="AU295" s="113"/>
      <c r="AV295" s="113"/>
      <c r="AW295" s="113"/>
      <c r="AX295" s="113"/>
      <c r="AY295" s="113"/>
      <c r="AZ295" s="113"/>
      <c r="BA295" s="113"/>
      <c r="BB295" s="113"/>
      <c r="BC295" s="113"/>
      <c r="BD295" s="113"/>
    </row>
    <row r="296" spans="1:56" s="418" customFormat="1" ht="12.75" hidden="1" customHeight="1" outlineLevel="1">
      <c r="A296" s="113"/>
      <c r="B296" s="2727" t="s">
        <v>726</v>
      </c>
      <c r="C296" s="2728"/>
      <c r="D296" s="2729"/>
      <c r="E296" s="986">
        <f>SUM(E291:E295)</f>
        <v>302942.59600000002</v>
      </c>
      <c r="F296" s="986">
        <f t="shared" ref="F296:N296" si="46">SUM(F291:F295)</f>
        <v>234.29999999999998</v>
      </c>
      <c r="G296" s="986">
        <f t="shared" si="46"/>
        <v>1577.381916</v>
      </c>
      <c r="H296" s="986">
        <f t="shared" si="46"/>
        <v>0</v>
      </c>
      <c r="I296" s="986">
        <f t="shared" si="46"/>
        <v>0</v>
      </c>
      <c r="J296" s="986">
        <f t="shared" si="46"/>
        <v>304754.27791599999</v>
      </c>
      <c r="K296" s="987">
        <f t="shared" si="46"/>
        <v>0</v>
      </c>
      <c r="L296" s="987">
        <f t="shared" si="46"/>
        <v>0</v>
      </c>
      <c r="M296" s="988">
        <f>SQRT(SUMSQ(M291:M295))</f>
        <v>14749.06855465958</v>
      </c>
      <c r="N296" s="989">
        <f t="shared" si="46"/>
        <v>0</v>
      </c>
      <c r="O296" s="2726"/>
      <c r="P296" s="113"/>
      <c r="Q296" s="908"/>
      <c r="R296" s="908"/>
      <c r="S296" s="113"/>
      <c r="T296" s="113"/>
      <c r="U296" s="113"/>
      <c r="V296" s="113"/>
      <c r="W296" s="113"/>
      <c r="X296" s="113"/>
      <c r="Y296" s="817"/>
      <c r="Z296" s="817"/>
      <c r="AA296" s="113"/>
      <c r="AB296" s="113"/>
      <c r="AC296" s="113"/>
      <c r="AE296" s="113"/>
      <c r="AF296" s="576"/>
      <c r="AG296" s="576"/>
      <c r="AH296" s="576"/>
      <c r="AI296" s="576"/>
      <c r="AJ296" s="576"/>
      <c r="AK296" s="576"/>
      <c r="AL296" s="576"/>
      <c r="AM296" s="576"/>
      <c r="AN296" s="1240"/>
      <c r="AO296" s="1240"/>
      <c r="AP296" s="576"/>
      <c r="AQ296" s="576"/>
      <c r="AR296" s="113"/>
      <c r="AS296" s="113"/>
      <c r="AT296" s="113"/>
      <c r="AU296" s="113"/>
      <c r="AV296" s="113"/>
      <c r="AW296" s="113"/>
      <c r="AX296" s="113"/>
      <c r="AY296" s="113"/>
      <c r="AZ296" s="113"/>
      <c r="BA296" s="113"/>
      <c r="BB296" s="113"/>
      <c r="BC296" s="113"/>
      <c r="BD296" s="113"/>
    </row>
    <row r="297" spans="1:56" s="418" customFormat="1" ht="12.75" hidden="1" customHeight="1" outlineLevel="1">
      <c r="A297" s="113"/>
      <c r="B297" s="2722" t="s">
        <v>464</v>
      </c>
      <c r="C297" s="2723"/>
      <c r="D297" s="973">
        <v>6</v>
      </c>
      <c r="E297" s="980">
        <f>SUMIF($E$82:$E$109,Utilitaires!$C$572,AF82:AF109)+SUMIF($E$82:$E$109,Utilitaires!$C$577,AF82:AF109)+SUMIF($E$111:$E$174,Utilitaires!$C$572,AE111:AE174)+SUMIF($E$111:$E$174,Utilitaires!$C$577,AE111:AE174)+SUMIF($E$180:$E$184,Utilitaires!$C$572,AF180:AF184)+SUMIF($E$180:$E$184,Utilitaires!$C$577,AF180:AF184)</f>
        <v>19289.968499999999</v>
      </c>
      <c r="F297" s="980">
        <f>SUMIF($E$82:$E$109,Utilitaires!$C$572,AH82:AH109)+SUMIF($E$82:$E$109,Utilitaires!$C$577,AH82:AH109)+SUMIF($E$111:$E$174,Utilitaires!$C$572,AF111:AF174)+SUMIF($E$111:$E$174,Utilitaires!$C$577,AF111:AF174)+SUMIF($E$180:$E$184,Utilitaires!$C$572,AH180:AH184)+SUMIF($E$180:$E$184,Utilitaires!$C$577,AH180:AH184)</f>
        <v>0</v>
      </c>
      <c r="G297" s="980">
        <f>SUMIF($E$82:$E$109,Utilitaires!$C$572,AJ82:AJ109)+SUMIF($E$82:$E$109,Utilitaires!$C$577,AJ82:AJ109)+SUMIF($E$111:$E$174,Utilitaires!$C$572,AG111:AG174)+SUMIF($E$111:$E$174,Utilitaires!$C$577,AG111:AG174)+SUMIF($E$180:$E$184,Utilitaires!$C$572,AJ180:APE184)+SUMIF($E$180:$E$184,Utilitaires!$C$577,AJ180:AJ184)</f>
        <v>0</v>
      </c>
      <c r="H297" s="980">
        <v>0</v>
      </c>
      <c r="I297" s="980">
        <v>0</v>
      </c>
      <c r="J297" s="981">
        <f>SUM(E297:I297)</f>
        <v>19289.968499999999</v>
      </c>
      <c r="K297" s="982">
        <f>SUMIF($E$82:$E$109,Utilitaires!$C$572,AP82:AP109)+SUMIF($E$82:$E$109,Utilitaires!$C$577,AP82:AP109)+SUMIF($E$111:$E$174,Utilitaires!$C$572,AJ111:AJ174)+SUMIF($E$111:$E$174,Utilitaires!$C$577,AJ111:AJ174)+SUMIF($E$180:$E$184,Utilitaires!$C$572,AP180:AP184)+SUMIF($E$180:$E$184,Utilitaires!$C$577,AP180:AP184)</f>
        <v>0</v>
      </c>
      <c r="L297" s="982">
        <v>0</v>
      </c>
      <c r="M297" s="983">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1928.99685</v>
      </c>
      <c r="N297" s="984"/>
      <c r="O297" s="990"/>
      <c r="P297" s="113"/>
      <c r="Q297" s="908"/>
      <c r="R297" s="908"/>
      <c r="S297" s="113"/>
      <c r="T297" s="113"/>
      <c r="U297" s="113"/>
      <c r="V297" s="113"/>
      <c r="W297" s="113"/>
      <c r="X297" s="113"/>
      <c r="Y297" s="817"/>
      <c r="Z297" s="817"/>
      <c r="AA297" s="113"/>
      <c r="AB297" s="113"/>
      <c r="AC297" s="113"/>
      <c r="AE297" s="113"/>
      <c r="AF297" s="576"/>
      <c r="AG297" s="576"/>
      <c r="AH297" s="576"/>
      <c r="AI297" s="576"/>
      <c r="AJ297" s="576"/>
      <c r="AK297" s="576"/>
      <c r="AL297" s="576"/>
      <c r="AM297" s="576"/>
      <c r="AN297" s="1240"/>
      <c r="AO297" s="1240"/>
      <c r="AP297" s="576"/>
      <c r="AQ297" s="576"/>
      <c r="AR297" s="113"/>
      <c r="AS297" s="113"/>
      <c r="AT297" s="113"/>
      <c r="AU297" s="113"/>
      <c r="AV297" s="113"/>
      <c r="AW297" s="113"/>
      <c r="AX297" s="113"/>
      <c r="AY297" s="113"/>
      <c r="AZ297" s="113"/>
      <c r="BA297" s="113"/>
      <c r="BB297" s="113"/>
      <c r="BC297" s="113"/>
      <c r="BD297" s="113"/>
    </row>
    <row r="298" spans="1:56" s="418" customFormat="1" ht="12.75" hidden="1" customHeight="1" outlineLevel="1">
      <c r="A298" s="113"/>
      <c r="B298" s="2722" t="s">
        <v>813</v>
      </c>
      <c r="C298" s="2723"/>
      <c r="D298" s="973">
        <v>7</v>
      </c>
      <c r="E298" s="980">
        <f>(1/(1+10%))*SUMIF($E$59:$E$77,Utilitaires!$C$572,AE59:AE77)+(1/(1+10%))*SUMIF($E$59:$E$77,Utilitaires!$C$577,AE59:AE77)</f>
        <v>0</v>
      </c>
      <c r="F298" s="980">
        <f>(1/(1+10%))*SUMIF($E$59:$E$77,Utilitaires!$C$572,AF59:AF77)+(1/(1+10%))*SUMIF($E$59:$E$77,Utilitaires!$C$577,AF59:AF77)</f>
        <v>0</v>
      </c>
      <c r="G298" s="980">
        <f>(1/(1+10%))*SUMIF($E$59:$E$77,Utilitaires!$C$572,AG59:AG77)+(1/(1+10%))*SUMIF($E$59:$E$77,Utilitaires!$C$577,AG59:AG77)</f>
        <v>0</v>
      </c>
      <c r="H298" s="980">
        <v>0</v>
      </c>
      <c r="I298" s="980">
        <v>0</v>
      </c>
      <c r="J298" s="981">
        <f>SUM(E298:I298)</f>
        <v>0</v>
      </c>
      <c r="K298" s="982">
        <f>(1/(1+10%))*SUMIF($E$59:$E$77,Utilitaires!$C$572,AJ59:AJ77)+(1/(1+10%))*SUMIF($E$59:$E$77,Utilitaires!$C$577,AJ59:AJ77)</f>
        <v>0</v>
      </c>
      <c r="L298" s="982">
        <v>0</v>
      </c>
      <c r="M298" s="983">
        <f>(1/SQRT((1+10%^2)))*SQRT(SUMPRODUCT(($E$59:$E$67=Utilitaires!$C$572)*1,AB59:AB67,AB59:AB67)+SUMPRODUCT(($E$59:$E$67=Utilitaires!$C$577)*1,AB59:AB67,AB59:AB67)+SUMPRODUCT(($E$69:$E$77=Utilitaires!$C$572)*1,AB69:AB77,AB69:AB77)+SUMPRODUCT(($E$69:$E$77=Utilitaires!$C$577)*1,AB69:AB77,AB69:AB77))</f>
        <v>0</v>
      </c>
      <c r="N298" s="984"/>
      <c r="O298" s="984"/>
      <c r="P298" s="113"/>
      <c r="Q298" s="908"/>
      <c r="R298" s="908"/>
      <c r="S298" s="113"/>
      <c r="T298" s="113"/>
      <c r="U298" s="113"/>
      <c r="V298" s="113"/>
      <c r="W298" s="113"/>
      <c r="X298" s="113"/>
      <c r="Y298" s="817"/>
      <c r="Z298" s="817"/>
      <c r="AA298" s="113"/>
      <c r="AB298" s="113"/>
      <c r="AC298" s="113"/>
      <c r="AE298" s="113"/>
      <c r="AF298" s="576"/>
      <c r="AG298" s="576"/>
      <c r="AH298" s="576"/>
      <c r="AI298" s="576"/>
      <c r="AJ298" s="576"/>
      <c r="AK298" s="576"/>
      <c r="AL298" s="576"/>
      <c r="AM298" s="576"/>
      <c r="AN298" s="1240"/>
      <c r="AO298" s="1240"/>
      <c r="AP298" s="576"/>
      <c r="AQ298" s="576"/>
      <c r="AR298" s="113"/>
      <c r="AS298" s="113"/>
      <c r="AT298" s="113"/>
      <c r="AU298" s="113"/>
      <c r="AV298" s="113"/>
      <c r="AW298" s="113"/>
      <c r="AX298" s="113"/>
      <c r="AY298" s="113"/>
      <c r="AZ298" s="113"/>
      <c r="BA298" s="113"/>
      <c r="BB298" s="113"/>
      <c r="BC298" s="113"/>
      <c r="BD298" s="113"/>
    </row>
    <row r="299" spans="1:56" s="418" customFormat="1" ht="12.75" hidden="1" customHeight="1" outlineLevel="1">
      <c r="A299" s="113"/>
      <c r="B299" s="2727" t="s">
        <v>725</v>
      </c>
      <c r="C299" s="2728"/>
      <c r="D299" s="2729"/>
      <c r="E299" s="986">
        <f>SUM(E297:E298)</f>
        <v>19289.968499999999</v>
      </c>
      <c r="F299" s="986">
        <f t="shared" ref="F299:O299" si="47">SUM(F297:F298)</f>
        <v>0</v>
      </c>
      <c r="G299" s="986">
        <f t="shared" si="47"/>
        <v>0</v>
      </c>
      <c r="H299" s="986">
        <f t="shared" si="47"/>
        <v>0</v>
      </c>
      <c r="I299" s="986">
        <f t="shared" si="47"/>
        <v>0</v>
      </c>
      <c r="J299" s="986">
        <f t="shared" si="47"/>
        <v>19289.968499999999</v>
      </c>
      <c r="K299" s="987">
        <f t="shared" si="47"/>
        <v>0</v>
      </c>
      <c r="L299" s="987">
        <f t="shared" si="47"/>
        <v>0</v>
      </c>
      <c r="M299" s="988">
        <f>SQRT(SUMSQ(M297:M298))</f>
        <v>1928.99685</v>
      </c>
      <c r="N299" s="989">
        <f t="shared" si="47"/>
        <v>0</v>
      </c>
      <c r="O299" s="989">
        <f t="shared" si="47"/>
        <v>0</v>
      </c>
      <c r="P299" s="113"/>
      <c r="Q299" s="908"/>
      <c r="R299" s="908"/>
      <c r="S299" s="113"/>
      <c r="T299" s="113"/>
      <c r="U299" s="113"/>
      <c r="V299" s="113"/>
      <c r="W299" s="113"/>
      <c r="X299" s="113"/>
      <c r="Y299" s="817"/>
      <c r="Z299" s="817"/>
      <c r="AA299" s="113"/>
      <c r="AB299" s="113"/>
      <c r="AC299" s="113"/>
      <c r="AE299" s="113"/>
      <c r="AF299" s="576"/>
      <c r="AG299" s="576"/>
      <c r="AH299" s="576"/>
      <c r="AI299" s="576"/>
      <c r="AJ299" s="576"/>
      <c r="AK299" s="576"/>
      <c r="AL299" s="576"/>
      <c r="AM299" s="576"/>
      <c r="AN299" s="1240"/>
      <c r="AO299" s="1240"/>
      <c r="AP299" s="576"/>
      <c r="AQ299" s="576"/>
      <c r="AR299" s="113"/>
      <c r="AS299" s="113"/>
      <c r="AT299" s="113"/>
      <c r="AU299" s="113"/>
      <c r="AV299" s="113"/>
      <c r="AW299" s="113"/>
      <c r="AX299" s="113"/>
      <c r="AY299" s="113"/>
      <c r="AZ299" s="113"/>
      <c r="BA299" s="113"/>
      <c r="BB299" s="113"/>
      <c r="BC299" s="113"/>
      <c r="BD299" s="113"/>
    </row>
    <row r="300" spans="1:56" s="418" customFormat="1" ht="12.75" hidden="1" customHeight="1" outlineLevel="1">
      <c r="A300" s="113"/>
      <c r="B300" s="2722" t="s">
        <v>466</v>
      </c>
      <c r="C300" s="2723"/>
      <c r="D300" s="973">
        <v>8</v>
      </c>
      <c r="E300" s="980">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67500.7356</v>
      </c>
      <c r="F300" s="980">
        <f>SUMIF($E$9:$E$40,Utilitaires!$C$572,AG9:AG40)+SUMIF($E$9:$E$40,Utilitaires!$C$577,AG9:AG40)+
SUMIF($E$82:$E$109,Utilitaires!$C$572,AG82:AG109)+SUMIF($E$82:$E$109,Utilitaires!$C$577,AG82:AG109)+
$G190*SUMIF($E$111:$E$174,Utilitaires!$C$572,AF111:AF174)+$G190*SUMIF($E$111:$E$174,Utilitaires!$C$577,AF111:AF174)+
(1+$G190)*SUMIF($E$180:$E$184,Utilitaires!$C$572,AG180:AG184)+(1+$G190)*SUMIF($E$180:$E$184,Utilitaires!$C$577,AG180:AG184)+$G190*SUMIF($E$180:$E$184,Utilitaires!$C$572,AH180:AH184)+$G190*SUMIF($E$180:$E$184,Utilitaires!$C$577,AH180:AH184)
+(10%/(1+10%))*SUMIF($E$59:$E$77,Utilitaires!$C$572,AF59:AF77)+(10%/(1+10%))*SUMIF($E$59:$E$77,Utilitaires!$C$577,AF59:AF77)</f>
        <v>5865.3745920000001</v>
      </c>
      <c r="G300" s="980">
        <f>SUMIF($E$9:$E$40,Utilitaires!$C$572,AI9:AI40)+SUMIF($E$9:$E$40,Utilitaires!$C$577,AI9:AI40)+
SUMIF($E$82:$E$109,Utilitaires!$C$572,AI82:AI109)+SUMIF($E$82:$E$109,Utilitaires!$C$577,AI82:AI109)+
$G190*SUMIF($E$111:$E$174,Utilitaires!$C$572,AG111:AG174)+$G190*SUMIF($E$111:$E$174,Utilitaires!$C$577,AG111:AG174)+
(1+$G190)*SUMIF($E$180:$E$184,Utilitaires!$C$572,AI180:AI184)+(1+$G190)*SUMIF($E$180:$E$184,Utilitaires!$C$577,AI180:AI184)+$G190*SUMIF($E$180:$E$184,Utilitaires!$C$572,AJ180:AJ184)+$G190*SUMIF($E$180:$E$184,Utilitaires!$C$577,AJ180:AJ184)
+(10%/(1+10%))*SUMIF($E$59:$E$77,Utilitaires!$C$572,AG59:AG77)+(10%/(1+10%))*SUMIF($E$59:$E$77,Utilitaires!$C$577,AG59:AG77)</f>
        <v>14.65662</v>
      </c>
      <c r="H300" s="980">
        <v>0</v>
      </c>
      <c r="I300" s="980">
        <v>0</v>
      </c>
      <c r="J300" s="981">
        <f>SUM(E300:I300)</f>
        <v>73380.766811999987</v>
      </c>
      <c r="K300" s="982">
        <f>SUMIF($E$9:$E$40,Utilitaires!$C$572,AO9:AO40)+SUMIF($E$9:$E$40,Utilitaires!$C$577,AO9:AO40)+
SUMIF($E$97:$E$109,Utilitaires!$C$572,AO97:AO109)+SUMIF($E$97:$E$109,Utilitaires!$C$577,AO97:AO109)+
$G190*SUMIF($E$111:$E$174,Utilitaires!$C$572,AJ111:AJ174)+$G190*SUMIF($E$111:$E$174,Utilitaires!$C$577,AJ111:AJ174)+
(1+$G190)*SUMIF($E$180:$E$184,Utilitaires!$C$572,AO180:AO184)+(1+$G190)*SUMIF($E$180:$E$184,Utilitaires!$C$577,AO180:AO184)+$G190*SUMIF($E$180:$E$184,Utilitaires!$C$572,AP180:AP184)+$G190*SUMIF($E$180:$E$184,Utilitaires!$C$577,AP180:AP184)
+(10%/(1+10%))*SUMIF($E$59:$E$77,Utilitaires!$C$572,AJ59:AJ77)+(10%/(1+10%))*SUMIF($E$59:$E$77,Utilitaires!$C$577,AJ59:AJ77)</f>
        <v>0</v>
      </c>
      <c r="L300" s="982">
        <v>0</v>
      </c>
      <c r="M300" s="983">
        <f>SQRT(
SUMPRODUCT(($E$9:$E$40=Utilitaires!$C$572)*1,Z9:Z40,Z9:Z40)+SUMPRODUCT(($E$9:$E$40=Utilitaires!$C$577)*1,Z9:Z40,Z9:Z40)+
SUMPRODUCT(($E$59:$E$67=Utilitaires!$C$572)*1,AB59:AB67,AB59:AB67)+SUMPRODUCT(($E$59:$E$67=Utilitaires!$C$577)*1,AB59:AB67,AB59:AB67)+
SUMPRODUCT(($E$69:$E$77=Utilitaires!$C$572)*1,AB69:AB77,AB69:AB77)+SUMPRODUCT(($E$69:$E$77=Utilitaires!$C$577)*1,AB69:AB77,AB69:AB77)-M298^2
+(1+$G190^2)*(SUMPRODUCT(($E$82:$E$109=Utilitaires!$C$572)*1,Z82:Z109,Z82:Z109)+SUMPRODUCT(($E$82:$E$109=Utilitaires!$C$577)*1,Z82:Z109,Z82:Z109))
+$G190^2*(SUMPRODUCT(($E$82:$E$109=Utilitaires!$C$572)*1,AA82:AA109,AA82:AA109)+SUMPRODUCT(($E$82:$E$109=Utilitaires!$C$577)*1,AA82:AA109,AA82:AA109))
+(1+$G190^2)*(SUMPRODUCT(($E$180:$E$184=Utilitaires!$C$572)*1,Z180:Z184,Z180:Z184)+SUMPRODUCT(($E$180:$E$184=Utilitaires!$C$577)*1,Z180:Z184,Z180:Z184))
+$G190^2*(SUMPRODUCT(($E$180:$E$184=Utilitaires!$C$572)*1,AA180:AA184,AA180:AA184)+SUMPRODUCT(($E$180:$E$184=Utilitaires!$C$577)*1,AA180:AA184,AA180:AA184))
+$G190^2*(SUMPRODUCT(($E$111:$E$174=Utilitaires!$C$572)*1,AC111:AC174,AC111:AC174)+SUMPRODUCT(($E$111:$E$174=Utilitaires!$C$577)*1,AC111:AC174,AC111:AC174)))</f>
        <v>3214.9156058606336</v>
      </c>
      <c r="N300" s="984"/>
      <c r="O300" s="984"/>
      <c r="P300" s="113"/>
      <c r="Q300" s="908"/>
      <c r="R300" s="908"/>
      <c r="S300" s="113"/>
      <c r="T300" s="113"/>
      <c r="U300" s="113"/>
      <c r="V300" s="113"/>
      <c r="W300" s="113"/>
      <c r="X300" s="113"/>
      <c r="Y300" s="817"/>
      <c r="Z300" s="817"/>
      <c r="AA300" s="113"/>
      <c r="AB300" s="113"/>
      <c r="AC300" s="113"/>
      <c r="AE300" s="113"/>
      <c r="AF300" s="576"/>
      <c r="AG300" s="576"/>
      <c r="AH300" s="576"/>
      <c r="AI300" s="576"/>
      <c r="AJ300" s="576"/>
      <c r="AK300" s="576"/>
      <c r="AL300" s="576"/>
      <c r="AM300" s="576"/>
      <c r="AN300" s="1240"/>
      <c r="AO300" s="1240"/>
      <c r="AP300" s="576"/>
      <c r="AQ300" s="576"/>
      <c r="AR300" s="113"/>
      <c r="AS300" s="113"/>
      <c r="AT300" s="113"/>
      <c r="AU300" s="113"/>
      <c r="AV300" s="113"/>
      <c r="AW300" s="113"/>
      <c r="AX300" s="113"/>
      <c r="AY300" s="113"/>
      <c r="AZ300" s="113"/>
      <c r="BA300" s="113"/>
      <c r="BB300" s="113"/>
      <c r="BC300" s="113"/>
      <c r="BD300" s="113"/>
    </row>
    <row r="301" spans="1:56" s="418" customFormat="1" ht="12.75" hidden="1" customHeight="1" outlineLevel="1">
      <c r="A301" s="113"/>
      <c r="B301" s="2722" t="s">
        <v>814</v>
      </c>
      <c r="C301" s="2723"/>
      <c r="D301" s="973">
        <v>9</v>
      </c>
      <c r="E301" s="980"/>
      <c r="F301" s="980"/>
      <c r="G301" s="980"/>
      <c r="H301" s="980"/>
      <c r="I301" s="980"/>
      <c r="J301" s="981"/>
      <c r="K301" s="982"/>
      <c r="L301" s="982"/>
      <c r="M301" s="983"/>
      <c r="N301" s="984"/>
      <c r="O301" s="984"/>
      <c r="P301" s="113"/>
      <c r="Q301" s="908"/>
      <c r="R301" s="908"/>
      <c r="S301" s="113"/>
      <c r="T301" s="113"/>
      <c r="U301" s="113"/>
      <c r="V301" s="113"/>
      <c r="W301" s="113"/>
      <c r="X301" s="113"/>
      <c r="Y301" s="817"/>
      <c r="Z301" s="817"/>
      <c r="AA301" s="113"/>
      <c r="AB301" s="113"/>
      <c r="AC301" s="113"/>
      <c r="AE301" s="113"/>
      <c r="AF301" s="576"/>
      <c r="AG301" s="576"/>
      <c r="AH301" s="576"/>
      <c r="AI301" s="576"/>
      <c r="AJ301" s="576"/>
      <c r="AK301" s="576"/>
      <c r="AL301" s="576"/>
      <c r="AM301" s="576"/>
      <c r="AN301" s="1240"/>
      <c r="AO301" s="1240"/>
      <c r="AP301" s="576"/>
      <c r="AQ301" s="576"/>
      <c r="AR301" s="113"/>
      <c r="AS301" s="113"/>
      <c r="AT301" s="113"/>
      <c r="AU301" s="113"/>
      <c r="AV301" s="113"/>
      <c r="AW301" s="113"/>
      <c r="AX301" s="113"/>
      <c r="AY301" s="113"/>
      <c r="AZ301" s="113"/>
      <c r="BA301" s="113"/>
      <c r="BB301" s="113"/>
      <c r="BC301" s="113"/>
      <c r="BD301" s="113"/>
    </row>
    <row r="302" spans="1:56" s="418" customFormat="1" ht="12.75" hidden="1" customHeight="1" outlineLevel="1">
      <c r="A302" s="113"/>
      <c r="B302" s="2722" t="s">
        <v>734</v>
      </c>
      <c r="C302" s="2723"/>
      <c r="D302" s="973">
        <v>10</v>
      </c>
      <c r="E302" s="980"/>
      <c r="F302" s="980"/>
      <c r="G302" s="980"/>
      <c r="H302" s="980"/>
      <c r="I302" s="980"/>
      <c r="J302" s="981"/>
      <c r="K302" s="982"/>
      <c r="L302" s="982"/>
      <c r="M302" s="983"/>
      <c r="N302" s="984"/>
      <c r="O302" s="984"/>
      <c r="P302" s="113"/>
      <c r="Q302" s="908"/>
      <c r="R302" s="908"/>
      <c r="S302" s="113"/>
      <c r="T302" s="113"/>
      <c r="U302" s="113"/>
      <c r="V302" s="113"/>
      <c r="W302" s="113"/>
      <c r="X302" s="113"/>
      <c r="Y302" s="817"/>
      <c r="Z302" s="817"/>
      <c r="AA302" s="113"/>
      <c r="AB302" s="113"/>
      <c r="AC302" s="113"/>
      <c r="AE302" s="113"/>
      <c r="AF302" s="576"/>
      <c r="AG302" s="576"/>
      <c r="AH302" s="576"/>
      <c r="AI302" s="576"/>
      <c r="AJ302" s="576"/>
      <c r="AK302" s="576"/>
      <c r="AL302" s="576"/>
      <c r="AM302" s="576"/>
      <c r="AN302" s="1240"/>
      <c r="AO302" s="1240"/>
      <c r="AP302" s="576"/>
      <c r="AQ302" s="576"/>
      <c r="AR302" s="113"/>
      <c r="AS302" s="113"/>
      <c r="AT302" s="113"/>
      <c r="AU302" s="113"/>
      <c r="AV302" s="113"/>
      <c r="AW302" s="113"/>
      <c r="AX302" s="113"/>
      <c r="AY302" s="113"/>
      <c r="AZ302" s="113"/>
      <c r="BA302" s="113"/>
      <c r="BB302" s="113"/>
      <c r="BC302" s="113"/>
      <c r="BD302" s="113"/>
    </row>
    <row r="303" spans="1:56" s="418" customFormat="1" ht="12.75" hidden="1" customHeight="1" outlineLevel="1">
      <c r="A303" s="113"/>
      <c r="B303" s="2722" t="s">
        <v>736</v>
      </c>
      <c r="C303" s="2723"/>
      <c r="D303" s="973">
        <v>11</v>
      </c>
      <c r="E303" s="980"/>
      <c r="F303" s="980"/>
      <c r="G303" s="980"/>
      <c r="H303" s="980"/>
      <c r="I303" s="980"/>
      <c r="J303" s="981"/>
      <c r="K303" s="982"/>
      <c r="L303" s="982"/>
      <c r="M303" s="983"/>
      <c r="N303" s="984"/>
      <c r="O303" s="984"/>
      <c r="P303" s="113"/>
      <c r="Q303" s="908"/>
      <c r="R303" s="908"/>
      <c r="S303" s="113"/>
      <c r="T303" s="113"/>
      <c r="U303" s="113"/>
      <c r="V303" s="113"/>
      <c r="W303" s="113"/>
      <c r="X303" s="113"/>
      <c r="Y303" s="817"/>
      <c r="Z303" s="817"/>
      <c r="AA303" s="113"/>
      <c r="AB303" s="113"/>
      <c r="AC303" s="113"/>
      <c r="AE303" s="113"/>
      <c r="AF303" s="576"/>
      <c r="AG303" s="576"/>
      <c r="AH303" s="576"/>
      <c r="AI303" s="576"/>
      <c r="AJ303" s="576"/>
      <c r="AK303" s="576"/>
      <c r="AL303" s="576"/>
      <c r="AM303" s="576"/>
      <c r="AN303" s="1240"/>
      <c r="AO303" s="1240"/>
      <c r="AP303" s="576"/>
      <c r="AQ303" s="576"/>
      <c r="AR303" s="113"/>
      <c r="AS303" s="113"/>
      <c r="AT303" s="113"/>
      <c r="AU303" s="113"/>
      <c r="AV303" s="113"/>
      <c r="AW303" s="113"/>
      <c r="AX303" s="113"/>
      <c r="AY303" s="113"/>
      <c r="AZ303" s="113"/>
      <c r="BA303" s="113"/>
      <c r="BB303" s="113"/>
      <c r="BC303" s="113"/>
      <c r="BD303" s="113"/>
    </row>
    <row r="304" spans="1:56" s="418" customFormat="1" ht="12.75" hidden="1" customHeight="1" outlineLevel="1">
      <c r="A304" s="113"/>
      <c r="B304" s="2722" t="s">
        <v>815</v>
      </c>
      <c r="C304" s="2723"/>
      <c r="D304" s="973">
        <v>12</v>
      </c>
      <c r="E304" s="980"/>
      <c r="F304" s="980"/>
      <c r="G304" s="980"/>
      <c r="H304" s="980"/>
      <c r="I304" s="980"/>
      <c r="J304" s="981"/>
      <c r="K304" s="982"/>
      <c r="L304" s="982"/>
      <c r="M304" s="983"/>
      <c r="N304" s="984"/>
      <c r="O304" s="984"/>
      <c r="P304" s="113"/>
      <c r="Q304" s="908"/>
      <c r="R304" s="908"/>
      <c r="S304" s="113"/>
      <c r="T304" s="113"/>
      <c r="U304" s="113"/>
      <c r="V304" s="113"/>
      <c r="W304" s="113"/>
      <c r="X304" s="113"/>
      <c r="Y304" s="817"/>
      <c r="Z304" s="817"/>
      <c r="AA304" s="113"/>
      <c r="AB304" s="113"/>
      <c r="AC304" s="113"/>
      <c r="AE304" s="113"/>
      <c r="AF304" s="576"/>
      <c r="AG304" s="576"/>
      <c r="AH304" s="576"/>
      <c r="AI304" s="576"/>
      <c r="AJ304" s="576"/>
      <c r="AK304" s="576"/>
      <c r="AL304" s="576"/>
      <c r="AM304" s="576"/>
      <c r="AN304" s="1240"/>
      <c r="AO304" s="1240"/>
      <c r="AP304" s="576"/>
      <c r="AQ304" s="576"/>
      <c r="AR304" s="113"/>
      <c r="AS304" s="113"/>
      <c r="AT304" s="113"/>
      <c r="AU304" s="113"/>
      <c r="AV304" s="113"/>
      <c r="AW304" s="113"/>
      <c r="AX304" s="113"/>
      <c r="AY304" s="113"/>
      <c r="AZ304" s="113"/>
      <c r="BA304" s="113"/>
      <c r="BB304" s="113"/>
      <c r="BC304" s="113"/>
      <c r="BD304" s="113"/>
    </row>
    <row r="305" spans="1:56" s="418" customFormat="1" ht="12.75" hidden="1" customHeight="1" outlineLevel="1">
      <c r="A305" s="113"/>
      <c r="B305" s="2722" t="s">
        <v>470</v>
      </c>
      <c r="C305" s="2723"/>
      <c r="D305" s="973">
        <v>13</v>
      </c>
      <c r="E305" s="980"/>
      <c r="F305" s="980"/>
      <c r="G305" s="980"/>
      <c r="H305" s="980"/>
      <c r="I305" s="980"/>
      <c r="J305" s="981"/>
      <c r="K305" s="982"/>
      <c r="L305" s="982"/>
      <c r="M305" s="983"/>
      <c r="N305" s="984"/>
      <c r="O305" s="984"/>
      <c r="P305" s="113"/>
      <c r="Q305" s="908"/>
      <c r="R305" s="908"/>
      <c r="S305" s="113"/>
      <c r="T305" s="113"/>
      <c r="U305" s="113"/>
      <c r="V305" s="113"/>
      <c r="W305" s="113"/>
      <c r="X305" s="113"/>
      <c r="Y305" s="817"/>
      <c r="Z305" s="817"/>
      <c r="AA305" s="113"/>
      <c r="AB305" s="113"/>
      <c r="AC305" s="113"/>
      <c r="AE305" s="113"/>
      <c r="AF305" s="576"/>
      <c r="AG305" s="576"/>
      <c r="AH305" s="576"/>
      <c r="AI305" s="576"/>
      <c r="AJ305" s="576"/>
      <c r="AK305" s="576"/>
      <c r="AL305" s="576"/>
      <c r="AM305" s="576"/>
      <c r="AN305" s="1240"/>
      <c r="AO305" s="1240"/>
      <c r="AP305" s="576"/>
      <c r="AQ305" s="576"/>
      <c r="AR305" s="113"/>
      <c r="AS305" s="113"/>
      <c r="AT305" s="113"/>
      <c r="AU305" s="113"/>
      <c r="AV305" s="113"/>
      <c r="AW305" s="113"/>
      <c r="AX305" s="113"/>
      <c r="AY305" s="113"/>
      <c r="AZ305" s="113"/>
      <c r="BA305" s="113"/>
      <c r="BB305" s="113"/>
      <c r="BC305" s="113"/>
      <c r="BD305" s="113"/>
    </row>
    <row r="306" spans="1:56" s="418" customFormat="1" ht="12.75" hidden="1" customHeight="1" outlineLevel="1">
      <c r="A306" s="113"/>
      <c r="B306" s="2722" t="s">
        <v>471</v>
      </c>
      <c r="C306" s="2723"/>
      <c r="D306" s="973">
        <v>14</v>
      </c>
      <c r="E306" s="980">
        <f>SUMIF($E$9:$E$54,Utilitaires!$C$573,AE9:AE54)+SUMIF($E$9:$E$54,Utilitaires!$C$573,AF9:AF54)+SUMIF($E$59:$E$77,Utilitaires!$C$573,AE59:AE77)+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306" s="980">
        <f>SUMIF($E$9:$E$54,Utilitaires!$C$573,AG9:AG54)+SUMIF($E$9:$E$54,Utilitaires!$C$573,AH9:AH54)+
SUMIF($E$59:$E$77,Utilitaires!$C$573,AF59:AF77)+
SUMIF($E$82:$E$109,Utilitaires!$C$573,AG82:AG109)+SUMIF($E$82:$E$109,Utilitaires!$C$573,AH82:AH109)+
(1+$G190)*SUMIF($E$111:$E$174,Utilitaires!$C$573,AF111:AF174)+(1+$G190)*SUMIF($E$180:$E$184,Utilitaires!$C$573,AG180:AG184)+(1+$G190)*SUMIF($E$180:$E$184,Utilitaires!$C$573,AH180:AH184)</f>
        <v>0</v>
      </c>
      <c r="G306" s="980">
        <f>SUMIF($E$9:$E$54,Utilitaires!$C$573,AI9:AI54)+SUMIF($E$9:$E$54,Utilitaires!$C$573,AJ9:AJ54)+
SUMIF($E$59:$E$77,Utilitaires!$C$573,AG59:AG77)+
SUMIF($E$82:$E$109,Utilitaires!$C$573,AI82:AI109)+SUMIF($E$82:$E$109,Utilitaires!$C$573,AJ82:AJ109)+
(1+$G190)*SUMIF($E$111:$E$174,Utilitaires!$C$573,AG111:AG174)+
(1+$G190)*SUMIF($E$180:$E$184,Utilitaires!$C$573,AI180:AI184)+(1+$G190)*SUMIF($E$180:$E$184,Utilitaires!$C$573,AJ180:AJ184)</f>
        <v>0</v>
      </c>
      <c r="H306" s="980">
        <v>0</v>
      </c>
      <c r="I306" s="980">
        <v>0</v>
      </c>
      <c r="J306" s="981">
        <f>SUM(E306:I306)</f>
        <v>0</v>
      </c>
      <c r="K306" s="982">
        <f>SUMIF($E$9:$E$54,Utilitaires!$C$573,AO9:AO54)+SUMIF($E$9:$E$54,Utilitaires!$C$573,AP9:AP54)+SUMIF($E$59:$E$77,Utilitaires!$C$573,AJ59:AJ77)+SUMIF($E$97:$E$109,Utilitaires!$C$573,AO97:AO109)+SUMIF($E$97:$E$109,Utilitaires!$C$573,AP97:AP109)+(1+$G190)*SUMIF($E$111:$E$174,Utilitaires!$C$573,AJ111:AJ174)+(1+$G190)*SUMIF($E$180:$E$184,Utilitaires!$C$573,AO180:AO184)+$G190*SUMIF($E$180:$E$184,Utilitaires!$C$573,AP180:AP184)</f>
        <v>0</v>
      </c>
      <c r="L306" s="982">
        <v>0</v>
      </c>
      <c r="M306" s="983">
        <f>SQRT(
SUMPRODUCT(($E$9:$E$54=Utilitaires!$C$573)*1,Z9:Z54,Z9:Z54)+SUMPRODUCT(($E$9:$E$54=Utilitaires!$C$573)*1,AA9:AA54,AA9:AA54)+SUMPRODUCT(($E$59:$E$77=Utilitaires!$C$573)*1,AB59:AB77,AB59:AB77)
+(1+$G190^2)*(
SUMPRODUCT(($E$82:$E$109=Utilitaires!$C$573)*1,Z82:Z109,Z82:Z109)
+SUMPRODUCT(($E$82:$E$109=Utilitaires!$C$573)*1,AA82:AA109,AA82:AA109)
+SUMPRODUCT(($E$180:$E$184=Utilitaires!$C$573)*1,Z180:Z184,Z180:Z184)
+SUMPRODUCT(($E$180:$E$184=Utilitaires!$C$573)*1,AA180:AA184,AA180:AA184)
+SUMPRODUCT(($E$111:$E$174=Utilitaires!$C$573)*1,AC111:AC174,AC111:AC174)))</f>
        <v>0</v>
      </c>
      <c r="N306" s="984"/>
      <c r="O306" s="984"/>
      <c r="P306" s="113"/>
      <c r="Q306" s="908"/>
      <c r="R306" s="908"/>
      <c r="S306" s="113"/>
      <c r="T306" s="113"/>
      <c r="U306" s="113"/>
      <c r="V306" s="113"/>
      <c r="W306" s="113"/>
      <c r="X306" s="113"/>
      <c r="Y306" s="817"/>
      <c r="Z306" s="817"/>
      <c r="AA306" s="113"/>
      <c r="AB306" s="113"/>
      <c r="AC306" s="113"/>
      <c r="AE306" s="113"/>
      <c r="AF306" s="576"/>
      <c r="AG306" s="576"/>
      <c r="AH306" s="576"/>
      <c r="AI306" s="576"/>
      <c r="AJ306" s="576"/>
      <c r="AK306" s="576"/>
      <c r="AL306" s="576"/>
      <c r="AM306" s="576"/>
      <c r="AN306" s="1240"/>
      <c r="AO306" s="1240"/>
      <c r="AP306" s="576"/>
      <c r="AQ306" s="576"/>
      <c r="AR306" s="113"/>
      <c r="AS306" s="113"/>
      <c r="AT306" s="113"/>
      <c r="AU306" s="113"/>
      <c r="AV306" s="113"/>
      <c r="AW306" s="113"/>
      <c r="AX306" s="113"/>
      <c r="AY306" s="113"/>
      <c r="AZ306" s="113"/>
      <c r="BA306" s="113"/>
      <c r="BB306" s="113"/>
      <c r="BC306" s="113"/>
      <c r="BD306" s="113"/>
    </row>
    <row r="307" spans="1:56" s="418" customFormat="1" ht="12.75" hidden="1" customHeight="1" outlineLevel="1">
      <c r="A307" s="113"/>
      <c r="B307" s="2722" t="s">
        <v>472</v>
      </c>
      <c r="C307" s="2723"/>
      <c r="D307" s="973">
        <v>15</v>
      </c>
      <c r="E307" s="980"/>
      <c r="F307" s="980"/>
      <c r="G307" s="980"/>
      <c r="H307" s="980"/>
      <c r="I307" s="980"/>
      <c r="J307" s="981"/>
      <c r="K307" s="982"/>
      <c r="L307" s="982"/>
      <c r="M307" s="983"/>
      <c r="N307" s="984"/>
      <c r="O307" s="984"/>
      <c r="P307" s="113"/>
      <c r="Q307" s="908"/>
      <c r="R307" s="908"/>
      <c r="S307" s="113"/>
      <c r="T307" s="113"/>
      <c r="U307" s="113"/>
      <c r="V307" s="113"/>
      <c r="W307" s="113"/>
      <c r="X307" s="113"/>
      <c r="Y307" s="817"/>
      <c r="Z307" s="817"/>
      <c r="AA307" s="113"/>
      <c r="AB307" s="113"/>
      <c r="AC307" s="113"/>
      <c r="AE307" s="113"/>
      <c r="AF307" s="576"/>
      <c r="AG307" s="576"/>
      <c r="AH307" s="576"/>
      <c r="AI307" s="576"/>
      <c r="AJ307" s="576"/>
      <c r="AK307" s="576"/>
      <c r="AL307" s="576"/>
      <c r="AM307" s="576"/>
      <c r="AN307" s="1240"/>
      <c r="AO307" s="1240"/>
      <c r="AP307" s="576"/>
      <c r="AQ307" s="576"/>
      <c r="AR307" s="113"/>
      <c r="AS307" s="113"/>
      <c r="AT307" s="113"/>
      <c r="AU307" s="113"/>
      <c r="AV307" s="113"/>
      <c r="AW307" s="113"/>
      <c r="AX307" s="113"/>
      <c r="AY307" s="113"/>
      <c r="AZ307" s="113"/>
      <c r="BA307" s="113"/>
      <c r="BB307" s="113"/>
      <c r="BC307" s="113"/>
      <c r="BD307" s="113"/>
    </row>
    <row r="308" spans="1:56" s="418" customFormat="1" ht="12.75" hidden="1" customHeight="1" outlineLevel="1">
      <c r="A308" s="113"/>
      <c r="B308" s="2722" t="s">
        <v>473</v>
      </c>
      <c r="C308" s="2723"/>
      <c r="D308" s="973">
        <v>16</v>
      </c>
      <c r="E308" s="980"/>
      <c r="F308" s="980"/>
      <c r="G308" s="980"/>
      <c r="H308" s="980"/>
      <c r="I308" s="980"/>
      <c r="J308" s="981"/>
      <c r="K308" s="982"/>
      <c r="L308" s="982"/>
      <c r="M308" s="983"/>
      <c r="N308" s="984"/>
      <c r="O308" s="984"/>
      <c r="P308" s="113"/>
      <c r="Q308" s="908"/>
      <c r="R308" s="908"/>
      <c r="S308" s="113"/>
      <c r="T308" s="113"/>
      <c r="U308" s="113"/>
      <c r="V308" s="113"/>
      <c r="W308" s="113"/>
      <c r="X308" s="113"/>
      <c r="Y308" s="817"/>
      <c r="Z308" s="817"/>
      <c r="AA308" s="113"/>
      <c r="AB308" s="113"/>
      <c r="AC308" s="113"/>
      <c r="AE308" s="113"/>
      <c r="AF308" s="576"/>
      <c r="AG308" s="576"/>
      <c r="AH308" s="576"/>
      <c r="AI308" s="576"/>
      <c r="AJ308" s="576"/>
      <c r="AK308" s="576"/>
      <c r="AL308" s="576"/>
      <c r="AM308" s="576"/>
      <c r="AN308" s="1240"/>
      <c r="AO308" s="1240"/>
      <c r="AP308" s="576"/>
      <c r="AQ308" s="576"/>
      <c r="AR308" s="113"/>
      <c r="AS308" s="113"/>
      <c r="AT308" s="113"/>
      <c r="AU308" s="113"/>
      <c r="AV308" s="113"/>
      <c r="AW308" s="113"/>
      <c r="AX308" s="113"/>
      <c r="AY308" s="113"/>
      <c r="AZ308" s="113"/>
      <c r="BA308" s="113"/>
      <c r="BB308" s="113"/>
      <c r="BC308" s="113"/>
      <c r="BD308" s="113"/>
    </row>
    <row r="309" spans="1:56" s="418" customFormat="1" ht="12.75" hidden="1" customHeight="1" outlineLevel="1">
      <c r="A309" s="113"/>
      <c r="B309" s="2722" t="s">
        <v>737</v>
      </c>
      <c r="C309" s="2723"/>
      <c r="D309" s="973">
        <v>17</v>
      </c>
      <c r="E309" s="980"/>
      <c r="F309" s="980"/>
      <c r="G309" s="980"/>
      <c r="H309" s="980"/>
      <c r="I309" s="980"/>
      <c r="J309" s="981"/>
      <c r="K309" s="982"/>
      <c r="L309" s="982"/>
      <c r="M309" s="983"/>
      <c r="N309" s="984"/>
      <c r="O309" s="984"/>
      <c r="P309" s="113"/>
      <c r="Q309" s="908"/>
      <c r="R309" s="908"/>
      <c r="S309" s="113"/>
      <c r="T309" s="113"/>
      <c r="U309" s="113"/>
      <c r="V309" s="113"/>
      <c r="W309" s="113"/>
      <c r="X309" s="113"/>
      <c r="Y309" s="817"/>
      <c r="Z309" s="817"/>
      <c r="AA309" s="113"/>
      <c r="AB309" s="113"/>
      <c r="AC309" s="113"/>
      <c r="AE309" s="113"/>
      <c r="AF309" s="576"/>
      <c r="AG309" s="576"/>
      <c r="AH309" s="576"/>
      <c r="AI309" s="576"/>
      <c r="AJ309" s="576"/>
      <c r="AK309" s="576"/>
      <c r="AL309" s="576"/>
      <c r="AM309" s="576"/>
      <c r="AN309" s="1240"/>
      <c r="AO309" s="1240"/>
      <c r="AP309" s="576"/>
      <c r="AQ309" s="576"/>
      <c r="AR309" s="113"/>
      <c r="AS309" s="113"/>
      <c r="AT309" s="113"/>
      <c r="AU309" s="113"/>
      <c r="AV309" s="113"/>
      <c r="AW309" s="113"/>
      <c r="AX309" s="113"/>
      <c r="AY309" s="113"/>
      <c r="AZ309" s="113"/>
      <c r="BA309" s="113"/>
      <c r="BB309" s="113"/>
      <c r="BC309" s="113"/>
      <c r="BD309" s="113"/>
    </row>
    <row r="310" spans="1:56" s="418" customFormat="1" ht="12.75" hidden="1" customHeight="1" outlineLevel="1">
      <c r="A310" s="113"/>
      <c r="B310" s="2722" t="s">
        <v>475</v>
      </c>
      <c r="C310" s="2723"/>
      <c r="D310" s="973">
        <v>18</v>
      </c>
      <c r="E310" s="980"/>
      <c r="F310" s="980"/>
      <c r="G310" s="980"/>
      <c r="H310" s="980"/>
      <c r="I310" s="980"/>
      <c r="J310" s="981"/>
      <c r="K310" s="982"/>
      <c r="L310" s="982"/>
      <c r="M310" s="983"/>
      <c r="N310" s="984"/>
      <c r="O310" s="984"/>
      <c r="P310" s="113"/>
      <c r="Q310" s="908"/>
      <c r="R310" s="908"/>
      <c r="S310" s="113"/>
      <c r="T310" s="113"/>
      <c r="U310" s="113"/>
      <c r="V310" s="113"/>
      <c r="W310" s="113"/>
      <c r="X310" s="113"/>
      <c r="Y310" s="817"/>
      <c r="Z310" s="817"/>
      <c r="AA310" s="113"/>
      <c r="AB310" s="113"/>
      <c r="AC310" s="113"/>
      <c r="AE310" s="113"/>
      <c r="AF310" s="576"/>
      <c r="AG310" s="576"/>
      <c r="AH310" s="576"/>
      <c r="AI310" s="576"/>
      <c r="AJ310" s="576"/>
      <c r="AK310" s="576"/>
      <c r="AL310" s="576"/>
      <c r="AM310" s="576"/>
      <c r="AN310" s="1240"/>
      <c r="AO310" s="1240"/>
      <c r="AP310" s="576"/>
      <c r="AQ310" s="576"/>
      <c r="AR310" s="113"/>
      <c r="AS310" s="113"/>
      <c r="AT310" s="113"/>
      <c r="AU310" s="113"/>
      <c r="AV310" s="113"/>
      <c r="AW310" s="113"/>
      <c r="AX310" s="113"/>
      <c r="AY310" s="113"/>
      <c r="AZ310" s="113"/>
      <c r="BA310" s="113"/>
      <c r="BB310" s="113"/>
      <c r="BC310" s="113"/>
      <c r="BD310" s="113"/>
    </row>
    <row r="311" spans="1:56" s="418" customFormat="1" ht="12.75" hidden="1" customHeight="1" outlineLevel="1">
      <c r="A311" s="113"/>
      <c r="B311" s="2722" t="s">
        <v>476</v>
      </c>
      <c r="C311" s="2723"/>
      <c r="D311" s="973">
        <v>19</v>
      </c>
      <c r="E311" s="980"/>
      <c r="F311" s="980"/>
      <c r="G311" s="980"/>
      <c r="H311" s="980"/>
      <c r="I311" s="980"/>
      <c r="J311" s="981"/>
      <c r="K311" s="982"/>
      <c r="L311" s="982"/>
      <c r="M311" s="983"/>
      <c r="N311" s="984"/>
      <c r="O311" s="984"/>
      <c r="P311" s="113"/>
      <c r="Q311" s="908"/>
      <c r="R311" s="908"/>
      <c r="S311" s="113"/>
      <c r="T311" s="113"/>
      <c r="U311" s="113"/>
      <c r="V311" s="113"/>
      <c r="W311" s="113"/>
      <c r="X311" s="113"/>
      <c r="Y311" s="817"/>
      <c r="Z311" s="817"/>
      <c r="AA311" s="113"/>
      <c r="AB311" s="113"/>
      <c r="AC311" s="113"/>
      <c r="AE311" s="113"/>
      <c r="AF311" s="576"/>
      <c r="AG311" s="576"/>
      <c r="AH311" s="576"/>
      <c r="AI311" s="576"/>
      <c r="AJ311" s="576"/>
      <c r="AK311" s="576"/>
      <c r="AL311" s="576"/>
      <c r="AM311" s="576"/>
      <c r="AN311" s="1240"/>
      <c r="AO311" s="1240"/>
      <c r="AP311" s="576"/>
      <c r="AQ311" s="576"/>
      <c r="AR311" s="113"/>
      <c r="AS311" s="113"/>
      <c r="AT311" s="113"/>
      <c r="AU311" s="113"/>
      <c r="AV311" s="113"/>
      <c r="AW311" s="113"/>
      <c r="AX311" s="113"/>
      <c r="AY311" s="113"/>
      <c r="AZ311" s="113"/>
      <c r="BA311" s="113"/>
      <c r="BB311" s="113"/>
      <c r="BC311" s="113"/>
      <c r="BD311" s="113"/>
    </row>
    <row r="312" spans="1:56" s="418" customFormat="1" ht="12.75" hidden="1" customHeight="1" outlineLevel="1">
      <c r="A312" s="113"/>
      <c r="B312" s="2722" t="s">
        <v>477</v>
      </c>
      <c r="C312" s="2723"/>
      <c r="D312" s="973">
        <v>20</v>
      </c>
      <c r="E312" s="980"/>
      <c r="F312" s="980"/>
      <c r="G312" s="980"/>
      <c r="H312" s="980"/>
      <c r="I312" s="980"/>
      <c r="J312" s="981"/>
      <c r="K312" s="982"/>
      <c r="L312" s="982"/>
      <c r="M312" s="983"/>
      <c r="N312" s="984"/>
      <c r="O312" s="984"/>
      <c r="P312" s="113"/>
      <c r="Q312" s="908"/>
      <c r="R312" s="908"/>
      <c r="S312" s="113"/>
      <c r="T312" s="113"/>
      <c r="U312" s="113"/>
      <c r="V312" s="113"/>
      <c r="W312" s="113"/>
      <c r="X312" s="113"/>
      <c r="Y312" s="817"/>
      <c r="Z312" s="817"/>
      <c r="AA312" s="113"/>
      <c r="AB312" s="113"/>
      <c r="AC312" s="113"/>
      <c r="AE312" s="113"/>
      <c r="AF312" s="576"/>
      <c r="AG312" s="576"/>
      <c r="AH312" s="576"/>
      <c r="AI312" s="576"/>
      <c r="AJ312" s="576"/>
      <c r="AK312" s="576"/>
      <c r="AL312" s="576"/>
      <c r="AM312" s="576"/>
      <c r="AN312" s="1240"/>
      <c r="AO312" s="1240"/>
      <c r="AP312" s="576"/>
      <c r="AQ312" s="576"/>
      <c r="AR312" s="113"/>
      <c r="AS312" s="113"/>
      <c r="AT312" s="113"/>
      <c r="AU312" s="113"/>
      <c r="AV312" s="113"/>
      <c r="AW312" s="113"/>
      <c r="AX312" s="113"/>
      <c r="AY312" s="113"/>
      <c r="AZ312" s="113"/>
      <c r="BA312" s="113"/>
      <c r="BB312" s="113"/>
      <c r="BC312" s="113"/>
      <c r="BD312" s="113"/>
    </row>
    <row r="313" spans="1:56" s="418" customFormat="1" ht="12.75" hidden="1" customHeight="1" outlineLevel="1">
      <c r="A313" s="113"/>
      <c r="B313" s="2722" t="s">
        <v>478</v>
      </c>
      <c r="C313" s="2723"/>
      <c r="D313" s="973">
        <v>21</v>
      </c>
      <c r="E313" s="980"/>
      <c r="F313" s="980"/>
      <c r="G313" s="980"/>
      <c r="H313" s="980"/>
      <c r="I313" s="980"/>
      <c r="J313" s="981"/>
      <c r="K313" s="982"/>
      <c r="L313" s="982"/>
      <c r="M313" s="983"/>
      <c r="N313" s="984"/>
      <c r="O313" s="984"/>
      <c r="P313" s="113"/>
      <c r="Q313" s="908"/>
      <c r="R313" s="908"/>
      <c r="S313" s="113"/>
      <c r="T313" s="113"/>
      <c r="U313" s="113"/>
      <c r="V313" s="113"/>
      <c r="W313" s="113"/>
      <c r="X313" s="113"/>
      <c r="Y313" s="817"/>
      <c r="Z313" s="817"/>
      <c r="AA313" s="113"/>
      <c r="AB313" s="113"/>
      <c r="AC313" s="113"/>
      <c r="AE313" s="113"/>
      <c r="AF313" s="576"/>
      <c r="AG313" s="576"/>
      <c r="AH313" s="576"/>
      <c r="AI313" s="576"/>
      <c r="AJ313" s="576"/>
      <c r="AK313" s="576"/>
      <c r="AL313" s="576"/>
      <c r="AM313" s="576"/>
      <c r="AN313" s="1240"/>
      <c r="AO313" s="1240"/>
      <c r="AP313" s="576"/>
      <c r="AQ313" s="576"/>
      <c r="AR313" s="113"/>
      <c r="AS313" s="113"/>
      <c r="AT313" s="113"/>
      <c r="AU313" s="113"/>
      <c r="AV313" s="113"/>
      <c r="AW313" s="113"/>
      <c r="AX313" s="113"/>
      <c r="AY313" s="113"/>
      <c r="AZ313" s="113"/>
      <c r="BA313" s="113"/>
      <c r="BB313" s="113"/>
      <c r="BC313" s="113"/>
      <c r="BD313" s="113"/>
    </row>
    <row r="314" spans="1:56" s="418" customFormat="1" ht="12.75" hidden="1" customHeight="1" outlineLevel="1">
      <c r="A314" s="113"/>
      <c r="B314" s="2722" t="s">
        <v>479</v>
      </c>
      <c r="C314" s="2723"/>
      <c r="D314" s="973">
        <v>22</v>
      </c>
      <c r="E314" s="980"/>
      <c r="F314" s="980"/>
      <c r="G314" s="980"/>
      <c r="H314" s="980"/>
      <c r="I314" s="980"/>
      <c r="J314" s="981"/>
      <c r="K314" s="982"/>
      <c r="L314" s="982"/>
      <c r="M314" s="983"/>
      <c r="N314" s="984"/>
      <c r="O314" s="984"/>
      <c r="P314" s="113"/>
      <c r="Q314" s="908"/>
      <c r="R314" s="908"/>
      <c r="S314" s="113"/>
      <c r="T314" s="113"/>
      <c r="U314" s="113"/>
      <c r="V314" s="113"/>
      <c r="W314" s="113"/>
      <c r="X314" s="113"/>
      <c r="Y314" s="817"/>
      <c r="Z314" s="817"/>
      <c r="AA314" s="113"/>
      <c r="AB314" s="113"/>
      <c r="AC314" s="113"/>
      <c r="AE314" s="113"/>
      <c r="AF314" s="576"/>
      <c r="AG314" s="576"/>
      <c r="AH314" s="576"/>
      <c r="AI314" s="576"/>
      <c r="AJ314" s="576"/>
      <c r="AK314" s="576"/>
      <c r="AL314" s="576"/>
      <c r="AM314" s="576"/>
      <c r="AN314" s="1240"/>
      <c r="AO314" s="1240"/>
      <c r="AP314" s="576"/>
      <c r="AQ314" s="576"/>
      <c r="AR314" s="113"/>
      <c r="AS314" s="113"/>
      <c r="AT314" s="113"/>
      <c r="AU314" s="113"/>
      <c r="AV314" s="113"/>
      <c r="AW314" s="113"/>
      <c r="AX314" s="113"/>
      <c r="AY314" s="113"/>
      <c r="AZ314" s="113"/>
      <c r="BA314" s="113"/>
      <c r="BB314" s="113"/>
      <c r="BC314" s="113"/>
      <c r="BD314" s="113"/>
    </row>
    <row r="315" spans="1:56" s="418" customFormat="1" ht="12.75" hidden="1" customHeight="1" outlineLevel="1">
      <c r="A315" s="113"/>
      <c r="B315" s="2722" t="s">
        <v>449</v>
      </c>
      <c r="C315" s="2723"/>
      <c r="D315" s="973">
        <v>23</v>
      </c>
      <c r="E315" s="980">
        <f>SUMIF($E$9:$E$54,Utilitaires!$C$574,AE9:AE54)+SUMIF($E$9:$E$54,Utilitaires!$C$574,AF9:AF54)+SUMIF($E$9:$E$54,Utilitaires!$C$578,AE9:AE54)+SUMIF($E$9:$E$54,Utilitaires!$C$578,AF9:AF54)+SUMIF($E$59:$E$77,Utilitaires!$C$574,AE59:AE77)+SUMIF($E$59:$E$77,Utilitaires!$C$578,AE59:AE77)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(1+$G190)*SUMIF($E$180:$E$184,Utilitaires!$C$574,AE180:AE184)+(1+$G190)*SUMIF($E$180:$E$184,Utilitaires!$C$578,AE180:AE184)+(1+$G190)*SUMIF($E$180:$E$184,Utilitaires!$C$574,AF180:AF184)+(1+$G190)*SUMIF($E$180:$E$184,Utilitaires!$C$578,AF180:AF184)</f>
        <v>0</v>
      </c>
      <c r="F315" s="980">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315" s="980">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315" s="980">
        <v>0</v>
      </c>
      <c r="I315" s="980">
        <v>0</v>
      </c>
      <c r="J315" s="981">
        <f>SUM(E315:I315)</f>
        <v>0</v>
      </c>
      <c r="K315" s="982">
        <f>SUMIF($E$9:$E$54,Utilitaires!$C$574,AO9:AO54)+SUMIF($E$9:$E$54,Utilitaires!$C$574,AP9:AP54)+SUMIF($E$9:$E$54,Utilitaires!$C$578,AO9:AO54)+SUMIF($E$9:$E$54,Utilitaires!$C$578,AP9:AP54)+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L315" s="982">
        <v>0</v>
      </c>
      <c r="M315" s="983">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+SUMPRODUCT(($E$111:$E$174=Utilitaires!$C$574)*1,AC111:AC174,AC111:AC174)+SUMPRODUCT(($E$111:$E$174=Utilitaires!$C$578)*1,AC112:AC175,AC111:AC174)))</f>
        <v>0</v>
      </c>
      <c r="N315" s="984"/>
      <c r="O315" s="984"/>
      <c r="P315" s="113"/>
      <c r="Q315" s="908"/>
      <c r="R315" s="908"/>
      <c r="S315" s="113"/>
      <c r="T315" s="113"/>
      <c r="U315" s="113"/>
      <c r="V315" s="113"/>
      <c r="W315" s="113"/>
      <c r="X315" s="113"/>
      <c r="Y315" s="817"/>
      <c r="Z315" s="817"/>
      <c r="AA315" s="113"/>
      <c r="AB315" s="113"/>
      <c r="AC315" s="113"/>
      <c r="AE315" s="113"/>
      <c r="AF315" s="576"/>
      <c r="AG315" s="576"/>
      <c r="AH315" s="576"/>
      <c r="AI315" s="576"/>
      <c r="AJ315" s="576"/>
      <c r="AK315" s="576"/>
      <c r="AL315" s="576"/>
      <c r="AM315" s="576"/>
      <c r="AN315" s="1240"/>
      <c r="AO315" s="1240"/>
      <c r="AP315" s="576"/>
      <c r="AQ315" s="576"/>
      <c r="AR315" s="113"/>
      <c r="AS315" s="113"/>
      <c r="AT315" s="113"/>
      <c r="AU315" s="113"/>
      <c r="AV315" s="113"/>
      <c r="AW315" s="113"/>
      <c r="AX315" s="113"/>
      <c r="AY315" s="113"/>
      <c r="AZ315" s="113"/>
      <c r="BA315" s="113"/>
      <c r="BB315" s="113"/>
      <c r="BC315" s="113"/>
      <c r="BD315" s="113"/>
    </row>
    <row r="316" spans="1:56" s="418" customFormat="1" ht="12.75" hidden="1" customHeight="1" outlineLevel="1">
      <c r="A316" s="113"/>
      <c r="B316" s="2727" t="s">
        <v>724</v>
      </c>
      <c r="C316" s="2728"/>
      <c r="D316" s="2729"/>
      <c r="E316" s="986">
        <f t="shared" ref="E316:O316" si="48">SUM(E300:E315)</f>
        <v>67500.7356</v>
      </c>
      <c r="F316" s="986">
        <f t="shared" si="48"/>
        <v>5865.3745920000001</v>
      </c>
      <c r="G316" s="986">
        <f t="shared" si="48"/>
        <v>14.65662</v>
      </c>
      <c r="H316" s="986">
        <f t="shared" si="48"/>
        <v>0</v>
      </c>
      <c r="I316" s="986">
        <f t="shared" si="48"/>
        <v>0</v>
      </c>
      <c r="J316" s="986">
        <f t="shared" si="48"/>
        <v>73380.766811999987</v>
      </c>
      <c r="K316" s="987">
        <f t="shared" si="48"/>
        <v>0</v>
      </c>
      <c r="L316" s="987">
        <f t="shared" si="48"/>
        <v>0</v>
      </c>
      <c r="M316" s="988">
        <f>SQRT(SUMSQ(M300:M315))</f>
        <v>3214.9156058606336</v>
      </c>
      <c r="N316" s="989">
        <f t="shared" si="48"/>
        <v>0</v>
      </c>
      <c r="O316" s="989">
        <f t="shared" si="48"/>
        <v>0</v>
      </c>
      <c r="P316" s="113"/>
      <c r="Q316" s="908"/>
      <c r="R316" s="908"/>
      <c r="S316" s="113"/>
      <c r="T316" s="113"/>
      <c r="U316" s="113"/>
      <c r="V316" s="113"/>
      <c r="W316" s="113"/>
      <c r="X316" s="113"/>
      <c r="Y316" s="817"/>
      <c r="Z316" s="817"/>
      <c r="AA316" s="113"/>
      <c r="AB316" s="113"/>
      <c r="AC316" s="113"/>
      <c r="AE316" s="113"/>
      <c r="AF316" s="576"/>
      <c r="AG316" s="576"/>
      <c r="AH316" s="576"/>
      <c r="AI316" s="576"/>
      <c r="AJ316" s="576"/>
      <c r="AK316" s="576"/>
      <c r="AL316" s="576"/>
      <c r="AM316" s="576"/>
      <c r="AN316" s="1240"/>
      <c r="AO316" s="1240"/>
      <c r="AP316" s="576"/>
      <c r="AQ316" s="576"/>
      <c r="AR316" s="113"/>
      <c r="AS316" s="113"/>
      <c r="AT316" s="113"/>
      <c r="AU316" s="113"/>
      <c r="AV316" s="113"/>
      <c r="AW316" s="113"/>
      <c r="AX316" s="113"/>
      <c r="AY316" s="113"/>
      <c r="AZ316" s="113"/>
      <c r="BA316" s="113"/>
      <c r="BB316" s="113"/>
      <c r="BC316" s="113"/>
      <c r="BD316" s="113"/>
    </row>
    <row r="317" spans="1:56" s="418" customFormat="1" hidden="1" outlineLevel="1">
      <c r="A317" s="113"/>
      <c r="B317" s="113"/>
      <c r="C317" s="113"/>
      <c r="D317" s="113"/>
      <c r="E317" s="113"/>
      <c r="F317" s="113"/>
      <c r="G317" s="113"/>
      <c r="H317" s="113"/>
      <c r="I317" s="113"/>
      <c r="J317" s="113"/>
      <c r="K317" s="113"/>
      <c r="L317" s="113"/>
      <c r="M317" s="113"/>
      <c r="N317" s="113"/>
      <c r="O317" s="113"/>
      <c r="P317" s="113"/>
      <c r="Q317" s="908"/>
      <c r="R317" s="908"/>
      <c r="S317" s="113"/>
      <c r="T317" s="113"/>
      <c r="U317" s="113"/>
      <c r="V317" s="113"/>
      <c r="W317" s="113"/>
      <c r="X317" s="113"/>
      <c r="Y317" s="817"/>
      <c r="Z317" s="817"/>
      <c r="AA317" s="113"/>
      <c r="AB317" s="113"/>
      <c r="AC317" s="113"/>
      <c r="AE317" s="113"/>
      <c r="AF317" s="576"/>
      <c r="AG317" s="576"/>
      <c r="AH317" s="576"/>
      <c r="AI317" s="576"/>
      <c r="AJ317" s="576"/>
      <c r="AK317" s="576"/>
      <c r="AL317" s="576"/>
      <c r="AM317" s="576"/>
      <c r="AN317" s="1240"/>
      <c r="AO317" s="1240"/>
      <c r="AP317" s="576"/>
      <c r="AQ317" s="576"/>
      <c r="AR317" s="113"/>
      <c r="AS317" s="113"/>
      <c r="AT317" s="113"/>
      <c r="AU317" s="113"/>
      <c r="AV317" s="113"/>
      <c r="AW317" s="113"/>
      <c r="AX317" s="113"/>
      <c r="AY317" s="113"/>
      <c r="AZ317" s="113"/>
      <c r="BA317" s="113"/>
      <c r="BB317" s="113"/>
      <c r="BC317" s="113"/>
      <c r="BD317" s="113"/>
    </row>
    <row r="318" spans="1:56" s="418" customFormat="1" collapsed="1">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E318" s="113"/>
      <c r="AF318" s="113"/>
      <c r="AG318" s="113"/>
      <c r="AH318" s="113"/>
      <c r="AI318" s="113"/>
      <c r="AJ318" s="113"/>
      <c r="AK318" s="113"/>
      <c r="AL318" s="113"/>
      <c r="AM318" s="113"/>
      <c r="AP318" s="113"/>
      <c r="AQ318" s="113"/>
      <c r="AR318" s="113"/>
      <c r="AS318" s="113"/>
      <c r="AT318" s="113"/>
      <c r="AU318" s="113"/>
      <c r="AV318" s="113"/>
      <c r="AW318" s="113"/>
      <c r="AX318" s="113"/>
      <c r="AY318" s="113"/>
      <c r="AZ318" s="113"/>
      <c r="BA318" s="113"/>
      <c r="BB318" s="113"/>
      <c r="BC318" s="113"/>
      <c r="BD318" s="113"/>
    </row>
    <row r="319" spans="1:56" s="418" customFormat="1" ht="15.75" hidden="1" customHeight="1">
      <c r="A319" s="113"/>
      <c r="B319" s="2730" t="s">
        <v>2443</v>
      </c>
      <c r="C319" s="2731"/>
      <c r="D319" s="2731"/>
      <c r="E319" s="2731"/>
      <c r="F319" s="2731"/>
      <c r="G319" s="2731"/>
      <c r="H319" s="2731"/>
      <c r="I319" s="2731"/>
      <c r="J319" s="2731"/>
      <c r="K319" s="2731"/>
      <c r="L319" s="2731"/>
      <c r="M319" s="2731"/>
      <c r="N319" s="2731"/>
      <c r="O319" s="2732"/>
      <c r="P319" s="113"/>
      <c r="Q319" s="113"/>
      <c r="R319" s="113"/>
      <c r="S319" s="113"/>
      <c r="T319" s="113"/>
      <c r="U319" s="113"/>
      <c r="V319" s="113"/>
      <c r="W319" s="113"/>
      <c r="X319" s="113"/>
      <c r="Y319" s="113"/>
      <c r="Z319" s="113"/>
      <c r="AA319" s="113"/>
      <c r="AB319" s="113"/>
      <c r="AC319" s="113"/>
      <c r="AE319" s="113"/>
      <c r="AF319" s="113"/>
      <c r="AG319" s="113"/>
      <c r="AH319" s="113"/>
      <c r="AI319" s="113"/>
      <c r="AJ319" s="113"/>
      <c r="AK319" s="113"/>
      <c r="AL319" s="113"/>
      <c r="AM319" s="113"/>
      <c r="AP319" s="113"/>
      <c r="AQ319" s="113"/>
      <c r="AR319" s="113"/>
      <c r="AS319" s="113"/>
      <c r="AT319" s="113"/>
      <c r="AU319" s="113"/>
      <c r="AV319" s="113"/>
      <c r="AW319" s="113"/>
      <c r="AX319" s="113"/>
      <c r="AY319" s="113"/>
      <c r="AZ319" s="113"/>
      <c r="BA319" s="113"/>
      <c r="BB319" s="113"/>
      <c r="BC319" s="113"/>
      <c r="BD319" s="113"/>
    </row>
    <row r="320" spans="1:56" s="418" customFormat="1" outlineLevel="1">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E320" s="113"/>
      <c r="AF320" s="113"/>
      <c r="AG320" s="113"/>
      <c r="AH320" s="113"/>
      <c r="AI320" s="113"/>
      <c r="AJ320" s="113"/>
      <c r="AK320" s="113"/>
      <c r="AL320" s="113"/>
      <c r="AM320" s="113"/>
      <c r="AP320" s="113"/>
      <c r="AQ320" s="113"/>
      <c r="AR320" s="113"/>
      <c r="AS320" s="113"/>
      <c r="AT320" s="113"/>
      <c r="AU320" s="113"/>
      <c r="AV320" s="113"/>
      <c r="AW320" s="113"/>
      <c r="AX320" s="113"/>
      <c r="AY320" s="113"/>
      <c r="AZ320" s="113"/>
      <c r="BA320" s="113"/>
      <c r="BB320" s="113"/>
      <c r="BC320" s="113"/>
      <c r="BD320" s="113"/>
    </row>
    <row r="321" spans="1:56" s="418" customFormat="1" outlineLevel="1">
      <c r="A321" s="113"/>
      <c r="B321" s="113" t="s">
        <v>2547</v>
      </c>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E321" s="113"/>
      <c r="AF321" s="113"/>
      <c r="AG321" s="113"/>
      <c r="AH321" s="113"/>
      <c r="AI321" s="113"/>
      <c r="AJ321" s="113"/>
      <c r="AK321" s="113"/>
      <c r="AL321" s="113"/>
      <c r="AM321" s="113"/>
      <c r="AP321" s="113"/>
      <c r="AQ321" s="113"/>
      <c r="AR321" s="113"/>
      <c r="AS321" s="113"/>
      <c r="AT321" s="113"/>
      <c r="AU321" s="113"/>
      <c r="AV321" s="113"/>
      <c r="AW321" s="113"/>
      <c r="AX321" s="113"/>
      <c r="AY321" s="113"/>
      <c r="AZ321" s="113"/>
      <c r="BA321" s="113"/>
      <c r="BB321" s="113"/>
      <c r="BC321" s="113"/>
      <c r="BD321" s="113"/>
    </row>
    <row r="322" spans="1:56" s="418" customFormat="1" outlineLevel="1">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E322" s="113"/>
      <c r="AF322" s="113"/>
      <c r="AG322" s="113"/>
      <c r="AH322" s="113"/>
      <c r="AI322" s="113"/>
      <c r="AJ322" s="113"/>
      <c r="AK322" s="113"/>
      <c r="AL322" s="113"/>
      <c r="AM322" s="113"/>
      <c r="AP322" s="113"/>
      <c r="AQ322" s="113"/>
      <c r="AR322" s="113"/>
      <c r="AS322" s="113"/>
      <c r="AT322" s="113"/>
      <c r="AU322" s="113"/>
      <c r="AV322" s="113"/>
      <c r="AW322" s="113"/>
      <c r="AX322" s="113"/>
      <c r="AY322" s="113"/>
      <c r="AZ322" s="113"/>
      <c r="BA322" s="113"/>
      <c r="BB322" s="113"/>
      <c r="BC322" s="113"/>
      <c r="BD322" s="113"/>
    </row>
    <row r="323" spans="1:56" s="418" customFormat="1" outlineLevel="1">
      <c r="A323" s="113"/>
      <c r="B323" s="113" t="s">
        <v>2548</v>
      </c>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E323" s="113"/>
      <c r="AF323" s="113"/>
      <c r="AG323" s="113"/>
      <c r="AH323" s="113"/>
      <c r="AI323" s="113"/>
      <c r="AJ323" s="113"/>
      <c r="AK323" s="113"/>
      <c r="AL323" s="113"/>
      <c r="AM323" s="113"/>
      <c r="AP323" s="113"/>
      <c r="AQ323" s="113"/>
      <c r="AR323" s="113"/>
      <c r="AS323" s="113"/>
      <c r="AT323" s="113"/>
      <c r="AU323" s="113"/>
      <c r="AV323" s="113"/>
      <c r="AW323" s="113"/>
      <c r="AX323" s="113"/>
      <c r="AY323" s="113"/>
      <c r="AZ323" s="113"/>
      <c r="BA323" s="113"/>
      <c r="BB323" s="113"/>
      <c r="BC323" s="113"/>
      <c r="BD323" s="113"/>
    </row>
    <row r="324" spans="1:56" s="418" customFormat="1" outlineLevel="1">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E324" s="113"/>
      <c r="AF324" s="113"/>
      <c r="AG324" s="113"/>
      <c r="AH324" s="113"/>
      <c r="AI324" s="113"/>
      <c r="AJ324" s="113"/>
      <c r="AK324" s="113"/>
      <c r="AL324" s="113"/>
      <c r="AM324" s="113"/>
      <c r="AP324" s="113"/>
      <c r="AQ324" s="113"/>
      <c r="AR324" s="113"/>
      <c r="AS324" s="113"/>
      <c r="AT324" s="113"/>
      <c r="AU324" s="113"/>
      <c r="AV324" s="113"/>
      <c r="AW324" s="113"/>
      <c r="AX324" s="113"/>
      <c r="AY324" s="113"/>
      <c r="AZ324" s="113"/>
      <c r="BA324" s="113"/>
      <c r="BB324" s="113"/>
      <c r="BC324" s="113"/>
      <c r="BD324" s="113"/>
    </row>
    <row r="325" spans="1:56" s="418" customFormat="1" outlineLevel="1">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E325" s="113"/>
      <c r="AF325" s="113"/>
      <c r="AG325" s="113"/>
      <c r="AH325" s="113"/>
      <c r="AI325" s="113"/>
      <c r="AJ325" s="113"/>
      <c r="AK325" s="113"/>
      <c r="AL325" s="113"/>
      <c r="AM325" s="113"/>
      <c r="AP325" s="113"/>
      <c r="AQ325" s="113"/>
      <c r="AR325" s="113"/>
      <c r="AS325" s="113"/>
      <c r="AT325" s="113"/>
      <c r="AU325" s="113"/>
      <c r="AV325" s="113"/>
      <c r="AW325" s="113"/>
      <c r="AX325" s="113"/>
      <c r="AY325" s="113"/>
      <c r="AZ325" s="113"/>
      <c r="BA325" s="113"/>
      <c r="BB325" s="113"/>
      <c r="BC325" s="113"/>
      <c r="BD325" s="113"/>
    </row>
    <row r="326" spans="1:56" s="418" customFormat="1" outlineLevel="1">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E326" s="113"/>
      <c r="AF326" s="113"/>
      <c r="AG326" s="113"/>
      <c r="AH326" s="113"/>
      <c r="AI326" s="113"/>
      <c r="AJ326" s="113"/>
      <c r="AK326" s="113"/>
      <c r="AL326" s="113"/>
      <c r="AM326" s="113"/>
      <c r="AP326" s="113"/>
      <c r="AQ326" s="113"/>
      <c r="AR326" s="113"/>
      <c r="AS326" s="113"/>
      <c r="AT326" s="113"/>
      <c r="AU326" s="113"/>
      <c r="AV326" s="113"/>
      <c r="AW326" s="113"/>
      <c r="AX326" s="113"/>
      <c r="AY326" s="113"/>
      <c r="AZ326" s="113"/>
      <c r="BA326" s="113"/>
      <c r="BB326" s="113"/>
      <c r="BC326" s="113"/>
      <c r="BD326" s="113"/>
    </row>
    <row r="327" spans="1:56" s="418" customFormat="1" outlineLevel="1">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E327" s="113"/>
      <c r="AF327" s="113"/>
      <c r="AG327" s="113"/>
      <c r="AH327" s="113"/>
      <c r="AI327" s="113"/>
      <c r="AJ327" s="113"/>
      <c r="AK327" s="113"/>
      <c r="AL327" s="113"/>
      <c r="AM327" s="113"/>
      <c r="AP327" s="113"/>
      <c r="AQ327" s="113"/>
      <c r="AR327" s="113"/>
      <c r="AS327" s="113"/>
      <c r="AT327" s="113"/>
      <c r="AU327" s="113"/>
      <c r="AV327" s="113"/>
      <c r="AW327" s="113"/>
      <c r="AX327" s="113"/>
      <c r="AY327" s="113"/>
      <c r="AZ327" s="113"/>
      <c r="BA327" s="113"/>
      <c r="BB327" s="113"/>
      <c r="BC327" s="113"/>
      <c r="BD327" s="113"/>
    </row>
    <row r="328" spans="1:56" s="418" customFormat="1" hidden="1" collapsed="1">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E328" s="113"/>
      <c r="AF328" s="113"/>
      <c r="AG328" s="113"/>
      <c r="AH328" s="113"/>
      <c r="AI328" s="113"/>
      <c r="AJ328" s="113"/>
      <c r="AK328" s="113"/>
      <c r="AL328" s="113"/>
      <c r="AM328" s="113"/>
      <c r="AP328" s="113"/>
      <c r="AQ328" s="113"/>
      <c r="AR328" s="113"/>
      <c r="AS328" s="113"/>
      <c r="AT328" s="113"/>
      <c r="AU328" s="113"/>
      <c r="AV328" s="113"/>
      <c r="AW328" s="113"/>
      <c r="AX328" s="113"/>
      <c r="AY328" s="113"/>
      <c r="AZ328" s="113"/>
      <c r="BA328" s="113"/>
      <c r="BB328" s="113"/>
      <c r="BC328" s="113"/>
      <c r="BD328" s="113"/>
    </row>
    <row r="329" spans="1:56" s="418" customFormat="1" ht="15.6" collapsed="1">
      <c r="A329" s="113"/>
      <c r="B329" s="2733" t="s">
        <v>2554</v>
      </c>
      <c r="C329" s="2734"/>
      <c r="D329" s="2734"/>
      <c r="E329" s="2734"/>
      <c r="F329" s="2734"/>
      <c r="G329" s="2734"/>
      <c r="H329" s="2734"/>
      <c r="I329" s="2734"/>
      <c r="J329" s="2734"/>
      <c r="K329" s="2734"/>
      <c r="L329" s="2734"/>
      <c r="M329" s="2734"/>
      <c r="N329" s="2734"/>
      <c r="O329" s="2735"/>
      <c r="P329" s="113"/>
      <c r="Q329" s="113"/>
      <c r="R329" s="113"/>
      <c r="S329" s="113"/>
      <c r="T329" s="113"/>
      <c r="U329" s="113"/>
      <c r="V329" s="113"/>
      <c r="W329" s="113"/>
      <c r="X329" s="113"/>
      <c r="Y329" s="113"/>
      <c r="Z329" s="113"/>
      <c r="AA329" s="113"/>
      <c r="AB329" s="113"/>
      <c r="AC329" s="113"/>
      <c r="AE329" s="113"/>
      <c r="AF329" s="113"/>
      <c r="AG329" s="113"/>
      <c r="AH329" s="113"/>
      <c r="AI329" s="113"/>
      <c r="AJ329" s="113"/>
      <c r="AK329" s="113"/>
      <c r="AL329" s="113"/>
      <c r="AM329" s="113"/>
      <c r="AP329" s="113"/>
      <c r="AQ329" s="113"/>
      <c r="AR329" s="113"/>
      <c r="AS329" s="113"/>
      <c r="AT329" s="113"/>
      <c r="AU329" s="113"/>
      <c r="AV329" s="113"/>
      <c r="AW329" s="113"/>
      <c r="AX329" s="113"/>
      <c r="AY329" s="113"/>
      <c r="AZ329" s="113"/>
      <c r="BA329" s="113"/>
      <c r="BB329" s="113"/>
      <c r="BC329" s="113"/>
      <c r="BD329" s="113"/>
    </row>
    <row r="330" spans="1:56" s="418" customFormat="1" hidden="1" outlineLevel="1">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56" s="113" customFormat="1" ht="38.25" hidden="1" customHeight="1" outlineLevel="1">
      <c r="B331" s="205"/>
      <c r="C331" s="205"/>
      <c r="D331" s="205"/>
      <c r="E331" s="2736" t="s">
        <v>448</v>
      </c>
      <c r="F331" s="2737"/>
      <c r="G331" s="2737"/>
      <c r="H331" s="2737"/>
      <c r="I331" s="2737"/>
      <c r="J331" s="2737"/>
      <c r="K331" s="2737"/>
      <c r="L331" s="2737"/>
      <c r="M331" s="2738"/>
      <c r="N331" s="1794" t="s">
        <v>811</v>
      </c>
      <c r="O331" s="1795" t="s">
        <v>440</v>
      </c>
      <c r="Q331" s="908"/>
      <c r="R331" s="908"/>
      <c r="W331" s="817"/>
      <c r="AB331" s="576"/>
      <c r="AC331" s="576"/>
      <c r="AD331" s="576"/>
      <c r="AE331" s="576"/>
      <c r="AF331" s="576"/>
      <c r="AG331" s="576"/>
      <c r="AH331" s="576"/>
      <c r="AI331" s="576"/>
      <c r="AJ331" s="576"/>
      <c r="AK331" s="576"/>
      <c r="AL331" s="576"/>
      <c r="AM331" s="576"/>
    </row>
    <row r="332" spans="1:56" s="113" customFormat="1" ht="38.25" hidden="1" customHeight="1" outlineLevel="1">
      <c r="B332" s="2736" t="s">
        <v>438</v>
      </c>
      <c r="C332" s="2738"/>
      <c r="D332" s="1795" t="s">
        <v>2510</v>
      </c>
      <c r="E332" s="1796" t="s">
        <v>853</v>
      </c>
      <c r="F332" s="1796" t="s">
        <v>854</v>
      </c>
      <c r="G332" s="1796" t="s">
        <v>855</v>
      </c>
      <c r="H332" s="1796" t="s">
        <v>861</v>
      </c>
      <c r="I332" s="1796" t="s">
        <v>852</v>
      </c>
      <c r="J332" s="1797" t="s">
        <v>513</v>
      </c>
      <c r="K332" s="1796" t="s">
        <v>862</v>
      </c>
      <c r="L332" s="1796" t="s">
        <v>863</v>
      </c>
      <c r="M332" s="1796" t="s">
        <v>514</v>
      </c>
      <c r="N332" s="1798" t="s">
        <v>856</v>
      </c>
      <c r="O332" s="1799" t="s">
        <v>513</v>
      </c>
      <c r="Q332" s="908"/>
      <c r="R332" s="908"/>
      <c r="W332" s="817"/>
      <c r="AB332" s="576"/>
      <c r="AC332" s="576"/>
      <c r="AD332" s="576"/>
      <c r="AE332" s="576"/>
      <c r="AF332" s="576"/>
      <c r="AG332" s="576"/>
      <c r="AH332" s="576"/>
      <c r="AI332" s="576"/>
      <c r="AJ332" s="576"/>
      <c r="AK332" s="576"/>
      <c r="AL332" s="576"/>
      <c r="AM332" s="576"/>
    </row>
    <row r="333" spans="1:56" s="113" customFormat="1" ht="12.75" hidden="1" customHeight="1" outlineLevel="1">
      <c r="B333" s="2722" t="s">
        <v>2481</v>
      </c>
      <c r="C333" s="2723"/>
      <c r="D333" s="973" t="s">
        <v>2503</v>
      </c>
      <c r="E333" s="980">
        <f>SUM(E291:E295)</f>
        <v>302942.59600000002</v>
      </c>
      <c r="F333" s="980">
        <f t="shared" ref="F333:I333" si="49">SUM(F291:F295)</f>
        <v>234.29999999999998</v>
      </c>
      <c r="G333" s="980">
        <f t="shared" si="49"/>
        <v>1577.381916</v>
      </c>
      <c r="H333" s="980">
        <f t="shared" si="49"/>
        <v>0</v>
      </c>
      <c r="I333" s="980">
        <f t="shared" si="49"/>
        <v>0</v>
      </c>
      <c r="J333" s="981">
        <f>SUM(E333:I333)</f>
        <v>304754.27791599999</v>
      </c>
      <c r="K333" s="982">
        <f>SUM(K291:K295)</f>
        <v>0</v>
      </c>
      <c r="L333" s="982">
        <v>0</v>
      </c>
      <c r="M333" s="983">
        <f>M291</f>
        <v>14749.06855465958</v>
      </c>
      <c r="N333" s="984"/>
      <c r="O333" s="1886" t="s">
        <v>817</v>
      </c>
      <c r="Q333" s="908"/>
      <c r="R333" s="908"/>
      <c r="W333" s="817"/>
      <c r="AB333" s="576"/>
      <c r="AC333" s="576"/>
      <c r="AD333" s="576"/>
      <c r="AE333" s="576"/>
      <c r="AF333" s="576"/>
      <c r="AG333" s="576"/>
      <c r="AH333" s="576"/>
      <c r="AI333" s="576"/>
      <c r="AJ333" s="576"/>
      <c r="AK333" s="576"/>
      <c r="AL333" s="576"/>
      <c r="AM333" s="576"/>
    </row>
    <row r="334" spans="1:56" s="113" customFormat="1" ht="12.75" hidden="1" customHeight="1" outlineLevel="1">
      <c r="B334" s="2722" t="s">
        <v>2482</v>
      </c>
      <c r="C334" s="2723"/>
      <c r="D334" s="1896" t="s">
        <v>2504</v>
      </c>
      <c r="E334" s="980">
        <f>E297+E298</f>
        <v>19289.968499999999</v>
      </c>
      <c r="F334" s="980">
        <f t="shared" ref="F334:I334" si="50">F297+F298</f>
        <v>0</v>
      </c>
      <c r="G334" s="980">
        <f t="shared" si="50"/>
        <v>0</v>
      </c>
      <c r="H334" s="980">
        <f t="shared" si="50"/>
        <v>0</v>
      </c>
      <c r="I334" s="980">
        <f t="shared" si="50"/>
        <v>0</v>
      </c>
      <c r="J334" s="981">
        <f>SUM(E334:I334)</f>
        <v>19289.968499999999</v>
      </c>
      <c r="K334" s="982">
        <f>K297+K298</f>
        <v>0</v>
      </c>
      <c r="L334" s="982">
        <v>0</v>
      </c>
      <c r="M334" s="983">
        <f>SQRT(SUMPRODUCT(M297:M298,M297:M298))</f>
        <v>1928.99685</v>
      </c>
      <c r="N334" s="984"/>
      <c r="O334" s="990"/>
      <c r="Q334" s="908"/>
      <c r="R334" s="908"/>
      <c r="W334" s="817"/>
      <c r="AB334" s="576"/>
      <c r="AC334" s="576"/>
      <c r="AD334" s="576"/>
      <c r="AE334" s="576"/>
      <c r="AF334" s="576"/>
      <c r="AG334" s="576"/>
      <c r="AH334" s="576"/>
      <c r="AI334" s="576"/>
      <c r="AJ334" s="576"/>
      <c r="AK334" s="576"/>
      <c r="AL334" s="576"/>
      <c r="AM334" s="576"/>
    </row>
    <row r="335" spans="1:56" s="113" customFormat="1" ht="12.75" hidden="1" customHeight="1" outlineLevel="1">
      <c r="B335" s="2722" t="s">
        <v>2483</v>
      </c>
      <c r="C335" s="2723"/>
      <c r="D335" s="973" t="s">
        <v>2505</v>
      </c>
      <c r="E335" s="980"/>
      <c r="F335" s="980"/>
      <c r="G335" s="980"/>
      <c r="H335" s="980"/>
      <c r="I335" s="980"/>
      <c r="J335" s="981"/>
      <c r="K335" s="982"/>
      <c r="L335" s="982"/>
      <c r="M335" s="983"/>
      <c r="N335" s="984"/>
      <c r="O335" s="984"/>
      <c r="Q335" s="908"/>
      <c r="R335" s="908"/>
      <c r="W335" s="817"/>
      <c r="AB335" s="576"/>
      <c r="AC335" s="576"/>
      <c r="AD335" s="576"/>
      <c r="AE335" s="576"/>
      <c r="AF335" s="576"/>
      <c r="AG335" s="576"/>
      <c r="AH335" s="576"/>
      <c r="AI335" s="576"/>
      <c r="AJ335" s="576"/>
      <c r="AK335" s="576"/>
      <c r="AL335" s="576"/>
      <c r="AM335" s="576"/>
    </row>
    <row r="336" spans="1:56" s="113" customFormat="1" ht="26.25" hidden="1" customHeight="1" outlineLevel="1">
      <c r="B336" s="2739" t="s">
        <v>2485</v>
      </c>
      <c r="C336" s="2740"/>
      <c r="D336" s="1896" t="s">
        <v>2506</v>
      </c>
      <c r="E336" s="980"/>
      <c r="F336" s="980"/>
      <c r="G336" s="980"/>
      <c r="H336" s="980"/>
      <c r="I336" s="980"/>
      <c r="J336" s="981"/>
      <c r="K336" s="982"/>
      <c r="L336" s="982"/>
      <c r="M336" s="983"/>
      <c r="N336" s="984"/>
      <c r="O336" s="984"/>
      <c r="Q336" s="908"/>
      <c r="R336" s="908"/>
      <c r="W336" s="817"/>
      <c r="AB336" s="576"/>
      <c r="AC336" s="576"/>
      <c r="AD336" s="576"/>
      <c r="AE336" s="576"/>
      <c r="AF336" s="576"/>
      <c r="AG336" s="576"/>
      <c r="AH336" s="576"/>
      <c r="AI336" s="576"/>
      <c r="AJ336" s="576"/>
      <c r="AK336" s="576"/>
      <c r="AL336" s="576"/>
      <c r="AM336" s="576"/>
    </row>
    <row r="337" spans="1:56" s="113" customFormat="1" ht="26.25" hidden="1" customHeight="1" outlineLevel="1">
      <c r="B337" s="2739" t="s">
        <v>2484</v>
      </c>
      <c r="C337" s="2740"/>
      <c r="D337" s="1897" t="s">
        <v>2507</v>
      </c>
      <c r="E337" s="980">
        <f>E303+E306</f>
        <v>0</v>
      </c>
      <c r="F337" s="980">
        <f t="shared" ref="F337:I337" si="51">F303+F306</f>
        <v>0</v>
      </c>
      <c r="G337" s="980">
        <f t="shared" si="51"/>
        <v>0</v>
      </c>
      <c r="H337" s="980">
        <f t="shared" si="51"/>
        <v>0</v>
      </c>
      <c r="I337" s="980">
        <f t="shared" si="51"/>
        <v>0</v>
      </c>
      <c r="J337" s="981">
        <f>SUM(E337:I337)</f>
        <v>0</v>
      </c>
      <c r="K337" s="982">
        <f>K303+K306</f>
        <v>0</v>
      </c>
      <c r="L337" s="982">
        <v>0</v>
      </c>
      <c r="M337" s="983">
        <f>M306</f>
        <v>0</v>
      </c>
      <c r="N337" s="984"/>
      <c r="O337" s="984"/>
      <c r="Q337" s="908"/>
      <c r="R337" s="908"/>
      <c r="W337" s="817"/>
      <c r="AB337" s="576"/>
      <c r="AC337" s="576"/>
      <c r="AD337" s="576"/>
      <c r="AE337" s="576"/>
      <c r="AF337" s="576"/>
      <c r="AG337" s="576"/>
      <c r="AH337" s="576"/>
      <c r="AI337" s="576"/>
      <c r="AJ337" s="576"/>
      <c r="AK337" s="576"/>
      <c r="AL337" s="576"/>
      <c r="AM337" s="576"/>
    </row>
    <row r="338" spans="1:56" s="113" customFormat="1" ht="26.25" hidden="1" customHeight="1" outlineLevel="1">
      <c r="B338" s="2739" t="s">
        <v>2486</v>
      </c>
      <c r="C338" s="2740"/>
      <c r="D338" s="973" t="s">
        <v>2508</v>
      </c>
      <c r="E338" s="980"/>
      <c r="F338" s="980"/>
      <c r="G338" s="980"/>
      <c r="H338" s="980"/>
      <c r="I338" s="980"/>
      <c r="J338" s="981"/>
      <c r="K338" s="982"/>
      <c r="L338" s="982"/>
      <c r="M338" s="983"/>
      <c r="N338" s="984"/>
      <c r="O338" s="984"/>
      <c r="Q338" s="908"/>
      <c r="R338" s="908"/>
      <c r="W338" s="817"/>
      <c r="AB338" s="576"/>
      <c r="AC338" s="576"/>
      <c r="AD338" s="576"/>
      <c r="AE338" s="576"/>
      <c r="AF338" s="576"/>
      <c r="AG338" s="576"/>
      <c r="AH338" s="576"/>
      <c r="AI338" s="576"/>
      <c r="AJ338" s="576"/>
      <c r="AK338" s="576"/>
      <c r="AL338" s="576"/>
      <c r="AM338" s="576"/>
    </row>
    <row r="339" spans="1:56" s="113" customFormat="1" ht="12.75" hidden="1" customHeight="1" outlineLevel="1">
      <c r="B339" s="2722" t="s">
        <v>449</v>
      </c>
      <c r="C339" s="2723"/>
      <c r="D339" s="1898" t="s">
        <v>2509</v>
      </c>
      <c r="E339" s="980">
        <f>E300+E307+E312+E315</f>
        <v>67500.7356</v>
      </c>
      <c r="F339" s="980">
        <f t="shared" ref="F339:I339" si="52">F300+F307+F312+F315</f>
        <v>5865.3745920000001</v>
      </c>
      <c r="G339" s="980">
        <f t="shared" si="52"/>
        <v>14.65662</v>
      </c>
      <c r="H339" s="980">
        <f t="shared" si="52"/>
        <v>0</v>
      </c>
      <c r="I339" s="980">
        <f t="shared" si="52"/>
        <v>0</v>
      </c>
      <c r="J339" s="981">
        <f>SUM(E339:I339)</f>
        <v>73380.766811999987</v>
      </c>
      <c r="K339" s="982">
        <f>K300+K307+K312+K315</f>
        <v>0</v>
      </c>
      <c r="L339" s="982">
        <v>0</v>
      </c>
      <c r="M339" s="983">
        <f>SQRT(SUM(M300^2,M315^2))</f>
        <v>3214.9156058606336</v>
      </c>
      <c r="N339" s="984"/>
      <c r="O339" s="984"/>
      <c r="Q339" s="908"/>
      <c r="R339" s="908"/>
      <c r="W339" s="817"/>
      <c r="AB339" s="576"/>
      <c r="AC339" s="576"/>
      <c r="AD339" s="576"/>
      <c r="AE339" s="576"/>
      <c r="AF339" s="576"/>
      <c r="AG339" s="576"/>
      <c r="AH339" s="576"/>
      <c r="AI339" s="576"/>
      <c r="AJ339" s="576"/>
      <c r="AK339" s="576"/>
      <c r="AL339" s="576"/>
      <c r="AM339" s="576"/>
    </row>
    <row r="340" spans="1:56" s="418" customFormat="1" hidden="1" outlineLevel="1">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E340" s="113"/>
      <c r="AF340" s="113"/>
      <c r="AG340" s="113"/>
      <c r="AH340" s="113"/>
      <c r="AI340" s="113"/>
      <c r="AJ340" s="113"/>
      <c r="AK340" s="113"/>
      <c r="AL340" s="113"/>
      <c r="AM340" s="113"/>
      <c r="AP340" s="113"/>
      <c r="AQ340" s="113"/>
      <c r="AR340" s="113"/>
      <c r="AS340" s="113"/>
      <c r="AT340" s="113"/>
      <c r="AU340" s="113"/>
      <c r="AV340" s="113"/>
      <c r="AW340" s="113"/>
      <c r="AX340" s="113"/>
      <c r="AY340" s="113"/>
      <c r="AZ340" s="113"/>
      <c r="BA340" s="113"/>
      <c r="BB340" s="113"/>
      <c r="BC340" s="113"/>
      <c r="BD340" s="113"/>
    </row>
    <row r="341" spans="1:56" s="418" customFormat="1" collapsed="1">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E341" s="113"/>
      <c r="AF341" s="113"/>
      <c r="AG341" s="113"/>
      <c r="AH341" s="113"/>
      <c r="AI341" s="113"/>
      <c r="AJ341" s="113"/>
      <c r="AK341" s="113"/>
      <c r="AL341" s="113"/>
      <c r="AM341" s="113"/>
      <c r="AP341" s="113"/>
      <c r="AQ341" s="113"/>
      <c r="AR341" s="113"/>
      <c r="AS341" s="113"/>
      <c r="AT341" s="113"/>
      <c r="AU341" s="113"/>
      <c r="AV341" s="113"/>
      <c r="AW341" s="113"/>
      <c r="AX341" s="113"/>
      <c r="AY341" s="113"/>
      <c r="AZ341" s="113"/>
      <c r="BA341" s="113"/>
      <c r="BB341" s="113"/>
      <c r="BC341" s="113"/>
      <c r="BD341" s="113"/>
    </row>
    <row r="342" spans="1:56"/>
    <row r="343" spans="1:56"/>
    <row r="344" spans="1:56"/>
    <row r="345" spans="1:56"/>
    <row r="346" spans="1:56"/>
    <row r="347" spans="1:56"/>
    <row r="348" spans="1:56"/>
    <row r="349" spans="1:56"/>
    <row r="350" spans="1:56"/>
    <row r="351" spans="1:56"/>
    <row r="352" spans="1:56"/>
    <row r="353"/>
    <row r="354"/>
    <row r="355"/>
    <row r="356"/>
    <row r="357"/>
    <row r="358"/>
    <row r="359"/>
    <row r="360"/>
    <row r="361"/>
    <row r="362"/>
    <row r="363"/>
    <row r="364"/>
    <row r="365"/>
    <row r="366"/>
    <row r="367"/>
    <row r="368"/>
    <row r="369"/>
    <row r="370"/>
    <row r="371"/>
    <row r="372"/>
    <row r="373"/>
    <row r="374"/>
    <row r="375"/>
  </sheetData>
  <mergeCells count="345">
    <mergeCell ref="E331:M331"/>
    <mergeCell ref="B332:C332"/>
    <mergeCell ref="B333:C333"/>
    <mergeCell ref="B336:C336"/>
    <mergeCell ref="B334:C334"/>
    <mergeCell ref="B335:C335"/>
    <mergeCell ref="B339:C339"/>
    <mergeCell ref="B337:C337"/>
    <mergeCell ref="B338:C338"/>
    <mergeCell ref="B314:C314"/>
    <mergeCell ref="B315:C315"/>
    <mergeCell ref="B316:D316"/>
    <mergeCell ref="B319:O319"/>
    <mergeCell ref="B329:O32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D296"/>
    <mergeCell ref="B297:C297"/>
    <mergeCell ref="B298:C298"/>
    <mergeCell ref="B299:D299"/>
    <mergeCell ref="B300:C300"/>
    <mergeCell ref="B301:C301"/>
    <mergeCell ref="B284:D284"/>
    <mergeCell ref="B287:O287"/>
    <mergeCell ref="E289:M289"/>
    <mergeCell ref="B290:C290"/>
    <mergeCell ref="B291:C291"/>
    <mergeCell ref="O291:O296"/>
    <mergeCell ref="B292:C292"/>
    <mergeCell ref="B293:C293"/>
    <mergeCell ref="B294:C294"/>
    <mergeCell ref="B295:C295"/>
    <mergeCell ref="B278:C278"/>
    <mergeCell ref="B279:C279"/>
    <mergeCell ref="B280:C280"/>
    <mergeCell ref="B281:C281"/>
    <mergeCell ref="B282:C282"/>
    <mergeCell ref="B283:C283"/>
    <mergeCell ref="B272:C272"/>
    <mergeCell ref="B273:C273"/>
    <mergeCell ref="B274:C274"/>
    <mergeCell ref="B275:O275"/>
    <mergeCell ref="B276:C276"/>
    <mergeCell ref="B277:C277"/>
    <mergeCell ref="B266:C266"/>
    <mergeCell ref="B267:C267"/>
    <mergeCell ref="B268:C268"/>
    <mergeCell ref="B269:C269"/>
    <mergeCell ref="B270:C270"/>
    <mergeCell ref="B271:C271"/>
    <mergeCell ref="B260:C260"/>
    <mergeCell ref="B261:D261"/>
    <mergeCell ref="B262:C262"/>
    <mergeCell ref="B263:C263"/>
    <mergeCell ref="B264:D264"/>
    <mergeCell ref="B265:O265"/>
    <mergeCell ref="B253:O253"/>
    <mergeCell ref="E255:N255"/>
    <mergeCell ref="B256:C256"/>
    <mergeCell ref="B257:C257"/>
    <mergeCell ref="B258:C258"/>
    <mergeCell ref="B259:C259"/>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19:C219"/>
    <mergeCell ref="B221:O221"/>
    <mergeCell ref="E223:K223"/>
    <mergeCell ref="B224:C224"/>
    <mergeCell ref="B225:C225"/>
    <mergeCell ref="B226:C226"/>
    <mergeCell ref="B213:C213"/>
    <mergeCell ref="B214:C214"/>
    <mergeCell ref="B215:C215"/>
    <mergeCell ref="B216:C216"/>
    <mergeCell ref="B217:C217"/>
    <mergeCell ref="B218:C218"/>
    <mergeCell ref="B207:O207"/>
    <mergeCell ref="B209:C210"/>
    <mergeCell ref="D209:F209"/>
    <mergeCell ref="H209:I209"/>
    <mergeCell ref="B211:C211"/>
    <mergeCell ref="B212:C212"/>
    <mergeCell ref="B201:C201"/>
    <mergeCell ref="B202:C202"/>
    <mergeCell ref="B203:C203"/>
    <mergeCell ref="B204:C204"/>
    <mergeCell ref="W186:AC186"/>
    <mergeCell ref="AE186:AI186"/>
    <mergeCell ref="AE188:AH188"/>
    <mergeCell ref="B195:O195"/>
    <mergeCell ref="B197:C198"/>
    <mergeCell ref="D197:F197"/>
    <mergeCell ref="H197:I197"/>
    <mergeCell ref="K197:N197"/>
    <mergeCell ref="AZ178:BC178"/>
    <mergeCell ref="X179:Y179"/>
    <mergeCell ref="X168:Y168"/>
    <mergeCell ref="W176:AC176"/>
    <mergeCell ref="AE176:AP176"/>
    <mergeCell ref="AE177:AL177"/>
    <mergeCell ref="AR177:BC177"/>
    <mergeCell ref="B199:C199"/>
    <mergeCell ref="B200:C200"/>
    <mergeCell ref="G178:H178"/>
    <mergeCell ref="X178:Y178"/>
    <mergeCell ref="AE178:AF178"/>
    <mergeCell ref="AG178:AH178"/>
    <mergeCell ref="AI178:AJ178"/>
    <mergeCell ref="X157:Y157"/>
    <mergeCell ref="W165:AC165"/>
    <mergeCell ref="AR166:AY166"/>
    <mergeCell ref="X167:Y167"/>
    <mergeCell ref="AE167:AH167"/>
    <mergeCell ref="AR167:AU167"/>
    <mergeCell ref="AV167:AY167"/>
    <mergeCell ref="AK178:AL178"/>
    <mergeCell ref="AO178:AP178"/>
    <mergeCell ref="AR178:AU178"/>
    <mergeCell ref="AV178:AY178"/>
    <mergeCell ref="X137:Y137"/>
    <mergeCell ref="W154:AC154"/>
    <mergeCell ref="AR155:AY155"/>
    <mergeCell ref="X156:Y156"/>
    <mergeCell ref="AE156:AH156"/>
    <mergeCell ref="AR156:AU156"/>
    <mergeCell ref="AV156:AY156"/>
    <mergeCell ref="X125:Y125"/>
    <mergeCell ref="W134:AC134"/>
    <mergeCell ref="AE134:AI134"/>
    <mergeCell ref="AR135:AY135"/>
    <mergeCell ref="X136:Y136"/>
    <mergeCell ref="AE136:AH136"/>
    <mergeCell ref="AR136:AU136"/>
    <mergeCell ref="AV136:AY136"/>
    <mergeCell ref="X114:Y114"/>
    <mergeCell ref="W122:AC122"/>
    <mergeCell ref="AE122:AI122"/>
    <mergeCell ref="AR123:AY123"/>
    <mergeCell ref="X124:Y124"/>
    <mergeCell ref="AE124:AH124"/>
    <mergeCell ref="AR124:AU124"/>
    <mergeCell ref="AV124:AY124"/>
    <mergeCell ref="W111:AC111"/>
    <mergeCell ref="AR112:AY112"/>
    <mergeCell ref="X113:Y113"/>
    <mergeCell ref="AE113:AH113"/>
    <mergeCell ref="AR113:AU113"/>
    <mergeCell ref="AV113:AY113"/>
    <mergeCell ref="AM99:AN99"/>
    <mergeCell ref="AO99:AP99"/>
    <mergeCell ref="X100:Y100"/>
    <mergeCell ref="G99:J99"/>
    <mergeCell ref="X99:Y99"/>
    <mergeCell ref="AE99:AF99"/>
    <mergeCell ref="AG99:AH99"/>
    <mergeCell ref="AI99:AJ99"/>
    <mergeCell ref="AK99:AL99"/>
    <mergeCell ref="AV84:AY84"/>
    <mergeCell ref="AZ84:BC84"/>
    <mergeCell ref="X85:Y85"/>
    <mergeCell ref="W97:AC97"/>
    <mergeCell ref="AE97:AP97"/>
    <mergeCell ref="AE98:AL98"/>
    <mergeCell ref="AM98:AN98"/>
    <mergeCell ref="AR83:BC83"/>
    <mergeCell ref="AR98:AY98"/>
    <mergeCell ref="G84:I84"/>
    <mergeCell ref="X84:Y84"/>
    <mergeCell ref="AE84:AF84"/>
    <mergeCell ref="AG84:AH84"/>
    <mergeCell ref="AI84:AJ84"/>
    <mergeCell ref="AK84:AL84"/>
    <mergeCell ref="AM84:AN84"/>
    <mergeCell ref="AO84:AP84"/>
    <mergeCell ref="AR84:AU84"/>
    <mergeCell ref="X72:Y72"/>
    <mergeCell ref="B80:O80"/>
    <mergeCell ref="W82:AC82"/>
    <mergeCell ref="AE82:AP82"/>
    <mergeCell ref="AE83:AL83"/>
    <mergeCell ref="AM83:AN83"/>
    <mergeCell ref="X62:Y62"/>
    <mergeCell ref="W69:AC69"/>
    <mergeCell ref="AE69:AI69"/>
    <mergeCell ref="AR70:BC70"/>
    <mergeCell ref="X71:Y71"/>
    <mergeCell ref="AE71:AH71"/>
    <mergeCell ref="AR71:AU71"/>
    <mergeCell ref="AV71:AY71"/>
    <mergeCell ref="AZ71:BC71"/>
    <mergeCell ref="AR60:BC60"/>
    <mergeCell ref="X61:Y61"/>
    <mergeCell ref="AE61:AH61"/>
    <mergeCell ref="AR61:AU61"/>
    <mergeCell ref="AV61:AY61"/>
    <mergeCell ref="AZ61:BC61"/>
    <mergeCell ref="AV44:AY44"/>
    <mergeCell ref="AZ44:BC44"/>
    <mergeCell ref="X45:Y45"/>
    <mergeCell ref="B57:O57"/>
    <mergeCell ref="W59:AC59"/>
    <mergeCell ref="AE59:AI59"/>
    <mergeCell ref="AM43:AN43"/>
    <mergeCell ref="AR43:BC43"/>
    <mergeCell ref="X44:Y44"/>
    <mergeCell ref="AE44:AF44"/>
    <mergeCell ref="AG44:AH44"/>
    <mergeCell ref="AI44:AJ44"/>
    <mergeCell ref="AK44:AL44"/>
    <mergeCell ref="AM44:AN44"/>
    <mergeCell ref="AO44:AP44"/>
    <mergeCell ref="AR44:AU44"/>
    <mergeCell ref="H43:I43"/>
    <mergeCell ref="J43:K43"/>
    <mergeCell ref="AE43:AL43"/>
    <mergeCell ref="J44:J45"/>
    <mergeCell ref="AV32:AY32"/>
    <mergeCell ref="AZ32:BC32"/>
    <mergeCell ref="X33:Y33"/>
    <mergeCell ref="G36:H36"/>
    <mergeCell ref="H42:I42"/>
    <mergeCell ref="W42:AC42"/>
    <mergeCell ref="AE42:AP42"/>
    <mergeCell ref="AG32:AH32"/>
    <mergeCell ref="AI32:AJ32"/>
    <mergeCell ref="AK32:AL32"/>
    <mergeCell ref="AM32:AN32"/>
    <mergeCell ref="AO32:AP32"/>
    <mergeCell ref="AR32:AU32"/>
    <mergeCell ref="G32:H32"/>
    <mergeCell ref="J32:K32"/>
    <mergeCell ref="M32:N32"/>
    <mergeCell ref="P32:Q32"/>
    <mergeCell ref="X32:Y32"/>
    <mergeCell ref="AE32:AF32"/>
    <mergeCell ref="AV11:AY11"/>
    <mergeCell ref="AZ11:BC11"/>
    <mergeCell ref="X12:Y12"/>
    <mergeCell ref="W30:AC30"/>
    <mergeCell ref="AE30:AP30"/>
    <mergeCell ref="AE31:AL31"/>
    <mergeCell ref="AM31:AN31"/>
    <mergeCell ref="AR31:BC31"/>
    <mergeCell ref="AG11:AH11"/>
    <mergeCell ref="AI11:AJ11"/>
    <mergeCell ref="AK11:AL11"/>
    <mergeCell ref="AM11:AN11"/>
    <mergeCell ref="AO11:AP11"/>
    <mergeCell ref="AR11:AU11"/>
    <mergeCell ref="G11:H11"/>
    <mergeCell ref="J11:K11"/>
    <mergeCell ref="M11:N11"/>
    <mergeCell ref="P11:Q11"/>
    <mergeCell ref="X11:Y11"/>
    <mergeCell ref="AE11:AF11"/>
    <mergeCell ref="B7:O7"/>
    <mergeCell ref="W9:AC9"/>
    <mergeCell ref="AE9:AP9"/>
    <mergeCell ref="AE10:AL10"/>
    <mergeCell ref="AM10:AN10"/>
    <mergeCell ref="AR10:BC10"/>
    <mergeCell ref="D5:E5"/>
    <mergeCell ref="F5:G5"/>
    <mergeCell ref="H5:I5"/>
    <mergeCell ref="J5:K5"/>
    <mergeCell ref="L5:M5"/>
    <mergeCell ref="N5:O5"/>
    <mergeCell ref="B2:O2"/>
    <mergeCell ref="B3:C3"/>
    <mergeCell ref="D4:E4"/>
    <mergeCell ref="F4:G4"/>
    <mergeCell ref="H4:I4"/>
    <mergeCell ref="N4:O4"/>
    <mergeCell ref="AX108:AY108"/>
    <mergeCell ref="AV99:AW99"/>
    <mergeCell ref="AV100:AW100"/>
    <mergeCell ref="AV101:AW101"/>
    <mergeCell ref="AV102:AW102"/>
    <mergeCell ref="AV103:AW103"/>
    <mergeCell ref="AV104:AW104"/>
    <mergeCell ref="AV105:AW105"/>
    <mergeCell ref="AV106:AW106"/>
    <mergeCell ref="AV107:AW107"/>
    <mergeCell ref="AV108:AW108"/>
    <mergeCell ref="AX99:AY99"/>
    <mergeCell ref="AX100:AY100"/>
    <mergeCell ref="AX101:AY101"/>
    <mergeCell ref="AX102:AY102"/>
    <mergeCell ref="AX103:AY103"/>
    <mergeCell ref="AX104:AY104"/>
    <mergeCell ref="AX105:AY105"/>
    <mergeCell ref="AX106:AY106"/>
    <mergeCell ref="AX107:AY107"/>
    <mergeCell ref="AT108:AU108"/>
    <mergeCell ref="AR99:AS99"/>
    <mergeCell ref="AR100:AS100"/>
    <mergeCell ref="AR101:AS101"/>
    <mergeCell ref="AR102:AS102"/>
    <mergeCell ref="AR103:AS103"/>
    <mergeCell ref="AR104:AS104"/>
    <mergeCell ref="AR105:AS105"/>
    <mergeCell ref="AR106:AS106"/>
    <mergeCell ref="AR107:AS107"/>
    <mergeCell ref="AR108:AS108"/>
    <mergeCell ref="AT99:AU99"/>
    <mergeCell ref="AT100:AU100"/>
    <mergeCell ref="AT101:AU101"/>
    <mergeCell ref="AT102:AU102"/>
    <mergeCell ref="AT103:AU103"/>
    <mergeCell ref="AT104:AU104"/>
    <mergeCell ref="AT105:AU105"/>
    <mergeCell ref="AT106:AU106"/>
    <mergeCell ref="AT107:AU107"/>
  </mergeCells>
  <conditionalFormatting sqref="G9:Q10 G13:H27 J13:K27 M13:N27 P13:Q27 G34:H35 M34:N38 P34:Q38 G37:H38 G12:Q12 G11 I11:J11 L11:M11 O11:P11 J34:K38">
    <cfRule type="containsErrors" dxfId="542" priority="67">
      <formula>ISERROR(G9)</formula>
    </cfRule>
  </conditionalFormatting>
  <conditionalFormatting sqref="J32">
    <cfRule type="containsErrors" dxfId="541" priority="66">
      <formula>ISERROR(J32)</formula>
    </cfRule>
  </conditionalFormatting>
  <conditionalFormatting sqref="M32">
    <cfRule type="containsErrors" dxfId="540" priority="65">
      <formula>ISERROR(M32)</formula>
    </cfRule>
  </conditionalFormatting>
  <conditionalFormatting sqref="P32">
    <cfRule type="containsErrors" dxfId="539" priority="64">
      <formula>ISERROR(P32)</formula>
    </cfRule>
  </conditionalFormatting>
  <conditionalFormatting sqref="H42">
    <cfRule type="containsErrors" dxfId="538" priority="63">
      <formula>ISERROR(H42)</formula>
    </cfRule>
  </conditionalFormatting>
  <conditionalFormatting sqref="H91:I93">
    <cfRule type="containsErrors" dxfId="537" priority="68">
      <formula>ISERROR(H91)</formula>
    </cfRule>
  </conditionalFormatting>
  <conditionalFormatting sqref="G91:G93">
    <cfRule type="containsErrors" dxfId="536" priority="7">
      <formula>ISERROR(G91)</formula>
    </cfRule>
  </conditionalFormatting>
  <conditionalFormatting sqref="I104:I107 G101:I103">
    <cfRule type="containsErrors" dxfId="535" priority="6">
      <formula>ISERROR(G101)</formula>
    </cfRule>
  </conditionalFormatting>
  <conditionalFormatting sqref="H86:I88">
    <cfRule type="containsErrors" dxfId="534" priority="5">
      <formula>ISERROR(H86)</formula>
    </cfRule>
  </conditionalFormatting>
  <conditionalFormatting sqref="G86:G88">
    <cfRule type="containsErrors" dxfId="533" priority="1">
      <formula>ISERROR(G86)</formula>
    </cfRule>
  </conditionalFormatting>
  <dataValidations count="21">
    <dataValidation type="list" allowBlank="1" showInputMessage="1" showErrorMessage="1" sqref="B52 B22:B23" xr:uid="{00000000-0002-0000-0100-000000000000}">
      <formula1>FE_Energie_Charbons</formula1>
    </dataValidation>
    <dataValidation type="list" allowBlank="1" showInputMessage="1" showErrorMessage="1" sqref="B169:B172 B158:B161" xr:uid="{00000000-0002-0000-0100-000001000000}">
      <formula1>tertiaire_electricite2</formula1>
    </dataValidation>
    <dataValidation type="list" allowBlank="1" showInputMessage="1" showErrorMessage="1" sqref="E63:E65 E91:E93 E169:E172 E126:E130 E73:E75 E115:E118 E158:E161 E101:E107 E138:E149 E180:E182 E13:E27 E34:E38 E86:E88" xr:uid="{00000000-0002-0000-0100-000002000000}">
      <formula1>Liste_Energie</formula1>
    </dataValidation>
    <dataValidation type="list" allowBlank="1" showInputMessage="1" showErrorMessage="1" sqref="E46:E52" xr:uid="{00000000-0002-0000-0100-000003000000}">
      <formula1>Liste_Energie_bis</formula1>
    </dataValidation>
    <dataValidation type="list" allowBlank="1" showInputMessage="1" showErrorMessage="1" sqref="B27 B46 B13:B14" xr:uid="{00000000-0002-0000-0100-000004000000}">
      <formula1>FE_Energie_Butane_Propane</formula1>
    </dataValidation>
    <dataValidation type="list" allowBlank="1" showInputMessage="1" showErrorMessage="1" sqref="B48 B16:B17" xr:uid="{00000000-0002-0000-0100-000005000000}">
      <formula1>FE_Energie_Autres_Gaz</formula1>
    </dataValidation>
    <dataValidation type="list" allowBlank="1" showInputMessage="1" showErrorMessage="1" sqref="B50 B19:B20" xr:uid="{00000000-0002-0000-0100-000006000000}">
      <formula1>FE_Energie_Liquides</formula1>
    </dataValidation>
    <dataValidation type="list" allowBlank="1" showInputMessage="1" showErrorMessage="1" sqref="B63:B65" xr:uid="{00000000-0002-0000-0100-000007000000}">
      <formula1>FE_Energie_Réseaux_Chaleur</formula1>
    </dataValidation>
    <dataValidation type="list" allowBlank="1" showInputMessage="1" showErrorMessage="1" sqref="B73:B75" xr:uid="{00000000-0002-0000-0100-000008000000}">
      <formula1>FE_Energie_Réseaux_Froid</formula1>
    </dataValidation>
    <dataValidation type="list" allowBlank="1" showInputMessage="1" showErrorMessage="1" sqref="B86:B88" xr:uid="{00000000-0002-0000-0100-000009000000}">
      <formula1>FE_Energie_Elec_Usage_saisonnalisé</formula1>
    </dataValidation>
    <dataValidation type="list" allowBlank="1" showInputMessage="1" showErrorMessage="1" sqref="B101:B103" xr:uid="{00000000-0002-0000-0100-00000A000000}">
      <formula1>FE_Energie_Elec_MoyNatio</formula1>
    </dataValidation>
    <dataValidation type="list" allowBlank="1" showInputMessage="1" showErrorMessage="1" sqref="B105:B107" xr:uid="{00000000-0002-0000-0100-00000B000000}">
      <formula1>FE_Energie_Elec_MoyOutreMer</formula1>
    </dataValidation>
    <dataValidation type="list" allowBlank="1" showInputMessage="1" showErrorMessage="1" sqref="B180:B182" xr:uid="{00000000-0002-0000-0100-00000C000000}">
      <formula1>FE_Energie_Elec_Production</formula1>
    </dataValidation>
    <dataValidation type="list" allowBlank="1" showInputMessage="1" showErrorMessage="1" sqref="B115:B118 F158:F161 F169:F172" xr:uid="{00000000-0002-0000-0100-00000D000000}">
      <formula1>FE_Energie_Elec_AutresPays</formula1>
    </dataValidation>
    <dataValidation type="list" allowBlank="1" showInputMessage="1" showErrorMessage="1" sqref="B126:B130" xr:uid="{00000000-0002-0000-0100-00000E000000}">
      <formula1>FE_Energie_Elec_Producteurs</formula1>
    </dataValidation>
    <dataValidation type="list" allowBlank="1" showInputMessage="1" showErrorMessage="1" sqref="B138:B149" xr:uid="{00000000-0002-0000-0100-00000F000000}">
      <formula1>FE_Energie_Elec_EDF</formula1>
    </dataValidation>
    <dataValidation type="list" allowBlank="1" showInputMessage="1" showErrorMessage="1" sqref="B25:B26" xr:uid="{00000000-0002-0000-0100-000010000000}">
      <formula1>FE_Energie_Coke_Déchets</formula1>
    </dataValidation>
    <dataValidation type="list" allowBlank="1" showInputMessage="1" showErrorMessage="1" sqref="X13:X14 X16:X17 X19:X20 X22:X23 X25:X26 X46 X48 X50 X52 X63:X65 X73:X75 X91:X93 X101:X103 X105:X107 X115:X118 X126:X130 X138:X149 X158:X161 X169:X172 X180:X182 X34:X35 X37:X38 X86:X88" xr:uid="{00000000-0002-0000-0100-000011000000}">
      <formula1>Choix_Incertitudes</formula1>
    </dataValidation>
    <dataValidation type="list" allowBlank="1" showInputMessage="1" showErrorMessage="1" sqref="B34:B35" xr:uid="{00000000-0002-0000-0100-000012000000}">
      <formula1>FE_Energie_Biocarburants_liquide_gazeux</formula1>
    </dataValidation>
    <dataValidation type="list" allowBlank="1" showInputMessage="1" showErrorMessage="1" sqref="B37:B38" xr:uid="{00000000-0002-0000-0100-000013000000}">
      <formula1>FE_Energie_Bois</formula1>
    </dataValidation>
    <dataValidation type="list" allowBlank="1" showInputMessage="1" showErrorMessage="1" sqref="B91:B93" xr:uid="{00000000-0002-0000-0100-000014000000}">
      <formula1>FE_Energie_Elec_Usage_moyenne</formula1>
    </dataValidation>
  </dataValidations>
  <hyperlinks>
    <hyperlink ref="D4" location="energie1_combustibles" display="combustibles" xr:uid="{00000000-0004-0000-0100-000000000000}"/>
    <hyperlink ref="F4" location="energie1_vapeur" display="vapeur" xr:uid="{00000000-0004-0000-0100-000001000000}"/>
    <hyperlink ref="H4" location="energie1_électricité" display="électricité" xr:uid="{00000000-0004-0000-0100-000002000000}"/>
    <hyperlink ref="D5" location="energie1_total" display="total" xr:uid="{00000000-0004-0000-0100-000003000000}"/>
    <hyperlink ref="F5" location="energie1_sous_postes" display="sous-postes" xr:uid="{00000000-0004-0000-0100-000004000000}"/>
    <hyperlink ref="H5" location="energie1_bilanGES" display="bilan GES" xr:uid="{00000000-0004-0000-0100-000005000000}"/>
    <hyperlink ref="J5" location="energie1_GHGProtocol" display="GHG Protocol" xr:uid="{00000000-0004-0000-0100-000006000000}"/>
    <hyperlink ref="D4:E4" location="'Energie 1'!B7" display="Combustibles" xr:uid="{00000000-0004-0000-0100-000007000000}"/>
    <hyperlink ref="D5:E5" location="'Energie 1'!B195" display="Postes" xr:uid="{00000000-0004-0000-0100-000008000000}"/>
    <hyperlink ref="F4:G4" location="'Energie 1'!B57" display="Vapeur et froid" xr:uid="{00000000-0004-0000-0100-000009000000}"/>
    <hyperlink ref="F5:G5" location="'Energie 1'!B207" display="Sous-postes" xr:uid="{00000000-0004-0000-0100-00000A000000}"/>
    <hyperlink ref="H4:I4" location="'Energie 1'!B80" display="Electricité" xr:uid="{00000000-0004-0000-0100-00000B000000}"/>
    <hyperlink ref="H5:I5" location="'Energie 1'!B221" display="Bilan GES" xr:uid="{00000000-0004-0000-0100-00000C000000}"/>
    <hyperlink ref="J5:K5" location="'Energie 1'!B253" display="GHG Protocol" xr:uid="{00000000-0004-0000-0100-00000D000000}"/>
    <hyperlink ref="L5:M5" location="'Energie 1'!B287" display="ISO 14069" xr:uid="{00000000-0004-0000-0100-00000E000000}"/>
    <hyperlink ref="N4:O4" location="Descriptif!A1" display="Descriptif" xr:uid="{00000000-0004-0000-0100-00000F000000}"/>
    <hyperlink ref="N5:O5" location="'Energie 1'!B329" display="CDP" xr:uid="{00000000-0004-0000-0100-000010000000}"/>
  </hyperlinks>
  <pageMargins left="0.7" right="0.7" top="0.75" bottom="0.75" header="0.3" footer="0.3"/>
  <pageSetup paperSize="9" orientation="portrait" r:id="rId1"/>
  <ignoredErrors>
    <ignoredError sqref="G16:H16 P16:Q16 G17:H17 J17:K17 M17:N17 P17:Q17 G19:H19 J20:K20 M20:N20 P20:Q20 P22:Q23 P25:Q25 G26:H26 J26:K26 M26:N26 P26:Q26 H34:H35 K34 N34:N35 Q34:Q35 M37:N37 P37:Q37 M38:N38 P38:Q38" evalError="1"/>
    <ignoredError sqref="K230 I233 K233 K250 N261 N264 N284 M296 J299 M299 M316" formula="1"/>
    <ignoredError sqref="D280:D282 D337" twoDigitTextYear="1"/>
  </ignoredErrors>
  <extLst>
    <ext xmlns:x14="http://schemas.microsoft.com/office/spreadsheetml/2009/9/main" uri="{78C0D931-6437-407d-A8EE-F0AAD7539E65}">
      <x14:conditionalFormattings>
        <x14:conditionalFormatting xmlns:xm="http://schemas.microsoft.com/office/excel/2006/main">
          <x14:cfRule type="expression" priority="62" id="{3FF06388-1F44-4DA5-9FB3-82C1CBE9F2D9}">
            <xm:f>$X13=Utilitaires!$N$572</xm:f>
            <x14:dxf>
              <fill>
                <patternFill>
                  <bgColor theme="0"/>
                </patternFill>
              </fill>
              <border>
                <left style="thin">
                  <color auto="1"/>
                </left>
                <right style="thin">
                  <color auto="1"/>
                </right>
                <top style="thin">
                  <color auto="1"/>
                </top>
                <bottom style="thin">
                  <color auto="1"/>
                </bottom>
                <vertical/>
                <horizontal/>
              </border>
            </x14:dxf>
          </x14:cfRule>
          <xm:sqref>Y13</xm:sqref>
        </x14:conditionalFormatting>
        <x14:conditionalFormatting xmlns:xm="http://schemas.microsoft.com/office/excel/2006/main">
          <x14:cfRule type="expression" priority="61" id="{C5ABA4D0-23CD-4004-B37B-930F136D9B6A}">
            <xm:f>$X14=Utilitaires!$N$572</xm:f>
            <x14:dxf>
              <fill>
                <patternFill>
                  <bgColor theme="0"/>
                </patternFill>
              </fill>
              <border>
                <left style="thin">
                  <color auto="1"/>
                </left>
                <right style="thin">
                  <color auto="1"/>
                </right>
                <top style="thin">
                  <color auto="1"/>
                </top>
                <bottom style="thin">
                  <color auto="1"/>
                </bottom>
                <vertical/>
                <horizontal/>
              </border>
            </x14:dxf>
          </x14:cfRule>
          <xm:sqref>Y14</xm:sqref>
        </x14:conditionalFormatting>
        <x14:conditionalFormatting xmlns:xm="http://schemas.microsoft.com/office/excel/2006/main">
          <x14:cfRule type="expression" priority="60" id="{C4979544-BB17-489C-BF95-4815E4FA02E8}">
            <xm:f>$X16=Utilitaires!$N$572</xm:f>
            <x14:dxf>
              <fill>
                <patternFill>
                  <bgColor theme="0"/>
                </patternFill>
              </fill>
              <border>
                <left style="thin">
                  <color auto="1"/>
                </left>
                <right style="thin">
                  <color auto="1"/>
                </right>
                <top style="thin">
                  <color auto="1"/>
                </top>
                <bottom style="thin">
                  <color auto="1"/>
                </bottom>
                <vertical/>
                <horizontal/>
              </border>
            </x14:dxf>
          </x14:cfRule>
          <xm:sqref>Y16</xm:sqref>
        </x14:conditionalFormatting>
        <x14:conditionalFormatting xmlns:xm="http://schemas.microsoft.com/office/excel/2006/main">
          <x14:cfRule type="expression" priority="59" id="{C4D5280F-037B-4566-B77E-F4D9FD9D9238}">
            <xm:f>$X17=Utilitaires!$N$572</xm:f>
            <x14:dxf>
              <fill>
                <patternFill>
                  <bgColor theme="0"/>
                </patternFill>
              </fill>
              <border>
                <left style="thin">
                  <color auto="1"/>
                </left>
                <right style="thin">
                  <color auto="1"/>
                </right>
                <top style="thin">
                  <color auto="1"/>
                </top>
                <bottom style="thin">
                  <color auto="1"/>
                </bottom>
                <vertical/>
                <horizontal/>
              </border>
            </x14:dxf>
          </x14:cfRule>
          <xm:sqref>Y17</xm:sqref>
        </x14:conditionalFormatting>
        <x14:conditionalFormatting xmlns:xm="http://schemas.microsoft.com/office/excel/2006/main">
          <x14:cfRule type="expression" priority="58" id="{DD85F60A-6E1A-48BB-916D-526C07ADFB47}">
            <xm:f>$X19=Utilitaires!$N$572</xm:f>
            <x14:dxf>
              <fill>
                <patternFill>
                  <bgColor theme="0"/>
                </patternFill>
              </fill>
              <border>
                <left style="thin">
                  <color auto="1"/>
                </left>
                <right style="thin">
                  <color auto="1"/>
                </right>
                <top style="thin">
                  <color auto="1"/>
                </top>
                <bottom style="thin">
                  <color auto="1"/>
                </bottom>
                <vertical/>
                <horizontal/>
              </border>
            </x14:dxf>
          </x14:cfRule>
          <xm:sqref>Y19</xm:sqref>
        </x14:conditionalFormatting>
        <x14:conditionalFormatting xmlns:xm="http://schemas.microsoft.com/office/excel/2006/main">
          <x14:cfRule type="expression" priority="57" id="{5B054A1D-9AF3-4461-80F9-3136EC1C48E2}">
            <xm:f>$X20=Utilitaires!$N$572</xm:f>
            <x14:dxf>
              <fill>
                <patternFill>
                  <bgColor theme="0"/>
                </patternFill>
              </fill>
              <border>
                <left style="thin">
                  <color auto="1"/>
                </left>
                <right style="thin">
                  <color auto="1"/>
                </right>
                <top style="thin">
                  <color auto="1"/>
                </top>
                <bottom style="thin">
                  <color auto="1"/>
                </bottom>
                <vertical/>
                <horizontal/>
              </border>
            </x14:dxf>
          </x14:cfRule>
          <xm:sqref>Y20</xm:sqref>
        </x14:conditionalFormatting>
        <x14:conditionalFormatting xmlns:xm="http://schemas.microsoft.com/office/excel/2006/main">
          <x14:cfRule type="expression" priority="56" id="{821F6E3B-B5E7-4964-8A88-9DC9B18D1C23}">
            <xm:f>$X22=Utilitaires!$N$572</xm:f>
            <x14:dxf>
              <fill>
                <patternFill>
                  <bgColor theme="0"/>
                </patternFill>
              </fill>
              <border>
                <left style="thin">
                  <color auto="1"/>
                </left>
                <right style="thin">
                  <color auto="1"/>
                </right>
                <top style="thin">
                  <color auto="1"/>
                </top>
                <bottom style="thin">
                  <color auto="1"/>
                </bottom>
                <vertical/>
                <horizontal/>
              </border>
            </x14:dxf>
          </x14:cfRule>
          <xm:sqref>Y22</xm:sqref>
        </x14:conditionalFormatting>
        <x14:conditionalFormatting xmlns:xm="http://schemas.microsoft.com/office/excel/2006/main">
          <x14:cfRule type="expression" priority="55" id="{FBD2FE74-0E4D-45E1-B9C3-0E41C9767AFB}">
            <xm:f>$X23=Utilitaires!$N$572</xm:f>
            <x14:dxf>
              <fill>
                <patternFill>
                  <bgColor theme="0"/>
                </patternFill>
              </fill>
              <border>
                <left style="thin">
                  <color auto="1"/>
                </left>
                <right style="thin">
                  <color auto="1"/>
                </right>
                <top style="thin">
                  <color auto="1"/>
                </top>
                <bottom style="thin">
                  <color auto="1"/>
                </bottom>
                <vertical/>
                <horizontal/>
              </border>
            </x14:dxf>
          </x14:cfRule>
          <xm:sqref>Y23</xm:sqref>
        </x14:conditionalFormatting>
        <x14:conditionalFormatting xmlns:xm="http://schemas.microsoft.com/office/excel/2006/main">
          <x14:cfRule type="expression" priority="54" id="{15697D34-92D6-4E38-85B0-3C0C8737E248}">
            <xm:f>$X25=Utilitaires!$N$572</xm:f>
            <x14:dxf>
              <fill>
                <patternFill>
                  <bgColor theme="0"/>
                </patternFill>
              </fill>
              <border>
                <left style="thin">
                  <color auto="1"/>
                </left>
                <right style="thin">
                  <color auto="1"/>
                </right>
                <top style="thin">
                  <color auto="1"/>
                </top>
                <bottom style="thin">
                  <color auto="1"/>
                </bottom>
                <vertical/>
                <horizontal/>
              </border>
            </x14:dxf>
          </x14:cfRule>
          <xm:sqref>Y25</xm:sqref>
        </x14:conditionalFormatting>
        <x14:conditionalFormatting xmlns:xm="http://schemas.microsoft.com/office/excel/2006/main">
          <x14:cfRule type="expression" priority="53" id="{D07FAC75-93A5-4FB5-8D49-322BE6C5182D}">
            <xm:f>$X26=Utilitaires!$N$572</xm:f>
            <x14:dxf>
              <fill>
                <patternFill>
                  <bgColor theme="0"/>
                </patternFill>
              </fill>
              <border>
                <left style="thin">
                  <color auto="1"/>
                </left>
                <right style="thin">
                  <color auto="1"/>
                </right>
                <top style="thin">
                  <color auto="1"/>
                </top>
                <bottom style="thin">
                  <color auto="1"/>
                </bottom>
                <vertical/>
                <horizontal/>
              </border>
            </x14:dxf>
          </x14:cfRule>
          <xm:sqref>Y26</xm:sqref>
        </x14:conditionalFormatting>
        <x14:conditionalFormatting xmlns:xm="http://schemas.microsoft.com/office/excel/2006/main">
          <x14:cfRule type="expression" priority="52" id="{8A68E9FE-F6C0-42D1-AD7B-C7D4F559A503}">
            <xm:f>$X34=Utilitaires!$N$572</xm:f>
            <x14:dxf>
              <fill>
                <patternFill>
                  <bgColor theme="0"/>
                </patternFill>
              </fill>
              <border>
                <left style="thin">
                  <color auto="1"/>
                </left>
                <right style="thin">
                  <color auto="1"/>
                </right>
                <top style="thin">
                  <color auto="1"/>
                </top>
                <bottom style="thin">
                  <color auto="1"/>
                </bottom>
                <vertical/>
                <horizontal/>
              </border>
            </x14:dxf>
          </x14:cfRule>
          <xm:sqref>Y34</xm:sqref>
        </x14:conditionalFormatting>
        <x14:conditionalFormatting xmlns:xm="http://schemas.microsoft.com/office/excel/2006/main">
          <x14:cfRule type="expression" priority="51" id="{DB4B7058-9351-49E6-A5FD-B4752360904A}">
            <xm:f>$X35=Utilitaires!$N$572</xm:f>
            <x14:dxf>
              <fill>
                <patternFill>
                  <bgColor theme="0"/>
                </patternFill>
              </fill>
              <border>
                <left style="thin">
                  <color auto="1"/>
                </left>
                <right style="thin">
                  <color auto="1"/>
                </right>
                <top style="thin">
                  <color auto="1"/>
                </top>
                <bottom style="thin">
                  <color auto="1"/>
                </bottom>
                <vertical/>
                <horizontal/>
              </border>
            </x14:dxf>
          </x14:cfRule>
          <xm:sqref>Y35</xm:sqref>
        </x14:conditionalFormatting>
        <x14:conditionalFormatting xmlns:xm="http://schemas.microsoft.com/office/excel/2006/main">
          <x14:cfRule type="expression" priority="50" id="{E63DEF4C-D929-40EC-8008-DDB8572E1307}">
            <xm:f>$X37=Utilitaires!$N$572</xm:f>
            <x14:dxf>
              <fill>
                <patternFill>
                  <bgColor theme="0"/>
                </patternFill>
              </fill>
              <border>
                <left style="thin">
                  <color auto="1"/>
                </left>
                <right style="thin">
                  <color auto="1"/>
                </right>
                <top style="thin">
                  <color auto="1"/>
                </top>
                <bottom style="thin">
                  <color auto="1"/>
                </bottom>
                <vertical/>
                <horizontal/>
              </border>
            </x14:dxf>
          </x14:cfRule>
          <xm:sqref>Y37</xm:sqref>
        </x14:conditionalFormatting>
        <x14:conditionalFormatting xmlns:xm="http://schemas.microsoft.com/office/excel/2006/main">
          <x14:cfRule type="expression" priority="49" id="{BF6D156C-AD71-4CEE-B5BA-7918712FD160}">
            <xm:f>$X38=Utilitaires!$N$572</xm:f>
            <x14:dxf>
              <fill>
                <patternFill>
                  <bgColor theme="0"/>
                </patternFill>
              </fill>
              <border>
                <left style="thin">
                  <color auto="1"/>
                </left>
                <right style="thin">
                  <color auto="1"/>
                </right>
                <top style="thin">
                  <color auto="1"/>
                </top>
                <bottom style="thin">
                  <color auto="1"/>
                </bottom>
                <vertical/>
                <horizontal/>
              </border>
            </x14:dxf>
          </x14:cfRule>
          <xm:sqref>Y38</xm:sqref>
        </x14:conditionalFormatting>
        <x14:conditionalFormatting xmlns:xm="http://schemas.microsoft.com/office/excel/2006/main">
          <x14:cfRule type="expression" priority="48" id="{26C6954D-3745-47D1-869B-BDF98EED33C3}">
            <xm:f>$X46=Utilitaires!$N$572</xm:f>
            <x14:dxf>
              <fill>
                <patternFill>
                  <bgColor theme="0"/>
                </patternFill>
              </fill>
              <border>
                <left style="thin">
                  <color auto="1"/>
                </left>
                <right style="thin">
                  <color auto="1"/>
                </right>
                <top style="thin">
                  <color auto="1"/>
                </top>
                <bottom style="thin">
                  <color auto="1"/>
                </bottom>
                <vertical/>
                <horizontal/>
              </border>
            </x14:dxf>
          </x14:cfRule>
          <xm:sqref>Y46</xm:sqref>
        </x14:conditionalFormatting>
        <x14:conditionalFormatting xmlns:xm="http://schemas.microsoft.com/office/excel/2006/main">
          <x14:cfRule type="expression" priority="47" id="{FAE8B874-C33F-4B12-911B-A9E05D24D7B4}">
            <xm:f>$X48=Utilitaires!$N$572</xm:f>
            <x14:dxf>
              <fill>
                <patternFill>
                  <bgColor theme="0"/>
                </patternFill>
              </fill>
              <border>
                <left style="thin">
                  <color auto="1"/>
                </left>
                <right style="thin">
                  <color auto="1"/>
                </right>
                <top style="thin">
                  <color auto="1"/>
                </top>
                <bottom style="thin">
                  <color auto="1"/>
                </bottom>
                <vertical/>
                <horizontal/>
              </border>
            </x14:dxf>
          </x14:cfRule>
          <xm:sqref>Y48</xm:sqref>
        </x14:conditionalFormatting>
        <x14:conditionalFormatting xmlns:xm="http://schemas.microsoft.com/office/excel/2006/main">
          <x14:cfRule type="expression" priority="46" id="{D772A450-347C-4B37-8746-A99E3AB39ACF}">
            <xm:f>$X50=Utilitaires!$N$572</xm:f>
            <x14:dxf>
              <fill>
                <patternFill>
                  <bgColor theme="0"/>
                </patternFill>
              </fill>
              <border>
                <left style="thin">
                  <color auto="1"/>
                </left>
                <right style="thin">
                  <color auto="1"/>
                </right>
                <top style="thin">
                  <color auto="1"/>
                </top>
                <bottom style="thin">
                  <color auto="1"/>
                </bottom>
                <vertical/>
                <horizontal/>
              </border>
            </x14:dxf>
          </x14:cfRule>
          <xm:sqref>Y50</xm:sqref>
        </x14:conditionalFormatting>
        <x14:conditionalFormatting xmlns:xm="http://schemas.microsoft.com/office/excel/2006/main">
          <x14:cfRule type="expression" priority="45" id="{6ECB98AF-75EE-4021-8FE9-5DB3FBC393E3}">
            <xm:f>$X52=Utilitaires!$N$572</xm:f>
            <x14:dxf>
              <fill>
                <patternFill>
                  <bgColor theme="0"/>
                </patternFill>
              </fill>
              <border>
                <left style="thin">
                  <color auto="1"/>
                </left>
                <right style="thin">
                  <color auto="1"/>
                </right>
                <top style="thin">
                  <color auto="1"/>
                </top>
                <bottom style="thin">
                  <color auto="1"/>
                </bottom>
                <vertical/>
                <horizontal/>
              </border>
            </x14:dxf>
          </x14:cfRule>
          <xm:sqref>Y52</xm:sqref>
        </x14:conditionalFormatting>
        <x14:conditionalFormatting xmlns:xm="http://schemas.microsoft.com/office/excel/2006/main">
          <x14:cfRule type="expression" priority="44" id="{5427CF36-4C6D-4A7B-BC6B-50FAC73FFAD2}">
            <xm:f>$X63=Utilitaires!$N$572</xm:f>
            <x14:dxf>
              <fill>
                <patternFill>
                  <bgColor theme="0"/>
                </patternFill>
              </fill>
              <border>
                <left style="thin">
                  <color auto="1"/>
                </left>
                <right style="thin">
                  <color auto="1"/>
                </right>
                <top style="thin">
                  <color auto="1"/>
                </top>
                <bottom style="thin">
                  <color auto="1"/>
                </bottom>
                <vertical/>
                <horizontal/>
              </border>
            </x14:dxf>
          </x14:cfRule>
          <xm:sqref>Y63</xm:sqref>
        </x14:conditionalFormatting>
        <x14:conditionalFormatting xmlns:xm="http://schemas.microsoft.com/office/excel/2006/main">
          <x14:cfRule type="expression" priority="43" id="{05BC9869-2BF4-4C66-AFAB-EB5FB3C7A2FA}">
            <xm:f>$X64=Utilitaires!$N$572</xm:f>
            <x14:dxf>
              <fill>
                <patternFill>
                  <bgColor theme="0"/>
                </patternFill>
              </fill>
              <border>
                <left style="thin">
                  <color auto="1"/>
                </left>
                <right style="thin">
                  <color auto="1"/>
                </right>
                <top style="thin">
                  <color auto="1"/>
                </top>
                <bottom style="thin">
                  <color auto="1"/>
                </bottom>
                <vertical/>
                <horizontal/>
              </border>
            </x14:dxf>
          </x14:cfRule>
          <xm:sqref>Y64</xm:sqref>
        </x14:conditionalFormatting>
        <x14:conditionalFormatting xmlns:xm="http://schemas.microsoft.com/office/excel/2006/main">
          <x14:cfRule type="expression" priority="42" id="{8B543FEF-14B6-44DB-B602-31000B50B75C}">
            <xm:f>$X65=Utilitaires!$N$572</xm:f>
            <x14:dxf>
              <fill>
                <patternFill>
                  <bgColor theme="0"/>
                </patternFill>
              </fill>
              <border>
                <left style="thin">
                  <color auto="1"/>
                </left>
                <right style="thin">
                  <color auto="1"/>
                </right>
                <top style="thin">
                  <color auto="1"/>
                </top>
                <bottom style="thin">
                  <color auto="1"/>
                </bottom>
                <vertical/>
                <horizontal/>
              </border>
            </x14:dxf>
          </x14:cfRule>
          <xm:sqref>Y65</xm:sqref>
        </x14:conditionalFormatting>
        <x14:conditionalFormatting xmlns:xm="http://schemas.microsoft.com/office/excel/2006/main">
          <x14:cfRule type="expression" priority="41" id="{ED5CE410-6355-4AEE-996D-B844FF46B57B}">
            <xm:f>$X73=Utilitaires!$N$572</xm:f>
            <x14:dxf>
              <fill>
                <patternFill>
                  <bgColor theme="0"/>
                </patternFill>
              </fill>
              <border>
                <left style="thin">
                  <color auto="1"/>
                </left>
                <right style="thin">
                  <color auto="1"/>
                </right>
                <top style="thin">
                  <color auto="1"/>
                </top>
                <bottom style="thin">
                  <color auto="1"/>
                </bottom>
                <vertical/>
                <horizontal/>
              </border>
            </x14:dxf>
          </x14:cfRule>
          <xm:sqref>Y73</xm:sqref>
        </x14:conditionalFormatting>
        <x14:conditionalFormatting xmlns:xm="http://schemas.microsoft.com/office/excel/2006/main">
          <x14:cfRule type="expression" priority="40" id="{84977B2A-6837-4250-ACC6-BD4B68A4956B}">
            <xm:f>$X74=Utilitaires!$N$572</xm:f>
            <x14:dxf>
              <fill>
                <patternFill>
                  <bgColor theme="0"/>
                </patternFill>
              </fill>
              <border>
                <left style="thin">
                  <color auto="1"/>
                </left>
                <right style="thin">
                  <color auto="1"/>
                </right>
                <top style="thin">
                  <color auto="1"/>
                </top>
                <bottom style="thin">
                  <color auto="1"/>
                </bottom>
                <vertical/>
                <horizontal/>
              </border>
            </x14:dxf>
          </x14:cfRule>
          <xm:sqref>Y74</xm:sqref>
        </x14:conditionalFormatting>
        <x14:conditionalFormatting xmlns:xm="http://schemas.microsoft.com/office/excel/2006/main">
          <x14:cfRule type="expression" priority="39" id="{98415760-0D49-4545-8B3F-0AC72DF2F443}">
            <xm:f>$X75=Utilitaires!$N$572</xm:f>
            <x14:dxf>
              <fill>
                <patternFill>
                  <bgColor theme="0"/>
                </patternFill>
              </fill>
              <border>
                <left style="thin">
                  <color auto="1"/>
                </left>
                <right style="thin">
                  <color auto="1"/>
                </right>
                <top style="thin">
                  <color auto="1"/>
                </top>
                <bottom style="thin">
                  <color auto="1"/>
                </bottom>
                <vertical/>
                <horizontal/>
              </border>
            </x14:dxf>
          </x14:cfRule>
          <xm:sqref>Y75</xm:sqref>
        </x14:conditionalFormatting>
        <x14:conditionalFormatting xmlns:xm="http://schemas.microsoft.com/office/excel/2006/main">
          <x14:cfRule type="expression" priority="38" id="{C400676F-8D69-4597-A712-CF78DDB7DD93}">
            <xm:f>$X91=Utilitaires!$N$572</xm:f>
            <x14:dxf>
              <fill>
                <patternFill>
                  <bgColor theme="0"/>
                </patternFill>
              </fill>
              <border>
                <left style="thin">
                  <color auto="1"/>
                </left>
                <right style="thin">
                  <color auto="1"/>
                </right>
                <top style="thin">
                  <color auto="1"/>
                </top>
                <bottom style="thin">
                  <color auto="1"/>
                </bottom>
                <vertical/>
                <horizontal/>
              </border>
            </x14:dxf>
          </x14:cfRule>
          <xm:sqref>Y91</xm:sqref>
        </x14:conditionalFormatting>
        <x14:conditionalFormatting xmlns:xm="http://schemas.microsoft.com/office/excel/2006/main">
          <x14:cfRule type="expression" priority="37" id="{67F4291B-3DE9-4B36-AE99-0B9259F73249}">
            <xm:f>$X92=Utilitaires!$N$572</xm:f>
            <x14:dxf>
              <fill>
                <patternFill>
                  <bgColor theme="0"/>
                </patternFill>
              </fill>
              <border>
                <left style="thin">
                  <color auto="1"/>
                </left>
                <right style="thin">
                  <color auto="1"/>
                </right>
                <top style="thin">
                  <color auto="1"/>
                </top>
                <bottom style="thin">
                  <color auto="1"/>
                </bottom>
                <vertical/>
                <horizontal/>
              </border>
            </x14:dxf>
          </x14:cfRule>
          <xm:sqref>Y92</xm:sqref>
        </x14:conditionalFormatting>
        <x14:conditionalFormatting xmlns:xm="http://schemas.microsoft.com/office/excel/2006/main">
          <x14:cfRule type="expression" priority="36" id="{76C9815B-51B5-4EA1-A479-4867B288096D}">
            <xm:f>$X93=Utilitaires!$N$572</xm:f>
            <x14:dxf>
              <fill>
                <patternFill>
                  <bgColor theme="0"/>
                </patternFill>
              </fill>
              <border>
                <left style="thin">
                  <color auto="1"/>
                </left>
                <right style="thin">
                  <color auto="1"/>
                </right>
                <top style="thin">
                  <color auto="1"/>
                </top>
                <bottom style="thin">
                  <color auto="1"/>
                </bottom>
                <vertical/>
                <horizontal/>
              </border>
            </x14:dxf>
          </x14:cfRule>
          <xm:sqref>Y93</xm:sqref>
        </x14:conditionalFormatting>
        <x14:conditionalFormatting xmlns:xm="http://schemas.microsoft.com/office/excel/2006/main">
          <x14:cfRule type="expression" priority="35" id="{FE1D56AF-9763-4753-988F-35C3107D2C04}">
            <xm:f>$X101=Utilitaires!$N$572</xm:f>
            <x14:dxf>
              <fill>
                <patternFill>
                  <bgColor theme="0"/>
                </patternFill>
              </fill>
              <border>
                <left style="thin">
                  <color auto="1"/>
                </left>
                <right style="thin">
                  <color auto="1"/>
                </right>
                <top style="thin">
                  <color auto="1"/>
                </top>
                <bottom style="thin">
                  <color auto="1"/>
                </bottom>
                <vertical/>
                <horizontal/>
              </border>
            </x14:dxf>
          </x14:cfRule>
          <xm:sqref>Y101</xm:sqref>
        </x14:conditionalFormatting>
        <x14:conditionalFormatting xmlns:xm="http://schemas.microsoft.com/office/excel/2006/main">
          <x14:cfRule type="expression" priority="34" id="{94AE91F9-EB94-4E2E-BA91-415217C0320F}">
            <xm:f>$X102=Utilitaires!$N$572</xm:f>
            <x14:dxf>
              <fill>
                <patternFill>
                  <bgColor theme="0"/>
                </patternFill>
              </fill>
              <border>
                <left style="thin">
                  <color auto="1"/>
                </left>
                <right style="thin">
                  <color auto="1"/>
                </right>
                <top style="thin">
                  <color auto="1"/>
                </top>
                <bottom style="thin">
                  <color auto="1"/>
                </bottom>
                <vertical/>
                <horizontal/>
              </border>
            </x14:dxf>
          </x14:cfRule>
          <xm:sqref>Y102</xm:sqref>
        </x14:conditionalFormatting>
        <x14:conditionalFormatting xmlns:xm="http://schemas.microsoft.com/office/excel/2006/main">
          <x14:cfRule type="expression" priority="33" id="{4838D06B-3649-42B3-8D48-3383E819C6A1}">
            <xm:f>$X103=Utilitaires!$N$572</xm:f>
            <x14:dxf>
              <fill>
                <patternFill>
                  <bgColor theme="0"/>
                </patternFill>
              </fill>
              <border>
                <left style="thin">
                  <color auto="1"/>
                </left>
                <right style="thin">
                  <color auto="1"/>
                </right>
                <top style="thin">
                  <color auto="1"/>
                </top>
                <bottom style="thin">
                  <color auto="1"/>
                </bottom>
                <vertical/>
                <horizontal/>
              </border>
            </x14:dxf>
          </x14:cfRule>
          <xm:sqref>Y103</xm:sqref>
        </x14:conditionalFormatting>
        <x14:conditionalFormatting xmlns:xm="http://schemas.microsoft.com/office/excel/2006/main">
          <x14:cfRule type="expression" priority="32" id="{B5B29D3B-B6F1-4BFE-A7D7-B0411F990F78}">
            <xm:f>$X105=Utilitaires!$N$572</xm:f>
            <x14:dxf>
              <fill>
                <patternFill>
                  <bgColor theme="0"/>
                </patternFill>
              </fill>
              <border>
                <left style="thin">
                  <color auto="1"/>
                </left>
                <right style="thin">
                  <color auto="1"/>
                </right>
                <top style="thin">
                  <color auto="1"/>
                </top>
                <bottom style="thin">
                  <color auto="1"/>
                </bottom>
                <vertical/>
                <horizontal/>
              </border>
            </x14:dxf>
          </x14:cfRule>
          <xm:sqref>Y105</xm:sqref>
        </x14:conditionalFormatting>
        <x14:conditionalFormatting xmlns:xm="http://schemas.microsoft.com/office/excel/2006/main">
          <x14:cfRule type="expression" priority="31" id="{CE7D3D90-0F72-4375-9206-3A6953A3BC49}">
            <xm:f>$X106=Utilitaires!$N$572</xm:f>
            <x14:dxf>
              <fill>
                <patternFill>
                  <bgColor theme="0"/>
                </patternFill>
              </fill>
              <border>
                <left style="thin">
                  <color auto="1"/>
                </left>
                <right style="thin">
                  <color auto="1"/>
                </right>
                <top style="thin">
                  <color auto="1"/>
                </top>
                <bottom style="thin">
                  <color auto="1"/>
                </bottom>
                <vertical/>
                <horizontal/>
              </border>
            </x14:dxf>
          </x14:cfRule>
          <xm:sqref>Y106</xm:sqref>
        </x14:conditionalFormatting>
        <x14:conditionalFormatting xmlns:xm="http://schemas.microsoft.com/office/excel/2006/main">
          <x14:cfRule type="expression" priority="30" id="{0EED4FC2-27B1-43AB-AC72-0FD5A5DBE0F6}">
            <xm:f>$X107=Utilitaires!$N$572</xm:f>
            <x14:dxf>
              <fill>
                <patternFill>
                  <bgColor theme="0"/>
                </patternFill>
              </fill>
              <border>
                <left style="thin">
                  <color auto="1"/>
                </left>
                <right style="thin">
                  <color auto="1"/>
                </right>
                <top style="thin">
                  <color auto="1"/>
                </top>
                <bottom style="thin">
                  <color auto="1"/>
                </bottom>
                <vertical/>
                <horizontal/>
              </border>
            </x14:dxf>
          </x14:cfRule>
          <xm:sqref>Y107</xm:sqref>
        </x14:conditionalFormatting>
        <x14:conditionalFormatting xmlns:xm="http://schemas.microsoft.com/office/excel/2006/main">
          <x14:cfRule type="expression" priority="29" id="{67886C1F-AC20-4310-964C-87DCB0598C8D}">
            <xm:f>$X115=Utilitaires!$N$572</xm:f>
            <x14:dxf>
              <fill>
                <patternFill>
                  <bgColor theme="0"/>
                </patternFill>
              </fill>
              <border>
                <left style="thin">
                  <color auto="1"/>
                </left>
                <right style="thin">
                  <color auto="1"/>
                </right>
                <top style="thin">
                  <color auto="1"/>
                </top>
                <bottom style="thin">
                  <color auto="1"/>
                </bottom>
                <vertical/>
                <horizontal/>
              </border>
            </x14:dxf>
          </x14:cfRule>
          <xm:sqref>Y115</xm:sqref>
        </x14:conditionalFormatting>
        <x14:conditionalFormatting xmlns:xm="http://schemas.microsoft.com/office/excel/2006/main">
          <x14:cfRule type="expression" priority="28" id="{946C874E-0FE0-432C-9C9B-81F428257700}">
            <xm:f>$X116=Utilitaires!$N$572</xm:f>
            <x14:dxf>
              <fill>
                <patternFill>
                  <bgColor theme="0"/>
                </patternFill>
              </fill>
              <border>
                <left style="thin">
                  <color auto="1"/>
                </left>
                <right style="thin">
                  <color auto="1"/>
                </right>
                <top style="thin">
                  <color auto="1"/>
                </top>
                <bottom style="thin">
                  <color auto="1"/>
                </bottom>
                <vertical/>
                <horizontal/>
              </border>
            </x14:dxf>
          </x14:cfRule>
          <xm:sqref>Y116</xm:sqref>
        </x14:conditionalFormatting>
        <x14:conditionalFormatting xmlns:xm="http://schemas.microsoft.com/office/excel/2006/main">
          <x14:cfRule type="expression" priority="27" id="{3E5A84D4-2E40-4B6D-AC3E-9DACDE249159}">
            <xm:f>$X117=Utilitaires!$N$572</xm:f>
            <x14:dxf>
              <fill>
                <patternFill>
                  <bgColor theme="0"/>
                </patternFill>
              </fill>
              <border>
                <left style="thin">
                  <color auto="1"/>
                </left>
                <right style="thin">
                  <color auto="1"/>
                </right>
                <top style="thin">
                  <color auto="1"/>
                </top>
                <bottom style="thin">
                  <color auto="1"/>
                </bottom>
                <vertical/>
                <horizontal/>
              </border>
            </x14:dxf>
          </x14:cfRule>
          <xm:sqref>Y117</xm:sqref>
        </x14:conditionalFormatting>
        <x14:conditionalFormatting xmlns:xm="http://schemas.microsoft.com/office/excel/2006/main">
          <x14:cfRule type="expression" priority="26" id="{4559772B-E030-49F5-84DC-630823C3C9F5}">
            <xm:f>$X118=Utilitaires!$N$572</xm:f>
            <x14:dxf>
              <fill>
                <patternFill>
                  <bgColor theme="0"/>
                </patternFill>
              </fill>
              <border>
                <left style="thin">
                  <color auto="1"/>
                </left>
                <right style="thin">
                  <color auto="1"/>
                </right>
                <top style="thin">
                  <color auto="1"/>
                </top>
                <bottom style="thin">
                  <color auto="1"/>
                </bottom>
                <vertical/>
                <horizontal/>
              </border>
            </x14:dxf>
          </x14:cfRule>
          <xm:sqref>Y118</xm:sqref>
        </x14:conditionalFormatting>
        <x14:conditionalFormatting xmlns:xm="http://schemas.microsoft.com/office/excel/2006/main">
          <x14:cfRule type="expression" priority="25" id="{D25DBE40-A147-49B7-9BC4-7C6529FF174D}">
            <xm:f>$X126=Utilitaires!$N$572</xm:f>
            <x14:dxf>
              <fill>
                <patternFill>
                  <bgColor theme="0"/>
                </patternFill>
              </fill>
              <border>
                <left style="thin">
                  <color auto="1"/>
                </left>
                <right style="thin">
                  <color auto="1"/>
                </right>
                <top style="thin">
                  <color auto="1"/>
                </top>
                <bottom style="thin">
                  <color auto="1"/>
                </bottom>
                <vertical/>
                <horizontal/>
              </border>
            </x14:dxf>
          </x14:cfRule>
          <xm:sqref>Y126:Y130</xm:sqref>
        </x14:conditionalFormatting>
        <x14:conditionalFormatting xmlns:xm="http://schemas.microsoft.com/office/excel/2006/main">
          <x14:cfRule type="expression" priority="24" id="{B501AA41-3A08-46C6-8911-6AF820D7FFB6}">
            <xm:f>$X138=Utilitaires!$N$572</xm:f>
            <x14:dxf>
              <fill>
                <patternFill>
                  <bgColor theme="0"/>
                </patternFill>
              </fill>
              <border>
                <left style="thin">
                  <color auto="1"/>
                </left>
                <right style="thin">
                  <color auto="1"/>
                </right>
                <top style="thin">
                  <color auto="1"/>
                </top>
                <bottom style="thin">
                  <color auto="1"/>
                </bottom>
                <vertical/>
                <horizontal/>
              </border>
            </x14:dxf>
          </x14:cfRule>
          <xm:sqref>Y138:Y142</xm:sqref>
        </x14:conditionalFormatting>
        <x14:conditionalFormatting xmlns:xm="http://schemas.microsoft.com/office/excel/2006/main">
          <x14:cfRule type="expression" priority="23" id="{8662D2CB-F0A5-485D-A642-A8DFF8CA7E08}">
            <xm:f>$X143=Utilitaires!$N$572</xm:f>
            <x14:dxf>
              <fill>
                <patternFill>
                  <bgColor theme="0"/>
                </patternFill>
              </fill>
              <border>
                <left style="thin">
                  <color auto="1"/>
                </left>
                <right style="thin">
                  <color auto="1"/>
                </right>
                <top style="thin">
                  <color auto="1"/>
                </top>
                <bottom style="thin">
                  <color auto="1"/>
                </bottom>
                <vertical/>
                <horizontal/>
              </border>
            </x14:dxf>
          </x14:cfRule>
          <xm:sqref>Y143:Y147</xm:sqref>
        </x14:conditionalFormatting>
        <x14:conditionalFormatting xmlns:xm="http://schemas.microsoft.com/office/excel/2006/main">
          <x14:cfRule type="expression" priority="22" id="{0B8AE63A-8C3A-477E-8366-96012640D8DA}">
            <xm:f>$X148=Utilitaires!$N$572</xm:f>
            <x14:dxf>
              <fill>
                <patternFill>
                  <bgColor theme="0"/>
                </patternFill>
              </fill>
              <border>
                <left style="thin">
                  <color auto="1"/>
                </left>
                <right style="thin">
                  <color auto="1"/>
                </right>
                <top style="thin">
                  <color auto="1"/>
                </top>
                <bottom style="thin">
                  <color auto="1"/>
                </bottom>
                <vertical/>
                <horizontal/>
              </border>
            </x14:dxf>
          </x14:cfRule>
          <xm:sqref>Y148</xm:sqref>
        </x14:conditionalFormatting>
        <x14:conditionalFormatting xmlns:xm="http://schemas.microsoft.com/office/excel/2006/main">
          <x14:cfRule type="expression" priority="21" id="{2540E710-1CA8-4321-90CE-09EDAFDD4C35}">
            <xm:f>$X149=Utilitaires!$N$572</xm:f>
            <x14:dxf>
              <fill>
                <patternFill>
                  <bgColor theme="0"/>
                </patternFill>
              </fill>
              <border>
                <left style="thin">
                  <color auto="1"/>
                </left>
                <right style="thin">
                  <color auto="1"/>
                </right>
                <top style="thin">
                  <color auto="1"/>
                </top>
                <bottom style="thin">
                  <color auto="1"/>
                </bottom>
                <vertical/>
                <horizontal/>
              </border>
            </x14:dxf>
          </x14:cfRule>
          <xm:sqref>Y149</xm:sqref>
        </x14:conditionalFormatting>
        <x14:conditionalFormatting xmlns:xm="http://schemas.microsoft.com/office/excel/2006/main">
          <x14:cfRule type="expression" priority="20" id="{8D7BF9AB-E446-4E77-8D2D-37BA2F6E4E37}">
            <xm:f>$X158=Utilitaires!$N$572</xm:f>
            <x14:dxf>
              <fill>
                <patternFill>
                  <bgColor theme="0"/>
                </patternFill>
              </fill>
              <border>
                <left style="thin">
                  <color auto="1"/>
                </left>
                <right style="thin">
                  <color auto="1"/>
                </right>
                <top style="thin">
                  <color auto="1"/>
                </top>
                <bottom style="thin">
                  <color auto="1"/>
                </bottom>
                <vertical/>
                <horizontal/>
              </border>
            </x14:dxf>
          </x14:cfRule>
          <xm:sqref>Y158</xm:sqref>
        </x14:conditionalFormatting>
        <x14:conditionalFormatting xmlns:xm="http://schemas.microsoft.com/office/excel/2006/main">
          <x14:cfRule type="expression" priority="19" id="{50DC69B7-C615-4B1C-A9BD-BE64FDF9F530}">
            <xm:f>$X159=Utilitaires!$N$572</xm:f>
            <x14:dxf>
              <fill>
                <patternFill>
                  <bgColor theme="0"/>
                </patternFill>
              </fill>
              <border>
                <left style="thin">
                  <color auto="1"/>
                </left>
                <right style="thin">
                  <color auto="1"/>
                </right>
                <top style="thin">
                  <color auto="1"/>
                </top>
                <bottom style="thin">
                  <color auto="1"/>
                </bottom>
                <vertical/>
                <horizontal/>
              </border>
            </x14:dxf>
          </x14:cfRule>
          <xm:sqref>Y159</xm:sqref>
        </x14:conditionalFormatting>
        <x14:conditionalFormatting xmlns:xm="http://schemas.microsoft.com/office/excel/2006/main">
          <x14:cfRule type="expression" priority="18" id="{44E6F2D4-AE9A-46BD-AEA3-C5728AF3827B}">
            <xm:f>$X160=Utilitaires!$N$572</xm:f>
            <x14:dxf>
              <fill>
                <patternFill>
                  <bgColor theme="0"/>
                </patternFill>
              </fill>
              <border>
                <left style="thin">
                  <color auto="1"/>
                </left>
                <right style="thin">
                  <color auto="1"/>
                </right>
                <top style="thin">
                  <color auto="1"/>
                </top>
                <bottom style="thin">
                  <color auto="1"/>
                </bottom>
                <vertical/>
                <horizontal/>
              </border>
            </x14:dxf>
          </x14:cfRule>
          <xm:sqref>Y160</xm:sqref>
        </x14:conditionalFormatting>
        <x14:conditionalFormatting xmlns:xm="http://schemas.microsoft.com/office/excel/2006/main">
          <x14:cfRule type="expression" priority="17" id="{922E501A-3CF3-409B-A9E6-28E6B87C1FBA}">
            <xm:f>$X161=Utilitaires!$N$572</xm:f>
            <x14:dxf>
              <fill>
                <patternFill>
                  <bgColor theme="0"/>
                </patternFill>
              </fill>
              <border>
                <left style="thin">
                  <color auto="1"/>
                </left>
                <right style="thin">
                  <color auto="1"/>
                </right>
                <top style="thin">
                  <color auto="1"/>
                </top>
                <bottom style="thin">
                  <color auto="1"/>
                </bottom>
                <vertical/>
                <horizontal/>
              </border>
            </x14:dxf>
          </x14:cfRule>
          <xm:sqref>Y161</xm:sqref>
        </x14:conditionalFormatting>
        <x14:conditionalFormatting xmlns:xm="http://schemas.microsoft.com/office/excel/2006/main">
          <x14:cfRule type="expression" priority="16" id="{711C13A5-7A89-4C69-81B9-5B0BEFD90B06}">
            <xm:f>$X169=Utilitaires!$N$572</xm:f>
            <x14:dxf>
              <fill>
                <patternFill>
                  <bgColor theme="0"/>
                </patternFill>
              </fill>
              <border>
                <left style="thin">
                  <color auto="1"/>
                </left>
                <right style="thin">
                  <color auto="1"/>
                </right>
                <top style="thin">
                  <color auto="1"/>
                </top>
                <bottom style="thin">
                  <color auto="1"/>
                </bottom>
                <vertical/>
                <horizontal/>
              </border>
            </x14:dxf>
          </x14:cfRule>
          <xm:sqref>Y169</xm:sqref>
        </x14:conditionalFormatting>
        <x14:conditionalFormatting xmlns:xm="http://schemas.microsoft.com/office/excel/2006/main">
          <x14:cfRule type="expression" priority="15" id="{320F5A70-14DE-4217-87B6-BA8E63E6D803}">
            <xm:f>$X170=Utilitaires!$N$572</xm:f>
            <x14:dxf>
              <fill>
                <patternFill>
                  <bgColor theme="0"/>
                </patternFill>
              </fill>
              <border>
                <left style="thin">
                  <color auto="1"/>
                </left>
                <right style="thin">
                  <color auto="1"/>
                </right>
                <top style="thin">
                  <color auto="1"/>
                </top>
                <bottom style="thin">
                  <color auto="1"/>
                </bottom>
                <vertical/>
                <horizontal/>
              </border>
            </x14:dxf>
          </x14:cfRule>
          <xm:sqref>Y170</xm:sqref>
        </x14:conditionalFormatting>
        <x14:conditionalFormatting xmlns:xm="http://schemas.microsoft.com/office/excel/2006/main">
          <x14:cfRule type="expression" priority="14" id="{445D08AF-C80C-4808-A195-D30B220FA11C}">
            <xm:f>$X171=Utilitaires!$N$572</xm:f>
            <x14:dxf>
              <fill>
                <patternFill>
                  <bgColor theme="0"/>
                </patternFill>
              </fill>
              <border>
                <left style="thin">
                  <color auto="1"/>
                </left>
                <right style="thin">
                  <color auto="1"/>
                </right>
                <top style="thin">
                  <color auto="1"/>
                </top>
                <bottom style="thin">
                  <color auto="1"/>
                </bottom>
                <vertical/>
                <horizontal/>
              </border>
            </x14:dxf>
          </x14:cfRule>
          <xm:sqref>Y171</xm:sqref>
        </x14:conditionalFormatting>
        <x14:conditionalFormatting xmlns:xm="http://schemas.microsoft.com/office/excel/2006/main">
          <x14:cfRule type="expression" priority="13" id="{CAFF02FB-87AF-46F7-AB53-62E63091D300}">
            <xm:f>$X172=Utilitaires!$N$572</xm:f>
            <x14:dxf>
              <fill>
                <patternFill>
                  <bgColor theme="0"/>
                </patternFill>
              </fill>
              <border>
                <left style="thin">
                  <color auto="1"/>
                </left>
                <right style="thin">
                  <color auto="1"/>
                </right>
                <top style="thin">
                  <color auto="1"/>
                </top>
                <bottom style="thin">
                  <color auto="1"/>
                </bottom>
                <vertical/>
                <horizontal/>
              </border>
            </x14:dxf>
          </x14:cfRule>
          <xm:sqref>Y172</xm:sqref>
        </x14:conditionalFormatting>
        <x14:conditionalFormatting xmlns:xm="http://schemas.microsoft.com/office/excel/2006/main">
          <x14:cfRule type="expression" priority="12" id="{ACBDC327-F982-434C-8023-52B0A338CBBA}">
            <xm:f>$X180=Utilitaires!$N$572</xm:f>
            <x14:dxf>
              <fill>
                <patternFill>
                  <bgColor theme="0"/>
                </patternFill>
              </fill>
              <border>
                <left style="thin">
                  <color auto="1"/>
                </left>
                <right style="thin">
                  <color auto="1"/>
                </right>
                <top style="thin">
                  <color auto="1"/>
                </top>
                <bottom style="thin">
                  <color auto="1"/>
                </bottom>
                <vertical/>
                <horizontal/>
              </border>
            </x14:dxf>
          </x14:cfRule>
          <xm:sqref>Y180</xm:sqref>
        </x14:conditionalFormatting>
        <x14:conditionalFormatting xmlns:xm="http://schemas.microsoft.com/office/excel/2006/main">
          <x14:cfRule type="expression" priority="11" id="{63FFC264-A60B-4255-83CD-48C181667365}">
            <xm:f>$X181=Utilitaires!$N$572</xm:f>
            <x14:dxf>
              <fill>
                <patternFill>
                  <bgColor theme="0"/>
                </patternFill>
              </fill>
              <border>
                <left style="thin">
                  <color auto="1"/>
                </left>
                <right style="thin">
                  <color auto="1"/>
                </right>
                <top style="thin">
                  <color auto="1"/>
                </top>
                <bottom style="thin">
                  <color auto="1"/>
                </bottom>
                <vertical/>
                <horizontal/>
              </border>
            </x14:dxf>
          </x14:cfRule>
          <xm:sqref>Y181</xm:sqref>
        </x14:conditionalFormatting>
        <x14:conditionalFormatting xmlns:xm="http://schemas.microsoft.com/office/excel/2006/main">
          <x14:cfRule type="expression" priority="10" id="{36A4DCAB-10A1-440E-A114-F55D300A43BF}">
            <xm:f>$X182=Utilitaires!$N$572</xm:f>
            <x14:dxf>
              <font>
                <color auto="1"/>
              </font>
              <fill>
                <patternFill>
                  <bgColor theme="0"/>
                </patternFill>
              </fill>
              <border>
                <left style="thin">
                  <color auto="1"/>
                </left>
                <right style="thin">
                  <color auto="1"/>
                </right>
                <top style="thin">
                  <color auto="1"/>
                </top>
                <bottom style="thin">
                  <color auto="1"/>
                </bottom>
                <vertical/>
                <horizontal/>
              </border>
            </x14:dxf>
          </x14:cfRule>
          <xm:sqref>Y182</xm:sqref>
        </x14:conditionalFormatting>
        <x14:conditionalFormatting xmlns:xm="http://schemas.microsoft.com/office/excel/2006/main">
          <x14:cfRule type="expression" priority="4" id="{1B7D328E-EE86-40ED-AD14-ACA5FA7A141F}">
            <xm:f>$X86=Utilitaires!$N$572</xm:f>
            <x14:dxf>
              <fill>
                <patternFill>
                  <bgColor theme="0"/>
                </patternFill>
              </fill>
              <border>
                <left style="thin">
                  <color auto="1"/>
                </left>
                <right style="thin">
                  <color auto="1"/>
                </right>
                <top style="thin">
                  <color auto="1"/>
                </top>
                <bottom style="thin">
                  <color auto="1"/>
                </bottom>
                <vertical/>
                <horizontal/>
              </border>
            </x14:dxf>
          </x14:cfRule>
          <xm:sqref>Y86</xm:sqref>
        </x14:conditionalFormatting>
        <x14:conditionalFormatting xmlns:xm="http://schemas.microsoft.com/office/excel/2006/main">
          <x14:cfRule type="expression" priority="3" id="{F12687F7-843D-4B74-A890-2195CB449CAA}">
            <xm:f>$X87=Utilitaires!$N$572</xm:f>
            <x14:dxf>
              <fill>
                <patternFill>
                  <bgColor theme="0"/>
                </patternFill>
              </fill>
              <border>
                <left style="thin">
                  <color auto="1"/>
                </left>
                <right style="thin">
                  <color auto="1"/>
                </right>
                <top style="thin">
                  <color auto="1"/>
                </top>
                <bottom style="thin">
                  <color auto="1"/>
                </bottom>
                <vertical/>
                <horizontal/>
              </border>
            </x14:dxf>
          </x14:cfRule>
          <xm:sqref>Y87</xm:sqref>
        </x14:conditionalFormatting>
        <x14:conditionalFormatting xmlns:xm="http://schemas.microsoft.com/office/excel/2006/main">
          <x14:cfRule type="expression" priority="2" id="{9DB10E59-8F3B-475C-9C4B-DB17E20F2470}">
            <xm:f>$X88=Utilitaires!$N$572</xm:f>
            <x14:dxf>
              <fill>
                <patternFill>
                  <bgColor theme="0"/>
                </patternFill>
              </fill>
              <border>
                <left style="thin">
                  <color auto="1"/>
                </left>
                <right style="thin">
                  <color auto="1"/>
                </right>
                <top style="thin">
                  <color auto="1"/>
                </top>
                <bottom style="thin">
                  <color auto="1"/>
                </bottom>
                <vertical/>
                <horizontal/>
              </border>
            </x14:dxf>
          </x14:cfRule>
          <xm:sqref>Y88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5000000}">
          <x14:formula1>
            <xm:f>Utilitaires!$N$567:$N$571</xm:f>
          </x14:formula1>
          <xm:sqref>Y27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D833"/>
  </sheetPr>
  <dimension ref="A1:AK65"/>
  <sheetViews>
    <sheetView showGridLines="0" zoomScale="85" zoomScaleNormal="85" workbookViewId="0">
      <pane ySplit="9" topLeftCell="A10" activePane="bottomLeft" state="frozen"/>
      <selection pane="bottomLeft"/>
    </sheetView>
  </sheetViews>
  <sheetFormatPr baseColWidth="10" defaultColWidth="0" defaultRowHeight="13.2" zeroHeight="1"/>
  <cols>
    <col min="1" max="1" width="2.75" style="869" customWidth="1"/>
    <col min="2" max="2" width="17" style="869" customWidth="1"/>
    <col min="3" max="3" width="10.25" style="869" customWidth="1"/>
    <col min="4" max="4" width="49.375" style="869" customWidth="1"/>
    <col min="5" max="27" width="11.25" style="869" customWidth="1"/>
    <col min="28" max="28" width="2.75" style="114" customWidth="1"/>
    <col min="29" max="37" width="0" style="869" hidden="1" customWidth="1"/>
    <col min="38" max="16384" width="11.375" style="869" hidden="1"/>
  </cols>
  <sheetData>
    <row r="1" spans="2:27" s="114" customFormat="1">
      <c r="M1" s="441"/>
      <c r="N1" s="441"/>
      <c r="O1" s="441"/>
      <c r="P1" s="441"/>
    </row>
    <row r="2" spans="2:27" s="114" customFormat="1" ht="30" customHeight="1">
      <c r="B2" s="2944" t="s">
        <v>758</v>
      </c>
      <c r="C2" s="2945"/>
      <c r="D2" s="2945"/>
      <c r="E2" s="2945"/>
      <c r="F2" s="2945"/>
      <c r="G2" s="2945"/>
      <c r="H2" s="2945"/>
      <c r="I2" s="2945"/>
      <c r="J2" s="2945"/>
      <c r="K2" s="2945"/>
      <c r="L2" s="2945"/>
      <c r="M2" s="2945"/>
      <c r="N2" s="2945"/>
      <c r="O2" s="2952"/>
      <c r="P2" s="441"/>
    </row>
    <row r="3" spans="2:27" s="114" customFormat="1"/>
    <row r="4" spans="2:27" ht="13.8">
      <c r="B4" s="2948" t="s">
        <v>767</v>
      </c>
      <c r="C4" s="2972"/>
      <c r="D4" s="2949"/>
      <c r="E4" s="872" t="s">
        <v>768</v>
      </c>
    </row>
    <row r="5" spans="2:27" ht="13.8">
      <c r="B5" s="2948" t="s">
        <v>770</v>
      </c>
      <c r="C5" s="2972"/>
      <c r="D5" s="2949"/>
      <c r="E5" s="872" t="s">
        <v>768</v>
      </c>
    </row>
    <row r="6" spans="2:27" s="114" customFormat="1"/>
    <row r="7" spans="2:27" ht="15.6">
      <c r="B7" s="2761" t="s">
        <v>894</v>
      </c>
      <c r="C7" s="2762"/>
      <c r="E7" s="2677" t="s">
        <v>539</v>
      </c>
      <c r="F7" s="2678"/>
      <c r="G7" s="2678"/>
      <c r="H7" s="2678"/>
      <c r="I7" s="2678"/>
      <c r="J7" s="2678"/>
      <c r="K7" s="2678"/>
      <c r="L7" s="2678"/>
      <c r="M7" s="2678"/>
      <c r="N7" s="2678"/>
      <c r="O7" s="2679"/>
      <c r="Q7" s="2677" t="s">
        <v>454</v>
      </c>
      <c r="R7" s="2678"/>
      <c r="S7" s="2678"/>
      <c r="T7" s="2678"/>
      <c r="U7" s="2678"/>
      <c r="V7" s="2678"/>
      <c r="W7" s="2678"/>
      <c r="X7" s="2678"/>
      <c r="Y7" s="2678"/>
      <c r="Z7" s="2678"/>
      <c r="AA7" s="2679"/>
    </row>
    <row r="8" spans="2:27" ht="39.6">
      <c r="D8" s="205"/>
      <c r="E8" s="2701" t="s">
        <v>448</v>
      </c>
      <c r="F8" s="2702"/>
      <c r="G8" s="2702"/>
      <c r="H8" s="2702"/>
      <c r="I8" s="2702"/>
      <c r="J8" s="2702"/>
      <c r="K8" s="2702"/>
      <c r="L8" s="2702"/>
      <c r="M8" s="2702"/>
      <c r="N8" s="2703"/>
      <c r="O8" s="865" t="s">
        <v>440</v>
      </c>
      <c r="Q8" s="2701" t="s">
        <v>448</v>
      </c>
      <c r="R8" s="2702"/>
      <c r="S8" s="2702"/>
      <c r="T8" s="2702"/>
      <c r="U8" s="2702"/>
      <c r="V8" s="2702"/>
      <c r="W8" s="2702"/>
      <c r="X8" s="2702"/>
      <c r="Y8" s="2702"/>
      <c r="Z8" s="2703"/>
      <c r="AA8" s="865" t="s">
        <v>440</v>
      </c>
    </row>
    <row r="9" spans="2:27" ht="26.4">
      <c r="B9" s="868" t="s">
        <v>483</v>
      </c>
      <c r="C9" s="867" t="s">
        <v>623</v>
      </c>
      <c r="D9" s="868" t="s">
        <v>438</v>
      </c>
      <c r="E9" s="866" t="s">
        <v>869</v>
      </c>
      <c r="F9" s="866" t="s">
        <v>865</v>
      </c>
      <c r="G9" s="866" t="s">
        <v>866</v>
      </c>
      <c r="H9" s="866" t="s">
        <v>870</v>
      </c>
      <c r="I9" s="866" t="s">
        <v>871</v>
      </c>
      <c r="J9" s="866" t="s">
        <v>872</v>
      </c>
      <c r="K9" s="866" t="s">
        <v>868</v>
      </c>
      <c r="L9" s="867" t="s">
        <v>517</v>
      </c>
      <c r="M9" s="866" t="s">
        <v>873</v>
      </c>
      <c r="N9" s="866" t="s">
        <v>516</v>
      </c>
      <c r="O9" s="867" t="s">
        <v>517</v>
      </c>
      <c r="P9" s="89" t="s">
        <v>622</v>
      </c>
      <c r="Q9" s="866" t="s">
        <v>869</v>
      </c>
      <c r="R9" s="866" t="s">
        <v>865</v>
      </c>
      <c r="S9" s="866" t="s">
        <v>866</v>
      </c>
      <c r="T9" s="866" t="s">
        <v>870</v>
      </c>
      <c r="U9" s="866" t="s">
        <v>871</v>
      </c>
      <c r="V9" s="866" t="s">
        <v>872</v>
      </c>
      <c r="W9" s="866" t="s">
        <v>868</v>
      </c>
      <c r="X9" s="867" t="s">
        <v>517</v>
      </c>
      <c r="Y9" s="866" t="s">
        <v>873</v>
      </c>
      <c r="Z9" s="866" t="s">
        <v>516</v>
      </c>
      <c r="AA9" s="867" t="s">
        <v>517</v>
      </c>
    </row>
    <row r="10" spans="2:27" ht="12.75" customHeight="1">
      <c r="B10" s="2998" t="s">
        <v>276</v>
      </c>
      <c r="C10" s="875" t="s">
        <v>727</v>
      </c>
      <c r="D10" s="876" t="s">
        <v>459</v>
      </c>
      <c r="E10" s="877">
        <f>('Energie 1'!E257+'Energie 2'!E257+'Hors énergie 1'!E154+'Hors énergie 2'!E154+'Intrants 1'!E374+'Intrants 2'!E372+'Futurs emballages'!E134+Fret!E675+Déplacements!E529+'Déchets directs'!E282+Immobilisations!E319+Utilisation!E178+'Fin de vie'!E309)/1000</f>
        <v>302.94259600000004</v>
      </c>
      <c r="F10" s="877">
        <f>('Energie 1'!F257+'Energie 2'!F257+'Hors énergie 1'!F154+'Hors énergie 2'!F154+'Intrants 1'!F374+'Intrants 2'!F372+'Futurs emballages'!F134+Fret!F675+Déplacements!F529+'Déchets directs'!F282+Immobilisations!F319+Utilisation!F178+'Fin de vie'!F309)/1000</f>
        <v>0.23429999999999998</v>
      </c>
      <c r="G10" s="877">
        <f>('Energie 1'!G257+'Energie 2'!G257+'Hors énergie 1'!G154+'Hors énergie 2'!G154+'Intrants 1'!G374+'Intrants 2'!G372+'Futurs emballages'!G134+Fret!G675+Déplacements!G529+'Déchets directs'!G282+Immobilisations!G319+Utilisation!G178+'Fin de vie'!G309)/1000</f>
        <v>1.577381916</v>
      </c>
      <c r="H10" s="877">
        <f>('Energie 1'!H257+'Energie 2'!H257+'Hors énergie 1'!H154+'Hors énergie 2'!H154+'Intrants 1'!H374+'Intrants 2'!H372+'Futurs emballages'!H134+Fret!H675+Déplacements!H529+'Déchets directs'!H282+Immobilisations!H319+Utilisation!H178+'Fin de vie'!H309)/1000</f>
        <v>0</v>
      </c>
      <c r="I10" s="877">
        <f>('Energie 1'!I257+'Energie 2'!I257+'Hors énergie 1'!I154+'Hors énergie 2'!I154+'Intrants 1'!I374+'Intrants 2'!I372+'Futurs emballages'!I134+Fret!I675+Déplacements!I529+'Déchets directs'!I282+Immobilisations!I319+Utilisation!I178+'Fin de vie'!I309)/1000</f>
        <v>0</v>
      </c>
      <c r="J10" s="877">
        <f>('Energie 1'!J257+'Energie 2'!J257+'Hors énergie 1'!J154+'Hors énergie 2'!J154+'Intrants 1'!J374+'Intrants 2'!J372+'Futurs emballages'!J134+Fret!J675+Déplacements!J529+'Déchets directs'!J282+Immobilisations!J319+Utilisation!J178+'Fin de vie'!J309)/1000</f>
        <v>0</v>
      </c>
      <c r="K10" s="877">
        <f>('Energie 1'!K257+'Energie 2'!K257+'Hors énergie 1'!K154+'Hors énergie 2'!K154+'Intrants 1'!K374+'Intrants 2'!K372+'Futurs emballages'!K134+Fret!K675+Déplacements!K529+'Déchets directs'!K282+Immobilisations!K319+Utilisation!K178+'Fin de vie'!K309)/1000</f>
        <v>0</v>
      </c>
      <c r="L10" s="878">
        <f>('Energie 1'!L257+'Energie 2'!L257+'Hors énergie 1'!L154+'Hors énergie 2'!L154+'Intrants 1'!L374+'Intrants 2'!L372+'Futurs emballages'!L134+Fret!L675+Déplacements!L529+'Déchets directs'!L282+Immobilisations!L319+Utilisation!L178+'Fin de vie'!L309)/1000</f>
        <v>304.75427791599998</v>
      </c>
      <c r="M10" s="879">
        <f ca="1">('Energie 1'!M257+'Energie 2'!M257+'Hors énergie 1'!M154+'Hors énergie 2'!M154+'Intrants 1'!M374+'Intrants 2'!M372+'Futurs emballages'!M134+Fret!M675+Déplacements!M529+'Déchets directs'!M282+Immobilisations!M319+Utilisation!M178+'Fin de vie'!M309)/1000</f>
        <v>0</v>
      </c>
      <c r="N10" s="858">
        <f>SQRT('Energie 1'!N257^2+'Energie 2'!N257^2+'Hors énergie 1'!N154^2+'Hors énergie 2'!N154^2+'Intrants 1'!N374^2+'Intrants 2'!N372^2+'Futurs emballages'!N134^2+Fret!N675^2+Déplacements!N529^2+'Déchets directs'!N282^2+Immobilisations!N319^2+Utilisation!N178^2+'Fin de vie'!N309^2)/1000</f>
        <v>14.74906855465958</v>
      </c>
      <c r="O10" s="880">
        <f>('Energie 1'!O257+'Energie 2'!O257+'Hors énergie 1'!O154+'Hors énergie 2'!O154+'Intrants 1'!O374+'Intrants 2'!O372+'Futurs emballages'!O134+Fret!O675+Déplacements!O529+'Déchets directs'!O282+Immobilisations!O319+Utilisation!O178+'Fin de vie'!O309)/1000</f>
        <v>0</v>
      </c>
      <c r="P10" s="88">
        <v>1</v>
      </c>
      <c r="Q10" s="855">
        <f>IF($E$4="Oui",0,IF($E$5="Oui",0,E10*$P10))</f>
        <v>302.94259600000004</v>
      </c>
      <c r="R10" s="855">
        <f t="shared" ref="R10:AA10" si="0">IF($E$4="Oui",0,IF($E$5="Oui",0,F10*$P10))</f>
        <v>0.23429999999999998</v>
      </c>
      <c r="S10" s="855">
        <f t="shared" si="0"/>
        <v>1.577381916</v>
      </c>
      <c r="T10" s="855">
        <f t="shared" si="0"/>
        <v>0</v>
      </c>
      <c r="U10" s="855">
        <f t="shared" si="0"/>
        <v>0</v>
      </c>
      <c r="V10" s="855">
        <f t="shared" si="0"/>
        <v>0</v>
      </c>
      <c r="W10" s="855">
        <f t="shared" si="0"/>
        <v>0</v>
      </c>
      <c r="X10" s="864">
        <f t="shared" si="0"/>
        <v>304.75427791599998</v>
      </c>
      <c r="Y10" s="853">
        <f t="shared" ca="1" si="0"/>
        <v>0</v>
      </c>
      <c r="Z10" s="858">
        <f t="shared" si="0"/>
        <v>14.74906855465958</v>
      </c>
      <c r="AA10" s="857">
        <f t="shared" si="0"/>
        <v>0</v>
      </c>
    </row>
    <row r="11" spans="2:27" ht="12.75" customHeight="1">
      <c r="B11" s="2999"/>
      <c r="C11" s="875" t="s">
        <v>728</v>
      </c>
      <c r="D11" s="876" t="s">
        <v>722</v>
      </c>
      <c r="E11" s="877">
        <f>('Energie 1'!E258+'Energie 2'!E258+'Hors énergie 1'!E155+'Hors énergie 2'!E155+'Intrants 1'!E375+'Intrants 2'!E373+'Futurs emballages'!E135+Fret!E676+Déplacements!E530+'Déchets directs'!E283+Immobilisations!E320+Utilisation!E179+'Fin de vie'!E310)/1000</f>
        <v>0</v>
      </c>
      <c r="F11" s="877">
        <f>('Energie 1'!F258+'Energie 2'!F258+'Hors énergie 1'!F155+'Hors énergie 2'!F155+'Intrants 1'!F375+'Intrants 2'!F373+'Futurs emballages'!F135+Fret!F676+Déplacements!F530+'Déchets directs'!F283+Immobilisations!F320+Utilisation!F179+'Fin de vie'!F310)/1000</f>
        <v>0</v>
      </c>
      <c r="G11" s="877">
        <f>('Energie 1'!G258+'Energie 2'!G258+'Hors énergie 1'!G155+'Hors énergie 2'!G155+'Intrants 1'!G375+'Intrants 2'!G373+'Futurs emballages'!G135+Fret!G676+Déplacements!G530+'Déchets directs'!G283+Immobilisations!G320+Utilisation!G179+'Fin de vie'!G310)/1000</f>
        <v>0</v>
      </c>
      <c r="H11" s="877">
        <f>('Energie 1'!H258+'Energie 2'!H258+'Hors énergie 1'!H155+'Hors énergie 2'!H155+'Intrants 1'!H375+'Intrants 2'!H373+'Futurs emballages'!H135+Fret!H676+Déplacements!H530+'Déchets directs'!H283+Immobilisations!H320+Utilisation!H179+'Fin de vie'!H310)/1000</f>
        <v>0</v>
      </c>
      <c r="I11" s="877">
        <f>('Energie 1'!I258+'Energie 2'!I258+'Hors énergie 1'!I155+'Hors énergie 2'!I155+'Intrants 1'!I375+'Intrants 2'!I373+'Futurs emballages'!I135+Fret!I676+Déplacements!I530+'Déchets directs'!I283+Immobilisations!I320+Utilisation!I179+'Fin de vie'!I310)/1000</f>
        <v>0</v>
      </c>
      <c r="J11" s="877">
        <f>('Energie 1'!J258+'Energie 2'!J258+'Hors énergie 1'!J155+'Hors énergie 2'!J155+'Intrants 1'!J375+'Intrants 2'!J373+'Futurs emballages'!J135+Fret!J676+Déplacements!J530+'Déchets directs'!J283+Immobilisations!J320+Utilisation!J179+'Fin de vie'!J310)/1000</f>
        <v>0</v>
      </c>
      <c r="K11" s="877">
        <f>('Energie 1'!K258+'Energie 2'!K258+'Hors énergie 1'!K155+'Hors énergie 2'!K155+'Intrants 1'!K375+'Intrants 2'!K373+'Futurs emballages'!K135+Fret!K676+Déplacements!K530+'Déchets directs'!K283+Immobilisations!K320+Utilisation!K179+'Fin de vie'!K310)/1000</f>
        <v>0</v>
      </c>
      <c r="L11" s="878">
        <f>('Energie 1'!L258+'Energie 2'!L258+'Hors énergie 1'!L155+'Hors énergie 2'!L155+'Intrants 1'!L375+'Intrants 2'!L373+'Futurs emballages'!L135+Fret!L676+Déplacements!L530+'Déchets directs'!L283+Immobilisations!L320+Utilisation!L179+'Fin de vie'!L310)/1000</f>
        <v>0</v>
      </c>
      <c r="M11" s="879">
        <f>('Energie 1'!M258+'Energie 2'!M258+'Hors énergie 1'!M155+'Hors énergie 2'!M155+'Intrants 1'!M375+'Intrants 2'!M373+'Futurs emballages'!M135+Fret!M676+Déplacements!M530+'Déchets directs'!M283+Immobilisations!M320+Utilisation!M179+'Fin de vie'!M310)/1000</f>
        <v>0</v>
      </c>
      <c r="N11" s="858">
        <f>SQRT('Energie 1'!N258^2+'Energie 2'!N258^2+'Hors énergie 1'!N155^2+'Hors énergie 2'!N155^2+'Intrants 1'!N375^2+'Intrants 2'!N373^2+'Futurs emballages'!N135^2+Fret!N676^2+Déplacements!N530^2+'Déchets directs'!N283^2+Immobilisations!N320^2+Utilisation!N179^2+'Fin de vie'!N310^2)/1000</f>
        <v>0</v>
      </c>
      <c r="O11" s="880">
        <f>('Energie 1'!O258+'Energie 2'!O258+'Hors énergie 1'!O155+'Hors énergie 2'!O155+'Intrants 1'!O375+'Intrants 2'!O373+'Futurs emballages'!O135+Fret!O676+Déplacements!O530+'Déchets directs'!O283+Immobilisations!O320+Utilisation!O179+'Fin de vie'!O310)/1000</f>
        <v>0</v>
      </c>
      <c r="P11" s="88">
        <v>1</v>
      </c>
      <c r="Q11" s="855">
        <f>IF($E$4="Oui",0,IF($E$5="Oui",0,E11*$P11))</f>
        <v>0</v>
      </c>
      <c r="R11" s="855">
        <f t="shared" ref="R11:AA13" si="1">IF($E$4="Oui",0,IF($E$5="Oui",0,F11*$P11))</f>
        <v>0</v>
      </c>
      <c r="S11" s="855">
        <f t="shared" si="1"/>
        <v>0</v>
      </c>
      <c r="T11" s="855">
        <f t="shared" si="1"/>
        <v>0</v>
      </c>
      <c r="U11" s="855">
        <f t="shared" si="1"/>
        <v>0</v>
      </c>
      <c r="V11" s="855">
        <f t="shared" si="1"/>
        <v>0</v>
      </c>
      <c r="W11" s="855">
        <f t="shared" si="1"/>
        <v>0</v>
      </c>
      <c r="X11" s="864">
        <f t="shared" si="1"/>
        <v>0</v>
      </c>
      <c r="Y11" s="853">
        <f t="shared" si="1"/>
        <v>0</v>
      </c>
      <c r="Z11" s="858">
        <f t="shared" si="1"/>
        <v>0</v>
      </c>
      <c r="AA11" s="857">
        <f t="shared" si="1"/>
        <v>0</v>
      </c>
    </row>
    <row r="12" spans="2:27" ht="12.75" customHeight="1">
      <c r="B12" s="2999"/>
      <c r="C12" s="875" t="s">
        <v>729</v>
      </c>
      <c r="D12" s="876" t="s">
        <v>723</v>
      </c>
      <c r="E12" s="877">
        <f>('Energie 1'!E259+'Energie 2'!E259+'Hors énergie 1'!E156+'Hors énergie 2'!E156+'Intrants 1'!E376+'Intrants 2'!E374+'Futurs emballages'!E136+Fret!E677+Déplacements!E531+'Déchets directs'!E284+Immobilisations!E321+Utilisation!E180+'Fin de vie'!E311)/1000</f>
        <v>0</v>
      </c>
      <c r="F12" s="877">
        <f>('Energie 1'!F259+'Energie 2'!F259+'Hors énergie 1'!F156+'Hors énergie 2'!F156+'Intrants 1'!F376+'Intrants 2'!F374+'Futurs emballages'!F136+Fret!F677+Déplacements!F531+'Déchets directs'!F284+Immobilisations!F321+Utilisation!F180+'Fin de vie'!F311)/1000</f>
        <v>0</v>
      </c>
      <c r="G12" s="877">
        <f>('Energie 1'!G259+'Energie 2'!G259+'Hors énergie 1'!G156+'Hors énergie 2'!G156+'Intrants 1'!G376+'Intrants 2'!G374+'Futurs emballages'!G136+Fret!G677+Déplacements!G531+'Déchets directs'!G284+Immobilisations!G321+Utilisation!G180+'Fin de vie'!G311)/1000</f>
        <v>0</v>
      </c>
      <c r="H12" s="877">
        <f>('Energie 1'!H259+'Energie 2'!H259+'Hors énergie 1'!H156+'Hors énergie 2'!H156+'Intrants 1'!H376+'Intrants 2'!H374+'Futurs emballages'!H136+Fret!H677+Déplacements!H531+'Déchets directs'!H284+Immobilisations!H321+Utilisation!H180+'Fin de vie'!H311)/1000</f>
        <v>0</v>
      </c>
      <c r="I12" s="877">
        <f>('Energie 1'!I259+'Energie 2'!I259+'Hors énergie 1'!I156+'Hors énergie 2'!I156+'Intrants 1'!I376+'Intrants 2'!I374+'Futurs emballages'!I136+Fret!I677+Déplacements!I531+'Déchets directs'!I284+Immobilisations!I321+Utilisation!I180+'Fin de vie'!I311)/1000</f>
        <v>0</v>
      </c>
      <c r="J12" s="877">
        <f>('Energie 1'!J259+'Energie 2'!J259+'Hors énergie 1'!J156+'Hors énergie 2'!J156+'Intrants 1'!J376+'Intrants 2'!J374+'Futurs emballages'!J136+Fret!J677+Déplacements!J531+'Déchets directs'!J284+Immobilisations!J321+Utilisation!J180+'Fin de vie'!J311)/1000</f>
        <v>0</v>
      </c>
      <c r="K12" s="877">
        <f>('Energie 1'!K259+'Energie 2'!K259+'Hors énergie 1'!K156+'Hors énergie 2'!K156+'Intrants 1'!K376+'Intrants 2'!K374+'Futurs emballages'!K136+Fret!K677+Déplacements!K531+'Déchets directs'!K284+Immobilisations!K321+Utilisation!K180+'Fin de vie'!K311)/1000</f>
        <v>0</v>
      </c>
      <c r="L12" s="878">
        <f>('Energie 1'!L259+'Energie 2'!L259+'Hors énergie 1'!L156+'Hors énergie 2'!L156+'Intrants 1'!L376+'Intrants 2'!L374+'Futurs emballages'!L136+Fret!L677+Déplacements!L531+'Déchets directs'!L284+Immobilisations!L321+Utilisation!L180+'Fin de vie'!L311)/1000</f>
        <v>0</v>
      </c>
      <c r="M12" s="879">
        <f>('Energie 1'!M259+'Energie 2'!M259+'Hors énergie 1'!M156+'Hors énergie 2'!M156+'Intrants 1'!M376+'Intrants 2'!M374+'Futurs emballages'!M136+Fret!M677+Déplacements!M531+'Déchets directs'!M284+Immobilisations!M321+Utilisation!M180+'Fin de vie'!M311)/1000</f>
        <v>0</v>
      </c>
      <c r="N12" s="858">
        <f>SQRT('Energie 1'!N259^2+'Energie 2'!N259^2+'Hors énergie 1'!N156^2+'Hors énergie 2'!N156^2+'Intrants 1'!N376^2+'Intrants 2'!N374^2+'Futurs emballages'!N136^2+Fret!N677^2+Déplacements!N531^2+'Déchets directs'!N284^2+Immobilisations!N321^2+Utilisation!N180^2+'Fin de vie'!N311^2)/1000</f>
        <v>0</v>
      </c>
      <c r="O12" s="880">
        <f>('Energie 1'!O259+'Energie 2'!O259+'Hors énergie 1'!O156+'Hors énergie 2'!O156+'Intrants 1'!O376+'Intrants 2'!O374+'Futurs emballages'!O136+Fret!O677+Déplacements!O531+'Déchets directs'!O284+Immobilisations!O321+Utilisation!O180+'Fin de vie'!O311)/1000</f>
        <v>0</v>
      </c>
      <c r="P12" s="88">
        <v>1</v>
      </c>
      <c r="Q12" s="855">
        <f>IF($E$4="Oui",0,IF($E$5="Oui",0,E12*$P12))</f>
        <v>0</v>
      </c>
      <c r="R12" s="855">
        <f t="shared" si="1"/>
        <v>0</v>
      </c>
      <c r="S12" s="855">
        <f t="shared" si="1"/>
        <v>0</v>
      </c>
      <c r="T12" s="855">
        <f t="shared" si="1"/>
        <v>0</v>
      </c>
      <c r="U12" s="855">
        <f t="shared" si="1"/>
        <v>0</v>
      </c>
      <c r="V12" s="855">
        <f t="shared" si="1"/>
        <v>0</v>
      </c>
      <c r="W12" s="855">
        <f t="shared" si="1"/>
        <v>0</v>
      </c>
      <c r="X12" s="864">
        <f t="shared" si="1"/>
        <v>0</v>
      </c>
      <c r="Y12" s="853">
        <f t="shared" si="1"/>
        <v>0</v>
      </c>
      <c r="Z12" s="858">
        <f t="shared" si="1"/>
        <v>0</v>
      </c>
      <c r="AA12" s="857">
        <f t="shared" si="1"/>
        <v>0</v>
      </c>
    </row>
    <row r="13" spans="2:27" ht="12.75" customHeight="1">
      <c r="B13" s="2999"/>
      <c r="C13" s="875" t="s">
        <v>730</v>
      </c>
      <c r="D13" s="876" t="s">
        <v>462</v>
      </c>
      <c r="E13" s="877">
        <f>('Energie 1'!E260+'Energie 2'!E260+'Hors énergie 1'!E157+'Hors énergie 2'!E157+'Intrants 1'!E377+'Intrants 2'!E375+'Futurs emballages'!E137+Fret!E678+Déplacements!E532+'Déchets directs'!E285+Immobilisations!E322+Utilisation!E181+'Fin de vie'!E312)/1000</f>
        <v>0</v>
      </c>
      <c r="F13" s="877">
        <f>('Energie 1'!F260+'Energie 2'!F260+'Hors énergie 1'!F157+'Hors énergie 2'!F157+'Intrants 1'!F377+'Intrants 2'!F375+'Futurs emballages'!F137+Fret!F678+Déplacements!F532+'Déchets directs'!F285+Immobilisations!F322+Utilisation!F181+'Fin de vie'!F312)/1000</f>
        <v>0</v>
      </c>
      <c r="G13" s="877">
        <f>('Energie 1'!G260+'Energie 2'!G260+'Hors énergie 1'!G157+'Hors énergie 2'!G157+'Intrants 1'!G377+'Intrants 2'!G375+'Futurs emballages'!G137+Fret!G678+Déplacements!G532+'Déchets directs'!G285+Immobilisations!G322+Utilisation!G181+'Fin de vie'!G312)/1000</f>
        <v>0</v>
      </c>
      <c r="H13" s="877">
        <f>('Energie 1'!H260+'Energie 2'!H260+'Hors énergie 1'!H157+'Hors énergie 2'!H157+'Intrants 1'!H377+'Intrants 2'!H375+'Futurs emballages'!H137+Fret!H678+Déplacements!H532+'Déchets directs'!H285+Immobilisations!H322+Utilisation!H181+'Fin de vie'!H312)/1000</f>
        <v>0.48599999999999999</v>
      </c>
      <c r="I13" s="877">
        <f>('Energie 1'!I260+'Energie 2'!I260+'Hors énergie 1'!I157+'Hors énergie 2'!I157+'Intrants 1'!I377+'Intrants 2'!I375+'Futurs emballages'!I137+Fret!I678+Déplacements!I532+'Déchets directs'!I285+Immobilisations!I322+Utilisation!I181+'Fin de vie'!I312)/1000</f>
        <v>0</v>
      </c>
      <c r="J13" s="877">
        <f>('Energie 1'!J260+'Energie 2'!J260+'Hors énergie 1'!J157+'Hors énergie 2'!J157+'Intrants 1'!J377+'Intrants 2'!J375+'Futurs emballages'!J137+Fret!J678+Déplacements!J532+'Déchets directs'!J285+Immobilisations!J322+Utilisation!J181+'Fin de vie'!J312)/1000</f>
        <v>0</v>
      </c>
      <c r="K13" s="877">
        <f>('Energie 1'!K260+'Energie 2'!K260+'Hors énergie 1'!K157+'Hors énergie 2'!K157+'Intrants 1'!K377+'Intrants 2'!K375+'Futurs emballages'!K137+Fret!K678+Déplacements!K532+'Déchets directs'!K285+Immobilisations!K322+Utilisation!K181+'Fin de vie'!K312)/1000</f>
        <v>0</v>
      </c>
      <c r="L13" s="878">
        <f>('Energie 1'!L260+'Energie 2'!L260+'Hors énergie 1'!L157+'Hors énergie 2'!L157+'Intrants 1'!L377+'Intrants 2'!L375+'Futurs emballages'!L137+Fret!L678+Déplacements!L532+'Déchets directs'!L285+Immobilisations!L322+Utilisation!L181+'Fin de vie'!L312)/1000</f>
        <v>0.48599999999999999</v>
      </c>
      <c r="M13" s="879">
        <f>('Energie 1'!M260+'Energie 2'!M260+'Hors énergie 1'!M157+'Hors énergie 2'!M157+'Intrants 1'!M377+'Intrants 2'!M375+'Futurs emballages'!M137+Fret!M678+Déplacements!M532+'Déchets directs'!M285+Immobilisations!M322+Utilisation!M181+'Fin de vie'!M312)/1000</f>
        <v>0</v>
      </c>
      <c r="N13" s="858">
        <f>SQRT('Energie 1'!N260^2+'Energie 2'!N260^2+'Hors énergie 1'!N157^2+'Hors énergie 2'!N157^2+'Intrants 1'!N377^2+'Intrants 2'!N375^2+'Futurs emballages'!N137^2+Fret!N678^2+Déplacements!N532^2+'Déchets directs'!N285^2+Immobilisations!N322^2+Utilisation!N181^2+'Fin de vie'!N312^2)/1000</f>
        <v>0.28338426208948159</v>
      </c>
      <c r="O13" s="880">
        <f>('Energie 1'!O260+'Energie 2'!O260+'Hors énergie 1'!O157+'Hors énergie 2'!O157+'Intrants 1'!O377+'Intrants 2'!O375+'Futurs emballages'!O137+Fret!O678+Déplacements!O532+'Déchets directs'!O285+Immobilisations!O322+Utilisation!O181+'Fin de vie'!O312)/1000</f>
        <v>0</v>
      </c>
      <c r="P13" s="88">
        <v>1</v>
      </c>
      <c r="Q13" s="855">
        <f>IF($E$4="Oui",0,IF($E$5="Oui",0,E13*$P13))</f>
        <v>0</v>
      </c>
      <c r="R13" s="855">
        <f t="shared" si="1"/>
        <v>0</v>
      </c>
      <c r="S13" s="855">
        <f t="shared" si="1"/>
        <v>0</v>
      </c>
      <c r="T13" s="855">
        <f t="shared" si="1"/>
        <v>0.48599999999999999</v>
      </c>
      <c r="U13" s="855">
        <f t="shared" si="1"/>
        <v>0</v>
      </c>
      <c r="V13" s="855">
        <f t="shared" si="1"/>
        <v>0</v>
      </c>
      <c r="W13" s="855">
        <f t="shared" si="1"/>
        <v>0</v>
      </c>
      <c r="X13" s="864">
        <f t="shared" si="1"/>
        <v>0.48599999999999999</v>
      </c>
      <c r="Y13" s="853">
        <f t="shared" si="1"/>
        <v>0</v>
      </c>
      <c r="Z13" s="858">
        <f t="shared" si="1"/>
        <v>0.28338426208948159</v>
      </c>
      <c r="AA13" s="857">
        <f t="shared" si="1"/>
        <v>0</v>
      </c>
    </row>
    <row r="14" spans="2:27">
      <c r="B14" s="3000"/>
      <c r="C14" s="3001" t="s">
        <v>726</v>
      </c>
      <c r="D14" s="3002"/>
      <c r="E14" s="881">
        <f t="shared" ref="E14:O14" si="2">SUM(E10:E13)</f>
        <v>302.94259600000004</v>
      </c>
      <c r="F14" s="881">
        <f t="shared" si="2"/>
        <v>0.23429999999999998</v>
      </c>
      <c r="G14" s="881">
        <f t="shared" si="2"/>
        <v>1.577381916</v>
      </c>
      <c r="H14" s="881">
        <f t="shared" si="2"/>
        <v>0.48599999999999999</v>
      </c>
      <c r="I14" s="881">
        <f t="shared" si="2"/>
        <v>0</v>
      </c>
      <c r="J14" s="881">
        <f t="shared" si="2"/>
        <v>0</v>
      </c>
      <c r="K14" s="881">
        <f t="shared" si="2"/>
        <v>0</v>
      </c>
      <c r="L14" s="881">
        <f t="shared" si="2"/>
        <v>305.24027791599997</v>
      </c>
      <c r="M14" s="882">
        <f t="shared" ca="1" si="2"/>
        <v>0</v>
      </c>
      <c r="N14" s="859">
        <f>SQRT(SUMSQ(N10:N13))</f>
        <v>14.751790734349781</v>
      </c>
      <c r="O14" s="884">
        <f t="shared" si="2"/>
        <v>0</v>
      </c>
      <c r="P14" s="88"/>
      <c r="Q14" s="852">
        <f t="shared" ref="Q14:AA14" si="3">SUM(Q10:Q13)</f>
        <v>302.94259600000004</v>
      </c>
      <c r="R14" s="852">
        <f t="shared" si="3"/>
        <v>0.23429999999999998</v>
      </c>
      <c r="S14" s="852">
        <f t="shared" si="3"/>
        <v>1.577381916</v>
      </c>
      <c r="T14" s="852">
        <f t="shared" si="3"/>
        <v>0.48599999999999999</v>
      </c>
      <c r="U14" s="852">
        <f t="shared" si="3"/>
        <v>0</v>
      </c>
      <c r="V14" s="852">
        <f t="shared" si="3"/>
        <v>0</v>
      </c>
      <c r="W14" s="852">
        <f t="shared" si="3"/>
        <v>0</v>
      </c>
      <c r="X14" s="852">
        <f t="shared" si="3"/>
        <v>305.24027791599997</v>
      </c>
      <c r="Y14" s="863">
        <f t="shared" ca="1" si="3"/>
        <v>0</v>
      </c>
      <c r="Z14" s="859">
        <f>SQRT(SUMSQ(Z10:Z13))</f>
        <v>14.751790734349781</v>
      </c>
      <c r="AA14" s="860">
        <f t="shared" si="3"/>
        <v>0</v>
      </c>
    </row>
    <row r="15" spans="2:27" ht="12.75" customHeight="1">
      <c r="B15" s="2998" t="s">
        <v>759</v>
      </c>
      <c r="C15" s="875" t="s">
        <v>731</v>
      </c>
      <c r="D15" s="876" t="s">
        <v>464</v>
      </c>
      <c r="E15" s="920">
        <f>('Energie 1'!E262+'Energie 2'!E262+'Hors énergie 1'!E159+'Hors énergie 2'!E159+'Intrants 1'!E379+'Intrants 2'!E377+'Futurs emballages'!E139+Fret!E680+Déplacements!E534+'Déchets directs'!E287+Immobilisations!E324+Utilisation!E183+'Fin de vie'!E314)/1000</f>
        <v>19.289968500000001</v>
      </c>
      <c r="F15" s="920">
        <f>('Energie 1'!F262+'Energie 2'!F262+'Hors énergie 1'!F159+'Hors énergie 2'!F159+'Intrants 1'!F379+'Intrants 2'!F377+'Futurs emballages'!F139+Fret!F680+Déplacements!F534+'Déchets directs'!F287+Immobilisations!F324+Utilisation!F183+'Fin de vie'!F314)/1000</f>
        <v>0</v>
      </c>
      <c r="G15" s="920">
        <f>('Energie 1'!G262+'Energie 2'!G262+'Hors énergie 1'!G159+'Hors énergie 2'!G159+'Intrants 1'!G379+'Intrants 2'!G377+'Futurs emballages'!G139+Fret!G680+Déplacements!G534+'Déchets directs'!G287+Immobilisations!G324+Utilisation!G183+'Fin de vie'!G314)/1000</f>
        <v>0</v>
      </c>
      <c r="H15" s="920">
        <f>('Energie 1'!H262+'Energie 2'!H262+'Hors énergie 1'!H159+'Hors énergie 2'!H159+'Intrants 1'!H379+'Intrants 2'!H377+'Futurs emballages'!H139+Fret!H680+Déplacements!H534+'Déchets directs'!H287+Immobilisations!H324+Utilisation!H183+'Fin de vie'!H314)/1000</f>
        <v>0</v>
      </c>
      <c r="I15" s="920">
        <f>('Energie 1'!I262+'Energie 2'!I262+'Hors énergie 1'!I159+'Hors énergie 2'!I159+'Intrants 1'!I379+'Intrants 2'!I377+'Futurs emballages'!I139+Fret!I680+Déplacements!I534+'Déchets directs'!I287+Immobilisations!I324+Utilisation!I183+'Fin de vie'!I314)/1000</f>
        <v>0</v>
      </c>
      <c r="J15" s="920">
        <f>('Energie 1'!J262+'Energie 2'!J262+'Hors énergie 1'!J159+'Hors énergie 2'!J159+'Intrants 1'!J379+'Intrants 2'!J377+'Futurs emballages'!J139+Fret!J680+Déplacements!J534+'Déchets directs'!J287+Immobilisations!J324+Utilisation!J183+'Fin de vie'!J314)/1000</f>
        <v>0</v>
      </c>
      <c r="K15" s="920">
        <f>('Energie 1'!K262+'Energie 2'!K262+'Hors énergie 1'!K159+'Hors énergie 2'!K159+'Intrants 1'!K379+'Intrants 2'!K377+'Futurs emballages'!K139+Fret!K680+Déplacements!K534+'Déchets directs'!K287+Immobilisations!K324+Utilisation!K183+'Fin de vie'!K314)/1000</f>
        <v>0</v>
      </c>
      <c r="L15" s="878">
        <f>('Energie 1'!L262+'Energie 2'!L262+'Hors énergie 1'!L159+'Hors énergie 2'!L159+'Intrants 1'!L379+'Intrants 2'!L377+'Futurs emballages'!L139+Fret!L680+Déplacements!L534+'Déchets directs'!L287+Immobilisations!L324+Utilisation!L183+'Fin de vie'!L314)/1000</f>
        <v>19.289968500000001</v>
      </c>
      <c r="M15" s="922">
        <f>('Energie 1'!M262+'Energie 2'!M262+'Hors énergie 1'!M159+'Hors énergie 2'!M159+'Intrants 1'!M379+'Intrants 2'!M377+'Futurs emballages'!M139+Fret!M680+Déplacements!M534+'Déchets directs'!M287+Immobilisations!M324+Utilisation!M183+'Fin de vie'!M314)/1000</f>
        <v>0</v>
      </c>
      <c r="N15" s="858">
        <f>SQRT('Energie 1'!N262^2+'Energie 2'!N262^2+'Hors énergie 1'!N159^2+'Hors énergie 2'!N159^2+'Intrants 1'!N379^2+'Intrants 2'!N377^2+'Futurs emballages'!N139^2+Fret!N680^2+Déplacements!N534^2+'Déchets directs'!N287^2+Immobilisations!N324^2+Utilisation!N183^2+'Fin de vie'!N314^2)/1000</f>
        <v>1.9289968500000001</v>
      </c>
      <c r="O15" s="880">
        <f>('Energie 1'!O262+'Energie 2'!O262+'Hors énergie 1'!O159+'Hors énergie 2'!O159+'Intrants 1'!O379+'Intrants 2'!O377+'Futurs emballages'!O139+Fret!O680+Déplacements!O534+'Déchets directs'!O287+Immobilisations!O324+Utilisation!O183+'Fin de vie'!O314)/1000</f>
        <v>0</v>
      </c>
      <c r="P15" s="88">
        <v>1</v>
      </c>
      <c r="Q15" s="924">
        <f>IF($E$4="Oui",0,IF($E$5="Oui",0,E15*$P15))</f>
        <v>19.289968500000001</v>
      </c>
      <c r="R15" s="924">
        <f t="shared" ref="Q15:AA16" si="4">IF($E$4="Oui",0,IF($E$5="Oui",0,F15*$P15))</f>
        <v>0</v>
      </c>
      <c r="S15" s="924">
        <f t="shared" si="4"/>
        <v>0</v>
      </c>
      <c r="T15" s="924">
        <f t="shared" si="4"/>
        <v>0</v>
      </c>
      <c r="U15" s="924">
        <f t="shared" si="4"/>
        <v>0</v>
      </c>
      <c r="V15" s="924">
        <f t="shared" si="4"/>
        <v>0</v>
      </c>
      <c r="W15" s="924">
        <f t="shared" si="4"/>
        <v>0</v>
      </c>
      <c r="X15" s="864">
        <f t="shared" si="4"/>
        <v>19.289968500000001</v>
      </c>
      <c r="Y15" s="926">
        <f t="shared" si="4"/>
        <v>0</v>
      </c>
      <c r="Z15" s="858">
        <f t="shared" si="4"/>
        <v>1.9289968500000001</v>
      </c>
      <c r="AA15" s="856">
        <f t="shared" si="4"/>
        <v>0</v>
      </c>
    </row>
    <row r="16" spans="2:27" ht="12.75" customHeight="1">
      <c r="B16" s="2999"/>
      <c r="C16" s="875" t="s">
        <v>732</v>
      </c>
      <c r="D16" s="885" t="s">
        <v>465</v>
      </c>
      <c r="E16" s="920">
        <f>('Energie 1'!E263+'Energie 2'!E263+'Hors énergie 1'!E160+'Hors énergie 2'!E160+'Intrants 1'!E380+'Intrants 2'!E378+'Futurs emballages'!E140+Fret!E681+Déplacements!E535+'Déchets directs'!E288+Immobilisations!E325+Utilisation!E184+'Fin de vie'!E315)/1000</f>
        <v>0</v>
      </c>
      <c r="F16" s="920">
        <f>('Energie 1'!F263+'Energie 2'!F263+'Hors énergie 1'!F160+'Hors énergie 2'!F160+'Intrants 1'!F380+'Intrants 2'!F378+'Futurs emballages'!F140+Fret!F681+Déplacements!F535+'Déchets directs'!F288+Immobilisations!F325+Utilisation!F184+'Fin de vie'!F315)/1000</f>
        <v>0</v>
      </c>
      <c r="G16" s="920">
        <f>('Energie 1'!G263+'Energie 2'!G263+'Hors énergie 1'!G160+'Hors énergie 2'!G160+'Intrants 1'!G380+'Intrants 2'!G378+'Futurs emballages'!G140+Fret!G681+Déplacements!G535+'Déchets directs'!G288+Immobilisations!G325+Utilisation!G184+'Fin de vie'!G315)/1000</f>
        <v>0</v>
      </c>
      <c r="H16" s="920">
        <f>('Energie 1'!H263+'Energie 2'!H263+'Hors énergie 1'!H160+'Hors énergie 2'!H160+'Intrants 1'!H380+'Intrants 2'!H378+'Futurs emballages'!H140+Fret!H681+Déplacements!H535+'Déchets directs'!H288+Immobilisations!H325+Utilisation!H184+'Fin de vie'!H315)/1000</f>
        <v>0</v>
      </c>
      <c r="I16" s="920">
        <f>('Energie 1'!I263+'Energie 2'!I263+'Hors énergie 1'!I160+'Hors énergie 2'!I160+'Intrants 1'!I380+'Intrants 2'!I378+'Futurs emballages'!I140+Fret!I681+Déplacements!I535+'Déchets directs'!I288+Immobilisations!I325+Utilisation!I184+'Fin de vie'!I315)/1000</f>
        <v>0</v>
      </c>
      <c r="J16" s="920">
        <f>('Energie 1'!J263+'Energie 2'!J263+'Hors énergie 1'!J160+'Hors énergie 2'!J160+'Intrants 1'!J380+'Intrants 2'!J378+'Futurs emballages'!J140+Fret!J681+Déplacements!J535+'Déchets directs'!J288+Immobilisations!J325+Utilisation!J184+'Fin de vie'!J315)/1000</f>
        <v>0</v>
      </c>
      <c r="K16" s="920">
        <f>('Energie 1'!K263+'Energie 2'!K263+'Hors énergie 1'!K160+'Hors énergie 2'!K160+'Intrants 1'!K380+'Intrants 2'!K378+'Futurs emballages'!K140+Fret!K681+Déplacements!K535+'Déchets directs'!K288+Immobilisations!K325+Utilisation!K184+'Fin de vie'!K315)/1000</f>
        <v>0</v>
      </c>
      <c r="L16" s="878">
        <f>('Energie 1'!L263+'Energie 2'!L263+'Hors énergie 1'!L160+'Hors énergie 2'!L160+'Intrants 1'!L380+'Intrants 2'!L378+'Futurs emballages'!L140+Fret!L681+Déplacements!L535+'Déchets directs'!L288+Immobilisations!L325+Utilisation!L184+'Fin de vie'!L315)/1000</f>
        <v>0</v>
      </c>
      <c r="M16" s="922">
        <f>('Energie 1'!M263+'Energie 2'!M263+'Hors énergie 1'!M160+'Hors énergie 2'!M160+'Intrants 1'!M380+'Intrants 2'!M378+'Futurs emballages'!M140+Fret!M681+Déplacements!M535+'Déchets directs'!M288+Immobilisations!M325+Utilisation!M184+'Fin de vie'!M315)/1000</f>
        <v>0</v>
      </c>
      <c r="N16" s="858">
        <f>SQRT('Energie 1'!N263^2+'Energie 2'!N263^2+'Hors énergie 1'!N160^2+'Hors énergie 2'!N160^2+'Intrants 1'!N380^2+'Intrants 2'!N378^2+'Futurs emballages'!N140^2+Fret!N681^2+Déplacements!N535^2+'Déchets directs'!N288^2+Immobilisations!N325^2+Utilisation!N184^2+'Fin de vie'!N315^2)/1000</f>
        <v>0</v>
      </c>
      <c r="O16" s="880">
        <f>('Energie 1'!O263+'Energie 2'!O263+'Hors énergie 1'!O160+'Hors énergie 2'!O160+'Intrants 1'!O380+'Intrants 2'!O378+'Futurs emballages'!O140+Fret!O681+Déplacements!O535+'Déchets directs'!O288+Immobilisations!O325+Utilisation!O184+'Fin de vie'!O315)/1000</f>
        <v>0</v>
      </c>
      <c r="P16" s="88">
        <v>1</v>
      </c>
      <c r="Q16" s="924">
        <f t="shared" si="4"/>
        <v>0</v>
      </c>
      <c r="R16" s="924">
        <f t="shared" si="4"/>
        <v>0</v>
      </c>
      <c r="S16" s="924">
        <f t="shared" si="4"/>
        <v>0</v>
      </c>
      <c r="T16" s="924">
        <f t="shared" si="4"/>
        <v>0</v>
      </c>
      <c r="U16" s="924">
        <f t="shared" si="4"/>
        <v>0</v>
      </c>
      <c r="V16" s="924">
        <f t="shared" si="4"/>
        <v>0</v>
      </c>
      <c r="W16" s="924">
        <f t="shared" si="4"/>
        <v>0</v>
      </c>
      <c r="X16" s="864">
        <f t="shared" si="4"/>
        <v>0</v>
      </c>
      <c r="Y16" s="926">
        <f t="shared" si="4"/>
        <v>0</v>
      </c>
      <c r="Z16" s="858">
        <f t="shared" si="4"/>
        <v>0</v>
      </c>
      <c r="AA16" s="856">
        <f t="shared" si="4"/>
        <v>0</v>
      </c>
    </row>
    <row r="17" spans="2:27">
      <c r="B17" s="3000"/>
      <c r="C17" s="3001" t="s">
        <v>725</v>
      </c>
      <c r="D17" s="3002"/>
      <c r="E17" s="921">
        <f t="shared" ref="E17:L17" si="5">SUM(E15:E16)</f>
        <v>19.289968500000001</v>
      </c>
      <c r="F17" s="921">
        <f t="shared" si="5"/>
        <v>0</v>
      </c>
      <c r="G17" s="921">
        <f t="shared" si="5"/>
        <v>0</v>
      </c>
      <c r="H17" s="921">
        <f t="shared" si="5"/>
        <v>0</v>
      </c>
      <c r="I17" s="921">
        <f t="shared" si="5"/>
        <v>0</v>
      </c>
      <c r="J17" s="921">
        <f t="shared" si="5"/>
        <v>0</v>
      </c>
      <c r="K17" s="921">
        <f t="shared" si="5"/>
        <v>0</v>
      </c>
      <c r="L17" s="881">
        <f t="shared" si="5"/>
        <v>19.289968500000001</v>
      </c>
      <c r="M17" s="923">
        <f>SUM(M15:M16)</f>
        <v>0</v>
      </c>
      <c r="N17" s="859">
        <f>SQRT(SUMSQ(N15:N16))</f>
        <v>1.9289968500000001</v>
      </c>
      <c r="O17" s="884">
        <f>SUM(O15:O16)</f>
        <v>0</v>
      </c>
      <c r="P17" s="870"/>
      <c r="Q17" s="925">
        <f t="shared" ref="Q17:X17" si="6">SUM(Q15:Q16)</f>
        <v>19.289968500000001</v>
      </c>
      <c r="R17" s="925">
        <f t="shared" si="6"/>
        <v>0</v>
      </c>
      <c r="S17" s="925">
        <f t="shared" si="6"/>
        <v>0</v>
      </c>
      <c r="T17" s="925">
        <f t="shared" si="6"/>
        <v>0</v>
      </c>
      <c r="U17" s="925">
        <f t="shared" si="6"/>
        <v>0</v>
      </c>
      <c r="V17" s="925">
        <f t="shared" si="6"/>
        <v>0</v>
      </c>
      <c r="W17" s="925">
        <f t="shared" si="6"/>
        <v>0</v>
      </c>
      <c r="X17" s="852">
        <f t="shared" si="6"/>
        <v>19.289968500000001</v>
      </c>
      <c r="Y17" s="927">
        <f>SUM(Y15:Y16)</f>
        <v>0</v>
      </c>
      <c r="Z17" s="859">
        <f>SQRT(SUMSQ(Z15:Z16))</f>
        <v>1.9289968500000001</v>
      </c>
      <c r="AA17" s="860">
        <f>SUM(AA15:AA16)</f>
        <v>0</v>
      </c>
    </row>
    <row r="18" spans="2:27" ht="12.75" customHeight="1">
      <c r="B18" s="2998" t="s">
        <v>760</v>
      </c>
      <c r="C18" s="3003" t="s">
        <v>757</v>
      </c>
      <c r="D18" s="3004"/>
      <c r="E18" s="3004"/>
      <c r="F18" s="3004"/>
      <c r="G18" s="3004"/>
      <c r="H18" s="3004"/>
      <c r="I18" s="3004"/>
      <c r="J18" s="3004"/>
      <c r="K18" s="3004"/>
      <c r="L18" s="3004"/>
      <c r="M18" s="3004"/>
      <c r="N18" s="3004"/>
      <c r="O18" s="3005"/>
      <c r="P18" s="871"/>
      <c r="Q18" s="2713"/>
      <c r="R18" s="2714"/>
      <c r="S18" s="2714"/>
      <c r="T18" s="2714"/>
      <c r="U18" s="2714"/>
      <c r="V18" s="2714"/>
      <c r="W18" s="2714"/>
      <c r="X18" s="2714"/>
      <c r="Y18" s="2714"/>
      <c r="Z18" s="2714"/>
      <c r="AA18" s="2715"/>
    </row>
    <row r="19" spans="2:27" ht="12.75" customHeight="1">
      <c r="B19" s="2999"/>
      <c r="C19" s="875" t="s">
        <v>741</v>
      </c>
      <c r="D19" s="876" t="s">
        <v>733</v>
      </c>
      <c r="E19" s="920">
        <f>('Energie 1'!E266+'Energie 2'!E266+'Hors énergie 1'!E163+'Hors énergie 2'!E163+'Intrants 1'!E383+'Intrants 2'!E381+'Futurs emballages'!E143+Fret!E684+Déplacements!E538+'Déchets directs'!E291+Immobilisations!E328+Utilisation!E187+'Fin de vie'!E318)/1000</f>
        <v>2816.2550000000001</v>
      </c>
      <c r="F19" s="920">
        <f>('Energie 1'!F266+'Energie 2'!F266+'Hors énergie 1'!F163+'Hors énergie 2'!F163+'Intrants 1'!F383+'Intrants 2'!F381+'Futurs emballages'!F143+Fret!F684+Déplacements!F538+'Déchets directs'!F291+Immobilisations!F328+Utilisation!F187+'Fin de vie'!F318)/1000</f>
        <v>0</v>
      </c>
      <c r="G19" s="920">
        <f>('Energie 1'!G266+'Energie 2'!G266+'Hors énergie 1'!G163+'Hors énergie 2'!G163+'Intrants 1'!G383+'Intrants 2'!G381+'Futurs emballages'!G143+Fret!G684+Déplacements!G538+'Déchets directs'!G291+Immobilisations!G328+Utilisation!G187+'Fin de vie'!G318)/1000</f>
        <v>0</v>
      </c>
      <c r="H19" s="920">
        <f>('Energie 1'!H266+'Energie 2'!H266+'Hors énergie 1'!H163+'Hors énergie 2'!H163+'Intrants 1'!H383+'Intrants 2'!H381+'Futurs emballages'!H143+Fret!H684+Déplacements!H538+'Déchets directs'!H291+Immobilisations!H328+Utilisation!H187+'Fin de vie'!H318)/1000</f>
        <v>0</v>
      </c>
      <c r="I19" s="920">
        <f>('Energie 1'!I266+'Energie 2'!I266+'Hors énergie 1'!I163+'Hors énergie 2'!I163+'Intrants 1'!I383+'Intrants 2'!I381+'Futurs emballages'!I143+Fret!I684+Déplacements!I538+'Déchets directs'!I291+Immobilisations!I328+Utilisation!I187+'Fin de vie'!I318)/1000</f>
        <v>0</v>
      </c>
      <c r="J19" s="920">
        <f>('Energie 1'!J266+'Energie 2'!J266+'Hors énergie 1'!J163+'Hors énergie 2'!J163+'Intrants 1'!J383+'Intrants 2'!J381+'Futurs emballages'!J143+Fret!J684+Déplacements!J538+'Déchets directs'!J291+Immobilisations!J328+Utilisation!J187+'Fin de vie'!J318)/1000</f>
        <v>0</v>
      </c>
      <c r="K19" s="920">
        <f>('Energie 1'!K266+'Energie 2'!K266+'Hors énergie 1'!K163+'Hors énergie 2'!K163+'Intrants 1'!K383+'Intrants 2'!K381+'Futurs emballages'!K143+Fret!K684+Déplacements!K538+'Déchets directs'!K291+Immobilisations!K328+Utilisation!K187+'Fin de vie'!K318)/1000</f>
        <v>0</v>
      </c>
      <c r="L19" s="878">
        <f>('Energie 1'!L266+'Energie 2'!L266+'Hors énergie 1'!L163+'Hors énergie 2'!L163+'Intrants 1'!L383+'Intrants 2'!L381+'Futurs emballages'!L143+Fret!L684+Déplacements!L538+'Déchets directs'!L291+Immobilisations!L328+Utilisation!L187+'Fin de vie'!L318)/1000</f>
        <v>2816.2550000000001</v>
      </c>
      <c r="M19" s="922">
        <f>('Energie 1'!M266+'Energie 2'!M266+'Hors énergie 1'!M163+'Hors énergie 2'!M163+'Intrants 1'!M383+'Intrants 2'!M381+'Futurs emballages'!M143+Fret!M684+Déplacements!M538+'Déchets directs'!M291+Immobilisations!M328+Utilisation!M187+'Fin de vie'!M318)/1000</f>
        <v>0</v>
      </c>
      <c r="N19" s="858">
        <f>SQRT('Energie 1'!N266^2+'Energie 2'!N266^2+'Hors énergie 1'!N163^2+'Hors énergie 2'!N163^2+'Intrants 1'!N383^2+'Intrants 2'!N381^2+'Futurs emballages'!N143^2+Fret!N684^2+Déplacements!N538^2+'Déchets directs'!N291^2+Immobilisations!N328^2+Utilisation!N187^2+'Fin de vie'!N318^2)/1000</f>
        <v>385.61330974662957</v>
      </c>
      <c r="O19" s="880">
        <f>('Energie 1'!O266+'Energie 2'!O266+'Hors énergie 1'!O163+'Hors énergie 2'!O163+'Intrants 1'!O383+'Intrants 2'!O381+'Futurs emballages'!O143+Fret!O684+Déplacements!O538+'Déchets directs'!O291+Immobilisations!O328+Utilisation!O187+'Fin de vie'!O318)/1000</f>
        <v>0</v>
      </c>
      <c r="P19" s="88">
        <v>1</v>
      </c>
      <c r="Q19" s="924">
        <f>IF($E$4="Oui",0,IF($E$5="Oui",SUMPRODUCT(E10:E13,$P10:$P13)+SUMPRODUCT(E15:E16,$P15:$P16),E19*$P19))</f>
        <v>2816.2550000000001</v>
      </c>
      <c r="R19" s="924">
        <f t="shared" ref="R19:AA19" si="7">IF($E$4="Oui",0,IF($E$5="Oui",SUMPRODUCT(F10:F13,$P10:$P13)+SUMPRODUCT(F15:F16,$P15:$P16),F19*$P19))</f>
        <v>0</v>
      </c>
      <c r="S19" s="924">
        <f t="shared" si="7"/>
        <v>0</v>
      </c>
      <c r="T19" s="924">
        <f t="shared" si="7"/>
        <v>0</v>
      </c>
      <c r="U19" s="924">
        <f t="shared" si="7"/>
        <v>0</v>
      </c>
      <c r="V19" s="924">
        <f t="shared" si="7"/>
        <v>0</v>
      </c>
      <c r="W19" s="924">
        <f t="shared" si="7"/>
        <v>0</v>
      </c>
      <c r="X19" s="864">
        <f t="shared" si="7"/>
        <v>2816.2550000000001</v>
      </c>
      <c r="Y19" s="926">
        <f>IF($E$4="Oui",0,IF($E$5="Oui",SUMPRODUCT(M10:M13,$P10:$P13)+SUMPRODUCT(M15:M16,$P15:$P16),M19*$P19))</f>
        <v>0</v>
      </c>
      <c r="Z19" s="858">
        <f>IF($E$4="Oui",0,IF($E$5="Oui",SUMPRODUCT(N10:N13,$P10:$P13)+SUMPRODUCT(N15:N16,$P15:$P16),N19*$P19))</f>
        <v>385.61330974662957</v>
      </c>
      <c r="AA19" s="856">
        <f t="shared" si="7"/>
        <v>0</v>
      </c>
    </row>
    <row r="20" spans="2:27" ht="12.75" customHeight="1">
      <c r="B20" s="2999"/>
      <c r="C20" s="875" t="s">
        <v>742</v>
      </c>
      <c r="D20" s="876" t="s">
        <v>734</v>
      </c>
      <c r="E20" s="920">
        <f>('Energie 1'!E267+'Energie 2'!E267+'Hors énergie 1'!E164+'Hors énergie 2'!E164+'Intrants 1'!E384+'Intrants 2'!E382+'Futurs emballages'!E144+Fret!E685+Déplacements!E539+'Déchets directs'!E292+Immobilisations!E329+Utilisation!E188+'Fin de vie'!E319)/1000</f>
        <v>0</v>
      </c>
      <c r="F20" s="920">
        <f>('Energie 1'!F267+'Energie 2'!F267+'Hors énergie 1'!F164+'Hors énergie 2'!F164+'Intrants 1'!F384+'Intrants 2'!F382+'Futurs emballages'!F144+Fret!F685+Déplacements!F539+'Déchets directs'!F292+Immobilisations!F329+Utilisation!F188+'Fin de vie'!F319)/1000</f>
        <v>0</v>
      </c>
      <c r="G20" s="920">
        <f>('Energie 1'!G267+'Energie 2'!G267+'Hors énergie 1'!G164+'Hors énergie 2'!G164+'Intrants 1'!G384+'Intrants 2'!G382+'Futurs emballages'!G144+Fret!G685+Déplacements!G539+'Déchets directs'!G292+Immobilisations!G329+Utilisation!G188+'Fin de vie'!G319)/1000</f>
        <v>0</v>
      </c>
      <c r="H20" s="920">
        <f>('Energie 1'!H267+'Energie 2'!H267+'Hors énergie 1'!H164+'Hors énergie 2'!H164+'Intrants 1'!H384+'Intrants 2'!H382+'Futurs emballages'!H144+Fret!H685+Déplacements!H539+'Déchets directs'!H292+Immobilisations!H329+Utilisation!H188+'Fin de vie'!H319)/1000</f>
        <v>0</v>
      </c>
      <c r="I20" s="920">
        <f>('Energie 1'!I267+'Energie 2'!I267+'Hors énergie 1'!I164+'Hors énergie 2'!I164+'Intrants 1'!I384+'Intrants 2'!I382+'Futurs emballages'!I144+Fret!I685+Déplacements!I539+'Déchets directs'!I292+Immobilisations!I329+Utilisation!I188+'Fin de vie'!I319)/1000</f>
        <v>0</v>
      </c>
      <c r="J20" s="920">
        <f>('Energie 1'!J267+'Energie 2'!J267+'Hors énergie 1'!J164+'Hors énergie 2'!J164+'Intrants 1'!J384+'Intrants 2'!J382+'Futurs emballages'!J144+Fret!J685+Déplacements!J539+'Déchets directs'!J292+Immobilisations!J329+Utilisation!J188+'Fin de vie'!J319)/1000</f>
        <v>0</v>
      </c>
      <c r="K20" s="920">
        <f>('Energie 1'!K267+'Energie 2'!K267+'Hors énergie 1'!K164+'Hors énergie 2'!K164+'Intrants 1'!K384+'Intrants 2'!K382+'Futurs emballages'!K144+Fret!K685+Déplacements!K539+'Déchets directs'!K292+Immobilisations!K329+Utilisation!K188+'Fin de vie'!K319)/1000</f>
        <v>0</v>
      </c>
      <c r="L20" s="878">
        <f>('Energie 1'!L267+'Energie 2'!L267+'Hors énergie 1'!L164+'Hors énergie 2'!L164+'Intrants 1'!L384+'Intrants 2'!L382+'Futurs emballages'!L144+Fret!L685+Déplacements!L539+'Déchets directs'!L292+Immobilisations!L329+Utilisation!L188+'Fin de vie'!L319)/1000</f>
        <v>0</v>
      </c>
      <c r="M20" s="922">
        <f>('Energie 1'!M267+'Energie 2'!M267+'Hors énergie 1'!M164+'Hors énergie 2'!M164+'Intrants 1'!M384+'Intrants 2'!M382+'Futurs emballages'!M144+Fret!M685+Déplacements!M539+'Déchets directs'!M292+Immobilisations!M329+Utilisation!M188+'Fin de vie'!M319)/1000</f>
        <v>0</v>
      </c>
      <c r="N20" s="858">
        <f>SQRT('Energie 1'!N267^2+'Energie 2'!N267^2+'Hors énergie 1'!N164^2+'Hors énergie 2'!N164^2+'Intrants 1'!N384^2+'Intrants 2'!N382^2+'Futurs emballages'!N144^2+Fret!N685^2+Déplacements!N539^2+'Déchets directs'!N292^2+Immobilisations!N329^2+Utilisation!N188^2+'Fin de vie'!N319^2)/1000</f>
        <v>12.133395140725817</v>
      </c>
      <c r="O20" s="880">
        <f>('Energie 1'!O267+'Energie 2'!O267+'Hors énergie 1'!O164+'Hors énergie 2'!O164+'Intrants 1'!O384+'Intrants 2'!O382+'Futurs emballages'!O144+Fret!O685+Déplacements!O539+'Déchets directs'!O292+Immobilisations!O329+Utilisation!O188+'Fin de vie'!O319)/1000</f>
        <v>0</v>
      </c>
      <c r="P20" s="88">
        <v>1</v>
      </c>
      <c r="Q20" s="924">
        <f>IF($E$4="Oui",0,IF($E$5="Oui",0,E20*$P20))</f>
        <v>0</v>
      </c>
      <c r="R20" s="924">
        <f t="shared" ref="R20:AA20" si="8">IF($E$4="Oui",0,IF($E$5="Oui",0,F20*$P20))</f>
        <v>0</v>
      </c>
      <c r="S20" s="924">
        <f t="shared" si="8"/>
        <v>0</v>
      </c>
      <c r="T20" s="924">
        <f t="shared" si="8"/>
        <v>0</v>
      </c>
      <c r="U20" s="924">
        <f t="shared" si="8"/>
        <v>0</v>
      </c>
      <c r="V20" s="924">
        <f t="shared" si="8"/>
        <v>0</v>
      </c>
      <c r="W20" s="924">
        <f t="shared" si="8"/>
        <v>0</v>
      </c>
      <c r="X20" s="864">
        <f t="shared" si="8"/>
        <v>0</v>
      </c>
      <c r="Y20" s="926">
        <f t="shared" si="8"/>
        <v>0</v>
      </c>
      <c r="Z20" s="858">
        <f t="shared" si="8"/>
        <v>12.133395140725817</v>
      </c>
      <c r="AA20" s="856">
        <f t="shared" si="8"/>
        <v>0</v>
      </c>
    </row>
    <row r="21" spans="2:27">
      <c r="B21" s="2999"/>
      <c r="C21" s="875" t="s">
        <v>743</v>
      </c>
      <c r="D21" s="885" t="s">
        <v>735</v>
      </c>
      <c r="E21" s="920">
        <f>('Energie 1'!E268+'Energie 2'!E268+'Hors énergie 1'!E165+'Hors énergie 2'!E165+'Intrants 1'!E385+'Intrants 2'!E383+'Futurs emballages'!E145+Fret!E686+Déplacements!E540+'Déchets directs'!E293+Immobilisations!E330+Utilisation!E189+'Fin de vie'!E320)/1000</f>
        <v>67.500735599999999</v>
      </c>
      <c r="F21" s="920">
        <f>('Energie 1'!F268+'Energie 2'!F268+'Hors énergie 1'!F165+'Hors énergie 2'!F165+'Intrants 1'!F385+'Intrants 2'!F383+'Futurs emballages'!F145+Fret!F686+Déplacements!F540+'Déchets directs'!F293+Immobilisations!F330+Utilisation!F189+'Fin de vie'!F320)/1000</f>
        <v>5.8653745920000002</v>
      </c>
      <c r="G21" s="920">
        <f>('Energie 1'!G268+'Energie 2'!G268+'Hors énergie 1'!G165+'Hors énergie 2'!G165+'Intrants 1'!G385+'Intrants 2'!G383+'Futurs emballages'!G145+Fret!G686+Déplacements!G540+'Déchets directs'!G293+Immobilisations!G330+Utilisation!G189+'Fin de vie'!G320)/1000</f>
        <v>1.465662E-2</v>
      </c>
      <c r="H21" s="920">
        <f>('Energie 1'!H268+'Energie 2'!H268+'Hors énergie 1'!H165+'Hors énergie 2'!H165+'Intrants 1'!H385+'Intrants 2'!H383+'Futurs emballages'!H145+Fret!H686+Déplacements!H540+'Déchets directs'!H293+Immobilisations!H330+Utilisation!H189+'Fin de vie'!H320)/1000</f>
        <v>0</v>
      </c>
      <c r="I21" s="920">
        <f>('Energie 1'!I268+'Energie 2'!I268+'Hors énergie 1'!I165+'Hors énergie 2'!I165+'Intrants 1'!I385+'Intrants 2'!I383+'Futurs emballages'!I145+Fret!I686+Déplacements!I540+'Déchets directs'!I293+Immobilisations!I330+Utilisation!I189+'Fin de vie'!I320)/1000</f>
        <v>0</v>
      </c>
      <c r="J21" s="920">
        <f>('Energie 1'!J268+'Energie 2'!J268+'Hors énergie 1'!J165+'Hors énergie 2'!J165+'Intrants 1'!J385+'Intrants 2'!J383+'Futurs emballages'!J145+Fret!J686+Déplacements!J540+'Déchets directs'!J293+Immobilisations!J330+Utilisation!J189+'Fin de vie'!J320)/1000</f>
        <v>0</v>
      </c>
      <c r="K21" s="920">
        <f>('Energie 1'!K268+'Energie 2'!K268+'Hors énergie 1'!K165+'Hors énergie 2'!K165+'Intrants 1'!K385+'Intrants 2'!K383+'Futurs emballages'!K145+Fret!K686+Déplacements!K540+'Déchets directs'!K293+Immobilisations!K330+Utilisation!K189+'Fin de vie'!K320)/1000</f>
        <v>0.68028840000000002</v>
      </c>
      <c r="L21" s="878">
        <f>('Energie 1'!L268+'Energie 2'!L268+'Hors énergie 1'!L165+'Hors énergie 2'!L165+'Intrants 1'!L385+'Intrants 2'!L383+'Futurs emballages'!L145+Fret!L686+Déplacements!L540+'Déchets directs'!L293+Immobilisations!L330+Utilisation!L189+'Fin de vie'!L320)/1000</f>
        <v>74.061055211999985</v>
      </c>
      <c r="M21" s="922">
        <f>('Energie 1'!M268+'Energie 2'!M268+'Hors énergie 1'!M165+'Hors énergie 2'!M165+'Intrants 1'!M385+'Intrants 2'!M383+'Futurs emballages'!M145+Fret!M686+Déplacements!M540+'Déchets directs'!M293+Immobilisations!M330+Utilisation!M189+'Fin de vie'!M320)/1000</f>
        <v>0</v>
      </c>
      <c r="N21" s="858">
        <f>SQRT('Energie 1'!N268^2+'Energie 2'!N268^2+'Hors énergie 1'!N165^2+'Hors énergie 2'!N165^2+'Intrants 1'!N385^2+'Intrants 2'!N383^2+'Futurs emballages'!N145^2+Fret!N686^2+Déplacements!N540^2+'Déchets directs'!N293^2+Immobilisations!N330^2+Utilisation!N189^2+'Fin de vie'!N320^2)/1000</f>
        <v>3.2149156058606336</v>
      </c>
      <c r="O21" s="880">
        <f>('Energie 1'!O268+'Energie 2'!O268+'Hors énergie 1'!O165+'Hors énergie 2'!O165+'Intrants 1'!O385+'Intrants 2'!O383+'Futurs emballages'!O145+Fret!O686+Déplacements!O540+'Déchets directs'!O293+Immobilisations!O330+Utilisation!O189+'Fin de vie'!O320)/1000</f>
        <v>0</v>
      </c>
      <c r="P21" s="88">
        <v>1</v>
      </c>
      <c r="Q21" s="924">
        <f t="shared" ref="Q21:Q27" si="9">IF($E$4="Oui",0,IF($E$5="Oui",0,E21*$P21))</f>
        <v>67.500735599999999</v>
      </c>
      <c r="R21" s="924">
        <f t="shared" ref="R21:R27" si="10">IF($E$4="Oui",0,IF($E$5="Oui",0,F21*$P21))</f>
        <v>5.8653745920000002</v>
      </c>
      <c r="S21" s="924">
        <f t="shared" ref="S21:S27" si="11">IF($E$4="Oui",0,IF($E$5="Oui",0,G21*$P21))</f>
        <v>1.465662E-2</v>
      </c>
      <c r="T21" s="924">
        <f t="shared" ref="T21:T27" si="12">IF($E$4="Oui",0,IF($E$5="Oui",0,H21*$P21))</f>
        <v>0</v>
      </c>
      <c r="U21" s="924">
        <f t="shared" ref="U21:U27" si="13">IF($E$4="Oui",0,IF($E$5="Oui",0,I21*$P21))</f>
        <v>0</v>
      </c>
      <c r="V21" s="924">
        <f t="shared" ref="V21:V27" si="14">IF($E$4="Oui",0,IF($E$5="Oui",0,J21*$P21))</f>
        <v>0</v>
      </c>
      <c r="W21" s="924">
        <f t="shared" ref="W21:W27" si="15">IF($E$4="Oui",0,IF($E$5="Oui",0,K21*$P21))</f>
        <v>0.68028840000000002</v>
      </c>
      <c r="X21" s="864">
        <f t="shared" ref="X21:X27" si="16">IF($E$4="Oui",0,IF($E$5="Oui",0,L21*$P21))</f>
        <v>74.061055211999985</v>
      </c>
      <c r="Y21" s="926">
        <f t="shared" ref="Y21:Y27" si="17">IF($E$4="Oui",0,IF($E$5="Oui",0,M21*$P21))</f>
        <v>0</v>
      </c>
      <c r="Z21" s="858">
        <f t="shared" ref="Z21:Z27" si="18">IF($E$4="Oui",0,IF($E$5="Oui",0,N21*$P21))</f>
        <v>3.2149156058606336</v>
      </c>
      <c r="AA21" s="856">
        <f t="shared" ref="AA21:AA27" si="19">IF($E$4="Oui",0,IF($E$5="Oui",0,O21*$P21))</f>
        <v>0</v>
      </c>
    </row>
    <row r="22" spans="2:27" ht="12.75" customHeight="1">
      <c r="B22" s="2999"/>
      <c r="C22" s="875" t="s">
        <v>744</v>
      </c>
      <c r="D22" s="876" t="s">
        <v>815</v>
      </c>
      <c r="E22" s="920">
        <f>('Energie 1'!E269+'Energie 2'!E269+'Hors énergie 1'!E166+'Hors énergie 2'!E166+'Intrants 1'!E386+'Intrants 2'!E384+'Futurs emballages'!E146+Fret!E687+Déplacements!E541+'Déchets directs'!E294+Immobilisations!E331+Utilisation!E190+'Fin de vie'!E321)/1000</f>
        <v>295.73983500000003</v>
      </c>
      <c r="F22" s="920">
        <f>('Energie 1'!F269+'Energie 2'!F269+'Hors énergie 1'!F166+'Hors énergie 2'!F166+'Intrants 1'!F386+'Intrants 2'!F384+'Futurs emballages'!F146+Fret!F687+Déplacements!F541+'Déchets directs'!F294+Immobilisations!F331+Utilisation!F190+'Fin de vie'!F321)/1000</f>
        <v>0</v>
      </c>
      <c r="G22" s="920">
        <f>('Energie 1'!G269+'Energie 2'!G269+'Hors énergie 1'!G166+'Hors énergie 2'!G166+'Intrants 1'!G386+'Intrants 2'!G384+'Futurs emballages'!G146+Fret!G687+Déplacements!G541+'Déchets directs'!G294+Immobilisations!G331+Utilisation!G190+'Fin de vie'!G321)/1000</f>
        <v>0</v>
      </c>
      <c r="H22" s="920">
        <f>('Energie 1'!H269+'Energie 2'!H269+'Hors énergie 1'!H166+'Hors énergie 2'!H166+'Intrants 1'!H386+'Intrants 2'!H384+'Futurs emballages'!H146+Fret!H687+Déplacements!H541+'Déchets directs'!H294+Immobilisations!H331+Utilisation!H190+'Fin de vie'!H321)/1000</f>
        <v>0</v>
      </c>
      <c r="I22" s="920">
        <f>('Energie 1'!I269+'Energie 2'!I269+'Hors énergie 1'!I166+'Hors énergie 2'!I166+'Intrants 1'!I386+'Intrants 2'!I384+'Futurs emballages'!I146+Fret!I687+Déplacements!I541+'Déchets directs'!I294+Immobilisations!I331+Utilisation!I190+'Fin de vie'!I321)/1000</f>
        <v>0</v>
      </c>
      <c r="J22" s="920">
        <f>('Energie 1'!J269+'Energie 2'!J269+'Hors énergie 1'!J166+'Hors énergie 2'!J166+'Intrants 1'!J386+'Intrants 2'!J384+'Futurs emballages'!J146+Fret!J687+Déplacements!J541+'Déchets directs'!J294+Immobilisations!J331+Utilisation!J190+'Fin de vie'!J321)/1000</f>
        <v>0</v>
      </c>
      <c r="K22" s="920">
        <f>('Energie 1'!K269+'Energie 2'!K269+'Hors énergie 1'!K166+'Hors énergie 2'!K166+'Intrants 1'!K386+'Intrants 2'!K384+'Futurs emballages'!K146+Fret!K687+Déplacements!K541+'Déchets directs'!K294+Immobilisations!K331+Utilisation!K190+'Fin de vie'!K321)/1000</f>
        <v>0</v>
      </c>
      <c r="L22" s="878">
        <f>('Energie 1'!L269+'Energie 2'!L269+'Hors énergie 1'!L166+'Hors énergie 2'!L166+'Intrants 1'!L386+'Intrants 2'!L384+'Futurs emballages'!L146+Fret!L687+Déplacements!L541+'Déchets directs'!L294+Immobilisations!L331+Utilisation!L190+'Fin de vie'!L321)/1000</f>
        <v>295.73983500000003</v>
      </c>
      <c r="M22" s="922">
        <f ca="1">('Energie 1'!M269+'Energie 2'!M269+'Hors énergie 1'!M166+'Hors énergie 2'!M166+'Intrants 1'!M386+'Intrants 2'!M384+'Futurs emballages'!M146+Fret!M687+Déplacements!M541+'Déchets directs'!M294+Immobilisations!M331+Utilisation!M190+'Fin de vie'!M321)/1000</f>
        <v>0</v>
      </c>
      <c r="N22" s="858">
        <f>SQRT('Energie 1'!N269^2+'Energie 2'!N269^2+'Hors énergie 1'!N166^2+'Hors énergie 2'!N166^2+'Intrants 1'!N386^2+'Intrants 2'!N384^2+'Futurs emballages'!N146^2+Fret!N687^2+Déplacements!N541^2+'Déchets directs'!N294^2+Immobilisations!N331^2+Utilisation!N190^2+'Fin de vie'!N321^2)/1000</f>
        <v>80.538449101336724</v>
      </c>
      <c r="O22" s="880">
        <f>('Energie 1'!O269+'Energie 2'!O269+'Hors énergie 1'!O166+'Hors énergie 2'!O166+'Intrants 1'!O386+'Intrants 2'!O384+'Futurs emballages'!O146+Fret!O687+Déplacements!O541+'Déchets directs'!O294+Immobilisations!O331+Utilisation!O190+'Fin de vie'!O321)/1000</f>
        <v>0</v>
      </c>
      <c r="P22" s="88">
        <v>1</v>
      </c>
      <c r="Q22" s="924">
        <f t="shared" si="9"/>
        <v>295.73983500000003</v>
      </c>
      <c r="R22" s="924">
        <f t="shared" si="10"/>
        <v>0</v>
      </c>
      <c r="S22" s="924">
        <f t="shared" si="11"/>
        <v>0</v>
      </c>
      <c r="T22" s="924">
        <f t="shared" si="12"/>
        <v>0</v>
      </c>
      <c r="U22" s="924">
        <f t="shared" si="13"/>
        <v>0</v>
      </c>
      <c r="V22" s="924">
        <f t="shared" si="14"/>
        <v>0</v>
      </c>
      <c r="W22" s="924">
        <f t="shared" si="15"/>
        <v>0</v>
      </c>
      <c r="X22" s="864">
        <f t="shared" si="16"/>
        <v>295.73983500000003</v>
      </c>
      <c r="Y22" s="926">
        <f t="shared" ca="1" si="17"/>
        <v>0</v>
      </c>
      <c r="Z22" s="858">
        <f t="shared" si="18"/>
        <v>80.538449101336724</v>
      </c>
      <c r="AA22" s="856">
        <f t="shared" si="19"/>
        <v>0</v>
      </c>
    </row>
    <row r="23" spans="2:27" ht="12.75" customHeight="1">
      <c r="B23" s="2999"/>
      <c r="C23" s="875" t="s">
        <v>745</v>
      </c>
      <c r="D23" s="876" t="s">
        <v>736</v>
      </c>
      <c r="E23" s="920">
        <f>('Energie 1'!E270+'Energie 2'!E270+'Hors énergie 1'!E167+'Hors énergie 2'!E167+'Intrants 1'!E387+'Intrants 2'!E385+'Futurs emballages'!E147+Fret!E688+Déplacements!E542+'Déchets directs'!E295+Immobilisations!E332+Utilisation!E191+'Fin de vie'!E322)/1000</f>
        <v>39.17</v>
      </c>
      <c r="F23" s="920">
        <f>('Energie 1'!F270+'Energie 2'!F270+'Hors énergie 1'!F167+'Hors énergie 2'!F167+'Intrants 1'!F387+'Intrants 2'!F385+'Futurs emballages'!F147+Fret!F688+Déplacements!F542+'Déchets directs'!F295+Immobilisations!F332+Utilisation!F191+'Fin de vie'!F322)/1000</f>
        <v>0</v>
      </c>
      <c r="G23" s="920">
        <f>('Energie 1'!G270+'Energie 2'!G270+'Hors énergie 1'!G167+'Hors énergie 2'!G167+'Intrants 1'!G387+'Intrants 2'!G385+'Futurs emballages'!G147+Fret!G688+Déplacements!G542+'Déchets directs'!G295+Immobilisations!G332+Utilisation!G191+'Fin de vie'!G322)/1000</f>
        <v>0</v>
      </c>
      <c r="H23" s="920">
        <f>('Energie 1'!H270+'Energie 2'!H270+'Hors énergie 1'!H167+'Hors énergie 2'!H167+'Intrants 1'!H387+'Intrants 2'!H385+'Futurs emballages'!H147+Fret!H688+Déplacements!H542+'Déchets directs'!H295+Immobilisations!H332+Utilisation!H191+'Fin de vie'!H322)/1000</f>
        <v>0</v>
      </c>
      <c r="I23" s="920">
        <f>('Energie 1'!I270+'Energie 2'!I270+'Hors énergie 1'!I167+'Hors énergie 2'!I167+'Intrants 1'!I387+'Intrants 2'!I385+'Futurs emballages'!I147+Fret!I688+Déplacements!I542+'Déchets directs'!I295+Immobilisations!I332+Utilisation!I191+'Fin de vie'!I322)/1000</f>
        <v>0</v>
      </c>
      <c r="J23" s="920">
        <f>('Energie 1'!J270+'Energie 2'!J270+'Hors énergie 1'!J167+'Hors énergie 2'!J167+'Intrants 1'!J387+'Intrants 2'!J385+'Futurs emballages'!J147+Fret!J688+Déplacements!J542+'Déchets directs'!J295+Immobilisations!J332+Utilisation!J191+'Fin de vie'!J322)/1000</f>
        <v>0</v>
      </c>
      <c r="K23" s="920">
        <f>('Energie 1'!K270+'Energie 2'!K270+'Hors énergie 1'!K167+'Hors énergie 2'!K167+'Intrants 1'!K387+'Intrants 2'!K385+'Futurs emballages'!K147+Fret!K688+Déplacements!K542+'Déchets directs'!K295+Immobilisations!K332+Utilisation!K191+'Fin de vie'!K322)/1000</f>
        <v>0</v>
      </c>
      <c r="L23" s="878">
        <f>('Energie 1'!L270+'Energie 2'!L270+'Hors énergie 1'!L167+'Hors énergie 2'!L167+'Intrants 1'!L387+'Intrants 2'!L385+'Futurs emballages'!L147+Fret!L688+Déplacements!L542+'Déchets directs'!L295+Immobilisations!L332+Utilisation!L191+'Fin de vie'!L322)/1000</f>
        <v>39.17</v>
      </c>
      <c r="M23" s="922">
        <f>('Energie 1'!M270+'Energie 2'!M270+'Hors énergie 1'!M167+'Hors énergie 2'!M167+'Intrants 1'!M387+'Intrants 2'!M385+'Futurs emballages'!M147+Fret!M688+Déplacements!M542+'Déchets directs'!M295+Immobilisations!M332+Utilisation!M191+'Fin de vie'!M322)/1000</f>
        <v>0</v>
      </c>
      <c r="N23" s="858">
        <f>SQRT('Energie 1'!N270^2+'Energie 2'!N270^2+'Hors énergie 1'!N167^2+'Hors énergie 2'!N167^2+'Intrants 1'!N387^2+'Intrants 2'!N385^2+'Futurs emballages'!N147^2+Fret!N688^2+Déplacements!N542^2+'Déchets directs'!N295^2+Immobilisations!N332^2+Utilisation!N191^2+'Fin de vie'!N322^2)/1000</f>
        <v>5.911822318033586</v>
      </c>
      <c r="O23" s="880">
        <f>('Energie 1'!O270+'Energie 2'!O270+'Hors énergie 1'!O167+'Hors énergie 2'!O167+'Intrants 1'!O387+'Intrants 2'!O385+'Futurs emballages'!O147+Fret!O688+Déplacements!O542+'Déchets directs'!O295+Immobilisations!O332+Utilisation!O191+'Fin de vie'!O322)/1000</f>
        <v>0</v>
      </c>
      <c r="P23" s="88">
        <v>1</v>
      </c>
      <c r="Q23" s="924">
        <f t="shared" si="9"/>
        <v>39.17</v>
      </c>
      <c r="R23" s="924">
        <f t="shared" si="10"/>
        <v>0</v>
      </c>
      <c r="S23" s="924">
        <f t="shared" si="11"/>
        <v>0</v>
      </c>
      <c r="T23" s="924">
        <f t="shared" si="12"/>
        <v>0</v>
      </c>
      <c r="U23" s="924">
        <f t="shared" si="13"/>
        <v>0</v>
      </c>
      <c r="V23" s="924">
        <f t="shared" si="14"/>
        <v>0</v>
      </c>
      <c r="W23" s="924">
        <f t="shared" si="15"/>
        <v>0</v>
      </c>
      <c r="X23" s="864">
        <f t="shared" si="16"/>
        <v>39.17</v>
      </c>
      <c r="Y23" s="926">
        <f t="shared" si="17"/>
        <v>0</v>
      </c>
      <c r="Z23" s="858">
        <f t="shared" si="18"/>
        <v>5.911822318033586</v>
      </c>
      <c r="AA23" s="856">
        <f t="shared" si="19"/>
        <v>0</v>
      </c>
    </row>
    <row r="24" spans="2:27" ht="12.75" customHeight="1">
      <c r="B24" s="2999"/>
      <c r="C24" s="875" t="s">
        <v>746</v>
      </c>
      <c r="D24" s="876" t="s">
        <v>470</v>
      </c>
      <c r="E24" s="920">
        <f>('Energie 1'!E271+'Energie 2'!E271+'Hors énergie 1'!E168+'Hors énergie 2'!E168+'Intrants 1'!E388+'Intrants 2'!E386+'Futurs emballages'!E148+Fret!E689+Déplacements!E543+'Déchets directs'!E296+Immobilisations!E333+Utilisation!E192+'Fin de vie'!E323)/1000</f>
        <v>1.4468160000000001</v>
      </c>
      <c r="F24" s="920">
        <f>('Energie 1'!F271+'Energie 2'!F271+'Hors énergie 1'!F168+'Hors énergie 2'!F168+'Intrants 1'!F388+'Intrants 2'!F386+'Futurs emballages'!F148+Fret!F689+Déplacements!F543+'Déchets directs'!F296+Immobilisations!F333+Utilisation!F192+'Fin de vie'!F323)/1000</f>
        <v>1.3859999999999999E-2</v>
      </c>
      <c r="G24" s="920">
        <f>('Energie 1'!G271+'Energie 2'!G271+'Hors énergie 1'!G168+'Hors énergie 2'!G168+'Intrants 1'!G388+'Intrants 2'!G386+'Futurs emballages'!G148+Fret!G689+Déplacements!G543+'Déchets directs'!G296+Immobilisations!G333+Utilisation!G192+'Fin de vie'!G323)/1000</f>
        <v>1.7999999999999998E-4</v>
      </c>
      <c r="H24" s="920">
        <f>('Energie 1'!H271+'Energie 2'!H271+'Hors énergie 1'!H168+'Hors énergie 2'!H168+'Intrants 1'!H388+'Intrants 2'!H386+'Futurs emballages'!H148+Fret!H689+Déplacements!H543+'Déchets directs'!H296+Immobilisations!H333+Utilisation!H192+'Fin de vie'!H323)/1000</f>
        <v>0</v>
      </c>
      <c r="I24" s="920">
        <f>('Energie 1'!I271+'Energie 2'!I271+'Hors énergie 1'!I168+'Hors énergie 2'!I168+'Intrants 1'!I388+'Intrants 2'!I386+'Futurs emballages'!I148+Fret!I689+Déplacements!I543+'Déchets directs'!I296+Immobilisations!I333+Utilisation!I192+'Fin de vie'!I323)/1000</f>
        <v>0</v>
      </c>
      <c r="J24" s="920">
        <f>('Energie 1'!J271+'Energie 2'!J271+'Hors énergie 1'!J168+'Hors énergie 2'!J168+'Intrants 1'!J388+'Intrants 2'!J386+'Futurs emballages'!J148+Fret!J689+Déplacements!J543+'Déchets directs'!J296+Immobilisations!J333+Utilisation!J192+'Fin de vie'!J323)/1000</f>
        <v>0</v>
      </c>
      <c r="K24" s="920">
        <f>('Energie 1'!K271+'Energie 2'!K271+'Hors énergie 1'!K168+'Hors énergie 2'!K168+'Intrants 1'!K388+'Intrants 2'!K386+'Futurs emballages'!K148+Fret!K689+Déplacements!K543+'Déchets directs'!K296+Immobilisations!K333+Utilisation!K192+'Fin de vie'!K323)/1000</f>
        <v>2.0039999999999999E-2</v>
      </c>
      <c r="L24" s="878">
        <f>('Energie 1'!L271+'Energie 2'!L271+'Hors énergie 1'!L168+'Hors énergie 2'!L168+'Intrants 1'!L388+'Intrants 2'!L386+'Futurs emballages'!L148+Fret!L689+Déplacements!L543+'Déchets directs'!L296+Immobilisations!L333+Utilisation!L192+'Fin de vie'!L323)/1000</f>
        <v>1.480896</v>
      </c>
      <c r="M24" s="922">
        <f>('Energie 1'!M271+'Energie 2'!M271+'Hors énergie 1'!M168+'Hors énergie 2'!M168+'Intrants 1'!M388+'Intrants 2'!M386+'Futurs emballages'!M148+Fret!M689+Déplacements!M543+'Déchets directs'!M296+Immobilisations!M333+Utilisation!M192+'Fin de vie'!M323)/1000</f>
        <v>1.4507399999999999</v>
      </c>
      <c r="N24" s="858">
        <f>SQRT('Energie 1'!N271^2+'Energie 2'!N271^2+'Hors énergie 1'!N168^2+'Hors énergie 2'!N168^2+'Intrants 1'!N388^2+'Intrants 2'!N386^2+'Futurs emballages'!N148^2+Fret!N689^2+Déplacements!N543^2+'Déchets directs'!N296^2+Immobilisations!N333^2+Utilisation!N192^2+'Fin de vie'!N323^2)/1000</f>
        <v>0.85372128151185256</v>
      </c>
      <c r="O24" s="880">
        <f>('Energie 1'!O271+'Energie 2'!O271+'Hors énergie 1'!O168+'Hors énergie 2'!O168+'Intrants 1'!O388+'Intrants 2'!O386+'Futurs emballages'!O148+Fret!O689+Déplacements!O543+'Déchets directs'!O296+Immobilisations!O333+Utilisation!O192+'Fin de vie'!O323)/1000</f>
        <v>0</v>
      </c>
      <c r="P24" s="88">
        <v>1</v>
      </c>
      <c r="Q24" s="924">
        <f t="shared" si="9"/>
        <v>1.4468160000000001</v>
      </c>
      <c r="R24" s="924">
        <f t="shared" si="10"/>
        <v>1.3859999999999999E-2</v>
      </c>
      <c r="S24" s="924">
        <f t="shared" si="11"/>
        <v>1.7999999999999998E-4</v>
      </c>
      <c r="T24" s="924">
        <f t="shared" si="12"/>
        <v>0</v>
      </c>
      <c r="U24" s="924">
        <f t="shared" si="13"/>
        <v>0</v>
      </c>
      <c r="V24" s="924">
        <f t="shared" si="14"/>
        <v>0</v>
      </c>
      <c r="W24" s="924">
        <f t="shared" si="15"/>
        <v>2.0039999999999999E-2</v>
      </c>
      <c r="X24" s="864">
        <f t="shared" si="16"/>
        <v>1.480896</v>
      </c>
      <c r="Y24" s="926">
        <f t="shared" si="17"/>
        <v>1.4507399999999999</v>
      </c>
      <c r="Z24" s="858">
        <f t="shared" si="18"/>
        <v>0.85372128151185256</v>
      </c>
      <c r="AA24" s="856">
        <f t="shared" si="19"/>
        <v>0</v>
      </c>
    </row>
    <row r="25" spans="2:27" ht="12.75" customHeight="1">
      <c r="B25" s="2999"/>
      <c r="C25" s="875" t="s">
        <v>747</v>
      </c>
      <c r="D25" s="876" t="s">
        <v>479</v>
      </c>
      <c r="E25" s="920">
        <f ca="1">('Energie 1'!E272+'Energie 2'!E272+'Hors énergie 1'!E169+'Hors énergie 2'!E169+'Intrants 1'!E389+'Intrants 2'!E387+'Futurs emballages'!E149+Fret!E690+Déplacements!E544+'Déchets directs'!E297+Immobilisations!E334+Utilisation!E193+'Fin de vie'!E324)/1000</f>
        <v>82.7475266</v>
      </c>
      <c r="F25" s="920">
        <f>('Energie 1'!F272+'Energie 2'!F272+'Hors énergie 1'!F169+'Hors énergie 2'!F169+'Intrants 1'!F389+'Intrants 2'!F387+'Futurs emballages'!F149+Fret!F690+Déplacements!F544+'Déchets directs'!F297+Immobilisations!F334+Utilisation!F193+'Fin de vie'!F324)/1000</f>
        <v>0</v>
      </c>
      <c r="G25" s="920">
        <f>('Energie 1'!G272+'Energie 2'!G272+'Hors énergie 1'!G169+'Hors énergie 2'!G169+'Intrants 1'!G389+'Intrants 2'!G387+'Futurs emballages'!G149+Fret!G690+Déplacements!G544+'Déchets directs'!G297+Immobilisations!G334+Utilisation!G193+'Fin de vie'!G324)/1000</f>
        <v>0</v>
      </c>
      <c r="H25" s="920">
        <f>('Energie 1'!H272+'Energie 2'!H272+'Hors énergie 1'!H169+'Hors énergie 2'!H169+'Intrants 1'!H389+'Intrants 2'!H387+'Futurs emballages'!H149+Fret!H690+Déplacements!H544+'Déchets directs'!H297+Immobilisations!H334+Utilisation!H193+'Fin de vie'!H324)/1000</f>
        <v>0</v>
      </c>
      <c r="I25" s="920">
        <f>('Energie 1'!I272+'Energie 2'!I272+'Hors énergie 1'!I169+'Hors énergie 2'!I169+'Intrants 1'!I389+'Intrants 2'!I387+'Futurs emballages'!I149+Fret!I690+Déplacements!I544+'Déchets directs'!I297+Immobilisations!I334+Utilisation!I193+'Fin de vie'!I324)/1000</f>
        <v>0</v>
      </c>
      <c r="J25" s="920">
        <f>('Energie 1'!J272+'Energie 2'!J272+'Hors énergie 1'!J169+'Hors énergie 2'!J169+'Intrants 1'!J389+'Intrants 2'!J387+'Futurs emballages'!J149+Fret!J690+Déplacements!J544+'Déchets directs'!J297+Immobilisations!J334+Utilisation!J193+'Fin de vie'!J324)/1000</f>
        <v>0</v>
      </c>
      <c r="K25" s="920">
        <f>('Energie 1'!K272+'Energie 2'!K272+'Hors énergie 1'!K169+'Hors énergie 2'!K169+'Intrants 1'!K389+'Intrants 2'!K387+'Futurs emballages'!K149+Fret!K690+Déplacements!K544+'Déchets directs'!K297+Immobilisations!K334+Utilisation!K193+'Fin de vie'!K324)/1000</f>
        <v>0</v>
      </c>
      <c r="L25" s="878">
        <f ca="1">('Energie 1'!L272+'Energie 2'!L272+'Hors énergie 1'!L169+'Hors énergie 2'!L169+'Intrants 1'!L389+'Intrants 2'!L387+'Futurs emballages'!L149+Fret!L690+Déplacements!L544+'Déchets directs'!L297+Immobilisations!L334+Utilisation!L193+'Fin de vie'!L324)/1000</f>
        <v>82.7475266</v>
      </c>
      <c r="M25" s="922">
        <f>('Energie 1'!M272+'Energie 2'!M272+'Hors énergie 1'!M169+'Hors énergie 2'!M169+'Intrants 1'!M389+'Intrants 2'!M387+'Futurs emballages'!M149+Fret!M690+Déplacements!M544+'Déchets directs'!M297+Immobilisations!M334+Utilisation!M193+'Fin de vie'!M324)/1000</f>
        <v>0</v>
      </c>
      <c r="N25" s="858">
        <f>SQRT('Energie 1'!N272^2+'Energie 2'!N272^2+'Hors énergie 1'!N169^2+'Hors énergie 2'!N169^2+'Intrants 1'!N389^2+'Intrants 2'!N387^2+'Futurs emballages'!N149^2+Fret!N690^2+Déplacements!N544^2+'Déchets directs'!N297^2+Immobilisations!N334^2+Utilisation!N193^2+'Fin de vie'!N324^2)/1000</f>
        <v>19.859199601136226</v>
      </c>
      <c r="O25" s="880">
        <f>('Energie 1'!O272+'Energie 2'!O272+'Hors énergie 1'!O169+'Hors énergie 2'!O169+'Intrants 1'!O389+'Intrants 2'!O387+'Futurs emballages'!O149+Fret!O690+Déplacements!O544+'Déchets directs'!O297+Immobilisations!O334+Utilisation!O193+'Fin de vie'!O324)/1000</f>
        <v>0</v>
      </c>
      <c r="P25" s="88">
        <v>1</v>
      </c>
      <c r="Q25" s="924">
        <f t="shared" ca="1" si="9"/>
        <v>82.7475266</v>
      </c>
      <c r="R25" s="924">
        <f t="shared" si="10"/>
        <v>0</v>
      </c>
      <c r="S25" s="924">
        <f t="shared" si="11"/>
        <v>0</v>
      </c>
      <c r="T25" s="924">
        <f t="shared" si="12"/>
        <v>0</v>
      </c>
      <c r="U25" s="924">
        <f t="shared" si="13"/>
        <v>0</v>
      </c>
      <c r="V25" s="924">
        <f t="shared" si="14"/>
        <v>0</v>
      </c>
      <c r="W25" s="924">
        <f t="shared" si="15"/>
        <v>0</v>
      </c>
      <c r="X25" s="864">
        <f t="shared" ca="1" si="16"/>
        <v>82.7475266</v>
      </c>
      <c r="Y25" s="926">
        <f t="shared" si="17"/>
        <v>0</v>
      </c>
      <c r="Z25" s="858">
        <f t="shared" si="18"/>
        <v>19.859199601136226</v>
      </c>
      <c r="AA25" s="856">
        <f t="shared" si="19"/>
        <v>0</v>
      </c>
    </row>
    <row r="26" spans="2:27" ht="12.75" customHeight="1">
      <c r="B26" s="2999"/>
      <c r="C26" s="875" t="s">
        <v>748</v>
      </c>
      <c r="D26" s="876" t="s">
        <v>471</v>
      </c>
      <c r="E26" s="920">
        <f>('Energie 1'!E273+'Energie 2'!E273+'Hors énergie 1'!E170+'Hors énergie 2'!E170+'Intrants 1'!E390+'Intrants 2'!E388+'Futurs emballages'!E150+Fret!E691+Déplacements!E545+'Déchets directs'!E298+Immobilisations!E335+Utilisation!E194+'Fin de vie'!E325)/1000</f>
        <v>0</v>
      </c>
      <c r="F26" s="920">
        <f>('Energie 1'!F273+'Energie 2'!F273+'Hors énergie 1'!F170+'Hors énergie 2'!F170+'Intrants 1'!F390+'Intrants 2'!F388+'Futurs emballages'!F150+Fret!F691+Déplacements!F545+'Déchets directs'!F298+Immobilisations!F335+Utilisation!F194+'Fin de vie'!F325)/1000</f>
        <v>0</v>
      </c>
      <c r="G26" s="920">
        <f>('Energie 1'!G273+'Energie 2'!G273+'Hors énergie 1'!G170+'Hors énergie 2'!G170+'Intrants 1'!G390+'Intrants 2'!G388+'Futurs emballages'!G150+Fret!G691+Déplacements!G545+'Déchets directs'!G298+Immobilisations!G335+Utilisation!G194+'Fin de vie'!G325)/1000</f>
        <v>0</v>
      </c>
      <c r="H26" s="920">
        <f>('Energie 1'!H273+'Energie 2'!H273+'Hors énergie 1'!H170+'Hors énergie 2'!H170+'Intrants 1'!H390+'Intrants 2'!H388+'Futurs emballages'!H150+Fret!H691+Déplacements!H545+'Déchets directs'!H298+Immobilisations!H335+Utilisation!H194+'Fin de vie'!H325)/1000</f>
        <v>0</v>
      </c>
      <c r="I26" s="920">
        <f>('Energie 1'!I273+'Energie 2'!I273+'Hors énergie 1'!I170+'Hors énergie 2'!I170+'Intrants 1'!I390+'Intrants 2'!I388+'Futurs emballages'!I150+Fret!I691+Déplacements!I545+'Déchets directs'!I298+Immobilisations!I335+Utilisation!I194+'Fin de vie'!I325)/1000</f>
        <v>0</v>
      </c>
      <c r="J26" s="920">
        <f>('Energie 1'!J273+'Energie 2'!J273+'Hors énergie 1'!J170+'Hors énergie 2'!J170+'Intrants 1'!J390+'Intrants 2'!J388+'Futurs emballages'!J150+Fret!J691+Déplacements!J545+'Déchets directs'!J298+Immobilisations!J335+Utilisation!J194+'Fin de vie'!J325)/1000</f>
        <v>0</v>
      </c>
      <c r="K26" s="920">
        <f>('Energie 1'!K273+'Energie 2'!K273+'Hors énergie 1'!K170+'Hors énergie 2'!K170+'Intrants 1'!K390+'Intrants 2'!K388+'Futurs emballages'!K150+Fret!K691+Déplacements!K545+'Déchets directs'!K298+Immobilisations!K335+Utilisation!K194+'Fin de vie'!K325)/1000</f>
        <v>0</v>
      </c>
      <c r="L26" s="878">
        <f>('Energie 1'!L273+'Energie 2'!L273+'Hors énergie 1'!L170+'Hors énergie 2'!L170+'Intrants 1'!L390+'Intrants 2'!L388+'Futurs emballages'!L150+Fret!L691+Déplacements!L545+'Déchets directs'!L298+Immobilisations!L335+Utilisation!L194+'Fin de vie'!L325)/1000</f>
        <v>0</v>
      </c>
      <c r="M26" s="922">
        <f>('Energie 1'!M273+'Energie 2'!M273+'Hors énergie 1'!M170+'Hors énergie 2'!M170+'Intrants 1'!M390+'Intrants 2'!M388+'Futurs emballages'!M150+Fret!M691+Déplacements!M545+'Déchets directs'!M298+Immobilisations!M335+Utilisation!M194+'Fin de vie'!M325)/1000</f>
        <v>0</v>
      </c>
      <c r="N26" s="858">
        <f>SQRT('Energie 1'!N273^2+'Energie 2'!N273^2+'Hors énergie 1'!N170^2+'Hors énergie 2'!N170^2+'Intrants 1'!N390^2+'Intrants 2'!N388^2+'Futurs emballages'!N150^2+Fret!N691^2+Déplacements!N545^2+'Déchets directs'!N298^2+Immobilisations!N335^2+Utilisation!N194^2+'Fin de vie'!N325^2)/1000</f>
        <v>0</v>
      </c>
      <c r="O26" s="880">
        <f>('Energie 1'!O273+'Energie 2'!O273+'Hors énergie 1'!O170+'Hors énergie 2'!O170+'Intrants 1'!O390+'Intrants 2'!O388+'Futurs emballages'!O150+Fret!O691+Déplacements!O545+'Déchets directs'!O298+Immobilisations!O335+Utilisation!O194+'Fin de vie'!O325)/1000</f>
        <v>0</v>
      </c>
      <c r="P26" s="88">
        <v>1</v>
      </c>
      <c r="Q26" s="924">
        <f t="shared" si="9"/>
        <v>0</v>
      </c>
      <c r="R26" s="924">
        <f t="shared" si="10"/>
        <v>0</v>
      </c>
      <c r="S26" s="924">
        <f t="shared" si="11"/>
        <v>0</v>
      </c>
      <c r="T26" s="924">
        <f t="shared" si="12"/>
        <v>0</v>
      </c>
      <c r="U26" s="924">
        <f t="shared" si="13"/>
        <v>0</v>
      </c>
      <c r="V26" s="924">
        <f t="shared" si="14"/>
        <v>0</v>
      </c>
      <c r="W26" s="924">
        <f t="shared" si="15"/>
        <v>0</v>
      </c>
      <c r="X26" s="864">
        <f t="shared" si="16"/>
        <v>0</v>
      </c>
      <c r="Y26" s="926">
        <f t="shared" si="17"/>
        <v>0</v>
      </c>
      <c r="Z26" s="858">
        <f t="shared" si="18"/>
        <v>0</v>
      </c>
      <c r="AA26" s="856">
        <f t="shared" si="19"/>
        <v>0</v>
      </c>
    </row>
    <row r="27" spans="2:27" ht="12.75" customHeight="1">
      <c r="B27" s="2999"/>
      <c r="C27" s="886"/>
      <c r="D27" s="876" t="s">
        <v>762</v>
      </c>
      <c r="E27" s="920">
        <f>('Energie 1'!E274+'Energie 2'!E274+'Hors énergie 1'!E171+'Hors énergie 2'!E171+'Intrants 1'!E391+'Intrants 2'!E389+'Futurs emballages'!E151+Fret!E692+Déplacements!E546+'Déchets directs'!E299+Immobilisations!E336+Utilisation!E195+'Fin de vie'!E326)/1000</f>
        <v>0</v>
      </c>
      <c r="F27" s="920">
        <f>('Energie 1'!F274+'Energie 2'!F274+'Hors énergie 1'!F171+'Hors énergie 2'!F171+'Intrants 1'!F391+'Intrants 2'!F389+'Futurs emballages'!F151+Fret!F692+Déplacements!F546+'Déchets directs'!F299+Immobilisations!F336+Utilisation!F195+'Fin de vie'!F326)/1000</f>
        <v>0</v>
      </c>
      <c r="G27" s="920">
        <f>('Energie 1'!G274+'Energie 2'!G274+'Hors énergie 1'!G171+'Hors énergie 2'!G171+'Intrants 1'!G391+'Intrants 2'!G389+'Futurs emballages'!G151+Fret!G692+Déplacements!G546+'Déchets directs'!G299+Immobilisations!G336+Utilisation!G195+'Fin de vie'!G326)/1000</f>
        <v>0</v>
      </c>
      <c r="H27" s="920">
        <f>('Energie 1'!H274+'Energie 2'!H274+'Hors énergie 1'!H171+'Hors énergie 2'!H171+'Intrants 1'!H391+'Intrants 2'!H389+'Futurs emballages'!H151+Fret!H692+Déplacements!H546+'Déchets directs'!H299+Immobilisations!H336+Utilisation!H195+'Fin de vie'!H326)/1000</f>
        <v>0</v>
      </c>
      <c r="I27" s="920">
        <f>('Energie 1'!I274+'Energie 2'!I274+'Hors énergie 1'!I171+'Hors énergie 2'!I171+'Intrants 1'!I391+'Intrants 2'!I389+'Futurs emballages'!I151+Fret!I692+Déplacements!I546+'Déchets directs'!I299+Immobilisations!I336+Utilisation!I195+'Fin de vie'!I326)/1000</f>
        <v>0</v>
      </c>
      <c r="J27" s="920">
        <f>('Energie 1'!J274+'Energie 2'!J274+'Hors énergie 1'!J171+'Hors énergie 2'!J171+'Intrants 1'!J391+'Intrants 2'!J389+'Futurs emballages'!J151+Fret!J692+Déplacements!J546+'Déchets directs'!J299+Immobilisations!J336+Utilisation!J195+'Fin de vie'!J326)/1000</f>
        <v>0</v>
      </c>
      <c r="K27" s="920">
        <f>('Energie 1'!K274+'Energie 2'!K274+'Hors énergie 1'!K171+'Hors énergie 2'!K171+'Intrants 1'!K391+'Intrants 2'!K389+'Futurs emballages'!K151+Fret!K692+Déplacements!K546+'Déchets directs'!K299+Immobilisations!K336+Utilisation!K195+'Fin de vie'!K326)/1000</f>
        <v>0</v>
      </c>
      <c r="L27" s="878">
        <f>('Energie 1'!L274+'Energie 2'!L274+'Hors énergie 1'!L171+'Hors énergie 2'!L171+'Intrants 1'!L391+'Intrants 2'!L389+'Futurs emballages'!L151+Fret!L692+Déplacements!L546+'Déchets directs'!L299+Immobilisations!L336+Utilisation!L195+'Fin de vie'!L326)/1000</f>
        <v>0</v>
      </c>
      <c r="M27" s="922">
        <f>('Energie 1'!M274+'Energie 2'!M274+'Hors énergie 1'!M171+'Hors énergie 2'!M171+'Intrants 1'!M391+'Intrants 2'!M389+'Futurs emballages'!M151+Fret!M692+Déplacements!M546+'Déchets directs'!M299+Immobilisations!M336+Utilisation!M195+'Fin de vie'!M326)/1000</f>
        <v>0</v>
      </c>
      <c r="N27" s="858">
        <f>SQRT('Energie 1'!N274^2+'Energie 2'!N274^2+'Hors énergie 1'!N171^2+'Hors énergie 2'!N171^2+'Intrants 1'!N391^2+'Intrants 2'!N389^2+'Futurs emballages'!N151^2+Fret!N692^2+Déplacements!N546^2+'Déchets directs'!N299^2+Immobilisations!N336^2+Utilisation!N195^2+'Fin de vie'!N326^2)/1000</f>
        <v>0</v>
      </c>
      <c r="O27" s="880">
        <f>('Energie 1'!O274+'Energie 2'!O274+'Hors énergie 1'!O171+'Hors énergie 2'!O171+'Intrants 1'!O391+'Intrants 2'!O389+'Futurs emballages'!O151+Fret!O692+Déplacements!O546+'Déchets directs'!O299+Immobilisations!O336+Utilisation!O195+'Fin de vie'!O326)/1000</f>
        <v>0</v>
      </c>
      <c r="P27" s="88">
        <v>1</v>
      </c>
      <c r="Q27" s="924">
        <f t="shared" si="9"/>
        <v>0</v>
      </c>
      <c r="R27" s="924">
        <f t="shared" si="10"/>
        <v>0</v>
      </c>
      <c r="S27" s="924">
        <f t="shared" si="11"/>
        <v>0</v>
      </c>
      <c r="T27" s="924">
        <f t="shared" si="12"/>
        <v>0</v>
      </c>
      <c r="U27" s="924">
        <f t="shared" si="13"/>
        <v>0</v>
      </c>
      <c r="V27" s="924">
        <f t="shared" si="14"/>
        <v>0</v>
      </c>
      <c r="W27" s="924">
        <f t="shared" si="15"/>
        <v>0</v>
      </c>
      <c r="X27" s="864">
        <f t="shared" si="16"/>
        <v>0</v>
      </c>
      <c r="Y27" s="926">
        <f t="shared" si="17"/>
        <v>0</v>
      </c>
      <c r="Z27" s="858">
        <f t="shared" si="18"/>
        <v>0</v>
      </c>
      <c r="AA27" s="856">
        <f t="shared" si="19"/>
        <v>0</v>
      </c>
    </row>
    <row r="28" spans="2:27" ht="12.75" customHeight="1">
      <c r="B28" s="2999"/>
      <c r="C28" s="3003" t="s">
        <v>756</v>
      </c>
      <c r="D28" s="3004"/>
      <c r="E28" s="3004"/>
      <c r="F28" s="3004"/>
      <c r="G28" s="3004"/>
      <c r="H28" s="3004"/>
      <c r="I28" s="3004"/>
      <c r="J28" s="3004"/>
      <c r="K28" s="3004"/>
      <c r="L28" s="3004"/>
      <c r="M28" s="3004"/>
      <c r="N28" s="3004"/>
      <c r="O28" s="3005"/>
      <c r="P28" s="88"/>
      <c r="Q28" s="2713"/>
      <c r="R28" s="2714"/>
      <c r="S28" s="2714"/>
      <c r="T28" s="2714"/>
      <c r="U28" s="2714"/>
      <c r="V28" s="2714"/>
      <c r="W28" s="2714"/>
      <c r="X28" s="2714"/>
      <c r="Y28" s="2714"/>
      <c r="Z28" s="2714"/>
      <c r="AA28" s="2715"/>
    </row>
    <row r="29" spans="2:27" ht="12.75" customHeight="1">
      <c r="B29" s="2999"/>
      <c r="C29" s="875" t="s">
        <v>749</v>
      </c>
      <c r="D29" s="876" t="s">
        <v>737</v>
      </c>
      <c r="E29" s="920">
        <f>('Energie 1'!E276+'Energie 2'!E276+'Hors énergie 1'!E173+'Hors énergie 2'!E173+'Intrants 1'!E393+'Intrants 2'!E391+'Futurs emballages'!E153+Fret!E694+Déplacements!E548+'Déchets directs'!E301+Immobilisations!E338+Utilisation!E197+'Fin de vie'!E328)/1000</f>
        <v>0</v>
      </c>
      <c r="F29" s="920">
        <f>('Energie 1'!F276+'Energie 2'!F276+'Hors énergie 1'!F173+'Hors énergie 2'!F173+'Intrants 1'!F393+'Intrants 2'!F391+'Futurs emballages'!F153+Fret!F694+Déplacements!F548+'Déchets directs'!F301+Immobilisations!F338+Utilisation!F197+'Fin de vie'!F328)/1000</f>
        <v>0</v>
      </c>
      <c r="G29" s="920">
        <f>('Energie 1'!G276+'Energie 2'!G276+'Hors énergie 1'!G173+'Hors énergie 2'!G173+'Intrants 1'!G393+'Intrants 2'!G391+'Futurs emballages'!G153+Fret!G694+Déplacements!G548+'Déchets directs'!G301+Immobilisations!G338+Utilisation!G197+'Fin de vie'!G328)/1000</f>
        <v>0</v>
      </c>
      <c r="H29" s="920">
        <f>('Energie 1'!H276+'Energie 2'!H276+'Hors énergie 1'!H173+'Hors énergie 2'!H173+'Intrants 1'!H393+'Intrants 2'!H391+'Futurs emballages'!H153+Fret!H694+Déplacements!H548+'Déchets directs'!H301+Immobilisations!H338+Utilisation!H197+'Fin de vie'!H328)/1000</f>
        <v>0</v>
      </c>
      <c r="I29" s="920">
        <f>('Energie 1'!I276+'Energie 2'!I276+'Hors énergie 1'!I173+'Hors énergie 2'!I173+'Intrants 1'!I393+'Intrants 2'!I391+'Futurs emballages'!I153+Fret!I694+Déplacements!I548+'Déchets directs'!I301+Immobilisations!I338+Utilisation!I197+'Fin de vie'!I328)/1000</f>
        <v>0</v>
      </c>
      <c r="J29" s="920">
        <f>('Energie 1'!J276+'Energie 2'!J276+'Hors énergie 1'!J173+'Hors énergie 2'!J173+'Intrants 1'!J393+'Intrants 2'!J391+'Futurs emballages'!J153+Fret!J694+Déplacements!J548+'Déchets directs'!J301+Immobilisations!J338+Utilisation!J197+'Fin de vie'!J328)/1000</f>
        <v>0</v>
      </c>
      <c r="K29" s="920">
        <f>('Energie 1'!K276+'Energie 2'!K276+'Hors énergie 1'!K173+'Hors énergie 2'!K173+'Intrants 1'!K393+'Intrants 2'!K391+'Futurs emballages'!K153+Fret!K694+Déplacements!K548+'Déchets directs'!K301+Immobilisations!K338+Utilisation!K197+'Fin de vie'!K328)/1000</f>
        <v>0</v>
      </c>
      <c r="L29" s="878">
        <f>('Energie 1'!L276+'Energie 2'!L276+'Hors énergie 1'!L173+'Hors énergie 2'!L173+'Intrants 1'!L393+'Intrants 2'!L391+'Futurs emballages'!L153+Fret!L694+Déplacements!L548+'Déchets directs'!L301+Immobilisations!L338+Utilisation!L197+'Fin de vie'!L328)/1000</f>
        <v>0</v>
      </c>
      <c r="M29" s="922">
        <f ca="1">('Energie 1'!M276+'Energie 2'!M276+'Hors énergie 1'!M173+'Hors énergie 2'!M173+'Intrants 1'!M393+'Intrants 2'!M391+'Futurs emballages'!M153+Fret!M694+Déplacements!M548+'Déchets directs'!M301+Immobilisations!M338+Utilisation!M197+'Fin de vie'!M328)/1000</f>
        <v>0</v>
      </c>
      <c r="N29" s="858">
        <f>SQRT('Energie 1'!N276^2+'Energie 2'!N276^2+'Hors énergie 1'!N173^2+'Hors énergie 2'!N173^2+'Intrants 1'!N393^2+'Intrants 2'!N391^2+'Futurs emballages'!N153^2+Fret!N694^2+Déplacements!N548^2+'Déchets directs'!N301^2+Immobilisations!N338^2+Utilisation!N197^2+'Fin de vie'!N328^2)/1000</f>
        <v>0</v>
      </c>
      <c r="O29" s="880">
        <f>('Energie 1'!O276+'Energie 2'!O276+'Hors énergie 1'!O173+'Hors énergie 2'!O173+'Intrants 1'!O393+'Intrants 2'!O391+'Futurs emballages'!O153+Fret!O694+Déplacements!O548+'Déchets directs'!O301+Immobilisations!O338+Utilisation!O197+'Fin de vie'!O328)/1000</f>
        <v>0</v>
      </c>
      <c r="P29" s="88">
        <v>1</v>
      </c>
      <c r="Q29" s="924">
        <f t="shared" ref="Q29:AA33" si="20">IF($E$4="Oui",0,IF($E$5="Oui",0,E29*$P29))</f>
        <v>0</v>
      </c>
      <c r="R29" s="924">
        <f t="shared" si="20"/>
        <v>0</v>
      </c>
      <c r="S29" s="924">
        <f t="shared" si="20"/>
        <v>0</v>
      </c>
      <c r="T29" s="924">
        <f t="shared" si="20"/>
        <v>0</v>
      </c>
      <c r="U29" s="924">
        <f t="shared" si="20"/>
        <v>0</v>
      </c>
      <c r="V29" s="924">
        <f t="shared" si="20"/>
        <v>0</v>
      </c>
      <c r="W29" s="924">
        <f t="shared" si="20"/>
        <v>0</v>
      </c>
      <c r="X29" s="864">
        <f t="shared" si="20"/>
        <v>0</v>
      </c>
      <c r="Y29" s="926">
        <f t="shared" ca="1" si="20"/>
        <v>0</v>
      </c>
      <c r="Z29" s="858">
        <f t="shared" si="20"/>
        <v>0</v>
      </c>
      <c r="AA29" s="856">
        <f t="shared" si="20"/>
        <v>0</v>
      </c>
    </row>
    <row r="30" spans="2:27" ht="12.75" customHeight="1">
      <c r="B30" s="2999"/>
      <c r="C30" s="875" t="s">
        <v>750</v>
      </c>
      <c r="D30" s="876" t="s">
        <v>738</v>
      </c>
      <c r="E30" s="920">
        <f>('Energie 1'!E277+'Energie 2'!E277+'Hors énergie 1'!E174+'Hors énergie 2'!E174+'Intrants 1'!E394+'Intrants 2'!E392+'Futurs emballages'!E154+Fret!E695+Déplacements!E549+'Déchets directs'!E302+Immobilisations!E339+Utilisation!E198+'Fin de vie'!E329)/1000</f>
        <v>0</v>
      </c>
      <c r="F30" s="920">
        <f>('Energie 1'!F277+'Energie 2'!F277+'Hors énergie 1'!F174+'Hors énergie 2'!F174+'Intrants 1'!F394+'Intrants 2'!F392+'Futurs emballages'!F154+Fret!F695+Déplacements!F549+'Déchets directs'!F302+Immobilisations!F339+Utilisation!F198+'Fin de vie'!F329)/1000</f>
        <v>0</v>
      </c>
      <c r="G30" s="920">
        <f>('Energie 1'!G277+'Energie 2'!G277+'Hors énergie 1'!G174+'Hors énergie 2'!G174+'Intrants 1'!G394+'Intrants 2'!G392+'Futurs emballages'!G154+Fret!G695+Déplacements!G549+'Déchets directs'!G302+Immobilisations!G339+Utilisation!G198+'Fin de vie'!G329)/1000</f>
        <v>0</v>
      </c>
      <c r="H30" s="920">
        <f>('Energie 1'!H277+'Energie 2'!H277+'Hors énergie 1'!H174+'Hors énergie 2'!H174+'Intrants 1'!H394+'Intrants 2'!H392+'Futurs emballages'!H154+Fret!H695+Déplacements!H549+'Déchets directs'!H302+Immobilisations!H339+Utilisation!H198+'Fin de vie'!H329)/1000</f>
        <v>0</v>
      </c>
      <c r="I30" s="920">
        <f>('Energie 1'!I277+'Energie 2'!I277+'Hors énergie 1'!I174+'Hors énergie 2'!I174+'Intrants 1'!I394+'Intrants 2'!I392+'Futurs emballages'!I154+Fret!I695+Déplacements!I549+'Déchets directs'!I302+Immobilisations!I339+Utilisation!I198+'Fin de vie'!I329)/1000</f>
        <v>0</v>
      </c>
      <c r="J30" s="920">
        <f>('Energie 1'!J277+'Energie 2'!J277+'Hors énergie 1'!J174+'Hors énergie 2'!J174+'Intrants 1'!J394+'Intrants 2'!J392+'Futurs emballages'!J154+Fret!J695+Déplacements!J549+'Déchets directs'!J302+Immobilisations!J339+Utilisation!J198+'Fin de vie'!J329)/1000</f>
        <v>0</v>
      </c>
      <c r="K30" s="920">
        <f>('Energie 1'!K277+'Energie 2'!K277+'Hors énergie 1'!K174+'Hors énergie 2'!K174+'Intrants 1'!K394+'Intrants 2'!K392+'Futurs emballages'!K154+Fret!K695+Déplacements!K549+'Déchets directs'!K302+Immobilisations!K339+Utilisation!K198+'Fin de vie'!K329)/1000</f>
        <v>0</v>
      </c>
      <c r="L30" s="878">
        <f>('Energie 1'!L277+'Energie 2'!L277+'Hors énergie 1'!L174+'Hors énergie 2'!L174+'Intrants 1'!L394+'Intrants 2'!L392+'Futurs emballages'!L154+Fret!L695+Déplacements!L549+'Déchets directs'!L302+Immobilisations!L339+Utilisation!L198+'Fin de vie'!L329)/1000</f>
        <v>0</v>
      </c>
      <c r="M30" s="922">
        <f>('Energie 1'!M277+'Energie 2'!M277+'Hors énergie 1'!M174+'Hors énergie 2'!M174+'Intrants 1'!M394+'Intrants 2'!M392+'Futurs emballages'!M154+Fret!M695+Déplacements!M549+'Déchets directs'!M302+Immobilisations!M339+Utilisation!M198+'Fin de vie'!M329)/1000</f>
        <v>0</v>
      </c>
      <c r="N30" s="858">
        <f>SQRT('Energie 1'!N277^2+'Energie 2'!N277^2+'Hors énergie 1'!N174^2+'Hors énergie 2'!N174^2+'Intrants 1'!N394^2+'Intrants 2'!N392^2+'Futurs emballages'!N154^2+Fret!N695^2+Déplacements!N549^2+'Déchets directs'!N302^2+Immobilisations!N339^2+Utilisation!N198^2+'Fin de vie'!N329^2)/1000</f>
        <v>0</v>
      </c>
      <c r="O30" s="880">
        <f>('Energie 1'!O277+'Energie 2'!O277+'Hors énergie 1'!O174+'Hors énergie 2'!O174+'Intrants 1'!O394+'Intrants 2'!O392+'Futurs emballages'!O154+Fret!O695+Déplacements!O549+'Déchets directs'!O302+Immobilisations!O339+Utilisation!O198+'Fin de vie'!O329)/1000</f>
        <v>0</v>
      </c>
      <c r="P30" s="88">
        <v>1</v>
      </c>
      <c r="Q30" s="924">
        <f t="shared" si="20"/>
        <v>0</v>
      </c>
      <c r="R30" s="924">
        <f t="shared" si="20"/>
        <v>0</v>
      </c>
      <c r="S30" s="924">
        <f t="shared" si="20"/>
        <v>0</v>
      </c>
      <c r="T30" s="924">
        <f t="shared" si="20"/>
        <v>0</v>
      </c>
      <c r="U30" s="924">
        <f t="shared" si="20"/>
        <v>0</v>
      </c>
      <c r="V30" s="924">
        <f t="shared" si="20"/>
        <v>0</v>
      </c>
      <c r="W30" s="924">
        <f t="shared" si="20"/>
        <v>0</v>
      </c>
      <c r="X30" s="864">
        <f t="shared" si="20"/>
        <v>0</v>
      </c>
      <c r="Y30" s="926">
        <f t="shared" si="20"/>
        <v>0</v>
      </c>
      <c r="Z30" s="858">
        <f t="shared" si="20"/>
        <v>0</v>
      </c>
      <c r="AA30" s="856">
        <f t="shared" si="20"/>
        <v>0</v>
      </c>
    </row>
    <row r="31" spans="2:27" ht="12.75" customHeight="1">
      <c r="B31" s="2999"/>
      <c r="C31" s="875" t="s">
        <v>751</v>
      </c>
      <c r="D31" s="876" t="s">
        <v>475</v>
      </c>
      <c r="E31" s="920">
        <f>('Energie 1'!E278+'Energie 2'!E278+'Hors énergie 1'!E175+'Hors énergie 2'!E175+'Intrants 1'!E395+'Intrants 2'!E393+'Futurs emballages'!E155+Fret!E696+Déplacements!E550+'Déchets directs'!E303+Immobilisations!E340+Utilisation!E199+'Fin de vie'!E330)/1000</f>
        <v>5.3314577495621718</v>
      </c>
      <c r="F31" s="920">
        <f>('Energie 1'!F278+'Energie 2'!F278+'Hors énergie 1'!F175+'Hors énergie 2'!F175+'Intrants 1'!F395+'Intrants 2'!F393+'Futurs emballages'!F155+Fret!F696+Déplacements!F550+'Déchets directs'!F303+Immobilisations!F340+Utilisation!F199+'Fin de vie'!F330)/1000</f>
        <v>0</v>
      </c>
      <c r="G31" s="920">
        <f>('Energie 1'!G278+'Energie 2'!G278+'Hors énergie 1'!G175+'Hors énergie 2'!G175+'Intrants 1'!G395+'Intrants 2'!G393+'Futurs emballages'!G155+Fret!G696+Déplacements!G550+'Déchets directs'!G303+Immobilisations!G340+Utilisation!G199+'Fin de vie'!G330)/1000</f>
        <v>0</v>
      </c>
      <c r="H31" s="920">
        <f>('Energie 1'!H278+'Energie 2'!H278+'Hors énergie 1'!H175+'Hors énergie 2'!H175+'Intrants 1'!H395+'Intrants 2'!H393+'Futurs emballages'!H155+Fret!H696+Déplacements!H550+'Déchets directs'!H303+Immobilisations!H340+Utilisation!H199+'Fin de vie'!H330)/1000</f>
        <v>0</v>
      </c>
      <c r="I31" s="920">
        <f>('Energie 1'!I278+'Energie 2'!I278+'Hors énergie 1'!I175+'Hors énergie 2'!I175+'Intrants 1'!I395+'Intrants 2'!I393+'Futurs emballages'!I155+Fret!I696+Déplacements!I550+'Déchets directs'!I303+Immobilisations!I340+Utilisation!I199+'Fin de vie'!I330)/1000</f>
        <v>0</v>
      </c>
      <c r="J31" s="920">
        <f>('Energie 1'!J278+'Energie 2'!J278+'Hors énergie 1'!J175+'Hors énergie 2'!J175+'Intrants 1'!J395+'Intrants 2'!J393+'Futurs emballages'!J155+Fret!J696+Déplacements!J550+'Déchets directs'!J303+Immobilisations!J340+Utilisation!J199+'Fin de vie'!J330)/1000</f>
        <v>0</v>
      </c>
      <c r="K31" s="920">
        <f>('Energie 1'!K278+'Energie 2'!K278+'Hors énergie 1'!K175+'Hors énergie 2'!K175+'Intrants 1'!K395+'Intrants 2'!K393+'Futurs emballages'!K155+Fret!K696+Déplacements!K550+'Déchets directs'!K303+Immobilisations!K340+Utilisation!K199+'Fin de vie'!K330)/1000</f>
        <v>0</v>
      </c>
      <c r="L31" s="878">
        <f>('Energie 1'!L278+'Energie 2'!L278+'Hors énergie 1'!L175+'Hors énergie 2'!L175+'Intrants 1'!L395+'Intrants 2'!L393+'Futurs emballages'!L155+Fret!L696+Déplacements!L550+'Déchets directs'!L303+Immobilisations!L340+Utilisation!L199+'Fin de vie'!L330)/1000</f>
        <v>5.3314577495621718</v>
      </c>
      <c r="M31" s="922">
        <f>('Energie 1'!M278+'Energie 2'!M278+'Hors énergie 1'!M175+'Hors énergie 2'!M175+'Intrants 1'!M395+'Intrants 2'!M393+'Futurs emballages'!M155+Fret!M696+Déplacements!M550+'Déchets directs'!M303+Immobilisations!M340+Utilisation!M199+'Fin de vie'!M330)/1000</f>
        <v>0</v>
      </c>
      <c r="N31" s="858">
        <f>SQRT('Energie 1'!N278^2+'Energie 2'!N278^2+'Hors énergie 1'!N175^2+'Hors énergie 2'!N175^2+'Intrants 1'!N395^2+'Intrants 2'!N393^2+'Futurs emballages'!N155^2+Fret!N696^2+Déplacements!N550^2+'Déchets directs'!N303^2+Immobilisations!N340^2+Utilisation!N199^2+'Fin de vie'!N330^2)/1000</f>
        <v>0.55067377355516667</v>
      </c>
      <c r="O31" s="880">
        <f>('Energie 1'!O278+'Energie 2'!O278+'Hors énergie 1'!O175+'Hors énergie 2'!O175+'Intrants 1'!O395+'Intrants 2'!O393+'Futurs emballages'!O155+Fret!O696+Déplacements!O550+'Déchets directs'!O303+Immobilisations!O340+Utilisation!O199+'Fin de vie'!O330)/1000</f>
        <v>0</v>
      </c>
      <c r="P31" s="88">
        <v>1</v>
      </c>
      <c r="Q31" s="924">
        <f t="shared" si="20"/>
        <v>5.3314577495621718</v>
      </c>
      <c r="R31" s="924">
        <f t="shared" si="20"/>
        <v>0</v>
      </c>
      <c r="S31" s="924">
        <f t="shared" si="20"/>
        <v>0</v>
      </c>
      <c r="T31" s="924">
        <f t="shared" si="20"/>
        <v>0</v>
      </c>
      <c r="U31" s="924">
        <f t="shared" si="20"/>
        <v>0</v>
      </c>
      <c r="V31" s="924">
        <f t="shared" si="20"/>
        <v>0</v>
      </c>
      <c r="W31" s="924">
        <f t="shared" si="20"/>
        <v>0</v>
      </c>
      <c r="X31" s="864">
        <f t="shared" si="20"/>
        <v>5.3314577495621718</v>
      </c>
      <c r="Y31" s="926">
        <f t="shared" si="20"/>
        <v>0</v>
      </c>
      <c r="Z31" s="858">
        <f t="shared" si="20"/>
        <v>0.55067377355516667</v>
      </c>
      <c r="AA31" s="856">
        <f t="shared" si="20"/>
        <v>0</v>
      </c>
    </row>
    <row r="32" spans="2:27" ht="12.75" customHeight="1">
      <c r="B32" s="2999"/>
      <c r="C32" s="875" t="s">
        <v>752</v>
      </c>
      <c r="D32" s="876" t="s">
        <v>476</v>
      </c>
      <c r="E32" s="920" t="e">
        <f>('Energie 1'!E279+'Energie 2'!E279+'Hors énergie 1'!E176+'Hors énergie 2'!E176+'Intrants 1'!E396+'Intrants 2'!E394+'Futurs emballages'!E156+Fret!E697+Déplacements!E551+'Déchets directs'!E304+Immobilisations!E341+Utilisation!E200+'Fin de vie'!E331)/1000</f>
        <v>#REF!</v>
      </c>
      <c r="F32" s="920">
        <f>('Energie 1'!F279+'Energie 2'!F279+'Hors énergie 1'!F176+'Hors énergie 2'!F176+'Intrants 1'!F396+'Intrants 2'!F394+'Futurs emballages'!F156+Fret!F697+Déplacements!F551+'Déchets directs'!F304+Immobilisations!F341+Utilisation!F200+'Fin de vie'!F331)/1000</f>
        <v>0</v>
      </c>
      <c r="G32" s="920">
        <f>('Energie 1'!G279+'Energie 2'!G279+'Hors énergie 1'!G176+'Hors énergie 2'!G176+'Intrants 1'!G396+'Intrants 2'!G394+'Futurs emballages'!G156+Fret!G697+Déplacements!G551+'Déchets directs'!G304+Immobilisations!G341+Utilisation!G200+'Fin de vie'!G331)/1000</f>
        <v>0</v>
      </c>
      <c r="H32" s="920">
        <f>('Energie 1'!H279+'Energie 2'!H279+'Hors énergie 1'!H176+'Hors énergie 2'!H176+'Intrants 1'!H396+'Intrants 2'!H394+'Futurs emballages'!H156+Fret!H697+Déplacements!H551+'Déchets directs'!H304+Immobilisations!H341+Utilisation!H200+'Fin de vie'!H331)/1000</f>
        <v>0</v>
      </c>
      <c r="I32" s="920">
        <f>('Energie 1'!I279+'Energie 2'!I279+'Hors énergie 1'!I176+'Hors énergie 2'!I176+'Intrants 1'!I396+'Intrants 2'!I394+'Futurs emballages'!I156+Fret!I697+Déplacements!I551+'Déchets directs'!I304+Immobilisations!I341+Utilisation!I200+'Fin de vie'!I331)/1000</f>
        <v>0</v>
      </c>
      <c r="J32" s="920">
        <f>('Energie 1'!J279+'Energie 2'!J279+'Hors énergie 1'!J176+'Hors énergie 2'!J176+'Intrants 1'!J396+'Intrants 2'!J394+'Futurs emballages'!J156+Fret!J697+Déplacements!J551+'Déchets directs'!J304+Immobilisations!J341+Utilisation!J200+'Fin de vie'!J331)/1000</f>
        <v>0</v>
      </c>
      <c r="K32" s="920">
        <f>('Energie 1'!K279+'Energie 2'!K279+'Hors énergie 1'!K176+'Hors énergie 2'!K176+'Intrants 1'!K396+'Intrants 2'!K394+'Futurs emballages'!K156+Fret!K697+Déplacements!K551+'Déchets directs'!K304+Immobilisations!K341+Utilisation!K200+'Fin de vie'!K331)/1000</f>
        <v>0</v>
      </c>
      <c r="L32" s="878" t="e">
        <f>('Energie 1'!L279+'Energie 2'!L279+'Hors énergie 1'!L176+'Hors énergie 2'!L176+'Intrants 1'!L396+'Intrants 2'!L394+'Futurs emballages'!L156+Fret!L697+Déplacements!L551+'Déchets directs'!L304+Immobilisations!L341+Utilisation!L200+'Fin de vie'!L331)/1000</f>
        <v>#REF!</v>
      </c>
      <c r="M32" s="922">
        <f>('Energie 1'!M279+'Energie 2'!M279+'Hors énergie 1'!M176+'Hors énergie 2'!M176+'Intrants 1'!M396+'Intrants 2'!M394+'Futurs emballages'!M156+Fret!M697+Déplacements!M551+'Déchets directs'!M304+Immobilisations!M341+Utilisation!M200+'Fin de vie'!M331)/1000</f>
        <v>0</v>
      </c>
      <c r="N32" s="858">
        <f>SQRT('Energie 1'!N279^2+'Energie 2'!N279^2+'Hors énergie 1'!N176^2+'Hors énergie 2'!N176^2+'Intrants 1'!N396^2+'Intrants 2'!N394^2+'Futurs emballages'!N156^2+Fret!N697^2+Déplacements!N551^2+'Déchets directs'!N304^2+Immobilisations!N341^2+Utilisation!N200^2+'Fin de vie'!N331^2)/1000</f>
        <v>178.24680018625861</v>
      </c>
      <c r="O32" s="880">
        <f>('Energie 1'!O279+'Energie 2'!O279+'Hors énergie 1'!O176+'Hors énergie 2'!O176+'Intrants 1'!O396+'Intrants 2'!O394+'Futurs emballages'!O156+Fret!O697+Déplacements!O551+'Déchets directs'!O304+Immobilisations!O341+Utilisation!O200+'Fin de vie'!O331)/1000</f>
        <v>0</v>
      </c>
      <c r="P32" s="88">
        <v>1</v>
      </c>
      <c r="Q32" s="924" t="e">
        <f t="shared" si="20"/>
        <v>#REF!</v>
      </c>
      <c r="R32" s="924">
        <f t="shared" si="20"/>
        <v>0</v>
      </c>
      <c r="S32" s="924">
        <f t="shared" si="20"/>
        <v>0</v>
      </c>
      <c r="T32" s="924">
        <f t="shared" si="20"/>
        <v>0</v>
      </c>
      <c r="U32" s="924">
        <f t="shared" si="20"/>
        <v>0</v>
      </c>
      <c r="V32" s="924">
        <f t="shared" si="20"/>
        <v>0</v>
      </c>
      <c r="W32" s="924">
        <f t="shared" si="20"/>
        <v>0</v>
      </c>
      <c r="X32" s="864" t="e">
        <f t="shared" si="20"/>
        <v>#REF!</v>
      </c>
      <c r="Y32" s="926">
        <f t="shared" si="20"/>
        <v>0</v>
      </c>
      <c r="Z32" s="858">
        <f t="shared" si="20"/>
        <v>178.24680018625861</v>
      </c>
      <c r="AA32" s="856">
        <f t="shared" si="20"/>
        <v>0</v>
      </c>
    </row>
    <row r="33" spans="2:27" ht="12.75" customHeight="1">
      <c r="B33" s="2999"/>
      <c r="C33" s="875" t="s">
        <v>753</v>
      </c>
      <c r="D33" s="876" t="s">
        <v>739</v>
      </c>
      <c r="E33" s="920">
        <f>('Energie 1'!E280+'Energie 2'!E280+'Hors énergie 1'!E177+'Hors énergie 2'!E177+'Intrants 1'!E397+'Intrants 2'!E395+'Futurs emballages'!E157+Fret!E698+Déplacements!E552+'Déchets directs'!E305+Immobilisations!E342+Utilisation!E201+'Fin de vie'!E332)/1000</f>
        <v>0</v>
      </c>
      <c r="F33" s="920">
        <f>('Energie 1'!F280+'Energie 2'!F280+'Hors énergie 1'!F177+'Hors énergie 2'!F177+'Intrants 1'!F397+'Intrants 2'!F395+'Futurs emballages'!F157+Fret!F698+Déplacements!F552+'Déchets directs'!F305+Immobilisations!F342+Utilisation!F201+'Fin de vie'!F332)/1000</f>
        <v>0</v>
      </c>
      <c r="G33" s="920">
        <f>('Energie 1'!G280+'Energie 2'!G280+'Hors énergie 1'!G177+'Hors énergie 2'!G177+'Intrants 1'!G397+'Intrants 2'!G395+'Futurs emballages'!G157+Fret!G698+Déplacements!G552+'Déchets directs'!G305+Immobilisations!G342+Utilisation!G201+'Fin de vie'!G332)/1000</f>
        <v>0</v>
      </c>
      <c r="H33" s="920">
        <f>('Energie 1'!H280+'Energie 2'!H280+'Hors énergie 1'!H177+'Hors énergie 2'!H177+'Intrants 1'!H397+'Intrants 2'!H395+'Futurs emballages'!H157+Fret!H698+Déplacements!H552+'Déchets directs'!H305+Immobilisations!H342+Utilisation!H201+'Fin de vie'!H332)/1000</f>
        <v>0</v>
      </c>
      <c r="I33" s="920">
        <f>('Energie 1'!I280+'Energie 2'!I280+'Hors énergie 1'!I177+'Hors énergie 2'!I177+'Intrants 1'!I397+'Intrants 2'!I395+'Futurs emballages'!I157+Fret!I698+Déplacements!I552+'Déchets directs'!I305+Immobilisations!I342+Utilisation!I201+'Fin de vie'!I332)/1000</f>
        <v>0</v>
      </c>
      <c r="J33" s="920">
        <f>('Energie 1'!J280+'Energie 2'!J280+'Hors énergie 1'!J177+'Hors énergie 2'!J177+'Intrants 1'!J397+'Intrants 2'!J395+'Futurs emballages'!J157+Fret!J698+Déplacements!J552+'Déchets directs'!J305+Immobilisations!J342+Utilisation!J201+'Fin de vie'!J332)/1000</f>
        <v>0</v>
      </c>
      <c r="K33" s="920">
        <f>('Energie 1'!K280+'Energie 2'!K280+'Hors énergie 1'!K177+'Hors énergie 2'!K177+'Intrants 1'!K397+'Intrants 2'!K395+'Futurs emballages'!K157+Fret!K698+Déplacements!K552+'Déchets directs'!K305+Immobilisations!K342+Utilisation!K201+'Fin de vie'!K332)/1000</f>
        <v>0</v>
      </c>
      <c r="L33" s="878">
        <f>('Energie 1'!L280+'Energie 2'!L280+'Hors énergie 1'!L177+'Hors énergie 2'!L177+'Intrants 1'!L397+'Intrants 2'!L395+'Futurs emballages'!L157+Fret!L698+Déplacements!L552+'Déchets directs'!L305+Immobilisations!L342+Utilisation!L201+'Fin de vie'!L332)/1000</f>
        <v>0</v>
      </c>
      <c r="M33" s="922">
        <f>('Energie 1'!M280+'Energie 2'!M280+'Hors énergie 1'!M177+'Hors énergie 2'!M177+'Intrants 1'!M397+'Intrants 2'!M395+'Futurs emballages'!M157+Fret!M698+Déplacements!M552+'Déchets directs'!M305+Immobilisations!M342+Utilisation!M201+'Fin de vie'!M332)/1000</f>
        <v>0</v>
      </c>
      <c r="N33" s="858">
        <f>SQRT('Energie 1'!N280^2+'Energie 2'!N280^2+'Hors énergie 1'!N177^2+'Hors énergie 2'!N177^2+'Intrants 1'!N397^2+'Intrants 2'!N395^2+'Futurs emballages'!N157^2+Fret!N698^2+Déplacements!N552^2+'Déchets directs'!N305^2+Immobilisations!N342^2+Utilisation!N201^2+'Fin de vie'!N332^2)/1000</f>
        <v>0</v>
      </c>
      <c r="O33" s="880">
        <f>('Energie 1'!O280+'Energie 2'!O280+'Hors énergie 1'!O177+'Hors énergie 2'!O177+'Intrants 1'!O397+'Intrants 2'!O395+'Futurs emballages'!O157+Fret!O698+Déplacements!O552+'Déchets directs'!O305+Immobilisations!O342+Utilisation!O201+'Fin de vie'!O332)/1000</f>
        <v>0</v>
      </c>
      <c r="P33" s="88">
        <v>1</v>
      </c>
      <c r="Q33" s="924">
        <f t="shared" si="20"/>
        <v>0</v>
      </c>
      <c r="R33" s="924">
        <f t="shared" si="20"/>
        <v>0</v>
      </c>
      <c r="S33" s="924">
        <f t="shared" si="20"/>
        <v>0</v>
      </c>
      <c r="T33" s="924">
        <f t="shared" si="20"/>
        <v>0</v>
      </c>
      <c r="U33" s="924">
        <f t="shared" si="20"/>
        <v>0</v>
      </c>
      <c r="V33" s="924">
        <f t="shared" si="20"/>
        <v>0</v>
      </c>
      <c r="W33" s="924">
        <f t="shared" si="20"/>
        <v>0</v>
      </c>
      <c r="X33" s="864">
        <f t="shared" si="20"/>
        <v>0</v>
      </c>
      <c r="Y33" s="926">
        <f t="shared" si="20"/>
        <v>0</v>
      </c>
      <c r="Z33" s="858">
        <f t="shared" si="20"/>
        <v>0</v>
      </c>
      <c r="AA33" s="856">
        <f t="shared" si="20"/>
        <v>0</v>
      </c>
    </row>
    <row r="34" spans="2:27">
      <c r="B34" s="2999"/>
      <c r="C34" s="875" t="s">
        <v>754</v>
      </c>
      <c r="D34" s="876" t="s">
        <v>740</v>
      </c>
      <c r="E34" s="920">
        <f>('Energie 1'!E281+'Energie 2'!E281+'Hors énergie 1'!E178+'Hors énergie 2'!E178+'Intrants 1'!E398+'Intrants 2'!E396+'Futurs emballages'!E158+Fret!E699+Déplacements!E553+'Déchets directs'!E306+Immobilisations!E343+Utilisation!E202+'Fin de vie'!E333)/1000</f>
        <v>0</v>
      </c>
      <c r="F34" s="920">
        <f>('Energie 1'!F281+'Energie 2'!F281+'Hors énergie 1'!F178+'Hors énergie 2'!F178+'Intrants 1'!F398+'Intrants 2'!F396+'Futurs emballages'!F158+Fret!F699+Déplacements!F553+'Déchets directs'!F306+Immobilisations!F343+Utilisation!F202+'Fin de vie'!F333)/1000</f>
        <v>0</v>
      </c>
      <c r="G34" s="920">
        <f>('Energie 1'!G281+'Energie 2'!G281+'Hors énergie 1'!G178+'Hors énergie 2'!G178+'Intrants 1'!G398+'Intrants 2'!G396+'Futurs emballages'!G158+Fret!G699+Déplacements!G553+'Déchets directs'!G306+Immobilisations!G343+Utilisation!G202+'Fin de vie'!G333)/1000</f>
        <v>0</v>
      </c>
      <c r="H34" s="920">
        <f>('Energie 1'!H281+'Energie 2'!H281+'Hors énergie 1'!H178+'Hors énergie 2'!H178+'Intrants 1'!H398+'Intrants 2'!H396+'Futurs emballages'!H158+Fret!H699+Déplacements!H553+'Déchets directs'!H306+Immobilisations!H343+Utilisation!H202+'Fin de vie'!H333)/1000</f>
        <v>0</v>
      </c>
      <c r="I34" s="920">
        <f>('Energie 1'!I281+'Energie 2'!I281+'Hors énergie 1'!I178+'Hors énergie 2'!I178+'Intrants 1'!I398+'Intrants 2'!I396+'Futurs emballages'!I158+Fret!I699+Déplacements!I553+'Déchets directs'!I306+Immobilisations!I343+Utilisation!I202+'Fin de vie'!I333)/1000</f>
        <v>0</v>
      </c>
      <c r="J34" s="920">
        <f>('Energie 1'!J281+'Energie 2'!J281+'Hors énergie 1'!J178+'Hors énergie 2'!J178+'Intrants 1'!J398+'Intrants 2'!J396+'Futurs emballages'!J158+Fret!J699+Déplacements!J553+'Déchets directs'!J306+Immobilisations!J343+Utilisation!J202+'Fin de vie'!J333)/1000</f>
        <v>0</v>
      </c>
      <c r="K34" s="920">
        <f>('Energie 1'!K281+'Energie 2'!K281+'Hors énergie 1'!K178+'Hors énergie 2'!K178+'Intrants 1'!K398+'Intrants 2'!K396+'Futurs emballages'!K158+Fret!K699+Déplacements!K553+'Déchets directs'!K306+Immobilisations!K343+Utilisation!K202+'Fin de vie'!K333)/1000</f>
        <v>0</v>
      </c>
      <c r="L34" s="878">
        <f>('Energie 1'!L281+'Energie 2'!L281+'Hors énergie 1'!L178+'Hors énergie 2'!L178+'Intrants 1'!L398+'Intrants 2'!L396+'Futurs emballages'!L158+Fret!L699+Déplacements!L553+'Déchets directs'!L306+Immobilisations!L343+Utilisation!L202+'Fin de vie'!L333)/1000</f>
        <v>0</v>
      </c>
      <c r="M34" s="922">
        <f>('Energie 1'!M281+'Energie 2'!M281+'Hors énergie 1'!M178+'Hors énergie 2'!M178+'Intrants 1'!M398+'Intrants 2'!M396+'Futurs emballages'!M158+Fret!M699+Déplacements!M553+'Déchets directs'!M306+Immobilisations!M343+Utilisation!M202+'Fin de vie'!M333)/1000</f>
        <v>0</v>
      </c>
      <c r="N34" s="858">
        <f>SQRT('Energie 1'!N281^2+'Energie 2'!N281^2+'Hors énergie 1'!N178^2+'Hors énergie 2'!N178^2+'Intrants 1'!N398^2+'Intrants 2'!N396^2+'Futurs emballages'!N158^2+Fret!N699^2+Déplacements!N553^2+'Déchets directs'!N306^2+Immobilisations!N343^2+Utilisation!N202^2+'Fin de vie'!N333^2)/1000</f>
        <v>0</v>
      </c>
      <c r="O34" s="880">
        <f>('Energie 1'!O281+'Energie 2'!O281+'Hors énergie 1'!O178+'Hors énergie 2'!O178+'Intrants 1'!O398+'Intrants 2'!O396+'Futurs emballages'!O158+Fret!O699+Déplacements!O553+'Déchets directs'!O306+Immobilisations!O343+Utilisation!O202+'Fin de vie'!O333)/1000</f>
        <v>0</v>
      </c>
      <c r="P34" s="88">
        <v>1</v>
      </c>
      <c r="Q34" s="924">
        <f>IF($E$4="Oui",SUMPRODUCT(E10:E13,$P10:$P13)+SUMPRODUCT(E15:E16,$P15:$P16)+SUMPRODUCT(E19:E27,$P19:$P27)+SUMPRODUCT(E29:E36,$P29:$P36),IF($E$5="Oui",0,E34*$P34))</f>
        <v>0</v>
      </c>
      <c r="R34" s="924">
        <f t="shared" ref="R34:AA34" si="21">IF($E$4="Oui",SUMPRODUCT(F10:F13,$P10:$P13)+SUMPRODUCT(F15:F16,$P15:$P16)+SUMPRODUCT(F19:F27,$P19:$P27)+SUMPRODUCT(F29:F36,$P29:$P36),IF($E$5="Oui",0,F34*$P34))</f>
        <v>0</v>
      </c>
      <c r="S34" s="924">
        <f t="shared" si="21"/>
        <v>0</v>
      </c>
      <c r="T34" s="924">
        <f t="shared" si="21"/>
        <v>0</v>
      </c>
      <c r="U34" s="924">
        <f t="shared" si="21"/>
        <v>0</v>
      </c>
      <c r="V34" s="924">
        <f t="shared" si="21"/>
        <v>0</v>
      </c>
      <c r="W34" s="924">
        <f t="shared" si="21"/>
        <v>0</v>
      </c>
      <c r="X34" s="864">
        <f t="shared" si="21"/>
        <v>0</v>
      </c>
      <c r="Y34" s="926">
        <f t="shared" si="21"/>
        <v>0</v>
      </c>
      <c r="Z34" s="858">
        <f t="shared" si="21"/>
        <v>0</v>
      </c>
      <c r="AA34" s="856">
        <f t="shared" si="21"/>
        <v>0</v>
      </c>
    </row>
    <row r="35" spans="2:27" ht="12.75" customHeight="1">
      <c r="B35" s="2999"/>
      <c r="C35" s="875" t="s">
        <v>755</v>
      </c>
      <c r="D35" s="876" t="s">
        <v>472</v>
      </c>
      <c r="E35" s="920">
        <f>('Energie 1'!E282+'Energie 2'!E282+'Hors énergie 1'!E179+'Hors énergie 2'!E179+'Intrants 1'!E399+'Intrants 2'!E397+'Futurs emballages'!E159+Fret!E700+Déplacements!E554+'Déchets directs'!E307+Immobilisations!E344+Utilisation!E203+'Fin de vie'!E334)/1000</f>
        <v>18.927</v>
      </c>
      <c r="F35" s="920">
        <f>('Energie 1'!F282+'Energie 2'!F282+'Hors énergie 1'!F179+'Hors énergie 2'!F179+'Intrants 1'!F399+'Intrants 2'!F397+'Futurs emballages'!F159+Fret!F700+Déplacements!F554+'Déchets directs'!F307+Immobilisations!F344+Utilisation!F203+'Fin de vie'!F334)/1000</f>
        <v>0</v>
      </c>
      <c r="G35" s="920">
        <f>('Energie 1'!G282+'Energie 2'!G282+'Hors énergie 1'!G179+'Hors énergie 2'!G179+'Intrants 1'!G399+'Intrants 2'!G397+'Futurs emballages'!G159+Fret!G700+Déplacements!G554+'Déchets directs'!G307+Immobilisations!G344+Utilisation!G203+'Fin de vie'!G334)/1000</f>
        <v>0</v>
      </c>
      <c r="H35" s="920">
        <f>('Energie 1'!H282+'Energie 2'!H282+'Hors énergie 1'!H179+'Hors énergie 2'!H179+'Intrants 1'!H399+'Intrants 2'!H397+'Futurs emballages'!H159+Fret!H700+Déplacements!H554+'Déchets directs'!H307+Immobilisations!H344+Utilisation!H203+'Fin de vie'!H334)/1000</f>
        <v>0</v>
      </c>
      <c r="I35" s="920">
        <f>('Energie 1'!I282+'Energie 2'!I282+'Hors énergie 1'!I179+'Hors énergie 2'!I179+'Intrants 1'!I399+'Intrants 2'!I397+'Futurs emballages'!I159+Fret!I700+Déplacements!I554+'Déchets directs'!I307+Immobilisations!I344+Utilisation!I203+'Fin de vie'!I334)/1000</f>
        <v>0</v>
      </c>
      <c r="J35" s="920">
        <f>('Energie 1'!J282+'Energie 2'!J282+'Hors énergie 1'!J179+'Hors énergie 2'!J179+'Intrants 1'!J399+'Intrants 2'!J397+'Futurs emballages'!J159+Fret!J700+Déplacements!J554+'Déchets directs'!J307+Immobilisations!J344+Utilisation!J203+'Fin de vie'!J334)/1000</f>
        <v>0</v>
      </c>
      <c r="K35" s="920">
        <f>('Energie 1'!K282+'Energie 2'!K282+'Hors énergie 1'!K179+'Hors énergie 2'!K179+'Intrants 1'!K399+'Intrants 2'!K397+'Futurs emballages'!K159+Fret!K700+Déplacements!K554+'Déchets directs'!K307+Immobilisations!K344+Utilisation!K203+'Fin de vie'!K334)/1000</f>
        <v>0</v>
      </c>
      <c r="L35" s="878">
        <f>('Energie 1'!L282+'Energie 2'!L282+'Hors énergie 1'!L179+'Hors énergie 2'!L179+'Intrants 1'!L399+'Intrants 2'!L397+'Futurs emballages'!L159+Fret!L700+Déplacements!L554+'Déchets directs'!L307+Immobilisations!L344+Utilisation!L203+'Fin de vie'!L334)/1000</f>
        <v>18.927</v>
      </c>
      <c r="M35" s="922">
        <f>('Energie 1'!M282+'Energie 2'!M282+'Hors énergie 1'!M179+'Hors énergie 2'!M179+'Intrants 1'!M399+'Intrants 2'!M397+'Futurs emballages'!M159+Fret!M700+Déplacements!M554+'Déchets directs'!M307+Immobilisations!M344+Utilisation!M203+'Fin de vie'!M334)/1000</f>
        <v>0</v>
      </c>
      <c r="N35" s="858">
        <f>SQRT('Energie 1'!N282^2+'Energie 2'!N282^2+'Hors énergie 1'!N179^2+'Hors énergie 2'!N179^2+'Intrants 1'!N399^2+'Intrants 2'!N397^2+'Futurs emballages'!N159^2+Fret!N700^2+Déplacements!N554^2+'Déchets directs'!N307^2+Immobilisations!N344^2+Utilisation!N203^2+'Fin de vie'!N334^2)/1000</f>
        <v>8.5305063859069925</v>
      </c>
      <c r="O35" s="880">
        <f>('Energie 1'!O282+'Energie 2'!O282+'Hors énergie 1'!O179+'Hors énergie 2'!O179+'Intrants 1'!O399+'Intrants 2'!O397+'Futurs emballages'!O159+Fret!O700+Déplacements!O554+'Déchets directs'!O307+Immobilisations!O344+Utilisation!O203+'Fin de vie'!O334)/1000</f>
        <v>0</v>
      </c>
      <c r="P35" s="88">
        <v>1</v>
      </c>
      <c r="Q35" s="924">
        <f t="shared" ref="Q35:AA36" si="22">IF($E$4="Oui",0,IF($E$5="Oui",0,E35*$P35))</f>
        <v>18.927</v>
      </c>
      <c r="R35" s="924">
        <f t="shared" si="22"/>
        <v>0</v>
      </c>
      <c r="S35" s="924">
        <f t="shared" si="22"/>
        <v>0</v>
      </c>
      <c r="T35" s="924">
        <f t="shared" si="22"/>
        <v>0</v>
      </c>
      <c r="U35" s="924">
        <f t="shared" si="22"/>
        <v>0</v>
      </c>
      <c r="V35" s="924">
        <f t="shared" si="22"/>
        <v>0</v>
      </c>
      <c r="W35" s="924">
        <f t="shared" si="22"/>
        <v>0</v>
      </c>
      <c r="X35" s="864">
        <f t="shared" si="22"/>
        <v>18.927</v>
      </c>
      <c r="Y35" s="926">
        <f t="shared" si="22"/>
        <v>0</v>
      </c>
      <c r="Z35" s="858">
        <f t="shared" si="22"/>
        <v>8.5305063859069925</v>
      </c>
      <c r="AA35" s="856">
        <f t="shared" si="22"/>
        <v>0</v>
      </c>
    </row>
    <row r="36" spans="2:27" ht="12.75" customHeight="1">
      <c r="B36" s="2999"/>
      <c r="C36" s="886"/>
      <c r="D36" s="876" t="s">
        <v>763</v>
      </c>
      <c r="E36" s="920">
        <f>('Energie 1'!E283+'Energie 2'!E283+'Hors énergie 1'!E180+'Hors énergie 2'!E180+'Intrants 1'!E400+'Intrants 2'!E398+'Futurs emballages'!E160+Fret!E701+Déplacements!E555+'Déchets directs'!E308+Immobilisations!E345+Utilisation!E204+'Fin de vie'!E335)/1000</f>
        <v>0</v>
      </c>
      <c r="F36" s="920">
        <f>('Energie 1'!F283+'Energie 2'!F283+'Hors énergie 1'!F180+'Hors énergie 2'!F180+'Intrants 1'!F400+'Intrants 2'!F398+'Futurs emballages'!F160+Fret!F701+Déplacements!F555+'Déchets directs'!F308+Immobilisations!F345+Utilisation!F204+'Fin de vie'!F335)/1000</f>
        <v>0</v>
      </c>
      <c r="G36" s="920">
        <f>('Energie 1'!G283+'Energie 2'!G283+'Hors énergie 1'!G180+'Hors énergie 2'!G180+'Intrants 1'!G400+'Intrants 2'!G398+'Futurs emballages'!G160+Fret!G701+Déplacements!G555+'Déchets directs'!G308+Immobilisations!G345+Utilisation!G204+'Fin de vie'!G335)/1000</f>
        <v>0</v>
      </c>
      <c r="H36" s="920">
        <f>('Energie 1'!H283+'Energie 2'!H283+'Hors énergie 1'!H180+'Hors énergie 2'!H180+'Intrants 1'!H400+'Intrants 2'!H398+'Futurs emballages'!H160+Fret!H701+Déplacements!H555+'Déchets directs'!H308+Immobilisations!H345+Utilisation!H204+'Fin de vie'!H335)/1000</f>
        <v>0</v>
      </c>
      <c r="I36" s="920">
        <f>('Energie 1'!I283+'Energie 2'!I283+'Hors énergie 1'!I180+'Hors énergie 2'!I180+'Intrants 1'!I400+'Intrants 2'!I398+'Futurs emballages'!I160+Fret!I701+Déplacements!I555+'Déchets directs'!I308+Immobilisations!I345+Utilisation!I204+'Fin de vie'!I335)/1000</f>
        <v>0</v>
      </c>
      <c r="J36" s="920">
        <f>('Energie 1'!J283+'Energie 2'!J283+'Hors énergie 1'!J180+'Hors énergie 2'!J180+'Intrants 1'!J400+'Intrants 2'!J398+'Futurs emballages'!J160+Fret!J701+Déplacements!J555+'Déchets directs'!J308+Immobilisations!J345+Utilisation!J204+'Fin de vie'!J335)/1000</f>
        <v>0</v>
      </c>
      <c r="K36" s="920">
        <f>('Energie 1'!K283+'Energie 2'!K283+'Hors énergie 1'!K180+'Hors énergie 2'!K180+'Intrants 1'!K400+'Intrants 2'!K398+'Futurs emballages'!K160+Fret!K701+Déplacements!K555+'Déchets directs'!K308+Immobilisations!K345+Utilisation!K204+'Fin de vie'!K335)/1000</f>
        <v>0</v>
      </c>
      <c r="L36" s="878">
        <f>('Energie 1'!L283+'Energie 2'!L283+'Hors énergie 1'!L180+'Hors énergie 2'!L180+'Intrants 1'!L400+'Intrants 2'!L398+'Futurs emballages'!L160+Fret!L701+Déplacements!L555+'Déchets directs'!L308+Immobilisations!L345+Utilisation!L204+'Fin de vie'!L335)/1000</f>
        <v>0</v>
      </c>
      <c r="M36" s="922">
        <f>('Energie 1'!M283+'Energie 2'!M283+'Hors énergie 1'!M180+'Hors énergie 2'!M180+'Intrants 1'!M400+'Intrants 2'!M398+'Futurs emballages'!M160+Fret!M701+Déplacements!M555+'Déchets directs'!M308+Immobilisations!M345+Utilisation!M204+'Fin de vie'!M335)/1000</f>
        <v>0</v>
      </c>
      <c r="N36" s="858">
        <f>SQRT('Energie 1'!N283^2+'Energie 2'!N283^2+'Hors énergie 1'!N180^2+'Hors énergie 2'!N180^2+'Intrants 1'!N400^2+'Intrants 2'!N398^2+'Futurs emballages'!N160^2+Fret!N701^2+Déplacements!N555^2+'Déchets directs'!N308^2+Immobilisations!N345^2+Utilisation!N204^2+'Fin de vie'!N335^2)/1000</f>
        <v>0</v>
      </c>
      <c r="O36" s="880">
        <f>('Energie 1'!O283+'Energie 2'!O283+'Hors énergie 1'!O180+'Hors énergie 2'!O180+'Intrants 1'!O400+'Intrants 2'!O398+'Futurs emballages'!O160+Fret!O701+Déplacements!O555+'Déchets directs'!O308+Immobilisations!O345+Utilisation!O204+'Fin de vie'!O335)/1000</f>
        <v>0</v>
      </c>
      <c r="P36" s="88">
        <v>1</v>
      </c>
      <c r="Q36" s="924">
        <f t="shared" si="22"/>
        <v>0</v>
      </c>
      <c r="R36" s="924">
        <f t="shared" si="22"/>
        <v>0</v>
      </c>
      <c r="S36" s="924">
        <f t="shared" si="22"/>
        <v>0</v>
      </c>
      <c r="T36" s="924">
        <f t="shared" si="22"/>
        <v>0</v>
      </c>
      <c r="U36" s="924">
        <f t="shared" si="22"/>
        <v>0</v>
      </c>
      <c r="V36" s="924">
        <f t="shared" si="22"/>
        <v>0</v>
      </c>
      <c r="W36" s="924">
        <f t="shared" si="22"/>
        <v>0</v>
      </c>
      <c r="X36" s="864">
        <f t="shared" si="22"/>
        <v>0</v>
      </c>
      <c r="Y36" s="926">
        <f t="shared" si="22"/>
        <v>0</v>
      </c>
      <c r="Z36" s="858">
        <f t="shared" si="22"/>
        <v>0</v>
      </c>
      <c r="AA36" s="856">
        <f t="shared" si="22"/>
        <v>0</v>
      </c>
    </row>
    <row r="37" spans="2:27">
      <c r="B37" s="3000"/>
      <c r="C37" s="3001" t="s">
        <v>724</v>
      </c>
      <c r="D37" s="3002"/>
      <c r="E37" s="921" t="e">
        <f t="shared" ref="E37:O37" ca="1" si="23">SUM(E19:E36)</f>
        <v>#REF!</v>
      </c>
      <c r="F37" s="921">
        <f t="shared" si="23"/>
        <v>5.8792345920000004</v>
      </c>
      <c r="G37" s="921">
        <f t="shared" si="23"/>
        <v>1.483662E-2</v>
      </c>
      <c r="H37" s="921">
        <f t="shared" si="23"/>
        <v>0</v>
      </c>
      <c r="I37" s="921">
        <f t="shared" si="23"/>
        <v>0</v>
      </c>
      <c r="J37" s="921">
        <f t="shared" si="23"/>
        <v>0</v>
      </c>
      <c r="K37" s="921">
        <f t="shared" si="23"/>
        <v>0.70032839999999996</v>
      </c>
      <c r="L37" s="881" t="e">
        <f t="shared" ca="1" si="23"/>
        <v>#REF!</v>
      </c>
      <c r="M37" s="923">
        <f t="shared" ca="1" si="23"/>
        <v>1.4507399999999999</v>
      </c>
      <c r="N37" s="883">
        <f>SQRT(SUMSQ(N19:N36))</f>
        <v>433.14741399064314</v>
      </c>
      <c r="O37" s="884">
        <f t="shared" si="23"/>
        <v>0</v>
      </c>
      <c r="Q37" s="925" t="e">
        <f t="shared" ref="Q37:AA37" ca="1" si="24">SUM(Q19:Q36)</f>
        <v>#REF!</v>
      </c>
      <c r="R37" s="925">
        <f t="shared" si="24"/>
        <v>5.8792345920000004</v>
      </c>
      <c r="S37" s="925">
        <f t="shared" si="24"/>
        <v>1.483662E-2</v>
      </c>
      <c r="T37" s="925">
        <f t="shared" si="24"/>
        <v>0</v>
      </c>
      <c r="U37" s="925">
        <f t="shared" si="24"/>
        <v>0</v>
      </c>
      <c r="V37" s="925">
        <f t="shared" si="24"/>
        <v>0</v>
      </c>
      <c r="W37" s="925">
        <f t="shared" si="24"/>
        <v>0.70032839999999996</v>
      </c>
      <c r="X37" s="852" t="e">
        <f t="shared" ca="1" si="24"/>
        <v>#REF!</v>
      </c>
      <c r="Y37" s="927">
        <f t="shared" ca="1" si="24"/>
        <v>1.4507399999999999</v>
      </c>
      <c r="Z37" s="859">
        <f>SQRT(SUMSQ(Z19:Z36))</f>
        <v>433.14741399064314</v>
      </c>
      <c r="AA37" s="860">
        <f t="shared" si="24"/>
        <v>0</v>
      </c>
    </row>
    <row r="38" spans="2:27" s="114" customFormat="1"/>
    <row r="39" spans="2:27" s="114" customFormat="1"/>
    <row r="40" spans="2:27">
      <c r="D40" s="114"/>
      <c r="E40" s="2674" t="s">
        <v>499</v>
      </c>
      <c r="F40" s="2675"/>
      <c r="G40" s="2675"/>
      <c r="H40" s="2676"/>
    </row>
    <row r="41" spans="2:27">
      <c r="D41" s="114"/>
      <c r="E41" s="850" t="s">
        <v>43</v>
      </c>
      <c r="F41" s="850" t="s">
        <v>522</v>
      </c>
      <c r="G41" s="850" t="s">
        <v>522</v>
      </c>
      <c r="H41" s="850" t="s">
        <v>523</v>
      </c>
    </row>
    <row r="42" spans="2:27">
      <c r="D42" s="87" t="s">
        <v>488</v>
      </c>
      <c r="E42" s="815">
        <f>L10-N10</f>
        <v>290.00520936134041</v>
      </c>
      <c r="F42" s="815">
        <f>L10</f>
        <v>304.75427791599998</v>
      </c>
      <c r="G42" s="815">
        <f>L10</f>
        <v>304.75427791599998</v>
      </c>
      <c r="H42" s="815">
        <f>L10+N10</f>
        <v>319.50334647065955</v>
      </c>
    </row>
    <row r="43" spans="2:27">
      <c r="D43" s="87" t="s">
        <v>764</v>
      </c>
      <c r="E43" s="815">
        <f>L11-N11</f>
        <v>0</v>
      </c>
      <c r="F43" s="815">
        <f>L11</f>
        <v>0</v>
      </c>
      <c r="G43" s="815">
        <f>L11</f>
        <v>0</v>
      </c>
      <c r="H43" s="815">
        <f>L11+N11</f>
        <v>0</v>
      </c>
    </row>
    <row r="44" spans="2:27">
      <c r="D44" s="87" t="s">
        <v>723</v>
      </c>
      <c r="E44" s="815">
        <f>L12-N12</f>
        <v>0</v>
      </c>
      <c r="F44" s="815">
        <f>L12</f>
        <v>0</v>
      </c>
      <c r="G44" s="815">
        <f>L12</f>
        <v>0</v>
      </c>
      <c r="H44" s="815">
        <f>L12+N12</f>
        <v>0</v>
      </c>
    </row>
    <row r="45" spans="2:27">
      <c r="D45" s="87" t="s">
        <v>462</v>
      </c>
      <c r="E45" s="815">
        <f>L13-N13</f>
        <v>0.2026157379105184</v>
      </c>
      <c r="F45" s="815">
        <f>L13</f>
        <v>0.48599999999999999</v>
      </c>
      <c r="G45" s="815">
        <f>L13</f>
        <v>0.48599999999999999</v>
      </c>
      <c r="H45" s="815">
        <f>L13+N13</f>
        <v>0.76938426208948152</v>
      </c>
    </row>
    <row r="46" spans="2:27">
      <c r="D46" s="87" t="s">
        <v>485</v>
      </c>
      <c r="E46" s="815">
        <f>L15-N15</f>
        <v>17.36097165</v>
      </c>
      <c r="F46" s="815">
        <f>L15</f>
        <v>19.289968500000001</v>
      </c>
      <c r="G46" s="815">
        <f>L15</f>
        <v>19.289968500000001</v>
      </c>
      <c r="H46" s="815">
        <f>L15+N15</f>
        <v>21.218965350000001</v>
      </c>
    </row>
    <row r="47" spans="2:27">
      <c r="D47" s="87" t="s">
        <v>486</v>
      </c>
      <c r="E47" s="815">
        <f>L16-N16</f>
        <v>0</v>
      </c>
      <c r="F47" s="815">
        <f>L16</f>
        <v>0</v>
      </c>
      <c r="G47" s="815">
        <f>L16</f>
        <v>0</v>
      </c>
      <c r="H47" s="815">
        <f>L16+N16</f>
        <v>0</v>
      </c>
    </row>
    <row r="48" spans="2:27">
      <c r="D48" s="87" t="s">
        <v>733</v>
      </c>
      <c r="E48" s="815">
        <f t="shared" ref="E48:E56" si="25">L19-N19</f>
        <v>2430.6416902533706</v>
      </c>
      <c r="F48" s="815">
        <f t="shared" ref="F48:F56" si="26">L19</f>
        <v>2816.2550000000001</v>
      </c>
      <c r="G48" s="815">
        <f t="shared" ref="G48:G56" si="27">L19</f>
        <v>2816.2550000000001</v>
      </c>
      <c r="H48" s="815">
        <f t="shared" ref="H48:H56" si="28">L19+N19</f>
        <v>3201.8683097466296</v>
      </c>
    </row>
    <row r="49" spans="4:8">
      <c r="D49" s="87" t="s">
        <v>734</v>
      </c>
      <c r="E49" s="815">
        <f t="shared" si="25"/>
        <v>-12.133395140725817</v>
      </c>
      <c r="F49" s="815">
        <f t="shared" si="26"/>
        <v>0</v>
      </c>
      <c r="G49" s="815">
        <f t="shared" si="27"/>
        <v>0</v>
      </c>
      <c r="H49" s="815">
        <f t="shared" si="28"/>
        <v>12.133395140725817</v>
      </c>
    </row>
    <row r="50" spans="4:8">
      <c r="D50" s="87" t="s">
        <v>765</v>
      </c>
      <c r="E50" s="815">
        <f t="shared" si="25"/>
        <v>70.846139606139346</v>
      </c>
      <c r="F50" s="815">
        <f t="shared" si="26"/>
        <v>74.061055211999985</v>
      </c>
      <c r="G50" s="815">
        <f t="shared" si="27"/>
        <v>74.061055211999985</v>
      </c>
      <c r="H50" s="815">
        <f t="shared" si="28"/>
        <v>77.275970817860625</v>
      </c>
    </row>
    <row r="51" spans="4:8">
      <c r="D51" s="87" t="s">
        <v>815</v>
      </c>
      <c r="E51" s="815">
        <f t="shared" si="25"/>
        <v>215.20138589866332</v>
      </c>
      <c r="F51" s="815">
        <f t="shared" si="26"/>
        <v>295.73983500000003</v>
      </c>
      <c r="G51" s="815">
        <f t="shared" si="27"/>
        <v>295.73983500000003</v>
      </c>
      <c r="H51" s="815">
        <f t="shared" si="28"/>
        <v>376.27828410133674</v>
      </c>
    </row>
    <row r="52" spans="4:8">
      <c r="D52" s="87" t="s">
        <v>736</v>
      </c>
      <c r="E52" s="815">
        <f t="shared" si="25"/>
        <v>33.258177681966416</v>
      </c>
      <c r="F52" s="815">
        <f t="shared" si="26"/>
        <v>39.17</v>
      </c>
      <c r="G52" s="815">
        <f t="shared" si="27"/>
        <v>39.17</v>
      </c>
      <c r="H52" s="815">
        <f t="shared" si="28"/>
        <v>45.081822318033588</v>
      </c>
    </row>
    <row r="53" spans="4:8">
      <c r="D53" s="87" t="s">
        <v>470</v>
      </c>
      <c r="E53" s="815">
        <f t="shared" si="25"/>
        <v>0.62717471848814743</v>
      </c>
      <c r="F53" s="815">
        <f t="shared" si="26"/>
        <v>1.480896</v>
      </c>
      <c r="G53" s="815">
        <f t="shared" si="27"/>
        <v>1.480896</v>
      </c>
      <c r="H53" s="815">
        <f t="shared" si="28"/>
        <v>2.3346172815118527</v>
      </c>
    </row>
    <row r="54" spans="4:8">
      <c r="D54" s="87" t="s">
        <v>479</v>
      </c>
      <c r="E54" s="815">
        <f t="shared" ca="1" si="25"/>
        <v>62.888326998863775</v>
      </c>
      <c r="F54" s="815">
        <f t="shared" ca="1" si="26"/>
        <v>82.7475266</v>
      </c>
      <c r="G54" s="815">
        <f t="shared" ca="1" si="27"/>
        <v>82.7475266</v>
      </c>
      <c r="H54" s="815">
        <f t="shared" ca="1" si="28"/>
        <v>102.60672620113623</v>
      </c>
    </row>
    <row r="55" spans="4:8">
      <c r="D55" s="87" t="s">
        <v>471</v>
      </c>
      <c r="E55" s="815">
        <f t="shared" si="25"/>
        <v>0</v>
      </c>
      <c r="F55" s="815">
        <f t="shared" si="26"/>
        <v>0</v>
      </c>
      <c r="G55" s="815">
        <f t="shared" si="27"/>
        <v>0</v>
      </c>
      <c r="H55" s="815">
        <f t="shared" si="28"/>
        <v>0</v>
      </c>
    </row>
    <row r="56" spans="4:8">
      <c r="D56" s="87" t="s">
        <v>762</v>
      </c>
      <c r="E56" s="815">
        <f t="shared" si="25"/>
        <v>0</v>
      </c>
      <c r="F56" s="815">
        <f t="shared" si="26"/>
        <v>0</v>
      </c>
      <c r="G56" s="815">
        <f t="shared" si="27"/>
        <v>0</v>
      </c>
      <c r="H56" s="815">
        <f t="shared" si="28"/>
        <v>0</v>
      </c>
    </row>
    <row r="57" spans="4:8">
      <c r="D57" s="87" t="s">
        <v>737</v>
      </c>
      <c r="E57" s="815">
        <f t="shared" ref="E57:E64" si="29">L29-N29</f>
        <v>0</v>
      </c>
      <c r="F57" s="815">
        <f t="shared" ref="F57:F64" si="30">L29</f>
        <v>0</v>
      </c>
      <c r="G57" s="815">
        <f t="shared" ref="G57:G64" si="31">L29</f>
        <v>0</v>
      </c>
      <c r="H57" s="815">
        <f t="shared" ref="H57:H64" si="32">L29+N29</f>
        <v>0</v>
      </c>
    </row>
    <row r="58" spans="4:8">
      <c r="D58" s="87" t="s">
        <v>738</v>
      </c>
      <c r="E58" s="815">
        <f t="shared" si="29"/>
        <v>0</v>
      </c>
      <c r="F58" s="815">
        <f t="shared" si="30"/>
        <v>0</v>
      </c>
      <c r="G58" s="815">
        <f t="shared" si="31"/>
        <v>0</v>
      </c>
      <c r="H58" s="815">
        <f t="shared" si="32"/>
        <v>0</v>
      </c>
    </row>
    <row r="59" spans="4:8">
      <c r="D59" s="87" t="s">
        <v>475</v>
      </c>
      <c r="E59" s="815">
        <f t="shared" si="29"/>
        <v>4.7807839760070054</v>
      </c>
      <c r="F59" s="815">
        <f t="shared" si="30"/>
        <v>5.3314577495621718</v>
      </c>
      <c r="G59" s="815">
        <f t="shared" si="31"/>
        <v>5.3314577495621718</v>
      </c>
      <c r="H59" s="815">
        <f t="shared" si="32"/>
        <v>5.8821315231173381</v>
      </c>
    </row>
    <row r="60" spans="4:8">
      <c r="D60" s="87" t="s">
        <v>476</v>
      </c>
      <c r="E60" s="815" t="e">
        <f t="shared" si="29"/>
        <v>#REF!</v>
      </c>
      <c r="F60" s="815" t="e">
        <f t="shared" si="30"/>
        <v>#REF!</v>
      </c>
      <c r="G60" s="815" t="e">
        <f t="shared" si="31"/>
        <v>#REF!</v>
      </c>
      <c r="H60" s="815" t="e">
        <f t="shared" si="32"/>
        <v>#REF!</v>
      </c>
    </row>
    <row r="61" spans="4:8">
      <c r="D61" s="87" t="s">
        <v>739</v>
      </c>
      <c r="E61" s="815">
        <f t="shared" si="29"/>
        <v>0</v>
      </c>
      <c r="F61" s="815">
        <f t="shared" si="30"/>
        <v>0</v>
      </c>
      <c r="G61" s="815">
        <f t="shared" si="31"/>
        <v>0</v>
      </c>
      <c r="H61" s="815">
        <f t="shared" si="32"/>
        <v>0</v>
      </c>
    </row>
    <row r="62" spans="4:8">
      <c r="D62" s="87" t="s">
        <v>740</v>
      </c>
      <c r="E62" s="815">
        <f t="shared" si="29"/>
        <v>0</v>
      </c>
      <c r="F62" s="815">
        <f t="shared" si="30"/>
        <v>0</v>
      </c>
      <c r="G62" s="815">
        <f t="shared" si="31"/>
        <v>0</v>
      </c>
      <c r="H62" s="815">
        <f t="shared" si="32"/>
        <v>0</v>
      </c>
    </row>
    <row r="63" spans="4:8">
      <c r="D63" s="87" t="s">
        <v>472</v>
      </c>
      <c r="E63" s="815">
        <f t="shared" si="29"/>
        <v>10.396493614093007</v>
      </c>
      <c r="F63" s="815">
        <f t="shared" si="30"/>
        <v>18.927</v>
      </c>
      <c r="G63" s="815">
        <f t="shared" si="31"/>
        <v>18.927</v>
      </c>
      <c r="H63" s="815">
        <f t="shared" si="32"/>
        <v>27.457506385906992</v>
      </c>
    </row>
    <row r="64" spans="4:8">
      <c r="D64" s="87" t="s">
        <v>763</v>
      </c>
      <c r="E64" s="815">
        <f t="shared" si="29"/>
        <v>0</v>
      </c>
      <c r="F64" s="815">
        <f t="shared" si="30"/>
        <v>0</v>
      </c>
      <c r="G64" s="815">
        <f t="shared" si="31"/>
        <v>0</v>
      </c>
      <c r="H64" s="815">
        <f t="shared" si="32"/>
        <v>0</v>
      </c>
    </row>
    <row r="65" s="114" customFormat="1"/>
  </sheetData>
  <mergeCells count="19">
    <mergeCell ref="E40:H40"/>
    <mergeCell ref="E7:O7"/>
    <mergeCell ref="Q7:AA7"/>
    <mergeCell ref="Q8:Z8"/>
    <mergeCell ref="Q18:AA18"/>
    <mergeCell ref="Q28:AA28"/>
    <mergeCell ref="E8:N8"/>
    <mergeCell ref="B18:B37"/>
    <mergeCell ref="C14:D14"/>
    <mergeCell ref="C17:D17"/>
    <mergeCell ref="C37:D37"/>
    <mergeCell ref="C28:O28"/>
    <mergeCell ref="C18:O18"/>
    <mergeCell ref="B2:O2"/>
    <mergeCell ref="B4:D4"/>
    <mergeCell ref="B5:D5"/>
    <mergeCell ref="B10:B14"/>
    <mergeCell ref="B15:B17"/>
    <mergeCell ref="B7:C7"/>
  </mergeCells>
  <dataValidations count="1">
    <dataValidation type="list" allowBlank="1" showInputMessage="1" showErrorMessage="1" sqref="E4:E5" xr:uid="{00000000-0002-0000-1300-000000000000}">
      <formula1>Liste_Franchises</formula1>
    </dataValidation>
  </dataValidations>
  <hyperlinks>
    <hyperlink ref="B7" location="Descriptif!A1" display="Retour au Descriptif" xr:uid="{00000000-0004-0000-1300-000000000000}"/>
  </hyperlinks>
  <pageMargins left="0.7" right="0.7" top="0.75" bottom="0.75" header="0.3" footer="0.3"/>
  <pageSetup paperSize="9" orientation="portrait" r:id="rId1"/>
  <ignoredErrors>
    <ignoredError sqref="C33:C35" twoDigitTextYear="1"/>
    <ignoredError sqref="Q14:Y14 R34:AA34 AA14" formula="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D833"/>
  </sheetPr>
  <dimension ref="A1:AG301"/>
  <sheetViews>
    <sheetView showGridLines="0" zoomScale="85" zoomScaleNormal="85" workbookViewId="0"/>
  </sheetViews>
  <sheetFormatPr baseColWidth="10" defaultColWidth="0" defaultRowHeight="13.2" zeroHeight="1" outlineLevelRow="1"/>
  <cols>
    <col min="1" max="1" width="2.75" style="91" customWidth="1"/>
    <col min="2" max="2" width="41.875" style="91" bestFit="1" customWidth="1"/>
    <col min="3" max="3" width="10.25" style="91" customWidth="1"/>
    <col min="4" max="4" width="77.375" style="16" bestFit="1" customWidth="1"/>
    <col min="5" max="6" width="11.25" style="91" customWidth="1"/>
    <col min="7" max="7" width="13" style="91" customWidth="1"/>
    <col min="8" max="14" width="11.25" style="91" customWidth="1"/>
    <col min="15" max="15" width="13" style="91" bestFit="1" customWidth="1"/>
    <col min="16" max="27" width="11.375" style="91" customWidth="1"/>
    <col min="28" max="28" width="2.75" style="91" customWidth="1"/>
    <col min="29" max="33" width="0" style="91" hidden="1" customWidth="1"/>
    <col min="34" max="16384" width="11.375" style="91" hidden="1"/>
  </cols>
  <sheetData>
    <row r="1" spans="1:28" s="114" customFormat="1">
      <c r="N1" s="441"/>
      <c r="O1" s="441"/>
      <c r="P1" s="441"/>
      <c r="Q1" s="441"/>
      <c r="R1" s="441"/>
      <c r="S1" s="441"/>
      <c r="T1" s="441"/>
      <c r="U1" s="441"/>
    </row>
    <row r="2" spans="1:28" s="114" customFormat="1" ht="30" customHeight="1">
      <c r="B2" s="2944" t="s">
        <v>2805</v>
      </c>
      <c r="C2" s="2945"/>
      <c r="D2" s="2945"/>
      <c r="E2" s="2945"/>
      <c r="F2" s="2945"/>
      <c r="G2" s="2945"/>
      <c r="H2" s="2945"/>
      <c r="I2" s="2945"/>
      <c r="J2" s="2945"/>
      <c r="K2" s="2945"/>
      <c r="L2" s="2945"/>
      <c r="M2" s="2945"/>
      <c r="N2" s="2945"/>
      <c r="O2" s="2952"/>
      <c r="P2" s="977"/>
      <c r="Q2" s="975"/>
      <c r="R2" s="975"/>
      <c r="S2" s="975"/>
      <c r="T2" s="975"/>
      <c r="U2" s="975"/>
      <c r="V2" s="264"/>
      <c r="W2" s="264"/>
    </row>
    <row r="3" spans="1:28" s="869" customFormat="1">
      <c r="A3" s="114"/>
    </row>
    <row r="4" spans="1:28" s="1986" customFormat="1" ht="12.75" customHeight="1">
      <c r="A4" s="116"/>
      <c r="B4" s="3038" t="s">
        <v>3098</v>
      </c>
      <c r="C4" s="3039"/>
      <c r="D4" s="3039"/>
      <c r="E4" s="3039"/>
      <c r="F4" s="3039"/>
      <c r="G4" s="3039"/>
      <c r="H4" s="3039"/>
      <c r="I4" s="3039"/>
      <c r="J4" s="3039"/>
      <c r="K4" s="3039"/>
      <c r="L4" s="3039"/>
      <c r="M4" s="3039"/>
      <c r="N4" s="3039"/>
      <c r="O4" s="3040"/>
    </row>
    <row r="5" spans="1:28" s="1986" customFormat="1">
      <c r="A5" s="116"/>
      <c r="B5" s="3041"/>
      <c r="C5" s="3042"/>
      <c r="D5" s="3042"/>
      <c r="E5" s="3042"/>
      <c r="F5" s="3042"/>
      <c r="G5" s="3042"/>
      <c r="H5" s="3042"/>
      <c r="I5" s="3042"/>
      <c r="J5" s="3042"/>
      <c r="K5" s="3042"/>
      <c r="L5" s="3042"/>
      <c r="M5" s="3042"/>
      <c r="N5" s="3042"/>
      <c r="O5" s="3043"/>
    </row>
    <row r="6" spans="1:28" s="1986" customFormat="1" ht="27.75" customHeight="1">
      <c r="A6" s="116"/>
      <c r="B6" s="3044"/>
      <c r="C6" s="3045"/>
      <c r="D6" s="3045"/>
      <c r="E6" s="3045"/>
      <c r="F6" s="3045"/>
      <c r="G6" s="3045"/>
      <c r="H6" s="3045"/>
      <c r="I6" s="3045"/>
      <c r="J6" s="3045"/>
      <c r="K6" s="3045"/>
      <c r="L6" s="3045"/>
      <c r="M6" s="3045"/>
      <c r="N6" s="3045"/>
      <c r="O6" s="3046"/>
    </row>
    <row r="7" spans="1:28" s="869" customFormat="1">
      <c r="A7" s="114"/>
    </row>
    <row r="8" spans="1:28" s="869" customFormat="1" ht="15" customHeight="1">
      <c r="A8" s="114"/>
      <c r="B8" s="2948" t="s">
        <v>767</v>
      </c>
      <c r="C8" s="2972"/>
      <c r="D8" s="2949"/>
      <c r="E8" s="999" t="s">
        <v>768</v>
      </c>
    </row>
    <row r="9" spans="1:28" s="869" customFormat="1" ht="13.8">
      <c r="A9" s="114"/>
      <c r="B9" s="2948" t="s">
        <v>770</v>
      </c>
      <c r="C9" s="2972"/>
      <c r="D9" s="2949"/>
      <c r="E9" s="999" t="s">
        <v>768</v>
      </c>
    </row>
    <row r="10" spans="1:28" s="114" customFormat="1"/>
    <row r="11" spans="1:28" s="114" customFormat="1" ht="13.8">
      <c r="B11" s="2761" t="s">
        <v>2531</v>
      </c>
      <c r="C11" s="2762"/>
    </row>
    <row r="12" spans="1:28" s="869" customFormat="1" ht="15.6">
      <c r="B12" s="2761" t="s">
        <v>894</v>
      </c>
      <c r="C12" s="2762"/>
      <c r="E12" s="2677" t="s">
        <v>2543</v>
      </c>
      <c r="F12" s="2678"/>
      <c r="G12" s="2678"/>
      <c r="H12" s="2678"/>
      <c r="I12" s="2678"/>
      <c r="J12" s="2678"/>
      <c r="K12" s="2678"/>
      <c r="L12" s="2678"/>
      <c r="M12" s="2678"/>
      <c r="N12" s="2678"/>
      <c r="O12" s="2679"/>
      <c r="Q12" s="2677" t="s">
        <v>454</v>
      </c>
      <c r="R12" s="2678"/>
      <c r="S12" s="2678"/>
      <c r="T12" s="2678"/>
      <c r="U12" s="2678"/>
      <c r="V12" s="2678"/>
      <c r="W12" s="2678"/>
      <c r="X12" s="2678"/>
      <c r="Y12" s="2678"/>
      <c r="Z12" s="2678"/>
      <c r="AA12" s="2679"/>
      <c r="AB12" s="114"/>
    </row>
    <row r="13" spans="1:28" s="869" customFormat="1" ht="39.6">
      <c r="D13" s="205"/>
      <c r="E13" s="2701" t="s">
        <v>448</v>
      </c>
      <c r="F13" s="2702"/>
      <c r="G13" s="2702"/>
      <c r="H13" s="2702"/>
      <c r="I13" s="2702"/>
      <c r="J13" s="2702"/>
      <c r="K13" s="2702"/>
      <c r="L13" s="2702"/>
      <c r="M13" s="2702"/>
      <c r="N13" s="2703"/>
      <c r="O13" s="1905" t="s">
        <v>440</v>
      </c>
      <c r="Q13" s="2701" t="s">
        <v>448</v>
      </c>
      <c r="R13" s="2702"/>
      <c r="S13" s="2702"/>
      <c r="T13" s="2702"/>
      <c r="U13" s="2702"/>
      <c r="V13" s="2702"/>
      <c r="W13" s="2702"/>
      <c r="X13" s="2702"/>
      <c r="Y13" s="2702"/>
      <c r="Z13" s="2703"/>
      <c r="AA13" s="1905" t="s">
        <v>440</v>
      </c>
      <c r="AB13" s="114"/>
    </row>
    <row r="14" spans="1:28" s="869" customFormat="1" ht="26.4">
      <c r="B14" s="1904" t="s">
        <v>483</v>
      </c>
      <c r="C14" s="867" t="s">
        <v>623</v>
      </c>
      <c r="D14" s="1904" t="s">
        <v>438</v>
      </c>
      <c r="E14" s="866" t="s">
        <v>869</v>
      </c>
      <c r="F14" s="866" t="s">
        <v>865</v>
      </c>
      <c r="G14" s="866" t="s">
        <v>866</v>
      </c>
      <c r="H14" s="866" t="s">
        <v>870</v>
      </c>
      <c r="I14" s="866" t="s">
        <v>871</v>
      </c>
      <c r="J14" s="866" t="s">
        <v>872</v>
      </c>
      <c r="K14" s="866" t="s">
        <v>868</v>
      </c>
      <c r="L14" s="867" t="s">
        <v>517</v>
      </c>
      <c r="M14" s="866" t="s">
        <v>873</v>
      </c>
      <c r="N14" s="866" t="s">
        <v>516</v>
      </c>
      <c r="O14" s="867" t="s">
        <v>517</v>
      </c>
      <c r="P14" s="89" t="s">
        <v>622</v>
      </c>
      <c r="Q14" s="866" t="s">
        <v>869</v>
      </c>
      <c r="R14" s="866" t="s">
        <v>865</v>
      </c>
      <c r="S14" s="866" t="s">
        <v>866</v>
      </c>
      <c r="T14" s="866" t="s">
        <v>870</v>
      </c>
      <c r="U14" s="866" t="s">
        <v>871</v>
      </c>
      <c r="V14" s="866" t="s">
        <v>872</v>
      </c>
      <c r="W14" s="866" t="s">
        <v>868</v>
      </c>
      <c r="X14" s="867" t="s">
        <v>517</v>
      </c>
      <c r="Y14" s="866" t="s">
        <v>873</v>
      </c>
      <c r="Z14" s="866" t="s">
        <v>516</v>
      </c>
      <c r="AA14" s="867" t="s">
        <v>517</v>
      </c>
      <c r="AB14" s="114"/>
    </row>
    <row r="15" spans="1:28" s="869" customFormat="1" ht="12.75" hidden="1" customHeight="1" outlineLevel="1">
      <c r="B15" s="2998" t="s">
        <v>276</v>
      </c>
      <c r="C15" s="875" t="str">
        <f>'GHG Protocol'!C10</f>
        <v>1-1</v>
      </c>
      <c r="D15" s="876" t="str">
        <f>'GHG Protocol'!D10</f>
        <v>Emissions directes des sources fixes de combustion</v>
      </c>
      <c r="E15" s="877">
        <f>'GHG Protocol'!E10</f>
        <v>302.94259600000004</v>
      </c>
      <c r="F15" s="877">
        <f>'GHG Protocol'!F10</f>
        <v>0.23429999999999998</v>
      </c>
      <c r="G15" s="877">
        <f>'GHG Protocol'!G10</f>
        <v>1.577381916</v>
      </c>
      <c r="H15" s="877">
        <f>'GHG Protocol'!H10</f>
        <v>0</v>
      </c>
      <c r="I15" s="877">
        <f>'GHG Protocol'!I10</f>
        <v>0</v>
      </c>
      <c r="J15" s="877">
        <f>'GHG Protocol'!J10</f>
        <v>0</v>
      </c>
      <c r="K15" s="877">
        <f>'GHG Protocol'!K10</f>
        <v>0</v>
      </c>
      <c r="L15" s="878">
        <f>'GHG Protocol'!L10</f>
        <v>304.75427791599998</v>
      </c>
      <c r="M15" s="879">
        <f ca="1">'GHG Protocol'!M10</f>
        <v>0</v>
      </c>
      <c r="N15" s="858">
        <f>'GHG Protocol'!N10</f>
        <v>14.74906855465958</v>
      </c>
      <c r="O15" s="880">
        <f>'GHG Protocol'!O10</f>
        <v>0</v>
      </c>
      <c r="P15" s="88">
        <v>1</v>
      </c>
      <c r="Q15" s="855">
        <f>IF($E$8="Oui",0,IF($E$9="Oui",0,E15*$P15))</f>
        <v>302.94259600000004</v>
      </c>
      <c r="R15" s="855">
        <f t="shared" ref="R15:AA18" si="0">IF($E$8="Oui",0,IF($E$9="Oui",0,F15*$P15))</f>
        <v>0.23429999999999998</v>
      </c>
      <c r="S15" s="855">
        <f t="shared" si="0"/>
        <v>1.577381916</v>
      </c>
      <c r="T15" s="855">
        <f t="shared" si="0"/>
        <v>0</v>
      </c>
      <c r="U15" s="855">
        <f t="shared" si="0"/>
        <v>0</v>
      </c>
      <c r="V15" s="855">
        <f t="shared" si="0"/>
        <v>0</v>
      </c>
      <c r="W15" s="855">
        <f t="shared" si="0"/>
        <v>0</v>
      </c>
      <c r="X15" s="864">
        <f t="shared" si="0"/>
        <v>304.75427791599998</v>
      </c>
      <c r="Y15" s="853">
        <f t="shared" ca="1" si="0"/>
        <v>0</v>
      </c>
      <c r="Z15" s="858">
        <f t="shared" si="0"/>
        <v>14.74906855465958</v>
      </c>
      <c r="AA15" s="857">
        <f t="shared" si="0"/>
        <v>0</v>
      </c>
      <c r="AB15" s="114"/>
    </row>
    <row r="16" spans="1:28" s="869" customFormat="1" ht="12.75" hidden="1" customHeight="1" outlineLevel="1">
      <c r="B16" s="2999"/>
      <c r="C16" s="875" t="str">
        <f>'GHG Protocol'!C11</f>
        <v>1-2</v>
      </c>
      <c r="D16" s="876" t="str">
        <f>'GHG Protocol'!D11</f>
        <v>Emissions directes des sources mobiles de combustion</v>
      </c>
      <c r="E16" s="877">
        <f>'GHG Protocol'!E11</f>
        <v>0</v>
      </c>
      <c r="F16" s="877">
        <f>'GHG Protocol'!F11</f>
        <v>0</v>
      </c>
      <c r="G16" s="877">
        <f>'GHG Protocol'!G11</f>
        <v>0</v>
      </c>
      <c r="H16" s="877">
        <f>'GHG Protocol'!H11</f>
        <v>0</v>
      </c>
      <c r="I16" s="877">
        <f>'GHG Protocol'!I11</f>
        <v>0</v>
      </c>
      <c r="J16" s="877">
        <f>'GHG Protocol'!J11</f>
        <v>0</v>
      </c>
      <c r="K16" s="877">
        <f>'GHG Protocol'!K11</f>
        <v>0</v>
      </c>
      <c r="L16" s="878">
        <f>'GHG Protocol'!L11</f>
        <v>0</v>
      </c>
      <c r="M16" s="879">
        <f>'GHG Protocol'!M11</f>
        <v>0</v>
      </c>
      <c r="N16" s="858">
        <f>'GHG Protocol'!N11</f>
        <v>0</v>
      </c>
      <c r="O16" s="880">
        <f>'GHG Protocol'!O11</f>
        <v>0</v>
      </c>
      <c r="P16" s="88">
        <v>1</v>
      </c>
      <c r="Q16" s="855">
        <f>IF($E$8="Oui",0,IF($E$9="Oui",0,E16*$P16))</f>
        <v>0</v>
      </c>
      <c r="R16" s="855">
        <f t="shared" si="0"/>
        <v>0</v>
      </c>
      <c r="S16" s="855">
        <f t="shared" si="0"/>
        <v>0</v>
      </c>
      <c r="T16" s="855">
        <f t="shared" si="0"/>
        <v>0</v>
      </c>
      <c r="U16" s="855">
        <f t="shared" si="0"/>
        <v>0</v>
      </c>
      <c r="V16" s="855">
        <f t="shared" si="0"/>
        <v>0</v>
      </c>
      <c r="W16" s="855">
        <f t="shared" si="0"/>
        <v>0</v>
      </c>
      <c r="X16" s="864">
        <f t="shared" si="0"/>
        <v>0</v>
      </c>
      <c r="Y16" s="853">
        <f t="shared" si="0"/>
        <v>0</v>
      </c>
      <c r="Z16" s="858">
        <f t="shared" si="0"/>
        <v>0</v>
      </c>
      <c r="AA16" s="857">
        <f t="shared" si="0"/>
        <v>0</v>
      </c>
      <c r="AB16" s="114"/>
    </row>
    <row r="17" spans="2:28" s="869" customFormat="1" ht="12.75" hidden="1" customHeight="1" outlineLevel="1">
      <c r="B17" s="2999"/>
      <c r="C17" s="875" t="str">
        <f>'GHG Protocol'!C12</f>
        <v>1-3</v>
      </c>
      <c r="D17" s="876" t="str">
        <f>'GHG Protocol'!D12</f>
        <v>Emissions directes des procédés</v>
      </c>
      <c r="E17" s="877">
        <f>'GHG Protocol'!E12</f>
        <v>0</v>
      </c>
      <c r="F17" s="877">
        <f>'GHG Protocol'!F12</f>
        <v>0</v>
      </c>
      <c r="G17" s="877">
        <f>'GHG Protocol'!G12</f>
        <v>0</v>
      </c>
      <c r="H17" s="877">
        <f>'GHG Protocol'!H12</f>
        <v>0</v>
      </c>
      <c r="I17" s="877">
        <f>'GHG Protocol'!I12</f>
        <v>0</v>
      </c>
      <c r="J17" s="877">
        <f>'GHG Protocol'!J12</f>
        <v>0</v>
      </c>
      <c r="K17" s="877">
        <f>'GHG Protocol'!K12</f>
        <v>0</v>
      </c>
      <c r="L17" s="878">
        <f>'GHG Protocol'!L12</f>
        <v>0</v>
      </c>
      <c r="M17" s="879">
        <f>'GHG Protocol'!M12</f>
        <v>0</v>
      </c>
      <c r="N17" s="858">
        <f>'GHG Protocol'!N12</f>
        <v>0</v>
      </c>
      <c r="O17" s="880">
        <f>'GHG Protocol'!O12</f>
        <v>0</v>
      </c>
      <c r="P17" s="88">
        <v>1</v>
      </c>
      <c r="Q17" s="855">
        <f>IF($E$8="Oui",0,IF($E$9="Oui",0,E17*$P17))</f>
        <v>0</v>
      </c>
      <c r="R17" s="855">
        <f t="shared" si="0"/>
        <v>0</v>
      </c>
      <c r="S17" s="855">
        <f t="shared" si="0"/>
        <v>0</v>
      </c>
      <c r="T17" s="855">
        <f t="shared" si="0"/>
        <v>0</v>
      </c>
      <c r="U17" s="855">
        <f t="shared" si="0"/>
        <v>0</v>
      </c>
      <c r="V17" s="855">
        <f t="shared" si="0"/>
        <v>0</v>
      </c>
      <c r="W17" s="855">
        <f t="shared" si="0"/>
        <v>0</v>
      </c>
      <c r="X17" s="864">
        <f t="shared" si="0"/>
        <v>0</v>
      </c>
      <c r="Y17" s="853">
        <f t="shared" si="0"/>
        <v>0</v>
      </c>
      <c r="Z17" s="858">
        <f t="shared" si="0"/>
        <v>0</v>
      </c>
      <c r="AA17" s="857">
        <f t="shared" si="0"/>
        <v>0</v>
      </c>
      <c r="AB17" s="114"/>
    </row>
    <row r="18" spans="2:28" s="869" customFormat="1" ht="12.75" hidden="1" customHeight="1" outlineLevel="1">
      <c r="B18" s="2999"/>
      <c r="C18" s="875" t="str">
        <f>'GHG Protocol'!C13</f>
        <v>1-4</v>
      </c>
      <c r="D18" s="876" t="str">
        <f>'GHG Protocol'!D13</f>
        <v>Emissions directes fugitives</v>
      </c>
      <c r="E18" s="877">
        <f>'GHG Protocol'!E13</f>
        <v>0</v>
      </c>
      <c r="F18" s="877">
        <f>'GHG Protocol'!F13</f>
        <v>0</v>
      </c>
      <c r="G18" s="877">
        <f>'GHG Protocol'!G13</f>
        <v>0</v>
      </c>
      <c r="H18" s="877">
        <f>'GHG Protocol'!H13</f>
        <v>0.48599999999999999</v>
      </c>
      <c r="I18" s="877">
        <f>'GHG Protocol'!I13</f>
        <v>0</v>
      </c>
      <c r="J18" s="877">
        <f>'GHG Protocol'!J13</f>
        <v>0</v>
      </c>
      <c r="K18" s="877">
        <f>'GHG Protocol'!K13</f>
        <v>0</v>
      </c>
      <c r="L18" s="878">
        <f>'GHG Protocol'!L13</f>
        <v>0.48599999999999999</v>
      </c>
      <c r="M18" s="879">
        <f>'GHG Protocol'!M13</f>
        <v>0</v>
      </c>
      <c r="N18" s="858">
        <f>'GHG Protocol'!N13</f>
        <v>0.28338426208948159</v>
      </c>
      <c r="O18" s="880">
        <f>'GHG Protocol'!O13</f>
        <v>0</v>
      </c>
      <c r="P18" s="88">
        <v>1</v>
      </c>
      <c r="Q18" s="855">
        <f>IF($E$8="Oui",0,IF($E$9="Oui",0,E18*$P18))</f>
        <v>0</v>
      </c>
      <c r="R18" s="855">
        <f t="shared" si="0"/>
        <v>0</v>
      </c>
      <c r="S18" s="855">
        <f t="shared" si="0"/>
        <v>0</v>
      </c>
      <c r="T18" s="855">
        <f t="shared" si="0"/>
        <v>0.48599999999999999</v>
      </c>
      <c r="U18" s="855">
        <f t="shared" si="0"/>
        <v>0</v>
      </c>
      <c r="V18" s="855">
        <f t="shared" si="0"/>
        <v>0</v>
      </c>
      <c r="W18" s="855">
        <f t="shared" si="0"/>
        <v>0</v>
      </c>
      <c r="X18" s="864">
        <f t="shared" si="0"/>
        <v>0.48599999999999999</v>
      </c>
      <c r="Y18" s="853">
        <f t="shared" si="0"/>
        <v>0</v>
      </c>
      <c r="Z18" s="858">
        <f t="shared" si="0"/>
        <v>0.28338426208948159</v>
      </c>
      <c r="AA18" s="857">
        <f t="shared" si="0"/>
        <v>0</v>
      </c>
      <c r="AB18" s="114"/>
    </row>
    <row r="19" spans="2:28" s="869" customFormat="1" collapsed="1">
      <c r="B19" s="3000"/>
      <c r="C19" s="3001" t="str">
        <f>'GHG Protocol'!C14</f>
        <v>Total Scope 1</v>
      </c>
      <c r="D19" s="3002"/>
      <c r="E19" s="881">
        <f>'GHG Protocol'!E14</f>
        <v>302.94259600000004</v>
      </c>
      <c r="F19" s="881">
        <f>'GHG Protocol'!F14</f>
        <v>0.23429999999999998</v>
      </c>
      <c r="G19" s="881">
        <f>'GHG Protocol'!G14</f>
        <v>1.577381916</v>
      </c>
      <c r="H19" s="881">
        <f>'GHG Protocol'!H14</f>
        <v>0.48599999999999999</v>
      </c>
      <c r="I19" s="881">
        <f>'GHG Protocol'!I14</f>
        <v>0</v>
      </c>
      <c r="J19" s="881">
        <f>'GHG Protocol'!J14</f>
        <v>0</v>
      </c>
      <c r="K19" s="881">
        <f>'GHG Protocol'!K14</f>
        <v>0</v>
      </c>
      <c r="L19" s="881">
        <f>'GHG Protocol'!L14</f>
        <v>305.24027791599997</v>
      </c>
      <c r="M19" s="882">
        <f ca="1">'GHG Protocol'!M14</f>
        <v>0</v>
      </c>
      <c r="N19" s="859">
        <f>'GHG Protocol'!N14</f>
        <v>14.751790734349781</v>
      </c>
      <c r="O19" s="884">
        <f>'GHG Protocol'!O14</f>
        <v>0</v>
      </c>
      <c r="P19" s="88"/>
      <c r="Q19" s="852">
        <f t="shared" ref="Q19:Y19" si="1">SUM(Q15:Q18)</f>
        <v>302.94259600000004</v>
      </c>
      <c r="R19" s="852">
        <f t="shared" si="1"/>
        <v>0.23429999999999998</v>
      </c>
      <c r="S19" s="852">
        <f t="shared" si="1"/>
        <v>1.577381916</v>
      </c>
      <c r="T19" s="852">
        <f t="shared" si="1"/>
        <v>0.48599999999999999</v>
      </c>
      <c r="U19" s="852">
        <f t="shared" si="1"/>
        <v>0</v>
      </c>
      <c r="V19" s="852">
        <f t="shared" si="1"/>
        <v>0</v>
      </c>
      <c r="W19" s="852">
        <f t="shared" si="1"/>
        <v>0</v>
      </c>
      <c r="X19" s="852">
        <f t="shared" si="1"/>
        <v>305.24027791599997</v>
      </c>
      <c r="Y19" s="863">
        <f t="shared" ca="1" si="1"/>
        <v>0</v>
      </c>
      <c r="Z19" s="859">
        <f>SQRT(SUMSQ(Z15:Z18))</f>
        <v>14.751790734349781</v>
      </c>
      <c r="AA19" s="860">
        <f>SUM(AA15:AA18)</f>
        <v>0</v>
      </c>
      <c r="AB19" s="114"/>
    </row>
    <row r="20" spans="2:28" s="869" customFormat="1" ht="12.75" hidden="1" customHeight="1" outlineLevel="1">
      <c r="B20" s="2998" t="s">
        <v>759</v>
      </c>
      <c r="C20" s="875" t="str">
        <f>'GHG Protocol'!C15</f>
        <v>2-1</v>
      </c>
      <c r="D20" s="876" t="str">
        <f>'GHG Protocol'!D15</f>
        <v>Emissions indirectes liées à la consommation d'électricité</v>
      </c>
      <c r="E20" s="920">
        <f>'GHG Protocol'!E15</f>
        <v>19.289968500000001</v>
      </c>
      <c r="F20" s="920">
        <f>'GHG Protocol'!F15</f>
        <v>0</v>
      </c>
      <c r="G20" s="920">
        <f>'GHG Protocol'!G15</f>
        <v>0</v>
      </c>
      <c r="H20" s="920">
        <f>'GHG Protocol'!H15</f>
        <v>0</v>
      </c>
      <c r="I20" s="920">
        <f>'GHG Protocol'!I15</f>
        <v>0</v>
      </c>
      <c r="J20" s="920">
        <f>'GHG Protocol'!J15</f>
        <v>0</v>
      </c>
      <c r="K20" s="920">
        <f>'GHG Protocol'!K15</f>
        <v>0</v>
      </c>
      <c r="L20" s="878">
        <f>'GHG Protocol'!L15</f>
        <v>19.289968500000001</v>
      </c>
      <c r="M20" s="922">
        <f>'GHG Protocol'!M15</f>
        <v>0</v>
      </c>
      <c r="N20" s="858">
        <f>'GHG Protocol'!N15</f>
        <v>1.9289968500000001</v>
      </c>
      <c r="O20" s="880">
        <f>'GHG Protocol'!O15</f>
        <v>0</v>
      </c>
      <c r="P20" s="88">
        <v>1</v>
      </c>
      <c r="Q20" s="924">
        <f>IF($E$8="Oui",0,IF($E$9="Oui",0,E20*$P20))</f>
        <v>19.289968500000001</v>
      </c>
      <c r="R20" s="924">
        <f t="shared" ref="Q20:AA21" si="2">IF($E$8="Oui",0,IF($E$9="Oui",0,F20*$P20))</f>
        <v>0</v>
      </c>
      <c r="S20" s="924">
        <f t="shared" si="2"/>
        <v>0</v>
      </c>
      <c r="T20" s="924">
        <f t="shared" si="2"/>
        <v>0</v>
      </c>
      <c r="U20" s="924">
        <f t="shared" si="2"/>
        <v>0</v>
      </c>
      <c r="V20" s="924">
        <f t="shared" si="2"/>
        <v>0</v>
      </c>
      <c r="W20" s="924">
        <f t="shared" si="2"/>
        <v>0</v>
      </c>
      <c r="X20" s="864">
        <f t="shared" si="2"/>
        <v>19.289968500000001</v>
      </c>
      <c r="Y20" s="926">
        <f t="shared" si="2"/>
        <v>0</v>
      </c>
      <c r="Z20" s="858">
        <f t="shared" si="2"/>
        <v>1.9289968500000001</v>
      </c>
      <c r="AA20" s="856">
        <f t="shared" si="2"/>
        <v>0</v>
      </c>
      <c r="AB20" s="114"/>
    </row>
    <row r="21" spans="2:28" s="869" customFormat="1" ht="12.75" hidden="1" customHeight="1" outlineLevel="1">
      <c r="B21" s="2999"/>
      <c r="C21" s="875" t="str">
        <f>'GHG Protocol'!C16</f>
        <v>2-2</v>
      </c>
      <c r="D21" s="885" t="str">
        <f>'GHG Protocol'!D16</f>
        <v>Emissions indirectes liées à la consommation de vapeur, chaleur ou froid</v>
      </c>
      <c r="E21" s="920">
        <f>'GHG Protocol'!E16</f>
        <v>0</v>
      </c>
      <c r="F21" s="920">
        <f>'GHG Protocol'!F16</f>
        <v>0</v>
      </c>
      <c r="G21" s="920">
        <f>'GHG Protocol'!G16</f>
        <v>0</v>
      </c>
      <c r="H21" s="920">
        <f>'GHG Protocol'!H16</f>
        <v>0</v>
      </c>
      <c r="I21" s="920">
        <f>'GHG Protocol'!I16</f>
        <v>0</v>
      </c>
      <c r="J21" s="920">
        <f>'GHG Protocol'!J16</f>
        <v>0</v>
      </c>
      <c r="K21" s="920">
        <f>'GHG Protocol'!K16</f>
        <v>0</v>
      </c>
      <c r="L21" s="878">
        <f>'GHG Protocol'!L16</f>
        <v>0</v>
      </c>
      <c r="M21" s="922">
        <f>'GHG Protocol'!M16</f>
        <v>0</v>
      </c>
      <c r="N21" s="858">
        <f>'GHG Protocol'!N16</f>
        <v>0</v>
      </c>
      <c r="O21" s="880">
        <f>'GHG Protocol'!O16</f>
        <v>0</v>
      </c>
      <c r="P21" s="88">
        <v>1</v>
      </c>
      <c r="Q21" s="924">
        <f t="shared" si="2"/>
        <v>0</v>
      </c>
      <c r="R21" s="924">
        <f t="shared" si="2"/>
        <v>0</v>
      </c>
      <c r="S21" s="924">
        <f t="shared" si="2"/>
        <v>0</v>
      </c>
      <c r="T21" s="924">
        <f t="shared" si="2"/>
        <v>0</v>
      </c>
      <c r="U21" s="924">
        <f t="shared" si="2"/>
        <v>0</v>
      </c>
      <c r="V21" s="924">
        <f t="shared" si="2"/>
        <v>0</v>
      </c>
      <c r="W21" s="924">
        <f t="shared" si="2"/>
        <v>0</v>
      </c>
      <c r="X21" s="864">
        <f t="shared" si="2"/>
        <v>0</v>
      </c>
      <c r="Y21" s="926">
        <f t="shared" si="2"/>
        <v>0</v>
      </c>
      <c r="Z21" s="858">
        <f t="shared" si="2"/>
        <v>0</v>
      </c>
      <c r="AA21" s="856">
        <f t="shared" si="2"/>
        <v>0</v>
      </c>
      <c r="AB21" s="114"/>
    </row>
    <row r="22" spans="2:28" s="869" customFormat="1" collapsed="1">
      <c r="B22" s="3000"/>
      <c r="C22" s="3001" t="str">
        <f>'GHG Protocol'!C17</f>
        <v>Total Scope 2</v>
      </c>
      <c r="D22" s="3002"/>
      <c r="E22" s="921">
        <f>'GHG Protocol'!E17</f>
        <v>19.289968500000001</v>
      </c>
      <c r="F22" s="921">
        <f>'GHG Protocol'!F17</f>
        <v>0</v>
      </c>
      <c r="G22" s="921">
        <f>'GHG Protocol'!G17</f>
        <v>0</v>
      </c>
      <c r="H22" s="921">
        <f>'GHG Protocol'!H17</f>
        <v>0</v>
      </c>
      <c r="I22" s="921">
        <f>'GHG Protocol'!I17</f>
        <v>0</v>
      </c>
      <c r="J22" s="921">
        <f>'GHG Protocol'!J17</f>
        <v>0</v>
      </c>
      <c r="K22" s="921">
        <f>'GHG Protocol'!K17</f>
        <v>0</v>
      </c>
      <c r="L22" s="881">
        <f>'GHG Protocol'!L17</f>
        <v>19.289968500000001</v>
      </c>
      <c r="M22" s="923">
        <f>'GHG Protocol'!M17</f>
        <v>0</v>
      </c>
      <c r="N22" s="859">
        <f>'GHG Protocol'!N17</f>
        <v>1.9289968500000001</v>
      </c>
      <c r="O22" s="884">
        <f>'GHG Protocol'!O17</f>
        <v>0</v>
      </c>
      <c r="P22" s="870"/>
      <c r="Q22" s="925">
        <f t="shared" ref="Q22:X22" si="3">SUM(Q20:Q21)</f>
        <v>19.289968500000001</v>
      </c>
      <c r="R22" s="925">
        <f t="shared" si="3"/>
        <v>0</v>
      </c>
      <c r="S22" s="925">
        <f t="shared" si="3"/>
        <v>0</v>
      </c>
      <c r="T22" s="925">
        <f t="shared" si="3"/>
        <v>0</v>
      </c>
      <c r="U22" s="925">
        <f t="shared" si="3"/>
        <v>0</v>
      </c>
      <c r="V22" s="925">
        <f t="shared" si="3"/>
        <v>0</v>
      </c>
      <c r="W22" s="925">
        <f t="shared" si="3"/>
        <v>0</v>
      </c>
      <c r="X22" s="852">
        <f t="shared" si="3"/>
        <v>19.289968500000001</v>
      </c>
      <c r="Y22" s="927">
        <f>SUM(Y20:Y21)</f>
        <v>0</v>
      </c>
      <c r="Z22" s="859">
        <f>SQRT(SUMSQ(Z20:Z21))</f>
        <v>1.9289968500000001</v>
      </c>
      <c r="AA22" s="860">
        <f>SUM(AA20:AA21)</f>
        <v>0</v>
      </c>
      <c r="AB22" s="114"/>
    </row>
    <row r="23" spans="2:28" s="869" customFormat="1" ht="12.75" hidden="1" customHeight="1" outlineLevel="1">
      <c r="B23" s="2998" t="s">
        <v>760</v>
      </c>
      <c r="C23" s="3003" t="str">
        <f>'GHG Protocol'!C18</f>
        <v>Emissions du Scope 3 amont</v>
      </c>
      <c r="D23" s="3004"/>
      <c r="E23" s="3004"/>
      <c r="F23" s="3004"/>
      <c r="G23" s="3004"/>
      <c r="H23" s="3004"/>
      <c r="I23" s="3004"/>
      <c r="J23" s="3004"/>
      <c r="K23" s="3004"/>
      <c r="L23" s="3004"/>
      <c r="M23" s="3004"/>
      <c r="N23" s="3004"/>
      <c r="O23" s="3005"/>
      <c r="P23" s="871"/>
      <c r="Q23" s="2713"/>
      <c r="R23" s="2714"/>
      <c r="S23" s="2714"/>
      <c r="T23" s="2714"/>
      <c r="U23" s="2714"/>
      <c r="V23" s="2714"/>
      <c r="W23" s="2714"/>
      <c r="X23" s="2714"/>
      <c r="Y23" s="2714"/>
      <c r="Z23" s="2714"/>
      <c r="AA23" s="2715"/>
      <c r="AB23" s="114"/>
    </row>
    <row r="24" spans="2:28" s="869" customFormat="1" ht="12.75" hidden="1" customHeight="1" outlineLevel="1">
      <c r="B24" s="2999"/>
      <c r="C24" s="875" t="str">
        <f>'GHG Protocol'!C19</f>
        <v>3-1</v>
      </c>
      <c r="D24" s="876" t="str">
        <f>'GHG Protocol'!D19</f>
        <v>Produits et services achetés</v>
      </c>
      <c r="E24" s="920">
        <f>'GHG Protocol'!E19</f>
        <v>2816.2550000000001</v>
      </c>
      <c r="F24" s="920">
        <f>'GHG Protocol'!F19</f>
        <v>0</v>
      </c>
      <c r="G24" s="920">
        <f>'GHG Protocol'!G19</f>
        <v>0</v>
      </c>
      <c r="H24" s="920">
        <f>'GHG Protocol'!H19</f>
        <v>0</v>
      </c>
      <c r="I24" s="920">
        <f>'GHG Protocol'!I19</f>
        <v>0</v>
      </c>
      <c r="J24" s="920">
        <f>'GHG Protocol'!J19</f>
        <v>0</v>
      </c>
      <c r="K24" s="920">
        <f>'GHG Protocol'!K19</f>
        <v>0</v>
      </c>
      <c r="L24" s="878">
        <f>'GHG Protocol'!L19</f>
        <v>2816.2550000000001</v>
      </c>
      <c r="M24" s="922">
        <f>'GHG Protocol'!M19</f>
        <v>0</v>
      </c>
      <c r="N24" s="858">
        <f>'GHG Protocol'!N19</f>
        <v>385.61330974662957</v>
      </c>
      <c r="O24" s="880">
        <f>'GHG Protocol'!O19</f>
        <v>0</v>
      </c>
      <c r="P24" s="88">
        <v>1</v>
      </c>
      <c r="Q24" s="924">
        <f t="shared" ref="Q24:AA24" si="4">IF($E$8="Oui",0,IF($E$9="Oui",SUMPRODUCT(E15:E18,$P15:$P18)+SUMPRODUCT(E20:E21,$P20:$P21),E24*$P24))</f>
        <v>2816.2550000000001</v>
      </c>
      <c r="R24" s="924">
        <f t="shared" si="4"/>
        <v>0</v>
      </c>
      <c r="S24" s="924">
        <f t="shared" si="4"/>
        <v>0</v>
      </c>
      <c r="T24" s="924">
        <f t="shared" si="4"/>
        <v>0</v>
      </c>
      <c r="U24" s="924">
        <f t="shared" si="4"/>
        <v>0</v>
      </c>
      <c r="V24" s="924">
        <f t="shared" si="4"/>
        <v>0</v>
      </c>
      <c r="W24" s="924">
        <f t="shared" si="4"/>
        <v>0</v>
      </c>
      <c r="X24" s="864">
        <f t="shared" si="4"/>
        <v>2816.2550000000001</v>
      </c>
      <c r="Y24" s="926">
        <f t="shared" si="4"/>
        <v>0</v>
      </c>
      <c r="Z24" s="858">
        <f t="shared" si="4"/>
        <v>385.61330974662957</v>
      </c>
      <c r="AA24" s="856">
        <f t="shared" si="4"/>
        <v>0</v>
      </c>
      <c r="AB24" s="114"/>
    </row>
    <row r="25" spans="2:28" s="869" customFormat="1" ht="12.75" hidden="1" customHeight="1" outlineLevel="1">
      <c r="B25" s="2999"/>
      <c r="C25" s="875" t="str">
        <f>'GHG Protocol'!C20</f>
        <v>3-2</v>
      </c>
      <c r="D25" s="876" t="str">
        <f>'GHG Protocol'!D20</f>
        <v>Biens immobilisés</v>
      </c>
      <c r="E25" s="920">
        <f>'GHG Protocol'!E20</f>
        <v>0</v>
      </c>
      <c r="F25" s="920">
        <f>'GHG Protocol'!F20</f>
        <v>0</v>
      </c>
      <c r="G25" s="920">
        <f>'GHG Protocol'!G20</f>
        <v>0</v>
      </c>
      <c r="H25" s="920">
        <f>'GHG Protocol'!H20</f>
        <v>0</v>
      </c>
      <c r="I25" s="920">
        <f>'GHG Protocol'!I20</f>
        <v>0</v>
      </c>
      <c r="J25" s="920">
        <f>'GHG Protocol'!J20</f>
        <v>0</v>
      </c>
      <c r="K25" s="920">
        <f>'GHG Protocol'!K20</f>
        <v>0</v>
      </c>
      <c r="L25" s="878">
        <f>'GHG Protocol'!L20</f>
        <v>0</v>
      </c>
      <c r="M25" s="922">
        <f>'GHG Protocol'!M20</f>
        <v>0</v>
      </c>
      <c r="N25" s="858">
        <f>'GHG Protocol'!N20</f>
        <v>12.133395140725817</v>
      </c>
      <c r="O25" s="880">
        <f>'GHG Protocol'!O20</f>
        <v>0</v>
      </c>
      <c r="P25" s="88">
        <v>1</v>
      </c>
      <c r="Q25" s="924">
        <f>IF($E$8="Oui",0,IF($E$9="Oui",0,E25*$P25))</f>
        <v>0</v>
      </c>
      <c r="R25" s="924">
        <f t="shared" ref="R25:AA32" si="5">IF($E$8="Oui",0,IF($E$9="Oui",0,F25*$P25))</f>
        <v>0</v>
      </c>
      <c r="S25" s="924">
        <f t="shared" si="5"/>
        <v>0</v>
      </c>
      <c r="T25" s="924">
        <f t="shared" si="5"/>
        <v>0</v>
      </c>
      <c r="U25" s="924">
        <f t="shared" si="5"/>
        <v>0</v>
      </c>
      <c r="V25" s="924">
        <f t="shared" si="5"/>
        <v>0</v>
      </c>
      <c r="W25" s="924">
        <f t="shared" si="5"/>
        <v>0</v>
      </c>
      <c r="X25" s="864">
        <f t="shared" si="5"/>
        <v>0</v>
      </c>
      <c r="Y25" s="926">
        <f t="shared" si="5"/>
        <v>0</v>
      </c>
      <c r="Z25" s="858">
        <f t="shared" si="5"/>
        <v>12.133395140725817</v>
      </c>
      <c r="AA25" s="856">
        <f t="shared" si="5"/>
        <v>0</v>
      </c>
      <c r="AB25" s="114"/>
    </row>
    <row r="26" spans="2:28" s="869" customFormat="1" ht="12.75" hidden="1" customHeight="1" outlineLevel="1">
      <c r="B26" s="2999"/>
      <c r="C26" s="875" t="str">
        <f>'GHG Protocol'!C21</f>
        <v>3-3</v>
      </c>
      <c r="D26" s="885" t="str">
        <f>'GHG Protocol'!D21</f>
        <v>Emissions liées aux combustibles et à l'énergie (non inclus dans le scope 1 ou le scope 2)</v>
      </c>
      <c r="E26" s="920">
        <f>'GHG Protocol'!E21</f>
        <v>67.500735599999999</v>
      </c>
      <c r="F26" s="920">
        <f>'GHG Protocol'!F21</f>
        <v>5.8653745920000002</v>
      </c>
      <c r="G26" s="920">
        <f>'GHG Protocol'!G21</f>
        <v>1.465662E-2</v>
      </c>
      <c r="H26" s="920">
        <f>'GHG Protocol'!H21</f>
        <v>0</v>
      </c>
      <c r="I26" s="920">
        <f>'GHG Protocol'!I21</f>
        <v>0</v>
      </c>
      <c r="J26" s="920">
        <f>'GHG Protocol'!J21</f>
        <v>0</v>
      </c>
      <c r="K26" s="920">
        <f>'GHG Protocol'!K21</f>
        <v>0.68028840000000002</v>
      </c>
      <c r="L26" s="878">
        <f>'GHG Protocol'!L21</f>
        <v>74.061055211999985</v>
      </c>
      <c r="M26" s="922">
        <f>'GHG Protocol'!M21</f>
        <v>0</v>
      </c>
      <c r="N26" s="858">
        <f>'GHG Protocol'!N21</f>
        <v>3.2149156058606336</v>
      </c>
      <c r="O26" s="880">
        <f>'GHG Protocol'!O21</f>
        <v>0</v>
      </c>
      <c r="P26" s="88">
        <v>1</v>
      </c>
      <c r="Q26" s="924">
        <f t="shared" ref="Q26:Q32" si="6">IF($E$8="Oui",0,IF($E$9="Oui",0,E26*$P26))</f>
        <v>67.500735599999999</v>
      </c>
      <c r="R26" s="924">
        <f t="shared" si="5"/>
        <v>5.8653745920000002</v>
      </c>
      <c r="S26" s="924">
        <f t="shared" si="5"/>
        <v>1.465662E-2</v>
      </c>
      <c r="T26" s="924">
        <f t="shared" si="5"/>
        <v>0</v>
      </c>
      <c r="U26" s="924">
        <f t="shared" si="5"/>
        <v>0</v>
      </c>
      <c r="V26" s="924">
        <f t="shared" si="5"/>
        <v>0</v>
      </c>
      <c r="W26" s="924">
        <f t="shared" si="5"/>
        <v>0.68028840000000002</v>
      </c>
      <c r="X26" s="864">
        <f t="shared" si="5"/>
        <v>74.061055211999985</v>
      </c>
      <c r="Y26" s="926">
        <f t="shared" si="5"/>
        <v>0</v>
      </c>
      <c r="Z26" s="858">
        <f t="shared" si="5"/>
        <v>3.2149156058606336</v>
      </c>
      <c r="AA26" s="856">
        <f t="shared" si="5"/>
        <v>0</v>
      </c>
      <c r="AB26" s="114"/>
    </row>
    <row r="27" spans="2:28" s="869" customFormat="1" ht="12.75" hidden="1" customHeight="1" outlineLevel="1">
      <c r="B27" s="2999"/>
      <c r="C27" s="875" t="str">
        <f>'GHG Protocol'!C22</f>
        <v>3-4</v>
      </c>
      <c r="D27" s="876" t="str">
        <f>'GHG Protocol'!D22</f>
        <v>Transport de marchandise amont et distribution</v>
      </c>
      <c r="E27" s="920">
        <f>'GHG Protocol'!E22</f>
        <v>295.73983500000003</v>
      </c>
      <c r="F27" s="920">
        <f>'GHG Protocol'!F22</f>
        <v>0</v>
      </c>
      <c r="G27" s="920">
        <f>'GHG Protocol'!G22</f>
        <v>0</v>
      </c>
      <c r="H27" s="920">
        <f>'GHG Protocol'!H22</f>
        <v>0</v>
      </c>
      <c r="I27" s="920">
        <f>'GHG Protocol'!I22</f>
        <v>0</v>
      </c>
      <c r="J27" s="920">
        <f>'GHG Protocol'!J22</f>
        <v>0</v>
      </c>
      <c r="K27" s="920">
        <f>'GHG Protocol'!K22</f>
        <v>0</v>
      </c>
      <c r="L27" s="878">
        <f>'GHG Protocol'!L22</f>
        <v>295.73983500000003</v>
      </c>
      <c r="M27" s="922">
        <f ca="1">'GHG Protocol'!M22</f>
        <v>0</v>
      </c>
      <c r="N27" s="858">
        <f>'GHG Protocol'!N22</f>
        <v>80.538449101336724</v>
      </c>
      <c r="O27" s="880">
        <f>'GHG Protocol'!O22</f>
        <v>0</v>
      </c>
      <c r="P27" s="88">
        <v>1</v>
      </c>
      <c r="Q27" s="924">
        <f t="shared" si="6"/>
        <v>295.73983500000003</v>
      </c>
      <c r="R27" s="924">
        <f t="shared" si="5"/>
        <v>0</v>
      </c>
      <c r="S27" s="924">
        <f t="shared" si="5"/>
        <v>0</v>
      </c>
      <c r="T27" s="924">
        <f t="shared" si="5"/>
        <v>0</v>
      </c>
      <c r="U27" s="924">
        <f t="shared" si="5"/>
        <v>0</v>
      </c>
      <c r="V27" s="924">
        <f t="shared" si="5"/>
        <v>0</v>
      </c>
      <c r="W27" s="924">
        <f t="shared" si="5"/>
        <v>0</v>
      </c>
      <c r="X27" s="864">
        <f t="shared" si="5"/>
        <v>295.73983500000003</v>
      </c>
      <c r="Y27" s="926">
        <f t="shared" ca="1" si="5"/>
        <v>0</v>
      </c>
      <c r="Z27" s="858">
        <f t="shared" si="5"/>
        <v>80.538449101336724</v>
      </c>
      <c r="AA27" s="856">
        <f t="shared" si="5"/>
        <v>0</v>
      </c>
      <c r="AB27" s="114"/>
    </row>
    <row r="28" spans="2:28" s="869" customFormat="1" ht="12.75" hidden="1" customHeight="1" outlineLevel="1">
      <c r="B28" s="2999"/>
      <c r="C28" s="875" t="str">
        <f>'GHG Protocol'!C23</f>
        <v>3-5</v>
      </c>
      <c r="D28" s="876" t="str">
        <f>'GHG Protocol'!D23</f>
        <v>Déchets générés</v>
      </c>
      <c r="E28" s="920">
        <f>'GHG Protocol'!E23</f>
        <v>39.17</v>
      </c>
      <c r="F28" s="920">
        <f>'GHG Protocol'!F23</f>
        <v>0</v>
      </c>
      <c r="G28" s="920">
        <f>'GHG Protocol'!G23</f>
        <v>0</v>
      </c>
      <c r="H28" s="920">
        <f>'GHG Protocol'!H23</f>
        <v>0</v>
      </c>
      <c r="I28" s="920">
        <f>'GHG Protocol'!I23</f>
        <v>0</v>
      </c>
      <c r="J28" s="920">
        <f>'GHG Protocol'!J23</f>
        <v>0</v>
      </c>
      <c r="K28" s="920">
        <f>'GHG Protocol'!K23</f>
        <v>0</v>
      </c>
      <c r="L28" s="878">
        <f>'GHG Protocol'!L23</f>
        <v>39.17</v>
      </c>
      <c r="M28" s="922">
        <f>'GHG Protocol'!M23</f>
        <v>0</v>
      </c>
      <c r="N28" s="858">
        <f>'GHG Protocol'!N23</f>
        <v>5.911822318033586</v>
      </c>
      <c r="O28" s="880">
        <f>'GHG Protocol'!O23</f>
        <v>0</v>
      </c>
      <c r="P28" s="88">
        <v>1</v>
      </c>
      <c r="Q28" s="924">
        <f t="shared" si="6"/>
        <v>39.17</v>
      </c>
      <c r="R28" s="924">
        <f t="shared" si="5"/>
        <v>0</v>
      </c>
      <c r="S28" s="924">
        <f t="shared" si="5"/>
        <v>0</v>
      </c>
      <c r="T28" s="924">
        <f t="shared" si="5"/>
        <v>0</v>
      </c>
      <c r="U28" s="924">
        <f t="shared" si="5"/>
        <v>0</v>
      </c>
      <c r="V28" s="924">
        <f t="shared" si="5"/>
        <v>0</v>
      </c>
      <c r="W28" s="924">
        <f t="shared" si="5"/>
        <v>0</v>
      </c>
      <c r="X28" s="864">
        <f t="shared" si="5"/>
        <v>39.17</v>
      </c>
      <c r="Y28" s="926">
        <f t="shared" si="5"/>
        <v>0</v>
      </c>
      <c r="Z28" s="858">
        <f t="shared" si="5"/>
        <v>5.911822318033586</v>
      </c>
      <c r="AA28" s="856">
        <f t="shared" si="5"/>
        <v>0</v>
      </c>
      <c r="AB28" s="114"/>
    </row>
    <row r="29" spans="2:28" s="869" customFormat="1" ht="12.75" hidden="1" customHeight="1" outlineLevel="1">
      <c r="B29" s="2999"/>
      <c r="C29" s="875" t="str">
        <f>'GHG Protocol'!C24</f>
        <v>3-6</v>
      </c>
      <c r="D29" s="876" t="str">
        <f>'GHG Protocol'!D24</f>
        <v>Déplacements professionnels</v>
      </c>
      <c r="E29" s="920">
        <f>'GHG Protocol'!E24</f>
        <v>1.4468160000000001</v>
      </c>
      <c r="F29" s="920">
        <f>'GHG Protocol'!F24</f>
        <v>1.3859999999999999E-2</v>
      </c>
      <c r="G29" s="920">
        <f>'GHG Protocol'!G24</f>
        <v>1.7999999999999998E-4</v>
      </c>
      <c r="H29" s="920">
        <f>'GHG Protocol'!H24</f>
        <v>0</v>
      </c>
      <c r="I29" s="920">
        <f>'GHG Protocol'!I24</f>
        <v>0</v>
      </c>
      <c r="J29" s="920">
        <f>'GHG Protocol'!J24</f>
        <v>0</v>
      </c>
      <c r="K29" s="920">
        <f>'GHG Protocol'!K24</f>
        <v>2.0039999999999999E-2</v>
      </c>
      <c r="L29" s="878">
        <f>'GHG Protocol'!L24</f>
        <v>1.480896</v>
      </c>
      <c r="M29" s="922">
        <f>'GHG Protocol'!M24</f>
        <v>1.4507399999999999</v>
      </c>
      <c r="N29" s="858">
        <f>'GHG Protocol'!N24</f>
        <v>0.85372128151185256</v>
      </c>
      <c r="O29" s="880">
        <f>'GHG Protocol'!O24</f>
        <v>0</v>
      </c>
      <c r="P29" s="88">
        <v>1</v>
      </c>
      <c r="Q29" s="924">
        <f t="shared" si="6"/>
        <v>1.4468160000000001</v>
      </c>
      <c r="R29" s="924">
        <f t="shared" si="5"/>
        <v>1.3859999999999999E-2</v>
      </c>
      <c r="S29" s="924">
        <f t="shared" si="5"/>
        <v>1.7999999999999998E-4</v>
      </c>
      <c r="T29" s="924">
        <f t="shared" si="5"/>
        <v>0</v>
      </c>
      <c r="U29" s="924">
        <f t="shared" si="5"/>
        <v>0</v>
      </c>
      <c r="V29" s="924">
        <f t="shared" si="5"/>
        <v>0</v>
      </c>
      <c r="W29" s="924">
        <f t="shared" si="5"/>
        <v>2.0039999999999999E-2</v>
      </c>
      <c r="X29" s="864">
        <f t="shared" si="5"/>
        <v>1.480896</v>
      </c>
      <c r="Y29" s="926">
        <f t="shared" si="5"/>
        <v>1.4507399999999999</v>
      </c>
      <c r="Z29" s="858">
        <f t="shared" si="5"/>
        <v>0.85372128151185256</v>
      </c>
      <c r="AA29" s="856">
        <f t="shared" si="5"/>
        <v>0</v>
      </c>
      <c r="AB29" s="114"/>
    </row>
    <row r="30" spans="2:28" s="869" customFormat="1" ht="12.75" hidden="1" customHeight="1" outlineLevel="1">
      <c r="B30" s="2999"/>
      <c r="C30" s="875" t="str">
        <f>'GHG Protocol'!C25</f>
        <v>3-7</v>
      </c>
      <c r="D30" s="876" t="str">
        <f>'GHG Protocol'!D25</f>
        <v xml:space="preserve">Déplacements domicile travail </v>
      </c>
      <c r="E30" s="920">
        <f ca="1">'GHG Protocol'!E25</f>
        <v>82.7475266</v>
      </c>
      <c r="F30" s="920">
        <f>'GHG Protocol'!F25</f>
        <v>0</v>
      </c>
      <c r="G30" s="920">
        <f>'GHG Protocol'!G25</f>
        <v>0</v>
      </c>
      <c r="H30" s="920">
        <f>'GHG Protocol'!H25</f>
        <v>0</v>
      </c>
      <c r="I30" s="920">
        <f>'GHG Protocol'!I25</f>
        <v>0</v>
      </c>
      <c r="J30" s="920">
        <f>'GHG Protocol'!J25</f>
        <v>0</v>
      </c>
      <c r="K30" s="920">
        <f>'GHG Protocol'!K25</f>
        <v>0</v>
      </c>
      <c r="L30" s="878">
        <f ca="1">'GHG Protocol'!L25</f>
        <v>82.7475266</v>
      </c>
      <c r="M30" s="922">
        <f>'GHG Protocol'!M25</f>
        <v>0</v>
      </c>
      <c r="N30" s="858">
        <f>'GHG Protocol'!N25</f>
        <v>19.859199601136226</v>
      </c>
      <c r="O30" s="880">
        <f>'GHG Protocol'!O25</f>
        <v>0</v>
      </c>
      <c r="P30" s="88">
        <v>1</v>
      </c>
      <c r="Q30" s="924">
        <f t="shared" ca="1" si="6"/>
        <v>82.7475266</v>
      </c>
      <c r="R30" s="924">
        <f t="shared" si="5"/>
        <v>0</v>
      </c>
      <c r="S30" s="924">
        <f t="shared" si="5"/>
        <v>0</v>
      </c>
      <c r="T30" s="924">
        <f t="shared" si="5"/>
        <v>0</v>
      </c>
      <c r="U30" s="924">
        <f t="shared" si="5"/>
        <v>0</v>
      </c>
      <c r="V30" s="924">
        <f t="shared" si="5"/>
        <v>0</v>
      </c>
      <c r="W30" s="924">
        <f t="shared" si="5"/>
        <v>0</v>
      </c>
      <c r="X30" s="864">
        <f t="shared" ca="1" si="5"/>
        <v>82.7475266</v>
      </c>
      <c r="Y30" s="926">
        <f t="shared" si="5"/>
        <v>0</v>
      </c>
      <c r="Z30" s="858">
        <f t="shared" si="5"/>
        <v>19.859199601136226</v>
      </c>
      <c r="AA30" s="856">
        <f t="shared" si="5"/>
        <v>0</v>
      </c>
      <c r="AB30" s="114"/>
    </row>
    <row r="31" spans="2:28" s="869" customFormat="1" ht="12.75" hidden="1" customHeight="1" outlineLevel="1">
      <c r="B31" s="2999"/>
      <c r="C31" s="875" t="str">
        <f>'GHG Protocol'!C26</f>
        <v>3-8</v>
      </c>
      <c r="D31" s="876" t="str">
        <f>'GHG Protocol'!D26</f>
        <v>Actifs en leasing amont</v>
      </c>
      <c r="E31" s="920">
        <f>'GHG Protocol'!E26</f>
        <v>0</v>
      </c>
      <c r="F31" s="920">
        <f>'GHG Protocol'!F26</f>
        <v>0</v>
      </c>
      <c r="G31" s="920">
        <f>'GHG Protocol'!G26</f>
        <v>0</v>
      </c>
      <c r="H31" s="920">
        <f>'GHG Protocol'!H26</f>
        <v>0</v>
      </c>
      <c r="I31" s="920">
        <f>'GHG Protocol'!I26</f>
        <v>0</v>
      </c>
      <c r="J31" s="920">
        <f>'GHG Protocol'!J26</f>
        <v>0</v>
      </c>
      <c r="K31" s="920">
        <f>'GHG Protocol'!K26</f>
        <v>0</v>
      </c>
      <c r="L31" s="878">
        <f>'GHG Protocol'!L26</f>
        <v>0</v>
      </c>
      <c r="M31" s="922">
        <f>'GHG Protocol'!M26</f>
        <v>0</v>
      </c>
      <c r="N31" s="858">
        <f>'GHG Protocol'!N26</f>
        <v>0</v>
      </c>
      <c r="O31" s="880">
        <f>'GHG Protocol'!O26</f>
        <v>0</v>
      </c>
      <c r="P31" s="88">
        <v>1</v>
      </c>
      <c r="Q31" s="924">
        <f t="shared" si="6"/>
        <v>0</v>
      </c>
      <c r="R31" s="924">
        <f t="shared" si="5"/>
        <v>0</v>
      </c>
      <c r="S31" s="924">
        <f t="shared" si="5"/>
        <v>0</v>
      </c>
      <c r="T31" s="924">
        <f t="shared" si="5"/>
        <v>0</v>
      </c>
      <c r="U31" s="924">
        <f t="shared" si="5"/>
        <v>0</v>
      </c>
      <c r="V31" s="924">
        <f t="shared" si="5"/>
        <v>0</v>
      </c>
      <c r="W31" s="924">
        <f t="shared" si="5"/>
        <v>0</v>
      </c>
      <c r="X31" s="864">
        <f t="shared" si="5"/>
        <v>0</v>
      </c>
      <c r="Y31" s="926">
        <f t="shared" si="5"/>
        <v>0</v>
      </c>
      <c r="Z31" s="858">
        <f t="shared" si="5"/>
        <v>0</v>
      </c>
      <c r="AA31" s="856">
        <f t="shared" si="5"/>
        <v>0</v>
      </c>
      <c r="AB31" s="114"/>
    </row>
    <row r="32" spans="2:28" s="869" customFormat="1" ht="12.75" hidden="1" customHeight="1" outlineLevel="1">
      <c r="B32" s="2999"/>
      <c r="C32" s="886">
        <f>'GHG Protocol'!C27</f>
        <v>0</v>
      </c>
      <c r="D32" s="876" t="str">
        <f>'GHG Protocol'!D27</f>
        <v>Autres émissions indirectes amont</v>
      </c>
      <c r="E32" s="920">
        <f>'GHG Protocol'!E27</f>
        <v>0</v>
      </c>
      <c r="F32" s="920">
        <f>'GHG Protocol'!F27</f>
        <v>0</v>
      </c>
      <c r="G32" s="920">
        <f>'GHG Protocol'!G27</f>
        <v>0</v>
      </c>
      <c r="H32" s="920">
        <f>'GHG Protocol'!H27</f>
        <v>0</v>
      </c>
      <c r="I32" s="920">
        <f>'GHG Protocol'!I27</f>
        <v>0</v>
      </c>
      <c r="J32" s="920">
        <f>'GHG Protocol'!J27</f>
        <v>0</v>
      </c>
      <c r="K32" s="920">
        <f>'GHG Protocol'!K27</f>
        <v>0</v>
      </c>
      <c r="L32" s="878">
        <f>'GHG Protocol'!L27</f>
        <v>0</v>
      </c>
      <c r="M32" s="922">
        <f>'GHG Protocol'!M27</f>
        <v>0</v>
      </c>
      <c r="N32" s="858">
        <f>'GHG Protocol'!N27</f>
        <v>0</v>
      </c>
      <c r="O32" s="880">
        <f>'GHG Protocol'!O27</f>
        <v>0</v>
      </c>
      <c r="P32" s="88">
        <v>1</v>
      </c>
      <c r="Q32" s="924">
        <f t="shared" si="6"/>
        <v>0</v>
      </c>
      <c r="R32" s="924">
        <f t="shared" si="5"/>
        <v>0</v>
      </c>
      <c r="S32" s="924">
        <f t="shared" si="5"/>
        <v>0</v>
      </c>
      <c r="T32" s="924">
        <f t="shared" si="5"/>
        <v>0</v>
      </c>
      <c r="U32" s="924">
        <f t="shared" si="5"/>
        <v>0</v>
      </c>
      <c r="V32" s="924">
        <f t="shared" si="5"/>
        <v>0</v>
      </c>
      <c r="W32" s="924">
        <f t="shared" si="5"/>
        <v>0</v>
      </c>
      <c r="X32" s="864">
        <f t="shared" si="5"/>
        <v>0</v>
      </c>
      <c r="Y32" s="926">
        <f t="shared" si="5"/>
        <v>0</v>
      </c>
      <c r="Z32" s="858">
        <f t="shared" si="5"/>
        <v>0</v>
      </c>
      <c r="AA32" s="856">
        <f t="shared" si="5"/>
        <v>0</v>
      </c>
      <c r="AB32" s="114"/>
    </row>
    <row r="33" spans="2:28" s="869" customFormat="1" ht="12.75" hidden="1" customHeight="1" outlineLevel="1">
      <c r="B33" s="2999"/>
      <c r="C33" s="3003" t="str">
        <f>'GHG Protocol'!C28</f>
        <v>Emissions du Scope 3 aval</v>
      </c>
      <c r="D33" s="3004"/>
      <c r="E33" s="3004"/>
      <c r="F33" s="3004"/>
      <c r="G33" s="3004"/>
      <c r="H33" s="3004"/>
      <c r="I33" s="3004"/>
      <c r="J33" s="3004"/>
      <c r="K33" s="3004"/>
      <c r="L33" s="3004"/>
      <c r="M33" s="3004"/>
      <c r="N33" s="3004"/>
      <c r="O33" s="3005"/>
      <c r="P33" s="88"/>
      <c r="Q33" s="2713"/>
      <c r="R33" s="2714"/>
      <c r="S33" s="2714"/>
      <c r="T33" s="2714"/>
      <c r="U33" s="2714"/>
      <c r="V33" s="2714"/>
      <c r="W33" s="2714"/>
      <c r="X33" s="2714"/>
      <c r="Y33" s="2714"/>
      <c r="Z33" s="2714"/>
      <c r="AA33" s="2715"/>
      <c r="AB33" s="114"/>
    </row>
    <row r="34" spans="2:28" s="869" customFormat="1" ht="12.75" hidden="1" customHeight="1" outlineLevel="1">
      <c r="B34" s="2999"/>
      <c r="C34" s="875" t="str">
        <f>'GHG Protocol'!C29</f>
        <v>3-9</v>
      </c>
      <c r="D34" s="876" t="str">
        <f>'GHG Protocol'!D29</f>
        <v>Transport de marchandise aval et distribution</v>
      </c>
      <c r="E34" s="920">
        <f>'GHG Protocol'!E29</f>
        <v>0</v>
      </c>
      <c r="F34" s="920">
        <f>'GHG Protocol'!F29</f>
        <v>0</v>
      </c>
      <c r="G34" s="920">
        <f>'GHG Protocol'!G29</f>
        <v>0</v>
      </c>
      <c r="H34" s="920">
        <f>'GHG Protocol'!H29</f>
        <v>0</v>
      </c>
      <c r="I34" s="920">
        <f>'GHG Protocol'!I29</f>
        <v>0</v>
      </c>
      <c r="J34" s="920">
        <f>'GHG Protocol'!J29</f>
        <v>0</v>
      </c>
      <c r="K34" s="920">
        <f>'GHG Protocol'!K29</f>
        <v>0</v>
      </c>
      <c r="L34" s="878">
        <f>'GHG Protocol'!L29</f>
        <v>0</v>
      </c>
      <c r="M34" s="922">
        <f ca="1">'GHG Protocol'!M29</f>
        <v>0</v>
      </c>
      <c r="N34" s="858">
        <f>'GHG Protocol'!N29</f>
        <v>0</v>
      </c>
      <c r="O34" s="880">
        <f>'GHG Protocol'!O29</f>
        <v>0</v>
      </c>
      <c r="P34" s="88">
        <v>1</v>
      </c>
      <c r="Q34" s="924">
        <f t="shared" ref="Q34:AA38" si="7">IF($E$8="Oui",0,IF($E$9="Oui",0,E34*$P34))</f>
        <v>0</v>
      </c>
      <c r="R34" s="924">
        <f t="shared" si="7"/>
        <v>0</v>
      </c>
      <c r="S34" s="924">
        <f t="shared" si="7"/>
        <v>0</v>
      </c>
      <c r="T34" s="924">
        <f t="shared" si="7"/>
        <v>0</v>
      </c>
      <c r="U34" s="924">
        <f t="shared" si="7"/>
        <v>0</v>
      </c>
      <c r="V34" s="924">
        <f t="shared" si="7"/>
        <v>0</v>
      </c>
      <c r="W34" s="924">
        <f t="shared" si="7"/>
        <v>0</v>
      </c>
      <c r="X34" s="864">
        <f t="shared" si="7"/>
        <v>0</v>
      </c>
      <c r="Y34" s="926">
        <f t="shared" ca="1" si="7"/>
        <v>0</v>
      </c>
      <c r="Z34" s="858">
        <f t="shared" si="7"/>
        <v>0</v>
      </c>
      <c r="AA34" s="856">
        <f t="shared" si="7"/>
        <v>0</v>
      </c>
      <c r="AB34" s="114"/>
    </row>
    <row r="35" spans="2:28" s="869" customFormat="1" ht="12.75" hidden="1" customHeight="1" outlineLevel="1">
      <c r="B35" s="2999"/>
      <c r="C35" s="875" t="str">
        <f>'GHG Protocol'!C30</f>
        <v>3-10</v>
      </c>
      <c r="D35" s="876" t="str">
        <f>'GHG Protocol'!D30</f>
        <v>Transformation des produits vendus</v>
      </c>
      <c r="E35" s="920">
        <f>'GHG Protocol'!E30</f>
        <v>0</v>
      </c>
      <c r="F35" s="920">
        <f>'GHG Protocol'!F30</f>
        <v>0</v>
      </c>
      <c r="G35" s="920">
        <f>'GHG Protocol'!G30</f>
        <v>0</v>
      </c>
      <c r="H35" s="920">
        <f>'GHG Protocol'!H30</f>
        <v>0</v>
      </c>
      <c r="I35" s="920">
        <f>'GHG Protocol'!I30</f>
        <v>0</v>
      </c>
      <c r="J35" s="920">
        <f>'GHG Protocol'!J30</f>
        <v>0</v>
      </c>
      <c r="K35" s="920">
        <f>'GHG Protocol'!K30</f>
        <v>0</v>
      </c>
      <c r="L35" s="878">
        <f>'GHG Protocol'!L30</f>
        <v>0</v>
      </c>
      <c r="M35" s="922">
        <f>'GHG Protocol'!M30</f>
        <v>0</v>
      </c>
      <c r="N35" s="858">
        <f>'GHG Protocol'!N30</f>
        <v>0</v>
      </c>
      <c r="O35" s="880">
        <f>'GHG Protocol'!O30</f>
        <v>0</v>
      </c>
      <c r="P35" s="88">
        <v>1</v>
      </c>
      <c r="Q35" s="924">
        <f t="shared" si="7"/>
        <v>0</v>
      </c>
      <c r="R35" s="924">
        <f t="shared" si="7"/>
        <v>0</v>
      </c>
      <c r="S35" s="924">
        <f t="shared" si="7"/>
        <v>0</v>
      </c>
      <c r="T35" s="924">
        <f t="shared" si="7"/>
        <v>0</v>
      </c>
      <c r="U35" s="924">
        <f t="shared" si="7"/>
        <v>0</v>
      </c>
      <c r="V35" s="924">
        <f t="shared" si="7"/>
        <v>0</v>
      </c>
      <c r="W35" s="924">
        <f t="shared" si="7"/>
        <v>0</v>
      </c>
      <c r="X35" s="864">
        <f t="shared" si="7"/>
        <v>0</v>
      </c>
      <c r="Y35" s="926">
        <f t="shared" si="7"/>
        <v>0</v>
      </c>
      <c r="Z35" s="858">
        <f t="shared" si="7"/>
        <v>0</v>
      </c>
      <c r="AA35" s="856">
        <f t="shared" si="7"/>
        <v>0</v>
      </c>
      <c r="AB35" s="114"/>
    </row>
    <row r="36" spans="2:28" s="869" customFormat="1" ht="12.75" hidden="1" customHeight="1" outlineLevel="1">
      <c r="B36" s="2999"/>
      <c r="C36" s="875" t="str">
        <f>'GHG Protocol'!C31</f>
        <v>3-11</v>
      </c>
      <c r="D36" s="876" t="str">
        <f>'GHG Protocol'!D31</f>
        <v>Utilisation des produits vendus</v>
      </c>
      <c r="E36" s="920">
        <f>'GHG Protocol'!E31</f>
        <v>5.3314577495621718</v>
      </c>
      <c r="F36" s="920">
        <f>'GHG Protocol'!F31</f>
        <v>0</v>
      </c>
      <c r="G36" s="920">
        <f>'GHG Protocol'!G31</f>
        <v>0</v>
      </c>
      <c r="H36" s="920">
        <f>'GHG Protocol'!H31</f>
        <v>0</v>
      </c>
      <c r="I36" s="920">
        <f>'GHG Protocol'!I31</f>
        <v>0</v>
      </c>
      <c r="J36" s="920">
        <f>'GHG Protocol'!J31</f>
        <v>0</v>
      </c>
      <c r="K36" s="920">
        <f>'GHG Protocol'!K31</f>
        <v>0</v>
      </c>
      <c r="L36" s="878">
        <f>'GHG Protocol'!L31</f>
        <v>5.3314577495621718</v>
      </c>
      <c r="M36" s="922">
        <f>'GHG Protocol'!M31</f>
        <v>0</v>
      </c>
      <c r="N36" s="858">
        <f>'GHG Protocol'!N31</f>
        <v>0.55067377355516667</v>
      </c>
      <c r="O36" s="880">
        <f>'GHG Protocol'!O31</f>
        <v>0</v>
      </c>
      <c r="P36" s="88">
        <v>1</v>
      </c>
      <c r="Q36" s="924">
        <f t="shared" si="7"/>
        <v>5.3314577495621718</v>
      </c>
      <c r="R36" s="924">
        <f t="shared" si="7"/>
        <v>0</v>
      </c>
      <c r="S36" s="924">
        <f t="shared" si="7"/>
        <v>0</v>
      </c>
      <c r="T36" s="924">
        <f t="shared" si="7"/>
        <v>0</v>
      </c>
      <c r="U36" s="924">
        <f t="shared" si="7"/>
        <v>0</v>
      </c>
      <c r="V36" s="924">
        <f t="shared" si="7"/>
        <v>0</v>
      </c>
      <c r="W36" s="924">
        <f t="shared" si="7"/>
        <v>0</v>
      </c>
      <c r="X36" s="864">
        <f t="shared" si="7"/>
        <v>5.3314577495621718</v>
      </c>
      <c r="Y36" s="926">
        <f t="shared" si="7"/>
        <v>0</v>
      </c>
      <c r="Z36" s="858">
        <f t="shared" si="7"/>
        <v>0.55067377355516667</v>
      </c>
      <c r="AA36" s="856">
        <f t="shared" si="7"/>
        <v>0</v>
      </c>
      <c r="AB36" s="114"/>
    </row>
    <row r="37" spans="2:28" s="869" customFormat="1" ht="12.75" hidden="1" customHeight="1" outlineLevel="1">
      <c r="B37" s="2999"/>
      <c r="C37" s="875" t="str">
        <f>'GHG Protocol'!C32</f>
        <v>3-12</v>
      </c>
      <c r="D37" s="876" t="str">
        <f>'GHG Protocol'!D32</f>
        <v>Fin de vie des produits vendus</v>
      </c>
      <c r="E37" s="920" t="e">
        <f>'GHG Protocol'!E32</f>
        <v>#REF!</v>
      </c>
      <c r="F37" s="920">
        <f>'GHG Protocol'!F32</f>
        <v>0</v>
      </c>
      <c r="G37" s="920">
        <f>'GHG Protocol'!G32</f>
        <v>0</v>
      </c>
      <c r="H37" s="920">
        <f>'GHG Protocol'!H32</f>
        <v>0</v>
      </c>
      <c r="I37" s="920">
        <f>'GHG Protocol'!I32</f>
        <v>0</v>
      </c>
      <c r="J37" s="920">
        <f>'GHG Protocol'!J32</f>
        <v>0</v>
      </c>
      <c r="K37" s="920">
        <f>'GHG Protocol'!K32</f>
        <v>0</v>
      </c>
      <c r="L37" s="878" t="e">
        <f>'GHG Protocol'!L32</f>
        <v>#REF!</v>
      </c>
      <c r="M37" s="922">
        <f>'GHG Protocol'!M32</f>
        <v>0</v>
      </c>
      <c r="N37" s="858">
        <f>'GHG Protocol'!N32</f>
        <v>178.24680018625861</v>
      </c>
      <c r="O37" s="880">
        <f>'GHG Protocol'!O32</f>
        <v>0</v>
      </c>
      <c r="P37" s="88">
        <v>1</v>
      </c>
      <c r="Q37" s="924" t="e">
        <f t="shared" si="7"/>
        <v>#REF!</v>
      </c>
      <c r="R37" s="924">
        <f t="shared" si="7"/>
        <v>0</v>
      </c>
      <c r="S37" s="924">
        <f t="shared" si="7"/>
        <v>0</v>
      </c>
      <c r="T37" s="924">
        <f t="shared" si="7"/>
        <v>0</v>
      </c>
      <c r="U37" s="924">
        <f t="shared" si="7"/>
        <v>0</v>
      </c>
      <c r="V37" s="924">
        <f t="shared" si="7"/>
        <v>0</v>
      </c>
      <c r="W37" s="924">
        <f t="shared" si="7"/>
        <v>0</v>
      </c>
      <c r="X37" s="864" t="e">
        <f t="shared" si="7"/>
        <v>#REF!</v>
      </c>
      <c r="Y37" s="926">
        <f t="shared" si="7"/>
        <v>0</v>
      </c>
      <c r="Z37" s="858">
        <f t="shared" si="7"/>
        <v>178.24680018625861</v>
      </c>
      <c r="AA37" s="856">
        <f t="shared" si="7"/>
        <v>0</v>
      </c>
      <c r="AB37" s="114"/>
    </row>
    <row r="38" spans="2:28" s="869" customFormat="1" ht="12.75" hidden="1" customHeight="1" outlineLevel="1">
      <c r="B38" s="2999"/>
      <c r="C38" s="875" t="str">
        <f>'GHG Protocol'!C33</f>
        <v>3-13</v>
      </c>
      <c r="D38" s="876" t="str">
        <f>'GHG Protocol'!D33</f>
        <v>Actifs en leasing aval</v>
      </c>
      <c r="E38" s="920">
        <f>'GHG Protocol'!E33</f>
        <v>0</v>
      </c>
      <c r="F38" s="920">
        <f>'GHG Protocol'!F33</f>
        <v>0</v>
      </c>
      <c r="G38" s="920">
        <f>'GHG Protocol'!G33</f>
        <v>0</v>
      </c>
      <c r="H38" s="920">
        <f>'GHG Protocol'!H33</f>
        <v>0</v>
      </c>
      <c r="I38" s="920">
        <f>'GHG Protocol'!I33</f>
        <v>0</v>
      </c>
      <c r="J38" s="920">
        <f>'GHG Protocol'!J33</f>
        <v>0</v>
      </c>
      <c r="K38" s="920">
        <f>'GHG Protocol'!K33</f>
        <v>0</v>
      </c>
      <c r="L38" s="878">
        <f>'GHG Protocol'!L33</f>
        <v>0</v>
      </c>
      <c r="M38" s="922">
        <f>'GHG Protocol'!M33</f>
        <v>0</v>
      </c>
      <c r="N38" s="858">
        <f>'GHG Protocol'!N33</f>
        <v>0</v>
      </c>
      <c r="O38" s="880">
        <f>'GHG Protocol'!O33</f>
        <v>0</v>
      </c>
      <c r="P38" s="88">
        <v>1</v>
      </c>
      <c r="Q38" s="924">
        <f t="shared" si="7"/>
        <v>0</v>
      </c>
      <c r="R38" s="924">
        <f t="shared" si="7"/>
        <v>0</v>
      </c>
      <c r="S38" s="924">
        <f t="shared" si="7"/>
        <v>0</v>
      </c>
      <c r="T38" s="924">
        <f t="shared" si="7"/>
        <v>0</v>
      </c>
      <c r="U38" s="924">
        <f t="shared" si="7"/>
        <v>0</v>
      </c>
      <c r="V38" s="924">
        <f t="shared" si="7"/>
        <v>0</v>
      </c>
      <c r="W38" s="924">
        <f t="shared" si="7"/>
        <v>0</v>
      </c>
      <c r="X38" s="864">
        <f t="shared" si="7"/>
        <v>0</v>
      </c>
      <c r="Y38" s="926">
        <f t="shared" si="7"/>
        <v>0</v>
      </c>
      <c r="Z38" s="858">
        <f t="shared" si="7"/>
        <v>0</v>
      </c>
      <c r="AA38" s="856">
        <f t="shared" si="7"/>
        <v>0</v>
      </c>
      <c r="AB38" s="114"/>
    </row>
    <row r="39" spans="2:28" s="869" customFormat="1" ht="12.75" hidden="1" customHeight="1" outlineLevel="1">
      <c r="B39" s="2999"/>
      <c r="C39" s="875" t="str">
        <f>'GHG Protocol'!C34</f>
        <v>3-14</v>
      </c>
      <c r="D39" s="876" t="str">
        <f>'GHG Protocol'!D34</f>
        <v>Franchises</v>
      </c>
      <c r="E39" s="920">
        <f>'GHG Protocol'!E34</f>
        <v>0</v>
      </c>
      <c r="F39" s="920">
        <f>'GHG Protocol'!F34</f>
        <v>0</v>
      </c>
      <c r="G39" s="920">
        <f>'GHG Protocol'!G34</f>
        <v>0</v>
      </c>
      <c r="H39" s="920">
        <f>'GHG Protocol'!H34</f>
        <v>0</v>
      </c>
      <c r="I39" s="920">
        <f>'GHG Protocol'!I34</f>
        <v>0</v>
      </c>
      <c r="J39" s="920">
        <f>'GHG Protocol'!J34</f>
        <v>0</v>
      </c>
      <c r="K39" s="920">
        <f>'GHG Protocol'!K34</f>
        <v>0</v>
      </c>
      <c r="L39" s="878">
        <f>'GHG Protocol'!L34</f>
        <v>0</v>
      </c>
      <c r="M39" s="922">
        <f>'GHG Protocol'!M34</f>
        <v>0</v>
      </c>
      <c r="N39" s="858">
        <f>'GHG Protocol'!N34</f>
        <v>0</v>
      </c>
      <c r="O39" s="880">
        <f>'GHG Protocol'!O34</f>
        <v>0</v>
      </c>
      <c r="P39" s="88">
        <v>1</v>
      </c>
      <c r="Q39" s="924">
        <f t="shared" ref="Q39:AA39" si="8">IF($E$8="Oui",SUMPRODUCT(E15:E18,$P15:$P18)+SUMPRODUCT(E20:E21,$P20:$P21)+SUMPRODUCT(E24:E32,$P24:$P32)+SUMPRODUCT(E34:E41,$P34:$P41),IF($E$9="Oui",0,E39*$P39))</f>
        <v>0</v>
      </c>
      <c r="R39" s="924">
        <f t="shared" si="8"/>
        <v>0</v>
      </c>
      <c r="S39" s="924">
        <f t="shared" si="8"/>
        <v>0</v>
      </c>
      <c r="T39" s="924">
        <f t="shared" si="8"/>
        <v>0</v>
      </c>
      <c r="U39" s="924">
        <f t="shared" si="8"/>
        <v>0</v>
      </c>
      <c r="V39" s="924">
        <f t="shared" si="8"/>
        <v>0</v>
      </c>
      <c r="W39" s="924">
        <f t="shared" si="8"/>
        <v>0</v>
      </c>
      <c r="X39" s="864">
        <f t="shared" si="8"/>
        <v>0</v>
      </c>
      <c r="Y39" s="926">
        <f t="shared" si="8"/>
        <v>0</v>
      </c>
      <c r="Z39" s="858">
        <f t="shared" si="8"/>
        <v>0</v>
      </c>
      <c r="AA39" s="856">
        <f t="shared" si="8"/>
        <v>0</v>
      </c>
      <c r="AB39" s="114"/>
    </row>
    <row r="40" spans="2:28" s="869" customFormat="1" ht="12.75" hidden="1" customHeight="1" outlineLevel="1">
      <c r="B40" s="2999"/>
      <c r="C40" s="875" t="str">
        <f>'GHG Protocol'!C35</f>
        <v>3-15</v>
      </c>
      <c r="D40" s="876" t="str">
        <f>'GHG Protocol'!D35</f>
        <v>Investissements</v>
      </c>
      <c r="E40" s="920">
        <f>'GHG Protocol'!E35</f>
        <v>18.927</v>
      </c>
      <c r="F40" s="920">
        <f>'GHG Protocol'!F35</f>
        <v>0</v>
      </c>
      <c r="G40" s="920">
        <f>'GHG Protocol'!G35</f>
        <v>0</v>
      </c>
      <c r="H40" s="920">
        <f>'GHG Protocol'!H35</f>
        <v>0</v>
      </c>
      <c r="I40" s="920">
        <f>'GHG Protocol'!I35</f>
        <v>0</v>
      </c>
      <c r="J40" s="920">
        <f>'GHG Protocol'!J35</f>
        <v>0</v>
      </c>
      <c r="K40" s="920">
        <f>'GHG Protocol'!K35</f>
        <v>0</v>
      </c>
      <c r="L40" s="878">
        <f>'GHG Protocol'!L35</f>
        <v>18.927</v>
      </c>
      <c r="M40" s="922">
        <f>'GHG Protocol'!M35</f>
        <v>0</v>
      </c>
      <c r="N40" s="858">
        <f>'GHG Protocol'!N35</f>
        <v>8.5305063859069925</v>
      </c>
      <c r="O40" s="880">
        <f>'GHG Protocol'!O35</f>
        <v>0</v>
      </c>
      <c r="P40" s="88">
        <v>1</v>
      </c>
      <c r="Q40" s="924">
        <f t="shared" ref="Q40:AA41" si="9">IF($E$8="Oui",0,IF($E$9="Oui",0,E40*$P40))</f>
        <v>18.927</v>
      </c>
      <c r="R40" s="924">
        <f t="shared" si="9"/>
        <v>0</v>
      </c>
      <c r="S40" s="924">
        <f t="shared" si="9"/>
        <v>0</v>
      </c>
      <c r="T40" s="924">
        <f t="shared" si="9"/>
        <v>0</v>
      </c>
      <c r="U40" s="924">
        <f t="shared" si="9"/>
        <v>0</v>
      </c>
      <c r="V40" s="924">
        <f t="shared" si="9"/>
        <v>0</v>
      </c>
      <c r="W40" s="924">
        <f t="shared" si="9"/>
        <v>0</v>
      </c>
      <c r="X40" s="864">
        <f t="shared" si="9"/>
        <v>18.927</v>
      </c>
      <c r="Y40" s="926">
        <f t="shared" si="9"/>
        <v>0</v>
      </c>
      <c r="Z40" s="858">
        <f t="shared" si="9"/>
        <v>8.5305063859069925</v>
      </c>
      <c r="AA40" s="856">
        <f t="shared" si="9"/>
        <v>0</v>
      </c>
      <c r="AB40" s="114"/>
    </row>
    <row r="41" spans="2:28" s="869" customFormat="1" ht="12.75" hidden="1" customHeight="1" outlineLevel="1">
      <c r="B41" s="2999"/>
      <c r="C41" s="886">
        <f>'GHG Protocol'!C36</f>
        <v>0</v>
      </c>
      <c r="D41" s="876" t="str">
        <f>'GHG Protocol'!D36</f>
        <v>Autres émissions indirectes aval</v>
      </c>
      <c r="E41" s="920">
        <f>'GHG Protocol'!E36</f>
        <v>0</v>
      </c>
      <c r="F41" s="920">
        <f>'GHG Protocol'!F36</f>
        <v>0</v>
      </c>
      <c r="G41" s="920">
        <f>'GHG Protocol'!G36</f>
        <v>0</v>
      </c>
      <c r="H41" s="920">
        <f>'GHG Protocol'!H36</f>
        <v>0</v>
      </c>
      <c r="I41" s="920">
        <f>'GHG Protocol'!I36</f>
        <v>0</v>
      </c>
      <c r="J41" s="920">
        <f>'GHG Protocol'!J36</f>
        <v>0</v>
      </c>
      <c r="K41" s="920">
        <f>'GHG Protocol'!K36</f>
        <v>0</v>
      </c>
      <c r="L41" s="878">
        <f>'GHG Protocol'!L36</f>
        <v>0</v>
      </c>
      <c r="M41" s="922">
        <f>'GHG Protocol'!M36</f>
        <v>0</v>
      </c>
      <c r="N41" s="858">
        <f>'GHG Protocol'!N36</f>
        <v>0</v>
      </c>
      <c r="O41" s="880">
        <f>'GHG Protocol'!O36</f>
        <v>0</v>
      </c>
      <c r="P41" s="88">
        <v>1</v>
      </c>
      <c r="Q41" s="924">
        <f t="shared" si="9"/>
        <v>0</v>
      </c>
      <c r="R41" s="924">
        <f t="shared" si="9"/>
        <v>0</v>
      </c>
      <c r="S41" s="924">
        <f t="shared" si="9"/>
        <v>0</v>
      </c>
      <c r="T41" s="924">
        <f t="shared" si="9"/>
        <v>0</v>
      </c>
      <c r="U41" s="924">
        <f t="shared" si="9"/>
        <v>0</v>
      </c>
      <c r="V41" s="924">
        <f t="shared" si="9"/>
        <v>0</v>
      </c>
      <c r="W41" s="924">
        <f t="shared" si="9"/>
        <v>0</v>
      </c>
      <c r="X41" s="864">
        <f t="shared" si="9"/>
        <v>0</v>
      </c>
      <c r="Y41" s="926">
        <f t="shared" si="9"/>
        <v>0</v>
      </c>
      <c r="Z41" s="858">
        <f t="shared" si="9"/>
        <v>0</v>
      </c>
      <c r="AA41" s="856">
        <f t="shared" si="9"/>
        <v>0</v>
      </c>
      <c r="AB41" s="114"/>
    </row>
    <row r="42" spans="2:28" s="869" customFormat="1" collapsed="1">
      <c r="B42" s="3000"/>
      <c r="C42" s="3001" t="str">
        <f>'GHG Protocol'!C37</f>
        <v>Total Scope 3</v>
      </c>
      <c r="D42" s="3002"/>
      <c r="E42" s="921" t="e">
        <f ca="1">'GHG Protocol'!E37</f>
        <v>#REF!</v>
      </c>
      <c r="F42" s="921">
        <f>'GHG Protocol'!F37</f>
        <v>5.8792345920000004</v>
      </c>
      <c r="G42" s="921">
        <f>'GHG Protocol'!G37</f>
        <v>1.483662E-2</v>
      </c>
      <c r="H42" s="921">
        <f>'GHG Protocol'!H37</f>
        <v>0</v>
      </c>
      <c r="I42" s="921">
        <f>'GHG Protocol'!I37</f>
        <v>0</v>
      </c>
      <c r="J42" s="921">
        <f>'GHG Protocol'!J37</f>
        <v>0</v>
      </c>
      <c r="K42" s="921">
        <f>'GHG Protocol'!K37</f>
        <v>0.70032839999999996</v>
      </c>
      <c r="L42" s="881" t="e">
        <f ca="1">'GHG Protocol'!L37</f>
        <v>#REF!</v>
      </c>
      <c r="M42" s="923">
        <f ca="1">'GHG Protocol'!M37</f>
        <v>1.4507399999999999</v>
      </c>
      <c r="N42" s="883">
        <f>'GHG Protocol'!N37</f>
        <v>433.14741399064314</v>
      </c>
      <c r="O42" s="884">
        <f>'GHG Protocol'!O37</f>
        <v>0</v>
      </c>
      <c r="Q42" s="925" t="e">
        <f t="shared" ref="Q42:AA42" ca="1" si="10">SUM(Q24:Q41)</f>
        <v>#REF!</v>
      </c>
      <c r="R42" s="925">
        <f t="shared" si="10"/>
        <v>5.8792345920000004</v>
      </c>
      <c r="S42" s="925">
        <f t="shared" si="10"/>
        <v>1.483662E-2</v>
      </c>
      <c r="T42" s="925">
        <f t="shared" si="10"/>
        <v>0</v>
      </c>
      <c r="U42" s="925">
        <f t="shared" si="10"/>
        <v>0</v>
      </c>
      <c r="V42" s="925">
        <f t="shared" si="10"/>
        <v>0</v>
      </c>
      <c r="W42" s="925">
        <f t="shared" si="10"/>
        <v>0.70032839999999996</v>
      </c>
      <c r="X42" s="852" t="e">
        <f t="shared" ca="1" si="10"/>
        <v>#REF!</v>
      </c>
      <c r="Y42" s="927">
        <f t="shared" ca="1" si="10"/>
        <v>1.4507399999999999</v>
      </c>
      <c r="Z42" s="859">
        <f>SQRT(SUMSQ(Z24:Z41))</f>
        <v>433.14741399064314</v>
      </c>
      <c r="AA42" s="860">
        <f t="shared" si="10"/>
        <v>0</v>
      </c>
      <c r="AB42" s="114"/>
    </row>
    <row r="43" spans="2:28" s="114" customFormat="1"/>
    <row r="44" spans="2:28" s="114" customFormat="1" ht="12.75" customHeight="1">
      <c r="B44" s="1942" t="s">
        <v>2544</v>
      </c>
      <c r="C44" s="1949"/>
      <c r="E44" s="3055" t="s">
        <v>2542</v>
      </c>
      <c r="F44" s="3056"/>
      <c r="G44" s="3056"/>
      <c r="H44" s="3056"/>
      <c r="I44" s="3056"/>
      <c r="J44" s="3056"/>
      <c r="K44" s="3056"/>
      <c r="L44" s="3056"/>
      <c r="M44" s="3056"/>
      <c r="N44" s="3056"/>
      <c r="O44" s="3057"/>
    </row>
    <row r="45" spans="2:28" s="114" customFormat="1" ht="13.8">
      <c r="B45" s="1942" t="s">
        <v>2545</v>
      </c>
      <c r="C45" s="1950"/>
      <c r="E45" s="3058"/>
      <c r="F45" s="3059"/>
      <c r="G45" s="3059"/>
      <c r="H45" s="3059"/>
      <c r="I45" s="3059"/>
      <c r="J45" s="3059"/>
      <c r="K45" s="3059"/>
      <c r="L45" s="3059"/>
      <c r="M45" s="3059"/>
      <c r="N45" s="3059"/>
      <c r="O45" s="3060"/>
    </row>
    <row r="46" spans="2:28" s="114" customFormat="1" ht="13.8">
      <c r="B46" s="1942" t="s">
        <v>2546</v>
      </c>
      <c r="C46" s="1951"/>
      <c r="E46" s="3061"/>
      <c r="F46" s="3062"/>
      <c r="G46" s="3062"/>
      <c r="H46" s="3062"/>
      <c r="I46" s="3062"/>
      <c r="J46" s="3062"/>
      <c r="K46" s="3062"/>
      <c r="L46" s="3062"/>
      <c r="M46" s="3062"/>
      <c r="N46" s="3062"/>
      <c r="O46" s="3063"/>
    </row>
    <row r="47" spans="2:28" s="114" customFormat="1"/>
    <row r="48" spans="2:28" s="114" customFormat="1">
      <c r="B48" s="1944" t="s">
        <v>2532</v>
      </c>
      <c r="C48" s="869"/>
      <c r="D48" s="1944" t="s">
        <v>2534</v>
      </c>
      <c r="E48" s="3073" t="s">
        <v>2533</v>
      </c>
      <c r="F48" s="3074"/>
      <c r="G48" s="3074"/>
      <c r="H48" s="3074"/>
      <c r="I48" s="3074"/>
      <c r="J48" s="3074"/>
      <c r="K48" s="3074"/>
      <c r="L48" s="3074"/>
      <c r="M48" s="3074"/>
      <c r="N48" s="3074"/>
      <c r="O48" s="3075"/>
    </row>
    <row r="49" spans="2:28" s="869" customFormat="1" ht="36" customHeight="1">
      <c r="B49" s="1992" t="s">
        <v>2535</v>
      </c>
      <c r="C49" s="1946"/>
      <c r="D49" s="1992" t="s">
        <v>2537</v>
      </c>
      <c r="E49" s="3050" t="s">
        <v>2539</v>
      </c>
      <c r="F49" s="3051"/>
      <c r="G49" s="3051"/>
      <c r="H49" s="3051"/>
      <c r="I49" s="3051"/>
      <c r="J49" s="3051"/>
      <c r="K49" s="3051"/>
      <c r="L49" s="3051"/>
      <c r="M49" s="3051"/>
      <c r="N49" s="3051"/>
      <c r="O49" s="3052"/>
      <c r="AB49" s="114"/>
    </row>
    <row r="50" spans="2:28" s="869" customFormat="1" ht="36" customHeight="1">
      <c r="B50" s="1992" t="s">
        <v>2580</v>
      </c>
      <c r="C50" s="1947"/>
      <c r="D50" s="1992" t="s">
        <v>2538</v>
      </c>
      <c r="E50" s="3076">
        <f>IF(Descriptif!D4=0,"Complétez l'année de reporting dans l'onglet Descriptif",Descriptif!D4)</f>
        <v>2022</v>
      </c>
      <c r="F50" s="3077"/>
      <c r="G50" s="3077"/>
      <c r="H50" s="3077"/>
      <c r="I50" s="3077"/>
      <c r="J50" s="3077"/>
      <c r="K50" s="3077"/>
      <c r="L50" s="3077"/>
      <c r="M50" s="3077"/>
      <c r="N50" s="3077"/>
      <c r="O50" s="3078"/>
      <c r="AB50" s="114"/>
    </row>
    <row r="51" spans="2:28" s="869" customFormat="1" ht="36" customHeight="1">
      <c r="B51" s="1992" t="s">
        <v>2579</v>
      </c>
      <c r="C51" s="1946"/>
      <c r="D51" s="1992" t="s">
        <v>2536</v>
      </c>
      <c r="E51" s="3050" t="s">
        <v>2541</v>
      </c>
      <c r="F51" s="3051"/>
      <c r="G51" s="3051"/>
      <c r="H51" s="3051"/>
      <c r="I51" s="3051"/>
      <c r="J51" s="3051"/>
      <c r="K51" s="3051"/>
      <c r="L51" s="3051"/>
      <c r="M51" s="3051"/>
      <c r="N51" s="3051"/>
      <c r="O51" s="3052"/>
      <c r="AB51" s="114"/>
    </row>
    <row r="52" spans="2:28" s="869" customFormat="1" ht="36" customHeight="1">
      <c r="B52" s="1992" t="s">
        <v>2578</v>
      </c>
      <c r="C52" s="1948"/>
      <c r="D52" s="1992" t="s">
        <v>2803</v>
      </c>
      <c r="E52" s="3033"/>
      <c r="F52" s="3034"/>
      <c r="G52" s="3034"/>
      <c r="H52" s="3034"/>
      <c r="I52" s="3034"/>
      <c r="J52" s="3034"/>
      <c r="K52" s="3034"/>
      <c r="L52" s="3034"/>
      <c r="M52" s="3034"/>
      <c r="N52" s="3034"/>
      <c r="O52" s="3035"/>
      <c r="AB52" s="114"/>
    </row>
    <row r="53" spans="2:28" s="869" customFormat="1" ht="36" customHeight="1">
      <c r="B53" s="1992" t="s">
        <v>2577</v>
      </c>
      <c r="C53" s="1948"/>
      <c r="D53" s="1992" t="s">
        <v>2802</v>
      </c>
      <c r="E53" s="3076" t="str">
        <f>IF(Descriptif!D7=0,"Complétez l'approche retenue dans l'onglet Descriptif",Descriptif!D7)</f>
        <v>Contrôle opérationnel</v>
      </c>
      <c r="F53" s="3077"/>
      <c r="G53" s="3077"/>
      <c r="H53" s="3077"/>
      <c r="I53" s="3077"/>
      <c r="J53" s="3077"/>
      <c r="K53" s="3077"/>
      <c r="L53" s="3077"/>
      <c r="M53" s="3077"/>
      <c r="N53" s="3077"/>
      <c r="O53" s="3078"/>
      <c r="AB53" s="114"/>
    </row>
    <row r="54" spans="2:28" s="869" customFormat="1">
      <c r="B54" s="1945"/>
      <c r="D54" s="1945"/>
      <c r="E54" s="3017"/>
      <c r="F54" s="3018"/>
      <c r="G54" s="3018"/>
      <c r="H54" s="3018"/>
      <c r="I54" s="3018"/>
      <c r="J54" s="3018"/>
      <c r="K54" s="3018"/>
      <c r="L54" s="3018"/>
      <c r="M54" s="3018"/>
      <c r="N54" s="3018"/>
      <c r="O54" s="3019"/>
      <c r="AB54" s="114"/>
    </row>
    <row r="55" spans="2:28" s="869" customFormat="1" ht="45" customHeight="1">
      <c r="B55" s="1992" t="s">
        <v>2787</v>
      </c>
      <c r="C55" s="1946"/>
      <c r="D55" s="1992" t="str">
        <f>IF(B56="Oui","1.1a Identifiez les personnes chargées de la question climat au sein du conseil. Décrivez comment ces enjeux sont traités par le conseil.",IF(B56="Non","1.1c Pourquoi ? Quels sont vos projets pour changer ce fait dans le futur ?","Répondez à la question 1.1"))</f>
        <v>Répondez à la question 1.1</v>
      </c>
      <c r="E55" s="3050" t="s">
        <v>2539</v>
      </c>
      <c r="F55" s="3051"/>
      <c r="G55" s="3051"/>
      <c r="H55" s="3051"/>
      <c r="I55" s="3051"/>
      <c r="J55" s="3051"/>
      <c r="K55" s="3051"/>
      <c r="L55" s="3051"/>
      <c r="M55" s="3051"/>
      <c r="N55" s="3051"/>
      <c r="O55" s="3052"/>
      <c r="AB55" s="114"/>
    </row>
    <row r="56" spans="2:28" s="869" customFormat="1" ht="36" customHeight="1">
      <c r="B56" s="1943"/>
      <c r="C56" s="1946"/>
      <c r="D56" s="1992" t="str">
        <f>IF(B56="Oui","1.1b Donnez davantage de détails concernant la supervision du conseil d'administration sur la question climat"," - ")</f>
        <v xml:space="preserve"> - </v>
      </c>
      <c r="E56" s="3050"/>
      <c r="F56" s="3051"/>
      <c r="G56" s="3051"/>
      <c r="H56" s="3051"/>
      <c r="I56" s="3051"/>
      <c r="J56" s="3051"/>
      <c r="K56" s="3051"/>
      <c r="L56" s="3051"/>
      <c r="M56" s="3051"/>
      <c r="N56" s="3051"/>
      <c r="O56" s="3052"/>
      <c r="AB56" s="114"/>
    </row>
    <row r="57" spans="2:28" s="869" customFormat="1" ht="36" customHeight="1">
      <c r="B57" s="3081" t="s">
        <v>2789</v>
      </c>
      <c r="C57" s="1946"/>
      <c r="D57" s="1992" t="s">
        <v>2788</v>
      </c>
      <c r="E57" s="3050" t="s">
        <v>2539</v>
      </c>
      <c r="F57" s="3051"/>
      <c r="G57" s="3051"/>
      <c r="H57" s="3051"/>
      <c r="I57" s="3051"/>
      <c r="J57" s="3051"/>
      <c r="K57" s="3051"/>
      <c r="L57" s="3051"/>
      <c r="M57" s="3051"/>
      <c r="N57" s="3051"/>
      <c r="O57" s="3052"/>
      <c r="AB57" s="114"/>
    </row>
    <row r="58" spans="2:28" s="869" customFormat="1" ht="36" customHeight="1">
      <c r="B58" s="3082"/>
      <c r="C58" s="1946"/>
      <c r="D58" s="1992" t="s">
        <v>2804</v>
      </c>
      <c r="E58" s="3050"/>
      <c r="F58" s="3051"/>
      <c r="G58" s="3051"/>
      <c r="H58" s="3051"/>
      <c r="I58" s="3051"/>
      <c r="J58" s="3051"/>
      <c r="K58" s="3051"/>
      <c r="L58" s="3051"/>
      <c r="M58" s="3051"/>
      <c r="N58" s="3051"/>
      <c r="O58" s="3052"/>
      <c r="AB58" s="114"/>
    </row>
    <row r="59" spans="2:28" s="869" customFormat="1" ht="36" customHeight="1">
      <c r="B59" s="1992" t="s">
        <v>2576</v>
      </c>
      <c r="C59" s="1946"/>
      <c r="D59" s="3079" t="str">
        <f>IF(B60="Oui","1.3a Donnez plus de détails","Répondez à la question 1.3")</f>
        <v>Répondez à la question 1.3</v>
      </c>
      <c r="E59" s="3116" t="s">
        <v>2540</v>
      </c>
      <c r="F59" s="3117"/>
      <c r="G59" s="3117"/>
      <c r="H59" s="3117"/>
      <c r="I59" s="3117"/>
      <c r="J59" s="3117"/>
      <c r="K59" s="3117"/>
      <c r="L59" s="3117"/>
      <c r="M59" s="3117"/>
      <c r="N59" s="3117"/>
      <c r="O59" s="3118"/>
      <c r="AB59" s="114"/>
    </row>
    <row r="60" spans="2:28" s="869" customFormat="1" ht="20.100000000000001" customHeight="1">
      <c r="B60" s="1943"/>
      <c r="C60" s="1946"/>
      <c r="D60" s="3080"/>
      <c r="E60" s="3119"/>
      <c r="F60" s="3120"/>
      <c r="G60" s="3120"/>
      <c r="H60" s="3120"/>
      <c r="I60" s="3120"/>
      <c r="J60" s="3120"/>
      <c r="K60" s="3120"/>
      <c r="L60" s="3120"/>
      <c r="M60" s="3120"/>
      <c r="N60" s="3120"/>
      <c r="O60" s="3121"/>
      <c r="AB60" s="114"/>
    </row>
    <row r="61" spans="2:28" s="869" customFormat="1">
      <c r="B61" s="1945"/>
      <c r="D61" s="1945"/>
      <c r="E61" s="3017"/>
      <c r="F61" s="3018"/>
      <c r="G61" s="3018"/>
      <c r="H61" s="3018"/>
      <c r="I61" s="3018"/>
      <c r="J61" s="3018"/>
      <c r="K61" s="3018"/>
      <c r="L61" s="3018"/>
      <c r="M61" s="3018"/>
      <c r="N61" s="3018"/>
      <c r="O61" s="3019"/>
      <c r="AB61" s="114"/>
    </row>
    <row r="62" spans="2:28" s="1986" customFormat="1" ht="36" customHeight="1">
      <c r="B62" s="1992" t="s">
        <v>2581</v>
      </c>
      <c r="C62" s="1947"/>
      <c r="D62" s="1992" t="s">
        <v>2559</v>
      </c>
      <c r="E62" s="3014" t="s">
        <v>2586</v>
      </c>
      <c r="F62" s="3015"/>
      <c r="G62" s="3015"/>
      <c r="H62" s="3015"/>
      <c r="I62" s="3015"/>
      <c r="J62" s="3015"/>
      <c r="K62" s="3015"/>
      <c r="L62" s="3015"/>
      <c r="M62" s="3015"/>
      <c r="N62" s="3015"/>
      <c r="O62" s="3016"/>
      <c r="AB62" s="116"/>
    </row>
    <row r="63" spans="2:28" s="1986" customFormat="1" ht="141" customHeight="1">
      <c r="B63" s="2021" t="s">
        <v>2575</v>
      </c>
      <c r="C63" s="1947"/>
      <c r="D63" s="1992" t="str">
        <f>IF(B64="","Répondez à la question 2.2.",IF(LEFT(B64,3)="Il ",CONCATENATE("2.2e Pourquoi votre organisation n'a-t-elle pas de processus pour identifier, évaluer et gérer les risques et opportunités liés au changement climatique ? Prévoyez-vous de mettre en place un tel processus dans le futur ?","
Choisissez parmi :
- Nous prévoyons d'intégrer un tel processus dans les deux années à venir.
- C'est important mais pas notre priorité immédiate.
- Ce n'est pas important (à justifier).
- Manque de ressources en interne.","
- Données insuffisantes sur les opérations.
- Aucune instruction de la part des managers.
- Autre (merci de spécifier)."),"2.2a Décrivez la fréquence et l'horizon temporel de votre évaluation des risques."))</f>
        <v>Répondez à la question 2.2.</v>
      </c>
      <c r="E63" s="3050" t="s">
        <v>2539</v>
      </c>
      <c r="F63" s="3051"/>
      <c r="G63" s="3051"/>
      <c r="H63" s="3051"/>
      <c r="I63" s="3051"/>
      <c r="J63" s="3051"/>
      <c r="K63" s="3051"/>
      <c r="L63" s="3051"/>
      <c r="M63" s="3051"/>
      <c r="N63" s="3051"/>
      <c r="O63" s="3052"/>
      <c r="AB63" s="116"/>
    </row>
    <row r="64" spans="2:28" s="1986" customFormat="1" ht="36" customHeight="1">
      <c r="B64" s="3113"/>
      <c r="C64" s="1947"/>
      <c r="D64" s="1992" t="str">
        <f>IF(B64=""," - ",IF(LEFT(B64,3)="Il "," - ","2.2b Détaillez les processus d'identification, d'évaluation et de gestion des risques liés au climat."))</f>
        <v xml:space="preserve"> - </v>
      </c>
      <c r="E64" s="3011"/>
      <c r="F64" s="3012"/>
      <c r="G64" s="3012"/>
      <c r="H64" s="3012"/>
      <c r="I64" s="3012"/>
      <c r="J64" s="3012"/>
      <c r="K64" s="3012"/>
      <c r="L64" s="3012"/>
      <c r="M64" s="3012"/>
      <c r="N64" s="3012"/>
      <c r="O64" s="3013"/>
      <c r="AB64" s="116"/>
    </row>
    <row r="65" spans="2:28" s="1986" customFormat="1" ht="149.25" customHeight="1">
      <c r="B65" s="3114"/>
      <c r="C65" s="1947"/>
      <c r="D65" s="1992" t="str">
        <f>IF(B64=""," - ",IF(LEFT(B64,3)="Il "," - ",CONCATENATE("2.2c Quels risques-types parmi cette liste sont considérés par votre organisation comme liés au climat ?","
- Réglementation actuelle ou étant mise en place ;
- Technologie ;
- Droit ;
- Marché ;
- Réputation ;
- Risques physiques (réguliers ou ponctuels) ;
- Amont ;
- Aval.")))</f>
        <v xml:space="preserve"> - </v>
      </c>
      <c r="E65" s="2023"/>
      <c r="F65" s="1995"/>
      <c r="G65" s="1995"/>
      <c r="H65" s="1995"/>
      <c r="I65" s="1995"/>
      <c r="J65" s="1995"/>
      <c r="K65" s="1995"/>
      <c r="L65" s="1995"/>
      <c r="M65" s="1995"/>
      <c r="N65" s="1995"/>
      <c r="O65" s="2024"/>
      <c r="AB65" s="116"/>
    </row>
    <row r="66" spans="2:28" s="1986" customFormat="1" ht="36" customHeight="1">
      <c r="B66" s="3115"/>
      <c r="C66" s="1947"/>
      <c r="D66" s="1992" t="str">
        <f>IF(B64=""," - ",IF(LEFT(B64,3)="Il "," - ","2.2d Décrivez votre processus pour gérer les risques et les opportunités liés au changement climatique."))</f>
        <v xml:space="preserve"> - </v>
      </c>
      <c r="E66" s="3011"/>
      <c r="F66" s="3012"/>
      <c r="G66" s="3012"/>
      <c r="H66" s="3012"/>
      <c r="I66" s="3012"/>
      <c r="J66" s="3012"/>
      <c r="K66" s="3012"/>
      <c r="L66" s="3012"/>
      <c r="M66" s="3012"/>
      <c r="N66" s="3012"/>
      <c r="O66" s="3013"/>
      <c r="AB66" s="116"/>
    </row>
    <row r="67" spans="2:28" s="1986" customFormat="1" ht="99.9" customHeight="1">
      <c r="B67" s="1993" t="s">
        <v>2582</v>
      </c>
      <c r="C67" s="1947"/>
      <c r="D67" s="3079" t="str">
        <f>IF(B68="Oui",CONCATENATE("2.3a Détaillez les risques identifiés ainsi en utilisant les options des colonnes E à O."," Insérez autant de lignes que nécessaire."," Attention, pour la colonne G, il faudra vous référer directement au questionnaire du CDP dans la mesure où les choix sont complexes et interconnectés."),IF(B68="Non","2.3b Pourquoi ne considérez vous pas que votre organisation est exposée à de tels risques ?","Répondez à la question 2.3"))</f>
        <v>Répondez à la question 2.3</v>
      </c>
      <c r="E67" s="3083"/>
      <c r="F67" s="3083"/>
      <c r="G67" s="3085" t="s">
        <v>2566</v>
      </c>
      <c r="H67" s="3083"/>
      <c r="I67" s="3083"/>
      <c r="J67" s="3083"/>
      <c r="K67" s="3083"/>
      <c r="L67" s="3087" t="s">
        <v>2567</v>
      </c>
      <c r="M67" s="3087" t="s">
        <v>2568</v>
      </c>
      <c r="N67" s="3083"/>
      <c r="O67" s="3089" t="s">
        <v>2565</v>
      </c>
      <c r="AB67" s="116"/>
    </row>
    <row r="68" spans="2:28" s="1986" customFormat="1" ht="20.100000000000001" customHeight="1">
      <c r="B68" s="2014"/>
      <c r="C68" s="1947"/>
      <c r="D68" s="3080"/>
      <c r="E68" s="3084"/>
      <c r="F68" s="3084"/>
      <c r="G68" s="3086"/>
      <c r="H68" s="3084"/>
      <c r="I68" s="3084"/>
      <c r="J68" s="3084"/>
      <c r="K68" s="3084"/>
      <c r="L68" s="3088"/>
      <c r="M68" s="3088"/>
      <c r="N68" s="3084"/>
      <c r="O68" s="3090"/>
      <c r="AB68" s="116"/>
    </row>
    <row r="69" spans="2:28" s="1986" customFormat="1" ht="99.9" customHeight="1">
      <c r="B69" s="1992" t="s">
        <v>2583</v>
      </c>
      <c r="C69" s="1947"/>
      <c r="D69" s="3081" t="str">
        <f>IF(B70="Oui",CONCATENATE("2.4a Détaillez les opportunités identifiées ainsi, en utilisant les options des colonnes E à O."," Insérez autant de lignes que nécessaire. Attention, pour la colonne G,"," il faudra vosu référer directement au questionnaire du CDP dans la mesure où les choix sont complexes et interconnectés."),IF(OR(B70="Non",LEFT(B70,8)="Oui mais"),"2.4b Pourquoi ne considérez vous pas que votre organisation puisse profiter de telles opportunités ?","Répondez à la question 2.4"))</f>
        <v>Répondez à la question 2.4</v>
      </c>
      <c r="E69" s="3083"/>
      <c r="F69" s="3083"/>
      <c r="G69" s="3085" t="s">
        <v>2566</v>
      </c>
      <c r="H69" s="3083"/>
      <c r="I69" s="3083"/>
      <c r="J69" s="3083"/>
      <c r="K69" s="3083"/>
      <c r="L69" s="3087" t="s">
        <v>2567</v>
      </c>
      <c r="M69" s="3087" t="s">
        <v>2569</v>
      </c>
      <c r="N69" s="3083"/>
      <c r="O69" s="3089" t="s">
        <v>2565</v>
      </c>
      <c r="AB69" s="116"/>
    </row>
    <row r="70" spans="2:28" s="1986" customFormat="1" ht="20.100000000000001" customHeight="1">
      <c r="B70" s="2015"/>
      <c r="C70" s="1947"/>
      <c r="D70" s="3082"/>
      <c r="E70" s="3084"/>
      <c r="F70" s="3084"/>
      <c r="G70" s="3086"/>
      <c r="H70" s="3084"/>
      <c r="I70" s="3084"/>
      <c r="J70" s="3084"/>
      <c r="K70" s="3084"/>
      <c r="L70" s="3088"/>
      <c r="M70" s="3088"/>
      <c r="N70" s="3084"/>
      <c r="O70" s="3090"/>
      <c r="AB70" s="116"/>
    </row>
    <row r="71" spans="2:28" s="1986" customFormat="1" ht="36" customHeight="1">
      <c r="B71" s="1992" t="s">
        <v>2584</v>
      </c>
      <c r="C71" s="1947"/>
      <c r="D71" s="1992" t="s">
        <v>2563</v>
      </c>
      <c r="E71" s="3050" t="s">
        <v>3074</v>
      </c>
      <c r="F71" s="3051"/>
      <c r="G71" s="3051"/>
      <c r="H71" s="3051"/>
      <c r="I71" s="3051"/>
      <c r="J71" s="3051"/>
      <c r="K71" s="3051"/>
      <c r="L71" s="3051"/>
      <c r="M71" s="3051"/>
      <c r="N71" s="3051"/>
      <c r="O71" s="3052"/>
      <c r="AB71" s="116"/>
    </row>
    <row r="72" spans="2:28" s="1986" customFormat="1" ht="36" customHeight="1">
      <c r="B72" s="1992" t="s">
        <v>2585</v>
      </c>
      <c r="C72" s="1946"/>
      <c r="D72" s="1992" t="s">
        <v>2564</v>
      </c>
      <c r="E72" s="3050" t="s">
        <v>3074</v>
      </c>
      <c r="F72" s="3051"/>
      <c r="G72" s="3051"/>
      <c r="H72" s="3051"/>
      <c r="I72" s="3051"/>
      <c r="J72" s="3051"/>
      <c r="K72" s="3051"/>
      <c r="L72" s="3051"/>
      <c r="M72" s="3051"/>
      <c r="N72" s="3051"/>
      <c r="O72" s="3052"/>
      <c r="AB72" s="116"/>
    </row>
    <row r="73" spans="2:28" s="869" customFormat="1">
      <c r="B73" s="1945"/>
      <c r="D73" s="1945"/>
      <c r="E73" s="3017"/>
      <c r="F73" s="3018"/>
      <c r="G73" s="3018"/>
      <c r="H73" s="3018"/>
      <c r="I73" s="3018"/>
      <c r="J73" s="3018"/>
      <c r="K73" s="3018"/>
      <c r="L73" s="3018"/>
      <c r="M73" s="3018"/>
      <c r="N73" s="3018"/>
      <c r="O73" s="3019"/>
      <c r="AB73" s="114"/>
    </row>
    <row r="74" spans="2:28" s="1986" customFormat="1" ht="45" customHeight="1">
      <c r="B74" s="1994" t="s">
        <v>2570</v>
      </c>
      <c r="C74" s="1946"/>
      <c r="D74" s="3079" t="str">
        <f>IF(B75="Oui","3.1a Est-ce que votre organisation utilise l'analyse de scenarios climatiques pour influencer sa stratégie commerciale ?",IF(B75="Non","3.1f Pourquoi les enjeux climat ne sont-ils pas intégrés à vos objectifs et votre stratégie ?","Répondez à la question 3.1."))</f>
        <v>Répondez à la question 3.1.</v>
      </c>
      <c r="E74" s="3027" t="s">
        <v>3075</v>
      </c>
      <c r="F74" s="3028"/>
      <c r="G74" s="3028"/>
      <c r="H74" s="3028"/>
      <c r="I74" s="3028"/>
      <c r="J74" s="3028"/>
      <c r="K74" s="3028"/>
      <c r="L74" s="3028"/>
      <c r="M74" s="3028"/>
      <c r="N74" s="3028"/>
      <c r="O74" s="3029"/>
      <c r="AB74" s="116"/>
    </row>
    <row r="75" spans="2:28" s="1986" customFormat="1">
      <c r="B75" s="3053"/>
      <c r="C75" s="1946"/>
      <c r="D75" s="3080"/>
      <c r="E75" s="3030"/>
      <c r="F75" s="3031"/>
      <c r="G75" s="3031"/>
      <c r="H75" s="3031"/>
      <c r="I75" s="3031"/>
      <c r="J75" s="3031"/>
      <c r="K75" s="3031"/>
      <c r="L75" s="3031"/>
      <c r="M75" s="3031"/>
      <c r="N75" s="3031"/>
      <c r="O75" s="3032"/>
      <c r="AB75" s="116"/>
    </row>
    <row r="76" spans="2:28" s="1986" customFormat="1" ht="36" customHeight="1">
      <c r="B76" s="3097"/>
      <c r="C76" s="1946"/>
      <c r="D76" s="3047" t="str">
        <f>IF(B75="Oui","Reportez vous ici aux questions sectorielles suivantes :
C-AC3.1b ; C-CE3.1b ; C-CH3.1b ; C-CO3.1b ; C-EU3.1b ; C-FB3.1b ; C-MM3.1b ; C-OG3.1b ; C-PF3.1b ; C-ST3.1b ; C-TO3.1b ; C-TS3.1b"," - ")</f>
        <v xml:space="preserve"> - </v>
      </c>
      <c r="E76" s="3048"/>
      <c r="F76" s="3048"/>
      <c r="G76" s="3048"/>
      <c r="H76" s="3048"/>
      <c r="I76" s="3048"/>
      <c r="J76" s="3048"/>
      <c r="K76" s="3048"/>
      <c r="L76" s="3048"/>
      <c r="M76" s="3048"/>
      <c r="N76" s="3048"/>
      <c r="O76" s="3049"/>
      <c r="AB76" s="116"/>
    </row>
    <row r="77" spans="2:28" s="1986" customFormat="1" ht="36" customHeight="1">
      <c r="B77" s="3097"/>
      <c r="C77" s="1946"/>
      <c r="D77" s="1992" t="str">
        <f>IF(B75="Oui","3.1c Expliquez comment les enjeux climat sont intégrés au sein de vos objectifs et stratégie commerciale"," - ")</f>
        <v xml:space="preserve"> - </v>
      </c>
      <c r="E77" s="3011"/>
      <c r="F77" s="3012"/>
      <c r="G77" s="3012"/>
      <c r="H77" s="3012"/>
      <c r="I77" s="3012"/>
      <c r="J77" s="3012"/>
      <c r="K77" s="3012"/>
      <c r="L77" s="3012"/>
      <c r="M77" s="3012"/>
      <c r="N77" s="3012"/>
      <c r="O77" s="3013"/>
      <c r="AB77" s="116"/>
    </row>
    <row r="78" spans="2:28" s="1986" customFormat="1" ht="36" customHeight="1">
      <c r="B78" s="3097"/>
      <c r="C78" s="1946"/>
      <c r="D78" s="1992" t="str">
        <f>IF(LEFT(E74,3)="Oui","3.1d Détaillez l'usage que fait votre organisation de l'analyse de scénarios climatiques",IF(LEFT(E74,3)="Non","3.1g Pourquoi votre organisation n'utilise-t-elle pas l'analyse de scénarios climatiques pour améliorer sa stratégie commerciale ?",IF(B75="Oui","Répondez d'abord à la question 3.1a."," - ")))</f>
        <v xml:space="preserve"> - </v>
      </c>
      <c r="E78" s="3011"/>
      <c r="F78" s="3012"/>
      <c r="G78" s="3012"/>
      <c r="H78" s="3012"/>
      <c r="I78" s="3012"/>
      <c r="J78" s="3012"/>
      <c r="K78" s="3012"/>
      <c r="L78" s="3012"/>
      <c r="M78" s="3012"/>
      <c r="N78" s="3012"/>
      <c r="O78" s="3013"/>
      <c r="AB78" s="116"/>
    </row>
    <row r="79" spans="2:28" s="1986" customFormat="1" ht="36.75" customHeight="1">
      <c r="B79" s="3054"/>
      <c r="C79" s="1946"/>
      <c r="D79" s="3047" t="str">
        <f>IF(AND(B75="Oui",LEFT(E74,3)="Oui"),"Reportez vous ici aux questions sectorielles suivantes :
C-AC3.1e ; C-CE3.1e ; C-CH3.1e ; C-CO3.1e ; C-EU3.1e ; C-FB3.1e ; C-MM3.1e ; C-OG3.1e ; C-PF3.1e ; C-ST3.1e ; C-TO3.1e ; C-TS3.1e"," - ")</f>
        <v xml:space="preserve"> - </v>
      </c>
      <c r="E79" s="3048"/>
      <c r="F79" s="3048"/>
      <c r="G79" s="3048"/>
      <c r="H79" s="3048"/>
      <c r="I79" s="3048"/>
      <c r="J79" s="3048"/>
      <c r="K79" s="3048"/>
      <c r="L79" s="3048"/>
      <c r="M79" s="3048"/>
      <c r="N79" s="3048"/>
      <c r="O79" s="3049"/>
      <c r="AB79" s="116"/>
    </row>
    <row r="80" spans="2:28" s="869" customFormat="1">
      <c r="B80" s="1945"/>
      <c r="D80" s="1945"/>
      <c r="E80" s="3017"/>
      <c r="F80" s="3018"/>
      <c r="G80" s="3018"/>
      <c r="H80" s="3018"/>
      <c r="I80" s="3018"/>
      <c r="J80" s="3018"/>
      <c r="K80" s="3018"/>
      <c r="L80" s="3018"/>
      <c r="M80" s="3018"/>
      <c r="N80" s="3018"/>
      <c r="O80" s="3019"/>
      <c r="AB80" s="114"/>
    </row>
    <row r="81" spans="2:28" s="1986" customFormat="1" ht="120" customHeight="1">
      <c r="B81" s="1994" t="s">
        <v>3072</v>
      </c>
      <c r="C81" s="1947"/>
      <c r="D81" s="1992" t="str">
        <f>IF(LEFT(B82,8)="Quantité","4.1a Détaillez votre objectif en termes de quantité de GES, et les progrès que vous avez fait pour les atteindre en utilisant les options des colonnes E à O. Insérez autant de lignes que nécessaire."," Merci de ne pas prendre en compte les cases E90 à O90. ")</f>
        <v xml:space="preserve"> Merci de ne pas prendre en compte les cases E90 à O90. </v>
      </c>
      <c r="E81" s="1997"/>
      <c r="F81" s="2000" t="s">
        <v>2621</v>
      </c>
      <c r="G81" s="2000" t="s">
        <v>2622</v>
      </c>
      <c r="H81" s="1998" t="s">
        <v>2617</v>
      </c>
      <c r="I81" s="1998" t="s">
        <v>2618</v>
      </c>
      <c r="J81" s="1998" t="s">
        <v>2619</v>
      </c>
      <c r="K81" s="1998" t="s">
        <v>2620</v>
      </c>
      <c r="L81" s="1997"/>
      <c r="M81" s="1998" t="s">
        <v>2629</v>
      </c>
      <c r="N81" s="1995"/>
      <c r="O81" s="1999" t="s">
        <v>2630</v>
      </c>
      <c r="AB81" s="116"/>
    </row>
    <row r="82" spans="2:28" s="1986" customFormat="1" ht="120" customHeight="1">
      <c r="B82" s="3053"/>
      <c r="C82" s="1947"/>
      <c r="D82" s="1992" t="str">
        <f>IF(RIGHT(B82,11)="sité de GES","4.1b Détaillez votre objectif en termes d'intensité de GES, et les progrès que vous avez fait pour les atteindre en utilisant les options des colonnes E à R. Insérez autant de lignes que nécessaire."," Merci de ne pas prendre en compte les cases E91 à R91.")</f>
        <v xml:space="preserve"> Merci de ne pas prendre en compte les cases E91 à R91.</v>
      </c>
      <c r="E82" s="1997"/>
      <c r="F82" s="2000" t="s">
        <v>2621</v>
      </c>
      <c r="G82" s="2000" t="s">
        <v>2622</v>
      </c>
      <c r="H82" s="1997"/>
      <c r="I82" s="1998" t="s">
        <v>2617</v>
      </c>
      <c r="J82" s="1998" t="s">
        <v>2618</v>
      </c>
      <c r="K82" s="1998" t="s">
        <v>2619</v>
      </c>
      <c r="L82" s="1998" t="s">
        <v>2620</v>
      </c>
      <c r="M82" s="1997"/>
      <c r="N82" s="1998" t="s">
        <v>2629</v>
      </c>
      <c r="O82" s="1995"/>
      <c r="P82" s="1999" t="s">
        <v>2630</v>
      </c>
      <c r="Q82" s="2003" t="s">
        <v>2659</v>
      </c>
      <c r="R82" s="2003" t="s">
        <v>2658</v>
      </c>
      <c r="AB82" s="116"/>
    </row>
    <row r="83" spans="2:28" s="1986" customFormat="1" ht="36" customHeight="1">
      <c r="B83" s="3054"/>
      <c r="C83" s="1947"/>
      <c r="D83" s="1992" t="str">
        <f>IF(B82="Aucun objectif","4.1c Expliquez pourquoi vous n'avez pas défini d'objectifs de réduction, et détaillez comment vos émissions vont évoluer durant les cinque prochaines années."," - ")</f>
        <v xml:space="preserve"> - </v>
      </c>
      <c r="E83" s="3011"/>
      <c r="F83" s="3012"/>
      <c r="G83" s="3012"/>
      <c r="H83" s="3012"/>
      <c r="I83" s="3012"/>
      <c r="J83" s="3012"/>
      <c r="K83" s="3012"/>
      <c r="L83" s="3012"/>
      <c r="M83" s="3012"/>
      <c r="N83" s="3012"/>
      <c r="O83" s="3013"/>
      <c r="AB83" s="116"/>
    </row>
    <row r="84" spans="2:28" s="1986" customFormat="1" ht="120" customHeight="1">
      <c r="B84" s="1992" t="s">
        <v>2571</v>
      </c>
      <c r="C84" s="1947"/>
      <c r="D84" s="1992" t="s">
        <v>2660</v>
      </c>
      <c r="E84" s="1997"/>
      <c r="F84" s="1998" t="s">
        <v>2673</v>
      </c>
      <c r="G84" s="1998" t="s">
        <v>2674</v>
      </c>
      <c r="H84" s="1998" t="s">
        <v>2617</v>
      </c>
      <c r="I84" s="1998" t="s">
        <v>2675</v>
      </c>
      <c r="J84" s="1998" t="s">
        <v>2620</v>
      </c>
      <c r="K84" s="1998" t="s">
        <v>2676</v>
      </c>
      <c r="L84" s="1998" t="s">
        <v>2677</v>
      </c>
      <c r="M84" s="1998" t="s">
        <v>2678</v>
      </c>
      <c r="N84" s="1997"/>
      <c r="O84" s="2004" t="s">
        <v>2630</v>
      </c>
      <c r="P84" s="2003" t="s">
        <v>2679</v>
      </c>
      <c r="Q84" s="2003" t="s">
        <v>2680</v>
      </c>
      <c r="AB84" s="116"/>
    </row>
    <row r="85" spans="2:28" s="1986" customFormat="1" ht="66" customHeight="1">
      <c r="B85" s="1992" t="s">
        <v>2572</v>
      </c>
      <c r="C85" s="1947"/>
      <c r="D85" s="1992" t="str">
        <f>IF(B86="Oui","4.3a Identifiez le nombre d'actions à toutes étapes de réalisation, et pour celles en cours d'implémentation, les émissions réduites.",IF(B86="Non","4.3d Pourquoi n'avez-vous aucune action de réduction en cours durant votre année de reporting ?","Répondez à la question 4.3."))</f>
        <v>Répondez à la question 4.3.</v>
      </c>
      <c r="E85" s="3014" t="s">
        <v>3076</v>
      </c>
      <c r="F85" s="3015"/>
      <c r="G85" s="3015"/>
      <c r="H85" s="3015"/>
      <c r="I85" s="3015"/>
      <c r="J85" s="3015"/>
      <c r="K85" s="3015"/>
      <c r="L85" s="3015"/>
      <c r="M85" s="3015"/>
      <c r="N85" s="3015"/>
      <c r="O85" s="3016"/>
      <c r="AB85" s="116"/>
    </row>
    <row r="86" spans="2:28" s="1986" customFormat="1" ht="120" customHeight="1">
      <c r="B86" s="3053"/>
      <c r="C86" s="1947"/>
      <c r="D86" s="1992" t="str">
        <f>IF(B86="Oui","4.3b Détaillez les actions de réduction misent en place durant l'année de reporting","Merci de ne pas tenir compte des cases E95 à 095.")</f>
        <v>Merci de ne pas tenir compte des cases E95 à 095.</v>
      </c>
      <c r="E86" s="2005"/>
      <c r="F86" s="2012"/>
      <c r="G86" s="1998" t="s">
        <v>2730</v>
      </c>
      <c r="H86" s="1998" t="s">
        <v>2731</v>
      </c>
      <c r="I86" s="1998" t="s">
        <v>2732</v>
      </c>
      <c r="J86" s="1998" t="str">
        <f>"économies réalisées par an (en "&amp;E52&amp;") ?"</f>
        <v>économies réalisées par an (en ) ?</v>
      </c>
      <c r="K86" s="1998" t="s">
        <v>2733</v>
      </c>
      <c r="L86" s="1998" t="s">
        <v>2734</v>
      </c>
      <c r="M86" s="1998" t="s">
        <v>2750</v>
      </c>
      <c r="N86" s="3009" t="s">
        <v>2565</v>
      </c>
      <c r="O86" s="3010"/>
      <c r="AB86" s="116"/>
    </row>
    <row r="87" spans="2:28" s="1986" customFormat="1" ht="39.75" customHeight="1">
      <c r="B87" s="3054"/>
      <c r="C87" s="1947"/>
      <c r="D87" s="1992" t="str">
        <f>IF(B86="Oui","4.3c Quelles méthodes avez-vous utilisé pour diriger vos investissements vers des activités réduisant vos émissions ?"," - ")</f>
        <v xml:space="preserve"> - </v>
      </c>
      <c r="E87" s="3011"/>
      <c r="F87" s="3012"/>
      <c r="G87" s="3012"/>
      <c r="H87" s="3012"/>
      <c r="I87" s="3012"/>
      <c r="J87" s="3012"/>
      <c r="K87" s="3012"/>
      <c r="L87" s="3012"/>
      <c r="M87" s="3012"/>
      <c r="N87" s="3012"/>
      <c r="O87" s="3013"/>
      <c r="AB87" s="116"/>
    </row>
    <row r="88" spans="2:28" s="1986" customFormat="1" ht="36" customHeight="1">
      <c r="B88" s="1992" t="s">
        <v>2573</v>
      </c>
      <c r="D88" s="3047" t="s">
        <v>2574</v>
      </c>
      <c r="E88" s="3048"/>
      <c r="F88" s="3048"/>
      <c r="G88" s="3048"/>
      <c r="H88" s="3048"/>
      <c r="I88" s="3048"/>
      <c r="J88" s="3048"/>
      <c r="K88" s="3048"/>
      <c r="L88" s="3048"/>
      <c r="M88" s="3048"/>
      <c r="N88" s="3048"/>
      <c r="O88" s="3049"/>
      <c r="AB88" s="116"/>
    </row>
    <row r="89" spans="2:28" s="1986" customFormat="1" ht="69.900000000000006" customHeight="1">
      <c r="B89" s="1992" t="s">
        <v>3073</v>
      </c>
      <c r="C89" s="1948"/>
      <c r="D89" s="3079" t="str">
        <f>IF(B90="Oui","Détaillez ces produits ou services.","Répondez à la question 4.5.")</f>
        <v>Répondez à la question 4.5.</v>
      </c>
      <c r="E89" s="3091"/>
      <c r="F89" s="3092"/>
      <c r="G89" s="3092"/>
      <c r="H89" s="3092"/>
      <c r="I89" s="3092"/>
      <c r="J89" s="3092"/>
      <c r="K89" s="3092"/>
      <c r="L89" s="3092"/>
      <c r="M89" s="3092"/>
      <c r="N89" s="3092"/>
      <c r="O89" s="3093"/>
      <c r="AB89" s="116"/>
    </row>
    <row r="90" spans="2:28" s="1986" customFormat="1" ht="20.100000000000001" customHeight="1">
      <c r="B90" s="1987"/>
      <c r="C90" s="1948"/>
      <c r="D90" s="3080"/>
      <c r="E90" s="3094"/>
      <c r="F90" s="3095"/>
      <c r="G90" s="3095"/>
      <c r="H90" s="3095"/>
      <c r="I90" s="3095"/>
      <c r="J90" s="3095"/>
      <c r="K90" s="3095"/>
      <c r="L90" s="3095"/>
      <c r="M90" s="3095"/>
      <c r="N90" s="3095"/>
      <c r="O90" s="3096"/>
      <c r="AB90" s="116"/>
    </row>
    <row r="91" spans="2:28" s="869" customFormat="1">
      <c r="B91" s="1945"/>
      <c r="D91" s="1945"/>
      <c r="E91" s="3017"/>
      <c r="F91" s="3018"/>
      <c r="G91" s="3018"/>
      <c r="H91" s="3018"/>
      <c r="I91" s="3018"/>
      <c r="J91" s="3018"/>
      <c r="K91" s="3018"/>
      <c r="L91" s="3018"/>
      <c r="M91" s="3018"/>
      <c r="N91" s="3018"/>
      <c r="O91" s="3019"/>
      <c r="AB91" s="114"/>
    </row>
    <row r="92" spans="2:28" s="1986" customFormat="1" ht="36" customHeight="1">
      <c r="B92" s="1992" t="s">
        <v>2751</v>
      </c>
      <c r="C92" s="1947"/>
      <c r="D92" s="1992" t="s">
        <v>2752</v>
      </c>
      <c r="E92" s="3011"/>
      <c r="F92" s="3012"/>
      <c r="G92" s="3012"/>
      <c r="H92" s="3012"/>
      <c r="I92" s="3012"/>
      <c r="J92" s="3012"/>
      <c r="K92" s="3012"/>
      <c r="L92" s="3012"/>
      <c r="M92" s="3012"/>
      <c r="N92" s="3012"/>
      <c r="O92" s="3013"/>
      <c r="AB92" s="116"/>
    </row>
    <row r="93" spans="2:28" s="1986" customFormat="1" ht="36" customHeight="1">
      <c r="B93" s="1992" t="s">
        <v>2753</v>
      </c>
      <c r="C93" s="1947"/>
      <c r="D93" s="1992" t="s">
        <v>2754</v>
      </c>
      <c r="E93" s="3014" t="s">
        <v>2755</v>
      </c>
      <c r="F93" s="3015"/>
      <c r="G93" s="3015"/>
      <c r="H93" s="3015"/>
      <c r="I93" s="3015"/>
      <c r="J93" s="3015"/>
      <c r="K93" s="3015"/>
      <c r="L93" s="3015"/>
      <c r="M93" s="3015"/>
      <c r="N93" s="3015"/>
      <c r="O93" s="3016"/>
      <c r="AB93" s="116"/>
    </row>
    <row r="94" spans="2:28" s="869" customFormat="1">
      <c r="B94" s="1945"/>
      <c r="D94" s="1945"/>
      <c r="E94" s="3017"/>
      <c r="F94" s="3018"/>
      <c r="G94" s="3018"/>
      <c r="H94" s="3018"/>
      <c r="I94" s="3018"/>
      <c r="J94" s="3018"/>
      <c r="K94" s="3018"/>
      <c r="L94" s="3018"/>
      <c r="M94" s="3018"/>
      <c r="N94" s="3018"/>
      <c r="O94" s="3019"/>
      <c r="AB94" s="114"/>
    </row>
    <row r="95" spans="2:28" s="1986" customFormat="1" ht="36" customHeight="1">
      <c r="B95" s="1992" t="s">
        <v>2756</v>
      </c>
      <c r="C95" s="1947"/>
      <c r="D95" s="1992" t="s">
        <v>2765</v>
      </c>
      <c r="E95" s="3020" t="str">
        <f>$L$19&amp;" tonnes de CO2e"</f>
        <v>305,240277916 tonnes de CO2e</v>
      </c>
      <c r="F95" s="3021"/>
      <c r="G95" s="3021"/>
      <c r="H95" s="3021"/>
      <c r="I95" s="3021"/>
      <c r="J95" s="3021"/>
      <c r="K95" s="3021"/>
      <c r="L95" s="3021"/>
      <c r="M95" s="3021"/>
      <c r="N95" s="3021"/>
      <c r="O95" s="3022"/>
      <c r="AB95" s="116"/>
    </row>
    <row r="96" spans="2:28" s="1986" customFormat="1" ht="36" customHeight="1">
      <c r="B96" s="1992" t="s">
        <v>2762</v>
      </c>
      <c r="C96" s="1947"/>
      <c r="D96" s="1992" t="s">
        <v>2766</v>
      </c>
      <c r="E96" s="3009"/>
      <c r="F96" s="3023"/>
      <c r="G96" s="3023"/>
      <c r="H96" s="3010"/>
      <c r="I96" s="3009" t="s">
        <v>2565</v>
      </c>
      <c r="J96" s="3023"/>
      <c r="K96" s="3023"/>
      <c r="L96" s="3023"/>
      <c r="M96" s="3023"/>
      <c r="N96" s="3023"/>
      <c r="O96" s="3010"/>
      <c r="AB96" s="116"/>
    </row>
    <row r="97" spans="2:28" s="1986" customFormat="1" ht="36" customHeight="1">
      <c r="B97" s="1992" t="s">
        <v>2763</v>
      </c>
      <c r="C97" s="1947"/>
      <c r="D97" s="1992" t="s">
        <v>2764</v>
      </c>
      <c r="E97" s="3020" t="str">
        <f>$L$22&amp;" tonnes de CO2e"</f>
        <v>19,2899685 tonnes de CO2e</v>
      </c>
      <c r="F97" s="3021"/>
      <c r="G97" s="3021"/>
      <c r="H97" s="3021"/>
      <c r="I97" s="3021"/>
      <c r="J97" s="3021"/>
      <c r="K97" s="3021"/>
      <c r="L97" s="3021"/>
      <c r="M97" s="3021"/>
      <c r="N97" s="3021"/>
      <c r="O97" s="3022"/>
      <c r="AB97" s="116"/>
    </row>
    <row r="98" spans="2:28" s="1986" customFormat="1" ht="45" customHeight="1">
      <c r="B98" s="1992" t="s">
        <v>2767</v>
      </c>
      <c r="C98" s="1947"/>
      <c r="D98" s="3079" t="str">
        <f>IF(B99="Oui","6.4a Détaillez les postes d'émission non pris en compte dans ces valeurs.",IF(B99="Non"," - ","Répondez à la question 6.4."))</f>
        <v>Répondez à la question 6.4.</v>
      </c>
      <c r="E98" s="3027" t="s">
        <v>3077</v>
      </c>
      <c r="F98" s="3028"/>
      <c r="G98" s="3028"/>
      <c r="H98" s="3028"/>
      <c r="I98" s="3028"/>
      <c r="J98" s="3028"/>
      <c r="K98" s="3028"/>
      <c r="L98" s="3028"/>
      <c r="M98" s="3028"/>
      <c r="N98" s="3028"/>
      <c r="O98" s="3029"/>
      <c r="AB98" s="116"/>
    </row>
    <row r="99" spans="2:28" s="1986" customFormat="1" ht="20.100000000000001" customHeight="1">
      <c r="B99" s="1991"/>
      <c r="C99" s="1947"/>
      <c r="D99" s="3080"/>
      <c r="E99" s="3030"/>
      <c r="F99" s="3031"/>
      <c r="G99" s="3031"/>
      <c r="H99" s="3031"/>
      <c r="I99" s="3031"/>
      <c r="J99" s="3031"/>
      <c r="K99" s="3031"/>
      <c r="L99" s="3031"/>
      <c r="M99" s="3031"/>
      <c r="N99" s="3031"/>
      <c r="O99" s="3032"/>
      <c r="AB99" s="116"/>
    </row>
    <row r="100" spans="2:28" s="1986" customFormat="1" ht="36" customHeight="1">
      <c r="B100" s="1992" t="s">
        <v>2768</v>
      </c>
      <c r="C100" s="1947"/>
      <c r="D100" s="3047" t="s">
        <v>2769</v>
      </c>
      <c r="E100" s="3048"/>
      <c r="F100" s="3048"/>
      <c r="G100" s="3048"/>
      <c r="H100" s="3048"/>
      <c r="I100" s="3048"/>
      <c r="J100" s="3048"/>
      <c r="K100" s="3048"/>
      <c r="L100" s="3048"/>
      <c r="M100" s="3048"/>
      <c r="N100" s="3048"/>
      <c r="O100" s="3049"/>
      <c r="AB100" s="116"/>
    </row>
    <row r="101" spans="2:28" s="1986" customFormat="1" ht="36" customHeight="1">
      <c r="B101" s="1994" t="s">
        <v>2770</v>
      </c>
      <c r="D101" s="3047" t="s">
        <v>2771</v>
      </c>
      <c r="E101" s="3048"/>
      <c r="F101" s="3048"/>
      <c r="G101" s="3048"/>
      <c r="H101" s="3048"/>
      <c r="I101" s="3048"/>
      <c r="J101" s="3048"/>
      <c r="K101" s="3048"/>
      <c r="L101" s="3048"/>
      <c r="M101" s="3048"/>
      <c r="N101" s="3048"/>
      <c r="O101" s="3049"/>
      <c r="AB101" s="116"/>
    </row>
    <row r="102" spans="2:28" s="1986" customFormat="1" ht="34.200000000000003">
      <c r="B102" s="1994" t="s">
        <v>2772</v>
      </c>
      <c r="C102" s="1946"/>
      <c r="D102" s="3064" t="str">
        <f>IF(B103="Oui","Vous émettez "&amp;SUM($M$42,$M$22,$M$19)&amp;" tonnes de CO2b.","Répondez à la question 6.7.")</f>
        <v>Répondez à la question 6.7.</v>
      </c>
      <c r="E102" s="3065"/>
      <c r="F102" s="3065"/>
      <c r="G102" s="3065"/>
      <c r="H102" s="3065"/>
      <c r="I102" s="3065"/>
      <c r="J102" s="3065"/>
      <c r="K102" s="3065"/>
      <c r="L102" s="3065"/>
      <c r="M102" s="3065"/>
      <c r="N102" s="3065"/>
      <c r="O102" s="3066"/>
      <c r="AB102" s="116"/>
    </row>
    <row r="103" spans="2:28" s="1986" customFormat="1" ht="20.100000000000001" customHeight="1">
      <c r="B103" s="1991"/>
      <c r="C103" s="1946"/>
      <c r="D103" s="3067"/>
      <c r="E103" s="3068"/>
      <c r="F103" s="3068"/>
      <c r="G103" s="3068"/>
      <c r="H103" s="3068"/>
      <c r="I103" s="3068"/>
      <c r="J103" s="3068"/>
      <c r="K103" s="3068"/>
      <c r="L103" s="3068"/>
      <c r="M103" s="3068"/>
      <c r="N103" s="3068"/>
      <c r="O103" s="3069"/>
      <c r="AB103" s="116"/>
    </row>
    <row r="104" spans="2:28" s="1986" customFormat="1" ht="36" customHeight="1">
      <c r="B104" s="1994" t="s">
        <v>2773</v>
      </c>
      <c r="D104" s="3047" t="s">
        <v>2774</v>
      </c>
      <c r="E104" s="3048"/>
      <c r="F104" s="3048"/>
      <c r="G104" s="3048"/>
      <c r="H104" s="3048"/>
      <c r="I104" s="3048"/>
      <c r="J104" s="3048"/>
      <c r="K104" s="3048"/>
      <c r="L104" s="3048"/>
      <c r="M104" s="3048"/>
      <c r="N104" s="3048"/>
      <c r="O104" s="3049"/>
      <c r="AB104" s="116"/>
    </row>
    <row r="105" spans="2:28" s="1986" customFormat="1" ht="36" customHeight="1">
      <c r="B105" s="1994" t="s">
        <v>2775</v>
      </c>
      <c r="C105" s="1947"/>
      <c r="D105" s="2013" t="str">
        <f>"Vous émettez "&amp;SUM($L$19,$L$22)/MAX(1,Descriptif!$D$18)&amp;" tonnes de CO2e/k-euros (scope 1&amp;2). Vous pouvez détailler ici d'autres mesures en intensité qui sont pertinentes pour votre activité. Plus de détails sur le questionnaire en ligne du CDP."</f>
        <v>Vous émettez 318,16690825098 tonnes de CO2e/k-euros (scope 1&amp;2). Vous pouvez détailler ici d'autres mesures en intensité qui sont pertinentes pour votre activité. Plus de détails sur le questionnaire en ligne du CDP.</v>
      </c>
      <c r="E105" s="3070"/>
      <c r="F105" s="3071"/>
      <c r="G105" s="3071"/>
      <c r="H105" s="3071"/>
      <c r="I105" s="3071"/>
      <c r="J105" s="3071"/>
      <c r="K105" s="3071"/>
      <c r="L105" s="3071"/>
      <c r="M105" s="3071"/>
      <c r="N105" s="3071"/>
      <c r="O105" s="3072"/>
      <c r="AB105" s="116"/>
    </row>
    <row r="106" spans="2:28" s="869" customFormat="1">
      <c r="B106" s="1945"/>
      <c r="D106" s="1945"/>
      <c r="E106" s="3017"/>
      <c r="F106" s="3018"/>
      <c r="G106" s="3018"/>
      <c r="H106" s="3018"/>
      <c r="I106" s="3018"/>
      <c r="J106" s="3018"/>
      <c r="K106" s="3018"/>
      <c r="L106" s="3018"/>
      <c r="M106" s="3018"/>
      <c r="N106" s="3018"/>
      <c r="O106" s="3019"/>
      <c r="AB106" s="114"/>
    </row>
    <row r="107" spans="2:28" s="1986" customFormat="1" ht="30" customHeight="1">
      <c r="B107" s="1994" t="s">
        <v>2776</v>
      </c>
      <c r="C107" s="1947"/>
      <c r="D107" s="3079" t="str">
        <f>IF(B108="Oui","Ventilez vos émissions Scope1 totales selon les différents gaz à effet de serre émis",IF(B108="Non"," - ","Répondez à la question 7.1."))</f>
        <v>Répondez à la question 7.1.</v>
      </c>
      <c r="E107" s="3134" t="str">
        <f>IF(F19+G19+H19+I19+J19+K19=0,"Vous n'émettez directement que du CO2.","Vous émettez directement d'autres GES que le CO2 : vous émettez "&amp;F19&amp;"t CO2e de CH4, "&amp;G19&amp;"t CO2e de N2O, "&amp;H19+I19+J19&amp;"t CO2e de gaz fluorés et "&amp;K19&amp;"t CO2e d'autres gaz.")</f>
        <v>Vous émettez directement d'autres GES que le CO2 : vous émettez 0,2343t CO2e de CH4, 1,577381916t CO2e de N2O, 0,486t CO2e de gaz fluorés et 0t CO2e d'autres gaz.</v>
      </c>
      <c r="F107" s="3135"/>
      <c r="G107" s="3135"/>
      <c r="H107" s="3135"/>
      <c r="I107" s="3135"/>
      <c r="J107" s="3135"/>
      <c r="K107" s="3135"/>
      <c r="L107" s="3135"/>
      <c r="M107" s="3135"/>
      <c r="N107" s="3135"/>
      <c r="O107" s="3136"/>
      <c r="AB107" s="116"/>
    </row>
    <row r="108" spans="2:28" s="1986" customFormat="1" ht="20.100000000000001" customHeight="1">
      <c r="B108" s="1987"/>
      <c r="C108" s="1947"/>
      <c r="D108" s="3080"/>
      <c r="E108" s="3137"/>
      <c r="F108" s="3138"/>
      <c r="G108" s="3138"/>
      <c r="H108" s="3138"/>
      <c r="I108" s="3138"/>
      <c r="J108" s="3138"/>
      <c r="K108" s="3138"/>
      <c r="L108" s="3138"/>
      <c r="M108" s="3138"/>
      <c r="N108" s="3138"/>
      <c r="O108" s="3139"/>
      <c r="AB108" s="116"/>
    </row>
    <row r="109" spans="2:28" s="1986" customFormat="1" ht="36" customHeight="1">
      <c r="B109" s="2013" t="s">
        <v>2781</v>
      </c>
      <c r="C109" s="1946"/>
      <c r="D109" s="2013" t="s">
        <v>2777</v>
      </c>
      <c r="E109" s="3014" t="s">
        <v>3078</v>
      </c>
      <c r="F109" s="3015"/>
      <c r="G109" s="3015"/>
      <c r="H109" s="3015"/>
      <c r="I109" s="3015"/>
      <c r="J109" s="3015"/>
      <c r="K109" s="3015"/>
      <c r="L109" s="3015"/>
      <c r="M109" s="3015"/>
      <c r="N109" s="3015"/>
      <c r="O109" s="3016"/>
      <c r="AB109" s="116"/>
    </row>
    <row r="110" spans="2:28" s="1986" customFormat="1" ht="30" customHeight="1">
      <c r="B110" s="2013" t="s">
        <v>2778</v>
      </c>
      <c r="C110" s="1947"/>
      <c r="D110" s="3079" t="str">
        <f>IF(B111="Par division commerciale"," 7.3a Merci de ventiler vos émissions scope 1 parmi vos divisions commerciales.",IF(B111="Par usine","7.3b Merci de ventiler vos émissions scope 1 parmi vos usines.",IF(B111="Par activité","7.3c Merci de ventiler vos émissions scope 1 parmi vos activités","Répondez à la question 7.3")))</f>
        <v>Répondez à la question 7.3</v>
      </c>
      <c r="E110" s="3027" t="s">
        <v>3079</v>
      </c>
      <c r="F110" s="3028"/>
      <c r="G110" s="3028"/>
      <c r="H110" s="3028"/>
      <c r="I110" s="3028"/>
      <c r="J110" s="3028"/>
      <c r="K110" s="3028"/>
      <c r="L110" s="3028"/>
      <c r="M110" s="3028"/>
      <c r="N110" s="3028"/>
      <c r="O110" s="3029"/>
      <c r="AB110" s="116"/>
    </row>
    <row r="111" spans="2:28" s="1986" customFormat="1" ht="20.100000000000001" customHeight="1">
      <c r="B111" s="1987"/>
      <c r="C111" s="1947"/>
      <c r="D111" s="3080"/>
      <c r="E111" s="3030"/>
      <c r="F111" s="3031"/>
      <c r="G111" s="3031"/>
      <c r="H111" s="3031"/>
      <c r="I111" s="3031"/>
      <c r="J111" s="3031"/>
      <c r="K111" s="3031"/>
      <c r="L111" s="3031"/>
      <c r="M111" s="3031"/>
      <c r="N111" s="3031"/>
      <c r="O111" s="3032"/>
      <c r="AB111" s="116"/>
    </row>
    <row r="112" spans="2:28" s="1986" customFormat="1" ht="36" customHeight="1">
      <c r="B112" s="2013" t="s">
        <v>2779</v>
      </c>
      <c r="D112" s="3047" t="s">
        <v>2780</v>
      </c>
      <c r="E112" s="3048"/>
      <c r="F112" s="3048"/>
      <c r="G112" s="3048"/>
      <c r="H112" s="3048"/>
      <c r="I112" s="3048"/>
      <c r="J112" s="3048"/>
      <c r="K112" s="3048"/>
      <c r="L112" s="3048"/>
      <c r="M112" s="3048"/>
      <c r="N112" s="3048"/>
      <c r="O112" s="3049"/>
      <c r="AB112" s="116"/>
    </row>
    <row r="113" spans="1:28" s="1986" customFormat="1" ht="36" customHeight="1">
      <c r="B113" s="2013" t="s">
        <v>2782</v>
      </c>
      <c r="C113" s="1946"/>
      <c r="D113" s="2013" t="s">
        <v>2783</v>
      </c>
      <c r="E113" s="3014" t="s">
        <v>3078</v>
      </c>
      <c r="F113" s="3015"/>
      <c r="G113" s="3015"/>
      <c r="H113" s="3015"/>
      <c r="I113" s="3015"/>
      <c r="J113" s="3015"/>
      <c r="K113" s="3015"/>
      <c r="L113" s="3015"/>
      <c r="M113" s="3015"/>
      <c r="N113" s="3015"/>
      <c r="O113" s="3016"/>
      <c r="AB113" s="116"/>
    </row>
    <row r="114" spans="1:28" s="1986" customFormat="1" ht="30" customHeight="1">
      <c r="B114" s="2013" t="s">
        <v>2790</v>
      </c>
      <c r="C114" s="1947"/>
      <c r="D114" s="3079" t="str">
        <f>IF(B115="Par division commerciale"," 7.6a Merci de ventiler vos émissions scope 2 parmi vos divisions commerciales.",IF(B115="Par usine","7.6b Merci de ventiler vos émissions scope 2 parmi vos usines.",IF(B115="Par activité","7.6c Merci de ventiler vos émissions scope 2 parmi vos activités","Répondez à la question 7.6.")))</f>
        <v>Répondez à la question 7.6.</v>
      </c>
      <c r="E114" s="3027" t="s">
        <v>3079</v>
      </c>
      <c r="F114" s="3028"/>
      <c r="G114" s="3028"/>
      <c r="H114" s="3028"/>
      <c r="I114" s="3028"/>
      <c r="J114" s="3028"/>
      <c r="K114" s="3028"/>
      <c r="L114" s="3028"/>
      <c r="M114" s="3028"/>
      <c r="N114" s="3028"/>
      <c r="O114" s="3029"/>
      <c r="AB114" s="116"/>
    </row>
    <row r="115" spans="1:28" s="1986" customFormat="1" ht="20.100000000000001" customHeight="1">
      <c r="B115" s="1987"/>
      <c r="C115" s="1947"/>
      <c r="D115" s="3080"/>
      <c r="E115" s="3030"/>
      <c r="F115" s="3031"/>
      <c r="G115" s="3031"/>
      <c r="H115" s="3031"/>
      <c r="I115" s="3031"/>
      <c r="J115" s="3031"/>
      <c r="K115" s="3031"/>
      <c r="L115" s="3031"/>
      <c r="M115" s="3031"/>
      <c r="N115" s="3031"/>
      <c r="O115" s="3032"/>
      <c r="AB115" s="116"/>
    </row>
    <row r="116" spans="1:28" s="1986" customFormat="1" ht="36" customHeight="1">
      <c r="B116" s="2013" t="s">
        <v>2784</v>
      </c>
      <c r="D116" s="3047" t="s">
        <v>2785</v>
      </c>
      <c r="E116" s="3048"/>
      <c r="F116" s="3048"/>
      <c r="G116" s="3048"/>
      <c r="H116" s="3048"/>
      <c r="I116" s="3048"/>
      <c r="J116" s="3048"/>
      <c r="K116" s="3048"/>
      <c r="L116" s="3048"/>
      <c r="M116" s="3048"/>
      <c r="N116" s="3048"/>
      <c r="O116" s="3049"/>
      <c r="AB116" s="116"/>
    </row>
    <row r="117" spans="1:28" s="1986" customFormat="1" ht="41.25" customHeight="1">
      <c r="B117" s="2013" t="s">
        <v>2786</v>
      </c>
      <c r="C117" s="1947"/>
      <c r="D117" s="2013" t="str">
        <f>IF(LEFT(B118,13)="Les émissions","7.9a Indentifiez les raisons de cette évolution, et spécifiez pour chacune pourquoi elle aboutit à cette évolution", "Répondez à la question 7.9.")</f>
        <v>Répondez à la question 7.9.</v>
      </c>
      <c r="E117" s="3140" t="s">
        <v>3080</v>
      </c>
      <c r="F117" s="3141"/>
      <c r="G117" s="3141"/>
      <c r="H117" s="3141"/>
      <c r="I117" s="3141"/>
      <c r="J117" s="3141"/>
      <c r="K117" s="3141"/>
      <c r="L117" s="3141"/>
      <c r="M117" s="3141"/>
      <c r="N117" s="3141"/>
      <c r="O117" s="3142"/>
      <c r="AB117" s="116"/>
    </row>
    <row r="118" spans="1:28" s="1986" customFormat="1" ht="36" customHeight="1">
      <c r="B118" s="1987"/>
      <c r="C118" s="1947"/>
      <c r="D118" s="2013" t="str">
        <f>IF(LEFT(B118,13)="Les émissions","7.9b Utilisez vous un scope 2 basé sur la localisation ou un scope 2 basé sur le marché ?"," - ")</f>
        <v xml:space="preserve"> - </v>
      </c>
      <c r="E118" s="3070"/>
      <c r="F118" s="3071"/>
      <c r="G118" s="3071"/>
      <c r="H118" s="3071"/>
      <c r="I118" s="3071"/>
      <c r="J118" s="3071"/>
      <c r="K118" s="3071"/>
      <c r="L118" s="3071"/>
      <c r="M118" s="3071"/>
      <c r="N118" s="3071"/>
      <c r="O118" s="3072"/>
      <c r="AB118" s="116"/>
    </row>
    <row r="119" spans="1:28" s="869" customFormat="1">
      <c r="B119" s="1945"/>
      <c r="D119" s="1945"/>
      <c r="E119" s="3017"/>
      <c r="F119" s="3018"/>
      <c r="G119" s="3018"/>
      <c r="H119" s="3018"/>
      <c r="I119" s="3018"/>
      <c r="J119" s="3018"/>
      <c r="K119" s="3018"/>
      <c r="L119" s="3018"/>
      <c r="M119" s="3018"/>
      <c r="N119" s="3018"/>
      <c r="O119" s="3019"/>
      <c r="AB119" s="114"/>
    </row>
    <row r="120" spans="1:28" s="1986" customFormat="1" ht="36" customHeight="1">
      <c r="B120" s="2013" t="s">
        <v>2792</v>
      </c>
      <c r="C120" s="1947"/>
      <c r="D120" s="2013" t="s">
        <v>2791</v>
      </c>
      <c r="E120" s="3024" t="e">
        <f ca="1">ROUND((L19+L22+L26)*100/IF(L42+L22+L19=0,1,L42+L22+L19),1)&amp;"% de vos émissions sont liées à l'énergie (scope 1,2 et poste 3-3)."</f>
        <v>#REF!</v>
      </c>
      <c r="F120" s="3025"/>
      <c r="G120" s="3025"/>
      <c r="H120" s="3025"/>
      <c r="I120" s="3025"/>
      <c r="J120" s="3025"/>
      <c r="K120" s="3025"/>
      <c r="L120" s="3025"/>
      <c r="M120" s="3025"/>
      <c r="N120" s="3025"/>
      <c r="O120" s="3026"/>
      <c r="AB120" s="116"/>
    </row>
    <row r="121" spans="1:28" s="1986" customFormat="1" ht="54.75" customHeight="1">
      <c r="B121" s="2013" t="s">
        <v>2801</v>
      </c>
      <c r="C121" s="1947"/>
      <c r="D121" s="3079" t="str">
        <f>IF(B122="Aucune"," - ",IF(B122="","Répondez à la question 8.2.","8.2a Donnez la consommation énergétique (hors matière première) en MWh."))</f>
        <v>Répondez à la question 8.2.</v>
      </c>
      <c r="E121" s="3027" t="s">
        <v>3078</v>
      </c>
      <c r="F121" s="3028"/>
      <c r="G121" s="3028"/>
      <c r="H121" s="3028"/>
      <c r="I121" s="3028"/>
      <c r="J121" s="3028"/>
      <c r="K121" s="3028"/>
      <c r="L121" s="3028"/>
      <c r="M121" s="3028"/>
      <c r="N121" s="3028"/>
      <c r="O121" s="3029"/>
      <c r="AB121" s="116"/>
    </row>
    <row r="122" spans="1:28" s="1986" customFormat="1">
      <c r="B122" s="3098"/>
      <c r="C122" s="1947"/>
      <c r="D122" s="3080"/>
      <c r="E122" s="3030"/>
      <c r="F122" s="3031"/>
      <c r="G122" s="3031"/>
      <c r="H122" s="3031"/>
      <c r="I122" s="3031"/>
      <c r="J122" s="3031"/>
      <c r="K122" s="3031"/>
      <c r="L122" s="3031"/>
      <c r="M122" s="3031"/>
      <c r="N122" s="3031"/>
      <c r="O122" s="3032"/>
      <c r="AB122" s="116"/>
    </row>
    <row r="123" spans="1:28" s="1986" customFormat="1" ht="25.5" customHeight="1">
      <c r="B123" s="3099"/>
      <c r="C123" s="1947"/>
      <c r="D123" s="2013" t="str">
        <f>IF(RIGHT(B122,5)="ière)","8.2b Sélectionnez les usages de votre consommation de carburant.",IF(LEFT(B122,5)="Conso","8.2f Détaillez les quantités d'électricité, chaleur, vapeur et froid considérés comme bas carbone dans la figure du Scope 2 marché, de la question 6.3",IF(LEFT(B122,5)="Produ","8.2e Détaillez les quantités d'électricité, de chaleur, de vapeur et de froid que votre organisation a générées et consommées durant l'année observée"," - ")))</f>
        <v xml:space="preserve"> - </v>
      </c>
      <c r="E123" s="3011"/>
      <c r="F123" s="3012"/>
      <c r="G123" s="3012"/>
      <c r="H123" s="3012"/>
      <c r="I123" s="3012"/>
      <c r="J123" s="3012"/>
      <c r="K123" s="3012"/>
      <c r="L123" s="3012"/>
      <c r="M123" s="3012"/>
      <c r="N123" s="3012"/>
      <c r="O123" s="3013"/>
      <c r="AB123" s="116"/>
    </row>
    <row r="124" spans="1:28" s="1986" customFormat="1" ht="25.5" customHeight="1">
      <c r="B124" s="3099"/>
      <c r="C124" s="1947"/>
      <c r="D124" s="2013" t="str">
        <f>IF(LEFT(D123,4)="8.2b","8.2c Quelle quantité de MWh de carburant votre organisation a-t-elle consommée, par type de carburant ? (hors matières premières)"," - ")</f>
        <v xml:space="preserve"> - </v>
      </c>
      <c r="E124" s="3011"/>
      <c r="F124" s="3012"/>
      <c r="G124" s="3012"/>
      <c r="H124" s="3012"/>
      <c r="I124" s="3012"/>
      <c r="J124" s="3012"/>
      <c r="K124" s="3012"/>
      <c r="L124" s="3012"/>
      <c r="M124" s="3012"/>
      <c r="N124" s="3012"/>
      <c r="O124" s="3013"/>
      <c r="AB124" s="116"/>
    </row>
    <row r="125" spans="1:28" s="1986" customFormat="1" ht="25.5" customHeight="1">
      <c r="B125" s="3100"/>
      <c r="C125" s="1947"/>
      <c r="D125" s="2013" t="str">
        <f>IF(E124=""," - ","8.2d Détaillez les facteurs d'émissions employés pour les carburants détaillés pour la question 8.2c.")</f>
        <v xml:space="preserve"> - </v>
      </c>
      <c r="E125" s="3011"/>
      <c r="F125" s="3012"/>
      <c r="G125" s="3012"/>
      <c r="H125" s="3012"/>
      <c r="I125" s="3012"/>
      <c r="J125" s="3012"/>
      <c r="K125" s="3012"/>
      <c r="L125" s="3012"/>
      <c r="M125" s="3012"/>
      <c r="N125" s="3012"/>
      <c r="O125" s="3013"/>
      <c r="AB125" s="116"/>
    </row>
    <row r="126" spans="1:28" s="869" customFormat="1">
      <c r="A126" s="1986"/>
      <c r="B126" s="1945"/>
      <c r="D126" s="1945"/>
      <c r="E126" s="3017"/>
      <c r="F126" s="3018"/>
      <c r="G126" s="3018"/>
      <c r="H126" s="3018"/>
      <c r="I126" s="3018"/>
      <c r="J126" s="3018"/>
      <c r="K126" s="3018"/>
      <c r="L126" s="3018"/>
      <c r="M126" s="3018"/>
      <c r="N126" s="3018"/>
      <c r="O126" s="3019"/>
      <c r="AB126" s="114"/>
    </row>
    <row r="127" spans="1:28" s="869" customFormat="1" ht="36" customHeight="1">
      <c r="A127" s="1986"/>
      <c r="B127" s="2013" t="s">
        <v>3043</v>
      </c>
      <c r="C127" s="1946"/>
      <c r="D127" s="2013" t="s">
        <v>3044</v>
      </c>
      <c r="E127" s="3050" t="s">
        <v>3081</v>
      </c>
      <c r="F127" s="3051"/>
      <c r="G127" s="3051"/>
      <c r="H127" s="3051"/>
      <c r="I127" s="3051"/>
      <c r="J127" s="3051"/>
      <c r="K127" s="3051"/>
      <c r="L127" s="3051"/>
      <c r="M127" s="3051"/>
      <c r="N127" s="3051"/>
      <c r="O127" s="3052"/>
      <c r="AB127" s="114"/>
    </row>
    <row r="128" spans="1:28" s="869" customFormat="1">
      <c r="A128" s="1986"/>
      <c r="B128" s="1945"/>
      <c r="D128" s="1945"/>
      <c r="E128" s="3017"/>
      <c r="F128" s="3018"/>
      <c r="G128" s="3018"/>
      <c r="H128" s="3018"/>
      <c r="I128" s="3018"/>
      <c r="J128" s="3018"/>
      <c r="K128" s="3018"/>
      <c r="L128" s="3018"/>
      <c r="M128" s="3018"/>
      <c r="N128" s="3018"/>
      <c r="O128" s="3019"/>
      <c r="AB128" s="114"/>
    </row>
    <row r="129" spans="1:28" s="869" customFormat="1" ht="36" customHeight="1">
      <c r="A129" s="1986"/>
      <c r="B129" s="2013" t="s">
        <v>3045</v>
      </c>
      <c r="C129" s="1948"/>
      <c r="D129" s="2013" t="str">
        <f>IF(LEFT(B130,29)="Vérification tierce-partite p","10.1a Merci de détailler les vérifications mises en place pour les émissions directes et indirectes liées à l'énergie, et de joindre les rapports pertinents.",IF(B130="","Répondez à la question 10.1."," - "))</f>
        <v>Répondez à la question 10.1.</v>
      </c>
      <c r="E129" s="3011"/>
      <c r="F129" s="3012"/>
      <c r="G129" s="3012"/>
      <c r="H129" s="3012"/>
      <c r="I129" s="3012"/>
      <c r="J129" s="3012"/>
      <c r="K129" s="3012"/>
      <c r="L129" s="3012"/>
      <c r="M129" s="3012"/>
      <c r="N129" s="3012"/>
      <c r="O129" s="3013"/>
      <c r="AB129" s="114"/>
    </row>
    <row r="130" spans="1:28" s="869" customFormat="1" ht="36" customHeight="1">
      <c r="A130" s="1986"/>
      <c r="B130" s="2020"/>
      <c r="C130" s="1948"/>
      <c r="D130" s="2013" t="str">
        <f>IF(RIGHT(B130,1)="3","10.1b Détaillez les vérifications mises en place sur les émissions indirectes. Joindre les rapports pertinents."," - ")</f>
        <v xml:space="preserve"> - </v>
      </c>
      <c r="E130" s="3011"/>
      <c r="F130" s="3012"/>
      <c r="G130" s="3012"/>
      <c r="H130" s="3012"/>
      <c r="I130" s="3012"/>
      <c r="J130" s="3012"/>
      <c r="K130" s="3012"/>
      <c r="L130" s="3012"/>
      <c r="M130" s="3012"/>
      <c r="N130" s="3012"/>
      <c r="O130" s="3013"/>
      <c r="AB130" s="114"/>
    </row>
    <row r="131" spans="1:28" s="869" customFormat="1" ht="45" customHeight="1">
      <c r="A131" s="1986"/>
      <c r="B131" s="2013" t="s">
        <v>3052</v>
      </c>
      <c r="C131" s="1948"/>
      <c r="D131" s="3079" t="str">
        <f>IF(B132="Oui","10.2a Quels autres points avez-vous fait auditer, et quels référentiels ont-ils été utilisés ?"," - ")</f>
        <v xml:space="preserve"> - </v>
      </c>
      <c r="E131" s="3101"/>
      <c r="F131" s="3102"/>
      <c r="G131" s="3102"/>
      <c r="H131" s="3102"/>
      <c r="I131" s="3102"/>
      <c r="J131" s="3102"/>
      <c r="K131" s="3102"/>
      <c r="L131" s="3102"/>
      <c r="M131" s="3102"/>
      <c r="N131" s="3102"/>
      <c r="O131" s="3103"/>
      <c r="AB131" s="114"/>
    </row>
    <row r="132" spans="1:28" s="869" customFormat="1" ht="36" customHeight="1">
      <c r="A132" s="1986"/>
      <c r="B132" s="2020"/>
      <c r="C132" s="1948"/>
      <c r="D132" s="3080"/>
      <c r="E132" s="3104"/>
      <c r="F132" s="3105"/>
      <c r="G132" s="3105"/>
      <c r="H132" s="3105"/>
      <c r="I132" s="3105"/>
      <c r="J132" s="3105"/>
      <c r="K132" s="3105"/>
      <c r="L132" s="3105"/>
      <c r="M132" s="3105"/>
      <c r="N132" s="3105"/>
      <c r="O132" s="3106"/>
      <c r="AB132" s="114"/>
    </row>
    <row r="133" spans="1:28" s="869" customFormat="1">
      <c r="A133" s="1986"/>
      <c r="B133" s="1945"/>
      <c r="D133" s="1945"/>
      <c r="E133" s="3017"/>
      <c r="F133" s="3018"/>
      <c r="G133" s="3018"/>
      <c r="H133" s="3018"/>
      <c r="I133" s="3018"/>
      <c r="J133" s="3018"/>
      <c r="K133" s="3018"/>
      <c r="L133" s="3018"/>
      <c r="M133" s="3018"/>
      <c r="N133" s="3018"/>
      <c r="O133" s="3019"/>
      <c r="AB133" s="114"/>
    </row>
    <row r="134" spans="1:28" s="869" customFormat="1" ht="45" customHeight="1">
      <c r="A134" s="1986"/>
      <c r="B134" s="2013" t="s">
        <v>3053</v>
      </c>
      <c r="C134" s="1946"/>
      <c r="D134" s="2013" t="str">
        <f>IF(B135="Oui","11.1a Indiquez la réglementation qui concerne vos activités - Il vous sera demandé de déclarer les différents systèmes d'échange et de taxes auxquels vous participez.",IF(B135="","Répondez à la question 11.1"," - "))</f>
        <v>Répondez à la question 11.1</v>
      </c>
      <c r="E134" s="3014" t="s">
        <v>3082</v>
      </c>
      <c r="F134" s="3015"/>
      <c r="G134" s="3015"/>
      <c r="H134" s="3015"/>
      <c r="I134" s="3015"/>
      <c r="J134" s="3015"/>
      <c r="K134" s="3015"/>
      <c r="L134" s="3015"/>
      <c r="M134" s="3015"/>
      <c r="N134" s="3015"/>
      <c r="O134" s="3016"/>
      <c r="AB134" s="114"/>
    </row>
    <row r="135" spans="1:28" s="869" customFormat="1" ht="36" customHeight="1">
      <c r="A135" s="1986"/>
      <c r="B135" s="2020"/>
      <c r="C135" s="1946"/>
      <c r="D135" s="2013" t="str">
        <f>IF(LEFT(B135,6)="Non, e"," - ",IF(B135=""," - ","11.1d Quelle est votre stratégie pour répondre à ces systèmes ?"))</f>
        <v xml:space="preserve"> - </v>
      </c>
      <c r="E135" s="3011"/>
      <c r="F135" s="3012"/>
      <c r="G135" s="3012"/>
      <c r="H135" s="3012"/>
      <c r="I135" s="3012"/>
      <c r="J135" s="3012"/>
      <c r="K135" s="3012"/>
      <c r="L135" s="3012"/>
      <c r="M135" s="3012"/>
      <c r="N135" s="3012"/>
      <c r="O135" s="3013"/>
      <c r="AB135" s="114"/>
    </row>
    <row r="136" spans="1:28" s="869" customFormat="1" ht="36" customHeight="1">
      <c r="A136" s="1986"/>
      <c r="B136" s="2013" t="s">
        <v>3054</v>
      </c>
      <c r="C136" s="1948"/>
      <c r="D136" s="3079" t="str">
        <f>IF(B137="Oui","Détaillez.","Répondez à la question 11.2.")</f>
        <v>Répondez à la question 11.2.</v>
      </c>
      <c r="E136" s="3101"/>
      <c r="F136" s="3102"/>
      <c r="G136" s="3102"/>
      <c r="H136" s="3102"/>
      <c r="I136" s="3102"/>
      <c r="J136" s="3102"/>
      <c r="K136" s="3102"/>
      <c r="L136" s="3102"/>
      <c r="M136" s="3102"/>
      <c r="N136" s="3102"/>
      <c r="O136" s="3103"/>
      <c r="AB136" s="114"/>
    </row>
    <row r="137" spans="1:28" s="869" customFormat="1" ht="15" customHeight="1">
      <c r="A137" s="1986"/>
      <c r="B137" s="2020"/>
      <c r="C137" s="1948"/>
      <c r="D137" s="3080"/>
      <c r="E137" s="3104"/>
      <c r="F137" s="3105"/>
      <c r="G137" s="3105"/>
      <c r="H137" s="3105"/>
      <c r="I137" s="3105"/>
      <c r="J137" s="3105"/>
      <c r="K137" s="3105"/>
      <c r="L137" s="3105"/>
      <c r="M137" s="3105"/>
      <c r="N137" s="3105"/>
      <c r="O137" s="3106"/>
      <c r="AB137" s="114"/>
    </row>
    <row r="138" spans="1:28" s="869" customFormat="1" ht="36" customHeight="1">
      <c r="A138" s="1986"/>
      <c r="B138" s="2013" t="s">
        <v>3055</v>
      </c>
      <c r="C138" s="1946"/>
      <c r="D138" s="3079" t="str">
        <f>IF(B139="Oui","Détaillez comment votre organisation utilise un prix interne du carbone",IF(B139="","Répondez à la question 11.3."," - "))</f>
        <v>Répondez à la question 11.3.</v>
      </c>
      <c r="E138" s="3107" t="s">
        <v>3083</v>
      </c>
      <c r="F138" s="3108"/>
      <c r="G138" s="3108"/>
      <c r="H138" s="3108"/>
      <c r="I138" s="3108"/>
      <c r="J138" s="3108"/>
      <c r="K138" s="3108"/>
      <c r="L138" s="3108"/>
      <c r="M138" s="3108"/>
      <c r="N138" s="3108"/>
      <c r="O138" s="3109"/>
      <c r="AB138" s="114"/>
    </row>
    <row r="139" spans="1:28" s="869" customFormat="1" ht="36" customHeight="1">
      <c r="A139" s="1986"/>
      <c r="B139" s="2020"/>
      <c r="C139" s="1946"/>
      <c r="D139" s="3080"/>
      <c r="E139" s="3110"/>
      <c r="F139" s="3111"/>
      <c r="G139" s="3111"/>
      <c r="H139" s="3111"/>
      <c r="I139" s="3111"/>
      <c r="J139" s="3111"/>
      <c r="K139" s="3111"/>
      <c r="L139" s="3111"/>
      <c r="M139" s="3111"/>
      <c r="N139" s="3111"/>
      <c r="O139" s="3112"/>
      <c r="AB139" s="114"/>
    </row>
    <row r="140" spans="1:28" s="869" customFormat="1">
      <c r="A140" s="1986"/>
      <c r="B140" s="1945"/>
      <c r="D140" s="1945"/>
      <c r="E140" s="3017"/>
      <c r="F140" s="3018"/>
      <c r="G140" s="3018"/>
      <c r="H140" s="3018"/>
      <c r="I140" s="3018"/>
      <c r="J140" s="3018"/>
      <c r="K140" s="3018"/>
      <c r="L140" s="3018"/>
      <c r="M140" s="3018"/>
      <c r="N140" s="3018"/>
      <c r="O140" s="3019"/>
      <c r="AB140" s="114"/>
    </row>
    <row r="141" spans="1:28" s="869" customFormat="1" ht="36" customHeight="1">
      <c r="A141" s="1986"/>
      <c r="B141" s="3079" t="s">
        <v>3056</v>
      </c>
      <c r="C141" s="1946"/>
      <c r="D141" s="2013" t="s">
        <v>3057</v>
      </c>
      <c r="E141" s="3036" t="s">
        <v>3058</v>
      </c>
      <c r="F141" s="3037"/>
      <c r="G141" s="2019"/>
      <c r="H141" s="3036" t="s">
        <v>3059</v>
      </c>
      <c r="I141" s="3037"/>
      <c r="J141" s="2019"/>
      <c r="K141" s="3036" t="s">
        <v>3060</v>
      </c>
      <c r="L141" s="3037"/>
      <c r="M141" s="2019"/>
      <c r="N141" s="3036"/>
      <c r="O141" s="3037"/>
      <c r="AB141" s="114"/>
    </row>
    <row r="142" spans="1:28" s="869" customFormat="1" ht="36" customHeight="1">
      <c r="A142" s="1986"/>
      <c r="B142" s="3080"/>
      <c r="C142" s="1946"/>
      <c r="D142" s="2013" t="str">
        <f>IF(OR(G141="Oui",J141="Oui",M141="Oui"),IF(G141="Oui","12.1a Détaillez votre stratégie avec vos fournisseurs.
Puis reportez vous aux questions sectorielles C-AC12.2, C-FB12.2, C-PF12.2.","")&amp;IF(J141="Oui","
12.1b Détaillez votre stratégie avec vos clients.","")&amp;IF(M141="Oui","
12.1c Détaillez votre stratégie avec d'autres partenaires.",""),IF(OR(G141="Non",J141="Non",M141="Non"),"12.1d Pourquoi ne travaillez-vous pas avec votre chaîne de valeur, et quels sont projets sur ce point ?","Répondez à la question 12.1."))</f>
        <v>Répondez à la question 12.1.</v>
      </c>
      <c r="E142" s="3033"/>
      <c r="F142" s="3034"/>
      <c r="G142" s="3034"/>
      <c r="H142" s="3034"/>
      <c r="I142" s="3034"/>
      <c r="J142" s="3034"/>
      <c r="K142" s="3034"/>
      <c r="L142" s="3034"/>
      <c r="M142" s="3034"/>
      <c r="N142" s="3034"/>
      <c r="O142" s="3035"/>
      <c r="AB142" s="114"/>
    </row>
    <row r="143" spans="1:28" s="869" customFormat="1" ht="36" customHeight="1">
      <c r="A143" s="1986"/>
      <c r="B143" s="3079" t="s">
        <v>3061</v>
      </c>
      <c r="C143" s="1946"/>
      <c r="D143" s="2013" t="s">
        <v>3062</v>
      </c>
      <c r="E143" s="2013" t="s">
        <v>3063</v>
      </c>
      <c r="F143" s="2019"/>
      <c r="G143" s="2013" t="s">
        <v>3064</v>
      </c>
      <c r="H143" s="2019"/>
      <c r="I143" s="2013" t="s">
        <v>3065</v>
      </c>
      <c r="J143" s="2019"/>
      <c r="K143" s="2022" t="s">
        <v>3066</v>
      </c>
      <c r="L143" s="3122"/>
      <c r="M143" s="3122"/>
      <c r="N143" s="3122"/>
      <c r="O143" s="3123"/>
      <c r="AB143" s="114"/>
    </row>
    <row r="144" spans="1:28" s="869" customFormat="1" ht="36" customHeight="1">
      <c r="A144" s="1986"/>
      <c r="B144" s="3124"/>
      <c r="C144" s="1946"/>
      <c r="D144" s="2013" t="str">
        <f>IF(OR(F143="Oui",H143="Oui",J143="Oui",L143&lt;&gt;""),IF(F143="Oui","12.3a A quelles occasions travaillez vous avec les décideurs politiques.","")&amp;IF(H143="Oui","
12.3b Êtes vous représenté au sein du conseil d'administration d'associations professionnelles ou financez vous des associations au delà de l'adhésion ? 
Si oui, 12.3c Détaillez quelles associations travaillent sur les enjeux climat.","")&amp;IF(J143="Oui","
12.3d Est-ce que vous publiez publiquement une liste des organisations de recherche que vous financez ?","")&amp;IF(L143&lt;&gt;"Non","
12.3e Détaillez les autres projets sur lesquels vous travaillez.","
12.3g Pourquoi ne travaillez-vous pas avec les décideurs politiques sur les enjeux climat ?"),IF(OR(F143="Non",H143="Non",J143="Non",L143="Non"),"12.3g Pourquoi ne travaillez-vous pas avec les décideurs politiques sur les enjeux climat ?","Répondez à la question 12.3."))</f>
        <v>Répondez à la question 12.3.</v>
      </c>
      <c r="E144" s="3033"/>
      <c r="F144" s="3034"/>
      <c r="G144" s="3034"/>
      <c r="H144" s="3034"/>
      <c r="I144" s="3034"/>
      <c r="J144" s="3034"/>
      <c r="K144" s="3034"/>
      <c r="L144" s="3034"/>
      <c r="M144" s="3034"/>
      <c r="N144" s="3034"/>
      <c r="O144" s="3035"/>
      <c r="AB144" s="114"/>
    </row>
    <row r="145" spans="1:28" s="869" customFormat="1" ht="36" customHeight="1">
      <c r="A145" s="1986"/>
      <c r="B145" s="3080"/>
      <c r="C145" s="1946"/>
      <c r="D145" s="2013" t="str">
        <f>IF(LEFT(D144,6)="
12.3g"," - ",IF(LEFT(D144,8)&lt;&gt;"Répondez","12.3f Quels processus avez-vous mis en place pour vous assurer que votre influence directe ou indirecte sur les politiques publiques sont pertinentes vis-à-vis de votre stratégie climat ?"," - "))</f>
        <v xml:space="preserve"> - </v>
      </c>
      <c r="E145" s="3033"/>
      <c r="F145" s="3034"/>
      <c r="G145" s="3034"/>
      <c r="H145" s="3034"/>
      <c r="I145" s="3034"/>
      <c r="J145" s="3034"/>
      <c r="K145" s="3034"/>
      <c r="L145" s="3034"/>
      <c r="M145" s="3034"/>
      <c r="N145" s="3034"/>
      <c r="O145" s="3035"/>
      <c r="AB145" s="114"/>
    </row>
    <row r="146" spans="1:28" s="869" customFormat="1" ht="36" customHeight="1">
      <c r="A146" s="1986"/>
      <c r="B146" s="3079" t="s">
        <v>3067</v>
      </c>
      <c r="C146" s="1948"/>
      <c r="D146" s="3079" t="str">
        <f>IF(B148="","Répondez à la question 12.4",IF(B148="Oui","Merci de joindre ces publications."," - "))</f>
        <v>Répondez à la question 12.4</v>
      </c>
      <c r="E146" s="3125"/>
      <c r="F146" s="3126"/>
      <c r="G146" s="3126"/>
      <c r="H146" s="3126"/>
      <c r="I146" s="3126"/>
      <c r="J146" s="3126"/>
      <c r="K146" s="3126"/>
      <c r="L146" s="3126"/>
      <c r="M146" s="3126"/>
      <c r="N146" s="3126"/>
      <c r="O146" s="3127"/>
      <c r="AB146" s="114"/>
    </row>
    <row r="147" spans="1:28" s="869" customFormat="1" ht="21.75" customHeight="1">
      <c r="A147" s="1986"/>
      <c r="B147" s="3080"/>
      <c r="C147" s="1948"/>
      <c r="D147" s="3124"/>
      <c r="E147" s="3128"/>
      <c r="F147" s="3129"/>
      <c r="G147" s="3129"/>
      <c r="H147" s="3129"/>
      <c r="I147" s="3129"/>
      <c r="J147" s="3129"/>
      <c r="K147" s="3129"/>
      <c r="L147" s="3129"/>
      <c r="M147" s="3129"/>
      <c r="N147" s="3129"/>
      <c r="O147" s="3130"/>
      <c r="AB147" s="114"/>
    </row>
    <row r="148" spans="1:28" s="869" customFormat="1" ht="20.100000000000001" customHeight="1">
      <c r="A148" s="1986"/>
      <c r="B148" s="2020"/>
      <c r="C148" s="1948"/>
      <c r="D148" s="3080"/>
      <c r="E148" s="3131"/>
      <c r="F148" s="3132"/>
      <c r="G148" s="3132"/>
      <c r="H148" s="3132"/>
      <c r="I148" s="3132"/>
      <c r="J148" s="3132"/>
      <c r="K148" s="3132"/>
      <c r="L148" s="3132"/>
      <c r="M148" s="3132"/>
      <c r="N148" s="3132"/>
      <c r="O148" s="3133"/>
      <c r="AB148" s="114"/>
    </row>
    <row r="149" spans="1:28" s="869" customFormat="1">
      <c r="A149" s="1986"/>
      <c r="B149" s="1945"/>
      <c r="D149" s="1945"/>
      <c r="E149" s="3017"/>
      <c r="F149" s="3018"/>
      <c r="G149" s="3018"/>
      <c r="H149" s="3018"/>
      <c r="I149" s="3018"/>
      <c r="J149" s="3018"/>
      <c r="K149" s="3018"/>
      <c r="L149" s="3018"/>
      <c r="M149" s="3018"/>
      <c r="N149" s="3018"/>
      <c r="O149" s="3019"/>
      <c r="AB149" s="114"/>
    </row>
    <row r="150" spans="1:28" s="1986" customFormat="1" ht="36" customHeight="1">
      <c r="B150" s="2013" t="s">
        <v>3068</v>
      </c>
      <c r="D150" s="3047" t="s">
        <v>3069</v>
      </c>
      <c r="E150" s="3048"/>
      <c r="F150" s="3048"/>
      <c r="G150" s="3048"/>
      <c r="H150" s="3048"/>
      <c r="I150" s="3048"/>
      <c r="J150" s="3048"/>
      <c r="K150" s="3048"/>
      <c r="L150" s="3048"/>
      <c r="M150" s="3048"/>
      <c r="N150" s="3048"/>
      <c r="O150" s="3049"/>
      <c r="AB150" s="116"/>
    </row>
    <row r="151" spans="1:28" s="869" customFormat="1">
      <c r="A151" s="1986"/>
      <c r="B151" s="1945"/>
      <c r="D151" s="1945"/>
      <c r="E151" s="3017"/>
      <c r="F151" s="3018"/>
      <c r="G151" s="3018"/>
      <c r="H151" s="3018"/>
      <c r="I151" s="3018"/>
      <c r="J151" s="3018"/>
      <c r="K151" s="3018"/>
      <c r="L151" s="3018"/>
      <c r="M151" s="3018"/>
      <c r="N151" s="3018"/>
      <c r="O151" s="3019"/>
      <c r="AB151" s="114"/>
    </row>
    <row r="152" spans="1:28" s="1986" customFormat="1" ht="36" customHeight="1">
      <c r="B152" s="2013" t="s">
        <v>3070</v>
      </c>
      <c r="D152" s="2022" t="s">
        <v>3071</v>
      </c>
      <c r="E152" s="3033"/>
      <c r="F152" s="3034"/>
      <c r="G152" s="3034"/>
      <c r="H152" s="3034"/>
      <c r="I152" s="3034"/>
      <c r="J152" s="3034"/>
      <c r="K152" s="3034"/>
      <c r="L152" s="3034"/>
      <c r="M152" s="3034"/>
      <c r="N152" s="3034"/>
      <c r="O152" s="3035"/>
      <c r="AB152" s="116"/>
    </row>
    <row r="153" spans="1:28" s="869" customFormat="1">
      <c r="B153" s="1941"/>
      <c r="D153" s="1941"/>
      <c r="AB153" s="114"/>
    </row>
    <row r="154" spans="1:28"/>
    <row r="155" spans="1:28"/>
    <row r="160" spans="1:28" hidden="1">
      <c r="D160" s="2002" t="s">
        <v>2806</v>
      </c>
    </row>
    <row r="161" spans="4:4" ht="26.4" hidden="1">
      <c r="D161" s="1988" t="s">
        <v>2561</v>
      </c>
    </row>
    <row r="162" spans="4:4" ht="26.4" hidden="1">
      <c r="D162" s="1989" t="s">
        <v>2560</v>
      </c>
    </row>
    <row r="163" spans="4:4" ht="26.4" hidden="1">
      <c r="D163" s="1990" t="s">
        <v>2562</v>
      </c>
    </row>
    <row r="164" spans="4:4" hidden="1">
      <c r="D164" s="2001" t="s">
        <v>2587</v>
      </c>
    </row>
    <row r="165" spans="4:4" hidden="1">
      <c r="D165" s="1989" t="s">
        <v>276</v>
      </c>
    </row>
    <row r="166" spans="4:4" hidden="1">
      <c r="D166" s="1989" t="s">
        <v>2588</v>
      </c>
    </row>
    <row r="167" spans="4:4" hidden="1">
      <c r="D167" s="1989" t="s">
        <v>2589</v>
      </c>
    </row>
    <row r="168" spans="4:4" hidden="1">
      <c r="D168" s="1989" t="s">
        <v>2590</v>
      </c>
    </row>
    <row r="169" spans="4:4" hidden="1">
      <c r="D169" s="1989" t="s">
        <v>2591</v>
      </c>
    </row>
    <row r="170" spans="4:4" hidden="1">
      <c r="D170" s="1989" t="s">
        <v>2593</v>
      </c>
    </row>
    <row r="171" spans="4:4" hidden="1">
      <c r="D171" s="1989" t="s">
        <v>2592</v>
      </c>
    </row>
    <row r="172" spans="4:4" hidden="1">
      <c r="D172" s="1989" t="s">
        <v>2599</v>
      </c>
    </row>
    <row r="173" spans="4:4" hidden="1">
      <c r="D173" s="1989" t="s">
        <v>2595</v>
      </c>
    </row>
    <row r="174" spans="4:4" hidden="1">
      <c r="D174" s="1989" t="s">
        <v>2594</v>
      </c>
    </row>
    <row r="175" spans="4:4" hidden="1">
      <c r="D175" s="1989" t="s">
        <v>2600</v>
      </c>
    </row>
    <row r="176" spans="4:4" hidden="1">
      <c r="D176" s="1989" t="s">
        <v>2596</v>
      </c>
    </row>
    <row r="177" spans="4:4" hidden="1">
      <c r="D177" s="1989" t="s">
        <v>2597</v>
      </c>
    </row>
    <row r="178" spans="4:4" hidden="1">
      <c r="D178" s="1989" t="s">
        <v>2598</v>
      </c>
    </row>
    <row r="179" spans="4:4" hidden="1">
      <c r="D179" s="1989" t="s">
        <v>2601</v>
      </c>
    </row>
    <row r="180" spans="4:4" hidden="1">
      <c r="D180" s="1989" t="s">
        <v>2602</v>
      </c>
    </row>
    <row r="181" spans="4:4" hidden="1">
      <c r="D181" s="1989" t="s">
        <v>2603</v>
      </c>
    </row>
    <row r="182" spans="4:4" hidden="1">
      <c r="D182" s="1989" t="s">
        <v>2604</v>
      </c>
    </row>
    <row r="183" spans="4:4" hidden="1">
      <c r="D183" s="1989" t="s">
        <v>2605</v>
      </c>
    </row>
    <row r="184" spans="4:4" hidden="1">
      <c r="D184" s="1989" t="s">
        <v>2606</v>
      </c>
    </row>
    <row r="185" spans="4:4" hidden="1">
      <c r="D185" s="1989" t="s">
        <v>2607</v>
      </c>
    </row>
    <row r="186" spans="4:4" hidden="1">
      <c r="D186" s="1989" t="s">
        <v>2608</v>
      </c>
    </row>
    <row r="187" spans="4:4" hidden="1">
      <c r="D187" s="1989" t="s">
        <v>2609</v>
      </c>
    </row>
    <row r="188" spans="4:4" hidden="1">
      <c r="D188" s="1989" t="s">
        <v>2610</v>
      </c>
    </row>
    <row r="189" spans="4:4" hidden="1">
      <c r="D189" s="1989" t="s">
        <v>2613</v>
      </c>
    </row>
    <row r="190" spans="4:4" hidden="1">
      <c r="D190" s="1989" t="s">
        <v>2611</v>
      </c>
    </row>
    <row r="191" spans="4:4" hidden="1">
      <c r="D191" s="1989" t="s">
        <v>2612</v>
      </c>
    </row>
    <row r="192" spans="4:4" hidden="1">
      <c r="D192" s="1989" t="s">
        <v>2614</v>
      </c>
    </row>
    <row r="193" spans="4:4" hidden="1">
      <c r="D193" s="1989" t="s">
        <v>2615</v>
      </c>
    </row>
    <row r="194" spans="4:4" hidden="1">
      <c r="D194" s="1990" t="s">
        <v>2616</v>
      </c>
    </row>
    <row r="195" spans="4:4" hidden="1">
      <c r="D195" s="2001" t="s">
        <v>2623</v>
      </c>
    </row>
    <row r="196" spans="4:4" hidden="1">
      <c r="D196" s="1989" t="s">
        <v>2624</v>
      </c>
    </row>
    <row r="197" spans="4:4" ht="26.4" hidden="1">
      <c r="D197" s="1989" t="s">
        <v>2625</v>
      </c>
    </row>
    <row r="198" spans="4:4" hidden="1">
      <c r="D198" s="1989" t="s">
        <v>2626</v>
      </c>
    </row>
    <row r="199" spans="4:4" hidden="1">
      <c r="D199" s="1989" t="s">
        <v>2627</v>
      </c>
    </row>
    <row r="200" spans="4:4" hidden="1">
      <c r="D200" s="1990" t="s">
        <v>2628</v>
      </c>
    </row>
    <row r="201" spans="4:4" hidden="1">
      <c r="D201" s="1996" t="s">
        <v>2631</v>
      </c>
    </row>
    <row r="202" spans="4:4" hidden="1">
      <c r="D202" s="1989" t="s">
        <v>2639</v>
      </c>
    </row>
    <row r="203" spans="4:4" hidden="1">
      <c r="D203" s="1989" t="s">
        <v>2632</v>
      </c>
    </row>
    <row r="204" spans="4:4" hidden="1">
      <c r="D204" s="1989" t="s">
        <v>2633</v>
      </c>
    </row>
    <row r="205" spans="4:4" hidden="1">
      <c r="D205" s="1989" t="s">
        <v>2634</v>
      </c>
    </row>
    <row r="206" spans="4:4" hidden="1">
      <c r="D206" s="1989" t="s">
        <v>2635</v>
      </c>
    </row>
    <row r="207" spans="4:4" hidden="1">
      <c r="D207" s="1989" t="s">
        <v>2636</v>
      </c>
    </row>
    <row r="208" spans="4:4" hidden="1">
      <c r="D208" s="1989" t="s">
        <v>2637</v>
      </c>
    </row>
    <row r="209" spans="4:4" hidden="1">
      <c r="D209" s="1989" t="s">
        <v>2638</v>
      </c>
    </row>
    <row r="210" spans="4:4" hidden="1">
      <c r="D210" s="1989" t="s">
        <v>2640</v>
      </c>
    </row>
    <row r="211" spans="4:4" hidden="1">
      <c r="D211" s="1989" t="s">
        <v>2642</v>
      </c>
    </row>
    <row r="212" spans="4:4" hidden="1">
      <c r="D212" s="1989" t="s">
        <v>2641</v>
      </c>
    </row>
    <row r="213" spans="4:4" hidden="1">
      <c r="D213" s="1989" t="s">
        <v>2643</v>
      </c>
    </row>
    <row r="214" spans="4:4" hidden="1">
      <c r="D214" s="1989" t="s">
        <v>2644</v>
      </c>
    </row>
    <row r="215" spans="4:4" hidden="1">
      <c r="D215" s="1989" t="s">
        <v>2645</v>
      </c>
    </row>
    <row r="216" spans="4:4" hidden="1">
      <c r="D216" s="1989" t="s">
        <v>2646</v>
      </c>
    </row>
    <row r="217" spans="4:4" hidden="1">
      <c r="D217" s="1989" t="s">
        <v>2647</v>
      </c>
    </row>
    <row r="218" spans="4:4" hidden="1">
      <c r="D218" s="1989" t="s">
        <v>2648</v>
      </c>
    </row>
    <row r="219" spans="4:4" hidden="1">
      <c r="D219" s="1989" t="s">
        <v>2649</v>
      </c>
    </row>
    <row r="220" spans="4:4" hidden="1">
      <c r="D220" s="1989" t="s">
        <v>2650</v>
      </c>
    </row>
    <row r="221" spans="4:4" hidden="1">
      <c r="D221" s="1989" t="s">
        <v>2651</v>
      </c>
    </row>
    <row r="222" spans="4:4" hidden="1">
      <c r="D222" s="1989" t="s">
        <v>2652</v>
      </c>
    </row>
    <row r="223" spans="4:4" hidden="1">
      <c r="D223" s="1989" t="s">
        <v>2653</v>
      </c>
    </row>
    <row r="224" spans="4:4" hidden="1">
      <c r="D224" s="1989" t="s">
        <v>2654</v>
      </c>
    </row>
    <row r="225" spans="4:4" hidden="1">
      <c r="D225" s="1989" t="s">
        <v>2655</v>
      </c>
    </row>
    <row r="226" spans="4:4" hidden="1">
      <c r="D226" s="1989" t="s">
        <v>2656</v>
      </c>
    </row>
    <row r="227" spans="4:4" hidden="1">
      <c r="D227" s="1989" t="s">
        <v>2657</v>
      </c>
    </row>
    <row r="228" spans="4:4" hidden="1">
      <c r="D228" s="1990" t="s">
        <v>2616</v>
      </c>
    </row>
    <row r="229" spans="4:4" hidden="1">
      <c r="D229" s="1996" t="s">
        <v>2661</v>
      </c>
    </row>
    <row r="230" spans="4:4" hidden="1">
      <c r="D230" s="1989" t="s">
        <v>2663</v>
      </c>
    </row>
    <row r="231" spans="4:4" hidden="1">
      <c r="D231" s="1989" t="s">
        <v>2662</v>
      </c>
    </row>
    <row r="232" spans="4:4" hidden="1">
      <c r="D232" s="1989" t="s">
        <v>2664</v>
      </c>
    </row>
    <row r="233" spans="4:4" hidden="1">
      <c r="D233" s="1989" t="s">
        <v>2665</v>
      </c>
    </row>
    <row r="234" spans="4:4" hidden="1">
      <c r="D234" s="1989" t="s">
        <v>2666</v>
      </c>
    </row>
    <row r="235" spans="4:4" hidden="1">
      <c r="D235" s="1989" t="s">
        <v>2667</v>
      </c>
    </row>
    <row r="236" spans="4:4" hidden="1">
      <c r="D236" s="1989" t="s">
        <v>2668</v>
      </c>
    </row>
    <row r="237" spans="4:4" hidden="1">
      <c r="D237" s="1989" t="s">
        <v>2669</v>
      </c>
    </row>
    <row r="238" spans="4:4" hidden="1">
      <c r="D238" s="1989" t="s">
        <v>2670</v>
      </c>
    </row>
    <row r="239" spans="4:4" hidden="1">
      <c r="D239" s="1989" t="s">
        <v>2671</v>
      </c>
    </row>
    <row r="240" spans="4:4" hidden="1">
      <c r="D240" s="1989" t="s">
        <v>2672</v>
      </c>
    </row>
    <row r="241" spans="4:17" hidden="1">
      <c r="D241" s="1990" t="s">
        <v>2616</v>
      </c>
    </row>
    <row r="242" spans="4:17" ht="12.75" hidden="1" customHeight="1">
      <c r="D242" s="1996" t="s">
        <v>2681</v>
      </c>
      <c r="E242" s="3006" t="s">
        <v>2729</v>
      </c>
      <c r="F242" s="3007"/>
      <c r="G242" s="3007"/>
      <c r="H242" s="3007"/>
      <c r="I242" s="3007"/>
      <c r="J242" s="3007"/>
      <c r="K242" s="3007"/>
      <c r="L242" s="3007"/>
      <c r="M242" s="3007"/>
      <c r="N242" s="3007"/>
      <c r="O242" s="3007"/>
      <c r="P242" s="3007"/>
      <c r="Q242" s="3008"/>
    </row>
    <row r="243" spans="4:17" hidden="1">
      <c r="D243" s="1989" t="s">
        <v>2682</v>
      </c>
      <c r="E243" s="2006" t="s">
        <v>2691</v>
      </c>
      <c r="F243" s="2007" t="s">
        <v>2690</v>
      </c>
      <c r="G243" s="2007" t="s">
        <v>2692</v>
      </c>
      <c r="H243" s="2007" t="s">
        <v>1682</v>
      </c>
      <c r="I243" s="2007" t="s">
        <v>1682</v>
      </c>
      <c r="J243" s="2007" t="s">
        <v>1682</v>
      </c>
      <c r="K243" s="2007" t="s">
        <v>1682</v>
      </c>
      <c r="L243" s="2007" t="s">
        <v>1682</v>
      </c>
      <c r="M243" s="2007" t="s">
        <v>1682</v>
      </c>
      <c r="N243" s="2007" t="s">
        <v>1682</v>
      </c>
      <c r="O243" s="2007" t="s">
        <v>1682</v>
      </c>
      <c r="P243" s="2007" t="s">
        <v>1682</v>
      </c>
      <c r="Q243" s="2008" t="s">
        <v>1682</v>
      </c>
    </row>
    <row r="244" spans="4:17" hidden="1">
      <c r="D244" s="1989" t="s">
        <v>2683</v>
      </c>
      <c r="E244" s="2009" t="s">
        <v>2693</v>
      </c>
      <c r="F244" s="10" t="s">
        <v>2694</v>
      </c>
      <c r="G244" s="10" t="s">
        <v>2695</v>
      </c>
      <c r="H244" s="10" t="s">
        <v>2696</v>
      </c>
      <c r="I244" s="10" t="s">
        <v>2697</v>
      </c>
      <c r="J244" s="10" t="s">
        <v>2698</v>
      </c>
      <c r="K244" s="10" t="s">
        <v>1682</v>
      </c>
      <c r="L244" s="10" t="s">
        <v>1682</v>
      </c>
      <c r="M244" s="10" t="s">
        <v>1682</v>
      </c>
      <c r="N244" s="10" t="s">
        <v>1682</v>
      </c>
      <c r="O244" s="10" t="s">
        <v>1682</v>
      </c>
      <c r="P244" s="10" t="s">
        <v>1682</v>
      </c>
      <c r="Q244" s="2010" t="s">
        <v>1682</v>
      </c>
    </row>
    <row r="245" spans="4:17" hidden="1">
      <c r="D245" s="1989" t="s">
        <v>2684</v>
      </c>
      <c r="E245" s="2009" t="s">
        <v>2699</v>
      </c>
      <c r="F245" s="10" t="s">
        <v>2700</v>
      </c>
      <c r="G245" s="10" t="s">
        <v>2701</v>
      </c>
      <c r="H245" s="10" t="s">
        <v>2702</v>
      </c>
      <c r="I245" s="10" t="s">
        <v>2703</v>
      </c>
      <c r="J245" s="10" t="s">
        <v>2704</v>
      </c>
      <c r="K245" s="10" t="s">
        <v>2705</v>
      </c>
      <c r="L245" s="10" t="s">
        <v>2706</v>
      </c>
      <c r="M245" s="10" t="s">
        <v>2707</v>
      </c>
      <c r="N245" s="10" t="s">
        <v>2708</v>
      </c>
      <c r="O245" s="10" t="s">
        <v>2709</v>
      </c>
      <c r="P245" s="10" t="s">
        <v>2698</v>
      </c>
      <c r="Q245" s="2010" t="s">
        <v>1682</v>
      </c>
    </row>
    <row r="246" spans="4:17" hidden="1">
      <c r="D246" s="1989" t="s">
        <v>2685</v>
      </c>
      <c r="E246" s="2009" t="s">
        <v>2711</v>
      </c>
      <c r="F246" s="10" t="s">
        <v>2710</v>
      </c>
      <c r="G246" s="10" t="s">
        <v>2712</v>
      </c>
      <c r="H246" s="10" t="s">
        <v>2713</v>
      </c>
      <c r="I246" s="10" t="s">
        <v>2714</v>
      </c>
      <c r="J246" s="10" t="s">
        <v>2698</v>
      </c>
      <c r="K246" s="10" t="s">
        <v>1682</v>
      </c>
      <c r="L246" s="10" t="s">
        <v>1682</v>
      </c>
      <c r="M246" s="10" t="s">
        <v>1682</v>
      </c>
      <c r="N246" s="10" t="s">
        <v>1682</v>
      </c>
      <c r="O246" s="10" t="s">
        <v>1682</v>
      </c>
      <c r="P246" s="10" t="s">
        <v>1682</v>
      </c>
      <c r="Q246" s="2010" t="s">
        <v>1682</v>
      </c>
    </row>
    <row r="247" spans="4:17" hidden="1">
      <c r="D247" s="1989" t="s">
        <v>2686</v>
      </c>
      <c r="E247" s="2009" t="s">
        <v>2715</v>
      </c>
      <c r="F247" s="10" t="s">
        <v>2716</v>
      </c>
      <c r="G247" s="10" t="s">
        <v>2717</v>
      </c>
      <c r="H247" s="10" t="s">
        <v>2718</v>
      </c>
      <c r="I247" s="10" t="s">
        <v>2719</v>
      </c>
      <c r="J247" s="10" t="s">
        <v>2720</v>
      </c>
      <c r="K247" s="10" t="s">
        <v>2721</v>
      </c>
      <c r="L247" s="10" t="s">
        <v>2722</v>
      </c>
      <c r="M247" s="10" t="s">
        <v>341</v>
      </c>
      <c r="N247" s="10" t="s">
        <v>2723</v>
      </c>
      <c r="O247" s="10" t="s">
        <v>2724</v>
      </c>
      <c r="P247" s="10" t="s">
        <v>2698</v>
      </c>
      <c r="Q247" s="2010" t="s">
        <v>1682</v>
      </c>
    </row>
    <row r="248" spans="4:17" hidden="1">
      <c r="D248" s="1989" t="s">
        <v>2687</v>
      </c>
      <c r="E248" s="2009" t="s">
        <v>2715</v>
      </c>
      <c r="F248" s="10" t="s">
        <v>2716</v>
      </c>
      <c r="G248" s="10" t="s">
        <v>2717</v>
      </c>
      <c r="H248" s="10" t="s">
        <v>2718</v>
      </c>
      <c r="I248" s="10" t="s">
        <v>2719</v>
      </c>
      <c r="J248" s="10" t="s">
        <v>2720</v>
      </c>
      <c r="K248" s="10" t="s">
        <v>2721</v>
      </c>
      <c r="L248" s="10" t="s">
        <v>2722</v>
      </c>
      <c r="M248" s="10" t="s">
        <v>341</v>
      </c>
      <c r="N248" s="10" t="s">
        <v>2723</v>
      </c>
      <c r="O248" s="10" t="s">
        <v>2724</v>
      </c>
      <c r="P248" s="10" t="s">
        <v>2698</v>
      </c>
      <c r="Q248" s="2010" t="s">
        <v>1682</v>
      </c>
    </row>
    <row r="249" spans="4:17" hidden="1">
      <c r="D249" s="1989" t="s">
        <v>2688</v>
      </c>
      <c r="E249" s="2009" t="s">
        <v>2725</v>
      </c>
      <c r="F249" s="10" t="s">
        <v>2726</v>
      </c>
      <c r="G249" s="10" t="s">
        <v>2727</v>
      </c>
      <c r="H249" s="10" t="s">
        <v>2728</v>
      </c>
      <c r="I249" s="10" t="s">
        <v>2616</v>
      </c>
      <c r="J249" s="10" t="s">
        <v>1682</v>
      </c>
      <c r="K249" s="10" t="s">
        <v>1682</v>
      </c>
      <c r="L249" s="10" t="s">
        <v>1682</v>
      </c>
      <c r="M249" s="10" t="s">
        <v>1682</v>
      </c>
      <c r="N249" s="10" t="s">
        <v>1682</v>
      </c>
      <c r="O249" s="10" t="s">
        <v>1682</v>
      </c>
      <c r="P249" s="10" t="s">
        <v>1682</v>
      </c>
      <c r="Q249" s="2010" t="s">
        <v>1682</v>
      </c>
    </row>
    <row r="250" spans="4:17" hidden="1">
      <c r="D250" s="1990" t="s">
        <v>2616</v>
      </c>
      <c r="E250" s="2011"/>
      <c r="F250" s="1684"/>
      <c r="G250" s="1684"/>
      <c r="H250" s="1684"/>
      <c r="I250" s="1684"/>
      <c r="J250" s="1684"/>
      <c r="K250" s="1684"/>
      <c r="L250" s="1684"/>
      <c r="M250" s="1684"/>
      <c r="N250" s="1684"/>
      <c r="O250" s="1684"/>
      <c r="P250" s="1684"/>
      <c r="Q250" s="1685"/>
    </row>
    <row r="251" spans="4:17" hidden="1">
      <c r="D251" s="1996" t="s">
        <v>2689</v>
      </c>
    </row>
    <row r="252" spans="4:17" hidden="1">
      <c r="D252" s="1988" t="e">
        <f>VLOOKUP($E$86,$D$243:$S$249,2,FALSE)</f>
        <v>#N/A</v>
      </c>
    </row>
    <row r="253" spans="4:17" hidden="1">
      <c r="D253" s="1989" t="e">
        <f>VLOOKUP($E$86,$D$243:$S$249,3,FALSE)</f>
        <v>#N/A</v>
      </c>
    </row>
    <row r="254" spans="4:17" hidden="1">
      <c r="D254" s="1989" t="e">
        <f>VLOOKUP($E$86,$D$243:$S$249,4,FALSE)</f>
        <v>#N/A</v>
      </c>
    </row>
    <row r="255" spans="4:17" hidden="1">
      <c r="D255" s="1989" t="e">
        <f>VLOOKUP($E$86,$D$243:$S$249,5,FALSE)</f>
        <v>#N/A</v>
      </c>
    </row>
    <row r="256" spans="4:17" hidden="1">
      <c r="D256" s="1989" t="e">
        <f>VLOOKUP($E$86,$D$243:$S$249,6,FALSE)</f>
        <v>#N/A</v>
      </c>
    </row>
    <row r="257" spans="4:4" hidden="1">
      <c r="D257" s="1989" t="e">
        <f>VLOOKUP($E$86,$D$243:$S$249,7,FALSE)</f>
        <v>#N/A</v>
      </c>
    </row>
    <row r="258" spans="4:4" hidden="1">
      <c r="D258" s="1989" t="e">
        <f>VLOOKUP($E$86,$D$243:$S$249,8,FALSE)</f>
        <v>#N/A</v>
      </c>
    </row>
    <row r="259" spans="4:4" hidden="1">
      <c r="D259" s="1989" t="e">
        <f>VLOOKUP($E$86,$D$243:$S$249,9,FALSE)</f>
        <v>#N/A</v>
      </c>
    </row>
    <row r="260" spans="4:4" hidden="1">
      <c r="D260" s="1989" t="e">
        <f>VLOOKUP($E$86,$D$243:$S$249,10,FALSE)</f>
        <v>#N/A</v>
      </c>
    </row>
    <row r="261" spans="4:4" hidden="1">
      <c r="D261" s="1989" t="e">
        <f>VLOOKUP($E$86,$D$243:$S$249,11,FALSE)</f>
        <v>#N/A</v>
      </c>
    </row>
    <row r="262" spans="4:4" hidden="1">
      <c r="D262" s="1989" t="e">
        <f>VLOOKUP($E$86,$D$243:$S$249,12,FALSE)</f>
        <v>#N/A</v>
      </c>
    </row>
    <row r="263" spans="4:4" hidden="1">
      <c r="D263" s="1989" t="e">
        <f>VLOOKUP($E$86,$D$243:$S$249,13,FALSE)</f>
        <v>#N/A</v>
      </c>
    </row>
    <row r="264" spans="4:4" hidden="1">
      <c r="D264" s="1989"/>
    </row>
    <row r="265" spans="4:4" hidden="1">
      <c r="D265" s="1996" t="s">
        <v>2735</v>
      </c>
    </row>
    <row r="266" spans="4:4" hidden="1">
      <c r="D266" s="1989" t="s">
        <v>2736</v>
      </c>
    </row>
    <row r="267" spans="4:4" hidden="1">
      <c r="D267" s="1989" t="s">
        <v>2738</v>
      </c>
    </row>
    <row r="268" spans="4:4" hidden="1">
      <c r="D268" s="1989" t="s">
        <v>2739</v>
      </c>
    </row>
    <row r="269" spans="4:4" hidden="1">
      <c r="D269" s="1989" t="s">
        <v>2740</v>
      </c>
    </row>
    <row r="270" spans="4:4" hidden="1">
      <c r="D270" s="1989" t="s">
        <v>2741</v>
      </c>
    </row>
    <row r="271" spans="4:4" hidden="1">
      <c r="D271" s="1989" t="s">
        <v>2742</v>
      </c>
    </row>
    <row r="272" spans="4:4" hidden="1">
      <c r="D272" s="1989" t="s">
        <v>2743</v>
      </c>
    </row>
    <row r="273" spans="4:4" hidden="1">
      <c r="D273" s="1996" t="s">
        <v>2744</v>
      </c>
    </row>
    <row r="274" spans="4:4" hidden="1">
      <c r="D274" s="1989" t="s">
        <v>2736</v>
      </c>
    </row>
    <row r="275" spans="4:4" hidden="1">
      <c r="D275" s="1989" t="s">
        <v>2737</v>
      </c>
    </row>
    <row r="276" spans="4:4" hidden="1">
      <c r="D276" s="1989" t="s">
        <v>2745</v>
      </c>
    </row>
    <row r="277" spans="4:4" hidden="1">
      <c r="D277" s="1989" t="s">
        <v>2746</v>
      </c>
    </row>
    <row r="278" spans="4:4" hidden="1">
      <c r="D278" s="1989" t="s">
        <v>2740</v>
      </c>
    </row>
    <row r="279" spans="4:4" hidden="1">
      <c r="D279" s="1989" t="s">
        <v>2741</v>
      </c>
    </row>
    <row r="280" spans="4:4" hidden="1">
      <c r="D280" s="1989" t="s">
        <v>2747</v>
      </c>
    </row>
    <row r="281" spans="4:4" hidden="1">
      <c r="D281" s="1989" t="s">
        <v>2748</v>
      </c>
    </row>
    <row r="282" spans="4:4" hidden="1">
      <c r="D282" s="1990" t="s">
        <v>2749</v>
      </c>
    </row>
    <row r="283" spans="4:4" hidden="1">
      <c r="D283" s="1996" t="s">
        <v>2757</v>
      </c>
    </row>
    <row r="284" spans="4:4" hidden="1">
      <c r="D284" s="1988" t="s">
        <v>2758</v>
      </c>
    </row>
    <row r="285" spans="4:4" hidden="1">
      <c r="D285" s="1989" t="s">
        <v>2759</v>
      </c>
    </row>
    <row r="286" spans="4:4" ht="26.4" hidden="1">
      <c r="D286" s="1989" t="s">
        <v>2760</v>
      </c>
    </row>
    <row r="287" spans="4:4" ht="11.25" hidden="1" customHeight="1">
      <c r="D287" s="1990" t="s">
        <v>2761</v>
      </c>
    </row>
    <row r="288" spans="4:4" hidden="1">
      <c r="D288" s="1988" t="s">
        <v>2793</v>
      </c>
    </row>
    <row r="289" spans="4:4" hidden="1">
      <c r="D289" s="1988" t="s">
        <v>2794</v>
      </c>
    </row>
    <row r="290" spans="4:4" hidden="1">
      <c r="D290" s="1989" t="s">
        <v>2799</v>
      </c>
    </row>
    <row r="291" spans="4:4" hidden="1">
      <c r="D291" s="1989" t="s">
        <v>2798</v>
      </c>
    </row>
    <row r="292" spans="4:4" hidden="1">
      <c r="D292" s="1989" t="s">
        <v>2797</v>
      </c>
    </row>
    <row r="293" spans="4:4" hidden="1">
      <c r="D293" s="1989" t="s">
        <v>2796</v>
      </c>
    </row>
    <row r="294" spans="4:4" hidden="1">
      <c r="D294" s="1989" t="s">
        <v>2795</v>
      </c>
    </row>
    <row r="295" spans="4:4" hidden="1">
      <c r="D295" s="1990" t="s">
        <v>2800</v>
      </c>
    </row>
    <row r="296" spans="4:4" hidden="1">
      <c r="D296" s="1996" t="s">
        <v>3046</v>
      </c>
    </row>
    <row r="297" spans="4:4" hidden="1">
      <c r="D297" s="1988" t="s">
        <v>3047</v>
      </c>
    </row>
    <row r="298" spans="4:4" hidden="1">
      <c r="D298" s="1989" t="s">
        <v>3048</v>
      </c>
    </row>
    <row r="299" spans="4:4" hidden="1">
      <c r="D299" s="1989" t="s">
        <v>3049</v>
      </c>
    </row>
    <row r="300" spans="4:4" hidden="1">
      <c r="D300" s="1989" t="s">
        <v>3051</v>
      </c>
    </row>
    <row r="301" spans="4:4" hidden="1">
      <c r="D301" s="1990" t="s">
        <v>3050</v>
      </c>
    </row>
  </sheetData>
  <mergeCells count="154">
    <mergeCell ref="B141:B142"/>
    <mergeCell ref="L143:O143"/>
    <mergeCell ref="E144:O144"/>
    <mergeCell ref="E145:O145"/>
    <mergeCell ref="B143:B145"/>
    <mergeCell ref="B146:B147"/>
    <mergeCell ref="D146:D148"/>
    <mergeCell ref="E146:O148"/>
    <mergeCell ref="D107:D108"/>
    <mergeCell ref="E107:O108"/>
    <mergeCell ref="E133:O133"/>
    <mergeCell ref="D116:O116"/>
    <mergeCell ref="E117:O117"/>
    <mergeCell ref="E118:O118"/>
    <mergeCell ref="D131:D132"/>
    <mergeCell ref="E131:O132"/>
    <mergeCell ref="B57:B58"/>
    <mergeCell ref="E58:O58"/>
    <mergeCell ref="B64:B66"/>
    <mergeCell ref="D67:D68"/>
    <mergeCell ref="E67:E68"/>
    <mergeCell ref="F67:F68"/>
    <mergeCell ref="G67:G68"/>
    <mergeCell ref="H67:H68"/>
    <mergeCell ref="I67:I68"/>
    <mergeCell ref="J67:J68"/>
    <mergeCell ref="K67:K68"/>
    <mergeCell ref="L67:L68"/>
    <mergeCell ref="M67:M68"/>
    <mergeCell ref="N67:N68"/>
    <mergeCell ref="O67:O68"/>
    <mergeCell ref="E59:O60"/>
    <mergeCell ref="D59:D60"/>
    <mergeCell ref="E61:O61"/>
    <mergeCell ref="B75:B79"/>
    <mergeCell ref="B82:B83"/>
    <mergeCell ref="E83:O83"/>
    <mergeCell ref="N141:O141"/>
    <mergeCell ref="E142:O142"/>
    <mergeCell ref="D150:O150"/>
    <mergeCell ref="E126:O126"/>
    <mergeCell ref="D121:D122"/>
    <mergeCell ref="E128:O128"/>
    <mergeCell ref="D112:O112"/>
    <mergeCell ref="E113:O113"/>
    <mergeCell ref="D114:D115"/>
    <mergeCell ref="E114:O115"/>
    <mergeCell ref="B122:B125"/>
    <mergeCell ref="D110:D111"/>
    <mergeCell ref="D136:D137"/>
    <mergeCell ref="E136:O137"/>
    <mergeCell ref="D138:D139"/>
    <mergeCell ref="E138:O139"/>
    <mergeCell ref="E134:O134"/>
    <mergeCell ref="E135:O135"/>
    <mergeCell ref="E127:O127"/>
    <mergeCell ref="E129:O129"/>
    <mergeCell ref="E130:O130"/>
    <mergeCell ref="D88:O88"/>
    <mergeCell ref="D89:D90"/>
    <mergeCell ref="E89:O90"/>
    <mergeCell ref="E62:O62"/>
    <mergeCell ref="E66:O66"/>
    <mergeCell ref="E64:O64"/>
    <mergeCell ref="E63:O63"/>
    <mergeCell ref="E71:O71"/>
    <mergeCell ref="E72:O72"/>
    <mergeCell ref="E87:O87"/>
    <mergeCell ref="E69:E70"/>
    <mergeCell ref="E48:O48"/>
    <mergeCell ref="E49:O49"/>
    <mergeCell ref="E50:O50"/>
    <mergeCell ref="E51:O51"/>
    <mergeCell ref="E52:O52"/>
    <mergeCell ref="D98:D99"/>
    <mergeCell ref="E98:O99"/>
    <mergeCell ref="D100:O100"/>
    <mergeCell ref="E74:O75"/>
    <mergeCell ref="E78:O78"/>
    <mergeCell ref="D74:D75"/>
    <mergeCell ref="D69:D70"/>
    <mergeCell ref="F69:F70"/>
    <mergeCell ref="G69:G70"/>
    <mergeCell ref="H69:H70"/>
    <mergeCell ref="I69:I70"/>
    <mergeCell ref="J69:J70"/>
    <mergeCell ref="K69:K70"/>
    <mergeCell ref="E53:O53"/>
    <mergeCell ref="E56:O56"/>
    <mergeCell ref="L69:L70"/>
    <mergeCell ref="M69:M70"/>
    <mergeCell ref="N69:N70"/>
    <mergeCell ref="O69:O70"/>
    <mergeCell ref="B2:O2"/>
    <mergeCell ref="B8:D8"/>
    <mergeCell ref="B9:D9"/>
    <mergeCell ref="B12:C12"/>
    <mergeCell ref="E12:O12"/>
    <mergeCell ref="B4:O6"/>
    <mergeCell ref="B11:C11"/>
    <mergeCell ref="E106:O106"/>
    <mergeCell ref="E91:O91"/>
    <mergeCell ref="E80:O80"/>
    <mergeCell ref="E73:O73"/>
    <mergeCell ref="E77:O77"/>
    <mergeCell ref="D76:O76"/>
    <mergeCell ref="D79:O79"/>
    <mergeCell ref="E85:O85"/>
    <mergeCell ref="E54:O54"/>
    <mergeCell ref="E55:O55"/>
    <mergeCell ref="E57:O57"/>
    <mergeCell ref="B86:B87"/>
    <mergeCell ref="E44:O46"/>
    <mergeCell ref="D101:O101"/>
    <mergeCell ref="D102:O103"/>
    <mergeCell ref="D104:O104"/>
    <mergeCell ref="E105:O105"/>
    <mergeCell ref="Q13:Z13"/>
    <mergeCell ref="Q12:AA12"/>
    <mergeCell ref="E13:N13"/>
    <mergeCell ref="B15:B19"/>
    <mergeCell ref="C19:D19"/>
    <mergeCell ref="B20:B22"/>
    <mergeCell ref="C22:D22"/>
    <mergeCell ref="B23:B42"/>
    <mergeCell ref="C23:O23"/>
    <mergeCell ref="Q23:AA23"/>
    <mergeCell ref="C33:O33"/>
    <mergeCell ref="Q33:AA33"/>
    <mergeCell ref="C42:D42"/>
    <mergeCell ref="E242:Q242"/>
    <mergeCell ref="N86:O86"/>
    <mergeCell ref="E92:O92"/>
    <mergeCell ref="E93:O93"/>
    <mergeCell ref="E94:O94"/>
    <mergeCell ref="E95:O95"/>
    <mergeCell ref="E96:H96"/>
    <mergeCell ref="I96:O96"/>
    <mergeCell ref="E97:O97"/>
    <mergeCell ref="E119:O119"/>
    <mergeCell ref="E120:O120"/>
    <mergeCell ref="E121:O122"/>
    <mergeCell ref="E124:O124"/>
    <mergeCell ref="E123:O123"/>
    <mergeCell ref="E125:O125"/>
    <mergeCell ref="E110:O111"/>
    <mergeCell ref="E109:O109"/>
    <mergeCell ref="E151:O151"/>
    <mergeCell ref="E149:O149"/>
    <mergeCell ref="E140:O140"/>
    <mergeCell ref="E152:O152"/>
    <mergeCell ref="K141:L141"/>
    <mergeCell ref="H141:I141"/>
    <mergeCell ref="E141:F141"/>
  </mergeCells>
  <dataValidations count="38">
    <dataValidation type="list" allowBlank="1" showInputMessage="1" showErrorMessage="1" sqref="E8:E9" xr:uid="{00000000-0002-0000-1400-000000000000}">
      <formula1>Liste_Franchises</formula1>
    </dataValidation>
    <dataValidation type="list" allowBlank="1" showInputMessage="1" showErrorMessage="1" prompt="Où la source du risque se situe-t-elle dans votre chaîne de valeur ?" sqref="E67" xr:uid="{00000000-0002-0000-1400-000001000000}">
      <formula1>"opération directes,fournisseurs,clients"</formula1>
    </dataValidation>
    <dataValidation type="list" allowBlank="1" showInputMessage="1" showErrorMessage="1" prompt="Quel type de risque ?" sqref="F67" xr:uid="{00000000-0002-0000-1400-000002000000}">
      <formula1>"Risque de transition , Risque physique"</formula1>
    </dataValidation>
    <dataValidation type="list" allowBlank="1" showInputMessage="1" showErrorMessage="1" prompt="Horizon temporel" sqref="H67" xr:uid="{00000000-0002-0000-1400-000003000000}">
      <formula1>"Courrant,Court terme,Moyen terme,Long terme,Inconnu"</formula1>
    </dataValidation>
    <dataValidation type="list" allowBlank="1" showInputMessage="1" showErrorMessage="1" prompt="Vraisemblance" sqref="I67 I69" xr:uid="{00000000-0002-0000-1400-000004000000}">
      <formula1>"Virtuellement certain,très probable,probable,plus probable que non,50/50,peu probable,très peu probable,exceptionnellement peu probable,Inconnu"</formula1>
    </dataValidation>
    <dataValidation type="list" allowBlank="1" showInputMessage="1" showErrorMessage="1" prompt="ampleur du risque" sqref="J67" xr:uid="{00000000-0002-0000-1400-000005000000}">
      <formula1>"Forte,Moyen-Forte,Moyenne,Moyen-Basse,Basse,Inconnue"</formula1>
    </dataValidation>
    <dataValidation type="decimal" allowBlank="1" showInputMessage="1" showErrorMessage="1" prompt="Impact financier potentiel (entrez un nombre entre 0 et 999999999999)" sqref="K67 K69" xr:uid="{00000000-0002-0000-1400-000006000000}">
      <formula1>0</formula1>
      <formula2>999999999999</formula2>
    </dataValidation>
    <dataValidation type="decimal" allowBlank="1" showInputMessage="1" showErrorMessage="1" prompt="Coût de gestion (entrez un nombre entre 0 et 999999999999)" sqref="N67" xr:uid="{00000000-0002-0000-1400-000007000000}">
      <formula1>0</formula1>
      <formula2>999999999999</formula2>
    </dataValidation>
    <dataValidation type="list" allowBlank="1" showInputMessage="1" showErrorMessage="1" prompt="Où la source de l'opportunité se situe-t-elle dans votre chaîne de valeur ?" sqref="E69" xr:uid="{00000000-0002-0000-1400-000008000000}">
      <formula1>"opération directes,fournisseurs,clients"</formula1>
    </dataValidation>
    <dataValidation type="list" allowBlank="1" showInputMessage="1" showErrorMessage="1" prompt="Quel type d'opportunité ?" sqref="F69" xr:uid="{00000000-0002-0000-1400-000009000000}">
      <formula1>"Efficacité énergétique,Source d'énergie,Produits &amp; Services,Marchés,Résilience"</formula1>
    </dataValidation>
    <dataValidation type="list" allowBlank="1" showInputMessage="1" showErrorMessage="1" prompt="Horizon temporel" sqref="H69" xr:uid="{00000000-0002-0000-1400-00000A000000}">
      <formula1>"Courrant,Court terme,Moyen terme,Long terme"</formula1>
    </dataValidation>
    <dataValidation type="list" allowBlank="1" showInputMessage="1" showErrorMessage="1" prompt="ampleur de l'opportunité" sqref="J69" xr:uid="{00000000-0002-0000-1400-00000B000000}">
      <formula1>"Forte,Moyen-Forte,Moyenne,Moyen-Basse,Basse,Inconnue"</formula1>
    </dataValidation>
    <dataValidation type="decimal" allowBlank="1" showInputMessage="1" showErrorMessage="1" prompt="Coût pour réaliser l'opportunité (entrez un nombre entre 0 et 999999999999)" sqref="N69" xr:uid="{00000000-0002-0000-1400-00000C000000}">
      <formula1>0</formula1>
      <formula2>999999999999</formula2>
    </dataValidation>
    <dataValidation type="list" allowBlank="1" showInputMessage="1" showErrorMessage="1" sqref="B75 B86 B90 B99 B103 B56 B68 B60 B137 G141 J141 M141 H143 F143 J143 B148" xr:uid="{00000000-0002-0000-1400-00000D000000}">
      <formula1>"Oui,Non"</formula1>
    </dataValidation>
    <dataValidation type="list" allowBlank="1" showInputMessage="1" prompt="Ne choisir une option ici qu'en cas de réponse &quot;Oui&quot; à la question 3.1. Si vous avez choisi &quot;Non&quot;, vous pouvez écrire votre réponse à la question 3.1f ici." sqref="E74" xr:uid="{00000000-0002-0000-1400-00000E000000}">
      <mc:AlternateContent xmlns:x12ac="http://schemas.microsoft.com/office/spreadsheetml/2011/1/ac" xmlns:mc="http://schemas.openxmlformats.org/markup-compatibility/2006">
        <mc:Choice Requires="x12ac">
          <x12ac:list>"Oui, de façon quantitative.","Oui, de façon quantitative et qualitative.","Non, mais nous souhaitons mettre cela en place dans les deux prochaines années.","Non, et nous ne souhaitons pas le faire d'ici les deux prochaines années."</x12ac:list>
        </mc:Choice>
        <mc:Fallback>
          <formula1>"Oui, de façon quantitative.,Oui, de façon quantitative et qualitative.,Non, mais nous souhaitons mettre cela en place dans les deux prochaines années.,Non, et nous ne souhaitons pas le faire d'ici les deux prochaines années."</formula1>
        </mc:Fallback>
      </mc:AlternateContent>
    </dataValidation>
    <dataValidation type="list" allowBlank="1" showInputMessage="1" prompt="Répondez ici à la question 2.2." sqref="B64" xr:uid="{00000000-0002-0000-1400-00000F000000}">
      <formula1>$D$161:$D$163</formula1>
    </dataValidation>
    <dataValidation type="list" allowBlank="1" showInputMessage="1" showErrorMessage="1" prompt="Se reporter au questionnaire du CDP pour obtenir les définitions exactes et des exemples de &quot;quantité absolue&quot; et &quot;intensité&quot;." sqref="B82" xr:uid="{00000000-0002-0000-1400-000010000000}">
      <formula1>"Quantité absolue de GES,Quantité absolue et intensité de GES,Intensité de GES,Aucun objectif"</formula1>
    </dataValidation>
    <dataValidation type="list" allowBlank="1" showInputMessage="1" showErrorMessage="1" prompt="Périmètre observé" sqref="E81:E82" xr:uid="{00000000-0002-0000-1400-000011000000}">
      <formula1>$D$165:$D$194</formula1>
    </dataValidation>
    <dataValidation type="list" allowBlank="1" showInputMessage="1" showErrorMessage="1" prompt="Est-ce que votre objectif est science-based ?" sqref="L81 M82" xr:uid="{00000000-0002-0000-1400-000012000000}">
      <formula1>$D$196:$D$200</formula1>
    </dataValidation>
    <dataValidation type="list" allowBlank="1" showInputMessage="1" showErrorMessage="1" prompt="Statut de l'objectif" sqref="N81 O82 N84" xr:uid="{00000000-0002-0000-1400-000013000000}">
      <formula1>"En cours,Annulé,Terminé,Nouveau,Remplacé"</formula1>
    </dataValidation>
    <dataValidation type="list" allowBlank="1" showInputMessage="1" showErrorMessage="1" prompt="Métrique choisie" sqref="H82" xr:uid="{00000000-0002-0000-1400-000014000000}">
      <formula1>$D$202:$D$228</formula1>
    </dataValidation>
    <dataValidation type="list" allowBlank="1" showInputMessage="1" showErrorMessage="1" prompt="Cibles" sqref="E84" xr:uid="{00000000-0002-0000-1400-000015000000}">
      <formula1>$D$230:$D$241</formula1>
    </dataValidation>
    <dataValidation type="list" allowBlank="1" showInputMessage="1" showErrorMessage="1" sqref="Q84" xr:uid="{00000000-0002-0000-1400-000016000000}">
      <mc:AlternateContent xmlns:x12ac="http://schemas.microsoft.com/office/spreadsheetml/2011/1/ac" xmlns:mc="http://schemas.openxmlformats.org/markup-compatibility/2006">
        <mc:Choice Requires="x12ac">
          <x12ac:list>RE100,EP100,EV100,Below50 - sustainable fuels,Science-based targets initiative,Reduce shot-lived climate pollutants,Remove deforestation,Low-Carbon Technology Partnerships Initiative,"Non, ça n'en fait pas partie",Autre - expliquez</x12ac:list>
        </mc:Choice>
        <mc:Fallback>
          <formula1>"RE100,EP100,EV100,Below50 - sustainable fuels,Science-based targets initiative,Reduce shot-lived climate pollutants,Remove deforestation,Low-Carbon Technology Partnerships Initiative,Non, ça n'en fait pas partie,Autre - expliquez"</formula1>
        </mc:Fallback>
      </mc:AlternateContent>
    </dataValidation>
    <dataValidation type="list" allowBlank="1" showInputMessage="1" showErrorMessage="1" prompt="Type d'activité" sqref="E86" xr:uid="{00000000-0002-0000-1400-000017000000}">
      <formula1>$D$243:$D$250</formula1>
    </dataValidation>
    <dataValidation type="list" allowBlank="1" showInputMessage="1" sqref="F86" xr:uid="{00000000-0002-0000-1400-000018000000}">
      <formula1>$D$252:$D$263</formula1>
    </dataValidation>
    <dataValidation type="list" allowBlank="1" showInputMessage="1" showErrorMessage="1" sqref="H86" xr:uid="{00000000-0002-0000-1400-000019000000}">
      <formula1>"Scope 1,Scope 2 (localisation),Scope 2 (marché),Scope 3"</formula1>
    </dataValidation>
    <dataValidation type="list" allowBlank="1" showInputMessage="1" showErrorMessage="1" sqref="L86" xr:uid="{00000000-0002-0000-1400-00001A000000}">
      <formula1>$D$266:$D$272</formula1>
    </dataValidation>
    <dataValidation type="list" allowBlank="1" showInputMessage="1" showErrorMessage="1" sqref="M86" xr:uid="{00000000-0002-0000-1400-00001B000000}">
      <formula1>$D$274:$D$282</formula1>
    </dataValidation>
    <dataValidation type="list" allowBlank="1" showInputMessage="1" showErrorMessage="1" sqref="E96" xr:uid="{00000000-0002-0000-1400-00001C000000}">
      <formula1>$D$284:$D$287</formula1>
    </dataValidation>
    <dataValidation type="list" allowBlank="1" showInputMessage="1" showErrorMessage="1" sqref="B108" xr:uid="{00000000-0002-0000-1400-00001D000000}">
      <formula1>"Oui,Non,Je ne sais pas"</formula1>
    </dataValidation>
    <dataValidation type="list" allowBlank="1" showInputMessage="1" showErrorMessage="1" sqref="B111 B115" xr:uid="{00000000-0002-0000-1400-00001E000000}">
      <formula1>"Par division commerciale,Par usine,Par activité"</formula1>
    </dataValidation>
    <dataValidation type="list" allowBlank="1" showInputMessage="1" showErrorMessage="1" sqref="B118" xr:uid="{00000000-0002-0000-1400-00001F000000}">
      <mc:AlternateContent xmlns:x12ac="http://schemas.microsoft.com/office/spreadsheetml/2011/1/ac" xmlns:mc="http://schemas.openxmlformats.org/markup-compatibility/2006">
        <mc:Choice Requires="x12ac">
          <x12ac:list>"Nous déclarons pour la première fois, nous ne pouvons pas comparer",Nous ne disposons d'aucune comptabilité carbone,Les émissions augmentent,Les émissions diminuent,Les émissions restent constantes</x12ac:list>
        </mc:Choice>
        <mc:Fallback>
          <formula1>"Nous déclarons pour la première fois, nous ne pouvons pas comparer,Nous ne disposons d'aucune comptabilité carbone,Les émissions augmentent,Les émissions diminuent,Les émissions restent constantes"</formula1>
        </mc:Fallback>
      </mc:AlternateContent>
    </dataValidation>
    <dataValidation type="list" allowBlank="1" showInputMessage="1" showErrorMessage="1" sqref="B70" xr:uid="{00000000-0002-0000-1400-000020000000}">
      <formula1>"Oui,Oui mais nous sommes incapables de les réaliser,Non"</formula1>
    </dataValidation>
    <dataValidation type="list" allowBlank="1" showInputMessage="1" showErrorMessage="1" sqref="B122" xr:uid="{00000000-0002-0000-1400-000021000000}">
      <formula1>$D$289:$D$295</formula1>
    </dataValidation>
    <dataValidation type="list" allowBlank="1" showInputMessage="1" showErrorMessage="1" sqref="B130" xr:uid="{00000000-0002-0000-1400-000022000000}">
      <formula1>$D$297:$D$301</formula1>
    </dataValidation>
    <dataValidation type="list" allowBlank="1" showInputMessage="1" showErrorMessage="1" sqref="B132" xr:uid="{00000000-0002-0000-1400-000023000000}">
      <mc:AlternateContent xmlns:x12ac="http://schemas.microsoft.com/office/spreadsheetml/2011/1/ac" xmlns:mc="http://schemas.openxmlformats.org/markup-compatibility/2006">
        <mc:Choice Requires="x12ac">
          <x12ac:list>Oui,En cours,"Non, mais nous souhaitons le mettre en place durant les deux prochaines années","Non, nous attendons des méthodes plus mâtures","Non, nous ne faisons rien auditer de plus"</x12ac:list>
        </mc:Choice>
        <mc:Fallback>
          <formula1>"Oui,En cours,Non, mais nous souhaitons le mettre en place durant les deux prochaines années,Non, nous attendons des méthodes plus mâtures,Non, nous ne faisons rien auditer de plus"</formula1>
        </mc:Fallback>
      </mc:AlternateContent>
    </dataValidation>
    <dataValidation type="list" allowBlank="1" showInputMessage="1" showErrorMessage="1" sqref="B135" xr:uid="{00000000-0002-0000-1400-000024000000}">
      <mc:AlternateContent xmlns:x12ac="http://schemas.microsoft.com/office/spreadsheetml/2011/1/ac" xmlns:mc="http://schemas.openxmlformats.org/markup-compatibility/2006">
        <mc:Choice Requires="x12ac">
          <x12ac:list>Oui,"Non, mais nous anticipons une réglementation dans les 3 prochaines années","Non, et nous n'anticipons pas de réglementation dans les 3 prochaines années"</x12ac:list>
        </mc:Choice>
        <mc:Fallback>
          <formula1>"Oui,Non, mais nous anticipons une réglementation dans les 3 prochaines années,Non, et nous n'anticipons pas de réglementation dans les 3 prochaines années"</formula1>
        </mc:Fallback>
      </mc:AlternateContent>
    </dataValidation>
    <dataValidation type="list" allowBlank="1" showInputMessage="1" showErrorMessage="1" sqref="B139" xr:uid="{00000000-0002-0000-1400-000025000000}">
      <mc:AlternateContent xmlns:x12ac="http://schemas.microsoft.com/office/spreadsheetml/2011/1/ac" xmlns:mc="http://schemas.openxmlformats.org/markup-compatibility/2006">
        <mc:Choice Requires="x12ac">
          <x12ac:list>Oui,"Non, mais nous prévoyons de mettre cela en place d'ici 2 ans","Non, et nous ne prévoyons pas d'en mettre en place d'ici les 2 prochaines années"</x12ac:list>
        </mc:Choice>
        <mc:Fallback>
          <formula1>"Oui,Non, mais nous prévoyons de mettre cela en place d'ici 2 ans,Non, et nous ne prévoyons pas d'en mettre en place d'ici les 2 prochaines années"</formula1>
        </mc:Fallback>
      </mc:AlternateContent>
    </dataValidation>
  </dataValidations>
  <hyperlinks>
    <hyperlink ref="B12" location="Descriptif!A1" display="Retour au Descriptif" xr:uid="{00000000-0004-0000-1400-000000000000}"/>
    <hyperlink ref="B11" location="Descriptif!A1" display="Retour au Descriptif" xr:uid="{00000000-0004-0000-1400-000001000000}"/>
  </hyperlink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
    <tabColor theme="6"/>
    <outlinePr summaryBelow="0"/>
  </sheetPr>
  <dimension ref="A1:AA633"/>
  <sheetViews>
    <sheetView showGridLines="0" zoomScale="85" zoomScaleNormal="85" workbookViewId="0">
      <pane ySplit="7" topLeftCell="A441" activePane="bottomLeft" state="frozenSplit"/>
      <selection activeCell="K48" sqref="K48"/>
      <selection pane="bottomLeft" activeCell="S462" sqref="S462"/>
    </sheetView>
  </sheetViews>
  <sheetFormatPr baseColWidth="10" defaultColWidth="0" defaultRowHeight="11.4" outlineLevelRow="1"/>
  <cols>
    <col min="1" max="2" width="2.75" style="52" customWidth="1"/>
    <col min="3" max="23" width="12.75" style="52" customWidth="1"/>
    <col min="24" max="25" width="2.75" style="52" customWidth="1"/>
    <col min="26" max="27" width="12.75" style="52" hidden="1" customWidth="1"/>
    <col min="28" max="16384" width="11.375" style="52" hidden="1"/>
  </cols>
  <sheetData>
    <row r="1" spans="2:20" ht="12" customHeight="1"/>
    <row r="2" spans="2:20" ht="30" customHeight="1">
      <c r="B2" s="2602" t="s">
        <v>493</v>
      </c>
      <c r="C2" s="2603"/>
      <c r="D2" s="2603"/>
      <c r="E2" s="2603"/>
      <c r="F2" s="2603"/>
      <c r="G2" s="2603"/>
      <c r="H2" s="2603"/>
      <c r="I2" s="2603"/>
      <c r="J2" s="2603"/>
      <c r="K2" s="2603"/>
      <c r="L2" s="2603"/>
      <c r="M2" s="2603"/>
      <c r="N2" s="2603"/>
      <c r="O2" s="2603"/>
      <c r="P2" s="2603"/>
      <c r="Q2" s="2604"/>
    </row>
    <row r="4" spans="2:20" ht="13.8">
      <c r="B4" s="74"/>
      <c r="C4" s="75"/>
      <c r="D4" s="75"/>
      <c r="E4" s="79" t="s">
        <v>538</v>
      </c>
      <c r="F4" s="2760" t="str">
        <f>Descriptif!C23</f>
        <v>Energie 1</v>
      </c>
      <c r="G4" s="2760"/>
      <c r="H4" s="2760" t="str">
        <f>Descriptif!C24</f>
        <v>Energie 2</v>
      </c>
      <c r="I4" s="2760"/>
      <c r="J4" s="2760" t="str">
        <f>Descriptif!C25</f>
        <v>Hors énergie 1</v>
      </c>
      <c r="K4" s="2760"/>
      <c r="L4" s="2760" t="str">
        <f>Descriptif!C26</f>
        <v>Hors énergie 2</v>
      </c>
      <c r="M4" s="2760"/>
      <c r="N4" s="1025" t="str">
        <f>Descriptif!C27</f>
        <v>Intrants 1</v>
      </c>
      <c r="O4" s="1025" t="str">
        <f>Descriptif!C28</f>
        <v>Intrants 2</v>
      </c>
      <c r="P4" s="2760" t="str">
        <f>Descriptif!C29</f>
        <v>Futurs emballages</v>
      </c>
      <c r="Q4" s="2771"/>
    </row>
    <row r="5" spans="2:20" ht="13.8">
      <c r="B5" s="76"/>
      <c r="C5" s="73"/>
      <c r="D5" s="283"/>
      <c r="E5" s="80"/>
      <c r="F5" s="2772" t="str">
        <f>Descriptif!C30</f>
        <v>Fret</v>
      </c>
      <c r="G5" s="2772"/>
      <c r="H5" s="2772" t="str">
        <f>Descriptif!C31</f>
        <v>Déplacements</v>
      </c>
      <c r="I5" s="2772"/>
      <c r="J5" s="2772" t="str">
        <f>Descriptif!C32</f>
        <v>Déchets directs</v>
      </c>
      <c r="K5" s="2772"/>
      <c r="L5" s="2772" t="str">
        <f>Descriptif!C33</f>
        <v>Immobilisations</v>
      </c>
      <c r="M5" s="2772"/>
      <c r="N5" s="2772" t="str">
        <f>Descriptif!C34</f>
        <v>Utilisation</v>
      </c>
      <c r="O5" s="2772"/>
      <c r="P5" s="2745" t="str">
        <f>Descriptif!C35</f>
        <v>Fin de vie</v>
      </c>
      <c r="Q5" s="2775"/>
      <c r="S5" s="2772"/>
      <c r="T5" s="2772"/>
    </row>
    <row r="6" spans="2:20" ht="13.8">
      <c r="B6" s="77"/>
      <c r="C6" s="78"/>
      <c r="D6" s="289"/>
      <c r="E6" s="81" t="s">
        <v>521</v>
      </c>
      <c r="F6" s="2745" t="str">
        <f>Descriptif!C37</f>
        <v>Recap CO2e</v>
      </c>
      <c r="G6" s="2745"/>
      <c r="H6" s="2745" t="str">
        <f>Descriptif!C38</f>
        <v>Ratios</v>
      </c>
      <c r="I6" s="2745"/>
      <c r="J6" s="2745" t="str">
        <f>Descriptif!C41</f>
        <v>ISO</v>
      </c>
      <c r="K6" s="2745"/>
      <c r="L6" s="2745" t="str">
        <f>Descriptif!C39</f>
        <v>Bilan GES</v>
      </c>
      <c r="M6" s="2745"/>
      <c r="N6" s="2745" t="s">
        <v>758</v>
      </c>
      <c r="O6" s="2775"/>
      <c r="P6" s="2761" t="s">
        <v>893</v>
      </c>
      <c r="Q6" s="2762"/>
    </row>
    <row r="7" spans="2:20">
      <c r="H7" s="71"/>
      <c r="I7" s="71"/>
      <c r="J7" s="71"/>
      <c r="K7" s="71"/>
    </row>
    <row r="8" spans="2:20" ht="15.6" collapsed="1">
      <c r="B8" s="3143" t="str">
        <f>Descriptif!C23</f>
        <v>Energie 1</v>
      </c>
      <c r="C8" s="3144"/>
      <c r="D8" s="3144"/>
      <c r="E8" s="3144"/>
      <c r="F8" s="3144"/>
      <c r="G8" s="3144"/>
      <c r="H8" s="3144"/>
      <c r="I8" s="3144"/>
      <c r="J8" s="3144"/>
      <c r="K8" s="3144"/>
      <c r="L8" s="3144"/>
      <c r="M8" s="3144"/>
      <c r="N8" s="3144"/>
      <c r="O8" s="3144"/>
      <c r="P8" s="3144"/>
      <c r="Q8" s="3145"/>
    </row>
    <row r="9" spans="2:20" hidden="1" outlineLevel="1"/>
    <row r="10" spans="2:20" hidden="1" outlineLevel="1"/>
    <row r="11" spans="2:20" hidden="1" outlineLevel="1"/>
    <row r="12" spans="2:20" hidden="1" outlineLevel="1"/>
    <row r="13" spans="2:20" hidden="1" outlineLevel="1"/>
    <row r="14" spans="2:20" hidden="1" outlineLevel="1"/>
    <row r="15" spans="2:20" hidden="1" outlineLevel="1"/>
    <row r="16" spans="2:20"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2:17" hidden="1" outlineLevel="1"/>
    <row r="34" spans="2:17" hidden="1" outlineLevel="1"/>
    <row r="35" spans="2:17" hidden="1" outlineLevel="1"/>
    <row r="36" spans="2:17" hidden="1" outlineLevel="1"/>
    <row r="37" spans="2:17" hidden="1" outlineLevel="1"/>
    <row r="38" spans="2:17" hidden="1" outlineLevel="1"/>
    <row r="39" spans="2:17" hidden="1" outlineLevel="1"/>
    <row r="41" spans="2:17" ht="15.6" collapsed="1">
      <c r="B41" s="3143" t="str">
        <f>Descriptif!C24</f>
        <v>Energie 2</v>
      </c>
      <c r="C41" s="3144"/>
      <c r="D41" s="3144"/>
      <c r="E41" s="3144"/>
      <c r="F41" s="3144"/>
      <c r="G41" s="3144"/>
      <c r="H41" s="3144"/>
      <c r="I41" s="3144"/>
      <c r="J41" s="3144"/>
      <c r="K41" s="3144"/>
      <c r="L41" s="3144"/>
      <c r="M41" s="3144"/>
      <c r="N41" s="3144"/>
      <c r="O41" s="3144"/>
      <c r="P41" s="3144"/>
      <c r="Q41" s="3145"/>
    </row>
    <row r="42" spans="2:17" ht="12" hidden="1" outlineLevel="1">
      <c r="B42" s="72"/>
    </row>
    <row r="43" spans="2:17" ht="12" hidden="1" outlineLevel="1">
      <c r="B43" s="72"/>
    </row>
    <row r="44" spans="2:17" ht="12" hidden="1" outlineLevel="1">
      <c r="B44" s="72"/>
    </row>
    <row r="45" spans="2:17" ht="12" hidden="1" outlineLevel="1">
      <c r="B45" s="72"/>
    </row>
    <row r="46" spans="2:17" ht="12" hidden="1" outlineLevel="1">
      <c r="B46" s="72"/>
    </row>
    <row r="47" spans="2:17" ht="12" hidden="1" outlineLevel="1">
      <c r="B47" s="72"/>
    </row>
    <row r="48" spans="2:17" ht="12" hidden="1" outlineLevel="1">
      <c r="B48" s="72"/>
    </row>
    <row r="49" spans="2:2" ht="12" hidden="1" outlineLevel="1">
      <c r="B49" s="72"/>
    </row>
    <row r="50" spans="2:2" ht="12" hidden="1" outlineLevel="1">
      <c r="B50" s="72"/>
    </row>
    <row r="51" spans="2:2" ht="12" hidden="1" outlineLevel="1">
      <c r="B51" s="72"/>
    </row>
    <row r="52" spans="2:2" ht="12" hidden="1" outlineLevel="1">
      <c r="B52" s="72"/>
    </row>
    <row r="53" spans="2:2" ht="12" hidden="1" outlineLevel="1">
      <c r="B53" s="72"/>
    </row>
    <row r="54" spans="2:2" ht="12" hidden="1" outlineLevel="1">
      <c r="B54" s="72"/>
    </row>
    <row r="55" spans="2:2" ht="12" hidden="1" outlineLevel="1">
      <c r="B55" s="72"/>
    </row>
    <row r="56" spans="2:2" ht="12" hidden="1" outlineLevel="1">
      <c r="B56" s="72"/>
    </row>
    <row r="57" spans="2:2" ht="12" hidden="1" outlineLevel="1">
      <c r="B57" s="72"/>
    </row>
    <row r="58" spans="2:2" ht="12" hidden="1" outlineLevel="1">
      <c r="B58" s="72"/>
    </row>
    <row r="59" spans="2:2" ht="12" hidden="1" outlineLevel="1">
      <c r="B59" s="72"/>
    </row>
    <row r="60" spans="2:2" ht="12" hidden="1" outlineLevel="1">
      <c r="B60" s="72"/>
    </row>
    <row r="61" spans="2:2" ht="12" hidden="1" outlineLevel="1">
      <c r="B61" s="72"/>
    </row>
    <row r="62" spans="2:2" ht="12" hidden="1" outlineLevel="1">
      <c r="B62" s="72"/>
    </row>
    <row r="63" spans="2:2" ht="12" hidden="1" outlineLevel="1">
      <c r="B63" s="72"/>
    </row>
    <row r="64" spans="2:2" ht="12" hidden="1" outlineLevel="1">
      <c r="B64" s="72"/>
    </row>
    <row r="65" spans="2:17" ht="12" hidden="1" outlineLevel="1">
      <c r="B65" s="72"/>
    </row>
    <row r="66" spans="2:17" ht="12" hidden="1" outlineLevel="1">
      <c r="B66" s="72"/>
    </row>
    <row r="67" spans="2:17" ht="12" hidden="1" outlineLevel="1">
      <c r="B67" s="72"/>
    </row>
    <row r="68" spans="2:17" ht="12" hidden="1" outlineLevel="1">
      <c r="B68" s="72"/>
    </row>
    <row r="69" spans="2:17" ht="12" hidden="1" outlineLevel="1">
      <c r="B69" s="72"/>
    </row>
    <row r="70" spans="2:17" ht="12" hidden="1" outlineLevel="1">
      <c r="B70" s="72"/>
    </row>
    <row r="71" spans="2:17" ht="12" hidden="1" outlineLevel="1">
      <c r="B71" s="72"/>
    </row>
    <row r="72" spans="2:17" ht="12" hidden="1" outlineLevel="1">
      <c r="B72" s="72"/>
    </row>
    <row r="73" spans="2:17" ht="12">
      <c r="B73" s="72"/>
    </row>
    <row r="74" spans="2:17" ht="15.6" collapsed="1">
      <c r="B74" s="3143" t="str">
        <f>Descriptif!C25</f>
        <v>Hors énergie 1</v>
      </c>
      <c r="C74" s="3144"/>
      <c r="D74" s="3144"/>
      <c r="E74" s="3144"/>
      <c r="F74" s="3144"/>
      <c r="G74" s="3144"/>
      <c r="H74" s="3144"/>
      <c r="I74" s="3144"/>
      <c r="J74" s="3144"/>
      <c r="K74" s="3144"/>
      <c r="L74" s="3144"/>
      <c r="M74" s="3144"/>
      <c r="N74" s="3144"/>
      <c r="O74" s="3144"/>
      <c r="P74" s="3144"/>
      <c r="Q74" s="3145"/>
    </row>
    <row r="75" spans="2:17" ht="12" hidden="1" outlineLevel="1">
      <c r="B75" s="72"/>
    </row>
    <row r="76" spans="2:17" ht="12" hidden="1" outlineLevel="1">
      <c r="B76" s="72"/>
    </row>
    <row r="77" spans="2:17" ht="12" hidden="1" outlineLevel="1">
      <c r="B77" s="72"/>
    </row>
    <row r="78" spans="2:17" ht="12" hidden="1" outlineLevel="1">
      <c r="B78" s="72"/>
    </row>
    <row r="79" spans="2:17" ht="12" hidden="1" outlineLevel="1">
      <c r="B79" s="72"/>
    </row>
    <row r="80" spans="2:17" ht="12" hidden="1" outlineLevel="1">
      <c r="B80" s="72"/>
    </row>
    <row r="81" spans="2:2" ht="12" hidden="1" outlineLevel="1">
      <c r="B81" s="72"/>
    </row>
    <row r="82" spans="2:2" ht="12" hidden="1" outlineLevel="1">
      <c r="B82" s="72"/>
    </row>
    <row r="83" spans="2:2" ht="12" hidden="1" outlineLevel="1">
      <c r="B83" s="72"/>
    </row>
    <row r="84" spans="2:2" ht="12" hidden="1" outlineLevel="1">
      <c r="B84" s="72"/>
    </row>
    <row r="85" spans="2:2" ht="12" hidden="1" outlineLevel="1">
      <c r="B85" s="72"/>
    </row>
    <row r="86" spans="2:2" ht="12" hidden="1" outlineLevel="1">
      <c r="B86" s="72"/>
    </row>
    <row r="87" spans="2:2" ht="12" hidden="1" outlineLevel="1">
      <c r="B87" s="72"/>
    </row>
    <row r="88" spans="2:2" ht="12" hidden="1" outlineLevel="1">
      <c r="B88" s="72"/>
    </row>
    <row r="89" spans="2:2" ht="12" hidden="1" outlineLevel="1">
      <c r="B89" s="72"/>
    </row>
    <row r="90" spans="2:2" ht="12" hidden="1" outlineLevel="1">
      <c r="B90" s="72"/>
    </row>
    <row r="91" spans="2:2" ht="12" hidden="1" outlineLevel="1">
      <c r="B91" s="72"/>
    </row>
    <row r="92" spans="2:2" ht="12" hidden="1" outlineLevel="1">
      <c r="B92" s="72"/>
    </row>
    <row r="93" spans="2:2" ht="12" hidden="1" outlineLevel="1">
      <c r="B93" s="72"/>
    </row>
    <row r="94" spans="2:2" ht="12" hidden="1" outlineLevel="1">
      <c r="B94" s="72"/>
    </row>
    <row r="95" spans="2:2" ht="12" hidden="1" outlineLevel="1">
      <c r="B95" s="72"/>
    </row>
    <row r="96" spans="2:2" ht="12" hidden="1" outlineLevel="1">
      <c r="B96" s="72"/>
    </row>
    <row r="97" spans="2:17" ht="12" hidden="1" outlineLevel="1">
      <c r="B97" s="72"/>
    </row>
    <row r="98" spans="2:17" ht="12" hidden="1" outlineLevel="1">
      <c r="B98" s="72"/>
    </row>
    <row r="99" spans="2:17" ht="12" hidden="1" outlineLevel="1">
      <c r="B99" s="72"/>
    </row>
    <row r="100" spans="2:17" ht="12" hidden="1" outlineLevel="1">
      <c r="B100" s="72"/>
    </row>
    <row r="101" spans="2:17" ht="12" hidden="1" outlineLevel="1">
      <c r="B101" s="72"/>
    </row>
    <row r="102" spans="2:17" ht="12" hidden="1" outlineLevel="1">
      <c r="B102" s="72"/>
    </row>
    <row r="103" spans="2:17" ht="12" hidden="1" outlineLevel="1">
      <c r="B103" s="72"/>
    </row>
    <row r="104" spans="2:17" ht="12" hidden="1" outlineLevel="1">
      <c r="B104" s="72"/>
    </row>
    <row r="105" spans="2:17" hidden="1" outlineLevel="1"/>
    <row r="107" spans="2:17" ht="15.6" collapsed="1">
      <c r="B107" s="3143" t="str">
        <f>Descriptif!C26</f>
        <v>Hors énergie 2</v>
      </c>
      <c r="C107" s="3144"/>
      <c r="D107" s="3144"/>
      <c r="E107" s="3144"/>
      <c r="F107" s="3144"/>
      <c r="G107" s="3144"/>
      <c r="H107" s="3144"/>
      <c r="I107" s="3144"/>
      <c r="J107" s="3144"/>
      <c r="K107" s="3144"/>
      <c r="L107" s="3144"/>
      <c r="M107" s="3144"/>
      <c r="N107" s="3144"/>
      <c r="O107" s="3144"/>
      <c r="P107" s="3144"/>
      <c r="Q107" s="3145"/>
    </row>
    <row r="108" spans="2:17" ht="12" hidden="1" outlineLevel="1">
      <c r="B108" s="72"/>
    </row>
    <row r="109" spans="2:17" ht="12" hidden="1" outlineLevel="1">
      <c r="B109" s="72"/>
    </row>
    <row r="110" spans="2:17" ht="12" hidden="1" outlineLevel="1">
      <c r="B110" s="72"/>
    </row>
    <row r="111" spans="2:17" ht="12" hidden="1" outlineLevel="1">
      <c r="B111" s="72"/>
    </row>
    <row r="112" spans="2:17" ht="12" hidden="1" outlineLevel="1">
      <c r="B112" s="72"/>
    </row>
    <row r="113" spans="2:2" ht="12" hidden="1" outlineLevel="1">
      <c r="B113" s="72"/>
    </row>
    <row r="114" spans="2:2" ht="12" hidden="1" outlineLevel="1">
      <c r="B114" s="72"/>
    </row>
    <row r="115" spans="2:2" ht="12" hidden="1" outlineLevel="1">
      <c r="B115" s="72"/>
    </row>
    <row r="116" spans="2:2" ht="12" hidden="1" outlineLevel="1">
      <c r="B116" s="72"/>
    </row>
    <row r="117" spans="2:2" ht="12" hidden="1" outlineLevel="1">
      <c r="B117" s="72"/>
    </row>
    <row r="118" spans="2:2" ht="12" hidden="1" outlineLevel="1">
      <c r="B118" s="72"/>
    </row>
    <row r="119" spans="2:2" ht="12" hidden="1" outlineLevel="1">
      <c r="B119" s="72"/>
    </row>
    <row r="120" spans="2:2" ht="12" hidden="1" outlineLevel="1">
      <c r="B120" s="72"/>
    </row>
    <row r="121" spans="2:2" ht="12" hidden="1" outlineLevel="1">
      <c r="B121" s="72"/>
    </row>
    <row r="122" spans="2:2" ht="12" hidden="1" outlineLevel="1">
      <c r="B122" s="72"/>
    </row>
    <row r="123" spans="2:2" ht="12" hidden="1" outlineLevel="1">
      <c r="B123" s="72"/>
    </row>
    <row r="124" spans="2:2" ht="12" hidden="1" outlineLevel="1">
      <c r="B124" s="72"/>
    </row>
    <row r="125" spans="2:2" ht="12" hidden="1" outlineLevel="1">
      <c r="B125" s="72"/>
    </row>
    <row r="126" spans="2:2" ht="12" hidden="1" outlineLevel="1">
      <c r="B126" s="72"/>
    </row>
    <row r="127" spans="2:2" ht="12" hidden="1" outlineLevel="1">
      <c r="B127" s="72"/>
    </row>
    <row r="128" spans="2:2" ht="12" hidden="1" outlineLevel="1">
      <c r="B128" s="72"/>
    </row>
    <row r="129" spans="2:17" ht="12" hidden="1" outlineLevel="1">
      <c r="B129" s="72"/>
    </row>
    <row r="130" spans="2:17" ht="12" hidden="1" outlineLevel="1">
      <c r="B130" s="72"/>
    </row>
    <row r="131" spans="2:17" ht="12" hidden="1" outlineLevel="1">
      <c r="B131" s="72"/>
    </row>
    <row r="132" spans="2:17" ht="12" hidden="1" outlineLevel="1">
      <c r="B132" s="72"/>
    </row>
    <row r="133" spans="2:17" ht="12" hidden="1" outlineLevel="1">
      <c r="B133" s="72"/>
    </row>
    <row r="134" spans="2:17" ht="12" hidden="1" outlineLevel="1">
      <c r="B134" s="72"/>
    </row>
    <row r="135" spans="2:17" ht="12" hidden="1" outlineLevel="1">
      <c r="B135" s="72"/>
    </row>
    <row r="136" spans="2:17" ht="12" hidden="1" outlineLevel="1">
      <c r="B136" s="72"/>
    </row>
    <row r="137" spans="2:17" ht="12" hidden="1" outlineLevel="1">
      <c r="B137" s="72"/>
    </row>
    <row r="138" spans="2:17" hidden="1" outlineLevel="1"/>
    <row r="140" spans="2:17" ht="15.6" collapsed="1">
      <c r="B140" s="3143" t="str">
        <f>Descriptif!C27</f>
        <v>Intrants 1</v>
      </c>
      <c r="C140" s="3144"/>
      <c r="D140" s="3144"/>
      <c r="E140" s="3144"/>
      <c r="F140" s="3144"/>
      <c r="G140" s="3144"/>
      <c r="H140" s="3144"/>
      <c r="I140" s="3144"/>
      <c r="J140" s="3144"/>
      <c r="K140" s="3144"/>
      <c r="L140" s="3144"/>
      <c r="M140" s="3144"/>
      <c r="N140" s="3144"/>
      <c r="O140" s="3144"/>
      <c r="P140" s="3144"/>
      <c r="Q140" s="3145"/>
    </row>
    <row r="141" spans="2:17" ht="12" hidden="1" outlineLevel="1">
      <c r="B141" s="72"/>
    </row>
    <row r="142" spans="2:17" ht="12" hidden="1" outlineLevel="1">
      <c r="B142" s="72"/>
    </row>
    <row r="143" spans="2:17" ht="12" hidden="1" outlineLevel="1">
      <c r="B143" s="72"/>
    </row>
    <row r="144" spans="2:17" ht="12" hidden="1" outlineLevel="1">
      <c r="B144" s="72"/>
    </row>
    <row r="145" spans="2:2" ht="12" hidden="1" outlineLevel="1">
      <c r="B145" s="72"/>
    </row>
    <row r="146" spans="2:2" ht="12" hidden="1" outlineLevel="1">
      <c r="B146" s="72"/>
    </row>
    <row r="147" spans="2:2" ht="12" hidden="1" outlineLevel="1">
      <c r="B147" s="72"/>
    </row>
    <row r="148" spans="2:2" ht="12" hidden="1" outlineLevel="1">
      <c r="B148" s="72"/>
    </row>
    <row r="149" spans="2:2" ht="12" hidden="1" outlineLevel="1">
      <c r="B149" s="72"/>
    </row>
    <row r="150" spans="2:2" ht="12" hidden="1" outlineLevel="1">
      <c r="B150" s="72"/>
    </row>
    <row r="151" spans="2:2" ht="12" hidden="1" outlineLevel="1">
      <c r="B151" s="72"/>
    </row>
    <row r="152" spans="2:2" ht="12" hidden="1" outlineLevel="1">
      <c r="B152" s="72"/>
    </row>
    <row r="153" spans="2:2" ht="12" hidden="1" outlineLevel="1">
      <c r="B153" s="72"/>
    </row>
    <row r="154" spans="2:2" ht="12" hidden="1" outlineLevel="1">
      <c r="B154" s="72"/>
    </row>
    <row r="155" spans="2:2" ht="12" hidden="1" outlineLevel="1">
      <c r="B155" s="72"/>
    </row>
    <row r="156" spans="2:2" ht="12" hidden="1" outlineLevel="1">
      <c r="B156" s="72"/>
    </row>
    <row r="157" spans="2:2" ht="12" hidden="1" outlineLevel="1">
      <c r="B157" s="72"/>
    </row>
    <row r="158" spans="2:2" ht="12" hidden="1" outlineLevel="1">
      <c r="B158" s="72"/>
    </row>
    <row r="159" spans="2:2" ht="12" hidden="1" outlineLevel="1">
      <c r="B159" s="72"/>
    </row>
    <row r="160" spans="2:2" ht="12" hidden="1" outlineLevel="1">
      <c r="B160" s="72"/>
    </row>
    <row r="161" spans="2:17" ht="12" hidden="1" outlineLevel="1">
      <c r="B161" s="72"/>
    </row>
    <row r="162" spans="2:17" ht="12" hidden="1" outlineLevel="1">
      <c r="B162" s="72"/>
    </row>
    <row r="163" spans="2:17" ht="12" hidden="1" outlineLevel="1">
      <c r="B163" s="72"/>
    </row>
    <row r="164" spans="2:17" ht="12" hidden="1" outlineLevel="1">
      <c r="B164" s="72"/>
    </row>
    <row r="165" spans="2:17" ht="12" hidden="1" outlineLevel="1">
      <c r="B165" s="72"/>
    </row>
    <row r="166" spans="2:17" ht="12" hidden="1" outlineLevel="1">
      <c r="B166" s="72"/>
    </row>
    <row r="167" spans="2:17" ht="12" hidden="1" outlineLevel="1">
      <c r="B167" s="72"/>
    </row>
    <row r="168" spans="2:17" ht="12" hidden="1" outlineLevel="1">
      <c r="B168" s="72"/>
    </row>
    <row r="169" spans="2:17" ht="12" hidden="1" outlineLevel="1">
      <c r="B169" s="72"/>
    </row>
    <row r="170" spans="2:17" ht="12" hidden="1" outlineLevel="1">
      <c r="B170" s="72"/>
    </row>
    <row r="171" spans="2:17" hidden="1" outlineLevel="1"/>
    <row r="173" spans="2:17" s="113" customFormat="1" ht="15.6" collapsed="1">
      <c r="B173" s="3143" t="str">
        <f>Descriptif!C28</f>
        <v>Intrants 2</v>
      </c>
      <c r="C173" s="3144"/>
      <c r="D173" s="3144"/>
      <c r="E173" s="3144"/>
      <c r="F173" s="3144"/>
      <c r="G173" s="3144"/>
      <c r="H173" s="3144"/>
      <c r="I173" s="3144"/>
      <c r="J173" s="3144"/>
      <c r="K173" s="3144"/>
      <c r="L173" s="3144"/>
      <c r="M173" s="3144"/>
      <c r="N173" s="3144"/>
      <c r="O173" s="3144"/>
      <c r="P173" s="3144"/>
      <c r="Q173" s="3145"/>
    </row>
    <row r="174" spans="2:17" s="113" customFormat="1" ht="12" hidden="1" outlineLevel="1">
      <c r="B174" s="228"/>
    </row>
    <row r="175" spans="2:17" s="113" customFormat="1" ht="12" hidden="1" outlineLevel="1">
      <c r="B175" s="228"/>
    </row>
    <row r="176" spans="2:17" s="113" customFormat="1" ht="12" hidden="1" outlineLevel="1">
      <c r="B176" s="228"/>
    </row>
    <row r="177" spans="2:2" s="113" customFormat="1" ht="12" hidden="1" outlineLevel="1">
      <c r="B177" s="228"/>
    </row>
    <row r="178" spans="2:2" s="113" customFormat="1" ht="12" hidden="1" outlineLevel="1">
      <c r="B178" s="228"/>
    </row>
    <row r="179" spans="2:2" s="113" customFormat="1" ht="12" hidden="1" outlineLevel="1">
      <c r="B179" s="228"/>
    </row>
    <row r="180" spans="2:2" s="113" customFormat="1" ht="12" hidden="1" outlineLevel="1">
      <c r="B180" s="228"/>
    </row>
    <row r="181" spans="2:2" s="113" customFormat="1" ht="12" hidden="1" outlineLevel="1">
      <c r="B181" s="228"/>
    </row>
    <row r="182" spans="2:2" s="113" customFormat="1" ht="12" hidden="1" outlineLevel="1">
      <c r="B182" s="228"/>
    </row>
    <row r="183" spans="2:2" s="113" customFormat="1" ht="12" hidden="1" outlineLevel="1">
      <c r="B183" s="228"/>
    </row>
    <row r="184" spans="2:2" s="113" customFormat="1" ht="12" hidden="1" outlineLevel="1">
      <c r="B184" s="228"/>
    </row>
    <row r="185" spans="2:2" s="113" customFormat="1" ht="12" hidden="1" outlineLevel="1">
      <c r="B185" s="228"/>
    </row>
    <row r="186" spans="2:2" s="113" customFormat="1" ht="12" hidden="1" outlineLevel="1">
      <c r="B186" s="228"/>
    </row>
    <row r="187" spans="2:2" s="113" customFormat="1" ht="12" hidden="1" outlineLevel="1">
      <c r="B187" s="228"/>
    </row>
    <row r="188" spans="2:2" s="113" customFormat="1" ht="12" hidden="1" outlineLevel="1">
      <c r="B188" s="228"/>
    </row>
    <row r="189" spans="2:2" s="113" customFormat="1" ht="12" hidden="1" outlineLevel="1">
      <c r="B189" s="228"/>
    </row>
    <row r="190" spans="2:2" s="113" customFormat="1" ht="12" hidden="1" outlineLevel="1">
      <c r="B190" s="228"/>
    </row>
    <row r="191" spans="2:2" s="113" customFormat="1" ht="12" hidden="1" outlineLevel="1">
      <c r="B191" s="228"/>
    </row>
    <row r="192" spans="2:2" s="113" customFormat="1" ht="12" hidden="1" outlineLevel="1">
      <c r="B192" s="228"/>
    </row>
    <row r="193" spans="2:17" s="113" customFormat="1" ht="12" hidden="1" outlineLevel="1">
      <c r="B193" s="228"/>
    </row>
    <row r="194" spans="2:17" s="113" customFormat="1" ht="12" hidden="1" outlineLevel="1">
      <c r="B194" s="228"/>
    </row>
    <row r="195" spans="2:17" s="113" customFormat="1" ht="12" hidden="1" outlineLevel="1">
      <c r="B195" s="228"/>
    </row>
    <row r="196" spans="2:17" s="113" customFormat="1" ht="12" hidden="1" outlineLevel="1">
      <c r="B196" s="228"/>
    </row>
    <row r="197" spans="2:17" s="113" customFormat="1" ht="12" hidden="1" outlineLevel="1">
      <c r="B197" s="228"/>
    </row>
    <row r="198" spans="2:17" s="113" customFormat="1" ht="12" hidden="1" outlineLevel="1">
      <c r="B198" s="228"/>
    </row>
    <row r="199" spans="2:17" s="113" customFormat="1" ht="12" hidden="1" outlineLevel="1">
      <c r="B199" s="228"/>
    </row>
    <row r="200" spans="2:17" s="113" customFormat="1" ht="12" hidden="1" outlineLevel="1">
      <c r="B200" s="228"/>
    </row>
    <row r="201" spans="2:17" s="113" customFormat="1" ht="12" hidden="1" outlineLevel="1">
      <c r="B201" s="228"/>
    </row>
    <row r="202" spans="2:17" s="113" customFormat="1" ht="12" hidden="1" outlineLevel="1">
      <c r="B202" s="228"/>
    </row>
    <row r="203" spans="2:17" s="113" customFormat="1" ht="12" hidden="1" outlineLevel="1">
      <c r="B203" s="228"/>
    </row>
    <row r="204" spans="2:17" s="113" customFormat="1" hidden="1" outlineLevel="1"/>
    <row r="205" spans="2:17" s="113" customFormat="1"/>
    <row r="206" spans="2:17" ht="15.6" collapsed="1">
      <c r="B206" s="3143" t="str">
        <f>Descriptif!C29</f>
        <v>Futurs emballages</v>
      </c>
      <c r="C206" s="3144"/>
      <c r="D206" s="3144"/>
      <c r="E206" s="3144"/>
      <c r="F206" s="3144"/>
      <c r="G206" s="3144"/>
      <c r="H206" s="3144"/>
      <c r="I206" s="3144"/>
      <c r="J206" s="3144"/>
      <c r="K206" s="3144"/>
      <c r="L206" s="3144"/>
      <c r="M206" s="3144"/>
      <c r="N206" s="3144"/>
      <c r="O206" s="3144"/>
      <c r="P206" s="3144"/>
      <c r="Q206" s="3145"/>
    </row>
    <row r="207" spans="2:17" ht="12" hidden="1" outlineLevel="1">
      <c r="B207" s="72"/>
    </row>
    <row r="208" spans="2:17" ht="12" hidden="1" outlineLevel="1">
      <c r="B208" s="72"/>
    </row>
    <row r="209" spans="2:2" ht="12" hidden="1" outlineLevel="1">
      <c r="B209" s="72"/>
    </row>
    <row r="210" spans="2:2" ht="12" hidden="1" outlineLevel="1">
      <c r="B210" s="72"/>
    </row>
    <row r="211" spans="2:2" ht="12" hidden="1" outlineLevel="1">
      <c r="B211" s="72"/>
    </row>
    <row r="212" spans="2:2" ht="12" hidden="1" outlineLevel="1">
      <c r="B212" s="72"/>
    </row>
    <row r="213" spans="2:2" ht="12" hidden="1" outlineLevel="1">
      <c r="B213" s="72"/>
    </row>
    <row r="214" spans="2:2" ht="12" hidden="1" outlineLevel="1">
      <c r="B214" s="72"/>
    </row>
    <row r="215" spans="2:2" ht="12" hidden="1" outlineLevel="1">
      <c r="B215" s="72"/>
    </row>
    <row r="216" spans="2:2" ht="12" hidden="1" outlineLevel="1">
      <c r="B216" s="72"/>
    </row>
    <row r="217" spans="2:2" ht="12" hidden="1" outlineLevel="1">
      <c r="B217" s="72"/>
    </row>
    <row r="218" spans="2:2" ht="12" hidden="1" outlineLevel="1">
      <c r="B218" s="72"/>
    </row>
    <row r="219" spans="2:2" ht="12" hidden="1" outlineLevel="1">
      <c r="B219" s="72"/>
    </row>
    <row r="220" spans="2:2" ht="12" hidden="1" outlineLevel="1">
      <c r="B220" s="72"/>
    </row>
    <row r="221" spans="2:2" ht="12" hidden="1" outlineLevel="1">
      <c r="B221" s="72"/>
    </row>
    <row r="222" spans="2:2" ht="12" hidden="1" outlineLevel="1">
      <c r="B222" s="72"/>
    </row>
    <row r="223" spans="2:2" ht="12" hidden="1" outlineLevel="1">
      <c r="B223" s="72"/>
    </row>
    <row r="224" spans="2:2" ht="12" hidden="1" outlineLevel="1">
      <c r="B224" s="72"/>
    </row>
    <row r="225" spans="2:17" ht="12" hidden="1" outlineLevel="1">
      <c r="B225" s="72"/>
    </row>
    <row r="226" spans="2:17" ht="12" hidden="1" outlineLevel="1">
      <c r="B226" s="72"/>
    </row>
    <row r="227" spans="2:17" ht="12" hidden="1" outlineLevel="1">
      <c r="B227" s="72"/>
    </row>
    <row r="228" spans="2:17" ht="12" hidden="1" outlineLevel="1">
      <c r="B228" s="72"/>
    </row>
    <row r="229" spans="2:17" ht="12" hidden="1" outlineLevel="1">
      <c r="B229" s="72"/>
    </row>
    <row r="230" spans="2:17" ht="12" hidden="1" outlineLevel="1">
      <c r="B230" s="72"/>
    </row>
    <row r="231" spans="2:17" ht="12" hidden="1" outlineLevel="1">
      <c r="B231" s="72"/>
    </row>
    <row r="232" spans="2:17" ht="12" hidden="1" outlineLevel="1">
      <c r="B232" s="72"/>
    </row>
    <row r="233" spans="2:17" ht="12" hidden="1" outlineLevel="1">
      <c r="B233" s="72"/>
    </row>
    <row r="234" spans="2:17" ht="12" hidden="1" outlineLevel="1">
      <c r="B234" s="72"/>
    </row>
    <row r="235" spans="2:17" ht="12" hidden="1" outlineLevel="1">
      <c r="B235" s="72"/>
    </row>
    <row r="236" spans="2:17" ht="12" hidden="1" outlineLevel="1">
      <c r="B236" s="72"/>
    </row>
    <row r="237" spans="2:17" hidden="1" outlineLevel="1"/>
    <row r="239" spans="2:17" ht="15.6" collapsed="1">
      <c r="B239" s="3143" t="str">
        <f>Descriptif!C30</f>
        <v>Fret</v>
      </c>
      <c r="C239" s="3144"/>
      <c r="D239" s="3144"/>
      <c r="E239" s="3144"/>
      <c r="F239" s="3144"/>
      <c r="G239" s="3144"/>
      <c r="H239" s="3144"/>
      <c r="I239" s="3144"/>
      <c r="J239" s="3144"/>
      <c r="K239" s="3144"/>
      <c r="L239" s="3144"/>
      <c r="M239" s="3144"/>
      <c r="N239" s="3144"/>
      <c r="O239" s="3144"/>
      <c r="P239" s="3144"/>
      <c r="Q239" s="3145"/>
    </row>
    <row r="240" spans="2:17" ht="12" hidden="1" outlineLevel="1">
      <c r="B240" s="72"/>
    </row>
    <row r="241" spans="2:2" ht="12" hidden="1" outlineLevel="1">
      <c r="B241" s="72"/>
    </row>
    <row r="242" spans="2:2" ht="12" hidden="1" outlineLevel="1">
      <c r="B242" s="72"/>
    </row>
    <row r="243" spans="2:2" ht="12" hidden="1" outlineLevel="1">
      <c r="B243" s="72"/>
    </row>
    <row r="244" spans="2:2" ht="12" hidden="1" outlineLevel="1">
      <c r="B244" s="72"/>
    </row>
    <row r="245" spans="2:2" ht="12" hidden="1" outlineLevel="1">
      <c r="B245" s="72"/>
    </row>
    <row r="246" spans="2:2" ht="12" hidden="1" outlineLevel="1">
      <c r="B246" s="72"/>
    </row>
    <row r="247" spans="2:2" ht="12" hidden="1" outlineLevel="1">
      <c r="B247" s="72"/>
    </row>
    <row r="248" spans="2:2" ht="12" hidden="1" outlineLevel="1">
      <c r="B248" s="72"/>
    </row>
    <row r="249" spans="2:2" ht="12" hidden="1" outlineLevel="1">
      <c r="B249" s="72"/>
    </row>
    <row r="250" spans="2:2" ht="12" hidden="1" outlineLevel="1">
      <c r="B250" s="72"/>
    </row>
    <row r="251" spans="2:2" ht="12" hidden="1" outlineLevel="1">
      <c r="B251" s="72"/>
    </row>
    <row r="252" spans="2:2" ht="12" hidden="1" outlineLevel="1">
      <c r="B252" s="72"/>
    </row>
    <row r="253" spans="2:2" ht="12" hidden="1" outlineLevel="1">
      <c r="B253" s="72"/>
    </row>
    <row r="254" spans="2:2" ht="12" hidden="1" outlineLevel="1">
      <c r="B254" s="72"/>
    </row>
    <row r="255" spans="2:2" ht="12" hidden="1" outlineLevel="1">
      <c r="B255" s="72"/>
    </row>
    <row r="256" spans="2:2" ht="12" hidden="1" outlineLevel="1">
      <c r="B256" s="72"/>
    </row>
    <row r="257" spans="2:2" ht="12" hidden="1" outlineLevel="1">
      <c r="B257" s="72"/>
    </row>
    <row r="258" spans="2:2" ht="12" hidden="1" outlineLevel="1">
      <c r="B258" s="72"/>
    </row>
    <row r="259" spans="2:2" ht="12" hidden="1" outlineLevel="1">
      <c r="B259" s="72"/>
    </row>
    <row r="260" spans="2:2" ht="12" hidden="1" outlineLevel="1">
      <c r="B260" s="72"/>
    </row>
    <row r="261" spans="2:2" ht="12" hidden="1" outlineLevel="1">
      <c r="B261" s="72"/>
    </row>
    <row r="262" spans="2:2" ht="12" hidden="1" outlineLevel="1">
      <c r="B262" s="72"/>
    </row>
    <row r="263" spans="2:2" ht="12" hidden="1" outlineLevel="1">
      <c r="B263" s="72"/>
    </row>
    <row r="264" spans="2:2" ht="12" hidden="1" outlineLevel="1">
      <c r="B264" s="72"/>
    </row>
    <row r="265" spans="2:2" ht="12" hidden="1" outlineLevel="1">
      <c r="B265" s="72"/>
    </row>
    <row r="266" spans="2:2" ht="12" hidden="1" outlineLevel="1">
      <c r="B266" s="72"/>
    </row>
    <row r="267" spans="2:2" ht="12" hidden="1" outlineLevel="1">
      <c r="B267" s="72"/>
    </row>
    <row r="268" spans="2:2" ht="12" hidden="1" outlineLevel="1">
      <c r="B268" s="72"/>
    </row>
    <row r="269" spans="2:2" ht="12" hidden="1" outlineLevel="1">
      <c r="B269" s="72"/>
    </row>
    <row r="270" spans="2:2" ht="12" hidden="1" outlineLevel="1">
      <c r="B270" s="72"/>
    </row>
    <row r="271" spans="2:2" ht="12" hidden="1" outlineLevel="1">
      <c r="B271" s="72"/>
    </row>
    <row r="272" spans="2:2" ht="12" hidden="1" outlineLevel="1">
      <c r="B272" s="72"/>
    </row>
    <row r="273" spans="2:17" hidden="1" outlineLevel="1"/>
    <row r="275" spans="2:17" ht="15.6" collapsed="1">
      <c r="B275" s="3143" t="str">
        <f>Descriptif!C31</f>
        <v>Déplacements</v>
      </c>
      <c r="C275" s="3144"/>
      <c r="D275" s="3144"/>
      <c r="E275" s="3144"/>
      <c r="F275" s="3144"/>
      <c r="G275" s="3144"/>
      <c r="H275" s="3144"/>
      <c r="I275" s="3144"/>
      <c r="J275" s="3144"/>
      <c r="K275" s="3144"/>
      <c r="L275" s="3144"/>
      <c r="M275" s="3144"/>
      <c r="N275" s="3144"/>
      <c r="O275" s="3144"/>
      <c r="P275" s="3144"/>
      <c r="Q275" s="3145"/>
    </row>
    <row r="276" spans="2:17" ht="12" hidden="1" outlineLevel="1">
      <c r="B276" s="72"/>
    </row>
    <row r="277" spans="2:17" ht="12" hidden="1" outlineLevel="1">
      <c r="B277" s="72"/>
    </row>
    <row r="278" spans="2:17" ht="12" hidden="1" outlineLevel="1">
      <c r="B278" s="72"/>
    </row>
    <row r="279" spans="2:17" ht="12" hidden="1" outlineLevel="1">
      <c r="B279" s="72"/>
    </row>
    <row r="280" spans="2:17" ht="12" hidden="1" outlineLevel="1">
      <c r="B280" s="72"/>
    </row>
    <row r="281" spans="2:17" ht="12" hidden="1" outlineLevel="1">
      <c r="B281" s="72"/>
    </row>
    <row r="282" spans="2:17" ht="12" hidden="1" outlineLevel="1">
      <c r="B282" s="72"/>
    </row>
    <row r="283" spans="2:17" ht="12" hidden="1" outlineLevel="1">
      <c r="B283" s="72"/>
    </row>
    <row r="284" spans="2:17" ht="12" hidden="1" outlineLevel="1">
      <c r="B284" s="72"/>
    </row>
    <row r="285" spans="2:17" ht="12" hidden="1" outlineLevel="1">
      <c r="B285" s="72"/>
    </row>
    <row r="286" spans="2:17" ht="12" hidden="1" outlineLevel="1">
      <c r="B286" s="72"/>
    </row>
    <row r="287" spans="2:17" ht="12" hidden="1" outlineLevel="1">
      <c r="B287" s="72"/>
    </row>
    <row r="288" spans="2:17" ht="12" hidden="1" outlineLevel="1">
      <c r="B288" s="72"/>
    </row>
    <row r="289" spans="2:2" ht="12" hidden="1" outlineLevel="1">
      <c r="B289" s="72"/>
    </row>
    <row r="290" spans="2:2" ht="12" hidden="1" outlineLevel="1">
      <c r="B290" s="72"/>
    </row>
    <row r="291" spans="2:2" ht="12" hidden="1" outlineLevel="1">
      <c r="B291" s="72"/>
    </row>
    <row r="292" spans="2:2" ht="12" hidden="1" outlineLevel="1">
      <c r="B292" s="72"/>
    </row>
    <row r="293" spans="2:2" ht="12" hidden="1" outlineLevel="1">
      <c r="B293" s="72"/>
    </row>
    <row r="294" spans="2:2" ht="12" hidden="1" outlineLevel="1">
      <c r="B294" s="72"/>
    </row>
    <row r="295" spans="2:2" ht="12" hidden="1" outlineLevel="1">
      <c r="B295" s="72"/>
    </row>
    <row r="296" spans="2:2" ht="12" hidden="1" outlineLevel="1">
      <c r="B296" s="72"/>
    </row>
    <row r="297" spans="2:2" ht="12" hidden="1" outlineLevel="1">
      <c r="B297" s="72"/>
    </row>
    <row r="298" spans="2:2" ht="12" hidden="1" outlineLevel="1">
      <c r="B298" s="72"/>
    </row>
    <row r="299" spans="2:2" ht="12" hidden="1" outlineLevel="1">
      <c r="B299" s="72"/>
    </row>
    <row r="300" spans="2:2" ht="12" hidden="1" outlineLevel="1">
      <c r="B300" s="72"/>
    </row>
    <row r="301" spans="2:2" ht="12" hidden="1" outlineLevel="1">
      <c r="B301" s="72"/>
    </row>
    <row r="302" spans="2:2" ht="12" hidden="1" outlineLevel="1">
      <c r="B302" s="72"/>
    </row>
    <row r="303" spans="2:2" ht="12" hidden="1" outlineLevel="1">
      <c r="B303" s="72"/>
    </row>
    <row r="304" spans="2:2" ht="12" hidden="1" outlineLevel="1">
      <c r="B304" s="72"/>
    </row>
    <row r="305" spans="2:17" ht="12" hidden="1" outlineLevel="1">
      <c r="B305" s="72"/>
    </row>
    <row r="306" spans="2:17" hidden="1" outlineLevel="1"/>
    <row r="308" spans="2:17" ht="15.6" collapsed="1">
      <c r="B308" s="3143" t="str">
        <f>Descriptif!C32</f>
        <v>Déchets directs</v>
      </c>
      <c r="C308" s="3144"/>
      <c r="D308" s="3144"/>
      <c r="E308" s="3144"/>
      <c r="F308" s="3144"/>
      <c r="G308" s="3144"/>
      <c r="H308" s="3144"/>
      <c r="I308" s="3144"/>
      <c r="J308" s="3144"/>
      <c r="K308" s="3144"/>
      <c r="L308" s="3144"/>
      <c r="M308" s="3144"/>
      <c r="N308" s="3144"/>
      <c r="O308" s="3144"/>
      <c r="P308" s="3144"/>
      <c r="Q308" s="3145"/>
    </row>
    <row r="309" spans="2:17" ht="12" hidden="1" outlineLevel="1">
      <c r="B309" s="72"/>
    </row>
    <row r="310" spans="2:17" ht="12" hidden="1" outlineLevel="1">
      <c r="B310" s="72"/>
    </row>
    <row r="311" spans="2:17" ht="12" hidden="1" outlineLevel="1">
      <c r="B311" s="72"/>
    </row>
    <row r="312" spans="2:17" ht="12" hidden="1" outlineLevel="1">
      <c r="B312" s="72"/>
    </row>
    <row r="313" spans="2:17" ht="12" hidden="1" outlineLevel="1">
      <c r="B313" s="72"/>
    </row>
    <row r="314" spans="2:17" ht="12" hidden="1" outlineLevel="1">
      <c r="B314" s="72"/>
    </row>
    <row r="315" spans="2:17" ht="12" hidden="1" outlineLevel="1">
      <c r="B315" s="72"/>
    </row>
    <row r="316" spans="2:17" ht="12" hidden="1" outlineLevel="1">
      <c r="B316" s="72"/>
    </row>
    <row r="317" spans="2:17" ht="12" hidden="1" outlineLevel="1">
      <c r="B317" s="72"/>
    </row>
    <row r="318" spans="2:17" ht="12" hidden="1" outlineLevel="1">
      <c r="B318" s="72"/>
    </row>
    <row r="319" spans="2:17" ht="12" hidden="1" outlineLevel="1">
      <c r="B319" s="72"/>
    </row>
    <row r="320" spans="2:17" ht="12" hidden="1" outlineLevel="1">
      <c r="B320" s="72"/>
    </row>
    <row r="321" spans="2:2" ht="12" hidden="1" outlineLevel="1">
      <c r="B321" s="72"/>
    </row>
    <row r="322" spans="2:2" ht="12" hidden="1" outlineLevel="1">
      <c r="B322" s="72"/>
    </row>
    <row r="323" spans="2:2" ht="12" hidden="1" outlineLevel="1">
      <c r="B323" s="72"/>
    </row>
    <row r="324" spans="2:2" ht="12" hidden="1" outlineLevel="1">
      <c r="B324" s="72"/>
    </row>
    <row r="325" spans="2:2" ht="12" hidden="1" outlineLevel="1">
      <c r="B325" s="72"/>
    </row>
    <row r="326" spans="2:2" ht="12" hidden="1" outlineLevel="1">
      <c r="B326" s="72"/>
    </row>
    <row r="327" spans="2:2" ht="12" hidden="1" outlineLevel="1">
      <c r="B327" s="72"/>
    </row>
    <row r="328" spans="2:2" ht="12" hidden="1" outlineLevel="1">
      <c r="B328" s="72"/>
    </row>
    <row r="329" spans="2:2" ht="12" hidden="1" outlineLevel="1">
      <c r="B329" s="72"/>
    </row>
    <row r="330" spans="2:2" ht="12" hidden="1" outlineLevel="1">
      <c r="B330" s="72"/>
    </row>
    <row r="331" spans="2:2" ht="12" hidden="1" outlineLevel="1">
      <c r="B331" s="72"/>
    </row>
    <row r="332" spans="2:2" ht="12" hidden="1" outlineLevel="1">
      <c r="B332" s="72"/>
    </row>
    <row r="333" spans="2:2" ht="12" hidden="1" outlineLevel="1">
      <c r="B333" s="72"/>
    </row>
    <row r="334" spans="2:2" ht="12" hidden="1" outlineLevel="1">
      <c r="B334" s="72"/>
    </row>
    <row r="335" spans="2:2" ht="12" hidden="1" outlineLevel="1">
      <c r="B335" s="72"/>
    </row>
    <row r="336" spans="2:2" ht="12" hidden="1" outlineLevel="1">
      <c r="B336" s="72"/>
    </row>
    <row r="337" spans="2:17" ht="12" hidden="1" outlineLevel="1">
      <c r="B337" s="72"/>
    </row>
    <row r="338" spans="2:17" ht="12" hidden="1" outlineLevel="1">
      <c r="B338" s="72"/>
    </row>
    <row r="339" spans="2:17" hidden="1" outlineLevel="1"/>
    <row r="341" spans="2:17" ht="15.6" collapsed="1">
      <c r="B341" s="3143" t="str">
        <f>Descriptif!C33</f>
        <v>Immobilisations</v>
      </c>
      <c r="C341" s="3144"/>
      <c r="D341" s="3144"/>
      <c r="E341" s="3144"/>
      <c r="F341" s="3144"/>
      <c r="G341" s="3144"/>
      <c r="H341" s="3144"/>
      <c r="I341" s="3144"/>
      <c r="J341" s="3144"/>
      <c r="K341" s="3144"/>
      <c r="L341" s="3144"/>
      <c r="M341" s="3144"/>
      <c r="N341" s="3144"/>
      <c r="O341" s="3144"/>
      <c r="P341" s="3144"/>
      <c r="Q341" s="3145"/>
    </row>
    <row r="342" spans="2:17" ht="12" hidden="1" outlineLevel="1">
      <c r="B342" s="72"/>
    </row>
    <row r="343" spans="2:17" ht="12" hidden="1" outlineLevel="1">
      <c r="B343" s="72"/>
    </row>
    <row r="344" spans="2:17" ht="12" hidden="1" outlineLevel="1">
      <c r="B344" s="72"/>
    </row>
    <row r="345" spans="2:17" ht="12" hidden="1" outlineLevel="1">
      <c r="B345" s="72"/>
    </row>
    <row r="346" spans="2:17" ht="12" hidden="1" outlineLevel="1">
      <c r="B346" s="72"/>
    </row>
    <row r="347" spans="2:17" ht="12" hidden="1" outlineLevel="1">
      <c r="B347" s="72"/>
    </row>
    <row r="348" spans="2:17" ht="12" hidden="1" outlineLevel="1">
      <c r="B348" s="72"/>
    </row>
    <row r="349" spans="2:17" ht="12" hidden="1" outlineLevel="1">
      <c r="B349" s="72"/>
    </row>
    <row r="350" spans="2:17" ht="12" hidden="1" outlineLevel="1">
      <c r="B350" s="72"/>
    </row>
    <row r="351" spans="2:17" ht="12" hidden="1" outlineLevel="1">
      <c r="B351" s="72"/>
    </row>
    <row r="352" spans="2:17" ht="12" hidden="1" outlineLevel="1">
      <c r="B352" s="72"/>
    </row>
    <row r="353" spans="2:2" ht="12" hidden="1" outlineLevel="1">
      <c r="B353" s="72"/>
    </row>
    <row r="354" spans="2:2" ht="12" hidden="1" outlineLevel="1">
      <c r="B354" s="72"/>
    </row>
    <row r="355" spans="2:2" ht="12" hidden="1" outlineLevel="1">
      <c r="B355" s="72"/>
    </row>
    <row r="356" spans="2:2" ht="12" hidden="1" outlineLevel="1">
      <c r="B356" s="72"/>
    </row>
    <row r="357" spans="2:2" ht="12" hidden="1" outlineLevel="1">
      <c r="B357" s="72"/>
    </row>
    <row r="358" spans="2:2" ht="12" hidden="1" outlineLevel="1">
      <c r="B358" s="72"/>
    </row>
    <row r="359" spans="2:2" ht="12" hidden="1" outlineLevel="1">
      <c r="B359" s="72"/>
    </row>
    <row r="360" spans="2:2" ht="12" hidden="1" outlineLevel="1">
      <c r="B360" s="72"/>
    </row>
    <row r="361" spans="2:2" ht="12" hidden="1" outlineLevel="1">
      <c r="B361" s="72"/>
    </row>
    <row r="362" spans="2:2" ht="12" hidden="1" outlineLevel="1">
      <c r="B362" s="72"/>
    </row>
    <row r="363" spans="2:2" ht="12" hidden="1" outlineLevel="1">
      <c r="B363" s="72"/>
    </row>
    <row r="364" spans="2:2" ht="12" hidden="1" outlineLevel="1">
      <c r="B364" s="72"/>
    </row>
    <row r="365" spans="2:2" ht="12" hidden="1" outlineLevel="1">
      <c r="B365" s="72"/>
    </row>
    <row r="366" spans="2:2" ht="12" hidden="1" outlineLevel="1">
      <c r="B366" s="72"/>
    </row>
    <row r="367" spans="2:2" ht="12" hidden="1" outlineLevel="1">
      <c r="B367" s="72"/>
    </row>
    <row r="368" spans="2:2" ht="12" hidden="1" outlineLevel="1">
      <c r="B368" s="72"/>
    </row>
    <row r="369" spans="2:17" ht="12" hidden="1" outlineLevel="1">
      <c r="B369" s="72"/>
    </row>
    <row r="370" spans="2:17" ht="12" hidden="1" outlineLevel="1">
      <c r="B370" s="72"/>
    </row>
    <row r="371" spans="2:17" ht="12" hidden="1" outlineLevel="1">
      <c r="B371" s="72"/>
    </row>
    <row r="372" spans="2:17" hidden="1" outlineLevel="1"/>
    <row r="374" spans="2:17" ht="15.6" collapsed="1">
      <c r="B374" s="3143" t="str">
        <f>Descriptif!C34</f>
        <v>Utilisation</v>
      </c>
      <c r="C374" s="3144"/>
      <c r="D374" s="3144"/>
      <c r="E374" s="3144"/>
      <c r="F374" s="3144"/>
      <c r="G374" s="3144"/>
      <c r="H374" s="3144"/>
      <c r="I374" s="3144"/>
      <c r="J374" s="3144"/>
      <c r="K374" s="3144"/>
      <c r="L374" s="3144"/>
      <c r="M374" s="3144"/>
      <c r="N374" s="3144"/>
      <c r="O374" s="3144"/>
      <c r="P374" s="3144"/>
      <c r="Q374" s="3145"/>
    </row>
    <row r="375" spans="2:17" ht="12" hidden="1" outlineLevel="1">
      <c r="B375" s="72"/>
    </row>
    <row r="376" spans="2:17" ht="12" hidden="1" outlineLevel="1">
      <c r="B376" s="72"/>
    </row>
    <row r="377" spans="2:17" ht="12" hidden="1" outlineLevel="1">
      <c r="B377" s="72"/>
    </row>
    <row r="378" spans="2:17" ht="12" hidden="1" outlineLevel="1">
      <c r="B378" s="72"/>
    </row>
    <row r="379" spans="2:17" ht="12" hidden="1" outlineLevel="1">
      <c r="B379" s="72"/>
    </row>
    <row r="380" spans="2:17" ht="12" hidden="1" outlineLevel="1">
      <c r="B380" s="72"/>
    </row>
    <row r="381" spans="2:17" ht="12" hidden="1" outlineLevel="1">
      <c r="B381" s="72"/>
    </row>
    <row r="382" spans="2:17" ht="12" hidden="1" outlineLevel="1">
      <c r="B382" s="72"/>
    </row>
    <row r="383" spans="2:17" ht="12" hidden="1" outlineLevel="1">
      <c r="B383" s="72"/>
    </row>
    <row r="384" spans="2:17" ht="12" hidden="1" outlineLevel="1">
      <c r="B384" s="72"/>
    </row>
    <row r="385" spans="2:2" ht="12" hidden="1" outlineLevel="1">
      <c r="B385" s="72"/>
    </row>
    <row r="386" spans="2:2" ht="12" hidden="1" outlineLevel="1">
      <c r="B386" s="72"/>
    </row>
    <row r="387" spans="2:2" ht="12" hidden="1" outlineLevel="1">
      <c r="B387" s="72"/>
    </row>
    <row r="388" spans="2:2" ht="12" hidden="1" outlineLevel="1">
      <c r="B388" s="72"/>
    </row>
    <row r="389" spans="2:2" ht="12" hidden="1" outlineLevel="1">
      <c r="B389" s="72"/>
    </row>
    <row r="390" spans="2:2" ht="12" hidden="1" outlineLevel="1">
      <c r="B390" s="72"/>
    </row>
    <row r="391" spans="2:2" ht="12" hidden="1" outlineLevel="1">
      <c r="B391" s="72"/>
    </row>
    <row r="392" spans="2:2" ht="12" hidden="1" outlineLevel="1">
      <c r="B392" s="72"/>
    </row>
    <row r="393" spans="2:2" ht="12" hidden="1" outlineLevel="1">
      <c r="B393" s="72"/>
    </row>
    <row r="394" spans="2:2" ht="12" hidden="1" outlineLevel="1">
      <c r="B394" s="72"/>
    </row>
    <row r="395" spans="2:2" ht="12" hidden="1" outlineLevel="1">
      <c r="B395" s="72"/>
    </row>
    <row r="396" spans="2:2" ht="12" hidden="1" outlineLevel="1">
      <c r="B396" s="72"/>
    </row>
    <row r="397" spans="2:2" ht="12" hidden="1" outlineLevel="1">
      <c r="B397" s="72"/>
    </row>
    <row r="398" spans="2:2" ht="12" hidden="1" outlineLevel="1">
      <c r="B398" s="72"/>
    </row>
    <row r="399" spans="2:2" ht="12" hidden="1" outlineLevel="1">
      <c r="B399" s="72"/>
    </row>
    <row r="400" spans="2:2" ht="12" hidden="1" outlineLevel="1">
      <c r="B400" s="72"/>
    </row>
    <row r="401" spans="2:17" ht="12" hidden="1" outlineLevel="1">
      <c r="B401" s="72"/>
    </row>
    <row r="402" spans="2:17" ht="12" hidden="1" outlineLevel="1">
      <c r="B402" s="72"/>
    </row>
    <row r="403" spans="2:17" ht="12" hidden="1" outlineLevel="1">
      <c r="B403" s="72"/>
    </row>
    <row r="404" spans="2:17" ht="12" hidden="1" outlineLevel="1">
      <c r="B404" s="72"/>
    </row>
    <row r="405" spans="2:17" hidden="1" outlineLevel="1"/>
    <row r="407" spans="2:17" ht="15.6" collapsed="1">
      <c r="B407" s="3143" t="str">
        <f>Descriptif!C35</f>
        <v>Fin de vie</v>
      </c>
      <c r="C407" s="3144"/>
      <c r="D407" s="3144"/>
      <c r="E407" s="3144"/>
      <c r="F407" s="3144"/>
      <c r="G407" s="3144"/>
      <c r="H407" s="3144"/>
      <c r="I407" s="3144"/>
      <c r="J407" s="3144"/>
      <c r="K407" s="3144"/>
      <c r="L407" s="3144"/>
      <c r="M407" s="3144"/>
      <c r="N407" s="3144"/>
      <c r="O407" s="3144"/>
      <c r="P407" s="3144"/>
      <c r="Q407" s="3145"/>
    </row>
    <row r="408" spans="2:17" ht="12" hidden="1" outlineLevel="1">
      <c r="B408" s="72"/>
    </row>
    <row r="409" spans="2:17" ht="12" hidden="1" outlineLevel="1">
      <c r="B409" s="72"/>
    </row>
    <row r="410" spans="2:17" ht="12" hidden="1" outlineLevel="1">
      <c r="B410" s="72"/>
    </row>
    <row r="411" spans="2:17" ht="12" hidden="1" outlineLevel="1">
      <c r="B411" s="72"/>
    </row>
    <row r="412" spans="2:17" ht="12" hidden="1" outlineLevel="1">
      <c r="B412" s="72"/>
    </row>
    <row r="413" spans="2:17" ht="12" hidden="1" outlineLevel="1">
      <c r="B413" s="72"/>
    </row>
    <row r="414" spans="2:17" ht="12" hidden="1" outlineLevel="1">
      <c r="B414" s="72"/>
    </row>
    <row r="415" spans="2:17" ht="12" hidden="1" outlineLevel="1">
      <c r="B415" s="72"/>
    </row>
    <row r="416" spans="2:17" ht="12" hidden="1" outlineLevel="1">
      <c r="B416" s="72"/>
    </row>
    <row r="417" spans="2:2" ht="12" hidden="1" outlineLevel="1">
      <c r="B417" s="72"/>
    </row>
    <row r="418" spans="2:2" ht="12" hidden="1" outlineLevel="1">
      <c r="B418" s="72"/>
    </row>
    <row r="419" spans="2:2" ht="12" hidden="1" outlineLevel="1">
      <c r="B419" s="72"/>
    </row>
    <row r="420" spans="2:2" ht="12" hidden="1" outlineLevel="1">
      <c r="B420" s="72"/>
    </row>
    <row r="421" spans="2:2" ht="12" hidden="1" outlineLevel="1">
      <c r="B421" s="72"/>
    </row>
    <row r="422" spans="2:2" ht="12" hidden="1" outlineLevel="1">
      <c r="B422" s="72"/>
    </row>
    <row r="423" spans="2:2" ht="12" hidden="1" outlineLevel="1">
      <c r="B423" s="72"/>
    </row>
    <row r="424" spans="2:2" ht="12" hidden="1" outlineLevel="1">
      <c r="B424" s="72"/>
    </row>
    <row r="425" spans="2:2" ht="12" hidden="1" outlineLevel="1">
      <c r="B425" s="72"/>
    </row>
    <row r="426" spans="2:2" ht="12" hidden="1" outlineLevel="1">
      <c r="B426" s="72"/>
    </row>
    <row r="427" spans="2:2" ht="12" hidden="1" outlineLevel="1">
      <c r="B427" s="72"/>
    </row>
    <row r="428" spans="2:2" ht="12" hidden="1" outlineLevel="1">
      <c r="B428" s="72"/>
    </row>
    <row r="429" spans="2:2" ht="12" hidden="1" outlineLevel="1">
      <c r="B429" s="72"/>
    </row>
    <row r="430" spans="2:2" ht="12" hidden="1" outlineLevel="1">
      <c r="B430" s="72"/>
    </row>
    <row r="431" spans="2:2" ht="12" hidden="1" outlineLevel="1">
      <c r="B431" s="72"/>
    </row>
    <row r="432" spans="2:2" ht="12" hidden="1" outlineLevel="1">
      <c r="B432" s="72"/>
    </row>
    <row r="433" spans="2:17" ht="12" hidden="1" outlineLevel="1">
      <c r="B433" s="72"/>
    </row>
    <row r="434" spans="2:17" ht="12" hidden="1" outlineLevel="1">
      <c r="B434" s="72"/>
    </row>
    <row r="435" spans="2:17" ht="12" hidden="1" outlineLevel="1">
      <c r="B435" s="72"/>
    </row>
    <row r="436" spans="2:17" ht="12" hidden="1" outlineLevel="1">
      <c r="B436" s="72"/>
    </row>
    <row r="437" spans="2:17" ht="12" hidden="1" outlineLevel="1">
      <c r="B437" s="72"/>
    </row>
    <row r="438" spans="2:17" hidden="1" outlineLevel="1"/>
    <row r="441" spans="2:17" s="113" customFormat="1" ht="15.6">
      <c r="B441" s="2881" t="str">
        <f>Descriptif!C37</f>
        <v>Recap CO2e</v>
      </c>
      <c r="C441" s="2882"/>
      <c r="D441" s="2882"/>
      <c r="E441" s="2882"/>
      <c r="F441" s="2882"/>
      <c r="G441" s="2882"/>
      <c r="H441" s="2882"/>
      <c r="I441" s="2882"/>
      <c r="J441" s="2882"/>
      <c r="K441" s="2882"/>
      <c r="L441" s="2882"/>
      <c r="M441" s="2882"/>
      <c r="N441" s="2882"/>
      <c r="O441" s="2882"/>
      <c r="P441" s="2882"/>
      <c r="Q441" s="2883"/>
    </row>
    <row r="442" spans="2:17" s="113" customFormat="1" outlineLevel="1"/>
    <row r="443" spans="2:17" s="113" customFormat="1" outlineLevel="1"/>
    <row r="444" spans="2:17" s="113" customFormat="1" outlineLevel="1"/>
    <row r="445" spans="2:17" s="113" customFormat="1" outlineLevel="1"/>
    <row r="446" spans="2:17" s="113" customFormat="1" outlineLevel="1"/>
    <row r="447" spans="2:17" s="113" customFormat="1" outlineLevel="1"/>
    <row r="448" spans="2:17" s="113" customFormat="1" outlineLevel="1"/>
    <row r="449" s="113" customFormat="1" outlineLevel="1"/>
    <row r="450" s="113" customFormat="1" outlineLevel="1"/>
    <row r="451" s="113" customFormat="1" outlineLevel="1"/>
    <row r="452" s="113" customFormat="1" outlineLevel="1"/>
    <row r="453" s="113" customFormat="1" outlineLevel="1"/>
    <row r="454" s="113" customFormat="1" outlineLevel="1"/>
    <row r="455" s="113" customFormat="1" outlineLevel="1"/>
    <row r="456" s="113" customFormat="1" outlineLevel="1"/>
    <row r="457" s="113" customFormat="1" outlineLevel="1"/>
    <row r="458" s="113" customFormat="1" outlineLevel="1"/>
    <row r="459" s="113" customFormat="1" outlineLevel="1"/>
    <row r="460" s="113" customFormat="1" outlineLevel="1"/>
    <row r="461" s="113" customFormat="1" outlineLevel="1"/>
    <row r="462" s="113" customFormat="1" outlineLevel="1"/>
    <row r="463" s="113" customFormat="1" outlineLevel="1"/>
    <row r="464" s="113" customFormat="1" outlineLevel="1"/>
    <row r="465" spans="2:17" s="113" customFormat="1" outlineLevel="1"/>
    <row r="466" spans="2:17" s="113" customFormat="1" outlineLevel="1"/>
    <row r="467" spans="2:17" s="113" customFormat="1" outlineLevel="1"/>
    <row r="468" spans="2:17" s="113" customFormat="1" outlineLevel="1"/>
    <row r="469" spans="2:17" s="113" customFormat="1" outlineLevel="1"/>
    <row r="470" spans="2:17" s="113" customFormat="1" outlineLevel="1"/>
    <row r="471" spans="2:17" s="113" customFormat="1" outlineLevel="1"/>
    <row r="473" spans="2:17" ht="15.6" collapsed="1">
      <c r="B473" s="2881" t="str">
        <f>Descriptif!C38</f>
        <v>Ratios</v>
      </c>
      <c r="C473" s="2882"/>
      <c r="D473" s="2882"/>
      <c r="E473" s="2882"/>
      <c r="F473" s="2882"/>
      <c r="G473" s="2882"/>
      <c r="H473" s="2882"/>
      <c r="I473" s="2882"/>
      <c r="J473" s="2882"/>
      <c r="K473" s="2882"/>
      <c r="L473" s="2882"/>
      <c r="M473" s="2882"/>
      <c r="N473" s="2882"/>
      <c r="O473" s="2882"/>
      <c r="P473" s="2882"/>
      <c r="Q473" s="2883"/>
    </row>
    <row r="474" spans="2:17" hidden="1" outlineLevel="1"/>
    <row r="475" spans="2:17" hidden="1" outlineLevel="1"/>
    <row r="476" spans="2:17" hidden="1" outlineLevel="1"/>
    <row r="477" spans="2:17" hidden="1" outlineLevel="1"/>
    <row r="478" spans="2:17" hidden="1" outlineLevel="1"/>
    <row r="479" spans="2:17" hidden="1" outlineLevel="1"/>
    <row r="480" spans="2:17" hidden="1" outlineLevel="1"/>
    <row r="481" hidden="1" outlineLevel="1"/>
    <row r="482" hidden="1" outlineLevel="1"/>
    <row r="483" hidden="1" outlineLevel="1"/>
    <row r="484" hidden="1" outlineLevel="1"/>
    <row r="485" hidden="1" outlineLevel="1"/>
    <row r="486" hidden="1" outlineLevel="1"/>
    <row r="487" hidden="1" outlineLevel="1"/>
    <row r="488" hidden="1" outlineLevel="1"/>
    <row r="489" hidden="1" outlineLevel="1"/>
    <row r="490" hidden="1" outlineLevel="1"/>
    <row r="491" hidden="1" outlineLevel="1"/>
    <row r="492" hidden="1" outlineLevel="1"/>
    <row r="493" hidden="1" outlineLevel="1"/>
    <row r="494" hidden="1" outlineLevel="1"/>
    <row r="495" hidden="1" outlineLevel="1"/>
    <row r="496" hidden="1" outlineLevel="1"/>
    <row r="497" spans="2:17" hidden="1" outlineLevel="1"/>
    <row r="498" spans="2:17" hidden="1" outlineLevel="1"/>
    <row r="499" spans="2:17" hidden="1" outlineLevel="1"/>
    <row r="500" spans="2:17" hidden="1" outlineLevel="1"/>
    <row r="501" spans="2:17" hidden="1" outlineLevel="1"/>
    <row r="502" spans="2:17" hidden="1" outlineLevel="1"/>
    <row r="503" spans="2:17" hidden="1" outlineLevel="1"/>
    <row r="504" spans="2:17" hidden="1" outlineLevel="1"/>
    <row r="506" spans="2:17" ht="15.6" collapsed="1">
      <c r="B506" s="2881" t="str">
        <f>Descriptif!C39</f>
        <v>Bilan GES</v>
      </c>
      <c r="C506" s="2882"/>
      <c r="D506" s="2882"/>
      <c r="E506" s="2882"/>
      <c r="F506" s="2882"/>
      <c r="G506" s="2882"/>
      <c r="H506" s="2882"/>
      <c r="I506" s="2882"/>
      <c r="J506" s="2882"/>
      <c r="K506" s="2882"/>
      <c r="L506" s="2882"/>
      <c r="M506" s="2882"/>
      <c r="N506" s="2882"/>
      <c r="O506" s="2882"/>
      <c r="P506" s="2882"/>
      <c r="Q506" s="2883"/>
    </row>
    <row r="507" spans="2:17" hidden="1" outlineLevel="1"/>
    <row r="508" spans="2:17" hidden="1" outlineLevel="1"/>
    <row r="509" spans="2:17" hidden="1" outlineLevel="1"/>
    <row r="510" spans="2:17" hidden="1" outlineLevel="1"/>
    <row r="511" spans="2:17" hidden="1" outlineLevel="1"/>
    <row r="512" spans="2:17" hidden="1" outlineLevel="1"/>
    <row r="513" hidden="1" outlineLevel="1"/>
    <row r="514" hidden="1" outlineLevel="1"/>
    <row r="515" hidden="1" outlineLevel="1"/>
    <row r="516" hidden="1" outlineLevel="1"/>
    <row r="517" hidden="1" outlineLevel="1"/>
    <row r="518" hidden="1" outlineLevel="1"/>
    <row r="519" hidden="1" outlineLevel="1"/>
    <row r="520" hidden="1" outlineLevel="1"/>
    <row r="521" hidden="1" outlineLevel="1"/>
    <row r="522" hidden="1" outlineLevel="1"/>
    <row r="523" hidden="1" outlineLevel="1"/>
    <row r="524" hidden="1" outlineLevel="1"/>
    <row r="525" hidden="1" outlineLevel="1"/>
    <row r="526" hidden="1" outlineLevel="1"/>
    <row r="527" hidden="1" outlineLevel="1"/>
    <row r="528" hidden="1" outlineLevel="1"/>
    <row r="529" hidden="1" outlineLevel="1"/>
    <row r="530" hidden="1" outlineLevel="1"/>
    <row r="531" hidden="1" outlineLevel="1"/>
    <row r="532" hidden="1" outlineLevel="1"/>
    <row r="533" hidden="1" outlineLevel="1"/>
    <row r="534" hidden="1" outlineLevel="1"/>
    <row r="535" hidden="1" outlineLevel="1"/>
    <row r="536" hidden="1" outlineLevel="1"/>
    <row r="537" hidden="1" outlineLevel="1"/>
    <row r="538" hidden="1" outlineLevel="1"/>
    <row r="539" hidden="1" outlineLevel="1"/>
    <row r="540" hidden="1" outlineLevel="1"/>
    <row r="541" hidden="1" outlineLevel="1"/>
    <row r="542" hidden="1" outlineLevel="1"/>
    <row r="543" hidden="1" outlineLevel="1"/>
    <row r="544" hidden="1" outlineLevel="1"/>
    <row r="545" spans="2:17" hidden="1" outlineLevel="1"/>
    <row r="546" spans="2:17" hidden="1" outlineLevel="1"/>
    <row r="547" spans="2:17" hidden="1" outlineLevel="1"/>
    <row r="549" spans="2:17" ht="15.6" collapsed="1">
      <c r="B549" s="2881" t="str">
        <f>Descriptif!C40</f>
        <v>GHG Protocol</v>
      </c>
      <c r="C549" s="2882"/>
      <c r="D549" s="2882"/>
      <c r="E549" s="2882"/>
      <c r="F549" s="2882"/>
      <c r="G549" s="2882"/>
      <c r="H549" s="2882"/>
      <c r="I549" s="2882"/>
      <c r="J549" s="2882"/>
      <c r="K549" s="2882"/>
      <c r="L549" s="2882"/>
      <c r="M549" s="2882"/>
      <c r="N549" s="2882"/>
      <c r="O549" s="2882"/>
      <c r="P549" s="2882"/>
      <c r="Q549" s="2883"/>
    </row>
    <row r="550" spans="2:17" hidden="1" outlineLevel="1"/>
    <row r="551" spans="2:17" hidden="1" outlineLevel="1"/>
    <row r="552" spans="2:17" hidden="1" outlineLevel="1"/>
    <row r="553" spans="2:17" hidden="1" outlineLevel="1"/>
    <row r="554" spans="2:17" hidden="1" outlineLevel="1"/>
    <row r="555" spans="2:17" hidden="1" outlineLevel="1"/>
    <row r="556" spans="2:17" hidden="1" outlineLevel="1"/>
    <row r="557" spans="2:17" hidden="1" outlineLevel="1"/>
    <row r="558" spans="2:17" hidden="1" outlineLevel="1"/>
    <row r="559" spans="2:17" hidden="1" outlineLevel="1"/>
    <row r="560" spans="2:17" hidden="1" outlineLevel="1"/>
    <row r="561" hidden="1" outlineLevel="1"/>
    <row r="562" hidden="1" outlineLevel="1"/>
    <row r="563" hidden="1" outlineLevel="1"/>
    <row r="564" hidden="1" outlineLevel="1"/>
    <row r="565" hidden="1" outlineLevel="1"/>
    <row r="566" hidden="1" outlineLevel="1"/>
    <row r="567" hidden="1" outlineLevel="1"/>
    <row r="568" hidden="1" outlineLevel="1"/>
    <row r="569" hidden="1" outlineLevel="1"/>
    <row r="570" hidden="1" outlineLevel="1"/>
    <row r="571" hidden="1" outlineLevel="1"/>
    <row r="572" hidden="1" outlineLevel="1"/>
    <row r="573" hidden="1" outlineLevel="1"/>
    <row r="574" hidden="1" outlineLevel="1"/>
    <row r="575" hidden="1" outlineLevel="1"/>
    <row r="576" hidden="1" outlineLevel="1"/>
    <row r="577" spans="1:17" hidden="1" outlineLevel="1"/>
    <row r="578" spans="1:17" hidden="1" outlineLevel="1"/>
    <row r="579" spans="1:17" hidden="1" outlineLevel="1"/>
    <row r="580" spans="1:17" hidden="1" outlineLevel="1"/>
    <row r="581" spans="1:17" hidden="1" outlineLevel="1"/>
    <row r="582" spans="1:17" hidden="1" outlineLevel="1"/>
    <row r="583" spans="1:17" hidden="1" outlineLevel="1"/>
    <row r="584" spans="1:17" hidden="1" outlineLevel="1"/>
    <row r="585" spans="1:17" hidden="1" outlineLevel="1"/>
    <row r="586" spans="1:17" hidden="1" outlineLevel="1"/>
    <row r="587" spans="1:17" hidden="1" outlineLevel="1"/>
    <row r="588" spans="1:17" hidden="1" outlineLevel="1"/>
    <row r="589" spans="1:17" hidden="1" outlineLevel="1"/>
    <row r="590" spans="1:17" hidden="1" outlineLevel="1"/>
    <row r="592" spans="1:17" ht="15.6" collapsed="1">
      <c r="A592" s="113"/>
      <c r="B592" s="2881" t="str">
        <f>Descriptif!C41</f>
        <v>ISO</v>
      </c>
      <c r="C592" s="2882"/>
      <c r="D592" s="2882"/>
      <c r="E592" s="2882"/>
      <c r="F592" s="2882"/>
      <c r="G592" s="2882"/>
      <c r="H592" s="2882"/>
      <c r="I592" s="2882"/>
      <c r="J592" s="2882"/>
      <c r="K592" s="2882"/>
      <c r="L592" s="2882"/>
      <c r="M592" s="2882"/>
      <c r="N592" s="2882"/>
      <c r="O592" s="2882"/>
      <c r="P592" s="2882"/>
      <c r="Q592" s="2883"/>
    </row>
    <row r="593" spans="1:17" hidden="1" outlineLevel="1">
      <c r="A593" s="113"/>
      <c r="B593" s="113"/>
      <c r="C593" s="113"/>
      <c r="D593" s="113"/>
      <c r="E593" s="113"/>
      <c r="F593" s="113"/>
      <c r="G593" s="113"/>
      <c r="H593" s="113"/>
      <c r="I593" s="113"/>
      <c r="J593" s="113"/>
      <c r="K593" s="113"/>
      <c r="L593" s="113"/>
      <c r="M593" s="113"/>
      <c r="N593" s="113"/>
      <c r="O593" s="113"/>
      <c r="P593" s="113"/>
      <c r="Q593" s="113"/>
    </row>
    <row r="594" spans="1:17" hidden="1" outlineLevel="1">
      <c r="A594" s="113"/>
      <c r="B594" s="113"/>
      <c r="C594" s="113"/>
      <c r="D594" s="113"/>
      <c r="E594" s="113"/>
      <c r="F594" s="113"/>
      <c r="G594" s="113"/>
      <c r="H594" s="113"/>
      <c r="I594" s="113"/>
      <c r="J594" s="113"/>
      <c r="K594" s="113"/>
      <c r="L594" s="113"/>
      <c r="M594" s="113"/>
      <c r="N594" s="113"/>
      <c r="O594" s="113"/>
      <c r="P594" s="113"/>
      <c r="Q594" s="113"/>
    </row>
    <row r="595" spans="1:17" hidden="1" outlineLevel="1">
      <c r="A595" s="113"/>
      <c r="B595" s="113"/>
      <c r="C595" s="113"/>
      <c r="D595" s="113"/>
      <c r="E595" s="113"/>
      <c r="F595" s="113"/>
      <c r="G595" s="113"/>
      <c r="H595" s="113"/>
      <c r="I595" s="113"/>
      <c r="J595" s="113"/>
      <c r="K595" s="113"/>
      <c r="L595" s="113"/>
      <c r="M595" s="113"/>
      <c r="N595" s="113"/>
      <c r="O595" s="113"/>
      <c r="P595" s="113"/>
      <c r="Q595" s="113"/>
    </row>
    <row r="596" spans="1:17" hidden="1" outlineLevel="1">
      <c r="A596" s="113"/>
      <c r="B596" s="113"/>
      <c r="C596" s="113"/>
      <c r="D596" s="113"/>
      <c r="E596" s="113"/>
      <c r="F596" s="113"/>
      <c r="G596" s="113"/>
      <c r="H596" s="113"/>
      <c r="I596" s="113"/>
      <c r="J596" s="113"/>
      <c r="K596" s="113"/>
      <c r="L596" s="113"/>
      <c r="M596" s="113"/>
      <c r="N596" s="113"/>
      <c r="O596" s="113"/>
      <c r="P596" s="113"/>
      <c r="Q596" s="113"/>
    </row>
    <row r="597" spans="1:17" hidden="1" outlineLevel="1">
      <c r="A597" s="113"/>
      <c r="B597" s="113"/>
      <c r="C597" s="113"/>
      <c r="D597" s="113"/>
      <c r="E597" s="113"/>
      <c r="F597" s="113"/>
      <c r="G597" s="113"/>
      <c r="H597" s="113"/>
      <c r="I597" s="113"/>
      <c r="J597" s="113"/>
      <c r="K597" s="113"/>
      <c r="L597" s="113"/>
      <c r="M597" s="113"/>
      <c r="N597" s="113"/>
      <c r="O597" s="113"/>
      <c r="P597" s="113"/>
      <c r="Q597" s="113"/>
    </row>
    <row r="598" spans="1:17" hidden="1" outlineLevel="1">
      <c r="A598" s="113"/>
      <c r="B598" s="113"/>
      <c r="C598" s="113"/>
      <c r="D598" s="113"/>
      <c r="E598" s="113"/>
      <c r="F598" s="113"/>
      <c r="G598" s="113"/>
      <c r="H598" s="113"/>
      <c r="I598" s="113"/>
      <c r="J598" s="113"/>
      <c r="K598" s="113"/>
      <c r="L598" s="113"/>
      <c r="M598" s="113"/>
      <c r="N598" s="113"/>
      <c r="O598" s="113"/>
      <c r="P598" s="113"/>
      <c r="Q598" s="113"/>
    </row>
    <row r="599" spans="1:17" hidden="1" outlineLevel="1">
      <c r="A599" s="113"/>
      <c r="B599" s="113"/>
      <c r="C599" s="113"/>
      <c r="D599" s="113"/>
      <c r="E599" s="113"/>
      <c r="F599" s="113"/>
      <c r="G599" s="113"/>
      <c r="H599" s="113"/>
      <c r="I599" s="113"/>
      <c r="J599" s="113"/>
      <c r="K599" s="113"/>
      <c r="L599" s="113"/>
      <c r="M599" s="113"/>
      <c r="N599" s="113"/>
      <c r="O599" s="113"/>
      <c r="P599" s="113"/>
      <c r="Q599" s="113"/>
    </row>
    <row r="600" spans="1:17" hidden="1" outlineLevel="1">
      <c r="A600" s="113"/>
      <c r="B600" s="113"/>
      <c r="C600" s="113"/>
      <c r="D600" s="113"/>
      <c r="E600" s="113"/>
      <c r="F600" s="113"/>
      <c r="G600" s="113"/>
      <c r="H600" s="113"/>
      <c r="I600" s="113"/>
      <c r="J600" s="113"/>
      <c r="K600" s="113"/>
      <c r="L600" s="113"/>
      <c r="M600" s="113"/>
      <c r="N600" s="113"/>
      <c r="O600" s="113"/>
      <c r="P600" s="113"/>
      <c r="Q600" s="113"/>
    </row>
    <row r="601" spans="1:17" hidden="1" outlineLevel="1">
      <c r="A601" s="113"/>
      <c r="B601" s="113"/>
      <c r="C601" s="113"/>
      <c r="D601" s="113"/>
      <c r="E601" s="113"/>
      <c r="F601" s="113"/>
      <c r="G601" s="113"/>
      <c r="H601" s="113"/>
      <c r="I601" s="113"/>
      <c r="J601" s="113"/>
      <c r="K601" s="113"/>
      <c r="L601" s="113"/>
      <c r="M601" s="113"/>
      <c r="N601" s="113"/>
      <c r="O601" s="113"/>
      <c r="P601" s="113"/>
      <c r="Q601" s="113"/>
    </row>
    <row r="602" spans="1:17" hidden="1" outlineLevel="1">
      <c r="A602" s="113"/>
      <c r="B602" s="113"/>
      <c r="C602" s="113"/>
      <c r="D602" s="113"/>
      <c r="E602" s="113"/>
      <c r="F602" s="113"/>
      <c r="G602" s="113"/>
      <c r="H602" s="113"/>
      <c r="I602" s="113"/>
      <c r="J602" s="113"/>
      <c r="K602" s="113"/>
      <c r="L602" s="113"/>
      <c r="M602" s="113"/>
      <c r="N602" s="113"/>
      <c r="O602" s="113"/>
      <c r="P602" s="113"/>
      <c r="Q602" s="113"/>
    </row>
    <row r="603" spans="1:17" hidden="1" outlineLevel="1">
      <c r="A603" s="113"/>
      <c r="B603" s="113"/>
      <c r="C603" s="113"/>
      <c r="D603" s="113"/>
      <c r="E603" s="113"/>
      <c r="F603" s="113"/>
      <c r="G603" s="113"/>
      <c r="H603" s="113"/>
      <c r="I603" s="113"/>
      <c r="J603" s="113"/>
      <c r="K603" s="113"/>
      <c r="L603" s="113"/>
      <c r="M603" s="113"/>
      <c r="N603" s="113"/>
      <c r="O603" s="113"/>
      <c r="P603" s="113"/>
      <c r="Q603" s="113"/>
    </row>
    <row r="604" spans="1:17" hidden="1" outlineLevel="1">
      <c r="A604" s="113"/>
      <c r="B604" s="113"/>
      <c r="C604" s="113"/>
      <c r="D604" s="113"/>
      <c r="E604" s="113"/>
      <c r="F604" s="113"/>
      <c r="G604" s="113"/>
      <c r="H604" s="113"/>
      <c r="I604" s="113"/>
      <c r="J604" s="113"/>
      <c r="K604" s="113"/>
      <c r="L604" s="113"/>
      <c r="M604" s="113"/>
      <c r="N604" s="113"/>
      <c r="O604" s="113"/>
      <c r="P604" s="113"/>
      <c r="Q604" s="113"/>
    </row>
    <row r="605" spans="1:17" hidden="1" outlineLevel="1">
      <c r="A605" s="113"/>
      <c r="B605" s="113"/>
      <c r="C605" s="113"/>
      <c r="D605" s="113"/>
      <c r="E605" s="113"/>
      <c r="F605" s="113"/>
      <c r="G605" s="113"/>
      <c r="H605" s="113"/>
      <c r="I605" s="113"/>
      <c r="J605" s="113"/>
      <c r="K605" s="113"/>
      <c r="L605" s="113"/>
      <c r="M605" s="113"/>
      <c r="N605" s="113"/>
      <c r="O605" s="113"/>
      <c r="P605" s="113"/>
      <c r="Q605" s="113"/>
    </row>
    <row r="606" spans="1:17" hidden="1" outlineLevel="1">
      <c r="A606" s="113"/>
      <c r="B606" s="113"/>
      <c r="C606" s="113"/>
      <c r="D606" s="113"/>
      <c r="E606" s="113"/>
      <c r="F606" s="113"/>
      <c r="G606" s="113"/>
      <c r="H606" s="113"/>
      <c r="I606" s="113"/>
      <c r="J606" s="113"/>
      <c r="K606" s="113"/>
      <c r="L606" s="113"/>
      <c r="M606" s="113"/>
      <c r="N606" s="113"/>
      <c r="O606" s="113"/>
      <c r="P606" s="113"/>
      <c r="Q606" s="113"/>
    </row>
    <row r="607" spans="1:17" hidden="1" outlineLevel="1">
      <c r="A607" s="113"/>
      <c r="B607" s="113"/>
      <c r="C607" s="113"/>
      <c r="D607" s="113"/>
      <c r="E607" s="113"/>
      <c r="F607" s="113"/>
      <c r="G607" s="113"/>
      <c r="H607" s="113"/>
      <c r="I607" s="113"/>
      <c r="J607" s="113"/>
      <c r="K607" s="113"/>
      <c r="L607" s="113"/>
      <c r="M607" s="113"/>
      <c r="N607" s="113"/>
      <c r="O607" s="113"/>
      <c r="P607" s="113"/>
      <c r="Q607" s="113"/>
    </row>
    <row r="608" spans="1:17" hidden="1" outlineLevel="1">
      <c r="A608" s="113"/>
      <c r="B608" s="113"/>
      <c r="C608" s="113"/>
      <c r="D608" s="113"/>
      <c r="E608" s="113"/>
      <c r="F608" s="113"/>
      <c r="G608" s="113"/>
      <c r="H608" s="113"/>
      <c r="I608" s="113"/>
      <c r="J608" s="113"/>
      <c r="K608" s="113"/>
      <c r="L608" s="113"/>
      <c r="M608" s="113"/>
      <c r="N608" s="113"/>
      <c r="O608" s="113"/>
      <c r="P608" s="113"/>
      <c r="Q608" s="113"/>
    </row>
    <row r="609" spans="1:17" hidden="1" outlineLevel="1">
      <c r="A609" s="113"/>
      <c r="B609" s="113"/>
      <c r="C609" s="113"/>
      <c r="D609" s="113"/>
      <c r="E609" s="113"/>
      <c r="F609" s="113"/>
      <c r="G609" s="113"/>
      <c r="H609" s="113"/>
      <c r="I609" s="113"/>
      <c r="J609" s="113"/>
      <c r="K609" s="113"/>
      <c r="L609" s="113"/>
      <c r="M609" s="113"/>
      <c r="N609" s="113"/>
      <c r="O609" s="113"/>
      <c r="P609" s="113"/>
      <c r="Q609" s="113"/>
    </row>
    <row r="610" spans="1:17" hidden="1" outlineLevel="1">
      <c r="A610" s="113"/>
      <c r="B610" s="113"/>
      <c r="C610" s="113"/>
      <c r="D610" s="113"/>
      <c r="E610" s="113"/>
      <c r="F610" s="113"/>
      <c r="G610" s="113"/>
      <c r="H610" s="113"/>
      <c r="I610" s="113"/>
      <c r="J610" s="113"/>
      <c r="K610" s="113"/>
      <c r="L610" s="113"/>
      <c r="M610" s="113"/>
      <c r="N610" s="113"/>
      <c r="O610" s="113"/>
      <c r="P610" s="113"/>
      <c r="Q610" s="113"/>
    </row>
    <row r="611" spans="1:17" hidden="1" outlineLevel="1">
      <c r="A611" s="113"/>
      <c r="B611" s="113"/>
      <c r="C611" s="113"/>
      <c r="D611" s="113"/>
      <c r="E611" s="113"/>
      <c r="F611" s="113"/>
      <c r="G611" s="113"/>
      <c r="H611" s="113"/>
      <c r="I611" s="113"/>
      <c r="J611" s="113"/>
      <c r="K611" s="113"/>
      <c r="L611" s="113"/>
      <c r="M611" s="113"/>
      <c r="N611" s="113"/>
      <c r="O611" s="113"/>
      <c r="P611" s="113"/>
      <c r="Q611" s="113"/>
    </row>
    <row r="612" spans="1:17" hidden="1" outlineLevel="1">
      <c r="A612" s="113"/>
      <c r="B612" s="113"/>
      <c r="C612" s="113"/>
      <c r="D612" s="113"/>
      <c r="E612" s="113"/>
      <c r="F612" s="113"/>
      <c r="G612" s="113"/>
      <c r="H612" s="113"/>
      <c r="I612" s="113"/>
      <c r="J612" s="113"/>
      <c r="K612" s="113"/>
      <c r="L612" s="113"/>
      <c r="M612" s="113"/>
      <c r="N612" s="113"/>
      <c r="O612" s="113"/>
      <c r="P612" s="113"/>
      <c r="Q612" s="113"/>
    </row>
    <row r="613" spans="1:17" hidden="1" outlineLevel="1">
      <c r="A613" s="113"/>
      <c r="B613" s="113"/>
      <c r="C613" s="113"/>
      <c r="D613" s="113"/>
      <c r="E613" s="113"/>
      <c r="F613" s="113"/>
      <c r="G613" s="113"/>
      <c r="H613" s="113"/>
      <c r="I613" s="113"/>
      <c r="J613" s="113"/>
      <c r="K613" s="113"/>
      <c r="L613" s="113"/>
      <c r="M613" s="113"/>
      <c r="N613" s="113"/>
      <c r="O613" s="113"/>
      <c r="P613" s="113"/>
      <c r="Q613" s="113"/>
    </row>
    <row r="614" spans="1:17" hidden="1" outlineLevel="1">
      <c r="A614" s="113"/>
      <c r="B614" s="113"/>
      <c r="C614" s="113"/>
      <c r="D614" s="113"/>
      <c r="E614" s="113"/>
      <c r="F614" s="113"/>
      <c r="G614" s="113"/>
      <c r="H614" s="113"/>
      <c r="I614" s="113"/>
      <c r="J614" s="113"/>
      <c r="K614" s="113"/>
      <c r="L614" s="113"/>
      <c r="M614" s="113"/>
      <c r="N614" s="113"/>
      <c r="O614" s="113"/>
      <c r="P614" s="113"/>
      <c r="Q614" s="113"/>
    </row>
    <row r="615" spans="1:17" hidden="1" outlineLevel="1">
      <c r="A615" s="113"/>
      <c r="B615" s="113"/>
      <c r="C615" s="113"/>
      <c r="D615" s="113"/>
      <c r="E615" s="113"/>
      <c r="F615" s="113"/>
      <c r="G615" s="113"/>
      <c r="H615" s="113"/>
      <c r="I615" s="113"/>
      <c r="J615" s="113"/>
      <c r="K615" s="113"/>
      <c r="L615" s="113"/>
      <c r="M615" s="113"/>
      <c r="N615" s="113"/>
      <c r="O615" s="113"/>
      <c r="P615" s="113"/>
      <c r="Q615" s="113"/>
    </row>
    <row r="616" spans="1:17" hidden="1" outlineLevel="1">
      <c r="A616" s="113"/>
      <c r="B616" s="113"/>
      <c r="C616" s="113"/>
      <c r="D616" s="113"/>
      <c r="E616" s="113"/>
      <c r="F616" s="113"/>
      <c r="G616" s="113"/>
      <c r="H616" s="113"/>
      <c r="I616" s="113"/>
      <c r="J616" s="113"/>
      <c r="K616" s="113"/>
      <c r="L616" s="113"/>
      <c r="M616" s="113"/>
      <c r="N616" s="113"/>
      <c r="O616" s="113"/>
      <c r="P616" s="113"/>
      <c r="Q616" s="113"/>
    </row>
    <row r="617" spans="1:17" hidden="1" outlineLevel="1">
      <c r="A617" s="113"/>
      <c r="B617" s="113"/>
      <c r="C617" s="113"/>
      <c r="D617" s="113"/>
      <c r="E617" s="113"/>
      <c r="F617" s="113"/>
      <c r="G617" s="113"/>
      <c r="H617" s="113"/>
      <c r="I617" s="113"/>
      <c r="J617" s="113"/>
      <c r="K617" s="113"/>
      <c r="L617" s="113"/>
      <c r="M617" s="113"/>
      <c r="N617" s="113"/>
      <c r="O617" s="113"/>
      <c r="P617" s="113"/>
      <c r="Q617" s="113"/>
    </row>
    <row r="618" spans="1:17" hidden="1" outlineLevel="1">
      <c r="A618" s="113"/>
      <c r="B618" s="113"/>
      <c r="C618" s="113"/>
      <c r="D618" s="113"/>
      <c r="E618" s="113"/>
      <c r="F618" s="113"/>
      <c r="G618" s="113"/>
      <c r="H618" s="113"/>
      <c r="I618" s="113"/>
      <c r="J618" s="113"/>
      <c r="K618" s="113"/>
      <c r="L618" s="113"/>
      <c r="M618" s="113"/>
      <c r="N618" s="113"/>
      <c r="O618" s="113"/>
      <c r="P618" s="113"/>
      <c r="Q618" s="113"/>
    </row>
    <row r="619" spans="1:17" hidden="1" outlineLevel="1">
      <c r="A619" s="113"/>
      <c r="B619" s="113"/>
      <c r="C619" s="113"/>
      <c r="D619" s="113"/>
      <c r="E619" s="113"/>
      <c r="F619" s="113"/>
      <c r="G619" s="113"/>
      <c r="H619" s="113"/>
      <c r="I619" s="113"/>
      <c r="J619" s="113"/>
      <c r="K619" s="113"/>
      <c r="L619" s="113"/>
      <c r="M619" s="113"/>
      <c r="N619" s="113"/>
      <c r="O619" s="113"/>
      <c r="P619" s="113"/>
      <c r="Q619" s="113"/>
    </row>
    <row r="620" spans="1:17" hidden="1" outlineLevel="1">
      <c r="A620" s="113"/>
      <c r="B620" s="113"/>
      <c r="C620" s="113"/>
      <c r="D620" s="113"/>
      <c r="E620" s="113"/>
      <c r="F620" s="113"/>
      <c r="G620" s="113"/>
      <c r="H620" s="113"/>
      <c r="I620" s="113"/>
      <c r="J620" s="113"/>
      <c r="K620" s="113"/>
      <c r="L620" s="113"/>
      <c r="M620" s="113"/>
      <c r="N620" s="113"/>
      <c r="O620" s="113"/>
      <c r="P620" s="113"/>
      <c r="Q620" s="113"/>
    </row>
    <row r="621" spans="1:17" hidden="1" outlineLevel="1">
      <c r="A621" s="113"/>
      <c r="B621" s="113"/>
      <c r="C621" s="113"/>
      <c r="D621" s="113"/>
      <c r="E621" s="113"/>
      <c r="F621" s="113"/>
      <c r="G621" s="113"/>
      <c r="H621" s="113"/>
      <c r="I621" s="113"/>
      <c r="J621" s="113"/>
      <c r="K621" s="113"/>
      <c r="L621" s="113"/>
      <c r="M621" s="113"/>
      <c r="N621" s="113"/>
      <c r="O621" s="113"/>
      <c r="P621" s="113"/>
      <c r="Q621" s="113"/>
    </row>
    <row r="622" spans="1:17" hidden="1" outlineLevel="1">
      <c r="A622" s="113"/>
      <c r="B622" s="113"/>
      <c r="C622" s="113"/>
      <c r="D622" s="113"/>
      <c r="E622" s="113"/>
      <c r="F622" s="113"/>
      <c r="G622" s="113"/>
      <c r="H622" s="113"/>
      <c r="I622" s="113"/>
      <c r="J622" s="113"/>
      <c r="K622" s="113"/>
      <c r="L622" s="113"/>
      <c r="M622" s="113"/>
      <c r="N622" s="113"/>
      <c r="O622" s="113"/>
      <c r="P622" s="113"/>
      <c r="Q622" s="113"/>
    </row>
    <row r="623" spans="1:17" hidden="1" outlineLevel="1">
      <c r="A623" s="113"/>
      <c r="B623" s="113"/>
      <c r="C623" s="113"/>
      <c r="D623" s="113"/>
      <c r="E623" s="113"/>
      <c r="F623" s="113"/>
      <c r="G623" s="113"/>
      <c r="H623" s="113"/>
      <c r="I623" s="113"/>
      <c r="J623" s="113"/>
      <c r="K623" s="113"/>
      <c r="L623" s="113"/>
      <c r="M623" s="113"/>
      <c r="N623" s="113"/>
      <c r="O623" s="113"/>
      <c r="P623" s="113"/>
      <c r="Q623" s="113"/>
    </row>
    <row r="624" spans="1:17" hidden="1" outlineLevel="1">
      <c r="A624" s="113"/>
      <c r="B624" s="113"/>
      <c r="C624" s="113"/>
      <c r="D624" s="113"/>
      <c r="E624" s="113"/>
      <c r="F624" s="113"/>
      <c r="G624" s="113"/>
      <c r="H624" s="113"/>
      <c r="I624" s="113"/>
      <c r="J624" s="113"/>
      <c r="K624" s="113"/>
      <c r="L624" s="113"/>
      <c r="M624" s="113"/>
      <c r="N624" s="113"/>
      <c r="O624" s="113"/>
      <c r="P624" s="113"/>
      <c r="Q624" s="113"/>
    </row>
    <row r="625" spans="1:17" hidden="1" outlineLevel="1">
      <c r="A625" s="113"/>
      <c r="B625" s="113"/>
      <c r="C625" s="113"/>
      <c r="D625" s="113"/>
      <c r="E625" s="113"/>
      <c r="F625" s="113"/>
      <c r="G625" s="113"/>
      <c r="H625" s="113"/>
      <c r="I625" s="113"/>
      <c r="J625" s="113"/>
      <c r="K625" s="113"/>
      <c r="L625" s="113"/>
      <c r="M625" s="113"/>
      <c r="N625" s="113"/>
      <c r="O625" s="113"/>
      <c r="P625" s="113"/>
      <c r="Q625" s="113"/>
    </row>
    <row r="626" spans="1:17" hidden="1" outlineLevel="1">
      <c r="A626" s="113"/>
      <c r="B626" s="113"/>
      <c r="C626" s="113"/>
      <c r="D626" s="113"/>
      <c r="E626" s="113"/>
      <c r="F626" s="113"/>
      <c r="G626" s="113"/>
      <c r="H626" s="113"/>
      <c r="I626" s="113"/>
      <c r="J626" s="113"/>
      <c r="K626" s="113"/>
      <c r="L626" s="113"/>
      <c r="M626" s="113"/>
      <c r="N626" s="113"/>
      <c r="O626" s="113"/>
      <c r="P626" s="113"/>
      <c r="Q626" s="113"/>
    </row>
    <row r="627" spans="1:17" hidden="1" outlineLevel="1">
      <c r="A627" s="113"/>
      <c r="B627" s="113"/>
      <c r="C627" s="113"/>
      <c r="D627" s="113"/>
      <c r="E627" s="113"/>
      <c r="F627" s="113"/>
      <c r="G627" s="113"/>
      <c r="H627" s="113"/>
      <c r="I627" s="113"/>
      <c r="J627" s="113"/>
      <c r="K627" s="113"/>
      <c r="L627" s="113"/>
      <c r="M627" s="113"/>
      <c r="N627" s="113"/>
      <c r="O627" s="113"/>
      <c r="P627" s="113"/>
      <c r="Q627" s="113"/>
    </row>
    <row r="628" spans="1:17" hidden="1" outlineLevel="1">
      <c r="A628" s="113"/>
      <c r="B628" s="113"/>
      <c r="C628" s="113"/>
      <c r="D628" s="113"/>
      <c r="E628" s="113"/>
      <c r="F628" s="113"/>
      <c r="G628" s="113"/>
      <c r="H628" s="113"/>
      <c r="I628" s="113"/>
      <c r="J628" s="113"/>
      <c r="K628" s="113"/>
      <c r="L628" s="113"/>
      <c r="M628" s="113"/>
      <c r="N628" s="113"/>
      <c r="O628" s="113"/>
      <c r="P628" s="113"/>
      <c r="Q628" s="113"/>
    </row>
    <row r="629" spans="1:17" hidden="1" outlineLevel="1">
      <c r="A629" s="113"/>
      <c r="B629" s="113"/>
      <c r="C629" s="113"/>
      <c r="D629" s="113"/>
      <c r="E629" s="113"/>
      <c r="F629" s="113"/>
      <c r="G629" s="113"/>
      <c r="H629" s="113"/>
      <c r="I629" s="113"/>
      <c r="J629" s="113"/>
      <c r="K629" s="113"/>
      <c r="L629" s="113"/>
      <c r="M629" s="113"/>
      <c r="N629" s="113"/>
      <c r="O629" s="113"/>
      <c r="P629" s="113"/>
      <c r="Q629" s="113"/>
    </row>
    <row r="630" spans="1:17" hidden="1" outlineLevel="1">
      <c r="A630" s="113"/>
      <c r="B630" s="113"/>
      <c r="C630" s="113"/>
      <c r="D630" s="113"/>
      <c r="E630" s="113"/>
      <c r="F630" s="113"/>
      <c r="G630" s="113"/>
      <c r="H630" s="113"/>
      <c r="I630" s="113"/>
      <c r="J630" s="113"/>
      <c r="K630" s="113"/>
      <c r="L630" s="113"/>
      <c r="M630" s="113"/>
      <c r="N630" s="113"/>
      <c r="O630" s="113"/>
      <c r="P630" s="113"/>
      <c r="Q630" s="113"/>
    </row>
    <row r="631" spans="1:17" hidden="1" outlineLevel="1">
      <c r="A631" s="113"/>
      <c r="B631" s="113"/>
      <c r="C631" s="113"/>
      <c r="D631" s="113"/>
      <c r="E631" s="113"/>
      <c r="F631" s="113"/>
      <c r="G631" s="113"/>
      <c r="H631" s="113"/>
      <c r="I631" s="113"/>
      <c r="J631" s="113"/>
      <c r="K631" s="113"/>
      <c r="L631" s="113"/>
      <c r="M631" s="113"/>
      <c r="N631" s="113"/>
      <c r="O631" s="113"/>
      <c r="P631" s="113"/>
      <c r="Q631" s="113"/>
    </row>
    <row r="632" spans="1:17" hidden="1" outlineLevel="1">
      <c r="A632" s="113"/>
      <c r="B632" s="113"/>
      <c r="C632" s="113"/>
      <c r="D632" s="113"/>
      <c r="E632" s="113"/>
      <c r="F632" s="113"/>
      <c r="G632" s="113"/>
      <c r="H632" s="113"/>
      <c r="I632" s="113"/>
      <c r="J632" s="113"/>
      <c r="K632" s="113"/>
      <c r="L632" s="113"/>
      <c r="M632" s="113"/>
      <c r="N632" s="113"/>
      <c r="O632" s="113"/>
      <c r="P632" s="113"/>
      <c r="Q632" s="113"/>
    </row>
    <row r="633" spans="1:17" hidden="1" outlineLevel="1">
      <c r="A633" s="113"/>
      <c r="B633" s="113"/>
      <c r="C633" s="113"/>
      <c r="D633" s="113"/>
      <c r="E633" s="113"/>
      <c r="F633" s="113"/>
      <c r="G633" s="113"/>
      <c r="H633" s="113"/>
      <c r="I633" s="113"/>
      <c r="J633" s="113"/>
      <c r="K633" s="113"/>
      <c r="L633" s="113"/>
      <c r="M633" s="113"/>
      <c r="N633" s="113"/>
      <c r="O633" s="113"/>
      <c r="P633" s="113"/>
      <c r="Q633" s="113"/>
    </row>
  </sheetData>
  <mergeCells count="37">
    <mergeCell ref="B2:Q2"/>
    <mergeCell ref="B41:Q41"/>
    <mergeCell ref="F4:G4"/>
    <mergeCell ref="H4:I4"/>
    <mergeCell ref="J4:K4"/>
    <mergeCell ref="L4:M4"/>
    <mergeCell ref="P4:Q4"/>
    <mergeCell ref="P5:Q5"/>
    <mergeCell ref="N5:O5"/>
    <mergeCell ref="L5:M5"/>
    <mergeCell ref="L6:M6"/>
    <mergeCell ref="J6:K6"/>
    <mergeCell ref="F6:G6"/>
    <mergeCell ref="F5:G5"/>
    <mergeCell ref="B8:Q8"/>
    <mergeCell ref="B506:Q506"/>
    <mergeCell ref="B549:Q549"/>
    <mergeCell ref="N6:O6"/>
    <mergeCell ref="P6:Q6"/>
    <mergeCell ref="B173:Q173"/>
    <mergeCell ref="B441:Q441"/>
    <mergeCell ref="B592:Q592"/>
    <mergeCell ref="S5:T5"/>
    <mergeCell ref="B473:Q473"/>
    <mergeCell ref="B407:Q407"/>
    <mergeCell ref="B239:Q239"/>
    <mergeCell ref="B275:Q275"/>
    <mergeCell ref="B308:Q308"/>
    <mergeCell ref="B341:Q341"/>
    <mergeCell ref="B374:Q374"/>
    <mergeCell ref="B74:Q74"/>
    <mergeCell ref="B107:Q107"/>
    <mergeCell ref="B140:Q140"/>
    <mergeCell ref="J5:K5"/>
    <mergeCell ref="H5:I5"/>
    <mergeCell ref="H6:I6"/>
    <mergeCell ref="B206:Q206"/>
  </mergeCells>
  <hyperlinks>
    <hyperlink ref="N4:O4" location="graphiques_Intrants" display="graphiques_Intrants" xr:uid="{00000000-0004-0000-1500-000000000000}"/>
    <hyperlink ref="O4" location="graphiques_intrants2" display="graphiques_intrants2" xr:uid="{00000000-0004-0000-1500-000001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14999847407452621"/>
    <outlinePr summaryBelow="0" summaryRight="0"/>
  </sheetPr>
  <dimension ref="A1:V2939"/>
  <sheetViews>
    <sheetView showGridLines="0" zoomScale="90" zoomScaleNormal="90" workbookViewId="0"/>
  </sheetViews>
  <sheetFormatPr baseColWidth="10" defaultColWidth="0" defaultRowHeight="11.4" zeroHeight="1" outlineLevelRow="3" outlineLevelCol="1"/>
  <cols>
    <col min="1" max="1" width="2.75" customWidth="1"/>
    <col min="2" max="2" width="4" customWidth="1"/>
    <col min="3" max="3" width="28" customWidth="1" collapsed="1"/>
    <col min="4" max="4" width="4" hidden="1" customWidth="1" outlineLevel="1"/>
    <col min="5" max="5" width="14.875" hidden="1" customWidth="1" outlineLevel="1"/>
    <col min="6" max="6" width="49.875" hidden="1" customWidth="1" outlineLevel="1"/>
    <col min="7" max="7" width="11.375" hidden="1" customWidth="1" outlineLevel="1"/>
    <col min="8" max="8" width="2.75" hidden="1" customWidth="1" outlineLevel="1"/>
    <col min="9" max="9" width="40.125" customWidth="1" collapsed="1"/>
    <col min="10" max="10" width="15.25" bestFit="1" customWidth="1"/>
    <col min="11" max="11" width="12.375" bestFit="1" customWidth="1"/>
    <col min="12" max="12" width="16.375" bestFit="1" customWidth="1"/>
    <col min="13" max="13" width="10.75" bestFit="1" customWidth="1"/>
    <col min="14" max="14" width="20.125" customWidth="1"/>
    <col min="15" max="15" width="20.75" bestFit="1" customWidth="1"/>
    <col min="16" max="17" width="11.375" customWidth="1"/>
    <col min="18" max="18" width="11.375" style="1083" customWidth="1"/>
    <col min="19" max="21" width="11.375" customWidth="1"/>
    <col min="22" max="22" width="2.375" customWidth="1"/>
    <col min="23" max="16384" width="11.375" hidden="1"/>
  </cols>
  <sheetData>
    <row r="1" spans="2:21"/>
    <row r="2" spans="2:21" ht="14.25" customHeight="1">
      <c r="B2" s="2761" t="s">
        <v>893</v>
      </c>
      <c r="C2" s="2762"/>
      <c r="J2" s="3158" t="s">
        <v>2474</v>
      </c>
      <c r="K2" s="3159"/>
      <c r="L2" s="3159"/>
      <c r="M2" s="3159"/>
      <c r="N2" s="3159"/>
      <c r="O2" s="3159"/>
      <c r="P2" s="3159"/>
      <c r="Q2" s="3159"/>
      <c r="R2" s="3159"/>
      <c r="S2" s="3159"/>
      <c r="T2" s="3159"/>
      <c r="U2" s="3160"/>
    </row>
    <row r="3" spans="2:21" ht="13.8">
      <c r="B3" s="2761" t="s">
        <v>412</v>
      </c>
      <c r="C3" s="2762"/>
      <c r="J3" s="3161"/>
      <c r="K3" s="3162"/>
      <c r="L3" s="3162"/>
      <c r="M3" s="3162"/>
      <c r="N3" s="3162"/>
      <c r="O3" s="3162"/>
      <c r="P3" s="3162"/>
      <c r="Q3" s="3162"/>
      <c r="R3" s="3162"/>
      <c r="S3" s="3162"/>
      <c r="T3" s="3162"/>
      <c r="U3" s="3163"/>
    </row>
    <row r="4" spans="2:21" ht="13.8">
      <c r="B4" s="2761" t="s">
        <v>338</v>
      </c>
      <c r="C4" s="2762"/>
      <c r="J4" s="3161"/>
      <c r="K4" s="3162"/>
      <c r="L4" s="3162"/>
      <c r="M4" s="3162"/>
      <c r="N4" s="3162"/>
      <c r="O4" s="3162"/>
      <c r="P4" s="3162"/>
      <c r="Q4" s="3162"/>
      <c r="R4" s="3162"/>
      <c r="S4" s="3162"/>
      <c r="T4" s="3162"/>
      <c r="U4" s="3163"/>
    </row>
    <row r="5" spans="2:21" ht="13.8">
      <c r="B5" s="2761" t="s">
        <v>37</v>
      </c>
      <c r="C5" s="2762"/>
      <c r="J5" s="3164"/>
      <c r="K5" s="3165"/>
      <c r="L5" s="3165"/>
      <c r="M5" s="3165"/>
      <c r="N5" s="3165"/>
      <c r="O5" s="3165"/>
      <c r="P5" s="3165"/>
      <c r="Q5" s="3165"/>
      <c r="R5" s="3165"/>
      <c r="S5" s="3165"/>
      <c r="T5" s="3165"/>
      <c r="U5" s="3166"/>
    </row>
    <row r="6" spans="2:21"/>
    <row r="7" spans="2:21" ht="15.6">
      <c r="I7" s="3170" t="s">
        <v>1556</v>
      </c>
      <c r="J7" s="3171"/>
      <c r="K7" s="3171"/>
      <c r="L7" s="3171"/>
      <c r="M7" s="3171"/>
      <c r="N7" s="3171"/>
      <c r="O7" s="3171"/>
      <c r="P7" s="3171"/>
      <c r="Q7" s="3171"/>
      <c r="R7" s="3171"/>
      <c r="S7" s="3171"/>
      <c r="T7" s="3171"/>
      <c r="U7" s="3172"/>
    </row>
    <row r="8" spans="2:21"/>
    <row r="9" spans="2:21" ht="15.6" collapsed="1">
      <c r="I9" s="3167" t="s">
        <v>226</v>
      </c>
      <c r="J9" s="3168"/>
      <c r="K9" s="3168"/>
      <c r="L9" s="3168"/>
      <c r="M9" s="3168"/>
      <c r="N9" s="3168"/>
      <c r="O9" s="3168"/>
      <c r="P9" s="3168"/>
      <c r="Q9" s="3168"/>
      <c r="R9" s="3168"/>
      <c r="S9" s="3168"/>
      <c r="T9" s="3168"/>
      <c r="U9" s="3169"/>
    </row>
    <row r="10" spans="2:21" hidden="1" outlineLevel="1"/>
    <row r="11" spans="2:21" ht="12.75" hidden="1" customHeight="1" outlineLevel="1">
      <c r="B11" s="3154" t="s">
        <v>1617</v>
      </c>
      <c r="C11" s="3154"/>
      <c r="D11" s="3157" t="s">
        <v>1619</v>
      </c>
      <c r="E11" s="3157"/>
      <c r="F11" s="1052" t="s">
        <v>1616</v>
      </c>
      <c r="G11" s="1053" t="s">
        <v>1618</v>
      </c>
      <c r="H11" s="1044"/>
      <c r="I11" s="1038" t="s">
        <v>1557</v>
      </c>
      <c r="J11" s="1040" t="s">
        <v>1266</v>
      </c>
      <c r="K11" s="1043" t="s">
        <v>224</v>
      </c>
      <c r="L11" s="1043" t="s">
        <v>1558</v>
      </c>
      <c r="M11" s="1039" t="s">
        <v>366</v>
      </c>
      <c r="N11" s="1040" t="s">
        <v>1559</v>
      </c>
      <c r="O11" s="1041" t="s">
        <v>1560</v>
      </c>
      <c r="P11" s="1043" t="s">
        <v>211</v>
      </c>
      <c r="Q11" s="1043" t="s">
        <v>1561</v>
      </c>
      <c r="R11" s="1041" t="s">
        <v>1562</v>
      </c>
      <c r="S11" s="1041" t="s">
        <v>267</v>
      </c>
      <c r="T11" s="1043" t="s">
        <v>1563</v>
      </c>
      <c r="U11" s="1042" t="s">
        <v>1564</v>
      </c>
    </row>
    <row r="12" spans="2:21" s="1045" customFormat="1" ht="12.75" hidden="1" customHeight="1" outlineLevel="1" collapsed="1">
      <c r="B12" s="3156" t="s">
        <v>1622</v>
      </c>
      <c r="C12" s="3156"/>
      <c r="D12" s="1051">
        <v>0</v>
      </c>
      <c r="E12" s="1051"/>
      <c r="F12" s="1051"/>
      <c r="G12" s="1054"/>
      <c r="H12" s="1046"/>
      <c r="I12" s="1688"/>
      <c r="J12" s="1689"/>
      <c r="K12" s="1690"/>
      <c r="L12" s="1690"/>
      <c r="M12" s="1691"/>
      <c r="N12" s="1689"/>
      <c r="O12" s="1692"/>
      <c r="P12" s="1690"/>
      <c r="Q12" s="1690"/>
      <c r="R12" s="1692"/>
      <c r="S12" s="1692"/>
      <c r="T12" s="1690"/>
      <c r="U12" s="1693"/>
    </row>
    <row r="13" spans="2:21" hidden="1" outlineLevel="2">
      <c r="B13" s="1050">
        <v>1</v>
      </c>
      <c r="C13" s="1050" t="str">
        <f t="shared" ref="C13:C21" si="0">IF(ISNA(VLOOKUP(B13,$D$13:$E$58,2,FALSE)),"-",VLOOKUP(B13,$D$13:$E$58,2,FALSE))</f>
        <v>Butane (inclus maritime), Europe, Base Carbone</v>
      </c>
      <c r="D13" s="1051">
        <f>D12+IF(LEN(E13)&gt;0,1,0)</f>
        <v>1</v>
      </c>
      <c r="E13" s="1051" t="str">
        <f>IF(COUNTIF(E$11:E12,F13)&gt;0,"",F13)</f>
        <v>Butane (inclus maritime), Europe, Base Carbone</v>
      </c>
      <c r="F13" s="1051" t="str">
        <f>IF(I13&lt;&gt;"",I13&amp;IF(L13&lt;&gt;"",", "&amp;L13,"")&amp;IF(K13&lt;&gt;"",", "&amp;K13,""),"")</f>
        <v>Butane (inclus maritime), Europe, Base Carbone</v>
      </c>
      <c r="G13" s="1055" t="str">
        <f>IF(F13&lt;&gt;"",F13&amp;IF(J13&lt;&gt;"","; "&amp;J13,"")&amp;IF(N13&lt;&gt;"",", "&amp;N13,""),"")</f>
        <v>Butane (inclus maritime), Europe, Base Carbone; kgCO2e/GJ PCI, Combustion</v>
      </c>
      <c r="I13" s="1031" t="s">
        <v>1565</v>
      </c>
      <c r="J13" s="1032" t="s">
        <v>1566</v>
      </c>
      <c r="K13" s="1032" t="s">
        <v>1567</v>
      </c>
      <c r="L13" s="1032" t="s">
        <v>1568</v>
      </c>
      <c r="M13" s="1033">
        <v>0.05</v>
      </c>
      <c r="N13" s="1032" t="s">
        <v>1569</v>
      </c>
      <c r="O13" s="1036">
        <v>63.8</v>
      </c>
      <c r="P13" s="1036">
        <v>63</v>
      </c>
      <c r="Q13" s="1036">
        <v>0.09</v>
      </c>
      <c r="R13" s="1036">
        <v>0</v>
      </c>
      <c r="S13" s="1036">
        <v>0.66300000000000003</v>
      </c>
      <c r="T13" s="1036">
        <v>0</v>
      </c>
      <c r="U13" s="1037">
        <v>0</v>
      </c>
    </row>
    <row r="14" spans="2:21" hidden="1" outlineLevel="2">
      <c r="B14" s="1050">
        <v>2</v>
      </c>
      <c r="C14" s="1050" t="str">
        <f t="shared" si="0"/>
        <v>Butane (inclus maritime), France continentale, Base Carbone</v>
      </c>
      <c r="D14" s="1051">
        <f t="shared" ref="D14:D59" si="1">D13+IF(LEN(E14)&gt;0,1,0)</f>
        <v>1</v>
      </c>
      <c r="E14" s="1051" t="str">
        <f>IF(COUNTIF(E$11:E13,F14)&gt;0,"",F14)</f>
        <v/>
      </c>
      <c r="F14" s="1051" t="str">
        <f t="shared" ref="F14:F59" si="2">IF(I14&lt;&gt;"",I14&amp;IF(L14&lt;&gt;"",", "&amp;L14,"")&amp;IF(K14&lt;&gt;"",", "&amp;K14,""),"")</f>
        <v>Butane (inclus maritime), Europe, Base Carbone</v>
      </c>
      <c r="G14" s="1055" t="str">
        <f t="shared" ref="G14:G59" si="3">IF(F14&lt;&gt;"",F14&amp;IF(J14&lt;&gt;"","; "&amp;J14,"")&amp;IF(N14&lt;&gt;"",", "&amp;N14,""),"")</f>
        <v>Butane (inclus maritime), Europe, Base Carbone; kgCO2e/GJ PCI, Amont</v>
      </c>
      <c r="I14" s="1031" t="s">
        <v>1565</v>
      </c>
      <c r="J14" s="1032" t="s">
        <v>1566</v>
      </c>
      <c r="K14" s="1032" t="s">
        <v>1567</v>
      </c>
      <c r="L14" s="1032" t="s">
        <v>1568</v>
      </c>
      <c r="M14" s="1033">
        <v>0.05</v>
      </c>
      <c r="N14" s="1032" t="s">
        <v>1570</v>
      </c>
      <c r="O14" s="1036">
        <v>10.7</v>
      </c>
      <c r="P14" s="1036">
        <v>7.7</v>
      </c>
      <c r="Q14" s="1036">
        <v>3</v>
      </c>
      <c r="R14" s="1036">
        <v>0</v>
      </c>
      <c r="S14" s="1036">
        <v>0</v>
      </c>
      <c r="T14" s="1036">
        <v>0</v>
      </c>
      <c r="U14" s="1037">
        <v>0</v>
      </c>
    </row>
    <row r="15" spans="2:21" hidden="1" outlineLevel="2">
      <c r="B15" s="1050">
        <v>3</v>
      </c>
      <c r="C15" s="1050" t="str">
        <f t="shared" si="0"/>
        <v>Propane (inclus maritime), Europe, Base Carbone</v>
      </c>
      <c r="D15" s="1051">
        <f t="shared" si="1"/>
        <v>2</v>
      </c>
      <c r="E15" s="1051" t="str">
        <f>IF(COUNTIF(E$11:E14,F15)&gt;0,"",F15)</f>
        <v>Butane (inclus maritime), France continentale, Base Carbone</v>
      </c>
      <c r="F15" s="1051" t="str">
        <f t="shared" si="2"/>
        <v>Butane (inclus maritime), France continentale, Base Carbone</v>
      </c>
      <c r="G15" s="1055" t="str">
        <f t="shared" si="3"/>
        <v>Butane (inclus maritime), France continentale, Base Carbone; kgCO2e/GJ PCI, Combustion</v>
      </c>
      <c r="I15" s="1031" t="s">
        <v>1565</v>
      </c>
      <c r="J15" s="1032" t="s">
        <v>1566</v>
      </c>
      <c r="K15" s="1032" t="s">
        <v>1567</v>
      </c>
      <c r="L15" s="1032" t="s">
        <v>1571</v>
      </c>
      <c r="M15" s="1033">
        <v>0.05</v>
      </c>
      <c r="N15" s="1032" t="s">
        <v>1569</v>
      </c>
      <c r="O15" s="1036">
        <v>64.8</v>
      </c>
      <c r="P15" s="1036">
        <v>64</v>
      </c>
      <c r="Q15" s="1036">
        <v>0.09</v>
      </c>
      <c r="R15" s="1036">
        <v>0</v>
      </c>
      <c r="S15" s="1036">
        <v>0.66300000000000003</v>
      </c>
      <c r="T15" s="1036">
        <v>0</v>
      </c>
      <c r="U15" s="1037">
        <v>0</v>
      </c>
    </row>
    <row r="16" spans="2:21" hidden="1" outlineLevel="2">
      <c r="B16" s="1050">
        <v>4</v>
      </c>
      <c r="C16" s="1050" t="str">
        <f t="shared" si="0"/>
        <v>Propane (inclus maritime), France continentale, Base Carbone</v>
      </c>
      <c r="D16" s="1051">
        <f t="shared" si="1"/>
        <v>2</v>
      </c>
      <c r="E16" s="1051" t="str">
        <f>IF(COUNTIF(E$11:E15,F16)&gt;0,"",F16)</f>
        <v/>
      </c>
      <c r="F16" s="1051" t="str">
        <f t="shared" si="2"/>
        <v>Butane (inclus maritime), France continentale, Base Carbone</v>
      </c>
      <c r="G16" s="1055" t="str">
        <f t="shared" si="3"/>
        <v>Butane (inclus maritime), France continentale, Base Carbone; kgCO2e/GJ PCI, Amont</v>
      </c>
      <c r="I16" s="1031" t="s">
        <v>1565</v>
      </c>
      <c r="J16" s="1032" t="s">
        <v>1566</v>
      </c>
      <c r="K16" s="1032" t="s">
        <v>1567</v>
      </c>
      <c r="L16" s="1032" t="s">
        <v>1571</v>
      </c>
      <c r="M16" s="1033">
        <v>0.05</v>
      </c>
      <c r="N16" s="1032" t="s">
        <v>1570</v>
      </c>
      <c r="O16" s="1036">
        <v>10.7</v>
      </c>
      <c r="P16" s="1036">
        <v>7.7</v>
      </c>
      <c r="Q16" s="1036">
        <v>3</v>
      </c>
      <c r="R16" s="1036">
        <v>0</v>
      </c>
      <c r="S16" s="1036">
        <v>0</v>
      </c>
      <c r="T16" s="1036">
        <v>0</v>
      </c>
      <c r="U16" s="1037">
        <v>0</v>
      </c>
    </row>
    <row r="17" spans="2:21" hidden="1" outlineLevel="2">
      <c r="B17" s="1050">
        <v>5</v>
      </c>
      <c r="C17" s="1050" t="str">
        <f t="shared" si="0"/>
        <v>-</v>
      </c>
      <c r="D17" s="1051">
        <f t="shared" si="1"/>
        <v>2</v>
      </c>
      <c r="E17" s="1051" t="str">
        <f>IF(COUNTIF(E$11:E16,F17)&gt;0,"",F17)</f>
        <v/>
      </c>
      <c r="F17" s="1051" t="str">
        <f t="shared" si="2"/>
        <v>Butane (inclus maritime), Europe, Base Carbone</v>
      </c>
      <c r="G17" s="1055" t="str">
        <f t="shared" si="3"/>
        <v>Butane (inclus maritime), Europe, Base Carbone; kgCO2e/kg, Combustion</v>
      </c>
      <c r="I17" s="1031" t="s">
        <v>1565</v>
      </c>
      <c r="J17" s="1032" t="s">
        <v>1572</v>
      </c>
      <c r="K17" s="1032" t="s">
        <v>1567</v>
      </c>
      <c r="L17" s="1032" t="s">
        <v>1568</v>
      </c>
      <c r="M17" s="1033">
        <v>0.05</v>
      </c>
      <c r="N17" s="1032" t="s">
        <v>1569</v>
      </c>
      <c r="O17" s="1036">
        <v>3.02</v>
      </c>
      <c r="P17" s="1036">
        <v>2.98</v>
      </c>
      <c r="Q17" s="1036">
        <v>4.3200000000000001E-3</v>
      </c>
      <c r="R17" s="1036">
        <v>0</v>
      </c>
      <c r="S17" s="1036">
        <v>3.1300000000000001E-2</v>
      </c>
      <c r="T17" s="1036">
        <v>0</v>
      </c>
      <c r="U17" s="1037">
        <v>0</v>
      </c>
    </row>
    <row r="18" spans="2:21" hidden="1" outlineLevel="2">
      <c r="B18" s="1050">
        <v>6</v>
      </c>
      <c r="C18" s="1050" t="str">
        <f t="shared" si="0"/>
        <v>-</v>
      </c>
      <c r="D18" s="1051">
        <f t="shared" si="1"/>
        <v>2</v>
      </c>
      <c r="E18" s="1051" t="str">
        <f>IF(COUNTIF(E$11:E17,F18)&gt;0,"",F18)</f>
        <v/>
      </c>
      <c r="F18" s="1051" t="str">
        <f t="shared" si="2"/>
        <v>Butane (inclus maritime), Europe, Base Carbone</v>
      </c>
      <c r="G18" s="1055" t="str">
        <f t="shared" si="3"/>
        <v>Butane (inclus maritime), Europe, Base Carbone; kgCO2e/kg, Amont</v>
      </c>
      <c r="I18" s="1031" t="s">
        <v>1565</v>
      </c>
      <c r="J18" s="1032" t="s">
        <v>1572</v>
      </c>
      <c r="K18" s="1032" t="s">
        <v>1567</v>
      </c>
      <c r="L18" s="1032" t="s">
        <v>1568</v>
      </c>
      <c r="M18" s="1033">
        <v>0.05</v>
      </c>
      <c r="N18" s="1032" t="s">
        <v>1570</v>
      </c>
      <c r="O18" s="1036">
        <v>0.505</v>
      </c>
      <c r="P18" s="1036">
        <v>0.36299999999999999</v>
      </c>
      <c r="Q18" s="1036">
        <v>0.14199999999999999</v>
      </c>
      <c r="R18" s="1036">
        <v>0</v>
      </c>
      <c r="S18" s="1036">
        <v>0</v>
      </c>
      <c r="T18" s="1036">
        <v>0</v>
      </c>
      <c r="U18" s="1037">
        <v>0</v>
      </c>
    </row>
    <row r="19" spans="2:21" hidden="1" outlineLevel="2">
      <c r="B19" s="1050">
        <v>7</v>
      </c>
      <c r="C19" s="1050" t="str">
        <f t="shared" si="0"/>
        <v>-</v>
      </c>
      <c r="D19" s="1051">
        <f t="shared" si="1"/>
        <v>2</v>
      </c>
      <c r="E19" s="1051" t="str">
        <f>IF(COUNTIF(E$11:E18,F19)&gt;0,"",F19)</f>
        <v/>
      </c>
      <c r="F19" s="1051" t="str">
        <f t="shared" si="2"/>
        <v>Butane (inclus maritime), France continentale, Base Carbone</v>
      </c>
      <c r="G19" s="1055" t="str">
        <f t="shared" si="3"/>
        <v>Butane (inclus maritime), France continentale, Base Carbone; kgCO2e/kg, Combustion</v>
      </c>
      <c r="I19" s="1031" t="s">
        <v>1565</v>
      </c>
      <c r="J19" s="1032" t="s">
        <v>1572</v>
      </c>
      <c r="K19" s="1032" t="s">
        <v>1567</v>
      </c>
      <c r="L19" s="1032" t="s">
        <v>1571</v>
      </c>
      <c r="M19" s="1033">
        <v>0.05</v>
      </c>
      <c r="N19" s="1032" t="s">
        <v>1569</v>
      </c>
      <c r="O19" s="1036">
        <v>2.95</v>
      </c>
      <c r="P19" s="1036">
        <v>2.92</v>
      </c>
      <c r="Q19" s="1036">
        <v>4.1700000000000001E-3</v>
      </c>
      <c r="R19" s="1036">
        <v>0</v>
      </c>
      <c r="S19" s="1036">
        <v>3.0200000000000001E-2</v>
      </c>
      <c r="T19" s="1036">
        <v>0</v>
      </c>
      <c r="U19" s="1037">
        <v>0</v>
      </c>
    </row>
    <row r="20" spans="2:21" hidden="1" outlineLevel="2">
      <c r="B20" s="1050">
        <v>8</v>
      </c>
      <c r="C20" s="1050" t="str">
        <f t="shared" si="0"/>
        <v>-</v>
      </c>
      <c r="D20" s="1051">
        <f t="shared" si="1"/>
        <v>2</v>
      </c>
      <c r="E20" s="1051" t="str">
        <f>IF(COUNTIF(E$11:E19,F20)&gt;0,"",F20)</f>
        <v/>
      </c>
      <c r="F20" s="1051" t="str">
        <f t="shared" si="2"/>
        <v>Butane (inclus maritime), France continentale, Base Carbone</v>
      </c>
      <c r="G20" s="1055" t="str">
        <f t="shared" si="3"/>
        <v>Butane (inclus maritime), France continentale, Base Carbone; kgCO2e/kg, Amont</v>
      </c>
      <c r="I20" s="1031" t="s">
        <v>1565</v>
      </c>
      <c r="J20" s="1032" t="s">
        <v>1572</v>
      </c>
      <c r="K20" s="1032" t="s">
        <v>1567</v>
      </c>
      <c r="L20" s="1032" t="s">
        <v>1571</v>
      </c>
      <c r="M20" s="1033">
        <v>0.05</v>
      </c>
      <c r="N20" s="1032" t="s">
        <v>1570</v>
      </c>
      <c r="O20" s="1036">
        <v>0.48699999999999999</v>
      </c>
      <c r="P20" s="1036">
        <v>0.35</v>
      </c>
      <c r="Q20" s="1036">
        <v>0.13700000000000001</v>
      </c>
      <c r="R20" s="1036">
        <v>0</v>
      </c>
      <c r="S20" s="1036">
        <v>0</v>
      </c>
      <c r="T20" s="1036">
        <v>0</v>
      </c>
      <c r="U20" s="1037">
        <v>0</v>
      </c>
    </row>
    <row r="21" spans="2:21" hidden="1" outlineLevel="2">
      <c r="B21" s="1050">
        <v>9</v>
      </c>
      <c r="C21" s="1050" t="str">
        <f t="shared" si="0"/>
        <v>-</v>
      </c>
      <c r="D21" s="1051">
        <f t="shared" si="1"/>
        <v>2</v>
      </c>
      <c r="E21" s="1051" t="str">
        <f>IF(COUNTIF(E$11:E20,F21)&gt;0,"",F21)</f>
        <v/>
      </c>
      <c r="F21" s="1051" t="str">
        <f t="shared" si="2"/>
        <v>Butane (inclus maritime), Europe, Base Carbone</v>
      </c>
      <c r="G21" s="1055" t="str">
        <f t="shared" si="3"/>
        <v>Butane (inclus maritime), Europe, Base Carbone; kgCO2e/kWh PCI, Amont</v>
      </c>
      <c r="I21" s="1031" t="s">
        <v>1565</v>
      </c>
      <c r="J21" s="1032" t="s">
        <v>1573</v>
      </c>
      <c r="K21" s="1032" t="s">
        <v>1567</v>
      </c>
      <c r="L21" s="1032" t="s">
        <v>1568</v>
      </c>
      <c r="M21" s="1033">
        <v>0.05</v>
      </c>
      <c r="N21" s="1032" t="s">
        <v>1570</v>
      </c>
      <c r="O21" s="1036">
        <v>0.04</v>
      </c>
      <c r="P21" s="1036">
        <v>2.2800000000000001E-2</v>
      </c>
      <c r="Q21" s="1036">
        <v>1.2E-2</v>
      </c>
      <c r="R21" s="1036">
        <v>0</v>
      </c>
      <c r="S21" s="1036">
        <v>0</v>
      </c>
      <c r="T21" s="1036">
        <v>0</v>
      </c>
      <c r="U21" s="1037">
        <v>0</v>
      </c>
    </row>
    <row r="22" spans="2:21" hidden="1" outlineLevel="2">
      <c r="B22" s="1050">
        <v>10</v>
      </c>
      <c r="C22" s="1050" t="str">
        <f>IF(ISNA(VLOOKUP(B22,$D$13:$E$58,2,FALSE)),"-",VLOOKUP(B22,$D$13:$E$58,2,FALSE))</f>
        <v>-</v>
      </c>
      <c r="D22" s="1051">
        <f t="shared" si="1"/>
        <v>2</v>
      </c>
      <c r="E22" s="1051" t="str">
        <f>IF(COUNTIF(E$11:E21,F22)&gt;0,"",F22)</f>
        <v/>
      </c>
      <c r="F22" s="1051" t="str">
        <f t="shared" si="2"/>
        <v>Butane (inclus maritime), Europe, Base Carbone</v>
      </c>
      <c r="G22" s="1055" t="str">
        <f t="shared" si="3"/>
        <v>Butane (inclus maritime), Europe, Base Carbone; kgCO2e/kWh PCI, Combustion</v>
      </c>
      <c r="I22" s="1031" t="s">
        <v>1565</v>
      </c>
      <c r="J22" s="1032" t="s">
        <v>1573</v>
      </c>
      <c r="K22" s="1032" t="s">
        <v>1567</v>
      </c>
      <c r="L22" s="1032" t="s">
        <v>1568</v>
      </c>
      <c r="M22" s="1033">
        <v>0.05</v>
      </c>
      <c r="N22" s="1032" t="s">
        <v>1569</v>
      </c>
      <c r="O22" s="1036">
        <v>0.23</v>
      </c>
      <c r="P22" s="1036">
        <v>0.22700000000000001</v>
      </c>
      <c r="Q22" s="1036">
        <v>3.3E-4</v>
      </c>
      <c r="R22" s="1036">
        <v>0</v>
      </c>
      <c r="S22" s="1036">
        <v>2.3900000000000002E-3</v>
      </c>
      <c r="T22" s="1036">
        <v>0</v>
      </c>
      <c r="U22" s="1037">
        <v>0</v>
      </c>
    </row>
    <row r="23" spans="2:21" hidden="1" outlineLevel="2">
      <c r="D23" s="1051">
        <f t="shared" si="1"/>
        <v>2</v>
      </c>
      <c r="E23" s="1051" t="str">
        <f>IF(COUNTIF(E$11:E22,F23)&gt;0,"",F23)</f>
        <v/>
      </c>
      <c r="F23" s="1051" t="str">
        <f t="shared" si="2"/>
        <v>Butane (inclus maritime), France continentale, Base Carbone</v>
      </c>
      <c r="G23" s="1055" t="str">
        <f t="shared" si="3"/>
        <v>Butane (inclus maritime), France continentale, Base Carbone; kgCO2e/kWh PCI, Amont</v>
      </c>
      <c r="I23" s="1031" t="s">
        <v>1565</v>
      </c>
      <c r="J23" s="1032" t="s">
        <v>1573</v>
      </c>
      <c r="K23" s="1032" t="s">
        <v>1567</v>
      </c>
      <c r="L23" s="1032" t="s">
        <v>1571</v>
      </c>
      <c r="M23" s="1033">
        <v>0.05</v>
      </c>
      <c r="N23" s="1032" t="s">
        <v>1570</v>
      </c>
      <c r="O23" s="1036">
        <v>0.04</v>
      </c>
      <c r="P23" s="1036">
        <v>2.8000000000000001E-2</v>
      </c>
      <c r="Q23" s="1036">
        <v>1.2E-2</v>
      </c>
      <c r="R23" s="1036">
        <v>0</v>
      </c>
      <c r="S23" s="1036">
        <v>0</v>
      </c>
      <c r="T23" s="1036">
        <v>0</v>
      </c>
      <c r="U23" s="1037">
        <v>0</v>
      </c>
    </row>
    <row r="24" spans="2:21" hidden="1" outlineLevel="2">
      <c r="D24" s="1051">
        <f t="shared" si="1"/>
        <v>2</v>
      </c>
      <c r="E24" s="1051" t="str">
        <f>IF(COUNTIF(E$11:E23,F24)&gt;0,"",F24)</f>
        <v/>
      </c>
      <c r="F24" s="1051" t="str">
        <f t="shared" si="2"/>
        <v>Butane (inclus maritime), France continentale, Base Carbone</v>
      </c>
      <c r="G24" s="1055" t="str">
        <f t="shared" si="3"/>
        <v>Butane (inclus maritime), France continentale, Base Carbone; kgCO2e/kWh PCI, Combustion</v>
      </c>
      <c r="I24" s="1031" t="s">
        <v>1565</v>
      </c>
      <c r="J24" s="1032" t="s">
        <v>1573</v>
      </c>
      <c r="K24" s="1032" t="s">
        <v>1567</v>
      </c>
      <c r="L24" s="1032" t="s">
        <v>1571</v>
      </c>
      <c r="M24" s="1033">
        <v>0.05</v>
      </c>
      <c r="N24" s="1032" t="s">
        <v>1569</v>
      </c>
      <c r="O24" s="1036">
        <v>0.23300000000000001</v>
      </c>
      <c r="P24" s="1036">
        <v>0.23</v>
      </c>
      <c r="Q24" s="1036">
        <v>3.3E-4</v>
      </c>
      <c r="R24" s="1036">
        <v>0</v>
      </c>
      <c r="S24" s="1036">
        <v>2.3900000000000002E-3</v>
      </c>
      <c r="T24" s="1036">
        <v>0</v>
      </c>
      <c r="U24" s="1037">
        <v>0</v>
      </c>
    </row>
    <row r="25" spans="2:21" hidden="1" outlineLevel="2">
      <c r="D25" s="1051">
        <f t="shared" si="1"/>
        <v>2</v>
      </c>
      <c r="E25" s="1051" t="str">
        <f>IF(COUNTIF(E$11:E24,F25)&gt;0,"",F25)</f>
        <v/>
      </c>
      <c r="F25" s="1051" t="str">
        <f t="shared" si="2"/>
        <v>Butane (inclus maritime), Europe, Base Carbone</v>
      </c>
      <c r="G25" s="1055" t="str">
        <f t="shared" si="3"/>
        <v>Butane (inclus maritime), Europe, Base Carbone; kgCO2e/litre, Combustion</v>
      </c>
      <c r="I25" s="1031" t="s">
        <v>1565</v>
      </c>
      <c r="J25" s="1032" t="s">
        <v>1574</v>
      </c>
      <c r="K25" s="1032" t="s">
        <v>1567</v>
      </c>
      <c r="L25" s="1032" t="s">
        <v>1568</v>
      </c>
      <c r="M25" s="1033">
        <v>0.05</v>
      </c>
      <c r="N25" s="1032" t="s">
        <v>1569</v>
      </c>
      <c r="O25" s="1036">
        <v>1.76</v>
      </c>
      <c r="P25" s="1036">
        <v>1.74</v>
      </c>
      <c r="Q25" s="1036">
        <v>2.5300000000000001E-3</v>
      </c>
      <c r="R25" s="1036">
        <v>0</v>
      </c>
      <c r="S25" s="1036">
        <v>1.83E-2</v>
      </c>
      <c r="T25" s="1036">
        <v>0</v>
      </c>
      <c r="U25" s="1037">
        <v>0</v>
      </c>
    </row>
    <row r="26" spans="2:21" hidden="1" outlineLevel="2">
      <c r="D26" s="1051">
        <f t="shared" si="1"/>
        <v>2</v>
      </c>
      <c r="E26" s="1051" t="str">
        <f>IF(COUNTIF(E$11:E25,F26)&gt;0,"",F26)</f>
        <v/>
      </c>
      <c r="F26" s="1051" t="str">
        <f t="shared" si="2"/>
        <v>Butane (inclus maritime), Europe, Base Carbone</v>
      </c>
      <c r="G26" s="1055" t="str">
        <f t="shared" si="3"/>
        <v>Butane (inclus maritime), Europe, Base Carbone; kgCO2e/litre, Amont</v>
      </c>
      <c r="I26" s="1031" t="s">
        <v>1565</v>
      </c>
      <c r="J26" s="1032" t="s">
        <v>1574</v>
      </c>
      <c r="K26" s="1032" t="s">
        <v>1567</v>
      </c>
      <c r="L26" s="1032" t="s">
        <v>1568</v>
      </c>
      <c r="M26" s="1033">
        <v>0.05</v>
      </c>
      <c r="N26" s="1032" t="s">
        <v>1570</v>
      </c>
      <c r="O26" s="1036">
        <v>0.28100000000000003</v>
      </c>
      <c r="P26" s="1036">
        <v>0.19900000000000001</v>
      </c>
      <c r="Q26" s="1036">
        <v>8.1799999999999998E-2</v>
      </c>
      <c r="R26" s="1036">
        <v>0</v>
      </c>
      <c r="S26" s="1036">
        <v>0</v>
      </c>
      <c r="T26" s="1036">
        <v>0</v>
      </c>
      <c r="U26" s="1037">
        <v>0</v>
      </c>
    </row>
    <row r="27" spans="2:21" hidden="1" outlineLevel="2">
      <c r="D27" s="1051">
        <f t="shared" si="1"/>
        <v>2</v>
      </c>
      <c r="E27" s="1051" t="str">
        <f>IF(COUNTIF(E$11:E26,F27)&gt;0,"",F27)</f>
        <v/>
      </c>
      <c r="F27" s="1051" t="str">
        <f t="shared" si="2"/>
        <v>Butane (inclus maritime), France continentale, Base Carbone</v>
      </c>
      <c r="G27" s="1055" t="str">
        <f t="shared" si="3"/>
        <v>Butane (inclus maritime), France continentale, Base Carbone; kgCO2e/litre, Combustion</v>
      </c>
      <c r="I27" s="1031" t="s">
        <v>1565</v>
      </c>
      <c r="J27" s="1032" t="s">
        <v>1574</v>
      </c>
      <c r="K27" s="1032" t="s">
        <v>1567</v>
      </c>
      <c r="L27" s="1032" t="s">
        <v>1571</v>
      </c>
      <c r="M27" s="1033">
        <v>0.05</v>
      </c>
      <c r="N27" s="1032" t="s">
        <v>1569</v>
      </c>
      <c r="O27" s="1036">
        <v>1.73</v>
      </c>
      <c r="P27" s="1036">
        <v>1.71</v>
      </c>
      <c r="Q27" s="1036">
        <v>2.4399999999999999E-3</v>
      </c>
      <c r="R27" s="1036">
        <v>0</v>
      </c>
      <c r="S27" s="1036">
        <v>1.77E-2</v>
      </c>
      <c r="T27" s="1036">
        <v>0</v>
      </c>
      <c r="U27" s="1037">
        <v>0</v>
      </c>
    </row>
    <row r="28" spans="2:21" hidden="1" outlineLevel="2">
      <c r="D28" s="1051">
        <f t="shared" si="1"/>
        <v>2</v>
      </c>
      <c r="E28" s="1051" t="str">
        <f>IF(COUNTIF(E$11:E27,F28)&gt;0,"",F28)</f>
        <v/>
      </c>
      <c r="F28" s="1051" t="str">
        <f t="shared" si="2"/>
        <v>Butane (inclus maritime), France continentale, Base Carbone</v>
      </c>
      <c r="G28" s="1055" t="str">
        <f t="shared" si="3"/>
        <v>Butane (inclus maritime), France continentale, Base Carbone; kgCO2e/litre, Amont</v>
      </c>
      <c r="I28" s="1031" t="s">
        <v>1565</v>
      </c>
      <c r="J28" s="1032" t="s">
        <v>1574</v>
      </c>
      <c r="K28" s="1032" t="s">
        <v>1567</v>
      </c>
      <c r="L28" s="1032" t="s">
        <v>1571</v>
      </c>
      <c r="M28" s="1033">
        <v>0.05</v>
      </c>
      <c r="N28" s="1032" t="s">
        <v>1570</v>
      </c>
      <c r="O28" s="1036">
        <v>0.27100000000000002</v>
      </c>
      <c r="P28" s="1036">
        <v>0.192</v>
      </c>
      <c r="Q28" s="1036">
        <v>7.8799999999999995E-2</v>
      </c>
      <c r="R28" s="1036">
        <v>0</v>
      </c>
      <c r="S28" s="1036">
        <v>0</v>
      </c>
      <c r="T28" s="1036">
        <v>0</v>
      </c>
      <c r="U28" s="1037">
        <v>0</v>
      </c>
    </row>
    <row r="29" spans="2:21" hidden="1" outlineLevel="2">
      <c r="D29" s="1051">
        <f t="shared" si="1"/>
        <v>2</v>
      </c>
      <c r="E29" s="1051" t="str">
        <f>IF(COUNTIF(E$11:E28,F29)&gt;0,"",F29)</f>
        <v/>
      </c>
      <c r="F29" s="1051" t="str">
        <f t="shared" si="2"/>
        <v>Butane (inclus maritime), Europe, Base Carbone</v>
      </c>
      <c r="G29" s="1055" t="str">
        <f t="shared" si="3"/>
        <v>Butane (inclus maritime), Europe, Base Carbone; kgCO2e/tep PCI, Combustion</v>
      </c>
      <c r="I29" s="1031" t="s">
        <v>1565</v>
      </c>
      <c r="J29" s="1032" t="s">
        <v>1575</v>
      </c>
      <c r="K29" s="1032" t="s">
        <v>1567</v>
      </c>
      <c r="L29" s="1032" t="s">
        <v>1568</v>
      </c>
      <c r="M29" s="1033">
        <v>0.05</v>
      </c>
      <c r="N29" s="1032" t="s">
        <v>1569</v>
      </c>
      <c r="O29" s="1036">
        <v>2680</v>
      </c>
      <c r="P29" s="1036">
        <v>2650</v>
      </c>
      <c r="Q29" s="1036">
        <v>3.84</v>
      </c>
      <c r="R29" s="1036">
        <v>0</v>
      </c>
      <c r="S29" s="1036">
        <v>27.8</v>
      </c>
      <c r="T29" s="1036">
        <v>0</v>
      </c>
      <c r="U29" s="1037">
        <v>0</v>
      </c>
    </row>
    <row r="30" spans="2:21" hidden="1" outlineLevel="2">
      <c r="D30" s="1051">
        <f t="shared" si="1"/>
        <v>2</v>
      </c>
      <c r="E30" s="1051" t="str">
        <f>IF(COUNTIF(E$11:E29,F30)&gt;0,"",F30)</f>
        <v/>
      </c>
      <c r="F30" s="1051" t="str">
        <f t="shared" si="2"/>
        <v>Butane (inclus maritime), Europe, Base Carbone</v>
      </c>
      <c r="G30" s="1055" t="str">
        <f t="shared" si="3"/>
        <v>Butane (inclus maritime), Europe, Base Carbone; kgCO2e/tep PCI, Amont</v>
      </c>
      <c r="I30" s="1031" t="s">
        <v>1565</v>
      </c>
      <c r="J30" s="1032" t="s">
        <v>1575</v>
      </c>
      <c r="K30" s="1032" t="s">
        <v>1567</v>
      </c>
      <c r="L30" s="1032" t="s">
        <v>1568</v>
      </c>
      <c r="M30" s="1033">
        <v>0.05</v>
      </c>
      <c r="N30" s="1032" t="s">
        <v>1570</v>
      </c>
      <c r="O30" s="1036">
        <v>448</v>
      </c>
      <c r="P30" s="1036">
        <v>322</v>
      </c>
      <c r="Q30" s="1036">
        <v>126</v>
      </c>
      <c r="R30" s="1036">
        <v>0</v>
      </c>
      <c r="S30" s="1036">
        <v>0</v>
      </c>
      <c r="T30" s="1036">
        <v>0</v>
      </c>
      <c r="U30" s="1037">
        <v>0</v>
      </c>
    </row>
    <row r="31" spans="2:21" hidden="1" outlineLevel="2">
      <c r="C31" s="1049"/>
      <c r="D31" s="1051">
        <f t="shared" si="1"/>
        <v>2</v>
      </c>
      <c r="E31" s="1051" t="str">
        <f>IF(COUNTIF(E$11:E30,F31)&gt;0,"",F31)</f>
        <v/>
      </c>
      <c r="F31" s="1051" t="str">
        <f t="shared" si="2"/>
        <v>Butane (inclus maritime), France continentale, Base Carbone</v>
      </c>
      <c r="G31" s="1055" t="str">
        <f t="shared" si="3"/>
        <v>Butane (inclus maritime), France continentale, Base Carbone; kgCO2e/tep PCI, Combustion</v>
      </c>
      <c r="I31" s="1031" t="s">
        <v>1565</v>
      </c>
      <c r="J31" s="1032" t="s">
        <v>1575</v>
      </c>
      <c r="K31" s="1032" t="s">
        <v>1567</v>
      </c>
      <c r="L31" s="1032" t="s">
        <v>1571</v>
      </c>
      <c r="M31" s="1033">
        <v>0.05</v>
      </c>
      <c r="N31" s="1032" t="s">
        <v>1569</v>
      </c>
      <c r="O31" s="1036">
        <v>2720</v>
      </c>
      <c r="P31" s="1036">
        <v>2690</v>
      </c>
      <c r="Q31" s="1036">
        <v>3.84</v>
      </c>
      <c r="R31" s="1036">
        <v>0</v>
      </c>
      <c r="S31" s="1036">
        <v>27.8</v>
      </c>
      <c r="T31" s="1036">
        <v>0</v>
      </c>
      <c r="U31" s="1037">
        <v>0</v>
      </c>
    </row>
    <row r="32" spans="2:21" hidden="1" outlineLevel="2">
      <c r="C32" s="1049"/>
      <c r="D32" s="1051">
        <f t="shared" si="1"/>
        <v>2</v>
      </c>
      <c r="E32" s="1051" t="str">
        <f>IF(COUNTIF(E$11:E31,F32)&gt;0,"",F32)</f>
        <v/>
      </c>
      <c r="F32" s="1051" t="str">
        <f t="shared" si="2"/>
        <v>Butane (inclus maritime), France continentale, Base Carbone</v>
      </c>
      <c r="G32" s="1055" t="str">
        <f t="shared" si="3"/>
        <v>Butane (inclus maritime), France continentale, Base Carbone; kgCO2e/tep PCI, Amont</v>
      </c>
      <c r="I32" s="1031" t="s">
        <v>1565</v>
      </c>
      <c r="J32" s="1032" t="s">
        <v>1575</v>
      </c>
      <c r="K32" s="1032" t="s">
        <v>1567</v>
      </c>
      <c r="L32" s="1032" t="s">
        <v>1571</v>
      </c>
      <c r="M32" s="1033">
        <v>0.05</v>
      </c>
      <c r="N32" s="1032" t="s">
        <v>1570</v>
      </c>
      <c r="O32" s="1036">
        <v>448</v>
      </c>
      <c r="P32" s="1036">
        <v>322</v>
      </c>
      <c r="Q32" s="1036">
        <v>126</v>
      </c>
      <c r="R32" s="1036">
        <v>0</v>
      </c>
      <c r="S32" s="1036">
        <v>0</v>
      </c>
      <c r="T32" s="1036">
        <v>0</v>
      </c>
      <c r="U32" s="1037">
        <v>0</v>
      </c>
    </row>
    <row r="33" spans="3:21" hidden="1" outlineLevel="2">
      <c r="C33" s="1049"/>
      <c r="D33" s="1051">
        <f t="shared" si="1"/>
        <v>2</v>
      </c>
      <c r="E33" s="1051" t="str">
        <f>IF(COUNTIF(E$11:E32,F33)&gt;0,"",F33)</f>
        <v/>
      </c>
      <c r="F33" s="1051" t="str">
        <f t="shared" si="2"/>
        <v/>
      </c>
      <c r="G33" s="1055" t="str">
        <f t="shared" si="3"/>
        <v/>
      </c>
      <c r="I33" s="1034"/>
      <c r="J33" s="1032"/>
      <c r="K33" s="1032"/>
      <c r="L33" s="1032"/>
      <c r="M33" s="1033"/>
      <c r="N33" s="1032"/>
      <c r="O33" s="1036"/>
      <c r="P33" s="1036"/>
      <c r="Q33" s="1036"/>
      <c r="R33" s="1036"/>
      <c r="S33" s="1036"/>
      <c r="T33" s="1036"/>
      <c r="U33" s="1037"/>
    </row>
    <row r="34" spans="3:21" hidden="1" outlineLevel="2">
      <c r="C34" s="1049"/>
      <c r="D34" s="1051">
        <f>D33+IF(LEN(E34)&gt;0,1,0)</f>
        <v>3</v>
      </c>
      <c r="E34" s="1051" t="str">
        <f>IF(COUNTIF(E$11:E33,F34)&gt;0,"",F34)</f>
        <v>Propane (inclus maritime), Europe, Base Carbone</v>
      </c>
      <c r="F34" s="1051" t="str">
        <f t="shared" si="2"/>
        <v>Propane (inclus maritime), Europe, Base Carbone</v>
      </c>
      <c r="G34" s="1055" t="str">
        <f t="shared" si="3"/>
        <v>Propane (inclus maritime), Europe, Base Carbone; kgCO2e/GJ PCI, Combustion</v>
      </c>
      <c r="I34" s="1031" t="s">
        <v>1579</v>
      </c>
      <c r="J34" s="1032" t="s">
        <v>1566</v>
      </c>
      <c r="K34" s="1032" t="s">
        <v>1567</v>
      </c>
      <c r="L34" s="1032" t="s">
        <v>1568</v>
      </c>
      <c r="M34" s="1033">
        <v>0.05</v>
      </c>
      <c r="N34" s="1032" t="s">
        <v>1569</v>
      </c>
      <c r="O34" s="1036">
        <v>63.8</v>
      </c>
      <c r="P34" s="1036">
        <v>63</v>
      </c>
      <c r="Q34" s="1036">
        <v>0.09</v>
      </c>
      <c r="R34" s="1036">
        <v>0</v>
      </c>
      <c r="S34" s="1036">
        <v>0.66300000000000003</v>
      </c>
      <c r="T34" s="1036">
        <v>0</v>
      </c>
      <c r="U34" s="1037">
        <v>0</v>
      </c>
    </row>
    <row r="35" spans="3:21" hidden="1" outlineLevel="2">
      <c r="C35" s="1049"/>
      <c r="D35" s="1051">
        <f t="shared" si="1"/>
        <v>3</v>
      </c>
      <c r="E35" s="1051" t="str">
        <f>IF(COUNTIF(E$11:E34,F35)&gt;0,"",F35)</f>
        <v/>
      </c>
      <c r="F35" s="1051" t="str">
        <f t="shared" si="2"/>
        <v>Propane (inclus maritime), Europe, Base Carbone</v>
      </c>
      <c r="G35" s="1055" t="str">
        <f t="shared" si="3"/>
        <v>Propane (inclus maritime), Europe, Base Carbone; kgCO2e/GJ PCI, Amont</v>
      </c>
      <c r="I35" s="1031" t="s">
        <v>1579</v>
      </c>
      <c r="J35" s="1032" t="s">
        <v>1566</v>
      </c>
      <c r="K35" s="1032" t="s">
        <v>1567</v>
      </c>
      <c r="L35" s="1032" t="s">
        <v>1568</v>
      </c>
      <c r="M35" s="1033">
        <v>0.05</v>
      </c>
      <c r="N35" s="1032" t="s">
        <v>1570</v>
      </c>
      <c r="O35" s="1036">
        <v>10.6</v>
      </c>
      <c r="P35" s="1036">
        <v>7.6</v>
      </c>
      <c r="Q35" s="1036">
        <v>3</v>
      </c>
      <c r="R35" s="1036">
        <v>0</v>
      </c>
      <c r="S35" s="1036">
        <v>0</v>
      </c>
      <c r="T35" s="1036">
        <v>0</v>
      </c>
      <c r="U35" s="1037">
        <v>0</v>
      </c>
    </row>
    <row r="36" spans="3:21" hidden="1" outlineLevel="2">
      <c r="C36" s="1049"/>
      <c r="D36" s="1051">
        <f t="shared" si="1"/>
        <v>4</v>
      </c>
      <c r="E36" s="1051" t="str">
        <f>IF(COUNTIF(E$11:E35,F36)&gt;0,"",F36)</f>
        <v>Propane (inclus maritime), France continentale, Base Carbone</v>
      </c>
      <c r="F36" s="1051" t="str">
        <f t="shared" si="2"/>
        <v>Propane (inclus maritime), France continentale, Base Carbone</v>
      </c>
      <c r="G36" s="1055" t="str">
        <f t="shared" si="3"/>
        <v>Propane (inclus maritime), France continentale, Base Carbone; kgCO2e/GJ PCI, Combustion</v>
      </c>
      <c r="I36" s="1031" t="s">
        <v>1579</v>
      </c>
      <c r="J36" s="1032" t="s">
        <v>1566</v>
      </c>
      <c r="K36" s="1032" t="s">
        <v>1567</v>
      </c>
      <c r="L36" s="1032" t="s">
        <v>1571</v>
      </c>
      <c r="M36" s="1033">
        <v>0.05</v>
      </c>
      <c r="N36" s="1032" t="s">
        <v>1569</v>
      </c>
      <c r="O36" s="1036">
        <v>64.8</v>
      </c>
      <c r="P36" s="1036">
        <v>64</v>
      </c>
      <c r="Q36" s="1036">
        <v>0.09</v>
      </c>
      <c r="R36" s="1036">
        <v>0</v>
      </c>
      <c r="S36" s="1036">
        <v>0.66300000000000003</v>
      </c>
      <c r="T36" s="1036">
        <v>0</v>
      </c>
      <c r="U36" s="1037">
        <v>0</v>
      </c>
    </row>
    <row r="37" spans="3:21" hidden="1" outlineLevel="2">
      <c r="C37" s="1049"/>
      <c r="D37" s="1051">
        <f t="shared" si="1"/>
        <v>4</v>
      </c>
      <c r="E37" s="1051" t="str">
        <f>IF(COUNTIF(E$11:E36,F37)&gt;0,"",F37)</f>
        <v/>
      </c>
      <c r="F37" s="1051" t="str">
        <f t="shared" si="2"/>
        <v>Propane (inclus maritime), France continentale, Base Carbone</v>
      </c>
      <c r="G37" s="1055" t="str">
        <f t="shared" si="3"/>
        <v>Propane (inclus maritime), France continentale, Base Carbone; kgCO2e/GJ PCI, Amont</v>
      </c>
      <c r="I37" s="1031" t="s">
        <v>1579</v>
      </c>
      <c r="J37" s="1032" t="s">
        <v>1566</v>
      </c>
      <c r="K37" s="1032" t="s">
        <v>1567</v>
      </c>
      <c r="L37" s="1032" t="s">
        <v>1571</v>
      </c>
      <c r="M37" s="1033">
        <v>0.05</v>
      </c>
      <c r="N37" s="1032" t="s">
        <v>1570</v>
      </c>
      <c r="O37" s="1036">
        <v>10.6</v>
      </c>
      <c r="P37" s="1036">
        <v>7.6</v>
      </c>
      <c r="Q37" s="1036">
        <v>3</v>
      </c>
      <c r="R37" s="1036">
        <v>0</v>
      </c>
      <c r="S37" s="1036">
        <v>0</v>
      </c>
      <c r="T37" s="1036">
        <v>0</v>
      </c>
      <c r="U37" s="1037">
        <v>0</v>
      </c>
    </row>
    <row r="38" spans="3:21" hidden="1" outlineLevel="2">
      <c r="C38" s="1049"/>
      <c r="D38" s="1051">
        <f t="shared" si="1"/>
        <v>4</v>
      </c>
      <c r="E38" s="1051" t="str">
        <f>IF(COUNTIF(E$11:E37,F38)&gt;0,"",F38)</f>
        <v/>
      </c>
      <c r="F38" s="1051" t="str">
        <f t="shared" si="2"/>
        <v>Propane (inclus maritime), Europe, Base Carbone</v>
      </c>
      <c r="G38" s="1055" t="str">
        <f t="shared" si="3"/>
        <v>Propane (inclus maritime), Europe, Base Carbone; kgCO2e/kg, Combustion</v>
      </c>
      <c r="I38" s="1031" t="s">
        <v>1579</v>
      </c>
      <c r="J38" s="1032" t="s">
        <v>1572</v>
      </c>
      <c r="K38" s="1032" t="s">
        <v>1567</v>
      </c>
      <c r="L38" s="1032" t="s">
        <v>1568</v>
      </c>
      <c r="M38" s="1033">
        <v>0.05</v>
      </c>
      <c r="N38" s="1032" t="s">
        <v>1569</v>
      </c>
      <c r="O38" s="1036">
        <v>3.02</v>
      </c>
      <c r="P38" s="1036">
        <v>2.98</v>
      </c>
      <c r="Q38" s="1036">
        <v>4.3200000000000001E-3</v>
      </c>
      <c r="R38" s="1036">
        <v>0</v>
      </c>
      <c r="S38" s="1036">
        <v>3.1300000000000001E-2</v>
      </c>
      <c r="T38" s="1036">
        <v>0</v>
      </c>
      <c r="U38" s="1037">
        <v>0</v>
      </c>
    </row>
    <row r="39" spans="3:21" hidden="1" outlineLevel="2">
      <c r="C39" s="1049"/>
      <c r="D39" s="1051">
        <f t="shared" si="1"/>
        <v>4</v>
      </c>
      <c r="E39" s="1051" t="str">
        <f>IF(COUNTIF(E$11:E38,F39)&gt;0,"",F39)</f>
        <v/>
      </c>
      <c r="F39" s="1051" t="str">
        <f t="shared" si="2"/>
        <v>Propane (inclus maritime), Europe, Base Carbone</v>
      </c>
      <c r="G39" s="1055" t="str">
        <f t="shared" si="3"/>
        <v>Propane (inclus maritime), Europe, Base Carbone; kgCO2e/kg, Amont</v>
      </c>
      <c r="I39" s="1031" t="s">
        <v>1579</v>
      </c>
      <c r="J39" s="1032" t="s">
        <v>1572</v>
      </c>
      <c r="K39" s="1032" t="s">
        <v>1567</v>
      </c>
      <c r="L39" s="1032" t="s">
        <v>1568</v>
      </c>
      <c r="M39" s="1033">
        <v>0.05</v>
      </c>
      <c r="N39" s="1032" t="s">
        <v>1570</v>
      </c>
      <c r="O39" s="1036">
        <v>0.5</v>
      </c>
      <c r="P39" s="1036">
        <v>0.35899999999999999</v>
      </c>
      <c r="Q39" s="1036">
        <v>0.14099999999999999</v>
      </c>
      <c r="R39" s="1036">
        <v>0</v>
      </c>
      <c r="S39" s="1036">
        <v>0</v>
      </c>
      <c r="T39" s="1036">
        <v>0</v>
      </c>
      <c r="U39" s="1037">
        <v>0</v>
      </c>
    </row>
    <row r="40" spans="3:21" hidden="1" outlineLevel="2">
      <c r="C40" s="1049"/>
      <c r="D40" s="1051">
        <f t="shared" si="1"/>
        <v>4</v>
      </c>
      <c r="E40" s="1051" t="str">
        <f>IF(COUNTIF(E$11:E39,F40)&gt;0,"",F40)</f>
        <v/>
      </c>
      <c r="F40" s="1051" t="str">
        <f t="shared" si="2"/>
        <v>Propane (inclus maritime), France continentale, Base Carbone</v>
      </c>
      <c r="G40" s="1055" t="str">
        <f t="shared" si="3"/>
        <v>Propane (inclus maritime), France continentale, Base Carbone; kgCO2e/kg, Combustion</v>
      </c>
      <c r="I40" s="1031" t="s">
        <v>1579</v>
      </c>
      <c r="J40" s="1032" t="s">
        <v>1572</v>
      </c>
      <c r="K40" s="1032" t="s">
        <v>1567</v>
      </c>
      <c r="L40" s="1032" t="s">
        <v>1571</v>
      </c>
      <c r="M40" s="1033">
        <v>0.05</v>
      </c>
      <c r="N40" s="1032" t="s">
        <v>1569</v>
      </c>
      <c r="O40" s="1036">
        <v>2.97</v>
      </c>
      <c r="P40" s="1036">
        <v>2.94</v>
      </c>
      <c r="Q40" s="1036">
        <v>4.1999999999999997E-3</v>
      </c>
      <c r="R40" s="1036">
        <v>0</v>
      </c>
      <c r="S40" s="1036">
        <v>3.0499999999999999E-2</v>
      </c>
      <c r="T40" s="1036">
        <v>0</v>
      </c>
      <c r="U40" s="1037">
        <v>0</v>
      </c>
    </row>
    <row r="41" spans="3:21" hidden="1" outlineLevel="2">
      <c r="C41" s="1049"/>
      <c r="D41" s="1051">
        <f t="shared" si="1"/>
        <v>4</v>
      </c>
      <c r="E41" s="1051" t="str">
        <f>IF(COUNTIF(E$11:E40,F41)&gt;0,"",F41)</f>
        <v/>
      </c>
      <c r="F41" s="1051" t="str">
        <f t="shared" si="2"/>
        <v>Propane (inclus maritime), France continentale, Base Carbone</v>
      </c>
      <c r="G41" s="1055" t="str">
        <f t="shared" si="3"/>
        <v>Propane (inclus maritime), France continentale, Base Carbone; kgCO2e/kg, Amont</v>
      </c>
      <c r="I41" s="1031" t="s">
        <v>1579</v>
      </c>
      <c r="J41" s="1032" t="s">
        <v>1572</v>
      </c>
      <c r="K41" s="1032" t="s">
        <v>1567</v>
      </c>
      <c r="L41" s="1032" t="s">
        <v>1571</v>
      </c>
      <c r="M41" s="1033">
        <v>0.05</v>
      </c>
      <c r="N41" s="1032" t="s">
        <v>1570</v>
      </c>
      <c r="O41" s="1036">
        <v>0.48699999999999999</v>
      </c>
      <c r="P41" s="1036">
        <v>0.35</v>
      </c>
      <c r="Q41" s="1036">
        <v>0.13700000000000001</v>
      </c>
      <c r="R41" s="1036">
        <v>0</v>
      </c>
      <c r="S41" s="1036">
        <v>0</v>
      </c>
      <c r="T41" s="1036">
        <v>0</v>
      </c>
      <c r="U41" s="1037">
        <v>0</v>
      </c>
    </row>
    <row r="42" spans="3:21" hidden="1" outlineLevel="2">
      <c r="C42" s="1049"/>
      <c r="D42" s="1051">
        <f t="shared" si="1"/>
        <v>4</v>
      </c>
      <c r="E42" s="1051" t="str">
        <f>IF(COUNTIF(E$11:E41,F42)&gt;0,"",F42)</f>
        <v/>
      </c>
      <c r="F42" s="1051" t="str">
        <f t="shared" si="2"/>
        <v>Propane (inclus maritime), Europe, Base Carbone</v>
      </c>
      <c r="G42" s="1055" t="str">
        <f t="shared" si="3"/>
        <v>Propane (inclus maritime), Europe, Base Carbone; kgCO2e/kWh PCI, Amont</v>
      </c>
      <c r="I42" s="1031" t="s">
        <v>1579</v>
      </c>
      <c r="J42" s="1032" t="s">
        <v>1573</v>
      </c>
      <c r="K42" s="1032" t="s">
        <v>1567</v>
      </c>
      <c r="L42" s="1032" t="s">
        <v>1568</v>
      </c>
      <c r="M42" s="1033">
        <v>0.05</v>
      </c>
      <c r="N42" s="1032" t="s">
        <v>1570</v>
      </c>
      <c r="O42" s="1036">
        <v>3.9E-2</v>
      </c>
      <c r="P42" s="1036">
        <v>2.7E-2</v>
      </c>
      <c r="Q42" s="1036">
        <v>1.2E-2</v>
      </c>
      <c r="R42" s="1036">
        <v>0</v>
      </c>
      <c r="S42" s="1036">
        <v>0</v>
      </c>
      <c r="T42" s="1036">
        <v>0</v>
      </c>
      <c r="U42" s="1037">
        <v>0</v>
      </c>
    </row>
    <row r="43" spans="3:21" hidden="1" outlineLevel="2">
      <c r="C43" s="1049"/>
      <c r="D43" s="1051">
        <f t="shared" si="1"/>
        <v>4</v>
      </c>
      <c r="E43" s="1051" t="str">
        <f>IF(COUNTIF(E$11:E42,F43)&gt;0,"",F43)</f>
        <v/>
      </c>
      <c r="F43" s="1051" t="str">
        <f t="shared" si="2"/>
        <v>Propane (inclus maritime), Europe, Base Carbone</v>
      </c>
      <c r="G43" s="1055" t="str">
        <f t="shared" si="3"/>
        <v>Propane (inclus maritime), Europe, Base Carbone; kgCO2e/kWh PCI, Combustion</v>
      </c>
      <c r="I43" s="1031" t="s">
        <v>1579</v>
      </c>
      <c r="J43" s="1032" t="s">
        <v>1573</v>
      </c>
      <c r="K43" s="1032" t="s">
        <v>1567</v>
      </c>
      <c r="L43" s="1032" t="s">
        <v>1568</v>
      </c>
      <c r="M43" s="1033">
        <v>0.05</v>
      </c>
      <c r="N43" s="1032" t="s">
        <v>1569</v>
      </c>
      <c r="O43" s="1036">
        <v>0.23</v>
      </c>
      <c r="P43" s="1036">
        <v>0.22700000000000001</v>
      </c>
      <c r="Q43" s="1036">
        <v>3.3E-4</v>
      </c>
      <c r="R43" s="1036">
        <v>0</v>
      </c>
      <c r="S43" s="1036">
        <v>2.3900000000000002E-3</v>
      </c>
      <c r="T43" s="1036">
        <v>0</v>
      </c>
      <c r="U43" s="1037">
        <v>0</v>
      </c>
    </row>
    <row r="44" spans="3:21" hidden="1" outlineLevel="2">
      <c r="C44" s="1049"/>
      <c r="D44" s="1051">
        <f t="shared" si="1"/>
        <v>4</v>
      </c>
      <c r="E44" s="1051" t="str">
        <f>IF(COUNTIF(E$11:E43,F44)&gt;0,"",F44)</f>
        <v/>
      </c>
      <c r="F44" s="1051" t="str">
        <f t="shared" si="2"/>
        <v>Propane (inclus maritime), France continentale, Base Carbone</v>
      </c>
      <c r="G44" s="1055" t="str">
        <f t="shared" si="3"/>
        <v>Propane (inclus maritime), France continentale, Base Carbone; kgCO2e/kWh PCI, Amont</v>
      </c>
      <c r="I44" s="1031" t="s">
        <v>1579</v>
      </c>
      <c r="J44" s="1032" t="s">
        <v>1573</v>
      </c>
      <c r="K44" s="1032" t="s">
        <v>1567</v>
      </c>
      <c r="L44" s="1032" t="s">
        <v>1571</v>
      </c>
      <c r="M44" s="1033">
        <v>0.05</v>
      </c>
      <c r="N44" s="1032" t="s">
        <v>1570</v>
      </c>
      <c r="O44" s="1036">
        <v>3.9E-2</v>
      </c>
      <c r="P44" s="1036">
        <v>2.7E-2</v>
      </c>
      <c r="Q44" s="1036">
        <v>1.2E-2</v>
      </c>
      <c r="R44" s="1036">
        <v>0</v>
      </c>
      <c r="S44" s="1036">
        <v>0</v>
      </c>
      <c r="T44" s="1036">
        <v>0</v>
      </c>
      <c r="U44" s="1037">
        <v>0</v>
      </c>
    </row>
    <row r="45" spans="3:21" hidden="1" outlineLevel="2">
      <c r="C45" s="1049"/>
      <c r="D45" s="1051">
        <f t="shared" si="1"/>
        <v>4</v>
      </c>
      <c r="E45" s="1051" t="str">
        <f>IF(COUNTIF(E$11:E44,F45)&gt;0,"",F45)</f>
        <v/>
      </c>
      <c r="F45" s="1051" t="str">
        <f t="shared" si="2"/>
        <v>Propane (inclus maritime), France continentale, Base Carbone</v>
      </c>
      <c r="G45" s="1055" t="str">
        <f t="shared" si="3"/>
        <v>Propane (inclus maritime), France continentale, Base Carbone; kgCO2e/kWh PCI, Combustion</v>
      </c>
      <c r="I45" s="1031" t="s">
        <v>1579</v>
      </c>
      <c r="J45" s="1032" t="s">
        <v>1573</v>
      </c>
      <c r="K45" s="1032" t="s">
        <v>1567</v>
      </c>
      <c r="L45" s="1032" t="s">
        <v>1571</v>
      </c>
      <c r="M45" s="1033">
        <v>0.05</v>
      </c>
      <c r="N45" s="1032" t="s">
        <v>1569</v>
      </c>
      <c r="O45" s="1036">
        <v>0.23300000000000001</v>
      </c>
      <c r="P45" s="1036">
        <v>0.23</v>
      </c>
      <c r="Q45" s="1036">
        <v>3.3E-4</v>
      </c>
      <c r="R45" s="1036">
        <v>0</v>
      </c>
      <c r="S45" s="1036">
        <v>2.3900000000000002E-3</v>
      </c>
      <c r="T45" s="1036">
        <v>0</v>
      </c>
      <c r="U45" s="1037">
        <v>0</v>
      </c>
    </row>
    <row r="46" spans="3:21" hidden="1" outlineLevel="2">
      <c r="C46" s="1049"/>
      <c r="D46" s="1051">
        <f t="shared" si="1"/>
        <v>4</v>
      </c>
      <c r="E46" s="1051" t="str">
        <f>IF(COUNTIF(E$11:E45,F46)&gt;0,"",F46)</f>
        <v/>
      </c>
      <c r="F46" s="1051" t="str">
        <f t="shared" si="2"/>
        <v>Propane (inclus maritime), Europe, Base Carbone</v>
      </c>
      <c r="G46" s="1055" t="str">
        <f t="shared" si="3"/>
        <v>Propane (inclus maritime), Europe, Base Carbone; kgCO2e/litre, Combustion</v>
      </c>
      <c r="I46" s="1031" t="s">
        <v>1579</v>
      </c>
      <c r="J46" s="1032" t="s">
        <v>1574</v>
      </c>
      <c r="K46" s="1032" t="s">
        <v>1567</v>
      </c>
      <c r="L46" s="1032" t="s">
        <v>1568</v>
      </c>
      <c r="M46" s="1033">
        <v>0.05</v>
      </c>
      <c r="N46" s="1032" t="s">
        <v>1569</v>
      </c>
      <c r="O46" s="1036">
        <v>1.55</v>
      </c>
      <c r="P46" s="1036">
        <v>1.53</v>
      </c>
      <c r="Q46" s="1036">
        <v>2.2300000000000002E-3</v>
      </c>
      <c r="R46" s="1036">
        <v>0</v>
      </c>
      <c r="S46" s="1036">
        <v>1.61E-2</v>
      </c>
      <c r="T46" s="1036">
        <v>0</v>
      </c>
      <c r="U46" s="1037">
        <v>0</v>
      </c>
    </row>
    <row r="47" spans="3:21" hidden="1" outlineLevel="2">
      <c r="C47" s="1049"/>
      <c r="D47" s="1051">
        <f t="shared" si="1"/>
        <v>4</v>
      </c>
      <c r="E47" s="1051" t="str">
        <f>IF(COUNTIF(E$11:E46,F47)&gt;0,"",F47)</f>
        <v/>
      </c>
      <c r="F47" s="1051" t="str">
        <f t="shared" si="2"/>
        <v>Propane (inclus maritime), Europe, Base Carbone</v>
      </c>
      <c r="G47" s="1055" t="str">
        <f t="shared" si="3"/>
        <v>Propane (inclus maritime), Europe, Base Carbone; kgCO2e/litre, Amont</v>
      </c>
      <c r="I47" s="1031" t="s">
        <v>1579</v>
      </c>
      <c r="J47" s="1032" t="s">
        <v>1574</v>
      </c>
      <c r="K47" s="1032" t="s">
        <v>1567</v>
      </c>
      <c r="L47" s="1032" t="s">
        <v>1568</v>
      </c>
      <c r="M47" s="1033">
        <v>0.05</v>
      </c>
      <c r="N47" s="1032" t="s">
        <v>1570</v>
      </c>
      <c r="O47" s="1036">
        <v>0.26300000000000001</v>
      </c>
      <c r="P47" s="1036">
        <v>0.19</v>
      </c>
      <c r="Q47" s="1036">
        <v>7.3099999999999998E-2</v>
      </c>
      <c r="R47" s="1036">
        <v>0</v>
      </c>
      <c r="S47" s="1036">
        <v>0</v>
      </c>
      <c r="T47" s="1036">
        <v>0</v>
      </c>
      <c r="U47" s="1037">
        <v>0</v>
      </c>
    </row>
    <row r="48" spans="3:21" hidden="1" outlineLevel="2">
      <c r="C48" s="1049"/>
      <c r="D48" s="1051">
        <f t="shared" si="1"/>
        <v>4</v>
      </c>
      <c r="E48" s="1051" t="str">
        <f>IF(COUNTIF(E$11:E47,F48)&gt;0,"",F48)</f>
        <v/>
      </c>
      <c r="F48" s="1051" t="str">
        <f t="shared" si="2"/>
        <v>Propane (inclus maritime), France continentale, Base Carbone</v>
      </c>
      <c r="G48" s="1055" t="str">
        <f t="shared" si="3"/>
        <v>Propane (inclus maritime), France continentale, Base Carbone; kgCO2e/litre, Combustion</v>
      </c>
      <c r="I48" s="1031" t="s">
        <v>1579</v>
      </c>
      <c r="J48" s="1032" t="s">
        <v>1574</v>
      </c>
      <c r="K48" s="1032" t="s">
        <v>1567</v>
      </c>
      <c r="L48" s="1032" t="s">
        <v>1571</v>
      </c>
      <c r="M48" s="1033">
        <v>0.05</v>
      </c>
      <c r="N48" s="1032" t="s">
        <v>1569</v>
      </c>
      <c r="O48" s="1036">
        <v>1.54</v>
      </c>
      <c r="P48" s="1036">
        <v>1.52</v>
      </c>
      <c r="Q48" s="1036">
        <v>2.1700000000000001E-3</v>
      </c>
      <c r="R48" s="1036">
        <v>0</v>
      </c>
      <c r="S48" s="1036">
        <v>1.5699999999999999E-2</v>
      </c>
      <c r="T48" s="1036">
        <v>0</v>
      </c>
      <c r="U48" s="1037">
        <v>0</v>
      </c>
    </row>
    <row r="49" spans="2:21" hidden="1" outlineLevel="2">
      <c r="C49" s="1049"/>
      <c r="D49" s="1051">
        <f t="shared" si="1"/>
        <v>4</v>
      </c>
      <c r="E49" s="1051" t="str">
        <f>IF(COUNTIF(E$11:E48,F49)&gt;0,"",F49)</f>
        <v/>
      </c>
      <c r="F49" s="1051" t="str">
        <f t="shared" si="2"/>
        <v>Propane (inclus maritime), France continentale, Base Carbone</v>
      </c>
      <c r="G49" s="1055" t="str">
        <f t="shared" si="3"/>
        <v>Propane (inclus maritime), France continentale, Base Carbone; kgCO2e/litre, Amont</v>
      </c>
      <c r="I49" s="1031" t="s">
        <v>1579</v>
      </c>
      <c r="J49" s="1032" t="s">
        <v>1574</v>
      </c>
      <c r="K49" s="1032" t="s">
        <v>1567</v>
      </c>
      <c r="L49" s="1032" t="s">
        <v>1571</v>
      </c>
      <c r="M49" s="1033">
        <v>0.05</v>
      </c>
      <c r="N49" s="1032" t="s">
        <v>1570</v>
      </c>
      <c r="O49" s="1036">
        <v>0.25600000000000001</v>
      </c>
      <c r="P49" s="1036">
        <v>0.185</v>
      </c>
      <c r="Q49" s="1036">
        <v>7.1099999999999997E-2</v>
      </c>
      <c r="R49" s="1036">
        <v>0</v>
      </c>
      <c r="S49" s="1036">
        <v>0</v>
      </c>
      <c r="T49" s="1036">
        <v>0</v>
      </c>
      <c r="U49" s="1037">
        <v>0</v>
      </c>
    </row>
    <row r="50" spans="2:21" hidden="1" outlineLevel="2">
      <c r="C50" s="1049"/>
      <c r="D50" s="1051">
        <f t="shared" si="1"/>
        <v>4</v>
      </c>
      <c r="E50" s="1051" t="str">
        <f>IF(COUNTIF(E$11:E49,F50)&gt;0,"",F50)</f>
        <v/>
      </c>
      <c r="F50" s="1051" t="str">
        <f t="shared" si="2"/>
        <v>Propane (inclus maritime), Europe, Base Carbone</v>
      </c>
      <c r="G50" s="1055" t="str">
        <f t="shared" si="3"/>
        <v>Propane (inclus maritime), Europe, Base Carbone; kgCO2e/tep PCI, Combustion</v>
      </c>
      <c r="I50" s="1031" t="s">
        <v>1579</v>
      </c>
      <c r="J50" s="1032" t="s">
        <v>1575</v>
      </c>
      <c r="K50" s="1032" t="s">
        <v>1567</v>
      </c>
      <c r="L50" s="1032" t="s">
        <v>1568</v>
      </c>
      <c r="M50" s="1033">
        <v>0.05</v>
      </c>
      <c r="N50" s="1032" t="s">
        <v>1569</v>
      </c>
      <c r="O50" s="1036">
        <v>2680</v>
      </c>
      <c r="P50" s="1036">
        <v>2650</v>
      </c>
      <c r="Q50" s="1036">
        <v>3.84</v>
      </c>
      <c r="R50" s="1036">
        <v>0</v>
      </c>
      <c r="S50" s="1036">
        <v>27.8</v>
      </c>
      <c r="T50" s="1036">
        <v>0</v>
      </c>
      <c r="U50" s="1037">
        <v>0</v>
      </c>
    </row>
    <row r="51" spans="2:21" hidden="1" outlineLevel="2">
      <c r="C51" s="1049"/>
      <c r="D51" s="1051">
        <f t="shared" si="1"/>
        <v>4</v>
      </c>
      <c r="E51" s="1051" t="str">
        <f>IF(COUNTIF(E$11:E50,F51)&gt;0,"",F51)</f>
        <v/>
      </c>
      <c r="F51" s="1051" t="str">
        <f t="shared" si="2"/>
        <v>Propane (inclus maritime), Europe, Base Carbone</v>
      </c>
      <c r="G51" s="1055" t="str">
        <f t="shared" si="3"/>
        <v>Propane (inclus maritime), Europe, Base Carbone; kgCO2e/tep PCI, Amont</v>
      </c>
      <c r="I51" s="1031" t="s">
        <v>1579</v>
      </c>
      <c r="J51" s="1032" t="s">
        <v>1575</v>
      </c>
      <c r="K51" s="1032" t="s">
        <v>1567</v>
      </c>
      <c r="L51" s="1032" t="s">
        <v>1568</v>
      </c>
      <c r="M51" s="1033">
        <v>0.05</v>
      </c>
      <c r="N51" s="1032" t="s">
        <v>1570</v>
      </c>
      <c r="O51" s="1036">
        <v>379</v>
      </c>
      <c r="P51" s="1036">
        <v>319</v>
      </c>
      <c r="Q51" s="1036">
        <v>60</v>
      </c>
      <c r="R51" s="1036">
        <v>0</v>
      </c>
      <c r="S51" s="1036">
        <v>0</v>
      </c>
      <c r="T51" s="1036">
        <v>0</v>
      </c>
      <c r="U51" s="1037">
        <v>0</v>
      </c>
    </row>
    <row r="52" spans="2:21" hidden="1" outlineLevel="2">
      <c r="C52" s="1049"/>
      <c r="D52" s="1051">
        <f t="shared" si="1"/>
        <v>4</v>
      </c>
      <c r="E52" s="1051" t="str">
        <f>IF(COUNTIF(E$11:E51,F52)&gt;0,"",F52)</f>
        <v/>
      </c>
      <c r="F52" s="1051" t="str">
        <f t="shared" si="2"/>
        <v>Propane (inclus maritime), France continentale, Base Carbone</v>
      </c>
      <c r="G52" s="1055" t="str">
        <f t="shared" si="3"/>
        <v>Propane (inclus maritime), France continentale, Base Carbone; kgCO2e/tep PCI, Combustion</v>
      </c>
      <c r="I52" s="1031" t="s">
        <v>1579</v>
      </c>
      <c r="J52" s="1032" t="s">
        <v>1575</v>
      </c>
      <c r="K52" s="1032" t="s">
        <v>1567</v>
      </c>
      <c r="L52" s="1032" t="s">
        <v>1571</v>
      </c>
      <c r="M52" s="1033">
        <v>0.05</v>
      </c>
      <c r="N52" s="1032" t="s">
        <v>1569</v>
      </c>
      <c r="O52" s="1036">
        <v>2720</v>
      </c>
      <c r="P52" s="1036">
        <v>2690</v>
      </c>
      <c r="Q52" s="1036">
        <v>3.84</v>
      </c>
      <c r="R52" s="1036">
        <v>0</v>
      </c>
      <c r="S52" s="1036">
        <v>27.8</v>
      </c>
      <c r="T52" s="1036">
        <v>0</v>
      </c>
      <c r="U52" s="1037">
        <v>0</v>
      </c>
    </row>
    <row r="53" spans="2:21" hidden="1" outlineLevel="2">
      <c r="C53" s="1049"/>
      <c r="D53" s="1051">
        <f t="shared" si="1"/>
        <v>4</v>
      </c>
      <c r="E53" s="1051" t="str">
        <f>IF(COUNTIF(E$11:E52,F53)&gt;0,"",F53)</f>
        <v/>
      </c>
      <c r="F53" s="1051" t="str">
        <f t="shared" si="2"/>
        <v>Propane (inclus maritime), France continentale, Base Carbone</v>
      </c>
      <c r="G53" s="1055" t="str">
        <f t="shared" si="3"/>
        <v>Propane (inclus maritime), France continentale, Base Carbone; kgCO2e/tep PCI, Amont</v>
      </c>
      <c r="I53" s="1031" t="s">
        <v>1579</v>
      </c>
      <c r="J53" s="1032" t="s">
        <v>1575</v>
      </c>
      <c r="K53" s="1032" t="s">
        <v>1567</v>
      </c>
      <c r="L53" s="1032" t="s">
        <v>1571</v>
      </c>
      <c r="M53" s="1033">
        <v>0.05</v>
      </c>
      <c r="N53" s="1032" t="s">
        <v>1570</v>
      </c>
      <c r="O53" s="1036">
        <v>445</v>
      </c>
      <c r="P53" s="1036">
        <v>319</v>
      </c>
      <c r="Q53" s="1036">
        <v>126</v>
      </c>
      <c r="R53" s="1036">
        <v>0</v>
      </c>
      <c r="S53" s="1036">
        <v>0</v>
      </c>
      <c r="T53" s="1036">
        <v>0</v>
      </c>
      <c r="U53" s="1037">
        <v>0</v>
      </c>
    </row>
    <row r="54" spans="2:21" hidden="1" outlineLevel="2">
      <c r="C54" s="1049"/>
      <c r="D54" s="1051">
        <f>D53+IF(LEN(E54)&gt;0,1,0)</f>
        <v>4</v>
      </c>
      <c r="E54" s="1051" t="str">
        <f>IF(COUNTIF(E$11:E53,F54)&gt;0,"",F54)</f>
        <v/>
      </c>
      <c r="F54" s="1051" t="str">
        <f>IF(I54&lt;&gt;"",I54&amp;IF(L54&lt;&gt;"",", "&amp;L54,"")&amp;IF(K54&lt;&gt;"",", "&amp;K54,""),"")</f>
        <v/>
      </c>
      <c r="G54" s="1055" t="str">
        <f>IF(F54&lt;&gt;"",F54&amp;IF(J54&lt;&gt;"","; "&amp;J54,"")&amp;IF(N54&lt;&gt;"",", "&amp;N54,""),"")</f>
        <v/>
      </c>
      <c r="I54" s="1031"/>
      <c r="J54" s="1032"/>
      <c r="K54" s="1032"/>
      <c r="L54" s="1032"/>
      <c r="M54" s="1033"/>
      <c r="N54" s="1032"/>
      <c r="O54" s="1036"/>
      <c r="P54" s="1036"/>
      <c r="Q54" s="1036"/>
      <c r="R54" s="1036"/>
      <c r="S54" s="1036"/>
      <c r="T54" s="1036"/>
      <c r="U54" s="1037"/>
    </row>
    <row r="55" spans="2:21" hidden="1" outlineLevel="2">
      <c r="C55" s="1049"/>
      <c r="D55" s="1051">
        <f t="shared" ref="D55:D56" si="4">D54+IF(LEN(E55)&gt;0,1,0)</f>
        <v>4</v>
      </c>
      <c r="E55" s="1051" t="str">
        <f>IF(COUNTIF(E$11:E54,F55)&gt;0,"",F55)</f>
        <v/>
      </c>
      <c r="F55" s="1051" t="str">
        <f t="shared" ref="F55:F56" si="5">IF(I55&lt;&gt;"",I55&amp;IF(L55&lt;&gt;"",", "&amp;L55,"")&amp;IF(K55&lt;&gt;"",", "&amp;K55,""),"")</f>
        <v/>
      </c>
      <c r="G55" s="1055" t="str">
        <f t="shared" ref="G55:G56" si="6">IF(F55&lt;&gt;"",F55&amp;IF(J55&lt;&gt;"","; "&amp;J55,"")&amp;IF(N55&lt;&gt;"",", "&amp;N55,""),"")</f>
        <v/>
      </c>
      <c r="I55" s="1034"/>
      <c r="J55" s="1032"/>
      <c r="K55" s="1032"/>
      <c r="L55" s="1032"/>
      <c r="M55" s="1033"/>
      <c r="N55" s="1032"/>
      <c r="O55" s="1036"/>
      <c r="P55" s="1036"/>
      <c r="Q55" s="1036"/>
      <c r="R55" s="1036"/>
      <c r="S55" s="1036"/>
      <c r="T55" s="1036"/>
      <c r="U55" s="1037"/>
    </row>
    <row r="56" spans="2:21" hidden="1" outlineLevel="2">
      <c r="C56" s="1049"/>
      <c r="D56" s="1051">
        <f t="shared" si="4"/>
        <v>4</v>
      </c>
      <c r="E56" s="1051" t="str">
        <f>IF(COUNTIF(E$11:E55,F56)&gt;0,"",F56)</f>
        <v/>
      </c>
      <c r="F56" s="1051" t="str">
        <f t="shared" si="5"/>
        <v/>
      </c>
      <c r="G56" s="1055" t="str">
        <f t="shared" si="6"/>
        <v/>
      </c>
      <c r="I56" s="1034"/>
      <c r="J56" s="1032"/>
      <c r="K56" s="1032"/>
      <c r="L56" s="1032"/>
      <c r="M56" s="1033"/>
      <c r="N56" s="1032"/>
      <c r="O56" s="1036"/>
      <c r="P56" s="1036"/>
      <c r="Q56" s="1036"/>
      <c r="R56" s="1036"/>
      <c r="S56" s="1036"/>
      <c r="T56" s="1036"/>
      <c r="U56" s="1037"/>
    </row>
    <row r="57" spans="2:21" s="1045" customFormat="1" hidden="1" outlineLevel="1">
      <c r="C57" s="1687"/>
      <c r="G57" s="1135"/>
      <c r="I57" s="1694"/>
      <c r="J57" s="1695"/>
      <c r="K57" s="1695"/>
      <c r="L57" s="1695"/>
      <c r="M57" s="1696"/>
      <c r="N57" s="1695"/>
      <c r="O57" s="1697"/>
      <c r="P57" s="1697"/>
      <c r="Q57" s="1697"/>
      <c r="R57" s="1697"/>
      <c r="S57" s="1697"/>
      <c r="T57" s="1697"/>
      <c r="U57" s="1698"/>
    </row>
    <row r="58" spans="2:21" ht="12" hidden="1" customHeight="1" outlineLevel="1" collapsed="1">
      <c r="B58" s="3156" t="s">
        <v>1625</v>
      </c>
      <c r="C58" s="3156"/>
      <c r="D58" s="1051">
        <v>0</v>
      </c>
      <c r="E58" s="1051"/>
      <c r="F58" s="1051" t="str">
        <f t="shared" si="2"/>
        <v/>
      </c>
      <c r="G58" s="1055" t="str">
        <f t="shared" si="3"/>
        <v/>
      </c>
      <c r="I58" s="1699"/>
      <c r="J58" s="1695"/>
      <c r="K58" s="1695"/>
      <c r="L58" s="1695"/>
      <c r="M58" s="1696"/>
      <c r="N58" s="1695"/>
      <c r="O58" s="1697"/>
      <c r="P58" s="1697"/>
      <c r="Q58" s="1697"/>
      <c r="R58" s="1697"/>
      <c r="S58" s="1697"/>
      <c r="T58" s="1697"/>
      <c r="U58" s="1698"/>
    </row>
    <row r="59" spans="2:21" hidden="1" outlineLevel="2">
      <c r="B59" s="1050">
        <v>1</v>
      </c>
      <c r="C59" s="1050" t="str">
        <f>IF(ISNA(VLOOKUP(B59,$D$59:$E$95,2,FALSE)),"-",VLOOKUP(B59,$D$59:$E$95,2,FALSE))</f>
        <v>Gaz naturel, Europe, Base Carbone</v>
      </c>
      <c r="D59" s="1051">
        <f t="shared" si="1"/>
        <v>1</v>
      </c>
      <c r="E59" s="1051" t="str">
        <f>IF(COUNTIF(E$11:E58,F59)&gt;0,"",F59)</f>
        <v>Gaz naturel, Europe, Base Carbone</v>
      </c>
      <c r="F59" s="1051" t="str">
        <f t="shared" si="2"/>
        <v>Gaz naturel, Europe, Base Carbone</v>
      </c>
      <c r="G59" s="1055" t="str">
        <f t="shared" si="3"/>
        <v>Gaz naturel, Europe, Base Carbone; kgCO2e/kWh PCI, Combustion</v>
      </c>
      <c r="I59" s="1031" t="s">
        <v>341</v>
      </c>
      <c r="J59" s="1032" t="s">
        <v>1573</v>
      </c>
      <c r="K59" s="1032" t="s">
        <v>1567</v>
      </c>
      <c r="L59" s="1032" t="s">
        <v>1568</v>
      </c>
      <c r="M59" s="1033">
        <v>0.05</v>
      </c>
      <c r="N59" s="1032" t="s">
        <v>1569</v>
      </c>
      <c r="O59" s="1036">
        <v>0.20499999999999999</v>
      </c>
      <c r="P59" s="1036">
        <v>0.20200000000000001</v>
      </c>
      <c r="Q59" s="1036">
        <v>5.4000000000000001E-4</v>
      </c>
      <c r="R59" s="1036">
        <v>0</v>
      </c>
      <c r="S59" s="1036">
        <v>2.3900000000000002E-3</v>
      </c>
      <c r="T59" s="1036">
        <v>0</v>
      </c>
      <c r="U59" s="1037">
        <v>0</v>
      </c>
    </row>
    <row r="60" spans="2:21" hidden="1" outlineLevel="2">
      <c r="B60" s="1050">
        <v>2</v>
      </c>
      <c r="C60" s="1050" t="str">
        <f t="shared" ref="C60:C71" si="7">IF(ISNA(VLOOKUP(B60,$D$59:$E$95,2,FALSE)),"-",VLOOKUP(B60,$D$59:$E$95,2,FALSE))</f>
        <v>Gaz naturel - 2015 (mix moyen consommation), France, Base Carbone</v>
      </c>
      <c r="D60" s="1051">
        <f t="shared" ref="D60:D93" si="8">D59+IF(LEN(E60)&gt;0,1,0)</f>
        <v>1</v>
      </c>
      <c r="E60" s="1051" t="str">
        <f>IF(COUNTIF(E$11:E59,F60)&gt;0,"",F60)</f>
        <v/>
      </c>
      <c r="F60" s="1051" t="str">
        <f t="shared" ref="F60:F93" si="9">IF(I60&lt;&gt;"",I60&amp;IF(L60&lt;&gt;"",", "&amp;L60,"")&amp;IF(K60&lt;&gt;"",", "&amp;K60,""),"")</f>
        <v>Gaz naturel, Europe, Base Carbone</v>
      </c>
      <c r="G60" s="1055" t="str">
        <f t="shared" ref="G60:G93" si="10">IF(F60&lt;&gt;"",F60&amp;IF(J60&lt;&gt;"","; "&amp;J60,"")&amp;IF(N60&lt;&gt;"",", "&amp;N60,""),"")</f>
        <v>Gaz naturel, Europe, Base Carbone; kgCO2e/kWh PCI, Amont</v>
      </c>
      <c r="I60" s="1031" t="s">
        <v>341</v>
      </c>
      <c r="J60" s="1032" t="s">
        <v>1573</v>
      </c>
      <c r="K60" s="1032" t="s">
        <v>1567</v>
      </c>
      <c r="L60" s="1032" t="s">
        <v>1568</v>
      </c>
      <c r="M60" s="1033">
        <v>0.05</v>
      </c>
      <c r="N60" s="1032" t="s">
        <v>1570</v>
      </c>
      <c r="O60" s="1036">
        <v>3.8899999999999997E-2</v>
      </c>
      <c r="P60" s="1036">
        <v>2.53E-2</v>
      </c>
      <c r="Q60" s="1036">
        <v>1.3599999999999999E-2</v>
      </c>
      <c r="R60" s="1036">
        <v>0</v>
      </c>
      <c r="S60" s="1036">
        <v>0</v>
      </c>
      <c r="T60" s="1036">
        <v>0</v>
      </c>
      <c r="U60" s="1037">
        <v>0</v>
      </c>
    </row>
    <row r="61" spans="2:21" hidden="1" outlineLevel="2">
      <c r="B61" s="1050">
        <v>3</v>
      </c>
      <c r="C61" s="1050" t="str">
        <f t="shared" si="7"/>
        <v>Gaz d'aciérie, France continentale, Base Carbone</v>
      </c>
      <c r="D61" s="1051">
        <f t="shared" si="8"/>
        <v>1</v>
      </c>
      <c r="E61" s="1051" t="str">
        <f>IF(COUNTIF(E$11:E60,F61)&gt;0,"",F61)</f>
        <v/>
      </c>
      <c r="F61" s="1051" t="str">
        <f t="shared" si="9"/>
        <v>Gaz naturel, Europe, Base Carbone</v>
      </c>
      <c r="G61" s="1055" t="str">
        <f t="shared" si="10"/>
        <v>Gaz naturel, Europe, Base Carbone; kgCO2e/tep PCI, Combustion</v>
      </c>
      <c r="I61" s="1031" t="s">
        <v>341</v>
      </c>
      <c r="J61" s="1032" t="s">
        <v>1575</v>
      </c>
      <c r="K61" s="1032" t="s">
        <v>1567</v>
      </c>
      <c r="L61" s="1032" t="s">
        <v>1568</v>
      </c>
      <c r="M61" s="1033">
        <v>0.05</v>
      </c>
      <c r="N61" s="1032" t="s">
        <v>1569</v>
      </c>
      <c r="O61" s="1036">
        <v>2390</v>
      </c>
      <c r="P61" s="1036">
        <v>2360</v>
      </c>
      <c r="Q61" s="1036">
        <v>6.3</v>
      </c>
      <c r="R61" s="1036">
        <v>0</v>
      </c>
      <c r="S61" s="1036">
        <v>27.8</v>
      </c>
      <c r="T61" s="1036">
        <v>0</v>
      </c>
      <c r="U61" s="1037">
        <v>0</v>
      </c>
    </row>
    <row r="62" spans="2:21" hidden="1" outlineLevel="2">
      <c r="B62" s="1050">
        <v>4</v>
      </c>
      <c r="C62" s="1050" t="str">
        <f t="shared" si="7"/>
        <v>Gaz de cokerie, France continentale, Base Carbone</v>
      </c>
      <c r="D62" s="1051">
        <f t="shared" si="8"/>
        <v>1</v>
      </c>
      <c r="E62" s="1051" t="str">
        <f>IF(COUNTIF(E$11:E61,F62)&gt;0,"",F62)</f>
        <v/>
      </c>
      <c r="F62" s="1051" t="str">
        <f t="shared" si="9"/>
        <v>Gaz naturel, Europe, Base Carbone</v>
      </c>
      <c r="G62" s="1055" t="str">
        <f t="shared" si="10"/>
        <v>Gaz naturel, Europe, Base Carbone; kgCO2e/tep PCI, Amont</v>
      </c>
      <c r="I62" s="1031" t="s">
        <v>341</v>
      </c>
      <c r="J62" s="1032" t="s">
        <v>1575</v>
      </c>
      <c r="K62" s="1032" t="s">
        <v>1567</v>
      </c>
      <c r="L62" s="1032" t="s">
        <v>1568</v>
      </c>
      <c r="M62" s="1033">
        <v>0.05</v>
      </c>
      <c r="N62" s="1032" t="s">
        <v>1570</v>
      </c>
      <c r="O62" s="1036">
        <v>378</v>
      </c>
      <c r="P62" s="1036">
        <v>219</v>
      </c>
      <c r="Q62" s="1036">
        <v>159</v>
      </c>
      <c r="R62" s="1036">
        <v>0</v>
      </c>
      <c r="S62" s="1036">
        <v>0</v>
      </c>
      <c r="T62" s="1036">
        <v>0</v>
      </c>
      <c r="U62" s="1037">
        <v>0</v>
      </c>
    </row>
    <row r="63" spans="2:21" hidden="1" outlineLevel="2">
      <c r="B63" s="1050">
        <v>5</v>
      </c>
      <c r="C63" s="1050" t="str">
        <f t="shared" si="7"/>
        <v>Gaz de haut fourneau, France continentale, Base Carbone</v>
      </c>
      <c r="D63" s="1051">
        <f t="shared" si="8"/>
        <v>1</v>
      </c>
      <c r="E63" s="1051" t="str">
        <f>IF(COUNTIF(E$11:E62,F63)&gt;0,"",F63)</f>
        <v/>
      </c>
      <c r="F63" s="1051" t="str">
        <f t="shared" si="9"/>
        <v>Gaz naturel, Europe, Base Carbone</v>
      </c>
      <c r="G63" s="1055" t="str">
        <f t="shared" si="10"/>
        <v>Gaz naturel, Europe, Base Carbone; kgCO2e/GJ PCI, Combustion</v>
      </c>
      <c r="I63" s="1031" t="s">
        <v>341</v>
      </c>
      <c r="J63" s="1032" t="s">
        <v>1566</v>
      </c>
      <c r="K63" s="1032" t="s">
        <v>1567</v>
      </c>
      <c r="L63" s="1032" t="s">
        <v>1568</v>
      </c>
      <c r="M63" s="1033">
        <v>0.05</v>
      </c>
      <c r="N63" s="1032" t="s">
        <v>1569</v>
      </c>
      <c r="O63" s="1036">
        <v>56.9</v>
      </c>
      <c r="P63" s="1036">
        <v>56.1</v>
      </c>
      <c r="Q63" s="1036">
        <v>0.15</v>
      </c>
      <c r="R63" s="1036">
        <v>0</v>
      </c>
      <c r="S63" s="1036">
        <v>0.66300000000000003</v>
      </c>
      <c r="T63" s="1036">
        <v>0</v>
      </c>
      <c r="U63" s="1037">
        <v>0</v>
      </c>
    </row>
    <row r="64" spans="2:21" hidden="1" outlineLevel="2">
      <c r="B64" s="1050">
        <v>6</v>
      </c>
      <c r="C64" s="1050" t="str">
        <f t="shared" si="7"/>
        <v>Gaz d'aciérie, France continentale</v>
      </c>
      <c r="D64" s="1051">
        <f t="shared" si="8"/>
        <v>1</v>
      </c>
      <c r="E64" s="1051" t="str">
        <f>IF(COUNTIF(E$11:E63,F64)&gt;0,"",F64)</f>
        <v/>
      </c>
      <c r="F64" s="1051" t="str">
        <f t="shared" si="9"/>
        <v>Gaz naturel, Europe, Base Carbone</v>
      </c>
      <c r="G64" s="1055" t="str">
        <f t="shared" si="10"/>
        <v>Gaz naturel, Europe, Base Carbone; kgCO2e/GJ PCI, Amont</v>
      </c>
      <c r="I64" s="1031" t="s">
        <v>341</v>
      </c>
      <c r="J64" s="1032" t="s">
        <v>1566</v>
      </c>
      <c r="K64" s="1032" t="s">
        <v>1567</v>
      </c>
      <c r="L64" s="1032" t="s">
        <v>1568</v>
      </c>
      <c r="M64" s="1033">
        <v>0.05</v>
      </c>
      <c r="N64" s="1032" t="s">
        <v>1570</v>
      </c>
      <c r="O64" s="1036">
        <v>10.8</v>
      </c>
      <c r="P64" s="1036">
        <v>7.01</v>
      </c>
      <c r="Q64" s="1036">
        <v>3.78</v>
      </c>
      <c r="R64" s="1036">
        <v>0</v>
      </c>
      <c r="S64" s="1036">
        <v>0</v>
      </c>
      <c r="T64" s="1036">
        <v>0</v>
      </c>
      <c r="U64" s="1037">
        <v>0</v>
      </c>
    </row>
    <row r="65" spans="2:21" hidden="1" outlineLevel="2">
      <c r="B65" s="1050">
        <v>7</v>
      </c>
      <c r="C65" s="1050" t="str">
        <f t="shared" si="7"/>
        <v>Gaz de cokerie, France continentale</v>
      </c>
      <c r="D65" s="1051">
        <f t="shared" si="8"/>
        <v>1</v>
      </c>
      <c r="E65" s="1051" t="str">
        <f>IF(COUNTIF(E$11:E64,F65)&gt;0,"",F65)</f>
        <v/>
      </c>
      <c r="F65" s="1051" t="str">
        <f t="shared" si="9"/>
        <v>Gaz naturel, Europe, Base Carbone</v>
      </c>
      <c r="G65" s="1055" t="str">
        <f t="shared" si="10"/>
        <v>Gaz naturel, Europe, Base Carbone; kgCO2e/GJ PCS, Combustion</v>
      </c>
      <c r="I65" s="1031" t="s">
        <v>341</v>
      </c>
      <c r="J65" s="1032" t="s">
        <v>1576</v>
      </c>
      <c r="K65" s="1032" t="s">
        <v>1567</v>
      </c>
      <c r="L65" s="1032" t="s">
        <v>1568</v>
      </c>
      <c r="M65" s="1033">
        <v>0.05</v>
      </c>
      <c r="N65" s="1032" t="s">
        <v>1569</v>
      </c>
      <c r="O65" s="1036">
        <v>51.2</v>
      </c>
      <c r="P65" s="1036">
        <v>50.5</v>
      </c>
      <c r="Q65" s="1036">
        <v>0.13500000000000001</v>
      </c>
      <c r="R65" s="1036">
        <v>0</v>
      </c>
      <c r="S65" s="1036">
        <v>0.59699999999999998</v>
      </c>
      <c r="T65" s="1036">
        <v>0</v>
      </c>
      <c r="U65" s="1037">
        <v>0</v>
      </c>
    </row>
    <row r="66" spans="2:21" hidden="1" outlineLevel="2">
      <c r="B66" s="1050">
        <v>8</v>
      </c>
      <c r="C66" s="1050" t="str">
        <f t="shared" si="7"/>
        <v>Gaz de haut fourneau, France continentale</v>
      </c>
      <c r="D66" s="1051">
        <f t="shared" si="8"/>
        <v>1</v>
      </c>
      <c r="E66" s="1051" t="str">
        <f>IF(COUNTIF(E$11:E65,F66)&gt;0,"",F66)</f>
        <v/>
      </c>
      <c r="F66" s="1051" t="str">
        <f t="shared" si="9"/>
        <v>Gaz naturel, Europe, Base Carbone</v>
      </c>
      <c r="G66" s="1055" t="str">
        <f t="shared" si="10"/>
        <v>Gaz naturel, Europe, Base Carbone; kgCO2e/GJ PCS, Amont</v>
      </c>
      <c r="I66" s="1031" t="s">
        <v>341</v>
      </c>
      <c r="J66" s="1032" t="s">
        <v>1576</v>
      </c>
      <c r="K66" s="1032" t="s">
        <v>1567</v>
      </c>
      <c r="L66" s="1032" t="s">
        <v>1568</v>
      </c>
      <c r="M66" s="1033">
        <v>0.05</v>
      </c>
      <c r="N66" s="1032" t="s">
        <v>1570</v>
      </c>
      <c r="O66" s="1036">
        <v>8.11</v>
      </c>
      <c r="P66" s="1036">
        <v>4.7</v>
      </c>
      <c r="Q66" s="1036">
        <v>3.41</v>
      </c>
      <c r="R66" s="1036">
        <v>0</v>
      </c>
      <c r="S66" s="1036">
        <v>0</v>
      </c>
      <c r="T66" s="1036">
        <v>0</v>
      </c>
      <c r="U66" s="1037">
        <v>0</v>
      </c>
    </row>
    <row r="67" spans="2:21" hidden="1" outlineLevel="2">
      <c r="B67" s="1050">
        <v>9</v>
      </c>
      <c r="C67" s="1050" t="str">
        <f t="shared" si="7"/>
        <v>-</v>
      </c>
      <c r="D67" s="1051">
        <f t="shared" si="8"/>
        <v>1</v>
      </c>
      <c r="E67" s="1051" t="str">
        <f>IF(COUNTIF(E$11:E66,F67)&gt;0,"",F67)</f>
        <v/>
      </c>
      <c r="F67" s="1051" t="str">
        <f t="shared" si="9"/>
        <v>Gaz naturel, Europe, Base Carbone</v>
      </c>
      <c r="G67" s="1055" t="str">
        <f t="shared" si="10"/>
        <v>Gaz naturel, Europe, Base Carbone; kgCO2e/tep PCS, Combustion</v>
      </c>
      <c r="I67" s="1031" t="s">
        <v>341</v>
      </c>
      <c r="J67" s="1032" t="s">
        <v>1577</v>
      </c>
      <c r="K67" s="1032" t="s">
        <v>1567</v>
      </c>
      <c r="L67" s="1032" t="s">
        <v>1568</v>
      </c>
      <c r="M67" s="1033">
        <v>0.05</v>
      </c>
      <c r="N67" s="1032" t="s">
        <v>1569</v>
      </c>
      <c r="O67" s="1036">
        <v>2150</v>
      </c>
      <c r="P67" s="1036">
        <v>2120</v>
      </c>
      <c r="Q67" s="1036">
        <v>5.68</v>
      </c>
      <c r="R67" s="1036">
        <v>0</v>
      </c>
      <c r="S67" s="1036">
        <v>25.1</v>
      </c>
      <c r="T67" s="1036">
        <v>0</v>
      </c>
      <c r="U67" s="1037">
        <v>0</v>
      </c>
    </row>
    <row r="68" spans="2:21" hidden="1" outlineLevel="2">
      <c r="B68" s="1050">
        <v>10</v>
      </c>
      <c r="C68" s="1050" t="str">
        <f t="shared" si="7"/>
        <v>-</v>
      </c>
      <c r="D68" s="1051">
        <f t="shared" si="8"/>
        <v>1</v>
      </c>
      <c r="E68" s="1051" t="str">
        <f>IF(COUNTIF(E$11:E67,F68)&gt;0,"",F68)</f>
        <v/>
      </c>
      <c r="F68" s="1051" t="str">
        <f t="shared" si="9"/>
        <v>Gaz naturel, Europe, Base Carbone</v>
      </c>
      <c r="G68" s="1055" t="str">
        <f t="shared" si="10"/>
        <v>Gaz naturel, Europe, Base Carbone; kgCO2e/tep PCS, Amont</v>
      </c>
      <c r="I68" s="1031" t="s">
        <v>341</v>
      </c>
      <c r="J68" s="1032" t="s">
        <v>1577</v>
      </c>
      <c r="K68" s="1032" t="s">
        <v>1567</v>
      </c>
      <c r="L68" s="1032" t="s">
        <v>1568</v>
      </c>
      <c r="M68" s="1033">
        <v>0.05</v>
      </c>
      <c r="N68" s="1032" t="s">
        <v>1570</v>
      </c>
      <c r="O68" s="1036">
        <v>340</v>
      </c>
      <c r="P68" s="1036">
        <v>197</v>
      </c>
      <c r="Q68" s="1036">
        <v>143</v>
      </c>
      <c r="R68" s="1036">
        <v>0</v>
      </c>
      <c r="S68" s="1036">
        <v>0</v>
      </c>
      <c r="T68" s="1036">
        <v>0</v>
      </c>
      <c r="U68" s="1037">
        <v>0</v>
      </c>
    </row>
    <row r="69" spans="2:21" hidden="1" outlineLevel="2">
      <c r="B69" s="1050">
        <v>11</v>
      </c>
      <c r="C69" s="1050" t="str">
        <f t="shared" si="7"/>
        <v>-</v>
      </c>
      <c r="D69" s="1051">
        <f t="shared" si="8"/>
        <v>1</v>
      </c>
      <c r="E69" s="1051" t="str">
        <f>IF(COUNTIF(E$11:E68,F69)&gt;0,"",F69)</f>
        <v/>
      </c>
      <c r="F69" s="1051" t="str">
        <f t="shared" si="9"/>
        <v>Gaz naturel, Europe, Base Carbone</v>
      </c>
      <c r="G69" s="1055" t="str">
        <f t="shared" si="10"/>
        <v>Gaz naturel, Europe, Base Carbone; kgCO2e/kWh PCS, Combustion</v>
      </c>
      <c r="I69" s="1031" t="s">
        <v>341</v>
      </c>
      <c r="J69" s="1032" t="s">
        <v>1578</v>
      </c>
      <c r="K69" s="1032" t="s">
        <v>1567</v>
      </c>
      <c r="L69" s="1032" t="s">
        <v>1568</v>
      </c>
      <c r="M69" s="1033">
        <v>0.05</v>
      </c>
      <c r="N69" s="1032" t="s">
        <v>1569</v>
      </c>
      <c r="O69" s="1036">
        <v>0.185</v>
      </c>
      <c r="P69" s="1036">
        <v>0.182</v>
      </c>
      <c r="Q69" s="1036">
        <v>4.86E-4</v>
      </c>
      <c r="R69" s="1036">
        <v>0</v>
      </c>
      <c r="S69" s="1036">
        <v>2.15E-3</v>
      </c>
      <c r="T69" s="1036">
        <v>0</v>
      </c>
      <c r="U69" s="1037">
        <v>0</v>
      </c>
    </row>
    <row r="70" spans="2:21" hidden="1" outlineLevel="2">
      <c r="B70" s="1050">
        <v>12</v>
      </c>
      <c r="C70" s="1050" t="str">
        <f t="shared" si="7"/>
        <v>-</v>
      </c>
      <c r="D70" s="1051">
        <f t="shared" si="8"/>
        <v>1</v>
      </c>
      <c r="E70" s="1051" t="str">
        <f>IF(COUNTIF(E$11:E69,F70)&gt;0,"",F70)</f>
        <v/>
      </c>
      <c r="F70" s="1051" t="str">
        <f t="shared" si="9"/>
        <v>Gaz naturel, Europe, Base Carbone</v>
      </c>
      <c r="G70" s="1055" t="str">
        <f t="shared" si="10"/>
        <v>Gaz naturel, Europe, Base Carbone; kgCO2e/kWh PCS, Amont</v>
      </c>
      <c r="I70" s="1031" t="s">
        <v>341</v>
      </c>
      <c r="J70" s="1032" t="s">
        <v>1578</v>
      </c>
      <c r="K70" s="1032" t="s">
        <v>1567</v>
      </c>
      <c r="L70" s="1032" t="s">
        <v>1568</v>
      </c>
      <c r="M70" s="1033">
        <v>0.05</v>
      </c>
      <c r="N70" s="1032" t="s">
        <v>1570</v>
      </c>
      <c r="O70" s="1036">
        <v>2.92E-2</v>
      </c>
      <c r="P70" s="1036">
        <v>1.6899999999999998E-2</v>
      </c>
      <c r="Q70" s="1036">
        <v>1.23E-2</v>
      </c>
      <c r="R70" s="1036">
        <v>0</v>
      </c>
      <c r="S70" s="1036">
        <v>0</v>
      </c>
      <c r="T70" s="1036">
        <v>0</v>
      </c>
      <c r="U70" s="1037">
        <v>0</v>
      </c>
    </row>
    <row r="71" spans="2:21" hidden="1" outlineLevel="2">
      <c r="B71" s="1050">
        <v>13</v>
      </c>
      <c r="C71" s="1050" t="str">
        <f t="shared" si="7"/>
        <v>-</v>
      </c>
      <c r="D71" s="1051">
        <f t="shared" si="8"/>
        <v>1</v>
      </c>
      <c r="E71" s="1051" t="str">
        <f>IF(COUNTIF(E$11:E70,F71)&gt;0,"",F71)</f>
        <v/>
      </c>
      <c r="F71" s="1051" t="str">
        <f t="shared" si="9"/>
        <v/>
      </c>
      <c r="G71" s="1055" t="str">
        <f t="shared" si="10"/>
        <v/>
      </c>
      <c r="I71" s="1031"/>
      <c r="J71" s="1032"/>
      <c r="K71" s="1032"/>
      <c r="L71" s="1032"/>
      <c r="M71" s="1033"/>
      <c r="N71" s="1032"/>
      <c r="O71" s="1036"/>
      <c r="P71" s="1036"/>
      <c r="Q71" s="1036"/>
      <c r="R71" s="1036"/>
      <c r="S71" s="1036"/>
      <c r="T71" s="1036"/>
      <c r="U71" s="1037"/>
    </row>
    <row r="72" spans="2:21" s="1045" customFormat="1" hidden="1" outlineLevel="2">
      <c r="D72" s="1045">
        <f t="shared" si="8"/>
        <v>2</v>
      </c>
      <c r="E72" s="1045" t="str">
        <f>IF(COUNTIF(E$11:E71,F72)&gt;0,"",F72)</f>
        <v>Gaz naturel - 2015 (mix moyen consommation), France, Base Carbone</v>
      </c>
      <c r="F72" s="1045" t="str">
        <f t="shared" si="9"/>
        <v>Gaz naturel - 2015 (mix moyen consommation), France, Base Carbone</v>
      </c>
      <c r="G72" s="1135" t="str">
        <f t="shared" si="10"/>
        <v>Gaz naturel - 2015 (mix moyen consommation), France, Base Carbone; kgCO2e/kWh PCS, Amont</v>
      </c>
      <c r="I72" s="1034" t="s">
        <v>3086</v>
      </c>
      <c r="J72" s="1119" t="s">
        <v>1578</v>
      </c>
      <c r="K72" s="1032" t="s">
        <v>1567</v>
      </c>
      <c r="L72" s="1119" t="s">
        <v>239</v>
      </c>
      <c r="M72" s="1033">
        <v>0.05</v>
      </c>
      <c r="N72" s="1119" t="s">
        <v>1570</v>
      </c>
      <c r="O72" s="1977">
        <v>3.5700000000000003E-2</v>
      </c>
      <c r="P72" s="1977">
        <v>2.1399999999999999E-2</v>
      </c>
      <c r="Q72" s="1977">
        <v>3.0699999999999998E-3</v>
      </c>
      <c r="R72" s="1977">
        <v>1.1199999999999999E-5</v>
      </c>
      <c r="S72" s="1977">
        <v>2.3900000000000001E-4</v>
      </c>
      <c r="T72" s="1977">
        <v>1.0999999999999999E-2</v>
      </c>
      <c r="U72" s="2177">
        <v>0</v>
      </c>
    </row>
    <row r="73" spans="2:21" s="1045" customFormat="1" hidden="1" outlineLevel="2">
      <c r="D73" s="1045">
        <f t="shared" si="8"/>
        <v>2</v>
      </c>
      <c r="E73" s="1045" t="str">
        <f>IF(COUNTIF(E$11:E72,F73)&gt;0,"",F73)</f>
        <v/>
      </c>
      <c r="F73" s="1045" t="str">
        <f t="shared" si="9"/>
        <v>Gaz naturel - 2015 (mix moyen consommation), France, Base Carbone</v>
      </c>
      <c r="G73" s="1135" t="str">
        <f t="shared" si="10"/>
        <v>Gaz naturel - 2015 (mix moyen consommation), France, Base Carbone; kgCO2e/kWh PCS, Combustion</v>
      </c>
      <c r="I73" s="1034" t="s">
        <v>3086</v>
      </c>
      <c r="J73" s="1119" t="s">
        <v>1578</v>
      </c>
      <c r="K73" s="1032" t="s">
        <v>1567</v>
      </c>
      <c r="L73" s="1119" t="s">
        <v>239</v>
      </c>
      <c r="M73" s="1033">
        <v>0.05</v>
      </c>
      <c r="N73" s="1119" t="s">
        <v>1569</v>
      </c>
      <c r="O73" s="1977">
        <v>0.16800000000000001</v>
      </c>
      <c r="P73" s="1977">
        <v>0.16800000000000001</v>
      </c>
      <c r="Q73" s="1977">
        <v>0</v>
      </c>
      <c r="R73" s="1977">
        <v>0</v>
      </c>
      <c r="S73" s="1977">
        <v>4.2900000000000002E-4</v>
      </c>
      <c r="T73" s="1977">
        <v>0</v>
      </c>
      <c r="U73" s="2177">
        <v>0</v>
      </c>
    </row>
    <row r="74" spans="2:21" s="1045" customFormat="1" hidden="1" outlineLevel="2">
      <c r="D74" s="1045">
        <f t="shared" si="8"/>
        <v>2</v>
      </c>
      <c r="E74" s="1045" t="str">
        <f>IF(COUNTIF(E$11:E73,F74)&gt;0,"",F74)</f>
        <v/>
      </c>
      <c r="F74" s="1045" t="str">
        <f t="shared" si="9"/>
        <v>Gaz naturel - 2015 (mix moyen consommation), France, Base Carbone</v>
      </c>
      <c r="G74" s="1135" t="str">
        <f t="shared" si="10"/>
        <v>Gaz naturel - 2015 (mix moyen consommation), France, Base Carbone; kgCO2e/GJ PCI, Amont</v>
      </c>
      <c r="I74" s="1034" t="s">
        <v>3086</v>
      </c>
      <c r="J74" s="1119" t="s">
        <v>1566</v>
      </c>
      <c r="K74" s="1032" t="s">
        <v>1567</v>
      </c>
      <c r="L74" s="1119" t="s">
        <v>239</v>
      </c>
      <c r="M74" s="1033">
        <v>0.05</v>
      </c>
      <c r="N74" s="1119" t="s">
        <v>1570</v>
      </c>
      <c r="O74" s="1977">
        <v>11</v>
      </c>
      <c r="P74" s="1977">
        <v>6.58</v>
      </c>
      <c r="Q74" s="1977">
        <v>0.94699999999999995</v>
      </c>
      <c r="R74" s="1977">
        <v>3.7200000000000002E-3</v>
      </c>
      <c r="S74" s="1977">
        <v>7.4999999999999997E-2</v>
      </c>
      <c r="T74" s="1977">
        <v>3.42</v>
      </c>
      <c r="U74" s="2177">
        <v>0</v>
      </c>
    </row>
    <row r="75" spans="2:21" s="1045" customFormat="1" hidden="1" outlineLevel="2">
      <c r="D75" s="1045">
        <f t="shared" si="8"/>
        <v>2</v>
      </c>
      <c r="E75" s="1045" t="str">
        <f>IF(COUNTIF(E$11:E74,F75)&gt;0,"",F75)</f>
        <v/>
      </c>
      <c r="F75" s="1045" t="str">
        <f t="shared" si="9"/>
        <v>Gaz naturel - 2015 (mix moyen consommation), France, Base Carbone</v>
      </c>
      <c r="G75" s="1135" t="str">
        <f t="shared" si="10"/>
        <v>Gaz naturel - 2015 (mix moyen consommation), France, Base Carbone; kgCO2e/GJ PCI, Combustion</v>
      </c>
      <c r="I75" s="1034" t="s">
        <v>3086</v>
      </c>
      <c r="J75" s="1119" t="s">
        <v>1566</v>
      </c>
      <c r="K75" s="1032" t="s">
        <v>1567</v>
      </c>
      <c r="L75" s="1119" t="s">
        <v>239</v>
      </c>
      <c r="M75" s="1033">
        <v>0.05</v>
      </c>
      <c r="N75" s="1119" t="s">
        <v>1569</v>
      </c>
      <c r="O75" s="1977">
        <v>52</v>
      </c>
      <c r="P75" s="1977">
        <v>51.9</v>
      </c>
      <c r="Q75" s="1977">
        <v>0</v>
      </c>
      <c r="R75" s="1977">
        <v>0</v>
      </c>
      <c r="S75" s="1977">
        <v>0.13300000000000001</v>
      </c>
      <c r="T75" s="1977">
        <v>0</v>
      </c>
      <c r="U75" s="2177">
        <v>6.7000000000000002E-6</v>
      </c>
    </row>
    <row r="76" spans="2:21" s="1045" customFormat="1" hidden="1" outlineLevel="2">
      <c r="D76" s="1045">
        <f t="shared" si="8"/>
        <v>2</v>
      </c>
      <c r="E76" s="1045" t="str">
        <f>IF(COUNTIF(E$11:E75,F76)&gt;0,"",F76)</f>
        <v/>
      </c>
      <c r="F76" s="1045" t="str">
        <f t="shared" si="9"/>
        <v>Gaz naturel - 2015 (mix moyen consommation), France, Base Carbone</v>
      </c>
      <c r="G76" s="1135" t="str">
        <f t="shared" si="10"/>
        <v>Gaz naturel - 2015 (mix moyen consommation), France, Base Carbone; kgCO2e/GJ PCS, Amont</v>
      </c>
      <c r="I76" s="1034" t="s">
        <v>3086</v>
      </c>
      <c r="J76" s="1119" t="s">
        <v>1576</v>
      </c>
      <c r="K76" s="1032" t="s">
        <v>1567</v>
      </c>
      <c r="L76" s="1119" t="s">
        <v>239</v>
      </c>
      <c r="M76" s="1033">
        <v>0.05</v>
      </c>
      <c r="N76" s="1119" t="s">
        <v>1570</v>
      </c>
      <c r="O76" s="1977">
        <v>9.93</v>
      </c>
      <c r="P76" s="1977">
        <v>5.93</v>
      </c>
      <c r="Q76" s="1977">
        <v>0.85299999999999998</v>
      </c>
      <c r="R76" s="1977">
        <v>3.5000000000000001E-3</v>
      </c>
      <c r="S76" s="1977">
        <v>6.7599999999999993E-2</v>
      </c>
      <c r="T76" s="1977">
        <v>3.08</v>
      </c>
      <c r="U76" s="2177">
        <v>6.0000000000000002E-6</v>
      </c>
    </row>
    <row r="77" spans="2:21" s="1045" customFormat="1" hidden="1" outlineLevel="2">
      <c r="D77" s="1045">
        <f t="shared" si="8"/>
        <v>2</v>
      </c>
      <c r="E77" s="1045" t="str">
        <f>IF(COUNTIF(E$11:E76,F77)&gt;0,"",F77)</f>
        <v/>
      </c>
      <c r="F77" s="1045" t="str">
        <f t="shared" si="9"/>
        <v>Gaz naturel - 2015 (mix moyen consommation), France, Base Carbone</v>
      </c>
      <c r="G77" s="1135" t="str">
        <f t="shared" si="10"/>
        <v>Gaz naturel - 2015 (mix moyen consommation), France, Base Carbone; kgCO2e/GJ PCS, Combustion</v>
      </c>
      <c r="I77" s="1034" t="s">
        <v>3086</v>
      </c>
      <c r="J77" s="1119" t="s">
        <v>1576</v>
      </c>
      <c r="K77" s="1032" t="s">
        <v>1567</v>
      </c>
      <c r="L77" s="1119" t="s">
        <v>239</v>
      </c>
      <c r="M77" s="1033">
        <v>0.05</v>
      </c>
      <c r="N77" s="1119" t="s">
        <v>1569</v>
      </c>
      <c r="O77" s="1977">
        <v>46.9</v>
      </c>
      <c r="P77" s="1977">
        <v>46.8</v>
      </c>
      <c r="Q77" s="1977">
        <v>0</v>
      </c>
      <c r="R77" s="1977">
        <v>0</v>
      </c>
      <c r="S77" s="1977">
        <v>0.11899999999999999</v>
      </c>
      <c r="T77" s="1977">
        <v>0</v>
      </c>
      <c r="U77" s="2177">
        <v>0</v>
      </c>
    </row>
    <row r="78" spans="2:21" s="1045" customFormat="1" hidden="1" outlineLevel="2">
      <c r="D78" s="1045">
        <f t="shared" si="8"/>
        <v>2</v>
      </c>
      <c r="E78" s="1045" t="str">
        <f>IF(COUNTIF(E$11:E77,F78)&gt;0,"",F78)</f>
        <v/>
      </c>
      <c r="F78" s="1045" t="str">
        <f t="shared" si="9"/>
        <v>Gaz naturel - 2015 (mix moyen consommation), France, Base Carbone</v>
      </c>
      <c r="G78" s="1135" t="str">
        <f t="shared" si="10"/>
        <v>Gaz naturel - 2015 (mix moyen consommation), France, Base Carbone; kgCO2e/tep PCI, Amont</v>
      </c>
      <c r="I78" s="1034" t="s">
        <v>3086</v>
      </c>
      <c r="J78" s="1119" t="s">
        <v>1575</v>
      </c>
      <c r="K78" s="1032" t="s">
        <v>1567</v>
      </c>
      <c r="L78" s="1119" t="s">
        <v>239</v>
      </c>
      <c r="M78" s="1033">
        <v>0.05</v>
      </c>
      <c r="N78" s="1119" t="s">
        <v>1570</v>
      </c>
      <c r="O78" s="1977">
        <v>462</v>
      </c>
      <c r="P78" s="1977">
        <v>276</v>
      </c>
      <c r="Q78" s="1977">
        <v>39.700000000000003</v>
      </c>
      <c r="R78" s="1977">
        <v>0.156</v>
      </c>
      <c r="S78" s="1977">
        <v>3.14</v>
      </c>
      <c r="T78" s="1977">
        <v>143</v>
      </c>
      <c r="U78" s="2177">
        <v>2.7900000000000001E-4</v>
      </c>
    </row>
    <row r="79" spans="2:21" s="1045" customFormat="1" hidden="1" outlineLevel="2">
      <c r="D79" s="1045">
        <f t="shared" si="8"/>
        <v>2</v>
      </c>
      <c r="E79" s="1045" t="str">
        <f>IF(COUNTIF(E$11:E78,F79)&gt;0,"",F79)</f>
        <v/>
      </c>
      <c r="F79" s="1045" t="str">
        <f t="shared" si="9"/>
        <v>Gaz naturel - 2015 (mix moyen consommation), France, Base Carbone</v>
      </c>
      <c r="G79" s="1135" t="str">
        <f t="shared" si="10"/>
        <v>Gaz naturel - 2015 (mix moyen consommation), France, Base Carbone; kgCO2e/tep PCI, Combustion</v>
      </c>
      <c r="I79" s="1034" t="s">
        <v>3086</v>
      </c>
      <c r="J79" s="1119" t="s">
        <v>1575</v>
      </c>
      <c r="K79" s="1032" t="s">
        <v>1567</v>
      </c>
      <c r="L79" s="1119" t="s">
        <v>239</v>
      </c>
      <c r="M79" s="1033">
        <v>0.05</v>
      </c>
      <c r="N79" s="1119" t="s">
        <v>1569</v>
      </c>
      <c r="O79" s="1977">
        <v>2180</v>
      </c>
      <c r="P79" s="1977">
        <v>2174</v>
      </c>
      <c r="Q79" s="1977">
        <v>0</v>
      </c>
      <c r="R79" s="1977">
        <v>0</v>
      </c>
      <c r="S79" s="1977">
        <v>5.55</v>
      </c>
      <c r="T79" s="1977">
        <v>0</v>
      </c>
      <c r="U79" s="2177">
        <v>0</v>
      </c>
    </row>
    <row r="80" spans="2:21" s="1045" customFormat="1" hidden="1" outlineLevel="2">
      <c r="D80" s="1045">
        <f t="shared" si="8"/>
        <v>2</v>
      </c>
      <c r="E80" s="1045" t="str">
        <f>IF(COUNTIF(E$11:E79,F80)&gt;0,"",F80)</f>
        <v/>
      </c>
      <c r="F80" s="1045" t="str">
        <f t="shared" si="9"/>
        <v>Gaz naturel - 2015 (mix moyen consommation), France, Base Carbone</v>
      </c>
      <c r="G80" s="1135" t="str">
        <f t="shared" si="10"/>
        <v>Gaz naturel - 2015 (mix moyen consommation), France, Base Carbone; kgCO2e/tep PCS, Amont</v>
      </c>
      <c r="I80" s="1034" t="s">
        <v>3086</v>
      </c>
      <c r="J80" s="1119" t="s">
        <v>1577</v>
      </c>
      <c r="K80" s="1032" t="s">
        <v>1567</v>
      </c>
      <c r="L80" s="1119" t="s">
        <v>239</v>
      </c>
      <c r="M80" s="1033">
        <v>0.05</v>
      </c>
      <c r="N80" s="1119" t="s">
        <v>1570</v>
      </c>
      <c r="O80" s="1977">
        <v>416</v>
      </c>
      <c r="P80" s="1977">
        <v>248</v>
      </c>
      <c r="Q80" s="1977">
        <v>35.700000000000003</v>
      </c>
      <c r="R80" s="1977">
        <v>0.14000000000000001</v>
      </c>
      <c r="S80" s="1977">
        <v>2.83</v>
      </c>
      <c r="T80" s="1977">
        <v>129</v>
      </c>
      <c r="U80" s="2177">
        <v>2.5099999999999998E-4</v>
      </c>
    </row>
    <row r="81" spans="2:21" s="1045" customFormat="1" hidden="1" outlineLevel="2">
      <c r="D81" s="1045">
        <f t="shared" si="8"/>
        <v>2</v>
      </c>
      <c r="E81" s="1045" t="str">
        <f>IF(COUNTIF(E$11:E80,F81)&gt;0,"",F81)</f>
        <v/>
      </c>
      <c r="F81" s="1045" t="str">
        <f t="shared" si="9"/>
        <v>Gaz naturel - 2015 (mix moyen consommation), France, Base Carbone</v>
      </c>
      <c r="G81" s="1135" t="str">
        <f t="shared" si="10"/>
        <v>Gaz naturel - 2015 (mix moyen consommation), France, Base Carbone; kgCO2e/tep PCS, Combustion</v>
      </c>
      <c r="I81" s="1034" t="s">
        <v>3086</v>
      </c>
      <c r="J81" s="1119" t="s">
        <v>1577</v>
      </c>
      <c r="K81" s="1032" t="s">
        <v>1567</v>
      </c>
      <c r="L81" s="1119" t="s">
        <v>239</v>
      </c>
      <c r="M81" s="1033">
        <v>0.05</v>
      </c>
      <c r="N81" s="1119" t="s">
        <v>1569</v>
      </c>
      <c r="O81" s="1977">
        <v>1964</v>
      </c>
      <c r="P81" s="1977">
        <v>1959</v>
      </c>
      <c r="Q81" s="1977">
        <v>0</v>
      </c>
      <c r="R81" s="1977">
        <v>0</v>
      </c>
      <c r="S81" s="1977">
        <v>5</v>
      </c>
      <c r="T81" s="1977">
        <v>0</v>
      </c>
      <c r="U81" s="2177">
        <v>0</v>
      </c>
    </row>
    <row r="82" spans="2:21" s="1045" customFormat="1" hidden="1" outlineLevel="2">
      <c r="D82" s="1045">
        <f t="shared" si="8"/>
        <v>2</v>
      </c>
      <c r="E82" s="1045" t="str">
        <f>IF(COUNTIF(E$11:E81,F82)&gt;0,"",F82)</f>
        <v/>
      </c>
      <c r="F82" s="1045" t="str">
        <f t="shared" si="9"/>
        <v>Gaz naturel - 2015 (mix moyen consommation), France, Base Carbone</v>
      </c>
      <c r="G82" s="1135" t="str">
        <f t="shared" si="10"/>
        <v>Gaz naturel - 2015 (mix moyen consommation), France, Base Carbone; kgCO2e/m3, Amont</v>
      </c>
      <c r="I82" s="1034" t="s">
        <v>3086</v>
      </c>
      <c r="J82" s="1119" t="s">
        <v>2358</v>
      </c>
      <c r="K82" s="1032" t="s">
        <v>1567</v>
      </c>
      <c r="L82" s="1119" t="s">
        <v>239</v>
      </c>
      <c r="M82" s="1033">
        <v>0.05</v>
      </c>
      <c r="N82" s="1119" t="s">
        <v>1570</v>
      </c>
      <c r="O82" s="1977">
        <v>0.38500000000000001</v>
      </c>
      <c r="P82" s="1977">
        <v>0.23</v>
      </c>
      <c r="Q82" s="1977">
        <v>3.3000000000000002E-2</v>
      </c>
      <c r="R82" s="1977">
        <v>1.2899999999999999E-4</v>
      </c>
      <c r="S82" s="1977">
        <v>7.2300000000000003E-3</v>
      </c>
      <c r="T82" s="1977">
        <v>0.11899999999999999</v>
      </c>
      <c r="U82" s="2177">
        <v>1.9999999999999999E-7</v>
      </c>
    </row>
    <row r="83" spans="2:21" s="1045" customFormat="1" hidden="1" outlineLevel="2">
      <c r="D83" s="1045">
        <f t="shared" si="8"/>
        <v>2</v>
      </c>
      <c r="E83" s="1045" t="str">
        <f>IF(COUNTIF(E$11:E82,F83)&gt;0,"",F83)</f>
        <v/>
      </c>
      <c r="F83" s="1045" t="str">
        <f t="shared" si="9"/>
        <v>Gaz naturel - 2015 (mix moyen consommation), France, Base Carbone</v>
      </c>
      <c r="G83" s="1135" t="str">
        <f t="shared" si="10"/>
        <v>Gaz naturel - 2015 (mix moyen consommation), France, Base Carbone; kgCO2e/m3, Combustion</v>
      </c>
      <c r="I83" s="1034" t="s">
        <v>3086</v>
      </c>
      <c r="J83" s="1119" t="s">
        <v>2358</v>
      </c>
      <c r="K83" s="1032" t="s">
        <v>1567</v>
      </c>
      <c r="L83" s="1119" t="s">
        <v>239</v>
      </c>
      <c r="M83" s="1033">
        <v>0.05</v>
      </c>
      <c r="N83" s="1119" t="s">
        <v>1569</v>
      </c>
      <c r="O83" s="1977">
        <v>1.81</v>
      </c>
      <c r="P83" s="1977">
        <v>1.81</v>
      </c>
      <c r="Q83" s="1977">
        <v>0</v>
      </c>
      <c r="R83" s="1977">
        <v>0</v>
      </c>
      <c r="S83" s="1977">
        <v>4.6100000000000004E-3</v>
      </c>
      <c r="T83" s="1977">
        <v>0</v>
      </c>
      <c r="U83" s="2177">
        <v>0</v>
      </c>
    </row>
    <row r="84" spans="2:21" s="1045" customFormat="1" hidden="1" outlineLevel="2">
      <c r="D84" s="1045">
        <f t="shared" si="8"/>
        <v>2</v>
      </c>
      <c r="E84" s="1045" t="str">
        <f>IF(COUNTIF(E$11:E83,F84)&gt;0,"",F84)</f>
        <v/>
      </c>
      <c r="F84" s="1045" t="str">
        <f t="shared" si="9"/>
        <v>Gaz naturel - 2015 (mix moyen consommation), France, Base Carbone</v>
      </c>
      <c r="G84" s="1135" t="str">
        <f t="shared" si="10"/>
        <v>Gaz naturel - 2015 (mix moyen consommation), France, Base Carbone; kgCO2e/kWh PCI, Amont</v>
      </c>
      <c r="I84" s="1034" t="s">
        <v>3086</v>
      </c>
      <c r="J84" s="1119" t="s">
        <v>1573</v>
      </c>
      <c r="K84" s="1032" t="s">
        <v>1567</v>
      </c>
      <c r="L84" s="1119" t="s">
        <v>239</v>
      </c>
      <c r="M84" s="1033">
        <v>0.05</v>
      </c>
      <c r="N84" s="1119" t="s">
        <v>1570</v>
      </c>
      <c r="O84" s="1977">
        <v>3.9699999999999999E-2</v>
      </c>
      <c r="P84" s="1977">
        <v>2.3699999999999999E-2</v>
      </c>
      <c r="Q84" s="1977">
        <v>3.4099999999999998E-3</v>
      </c>
      <c r="R84" s="2178">
        <v>1.4E-5</v>
      </c>
      <c r="S84" s="1977">
        <v>2.6499999999999999E-4</v>
      </c>
      <c r="T84" s="1977">
        <v>1.23E-2</v>
      </c>
      <c r="U84" s="2177">
        <v>0</v>
      </c>
    </row>
    <row r="85" spans="2:21" s="1045" customFormat="1" hidden="1" outlineLevel="2">
      <c r="D85" s="1045">
        <f t="shared" si="8"/>
        <v>2</v>
      </c>
      <c r="E85" s="1045" t="str">
        <f>IF(COUNTIF(E$11:E84,F85)&gt;0,"",F85)</f>
        <v/>
      </c>
      <c r="F85" s="1045" t="str">
        <f t="shared" si="9"/>
        <v>Gaz naturel - 2015 (mix moyen consommation), France, Base Carbone</v>
      </c>
      <c r="G85" s="1135" t="str">
        <f t="shared" si="10"/>
        <v>Gaz naturel - 2015 (mix moyen consommation), France, Base Carbone; kgCO2e/kWh PCI, Combustion</v>
      </c>
      <c r="I85" s="1034" t="s">
        <v>3086</v>
      </c>
      <c r="J85" s="1119" t="s">
        <v>1573</v>
      </c>
      <c r="K85" s="1032" t="s">
        <v>1567</v>
      </c>
      <c r="L85" s="1119" t="s">
        <v>239</v>
      </c>
      <c r="M85" s="1033">
        <v>0.05</v>
      </c>
      <c r="N85" s="1119" t="s">
        <v>1569</v>
      </c>
      <c r="O85" s="1977">
        <v>0.187</v>
      </c>
      <c r="P85" s="1977">
        <f t="shared" ref="P85" si="11">O85</f>
        <v>0.187</v>
      </c>
      <c r="Q85" s="1977">
        <v>0</v>
      </c>
      <c r="R85" s="1977">
        <v>0</v>
      </c>
      <c r="S85" s="1977">
        <v>4.7699999999999999E-4</v>
      </c>
      <c r="T85" s="1977">
        <v>0</v>
      </c>
      <c r="U85" s="2177">
        <v>0</v>
      </c>
    </row>
    <row r="86" spans="2:21" s="1045" customFormat="1" hidden="1" outlineLevel="2">
      <c r="D86" s="1045">
        <f t="shared" si="8"/>
        <v>2</v>
      </c>
      <c r="E86" s="1045" t="str">
        <f>IF(COUNTIF(E$11:E85,F86)&gt;0,"",F86)</f>
        <v/>
      </c>
      <c r="F86" s="1045" t="str">
        <f t="shared" si="9"/>
        <v/>
      </c>
      <c r="G86" s="1135" t="str">
        <f t="shared" si="10"/>
        <v/>
      </c>
      <c r="I86" s="1031"/>
      <c r="J86" s="1032"/>
      <c r="K86" s="1032"/>
      <c r="L86" s="1032"/>
      <c r="M86" s="1033"/>
      <c r="N86" s="1032"/>
      <c r="O86" s="1036"/>
      <c r="P86" s="1036"/>
      <c r="Q86" s="1036"/>
      <c r="R86" s="1036"/>
      <c r="S86" s="1036"/>
      <c r="T86" s="1036"/>
      <c r="U86" s="1037"/>
    </row>
    <row r="87" spans="2:21" s="1045" customFormat="1" hidden="1" outlineLevel="2">
      <c r="D87" s="1045">
        <f t="shared" si="8"/>
        <v>3</v>
      </c>
      <c r="E87" s="1045" t="str">
        <f>IF(COUNTIF(E$11:E86,F87)&gt;0,"",F87)</f>
        <v>Gaz d'aciérie, France continentale, Base Carbone</v>
      </c>
      <c r="F87" s="1045" t="str">
        <f t="shared" si="9"/>
        <v>Gaz d'aciérie, France continentale, Base Carbone</v>
      </c>
      <c r="G87" s="1135" t="str">
        <f t="shared" si="10"/>
        <v>Gaz d'aciérie, France continentale, Base Carbone; kgCO2e/GJ PCI, Combustion</v>
      </c>
      <c r="I87" s="1031" t="s">
        <v>903</v>
      </c>
      <c r="J87" s="1032" t="s">
        <v>1566</v>
      </c>
      <c r="K87" s="1032" t="s">
        <v>1567</v>
      </c>
      <c r="L87" s="1032" t="s">
        <v>1571</v>
      </c>
      <c r="M87" s="1033">
        <v>0.05</v>
      </c>
      <c r="N87" s="1032" t="s">
        <v>1569</v>
      </c>
      <c r="O87" s="1036">
        <v>183</v>
      </c>
      <c r="P87" s="1036">
        <v>182</v>
      </c>
      <c r="Q87" s="1036">
        <v>0.03</v>
      </c>
      <c r="R87" s="1036">
        <v>0</v>
      </c>
      <c r="S87" s="1036">
        <v>0.66300000000000003</v>
      </c>
      <c r="T87" s="1036">
        <v>0</v>
      </c>
      <c r="U87" s="1037">
        <v>0</v>
      </c>
    </row>
    <row r="88" spans="2:21" s="1045" customFormat="1" hidden="1" outlineLevel="2">
      <c r="D88" s="1045">
        <f t="shared" si="8"/>
        <v>4</v>
      </c>
      <c r="E88" s="1045" t="str">
        <f>IF(COUNTIF(E$11:E87,F88)&gt;0,"",F88)</f>
        <v>Gaz de cokerie, France continentale, Base Carbone</v>
      </c>
      <c r="F88" s="1045" t="str">
        <f t="shared" si="9"/>
        <v>Gaz de cokerie, France continentale, Base Carbone</v>
      </c>
      <c r="G88" s="1135" t="str">
        <f t="shared" si="10"/>
        <v>Gaz de cokerie, France continentale, Base Carbone; kgCO2e/GJ PCI, Combustion</v>
      </c>
      <c r="I88" s="1031" t="s">
        <v>904</v>
      </c>
      <c r="J88" s="1032" t="s">
        <v>1566</v>
      </c>
      <c r="K88" s="1032" t="s">
        <v>1567</v>
      </c>
      <c r="L88" s="1032" t="s">
        <v>1571</v>
      </c>
      <c r="M88" s="1033">
        <v>0.05</v>
      </c>
      <c r="N88" s="1032" t="s">
        <v>1569</v>
      </c>
      <c r="O88" s="1036">
        <v>47.5</v>
      </c>
      <c r="P88" s="1036">
        <v>47</v>
      </c>
      <c r="Q88" s="1036">
        <v>8.9999999999999993E-3</v>
      </c>
      <c r="R88" s="1036">
        <v>0</v>
      </c>
      <c r="S88" s="1036">
        <v>0.47699999999999998</v>
      </c>
      <c r="T88" s="1036">
        <v>0</v>
      </c>
      <c r="U88" s="1037">
        <v>0</v>
      </c>
    </row>
    <row r="89" spans="2:21" s="1045" customFormat="1" hidden="1" outlineLevel="2">
      <c r="D89" s="1045">
        <f t="shared" si="8"/>
        <v>5</v>
      </c>
      <c r="E89" s="1045" t="str">
        <f>IF(COUNTIF(E$11:E88,F89)&gt;0,"",F89)</f>
        <v>Gaz de haut fourneau, France continentale, Base Carbone</v>
      </c>
      <c r="F89" s="1045" t="str">
        <f t="shared" si="9"/>
        <v>Gaz de haut fourneau, France continentale, Base Carbone</v>
      </c>
      <c r="G89" s="1135" t="str">
        <f t="shared" si="10"/>
        <v>Gaz de haut fourneau, France continentale, Base Carbone; kgCO2e/GJ PCI, Combustion</v>
      </c>
      <c r="I89" s="1031" t="s">
        <v>905</v>
      </c>
      <c r="J89" s="1032" t="s">
        <v>1566</v>
      </c>
      <c r="K89" s="1032" t="s">
        <v>1567</v>
      </c>
      <c r="L89" s="1032" t="s">
        <v>1571</v>
      </c>
      <c r="M89" s="1033">
        <v>0.05</v>
      </c>
      <c r="N89" s="1032" t="s">
        <v>1569</v>
      </c>
      <c r="O89" s="1036">
        <v>268</v>
      </c>
      <c r="P89" s="1036">
        <v>268</v>
      </c>
      <c r="Q89" s="1036">
        <v>8.9999999999999993E-3</v>
      </c>
      <c r="R89" s="1036">
        <v>0</v>
      </c>
      <c r="S89" s="1036">
        <v>0.47699999999999998</v>
      </c>
      <c r="T89" s="1036">
        <v>0</v>
      </c>
      <c r="U89" s="1037">
        <v>0</v>
      </c>
    </row>
    <row r="90" spans="2:21" s="1045" customFormat="1" hidden="1" outlineLevel="2">
      <c r="D90" s="1045">
        <f t="shared" si="8"/>
        <v>6</v>
      </c>
      <c r="E90" s="1045" t="str">
        <f>IF(COUNTIF(E$11:E89,F90)&gt;0,"",F90)</f>
        <v>Gaz d'aciérie, France continentale</v>
      </c>
      <c r="F90" s="1045" t="str">
        <f t="shared" si="9"/>
        <v>Gaz d'aciérie, France continentale</v>
      </c>
      <c r="G90" s="1135" t="str">
        <f t="shared" si="10"/>
        <v>Gaz d'aciérie, France continentale; kgCO2e/kWh PCI, Combustion</v>
      </c>
      <c r="I90" s="2037" t="s">
        <v>903</v>
      </c>
      <c r="J90" s="2017" t="s">
        <v>1573</v>
      </c>
      <c r="K90" s="2017"/>
      <c r="L90" s="2017" t="s">
        <v>1571</v>
      </c>
      <c r="M90" s="2038">
        <v>0.05</v>
      </c>
      <c r="N90" s="2017" t="s">
        <v>1569</v>
      </c>
      <c r="O90" s="1980">
        <f t="shared" ref="O90:P92" si="12">O87*O$59/O$63</f>
        <v>0.65931458699472767</v>
      </c>
      <c r="P90" s="2050">
        <f t="shared" si="12"/>
        <v>0.6553297682709448</v>
      </c>
      <c r="Q90" s="1980">
        <f t="shared" ref="Q90:S90" si="13">Q87*Q$59/Q$63</f>
        <v>1.0800000000000001E-4</v>
      </c>
      <c r="R90" s="1980">
        <v>0</v>
      </c>
      <c r="S90" s="1980">
        <f t="shared" si="13"/>
        <v>2.3900000000000002E-3</v>
      </c>
      <c r="T90" s="1980">
        <v>0</v>
      </c>
      <c r="U90" s="2036">
        <v>0</v>
      </c>
    </row>
    <row r="91" spans="2:21" s="1045" customFormat="1" hidden="1" outlineLevel="2">
      <c r="D91" s="1045">
        <f t="shared" si="8"/>
        <v>7</v>
      </c>
      <c r="E91" s="1045" t="str">
        <f>IF(COUNTIF(E$11:E90,F91)&gt;0,"",F91)</f>
        <v>Gaz de cokerie, France continentale</v>
      </c>
      <c r="F91" s="1045" t="str">
        <f t="shared" si="9"/>
        <v>Gaz de cokerie, France continentale</v>
      </c>
      <c r="G91" s="1135" t="str">
        <f t="shared" si="10"/>
        <v>Gaz de cokerie, France continentale; kgCO2e/kWh PCI, Combustion</v>
      </c>
      <c r="I91" s="2037" t="s">
        <v>904</v>
      </c>
      <c r="J91" s="2017" t="s">
        <v>1573</v>
      </c>
      <c r="K91" s="2017"/>
      <c r="L91" s="2017" t="s">
        <v>1571</v>
      </c>
      <c r="M91" s="2038">
        <v>0.05</v>
      </c>
      <c r="N91" s="2017" t="s">
        <v>1569</v>
      </c>
      <c r="O91" s="1980">
        <f t="shared" si="12"/>
        <v>0.17113356766256588</v>
      </c>
      <c r="P91" s="2050">
        <f t="shared" si="12"/>
        <v>0.16923351158645275</v>
      </c>
      <c r="Q91" s="2051">
        <f>Q88*O$59/O$63</f>
        <v>3.2425307557117749E-5</v>
      </c>
      <c r="R91" s="1980">
        <f t="shared" ref="R91" si="14">R88*$O$59/$O$63</f>
        <v>0</v>
      </c>
      <c r="S91" s="2050">
        <f t="shared" ref="S91" si="15">S88*S$59/S$63</f>
        <v>1.7195022624434389E-3</v>
      </c>
      <c r="T91" s="1980">
        <v>0</v>
      </c>
      <c r="U91" s="2036">
        <v>0</v>
      </c>
    </row>
    <row r="92" spans="2:21" s="1045" customFormat="1" hidden="1" outlineLevel="2">
      <c r="D92" s="1045">
        <f t="shared" si="8"/>
        <v>8</v>
      </c>
      <c r="E92" s="1045" t="str">
        <f>IF(COUNTIF(E$11:E91,F92)&gt;0,"",F92)</f>
        <v>Gaz de haut fourneau, France continentale</v>
      </c>
      <c r="F92" s="1045" t="str">
        <f t="shared" si="9"/>
        <v>Gaz de haut fourneau, France continentale</v>
      </c>
      <c r="G92" s="1135" t="str">
        <f t="shared" si="10"/>
        <v>Gaz de haut fourneau, France continentale; kgCO2e/kWh PCI, Combustion</v>
      </c>
      <c r="I92" s="2037" t="s">
        <v>905</v>
      </c>
      <c r="J92" s="2017" t="s">
        <v>1573</v>
      </c>
      <c r="K92" s="2017"/>
      <c r="L92" s="2017" t="s">
        <v>1571</v>
      </c>
      <c r="M92" s="2038">
        <v>0.05</v>
      </c>
      <c r="N92" s="2017" t="s">
        <v>1569</v>
      </c>
      <c r="O92" s="1980">
        <f t="shared" si="12"/>
        <v>0.9655536028119508</v>
      </c>
      <c r="P92" s="2050">
        <f t="shared" si="12"/>
        <v>0.9649910873440285</v>
      </c>
      <c r="Q92" s="1980">
        <f>Q89*O$59/O$63</f>
        <v>3.2425307557117749E-5</v>
      </c>
      <c r="R92" s="1980">
        <f t="shared" ref="R92" si="16">R89*$O$59/$O$63</f>
        <v>0</v>
      </c>
      <c r="S92" s="2050">
        <f t="shared" ref="S92" si="17">S89*S$59/S$63</f>
        <v>1.7195022624434389E-3</v>
      </c>
      <c r="T92" s="1980">
        <v>0</v>
      </c>
      <c r="U92" s="2036">
        <v>0</v>
      </c>
    </row>
    <row r="93" spans="2:21" hidden="1" outlineLevel="2">
      <c r="D93" s="1051">
        <f t="shared" si="8"/>
        <v>8</v>
      </c>
      <c r="E93" s="1051" t="str">
        <f>IF(COUNTIF(E$11:E92,F93)&gt;0,"",F93)</f>
        <v/>
      </c>
      <c r="F93" s="1051" t="str">
        <f t="shared" si="9"/>
        <v/>
      </c>
      <c r="G93" s="1055" t="str">
        <f t="shared" si="10"/>
        <v/>
      </c>
      <c r="I93" s="1031"/>
      <c r="J93" s="1032"/>
      <c r="K93" s="1032"/>
      <c r="L93" s="1032"/>
      <c r="M93" s="1033"/>
      <c r="N93" s="1032"/>
      <c r="O93" s="1036"/>
      <c r="P93" s="1036"/>
      <c r="Q93" s="1036"/>
      <c r="R93" s="1036"/>
      <c r="S93" s="1036"/>
      <c r="T93" s="1036"/>
      <c r="U93" s="1037"/>
    </row>
    <row r="94" spans="2:21" s="1045" customFormat="1" hidden="1" outlineLevel="1">
      <c r="G94" s="1135"/>
      <c r="I94" s="1694"/>
      <c r="J94" s="1695"/>
      <c r="K94" s="1695"/>
      <c r="L94" s="1695"/>
      <c r="M94" s="1696"/>
      <c r="N94" s="1695"/>
      <c r="O94" s="1697"/>
      <c r="P94" s="1697"/>
      <c r="Q94" s="1697"/>
      <c r="R94" s="1697"/>
      <c r="S94" s="1697"/>
      <c r="T94" s="1697"/>
      <c r="U94" s="1698"/>
    </row>
    <row r="95" spans="2:21" ht="12" hidden="1" customHeight="1" outlineLevel="1" collapsed="1">
      <c r="B95" s="3156" t="s">
        <v>1628</v>
      </c>
      <c r="C95" s="3156"/>
      <c r="D95" s="1051">
        <v>0</v>
      </c>
      <c r="E95" s="1051"/>
      <c r="F95" s="1051" t="str">
        <f t="shared" ref="F95" si="18">IF(I95&lt;&gt;"",I95&amp;IF(L95&lt;&gt;"",", "&amp;L95,"")&amp;IF(K95&lt;&gt;"",", "&amp;K95,""),"")</f>
        <v/>
      </c>
      <c r="G95" s="1055" t="str">
        <f t="shared" ref="G95" si="19">IF(F95&lt;&gt;"",F95&amp;IF(J95&lt;&gt;"","; "&amp;J95,"")&amp;IF(N95&lt;&gt;"",", "&amp;N95,""),"")</f>
        <v/>
      </c>
      <c r="I95" s="1699"/>
      <c r="J95" s="1695"/>
      <c r="K95" s="1695"/>
      <c r="L95" s="1695"/>
      <c r="M95" s="1696"/>
      <c r="N95" s="1695"/>
      <c r="O95" s="1697"/>
      <c r="P95" s="1697"/>
      <c r="Q95" s="1697"/>
      <c r="R95" s="1697"/>
      <c r="S95" s="1697"/>
      <c r="T95" s="1697"/>
      <c r="U95" s="1698"/>
    </row>
    <row r="96" spans="2:21" hidden="1" outlineLevel="2">
      <c r="B96" s="2108">
        <v>1</v>
      </c>
      <c r="C96" s="2109" t="str">
        <f>IF(ISNA(VLOOKUP(B96,$D$96:$E$589,2,FALSE)),"-",VLOOKUP(B96,$D$96:$E$589,2,FALSE))</f>
        <v>BioGNL issu d'épuration cryogénioque de biogaz, France, Base Carbone</v>
      </c>
      <c r="D96" s="1051">
        <f>D95+IF(LEN(E96)=0,0,1)</f>
        <v>1</v>
      </c>
      <c r="E96" s="1051" t="str">
        <f>IF(COUNTIF(E$11:E95,F96)&gt;0,"",F96)</f>
        <v>BioGNL issu d'épuration cryogénioque de biogaz, France, Base Carbone</v>
      </c>
      <c r="F96" s="1051" t="str">
        <f>IF(I96&lt;&gt;"",I96&amp;IF(L96&lt;&gt;"",", "&amp;L96,"")&amp;IF(K96&lt;&gt;"",", "&amp;K96,""),"")</f>
        <v>BioGNL issu d'épuration cryogénioque de biogaz, France, Base Carbone</v>
      </c>
      <c r="G96" s="1055" t="str">
        <f>IF(F96&lt;&gt;"",F96&amp;IF(J96&lt;&gt;"","; "&amp;J96,"")&amp;IF(N96&lt;&gt;"",", "&amp;N96,""),"")</f>
        <v>BioGNL issu d'épuration cryogénioque de biogaz, France, Base Carbone; kgCO2e/kWh PCI, Combustion</v>
      </c>
      <c r="I96" s="1034" t="s">
        <v>3294</v>
      </c>
      <c r="J96" s="1119" t="s">
        <v>1573</v>
      </c>
      <c r="K96" s="1119" t="s">
        <v>1567</v>
      </c>
      <c r="L96" s="1119" t="s">
        <v>239</v>
      </c>
      <c r="M96" s="1033">
        <v>0.3</v>
      </c>
      <c r="N96" s="1119" t="s">
        <v>1569</v>
      </c>
      <c r="O96" s="1036">
        <v>7.0000000000000001E-3</v>
      </c>
      <c r="P96" s="1036">
        <v>0</v>
      </c>
      <c r="Q96" s="1036">
        <v>5.0000000000000001E-3</v>
      </c>
      <c r="R96" s="1036">
        <v>0</v>
      </c>
      <c r="S96" s="1036">
        <v>2E-3</v>
      </c>
      <c r="T96" s="1036">
        <v>0</v>
      </c>
      <c r="U96" s="1037">
        <v>0.20100000000000001</v>
      </c>
    </row>
    <row r="97" spans="2:21" hidden="1" outlineLevel="2">
      <c r="B97" s="2108">
        <v>2</v>
      </c>
      <c r="C97" s="2109" t="str">
        <f t="shared" ref="C97:C159" si="20">IF(ISNA(VLOOKUP(B97,$D$96:$E$589,2,FALSE)),"-",VLOOKUP(B97,$D$96:$E$589,2,FALSE))</f>
        <v>Bitumes, Europe, Base Carbone</v>
      </c>
      <c r="D97" s="1051">
        <f t="shared" ref="D97:D160" si="21">D96+IF(LEN(E97)=0,0,1)</f>
        <v>1</v>
      </c>
      <c r="E97" s="1051" t="str">
        <f>IF(COUNTIF(E$11:E96,F97)&gt;0,"",F97)</f>
        <v/>
      </c>
      <c r="F97" s="1051" t="str">
        <f t="shared" ref="F97:F160" si="22">IF(I97&lt;&gt;"",I97&amp;IF(L97&lt;&gt;"",", "&amp;L97,"")&amp;IF(K97&lt;&gt;"",", "&amp;K97,""),"")</f>
        <v>BioGNL issu d'épuration cryogénioque de biogaz, France, Base Carbone</v>
      </c>
      <c r="G97" s="1055" t="str">
        <f t="shared" ref="G97:G160" si="23">IF(F97&lt;&gt;"",F97&amp;IF(J97&lt;&gt;"","; "&amp;J97,"")&amp;IF(N97&lt;&gt;"",", "&amp;N97,""),"")</f>
        <v>BioGNL issu d'épuration cryogénioque de biogaz, France, Base Carbone; kgCO2e/kWh PCI, Amont</v>
      </c>
      <c r="I97" s="1034" t="s">
        <v>3294</v>
      </c>
      <c r="J97" s="1119" t="s">
        <v>1573</v>
      </c>
      <c r="K97" s="1119" t="s">
        <v>1567</v>
      </c>
      <c r="L97" s="1119" t="s">
        <v>239</v>
      </c>
      <c r="M97" s="1033">
        <v>0.3</v>
      </c>
      <c r="N97" s="1119" t="s">
        <v>1570</v>
      </c>
      <c r="O97" s="1036">
        <v>7.9399999999999998E-2</v>
      </c>
      <c r="P97" s="1036">
        <v>1.2999999999999999E-2</v>
      </c>
      <c r="Q97" s="1036">
        <v>4.7E-2</v>
      </c>
      <c r="R97" s="1036">
        <v>0</v>
      </c>
      <c r="S97" s="1036">
        <v>3.3899999999999998E-3</v>
      </c>
      <c r="T97" s="1036">
        <v>1.6E-2</v>
      </c>
      <c r="U97" s="1037">
        <v>6.0999999999999999E-2</v>
      </c>
    </row>
    <row r="98" spans="2:21" hidden="1" outlineLevel="2">
      <c r="B98" s="2108">
        <v>3</v>
      </c>
      <c r="C98" s="2109" t="str">
        <f t="shared" si="20"/>
        <v>Bitumes, France continentale, Base Carbone</v>
      </c>
      <c r="D98" s="1051">
        <f t="shared" si="21"/>
        <v>2</v>
      </c>
      <c r="E98" s="1051" t="str">
        <f>IF(COUNTIF(E$11:E97,F98)&gt;0,"",F98)</f>
        <v>Bitumes, Europe, Base Carbone</v>
      </c>
      <c r="F98" s="1051" t="str">
        <f t="shared" si="22"/>
        <v>Bitumes, Europe, Base Carbone</v>
      </c>
      <c r="G98" s="1055" t="str">
        <f t="shared" si="23"/>
        <v>Bitumes, Europe, Base Carbone; kgCO2e/GJ PCI, Combustion</v>
      </c>
      <c r="I98" s="1031" t="s">
        <v>1581</v>
      </c>
      <c r="J98" s="1032" t="s">
        <v>1566</v>
      </c>
      <c r="K98" s="1032" t="s">
        <v>1567</v>
      </c>
      <c r="L98" s="1032" t="s">
        <v>1568</v>
      </c>
      <c r="M98" s="1033">
        <v>0.05</v>
      </c>
      <c r="N98" s="1032" t="s">
        <v>1569</v>
      </c>
      <c r="O98" s="1036">
        <v>81.400000000000006</v>
      </c>
      <c r="P98" s="1036">
        <v>80.599999999999994</v>
      </c>
      <c r="Q98" s="1036">
        <v>0.09</v>
      </c>
      <c r="R98" s="1036">
        <v>0</v>
      </c>
      <c r="S98" s="1036">
        <v>0.66300000000000003</v>
      </c>
      <c r="T98" s="1036">
        <v>0</v>
      </c>
      <c r="U98" s="1037">
        <v>0</v>
      </c>
    </row>
    <row r="99" spans="2:21" hidden="1" outlineLevel="2">
      <c r="B99" s="2108">
        <v>4</v>
      </c>
      <c r="C99" s="2109" t="str">
        <f t="shared" si="20"/>
        <v>Carbureacteur (large coupe (jet B)), Europe, Base Carbone</v>
      </c>
      <c r="D99" s="1051">
        <f t="shared" si="21"/>
        <v>2</v>
      </c>
      <c r="E99" s="1051" t="str">
        <f>IF(COUNTIF(E$11:E98,F99)&gt;0,"",F99)</f>
        <v/>
      </c>
      <c r="F99" s="1051" t="str">
        <f t="shared" si="22"/>
        <v>Bitumes, Europe, Base Carbone</v>
      </c>
      <c r="G99" s="1055" t="str">
        <f t="shared" si="23"/>
        <v>Bitumes, Europe, Base Carbone; kgCO2e/GJ PCI, Amont</v>
      </c>
      <c r="I99" s="1031" t="s">
        <v>1581</v>
      </c>
      <c r="J99" s="1032" t="s">
        <v>1566</v>
      </c>
      <c r="K99" s="1032" t="s">
        <v>1567</v>
      </c>
      <c r="L99" s="1032" t="s">
        <v>1568</v>
      </c>
      <c r="M99" s="1033">
        <v>0.05</v>
      </c>
      <c r="N99" s="1032" t="s">
        <v>1570</v>
      </c>
      <c r="O99" s="1036">
        <v>8.1</v>
      </c>
      <c r="P99" s="1036">
        <v>8.1</v>
      </c>
      <c r="Q99" s="1036">
        <v>0</v>
      </c>
      <c r="R99" s="1036">
        <v>0</v>
      </c>
      <c r="S99" s="1036">
        <v>0</v>
      </c>
      <c r="T99" s="1036">
        <v>0</v>
      </c>
      <c r="U99" s="1037">
        <v>0</v>
      </c>
    </row>
    <row r="100" spans="2:21" hidden="1" outlineLevel="2">
      <c r="B100" s="2108">
        <v>5</v>
      </c>
      <c r="C100" s="2109" t="str">
        <f t="shared" si="20"/>
        <v>Carbureacteur (large coupe (jet B)), France continentale, Base Carbone</v>
      </c>
      <c r="D100" s="1051">
        <f t="shared" si="21"/>
        <v>3</v>
      </c>
      <c r="E100" s="1051" t="str">
        <f>IF(COUNTIF(E$11:E99,F100)&gt;0,"",F100)</f>
        <v>Bitumes, France continentale, Base Carbone</v>
      </c>
      <c r="F100" s="1051" t="str">
        <f t="shared" si="22"/>
        <v>Bitumes, France continentale, Base Carbone</v>
      </c>
      <c r="G100" s="1055" t="str">
        <f t="shared" si="23"/>
        <v>Bitumes, France continentale, Base Carbone; kgCO2e/GJ PCI, Combustion</v>
      </c>
      <c r="I100" s="1031" t="s">
        <v>1581</v>
      </c>
      <c r="J100" s="1032" t="s">
        <v>1566</v>
      </c>
      <c r="K100" s="1032" t="s">
        <v>1567</v>
      </c>
      <c r="L100" s="1032" t="s">
        <v>1571</v>
      </c>
      <c r="M100" s="1033">
        <v>0.05</v>
      </c>
      <c r="N100" s="1032" t="s">
        <v>1569</v>
      </c>
      <c r="O100" s="1036">
        <v>81.8</v>
      </c>
      <c r="P100" s="1036">
        <v>81</v>
      </c>
      <c r="Q100" s="1036">
        <v>0.09</v>
      </c>
      <c r="R100" s="1036">
        <v>0</v>
      </c>
      <c r="S100" s="1036">
        <v>0.66300000000000003</v>
      </c>
      <c r="T100" s="1036">
        <v>0</v>
      </c>
      <c r="U100" s="1037">
        <v>0</v>
      </c>
    </row>
    <row r="101" spans="2:21" hidden="1" outlineLevel="2">
      <c r="B101" s="2108">
        <v>6</v>
      </c>
      <c r="C101" s="2109" t="str">
        <f t="shared" si="20"/>
        <v>Carbureacteur (large coupe (jet B)), Polynésie Française, Base Carbone</v>
      </c>
      <c r="D101" s="1051">
        <f t="shared" si="21"/>
        <v>3</v>
      </c>
      <c r="E101" s="1051" t="str">
        <f>IF(COUNTIF(E$11:E100,F101)&gt;0,"",F101)</f>
        <v/>
      </c>
      <c r="F101" s="1051" t="str">
        <f t="shared" si="22"/>
        <v>Bitumes, France continentale, Base Carbone</v>
      </c>
      <c r="G101" s="1055" t="str">
        <f t="shared" si="23"/>
        <v>Bitumes, France continentale, Base Carbone; kgCO2e/GJ PCI, Amont</v>
      </c>
      <c r="I101" s="1031" t="s">
        <v>1581</v>
      </c>
      <c r="J101" s="1032" t="s">
        <v>1566</v>
      </c>
      <c r="K101" s="1032" t="s">
        <v>1567</v>
      </c>
      <c r="L101" s="1032" t="s">
        <v>1571</v>
      </c>
      <c r="M101" s="1033">
        <v>0.05</v>
      </c>
      <c r="N101" s="1032" t="s">
        <v>1570</v>
      </c>
      <c r="O101" s="1036">
        <v>8.1</v>
      </c>
      <c r="P101" s="1036">
        <v>8.1</v>
      </c>
      <c r="Q101" s="1036">
        <v>0</v>
      </c>
      <c r="R101" s="1036">
        <v>0</v>
      </c>
      <c r="S101" s="1036">
        <v>0</v>
      </c>
      <c r="T101" s="1036">
        <v>0</v>
      </c>
      <c r="U101" s="1037">
        <v>0</v>
      </c>
    </row>
    <row r="102" spans="2:21" hidden="1" outlineLevel="2">
      <c r="B102" s="2108">
        <v>7</v>
      </c>
      <c r="C102" s="2109" t="str">
        <f t="shared" si="20"/>
        <v>Carbureacteur (large coupe (jet B)), Réunion, Base Carbone</v>
      </c>
      <c r="D102" s="1051">
        <f t="shared" si="21"/>
        <v>3</v>
      </c>
      <c r="E102" s="1051" t="str">
        <f>IF(COUNTIF(E$11:E101,F102)&gt;0,"",F102)</f>
        <v/>
      </c>
      <c r="F102" s="1051" t="str">
        <f t="shared" si="22"/>
        <v>Bitumes, Europe, Base Carbone</v>
      </c>
      <c r="G102" s="1055" t="str">
        <f t="shared" si="23"/>
        <v>Bitumes, Europe, Base Carbone; kgCO2e/kWh PCI, Combustion</v>
      </c>
      <c r="I102" s="1031" t="s">
        <v>1581</v>
      </c>
      <c r="J102" s="1032" t="s">
        <v>1573</v>
      </c>
      <c r="K102" s="1032" t="s">
        <v>1567</v>
      </c>
      <c r="L102" s="1032" t="s">
        <v>1568</v>
      </c>
      <c r="M102" s="1033">
        <v>0.05</v>
      </c>
      <c r="N102" s="1032" t="s">
        <v>1569</v>
      </c>
      <c r="O102" s="1036">
        <v>0.29299999999999998</v>
      </c>
      <c r="P102" s="1036">
        <v>0.28999999999999998</v>
      </c>
      <c r="Q102" s="1036">
        <v>3.2400000000000001E-4</v>
      </c>
      <c r="R102" s="1036">
        <v>0</v>
      </c>
      <c r="S102" s="1036">
        <v>2.3900000000000002E-3</v>
      </c>
      <c r="T102" s="1036">
        <v>0</v>
      </c>
      <c r="U102" s="1037">
        <v>0</v>
      </c>
    </row>
    <row r="103" spans="2:21" hidden="1" outlineLevel="2">
      <c r="B103" s="2108">
        <v>8</v>
      </c>
      <c r="C103" s="2109" t="str">
        <f t="shared" si="20"/>
        <v>Carbureacteur (large coupe (jet B)), Guadeloupe, Martinique, Guyane, Corse, Base Carbone</v>
      </c>
      <c r="D103" s="1051">
        <f t="shared" si="21"/>
        <v>3</v>
      </c>
      <c r="E103" s="1051" t="str">
        <f>IF(COUNTIF(E$11:E102,F103)&gt;0,"",F103)</f>
        <v/>
      </c>
      <c r="F103" s="1051" t="str">
        <f t="shared" si="22"/>
        <v>Bitumes, Europe, Base Carbone</v>
      </c>
      <c r="G103" s="1055" t="str">
        <f t="shared" si="23"/>
        <v>Bitumes, Europe, Base Carbone; kgCO2e/kWh PCI, Amont</v>
      </c>
      <c r="I103" s="1031" t="s">
        <v>1581</v>
      </c>
      <c r="J103" s="1032" t="s">
        <v>1573</v>
      </c>
      <c r="K103" s="1032" t="s">
        <v>1567</v>
      </c>
      <c r="L103" s="1032" t="s">
        <v>1568</v>
      </c>
      <c r="M103" s="1033">
        <v>0.05</v>
      </c>
      <c r="N103" s="1032" t="s">
        <v>1570</v>
      </c>
      <c r="O103" s="1036">
        <v>2.9000000000000001E-2</v>
      </c>
      <c r="P103" s="1036">
        <v>2.9000000000000001E-2</v>
      </c>
      <c r="Q103" s="1036">
        <v>0</v>
      </c>
      <c r="R103" s="1036">
        <v>0</v>
      </c>
      <c r="S103" s="1036">
        <v>0</v>
      </c>
      <c r="T103" s="1036">
        <v>0</v>
      </c>
      <c r="U103" s="1037">
        <v>0</v>
      </c>
    </row>
    <row r="104" spans="2:21" hidden="1" outlineLevel="2">
      <c r="B104" s="2108">
        <v>9</v>
      </c>
      <c r="C104" s="2109" t="str">
        <f t="shared" si="20"/>
        <v>Carbureacteur (large coupe (jet B)), Nouvelle Calédonie, Base Carbone</v>
      </c>
      <c r="D104" s="1051">
        <f t="shared" si="21"/>
        <v>3</v>
      </c>
      <c r="E104" s="1051" t="str">
        <f>IF(COUNTIF(E$11:E103,F104)&gt;0,"",F104)</f>
        <v/>
      </c>
      <c r="F104" s="1051" t="str">
        <f t="shared" si="22"/>
        <v>Bitumes, France continentale, Base Carbone</v>
      </c>
      <c r="G104" s="1055" t="str">
        <f t="shared" si="23"/>
        <v>Bitumes, France continentale, Base Carbone; kgCO2e/kWh PCI, Combustion</v>
      </c>
      <c r="I104" s="1031" t="s">
        <v>1581</v>
      </c>
      <c r="J104" s="1032" t="s">
        <v>1573</v>
      </c>
      <c r="K104" s="1032" t="s">
        <v>1567</v>
      </c>
      <c r="L104" s="1032" t="s">
        <v>1571</v>
      </c>
      <c r="M104" s="1033">
        <v>0.05</v>
      </c>
      <c r="N104" s="1032" t="s">
        <v>1569</v>
      </c>
      <c r="O104" s="1036">
        <v>0.29499999999999998</v>
      </c>
      <c r="P104" s="1036">
        <v>0.29199999999999998</v>
      </c>
      <c r="Q104" s="1036">
        <v>3.2400000000000001E-4</v>
      </c>
      <c r="R104" s="1036">
        <v>0</v>
      </c>
      <c r="S104" s="1036">
        <v>2.3900000000000002E-3</v>
      </c>
      <c r="T104" s="1036">
        <v>0</v>
      </c>
      <c r="U104" s="1037">
        <v>0</v>
      </c>
    </row>
    <row r="105" spans="2:21" hidden="1" outlineLevel="2">
      <c r="B105" s="2108">
        <v>10</v>
      </c>
      <c r="C105" s="2109" t="str">
        <f t="shared" si="20"/>
        <v>Combustible haute viscosité (CHV), France continentale, Base Carbone</v>
      </c>
      <c r="D105" s="1051">
        <f t="shared" si="21"/>
        <v>3</v>
      </c>
      <c r="E105" s="1051" t="str">
        <f>IF(COUNTIF(E$11:E104,F105)&gt;0,"",F105)</f>
        <v/>
      </c>
      <c r="F105" s="1051" t="str">
        <f t="shared" si="22"/>
        <v>Bitumes, France continentale, Base Carbone</v>
      </c>
      <c r="G105" s="1055" t="str">
        <f t="shared" si="23"/>
        <v>Bitumes, France continentale, Base Carbone; kgCO2e/kWh PCI, Amont</v>
      </c>
      <c r="I105" s="1031" t="s">
        <v>1581</v>
      </c>
      <c r="J105" s="1032" t="s">
        <v>1573</v>
      </c>
      <c r="K105" s="1032" t="s">
        <v>1567</v>
      </c>
      <c r="L105" s="1032" t="s">
        <v>1571</v>
      </c>
      <c r="M105" s="1033">
        <v>0.05</v>
      </c>
      <c r="N105" s="1032" t="s">
        <v>1570</v>
      </c>
      <c r="O105" s="1036">
        <v>2.9000000000000001E-2</v>
      </c>
      <c r="P105" s="1036">
        <v>2.9000000000000001E-2</v>
      </c>
      <c r="Q105" s="1036">
        <v>0</v>
      </c>
      <c r="R105" s="1036">
        <v>0</v>
      </c>
      <c r="S105" s="1036">
        <v>0</v>
      </c>
      <c r="T105" s="1036">
        <v>0</v>
      </c>
      <c r="U105" s="1037">
        <v>0</v>
      </c>
    </row>
    <row r="106" spans="2:21" hidden="1" outlineLevel="2">
      <c r="B106" s="2108">
        <v>11</v>
      </c>
      <c r="C106" s="2109" t="str">
        <f t="shared" si="20"/>
        <v>Essence (E10), France continentale, Base Carbone</v>
      </c>
      <c r="D106" s="1051">
        <f t="shared" si="21"/>
        <v>3</v>
      </c>
      <c r="E106" s="1051" t="str">
        <f>IF(COUNTIF(E$11:E105,F106)&gt;0,"",F106)</f>
        <v/>
      </c>
      <c r="F106" s="1051" t="str">
        <f t="shared" si="22"/>
        <v>Bitumes, Europe, Base Carbone</v>
      </c>
      <c r="G106" s="1055" t="str">
        <f t="shared" si="23"/>
        <v>Bitumes, Europe, Base Carbone; kgCO2e/tep PCI, Combustion</v>
      </c>
      <c r="I106" s="1031" t="s">
        <v>1581</v>
      </c>
      <c r="J106" s="1032" t="s">
        <v>1575</v>
      </c>
      <c r="K106" s="1032" t="s">
        <v>1567</v>
      </c>
      <c r="L106" s="1032" t="s">
        <v>1568</v>
      </c>
      <c r="M106" s="1033">
        <v>0.05</v>
      </c>
      <c r="N106" s="1032" t="s">
        <v>1569</v>
      </c>
      <c r="O106" s="1036">
        <v>3410</v>
      </c>
      <c r="P106" s="1036">
        <v>3380</v>
      </c>
      <c r="Q106" s="1036">
        <v>3.78</v>
      </c>
      <c r="R106" s="1036">
        <v>0</v>
      </c>
      <c r="S106" s="1036">
        <v>27.8</v>
      </c>
      <c r="T106" s="1036">
        <v>0</v>
      </c>
      <c r="U106" s="1037">
        <v>0</v>
      </c>
    </row>
    <row r="107" spans="2:21" hidden="1" outlineLevel="2">
      <c r="B107" s="2108">
        <v>12</v>
      </c>
      <c r="C107" s="2109" t="str">
        <f t="shared" si="20"/>
        <v>Essence (E85), France continentale, Base Carbone</v>
      </c>
      <c r="D107" s="1051">
        <f t="shared" si="21"/>
        <v>3</v>
      </c>
      <c r="E107" s="1051" t="str">
        <f>IF(COUNTIF(E$11:E106,F107)&gt;0,"",F107)</f>
        <v/>
      </c>
      <c r="F107" s="1051" t="str">
        <f t="shared" si="22"/>
        <v>Bitumes, Europe, Base Carbone</v>
      </c>
      <c r="G107" s="1055" t="str">
        <f t="shared" si="23"/>
        <v>Bitumes, Europe, Base Carbone; kgCO2e/tep PCI, Amont</v>
      </c>
      <c r="I107" s="1031" t="s">
        <v>1581</v>
      </c>
      <c r="J107" s="1032" t="s">
        <v>1575</v>
      </c>
      <c r="K107" s="1032" t="s">
        <v>1567</v>
      </c>
      <c r="L107" s="1032" t="s">
        <v>1568</v>
      </c>
      <c r="M107" s="1033">
        <v>0.05</v>
      </c>
      <c r="N107" s="1032" t="s">
        <v>1570</v>
      </c>
      <c r="O107" s="1036">
        <v>339</v>
      </c>
      <c r="P107" s="1036">
        <v>339</v>
      </c>
      <c r="Q107" s="1036">
        <v>0</v>
      </c>
      <c r="R107" s="1036">
        <v>0</v>
      </c>
      <c r="S107" s="1036">
        <v>0</v>
      </c>
      <c r="T107" s="1036">
        <v>0</v>
      </c>
      <c r="U107" s="1037">
        <v>0</v>
      </c>
    </row>
    <row r="108" spans="2:21" hidden="1" outlineLevel="2">
      <c r="B108" s="2108">
        <v>13</v>
      </c>
      <c r="C108" s="2109" t="str">
        <f t="shared" si="20"/>
        <v>Essence (Supercarburant sans plomb (95, 95-E10, 98)), France continentale, Base Carbone</v>
      </c>
      <c r="D108" s="1051">
        <f t="shared" si="21"/>
        <v>3</v>
      </c>
      <c r="E108" s="1051" t="str">
        <f>IF(COUNTIF(E$11:E107,F108)&gt;0,"",F108)</f>
        <v/>
      </c>
      <c r="F108" s="1051" t="str">
        <f t="shared" si="22"/>
        <v>Bitumes, France continentale, Base Carbone</v>
      </c>
      <c r="G108" s="1055" t="str">
        <f t="shared" si="23"/>
        <v>Bitumes, France continentale, Base Carbone; kgCO2e/tep PCI, Combustion</v>
      </c>
      <c r="I108" s="1031" t="s">
        <v>1581</v>
      </c>
      <c r="J108" s="1032" t="s">
        <v>1575</v>
      </c>
      <c r="K108" s="1032" t="s">
        <v>1567</v>
      </c>
      <c r="L108" s="1032" t="s">
        <v>1571</v>
      </c>
      <c r="M108" s="1033">
        <v>0.05</v>
      </c>
      <c r="N108" s="1032" t="s">
        <v>1569</v>
      </c>
      <c r="O108" s="1036">
        <v>3430</v>
      </c>
      <c r="P108" s="1036">
        <v>3400</v>
      </c>
      <c r="Q108" s="1036">
        <v>3.78</v>
      </c>
      <c r="R108" s="1036">
        <v>0</v>
      </c>
      <c r="S108" s="1036">
        <v>27.8</v>
      </c>
      <c r="T108" s="1036">
        <v>0</v>
      </c>
      <c r="U108" s="1037">
        <v>0</v>
      </c>
    </row>
    <row r="109" spans="2:21" hidden="1" outlineLevel="2">
      <c r="B109" s="2108">
        <v>14</v>
      </c>
      <c r="C109" s="2109" t="str">
        <f t="shared" si="20"/>
        <v>Essence (Supercarburant sans plomb (95, 95-E10, 98)), Polynésie Française, Base Carbone</v>
      </c>
      <c r="D109" s="1051">
        <f t="shared" si="21"/>
        <v>3</v>
      </c>
      <c r="E109" s="1051" t="str">
        <f>IF(COUNTIF(E$11:E108,F109)&gt;0,"",F109)</f>
        <v/>
      </c>
      <c r="F109" s="1051" t="str">
        <f t="shared" si="22"/>
        <v>Bitumes, France continentale, Base Carbone</v>
      </c>
      <c r="G109" s="1055" t="str">
        <f t="shared" si="23"/>
        <v>Bitumes, France continentale, Base Carbone; kgCO2e/tep PCI, Amont</v>
      </c>
      <c r="I109" s="1031" t="s">
        <v>1581</v>
      </c>
      <c r="J109" s="1032" t="s">
        <v>1575</v>
      </c>
      <c r="K109" s="1032" t="s">
        <v>1567</v>
      </c>
      <c r="L109" s="1032" t="s">
        <v>1571</v>
      </c>
      <c r="M109" s="1033">
        <v>0.05</v>
      </c>
      <c r="N109" s="1032" t="s">
        <v>1570</v>
      </c>
      <c r="O109" s="1036">
        <v>339</v>
      </c>
      <c r="P109" s="1036">
        <v>339</v>
      </c>
      <c r="Q109" s="1036">
        <v>0</v>
      </c>
      <c r="R109" s="1036">
        <v>0</v>
      </c>
      <c r="S109" s="1036">
        <v>0</v>
      </c>
      <c r="T109" s="1036">
        <v>0</v>
      </c>
      <c r="U109" s="1037">
        <v>0</v>
      </c>
    </row>
    <row r="110" spans="2:21" hidden="1" outlineLevel="2">
      <c r="B110" s="2108">
        <v>15</v>
      </c>
      <c r="C110" s="2109" t="str">
        <f t="shared" si="20"/>
        <v>Essence (Supercarburant sans plomb (95, 95-E10, 98)), Réunion, Base Carbone</v>
      </c>
      <c r="D110" s="1051">
        <f t="shared" si="21"/>
        <v>4</v>
      </c>
      <c r="E110" s="1051" t="str">
        <f>IF(COUNTIF(E$11:E109,F110)&gt;0,"",F110)</f>
        <v>Carbureacteur (large coupe (jet B)), Europe, Base Carbone</v>
      </c>
      <c r="F110" s="1051" t="str">
        <f t="shared" si="22"/>
        <v>Carbureacteur (large coupe (jet B)), Europe, Base Carbone</v>
      </c>
      <c r="G110" s="1055" t="str">
        <f t="shared" si="23"/>
        <v>Carbureacteur (large coupe (jet B)), Europe, Base Carbone; kgCO2e/GJ PCI, Combustion</v>
      </c>
      <c r="I110" s="1031" t="s">
        <v>1582</v>
      </c>
      <c r="J110" s="1032" t="s">
        <v>1566</v>
      </c>
      <c r="K110" s="1032" t="s">
        <v>1567</v>
      </c>
      <c r="L110" s="1032" t="s">
        <v>1568</v>
      </c>
      <c r="M110" s="1033">
        <v>0.05</v>
      </c>
      <c r="N110" s="1032" t="s">
        <v>1569</v>
      </c>
      <c r="O110" s="1036">
        <v>70.2</v>
      </c>
      <c r="P110" s="1036">
        <v>70</v>
      </c>
      <c r="Q110" s="1036">
        <v>0.09</v>
      </c>
      <c r="R110" s="1036">
        <v>0</v>
      </c>
      <c r="S110" s="1036">
        <v>0.159</v>
      </c>
      <c r="T110" s="1036">
        <v>0</v>
      </c>
      <c r="U110" s="1037">
        <v>0</v>
      </c>
    </row>
    <row r="111" spans="2:21" hidden="1" outlineLevel="2">
      <c r="B111" s="2108">
        <v>16</v>
      </c>
      <c r="C111" s="2109" t="str">
        <f t="shared" si="20"/>
        <v>Essence (Supercarburant sans plomb (95, 95-E10, 98)), Guadeloupe, Martinique, Guyane, Corse, Base Carbone</v>
      </c>
      <c r="D111" s="1051">
        <f t="shared" si="21"/>
        <v>4</v>
      </c>
      <c r="E111" s="1051" t="str">
        <f>IF(COUNTIF(E$11:E110,F111)&gt;0,"",F111)</f>
        <v/>
      </c>
      <c r="F111" s="1051" t="str">
        <f t="shared" si="22"/>
        <v>Carbureacteur (large coupe (jet B)), Europe, Base Carbone</v>
      </c>
      <c r="G111" s="1055" t="str">
        <f t="shared" si="23"/>
        <v>Carbureacteur (large coupe (jet B)), Europe, Base Carbone; kgCO2e/GJ PCI, Amont</v>
      </c>
      <c r="I111" s="1031" t="s">
        <v>1582</v>
      </c>
      <c r="J111" s="1032" t="s">
        <v>1566</v>
      </c>
      <c r="K111" s="1032" t="s">
        <v>1567</v>
      </c>
      <c r="L111" s="1032" t="s">
        <v>1568</v>
      </c>
      <c r="M111" s="1033">
        <v>0.05</v>
      </c>
      <c r="N111" s="1032" t="s">
        <v>1570</v>
      </c>
      <c r="O111" s="1036">
        <v>15.1</v>
      </c>
      <c r="P111" s="1036">
        <v>13.6</v>
      </c>
      <c r="Q111" s="1036">
        <v>1.5</v>
      </c>
      <c r="R111" s="1036">
        <v>0</v>
      </c>
      <c r="S111" s="1036">
        <v>0</v>
      </c>
      <c r="T111" s="1036">
        <v>0</v>
      </c>
      <c r="U111" s="1037">
        <v>0</v>
      </c>
    </row>
    <row r="112" spans="2:21" hidden="1" outlineLevel="2">
      <c r="B112" s="2108">
        <v>17</v>
      </c>
      <c r="C112" s="2109" t="str">
        <f t="shared" si="20"/>
        <v>Essence (Supercarburant sans plomb (95, 95-E10, 98)), Nouvelle Calédonie, Base Carbone</v>
      </c>
      <c r="D112" s="1051">
        <f t="shared" si="21"/>
        <v>5</v>
      </c>
      <c r="E112" s="1051" t="str">
        <f>IF(COUNTIF(E$11:E111,F112)&gt;0,"",F112)</f>
        <v>Carbureacteur (large coupe (jet B)), France continentale, Base Carbone</v>
      </c>
      <c r="F112" s="1051" t="str">
        <f t="shared" si="22"/>
        <v>Carbureacteur (large coupe (jet B)), France continentale, Base Carbone</v>
      </c>
      <c r="G112" s="1055" t="str">
        <f t="shared" si="23"/>
        <v>Carbureacteur (large coupe (jet B)), France continentale, Base Carbone; kgCO2e/GJ PCI, Combustion</v>
      </c>
      <c r="I112" s="1031" t="s">
        <v>1582</v>
      </c>
      <c r="J112" s="1032" t="s">
        <v>1566</v>
      </c>
      <c r="K112" s="1032" t="s">
        <v>1567</v>
      </c>
      <c r="L112" s="1032" t="s">
        <v>1571</v>
      </c>
      <c r="M112" s="1033">
        <v>0.05</v>
      </c>
      <c r="N112" s="1032" t="s">
        <v>1569</v>
      </c>
      <c r="O112" s="1036">
        <v>71.8</v>
      </c>
      <c r="P112" s="1036">
        <v>71.599999999999994</v>
      </c>
      <c r="Q112" s="1036">
        <v>0.09</v>
      </c>
      <c r="R112" s="1036">
        <v>0</v>
      </c>
      <c r="S112" s="1036">
        <v>0.159</v>
      </c>
      <c r="T112" s="1036">
        <v>0</v>
      </c>
      <c r="U112" s="1037">
        <v>0</v>
      </c>
    </row>
    <row r="113" spans="2:21" hidden="1" outlineLevel="2">
      <c r="B113" s="2108">
        <v>18</v>
      </c>
      <c r="C113" s="2109" t="str">
        <f t="shared" si="20"/>
        <v>Essence aviation (AvGas), Europe, Base Carbone</v>
      </c>
      <c r="D113" s="1051">
        <f t="shared" si="21"/>
        <v>5</v>
      </c>
      <c r="E113" s="1051" t="str">
        <f>IF(COUNTIF(E$11:E112,F113)&gt;0,"",F113)</f>
        <v/>
      </c>
      <c r="F113" s="1051" t="str">
        <f t="shared" si="22"/>
        <v>Carbureacteur (large coupe (jet B)), France continentale, Base Carbone</v>
      </c>
      <c r="G113" s="1055" t="str">
        <f t="shared" si="23"/>
        <v>Carbureacteur (large coupe (jet B)), France continentale, Base Carbone; kgCO2e/GJ PCI, Amont</v>
      </c>
      <c r="I113" s="1031" t="s">
        <v>1582</v>
      </c>
      <c r="J113" s="1032" t="s">
        <v>1566</v>
      </c>
      <c r="K113" s="1032" t="s">
        <v>1567</v>
      </c>
      <c r="L113" s="1032" t="s">
        <v>1571</v>
      </c>
      <c r="M113" s="1033">
        <v>0.05</v>
      </c>
      <c r="N113" s="1032" t="s">
        <v>1570</v>
      </c>
      <c r="O113" s="1036">
        <v>15.1</v>
      </c>
      <c r="P113" s="1036">
        <v>13.6</v>
      </c>
      <c r="Q113" s="1036">
        <v>1.5</v>
      </c>
      <c r="R113" s="1036">
        <v>0</v>
      </c>
      <c r="S113" s="1036">
        <v>0</v>
      </c>
      <c r="T113" s="1036">
        <v>0</v>
      </c>
      <c r="U113" s="1037">
        <v>0</v>
      </c>
    </row>
    <row r="114" spans="2:21" hidden="1" outlineLevel="2">
      <c r="B114" s="2108">
        <v>19</v>
      </c>
      <c r="C114" s="2109" t="str">
        <f t="shared" si="20"/>
        <v>Essence aviation (AvGas), France continentale, Base Carbone</v>
      </c>
      <c r="D114" s="1051">
        <f t="shared" si="21"/>
        <v>5</v>
      </c>
      <c r="E114" s="1051" t="str">
        <f>IF(COUNTIF(E$11:E113,F114)&gt;0,"",F114)</f>
        <v/>
      </c>
      <c r="F114" s="1051" t="str">
        <f t="shared" si="22"/>
        <v>Carbureacteur (large coupe (jet B)), Europe, Base Carbone</v>
      </c>
      <c r="G114" s="1055" t="str">
        <f t="shared" si="23"/>
        <v>Carbureacteur (large coupe (jet B)), Europe, Base Carbone; kgCO2e/kg, Combustion</v>
      </c>
      <c r="I114" s="1031" t="s">
        <v>1582</v>
      </c>
      <c r="J114" s="1032" t="s">
        <v>1572</v>
      </c>
      <c r="K114" s="1032" t="s">
        <v>1567</v>
      </c>
      <c r="L114" s="1032" t="s">
        <v>1568</v>
      </c>
      <c r="M114" s="1033">
        <v>0.05</v>
      </c>
      <c r="N114" s="1032" t="s">
        <v>1569</v>
      </c>
      <c r="O114" s="1036">
        <v>3.11</v>
      </c>
      <c r="P114" s="1036">
        <v>3.1</v>
      </c>
      <c r="Q114" s="1036">
        <v>3.9899999999999996E-3</v>
      </c>
      <c r="R114" s="1036">
        <v>0</v>
      </c>
      <c r="S114" s="1036">
        <v>7.0499999999999998E-3</v>
      </c>
      <c r="T114" s="1036">
        <v>0</v>
      </c>
      <c r="U114" s="1037">
        <v>0</v>
      </c>
    </row>
    <row r="115" spans="2:21" hidden="1" outlineLevel="2">
      <c r="B115" s="2108">
        <v>20</v>
      </c>
      <c r="C115" s="2109" t="str">
        <f t="shared" si="20"/>
        <v>Essence aviation (AvGas), Polynésie Française, Base Carbone</v>
      </c>
      <c r="D115" s="1051">
        <f t="shared" si="21"/>
        <v>5</v>
      </c>
      <c r="E115" s="1051" t="str">
        <f>IF(COUNTIF(E$11:E114,F115)&gt;0,"",F115)</f>
        <v/>
      </c>
      <c r="F115" s="1051" t="str">
        <f t="shared" si="22"/>
        <v>Carbureacteur (large coupe (jet B)), Europe, Base Carbone</v>
      </c>
      <c r="G115" s="1055" t="str">
        <f t="shared" si="23"/>
        <v>Carbureacteur (large coupe (jet B)), Europe, Base Carbone; kgCO2e/kg, Amont</v>
      </c>
      <c r="I115" s="1031" t="s">
        <v>1582</v>
      </c>
      <c r="J115" s="1032" t="s">
        <v>1572</v>
      </c>
      <c r="K115" s="1032" t="s">
        <v>1567</v>
      </c>
      <c r="L115" s="1032" t="s">
        <v>1568</v>
      </c>
      <c r="M115" s="1033">
        <v>0.05</v>
      </c>
      <c r="N115" s="1032" t="s">
        <v>1570</v>
      </c>
      <c r="O115" s="1036">
        <v>0.66900000000000004</v>
      </c>
      <c r="P115" s="1036">
        <v>0.60399999999999998</v>
      </c>
      <c r="Q115" s="1036">
        <v>6.4500000000000002E-2</v>
      </c>
      <c r="R115" s="1036">
        <v>0</v>
      </c>
      <c r="S115" s="1036">
        <v>0</v>
      </c>
      <c r="T115" s="1036">
        <v>0</v>
      </c>
      <c r="U115" s="1037">
        <v>0</v>
      </c>
    </row>
    <row r="116" spans="2:21" hidden="1" outlineLevel="2">
      <c r="B116" s="2108">
        <v>21</v>
      </c>
      <c r="C116" s="2109" t="str">
        <f t="shared" si="20"/>
        <v>Fioul domestique, France continentale, Base Carbone</v>
      </c>
      <c r="D116" s="1051">
        <f t="shared" si="21"/>
        <v>5</v>
      </c>
      <c r="E116" s="1051" t="str">
        <f>IF(COUNTIF(E$11:E115,F116)&gt;0,"",F116)</f>
        <v/>
      </c>
      <c r="F116" s="1051" t="str">
        <f t="shared" si="22"/>
        <v>Carbureacteur (large coupe (jet B)), France continentale, Base Carbone</v>
      </c>
      <c r="G116" s="1055" t="str">
        <f t="shared" si="23"/>
        <v>Carbureacteur (large coupe (jet B)), France continentale, Base Carbone; kgCO2e/kg, Combustion</v>
      </c>
      <c r="I116" s="1031" t="s">
        <v>1582</v>
      </c>
      <c r="J116" s="1032" t="s">
        <v>1572</v>
      </c>
      <c r="K116" s="1032" t="s">
        <v>1567</v>
      </c>
      <c r="L116" s="1032" t="s">
        <v>1571</v>
      </c>
      <c r="M116" s="1033">
        <v>0.05</v>
      </c>
      <c r="N116" s="1032" t="s">
        <v>1569</v>
      </c>
      <c r="O116" s="1036">
        <v>3.16</v>
      </c>
      <c r="P116" s="1036">
        <v>3.15</v>
      </c>
      <c r="Q116" s="1036">
        <v>3.96E-3</v>
      </c>
      <c r="R116" s="1036">
        <v>0</v>
      </c>
      <c r="S116" s="1036">
        <v>7.0000000000000001E-3</v>
      </c>
      <c r="T116" s="1036">
        <v>0</v>
      </c>
      <c r="U116" s="1037">
        <v>0</v>
      </c>
    </row>
    <row r="117" spans="2:21" hidden="1" outlineLevel="2">
      <c r="B117" s="2108">
        <v>22</v>
      </c>
      <c r="C117" s="2109" t="str">
        <f t="shared" si="20"/>
        <v>Fioul domestique, Europe, Base Carbone</v>
      </c>
      <c r="D117" s="1051">
        <f t="shared" si="21"/>
        <v>5</v>
      </c>
      <c r="E117" s="1051" t="str">
        <f>IF(COUNTIF(E$11:E116,F117)&gt;0,"",F117)</f>
        <v/>
      </c>
      <c r="F117" s="1051" t="str">
        <f t="shared" si="22"/>
        <v>Carbureacteur (large coupe (jet B)), France continentale, Base Carbone</v>
      </c>
      <c r="G117" s="1055" t="str">
        <f t="shared" si="23"/>
        <v>Carbureacteur (large coupe (jet B)), France continentale, Base Carbone; kgCO2e/kg, Amont</v>
      </c>
      <c r="I117" s="1031" t="s">
        <v>1582</v>
      </c>
      <c r="J117" s="1032" t="s">
        <v>1572</v>
      </c>
      <c r="K117" s="1032" t="s">
        <v>1567</v>
      </c>
      <c r="L117" s="1032" t="s">
        <v>1571</v>
      </c>
      <c r="M117" s="1033">
        <v>0.05</v>
      </c>
      <c r="N117" s="1032" t="s">
        <v>1570</v>
      </c>
      <c r="O117" s="1036">
        <v>0.66400000000000003</v>
      </c>
      <c r="P117" s="1036">
        <v>0.6</v>
      </c>
      <c r="Q117" s="1036">
        <v>6.4199999999999993E-2</v>
      </c>
      <c r="R117" s="1036">
        <v>0</v>
      </c>
      <c r="S117" s="1036">
        <v>0</v>
      </c>
      <c r="T117" s="1036">
        <v>0</v>
      </c>
      <c r="U117" s="1037">
        <v>0</v>
      </c>
    </row>
    <row r="118" spans="2:21" hidden="1" outlineLevel="2">
      <c r="B118" s="2108">
        <v>23</v>
      </c>
      <c r="C118" s="2109" t="str">
        <f t="shared" si="20"/>
        <v>Fioul domestique, Réunion, Base Carbone</v>
      </c>
      <c r="D118" s="1051">
        <f t="shared" si="21"/>
        <v>5</v>
      </c>
      <c r="E118" s="1051" t="str">
        <f>IF(COUNTIF(E$11:E117,F118)&gt;0,"",F118)</f>
        <v/>
      </c>
      <c r="F118" s="1051" t="str">
        <f t="shared" si="22"/>
        <v>Carbureacteur (large coupe (jet B)), Europe, Base Carbone</v>
      </c>
      <c r="G118" s="1055" t="str">
        <f t="shared" si="23"/>
        <v>Carbureacteur (large coupe (jet B)), Europe, Base Carbone; kgCO2e/kWh PCI, Combustion</v>
      </c>
      <c r="I118" s="1031" t="s">
        <v>1582</v>
      </c>
      <c r="J118" s="1032" t="s">
        <v>1573</v>
      </c>
      <c r="K118" s="1032" t="s">
        <v>1567</v>
      </c>
      <c r="L118" s="1032" t="s">
        <v>1568</v>
      </c>
      <c r="M118" s="1033">
        <v>0.05</v>
      </c>
      <c r="N118" s="1032" t="s">
        <v>1569</v>
      </c>
      <c r="O118" s="1036">
        <v>0.253</v>
      </c>
      <c r="P118" s="1036">
        <v>0.252</v>
      </c>
      <c r="Q118" s="1036">
        <v>3.2400000000000001E-4</v>
      </c>
      <c r="R118" s="1036">
        <v>0</v>
      </c>
      <c r="S118" s="1036">
        <v>5.7200000000000003E-4</v>
      </c>
      <c r="T118" s="1036">
        <v>0</v>
      </c>
      <c r="U118" s="1037">
        <v>0</v>
      </c>
    </row>
    <row r="119" spans="2:21" hidden="1" outlineLevel="2">
      <c r="B119" s="2108">
        <v>24</v>
      </c>
      <c r="C119" s="2109" t="str">
        <f t="shared" si="20"/>
        <v>Fioul domestique, Guadeloupe, Martinique, Guyane, Corse, Base Carbone</v>
      </c>
      <c r="D119" s="1051">
        <f t="shared" si="21"/>
        <v>5</v>
      </c>
      <c r="E119" s="1051" t="str">
        <f>IF(COUNTIF(E$11:E118,F119)&gt;0,"",F119)</f>
        <v/>
      </c>
      <c r="F119" s="1051" t="str">
        <f t="shared" si="22"/>
        <v>Carbureacteur (large coupe (jet B)), Europe, Base Carbone</v>
      </c>
      <c r="G119" s="1055" t="str">
        <f t="shared" si="23"/>
        <v>Carbureacteur (large coupe (jet B)), Europe, Base Carbone; kgCO2e/kWh PCI, Amont</v>
      </c>
      <c r="I119" s="1031" t="s">
        <v>1582</v>
      </c>
      <c r="J119" s="1032" t="s">
        <v>1573</v>
      </c>
      <c r="K119" s="1032" t="s">
        <v>1567</v>
      </c>
      <c r="L119" s="1032" t="s">
        <v>1568</v>
      </c>
      <c r="M119" s="1033">
        <v>0.05</v>
      </c>
      <c r="N119" s="1032" t="s">
        <v>1570</v>
      </c>
      <c r="O119" s="1036">
        <v>5.4399999999999997E-2</v>
      </c>
      <c r="P119" s="1036">
        <v>4.9099999999999998E-2</v>
      </c>
      <c r="Q119" s="1036">
        <v>5.2500000000000003E-3</v>
      </c>
      <c r="R119" s="1036">
        <v>0</v>
      </c>
      <c r="S119" s="1036">
        <v>0</v>
      </c>
      <c r="T119" s="1036">
        <v>0</v>
      </c>
      <c r="U119" s="1037">
        <v>0</v>
      </c>
    </row>
    <row r="120" spans="2:21" hidden="1" outlineLevel="2">
      <c r="B120" s="2108">
        <v>25</v>
      </c>
      <c r="C120" s="2109" t="str">
        <f t="shared" si="20"/>
        <v>Fioul domestique, Nouvelle Calédonie, Base Carbone</v>
      </c>
      <c r="D120" s="1051">
        <f t="shared" si="21"/>
        <v>5</v>
      </c>
      <c r="E120" s="1051" t="str">
        <f>IF(COUNTIF(E$11:E119,F120)&gt;0,"",F120)</f>
        <v/>
      </c>
      <c r="F120" s="1051" t="str">
        <f t="shared" si="22"/>
        <v>Carbureacteur (large coupe (jet B)), France continentale, Base Carbone</v>
      </c>
      <c r="G120" s="1055" t="str">
        <f t="shared" si="23"/>
        <v>Carbureacteur (large coupe (jet B)), France continentale, Base Carbone; kgCO2e/kWh PCI, Combustion</v>
      </c>
      <c r="I120" s="1031" t="s">
        <v>1582</v>
      </c>
      <c r="J120" s="1032" t="s">
        <v>1573</v>
      </c>
      <c r="K120" s="1032" t="s">
        <v>1567</v>
      </c>
      <c r="L120" s="1032" t="s">
        <v>1571</v>
      </c>
      <c r="M120" s="1033">
        <v>0.05</v>
      </c>
      <c r="N120" s="1032" t="s">
        <v>1569</v>
      </c>
      <c r="O120" s="1036">
        <v>0.25900000000000001</v>
      </c>
      <c r="P120" s="1036">
        <v>0.25800000000000001</v>
      </c>
      <c r="Q120" s="1036">
        <v>3.2400000000000001E-4</v>
      </c>
      <c r="R120" s="1036">
        <v>0</v>
      </c>
      <c r="S120" s="1036">
        <v>5.8299999999999997E-4</v>
      </c>
      <c r="T120" s="1036">
        <v>0</v>
      </c>
      <c r="U120" s="1037">
        <v>0</v>
      </c>
    </row>
    <row r="121" spans="2:21" hidden="1" outlineLevel="2">
      <c r="B121" s="2108">
        <v>26</v>
      </c>
      <c r="C121" s="2109" t="str">
        <f t="shared" si="20"/>
        <v>Fioul lourd (commercial), Europe, Base Carbone</v>
      </c>
      <c r="D121" s="1051">
        <f t="shared" si="21"/>
        <v>5</v>
      </c>
      <c r="E121" s="1051" t="str">
        <f>IF(COUNTIF(E$11:E120,F121)&gt;0,"",F121)</f>
        <v/>
      </c>
      <c r="F121" s="1051" t="str">
        <f t="shared" si="22"/>
        <v>Carbureacteur (large coupe (jet B)), France continentale, Base Carbone</v>
      </c>
      <c r="G121" s="1055" t="str">
        <f t="shared" si="23"/>
        <v>Carbureacteur (large coupe (jet B)), France continentale, Base Carbone; kgCO2e/kWh PCI, Amont</v>
      </c>
      <c r="I121" s="1031" t="s">
        <v>1582</v>
      </c>
      <c r="J121" s="1032" t="s">
        <v>1573</v>
      </c>
      <c r="K121" s="1032" t="s">
        <v>1567</v>
      </c>
      <c r="L121" s="1032" t="s">
        <v>1571</v>
      </c>
      <c r="M121" s="1033">
        <v>0.05</v>
      </c>
      <c r="N121" s="1032" t="s">
        <v>1570</v>
      </c>
      <c r="O121" s="1036">
        <v>5.4399999999999997E-2</v>
      </c>
      <c r="P121" s="1036">
        <v>4.9099999999999998E-2</v>
      </c>
      <c r="Q121" s="1036">
        <v>5.2500000000000003E-3</v>
      </c>
      <c r="R121" s="1036">
        <v>0</v>
      </c>
      <c r="S121" s="1036">
        <v>0</v>
      </c>
      <c r="T121" s="1036">
        <v>0</v>
      </c>
      <c r="U121" s="1037">
        <v>0</v>
      </c>
    </row>
    <row r="122" spans="2:21" hidden="1" outlineLevel="2">
      <c r="B122" s="2108">
        <v>27</v>
      </c>
      <c r="C122" s="2109" t="str">
        <f t="shared" si="20"/>
        <v>Fioul Lourd (commercial), France continentale, Base Carbone</v>
      </c>
      <c r="D122" s="1051">
        <f t="shared" si="21"/>
        <v>5</v>
      </c>
      <c r="E122" s="1051" t="str">
        <f>IF(COUNTIF(E$11:E121,F122)&gt;0,"",F122)</f>
        <v/>
      </c>
      <c r="F122" s="1051" t="str">
        <f t="shared" si="22"/>
        <v>Carbureacteur (large coupe (jet B)), Europe, Base Carbone</v>
      </c>
      <c r="G122" s="1055" t="str">
        <f t="shared" si="23"/>
        <v>Carbureacteur (large coupe (jet B)), Europe, Base Carbone; kgCO2e/litre, Combustion</v>
      </c>
      <c r="I122" s="1031" t="s">
        <v>1582</v>
      </c>
      <c r="J122" s="1032" t="s">
        <v>1574</v>
      </c>
      <c r="K122" s="1032" t="s">
        <v>1567</v>
      </c>
      <c r="L122" s="1032" t="s">
        <v>1568</v>
      </c>
      <c r="M122" s="1033">
        <v>0.05</v>
      </c>
      <c r="N122" s="1032" t="s">
        <v>1569</v>
      </c>
      <c r="O122" s="1036">
        <v>2.48</v>
      </c>
      <c r="P122" s="1036">
        <v>2.48</v>
      </c>
      <c r="Q122" s="1036">
        <v>0</v>
      </c>
      <c r="R122" s="1036">
        <v>0</v>
      </c>
      <c r="S122" s="1036">
        <v>0</v>
      </c>
      <c r="T122" s="1036">
        <v>0</v>
      </c>
      <c r="U122" s="1037">
        <v>0</v>
      </c>
    </row>
    <row r="123" spans="2:21" hidden="1" outlineLevel="2">
      <c r="B123" s="2108">
        <v>28</v>
      </c>
      <c r="C123" s="2109" t="str">
        <f t="shared" si="20"/>
        <v>Fioul Lourd (commercial), Polynésie Française, Base Carbone</v>
      </c>
      <c r="D123" s="1051">
        <f t="shared" si="21"/>
        <v>5</v>
      </c>
      <c r="E123" s="1051" t="str">
        <f>IF(COUNTIF(E$11:E122,F123)&gt;0,"",F123)</f>
        <v/>
      </c>
      <c r="F123" s="1051" t="str">
        <f t="shared" si="22"/>
        <v>Carbureacteur (large coupe (jet B)), Europe, Base Carbone</v>
      </c>
      <c r="G123" s="1055" t="str">
        <f t="shared" si="23"/>
        <v>Carbureacteur (large coupe (jet B)), Europe, Base Carbone; kgCO2e/litre, Amont</v>
      </c>
      <c r="I123" s="1031" t="s">
        <v>1582</v>
      </c>
      <c r="J123" s="1032" t="s">
        <v>1574</v>
      </c>
      <c r="K123" s="1032" t="s">
        <v>1567</v>
      </c>
      <c r="L123" s="1032" t="s">
        <v>1568</v>
      </c>
      <c r="M123" s="1033">
        <v>0.05</v>
      </c>
      <c r="N123" s="1032" t="s">
        <v>1570</v>
      </c>
      <c r="O123" s="1036">
        <v>0.53500000000000003</v>
      </c>
      <c r="P123" s="1036">
        <v>0.48299999999999998</v>
      </c>
      <c r="Q123" s="1036">
        <v>5.16E-2</v>
      </c>
      <c r="R123" s="1036">
        <v>0</v>
      </c>
      <c r="S123" s="1036">
        <v>0</v>
      </c>
      <c r="T123" s="1036">
        <v>0</v>
      </c>
      <c r="U123" s="1037">
        <v>0</v>
      </c>
    </row>
    <row r="124" spans="2:21" hidden="1" outlineLevel="2">
      <c r="B124" s="2108">
        <v>29</v>
      </c>
      <c r="C124" s="2109" t="str">
        <f t="shared" si="20"/>
        <v>Fioul Lourd (commercial), Réunion, Base Carbone</v>
      </c>
      <c r="D124" s="1051">
        <f t="shared" si="21"/>
        <v>5</v>
      </c>
      <c r="E124" s="1051" t="str">
        <f>IF(COUNTIF(E$11:E123,F124)&gt;0,"",F124)</f>
        <v/>
      </c>
      <c r="F124" s="1051" t="str">
        <f t="shared" si="22"/>
        <v>Carbureacteur (large coupe (jet B)), France continentale, Base Carbone</v>
      </c>
      <c r="G124" s="1055" t="str">
        <f t="shared" si="23"/>
        <v>Carbureacteur (large coupe (jet B)), France continentale, Base Carbone; kgCO2e/litre, Combustion</v>
      </c>
      <c r="I124" s="1031" t="s">
        <v>1582</v>
      </c>
      <c r="J124" s="1032" t="s">
        <v>1574</v>
      </c>
      <c r="K124" s="1032" t="s">
        <v>1567</v>
      </c>
      <c r="L124" s="1032" t="s">
        <v>1571</v>
      </c>
      <c r="M124" s="1033">
        <v>0.05</v>
      </c>
      <c r="N124" s="1032" t="s">
        <v>1569</v>
      </c>
      <c r="O124" s="1036">
        <v>2.48</v>
      </c>
      <c r="P124" s="1036">
        <v>2.48</v>
      </c>
      <c r="Q124" s="1036">
        <v>0</v>
      </c>
      <c r="R124" s="1036">
        <v>0</v>
      </c>
      <c r="S124" s="1036">
        <v>0</v>
      </c>
      <c r="T124" s="1036">
        <v>0</v>
      </c>
      <c r="U124" s="1037">
        <v>0</v>
      </c>
    </row>
    <row r="125" spans="2:21" hidden="1" outlineLevel="2">
      <c r="B125" s="2108">
        <v>30</v>
      </c>
      <c r="C125" s="2109" t="str">
        <f t="shared" si="20"/>
        <v>Fioul Lourd (commercial), Guadeloupe, Martinique, Guyane, Corse, Base Carbone</v>
      </c>
      <c r="D125" s="1051">
        <f t="shared" si="21"/>
        <v>5</v>
      </c>
      <c r="E125" s="1051" t="str">
        <f>IF(COUNTIF(E$11:E124,F125)&gt;0,"",F125)</f>
        <v/>
      </c>
      <c r="F125" s="1051" t="str">
        <f t="shared" si="22"/>
        <v>Carbureacteur (large coupe (jet B)), France continentale, Base Carbone</v>
      </c>
      <c r="G125" s="1055" t="str">
        <f t="shared" si="23"/>
        <v>Carbureacteur (large coupe (jet B)), France continentale, Base Carbone; kgCO2e/litre, Amont</v>
      </c>
      <c r="I125" s="1031" t="s">
        <v>1582</v>
      </c>
      <c r="J125" s="1032" t="s">
        <v>1574</v>
      </c>
      <c r="K125" s="1032" t="s">
        <v>1567</v>
      </c>
      <c r="L125" s="1032" t="s">
        <v>1571</v>
      </c>
      <c r="M125" s="1033">
        <v>0.05</v>
      </c>
      <c r="N125" s="1032" t="s">
        <v>1570</v>
      </c>
      <c r="O125" s="1036">
        <v>0.53100000000000003</v>
      </c>
      <c r="P125" s="1036">
        <v>0.48</v>
      </c>
      <c r="Q125" s="1036">
        <v>5.1299999999999998E-2</v>
      </c>
      <c r="R125" s="1036">
        <v>0</v>
      </c>
      <c r="S125" s="1036">
        <v>0</v>
      </c>
      <c r="T125" s="1036">
        <v>0</v>
      </c>
      <c r="U125" s="1037">
        <v>0</v>
      </c>
    </row>
    <row r="126" spans="2:21" hidden="1" outlineLevel="2">
      <c r="B126" s="2108">
        <v>31</v>
      </c>
      <c r="C126" s="2109" t="str">
        <f t="shared" si="20"/>
        <v>Fioul Lourd (commercial), Nouvelle Calédonie, Base Carbone</v>
      </c>
      <c r="D126" s="1051">
        <f t="shared" si="21"/>
        <v>5</v>
      </c>
      <c r="E126" s="1051" t="str">
        <f>IF(COUNTIF(E$11:E125,F126)&gt;0,"",F126)</f>
        <v/>
      </c>
      <c r="F126" s="1051" t="str">
        <f t="shared" si="22"/>
        <v>Carbureacteur (large coupe (jet B)), Europe, Base Carbone</v>
      </c>
      <c r="G126" s="1055" t="str">
        <f t="shared" si="23"/>
        <v>Carbureacteur (large coupe (jet B)), Europe, Base Carbone; kgCO2e/tep PCI, Combustion</v>
      </c>
      <c r="I126" s="1031" t="s">
        <v>1582</v>
      </c>
      <c r="J126" s="1032" t="s">
        <v>1575</v>
      </c>
      <c r="K126" s="1032" t="s">
        <v>1567</v>
      </c>
      <c r="L126" s="1032" t="s">
        <v>1568</v>
      </c>
      <c r="M126" s="1033">
        <v>0.05</v>
      </c>
      <c r="N126" s="1032" t="s">
        <v>1569</v>
      </c>
      <c r="O126" s="1036">
        <v>2950</v>
      </c>
      <c r="P126" s="1036">
        <v>2940</v>
      </c>
      <c r="Q126" s="1036">
        <v>3.78</v>
      </c>
      <c r="R126" s="1036">
        <v>0</v>
      </c>
      <c r="S126" s="1036">
        <v>6.68</v>
      </c>
      <c r="T126" s="1036">
        <v>0</v>
      </c>
      <c r="U126" s="1037">
        <v>0</v>
      </c>
    </row>
    <row r="127" spans="2:21" hidden="1" outlineLevel="2">
      <c r="B127" s="2108">
        <v>32</v>
      </c>
      <c r="C127" s="2109" t="str">
        <f t="shared" si="20"/>
        <v>Fioul à base de carbone recyclé - VALORTEC, France continentale, Base Carbone</v>
      </c>
      <c r="D127" s="1051">
        <f t="shared" si="21"/>
        <v>5</v>
      </c>
      <c r="E127" s="1051" t="str">
        <f>IF(COUNTIF(E$11:E126,F127)&gt;0,"",F127)</f>
        <v/>
      </c>
      <c r="F127" s="1051" t="str">
        <f t="shared" si="22"/>
        <v>Carbureacteur (large coupe (jet B)), Europe, Base Carbone</v>
      </c>
      <c r="G127" s="1055" t="str">
        <f t="shared" si="23"/>
        <v>Carbureacteur (large coupe (jet B)), Europe, Base Carbone; kgCO2e/tep PCI, Amont</v>
      </c>
      <c r="I127" s="1031" t="s">
        <v>1582</v>
      </c>
      <c r="J127" s="1032" t="s">
        <v>1575</v>
      </c>
      <c r="K127" s="1032" t="s">
        <v>1567</v>
      </c>
      <c r="L127" s="1032" t="s">
        <v>1568</v>
      </c>
      <c r="M127" s="1033">
        <v>0.05</v>
      </c>
      <c r="N127" s="1032" t="s">
        <v>1570</v>
      </c>
      <c r="O127" s="1036">
        <v>634</v>
      </c>
      <c r="P127" s="1036">
        <v>573</v>
      </c>
      <c r="Q127" s="1036">
        <v>61.2</v>
      </c>
      <c r="R127" s="1036">
        <v>0</v>
      </c>
      <c r="S127" s="1036">
        <v>0</v>
      </c>
      <c r="T127" s="1036">
        <v>0</v>
      </c>
      <c r="U127" s="1037">
        <v>0</v>
      </c>
    </row>
    <row r="128" spans="2:21" hidden="1" outlineLevel="2">
      <c r="B128" s="2108">
        <v>33</v>
      </c>
      <c r="C128" s="2109" t="str">
        <f t="shared" si="20"/>
        <v>Gazole routier (B10), France continentale, Base Carbone</v>
      </c>
      <c r="D128" s="1051">
        <f t="shared" si="21"/>
        <v>5</v>
      </c>
      <c r="E128" s="1051" t="str">
        <f>IF(COUNTIF(E$11:E127,F128)&gt;0,"",F128)</f>
        <v/>
      </c>
      <c r="F128" s="1051" t="str">
        <f t="shared" si="22"/>
        <v>Carbureacteur (large coupe (jet B)), France continentale, Base Carbone</v>
      </c>
      <c r="G128" s="1055" t="str">
        <f t="shared" si="23"/>
        <v>Carbureacteur (large coupe (jet B)), France continentale, Base Carbone; kgCO2e/tep PCI, Combustion</v>
      </c>
      <c r="I128" s="1031" t="s">
        <v>1582</v>
      </c>
      <c r="J128" s="1032" t="s">
        <v>1575</v>
      </c>
      <c r="K128" s="1032" t="s">
        <v>1567</v>
      </c>
      <c r="L128" s="1032" t="s">
        <v>1571</v>
      </c>
      <c r="M128" s="1033">
        <v>0.05</v>
      </c>
      <c r="N128" s="1032" t="s">
        <v>1569</v>
      </c>
      <c r="O128" s="1036">
        <v>3020</v>
      </c>
      <c r="P128" s="1036">
        <v>3010</v>
      </c>
      <c r="Q128" s="1036">
        <v>3.78</v>
      </c>
      <c r="R128" s="1036">
        <v>0</v>
      </c>
      <c r="S128" s="1036">
        <v>6.68</v>
      </c>
      <c r="T128" s="1036">
        <v>0</v>
      </c>
      <c r="U128" s="1037">
        <v>0</v>
      </c>
    </row>
    <row r="129" spans="2:21" hidden="1" outlineLevel="2">
      <c r="B129" s="2108">
        <v>34</v>
      </c>
      <c r="C129" s="2109" t="str">
        <f t="shared" si="20"/>
        <v>Gazole routier (B100), France continentale, Base Carbone</v>
      </c>
      <c r="D129" s="1051">
        <f t="shared" si="21"/>
        <v>5</v>
      </c>
      <c r="E129" s="1051" t="str">
        <f>IF(COUNTIF(E$11:E128,F129)&gt;0,"",F129)</f>
        <v/>
      </c>
      <c r="F129" s="1051" t="str">
        <f t="shared" si="22"/>
        <v>Carbureacteur (large coupe (jet B)), France continentale, Base Carbone</v>
      </c>
      <c r="G129" s="1055" t="str">
        <f t="shared" si="23"/>
        <v>Carbureacteur (large coupe (jet B)), France continentale, Base Carbone; kgCO2e/tep PCI, Amont</v>
      </c>
      <c r="I129" s="1031" t="s">
        <v>1582</v>
      </c>
      <c r="J129" s="1032" t="s">
        <v>1575</v>
      </c>
      <c r="K129" s="1032" t="s">
        <v>1567</v>
      </c>
      <c r="L129" s="1032" t="s">
        <v>1571</v>
      </c>
      <c r="M129" s="1033">
        <v>0.05</v>
      </c>
      <c r="N129" s="1032" t="s">
        <v>1570</v>
      </c>
      <c r="O129" s="1036">
        <v>634</v>
      </c>
      <c r="P129" s="1036">
        <v>573</v>
      </c>
      <c r="Q129" s="1036">
        <v>61.2</v>
      </c>
      <c r="R129" s="1036">
        <v>0</v>
      </c>
      <c r="S129" s="1036">
        <v>0</v>
      </c>
      <c r="T129" s="1036">
        <v>0</v>
      </c>
      <c r="U129" s="1037">
        <v>0</v>
      </c>
    </row>
    <row r="130" spans="2:21" hidden="1" outlineLevel="2">
      <c r="B130" s="2108">
        <v>35</v>
      </c>
      <c r="C130" s="2109" t="str">
        <f t="shared" si="20"/>
        <v>Gazole (B30), France continentale, Base Carbone</v>
      </c>
      <c r="D130" s="1051">
        <f t="shared" si="21"/>
        <v>6</v>
      </c>
      <c r="E130" s="1051" t="str">
        <f>IF(COUNTIF(E$11:E129,F130)&gt;0,"",F130)</f>
        <v>Carbureacteur (large coupe (jet B)), Polynésie Française, Base Carbone</v>
      </c>
      <c r="F130" s="1051" t="str">
        <f t="shared" si="22"/>
        <v>Carbureacteur (large coupe (jet B)), Polynésie Française, Base Carbone</v>
      </c>
      <c r="G130" s="1055" t="str">
        <f t="shared" si="23"/>
        <v>Carbureacteur (large coupe (jet B)), Polynésie Française, Base Carbone; kgCO2e/kg, Combustion</v>
      </c>
      <c r="I130" s="1031" t="s">
        <v>1582</v>
      </c>
      <c r="J130" s="2017" t="s">
        <v>1572</v>
      </c>
      <c r="K130" s="1032" t="s">
        <v>1567</v>
      </c>
      <c r="L130" s="1032" t="s">
        <v>637</v>
      </c>
      <c r="M130" s="1033">
        <v>0.05</v>
      </c>
      <c r="N130" s="1032" t="s">
        <v>1569</v>
      </c>
      <c r="O130" s="1980">
        <v>3.12</v>
      </c>
      <c r="P130" s="1980">
        <f>O130</f>
        <v>3.12</v>
      </c>
      <c r="Q130" s="1980">
        <v>0</v>
      </c>
      <c r="R130" s="1980">
        <v>0</v>
      </c>
      <c r="S130" s="1980">
        <v>0</v>
      </c>
      <c r="T130" s="1980">
        <v>0</v>
      </c>
      <c r="U130" s="2036">
        <v>0</v>
      </c>
    </row>
    <row r="131" spans="2:21" hidden="1" outlineLevel="2">
      <c r="B131" s="2108">
        <v>36</v>
      </c>
      <c r="C131" s="2109" t="str">
        <f t="shared" si="20"/>
        <v>Gazole non routier, France continentale, Base Carbone</v>
      </c>
      <c r="D131" s="1051">
        <f t="shared" si="21"/>
        <v>6</v>
      </c>
      <c r="E131" s="1051" t="str">
        <f>IF(COUNTIF(E$11:E130,F131)&gt;0,"",F131)</f>
        <v/>
      </c>
      <c r="F131" s="1051" t="str">
        <f t="shared" si="22"/>
        <v>Carbureacteur (large coupe (jet B)), Polynésie Française, Base Carbone</v>
      </c>
      <c r="G131" s="1055" t="str">
        <f t="shared" si="23"/>
        <v>Carbureacteur (large coupe (jet B)), Polynésie Française, Base Carbone; kgCO2e/kg, Amont</v>
      </c>
      <c r="I131" s="1031" t="s">
        <v>1582</v>
      </c>
      <c r="J131" s="2017" t="s">
        <v>1572</v>
      </c>
      <c r="K131" s="1032" t="s">
        <v>1567</v>
      </c>
      <c r="L131" s="1032" t="s">
        <v>637</v>
      </c>
      <c r="M131" s="1033">
        <v>0.05</v>
      </c>
      <c r="N131" s="1032" t="s">
        <v>1570</v>
      </c>
      <c r="O131" s="1980">
        <v>0.45200000000000001</v>
      </c>
      <c r="P131" s="1980">
        <f t="shared" ref="P131:P161" si="24">O131</f>
        <v>0.45200000000000001</v>
      </c>
      <c r="Q131" s="1980">
        <v>0</v>
      </c>
      <c r="R131" s="1980">
        <v>0</v>
      </c>
      <c r="S131" s="1980">
        <v>0</v>
      </c>
      <c r="T131" s="1980">
        <v>0</v>
      </c>
      <c r="U131" s="2036">
        <v>0</v>
      </c>
    </row>
    <row r="132" spans="2:21" hidden="1" outlineLevel="2">
      <c r="B132" s="2108">
        <v>37</v>
      </c>
      <c r="C132" s="2109" t="str">
        <f t="shared" si="20"/>
        <v>Gazole routier (B7), France continentale, Base Carbone</v>
      </c>
      <c r="D132" s="1051">
        <f t="shared" si="21"/>
        <v>6</v>
      </c>
      <c r="E132" s="1051" t="str">
        <f>IF(COUNTIF(E$11:E131,F132)&gt;0,"",F132)</f>
        <v/>
      </c>
      <c r="F132" s="1051" t="str">
        <f t="shared" si="22"/>
        <v>Carbureacteur (large coupe (jet B)), Polynésie Française, Base Carbone</v>
      </c>
      <c r="G132" s="1055" t="str">
        <f t="shared" si="23"/>
        <v>Carbureacteur (large coupe (jet B)), Polynésie Française, Base Carbone; kgCO2e/kWh PCI, Combustion</v>
      </c>
      <c r="I132" s="1031" t="s">
        <v>1582</v>
      </c>
      <c r="J132" s="1032" t="s">
        <v>1573</v>
      </c>
      <c r="K132" s="1032" t="s">
        <v>1567</v>
      </c>
      <c r="L132" s="1032" t="s">
        <v>637</v>
      </c>
      <c r="M132" s="1033">
        <v>0.05</v>
      </c>
      <c r="N132" s="1032" t="s">
        <v>1569</v>
      </c>
      <c r="O132" s="1036">
        <v>0.25600000000000001</v>
      </c>
      <c r="P132" s="1980">
        <f t="shared" si="24"/>
        <v>0.25600000000000001</v>
      </c>
      <c r="Q132" s="1980">
        <v>0</v>
      </c>
      <c r="R132" s="1980">
        <v>0</v>
      </c>
      <c r="S132" s="1980">
        <v>0</v>
      </c>
      <c r="T132" s="1980">
        <v>0</v>
      </c>
      <c r="U132" s="2036">
        <v>0</v>
      </c>
    </row>
    <row r="133" spans="2:21" hidden="1" outlineLevel="2">
      <c r="B133" s="2108">
        <v>38</v>
      </c>
      <c r="C133" s="2109" t="str">
        <f t="shared" si="20"/>
        <v>Gazole routier, Polynésie Française, Base Carbone</v>
      </c>
      <c r="D133" s="1051">
        <f t="shared" si="21"/>
        <v>6</v>
      </c>
      <c r="E133" s="1051" t="str">
        <f>IF(COUNTIF(E$11:E132,F133)&gt;0,"",F133)</f>
        <v/>
      </c>
      <c r="F133" s="1051" t="str">
        <f t="shared" si="22"/>
        <v>Carbureacteur (large coupe (jet B)), Polynésie Française, Base Carbone</v>
      </c>
      <c r="G133" s="1055" t="str">
        <f t="shared" si="23"/>
        <v>Carbureacteur (large coupe (jet B)), Polynésie Française, Base Carbone; kgCO2e/kWh PCI, Amont</v>
      </c>
      <c r="I133" s="1031" t="s">
        <v>1582</v>
      </c>
      <c r="J133" s="1032" t="s">
        <v>1573</v>
      </c>
      <c r="K133" s="1032" t="s">
        <v>1567</v>
      </c>
      <c r="L133" s="1032" t="s">
        <v>637</v>
      </c>
      <c r="M133" s="1033">
        <v>0.05</v>
      </c>
      <c r="N133" s="1032" t="s">
        <v>1570</v>
      </c>
      <c r="O133" s="1036">
        <v>3.6999999999999998E-2</v>
      </c>
      <c r="P133" s="1980">
        <f t="shared" si="24"/>
        <v>3.6999999999999998E-2</v>
      </c>
      <c r="Q133" s="1980">
        <v>0</v>
      </c>
      <c r="R133" s="1980">
        <v>0</v>
      </c>
      <c r="S133" s="1980">
        <v>0</v>
      </c>
      <c r="T133" s="1980">
        <v>0</v>
      </c>
      <c r="U133" s="2036">
        <v>0</v>
      </c>
    </row>
    <row r="134" spans="2:21" hidden="1" outlineLevel="2">
      <c r="B134" s="2108">
        <v>39</v>
      </c>
      <c r="C134" s="2109" t="str">
        <f t="shared" si="20"/>
        <v>Gazole routier, Réunion, Base Carbone</v>
      </c>
      <c r="D134" s="1051">
        <f t="shared" si="21"/>
        <v>6</v>
      </c>
      <c r="E134" s="1051" t="str">
        <f>IF(COUNTIF(E$11:E133,F134)&gt;0,"",F134)</f>
        <v/>
      </c>
      <c r="F134" s="1051" t="str">
        <f t="shared" si="22"/>
        <v>Carbureacteur (large coupe (jet B)), Polynésie Française, Base Carbone</v>
      </c>
      <c r="G134" s="1055" t="str">
        <f t="shared" si="23"/>
        <v>Carbureacteur (large coupe (jet B)), Polynésie Française, Base Carbone; kgCO2e/tep PCI, Combustion</v>
      </c>
      <c r="I134" s="1031" t="s">
        <v>1582</v>
      </c>
      <c r="J134" s="1032" t="s">
        <v>1575</v>
      </c>
      <c r="K134" s="1032" t="s">
        <v>1567</v>
      </c>
      <c r="L134" s="1032" t="s">
        <v>637</v>
      </c>
      <c r="M134" s="1033">
        <v>0.05</v>
      </c>
      <c r="N134" s="1032" t="s">
        <v>1569</v>
      </c>
      <c r="O134" s="1036">
        <v>2970</v>
      </c>
      <c r="P134" s="1980">
        <f t="shared" si="24"/>
        <v>2970</v>
      </c>
      <c r="Q134" s="1980">
        <v>0</v>
      </c>
      <c r="R134" s="1980">
        <v>0</v>
      </c>
      <c r="S134" s="1980">
        <v>0</v>
      </c>
      <c r="T134" s="1980">
        <v>0</v>
      </c>
      <c r="U134" s="2036">
        <v>0</v>
      </c>
    </row>
    <row r="135" spans="2:21" hidden="1" outlineLevel="2">
      <c r="B135" s="2108">
        <v>40</v>
      </c>
      <c r="C135" s="2109" t="str">
        <f t="shared" si="20"/>
        <v>Gazole routier, Guadeloupe, Martinique, Guyane, Corse, Base Carbone</v>
      </c>
      <c r="D135" s="1051">
        <f t="shared" si="21"/>
        <v>6</v>
      </c>
      <c r="E135" s="1051" t="str">
        <f>IF(COUNTIF(E$11:E134,F135)&gt;0,"",F135)</f>
        <v/>
      </c>
      <c r="F135" s="1051" t="str">
        <f t="shared" si="22"/>
        <v>Carbureacteur (large coupe (jet B)), Polynésie Française, Base Carbone</v>
      </c>
      <c r="G135" s="1055" t="str">
        <f t="shared" si="23"/>
        <v>Carbureacteur (large coupe (jet B)), Polynésie Française, Base Carbone; kgCO2e/tep PCI, Amont</v>
      </c>
      <c r="I135" s="1031" t="s">
        <v>1582</v>
      </c>
      <c r="J135" s="1032" t="s">
        <v>1575</v>
      </c>
      <c r="K135" s="1032" t="s">
        <v>1567</v>
      </c>
      <c r="L135" s="1032" t="s">
        <v>637</v>
      </c>
      <c r="M135" s="1033">
        <v>0.05</v>
      </c>
      <c r="N135" s="1032" t="s">
        <v>1570</v>
      </c>
      <c r="O135" s="1036">
        <v>430</v>
      </c>
      <c r="P135" s="1980">
        <f t="shared" si="24"/>
        <v>430</v>
      </c>
      <c r="Q135" s="1980">
        <v>0</v>
      </c>
      <c r="R135" s="1980">
        <v>0</v>
      </c>
      <c r="S135" s="1980">
        <v>0</v>
      </c>
      <c r="T135" s="1980">
        <v>0</v>
      </c>
      <c r="U135" s="2036">
        <v>0</v>
      </c>
    </row>
    <row r="136" spans="2:21" hidden="1" outlineLevel="2">
      <c r="B136" s="2108">
        <v>41</v>
      </c>
      <c r="C136" s="2109" t="str">
        <f t="shared" si="20"/>
        <v>Gazole routier, Nouvelle Calédonie, Base Carbone</v>
      </c>
      <c r="D136" s="1051">
        <f t="shared" si="21"/>
        <v>6</v>
      </c>
      <c r="E136" s="1051" t="str">
        <f>IF(COUNTIF(E$11:E135,F136)&gt;0,"",F136)</f>
        <v/>
      </c>
      <c r="F136" s="1051" t="str">
        <f t="shared" si="22"/>
        <v>Carbureacteur (large coupe (jet B)), Polynésie Française, Base Carbone</v>
      </c>
      <c r="G136" s="1055" t="str">
        <f t="shared" si="23"/>
        <v>Carbureacteur (large coupe (jet B)), Polynésie Française, Base Carbone; kgCO2e/litre, Combustion</v>
      </c>
      <c r="I136" s="1031" t="s">
        <v>1582</v>
      </c>
      <c r="J136" s="1032" t="s">
        <v>1574</v>
      </c>
      <c r="K136" s="1032" t="s">
        <v>1567</v>
      </c>
      <c r="L136" s="1032" t="s">
        <v>637</v>
      </c>
      <c r="M136" s="1033">
        <v>0.05</v>
      </c>
      <c r="N136" s="1032" t="s">
        <v>1569</v>
      </c>
      <c r="O136" s="1036">
        <v>2.5</v>
      </c>
      <c r="P136" s="1980">
        <f t="shared" si="24"/>
        <v>2.5</v>
      </c>
      <c r="Q136" s="1980">
        <v>0</v>
      </c>
      <c r="R136" s="1980">
        <v>0</v>
      </c>
      <c r="S136" s="1980">
        <v>0</v>
      </c>
      <c r="T136" s="1980">
        <v>0</v>
      </c>
      <c r="U136" s="2036">
        <v>0</v>
      </c>
    </row>
    <row r="137" spans="2:21" hidden="1" outlineLevel="2">
      <c r="B137" s="2108">
        <v>42</v>
      </c>
      <c r="C137" s="2109" t="str">
        <f t="shared" si="20"/>
        <v>GNL, Gaz Naturel Liquéfié ((inclus routier, maritime et fluvial)), France continentale, Base Carbone</v>
      </c>
      <c r="D137" s="1051">
        <f t="shared" si="21"/>
        <v>6</v>
      </c>
      <c r="E137" s="1051" t="str">
        <f>IF(COUNTIF(E$11:E136,F137)&gt;0,"",F137)</f>
        <v/>
      </c>
      <c r="F137" s="1051" t="str">
        <f t="shared" si="22"/>
        <v>Carbureacteur (large coupe (jet B)), Polynésie Française, Base Carbone</v>
      </c>
      <c r="G137" s="1055" t="str">
        <f t="shared" si="23"/>
        <v>Carbureacteur (large coupe (jet B)), Polynésie Française, Base Carbone; kgCO2e/litre, Amont</v>
      </c>
      <c r="I137" s="1031" t="s">
        <v>1582</v>
      </c>
      <c r="J137" s="1032" t="s">
        <v>1574</v>
      </c>
      <c r="K137" s="1032" t="s">
        <v>1567</v>
      </c>
      <c r="L137" s="1032" t="s">
        <v>637</v>
      </c>
      <c r="M137" s="1033">
        <v>0.05</v>
      </c>
      <c r="N137" s="1032" t="s">
        <v>1570</v>
      </c>
      <c r="O137" s="1036">
        <v>0.38500000000000001</v>
      </c>
      <c r="P137" s="1980">
        <f t="shared" si="24"/>
        <v>0.38500000000000001</v>
      </c>
      <c r="Q137" s="1980">
        <v>0</v>
      </c>
      <c r="R137" s="1980">
        <v>0</v>
      </c>
      <c r="S137" s="1980">
        <v>0</v>
      </c>
      <c r="T137" s="1980">
        <v>0</v>
      </c>
      <c r="U137" s="2036">
        <v>0</v>
      </c>
    </row>
    <row r="138" spans="2:21" hidden="1" outlineLevel="2">
      <c r="B138" s="2108">
        <v>43</v>
      </c>
      <c r="C138" s="2109" t="str">
        <f t="shared" si="20"/>
        <v>GNC, Gaz Naturel Comprimé pour véhicule routier, France continentale, Base Carbone</v>
      </c>
      <c r="D138" s="1051">
        <f t="shared" si="21"/>
        <v>7</v>
      </c>
      <c r="E138" s="1051" t="str">
        <f>IF(COUNTIF(E$11:E137,F138)&gt;0,"",F138)</f>
        <v>Carbureacteur (large coupe (jet B)), Réunion, Base Carbone</v>
      </c>
      <c r="F138" s="1051" t="str">
        <f t="shared" si="22"/>
        <v>Carbureacteur (large coupe (jet B)), Réunion, Base Carbone</v>
      </c>
      <c r="G138" s="1055" t="str">
        <f t="shared" si="23"/>
        <v>Carbureacteur (large coupe (jet B)), Réunion, Base Carbone; kgCO2e/kg, Combustion</v>
      </c>
      <c r="I138" s="1031" t="s">
        <v>1582</v>
      </c>
      <c r="J138" s="2017" t="s">
        <v>1572</v>
      </c>
      <c r="K138" s="1032" t="s">
        <v>1567</v>
      </c>
      <c r="L138" s="1032" t="s">
        <v>785</v>
      </c>
      <c r="M138" s="1033">
        <v>0.05</v>
      </c>
      <c r="N138" s="1032" t="s">
        <v>1569</v>
      </c>
      <c r="O138" s="1980">
        <v>3.12</v>
      </c>
      <c r="P138" s="1980">
        <f t="shared" si="24"/>
        <v>3.12</v>
      </c>
      <c r="Q138" s="1980">
        <v>0</v>
      </c>
      <c r="R138" s="1980">
        <v>0</v>
      </c>
      <c r="S138" s="1980">
        <v>0</v>
      </c>
      <c r="T138" s="1980">
        <v>0</v>
      </c>
      <c r="U138" s="2036">
        <v>0</v>
      </c>
    </row>
    <row r="139" spans="2:21" hidden="1" outlineLevel="2">
      <c r="B139" s="2108">
        <v>44</v>
      </c>
      <c r="C139" s="2109" t="str">
        <f t="shared" si="20"/>
        <v>GPL pour véhicule routier, France continentale, Base Carbone</v>
      </c>
      <c r="D139" s="1051">
        <f t="shared" si="21"/>
        <v>7</v>
      </c>
      <c r="E139" s="1051" t="str">
        <f>IF(COUNTIF(E$11:E138,F139)&gt;0,"",F139)</f>
        <v/>
      </c>
      <c r="F139" s="1051" t="str">
        <f t="shared" si="22"/>
        <v>Carbureacteur (large coupe (jet B)), Réunion, Base Carbone</v>
      </c>
      <c r="G139" s="1055" t="str">
        <f t="shared" si="23"/>
        <v>Carbureacteur (large coupe (jet B)), Réunion, Base Carbone; kgCO2e/kg, Amont</v>
      </c>
      <c r="I139" s="1031" t="s">
        <v>1582</v>
      </c>
      <c r="J139" s="2017" t="s">
        <v>1572</v>
      </c>
      <c r="K139" s="1032" t="s">
        <v>1567</v>
      </c>
      <c r="L139" s="1032" t="s">
        <v>785</v>
      </c>
      <c r="M139" s="1033">
        <v>0.05</v>
      </c>
      <c r="N139" s="1032" t="s">
        <v>1570</v>
      </c>
      <c r="O139" s="1980">
        <v>0.38500000000000001</v>
      </c>
      <c r="P139" s="1980">
        <f t="shared" si="24"/>
        <v>0.38500000000000001</v>
      </c>
      <c r="Q139" s="1980">
        <v>0</v>
      </c>
      <c r="R139" s="1980">
        <v>0</v>
      </c>
      <c r="S139" s="1980">
        <v>0</v>
      </c>
      <c r="T139" s="1980">
        <v>0</v>
      </c>
      <c r="U139" s="2036">
        <v>0</v>
      </c>
    </row>
    <row r="140" spans="2:21" hidden="1" outlineLevel="2">
      <c r="B140" s="2108">
        <v>45</v>
      </c>
      <c r="C140" s="2109" t="str">
        <f t="shared" si="20"/>
        <v>GPL pour véhicule routier, Réunion, Base Carbone</v>
      </c>
      <c r="D140" s="1051">
        <f t="shared" si="21"/>
        <v>7</v>
      </c>
      <c r="E140" s="1051" t="str">
        <f>IF(COUNTIF(E$11:E139,F140)&gt;0,"",F140)</f>
        <v/>
      </c>
      <c r="F140" s="1051" t="str">
        <f t="shared" si="22"/>
        <v>Carbureacteur (large coupe (jet B)), Réunion, Base Carbone</v>
      </c>
      <c r="G140" s="1055" t="str">
        <f t="shared" si="23"/>
        <v>Carbureacteur (large coupe (jet B)), Réunion, Base Carbone; kgCO2e/kWh PCI, Combustion</v>
      </c>
      <c r="I140" s="1031" t="s">
        <v>1582</v>
      </c>
      <c r="J140" s="1032" t="s">
        <v>1573</v>
      </c>
      <c r="K140" s="1032" t="s">
        <v>1567</v>
      </c>
      <c r="L140" s="1032" t="s">
        <v>785</v>
      </c>
      <c r="M140" s="1033">
        <v>0.05</v>
      </c>
      <c r="N140" s="1032" t="s">
        <v>1569</v>
      </c>
      <c r="O140" s="1036">
        <v>0.26700000000000002</v>
      </c>
      <c r="P140" s="1980">
        <f t="shared" si="24"/>
        <v>0.26700000000000002</v>
      </c>
      <c r="Q140" s="1980">
        <v>0</v>
      </c>
      <c r="R140" s="1980">
        <v>0</v>
      </c>
      <c r="S140" s="1980">
        <v>0</v>
      </c>
      <c r="T140" s="1980">
        <v>0</v>
      </c>
      <c r="U140" s="2036">
        <v>0</v>
      </c>
    </row>
    <row r="141" spans="2:21" hidden="1" outlineLevel="2">
      <c r="B141" s="2108">
        <v>46</v>
      </c>
      <c r="C141" s="2109" t="str">
        <f t="shared" si="20"/>
        <v>GPL pour véhicule routier, Guadeloupe, Martinique, Guyane, Corse, Base Carbone</v>
      </c>
      <c r="D141" s="1051">
        <f t="shared" si="21"/>
        <v>7</v>
      </c>
      <c r="E141" s="1051" t="str">
        <f>IF(COUNTIF(E$11:E140,F141)&gt;0,"",F141)</f>
        <v/>
      </c>
      <c r="F141" s="1051" t="str">
        <f t="shared" si="22"/>
        <v>Carbureacteur (large coupe (jet B)), Réunion, Base Carbone</v>
      </c>
      <c r="G141" s="1055" t="str">
        <f t="shared" si="23"/>
        <v>Carbureacteur (large coupe (jet B)), Réunion, Base Carbone; kgCO2e/kWh PCI, Amont</v>
      </c>
      <c r="I141" s="1031" t="s">
        <v>1582</v>
      </c>
      <c r="J141" s="1032" t="s">
        <v>1573</v>
      </c>
      <c r="K141" s="1032" t="s">
        <v>1567</v>
      </c>
      <c r="L141" s="1032" t="s">
        <v>785</v>
      </c>
      <c r="M141" s="1033">
        <v>0.05</v>
      </c>
      <c r="N141" s="1032" t="s">
        <v>1570</v>
      </c>
      <c r="O141" s="1036">
        <v>3.3700000000000001E-2</v>
      </c>
      <c r="P141" s="1980">
        <f t="shared" si="24"/>
        <v>3.3700000000000001E-2</v>
      </c>
      <c r="Q141" s="1980">
        <v>0</v>
      </c>
      <c r="R141" s="1980">
        <v>0</v>
      </c>
      <c r="S141" s="1980">
        <v>0</v>
      </c>
      <c r="T141" s="1980">
        <v>0</v>
      </c>
      <c r="U141" s="2036">
        <v>0</v>
      </c>
    </row>
    <row r="142" spans="2:21" hidden="1" outlineLevel="2">
      <c r="B142" s="2108">
        <v>47</v>
      </c>
      <c r="C142" s="2109" t="str">
        <f t="shared" si="20"/>
        <v>GPL pour véhicule routier, Nouvelle Calédonie, Base Carbone</v>
      </c>
      <c r="D142" s="1051">
        <f t="shared" si="21"/>
        <v>7</v>
      </c>
      <c r="E142" s="1051" t="str">
        <f>IF(COUNTIF(E$11:E141,F142)&gt;0,"",F142)</f>
        <v/>
      </c>
      <c r="F142" s="1051" t="str">
        <f t="shared" si="22"/>
        <v>Carbureacteur (large coupe (jet B)), Réunion, Base Carbone</v>
      </c>
      <c r="G142" s="1055" t="str">
        <f t="shared" si="23"/>
        <v>Carbureacteur (large coupe (jet B)), Réunion, Base Carbone; kgCO2e/tep PCI, Combustion</v>
      </c>
      <c r="I142" s="1031" t="s">
        <v>1582</v>
      </c>
      <c r="J142" s="1032" t="s">
        <v>1575</v>
      </c>
      <c r="K142" s="1032" t="s">
        <v>1567</v>
      </c>
      <c r="L142" s="1032" t="s">
        <v>785</v>
      </c>
      <c r="M142" s="1033">
        <v>0.05</v>
      </c>
      <c r="N142" s="1032" t="s">
        <v>1569</v>
      </c>
      <c r="O142" s="1036">
        <v>3110</v>
      </c>
      <c r="P142" s="1980">
        <f t="shared" si="24"/>
        <v>3110</v>
      </c>
      <c r="Q142" s="1980">
        <v>0</v>
      </c>
      <c r="R142" s="1980">
        <v>0</v>
      </c>
      <c r="S142" s="1980">
        <v>0</v>
      </c>
      <c r="T142" s="1980">
        <v>0</v>
      </c>
      <c r="U142" s="2036">
        <v>0</v>
      </c>
    </row>
    <row r="143" spans="2:21" hidden="1" outlineLevel="2">
      <c r="B143" s="2108">
        <v>48</v>
      </c>
      <c r="C143" s="2109" t="str">
        <f t="shared" si="20"/>
        <v>HFO (Heavy Fuel Oil) (ISO 8217 classes RME à RMK), France continentale, Base Carbone</v>
      </c>
      <c r="D143" s="1051">
        <f t="shared" si="21"/>
        <v>7</v>
      </c>
      <c r="E143" s="1051" t="str">
        <f>IF(COUNTIF(E$11:E142,F143)&gt;0,"",F143)</f>
        <v/>
      </c>
      <c r="F143" s="1051" t="str">
        <f t="shared" si="22"/>
        <v>Carbureacteur (large coupe (jet B)), Réunion, Base Carbone</v>
      </c>
      <c r="G143" s="1055" t="str">
        <f t="shared" si="23"/>
        <v>Carbureacteur (large coupe (jet B)), Réunion, Base Carbone; kgCO2e/tep PCI, Amont</v>
      </c>
      <c r="I143" s="1031" t="s">
        <v>1582</v>
      </c>
      <c r="J143" s="1032" t="s">
        <v>1575</v>
      </c>
      <c r="K143" s="1032" t="s">
        <v>1567</v>
      </c>
      <c r="L143" s="1032" t="s">
        <v>785</v>
      </c>
      <c r="M143" s="1033">
        <v>0.05</v>
      </c>
      <c r="N143" s="1032" t="s">
        <v>1570</v>
      </c>
      <c r="O143" s="1036">
        <v>379</v>
      </c>
      <c r="P143" s="1980">
        <f t="shared" si="24"/>
        <v>379</v>
      </c>
      <c r="Q143" s="1980">
        <v>0</v>
      </c>
      <c r="R143" s="1980">
        <v>0</v>
      </c>
      <c r="S143" s="1980">
        <v>0</v>
      </c>
      <c r="T143" s="1980">
        <v>0</v>
      </c>
      <c r="U143" s="2036">
        <v>0</v>
      </c>
    </row>
    <row r="144" spans="2:21" hidden="1" outlineLevel="2">
      <c r="B144" s="2108">
        <v>49</v>
      </c>
      <c r="C144" s="2109" t="str">
        <f t="shared" si="20"/>
        <v>Huiles de schistes, Europe, Base Carbone</v>
      </c>
      <c r="D144" s="1051">
        <f t="shared" si="21"/>
        <v>7</v>
      </c>
      <c r="E144" s="1051" t="str">
        <f>IF(COUNTIF(E$11:E143,F144)&gt;0,"",F144)</f>
        <v/>
      </c>
      <c r="F144" s="1051" t="str">
        <f t="shared" si="22"/>
        <v>Carbureacteur (large coupe (jet B)), Réunion, Base Carbone</v>
      </c>
      <c r="G144" s="1055" t="str">
        <f t="shared" si="23"/>
        <v>Carbureacteur (large coupe (jet B)), Réunion, Base Carbone; kgCO2e/litre, Combustion</v>
      </c>
      <c r="I144" s="1031" t="s">
        <v>1582</v>
      </c>
      <c r="J144" s="1032" t="s">
        <v>1574</v>
      </c>
      <c r="K144" s="1032" t="s">
        <v>1567</v>
      </c>
      <c r="L144" s="1032" t="s">
        <v>785</v>
      </c>
      <c r="M144" s="1033">
        <v>0.05</v>
      </c>
      <c r="N144" s="1032" t="s">
        <v>1569</v>
      </c>
      <c r="O144" s="1036">
        <v>2.5</v>
      </c>
      <c r="P144" s="1980">
        <f t="shared" si="24"/>
        <v>2.5</v>
      </c>
      <c r="Q144" s="1980">
        <v>0</v>
      </c>
      <c r="R144" s="1980">
        <v>0</v>
      </c>
      <c r="S144" s="1980">
        <v>0</v>
      </c>
      <c r="T144" s="1980">
        <v>0</v>
      </c>
      <c r="U144" s="2036">
        <v>0</v>
      </c>
    </row>
    <row r="145" spans="2:21" hidden="1" outlineLevel="2">
      <c r="B145" s="2108">
        <v>50</v>
      </c>
      <c r="C145" s="2109" t="str">
        <f t="shared" si="20"/>
        <v>Huiles de schistes, France continentale, Base Carbone</v>
      </c>
      <c r="D145" s="1051">
        <f t="shared" si="21"/>
        <v>7</v>
      </c>
      <c r="E145" s="1051" t="str">
        <f>IF(COUNTIF(E$11:E144,F145)&gt;0,"",F145)</f>
        <v/>
      </c>
      <c r="F145" s="1051" t="str">
        <f t="shared" si="22"/>
        <v>Carbureacteur (large coupe (jet B)), Réunion, Base Carbone</v>
      </c>
      <c r="G145" s="1055" t="str">
        <f t="shared" si="23"/>
        <v>Carbureacteur (large coupe (jet B)), Réunion, Base Carbone; kgCO2e/litre, Amont</v>
      </c>
      <c r="I145" s="1031" t="s">
        <v>1582</v>
      </c>
      <c r="J145" s="1032" t="s">
        <v>1574</v>
      </c>
      <c r="K145" s="1032" t="s">
        <v>1567</v>
      </c>
      <c r="L145" s="1032" t="s">
        <v>785</v>
      </c>
      <c r="M145" s="1033">
        <v>0.05</v>
      </c>
      <c r="N145" s="1032" t="s">
        <v>1570</v>
      </c>
      <c r="O145" s="1036">
        <v>0.32400000000000001</v>
      </c>
      <c r="P145" s="1980">
        <f t="shared" si="24"/>
        <v>0.32400000000000001</v>
      </c>
      <c r="Q145" s="1980">
        <v>0</v>
      </c>
      <c r="R145" s="1980">
        <v>0</v>
      </c>
      <c r="S145" s="1980">
        <v>0</v>
      </c>
      <c r="T145" s="1980">
        <v>0</v>
      </c>
      <c r="U145" s="2036">
        <v>0</v>
      </c>
    </row>
    <row r="146" spans="2:21" hidden="1" outlineLevel="2">
      <c r="B146" s="2108">
        <v>51</v>
      </c>
      <c r="C146" s="2109" t="str">
        <f t="shared" si="20"/>
        <v>Kérosène (jet A1 ou A), Europe, Base Carbone</v>
      </c>
      <c r="D146" s="1051">
        <f t="shared" si="21"/>
        <v>8</v>
      </c>
      <c r="E146" s="1051" t="str">
        <f>IF(COUNTIF(E$11:E145,F146)&gt;0,"",F146)</f>
        <v>Carbureacteur (large coupe (jet B)), Guadeloupe, Martinique, Guyane, Corse, Base Carbone</v>
      </c>
      <c r="F146" s="1051" t="str">
        <f t="shared" si="22"/>
        <v>Carbureacteur (large coupe (jet B)), Guadeloupe, Martinique, Guyane, Corse, Base Carbone</v>
      </c>
      <c r="G146" s="1055" t="str">
        <f t="shared" si="23"/>
        <v>Carbureacteur (large coupe (jet B)), Guadeloupe, Martinique, Guyane, Corse, Base Carbone; kgCO2e/kg, Combustion</v>
      </c>
      <c r="I146" s="1031" t="s">
        <v>1582</v>
      </c>
      <c r="J146" s="2017" t="s">
        <v>1572</v>
      </c>
      <c r="K146" s="1032" t="s">
        <v>1567</v>
      </c>
      <c r="L146" s="1032" t="s">
        <v>3084</v>
      </c>
      <c r="M146" s="1033">
        <v>0.05</v>
      </c>
      <c r="N146" s="1032" t="s">
        <v>1569</v>
      </c>
      <c r="O146" s="1980">
        <v>3.12</v>
      </c>
      <c r="P146" s="1980">
        <f t="shared" si="24"/>
        <v>3.12</v>
      </c>
      <c r="Q146" s="1980">
        <v>0</v>
      </c>
      <c r="R146" s="1980">
        <v>0</v>
      </c>
      <c r="S146" s="1980">
        <v>0</v>
      </c>
      <c r="T146" s="1980">
        <v>0</v>
      </c>
      <c r="U146" s="2036">
        <v>0</v>
      </c>
    </row>
    <row r="147" spans="2:21" hidden="1" outlineLevel="2">
      <c r="B147" s="2108">
        <v>52</v>
      </c>
      <c r="C147" s="2109" t="str">
        <f t="shared" si="20"/>
        <v>Kérosène (jet A1 ou A), France continentale, Base Carbone</v>
      </c>
      <c r="D147" s="1051">
        <f t="shared" si="21"/>
        <v>8</v>
      </c>
      <c r="E147" s="1051" t="str">
        <f>IF(COUNTIF(E$11:E146,F147)&gt;0,"",F147)</f>
        <v/>
      </c>
      <c r="F147" s="1051" t="str">
        <f t="shared" si="22"/>
        <v>Carbureacteur (large coupe (jet B)), Guadeloupe, Martinique, Guyane, Corse, Base Carbone</v>
      </c>
      <c r="G147" s="1055" t="str">
        <f t="shared" si="23"/>
        <v>Carbureacteur (large coupe (jet B)), Guadeloupe, Martinique, Guyane, Corse, Base Carbone; kgCO2e/kg, Amont</v>
      </c>
      <c r="I147" s="1031" t="s">
        <v>1582</v>
      </c>
      <c r="J147" s="2017" t="s">
        <v>1572</v>
      </c>
      <c r="K147" s="1032" t="s">
        <v>1567</v>
      </c>
      <c r="L147" s="1032" t="s">
        <v>3084</v>
      </c>
      <c r="M147" s="1033">
        <v>0.05</v>
      </c>
      <c r="N147" s="1032" t="s">
        <v>1570</v>
      </c>
      <c r="O147" s="1980">
        <v>0.28999999999999998</v>
      </c>
      <c r="P147" s="1980">
        <f t="shared" si="24"/>
        <v>0.28999999999999998</v>
      </c>
      <c r="Q147" s="1980">
        <v>0</v>
      </c>
      <c r="R147" s="1980">
        <v>0</v>
      </c>
      <c r="S147" s="1980">
        <v>0</v>
      </c>
      <c r="T147" s="1980">
        <v>0</v>
      </c>
      <c r="U147" s="2036">
        <v>0</v>
      </c>
    </row>
    <row r="148" spans="2:21" hidden="1" outlineLevel="2">
      <c r="B148" s="2108">
        <v>53</v>
      </c>
      <c r="C148" s="2109" t="str">
        <f t="shared" si="20"/>
        <v>Kérosène (jet A1 ou A), Polynésie Française, Base Carbone</v>
      </c>
      <c r="D148" s="1051">
        <f t="shared" si="21"/>
        <v>8</v>
      </c>
      <c r="E148" s="1051" t="str">
        <f>IF(COUNTIF(E$11:E147,F148)&gt;0,"",F148)</f>
        <v/>
      </c>
      <c r="F148" s="1051" t="str">
        <f t="shared" si="22"/>
        <v>Carbureacteur (large coupe (jet B)), Guadeloupe, Martinique, Guyane, Corse, Base Carbone</v>
      </c>
      <c r="G148" s="1055" t="str">
        <f t="shared" si="23"/>
        <v>Carbureacteur (large coupe (jet B)), Guadeloupe, Martinique, Guyane, Corse, Base Carbone; kgCO2e/kWh PCI, Combustion</v>
      </c>
      <c r="I148" s="1031" t="s">
        <v>1582</v>
      </c>
      <c r="J148" s="1032" t="s">
        <v>1573</v>
      </c>
      <c r="K148" s="1032" t="s">
        <v>1567</v>
      </c>
      <c r="L148" s="1032" t="s">
        <v>3084</v>
      </c>
      <c r="M148" s="1033">
        <v>0.05</v>
      </c>
      <c r="N148" s="1032" t="s">
        <v>1569</v>
      </c>
      <c r="O148" s="1036">
        <v>0.26700000000000002</v>
      </c>
      <c r="P148" s="1980">
        <f t="shared" si="24"/>
        <v>0.26700000000000002</v>
      </c>
      <c r="Q148" s="1980">
        <v>0</v>
      </c>
      <c r="R148" s="1980">
        <v>0</v>
      </c>
      <c r="S148" s="1980">
        <v>0</v>
      </c>
      <c r="T148" s="1980">
        <v>0</v>
      </c>
      <c r="U148" s="2036">
        <v>0</v>
      </c>
    </row>
    <row r="149" spans="2:21" hidden="1" outlineLevel="2">
      <c r="B149" s="2108">
        <v>54</v>
      </c>
      <c r="C149" s="2109" t="str">
        <f t="shared" si="20"/>
        <v>LFO (Light Fuel Oil) (ISO 8217 classes RMA à RMD (maritime)), France continentale, Base Carbone</v>
      </c>
      <c r="D149" s="1051">
        <f t="shared" si="21"/>
        <v>8</v>
      </c>
      <c r="E149" s="1051" t="str">
        <f>IF(COUNTIF(E$11:E148,F149)&gt;0,"",F149)</f>
        <v/>
      </c>
      <c r="F149" s="1051" t="str">
        <f t="shared" si="22"/>
        <v>Carbureacteur (large coupe (jet B)), Guadeloupe, Martinique, Guyane, Corse, Base Carbone</v>
      </c>
      <c r="G149" s="1055" t="str">
        <f t="shared" si="23"/>
        <v>Carbureacteur (large coupe (jet B)), Guadeloupe, Martinique, Guyane, Corse, Base Carbone; kgCO2e/kWh PCI, Amont</v>
      </c>
      <c r="I149" s="1031" t="s">
        <v>1582</v>
      </c>
      <c r="J149" s="1032" t="s">
        <v>1573</v>
      </c>
      <c r="K149" s="1032" t="s">
        <v>1567</v>
      </c>
      <c r="L149" s="1032" t="s">
        <v>3084</v>
      </c>
      <c r="M149" s="1033">
        <v>0.05</v>
      </c>
      <c r="N149" s="1032" t="s">
        <v>1570</v>
      </c>
      <c r="O149" s="1036">
        <v>2.4799999999999999E-2</v>
      </c>
      <c r="P149" s="1980">
        <f t="shared" si="24"/>
        <v>2.4799999999999999E-2</v>
      </c>
      <c r="Q149" s="1980">
        <v>0</v>
      </c>
      <c r="R149" s="1980">
        <v>0</v>
      </c>
      <c r="S149" s="1980">
        <v>0</v>
      </c>
      <c r="T149" s="1980">
        <v>0</v>
      </c>
      <c r="U149" s="2036">
        <v>0</v>
      </c>
    </row>
    <row r="150" spans="2:21" hidden="1" outlineLevel="2">
      <c r="B150" s="2108">
        <v>55</v>
      </c>
      <c r="C150" s="2109" t="str">
        <f t="shared" si="20"/>
        <v>MDO (Marine Diesel Oil) (ISO 8217 classes DMX à DMC), France continentale, Base Carbone</v>
      </c>
      <c r="D150" s="1051">
        <f t="shared" si="21"/>
        <v>8</v>
      </c>
      <c r="E150" s="1051" t="str">
        <f>IF(COUNTIF(E$11:E149,F150)&gt;0,"",F150)</f>
        <v/>
      </c>
      <c r="F150" s="1051" t="str">
        <f t="shared" si="22"/>
        <v>Carbureacteur (large coupe (jet B)), Guadeloupe, Martinique, Guyane, Corse, Base Carbone</v>
      </c>
      <c r="G150" s="1055" t="str">
        <f t="shared" si="23"/>
        <v>Carbureacteur (large coupe (jet B)), Guadeloupe, Martinique, Guyane, Corse, Base Carbone; kgCO2e/tep PCI, Combustion</v>
      </c>
      <c r="I150" s="1031" t="s">
        <v>1582</v>
      </c>
      <c r="J150" s="1032" t="s">
        <v>1575</v>
      </c>
      <c r="K150" s="1032" t="s">
        <v>1567</v>
      </c>
      <c r="L150" s="1032" t="s">
        <v>3084</v>
      </c>
      <c r="M150" s="1033">
        <v>0.05</v>
      </c>
      <c r="N150" s="1032" t="s">
        <v>1569</v>
      </c>
      <c r="O150" s="1036">
        <v>3110</v>
      </c>
      <c r="P150" s="1980">
        <f t="shared" si="24"/>
        <v>3110</v>
      </c>
      <c r="Q150" s="1980">
        <v>0</v>
      </c>
      <c r="R150" s="1980">
        <v>0</v>
      </c>
      <c r="S150" s="1980">
        <v>0</v>
      </c>
      <c r="T150" s="1980">
        <v>0</v>
      </c>
      <c r="U150" s="2036">
        <v>0</v>
      </c>
    </row>
    <row r="151" spans="2:21" hidden="1" outlineLevel="2">
      <c r="B151" s="2108">
        <v>56</v>
      </c>
      <c r="C151" s="2109" t="str">
        <f t="shared" si="20"/>
        <v>Naphta, Europe, Base Carbone</v>
      </c>
      <c r="D151" s="1051">
        <f t="shared" si="21"/>
        <v>8</v>
      </c>
      <c r="E151" s="1051" t="str">
        <f>IF(COUNTIF(E$11:E150,F151)&gt;0,"",F151)</f>
        <v/>
      </c>
      <c r="F151" s="1051" t="str">
        <f t="shared" si="22"/>
        <v>Carbureacteur (large coupe (jet B)), Guadeloupe, Martinique, Guyane, Corse, Base Carbone</v>
      </c>
      <c r="G151" s="1055" t="str">
        <f t="shared" si="23"/>
        <v>Carbureacteur (large coupe (jet B)), Guadeloupe, Martinique, Guyane, Corse, Base Carbone; kgCO2e/tep PCI, Amont</v>
      </c>
      <c r="I151" s="1031" t="s">
        <v>1582</v>
      </c>
      <c r="J151" s="1032" t="s">
        <v>1575</v>
      </c>
      <c r="K151" s="1032" t="s">
        <v>1567</v>
      </c>
      <c r="L151" s="1032" t="s">
        <v>3084</v>
      </c>
      <c r="M151" s="1033">
        <v>0.05</v>
      </c>
      <c r="N151" s="1032" t="s">
        <v>1570</v>
      </c>
      <c r="O151" s="1036">
        <v>288</v>
      </c>
      <c r="P151" s="1980">
        <f t="shared" si="24"/>
        <v>288</v>
      </c>
      <c r="Q151" s="1980">
        <v>0</v>
      </c>
      <c r="R151" s="1980">
        <v>0</v>
      </c>
      <c r="S151" s="1980">
        <v>0</v>
      </c>
      <c r="T151" s="1980">
        <v>0</v>
      </c>
      <c r="U151" s="2036">
        <v>0</v>
      </c>
    </row>
    <row r="152" spans="2:21" hidden="1" outlineLevel="2">
      <c r="B152" s="2108">
        <v>57</v>
      </c>
      <c r="C152" s="2109" t="str">
        <f t="shared" si="20"/>
        <v>Naphta, France continentale, Base Carbone</v>
      </c>
      <c r="D152" s="1051">
        <f t="shared" si="21"/>
        <v>8</v>
      </c>
      <c r="E152" s="1051" t="str">
        <f>IF(COUNTIF(E$11:E151,F152)&gt;0,"",F152)</f>
        <v/>
      </c>
      <c r="F152" s="1051" t="str">
        <f t="shared" si="22"/>
        <v>Carbureacteur (large coupe (jet B)), Guadeloupe, Martinique, Guyane, Corse, Base Carbone</v>
      </c>
      <c r="G152" s="1055" t="str">
        <f t="shared" si="23"/>
        <v>Carbureacteur (large coupe (jet B)), Guadeloupe, Martinique, Guyane, Corse, Base Carbone; kgCO2e/litre, Combustion</v>
      </c>
      <c r="I152" s="1031" t="s">
        <v>1582</v>
      </c>
      <c r="J152" s="1032" t="s">
        <v>1574</v>
      </c>
      <c r="K152" s="1032" t="s">
        <v>1567</v>
      </c>
      <c r="L152" s="1032" t="s">
        <v>3084</v>
      </c>
      <c r="M152" s="1033">
        <v>0.05</v>
      </c>
      <c r="N152" s="1032" t="s">
        <v>1569</v>
      </c>
      <c r="O152" s="1036">
        <v>2.5</v>
      </c>
      <c r="P152" s="1980">
        <f t="shared" si="24"/>
        <v>2.5</v>
      </c>
      <c r="Q152" s="1980">
        <v>0</v>
      </c>
      <c r="R152" s="1980">
        <v>0</v>
      </c>
      <c r="S152" s="1980">
        <v>0</v>
      </c>
      <c r="T152" s="1980">
        <v>0</v>
      </c>
      <c r="U152" s="2036">
        <v>0</v>
      </c>
    </row>
    <row r="153" spans="2:21" hidden="1" outlineLevel="2">
      <c r="B153" s="2108">
        <v>58</v>
      </c>
      <c r="C153" s="2109" t="str">
        <f t="shared" si="20"/>
        <v>Pétrole Brut, France continentale, Base Carbone</v>
      </c>
      <c r="D153" s="1051">
        <f t="shared" si="21"/>
        <v>8</v>
      </c>
      <c r="E153" s="1051" t="str">
        <f>IF(COUNTIF(E$11:E152,F153)&gt;0,"",F153)</f>
        <v/>
      </c>
      <c r="F153" s="1051" t="str">
        <f t="shared" si="22"/>
        <v>Carbureacteur (large coupe (jet B)), Guadeloupe, Martinique, Guyane, Corse, Base Carbone</v>
      </c>
      <c r="G153" s="1055" t="str">
        <f t="shared" si="23"/>
        <v>Carbureacteur (large coupe (jet B)), Guadeloupe, Martinique, Guyane, Corse, Base Carbone; kgCO2e/litre, Amont</v>
      </c>
      <c r="I153" s="1031" t="s">
        <v>1582</v>
      </c>
      <c r="J153" s="1032" t="s">
        <v>1574</v>
      </c>
      <c r="K153" s="1032" t="s">
        <v>1567</v>
      </c>
      <c r="L153" s="1032" t="s">
        <v>3084</v>
      </c>
      <c r="M153" s="1033">
        <v>0.05</v>
      </c>
      <c r="N153" s="1032" t="s">
        <v>1570</v>
      </c>
      <c r="O153" s="1036">
        <v>0.23200000000000001</v>
      </c>
      <c r="P153" s="1980">
        <f t="shared" si="24"/>
        <v>0.23200000000000001</v>
      </c>
      <c r="Q153" s="1980">
        <v>0</v>
      </c>
      <c r="R153" s="1980">
        <v>0</v>
      </c>
      <c r="S153" s="1980">
        <v>0</v>
      </c>
      <c r="T153" s="1980">
        <v>0</v>
      </c>
      <c r="U153" s="2036">
        <v>0</v>
      </c>
    </row>
    <row r="154" spans="2:21" hidden="1" outlineLevel="2">
      <c r="B154" s="2108">
        <v>59</v>
      </c>
      <c r="C154" s="2109" t="str">
        <f t="shared" si="20"/>
        <v>Autres produits pétroliers, France continentale, Base Carbone</v>
      </c>
      <c r="D154" s="1051">
        <f t="shared" si="21"/>
        <v>9</v>
      </c>
      <c r="E154" s="1051" t="str">
        <f>IF(COUNTIF(E$11:E153,F154)&gt;0,"",F154)</f>
        <v>Carbureacteur (large coupe (jet B)), Nouvelle Calédonie, Base Carbone</v>
      </c>
      <c r="F154" s="1051" t="str">
        <f t="shared" si="22"/>
        <v>Carbureacteur (large coupe (jet B)), Nouvelle Calédonie, Base Carbone</v>
      </c>
      <c r="G154" s="1055" t="str">
        <f t="shared" si="23"/>
        <v>Carbureacteur (large coupe (jet B)), Nouvelle Calédonie, Base Carbone; kgCO2e/kg, Combustion</v>
      </c>
      <c r="I154" s="1031" t="s">
        <v>1582</v>
      </c>
      <c r="J154" s="2017" t="s">
        <v>1572</v>
      </c>
      <c r="K154" s="1032" t="s">
        <v>1567</v>
      </c>
      <c r="L154" s="1032" t="s">
        <v>3085</v>
      </c>
      <c r="M154" s="1033">
        <v>0.05</v>
      </c>
      <c r="N154" s="1032" t="s">
        <v>1569</v>
      </c>
      <c r="O154" s="1980">
        <v>3.12</v>
      </c>
      <c r="P154" s="1980">
        <f t="shared" si="24"/>
        <v>3.12</v>
      </c>
      <c r="Q154" s="1980">
        <v>0</v>
      </c>
      <c r="R154" s="1980">
        <v>0</v>
      </c>
      <c r="S154" s="1980">
        <v>0</v>
      </c>
      <c r="T154" s="1980">
        <v>0</v>
      </c>
      <c r="U154" s="2036">
        <v>0</v>
      </c>
    </row>
    <row r="155" spans="2:21" hidden="1" outlineLevel="2">
      <c r="B155" s="2108">
        <v>60</v>
      </c>
      <c r="C155" s="2109" t="str">
        <f t="shared" si="20"/>
        <v>-</v>
      </c>
      <c r="D155" s="1051">
        <f t="shared" si="21"/>
        <v>9</v>
      </c>
      <c r="E155" s="1051" t="str">
        <f>IF(COUNTIF(E$11:E154,F155)&gt;0,"",F155)</f>
        <v/>
      </c>
      <c r="F155" s="1051" t="str">
        <f t="shared" si="22"/>
        <v>Carbureacteur (large coupe (jet B)), Nouvelle Calédonie, Base Carbone</v>
      </c>
      <c r="G155" s="1055" t="str">
        <f t="shared" si="23"/>
        <v>Carbureacteur (large coupe (jet B)), Nouvelle Calédonie, Base Carbone; kgCO2e/kg, Amont</v>
      </c>
      <c r="I155" s="1031" t="s">
        <v>1582</v>
      </c>
      <c r="J155" s="2017" t="s">
        <v>1572</v>
      </c>
      <c r="K155" s="1032" t="s">
        <v>1567</v>
      </c>
      <c r="L155" s="1032" t="s">
        <v>3085</v>
      </c>
      <c r="M155" s="1033">
        <v>0.05</v>
      </c>
      <c r="N155" s="1032" t="s">
        <v>1570</v>
      </c>
      <c r="O155" s="1980">
        <v>0.42199999999999999</v>
      </c>
      <c r="P155" s="1980">
        <f t="shared" si="24"/>
        <v>0.42199999999999999</v>
      </c>
      <c r="Q155" s="1980">
        <v>0</v>
      </c>
      <c r="R155" s="1980">
        <v>0</v>
      </c>
      <c r="S155" s="1980">
        <v>0</v>
      </c>
      <c r="T155" s="1980">
        <v>0</v>
      </c>
      <c r="U155" s="2036">
        <v>0</v>
      </c>
    </row>
    <row r="156" spans="2:21" hidden="1" outlineLevel="2">
      <c r="B156" s="2108">
        <v>61</v>
      </c>
      <c r="C156" s="2109" t="str">
        <f t="shared" si="20"/>
        <v>-</v>
      </c>
      <c r="D156" s="1051">
        <f t="shared" si="21"/>
        <v>9</v>
      </c>
      <c r="E156" s="1051" t="str">
        <f>IF(COUNTIF(E$11:E155,F156)&gt;0,"",F156)</f>
        <v/>
      </c>
      <c r="F156" s="1051" t="str">
        <f t="shared" si="22"/>
        <v>Carbureacteur (large coupe (jet B)), Nouvelle Calédonie, Base Carbone</v>
      </c>
      <c r="G156" s="1055" t="str">
        <f t="shared" si="23"/>
        <v>Carbureacteur (large coupe (jet B)), Nouvelle Calédonie, Base Carbone; kgCO2e/kWh PCI, Combustion</v>
      </c>
      <c r="I156" s="1031" t="s">
        <v>1582</v>
      </c>
      <c r="J156" s="1032" t="s">
        <v>1573</v>
      </c>
      <c r="K156" s="1032" t="s">
        <v>1567</v>
      </c>
      <c r="L156" s="1032" t="s">
        <v>3085</v>
      </c>
      <c r="M156" s="1033">
        <v>0.05</v>
      </c>
      <c r="N156" s="1032" t="s">
        <v>1569</v>
      </c>
      <c r="O156" s="1036">
        <v>0.26700000000000002</v>
      </c>
      <c r="P156" s="1980">
        <f t="shared" si="24"/>
        <v>0.26700000000000002</v>
      </c>
      <c r="Q156" s="1980">
        <v>0</v>
      </c>
      <c r="R156" s="1980">
        <v>0</v>
      </c>
      <c r="S156" s="1980">
        <v>0</v>
      </c>
      <c r="T156" s="1980">
        <v>0</v>
      </c>
      <c r="U156" s="2036">
        <v>0</v>
      </c>
    </row>
    <row r="157" spans="2:21" hidden="1" outlineLevel="2">
      <c r="B157" s="2108">
        <v>62</v>
      </c>
      <c r="C157" s="2109" t="str">
        <f t="shared" si="20"/>
        <v>-</v>
      </c>
      <c r="D157" s="1051">
        <f t="shared" si="21"/>
        <v>9</v>
      </c>
      <c r="E157" s="1051" t="str">
        <f>IF(COUNTIF(E$11:E156,F157)&gt;0,"",F157)</f>
        <v/>
      </c>
      <c r="F157" s="1051" t="str">
        <f t="shared" si="22"/>
        <v>Carbureacteur (large coupe (jet B)), Nouvelle Calédonie, Base Carbone</v>
      </c>
      <c r="G157" s="1055" t="str">
        <f t="shared" si="23"/>
        <v>Carbureacteur (large coupe (jet B)), Nouvelle Calédonie, Base Carbone; kgCO2e/kWh PCI, Amont</v>
      </c>
      <c r="I157" s="1031" t="s">
        <v>1582</v>
      </c>
      <c r="J157" s="1032" t="s">
        <v>1573</v>
      </c>
      <c r="K157" s="1032" t="s">
        <v>1567</v>
      </c>
      <c r="L157" s="1032" t="s">
        <v>3085</v>
      </c>
      <c r="M157" s="1033">
        <v>0.05</v>
      </c>
      <c r="N157" s="1032" t="s">
        <v>1570</v>
      </c>
      <c r="O157" s="1036">
        <v>3.73E-2</v>
      </c>
      <c r="P157" s="1980">
        <f t="shared" si="24"/>
        <v>3.73E-2</v>
      </c>
      <c r="Q157" s="1980">
        <v>0</v>
      </c>
      <c r="R157" s="1980">
        <v>0</v>
      </c>
      <c r="S157" s="1980">
        <v>0</v>
      </c>
      <c r="T157" s="1980">
        <v>0</v>
      </c>
      <c r="U157" s="2036">
        <v>0</v>
      </c>
    </row>
    <row r="158" spans="2:21" hidden="1" outlineLevel="2">
      <c r="B158" s="2108">
        <v>63</v>
      </c>
      <c r="C158" s="2109" t="str">
        <f t="shared" si="20"/>
        <v>-</v>
      </c>
      <c r="D158" s="1051">
        <f t="shared" si="21"/>
        <v>9</v>
      </c>
      <c r="E158" s="1051" t="str">
        <f>IF(COUNTIF(E$11:E157,F158)&gt;0,"",F158)</f>
        <v/>
      </c>
      <c r="F158" s="1051" t="str">
        <f t="shared" si="22"/>
        <v>Carbureacteur (large coupe (jet B)), Nouvelle Calédonie, Base Carbone</v>
      </c>
      <c r="G158" s="1055" t="str">
        <f t="shared" si="23"/>
        <v>Carbureacteur (large coupe (jet B)), Nouvelle Calédonie, Base Carbone; kgCO2e/tep PCI, Combustion</v>
      </c>
      <c r="I158" s="1031" t="s">
        <v>1582</v>
      </c>
      <c r="J158" s="1032" t="s">
        <v>1575</v>
      </c>
      <c r="K158" s="1032" t="s">
        <v>1567</v>
      </c>
      <c r="L158" s="1032" t="s">
        <v>3085</v>
      </c>
      <c r="M158" s="1033">
        <v>0.05</v>
      </c>
      <c r="N158" s="1032" t="s">
        <v>1569</v>
      </c>
      <c r="O158" s="1036">
        <v>3110</v>
      </c>
      <c r="P158" s="1980">
        <f t="shared" si="24"/>
        <v>3110</v>
      </c>
      <c r="Q158" s="1980">
        <v>0</v>
      </c>
      <c r="R158" s="1980">
        <v>0</v>
      </c>
      <c r="S158" s="1980">
        <v>0</v>
      </c>
      <c r="T158" s="1980">
        <v>0</v>
      </c>
      <c r="U158" s="2036">
        <v>0</v>
      </c>
    </row>
    <row r="159" spans="2:21" hidden="1" outlineLevel="2">
      <c r="B159" s="2108">
        <v>64</v>
      </c>
      <c r="C159" s="2109" t="str">
        <f t="shared" si="20"/>
        <v>-</v>
      </c>
      <c r="D159" s="1051">
        <f t="shared" si="21"/>
        <v>9</v>
      </c>
      <c r="E159" s="1051" t="str">
        <f>IF(COUNTIF(E$11:E158,F159)&gt;0,"",F159)</f>
        <v/>
      </c>
      <c r="F159" s="1051" t="str">
        <f t="shared" si="22"/>
        <v>Carbureacteur (large coupe (jet B)), Nouvelle Calédonie, Base Carbone</v>
      </c>
      <c r="G159" s="1055" t="str">
        <f t="shared" si="23"/>
        <v>Carbureacteur (large coupe (jet B)), Nouvelle Calédonie, Base Carbone; kgCO2e/tep PCI, Amont</v>
      </c>
      <c r="I159" s="1031" t="s">
        <v>1582</v>
      </c>
      <c r="J159" s="1032" t="s">
        <v>1575</v>
      </c>
      <c r="K159" s="1032" t="s">
        <v>1567</v>
      </c>
      <c r="L159" s="1032" t="s">
        <v>3085</v>
      </c>
      <c r="M159" s="1033">
        <v>0.05</v>
      </c>
      <c r="N159" s="1032" t="s">
        <v>1570</v>
      </c>
      <c r="O159" s="1036">
        <v>416</v>
      </c>
      <c r="P159" s="1980">
        <f t="shared" si="24"/>
        <v>416</v>
      </c>
      <c r="Q159" s="1980">
        <v>0</v>
      </c>
      <c r="R159" s="1980">
        <v>0</v>
      </c>
      <c r="S159" s="1980">
        <v>0</v>
      </c>
      <c r="T159" s="1980">
        <v>0</v>
      </c>
      <c r="U159" s="2036">
        <v>0</v>
      </c>
    </row>
    <row r="160" spans="2:21" hidden="1" outlineLevel="2">
      <c r="B160" s="1045"/>
      <c r="C160" s="1045"/>
      <c r="D160" s="1051">
        <f t="shared" si="21"/>
        <v>9</v>
      </c>
      <c r="E160" s="1051" t="str">
        <f>IF(COUNTIF(E$11:E159,F160)&gt;0,"",F160)</f>
        <v/>
      </c>
      <c r="F160" s="1051" t="str">
        <f t="shared" si="22"/>
        <v>Carbureacteur (large coupe (jet B)), Nouvelle Calédonie, Base Carbone</v>
      </c>
      <c r="G160" s="1055" t="str">
        <f t="shared" si="23"/>
        <v>Carbureacteur (large coupe (jet B)), Nouvelle Calédonie, Base Carbone; kgCO2e/litre, Combustion</v>
      </c>
      <c r="I160" s="1031" t="s">
        <v>1582</v>
      </c>
      <c r="J160" s="1032" t="s">
        <v>1574</v>
      </c>
      <c r="K160" s="1032" t="s">
        <v>1567</v>
      </c>
      <c r="L160" s="1032" t="s">
        <v>3085</v>
      </c>
      <c r="M160" s="1033">
        <v>0.05</v>
      </c>
      <c r="N160" s="1032" t="s">
        <v>1569</v>
      </c>
      <c r="O160" s="1036">
        <v>2.5</v>
      </c>
      <c r="P160" s="1980">
        <f t="shared" si="24"/>
        <v>2.5</v>
      </c>
      <c r="Q160" s="1980">
        <v>0</v>
      </c>
      <c r="R160" s="1980">
        <v>0</v>
      </c>
      <c r="S160" s="1980">
        <v>0</v>
      </c>
      <c r="T160" s="1980">
        <v>0</v>
      </c>
      <c r="U160" s="2036">
        <v>0</v>
      </c>
    </row>
    <row r="161" spans="2:21" hidden="1" outlineLevel="2">
      <c r="B161" s="1045"/>
      <c r="C161" s="1045"/>
      <c r="D161" s="1051">
        <f t="shared" ref="D161:D169" si="25">D160+IF(LEN(E161)=0,0,1)</f>
        <v>9</v>
      </c>
      <c r="E161" s="1051" t="str">
        <f>IF(COUNTIF(E$11:E160,F161)&gt;0,"",F161)</f>
        <v/>
      </c>
      <c r="F161" s="1051" t="str">
        <f t="shared" ref="F161:F169" si="26">IF(I161&lt;&gt;"",I161&amp;IF(L161&lt;&gt;"",", "&amp;L161,"")&amp;IF(K161&lt;&gt;"",", "&amp;K161,""),"")</f>
        <v>Carbureacteur (large coupe (jet B)), Nouvelle Calédonie, Base Carbone</v>
      </c>
      <c r="G161" s="1055" t="str">
        <f t="shared" ref="G161:G169" si="27">IF(F161&lt;&gt;"",F161&amp;IF(J161&lt;&gt;"","; "&amp;J161,"")&amp;IF(N161&lt;&gt;"",", "&amp;N161,""),"")</f>
        <v>Carbureacteur (large coupe (jet B)), Nouvelle Calédonie, Base Carbone; kgCO2e/litre, Amont</v>
      </c>
      <c r="I161" s="1031" t="s">
        <v>1582</v>
      </c>
      <c r="J161" s="1032" t="s">
        <v>1574</v>
      </c>
      <c r="K161" s="1032" t="s">
        <v>1567</v>
      </c>
      <c r="L161" s="1032" t="s">
        <v>3085</v>
      </c>
      <c r="M161" s="1033">
        <v>0.05</v>
      </c>
      <c r="N161" s="1032" t="s">
        <v>1570</v>
      </c>
      <c r="O161" s="1036">
        <v>0.32400000000000001</v>
      </c>
      <c r="P161" s="1980">
        <f t="shared" si="24"/>
        <v>0.32400000000000001</v>
      </c>
      <c r="Q161" s="1980">
        <v>0</v>
      </c>
      <c r="R161" s="1980">
        <v>0</v>
      </c>
      <c r="S161" s="1980">
        <v>0</v>
      </c>
      <c r="T161" s="1980">
        <v>0</v>
      </c>
      <c r="U161" s="2036">
        <v>0</v>
      </c>
    </row>
    <row r="162" spans="2:21" hidden="1" outlineLevel="2">
      <c r="B162" s="1045"/>
      <c r="C162" s="1045"/>
      <c r="D162" s="1051">
        <f t="shared" si="25"/>
        <v>10</v>
      </c>
      <c r="E162" s="1051" t="str">
        <f>IF(COUNTIF(E$11:E161,F162)&gt;0,"",F162)</f>
        <v>Combustible haute viscosité (CHV), France continentale, Base Carbone</v>
      </c>
      <c r="F162" s="1051" t="str">
        <f t="shared" si="26"/>
        <v>Combustible haute viscosité (CHV), France continentale, Base Carbone</v>
      </c>
      <c r="G162" s="1055" t="str">
        <f t="shared" si="27"/>
        <v>Combustible haute viscosité (CHV), France continentale, Base Carbone; kgCO2e/GJ PCI, Combustion</v>
      </c>
      <c r="I162" s="1031" t="s">
        <v>1583</v>
      </c>
      <c r="J162" s="1032" t="s">
        <v>1566</v>
      </c>
      <c r="K162" s="1032" t="s">
        <v>1567</v>
      </c>
      <c r="L162" s="1032" t="s">
        <v>1571</v>
      </c>
      <c r="M162" s="1033">
        <v>0.2</v>
      </c>
      <c r="N162" s="1032" t="s">
        <v>1569</v>
      </c>
      <c r="O162" s="1036">
        <v>80.5</v>
      </c>
      <c r="P162" s="1036">
        <v>80</v>
      </c>
      <c r="Q162" s="1036">
        <v>0.06</v>
      </c>
      <c r="R162" s="1036">
        <v>0</v>
      </c>
      <c r="S162" s="1036">
        <v>0.46400000000000002</v>
      </c>
      <c r="T162" s="1036">
        <v>0</v>
      </c>
      <c r="U162" s="1037">
        <v>0</v>
      </c>
    </row>
    <row r="163" spans="2:21" hidden="1" outlineLevel="2">
      <c r="B163" s="1045"/>
      <c r="C163" s="1045"/>
      <c r="D163" s="1051">
        <f t="shared" si="25"/>
        <v>10</v>
      </c>
      <c r="E163" s="1051" t="str">
        <f>IF(COUNTIF(E$11:E162,F163)&gt;0,"",F163)</f>
        <v/>
      </c>
      <c r="F163" s="1051" t="str">
        <f t="shared" si="26"/>
        <v>Combustible haute viscosité (CHV), France continentale, Base Carbone</v>
      </c>
      <c r="G163" s="1055" t="str">
        <f t="shared" si="27"/>
        <v>Combustible haute viscosité (CHV), France continentale, Base Carbone; kgCO2e/GJ PCI, Amont</v>
      </c>
      <c r="I163" s="1031" t="s">
        <v>1583</v>
      </c>
      <c r="J163" s="1032" t="s">
        <v>1566</v>
      </c>
      <c r="K163" s="1032" t="s">
        <v>1567</v>
      </c>
      <c r="L163" s="1032" t="s">
        <v>1571</v>
      </c>
      <c r="M163" s="1033">
        <v>0.2</v>
      </c>
      <c r="N163" s="1032" t="s">
        <v>1570</v>
      </c>
      <c r="O163" s="1036">
        <v>12.6</v>
      </c>
      <c r="P163" s="1036">
        <v>11.5</v>
      </c>
      <c r="Q163" s="1036">
        <v>1.1100000000000001</v>
      </c>
      <c r="R163" s="1036">
        <v>0</v>
      </c>
      <c r="S163" s="1036">
        <v>0</v>
      </c>
      <c r="T163" s="1036">
        <v>0</v>
      </c>
      <c r="U163" s="1037">
        <v>0</v>
      </c>
    </row>
    <row r="164" spans="2:21" hidden="1" outlineLevel="2">
      <c r="B164" s="1045"/>
      <c r="C164" s="1045"/>
      <c r="D164" s="1051">
        <f t="shared" si="25"/>
        <v>10</v>
      </c>
      <c r="E164" s="1051" t="str">
        <f>IF(COUNTIF(E$11:E163,F164)&gt;0,"",F164)</f>
        <v/>
      </c>
      <c r="F164" s="1051" t="str">
        <f t="shared" si="26"/>
        <v>Combustible haute viscosité (CHV), France continentale, Base Carbone</v>
      </c>
      <c r="G164" s="1055" t="str">
        <f t="shared" si="27"/>
        <v>Combustible haute viscosité (CHV), France continentale, Base Carbone; kgCO2e/kWh PCI, Combustion</v>
      </c>
      <c r="I164" s="1031" t="s">
        <v>1583</v>
      </c>
      <c r="J164" s="1032" t="s">
        <v>1573</v>
      </c>
      <c r="K164" s="1032" t="s">
        <v>1567</v>
      </c>
      <c r="L164" s="1032" t="s">
        <v>1571</v>
      </c>
      <c r="M164" s="1033">
        <v>0.2</v>
      </c>
      <c r="N164" s="1032" t="s">
        <v>1569</v>
      </c>
      <c r="O164" s="1036">
        <v>0.28999999999999998</v>
      </c>
      <c r="P164" s="1036">
        <v>0.28799999999999998</v>
      </c>
      <c r="Q164" s="1036">
        <v>2.1599999999999999E-4</v>
      </c>
      <c r="R164" s="1036">
        <v>0</v>
      </c>
      <c r="S164" s="1036">
        <v>1.67E-3</v>
      </c>
      <c r="T164" s="1036">
        <v>0</v>
      </c>
      <c r="U164" s="1037">
        <v>0</v>
      </c>
    </row>
    <row r="165" spans="2:21" hidden="1" outlineLevel="2">
      <c r="B165" s="1045"/>
      <c r="C165" s="1045"/>
      <c r="D165" s="1051">
        <f t="shared" si="25"/>
        <v>10</v>
      </c>
      <c r="E165" s="1051" t="str">
        <f>IF(COUNTIF(E$11:E164,F165)&gt;0,"",F165)</f>
        <v/>
      </c>
      <c r="F165" s="1051" t="str">
        <f t="shared" si="26"/>
        <v>Combustible haute viscosité (CHV), France continentale, Base Carbone</v>
      </c>
      <c r="G165" s="1055" t="str">
        <f t="shared" si="27"/>
        <v>Combustible haute viscosité (CHV), France continentale, Base Carbone; kgCO2e/kWh PCI, Amont</v>
      </c>
      <c r="I165" s="1031" t="s">
        <v>1583</v>
      </c>
      <c r="J165" s="1032" t="s">
        <v>1573</v>
      </c>
      <c r="K165" s="1032" t="s">
        <v>1567</v>
      </c>
      <c r="L165" s="1032" t="s">
        <v>1571</v>
      </c>
      <c r="M165" s="1033">
        <v>0.2</v>
      </c>
      <c r="N165" s="1032" t="s">
        <v>1570</v>
      </c>
      <c r="O165" s="1036">
        <v>4.53E-2</v>
      </c>
      <c r="P165" s="1036">
        <v>4.1300000000000003E-2</v>
      </c>
      <c r="Q165" s="1036">
        <v>3.9899999999999996E-3</v>
      </c>
      <c r="R165" s="1036">
        <v>0</v>
      </c>
      <c r="S165" s="1036">
        <v>0</v>
      </c>
      <c r="T165" s="1036">
        <v>0</v>
      </c>
      <c r="U165" s="1037">
        <v>0</v>
      </c>
    </row>
    <row r="166" spans="2:21" hidden="1" outlineLevel="2">
      <c r="B166" s="1045"/>
      <c r="C166" s="1045"/>
      <c r="D166" s="1051">
        <f t="shared" si="25"/>
        <v>10</v>
      </c>
      <c r="E166" s="1051" t="str">
        <f>IF(COUNTIF(E$11:E165,F166)&gt;0,"",F166)</f>
        <v/>
      </c>
      <c r="F166" s="1051" t="str">
        <f t="shared" si="26"/>
        <v>Combustible haute viscosité (CHV), France continentale, Base Carbone</v>
      </c>
      <c r="G166" s="1055" t="str">
        <f t="shared" si="27"/>
        <v>Combustible haute viscosité (CHV), France continentale, Base Carbone; kgCO2e/tep PCI, Combustion</v>
      </c>
      <c r="I166" s="1031" t="s">
        <v>1583</v>
      </c>
      <c r="J166" s="1032" t="s">
        <v>1575</v>
      </c>
      <c r="K166" s="1032" t="s">
        <v>1567</v>
      </c>
      <c r="L166" s="1032" t="s">
        <v>1571</v>
      </c>
      <c r="M166" s="1033">
        <v>0.2</v>
      </c>
      <c r="N166" s="1032" t="s">
        <v>1569</v>
      </c>
      <c r="O166" s="1036">
        <v>3380</v>
      </c>
      <c r="P166" s="1036">
        <v>3360</v>
      </c>
      <c r="Q166" s="1036">
        <v>2.52</v>
      </c>
      <c r="R166" s="1036">
        <v>0</v>
      </c>
      <c r="S166" s="1036">
        <v>19.5</v>
      </c>
      <c r="T166" s="1036">
        <v>0</v>
      </c>
      <c r="U166" s="1037">
        <v>0</v>
      </c>
    </row>
    <row r="167" spans="2:21" hidden="1" outlineLevel="2">
      <c r="B167" s="1045"/>
      <c r="C167" s="1045"/>
      <c r="D167" s="1051">
        <f t="shared" si="25"/>
        <v>10</v>
      </c>
      <c r="E167" s="1051" t="str">
        <f>IF(COUNTIF(E$11:E166,F167)&gt;0,"",F167)</f>
        <v/>
      </c>
      <c r="F167" s="1051" t="str">
        <f t="shared" si="26"/>
        <v>Combustible haute viscosité (CHV), France continentale, Base Carbone</v>
      </c>
      <c r="G167" s="1055" t="str">
        <f t="shared" si="27"/>
        <v>Combustible haute viscosité (CHV), France continentale, Base Carbone; kgCO2e/tep PCI, Amont</v>
      </c>
      <c r="I167" s="1031" t="s">
        <v>1583</v>
      </c>
      <c r="J167" s="1032" t="s">
        <v>1575</v>
      </c>
      <c r="K167" s="1032" t="s">
        <v>1567</v>
      </c>
      <c r="L167" s="1032" t="s">
        <v>1571</v>
      </c>
      <c r="M167" s="1033">
        <v>0.2</v>
      </c>
      <c r="N167" s="1032" t="s">
        <v>1570</v>
      </c>
      <c r="O167" s="1036">
        <v>529</v>
      </c>
      <c r="P167" s="1036">
        <v>482</v>
      </c>
      <c r="Q167" s="1036">
        <v>46.5</v>
      </c>
      <c r="R167" s="1036">
        <v>0</v>
      </c>
      <c r="S167" s="1036">
        <v>0</v>
      </c>
      <c r="T167" s="1036">
        <v>0</v>
      </c>
      <c r="U167" s="1037">
        <v>0</v>
      </c>
    </row>
    <row r="168" spans="2:21" hidden="1" outlineLevel="2">
      <c r="B168" s="1045"/>
      <c r="C168" s="1045"/>
      <c r="D168" s="1051">
        <f t="shared" si="25"/>
        <v>10</v>
      </c>
      <c r="E168" s="1051" t="str">
        <f>IF(COUNTIF(E$11:E167,F168)&gt;0,"",F168)</f>
        <v/>
      </c>
      <c r="F168" s="1051" t="str">
        <f t="shared" si="26"/>
        <v>Combustible haute viscosité (CHV), France continentale, Base Carbone</v>
      </c>
      <c r="G168" s="1055" t="str">
        <f t="shared" si="27"/>
        <v>Combustible haute viscosité (CHV), France continentale, Base Carbone; kgCO2e/kg, Combustion</v>
      </c>
      <c r="I168" s="1031" t="s">
        <v>1583</v>
      </c>
      <c r="J168" s="1032" t="s">
        <v>1572</v>
      </c>
      <c r="K168" s="1032" t="s">
        <v>1567</v>
      </c>
      <c r="L168" s="1032" t="s">
        <v>1571</v>
      </c>
      <c r="M168" s="1033">
        <v>0.2</v>
      </c>
      <c r="N168" s="1032" t="s">
        <v>1569</v>
      </c>
      <c r="O168" s="1036">
        <v>3.16</v>
      </c>
      <c r="P168" s="1036">
        <v>3.14</v>
      </c>
      <c r="Q168" s="1036">
        <v>2.3600000000000001E-3</v>
      </c>
      <c r="R168" s="1036">
        <v>0</v>
      </c>
      <c r="S168" s="1036">
        <v>1.8200000000000001E-2</v>
      </c>
      <c r="T168" s="1036">
        <v>0</v>
      </c>
      <c r="U168" s="1037">
        <v>0</v>
      </c>
    </row>
    <row r="169" spans="2:21" hidden="1" outlineLevel="2">
      <c r="B169" s="1045"/>
      <c r="C169" s="1045"/>
      <c r="D169" s="1051">
        <f t="shared" si="25"/>
        <v>10</v>
      </c>
      <c r="E169" s="1051" t="str">
        <f>IF(COUNTIF(E$11:E168,F169)&gt;0,"",F169)</f>
        <v/>
      </c>
      <c r="F169" s="1051" t="str">
        <f t="shared" si="26"/>
        <v>Combustible haute viscosité (CHV), France continentale, Base Carbone</v>
      </c>
      <c r="G169" s="1055" t="str">
        <f t="shared" si="27"/>
        <v>Combustible haute viscosité (CHV), France continentale, Base Carbone; kgCO2e/kg, Amont</v>
      </c>
      <c r="I169" s="1031" t="s">
        <v>1583</v>
      </c>
      <c r="J169" s="1032" t="s">
        <v>1572</v>
      </c>
      <c r="K169" s="1032" t="s">
        <v>1567</v>
      </c>
      <c r="L169" s="1032" t="s">
        <v>1571</v>
      </c>
      <c r="M169" s="1033">
        <v>0.2</v>
      </c>
      <c r="N169" s="1032" t="s">
        <v>1570</v>
      </c>
      <c r="O169" s="1036">
        <v>0.49299999999999999</v>
      </c>
      <c r="P169" s="1036">
        <v>0.45</v>
      </c>
      <c r="Q169" s="1036">
        <v>4.3400000000000001E-2</v>
      </c>
      <c r="R169" s="1036">
        <v>0</v>
      </c>
      <c r="S169" s="1036">
        <v>0</v>
      </c>
      <c r="T169" s="1036">
        <v>0</v>
      </c>
      <c r="U169" s="1037">
        <v>0</v>
      </c>
    </row>
    <row r="170" spans="2:21" hidden="1" outlineLevel="2">
      <c r="B170" s="1045"/>
      <c r="C170" s="1045"/>
      <c r="D170" s="1051">
        <f t="shared" ref="D170:D233" si="28">D169+IF(LEN(E170)=0,0,1)</f>
        <v>11</v>
      </c>
      <c r="E170" s="1051" t="str">
        <f>IF(COUNTIF(E$11:E169,F170)&gt;0,"",F170)</f>
        <v>Essence (E10), France continentale, Base Carbone</v>
      </c>
      <c r="F170" s="1051" t="str">
        <f t="shared" ref="F170:F233" si="29">IF(I170&lt;&gt;"",I170&amp;IF(L170&lt;&gt;"",", "&amp;L170,"")&amp;IF(K170&lt;&gt;"",", "&amp;K170,""),"")</f>
        <v>Essence (E10), France continentale, Base Carbone</v>
      </c>
      <c r="G170" s="1055" t="str">
        <f t="shared" ref="G170:G233" si="30">IF(F170&lt;&gt;"",F170&amp;IF(J170&lt;&gt;"","; "&amp;J170,"")&amp;IF(N170&lt;&gt;"",", "&amp;N170,""),"")</f>
        <v>Essence (E10), France continentale, Base Carbone; kgCO2e/litre, Combustion</v>
      </c>
      <c r="I170" s="1031" t="s">
        <v>4807</v>
      </c>
      <c r="J170" s="1119" t="s">
        <v>1574</v>
      </c>
      <c r="K170" s="1032" t="s">
        <v>1567</v>
      </c>
      <c r="L170" s="1032" t="s">
        <v>1571</v>
      </c>
      <c r="M170" s="1033">
        <v>0.1</v>
      </c>
      <c r="N170" s="1119" t="s">
        <v>1569</v>
      </c>
      <c r="O170" s="1036">
        <v>2.2200000000000002</v>
      </c>
      <c r="P170" s="1036">
        <v>2.16</v>
      </c>
      <c r="Q170" s="1036">
        <v>1.7600000000000001E-2</v>
      </c>
      <c r="R170" s="1036">
        <v>0</v>
      </c>
      <c r="S170" s="1036">
        <v>1.78E-2</v>
      </c>
      <c r="T170" s="1036">
        <v>0</v>
      </c>
      <c r="U170" s="1037">
        <v>0.151869</v>
      </c>
    </row>
    <row r="171" spans="2:21" hidden="1" outlineLevel="2">
      <c r="B171" s="1045"/>
      <c r="C171" s="1045"/>
      <c r="D171" s="1051">
        <f t="shared" si="28"/>
        <v>11</v>
      </c>
      <c r="E171" s="1051" t="str">
        <f>IF(COUNTIF(E$11:E170,F171)&gt;0,"",F171)</f>
        <v/>
      </c>
      <c r="F171" s="1051" t="str">
        <f t="shared" si="29"/>
        <v>Essence (E10), France continentale, Base Carbone</v>
      </c>
      <c r="G171" s="1055" t="str">
        <f t="shared" si="30"/>
        <v>Essence (E10), France continentale, Base Carbone; kgCO2e/litre, Amont</v>
      </c>
      <c r="I171" s="1031" t="s">
        <v>4807</v>
      </c>
      <c r="J171" s="1119" t="s">
        <v>1574</v>
      </c>
      <c r="K171" s="1032" t="s">
        <v>1567</v>
      </c>
      <c r="L171" s="1032" t="s">
        <v>1571</v>
      </c>
      <c r="M171" s="1033">
        <v>0.1</v>
      </c>
      <c r="N171" s="1119" t="s">
        <v>1570</v>
      </c>
      <c r="O171" s="1036">
        <v>0.504</v>
      </c>
      <c r="P171" s="1036">
        <v>0.439</v>
      </c>
      <c r="Q171" s="1036">
        <v>4.41E-2</v>
      </c>
      <c r="R171" s="1036">
        <v>0</v>
      </c>
      <c r="S171" s="1036">
        <v>2.12E-2</v>
      </c>
      <c r="T171" s="1036">
        <v>0</v>
      </c>
      <c r="U171" s="1037">
        <v>-0.151869</v>
      </c>
    </row>
    <row r="172" spans="2:21" hidden="1" outlineLevel="2">
      <c r="B172" s="1045"/>
      <c r="C172" s="1045"/>
      <c r="D172" s="1051">
        <f t="shared" si="28"/>
        <v>11</v>
      </c>
      <c r="E172" s="1051" t="str">
        <f>IF(COUNTIF(E$11:E171,F172)&gt;0,"",F172)</f>
        <v/>
      </c>
      <c r="F172" s="1051" t="str">
        <f t="shared" si="29"/>
        <v>Essence (E10), France continentale, Base Carbone</v>
      </c>
      <c r="G172" s="1055" t="str">
        <f t="shared" si="30"/>
        <v>Essence (E10), France continentale, Base Carbone; kgCO2e/GJ PCI, Combustion</v>
      </c>
      <c r="I172" s="1031" t="s">
        <v>4807</v>
      </c>
      <c r="J172" s="1032" t="s">
        <v>1566</v>
      </c>
      <c r="K172" s="1032" t="s">
        <v>1567</v>
      </c>
      <c r="L172" s="1032" t="s">
        <v>1571</v>
      </c>
      <c r="M172" s="1033">
        <v>0.05</v>
      </c>
      <c r="N172" s="1119" t="s">
        <v>1569</v>
      </c>
      <c r="O172" s="1036">
        <v>69.3</v>
      </c>
      <c r="P172" s="1036">
        <v>68.2</v>
      </c>
      <c r="Q172" s="1036">
        <v>0.55600000000000005</v>
      </c>
      <c r="R172" s="1036">
        <v>0</v>
      </c>
      <c r="S172" s="1036">
        <v>0.55900000000000005</v>
      </c>
      <c r="T172" s="1036">
        <v>0</v>
      </c>
      <c r="U172" s="1037">
        <v>4.741428</v>
      </c>
    </row>
    <row r="173" spans="2:21" hidden="1" outlineLevel="2">
      <c r="B173" s="1045"/>
      <c r="C173" s="1045"/>
      <c r="D173" s="1051">
        <f t="shared" si="28"/>
        <v>11</v>
      </c>
      <c r="E173" s="1051" t="str">
        <f>IF(COUNTIF(E$11:E172,F173)&gt;0,"",F173)</f>
        <v/>
      </c>
      <c r="F173" s="1051" t="str">
        <f t="shared" si="29"/>
        <v>Essence (E10), France continentale, Base Carbone</v>
      </c>
      <c r="G173" s="1055" t="str">
        <f t="shared" si="30"/>
        <v>Essence (E10), France continentale, Base Carbone; kgCO2e/GJ PCI, Amont</v>
      </c>
      <c r="I173" s="1031" t="s">
        <v>4807</v>
      </c>
      <c r="J173" s="1032" t="s">
        <v>1566</v>
      </c>
      <c r="K173" s="1032" t="s">
        <v>1567</v>
      </c>
      <c r="L173" s="1032" t="s">
        <v>1571</v>
      </c>
      <c r="M173" s="1033">
        <v>0.05</v>
      </c>
      <c r="N173" s="1119" t="s">
        <v>1570</v>
      </c>
      <c r="O173" s="1036">
        <v>15.9</v>
      </c>
      <c r="P173" s="1036">
        <v>13.8</v>
      </c>
      <c r="Q173" s="1036">
        <v>1.39</v>
      </c>
      <c r="R173" s="1036">
        <v>0</v>
      </c>
      <c r="S173" s="1036">
        <v>0.66400000000000003</v>
      </c>
      <c r="T173" s="1036">
        <v>0</v>
      </c>
      <c r="U173" s="1037">
        <v>-4.741428</v>
      </c>
    </row>
    <row r="174" spans="2:21" hidden="1" outlineLevel="2">
      <c r="B174" s="1045"/>
      <c r="C174" s="1045"/>
      <c r="D174" s="1051">
        <f t="shared" si="28"/>
        <v>11</v>
      </c>
      <c r="E174" s="1051" t="str">
        <f>IF(COUNTIF(E$11:E173,F174)&gt;0,"",F174)</f>
        <v/>
      </c>
      <c r="F174" s="1051" t="str">
        <f t="shared" si="29"/>
        <v>Essence (E10), France continentale, Base Carbone</v>
      </c>
      <c r="G174" s="1055" t="str">
        <f t="shared" si="30"/>
        <v>Essence (E10), France continentale, Base Carbone; kgCO2e/kg, Combustion</v>
      </c>
      <c r="I174" s="1031" t="s">
        <v>4807</v>
      </c>
      <c r="J174" s="1032" t="s">
        <v>1572</v>
      </c>
      <c r="K174" s="1032" t="s">
        <v>1567</v>
      </c>
      <c r="L174" s="1032" t="s">
        <v>1571</v>
      </c>
      <c r="M174" s="1033">
        <v>0.05</v>
      </c>
      <c r="N174" s="1119" t="s">
        <v>1569</v>
      </c>
      <c r="O174" s="1036">
        <v>2.94</v>
      </c>
      <c r="P174" s="1036">
        <v>2.89</v>
      </c>
      <c r="Q174" s="1036">
        <v>2.3599999999999999E-2</v>
      </c>
      <c r="R174" s="1036">
        <v>0</v>
      </c>
      <c r="S174" s="1036">
        <v>2.3599999999999999E-2</v>
      </c>
      <c r="T174" s="1036">
        <v>0</v>
      </c>
      <c r="U174" s="1037">
        <v>0.151869</v>
      </c>
    </row>
    <row r="175" spans="2:21" hidden="1" outlineLevel="2">
      <c r="B175" s="1045"/>
      <c r="C175" s="1045"/>
      <c r="D175" s="1051">
        <f t="shared" si="28"/>
        <v>11</v>
      </c>
      <c r="E175" s="1051" t="str">
        <f>IF(COUNTIF(E$11:E174,F175)&gt;0,"",F175)</f>
        <v/>
      </c>
      <c r="F175" s="1051" t="str">
        <f t="shared" si="29"/>
        <v>Essence (E10), France continentale, Base Carbone</v>
      </c>
      <c r="G175" s="1055" t="str">
        <f t="shared" si="30"/>
        <v>Essence (E10), France continentale, Base Carbone; kgCO2e/kg, Amont</v>
      </c>
      <c r="I175" s="1031" t="s">
        <v>4807</v>
      </c>
      <c r="J175" s="1032" t="s">
        <v>1572</v>
      </c>
      <c r="K175" s="1032" t="s">
        <v>1567</v>
      </c>
      <c r="L175" s="1032" t="s">
        <v>1571</v>
      </c>
      <c r="M175" s="1033">
        <v>0.05</v>
      </c>
      <c r="N175" s="1119" t="s">
        <v>1570</v>
      </c>
      <c r="O175" s="1036">
        <v>0.67400000000000004</v>
      </c>
      <c r="P175" s="1036">
        <v>0.58699999999999997</v>
      </c>
      <c r="Q175" s="1036">
        <v>5.8999999999999997E-2</v>
      </c>
      <c r="R175" s="1036">
        <v>0</v>
      </c>
      <c r="S175" s="1036">
        <v>2.81E-2</v>
      </c>
      <c r="T175" s="1036">
        <v>0</v>
      </c>
      <c r="U175" s="1037">
        <v>-0.151869</v>
      </c>
    </row>
    <row r="176" spans="2:21" hidden="1" outlineLevel="2">
      <c r="B176" s="1045"/>
      <c r="C176" s="1045"/>
      <c r="D176" s="1051">
        <f t="shared" si="28"/>
        <v>11</v>
      </c>
      <c r="E176" s="1051" t="str">
        <f>IF(COUNTIF(E$11:E175,F176)&gt;0,"",F176)</f>
        <v/>
      </c>
      <c r="F176" s="1051" t="str">
        <f t="shared" si="29"/>
        <v>Essence (E10), France continentale, Base Carbone</v>
      </c>
      <c r="G176" s="1055" t="str">
        <f t="shared" si="30"/>
        <v>Essence (E10), France continentale, Base Carbone; kgCO2e/kWh PCI, Combustion</v>
      </c>
      <c r="I176" s="1031" t="s">
        <v>4807</v>
      </c>
      <c r="J176" s="1032" t="s">
        <v>1573</v>
      </c>
      <c r="K176" s="1032" t="s">
        <v>1567</v>
      </c>
      <c r="L176" s="1032" t="s">
        <v>1571</v>
      </c>
      <c r="M176" s="1033">
        <v>0.05</v>
      </c>
      <c r="N176" s="1119" t="s">
        <v>1569</v>
      </c>
      <c r="O176" s="1036">
        <v>0.249</v>
      </c>
      <c r="P176" s="1036">
        <v>0.245</v>
      </c>
      <c r="Q176" s="1036">
        <v>2.0100000000000001E-3</v>
      </c>
      <c r="R176" s="1036">
        <v>0</v>
      </c>
      <c r="S176" s="1036">
        <v>2.1199999999999999E-3</v>
      </c>
      <c r="T176" s="1036">
        <v>0</v>
      </c>
      <c r="U176" s="1037">
        <v>1.7069000000000001E-2</v>
      </c>
    </row>
    <row r="177" spans="2:21" hidden="1" outlineLevel="2">
      <c r="B177" s="1045"/>
      <c r="C177" s="1045"/>
      <c r="D177" s="1051">
        <f t="shared" si="28"/>
        <v>11</v>
      </c>
      <c r="E177" s="1051" t="str">
        <f>IF(COUNTIF(E$11:E176,F177)&gt;0,"",F177)</f>
        <v/>
      </c>
      <c r="F177" s="1051" t="str">
        <f t="shared" si="29"/>
        <v>Essence (E10), France continentale, Base Carbone</v>
      </c>
      <c r="G177" s="1055" t="str">
        <f t="shared" si="30"/>
        <v>Essence (E10), France continentale, Base Carbone; kgCO2e/kWh PCI, Amont</v>
      </c>
      <c r="I177" s="1031" t="s">
        <v>4807</v>
      </c>
      <c r="J177" s="1032" t="s">
        <v>1573</v>
      </c>
      <c r="K177" s="1032" t="s">
        <v>1567</v>
      </c>
      <c r="L177" s="1032" t="s">
        <v>1571</v>
      </c>
      <c r="M177" s="1033">
        <v>0.05</v>
      </c>
      <c r="N177" s="1119" t="s">
        <v>1570</v>
      </c>
      <c r="O177" s="1036">
        <v>5.7200000000000001E-2</v>
      </c>
      <c r="P177" s="1036">
        <v>4.9799999999999997E-2</v>
      </c>
      <c r="Q177" s="1036">
        <v>5.0099999999999997E-3</v>
      </c>
      <c r="R177" s="1036">
        <v>0</v>
      </c>
      <c r="S177" s="1036">
        <v>2.3900000000000002E-3</v>
      </c>
      <c r="T177" s="1036">
        <v>0</v>
      </c>
      <c r="U177" s="1037">
        <v>-1.7069000000000001E-2</v>
      </c>
    </row>
    <row r="178" spans="2:21" hidden="1" outlineLevel="2">
      <c r="B178" s="1045"/>
      <c r="C178" s="1045"/>
      <c r="D178" s="1051">
        <f t="shared" si="28"/>
        <v>11</v>
      </c>
      <c r="E178" s="1051" t="str">
        <f>IF(COUNTIF(E$11:E177,F178)&gt;0,"",F178)</f>
        <v/>
      </c>
      <c r="F178" s="1051" t="str">
        <f t="shared" si="29"/>
        <v>Essence (E10), France continentale, Base Carbone</v>
      </c>
      <c r="G178" s="1055" t="str">
        <f t="shared" si="30"/>
        <v>Essence (E10), France continentale, Base Carbone; kgCO2e/tep PCI, Combustion</v>
      </c>
      <c r="I178" s="1031" t="s">
        <v>4807</v>
      </c>
      <c r="J178" s="1032" t="s">
        <v>1575</v>
      </c>
      <c r="K178" s="1032" t="s">
        <v>1567</v>
      </c>
      <c r="L178" s="1032" t="s">
        <v>1571</v>
      </c>
      <c r="M178" s="1033">
        <v>0.05</v>
      </c>
      <c r="N178" s="1119" t="s">
        <v>1569</v>
      </c>
      <c r="O178" s="1036">
        <v>2907</v>
      </c>
      <c r="P178" s="1036">
        <v>2860</v>
      </c>
      <c r="Q178" s="1036">
        <v>23.4</v>
      </c>
      <c r="R178" s="1036">
        <v>0</v>
      </c>
      <c r="S178" s="1036">
        <v>23.5</v>
      </c>
      <c r="T178" s="1036">
        <v>0</v>
      </c>
      <c r="U178" s="1037">
        <v>198.47838999999999</v>
      </c>
    </row>
    <row r="179" spans="2:21" hidden="1" outlineLevel="2">
      <c r="B179" s="1045"/>
      <c r="C179" s="1045"/>
      <c r="D179" s="1051">
        <f t="shared" si="28"/>
        <v>11</v>
      </c>
      <c r="E179" s="1051" t="str">
        <f>IF(COUNTIF(E$11:E178,F179)&gt;0,"",F179)</f>
        <v/>
      </c>
      <c r="F179" s="1051" t="str">
        <f t="shared" si="29"/>
        <v>Essence (E10), France continentale, Base Carbone</v>
      </c>
      <c r="G179" s="1055" t="str">
        <f t="shared" si="30"/>
        <v>Essence (E10), France continentale, Base Carbone; kgCO2e/tep PCI, Amont</v>
      </c>
      <c r="I179" s="1031" t="s">
        <v>4807</v>
      </c>
      <c r="J179" s="1032" t="s">
        <v>1575</v>
      </c>
      <c r="K179" s="1032" t="s">
        <v>1567</v>
      </c>
      <c r="L179" s="1032" t="s">
        <v>1571</v>
      </c>
      <c r="M179" s="1033">
        <v>0.05</v>
      </c>
      <c r="N179" s="1119" t="s">
        <v>1570</v>
      </c>
      <c r="O179" s="1036">
        <v>667</v>
      </c>
      <c r="P179" s="1036">
        <v>581</v>
      </c>
      <c r="Q179" s="1036">
        <v>58.4</v>
      </c>
      <c r="R179" s="1036">
        <v>0</v>
      </c>
      <c r="S179" s="1036">
        <v>27.8</v>
      </c>
      <c r="T179" s="1036">
        <v>0</v>
      </c>
      <c r="U179" s="1037">
        <v>-198.47838999999999</v>
      </c>
    </row>
    <row r="180" spans="2:21" hidden="1" outlineLevel="2">
      <c r="D180" s="1051">
        <f t="shared" si="28"/>
        <v>12</v>
      </c>
      <c r="E180" s="1051" t="str">
        <f>IF(COUNTIF(E$11:E179,F180)&gt;0,"",F180)</f>
        <v>Essence (E85), France continentale, Base Carbone</v>
      </c>
      <c r="F180" s="1051" t="str">
        <f t="shared" si="29"/>
        <v>Essence (E85), France continentale, Base Carbone</v>
      </c>
      <c r="G180" s="1055" t="str">
        <f t="shared" si="30"/>
        <v>Essence (E85), France continentale, Base Carbone; kgCO2e/kWh PCI, Combustion</v>
      </c>
      <c r="I180" s="1031" t="s">
        <v>1584</v>
      </c>
      <c r="J180" s="1032" t="s">
        <v>1573</v>
      </c>
      <c r="K180" s="1032" t="s">
        <v>1567</v>
      </c>
      <c r="L180" s="1032" t="s">
        <v>1571</v>
      </c>
      <c r="M180" s="1033">
        <v>0.05</v>
      </c>
      <c r="N180" s="1032" t="s">
        <v>1569</v>
      </c>
      <c r="O180" s="1036">
        <v>5.8000000000000003E-2</v>
      </c>
      <c r="P180" s="1036">
        <v>5.7000000000000002E-2</v>
      </c>
      <c r="Q180" s="1036">
        <v>5.1000000000000004E-4</v>
      </c>
      <c r="R180" s="1036">
        <v>0</v>
      </c>
      <c r="S180" s="1036">
        <v>5.2999999999999998E-4</v>
      </c>
      <c r="T180" s="1036">
        <v>0</v>
      </c>
      <c r="U180" s="1037">
        <v>0.20224700000000001</v>
      </c>
    </row>
    <row r="181" spans="2:21" hidden="1" outlineLevel="2">
      <c r="D181" s="1051">
        <f t="shared" si="28"/>
        <v>12</v>
      </c>
      <c r="E181" s="1051" t="str">
        <f>IF(COUNTIF(E$11:E180,F181)&gt;0,"",F181)</f>
        <v/>
      </c>
      <c r="F181" s="1051" t="str">
        <f t="shared" si="29"/>
        <v>Essence (E85), France continentale, Base Carbone</v>
      </c>
      <c r="G181" s="1055" t="str">
        <f t="shared" si="30"/>
        <v>Essence (E85), France continentale, Base Carbone; kgCO2e/kWh PCI, Amont</v>
      </c>
      <c r="I181" s="1031" t="s">
        <v>1584</v>
      </c>
      <c r="J181" s="1032" t="s">
        <v>1573</v>
      </c>
      <c r="K181" s="1032" t="s">
        <v>1567</v>
      </c>
      <c r="L181" s="1032" t="s">
        <v>1571</v>
      </c>
      <c r="M181" s="1033">
        <v>0.05</v>
      </c>
      <c r="N181" s="1032" t="s">
        <v>1570</v>
      </c>
      <c r="O181" s="1036">
        <v>0.11600000000000001</v>
      </c>
      <c r="P181" s="1036">
        <v>8.1900000000000001E-2</v>
      </c>
      <c r="Q181" s="1036">
        <v>5.9100000000000003E-3</v>
      </c>
      <c r="R181" s="1036">
        <v>0</v>
      </c>
      <c r="S181" s="1036">
        <v>2.8400000000000002E-2</v>
      </c>
      <c r="T181" s="1036">
        <v>0</v>
      </c>
      <c r="U181" s="1037">
        <v>-0.20224700000000001</v>
      </c>
    </row>
    <row r="182" spans="2:21" hidden="1" outlineLevel="2">
      <c r="D182" s="1051">
        <f t="shared" si="28"/>
        <v>12</v>
      </c>
      <c r="E182" s="1051" t="str">
        <f>IF(COUNTIF(E$11:E181,F182)&gt;0,"",F182)</f>
        <v/>
      </c>
      <c r="F182" s="1051" t="str">
        <f t="shared" si="29"/>
        <v>Essence (E85), France continentale, Base Carbone</v>
      </c>
      <c r="G182" s="1055" t="str">
        <f t="shared" si="30"/>
        <v>Essence (E85), France continentale, Base Carbone; kgCO2e/litre, Combustion</v>
      </c>
      <c r="I182" s="1031" t="s">
        <v>1584</v>
      </c>
      <c r="J182" s="1032" t="s">
        <v>1574</v>
      </c>
      <c r="K182" s="1032" t="s">
        <v>1567</v>
      </c>
      <c r="L182" s="1032" t="s">
        <v>1571</v>
      </c>
      <c r="M182" s="1033">
        <v>0.1</v>
      </c>
      <c r="N182" s="1032" t="s">
        <v>1569</v>
      </c>
      <c r="O182" s="1036">
        <v>0.36599999999999999</v>
      </c>
      <c r="P182" s="1036">
        <v>0.36</v>
      </c>
      <c r="Q182" s="1036">
        <v>2.9099999999999998E-3</v>
      </c>
      <c r="R182" s="1036">
        <v>0</v>
      </c>
      <c r="S182" s="1036">
        <v>2.9199999999999999E-3</v>
      </c>
      <c r="T182" s="1036">
        <v>0</v>
      </c>
      <c r="U182" s="1037">
        <v>1.290888</v>
      </c>
    </row>
    <row r="183" spans="2:21" hidden="1" outlineLevel="2">
      <c r="D183" s="1051">
        <f t="shared" si="28"/>
        <v>12</v>
      </c>
      <c r="E183" s="1051" t="str">
        <f>IF(COUNTIF(E$11:E182,F183)&gt;0,"",F183)</f>
        <v/>
      </c>
      <c r="F183" s="1051" t="str">
        <f t="shared" si="29"/>
        <v>Essence (E85), France continentale, Base Carbone</v>
      </c>
      <c r="G183" s="1055" t="str">
        <f t="shared" si="30"/>
        <v>Essence (E85), France continentale, Base Carbone; kgCO2e/litre, Amont</v>
      </c>
      <c r="I183" s="1031" t="s">
        <v>1584</v>
      </c>
      <c r="J183" s="1032" t="s">
        <v>1574</v>
      </c>
      <c r="K183" s="1032" t="s">
        <v>1567</v>
      </c>
      <c r="L183" s="1032" t="s">
        <v>1571</v>
      </c>
      <c r="M183" s="1033">
        <v>0.1</v>
      </c>
      <c r="N183" s="1032" t="s">
        <v>1570</v>
      </c>
      <c r="O183" s="1036">
        <v>0.74099999999999999</v>
      </c>
      <c r="P183" s="1036">
        <v>0.52200000000000002</v>
      </c>
      <c r="Q183" s="1036">
        <v>3.7600000000000001E-2</v>
      </c>
      <c r="R183" s="1036">
        <v>0</v>
      </c>
      <c r="S183" s="1036">
        <v>0.18099999999999999</v>
      </c>
      <c r="T183" s="1036">
        <v>0</v>
      </c>
      <c r="U183" s="1037">
        <v>-1.290888</v>
      </c>
    </row>
    <row r="184" spans="2:21" hidden="1" outlineLevel="2">
      <c r="D184" s="1051">
        <f t="shared" si="28"/>
        <v>12</v>
      </c>
      <c r="E184" s="1051" t="str">
        <f>IF(COUNTIF(E$11:E183,F184)&gt;0,"",F184)</f>
        <v/>
      </c>
      <c r="F184" s="1051" t="str">
        <f t="shared" si="29"/>
        <v>Essence (E85), France continentale, Base Carbone</v>
      </c>
      <c r="G184" s="1055" t="str">
        <f t="shared" si="30"/>
        <v>Essence (E85), France continentale, Base Carbone; kgCO2e/tep PCI, Combustion</v>
      </c>
      <c r="I184" s="1031" t="s">
        <v>1584</v>
      </c>
      <c r="J184" s="1032" t="s">
        <v>1575</v>
      </c>
      <c r="K184" s="1032" t="s">
        <v>1567</v>
      </c>
      <c r="L184" s="1032" t="s">
        <v>1571</v>
      </c>
      <c r="M184" s="1033">
        <v>0.05</v>
      </c>
      <c r="N184" s="1032" t="s">
        <v>1569</v>
      </c>
      <c r="O184" s="1036">
        <v>676</v>
      </c>
      <c r="P184" s="1036">
        <v>665</v>
      </c>
      <c r="Q184" s="1036">
        <v>5.42</v>
      </c>
      <c r="R184" s="1036">
        <v>0</v>
      </c>
      <c r="S184" s="1036">
        <v>5.45</v>
      </c>
      <c r="T184" s="1036">
        <v>0</v>
      </c>
      <c r="U184" s="1037">
        <v>2351.7136999999998</v>
      </c>
    </row>
    <row r="185" spans="2:21" hidden="1" outlineLevel="2">
      <c r="D185" s="1051">
        <f t="shared" si="28"/>
        <v>12</v>
      </c>
      <c r="E185" s="1051" t="str">
        <f>IF(COUNTIF(E$11:E184,F185)&gt;0,"",F185)</f>
        <v/>
      </c>
      <c r="F185" s="1051" t="str">
        <f t="shared" si="29"/>
        <v>Essence (E85), France continentale, Base Carbone</v>
      </c>
      <c r="G185" s="1055" t="str">
        <f t="shared" si="30"/>
        <v>Essence (E85), France continentale, Base Carbone; kgCO2e/tep PCI, Amont</v>
      </c>
      <c r="I185" s="1031" t="s">
        <v>1584</v>
      </c>
      <c r="J185" s="1032" t="s">
        <v>1575</v>
      </c>
      <c r="K185" s="1032" t="s">
        <v>1567</v>
      </c>
      <c r="L185" s="1032" t="s">
        <v>1571</v>
      </c>
      <c r="M185" s="1033">
        <v>0.05</v>
      </c>
      <c r="N185" s="1032" t="s">
        <v>1570</v>
      </c>
      <c r="O185" s="1036">
        <v>1355</v>
      </c>
      <c r="P185" s="1036">
        <v>957</v>
      </c>
      <c r="Q185" s="1036">
        <v>68.599999999999994</v>
      </c>
      <c r="R185" s="1036">
        <v>0</v>
      </c>
      <c r="S185" s="1036">
        <v>329</v>
      </c>
      <c r="T185" s="1036">
        <v>0</v>
      </c>
      <c r="U185" s="1037">
        <v>-2351.7136999999998</v>
      </c>
    </row>
    <row r="186" spans="2:21" hidden="1" outlineLevel="2">
      <c r="D186" s="1051">
        <f t="shared" si="28"/>
        <v>12</v>
      </c>
      <c r="E186" s="1051" t="str">
        <f>IF(COUNTIF(E$11:E185,F186)&gt;0,"",F186)</f>
        <v/>
      </c>
      <c r="F186" s="1051" t="str">
        <f t="shared" si="29"/>
        <v>Essence (E85), France continentale, Base Carbone</v>
      </c>
      <c r="G186" s="1055" t="str">
        <f t="shared" si="30"/>
        <v>Essence (E85), France continentale, Base Carbone; kgCO2e/GJ PCI, Combustion</v>
      </c>
      <c r="I186" s="1031" t="s">
        <v>1584</v>
      </c>
      <c r="J186" s="1032" t="s">
        <v>1566</v>
      </c>
      <c r="K186" s="1032" t="s">
        <v>1567</v>
      </c>
      <c r="L186" s="1032" t="s">
        <v>1571</v>
      </c>
      <c r="M186" s="1033">
        <v>0.05</v>
      </c>
      <c r="N186" s="1032" t="s">
        <v>1569</v>
      </c>
      <c r="O186" s="1036">
        <v>16.100000000000001</v>
      </c>
      <c r="P186" s="1036">
        <v>15.8</v>
      </c>
      <c r="Q186" s="1036">
        <v>0.129</v>
      </c>
      <c r="R186" s="1036">
        <v>0</v>
      </c>
      <c r="S186" s="1036">
        <v>0.13</v>
      </c>
      <c r="T186" s="1036">
        <v>0</v>
      </c>
      <c r="U186" s="1037">
        <v>56.179827000000003</v>
      </c>
    </row>
    <row r="187" spans="2:21" hidden="1" outlineLevel="2">
      <c r="D187" s="1051">
        <f t="shared" si="28"/>
        <v>12</v>
      </c>
      <c r="E187" s="1051" t="str">
        <f>IF(COUNTIF(E$11:E186,F187)&gt;0,"",F187)</f>
        <v/>
      </c>
      <c r="F187" s="1051" t="str">
        <f t="shared" si="29"/>
        <v>Essence (E85), France continentale, Base Carbone</v>
      </c>
      <c r="G187" s="1055" t="str">
        <f t="shared" si="30"/>
        <v>Essence (E85), France continentale, Base Carbone; kgCO2e/GJ PCI, Amont</v>
      </c>
      <c r="I187" s="1031" t="s">
        <v>1584</v>
      </c>
      <c r="J187" s="1032" t="s">
        <v>1566</v>
      </c>
      <c r="K187" s="1032" t="s">
        <v>1567</v>
      </c>
      <c r="L187" s="1032" t="s">
        <v>1571</v>
      </c>
      <c r="M187" s="1033">
        <v>0.05</v>
      </c>
      <c r="N187" s="1032" t="s">
        <v>1570</v>
      </c>
      <c r="O187" s="1036">
        <v>32.200000000000003</v>
      </c>
      <c r="P187" s="1036">
        <v>22.7</v>
      </c>
      <c r="Q187" s="1036">
        <v>1.64</v>
      </c>
      <c r="R187" s="1036">
        <v>0</v>
      </c>
      <c r="S187" s="1036">
        <v>7.87</v>
      </c>
      <c r="T187" s="1036">
        <v>0</v>
      </c>
      <c r="U187" s="1037">
        <v>-56.579827000000002</v>
      </c>
    </row>
    <row r="188" spans="2:21" hidden="1" outlineLevel="2">
      <c r="D188" s="1051">
        <f t="shared" si="28"/>
        <v>12</v>
      </c>
      <c r="E188" s="1051" t="str">
        <f>IF(COUNTIF(E$11:E187,F188)&gt;0,"",F188)</f>
        <v/>
      </c>
      <c r="F188" s="1051" t="str">
        <f t="shared" si="29"/>
        <v>Essence (E85), France continentale, Base Carbone</v>
      </c>
      <c r="G188" s="1055" t="str">
        <f t="shared" si="30"/>
        <v>Essence (E85), France continentale, Base Carbone; kgCO2e/tonne, Combustion</v>
      </c>
      <c r="I188" s="1031" t="s">
        <v>1584</v>
      </c>
      <c r="J188" s="1032" t="s">
        <v>1585</v>
      </c>
      <c r="K188" s="1032" t="s">
        <v>1567</v>
      </c>
      <c r="L188" s="1032" t="s">
        <v>1571</v>
      </c>
      <c r="M188" s="1033">
        <v>0.05</v>
      </c>
      <c r="N188" s="1032" t="s">
        <v>1569</v>
      </c>
      <c r="O188" s="1036">
        <v>490</v>
      </c>
      <c r="P188" s="1036">
        <v>482</v>
      </c>
      <c r="Q188" s="1036">
        <v>3.93</v>
      </c>
      <c r="R188" s="1036">
        <v>0</v>
      </c>
      <c r="S188" s="1036">
        <v>3.94</v>
      </c>
      <c r="T188" s="1036">
        <v>0</v>
      </c>
      <c r="U188" s="1037">
        <v>1728.0962999999999</v>
      </c>
    </row>
    <row r="189" spans="2:21" hidden="1" outlineLevel="2">
      <c r="D189" s="1051">
        <f t="shared" si="28"/>
        <v>12</v>
      </c>
      <c r="E189" s="1051" t="str">
        <f>IF(COUNTIF(E$11:E188,F189)&gt;0,"",F189)</f>
        <v/>
      </c>
      <c r="F189" s="1051" t="str">
        <f t="shared" si="29"/>
        <v>Essence (E85), France continentale, Base Carbone</v>
      </c>
      <c r="G189" s="1055" t="str">
        <f t="shared" si="30"/>
        <v>Essence (E85), France continentale, Base Carbone; kgCO2e/tonne, Amont</v>
      </c>
      <c r="I189" s="1031" t="s">
        <v>1584</v>
      </c>
      <c r="J189" s="1032" t="s">
        <v>1585</v>
      </c>
      <c r="K189" s="1032" t="s">
        <v>1567</v>
      </c>
      <c r="L189" s="1032" t="s">
        <v>1571</v>
      </c>
      <c r="M189" s="1033">
        <v>0.05</v>
      </c>
      <c r="N189" s="1032" t="s">
        <v>1570</v>
      </c>
      <c r="O189" s="1036">
        <v>991</v>
      </c>
      <c r="P189" s="1036">
        <v>699</v>
      </c>
      <c r="Q189" s="1036">
        <v>50.3</v>
      </c>
      <c r="R189" s="1036">
        <v>0</v>
      </c>
      <c r="S189" s="1036">
        <v>242</v>
      </c>
      <c r="T189" s="1036">
        <v>0</v>
      </c>
      <c r="U189" s="1037">
        <v>-1728.0962999999999</v>
      </c>
    </row>
    <row r="190" spans="2:21" hidden="1" outlineLevel="2">
      <c r="D190" s="1051">
        <f t="shared" si="28"/>
        <v>13</v>
      </c>
      <c r="E190" s="1051" t="str">
        <f>IF(COUNTIF(E$11:E189,F190)&gt;0,"",F190)</f>
        <v>Essence (Supercarburant sans plomb (95, 95-E10, 98)), France continentale, Base Carbone</v>
      </c>
      <c r="F190" s="1051" t="str">
        <f t="shared" si="29"/>
        <v>Essence (Supercarburant sans plomb (95, 95-E10, 98)), France continentale, Base Carbone</v>
      </c>
      <c r="G190" s="1055" t="str">
        <f t="shared" si="30"/>
        <v>Essence (Supercarburant sans plomb (95, 95-E10, 98)), France continentale, Base Carbone; kgCO2e/tep PCI, Combustion</v>
      </c>
      <c r="I190" s="1031" t="s">
        <v>1586</v>
      </c>
      <c r="J190" s="1032" t="s">
        <v>1575</v>
      </c>
      <c r="K190" s="1032" t="s">
        <v>1567</v>
      </c>
      <c r="L190" s="1032" t="s">
        <v>1571</v>
      </c>
      <c r="M190" s="1033">
        <v>0.05</v>
      </c>
      <c r="N190" s="1032" t="s">
        <v>1569</v>
      </c>
      <c r="O190" s="1036">
        <v>2907</v>
      </c>
      <c r="P190" s="1036">
        <v>2860</v>
      </c>
      <c r="Q190" s="1036">
        <v>23.3</v>
      </c>
      <c r="R190" s="1036">
        <v>0</v>
      </c>
      <c r="S190" s="1036">
        <v>23.8</v>
      </c>
      <c r="T190" s="1036">
        <v>0</v>
      </c>
      <c r="U190" s="1037">
        <v>156.14034000000001</v>
      </c>
    </row>
    <row r="191" spans="2:21" hidden="1" outlineLevel="2">
      <c r="D191" s="1051">
        <f t="shared" si="28"/>
        <v>13</v>
      </c>
      <c r="E191" s="1051" t="str">
        <f>IF(COUNTIF(E$11:E190,F191)&gt;0,"",F191)</f>
        <v/>
      </c>
      <c r="F191" s="1051" t="str">
        <f t="shared" si="29"/>
        <v>Essence (Supercarburant sans plomb (95, 95-E10, 98)), France continentale, Base Carbone</v>
      </c>
      <c r="G191" s="1055" t="str">
        <f t="shared" si="30"/>
        <v>Essence (Supercarburant sans plomb (95, 95-E10, 98)), France continentale, Base Carbone; kgCO2e/tep PCI, Amont</v>
      </c>
      <c r="I191" s="1031" t="s">
        <v>1586</v>
      </c>
      <c r="J191" s="1032" t="s">
        <v>1575</v>
      </c>
      <c r="K191" s="1032" t="s">
        <v>1567</v>
      </c>
      <c r="L191" s="1032" t="s">
        <v>1571</v>
      </c>
      <c r="M191" s="1033">
        <v>0.05</v>
      </c>
      <c r="N191" s="1032" t="s">
        <v>1570</v>
      </c>
      <c r="O191" s="1036">
        <v>651</v>
      </c>
      <c r="P191" s="1036">
        <v>569</v>
      </c>
      <c r="Q191" s="1036">
        <v>57.6</v>
      </c>
      <c r="R191" s="1036">
        <v>0</v>
      </c>
      <c r="S191" s="1036">
        <v>23.9</v>
      </c>
      <c r="T191" s="1036">
        <v>0</v>
      </c>
      <c r="U191" s="1037">
        <v>-156.14034000000001</v>
      </c>
    </row>
    <row r="192" spans="2:21" hidden="1" outlineLevel="2">
      <c r="D192" s="1051">
        <f t="shared" si="28"/>
        <v>13</v>
      </c>
      <c r="E192" s="1051" t="str">
        <f>IF(COUNTIF(E$11:E191,F192)&gt;0,"",F192)</f>
        <v/>
      </c>
      <c r="F192" s="1051" t="str">
        <f t="shared" si="29"/>
        <v>Essence (Supercarburant sans plomb (95, 95-E10, 98)), France continentale, Base Carbone</v>
      </c>
      <c r="G192" s="1055" t="str">
        <f t="shared" si="30"/>
        <v>Essence (Supercarburant sans plomb (95, 95-E10, 98)), France continentale, Base Carbone; kgCO2e/GJ PCI, Combustion</v>
      </c>
      <c r="I192" s="1031" t="s">
        <v>1586</v>
      </c>
      <c r="J192" s="1032" t="s">
        <v>1566</v>
      </c>
      <c r="K192" s="1032" t="s">
        <v>1567</v>
      </c>
      <c r="L192" s="1032" t="s">
        <v>1571</v>
      </c>
      <c r="M192" s="1033">
        <v>0.05</v>
      </c>
      <c r="N192" s="1032" t="s">
        <v>1569</v>
      </c>
      <c r="O192" s="1036">
        <v>69.2</v>
      </c>
      <c r="P192" s="1036">
        <v>68.099999999999994</v>
      </c>
      <c r="Q192" s="1036">
        <v>0.56000000000000005</v>
      </c>
      <c r="R192" s="1036">
        <v>0</v>
      </c>
      <c r="S192" s="1036">
        <v>0.56000000000000005</v>
      </c>
      <c r="T192" s="1036">
        <v>0</v>
      </c>
      <c r="U192" s="1037">
        <v>3.730019</v>
      </c>
    </row>
    <row r="193" spans="4:21" hidden="1" outlineLevel="2">
      <c r="D193" s="1051">
        <f t="shared" si="28"/>
        <v>13</v>
      </c>
      <c r="E193" s="1051" t="str">
        <f>IF(COUNTIF(E$11:E192,F193)&gt;0,"",F193)</f>
        <v/>
      </c>
      <c r="F193" s="1051" t="str">
        <f t="shared" si="29"/>
        <v>Essence (Supercarburant sans plomb (95, 95-E10, 98)), France continentale, Base Carbone</v>
      </c>
      <c r="G193" s="1055" t="str">
        <f t="shared" si="30"/>
        <v>Essence (Supercarburant sans plomb (95, 95-E10, 98)), France continentale, Base Carbone; kgCO2e/GJ PCI, Amont</v>
      </c>
      <c r="I193" s="1031" t="s">
        <v>1586</v>
      </c>
      <c r="J193" s="1032" t="s">
        <v>1566</v>
      </c>
      <c r="K193" s="1032" t="s">
        <v>1567</v>
      </c>
      <c r="L193" s="1032" t="s">
        <v>1571</v>
      </c>
      <c r="M193" s="1033">
        <v>0.05</v>
      </c>
      <c r="N193" s="1032" t="s">
        <v>1570</v>
      </c>
      <c r="O193" s="1036">
        <v>15.5</v>
      </c>
      <c r="P193" s="1036">
        <v>13.6</v>
      </c>
      <c r="Q193" s="1036">
        <v>1.37</v>
      </c>
      <c r="R193" s="1036">
        <v>0</v>
      </c>
      <c r="S193" s="1036">
        <v>0.56000000000000005</v>
      </c>
      <c r="T193" s="1036">
        <v>0</v>
      </c>
      <c r="U193" s="1037">
        <v>-3.730019</v>
      </c>
    </row>
    <row r="194" spans="4:21" hidden="1" outlineLevel="2">
      <c r="D194" s="1051">
        <f t="shared" si="28"/>
        <v>13</v>
      </c>
      <c r="E194" s="1051" t="str">
        <f>IF(COUNTIF(E$11:E193,F194)&gt;0,"",F194)</f>
        <v/>
      </c>
      <c r="F194" s="1051" t="str">
        <f t="shared" si="29"/>
        <v>Essence (Supercarburant sans plomb (95, 95-E10, 98)), France continentale, Base Carbone</v>
      </c>
      <c r="G194" s="1055" t="str">
        <f t="shared" si="30"/>
        <v>Essence (Supercarburant sans plomb (95, 95-E10, 98)), France continentale, Base Carbone; kgCO2e/tonne, Combustion</v>
      </c>
      <c r="I194" s="1031" t="s">
        <v>1586</v>
      </c>
      <c r="J194" s="1032" t="s">
        <v>1585</v>
      </c>
      <c r="K194" s="1032" t="s">
        <v>1567</v>
      </c>
      <c r="L194" s="1032" t="s">
        <v>1571</v>
      </c>
      <c r="M194" s="1033">
        <v>0.05</v>
      </c>
      <c r="N194" s="1032" t="s">
        <v>1569</v>
      </c>
      <c r="O194" s="1036">
        <v>2908</v>
      </c>
      <c r="P194" s="1036">
        <v>2860</v>
      </c>
      <c r="Q194" s="1036">
        <v>23.7</v>
      </c>
      <c r="R194" s="1036">
        <v>0</v>
      </c>
      <c r="S194" s="1036">
        <v>23.8</v>
      </c>
      <c r="T194" s="1036">
        <v>0</v>
      </c>
      <c r="U194" s="1037">
        <v>154.00137000000001</v>
      </c>
    </row>
    <row r="195" spans="4:21" hidden="1" outlineLevel="2">
      <c r="D195" s="1051">
        <f t="shared" si="28"/>
        <v>13</v>
      </c>
      <c r="E195" s="1051" t="str">
        <f>IF(COUNTIF(E$11:E194,F195)&gt;0,"",F195)</f>
        <v/>
      </c>
      <c r="F195" s="1051" t="str">
        <f t="shared" si="29"/>
        <v>Essence (Supercarburant sans plomb (95, 95-E10, 98)), France continentale, Base Carbone</v>
      </c>
      <c r="G195" s="1055" t="str">
        <f t="shared" si="30"/>
        <v>Essence (Supercarburant sans plomb (95, 95-E10, 98)), France continentale, Base Carbone; kgCO2e/tonne, Amont</v>
      </c>
      <c r="I195" s="1031" t="s">
        <v>1586</v>
      </c>
      <c r="J195" s="1032" t="s">
        <v>1585</v>
      </c>
      <c r="K195" s="1032" t="s">
        <v>1567</v>
      </c>
      <c r="L195" s="1032" t="s">
        <v>1571</v>
      </c>
      <c r="M195" s="1033">
        <v>0.05</v>
      </c>
      <c r="N195" s="1032" t="s">
        <v>1570</v>
      </c>
      <c r="O195" s="1036">
        <v>651</v>
      </c>
      <c r="P195" s="1036">
        <v>569</v>
      </c>
      <c r="Q195" s="1036">
        <v>58.5</v>
      </c>
      <c r="R195" s="1036">
        <v>0</v>
      </c>
      <c r="S195" s="1036">
        <v>23.9</v>
      </c>
      <c r="T195" s="1036">
        <v>0</v>
      </c>
      <c r="U195" s="1037">
        <v>-154.00137000000001</v>
      </c>
    </row>
    <row r="196" spans="4:21" hidden="1" outlineLevel="2">
      <c r="D196" s="1051">
        <f t="shared" si="28"/>
        <v>13</v>
      </c>
      <c r="E196" s="1051" t="str">
        <f>IF(COUNTIF(E$11:E195,F196)&gt;0,"",F196)</f>
        <v/>
      </c>
      <c r="F196" s="1051" t="str">
        <f t="shared" si="29"/>
        <v>Essence (Supercarburant sans plomb (95, 95-E10, 98)), France continentale, Base Carbone</v>
      </c>
      <c r="G196" s="1055" t="str">
        <f t="shared" si="30"/>
        <v>Essence (Supercarburant sans plomb (95, 95-E10, 98)), France continentale, Base Carbone; kgCO2e/litre, Combustion</v>
      </c>
      <c r="I196" s="1031" t="s">
        <v>1586</v>
      </c>
      <c r="J196" s="1032" t="s">
        <v>1574</v>
      </c>
      <c r="K196" s="1032" t="s">
        <v>1567</v>
      </c>
      <c r="L196" s="1032" t="s">
        <v>1571</v>
      </c>
      <c r="M196" s="1033">
        <v>0.1</v>
      </c>
      <c r="N196" s="1032" t="s">
        <v>1569</v>
      </c>
      <c r="O196" s="1036">
        <v>2.21</v>
      </c>
      <c r="P196" s="1036">
        <v>2.17</v>
      </c>
      <c r="Q196" s="1036">
        <v>1.77E-2</v>
      </c>
      <c r="R196" s="1036">
        <v>0</v>
      </c>
      <c r="S196" s="1036">
        <v>1.78E-2</v>
      </c>
      <c r="T196" s="1036">
        <v>0</v>
      </c>
      <c r="U196" s="1037">
        <v>0.12743299999999999</v>
      </c>
    </row>
    <row r="197" spans="4:21" hidden="1" outlineLevel="2">
      <c r="D197" s="1051">
        <f t="shared" si="28"/>
        <v>13</v>
      </c>
      <c r="E197" s="1051" t="str">
        <f>IF(COUNTIF(E$11:E196,F197)&gt;0,"",F197)</f>
        <v/>
      </c>
      <c r="F197" s="1051" t="str">
        <f t="shared" si="29"/>
        <v>Essence (Supercarburant sans plomb (95, 95-E10, 98)), France continentale, Base Carbone</v>
      </c>
      <c r="G197" s="1055" t="str">
        <f t="shared" si="30"/>
        <v>Essence (Supercarburant sans plomb (95, 95-E10, 98)), France continentale, Base Carbone; kgCO2e/litre, Amont</v>
      </c>
      <c r="I197" s="1031" t="s">
        <v>1586</v>
      </c>
      <c r="J197" s="1032" t="s">
        <v>1574</v>
      </c>
      <c r="K197" s="1032" t="s">
        <v>1567</v>
      </c>
      <c r="L197" s="1032" t="s">
        <v>1571</v>
      </c>
      <c r="M197" s="1033">
        <v>0.1</v>
      </c>
      <c r="N197" s="1032" t="s">
        <v>1570</v>
      </c>
      <c r="O197" s="1036">
        <v>0.49399999999999999</v>
      </c>
      <c r="P197" s="1036">
        <v>0.432</v>
      </c>
      <c r="Q197" s="1036">
        <v>4.3700000000000003E-2</v>
      </c>
      <c r="R197" s="1036">
        <v>0</v>
      </c>
      <c r="S197" s="1036">
        <v>1.78E-2</v>
      </c>
      <c r="T197" s="1036">
        <v>0</v>
      </c>
      <c r="U197" s="1037">
        <v>-0.12743299999999999</v>
      </c>
    </row>
    <row r="198" spans="4:21" hidden="1" outlineLevel="2">
      <c r="D198" s="1051">
        <f t="shared" si="28"/>
        <v>13</v>
      </c>
      <c r="E198" s="1051" t="str">
        <f>IF(COUNTIF(E$11:E197,F198)&gt;0,"",F198)</f>
        <v/>
      </c>
      <c r="F198" s="1051" t="str">
        <f t="shared" si="29"/>
        <v>Essence (Supercarburant sans plomb (95, 95-E10, 98)), France continentale, Base Carbone</v>
      </c>
      <c r="G198" s="1055" t="str">
        <f t="shared" si="30"/>
        <v>Essence (Supercarburant sans plomb (95, 95-E10, 98)), France continentale, Base Carbone; kgCO2e/kWh PCI, Combustion</v>
      </c>
      <c r="I198" s="1031" t="s">
        <v>1586</v>
      </c>
      <c r="J198" s="1032" t="s">
        <v>1573</v>
      </c>
      <c r="K198" s="1032" t="s">
        <v>1567</v>
      </c>
      <c r="L198" s="1032" t="s">
        <v>1571</v>
      </c>
      <c r="M198" s="1033">
        <v>0.05</v>
      </c>
      <c r="N198" s="1032" t="s">
        <v>1569</v>
      </c>
      <c r="O198" s="1036">
        <v>0.254</v>
      </c>
      <c r="P198" s="1036">
        <v>0.25</v>
      </c>
      <c r="Q198" s="1036">
        <v>2.0100000000000001E-3</v>
      </c>
      <c r="R198" s="1036">
        <v>0</v>
      </c>
      <c r="S198" s="1036">
        <v>2.1199999999999999E-3</v>
      </c>
      <c r="T198" s="1036">
        <v>0</v>
      </c>
      <c r="U198" s="1037">
        <v>1.3428000000000001E-2</v>
      </c>
    </row>
    <row r="199" spans="4:21" hidden="1" outlineLevel="2">
      <c r="D199" s="1051">
        <f t="shared" si="28"/>
        <v>13</v>
      </c>
      <c r="E199" s="1051" t="str">
        <f>IF(COUNTIF(E$11:E198,F199)&gt;0,"",F199)</f>
        <v/>
      </c>
      <c r="F199" s="1051" t="str">
        <f t="shared" si="29"/>
        <v>Essence (Supercarburant sans plomb (95, 95-E10, 98)), France continentale, Base Carbone</v>
      </c>
      <c r="G199" s="1055" t="str">
        <f t="shared" si="30"/>
        <v>Essence (Supercarburant sans plomb (95, 95-E10, 98)), France continentale, Base Carbone; kgCO2e/kWh PCI, Amont</v>
      </c>
      <c r="I199" s="1031" t="s">
        <v>1586</v>
      </c>
      <c r="J199" s="1032" t="s">
        <v>1573</v>
      </c>
      <c r="K199" s="1032" t="s">
        <v>1567</v>
      </c>
      <c r="L199" s="1032" t="s">
        <v>1571</v>
      </c>
      <c r="M199" s="1033">
        <v>0.05</v>
      </c>
      <c r="N199" s="1032" t="s">
        <v>1570</v>
      </c>
      <c r="O199" s="1036">
        <v>5.7099999999999998E-2</v>
      </c>
      <c r="P199" s="1036">
        <v>0.05</v>
      </c>
      <c r="Q199" s="1036">
        <v>4.9500000000000004E-3</v>
      </c>
      <c r="R199" s="1036">
        <v>0</v>
      </c>
      <c r="S199" s="1036">
        <v>2.1199999999999999E-3</v>
      </c>
      <c r="T199" s="1036">
        <v>0</v>
      </c>
      <c r="U199" s="1037">
        <v>-1.3428000000000001E-2</v>
      </c>
    </row>
    <row r="200" spans="4:21" hidden="1" outlineLevel="2">
      <c r="D200" s="1051">
        <f t="shared" si="28"/>
        <v>14</v>
      </c>
      <c r="E200" s="1051" t="str">
        <f>IF(COUNTIF(E$11:E199,F200)&gt;0,"",F200)</f>
        <v>Essence (Supercarburant sans plomb (95, 95-E10, 98)), Polynésie Française, Base Carbone</v>
      </c>
      <c r="F200" s="1051" t="str">
        <f t="shared" si="29"/>
        <v>Essence (Supercarburant sans plomb (95, 95-E10, 98)), Polynésie Française, Base Carbone</v>
      </c>
      <c r="G200" s="1055" t="str">
        <f t="shared" si="30"/>
        <v>Essence (Supercarburant sans plomb (95, 95-E10, 98)), Polynésie Française, Base Carbone; kgCO2e/kg, Combustion</v>
      </c>
      <c r="I200" s="1031" t="s">
        <v>1586</v>
      </c>
      <c r="J200" s="2017" t="s">
        <v>1572</v>
      </c>
      <c r="K200" s="1032" t="s">
        <v>1567</v>
      </c>
      <c r="L200" s="1032" t="s">
        <v>637</v>
      </c>
      <c r="M200" s="2039">
        <v>0.05</v>
      </c>
      <c r="N200" s="1032" t="s">
        <v>1569</v>
      </c>
      <c r="O200" s="1980">
        <v>3.21</v>
      </c>
      <c r="P200" s="1980">
        <f>O200</f>
        <v>3.21</v>
      </c>
      <c r="Q200" s="1980">
        <v>0</v>
      </c>
      <c r="R200" s="1980">
        <v>0</v>
      </c>
      <c r="S200" s="1980">
        <v>0</v>
      </c>
      <c r="T200" s="1980">
        <v>0</v>
      </c>
      <c r="U200" s="2036">
        <v>0</v>
      </c>
    </row>
    <row r="201" spans="4:21" hidden="1" outlineLevel="2">
      <c r="D201" s="1051">
        <f t="shared" si="28"/>
        <v>14</v>
      </c>
      <c r="E201" s="1051" t="str">
        <f>IF(COUNTIF(E$11:E200,F201)&gt;0,"",F201)</f>
        <v/>
      </c>
      <c r="F201" s="1051" t="str">
        <f t="shared" si="29"/>
        <v>Essence (Supercarburant sans plomb (95, 95-E10, 98)), Polynésie Française, Base Carbone</v>
      </c>
      <c r="G201" s="1055" t="str">
        <f t="shared" si="30"/>
        <v>Essence (Supercarburant sans plomb (95, 95-E10, 98)), Polynésie Française, Base Carbone; kgCO2e/kg, Amont</v>
      </c>
      <c r="I201" s="1031" t="s">
        <v>1586</v>
      </c>
      <c r="J201" s="2017" t="s">
        <v>1572</v>
      </c>
      <c r="K201" s="1032" t="s">
        <v>1567</v>
      </c>
      <c r="L201" s="1032" t="s">
        <v>637</v>
      </c>
      <c r="M201" s="2039">
        <v>0.05</v>
      </c>
      <c r="N201" s="1032" t="s">
        <v>1570</v>
      </c>
      <c r="O201" s="1980">
        <v>0.70899999999999996</v>
      </c>
      <c r="P201" s="1980">
        <f t="shared" ref="P201:P231" si="31">O201</f>
        <v>0.70899999999999996</v>
      </c>
      <c r="Q201" s="1980">
        <v>0</v>
      </c>
      <c r="R201" s="1980">
        <v>0</v>
      </c>
      <c r="S201" s="1980">
        <v>0</v>
      </c>
      <c r="T201" s="1980">
        <v>0</v>
      </c>
      <c r="U201" s="2036">
        <v>0</v>
      </c>
    </row>
    <row r="202" spans="4:21" hidden="1" outlineLevel="2">
      <c r="D202" s="1051">
        <f t="shared" si="28"/>
        <v>14</v>
      </c>
      <c r="E202" s="1051" t="str">
        <f>IF(COUNTIF(E$11:E201,F202)&gt;0,"",F202)</f>
        <v/>
      </c>
      <c r="F202" s="1051" t="str">
        <f t="shared" si="29"/>
        <v>Essence (Supercarburant sans plomb (95, 95-E10, 98)), Polynésie Française, Base Carbone</v>
      </c>
      <c r="G202" s="1055" t="str">
        <f t="shared" si="30"/>
        <v>Essence (Supercarburant sans plomb (95, 95-E10, 98)), Polynésie Française, Base Carbone; kgCO2e/kWh PCI, Combustion</v>
      </c>
      <c r="I202" s="1031" t="s">
        <v>1586</v>
      </c>
      <c r="J202" s="1032" t="s">
        <v>1573</v>
      </c>
      <c r="K202" s="1032" t="s">
        <v>1567</v>
      </c>
      <c r="L202" s="1032" t="s">
        <v>637</v>
      </c>
      <c r="M202" s="2039">
        <v>0.05</v>
      </c>
      <c r="N202" s="1032" t="s">
        <v>1569</v>
      </c>
      <c r="O202" s="1036">
        <v>0.26300000000000001</v>
      </c>
      <c r="P202" s="1980">
        <f t="shared" si="31"/>
        <v>0.26300000000000001</v>
      </c>
      <c r="Q202" s="1980">
        <v>0</v>
      </c>
      <c r="R202" s="1980">
        <v>0</v>
      </c>
      <c r="S202" s="1980">
        <v>0</v>
      </c>
      <c r="T202" s="1980">
        <v>0</v>
      </c>
      <c r="U202" s="2036">
        <v>0</v>
      </c>
    </row>
    <row r="203" spans="4:21" hidden="1" outlineLevel="2">
      <c r="D203" s="1051">
        <f t="shared" si="28"/>
        <v>14</v>
      </c>
      <c r="E203" s="1051" t="str">
        <f>IF(COUNTIF(E$11:E202,F203)&gt;0,"",F203)</f>
        <v/>
      </c>
      <c r="F203" s="1051" t="str">
        <f t="shared" si="29"/>
        <v>Essence (Supercarburant sans plomb (95, 95-E10, 98)), Polynésie Française, Base Carbone</v>
      </c>
      <c r="G203" s="1055" t="str">
        <f t="shared" si="30"/>
        <v>Essence (Supercarburant sans plomb (95, 95-E10, 98)), Polynésie Française, Base Carbone; kgCO2e/kWh PCI, Amont</v>
      </c>
      <c r="I203" s="1031" t="s">
        <v>1586</v>
      </c>
      <c r="J203" s="1032" t="s">
        <v>1573</v>
      </c>
      <c r="K203" s="1032" t="s">
        <v>1567</v>
      </c>
      <c r="L203" s="1032" t="s">
        <v>637</v>
      </c>
      <c r="M203" s="2039">
        <v>0.05</v>
      </c>
      <c r="N203" s="1032" t="s">
        <v>1570</v>
      </c>
      <c r="O203" s="1036">
        <v>5.8000000000000003E-2</v>
      </c>
      <c r="P203" s="1980">
        <f t="shared" si="31"/>
        <v>5.8000000000000003E-2</v>
      </c>
      <c r="Q203" s="1980">
        <v>0</v>
      </c>
      <c r="R203" s="1980">
        <v>0</v>
      </c>
      <c r="S203" s="1980">
        <v>0</v>
      </c>
      <c r="T203" s="1980">
        <v>0</v>
      </c>
      <c r="U203" s="2036">
        <v>0</v>
      </c>
    </row>
    <row r="204" spans="4:21" hidden="1" outlineLevel="2">
      <c r="D204" s="1051">
        <f t="shared" si="28"/>
        <v>14</v>
      </c>
      <c r="E204" s="1051" t="str">
        <f>IF(COUNTIF(E$11:E203,F204)&gt;0,"",F204)</f>
        <v/>
      </c>
      <c r="F204" s="1051" t="str">
        <f t="shared" si="29"/>
        <v>Essence (Supercarburant sans plomb (95, 95-E10, 98)), Polynésie Française, Base Carbone</v>
      </c>
      <c r="G204" s="1055" t="str">
        <f t="shared" si="30"/>
        <v>Essence (Supercarburant sans plomb (95, 95-E10, 98)), Polynésie Française, Base Carbone; kgCO2e/tep PCI, Combustion</v>
      </c>
      <c r="I204" s="1031" t="s">
        <v>1586</v>
      </c>
      <c r="J204" s="1032" t="s">
        <v>1575</v>
      </c>
      <c r="K204" s="1032" t="s">
        <v>1567</v>
      </c>
      <c r="L204" s="1032" t="s">
        <v>637</v>
      </c>
      <c r="M204" s="2039">
        <v>0.05</v>
      </c>
      <c r="N204" s="1032" t="s">
        <v>1569</v>
      </c>
      <c r="O204" s="1036">
        <v>3060</v>
      </c>
      <c r="P204" s="1980">
        <f t="shared" si="31"/>
        <v>3060</v>
      </c>
      <c r="Q204" s="1980">
        <v>0</v>
      </c>
      <c r="R204" s="1980">
        <v>0</v>
      </c>
      <c r="S204" s="1980">
        <v>0</v>
      </c>
      <c r="T204" s="1980">
        <v>0</v>
      </c>
      <c r="U204" s="2036">
        <v>0</v>
      </c>
    </row>
    <row r="205" spans="4:21" hidden="1" outlineLevel="2">
      <c r="D205" s="1051">
        <f t="shared" si="28"/>
        <v>14</v>
      </c>
      <c r="E205" s="1051" t="str">
        <f>IF(COUNTIF(E$11:E204,F205)&gt;0,"",F205)</f>
        <v/>
      </c>
      <c r="F205" s="1051" t="str">
        <f t="shared" si="29"/>
        <v>Essence (Supercarburant sans plomb (95, 95-E10, 98)), Polynésie Française, Base Carbone</v>
      </c>
      <c r="G205" s="1055" t="str">
        <f t="shared" si="30"/>
        <v>Essence (Supercarburant sans plomb (95, 95-E10, 98)), Polynésie Française, Base Carbone; kgCO2e/tep PCI, Amont</v>
      </c>
      <c r="I205" s="1031" t="s">
        <v>1586</v>
      </c>
      <c r="J205" s="1032" t="s">
        <v>1575</v>
      </c>
      <c r="K205" s="1032" t="s">
        <v>1567</v>
      </c>
      <c r="L205" s="1032" t="s">
        <v>637</v>
      </c>
      <c r="M205" s="2039">
        <v>0.05</v>
      </c>
      <c r="N205" s="1032" t="s">
        <v>1570</v>
      </c>
      <c r="O205" s="1036">
        <v>675</v>
      </c>
      <c r="P205" s="1980">
        <f t="shared" si="31"/>
        <v>675</v>
      </c>
      <c r="Q205" s="1980">
        <v>0</v>
      </c>
      <c r="R205" s="1980">
        <v>0</v>
      </c>
      <c r="S205" s="1980">
        <v>0</v>
      </c>
      <c r="T205" s="1980">
        <v>0</v>
      </c>
      <c r="U205" s="2036">
        <v>0</v>
      </c>
    </row>
    <row r="206" spans="4:21" hidden="1" outlineLevel="2">
      <c r="D206" s="1051">
        <f t="shared" si="28"/>
        <v>14</v>
      </c>
      <c r="E206" s="1051" t="str">
        <f>IF(COUNTIF(E$11:E205,F206)&gt;0,"",F206)</f>
        <v/>
      </c>
      <c r="F206" s="1051" t="str">
        <f t="shared" si="29"/>
        <v>Essence (Supercarburant sans plomb (95, 95-E10, 98)), Polynésie Française, Base Carbone</v>
      </c>
      <c r="G206" s="1055" t="str">
        <f t="shared" si="30"/>
        <v>Essence (Supercarburant sans plomb (95, 95-E10, 98)), Polynésie Française, Base Carbone; kgCO2e/litre, Combustion</v>
      </c>
      <c r="I206" s="1031" t="s">
        <v>1586</v>
      </c>
      <c r="J206" s="1032" t="s">
        <v>1574</v>
      </c>
      <c r="K206" s="1032" t="s">
        <v>1567</v>
      </c>
      <c r="L206" s="1032" t="s">
        <v>637</v>
      </c>
      <c r="M206" s="2039">
        <v>0.1</v>
      </c>
      <c r="N206" s="1032" t="s">
        <v>1569</v>
      </c>
      <c r="O206" s="1036">
        <v>2.4300000000000002</v>
      </c>
      <c r="P206" s="1980">
        <f t="shared" si="31"/>
        <v>2.4300000000000002</v>
      </c>
      <c r="Q206" s="1980">
        <v>0</v>
      </c>
      <c r="R206" s="1980">
        <v>0</v>
      </c>
      <c r="S206" s="1980">
        <v>0</v>
      </c>
      <c r="T206" s="1980">
        <v>0</v>
      </c>
      <c r="U206" s="2036">
        <v>0</v>
      </c>
    </row>
    <row r="207" spans="4:21" hidden="1" outlineLevel="2">
      <c r="D207" s="1051">
        <f t="shared" si="28"/>
        <v>14</v>
      </c>
      <c r="E207" s="1051" t="str">
        <f>IF(COUNTIF(E$11:E206,F207)&gt;0,"",F207)</f>
        <v/>
      </c>
      <c r="F207" s="1051" t="str">
        <f t="shared" si="29"/>
        <v>Essence (Supercarburant sans plomb (95, 95-E10, 98)), Polynésie Française, Base Carbone</v>
      </c>
      <c r="G207" s="1055" t="str">
        <f t="shared" si="30"/>
        <v>Essence (Supercarburant sans plomb (95, 95-E10, 98)), Polynésie Française, Base Carbone; kgCO2e/litre, Amont</v>
      </c>
      <c r="I207" s="1031" t="s">
        <v>1586</v>
      </c>
      <c r="J207" s="1032" t="s">
        <v>1574</v>
      </c>
      <c r="K207" s="1032" t="s">
        <v>1567</v>
      </c>
      <c r="L207" s="1032" t="s">
        <v>637</v>
      </c>
      <c r="M207" s="2039">
        <v>0.1</v>
      </c>
      <c r="N207" s="1032" t="s">
        <v>1570</v>
      </c>
      <c r="O207" s="1036">
        <v>0.53500000000000003</v>
      </c>
      <c r="P207" s="1980">
        <f t="shared" si="31"/>
        <v>0.53500000000000003</v>
      </c>
      <c r="Q207" s="1980">
        <v>0</v>
      </c>
      <c r="R207" s="1980">
        <v>0</v>
      </c>
      <c r="S207" s="1980">
        <v>0</v>
      </c>
      <c r="T207" s="1980">
        <v>0</v>
      </c>
      <c r="U207" s="2036">
        <v>0</v>
      </c>
    </row>
    <row r="208" spans="4:21" hidden="1" outlineLevel="2">
      <c r="D208" s="1051">
        <f t="shared" si="28"/>
        <v>15</v>
      </c>
      <c r="E208" s="1051" t="str">
        <f>IF(COUNTIF(E$11:E207,F208)&gt;0,"",F208)</f>
        <v>Essence (Supercarburant sans plomb (95, 95-E10, 98)), Réunion, Base Carbone</v>
      </c>
      <c r="F208" s="1051" t="str">
        <f t="shared" si="29"/>
        <v>Essence (Supercarburant sans plomb (95, 95-E10, 98)), Réunion, Base Carbone</v>
      </c>
      <c r="G208" s="1055" t="str">
        <f t="shared" si="30"/>
        <v>Essence (Supercarburant sans plomb (95, 95-E10, 98)), Réunion, Base Carbone; kgCO2e/kg, Combustion</v>
      </c>
      <c r="I208" s="1031" t="s">
        <v>1586</v>
      </c>
      <c r="J208" s="2017" t="s">
        <v>1572</v>
      </c>
      <c r="K208" s="1032" t="s">
        <v>1567</v>
      </c>
      <c r="L208" s="1032" t="s">
        <v>785</v>
      </c>
      <c r="M208" s="2039">
        <v>0.05</v>
      </c>
      <c r="N208" s="1032" t="s">
        <v>1569</v>
      </c>
      <c r="O208" s="1980">
        <v>3.21</v>
      </c>
      <c r="P208" s="1980">
        <f t="shared" si="31"/>
        <v>3.21</v>
      </c>
      <c r="Q208" s="1980">
        <v>0</v>
      </c>
      <c r="R208" s="1980">
        <v>0</v>
      </c>
      <c r="S208" s="1980">
        <v>0</v>
      </c>
      <c r="T208" s="1980">
        <v>0</v>
      </c>
      <c r="U208" s="2036">
        <v>0</v>
      </c>
    </row>
    <row r="209" spans="4:21" hidden="1" outlineLevel="2">
      <c r="D209" s="1051">
        <f t="shared" si="28"/>
        <v>15</v>
      </c>
      <c r="E209" s="1051" t="str">
        <f>IF(COUNTIF(E$11:E208,F209)&gt;0,"",F209)</f>
        <v/>
      </c>
      <c r="F209" s="1051" t="str">
        <f t="shared" si="29"/>
        <v>Essence (Supercarburant sans plomb (95, 95-E10, 98)), Réunion, Base Carbone</v>
      </c>
      <c r="G209" s="1055" t="str">
        <f t="shared" si="30"/>
        <v>Essence (Supercarburant sans plomb (95, 95-E10, 98)), Réunion, Base Carbone; kgCO2e/kg, Amont</v>
      </c>
      <c r="I209" s="1031" t="s">
        <v>1586</v>
      </c>
      <c r="J209" s="2017" t="s">
        <v>1572</v>
      </c>
      <c r="K209" s="1032" t="s">
        <v>1567</v>
      </c>
      <c r="L209" s="1032" t="s">
        <v>785</v>
      </c>
      <c r="M209" s="2039">
        <v>0.05</v>
      </c>
      <c r="N209" s="1032" t="s">
        <v>1570</v>
      </c>
      <c r="O209" s="1980">
        <v>0.64200000000000002</v>
      </c>
      <c r="P209" s="1980">
        <f t="shared" si="31"/>
        <v>0.64200000000000002</v>
      </c>
      <c r="Q209" s="1980">
        <v>0</v>
      </c>
      <c r="R209" s="1980">
        <v>0</v>
      </c>
      <c r="S209" s="1980">
        <v>0</v>
      </c>
      <c r="T209" s="1980">
        <v>0</v>
      </c>
      <c r="U209" s="2036">
        <v>0</v>
      </c>
    </row>
    <row r="210" spans="4:21" hidden="1" outlineLevel="2">
      <c r="D210" s="1051">
        <f t="shared" si="28"/>
        <v>15</v>
      </c>
      <c r="E210" s="1051" t="str">
        <f>IF(COUNTIF(E$11:E209,F210)&gt;0,"",F210)</f>
        <v/>
      </c>
      <c r="F210" s="1051" t="str">
        <f t="shared" si="29"/>
        <v>Essence (Supercarburant sans plomb (95, 95-E10, 98)), Réunion, Base Carbone</v>
      </c>
      <c r="G210" s="1055" t="str">
        <f t="shared" si="30"/>
        <v>Essence (Supercarburant sans plomb (95, 95-E10, 98)), Réunion, Base Carbone; kgCO2e/kWh PCI, Combustion</v>
      </c>
      <c r="I210" s="1031" t="s">
        <v>1586</v>
      </c>
      <c r="J210" s="1032" t="s">
        <v>1573</v>
      </c>
      <c r="K210" s="1032" t="s">
        <v>1567</v>
      </c>
      <c r="L210" s="1032" t="s">
        <v>785</v>
      </c>
      <c r="M210" s="2039">
        <v>0.05</v>
      </c>
      <c r="N210" s="1032" t="s">
        <v>1569</v>
      </c>
      <c r="O210" s="1036">
        <v>0.26400000000000001</v>
      </c>
      <c r="P210" s="1980">
        <f t="shared" si="31"/>
        <v>0.26400000000000001</v>
      </c>
      <c r="Q210" s="1980">
        <v>0</v>
      </c>
      <c r="R210" s="1980">
        <v>0</v>
      </c>
      <c r="S210" s="1980">
        <v>0</v>
      </c>
      <c r="T210" s="1980">
        <v>0</v>
      </c>
      <c r="U210" s="2036">
        <v>0</v>
      </c>
    </row>
    <row r="211" spans="4:21" hidden="1" outlineLevel="2">
      <c r="D211" s="1051">
        <f t="shared" si="28"/>
        <v>15</v>
      </c>
      <c r="E211" s="1051" t="str">
        <f>IF(COUNTIF(E$11:E210,F211)&gt;0,"",F211)</f>
        <v/>
      </c>
      <c r="F211" s="1051" t="str">
        <f t="shared" si="29"/>
        <v>Essence (Supercarburant sans plomb (95, 95-E10, 98)), Réunion, Base Carbone</v>
      </c>
      <c r="G211" s="1055" t="str">
        <f t="shared" si="30"/>
        <v>Essence (Supercarburant sans plomb (95, 95-E10, 98)), Réunion, Base Carbone; kgCO2e/kWh PCI, Amont</v>
      </c>
      <c r="I211" s="1031" t="s">
        <v>1586</v>
      </c>
      <c r="J211" s="1032" t="s">
        <v>1573</v>
      </c>
      <c r="K211" s="1032" t="s">
        <v>1567</v>
      </c>
      <c r="L211" s="1032" t="s">
        <v>785</v>
      </c>
      <c r="M211" s="2039">
        <v>0.05</v>
      </c>
      <c r="N211" s="1032" t="s">
        <v>1570</v>
      </c>
      <c r="O211" s="1036">
        <v>5.1299999999999998E-2</v>
      </c>
      <c r="P211" s="1980">
        <f t="shared" si="31"/>
        <v>5.1299999999999998E-2</v>
      </c>
      <c r="Q211" s="1980">
        <v>0</v>
      </c>
      <c r="R211" s="1980">
        <v>0</v>
      </c>
      <c r="S211" s="1980">
        <v>0</v>
      </c>
      <c r="T211" s="1980">
        <v>0</v>
      </c>
      <c r="U211" s="2036">
        <v>0</v>
      </c>
    </row>
    <row r="212" spans="4:21" hidden="1" outlineLevel="2">
      <c r="D212" s="1051">
        <f t="shared" si="28"/>
        <v>15</v>
      </c>
      <c r="E212" s="1051" t="str">
        <f>IF(COUNTIF(E$11:E211,F212)&gt;0,"",F212)</f>
        <v/>
      </c>
      <c r="F212" s="1051" t="str">
        <f t="shared" si="29"/>
        <v>Essence (Supercarburant sans plomb (95, 95-E10, 98)), Réunion, Base Carbone</v>
      </c>
      <c r="G212" s="1055" t="str">
        <f t="shared" si="30"/>
        <v>Essence (Supercarburant sans plomb (95, 95-E10, 98)), Réunion, Base Carbone; kgCO2e/tep PCI, Combustion</v>
      </c>
      <c r="I212" s="1031" t="s">
        <v>1586</v>
      </c>
      <c r="J212" s="1032" t="s">
        <v>1575</v>
      </c>
      <c r="K212" s="1032" t="s">
        <v>1567</v>
      </c>
      <c r="L212" s="1032" t="s">
        <v>785</v>
      </c>
      <c r="M212" s="2039">
        <v>0.05</v>
      </c>
      <c r="N212" s="1032" t="s">
        <v>1569</v>
      </c>
      <c r="O212" s="1036">
        <v>3070</v>
      </c>
      <c r="P212" s="1980">
        <f t="shared" si="31"/>
        <v>3070</v>
      </c>
      <c r="Q212" s="1980">
        <v>0</v>
      </c>
      <c r="R212" s="1980">
        <v>0</v>
      </c>
      <c r="S212" s="1980">
        <v>0</v>
      </c>
      <c r="T212" s="1980">
        <v>0</v>
      </c>
      <c r="U212" s="2036">
        <v>0</v>
      </c>
    </row>
    <row r="213" spans="4:21" hidden="1" outlineLevel="2">
      <c r="D213" s="1051">
        <f t="shared" si="28"/>
        <v>15</v>
      </c>
      <c r="E213" s="1051" t="str">
        <f>IF(COUNTIF(E$11:E212,F213)&gt;0,"",F213)</f>
        <v/>
      </c>
      <c r="F213" s="1051" t="str">
        <f t="shared" si="29"/>
        <v>Essence (Supercarburant sans plomb (95, 95-E10, 98)), Réunion, Base Carbone</v>
      </c>
      <c r="G213" s="1055" t="str">
        <f t="shared" si="30"/>
        <v>Essence (Supercarburant sans plomb (95, 95-E10, 98)), Réunion, Base Carbone; kgCO2e/tep PCI, Amont</v>
      </c>
      <c r="I213" s="1031" t="s">
        <v>1586</v>
      </c>
      <c r="J213" s="1032" t="s">
        <v>1575</v>
      </c>
      <c r="K213" s="1032" t="s">
        <v>1567</v>
      </c>
      <c r="L213" s="1032" t="s">
        <v>785</v>
      </c>
      <c r="M213" s="2039">
        <v>0.05</v>
      </c>
      <c r="N213" s="1032" t="s">
        <v>1570</v>
      </c>
      <c r="O213" s="1036">
        <v>612</v>
      </c>
      <c r="P213" s="1980">
        <f t="shared" si="31"/>
        <v>612</v>
      </c>
      <c r="Q213" s="1980">
        <v>0</v>
      </c>
      <c r="R213" s="1980">
        <v>0</v>
      </c>
      <c r="S213" s="1980">
        <v>0</v>
      </c>
      <c r="T213" s="1980">
        <v>0</v>
      </c>
      <c r="U213" s="2036">
        <v>0</v>
      </c>
    </row>
    <row r="214" spans="4:21" hidden="1" outlineLevel="2">
      <c r="D214" s="1051">
        <f t="shared" si="28"/>
        <v>15</v>
      </c>
      <c r="E214" s="1051" t="str">
        <f>IF(COUNTIF(E$11:E213,F214)&gt;0,"",F214)</f>
        <v/>
      </c>
      <c r="F214" s="1051" t="str">
        <f t="shared" si="29"/>
        <v>Essence (Supercarburant sans plomb (95, 95-E10, 98)), Réunion, Base Carbone</v>
      </c>
      <c r="G214" s="1055" t="str">
        <f t="shared" si="30"/>
        <v>Essence (Supercarburant sans plomb (95, 95-E10, 98)), Réunion, Base Carbone; kgCO2e/litre, Combustion</v>
      </c>
      <c r="I214" s="1031" t="s">
        <v>1586</v>
      </c>
      <c r="J214" s="1032" t="s">
        <v>1574</v>
      </c>
      <c r="K214" s="1032" t="s">
        <v>1567</v>
      </c>
      <c r="L214" s="1032" t="s">
        <v>785</v>
      </c>
      <c r="M214" s="2039">
        <v>0.1</v>
      </c>
      <c r="N214" s="1032" t="s">
        <v>1569</v>
      </c>
      <c r="O214" s="1036">
        <v>2.4300000000000002</v>
      </c>
      <c r="P214" s="1980">
        <f t="shared" si="31"/>
        <v>2.4300000000000002</v>
      </c>
      <c r="Q214" s="1980">
        <v>0</v>
      </c>
      <c r="R214" s="1980">
        <v>0</v>
      </c>
      <c r="S214" s="1980">
        <v>0</v>
      </c>
      <c r="T214" s="1980">
        <v>0</v>
      </c>
      <c r="U214" s="2036">
        <v>0</v>
      </c>
    </row>
    <row r="215" spans="4:21" hidden="1" outlineLevel="2">
      <c r="D215" s="1051">
        <f t="shared" si="28"/>
        <v>15</v>
      </c>
      <c r="E215" s="1051" t="str">
        <f>IF(COUNTIF(E$11:E214,F215)&gt;0,"",F215)</f>
        <v/>
      </c>
      <c r="F215" s="1051" t="str">
        <f t="shared" si="29"/>
        <v>Essence (Supercarburant sans plomb (95, 95-E10, 98)), Réunion, Base Carbone</v>
      </c>
      <c r="G215" s="1055" t="str">
        <f t="shared" si="30"/>
        <v>Essence (Supercarburant sans plomb (95, 95-E10, 98)), Réunion, Base Carbone; kgCO2e/litre, Amont</v>
      </c>
      <c r="I215" s="1031" t="s">
        <v>1586</v>
      </c>
      <c r="J215" s="1032" t="s">
        <v>1574</v>
      </c>
      <c r="K215" s="1032" t="s">
        <v>1567</v>
      </c>
      <c r="L215" s="1032" t="s">
        <v>785</v>
      </c>
      <c r="M215" s="2039">
        <v>0.1</v>
      </c>
      <c r="N215" s="1032" t="s">
        <v>1570</v>
      </c>
      <c r="O215" s="1036">
        <v>0.47199999999999998</v>
      </c>
      <c r="P215" s="1980">
        <f t="shared" si="31"/>
        <v>0.47199999999999998</v>
      </c>
      <c r="Q215" s="1980">
        <v>0</v>
      </c>
      <c r="R215" s="1980">
        <v>0</v>
      </c>
      <c r="S215" s="1980">
        <v>0</v>
      </c>
      <c r="T215" s="1980">
        <v>0</v>
      </c>
      <c r="U215" s="2036">
        <v>0</v>
      </c>
    </row>
    <row r="216" spans="4:21" hidden="1" outlineLevel="2">
      <c r="D216" s="1051">
        <f t="shared" si="28"/>
        <v>16</v>
      </c>
      <c r="E216" s="1051" t="str">
        <f>IF(COUNTIF(E$11:E215,F216)&gt;0,"",F216)</f>
        <v>Essence (Supercarburant sans plomb (95, 95-E10, 98)), Guadeloupe, Martinique, Guyane, Corse, Base Carbone</v>
      </c>
      <c r="F216" s="1051" t="str">
        <f t="shared" si="29"/>
        <v>Essence (Supercarburant sans plomb (95, 95-E10, 98)), Guadeloupe, Martinique, Guyane, Corse, Base Carbone</v>
      </c>
      <c r="G216" s="1055" t="str">
        <f t="shared" si="30"/>
        <v>Essence (Supercarburant sans plomb (95, 95-E10, 98)), Guadeloupe, Martinique, Guyane, Corse, Base Carbone; kgCO2e/kg, Combustion</v>
      </c>
      <c r="I216" s="1031" t="s">
        <v>1586</v>
      </c>
      <c r="J216" s="2017" t="s">
        <v>1572</v>
      </c>
      <c r="K216" s="1032" t="s">
        <v>1567</v>
      </c>
      <c r="L216" s="1032" t="s">
        <v>3084</v>
      </c>
      <c r="M216" s="2039">
        <v>0.05</v>
      </c>
      <c r="N216" s="1032" t="s">
        <v>1569</v>
      </c>
      <c r="O216" s="1980">
        <v>3.21</v>
      </c>
      <c r="P216" s="1980">
        <f t="shared" si="31"/>
        <v>3.21</v>
      </c>
      <c r="Q216" s="1980">
        <v>0</v>
      </c>
      <c r="R216" s="1980">
        <v>0</v>
      </c>
      <c r="S216" s="1980">
        <v>0</v>
      </c>
      <c r="T216" s="1980">
        <v>0</v>
      </c>
      <c r="U216" s="2036">
        <v>0</v>
      </c>
    </row>
    <row r="217" spans="4:21" hidden="1" outlineLevel="2">
      <c r="D217" s="1051">
        <f t="shared" si="28"/>
        <v>16</v>
      </c>
      <c r="E217" s="1051" t="str">
        <f>IF(COUNTIF(E$11:E216,F217)&gt;0,"",F217)</f>
        <v/>
      </c>
      <c r="F217" s="1051" t="str">
        <f t="shared" si="29"/>
        <v>Essence (Supercarburant sans plomb (95, 95-E10, 98)), Guadeloupe, Martinique, Guyane, Corse, Base Carbone</v>
      </c>
      <c r="G217" s="1055" t="str">
        <f t="shared" si="30"/>
        <v>Essence (Supercarburant sans plomb (95, 95-E10, 98)), Guadeloupe, Martinique, Guyane, Corse, Base Carbone; kgCO2e/kg, Amont</v>
      </c>
      <c r="I217" s="1031" t="s">
        <v>1586</v>
      </c>
      <c r="J217" s="2017" t="s">
        <v>1572</v>
      </c>
      <c r="K217" s="1032" t="s">
        <v>1567</v>
      </c>
      <c r="L217" s="1032" t="s">
        <v>3084</v>
      </c>
      <c r="M217" s="2039">
        <v>0.05</v>
      </c>
      <c r="N217" s="1032" t="s">
        <v>1570</v>
      </c>
      <c r="O217" s="1980">
        <v>0.54600000000000004</v>
      </c>
      <c r="P217" s="1980">
        <f t="shared" si="31"/>
        <v>0.54600000000000004</v>
      </c>
      <c r="Q217" s="1980">
        <v>0</v>
      </c>
      <c r="R217" s="1980">
        <v>0</v>
      </c>
      <c r="S217" s="1980">
        <v>0</v>
      </c>
      <c r="T217" s="1980">
        <v>0</v>
      </c>
      <c r="U217" s="2036">
        <v>0</v>
      </c>
    </row>
    <row r="218" spans="4:21" hidden="1" outlineLevel="2">
      <c r="D218" s="1051">
        <f t="shared" si="28"/>
        <v>16</v>
      </c>
      <c r="E218" s="1051" t="str">
        <f>IF(COUNTIF(E$11:E217,F218)&gt;0,"",F218)</f>
        <v/>
      </c>
      <c r="F218" s="1051" t="str">
        <f t="shared" si="29"/>
        <v>Essence (Supercarburant sans plomb (95, 95-E10, 98)), Guadeloupe, Martinique, Guyane, Corse, Base Carbone</v>
      </c>
      <c r="G218" s="1055" t="str">
        <f t="shared" si="30"/>
        <v>Essence (Supercarburant sans plomb (95, 95-E10, 98)), Guadeloupe, Martinique, Guyane, Corse, Base Carbone; kgCO2e/kWh PCI, Combustion</v>
      </c>
      <c r="I218" s="1031" t="s">
        <v>1586</v>
      </c>
      <c r="J218" s="1032" t="s">
        <v>1573</v>
      </c>
      <c r="K218" s="1032" t="s">
        <v>1567</v>
      </c>
      <c r="L218" s="1032" t="s">
        <v>3084</v>
      </c>
      <c r="M218" s="2039">
        <v>0.05</v>
      </c>
      <c r="N218" s="1032" t="s">
        <v>1569</v>
      </c>
      <c r="O218" s="1036">
        <v>0.26400000000000001</v>
      </c>
      <c r="P218" s="1980">
        <f t="shared" si="31"/>
        <v>0.26400000000000001</v>
      </c>
      <c r="Q218" s="1980">
        <v>0</v>
      </c>
      <c r="R218" s="1980">
        <v>0</v>
      </c>
      <c r="S218" s="1980">
        <v>0</v>
      </c>
      <c r="T218" s="1980">
        <v>0</v>
      </c>
      <c r="U218" s="2036">
        <v>0</v>
      </c>
    </row>
    <row r="219" spans="4:21" hidden="1" outlineLevel="2">
      <c r="D219" s="1051">
        <f t="shared" si="28"/>
        <v>16</v>
      </c>
      <c r="E219" s="1051" t="str">
        <f>IF(COUNTIF(E$11:E218,F219)&gt;0,"",F219)</f>
        <v/>
      </c>
      <c r="F219" s="1051" t="str">
        <f t="shared" si="29"/>
        <v>Essence (Supercarburant sans plomb (95, 95-E10, 98)), Guadeloupe, Martinique, Guyane, Corse, Base Carbone</v>
      </c>
      <c r="G219" s="1055" t="str">
        <f t="shared" si="30"/>
        <v>Essence (Supercarburant sans plomb (95, 95-E10, 98)), Guadeloupe, Martinique, Guyane, Corse, Base Carbone; kgCO2e/kWh PCI, Amont</v>
      </c>
      <c r="I219" s="1031" t="s">
        <v>1586</v>
      </c>
      <c r="J219" s="1032" t="s">
        <v>1573</v>
      </c>
      <c r="K219" s="1032" t="s">
        <v>1567</v>
      </c>
      <c r="L219" s="1032" t="s">
        <v>3084</v>
      </c>
      <c r="M219" s="2039">
        <v>0.05</v>
      </c>
      <c r="N219" s="1032" t="s">
        <v>1570</v>
      </c>
      <c r="O219" s="1036">
        <v>4.4900000000000002E-2</v>
      </c>
      <c r="P219" s="1980">
        <f t="shared" si="31"/>
        <v>4.4900000000000002E-2</v>
      </c>
      <c r="Q219" s="1980">
        <v>0</v>
      </c>
      <c r="R219" s="1980">
        <v>0</v>
      </c>
      <c r="S219" s="1980">
        <v>0</v>
      </c>
      <c r="T219" s="1980">
        <v>0</v>
      </c>
      <c r="U219" s="2036">
        <v>0</v>
      </c>
    </row>
    <row r="220" spans="4:21" hidden="1" outlineLevel="2">
      <c r="D220" s="1051">
        <f t="shared" si="28"/>
        <v>16</v>
      </c>
      <c r="E220" s="1051" t="str">
        <f>IF(COUNTIF(E$11:E219,F220)&gt;0,"",F220)</f>
        <v/>
      </c>
      <c r="F220" s="1051" t="str">
        <f t="shared" si="29"/>
        <v>Essence (Supercarburant sans plomb (95, 95-E10, 98)), Guadeloupe, Martinique, Guyane, Corse, Base Carbone</v>
      </c>
      <c r="G220" s="1055" t="str">
        <f t="shared" si="30"/>
        <v>Essence (Supercarburant sans plomb (95, 95-E10, 98)), Guadeloupe, Martinique, Guyane, Corse, Base Carbone; kgCO2e/tep PCI, Combustion</v>
      </c>
      <c r="I220" s="1031" t="s">
        <v>1586</v>
      </c>
      <c r="J220" s="1032" t="s">
        <v>1575</v>
      </c>
      <c r="K220" s="1032" t="s">
        <v>1567</v>
      </c>
      <c r="L220" s="1032" t="s">
        <v>3084</v>
      </c>
      <c r="M220" s="2039">
        <v>0.05</v>
      </c>
      <c r="N220" s="1032" t="s">
        <v>1569</v>
      </c>
      <c r="O220" s="1036">
        <v>3070</v>
      </c>
      <c r="P220" s="1980">
        <f t="shared" si="31"/>
        <v>3070</v>
      </c>
      <c r="Q220" s="1980">
        <v>0</v>
      </c>
      <c r="R220" s="1980">
        <v>0</v>
      </c>
      <c r="S220" s="1980">
        <v>0</v>
      </c>
      <c r="T220" s="1980">
        <v>0</v>
      </c>
      <c r="U220" s="2036">
        <v>0</v>
      </c>
    </row>
    <row r="221" spans="4:21" hidden="1" outlineLevel="2">
      <c r="D221" s="1051">
        <f t="shared" si="28"/>
        <v>16</v>
      </c>
      <c r="E221" s="1051" t="str">
        <f>IF(COUNTIF(E$11:E220,F221)&gt;0,"",F221)</f>
        <v/>
      </c>
      <c r="F221" s="1051" t="str">
        <f t="shared" si="29"/>
        <v>Essence (Supercarburant sans plomb (95, 95-E10, 98)), Guadeloupe, Martinique, Guyane, Corse, Base Carbone</v>
      </c>
      <c r="G221" s="1055" t="str">
        <f t="shared" si="30"/>
        <v>Essence (Supercarburant sans plomb (95, 95-E10, 98)), Guadeloupe, Martinique, Guyane, Corse, Base Carbone; kgCO2e/tep PCI, Amont</v>
      </c>
      <c r="I221" s="1031" t="s">
        <v>1586</v>
      </c>
      <c r="J221" s="1032" t="s">
        <v>1575</v>
      </c>
      <c r="K221" s="1032" t="s">
        <v>1567</v>
      </c>
      <c r="L221" s="1032" t="s">
        <v>3084</v>
      </c>
      <c r="M221" s="2039">
        <v>0.05</v>
      </c>
      <c r="N221" s="1032" t="s">
        <v>1570</v>
      </c>
      <c r="O221" s="1036">
        <v>522</v>
      </c>
      <c r="P221" s="1980">
        <f t="shared" si="31"/>
        <v>522</v>
      </c>
      <c r="Q221" s="1980">
        <v>0</v>
      </c>
      <c r="R221" s="1980">
        <v>0</v>
      </c>
      <c r="S221" s="1980">
        <v>0</v>
      </c>
      <c r="T221" s="1980">
        <v>0</v>
      </c>
      <c r="U221" s="2036">
        <v>0</v>
      </c>
    </row>
    <row r="222" spans="4:21" hidden="1" outlineLevel="2">
      <c r="D222" s="1051">
        <f t="shared" si="28"/>
        <v>16</v>
      </c>
      <c r="E222" s="1051" t="str">
        <f>IF(COUNTIF(E$11:E221,F222)&gt;0,"",F222)</f>
        <v/>
      </c>
      <c r="F222" s="1051" t="str">
        <f t="shared" si="29"/>
        <v>Essence (Supercarburant sans plomb (95, 95-E10, 98)), Guadeloupe, Martinique, Guyane, Corse, Base Carbone</v>
      </c>
      <c r="G222" s="1055" t="str">
        <f t="shared" si="30"/>
        <v>Essence (Supercarburant sans plomb (95, 95-E10, 98)), Guadeloupe, Martinique, Guyane, Corse, Base Carbone; kgCO2e/litre, Combustion</v>
      </c>
      <c r="I222" s="1031" t="s">
        <v>1586</v>
      </c>
      <c r="J222" s="1032" t="s">
        <v>1574</v>
      </c>
      <c r="K222" s="1032" t="s">
        <v>1567</v>
      </c>
      <c r="L222" s="1032" t="s">
        <v>3084</v>
      </c>
      <c r="M222" s="2039">
        <v>0.1</v>
      </c>
      <c r="N222" s="1032" t="s">
        <v>1569</v>
      </c>
      <c r="O222" s="1036">
        <v>2.4300000000000002</v>
      </c>
      <c r="P222" s="1980">
        <f t="shared" si="31"/>
        <v>2.4300000000000002</v>
      </c>
      <c r="Q222" s="1980">
        <v>0</v>
      </c>
      <c r="R222" s="1980">
        <v>0</v>
      </c>
      <c r="S222" s="1980">
        <v>0</v>
      </c>
      <c r="T222" s="1980">
        <v>0</v>
      </c>
      <c r="U222" s="2036">
        <v>0</v>
      </c>
    </row>
    <row r="223" spans="4:21" hidden="1" outlineLevel="2">
      <c r="D223" s="1051">
        <f t="shared" si="28"/>
        <v>16</v>
      </c>
      <c r="E223" s="1051" t="str">
        <f>IF(COUNTIF(E$11:E222,F223)&gt;0,"",F223)</f>
        <v/>
      </c>
      <c r="F223" s="1051" t="str">
        <f t="shared" si="29"/>
        <v>Essence (Supercarburant sans plomb (95, 95-E10, 98)), Guadeloupe, Martinique, Guyane, Corse, Base Carbone</v>
      </c>
      <c r="G223" s="1055" t="str">
        <f t="shared" si="30"/>
        <v>Essence (Supercarburant sans plomb (95, 95-E10, 98)), Guadeloupe, Martinique, Guyane, Corse, Base Carbone; kgCO2e/litre, Amont</v>
      </c>
      <c r="I223" s="1031" t="s">
        <v>1586</v>
      </c>
      <c r="J223" s="1032" t="s">
        <v>1574</v>
      </c>
      <c r="K223" s="1032" t="s">
        <v>1567</v>
      </c>
      <c r="L223" s="1032" t="s">
        <v>3084</v>
      </c>
      <c r="M223" s="2039">
        <v>0.1</v>
      </c>
      <c r="N223" s="1032" t="s">
        <v>1570</v>
      </c>
      <c r="O223" s="1036">
        <v>0.41199999999999998</v>
      </c>
      <c r="P223" s="1980">
        <f t="shared" si="31"/>
        <v>0.41199999999999998</v>
      </c>
      <c r="Q223" s="1980">
        <v>0</v>
      </c>
      <c r="R223" s="1980">
        <v>0</v>
      </c>
      <c r="S223" s="1980">
        <v>0</v>
      </c>
      <c r="T223" s="1980">
        <v>0</v>
      </c>
      <c r="U223" s="2036">
        <v>0</v>
      </c>
    </row>
    <row r="224" spans="4:21" hidden="1" outlineLevel="2">
      <c r="D224" s="1051">
        <f t="shared" si="28"/>
        <v>17</v>
      </c>
      <c r="E224" s="1051" t="str">
        <f>IF(COUNTIF(E$11:E223,F224)&gt;0,"",F224)</f>
        <v>Essence (Supercarburant sans plomb (95, 95-E10, 98)), Nouvelle Calédonie, Base Carbone</v>
      </c>
      <c r="F224" s="1051" t="str">
        <f t="shared" si="29"/>
        <v>Essence (Supercarburant sans plomb (95, 95-E10, 98)), Nouvelle Calédonie, Base Carbone</v>
      </c>
      <c r="G224" s="1055" t="str">
        <f t="shared" si="30"/>
        <v>Essence (Supercarburant sans plomb (95, 95-E10, 98)), Nouvelle Calédonie, Base Carbone; kgCO2e/kg, Combustion</v>
      </c>
      <c r="I224" s="1031" t="s">
        <v>1586</v>
      </c>
      <c r="J224" s="2017" t="s">
        <v>1572</v>
      </c>
      <c r="K224" s="1032" t="s">
        <v>1567</v>
      </c>
      <c r="L224" s="1032" t="s">
        <v>3085</v>
      </c>
      <c r="M224" s="2039">
        <v>0.05</v>
      </c>
      <c r="N224" s="1032" t="s">
        <v>1569</v>
      </c>
      <c r="O224" s="1980">
        <v>3.21</v>
      </c>
      <c r="P224" s="1980">
        <f t="shared" si="31"/>
        <v>3.21</v>
      </c>
      <c r="Q224" s="1980">
        <v>0</v>
      </c>
      <c r="R224" s="1980">
        <v>0</v>
      </c>
      <c r="S224" s="1980">
        <v>0</v>
      </c>
      <c r="T224" s="1980">
        <v>0</v>
      </c>
      <c r="U224" s="2036">
        <v>0</v>
      </c>
    </row>
    <row r="225" spans="4:21" hidden="1" outlineLevel="2">
      <c r="D225" s="1051">
        <f t="shared" si="28"/>
        <v>17</v>
      </c>
      <c r="E225" s="1051" t="str">
        <f>IF(COUNTIF(E$11:E224,F225)&gt;0,"",F225)</f>
        <v/>
      </c>
      <c r="F225" s="1051" t="str">
        <f t="shared" si="29"/>
        <v>Essence (Supercarburant sans plomb (95, 95-E10, 98)), Nouvelle Calédonie, Base Carbone</v>
      </c>
      <c r="G225" s="1055" t="str">
        <f t="shared" si="30"/>
        <v>Essence (Supercarburant sans plomb (95, 95-E10, 98)), Nouvelle Calédonie, Base Carbone; kgCO2e/kg, Amont</v>
      </c>
      <c r="I225" s="1031" t="s">
        <v>1586</v>
      </c>
      <c r="J225" s="2017" t="s">
        <v>1572</v>
      </c>
      <c r="K225" s="1032" t="s">
        <v>1567</v>
      </c>
      <c r="L225" s="1032" t="s">
        <v>3085</v>
      </c>
      <c r="M225" s="2039">
        <v>0.05</v>
      </c>
      <c r="N225" s="1032" t="s">
        <v>1570</v>
      </c>
      <c r="O225" s="1980">
        <v>0.67800000000000005</v>
      </c>
      <c r="P225" s="1980">
        <f t="shared" si="31"/>
        <v>0.67800000000000005</v>
      </c>
      <c r="Q225" s="1980">
        <v>0</v>
      </c>
      <c r="R225" s="1980">
        <v>0</v>
      </c>
      <c r="S225" s="1980">
        <v>0</v>
      </c>
      <c r="T225" s="1980">
        <v>0</v>
      </c>
      <c r="U225" s="2036">
        <v>0</v>
      </c>
    </row>
    <row r="226" spans="4:21" hidden="1" outlineLevel="2">
      <c r="D226" s="1051">
        <f t="shared" si="28"/>
        <v>17</v>
      </c>
      <c r="E226" s="1051" t="str">
        <f>IF(COUNTIF(E$11:E225,F226)&gt;0,"",F226)</f>
        <v/>
      </c>
      <c r="F226" s="1051" t="str">
        <f t="shared" si="29"/>
        <v>Essence (Supercarburant sans plomb (95, 95-E10, 98)), Nouvelle Calédonie, Base Carbone</v>
      </c>
      <c r="G226" s="1055" t="str">
        <f t="shared" si="30"/>
        <v>Essence (Supercarburant sans plomb (95, 95-E10, 98)), Nouvelle Calédonie, Base Carbone; kgCO2e/kWh PCI, Combustion</v>
      </c>
      <c r="I226" s="1031" t="s">
        <v>1586</v>
      </c>
      <c r="J226" s="1032" t="s">
        <v>1573</v>
      </c>
      <c r="K226" s="1032" t="s">
        <v>1567</v>
      </c>
      <c r="L226" s="1032" t="s">
        <v>3085</v>
      </c>
      <c r="M226" s="2039">
        <v>0.05</v>
      </c>
      <c r="N226" s="1032" t="s">
        <v>1569</v>
      </c>
      <c r="O226" s="1036">
        <v>0.26400000000000001</v>
      </c>
      <c r="P226" s="1980">
        <f t="shared" si="31"/>
        <v>0.26400000000000001</v>
      </c>
      <c r="Q226" s="1980">
        <v>0</v>
      </c>
      <c r="R226" s="1980">
        <v>0</v>
      </c>
      <c r="S226" s="1980">
        <v>0</v>
      </c>
      <c r="T226" s="1980">
        <v>0</v>
      </c>
      <c r="U226" s="2036">
        <v>0</v>
      </c>
    </row>
    <row r="227" spans="4:21" hidden="1" outlineLevel="2">
      <c r="D227" s="1051">
        <f t="shared" si="28"/>
        <v>17</v>
      </c>
      <c r="E227" s="1051" t="str">
        <f>IF(COUNTIF(E$11:E226,F227)&gt;0,"",F227)</f>
        <v/>
      </c>
      <c r="F227" s="1051" t="str">
        <f t="shared" si="29"/>
        <v>Essence (Supercarburant sans plomb (95, 95-E10, 98)), Nouvelle Calédonie, Base Carbone</v>
      </c>
      <c r="G227" s="1055" t="str">
        <f t="shared" si="30"/>
        <v>Essence (Supercarburant sans plomb (95, 95-E10, 98)), Nouvelle Calédonie, Base Carbone; kgCO2e/kWh PCI, Amont</v>
      </c>
      <c r="I227" s="1031" t="s">
        <v>1586</v>
      </c>
      <c r="J227" s="1032" t="s">
        <v>1573</v>
      </c>
      <c r="K227" s="1032" t="s">
        <v>1567</v>
      </c>
      <c r="L227" s="1032" t="s">
        <v>3085</v>
      </c>
      <c r="M227" s="2039">
        <v>0.05</v>
      </c>
      <c r="N227" s="1032" t="s">
        <v>1570</v>
      </c>
      <c r="O227" s="1036">
        <v>5.5E-2</v>
      </c>
      <c r="P227" s="1980">
        <f t="shared" si="31"/>
        <v>5.5E-2</v>
      </c>
      <c r="Q227" s="1980">
        <v>0</v>
      </c>
      <c r="R227" s="1980">
        <v>0</v>
      </c>
      <c r="S227" s="1980">
        <v>0</v>
      </c>
      <c r="T227" s="1980">
        <v>0</v>
      </c>
      <c r="U227" s="2036">
        <v>0</v>
      </c>
    </row>
    <row r="228" spans="4:21" hidden="1" outlineLevel="2">
      <c r="D228" s="1051">
        <f t="shared" si="28"/>
        <v>17</v>
      </c>
      <c r="E228" s="1051" t="str">
        <f>IF(COUNTIF(E$11:E227,F228)&gt;0,"",F228)</f>
        <v/>
      </c>
      <c r="F228" s="1051" t="str">
        <f t="shared" si="29"/>
        <v>Essence (Supercarburant sans plomb (95, 95-E10, 98)), Nouvelle Calédonie, Base Carbone</v>
      </c>
      <c r="G228" s="1055" t="str">
        <f t="shared" si="30"/>
        <v>Essence (Supercarburant sans plomb (95, 95-E10, 98)), Nouvelle Calédonie, Base Carbone; kgCO2e/tep PCI, Combustion</v>
      </c>
      <c r="I228" s="1031" t="s">
        <v>1586</v>
      </c>
      <c r="J228" s="1032" t="s">
        <v>1575</v>
      </c>
      <c r="K228" s="1032" t="s">
        <v>1567</v>
      </c>
      <c r="L228" s="1032" t="s">
        <v>3085</v>
      </c>
      <c r="M228" s="2039">
        <v>0.05</v>
      </c>
      <c r="N228" s="1032" t="s">
        <v>1569</v>
      </c>
      <c r="O228" s="1036">
        <v>3070</v>
      </c>
      <c r="P228" s="1980">
        <f t="shared" si="31"/>
        <v>3070</v>
      </c>
      <c r="Q228" s="1980">
        <v>0</v>
      </c>
      <c r="R228" s="1980">
        <v>0</v>
      </c>
      <c r="S228" s="1980">
        <v>0</v>
      </c>
      <c r="T228" s="1980">
        <v>0</v>
      </c>
      <c r="U228" s="2036">
        <v>0</v>
      </c>
    </row>
    <row r="229" spans="4:21" hidden="1" outlineLevel="2">
      <c r="D229" s="1051">
        <f t="shared" si="28"/>
        <v>17</v>
      </c>
      <c r="E229" s="1051" t="str">
        <f>IF(COUNTIF(E$11:E228,F229)&gt;0,"",F229)</f>
        <v/>
      </c>
      <c r="F229" s="1051" t="str">
        <f t="shared" si="29"/>
        <v>Essence (Supercarburant sans plomb (95, 95-E10, 98)), Nouvelle Calédonie, Base Carbone</v>
      </c>
      <c r="G229" s="1055" t="str">
        <f t="shared" si="30"/>
        <v>Essence (Supercarburant sans plomb (95, 95-E10, 98)), Nouvelle Calédonie, Base Carbone; kgCO2e/tep PCI, Amont</v>
      </c>
      <c r="I229" s="1031" t="s">
        <v>1586</v>
      </c>
      <c r="J229" s="1032" t="s">
        <v>1575</v>
      </c>
      <c r="K229" s="1032" t="s">
        <v>1567</v>
      </c>
      <c r="L229" s="1032" t="s">
        <v>3085</v>
      </c>
      <c r="M229" s="2039">
        <v>0.05</v>
      </c>
      <c r="N229" s="1032" t="s">
        <v>1570</v>
      </c>
      <c r="O229" s="1036">
        <v>648</v>
      </c>
      <c r="P229" s="1980">
        <f t="shared" si="31"/>
        <v>648</v>
      </c>
      <c r="Q229" s="1980">
        <v>0</v>
      </c>
      <c r="R229" s="1980">
        <v>0</v>
      </c>
      <c r="S229" s="1980">
        <v>0</v>
      </c>
      <c r="T229" s="1980">
        <v>0</v>
      </c>
      <c r="U229" s="2036">
        <v>0</v>
      </c>
    </row>
    <row r="230" spans="4:21" hidden="1" outlineLevel="2">
      <c r="D230" s="1051">
        <f t="shared" si="28"/>
        <v>17</v>
      </c>
      <c r="E230" s="1051" t="str">
        <f>IF(COUNTIF(E$11:E229,F230)&gt;0,"",F230)</f>
        <v/>
      </c>
      <c r="F230" s="1051" t="str">
        <f t="shared" si="29"/>
        <v>Essence (Supercarburant sans plomb (95, 95-E10, 98)), Nouvelle Calédonie, Base Carbone</v>
      </c>
      <c r="G230" s="1055" t="str">
        <f t="shared" si="30"/>
        <v>Essence (Supercarburant sans plomb (95, 95-E10, 98)), Nouvelle Calédonie, Base Carbone; kgCO2e/litre, Combustion</v>
      </c>
      <c r="I230" s="1031" t="s">
        <v>1586</v>
      </c>
      <c r="J230" s="1032" t="s">
        <v>1574</v>
      </c>
      <c r="K230" s="1032" t="s">
        <v>1567</v>
      </c>
      <c r="L230" s="1032" t="s">
        <v>3085</v>
      </c>
      <c r="M230" s="2039">
        <v>0.1</v>
      </c>
      <c r="N230" s="1032" t="s">
        <v>1569</v>
      </c>
      <c r="O230" s="1036">
        <v>2.4300000000000002</v>
      </c>
      <c r="P230" s="1980">
        <f t="shared" si="31"/>
        <v>2.4300000000000002</v>
      </c>
      <c r="Q230" s="1980">
        <v>0</v>
      </c>
      <c r="R230" s="1980">
        <v>0</v>
      </c>
      <c r="S230" s="1980">
        <v>0</v>
      </c>
      <c r="T230" s="1980">
        <v>0</v>
      </c>
      <c r="U230" s="2036">
        <v>0</v>
      </c>
    </row>
    <row r="231" spans="4:21" hidden="1" outlineLevel="2">
      <c r="D231" s="1051">
        <f t="shared" si="28"/>
        <v>17</v>
      </c>
      <c r="E231" s="1051" t="str">
        <f>IF(COUNTIF(E$11:E230,F231)&gt;0,"",F231)</f>
        <v/>
      </c>
      <c r="F231" s="1051" t="str">
        <f t="shared" si="29"/>
        <v>Essence (Supercarburant sans plomb (95, 95-E10, 98)), Nouvelle Calédonie, Base Carbone</v>
      </c>
      <c r="G231" s="1055" t="str">
        <f t="shared" si="30"/>
        <v>Essence (Supercarburant sans plomb (95, 95-E10, 98)), Nouvelle Calédonie, Base Carbone; kgCO2e/litre, Amont</v>
      </c>
      <c r="I231" s="1031" t="s">
        <v>1586</v>
      </c>
      <c r="J231" s="1032" t="s">
        <v>1574</v>
      </c>
      <c r="K231" s="1032" t="s">
        <v>1567</v>
      </c>
      <c r="L231" s="1032" t="s">
        <v>3085</v>
      </c>
      <c r="M231" s="2039">
        <v>0.1</v>
      </c>
      <c r="N231" s="1032" t="s">
        <v>1570</v>
      </c>
      <c r="O231" s="1036">
        <v>0.50800000000000001</v>
      </c>
      <c r="P231" s="1980">
        <f t="shared" si="31"/>
        <v>0.50800000000000001</v>
      </c>
      <c r="Q231" s="1980">
        <v>0</v>
      </c>
      <c r="R231" s="1980">
        <v>0</v>
      </c>
      <c r="S231" s="1980">
        <v>0</v>
      </c>
      <c r="T231" s="1980">
        <v>0</v>
      </c>
      <c r="U231" s="2036">
        <v>0</v>
      </c>
    </row>
    <row r="232" spans="4:21" hidden="1" outlineLevel="2">
      <c r="D232" s="1051">
        <f t="shared" si="28"/>
        <v>18</v>
      </c>
      <c r="E232" s="1051" t="str">
        <f>IF(COUNTIF(E$11:E231,F232)&gt;0,"",F232)</f>
        <v>Essence aviation (AvGas), Europe, Base Carbone</v>
      </c>
      <c r="F232" s="1051" t="str">
        <f t="shared" si="29"/>
        <v>Essence aviation (AvGas), Europe, Base Carbone</v>
      </c>
      <c r="G232" s="1055" t="str">
        <f t="shared" si="30"/>
        <v>Essence aviation (AvGas), Europe, Base Carbone; kgCO2e/GJ PCI, Combustion</v>
      </c>
      <c r="I232" s="1031" t="s">
        <v>1587</v>
      </c>
      <c r="J232" s="1032" t="s">
        <v>1566</v>
      </c>
      <c r="K232" s="1032" t="s">
        <v>1567</v>
      </c>
      <c r="L232" s="1032" t="s">
        <v>1568</v>
      </c>
      <c r="M232" s="1033">
        <v>0.05</v>
      </c>
      <c r="N232" s="1032" t="s">
        <v>1569</v>
      </c>
      <c r="O232" s="1036">
        <v>70.2</v>
      </c>
      <c r="P232" s="1036">
        <v>70</v>
      </c>
      <c r="Q232" s="1036">
        <v>0.09</v>
      </c>
      <c r="R232" s="1036">
        <v>0</v>
      </c>
      <c r="S232" s="1036">
        <v>0.159</v>
      </c>
      <c r="T232" s="1036">
        <v>0</v>
      </c>
      <c r="U232" s="1037">
        <v>0</v>
      </c>
    </row>
    <row r="233" spans="4:21" hidden="1" outlineLevel="2">
      <c r="D233" s="1051">
        <f t="shared" si="28"/>
        <v>18</v>
      </c>
      <c r="E233" s="1051" t="str">
        <f>IF(COUNTIF(E$11:E232,F233)&gt;0,"",F233)</f>
        <v/>
      </c>
      <c r="F233" s="1051" t="str">
        <f t="shared" si="29"/>
        <v>Essence aviation (AvGas), Europe, Base Carbone</v>
      </c>
      <c r="G233" s="1055" t="str">
        <f t="shared" si="30"/>
        <v>Essence aviation (AvGas), Europe, Base Carbone; kgCO2e/GJ PCI, Amont</v>
      </c>
      <c r="I233" s="1031" t="s">
        <v>1587</v>
      </c>
      <c r="J233" s="1032" t="s">
        <v>1566</v>
      </c>
      <c r="K233" s="1032" t="s">
        <v>1567</v>
      </c>
      <c r="L233" s="1032" t="s">
        <v>1568</v>
      </c>
      <c r="M233" s="1033">
        <v>0.05</v>
      </c>
      <c r="N233" s="1032" t="s">
        <v>1570</v>
      </c>
      <c r="O233" s="1036">
        <v>15.1</v>
      </c>
      <c r="P233" s="1036">
        <v>13.6</v>
      </c>
      <c r="Q233" s="1036">
        <v>1.5</v>
      </c>
      <c r="R233" s="1036">
        <v>0</v>
      </c>
      <c r="S233" s="1036">
        <v>0</v>
      </c>
      <c r="T233" s="1036">
        <v>0</v>
      </c>
      <c r="U233" s="1037">
        <v>0</v>
      </c>
    </row>
    <row r="234" spans="4:21" hidden="1" outlineLevel="2">
      <c r="D234" s="1051">
        <f t="shared" ref="D234:D297" si="32">D233+IF(LEN(E234)=0,0,1)</f>
        <v>19</v>
      </c>
      <c r="E234" s="1051" t="str">
        <f>IF(COUNTIF(E$11:E233,F234)&gt;0,"",F234)</f>
        <v>Essence aviation (AvGas), France continentale, Base Carbone</v>
      </c>
      <c r="F234" s="1051" t="str">
        <f t="shared" ref="F234:F297" si="33">IF(I234&lt;&gt;"",I234&amp;IF(L234&lt;&gt;"",", "&amp;L234,"")&amp;IF(K234&lt;&gt;"",", "&amp;K234,""),"")</f>
        <v>Essence aviation (AvGas), France continentale, Base Carbone</v>
      </c>
      <c r="G234" s="1055" t="str">
        <f t="shared" ref="G234:G297" si="34">IF(F234&lt;&gt;"",F234&amp;IF(J234&lt;&gt;"","; "&amp;J234,"")&amp;IF(N234&lt;&gt;"",", "&amp;N234,""),"")</f>
        <v>Essence aviation (AvGas), France continentale, Base Carbone; kgCO2e/GJ PCI, Combustion</v>
      </c>
      <c r="I234" s="1031" t="s">
        <v>1587</v>
      </c>
      <c r="J234" s="1032" t="s">
        <v>1566</v>
      </c>
      <c r="K234" s="1032" t="s">
        <v>1567</v>
      </c>
      <c r="L234" s="1032" t="s">
        <v>1571</v>
      </c>
      <c r="M234" s="1033">
        <v>0.05</v>
      </c>
      <c r="N234" s="1032" t="s">
        <v>1569</v>
      </c>
      <c r="O234" s="1036">
        <v>71.8</v>
      </c>
      <c r="P234" s="1036">
        <v>71.599999999999994</v>
      </c>
      <c r="Q234" s="1036">
        <v>0.09</v>
      </c>
      <c r="R234" s="1036">
        <v>0</v>
      </c>
      <c r="S234" s="1036">
        <v>0.159</v>
      </c>
      <c r="T234" s="1036">
        <v>0</v>
      </c>
      <c r="U234" s="1037">
        <v>0</v>
      </c>
    </row>
    <row r="235" spans="4:21" hidden="1" outlineLevel="2">
      <c r="D235" s="1051">
        <f t="shared" si="32"/>
        <v>19</v>
      </c>
      <c r="E235" s="1051" t="str">
        <f>IF(COUNTIF(E$11:E234,F235)&gt;0,"",F235)</f>
        <v/>
      </c>
      <c r="F235" s="1051" t="str">
        <f t="shared" si="33"/>
        <v>Essence aviation (AvGas), France continentale, Base Carbone</v>
      </c>
      <c r="G235" s="1055" t="str">
        <f t="shared" si="34"/>
        <v>Essence aviation (AvGas), France continentale, Base Carbone; kgCO2e/GJ PCI, Amont</v>
      </c>
      <c r="I235" s="1031" t="s">
        <v>1587</v>
      </c>
      <c r="J235" s="1032" t="s">
        <v>1566</v>
      </c>
      <c r="K235" s="1032" t="s">
        <v>1567</v>
      </c>
      <c r="L235" s="1032" t="s">
        <v>1571</v>
      </c>
      <c r="M235" s="1033">
        <v>0.05</v>
      </c>
      <c r="N235" s="1032" t="s">
        <v>1570</v>
      </c>
      <c r="O235" s="1036">
        <v>15.1</v>
      </c>
      <c r="P235" s="1036">
        <v>13.6</v>
      </c>
      <c r="Q235" s="1036">
        <v>1.5</v>
      </c>
      <c r="R235" s="1036">
        <v>0</v>
      </c>
      <c r="S235" s="1036">
        <v>0</v>
      </c>
      <c r="T235" s="1036">
        <v>0</v>
      </c>
      <c r="U235" s="1037">
        <v>0</v>
      </c>
    </row>
    <row r="236" spans="4:21" hidden="1" outlineLevel="2">
      <c r="D236" s="1051">
        <f t="shared" si="32"/>
        <v>19</v>
      </c>
      <c r="E236" s="1051" t="str">
        <f>IF(COUNTIF(E$11:E235,F236)&gt;0,"",F236)</f>
        <v/>
      </c>
      <c r="F236" s="1051" t="str">
        <f t="shared" si="33"/>
        <v>Essence aviation (AvGas), Europe, Base Carbone</v>
      </c>
      <c r="G236" s="1055" t="str">
        <f t="shared" si="34"/>
        <v>Essence aviation (AvGas), Europe, Base Carbone; kgCO2e/kg, Combustion</v>
      </c>
      <c r="I236" s="1031" t="s">
        <v>1587</v>
      </c>
      <c r="J236" s="1032" t="s">
        <v>1572</v>
      </c>
      <c r="K236" s="1032" t="s">
        <v>1567</v>
      </c>
      <c r="L236" s="1032" t="s">
        <v>1568</v>
      </c>
      <c r="M236" s="1033">
        <v>0.05</v>
      </c>
      <c r="N236" s="1032" t="s">
        <v>1569</v>
      </c>
      <c r="O236" s="1036">
        <v>3.11</v>
      </c>
      <c r="P236" s="1036">
        <v>3.1</v>
      </c>
      <c r="Q236" s="1036">
        <v>3.9899999999999996E-3</v>
      </c>
      <c r="R236" s="1036">
        <v>0</v>
      </c>
      <c r="S236" s="1036">
        <v>7.0499999999999998E-3</v>
      </c>
      <c r="T236" s="1036">
        <v>0</v>
      </c>
      <c r="U236" s="1037">
        <v>0</v>
      </c>
    </row>
    <row r="237" spans="4:21" hidden="1" outlineLevel="2">
      <c r="D237" s="1051">
        <f t="shared" si="32"/>
        <v>19</v>
      </c>
      <c r="E237" s="1051" t="str">
        <f>IF(COUNTIF(E$11:E236,F237)&gt;0,"",F237)</f>
        <v/>
      </c>
      <c r="F237" s="1051" t="str">
        <f t="shared" si="33"/>
        <v>Essence aviation (AvGas), Europe, Base Carbone</v>
      </c>
      <c r="G237" s="1055" t="str">
        <f t="shared" si="34"/>
        <v>Essence aviation (AvGas), Europe, Base Carbone; kgCO2e/kg, Amont</v>
      </c>
      <c r="I237" s="1031" t="s">
        <v>1587</v>
      </c>
      <c r="J237" s="1032" t="s">
        <v>1572</v>
      </c>
      <c r="K237" s="1032" t="s">
        <v>1567</v>
      </c>
      <c r="L237" s="1032" t="s">
        <v>1568</v>
      </c>
      <c r="M237" s="1033">
        <v>0.05</v>
      </c>
      <c r="N237" s="1032" t="s">
        <v>1570</v>
      </c>
      <c r="O237" s="1036">
        <v>0.66900000000000004</v>
      </c>
      <c r="P237" s="1036">
        <v>0.60399999999999998</v>
      </c>
      <c r="Q237" s="1036">
        <v>6.4500000000000002E-2</v>
      </c>
      <c r="R237" s="1036">
        <v>0</v>
      </c>
      <c r="S237" s="1036">
        <v>0</v>
      </c>
      <c r="T237" s="1036">
        <v>0</v>
      </c>
      <c r="U237" s="1037">
        <v>0</v>
      </c>
    </row>
    <row r="238" spans="4:21" hidden="1" outlineLevel="2">
      <c r="D238" s="1051">
        <f t="shared" si="32"/>
        <v>19</v>
      </c>
      <c r="E238" s="1051" t="str">
        <f>IF(COUNTIF(E$11:E237,F238)&gt;0,"",F238)</f>
        <v/>
      </c>
      <c r="F238" s="1051" t="str">
        <f t="shared" si="33"/>
        <v>Essence aviation (AvGas), France continentale, Base Carbone</v>
      </c>
      <c r="G238" s="1055" t="str">
        <f t="shared" si="34"/>
        <v>Essence aviation (AvGas), France continentale, Base Carbone; kgCO2e/kg, Combustion</v>
      </c>
      <c r="I238" s="1031" t="s">
        <v>1587</v>
      </c>
      <c r="J238" s="1032" t="s">
        <v>1572</v>
      </c>
      <c r="K238" s="1032" t="s">
        <v>1567</v>
      </c>
      <c r="L238" s="1032" t="s">
        <v>1571</v>
      </c>
      <c r="M238" s="1033">
        <v>0.05</v>
      </c>
      <c r="N238" s="1032" t="s">
        <v>1569</v>
      </c>
      <c r="O238" s="1036">
        <v>3.16</v>
      </c>
      <c r="P238" s="1036">
        <v>3.15</v>
      </c>
      <c r="Q238" s="1036">
        <v>3.7799999999999999E-3</v>
      </c>
      <c r="R238" s="1036">
        <v>0</v>
      </c>
      <c r="S238" s="1036">
        <v>6.6800000000000002E-3</v>
      </c>
      <c r="T238" s="1036">
        <v>0</v>
      </c>
      <c r="U238" s="1037">
        <v>0</v>
      </c>
    </row>
    <row r="239" spans="4:21" hidden="1" outlineLevel="2">
      <c r="D239" s="1051">
        <f t="shared" si="32"/>
        <v>19</v>
      </c>
      <c r="E239" s="1051" t="str">
        <f>IF(COUNTIF(E$11:E238,F239)&gt;0,"",F239)</f>
        <v/>
      </c>
      <c r="F239" s="1051" t="str">
        <f t="shared" si="33"/>
        <v>Essence aviation (AvGas), France continentale, Base Carbone</v>
      </c>
      <c r="G239" s="1055" t="str">
        <f t="shared" si="34"/>
        <v>Essence aviation (AvGas), France continentale, Base Carbone; kgCO2e/kg, Amont</v>
      </c>
      <c r="I239" s="1031" t="s">
        <v>1587</v>
      </c>
      <c r="J239" s="1032" t="s">
        <v>1572</v>
      </c>
      <c r="K239" s="1032" t="s">
        <v>1567</v>
      </c>
      <c r="L239" s="1032" t="s">
        <v>1571</v>
      </c>
      <c r="M239" s="1033">
        <v>0.05</v>
      </c>
      <c r="N239" s="1032" t="s">
        <v>1570</v>
      </c>
      <c r="O239" s="1036">
        <v>0.63400000000000001</v>
      </c>
      <c r="P239" s="1036">
        <v>0.57299999999999995</v>
      </c>
      <c r="Q239" s="1036">
        <v>6.1199999999999997E-2</v>
      </c>
      <c r="R239" s="1036">
        <v>0</v>
      </c>
      <c r="S239" s="1036">
        <v>0</v>
      </c>
      <c r="T239" s="1036">
        <v>0</v>
      </c>
      <c r="U239" s="1037">
        <v>0</v>
      </c>
    </row>
    <row r="240" spans="4:21" hidden="1" outlineLevel="2">
      <c r="D240" s="1051">
        <f t="shared" si="32"/>
        <v>19</v>
      </c>
      <c r="E240" s="1051" t="str">
        <f>IF(COUNTIF(E$11:E239,F240)&gt;0,"",F240)</f>
        <v/>
      </c>
      <c r="F240" s="1051" t="str">
        <f t="shared" si="33"/>
        <v>Essence aviation (AvGas), Europe, Base Carbone</v>
      </c>
      <c r="G240" s="1055" t="str">
        <f t="shared" si="34"/>
        <v>Essence aviation (AvGas), Europe, Base Carbone; kgCO2e/kWh PCI, Combustion</v>
      </c>
      <c r="I240" s="1031" t="s">
        <v>1587</v>
      </c>
      <c r="J240" s="1032" t="s">
        <v>1573</v>
      </c>
      <c r="K240" s="1032" t="s">
        <v>1567</v>
      </c>
      <c r="L240" s="1032" t="s">
        <v>1568</v>
      </c>
      <c r="M240" s="1033">
        <v>0.05</v>
      </c>
      <c r="N240" s="1032" t="s">
        <v>1569</v>
      </c>
      <c r="O240" s="1036">
        <v>0.253</v>
      </c>
      <c r="P240" s="1036">
        <v>0.252</v>
      </c>
      <c r="Q240" s="1036">
        <v>3.3E-4</v>
      </c>
      <c r="R240" s="1036">
        <v>0</v>
      </c>
      <c r="S240" s="1036">
        <v>5.8299999999999997E-4</v>
      </c>
      <c r="T240" s="1036">
        <v>0</v>
      </c>
      <c r="U240" s="1037">
        <v>0</v>
      </c>
    </row>
    <row r="241" spans="4:21" hidden="1" outlineLevel="2">
      <c r="D241" s="1051">
        <f t="shared" si="32"/>
        <v>19</v>
      </c>
      <c r="E241" s="1051" t="str">
        <f>IF(COUNTIF(E$11:E240,F241)&gt;0,"",F241)</f>
        <v/>
      </c>
      <c r="F241" s="1051" t="str">
        <f t="shared" si="33"/>
        <v>Essence aviation (AvGas), Europe, Base Carbone</v>
      </c>
      <c r="G241" s="1055" t="str">
        <f t="shared" si="34"/>
        <v>Essence aviation (AvGas), Europe, Base Carbone; kgCO2e/kWh PCI, Amont</v>
      </c>
      <c r="I241" s="1031" t="s">
        <v>1587</v>
      </c>
      <c r="J241" s="1032" t="s">
        <v>1573</v>
      </c>
      <c r="K241" s="1032" t="s">
        <v>1567</v>
      </c>
      <c r="L241" s="1032" t="s">
        <v>1568</v>
      </c>
      <c r="M241" s="1033">
        <v>0.05</v>
      </c>
      <c r="N241" s="1032" t="s">
        <v>1570</v>
      </c>
      <c r="O241" s="1036">
        <v>5.5E-2</v>
      </c>
      <c r="P241" s="1036">
        <v>4.9000000000000002E-2</v>
      </c>
      <c r="Q241" s="1036">
        <v>6.0000000000000001E-3</v>
      </c>
      <c r="R241" s="1036">
        <v>0</v>
      </c>
      <c r="S241" s="1036">
        <v>0</v>
      </c>
      <c r="T241" s="1036">
        <v>0</v>
      </c>
      <c r="U241" s="1037">
        <v>0</v>
      </c>
    </row>
    <row r="242" spans="4:21" hidden="1" outlineLevel="2">
      <c r="D242" s="1051">
        <f t="shared" si="32"/>
        <v>19</v>
      </c>
      <c r="E242" s="1051" t="str">
        <f>IF(COUNTIF(E$11:E241,F242)&gt;0,"",F242)</f>
        <v/>
      </c>
      <c r="F242" s="1051" t="str">
        <f t="shared" si="33"/>
        <v>Essence aviation (AvGas), France continentale, Base Carbone</v>
      </c>
      <c r="G242" s="1055" t="str">
        <f t="shared" si="34"/>
        <v>Essence aviation (AvGas), France continentale, Base Carbone; kgCO2e/kWh PCI, Combustion</v>
      </c>
      <c r="I242" s="1031" t="s">
        <v>1587</v>
      </c>
      <c r="J242" s="1032" t="s">
        <v>1573</v>
      </c>
      <c r="K242" s="1032" t="s">
        <v>1567</v>
      </c>
      <c r="L242" s="1032" t="s">
        <v>1571</v>
      </c>
      <c r="M242" s="1033">
        <v>0.05</v>
      </c>
      <c r="N242" s="1032" t="s">
        <v>1569</v>
      </c>
      <c r="O242" s="1036">
        <v>0.25900000000000001</v>
      </c>
      <c r="P242" s="1036">
        <v>0.25800000000000001</v>
      </c>
      <c r="Q242" s="1036">
        <v>3.2400000000000001E-4</v>
      </c>
      <c r="R242" s="1036">
        <v>0</v>
      </c>
      <c r="S242" s="1036">
        <v>5.7200000000000003E-4</v>
      </c>
      <c r="T242" s="1036">
        <v>0</v>
      </c>
      <c r="U242" s="1037">
        <v>0</v>
      </c>
    </row>
    <row r="243" spans="4:21" hidden="1" outlineLevel="2">
      <c r="D243" s="1051">
        <f t="shared" si="32"/>
        <v>19</v>
      </c>
      <c r="E243" s="1051" t="str">
        <f>IF(COUNTIF(E$11:E242,F243)&gt;0,"",F243)</f>
        <v/>
      </c>
      <c r="F243" s="1051" t="str">
        <f t="shared" si="33"/>
        <v>Essence aviation (AvGas), France continentale, Base Carbone</v>
      </c>
      <c r="G243" s="1055" t="str">
        <f t="shared" si="34"/>
        <v>Essence aviation (AvGas), France continentale, Base Carbone; kgCO2e/kWh PCI, Amont</v>
      </c>
      <c r="I243" s="1031" t="s">
        <v>1587</v>
      </c>
      <c r="J243" s="1032" t="s">
        <v>1573</v>
      </c>
      <c r="K243" s="1032" t="s">
        <v>1567</v>
      </c>
      <c r="L243" s="1032" t="s">
        <v>1571</v>
      </c>
      <c r="M243" s="1033">
        <v>0.05</v>
      </c>
      <c r="N243" s="1032" t="s">
        <v>1570</v>
      </c>
      <c r="O243" s="1036">
        <v>5.4399999999999997E-2</v>
      </c>
      <c r="P243" s="1036">
        <v>4.9099999999999998E-2</v>
      </c>
      <c r="Q243" s="1036">
        <v>5.2500000000000003E-3</v>
      </c>
      <c r="R243" s="1036">
        <v>0</v>
      </c>
      <c r="S243" s="1036">
        <v>0</v>
      </c>
      <c r="T243" s="1036">
        <v>0</v>
      </c>
      <c r="U243" s="1037">
        <v>0</v>
      </c>
    </row>
    <row r="244" spans="4:21" hidden="1" outlineLevel="2">
      <c r="D244" s="1051">
        <f t="shared" si="32"/>
        <v>19</v>
      </c>
      <c r="E244" s="1051" t="str">
        <f>IF(COUNTIF(E$11:E243,F244)&gt;0,"",F244)</f>
        <v/>
      </c>
      <c r="F244" s="1051" t="str">
        <f t="shared" si="33"/>
        <v>Essence aviation (AvGas), Europe, Base Carbone</v>
      </c>
      <c r="G244" s="1055" t="str">
        <f t="shared" si="34"/>
        <v>Essence aviation (AvGas), Europe, Base Carbone; kgCO2e/litre, Combustion</v>
      </c>
      <c r="I244" s="1031" t="s">
        <v>1587</v>
      </c>
      <c r="J244" s="1032" t="s">
        <v>1574</v>
      </c>
      <c r="K244" s="1032" t="s">
        <v>1567</v>
      </c>
      <c r="L244" s="1032" t="s">
        <v>1568</v>
      </c>
      <c r="M244" s="1033">
        <v>0.05</v>
      </c>
      <c r="N244" s="1032" t="s">
        <v>1569</v>
      </c>
      <c r="O244" s="1036">
        <v>2.48</v>
      </c>
      <c r="P244" s="1036">
        <v>2.48</v>
      </c>
      <c r="Q244" s="1036">
        <v>0</v>
      </c>
      <c r="R244" s="1036">
        <v>0</v>
      </c>
      <c r="S244" s="1036">
        <v>0</v>
      </c>
      <c r="T244" s="1036">
        <v>0</v>
      </c>
      <c r="U244" s="1037">
        <v>0</v>
      </c>
    </row>
    <row r="245" spans="4:21" hidden="1" outlineLevel="2">
      <c r="D245" s="1051">
        <f t="shared" si="32"/>
        <v>19</v>
      </c>
      <c r="E245" s="1051" t="str">
        <f>IF(COUNTIF(E$11:E244,F245)&gt;0,"",F245)</f>
        <v/>
      </c>
      <c r="F245" s="1051" t="str">
        <f t="shared" si="33"/>
        <v>Essence aviation (AvGas), Europe, Base Carbone</v>
      </c>
      <c r="G245" s="1055" t="str">
        <f t="shared" si="34"/>
        <v>Essence aviation (AvGas), Europe, Base Carbone; kgCO2e/litre, Amont</v>
      </c>
      <c r="I245" s="1031" t="s">
        <v>1587</v>
      </c>
      <c r="J245" s="1032" t="s">
        <v>1574</v>
      </c>
      <c r="K245" s="1032" t="s">
        <v>1567</v>
      </c>
      <c r="L245" s="1032" t="s">
        <v>1568</v>
      </c>
      <c r="M245" s="1033">
        <v>0.05</v>
      </c>
      <c r="N245" s="1032" t="s">
        <v>1570</v>
      </c>
      <c r="O245" s="1036">
        <v>0.53500000000000003</v>
      </c>
      <c r="P245" s="1036">
        <v>0.48299999999999998</v>
      </c>
      <c r="Q245" s="1036">
        <v>5.16E-2</v>
      </c>
      <c r="R245" s="1036">
        <v>0</v>
      </c>
      <c r="S245" s="1036">
        <v>0</v>
      </c>
      <c r="T245" s="1036">
        <v>0</v>
      </c>
      <c r="U245" s="1037">
        <v>0</v>
      </c>
    </row>
    <row r="246" spans="4:21" hidden="1" outlineLevel="2">
      <c r="D246" s="1051">
        <f t="shared" si="32"/>
        <v>19</v>
      </c>
      <c r="E246" s="1051" t="str">
        <f>IF(COUNTIF(E$11:E245,F246)&gt;0,"",F246)</f>
        <v/>
      </c>
      <c r="F246" s="1051" t="str">
        <f t="shared" si="33"/>
        <v>Essence aviation (AvGas), France continentale, Base Carbone</v>
      </c>
      <c r="G246" s="1055" t="str">
        <f t="shared" si="34"/>
        <v>Essence aviation (AvGas), France continentale, Base Carbone; kgCO2e/litre, Combustion</v>
      </c>
      <c r="I246" s="1031" t="s">
        <v>1587</v>
      </c>
      <c r="J246" s="1032" t="s">
        <v>1574</v>
      </c>
      <c r="K246" s="1032" t="s">
        <v>1567</v>
      </c>
      <c r="L246" s="1032" t="s">
        <v>1571</v>
      </c>
      <c r="M246" s="1033">
        <v>0.05</v>
      </c>
      <c r="N246" s="1032" t="s">
        <v>1569</v>
      </c>
      <c r="O246" s="1036">
        <v>2.48</v>
      </c>
      <c r="P246" s="1036">
        <v>2.48</v>
      </c>
      <c r="Q246" s="1036">
        <v>0</v>
      </c>
      <c r="R246" s="1036">
        <v>0</v>
      </c>
      <c r="S246" s="1036">
        <v>0</v>
      </c>
      <c r="T246" s="1036">
        <v>0</v>
      </c>
      <c r="U246" s="1037">
        <v>0</v>
      </c>
    </row>
    <row r="247" spans="4:21" hidden="1" outlineLevel="2">
      <c r="D247" s="1051">
        <f t="shared" si="32"/>
        <v>19</v>
      </c>
      <c r="E247" s="1051" t="str">
        <f>IF(COUNTIF(E$11:E246,F247)&gt;0,"",F247)</f>
        <v/>
      </c>
      <c r="F247" s="1051" t="str">
        <f t="shared" si="33"/>
        <v>Essence aviation (AvGas), France continentale, Base Carbone</v>
      </c>
      <c r="G247" s="1055" t="str">
        <f t="shared" si="34"/>
        <v>Essence aviation (AvGas), France continentale, Base Carbone; kgCO2e/litre, Amont</v>
      </c>
      <c r="I247" s="1031" t="s">
        <v>1587</v>
      </c>
      <c r="J247" s="1032" t="s">
        <v>1574</v>
      </c>
      <c r="K247" s="1032" t="s">
        <v>1567</v>
      </c>
      <c r="L247" s="1032" t="s">
        <v>1571</v>
      </c>
      <c r="M247" s="1033">
        <v>0.05</v>
      </c>
      <c r="N247" s="1032" t="s">
        <v>1570</v>
      </c>
      <c r="O247" s="1036">
        <v>0.53100000000000003</v>
      </c>
      <c r="P247" s="1036">
        <v>0.48</v>
      </c>
      <c r="Q247" s="1036">
        <v>5.1299999999999998E-2</v>
      </c>
      <c r="R247" s="1036">
        <v>0</v>
      </c>
      <c r="S247" s="1036">
        <v>0</v>
      </c>
      <c r="T247" s="1036">
        <v>0</v>
      </c>
      <c r="U247" s="1037">
        <v>0</v>
      </c>
    </row>
    <row r="248" spans="4:21" hidden="1" outlineLevel="2">
      <c r="D248" s="1051">
        <f t="shared" si="32"/>
        <v>19</v>
      </c>
      <c r="E248" s="1051" t="str">
        <f>IF(COUNTIF(E$11:E247,F248)&gt;0,"",F248)</f>
        <v/>
      </c>
      <c r="F248" s="1051" t="str">
        <f t="shared" si="33"/>
        <v>Essence aviation (AvGas), Europe, Base Carbone</v>
      </c>
      <c r="G248" s="1055" t="str">
        <f t="shared" si="34"/>
        <v>Essence aviation (AvGas), Europe, Base Carbone; kgCO2e/tep PCI, Combustion</v>
      </c>
      <c r="I248" s="1031" t="s">
        <v>1587</v>
      </c>
      <c r="J248" s="1032" t="s">
        <v>1575</v>
      </c>
      <c r="K248" s="1032" t="s">
        <v>1567</v>
      </c>
      <c r="L248" s="1032" t="s">
        <v>1568</v>
      </c>
      <c r="M248" s="1033">
        <v>0.05</v>
      </c>
      <c r="N248" s="1032" t="s">
        <v>1569</v>
      </c>
      <c r="O248" s="1036">
        <v>2950</v>
      </c>
      <c r="P248" s="1036">
        <v>2940</v>
      </c>
      <c r="Q248" s="1036">
        <v>3.78</v>
      </c>
      <c r="R248" s="1036">
        <v>0</v>
      </c>
      <c r="S248" s="1036">
        <v>6.68</v>
      </c>
      <c r="T248" s="1036">
        <v>0</v>
      </c>
      <c r="U248" s="1037">
        <v>0</v>
      </c>
    </row>
    <row r="249" spans="4:21" hidden="1" outlineLevel="2">
      <c r="D249" s="1051">
        <f t="shared" si="32"/>
        <v>19</v>
      </c>
      <c r="E249" s="1051" t="str">
        <f>IF(COUNTIF(E$11:E248,F249)&gt;0,"",F249)</f>
        <v/>
      </c>
      <c r="F249" s="1051" t="str">
        <f t="shared" si="33"/>
        <v>Essence aviation (AvGas), Europe, Base Carbone</v>
      </c>
      <c r="G249" s="1055" t="str">
        <f t="shared" si="34"/>
        <v>Essence aviation (AvGas), Europe, Base Carbone; kgCO2e/tep PCI, Amont</v>
      </c>
      <c r="I249" s="1031" t="s">
        <v>1587</v>
      </c>
      <c r="J249" s="1032" t="s">
        <v>1575</v>
      </c>
      <c r="K249" s="1032" t="s">
        <v>1567</v>
      </c>
      <c r="L249" s="1032" t="s">
        <v>1568</v>
      </c>
      <c r="M249" s="1033">
        <v>0.05</v>
      </c>
      <c r="N249" s="1032" t="s">
        <v>1570</v>
      </c>
      <c r="O249" s="1036">
        <v>634</v>
      </c>
      <c r="P249" s="1036">
        <v>573</v>
      </c>
      <c r="Q249" s="1036">
        <v>61.2</v>
      </c>
      <c r="R249" s="1036">
        <v>0</v>
      </c>
      <c r="S249" s="1036">
        <v>0</v>
      </c>
      <c r="T249" s="1036">
        <v>0</v>
      </c>
      <c r="U249" s="1037">
        <v>0</v>
      </c>
    </row>
    <row r="250" spans="4:21" hidden="1" outlineLevel="2">
      <c r="D250" s="1051">
        <f t="shared" si="32"/>
        <v>19</v>
      </c>
      <c r="E250" s="1051" t="str">
        <f>IF(COUNTIF(E$11:E249,F250)&gt;0,"",F250)</f>
        <v/>
      </c>
      <c r="F250" s="1051" t="str">
        <f t="shared" si="33"/>
        <v>Essence aviation (AvGas), France continentale, Base Carbone</v>
      </c>
      <c r="G250" s="1055" t="str">
        <f t="shared" si="34"/>
        <v>Essence aviation (AvGas), France continentale, Base Carbone; kgCO2e/tep PCI, Combustion</v>
      </c>
      <c r="I250" s="1031" t="s">
        <v>1587</v>
      </c>
      <c r="J250" s="1032" t="s">
        <v>1575</v>
      </c>
      <c r="K250" s="1032" t="s">
        <v>1567</v>
      </c>
      <c r="L250" s="1032" t="s">
        <v>1571</v>
      </c>
      <c r="M250" s="1033">
        <v>0.05</v>
      </c>
      <c r="N250" s="1032" t="s">
        <v>1569</v>
      </c>
      <c r="O250" s="1036">
        <v>3020</v>
      </c>
      <c r="P250" s="1036">
        <v>3010</v>
      </c>
      <c r="Q250" s="1036">
        <v>3.78</v>
      </c>
      <c r="R250" s="1036">
        <v>0</v>
      </c>
      <c r="S250" s="1036">
        <v>6.68</v>
      </c>
      <c r="T250" s="1036">
        <v>0</v>
      </c>
      <c r="U250" s="1037">
        <v>0</v>
      </c>
    </row>
    <row r="251" spans="4:21" hidden="1" outlineLevel="2">
      <c r="D251" s="1051">
        <f t="shared" si="32"/>
        <v>19</v>
      </c>
      <c r="E251" s="1051" t="str">
        <f>IF(COUNTIF(E$11:E250,F251)&gt;0,"",F251)</f>
        <v/>
      </c>
      <c r="F251" s="1051" t="str">
        <f t="shared" si="33"/>
        <v>Essence aviation (AvGas), France continentale, Base Carbone</v>
      </c>
      <c r="G251" s="1055" t="str">
        <f t="shared" si="34"/>
        <v>Essence aviation (AvGas), France continentale, Base Carbone; kgCO2e/tep PCI, Amont</v>
      </c>
      <c r="I251" s="1031" t="s">
        <v>1587</v>
      </c>
      <c r="J251" s="1032" t="s">
        <v>1575</v>
      </c>
      <c r="K251" s="1032" t="s">
        <v>1567</v>
      </c>
      <c r="L251" s="1032" t="s">
        <v>1571</v>
      </c>
      <c r="M251" s="1033">
        <v>0.05</v>
      </c>
      <c r="N251" s="1032" t="s">
        <v>1570</v>
      </c>
      <c r="O251" s="1036">
        <v>634</v>
      </c>
      <c r="P251" s="1036">
        <v>573</v>
      </c>
      <c r="Q251" s="1036">
        <v>61.2</v>
      </c>
      <c r="R251" s="1036">
        <v>0</v>
      </c>
      <c r="S251" s="1036">
        <v>0</v>
      </c>
      <c r="T251" s="1036">
        <v>0</v>
      </c>
      <c r="U251" s="1037">
        <v>0</v>
      </c>
    </row>
    <row r="252" spans="4:21" s="1045" customFormat="1" hidden="1" outlineLevel="2">
      <c r="D252" s="1051">
        <f t="shared" si="32"/>
        <v>20</v>
      </c>
      <c r="E252" s="1051" t="str">
        <f>IF(COUNTIF(E$11:E251,F252)&gt;0,"",F252)</f>
        <v>Essence aviation (AvGas), Polynésie Française, Base Carbone</v>
      </c>
      <c r="F252" s="1051" t="str">
        <f t="shared" si="33"/>
        <v>Essence aviation (AvGas), Polynésie Française, Base Carbone</v>
      </c>
      <c r="G252" s="1055" t="str">
        <f t="shared" si="34"/>
        <v>Essence aviation (AvGas), Polynésie Française, Base Carbone; kgCO2e/kg, Combustion</v>
      </c>
      <c r="I252" s="1031" t="s">
        <v>1587</v>
      </c>
      <c r="J252" s="2017" t="s">
        <v>1572</v>
      </c>
      <c r="K252" s="1032" t="s">
        <v>1567</v>
      </c>
      <c r="L252" s="1032" t="s">
        <v>637</v>
      </c>
      <c r="M252" s="1033">
        <v>0.05</v>
      </c>
      <c r="N252" s="1032" t="s">
        <v>1569</v>
      </c>
      <c r="O252" s="1980">
        <v>3.21</v>
      </c>
      <c r="P252" s="1980">
        <f>O252</f>
        <v>3.21</v>
      </c>
      <c r="Q252" s="1980">
        <v>0</v>
      </c>
      <c r="R252" s="1980">
        <v>0</v>
      </c>
      <c r="S252" s="1980">
        <v>0</v>
      </c>
      <c r="T252" s="1980">
        <v>0</v>
      </c>
      <c r="U252" s="2036">
        <v>0</v>
      </c>
    </row>
    <row r="253" spans="4:21" s="1045" customFormat="1" hidden="1" outlineLevel="2">
      <c r="D253" s="1051">
        <f t="shared" si="32"/>
        <v>20</v>
      </c>
      <c r="E253" s="1051" t="str">
        <f>IF(COUNTIF(E$11:E252,F253)&gt;0,"",F253)</f>
        <v/>
      </c>
      <c r="F253" s="1051" t="str">
        <f t="shared" si="33"/>
        <v>Essence aviation (AvGas), Polynésie Française, Base Carbone</v>
      </c>
      <c r="G253" s="1055" t="str">
        <f t="shared" si="34"/>
        <v>Essence aviation (AvGas), Polynésie Française, Base Carbone; kgCO2e/kg, Amont</v>
      </c>
      <c r="I253" s="1031" t="s">
        <v>1587</v>
      </c>
      <c r="J253" s="2017" t="s">
        <v>1572</v>
      </c>
      <c r="K253" s="1032" t="s">
        <v>1567</v>
      </c>
      <c r="L253" s="1032" t="s">
        <v>637</v>
      </c>
      <c r="M253" s="1033">
        <v>0.05</v>
      </c>
      <c r="N253" s="1032" t="s">
        <v>1570</v>
      </c>
      <c r="O253" s="1980">
        <v>0.70899999999999996</v>
      </c>
      <c r="P253" s="1980">
        <f t="shared" ref="P253:P259" si="35">O253</f>
        <v>0.70899999999999996</v>
      </c>
      <c r="Q253" s="1980">
        <v>0</v>
      </c>
      <c r="R253" s="1980">
        <v>0</v>
      </c>
      <c r="S253" s="1980">
        <v>0</v>
      </c>
      <c r="T253" s="1980">
        <v>0</v>
      </c>
      <c r="U253" s="2036">
        <v>0</v>
      </c>
    </row>
    <row r="254" spans="4:21" s="1045" customFormat="1" hidden="1" outlineLevel="2">
      <c r="D254" s="1051">
        <f t="shared" si="32"/>
        <v>20</v>
      </c>
      <c r="E254" s="1051" t="str">
        <f>IF(COUNTIF(E$11:E253,F254)&gt;0,"",F254)</f>
        <v/>
      </c>
      <c r="F254" s="1051" t="str">
        <f t="shared" si="33"/>
        <v>Essence aviation (AvGas), Polynésie Française, Base Carbone</v>
      </c>
      <c r="G254" s="1055" t="str">
        <f t="shared" si="34"/>
        <v>Essence aviation (AvGas), Polynésie Française, Base Carbone; kgCO2e/kWh PCI, Combustion</v>
      </c>
      <c r="I254" s="1031" t="s">
        <v>1587</v>
      </c>
      <c r="J254" s="1032" t="s">
        <v>1573</v>
      </c>
      <c r="K254" s="1032" t="s">
        <v>1567</v>
      </c>
      <c r="L254" s="1032" t="s">
        <v>637</v>
      </c>
      <c r="M254" s="1033">
        <v>0.05</v>
      </c>
      <c r="N254" s="1032" t="s">
        <v>1569</v>
      </c>
      <c r="O254" s="1036">
        <v>0.26300000000000001</v>
      </c>
      <c r="P254" s="1980">
        <f t="shared" si="35"/>
        <v>0.26300000000000001</v>
      </c>
      <c r="Q254" s="1980">
        <v>0</v>
      </c>
      <c r="R254" s="1980">
        <v>0</v>
      </c>
      <c r="S254" s="1980">
        <v>0</v>
      </c>
      <c r="T254" s="1980">
        <v>0</v>
      </c>
      <c r="U254" s="2036">
        <v>0</v>
      </c>
    </row>
    <row r="255" spans="4:21" s="1045" customFormat="1" hidden="1" outlineLevel="2">
      <c r="D255" s="1051">
        <f t="shared" si="32"/>
        <v>20</v>
      </c>
      <c r="E255" s="1051" t="str">
        <f>IF(COUNTIF(E$11:E254,F255)&gt;0,"",F255)</f>
        <v/>
      </c>
      <c r="F255" s="1051" t="str">
        <f t="shared" si="33"/>
        <v>Essence aviation (AvGas), Polynésie Française, Base Carbone</v>
      </c>
      <c r="G255" s="1055" t="str">
        <f t="shared" si="34"/>
        <v>Essence aviation (AvGas), Polynésie Française, Base Carbone; kgCO2e/kWh PCI, Amont</v>
      </c>
      <c r="I255" s="1031" t="s">
        <v>1587</v>
      </c>
      <c r="J255" s="1032" t="s">
        <v>1573</v>
      </c>
      <c r="K255" s="1032" t="s">
        <v>1567</v>
      </c>
      <c r="L255" s="1032" t="s">
        <v>637</v>
      </c>
      <c r="M255" s="1033">
        <v>0.05</v>
      </c>
      <c r="N255" s="1032" t="s">
        <v>1570</v>
      </c>
      <c r="O255" s="1036">
        <v>5.8000000000000003E-2</v>
      </c>
      <c r="P255" s="1980">
        <f t="shared" si="35"/>
        <v>5.8000000000000003E-2</v>
      </c>
      <c r="Q255" s="1980">
        <v>0</v>
      </c>
      <c r="R255" s="1980">
        <v>0</v>
      </c>
      <c r="S255" s="1980">
        <v>0</v>
      </c>
      <c r="T255" s="1980">
        <v>0</v>
      </c>
      <c r="U255" s="2036">
        <v>0</v>
      </c>
    </row>
    <row r="256" spans="4:21" s="1045" customFormat="1" hidden="1" outlineLevel="2">
      <c r="D256" s="1051">
        <f t="shared" si="32"/>
        <v>20</v>
      </c>
      <c r="E256" s="1051" t="str">
        <f>IF(COUNTIF(E$11:E255,F256)&gt;0,"",F256)</f>
        <v/>
      </c>
      <c r="F256" s="1051" t="str">
        <f t="shared" si="33"/>
        <v>Essence aviation (AvGas), Polynésie Française, Base Carbone</v>
      </c>
      <c r="G256" s="1055" t="str">
        <f t="shared" si="34"/>
        <v>Essence aviation (AvGas), Polynésie Française, Base Carbone; kgCO2e/tep PCI, Combustion</v>
      </c>
      <c r="I256" s="1031" t="s">
        <v>1587</v>
      </c>
      <c r="J256" s="1032" t="s">
        <v>1575</v>
      </c>
      <c r="K256" s="1032" t="s">
        <v>1567</v>
      </c>
      <c r="L256" s="1032" t="s">
        <v>637</v>
      </c>
      <c r="M256" s="1033">
        <v>0.05</v>
      </c>
      <c r="N256" s="1032" t="s">
        <v>1569</v>
      </c>
      <c r="O256" s="1036">
        <v>3060</v>
      </c>
      <c r="P256" s="1980">
        <f t="shared" si="35"/>
        <v>3060</v>
      </c>
      <c r="Q256" s="1980">
        <v>0</v>
      </c>
      <c r="R256" s="1980">
        <v>0</v>
      </c>
      <c r="S256" s="1980">
        <v>0</v>
      </c>
      <c r="T256" s="1980">
        <v>0</v>
      </c>
      <c r="U256" s="2036">
        <v>0</v>
      </c>
    </row>
    <row r="257" spans="4:21" s="1045" customFormat="1" hidden="1" outlineLevel="2">
      <c r="D257" s="1051">
        <f t="shared" si="32"/>
        <v>20</v>
      </c>
      <c r="E257" s="1051" t="str">
        <f>IF(COUNTIF(E$11:E256,F257)&gt;0,"",F257)</f>
        <v/>
      </c>
      <c r="F257" s="1051" t="str">
        <f t="shared" si="33"/>
        <v>Essence aviation (AvGas), Polynésie Française, Base Carbone</v>
      </c>
      <c r="G257" s="1055" t="str">
        <f t="shared" si="34"/>
        <v>Essence aviation (AvGas), Polynésie Française, Base Carbone; kgCO2e/tep PCI, Amont</v>
      </c>
      <c r="I257" s="1031" t="s">
        <v>1587</v>
      </c>
      <c r="J257" s="1032" t="s">
        <v>1575</v>
      </c>
      <c r="K257" s="1032" t="s">
        <v>1567</v>
      </c>
      <c r="L257" s="1032" t="s">
        <v>637</v>
      </c>
      <c r="M257" s="1033">
        <v>0.05</v>
      </c>
      <c r="N257" s="1032" t="s">
        <v>1570</v>
      </c>
      <c r="O257" s="1036">
        <v>675</v>
      </c>
      <c r="P257" s="1980">
        <f t="shared" si="35"/>
        <v>675</v>
      </c>
      <c r="Q257" s="1980">
        <v>0</v>
      </c>
      <c r="R257" s="1980">
        <v>0</v>
      </c>
      <c r="S257" s="1980">
        <v>0</v>
      </c>
      <c r="T257" s="1980">
        <v>0</v>
      </c>
      <c r="U257" s="2036">
        <v>0</v>
      </c>
    </row>
    <row r="258" spans="4:21" s="1045" customFormat="1" hidden="1" outlineLevel="2">
      <c r="D258" s="1051">
        <f t="shared" si="32"/>
        <v>20</v>
      </c>
      <c r="E258" s="1051" t="str">
        <f>IF(COUNTIF(E$11:E257,F258)&gt;0,"",F258)</f>
        <v/>
      </c>
      <c r="F258" s="1051" t="str">
        <f t="shared" si="33"/>
        <v>Essence aviation (AvGas), Polynésie Française, Base Carbone</v>
      </c>
      <c r="G258" s="1055" t="str">
        <f t="shared" si="34"/>
        <v>Essence aviation (AvGas), Polynésie Française, Base Carbone; kgCO2e/litre, Combustion</v>
      </c>
      <c r="I258" s="1031" t="s">
        <v>1587</v>
      </c>
      <c r="J258" s="1032" t="s">
        <v>1574</v>
      </c>
      <c r="K258" s="1032" t="s">
        <v>1567</v>
      </c>
      <c r="L258" s="1032" t="s">
        <v>637</v>
      </c>
      <c r="M258" s="1033">
        <v>0.05</v>
      </c>
      <c r="N258" s="1032" t="s">
        <v>1569</v>
      </c>
      <c r="O258" s="1036">
        <v>2.4300000000000002</v>
      </c>
      <c r="P258" s="1980">
        <f t="shared" si="35"/>
        <v>2.4300000000000002</v>
      </c>
      <c r="Q258" s="1980">
        <v>0</v>
      </c>
      <c r="R258" s="1980">
        <v>0</v>
      </c>
      <c r="S258" s="1980">
        <v>0</v>
      </c>
      <c r="T258" s="1980">
        <v>0</v>
      </c>
      <c r="U258" s="2036">
        <v>0</v>
      </c>
    </row>
    <row r="259" spans="4:21" s="1045" customFormat="1" hidden="1" outlineLevel="2">
      <c r="D259" s="1051">
        <f t="shared" si="32"/>
        <v>20</v>
      </c>
      <c r="E259" s="1051" t="str">
        <f>IF(COUNTIF(E$11:E258,F259)&gt;0,"",F259)</f>
        <v/>
      </c>
      <c r="F259" s="1051" t="str">
        <f t="shared" si="33"/>
        <v>Essence aviation (AvGas), Polynésie Française, Base Carbone</v>
      </c>
      <c r="G259" s="1055" t="str">
        <f t="shared" si="34"/>
        <v>Essence aviation (AvGas), Polynésie Française, Base Carbone; kgCO2e/litre, Amont</v>
      </c>
      <c r="I259" s="1031" t="s">
        <v>1587</v>
      </c>
      <c r="J259" s="1032" t="s">
        <v>1574</v>
      </c>
      <c r="K259" s="1032" t="s">
        <v>1567</v>
      </c>
      <c r="L259" s="1032" t="s">
        <v>637</v>
      </c>
      <c r="M259" s="1033">
        <v>0.05</v>
      </c>
      <c r="N259" s="1032" t="s">
        <v>1570</v>
      </c>
      <c r="O259" s="1036">
        <v>0.53500000000000003</v>
      </c>
      <c r="P259" s="1980">
        <f t="shared" si="35"/>
        <v>0.53500000000000003</v>
      </c>
      <c r="Q259" s="1980">
        <v>0</v>
      </c>
      <c r="R259" s="1980">
        <v>0</v>
      </c>
      <c r="S259" s="1980">
        <v>0</v>
      </c>
      <c r="T259" s="1980">
        <v>0</v>
      </c>
      <c r="U259" s="2036">
        <v>0</v>
      </c>
    </row>
    <row r="260" spans="4:21" hidden="1" outlineLevel="2">
      <c r="D260" s="1051">
        <f t="shared" si="32"/>
        <v>21</v>
      </c>
      <c r="E260" s="1051" t="str">
        <f>IF(COUNTIF(E$11:E259,F260)&gt;0,"",F260)</f>
        <v>Fioul domestique, France continentale, Base Carbone</v>
      </c>
      <c r="F260" s="1051" t="str">
        <f t="shared" si="33"/>
        <v>Fioul domestique, France continentale, Base Carbone</v>
      </c>
      <c r="G260" s="1055" t="str">
        <f t="shared" si="34"/>
        <v>Fioul domestique, France continentale, Base Carbone; kgCO2e/GJ PCI, Combustion</v>
      </c>
      <c r="I260" s="1031" t="s">
        <v>1588</v>
      </c>
      <c r="J260" s="1032" t="s">
        <v>1566</v>
      </c>
      <c r="K260" s="1032" t="s">
        <v>1567</v>
      </c>
      <c r="L260" s="1032" t="s">
        <v>1571</v>
      </c>
      <c r="M260" s="1033">
        <v>0.05</v>
      </c>
      <c r="N260" s="1032" t="s">
        <v>1569</v>
      </c>
      <c r="O260" s="1036">
        <v>75.5</v>
      </c>
      <c r="P260" s="1036">
        <v>75</v>
      </c>
      <c r="Q260" s="1036">
        <v>0.06</v>
      </c>
      <c r="R260" s="1036">
        <v>0</v>
      </c>
      <c r="S260" s="1036">
        <v>0.39800000000000002</v>
      </c>
      <c r="T260" s="1036">
        <v>0</v>
      </c>
      <c r="U260" s="1037">
        <v>0</v>
      </c>
    </row>
    <row r="261" spans="4:21" hidden="1" outlineLevel="2">
      <c r="D261" s="1051">
        <f t="shared" si="32"/>
        <v>21</v>
      </c>
      <c r="E261" s="1051" t="str">
        <f>IF(COUNTIF(E$11:E260,F261)&gt;0,"",F261)</f>
        <v/>
      </c>
      <c r="F261" s="1051" t="str">
        <f t="shared" si="33"/>
        <v>Fioul domestique, France continentale, Base Carbone</v>
      </c>
      <c r="G261" s="1055" t="str">
        <f t="shared" si="34"/>
        <v>Fioul domestique, France continentale, Base Carbone; kgCO2e/GJ PCI, Amont</v>
      </c>
      <c r="I261" s="1031" t="s">
        <v>1588</v>
      </c>
      <c r="J261" s="1032" t="s">
        <v>1566</v>
      </c>
      <c r="K261" s="1032" t="s">
        <v>1567</v>
      </c>
      <c r="L261" s="1032" t="s">
        <v>1571</v>
      </c>
      <c r="M261" s="1033">
        <v>0.05</v>
      </c>
      <c r="N261" s="1032" t="s">
        <v>1570</v>
      </c>
      <c r="O261" s="1036">
        <v>16.100000000000001</v>
      </c>
      <c r="P261" s="1036">
        <v>14.6</v>
      </c>
      <c r="Q261" s="1036">
        <v>1.5</v>
      </c>
      <c r="R261" s="1036">
        <v>0</v>
      </c>
      <c r="S261" s="1036">
        <v>0</v>
      </c>
      <c r="T261" s="1036">
        <v>0</v>
      </c>
      <c r="U261" s="1037">
        <v>0</v>
      </c>
    </row>
    <row r="262" spans="4:21" hidden="1" outlineLevel="2">
      <c r="D262" s="1051">
        <f t="shared" si="32"/>
        <v>22</v>
      </c>
      <c r="E262" s="1051" t="str">
        <f>IF(COUNTIF(E$11:E261,F262)&gt;0,"",F262)</f>
        <v>Fioul domestique, Europe, Base Carbone</v>
      </c>
      <c r="F262" s="1051" t="str">
        <f t="shared" si="33"/>
        <v>Fioul domestique, Europe, Base Carbone</v>
      </c>
      <c r="G262" s="1055" t="str">
        <f t="shared" si="34"/>
        <v>Fioul domestique, Europe, Base Carbone; kgCO2e/kg, Combustion</v>
      </c>
      <c r="I262" s="1031" t="s">
        <v>1588</v>
      </c>
      <c r="J262" s="1032" t="s">
        <v>1572</v>
      </c>
      <c r="K262" s="1032" t="s">
        <v>1567</v>
      </c>
      <c r="L262" s="1032" t="s">
        <v>1568</v>
      </c>
      <c r="M262" s="1033">
        <v>0.05</v>
      </c>
      <c r="N262" s="1032" t="s">
        <v>1569</v>
      </c>
      <c r="O262" s="1036">
        <v>3.17</v>
      </c>
      <c r="P262" s="1036">
        <v>3.15</v>
      </c>
      <c r="Q262" s="1036">
        <v>2.5799999999999998E-3</v>
      </c>
      <c r="R262" s="1036">
        <v>0</v>
      </c>
      <c r="S262" s="1036">
        <v>1.7100000000000001E-2</v>
      </c>
      <c r="T262" s="1036">
        <v>0</v>
      </c>
      <c r="U262" s="1037">
        <v>0</v>
      </c>
    </row>
    <row r="263" spans="4:21" hidden="1" outlineLevel="2">
      <c r="D263" s="1051">
        <f t="shared" si="32"/>
        <v>22</v>
      </c>
      <c r="E263" s="1051" t="str">
        <f>IF(COUNTIF(E$11:E262,F263)&gt;0,"",F263)</f>
        <v/>
      </c>
      <c r="F263" s="1051" t="str">
        <f t="shared" si="33"/>
        <v>Fioul domestique, Europe, Base Carbone</v>
      </c>
      <c r="G263" s="1055" t="str">
        <f t="shared" si="34"/>
        <v>Fioul domestique, Europe, Base Carbone; kgCO2e/kg, Amont</v>
      </c>
      <c r="I263" s="1031" t="s">
        <v>1588</v>
      </c>
      <c r="J263" s="1032" t="s">
        <v>1572</v>
      </c>
      <c r="K263" s="1032" t="s">
        <v>1567</v>
      </c>
      <c r="L263" s="1032" t="s">
        <v>1568</v>
      </c>
      <c r="M263" s="1033">
        <v>0.05</v>
      </c>
      <c r="N263" s="1032" t="s">
        <v>1570</v>
      </c>
      <c r="O263" s="1036">
        <v>0.69199999999999995</v>
      </c>
      <c r="P263" s="1036">
        <v>0.629</v>
      </c>
      <c r="Q263" s="1036">
        <v>6.2700000000000006E-2</v>
      </c>
      <c r="R263" s="1036">
        <v>0</v>
      </c>
      <c r="S263" s="1036">
        <v>0</v>
      </c>
      <c r="T263" s="1036">
        <v>0</v>
      </c>
      <c r="U263" s="1037">
        <v>0</v>
      </c>
    </row>
    <row r="264" spans="4:21" hidden="1" outlineLevel="2">
      <c r="D264" s="1051">
        <f t="shared" si="32"/>
        <v>22</v>
      </c>
      <c r="E264" s="1051" t="str">
        <f>IF(COUNTIF(E$11:E263,F264)&gt;0,"",F264)</f>
        <v/>
      </c>
      <c r="F264" s="1051" t="str">
        <f t="shared" si="33"/>
        <v>Fioul domestique, France continentale, Base Carbone</v>
      </c>
      <c r="G264" s="1055" t="str">
        <f t="shared" si="34"/>
        <v>Fioul domestique, France continentale, Base Carbone; kgCO2e/kg, Combustion</v>
      </c>
      <c r="I264" s="1031" t="s">
        <v>1588</v>
      </c>
      <c r="J264" s="1032" t="s">
        <v>1572</v>
      </c>
      <c r="K264" s="1032" t="s">
        <v>1567</v>
      </c>
      <c r="L264" s="1032" t="s">
        <v>1571</v>
      </c>
      <c r="M264" s="1033">
        <v>0.05</v>
      </c>
      <c r="N264" s="1032" t="s">
        <v>1569</v>
      </c>
      <c r="O264" s="1036">
        <v>3.17</v>
      </c>
      <c r="P264" s="1036">
        <v>3.15</v>
      </c>
      <c r="Q264" s="1036">
        <v>2.5200000000000001E-3</v>
      </c>
      <c r="R264" s="1036">
        <v>0</v>
      </c>
      <c r="S264" s="1036">
        <v>1.67E-2</v>
      </c>
      <c r="T264" s="1036">
        <v>0</v>
      </c>
      <c r="U264" s="1037">
        <v>0</v>
      </c>
    </row>
    <row r="265" spans="4:21" hidden="1" outlineLevel="2">
      <c r="D265" s="1051">
        <f t="shared" si="32"/>
        <v>22</v>
      </c>
      <c r="E265" s="1051" t="str">
        <f>IF(COUNTIF(E$11:E264,F265)&gt;0,"",F265)</f>
        <v/>
      </c>
      <c r="F265" s="1051" t="str">
        <f t="shared" si="33"/>
        <v>Fioul domestique, France continentale, Base Carbone</v>
      </c>
      <c r="G265" s="1055" t="str">
        <f t="shared" si="34"/>
        <v>Fioul domestique, France continentale, Base Carbone; kgCO2e/kg, Amont</v>
      </c>
      <c r="I265" s="1031" t="s">
        <v>1588</v>
      </c>
      <c r="J265" s="1032" t="s">
        <v>1572</v>
      </c>
      <c r="K265" s="1032" t="s">
        <v>1567</v>
      </c>
      <c r="L265" s="1032" t="s">
        <v>1571</v>
      </c>
      <c r="M265" s="1033">
        <v>0.05</v>
      </c>
      <c r="N265" s="1032" t="s">
        <v>1570</v>
      </c>
      <c r="O265" s="1036">
        <v>0.67600000000000005</v>
      </c>
      <c r="P265" s="1036">
        <v>0.61499999999999999</v>
      </c>
      <c r="Q265" s="1036">
        <v>6.1199999999999997E-2</v>
      </c>
      <c r="R265" s="1036">
        <v>0</v>
      </c>
      <c r="S265" s="1036">
        <v>0</v>
      </c>
      <c r="T265" s="1036">
        <v>0</v>
      </c>
      <c r="U265" s="1037">
        <v>0</v>
      </c>
    </row>
    <row r="266" spans="4:21" hidden="1" outlineLevel="2">
      <c r="D266" s="1051">
        <f t="shared" si="32"/>
        <v>22</v>
      </c>
      <c r="E266" s="1051" t="str">
        <f>IF(COUNTIF(E$11:E265,F266)&gt;0,"",F266)</f>
        <v/>
      </c>
      <c r="F266" s="1051" t="str">
        <f t="shared" si="33"/>
        <v>Fioul domestique, Europe, Base Carbone</v>
      </c>
      <c r="G266" s="1055" t="str">
        <f t="shared" si="34"/>
        <v>Fioul domestique, Europe, Base Carbone; kgCO2e/kWh PCI, Combustion</v>
      </c>
      <c r="I266" s="1031" t="s">
        <v>1588</v>
      </c>
      <c r="J266" s="1032" t="s">
        <v>1573</v>
      </c>
      <c r="K266" s="1032" t="s">
        <v>1567</v>
      </c>
      <c r="L266" s="1032" t="s">
        <v>1568</v>
      </c>
      <c r="M266" s="1033">
        <v>0.05</v>
      </c>
      <c r="N266" s="1032" t="s">
        <v>1569</v>
      </c>
      <c r="O266" s="1036">
        <v>0.26600000000000001</v>
      </c>
      <c r="P266" s="1036">
        <v>0.26400000000000001</v>
      </c>
      <c r="Q266" s="1036">
        <v>4.64E-4</v>
      </c>
      <c r="R266" s="1036">
        <v>0</v>
      </c>
      <c r="S266" s="1036">
        <v>1.4300000000000001E-3</v>
      </c>
      <c r="T266" s="1036">
        <v>0</v>
      </c>
      <c r="U266" s="1037">
        <v>0</v>
      </c>
    </row>
    <row r="267" spans="4:21" hidden="1" outlineLevel="2">
      <c r="D267" s="1051">
        <f t="shared" si="32"/>
        <v>22</v>
      </c>
      <c r="E267" s="1051" t="str">
        <f>IF(COUNTIF(E$11:E266,F267)&gt;0,"",F267)</f>
        <v/>
      </c>
      <c r="F267" s="1051" t="str">
        <f t="shared" si="33"/>
        <v>Fioul domestique, Europe, Base Carbone</v>
      </c>
      <c r="G267" s="1055" t="str">
        <f t="shared" si="34"/>
        <v>Fioul domestique, Europe, Base Carbone; kgCO2e/kWh PCI, Amont</v>
      </c>
      <c r="I267" s="1031" t="s">
        <v>1588</v>
      </c>
      <c r="J267" s="1032" t="s">
        <v>1573</v>
      </c>
      <c r="K267" s="1032" t="s">
        <v>1567</v>
      </c>
      <c r="L267" s="1032" t="s">
        <v>1568</v>
      </c>
      <c r="M267" s="1033">
        <v>0.05</v>
      </c>
      <c r="N267" s="1032" t="s">
        <v>1570</v>
      </c>
      <c r="O267" s="1036">
        <v>5.8000000000000003E-2</v>
      </c>
      <c r="P267" s="1036">
        <v>5.2699999999999997E-2</v>
      </c>
      <c r="Q267" s="1036">
        <v>5.2500000000000003E-3</v>
      </c>
      <c r="R267" s="1036">
        <v>0</v>
      </c>
      <c r="S267" s="1036">
        <v>0</v>
      </c>
      <c r="T267" s="1036">
        <v>0</v>
      </c>
      <c r="U267" s="1037">
        <v>0</v>
      </c>
    </row>
    <row r="268" spans="4:21" hidden="1" outlineLevel="2">
      <c r="D268" s="1051">
        <f t="shared" si="32"/>
        <v>22</v>
      </c>
      <c r="E268" s="1051" t="str">
        <f>IF(COUNTIF(E$11:E267,F268)&gt;0,"",F268)</f>
        <v/>
      </c>
      <c r="F268" s="1051" t="str">
        <f t="shared" si="33"/>
        <v>Fioul domestique, France continentale, Base Carbone</v>
      </c>
      <c r="G268" s="1055" t="str">
        <f t="shared" si="34"/>
        <v>Fioul domestique, France continentale, Base Carbone; kgCO2e/kWh PCI, Combustion</v>
      </c>
      <c r="I268" s="1031" t="s">
        <v>1588</v>
      </c>
      <c r="J268" s="1032" t="s">
        <v>1573</v>
      </c>
      <c r="K268" s="1032" t="s">
        <v>1567</v>
      </c>
      <c r="L268" s="1032" t="s">
        <v>1571</v>
      </c>
      <c r="M268" s="1033">
        <v>0.05</v>
      </c>
      <c r="N268" s="1032" t="s">
        <v>1569</v>
      </c>
      <c r="O268" s="1036">
        <v>0.27200000000000002</v>
      </c>
      <c r="P268" s="1036">
        <v>0.27</v>
      </c>
      <c r="Q268" s="1036">
        <v>2.1599999999999999E-4</v>
      </c>
      <c r="R268" s="1036">
        <v>0</v>
      </c>
      <c r="S268" s="1036">
        <v>1.4300000000000001E-3</v>
      </c>
      <c r="T268" s="1036">
        <v>0</v>
      </c>
      <c r="U268" s="1037">
        <v>0</v>
      </c>
    </row>
    <row r="269" spans="4:21" hidden="1" outlineLevel="2">
      <c r="D269" s="1051">
        <f t="shared" si="32"/>
        <v>22</v>
      </c>
      <c r="E269" s="1051" t="str">
        <f>IF(COUNTIF(E$11:E268,F269)&gt;0,"",F269)</f>
        <v/>
      </c>
      <c r="F269" s="1051" t="str">
        <f t="shared" si="33"/>
        <v>Fioul domestique, France continentale, Base Carbone</v>
      </c>
      <c r="G269" s="1055" t="str">
        <f t="shared" si="34"/>
        <v>Fioul domestique, France continentale, Base Carbone; kgCO2e/kWh PCI, Amont</v>
      </c>
      <c r="I269" s="1031" t="s">
        <v>1588</v>
      </c>
      <c r="J269" s="1032" t="s">
        <v>1573</v>
      </c>
      <c r="K269" s="1032" t="s">
        <v>1567</v>
      </c>
      <c r="L269" s="1032" t="s">
        <v>1571</v>
      </c>
      <c r="M269" s="1033">
        <v>0.05</v>
      </c>
      <c r="N269" s="1032" t="s">
        <v>1570</v>
      </c>
      <c r="O269" s="1036">
        <v>5.2699999999999997E-2</v>
      </c>
      <c r="P269" s="1036">
        <v>5.2699999999999997E-2</v>
      </c>
      <c r="Q269" s="1036">
        <v>0</v>
      </c>
      <c r="R269" s="1036">
        <v>0</v>
      </c>
      <c r="S269" s="1036">
        <v>0</v>
      </c>
      <c r="T269" s="1036">
        <v>0</v>
      </c>
      <c r="U269" s="1037">
        <v>0</v>
      </c>
    </row>
    <row r="270" spans="4:21" hidden="1" outlineLevel="2">
      <c r="D270" s="1051">
        <f t="shared" si="32"/>
        <v>22</v>
      </c>
      <c r="E270" s="1051" t="str">
        <f>IF(COUNTIF(E$11:E269,F270)&gt;0,"",F270)</f>
        <v/>
      </c>
      <c r="F270" s="1051" t="str">
        <f t="shared" si="33"/>
        <v>Fioul domestique, Europe, Base Carbone</v>
      </c>
      <c r="G270" s="1055" t="str">
        <f t="shared" si="34"/>
        <v>Fioul domestique, Europe, Base Carbone; kgCO2e/litre, Combustion</v>
      </c>
      <c r="I270" s="1031" t="s">
        <v>1588</v>
      </c>
      <c r="J270" s="1032" t="s">
        <v>1574</v>
      </c>
      <c r="K270" s="1032" t="s">
        <v>1567</v>
      </c>
      <c r="L270" s="1032" t="s">
        <v>1568</v>
      </c>
      <c r="M270" s="1033">
        <v>0.05</v>
      </c>
      <c r="N270" s="1032" t="s">
        <v>1569</v>
      </c>
      <c r="O270" s="1036">
        <v>2.62</v>
      </c>
      <c r="P270" s="1036">
        <v>2.6</v>
      </c>
      <c r="Q270" s="1036">
        <v>4.5799999999999999E-3</v>
      </c>
      <c r="R270" s="1036">
        <v>0</v>
      </c>
      <c r="S270" s="1036">
        <v>1.41E-2</v>
      </c>
      <c r="T270" s="1036">
        <v>0</v>
      </c>
      <c r="U270" s="1037">
        <v>0</v>
      </c>
    </row>
    <row r="271" spans="4:21" hidden="1" outlineLevel="2">
      <c r="D271" s="1051">
        <f t="shared" si="32"/>
        <v>22</v>
      </c>
      <c r="E271" s="1051" t="str">
        <f>IF(COUNTIF(E$11:E270,F271)&gt;0,"",F271)</f>
        <v/>
      </c>
      <c r="F271" s="1051" t="str">
        <f t="shared" si="33"/>
        <v>Fioul domestique, Europe, Base Carbone</v>
      </c>
      <c r="G271" s="1055" t="str">
        <f t="shared" si="34"/>
        <v>Fioul domestique, Europe, Base Carbone; kgCO2e/litre, Amont</v>
      </c>
      <c r="I271" s="1031" t="s">
        <v>1588</v>
      </c>
      <c r="J271" s="1032" t="s">
        <v>1574</v>
      </c>
      <c r="K271" s="1032" t="s">
        <v>1567</v>
      </c>
      <c r="L271" s="1032" t="s">
        <v>1568</v>
      </c>
      <c r="M271" s="1033">
        <v>0.05</v>
      </c>
      <c r="N271" s="1032" t="s">
        <v>1570</v>
      </c>
      <c r="O271" s="1036">
        <v>0.57099999999999995</v>
      </c>
      <c r="P271" s="1036">
        <v>0.51900000000000002</v>
      </c>
      <c r="Q271" s="1036">
        <v>5.1700000000000003E-2</v>
      </c>
      <c r="R271" s="1036">
        <v>0</v>
      </c>
      <c r="S271" s="1036">
        <v>0</v>
      </c>
      <c r="T271" s="1036">
        <v>0</v>
      </c>
      <c r="U271" s="1037">
        <v>0</v>
      </c>
    </row>
    <row r="272" spans="4:21" hidden="1" outlineLevel="2">
      <c r="D272" s="1051">
        <f t="shared" si="32"/>
        <v>22</v>
      </c>
      <c r="E272" s="1051" t="str">
        <f>IF(COUNTIF(E$11:E271,F272)&gt;0,"",F272)</f>
        <v/>
      </c>
      <c r="F272" s="1051" t="str">
        <f t="shared" si="33"/>
        <v>Fioul domestique, France continentale, Base Carbone</v>
      </c>
      <c r="G272" s="1055" t="str">
        <f t="shared" si="34"/>
        <v>Fioul domestique, France continentale, Base Carbone; kgCO2e/litre, Combustion</v>
      </c>
      <c r="I272" s="1031" t="s">
        <v>1588</v>
      </c>
      <c r="J272" s="1032" t="s">
        <v>1574</v>
      </c>
      <c r="K272" s="1032" t="s">
        <v>1567</v>
      </c>
      <c r="L272" s="1032" t="s">
        <v>1571</v>
      </c>
      <c r="M272" s="1033">
        <v>0.05</v>
      </c>
      <c r="N272" s="1032" t="s">
        <v>1569</v>
      </c>
      <c r="O272" s="1036">
        <v>2.68</v>
      </c>
      <c r="P272" s="1036">
        <v>2.66</v>
      </c>
      <c r="Q272" s="1036">
        <v>2.1299999999999999E-3</v>
      </c>
      <c r="R272" s="1036">
        <v>0</v>
      </c>
      <c r="S272" s="1036">
        <v>1.41E-2</v>
      </c>
      <c r="T272" s="1036">
        <v>0</v>
      </c>
      <c r="U272" s="1037">
        <v>0</v>
      </c>
    </row>
    <row r="273" spans="4:21" hidden="1" outlineLevel="2">
      <c r="D273" s="1051">
        <f t="shared" si="32"/>
        <v>22</v>
      </c>
      <c r="E273" s="1051" t="str">
        <f>IF(COUNTIF(E$11:E272,F273)&gt;0,"",F273)</f>
        <v/>
      </c>
      <c r="F273" s="1051" t="str">
        <f t="shared" si="33"/>
        <v>Fioul domestique, France continentale, Base Carbone</v>
      </c>
      <c r="G273" s="1055" t="str">
        <f t="shared" si="34"/>
        <v>Fioul domestique, France continentale, Base Carbone; kgCO2e/litre, Amont</v>
      </c>
      <c r="I273" s="1031" t="s">
        <v>1588</v>
      </c>
      <c r="J273" s="1032" t="s">
        <v>1574</v>
      </c>
      <c r="K273" s="1032" t="s">
        <v>1567</v>
      </c>
      <c r="L273" s="1032" t="s">
        <v>1571</v>
      </c>
      <c r="M273" s="1033">
        <v>0.05</v>
      </c>
      <c r="N273" s="1032" t="s">
        <v>1570</v>
      </c>
      <c r="O273" s="1036">
        <v>0.57099999999999995</v>
      </c>
      <c r="P273" s="1036">
        <v>0.51900000000000002</v>
      </c>
      <c r="Q273" s="1036">
        <v>5.16E-2</v>
      </c>
      <c r="R273" s="1036">
        <v>0</v>
      </c>
      <c r="S273" s="1036">
        <v>0</v>
      </c>
      <c r="T273" s="1036">
        <v>0</v>
      </c>
      <c r="U273" s="1037">
        <v>0</v>
      </c>
    </row>
    <row r="274" spans="4:21" hidden="1" outlineLevel="2">
      <c r="D274" s="1051">
        <f t="shared" si="32"/>
        <v>22</v>
      </c>
      <c r="E274" s="1051" t="str">
        <f>IF(COUNTIF(E$11:E273,F274)&gt;0,"",F274)</f>
        <v/>
      </c>
      <c r="F274" s="1051" t="str">
        <f t="shared" si="33"/>
        <v>Fioul domestique, Europe, Base Carbone</v>
      </c>
      <c r="G274" s="1055" t="str">
        <f t="shared" si="34"/>
        <v>Fioul domestique, Europe, Base Carbone; kgCO2e/tep PCI, Combustion</v>
      </c>
      <c r="I274" s="1031" t="s">
        <v>1588</v>
      </c>
      <c r="J274" s="1032" t="s">
        <v>1575</v>
      </c>
      <c r="K274" s="1032" t="s">
        <v>1567</v>
      </c>
      <c r="L274" s="1032" t="s">
        <v>1568</v>
      </c>
      <c r="M274" s="1033">
        <v>0.05</v>
      </c>
      <c r="N274" s="1032" t="s">
        <v>1569</v>
      </c>
      <c r="O274" s="1036">
        <v>3100</v>
      </c>
      <c r="P274" s="1036">
        <v>3080</v>
      </c>
      <c r="Q274" s="1036">
        <v>5.42</v>
      </c>
      <c r="R274" s="1036">
        <v>0</v>
      </c>
      <c r="S274" s="1036">
        <v>16.7</v>
      </c>
      <c r="T274" s="1036">
        <v>0</v>
      </c>
      <c r="U274" s="1037">
        <v>0</v>
      </c>
    </row>
    <row r="275" spans="4:21" hidden="1" outlineLevel="2">
      <c r="D275" s="1051">
        <f t="shared" si="32"/>
        <v>22</v>
      </c>
      <c r="E275" s="1051" t="str">
        <f>IF(COUNTIF(E$11:E274,F275)&gt;0,"",F275)</f>
        <v/>
      </c>
      <c r="F275" s="1051" t="str">
        <f t="shared" si="33"/>
        <v>Fioul domestique, Europe, Base Carbone</v>
      </c>
      <c r="G275" s="1055" t="str">
        <f t="shared" si="34"/>
        <v>Fioul domestique, Europe, Base Carbone; kgCO2e/tep PCI, Amont</v>
      </c>
      <c r="I275" s="1031" t="s">
        <v>1588</v>
      </c>
      <c r="J275" s="1032" t="s">
        <v>1575</v>
      </c>
      <c r="K275" s="1032" t="s">
        <v>1567</v>
      </c>
      <c r="L275" s="1032" t="s">
        <v>1568</v>
      </c>
      <c r="M275" s="1033">
        <v>0.05</v>
      </c>
      <c r="N275" s="1032" t="s">
        <v>1570</v>
      </c>
      <c r="O275" s="1036">
        <v>676</v>
      </c>
      <c r="P275" s="1036">
        <v>615</v>
      </c>
      <c r="Q275" s="1036">
        <v>61.2</v>
      </c>
      <c r="R275" s="1036">
        <v>0</v>
      </c>
      <c r="S275" s="1036">
        <v>0</v>
      </c>
      <c r="T275" s="1036">
        <v>0</v>
      </c>
      <c r="U275" s="1037">
        <v>0</v>
      </c>
    </row>
    <row r="276" spans="4:21" hidden="1" outlineLevel="2">
      <c r="D276" s="1051">
        <f t="shared" si="32"/>
        <v>22</v>
      </c>
      <c r="E276" s="1051" t="str">
        <f>IF(COUNTIF(E$11:E275,F276)&gt;0,"",F276)</f>
        <v/>
      </c>
      <c r="F276" s="1051" t="str">
        <f t="shared" si="33"/>
        <v>Fioul domestique, France continentale, Base Carbone</v>
      </c>
      <c r="G276" s="1055" t="str">
        <f t="shared" si="34"/>
        <v>Fioul domestique, France continentale, Base Carbone; kgCO2e/tep PCI, Combustion</v>
      </c>
      <c r="I276" s="1031" t="s">
        <v>1588</v>
      </c>
      <c r="J276" s="1032" t="s">
        <v>1575</v>
      </c>
      <c r="K276" s="1032" t="s">
        <v>1567</v>
      </c>
      <c r="L276" s="1032" t="s">
        <v>1571</v>
      </c>
      <c r="M276" s="1033">
        <v>0.05</v>
      </c>
      <c r="N276" s="1032" t="s">
        <v>1569</v>
      </c>
      <c r="O276" s="1036">
        <v>3170</v>
      </c>
      <c r="P276" s="1036">
        <v>3150</v>
      </c>
      <c r="Q276" s="1036">
        <v>3</v>
      </c>
      <c r="R276" s="1036">
        <v>0</v>
      </c>
      <c r="S276" s="1036">
        <v>16.7</v>
      </c>
      <c r="T276" s="1036">
        <v>0</v>
      </c>
      <c r="U276" s="1037">
        <v>0</v>
      </c>
    </row>
    <row r="277" spans="4:21" hidden="1" outlineLevel="2">
      <c r="D277" s="1051">
        <f t="shared" si="32"/>
        <v>22</v>
      </c>
      <c r="E277" s="1051" t="str">
        <f>IF(COUNTIF(E$11:E276,F277)&gt;0,"",F277)</f>
        <v/>
      </c>
      <c r="F277" s="1051" t="str">
        <f t="shared" si="33"/>
        <v>Fioul domestique, France continentale, Base Carbone</v>
      </c>
      <c r="G277" s="1055" t="str">
        <f t="shared" si="34"/>
        <v>Fioul domestique, France continentale, Base Carbone; kgCO2e/tep PCI, Amont</v>
      </c>
      <c r="I277" s="1031" t="s">
        <v>1588</v>
      </c>
      <c r="J277" s="1032" t="s">
        <v>1575</v>
      </c>
      <c r="K277" s="1032" t="s">
        <v>1567</v>
      </c>
      <c r="L277" s="1032" t="s">
        <v>1571</v>
      </c>
      <c r="M277" s="1033">
        <v>0.05</v>
      </c>
      <c r="N277" s="1032" t="s">
        <v>1570</v>
      </c>
      <c r="O277" s="1036">
        <v>529</v>
      </c>
      <c r="P277" s="1036">
        <v>482</v>
      </c>
      <c r="Q277" s="1036">
        <v>46.5</v>
      </c>
      <c r="R277" s="1036">
        <v>0</v>
      </c>
      <c r="S277" s="1036">
        <v>0</v>
      </c>
      <c r="T277" s="1036">
        <v>0</v>
      </c>
      <c r="U277" s="1037">
        <v>0</v>
      </c>
    </row>
    <row r="278" spans="4:21" hidden="1" outlineLevel="2">
      <c r="D278" s="1051">
        <f t="shared" si="32"/>
        <v>22</v>
      </c>
      <c r="E278" s="1051" t="str">
        <f>IF(COUNTIF(E$11:E277,F278)&gt;0,"",F278)</f>
        <v/>
      </c>
      <c r="F278" s="1051" t="str">
        <f t="shared" si="33"/>
        <v>Fioul domestique, Europe, Base Carbone</v>
      </c>
      <c r="G278" s="1055" t="str">
        <f t="shared" si="34"/>
        <v>Fioul domestique, Europe, Base Carbone; kgCO2e/GJ PCI, Combustion</v>
      </c>
      <c r="I278" s="1031" t="s">
        <v>1588</v>
      </c>
      <c r="J278" s="1032" t="s">
        <v>1566</v>
      </c>
      <c r="K278" s="1032" t="s">
        <v>1567</v>
      </c>
      <c r="L278" s="1032" t="s">
        <v>1568</v>
      </c>
      <c r="M278" s="1033">
        <v>0.05</v>
      </c>
      <c r="N278" s="1032" t="s">
        <v>1569</v>
      </c>
      <c r="O278" s="1036">
        <v>73.8</v>
      </c>
      <c r="P278" s="1036">
        <v>73.3</v>
      </c>
      <c r="Q278" s="1036">
        <v>0.129</v>
      </c>
      <c r="R278" s="1036">
        <v>0</v>
      </c>
      <c r="S278" s="1036">
        <v>0.39800000000000002</v>
      </c>
      <c r="T278" s="1036">
        <v>0</v>
      </c>
      <c r="U278" s="1037">
        <v>0</v>
      </c>
    </row>
    <row r="279" spans="4:21" hidden="1" outlineLevel="2">
      <c r="D279" s="1051">
        <f t="shared" si="32"/>
        <v>22</v>
      </c>
      <c r="E279" s="1051" t="str">
        <f>IF(COUNTIF(E$11:E278,F279)&gt;0,"",F279)</f>
        <v/>
      </c>
      <c r="F279" s="1051" t="str">
        <f t="shared" si="33"/>
        <v>Fioul domestique, Europe, Base Carbone</v>
      </c>
      <c r="G279" s="1055" t="str">
        <f t="shared" si="34"/>
        <v>Fioul domestique, Europe, Base Carbone; kgCO2e/GJ PCI, Amont</v>
      </c>
      <c r="I279" s="1031" t="s">
        <v>1588</v>
      </c>
      <c r="J279" s="1032" t="s">
        <v>1566</v>
      </c>
      <c r="K279" s="1032" t="s">
        <v>1567</v>
      </c>
      <c r="L279" s="1032" t="s">
        <v>1568</v>
      </c>
      <c r="M279" s="1033">
        <v>0.05</v>
      </c>
      <c r="N279" s="1032" t="s">
        <v>1570</v>
      </c>
      <c r="O279" s="1036">
        <v>16.100000000000001</v>
      </c>
      <c r="P279" s="1036">
        <v>14.6</v>
      </c>
      <c r="Q279" s="1036">
        <v>1.46</v>
      </c>
      <c r="R279" s="1036">
        <v>0</v>
      </c>
      <c r="S279" s="1036">
        <v>0</v>
      </c>
      <c r="T279" s="1036">
        <v>0</v>
      </c>
      <c r="U279" s="1037">
        <v>0</v>
      </c>
    </row>
    <row r="280" spans="4:21" s="1045" customFormat="1" hidden="1" outlineLevel="2">
      <c r="D280" s="1051">
        <f t="shared" si="32"/>
        <v>23</v>
      </c>
      <c r="E280" s="1051" t="str">
        <f>IF(COUNTIF(E$11:E279,F280)&gt;0,"",F280)</f>
        <v>Fioul domestique, Réunion, Base Carbone</v>
      </c>
      <c r="F280" s="1051" t="str">
        <f t="shared" si="33"/>
        <v>Fioul domestique, Réunion, Base Carbone</v>
      </c>
      <c r="G280" s="1055" t="str">
        <f t="shared" si="34"/>
        <v>Fioul domestique, Réunion, Base Carbone; kgCO2e/kg, Combustion</v>
      </c>
      <c r="I280" s="1031" t="s">
        <v>1588</v>
      </c>
      <c r="J280" s="2017" t="s">
        <v>1572</v>
      </c>
      <c r="K280" s="1032" t="s">
        <v>1567</v>
      </c>
      <c r="L280" s="1032" t="s">
        <v>785</v>
      </c>
      <c r="M280" s="1033">
        <v>0.05</v>
      </c>
      <c r="N280" s="1032" t="s">
        <v>1569</v>
      </c>
      <c r="O280" s="1036">
        <v>3.15</v>
      </c>
      <c r="P280" s="1980">
        <f>O280</f>
        <v>3.15</v>
      </c>
      <c r="Q280" s="1980">
        <v>0</v>
      </c>
      <c r="R280" s="1980">
        <v>0</v>
      </c>
      <c r="S280" s="1980">
        <v>0</v>
      </c>
      <c r="T280" s="1980">
        <v>0</v>
      </c>
      <c r="U280" s="2036">
        <v>0</v>
      </c>
    </row>
    <row r="281" spans="4:21" s="1045" customFormat="1" hidden="1" outlineLevel="2">
      <c r="D281" s="1051">
        <f t="shared" si="32"/>
        <v>23</v>
      </c>
      <c r="E281" s="1051" t="str">
        <f>IF(COUNTIF(E$11:E280,F281)&gt;0,"",F281)</f>
        <v/>
      </c>
      <c r="F281" s="1051" t="str">
        <f t="shared" si="33"/>
        <v>Fioul domestique, Réunion, Base Carbone</v>
      </c>
      <c r="G281" s="1055" t="str">
        <f t="shared" si="34"/>
        <v>Fioul domestique, Réunion, Base Carbone; kgCO2e/kg, Amont</v>
      </c>
      <c r="I281" s="1031" t="s">
        <v>1588</v>
      </c>
      <c r="J281" s="2017" t="s">
        <v>1572</v>
      </c>
      <c r="K281" s="1032" t="s">
        <v>1567</v>
      </c>
      <c r="L281" s="1032" t="s">
        <v>785</v>
      </c>
      <c r="M281" s="1033">
        <v>0.05</v>
      </c>
      <c r="N281" s="1032" t="s">
        <v>1570</v>
      </c>
      <c r="O281" s="1036">
        <v>0.432</v>
      </c>
      <c r="P281" s="1980">
        <f t="shared" ref="P281:P303" si="36">O281</f>
        <v>0.432</v>
      </c>
      <c r="Q281" s="1980">
        <v>0</v>
      </c>
      <c r="R281" s="1980">
        <v>0</v>
      </c>
      <c r="S281" s="1980">
        <v>0</v>
      </c>
      <c r="T281" s="1980">
        <v>0</v>
      </c>
      <c r="U281" s="2036">
        <v>0</v>
      </c>
    </row>
    <row r="282" spans="4:21" s="1045" customFormat="1" hidden="1" outlineLevel="2">
      <c r="D282" s="1051">
        <f t="shared" si="32"/>
        <v>23</v>
      </c>
      <c r="E282" s="1051" t="str">
        <f>IF(COUNTIF(E$11:E281,F282)&gt;0,"",F282)</f>
        <v/>
      </c>
      <c r="F282" s="1051" t="str">
        <f t="shared" si="33"/>
        <v>Fioul domestique, Réunion, Base Carbone</v>
      </c>
      <c r="G282" s="1055" t="str">
        <f t="shared" si="34"/>
        <v>Fioul domestique, Réunion, Base Carbone; kgCO2e/kWh PCI, Combustion</v>
      </c>
      <c r="I282" s="1031" t="s">
        <v>1588</v>
      </c>
      <c r="J282" s="1032" t="s">
        <v>1573</v>
      </c>
      <c r="K282" s="1032" t="s">
        <v>1567</v>
      </c>
      <c r="L282" s="1032" t="s">
        <v>785</v>
      </c>
      <c r="M282" s="1033">
        <v>0.05</v>
      </c>
      <c r="N282" s="1032" t="s">
        <v>1569</v>
      </c>
      <c r="O282" s="1036">
        <v>0.27100000000000002</v>
      </c>
      <c r="P282" s="1980">
        <f t="shared" si="36"/>
        <v>0.27100000000000002</v>
      </c>
      <c r="Q282" s="1980">
        <v>0</v>
      </c>
      <c r="R282" s="1980">
        <v>0</v>
      </c>
      <c r="S282" s="1980">
        <v>0</v>
      </c>
      <c r="T282" s="1980">
        <v>0</v>
      </c>
      <c r="U282" s="2036">
        <v>0</v>
      </c>
    </row>
    <row r="283" spans="4:21" s="1045" customFormat="1" hidden="1" outlineLevel="2">
      <c r="D283" s="1051">
        <f t="shared" si="32"/>
        <v>23</v>
      </c>
      <c r="E283" s="1051" t="str">
        <f>IF(COUNTIF(E$11:E282,F283)&gt;0,"",F283)</f>
        <v/>
      </c>
      <c r="F283" s="1051" t="str">
        <f t="shared" si="33"/>
        <v>Fioul domestique, Réunion, Base Carbone</v>
      </c>
      <c r="G283" s="1055" t="str">
        <f t="shared" si="34"/>
        <v>Fioul domestique, Réunion, Base Carbone; kgCO2e/kWh PCI, Amont</v>
      </c>
      <c r="I283" s="1031" t="s">
        <v>1588</v>
      </c>
      <c r="J283" s="1032" t="s">
        <v>1573</v>
      </c>
      <c r="K283" s="1032" t="s">
        <v>1567</v>
      </c>
      <c r="L283" s="1032" t="s">
        <v>785</v>
      </c>
      <c r="M283" s="1033">
        <v>0.05</v>
      </c>
      <c r="N283" s="1032" t="s">
        <v>1570</v>
      </c>
      <c r="O283" s="1036">
        <v>3.6999999999999998E-2</v>
      </c>
      <c r="P283" s="1980">
        <f t="shared" si="36"/>
        <v>3.6999999999999998E-2</v>
      </c>
      <c r="Q283" s="1980">
        <v>0</v>
      </c>
      <c r="R283" s="1980">
        <v>0</v>
      </c>
      <c r="S283" s="1980">
        <v>0</v>
      </c>
      <c r="T283" s="1980">
        <v>0</v>
      </c>
      <c r="U283" s="2036">
        <v>0</v>
      </c>
    </row>
    <row r="284" spans="4:21" s="1045" customFormat="1" hidden="1" outlineLevel="2">
      <c r="D284" s="1051">
        <f t="shared" si="32"/>
        <v>23</v>
      </c>
      <c r="E284" s="1051" t="str">
        <f>IF(COUNTIF(E$11:E283,F284)&gt;0,"",F284)</f>
        <v/>
      </c>
      <c r="F284" s="1051" t="str">
        <f t="shared" si="33"/>
        <v>Fioul domestique, Réunion, Base Carbone</v>
      </c>
      <c r="G284" s="1055" t="str">
        <f t="shared" si="34"/>
        <v>Fioul domestique, Réunion, Base Carbone; kgCO2e/tep PCI, Combustion</v>
      </c>
      <c r="I284" s="1031" t="s">
        <v>1588</v>
      </c>
      <c r="J284" s="1032" t="s">
        <v>1575</v>
      </c>
      <c r="K284" s="1032" t="s">
        <v>1567</v>
      </c>
      <c r="L284" s="1032" t="s">
        <v>785</v>
      </c>
      <c r="M284" s="1033">
        <v>0.05</v>
      </c>
      <c r="N284" s="1032" t="s">
        <v>1569</v>
      </c>
      <c r="O284" s="1036">
        <v>3150</v>
      </c>
      <c r="P284" s="1980">
        <f t="shared" si="36"/>
        <v>3150</v>
      </c>
      <c r="Q284" s="1980">
        <v>0</v>
      </c>
      <c r="R284" s="1980">
        <v>0</v>
      </c>
      <c r="S284" s="1980">
        <v>0</v>
      </c>
      <c r="T284" s="1980">
        <v>0</v>
      </c>
      <c r="U284" s="2036">
        <v>0</v>
      </c>
    </row>
    <row r="285" spans="4:21" s="1045" customFormat="1" hidden="1" outlineLevel="2">
      <c r="D285" s="1051">
        <f t="shared" si="32"/>
        <v>23</v>
      </c>
      <c r="E285" s="1051" t="str">
        <f>IF(COUNTIF(E$11:E284,F285)&gt;0,"",F285)</f>
        <v/>
      </c>
      <c r="F285" s="1051" t="str">
        <f t="shared" si="33"/>
        <v>Fioul domestique, Réunion, Base Carbone</v>
      </c>
      <c r="G285" s="1055" t="str">
        <f t="shared" si="34"/>
        <v>Fioul domestique, Réunion, Base Carbone; kgCO2e/tep PCI, Amont</v>
      </c>
      <c r="I285" s="1031" t="s">
        <v>1588</v>
      </c>
      <c r="J285" s="1032" t="s">
        <v>1575</v>
      </c>
      <c r="K285" s="1032" t="s">
        <v>1567</v>
      </c>
      <c r="L285" s="1032" t="s">
        <v>785</v>
      </c>
      <c r="M285" s="1033">
        <v>0.05</v>
      </c>
      <c r="N285" s="1032" t="s">
        <v>1570</v>
      </c>
      <c r="O285" s="1036">
        <v>432</v>
      </c>
      <c r="P285" s="1980">
        <f t="shared" si="36"/>
        <v>432</v>
      </c>
      <c r="Q285" s="1980">
        <v>0</v>
      </c>
      <c r="R285" s="1980">
        <v>0</v>
      </c>
      <c r="S285" s="1980">
        <v>0</v>
      </c>
      <c r="T285" s="1980">
        <v>0</v>
      </c>
      <c r="U285" s="2036">
        <v>0</v>
      </c>
    </row>
    <row r="286" spans="4:21" s="1045" customFormat="1" hidden="1" outlineLevel="2">
      <c r="D286" s="1051">
        <f t="shared" si="32"/>
        <v>23</v>
      </c>
      <c r="E286" s="1051" t="str">
        <f>IF(COUNTIF(E$11:E285,F286)&gt;0,"",F286)</f>
        <v/>
      </c>
      <c r="F286" s="1051" t="str">
        <f t="shared" si="33"/>
        <v>Fioul domestique, Réunion, Base Carbone</v>
      </c>
      <c r="G286" s="1055" t="str">
        <f t="shared" si="34"/>
        <v>Fioul domestique, Réunion, Base Carbone; kgCO2e/litre, Combustion</v>
      </c>
      <c r="I286" s="1031" t="s">
        <v>1588</v>
      </c>
      <c r="J286" s="1032" t="s">
        <v>1574</v>
      </c>
      <c r="K286" s="1032" t="s">
        <v>1567</v>
      </c>
      <c r="L286" s="1032" t="s">
        <v>785</v>
      </c>
      <c r="M286" s="1033">
        <v>0.05</v>
      </c>
      <c r="N286" s="1032" t="s">
        <v>1569</v>
      </c>
      <c r="O286" s="1036">
        <v>2.66</v>
      </c>
      <c r="P286" s="1980">
        <f t="shared" si="36"/>
        <v>2.66</v>
      </c>
      <c r="Q286" s="1980">
        <v>0</v>
      </c>
      <c r="R286" s="1980">
        <v>0</v>
      </c>
      <c r="S286" s="1980">
        <v>0</v>
      </c>
      <c r="T286" s="1980">
        <v>0</v>
      </c>
      <c r="U286" s="2036">
        <v>0</v>
      </c>
    </row>
    <row r="287" spans="4:21" s="1045" customFormat="1" hidden="1" outlineLevel="2">
      <c r="D287" s="1051">
        <f t="shared" si="32"/>
        <v>23</v>
      </c>
      <c r="E287" s="1051" t="str">
        <f>IF(COUNTIF(E$11:E286,F287)&gt;0,"",F287)</f>
        <v/>
      </c>
      <c r="F287" s="1051" t="str">
        <f t="shared" si="33"/>
        <v>Fioul domestique, Réunion, Base Carbone</v>
      </c>
      <c r="G287" s="1055" t="str">
        <f t="shared" si="34"/>
        <v>Fioul domestique, Réunion, Base Carbone; kgCO2e/litre, Amont</v>
      </c>
      <c r="I287" s="1031" t="s">
        <v>1588</v>
      </c>
      <c r="J287" s="1032" t="s">
        <v>1574</v>
      </c>
      <c r="K287" s="1032" t="s">
        <v>1567</v>
      </c>
      <c r="L287" s="1032" t="s">
        <v>785</v>
      </c>
      <c r="M287" s="1033">
        <v>0.05</v>
      </c>
      <c r="N287" s="1032" t="s">
        <v>1570</v>
      </c>
      <c r="O287" s="1036">
        <v>0.38200000000000001</v>
      </c>
      <c r="P287" s="1980">
        <f t="shared" si="36"/>
        <v>0.38200000000000001</v>
      </c>
      <c r="Q287" s="1980">
        <v>0</v>
      </c>
      <c r="R287" s="1980">
        <v>0</v>
      </c>
      <c r="S287" s="1980">
        <v>0</v>
      </c>
      <c r="T287" s="1980">
        <v>0</v>
      </c>
      <c r="U287" s="2036">
        <v>0</v>
      </c>
    </row>
    <row r="288" spans="4:21" s="1045" customFormat="1" hidden="1" outlineLevel="2">
      <c r="D288" s="1051">
        <f t="shared" si="32"/>
        <v>24</v>
      </c>
      <c r="E288" s="1051" t="str">
        <f>IF(COUNTIF(E$11:E287,F288)&gt;0,"",F288)</f>
        <v>Fioul domestique, Guadeloupe, Martinique, Guyane, Corse, Base Carbone</v>
      </c>
      <c r="F288" s="1051" t="str">
        <f t="shared" si="33"/>
        <v>Fioul domestique, Guadeloupe, Martinique, Guyane, Corse, Base Carbone</v>
      </c>
      <c r="G288" s="1055" t="str">
        <f t="shared" si="34"/>
        <v>Fioul domestique, Guadeloupe, Martinique, Guyane, Corse, Base Carbone; kgCO2e/kg, Combustion</v>
      </c>
      <c r="I288" s="1031" t="s">
        <v>1588</v>
      </c>
      <c r="J288" s="2017" t="s">
        <v>1572</v>
      </c>
      <c r="K288" s="1032" t="s">
        <v>1567</v>
      </c>
      <c r="L288" s="1032" t="s">
        <v>3084</v>
      </c>
      <c r="M288" s="1033">
        <v>0.05</v>
      </c>
      <c r="N288" s="1032" t="s">
        <v>1569</v>
      </c>
      <c r="O288" s="1036">
        <v>3.15</v>
      </c>
      <c r="P288" s="1980">
        <f t="shared" si="36"/>
        <v>3.15</v>
      </c>
      <c r="Q288" s="1980">
        <v>0</v>
      </c>
      <c r="R288" s="1980">
        <v>0</v>
      </c>
      <c r="S288" s="1980">
        <v>0</v>
      </c>
      <c r="T288" s="1980">
        <v>0</v>
      </c>
      <c r="U288" s="2036">
        <v>0</v>
      </c>
    </row>
    <row r="289" spans="4:21" s="1045" customFormat="1" hidden="1" outlineLevel="2">
      <c r="D289" s="1051">
        <f t="shared" si="32"/>
        <v>24</v>
      </c>
      <c r="E289" s="1051" t="str">
        <f>IF(COUNTIF(E$11:E288,F289)&gt;0,"",F289)</f>
        <v/>
      </c>
      <c r="F289" s="1051" t="str">
        <f t="shared" si="33"/>
        <v>Fioul domestique, Guadeloupe, Martinique, Guyane, Corse, Base Carbone</v>
      </c>
      <c r="G289" s="1055" t="str">
        <f t="shared" si="34"/>
        <v>Fioul domestique, Guadeloupe, Martinique, Guyane, Corse, Base Carbone; kgCO2e/kg, Amont</v>
      </c>
      <c r="I289" s="1031" t="s">
        <v>1588</v>
      </c>
      <c r="J289" s="2017" t="s">
        <v>1572</v>
      </c>
      <c r="K289" s="1032" t="s">
        <v>1567</v>
      </c>
      <c r="L289" s="1032" t="s">
        <v>3084</v>
      </c>
      <c r="M289" s="1033">
        <v>0.05</v>
      </c>
      <c r="N289" s="1032" t="s">
        <v>1570</v>
      </c>
      <c r="O289" s="1036">
        <v>0.33700000000000002</v>
      </c>
      <c r="P289" s="1980">
        <f t="shared" si="36"/>
        <v>0.33700000000000002</v>
      </c>
      <c r="Q289" s="1980">
        <v>0</v>
      </c>
      <c r="R289" s="1980">
        <v>0</v>
      </c>
      <c r="S289" s="1980">
        <v>0</v>
      </c>
      <c r="T289" s="1980">
        <v>0</v>
      </c>
      <c r="U289" s="2036">
        <v>0</v>
      </c>
    </row>
    <row r="290" spans="4:21" s="1045" customFormat="1" hidden="1" outlineLevel="2">
      <c r="D290" s="1051">
        <f t="shared" si="32"/>
        <v>24</v>
      </c>
      <c r="E290" s="1051" t="str">
        <f>IF(COUNTIF(E$11:E289,F290)&gt;0,"",F290)</f>
        <v/>
      </c>
      <c r="F290" s="1051" t="str">
        <f t="shared" si="33"/>
        <v>Fioul domestique, Guadeloupe, Martinique, Guyane, Corse, Base Carbone</v>
      </c>
      <c r="G290" s="1055" t="str">
        <f t="shared" si="34"/>
        <v>Fioul domestique, Guadeloupe, Martinique, Guyane, Corse, Base Carbone; kgCO2e/kWh PCI, Combustion</v>
      </c>
      <c r="I290" s="1031" t="s">
        <v>1588</v>
      </c>
      <c r="J290" s="1032" t="s">
        <v>1573</v>
      </c>
      <c r="K290" s="1032" t="s">
        <v>1567</v>
      </c>
      <c r="L290" s="1032" t="s">
        <v>3084</v>
      </c>
      <c r="M290" s="1033">
        <v>0.05</v>
      </c>
      <c r="N290" s="1032" t="s">
        <v>1569</v>
      </c>
      <c r="O290" s="1036">
        <v>0.27100000000000002</v>
      </c>
      <c r="P290" s="1980">
        <f t="shared" si="36"/>
        <v>0.27100000000000002</v>
      </c>
      <c r="Q290" s="1980">
        <v>0</v>
      </c>
      <c r="R290" s="1980">
        <v>0</v>
      </c>
      <c r="S290" s="1980">
        <v>0</v>
      </c>
      <c r="T290" s="1980">
        <v>0</v>
      </c>
      <c r="U290" s="2036">
        <v>0</v>
      </c>
    </row>
    <row r="291" spans="4:21" s="1045" customFormat="1" hidden="1" outlineLevel="2">
      <c r="D291" s="1051">
        <f t="shared" si="32"/>
        <v>24</v>
      </c>
      <c r="E291" s="1051" t="str">
        <f>IF(COUNTIF(E$11:E290,F291)&gt;0,"",F291)</f>
        <v/>
      </c>
      <c r="F291" s="1051" t="str">
        <f t="shared" si="33"/>
        <v>Fioul domestique, Guadeloupe, Martinique, Guyane, Corse, Base Carbone</v>
      </c>
      <c r="G291" s="1055" t="str">
        <f t="shared" si="34"/>
        <v>Fioul domestique, Guadeloupe, Martinique, Guyane, Corse, Base Carbone; kgCO2e/kWh PCI, Amont</v>
      </c>
      <c r="I291" s="1031" t="s">
        <v>1588</v>
      </c>
      <c r="J291" s="1032" t="s">
        <v>1573</v>
      </c>
      <c r="K291" s="1032" t="s">
        <v>1567</v>
      </c>
      <c r="L291" s="1032" t="s">
        <v>3084</v>
      </c>
      <c r="M291" s="1033">
        <v>0.05</v>
      </c>
      <c r="N291" s="1032" t="s">
        <v>1570</v>
      </c>
      <c r="O291" s="1036">
        <v>2.9000000000000001E-2</v>
      </c>
      <c r="P291" s="1980">
        <f t="shared" si="36"/>
        <v>2.9000000000000001E-2</v>
      </c>
      <c r="Q291" s="1980">
        <v>0</v>
      </c>
      <c r="R291" s="1980">
        <v>0</v>
      </c>
      <c r="S291" s="1980">
        <v>0</v>
      </c>
      <c r="T291" s="1980">
        <v>0</v>
      </c>
      <c r="U291" s="2036">
        <v>0</v>
      </c>
    </row>
    <row r="292" spans="4:21" s="1045" customFormat="1" hidden="1" outlineLevel="2">
      <c r="D292" s="1051">
        <f t="shared" si="32"/>
        <v>24</v>
      </c>
      <c r="E292" s="1051" t="str">
        <f>IF(COUNTIF(E$11:E291,F292)&gt;0,"",F292)</f>
        <v/>
      </c>
      <c r="F292" s="1051" t="str">
        <f t="shared" si="33"/>
        <v>Fioul domestique, Guadeloupe, Martinique, Guyane, Corse, Base Carbone</v>
      </c>
      <c r="G292" s="1055" t="str">
        <f t="shared" si="34"/>
        <v>Fioul domestique, Guadeloupe, Martinique, Guyane, Corse, Base Carbone; kgCO2e/tep PCI, Combustion</v>
      </c>
      <c r="I292" s="1031" t="s">
        <v>1588</v>
      </c>
      <c r="J292" s="1032" t="s">
        <v>1575</v>
      </c>
      <c r="K292" s="1032" t="s">
        <v>1567</v>
      </c>
      <c r="L292" s="1032" t="s">
        <v>3084</v>
      </c>
      <c r="M292" s="1033">
        <v>0.05</v>
      </c>
      <c r="N292" s="1032" t="s">
        <v>1569</v>
      </c>
      <c r="O292" s="1036">
        <v>3150</v>
      </c>
      <c r="P292" s="1980">
        <f t="shared" si="36"/>
        <v>3150</v>
      </c>
      <c r="Q292" s="1980">
        <v>0</v>
      </c>
      <c r="R292" s="1980">
        <v>0</v>
      </c>
      <c r="S292" s="1980">
        <v>0</v>
      </c>
      <c r="T292" s="1980">
        <v>0</v>
      </c>
      <c r="U292" s="2036">
        <v>0</v>
      </c>
    </row>
    <row r="293" spans="4:21" s="1045" customFormat="1" hidden="1" outlineLevel="2">
      <c r="D293" s="1051">
        <f t="shared" si="32"/>
        <v>24</v>
      </c>
      <c r="E293" s="1051" t="str">
        <f>IF(COUNTIF(E$11:E292,F293)&gt;0,"",F293)</f>
        <v/>
      </c>
      <c r="F293" s="1051" t="str">
        <f t="shared" si="33"/>
        <v>Fioul domestique, Guadeloupe, Martinique, Guyane, Corse, Base Carbone</v>
      </c>
      <c r="G293" s="1055" t="str">
        <f t="shared" si="34"/>
        <v>Fioul domestique, Guadeloupe, Martinique, Guyane, Corse, Base Carbone; kgCO2e/tep PCI, Amont</v>
      </c>
      <c r="I293" s="1031" t="s">
        <v>1588</v>
      </c>
      <c r="J293" s="1032" t="s">
        <v>1575</v>
      </c>
      <c r="K293" s="1032" t="s">
        <v>1567</v>
      </c>
      <c r="L293" s="1032" t="s">
        <v>3084</v>
      </c>
      <c r="M293" s="1033">
        <v>0.05</v>
      </c>
      <c r="N293" s="1032" t="s">
        <v>1570</v>
      </c>
      <c r="O293" s="1036">
        <v>337</v>
      </c>
      <c r="P293" s="1980">
        <f t="shared" si="36"/>
        <v>337</v>
      </c>
      <c r="Q293" s="1980">
        <v>0</v>
      </c>
      <c r="R293" s="1980">
        <v>0</v>
      </c>
      <c r="S293" s="1980">
        <v>0</v>
      </c>
      <c r="T293" s="1980">
        <v>0</v>
      </c>
      <c r="U293" s="2036">
        <v>0</v>
      </c>
    </row>
    <row r="294" spans="4:21" s="1045" customFormat="1" hidden="1" outlineLevel="2">
      <c r="D294" s="1051">
        <f t="shared" si="32"/>
        <v>24</v>
      </c>
      <c r="E294" s="1051" t="str">
        <f>IF(COUNTIF(E$11:E293,F294)&gt;0,"",F294)</f>
        <v/>
      </c>
      <c r="F294" s="1051" t="str">
        <f t="shared" si="33"/>
        <v>Fioul domestique, Guadeloupe, Martinique, Guyane, Corse, Base Carbone</v>
      </c>
      <c r="G294" s="1055" t="str">
        <f t="shared" si="34"/>
        <v>Fioul domestique, Guadeloupe, Martinique, Guyane, Corse, Base Carbone; kgCO2e/litre, Combustion</v>
      </c>
      <c r="I294" s="1031" t="s">
        <v>1588</v>
      </c>
      <c r="J294" s="1032" t="s">
        <v>1574</v>
      </c>
      <c r="K294" s="1032" t="s">
        <v>1567</v>
      </c>
      <c r="L294" s="1032" t="s">
        <v>3084</v>
      </c>
      <c r="M294" s="1033">
        <v>0.05</v>
      </c>
      <c r="N294" s="1032" t="s">
        <v>1569</v>
      </c>
      <c r="O294" s="1036">
        <v>2.66</v>
      </c>
      <c r="P294" s="1980">
        <f t="shared" si="36"/>
        <v>2.66</v>
      </c>
      <c r="Q294" s="1980">
        <v>0</v>
      </c>
      <c r="R294" s="1980">
        <v>0</v>
      </c>
      <c r="S294" s="1980">
        <v>0</v>
      </c>
      <c r="T294" s="1980">
        <v>0</v>
      </c>
      <c r="U294" s="2036">
        <v>0</v>
      </c>
    </row>
    <row r="295" spans="4:21" s="1045" customFormat="1" hidden="1" outlineLevel="2">
      <c r="D295" s="1051">
        <f t="shared" si="32"/>
        <v>24</v>
      </c>
      <c r="E295" s="1051" t="str">
        <f>IF(COUNTIF(E$11:E294,F295)&gt;0,"",F295)</f>
        <v/>
      </c>
      <c r="F295" s="1051" t="str">
        <f t="shared" si="33"/>
        <v>Fioul domestique, Guadeloupe, Martinique, Guyane, Corse, Base Carbone</v>
      </c>
      <c r="G295" s="1055" t="str">
        <f t="shared" si="34"/>
        <v>Fioul domestique, Guadeloupe, Martinique, Guyane, Corse, Base Carbone; kgCO2e/litre, Amont</v>
      </c>
      <c r="I295" s="1031" t="s">
        <v>1588</v>
      </c>
      <c r="J295" s="1032" t="s">
        <v>1574</v>
      </c>
      <c r="K295" s="1032" t="s">
        <v>1567</v>
      </c>
      <c r="L295" s="1032" t="s">
        <v>3084</v>
      </c>
      <c r="M295" s="1033">
        <v>0.05</v>
      </c>
      <c r="N295" s="1032" t="s">
        <v>1570</v>
      </c>
      <c r="O295" s="1036">
        <v>0.28499999999999998</v>
      </c>
      <c r="P295" s="1980">
        <f t="shared" si="36"/>
        <v>0.28499999999999998</v>
      </c>
      <c r="Q295" s="1980">
        <v>0</v>
      </c>
      <c r="R295" s="1980">
        <v>0</v>
      </c>
      <c r="S295" s="1980">
        <v>0</v>
      </c>
      <c r="T295" s="1980">
        <v>0</v>
      </c>
      <c r="U295" s="2036">
        <v>0</v>
      </c>
    </row>
    <row r="296" spans="4:21" s="1045" customFormat="1" hidden="1" outlineLevel="2">
      <c r="D296" s="1051">
        <f t="shared" si="32"/>
        <v>25</v>
      </c>
      <c r="E296" s="1051" t="str">
        <f>IF(COUNTIF(E$11:E295,F296)&gt;0,"",F296)</f>
        <v>Fioul domestique, Nouvelle Calédonie, Base Carbone</v>
      </c>
      <c r="F296" s="1051" t="str">
        <f t="shared" si="33"/>
        <v>Fioul domestique, Nouvelle Calédonie, Base Carbone</v>
      </c>
      <c r="G296" s="1055" t="str">
        <f t="shared" si="34"/>
        <v>Fioul domestique, Nouvelle Calédonie, Base Carbone; kgCO2e/kg, Combustion</v>
      </c>
      <c r="I296" s="1031" t="s">
        <v>1588</v>
      </c>
      <c r="J296" s="2017" t="s">
        <v>1572</v>
      </c>
      <c r="K296" s="1032" t="s">
        <v>1567</v>
      </c>
      <c r="L296" s="1032" t="s">
        <v>3085</v>
      </c>
      <c r="M296" s="1033">
        <v>0.05</v>
      </c>
      <c r="N296" s="1032" t="s">
        <v>1569</v>
      </c>
      <c r="O296" s="1036">
        <v>3.15</v>
      </c>
      <c r="P296" s="1980">
        <f t="shared" si="36"/>
        <v>3.15</v>
      </c>
      <c r="Q296" s="1980">
        <v>0</v>
      </c>
      <c r="R296" s="1980">
        <v>0</v>
      </c>
      <c r="S296" s="1980">
        <v>0</v>
      </c>
      <c r="T296" s="1980">
        <v>0</v>
      </c>
      <c r="U296" s="2036">
        <v>0</v>
      </c>
    </row>
    <row r="297" spans="4:21" s="1045" customFormat="1" hidden="1" outlineLevel="2">
      <c r="D297" s="1051">
        <f t="shared" si="32"/>
        <v>25</v>
      </c>
      <c r="E297" s="1051" t="str">
        <f>IF(COUNTIF(E$11:E296,F297)&gt;0,"",F297)</f>
        <v/>
      </c>
      <c r="F297" s="1051" t="str">
        <f t="shared" si="33"/>
        <v>Fioul domestique, Nouvelle Calédonie, Base Carbone</v>
      </c>
      <c r="G297" s="1055" t="str">
        <f t="shared" si="34"/>
        <v>Fioul domestique, Nouvelle Calédonie, Base Carbone; kgCO2e/kg, Amont</v>
      </c>
      <c r="I297" s="1031" t="s">
        <v>1588</v>
      </c>
      <c r="J297" s="2017" t="s">
        <v>1572</v>
      </c>
      <c r="K297" s="1032" t="s">
        <v>1567</v>
      </c>
      <c r="L297" s="1032" t="s">
        <v>3085</v>
      </c>
      <c r="M297" s="1033">
        <v>0.05</v>
      </c>
      <c r="N297" s="1032" t="s">
        <v>1570</v>
      </c>
      <c r="O297" s="1036">
        <v>0.47299999999999998</v>
      </c>
      <c r="P297" s="1980">
        <f t="shared" si="36"/>
        <v>0.47299999999999998</v>
      </c>
      <c r="Q297" s="1980">
        <v>0</v>
      </c>
      <c r="R297" s="1980">
        <v>0</v>
      </c>
      <c r="S297" s="1980">
        <v>0</v>
      </c>
      <c r="T297" s="1980">
        <v>0</v>
      </c>
      <c r="U297" s="2036">
        <v>0</v>
      </c>
    </row>
    <row r="298" spans="4:21" s="1045" customFormat="1" hidden="1" outlineLevel="2">
      <c r="D298" s="1051">
        <f t="shared" ref="D298:D361" si="37">D297+IF(LEN(E298)=0,0,1)</f>
        <v>25</v>
      </c>
      <c r="E298" s="1051" t="str">
        <f>IF(COUNTIF(E$11:E297,F298)&gt;0,"",F298)</f>
        <v/>
      </c>
      <c r="F298" s="1051" t="str">
        <f t="shared" ref="F298:F361" si="38">IF(I298&lt;&gt;"",I298&amp;IF(L298&lt;&gt;"",", "&amp;L298,"")&amp;IF(K298&lt;&gt;"",", "&amp;K298,""),"")</f>
        <v>Fioul domestique, Nouvelle Calédonie, Base Carbone</v>
      </c>
      <c r="G298" s="1055" t="str">
        <f t="shared" ref="G298:G361" si="39">IF(F298&lt;&gt;"",F298&amp;IF(J298&lt;&gt;"","; "&amp;J298,"")&amp;IF(N298&lt;&gt;"",", "&amp;N298,""),"")</f>
        <v>Fioul domestique, Nouvelle Calédonie, Base Carbone; kgCO2e/kWh PCI, Combustion</v>
      </c>
      <c r="I298" s="1031" t="s">
        <v>1588</v>
      </c>
      <c r="J298" s="1032" t="s">
        <v>1573</v>
      </c>
      <c r="K298" s="1032" t="s">
        <v>1567</v>
      </c>
      <c r="L298" s="1032" t="s">
        <v>3085</v>
      </c>
      <c r="M298" s="1033">
        <v>0.05</v>
      </c>
      <c r="N298" s="1032" t="s">
        <v>1569</v>
      </c>
      <c r="O298" s="1036">
        <v>0.27100000000000002</v>
      </c>
      <c r="P298" s="1980">
        <f t="shared" si="36"/>
        <v>0.27100000000000002</v>
      </c>
      <c r="Q298" s="1980">
        <v>0</v>
      </c>
      <c r="R298" s="1980">
        <v>0</v>
      </c>
      <c r="S298" s="1980">
        <v>0</v>
      </c>
      <c r="T298" s="1980">
        <v>0</v>
      </c>
      <c r="U298" s="2036">
        <v>0</v>
      </c>
    </row>
    <row r="299" spans="4:21" s="1045" customFormat="1" hidden="1" outlineLevel="2">
      <c r="D299" s="1051">
        <f t="shared" si="37"/>
        <v>25</v>
      </c>
      <c r="E299" s="1051" t="str">
        <f>IF(COUNTIF(E$11:E298,F299)&gt;0,"",F299)</f>
        <v/>
      </c>
      <c r="F299" s="1051" t="str">
        <f t="shared" si="38"/>
        <v>Fioul domestique, Nouvelle Calédonie, Base Carbone</v>
      </c>
      <c r="G299" s="1055" t="str">
        <f t="shared" si="39"/>
        <v>Fioul domestique, Nouvelle Calédonie, Base Carbone; kgCO2e/kWh PCI, Amont</v>
      </c>
      <c r="I299" s="1031" t="s">
        <v>1588</v>
      </c>
      <c r="J299" s="1032" t="s">
        <v>1573</v>
      </c>
      <c r="K299" s="1032" t="s">
        <v>1567</v>
      </c>
      <c r="L299" s="1032" t="s">
        <v>3085</v>
      </c>
      <c r="M299" s="1033">
        <v>0.05</v>
      </c>
      <c r="N299" s="1032" t="s">
        <v>1570</v>
      </c>
      <c r="O299" s="1036">
        <v>4.07E-2</v>
      </c>
      <c r="P299" s="1980">
        <f t="shared" si="36"/>
        <v>4.07E-2</v>
      </c>
      <c r="Q299" s="1980">
        <v>0</v>
      </c>
      <c r="R299" s="1980">
        <v>0</v>
      </c>
      <c r="S299" s="1980">
        <v>0</v>
      </c>
      <c r="T299" s="1980">
        <v>0</v>
      </c>
      <c r="U299" s="2036">
        <v>0</v>
      </c>
    </row>
    <row r="300" spans="4:21" s="1045" customFormat="1" hidden="1" outlineLevel="2">
      <c r="D300" s="1051">
        <f t="shared" si="37"/>
        <v>25</v>
      </c>
      <c r="E300" s="1051" t="str">
        <f>IF(COUNTIF(E$11:E299,F300)&gt;0,"",F300)</f>
        <v/>
      </c>
      <c r="F300" s="1051" t="str">
        <f t="shared" si="38"/>
        <v>Fioul domestique, Nouvelle Calédonie, Base Carbone</v>
      </c>
      <c r="G300" s="1055" t="str">
        <f t="shared" si="39"/>
        <v>Fioul domestique, Nouvelle Calédonie, Base Carbone; kgCO2e/tep PCI, Combustion</v>
      </c>
      <c r="I300" s="1031" t="s">
        <v>1588</v>
      </c>
      <c r="J300" s="1032" t="s">
        <v>1575</v>
      </c>
      <c r="K300" s="1032" t="s">
        <v>1567</v>
      </c>
      <c r="L300" s="1032" t="s">
        <v>3085</v>
      </c>
      <c r="M300" s="1033">
        <v>0.05</v>
      </c>
      <c r="N300" s="1032" t="s">
        <v>1569</v>
      </c>
      <c r="O300" s="1036">
        <v>3150</v>
      </c>
      <c r="P300" s="1980">
        <f t="shared" si="36"/>
        <v>3150</v>
      </c>
      <c r="Q300" s="1980">
        <v>0</v>
      </c>
      <c r="R300" s="1980">
        <v>0</v>
      </c>
      <c r="S300" s="1980">
        <v>0</v>
      </c>
      <c r="T300" s="1980">
        <v>0</v>
      </c>
      <c r="U300" s="2036">
        <v>0</v>
      </c>
    </row>
    <row r="301" spans="4:21" s="1045" customFormat="1" hidden="1" outlineLevel="2">
      <c r="D301" s="1051">
        <f t="shared" si="37"/>
        <v>25</v>
      </c>
      <c r="E301" s="1051" t="str">
        <f>IF(COUNTIF(E$11:E300,F301)&gt;0,"",F301)</f>
        <v/>
      </c>
      <c r="F301" s="1051" t="str">
        <f t="shared" si="38"/>
        <v>Fioul domestique, Nouvelle Calédonie, Base Carbone</v>
      </c>
      <c r="G301" s="1055" t="str">
        <f t="shared" si="39"/>
        <v>Fioul domestique, Nouvelle Calédonie, Base Carbone; kgCO2e/tep PCI, Amont</v>
      </c>
      <c r="I301" s="1031" t="s">
        <v>1588</v>
      </c>
      <c r="J301" s="1032" t="s">
        <v>1575</v>
      </c>
      <c r="K301" s="1032" t="s">
        <v>1567</v>
      </c>
      <c r="L301" s="1032" t="s">
        <v>3085</v>
      </c>
      <c r="M301" s="1033">
        <v>0.05</v>
      </c>
      <c r="N301" s="1032" t="s">
        <v>1570</v>
      </c>
      <c r="O301" s="1036">
        <v>473</v>
      </c>
      <c r="P301" s="1980">
        <f t="shared" si="36"/>
        <v>473</v>
      </c>
      <c r="Q301" s="1980">
        <v>0</v>
      </c>
      <c r="R301" s="1980">
        <v>0</v>
      </c>
      <c r="S301" s="1980">
        <v>0</v>
      </c>
      <c r="T301" s="1980">
        <v>0</v>
      </c>
      <c r="U301" s="2036">
        <v>0</v>
      </c>
    </row>
    <row r="302" spans="4:21" s="1045" customFormat="1" hidden="1" outlineLevel="2">
      <c r="D302" s="1051">
        <f t="shared" si="37"/>
        <v>25</v>
      </c>
      <c r="E302" s="1051" t="str">
        <f>IF(COUNTIF(E$11:E301,F302)&gt;0,"",F302)</f>
        <v/>
      </c>
      <c r="F302" s="1051" t="str">
        <f t="shared" si="38"/>
        <v>Fioul domestique, Nouvelle Calédonie, Base Carbone</v>
      </c>
      <c r="G302" s="1055" t="str">
        <f t="shared" si="39"/>
        <v>Fioul domestique, Nouvelle Calédonie, Base Carbone; kgCO2e/litre, Combustion</v>
      </c>
      <c r="I302" s="1031" t="s">
        <v>1588</v>
      </c>
      <c r="J302" s="1032" t="s">
        <v>1574</v>
      </c>
      <c r="K302" s="1032" t="s">
        <v>1567</v>
      </c>
      <c r="L302" s="1032" t="s">
        <v>3085</v>
      </c>
      <c r="M302" s="1033">
        <v>0.05</v>
      </c>
      <c r="N302" s="1032" t="s">
        <v>1569</v>
      </c>
      <c r="O302" s="1036">
        <v>2.66</v>
      </c>
      <c r="P302" s="1980">
        <f t="shared" si="36"/>
        <v>2.66</v>
      </c>
      <c r="Q302" s="1980">
        <v>0</v>
      </c>
      <c r="R302" s="1980">
        <v>0</v>
      </c>
      <c r="S302" s="1980">
        <v>0</v>
      </c>
      <c r="T302" s="1980">
        <v>0</v>
      </c>
      <c r="U302" s="2036">
        <v>0</v>
      </c>
    </row>
    <row r="303" spans="4:21" s="1045" customFormat="1" hidden="1" outlineLevel="2">
      <c r="D303" s="1051">
        <f t="shared" si="37"/>
        <v>25</v>
      </c>
      <c r="E303" s="1051" t="str">
        <f>IF(COUNTIF(E$11:E302,F303)&gt;0,"",F303)</f>
        <v/>
      </c>
      <c r="F303" s="1051" t="str">
        <f t="shared" si="38"/>
        <v>Fioul domestique, Nouvelle Calédonie, Base Carbone</v>
      </c>
      <c r="G303" s="1055" t="str">
        <f t="shared" si="39"/>
        <v>Fioul domestique, Nouvelle Calédonie, Base Carbone; kgCO2e/litre, Amont</v>
      </c>
      <c r="I303" s="1031" t="s">
        <v>1588</v>
      </c>
      <c r="J303" s="1032" t="s">
        <v>1574</v>
      </c>
      <c r="K303" s="1032" t="s">
        <v>1567</v>
      </c>
      <c r="L303" s="1032" t="s">
        <v>3085</v>
      </c>
      <c r="M303" s="1033">
        <v>0.05</v>
      </c>
      <c r="N303" s="1032" t="s">
        <v>1570</v>
      </c>
      <c r="O303" s="1036">
        <v>0.38200000000000001</v>
      </c>
      <c r="P303" s="1980">
        <f t="shared" si="36"/>
        <v>0.38200000000000001</v>
      </c>
      <c r="Q303" s="1980">
        <v>0</v>
      </c>
      <c r="R303" s="1980">
        <v>0</v>
      </c>
      <c r="S303" s="1980">
        <v>0</v>
      </c>
      <c r="T303" s="1980">
        <v>0</v>
      </c>
      <c r="U303" s="2036">
        <v>0</v>
      </c>
    </row>
    <row r="304" spans="4:21" hidden="1" outlineLevel="2">
      <c r="D304" s="1051">
        <f t="shared" si="37"/>
        <v>26</v>
      </c>
      <c r="E304" s="1051" t="str">
        <f>IF(COUNTIF(E$11:E303,F304)&gt;0,"",F304)</f>
        <v>Fioul lourd (commercial), Europe, Base Carbone</v>
      </c>
      <c r="F304" s="1051" t="str">
        <f t="shared" si="38"/>
        <v>Fioul lourd (commercial), Europe, Base Carbone</v>
      </c>
      <c r="G304" s="1055" t="str">
        <f t="shared" si="39"/>
        <v>Fioul lourd (commercial), Europe, Base Carbone; kgCO2e/kWh PCI, Combustion</v>
      </c>
      <c r="I304" s="1031" t="s">
        <v>1589</v>
      </c>
      <c r="J304" s="1032" t="s">
        <v>1573</v>
      </c>
      <c r="K304" s="1032" t="s">
        <v>1567</v>
      </c>
      <c r="L304" s="1032" t="s">
        <v>1568</v>
      </c>
      <c r="M304" s="1033">
        <v>0.05</v>
      </c>
      <c r="N304" s="1032" t="s">
        <v>1569</v>
      </c>
      <c r="O304" s="1036">
        <v>0.28000000000000003</v>
      </c>
      <c r="P304" s="1036">
        <v>0.27800000000000002</v>
      </c>
      <c r="Q304" s="1036">
        <v>1.35E-4</v>
      </c>
      <c r="R304" s="1036">
        <v>0</v>
      </c>
      <c r="S304" s="1036">
        <v>1.67E-3</v>
      </c>
      <c r="T304" s="1036">
        <v>0</v>
      </c>
      <c r="U304" s="1037">
        <v>0</v>
      </c>
    </row>
    <row r="305" spans="4:21" hidden="1" outlineLevel="2">
      <c r="D305" s="1051">
        <f t="shared" si="37"/>
        <v>26</v>
      </c>
      <c r="E305" s="1051" t="str">
        <f>IF(COUNTIF(E$11:E304,F305)&gt;0,"",F305)</f>
        <v/>
      </c>
      <c r="F305" s="1051" t="str">
        <f t="shared" si="38"/>
        <v>Fioul lourd (commercial), Europe, Base Carbone</v>
      </c>
      <c r="G305" s="1055" t="str">
        <f t="shared" si="39"/>
        <v>Fioul lourd (commercial), Europe, Base Carbone; kgCO2e/kWh PCI, Amont</v>
      </c>
      <c r="I305" s="1031" t="s">
        <v>1589</v>
      </c>
      <c r="J305" s="1032" t="s">
        <v>1573</v>
      </c>
      <c r="K305" s="1032" t="s">
        <v>1567</v>
      </c>
      <c r="L305" s="1032" t="s">
        <v>1568</v>
      </c>
      <c r="M305" s="1033">
        <v>0.05</v>
      </c>
      <c r="N305" s="1032" t="s">
        <v>1570</v>
      </c>
      <c r="O305" s="1036">
        <v>4.53E-2</v>
      </c>
      <c r="P305" s="1036">
        <v>4.1300000000000003E-2</v>
      </c>
      <c r="Q305" s="1036">
        <v>3.98E-3</v>
      </c>
      <c r="R305" s="1036">
        <v>0</v>
      </c>
      <c r="S305" s="1036">
        <v>0</v>
      </c>
      <c r="T305" s="1036">
        <v>0</v>
      </c>
      <c r="U305" s="1037">
        <v>0</v>
      </c>
    </row>
    <row r="306" spans="4:21" hidden="1" outlineLevel="2">
      <c r="D306" s="1051">
        <f t="shared" si="37"/>
        <v>26</v>
      </c>
      <c r="E306" s="1051" t="str">
        <f>IF(COUNTIF(E$11:E305,F306)&gt;0,"",F306)</f>
        <v/>
      </c>
      <c r="F306" s="1051" t="str">
        <f t="shared" si="38"/>
        <v>Fioul lourd (commercial), Europe, Base Carbone</v>
      </c>
      <c r="G306" s="1055" t="str">
        <f t="shared" si="39"/>
        <v>Fioul lourd (commercial), Europe, Base Carbone; kgCO2e/litre, Combustion</v>
      </c>
      <c r="I306" s="1031" t="s">
        <v>1589</v>
      </c>
      <c r="J306" s="1032" t="s">
        <v>1574</v>
      </c>
      <c r="K306" s="1032" t="s">
        <v>1567</v>
      </c>
      <c r="L306" s="1032" t="s">
        <v>1568</v>
      </c>
      <c r="M306" s="1033">
        <v>0.05</v>
      </c>
      <c r="N306" s="1032" t="s">
        <v>1569</v>
      </c>
      <c r="O306" s="1036">
        <v>2.8</v>
      </c>
      <c r="P306" s="1036">
        <v>2.78</v>
      </c>
      <c r="Q306" s="1036">
        <v>1.3500000000000001E-3</v>
      </c>
      <c r="R306" s="1036">
        <v>0</v>
      </c>
      <c r="S306" s="1036">
        <v>1.67E-2</v>
      </c>
      <c r="T306" s="1036">
        <v>0</v>
      </c>
      <c r="U306" s="1037">
        <v>0</v>
      </c>
    </row>
    <row r="307" spans="4:21" hidden="1" outlineLevel="2">
      <c r="D307" s="1051">
        <f t="shared" si="37"/>
        <v>26</v>
      </c>
      <c r="E307" s="1051" t="str">
        <f>IF(COUNTIF(E$11:E306,F307)&gt;0,"",F307)</f>
        <v/>
      </c>
      <c r="F307" s="1051" t="str">
        <f t="shared" si="38"/>
        <v>Fioul lourd (commercial), Europe, Base Carbone</v>
      </c>
      <c r="G307" s="1055" t="str">
        <f t="shared" si="39"/>
        <v>Fioul lourd (commercial), Europe, Base Carbone; kgCO2e/litre, Amont</v>
      </c>
      <c r="I307" s="1031" t="s">
        <v>1589</v>
      </c>
      <c r="J307" s="1032" t="s">
        <v>1574</v>
      </c>
      <c r="K307" s="1032" t="s">
        <v>1567</v>
      </c>
      <c r="L307" s="1032" t="s">
        <v>1568</v>
      </c>
      <c r="M307" s="1033">
        <v>0.05</v>
      </c>
      <c r="N307" s="1032" t="s">
        <v>1570</v>
      </c>
      <c r="O307" s="1036">
        <v>0.45300000000000001</v>
      </c>
      <c r="P307" s="1036">
        <v>0.41299999999999998</v>
      </c>
      <c r="Q307" s="1036">
        <v>3.9800000000000002E-2</v>
      </c>
      <c r="R307" s="1036">
        <v>0</v>
      </c>
      <c r="S307" s="1036">
        <v>0</v>
      </c>
      <c r="T307" s="1036">
        <v>0</v>
      </c>
      <c r="U307" s="1037">
        <v>0</v>
      </c>
    </row>
    <row r="308" spans="4:21" hidden="1" outlineLevel="2">
      <c r="D308" s="1051">
        <f t="shared" si="37"/>
        <v>26</v>
      </c>
      <c r="E308" s="1051" t="str">
        <f>IF(COUNTIF(E$11:E307,F308)&gt;0,"",F308)</f>
        <v/>
      </c>
      <c r="F308" s="1051" t="str">
        <f t="shared" si="38"/>
        <v>Fioul lourd (commercial), Europe, Base Carbone</v>
      </c>
      <c r="G308" s="1055" t="str">
        <f t="shared" si="39"/>
        <v>Fioul lourd (commercial), Europe, Base Carbone; kgCO2e/tep PCI, Combustion</v>
      </c>
      <c r="I308" s="1031" t="s">
        <v>1589</v>
      </c>
      <c r="J308" s="1032" t="s">
        <v>1575</v>
      </c>
      <c r="K308" s="1032" t="s">
        <v>1567</v>
      </c>
      <c r="L308" s="1032" t="s">
        <v>1568</v>
      </c>
      <c r="M308" s="1033">
        <v>0.05</v>
      </c>
      <c r="N308" s="1032" t="s">
        <v>1569</v>
      </c>
      <c r="O308" s="1036">
        <v>3270</v>
      </c>
      <c r="P308" s="1036">
        <v>3250</v>
      </c>
      <c r="Q308" s="1036">
        <v>1.58</v>
      </c>
      <c r="R308" s="1036">
        <v>0</v>
      </c>
      <c r="S308" s="1036">
        <v>19.5</v>
      </c>
      <c r="T308" s="1036">
        <v>0</v>
      </c>
      <c r="U308" s="1037">
        <v>0</v>
      </c>
    </row>
    <row r="309" spans="4:21" hidden="1" outlineLevel="2">
      <c r="D309" s="1051">
        <f t="shared" si="37"/>
        <v>26</v>
      </c>
      <c r="E309" s="1051" t="str">
        <f>IF(COUNTIF(E$11:E308,F309)&gt;0,"",F309)</f>
        <v/>
      </c>
      <c r="F309" s="1051" t="str">
        <f t="shared" si="38"/>
        <v>Fioul lourd (commercial), Europe, Base Carbone</v>
      </c>
      <c r="G309" s="1055" t="str">
        <f t="shared" si="39"/>
        <v>Fioul lourd (commercial), Europe, Base Carbone; kgCO2e/tep PCI, Amont</v>
      </c>
      <c r="I309" s="1031" t="s">
        <v>1589</v>
      </c>
      <c r="J309" s="1032" t="s">
        <v>1575</v>
      </c>
      <c r="K309" s="1032" t="s">
        <v>1567</v>
      </c>
      <c r="L309" s="1032" t="s">
        <v>1568</v>
      </c>
      <c r="M309" s="1033">
        <v>0.05</v>
      </c>
      <c r="N309" s="1032" t="s">
        <v>1570</v>
      </c>
      <c r="O309" s="1036">
        <v>528</v>
      </c>
      <c r="P309" s="1036">
        <v>482</v>
      </c>
      <c r="Q309" s="1036">
        <v>46.4</v>
      </c>
      <c r="R309" s="1036">
        <v>0</v>
      </c>
      <c r="S309" s="1036">
        <v>0</v>
      </c>
      <c r="T309" s="1036">
        <v>0</v>
      </c>
      <c r="U309" s="1037">
        <v>0</v>
      </c>
    </row>
    <row r="310" spans="4:21" hidden="1" outlineLevel="2">
      <c r="D310" s="1051">
        <f t="shared" si="37"/>
        <v>26</v>
      </c>
      <c r="E310" s="1051" t="str">
        <f>IF(COUNTIF(E$11:E309,F310)&gt;0,"",F310)</f>
        <v/>
      </c>
      <c r="F310" s="1051" t="str">
        <f t="shared" si="38"/>
        <v>Fioul lourd (commercial), Europe, Base Carbone</v>
      </c>
      <c r="G310" s="1055" t="str">
        <f t="shared" si="39"/>
        <v>Fioul lourd (commercial), Europe, Base Carbone; kgCO2e/GJ PCI, Combustion</v>
      </c>
      <c r="I310" s="1031" t="s">
        <v>1589</v>
      </c>
      <c r="J310" s="1032" t="s">
        <v>1566</v>
      </c>
      <c r="K310" s="1032" t="s">
        <v>1567</v>
      </c>
      <c r="L310" s="1032" t="s">
        <v>1568</v>
      </c>
      <c r="M310" s="1033">
        <v>0.05</v>
      </c>
      <c r="N310" s="1032" t="s">
        <v>1569</v>
      </c>
      <c r="O310" s="1036">
        <v>77.8</v>
      </c>
      <c r="P310" s="1036">
        <v>77.3</v>
      </c>
      <c r="Q310" s="1036">
        <v>3.7499999999999999E-2</v>
      </c>
      <c r="R310" s="1036">
        <v>0</v>
      </c>
      <c r="S310" s="1036">
        <v>0.46400000000000002</v>
      </c>
      <c r="T310" s="1036">
        <v>0</v>
      </c>
      <c r="U310" s="1037">
        <v>0</v>
      </c>
    </row>
    <row r="311" spans="4:21" hidden="1" outlineLevel="2">
      <c r="D311" s="1051">
        <f t="shared" si="37"/>
        <v>26</v>
      </c>
      <c r="E311" s="1051" t="str">
        <f>IF(COUNTIF(E$11:E310,F311)&gt;0,"",F311)</f>
        <v/>
      </c>
      <c r="F311" s="1051" t="str">
        <f t="shared" si="38"/>
        <v>Fioul lourd (commercial), Europe, Base Carbone</v>
      </c>
      <c r="G311" s="1055" t="str">
        <f t="shared" si="39"/>
        <v>Fioul lourd (commercial), Europe, Base Carbone; kgCO2e/GJ PCI, Amont</v>
      </c>
      <c r="I311" s="1031" t="s">
        <v>1589</v>
      </c>
      <c r="J311" s="1032" t="s">
        <v>1566</v>
      </c>
      <c r="K311" s="1032" t="s">
        <v>1567</v>
      </c>
      <c r="L311" s="1032" t="s">
        <v>1568</v>
      </c>
      <c r="M311" s="1033">
        <v>0.05</v>
      </c>
      <c r="N311" s="1032" t="s">
        <v>1570</v>
      </c>
      <c r="O311" s="1036">
        <v>12.6</v>
      </c>
      <c r="P311" s="1036">
        <v>11.5</v>
      </c>
      <c r="Q311" s="1036">
        <v>1.1100000000000001</v>
      </c>
      <c r="R311" s="1036">
        <v>0</v>
      </c>
      <c r="S311" s="1036">
        <v>0</v>
      </c>
      <c r="T311" s="1036">
        <v>0</v>
      </c>
      <c r="U311" s="1037">
        <v>0</v>
      </c>
    </row>
    <row r="312" spans="4:21" hidden="1" outlineLevel="2">
      <c r="D312" s="1051">
        <f t="shared" si="37"/>
        <v>27</v>
      </c>
      <c r="E312" s="1051" t="str">
        <f>IF(COUNTIF(E$11:E311,F312)&gt;0,"",F312)</f>
        <v>Fioul Lourd (commercial), France continentale, Base Carbone</v>
      </c>
      <c r="F312" s="1051" t="str">
        <f t="shared" si="38"/>
        <v>Fioul Lourd (commercial), France continentale, Base Carbone</v>
      </c>
      <c r="G312" s="1055" t="str">
        <f t="shared" si="39"/>
        <v>Fioul Lourd (commercial), France continentale, Base Carbone; kgCO2e/GJ PCI, Combustion</v>
      </c>
      <c r="I312" s="1031" t="s">
        <v>1590</v>
      </c>
      <c r="J312" s="1032" t="s">
        <v>1566</v>
      </c>
      <c r="K312" s="1032" t="s">
        <v>1567</v>
      </c>
      <c r="L312" s="1032" t="s">
        <v>1571</v>
      </c>
      <c r="M312" s="1033">
        <v>0.05</v>
      </c>
      <c r="N312" s="1032" t="s">
        <v>1569</v>
      </c>
      <c r="O312" s="1036">
        <v>78.5</v>
      </c>
      <c r="P312" s="1036">
        <v>78</v>
      </c>
      <c r="Q312" s="1036">
        <v>0.06</v>
      </c>
      <c r="R312" s="1036">
        <v>0</v>
      </c>
      <c r="S312" s="1036">
        <v>0.47699999999999998</v>
      </c>
      <c r="T312" s="1036">
        <v>0</v>
      </c>
      <c r="U312" s="1037">
        <v>0</v>
      </c>
    </row>
    <row r="313" spans="4:21" hidden="1" outlineLevel="2">
      <c r="D313" s="1051">
        <f t="shared" si="37"/>
        <v>27</v>
      </c>
      <c r="E313" s="1051" t="str">
        <f>IF(COUNTIF(E$11:E312,F313)&gt;0,"",F313)</f>
        <v/>
      </c>
      <c r="F313" s="1051" t="str">
        <f t="shared" si="38"/>
        <v>Fioul Lourd (commercial), France continentale, Base Carbone</v>
      </c>
      <c r="G313" s="1055" t="str">
        <f t="shared" si="39"/>
        <v>Fioul Lourd (commercial), France continentale, Base Carbone; kgCO2e/GJ PCI, Amont</v>
      </c>
      <c r="I313" s="1031" t="s">
        <v>1590</v>
      </c>
      <c r="J313" s="1032" t="s">
        <v>1566</v>
      </c>
      <c r="K313" s="1032" t="s">
        <v>1567</v>
      </c>
      <c r="L313" s="1032" t="s">
        <v>1571</v>
      </c>
      <c r="M313" s="1033">
        <v>0.05</v>
      </c>
      <c r="N313" s="1032" t="s">
        <v>1570</v>
      </c>
      <c r="O313" s="1036">
        <v>12.7</v>
      </c>
      <c r="P313" s="1036">
        <v>11.5</v>
      </c>
      <c r="Q313" s="1036">
        <v>1.2</v>
      </c>
      <c r="R313" s="1036">
        <v>0</v>
      </c>
      <c r="S313" s="1036">
        <v>0</v>
      </c>
      <c r="T313" s="1036">
        <v>0</v>
      </c>
      <c r="U313" s="1037">
        <v>0</v>
      </c>
    </row>
    <row r="314" spans="4:21" hidden="1" outlineLevel="2">
      <c r="D314" s="1051">
        <f t="shared" si="37"/>
        <v>27</v>
      </c>
      <c r="E314" s="1051" t="str">
        <f>IF(COUNTIF(E$11:E313,F314)&gt;0,"",F314)</f>
        <v/>
      </c>
      <c r="F314" s="1051" t="str">
        <f t="shared" si="38"/>
        <v>Fioul Lourd (commercial), Europe, Base Carbone</v>
      </c>
      <c r="G314" s="1055" t="str">
        <f t="shared" si="39"/>
        <v>Fioul Lourd (commercial), Europe, Base Carbone; kgCO2e/kg, Combustion</v>
      </c>
      <c r="I314" s="1031" t="s">
        <v>1590</v>
      </c>
      <c r="J314" s="1032" t="s">
        <v>1572</v>
      </c>
      <c r="K314" s="1032" t="s">
        <v>1567</v>
      </c>
      <c r="L314" s="1032" t="s">
        <v>1568</v>
      </c>
      <c r="M314" s="1033">
        <v>0.05</v>
      </c>
      <c r="N314" s="1032" t="s">
        <v>1569</v>
      </c>
      <c r="O314" s="1036">
        <v>3.11</v>
      </c>
      <c r="P314" s="1036">
        <v>3.09</v>
      </c>
      <c r="Q314" s="1036">
        <v>2.3999999999999998E-3</v>
      </c>
      <c r="R314" s="1036">
        <v>0</v>
      </c>
      <c r="S314" s="1036">
        <v>1.8599999999999998E-2</v>
      </c>
      <c r="T314" s="1036">
        <v>0</v>
      </c>
      <c r="U314" s="1037">
        <v>0</v>
      </c>
    </row>
    <row r="315" spans="4:21" hidden="1" outlineLevel="2">
      <c r="D315" s="1051">
        <f t="shared" si="37"/>
        <v>27</v>
      </c>
      <c r="E315" s="1051" t="str">
        <f>IF(COUNTIF(E$11:E314,F315)&gt;0,"",F315)</f>
        <v/>
      </c>
      <c r="F315" s="1051" t="str">
        <f t="shared" si="38"/>
        <v>Fioul Lourd (commercial), Europe, Base Carbone</v>
      </c>
      <c r="G315" s="1055" t="str">
        <f t="shared" si="39"/>
        <v>Fioul Lourd (commercial), Europe, Base Carbone; kgCO2e/kg, Amont</v>
      </c>
      <c r="I315" s="1031" t="s">
        <v>1590</v>
      </c>
      <c r="J315" s="1032" t="s">
        <v>1572</v>
      </c>
      <c r="K315" s="1032" t="s">
        <v>1567</v>
      </c>
      <c r="L315" s="1032" t="s">
        <v>1568</v>
      </c>
      <c r="M315" s="1033">
        <v>0.05</v>
      </c>
      <c r="N315" s="1032" t="s">
        <v>1570</v>
      </c>
      <c r="O315" s="1036">
        <v>0.503</v>
      </c>
      <c r="P315" s="1036">
        <v>0.45900000000000002</v>
      </c>
      <c r="Q315" s="1036">
        <v>4.41E-2</v>
      </c>
      <c r="R315" s="1036">
        <v>0</v>
      </c>
      <c r="S315" s="1036">
        <v>0</v>
      </c>
      <c r="T315" s="1036">
        <v>0</v>
      </c>
      <c r="U315" s="1037">
        <v>0</v>
      </c>
    </row>
    <row r="316" spans="4:21" hidden="1" outlineLevel="2">
      <c r="D316" s="1051">
        <f t="shared" si="37"/>
        <v>27</v>
      </c>
      <c r="E316" s="1051" t="str">
        <f>IF(COUNTIF(E$11:E315,F316)&gt;0,"",F316)</f>
        <v/>
      </c>
      <c r="F316" s="1051" t="str">
        <f t="shared" si="38"/>
        <v>Fioul Lourd (commercial), France continentale, Base Carbone</v>
      </c>
      <c r="G316" s="1055" t="str">
        <f t="shared" si="39"/>
        <v>Fioul Lourd (commercial), France continentale, Base Carbone; kgCO2e/kg, Combustion</v>
      </c>
      <c r="I316" s="1031" t="s">
        <v>1590</v>
      </c>
      <c r="J316" s="1032" t="s">
        <v>1572</v>
      </c>
      <c r="K316" s="1032" t="s">
        <v>1567</v>
      </c>
      <c r="L316" s="1032" t="s">
        <v>1571</v>
      </c>
      <c r="M316" s="1033">
        <v>0.05</v>
      </c>
      <c r="N316" s="1032" t="s">
        <v>1569</v>
      </c>
      <c r="O316" s="1036">
        <v>3.14</v>
      </c>
      <c r="P316" s="1036">
        <v>3.12</v>
      </c>
      <c r="Q316" s="1036">
        <v>2.3999999999999998E-3</v>
      </c>
      <c r="R316" s="1036">
        <v>0</v>
      </c>
      <c r="S316" s="1036">
        <v>1.8599999999999998E-2</v>
      </c>
      <c r="T316" s="1036">
        <v>0</v>
      </c>
      <c r="U316" s="1037">
        <v>0</v>
      </c>
    </row>
    <row r="317" spans="4:21" hidden="1" outlineLevel="2">
      <c r="D317" s="1051">
        <f t="shared" si="37"/>
        <v>27</v>
      </c>
      <c r="E317" s="1051" t="str">
        <f>IF(COUNTIF(E$11:E316,F317)&gt;0,"",F317)</f>
        <v/>
      </c>
      <c r="F317" s="1051" t="str">
        <f t="shared" si="38"/>
        <v>Fioul Lourd (commercial), France continentale, Base Carbone</v>
      </c>
      <c r="G317" s="1055" t="str">
        <f t="shared" si="39"/>
        <v>Fioul Lourd (commercial), France continentale, Base Carbone; kgCO2e/kg, Amont</v>
      </c>
      <c r="I317" s="1031" t="s">
        <v>1590</v>
      </c>
      <c r="J317" s="1032" t="s">
        <v>1572</v>
      </c>
      <c r="K317" s="1032" t="s">
        <v>1567</v>
      </c>
      <c r="L317" s="1032" t="s">
        <v>1571</v>
      </c>
      <c r="M317" s="1033">
        <v>0.05</v>
      </c>
      <c r="N317" s="1032" t="s">
        <v>1570</v>
      </c>
      <c r="O317" s="1036">
        <v>0.503</v>
      </c>
      <c r="P317" s="1036">
        <v>0.45900000000000002</v>
      </c>
      <c r="Q317" s="1036">
        <v>4.41E-2</v>
      </c>
      <c r="R317" s="1036">
        <v>0</v>
      </c>
      <c r="S317" s="1036">
        <v>0</v>
      </c>
      <c r="T317" s="1036">
        <v>0</v>
      </c>
      <c r="U317" s="1037">
        <v>0</v>
      </c>
    </row>
    <row r="318" spans="4:21" hidden="1" outlineLevel="2">
      <c r="D318" s="1051">
        <f t="shared" si="37"/>
        <v>27</v>
      </c>
      <c r="E318" s="1051" t="str">
        <f>IF(COUNTIF(E$11:E317,F318)&gt;0,"",F318)</f>
        <v/>
      </c>
      <c r="F318" s="1051" t="str">
        <f t="shared" si="38"/>
        <v>Fioul Lourd (commercial), France continentale, Base Carbone</v>
      </c>
      <c r="G318" s="1055" t="str">
        <f t="shared" si="39"/>
        <v>Fioul Lourd (commercial), France continentale, Base Carbone; kgCO2e/kWh PCI, Combustion</v>
      </c>
      <c r="I318" s="1031" t="s">
        <v>1590</v>
      </c>
      <c r="J318" s="1032" t="s">
        <v>1573</v>
      </c>
      <c r="K318" s="1032" t="s">
        <v>1567</v>
      </c>
      <c r="L318" s="1032" t="s">
        <v>1571</v>
      </c>
      <c r="M318" s="1033">
        <v>0.05</v>
      </c>
      <c r="N318" s="1032" t="s">
        <v>1569</v>
      </c>
      <c r="O318" s="1036">
        <v>0.28299999999999997</v>
      </c>
      <c r="P318" s="1036">
        <v>0.28100000000000003</v>
      </c>
      <c r="Q318" s="1036">
        <v>2.1599999999999999E-4</v>
      </c>
      <c r="R318" s="1036">
        <v>0</v>
      </c>
      <c r="S318" s="1036">
        <v>1.67E-3</v>
      </c>
      <c r="T318" s="1036">
        <v>0</v>
      </c>
      <c r="U318" s="1037">
        <v>0</v>
      </c>
    </row>
    <row r="319" spans="4:21" hidden="1" outlineLevel="2">
      <c r="D319" s="1051">
        <f t="shared" si="37"/>
        <v>27</v>
      </c>
      <c r="E319" s="1051" t="str">
        <f>IF(COUNTIF(E$11:E318,F319)&gt;0,"",F319)</f>
        <v/>
      </c>
      <c r="F319" s="1051" t="str">
        <f t="shared" si="38"/>
        <v>Fioul Lourd (commercial), France continentale, Base Carbone</v>
      </c>
      <c r="G319" s="1055" t="str">
        <f t="shared" si="39"/>
        <v>Fioul Lourd (commercial), France continentale, Base Carbone; kgCO2e/kWh PCI, Amont</v>
      </c>
      <c r="I319" s="1031" t="s">
        <v>1590</v>
      </c>
      <c r="J319" s="1032" t="s">
        <v>1573</v>
      </c>
      <c r="K319" s="1032" t="s">
        <v>1567</v>
      </c>
      <c r="L319" s="1032" t="s">
        <v>1571</v>
      </c>
      <c r="M319" s="1033">
        <v>0.05</v>
      </c>
      <c r="N319" s="1032" t="s">
        <v>1570</v>
      </c>
      <c r="O319" s="1036">
        <v>4.1300000000000003E-2</v>
      </c>
      <c r="P319" s="1036">
        <v>4.1300000000000003E-2</v>
      </c>
      <c r="Q319" s="1036">
        <v>0</v>
      </c>
      <c r="R319" s="1036">
        <v>0</v>
      </c>
      <c r="S319" s="1036">
        <v>0</v>
      </c>
      <c r="T319" s="1036">
        <v>0</v>
      </c>
      <c r="U319" s="1037">
        <v>0</v>
      </c>
    </row>
    <row r="320" spans="4:21" hidden="1" outlineLevel="2">
      <c r="D320" s="1051">
        <f t="shared" si="37"/>
        <v>27</v>
      </c>
      <c r="E320" s="1051" t="str">
        <f>IF(COUNTIF(E$11:E319,F320)&gt;0,"",F320)</f>
        <v/>
      </c>
      <c r="F320" s="1051" t="str">
        <f t="shared" si="38"/>
        <v>Fioul Lourd (commercial), France continentale, Base Carbone</v>
      </c>
      <c r="G320" s="1055" t="str">
        <f t="shared" si="39"/>
        <v>Fioul Lourd (commercial), France continentale, Base Carbone; kgCO2e/litre, Combustion</v>
      </c>
      <c r="I320" s="1031" t="s">
        <v>1590</v>
      </c>
      <c r="J320" s="1032" t="s">
        <v>1574</v>
      </c>
      <c r="K320" s="1032" t="s">
        <v>1567</v>
      </c>
      <c r="L320" s="1032" t="s">
        <v>1571</v>
      </c>
      <c r="M320" s="1033">
        <v>0.05</v>
      </c>
      <c r="N320" s="1032" t="s">
        <v>1569</v>
      </c>
      <c r="O320" s="1036">
        <v>2.83</v>
      </c>
      <c r="P320" s="1036">
        <v>2.81</v>
      </c>
      <c r="Q320" s="1036">
        <v>2.16E-3</v>
      </c>
      <c r="R320" s="1036">
        <v>0</v>
      </c>
      <c r="S320" s="1036">
        <v>1.67E-2</v>
      </c>
      <c r="T320" s="1036">
        <v>0</v>
      </c>
      <c r="U320" s="1037">
        <v>0</v>
      </c>
    </row>
    <row r="321" spans="4:21" hidden="1" outlineLevel="2">
      <c r="D321" s="1051">
        <f t="shared" si="37"/>
        <v>27</v>
      </c>
      <c r="E321" s="1051" t="str">
        <f>IF(COUNTIF(E$11:E320,F321)&gt;0,"",F321)</f>
        <v/>
      </c>
      <c r="F321" s="1051" t="str">
        <f t="shared" si="38"/>
        <v>Fioul Lourd (commercial), France continentale, Base Carbone</v>
      </c>
      <c r="G321" s="1055" t="str">
        <f t="shared" si="39"/>
        <v>Fioul Lourd (commercial), France continentale, Base Carbone; kgCO2e/litre, Amont</v>
      </c>
      <c r="I321" s="1031" t="s">
        <v>1590</v>
      </c>
      <c r="J321" s="1032" t="s">
        <v>1574</v>
      </c>
      <c r="K321" s="1032" t="s">
        <v>1567</v>
      </c>
      <c r="L321" s="1032" t="s">
        <v>1571</v>
      </c>
      <c r="M321" s="1033">
        <v>0.05</v>
      </c>
      <c r="N321" s="1032" t="s">
        <v>1570</v>
      </c>
      <c r="O321" s="1036">
        <v>0.45300000000000001</v>
      </c>
      <c r="P321" s="1036">
        <v>0.41299999999999998</v>
      </c>
      <c r="Q321" s="1036">
        <v>3.9899999999999998E-2</v>
      </c>
      <c r="R321" s="1036">
        <v>0</v>
      </c>
      <c r="S321" s="1036">
        <v>0</v>
      </c>
      <c r="T321" s="1036">
        <v>0</v>
      </c>
      <c r="U321" s="1037">
        <v>0</v>
      </c>
    </row>
    <row r="322" spans="4:21" hidden="1" outlineLevel="2">
      <c r="D322" s="1051">
        <f t="shared" si="37"/>
        <v>27</v>
      </c>
      <c r="E322" s="1051" t="str">
        <f>IF(COUNTIF(E$11:E321,F322)&gt;0,"",F322)</f>
        <v/>
      </c>
      <c r="F322" s="1051" t="str">
        <f t="shared" si="38"/>
        <v>Fioul Lourd (commercial), France continentale, Base Carbone</v>
      </c>
      <c r="G322" s="1055" t="str">
        <f t="shared" si="39"/>
        <v>Fioul Lourd (commercial), France continentale, Base Carbone; kgCO2e/tep PCI, Combustion</v>
      </c>
      <c r="I322" s="1031" t="s">
        <v>1590</v>
      </c>
      <c r="J322" s="1032" t="s">
        <v>1575</v>
      </c>
      <c r="K322" s="1032" t="s">
        <v>1567</v>
      </c>
      <c r="L322" s="1032" t="s">
        <v>1571</v>
      </c>
      <c r="M322" s="1033">
        <v>0.05</v>
      </c>
      <c r="N322" s="1032" t="s">
        <v>1569</v>
      </c>
      <c r="O322" s="1036">
        <v>3300</v>
      </c>
      <c r="P322" s="1036">
        <v>3280</v>
      </c>
      <c r="Q322" s="1036">
        <v>2.52</v>
      </c>
      <c r="R322" s="1036">
        <v>0</v>
      </c>
      <c r="S322" s="1036">
        <v>19.5</v>
      </c>
      <c r="T322" s="1036">
        <v>0</v>
      </c>
      <c r="U322" s="1037">
        <v>0</v>
      </c>
    </row>
    <row r="323" spans="4:21" hidden="1" outlineLevel="2">
      <c r="D323" s="1051">
        <f t="shared" si="37"/>
        <v>27</v>
      </c>
      <c r="E323" s="1051" t="str">
        <f>IF(COUNTIF(E$11:E322,F323)&gt;0,"",F323)</f>
        <v/>
      </c>
      <c r="F323" s="1051" t="str">
        <f t="shared" si="38"/>
        <v>Fioul Lourd (commercial), France continentale, Base Carbone</v>
      </c>
      <c r="G323" s="1055" t="str">
        <f t="shared" si="39"/>
        <v>Fioul Lourd (commercial), France continentale, Base Carbone; kgCO2e/tep PCI, Amont</v>
      </c>
      <c r="I323" s="1031" t="s">
        <v>1590</v>
      </c>
      <c r="J323" s="1032" t="s">
        <v>1575</v>
      </c>
      <c r="K323" s="1032" t="s">
        <v>1567</v>
      </c>
      <c r="L323" s="1032" t="s">
        <v>1571</v>
      </c>
      <c r="M323" s="1033">
        <v>0.05</v>
      </c>
      <c r="N323" s="1032" t="s">
        <v>1570</v>
      </c>
      <c r="O323" s="1036">
        <v>529</v>
      </c>
      <c r="P323" s="1036">
        <v>482</v>
      </c>
      <c r="Q323" s="1036">
        <v>46.5</v>
      </c>
      <c r="R323" s="1036">
        <v>0</v>
      </c>
      <c r="S323" s="1036">
        <v>0</v>
      </c>
      <c r="T323" s="1036">
        <v>0</v>
      </c>
      <c r="U323" s="1037">
        <v>0</v>
      </c>
    </row>
    <row r="324" spans="4:21" s="1045" customFormat="1" hidden="1" outlineLevel="2">
      <c r="D324" s="1051">
        <f t="shared" si="37"/>
        <v>28</v>
      </c>
      <c r="E324" s="1051" t="str">
        <f>IF(COUNTIF(E$11:E323,F324)&gt;0,"",F324)</f>
        <v>Fioul Lourd (commercial), Polynésie Française, Base Carbone</v>
      </c>
      <c r="F324" s="1051" t="str">
        <f t="shared" si="38"/>
        <v>Fioul Lourd (commercial), Polynésie Française, Base Carbone</v>
      </c>
      <c r="G324" s="1055" t="str">
        <f t="shared" si="39"/>
        <v>Fioul Lourd (commercial), Polynésie Française, Base Carbone; kgCO2e/kg, Combustion</v>
      </c>
      <c r="I324" s="1031" t="s">
        <v>1590</v>
      </c>
      <c r="J324" s="2017" t="s">
        <v>1572</v>
      </c>
      <c r="K324" s="1032" t="s">
        <v>1567</v>
      </c>
      <c r="L324" s="1032" t="s">
        <v>637</v>
      </c>
      <c r="M324" s="1033">
        <v>0.05</v>
      </c>
      <c r="N324" s="1032" t="s">
        <v>1569</v>
      </c>
      <c r="O324" s="1980">
        <v>3.12</v>
      </c>
      <c r="P324" s="1980">
        <f>O324</f>
        <v>3.12</v>
      </c>
      <c r="Q324" s="1980">
        <v>0</v>
      </c>
      <c r="R324" s="1980">
        <v>0</v>
      </c>
      <c r="S324" s="1980">
        <v>0</v>
      </c>
      <c r="T324" s="1980">
        <v>0</v>
      </c>
      <c r="U324" s="2036">
        <v>0</v>
      </c>
    </row>
    <row r="325" spans="4:21" s="1045" customFormat="1" hidden="1" outlineLevel="2">
      <c r="D325" s="1051">
        <f t="shared" si="37"/>
        <v>28</v>
      </c>
      <c r="E325" s="1051" t="str">
        <f>IF(COUNTIF(E$11:E324,F325)&gt;0,"",F325)</f>
        <v/>
      </c>
      <c r="F325" s="1051" t="str">
        <f t="shared" si="38"/>
        <v>Fioul Lourd (commercial), Polynésie Française, Base Carbone</v>
      </c>
      <c r="G325" s="1055" t="str">
        <f t="shared" si="39"/>
        <v>Fioul Lourd (commercial), Polynésie Française, Base Carbone; kgCO2e/kg, Amont</v>
      </c>
      <c r="I325" s="1031" t="s">
        <v>1590</v>
      </c>
      <c r="J325" s="2017" t="s">
        <v>1572</v>
      </c>
      <c r="K325" s="1032" t="s">
        <v>1567</v>
      </c>
      <c r="L325" s="1032" t="s">
        <v>637</v>
      </c>
      <c r="M325" s="1033">
        <v>0.05</v>
      </c>
      <c r="N325" s="1032" t="s">
        <v>1570</v>
      </c>
      <c r="O325" s="1980">
        <v>0.59199999999999997</v>
      </c>
      <c r="P325" s="1980">
        <f t="shared" ref="P325:P354" si="40">O325</f>
        <v>0.59199999999999997</v>
      </c>
      <c r="Q325" s="1980">
        <v>0</v>
      </c>
      <c r="R325" s="1980">
        <v>0</v>
      </c>
      <c r="S325" s="1980">
        <v>0</v>
      </c>
      <c r="T325" s="1980">
        <v>0</v>
      </c>
      <c r="U325" s="2036">
        <v>0</v>
      </c>
    </row>
    <row r="326" spans="4:21" s="1045" customFormat="1" hidden="1" outlineLevel="2">
      <c r="D326" s="1051">
        <f t="shared" si="37"/>
        <v>28</v>
      </c>
      <c r="E326" s="1051" t="str">
        <f>IF(COUNTIF(E$11:E325,F326)&gt;0,"",F326)</f>
        <v/>
      </c>
      <c r="F326" s="1051" t="str">
        <f t="shared" si="38"/>
        <v>Fioul Lourd (commercial), Polynésie Française, Base Carbone</v>
      </c>
      <c r="G326" s="1055" t="str">
        <f t="shared" si="39"/>
        <v>Fioul Lourd (commercial), Polynésie Française, Base Carbone; kgCO2e/kWh PCI, Combustion</v>
      </c>
      <c r="I326" s="1031" t="s">
        <v>1590</v>
      </c>
      <c r="J326" s="1032" t="s">
        <v>1573</v>
      </c>
      <c r="K326" s="1032" t="s">
        <v>1567</v>
      </c>
      <c r="L326" s="1032" t="s">
        <v>637</v>
      </c>
      <c r="M326" s="1033">
        <v>0.05</v>
      </c>
      <c r="N326" s="1032" t="s">
        <v>1569</v>
      </c>
      <c r="O326" s="1036">
        <v>0.28100000000000003</v>
      </c>
      <c r="P326" s="1980">
        <f t="shared" si="40"/>
        <v>0.28100000000000003</v>
      </c>
      <c r="Q326" s="1980">
        <v>0</v>
      </c>
      <c r="R326" s="1980">
        <v>0</v>
      </c>
      <c r="S326" s="1980">
        <v>0</v>
      </c>
      <c r="T326" s="1980">
        <v>0</v>
      </c>
      <c r="U326" s="2036">
        <v>0</v>
      </c>
    </row>
    <row r="327" spans="4:21" s="1045" customFormat="1" hidden="1" outlineLevel="2">
      <c r="D327" s="1051">
        <f t="shared" si="37"/>
        <v>28</v>
      </c>
      <c r="E327" s="1051" t="str">
        <f>IF(COUNTIF(E$11:E326,F327)&gt;0,"",F327)</f>
        <v/>
      </c>
      <c r="F327" s="1051" t="str">
        <f t="shared" si="38"/>
        <v>Fioul Lourd (commercial), Polynésie Française, Base Carbone</v>
      </c>
      <c r="G327" s="1055" t="str">
        <f t="shared" si="39"/>
        <v>Fioul Lourd (commercial), Polynésie Française, Base Carbone; kgCO2e/kWh PCI, Amont</v>
      </c>
      <c r="I327" s="1031" t="s">
        <v>1590</v>
      </c>
      <c r="J327" s="1032" t="s">
        <v>1573</v>
      </c>
      <c r="K327" s="1032" t="s">
        <v>1567</v>
      </c>
      <c r="L327" s="1032" t="s">
        <v>637</v>
      </c>
      <c r="M327" s="1033">
        <v>0.05</v>
      </c>
      <c r="N327" s="1032" t="s">
        <v>1570</v>
      </c>
      <c r="O327" s="1036">
        <v>5.33E-2</v>
      </c>
      <c r="P327" s="1980">
        <f t="shared" si="40"/>
        <v>5.33E-2</v>
      </c>
      <c r="Q327" s="1980">
        <v>0</v>
      </c>
      <c r="R327" s="1980">
        <v>0</v>
      </c>
      <c r="S327" s="1980">
        <v>0</v>
      </c>
      <c r="T327" s="1980">
        <v>0</v>
      </c>
      <c r="U327" s="2036">
        <v>0</v>
      </c>
    </row>
    <row r="328" spans="4:21" s="1045" customFormat="1" hidden="1" outlineLevel="2">
      <c r="D328" s="1051">
        <f t="shared" si="37"/>
        <v>28</v>
      </c>
      <c r="E328" s="1051" t="str">
        <f>IF(COUNTIF(E$11:E327,F328)&gt;0,"",F328)</f>
        <v/>
      </c>
      <c r="F328" s="1051" t="str">
        <f t="shared" si="38"/>
        <v>Fioul Lourd (commercial), Polynésie Française, Base Carbone</v>
      </c>
      <c r="G328" s="1055" t="str">
        <f t="shared" si="39"/>
        <v>Fioul Lourd (commercial), Polynésie Française, Base Carbone; kgCO2e/tep PCI, Combustion</v>
      </c>
      <c r="I328" s="1031" t="s">
        <v>1590</v>
      </c>
      <c r="J328" s="1032" t="s">
        <v>1575</v>
      </c>
      <c r="K328" s="1032" t="s">
        <v>1567</v>
      </c>
      <c r="L328" s="1032" t="s">
        <v>637</v>
      </c>
      <c r="M328" s="1033">
        <v>0.05</v>
      </c>
      <c r="N328" s="1032" t="s">
        <v>1569</v>
      </c>
      <c r="O328" s="1036">
        <v>3270</v>
      </c>
      <c r="P328" s="1980">
        <f t="shared" si="40"/>
        <v>3270</v>
      </c>
      <c r="Q328" s="1980">
        <v>0</v>
      </c>
      <c r="R328" s="1980">
        <v>0</v>
      </c>
      <c r="S328" s="1980">
        <v>0</v>
      </c>
      <c r="T328" s="1980">
        <v>0</v>
      </c>
      <c r="U328" s="2036">
        <v>0</v>
      </c>
    </row>
    <row r="329" spans="4:21" s="1045" customFormat="1" hidden="1" outlineLevel="2">
      <c r="D329" s="1051">
        <f t="shared" si="37"/>
        <v>28</v>
      </c>
      <c r="E329" s="1051" t="str">
        <f>IF(COUNTIF(E$11:E328,F329)&gt;0,"",F329)</f>
        <v/>
      </c>
      <c r="F329" s="1051" t="str">
        <f t="shared" si="38"/>
        <v>Fioul Lourd (commercial), Polynésie Française, Base Carbone</v>
      </c>
      <c r="G329" s="1055" t="str">
        <f t="shared" si="39"/>
        <v>Fioul Lourd (commercial), Polynésie Française, Base Carbone; kgCO2e/tep PCI, Amont</v>
      </c>
      <c r="I329" s="1031" t="s">
        <v>1590</v>
      </c>
      <c r="J329" s="1032" t="s">
        <v>1575</v>
      </c>
      <c r="K329" s="1032" t="s">
        <v>1567</v>
      </c>
      <c r="L329" s="1032" t="s">
        <v>637</v>
      </c>
      <c r="M329" s="1033">
        <v>0.05</v>
      </c>
      <c r="N329" s="1032" t="s">
        <v>1570</v>
      </c>
      <c r="O329" s="1036">
        <v>619</v>
      </c>
      <c r="P329" s="1980">
        <f t="shared" si="40"/>
        <v>619</v>
      </c>
      <c r="Q329" s="1980">
        <v>0</v>
      </c>
      <c r="R329" s="1980">
        <v>0</v>
      </c>
      <c r="S329" s="1980">
        <v>0</v>
      </c>
      <c r="T329" s="1980">
        <v>0</v>
      </c>
      <c r="U329" s="2036">
        <v>0</v>
      </c>
    </row>
    <row r="330" spans="4:21" s="1045" customFormat="1" hidden="1" outlineLevel="2">
      <c r="D330" s="1051">
        <f t="shared" si="37"/>
        <v>28</v>
      </c>
      <c r="E330" s="1051" t="str">
        <f>IF(COUNTIF(E$11:E329,F330)&gt;0,"",F330)</f>
        <v/>
      </c>
      <c r="F330" s="1051" t="str">
        <f t="shared" si="38"/>
        <v>Fioul Lourd (commercial), Polynésie Française, Base Carbone</v>
      </c>
      <c r="G330" s="1055" t="str">
        <f t="shared" si="39"/>
        <v>Fioul Lourd (commercial), Polynésie Française, Base Carbone; kgCO2e/litre, Combustion</v>
      </c>
      <c r="I330" s="1031" t="s">
        <v>1590</v>
      </c>
      <c r="J330" s="1032" t="s">
        <v>1574</v>
      </c>
      <c r="K330" s="1032" t="s">
        <v>1567</v>
      </c>
      <c r="L330" s="1032" t="s">
        <v>637</v>
      </c>
      <c r="M330" s="1033">
        <v>0.05</v>
      </c>
      <c r="N330" s="1032" t="s">
        <v>1569</v>
      </c>
      <c r="O330" s="1036">
        <v>2.81</v>
      </c>
      <c r="P330" s="1980">
        <f t="shared" si="40"/>
        <v>2.81</v>
      </c>
      <c r="Q330" s="1980">
        <v>0</v>
      </c>
      <c r="R330" s="1980">
        <v>0</v>
      </c>
      <c r="S330" s="1980">
        <v>0</v>
      </c>
      <c r="T330" s="1980">
        <v>0</v>
      </c>
      <c r="U330" s="2036">
        <v>0</v>
      </c>
    </row>
    <row r="331" spans="4:21" s="1045" customFormat="1" hidden="1" outlineLevel="2">
      <c r="D331" s="1051">
        <f t="shared" si="37"/>
        <v>28</v>
      </c>
      <c r="E331" s="1051" t="str">
        <f>IF(COUNTIF(E$11:E330,F331)&gt;0,"",F331)</f>
        <v/>
      </c>
      <c r="F331" s="1051" t="str">
        <f t="shared" si="38"/>
        <v>Fioul Lourd (commercial), Polynésie Française, Base Carbone</v>
      </c>
      <c r="G331" s="1055" t="str">
        <f t="shared" si="39"/>
        <v>Fioul Lourd (commercial), Polynésie Française, Base Carbone; kgCO2e/litre, Amont</v>
      </c>
      <c r="I331" s="1031" t="s">
        <v>1590</v>
      </c>
      <c r="J331" s="1032" t="s">
        <v>1574</v>
      </c>
      <c r="K331" s="1032" t="s">
        <v>1567</v>
      </c>
      <c r="L331" s="1032" t="s">
        <v>637</v>
      </c>
      <c r="M331" s="1033">
        <v>0.05</v>
      </c>
      <c r="N331" s="1032" t="s">
        <v>1570</v>
      </c>
      <c r="O331" s="1036">
        <v>0.53300000000000003</v>
      </c>
      <c r="P331" s="1980">
        <f t="shared" si="40"/>
        <v>0.53300000000000003</v>
      </c>
      <c r="Q331" s="1980">
        <v>0</v>
      </c>
      <c r="R331" s="1980">
        <v>0</v>
      </c>
      <c r="S331" s="1980">
        <v>0</v>
      </c>
      <c r="T331" s="1980">
        <v>0</v>
      </c>
      <c r="U331" s="2036">
        <v>0</v>
      </c>
    </row>
    <row r="332" spans="4:21" s="1045" customFormat="1" hidden="1" outlineLevel="2">
      <c r="D332" s="1051">
        <f t="shared" si="37"/>
        <v>29</v>
      </c>
      <c r="E332" s="1051" t="str">
        <f>IF(COUNTIF(E$11:E331,F332)&gt;0,"",F332)</f>
        <v>Fioul Lourd (commercial), Réunion, Base Carbone</v>
      </c>
      <c r="F332" s="1051" t="str">
        <f t="shared" si="38"/>
        <v>Fioul Lourd (commercial), Réunion, Base Carbone</v>
      </c>
      <c r="G332" s="1055" t="str">
        <f t="shared" si="39"/>
        <v>Fioul Lourd (commercial), Réunion, Base Carbone; kgCO2e/kg, Combustion</v>
      </c>
      <c r="I332" s="1031" t="s">
        <v>1590</v>
      </c>
      <c r="J332" s="2017" t="s">
        <v>1572</v>
      </c>
      <c r="K332" s="1032" t="s">
        <v>1567</v>
      </c>
      <c r="L332" s="1032" t="s">
        <v>785</v>
      </c>
      <c r="M332" s="1033">
        <v>0.05</v>
      </c>
      <c r="N332" s="1032" t="s">
        <v>1569</v>
      </c>
      <c r="O332" s="1980">
        <v>3.12</v>
      </c>
      <c r="P332" s="1980">
        <f t="shared" si="40"/>
        <v>3.12</v>
      </c>
      <c r="Q332" s="1980">
        <v>0</v>
      </c>
      <c r="R332" s="1980">
        <v>0</v>
      </c>
      <c r="S332" s="1980">
        <v>0</v>
      </c>
      <c r="T332" s="1980">
        <v>0</v>
      </c>
      <c r="U332" s="2036">
        <v>0</v>
      </c>
    </row>
    <row r="333" spans="4:21" s="1045" customFormat="1" hidden="1" outlineLevel="2">
      <c r="D333" s="1051">
        <f t="shared" si="37"/>
        <v>29</v>
      </c>
      <c r="E333" s="1051" t="str">
        <f>IF(COUNTIF(E$11:E332,F333)&gt;0,"",F333)</f>
        <v/>
      </c>
      <c r="F333" s="1051" t="str">
        <f t="shared" si="38"/>
        <v>Fioul Lourd (commercial), Réunion, Base Carbone</v>
      </c>
      <c r="G333" s="1055" t="str">
        <f t="shared" si="39"/>
        <v>Fioul Lourd (commercial), Réunion, Base Carbone; kgCO2e/kg, Amont</v>
      </c>
      <c r="I333" s="1031" t="s">
        <v>1590</v>
      </c>
      <c r="J333" s="2017" t="s">
        <v>1572</v>
      </c>
      <c r="K333" s="1032" t="s">
        <v>1567</v>
      </c>
      <c r="L333" s="1032" t="s">
        <v>785</v>
      </c>
      <c r="M333" s="1033">
        <v>0.05</v>
      </c>
      <c r="N333" s="1032" t="s">
        <v>1570</v>
      </c>
      <c r="O333" s="1980">
        <v>0.55800000000000005</v>
      </c>
      <c r="P333" s="1980">
        <f t="shared" si="40"/>
        <v>0.55800000000000005</v>
      </c>
      <c r="Q333" s="1980">
        <v>0</v>
      </c>
      <c r="R333" s="1980">
        <v>0</v>
      </c>
      <c r="S333" s="1980">
        <v>0</v>
      </c>
      <c r="T333" s="1980">
        <v>0</v>
      </c>
      <c r="U333" s="2036">
        <v>0</v>
      </c>
    </row>
    <row r="334" spans="4:21" s="1045" customFormat="1" hidden="1" outlineLevel="2">
      <c r="D334" s="1051">
        <f t="shared" si="37"/>
        <v>29</v>
      </c>
      <c r="E334" s="1051" t="str">
        <f>IF(COUNTIF(E$11:E333,F334)&gt;0,"",F334)</f>
        <v/>
      </c>
      <c r="F334" s="1051" t="str">
        <f t="shared" si="38"/>
        <v>Fioul Lourd (commercial), Réunion, Base Carbone</v>
      </c>
      <c r="G334" s="1055" t="str">
        <f t="shared" si="39"/>
        <v>Fioul Lourd (commercial), Réunion, Base Carbone; kgCO2e/kWh PCI, Combustion</v>
      </c>
      <c r="I334" s="1031" t="s">
        <v>1590</v>
      </c>
      <c r="J334" s="1032" t="s">
        <v>1573</v>
      </c>
      <c r="K334" s="1032" t="s">
        <v>1567</v>
      </c>
      <c r="L334" s="1032" t="s">
        <v>785</v>
      </c>
      <c r="M334" s="1033">
        <v>0.05</v>
      </c>
      <c r="N334" s="1032" t="s">
        <v>1569</v>
      </c>
      <c r="O334" s="1036">
        <v>0.28199999999999997</v>
      </c>
      <c r="P334" s="1980">
        <f t="shared" si="40"/>
        <v>0.28199999999999997</v>
      </c>
      <c r="Q334" s="1980">
        <v>0</v>
      </c>
      <c r="R334" s="1980">
        <v>0</v>
      </c>
      <c r="S334" s="1980">
        <v>0</v>
      </c>
      <c r="T334" s="1980">
        <v>0</v>
      </c>
      <c r="U334" s="2036">
        <v>0</v>
      </c>
    </row>
    <row r="335" spans="4:21" s="1045" customFormat="1" hidden="1" outlineLevel="2">
      <c r="D335" s="1051">
        <f t="shared" si="37"/>
        <v>29</v>
      </c>
      <c r="E335" s="1051" t="str">
        <f>IF(COUNTIF(E$11:E334,F335)&gt;0,"",F335)</f>
        <v/>
      </c>
      <c r="F335" s="1051" t="str">
        <f t="shared" si="38"/>
        <v>Fioul Lourd (commercial), Réunion, Base Carbone</v>
      </c>
      <c r="G335" s="1055" t="str">
        <f t="shared" si="39"/>
        <v>Fioul Lourd (commercial), Réunion, Base Carbone; kgCO2e/kWh PCI, Amont</v>
      </c>
      <c r="I335" s="1031" t="s">
        <v>1590</v>
      </c>
      <c r="J335" s="1032" t="s">
        <v>1573</v>
      </c>
      <c r="K335" s="1032" t="s">
        <v>1567</v>
      </c>
      <c r="L335" s="1032" t="s">
        <v>785</v>
      </c>
      <c r="M335" s="1033">
        <v>0.05</v>
      </c>
      <c r="N335" s="1032" t="s">
        <v>1570</v>
      </c>
      <c r="O335" s="1036">
        <v>5.1700000000000003E-2</v>
      </c>
      <c r="P335" s="1980">
        <f t="shared" si="40"/>
        <v>5.1700000000000003E-2</v>
      </c>
      <c r="Q335" s="1980">
        <v>0</v>
      </c>
      <c r="R335" s="1980">
        <v>0</v>
      </c>
      <c r="S335" s="1980">
        <v>0</v>
      </c>
      <c r="T335" s="1980">
        <v>0</v>
      </c>
      <c r="U335" s="2036">
        <v>0</v>
      </c>
    </row>
    <row r="336" spans="4:21" s="1045" customFormat="1" hidden="1" outlineLevel="2">
      <c r="D336" s="1051">
        <f t="shared" si="37"/>
        <v>29</v>
      </c>
      <c r="E336" s="1051" t="str">
        <f>IF(COUNTIF(E$11:E335,F336)&gt;0,"",F336)</f>
        <v/>
      </c>
      <c r="F336" s="1051" t="str">
        <f t="shared" si="38"/>
        <v>Fioul Lourd (commercial), Réunion, Base Carbone</v>
      </c>
      <c r="G336" s="1055" t="str">
        <f t="shared" si="39"/>
        <v>Fioul Lourd (commercial), Réunion, Base Carbone; kgCO2e/tep PCI, Combustion</v>
      </c>
      <c r="I336" s="1031" t="s">
        <v>1590</v>
      </c>
      <c r="J336" s="1032" t="s">
        <v>1575</v>
      </c>
      <c r="K336" s="1032" t="s">
        <v>1567</v>
      </c>
      <c r="L336" s="1032" t="s">
        <v>785</v>
      </c>
      <c r="M336" s="1033">
        <v>0.05</v>
      </c>
      <c r="N336" s="1032" t="s">
        <v>1569</v>
      </c>
      <c r="O336" s="1036">
        <v>3280</v>
      </c>
      <c r="P336" s="1980">
        <f t="shared" si="40"/>
        <v>3280</v>
      </c>
      <c r="Q336" s="1980">
        <v>0</v>
      </c>
      <c r="R336" s="1980">
        <v>0</v>
      </c>
      <c r="S336" s="1980">
        <v>0</v>
      </c>
      <c r="T336" s="1980">
        <v>0</v>
      </c>
      <c r="U336" s="2036">
        <v>0</v>
      </c>
    </row>
    <row r="337" spans="4:21" s="1045" customFormat="1" hidden="1" outlineLevel="2">
      <c r="D337" s="1051">
        <f t="shared" si="37"/>
        <v>29</v>
      </c>
      <c r="E337" s="1051" t="str">
        <f>IF(COUNTIF(E$11:E336,F337)&gt;0,"",F337)</f>
        <v/>
      </c>
      <c r="F337" s="1051" t="str">
        <f t="shared" si="38"/>
        <v>Fioul Lourd (commercial), Réunion, Base Carbone</v>
      </c>
      <c r="G337" s="1055" t="str">
        <f t="shared" si="39"/>
        <v>Fioul Lourd (commercial), Réunion, Base Carbone; kgCO2e/tep PCI, Amont</v>
      </c>
      <c r="I337" s="1031" t="s">
        <v>1590</v>
      </c>
      <c r="J337" s="1032" t="s">
        <v>1575</v>
      </c>
      <c r="K337" s="1032" t="s">
        <v>1567</v>
      </c>
      <c r="L337" s="1032" t="s">
        <v>785</v>
      </c>
      <c r="M337" s="1033">
        <v>0.05</v>
      </c>
      <c r="N337" s="1032" t="s">
        <v>1570</v>
      </c>
      <c r="O337" s="1036">
        <v>585</v>
      </c>
      <c r="P337" s="1980">
        <f t="shared" si="40"/>
        <v>585</v>
      </c>
      <c r="Q337" s="1980">
        <v>0</v>
      </c>
      <c r="R337" s="1980">
        <v>0</v>
      </c>
      <c r="S337" s="1980">
        <v>0</v>
      </c>
      <c r="T337" s="1980">
        <v>0</v>
      </c>
      <c r="U337" s="2036">
        <v>0</v>
      </c>
    </row>
    <row r="338" spans="4:21" s="1045" customFormat="1" hidden="1" outlineLevel="2">
      <c r="D338" s="1051">
        <f t="shared" si="37"/>
        <v>29</v>
      </c>
      <c r="E338" s="1051" t="str">
        <f>IF(COUNTIF(E$11:E337,F338)&gt;0,"",F338)</f>
        <v/>
      </c>
      <c r="F338" s="1051" t="str">
        <f t="shared" si="38"/>
        <v>Fioul Lourd (commercial), Réunion, Base Carbone</v>
      </c>
      <c r="G338" s="1055" t="str">
        <f t="shared" si="39"/>
        <v>Fioul Lourd (commercial), Réunion, Base Carbone; kgCO2e/litre, Combustion</v>
      </c>
      <c r="I338" s="1031" t="s">
        <v>1590</v>
      </c>
      <c r="J338" s="1032" t="s">
        <v>1574</v>
      </c>
      <c r="K338" s="1032" t="s">
        <v>1567</v>
      </c>
      <c r="L338" s="1032" t="s">
        <v>785</v>
      </c>
      <c r="M338" s="1033">
        <v>0.05</v>
      </c>
      <c r="N338" s="1032" t="s">
        <v>1569</v>
      </c>
      <c r="O338" s="1036">
        <v>3.12</v>
      </c>
      <c r="P338" s="1980">
        <f t="shared" si="40"/>
        <v>3.12</v>
      </c>
      <c r="Q338" s="1980">
        <v>0</v>
      </c>
      <c r="R338" s="1980">
        <v>0</v>
      </c>
      <c r="S338" s="1980">
        <v>0</v>
      </c>
      <c r="T338" s="1980">
        <v>0</v>
      </c>
      <c r="U338" s="2036">
        <v>0</v>
      </c>
    </row>
    <row r="339" spans="4:21" s="1045" customFormat="1" hidden="1" outlineLevel="2">
      <c r="D339" s="1051">
        <f t="shared" si="37"/>
        <v>29</v>
      </c>
      <c r="E339" s="1051" t="str">
        <f>IF(COUNTIF(E$11:E338,F339)&gt;0,"",F339)</f>
        <v/>
      </c>
      <c r="F339" s="1051" t="str">
        <f t="shared" si="38"/>
        <v>Fioul Lourd (commercial), Réunion, Base Carbone</v>
      </c>
      <c r="G339" s="1055" t="str">
        <f t="shared" si="39"/>
        <v>Fioul Lourd (commercial), Réunion, Base Carbone; kgCO2e/litre, Amont</v>
      </c>
      <c r="I339" s="1031" t="s">
        <v>1590</v>
      </c>
      <c r="J339" s="1032" t="s">
        <v>1574</v>
      </c>
      <c r="K339" s="1032" t="s">
        <v>1567</v>
      </c>
      <c r="L339" s="1032" t="s">
        <v>785</v>
      </c>
      <c r="M339" s="1033">
        <v>0.05</v>
      </c>
      <c r="N339" s="1032" t="s">
        <v>1570</v>
      </c>
      <c r="O339" s="1036">
        <v>0.54700000000000004</v>
      </c>
      <c r="P339" s="1980">
        <f t="shared" si="40"/>
        <v>0.54700000000000004</v>
      </c>
      <c r="Q339" s="1980">
        <v>0</v>
      </c>
      <c r="R339" s="1980">
        <v>0</v>
      </c>
      <c r="S339" s="1980">
        <v>0</v>
      </c>
      <c r="T339" s="1980">
        <v>0</v>
      </c>
      <c r="U339" s="2036">
        <v>0</v>
      </c>
    </row>
    <row r="340" spans="4:21" s="1045" customFormat="1" hidden="1" outlineLevel="2">
      <c r="D340" s="1051">
        <f t="shared" si="37"/>
        <v>30</v>
      </c>
      <c r="E340" s="1051" t="str">
        <f>IF(COUNTIF(E$11:E339,F340)&gt;0,"",F340)</f>
        <v>Fioul Lourd (commercial), Guadeloupe, Martinique, Guyane, Corse, Base Carbone</v>
      </c>
      <c r="F340" s="1051" t="str">
        <f t="shared" si="38"/>
        <v>Fioul Lourd (commercial), Guadeloupe, Martinique, Guyane, Corse, Base Carbone</v>
      </c>
      <c r="G340" s="1055" t="str">
        <f t="shared" si="39"/>
        <v>Fioul Lourd (commercial), Guadeloupe, Martinique, Guyane, Corse, Base Carbone; kgCO2e/kg, Combustion</v>
      </c>
      <c r="I340" s="1031" t="s">
        <v>1590</v>
      </c>
      <c r="J340" s="2017" t="s">
        <v>1572</v>
      </c>
      <c r="K340" s="1032" t="s">
        <v>1567</v>
      </c>
      <c r="L340" s="1032" t="s">
        <v>3084</v>
      </c>
      <c r="M340" s="1033">
        <v>0.05</v>
      </c>
      <c r="N340" s="1032" t="s">
        <v>1569</v>
      </c>
      <c r="O340" s="1980">
        <v>3.12</v>
      </c>
      <c r="P340" s="1980">
        <f t="shared" si="40"/>
        <v>3.12</v>
      </c>
      <c r="Q340" s="1980">
        <v>0</v>
      </c>
      <c r="R340" s="1980">
        <v>0</v>
      </c>
      <c r="S340" s="1980">
        <v>0</v>
      </c>
      <c r="T340" s="1980">
        <v>0</v>
      </c>
      <c r="U340" s="2036">
        <v>0</v>
      </c>
    </row>
    <row r="341" spans="4:21" s="1045" customFormat="1" hidden="1" outlineLevel="2">
      <c r="D341" s="1051">
        <f t="shared" si="37"/>
        <v>30</v>
      </c>
      <c r="E341" s="1051" t="str">
        <f>IF(COUNTIF(E$11:E340,F341)&gt;0,"",F341)</f>
        <v/>
      </c>
      <c r="F341" s="1051" t="str">
        <f t="shared" si="38"/>
        <v>Fioul Lourd (commercial), Guadeloupe, Martinique, Guyane, Corse, Base Carbone</v>
      </c>
      <c r="G341" s="1055" t="str">
        <f t="shared" si="39"/>
        <v>Fioul Lourd (commercial), Guadeloupe, Martinique, Guyane, Corse, Base Carbone; kgCO2e/kg, Amont</v>
      </c>
      <c r="I341" s="1031" t="s">
        <v>1590</v>
      </c>
      <c r="J341" s="2017" t="s">
        <v>1572</v>
      </c>
      <c r="K341" s="1032" t="s">
        <v>1567</v>
      </c>
      <c r="L341" s="1032" t="s">
        <v>3084</v>
      </c>
      <c r="M341" s="1033">
        <v>0.05</v>
      </c>
      <c r="N341" s="1032" t="s">
        <v>1570</v>
      </c>
      <c r="O341" s="1980">
        <v>0.42899999999999999</v>
      </c>
      <c r="P341" s="1980">
        <f t="shared" si="40"/>
        <v>0.42899999999999999</v>
      </c>
      <c r="Q341" s="1980">
        <v>0</v>
      </c>
      <c r="R341" s="1980">
        <v>0</v>
      </c>
      <c r="S341" s="1980">
        <v>0</v>
      </c>
      <c r="T341" s="1980">
        <v>0</v>
      </c>
      <c r="U341" s="2036">
        <v>0</v>
      </c>
    </row>
    <row r="342" spans="4:21" s="1045" customFormat="1" hidden="1" outlineLevel="2">
      <c r="D342" s="1051">
        <f t="shared" si="37"/>
        <v>30</v>
      </c>
      <c r="E342" s="1051" t="str">
        <f>IF(COUNTIF(E$11:E341,F342)&gt;0,"",F342)</f>
        <v/>
      </c>
      <c r="F342" s="1051" t="str">
        <f t="shared" si="38"/>
        <v>Fioul Lourd (commercial), Guadeloupe, Martinique, Guyane, Corse, Base Carbone</v>
      </c>
      <c r="G342" s="1055" t="str">
        <f t="shared" si="39"/>
        <v>Fioul Lourd (commercial), Guadeloupe, Martinique, Guyane, Corse, Base Carbone; kgCO2e/kWh PCI, Combustion</v>
      </c>
      <c r="I342" s="1031" t="s">
        <v>1590</v>
      </c>
      <c r="J342" s="1032" t="s">
        <v>1573</v>
      </c>
      <c r="K342" s="1032" t="s">
        <v>1567</v>
      </c>
      <c r="L342" s="1032" t="s">
        <v>3084</v>
      </c>
      <c r="M342" s="1033">
        <v>0.05</v>
      </c>
      <c r="N342" s="1032" t="s">
        <v>1569</v>
      </c>
      <c r="O342" s="1036">
        <v>0.28199999999999997</v>
      </c>
      <c r="P342" s="1980">
        <f t="shared" si="40"/>
        <v>0.28199999999999997</v>
      </c>
      <c r="Q342" s="1980">
        <v>0</v>
      </c>
      <c r="R342" s="1980">
        <v>0</v>
      </c>
      <c r="S342" s="1980">
        <v>0</v>
      </c>
      <c r="T342" s="1980">
        <v>0</v>
      </c>
      <c r="U342" s="2036">
        <v>0</v>
      </c>
    </row>
    <row r="343" spans="4:21" s="1045" customFormat="1" hidden="1" outlineLevel="2">
      <c r="D343" s="1051">
        <f t="shared" si="37"/>
        <v>30</v>
      </c>
      <c r="E343" s="1051" t="str">
        <f>IF(COUNTIF(E$11:E342,F343)&gt;0,"",F343)</f>
        <v/>
      </c>
      <c r="F343" s="1051" t="str">
        <f t="shared" si="38"/>
        <v>Fioul Lourd (commercial), Guadeloupe, Martinique, Guyane, Corse, Base Carbone</v>
      </c>
      <c r="G343" s="1055" t="str">
        <f t="shared" si="39"/>
        <v>Fioul Lourd (commercial), Guadeloupe, Martinique, Guyane, Corse, Base Carbone; kgCO2e/kWh PCI, Amont</v>
      </c>
      <c r="I343" s="1031" t="s">
        <v>1590</v>
      </c>
      <c r="J343" s="1032" t="s">
        <v>1573</v>
      </c>
      <c r="K343" s="1032" t="s">
        <v>1567</v>
      </c>
      <c r="L343" s="1032" t="s">
        <v>3084</v>
      </c>
      <c r="M343" s="1033">
        <v>0.05</v>
      </c>
      <c r="N343" s="1032" t="s">
        <v>1570</v>
      </c>
      <c r="O343" s="1036">
        <v>3.8800000000000001E-2</v>
      </c>
      <c r="P343" s="1980">
        <f t="shared" si="40"/>
        <v>3.8800000000000001E-2</v>
      </c>
      <c r="Q343" s="1980">
        <v>0</v>
      </c>
      <c r="R343" s="1980">
        <v>0</v>
      </c>
      <c r="S343" s="1980">
        <v>0</v>
      </c>
      <c r="T343" s="1980">
        <v>0</v>
      </c>
      <c r="U343" s="2036">
        <v>0</v>
      </c>
    </row>
    <row r="344" spans="4:21" s="1045" customFormat="1" hidden="1" outlineLevel="2">
      <c r="D344" s="1051">
        <f t="shared" si="37"/>
        <v>30</v>
      </c>
      <c r="E344" s="1051" t="str">
        <f>IF(COUNTIF(E$11:E343,F344)&gt;0,"",F344)</f>
        <v/>
      </c>
      <c r="F344" s="1051" t="str">
        <f t="shared" si="38"/>
        <v>Fioul Lourd (commercial), Guadeloupe, Martinique, Guyane, Corse, Base Carbone</v>
      </c>
      <c r="G344" s="1055" t="str">
        <f t="shared" si="39"/>
        <v>Fioul Lourd (commercial), Guadeloupe, Martinique, Guyane, Corse, Base Carbone; kgCO2e/tep PCI, Combustion</v>
      </c>
      <c r="I344" s="1031" t="s">
        <v>1590</v>
      </c>
      <c r="J344" s="1032" t="s">
        <v>1575</v>
      </c>
      <c r="K344" s="1032" t="s">
        <v>1567</v>
      </c>
      <c r="L344" s="1032" t="s">
        <v>3084</v>
      </c>
      <c r="M344" s="1033">
        <v>0.05</v>
      </c>
      <c r="N344" s="1032" t="s">
        <v>1569</v>
      </c>
      <c r="O344" s="1036">
        <v>3280</v>
      </c>
      <c r="P344" s="1980">
        <f t="shared" si="40"/>
        <v>3280</v>
      </c>
      <c r="Q344" s="1980">
        <v>0</v>
      </c>
      <c r="R344" s="1980">
        <v>0</v>
      </c>
      <c r="S344" s="1980">
        <v>0</v>
      </c>
      <c r="T344" s="1980">
        <v>0</v>
      </c>
      <c r="U344" s="2036">
        <v>0</v>
      </c>
    </row>
    <row r="345" spans="4:21" s="1045" customFormat="1" hidden="1" outlineLevel="2">
      <c r="D345" s="1051">
        <f t="shared" si="37"/>
        <v>30</v>
      </c>
      <c r="E345" s="1051" t="str">
        <f>IF(COUNTIF(E$11:E344,F345)&gt;0,"",F345)</f>
        <v/>
      </c>
      <c r="F345" s="1051" t="str">
        <f t="shared" si="38"/>
        <v>Fioul Lourd (commercial), Guadeloupe, Martinique, Guyane, Corse, Base Carbone</v>
      </c>
      <c r="G345" s="1055" t="str">
        <f t="shared" si="39"/>
        <v>Fioul Lourd (commercial), Guadeloupe, Martinique, Guyane, Corse, Base Carbone; kgCO2e/tep PCI, Amont</v>
      </c>
      <c r="I345" s="1031" t="s">
        <v>1590</v>
      </c>
      <c r="J345" s="1032" t="s">
        <v>1575</v>
      </c>
      <c r="K345" s="1032" t="s">
        <v>1567</v>
      </c>
      <c r="L345" s="1032" t="s">
        <v>3084</v>
      </c>
      <c r="M345" s="1033">
        <v>0.05</v>
      </c>
      <c r="N345" s="1032" t="s">
        <v>1570</v>
      </c>
      <c r="O345" s="1036">
        <v>450</v>
      </c>
      <c r="P345" s="1980">
        <f t="shared" si="40"/>
        <v>450</v>
      </c>
      <c r="Q345" s="1980">
        <v>0</v>
      </c>
      <c r="R345" s="1980">
        <v>0</v>
      </c>
      <c r="S345" s="1980">
        <v>0</v>
      </c>
      <c r="T345" s="1980">
        <v>0</v>
      </c>
      <c r="U345" s="2036">
        <v>0</v>
      </c>
    </row>
    <row r="346" spans="4:21" s="1045" customFormat="1" hidden="1" outlineLevel="2">
      <c r="D346" s="1051">
        <f t="shared" si="37"/>
        <v>30</v>
      </c>
      <c r="E346" s="1051" t="str">
        <f>IF(COUNTIF(E$11:E345,F346)&gt;0,"",F346)</f>
        <v/>
      </c>
      <c r="F346" s="1051" t="str">
        <f t="shared" si="38"/>
        <v>Fioul Lourd (commercial), Guadeloupe, Martinique, Guyane, Corse, Base Carbone</v>
      </c>
      <c r="G346" s="1055" t="str">
        <f t="shared" si="39"/>
        <v>Fioul Lourd (commercial), Guadeloupe, Martinique, Guyane, Corse, Base Carbone; kgCO2e/litre, Combustion</v>
      </c>
      <c r="I346" s="1031" t="s">
        <v>1590</v>
      </c>
      <c r="J346" s="1032" t="s">
        <v>1574</v>
      </c>
      <c r="K346" s="1032" t="s">
        <v>1567</v>
      </c>
      <c r="L346" s="1032" t="s">
        <v>3084</v>
      </c>
      <c r="M346" s="1033">
        <v>0.05</v>
      </c>
      <c r="N346" s="1032" t="s">
        <v>1569</v>
      </c>
      <c r="O346" s="1036">
        <v>3.12</v>
      </c>
      <c r="P346" s="1980">
        <f t="shared" si="40"/>
        <v>3.12</v>
      </c>
      <c r="Q346" s="1980">
        <v>0</v>
      </c>
      <c r="R346" s="1980">
        <v>0</v>
      </c>
      <c r="S346" s="1980">
        <v>0</v>
      </c>
      <c r="T346" s="1980">
        <v>0</v>
      </c>
      <c r="U346" s="2036">
        <v>0</v>
      </c>
    </row>
    <row r="347" spans="4:21" s="1045" customFormat="1" hidden="1" outlineLevel="2">
      <c r="D347" s="1051">
        <f t="shared" si="37"/>
        <v>30</v>
      </c>
      <c r="E347" s="1051" t="str">
        <f>IF(COUNTIF(E$11:E346,F347)&gt;0,"",F347)</f>
        <v/>
      </c>
      <c r="F347" s="1051" t="str">
        <f t="shared" si="38"/>
        <v>Fioul Lourd (commercial), Guadeloupe, Martinique, Guyane, Corse, Base Carbone</v>
      </c>
      <c r="G347" s="1055" t="str">
        <f t="shared" si="39"/>
        <v>Fioul Lourd (commercial), Guadeloupe, Martinique, Guyane, Corse, Base Carbone; kgCO2e/litre, Amont</v>
      </c>
      <c r="I347" s="1031" t="s">
        <v>1590</v>
      </c>
      <c r="J347" s="1032" t="s">
        <v>1574</v>
      </c>
      <c r="K347" s="1032" t="s">
        <v>1567</v>
      </c>
      <c r="L347" s="1032" t="s">
        <v>3084</v>
      </c>
      <c r="M347" s="1033">
        <v>0.05</v>
      </c>
      <c r="N347" s="1032" t="s">
        <v>1570</v>
      </c>
      <c r="O347" s="1036">
        <v>0.42899999999999999</v>
      </c>
      <c r="P347" s="1980">
        <f t="shared" si="40"/>
        <v>0.42899999999999999</v>
      </c>
      <c r="Q347" s="1980">
        <v>0</v>
      </c>
      <c r="R347" s="1980">
        <v>0</v>
      </c>
      <c r="S347" s="1980">
        <v>0</v>
      </c>
      <c r="T347" s="1980">
        <v>0</v>
      </c>
      <c r="U347" s="2036">
        <v>0</v>
      </c>
    </row>
    <row r="348" spans="4:21" s="1045" customFormat="1" hidden="1" outlineLevel="2">
      <c r="D348" s="1051">
        <f t="shared" si="37"/>
        <v>31</v>
      </c>
      <c r="E348" s="1051" t="str">
        <f>IF(COUNTIF(E$11:E347,F348)&gt;0,"",F348)</f>
        <v>Fioul Lourd (commercial), Nouvelle Calédonie, Base Carbone</v>
      </c>
      <c r="F348" s="1051" t="str">
        <f t="shared" si="38"/>
        <v>Fioul Lourd (commercial), Nouvelle Calédonie, Base Carbone</v>
      </c>
      <c r="G348" s="1055" t="str">
        <f t="shared" si="39"/>
        <v>Fioul Lourd (commercial), Nouvelle Calédonie, Base Carbone; kgCO2e/kg, Combustion</v>
      </c>
      <c r="I348" s="1031" t="s">
        <v>1590</v>
      </c>
      <c r="J348" s="2017" t="s">
        <v>1572</v>
      </c>
      <c r="K348" s="1032" t="s">
        <v>1567</v>
      </c>
      <c r="L348" s="1032" t="s">
        <v>3085</v>
      </c>
      <c r="M348" s="1033">
        <v>0.05</v>
      </c>
      <c r="N348" s="1032" t="s">
        <v>1569</v>
      </c>
      <c r="O348" s="1980">
        <v>3.12</v>
      </c>
      <c r="P348" s="1980">
        <f t="shared" si="40"/>
        <v>3.12</v>
      </c>
      <c r="Q348" s="1980">
        <v>0</v>
      </c>
      <c r="R348" s="1980">
        <v>0</v>
      </c>
      <c r="S348" s="1980">
        <v>0</v>
      </c>
      <c r="T348" s="1980">
        <v>0</v>
      </c>
      <c r="U348" s="2036">
        <v>0</v>
      </c>
    </row>
    <row r="349" spans="4:21" s="1045" customFormat="1" hidden="1" outlineLevel="2">
      <c r="D349" s="1051">
        <f t="shared" si="37"/>
        <v>31</v>
      </c>
      <c r="E349" s="1051" t="str">
        <f>IF(COUNTIF(E$11:E348,F349)&gt;0,"",F349)</f>
        <v/>
      </c>
      <c r="F349" s="1051" t="str">
        <f t="shared" si="38"/>
        <v>Fioul Lourd (commercial), Nouvelle Calédonie, Base Carbone</v>
      </c>
      <c r="G349" s="1055" t="str">
        <f t="shared" si="39"/>
        <v>Fioul Lourd (commercial), Nouvelle Calédonie, Base Carbone; kgCO2e/kg, Amont</v>
      </c>
      <c r="I349" s="1031" t="s">
        <v>1590</v>
      </c>
      <c r="J349" s="2017" t="s">
        <v>1572</v>
      </c>
      <c r="K349" s="1032" t="s">
        <v>1567</v>
      </c>
      <c r="L349" s="1032" t="s">
        <v>3085</v>
      </c>
      <c r="M349" s="1033">
        <v>0.05</v>
      </c>
      <c r="N349" s="1032" t="s">
        <v>1570</v>
      </c>
      <c r="O349" s="1980">
        <v>0.56100000000000005</v>
      </c>
      <c r="P349" s="1980">
        <f t="shared" si="40"/>
        <v>0.56100000000000005</v>
      </c>
      <c r="Q349" s="1980">
        <v>0</v>
      </c>
      <c r="R349" s="1980">
        <v>0</v>
      </c>
      <c r="S349" s="1980">
        <v>0</v>
      </c>
      <c r="T349" s="1980">
        <v>0</v>
      </c>
      <c r="U349" s="2036">
        <v>0</v>
      </c>
    </row>
    <row r="350" spans="4:21" s="1045" customFormat="1" hidden="1" outlineLevel="2">
      <c r="D350" s="1051">
        <f t="shared" si="37"/>
        <v>31</v>
      </c>
      <c r="E350" s="1051" t="str">
        <f>IF(COUNTIF(E$11:E349,F350)&gt;0,"",F350)</f>
        <v/>
      </c>
      <c r="F350" s="1051" t="str">
        <f t="shared" si="38"/>
        <v>Fioul Lourd (commercial), Nouvelle Calédonie, Base Carbone</v>
      </c>
      <c r="G350" s="1055" t="str">
        <f t="shared" si="39"/>
        <v>Fioul Lourd (commercial), Nouvelle Calédonie, Base Carbone; kgCO2e/kWh PCI, Combustion</v>
      </c>
      <c r="I350" s="1031" t="s">
        <v>1590</v>
      </c>
      <c r="J350" s="1032" t="s">
        <v>1573</v>
      </c>
      <c r="K350" s="1032" t="s">
        <v>1567</v>
      </c>
      <c r="L350" s="1032" t="s">
        <v>3085</v>
      </c>
      <c r="M350" s="1033">
        <v>0.05</v>
      </c>
      <c r="N350" s="1032" t="s">
        <v>1569</v>
      </c>
      <c r="O350" s="1036">
        <v>0.28199999999999997</v>
      </c>
      <c r="P350" s="1980">
        <f t="shared" si="40"/>
        <v>0.28199999999999997</v>
      </c>
      <c r="Q350" s="1980">
        <v>0</v>
      </c>
      <c r="R350" s="1980">
        <v>0</v>
      </c>
      <c r="S350" s="1980">
        <v>0</v>
      </c>
      <c r="T350" s="1980">
        <v>0</v>
      </c>
      <c r="U350" s="2036">
        <v>0</v>
      </c>
    </row>
    <row r="351" spans="4:21" s="1045" customFormat="1" hidden="1" outlineLevel="2">
      <c r="D351" s="1051">
        <f t="shared" si="37"/>
        <v>31</v>
      </c>
      <c r="E351" s="1051" t="str">
        <f>IF(COUNTIF(E$11:E350,F351)&gt;0,"",F351)</f>
        <v/>
      </c>
      <c r="F351" s="1051" t="str">
        <f t="shared" si="38"/>
        <v>Fioul Lourd (commercial), Nouvelle Calédonie, Base Carbone</v>
      </c>
      <c r="G351" s="1055" t="str">
        <f t="shared" si="39"/>
        <v>Fioul Lourd (commercial), Nouvelle Calédonie, Base Carbone; kgCO2e/kWh PCI, Amont</v>
      </c>
      <c r="I351" s="1031" t="s">
        <v>1590</v>
      </c>
      <c r="J351" s="1032" t="s">
        <v>1573</v>
      </c>
      <c r="K351" s="1032" t="s">
        <v>1567</v>
      </c>
      <c r="L351" s="1032" t="s">
        <v>3085</v>
      </c>
      <c r="M351" s="1033">
        <v>0.05</v>
      </c>
      <c r="N351" s="1032" t="s">
        <v>1570</v>
      </c>
      <c r="O351" s="1036">
        <v>5.1700000000000003E-2</v>
      </c>
      <c r="P351" s="1980">
        <f t="shared" si="40"/>
        <v>5.1700000000000003E-2</v>
      </c>
      <c r="Q351" s="1980">
        <v>0</v>
      </c>
      <c r="R351" s="1980">
        <v>0</v>
      </c>
      <c r="S351" s="1980">
        <v>0</v>
      </c>
      <c r="T351" s="1980">
        <v>0</v>
      </c>
      <c r="U351" s="2036">
        <v>0</v>
      </c>
    </row>
    <row r="352" spans="4:21" s="1045" customFormat="1" hidden="1" outlineLevel="2">
      <c r="D352" s="1051">
        <f t="shared" si="37"/>
        <v>31</v>
      </c>
      <c r="E352" s="1051" t="str">
        <f>IF(COUNTIF(E$11:E351,F352)&gt;0,"",F352)</f>
        <v/>
      </c>
      <c r="F352" s="1051" t="str">
        <f t="shared" si="38"/>
        <v>Fioul Lourd (commercial), Nouvelle Calédonie, Base Carbone</v>
      </c>
      <c r="G352" s="1055" t="str">
        <f t="shared" si="39"/>
        <v>Fioul Lourd (commercial), Nouvelle Calédonie, Base Carbone; kgCO2e/tep PCI, Combustion</v>
      </c>
      <c r="I352" s="1031" t="s">
        <v>1590</v>
      </c>
      <c r="J352" s="1032" t="s">
        <v>1575</v>
      </c>
      <c r="K352" s="1032" t="s">
        <v>1567</v>
      </c>
      <c r="L352" s="1032" t="s">
        <v>3085</v>
      </c>
      <c r="M352" s="1033">
        <v>0.05</v>
      </c>
      <c r="N352" s="1032" t="s">
        <v>1569</v>
      </c>
      <c r="O352" s="1036">
        <v>3280</v>
      </c>
      <c r="P352" s="1980">
        <f t="shared" si="40"/>
        <v>3280</v>
      </c>
      <c r="Q352" s="1980">
        <v>0</v>
      </c>
      <c r="R352" s="1980">
        <v>0</v>
      </c>
      <c r="S352" s="1980">
        <v>0</v>
      </c>
      <c r="T352" s="1980">
        <v>0</v>
      </c>
      <c r="U352" s="2036">
        <v>0</v>
      </c>
    </row>
    <row r="353" spans="4:21" s="1045" customFormat="1" hidden="1" outlineLevel="2">
      <c r="D353" s="1051">
        <f t="shared" si="37"/>
        <v>31</v>
      </c>
      <c r="E353" s="1051" t="str">
        <f>IF(COUNTIF(E$11:E352,F353)&gt;0,"",F353)</f>
        <v/>
      </c>
      <c r="F353" s="1051" t="str">
        <f t="shared" si="38"/>
        <v>Fioul Lourd (commercial), Nouvelle Calédonie, Base Carbone</v>
      </c>
      <c r="G353" s="1055" t="str">
        <f t="shared" si="39"/>
        <v>Fioul Lourd (commercial), Nouvelle Calédonie, Base Carbone; kgCO2e/tep PCI, Amont</v>
      </c>
      <c r="I353" s="1031" t="s">
        <v>1590</v>
      </c>
      <c r="J353" s="1032" t="s">
        <v>1575</v>
      </c>
      <c r="K353" s="1032" t="s">
        <v>1567</v>
      </c>
      <c r="L353" s="1032" t="s">
        <v>3085</v>
      </c>
      <c r="M353" s="1033">
        <v>0.05</v>
      </c>
      <c r="N353" s="1032" t="s">
        <v>1570</v>
      </c>
      <c r="O353" s="1036">
        <v>592</v>
      </c>
      <c r="P353" s="1980">
        <f t="shared" si="40"/>
        <v>592</v>
      </c>
      <c r="Q353" s="1980">
        <v>0</v>
      </c>
      <c r="R353" s="1980">
        <v>0</v>
      </c>
      <c r="S353" s="1980">
        <v>0</v>
      </c>
      <c r="T353" s="1980">
        <v>0</v>
      </c>
      <c r="U353" s="2036">
        <v>0</v>
      </c>
    </row>
    <row r="354" spans="4:21" s="1045" customFormat="1" hidden="1" outlineLevel="2">
      <c r="D354" s="1051">
        <f t="shared" si="37"/>
        <v>31</v>
      </c>
      <c r="E354" s="1051" t="str">
        <f>IF(COUNTIF(E$11:E353,F354)&gt;0,"",F354)</f>
        <v/>
      </c>
      <c r="F354" s="1051" t="str">
        <f t="shared" si="38"/>
        <v>Fioul Lourd (commercial), Nouvelle Calédonie, Base Carbone</v>
      </c>
      <c r="G354" s="1055" t="str">
        <f t="shared" si="39"/>
        <v>Fioul Lourd (commercial), Nouvelle Calédonie, Base Carbone; kgCO2e/litre, Combustion</v>
      </c>
      <c r="I354" s="1031" t="s">
        <v>1590</v>
      </c>
      <c r="J354" s="1032" t="s">
        <v>1574</v>
      </c>
      <c r="K354" s="1032" t="s">
        <v>1567</v>
      </c>
      <c r="L354" s="1032" t="s">
        <v>3085</v>
      </c>
      <c r="M354" s="1033">
        <v>0.05</v>
      </c>
      <c r="N354" s="1032" t="s">
        <v>1569</v>
      </c>
      <c r="O354" s="1036">
        <v>3.12</v>
      </c>
      <c r="P354" s="1980">
        <f t="shared" si="40"/>
        <v>3.12</v>
      </c>
      <c r="Q354" s="1980">
        <v>0</v>
      </c>
      <c r="R354" s="1980">
        <v>0</v>
      </c>
      <c r="S354" s="1980">
        <v>0</v>
      </c>
      <c r="T354" s="1980">
        <v>0</v>
      </c>
      <c r="U354" s="2036">
        <v>0</v>
      </c>
    </row>
    <row r="355" spans="4:21" s="1045" customFormat="1" hidden="1" outlineLevel="2">
      <c r="D355" s="1051">
        <f t="shared" si="37"/>
        <v>31</v>
      </c>
      <c r="E355" s="1051" t="str">
        <f>IF(COUNTIF(E$11:E354,F355)&gt;0,"",F355)</f>
        <v/>
      </c>
      <c r="F355" s="1051" t="str">
        <f t="shared" si="38"/>
        <v>Fioul Lourd (commercial), Nouvelle Calédonie, Base Carbone</v>
      </c>
      <c r="G355" s="1055" t="str">
        <f t="shared" si="39"/>
        <v>Fioul Lourd (commercial), Nouvelle Calédonie, Base Carbone; kgCO2e/litre, Amont</v>
      </c>
      <c r="I355" s="1031" t="s">
        <v>1590</v>
      </c>
      <c r="J355" s="1032" t="s">
        <v>1574</v>
      </c>
      <c r="K355" s="1032" t="s">
        <v>1567</v>
      </c>
      <c r="L355" s="1032" t="s">
        <v>3085</v>
      </c>
      <c r="M355" s="1033">
        <v>0.05</v>
      </c>
      <c r="N355" s="1032" t="s">
        <v>1570</v>
      </c>
      <c r="O355" s="1036">
        <v>0.54700000000000004</v>
      </c>
      <c r="P355" s="1980">
        <f>O355</f>
        <v>0.54700000000000004</v>
      </c>
      <c r="Q355" s="1980">
        <v>0</v>
      </c>
      <c r="R355" s="1980">
        <v>0</v>
      </c>
      <c r="S355" s="1980">
        <v>0</v>
      </c>
      <c r="T355" s="1980">
        <v>0</v>
      </c>
      <c r="U355" s="2036">
        <v>0</v>
      </c>
    </row>
    <row r="356" spans="4:21" s="1045" customFormat="1" hidden="1" outlineLevel="2">
      <c r="D356" s="1051">
        <f t="shared" si="37"/>
        <v>32</v>
      </c>
      <c r="E356" s="1051" t="str">
        <f>IF(COUNTIF(E$11:E355,F356)&gt;0,"",F356)</f>
        <v>Fioul à base de carbone recyclé - VALORTEC, France continentale, Base Carbone</v>
      </c>
      <c r="F356" s="1051" t="str">
        <f t="shared" si="38"/>
        <v>Fioul à base de carbone recyclé - VALORTEC, France continentale, Base Carbone</v>
      </c>
      <c r="G356" s="1055" t="str">
        <f t="shared" si="39"/>
        <v>Fioul à base de carbone recyclé - VALORTEC, France continentale, Base Carbone; kgCO2e/kg, Combustion</v>
      </c>
      <c r="I356" s="1031" t="s">
        <v>4728</v>
      </c>
      <c r="J356" s="1119" t="s">
        <v>1572</v>
      </c>
      <c r="K356" s="1032" t="s">
        <v>1567</v>
      </c>
      <c r="L356" s="1119" t="s">
        <v>1571</v>
      </c>
      <c r="M356" s="1033">
        <v>0.22</v>
      </c>
      <c r="N356" s="1119" t="s">
        <v>1569</v>
      </c>
      <c r="O356" s="1036">
        <v>3.14</v>
      </c>
      <c r="P356" s="2510">
        <v>3.12</v>
      </c>
      <c r="Q356" s="2510">
        <v>2.3999999999999998E-3</v>
      </c>
      <c r="R356" s="2510">
        <v>0</v>
      </c>
      <c r="S356" s="2510">
        <v>1.8599999999999998E-2</v>
      </c>
      <c r="T356" s="2510">
        <v>7.6999999999999996E-4</v>
      </c>
      <c r="U356" s="2177">
        <v>0</v>
      </c>
    </row>
    <row r="357" spans="4:21" s="1045" customFormat="1" hidden="1" outlineLevel="2">
      <c r="D357" s="1051">
        <f t="shared" si="37"/>
        <v>32</v>
      </c>
      <c r="E357" s="1051" t="str">
        <f>IF(COUNTIF(E$11:E356,F357)&gt;0,"",F357)</f>
        <v/>
      </c>
      <c r="F357" s="1051" t="str">
        <f t="shared" si="38"/>
        <v>Fioul à base de carbone recyclé - VALORTEC, France continentale, Base Carbone</v>
      </c>
      <c r="G357" s="1055" t="str">
        <f t="shared" si="39"/>
        <v>Fioul à base de carbone recyclé - VALORTEC, France continentale, Base Carbone; kgCO2e/kg, Amont</v>
      </c>
      <c r="I357" s="1031" t="s">
        <v>4728</v>
      </c>
      <c r="J357" s="1119" t="s">
        <v>1572</v>
      </c>
      <c r="K357" s="1032" t="s">
        <v>1567</v>
      </c>
      <c r="L357" s="1119" t="s">
        <v>1571</v>
      </c>
      <c r="M357" s="1033">
        <v>0.22</v>
      </c>
      <c r="N357" s="1119" t="s">
        <v>1570</v>
      </c>
      <c r="O357" s="1036">
        <v>8.3699999999999997E-2</v>
      </c>
      <c r="P357" s="2510">
        <v>7.8700000000000006E-2</v>
      </c>
      <c r="Q357" s="2510">
        <v>8.8800000000000001E-4</v>
      </c>
      <c r="R357" s="2510">
        <v>0</v>
      </c>
      <c r="S357" s="2510">
        <v>4.1099999999999999E-3</v>
      </c>
      <c r="T357" s="2510">
        <v>0</v>
      </c>
      <c r="U357" s="2177">
        <v>0</v>
      </c>
    </row>
    <row r="358" spans="4:21" s="1045" customFormat="1" hidden="1" outlineLevel="2">
      <c r="D358" s="1051">
        <f t="shared" si="37"/>
        <v>32</v>
      </c>
      <c r="E358" s="1051" t="str">
        <f>IF(COUNTIF(E$11:E357,F358)&gt;0,"",F358)</f>
        <v/>
      </c>
      <c r="F358" s="1051" t="str">
        <f t="shared" si="38"/>
        <v>Fioul à base de carbone recyclé - VALORTEC, France continentale, Base Carbone</v>
      </c>
      <c r="G358" s="1055" t="str">
        <f t="shared" si="39"/>
        <v>Fioul à base de carbone recyclé - VALORTEC, France continentale, Base Carbone; kgCO2e/kWh PCI, Combustion</v>
      </c>
      <c r="I358" s="1031" t="s">
        <v>4728</v>
      </c>
      <c r="J358" s="1119" t="s">
        <v>1573</v>
      </c>
      <c r="K358" s="1032" t="s">
        <v>1567</v>
      </c>
      <c r="L358" s="1119" t="s">
        <v>1571</v>
      </c>
      <c r="M358" s="1033">
        <v>0.22</v>
      </c>
      <c r="N358" s="1119" t="s">
        <v>1569</v>
      </c>
      <c r="O358" s="1036">
        <v>0.27500000000000002</v>
      </c>
      <c r="P358" s="2510">
        <v>0.27300000000000002</v>
      </c>
      <c r="Q358" s="2510">
        <v>2.1000000000000001E-4</v>
      </c>
      <c r="R358" s="2510">
        <v>0</v>
      </c>
      <c r="S358" s="2510">
        <v>1.6299999999999999E-3</v>
      </c>
      <c r="T358" s="2510">
        <v>6.7399999999999998E-5</v>
      </c>
      <c r="U358" s="2177">
        <v>0</v>
      </c>
    </row>
    <row r="359" spans="4:21" s="1045" customFormat="1" hidden="1" outlineLevel="2">
      <c r="D359" s="1051">
        <f t="shared" si="37"/>
        <v>32</v>
      </c>
      <c r="E359" s="1051" t="str">
        <f>IF(COUNTIF(E$11:E358,F359)&gt;0,"",F359)</f>
        <v/>
      </c>
      <c r="F359" s="1051" t="str">
        <f t="shared" si="38"/>
        <v>Fioul à base de carbone recyclé - VALORTEC, France continentale, Base Carbone</v>
      </c>
      <c r="G359" s="1055" t="str">
        <f t="shared" si="39"/>
        <v>Fioul à base de carbone recyclé - VALORTEC, France continentale, Base Carbone; kgCO2e/kWh PCI, Amont</v>
      </c>
      <c r="I359" s="1031" t="s">
        <v>4728</v>
      </c>
      <c r="J359" s="1119" t="s">
        <v>1573</v>
      </c>
      <c r="K359" s="1032" t="s">
        <v>1567</v>
      </c>
      <c r="L359" s="1119" t="s">
        <v>1571</v>
      </c>
      <c r="M359" s="1033">
        <v>0.22</v>
      </c>
      <c r="N359" s="1119" t="s">
        <v>1570</v>
      </c>
      <c r="O359" s="1036">
        <v>7.3299999999999997E-3</v>
      </c>
      <c r="P359" s="2510">
        <v>6.8900000000000003E-3</v>
      </c>
      <c r="Q359" s="2510">
        <v>7.7700000000000005E-5</v>
      </c>
      <c r="R359" s="2510">
        <v>0</v>
      </c>
      <c r="S359" s="2510">
        <v>3.5999999999999999E-3</v>
      </c>
      <c r="T359" s="2510">
        <v>0</v>
      </c>
      <c r="U359" s="2177">
        <v>0</v>
      </c>
    </row>
    <row r="360" spans="4:21" s="1045" customFormat="1" hidden="1" outlineLevel="2">
      <c r="D360" s="1051">
        <f t="shared" si="37"/>
        <v>32</v>
      </c>
      <c r="E360" s="1051" t="str">
        <f>IF(COUNTIF(E$11:E359,F360)&gt;0,"",F360)</f>
        <v/>
      </c>
      <c r="F360" s="1051" t="str">
        <f t="shared" si="38"/>
        <v>Fioul à base de carbone recyclé - VALORTEC, France continentale, Base Carbone</v>
      </c>
      <c r="G360" s="1055" t="str">
        <f t="shared" si="39"/>
        <v>Fioul à base de carbone recyclé - VALORTEC, France continentale, Base Carbone; kgCO2e/kWh GJ PCI, Combustion</v>
      </c>
      <c r="I360" s="1031" t="s">
        <v>4728</v>
      </c>
      <c r="J360" s="1119" t="s">
        <v>4727</v>
      </c>
      <c r="K360" s="1032" t="s">
        <v>1567</v>
      </c>
      <c r="L360" s="1119" t="s">
        <v>1571</v>
      </c>
      <c r="M360" s="1033">
        <v>0.22</v>
      </c>
      <c r="N360" s="1119" t="s">
        <v>1569</v>
      </c>
      <c r="O360" s="1036">
        <v>78.400000000000006</v>
      </c>
      <c r="P360" s="2510">
        <v>77.900000000000006</v>
      </c>
      <c r="Q360" s="2510">
        <v>0.06</v>
      </c>
      <c r="R360" s="2510">
        <v>0</v>
      </c>
      <c r="S360" s="2510">
        <v>0.46500000000000002</v>
      </c>
      <c r="T360" s="2510">
        <v>1.9300000000000001E-2</v>
      </c>
      <c r="U360" s="2177">
        <v>0</v>
      </c>
    </row>
    <row r="361" spans="4:21" s="1045" customFormat="1" hidden="1" outlineLevel="2">
      <c r="D361" s="1051">
        <f t="shared" si="37"/>
        <v>32</v>
      </c>
      <c r="E361" s="1051" t="str">
        <f>IF(COUNTIF(E$11:E360,F361)&gt;0,"",F361)</f>
        <v/>
      </c>
      <c r="F361" s="1051" t="str">
        <f t="shared" si="38"/>
        <v>Fioul à base de carbone recyclé - VALORTEC, France continentale, Base Carbone</v>
      </c>
      <c r="G361" s="1055" t="str">
        <f t="shared" si="39"/>
        <v>Fioul à base de carbone recyclé - VALORTEC, France continentale, Base Carbone; kgCO2e/kWh GJ PCI, Amont</v>
      </c>
      <c r="I361" s="1031" t="s">
        <v>4728</v>
      </c>
      <c r="J361" s="1119" t="s">
        <v>4727</v>
      </c>
      <c r="K361" s="1032" t="s">
        <v>1567</v>
      </c>
      <c r="L361" s="1119" t="s">
        <v>1571</v>
      </c>
      <c r="M361" s="1033">
        <v>0.22</v>
      </c>
      <c r="N361" s="1119" t="s">
        <v>1570</v>
      </c>
      <c r="O361" s="1036">
        <v>2.1</v>
      </c>
      <c r="P361" s="2510">
        <v>1.97</v>
      </c>
      <c r="Q361" s="2510">
        <v>2.2200000000000001E-2</v>
      </c>
      <c r="R361" s="2510">
        <v>0</v>
      </c>
      <c r="S361" s="2510">
        <v>0.10299999999999999</v>
      </c>
      <c r="T361" s="2510">
        <v>0</v>
      </c>
      <c r="U361" s="2177">
        <v>0</v>
      </c>
    </row>
    <row r="362" spans="4:21" s="1045" customFormat="1" hidden="1" outlineLevel="2">
      <c r="D362" s="1051">
        <f t="shared" ref="D362:D425" si="41">D361+IF(LEN(E362)=0,0,1)</f>
        <v>33</v>
      </c>
      <c r="E362" s="1051" t="str">
        <f>IF(COUNTIF(E$11:E361,F362)&gt;0,"",F362)</f>
        <v>Gazole routier (B10), France continentale, Base Carbone</v>
      </c>
      <c r="F362" s="1051" t="str">
        <f t="shared" ref="F362:F425" si="42">IF(I362&lt;&gt;"",I362&amp;IF(L362&lt;&gt;"",", "&amp;L362,"")&amp;IF(K362&lt;&gt;"",", "&amp;K362,""),"")</f>
        <v>Gazole routier (B10), France continentale, Base Carbone</v>
      </c>
      <c r="G362" s="1055" t="str">
        <f t="shared" ref="G362:G425" si="43">IF(F362&lt;&gt;"",F362&amp;IF(J362&lt;&gt;"","; "&amp;J362,"")&amp;IF(N362&lt;&gt;"",", "&amp;N362,""),"")</f>
        <v>Gazole routier (B10), France continentale, Base Carbone; kgCO2e/kWh GJ PCI, Combustion</v>
      </c>
      <c r="I362" s="1031" t="s">
        <v>4804</v>
      </c>
      <c r="J362" s="1119" t="s">
        <v>4727</v>
      </c>
      <c r="K362" s="1032" t="s">
        <v>1567</v>
      </c>
      <c r="L362" s="1119" t="s">
        <v>1571</v>
      </c>
      <c r="M362" s="1033">
        <v>0.05</v>
      </c>
      <c r="N362" s="1119" t="s">
        <v>1569</v>
      </c>
      <c r="O362" s="1036">
        <v>68.2</v>
      </c>
      <c r="P362" s="2581">
        <v>67.599999999999994</v>
      </c>
      <c r="Q362" s="2581">
        <v>2.7E-2</v>
      </c>
      <c r="R362" s="2581">
        <v>0</v>
      </c>
      <c r="S362" s="2581">
        <v>0.54900000000000004</v>
      </c>
      <c r="T362" s="2581">
        <v>0</v>
      </c>
      <c r="U362" s="2177">
        <v>6.561483</v>
      </c>
    </row>
    <row r="363" spans="4:21" s="1045" customFormat="1" hidden="1" outlineLevel="2">
      <c r="D363" s="1051">
        <f t="shared" si="41"/>
        <v>33</v>
      </c>
      <c r="E363" s="1051" t="str">
        <f>IF(COUNTIF(E$11:E362,F363)&gt;0,"",F363)</f>
        <v/>
      </c>
      <c r="F363" s="1051" t="str">
        <f t="shared" si="42"/>
        <v>Gazole routier (B10), France continentale, Base Carbone</v>
      </c>
      <c r="G363" s="1055" t="str">
        <f t="shared" si="43"/>
        <v>Gazole routier (B10), France continentale, Base Carbone; kgCO2e/kWh GJ PCI, Amont</v>
      </c>
      <c r="I363" s="1031" t="s">
        <v>4804</v>
      </c>
      <c r="J363" s="1119" t="s">
        <v>4727</v>
      </c>
      <c r="K363" s="1032" t="s">
        <v>1567</v>
      </c>
      <c r="L363" s="1119" t="s">
        <v>1571</v>
      </c>
      <c r="M363" s="1033">
        <v>0.05</v>
      </c>
      <c r="N363" s="1119" t="s">
        <v>1570</v>
      </c>
      <c r="O363" s="1036">
        <v>18</v>
      </c>
      <c r="P363" s="2581">
        <v>16.399999999999999</v>
      </c>
      <c r="Q363" s="2581">
        <v>0.192</v>
      </c>
      <c r="R363" s="2581">
        <v>0</v>
      </c>
      <c r="S363" s="2581">
        <v>1.36</v>
      </c>
      <c r="T363" s="2581">
        <v>0</v>
      </c>
      <c r="U363" s="2177">
        <v>-6.561483</v>
      </c>
    </row>
    <row r="364" spans="4:21" s="1045" customFormat="1" hidden="1" outlineLevel="2">
      <c r="D364" s="1051">
        <f t="shared" si="41"/>
        <v>33</v>
      </c>
      <c r="E364" s="1051" t="str">
        <f>IF(COUNTIF(E$11:E363,F364)&gt;0,"",F364)</f>
        <v/>
      </c>
      <c r="F364" s="1051" t="str">
        <f t="shared" si="42"/>
        <v>Gazole routier (B10), France continentale, Base Carbone</v>
      </c>
      <c r="G364" s="1055" t="str">
        <f t="shared" si="43"/>
        <v>Gazole routier (B10), France continentale, Base Carbone; kgCO2e/kWh PCI, Combustion</v>
      </c>
      <c r="I364" s="1031" t="s">
        <v>4804</v>
      </c>
      <c r="J364" s="1119" t="s">
        <v>1573</v>
      </c>
      <c r="K364" s="1032" t="s">
        <v>1567</v>
      </c>
      <c r="L364" s="1119" t="s">
        <v>1571</v>
      </c>
      <c r="M364" s="1033">
        <v>0.05</v>
      </c>
      <c r="N364" s="1119" t="s">
        <v>1569</v>
      </c>
      <c r="O364" s="1036">
        <v>0.246</v>
      </c>
      <c r="P364" s="2581">
        <v>0.24399999999999999</v>
      </c>
      <c r="Q364" s="2581">
        <v>9.0000000000000006E-5</v>
      </c>
      <c r="R364" s="2581">
        <v>0</v>
      </c>
      <c r="S364" s="2581">
        <v>2.1199999999999999E-3</v>
      </c>
      <c r="T364" s="2581">
        <v>0</v>
      </c>
      <c r="U364" s="2177">
        <v>2.3621E-2</v>
      </c>
    </row>
    <row r="365" spans="4:21" s="1045" customFormat="1" hidden="1" outlineLevel="2">
      <c r="D365" s="1051">
        <f t="shared" si="41"/>
        <v>33</v>
      </c>
      <c r="E365" s="1051" t="str">
        <f>IF(COUNTIF(E$11:E364,F365)&gt;0,"",F365)</f>
        <v/>
      </c>
      <c r="F365" s="1051" t="str">
        <f t="shared" si="42"/>
        <v>Gazole routier (B10), France continentale, Base Carbone</v>
      </c>
      <c r="G365" s="1055" t="str">
        <f t="shared" si="43"/>
        <v>Gazole routier (B10), France continentale, Base Carbone; kgCO2e/kWh PCI, Amont</v>
      </c>
      <c r="I365" s="1031" t="s">
        <v>4804</v>
      </c>
      <c r="J365" s="1119" t="s">
        <v>1573</v>
      </c>
      <c r="K365" s="1032" t="s">
        <v>1567</v>
      </c>
      <c r="L365" s="1119" t="s">
        <v>1571</v>
      </c>
      <c r="M365" s="1033">
        <v>0.05</v>
      </c>
      <c r="N365" s="1119" t="s">
        <v>1570</v>
      </c>
      <c r="O365" s="1036">
        <v>6.4399999999999999E-2</v>
      </c>
      <c r="P365" s="2581">
        <v>5.8900000000000001E-2</v>
      </c>
      <c r="Q365" s="2581">
        <v>6.8999999999999997E-4</v>
      </c>
      <c r="R365" s="2581">
        <v>0</v>
      </c>
      <c r="S365" s="2581">
        <v>4.7699999999999999E-3</v>
      </c>
      <c r="T365" s="2581">
        <v>0</v>
      </c>
      <c r="U365" s="2177">
        <v>-2.3621E-2</v>
      </c>
    </row>
    <row r="366" spans="4:21" s="1045" customFormat="1" hidden="1" outlineLevel="2">
      <c r="D366" s="1051">
        <f t="shared" si="41"/>
        <v>33</v>
      </c>
      <c r="E366" s="1051" t="str">
        <f>IF(COUNTIF(E$11:E365,F366)&gt;0,"",F366)</f>
        <v/>
      </c>
      <c r="F366" s="1051" t="str">
        <f t="shared" si="42"/>
        <v>Gazole routier (B10), France continentale, Base Carbone</v>
      </c>
      <c r="G366" s="1055" t="str">
        <f t="shared" si="43"/>
        <v>Gazole routier (B10), France continentale, Base Carbone; kgCO2e/tep PCI, Combustion</v>
      </c>
      <c r="I366" s="1031" t="s">
        <v>4804</v>
      </c>
      <c r="J366" s="1119" t="s">
        <v>1575</v>
      </c>
      <c r="K366" s="1032" t="s">
        <v>1567</v>
      </c>
      <c r="L366" s="1119" t="s">
        <v>1571</v>
      </c>
      <c r="M366" s="1033">
        <v>0.05</v>
      </c>
      <c r="N366" s="1119" t="s">
        <v>1569</v>
      </c>
      <c r="O366" s="1036">
        <v>2863</v>
      </c>
      <c r="P366" s="2581">
        <v>2839</v>
      </c>
      <c r="Q366" s="2581">
        <v>1.1399999999999999</v>
      </c>
      <c r="R366" s="2581">
        <v>0</v>
      </c>
      <c r="S366" s="2581">
        <v>23.1</v>
      </c>
      <c r="T366" s="2581">
        <v>0</v>
      </c>
      <c r="U366" s="2177">
        <v>275.58228000000003</v>
      </c>
    </row>
    <row r="367" spans="4:21" s="1045" customFormat="1" hidden="1" outlineLevel="2">
      <c r="D367" s="1051">
        <f t="shared" si="41"/>
        <v>33</v>
      </c>
      <c r="E367" s="1051" t="str">
        <f>IF(COUNTIF(E$11:E366,F367)&gt;0,"",F367)</f>
        <v/>
      </c>
      <c r="F367" s="1051" t="str">
        <f t="shared" si="42"/>
        <v>Gazole routier (B10), France continentale, Base Carbone</v>
      </c>
      <c r="G367" s="1055" t="str">
        <f t="shared" si="43"/>
        <v>Gazole routier (B10), France continentale, Base Carbone; kgCO2e/tep PCI, Amont</v>
      </c>
      <c r="I367" s="1031" t="s">
        <v>4804</v>
      </c>
      <c r="J367" s="1119" t="s">
        <v>1575</v>
      </c>
      <c r="K367" s="1032" t="s">
        <v>1567</v>
      </c>
      <c r="L367" s="1119" t="s">
        <v>1571</v>
      </c>
      <c r="M367" s="1033">
        <v>0.05</v>
      </c>
      <c r="N367" s="1119" t="s">
        <v>1570</v>
      </c>
      <c r="O367" s="1036">
        <v>753</v>
      </c>
      <c r="P367" s="2581">
        <v>688</v>
      </c>
      <c r="Q367" s="2581">
        <v>8.0500000000000007</v>
      </c>
      <c r="R367" s="2581">
        <v>0</v>
      </c>
      <c r="S367" s="2581">
        <v>57.1</v>
      </c>
      <c r="T367" s="2581">
        <v>0</v>
      </c>
      <c r="U367" s="2177">
        <v>-275.58228000000003</v>
      </c>
    </row>
    <row r="368" spans="4:21" s="1045" customFormat="1" hidden="1" outlineLevel="2">
      <c r="D368" s="1051">
        <f t="shared" si="41"/>
        <v>33</v>
      </c>
      <c r="E368" s="1051" t="str">
        <f>IF(COUNTIF(E$11:E367,F368)&gt;0,"",F368)</f>
        <v/>
      </c>
      <c r="F368" s="1051" t="str">
        <f t="shared" si="42"/>
        <v>Gazole routier (B10), France continentale, Base Carbone</v>
      </c>
      <c r="G368" s="1055" t="str">
        <f t="shared" si="43"/>
        <v>Gazole routier (B10), France continentale, Base Carbone; kgCO2e/litre, Combustion</v>
      </c>
      <c r="I368" s="1031" t="s">
        <v>4804</v>
      </c>
      <c r="J368" s="1119" t="s">
        <v>1574</v>
      </c>
      <c r="K368" s="1032" t="s">
        <v>1567</v>
      </c>
      <c r="L368" s="1119" t="s">
        <v>1571</v>
      </c>
      <c r="M368" s="1033">
        <v>0.05</v>
      </c>
      <c r="N368" s="1119" t="s">
        <v>1569</v>
      </c>
      <c r="O368" s="1036">
        <v>2.41</v>
      </c>
      <c r="P368" s="2581">
        <v>2.39</v>
      </c>
      <c r="Q368" s="2581">
        <v>9.6000000000000002E-4</v>
      </c>
      <c r="R368" s="2581">
        <v>0</v>
      </c>
      <c r="S368" s="2581">
        <v>1.9300000000000001E-2</v>
      </c>
      <c r="T368" s="2581">
        <v>0</v>
      </c>
      <c r="U368" s="2177">
        <v>0.247946</v>
      </c>
    </row>
    <row r="369" spans="4:21" s="1045" customFormat="1" hidden="1" outlineLevel="2">
      <c r="D369" s="1051">
        <f t="shared" si="41"/>
        <v>33</v>
      </c>
      <c r="E369" s="1051" t="str">
        <f>IF(COUNTIF(E$11:E368,F369)&gt;0,"",F369)</f>
        <v/>
      </c>
      <c r="F369" s="1051" t="str">
        <f t="shared" si="42"/>
        <v>Gazole routier (B10), France continentale, Base Carbone</v>
      </c>
      <c r="G369" s="1055" t="str">
        <f t="shared" si="43"/>
        <v>Gazole routier (B10), France continentale, Base Carbone; kgCO2e/litre, Amont</v>
      </c>
      <c r="I369" s="1031" t="s">
        <v>4804</v>
      </c>
      <c r="J369" s="1119" t="s">
        <v>1574</v>
      </c>
      <c r="K369" s="1032" t="s">
        <v>1567</v>
      </c>
      <c r="L369" s="1119" t="s">
        <v>1571</v>
      </c>
      <c r="M369" s="1033">
        <v>0.05</v>
      </c>
      <c r="N369" s="1119" t="s">
        <v>1570</v>
      </c>
      <c r="O369" s="1036">
        <v>0.628</v>
      </c>
      <c r="P369" s="2581">
        <v>0.57599999999999996</v>
      </c>
      <c r="Q369" s="2581">
        <v>6.6E-3</v>
      </c>
      <c r="R369" s="2581">
        <v>0</v>
      </c>
      <c r="S369" s="2581">
        <v>4.58E-2</v>
      </c>
      <c r="T369" s="2581">
        <v>0</v>
      </c>
      <c r="U369" s="2177">
        <v>-0.247946</v>
      </c>
    </row>
    <row r="370" spans="4:21" s="1045" customFormat="1" hidden="1" outlineLevel="2">
      <c r="D370" s="1051">
        <f t="shared" si="41"/>
        <v>34</v>
      </c>
      <c r="E370" s="1051" t="str">
        <f>IF(COUNTIF(E$11:E369,F370)&gt;0,"",F370)</f>
        <v>Gazole routier (B100), France continentale, Base Carbone</v>
      </c>
      <c r="F370" s="1051" t="str">
        <f t="shared" si="42"/>
        <v>Gazole routier (B100), France continentale, Base Carbone</v>
      </c>
      <c r="G370" s="1055" t="str">
        <f t="shared" si="43"/>
        <v>Gazole routier (B100), France continentale, Base Carbone; kgCO2e/kWh GJ PCI, Combustion</v>
      </c>
      <c r="I370" s="1031" t="s">
        <v>4805</v>
      </c>
      <c r="J370" s="1119" t="s">
        <v>4727</v>
      </c>
      <c r="K370" s="1032" t="s">
        <v>1567</v>
      </c>
      <c r="L370" s="1119" t="s">
        <v>1571</v>
      </c>
      <c r="M370" s="1033">
        <v>0.05</v>
      </c>
      <c r="N370" s="1119" t="s">
        <v>1569</v>
      </c>
      <c r="O370" s="1036">
        <v>0</v>
      </c>
      <c r="P370" s="2581">
        <v>0</v>
      </c>
      <c r="Q370" s="2581">
        <v>0</v>
      </c>
      <c r="R370" s="2581">
        <v>0</v>
      </c>
      <c r="S370" s="2581">
        <v>0</v>
      </c>
      <c r="T370" s="2581">
        <v>0</v>
      </c>
      <c r="U370" s="2177">
        <v>69.863500999999999</v>
      </c>
    </row>
    <row r="371" spans="4:21" s="1045" customFormat="1" hidden="1" outlineLevel="2">
      <c r="D371" s="1051">
        <f t="shared" si="41"/>
        <v>34</v>
      </c>
      <c r="E371" s="1051" t="str">
        <f>IF(COUNTIF(E$11:E370,F371)&gt;0,"",F371)</f>
        <v/>
      </c>
      <c r="F371" s="1051" t="str">
        <f t="shared" si="42"/>
        <v>Gazole routier (B100), France continentale, Base Carbone</v>
      </c>
      <c r="G371" s="1055" t="str">
        <f t="shared" si="43"/>
        <v>Gazole routier (B100), France continentale, Base Carbone; kgCO2e/kWh GJ PCI, Amont</v>
      </c>
      <c r="I371" s="1031" t="s">
        <v>4805</v>
      </c>
      <c r="J371" s="1119" t="s">
        <v>4727</v>
      </c>
      <c r="K371" s="1032" t="s">
        <v>1567</v>
      </c>
      <c r="L371" s="1119" t="s">
        <v>1571</v>
      </c>
      <c r="M371" s="1033">
        <v>0.05</v>
      </c>
      <c r="N371" s="1119" t="s">
        <v>1570</v>
      </c>
      <c r="O371" s="1036">
        <v>36.6</v>
      </c>
      <c r="P371" s="2581">
        <v>21.8</v>
      </c>
      <c r="Q371" s="2581">
        <v>1</v>
      </c>
      <c r="R371" s="2581">
        <v>0</v>
      </c>
      <c r="S371" s="2581">
        <v>13.8</v>
      </c>
      <c r="T371" s="2581">
        <v>0</v>
      </c>
      <c r="U371" s="2177">
        <v>-69.863500999999999</v>
      </c>
    </row>
    <row r="372" spans="4:21" s="1045" customFormat="1" hidden="1" outlineLevel="2">
      <c r="D372" s="1051">
        <f t="shared" si="41"/>
        <v>34</v>
      </c>
      <c r="E372" s="1051" t="str">
        <f>IF(COUNTIF(E$11:E371,F372)&gt;0,"",F372)</f>
        <v/>
      </c>
      <c r="F372" s="1051" t="str">
        <f t="shared" si="42"/>
        <v>Gazole routier (B100), France continentale, Base Carbone</v>
      </c>
      <c r="G372" s="1055" t="str">
        <f t="shared" si="43"/>
        <v>Gazole routier (B100), France continentale, Base Carbone; kgCO2e/kWh PCI, Combustion</v>
      </c>
      <c r="I372" s="1031" t="s">
        <v>4805</v>
      </c>
      <c r="J372" s="1119" t="s">
        <v>1573</v>
      </c>
      <c r="K372" s="1032" t="s">
        <v>1567</v>
      </c>
      <c r="L372" s="1119" t="s">
        <v>1571</v>
      </c>
      <c r="M372" s="1033">
        <v>0.05</v>
      </c>
      <c r="N372" s="1119" t="s">
        <v>1569</v>
      </c>
      <c r="O372" s="1036">
        <v>0</v>
      </c>
      <c r="P372" s="2581">
        <v>0</v>
      </c>
      <c r="Q372" s="2581">
        <v>0</v>
      </c>
      <c r="R372" s="2581">
        <v>0</v>
      </c>
      <c r="S372" s="2581">
        <v>0</v>
      </c>
      <c r="T372" s="2581">
        <v>0</v>
      </c>
      <c r="U372" s="2177">
        <v>0.25150899999999998</v>
      </c>
    </row>
    <row r="373" spans="4:21" s="1045" customFormat="1" hidden="1" outlineLevel="2">
      <c r="D373" s="1051">
        <f t="shared" si="41"/>
        <v>34</v>
      </c>
      <c r="E373" s="1051" t="str">
        <f>IF(COUNTIF(E$11:E372,F373)&gt;0,"",F373)</f>
        <v/>
      </c>
      <c r="F373" s="1051" t="str">
        <f t="shared" si="42"/>
        <v>Gazole routier (B100), France continentale, Base Carbone</v>
      </c>
      <c r="G373" s="1055" t="str">
        <f t="shared" si="43"/>
        <v>Gazole routier (B100), France continentale, Base Carbone; kgCO2e/kWh PCI, Amont</v>
      </c>
      <c r="I373" s="1031" t="s">
        <v>4805</v>
      </c>
      <c r="J373" s="1119" t="s">
        <v>1573</v>
      </c>
      <c r="K373" s="1032" t="s">
        <v>1567</v>
      </c>
      <c r="L373" s="1119" t="s">
        <v>1571</v>
      </c>
      <c r="M373" s="1033">
        <v>0.05</v>
      </c>
      <c r="N373" s="1119" t="s">
        <v>1570</v>
      </c>
      <c r="O373" s="1036">
        <v>0.13200000000000001</v>
      </c>
      <c r="P373" s="2581">
        <v>7.8200000000000006E-2</v>
      </c>
      <c r="Q373" s="2581">
        <v>3.6900000000000001E-3</v>
      </c>
      <c r="R373" s="2581">
        <v>0</v>
      </c>
      <c r="S373" s="2581">
        <v>4.9799999999999997E-2</v>
      </c>
      <c r="T373" s="2581">
        <v>0</v>
      </c>
      <c r="U373" s="2177">
        <v>-0.25150899999999998</v>
      </c>
    </row>
    <row r="374" spans="4:21" s="1045" customFormat="1" hidden="1" outlineLevel="2">
      <c r="D374" s="1051">
        <f t="shared" si="41"/>
        <v>34</v>
      </c>
      <c r="E374" s="1051" t="str">
        <f>IF(COUNTIF(E$11:E373,F374)&gt;0,"",F374)</f>
        <v/>
      </c>
      <c r="F374" s="1051" t="str">
        <f t="shared" si="42"/>
        <v>Gazole routier (B100), France continentale, Base Carbone</v>
      </c>
      <c r="G374" s="1055" t="str">
        <f t="shared" si="43"/>
        <v>Gazole routier (B100), France continentale, Base Carbone; kgCO2e/TEP PCI, Combustion</v>
      </c>
      <c r="I374" s="1031" t="s">
        <v>4805</v>
      </c>
      <c r="J374" s="1119" t="s">
        <v>4729</v>
      </c>
      <c r="K374" s="1032" t="s">
        <v>1567</v>
      </c>
      <c r="L374" s="1119" t="s">
        <v>1571</v>
      </c>
      <c r="M374" s="1033">
        <v>0.05</v>
      </c>
      <c r="N374" s="1119" t="s">
        <v>1569</v>
      </c>
      <c r="O374" s="1036">
        <v>0</v>
      </c>
      <c r="P374" s="2581">
        <v>0</v>
      </c>
      <c r="Q374" s="2581">
        <v>0</v>
      </c>
      <c r="R374" s="2581">
        <v>0</v>
      </c>
      <c r="S374" s="2581">
        <v>0</v>
      </c>
      <c r="T374" s="2581">
        <v>0</v>
      </c>
      <c r="U374" s="2177">
        <v>2934.2669999999998</v>
      </c>
    </row>
    <row r="375" spans="4:21" s="1045" customFormat="1" hidden="1" outlineLevel="2">
      <c r="D375" s="1051">
        <f t="shared" si="41"/>
        <v>34</v>
      </c>
      <c r="E375" s="1051" t="str">
        <f>IF(COUNTIF(E$11:E374,F375)&gt;0,"",F375)</f>
        <v/>
      </c>
      <c r="F375" s="1051" t="str">
        <f t="shared" si="42"/>
        <v>Gazole routier (B100), France continentale, Base Carbone</v>
      </c>
      <c r="G375" s="1055" t="str">
        <f t="shared" si="43"/>
        <v>Gazole routier (B100), France continentale, Base Carbone; kgCO2e/TEP PCI, Amont</v>
      </c>
      <c r="I375" s="1031" t="s">
        <v>4805</v>
      </c>
      <c r="J375" s="1119" t="s">
        <v>4729</v>
      </c>
      <c r="K375" s="1032" t="s">
        <v>1567</v>
      </c>
      <c r="L375" s="1119" t="s">
        <v>1571</v>
      </c>
      <c r="M375" s="1033">
        <v>0.05</v>
      </c>
      <c r="N375" s="1119" t="s">
        <v>1570</v>
      </c>
      <c r="O375" s="1036">
        <v>1538</v>
      </c>
      <c r="P375" s="2581">
        <v>916</v>
      </c>
      <c r="Q375" s="2581">
        <v>43.2</v>
      </c>
      <c r="R375" s="2581">
        <v>0</v>
      </c>
      <c r="S375" s="2581">
        <v>579</v>
      </c>
      <c r="T375" s="2581">
        <v>0</v>
      </c>
      <c r="U375" s="2177">
        <v>-2934.2669999999998</v>
      </c>
    </row>
    <row r="376" spans="4:21" s="1045" customFormat="1" hidden="1" outlineLevel="2">
      <c r="D376" s="1051">
        <f t="shared" si="41"/>
        <v>34</v>
      </c>
      <c r="E376" s="1051" t="str">
        <f>IF(COUNTIF(E$11:E375,F376)&gt;0,"",F376)</f>
        <v/>
      </c>
      <c r="F376" s="1051" t="str">
        <f t="shared" si="42"/>
        <v>Gazole routier (B100), France continentale, Base Carbone</v>
      </c>
      <c r="G376" s="1055" t="str">
        <f t="shared" si="43"/>
        <v>Gazole routier (B100), France continentale, Base Carbone; kgCO2e/litre, Combustion</v>
      </c>
      <c r="I376" s="1031" t="s">
        <v>4805</v>
      </c>
      <c r="J376" s="1119" t="s">
        <v>1574</v>
      </c>
      <c r="K376" s="1032" t="s">
        <v>1567</v>
      </c>
      <c r="L376" s="1119" t="s">
        <v>1571</v>
      </c>
      <c r="M376" s="1033">
        <v>0.05</v>
      </c>
      <c r="N376" s="1119" t="s">
        <v>1569</v>
      </c>
      <c r="O376" s="1036">
        <v>0</v>
      </c>
      <c r="P376" s="2581">
        <v>0</v>
      </c>
      <c r="Q376" s="2581">
        <v>0</v>
      </c>
      <c r="R376" s="2581">
        <v>0</v>
      </c>
      <c r="S376" s="2581">
        <v>0</v>
      </c>
      <c r="T376" s="2581">
        <v>0</v>
      </c>
      <c r="U376" s="2177">
        <v>2.4794559999999999</v>
      </c>
    </row>
    <row r="377" spans="4:21" s="1045" customFormat="1" hidden="1" outlineLevel="2">
      <c r="D377" s="1051">
        <f t="shared" si="41"/>
        <v>34</v>
      </c>
      <c r="E377" s="1051" t="str">
        <f>IF(COUNTIF(E$11:E376,F377)&gt;0,"",F377)</f>
        <v/>
      </c>
      <c r="F377" s="1051" t="str">
        <f t="shared" si="42"/>
        <v>Gazole routier (B100), France continentale, Base Carbone</v>
      </c>
      <c r="G377" s="1055" t="str">
        <f t="shared" si="43"/>
        <v>Gazole routier (B100), France continentale, Base Carbone; kgCO2e/litre, Amont</v>
      </c>
      <c r="I377" s="1031" t="s">
        <v>4805</v>
      </c>
      <c r="J377" s="1119" t="s">
        <v>1574</v>
      </c>
      <c r="K377" s="1032" t="s">
        <v>1567</v>
      </c>
      <c r="L377" s="1119" t="s">
        <v>1571</v>
      </c>
      <c r="M377" s="1033">
        <v>0.05</v>
      </c>
      <c r="N377" s="1119" t="s">
        <v>1570</v>
      </c>
      <c r="O377" s="1036">
        <v>1.21</v>
      </c>
      <c r="P377" s="2581">
        <v>0.72</v>
      </c>
      <c r="Q377" s="2581">
        <v>3.4200000000000001E-2</v>
      </c>
      <c r="R377" s="2581">
        <v>0</v>
      </c>
      <c r="S377" s="2581">
        <v>0.45800000000000002</v>
      </c>
      <c r="T377" s="2581">
        <v>0</v>
      </c>
      <c r="U377" s="2177">
        <v>-2.4794559999999999</v>
      </c>
    </row>
    <row r="378" spans="4:21" hidden="1" outlineLevel="2">
      <c r="D378" s="1051">
        <f t="shared" si="41"/>
        <v>35</v>
      </c>
      <c r="E378" s="1051" t="str">
        <f>IF(COUNTIF(E$11:E377,F378)&gt;0,"",F378)</f>
        <v>Gazole (B30), France continentale, Base Carbone</v>
      </c>
      <c r="F378" s="1051" t="str">
        <f t="shared" si="42"/>
        <v>Gazole (B30), France continentale, Base Carbone</v>
      </c>
      <c r="G378" s="1055" t="str">
        <f t="shared" si="43"/>
        <v>Gazole (B30), France continentale, Base Carbone; kgCO2e/GJ PCI, Combustion</v>
      </c>
      <c r="I378" s="1031" t="s">
        <v>1591</v>
      </c>
      <c r="J378" s="1032" t="s">
        <v>1566</v>
      </c>
      <c r="K378" s="1032" t="s">
        <v>1567</v>
      </c>
      <c r="L378" s="1032" t="s">
        <v>1571</v>
      </c>
      <c r="M378" s="1033">
        <v>0.05</v>
      </c>
      <c r="N378" s="1032" t="s">
        <v>1569</v>
      </c>
      <c r="O378" s="1036">
        <v>54.1</v>
      </c>
      <c r="P378" s="1036">
        <v>53.6</v>
      </c>
      <c r="Q378" s="1036">
        <v>2.1399999999999999E-2</v>
      </c>
      <c r="R378" s="1036">
        <v>0</v>
      </c>
      <c r="S378" s="1036">
        <v>0.435</v>
      </c>
      <c r="T378" s="1036">
        <v>0</v>
      </c>
      <c r="U378" s="1037">
        <v>19.953016000000002</v>
      </c>
    </row>
    <row r="379" spans="4:21" hidden="1" outlineLevel="2">
      <c r="D379" s="1051">
        <f t="shared" si="41"/>
        <v>35</v>
      </c>
      <c r="E379" s="1051" t="str">
        <f>IF(COUNTIF(E$11:E378,F379)&gt;0,"",F379)</f>
        <v/>
      </c>
      <c r="F379" s="1051" t="str">
        <f t="shared" si="42"/>
        <v>Gazole (B30), France continentale, Base Carbone</v>
      </c>
      <c r="G379" s="1055" t="str">
        <f t="shared" si="43"/>
        <v>Gazole (B30), France continentale, Base Carbone; kgCO2e/GJ PCI, Amont</v>
      </c>
      <c r="I379" s="1031" t="s">
        <v>1591</v>
      </c>
      <c r="J379" s="1032" t="s">
        <v>1566</v>
      </c>
      <c r="K379" s="1032" t="s">
        <v>1567</v>
      </c>
      <c r="L379" s="1032" t="s">
        <v>1571</v>
      </c>
      <c r="M379" s="1033">
        <v>0.05</v>
      </c>
      <c r="N379" s="1032" t="s">
        <v>1570</v>
      </c>
      <c r="O379" s="1036">
        <v>21.8</v>
      </c>
      <c r="P379" s="1036">
        <v>17.5</v>
      </c>
      <c r="Q379" s="1036">
        <v>0.36599999999999999</v>
      </c>
      <c r="R379" s="1036">
        <v>0</v>
      </c>
      <c r="S379" s="1036">
        <v>3.95</v>
      </c>
      <c r="T379" s="1036">
        <v>0</v>
      </c>
      <c r="U379" s="1037">
        <v>-19.953016000000002</v>
      </c>
    </row>
    <row r="380" spans="4:21" hidden="1" outlineLevel="2">
      <c r="D380" s="1051">
        <f t="shared" si="41"/>
        <v>35</v>
      </c>
      <c r="E380" s="1051" t="str">
        <f>IF(COUNTIF(E$11:E379,F380)&gt;0,"",F380)</f>
        <v/>
      </c>
      <c r="F380" s="1051" t="str">
        <f t="shared" si="42"/>
        <v>Gazole (B30), France continentale, Base Carbone</v>
      </c>
      <c r="G380" s="1055" t="str">
        <f t="shared" si="43"/>
        <v>Gazole (B30), France continentale, Base Carbone; kgCO2e/tonne, Combustion</v>
      </c>
      <c r="I380" s="1031" t="s">
        <v>1591</v>
      </c>
      <c r="J380" s="1032" t="s">
        <v>1585</v>
      </c>
      <c r="K380" s="1032" t="s">
        <v>1567</v>
      </c>
      <c r="L380" s="1032" t="s">
        <v>1571</v>
      </c>
      <c r="M380" s="1033">
        <v>0.05</v>
      </c>
      <c r="N380" s="1032" t="s">
        <v>1569</v>
      </c>
      <c r="O380" s="1036">
        <v>2512</v>
      </c>
      <c r="P380" s="1036">
        <v>2491</v>
      </c>
      <c r="Q380" s="1036">
        <v>0.96599999999999997</v>
      </c>
      <c r="R380" s="1036">
        <v>0</v>
      </c>
      <c r="S380" s="1036">
        <v>20.2</v>
      </c>
      <c r="T380" s="1036">
        <v>0</v>
      </c>
      <c r="U380" s="1037">
        <v>821.19790999999998</v>
      </c>
    </row>
    <row r="381" spans="4:21" hidden="1" outlineLevel="2">
      <c r="D381" s="1051">
        <f t="shared" si="41"/>
        <v>35</v>
      </c>
      <c r="E381" s="1051" t="str">
        <f>IF(COUNTIF(E$11:E380,F381)&gt;0,"",F381)</f>
        <v/>
      </c>
      <c r="F381" s="1051" t="str">
        <f t="shared" si="42"/>
        <v>Gazole (B30), France continentale, Base Carbone</v>
      </c>
      <c r="G381" s="1055" t="str">
        <f t="shared" si="43"/>
        <v>Gazole (B30), France continentale, Base Carbone; kgCO2e/tonne, Amont</v>
      </c>
      <c r="I381" s="1031" t="s">
        <v>1591</v>
      </c>
      <c r="J381" s="1032" t="s">
        <v>1585</v>
      </c>
      <c r="K381" s="1032" t="s">
        <v>1567</v>
      </c>
      <c r="L381" s="1032" t="s">
        <v>1571</v>
      </c>
      <c r="M381" s="1033">
        <v>0.05</v>
      </c>
      <c r="N381" s="1032" t="s">
        <v>1570</v>
      </c>
      <c r="O381" s="1036">
        <v>1015</v>
      </c>
      <c r="P381" s="1036">
        <v>814</v>
      </c>
      <c r="Q381" s="1036">
        <v>17</v>
      </c>
      <c r="R381" s="1036">
        <v>0</v>
      </c>
      <c r="S381" s="1036">
        <v>184</v>
      </c>
      <c r="T381" s="1036">
        <v>0</v>
      </c>
      <c r="U381" s="1037">
        <v>-821.19790999999998</v>
      </c>
    </row>
    <row r="382" spans="4:21" hidden="1" outlineLevel="2">
      <c r="D382" s="1051">
        <f t="shared" si="41"/>
        <v>35</v>
      </c>
      <c r="E382" s="1051" t="str">
        <f>IF(COUNTIF(E$11:E381,F382)&gt;0,"",F382)</f>
        <v/>
      </c>
      <c r="F382" s="1051" t="str">
        <f t="shared" si="42"/>
        <v>Gazole (B30), France continentale, Base Carbone</v>
      </c>
      <c r="G382" s="1055" t="str">
        <f t="shared" si="43"/>
        <v>Gazole (B30), France continentale, Base Carbone; kgCO2e/kWh PCI, Combustion</v>
      </c>
      <c r="I382" s="1031" t="s">
        <v>1591</v>
      </c>
      <c r="J382" s="1032" t="s">
        <v>1573</v>
      </c>
      <c r="K382" s="1032" t="s">
        <v>1567</v>
      </c>
      <c r="L382" s="1032" t="s">
        <v>1571</v>
      </c>
      <c r="M382" s="1033">
        <v>0.05</v>
      </c>
      <c r="N382" s="1032" t="s">
        <v>1569</v>
      </c>
      <c r="O382" s="1036">
        <v>0.19500000000000001</v>
      </c>
      <c r="P382" s="1036">
        <v>0.193</v>
      </c>
      <c r="Q382" s="1036">
        <v>6.0000000000000002E-5</v>
      </c>
      <c r="R382" s="1036">
        <v>0</v>
      </c>
      <c r="S382" s="1036">
        <v>1.8600000000000001E-3</v>
      </c>
      <c r="T382" s="1036">
        <v>0</v>
      </c>
      <c r="U382" s="1037">
        <v>7.1831000000000006E-2</v>
      </c>
    </row>
    <row r="383" spans="4:21" hidden="1" outlineLevel="2">
      <c r="D383" s="1051">
        <f t="shared" si="41"/>
        <v>35</v>
      </c>
      <c r="E383" s="1051" t="str">
        <f>IF(COUNTIF(E$11:E382,F383)&gt;0,"",F383)</f>
        <v/>
      </c>
      <c r="F383" s="1051" t="str">
        <f t="shared" si="42"/>
        <v>Gazole (B30), France continentale, Base Carbone</v>
      </c>
      <c r="G383" s="1055" t="str">
        <f t="shared" si="43"/>
        <v>Gazole (B30), France continentale, Base Carbone; kgCO2e/kWh PCI, Amont</v>
      </c>
      <c r="I383" s="1031" t="s">
        <v>1591</v>
      </c>
      <c r="J383" s="1032" t="s">
        <v>1573</v>
      </c>
      <c r="K383" s="1032" t="s">
        <v>1567</v>
      </c>
      <c r="L383" s="1032" t="s">
        <v>1571</v>
      </c>
      <c r="M383" s="1033">
        <v>0.05</v>
      </c>
      <c r="N383" s="1032" t="s">
        <v>1570</v>
      </c>
      <c r="O383" s="1036">
        <v>7.8399999999999997E-2</v>
      </c>
      <c r="P383" s="1036">
        <v>6.3E-2</v>
      </c>
      <c r="Q383" s="1036">
        <v>1.1100000000000001E-3</v>
      </c>
      <c r="R383" s="1036">
        <v>0</v>
      </c>
      <c r="S383" s="1036">
        <v>1.43E-2</v>
      </c>
      <c r="T383" s="1036">
        <v>0</v>
      </c>
      <c r="U383" s="1037">
        <v>-7.1831000000000006E-2</v>
      </c>
    </row>
    <row r="384" spans="4:21" hidden="1" outlineLevel="2">
      <c r="D384" s="1051">
        <f t="shared" si="41"/>
        <v>35</v>
      </c>
      <c r="E384" s="1051" t="str">
        <f>IF(COUNTIF(E$11:E383,F384)&gt;0,"",F384)</f>
        <v/>
      </c>
      <c r="F384" s="1051" t="str">
        <f t="shared" si="42"/>
        <v>Gazole (B30), France continentale, Base Carbone</v>
      </c>
      <c r="G384" s="1055" t="str">
        <f t="shared" si="43"/>
        <v>Gazole (B30), France continentale, Base Carbone; kgCO2e/tep PCI, Combustion</v>
      </c>
      <c r="I384" s="1031" t="s">
        <v>1591</v>
      </c>
      <c r="J384" s="1032" t="s">
        <v>1575</v>
      </c>
      <c r="K384" s="1032" t="s">
        <v>1567</v>
      </c>
      <c r="L384" s="1032" t="s">
        <v>1571</v>
      </c>
      <c r="M384" s="1033">
        <v>0.05</v>
      </c>
      <c r="N384" s="1032" t="s">
        <v>1569</v>
      </c>
      <c r="O384" s="1036">
        <v>2269</v>
      </c>
      <c r="P384" s="1036">
        <v>2250</v>
      </c>
      <c r="Q384" s="1036">
        <v>0.9</v>
      </c>
      <c r="R384" s="1036">
        <v>0</v>
      </c>
      <c r="S384" s="1036">
        <v>18.3</v>
      </c>
      <c r="T384" s="1036">
        <v>0</v>
      </c>
      <c r="U384" s="1037">
        <v>835.24252000000001</v>
      </c>
    </row>
    <row r="385" spans="4:21" hidden="1" outlineLevel="2">
      <c r="D385" s="1051">
        <f t="shared" si="41"/>
        <v>35</v>
      </c>
      <c r="E385" s="1051" t="str">
        <f>IF(COUNTIF(E$11:E384,F385)&gt;0,"",F385)</f>
        <v/>
      </c>
      <c r="F385" s="1051" t="str">
        <f t="shared" si="42"/>
        <v>Gazole (B30), France continentale, Base Carbone</v>
      </c>
      <c r="G385" s="1055" t="str">
        <f t="shared" si="43"/>
        <v>Gazole (B30), France continentale, Base Carbone; kgCO2e/tep PCI, Amont</v>
      </c>
      <c r="I385" s="1031" t="s">
        <v>1591</v>
      </c>
      <c r="J385" s="1032" t="s">
        <v>1575</v>
      </c>
      <c r="K385" s="1032" t="s">
        <v>1567</v>
      </c>
      <c r="L385" s="1032" t="s">
        <v>1571</v>
      </c>
      <c r="M385" s="1033">
        <v>0.05</v>
      </c>
      <c r="N385" s="1032" t="s">
        <v>1570</v>
      </c>
      <c r="O385" s="1036">
        <v>916</v>
      </c>
      <c r="P385" s="1036">
        <v>736</v>
      </c>
      <c r="Q385" s="1036">
        <v>15.3</v>
      </c>
      <c r="R385" s="1036">
        <v>0</v>
      </c>
      <c r="S385" s="1036">
        <v>165</v>
      </c>
      <c r="T385" s="1036">
        <v>0</v>
      </c>
      <c r="U385" s="1037">
        <v>-835.24252000000001</v>
      </c>
    </row>
    <row r="386" spans="4:21" hidden="1" outlineLevel="2">
      <c r="D386" s="1051">
        <f t="shared" si="41"/>
        <v>35</v>
      </c>
      <c r="E386" s="1051" t="str">
        <f>IF(COUNTIF(E$11:E385,F386)&gt;0,"",F386)</f>
        <v/>
      </c>
      <c r="F386" s="1051" t="str">
        <f t="shared" si="42"/>
        <v>Gazole (B30), France continentale, Base Carbone</v>
      </c>
      <c r="G386" s="1055" t="str">
        <f t="shared" si="43"/>
        <v>Gazole (B30), France continentale, Base Carbone; kgCO2e/litre, Combustion</v>
      </c>
      <c r="I386" s="1031" t="s">
        <v>1591</v>
      </c>
      <c r="J386" s="1032" t="s">
        <v>1574</v>
      </c>
      <c r="K386" s="1032" t="s">
        <v>1567</v>
      </c>
      <c r="L386" s="1032" t="s">
        <v>1571</v>
      </c>
      <c r="M386" s="1033">
        <v>0.1</v>
      </c>
      <c r="N386" s="1032" t="s">
        <v>1569</v>
      </c>
      <c r="O386" s="1036">
        <v>1.88</v>
      </c>
      <c r="P386" s="1036">
        <v>1.86</v>
      </c>
      <c r="Q386" s="1036">
        <v>7.5000000000000002E-4</v>
      </c>
      <c r="R386" s="1036">
        <v>0</v>
      </c>
      <c r="S386" s="1036">
        <v>1.5100000000000001E-2</v>
      </c>
      <c r="T386" s="1036">
        <v>0</v>
      </c>
      <c r="U386" s="1037">
        <v>0.69391199999999997</v>
      </c>
    </row>
    <row r="387" spans="4:21" hidden="1" outlineLevel="2">
      <c r="D387" s="1051">
        <f t="shared" si="41"/>
        <v>35</v>
      </c>
      <c r="E387" s="1051" t="str">
        <f>IF(COUNTIF(E$11:E386,F387)&gt;0,"",F387)</f>
        <v/>
      </c>
      <c r="F387" s="1051" t="str">
        <f t="shared" si="42"/>
        <v>Gazole (B30), France continentale, Base Carbone</v>
      </c>
      <c r="G387" s="1055" t="str">
        <f t="shared" si="43"/>
        <v>Gazole (B30), France continentale, Base Carbone; kgCO2e/litre, Amont</v>
      </c>
      <c r="I387" s="1031" t="s">
        <v>1591</v>
      </c>
      <c r="J387" s="1032" t="s">
        <v>1574</v>
      </c>
      <c r="K387" s="1032" t="s">
        <v>1567</v>
      </c>
      <c r="L387" s="1032" t="s">
        <v>1571</v>
      </c>
      <c r="M387" s="1033">
        <v>0.1</v>
      </c>
      <c r="N387" s="1032" t="s">
        <v>1570</v>
      </c>
      <c r="O387" s="1036">
        <v>0.75800000000000001</v>
      </c>
      <c r="P387" s="1036">
        <v>0.60799999999999998</v>
      </c>
      <c r="Q387" s="1036">
        <v>1.2699999999999999E-2</v>
      </c>
      <c r="R387" s="1036">
        <v>0</v>
      </c>
      <c r="S387" s="1036">
        <v>0.13700000000000001</v>
      </c>
      <c r="T387" s="1036">
        <v>0</v>
      </c>
      <c r="U387" s="1037">
        <v>-0.69391199999999997</v>
      </c>
    </row>
    <row r="388" spans="4:21" hidden="1" outlineLevel="2">
      <c r="D388" s="1051">
        <f t="shared" si="41"/>
        <v>36</v>
      </c>
      <c r="E388" s="1051" t="str">
        <f>IF(COUNTIF(E$11:E387,F388)&gt;0,"",F388)</f>
        <v>Gazole non routier, France continentale, Base Carbone</v>
      </c>
      <c r="F388" s="1051" t="str">
        <f t="shared" si="42"/>
        <v>Gazole non routier, France continentale, Base Carbone</v>
      </c>
      <c r="G388" s="1055" t="str">
        <f t="shared" si="43"/>
        <v>Gazole non routier, France continentale, Base Carbone; kgCO2e/GJ PCI, Combustion</v>
      </c>
      <c r="I388" s="1031" t="s">
        <v>1592</v>
      </c>
      <c r="J388" s="1032" t="s">
        <v>1566</v>
      </c>
      <c r="K388" s="1032" t="s">
        <v>1567</v>
      </c>
      <c r="L388" s="1032" t="s">
        <v>1571</v>
      </c>
      <c r="M388" s="1033">
        <v>0.05</v>
      </c>
      <c r="N388" s="1032" t="s">
        <v>1569</v>
      </c>
      <c r="O388" s="1036">
        <v>72.7</v>
      </c>
      <c r="P388" s="1036">
        <v>72.099999999999994</v>
      </c>
      <c r="Q388" s="1036">
        <v>2.8799999999999999E-2</v>
      </c>
      <c r="R388" s="1036">
        <v>0</v>
      </c>
      <c r="S388" s="1036">
        <v>0.58599999999999997</v>
      </c>
      <c r="T388" s="1036">
        <v>0</v>
      </c>
      <c r="U388" s="1037">
        <v>2.6897448000000002</v>
      </c>
    </row>
    <row r="389" spans="4:21" hidden="1" outlineLevel="2">
      <c r="D389" s="1051">
        <f t="shared" si="41"/>
        <v>36</v>
      </c>
      <c r="E389" s="1051" t="str">
        <f>IF(COUNTIF(E$11:E388,F389)&gt;0,"",F389)</f>
        <v/>
      </c>
      <c r="F389" s="1051" t="str">
        <f t="shared" si="42"/>
        <v>Gazole non routier, France continentale, Base Carbone</v>
      </c>
      <c r="G389" s="1055" t="str">
        <f t="shared" si="43"/>
        <v>Gazole non routier, France continentale, Base Carbone; kgCO2e/GJ PCI, Amont</v>
      </c>
      <c r="I389" s="1031" t="s">
        <v>1592</v>
      </c>
      <c r="J389" s="1032" t="s">
        <v>1566</v>
      </c>
      <c r="K389" s="1032" t="s">
        <v>1567</v>
      </c>
      <c r="L389" s="1032" t="s">
        <v>1571</v>
      </c>
      <c r="M389" s="1033">
        <v>0.05</v>
      </c>
      <c r="N389" s="1032" t="s">
        <v>1570</v>
      </c>
      <c r="O389" s="1036">
        <v>16.7</v>
      </c>
      <c r="P389" s="1036">
        <v>16</v>
      </c>
      <c r="Q389" s="1036">
        <v>0.13600000000000001</v>
      </c>
      <c r="R389" s="1036">
        <v>0</v>
      </c>
      <c r="S389" s="1036">
        <v>0.53200000000000003</v>
      </c>
      <c r="T389" s="1036">
        <v>0</v>
      </c>
      <c r="U389" s="1037">
        <v>-2.6897448000000002</v>
      </c>
    </row>
    <row r="390" spans="4:21" hidden="1" outlineLevel="2">
      <c r="D390" s="1051">
        <f t="shared" si="41"/>
        <v>36</v>
      </c>
      <c r="E390" s="1051" t="str">
        <f>IF(COUNTIF(E$11:E389,F390)&gt;0,"",F390)</f>
        <v/>
      </c>
      <c r="F390" s="1051" t="str">
        <f t="shared" si="42"/>
        <v>Gazole non routier, France continentale, Base Carbone</v>
      </c>
      <c r="G390" s="1055" t="str">
        <f t="shared" si="43"/>
        <v>Gazole non routier, France continentale, Base Carbone; kgCO2e/kWh PCI, Combustion</v>
      </c>
      <c r="I390" s="1031" t="s">
        <v>1592</v>
      </c>
      <c r="J390" s="1032" t="s">
        <v>1573</v>
      </c>
      <c r="K390" s="1032" t="s">
        <v>1567</v>
      </c>
      <c r="L390" s="1032" t="s">
        <v>1571</v>
      </c>
      <c r="M390" s="1033">
        <v>0.05</v>
      </c>
      <c r="N390" s="1032" t="s">
        <v>1569</v>
      </c>
      <c r="O390" s="1036">
        <v>0.26200000000000001</v>
      </c>
      <c r="P390" s="1036">
        <v>0.26</v>
      </c>
      <c r="Q390" s="1036">
        <v>1.05E-4</v>
      </c>
      <c r="R390" s="1036">
        <v>0</v>
      </c>
      <c r="S390" s="1036">
        <v>2.1199999999999999E-3</v>
      </c>
      <c r="T390" s="1036">
        <v>0</v>
      </c>
      <c r="U390" s="1037">
        <v>9.6831E-3</v>
      </c>
    </row>
    <row r="391" spans="4:21" hidden="1" outlineLevel="2">
      <c r="D391" s="1051">
        <f t="shared" si="41"/>
        <v>36</v>
      </c>
      <c r="E391" s="1051" t="str">
        <f>IF(COUNTIF(E$11:E390,F391)&gt;0,"",F391)</f>
        <v/>
      </c>
      <c r="F391" s="1051" t="str">
        <f t="shared" si="42"/>
        <v>Gazole non routier, France continentale, Base Carbone</v>
      </c>
      <c r="G391" s="1055" t="str">
        <f t="shared" si="43"/>
        <v>Gazole non routier, France continentale, Base Carbone; kgCO2e/kWh PCI, Amont</v>
      </c>
      <c r="I391" s="1031" t="s">
        <v>1592</v>
      </c>
      <c r="J391" s="1032" t="s">
        <v>1573</v>
      </c>
      <c r="K391" s="1032" t="s">
        <v>1567</v>
      </c>
      <c r="L391" s="1032" t="s">
        <v>1571</v>
      </c>
      <c r="M391" s="1033">
        <v>0.05</v>
      </c>
      <c r="N391" s="1032" t="s">
        <v>1570</v>
      </c>
      <c r="O391" s="1036">
        <v>5.9900000000000002E-2</v>
      </c>
      <c r="P391" s="1036">
        <v>5.7700000000000001E-2</v>
      </c>
      <c r="Q391" s="1036">
        <v>2.43E-4</v>
      </c>
      <c r="R391" s="1036">
        <v>0</v>
      </c>
      <c r="S391" s="1036">
        <v>1.91E-3</v>
      </c>
      <c r="T391" s="1036">
        <v>0</v>
      </c>
      <c r="U391" s="1037">
        <v>-9.6831E-3</v>
      </c>
    </row>
    <row r="392" spans="4:21" hidden="1" outlineLevel="2">
      <c r="D392" s="1051">
        <f t="shared" si="41"/>
        <v>36</v>
      </c>
      <c r="E392" s="1051" t="str">
        <f>IF(COUNTIF(E$11:E391,F392)&gt;0,"",F392)</f>
        <v/>
      </c>
      <c r="F392" s="1051" t="str">
        <f t="shared" si="42"/>
        <v>Gazole non routier, France continentale, Base Carbone</v>
      </c>
      <c r="G392" s="1055" t="str">
        <f t="shared" si="43"/>
        <v>Gazole non routier, France continentale, Base Carbone; kgCO2e/tep PCI, Combustion</v>
      </c>
      <c r="I392" s="1031" t="s">
        <v>1592</v>
      </c>
      <c r="J392" s="1032" t="s">
        <v>1575</v>
      </c>
      <c r="K392" s="1032" t="s">
        <v>1567</v>
      </c>
      <c r="L392" s="1032" t="s">
        <v>1571</v>
      </c>
      <c r="M392" s="1033">
        <v>0.05</v>
      </c>
      <c r="N392" s="1032" t="s">
        <v>1569</v>
      </c>
      <c r="O392" s="1036">
        <v>3055</v>
      </c>
      <c r="P392" s="1036">
        <v>3029</v>
      </c>
      <c r="Q392" s="1036">
        <v>1.21</v>
      </c>
      <c r="R392" s="1036">
        <v>0</v>
      </c>
      <c r="S392" s="1036">
        <v>24.6</v>
      </c>
      <c r="T392" s="1036">
        <v>0</v>
      </c>
      <c r="U392" s="1037">
        <v>112.5939674</v>
      </c>
    </row>
    <row r="393" spans="4:21" hidden="1" outlineLevel="2">
      <c r="D393" s="1051">
        <f t="shared" si="41"/>
        <v>36</v>
      </c>
      <c r="E393" s="1051" t="str">
        <f>IF(COUNTIF(E$11:E392,F393)&gt;0,"",F393)</f>
        <v/>
      </c>
      <c r="F393" s="1051" t="str">
        <f t="shared" si="42"/>
        <v>Gazole non routier, France continentale, Base Carbone</v>
      </c>
      <c r="G393" s="1055" t="str">
        <f t="shared" si="43"/>
        <v>Gazole non routier, France continentale, Base Carbone; kgCO2e/tep PCI, Amont</v>
      </c>
      <c r="I393" s="1031" t="s">
        <v>1592</v>
      </c>
      <c r="J393" s="1032" t="s">
        <v>1575</v>
      </c>
      <c r="K393" s="1032" t="s">
        <v>1567</v>
      </c>
      <c r="L393" s="1032" t="s">
        <v>1571</v>
      </c>
      <c r="M393" s="1033">
        <v>0.05</v>
      </c>
      <c r="N393" s="1032" t="s">
        <v>1570</v>
      </c>
      <c r="O393" s="1036">
        <v>701</v>
      </c>
      <c r="P393" s="1036">
        <v>673</v>
      </c>
      <c r="Q393" s="1036">
        <v>5.7</v>
      </c>
      <c r="R393" s="1036">
        <v>0</v>
      </c>
      <c r="S393" s="1036">
        <v>22.3</v>
      </c>
      <c r="T393" s="1036">
        <v>0</v>
      </c>
      <c r="U393" s="1037">
        <v>-112.5939674</v>
      </c>
    </row>
    <row r="394" spans="4:21" hidden="1" outlineLevel="2">
      <c r="D394" s="1051">
        <f t="shared" si="41"/>
        <v>36</v>
      </c>
      <c r="E394" s="1051" t="str">
        <f>IF(COUNTIF(E$11:E393,F394)&gt;0,"",F394)</f>
        <v/>
      </c>
      <c r="F394" s="1051" t="str">
        <f t="shared" si="42"/>
        <v>Gazole non routier, France continentale, Base Carbone</v>
      </c>
      <c r="G394" s="1055" t="str">
        <f t="shared" si="43"/>
        <v>Gazole non routier, France continentale, Base Carbone; kgCO2e/kg, Combustion</v>
      </c>
      <c r="I394" s="1031" t="s">
        <v>1592</v>
      </c>
      <c r="J394" s="1032" t="s">
        <v>1572</v>
      </c>
      <c r="K394" s="1032" t="s">
        <v>1567</v>
      </c>
      <c r="L394" s="1032" t="s">
        <v>1571</v>
      </c>
      <c r="M394" s="1033">
        <v>0.1</v>
      </c>
      <c r="N394" s="1032" t="s">
        <v>1569</v>
      </c>
      <c r="O394" s="1036">
        <v>3.09</v>
      </c>
      <c r="P394" s="1036">
        <v>3.06</v>
      </c>
      <c r="Q394" s="1036">
        <v>1.2199999999999999E-3</v>
      </c>
      <c r="R394" s="1036">
        <v>0</v>
      </c>
      <c r="S394" s="1036">
        <v>2.4899999999999999E-2</v>
      </c>
      <c r="T394" s="1036">
        <v>0</v>
      </c>
      <c r="U394" s="1037">
        <v>0.12254</v>
      </c>
    </row>
    <row r="395" spans="4:21" hidden="1" outlineLevel="2">
      <c r="D395" s="1051">
        <f t="shared" si="41"/>
        <v>36</v>
      </c>
      <c r="E395" s="1051" t="str">
        <f>IF(COUNTIF(E$11:E394,F395)&gt;0,"",F395)</f>
        <v/>
      </c>
      <c r="F395" s="1051" t="str">
        <f t="shared" si="42"/>
        <v>Gazole non routier, France continentale, Base Carbone</v>
      </c>
      <c r="G395" s="1055" t="str">
        <f t="shared" si="43"/>
        <v>Gazole non routier, France continentale, Base Carbone; kgCO2e/kg, Amont</v>
      </c>
      <c r="I395" s="1031" t="s">
        <v>1592</v>
      </c>
      <c r="J395" s="1032" t="s">
        <v>1572</v>
      </c>
      <c r="K395" s="1032" t="s">
        <v>1567</v>
      </c>
      <c r="L395" s="1032" t="s">
        <v>1571</v>
      </c>
      <c r="M395" s="1033">
        <v>0.1</v>
      </c>
      <c r="N395" s="1032" t="s">
        <v>1570</v>
      </c>
      <c r="O395" s="1036">
        <v>0.68</v>
      </c>
      <c r="P395" s="1036">
        <v>0.68</v>
      </c>
      <c r="Q395" s="1036">
        <v>0</v>
      </c>
      <c r="R395" s="1036">
        <v>0</v>
      </c>
      <c r="S395" s="1036">
        <v>0</v>
      </c>
      <c r="T395" s="1036">
        <v>0</v>
      </c>
      <c r="U395" s="1037">
        <v>-0.12254</v>
      </c>
    </row>
    <row r="396" spans="4:21" hidden="1" outlineLevel="2">
      <c r="D396" s="1051">
        <f t="shared" si="41"/>
        <v>36</v>
      </c>
      <c r="E396" s="1051" t="str">
        <f>IF(COUNTIF(E$11:E395,F396)&gt;0,"",F396)</f>
        <v/>
      </c>
      <c r="F396" s="1051" t="str">
        <f t="shared" si="42"/>
        <v>Gazole non routier, France continentale, Base Carbone</v>
      </c>
      <c r="G396" s="1055" t="str">
        <f t="shared" si="43"/>
        <v>Gazole non routier, France continentale, Base Carbone; kgCO2e/litre, Combustion</v>
      </c>
      <c r="I396" s="1031" t="s">
        <v>1592</v>
      </c>
      <c r="J396" s="1032" t="s">
        <v>1574</v>
      </c>
      <c r="K396" s="1032" t="s">
        <v>1567</v>
      </c>
      <c r="L396" s="1032" t="s">
        <v>1571</v>
      </c>
      <c r="M396" s="1033">
        <v>0.1</v>
      </c>
      <c r="N396" s="1032" t="s">
        <v>1569</v>
      </c>
      <c r="O396" s="1036">
        <v>2.57</v>
      </c>
      <c r="P396" s="1036">
        <v>2.5499999999999998</v>
      </c>
      <c r="Q396" s="1036">
        <v>1.0200000000000001E-3</v>
      </c>
      <c r="R396" s="1036">
        <v>0</v>
      </c>
      <c r="S396" s="1036">
        <v>2.07E-2</v>
      </c>
      <c r="T396" s="1036">
        <v>0</v>
      </c>
      <c r="U396" s="1037">
        <v>9.2521599999999996E-2</v>
      </c>
    </row>
    <row r="397" spans="4:21" hidden="1" outlineLevel="2">
      <c r="D397" s="1051">
        <f t="shared" si="41"/>
        <v>36</v>
      </c>
      <c r="E397" s="1051" t="str">
        <f>IF(COUNTIF(E$11:E396,F397)&gt;0,"",F397)</f>
        <v/>
      </c>
      <c r="F397" s="1051" t="str">
        <f t="shared" si="42"/>
        <v>Gazole non routier, France continentale, Base Carbone</v>
      </c>
      <c r="G397" s="1055" t="str">
        <f t="shared" si="43"/>
        <v>Gazole non routier, France continentale, Base Carbone; kgCO2e/litre, Amont</v>
      </c>
      <c r="I397" s="1031" t="s">
        <v>1592</v>
      </c>
      <c r="J397" s="1032" t="s">
        <v>1574</v>
      </c>
      <c r="K397" s="1032" t="s">
        <v>1567</v>
      </c>
      <c r="L397" s="1032" t="s">
        <v>1571</v>
      </c>
      <c r="M397" s="1033">
        <v>0.1</v>
      </c>
      <c r="N397" s="1032" t="s">
        <v>1570</v>
      </c>
      <c r="O397" s="1036">
        <v>0.58899999999999997</v>
      </c>
      <c r="P397" s="1036">
        <v>0.56599999999999995</v>
      </c>
      <c r="Q397" s="1036">
        <v>4.7699999999999999E-3</v>
      </c>
      <c r="R397" s="1036">
        <v>0</v>
      </c>
      <c r="S397" s="1036">
        <v>1.83E-2</v>
      </c>
      <c r="T397" s="1036">
        <v>0</v>
      </c>
      <c r="U397" s="1037">
        <v>-9.2521599999999996E-2</v>
      </c>
    </row>
    <row r="398" spans="4:21" hidden="1" outlineLevel="2">
      <c r="D398" s="1051">
        <f t="shared" si="41"/>
        <v>37</v>
      </c>
      <c r="E398" s="1051" t="str">
        <f>IF(COUNTIF(E$11:E397,F398)&gt;0,"",F398)</f>
        <v>Gazole routier (B7), France continentale, Base Carbone</v>
      </c>
      <c r="F398" s="1051" t="str">
        <f t="shared" si="42"/>
        <v>Gazole routier (B7), France continentale, Base Carbone</v>
      </c>
      <c r="G398" s="1055" t="str">
        <f t="shared" si="43"/>
        <v>Gazole routier (B7), France continentale, Base Carbone; kgCO2e/litre, Combustion</v>
      </c>
      <c r="I398" s="1031" t="s">
        <v>4806</v>
      </c>
      <c r="J398" s="1032" t="s">
        <v>1574</v>
      </c>
      <c r="K398" s="1032" t="s">
        <v>1567</v>
      </c>
      <c r="L398" s="1032" t="s">
        <v>1571</v>
      </c>
      <c r="M398" s="1033">
        <v>0.1</v>
      </c>
      <c r="N398" s="1032" t="s">
        <v>1569</v>
      </c>
      <c r="O398" s="1036">
        <v>2.4900000000000002</v>
      </c>
      <c r="P398" s="1036">
        <v>2.4700000000000002</v>
      </c>
      <c r="Q398" s="1036">
        <v>9.8999999999999999E-4</v>
      </c>
      <c r="R398" s="1036">
        <v>0</v>
      </c>
      <c r="S398" s="1036">
        <v>2.01E-2</v>
      </c>
      <c r="T398" s="1036">
        <v>0</v>
      </c>
      <c r="U398" s="1037">
        <v>0.15589900000000001</v>
      </c>
    </row>
    <row r="399" spans="4:21" hidden="1" outlineLevel="2">
      <c r="D399" s="1051">
        <f t="shared" si="41"/>
        <v>37</v>
      </c>
      <c r="E399" s="1051" t="str">
        <f>IF(COUNTIF(E$11:E398,F399)&gt;0,"",F399)</f>
        <v/>
      </c>
      <c r="F399" s="1051" t="str">
        <f t="shared" si="42"/>
        <v>Gazole routier (B7), France continentale, Base Carbone</v>
      </c>
      <c r="G399" s="1055" t="str">
        <f t="shared" si="43"/>
        <v>Gazole routier (B7), France continentale, Base Carbone; kgCO2e/litre, Amont</v>
      </c>
      <c r="I399" s="1031" t="s">
        <v>4806</v>
      </c>
      <c r="J399" s="1032" t="s">
        <v>1574</v>
      </c>
      <c r="K399" s="1032" t="s">
        <v>1567</v>
      </c>
      <c r="L399" s="1032" t="s">
        <v>1571</v>
      </c>
      <c r="M399" s="1033">
        <v>0.1</v>
      </c>
      <c r="N399" s="1032" t="s">
        <v>1570</v>
      </c>
      <c r="O399" s="1036">
        <v>0.60899999999999999</v>
      </c>
      <c r="P399" s="1036">
        <v>0.57099999999999995</v>
      </c>
      <c r="Q399" s="1036">
        <v>5.7000000000000002E-3</v>
      </c>
      <c r="R399" s="1036">
        <v>0</v>
      </c>
      <c r="S399" s="1036">
        <v>3.2099999999999997E-2</v>
      </c>
      <c r="T399" s="1036">
        <v>0</v>
      </c>
      <c r="U399" s="1037">
        <v>-0.15589900000000001</v>
      </c>
    </row>
    <row r="400" spans="4:21" hidden="1" outlineLevel="2">
      <c r="D400" s="1051">
        <f t="shared" si="41"/>
        <v>37</v>
      </c>
      <c r="E400" s="1051" t="str">
        <f>IF(COUNTIF(E$11:E399,F400)&gt;0,"",F400)</f>
        <v/>
      </c>
      <c r="F400" s="1051" t="str">
        <f t="shared" si="42"/>
        <v>Gazole routier (B7), France continentale, Base Carbone</v>
      </c>
      <c r="G400" s="1055" t="str">
        <f t="shared" si="43"/>
        <v>Gazole routier (B7), France continentale, Base Carbone; kgCO2e/GJ PCI, Combustion</v>
      </c>
      <c r="I400" s="1031" t="s">
        <v>4806</v>
      </c>
      <c r="J400" s="1032" t="s">
        <v>1566</v>
      </c>
      <c r="K400" s="1032" t="s">
        <v>1567</v>
      </c>
      <c r="L400" s="1032" t="s">
        <v>1571</v>
      </c>
      <c r="M400" s="1033">
        <v>0.05</v>
      </c>
      <c r="N400" s="1032" t="s">
        <v>1569</v>
      </c>
      <c r="O400" s="1036">
        <v>70.599999999999994</v>
      </c>
      <c r="P400" s="1036">
        <v>70</v>
      </c>
      <c r="Q400" s="1036">
        <v>2.8000000000000001E-2</v>
      </c>
      <c r="R400" s="1036">
        <v>0</v>
      </c>
      <c r="S400" s="1036">
        <v>0.56899999999999995</v>
      </c>
      <c r="T400" s="1036">
        <v>0</v>
      </c>
      <c r="U400" s="1037">
        <v>4.736745</v>
      </c>
    </row>
    <row r="401" spans="4:21" hidden="1" outlineLevel="2">
      <c r="D401" s="1051">
        <f t="shared" si="41"/>
        <v>37</v>
      </c>
      <c r="E401" s="1051" t="str">
        <f>IF(COUNTIF(E$11:E400,F401)&gt;0,"",F401)</f>
        <v/>
      </c>
      <c r="F401" s="1051" t="str">
        <f t="shared" si="42"/>
        <v>Gazole routier (B7), France continentale, Base Carbone</v>
      </c>
      <c r="G401" s="1055" t="str">
        <f t="shared" si="43"/>
        <v>Gazole routier (B7), France continentale, Base Carbone; kgCO2e/GJ PCI, Amont</v>
      </c>
      <c r="I401" s="1031" t="s">
        <v>4806</v>
      </c>
      <c r="J401" s="1032" t="s">
        <v>1566</v>
      </c>
      <c r="K401" s="1032" t="s">
        <v>1567</v>
      </c>
      <c r="L401" s="1032" t="s">
        <v>1571</v>
      </c>
      <c r="M401" s="1033">
        <v>0.05</v>
      </c>
      <c r="N401" s="1032" t="s">
        <v>1570</v>
      </c>
      <c r="O401" s="1036">
        <v>17.3</v>
      </c>
      <c r="P401" s="1036">
        <v>16.2</v>
      </c>
      <c r="Q401" s="1036">
        <v>0.161</v>
      </c>
      <c r="R401" s="1036">
        <v>0</v>
      </c>
      <c r="S401" s="1036">
        <v>0.90700000000000003</v>
      </c>
      <c r="T401" s="1036">
        <v>0</v>
      </c>
      <c r="U401" s="1037">
        <v>-4.736745</v>
      </c>
    </row>
    <row r="402" spans="4:21" hidden="1" outlineLevel="2">
      <c r="D402" s="1051">
        <f t="shared" si="41"/>
        <v>37</v>
      </c>
      <c r="E402" s="1051" t="str">
        <f>IF(COUNTIF(E$11:E401,F402)&gt;0,"",F402)</f>
        <v/>
      </c>
      <c r="F402" s="1051" t="str">
        <f t="shared" si="42"/>
        <v>Gazole routier (B7), France continentale, Base Carbone</v>
      </c>
      <c r="G402" s="1055" t="str">
        <f t="shared" si="43"/>
        <v>Gazole routier (B7), France continentale, Base Carbone; kgCO2e/tonne, Combustion</v>
      </c>
      <c r="I402" s="1031" t="s">
        <v>4806</v>
      </c>
      <c r="J402" s="1032" t="s">
        <v>1585</v>
      </c>
      <c r="K402" s="1032" t="s">
        <v>1567</v>
      </c>
      <c r="L402" s="1032" t="s">
        <v>1571</v>
      </c>
      <c r="M402" s="1033">
        <v>0.05</v>
      </c>
      <c r="N402" s="1032" t="s">
        <v>1569</v>
      </c>
      <c r="O402" s="1036">
        <v>3337</v>
      </c>
      <c r="P402" s="1036">
        <v>3309</v>
      </c>
      <c r="Q402" s="1036">
        <v>1.32</v>
      </c>
      <c r="R402" s="1036">
        <v>0</v>
      </c>
      <c r="S402" s="1036">
        <v>26.9</v>
      </c>
      <c r="T402" s="1036">
        <v>0</v>
      </c>
      <c r="U402" s="1037">
        <v>184.4958</v>
      </c>
    </row>
    <row r="403" spans="4:21" hidden="1" outlineLevel="2">
      <c r="D403" s="1051">
        <f t="shared" si="41"/>
        <v>37</v>
      </c>
      <c r="E403" s="1051" t="str">
        <f>IF(COUNTIF(E$11:E402,F403)&gt;0,"",F403)</f>
        <v/>
      </c>
      <c r="F403" s="1051" t="str">
        <f t="shared" si="42"/>
        <v>Gazole routier (B7), France continentale, Base Carbone</v>
      </c>
      <c r="G403" s="1055" t="str">
        <f t="shared" si="43"/>
        <v>Gazole routier (B7), France continentale, Base Carbone; kgCO2e/tonne, Amont</v>
      </c>
      <c r="I403" s="1031" t="s">
        <v>4806</v>
      </c>
      <c r="J403" s="1032" t="s">
        <v>1585</v>
      </c>
      <c r="K403" s="1032" t="s">
        <v>1567</v>
      </c>
      <c r="L403" s="1032" t="s">
        <v>1571</v>
      </c>
      <c r="M403" s="1033">
        <v>0.05</v>
      </c>
      <c r="N403" s="1032" t="s">
        <v>1570</v>
      </c>
      <c r="O403" s="1036">
        <v>816</v>
      </c>
      <c r="P403" s="1036">
        <v>765</v>
      </c>
      <c r="Q403" s="1036">
        <v>7.62</v>
      </c>
      <c r="R403" s="1036">
        <v>0</v>
      </c>
      <c r="S403" s="1036">
        <v>42.9</v>
      </c>
      <c r="T403" s="1036">
        <v>0</v>
      </c>
      <c r="U403" s="1037">
        <v>-184.4958</v>
      </c>
    </row>
    <row r="404" spans="4:21" hidden="1" outlineLevel="2">
      <c r="D404" s="1051">
        <f t="shared" si="41"/>
        <v>37</v>
      </c>
      <c r="E404" s="1051" t="str">
        <f>IF(COUNTIF(E$11:E403,F404)&gt;0,"",F404)</f>
        <v/>
      </c>
      <c r="F404" s="1051" t="str">
        <f t="shared" si="42"/>
        <v>Gazole routier (B7), France continentale, Base Carbone</v>
      </c>
      <c r="G404" s="1055" t="str">
        <f t="shared" si="43"/>
        <v>Gazole routier (B7), France continentale, Base Carbone; kgCO2e/kWh PCI, Combustion</v>
      </c>
      <c r="I404" s="1031" t="s">
        <v>4806</v>
      </c>
      <c r="J404" s="1032" t="s">
        <v>1573</v>
      </c>
      <c r="K404" s="1032" t="s">
        <v>1567</v>
      </c>
      <c r="L404" s="1032" t="s">
        <v>1571</v>
      </c>
      <c r="M404" s="1033">
        <v>0.05</v>
      </c>
      <c r="N404" s="1032" t="s">
        <v>1569</v>
      </c>
      <c r="O404" s="1036">
        <v>0.254</v>
      </c>
      <c r="P404" s="1036">
        <v>0.252</v>
      </c>
      <c r="Q404" s="1036">
        <v>9.0000000000000006E-5</v>
      </c>
      <c r="R404" s="1036">
        <v>0</v>
      </c>
      <c r="S404" s="1036">
        <v>2.1199999999999999E-3</v>
      </c>
      <c r="T404" s="1036">
        <v>0</v>
      </c>
      <c r="U404" s="1037">
        <v>1.7052000000000001E-2</v>
      </c>
    </row>
    <row r="405" spans="4:21" hidden="1" outlineLevel="2">
      <c r="D405" s="1051">
        <f t="shared" si="41"/>
        <v>37</v>
      </c>
      <c r="E405" s="1051" t="str">
        <f>IF(COUNTIF(E$11:E404,F405)&gt;0,"",F405)</f>
        <v/>
      </c>
      <c r="F405" s="1051" t="str">
        <f t="shared" si="42"/>
        <v>Gazole routier (B7), France continentale, Base Carbone</v>
      </c>
      <c r="G405" s="1055" t="str">
        <f t="shared" si="43"/>
        <v>Gazole routier (B7), France continentale, Base Carbone; kgCO2e/kWh PCI, Amont</v>
      </c>
      <c r="I405" s="1031" t="s">
        <v>4806</v>
      </c>
      <c r="J405" s="1032" t="s">
        <v>1573</v>
      </c>
      <c r="K405" s="1032" t="s">
        <v>1567</v>
      </c>
      <c r="L405" s="1032" t="s">
        <v>1571</v>
      </c>
      <c r="M405" s="1033">
        <v>0.05</v>
      </c>
      <c r="N405" s="1032" t="s">
        <v>1570</v>
      </c>
      <c r="O405" s="1036">
        <v>6.4600000000000005E-2</v>
      </c>
      <c r="P405" s="1036">
        <v>5.8000000000000003E-2</v>
      </c>
      <c r="Q405" s="1036">
        <v>3.4499999999999999E-3</v>
      </c>
      <c r="R405" s="1036">
        <v>0</v>
      </c>
      <c r="S405" s="1036">
        <v>3.1800000000000001E-3</v>
      </c>
      <c r="T405" s="1036">
        <v>0</v>
      </c>
      <c r="U405" s="1037">
        <v>-1.7052000000000001E-2</v>
      </c>
    </row>
    <row r="406" spans="4:21" hidden="1" outlineLevel="2">
      <c r="D406" s="1051">
        <f t="shared" si="41"/>
        <v>37</v>
      </c>
      <c r="E406" s="1051" t="str">
        <f>IF(COUNTIF(E$11:E405,F406)&gt;0,"",F406)</f>
        <v/>
      </c>
      <c r="F406" s="1051" t="str">
        <f t="shared" si="42"/>
        <v>Gazole routier (B7), France continentale, Base Carbone</v>
      </c>
      <c r="G406" s="1055" t="str">
        <f t="shared" si="43"/>
        <v>Gazole routier (B7), France continentale, Base Carbone; kgCO2e/tep PCI, Combustion</v>
      </c>
      <c r="I406" s="1031" t="s">
        <v>4806</v>
      </c>
      <c r="J406" s="1032" t="s">
        <v>1575</v>
      </c>
      <c r="K406" s="1032" t="s">
        <v>1567</v>
      </c>
      <c r="L406" s="1032" t="s">
        <v>1571</v>
      </c>
      <c r="M406" s="1033">
        <v>0.05</v>
      </c>
      <c r="N406" s="1032" t="s">
        <v>1569</v>
      </c>
      <c r="O406" s="1036">
        <v>2968</v>
      </c>
      <c r="P406" s="1036">
        <v>2943</v>
      </c>
      <c r="Q406" s="1036">
        <v>1.17</v>
      </c>
      <c r="R406" s="1036">
        <v>0</v>
      </c>
      <c r="S406" s="1036">
        <v>23.9</v>
      </c>
      <c r="T406" s="1036">
        <v>0</v>
      </c>
      <c r="U406" s="1037">
        <v>191.8484</v>
      </c>
    </row>
    <row r="407" spans="4:21" hidden="1" outlineLevel="2">
      <c r="D407" s="1051">
        <f t="shared" si="41"/>
        <v>37</v>
      </c>
      <c r="E407" s="1051" t="str">
        <f>IF(COUNTIF(E$11:E406,F407)&gt;0,"",F407)</f>
        <v/>
      </c>
      <c r="F407" s="1051" t="str">
        <f t="shared" si="42"/>
        <v>Gazole routier (B7), France continentale, Base Carbone</v>
      </c>
      <c r="G407" s="1055" t="str">
        <f t="shared" si="43"/>
        <v>Gazole routier (B7), France continentale, Base Carbone; kgCO2e/tep PCI, Amont</v>
      </c>
      <c r="I407" s="1031" t="s">
        <v>4806</v>
      </c>
      <c r="J407" s="1032" t="s">
        <v>1575</v>
      </c>
      <c r="K407" s="1032" t="s">
        <v>1567</v>
      </c>
      <c r="L407" s="1032" t="s">
        <v>1571</v>
      </c>
      <c r="M407" s="1033">
        <v>0.05</v>
      </c>
      <c r="N407" s="1032" t="s">
        <v>1570</v>
      </c>
      <c r="O407" s="1036">
        <v>725</v>
      </c>
      <c r="P407" s="1036">
        <v>680</v>
      </c>
      <c r="Q407" s="1036">
        <v>6.75</v>
      </c>
      <c r="R407" s="1036">
        <v>0</v>
      </c>
      <c r="S407" s="1036">
        <v>38</v>
      </c>
      <c r="T407" s="1036">
        <v>0</v>
      </c>
      <c r="U407" s="1037">
        <v>-191.8484</v>
      </c>
    </row>
    <row r="408" spans="4:21" s="1045" customFormat="1" hidden="1" outlineLevel="2">
      <c r="D408" s="1051">
        <f t="shared" si="41"/>
        <v>38</v>
      </c>
      <c r="E408" s="1051" t="str">
        <f>IF(COUNTIF(E$11:E407,F408)&gt;0,"",F408)</f>
        <v>Gazole routier, Polynésie Française, Base Carbone</v>
      </c>
      <c r="F408" s="1051" t="str">
        <f t="shared" si="42"/>
        <v>Gazole routier, Polynésie Française, Base Carbone</v>
      </c>
      <c r="G408" s="1055" t="str">
        <f t="shared" si="43"/>
        <v>Gazole routier, Polynésie Française, Base Carbone; kgCO2e/kg, Combustion</v>
      </c>
      <c r="I408" s="1031" t="s">
        <v>1593</v>
      </c>
      <c r="J408" s="2017" t="s">
        <v>1572</v>
      </c>
      <c r="K408" s="1032" t="s">
        <v>1567</v>
      </c>
      <c r="L408" s="1032" t="s">
        <v>637</v>
      </c>
      <c r="M408" s="1033">
        <v>0.05</v>
      </c>
      <c r="N408" s="1032" t="s">
        <v>1569</v>
      </c>
      <c r="O408" s="1980">
        <v>3.15</v>
      </c>
      <c r="P408" s="1980">
        <f>O408</f>
        <v>3.15</v>
      </c>
      <c r="Q408" s="1980">
        <v>0</v>
      </c>
      <c r="R408" s="1980">
        <v>0</v>
      </c>
      <c r="S408" s="1980">
        <v>0</v>
      </c>
      <c r="T408" s="1980">
        <v>0</v>
      </c>
      <c r="U408" s="2036">
        <v>0</v>
      </c>
    </row>
    <row r="409" spans="4:21" s="1045" customFormat="1" hidden="1" outlineLevel="2">
      <c r="D409" s="1051">
        <f t="shared" si="41"/>
        <v>38</v>
      </c>
      <c r="E409" s="1051" t="str">
        <f>IF(COUNTIF(E$11:E408,F409)&gt;0,"",F409)</f>
        <v/>
      </c>
      <c r="F409" s="1051" t="str">
        <f t="shared" si="42"/>
        <v>Gazole routier, Polynésie Française, Base Carbone</v>
      </c>
      <c r="G409" s="1055" t="str">
        <f t="shared" si="43"/>
        <v>Gazole routier, Polynésie Française, Base Carbone; kgCO2e/kg, Amont</v>
      </c>
      <c r="I409" s="1031" t="s">
        <v>1593</v>
      </c>
      <c r="J409" s="2017" t="s">
        <v>1572</v>
      </c>
      <c r="K409" s="1032" t="s">
        <v>1567</v>
      </c>
      <c r="L409" s="1032" t="s">
        <v>637</v>
      </c>
      <c r="M409" s="1033">
        <v>0.05</v>
      </c>
      <c r="N409" s="1032" t="s">
        <v>1570</v>
      </c>
      <c r="O409" s="1980">
        <v>0.5</v>
      </c>
      <c r="P409" s="1980">
        <f t="shared" ref="P409:P439" si="44">O409</f>
        <v>0.5</v>
      </c>
      <c r="Q409" s="1980">
        <v>0</v>
      </c>
      <c r="R409" s="1980">
        <v>0</v>
      </c>
      <c r="S409" s="1980">
        <v>0</v>
      </c>
      <c r="T409" s="1980">
        <v>0</v>
      </c>
      <c r="U409" s="2036">
        <v>0</v>
      </c>
    </row>
    <row r="410" spans="4:21" s="1045" customFormat="1" hidden="1" outlineLevel="2">
      <c r="D410" s="1051">
        <f t="shared" si="41"/>
        <v>38</v>
      </c>
      <c r="E410" s="1051" t="str">
        <f>IF(COUNTIF(E$11:E409,F410)&gt;0,"",F410)</f>
        <v/>
      </c>
      <c r="F410" s="1051" t="str">
        <f t="shared" si="42"/>
        <v>Gazole routier, Polynésie Française, Base Carbone</v>
      </c>
      <c r="G410" s="1055" t="str">
        <f t="shared" si="43"/>
        <v>Gazole routier, Polynésie Française, Base Carbone; kgCO2e/kWh PCI, Combustion</v>
      </c>
      <c r="I410" s="1031" t="s">
        <v>1593</v>
      </c>
      <c r="J410" s="1032" t="s">
        <v>1573</v>
      </c>
      <c r="K410" s="1032" t="s">
        <v>1567</v>
      </c>
      <c r="L410" s="1032" t="s">
        <v>637</v>
      </c>
      <c r="M410" s="1033">
        <v>0.05</v>
      </c>
      <c r="N410" s="1032" t="s">
        <v>1569</v>
      </c>
      <c r="O410" s="1036">
        <v>0.27</v>
      </c>
      <c r="P410" s="1980">
        <f t="shared" si="44"/>
        <v>0.27</v>
      </c>
      <c r="Q410" s="1980">
        <v>0</v>
      </c>
      <c r="R410" s="1980">
        <v>0</v>
      </c>
      <c r="S410" s="1980">
        <v>0</v>
      </c>
      <c r="T410" s="1980">
        <v>0</v>
      </c>
      <c r="U410" s="2036">
        <v>0</v>
      </c>
    </row>
    <row r="411" spans="4:21" s="1045" customFormat="1" hidden="1" outlineLevel="2">
      <c r="D411" s="1051">
        <f t="shared" si="41"/>
        <v>38</v>
      </c>
      <c r="E411" s="1051" t="str">
        <f>IF(COUNTIF(E$11:E410,F411)&gt;0,"",F411)</f>
        <v/>
      </c>
      <c r="F411" s="1051" t="str">
        <f t="shared" si="42"/>
        <v>Gazole routier, Polynésie Française, Base Carbone</v>
      </c>
      <c r="G411" s="1055" t="str">
        <f t="shared" si="43"/>
        <v>Gazole routier, Polynésie Française, Base Carbone; kgCO2e/kWh PCI, Amont</v>
      </c>
      <c r="I411" s="1031" t="s">
        <v>1593</v>
      </c>
      <c r="J411" s="1032" t="s">
        <v>1573</v>
      </c>
      <c r="K411" s="1032" t="s">
        <v>1567</v>
      </c>
      <c r="L411" s="1032" t="s">
        <v>637</v>
      </c>
      <c r="M411" s="1033">
        <v>0.05</v>
      </c>
      <c r="N411" s="1032" t="s">
        <v>1570</v>
      </c>
      <c r="O411" s="1036">
        <v>4.2900000000000001E-2</v>
      </c>
      <c r="P411" s="1980">
        <f t="shared" si="44"/>
        <v>4.2900000000000001E-2</v>
      </c>
      <c r="Q411" s="1980">
        <v>0</v>
      </c>
      <c r="R411" s="1980">
        <v>0</v>
      </c>
      <c r="S411" s="1980">
        <v>0</v>
      </c>
      <c r="T411" s="1980">
        <v>0</v>
      </c>
      <c r="U411" s="2036">
        <v>0</v>
      </c>
    </row>
    <row r="412" spans="4:21" s="1045" customFormat="1" hidden="1" outlineLevel="2">
      <c r="D412" s="1051">
        <f t="shared" si="41"/>
        <v>38</v>
      </c>
      <c r="E412" s="1051" t="str">
        <f>IF(COUNTIF(E$11:E411,F412)&gt;0,"",F412)</f>
        <v/>
      </c>
      <c r="F412" s="1051" t="str">
        <f t="shared" si="42"/>
        <v>Gazole routier, Polynésie Française, Base Carbone</v>
      </c>
      <c r="G412" s="1055" t="str">
        <f t="shared" si="43"/>
        <v>Gazole routier, Polynésie Française, Base Carbone; kgCO2e/tep PCI, Combustion</v>
      </c>
      <c r="I412" s="1031" t="s">
        <v>1593</v>
      </c>
      <c r="J412" s="1032" t="s">
        <v>1575</v>
      </c>
      <c r="K412" s="1032" t="s">
        <v>1567</v>
      </c>
      <c r="L412" s="1032" t="s">
        <v>637</v>
      </c>
      <c r="M412" s="1033">
        <v>0.05</v>
      </c>
      <c r="N412" s="1032" t="s">
        <v>1569</v>
      </c>
      <c r="O412" s="1036">
        <v>3140</v>
      </c>
      <c r="P412" s="1980">
        <f t="shared" si="44"/>
        <v>3140</v>
      </c>
      <c r="Q412" s="1980">
        <v>0</v>
      </c>
      <c r="R412" s="1980">
        <v>0</v>
      </c>
      <c r="S412" s="1980">
        <v>0</v>
      </c>
      <c r="T412" s="1980">
        <v>0</v>
      </c>
      <c r="U412" s="2036">
        <v>0</v>
      </c>
    </row>
    <row r="413" spans="4:21" s="1045" customFormat="1" hidden="1" outlineLevel="2">
      <c r="D413" s="1051">
        <f t="shared" si="41"/>
        <v>38</v>
      </c>
      <c r="E413" s="1051" t="str">
        <f>IF(COUNTIF(E$11:E412,F413)&gt;0,"",F413)</f>
        <v/>
      </c>
      <c r="F413" s="1051" t="str">
        <f t="shared" si="42"/>
        <v>Gazole routier, Polynésie Française, Base Carbone</v>
      </c>
      <c r="G413" s="1055" t="str">
        <f t="shared" si="43"/>
        <v>Gazole routier, Polynésie Française, Base Carbone; kgCO2e/tep PCI, Amont</v>
      </c>
      <c r="I413" s="1031" t="s">
        <v>1593</v>
      </c>
      <c r="J413" s="1032" t="s">
        <v>1575</v>
      </c>
      <c r="K413" s="1032" t="s">
        <v>1567</v>
      </c>
      <c r="L413" s="1032" t="s">
        <v>637</v>
      </c>
      <c r="M413" s="1033">
        <v>0.05</v>
      </c>
      <c r="N413" s="1032" t="s">
        <v>1570</v>
      </c>
      <c r="O413" s="1036">
        <v>498</v>
      </c>
      <c r="P413" s="1980">
        <f t="shared" si="44"/>
        <v>498</v>
      </c>
      <c r="Q413" s="1980">
        <v>0</v>
      </c>
      <c r="R413" s="1980">
        <v>0</v>
      </c>
      <c r="S413" s="1980">
        <v>0</v>
      </c>
      <c r="T413" s="1980">
        <v>0</v>
      </c>
      <c r="U413" s="2036">
        <v>0</v>
      </c>
    </row>
    <row r="414" spans="4:21" s="1045" customFormat="1" hidden="1" outlineLevel="2">
      <c r="D414" s="1051">
        <f t="shared" si="41"/>
        <v>38</v>
      </c>
      <c r="E414" s="1051" t="str">
        <f>IF(COUNTIF(E$11:E413,F414)&gt;0,"",F414)</f>
        <v/>
      </c>
      <c r="F414" s="1051" t="str">
        <f t="shared" si="42"/>
        <v>Gazole routier, Polynésie Française, Base Carbone</v>
      </c>
      <c r="G414" s="1055" t="str">
        <f t="shared" si="43"/>
        <v>Gazole routier, Polynésie Française, Base Carbone; kgCO2e/litre, Combustion</v>
      </c>
      <c r="I414" s="1031" t="s">
        <v>1593</v>
      </c>
      <c r="J414" s="1032" t="s">
        <v>1574</v>
      </c>
      <c r="K414" s="1032" t="s">
        <v>1567</v>
      </c>
      <c r="L414" s="1032" t="s">
        <v>637</v>
      </c>
      <c r="M414" s="1033">
        <v>0.1</v>
      </c>
      <c r="N414" s="1032" t="s">
        <v>1569</v>
      </c>
      <c r="O414" s="1036">
        <v>2.66</v>
      </c>
      <c r="P414" s="1980">
        <f t="shared" si="44"/>
        <v>2.66</v>
      </c>
      <c r="Q414" s="1980">
        <v>0</v>
      </c>
      <c r="R414" s="1980">
        <v>0</v>
      </c>
      <c r="S414" s="1980">
        <v>0</v>
      </c>
      <c r="T414" s="1980">
        <v>0</v>
      </c>
      <c r="U414" s="2036">
        <v>0</v>
      </c>
    </row>
    <row r="415" spans="4:21" s="1045" customFormat="1" hidden="1" outlineLevel="2">
      <c r="D415" s="1051">
        <f t="shared" si="41"/>
        <v>38</v>
      </c>
      <c r="E415" s="1051" t="str">
        <f>IF(COUNTIF(E$11:E414,F415)&gt;0,"",F415)</f>
        <v/>
      </c>
      <c r="F415" s="1051" t="str">
        <f t="shared" si="42"/>
        <v>Gazole routier, Polynésie Française, Base Carbone</v>
      </c>
      <c r="G415" s="1055" t="str">
        <f t="shared" si="43"/>
        <v>Gazole routier, Polynésie Française, Base Carbone; kgCO2e/litre, Amont</v>
      </c>
      <c r="I415" s="1031" t="s">
        <v>1593</v>
      </c>
      <c r="J415" s="1032" t="s">
        <v>1574</v>
      </c>
      <c r="K415" s="1032" t="s">
        <v>1567</v>
      </c>
      <c r="L415" s="1032" t="s">
        <v>637</v>
      </c>
      <c r="M415" s="1033">
        <v>0.1</v>
      </c>
      <c r="N415" s="1032" t="s">
        <v>1570</v>
      </c>
      <c r="O415" s="1036">
        <v>0.42299999999999999</v>
      </c>
      <c r="P415" s="1980">
        <f t="shared" si="44"/>
        <v>0.42299999999999999</v>
      </c>
      <c r="Q415" s="1980">
        <v>0</v>
      </c>
      <c r="R415" s="1980">
        <v>0</v>
      </c>
      <c r="S415" s="1980">
        <v>0</v>
      </c>
      <c r="T415" s="1980">
        <v>0</v>
      </c>
      <c r="U415" s="2036">
        <v>0</v>
      </c>
    </row>
    <row r="416" spans="4:21" s="1045" customFormat="1" hidden="1" outlineLevel="2">
      <c r="D416" s="1051">
        <f t="shared" si="41"/>
        <v>39</v>
      </c>
      <c r="E416" s="1051" t="str">
        <f>IF(COUNTIF(E$11:E415,F416)&gt;0,"",F416)</f>
        <v>Gazole routier, Réunion, Base Carbone</v>
      </c>
      <c r="F416" s="1051" t="str">
        <f t="shared" si="42"/>
        <v>Gazole routier, Réunion, Base Carbone</v>
      </c>
      <c r="G416" s="1055" t="str">
        <f t="shared" si="43"/>
        <v>Gazole routier, Réunion, Base Carbone; kgCO2e/kg, Combustion</v>
      </c>
      <c r="I416" s="1031" t="s">
        <v>1593</v>
      </c>
      <c r="J416" s="2017" t="s">
        <v>1572</v>
      </c>
      <c r="K416" s="1032" t="s">
        <v>1567</v>
      </c>
      <c r="L416" s="1032" t="s">
        <v>785</v>
      </c>
      <c r="M416" s="1033">
        <v>0.05</v>
      </c>
      <c r="N416" s="1032" t="s">
        <v>1569</v>
      </c>
      <c r="O416" s="1980">
        <v>3.15</v>
      </c>
      <c r="P416" s="1980">
        <f t="shared" si="44"/>
        <v>3.15</v>
      </c>
      <c r="Q416" s="1980">
        <v>0</v>
      </c>
      <c r="R416" s="1980">
        <v>0</v>
      </c>
      <c r="S416" s="1980">
        <v>0</v>
      </c>
      <c r="T416" s="1980">
        <v>0</v>
      </c>
      <c r="U416" s="2036">
        <v>0</v>
      </c>
    </row>
    <row r="417" spans="4:21" s="1045" customFormat="1" hidden="1" outlineLevel="2">
      <c r="D417" s="1051">
        <f t="shared" si="41"/>
        <v>39</v>
      </c>
      <c r="E417" s="1051" t="str">
        <f>IF(COUNTIF(E$11:E416,F417)&gt;0,"",F417)</f>
        <v/>
      </c>
      <c r="F417" s="1051" t="str">
        <f t="shared" si="42"/>
        <v>Gazole routier, Réunion, Base Carbone</v>
      </c>
      <c r="G417" s="1055" t="str">
        <f t="shared" si="43"/>
        <v>Gazole routier, Réunion, Base Carbone; kgCO2e/kg, Amont</v>
      </c>
      <c r="I417" s="1031" t="s">
        <v>1593</v>
      </c>
      <c r="J417" s="2017" t="s">
        <v>1572</v>
      </c>
      <c r="K417" s="1032" t="s">
        <v>1567</v>
      </c>
      <c r="L417" s="1032" t="s">
        <v>785</v>
      </c>
      <c r="M417" s="1033">
        <v>0.05</v>
      </c>
      <c r="N417" s="1032" t="s">
        <v>1570</v>
      </c>
      <c r="O417" s="1980">
        <v>0.432</v>
      </c>
      <c r="P417" s="1980">
        <f t="shared" si="44"/>
        <v>0.432</v>
      </c>
      <c r="Q417" s="1980">
        <v>0</v>
      </c>
      <c r="R417" s="1980">
        <v>0</v>
      </c>
      <c r="S417" s="1980">
        <v>0</v>
      </c>
      <c r="T417" s="1980">
        <v>0</v>
      </c>
      <c r="U417" s="2036">
        <v>0</v>
      </c>
    </row>
    <row r="418" spans="4:21" s="1045" customFormat="1" hidden="1" outlineLevel="2">
      <c r="D418" s="1051">
        <f t="shared" si="41"/>
        <v>39</v>
      </c>
      <c r="E418" s="1051" t="str">
        <f>IF(COUNTIF(E$11:E417,F418)&gt;0,"",F418)</f>
        <v/>
      </c>
      <c r="F418" s="1051" t="str">
        <f t="shared" si="42"/>
        <v>Gazole routier, Réunion, Base Carbone</v>
      </c>
      <c r="G418" s="1055" t="str">
        <f t="shared" si="43"/>
        <v>Gazole routier, Réunion, Base Carbone; kgCO2e/kWh PCI, Combustion</v>
      </c>
      <c r="I418" s="1031" t="s">
        <v>1593</v>
      </c>
      <c r="J418" s="1032" t="s">
        <v>1573</v>
      </c>
      <c r="K418" s="1032" t="s">
        <v>1567</v>
      </c>
      <c r="L418" s="1032" t="s">
        <v>785</v>
      </c>
      <c r="M418" s="1033">
        <v>0.05</v>
      </c>
      <c r="N418" s="1032" t="s">
        <v>1569</v>
      </c>
      <c r="O418" s="1036">
        <v>0.27100000000000002</v>
      </c>
      <c r="P418" s="1980">
        <f t="shared" si="44"/>
        <v>0.27100000000000002</v>
      </c>
      <c r="Q418" s="1980">
        <v>0</v>
      </c>
      <c r="R418" s="1980">
        <v>0</v>
      </c>
      <c r="S418" s="1980">
        <v>0</v>
      </c>
      <c r="T418" s="1980">
        <v>0</v>
      </c>
      <c r="U418" s="2036">
        <v>0</v>
      </c>
    </row>
    <row r="419" spans="4:21" s="1045" customFormat="1" hidden="1" outlineLevel="2">
      <c r="D419" s="1051">
        <f t="shared" si="41"/>
        <v>39</v>
      </c>
      <c r="E419" s="1051" t="str">
        <f>IF(COUNTIF(E$11:E418,F419)&gt;0,"",F419)</f>
        <v/>
      </c>
      <c r="F419" s="1051" t="str">
        <f t="shared" si="42"/>
        <v>Gazole routier, Réunion, Base Carbone</v>
      </c>
      <c r="G419" s="1055" t="str">
        <f t="shared" si="43"/>
        <v>Gazole routier, Réunion, Base Carbone; kgCO2e/kWh PCI, Amont</v>
      </c>
      <c r="I419" s="1031" t="s">
        <v>1593</v>
      </c>
      <c r="J419" s="1032" t="s">
        <v>1573</v>
      </c>
      <c r="K419" s="1032" t="s">
        <v>1567</v>
      </c>
      <c r="L419" s="1032" t="s">
        <v>785</v>
      </c>
      <c r="M419" s="1033">
        <v>0.05</v>
      </c>
      <c r="N419" s="1032" t="s">
        <v>1570</v>
      </c>
      <c r="O419" s="1036">
        <v>3.6999999999999998E-2</v>
      </c>
      <c r="P419" s="1980">
        <f t="shared" si="44"/>
        <v>3.6999999999999998E-2</v>
      </c>
      <c r="Q419" s="1980">
        <v>0</v>
      </c>
      <c r="R419" s="1980">
        <v>0</v>
      </c>
      <c r="S419" s="1980">
        <v>0</v>
      </c>
      <c r="T419" s="1980">
        <v>0</v>
      </c>
      <c r="U419" s="2036">
        <v>0</v>
      </c>
    </row>
    <row r="420" spans="4:21" s="1045" customFormat="1" hidden="1" outlineLevel="2">
      <c r="D420" s="1051">
        <f t="shared" si="41"/>
        <v>39</v>
      </c>
      <c r="E420" s="1051" t="str">
        <f>IF(COUNTIF(E$11:E419,F420)&gt;0,"",F420)</f>
        <v/>
      </c>
      <c r="F420" s="1051" t="str">
        <f t="shared" si="42"/>
        <v>Gazole routier, Réunion, Base Carbone</v>
      </c>
      <c r="G420" s="1055" t="str">
        <f t="shared" si="43"/>
        <v>Gazole routier, Réunion, Base Carbone; kgCO2e/tep PCI, Combustion</v>
      </c>
      <c r="I420" s="1031" t="s">
        <v>1593</v>
      </c>
      <c r="J420" s="1032" t="s">
        <v>1575</v>
      </c>
      <c r="K420" s="1032" t="s">
        <v>1567</v>
      </c>
      <c r="L420" s="1032" t="s">
        <v>785</v>
      </c>
      <c r="M420" s="1033">
        <v>0.05</v>
      </c>
      <c r="N420" s="1032" t="s">
        <v>1569</v>
      </c>
      <c r="O420" s="1036">
        <v>3150</v>
      </c>
      <c r="P420" s="1980">
        <f t="shared" si="44"/>
        <v>3150</v>
      </c>
      <c r="Q420" s="1980">
        <v>0</v>
      </c>
      <c r="R420" s="1980">
        <v>0</v>
      </c>
      <c r="S420" s="1980">
        <v>0</v>
      </c>
      <c r="T420" s="1980">
        <v>0</v>
      </c>
      <c r="U420" s="2036">
        <v>0</v>
      </c>
    </row>
    <row r="421" spans="4:21" s="1045" customFormat="1" hidden="1" outlineLevel="2">
      <c r="D421" s="1051">
        <f t="shared" si="41"/>
        <v>39</v>
      </c>
      <c r="E421" s="1051" t="str">
        <f>IF(COUNTIF(E$11:E420,F421)&gt;0,"",F421)</f>
        <v/>
      </c>
      <c r="F421" s="1051" t="str">
        <f t="shared" si="42"/>
        <v>Gazole routier, Réunion, Base Carbone</v>
      </c>
      <c r="G421" s="1055" t="str">
        <f t="shared" si="43"/>
        <v>Gazole routier, Réunion, Base Carbone; kgCO2e/tep PCI, Amont</v>
      </c>
      <c r="I421" s="1031" t="s">
        <v>1593</v>
      </c>
      <c r="J421" s="1032" t="s">
        <v>1575</v>
      </c>
      <c r="K421" s="1032" t="s">
        <v>1567</v>
      </c>
      <c r="L421" s="1032" t="s">
        <v>785</v>
      </c>
      <c r="M421" s="1033">
        <v>0.05</v>
      </c>
      <c r="N421" s="1032" t="s">
        <v>1570</v>
      </c>
      <c r="O421" s="1036">
        <v>432</v>
      </c>
      <c r="P421" s="1980">
        <f t="shared" si="44"/>
        <v>432</v>
      </c>
      <c r="Q421" s="1980">
        <v>0</v>
      </c>
      <c r="R421" s="1980">
        <v>0</v>
      </c>
      <c r="S421" s="1980">
        <v>0</v>
      </c>
      <c r="T421" s="1980">
        <v>0</v>
      </c>
      <c r="U421" s="2036">
        <v>0</v>
      </c>
    </row>
    <row r="422" spans="4:21" s="1045" customFormat="1" hidden="1" outlineLevel="2">
      <c r="D422" s="1051">
        <f t="shared" si="41"/>
        <v>39</v>
      </c>
      <c r="E422" s="1051" t="str">
        <f>IF(COUNTIF(E$11:E421,F422)&gt;0,"",F422)</f>
        <v/>
      </c>
      <c r="F422" s="1051" t="str">
        <f t="shared" si="42"/>
        <v>Gazole routier, Réunion, Base Carbone</v>
      </c>
      <c r="G422" s="1055" t="str">
        <f t="shared" si="43"/>
        <v>Gazole routier, Réunion, Base Carbone; kgCO2e/litre, Combustion</v>
      </c>
      <c r="I422" s="1031" t="s">
        <v>1593</v>
      </c>
      <c r="J422" s="1032" t="s">
        <v>1574</v>
      </c>
      <c r="K422" s="1032" t="s">
        <v>1567</v>
      </c>
      <c r="L422" s="1032" t="s">
        <v>785</v>
      </c>
      <c r="M422" s="1033">
        <v>0.1</v>
      </c>
      <c r="N422" s="1032" t="s">
        <v>1569</v>
      </c>
      <c r="O422" s="1036">
        <v>2.66</v>
      </c>
      <c r="P422" s="1980">
        <f t="shared" si="44"/>
        <v>2.66</v>
      </c>
      <c r="Q422" s="1980">
        <v>0</v>
      </c>
      <c r="R422" s="1980">
        <v>0</v>
      </c>
      <c r="S422" s="1980">
        <v>0</v>
      </c>
      <c r="T422" s="1980">
        <v>0</v>
      </c>
      <c r="U422" s="2036">
        <v>0</v>
      </c>
    </row>
    <row r="423" spans="4:21" s="1045" customFormat="1" hidden="1" outlineLevel="2">
      <c r="D423" s="1051">
        <f t="shared" si="41"/>
        <v>39</v>
      </c>
      <c r="E423" s="1051" t="str">
        <f>IF(COUNTIF(E$11:E422,F423)&gt;0,"",F423)</f>
        <v/>
      </c>
      <c r="F423" s="1051" t="str">
        <f t="shared" si="42"/>
        <v>Gazole routier, Réunion, Base Carbone</v>
      </c>
      <c r="G423" s="1055" t="str">
        <f t="shared" si="43"/>
        <v>Gazole routier, Réunion, Base Carbone; kgCO2e/litre, Amont</v>
      </c>
      <c r="I423" s="1031" t="s">
        <v>1593</v>
      </c>
      <c r="J423" s="1032" t="s">
        <v>1574</v>
      </c>
      <c r="K423" s="1032" t="s">
        <v>1567</v>
      </c>
      <c r="L423" s="1032" t="s">
        <v>785</v>
      </c>
      <c r="M423" s="1033">
        <v>0.1</v>
      </c>
      <c r="N423" s="1032" t="s">
        <v>1570</v>
      </c>
      <c r="O423" s="1036">
        <v>0.38200000000000001</v>
      </c>
      <c r="P423" s="1980">
        <f t="shared" si="44"/>
        <v>0.38200000000000001</v>
      </c>
      <c r="Q423" s="1980">
        <v>0</v>
      </c>
      <c r="R423" s="1980">
        <v>0</v>
      </c>
      <c r="S423" s="1980">
        <v>0</v>
      </c>
      <c r="T423" s="1980">
        <v>0</v>
      </c>
      <c r="U423" s="2036">
        <v>0</v>
      </c>
    </row>
    <row r="424" spans="4:21" s="1045" customFormat="1" hidden="1" outlineLevel="2">
      <c r="D424" s="1051">
        <f t="shared" si="41"/>
        <v>40</v>
      </c>
      <c r="E424" s="1051" t="str">
        <f>IF(COUNTIF(E$11:E423,F424)&gt;0,"",F424)</f>
        <v>Gazole routier, Guadeloupe, Martinique, Guyane, Corse, Base Carbone</v>
      </c>
      <c r="F424" s="1051" t="str">
        <f t="shared" si="42"/>
        <v>Gazole routier, Guadeloupe, Martinique, Guyane, Corse, Base Carbone</v>
      </c>
      <c r="G424" s="1055" t="str">
        <f t="shared" si="43"/>
        <v>Gazole routier, Guadeloupe, Martinique, Guyane, Corse, Base Carbone; kgCO2e/kg, Combustion</v>
      </c>
      <c r="I424" s="1031" t="s">
        <v>1593</v>
      </c>
      <c r="J424" s="2017" t="s">
        <v>1572</v>
      </c>
      <c r="K424" s="1032" t="s">
        <v>1567</v>
      </c>
      <c r="L424" s="1032" t="s">
        <v>3084</v>
      </c>
      <c r="M424" s="1033">
        <v>0.05</v>
      </c>
      <c r="N424" s="1032" t="s">
        <v>1569</v>
      </c>
      <c r="O424" s="1980">
        <v>3.15</v>
      </c>
      <c r="P424" s="1980">
        <f t="shared" si="44"/>
        <v>3.15</v>
      </c>
      <c r="Q424" s="1980">
        <v>0</v>
      </c>
      <c r="R424" s="1980">
        <v>0</v>
      </c>
      <c r="S424" s="1980">
        <v>0</v>
      </c>
      <c r="T424" s="1980">
        <v>0</v>
      </c>
      <c r="U424" s="2036">
        <v>0</v>
      </c>
    </row>
    <row r="425" spans="4:21" s="1045" customFormat="1" hidden="1" outlineLevel="2">
      <c r="D425" s="1051">
        <f t="shared" si="41"/>
        <v>40</v>
      </c>
      <c r="E425" s="1051" t="str">
        <f>IF(COUNTIF(E$11:E424,F425)&gt;0,"",F425)</f>
        <v/>
      </c>
      <c r="F425" s="1051" t="str">
        <f t="shared" si="42"/>
        <v>Gazole routier, Guadeloupe, Martinique, Guyane, Corse, Base Carbone</v>
      </c>
      <c r="G425" s="1055" t="str">
        <f t="shared" si="43"/>
        <v>Gazole routier, Guadeloupe, Martinique, Guyane, Corse, Base Carbone; kgCO2e/kg, Amont</v>
      </c>
      <c r="I425" s="1031" t="s">
        <v>1593</v>
      </c>
      <c r="J425" s="2017" t="s">
        <v>1572</v>
      </c>
      <c r="K425" s="1032" t="s">
        <v>1567</v>
      </c>
      <c r="L425" s="1032" t="s">
        <v>3084</v>
      </c>
      <c r="M425" s="1033">
        <v>0.05</v>
      </c>
      <c r="N425" s="1032" t="s">
        <v>1570</v>
      </c>
      <c r="O425" s="1980">
        <v>0.33700000000000002</v>
      </c>
      <c r="P425" s="1980">
        <f t="shared" si="44"/>
        <v>0.33700000000000002</v>
      </c>
      <c r="Q425" s="1980">
        <v>0</v>
      </c>
      <c r="R425" s="1980">
        <v>0</v>
      </c>
      <c r="S425" s="1980">
        <v>0</v>
      </c>
      <c r="T425" s="1980">
        <v>0</v>
      </c>
      <c r="U425" s="2036">
        <v>0</v>
      </c>
    </row>
    <row r="426" spans="4:21" s="1045" customFormat="1" hidden="1" outlineLevel="2">
      <c r="D426" s="1051">
        <f t="shared" ref="D426:D489" si="45">D425+IF(LEN(E426)=0,0,1)</f>
        <v>40</v>
      </c>
      <c r="E426" s="1051" t="str">
        <f>IF(COUNTIF(E$11:E425,F426)&gt;0,"",F426)</f>
        <v/>
      </c>
      <c r="F426" s="1051" t="str">
        <f t="shared" ref="F426:F489" si="46">IF(I426&lt;&gt;"",I426&amp;IF(L426&lt;&gt;"",", "&amp;L426,"")&amp;IF(K426&lt;&gt;"",", "&amp;K426,""),"")</f>
        <v>Gazole routier, Guadeloupe, Martinique, Guyane, Corse, Base Carbone</v>
      </c>
      <c r="G426" s="1055" t="str">
        <f t="shared" ref="G426:G489" si="47">IF(F426&lt;&gt;"",F426&amp;IF(J426&lt;&gt;"","; "&amp;J426,"")&amp;IF(N426&lt;&gt;"",", "&amp;N426,""),"")</f>
        <v>Gazole routier, Guadeloupe, Martinique, Guyane, Corse, Base Carbone; kgCO2e/kWh PCI, Combustion</v>
      </c>
      <c r="I426" s="1031" t="s">
        <v>1593</v>
      </c>
      <c r="J426" s="1032" t="s">
        <v>1573</v>
      </c>
      <c r="K426" s="1032" t="s">
        <v>1567</v>
      </c>
      <c r="L426" s="1032" t="s">
        <v>3084</v>
      </c>
      <c r="M426" s="1033">
        <v>0.05</v>
      </c>
      <c r="N426" s="1032" t="s">
        <v>1569</v>
      </c>
      <c r="O426" s="1036">
        <v>0.27100000000000002</v>
      </c>
      <c r="P426" s="1980">
        <f t="shared" si="44"/>
        <v>0.27100000000000002</v>
      </c>
      <c r="Q426" s="1980">
        <v>0</v>
      </c>
      <c r="R426" s="1980">
        <v>0</v>
      </c>
      <c r="S426" s="1980">
        <v>0</v>
      </c>
      <c r="T426" s="1980">
        <v>0</v>
      </c>
      <c r="U426" s="2036">
        <v>0</v>
      </c>
    </row>
    <row r="427" spans="4:21" s="1045" customFormat="1" hidden="1" outlineLevel="2">
      <c r="D427" s="1051">
        <f t="shared" si="45"/>
        <v>40</v>
      </c>
      <c r="E427" s="1051" t="str">
        <f>IF(COUNTIF(E$11:E426,F427)&gt;0,"",F427)</f>
        <v/>
      </c>
      <c r="F427" s="1051" t="str">
        <f t="shared" si="46"/>
        <v>Gazole routier, Guadeloupe, Martinique, Guyane, Corse, Base Carbone</v>
      </c>
      <c r="G427" s="1055" t="str">
        <f t="shared" si="47"/>
        <v>Gazole routier, Guadeloupe, Martinique, Guyane, Corse, Base Carbone; kgCO2e/kWh PCI, Amont</v>
      </c>
      <c r="I427" s="1031" t="s">
        <v>1593</v>
      </c>
      <c r="J427" s="1032" t="s">
        <v>1573</v>
      </c>
      <c r="K427" s="1032" t="s">
        <v>1567</v>
      </c>
      <c r="L427" s="1032" t="s">
        <v>3084</v>
      </c>
      <c r="M427" s="1033">
        <v>0.05</v>
      </c>
      <c r="N427" s="1032" t="s">
        <v>1570</v>
      </c>
      <c r="O427" s="1036">
        <v>2.9000000000000001E-2</v>
      </c>
      <c r="P427" s="1980">
        <f t="shared" si="44"/>
        <v>2.9000000000000001E-2</v>
      </c>
      <c r="Q427" s="1980">
        <v>0</v>
      </c>
      <c r="R427" s="1980">
        <v>0</v>
      </c>
      <c r="S427" s="1980">
        <v>0</v>
      </c>
      <c r="T427" s="1980">
        <v>0</v>
      </c>
      <c r="U427" s="2036">
        <v>0</v>
      </c>
    </row>
    <row r="428" spans="4:21" s="1045" customFormat="1" hidden="1" outlineLevel="2">
      <c r="D428" s="1051">
        <f t="shared" si="45"/>
        <v>40</v>
      </c>
      <c r="E428" s="1051" t="str">
        <f>IF(COUNTIF(E$11:E427,F428)&gt;0,"",F428)</f>
        <v/>
      </c>
      <c r="F428" s="1051" t="str">
        <f t="shared" si="46"/>
        <v>Gazole routier, Guadeloupe, Martinique, Guyane, Corse, Base Carbone</v>
      </c>
      <c r="G428" s="1055" t="str">
        <f t="shared" si="47"/>
        <v>Gazole routier, Guadeloupe, Martinique, Guyane, Corse, Base Carbone; kgCO2e/tep PCI, Combustion</v>
      </c>
      <c r="I428" s="1031" t="s">
        <v>1593</v>
      </c>
      <c r="J428" s="1032" t="s">
        <v>1575</v>
      </c>
      <c r="K428" s="1032" t="s">
        <v>1567</v>
      </c>
      <c r="L428" s="1032" t="s">
        <v>3084</v>
      </c>
      <c r="M428" s="1033">
        <v>0.05</v>
      </c>
      <c r="N428" s="1032" t="s">
        <v>1569</v>
      </c>
      <c r="O428" s="1036">
        <v>3150</v>
      </c>
      <c r="P428" s="1980">
        <f t="shared" si="44"/>
        <v>3150</v>
      </c>
      <c r="Q428" s="1980">
        <v>0</v>
      </c>
      <c r="R428" s="1980">
        <v>0</v>
      </c>
      <c r="S428" s="1980">
        <v>0</v>
      </c>
      <c r="T428" s="1980">
        <v>0</v>
      </c>
      <c r="U428" s="2036">
        <v>0</v>
      </c>
    </row>
    <row r="429" spans="4:21" s="1045" customFormat="1" hidden="1" outlineLevel="2">
      <c r="D429" s="1051">
        <f t="shared" si="45"/>
        <v>40</v>
      </c>
      <c r="E429" s="1051" t="str">
        <f>IF(COUNTIF(E$11:E428,F429)&gt;0,"",F429)</f>
        <v/>
      </c>
      <c r="F429" s="1051" t="str">
        <f t="shared" si="46"/>
        <v>Gazole routier, Guadeloupe, Martinique, Guyane, Corse, Base Carbone</v>
      </c>
      <c r="G429" s="1055" t="str">
        <f t="shared" si="47"/>
        <v>Gazole routier, Guadeloupe, Martinique, Guyane, Corse, Base Carbone; kgCO2e/tep PCI, Amont</v>
      </c>
      <c r="I429" s="1031" t="s">
        <v>1593</v>
      </c>
      <c r="J429" s="1032" t="s">
        <v>1575</v>
      </c>
      <c r="K429" s="1032" t="s">
        <v>1567</v>
      </c>
      <c r="L429" s="1032" t="s">
        <v>3084</v>
      </c>
      <c r="M429" s="1033">
        <v>0.05</v>
      </c>
      <c r="N429" s="1032" t="s">
        <v>1570</v>
      </c>
      <c r="O429" s="1036">
        <v>337</v>
      </c>
      <c r="P429" s="1980">
        <f t="shared" si="44"/>
        <v>337</v>
      </c>
      <c r="Q429" s="1980">
        <v>0</v>
      </c>
      <c r="R429" s="1980">
        <v>0</v>
      </c>
      <c r="S429" s="1980">
        <v>0</v>
      </c>
      <c r="T429" s="1980">
        <v>0</v>
      </c>
      <c r="U429" s="2036">
        <v>0</v>
      </c>
    </row>
    <row r="430" spans="4:21" s="1045" customFormat="1" hidden="1" outlineLevel="2">
      <c r="D430" s="1051">
        <f t="shared" si="45"/>
        <v>40</v>
      </c>
      <c r="E430" s="1051" t="str">
        <f>IF(COUNTIF(E$11:E429,F430)&gt;0,"",F430)</f>
        <v/>
      </c>
      <c r="F430" s="1051" t="str">
        <f t="shared" si="46"/>
        <v>Gazole routier, Guadeloupe, Martinique, Guyane, Corse, Base Carbone</v>
      </c>
      <c r="G430" s="1055" t="str">
        <f t="shared" si="47"/>
        <v>Gazole routier, Guadeloupe, Martinique, Guyane, Corse, Base Carbone; kgCO2e/litre, Combustion</v>
      </c>
      <c r="I430" s="1031" t="s">
        <v>1593</v>
      </c>
      <c r="J430" s="1032" t="s">
        <v>1574</v>
      </c>
      <c r="K430" s="1032" t="s">
        <v>1567</v>
      </c>
      <c r="L430" s="1032" t="s">
        <v>3084</v>
      </c>
      <c r="M430" s="1033">
        <v>0.1</v>
      </c>
      <c r="N430" s="1032" t="s">
        <v>1569</v>
      </c>
      <c r="O430" s="1036">
        <v>2.66</v>
      </c>
      <c r="P430" s="1980">
        <f t="shared" si="44"/>
        <v>2.66</v>
      </c>
      <c r="Q430" s="1980">
        <v>0</v>
      </c>
      <c r="R430" s="1980">
        <v>0</v>
      </c>
      <c r="S430" s="1980">
        <v>0</v>
      </c>
      <c r="T430" s="1980">
        <v>0</v>
      </c>
      <c r="U430" s="2036">
        <v>0</v>
      </c>
    </row>
    <row r="431" spans="4:21" s="1045" customFormat="1" hidden="1" outlineLevel="2">
      <c r="D431" s="1051">
        <f t="shared" si="45"/>
        <v>40</v>
      </c>
      <c r="E431" s="1051" t="str">
        <f>IF(COUNTIF(E$11:E430,F431)&gt;0,"",F431)</f>
        <v/>
      </c>
      <c r="F431" s="1051" t="str">
        <f t="shared" si="46"/>
        <v>Gazole routier, Guadeloupe, Martinique, Guyane, Corse, Base Carbone</v>
      </c>
      <c r="G431" s="1055" t="str">
        <f t="shared" si="47"/>
        <v>Gazole routier, Guadeloupe, Martinique, Guyane, Corse, Base Carbone; kgCO2e/litre, Amont</v>
      </c>
      <c r="I431" s="1031" t="s">
        <v>1593</v>
      </c>
      <c r="J431" s="1032" t="s">
        <v>1574</v>
      </c>
      <c r="K431" s="1032" t="s">
        <v>1567</v>
      </c>
      <c r="L431" s="1032" t="s">
        <v>3084</v>
      </c>
      <c r="M431" s="1033">
        <v>0.1</v>
      </c>
      <c r="N431" s="1032" t="s">
        <v>1570</v>
      </c>
      <c r="O431" s="1036">
        <v>0.28499999999999998</v>
      </c>
      <c r="P431" s="1980">
        <f t="shared" si="44"/>
        <v>0.28499999999999998</v>
      </c>
      <c r="Q431" s="1980">
        <v>0</v>
      </c>
      <c r="R431" s="1980">
        <v>0</v>
      </c>
      <c r="S431" s="1980">
        <v>0</v>
      </c>
      <c r="T431" s="1980">
        <v>0</v>
      </c>
      <c r="U431" s="2036">
        <v>0</v>
      </c>
    </row>
    <row r="432" spans="4:21" s="1045" customFormat="1" hidden="1" outlineLevel="2">
      <c r="D432" s="1051">
        <f t="shared" si="45"/>
        <v>41</v>
      </c>
      <c r="E432" s="1051" t="str">
        <f>IF(COUNTIF(E$11:E431,F432)&gt;0,"",F432)</f>
        <v>Gazole routier, Nouvelle Calédonie, Base Carbone</v>
      </c>
      <c r="F432" s="1051" t="str">
        <f t="shared" si="46"/>
        <v>Gazole routier, Nouvelle Calédonie, Base Carbone</v>
      </c>
      <c r="G432" s="1055" t="str">
        <f t="shared" si="47"/>
        <v>Gazole routier, Nouvelle Calédonie, Base Carbone; kgCO2e/kg, Combustion</v>
      </c>
      <c r="I432" s="1031" t="s">
        <v>1593</v>
      </c>
      <c r="J432" s="2017" t="s">
        <v>1572</v>
      </c>
      <c r="K432" s="1032" t="s">
        <v>1567</v>
      </c>
      <c r="L432" s="1032" t="s">
        <v>3085</v>
      </c>
      <c r="M432" s="1033">
        <v>0.05</v>
      </c>
      <c r="N432" s="1032" t="s">
        <v>1569</v>
      </c>
      <c r="O432" s="1980">
        <v>3.15</v>
      </c>
      <c r="P432" s="1980">
        <f t="shared" si="44"/>
        <v>3.15</v>
      </c>
      <c r="Q432" s="1980">
        <v>0</v>
      </c>
      <c r="R432" s="1980">
        <v>0</v>
      </c>
      <c r="S432" s="1980">
        <v>0</v>
      </c>
      <c r="T432" s="1980">
        <v>0</v>
      </c>
      <c r="U432" s="2036">
        <v>0</v>
      </c>
    </row>
    <row r="433" spans="4:21" s="1045" customFormat="1" hidden="1" outlineLevel="2">
      <c r="D433" s="1051">
        <f t="shared" si="45"/>
        <v>41</v>
      </c>
      <c r="E433" s="1051" t="str">
        <f>IF(COUNTIF(E$11:E432,F433)&gt;0,"",F433)</f>
        <v/>
      </c>
      <c r="F433" s="1051" t="str">
        <f t="shared" si="46"/>
        <v>Gazole routier, Nouvelle Calédonie, Base Carbone</v>
      </c>
      <c r="G433" s="1055" t="str">
        <f t="shared" si="47"/>
        <v>Gazole routier, Nouvelle Calédonie, Base Carbone; kgCO2e/kg, Amont</v>
      </c>
      <c r="I433" s="1031" t="s">
        <v>1593</v>
      </c>
      <c r="J433" s="2017" t="s">
        <v>1572</v>
      </c>
      <c r="K433" s="1032" t="s">
        <v>1567</v>
      </c>
      <c r="L433" s="1032" t="s">
        <v>3085</v>
      </c>
      <c r="M433" s="1033">
        <v>0.05</v>
      </c>
      <c r="N433" s="1032" t="s">
        <v>1570</v>
      </c>
      <c r="O433" s="1980">
        <v>0.47299999999999998</v>
      </c>
      <c r="P433" s="1980">
        <f t="shared" si="44"/>
        <v>0.47299999999999998</v>
      </c>
      <c r="Q433" s="1980">
        <v>0</v>
      </c>
      <c r="R433" s="1980">
        <v>0</v>
      </c>
      <c r="S433" s="1980">
        <v>0</v>
      </c>
      <c r="T433" s="1980">
        <v>0</v>
      </c>
      <c r="U433" s="2036">
        <v>0</v>
      </c>
    </row>
    <row r="434" spans="4:21" s="1045" customFormat="1" hidden="1" outlineLevel="2">
      <c r="D434" s="1051">
        <f t="shared" si="45"/>
        <v>41</v>
      </c>
      <c r="E434" s="1051" t="str">
        <f>IF(COUNTIF(E$11:E433,F434)&gt;0,"",F434)</f>
        <v/>
      </c>
      <c r="F434" s="1051" t="str">
        <f t="shared" si="46"/>
        <v>Gazole routier, Nouvelle Calédonie, Base Carbone</v>
      </c>
      <c r="G434" s="1055" t="str">
        <f t="shared" si="47"/>
        <v>Gazole routier, Nouvelle Calédonie, Base Carbone; kgCO2e/kWh PCI, Combustion</v>
      </c>
      <c r="I434" s="1031" t="s">
        <v>1593</v>
      </c>
      <c r="J434" s="1032" t="s">
        <v>1573</v>
      </c>
      <c r="K434" s="1032" t="s">
        <v>1567</v>
      </c>
      <c r="L434" s="1032" t="s">
        <v>3085</v>
      </c>
      <c r="M434" s="1033">
        <v>0.05</v>
      </c>
      <c r="N434" s="1032" t="s">
        <v>1569</v>
      </c>
      <c r="O434" s="1036">
        <v>0.27100000000000002</v>
      </c>
      <c r="P434" s="1980">
        <f t="shared" si="44"/>
        <v>0.27100000000000002</v>
      </c>
      <c r="Q434" s="1980">
        <v>0</v>
      </c>
      <c r="R434" s="1980">
        <v>0</v>
      </c>
      <c r="S434" s="1980">
        <v>0</v>
      </c>
      <c r="T434" s="1980">
        <v>0</v>
      </c>
      <c r="U434" s="2036">
        <v>0</v>
      </c>
    </row>
    <row r="435" spans="4:21" s="1045" customFormat="1" hidden="1" outlineLevel="2">
      <c r="D435" s="1051">
        <f t="shared" si="45"/>
        <v>41</v>
      </c>
      <c r="E435" s="1051" t="str">
        <f>IF(COUNTIF(E$11:E434,F435)&gt;0,"",F435)</f>
        <v/>
      </c>
      <c r="F435" s="1051" t="str">
        <f t="shared" si="46"/>
        <v>Gazole routier, Nouvelle Calédonie, Base Carbone</v>
      </c>
      <c r="G435" s="1055" t="str">
        <f t="shared" si="47"/>
        <v>Gazole routier, Nouvelle Calédonie, Base Carbone; kgCO2e/kWh PCI, Amont</v>
      </c>
      <c r="I435" s="1031" t="s">
        <v>1593</v>
      </c>
      <c r="J435" s="1032" t="s">
        <v>1573</v>
      </c>
      <c r="K435" s="1032" t="s">
        <v>1567</v>
      </c>
      <c r="L435" s="1032" t="s">
        <v>3085</v>
      </c>
      <c r="M435" s="1033">
        <v>0.05</v>
      </c>
      <c r="N435" s="1032" t="s">
        <v>1570</v>
      </c>
      <c r="O435" s="1036">
        <v>4.07E-2</v>
      </c>
      <c r="P435" s="1980">
        <f t="shared" si="44"/>
        <v>4.07E-2</v>
      </c>
      <c r="Q435" s="1980">
        <v>0</v>
      </c>
      <c r="R435" s="1980">
        <v>0</v>
      </c>
      <c r="S435" s="1980">
        <v>0</v>
      </c>
      <c r="T435" s="1980">
        <v>0</v>
      </c>
      <c r="U435" s="2036">
        <v>0</v>
      </c>
    </row>
    <row r="436" spans="4:21" s="1045" customFormat="1" hidden="1" outlineLevel="2">
      <c r="D436" s="1051">
        <f t="shared" si="45"/>
        <v>41</v>
      </c>
      <c r="E436" s="1051" t="str">
        <f>IF(COUNTIF(E$11:E435,F436)&gt;0,"",F436)</f>
        <v/>
      </c>
      <c r="F436" s="1051" t="str">
        <f t="shared" si="46"/>
        <v>Gazole routier, Nouvelle Calédonie, Base Carbone</v>
      </c>
      <c r="G436" s="1055" t="str">
        <f t="shared" si="47"/>
        <v>Gazole routier, Nouvelle Calédonie, Base Carbone; kgCO2e/tep PCI, Combustion</v>
      </c>
      <c r="I436" s="1031" t="s">
        <v>1593</v>
      </c>
      <c r="J436" s="1032" t="s">
        <v>1575</v>
      </c>
      <c r="K436" s="1032" t="s">
        <v>1567</v>
      </c>
      <c r="L436" s="1032" t="s">
        <v>3085</v>
      </c>
      <c r="M436" s="1033">
        <v>0.05</v>
      </c>
      <c r="N436" s="1032" t="s">
        <v>1569</v>
      </c>
      <c r="O436" s="1036">
        <v>3150</v>
      </c>
      <c r="P436" s="1980">
        <f t="shared" si="44"/>
        <v>3150</v>
      </c>
      <c r="Q436" s="1980">
        <v>0</v>
      </c>
      <c r="R436" s="1980">
        <v>0</v>
      </c>
      <c r="S436" s="1980">
        <v>0</v>
      </c>
      <c r="T436" s="1980">
        <v>0</v>
      </c>
      <c r="U436" s="2036">
        <v>0</v>
      </c>
    </row>
    <row r="437" spans="4:21" s="1045" customFormat="1" hidden="1" outlineLevel="2">
      <c r="D437" s="1051">
        <f t="shared" si="45"/>
        <v>41</v>
      </c>
      <c r="E437" s="1051" t="str">
        <f>IF(COUNTIF(E$11:E436,F437)&gt;0,"",F437)</f>
        <v/>
      </c>
      <c r="F437" s="1051" t="str">
        <f t="shared" si="46"/>
        <v>Gazole routier, Nouvelle Calédonie, Base Carbone</v>
      </c>
      <c r="G437" s="1055" t="str">
        <f t="shared" si="47"/>
        <v>Gazole routier, Nouvelle Calédonie, Base Carbone; kgCO2e/tep PCI, Amont</v>
      </c>
      <c r="I437" s="1031" t="s">
        <v>1593</v>
      </c>
      <c r="J437" s="1032" t="s">
        <v>1575</v>
      </c>
      <c r="K437" s="1032" t="s">
        <v>1567</v>
      </c>
      <c r="L437" s="1032" t="s">
        <v>3085</v>
      </c>
      <c r="M437" s="1033">
        <v>0.05</v>
      </c>
      <c r="N437" s="1032" t="s">
        <v>1570</v>
      </c>
      <c r="O437" s="1036">
        <v>473</v>
      </c>
      <c r="P437" s="1980">
        <f t="shared" si="44"/>
        <v>473</v>
      </c>
      <c r="Q437" s="1980">
        <v>0</v>
      </c>
      <c r="R437" s="1980">
        <v>0</v>
      </c>
      <c r="S437" s="1980">
        <v>0</v>
      </c>
      <c r="T437" s="1980">
        <v>0</v>
      </c>
      <c r="U437" s="2036">
        <v>0</v>
      </c>
    </row>
    <row r="438" spans="4:21" s="1045" customFormat="1" hidden="1" outlineLevel="2">
      <c r="D438" s="1051">
        <f t="shared" si="45"/>
        <v>41</v>
      </c>
      <c r="E438" s="1051" t="str">
        <f>IF(COUNTIF(E$11:E437,F438)&gt;0,"",F438)</f>
        <v/>
      </c>
      <c r="F438" s="1051" t="str">
        <f t="shared" si="46"/>
        <v>Gazole routier, Nouvelle Calédonie, Base Carbone</v>
      </c>
      <c r="G438" s="1055" t="str">
        <f t="shared" si="47"/>
        <v>Gazole routier, Nouvelle Calédonie, Base Carbone; kgCO2e/litre, Combustion</v>
      </c>
      <c r="I438" s="1031" t="s">
        <v>1593</v>
      </c>
      <c r="J438" s="1032" t="s">
        <v>1574</v>
      </c>
      <c r="K438" s="1032" t="s">
        <v>1567</v>
      </c>
      <c r="L438" s="1032" t="s">
        <v>3085</v>
      </c>
      <c r="M438" s="1033">
        <v>0.1</v>
      </c>
      <c r="N438" s="1032" t="s">
        <v>1569</v>
      </c>
      <c r="O438" s="1036">
        <v>2.66</v>
      </c>
      <c r="P438" s="1980">
        <f t="shared" si="44"/>
        <v>2.66</v>
      </c>
      <c r="Q438" s="1980">
        <v>0</v>
      </c>
      <c r="R438" s="1980">
        <v>0</v>
      </c>
      <c r="S438" s="1980">
        <v>0</v>
      </c>
      <c r="T438" s="1980">
        <v>0</v>
      </c>
      <c r="U438" s="2036">
        <v>0</v>
      </c>
    </row>
    <row r="439" spans="4:21" s="1045" customFormat="1" hidden="1" outlineLevel="2">
      <c r="D439" s="1051">
        <f t="shared" si="45"/>
        <v>41</v>
      </c>
      <c r="E439" s="1051" t="str">
        <f>IF(COUNTIF(E$11:E438,F439)&gt;0,"",F439)</f>
        <v/>
      </c>
      <c r="F439" s="1051" t="str">
        <f t="shared" si="46"/>
        <v>Gazole routier, Nouvelle Calédonie, Base Carbone</v>
      </c>
      <c r="G439" s="1055" t="str">
        <f t="shared" si="47"/>
        <v>Gazole routier, Nouvelle Calédonie, Base Carbone; kgCO2e/litre, Amont</v>
      </c>
      <c r="I439" s="1031" t="s">
        <v>1593</v>
      </c>
      <c r="J439" s="1032" t="s">
        <v>1574</v>
      </c>
      <c r="K439" s="1032" t="s">
        <v>1567</v>
      </c>
      <c r="L439" s="1032" t="s">
        <v>3085</v>
      </c>
      <c r="M439" s="1033">
        <v>0.1</v>
      </c>
      <c r="N439" s="1032" t="s">
        <v>1570</v>
      </c>
      <c r="O439" s="1036">
        <v>0.38200000000000001</v>
      </c>
      <c r="P439" s="1980">
        <f t="shared" si="44"/>
        <v>0.38200000000000001</v>
      </c>
      <c r="Q439" s="1980">
        <v>0</v>
      </c>
      <c r="R439" s="1980">
        <v>0</v>
      </c>
      <c r="S439" s="1980">
        <v>0</v>
      </c>
      <c r="T439" s="1980">
        <v>0</v>
      </c>
      <c r="U439" s="2036">
        <v>0</v>
      </c>
    </row>
    <row r="440" spans="4:21" hidden="1" outlineLevel="2">
      <c r="D440" s="1051">
        <f t="shared" si="45"/>
        <v>42</v>
      </c>
      <c r="E440" s="1051" t="str">
        <f>IF(COUNTIF(E$11:E439,F440)&gt;0,"",F440)</f>
        <v>GNL, Gaz Naturel Liquéfié ((inclus routier, maritime et fluvial)), France continentale, Base Carbone</v>
      </c>
      <c r="F440" s="1051" t="str">
        <f t="shared" si="46"/>
        <v>GNL, Gaz Naturel Liquéfié ((inclus routier, maritime et fluvial)), France continentale, Base Carbone</v>
      </c>
      <c r="G440" s="1055" t="str">
        <f t="shared" si="47"/>
        <v>GNL, Gaz Naturel Liquéfié ((inclus routier, maritime et fluvial)), France continentale, Base Carbone; kgCO2e/kg, Combustion</v>
      </c>
      <c r="I440" s="1031" t="s">
        <v>1594</v>
      </c>
      <c r="J440" s="1032" t="s">
        <v>1572</v>
      </c>
      <c r="K440" s="1032" t="s">
        <v>1567</v>
      </c>
      <c r="L440" s="1032" t="s">
        <v>1571</v>
      </c>
      <c r="M440" s="1033">
        <v>0.05</v>
      </c>
      <c r="N440" s="1032" t="s">
        <v>1569</v>
      </c>
      <c r="O440" s="1036">
        <v>2.58</v>
      </c>
      <c r="P440" s="1036">
        <v>2.57</v>
      </c>
      <c r="Q440" s="1036">
        <v>0</v>
      </c>
      <c r="R440" s="1036">
        <v>0</v>
      </c>
      <c r="S440" s="1036">
        <v>6.5900000000000004E-3</v>
      </c>
      <c r="T440" s="1036">
        <v>0</v>
      </c>
      <c r="U440" s="1037">
        <v>0</v>
      </c>
    </row>
    <row r="441" spans="4:21" hidden="1" outlineLevel="2">
      <c r="D441" s="1051">
        <f t="shared" si="45"/>
        <v>42</v>
      </c>
      <c r="E441" s="1051" t="str">
        <f>IF(COUNTIF(E$11:E440,F441)&gt;0,"",F441)</f>
        <v/>
      </c>
      <c r="F441" s="1051" t="str">
        <f t="shared" si="46"/>
        <v>GNL, Gaz Naturel Liquéfié ((inclus routier, maritime et fluvial)), France continentale, Base Carbone</v>
      </c>
      <c r="G441" s="1055" t="str">
        <f t="shared" si="47"/>
        <v>GNL, Gaz Naturel Liquéfié ((inclus routier, maritime et fluvial)), France continentale, Base Carbone; kgCO2e/kg, Amont</v>
      </c>
      <c r="I441" s="1031" t="s">
        <v>1594</v>
      </c>
      <c r="J441" s="1032" t="s">
        <v>1572</v>
      </c>
      <c r="K441" s="1032" t="s">
        <v>1567</v>
      </c>
      <c r="L441" s="1032" t="s">
        <v>1571</v>
      </c>
      <c r="M441" s="1033">
        <v>0.05</v>
      </c>
      <c r="N441" s="1032" t="s">
        <v>1570</v>
      </c>
      <c r="O441" s="1036">
        <v>0.69799999999999995</v>
      </c>
      <c r="P441" s="1036">
        <v>0.45200000000000001</v>
      </c>
      <c r="Q441" s="1036">
        <v>7.2400000000000006E-2</v>
      </c>
      <c r="R441" s="1036">
        <v>1.8799999999999999E-4</v>
      </c>
      <c r="S441" s="1036">
        <v>3.65E-3</v>
      </c>
      <c r="T441" s="1036">
        <v>0.17</v>
      </c>
      <c r="U441" s="1037">
        <v>0</v>
      </c>
    </row>
    <row r="442" spans="4:21" hidden="1" outlineLevel="2">
      <c r="D442" s="1051">
        <f t="shared" si="45"/>
        <v>42</v>
      </c>
      <c r="E442" s="1051" t="str">
        <f>IF(COUNTIF(E$11:E441,F442)&gt;0,"",F442)</f>
        <v/>
      </c>
      <c r="F442" s="1051" t="str">
        <f t="shared" si="46"/>
        <v>GNL, Gaz Naturel Liquéfié ((inclus routier, maritime et fluvial)), France continentale, Base Carbone</v>
      </c>
      <c r="G442" s="1055" t="str">
        <f t="shared" si="47"/>
        <v>GNL, Gaz Naturel Liquéfié ((inclus routier, maritime et fluvial)), France continentale, Base Carbone; kgCO2e/kWh PCI, Combustion</v>
      </c>
      <c r="I442" s="1031" t="s">
        <v>1594</v>
      </c>
      <c r="J442" s="1032" t="s">
        <v>1573</v>
      </c>
      <c r="K442" s="1032" t="s">
        <v>1567</v>
      </c>
      <c r="L442" s="1032" t="s">
        <v>1571</v>
      </c>
      <c r="M442" s="1033">
        <v>0.05</v>
      </c>
      <c r="N442" s="1032" t="s">
        <v>1569</v>
      </c>
      <c r="O442" s="1036">
        <v>0.187</v>
      </c>
      <c r="P442" s="1036">
        <v>0.187</v>
      </c>
      <c r="Q442" s="1036">
        <v>0</v>
      </c>
      <c r="R442" s="1036">
        <v>0</v>
      </c>
      <c r="S442" s="1036">
        <v>4.8000000000000001E-4</v>
      </c>
      <c r="T442" s="1036">
        <v>0</v>
      </c>
      <c r="U442" s="1037">
        <v>0</v>
      </c>
    </row>
    <row r="443" spans="4:21" hidden="1" outlineLevel="2">
      <c r="D443" s="1051">
        <f t="shared" si="45"/>
        <v>42</v>
      </c>
      <c r="E443" s="1051" t="str">
        <f>IF(COUNTIF(E$11:E442,F443)&gt;0,"",F443)</f>
        <v/>
      </c>
      <c r="F443" s="1051" t="str">
        <f t="shared" si="46"/>
        <v>GNL, Gaz Naturel Liquéfié ((inclus routier, maritime et fluvial)), France continentale, Base Carbone</v>
      </c>
      <c r="G443" s="1055" t="str">
        <f t="shared" si="47"/>
        <v>GNL, Gaz Naturel Liquéfié ((inclus routier, maritime et fluvial)), France continentale, Base Carbone; kgCO2e/kWh PCI, Amont</v>
      </c>
      <c r="I443" s="1031" t="s">
        <v>1594</v>
      </c>
      <c r="J443" s="1032" t="s">
        <v>1573</v>
      </c>
      <c r="K443" s="1032" t="s">
        <v>1567</v>
      </c>
      <c r="L443" s="1032" t="s">
        <v>1571</v>
      </c>
      <c r="M443" s="1033">
        <v>0.05</v>
      </c>
      <c r="N443" s="1032" t="s">
        <v>1570</v>
      </c>
      <c r="O443" s="1036">
        <v>5.0599999999999999E-2</v>
      </c>
      <c r="P443" s="1036">
        <v>3.2800000000000003E-2</v>
      </c>
      <c r="Q443" s="1036">
        <v>5.2600000000000001E-2</v>
      </c>
      <c r="R443" s="1036">
        <v>1.3699999999999999E-5</v>
      </c>
      <c r="S443" s="1036">
        <v>2.6499999999999999E-4</v>
      </c>
      <c r="T443" s="1036">
        <v>1.23E-2</v>
      </c>
      <c r="U443" s="1037">
        <v>0</v>
      </c>
    </row>
    <row r="444" spans="4:21" hidden="1" outlineLevel="2">
      <c r="D444" s="1051">
        <f t="shared" si="45"/>
        <v>42</v>
      </c>
      <c r="E444" s="1051" t="str">
        <f>IF(COUNTIF(E$11:E443,F444)&gt;0,"",F444)</f>
        <v/>
      </c>
      <c r="F444" s="1051" t="str">
        <f t="shared" si="46"/>
        <v>GNL, Gaz Naturel Liquéfié ((inclus routier, maritime et fluvial)), France continentale, Base Carbone</v>
      </c>
      <c r="G444" s="1055" t="str">
        <f t="shared" si="47"/>
        <v>GNL, Gaz Naturel Liquéfié ((inclus routier, maritime et fluvial)), France continentale, Base Carbone; kgCO2e/tep PCI, Combustion</v>
      </c>
      <c r="I444" s="1031" t="s">
        <v>1594</v>
      </c>
      <c r="J444" s="1032" t="s">
        <v>1575</v>
      </c>
      <c r="K444" s="1032" t="s">
        <v>1567</v>
      </c>
      <c r="L444" s="1032" t="s">
        <v>1571</v>
      </c>
      <c r="M444" s="1033">
        <v>0.05</v>
      </c>
      <c r="N444" s="1032" t="s">
        <v>1569</v>
      </c>
      <c r="O444" s="1036">
        <v>2186</v>
      </c>
      <c r="P444" s="1036">
        <v>2180</v>
      </c>
      <c r="Q444" s="1036">
        <v>0</v>
      </c>
      <c r="R444" s="1036">
        <v>0</v>
      </c>
      <c r="S444" s="1036">
        <v>5.59</v>
      </c>
      <c r="T444" s="1036">
        <v>0</v>
      </c>
      <c r="U444" s="1037">
        <v>0</v>
      </c>
    </row>
    <row r="445" spans="4:21" hidden="1" outlineLevel="2">
      <c r="D445" s="1051">
        <f t="shared" si="45"/>
        <v>42</v>
      </c>
      <c r="E445" s="1051" t="str">
        <f>IF(COUNTIF(E$11:E444,F445)&gt;0,"",F445)</f>
        <v/>
      </c>
      <c r="F445" s="1051" t="str">
        <f t="shared" si="46"/>
        <v>GNL, Gaz Naturel Liquéfié ((inclus routier, maritime et fluvial)), France continentale, Base Carbone</v>
      </c>
      <c r="G445" s="1055" t="str">
        <f t="shared" si="47"/>
        <v>GNL, Gaz Naturel Liquéfié ((inclus routier, maritime et fluvial)), France continentale, Base Carbone; kgCO2e/tep PCI, Amont</v>
      </c>
      <c r="I445" s="1031" t="s">
        <v>1594</v>
      </c>
      <c r="J445" s="1032" t="s">
        <v>1575</v>
      </c>
      <c r="K445" s="1032" t="s">
        <v>1567</v>
      </c>
      <c r="L445" s="1032" t="s">
        <v>1571</v>
      </c>
      <c r="M445" s="1033">
        <v>0.05</v>
      </c>
      <c r="N445" s="1032" t="s">
        <v>1570</v>
      </c>
      <c r="O445" s="1036">
        <v>592</v>
      </c>
      <c r="P445" s="1036">
        <v>383</v>
      </c>
      <c r="Q445" s="1036">
        <v>61.3</v>
      </c>
      <c r="R445" s="1036">
        <v>0.159</v>
      </c>
      <c r="S445" s="1036">
        <v>3.1</v>
      </c>
      <c r="T445" s="1036">
        <v>144</v>
      </c>
      <c r="U445" s="1037">
        <v>0</v>
      </c>
    </row>
    <row r="446" spans="4:21" hidden="1" outlineLevel="2">
      <c r="D446" s="1051">
        <f t="shared" si="45"/>
        <v>42</v>
      </c>
      <c r="E446" s="1051" t="str">
        <f>IF(COUNTIF(E$11:E445,F446)&gt;0,"",F446)</f>
        <v/>
      </c>
      <c r="F446" s="1051" t="str">
        <f t="shared" si="46"/>
        <v>GNL, Gaz Naturel Liquéfié ((inclus routier, maritime et fluvial)), France continentale, Base Carbone</v>
      </c>
      <c r="G446" s="1055" t="str">
        <f t="shared" si="47"/>
        <v>GNL, Gaz Naturel Liquéfié ((inclus routier, maritime et fluvial)), France continentale, Base Carbone; kgCO2e/GJ PCI, Combustion</v>
      </c>
      <c r="I446" s="1031" t="s">
        <v>1594</v>
      </c>
      <c r="J446" s="1032" t="s">
        <v>1566</v>
      </c>
      <c r="K446" s="1032" t="s">
        <v>1567</v>
      </c>
      <c r="L446" s="1032" t="s">
        <v>1571</v>
      </c>
      <c r="M446" s="1033">
        <v>0.05</v>
      </c>
      <c r="N446" s="1032" t="s">
        <v>1569</v>
      </c>
      <c r="O446" s="1036">
        <v>52</v>
      </c>
      <c r="P446" s="1036">
        <v>51.9</v>
      </c>
      <c r="Q446" s="1036">
        <v>0</v>
      </c>
      <c r="R446" s="1036">
        <v>0</v>
      </c>
      <c r="S446" s="1036">
        <v>0.13300000000000001</v>
      </c>
      <c r="T446" s="1036">
        <v>0</v>
      </c>
      <c r="U446" s="1037">
        <v>0</v>
      </c>
    </row>
    <row r="447" spans="4:21" hidden="1" outlineLevel="2">
      <c r="D447" s="1051">
        <f t="shared" si="45"/>
        <v>42</v>
      </c>
      <c r="E447" s="1051" t="str">
        <f>IF(COUNTIF(E$11:E446,F447)&gt;0,"",F447)</f>
        <v/>
      </c>
      <c r="F447" s="1051" t="str">
        <f t="shared" si="46"/>
        <v>GNL, Gaz Naturel Liquéfié ((inclus routier, maritime et fluvial)), France continentale, Base Carbone</v>
      </c>
      <c r="G447" s="1055" t="str">
        <f t="shared" si="47"/>
        <v>GNL, Gaz Naturel Liquéfié ((inclus routier, maritime et fluvial)), France continentale, Base Carbone; kgCO2e/GJ PCI, Amont</v>
      </c>
      <c r="I447" s="1031" t="s">
        <v>1594</v>
      </c>
      <c r="J447" s="1032" t="s">
        <v>1566</v>
      </c>
      <c r="K447" s="1032" t="s">
        <v>1567</v>
      </c>
      <c r="L447" s="1032" t="s">
        <v>1571</v>
      </c>
      <c r="M447" s="1033">
        <v>0.05</v>
      </c>
      <c r="N447" s="1032" t="s">
        <v>1570</v>
      </c>
      <c r="O447" s="1036">
        <v>14.1</v>
      </c>
      <c r="P447" s="1036">
        <v>9.11</v>
      </c>
      <c r="Q447" s="1036">
        <v>1.46</v>
      </c>
      <c r="R447" s="1036">
        <v>3.7799999999999999E-3</v>
      </c>
      <c r="S447" s="1036">
        <v>7.3700000000000002E-2</v>
      </c>
      <c r="T447" s="1036">
        <v>3.42</v>
      </c>
      <c r="U447" s="1037">
        <v>0</v>
      </c>
    </row>
    <row r="448" spans="4:21" hidden="1" outlineLevel="2">
      <c r="D448" s="1051">
        <f t="shared" si="45"/>
        <v>42</v>
      </c>
      <c r="E448" s="1051" t="str">
        <f>IF(COUNTIF(E$11:E447,F448)&gt;0,"",F448)</f>
        <v/>
      </c>
      <c r="F448" s="1051" t="str">
        <f t="shared" si="46"/>
        <v>GNL, Gaz Naturel Liquéfié ((inclus routier, maritime et fluvial)), France continentale, Base Carbone</v>
      </c>
      <c r="G448" s="1055" t="str">
        <f t="shared" si="47"/>
        <v>GNL, Gaz Naturel Liquéfié ((inclus routier, maritime et fluvial)), France continentale, Base Carbone; kgCO2e/litre, Combustion</v>
      </c>
      <c r="I448" s="1031" t="s">
        <v>1594</v>
      </c>
      <c r="J448" s="1032" t="s">
        <v>1574</v>
      </c>
      <c r="K448" s="1032" t="s">
        <v>1567</v>
      </c>
      <c r="L448" s="1032" t="s">
        <v>1571</v>
      </c>
      <c r="M448" s="1033">
        <v>0.05</v>
      </c>
      <c r="N448" s="1032" t="s">
        <v>1569</v>
      </c>
      <c r="O448" s="1036">
        <v>1.69</v>
      </c>
      <c r="P448" s="1036">
        <v>1.69</v>
      </c>
      <c r="Q448" s="1036">
        <v>0</v>
      </c>
      <c r="R448" s="1036">
        <v>0</v>
      </c>
      <c r="S448" s="1036">
        <v>4.3200000000000001E-3</v>
      </c>
      <c r="T448" s="1036">
        <v>0</v>
      </c>
      <c r="U448" s="1037">
        <v>0</v>
      </c>
    </row>
    <row r="449" spans="4:21" hidden="1" outlineLevel="2">
      <c r="D449" s="1051">
        <f t="shared" si="45"/>
        <v>42</v>
      </c>
      <c r="E449" s="1051" t="str">
        <f>IF(COUNTIF(E$11:E448,F449)&gt;0,"",F449)</f>
        <v/>
      </c>
      <c r="F449" s="1051" t="str">
        <f t="shared" si="46"/>
        <v>GNL, Gaz Naturel Liquéfié ((inclus routier, maritime et fluvial)), France continentale, Base Carbone</v>
      </c>
      <c r="G449" s="1055" t="str">
        <f t="shared" si="47"/>
        <v>GNL, Gaz Naturel Liquéfié ((inclus routier, maritime et fluvial)), France continentale, Base Carbone; kgCO2e/litre, Amont</v>
      </c>
      <c r="I449" s="1031" t="s">
        <v>1594</v>
      </c>
      <c r="J449" s="1032" t="s">
        <v>1574</v>
      </c>
      <c r="K449" s="1032" t="s">
        <v>1567</v>
      </c>
      <c r="L449" s="1032" t="s">
        <v>1571</v>
      </c>
      <c r="M449" s="1033">
        <v>0.05</v>
      </c>
      <c r="N449" s="1032" t="s">
        <v>1570</v>
      </c>
      <c r="O449" s="1036">
        <v>0.45700000000000002</v>
      </c>
      <c r="P449" s="1036">
        <v>0.29599999999999999</v>
      </c>
      <c r="Q449" s="1036">
        <v>4.7399999999999998E-2</v>
      </c>
      <c r="R449" s="1036">
        <v>1.2300000000000001E-4</v>
      </c>
      <c r="S449" s="1036">
        <v>2.3900000000000002E-3</v>
      </c>
      <c r="T449" s="1036">
        <v>0.111</v>
      </c>
      <c r="U449" s="1037">
        <v>0</v>
      </c>
    </row>
    <row r="450" spans="4:21" hidden="1" outlineLevel="2">
      <c r="D450" s="1051">
        <f t="shared" si="45"/>
        <v>43</v>
      </c>
      <c r="E450" s="1051" t="str">
        <f>IF(COUNTIF(E$11:E449,F450)&gt;0,"",F450)</f>
        <v>GNC, Gaz Naturel Comprimé pour véhicule routier, France continentale, Base Carbone</v>
      </c>
      <c r="F450" s="1051" t="str">
        <f t="shared" si="46"/>
        <v>GNC, Gaz Naturel Comprimé pour véhicule routier, France continentale, Base Carbone</v>
      </c>
      <c r="G450" s="1055" t="str">
        <f t="shared" si="47"/>
        <v>GNC, Gaz Naturel Comprimé pour véhicule routier, France continentale, Base Carbone; kgCO2e/kWh PCI, Combustion</v>
      </c>
      <c r="I450" s="1034" t="s">
        <v>3666</v>
      </c>
      <c r="J450" s="1119" t="s">
        <v>1573</v>
      </c>
      <c r="K450" s="1032" t="s">
        <v>1567</v>
      </c>
      <c r="L450" s="1032" t="s">
        <v>1571</v>
      </c>
      <c r="M450" s="1033">
        <v>0.1</v>
      </c>
      <c r="N450" s="1032" t="s">
        <v>1569</v>
      </c>
      <c r="O450" s="1036">
        <v>0.187</v>
      </c>
      <c r="P450" s="1036">
        <v>0.187</v>
      </c>
      <c r="Q450" s="1036">
        <v>0</v>
      </c>
      <c r="R450" s="1036">
        <v>0</v>
      </c>
      <c r="S450" s="1036">
        <v>4.7699999999999999E-4</v>
      </c>
      <c r="T450" s="1036">
        <v>0</v>
      </c>
      <c r="U450" s="1037">
        <v>0</v>
      </c>
    </row>
    <row r="451" spans="4:21" hidden="1" outlineLevel="2">
      <c r="D451" s="1051">
        <f t="shared" si="45"/>
        <v>43</v>
      </c>
      <c r="E451" s="1051" t="str">
        <f>IF(COUNTIF(E$11:E450,F451)&gt;0,"",F451)</f>
        <v/>
      </c>
      <c r="F451" s="1051" t="str">
        <f t="shared" si="46"/>
        <v>GNC, Gaz Naturel Comprimé pour véhicule routier, France continentale, Base Carbone</v>
      </c>
      <c r="G451" s="1055" t="str">
        <f t="shared" si="47"/>
        <v>GNC, Gaz Naturel Comprimé pour véhicule routier, France continentale, Base Carbone; kgCO2e/kWh PCI, Amont</v>
      </c>
      <c r="I451" s="1034" t="s">
        <v>3666</v>
      </c>
      <c r="J451" s="1119" t="s">
        <v>1573</v>
      </c>
      <c r="K451" s="1032" t="s">
        <v>1567</v>
      </c>
      <c r="L451" s="1032" t="s">
        <v>1571</v>
      </c>
      <c r="M451" s="1033">
        <v>0.1</v>
      </c>
      <c r="N451" s="1032" t="s">
        <v>1570</v>
      </c>
      <c r="O451" s="1036">
        <v>4.2799999999999998E-2</v>
      </c>
      <c r="P451" s="1036">
        <v>2.5000000000000001E-2</v>
      </c>
      <c r="Q451" s="1036">
        <v>5.2599999999999999E-3</v>
      </c>
      <c r="R451" s="1036">
        <v>1.4E-5</v>
      </c>
      <c r="S451" s="1036">
        <v>2.6499999999999999E-4</v>
      </c>
      <c r="T451" s="1036">
        <v>1.23E-2</v>
      </c>
      <c r="U451" s="1037">
        <v>0</v>
      </c>
    </row>
    <row r="452" spans="4:21" hidden="1" outlineLevel="2">
      <c r="D452" s="1051">
        <f t="shared" si="45"/>
        <v>43</v>
      </c>
      <c r="E452" s="1051" t="str">
        <f>IF(COUNTIF(E$11:E451,F452)&gt;0,"",F452)</f>
        <v/>
      </c>
      <c r="F452" s="1051" t="str">
        <f t="shared" si="46"/>
        <v>GNC, Gaz Naturel Comprimé pour véhicule routier, France continentale, Base Carbone</v>
      </c>
      <c r="G452" s="1055" t="str">
        <f t="shared" si="47"/>
        <v>GNC, Gaz Naturel Comprimé pour véhicule routier, France continentale, Base Carbone; kgCO2e/GJ PCI, Combustion</v>
      </c>
      <c r="I452" s="1034" t="s">
        <v>3666</v>
      </c>
      <c r="J452" s="1119" t="s">
        <v>1566</v>
      </c>
      <c r="K452" s="1032" t="s">
        <v>1567</v>
      </c>
      <c r="L452" s="1032" t="s">
        <v>1571</v>
      </c>
      <c r="M452" s="1033">
        <v>0.1</v>
      </c>
      <c r="N452" s="1032" t="s">
        <v>1569</v>
      </c>
      <c r="O452" s="1036">
        <v>52</v>
      </c>
      <c r="P452" s="1036">
        <v>51.9</v>
      </c>
      <c r="Q452" s="1036">
        <v>0</v>
      </c>
      <c r="R452" s="1036">
        <v>0</v>
      </c>
      <c r="S452" s="1036">
        <v>0.13300000000000001</v>
      </c>
      <c r="T452" s="1036">
        <v>0</v>
      </c>
      <c r="U452" s="1037">
        <v>0</v>
      </c>
    </row>
    <row r="453" spans="4:21" hidden="1" outlineLevel="2">
      <c r="D453" s="1051">
        <f t="shared" si="45"/>
        <v>43</v>
      </c>
      <c r="E453" s="1051" t="str">
        <f>IF(COUNTIF(E$11:E452,F453)&gt;0,"",F453)</f>
        <v/>
      </c>
      <c r="F453" s="1051" t="str">
        <f t="shared" si="46"/>
        <v>GNC, Gaz Naturel Comprimé pour véhicule routier, France continentale, Base Carbone</v>
      </c>
      <c r="G453" s="1055" t="str">
        <f t="shared" si="47"/>
        <v>GNC, Gaz Naturel Comprimé pour véhicule routier, France continentale, Base Carbone; kgCO2e/GJ PCI, Amont</v>
      </c>
      <c r="I453" s="1034" t="s">
        <v>3666</v>
      </c>
      <c r="J453" s="1119" t="s">
        <v>1566</v>
      </c>
      <c r="K453" s="1032" t="s">
        <v>1567</v>
      </c>
      <c r="L453" s="1032" t="s">
        <v>1571</v>
      </c>
      <c r="M453" s="1033">
        <v>0.1</v>
      </c>
      <c r="N453" s="1032" t="s">
        <v>1570</v>
      </c>
      <c r="O453" s="1036">
        <v>11.9</v>
      </c>
      <c r="P453" s="1036">
        <v>6.93</v>
      </c>
      <c r="Q453" s="1036">
        <v>1.46</v>
      </c>
      <c r="R453" s="1036">
        <v>3.9199999999999999E-3</v>
      </c>
      <c r="S453" s="1036">
        <v>7.3700000000000002E-2</v>
      </c>
      <c r="T453" s="1036">
        <v>3.42</v>
      </c>
      <c r="U453" s="1037">
        <v>0</v>
      </c>
    </row>
    <row r="454" spans="4:21" hidden="1" outlineLevel="2">
      <c r="D454" s="1051">
        <f t="shared" si="45"/>
        <v>43</v>
      </c>
      <c r="E454" s="1051" t="str">
        <f>IF(COUNTIF(E$11:E453,F454)&gt;0,"",F454)</f>
        <v/>
      </c>
      <c r="F454" s="1051" t="str">
        <f t="shared" si="46"/>
        <v>GNC, Gaz Naturel Comprimé pour véhicule routier, France continentale, Base Carbone</v>
      </c>
      <c r="G454" s="1055" t="str">
        <f t="shared" si="47"/>
        <v>GNC, Gaz Naturel Comprimé pour véhicule routier, France continentale, Base Carbone; kgCO2e/tep PCI, Combustion</v>
      </c>
      <c r="I454" s="1034" t="s">
        <v>3666</v>
      </c>
      <c r="J454" s="1119" t="s">
        <v>1575</v>
      </c>
      <c r="K454" s="1032" t="s">
        <v>1567</v>
      </c>
      <c r="L454" s="1032" t="s">
        <v>1571</v>
      </c>
      <c r="M454" s="1033">
        <v>0.1</v>
      </c>
      <c r="N454" s="1032" t="s">
        <v>1569</v>
      </c>
      <c r="O454" s="1036">
        <v>2180</v>
      </c>
      <c r="P454" s="1036">
        <v>2174</v>
      </c>
      <c r="Q454" s="1036">
        <v>0</v>
      </c>
      <c r="R454" s="1036">
        <v>0</v>
      </c>
      <c r="S454" s="1036">
        <v>5.54</v>
      </c>
      <c r="T454" s="1036">
        <v>0</v>
      </c>
      <c r="U454" s="1037">
        <v>0</v>
      </c>
    </row>
    <row r="455" spans="4:21" hidden="1" outlineLevel="2">
      <c r="D455" s="1051">
        <f t="shared" si="45"/>
        <v>43</v>
      </c>
      <c r="E455" s="1051" t="str">
        <f>IF(COUNTIF(E$11:E454,F455)&gt;0,"",F455)</f>
        <v/>
      </c>
      <c r="F455" s="1051" t="str">
        <f t="shared" si="46"/>
        <v>GNC, Gaz Naturel Comprimé pour véhicule routier, France continentale, Base Carbone</v>
      </c>
      <c r="G455" s="1055" t="str">
        <f t="shared" si="47"/>
        <v>GNC, Gaz Naturel Comprimé pour véhicule routier, France continentale, Base Carbone; kgCO2e/tep PCI, Amont</v>
      </c>
      <c r="I455" s="1034" t="s">
        <v>3666</v>
      </c>
      <c r="J455" s="1119" t="s">
        <v>1575</v>
      </c>
      <c r="K455" s="1032" t="s">
        <v>1567</v>
      </c>
      <c r="L455" s="1032" t="s">
        <v>1571</v>
      </c>
      <c r="M455" s="1033">
        <v>0.1</v>
      </c>
      <c r="N455" s="1032" t="s">
        <v>1570</v>
      </c>
      <c r="O455" s="1036">
        <v>497</v>
      </c>
      <c r="P455" s="1036">
        <v>290</v>
      </c>
      <c r="Q455" s="1036">
        <v>61.2</v>
      </c>
      <c r="R455" s="1036">
        <v>0.16200000000000001</v>
      </c>
      <c r="S455" s="1036">
        <v>3.07</v>
      </c>
      <c r="T455" s="1036">
        <v>143</v>
      </c>
      <c r="U455" s="1037">
        <v>0</v>
      </c>
    </row>
    <row r="456" spans="4:21" hidden="1" outlineLevel="2">
      <c r="D456" s="1051">
        <f t="shared" si="45"/>
        <v>43</v>
      </c>
      <c r="E456" s="1051" t="str">
        <f>IF(COUNTIF(E$11:E455,F456)&gt;0,"",F456)</f>
        <v/>
      </c>
      <c r="F456" s="1051" t="str">
        <f t="shared" si="46"/>
        <v>GNC, Gaz Naturel Comprimé pour véhicule routier, France continentale, Base Carbone</v>
      </c>
      <c r="G456" s="1055" t="str">
        <f t="shared" si="47"/>
        <v>GNC, Gaz Naturel Comprimé pour véhicule routier, France continentale, Base Carbone; kgCO2e/kg, Combustion</v>
      </c>
      <c r="I456" s="1034" t="s">
        <v>3666</v>
      </c>
      <c r="J456" s="1119" t="s">
        <v>1572</v>
      </c>
      <c r="K456" s="1032" t="s">
        <v>1567</v>
      </c>
      <c r="L456" s="1032" t="s">
        <v>1571</v>
      </c>
      <c r="M456" s="1033">
        <v>0.1</v>
      </c>
      <c r="N456" s="1032" t="s">
        <v>1569</v>
      </c>
      <c r="O456" s="1036">
        <v>2.41</v>
      </c>
      <c r="P456" s="1036">
        <v>2.4</v>
      </c>
      <c r="Q456" s="1036">
        <v>0</v>
      </c>
      <c r="R456" s="1036">
        <v>0</v>
      </c>
      <c r="S456" s="1036">
        <v>6.1199999999999996E-3</v>
      </c>
      <c r="T456" s="1036">
        <v>0</v>
      </c>
      <c r="U456" s="1037">
        <v>0</v>
      </c>
    </row>
    <row r="457" spans="4:21" hidden="1" outlineLevel="2">
      <c r="D457" s="1051">
        <f t="shared" si="45"/>
        <v>43</v>
      </c>
      <c r="E457" s="1051" t="str">
        <f>IF(COUNTIF(E$11:E456,F457)&gt;0,"",F457)</f>
        <v/>
      </c>
      <c r="F457" s="1051" t="str">
        <f t="shared" si="46"/>
        <v>GNC, Gaz Naturel Comprimé pour véhicule routier, France continentale, Base Carbone</v>
      </c>
      <c r="G457" s="1055" t="str">
        <f t="shared" si="47"/>
        <v>GNC, Gaz Naturel Comprimé pour véhicule routier, France continentale, Base Carbone; kgCO2e/kg, Amont</v>
      </c>
      <c r="I457" s="1034" t="s">
        <v>3666</v>
      </c>
      <c r="J457" s="1119" t="s">
        <v>1572</v>
      </c>
      <c r="K457" s="1032" t="s">
        <v>1567</v>
      </c>
      <c r="L457" s="1032" t="s">
        <v>1571</v>
      </c>
      <c r="M457" s="1033">
        <v>0.1</v>
      </c>
      <c r="N457" s="1032" t="s">
        <v>1570</v>
      </c>
      <c r="O457" s="1036">
        <v>0.55000000000000004</v>
      </c>
      <c r="P457" s="1036">
        <v>0.32100000000000001</v>
      </c>
      <c r="Q457" s="1036">
        <v>6.7500000000000004E-2</v>
      </c>
      <c r="R457" s="1036">
        <v>1.8000000000000001E-4</v>
      </c>
      <c r="S457" s="1036">
        <v>3.3899999999999998E-3</v>
      </c>
      <c r="T457" s="1036">
        <v>0.158</v>
      </c>
      <c r="U457" s="1037">
        <v>0</v>
      </c>
    </row>
    <row r="458" spans="4:21" ht="13.2" hidden="1" outlineLevel="2">
      <c r="D458" s="1051">
        <f t="shared" si="45"/>
        <v>43</v>
      </c>
      <c r="E458" s="1051" t="str">
        <f>IF(COUNTIF(E$11:E457,F458)&gt;0,"",F458)</f>
        <v/>
      </c>
      <c r="F458" s="1051" t="str">
        <f t="shared" si="46"/>
        <v>GNC, Gaz Naturel Comprimé pour véhicule routier, France continentale, Base Carbone</v>
      </c>
      <c r="G458" s="1055" t="str">
        <f t="shared" si="47"/>
        <v>GNC, Gaz Naturel Comprimé pour véhicule routier, France continentale, Base Carbone; kgCO2e/m3, Combustion</v>
      </c>
      <c r="I458" s="1034" t="s">
        <v>3666</v>
      </c>
      <c r="J458" s="1119" t="s">
        <v>3667</v>
      </c>
      <c r="K458" s="1032" t="s">
        <v>1567</v>
      </c>
      <c r="L458" s="1032" t="s">
        <v>1571</v>
      </c>
      <c r="M458" s="1033">
        <v>0.1</v>
      </c>
      <c r="N458" s="1032" t="s">
        <v>1569</v>
      </c>
      <c r="O458" s="1036">
        <v>1.9</v>
      </c>
      <c r="P458" s="1036">
        <v>1.9</v>
      </c>
      <c r="Q458" s="1036">
        <v>0</v>
      </c>
      <c r="R458" s="1036">
        <v>0</v>
      </c>
      <c r="S458" s="1036">
        <v>4.8500000000000001E-3</v>
      </c>
      <c r="T458" s="1036">
        <v>0</v>
      </c>
      <c r="U458" s="1037">
        <v>0</v>
      </c>
    </row>
    <row r="459" spans="4:21" ht="13.2" hidden="1" outlineLevel="2">
      <c r="D459" s="1051">
        <f t="shared" si="45"/>
        <v>43</v>
      </c>
      <c r="E459" s="1051" t="str">
        <f>IF(COUNTIF(E$11:E458,F459)&gt;0,"",F459)</f>
        <v/>
      </c>
      <c r="F459" s="1051" t="str">
        <f t="shared" si="46"/>
        <v>GNC, Gaz Naturel Comprimé pour véhicule routier, France continentale, Base Carbone</v>
      </c>
      <c r="G459" s="1055" t="str">
        <f t="shared" si="47"/>
        <v>GNC, Gaz Naturel Comprimé pour véhicule routier, France continentale, Base Carbone; kgCO2e/m3, Amont</v>
      </c>
      <c r="I459" s="1034" t="s">
        <v>3666</v>
      </c>
      <c r="J459" s="1119" t="s">
        <v>3667</v>
      </c>
      <c r="K459" s="1032" t="s">
        <v>1567</v>
      </c>
      <c r="L459" s="1032" t="s">
        <v>1571</v>
      </c>
      <c r="M459" s="1033">
        <v>0.1</v>
      </c>
      <c r="N459" s="1032" t="s">
        <v>1570</v>
      </c>
      <c r="O459" s="1036">
        <v>0.434</v>
      </c>
      <c r="P459" s="1036">
        <v>0.253</v>
      </c>
      <c r="Q459" s="1036">
        <v>5.3400000000000003E-2</v>
      </c>
      <c r="R459" s="1036">
        <v>1.4300000000000001E-4</v>
      </c>
      <c r="S459" s="1036">
        <v>2.7000000000000001E-3</v>
      </c>
      <c r="T459" s="1036">
        <v>0.125</v>
      </c>
      <c r="U459" s="1037">
        <v>0</v>
      </c>
    </row>
    <row r="460" spans="4:21" hidden="1" outlineLevel="2">
      <c r="D460" s="1051">
        <f t="shared" si="45"/>
        <v>44</v>
      </c>
      <c r="E460" s="1051" t="str">
        <f>IF(COUNTIF(E$11:E459,F460)&gt;0,"",F460)</f>
        <v>GPL pour véhicule routier, France continentale, Base Carbone</v>
      </c>
      <c r="F460" s="1051" t="str">
        <f t="shared" si="46"/>
        <v>GPL pour véhicule routier, France continentale, Base Carbone</v>
      </c>
      <c r="G460" s="1055" t="str">
        <f t="shared" si="47"/>
        <v>GPL pour véhicule routier, France continentale, Base Carbone; kgCO2e/GJ PCI, Combustion</v>
      </c>
      <c r="I460" s="1031" t="s">
        <v>1595</v>
      </c>
      <c r="J460" s="1032" t="s">
        <v>1566</v>
      </c>
      <c r="K460" s="1032" t="s">
        <v>1567</v>
      </c>
      <c r="L460" s="1032" t="s">
        <v>1571</v>
      </c>
      <c r="M460" s="1033">
        <v>0.05</v>
      </c>
      <c r="N460" s="1032" t="s">
        <v>1569</v>
      </c>
      <c r="O460" s="1036">
        <v>64.8</v>
      </c>
      <c r="P460" s="1036">
        <v>64</v>
      </c>
      <c r="Q460" s="1036">
        <v>9.1499999999999998E-2</v>
      </c>
      <c r="R460" s="1036">
        <v>0</v>
      </c>
      <c r="S460" s="1036">
        <v>0.66300000000000003</v>
      </c>
      <c r="T460" s="1036">
        <v>0</v>
      </c>
      <c r="U460" s="1037">
        <v>0</v>
      </c>
    </row>
    <row r="461" spans="4:21" hidden="1" outlineLevel="2">
      <c r="D461" s="1051">
        <f t="shared" si="45"/>
        <v>44</v>
      </c>
      <c r="E461" s="1051" t="str">
        <f>IF(COUNTIF(E$11:E460,F461)&gt;0,"",F461)</f>
        <v/>
      </c>
      <c r="F461" s="1051" t="str">
        <f t="shared" si="46"/>
        <v>GPL pour véhicule routier, France continentale, Base Carbone</v>
      </c>
      <c r="G461" s="1055" t="str">
        <f t="shared" si="47"/>
        <v>GPL pour véhicule routier, France continentale, Base Carbone; kgCO2e/GJ PCI, Amont</v>
      </c>
      <c r="I461" s="1031" t="s">
        <v>1595</v>
      </c>
      <c r="J461" s="1032" t="s">
        <v>1566</v>
      </c>
      <c r="K461" s="1032" t="s">
        <v>1567</v>
      </c>
      <c r="L461" s="1032" t="s">
        <v>1571</v>
      </c>
      <c r="M461" s="1033">
        <v>0.05</v>
      </c>
      <c r="N461" s="1032" t="s">
        <v>1570</v>
      </c>
      <c r="O461" s="1036">
        <v>10.6</v>
      </c>
      <c r="P461" s="1036">
        <v>7.63</v>
      </c>
      <c r="Q461" s="1036">
        <v>3</v>
      </c>
      <c r="R461" s="1036">
        <v>0</v>
      </c>
      <c r="S461" s="1036">
        <v>0</v>
      </c>
      <c r="T461" s="1036">
        <v>0</v>
      </c>
      <c r="U461" s="1037">
        <v>0</v>
      </c>
    </row>
    <row r="462" spans="4:21" hidden="1" outlineLevel="2">
      <c r="D462" s="1051">
        <f t="shared" si="45"/>
        <v>44</v>
      </c>
      <c r="E462" s="1051" t="str">
        <f>IF(COUNTIF(E$11:E461,F462)&gt;0,"",F462)</f>
        <v/>
      </c>
      <c r="F462" s="1051" t="str">
        <f t="shared" si="46"/>
        <v>GPL pour véhicule routier, France continentale, Base Carbone</v>
      </c>
      <c r="G462" s="1055" t="str">
        <f t="shared" si="47"/>
        <v>GPL pour véhicule routier, France continentale, Base Carbone; kgCO2e/kg, Amont</v>
      </c>
      <c r="I462" s="1031" t="s">
        <v>1595</v>
      </c>
      <c r="J462" s="1032" t="s">
        <v>1572</v>
      </c>
      <c r="K462" s="1032" t="s">
        <v>1567</v>
      </c>
      <c r="L462" s="1032" t="s">
        <v>1571</v>
      </c>
      <c r="M462" s="1033">
        <v>0.05</v>
      </c>
      <c r="N462" s="1032" t="s">
        <v>1570</v>
      </c>
      <c r="O462" s="1036">
        <v>0.48699999999999999</v>
      </c>
      <c r="P462" s="1036">
        <v>0.35</v>
      </c>
      <c r="Q462" s="1036">
        <v>0.13700000000000001</v>
      </c>
      <c r="R462" s="1036">
        <v>0</v>
      </c>
      <c r="S462" s="1036">
        <v>0</v>
      </c>
      <c r="T462" s="1036">
        <v>0</v>
      </c>
      <c r="U462" s="1037">
        <v>0</v>
      </c>
    </row>
    <row r="463" spans="4:21" hidden="1" outlineLevel="2">
      <c r="D463" s="1051">
        <f t="shared" si="45"/>
        <v>44</v>
      </c>
      <c r="E463" s="1051" t="str">
        <f>IF(COUNTIF(E$11:E462,F463)&gt;0,"",F463)</f>
        <v/>
      </c>
      <c r="F463" s="1051" t="str">
        <f t="shared" si="46"/>
        <v>GPL pour véhicule routier, France continentale, Base Carbone</v>
      </c>
      <c r="G463" s="1055" t="str">
        <f t="shared" si="47"/>
        <v>GPL pour véhicule routier, France continentale, Base Carbone; kgCO2e/kg, Combustion</v>
      </c>
      <c r="I463" s="1031" t="s">
        <v>1595</v>
      </c>
      <c r="J463" s="1032" t="s">
        <v>1572</v>
      </c>
      <c r="K463" s="1032" t="s">
        <v>1567</v>
      </c>
      <c r="L463" s="1032" t="s">
        <v>1571</v>
      </c>
      <c r="M463" s="1033">
        <v>0.05</v>
      </c>
      <c r="N463" s="1032" t="s">
        <v>1569</v>
      </c>
      <c r="O463" s="1036">
        <v>2.96</v>
      </c>
      <c r="P463" s="1036">
        <v>2.93</v>
      </c>
      <c r="Q463" s="1036">
        <v>4.1900000000000001E-3</v>
      </c>
      <c r="R463" s="1036">
        <v>0</v>
      </c>
      <c r="S463" s="1036">
        <v>3.0300000000000001E-2</v>
      </c>
      <c r="T463" s="1036">
        <v>0</v>
      </c>
      <c r="U463" s="1037">
        <v>0</v>
      </c>
    </row>
    <row r="464" spans="4:21" hidden="1" outlineLevel="2">
      <c r="D464" s="1051">
        <f t="shared" si="45"/>
        <v>44</v>
      </c>
      <c r="E464" s="1051" t="str">
        <f>IF(COUNTIF(E$11:E463,F464)&gt;0,"",F464)</f>
        <v/>
      </c>
      <c r="F464" s="1051" t="str">
        <f t="shared" si="46"/>
        <v>GPL pour véhicule routier, France continentale, Base Carbone</v>
      </c>
      <c r="G464" s="1055" t="str">
        <f t="shared" si="47"/>
        <v>GPL pour véhicule routier, France continentale, Base Carbone; kgCO2e/kWh PCI, Combustion</v>
      </c>
      <c r="I464" s="1031" t="s">
        <v>1595</v>
      </c>
      <c r="J464" s="1032" t="s">
        <v>1573</v>
      </c>
      <c r="K464" s="1032" t="s">
        <v>1567</v>
      </c>
      <c r="L464" s="1032" t="s">
        <v>1571</v>
      </c>
      <c r="M464" s="1033">
        <v>0.05</v>
      </c>
      <c r="N464" s="1032" t="s">
        <v>1569</v>
      </c>
      <c r="O464" s="1036">
        <v>0.23300000000000001</v>
      </c>
      <c r="P464" s="1036">
        <v>0.23</v>
      </c>
      <c r="Q464" s="1036">
        <v>3.3E-4</v>
      </c>
      <c r="R464" s="1036">
        <v>0</v>
      </c>
      <c r="S464" s="1036">
        <v>2.3900000000000002E-3</v>
      </c>
      <c r="T464" s="1036">
        <v>0</v>
      </c>
      <c r="U464" s="1037">
        <v>0</v>
      </c>
    </row>
    <row r="465" spans="4:21" hidden="1" outlineLevel="2">
      <c r="D465" s="1051">
        <f t="shared" si="45"/>
        <v>44</v>
      </c>
      <c r="E465" s="1051" t="str">
        <f>IF(COUNTIF(E$11:E464,F465)&gt;0,"",F465)</f>
        <v/>
      </c>
      <c r="F465" s="1051" t="str">
        <f t="shared" si="46"/>
        <v>GPL pour véhicule routier, France continentale, Base Carbone</v>
      </c>
      <c r="G465" s="1055" t="str">
        <f t="shared" si="47"/>
        <v>GPL pour véhicule routier, France continentale, Base Carbone; kgCO2e/kWh PCI, Amont</v>
      </c>
      <c r="I465" s="1031" t="s">
        <v>1595</v>
      </c>
      <c r="J465" s="1032" t="s">
        <v>1573</v>
      </c>
      <c r="K465" s="1032" t="s">
        <v>1567</v>
      </c>
      <c r="L465" s="1032" t="s">
        <v>1571</v>
      </c>
      <c r="M465" s="1033">
        <v>0.05</v>
      </c>
      <c r="N465" s="1032" t="s">
        <v>1570</v>
      </c>
      <c r="O465" s="1036">
        <v>3.9E-2</v>
      </c>
      <c r="P465" s="1036">
        <v>2.7E-2</v>
      </c>
      <c r="Q465" s="1036">
        <v>1.2E-2</v>
      </c>
      <c r="R465" s="1036">
        <v>0</v>
      </c>
      <c r="S465" s="1036">
        <v>0</v>
      </c>
      <c r="T465" s="1036">
        <v>0</v>
      </c>
      <c r="U465" s="1037">
        <v>0</v>
      </c>
    </row>
    <row r="466" spans="4:21" hidden="1" outlineLevel="2">
      <c r="D466" s="1051">
        <f t="shared" si="45"/>
        <v>44</v>
      </c>
      <c r="E466" s="1051" t="str">
        <f>IF(COUNTIF(E$11:E465,F466)&gt;0,"",F466)</f>
        <v/>
      </c>
      <c r="F466" s="1051" t="str">
        <f t="shared" si="46"/>
        <v>GPL pour véhicule routier, France continentale, Base Carbone</v>
      </c>
      <c r="G466" s="1055" t="str">
        <f t="shared" si="47"/>
        <v>GPL pour véhicule routier, France continentale, Base Carbone; kgCO2e/litre, Combustion</v>
      </c>
      <c r="I466" s="1031" t="s">
        <v>1595</v>
      </c>
      <c r="J466" s="1032" t="s">
        <v>1574</v>
      </c>
      <c r="K466" s="1032" t="s">
        <v>1567</v>
      </c>
      <c r="L466" s="1032" t="s">
        <v>1571</v>
      </c>
      <c r="M466" s="1033">
        <v>0.05</v>
      </c>
      <c r="N466" s="1032" t="s">
        <v>1569</v>
      </c>
      <c r="O466" s="1036">
        <v>1.6</v>
      </c>
      <c r="P466" s="1036">
        <v>1.58</v>
      </c>
      <c r="Q466" s="1036">
        <v>2.2499999999999998E-3</v>
      </c>
      <c r="R466" s="1036">
        <v>0</v>
      </c>
      <c r="S466" s="1036">
        <v>1.6299999999999999E-2</v>
      </c>
      <c r="T466" s="1036">
        <v>0</v>
      </c>
      <c r="U466" s="1037">
        <v>0</v>
      </c>
    </row>
    <row r="467" spans="4:21" hidden="1" outlineLevel="2">
      <c r="D467" s="1051">
        <f t="shared" si="45"/>
        <v>44</v>
      </c>
      <c r="E467" s="1051" t="str">
        <f>IF(COUNTIF(E$11:E466,F467)&gt;0,"",F467)</f>
        <v/>
      </c>
      <c r="F467" s="1051" t="str">
        <f t="shared" si="46"/>
        <v>GPL pour véhicule routier, France continentale, Base Carbone</v>
      </c>
      <c r="G467" s="1055" t="str">
        <f t="shared" si="47"/>
        <v>GPL pour véhicule routier, France continentale, Base Carbone; kgCO2e/litre, Amont</v>
      </c>
      <c r="I467" s="1031" t="s">
        <v>1595</v>
      </c>
      <c r="J467" s="1032" t="s">
        <v>1574</v>
      </c>
      <c r="K467" s="1032" t="s">
        <v>1567</v>
      </c>
      <c r="L467" s="1032" t="s">
        <v>1571</v>
      </c>
      <c r="M467" s="1033">
        <v>0.05</v>
      </c>
      <c r="N467" s="1032" t="s">
        <v>1570</v>
      </c>
      <c r="O467" s="1036">
        <v>0.26200000000000001</v>
      </c>
      <c r="P467" s="1036">
        <v>0.188</v>
      </c>
      <c r="Q467" s="1036">
        <v>7.3800000000000004E-2</v>
      </c>
      <c r="R467" s="1036">
        <v>0</v>
      </c>
      <c r="S467" s="1036">
        <v>0</v>
      </c>
      <c r="T467" s="1036">
        <v>0</v>
      </c>
      <c r="U467" s="1037">
        <v>0</v>
      </c>
    </row>
    <row r="468" spans="4:21" hidden="1" outlineLevel="2">
      <c r="D468" s="1051">
        <f t="shared" si="45"/>
        <v>44</v>
      </c>
      <c r="E468" s="1051" t="str">
        <f>IF(COUNTIF(E$11:E467,F468)&gt;0,"",F468)</f>
        <v/>
      </c>
      <c r="F468" s="1051" t="str">
        <f t="shared" si="46"/>
        <v>GPL pour véhicule routier, France continentale, Base Carbone</v>
      </c>
      <c r="G468" s="1055" t="str">
        <f t="shared" si="47"/>
        <v>GPL pour véhicule routier, France continentale, Base Carbone; kgCO2e/tep PCI, Combustion</v>
      </c>
      <c r="I468" s="1031" t="s">
        <v>1595</v>
      </c>
      <c r="J468" s="1032" t="s">
        <v>1575</v>
      </c>
      <c r="K468" s="1032" t="s">
        <v>1567</v>
      </c>
      <c r="L468" s="1032" t="s">
        <v>1571</v>
      </c>
      <c r="M468" s="1033">
        <v>0.05</v>
      </c>
      <c r="N468" s="1032" t="s">
        <v>1569</v>
      </c>
      <c r="O468" s="1036">
        <v>2720</v>
      </c>
      <c r="P468" s="1036">
        <v>2690</v>
      </c>
      <c r="Q468" s="1036">
        <v>3.84</v>
      </c>
      <c r="R468" s="1036">
        <v>0</v>
      </c>
      <c r="S468" s="1036">
        <v>27.8</v>
      </c>
      <c r="T468" s="1036">
        <v>0</v>
      </c>
      <c r="U468" s="1037">
        <v>0</v>
      </c>
    </row>
    <row r="469" spans="4:21" hidden="1" outlineLevel="2">
      <c r="D469" s="1051">
        <f t="shared" si="45"/>
        <v>44</v>
      </c>
      <c r="E469" s="1051" t="str">
        <f>IF(COUNTIF(E$11:E468,F469)&gt;0,"",F469)</f>
        <v/>
      </c>
      <c r="F469" s="1051" t="str">
        <f t="shared" si="46"/>
        <v>GPL pour véhicule routier, France continentale, Base Carbone</v>
      </c>
      <c r="G469" s="1055" t="str">
        <f t="shared" si="47"/>
        <v>GPL pour véhicule routier, France continentale, Base Carbone; kgCO2e/tep PCI, Amont</v>
      </c>
      <c r="I469" s="1031" t="s">
        <v>1595</v>
      </c>
      <c r="J469" s="1032" t="s">
        <v>1575</v>
      </c>
      <c r="K469" s="1032" t="s">
        <v>1567</v>
      </c>
      <c r="L469" s="1032" t="s">
        <v>1571</v>
      </c>
      <c r="M469" s="1033">
        <v>0.05</v>
      </c>
      <c r="N469" s="1032" t="s">
        <v>1570</v>
      </c>
      <c r="O469" s="1036">
        <v>447</v>
      </c>
      <c r="P469" s="1036">
        <v>321</v>
      </c>
      <c r="Q469" s="1036">
        <v>126</v>
      </c>
      <c r="R469" s="1036">
        <v>0</v>
      </c>
      <c r="S469" s="1036">
        <v>0</v>
      </c>
      <c r="T469" s="1036">
        <v>0</v>
      </c>
      <c r="U469" s="1037">
        <v>0</v>
      </c>
    </row>
    <row r="470" spans="4:21" s="1045" customFormat="1" hidden="1" outlineLevel="2">
      <c r="D470" s="1051">
        <f t="shared" si="45"/>
        <v>45</v>
      </c>
      <c r="E470" s="1051" t="str">
        <f>IF(COUNTIF(E$11:E469,F470)&gt;0,"",F470)</f>
        <v>GPL pour véhicule routier, Réunion, Base Carbone</v>
      </c>
      <c r="F470" s="1051" t="str">
        <f t="shared" si="46"/>
        <v>GPL pour véhicule routier, Réunion, Base Carbone</v>
      </c>
      <c r="G470" s="1055" t="str">
        <f t="shared" si="47"/>
        <v>GPL pour véhicule routier, Réunion, Base Carbone; kgCO2e/kg, Combustion</v>
      </c>
      <c r="I470" s="1031" t="s">
        <v>1595</v>
      </c>
      <c r="J470" s="2017" t="s">
        <v>1572</v>
      </c>
      <c r="K470" s="1032" t="s">
        <v>1567</v>
      </c>
      <c r="L470" s="1032" t="s">
        <v>785</v>
      </c>
      <c r="M470" s="1033">
        <v>0.05</v>
      </c>
      <c r="N470" s="1032" t="s">
        <v>1569</v>
      </c>
      <c r="O470" s="1977">
        <v>2.944</v>
      </c>
      <c r="P470" s="1980">
        <f>O470</f>
        <v>2.944</v>
      </c>
      <c r="Q470" s="1980">
        <v>0</v>
      </c>
      <c r="R470" s="1980">
        <v>0</v>
      </c>
      <c r="S470" s="1980">
        <v>0</v>
      </c>
      <c r="T470" s="1980">
        <v>0</v>
      </c>
      <c r="U470" s="2036">
        <v>0</v>
      </c>
    </row>
    <row r="471" spans="4:21" s="1045" customFormat="1" hidden="1" outlineLevel="2">
      <c r="D471" s="1051">
        <f t="shared" si="45"/>
        <v>45</v>
      </c>
      <c r="E471" s="1051" t="str">
        <f>IF(COUNTIF(E$11:E470,F471)&gt;0,"",F471)</f>
        <v/>
      </c>
      <c r="F471" s="1051" t="str">
        <f t="shared" si="46"/>
        <v>GPL pour véhicule routier, Réunion, Base Carbone</v>
      </c>
      <c r="G471" s="1055" t="str">
        <f t="shared" si="47"/>
        <v>GPL pour véhicule routier, Réunion, Base Carbone; kgCO2e/kg, Amont</v>
      </c>
      <c r="I471" s="1031" t="s">
        <v>1595</v>
      </c>
      <c r="J471" s="2017" t="s">
        <v>1572</v>
      </c>
      <c r="K471" s="1032" t="s">
        <v>1567</v>
      </c>
      <c r="L471" s="1032" t="s">
        <v>785</v>
      </c>
      <c r="M471" s="1033">
        <v>0.05</v>
      </c>
      <c r="N471" s="1032" t="s">
        <v>1570</v>
      </c>
      <c r="O471" s="1977">
        <v>0.63500000000000001</v>
      </c>
      <c r="P471" s="1980">
        <f t="shared" ref="P471:P493" si="48">O471</f>
        <v>0.63500000000000001</v>
      </c>
      <c r="Q471" s="1980">
        <v>0</v>
      </c>
      <c r="R471" s="1980">
        <v>0</v>
      </c>
      <c r="S471" s="1980">
        <v>0</v>
      </c>
      <c r="T471" s="1980">
        <v>0</v>
      </c>
      <c r="U471" s="2036">
        <v>0</v>
      </c>
    </row>
    <row r="472" spans="4:21" s="1045" customFormat="1" hidden="1" outlineLevel="2">
      <c r="D472" s="1051">
        <f t="shared" si="45"/>
        <v>45</v>
      </c>
      <c r="E472" s="1051" t="str">
        <f>IF(COUNTIF(E$11:E471,F472)&gt;0,"",F472)</f>
        <v/>
      </c>
      <c r="F472" s="1051" t="str">
        <f t="shared" si="46"/>
        <v>GPL pour véhicule routier, Réunion, Base Carbone</v>
      </c>
      <c r="G472" s="1055" t="str">
        <f t="shared" si="47"/>
        <v>GPL pour véhicule routier, Réunion, Base Carbone; kgCO2e/kWh PCI, Combustion</v>
      </c>
      <c r="I472" s="1031" t="s">
        <v>1595</v>
      </c>
      <c r="J472" s="1032" t="s">
        <v>1573</v>
      </c>
      <c r="K472" s="1032" t="s">
        <v>1567</v>
      </c>
      <c r="L472" s="1032" t="s">
        <v>785</v>
      </c>
      <c r="M472" s="1033">
        <v>0.05</v>
      </c>
      <c r="N472" s="1032" t="s">
        <v>1569</v>
      </c>
      <c r="O472" s="1036">
        <v>0.23100000000000001</v>
      </c>
      <c r="P472" s="1980">
        <f t="shared" si="48"/>
        <v>0.23100000000000001</v>
      </c>
      <c r="Q472" s="1980">
        <v>0</v>
      </c>
      <c r="R472" s="1980">
        <v>0</v>
      </c>
      <c r="S472" s="1980">
        <v>0</v>
      </c>
      <c r="T472" s="1980">
        <v>0</v>
      </c>
      <c r="U472" s="2036">
        <v>0</v>
      </c>
    </row>
    <row r="473" spans="4:21" s="1045" customFormat="1" hidden="1" outlineLevel="2">
      <c r="D473" s="1051">
        <f t="shared" si="45"/>
        <v>45</v>
      </c>
      <c r="E473" s="1051" t="str">
        <f>IF(COUNTIF(E$11:E472,F473)&gt;0,"",F473)</f>
        <v/>
      </c>
      <c r="F473" s="1051" t="str">
        <f t="shared" si="46"/>
        <v>GPL pour véhicule routier, Réunion, Base Carbone</v>
      </c>
      <c r="G473" s="1055" t="str">
        <f t="shared" si="47"/>
        <v>GPL pour véhicule routier, Réunion, Base Carbone; kgCO2e/kWh PCI, Amont</v>
      </c>
      <c r="I473" s="1031" t="s">
        <v>1595</v>
      </c>
      <c r="J473" s="1032" t="s">
        <v>1573</v>
      </c>
      <c r="K473" s="1032" t="s">
        <v>1567</v>
      </c>
      <c r="L473" s="1032" t="s">
        <v>785</v>
      </c>
      <c r="M473" s="1033">
        <v>0.05</v>
      </c>
      <c r="N473" s="1032" t="s">
        <v>1570</v>
      </c>
      <c r="O473" s="1036">
        <v>5.1299999999999998E-2</v>
      </c>
      <c r="P473" s="1980">
        <f t="shared" si="48"/>
        <v>5.1299999999999998E-2</v>
      </c>
      <c r="Q473" s="1980">
        <v>0</v>
      </c>
      <c r="R473" s="1980">
        <v>0</v>
      </c>
      <c r="S473" s="1980">
        <v>0</v>
      </c>
      <c r="T473" s="1980">
        <v>0</v>
      </c>
      <c r="U473" s="2036">
        <v>0</v>
      </c>
    </row>
    <row r="474" spans="4:21" s="1045" customFormat="1" hidden="1" outlineLevel="2">
      <c r="D474" s="1051">
        <f t="shared" si="45"/>
        <v>45</v>
      </c>
      <c r="E474" s="1051" t="str">
        <f>IF(COUNTIF(E$11:E473,F474)&gt;0,"",F474)</f>
        <v/>
      </c>
      <c r="F474" s="1051" t="str">
        <f t="shared" si="46"/>
        <v>GPL pour véhicule routier, Réunion, Base Carbone</v>
      </c>
      <c r="G474" s="1055" t="str">
        <f t="shared" si="47"/>
        <v>GPL pour véhicule routier, Réunion, Base Carbone; kgCO2e/tep PCI, Combustion</v>
      </c>
      <c r="I474" s="1031" t="s">
        <v>1595</v>
      </c>
      <c r="J474" s="1032" t="s">
        <v>1575</v>
      </c>
      <c r="K474" s="1032" t="s">
        <v>1567</v>
      </c>
      <c r="L474" s="1032" t="s">
        <v>785</v>
      </c>
      <c r="M474" s="1033">
        <v>0.05</v>
      </c>
      <c r="N474" s="1032" t="s">
        <v>1569</v>
      </c>
      <c r="O474" s="1036">
        <v>2690</v>
      </c>
      <c r="P474" s="1980">
        <f t="shared" si="48"/>
        <v>2690</v>
      </c>
      <c r="Q474" s="1980">
        <v>0</v>
      </c>
      <c r="R474" s="1980">
        <v>0</v>
      </c>
      <c r="S474" s="1980">
        <v>0</v>
      </c>
      <c r="T474" s="1980">
        <v>0</v>
      </c>
      <c r="U474" s="2036">
        <v>0</v>
      </c>
    </row>
    <row r="475" spans="4:21" s="1045" customFormat="1" hidden="1" outlineLevel="2">
      <c r="D475" s="1051">
        <f t="shared" si="45"/>
        <v>45</v>
      </c>
      <c r="E475" s="1051" t="str">
        <f>IF(COUNTIF(E$11:E474,F475)&gt;0,"",F475)</f>
        <v/>
      </c>
      <c r="F475" s="1051" t="str">
        <f t="shared" si="46"/>
        <v>GPL pour véhicule routier, Réunion, Base Carbone</v>
      </c>
      <c r="G475" s="1055" t="str">
        <f t="shared" si="47"/>
        <v>GPL pour véhicule routier, Réunion, Base Carbone; kgCO2e/tep PCI, Amont</v>
      </c>
      <c r="I475" s="1031" t="s">
        <v>1595</v>
      </c>
      <c r="J475" s="1032" t="s">
        <v>1575</v>
      </c>
      <c r="K475" s="1032" t="s">
        <v>1567</v>
      </c>
      <c r="L475" s="1032" t="s">
        <v>785</v>
      </c>
      <c r="M475" s="1033">
        <v>0.05</v>
      </c>
      <c r="N475" s="1032" t="s">
        <v>1570</v>
      </c>
      <c r="O475" s="1036">
        <v>579</v>
      </c>
      <c r="P475" s="1980">
        <f t="shared" si="48"/>
        <v>579</v>
      </c>
      <c r="Q475" s="1980">
        <v>0</v>
      </c>
      <c r="R475" s="1980">
        <v>0</v>
      </c>
      <c r="S475" s="1980">
        <v>0</v>
      </c>
      <c r="T475" s="1980">
        <v>0</v>
      </c>
      <c r="U475" s="2036">
        <v>0</v>
      </c>
    </row>
    <row r="476" spans="4:21" s="1045" customFormat="1" hidden="1" outlineLevel="2">
      <c r="D476" s="1051">
        <f t="shared" si="45"/>
        <v>45</v>
      </c>
      <c r="E476" s="1051" t="str">
        <f>IF(COUNTIF(E$11:E475,F476)&gt;0,"",F476)</f>
        <v/>
      </c>
      <c r="F476" s="1051" t="str">
        <f t="shared" si="46"/>
        <v>GPL pour véhicule routier, Réunion, Base Carbone</v>
      </c>
      <c r="G476" s="1055" t="str">
        <f t="shared" si="47"/>
        <v>GPL pour véhicule routier, Réunion, Base Carbone; kgCO2e/litre, Combustion</v>
      </c>
      <c r="I476" s="1031" t="s">
        <v>1595</v>
      </c>
      <c r="J476" s="1032" t="s">
        <v>1574</v>
      </c>
      <c r="K476" s="1032" t="s">
        <v>1567</v>
      </c>
      <c r="L476" s="1032" t="s">
        <v>785</v>
      </c>
      <c r="M476" s="1033">
        <v>0.05</v>
      </c>
      <c r="N476" s="1032" t="s">
        <v>1569</v>
      </c>
      <c r="O476" s="1036">
        <v>1.58</v>
      </c>
      <c r="P476" s="1980">
        <f t="shared" si="48"/>
        <v>1.58</v>
      </c>
      <c r="Q476" s="1980">
        <v>0</v>
      </c>
      <c r="R476" s="1980">
        <v>0</v>
      </c>
      <c r="S476" s="1980">
        <v>0</v>
      </c>
      <c r="T476" s="1980">
        <v>0</v>
      </c>
      <c r="U476" s="2036">
        <v>0</v>
      </c>
    </row>
    <row r="477" spans="4:21" s="1045" customFormat="1" hidden="1" outlineLevel="2">
      <c r="D477" s="1051">
        <f t="shared" si="45"/>
        <v>45</v>
      </c>
      <c r="E477" s="1051" t="str">
        <f>IF(COUNTIF(E$11:E476,F477)&gt;0,"",F477)</f>
        <v/>
      </c>
      <c r="F477" s="1051" t="str">
        <f t="shared" si="46"/>
        <v>GPL pour véhicule routier, Réunion, Base Carbone</v>
      </c>
      <c r="G477" s="1055" t="str">
        <f t="shared" si="47"/>
        <v>GPL pour véhicule routier, Réunion, Base Carbone; kgCO2e/litre, Amont</v>
      </c>
      <c r="I477" s="1031" t="s">
        <v>1595</v>
      </c>
      <c r="J477" s="1032" t="s">
        <v>1574</v>
      </c>
      <c r="K477" s="1032" t="s">
        <v>1567</v>
      </c>
      <c r="L477" s="1032" t="s">
        <v>785</v>
      </c>
      <c r="M477" s="1033">
        <v>0.05</v>
      </c>
      <c r="N477" s="1032" t="s">
        <v>1570</v>
      </c>
      <c r="O477" s="1036">
        <v>0.32300000000000001</v>
      </c>
      <c r="P477" s="1980">
        <f t="shared" si="48"/>
        <v>0.32300000000000001</v>
      </c>
      <c r="Q477" s="1980">
        <v>0</v>
      </c>
      <c r="R477" s="1980">
        <v>0</v>
      </c>
      <c r="S477" s="1980">
        <v>0</v>
      </c>
      <c r="T477" s="1980">
        <v>0</v>
      </c>
      <c r="U477" s="2036">
        <v>0</v>
      </c>
    </row>
    <row r="478" spans="4:21" s="1045" customFormat="1" hidden="1" outlineLevel="2">
      <c r="D478" s="1051">
        <f t="shared" si="45"/>
        <v>46</v>
      </c>
      <c r="E478" s="1051" t="str">
        <f>IF(COUNTIF(E$11:E477,F478)&gt;0,"",F478)</f>
        <v>GPL pour véhicule routier, Guadeloupe, Martinique, Guyane, Corse, Base Carbone</v>
      </c>
      <c r="F478" s="1051" t="str">
        <f t="shared" si="46"/>
        <v>GPL pour véhicule routier, Guadeloupe, Martinique, Guyane, Corse, Base Carbone</v>
      </c>
      <c r="G478" s="1055" t="str">
        <f t="shared" si="47"/>
        <v>GPL pour véhicule routier, Guadeloupe, Martinique, Guyane, Corse, Base Carbone; kgCO2e/kg, Combustion</v>
      </c>
      <c r="I478" s="1031" t="s">
        <v>1595</v>
      </c>
      <c r="J478" s="2017" t="s">
        <v>1572</v>
      </c>
      <c r="K478" s="1032" t="s">
        <v>1567</v>
      </c>
      <c r="L478" s="1032" t="s">
        <v>3084</v>
      </c>
      <c r="M478" s="1033">
        <v>0.05</v>
      </c>
      <c r="N478" s="1032" t="s">
        <v>1569</v>
      </c>
      <c r="O478" s="1977">
        <v>2.944</v>
      </c>
      <c r="P478" s="1980">
        <f t="shared" si="48"/>
        <v>2.944</v>
      </c>
      <c r="Q478" s="1980">
        <v>0</v>
      </c>
      <c r="R478" s="1980">
        <v>0</v>
      </c>
      <c r="S478" s="1980">
        <v>0</v>
      </c>
      <c r="T478" s="1980">
        <v>0</v>
      </c>
      <c r="U478" s="2036">
        <v>0</v>
      </c>
    </row>
    <row r="479" spans="4:21" s="1045" customFormat="1" hidden="1" outlineLevel="2">
      <c r="D479" s="1051">
        <f t="shared" si="45"/>
        <v>46</v>
      </c>
      <c r="E479" s="1051" t="str">
        <f>IF(COUNTIF(E$11:E478,F479)&gt;0,"",F479)</f>
        <v/>
      </c>
      <c r="F479" s="1051" t="str">
        <f t="shared" si="46"/>
        <v>GPL pour véhicule routier, Guadeloupe, Martinique, Guyane, Corse, Base Carbone</v>
      </c>
      <c r="G479" s="1055" t="str">
        <f t="shared" si="47"/>
        <v>GPL pour véhicule routier, Guadeloupe, Martinique, Guyane, Corse, Base Carbone; kgCO2e/kg, Amont</v>
      </c>
      <c r="I479" s="1031" t="s">
        <v>1595</v>
      </c>
      <c r="J479" s="2017" t="s">
        <v>1572</v>
      </c>
      <c r="K479" s="1032" t="s">
        <v>1567</v>
      </c>
      <c r="L479" s="1032" t="s">
        <v>3084</v>
      </c>
      <c r="M479" s="1033">
        <v>0.05</v>
      </c>
      <c r="N479" s="1032" t="s">
        <v>1570</v>
      </c>
      <c r="O479" s="1977">
        <v>0.55400000000000005</v>
      </c>
      <c r="P479" s="1980">
        <f t="shared" si="48"/>
        <v>0.55400000000000005</v>
      </c>
      <c r="Q479" s="1980">
        <v>0</v>
      </c>
      <c r="R479" s="1980">
        <v>0</v>
      </c>
      <c r="S479" s="1980">
        <v>0</v>
      </c>
      <c r="T479" s="1980">
        <v>0</v>
      </c>
      <c r="U479" s="2036">
        <v>0</v>
      </c>
    </row>
    <row r="480" spans="4:21" s="1045" customFormat="1" hidden="1" outlineLevel="2">
      <c r="D480" s="1051">
        <f t="shared" si="45"/>
        <v>46</v>
      </c>
      <c r="E480" s="1051" t="str">
        <f>IF(COUNTIF(E$11:E479,F480)&gt;0,"",F480)</f>
        <v/>
      </c>
      <c r="F480" s="1051" t="str">
        <f t="shared" si="46"/>
        <v>GPL pour véhicule routier, Guadeloupe, Martinique, Guyane, Corse, Base Carbone</v>
      </c>
      <c r="G480" s="1055" t="str">
        <f t="shared" si="47"/>
        <v>GPL pour véhicule routier, Guadeloupe, Martinique, Guyane, Corse, Base Carbone; kgCO2e/kWh PCI, Combustion</v>
      </c>
      <c r="I480" s="1031" t="s">
        <v>1595</v>
      </c>
      <c r="J480" s="1032" t="s">
        <v>1573</v>
      </c>
      <c r="K480" s="1032" t="s">
        <v>1567</v>
      </c>
      <c r="L480" s="1032" t="s">
        <v>3084</v>
      </c>
      <c r="M480" s="1033">
        <v>0.05</v>
      </c>
      <c r="N480" s="1032" t="s">
        <v>1569</v>
      </c>
      <c r="O480" s="1036">
        <v>0.23100000000000001</v>
      </c>
      <c r="P480" s="1980">
        <f t="shared" si="48"/>
        <v>0.23100000000000001</v>
      </c>
      <c r="Q480" s="1980">
        <v>0</v>
      </c>
      <c r="R480" s="1980">
        <v>0</v>
      </c>
      <c r="S480" s="1980">
        <v>0</v>
      </c>
      <c r="T480" s="1980">
        <v>0</v>
      </c>
      <c r="U480" s="2036">
        <v>0</v>
      </c>
    </row>
    <row r="481" spans="4:21" s="1045" customFormat="1" hidden="1" outlineLevel="2">
      <c r="D481" s="1051">
        <f t="shared" si="45"/>
        <v>46</v>
      </c>
      <c r="E481" s="1051" t="str">
        <f>IF(COUNTIF(E$11:E480,F481)&gt;0,"",F481)</f>
        <v/>
      </c>
      <c r="F481" s="1051" t="str">
        <f t="shared" si="46"/>
        <v>GPL pour véhicule routier, Guadeloupe, Martinique, Guyane, Corse, Base Carbone</v>
      </c>
      <c r="G481" s="1055" t="str">
        <f t="shared" si="47"/>
        <v>GPL pour véhicule routier, Guadeloupe, Martinique, Guyane, Corse, Base Carbone; kgCO2e/kWh PCI, Amont</v>
      </c>
      <c r="I481" s="1031" t="s">
        <v>1595</v>
      </c>
      <c r="J481" s="1032" t="s">
        <v>1573</v>
      </c>
      <c r="K481" s="1032" t="s">
        <v>1567</v>
      </c>
      <c r="L481" s="1032" t="s">
        <v>3084</v>
      </c>
      <c r="M481" s="1033">
        <v>0.05</v>
      </c>
      <c r="N481" s="1032" t="s">
        <v>1570</v>
      </c>
      <c r="O481" s="1036">
        <v>4.3400000000000001E-2</v>
      </c>
      <c r="P481" s="1980">
        <f t="shared" si="48"/>
        <v>4.3400000000000001E-2</v>
      </c>
      <c r="Q481" s="1980">
        <v>0</v>
      </c>
      <c r="R481" s="1980">
        <v>0</v>
      </c>
      <c r="S481" s="1980">
        <v>0</v>
      </c>
      <c r="T481" s="1980">
        <v>0</v>
      </c>
      <c r="U481" s="2036">
        <v>0</v>
      </c>
    </row>
    <row r="482" spans="4:21" s="1045" customFormat="1" hidden="1" outlineLevel="2">
      <c r="D482" s="1051">
        <f t="shared" si="45"/>
        <v>46</v>
      </c>
      <c r="E482" s="1051" t="str">
        <f>IF(COUNTIF(E$11:E481,F482)&gt;0,"",F482)</f>
        <v/>
      </c>
      <c r="F482" s="1051" t="str">
        <f t="shared" si="46"/>
        <v>GPL pour véhicule routier, Guadeloupe, Martinique, Guyane, Corse, Base Carbone</v>
      </c>
      <c r="G482" s="1055" t="str">
        <f t="shared" si="47"/>
        <v>GPL pour véhicule routier, Guadeloupe, Martinique, Guyane, Corse, Base Carbone; kgCO2e/tep PCI, Combustion</v>
      </c>
      <c r="I482" s="1031" t="s">
        <v>1595</v>
      </c>
      <c r="J482" s="1032" t="s">
        <v>1575</v>
      </c>
      <c r="K482" s="1032" t="s">
        <v>1567</v>
      </c>
      <c r="L482" s="1032" t="s">
        <v>3084</v>
      </c>
      <c r="M482" s="1033">
        <v>0.05</v>
      </c>
      <c r="N482" s="1032" t="s">
        <v>1569</v>
      </c>
      <c r="O482" s="1036">
        <v>2690</v>
      </c>
      <c r="P482" s="1980">
        <f t="shared" si="48"/>
        <v>2690</v>
      </c>
      <c r="Q482" s="1980">
        <v>0</v>
      </c>
      <c r="R482" s="1980">
        <v>0</v>
      </c>
      <c r="S482" s="1980">
        <v>0</v>
      </c>
      <c r="T482" s="1980">
        <v>0</v>
      </c>
      <c r="U482" s="2036">
        <v>0</v>
      </c>
    </row>
    <row r="483" spans="4:21" s="1045" customFormat="1" hidden="1" outlineLevel="2">
      <c r="D483" s="1051">
        <f t="shared" si="45"/>
        <v>46</v>
      </c>
      <c r="E483" s="1051" t="str">
        <f>IF(COUNTIF(E$11:E482,F483)&gt;0,"",F483)</f>
        <v/>
      </c>
      <c r="F483" s="1051" t="str">
        <f t="shared" si="46"/>
        <v>GPL pour véhicule routier, Guadeloupe, Martinique, Guyane, Corse, Base Carbone</v>
      </c>
      <c r="G483" s="1055" t="str">
        <f t="shared" si="47"/>
        <v>GPL pour véhicule routier, Guadeloupe, Martinique, Guyane, Corse, Base Carbone; kgCO2e/tep PCI, Amont</v>
      </c>
      <c r="I483" s="1031" t="s">
        <v>1595</v>
      </c>
      <c r="J483" s="1032" t="s">
        <v>1575</v>
      </c>
      <c r="K483" s="1032" t="s">
        <v>1567</v>
      </c>
      <c r="L483" s="1032" t="s">
        <v>3084</v>
      </c>
      <c r="M483" s="1033">
        <v>0.05</v>
      </c>
      <c r="N483" s="1032" t="s">
        <v>1570</v>
      </c>
      <c r="O483" s="1036">
        <v>505</v>
      </c>
      <c r="P483" s="1980">
        <f t="shared" si="48"/>
        <v>505</v>
      </c>
      <c r="Q483" s="1980">
        <v>0</v>
      </c>
      <c r="R483" s="1980">
        <v>0</v>
      </c>
      <c r="S483" s="1980">
        <v>0</v>
      </c>
      <c r="T483" s="1980">
        <v>0</v>
      </c>
      <c r="U483" s="2036">
        <v>0</v>
      </c>
    </row>
    <row r="484" spans="4:21" s="1045" customFormat="1" hidden="1" outlineLevel="2">
      <c r="D484" s="1051">
        <f t="shared" si="45"/>
        <v>46</v>
      </c>
      <c r="E484" s="1051" t="str">
        <f>IF(COUNTIF(E$11:E483,F484)&gt;0,"",F484)</f>
        <v/>
      </c>
      <c r="F484" s="1051" t="str">
        <f t="shared" si="46"/>
        <v>GPL pour véhicule routier, Guadeloupe, Martinique, Guyane, Corse, Base Carbone</v>
      </c>
      <c r="G484" s="1055" t="str">
        <f t="shared" si="47"/>
        <v>GPL pour véhicule routier, Guadeloupe, Martinique, Guyane, Corse, Base Carbone; kgCO2e/litre, Combustion</v>
      </c>
      <c r="I484" s="1031" t="s">
        <v>1595</v>
      </c>
      <c r="J484" s="1032" t="s">
        <v>1574</v>
      </c>
      <c r="K484" s="1032" t="s">
        <v>1567</v>
      </c>
      <c r="L484" s="1032" t="s">
        <v>3084</v>
      </c>
      <c r="M484" s="1033">
        <v>0.05</v>
      </c>
      <c r="N484" s="1032" t="s">
        <v>1569</v>
      </c>
      <c r="O484" s="1036">
        <v>1.58</v>
      </c>
      <c r="P484" s="1980">
        <f t="shared" si="48"/>
        <v>1.58</v>
      </c>
      <c r="Q484" s="1980">
        <v>0</v>
      </c>
      <c r="R484" s="1980">
        <v>0</v>
      </c>
      <c r="S484" s="1980">
        <v>0</v>
      </c>
      <c r="T484" s="1980">
        <v>0</v>
      </c>
      <c r="U484" s="2036">
        <v>0</v>
      </c>
    </row>
    <row r="485" spans="4:21" s="1045" customFormat="1" hidden="1" outlineLevel="2">
      <c r="D485" s="1051">
        <f t="shared" si="45"/>
        <v>46</v>
      </c>
      <c r="E485" s="1051" t="str">
        <f>IF(COUNTIF(E$11:E484,F485)&gt;0,"",F485)</f>
        <v/>
      </c>
      <c r="F485" s="1051" t="str">
        <f t="shared" si="46"/>
        <v>GPL pour véhicule routier, Guadeloupe, Martinique, Guyane, Corse, Base Carbone</v>
      </c>
      <c r="G485" s="1055" t="str">
        <f t="shared" si="47"/>
        <v>GPL pour véhicule routier, Guadeloupe, Martinique, Guyane, Corse, Base Carbone; kgCO2e/litre, Amont</v>
      </c>
      <c r="I485" s="1031" t="s">
        <v>1595</v>
      </c>
      <c r="J485" s="1032" t="s">
        <v>1574</v>
      </c>
      <c r="K485" s="1032" t="s">
        <v>1567</v>
      </c>
      <c r="L485" s="1032" t="s">
        <v>3084</v>
      </c>
      <c r="M485" s="1033">
        <v>0.05</v>
      </c>
      <c r="N485" s="1032" t="s">
        <v>1570</v>
      </c>
      <c r="O485" s="1036">
        <v>0.29799999999999999</v>
      </c>
      <c r="P485" s="1980">
        <f t="shared" si="48"/>
        <v>0.29799999999999999</v>
      </c>
      <c r="Q485" s="1980">
        <v>0</v>
      </c>
      <c r="R485" s="1980">
        <v>0</v>
      </c>
      <c r="S485" s="1980">
        <v>0</v>
      </c>
      <c r="T485" s="1980">
        <v>0</v>
      </c>
      <c r="U485" s="2036">
        <v>0</v>
      </c>
    </row>
    <row r="486" spans="4:21" s="1045" customFormat="1" hidden="1" outlineLevel="2">
      <c r="D486" s="1051">
        <f t="shared" si="45"/>
        <v>47</v>
      </c>
      <c r="E486" s="1051" t="str">
        <f>IF(COUNTIF(E$11:E485,F486)&gt;0,"",F486)</f>
        <v>GPL pour véhicule routier, Nouvelle Calédonie, Base Carbone</v>
      </c>
      <c r="F486" s="1051" t="str">
        <f t="shared" si="46"/>
        <v>GPL pour véhicule routier, Nouvelle Calédonie, Base Carbone</v>
      </c>
      <c r="G486" s="1055" t="str">
        <f t="shared" si="47"/>
        <v>GPL pour véhicule routier, Nouvelle Calédonie, Base Carbone; kgCO2e/kg, Combustion</v>
      </c>
      <c r="I486" s="1031" t="s">
        <v>1595</v>
      </c>
      <c r="J486" s="2017" t="s">
        <v>1572</v>
      </c>
      <c r="K486" s="1032" t="s">
        <v>1567</v>
      </c>
      <c r="L486" s="1032" t="s">
        <v>3085</v>
      </c>
      <c r="M486" s="1033">
        <v>0.05</v>
      </c>
      <c r="N486" s="1032" t="s">
        <v>1569</v>
      </c>
      <c r="O486" s="1977">
        <v>2.944</v>
      </c>
      <c r="P486" s="1980">
        <f t="shared" si="48"/>
        <v>2.944</v>
      </c>
      <c r="Q486" s="1980">
        <v>0</v>
      </c>
      <c r="R486" s="1980">
        <v>0</v>
      </c>
      <c r="S486" s="1980">
        <v>0</v>
      </c>
      <c r="T486" s="1980">
        <v>0</v>
      </c>
      <c r="U486" s="2036">
        <v>0</v>
      </c>
    </row>
    <row r="487" spans="4:21" s="1045" customFormat="1" hidden="1" outlineLevel="2">
      <c r="D487" s="1051">
        <f t="shared" si="45"/>
        <v>47</v>
      </c>
      <c r="E487" s="1051" t="str">
        <f>IF(COUNTIF(E$11:E486,F487)&gt;0,"",F487)</f>
        <v/>
      </c>
      <c r="F487" s="1051" t="str">
        <f t="shared" si="46"/>
        <v>GPL pour véhicule routier, Nouvelle Calédonie, Base Carbone</v>
      </c>
      <c r="G487" s="1055" t="str">
        <f t="shared" si="47"/>
        <v>GPL pour véhicule routier, Nouvelle Calédonie, Base Carbone; kgCO2e/kg, Amont</v>
      </c>
      <c r="I487" s="1031" t="s">
        <v>1595</v>
      </c>
      <c r="J487" s="2017" t="s">
        <v>1572</v>
      </c>
      <c r="K487" s="1032" t="s">
        <v>1567</v>
      </c>
      <c r="L487" s="1032" t="s">
        <v>3085</v>
      </c>
      <c r="M487" s="1033">
        <v>0.05</v>
      </c>
      <c r="N487" s="1032" t="s">
        <v>1570</v>
      </c>
      <c r="O487" s="1977">
        <v>0.57999999999999996</v>
      </c>
      <c r="P487" s="1980">
        <f t="shared" si="48"/>
        <v>0.57999999999999996</v>
      </c>
      <c r="Q487" s="1980">
        <v>0</v>
      </c>
      <c r="R487" s="1980">
        <v>0</v>
      </c>
      <c r="S487" s="1980">
        <v>0</v>
      </c>
      <c r="T487" s="1980">
        <v>0</v>
      </c>
      <c r="U487" s="2036">
        <v>0</v>
      </c>
    </row>
    <row r="488" spans="4:21" s="1045" customFormat="1" hidden="1" outlineLevel="2">
      <c r="D488" s="1051">
        <f t="shared" si="45"/>
        <v>47</v>
      </c>
      <c r="E488" s="1051" t="str">
        <f>IF(COUNTIF(E$11:E487,F488)&gt;0,"",F488)</f>
        <v/>
      </c>
      <c r="F488" s="1051" t="str">
        <f t="shared" si="46"/>
        <v>GPL pour véhicule routier, Nouvelle Calédonie, Base Carbone</v>
      </c>
      <c r="G488" s="1055" t="str">
        <f t="shared" si="47"/>
        <v>GPL pour véhicule routier, Nouvelle Calédonie, Base Carbone; kgCO2e/kWh PCI, Combustion</v>
      </c>
      <c r="I488" s="1031" t="s">
        <v>1595</v>
      </c>
      <c r="J488" s="1032" t="s">
        <v>1573</v>
      </c>
      <c r="K488" s="1032" t="s">
        <v>1567</v>
      </c>
      <c r="L488" s="1032" t="s">
        <v>3085</v>
      </c>
      <c r="M488" s="1033">
        <v>0.05</v>
      </c>
      <c r="N488" s="1032" t="s">
        <v>1569</v>
      </c>
      <c r="O488" s="1036">
        <v>0.23100000000000001</v>
      </c>
      <c r="P488" s="1980">
        <f t="shared" si="48"/>
        <v>0.23100000000000001</v>
      </c>
      <c r="Q488" s="1980">
        <v>0</v>
      </c>
      <c r="R488" s="1980">
        <v>0</v>
      </c>
      <c r="S488" s="1980">
        <v>0</v>
      </c>
      <c r="T488" s="1980">
        <v>0</v>
      </c>
      <c r="U488" s="2036">
        <v>0</v>
      </c>
    </row>
    <row r="489" spans="4:21" s="1045" customFormat="1" hidden="1" outlineLevel="2">
      <c r="D489" s="1051">
        <f t="shared" si="45"/>
        <v>47</v>
      </c>
      <c r="E489" s="1051" t="str">
        <f>IF(COUNTIF(E$11:E488,F489)&gt;0,"",F489)</f>
        <v/>
      </c>
      <c r="F489" s="1051" t="str">
        <f t="shared" si="46"/>
        <v>GPL pour véhicule routier, Nouvelle Calédonie, Base Carbone</v>
      </c>
      <c r="G489" s="1055" t="str">
        <f t="shared" si="47"/>
        <v>GPL pour véhicule routier, Nouvelle Calédonie, Base Carbone; kgCO2e/kWh PCI, Amont</v>
      </c>
      <c r="I489" s="1031" t="s">
        <v>1595</v>
      </c>
      <c r="J489" s="1032" t="s">
        <v>1573</v>
      </c>
      <c r="K489" s="1032" t="s">
        <v>1567</v>
      </c>
      <c r="L489" s="1032" t="s">
        <v>3085</v>
      </c>
      <c r="M489" s="1033">
        <v>0.05</v>
      </c>
      <c r="N489" s="1032" t="s">
        <v>1570</v>
      </c>
      <c r="O489" s="1036">
        <v>4.3999999999999997E-2</v>
      </c>
      <c r="P489" s="1980">
        <f t="shared" si="48"/>
        <v>4.3999999999999997E-2</v>
      </c>
      <c r="Q489" s="1980">
        <v>0</v>
      </c>
      <c r="R489" s="1980">
        <v>0</v>
      </c>
      <c r="S489" s="1980">
        <v>0</v>
      </c>
      <c r="T489" s="1980">
        <v>0</v>
      </c>
      <c r="U489" s="2036">
        <v>0</v>
      </c>
    </row>
    <row r="490" spans="4:21" s="1045" customFormat="1" hidden="1" outlineLevel="2">
      <c r="D490" s="1051">
        <f t="shared" ref="D490:D553" si="49">D489+IF(LEN(E490)=0,0,1)</f>
        <v>47</v>
      </c>
      <c r="E490" s="1051" t="str">
        <f>IF(COUNTIF(E$11:E489,F490)&gt;0,"",F490)</f>
        <v/>
      </c>
      <c r="F490" s="1051" t="str">
        <f t="shared" ref="F490:F553" si="50">IF(I490&lt;&gt;"",I490&amp;IF(L490&lt;&gt;"",", "&amp;L490,"")&amp;IF(K490&lt;&gt;"",", "&amp;K490,""),"")</f>
        <v>GPL pour véhicule routier, Nouvelle Calédonie, Base Carbone</v>
      </c>
      <c r="G490" s="1055" t="str">
        <f t="shared" ref="G490:G553" si="51">IF(F490&lt;&gt;"",F490&amp;IF(J490&lt;&gt;"","; "&amp;J490,"")&amp;IF(N490&lt;&gt;"",", "&amp;N490,""),"")</f>
        <v>GPL pour véhicule routier, Nouvelle Calédonie, Base Carbone; kgCO2e/tep PCI, Combustion</v>
      </c>
      <c r="I490" s="1031" t="s">
        <v>1595</v>
      </c>
      <c r="J490" s="1032" t="s">
        <v>1575</v>
      </c>
      <c r="K490" s="1032" t="s">
        <v>1567</v>
      </c>
      <c r="L490" s="1032" t="s">
        <v>3085</v>
      </c>
      <c r="M490" s="1033">
        <v>0.05</v>
      </c>
      <c r="N490" s="1032" t="s">
        <v>1569</v>
      </c>
      <c r="O490" s="1036">
        <v>2690</v>
      </c>
      <c r="P490" s="1980">
        <f t="shared" si="48"/>
        <v>2690</v>
      </c>
      <c r="Q490" s="1980">
        <v>0</v>
      </c>
      <c r="R490" s="1980">
        <v>0</v>
      </c>
      <c r="S490" s="1980">
        <v>0</v>
      </c>
      <c r="T490" s="1980">
        <v>0</v>
      </c>
      <c r="U490" s="2036">
        <v>0</v>
      </c>
    </row>
    <row r="491" spans="4:21" s="1045" customFormat="1" hidden="1" outlineLevel="2">
      <c r="D491" s="1051">
        <f t="shared" si="49"/>
        <v>47</v>
      </c>
      <c r="E491" s="1051" t="str">
        <f>IF(COUNTIF(E$11:E490,F491)&gt;0,"",F491)</f>
        <v/>
      </c>
      <c r="F491" s="1051" t="str">
        <f t="shared" si="50"/>
        <v>GPL pour véhicule routier, Nouvelle Calédonie, Base Carbone</v>
      </c>
      <c r="G491" s="1055" t="str">
        <f t="shared" si="51"/>
        <v>GPL pour véhicule routier, Nouvelle Calédonie, Base Carbone; kgCO2e/tep PCI, Amont</v>
      </c>
      <c r="I491" s="1031" t="s">
        <v>1595</v>
      </c>
      <c r="J491" s="1032" t="s">
        <v>1575</v>
      </c>
      <c r="K491" s="1032" t="s">
        <v>1567</v>
      </c>
      <c r="L491" s="1032" t="s">
        <v>3085</v>
      </c>
      <c r="M491" s="1033">
        <v>0.05</v>
      </c>
      <c r="N491" s="1032" t="s">
        <v>1570</v>
      </c>
      <c r="O491" s="1036">
        <v>531</v>
      </c>
      <c r="P491" s="1980">
        <f t="shared" si="48"/>
        <v>531</v>
      </c>
      <c r="Q491" s="1980">
        <v>0</v>
      </c>
      <c r="R491" s="1980">
        <v>0</v>
      </c>
      <c r="S491" s="1980">
        <v>0</v>
      </c>
      <c r="T491" s="1980">
        <v>0</v>
      </c>
      <c r="U491" s="2036">
        <v>0</v>
      </c>
    </row>
    <row r="492" spans="4:21" s="1045" customFormat="1" hidden="1" outlineLevel="2">
      <c r="D492" s="1051">
        <f t="shared" si="49"/>
        <v>47</v>
      </c>
      <c r="E492" s="1051" t="str">
        <f>IF(COUNTIF(E$11:E491,F492)&gt;0,"",F492)</f>
        <v/>
      </c>
      <c r="F492" s="1051" t="str">
        <f t="shared" si="50"/>
        <v>GPL pour véhicule routier, Nouvelle Calédonie, Base Carbone</v>
      </c>
      <c r="G492" s="1055" t="str">
        <f t="shared" si="51"/>
        <v>GPL pour véhicule routier, Nouvelle Calédonie, Base Carbone; kgCO2e/litre, Combustion</v>
      </c>
      <c r="I492" s="1031" t="s">
        <v>1595</v>
      </c>
      <c r="J492" s="1032" t="s">
        <v>1574</v>
      </c>
      <c r="K492" s="1032" t="s">
        <v>1567</v>
      </c>
      <c r="L492" s="1032" t="s">
        <v>3085</v>
      </c>
      <c r="M492" s="1033">
        <v>0.05</v>
      </c>
      <c r="N492" s="1032" t="s">
        <v>1569</v>
      </c>
      <c r="O492" s="1036">
        <v>1.58</v>
      </c>
      <c r="P492" s="1980">
        <f t="shared" si="48"/>
        <v>1.58</v>
      </c>
      <c r="Q492" s="1980">
        <v>0</v>
      </c>
      <c r="R492" s="1980">
        <v>0</v>
      </c>
      <c r="S492" s="1980">
        <v>0</v>
      </c>
      <c r="T492" s="1980">
        <v>0</v>
      </c>
      <c r="U492" s="2036">
        <v>0</v>
      </c>
    </row>
    <row r="493" spans="4:21" s="1045" customFormat="1" hidden="1" outlineLevel="2">
      <c r="D493" s="1051">
        <f t="shared" si="49"/>
        <v>47</v>
      </c>
      <c r="E493" s="1051" t="str">
        <f>IF(COUNTIF(E$11:E492,F493)&gt;0,"",F493)</f>
        <v/>
      </c>
      <c r="F493" s="1051" t="str">
        <f t="shared" si="50"/>
        <v>GPL pour véhicule routier, Nouvelle Calédonie, Base Carbone</v>
      </c>
      <c r="G493" s="1055" t="str">
        <f t="shared" si="51"/>
        <v>GPL pour véhicule routier, Nouvelle Calédonie, Base Carbone; kgCO2e/litre, Amont</v>
      </c>
      <c r="I493" s="1031" t="s">
        <v>1595</v>
      </c>
      <c r="J493" s="1032" t="s">
        <v>1574</v>
      </c>
      <c r="K493" s="1032" t="s">
        <v>1567</v>
      </c>
      <c r="L493" s="1032" t="s">
        <v>3085</v>
      </c>
      <c r="M493" s="1033">
        <v>0.05</v>
      </c>
      <c r="N493" s="1032" t="s">
        <v>1570</v>
      </c>
      <c r="O493" s="1036">
        <v>0.32300000000000001</v>
      </c>
      <c r="P493" s="1980">
        <f t="shared" si="48"/>
        <v>0.32300000000000001</v>
      </c>
      <c r="Q493" s="1980">
        <v>0</v>
      </c>
      <c r="R493" s="1980">
        <v>0</v>
      </c>
      <c r="S493" s="1980">
        <v>0</v>
      </c>
      <c r="T493" s="1980">
        <v>0</v>
      </c>
      <c r="U493" s="2036">
        <v>0</v>
      </c>
    </row>
    <row r="494" spans="4:21" hidden="1" outlineLevel="2">
      <c r="D494" s="1051">
        <f t="shared" si="49"/>
        <v>48</v>
      </c>
      <c r="E494" s="1051" t="str">
        <f>IF(COUNTIF(E$11:E493,F494)&gt;0,"",F494)</f>
        <v>HFO (Heavy Fuel Oil) (ISO 8217 classes RME à RMK), France continentale, Base Carbone</v>
      </c>
      <c r="F494" s="1051" t="str">
        <f t="shared" si="50"/>
        <v>HFO (Heavy Fuel Oil) (ISO 8217 classes RME à RMK), France continentale, Base Carbone</v>
      </c>
      <c r="G494" s="1055" t="str">
        <f t="shared" si="51"/>
        <v>HFO (Heavy Fuel Oil) (ISO 8217 classes RME à RMK), France continentale, Base Carbone; kgCO2e/GJ PCI, Combustion</v>
      </c>
      <c r="I494" s="1031" t="s">
        <v>1596</v>
      </c>
      <c r="J494" s="1032" t="s">
        <v>1566</v>
      </c>
      <c r="K494" s="1032" t="s">
        <v>1567</v>
      </c>
      <c r="L494" s="1032" t="s">
        <v>1571</v>
      </c>
      <c r="M494" s="1033">
        <v>0.05</v>
      </c>
      <c r="N494" s="1032" t="s">
        <v>1569</v>
      </c>
      <c r="O494" s="1036">
        <v>78.5</v>
      </c>
      <c r="P494" s="1036">
        <v>78</v>
      </c>
      <c r="Q494" s="1036">
        <v>0.06</v>
      </c>
      <c r="R494" s="1036">
        <v>0</v>
      </c>
      <c r="S494" s="1036">
        <v>0.46400000000000002</v>
      </c>
      <c r="T494" s="1036">
        <v>0</v>
      </c>
      <c r="U494" s="1037">
        <v>0</v>
      </c>
    </row>
    <row r="495" spans="4:21" hidden="1" outlineLevel="2">
      <c r="D495" s="1051">
        <f t="shared" si="49"/>
        <v>48</v>
      </c>
      <c r="E495" s="1051" t="str">
        <f>IF(COUNTIF(E$11:E494,F495)&gt;0,"",F495)</f>
        <v/>
      </c>
      <c r="F495" s="1051" t="str">
        <f t="shared" si="50"/>
        <v>HFO (Heavy Fuel Oil) (ISO 8217 classes RME à RMK), France continentale, Base Carbone</v>
      </c>
      <c r="G495" s="1055" t="str">
        <f t="shared" si="51"/>
        <v>HFO (Heavy Fuel Oil) (ISO 8217 classes RME à RMK), France continentale, Base Carbone; kgCO2e/GJ PCI, Amont</v>
      </c>
      <c r="I495" s="1031" t="s">
        <v>1596</v>
      </c>
      <c r="J495" s="1032" t="s">
        <v>1566</v>
      </c>
      <c r="K495" s="1032" t="s">
        <v>1567</v>
      </c>
      <c r="L495" s="1032" t="s">
        <v>1571</v>
      </c>
      <c r="M495" s="1033">
        <v>0.05</v>
      </c>
      <c r="N495" s="1032" t="s">
        <v>1570</v>
      </c>
      <c r="O495" s="1036">
        <v>13</v>
      </c>
      <c r="P495" s="1036">
        <v>11.5</v>
      </c>
      <c r="Q495" s="1036">
        <v>1.46</v>
      </c>
      <c r="R495" s="1036">
        <v>0</v>
      </c>
      <c r="S495" s="1036">
        <v>0</v>
      </c>
      <c r="T495" s="1036">
        <v>0</v>
      </c>
      <c r="U495" s="1037">
        <v>0</v>
      </c>
    </row>
    <row r="496" spans="4:21" hidden="1" outlineLevel="2">
      <c r="D496" s="1051">
        <f t="shared" si="49"/>
        <v>48</v>
      </c>
      <c r="E496" s="1051" t="str">
        <f>IF(COUNTIF(E$11:E495,F496)&gt;0,"",F496)</f>
        <v/>
      </c>
      <c r="F496" s="1051" t="str">
        <f t="shared" si="50"/>
        <v>HFO (Heavy Fuel Oil) (ISO 8217 classes RME à RMK), France continentale, Base Carbone</v>
      </c>
      <c r="G496" s="1055" t="str">
        <f t="shared" si="51"/>
        <v>HFO (Heavy Fuel Oil) (ISO 8217 classes RME à RMK), France continentale, Base Carbone; kgCO2e/kg, Combustion</v>
      </c>
      <c r="I496" s="1031" t="s">
        <v>1596</v>
      </c>
      <c r="J496" s="1032" t="s">
        <v>1572</v>
      </c>
      <c r="K496" s="1032" t="s">
        <v>1567</v>
      </c>
      <c r="L496" s="1032" t="s">
        <v>1571</v>
      </c>
      <c r="M496" s="1033">
        <v>0.05</v>
      </c>
      <c r="N496" s="1032" t="s">
        <v>1569</v>
      </c>
      <c r="O496" s="1036">
        <v>3.14</v>
      </c>
      <c r="P496" s="1036">
        <v>3.12</v>
      </c>
      <c r="Q496" s="1036">
        <v>2.3999999999999998E-3</v>
      </c>
      <c r="R496" s="1036">
        <v>0</v>
      </c>
      <c r="S496" s="1036">
        <v>1.8599999999999998E-2</v>
      </c>
      <c r="T496" s="1036">
        <v>0</v>
      </c>
      <c r="U496" s="1037">
        <v>0</v>
      </c>
    </row>
    <row r="497" spans="4:21" hidden="1" outlineLevel="2">
      <c r="D497" s="1051">
        <f t="shared" si="49"/>
        <v>48</v>
      </c>
      <c r="E497" s="1051" t="str">
        <f>IF(COUNTIF(E$11:E496,F497)&gt;0,"",F497)</f>
        <v/>
      </c>
      <c r="F497" s="1051" t="str">
        <f t="shared" si="50"/>
        <v>HFO (Heavy Fuel Oil) (ISO 8217 classes RME à RMK), France continentale, Base Carbone</v>
      </c>
      <c r="G497" s="1055" t="str">
        <f t="shared" si="51"/>
        <v>HFO (Heavy Fuel Oil) (ISO 8217 classes RME à RMK), France continentale, Base Carbone; kgCO2e/kg, Amont</v>
      </c>
      <c r="I497" s="1031" t="s">
        <v>1596</v>
      </c>
      <c r="J497" s="1032" t="s">
        <v>1572</v>
      </c>
      <c r="K497" s="1032" t="s">
        <v>1567</v>
      </c>
      <c r="L497" s="1032" t="s">
        <v>1571</v>
      </c>
      <c r="M497" s="1033">
        <v>0.05</v>
      </c>
      <c r="N497" s="1032" t="s">
        <v>1570</v>
      </c>
      <c r="O497" s="1036">
        <v>0.503</v>
      </c>
      <c r="P497" s="1036">
        <v>0.45900000000000002</v>
      </c>
      <c r="Q497" s="1036">
        <v>4.41E-2</v>
      </c>
      <c r="R497" s="1036">
        <v>0</v>
      </c>
      <c r="S497" s="1036">
        <v>0</v>
      </c>
      <c r="T497" s="1036">
        <v>0</v>
      </c>
      <c r="U497" s="1037">
        <v>0</v>
      </c>
    </row>
    <row r="498" spans="4:21" hidden="1" outlineLevel="2">
      <c r="D498" s="1051">
        <f t="shared" si="49"/>
        <v>48</v>
      </c>
      <c r="E498" s="1051" t="str">
        <f>IF(COUNTIF(E$11:E497,F498)&gt;0,"",F498)</f>
        <v/>
      </c>
      <c r="F498" s="1051" t="str">
        <f t="shared" si="50"/>
        <v>HFO (Heavy Fuel Oil) (ISO 8217 classes RME à RMK), France continentale, Base Carbone</v>
      </c>
      <c r="G498" s="1055" t="str">
        <f t="shared" si="51"/>
        <v>HFO (Heavy Fuel Oil) (ISO 8217 classes RME à RMK), France continentale, Base Carbone; kgCO2e/kWh PCI, Combustion</v>
      </c>
      <c r="I498" s="1031" t="s">
        <v>1596</v>
      </c>
      <c r="J498" s="1032" t="s">
        <v>1573</v>
      </c>
      <c r="K498" s="1032" t="s">
        <v>1567</v>
      </c>
      <c r="L498" s="1032" t="s">
        <v>1571</v>
      </c>
      <c r="M498" s="1033">
        <v>0.05</v>
      </c>
      <c r="N498" s="1032" t="s">
        <v>1569</v>
      </c>
      <c r="O498" s="1036">
        <v>0.28299999999999997</v>
      </c>
      <c r="P498" s="1036">
        <v>0.28100000000000003</v>
      </c>
      <c r="Q498" s="1036">
        <v>2.1599999999999999E-4</v>
      </c>
      <c r="R498" s="1036">
        <v>0</v>
      </c>
      <c r="S498" s="1036">
        <v>1.67E-3</v>
      </c>
      <c r="T498" s="1036">
        <v>0</v>
      </c>
      <c r="U498" s="1037">
        <v>0</v>
      </c>
    </row>
    <row r="499" spans="4:21" hidden="1" outlineLevel="2">
      <c r="D499" s="1051">
        <f t="shared" si="49"/>
        <v>48</v>
      </c>
      <c r="E499" s="1051" t="str">
        <f>IF(COUNTIF(E$11:E498,F499)&gt;0,"",F499)</f>
        <v/>
      </c>
      <c r="F499" s="1051" t="str">
        <f t="shared" si="50"/>
        <v>HFO (Heavy Fuel Oil) (ISO 8217 classes RME à RMK), France continentale, Base Carbone</v>
      </c>
      <c r="G499" s="1055" t="str">
        <f t="shared" si="51"/>
        <v>HFO (Heavy Fuel Oil) (ISO 8217 classes RME à RMK), France continentale, Base Carbone; kgCO2e/kWh PCI, Amont</v>
      </c>
      <c r="I499" s="1031" t="s">
        <v>1596</v>
      </c>
      <c r="J499" s="1032" t="s">
        <v>1573</v>
      </c>
      <c r="K499" s="1032" t="s">
        <v>1567</v>
      </c>
      <c r="L499" s="1032" t="s">
        <v>1571</v>
      </c>
      <c r="M499" s="1033">
        <v>0.05</v>
      </c>
      <c r="N499" s="1032" t="s">
        <v>1570</v>
      </c>
      <c r="O499" s="1036">
        <v>4.3999999999999997E-2</v>
      </c>
      <c r="P499" s="1036">
        <v>4.1000000000000002E-2</v>
      </c>
      <c r="Q499" s="1036">
        <v>3.0000000000000001E-3</v>
      </c>
      <c r="R499" s="1036">
        <v>0</v>
      </c>
      <c r="S499" s="1036">
        <v>0</v>
      </c>
      <c r="T499" s="1036">
        <v>0</v>
      </c>
      <c r="U499" s="1037">
        <v>0</v>
      </c>
    </row>
    <row r="500" spans="4:21" hidden="1" outlineLevel="2">
      <c r="D500" s="1051">
        <f t="shared" si="49"/>
        <v>48</v>
      </c>
      <c r="E500" s="1051" t="str">
        <f>IF(COUNTIF(E$11:E499,F500)&gt;0,"",F500)</f>
        <v/>
      </c>
      <c r="F500" s="1051" t="str">
        <f t="shared" si="50"/>
        <v>HFO (Heavy Fuel Oil) (ISO 8217 classes RME à RMK), France continentale, Base Carbone</v>
      </c>
      <c r="G500" s="1055" t="str">
        <f t="shared" si="51"/>
        <v>HFO (Heavy Fuel Oil) (ISO 8217 classes RME à RMK), France continentale, Base Carbone; kgCO2e/litre, Combustion</v>
      </c>
      <c r="I500" s="1031" t="s">
        <v>1596</v>
      </c>
      <c r="J500" s="1032" t="s">
        <v>1574</v>
      </c>
      <c r="K500" s="1032" t="s">
        <v>1567</v>
      </c>
      <c r="L500" s="1032" t="s">
        <v>1571</v>
      </c>
      <c r="M500" s="1033">
        <v>0.05</v>
      </c>
      <c r="N500" s="1032" t="s">
        <v>1569</v>
      </c>
      <c r="O500" s="1036">
        <v>2.48</v>
      </c>
      <c r="P500" s="1036">
        <v>2.48</v>
      </c>
      <c r="Q500" s="1036">
        <v>0</v>
      </c>
      <c r="R500" s="1036">
        <v>0</v>
      </c>
      <c r="S500" s="1036">
        <v>0</v>
      </c>
      <c r="T500" s="1036">
        <v>0</v>
      </c>
      <c r="U500" s="1037">
        <v>0</v>
      </c>
    </row>
    <row r="501" spans="4:21" hidden="1" outlineLevel="2">
      <c r="D501" s="1051">
        <f t="shared" si="49"/>
        <v>48</v>
      </c>
      <c r="E501" s="1051" t="str">
        <f>IF(COUNTIF(E$11:E500,F501)&gt;0,"",F501)</f>
        <v/>
      </c>
      <c r="F501" s="1051" t="str">
        <f t="shared" si="50"/>
        <v>HFO (Heavy Fuel Oil) (ISO 8217 classes RME à RMK), France continentale, Base Carbone</v>
      </c>
      <c r="G501" s="1055" t="str">
        <f t="shared" si="51"/>
        <v>HFO (Heavy Fuel Oil) (ISO 8217 classes RME à RMK), France continentale, Base Carbone; kgCO2e/litre, Amont</v>
      </c>
      <c r="I501" s="1031" t="s">
        <v>1596</v>
      </c>
      <c r="J501" s="1032" t="s">
        <v>1574</v>
      </c>
      <c r="K501" s="1032" t="s">
        <v>1567</v>
      </c>
      <c r="L501" s="1032" t="s">
        <v>1571</v>
      </c>
      <c r="M501" s="1033">
        <v>0.05</v>
      </c>
      <c r="N501" s="1032" t="s">
        <v>1570</v>
      </c>
      <c r="O501" s="1036">
        <v>0.45300000000000001</v>
      </c>
      <c r="P501" s="1036">
        <v>0.41299999999999998</v>
      </c>
      <c r="Q501" s="1036">
        <v>3.9899999999999998E-2</v>
      </c>
      <c r="R501" s="1036">
        <v>0</v>
      </c>
      <c r="S501" s="1036">
        <v>0</v>
      </c>
      <c r="T501" s="1036">
        <v>0</v>
      </c>
      <c r="U501" s="1037">
        <v>0</v>
      </c>
    </row>
    <row r="502" spans="4:21" hidden="1" outlineLevel="2">
      <c r="D502" s="1051">
        <f t="shared" si="49"/>
        <v>48</v>
      </c>
      <c r="E502" s="1051" t="str">
        <f>IF(COUNTIF(E$11:E501,F502)&gt;0,"",F502)</f>
        <v/>
      </c>
      <c r="F502" s="1051" t="str">
        <f t="shared" si="50"/>
        <v>HFO (Heavy Fuel Oil) (ISO 8217 classes RME à RMK), France continentale, Base Carbone</v>
      </c>
      <c r="G502" s="1055" t="str">
        <f t="shared" si="51"/>
        <v>HFO (Heavy Fuel Oil) (ISO 8217 classes RME à RMK), France continentale, Base Carbone; kgCO2e/tep PCI, Combustion</v>
      </c>
      <c r="I502" s="1031" t="s">
        <v>1596</v>
      </c>
      <c r="J502" s="1032" t="s">
        <v>1575</v>
      </c>
      <c r="K502" s="1032" t="s">
        <v>1567</v>
      </c>
      <c r="L502" s="1032" t="s">
        <v>1571</v>
      </c>
      <c r="M502" s="1033">
        <v>0.05</v>
      </c>
      <c r="N502" s="1032" t="s">
        <v>1569</v>
      </c>
      <c r="O502" s="1036">
        <v>3300</v>
      </c>
      <c r="P502" s="1036">
        <v>3280</v>
      </c>
      <c r="Q502" s="1036">
        <v>2.52</v>
      </c>
      <c r="R502" s="1036">
        <v>0</v>
      </c>
      <c r="S502" s="1036">
        <v>19.5</v>
      </c>
      <c r="T502" s="1036">
        <v>0</v>
      </c>
      <c r="U502" s="1037">
        <v>0</v>
      </c>
    </row>
    <row r="503" spans="4:21" hidden="1" outlineLevel="2">
      <c r="D503" s="1051">
        <f t="shared" si="49"/>
        <v>48</v>
      </c>
      <c r="E503" s="1051" t="str">
        <f>IF(COUNTIF(E$11:E502,F503)&gt;0,"",F503)</f>
        <v/>
      </c>
      <c r="F503" s="1051" t="str">
        <f t="shared" si="50"/>
        <v>HFO (Heavy Fuel Oil) (ISO 8217 classes RME à RMK), France continentale, Base Carbone</v>
      </c>
      <c r="G503" s="1055" t="str">
        <f t="shared" si="51"/>
        <v>HFO (Heavy Fuel Oil) (ISO 8217 classes RME à RMK), France continentale, Base Carbone; kgCO2e/tep PCI, Amont</v>
      </c>
      <c r="I503" s="1031" t="s">
        <v>1596</v>
      </c>
      <c r="J503" s="1032" t="s">
        <v>1575</v>
      </c>
      <c r="K503" s="1032" t="s">
        <v>1567</v>
      </c>
      <c r="L503" s="1032" t="s">
        <v>1571</v>
      </c>
      <c r="M503" s="1033">
        <v>0.05</v>
      </c>
      <c r="N503" s="1032" t="s">
        <v>1570</v>
      </c>
      <c r="O503" s="1036">
        <v>529</v>
      </c>
      <c r="P503" s="1036">
        <v>482</v>
      </c>
      <c r="Q503" s="1036">
        <v>46.5</v>
      </c>
      <c r="R503" s="1036">
        <v>0</v>
      </c>
      <c r="S503" s="1036">
        <v>0</v>
      </c>
      <c r="T503" s="1036">
        <v>0</v>
      </c>
      <c r="U503" s="1037">
        <v>0</v>
      </c>
    </row>
    <row r="504" spans="4:21" hidden="1" outlineLevel="2">
      <c r="D504" s="1051">
        <f t="shared" si="49"/>
        <v>49</v>
      </c>
      <c r="E504" s="1051" t="str">
        <f>IF(COUNTIF(E$11:E503,F504)&gt;0,"",F504)</f>
        <v>Huiles de schistes, Europe, Base Carbone</v>
      </c>
      <c r="F504" s="1051" t="str">
        <f t="shared" si="50"/>
        <v>Huiles de schistes, Europe, Base Carbone</v>
      </c>
      <c r="G504" s="1055" t="str">
        <f t="shared" si="51"/>
        <v>Huiles de schistes, Europe, Base Carbone; kgCO2e/GJ PCI, Combustion</v>
      </c>
      <c r="I504" s="1031" t="s">
        <v>1597</v>
      </c>
      <c r="J504" s="1032" t="s">
        <v>1566</v>
      </c>
      <c r="K504" s="1032" t="s">
        <v>1567</v>
      </c>
      <c r="L504" s="1032" t="s">
        <v>1568</v>
      </c>
      <c r="M504" s="1033">
        <v>0.05</v>
      </c>
      <c r="N504" s="1032" t="s">
        <v>1569</v>
      </c>
      <c r="O504" s="1036">
        <v>73.5</v>
      </c>
      <c r="P504" s="1036">
        <v>73.3</v>
      </c>
      <c r="Q504" s="1036">
        <v>0.09</v>
      </c>
      <c r="R504" s="1036">
        <v>0</v>
      </c>
      <c r="S504" s="1036">
        <v>0.159</v>
      </c>
      <c r="T504" s="1036">
        <v>0</v>
      </c>
      <c r="U504" s="1037">
        <v>0</v>
      </c>
    </row>
    <row r="505" spans="4:21" hidden="1" outlineLevel="2">
      <c r="D505" s="1051">
        <f t="shared" si="49"/>
        <v>49</v>
      </c>
      <c r="E505" s="1051" t="str">
        <f>IF(COUNTIF(E$11:E504,F505)&gt;0,"",F505)</f>
        <v/>
      </c>
      <c r="F505" s="1051" t="str">
        <f t="shared" si="50"/>
        <v>Huiles de schistes, Europe, Base Carbone</v>
      </c>
      <c r="G505" s="1055" t="str">
        <f t="shared" si="51"/>
        <v>Huiles de schistes, Europe, Base Carbone; kgCO2e/GJ PCI, Amont</v>
      </c>
      <c r="I505" s="1031" t="s">
        <v>1597</v>
      </c>
      <c r="J505" s="1032" t="s">
        <v>1566</v>
      </c>
      <c r="K505" s="1032" t="s">
        <v>1567</v>
      </c>
      <c r="L505" s="1032" t="s">
        <v>1568</v>
      </c>
      <c r="M505" s="1033">
        <v>0.05</v>
      </c>
      <c r="N505" s="1032" t="s">
        <v>1570</v>
      </c>
      <c r="O505" s="1036">
        <v>127</v>
      </c>
      <c r="P505" s="1036">
        <v>127</v>
      </c>
      <c r="Q505" s="1036">
        <v>0</v>
      </c>
      <c r="R505" s="1036">
        <v>0</v>
      </c>
      <c r="S505" s="1036">
        <v>0</v>
      </c>
      <c r="T505" s="1036">
        <v>0</v>
      </c>
      <c r="U505" s="1037">
        <v>0</v>
      </c>
    </row>
    <row r="506" spans="4:21" hidden="1" outlineLevel="2">
      <c r="D506" s="1051">
        <f t="shared" si="49"/>
        <v>50</v>
      </c>
      <c r="E506" s="1051" t="str">
        <f>IF(COUNTIF(E$11:E505,F506)&gt;0,"",F506)</f>
        <v>Huiles de schistes, France continentale, Base Carbone</v>
      </c>
      <c r="F506" s="1051" t="str">
        <f t="shared" si="50"/>
        <v>Huiles de schistes, France continentale, Base Carbone</v>
      </c>
      <c r="G506" s="1055" t="str">
        <f t="shared" si="51"/>
        <v>Huiles de schistes, France continentale, Base Carbone; kgCO2e/GJ PCI, Combustion</v>
      </c>
      <c r="I506" s="1031" t="s">
        <v>1597</v>
      </c>
      <c r="J506" s="1032" t="s">
        <v>1566</v>
      </c>
      <c r="K506" s="1032" t="s">
        <v>1567</v>
      </c>
      <c r="L506" s="1032" t="s">
        <v>1571</v>
      </c>
      <c r="M506" s="1033">
        <v>0.05</v>
      </c>
      <c r="N506" s="1032" t="s">
        <v>1569</v>
      </c>
      <c r="O506" s="1036">
        <v>73.2</v>
      </c>
      <c r="P506" s="1036">
        <v>73</v>
      </c>
      <c r="Q506" s="1036">
        <v>0.09</v>
      </c>
      <c r="R506" s="1036">
        <v>0</v>
      </c>
      <c r="S506" s="1036">
        <v>0.159</v>
      </c>
      <c r="T506" s="1036">
        <v>0</v>
      </c>
      <c r="U506" s="1037">
        <v>0</v>
      </c>
    </row>
    <row r="507" spans="4:21" hidden="1" outlineLevel="2">
      <c r="D507" s="1051">
        <f t="shared" si="49"/>
        <v>50</v>
      </c>
      <c r="E507" s="1051" t="str">
        <f>IF(COUNTIF(E$11:E506,F507)&gt;0,"",F507)</f>
        <v/>
      </c>
      <c r="F507" s="1051" t="str">
        <f t="shared" si="50"/>
        <v>Huiles de schistes, France continentale, Base Carbone</v>
      </c>
      <c r="G507" s="1055" t="str">
        <f t="shared" si="51"/>
        <v>Huiles de schistes, France continentale, Base Carbone; kgCO2e/GJ PCI, Amont</v>
      </c>
      <c r="I507" s="1031" t="s">
        <v>1597</v>
      </c>
      <c r="J507" s="1032" t="s">
        <v>1566</v>
      </c>
      <c r="K507" s="1032" t="s">
        <v>1567</v>
      </c>
      <c r="L507" s="1032" t="s">
        <v>1571</v>
      </c>
      <c r="M507" s="1033">
        <v>0.05</v>
      </c>
      <c r="N507" s="1032" t="s">
        <v>1570</v>
      </c>
      <c r="O507" s="1036">
        <v>127</v>
      </c>
      <c r="P507" s="1036">
        <v>127</v>
      </c>
      <c r="Q507" s="1036">
        <v>0</v>
      </c>
      <c r="R507" s="1036">
        <v>0</v>
      </c>
      <c r="S507" s="1036">
        <v>0</v>
      </c>
      <c r="T507" s="1036">
        <v>0</v>
      </c>
      <c r="U507" s="1037">
        <v>0</v>
      </c>
    </row>
    <row r="508" spans="4:21" hidden="1" outlineLevel="2">
      <c r="D508" s="1051">
        <f t="shared" si="49"/>
        <v>50</v>
      </c>
      <c r="E508" s="1051" t="str">
        <f>IF(COUNTIF(E$11:E507,F508)&gt;0,"",F508)</f>
        <v/>
      </c>
      <c r="F508" s="1051" t="str">
        <f t="shared" si="50"/>
        <v>Huiles de schistes, Europe, Base Carbone</v>
      </c>
      <c r="G508" s="1055" t="str">
        <f t="shared" si="51"/>
        <v>Huiles de schistes, Europe, Base Carbone; kgCO2e/kWh PCI, Combustion</v>
      </c>
      <c r="I508" s="1031" t="s">
        <v>1597</v>
      </c>
      <c r="J508" s="1032" t="s">
        <v>1573</v>
      </c>
      <c r="K508" s="1032" t="s">
        <v>1567</v>
      </c>
      <c r="L508" s="1032" t="s">
        <v>1568</v>
      </c>
      <c r="M508" s="1033">
        <v>0.05</v>
      </c>
      <c r="N508" s="1032" t="s">
        <v>1569</v>
      </c>
      <c r="O508" s="1036">
        <v>0.26500000000000001</v>
      </c>
      <c r="P508" s="1036">
        <v>0.26400000000000001</v>
      </c>
      <c r="Q508" s="1036">
        <v>3.3E-4</v>
      </c>
      <c r="R508" s="1036">
        <v>0</v>
      </c>
      <c r="S508" s="1036">
        <v>5.8299999999999997E-4</v>
      </c>
      <c r="T508" s="1036">
        <v>0</v>
      </c>
      <c r="U508" s="1037">
        <v>0</v>
      </c>
    </row>
    <row r="509" spans="4:21" hidden="1" outlineLevel="2">
      <c r="D509" s="1051">
        <f t="shared" si="49"/>
        <v>50</v>
      </c>
      <c r="E509" s="1051" t="str">
        <f>IF(COUNTIF(E$11:E508,F509)&gt;0,"",F509)</f>
        <v/>
      </c>
      <c r="F509" s="1051" t="str">
        <f t="shared" si="50"/>
        <v>Huiles de schistes, Europe, Base Carbone</v>
      </c>
      <c r="G509" s="1055" t="str">
        <f t="shared" si="51"/>
        <v>Huiles de schistes, Europe, Base Carbone; kgCO2e/kWh PCI, Amont</v>
      </c>
      <c r="I509" s="1031" t="s">
        <v>1597</v>
      </c>
      <c r="J509" s="1032" t="s">
        <v>1573</v>
      </c>
      <c r="K509" s="1032" t="s">
        <v>1567</v>
      </c>
      <c r="L509" s="1032" t="s">
        <v>1568</v>
      </c>
      <c r="M509" s="1033">
        <v>0.05</v>
      </c>
      <c r="N509" s="1032" t="s">
        <v>1570</v>
      </c>
      <c r="O509" s="1036">
        <v>0.45800000000000002</v>
      </c>
      <c r="P509" s="1036">
        <v>0.45800000000000002</v>
      </c>
      <c r="Q509" s="1036">
        <v>0</v>
      </c>
      <c r="R509" s="1036">
        <v>0</v>
      </c>
      <c r="S509" s="1036">
        <v>0</v>
      </c>
      <c r="T509" s="1036">
        <v>0</v>
      </c>
      <c r="U509" s="1037">
        <v>0</v>
      </c>
    </row>
    <row r="510" spans="4:21" hidden="1" outlineLevel="2">
      <c r="D510" s="1051">
        <f t="shared" si="49"/>
        <v>50</v>
      </c>
      <c r="E510" s="1051" t="str">
        <f>IF(COUNTIF(E$11:E509,F510)&gt;0,"",F510)</f>
        <v/>
      </c>
      <c r="F510" s="1051" t="str">
        <f t="shared" si="50"/>
        <v>Huiles de schistes, France continentale, Base Carbone</v>
      </c>
      <c r="G510" s="1055" t="str">
        <f t="shared" si="51"/>
        <v>Huiles de schistes, France continentale, Base Carbone; kgCO2e/kWh PCI, Combustion</v>
      </c>
      <c r="I510" s="1031" t="s">
        <v>1597</v>
      </c>
      <c r="J510" s="1032" t="s">
        <v>1573</v>
      </c>
      <c r="K510" s="1032" t="s">
        <v>1567</v>
      </c>
      <c r="L510" s="1032" t="s">
        <v>1571</v>
      </c>
      <c r="M510" s="1033">
        <v>0.05</v>
      </c>
      <c r="N510" s="1032" t="s">
        <v>1569</v>
      </c>
      <c r="O510" s="1036">
        <v>0.26400000000000001</v>
      </c>
      <c r="P510" s="1036">
        <v>0.26300000000000001</v>
      </c>
      <c r="Q510" s="1036">
        <v>3.3E-4</v>
      </c>
      <c r="R510" s="1036">
        <v>0</v>
      </c>
      <c r="S510" s="1036">
        <v>5.8299999999999997E-4</v>
      </c>
      <c r="T510" s="1036">
        <v>0</v>
      </c>
      <c r="U510" s="1037">
        <v>0</v>
      </c>
    </row>
    <row r="511" spans="4:21" hidden="1" outlineLevel="2">
      <c r="D511" s="1051">
        <f t="shared" si="49"/>
        <v>50</v>
      </c>
      <c r="E511" s="1051" t="str">
        <f>IF(COUNTIF(E$11:E510,F511)&gt;0,"",F511)</f>
        <v/>
      </c>
      <c r="F511" s="1051" t="str">
        <f t="shared" si="50"/>
        <v>Huiles de schistes, France continentale, Base Carbone</v>
      </c>
      <c r="G511" s="1055" t="str">
        <f t="shared" si="51"/>
        <v>Huiles de schistes, France continentale, Base Carbone; kgCO2e/kWh PCI, Amont</v>
      </c>
      <c r="I511" s="1031" t="s">
        <v>1597</v>
      </c>
      <c r="J511" s="1032" t="s">
        <v>1573</v>
      </c>
      <c r="K511" s="1032" t="s">
        <v>1567</v>
      </c>
      <c r="L511" s="1032" t="s">
        <v>1571</v>
      </c>
      <c r="M511" s="1033">
        <v>0.05</v>
      </c>
      <c r="N511" s="1032" t="s">
        <v>1570</v>
      </c>
      <c r="O511" s="1036">
        <v>0.45800000000000002</v>
      </c>
      <c r="P511" s="1036">
        <v>0.45800000000000002</v>
      </c>
      <c r="Q511" s="1036">
        <v>0</v>
      </c>
      <c r="R511" s="1036">
        <v>0</v>
      </c>
      <c r="S511" s="1036">
        <v>0</v>
      </c>
      <c r="T511" s="1036">
        <v>0</v>
      </c>
      <c r="U511" s="1037">
        <v>0</v>
      </c>
    </row>
    <row r="512" spans="4:21" hidden="1" outlineLevel="2">
      <c r="D512" s="1051">
        <f t="shared" si="49"/>
        <v>50</v>
      </c>
      <c r="E512" s="1051" t="str">
        <f>IF(COUNTIF(E$11:E511,F512)&gt;0,"",F512)</f>
        <v/>
      </c>
      <c r="F512" s="1051" t="str">
        <f t="shared" si="50"/>
        <v>Huiles de schistes, Europe, Base Carbone</v>
      </c>
      <c r="G512" s="1055" t="str">
        <f t="shared" si="51"/>
        <v>Huiles de schistes, Europe, Base Carbone; kgCO2e/tep PCI, Combustion</v>
      </c>
      <c r="I512" s="1031" t="s">
        <v>1597</v>
      </c>
      <c r="J512" s="1032" t="s">
        <v>1575</v>
      </c>
      <c r="K512" s="1032" t="s">
        <v>1567</v>
      </c>
      <c r="L512" s="1032" t="s">
        <v>1568</v>
      </c>
      <c r="M512" s="1033">
        <v>0.05</v>
      </c>
      <c r="N512" s="1032" t="s">
        <v>1569</v>
      </c>
      <c r="O512" s="1036">
        <v>3090</v>
      </c>
      <c r="P512" s="1036">
        <v>3080</v>
      </c>
      <c r="Q512" s="1036">
        <v>3.78</v>
      </c>
      <c r="R512" s="1036">
        <v>0</v>
      </c>
      <c r="S512" s="1036">
        <v>6.68</v>
      </c>
      <c r="T512" s="1036">
        <v>0</v>
      </c>
      <c r="U512" s="1037">
        <v>0</v>
      </c>
    </row>
    <row r="513" spans="4:21" hidden="1" outlineLevel="2">
      <c r="D513" s="1051">
        <f t="shared" si="49"/>
        <v>50</v>
      </c>
      <c r="E513" s="1051" t="str">
        <f>IF(COUNTIF(E$11:E512,F513)&gt;0,"",F513)</f>
        <v/>
      </c>
      <c r="F513" s="1051" t="str">
        <f t="shared" si="50"/>
        <v>Huiles de schistes, Europe, Base Carbone</v>
      </c>
      <c r="G513" s="1055" t="str">
        <f t="shared" si="51"/>
        <v>Huiles de schistes, Europe, Base Carbone; kgCO2e/tep PCI, Amont</v>
      </c>
      <c r="I513" s="1031" t="s">
        <v>1597</v>
      </c>
      <c r="J513" s="1032" t="s">
        <v>1575</v>
      </c>
      <c r="K513" s="1032" t="s">
        <v>1567</v>
      </c>
      <c r="L513" s="1032" t="s">
        <v>1568</v>
      </c>
      <c r="M513" s="1033">
        <v>0.05</v>
      </c>
      <c r="N513" s="1032" t="s">
        <v>1570</v>
      </c>
      <c r="O513" s="1036">
        <v>5350</v>
      </c>
      <c r="P513" s="1036">
        <v>5350</v>
      </c>
      <c r="Q513" s="1036">
        <v>0</v>
      </c>
      <c r="R513" s="1036">
        <v>0</v>
      </c>
      <c r="S513" s="1036">
        <v>0</v>
      </c>
      <c r="T513" s="1036">
        <v>0</v>
      </c>
      <c r="U513" s="1037">
        <v>0</v>
      </c>
    </row>
    <row r="514" spans="4:21" hidden="1" outlineLevel="2">
      <c r="D514" s="1051">
        <f t="shared" si="49"/>
        <v>50</v>
      </c>
      <c r="E514" s="1051" t="str">
        <f>IF(COUNTIF(E$11:E513,F514)&gt;0,"",F514)</f>
        <v/>
      </c>
      <c r="F514" s="1051" t="str">
        <f t="shared" si="50"/>
        <v>Huiles de schistes, France continentale, Base Carbone</v>
      </c>
      <c r="G514" s="1055" t="str">
        <f t="shared" si="51"/>
        <v>Huiles de schistes, France continentale, Base Carbone; kgCO2e/tep PCI, Combustion</v>
      </c>
      <c r="I514" s="1031" t="s">
        <v>1597</v>
      </c>
      <c r="J514" s="1032" t="s">
        <v>1575</v>
      </c>
      <c r="K514" s="1032" t="s">
        <v>1567</v>
      </c>
      <c r="L514" s="1032" t="s">
        <v>1571</v>
      </c>
      <c r="M514" s="1033">
        <v>0.05</v>
      </c>
      <c r="N514" s="1032" t="s">
        <v>1569</v>
      </c>
      <c r="O514" s="1036">
        <v>3080</v>
      </c>
      <c r="P514" s="1036">
        <v>3070</v>
      </c>
      <c r="Q514" s="1036">
        <v>3.78</v>
      </c>
      <c r="R514" s="1036">
        <v>0</v>
      </c>
      <c r="S514" s="1036">
        <v>6.68</v>
      </c>
      <c r="T514" s="1036">
        <v>0</v>
      </c>
      <c r="U514" s="1037">
        <v>0</v>
      </c>
    </row>
    <row r="515" spans="4:21" hidden="1" outlineLevel="2">
      <c r="D515" s="1051">
        <f t="shared" si="49"/>
        <v>50</v>
      </c>
      <c r="E515" s="1051" t="str">
        <f>IF(COUNTIF(E$11:E514,F515)&gt;0,"",F515)</f>
        <v/>
      </c>
      <c r="F515" s="1051" t="str">
        <f t="shared" si="50"/>
        <v>Huiles de schistes, France continentale, Base Carbone</v>
      </c>
      <c r="G515" s="1055" t="str">
        <f t="shared" si="51"/>
        <v>Huiles de schistes, France continentale, Base Carbone; kgCO2e/tep PCI, Amont</v>
      </c>
      <c r="I515" s="1031" t="s">
        <v>1597</v>
      </c>
      <c r="J515" s="1032" t="s">
        <v>1575</v>
      </c>
      <c r="K515" s="1032" t="s">
        <v>1567</v>
      </c>
      <c r="L515" s="1032" t="s">
        <v>1571</v>
      </c>
      <c r="M515" s="1033">
        <v>0.05</v>
      </c>
      <c r="N515" s="1032" t="s">
        <v>1570</v>
      </c>
      <c r="O515" s="1036">
        <v>5350</v>
      </c>
      <c r="P515" s="1036">
        <v>5350</v>
      </c>
      <c r="Q515" s="1036">
        <v>0</v>
      </c>
      <c r="R515" s="1036">
        <v>0</v>
      </c>
      <c r="S515" s="1036">
        <v>0</v>
      </c>
      <c r="T515" s="1036">
        <v>0</v>
      </c>
      <c r="U515" s="1037">
        <v>0</v>
      </c>
    </row>
    <row r="516" spans="4:21" hidden="1" outlineLevel="2">
      <c r="D516" s="1051">
        <f t="shared" si="49"/>
        <v>51</v>
      </c>
      <c r="E516" s="1051" t="str">
        <f>IF(COUNTIF(E$11:E515,F516)&gt;0,"",F516)</f>
        <v>Kérosène (jet A1 ou A), Europe, Base Carbone</v>
      </c>
      <c r="F516" s="1051" t="str">
        <f t="shared" si="50"/>
        <v>Kérosène (jet A1 ou A), Europe, Base Carbone</v>
      </c>
      <c r="G516" s="1055" t="str">
        <f t="shared" si="51"/>
        <v>Kérosène (jet A1 ou A), Europe, Base Carbone; kgCO2e/GJ PCI, Combustion</v>
      </c>
      <c r="I516" s="1031" t="s">
        <v>1598</v>
      </c>
      <c r="J516" s="1032" t="s">
        <v>1566</v>
      </c>
      <c r="K516" s="1032" t="s">
        <v>1567</v>
      </c>
      <c r="L516" s="1032" t="s">
        <v>1568</v>
      </c>
      <c r="M516" s="1033">
        <v>0.05</v>
      </c>
      <c r="N516" s="1032" t="s">
        <v>1569</v>
      </c>
      <c r="O516" s="1036">
        <v>71.7</v>
      </c>
      <c r="P516" s="1036">
        <v>71.5</v>
      </c>
      <c r="Q516" s="1036">
        <v>0.09</v>
      </c>
      <c r="R516" s="1036">
        <v>0</v>
      </c>
      <c r="S516" s="1036">
        <v>0.159</v>
      </c>
      <c r="T516" s="1036">
        <v>0</v>
      </c>
      <c r="U516" s="1037">
        <v>0</v>
      </c>
    </row>
    <row r="517" spans="4:21" hidden="1" outlineLevel="2">
      <c r="D517" s="1051">
        <f t="shared" si="49"/>
        <v>51</v>
      </c>
      <c r="E517" s="1051" t="str">
        <f>IF(COUNTIF(E$11:E516,F517)&gt;0,"",F517)</f>
        <v/>
      </c>
      <c r="F517" s="1051" t="str">
        <f t="shared" si="50"/>
        <v>Kérosène (jet A1 ou A), Europe, Base Carbone</v>
      </c>
      <c r="G517" s="1055" t="str">
        <f t="shared" si="51"/>
        <v>Kérosène (jet A1 ou A), Europe, Base Carbone; kgCO2e/GJ PCI, Amont</v>
      </c>
      <c r="I517" s="1031" t="s">
        <v>1598</v>
      </c>
      <c r="J517" s="1032" t="s">
        <v>1566</v>
      </c>
      <c r="K517" s="1032" t="s">
        <v>1567</v>
      </c>
      <c r="L517" s="1032" t="s">
        <v>1568</v>
      </c>
      <c r="M517" s="1033">
        <v>0.05</v>
      </c>
      <c r="N517" s="1032" t="s">
        <v>1570</v>
      </c>
      <c r="O517" s="1036">
        <v>15.1</v>
      </c>
      <c r="P517" s="1036">
        <v>13.6</v>
      </c>
      <c r="Q517" s="1036">
        <v>1.5</v>
      </c>
      <c r="R517" s="1036">
        <v>0</v>
      </c>
      <c r="S517" s="1036">
        <v>0</v>
      </c>
      <c r="T517" s="1036">
        <v>0</v>
      </c>
      <c r="U517" s="1037">
        <v>0</v>
      </c>
    </row>
    <row r="518" spans="4:21" hidden="1" outlineLevel="2">
      <c r="D518" s="1051">
        <f t="shared" si="49"/>
        <v>52</v>
      </c>
      <c r="E518" s="1051" t="str">
        <f>IF(COUNTIF(E$11:E517,F518)&gt;0,"",F518)</f>
        <v>Kérosène (jet A1 ou A), France continentale, Base Carbone</v>
      </c>
      <c r="F518" s="1051" t="str">
        <f t="shared" si="50"/>
        <v>Kérosène (jet A1 ou A), France continentale, Base Carbone</v>
      </c>
      <c r="G518" s="1055" t="str">
        <f t="shared" si="51"/>
        <v>Kérosène (jet A1 ou A), France continentale, Base Carbone; kgCO2e/GJ PCI, Combustion</v>
      </c>
      <c r="I518" s="1031" t="s">
        <v>1598</v>
      </c>
      <c r="J518" s="1032" t="s">
        <v>1566</v>
      </c>
      <c r="K518" s="1032" t="s">
        <v>1567</v>
      </c>
      <c r="L518" s="1032" t="s">
        <v>1571</v>
      </c>
      <c r="M518" s="1033">
        <v>0.05</v>
      </c>
      <c r="N518" s="1032" t="s">
        <v>1569</v>
      </c>
      <c r="O518" s="1036">
        <v>71.8</v>
      </c>
      <c r="P518" s="1036">
        <v>71.599999999999994</v>
      </c>
      <c r="Q518" s="1036">
        <v>0.09</v>
      </c>
      <c r="R518" s="1036">
        <v>0</v>
      </c>
      <c r="S518" s="1036">
        <v>0.159</v>
      </c>
      <c r="T518" s="1036">
        <v>0</v>
      </c>
      <c r="U518" s="1037">
        <v>0</v>
      </c>
    </row>
    <row r="519" spans="4:21" hidden="1" outlineLevel="2">
      <c r="D519" s="1051">
        <f t="shared" si="49"/>
        <v>52</v>
      </c>
      <c r="E519" s="1051" t="str">
        <f>IF(COUNTIF(E$11:E518,F519)&gt;0,"",F519)</f>
        <v/>
      </c>
      <c r="F519" s="1051" t="str">
        <f t="shared" si="50"/>
        <v>Kérosène (jet A1 ou A), France continentale, Base Carbone</v>
      </c>
      <c r="G519" s="1055" t="str">
        <f t="shared" si="51"/>
        <v>Kérosène (jet A1 ou A), France continentale, Base Carbone; kgCO2e/GJ PCI, Amont</v>
      </c>
      <c r="I519" s="1031" t="s">
        <v>1598</v>
      </c>
      <c r="J519" s="1032" t="s">
        <v>1566</v>
      </c>
      <c r="K519" s="1032" t="s">
        <v>1567</v>
      </c>
      <c r="L519" s="1032" t="s">
        <v>1571</v>
      </c>
      <c r="M519" s="1033">
        <v>0.05</v>
      </c>
      <c r="N519" s="1032" t="s">
        <v>1570</v>
      </c>
      <c r="O519" s="1036">
        <v>15.1</v>
      </c>
      <c r="P519" s="1036">
        <v>13.6</v>
      </c>
      <c r="Q519" s="1036">
        <v>1.5</v>
      </c>
      <c r="R519" s="1036">
        <v>0</v>
      </c>
      <c r="S519" s="1036">
        <v>0</v>
      </c>
      <c r="T519" s="1036">
        <v>0</v>
      </c>
      <c r="U519" s="1037">
        <v>0</v>
      </c>
    </row>
    <row r="520" spans="4:21" hidden="1" outlineLevel="2">
      <c r="D520" s="1051">
        <f t="shared" si="49"/>
        <v>52</v>
      </c>
      <c r="E520" s="1051" t="str">
        <f>IF(COUNTIF(E$11:E519,F520)&gt;0,"",F520)</f>
        <v/>
      </c>
      <c r="F520" s="1051" t="str">
        <f t="shared" si="50"/>
        <v>Kérosène (jet A1 ou A), Europe, Base Carbone</v>
      </c>
      <c r="G520" s="1055" t="str">
        <f t="shared" si="51"/>
        <v>Kérosène (jet A1 ou A), Europe, Base Carbone; kgCO2e/kg, Combustion</v>
      </c>
      <c r="I520" s="1031" t="s">
        <v>1598</v>
      </c>
      <c r="J520" s="1032" t="s">
        <v>1572</v>
      </c>
      <c r="K520" s="1032" t="s">
        <v>1567</v>
      </c>
      <c r="L520" s="1032" t="s">
        <v>1568</v>
      </c>
      <c r="M520" s="1033">
        <v>0.05</v>
      </c>
      <c r="N520" s="1032" t="s">
        <v>1569</v>
      </c>
      <c r="O520" s="1036">
        <v>3.16</v>
      </c>
      <c r="P520" s="1036">
        <v>3.15</v>
      </c>
      <c r="Q520" s="1036">
        <v>3.96E-3</v>
      </c>
      <c r="R520" s="1036">
        <v>0</v>
      </c>
      <c r="S520" s="1036">
        <v>7.0200000000000002E-3</v>
      </c>
      <c r="T520" s="1036">
        <v>0</v>
      </c>
      <c r="U520" s="1037">
        <v>0</v>
      </c>
    </row>
    <row r="521" spans="4:21" hidden="1" outlineLevel="2">
      <c r="D521" s="1051">
        <f t="shared" si="49"/>
        <v>52</v>
      </c>
      <c r="E521" s="1051" t="str">
        <f>IF(COUNTIF(E$11:E520,F521)&gt;0,"",F521)</f>
        <v/>
      </c>
      <c r="F521" s="1051" t="str">
        <f t="shared" si="50"/>
        <v>Kérosène (jet A1 ou A), Europe, Base Carbone</v>
      </c>
      <c r="G521" s="1055" t="str">
        <f t="shared" si="51"/>
        <v>Kérosène (jet A1 ou A), Europe, Base Carbone; kgCO2e/kg, Amont</v>
      </c>
      <c r="I521" s="1031" t="s">
        <v>1598</v>
      </c>
      <c r="J521" s="1032" t="s">
        <v>1572</v>
      </c>
      <c r="K521" s="1032" t="s">
        <v>1567</v>
      </c>
      <c r="L521" s="1032" t="s">
        <v>1568</v>
      </c>
      <c r="M521" s="1033">
        <v>0.05</v>
      </c>
      <c r="N521" s="1032" t="s">
        <v>1570</v>
      </c>
      <c r="O521" s="1036">
        <v>0.66500000000000004</v>
      </c>
      <c r="P521" s="1036">
        <v>0.60099999999999998</v>
      </c>
      <c r="Q521" s="1036">
        <v>6.4199999999999993E-2</v>
      </c>
      <c r="R521" s="1036">
        <v>0</v>
      </c>
      <c r="S521" s="1036">
        <v>0</v>
      </c>
      <c r="T521" s="1036">
        <v>0</v>
      </c>
      <c r="U521" s="1037">
        <v>0</v>
      </c>
    </row>
    <row r="522" spans="4:21" hidden="1" outlineLevel="2">
      <c r="D522" s="1051">
        <f t="shared" si="49"/>
        <v>52</v>
      </c>
      <c r="E522" s="1051" t="str">
        <f>IF(COUNTIF(E$11:E521,F522)&gt;0,"",F522)</f>
        <v/>
      </c>
      <c r="F522" s="1051" t="str">
        <f t="shared" si="50"/>
        <v>Kérosène (jet A1 ou A), France continentale, Base Carbone</v>
      </c>
      <c r="G522" s="1055" t="str">
        <f t="shared" si="51"/>
        <v>Kérosène (jet A1 ou A), France continentale, Base Carbone; kgCO2e/kg, Combustion</v>
      </c>
      <c r="I522" s="1031" t="s">
        <v>1598</v>
      </c>
      <c r="J522" s="1032" t="s">
        <v>1572</v>
      </c>
      <c r="K522" s="1032" t="s">
        <v>1567</v>
      </c>
      <c r="L522" s="1032" t="s">
        <v>1571</v>
      </c>
      <c r="M522" s="1033">
        <v>0.05</v>
      </c>
      <c r="N522" s="1032" t="s">
        <v>1569</v>
      </c>
      <c r="O522" s="1036">
        <v>3.16</v>
      </c>
      <c r="P522" s="1036">
        <v>3.15</v>
      </c>
      <c r="Q522" s="1036">
        <v>3.96E-3</v>
      </c>
      <c r="R522" s="1036">
        <v>0</v>
      </c>
      <c r="S522" s="1036">
        <v>7.0000000000000001E-3</v>
      </c>
      <c r="T522" s="1036">
        <v>0</v>
      </c>
      <c r="U522" s="1037">
        <v>0</v>
      </c>
    </row>
    <row r="523" spans="4:21" hidden="1" outlineLevel="2">
      <c r="D523" s="1051">
        <f t="shared" si="49"/>
        <v>52</v>
      </c>
      <c r="E523" s="1051" t="str">
        <f>IF(COUNTIF(E$11:E522,F523)&gt;0,"",F523)</f>
        <v/>
      </c>
      <c r="F523" s="1051" t="str">
        <f t="shared" si="50"/>
        <v>Kérosène (jet A1 ou A), France continentale, Base Carbone</v>
      </c>
      <c r="G523" s="1055" t="str">
        <f t="shared" si="51"/>
        <v>Kérosène (jet A1 ou A), France continentale, Base Carbone; kgCO2e/kg, Amont</v>
      </c>
      <c r="I523" s="1031" t="s">
        <v>1598</v>
      </c>
      <c r="J523" s="1032" t="s">
        <v>1572</v>
      </c>
      <c r="K523" s="1032" t="s">
        <v>1567</v>
      </c>
      <c r="L523" s="1032" t="s">
        <v>1571</v>
      </c>
      <c r="M523" s="1033">
        <v>0.05</v>
      </c>
      <c r="N523" s="1032" t="s">
        <v>1570</v>
      </c>
      <c r="O523" s="1036">
        <v>0.66400000000000003</v>
      </c>
      <c r="P523" s="1036">
        <v>0.6</v>
      </c>
      <c r="Q523" s="1036">
        <v>6.4199999999999993E-2</v>
      </c>
      <c r="R523" s="1036">
        <v>0</v>
      </c>
      <c r="S523" s="1036">
        <v>0</v>
      </c>
      <c r="T523" s="1036">
        <v>0</v>
      </c>
      <c r="U523" s="1037">
        <v>0</v>
      </c>
    </row>
    <row r="524" spans="4:21" hidden="1" outlineLevel="2">
      <c r="D524" s="1051">
        <f t="shared" si="49"/>
        <v>52</v>
      </c>
      <c r="E524" s="1051" t="str">
        <f>IF(COUNTIF(E$11:E523,F524)&gt;0,"",F524)</f>
        <v/>
      </c>
      <c r="F524" s="1051" t="str">
        <f t="shared" si="50"/>
        <v>Kérosène (jet A1 ou A), Europe, Base Carbone</v>
      </c>
      <c r="G524" s="1055" t="str">
        <f t="shared" si="51"/>
        <v>Kérosène (jet A1 ou A), Europe, Base Carbone; kgCO2e/kWh PCI, Combustion</v>
      </c>
      <c r="I524" s="1031" t="s">
        <v>1598</v>
      </c>
      <c r="J524" s="1032" t="s">
        <v>1573</v>
      </c>
      <c r="K524" s="1032" t="s">
        <v>1567</v>
      </c>
      <c r="L524" s="1032" t="s">
        <v>1568</v>
      </c>
      <c r="M524" s="1033">
        <v>0.05</v>
      </c>
      <c r="N524" s="1032" t="s">
        <v>1569</v>
      </c>
      <c r="O524" s="1036">
        <v>0.25800000000000001</v>
      </c>
      <c r="P524" s="1036">
        <v>0.25700000000000001</v>
      </c>
      <c r="Q524" s="1036">
        <v>3.3E-4</v>
      </c>
      <c r="R524" s="1036">
        <v>0</v>
      </c>
      <c r="S524" s="1036">
        <v>5.8299999999999997E-4</v>
      </c>
      <c r="T524" s="1036">
        <v>0</v>
      </c>
      <c r="U524" s="1037">
        <v>0</v>
      </c>
    </row>
    <row r="525" spans="4:21" hidden="1" outlineLevel="2">
      <c r="D525" s="1051">
        <f t="shared" si="49"/>
        <v>52</v>
      </c>
      <c r="E525" s="1051" t="str">
        <f>IF(COUNTIF(E$11:E524,F525)&gt;0,"",F525)</f>
        <v/>
      </c>
      <c r="F525" s="1051" t="str">
        <f t="shared" si="50"/>
        <v>Kérosène (jet A1 ou A), Europe, Base Carbone</v>
      </c>
      <c r="G525" s="1055" t="str">
        <f t="shared" si="51"/>
        <v>Kérosène (jet A1 ou A), Europe, Base Carbone; kgCO2e/kWh PCI, Amont</v>
      </c>
      <c r="I525" s="1031" t="s">
        <v>1598</v>
      </c>
      <c r="J525" s="1032" t="s">
        <v>1573</v>
      </c>
      <c r="K525" s="1032" t="s">
        <v>1567</v>
      </c>
      <c r="L525" s="1032" t="s">
        <v>1568</v>
      </c>
      <c r="M525" s="1033">
        <v>0.05</v>
      </c>
      <c r="N525" s="1032" t="s">
        <v>1570</v>
      </c>
      <c r="O525" s="1036">
        <v>5.5E-2</v>
      </c>
      <c r="P525" s="1036">
        <v>4.9000000000000002E-2</v>
      </c>
      <c r="Q525" s="1036">
        <v>6.0000000000000001E-3</v>
      </c>
      <c r="R525" s="1036">
        <v>0</v>
      </c>
      <c r="S525" s="1036">
        <v>0</v>
      </c>
      <c r="T525" s="1036">
        <v>0</v>
      </c>
      <c r="U525" s="1037">
        <v>0</v>
      </c>
    </row>
    <row r="526" spans="4:21" hidden="1" outlineLevel="2">
      <c r="D526" s="1051">
        <f t="shared" si="49"/>
        <v>52</v>
      </c>
      <c r="E526" s="1051" t="str">
        <f>IF(COUNTIF(E$11:E525,F526)&gt;0,"",F526)</f>
        <v/>
      </c>
      <c r="F526" s="1051" t="str">
        <f t="shared" si="50"/>
        <v>Kérosène (jet A1 ou A), France continentale, Base Carbone</v>
      </c>
      <c r="G526" s="1055" t="str">
        <f t="shared" si="51"/>
        <v>Kérosène (jet A1 ou A), France continentale, Base Carbone; kgCO2e/kWh PCI, Combustion</v>
      </c>
      <c r="I526" s="1031" t="s">
        <v>1598</v>
      </c>
      <c r="J526" s="1032" t="s">
        <v>1573</v>
      </c>
      <c r="K526" s="1032" t="s">
        <v>1567</v>
      </c>
      <c r="L526" s="1032" t="s">
        <v>1571</v>
      </c>
      <c r="M526" s="1033">
        <v>0.05</v>
      </c>
      <c r="N526" s="1032" t="s">
        <v>1569</v>
      </c>
      <c r="O526" s="1036">
        <v>0.25900000000000001</v>
      </c>
      <c r="P526" s="1036">
        <v>0.25800000000000001</v>
      </c>
      <c r="Q526" s="1036">
        <v>3.2400000000000001E-4</v>
      </c>
      <c r="R526" s="1036">
        <v>0</v>
      </c>
      <c r="S526" s="1036">
        <v>5.7200000000000003E-4</v>
      </c>
      <c r="T526" s="1036">
        <v>0</v>
      </c>
      <c r="U526" s="1037">
        <v>0</v>
      </c>
    </row>
    <row r="527" spans="4:21" hidden="1" outlineLevel="2">
      <c r="D527" s="1051">
        <f t="shared" si="49"/>
        <v>52</v>
      </c>
      <c r="E527" s="1051" t="str">
        <f>IF(COUNTIF(E$11:E526,F527)&gt;0,"",F527)</f>
        <v/>
      </c>
      <c r="F527" s="1051" t="str">
        <f t="shared" si="50"/>
        <v>Kérosène (jet A1 ou A), France continentale, Base Carbone</v>
      </c>
      <c r="G527" s="1055" t="str">
        <f t="shared" si="51"/>
        <v>Kérosène (jet A1 ou A), France continentale, Base Carbone; kgCO2e/kWh PCI, Amont</v>
      </c>
      <c r="I527" s="1031" t="s">
        <v>1598</v>
      </c>
      <c r="J527" s="1032" t="s">
        <v>1573</v>
      </c>
      <c r="K527" s="1032" t="s">
        <v>1567</v>
      </c>
      <c r="L527" s="1032" t="s">
        <v>1571</v>
      </c>
      <c r="M527" s="1033">
        <v>0.05</v>
      </c>
      <c r="N527" s="1032" t="s">
        <v>1570</v>
      </c>
      <c r="O527" s="1036">
        <v>5.4399999999999997E-2</v>
      </c>
      <c r="P527" s="1036">
        <v>4.9099999999999998E-2</v>
      </c>
      <c r="Q527" s="1036">
        <v>5.2500000000000003E-3</v>
      </c>
      <c r="R527" s="1036">
        <v>0</v>
      </c>
      <c r="S527" s="1036">
        <v>0</v>
      </c>
      <c r="T527" s="1036">
        <v>0</v>
      </c>
      <c r="U527" s="1037">
        <v>0</v>
      </c>
    </row>
    <row r="528" spans="4:21" s="1045" customFormat="1" hidden="1" outlineLevel="2">
      <c r="D528" s="1051">
        <f t="shared" si="49"/>
        <v>52</v>
      </c>
      <c r="E528" s="1051" t="str">
        <f>IF(COUNTIF(E$11:E527,F528)&gt;0,"",F528)</f>
        <v/>
      </c>
      <c r="F528" s="1051" t="str">
        <f t="shared" si="50"/>
        <v>Kérosène (jet A1 ou A), Europe, Base Carbone</v>
      </c>
      <c r="G528" s="1055" t="str">
        <f t="shared" si="51"/>
        <v>Kérosène (jet A1 ou A), Europe, Base Carbone; kgCO2e/litre, Combustion</v>
      </c>
      <c r="I528" s="1031" t="s">
        <v>1598</v>
      </c>
      <c r="J528" s="1032" t="s">
        <v>1574</v>
      </c>
      <c r="K528" s="1032" t="s">
        <v>1567</v>
      </c>
      <c r="L528" s="1032" t="s">
        <v>1568</v>
      </c>
      <c r="M528" s="1033">
        <v>0.05</v>
      </c>
      <c r="N528" s="1032" t="s">
        <v>1569</v>
      </c>
      <c r="O528" s="1036">
        <v>2.79</v>
      </c>
      <c r="P528" s="1036">
        <v>2.52</v>
      </c>
      <c r="Q528" s="1036">
        <v>0.26900000000000002</v>
      </c>
      <c r="R528" s="1036">
        <v>0</v>
      </c>
      <c r="S528" s="1036">
        <v>5.5700000000000003E-3</v>
      </c>
      <c r="T528" s="1036">
        <v>0</v>
      </c>
      <c r="U528" s="1037">
        <v>0</v>
      </c>
    </row>
    <row r="529" spans="4:21" s="1045" customFormat="1" hidden="1" outlineLevel="2">
      <c r="D529" s="1051">
        <f t="shared" si="49"/>
        <v>52</v>
      </c>
      <c r="E529" s="1051" t="str">
        <f>IF(COUNTIF(E$11:E528,F529)&gt;0,"",F529)</f>
        <v/>
      </c>
      <c r="F529" s="1051" t="str">
        <f t="shared" si="50"/>
        <v>Kérosène (jet A1 ou A), Europe, Base Carbone</v>
      </c>
      <c r="G529" s="1055" t="str">
        <f t="shared" si="51"/>
        <v>Kérosène (jet A1 ou A), Europe, Base Carbone; kgCO2e/litre, Amont</v>
      </c>
      <c r="I529" s="1031" t="s">
        <v>1598</v>
      </c>
      <c r="J529" s="1032" t="s">
        <v>1574</v>
      </c>
      <c r="K529" s="1032" t="s">
        <v>1567</v>
      </c>
      <c r="L529" s="1032" t="s">
        <v>1568</v>
      </c>
      <c r="M529" s="1033">
        <v>0.05</v>
      </c>
      <c r="N529" s="1032" t="s">
        <v>1570</v>
      </c>
      <c r="O529" s="1036">
        <v>0.53200000000000003</v>
      </c>
      <c r="P529" s="1036">
        <v>0.48099999999999998</v>
      </c>
      <c r="Q529" s="1036">
        <v>5.1299999999999998E-2</v>
      </c>
      <c r="R529" s="1036">
        <v>0</v>
      </c>
      <c r="S529" s="1036">
        <v>0</v>
      </c>
      <c r="T529" s="1036">
        <v>0</v>
      </c>
      <c r="U529" s="1037">
        <v>0</v>
      </c>
    </row>
    <row r="530" spans="4:21" s="1045" customFormat="1" hidden="1" outlineLevel="2">
      <c r="D530" s="1051">
        <f t="shared" si="49"/>
        <v>52</v>
      </c>
      <c r="E530" s="1051" t="str">
        <f>IF(COUNTIF(E$11:E529,F530)&gt;0,"",F530)</f>
        <v/>
      </c>
      <c r="F530" s="1051" t="str">
        <f t="shared" si="50"/>
        <v>Kérosène (jet A1 ou A), France continentale, Base Carbone</v>
      </c>
      <c r="G530" s="1055" t="str">
        <f t="shared" si="51"/>
        <v>Kérosène (jet A1 ou A), France continentale, Base Carbone; kgCO2e/litre, Combustion</v>
      </c>
      <c r="I530" s="1031" t="s">
        <v>1598</v>
      </c>
      <c r="J530" s="1032" t="s">
        <v>1574</v>
      </c>
      <c r="K530" s="1032" t="s">
        <v>1567</v>
      </c>
      <c r="L530" s="1032" t="s">
        <v>1571</v>
      </c>
      <c r="M530" s="1033">
        <v>0.05</v>
      </c>
      <c r="N530" s="1032" t="s">
        <v>1569</v>
      </c>
      <c r="O530" s="1036">
        <v>2.5499999999999998</v>
      </c>
      <c r="P530" s="1036">
        <v>2.54</v>
      </c>
      <c r="Q530" s="1036">
        <v>3.1700000000000001E-3</v>
      </c>
      <c r="R530" s="1036">
        <v>0</v>
      </c>
      <c r="S530" s="1036">
        <v>5.5999999999999999E-3</v>
      </c>
      <c r="T530" s="1036">
        <v>0</v>
      </c>
      <c r="U530" s="1037">
        <v>0</v>
      </c>
    </row>
    <row r="531" spans="4:21" s="1045" customFormat="1" hidden="1" outlineLevel="2">
      <c r="D531" s="1051">
        <f t="shared" si="49"/>
        <v>52</v>
      </c>
      <c r="E531" s="1051" t="str">
        <f>IF(COUNTIF(E$11:E530,F531)&gt;0,"",F531)</f>
        <v/>
      </c>
      <c r="F531" s="1051" t="str">
        <f t="shared" si="50"/>
        <v>Kérosène (jet A1 ou A), France continentale, Base Carbone</v>
      </c>
      <c r="G531" s="1055" t="str">
        <f t="shared" si="51"/>
        <v>Kérosène (jet A1 ou A), France continentale, Base Carbone; kgCO2e/litre, Amont</v>
      </c>
      <c r="I531" s="1031" t="s">
        <v>1598</v>
      </c>
      <c r="J531" s="1032" t="s">
        <v>1574</v>
      </c>
      <c r="K531" s="1032" t="s">
        <v>1567</v>
      </c>
      <c r="L531" s="1032" t="s">
        <v>1571</v>
      </c>
      <c r="M531" s="1033">
        <v>0.05</v>
      </c>
      <c r="N531" s="1032" t="s">
        <v>1570</v>
      </c>
      <c r="O531" s="1036">
        <v>0.53</v>
      </c>
      <c r="P531" s="1036">
        <v>0.47899999999999998</v>
      </c>
      <c r="Q531" s="1036">
        <v>5.1299999999999998E-2</v>
      </c>
      <c r="R531" s="1036">
        <v>0</v>
      </c>
      <c r="S531" s="1036">
        <v>0</v>
      </c>
      <c r="T531" s="1036">
        <v>0</v>
      </c>
      <c r="U531" s="1037">
        <v>0</v>
      </c>
    </row>
    <row r="532" spans="4:21" s="1045" customFormat="1" hidden="1" outlineLevel="2">
      <c r="D532" s="1051">
        <f t="shared" si="49"/>
        <v>52</v>
      </c>
      <c r="E532" s="1051" t="str">
        <f>IF(COUNTIF(E$11:E531,F532)&gt;0,"",F532)</f>
        <v/>
      </c>
      <c r="F532" s="1051" t="str">
        <f t="shared" si="50"/>
        <v>Kérosène (jet A1 ou A), Europe, Base Carbone</v>
      </c>
      <c r="G532" s="1055" t="str">
        <f t="shared" si="51"/>
        <v>Kérosène (jet A1 ou A), Europe, Base Carbone; kgCO2e/tep PCI, Combustion</v>
      </c>
      <c r="I532" s="1031" t="s">
        <v>1598</v>
      </c>
      <c r="J532" s="1032" t="s">
        <v>1575</v>
      </c>
      <c r="K532" s="1032" t="s">
        <v>1567</v>
      </c>
      <c r="L532" s="1032" t="s">
        <v>1568</v>
      </c>
      <c r="M532" s="1033">
        <v>0.05</v>
      </c>
      <c r="N532" s="1032" t="s">
        <v>1569</v>
      </c>
      <c r="O532" s="1036">
        <v>3010</v>
      </c>
      <c r="P532" s="1036">
        <v>3000</v>
      </c>
      <c r="Q532" s="1036">
        <v>3.78</v>
      </c>
      <c r="R532" s="1036">
        <v>0</v>
      </c>
      <c r="S532" s="1036">
        <v>6.68</v>
      </c>
      <c r="T532" s="1036">
        <v>0</v>
      </c>
      <c r="U532" s="1037">
        <v>0</v>
      </c>
    </row>
    <row r="533" spans="4:21" s="1045" customFormat="1" hidden="1" outlineLevel="2">
      <c r="D533" s="1051">
        <f t="shared" si="49"/>
        <v>52</v>
      </c>
      <c r="E533" s="1051" t="str">
        <f>IF(COUNTIF(E$11:E532,F533)&gt;0,"",F533)</f>
        <v/>
      </c>
      <c r="F533" s="1051" t="str">
        <f t="shared" si="50"/>
        <v>Kérosène (jet A1 ou A), Europe, Base Carbone</v>
      </c>
      <c r="G533" s="1055" t="str">
        <f t="shared" si="51"/>
        <v>Kérosène (jet A1 ou A), Europe, Base Carbone; kgCO2e/tep PCI, Amont</v>
      </c>
      <c r="I533" s="1031" t="s">
        <v>1598</v>
      </c>
      <c r="J533" s="1032" t="s">
        <v>1575</v>
      </c>
      <c r="K533" s="1032" t="s">
        <v>1567</v>
      </c>
      <c r="L533" s="1032" t="s">
        <v>1568</v>
      </c>
      <c r="M533" s="1033">
        <v>0.05</v>
      </c>
      <c r="N533" s="1032" t="s">
        <v>1570</v>
      </c>
      <c r="O533" s="1036">
        <v>634</v>
      </c>
      <c r="P533" s="1036">
        <v>573</v>
      </c>
      <c r="Q533" s="1036">
        <v>61.2</v>
      </c>
      <c r="R533" s="1036">
        <v>0</v>
      </c>
      <c r="S533" s="1036">
        <v>0</v>
      </c>
      <c r="T533" s="1036">
        <v>0</v>
      </c>
      <c r="U533" s="1037">
        <v>0</v>
      </c>
    </row>
    <row r="534" spans="4:21" s="1045" customFormat="1" hidden="1" outlineLevel="2">
      <c r="D534" s="1051">
        <f t="shared" si="49"/>
        <v>52</v>
      </c>
      <c r="E534" s="1051" t="str">
        <f>IF(COUNTIF(E$11:E533,F534)&gt;0,"",F534)</f>
        <v/>
      </c>
      <c r="F534" s="1051" t="str">
        <f t="shared" si="50"/>
        <v>Kérosène (jet A1 ou A), France continentale, Base Carbone</v>
      </c>
      <c r="G534" s="1055" t="str">
        <f t="shared" si="51"/>
        <v>Kérosène (jet A1 ou A), France continentale, Base Carbone; kgCO2e/tep PCI, Combustion</v>
      </c>
      <c r="I534" s="1031" t="s">
        <v>1598</v>
      </c>
      <c r="J534" s="1032" t="s">
        <v>1575</v>
      </c>
      <c r="K534" s="1032" t="s">
        <v>1567</v>
      </c>
      <c r="L534" s="1032" t="s">
        <v>1571</v>
      </c>
      <c r="M534" s="1033">
        <v>0.05</v>
      </c>
      <c r="N534" s="1032" t="s">
        <v>1569</v>
      </c>
      <c r="O534" s="1036">
        <v>3020</v>
      </c>
      <c r="P534" s="1036">
        <v>3010</v>
      </c>
      <c r="Q534" s="1036">
        <v>3.78</v>
      </c>
      <c r="R534" s="1036">
        <v>0</v>
      </c>
      <c r="S534" s="1036">
        <v>6.68</v>
      </c>
      <c r="T534" s="1036">
        <v>0</v>
      </c>
      <c r="U534" s="1037">
        <v>0</v>
      </c>
    </row>
    <row r="535" spans="4:21" s="1045" customFormat="1" hidden="1" outlineLevel="2">
      <c r="D535" s="1051">
        <f t="shared" si="49"/>
        <v>52</v>
      </c>
      <c r="E535" s="1051" t="str">
        <f>IF(COUNTIF(E$11:E534,F535)&gt;0,"",F535)</f>
        <v/>
      </c>
      <c r="F535" s="1051" t="str">
        <f t="shared" si="50"/>
        <v>Kérosène (jet A1 ou A), France continentale, Base Carbone</v>
      </c>
      <c r="G535" s="1055" t="str">
        <f t="shared" si="51"/>
        <v>Kérosène (jet A1 ou A), France continentale, Base Carbone; kgCO2e/tep PCI, Amont</v>
      </c>
      <c r="I535" s="1031" t="s">
        <v>1598</v>
      </c>
      <c r="J535" s="1032" t="s">
        <v>1575</v>
      </c>
      <c r="K535" s="1032" t="s">
        <v>1567</v>
      </c>
      <c r="L535" s="1032" t="s">
        <v>1571</v>
      </c>
      <c r="M535" s="1033">
        <v>0.05</v>
      </c>
      <c r="N535" s="1032" t="s">
        <v>1570</v>
      </c>
      <c r="O535" s="1036">
        <v>634</v>
      </c>
      <c r="P535" s="1036">
        <v>573</v>
      </c>
      <c r="Q535" s="1036">
        <v>61.2</v>
      </c>
      <c r="R535" s="1036">
        <v>0</v>
      </c>
      <c r="S535" s="1036">
        <v>0</v>
      </c>
      <c r="T535" s="1036">
        <v>0</v>
      </c>
      <c r="U535" s="1037">
        <v>0</v>
      </c>
    </row>
    <row r="536" spans="4:21" s="1045" customFormat="1" hidden="1" outlineLevel="2">
      <c r="D536" s="1051">
        <f t="shared" si="49"/>
        <v>53</v>
      </c>
      <c r="E536" s="1051" t="str">
        <f>IF(COUNTIF(E$11:E535,F536)&gt;0,"",F536)</f>
        <v>Kérosène (jet A1 ou A), Polynésie Française, Base Carbone</v>
      </c>
      <c r="F536" s="1051" t="str">
        <f t="shared" si="50"/>
        <v>Kérosène (jet A1 ou A), Polynésie Française, Base Carbone</v>
      </c>
      <c r="G536" s="1055" t="str">
        <f t="shared" si="51"/>
        <v>Kérosène (jet A1 ou A), Polynésie Française, Base Carbone; kgCO2e/kg, Combustion</v>
      </c>
      <c r="I536" s="1031" t="s">
        <v>1598</v>
      </c>
      <c r="J536" s="2017" t="s">
        <v>1572</v>
      </c>
      <c r="K536" s="1032" t="s">
        <v>1567</v>
      </c>
      <c r="L536" s="1032" t="s">
        <v>637</v>
      </c>
      <c r="M536" s="1033">
        <v>0.05</v>
      </c>
      <c r="N536" s="1032" t="s">
        <v>1569</v>
      </c>
      <c r="O536" s="1980">
        <v>3.26</v>
      </c>
      <c r="P536" s="1980">
        <f>O536</f>
        <v>3.26</v>
      </c>
      <c r="Q536" s="1036">
        <v>0</v>
      </c>
      <c r="R536" s="1036">
        <v>0</v>
      </c>
      <c r="S536" s="1036">
        <v>0</v>
      </c>
      <c r="T536" s="1036">
        <v>0</v>
      </c>
      <c r="U536" s="1037">
        <v>0</v>
      </c>
    </row>
    <row r="537" spans="4:21" s="1045" customFormat="1" hidden="1" outlineLevel="2">
      <c r="D537" s="1051">
        <f t="shared" si="49"/>
        <v>53</v>
      </c>
      <c r="E537" s="1051" t="str">
        <f>IF(COUNTIF(E$11:E536,F537)&gt;0,"",F537)</f>
        <v/>
      </c>
      <c r="F537" s="1051" t="str">
        <f t="shared" si="50"/>
        <v>Kérosène (jet A1 ou A), Polynésie Française, Base Carbone</v>
      </c>
      <c r="G537" s="1055" t="str">
        <f t="shared" si="51"/>
        <v>Kérosène (jet A1 ou A), Polynésie Française, Base Carbone; kgCO2e/kg, Amont</v>
      </c>
      <c r="I537" s="1031" t="s">
        <v>1598</v>
      </c>
      <c r="J537" s="2017" t="s">
        <v>1572</v>
      </c>
      <c r="K537" s="1032" t="s">
        <v>1567</v>
      </c>
      <c r="L537" s="1032" t="s">
        <v>637</v>
      </c>
      <c r="M537" s="1033">
        <v>0.05</v>
      </c>
      <c r="N537" s="1032" t="s">
        <v>1570</v>
      </c>
      <c r="O537" s="1980">
        <v>0.45200000000000001</v>
      </c>
      <c r="P537" s="1980">
        <f t="shared" ref="P537:P543" si="52">O537</f>
        <v>0.45200000000000001</v>
      </c>
      <c r="Q537" s="1036">
        <v>0</v>
      </c>
      <c r="R537" s="1036">
        <v>0</v>
      </c>
      <c r="S537" s="1036">
        <v>0</v>
      </c>
      <c r="T537" s="1036">
        <v>0</v>
      </c>
      <c r="U537" s="1037">
        <v>0</v>
      </c>
    </row>
    <row r="538" spans="4:21" s="1045" customFormat="1" hidden="1" outlineLevel="2">
      <c r="D538" s="1051">
        <f t="shared" si="49"/>
        <v>53</v>
      </c>
      <c r="E538" s="1051" t="str">
        <f>IF(COUNTIF(E$11:E537,F538)&gt;0,"",F538)</f>
        <v/>
      </c>
      <c r="F538" s="1051" t="str">
        <f t="shared" si="50"/>
        <v>Kérosène (jet A1 ou A), Polynésie Française, Base Carbone</v>
      </c>
      <c r="G538" s="1055" t="str">
        <f t="shared" si="51"/>
        <v>Kérosène (jet A1 ou A), Polynésie Française, Base Carbone; kgCO2e/kWh PCI, Combustion</v>
      </c>
      <c r="I538" s="1031" t="s">
        <v>1598</v>
      </c>
      <c r="J538" s="1032" t="s">
        <v>1573</v>
      </c>
      <c r="K538" s="1032" t="s">
        <v>1567</v>
      </c>
      <c r="L538" s="1032" t="s">
        <v>637</v>
      </c>
      <c r="M538" s="1033">
        <v>0.05</v>
      </c>
      <c r="N538" s="1032" t="s">
        <v>1569</v>
      </c>
      <c r="O538" s="1036">
        <v>0.26600000000000001</v>
      </c>
      <c r="P538" s="1980">
        <f t="shared" si="52"/>
        <v>0.26600000000000001</v>
      </c>
      <c r="Q538" s="1036">
        <v>0</v>
      </c>
      <c r="R538" s="1036">
        <v>0</v>
      </c>
      <c r="S538" s="1036">
        <v>0</v>
      </c>
      <c r="T538" s="1036">
        <v>0</v>
      </c>
      <c r="U538" s="1037">
        <v>0</v>
      </c>
    </row>
    <row r="539" spans="4:21" s="1045" customFormat="1" hidden="1" outlineLevel="2">
      <c r="D539" s="1051">
        <f t="shared" si="49"/>
        <v>53</v>
      </c>
      <c r="E539" s="1051" t="str">
        <f>IF(COUNTIF(E$11:E538,F539)&gt;0,"",F539)</f>
        <v/>
      </c>
      <c r="F539" s="1051" t="str">
        <f t="shared" si="50"/>
        <v>Kérosène (jet A1 ou A), Polynésie Française, Base Carbone</v>
      </c>
      <c r="G539" s="1055" t="str">
        <f t="shared" si="51"/>
        <v>Kérosène (jet A1 ou A), Polynésie Française, Base Carbone; kgCO2e/kWh PCI, Amont</v>
      </c>
      <c r="I539" s="1031" t="s">
        <v>1598</v>
      </c>
      <c r="J539" s="1032" t="s">
        <v>1573</v>
      </c>
      <c r="K539" s="1032" t="s">
        <v>1567</v>
      </c>
      <c r="L539" s="1032" t="s">
        <v>637</v>
      </c>
      <c r="M539" s="1033">
        <v>0.05</v>
      </c>
      <c r="N539" s="1032" t="s">
        <v>1570</v>
      </c>
      <c r="O539" s="1036">
        <v>3.6999999999999998E-2</v>
      </c>
      <c r="P539" s="1980">
        <f t="shared" si="52"/>
        <v>3.6999999999999998E-2</v>
      </c>
      <c r="Q539" s="1036">
        <v>0</v>
      </c>
      <c r="R539" s="1036">
        <v>0</v>
      </c>
      <c r="S539" s="1036">
        <v>0</v>
      </c>
      <c r="T539" s="1036">
        <v>0</v>
      </c>
      <c r="U539" s="1037">
        <v>0</v>
      </c>
    </row>
    <row r="540" spans="4:21" s="1045" customFormat="1" hidden="1" outlineLevel="2">
      <c r="D540" s="1051">
        <f t="shared" si="49"/>
        <v>53</v>
      </c>
      <c r="E540" s="1051" t="str">
        <f>IF(COUNTIF(E$11:E539,F540)&gt;0,"",F540)</f>
        <v/>
      </c>
      <c r="F540" s="1051" t="str">
        <f t="shared" si="50"/>
        <v>Kérosène (jet A1 ou A), Polynésie Française, Base Carbone</v>
      </c>
      <c r="G540" s="1055" t="str">
        <f t="shared" si="51"/>
        <v>Kérosène (jet A1 ou A), Polynésie Française, Base Carbone; kgCO2e/tep PCI, Combustion</v>
      </c>
      <c r="I540" s="1031" t="s">
        <v>1598</v>
      </c>
      <c r="J540" s="1032" t="s">
        <v>1575</v>
      </c>
      <c r="K540" s="1032" t="s">
        <v>1567</v>
      </c>
      <c r="L540" s="1032" t="s">
        <v>637</v>
      </c>
      <c r="M540" s="1033">
        <v>0.05</v>
      </c>
      <c r="N540" s="1032" t="s">
        <v>1569</v>
      </c>
      <c r="O540" s="1036">
        <v>3100</v>
      </c>
      <c r="P540" s="1980">
        <f t="shared" si="52"/>
        <v>3100</v>
      </c>
      <c r="Q540" s="1036">
        <v>0</v>
      </c>
      <c r="R540" s="1036">
        <v>0</v>
      </c>
      <c r="S540" s="1036">
        <v>0</v>
      </c>
      <c r="T540" s="1036">
        <v>0</v>
      </c>
      <c r="U540" s="1037">
        <v>0</v>
      </c>
    </row>
    <row r="541" spans="4:21" s="1045" customFormat="1" hidden="1" outlineLevel="2">
      <c r="D541" s="1051">
        <f t="shared" si="49"/>
        <v>53</v>
      </c>
      <c r="E541" s="1051" t="str">
        <f>IF(COUNTIF(E$11:E540,F541)&gt;0,"",F541)</f>
        <v/>
      </c>
      <c r="F541" s="1051" t="str">
        <f t="shared" si="50"/>
        <v>Kérosène (jet A1 ou A), Polynésie Française, Base Carbone</v>
      </c>
      <c r="G541" s="1055" t="str">
        <f t="shared" si="51"/>
        <v>Kérosène (jet A1 ou A), Polynésie Française, Base Carbone; kgCO2e/tep PCI, Amont</v>
      </c>
      <c r="I541" s="1031" t="s">
        <v>1598</v>
      </c>
      <c r="J541" s="1032" t="s">
        <v>1575</v>
      </c>
      <c r="K541" s="1032" t="s">
        <v>1567</v>
      </c>
      <c r="L541" s="1032" t="s">
        <v>637</v>
      </c>
      <c r="M541" s="1033">
        <v>0.05</v>
      </c>
      <c r="N541" s="1032" t="s">
        <v>1570</v>
      </c>
      <c r="O541" s="1036">
        <v>430</v>
      </c>
      <c r="P541" s="1980">
        <f t="shared" si="52"/>
        <v>430</v>
      </c>
      <c r="Q541" s="1036">
        <v>0</v>
      </c>
      <c r="R541" s="1036">
        <v>0</v>
      </c>
      <c r="S541" s="1036">
        <v>0</v>
      </c>
      <c r="T541" s="1036">
        <v>0</v>
      </c>
      <c r="U541" s="1037">
        <v>0</v>
      </c>
    </row>
    <row r="542" spans="4:21" s="1045" customFormat="1" hidden="1" outlineLevel="2">
      <c r="D542" s="1051">
        <f t="shared" si="49"/>
        <v>53</v>
      </c>
      <c r="E542" s="1051" t="str">
        <f>IF(COUNTIF(E$11:E541,F542)&gt;0,"",F542)</f>
        <v/>
      </c>
      <c r="F542" s="1051" t="str">
        <f t="shared" si="50"/>
        <v>Kérosène (jet A1 ou A), Polynésie Française, Base Carbone</v>
      </c>
      <c r="G542" s="1055" t="str">
        <f t="shared" si="51"/>
        <v>Kérosène (jet A1 ou A), Polynésie Française, Base Carbone; kgCO2e/litre, Combustion</v>
      </c>
      <c r="I542" s="1031" t="s">
        <v>1598</v>
      </c>
      <c r="J542" s="1032" t="s">
        <v>1574</v>
      </c>
      <c r="K542" s="1032" t="s">
        <v>1567</v>
      </c>
      <c r="L542" s="1032" t="s">
        <v>637</v>
      </c>
      <c r="M542" s="1033">
        <v>0.05</v>
      </c>
      <c r="N542" s="1032" t="s">
        <v>1569</v>
      </c>
      <c r="O542" s="1036">
        <v>2.77</v>
      </c>
      <c r="P542" s="1980">
        <f t="shared" si="52"/>
        <v>2.77</v>
      </c>
      <c r="Q542" s="1036">
        <v>0</v>
      </c>
      <c r="R542" s="1036">
        <v>0</v>
      </c>
      <c r="S542" s="1036">
        <v>0</v>
      </c>
      <c r="T542" s="1036">
        <v>0</v>
      </c>
      <c r="U542" s="1037">
        <v>0</v>
      </c>
    </row>
    <row r="543" spans="4:21" s="1045" customFormat="1" hidden="1" outlineLevel="2">
      <c r="D543" s="1051">
        <f t="shared" si="49"/>
        <v>53</v>
      </c>
      <c r="E543" s="1051" t="str">
        <f>IF(COUNTIF(E$11:E542,F543)&gt;0,"",F543)</f>
        <v/>
      </c>
      <c r="F543" s="1051" t="str">
        <f t="shared" si="50"/>
        <v>Kérosène (jet A1 ou A), Polynésie Française, Base Carbone</v>
      </c>
      <c r="G543" s="1055" t="str">
        <f t="shared" si="51"/>
        <v>Kérosène (jet A1 ou A), Polynésie Française, Base Carbone; kgCO2e/litre, Amont</v>
      </c>
      <c r="I543" s="1031" t="s">
        <v>1598</v>
      </c>
      <c r="J543" s="1032" t="s">
        <v>1574</v>
      </c>
      <c r="K543" s="1032" t="s">
        <v>1567</v>
      </c>
      <c r="L543" s="1032" t="s">
        <v>637</v>
      </c>
      <c r="M543" s="1033">
        <v>0.05</v>
      </c>
      <c r="N543" s="1032" t="s">
        <v>1570</v>
      </c>
      <c r="O543" s="1036">
        <v>0.38500000000000001</v>
      </c>
      <c r="P543" s="1980">
        <f t="shared" si="52"/>
        <v>0.38500000000000001</v>
      </c>
      <c r="Q543" s="1036">
        <v>0</v>
      </c>
      <c r="R543" s="1036">
        <v>0</v>
      </c>
      <c r="S543" s="1036">
        <v>0</v>
      </c>
      <c r="T543" s="1036">
        <v>0</v>
      </c>
      <c r="U543" s="1037">
        <v>0</v>
      </c>
    </row>
    <row r="544" spans="4:21" hidden="1" outlineLevel="2">
      <c r="D544" s="1051">
        <f t="shared" si="49"/>
        <v>54</v>
      </c>
      <c r="E544" s="1051" t="str">
        <f>IF(COUNTIF(E$11:E543,F544)&gt;0,"",F544)</f>
        <v>LFO (Light Fuel Oil) (ISO 8217 classes RMA à RMD (maritime)), France continentale, Base Carbone</v>
      </c>
      <c r="F544" s="1051" t="str">
        <f t="shared" si="50"/>
        <v>LFO (Light Fuel Oil) (ISO 8217 classes RMA à RMD (maritime)), France continentale, Base Carbone</v>
      </c>
      <c r="G544" s="1055" t="str">
        <f t="shared" si="51"/>
        <v>LFO (Light Fuel Oil) (ISO 8217 classes RMA à RMD (maritime)), France continentale, Base Carbone; kgCO2e/GJ PCI, Combustion</v>
      </c>
      <c r="I544" s="1031" t="s">
        <v>1599</v>
      </c>
      <c r="J544" s="1032" t="s">
        <v>1566</v>
      </c>
      <c r="K544" s="1032" t="s">
        <v>1567</v>
      </c>
      <c r="L544" s="1032" t="s">
        <v>1571</v>
      </c>
      <c r="M544" s="1033">
        <v>0.05</v>
      </c>
      <c r="N544" s="1032" t="s">
        <v>1569</v>
      </c>
      <c r="O544" s="1036">
        <v>75.5</v>
      </c>
      <c r="P544" s="1036">
        <v>75</v>
      </c>
      <c r="Q544" s="1036">
        <v>0.06</v>
      </c>
      <c r="R544" s="1036">
        <v>0</v>
      </c>
      <c r="S544" s="1036">
        <v>0.39800000000000002</v>
      </c>
      <c r="T544" s="1036">
        <v>0</v>
      </c>
      <c r="U544" s="1037">
        <v>0</v>
      </c>
    </row>
    <row r="545" spans="4:21" hidden="1" outlineLevel="2">
      <c r="D545" s="1051">
        <f t="shared" si="49"/>
        <v>54</v>
      </c>
      <c r="E545" s="1051" t="str">
        <f>IF(COUNTIF(E$11:E544,F545)&gt;0,"",F545)</f>
        <v/>
      </c>
      <c r="F545" s="1051" t="str">
        <f t="shared" si="50"/>
        <v>LFO (Light Fuel Oil) (ISO 8217 classes RMA à RMD (maritime)), France continentale, Base Carbone</v>
      </c>
      <c r="G545" s="1055" t="str">
        <f t="shared" si="51"/>
        <v>LFO (Light Fuel Oil) (ISO 8217 classes RMA à RMD (maritime)), France continentale, Base Carbone; kgCO2e/GJ PCI, Amont</v>
      </c>
      <c r="I545" s="1031" t="s">
        <v>1599</v>
      </c>
      <c r="J545" s="1032" t="s">
        <v>1566</v>
      </c>
      <c r="K545" s="1032" t="s">
        <v>1567</v>
      </c>
      <c r="L545" s="1032" t="s">
        <v>1571</v>
      </c>
      <c r="M545" s="1033">
        <v>0.05</v>
      </c>
      <c r="N545" s="1032" t="s">
        <v>1570</v>
      </c>
      <c r="O545" s="1036">
        <v>16.100000000000001</v>
      </c>
      <c r="P545" s="1036">
        <v>14.6</v>
      </c>
      <c r="Q545" s="1036">
        <v>1.46</v>
      </c>
      <c r="R545" s="1036">
        <v>0</v>
      </c>
      <c r="S545" s="1036">
        <v>0</v>
      </c>
      <c r="T545" s="1036">
        <v>0</v>
      </c>
      <c r="U545" s="1037">
        <v>0</v>
      </c>
    </row>
    <row r="546" spans="4:21" hidden="1" outlineLevel="2">
      <c r="D546" s="1051">
        <f t="shared" si="49"/>
        <v>54</v>
      </c>
      <c r="E546" s="1051" t="str">
        <f>IF(COUNTIF(E$11:E545,F546)&gt;0,"",F546)</f>
        <v/>
      </c>
      <c r="F546" s="1051" t="str">
        <f t="shared" si="50"/>
        <v>LFO (Light Fuel Oil) (ISO 8217 classes RMA à RMD (maritime)), France continentale, Base Carbone</v>
      </c>
      <c r="G546" s="1055" t="str">
        <f t="shared" si="51"/>
        <v>LFO (Light Fuel Oil) (ISO 8217 classes RMA à RMD (maritime)), France continentale, Base Carbone; kgCO2e/kg, Combustion</v>
      </c>
      <c r="I546" s="1031" t="s">
        <v>1599</v>
      </c>
      <c r="J546" s="1032" t="s">
        <v>1572</v>
      </c>
      <c r="K546" s="1032" t="s">
        <v>1567</v>
      </c>
      <c r="L546" s="1032" t="s">
        <v>1571</v>
      </c>
      <c r="M546" s="1033">
        <v>0.05</v>
      </c>
      <c r="N546" s="1032" t="s">
        <v>1569</v>
      </c>
      <c r="O546" s="1036">
        <v>3.17</v>
      </c>
      <c r="P546" s="1036">
        <v>3.15</v>
      </c>
      <c r="Q546" s="1036">
        <v>2.5200000000000001E-3</v>
      </c>
      <c r="R546" s="1036">
        <v>0</v>
      </c>
      <c r="S546" s="1036">
        <v>1.67E-2</v>
      </c>
      <c r="T546" s="1036">
        <v>0</v>
      </c>
      <c r="U546" s="1037">
        <v>0</v>
      </c>
    </row>
    <row r="547" spans="4:21" hidden="1" outlineLevel="2">
      <c r="D547" s="1051">
        <f t="shared" si="49"/>
        <v>54</v>
      </c>
      <c r="E547" s="1051" t="str">
        <f>IF(COUNTIF(E$11:E546,F547)&gt;0,"",F547)</f>
        <v/>
      </c>
      <c r="F547" s="1051" t="str">
        <f t="shared" si="50"/>
        <v>LFO (Light Fuel Oil) (ISO 8217 classes RMA à RMD (maritime)), France continentale, Base Carbone</v>
      </c>
      <c r="G547" s="1055" t="str">
        <f t="shared" si="51"/>
        <v>LFO (Light Fuel Oil) (ISO 8217 classes RMA à RMD (maritime)), France continentale, Base Carbone; kgCO2e/kg, Amont</v>
      </c>
      <c r="I547" s="1031" t="s">
        <v>1599</v>
      </c>
      <c r="J547" s="1032" t="s">
        <v>1572</v>
      </c>
      <c r="K547" s="1032" t="s">
        <v>1567</v>
      </c>
      <c r="L547" s="1032" t="s">
        <v>1571</v>
      </c>
      <c r="M547" s="1033">
        <v>0.05</v>
      </c>
      <c r="N547" s="1032" t="s">
        <v>1570</v>
      </c>
      <c r="O547" s="1036">
        <v>0.67600000000000005</v>
      </c>
      <c r="P547" s="1036">
        <v>0.61499999999999999</v>
      </c>
      <c r="Q547" s="1036">
        <v>6.1199999999999997E-2</v>
      </c>
      <c r="R547" s="1036">
        <v>0</v>
      </c>
      <c r="S547" s="1036">
        <v>0</v>
      </c>
      <c r="T547" s="1036">
        <v>0</v>
      </c>
      <c r="U547" s="1037">
        <v>0</v>
      </c>
    </row>
    <row r="548" spans="4:21" hidden="1" outlineLevel="2">
      <c r="D548" s="1051">
        <f t="shared" si="49"/>
        <v>54</v>
      </c>
      <c r="E548" s="1051" t="str">
        <f>IF(COUNTIF(E$11:E547,F548)&gt;0,"",F548)</f>
        <v/>
      </c>
      <c r="F548" s="1051" t="str">
        <f t="shared" si="50"/>
        <v>LFO (Light Fuel Oil) (ISO 8217 classes RMA à RMD (maritime)), France continentale, Base Carbone</v>
      </c>
      <c r="G548" s="1055" t="str">
        <f t="shared" si="51"/>
        <v>LFO (Light Fuel Oil) (ISO 8217 classes RMA à RMD (maritime)), France continentale, Base Carbone; kgCO2e/kWh PCI, Combustion</v>
      </c>
      <c r="I548" s="1031" t="s">
        <v>1599</v>
      </c>
      <c r="J548" s="1032" t="s">
        <v>1573</v>
      </c>
      <c r="K548" s="1032" t="s">
        <v>1567</v>
      </c>
      <c r="L548" s="1032" t="s">
        <v>1571</v>
      </c>
      <c r="M548" s="1033">
        <v>0.05</v>
      </c>
      <c r="N548" s="1032" t="s">
        <v>1569</v>
      </c>
      <c r="O548" s="1036">
        <v>0.27200000000000002</v>
      </c>
      <c r="P548" s="1036">
        <v>0.27</v>
      </c>
      <c r="Q548" s="1036">
        <v>2.1599999999999999E-4</v>
      </c>
      <c r="R548" s="1036">
        <v>0</v>
      </c>
      <c r="S548" s="1036">
        <v>1.4300000000000001E-3</v>
      </c>
      <c r="T548" s="1036">
        <v>0</v>
      </c>
      <c r="U548" s="1037">
        <v>0</v>
      </c>
    </row>
    <row r="549" spans="4:21" hidden="1" outlineLevel="2">
      <c r="D549" s="1051">
        <f t="shared" si="49"/>
        <v>54</v>
      </c>
      <c r="E549" s="1051" t="str">
        <f>IF(COUNTIF(E$11:E548,F549)&gt;0,"",F549)</f>
        <v/>
      </c>
      <c r="F549" s="1051" t="str">
        <f t="shared" si="50"/>
        <v>LFO (Light Fuel Oil) (ISO 8217 classes RMA à RMD (maritime)), France continentale, Base Carbone</v>
      </c>
      <c r="G549" s="1055" t="str">
        <f t="shared" si="51"/>
        <v>LFO (Light Fuel Oil) (ISO 8217 classes RMA à RMD (maritime)), France continentale, Base Carbone; kgCO2e/kWh PCI, Amont</v>
      </c>
      <c r="I549" s="1031" t="s">
        <v>1599</v>
      </c>
      <c r="J549" s="1032" t="s">
        <v>1573</v>
      </c>
      <c r="K549" s="1032" t="s">
        <v>1567</v>
      </c>
      <c r="L549" s="1032" t="s">
        <v>1571</v>
      </c>
      <c r="M549" s="1033">
        <v>0.05</v>
      </c>
      <c r="N549" s="1032" t="s">
        <v>1570</v>
      </c>
      <c r="O549" s="1036">
        <v>5.8999999999999997E-2</v>
      </c>
      <c r="P549" s="1036">
        <v>5.2999999999999999E-2</v>
      </c>
      <c r="Q549" s="1036">
        <v>6.0000000000000001E-3</v>
      </c>
      <c r="R549" s="1036">
        <v>0</v>
      </c>
      <c r="S549" s="1036">
        <v>0</v>
      </c>
      <c r="T549" s="1036">
        <v>0</v>
      </c>
      <c r="U549" s="1037">
        <v>0</v>
      </c>
    </row>
    <row r="550" spans="4:21" hidden="1" outlineLevel="2">
      <c r="D550" s="1051">
        <f t="shared" si="49"/>
        <v>54</v>
      </c>
      <c r="E550" s="1051" t="str">
        <f>IF(COUNTIF(E$11:E549,F550)&gt;0,"",F550)</f>
        <v/>
      </c>
      <c r="F550" s="1051" t="str">
        <f t="shared" si="50"/>
        <v>LFO (Light Fuel Oil) (ISO 8217 classes RMA à RMD (maritime)), France continentale, Base Carbone</v>
      </c>
      <c r="G550" s="1055" t="str">
        <f t="shared" si="51"/>
        <v>LFO (Light Fuel Oil) (ISO 8217 classes RMA à RMD (maritime)), France continentale, Base Carbone; kgCO2e/litre, Combustion</v>
      </c>
      <c r="I550" s="1031" t="s">
        <v>1599</v>
      </c>
      <c r="J550" s="1032" t="s">
        <v>1574</v>
      </c>
      <c r="K550" s="1032" t="s">
        <v>1567</v>
      </c>
      <c r="L550" s="1032" t="s">
        <v>1571</v>
      </c>
      <c r="M550" s="1033">
        <v>0.05</v>
      </c>
      <c r="N550" s="1032" t="s">
        <v>1569</v>
      </c>
      <c r="O550" s="1036">
        <v>2.48</v>
      </c>
      <c r="P550" s="1036">
        <v>2.48</v>
      </c>
      <c r="Q550" s="1036">
        <v>0</v>
      </c>
      <c r="R550" s="1036">
        <v>0</v>
      </c>
      <c r="S550" s="1036">
        <v>0</v>
      </c>
      <c r="T550" s="1036">
        <v>0</v>
      </c>
      <c r="U550" s="1037">
        <v>0</v>
      </c>
    </row>
    <row r="551" spans="4:21" hidden="1" outlineLevel="2">
      <c r="D551" s="1051">
        <f t="shared" si="49"/>
        <v>54</v>
      </c>
      <c r="E551" s="1051" t="str">
        <f>IF(COUNTIF(E$11:E550,F551)&gt;0,"",F551)</f>
        <v/>
      </c>
      <c r="F551" s="1051" t="str">
        <f t="shared" si="50"/>
        <v>LFO (Light Fuel Oil) (ISO 8217 classes RMA à RMD (maritime)), France continentale, Base Carbone</v>
      </c>
      <c r="G551" s="1055" t="str">
        <f t="shared" si="51"/>
        <v>LFO (Light Fuel Oil) (ISO 8217 classes RMA à RMD (maritime)), France continentale, Base Carbone; kgCO2e/litre, Amont</v>
      </c>
      <c r="I551" s="1031" t="s">
        <v>1599</v>
      </c>
      <c r="J551" s="1032" t="s">
        <v>1574</v>
      </c>
      <c r="K551" s="1032" t="s">
        <v>1567</v>
      </c>
      <c r="L551" s="1032" t="s">
        <v>1571</v>
      </c>
      <c r="M551" s="1033">
        <v>0.05</v>
      </c>
      <c r="N551" s="1032" t="s">
        <v>1570</v>
      </c>
      <c r="O551" s="1036">
        <v>0.57099999999999995</v>
      </c>
      <c r="P551" s="1036">
        <v>0.51900000000000002</v>
      </c>
      <c r="Q551" s="1036">
        <v>5.16E-2</v>
      </c>
      <c r="R551" s="1036">
        <v>0</v>
      </c>
      <c r="S551" s="1036">
        <v>0</v>
      </c>
      <c r="T551" s="1036">
        <v>0</v>
      </c>
      <c r="U551" s="1037">
        <v>0</v>
      </c>
    </row>
    <row r="552" spans="4:21" hidden="1" outlineLevel="2">
      <c r="D552" s="1051">
        <f t="shared" si="49"/>
        <v>54</v>
      </c>
      <c r="E552" s="1051" t="str">
        <f>IF(COUNTIF(E$11:E551,F552)&gt;0,"",F552)</f>
        <v/>
      </c>
      <c r="F552" s="1051" t="str">
        <f t="shared" si="50"/>
        <v>LFO (Light Fuel Oil) (ISO 8217 classes RMA à RMD (maritime)), France continentale, Base Carbone</v>
      </c>
      <c r="G552" s="1055" t="str">
        <f t="shared" si="51"/>
        <v>LFO (Light Fuel Oil) (ISO 8217 classes RMA à RMD (maritime)), France continentale, Base Carbone; kgCO2e/tep PCI, Combustion</v>
      </c>
      <c r="I552" s="1031" t="s">
        <v>1599</v>
      </c>
      <c r="J552" s="1032" t="s">
        <v>1575</v>
      </c>
      <c r="K552" s="1032" t="s">
        <v>1567</v>
      </c>
      <c r="L552" s="1032" t="s">
        <v>1571</v>
      </c>
      <c r="M552" s="1033">
        <v>0.05</v>
      </c>
      <c r="N552" s="1032" t="s">
        <v>1569</v>
      </c>
      <c r="O552" s="1036">
        <v>3170</v>
      </c>
      <c r="P552" s="1036">
        <v>3150</v>
      </c>
      <c r="Q552" s="1036">
        <v>2.52</v>
      </c>
      <c r="R552" s="1036">
        <v>0</v>
      </c>
      <c r="S552" s="1036">
        <v>16.7</v>
      </c>
      <c r="T552" s="1036">
        <v>0</v>
      </c>
      <c r="U552" s="1037">
        <v>0</v>
      </c>
    </row>
    <row r="553" spans="4:21" hidden="1" outlineLevel="2">
      <c r="D553" s="1051">
        <f t="shared" si="49"/>
        <v>54</v>
      </c>
      <c r="E553" s="1051" t="str">
        <f>IF(COUNTIF(E$11:E552,F553)&gt;0,"",F553)</f>
        <v/>
      </c>
      <c r="F553" s="1051" t="str">
        <f t="shared" si="50"/>
        <v>LFO (Light Fuel Oil) (ISO 8217 classes RMA à RMD (maritime)), France continentale, Base Carbone</v>
      </c>
      <c r="G553" s="1055" t="str">
        <f t="shared" si="51"/>
        <v>LFO (Light Fuel Oil) (ISO 8217 classes RMA à RMD (maritime)), France continentale, Base Carbone; kgCO2e/tep PCI, Amont</v>
      </c>
      <c r="I553" s="1031" t="s">
        <v>1599</v>
      </c>
      <c r="J553" s="1032" t="s">
        <v>1575</v>
      </c>
      <c r="K553" s="1032" t="s">
        <v>1567</v>
      </c>
      <c r="L553" s="1032" t="s">
        <v>1571</v>
      </c>
      <c r="M553" s="1033">
        <v>0.05</v>
      </c>
      <c r="N553" s="1032" t="s">
        <v>1570</v>
      </c>
      <c r="O553" s="1036">
        <v>676</v>
      </c>
      <c r="P553" s="1036">
        <v>615</v>
      </c>
      <c r="Q553" s="1036">
        <v>61.2</v>
      </c>
      <c r="R553" s="1036">
        <v>0</v>
      </c>
      <c r="S553" s="1036">
        <v>0</v>
      </c>
      <c r="T553" s="1036">
        <v>0</v>
      </c>
      <c r="U553" s="1037">
        <v>0</v>
      </c>
    </row>
    <row r="554" spans="4:21" hidden="1" outlineLevel="2">
      <c r="D554" s="1051">
        <f t="shared" ref="D554:D589" si="53">D553+IF(LEN(E554)=0,0,1)</f>
        <v>55</v>
      </c>
      <c r="E554" s="1051" t="str">
        <f>IF(COUNTIF(E$11:E553,F554)&gt;0,"",F554)</f>
        <v>MDO (Marine Diesel Oil) (ISO 8217 classes DMX à DMC), France continentale, Base Carbone</v>
      </c>
      <c r="F554" s="1051" t="str">
        <f t="shared" ref="F554:F589" si="54">IF(I554&lt;&gt;"",I554&amp;IF(L554&lt;&gt;"",", "&amp;L554,"")&amp;IF(K554&lt;&gt;"",", "&amp;K554,""),"")</f>
        <v>MDO (Marine Diesel Oil) (ISO 8217 classes DMX à DMC), France continentale, Base Carbone</v>
      </c>
      <c r="G554" s="1055" t="str">
        <f t="shared" ref="G554:G589" si="55">IF(F554&lt;&gt;"",F554&amp;IF(J554&lt;&gt;"","; "&amp;J554,"")&amp;IF(N554&lt;&gt;"",", "&amp;N554,""),"")</f>
        <v>MDO (Marine Diesel Oil) (ISO 8217 classes DMX à DMC), France continentale, Base Carbone; kgCO2e/GJ PCI, Amont</v>
      </c>
      <c r="I554" s="1031" t="s">
        <v>1600</v>
      </c>
      <c r="J554" s="1032" t="s">
        <v>1566</v>
      </c>
      <c r="K554" s="1032" t="s">
        <v>1567</v>
      </c>
      <c r="L554" s="1032" t="s">
        <v>1571</v>
      </c>
      <c r="M554" s="1033">
        <v>0.05</v>
      </c>
      <c r="N554" s="1032" t="s">
        <v>1570</v>
      </c>
      <c r="O554" s="1036">
        <v>16.100000000000001</v>
      </c>
      <c r="P554" s="1036">
        <v>14.6</v>
      </c>
      <c r="Q554" s="1036">
        <v>1.46</v>
      </c>
      <c r="R554" s="1036">
        <v>0</v>
      </c>
      <c r="S554" s="1036">
        <v>0</v>
      </c>
      <c r="T554" s="1036">
        <v>0</v>
      </c>
      <c r="U554" s="1037">
        <v>0</v>
      </c>
    </row>
    <row r="555" spans="4:21" hidden="1" outlineLevel="2">
      <c r="D555" s="1051">
        <f t="shared" si="53"/>
        <v>55</v>
      </c>
      <c r="E555" s="1051" t="str">
        <f>IF(COUNTIF(E$11:E554,F555)&gt;0,"",F555)</f>
        <v/>
      </c>
      <c r="F555" s="1051" t="str">
        <f t="shared" si="54"/>
        <v>MDO (Marine Diesel Oil) (ISO 8217 classes DMX à DMC), France continentale, Base Carbone</v>
      </c>
      <c r="G555" s="1055" t="str">
        <f t="shared" si="55"/>
        <v>MDO (Marine Diesel Oil) (ISO 8217 classes DMX à DMC), France continentale, Base Carbone; kgCO2e/GJ PCI, Combustion</v>
      </c>
      <c r="I555" s="1031" t="s">
        <v>1600</v>
      </c>
      <c r="J555" s="1032" t="s">
        <v>1566</v>
      </c>
      <c r="K555" s="1032" t="s">
        <v>1567</v>
      </c>
      <c r="L555" s="1032" t="s">
        <v>1571</v>
      </c>
      <c r="M555" s="1033">
        <v>0.05</v>
      </c>
      <c r="N555" s="1032" t="s">
        <v>1569</v>
      </c>
      <c r="O555" s="1036">
        <v>75.5</v>
      </c>
      <c r="P555" s="1036">
        <v>75</v>
      </c>
      <c r="Q555" s="1036">
        <v>0.06</v>
      </c>
      <c r="R555" s="1036">
        <v>0</v>
      </c>
      <c r="S555" s="1036">
        <v>0.39800000000000002</v>
      </c>
      <c r="T555" s="1036">
        <v>0</v>
      </c>
      <c r="U555" s="1037">
        <v>0</v>
      </c>
    </row>
    <row r="556" spans="4:21" hidden="1" outlineLevel="2">
      <c r="D556" s="1051">
        <f t="shared" si="53"/>
        <v>55</v>
      </c>
      <c r="E556" s="1051" t="str">
        <f>IF(COUNTIF(E$11:E555,F556)&gt;0,"",F556)</f>
        <v/>
      </c>
      <c r="F556" s="1051" t="str">
        <f t="shared" si="54"/>
        <v>MDO (Marine Diesel Oil) (ISO 8217 classes DMX à DMC), France continentale, Base Carbone</v>
      </c>
      <c r="G556" s="1055" t="str">
        <f t="shared" si="55"/>
        <v>MDO (Marine Diesel Oil) (ISO 8217 classes DMX à DMC), France continentale, Base Carbone; kgCO2e/kg, Combustion</v>
      </c>
      <c r="I556" s="1031" t="s">
        <v>1600</v>
      </c>
      <c r="J556" s="1032" t="s">
        <v>1572</v>
      </c>
      <c r="K556" s="1032" t="s">
        <v>1567</v>
      </c>
      <c r="L556" s="1032" t="s">
        <v>1571</v>
      </c>
      <c r="M556" s="1033">
        <v>0.05</v>
      </c>
      <c r="N556" s="1032" t="s">
        <v>1569</v>
      </c>
      <c r="O556" s="1036">
        <v>3.17</v>
      </c>
      <c r="P556" s="1036">
        <v>3.15</v>
      </c>
      <c r="Q556" s="1036">
        <v>2.5200000000000001E-3</v>
      </c>
      <c r="R556" s="1036">
        <v>0</v>
      </c>
      <c r="S556" s="1036">
        <v>1.67E-2</v>
      </c>
      <c r="T556" s="1036">
        <v>0</v>
      </c>
      <c r="U556" s="1037">
        <v>0</v>
      </c>
    </row>
    <row r="557" spans="4:21" hidden="1" outlineLevel="2">
      <c r="D557" s="1051">
        <f t="shared" si="53"/>
        <v>55</v>
      </c>
      <c r="E557" s="1051" t="str">
        <f>IF(COUNTIF(E$11:E556,F557)&gt;0,"",F557)</f>
        <v/>
      </c>
      <c r="F557" s="1051" t="str">
        <f t="shared" si="54"/>
        <v>MDO (Marine Diesel Oil) (ISO 8217 classes DMX à DMC), France continentale, Base Carbone</v>
      </c>
      <c r="G557" s="1055" t="str">
        <f t="shared" si="55"/>
        <v>MDO (Marine Diesel Oil) (ISO 8217 classes DMX à DMC), France continentale, Base Carbone; kgCO2e/kg, Amont</v>
      </c>
      <c r="I557" s="1031" t="s">
        <v>1600</v>
      </c>
      <c r="J557" s="1032" t="s">
        <v>1572</v>
      </c>
      <c r="K557" s="1032" t="s">
        <v>1567</v>
      </c>
      <c r="L557" s="1032" t="s">
        <v>1571</v>
      </c>
      <c r="M557" s="1033">
        <v>0.05</v>
      </c>
      <c r="N557" s="1032" t="s">
        <v>1570</v>
      </c>
      <c r="O557" s="1036">
        <v>0.67600000000000005</v>
      </c>
      <c r="P557" s="1036">
        <v>0.61499999999999999</v>
      </c>
      <c r="Q557" s="1036">
        <v>6.1199999999999997E-2</v>
      </c>
      <c r="R557" s="1036">
        <v>0</v>
      </c>
      <c r="S557" s="1036">
        <v>0</v>
      </c>
      <c r="T557" s="1036">
        <v>0</v>
      </c>
      <c r="U557" s="1037">
        <v>0</v>
      </c>
    </row>
    <row r="558" spans="4:21" hidden="1" outlineLevel="2">
      <c r="D558" s="1051">
        <f t="shared" si="53"/>
        <v>55</v>
      </c>
      <c r="E558" s="1051" t="str">
        <f>IF(COUNTIF(E$11:E557,F558)&gt;0,"",F558)</f>
        <v/>
      </c>
      <c r="F558" s="1051" t="str">
        <f t="shared" si="54"/>
        <v>MDO (Marine Diesel Oil) (ISO 8217 classes DMX à DMC), France continentale, Base Carbone</v>
      </c>
      <c r="G558" s="1055" t="str">
        <f t="shared" si="55"/>
        <v>MDO (Marine Diesel Oil) (ISO 8217 classes DMX à DMC), France continentale, Base Carbone; kgCO2e/kWh PCI, Combustion</v>
      </c>
      <c r="I558" s="1031" t="s">
        <v>1600</v>
      </c>
      <c r="J558" s="1032" t="s">
        <v>1573</v>
      </c>
      <c r="K558" s="1032" t="s">
        <v>1567</v>
      </c>
      <c r="L558" s="1032" t="s">
        <v>1571</v>
      </c>
      <c r="M558" s="1033">
        <v>0.05</v>
      </c>
      <c r="N558" s="1032" t="s">
        <v>1569</v>
      </c>
      <c r="O558" s="1036">
        <v>0.27200000000000002</v>
      </c>
      <c r="P558" s="1036">
        <v>0.27</v>
      </c>
      <c r="Q558" s="1036">
        <v>2.1599999999999999E-4</v>
      </c>
      <c r="R558" s="1036">
        <v>0</v>
      </c>
      <c r="S558" s="1036">
        <v>1.4300000000000001E-3</v>
      </c>
      <c r="T558" s="1036">
        <v>0</v>
      </c>
      <c r="U558" s="1037">
        <v>0</v>
      </c>
    </row>
    <row r="559" spans="4:21" hidden="1" outlineLevel="2">
      <c r="D559" s="1051">
        <f t="shared" si="53"/>
        <v>55</v>
      </c>
      <c r="E559" s="1051" t="str">
        <f>IF(COUNTIF(E$11:E558,F559)&gt;0,"",F559)</f>
        <v/>
      </c>
      <c r="F559" s="1051" t="str">
        <f t="shared" si="54"/>
        <v>MDO (Marine Diesel Oil) (ISO 8217 classes DMX à DMC), France continentale, Base Carbone</v>
      </c>
      <c r="G559" s="1055" t="str">
        <f t="shared" si="55"/>
        <v>MDO (Marine Diesel Oil) (ISO 8217 classes DMX à DMC), France continentale, Base Carbone; kgCO2e/kWh PCI, Amont</v>
      </c>
      <c r="I559" s="1031" t="s">
        <v>1600</v>
      </c>
      <c r="J559" s="1032" t="s">
        <v>1573</v>
      </c>
      <c r="K559" s="1032" t="s">
        <v>1567</v>
      </c>
      <c r="L559" s="1032" t="s">
        <v>1571</v>
      </c>
      <c r="M559" s="1033">
        <v>0.05</v>
      </c>
      <c r="N559" s="1032" t="s">
        <v>1570</v>
      </c>
      <c r="O559" s="1036">
        <v>5.8999999999999997E-2</v>
      </c>
      <c r="P559" s="1036">
        <v>5.2999999999999999E-2</v>
      </c>
      <c r="Q559" s="1036">
        <v>6.0000000000000001E-3</v>
      </c>
      <c r="R559" s="1036">
        <v>0</v>
      </c>
      <c r="S559" s="1036">
        <v>0</v>
      </c>
      <c r="T559" s="1036">
        <v>0</v>
      </c>
      <c r="U559" s="1037">
        <v>0</v>
      </c>
    </row>
    <row r="560" spans="4:21" hidden="1" outlineLevel="2">
      <c r="D560" s="1051">
        <f t="shared" si="53"/>
        <v>55</v>
      </c>
      <c r="E560" s="1051" t="str">
        <f>IF(COUNTIF(E$11:E559,F560)&gt;0,"",F560)</f>
        <v/>
      </c>
      <c r="F560" s="1051" t="str">
        <f t="shared" si="54"/>
        <v>MDO (Marine Diesel Oil) (ISO 8217 classes DMX à DMC), France continentale, Base Carbone</v>
      </c>
      <c r="G560" s="1055" t="str">
        <f t="shared" si="55"/>
        <v>MDO (Marine Diesel Oil) (ISO 8217 classes DMX à DMC), France continentale, Base Carbone; kgCO2e/litre, Combustion</v>
      </c>
      <c r="I560" s="1031" t="s">
        <v>1600</v>
      </c>
      <c r="J560" s="1032" t="s">
        <v>1574</v>
      </c>
      <c r="K560" s="1032" t="s">
        <v>1567</v>
      </c>
      <c r="L560" s="1032" t="s">
        <v>1571</v>
      </c>
      <c r="M560" s="1033">
        <v>0.05</v>
      </c>
      <c r="N560" s="1032" t="s">
        <v>1569</v>
      </c>
      <c r="O560" s="1036">
        <v>2.48</v>
      </c>
      <c r="P560" s="1036">
        <v>2.48</v>
      </c>
      <c r="Q560" s="1036">
        <v>0</v>
      </c>
      <c r="R560" s="1036">
        <v>0</v>
      </c>
      <c r="S560" s="1036">
        <v>0</v>
      </c>
      <c r="T560" s="1036">
        <v>0</v>
      </c>
      <c r="U560" s="1037">
        <v>0</v>
      </c>
    </row>
    <row r="561" spans="4:21" hidden="1" outlineLevel="2">
      <c r="D561" s="1051">
        <f t="shared" si="53"/>
        <v>55</v>
      </c>
      <c r="E561" s="1051" t="str">
        <f>IF(COUNTIF(E$11:E560,F561)&gt;0,"",F561)</f>
        <v/>
      </c>
      <c r="F561" s="1051" t="str">
        <f t="shared" si="54"/>
        <v>MDO (Marine Diesel Oil) (ISO 8217 classes DMX à DMC), France continentale, Base Carbone</v>
      </c>
      <c r="G561" s="1055" t="str">
        <f t="shared" si="55"/>
        <v>MDO (Marine Diesel Oil) (ISO 8217 classes DMX à DMC), France continentale, Base Carbone; kgCO2e/litre, Amont</v>
      </c>
      <c r="I561" s="1031" t="s">
        <v>1600</v>
      </c>
      <c r="J561" s="1032" t="s">
        <v>1574</v>
      </c>
      <c r="K561" s="1032" t="s">
        <v>1567</v>
      </c>
      <c r="L561" s="1032" t="s">
        <v>1571</v>
      </c>
      <c r="M561" s="1033">
        <v>0.05</v>
      </c>
      <c r="N561" s="1032" t="s">
        <v>1570</v>
      </c>
      <c r="O561" s="1036">
        <v>0.57099999999999995</v>
      </c>
      <c r="P561" s="1036">
        <v>0.51900000000000002</v>
      </c>
      <c r="Q561" s="1036">
        <v>5.16E-2</v>
      </c>
      <c r="R561" s="1036">
        <v>0</v>
      </c>
      <c r="S561" s="1036">
        <v>0</v>
      </c>
      <c r="T561" s="1036">
        <v>0</v>
      </c>
      <c r="U561" s="1037">
        <v>0</v>
      </c>
    </row>
    <row r="562" spans="4:21" hidden="1" outlineLevel="2">
      <c r="D562" s="1051">
        <f t="shared" si="53"/>
        <v>55</v>
      </c>
      <c r="E562" s="1051" t="str">
        <f>IF(COUNTIF(E$11:E561,F562)&gt;0,"",F562)</f>
        <v/>
      </c>
      <c r="F562" s="1051" t="str">
        <f t="shared" si="54"/>
        <v>MDO (Marine Diesel Oil) (ISO 8217 classes DMX à DMC), France continentale, Base Carbone</v>
      </c>
      <c r="G562" s="1055" t="str">
        <f t="shared" si="55"/>
        <v>MDO (Marine Diesel Oil) (ISO 8217 classes DMX à DMC), France continentale, Base Carbone; kgCO2e/tep PCI, Combustion</v>
      </c>
      <c r="I562" s="1031" t="s">
        <v>1600</v>
      </c>
      <c r="J562" s="1032" t="s">
        <v>1575</v>
      </c>
      <c r="K562" s="1032" t="s">
        <v>1567</v>
      </c>
      <c r="L562" s="1032" t="s">
        <v>1571</v>
      </c>
      <c r="M562" s="1033">
        <v>0.05</v>
      </c>
      <c r="N562" s="1032" t="s">
        <v>1569</v>
      </c>
      <c r="O562" s="1036">
        <v>3170</v>
      </c>
      <c r="P562" s="1036">
        <v>3150</v>
      </c>
      <c r="Q562" s="1036">
        <v>2.52</v>
      </c>
      <c r="R562" s="1036">
        <v>0</v>
      </c>
      <c r="S562" s="1036">
        <v>16.7</v>
      </c>
      <c r="T562" s="1036">
        <v>0</v>
      </c>
      <c r="U562" s="1037">
        <v>0</v>
      </c>
    </row>
    <row r="563" spans="4:21" hidden="1" outlineLevel="2">
      <c r="D563" s="1051">
        <f t="shared" si="53"/>
        <v>55</v>
      </c>
      <c r="E563" s="1051" t="str">
        <f>IF(COUNTIF(E$11:E562,F563)&gt;0,"",F563)</f>
        <v/>
      </c>
      <c r="F563" s="1051" t="str">
        <f t="shared" si="54"/>
        <v>MDO (Marine Diesel Oil) (ISO 8217 classes DMX à DMC), France continentale, Base Carbone</v>
      </c>
      <c r="G563" s="1055" t="str">
        <f t="shared" si="55"/>
        <v>MDO (Marine Diesel Oil) (ISO 8217 classes DMX à DMC), France continentale, Base Carbone; kgCO2e/tep PCI, Amont</v>
      </c>
      <c r="I563" s="1031" t="s">
        <v>1600</v>
      </c>
      <c r="J563" s="1032" t="s">
        <v>1575</v>
      </c>
      <c r="K563" s="1032" t="s">
        <v>1567</v>
      </c>
      <c r="L563" s="1032" t="s">
        <v>1571</v>
      </c>
      <c r="M563" s="1033">
        <v>0.05</v>
      </c>
      <c r="N563" s="1032" t="s">
        <v>1570</v>
      </c>
      <c r="O563" s="1036">
        <v>676</v>
      </c>
      <c r="P563" s="1036">
        <v>615</v>
      </c>
      <c r="Q563" s="1036">
        <v>61.2</v>
      </c>
      <c r="R563" s="1036">
        <v>0</v>
      </c>
      <c r="S563" s="1036">
        <v>0</v>
      </c>
      <c r="T563" s="1036">
        <v>0</v>
      </c>
      <c r="U563" s="1037">
        <v>0</v>
      </c>
    </row>
    <row r="564" spans="4:21" hidden="1" outlineLevel="2">
      <c r="D564" s="1051">
        <f t="shared" si="53"/>
        <v>56</v>
      </c>
      <c r="E564" s="1051" t="str">
        <f>IF(COUNTIF(E$11:E563,F564)&gt;0,"",F564)</f>
        <v>Naphta, Europe, Base Carbone</v>
      </c>
      <c r="F564" s="1051" t="str">
        <f t="shared" si="54"/>
        <v>Naphta, Europe, Base Carbone</v>
      </c>
      <c r="G564" s="1055" t="str">
        <f t="shared" si="55"/>
        <v>Naphta, Europe, Base Carbone; kgCO2e/GJ PCI, Combustion</v>
      </c>
      <c r="I564" s="1031" t="s">
        <v>1601</v>
      </c>
      <c r="J564" s="1032" t="s">
        <v>1566</v>
      </c>
      <c r="K564" s="1032" t="s">
        <v>1567</v>
      </c>
      <c r="L564" s="1032" t="s">
        <v>1568</v>
      </c>
      <c r="M564" s="1033">
        <v>0.05</v>
      </c>
      <c r="N564" s="1032" t="s">
        <v>1569</v>
      </c>
      <c r="O564" s="1036">
        <v>72</v>
      </c>
      <c r="P564" s="1036">
        <v>71.2</v>
      </c>
      <c r="Q564" s="1036">
        <v>0.09</v>
      </c>
      <c r="R564" s="1036">
        <v>0</v>
      </c>
      <c r="S564" s="1036">
        <v>0.66300000000000003</v>
      </c>
      <c r="T564" s="1036">
        <v>0</v>
      </c>
      <c r="U564" s="1037">
        <v>0</v>
      </c>
    </row>
    <row r="565" spans="4:21" hidden="1" outlineLevel="2">
      <c r="D565" s="1051">
        <f t="shared" si="53"/>
        <v>56</v>
      </c>
      <c r="E565" s="1051" t="str">
        <f>IF(COUNTIF(E$11:E564,F565)&gt;0,"",F565)</f>
        <v/>
      </c>
      <c r="F565" s="1051" t="str">
        <f t="shared" si="54"/>
        <v>Naphta, Europe, Base Carbone</v>
      </c>
      <c r="G565" s="1055" t="str">
        <f t="shared" si="55"/>
        <v>Naphta, Europe, Base Carbone; kgCO2e/GJ PCI, Amont</v>
      </c>
      <c r="I565" s="1031" t="s">
        <v>1601</v>
      </c>
      <c r="J565" s="1032" t="s">
        <v>1566</v>
      </c>
      <c r="K565" s="1032" t="s">
        <v>1567</v>
      </c>
      <c r="L565" s="1032" t="s">
        <v>1568</v>
      </c>
      <c r="M565" s="1033">
        <v>0.05</v>
      </c>
      <c r="N565" s="1032" t="s">
        <v>1570</v>
      </c>
      <c r="O565" s="1036">
        <v>11.5</v>
      </c>
      <c r="P565" s="1036">
        <v>10.3</v>
      </c>
      <c r="Q565" s="1036">
        <v>1.2</v>
      </c>
      <c r="R565" s="1036">
        <v>0</v>
      </c>
      <c r="S565" s="1036">
        <v>0</v>
      </c>
      <c r="T565" s="1036">
        <v>0</v>
      </c>
      <c r="U565" s="1037">
        <v>0</v>
      </c>
    </row>
    <row r="566" spans="4:21" hidden="1" outlineLevel="2">
      <c r="D566" s="1051">
        <f t="shared" si="53"/>
        <v>57</v>
      </c>
      <c r="E566" s="1051" t="str">
        <f>IF(COUNTIF(E$11:E565,F566)&gt;0,"",F566)</f>
        <v>Naphta, France continentale, Base Carbone</v>
      </c>
      <c r="F566" s="1051" t="str">
        <f t="shared" si="54"/>
        <v>Naphta, France continentale, Base Carbone</v>
      </c>
      <c r="G566" s="1055" t="str">
        <f t="shared" si="55"/>
        <v>Naphta, France continentale, Base Carbone; kgCO2e/GJ PCI, Combustion</v>
      </c>
      <c r="I566" s="1031" t="s">
        <v>1601</v>
      </c>
      <c r="J566" s="1032" t="s">
        <v>1566</v>
      </c>
      <c r="K566" s="1032" t="s">
        <v>1567</v>
      </c>
      <c r="L566" s="1032" t="s">
        <v>1571</v>
      </c>
      <c r="M566" s="1033">
        <v>0.05</v>
      </c>
      <c r="N566" s="1032" t="s">
        <v>1569</v>
      </c>
      <c r="O566" s="1036">
        <v>73.8</v>
      </c>
      <c r="P566" s="1036">
        <v>73</v>
      </c>
      <c r="Q566" s="1036">
        <v>0.09</v>
      </c>
      <c r="R566" s="1036">
        <v>0</v>
      </c>
      <c r="S566" s="1036">
        <v>0.66300000000000003</v>
      </c>
      <c r="T566" s="1036">
        <v>0</v>
      </c>
      <c r="U566" s="1037">
        <v>0</v>
      </c>
    </row>
    <row r="567" spans="4:21" hidden="1" outlineLevel="2">
      <c r="D567" s="1051">
        <f t="shared" si="53"/>
        <v>57</v>
      </c>
      <c r="E567" s="1051" t="str">
        <f>IF(COUNTIF(E$11:E566,F567)&gt;0,"",F567)</f>
        <v/>
      </c>
      <c r="F567" s="1051" t="str">
        <f t="shared" si="54"/>
        <v>Naphta, France continentale, Base Carbone</v>
      </c>
      <c r="G567" s="1055" t="str">
        <f t="shared" si="55"/>
        <v>Naphta, France continentale, Base Carbone; kgCO2e/GJ PCI, Amont</v>
      </c>
      <c r="I567" s="1031" t="s">
        <v>1601</v>
      </c>
      <c r="J567" s="1032" t="s">
        <v>1566</v>
      </c>
      <c r="K567" s="1032" t="s">
        <v>1567</v>
      </c>
      <c r="L567" s="1032" t="s">
        <v>1571</v>
      </c>
      <c r="M567" s="1033">
        <v>0.05</v>
      </c>
      <c r="N567" s="1032" t="s">
        <v>1570</v>
      </c>
      <c r="O567" s="1036">
        <v>11.5</v>
      </c>
      <c r="P567" s="1036">
        <v>10.3</v>
      </c>
      <c r="Q567" s="1036">
        <v>1.2</v>
      </c>
      <c r="R567" s="1036">
        <v>0</v>
      </c>
      <c r="S567" s="1036">
        <v>0</v>
      </c>
      <c r="T567" s="1036">
        <v>0</v>
      </c>
      <c r="U567" s="1037">
        <v>0</v>
      </c>
    </row>
    <row r="568" spans="4:21" hidden="1" outlineLevel="2">
      <c r="D568" s="1051">
        <f t="shared" si="53"/>
        <v>57</v>
      </c>
      <c r="E568" s="1051" t="str">
        <f>IF(COUNTIF(E$11:E567,F568)&gt;0,"",F568)</f>
        <v/>
      </c>
      <c r="F568" s="1051" t="str">
        <f t="shared" si="54"/>
        <v>Naphta, Europe, Base Carbone</v>
      </c>
      <c r="G568" s="1055" t="str">
        <f t="shared" si="55"/>
        <v>Naphta, Europe, Base Carbone; kgCO2e/kWh PCI, Combustion</v>
      </c>
      <c r="I568" s="1031" t="s">
        <v>1601</v>
      </c>
      <c r="J568" s="1032" t="s">
        <v>1573</v>
      </c>
      <c r="K568" s="1032" t="s">
        <v>1567</v>
      </c>
      <c r="L568" s="1032" t="s">
        <v>1568</v>
      </c>
      <c r="M568" s="1033">
        <v>0.05</v>
      </c>
      <c r="N568" s="1032" t="s">
        <v>1569</v>
      </c>
      <c r="O568" s="1036">
        <v>0.25900000000000001</v>
      </c>
      <c r="P568" s="1036">
        <v>0.25600000000000001</v>
      </c>
      <c r="Q568" s="1036">
        <v>3.2400000000000001E-4</v>
      </c>
      <c r="R568" s="1036">
        <v>0</v>
      </c>
      <c r="S568" s="1036">
        <v>2.3900000000000002E-3</v>
      </c>
      <c r="T568" s="1036">
        <v>0</v>
      </c>
      <c r="U568" s="1037">
        <v>0</v>
      </c>
    </row>
    <row r="569" spans="4:21" hidden="1" outlineLevel="2">
      <c r="D569" s="1051">
        <f t="shared" si="53"/>
        <v>57</v>
      </c>
      <c r="E569" s="1051" t="str">
        <f>IF(COUNTIF(E$11:E568,F569)&gt;0,"",F569)</f>
        <v/>
      </c>
      <c r="F569" s="1051" t="str">
        <f t="shared" si="54"/>
        <v>Naphta, Europe, Base Carbone</v>
      </c>
      <c r="G569" s="1055" t="str">
        <f t="shared" si="55"/>
        <v>Naphta, Europe, Base Carbone; kgCO2e/kWh PCI, Amont</v>
      </c>
      <c r="I569" s="1031" t="s">
        <v>1601</v>
      </c>
      <c r="J569" s="1032" t="s">
        <v>1573</v>
      </c>
      <c r="K569" s="1032" t="s">
        <v>1567</v>
      </c>
      <c r="L569" s="1032" t="s">
        <v>1568</v>
      </c>
      <c r="M569" s="1033">
        <v>0.05</v>
      </c>
      <c r="N569" s="1032" t="s">
        <v>1570</v>
      </c>
      <c r="O569" s="1036">
        <v>3.7199999999999997E-2</v>
      </c>
      <c r="P569" s="1036">
        <v>3.7199999999999997E-2</v>
      </c>
      <c r="Q569" s="1036">
        <v>0</v>
      </c>
      <c r="R569" s="1036">
        <v>0</v>
      </c>
      <c r="S569" s="1036">
        <v>0</v>
      </c>
      <c r="T569" s="1036">
        <v>0</v>
      </c>
      <c r="U569" s="1037">
        <v>0</v>
      </c>
    </row>
    <row r="570" spans="4:21" hidden="1" outlineLevel="2">
      <c r="D570" s="1051">
        <f t="shared" si="53"/>
        <v>57</v>
      </c>
      <c r="E570" s="1051" t="str">
        <f>IF(COUNTIF(E$11:E569,F570)&gt;0,"",F570)</f>
        <v/>
      </c>
      <c r="F570" s="1051" t="str">
        <f t="shared" si="54"/>
        <v>Naphta, France continentale, Base Carbone</v>
      </c>
      <c r="G570" s="1055" t="str">
        <f t="shared" si="55"/>
        <v>Naphta, France continentale, Base Carbone; kgCO2e/kWh PCI, Combustion</v>
      </c>
      <c r="I570" s="1031" t="s">
        <v>1601</v>
      </c>
      <c r="J570" s="1032" t="s">
        <v>1573</v>
      </c>
      <c r="K570" s="1032" t="s">
        <v>1567</v>
      </c>
      <c r="L570" s="1032" t="s">
        <v>1571</v>
      </c>
      <c r="M570" s="1033">
        <v>0.05</v>
      </c>
      <c r="N570" s="1032" t="s">
        <v>1569</v>
      </c>
      <c r="O570" s="1036">
        <v>0.26600000000000001</v>
      </c>
      <c r="P570" s="1036">
        <v>0.26300000000000001</v>
      </c>
      <c r="Q570" s="1036">
        <v>3.2400000000000001E-4</v>
      </c>
      <c r="R570" s="1036">
        <v>0</v>
      </c>
      <c r="S570" s="1036">
        <v>2.3900000000000002E-3</v>
      </c>
      <c r="T570" s="1036">
        <v>0</v>
      </c>
      <c r="U570" s="1037">
        <v>0</v>
      </c>
    </row>
    <row r="571" spans="4:21" hidden="1" outlineLevel="2">
      <c r="D571" s="1051">
        <f t="shared" si="53"/>
        <v>57</v>
      </c>
      <c r="E571" s="1051" t="str">
        <f>IF(COUNTIF(E$11:E570,F571)&gt;0,"",F571)</f>
        <v/>
      </c>
      <c r="F571" s="1051" t="str">
        <f t="shared" si="54"/>
        <v>Naphta, France continentale, Base Carbone</v>
      </c>
      <c r="G571" s="1055" t="str">
        <f t="shared" si="55"/>
        <v>Naphta, France continentale, Base Carbone; kgCO2e/kWh PCI, Amont</v>
      </c>
      <c r="I571" s="1031" t="s">
        <v>1601</v>
      </c>
      <c r="J571" s="1032" t="s">
        <v>1573</v>
      </c>
      <c r="K571" s="1032" t="s">
        <v>1567</v>
      </c>
      <c r="L571" s="1032" t="s">
        <v>1571</v>
      </c>
      <c r="M571" s="1033">
        <v>0.05</v>
      </c>
      <c r="N571" s="1032" t="s">
        <v>1570</v>
      </c>
      <c r="O571" s="1036">
        <v>3.7199999999999997E-2</v>
      </c>
      <c r="P571" s="1036">
        <v>3.7199999999999997E-2</v>
      </c>
      <c r="Q571" s="1036">
        <v>0</v>
      </c>
      <c r="R571" s="1036">
        <v>0</v>
      </c>
      <c r="S571" s="1036">
        <v>0</v>
      </c>
      <c r="T571" s="1036">
        <v>0</v>
      </c>
      <c r="U571" s="1037">
        <v>0</v>
      </c>
    </row>
    <row r="572" spans="4:21" hidden="1" outlineLevel="2">
      <c r="D572" s="1051">
        <f t="shared" si="53"/>
        <v>57</v>
      </c>
      <c r="E572" s="1051" t="str">
        <f>IF(COUNTIF(E$11:E571,F572)&gt;0,"",F572)</f>
        <v/>
      </c>
      <c r="F572" s="1051" t="str">
        <f t="shared" si="54"/>
        <v>Naphta, Europe, Base Carbone</v>
      </c>
      <c r="G572" s="1055" t="str">
        <f t="shared" si="55"/>
        <v>Naphta, Europe, Base Carbone; kgCO2e/tep PCI, Combustion</v>
      </c>
      <c r="I572" s="1031" t="s">
        <v>1601</v>
      </c>
      <c r="J572" s="1032" t="s">
        <v>1575</v>
      </c>
      <c r="K572" s="1032" t="s">
        <v>1567</v>
      </c>
      <c r="L572" s="1032" t="s">
        <v>1568</v>
      </c>
      <c r="M572" s="1033">
        <v>0.05</v>
      </c>
      <c r="N572" s="1032" t="s">
        <v>1569</v>
      </c>
      <c r="O572" s="1036">
        <v>3020</v>
      </c>
      <c r="P572" s="1036">
        <v>2990</v>
      </c>
      <c r="Q572" s="1036">
        <v>3.78</v>
      </c>
      <c r="R572" s="1036">
        <v>0</v>
      </c>
      <c r="S572" s="1036">
        <v>27.8</v>
      </c>
      <c r="T572" s="1036">
        <v>0</v>
      </c>
      <c r="U572" s="1037">
        <v>0</v>
      </c>
    </row>
    <row r="573" spans="4:21" hidden="1" outlineLevel="2">
      <c r="D573" s="1051">
        <f t="shared" si="53"/>
        <v>57</v>
      </c>
      <c r="E573" s="1051" t="str">
        <f>IF(COUNTIF(E$11:E572,F573)&gt;0,"",F573)</f>
        <v/>
      </c>
      <c r="F573" s="1051" t="str">
        <f t="shared" si="54"/>
        <v>Naphta, Europe, Base Carbone</v>
      </c>
      <c r="G573" s="1055" t="str">
        <f t="shared" si="55"/>
        <v>Naphta, Europe, Base Carbone; kgCO2e/tep PCI, Amont</v>
      </c>
      <c r="I573" s="1031" t="s">
        <v>1601</v>
      </c>
      <c r="J573" s="1032" t="s">
        <v>1575</v>
      </c>
      <c r="K573" s="1032" t="s">
        <v>1567</v>
      </c>
      <c r="L573" s="1032" t="s">
        <v>1568</v>
      </c>
      <c r="M573" s="1033">
        <v>0.05</v>
      </c>
      <c r="N573" s="1032" t="s">
        <v>1570</v>
      </c>
      <c r="O573" s="1036">
        <v>487</v>
      </c>
      <c r="P573" s="1036">
        <v>434</v>
      </c>
      <c r="Q573" s="1036">
        <v>52.8</v>
      </c>
      <c r="R573" s="1036">
        <v>0</v>
      </c>
      <c r="S573" s="1036">
        <v>0</v>
      </c>
      <c r="T573" s="1036">
        <v>0</v>
      </c>
      <c r="U573" s="1037">
        <v>0</v>
      </c>
    </row>
    <row r="574" spans="4:21" hidden="1" outlineLevel="2">
      <c r="D574" s="1051">
        <f t="shared" si="53"/>
        <v>57</v>
      </c>
      <c r="E574" s="1051" t="str">
        <f>IF(COUNTIF(E$11:E573,F574)&gt;0,"",F574)</f>
        <v/>
      </c>
      <c r="F574" s="1051" t="str">
        <f t="shared" si="54"/>
        <v>Naphta, France continentale, Base Carbone</v>
      </c>
      <c r="G574" s="1055" t="str">
        <f t="shared" si="55"/>
        <v>Naphta, France continentale, Base Carbone; kgCO2e/tep PCI, Combustion</v>
      </c>
      <c r="I574" s="1031" t="s">
        <v>1601</v>
      </c>
      <c r="J574" s="1032" t="s">
        <v>1575</v>
      </c>
      <c r="K574" s="1032" t="s">
        <v>1567</v>
      </c>
      <c r="L574" s="1032" t="s">
        <v>1571</v>
      </c>
      <c r="M574" s="1033">
        <v>0.05</v>
      </c>
      <c r="N574" s="1032" t="s">
        <v>1569</v>
      </c>
      <c r="O574" s="1036">
        <v>3100</v>
      </c>
      <c r="P574" s="1036">
        <v>3070</v>
      </c>
      <c r="Q574" s="1036">
        <v>3.78</v>
      </c>
      <c r="R574" s="1036">
        <v>0</v>
      </c>
      <c r="S574" s="1036">
        <v>27.8</v>
      </c>
      <c r="T574" s="1036">
        <v>0</v>
      </c>
      <c r="U574" s="1037">
        <v>0</v>
      </c>
    </row>
    <row r="575" spans="4:21" hidden="1" outlineLevel="2">
      <c r="D575" s="1051">
        <f t="shared" si="53"/>
        <v>57</v>
      </c>
      <c r="E575" s="1051" t="str">
        <f>IF(COUNTIF(E$11:E574,F575)&gt;0,"",F575)</f>
        <v/>
      </c>
      <c r="F575" s="1051" t="str">
        <f t="shared" si="54"/>
        <v>Naphta, France continentale, Base Carbone</v>
      </c>
      <c r="G575" s="1055" t="str">
        <f t="shared" si="55"/>
        <v>Naphta, France continentale, Base Carbone; kgCO2e/tep PCI, Amont</v>
      </c>
      <c r="I575" s="1031" t="s">
        <v>1601</v>
      </c>
      <c r="J575" s="1032" t="s">
        <v>1575</v>
      </c>
      <c r="K575" s="1032" t="s">
        <v>1567</v>
      </c>
      <c r="L575" s="1032" t="s">
        <v>1571</v>
      </c>
      <c r="M575" s="1033">
        <v>0.05</v>
      </c>
      <c r="N575" s="1032" t="s">
        <v>1570</v>
      </c>
      <c r="O575" s="1036">
        <v>487</v>
      </c>
      <c r="P575" s="1036">
        <v>434</v>
      </c>
      <c r="Q575" s="1036">
        <v>52.8</v>
      </c>
      <c r="R575" s="1036">
        <v>0</v>
      </c>
      <c r="S575" s="1036">
        <v>0</v>
      </c>
      <c r="T575" s="1036">
        <v>0</v>
      </c>
      <c r="U575" s="1037">
        <v>0</v>
      </c>
    </row>
    <row r="576" spans="4:21" hidden="1" outlineLevel="2">
      <c r="D576" s="1051">
        <f t="shared" si="53"/>
        <v>58</v>
      </c>
      <c r="E576" s="1051" t="str">
        <f>IF(COUNTIF(E$11:E575,F576)&gt;0,"",F576)</f>
        <v>Pétrole Brut, France continentale, Base Carbone</v>
      </c>
      <c r="F576" s="1051" t="str">
        <f t="shared" si="54"/>
        <v>Pétrole Brut, France continentale, Base Carbone</v>
      </c>
      <c r="G576" s="1055" t="str">
        <f t="shared" si="55"/>
        <v>Pétrole Brut, France continentale, Base Carbone; kgCO2e/GJ PCI, Combustion</v>
      </c>
      <c r="I576" s="1031" t="s">
        <v>1602</v>
      </c>
      <c r="J576" s="1032" t="s">
        <v>1566</v>
      </c>
      <c r="K576" s="1032" t="s">
        <v>1567</v>
      </c>
      <c r="L576" s="1032" t="s">
        <v>1571</v>
      </c>
      <c r="M576" s="1033">
        <v>0.05</v>
      </c>
      <c r="N576" s="1032" t="s">
        <v>1569</v>
      </c>
      <c r="O576" s="1036">
        <v>73.2</v>
      </c>
      <c r="P576" s="1036">
        <v>73</v>
      </c>
      <c r="Q576" s="1036">
        <v>0.09</v>
      </c>
      <c r="R576" s="1036">
        <v>0</v>
      </c>
      <c r="S576" s="1036">
        <v>0.159</v>
      </c>
      <c r="T576" s="1036">
        <v>0</v>
      </c>
      <c r="U576" s="1037">
        <v>0</v>
      </c>
    </row>
    <row r="577" spans="2:21" hidden="1" outlineLevel="2">
      <c r="D577" s="1051">
        <f t="shared" si="53"/>
        <v>58</v>
      </c>
      <c r="E577" s="1051" t="str">
        <f>IF(COUNTIF(E$11:E576,F577)&gt;0,"",F577)</f>
        <v/>
      </c>
      <c r="F577" s="1051" t="str">
        <f t="shared" si="54"/>
        <v>Pétrole Brut, France continentale, Base Carbone</v>
      </c>
      <c r="G577" s="1055" t="str">
        <f t="shared" si="55"/>
        <v>Pétrole Brut, France continentale, Base Carbone; kgCO2e/GJ PCI, Amont</v>
      </c>
      <c r="I577" s="1031" t="s">
        <v>1602</v>
      </c>
      <c r="J577" s="1032" t="s">
        <v>1566</v>
      </c>
      <c r="K577" s="1032" t="s">
        <v>1567</v>
      </c>
      <c r="L577" s="1032" t="s">
        <v>1571</v>
      </c>
      <c r="M577" s="1033">
        <v>0.05</v>
      </c>
      <c r="N577" s="1032" t="s">
        <v>1570</v>
      </c>
      <c r="O577" s="1036">
        <v>6.5</v>
      </c>
      <c r="P577" s="1036">
        <v>5.3</v>
      </c>
      <c r="Q577" s="1036">
        <v>1.2</v>
      </c>
      <c r="R577" s="1036">
        <v>0</v>
      </c>
      <c r="S577" s="1036">
        <v>0</v>
      </c>
      <c r="T577" s="1036">
        <v>0</v>
      </c>
      <c r="U577" s="1037">
        <v>0</v>
      </c>
    </row>
    <row r="578" spans="2:21" hidden="1" outlineLevel="2">
      <c r="D578" s="1051">
        <f t="shared" si="53"/>
        <v>58</v>
      </c>
      <c r="E578" s="1051" t="str">
        <f>IF(COUNTIF(E$11:E577,F578)&gt;0,"",F578)</f>
        <v/>
      </c>
      <c r="F578" s="1051" t="str">
        <f t="shared" si="54"/>
        <v>Pétrole Brut, France continentale, Base Carbone</v>
      </c>
      <c r="G578" s="1055" t="str">
        <f t="shared" si="55"/>
        <v>Pétrole Brut, France continentale, Base Carbone; kgCO2e/kg, Combustion</v>
      </c>
      <c r="I578" s="1031" t="s">
        <v>1602</v>
      </c>
      <c r="J578" s="1032" t="s">
        <v>1572</v>
      </c>
      <c r="K578" s="1032" t="s">
        <v>1567</v>
      </c>
      <c r="L578" s="1032" t="s">
        <v>1571</v>
      </c>
      <c r="M578" s="1033">
        <v>0.05</v>
      </c>
      <c r="N578" s="1032" t="s">
        <v>1569</v>
      </c>
      <c r="O578" s="1036">
        <v>3.07</v>
      </c>
      <c r="P578" s="1036">
        <v>3.07</v>
      </c>
      <c r="Q578" s="1036">
        <v>0</v>
      </c>
      <c r="R578" s="1036">
        <v>0</v>
      </c>
      <c r="S578" s="1036">
        <v>0</v>
      </c>
      <c r="T578" s="1036">
        <v>0</v>
      </c>
      <c r="U578" s="1037">
        <v>0</v>
      </c>
    </row>
    <row r="579" spans="2:21" hidden="1" outlineLevel="2">
      <c r="D579" s="1051">
        <f t="shared" si="53"/>
        <v>58</v>
      </c>
      <c r="E579" s="1051" t="str">
        <f>IF(COUNTIF(E$11:E578,F579)&gt;0,"",F579)</f>
        <v/>
      </c>
      <c r="F579" s="1051" t="str">
        <f t="shared" si="54"/>
        <v>Pétrole Brut, France continentale, Base Carbone</v>
      </c>
      <c r="G579" s="1055" t="str">
        <f t="shared" si="55"/>
        <v>Pétrole Brut, France continentale, Base Carbone; kgCO2e/kg, Amont</v>
      </c>
      <c r="I579" s="1031" t="s">
        <v>1602</v>
      </c>
      <c r="J579" s="1032" t="s">
        <v>1572</v>
      </c>
      <c r="K579" s="1032" t="s">
        <v>1567</v>
      </c>
      <c r="L579" s="1032" t="s">
        <v>1571</v>
      </c>
      <c r="M579" s="1033">
        <v>0.05</v>
      </c>
      <c r="N579" s="1032" t="s">
        <v>1570</v>
      </c>
      <c r="O579" s="1036">
        <v>0.27</v>
      </c>
      <c r="P579" s="1036">
        <v>0.223</v>
      </c>
      <c r="Q579" s="1036">
        <v>4.65E-2</v>
      </c>
      <c r="R579" s="1036">
        <v>0</v>
      </c>
      <c r="S579" s="1036">
        <v>0</v>
      </c>
      <c r="T579" s="1036">
        <v>0</v>
      </c>
      <c r="U579" s="1037">
        <v>0</v>
      </c>
    </row>
    <row r="580" spans="2:21" hidden="1" outlineLevel="2">
      <c r="D580" s="1051">
        <f t="shared" si="53"/>
        <v>59</v>
      </c>
      <c r="E580" s="1051" t="str">
        <f>IF(COUNTIF(E$11:E579,F580)&gt;0,"",F580)</f>
        <v>Autres produits pétroliers, France continentale, Base Carbone</v>
      </c>
      <c r="F580" s="1051" t="str">
        <f t="shared" si="54"/>
        <v>Autres produits pétroliers, France continentale, Base Carbone</v>
      </c>
      <c r="G580" s="1055" t="str">
        <f t="shared" si="55"/>
        <v>Autres produits pétroliers, France continentale, Base Carbone; kgCO2e/GJ PCI, Combustion</v>
      </c>
      <c r="I580" s="1031" t="s">
        <v>1580</v>
      </c>
      <c r="J580" s="1032" t="s">
        <v>1566</v>
      </c>
      <c r="K580" s="1032" t="s">
        <v>1567</v>
      </c>
      <c r="L580" s="1032" t="s">
        <v>1571</v>
      </c>
      <c r="M580" s="1033">
        <v>0.2</v>
      </c>
      <c r="N580" s="1032" t="s">
        <v>1569</v>
      </c>
      <c r="O580" s="1036">
        <v>73.8</v>
      </c>
      <c r="P580" s="1036">
        <v>73</v>
      </c>
      <c r="Q580" s="1036">
        <v>0.09</v>
      </c>
      <c r="R580" s="1036">
        <v>0</v>
      </c>
      <c r="S580" s="1036">
        <v>0.66300000000000003</v>
      </c>
      <c r="T580" s="1036">
        <v>0</v>
      </c>
      <c r="U580" s="1037">
        <v>0</v>
      </c>
    </row>
    <row r="581" spans="2:21" hidden="1" outlineLevel="2">
      <c r="D581" s="1051">
        <f t="shared" si="53"/>
        <v>59</v>
      </c>
      <c r="E581" s="1051" t="str">
        <f>IF(COUNTIF(E$11:E580,F581)&gt;0,"",F581)</f>
        <v/>
      </c>
      <c r="F581" s="1051" t="str">
        <f t="shared" si="54"/>
        <v>Autres produits pétroliers, France continentale, Base Carbone</v>
      </c>
      <c r="G581" s="1055" t="str">
        <f t="shared" si="55"/>
        <v>Autres produits pétroliers, France continentale, Base Carbone; kgCO2e/GJ PCI, Amont</v>
      </c>
      <c r="I581" s="1031" t="s">
        <v>1580</v>
      </c>
      <c r="J581" s="1032" t="s">
        <v>1566</v>
      </c>
      <c r="K581" s="1032" t="s">
        <v>1567</v>
      </c>
      <c r="L581" s="1032" t="s">
        <v>1571</v>
      </c>
      <c r="M581" s="1033">
        <v>0.2</v>
      </c>
      <c r="N581" s="1032" t="s">
        <v>1570</v>
      </c>
      <c r="O581" s="1036">
        <v>7.22</v>
      </c>
      <c r="P581" s="1036">
        <v>7.22</v>
      </c>
      <c r="Q581" s="1036">
        <v>0</v>
      </c>
      <c r="R581" s="1036">
        <v>0</v>
      </c>
      <c r="S581" s="1036">
        <v>0</v>
      </c>
      <c r="T581" s="1036">
        <v>0</v>
      </c>
      <c r="U581" s="1037">
        <v>0</v>
      </c>
    </row>
    <row r="582" spans="2:21" hidden="1" outlineLevel="2">
      <c r="D582" s="1051">
        <f t="shared" si="53"/>
        <v>59</v>
      </c>
      <c r="E582" s="1051" t="str">
        <f>IF(COUNTIF(E$11:E581,F582)&gt;0,"",F582)</f>
        <v/>
      </c>
      <c r="F582" s="1051" t="str">
        <f t="shared" si="54"/>
        <v>Autres produits pétroliers, France continentale, Base Carbone</v>
      </c>
      <c r="G582" s="1055" t="str">
        <f t="shared" si="55"/>
        <v>Autres produits pétroliers, France continentale, Base Carbone; kgCO2e/kWh PCI, Combustion</v>
      </c>
      <c r="I582" s="1031" t="s">
        <v>1580</v>
      </c>
      <c r="J582" s="1032" t="s">
        <v>1573</v>
      </c>
      <c r="K582" s="1032" t="s">
        <v>1567</v>
      </c>
      <c r="L582" s="1032" t="s">
        <v>1571</v>
      </c>
      <c r="M582" s="1033">
        <v>0.2</v>
      </c>
      <c r="N582" s="1032" t="s">
        <v>1569</v>
      </c>
      <c r="O582" s="1036">
        <v>0.26600000000000001</v>
      </c>
      <c r="P582" s="1036">
        <v>0.26300000000000001</v>
      </c>
      <c r="Q582" s="1036">
        <v>3.2400000000000001E-4</v>
      </c>
      <c r="R582" s="1036">
        <v>0</v>
      </c>
      <c r="S582" s="1036">
        <v>2.3900000000000002E-3</v>
      </c>
      <c r="T582" s="1036">
        <v>0</v>
      </c>
      <c r="U582" s="1037">
        <v>0</v>
      </c>
    </row>
    <row r="583" spans="2:21" hidden="1" outlineLevel="2">
      <c r="D583" s="1051">
        <f t="shared" si="53"/>
        <v>59</v>
      </c>
      <c r="E583" s="1051" t="str">
        <f>IF(COUNTIF(E$11:E582,F583)&gt;0,"",F583)</f>
        <v/>
      </c>
      <c r="F583" s="1051" t="str">
        <f t="shared" si="54"/>
        <v>Autres produits pétroliers, France continentale, Base Carbone</v>
      </c>
      <c r="G583" s="1055" t="str">
        <f t="shared" si="55"/>
        <v>Autres produits pétroliers, France continentale, Base Carbone; kgCO2e/kWh PCI, Amont</v>
      </c>
      <c r="I583" s="1031" t="s">
        <v>1580</v>
      </c>
      <c r="J583" s="1032" t="s">
        <v>1573</v>
      </c>
      <c r="K583" s="1032" t="s">
        <v>1567</v>
      </c>
      <c r="L583" s="1032" t="s">
        <v>1571</v>
      </c>
      <c r="M583" s="1033">
        <v>0.2</v>
      </c>
      <c r="N583" s="1032" t="s">
        <v>1570</v>
      </c>
      <c r="O583" s="1036">
        <v>2.5999999999999999E-2</v>
      </c>
      <c r="P583" s="1036">
        <v>2.5999999999999999E-2</v>
      </c>
      <c r="Q583" s="1036">
        <v>0</v>
      </c>
      <c r="R583" s="1036">
        <v>0</v>
      </c>
      <c r="S583" s="1036">
        <v>0</v>
      </c>
      <c r="T583" s="1036">
        <v>0</v>
      </c>
      <c r="U583" s="1037">
        <v>0</v>
      </c>
    </row>
    <row r="584" spans="2:21" hidden="1" outlineLevel="2">
      <c r="D584" s="1051">
        <f t="shared" si="53"/>
        <v>59</v>
      </c>
      <c r="E584" s="1051" t="str">
        <f>IF(COUNTIF(E$11:E583,F584)&gt;0,"",F584)</f>
        <v/>
      </c>
      <c r="F584" s="1051" t="str">
        <f t="shared" si="54"/>
        <v>Autres produits pétroliers, France continentale, Base Carbone</v>
      </c>
      <c r="G584" s="1055" t="str">
        <f t="shared" si="55"/>
        <v>Autres produits pétroliers, France continentale, Base Carbone; kgCO2e/tep PCI, Combustion</v>
      </c>
      <c r="I584" s="1031" t="s">
        <v>1580</v>
      </c>
      <c r="J584" s="1032" t="s">
        <v>1575</v>
      </c>
      <c r="K584" s="1032" t="s">
        <v>1567</v>
      </c>
      <c r="L584" s="1032" t="s">
        <v>1571</v>
      </c>
      <c r="M584" s="1033">
        <v>0.2</v>
      </c>
      <c r="N584" s="1032" t="s">
        <v>1569</v>
      </c>
      <c r="O584" s="1036">
        <v>3100</v>
      </c>
      <c r="P584" s="1036">
        <v>3070</v>
      </c>
      <c r="Q584" s="1036">
        <v>3.78</v>
      </c>
      <c r="R584" s="1036">
        <v>0</v>
      </c>
      <c r="S584" s="1036">
        <v>27.8</v>
      </c>
      <c r="T584" s="1036">
        <v>0</v>
      </c>
      <c r="U584" s="1037">
        <v>0</v>
      </c>
    </row>
    <row r="585" spans="2:21" hidden="1" outlineLevel="2">
      <c r="D585" s="1051">
        <f t="shared" si="53"/>
        <v>59</v>
      </c>
      <c r="E585" s="1051" t="str">
        <f>IF(COUNTIF(E$11:E584,F585)&gt;0,"",F585)</f>
        <v/>
      </c>
      <c r="F585" s="1051" t="str">
        <f t="shared" si="54"/>
        <v>Autres produits pétroliers, France continentale, Base Carbone</v>
      </c>
      <c r="G585" s="1055" t="str">
        <f t="shared" si="55"/>
        <v>Autres produits pétroliers, France continentale, Base Carbone; kgCO2e/tep PCI, Amont</v>
      </c>
      <c r="I585" s="1031" t="s">
        <v>1580</v>
      </c>
      <c r="J585" s="1032" t="s">
        <v>1575</v>
      </c>
      <c r="K585" s="1032" t="s">
        <v>1567</v>
      </c>
      <c r="L585" s="1032" t="s">
        <v>1571</v>
      </c>
      <c r="M585" s="1033">
        <v>0.2</v>
      </c>
      <c r="N585" s="1032" t="s">
        <v>1570</v>
      </c>
      <c r="O585" s="1036">
        <v>303</v>
      </c>
      <c r="P585" s="1036">
        <v>303</v>
      </c>
      <c r="Q585" s="1036">
        <v>0</v>
      </c>
      <c r="R585" s="1036">
        <v>0</v>
      </c>
      <c r="S585" s="1036">
        <v>0</v>
      </c>
      <c r="T585" s="1036">
        <v>0</v>
      </c>
      <c r="U585" s="1037">
        <v>0</v>
      </c>
    </row>
    <row r="586" spans="2:21" hidden="1" outlineLevel="2">
      <c r="D586" s="1051">
        <f t="shared" si="53"/>
        <v>59</v>
      </c>
      <c r="E586" s="1051" t="str">
        <f>IF(COUNTIF(E$11:E585,F586)&gt;0,"",F586)</f>
        <v/>
      </c>
      <c r="F586" s="1051" t="str">
        <f t="shared" si="54"/>
        <v/>
      </c>
      <c r="G586" s="1055" t="str">
        <f t="shared" si="55"/>
        <v/>
      </c>
      <c r="I586" s="1031"/>
      <c r="J586" s="1032"/>
      <c r="K586" s="1032"/>
      <c r="L586" s="1032"/>
      <c r="M586" s="1033"/>
      <c r="N586" s="1032"/>
      <c r="O586" s="1036"/>
      <c r="P586" s="1036"/>
      <c r="Q586" s="1036"/>
      <c r="R586" s="1036"/>
      <c r="S586" s="1036"/>
      <c r="T586" s="1036"/>
      <c r="U586" s="1037"/>
    </row>
    <row r="587" spans="2:21" hidden="1" outlineLevel="2">
      <c r="D587" s="1051">
        <f t="shared" si="53"/>
        <v>59</v>
      </c>
      <c r="E587" s="1051" t="str">
        <f>IF(COUNTIF(E$11:E586,F587)&gt;0,"",F587)</f>
        <v/>
      </c>
      <c r="F587" s="1051" t="str">
        <f t="shared" si="54"/>
        <v/>
      </c>
      <c r="G587" s="1055" t="str">
        <f t="shared" si="55"/>
        <v/>
      </c>
      <c r="I587" s="1034"/>
      <c r="J587" s="1032"/>
      <c r="K587" s="1032"/>
      <c r="L587" s="1032"/>
      <c r="M587" s="1033"/>
      <c r="N587" s="1032"/>
      <c r="O587" s="1036"/>
      <c r="P587" s="1036"/>
      <c r="Q587" s="1036"/>
      <c r="R587" s="1036"/>
      <c r="S587" s="1036"/>
      <c r="T587" s="1036"/>
      <c r="U587" s="1037"/>
    </row>
    <row r="588" spans="2:21" hidden="1" outlineLevel="2">
      <c r="D588" s="1051">
        <f t="shared" si="53"/>
        <v>59</v>
      </c>
      <c r="E588" s="1051" t="str">
        <f>IF(COUNTIF(E$11:E587,F588)&gt;0,"",F588)</f>
        <v/>
      </c>
      <c r="F588" s="1051" t="str">
        <f t="shared" si="54"/>
        <v/>
      </c>
      <c r="G588" s="1055" t="str">
        <f t="shared" si="55"/>
        <v/>
      </c>
      <c r="I588" s="1031"/>
      <c r="J588" s="1032"/>
      <c r="K588" s="1032"/>
      <c r="L588" s="1032"/>
      <c r="M588" s="1033"/>
      <c r="N588" s="1032"/>
      <c r="O588" s="1036"/>
      <c r="P588" s="1036"/>
      <c r="Q588" s="1036"/>
      <c r="R588" s="1036"/>
      <c r="S588" s="1036"/>
      <c r="T588" s="1036"/>
      <c r="U588" s="1037"/>
    </row>
    <row r="589" spans="2:21" hidden="1" outlineLevel="2">
      <c r="D589" s="1051">
        <f t="shared" si="53"/>
        <v>59</v>
      </c>
      <c r="E589" s="1051" t="str">
        <f>IF(COUNTIF(E$11:E588,F589)&gt;0,"",F589)</f>
        <v/>
      </c>
      <c r="F589" s="1051" t="str">
        <f t="shared" si="54"/>
        <v/>
      </c>
      <c r="G589" s="1055" t="str">
        <f t="shared" si="55"/>
        <v/>
      </c>
      <c r="I589" s="1031"/>
      <c r="J589" s="1032"/>
      <c r="K589" s="1032"/>
      <c r="L589" s="1032"/>
      <c r="M589" s="1033"/>
      <c r="N589" s="1032"/>
      <c r="O589" s="1036"/>
      <c r="P589" s="1036"/>
      <c r="Q589" s="1036"/>
      <c r="R589" s="1036"/>
      <c r="S589" s="1036"/>
      <c r="T589" s="1036"/>
      <c r="U589" s="1037"/>
    </row>
    <row r="590" spans="2:21" s="1045" customFormat="1" hidden="1" outlineLevel="1">
      <c r="G590" s="1135"/>
      <c r="I590" s="1694"/>
      <c r="J590" s="1695"/>
      <c r="K590" s="1695"/>
      <c r="L590" s="1695"/>
      <c r="M590" s="1696"/>
      <c r="N590" s="1695"/>
      <c r="O590" s="1697"/>
      <c r="P590" s="1697"/>
      <c r="Q590" s="1697"/>
      <c r="R590" s="1697"/>
      <c r="S590" s="1697"/>
      <c r="T590" s="1697"/>
      <c r="U590" s="1698"/>
    </row>
    <row r="591" spans="2:21" ht="12" hidden="1" customHeight="1" outlineLevel="1" collapsed="1">
      <c r="B591" s="3156" t="s">
        <v>1632</v>
      </c>
      <c r="C591" s="3156"/>
      <c r="D591" s="1051">
        <v>0</v>
      </c>
      <c r="E591" s="1051"/>
      <c r="F591" s="1051" t="str">
        <f t="shared" ref="F591:F636" si="56">IF(I591&lt;&gt;"",I591&amp;IF(L591&lt;&gt;"",", "&amp;L591,"")&amp;IF(K591&lt;&gt;"",", "&amp;K591,""),"")</f>
        <v/>
      </c>
      <c r="G591" s="1055" t="str">
        <f t="shared" ref="G591:G636" si="57">IF(F591&lt;&gt;"",F591&amp;IF(J591&lt;&gt;"","; "&amp;J591,"")&amp;IF(N591&lt;&gt;"",", "&amp;N591,""),"")</f>
        <v/>
      </c>
      <c r="I591" s="1699"/>
      <c r="J591" s="1695"/>
      <c r="K591" s="1695"/>
      <c r="L591" s="1695"/>
      <c r="M591" s="1696"/>
      <c r="N591" s="1695"/>
      <c r="O591" s="1697"/>
      <c r="P591" s="1697"/>
      <c r="Q591" s="1697"/>
      <c r="R591" s="1697"/>
      <c r="S591" s="1697"/>
      <c r="T591" s="1697"/>
      <c r="U591" s="1698"/>
    </row>
    <row r="592" spans="2:21" hidden="1" outlineLevel="2">
      <c r="B592" s="1050">
        <v>1</v>
      </c>
      <c r="C592" s="1050" t="str">
        <f>IF(ISNA(VLOOKUP(B592,$D$592:$E$667,2,FALSE)),"-",VLOOKUP(B592,$D$592:$E$667,2,FALSE))</f>
        <v>Agglomérés de houille, France continentale, Base Carbone</v>
      </c>
      <c r="D592" s="1051">
        <f>D591+IF(LEN(E592)=0,0,1)</f>
        <v>1</v>
      </c>
      <c r="E592" s="1051" t="str">
        <f>IF(COUNTIF(E$11:E579,F592)&gt;0,"",F592)</f>
        <v>Agglomérés de houille, France continentale, Base Carbone</v>
      </c>
      <c r="F592" s="1051" t="str">
        <f t="shared" si="56"/>
        <v>Agglomérés de houille, France continentale, Base Carbone</v>
      </c>
      <c r="G592" s="1055" t="str">
        <f t="shared" si="57"/>
        <v>Agglomérés de houille, France continentale, Base Carbone; kgCO2e/GJ PCI, Combustion</v>
      </c>
      <c r="I592" s="1031" t="s">
        <v>1603</v>
      </c>
      <c r="J592" s="1032" t="s">
        <v>1566</v>
      </c>
      <c r="K592" s="1032" t="s">
        <v>1567</v>
      </c>
      <c r="L592" s="1032" t="s">
        <v>1571</v>
      </c>
      <c r="M592" s="1033">
        <v>0.2</v>
      </c>
      <c r="N592" s="1032" t="s">
        <v>1569</v>
      </c>
      <c r="O592" s="1036">
        <v>95.8</v>
      </c>
      <c r="P592" s="1036">
        <v>95</v>
      </c>
      <c r="Q592" s="1036">
        <v>0.03</v>
      </c>
      <c r="R592" s="1036">
        <v>0</v>
      </c>
      <c r="S592" s="1036">
        <v>0.79500000000000004</v>
      </c>
      <c r="T592" s="1036">
        <v>0</v>
      </c>
      <c r="U592" s="1037">
        <v>0</v>
      </c>
    </row>
    <row r="593" spans="2:21" hidden="1" outlineLevel="2">
      <c r="B593" s="1050">
        <v>2</v>
      </c>
      <c r="C593" s="1050" t="str">
        <f t="shared" ref="C593:C606" si="58">IF(ISNA(VLOOKUP(B593,$D$592:$E$667,2,FALSE)),"-",VLOOKUP(B593,$D$592:$E$667,2,FALSE))</f>
        <v>Anthracite, France continentale, Base Carbone</v>
      </c>
      <c r="D593" s="1051">
        <f t="shared" ref="D593:D656" si="59">D592+IF(LEN(E593)=0,0,1)</f>
        <v>1</v>
      </c>
      <c r="E593" s="1051" t="str">
        <f>IF(COUNTIF(E$11:E592,F593)&gt;0,"",F593)</f>
        <v/>
      </c>
      <c r="F593" s="1051" t="str">
        <f t="shared" si="56"/>
        <v>Agglomérés de houille, France continentale, Base Carbone</v>
      </c>
      <c r="G593" s="1055" t="str">
        <f t="shared" si="57"/>
        <v>Agglomérés de houille, France continentale, Base Carbone; kgCO2e/GJ PCI, Amont</v>
      </c>
      <c r="I593" s="1031" t="s">
        <v>1603</v>
      </c>
      <c r="J593" s="1032" t="s">
        <v>1566</v>
      </c>
      <c r="K593" s="1032" t="s">
        <v>1567</v>
      </c>
      <c r="L593" s="1032" t="s">
        <v>1571</v>
      </c>
      <c r="M593" s="1033">
        <v>0.2</v>
      </c>
      <c r="N593" s="1032" t="s">
        <v>1570</v>
      </c>
      <c r="O593" s="1036">
        <v>8.85</v>
      </c>
      <c r="P593" s="1036">
        <v>3.3</v>
      </c>
      <c r="Q593" s="1036">
        <v>5.55</v>
      </c>
      <c r="R593" s="1036">
        <v>0</v>
      </c>
      <c r="S593" s="1036">
        <v>0</v>
      </c>
      <c r="T593" s="1036">
        <v>0</v>
      </c>
      <c r="U593" s="1037">
        <v>0</v>
      </c>
    </row>
    <row r="594" spans="2:21" hidden="1" outlineLevel="2">
      <c r="B594" s="1050">
        <v>3</v>
      </c>
      <c r="C594" s="1050" t="str">
        <f t="shared" si="58"/>
        <v>Briquette de lignite, France continentale, Base Carbone</v>
      </c>
      <c r="D594" s="1051">
        <f t="shared" si="59"/>
        <v>1</v>
      </c>
      <c r="E594" s="1051" t="str">
        <f>IF(COUNTIF(E$11:E593,F594)&gt;0,"",F594)</f>
        <v/>
      </c>
      <c r="F594" s="1051" t="str">
        <f t="shared" si="56"/>
        <v>Agglomérés de houille, France continentale, Base Carbone</v>
      </c>
      <c r="G594" s="1055" t="str">
        <f t="shared" si="57"/>
        <v>Agglomérés de houille, France continentale, Base Carbone; kgCO2e/kg, Combustion</v>
      </c>
      <c r="I594" s="1031" t="s">
        <v>1603</v>
      </c>
      <c r="J594" s="1032" t="s">
        <v>1572</v>
      </c>
      <c r="K594" s="1032" t="s">
        <v>1567</v>
      </c>
      <c r="L594" s="1032" t="s">
        <v>1571</v>
      </c>
      <c r="M594" s="1033">
        <v>0.2</v>
      </c>
      <c r="N594" s="1032" t="s">
        <v>1569</v>
      </c>
      <c r="O594" s="1036">
        <v>3.07</v>
      </c>
      <c r="P594" s="1036">
        <v>3.04</v>
      </c>
      <c r="Q594" s="1036">
        <v>9.6000000000000002E-4</v>
      </c>
      <c r="R594" s="1036">
        <v>0</v>
      </c>
      <c r="S594" s="1036">
        <v>2.5399999999999999E-2</v>
      </c>
      <c r="T594" s="1036">
        <v>0</v>
      </c>
      <c r="U594" s="1037">
        <v>0</v>
      </c>
    </row>
    <row r="595" spans="2:21" hidden="1" outlineLevel="2">
      <c r="B595" s="1050">
        <v>4</v>
      </c>
      <c r="C595" s="1050" t="str">
        <f t="shared" si="58"/>
        <v>Charbon à coke (PCS supérieur à 23865 kJ par kg), France continentale, Base Carbone</v>
      </c>
      <c r="D595" s="1051">
        <f t="shared" si="59"/>
        <v>1</v>
      </c>
      <c r="E595" s="1051" t="str">
        <f>IF(COUNTIF(E$11:E594,F595)&gt;0,"",F595)</f>
        <v/>
      </c>
      <c r="F595" s="1051" t="str">
        <f t="shared" si="56"/>
        <v>Agglomérés de houille, France continentale, Base Carbone</v>
      </c>
      <c r="G595" s="1055" t="str">
        <f t="shared" si="57"/>
        <v>Agglomérés de houille, France continentale, Base Carbone; kgCO2e/kg, Amont</v>
      </c>
      <c r="I595" s="1031" t="s">
        <v>1603</v>
      </c>
      <c r="J595" s="1032" t="s">
        <v>1572</v>
      </c>
      <c r="K595" s="1032" t="s">
        <v>1567</v>
      </c>
      <c r="L595" s="1032" t="s">
        <v>1571</v>
      </c>
      <c r="M595" s="1033">
        <v>0.2</v>
      </c>
      <c r="N595" s="1032" t="s">
        <v>1570</v>
      </c>
      <c r="O595" s="1036">
        <v>0.28399999999999997</v>
      </c>
      <c r="P595" s="1036">
        <v>0.106</v>
      </c>
      <c r="Q595" s="1036">
        <v>0.17799999999999999</v>
      </c>
      <c r="R595" s="1036">
        <v>0</v>
      </c>
      <c r="S595" s="1036">
        <v>0</v>
      </c>
      <c r="T595" s="1036">
        <v>0</v>
      </c>
      <c r="U595" s="1037">
        <v>0</v>
      </c>
    </row>
    <row r="596" spans="2:21" hidden="1" outlineLevel="2">
      <c r="B596" s="1050">
        <v>5</v>
      </c>
      <c r="C596" s="1050" t="str">
        <f t="shared" si="58"/>
        <v>Charbon à vapeur (PCS supérieur à 23865 kJ par kg), France continentale, Base Carbone</v>
      </c>
      <c r="D596" s="1051">
        <f t="shared" si="59"/>
        <v>1</v>
      </c>
      <c r="E596" s="1051" t="str">
        <f>IF(COUNTIF(E$11:E595,F596)&gt;0,"",F596)</f>
        <v/>
      </c>
      <c r="F596" s="1051" t="str">
        <f t="shared" si="56"/>
        <v>Agglomérés de houille, France continentale, Base Carbone</v>
      </c>
      <c r="G596" s="1055" t="str">
        <f t="shared" si="57"/>
        <v>Agglomérés de houille, France continentale, Base Carbone; kgCO2e/kWh PCI, Combustion</v>
      </c>
      <c r="I596" s="1031" t="s">
        <v>1603</v>
      </c>
      <c r="J596" s="1032" t="s">
        <v>1573</v>
      </c>
      <c r="K596" s="1032" t="s">
        <v>1567</v>
      </c>
      <c r="L596" s="1032" t="s">
        <v>1571</v>
      </c>
      <c r="M596" s="1033">
        <v>0.2</v>
      </c>
      <c r="N596" s="1032" t="s">
        <v>1569</v>
      </c>
      <c r="O596" s="1036">
        <v>0.34499999999999997</v>
      </c>
      <c r="P596" s="1036">
        <v>0.34200000000000003</v>
      </c>
      <c r="Q596" s="1036">
        <v>1.08E-4</v>
      </c>
      <c r="R596" s="1036">
        <v>0</v>
      </c>
      <c r="S596" s="1036">
        <v>2.8600000000000001E-3</v>
      </c>
      <c r="T596" s="1036">
        <v>0</v>
      </c>
      <c r="U596" s="1037">
        <v>0</v>
      </c>
    </row>
    <row r="597" spans="2:21" hidden="1" outlineLevel="2">
      <c r="B597" s="1050">
        <v>6</v>
      </c>
      <c r="C597" s="1050" t="str">
        <f t="shared" si="58"/>
        <v>Charbon sous-bitumineux (PCS entre 17 435 et 23 865 kJ par kg), France continentale, Base Carbone</v>
      </c>
      <c r="D597" s="1051">
        <f t="shared" si="59"/>
        <v>1</v>
      </c>
      <c r="E597" s="1051" t="str">
        <f>IF(COUNTIF(E$11:E596,F597)&gt;0,"",F597)</f>
        <v/>
      </c>
      <c r="F597" s="1051" t="str">
        <f t="shared" si="56"/>
        <v>Agglomérés de houille, France continentale, Base Carbone</v>
      </c>
      <c r="G597" s="1055" t="str">
        <f t="shared" si="57"/>
        <v>Agglomérés de houille, France continentale, Base Carbone; kgCO2e/kWh PCI, Amont</v>
      </c>
      <c r="I597" s="1031" t="s">
        <v>1603</v>
      </c>
      <c r="J597" s="1032" t="s">
        <v>1573</v>
      </c>
      <c r="K597" s="1032" t="s">
        <v>1567</v>
      </c>
      <c r="L597" s="1032" t="s">
        <v>1571</v>
      </c>
      <c r="M597" s="1033">
        <v>0.2</v>
      </c>
      <c r="N597" s="1032" t="s">
        <v>1570</v>
      </c>
      <c r="O597" s="1036">
        <v>3.1899999999999998E-2</v>
      </c>
      <c r="P597" s="1036">
        <v>1.1900000000000001E-2</v>
      </c>
      <c r="Q597" s="1036">
        <v>0.02</v>
      </c>
      <c r="R597" s="1036">
        <v>0</v>
      </c>
      <c r="S597" s="1036">
        <v>0</v>
      </c>
      <c r="T597" s="1036">
        <v>0</v>
      </c>
      <c r="U597" s="1037">
        <v>0</v>
      </c>
    </row>
    <row r="598" spans="2:21" hidden="1" outlineLevel="2">
      <c r="B598" s="1050">
        <v>7</v>
      </c>
      <c r="C598" s="1050" t="str">
        <f t="shared" si="58"/>
        <v>Houille (PCS supérieur à 23865 kJ par kg), France continentale, Base Carbone</v>
      </c>
      <c r="D598" s="1051">
        <f t="shared" si="59"/>
        <v>1</v>
      </c>
      <c r="E598" s="1051" t="str">
        <f>IF(COUNTIF(E$11:E597,F598)&gt;0,"",F598)</f>
        <v/>
      </c>
      <c r="F598" s="1051" t="str">
        <f t="shared" si="56"/>
        <v>Agglomérés de houille, France continentale, Base Carbone</v>
      </c>
      <c r="G598" s="1055" t="str">
        <f t="shared" si="57"/>
        <v>Agglomérés de houille, France continentale, Base Carbone; kgCO2e/tep PCI, Combustion</v>
      </c>
      <c r="I598" s="1031" t="s">
        <v>1603</v>
      </c>
      <c r="J598" s="1032" t="s">
        <v>1575</v>
      </c>
      <c r="K598" s="1032" t="s">
        <v>1567</v>
      </c>
      <c r="L598" s="1032" t="s">
        <v>1571</v>
      </c>
      <c r="M598" s="1033">
        <v>0.2</v>
      </c>
      <c r="N598" s="1032" t="s">
        <v>1569</v>
      </c>
      <c r="O598" s="1036">
        <v>4020</v>
      </c>
      <c r="P598" s="1036">
        <v>3990</v>
      </c>
      <c r="Q598" s="1036">
        <v>1.26</v>
      </c>
      <c r="R598" s="1036">
        <v>0</v>
      </c>
      <c r="S598" s="1036">
        <v>33.4</v>
      </c>
      <c r="T598" s="1036">
        <v>0</v>
      </c>
      <c r="U598" s="1037">
        <v>0</v>
      </c>
    </row>
    <row r="599" spans="2:21" hidden="1" outlineLevel="2">
      <c r="B599" s="1050">
        <v>8</v>
      </c>
      <c r="C599" s="1050" t="str">
        <f t="shared" si="58"/>
        <v>Lignite (PCS inférieur à 17435 kJ par kg), France continentale, Base Carbone</v>
      </c>
      <c r="D599" s="1051">
        <f t="shared" si="59"/>
        <v>1</v>
      </c>
      <c r="E599" s="1051" t="str">
        <f>IF(COUNTIF(E$11:E598,F599)&gt;0,"",F599)</f>
        <v/>
      </c>
      <c r="F599" s="1051" t="str">
        <f t="shared" si="56"/>
        <v>Agglomérés de houille, France continentale, Base Carbone</v>
      </c>
      <c r="G599" s="1055" t="str">
        <f t="shared" si="57"/>
        <v>Agglomérés de houille, France continentale, Base Carbone; kgCO2e/tep PCI, Amont</v>
      </c>
      <c r="I599" s="1031" t="s">
        <v>1603</v>
      </c>
      <c r="J599" s="1032" t="s">
        <v>1575</v>
      </c>
      <c r="K599" s="1032" t="s">
        <v>1567</v>
      </c>
      <c r="L599" s="1032" t="s">
        <v>1571</v>
      </c>
      <c r="M599" s="1033">
        <v>0.2</v>
      </c>
      <c r="N599" s="1032" t="s">
        <v>1570</v>
      </c>
      <c r="O599" s="1036">
        <v>372</v>
      </c>
      <c r="P599" s="1036">
        <v>139</v>
      </c>
      <c r="Q599" s="1036">
        <v>233</v>
      </c>
      <c r="R599" s="1036">
        <v>0</v>
      </c>
      <c r="S599" s="1036">
        <v>0</v>
      </c>
      <c r="T599" s="1036">
        <v>0</v>
      </c>
      <c r="U599" s="1037">
        <v>0</v>
      </c>
    </row>
    <row r="600" spans="2:21" hidden="1" outlineLevel="2">
      <c r="B600" s="1050">
        <v>9</v>
      </c>
      <c r="C600" s="1050" t="str">
        <f t="shared" si="58"/>
        <v>Tourbe, France continentale, Base Carbone</v>
      </c>
      <c r="D600" s="1051">
        <f t="shared" si="59"/>
        <v>2</v>
      </c>
      <c r="E600" s="1051" t="str">
        <f>IF(COUNTIF(E$11:E599,F600)&gt;0,"",F600)</f>
        <v>Anthracite, France continentale, Base Carbone</v>
      </c>
      <c r="F600" s="1051" t="str">
        <f t="shared" si="56"/>
        <v>Anthracite, France continentale, Base Carbone</v>
      </c>
      <c r="G600" s="1055" t="str">
        <f t="shared" si="57"/>
        <v>Anthracite, France continentale, Base Carbone; kgCO2e/GJ PCI, Combustion</v>
      </c>
      <c r="I600" s="1031" t="s">
        <v>1604</v>
      </c>
      <c r="J600" s="1032" t="s">
        <v>1566</v>
      </c>
      <c r="K600" s="1032" t="s">
        <v>1567</v>
      </c>
      <c r="L600" s="1032" t="s">
        <v>1571</v>
      </c>
      <c r="M600" s="1033">
        <v>0.2</v>
      </c>
      <c r="N600" s="1032" t="s">
        <v>1569</v>
      </c>
      <c r="O600" s="1036">
        <v>98.7</v>
      </c>
      <c r="P600" s="1036">
        <v>98.3</v>
      </c>
      <c r="Q600" s="1036">
        <v>0.03</v>
      </c>
      <c r="R600" s="1036">
        <v>0</v>
      </c>
      <c r="S600" s="1036">
        <v>0.39800000000000002</v>
      </c>
      <c r="T600" s="1036">
        <v>0</v>
      </c>
      <c r="U600" s="1037">
        <v>0</v>
      </c>
    </row>
    <row r="601" spans="2:21" hidden="1" outlineLevel="2">
      <c r="B601" s="1050">
        <v>10</v>
      </c>
      <c r="C601" s="1050" t="str">
        <f t="shared" si="58"/>
        <v>-</v>
      </c>
      <c r="D601" s="1051">
        <f t="shared" si="59"/>
        <v>2</v>
      </c>
      <c r="E601" s="1051" t="str">
        <f>IF(COUNTIF(E$11:E600,F601)&gt;0,"",F601)</f>
        <v/>
      </c>
      <c r="F601" s="1051" t="str">
        <f t="shared" si="56"/>
        <v>Anthracite, France continentale, Base Carbone</v>
      </c>
      <c r="G601" s="1055" t="str">
        <f t="shared" si="57"/>
        <v>Anthracite, France continentale, Base Carbone; kgCO2e/GJ PCI, Amont</v>
      </c>
      <c r="I601" s="1031" t="s">
        <v>1604</v>
      </c>
      <c r="J601" s="1032" t="s">
        <v>1566</v>
      </c>
      <c r="K601" s="1032" t="s">
        <v>1567</v>
      </c>
      <c r="L601" s="1032" t="s">
        <v>1571</v>
      </c>
      <c r="M601" s="1033">
        <v>0.2</v>
      </c>
      <c r="N601" s="1032" t="s">
        <v>1570</v>
      </c>
      <c r="O601" s="1036">
        <v>9</v>
      </c>
      <c r="P601" s="1036">
        <v>3.3</v>
      </c>
      <c r="Q601" s="1036">
        <v>5.7</v>
      </c>
      <c r="R601" s="1036">
        <v>0</v>
      </c>
      <c r="S601" s="1036">
        <v>0</v>
      </c>
      <c r="T601" s="1036">
        <v>0</v>
      </c>
      <c r="U601" s="1037">
        <v>0</v>
      </c>
    </row>
    <row r="602" spans="2:21" hidden="1" outlineLevel="2">
      <c r="B602" s="1050">
        <v>11</v>
      </c>
      <c r="C602" s="1050" t="str">
        <f t="shared" si="58"/>
        <v>-</v>
      </c>
      <c r="D602" s="1051">
        <f t="shared" si="59"/>
        <v>2</v>
      </c>
      <c r="E602" s="1051" t="str">
        <f>IF(COUNTIF(E$11:E601,F602)&gt;0,"",F602)</f>
        <v/>
      </c>
      <c r="F602" s="1051" t="str">
        <f t="shared" si="56"/>
        <v>Anthracite, France continentale, Base Carbone</v>
      </c>
      <c r="G602" s="1055" t="str">
        <f t="shared" si="57"/>
        <v>Anthracite, France continentale, Base Carbone; kgCO2e/kg, Combustion</v>
      </c>
      <c r="I602" s="1031" t="s">
        <v>1604</v>
      </c>
      <c r="J602" s="1032" t="s">
        <v>1572</v>
      </c>
      <c r="K602" s="1032" t="s">
        <v>1567</v>
      </c>
      <c r="L602" s="1032" t="s">
        <v>1571</v>
      </c>
      <c r="M602" s="1033">
        <v>0.2</v>
      </c>
      <c r="N602" s="1032" t="s">
        <v>1569</v>
      </c>
      <c r="O602" s="1036">
        <v>2.63</v>
      </c>
      <c r="P602" s="1036">
        <v>2.62</v>
      </c>
      <c r="Q602" s="1036">
        <v>8.0099999999999995E-4</v>
      </c>
      <c r="R602" s="1036">
        <v>0</v>
      </c>
      <c r="S602" s="1036">
        <v>1.06E-2</v>
      </c>
      <c r="T602" s="1036">
        <v>0</v>
      </c>
      <c r="U602" s="1037">
        <v>0</v>
      </c>
    </row>
    <row r="603" spans="2:21" hidden="1" outlineLevel="2">
      <c r="B603" s="1050">
        <v>12</v>
      </c>
      <c r="C603" s="1050" t="str">
        <f t="shared" si="58"/>
        <v>-</v>
      </c>
      <c r="D603" s="1051">
        <f t="shared" si="59"/>
        <v>2</v>
      </c>
      <c r="E603" s="1051" t="str">
        <f>IF(COUNTIF(E$11:E602,F603)&gt;0,"",F603)</f>
        <v/>
      </c>
      <c r="F603" s="1051" t="str">
        <f t="shared" si="56"/>
        <v>Anthracite, France continentale, Base Carbone</v>
      </c>
      <c r="G603" s="1055" t="str">
        <f t="shared" si="57"/>
        <v>Anthracite, France continentale, Base Carbone; kgCO2e/kg, Amont</v>
      </c>
      <c r="I603" s="1031" t="s">
        <v>1604</v>
      </c>
      <c r="J603" s="1032" t="s">
        <v>1572</v>
      </c>
      <c r="K603" s="1032" t="s">
        <v>1567</v>
      </c>
      <c r="L603" s="1032" t="s">
        <v>1571</v>
      </c>
      <c r="M603" s="1033">
        <v>0.2</v>
      </c>
      <c r="N603" s="1032" t="s">
        <v>1570</v>
      </c>
      <c r="O603" s="1036">
        <v>0.23599999999999999</v>
      </c>
      <c r="P603" s="1036">
        <v>8.8099999999999998E-2</v>
      </c>
      <c r="Q603" s="1036">
        <v>0.14799999999999999</v>
      </c>
      <c r="R603" s="1036">
        <v>0</v>
      </c>
      <c r="S603" s="1036">
        <v>0</v>
      </c>
      <c r="T603" s="1036">
        <v>0</v>
      </c>
      <c r="U603" s="1037">
        <v>0</v>
      </c>
    </row>
    <row r="604" spans="2:21" hidden="1" outlineLevel="2">
      <c r="B604" s="1050">
        <v>13</v>
      </c>
      <c r="C604" s="1050" t="str">
        <f t="shared" si="58"/>
        <v>-</v>
      </c>
      <c r="D604" s="1051">
        <f t="shared" si="59"/>
        <v>2</v>
      </c>
      <c r="E604" s="1051" t="str">
        <f>IF(COUNTIF(E$11:E603,F604)&gt;0,"",F604)</f>
        <v/>
      </c>
      <c r="F604" s="1051" t="str">
        <f t="shared" si="56"/>
        <v>Anthracite, France continentale, Base Carbone</v>
      </c>
      <c r="G604" s="1055" t="str">
        <f t="shared" si="57"/>
        <v>Anthracite, France continentale, Base Carbone; kgCO2e/kWh PCI, Combustion</v>
      </c>
      <c r="I604" s="1031" t="s">
        <v>1604</v>
      </c>
      <c r="J604" s="1032" t="s">
        <v>1573</v>
      </c>
      <c r="K604" s="1032" t="s">
        <v>1567</v>
      </c>
      <c r="L604" s="1032" t="s">
        <v>1571</v>
      </c>
      <c r="M604" s="1033">
        <v>0.2</v>
      </c>
      <c r="N604" s="1032" t="s">
        <v>1569</v>
      </c>
      <c r="O604" s="1036">
        <v>0.35599999999999998</v>
      </c>
      <c r="P604" s="1036">
        <v>0.35399999999999998</v>
      </c>
      <c r="Q604" s="1036">
        <v>1.08E-4</v>
      </c>
      <c r="R604" s="1036">
        <v>0</v>
      </c>
      <c r="S604" s="1036">
        <v>1.4300000000000001E-3</v>
      </c>
      <c r="T604" s="1036">
        <v>0</v>
      </c>
      <c r="U604" s="1037">
        <v>0</v>
      </c>
    </row>
    <row r="605" spans="2:21" hidden="1" outlineLevel="2">
      <c r="B605" s="1050">
        <v>14</v>
      </c>
      <c r="C605" s="1050" t="str">
        <f t="shared" si="58"/>
        <v>-</v>
      </c>
      <c r="D605" s="1051">
        <f t="shared" si="59"/>
        <v>2</v>
      </c>
      <c r="E605" s="1051" t="str">
        <f>IF(COUNTIF(E$11:E604,F605)&gt;0,"",F605)</f>
        <v/>
      </c>
      <c r="F605" s="1051" t="str">
        <f t="shared" si="56"/>
        <v>Anthracite, France continentale, Base Carbone</v>
      </c>
      <c r="G605" s="1055" t="str">
        <f t="shared" si="57"/>
        <v>Anthracite, France continentale, Base Carbone; kgCO2e/kWh PCI, Amont</v>
      </c>
      <c r="I605" s="1031" t="s">
        <v>1604</v>
      </c>
      <c r="J605" s="1032" t="s">
        <v>1573</v>
      </c>
      <c r="K605" s="1032" t="s">
        <v>1567</v>
      </c>
      <c r="L605" s="1032" t="s">
        <v>1571</v>
      </c>
      <c r="M605" s="1033">
        <v>0.2</v>
      </c>
      <c r="N605" s="1032" t="s">
        <v>1570</v>
      </c>
      <c r="O605" s="1036">
        <v>3.1899999999999998E-2</v>
      </c>
      <c r="P605" s="1036">
        <v>1.1900000000000001E-2</v>
      </c>
      <c r="Q605" s="1036">
        <v>0.02</v>
      </c>
      <c r="R605" s="1036">
        <v>0</v>
      </c>
      <c r="S605" s="1036">
        <v>0</v>
      </c>
      <c r="T605" s="1036">
        <v>0</v>
      </c>
      <c r="U605" s="1037">
        <v>0</v>
      </c>
    </row>
    <row r="606" spans="2:21" hidden="1" outlineLevel="2">
      <c r="B606" s="1050">
        <v>15</v>
      </c>
      <c r="C606" s="1050" t="str">
        <f t="shared" si="58"/>
        <v>-</v>
      </c>
      <c r="D606" s="1051">
        <f t="shared" si="59"/>
        <v>2</v>
      </c>
      <c r="E606" s="1051" t="str">
        <f>IF(COUNTIF(E$11:E605,F606)&gt;0,"",F606)</f>
        <v/>
      </c>
      <c r="F606" s="1051" t="str">
        <f t="shared" si="56"/>
        <v>Anthracite, France continentale, Base Carbone</v>
      </c>
      <c r="G606" s="1055" t="str">
        <f t="shared" si="57"/>
        <v>Anthracite, France continentale, Base Carbone; kgCO2e/tep PCI, Combustion</v>
      </c>
      <c r="I606" s="1031" t="s">
        <v>1604</v>
      </c>
      <c r="J606" s="1032" t="s">
        <v>1575</v>
      </c>
      <c r="K606" s="1032" t="s">
        <v>1567</v>
      </c>
      <c r="L606" s="1032" t="s">
        <v>1571</v>
      </c>
      <c r="M606" s="1033">
        <v>0.2</v>
      </c>
      <c r="N606" s="1032" t="s">
        <v>1569</v>
      </c>
      <c r="O606" s="1036">
        <v>4150</v>
      </c>
      <c r="P606" s="1036">
        <v>4130</v>
      </c>
      <c r="Q606" s="1036">
        <v>0</v>
      </c>
      <c r="R606" s="1036">
        <v>0</v>
      </c>
      <c r="S606" s="1036">
        <v>16.7</v>
      </c>
      <c r="T606" s="1036">
        <v>0</v>
      </c>
      <c r="U606" s="1037">
        <v>0</v>
      </c>
    </row>
    <row r="607" spans="2:21" hidden="1" outlineLevel="2">
      <c r="D607" s="1051">
        <f t="shared" si="59"/>
        <v>2</v>
      </c>
      <c r="E607" s="1051" t="str">
        <f>IF(COUNTIF(E$11:E606,F607)&gt;0,"",F607)</f>
        <v/>
      </c>
      <c r="F607" s="1051" t="str">
        <f t="shared" si="56"/>
        <v>Anthracite, France continentale, Base Carbone</v>
      </c>
      <c r="G607" s="1055" t="str">
        <f t="shared" si="57"/>
        <v>Anthracite, France continentale, Base Carbone; kgCO2e/tep PCI, Amont</v>
      </c>
      <c r="I607" s="1031" t="s">
        <v>1604</v>
      </c>
      <c r="J607" s="1032" t="s">
        <v>1575</v>
      </c>
      <c r="K607" s="1032" t="s">
        <v>1567</v>
      </c>
      <c r="L607" s="1032" t="s">
        <v>1571</v>
      </c>
      <c r="M607" s="1033">
        <v>0.2</v>
      </c>
      <c r="N607" s="1032" t="s">
        <v>1570</v>
      </c>
      <c r="O607" s="1036">
        <v>373</v>
      </c>
      <c r="P607" s="1036">
        <v>139</v>
      </c>
      <c r="Q607" s="1036">
        <v>234</v>
      </c>
      <c r="R607" s="1036">
        <v>0</v>
      </c>
      <c r="S607" s="1036">
        <v>0</v>
      </c>
      <c r="T607" s="1036">
        <v>0</v>
      </c>
      <c r="U607" s="1037">
        <v>0</v>
      </c>
    </row>
    <row r="608" spans="2:21" hidden="1" outlineLevel="2">
      <c r="D608" s="1051">
        <f t="shared" si="59"/>
        <v>3</v>
      </c>
      <c r="E608" s="1051" t="str">
        <f>IF(COUNTIF(E$11:E607,F608)&gt;0,"",F608)</f>
        <v>Briquette de lignite, France continentale, Base Carbone</v>
      </c>
      <c r="F608" s="1051" t="str">
        <f t="shared" si="56"/>
        <v>Briquette de lignite, France continentale, Base Carbone</v>
      </c>
      <c r="G608" s="1055" t="str">
        <f t="shared" si="57"/>
        <v>Briquette de lignite, France continentale, Base Carbone; kgCO2e/GJ PCI, Combustion</v>
      </c>
      <c r="I608" s="1031" t="s">
        <v>1605</v>
      </c>
      <c r="J608" s="1032" t="s">
        <v>1566</v>
      </c>
      <c r="K608" s="1032" t="s">
        <v>1567</v>
      </c>
      <c r="L608" s="1032" t="s">
        <v>1571</v>
      </c>
      <c r="M608" s="1033">
        <v>0.2</v>
      </c>
      <c r="N608" s="1032" t="s">
        <v>1569</v>
      </c>
      <c r="O608" s="1036">
        <v>99.2</v>
      </c>
      <c r="P608" s="1036">
        <v>98</v>
      </c>
      <c r="Q608" s="1036">
        <v>0.45</v>
      </c>
      <c r="R608" s="1036">
        <v>0</v>
      </c>
      <c r="S608" s="1036">
        <v>0.79500000000000004</v>
      </c>
      <c r="T608" s="1036">
        <v>0</v>
      </c>
      <c r="U608" s="1037">
        <v>0</v>
      </c>
    </row>
    <row r="609" spans="4:21" hidden="1" outlineLevel="2">
      <c r="D609" s="1051">
        <f t="shared" si="59"/>
        <v>3</v>
      </c>
      <c r="E609" s="1051" t="str">
        <f>IF(COUNTIF(E$11:E608,F609)&gt;0,"",F609)</f>
        <v/>
      </c>
      <c r="F609" s="1051" t="str">
        <f t="shared" si="56"/>
        <v>Briquette de lignite, France continentale, Base Carbone</v>
      </c>
      <c r="G609" s="1055" t="str">
        <f t="shared" si="57"/>
        <v>Briquette de lignite, France continentale, Base Carbone; kgCO2e/GJ PCI, Amont</v>
      </c>
      <c r="I609" s="1031" t="s">
        <v>1605</v>
      </c>
      <c r="J609" s="1032" t="s">
        <v>1566</v>
      </c>
      <c r="K609" s="1032" t="s">
        <v>1567</v>
      </c>
      <c r="L609" s="1032" t="s">
        <v>1571</v>
      </c>
      <c r="M609" s="1033">
        <v>0.2</v>
      </c>
      <c r="N609" s="1032" t="s">
        <v>1570</v>
      </c>
      <c r="O609" s="1036">
        <v>8.85</v>
      </c>
      <c r="P609" s="1036">
        <v>3.3</v>
      </c>
      <c r="Q609" s="1036">
        <v>5.55</v>
      </c>
      <c r="R609" s="1036">
        <v>0</v>
      </c>
      <c r="S609" s="1036">
        <v>0</v>
      </c>
      <c r="T609" s="1036">
        <v>0</v>
      </c>
      <c r="U609" s="1037">
        <v>0</v>
      </c>
    </row>
    <row r="610" spans="4:21" hidden="1" outlineLevel="2">
      <c r="D610" s="1051">
        <f t="shared" si="59"/>
        <v>3</v>
      </c>
      <c r="E610" s="1051" t="str">
        <f>IF(COUNTIF(E$11:E609,F610)&gt;0,"",F610)</f>
        <v/>
      </c>
      <c r="F610" s="1051" t="str">
        <f t="shared" si="56"/>
        <v>Briquette de lignite, France continentale, Base Carbone</v>
      </c>
      <c r="G610" s="1055" t="str">
        <f t="shared" si="57"/>
        <v>Briquette de lignite, France continentale, Base Carbone; kgCO2e/kg, Combustion</v>
      </c>
      <c r="I610" s="1031" t="s">
        <v>1605</v>
      </c>
      <c r="J610" s="1032" t="s">
        <v>1572</v>
      </c>
      <c r="K610" s="1032" t="s">
        <v>1567</v>
      </c>
      <c r="L610" s="1032" t="s">
        <v>1571</v>
      </c>
      <c r="M610" s="1033">
        <v>0.2</v>
      </c>
      <c r="N610" s="1032" t="s">
        <v>1569</v>
      </c>
      <c r="O610" s="1036">
        <v>1.69</v>
      </c>
      <c r="P610" s="1036">
        <v>1.67</v>
      </c>
      <c r="Q610" s="1036">
        <v>7.6499999999999997E-3</v>
      </c>
      <c r="R610" s="1036">
        <v>0</v>
      </c>
      <c r="S610" s="1036">
        <v>1.35E-2</v>
      </c>
      <c r="T610" s="1036">
        <v>0</v>
      </c>
      <c r="U610" s="1037">
        <v>0</v>
      </c>
    </row>
    <row r="611" spans="4:21" hidden="1" outlineLevel="2">
      <c r="D611" s="1051">
        <f t="shared" si="59"/>
        <v>3</v>
      </c>
      <c r="E611" s="1051" t="str">
        <f>IF(COUNTIF(E$11:E610,F611)&gt;0,"",F611)</f>
        <v/>
      </c>
      <c r="F611" s="1051" t="str">
        <f t="shared" si="56"/>
        <v>Briquette de lignite, France continentale, Base Carbone</v>
      </c>
      <c r="G611" s="1055" t="str">
        <f t="shared" si="57"/>
        <v>Briquette de lignite, France continentale, Base Carbone; kgCO2e/kg, Amont</v>
      </c>
      <c r="I611" s="1031" t="s">
        <v>1605</v>
      </c>
      <c r="J611" s="1032" t="s">
        <v>1572</v>
      </c>
      <c r="K611" s="1032" t="s">
        <v>1567</v>
      </c>
      <c r="L611" s="1032" t="s">
        <v>1571</v>
      </c>
      <c r="M611" s="1033">
        <v>0.2</v>
      </c>
      <c r="N611" s="1032" t="s">
        <v>1570</v>
      </c>
      <c r="O611" s="1036">
        <v>0.151</v>
      </c>
      <c r="P611" s="1036">
        <v>5.6000000000000001E-2</v>
      </c>
      <c r="Q611" s="1036">
        <v>9.4500000000000001E-2</v>
      </c>
      <c r="R611" s="1036">
        <v>0</v>
      </c>
      <c r="S611" s="1036">
        <v>0</v>
      </c>
      <c r="T611" s="1036">
        <v>0</v>
      </c>
      <c r="U611" s="1037">
        <v>0</v>
      </c>
    </row>
    <row r="612" spans="4:21" hidden="1" outlineLevel="2">
      <c r="D612" s="1051">
        <f t="shared" si="59"/>
        <v>3</v>
      </c>
      <c r="E612" s="1051" t="str">
        <f>IF(COUNTIF(E$11:E611,F612)&gt;0,"",F612)</f>
        <v/>
      </c>
      <c r="F612" s="1051" t="str">
        <f t="shared" si="56"/>
        <v>Briquette de lignite, France continentale, Base Carbone</v>
      </c>
      <c r="G612" s="1055" t="str">
        <f t="shared" si="57"/>
        <v>Briquette de lignite, France continentale, Base Carbone; kgCO2e/kWh PCI, Combustion</v>
      </c>
      <c r="I612" s="1031" t="s">
        <v>1605</v>
      </c>
      <c r="J612" s="1032" t="s">
        <v>1573</v>
      </c>
      <c r="K612" s="1032" t="s">
        <v>1567</v>
      </c>
      <c r="L612" s="1032" t="s">
        <v>1571</v>
      </c>
      <c r="M612" s="1033">
        <v>0.2</v>
      </c>
      <c r="N612" s="1032" t="s">
        <v>1569</v>
      </c>
      <c r="O612" s="1036">
        <v>0.35699999999999998</v>
      </c>
      <c r="P612" s="1036">
        <v>0.35299999999999998</v>
      </c>
      <c r="Q612" s="1036">
        <v>1.6199999999999999E-3</v>
      </c>
      <c r="R612" s="1036">
        <v>0</v>
      </c>
      <c r="S612" s="1036">
        <v>2.8600000000000001E-3</v>
      </c>
      <c r="T612" s="1036">
        <v>0</v>
      </c>
      <c r="U612" s="1037">
        <v>0</v>
      </c>
    </row>
    <row r="613" spans="4:21" hidden="1" outlineLevel="2">
      <c r="D613" s="1051">
        <f t="shared" si="59"/>
        <v>3</v>
      </c>
      <c r="E613" s="1051" t="str">
        <f>IF(COUNTIF(E$11:E612,F613)&gt;0,"",F613)</f>
        <v/>
      </c>
      <c r="F613" s="1051" t="str">
        <f t="shared" si="56"/>
        <v>Briquette de lignite, France continentale, Base Carbone</v>
      </c>
      <c r="G613" s="1055" t="str">
        <f t="shared" si="57"/>
        <v>Briquette de lignite, France continentale, Base Carbone; kgCO2e/kWh PCI, Amont</v>
      </c>
      <c r="I613" s="1031" t="s">
        <v>1605</v>
      </c>
      <c r="J613" s="1032" t="s">
        <v>1573</v>
      </c>
      <c r="K613" s="1032" t="s">
        <v>1567</v>
      </c>
      <c r="L613" s="1032" t="s">
        <v>1571</v>
      </c>
      <c r="M613" s="1033">
        <v>0.2</v>
      </c>
      <c r="N613" s="1032" t="s">
        <v>1570</v>
      </c>
      <c r="O613" s="1036">
        <v>3.1899999999999998E-2</v>
      </c>
      <c r="P613" s="1036">
        <v>1.1900000000000001E-2</v>
      </c>
      <c r="Q613" s="1036">
        <v>0.02</v>
      </c>
      <c r="R613" s="1036">
        <v>0</v>
      </c>
      <c r="S613" s="1036">
        <v>0</v>
      </c>
      <c r="T613" s="1036">
        <v>0</v>
      </c>
      <c r="U613" s="1037">
        <v>0</v>
      </c>
    </row>
    <row r="614" spans="4:21" hidden="1" outlineLevel="2">
      <c r="D614" s="1051">
        <f t="shared" si="59"/>
        <v>3</v>
      </c>
      <c r="E614" s="1051" t="str">
        <f>IF(COUNTIF(E$11:E613,F614)&gt;0,"",F614)</f>
        <v/>
      </c>
      <c r="F614" s="1051" t="str">
        <f t="shared" si="56"/>
        <v>Briquette de lignite, France continentale, Base Carbone</v>
      </c>
      <c r="G614" s="1055" t="str">
        <f t="shared" si="57"/>
        <v>Briquette de lignite, France continentale, Base Carbone; kgCO2e/tep PCI, Combustion</v>
      </c>
      <c r="I614" s="1031" t="s">
        <v>1605</v>
      </c>
      <c r="J614" s="1032" t="s">
        <v>1575</v>
      </c>
      <c r="K614" s="1032" t="s">
        <v>1567</v>
      </c>
      <c r="L614" s="1032" t="s">
        <v>1571</v>
      </c>
      <c r="M614" s="1033">
        <v>0.2</v>
      </c>
      <c r="N614" s="1032" t="s">
        <v>1569</v>
      </c>
      <c r="O614" s="1036">
        <v>4170</v>
      </c>
      <c r="P614" s="1036">
        <v>4120</v>
      </c>
      <c r="Q614" s="1036">
        <v>18.899999999999999</v>
      </c>
      <c r="R614" s="1036">
        <v>0</v>
      </c>
      <c r="S614" s="1036">
        <v>33.4</v>
      </c>
      <c r="T614" s="1036">
        <v>0</v>
      </c>
      <c r="U614" s="1037">
        <v>0</v>
      </c>
    </row>
    <row r="615" spans="4:21" hidden="1" outlineLevel="2">
      <c r="D615" s="1051">
        <f t="shared" si="59"/>
        <v>3</v>
      </c>
      <c r="E615" s="1051" t="str">
        <f>IF(COUNTIF(E$11:E614,F615)&gt;0,"",F615)</f>
        <v/>
      </c>
      <c r="F615" s="1051" t="str">
        <f t="shared" si="56"/>
        <v>Briquette de lignite, France continentale, Base Carbone</v>
      </c>
      <c r="G615" s="1055" t="str">
        <f t="shared" si="57"/>
        <v>Briquette de lignite, France continentale, Base Carbone; kgCO2e/tep PCI, Amont</v>
      </c>
      <c r="I615" s="1031" t="s">
        <v>1605</v>
      </c>
      <c r="J615" s="1032" t="s">
        <v>1575</v>
      </c>
      <c r="K615" s="1032" t="s">
        <v>1567</v>
      </c>
      <c r="L615" s="1032" t="s">
        <v>1571</v>
      </c>
      <c r="M615" s="1033">
        <v>0.2</v>
      </c>
      <c r="N615" s="1032" t="s">
        <v>1570</v>
      </c>
      <c r="O615" s="1036">
        <v>372</v>
      </c>
      <c r="P615" s="1036">
        <v>139</v>
      </c>
      <c r="Q615" s="1036">
        <v>233</v>
      </c>
      <c r="R615" s="1036">
        <v>0</v>
      </c>
      <c r="S615" s="1036">
        <v>0</v>
      </c>
      <c r="T615" s="1036">
        <v>0</v>
      </c>
      <c r="U615" s="1037">
        <v>0</v>
      </c>
    </row>
    <row r="616" spans="4:21" hidden="1" outlineLevel="2">
      <c r="D616" s="1051">
        <f t="shared" si="59"/>
        <v>4</v>
      </c>
      <c r="E616" s="1051" t="str">
        <f>IF(COUNTIF(E$11:E615,F616)&gt;0,"",F616)</f>
        <v>Charbon à coke (PCS supérieur à 23865 kJ par kg), France continentale, Base Carbone</v>
      </c>
      <c r="F616" s="1051" t="str">
        <f t="shared" si="56"/>
        <v>Charbon à coke (PCS supérieur à 23865 kJ par kg), France continentale, Base Carbone</v>
      </c>
      <c r="G616" s="1055" t="str">
        <f t="shared" si="57"/>
        <v>Charbon à coke (PCS supérieur à 23865 kJ par kg), France continentale, Base Carbone; kgCO2e/GJ PCI, Combustion</v>
      </c>
      <c r="I616" s="1034" t="s">
        <v>1606</v>
      </c>
      <c r="J616" s="1032" t="s">
        <v>1566</v>
      </c>
      <c r="K616" s="1032" t="s">
        <v>1567</v>
      </c>
      <c r="L616" s="1032" t="s">
        <v>1571</v>
      </c>
      <c r="M616" s="1033">
        <v>0.2</v>
      </c>
      <c r="N616" s="1032" t="s">
        <v>1569</v>
      </c>
      <c r="O616" s="1036">
        <v>95.8</v>
      </c>
      <c r="P616" s="1036">
        <v>95</v>
      </c>
      <c r="Q616" s="1036">
        <v>0.03</v>
      </c>
      <c r="R616" s="1036">
        <v>0</v>
      </c>
      <c r="S616" s="1036">
        <v>0.79500000000000004</v>
      </c>
      <c r="T616" s="1036">
        <v>0</v>
      </c>
      <c r="U616" s="1037">
        <v>0</v>
      </c>
    </row>
    <row r="617" spans="4:21" hidden="1" outlineLevel="2">
      <c r="D617" s="1051">
        <f t="shared" si="59"/>
        <v>4</v>
      </c>
      <c r="E617" s="1051" t="str">
        <f>IF(COUNTIF(E$11:E616,F617)&gt;0,"",F617)</f>
        <v/>
      </c>
      <c r="F617" s="1051" t="str">
        <f t="shared" si="56"/>
        <v>Charbon à coke (PCS supérieur à 23865 kJ par kg), France continentale, Base Carbone</v>
      </c>
      <c r="G617" s="1055" t="str">
        <f t="shared" si="57"/>
        <v>Charbon à coke (PCS supérieur à 23865 kJ par kg), France continentale, Base Carbone; kgCO2e/GJ PCI, Amont</v>
      </c>
      <c r="I617" s="1031" t="s">
        <v>1606</v>
      </c>
      <c r="J617" s="1032" t="s">
        <v>1566</v>
      </c>
      <c r="K617" s="1032" t="s">
        <v>1567</v>
      </c>
      <c r="L617" s="1032" t="s">
        <v>1571</v>
      </c>
      <c r="M617" s="1033">
        <v>0.2</v>
      </c>
      <c r="N617" s="1032" t="s">
        <v>1570</v>
      </c>
      <c r="O617" s="1036">
        <v>9</v>
      </c>
      <c r="P617" s="1036">
        <v>3.3</v>
      </c>
      <c r="Q617" s="1036">
        <v>5.7</v>
      </c>
      <c r="R617" s="1036">
        <v>0</v>
      </c>
      <c r="S617" s="1036">
        <v>0</v>
      </c>
      <c r="T617" s="1036">
        <v>0</v>
      </c>
      <c r="U617" s="1037">
        <v>0</v>
      </c>
    </row>
    <row r="618" spans="4:21" hidden="1" outlineLevel="2">
      <c r="D618" s="1051">
        <f t="shared" si="59"/>
        <v>4</v>
      </c>
      <c r="E618" s="1051" t="str">
        <f>IF(COUNTIF(E$11:E617,F618)&gt;0,"",F618)</f>
        <v/>
      </c>
      <c r="F618" s="1051" t="str">
        <f t="shared" si="56"/>
        <v>Charbon à coke (PCS supérieur à 23865 kJ par kg), France continentale, Base Carbone</v>
      </c>
      <c r="G618" s="1055" t="str">
        <f t="shared" si="57"/>
        <v>Charbon à coke (PCS supérieur à 23865 kJ par kg), France continentale, Base Carbone; kgCO2e/kg, Combustion</v>
      </c>
      <c r="I618" s="1031" t="s">
        <v>1606</v>
      </c>
      <c r="J618" s="1032" t="s">
        <v>1572</v>
      </c>
      <c r="K618" s="1032" t="s">
        <v>1567</v>
      </c>
      <c r="L618" s="1032" t="s">
        <v>1571</v>
      </c>
      <c r="M618" s="1033">
        <v>0.2</v>
      </c>
      <c r="N618" s="1032" t="s">
        <v>1569</v>
      </c>
      <c r="O618" s="1036">
        <v>2.4900000000000002</v>
      </c>
      <c r="P618" s="1036">
        <v>2.4700000000000002</v>
      </c>
      <c r="Q618" s="1036">
        <v>7.7999999999999999E-4</v>
      </c>
      <c r="R618" s="1036">
        <v>0</v>
      </c>
      <c r="S618" s="1036">
        <v>2.07E-2</v>
      </c>
      <c r="T618" s="1036">
        <v>0</v>
      </c>
      <c r="U618" s="1037">
        <v>0</v>
      </c>
    </row>
    <row r="619" spans="4:21" hidden="1" outlineLevel="2">
      <c r="D619" s="1051">
        <f t="shared" si="59"/>
        <v>4</v>
      </c>
      <c r="E619" s="1051" t="str">
        <f>IF(COUNTIF(E$11:E618,F619)&gt;0,"",F619)</f>
        <v/>
      </c>
      <c r="F619" s="1051" t="str">
        <f t="shared" si="56"/>
        <v>Charbon à coke (PCS supérieur à 23865 kJ par kg), France continentale, Base Carbone</v>
      </c>
      <c r="G619" s="1055" t="str">
        <f t="shared" si="57"/>
        <v>Charbon à coke (PCS supérieur à 23865 kJ par kg), France continentale, Base Carbone; kgCO2e/kg, Amont</v>
      </c>
      <c r="I619" s="1031" t="s">
        <v>1606</v>
      </c>
      <c r="J619" s="1032" t="s">
        <v>1572</v>
      </c>
      <c r="K619" s="1032" t="s">
        <v>1567</v>
      </c>
      <c r="L619" s="1032" t="s">
        <v>1571</v>
      </c>
      <c r="M619" s="1033">
        <v>0.2</v>
      </c>
      <c r="N619" s="1032" t="s">
        <v>1570</v>
      </c>
      <c r="O619" s="1036">
        <v>0.23</v>
      </c>
      <c r="P619" s="1036">
        <v>8.5800000000000001E-2</v>
      </c>
      <c r="Q619" s="1036">
        <v>0.14399999999999999</v>
      </c>
      <c r="R619" s="1036">
        <v>0</v>
      </c>
      <c r="S619" s="1036">
        <v>0</v>
      </c>
      <c r="T619" s="1036">
        <v>0</v>
      </c>
      <c r="U619" s="1037">
        <v>0</v>
      </c>
    </row>
    <row r="620" spans="4:21" hidden="1" outlineLevel="2">
      <c r="D620" s="1051">
        <f t="shared" si="59"/>
        <v>4</v>
      </c>
      <c r="E620" s="1051" t="str">
        <f>IF(COUNTIF(E$11:E619,F620)&gt;0,"",F620)</f>
        <v/>
      </c>
      <c r="F620" s="1051" t="str">
        <f t="shared" si="56"/>
        <v>Charbon à coke (PCS supérieur à 23865 kJ par kg), France continentale, Base Carbone</v>
      </c>
      <c r="G620" s="1055" t="str">
        <f t="shared" si="57"/>
        <v>Charbon à coke (PCS supérieur à 23865 kJ par kg), France continentale, Base Carbone; kgCO2e/kWh PCI, Combustion</v>
      </c>
      <c r="I620" s="1031" t="s">
        <v>1606</v>
      </c>
      <c r="J620" s="1032" t="s">
        <v>1573</v>
      </c>
      <c r="K620" s="1032" t="s">
        <v>1567</v>
      </c>
      <c r="L620" s="1032" t="s">
        <v>1571</v>
      </c>
      <c r="M620" s="1033">
        <v>0.2</v>
      </c>
      <c r="N620" s="1032" t="s">
        <v>1569</v>
      </c>
      <c r="O620" s="1036">
        <v>0.34499999999999997</v>
      </c>
      <c r="P620" s="1036">
        <v>0.34200000000000003</v>
      </c>
      <c r="Q620" s="1036">
        <v>1.08E-4</v>
      </c>
      <c r="R620" s="1036">
        <v>0</v>
      </c>
      <c r="S620" s="1036">
        <v>2.8600000000000001E-3</v>
      </c>
      <c r="T620" s="1036">
        <v>0</v>
      </c>
      <c r="U620" s="1037">
        <v>0</v>
      </c>
    </row>
    <row r="621" spans="4:21" hidden="1" outlineLevel="2">
      <c r="D621" s="1051">
        <f t="shared" si="59"/>
        <v>4</v>
      </c>
      <c r="E621" s="1051" t="str">
        <f>IF(COUNTIF(E$11:E620,F621)&gt;0,"",F621)</f>
        <v/>
      </c>
      <c r="F621" s="1051" t="str">
        <f t="shared" si="56"/>
        <v>Charbon à coke (PCS supérieur à 23865 kJ par kg), France continentale, Base Carbone</v>
      </c>
      <c r="G621" s="1055" t="str">
        <f t="shared" si="57"/>
        <v>Charbon à coke (PCS supérieur à 23865 kJ par kg), France continentale, Base Carbone; kgCO2e/kWh PCI, Amont</v>
      </c>
      <c r="I621" s="1031" t="s">
        <v>1606</v>
      </c>
      <c r="J621" s="1032" t="s">
        <v>1573</v>
      </c>
      <c r="K621" s="1032" t="s">
        <v>1567</v>
      </c>
      <c r="L621" s="1032" t="s">
        <v>1571</v>
      </c>
      <c r="M621" s="1033">
        <v>0.2</v>
      </c>
      <c r="N621" s="1032" t="s">
        <v>1570</v>
      </c>
      <c r="O621" s="1036">
        <v>3.1899999999999998E-2</v>
      </c>
      <c r="P621" s="1036">
        <v>1.1900000000000001E-2</v>
      </c>
      <c r="Q621" s="1036">
        <v>0.02</v>
      </c>
      <c r="R621" s="1036">
        <v>0</v>
      </c>
      <c r="S621" s="1036">
        <v>0</v>
      </c>
      <c r="T621" s="1036">
        <v>0</v>
      </c>
      <c r="U621" s="1037">
        <v>0</v>
      </c>
    </row>
    <row r="622" spans="4:21" hidden="1" outlineLevel="2">
      <c r="D622" s="1051">
        <f t="shared" si="59"/>
        <v>4</v>
      </c>
      <c r="E622" s="1051" t="str">
        <f>IF(COUNTIF(E$11:E621,F622)&gt;0,"",F622)</f>
        <v/>
      </c>
      <c r="F622" s="1051" t="str">
        <f t="shared" si="56"/>
        <v>Charbon à coke (PCS supérieur à 23865 kJ par kg), France continentale, Base Carbone</v>
      </c>
      <c r="G622" s="1055" t="str">
        <f t="shared" si="57"/>
        <v>Charbon à coke (PCS supérieur à 23865 kJ par kg), France continentale, Base Carbone; kgCO2e/tep PCI, Combustion</v>
      </c>
      <c r="I622" s="1031" t="s">
        <v>1606</v>
      </c>
      <c r="J622" s="1032" t="s">
        <v>1575</v>
      </c>
      <c r="K622" s="1032" t="s">
        <v>1567</v>
      </c>
      <c r="L622" s="1032" t="s">
        <v>1571</v>
      </c>
      <c r="M622" s="1033">
        <v>0.2</v>
      </c>
      <c r="N622" s="1032" t="s">
        <v>1569</v>
      </c>
      <c r="O622" s="1036">
        <v>4020</v>
      </c>
      <c r="P622" s="1036">
        <v>3990</v>
      </c>
      <c r="Q622" s="1036">
        <v>0</v>
      </c>
      <c r="R622" s="1036">
        <v>0</v>
      </c>
      <c r="S622" s="1036">
        <v>33.4</v>
      </c>
      <c r="T622" s="1036">
        <v>0</v>
      </c>
      <c r="U622" s="1037">
        <v>0</v>
      </c>
    </row>
    <row r="623" spans="4:21" hidden="1" outlineLevel="2">
      <c r="D623" s="1051">
        <f t="shared" si="59"/>
        <v>4</v>
      </c>
      <c r="E623" s="1051" t="str">
        <f>IF(COUNTIF(E$11:E622,F623)&gt;0,"",F623)</f>
        <v/>
      </c>
      <c r="F623" s="1051" t="str">
        <f t="shared" si="56"/>
        <v>Charbon à coke (PCS supérieur à 23865 kJ par kg), France continentale, Base Carbone</v>
      </c>
      <c r="G623" s="1055" t="str">
        <f t="shared" si="57"/>
        <v>Charbon à coke (PCS supérieur à 23865 kJ par kg), France continentale, Base Carbone; kgCO2e/tep PCI, Amont</v>
      </c>
      <c r="I623" s="1031" t="s">
        <v>1606</v>
      </c>
      <c r="J623" s="1032" t="s">
        <v>1575</v>
      </c>
      <c r="K623" s="1032" t="s">
        <v>1567</v>
      </c>
      <c r="L623" s="1032" t="s">
        <v>1571</v>
      </c>
      <c r="M623" s="1033">
        <v>0.2</v>
      </c>
      <c r="N623" s="1032" t="s">
        <v>1570</v>
      </c>
      <c r="O623" s="1036">
        <v>373</v>
      </c>
      <c r="P623" s="1036">
        <v>139</v>
      </c>
      <c r="Q623" s="1036">
        <v>234</v>
      </c>
      <c r="R623" s="1036">
        <v>0</v>
      </c>
      <c r="S623" s="1036">
        <v>0</v>
      </c>
      <c r="T623" s="1036">
        <v>0</v>
      </c>
      <c r="U623" s="1037">
        <v>0</v>
      </c>
    </row>
    <row r="624" spans="4:21" hidden="1" outlineLevel="2">
      <c r="D624" s="1051">
        <f t="shared" si="59"/>
        <v>5</v>
      </c>
      <c r="E624" s="1051" t="str">
        <f>IF(COUNTIF(E$11:E623,F624)&gt;0,"",F624)</f>
        <v>Charbon à vapeur (PCS supérieur à 23865 kJ par kg), France continentale, Base Carbone</v>
      </c>
      <c r="F624" s="1051" t="str">
        <f t="shared" si="56"/>
        <v>Charbon à vapeur (PCS supérieur à 23865 kJ par kg), France continentale, Base Carbone</v>
      </c>
      <c r="G624" s="1055" t="str">
        <f t="shared" si="57"/>
        <v>Charbon à vapeur (PCS supérieur à 23865 kJ par kg), France continentale, Base Carbone; kgCO2e/GJ PCI, Combustion</v>
      </c>
      <c r="I624" s="1031" t="s">
        <v>1607</v>
      </c>
      <c r="J624" s="1032" t="s">
        <v>1566</v>
      </c>
      <c r="K624" s="1032" t="s">
        <v>1567</v>
      </c>
      <c r="L624" s="1032" t="s">
        <v>1571</v>
      </c>
      <c r="M624" s="1033">
        <v>0.2</v>
      </c>
      <c r="N624" s="1032" t="s">
        <v>1569</v>
      </c>
      <c r="O624" s="1036">
        <v>95.8</v>
      </c>
      <c r="P624" s="1036">
        <v>95</v>
      </c>
      <c r="Q624" s="1036">
        <v>0.03</v>
      </c>
      <c r="R624" s="1036">
        <v>0</v>
      </c>
      <c r="S624" s="1036">
        <v>0.79500000000000004</v>
      </c>
      <c r="T624" s="1036">
        <v>0</v>
      </c>
      <c r="U624" s="1037">
        <v>0</v>
      </c>
    </row>
    <row r="625" spans="4:21" hidden="1" outlineLevel="2">
      <c r="D625" s="1051">
        <f t="shared" si="59"/>
        <v>5</v>
      </c>
      <c r="E625" s="1051" t="str">
        <f>IF(COUNTIF(E$11:E624,F625)&gt;0,"",F625)</f>
        <v/>
      </c>
      <c r="F625" s="1051" t="str">
        <f t="shared" si="56"/>
        <v>Charbon à vapeur (PCS supérieur à 23865 kJ par kg), France continentale, Base Carbone</v>
      </c>
      <c r="G625" s="1055" t="str">
        <f t="shared" si="57"/>
        <v>Charbon à vapeur (PCS supérieur à 23865 kJ par kg), France continentale, Base Carbone; kgCO2e/GJ PCI, Amont</v>
      </c>
      <c r="I625" s="1031" t="s">
        <v>1607</v>
      </c>
      <c r="J625" s="1032" t="s">
        <v>1566</v>
      </c>
      <c r="K625" s="1032" t="s">
        <v>1567</v>
      </c>
      <c r="L625" s="1032" t="s">
        <v>1571</v>
      </c>
      <c r="M625" s="1033">
        <v>0.2</v>
      </c>
      <c r="N625" s="1032" t="s">
        <v>1570</v>
      </c>
      <c r="O625" s="1036">
        <v>8.85</v>
      </c>
      <c r="P625" s="1036">
        <v>3.3</v>
      </c>
      <c r="Q625" s="1036">
        <v>5.55</v>
      </c>
      <c r="R625" s="1036">
        <v>0</v>
      </c>
      <c r="S625" s="1036">
        <v>0</v>
      </c>
      <c r="T625" s="1036">
        <v>0</v>
      </c>
      <c r="U625" s="1037">
        <v>0</v>
      </c>
    </row>
    <row r="626" spans="4:21" hidden="1" outlineLevel="2">
      <c r="D626" s="1051">
        <f t="shared" si="59"/>
        <v>5</v>
      </c>
      <c r="E626" s="1051" t="str">
        <f>IF(COUNTIF(E$11:E625,F626)&gt;0,"",F626)</f>
        <v/>
      </c>
      <c r="F626" s="1051" t="str">
        <f t="shared" si="56"/>
        <v>Charbon à vapeur (PCS supérieur à 23865 kJ par kg), France continentale, Base Carbone</v>
      </c>
      <c r="G626" s="1055" t="str">
        <f t="shared" si="57"/>
        <v>Charbon à vapeur (PCS supérieur à 23865 kJ par kg), France continentale, Base Carbone; kgCO2e/kg, Combustion</v>
      </c>
      <c r="I626" s="1031" t="s">
        <v>1607</v>
      </c>
      <c r="J626" s="1032" t="s">
        <v>1572</v>
      </c>
      <c r="K626" s="1032" t="s">
        <v>1567</v>
      </c>
      <c r="L626" s="1032" t="s">
        <v>1571</v>
      </c>
      <c r="M626" s="1033">
        <v>0.2</v>
      </c>
      <c r="N626" s="1032" t="s">
        <v>1569</v>
      </c>
      <c r="O626" s="1036">
        <v>2.4900000000000002</v>
      </c>
      <c r="P626" s="1036">
        <v>2.4700000000000002</v>
      </c>
      <c r="Q626" s="1036">
        <v>7.7999999999999999E-4</v>
      </c>
      <c r="R626" s="1036">
        <v>0</v>
      </c>
      <c r="S626" s="1036">
        <v>2.07E-2</v>
      </c>
      <c r="T626" s="1036">
        <v>0</v>
      </c>
      <c r="U626" s="1037">
        <v>0</v>
      </c>
    </row>
    <row r="627" spans="4:21" hidden="1" outlineLevel="2">
      <c r="D627" s="1051">
        <f t="shared" si="59"/>
        <v>5</v>
      </c>
      <c r="E627" s="1051" t="str">
        <f>IF(COUNTIF(E$11:E626,F627)&gt;0,"",F627)</f>
        <v/>
      </c>
      <c r="F627" s="1051" t="str">
        <f t="shared" si="56"/>
        <v>Charbon à vapeur (PCS supérieur à 23865 kJ par kg), France continentale, Base Carbone</v>
      </c>
      <c r="G627" s="1055" t="str">
        <f t="shared" si="57"/>
        <v>Charbon à vapeur (PCS supérieur à 23865 kJ par kg), France continentale, Base Carbone; kgCO2e/kg, Amont</v>
      </c>
      <c r="I627" s="1031" t="s">
        <v>1607</v>
      </c>
      <c r="J627" s="1032" t="s">
        <v>1572</v>
      </c>
      <c r="K627" s="1032" t="s">
        <v>1567</v>
      </c>
      <c r="L627" s="1032" t="s">
        <v>1571</v>
      </c>
      <c r="M627" s="1033">
        <v>0.2</v>
      </c>
      <c r="N627" s="1032" t="s">
        <v>1570</v>
      </c>
      <c r="O627" s="1036">
        <v>0.23</v>
      </c>
      <c r="P627" s="1036">
        <v>8.5999999999999993E-2</v>
      </c>
      <c r="Q627" s="1036">
        <v>0.14399999999999999</v>
      </c>
      <c r="R627" s="1036">
        <v>0</v>
      </c>
      <c r="S627" s="1036">
        <v>0</v>
      </c>
      <c r="T627" s="1036">
        <v>0</v>
      </c>
      <c r="U627" s="1037">
        <v>0</v>
      </c>
    </row>
    <row r="628" spans="4:21" hidden="1" outlineLevel="2">
      <c r="D628" s="1051">
        <f t="shared" si="59"/>
        <v>5</v>
      </c>
      <c r="E628" s="1051" t="str">
        <f>IF(COUNTIF(E$11:E627,F628)&gt;0,"",F628)</f>
        <v/>
      </c>
      <c r="F628" s="1051" t="str">
        <f t="shared" si="56"/>
        <v>Charbon à vapeur (PCS supérieur à 23865 kJ par kg), France continentale, Base Carbone</v>
      </c>
      <c r="G628" s="1055" t="str">
        <f t="shared" si="57"/>
        <v>Charbon à vapeur (PCS supérieur à 23865 kJ par kg), France continentale, Base Carbone; kgCO2e/kWh PCI, Combustion</v>
      </c>
      <c r="I628" s="1031" t="s">
        <v>1607</v>
      </c>
      <c r="J628" s="1032" t="s">
        <v>1573</v>
      </c>
      <c r="K628" s="1032" t="s">
        <v>1567</v>
      </c>
      <c r="L628" s="1032" t="s">
        <v>1571</v>
      </c>
      <c r="M628" s="1033">
        <v>0.2</v>
      </c>
      <c r="N628" s="1032" t="s">
        <v>1569</v>
      </c>
      <c r="O628" s="1036">
        <v>0.34499999999999997</v>
      </c>
      <c r="P628" s="1036">
        <v>0.34200000000000003</v>
      </c>
      <c r="Q628" s="1036">
        <v>1.08E-4</v>
      </c>
      <c r="R628" s="1036">
        <v>0</v>
      </c>
      <c r="S628" s="1036">
        <v>2.8600000000000001E-3</v>
      </c>
      <c r="T628" s="1036">
        <v>0</v>
      </c>
      <c r="U628" s="1037">
        <v>0</v>
      </c>
    </row>
    <row r="629" spans="4:21" hidden="1" outlineLevel="2">
      <c r="D629" s="1051">
        <f t="shared" si="59"/>
        <v>5</v>
      </c>
      <c r="E629" s="1051" t="str">
        <f>IF(COUNTIF(E$11:E628,F629)&gt;0,"",F629)</f>
        <v/>
      </c>
      <c r="F629" s="1051" t="str">
        <f t="shared" si="56"/>
        <v>Charbon à vapeur (PCS supérieur à 23865 kJ par kg), France continentale, Base Carbone</v>
      </c>
      <c r="G629" s="1055" t="str">
        <f t="shared" si="57"/>
        <v>Charbon à vapeur (PCS supérieur à 23865 kJ par kg), France continentale, Base Carbone; kgCO2e/kWh PCI, Amont</v>
      </c>
      <c r="I629" s="1031" t="s">
        <v>1607</v>
      </c>
      <c r="J629" s="1032" t="s">
        <v>1573</v>
      </c>
      <c r="K629" s="1032" t="s">
        <v>1567</v>
      </c>
      <c r="L629" s="1032" t="s">
        <v>1571</v>
      </c>
      <c r="M629" s="1033">
        <v>0.2</v>
      </c>
      <c r="N629" s="1032" t="s">
        <v>1570</v>
      </c>
      <c r="O629" s="1036">
        <v>3.1899999999999998E-2</v>
      </c>
      <c r="P629" s="1036">
        <v>1.1900000000000001E-2</v>
      </c>
      <c r="Q629" s="1036">
        <v>0.02</v>
      </c>
      <c r="R629" s="1036">
        <v>0</v>
      </c>
      <c r="S629" s="1036">
        <v>0</v>
      </c>
      <c r="T629" s="1036">
        <v>0</v>
      </c>
      <c r="U629" s="1037">
        <v>0</v>
      </c>
    </row>
    <row r="630" spans="4:21" hidden="1" outlineLevel="2">
      <c r="D630" s="1051">
        <f t="shared" si="59"/>
        <v>5</v>
      </c>
      <c r="E630" s="1051" t="str">
        <f>IF(COUNTIF(E$11:E629,F630)&gt;0,"",F630)</f>
        <v/>
      </c>
      <c r="F630" s="1051" t="str">
        <f t="shared" si="56"/>
        <v>Charbon à vapeur (PCS supérieur à 23865 kJ par kg), France continentale, Base Carbone</v>
      </c>
      <c r="G630" s="1055" t="str">
        <f t="shared" si="57"/>
        <v>Charbon à vapeur (PCS supérieur à 23865 kJ par kg), France continentale, Base Carbone; kgCO2e/tep PCI, Combustion</v>
      </c>
      <c r="I630" s="1031" t="s">
        <v>1607</v>
      </c>
      <c r="J630" s="1032" t="s">
        <v>1575</v>
      </c>
      <c r="K630" s="1032" t="s">
        <v>1567</v>
      </c>
      <c r="L630" s="1032" t="s">
        <v>1571</v>
      </c>
      <c r="M630" s="1033">
        <v>0.2</v>
      </c>
      <c r="N630" s="1032" t="s">
        <v>1569</v>
      </c>
      <c r="O630" s="1036">
        <v>4020</v>
      </c>
      <c r="P630" s="1036">
        <v>3990</v>
      </c>
      <c r="Q630" s="1036">
        <v>1.26</v>
      </c>
      <c r="R630" s="1036">
        <v>0</v>
      </c>
      <c r="S630" s="1036">
        <v>33.4</v>
      </c>
      <c r="T630" s="1036">
        <v>0</v>
      </c>
      <c r="U630" s="1037">
        <v>0</v>
      </c>
    </row>
    <row r="631" spans="4:21" hidden="1" outlineLevel="2">
      <c r="D631" s="1051">
        <f t="shared" si="59"/>
        <v>5</v>
      </c>
      <c r="E631" s="1051" t="str">
        <f>IF(COUNTIF(E$11:E630,F631)&gt;0,"",F631)</f>
        <v/>
      </c>
      <c r="F631" s="1051" t="str">
        <f t="shared" si="56"/>
        <v>Charbon à vapeur (PCS supérieur à 23865 kJ par kg), France continentale, Base Carbone</v>
      </c>
      <c r="G631" s="1055" t="str">
        <f t="shared" si="57"/>
        <v>Charbon à vapeur (PCS supérieur à 23865 kJ par kg), France continentale, Base Carbone; kgCO2e/tep PCI, Amont</v>
      </c>
      <c r="I631" s="1031" t="s">
        <v>1607</v>
      </c>
      <c r="J631" s="1032" t="s">
        <v>1575</v>
      </c>
      <c r="K631" s="1032" t="s">
        <v>1567</v>
      </c>
      <c r="L631" s="1032" t="s">
        <v>1571</v>
      </c>
      <c r="M631" s="1033">
        <v>0.2</v>
      </c>
      <c r="N631" s="1032" t="s">
        <v>1570</v>
      </c>
      <c r="O631" s="1036">
        <v>372</v>
      </c>
      <c r="P631" s="1036">
        <v>139</v>
      </c>
      <c r="Q631" s="1036">
        <v>233</v>
      </c>
      <c r="R631" s="1036">
        <v>0</v>
      </c>
      <c r="S631" s="1036">
        <v>0</v>
      </c>
      <c r="T631" s="1036">
        <v>0</v>
      </c>
      <c r="U631" s="1037">
        <v>0</v>
      </c>
    </row>
    <row r="632" spans="4:21" hidden="1" outlineLevel="2">
      <c r="D632" s="1051">
        <f t="shared" si="59"/>
        <v>6</v>
      </c>
      <c r="E632" s="1051" t="str">
        <f>IF(COUNTIF(E$11:E631,F632)&gt;0,"",F632)</f>
        <v>Charbon sous-bitumineux (PCS entre 17 435 et 23 865 kJ par kg), France continentale, Base Carbone</v>
      </c>
      <c r="F632" s="1051" t="str">
        <f t="shared" si="56"/>
        <v>Charbon sous-bitumineux (PCS entre 17 435 et 23 865 kJ par kg), France continentale, Base Carbone</v>
      </c>
      <c r="G632" s="1055" t="str">
        <f t="shared" si="57"/>
        <v>Charbon sous-bitumineux (PCS entre 17 435 et 23 865 kJ par kg), France continentale, Base Carbone; kgCO2e/GJ PCI, Combustion</v>
      </c>
      <c r="I632" s="1031" t="s">
        <v>1608</v>
      </c>
      <c r="J632" s="1032" t="s">
        <v>1566</v>
      </c>
      <c r="K632" s="1032" t="s">
        <v>1567</v>
      </c>
      <c r="L632" s="1032" t="s">
        <v>1571</v>
      </c>
      <c r="M632" s="1033">
        <v>0.2</v>
      </c>
      <c r="N632" s="1032" t="s">
        <v>1569</v>
      </c>
      <c r="O632" s="1036">
        <v>96.8</v>
      </c>
      <c r="P632" s="1036">
        <v>96</v>
      </c>
      <c r="Q632" s="1036">
        <v>0.03</v>
      </c>
      <c r="R632" s="1036">
        <v>0</v>
      </c>
      <c r="S632" s="1036">
        <v>0.79500000000000004</v>
      </c>
      <c r="T632" s="1036">
        <v>0</v>
      </c>
      <c r="U632" s="1037">
        <v>0</v>
      </c>
    </row>
    <row r="633" spans="4:21" hidden="1" outlineLevel="2">
      <c r="D633" s="1051">
        <f t="shared" si="59"/>
        <v>6</v>
      </c>
      <c r="E633" s="1051" t="str">
        <f>IF(COUNTIF(E$11:E632,F633)&gt;0,"",F633)</f>
        <v/>
      </c>
      <c r="F633" s="1051" t="str">
        <f t="shared" si="56"/>
        <v>Charbon sous-bitumineux (PCS entre 17 435 et 23 865 kJ par kg), France continentale, Base Carbone</v>
      </c>
      <c r="G633" s="1055" t="str">
        <f t="shared" si="57"/>
        <v>Charbon sous-bitumineux (PCS entre 17 435 et 23 865 kJ par kg), France continentale, Base Carbone; kgCO2e/GJ PCI, Amont</v>
      </c>
      <c r="I633" s="1031" t="s">
        <v>1608</v>
      </c>
      <c r="J633" s="1032" t="s">
        <v>1566</v>
      </c>
      <c r="K633" s="1032" t="s">
        <v>1567</v>
      </c>
      <c r="L633" s="1032" t="s">
        <v>1571</v>
      </c>
      <c r="M633" s="1033">
        <v>0.2</v>
      </c>
      <c r="N633" s="1032" t="s">
        <v>1570</v>
      </c>
      <c r="O633" s="1036">
        <v>8.85</v>
      </c>
      <c r="P633" s="1036">
        <v>3.3</v>
      </c>
      <c r="Q633" s="1036">
        <v>5.55</v>
      </c>
      <c r="R633" s="1036">
        <v>0</v>
      </c>
      <c r="S633" s="1036">
        <v>0</v>
      </c>
      <c r="T633" s="1036">
        <v>0</v>
      </c>
      <c r="U633" s="1037">
        <v>0</v>
      </c>
    </row>
    <row r="634" spans="4:21" hidden="1" outlineLevel="2">
      <c r="D634" s="1051">
        <f t="shared" si="59"/>
        <v>6</v>
      </c>
      <c r="E634" s="1051" t="str">
        <f>IF(COUNTIF(E$11:E633,F634)&gt;0,"",F634)</f>
        <v/>
      </c>
      <c r="F634" s="1051" t="str">
        <f t="shared" si="56"/>
        <v>Charbon sous-bitumineux (PCS entre 17 435 et 23 865 kJ par kg), France continentale, Base Carbone</v>
      </c>
      <c r="G634" s="1055" t="str">
        <f t="shared" si="57"/>
        <v>Charbon sous-bitumineux (PCS entre 17 435 et 23 865 kJ par kg), France continentale, Base Carbone; kgCO2e/kg, Combustion</v>
      </c>
      <c r="I634" s="1031" t="s">
        <v>1608</v>
      </c>
      <c r="J634" s="1032" t="s">
        <v>1572</v>
      </c>
      <c r="K634" s="1032" t="s">
        <v>1567</v>
      </c>
      <c r="L634" s="1032" t="s">
        <v>1571</v>
      </c>
      <c r="M634" s="1033">
        <v>0.2</v>
      </c>
      <c r="N634" s="1032" t="s">
        <v>1569</v>
      </c>
      <c r="O634" s="1036">
        <v>1.94</v>
      </c>
      <c r="P634" s="1036">
        <v>1.92</v>
      </c>
      <c r="Q634" s="1036">
        <v>5.9999999999999995E-4</v>
      </c>
      <c r="R634" s="1036">
        <v>0</v>
      </c>
      <c r="S634" s="1036">
        <v>1.5900000000000001E-2</v>
      </c>
      <c r="T634" s="1036">
        <v>0</v>
      </c>
      <c r="U634" s="1037">
        <v>0</v>
      </c>
    </row>
    <row r="635" spans="4:21" hidden="1" outlineLevel="2">
      <c r="D635" s="1051">
        <f t="shared" si="59"/>
        <v>6</v>
      </c>
      <c r="E635" s="1051" t="str">
        <f>IF(COUNTIF(E$11:E634,F635)&gt;0,"",F635)</f>
        <v/>
      </c>
      <c r="F635" s="1051" t="str">
        <f t="shared" si="56"/>
        <v>Charbon sous-bitumineux (PCS entre 17 435 et 23 865 kJ par kg), France continentale, Base Carbone</v>
      </c>
      <c r="G635" s="1055" t="str">
        <f t="shared" si="57"/>
        <v>Charbon sous-bitumineux (PCS entre 17 435 et 23 865 kJ par kg), France continentale, Base Carbone; kgCO2e/kg, Amont</v>
      </c>
      <c r="I635" s="1031" t="s">
        <v>1608</v>
      </c>
      <c r="J635" s="1032" t="s">
        <v>1572</v>
      </c>
      <c r="K635" s="1032" t="s">
        <v>1567</v>
      </c>
      <c r="L635" s="1032" t="s">
        <v>1571</v>
      </c>
      <c r="M635" s="1033">
        <v>0.2</v>
      </c>
      <c r="N635" s="1032" t="s">
        <v>1570</v>
      </c>
      <c r="O635" s="1036">
        <v>0.17699999999999999</v>
      </c>
      <c r="P635" s="1036">
        <v>6.6000000000000003E-2</v>
      </c>
      <c r="Q635" s="1036">
        <v>0.111</v>
      </c>
      <c r="R635" s="1036">
        <v>0</v>
      </c>
      <c r="S635" s="1036">
        <v>0</v>
      </c>
      <c r="T635" s="1036">
        <v>0</v>
      </c>
      <c r="U635" s="1037">
        <v>0</v>
      </c>
    </row>
    <row r="636" spans="4:21" hidden="1" outlineLevel="2">
      <c r="D636" s="1051">
        <f t="shared" si="59"/>
        <v>6</v>
      </c>
      <c r="E636" s="1051" t="str">
        <f>IF(COUNTIF(E$11:E635,F636)&gt;0,"",F636)</f>
        <v/>
      </c>
      <c r="F636" s="1051" t="str">
        <f t="shared" si="56"/>
        <v>Charbon sous-bitumineux (PCS entre 17 435 et 23 865 kJ par kg), France continentale, Base Carbone</v>
      </c>
      <c r="G636" s="1055" t="str">
        <f t="shared" si="57"/>
        <v>Charbon sous-bitumineux (PCS entre 17 435 et 23 865 kJ par kg), France continentale, Base Carbone; kgCO2e/kWh PCI, Combustion</v>
      </c>
      <c r="I636" s="1031" t="s">
        <v>1608</v>
      </c>
      <c r="J636" s="1032" t="s">
        <v>1573</v>
      </c>
      <c r="K636" s="1032" t="s">
        <v>1567</v>
      </c>
      <c r="L636" s="1032" t="s">
        <v>1571</v>
      </c>
      <c r="M636" s="1033">
        <v>0.2</v>
      </c>
      <c r="N636" s="1032" t="s">
        <v>1569</v>
      </c>
      <c r="O636" s="1036">
        <v>0.34899999999999998</v>
      </c>
      <c r="P636" s="1036">
        <v>0.34599999999999997</v>
      </c>
      <c r="Q636" s="1036">
        <v>1.08E-4</v>
      </c>
      <c r="R636" s="1036">
        <v>0</v>
      </c>
      <c r="S636" s="1036">
        <v>2.8600000000000001E-3</v>
      </c>
      <c r="T636" s="1036">
        <v>0</v>
      </c>
      <c r="U636" s="1037">
        <v>0</v>
      </c>
    </row>
    <row r="637" spans="4:21" hidden="1" outlineLevel="2">
      <c r="D637" s="1051">
        <f t="shared" si="59"/>
        <v>6</v>
      </c>
      <c r="E637" s="1051" t="str">
        <f>IF(COUNTIF(E$11:E636,F637)&gt;0,"",F637)</f>
        <v/>
      </c>
      <c r="F637" s="1051" t="str">
        <f t="shared" ref="F637:F706" si="60">IF(I637&lt;&gt;"",I637&amp;IF(L637&lt;&gt;"",", "&amp;L637,"")&amp;IF(K637&lt;&gt;"",", "&amp;K637,""),"")</f>
        <v>Charbon sous-bitumineux (PCS entre 17 435 et 23 865 kJ par kg), France continentale, Base Carbone</v>
      </c>
      <c r="G637" s="1055" t="str">
        <f t="shared" ref="G637:G706" si="61">IF(F637&lt;&gt;"",F637&amp;IF(J637&lt;&gt;"","; "&amp;J637,"")&amp;IF(N637&lt;&gt;"",", "&amp;N637,""),"")</f>
        <v>Charbon sous-bitumineux (PCS entre 17 435 et 23 865 kJ par kg), France continentale, Base Carbone; kgCO2e/kWh PCI, Amont</v>
      </c>
      <c r="I637" s="1031" t="s">
        <v>1608</v>
      </c>
      <c r="J637" s="1032" t="s">
        <v>1573</v>
      </c>
      <c r="K637" s="1032" t="s">
        <v>1567</v>
      </c>
      <c r="L637" s="1032" t="s">
        <v>1571</v>
      </c>
      <c r="M637" s="1033">
        <v>0.2</v>
      </c>
      <c r="N637" s="1032" t="s">
        <v>1570</v>
      </c>
      <c r="O637" s="1036">
        <v>3.1899999999999998E-2</v>
      </c>
      <c r="P637" s="1036">
        <v>1.1900000000000001E-2</v>
      </c>
      <c r="Q637" s="1036">
        <v>0.02</v>
      </c>
      <c r="R637" s="1036">
        <v>0</v>
      </c>
      <c r="S637" s="1036">
        <v>0</v>
      </c>
      <c r="T637" s="1036">
        <v>0</v>
      </c>
      <c r="U637" s="1037">
        <v>0</v>
      </c>
    </row>
    <row r="638" spans="4:21" hidden="1" outlineLevel="2">
      <c r="D638" s="1051">
        <f t="shared" si="59"/>
        <v>6</v>
      </c>
      <c r="E638" s="1051" t="str">
        <f>IF(COUNTIF(E$11:E637,F638)&gt;0,"",F638)</f>
        <v/>
      </c>
      <c r="F638" s="1051" t="str">
        <f t="shared" si="60"/>
        <v>Charbon sous-bitumineux (PCS entre 17 435 et 23 865 kJ par kg), France continentale, Base Carbone</v>
      </c>
      <c r="G638" s="1055" t="str">
        <f t="shared" si="61"/>
        <v>Charbon sous-bitumineux (PCS entre 17 435 et 23 865 kJ par kg), France continentale, Base Carbone; kgCO2e/tep PCI, Combustion</v>
      </c>
      <c r="I638" s="1031" t="s">
        <v>1608</v>
      </c>
      <c r="J638" s="1032" t="s">
        <v>1575</v>
      </c>
      <c r="K638" s="1032" t="s">
        <v>1567</v>
      </c>
      <c r="L638" s="1032" t="s">
        <v>1571</v>
      </c>
      <c r="M638" s="1033">
        <v>0.2</v>
      </c>
      <c r="N638" s="1032" t="s">
        <v>1569</v>
      </c>
      <c r="O638" s="1036">
        <v>4060</v>
      </c>
      <c r="P638" s="1036">
        <v>4030</v>
      </c>
      <c r="Q638" s="1036">
        <v>1.26</v>
      </c>
      <c r="R638" s="1036">
        <v>0</v>
      </c>
      <c r="S638" s="1036">
        <v>33.4</v>
      </c>
      <c r="T638" s="1036">
        <v>0</v>
      </c>
      <c r="U638" s="1037">
        <v>0</v>
      </c>
    </row>
    <row r="639" spans="4:21" hidden="1" outlineLevel="2">
      <c r="D639" s="1051">
        <f t="shared" si="59"/>
        <v>6</v>
      </c>
      <c r="E639" s="1051" t="str">
        <f>IF(COUNTIF(E$11:E638,F639)&gt;0,"",F639)</f>
        <v/>
      </c>
      <c r="F639" s="1051" t="str">
        <f t="shared" si="60"/>
        <v>Charbon sous-bitumineux (PCS entre 17 435 et 23 865 kJ par kg), France continentale, Base Carbone</v>
      </c>
      <c r="G639" s="1055" t="str">
        <f t="shared" si="61"/>
        <v>Charbon sous-bitumineux (PCS entre 17 435 et 23 865 kJ par kg), France continentale, Base Carbone; kgCO2e/tep PCI, Amont</v>
      </c>
      <c r="I639" s="1031" t="s">
        <v>1608</v>
      </c>
      <c r="J639" s="1032" t="s">
        <v>1575</v>
      </c>
      <c r="K639" s="1032" t="s">
        <v>1567</v>
      </c>
      <c r="L639" s="1032" t="s">
        <v>1571</v>
      </c>
      <c r="M639" s="1033">
        <v>0.2</v>
      </c>
      <c r="N639" s="1032" t="s">
        <v>1570</v>
      </c>
      <c r="O639" s="1036">
        <v>372</v>
      </c>
      <c r="P639" s="1036">
        <v>139</v>
      </c>
      <c r="Q639" s="1036">
        <v>233</v>
      </c>
      <c r="R639" s="1036">
        <v>0</v>
      </c>
      <c r="S639" s="1036">
        <v>0</v>
      </c>
      <c r="T639" s="1036">
        <v>0</v>
      </c>
      <c r="U639" s="1037">
        <v>0</v>
      </c>
    </row>
    <row r="640" spans="4:21" hidden="1" outlineLevel="2">
      <c r="D640" s="1051">
        <f t="shared" si="59"/>
        <v>7</v>
      </c>
      <c r="E640" s="1051" t="str">
        <f>IF(COUNTIF(E$11:E639,F640)&gt;0,"",F640)</f>
        <v>Houille (PCS supérieur à 23865 kJ par kg), France continentale, Base Carbone</v>
      </c>
      <c r="F640" s="1051" t="str">
        <f t="shared" si="60"/>
        <v>Houille (PCS supérieur à 23865 kJ par kg), France continentale, Base Carbone</v>
      </c>
      <c r="G640" s="1055" t="str">
        <f t="shared" si="61"/>
        <v>Houille (PCS supérieur à 23865 kJ par kg), France continentale, Base Carbone; kgCO2e/kg, Combustion</v>
      </c>
      <c r="I640" s="1034" t="s">
        <v>1613</v>
      </c>
      <c r="J640" s="1032" t="s">
        <v>1572</v>
      </c>
      <c r="K640" s="1032" t="s">
        <v>1567</v>
      </c>
      <c r="L640" s="1032" t="s">
        <v>1571</v>
      </c>
      <c r="M640" s="1033">
        <v>0.2</v>
      </c>
      <c r="N640" s="1032" t="s">
        <v>1569</v>
      </c>
      <c r="O640" s="1036">
        <v>3.08</v>
      </c>
      <c r="P640" s="1036">
        <v>3.04</v>
      </c>
      <c r="Q640" s="1036">
        <v>9.5999999999999992E-3</v>
      </c>
      <c r="R640" s="1036">
        <v>0</v>
      </c>
      <c r="S640" s="1036">
        <v>2.5399999999999999E-2</v>
      </c>
      <c r="T640" s="1036">
        <v>0</v>
      </c>
      <c r="U640" s="1037">
        <v>0</v>
      </c>
    </row>
    <row r="641" spans="4:21" hidden="1" outlineLevel="2">
      <c r="D641" s="1051">
        <f t="shared" si="59"/>
        <v>7</v>
      </c>
      <c r="E641" s="1051" t="str">
        <f>IF(COUNTIF(E$11:E640,F641)&gt;0,"",F641)</f>
        <v/>
      </c>
      <c r="F641" s="1051" t="str">
        <f t="shared" si="60"/>
        <v>Houille (PCS supérieur à 23865 kJ par kg), France continentale, Base Carbone</v>
      </c>
      <c r="G641" s="1055" t="str">
        <f t="shared" si="61"/>
        <v>Houille (PCS supérieur à 23865 kJ par kg), France continentale, Base Carbone; kgCO2e/kg, Amont</v>
      </c>
      <c r="I641" s="1031" t="s">
        <v>1613</v>
      </c>
      <c r="J641" s="1032" t="s">
        <v>1572</v>
      </c>
      <c r="K641" s="1032" t="s">
        <v>1567</v>
      </c>
      <c r="L641" s="1032" t="s">
        <v>1571</v>
      </c>
      <c r="M641" s="1033">
        <v>0.2</v>
      </c>
      <c r="N641" s="1032" t="s">
        <v>1570</v>
      </c>
      <c r="O641" s="1036">
        <v>0.28399999999999997</v>
      </c>
      <c r="P641" s="1036">
        <v>0.106</v>
      </c>
      <c r="Q641" s="1036">
        <v>0.17799999999999999</v>
      </c>
      <c r="R641" s="1036">
        <v>0</v>
      </c>
      <c r="S641" s="1036">
        <v>0</v>
      </c>
      <c r="T641" s="1036">
        <v>0</v>
      </c>
      <c r="U641" s="1037">
        <v>0</v>
      </c>
    </row>
    <row r="642" spans="4:21" hidden="1" outlineLevel="2">
      <c r="D642" s="1051">
        <f t="shared" si="59"/>
        <v>7</v>
      </c>
      <c r="E642" s="1051" t="str">
        <f>IF(COUNTIF(E$11:E641,F642)&gt;0,"",F642)</f>
        <v/>
      </c>
      <c r="F642" s="1051" t="str">
        <f t="shared" si="60"/>
        <v>Houille (PCS supérieur à 23865 kJ par kg), France continentale, Base Carbone</v>
      </c>
      <c r="G642" s="1055" t="str">
        <f t="shared" si="61"/>
        <v>Houille (PCS supérieur à 23865 kJ par kg), France continentale, Base Carbone; kgCO2e/kWh PCI, Combustion</v>
      </c>
      <c r="I642" s="1031" t="s">
        <v>1613</v>
      </c>
      <c r="J642" s="1032" t="s">
        <v>1573</v>
      </c>
      <c r="K642" s="1032" t="s">
        <v>1567</v>
      </c>
      <c r="L642" s="1032" t="s">
        <v>1571</v>
      </c>
      <c r="M642" s="1033">
        <v>0.2</v>
      </c>
      <c r="N642" s="1032" t="s">
        <v>1569</v>
      </c>
      <c r="O642" s="1036">
        <v>0.34599999999999997</v>
      </c>
      <c r="P642" s="1036">
        <v>0.34200000000000003</v>
      </c>
      <c r="Q642" s="1036">
        <v>1.08E-3</v>
      </c>
      <c r="R642" s="1036">
        <v>0</v>
      </c>
      <c r="S642" s="1036">
        <v>2.8600000000000001E-3</v>
      </c>
      <c r="T642" s="1036">
        <v>0</v>
      </c>
      <c r="U642" s="1037">
        <v>0</v>
      </c>
    </row>
    <row r="643" spans="4:21" hidden="1" outlineLevel="2">
      <c r="D643" s="1051">
        <f t="shared" si="59"/>
        <v>7</v>
      </c>
      <c r="E643" s="1051" t="str">
        <f>IF(COUNTIF(E$11:E642,F643)&gt;0,"",F643)</f>
        <v/>
      </c>
      <c r="F643" s="1051" t="str">
        <f t="shared" si="60"/>
        <v>Houille (PCS supérieur à 23865 kJ par kg), France continentale, Base Carbone</v>
      </c>
      <c r="G643" s="1055" t="str">
        <f t="shared" si="61"/>
        <v>Houille (PCS supérieur à 23865 kJ par kg), France continentale, Base Carbone; kgCO2e/kWh PCI, Amont</v>
      </c>
      <c r="I643" s="1031" t="s">
        <v>1613</v>
      </c>
      <c r="J643" s="1032" t="s">
        <v>1573</v>
      </c>
      <c r="K643" s="1032" t="s">
        <v>1567</v>
      </c>
      <c r="L643" s="1032" t="s">
        <v>1571</v>
      </c>
      <c r="M643" s="1033">
        <v>0.2</v>
      </c>
      <c r="N643" s="1032" t="s">
        <v>1570</v>
      </c>
      <c r="O643" s="1036">
        <v>3.1899999999999998E-2</v>
      </c>
      <c r="P643" s="1036">
        <v>1.1900000000000001E-2</v>
      </c>
      <c r="Q643" s="1036">
        <v>0.02</v>
      </c>
      <c r="R643" s="1036">
        <v>0</v>
      </c>
      <c r="S643" s="1036">
        <v>0</v>
      </c>
      <c r="T643" s="1036">
        <v>0</v>
      </c>
      <c r="U643" s="1037">
        <v>0</v>
      </c>
    </row>
    <row r="644" spans="4:21" hidden="1" outlineLevel="2">
      <c r="D644" s="1051">
        <f t="shared" si="59"/>
        <v>7</v>
      </c>
      <c r="E644" s="1051" t="str">
        <f>IF(COUNTIF(E$11:E643,F644)&gt;0,"",F644)</f>
        <v/>
      </c>
      <c r="F644" s="1051" t="str">
        <f t="shared" si="60"/>
        <v>Houille (PCS supérieur à 23865 kJ par kg), France continentale, Base Carbone</v>
      </c>
      <c r="G644" s="1055" t="str">
        <f t="shared" si="61"/>
        <v>Houille (PCS supérieur à 23865 kJ par kg), France continentale, Base Carbone; kgCO2e/GJ PCI, Combustion</v>
      </c>
      <c r="I644" s="1031" t="s">
        <v>1613</v>
      </c>
      <c r="J644" s="1032" t="s">
        <v>1566</v>
      </c>
      <c r="K644" s="1032" t="s">
        <v>1567</v>
      </c>
      <c r="L644" s="1032" t="s">
        <v>1571</v>
      </c>
      <c r="M644" s="1033">
        <v>0.2</v>
      </c>
      <c r="N644" s="1032" t="s">
        <v>1569</v>
      </c>
      <c r="O644" s="1036">
        <v>96.1</v>
      </c>
      <c r="P644" s="1036">
        <v>95</v>
      </c>
      <c r="Q644" s="1036">
        <v>0.3</v>
      </c>
      <c r="R644" s="1036">
        <v>0</v>
      </c>
      <c r="S644" s="1036">
        <v>0.79500000000000004</v>
      </c>
      <c r="T644" s="1036">
        <v>0</v>
      </c>
      <c r="U644" s="1037">
        <v>0</v>
      </c>
    </row>
    <row r="645" spans="4:21" hidden="1" outlineLevel="2">
      <c r="D645" s="1051">
        <f t="shared" si="59"/>
        <v>7</v>
      </c>
      <c r="E645" s="1051" t="str">
        <f>IF(COUNTIF(E$11:E644,F645)&gt;0,"",F645)</f>
        <v/>
      </c>
      <c r="F645" s="1051" t="str">
        <f t="shared" si="60"/>
        <v>Houille (PCS supérieur à 23865 kJ par kg), France continentale, Base Carbone</v>
      </c>
      <c r="G645" s="1055" t="str">
        <f t="shared" si="61"/>
        <v>Houille (PCS supérieur à 23865 kJ par kg), France continentale, Base Carbone; kgCO2e/GJ PCI, Amont</v>
      </c>
      <c r="I645" s="1031" t="s">
        <v>1613</v>
      </c>
      <c r="J645" s="1032" t="s">
        <v>1566</v>
      </c>
      <c r="K645" s="1032" t="s">
        <v>1567</v>
      </c>
      <c r="L645" s="1032" t="s">
        <v>1571</v>
      </c>
      <c r="M645" s="1033">
        <v>0.2</v>
      </c>
      <c r="N645" s="1032" t="s">
        <v>1570</v>
      </c>
      <c r="O645" s="1036">
        <v>8.85</v>
      </c>
      <c r="P645" s="1036">
        <v>3.3</v>
      </c>
      <c r="Q645" s="1036">
        <v>5.55</v>
      </c>
      <c r="R645" s="1036">
        <v>0</v>
      </c>
      <c r="S645" s="1036">
        <v>0</v>
      </c>
      <c r="T645" s="1036">
        <v>0</v>
      </c>
      <c r="U645" s="1037">
        <v>0</v>
      </c>
    </row>
    <row r="646" spans="4:21" hidden="1" outlineLevel="2">
      <c r="D646" s="1051">
        <f t="shared" si="59"/>
        <v>7</v>
      </c>
      <c r="E646" s="1051" t="str">
        <f>IF(COUNTIF(E$11:E645,F646)&gt;0,"",F646)</f>
        <v/>
      </c>
      <c r="F646" s="1051" t="str">
        <f t="shared" si="60"/>
        <v>Houille (PCS supérieur à 23865 kJ par kg), France continentale, Base Carbone</v>
      </c>
      <c r="G646" s="1055" t="str">
        <f t="shared" si="61"/>
        <v>Houille (PCS supérieur à 23865 kJ par kg), France continentale, Base Carbone; kgCO2e/tep PCI, Combustion</v>
      </c>
      <c r="I646" s="1031" t="s">
        <v>1613</v>
      </c>
      <c r="J646" s="1032" t="s">
        <v>1575</v>
      </c>
      <c r="K646" s="1032" t="s">
        <v>1567</v>
      </c>
      <c r="L646" s="1032" t="s">
        <v>1571</v>
      </c>
      <c r="M646" s="1033">
        <v>0.2</v>
      </c>
      <c r="N646" s="1032" t="s">
        <v>1569</v>
      </c>
      <c r="O646" s="1036">
        <v>4040</v>
      </c>
      <c r="P646" s="1036">
        <v>3990</v>
      </c>
      <c r="Q646" s="1036">
        <v>12.6</v>
      </c>
      <c r="R646" s="1036">
        <v>0</v>
      </c>
      <c r="S646" s="1036">
        <v>33.4</v>
      </c>
      <c r="T646" s="1036">
        <v>0</v>
      </c>
      <c r="U646" s="1037">
        <v>0</v>
      </c>
    </row>
    <row r="647" spans="4:21" hidden="1" outlineLevel="2">
      <c r="D647" s="1051">
        <f t="shared" si="59"/>
        <v>7</v>
      </c>
      <c r="E647" s="1051" t="str">
        <f>IF(COUNTIF(E$11:E646,F647)&gt;0,"",F647)</f>
        <v/>
      </c>
      <c r="F647" s="1051" t="str">
        <f t="shared" si="60"/>
        <v>Houille (PCS supérieur à 23865 kJ par kg), France continentale, Base Carbone</v>
      </c>
      <c r="G647" s="1055" t="str">
        <f t="shared" si="61"/>
        <v>Houille (PCS supérieur à 23865 kJ par kg), France continentale, Base Carbone; kgCO2e/tep PCI, Amont</v>
      </c>
      <c r="I647" s="1031" t="s">
        <v>1613</v>
      </c>
      <c r="J647" s="1032" t="s">
        <v>1575</v>
      </c>
      <c r="K647" s="1032" t="s">
        <v>1567</v>
      </c>
      <c r="L647" s="1032" t="s">
        <v>1571</v>
      </c>
      <c r="M647" s="1033">
        <v>0.2</v>
      </c>
      <c r="N647" s="1032" t="s">
        <v>1570</v>
      </c>
      <c r="O647" s="1036">
        <v>372</v>
      </c>
      <c r="P647" s="1036">
        <v>139</v>
      </c>
      <c r="Q647" s="1036">
        <v>233</v>
      </c>
      <c r="R647" s="1036">
        <v>0</v>
      </c>
      <c r="S647" s="1036">
        <v>0</v>
      </c>
      <c r="T647" s="1036">
        <v>0</v>
      </c>
      <c r="U647" s="1037">
        <v>0</v>
      </c>
    </row>
    <row r="648" spans="4:21" hidden="1" outlineLevel="2">
      <c r="D648" s="1051">
        <f t="shared" si="59"/>
        <v>8</v>
      </c>
      <c r="E648" s="1051" t="str">
        <f>IF(COUNTIF(E$11:E647,F648)&gt;0,"",F648)</f>
        <v>Lignite (PCS inférieur à 17435 kJ par kg), France continentale, Base Carbone</v>
      </c>
      <c r="F648" s="1051" t="str">
        <f t="shared" si="60"/>
        <v>Lignite (PCS inférieur à 17435 kJ par kg), France continentale, Base Carbone</v>
      </c>
      <c r="G648" s="1055" t="str">
        <f t="shared" si="61"/>
        <v>Lignite (PCS inférieur à 17435 kJ par kg), France continentale, Base Carbone; kgCO2e/GJ PCI, Combustion</v>
      </c>
      <c r="I648" s="1031" t="s">
        <v>1614</v>
      </c>
      <c r="J648" s="1032" t="s">
        <v>1566</v>
      </c>
      <c r="K648" s="1032" t="s">
        <v>1567</v>
      </c>
      <c r="L648" s="1032" t="s">
        <v>1571</v>
      </c>
      <c r="M648" s="1033">
        <v>0.2</v>
      </c>
      <c r="N648" s="1032" t="s">
        <v>1569</v>
      </c>
      <c r="O648" s="1036">
        <v>101</v>
      </c>
      <c r="P648" s="1036">
        <v>100</v>
      </c>
      <c r="Q648" s="1036">
        <v>0.45</v>
      </c>
      <c r="R648" s="1036">
        <v>0</v>
      </c>
      <c r="S648" s="1036">
        <v>0.79500000000000004</v>
      </c>
      <c r="T648" s="1036">
        <v>0</v>
      </c>
      <c r="U648" s="1037">
        <v>0</v>
      </c>
    </row>
    <row r="649" spans="4:21" hidden="1" outlineLevel="2">
      <c r="D649" s="1051">
        <f t="shared" si="59"/>
        <v>8</v>
      </c>
      <c r="E649" s="1051" t="str">
        <f>IF(COUNTIF(E$11:E648,F649)&gt;0,"",F649)</f>
        <v/>
      </c>
      <c r="F649" s="1051" t="str">
        <f t="shared" si="60"/>
        <v>Lignite (PCS inférieur à 17435 kJ par kg), France continentale, Base Carbone</v>
      </c>
      <c r="G649" s="1055" t="str">
        <f t="shared" si="61"/>
        <v>Lignite (PCS inférieur à 17435 kJ par kg), France continentale, Base Carbone; kgCO2e/GJ PCI, Amont</v>
      </c>
      <c r="I649" s="1031" t="s">
        <v>1614</v>
      </c>
      <c r="J649" s="1032" t="s">
        <v>1566</v>
      </c>
      <c r="K649" s="1032" t="s">
        <v>1567</v>
      </c>
      <c r="L649" s="1032" t="s">
        <v>1571</v>
      </c>
      <c r="M649" s="1033">
        <v>0.2</v>
      </c>
      <c r="N649" s="1032" t="s">
        <v>1570</v>
      </c>
      <c r="O649" s="1036">
        <v>9</v>
      </c>
      <c r="P649" s="1036">
        <v>3.3</v>
      </c>
      <c r="Q649" s="1036">
        <v>5.7</v>
      </c>
      <c r="R649" s="1036">
        <v>0</v>
      </c>
      <c r="S649" s="1036">
        <v>0</v>
      </c>
      <c r="T649" s="1036">
        <v>0</v>
      </c>
      <c r="U649" s="1037">
        <v>0</v>
      </c>
    </row>
    <row r="650" spans="4:21" hidden="1" outlineLevel="2">
      <c r="D650" s="1051">
        <f t="shared" si="59"/>
        <v>8</v>
      </c>
      <c r="E650" s="1051" t="str">
        <f>IF(COUNTIF(E$11:E649,F650)&gt;0,"",F650)</f>
        <v/>
      </c>
      <c r="F650" s="1051" t="str">
        <f t="shared" si="60"/>
        <v>Lignite (PCS inférieur à 17435 kJ par kg), France continentale, Base Carbone</v>
      </c>
      <c r="G650" s="1055" t="str">
        <f t="shared" si="61"/>
        <v>Lignite (PCS inférieur à 17435 kJ par kg), France continentale, Base Carbone; kgCO2e/kg, Combustion</v>
      </c>
      <c r="I650" s="1031" t="s">
        <v>1614</v>
      </c>
      <c r="J650" s="1032" t="s">
        <v>1572</v>
      </c>
      <c r="K650" s="1032" t="s">
        <v>1567</v>
      </c>
      <c r="L650" s="1032" t="s">
        <v>1571</v>
      </c>
      <c r="M650" s="1033">
        <v>0.2</v>
      </c>
      <c r="N650" s="1032" t="s">
        <v>1569</v>
      </c>
      <c r="O650" s="1036">
        <v>1.72</v>
      </c>
      <c r="P650" s="1036">
        <v>1.7</v>
      </c>
      <c r="Q650" s="1036">
        <v>7.6499999999999997E-3</v>
      </c>
      <c r="R650" s="1036">
        <v>0</v>
      </c>
      <c r="S650" s="1036">
        <v>1.35E-2</v>
      </c>
      <c r="T650" s="1036">
        <v>0</v>
      </c>
      <c r="U650" s="1037">
        <v>0</v>
      </c>
    </row>
    <row r="651" spans="4:21" hidden="1" outlineLevel="2">
      <c r="D651" s="1051">
        <f t="shared" si="59"/>
        <v>8</v>
      </c>
      <c r="E651" s="1051" t="str">
        <f>IF(COUNTIF(E$11:E650,F651)&gt;0,"",F651)</f>
        <v/>
      </c>
      <c r="F651" s="1051" t="str">
        <f t="shared" si="60"/>
        <v>Lignite (PCS inférieur à 17435 kJ par kg), France continentale, Base Carbone</v>
      </c>
      <c r="G651" s="1055" t="str">
        <f t="shared" si="61"/>
        <v>Lignite (PCS inférieur à 17435 kJ par kg), France continentale, Base Carbone; kgCO2e/kg, Amont</v>
      </c>
      <c r="I651" s="1031" t="s">
        <v>1614</v>
      </c>
      <c r="J651" s="1032" t="s">
        <v>1572</v>
      </c>
      <c r="K651" s="1032" t="s">
        <v>1567</v>
      </c>
      <c r="L651" s="1032" t="s">
        <v>1571</v>
      </c>
      <c r="M651" s="1033">
        <v>0.2</v>
      </c>
      <c r="N651" s="1032" t="s">
        <v>1570</v>
      </c>
      <c r="O651" s="1036">
        <v>0.151</v>
      </c>
      <c r="P651" s="1036">
        <v>5.6099999999999997E-2</v>
      </c>
      <c r="Q651" s="1036">
        <v>9.4500000000000001E-2</v>
      </c>
      <c r="R651" s="1036">
        <v>0</v>
      </c>
      <c r="S651" s="1036">
        <v>0</v>
      </c>
      <c r="T651" s="1036">
        <v>0</v>
      </c>
      <c r="U651" s="1037">
        <v>0</v>
      </c>
    </row>
    <row r="652" spans="4:21" hidden="1" outlineLevel="2">
      <c r="D652" s="1051">
        <f t="shared" si="59"/>
        <v>8</v>
      </c>
      <c r="E652" s="1051" t="str">
        <f>IF(COUNTIF(E$11:E651,F652)&gt;0,"",F652)</f>
        <v/>
      </c>
      <c r="F652" s="1051" t="str">
        <f t="shared" si="60"/>
        <v>Lignite (PCS inférieur à 17435 kJ par kg), France continentale, Base Carbone</v>
      </c>
      <c r="G652" s="1055" t="str">
        <f t="shared" si="61"/>
        <v>Lignite (PCS inférieur à 17435 kJ par kg), France continentale, Base Carbone; kgCO2e/kWh PCI, Combustion</v>
      </c>
      <c r="I652" s="1031" t="s">
        <v>1614</v>
      </c>
      <c r="J652" s="1032" t="s">
        <v>1573</v>
      </c>
      <c r="K652" s="1032" t="s">
        <v>1567</v>
      </c>
      <c r="L652" s="1032" t="s">
        <v>1571</v>
      </c>
      <c r="M652" s="1033">
        <v>0.2</v>
      </c>
      <c r="N652" s="1032" t="s">
        <v>1569</v>
      </c>
      <c r="O652" s="1036">
        <v>0.36399999999999999</v>
      </c>
      <c r="P652" s="1036">
        <v>0.36</v>
      </c>
      <c r="Q652" s="1036">
        <v>1.6199999999999999E-3</v>
      </c>
      <c r="R652" s="1036">
        <v>0</v>
      </c>
      <c r="S652" s="1036">
        <v>2.8600000000000001E-3</v>
      </c>
      <c r="T652" s="1036">
        <v>0</v>
      </c>
      <c r="U652" s="1037">
        <v>0</v>
      </c>
    </row>
    <row r="653" spans="4:21" hidden="1" outlineLevel="2">
      <c r="D653" s="1051">
        <f t="shared" si="59"/>
        <v>8</v>
      </c>
      <c r="E653" s="1051" t="str">
        <f>IF(COUNTIF(E$11:E652,F653)&gt;0,"",F653)</f>
        <v/>
      </c>
      <c r="F653" s="1051" t="str">
        <f t="shared" si="60"/>
        <v>Lignite (PCS inférieur à 17435 kJ par kg), France continentale, Base Carbone</v>
      </c>
      <c r="G653" s="1055" t="str">
        <f t="shared" si="61"/>
        <v>Lignite (PCS inférieur à 17435 kJ par kg), France continentale, Base Carbone; kgCO2e/kWh PCI, Amont</v>
      </c>
      <c r="I653" s="1031" t="s">
        <v>1614</v>
      </c>
      <c r="J653" s="1032" t="s">
        <v>1573</v>
      </c>
      <c r="K653" s="1032" t="s">
        <v>1567</v>
      </c>
      <c r="L653" s="1032" t="s">
        <v>1571</v>
      </c>
      <c r="M653" s="1033">
        <v>0.2</v>
      </c>
      <c r="N653" s="1032" t="s">
        <v>1570</v>
      </c>
      <c r="O653" s="1036">
        <v>3.1899999999999998E-2</v>
      </c>
      <c r="P653" s="1036">
        <v>1.1900000000000001E-2</v>
      </c>
      <c r="Q653" s="1036">
        <v>0.02</v>
      </c>
      <c r="R653" s="1036">
        <v>0</v>
      </c>
      <c r="S653" s="1036">
        <v>0</v>
      </c>
      <c r="T653" s="1036">
        <v>0</v>
      </c>
      <c r="U653" s="1037">
        <v>0</v>
      </c>
    </row>
    <row r="654" spans="4:21" hidden="1" outlineLevel="2">
      <c r="D654" s="1051">
        <f t="shared" si="59"/>
        <v>8</v>
      </c>
      <c r="E654" s="1051" t="str">
        <f>IF(COUNTIF(E$11:E653,F654)&gt;0,"",F654)</f>
        <v/>
      </c>
      <c r="F654" s="1051" t="str">
        <f t="shared" si="60"/>
        <v>Lignite (PCS inférieur à 17435 kJ par kg), France continentale, Base Carbone</v>
      </c>
      <c r="G654" s="1055" t="str">
        <f t="shared" si="61"/>
        <v>Lignite (PCS inférieur à 17435 kJ par kg), France continentale, Base Carbone; kgCO2e/tep PCI, Combustion</v>
      </c>
      <c r="I654" s="1031" t="s">
        <v>1614</v>
      </c>
      <c r="J654" s="1032" t="s">
        <v>1575</v>
      </c>
      <c r="K654" s="1032" t="s">
        <v>1567</v>
      </c>
      <c r="L654" s="1032" t="s">
        <v>1571</v>
      </c>
      <c r="M654" s="1033">
        <v>0.2</v>
      </c>
      <c r="N654" s="1032" t="s">
        <v>1569</v>
      </c>
      <c r="O654" s="1036">
        <v>4250</v>
      </c>
      <c r="P654" s="1036">
        <v>4200</v>
      </c>
      <c r="Q654" s="1036">
        <v>18</v>
      </c>
      <c r="R654" s="1036">
        <v>0</v>
      </c>
      <c r="S654" s="1036">
        <v>33.4</v>
      </c>
      <c r="T654" s="1036">
        <v>0</v>
      </c>
      <c r="U654" s="1037">
        <v>0</v>
      </c>
    </row>
    <row r="655" spans="4:21" hidden="1" outlineLevel="2">
      <c r="D655" s="1051">
        <f t="shared" si="59"/>
        <v>8</v>
      </c>
      <c r="E655" s="1051" t="str">
        <f>IF(COUNTIF(E$11:E654,F655)&gt;0,"",F655)</f>
        <v/>
      </c>
      <c r="F655" s="1051" t="str">
        <f t="shared" si="60"/>
        <v>Lignite (PCS inférieur à 17435 kJ par kg), France continentale, Base Carbone</v>
      </c>
      <c r="G655" s="1055" t="str">
        <f t="shared" si="61"/>
        <v>Lignite (PCS inférieur à 17435 kJ par kg), France continentale, Base Carbone; kgCO2e/tep PCI, Amont</v>
      </c>
      <c r="I655" s="1031" t="s">
        <v>1614</v>
      </c>
      <c r="J655" s="1032" t="s">
        <v>1575</v>
      </c>
      <c r="K655" s="1032" t="s">
        <v>1567</v>
      </c>
      <c r="L655" s="1032" t="s">
        <v>1571</v>
      </c>
      <c r="M655" s="1033">
        <v>0.2</v>
      </c>
      <c r="N655" s="1032" t="s">
        <v>1570</v>
      </c>
      <c r="O655" s="1036">
        <v>373</v>
      </c>
      <c r="P655" s="1036">
        <v>139</v>
      </c>
      <c r="Q655" s="1036">
        <v>234</v>
      </c>
      <c r="R655" s="1036">
        <v>0</v>
      </c>
      <c r="S655" s="1036">
        <v>0</v>
      </c>
      <c r="T655" s="1036">
        <v>0</v>
      </c>
      <c r="U655" s="1037">
        <v>0</v>
      </c>
    </row>
    <row r="656" spans="4:21" hidden="1" outlineLevel="2">
      <c r="D656" s="1051">
        <f t="shared" si="59"/>
        <v>9</v>
      </c>
      <c r="E656" s="1051" t="str">
        <f>IF(COUNTIF(E$11:E655,F656)&gt;0,"",F656)</f>
        <v>Tourbe, France continentale, Base Carbone</v>
      </c>
      <c r="F656" s="1051" t="str">
        <f t="shared" si="60"/>
        <v>Tourbe, France continentale, Base Carbone</v>
      </c>
      <c r="G656" s="1055" t="str">
        <f t="shared" si="61"/>
        <v>Tourbe, France continentale, Base Carbone; kgCO2e/GJ PCI, Combustion</v>
      </c>
      <c r="I656" s="1031" t="s">
        <v>1615</v>
      </c>
      <c r="J656" s="1032" t="s">
        <v>1566</v>
      </c>
      <c r="K656" s="1032" t="s">
        <v>1567</v>
      </c>
      <c r="L656" s="1032" t="s">
        <v>1571</v>
      </c>
      <c r="M656" s="1033">
        <v>0.2</v>
      </c>
      <c r="N656" s="1032" t="s">
        <v>1569</v>
      </c>
      <c r="O656" s="1036">
        <v>110</v>
      </c>
      <c r="P656" s="1036">
        <v>110</v>
      </c>
      <c r="Q656" s="1036">
        <v>0.03</v>
      </c>
      <c r="R656" s="1036">
        <v>0</v>
      </c>
      <c r="S656" s="1036">
        <v>0.39800000000000002</v>
      </c>
      <c r="T656" s="1036">
        <v>0</v>
      </c>
      <c r="U656" s="1037">
        <v>0</v>
      </c>
    </row>
    <row r="657" spans="2:21" hidden="1" outlineLevel="2">
      <c r="D657" s="1051">
        <f t="shared" ref="D657:D663" si="62">D656+IF(LEN(E657)=0,0,1)</f>
        <v>9</v>
      </c>
      <c r="E657" s="1051" t="str">
        <f>IF(COUNTIF(E$11:E656,F657)&gt;0,"",F657)</f>
        <v/>
      </c>
      <c r="F657" s="1051" t="str">
        <f t="shared" si="60"/>
        <v>Tourbe, France continentale, Base Carbone</v>
      </c>
      <c r="G657" s="1055" t="str">
        <f t="shared" si="61"/>
        <v>Tourbe, France continentale, Base Carbone; kgCO2e/GJ PCI, Amont</v>
      </c>
      <c r="I657" s="1031" t="s">
        <v>1615</v>
      </c>
      <c r="J657" s="1032" t="s">
        <v>1566</v>
      </c>
      <c r="K657" s="1032" t="s">
        <v>1567</v>
      </c>
      <c r="L657" s="1032" t="s">
        <v>1571</v>
      </c>
      <c r="M657" s="1033">
        <v>0.2</v>
      </c>
      <c r="N657" s="1032" t="s">
        <v>1570</v>
      </c>
      <c r="O657" s="1036">
        <v>9</v>
      </c>
      <c r="P657" s="1036">
        <v>3.3</v>
      </c>
      <c r="Q657" s="1036">
        <v>5.7</v>
      </c>
      <c r="R657" s="1036">
        <v>0</v>
      </c>
      <c r="S657" s="1036">
        <v>0</v>
      </c>
      <c r="T657" s="1036">
        <v>0</v>
      </c>
      <c r="U657" s="1037">
        <v>0</v>
      </c>
    </row>
    <row r="658" spans="2:21" hidden="1" outlineLevel="2">
      <c r="D658" s="1051">
        <f t="shared" si="62"/>
        <v>9</v>
      </c>
      <c r="E658" s="1051" t="str">
        <f>IF(COUNTIF(E$11:E657,F658)&gt;0,"",F658)</f>
        <v/>
      </c>
      <c r="F658" s="1051" t="str">
        <f t="shared" si="60"/>
        <v>Tourbe, France continentale, Base Carbone</v>
      </c>
      <c r="G658" s="1055" t="str">
        <f t="shared" si="61"/>
        <v>Tourbe, France continentale, Base Carbone; kgCO2e/kg, Combustion</v>
      </c>
      <c r="I658" s="1031" t="s">
        <v>1615</v>
      </c>
      <c r="J658" s="1032" t="s">
        <v>1572</v>
      </c>
      <c r="K658" s="1032" t="s">
        <v>1567</v>
      </c>
      <c r="L658" s="1032" t="s">
        <v>1571</v>
      </c>
      <c r="M658" s="1033">
        <v>0.2</v>
      </c>
      <c r="N658" s="1032" t="s">
        <v>1569</v>
      </c>
      <c r="O658" s="1036">
        <v>1.28</v>
      </c>
      <c r="P658" s="1036">
        <v>1.28</v>
      </c>
      <c r="Q658" s="1036">
        <v>3.48E-4</v>
      </c>
      <c r="R658" s="1036">
        <v>0</v>
      </c>
      <c r="S658" s="1036">
        <v>4.6100000000000004E-3</v>
      </c>
      <c r="T658" s="1036">
        <v>0</v>
      </c>
      <c r="U658" s="1037">
        <v>0</v>
      </c>
    </row>
    <row r="659" spans="2:21" hidden="1" outlineLevel="2">
      <c r="D659" s="1051">
        <f t="shared" si="62"/>
        <v>9</v>
      </c>
      <c r="E659" s="1051" t="str">
        <f>IF(COUNTIF(E$11:E658,F659)&gt;0,"",F659)</f>
        <v/>
      </c>
      <c r="F659" s="1051" t="str">
        <f t="shared" si="60"/>
        <v>Tourbe, France continentale, Base Carbone</v>
      </c>
      <c r="G659" s="1055" t="str">
        <f t="shared" si="61"/>
        <v>Tourbe, France continentale, Base Carbone; kgCO2e/kg, Amont</v>
      </c>
      <c r="I659" s="1031" t="s">
        <v>1615</v>
      </c>
      <c r="J659" s="1032" t="s">
        <v>1572</v>
      </c>
      <c r="K659" s="1032" t="s">
        <v>1567</v>
      </c>
      <c r="L659" s="1032" t="s">
        <v>1571</v>
      </c>
      <c r="M659" s="1033">
        <v>0.2</v>
      </c>
      <c r="N659" s="1032" t="s">
        <v>1570</v>
      </c>
      <c r="O659" s="1036">
        <v>0.10299999999999999</v>
      </c>
      <c r="P659" s="1036">
        <v>3.8300000000000001E-2</v>
      </c>
      <c r="Q659" s="1036">
        <v>6.4500000000000002E-2</v>
      </c>
      <c r="R659" s="1036">
        <v>0</v>
      </c>
      <c r="S659" s="1036">
        <v>0</v>
      </c>
      <c r="T659" s="1036">
        <v>0</v>
      </c>
      <c r="U659" s="1037">
        <v>0</v>
      </c>
    </row>
    <row r="660" spans="2:21" hidden="1" outlineLevel="2">
      <c r="D660" s="1051">
        <f t="shared" si="62"/>
        <v>9</v>
      </c>
      <c r="E660" s="1051" t="str">
        <f>IF(COUNTIF(E$11:E659,F660)&gt;0,"",F660)</f>
        <v/>
      </c>
      <c r="F660" s="1051" t="str">
        <f t="shared" si="60"/>
        <v>Tourbe, France continentale, Base Carbone</v>
      </c>
      <c r="G660" s="1055" t="str">
        <f t="shared" si="61"/>
        <v>Tourbe, France continentale, Base Carbone; kgCO2e/kWh PCI, Combustion</v>
      </c>
      <c r="I660" s="1031" t="s">
        <v>1615</v>
      </c>
      <c r="J660" s="1032" t="s">
        <v>1573</v>
      </c>
      <c r="K660" s="1032" t="s">
        <v>1567</v>
      </c>
      <c r="L660" s="1032" t="s">
        <v>1571</v>
      </c>
      <c r="M660" s="1033">
        <v>0.2</v>
      </c>
      <c r="N660" s="1032" t="s">
        <v>1569</v>
      </c>
      <c r="O660" s="1036">
        <v>0.39800000000000002</v>
      </c>
      <c r="P660" s="1036">
        <v>0.39600000000000002</v>
      </c>
      <c r="Q660" s="1036">
        <v>1.08E-4</v>
      </c>
      <c r="R660" s="1036">
        <v>0</v>
      </c>
      <c r="S660" s="1036">
        <v>1.4300000000000001E-3</v>
      </c>
      <c r="T660" s="1036">
        <v>0</v>
      </c>
      <c r="U660" s="1037">
        <v>0</v>
      </c>
    </row>
    <row r="661" spans="2:21" hidden="1" outlineLevel="2">
      <c r="D661" s="1051">
        <f t="shared" si="62"/>
        <v>9</v>
      </c>
      <c r="E661" s="1051" t="str">
        <f>IF(COUNTIF(E$11:E660,F661)&gt;0,"",F661)</f>
        <v/>
      </c>
      <c r="F661" s="1051" t="str">
        <f t="shared" si="60"/>
        <v>Tourbe, France continentale, Base Carbone</v>
      </c>
      <c r="G661" s="1055" t="str">
        <f t="shared" si="61"/>
        <v>Tourbe, France continentale, Base Carbone; kgCO2e/kWh PCI, Amont</v>
      </c>
      <c r="I661" s="1031" t="s">
        <v>1615</v>
      </c>
      <c r="J661" s="1032" t="s">
        <v>1573</v>
      </c>
      <c r="K661" s="1032" t="s">
        <v>1567</v>
      </c>
      <c r="L661" s="1032" t="s">
        <v>1571</v>
      </c>
      <c r="M661" s="1033">
        <v>0.2</v>
      </c>
      <c r="N661" s="1032" t="s">
        <v>1570</v>
      </c>
      <c r="O661" s="1036">
        <v>3.1899999999999998E-2</v>
      </c>
      <c r="P661" s="1036">
        <v>1.1900000000000001E-2</v>
      </c>
      <c r="Q661" s="1036">
        <v>0.02</v>
      </c>
      <c r="R661" s="1036">
        <v>0</v>
      </c>
      <c r="S661" s="1036">
        <v>0</v>
      </c>
      <c r="T661" s="1036">
        <v>0</v>
      </c>
      <c r="U661" s="1037">
        <v>0</v>
      </c>
    </row>
    <row r="662" spans="2:21" hidden="1" outlineLevel="2">
      <c r="D662" s="1051">
        <f t="shared" si="62"/>
        <v>9</v>
      </c>
      <c r="E662" s="1051" t="str">
        <f>IF(COUNTIF(E$11:E661,F662)&gt;0,"",F662)</f>
        <v/>
      </c>
      <c r="F662" s="1051" t="str">
        <f t="shared" si="60"/>
        <v>Tourbe, France continentale, Base Carbone</v>
      </c>
      <c r="G662" s="1055" t="str">
        <f t="shared" si="61"/>
        <v>Tourbe, France continentale, Base Carbone; kgCO2e/tep PCI, Combustion</v>
      </c>
      <c r="I662" s="1031" t="s">
        <v>1615</v>
      </c>
      <c r="J662" s="1032" t="s">
        <v>1575</v>
      </c>
      <c r="K662" s="1032" t="s">
        <v>1567</v>
      </c>
      <c r="L662" s="1032" t="s">
        <v>1571</v>
      </c>
      <c r="M662" s="1033">
        <v>0.2</v>
      </c>
      <c r="N662" s="1032" t="s">
        <v>1569</v>
      </c>
      <c r="O662" s="1036">
        <v>4640</v>
      </c>
      <c r="P662" s="1036">
        <v>4620</v>
      </c>
      <c r="Q662" s="1036">
        <v>0</v>
      </c>
      <c r="R662" s="1036">
        <v>0</v>
      </c>
      <c r="S662" s="1036">
        <v>16.7</v>
      </c>
      <c r="T662" s="1036">
        <v>0</v>
      </c>
      <c r="U662" s="1037">
        <v>0</v>
      </c>
    </row>
    <row r="663" spans="2:21" hidden="1" outlineLevel="2">
      <c r="D663" s="1051">
        <f t="shared" si="62"/>
        <v>9</v>
      </c>
      <c r="E663" s="1051" t="str">
        <f>IF(COUNTIF(E$11:E662,F663)&gt;0,"",F663)</f>
        <v/>
      </c>
      <c r="F663" s="1051" t="str">
        <f t="shared" si="60"/>
        <v>Tourbe, France continentale, Base Carbone</v>
      </c>
      <c r="G663" s="1055" t="str">
        <f t="shared" si="61"/>
        <v>Tourbe, France continentale, Base Carbone; kgCO2e/tep PCI, Amont</v>
      </c>
      <c r="I663" s="1031" t="s">
        <v>1615</v>
      </c>
      <c r="J663" s="1032" t="s">
        <v>1575</v>
      </c>
      <c r="K663" s="1032" t="s">
        <v>1567</v>
      </c>
      <c r="L663" s="1032" t="s">
        <v>1571</v>
      </c>
      <c r="M663" s="1033">
        <v>0.2</v>
      </c>
      <c r="N663" s="1032" t="s">
        <v>1570</v>
      </c>
      <c r="O663" s="1036">
        <v>373</v>
      </c>
      <c r="P663" s="1036">
        <v>139</v>
      </c>
      <c r="Q663" s="1036">
        <v>234</v>
      </c>
      <c r="R663" s="1036">
        <v>0</v>
      </c>
      <c r="S663" s="1036">
        <v>0</v>
      </c>
      <c r="T663" s="1036">
        <v>0</v>
      </c>
      <c r="U663" s="1037">
        <v>0</v>
      </c>
    </row>
    <row r="664" spans="2:21" hidden="1" outlineLevel="2">
      <c r="D664" s="1051">
        <f t="shared" ref="D664:D667" si="63">D663+IF(LEN(E664)=0,0,1)</f>
        <v>9</v>
      </c>
      <c r="E664" s="1051" t="str">
        <f>IF(COUNTIF(E$11:E663,F664)&gt;0,"",F664)</f>
        <v/>
      </c>
      <c r="F664" s="1051" t="str">
        <f t="shared" ref="F664:F667" si="64">IF(I664&lt;&gt;"",I664&amp;IF(L664&lt;&gt;"",", "&amp;L664,"")&amp;IF(K664&lt;&gt;"",", "&amp;K664,""),"")</f>
        <v/>
      </c>
      <c r="G664" s="1055" t="str">
        <f t="shared" ref="G664:G667" si="65">IF(F664&lt;&gt;"",F664&amp;IF(J664&lt;&gt;"","; "&amp;J664,"")&amp;IF(N664&lt;&gt;"",", "&amp;N664,""),"")</f>
        <v/>
      </c>
      <c r="I664" s="1031"/>
      <c r="J664" s="1032"/>
      <c r="K664" s="1032"/>
      <c r="L664" s="1032"/>
      <c r="M664" s="1033"/>
      <c r="N664" s="1032"/>
      <c r="O664" s="1036"/>
      <c r="P664" s="1036"/>
      <c r="Q664" s="1036"/>
      <c r="R664" s="1036"/>
      <c r="S664" s="1036"/>
      <c r="T664" s="1036"/>
      <c r="U664" s="1037"/>
    </row>
    <row r="665" spans="2:21" hidden="1" outlineLevel="2">
      <c r="D665" s="1051">
        <f t="shared" si="63"/>
        <v>9</v>
      </c>
      <c r="E665" s="1051" t="str">
        <f>IF(COUNTIF(E$11:E664,F665)&gt;0,"",F665)</f>
        <v/>
      </c>
      <c r="F665" s="1051" t="str">
        <f t="shared" si="64"/>
        <v/>
      </c>
      <c r="G665" s="1055" t="str">
        <f t="shared" si="65"/>
        <v/>
      </c>
      <c r="I665" s="1031"/>
      <c r="J665" s="1032"/>
      <c r="K665" s="1032"/>
      <c r="L665" s="1032"/>
      <c r="M665" s="1033"/>
      <c r="N665" s="1032"/>
      <c r="O665" s="1036"/>
      <c r="P665" s="1036"/>
      <c r="Q665" s="1036"/>
      <c r="R665" s="1036"/>
      <c r="S665" s="1036"/>
      <c r="T665" s="1036"/>
      <c r="U665" s="1037"/>
    </row>
    <row r="666" spans="2:21" hidden="1" outlineLevel="2">
      <c r="D666" s="1051">
        <f t="shared" si="63"/>
        <v>9</v>
      </c>
      <c r="E666" s="1051" t="str">
        <f>IF(COUNTIF(E$11:E665,F666)&gt;0,"",F666)</f>
        <v/>
      </c>
      <c r="F666" s="1051" t="str">
        <f t="shared" si="64"/>
        <v/>
      </c>
      <c r="G666" s="1055" t="str">
        <f t="shared" si="65"/>
        <v/>
      </c>
      <c r="I666" s="1034"/>
      <c r="J666" s="1032"/>
      <c r="K666" s="1032"/>
      <c r="L666" s="1032"/>
      <c r="M666" s="1033"/>
      <c r="N666" s="1032"/>
      <c r="O666" s="1036"/>
      <c r="P666" s="1036"/>
      <c r="Q666" s="1036"/>
      <c r="R666" s="1036"/>
      <c r="S666" s="1036"/>
      <c r="T666" s="1036"/>
      <c r="U666" s="1037"/>
    </row>
    <row r="667" spans="2:21" hidden="1" outlineLevel="2">
      <c r="D667" s="1051">
        <f t="shared" si="63"/>
        <v>9</v>
      </c>
      <c r="E667" s="1051" t="str">
        <f>IF(COUNTIF(E$11:E666,F667)&gt;0,"",F667)</f>
        <v/>
      </c>
      <c r="F667" s="1051" t="str">
        <f t="shared" si="64"/>
        <v/>
      </c>
      <c r="G667" s="1055" t="str">
        <f t="shared" si="65"/>
        <v/>
      </c>
      <c r="I667" s="1031"/>
      <c r="J667" s="1032"/>
      <c r="K667" s="1032"/>
      <c r="L667" s="1032"/>
      <c r="M667" s="1033"/>
      <c r="N667" s="1032"/>
      <c r="O667" s="1036"/>
      <c r="P667" s="1036"/>
      <c r="Q667" s="1036"/>
      <c r="R667" s="1036"/>
      <c r="S667" s="1036"/>
      <c r="T667" s="1036"/>
      <c r="U667" s="1037"/>
    </row>
    <row r="668" spans="2:21" s="1045" customFormat="1" hidden="1" outlineLevel="1">
      <c r="G668" s="1135"/>
      <c r="I668" s="1694"/>
      <c r="J668" s="1695"/>
      <c r="K668" s="1695"/>
      <c r="L668" s="1695"/>
      <c r="M668" s="1696"/>
      <c r="N668" s="1695"/>
      <c r="O668" s="1697"/>
      <c r="P668" s="1697"/>
      <c r="Q668" s="1697"/>
      <c r="R668" s="1697"/>
      <c r="S668" s="1697"/>
      <c r="T668" s="1697"/>
      <c r="U668" s="1698"/>
    </row>
    <row r="669" spans="2:21" ht="12" hidden="1" customHeight="1" outlineLevel="1" collapsed="1">
      <c r="B669" s="3156" t="s">
        <v>1633</v>
      </c>
      <c r="C669" s="3156"/>
      <c r="D669" s="1051">
        <v>0</v>
      </c>
      <c r="E669" s="1051"/>
      <c r="F669" s="1051" t="str">
        <f t="shared" si="60"/>
        <v/>
      </c>
      <c r="G669" s="1055" t="str">
        <f t="shared" si="61"/>
        <v/>
      </c>
      <c r="I669" s="1699"/>
      <c r="J669" s="1695"/>
      <c r="K669" s="1695"/>
      <c r="L669" s="1695"/>
      <c r="M669" s="1696"/>
      <c r="N669" s="1695"/>
      <c r="O669" s="1697"/>
      <c r="P669" s="1697"/>
      <c r="Q669" s="1697"/>
      <c r="R669" s="1697"/>
      <c r="S669" s="1697"/>
      <c r="T669" s="1697"/>
      <c r="U669" s="1698"/>
    </row>
    <row r="670" spans="2:21" hidden="1" outlineLevel="2">
      <c r="B670" s="1050">
        <v>1</v>
      </c>
      <c r="C670" s="1050" t="str">
        <f>IF(ISNA(VLOOKUP(B670,$D$670:$E$704,2,FALSE)),"-",VLOOKUP(B670,$D$670:$E$704,2,FALSE))</f>
        <v>Coke de houille, France continentale, Base Carbone</v>
      </c>
      <c r="D670" s="1051">
        <f>D669+IF(LEN(E670)=0,0,1)</f>
        <v>1</v>
      </c>
      <c r="E670" s="1051" t="str">
        <f>IF(COUNTIF(E$11:E669,F670)&gt;0,"",F670)</f>
        <v>Coke de houille, France continentale, Base Carbone</v>
      </c>
      <c r="F670" s="1051" t="str">
        <f t="shared" si="60"/>
        <v>Coke de houille, France continentale, Base Carbone</v>
      </c>
      <c r="G670" s="1055" t="str">
        <f t="shared" si="61"/>
        <v>Coke de houille, France continentale, Base Carbone; kgCO2e/kg, Combustion</v>
      </c>
      <c r="I670" s="1031" t="s">
        <v>1609</v>
      </c>
      <c r="J670" s="1032" t="s">
        <v>1572</v>
      </c>
      <c r="K670" s="1032" t="s">
        <v>1567</v>
      </c>
      <c r="L670" s="1032" t="s">
        <v>1571</v>
      </c>
      <c r="M670" s="1033">
        <v>0.2</v>
      </c>
      <c r="N670" s="1032" t="s">
        <v>1569</v>
      </c>
      <c r="O670" s="1036">
        <v>3.03</v>
      </c>
      <c r="P670" s="1036">
        <v>3</v>
      </c>
      <c r="Q670" s="1036">
        <v>8.3999999999999995E-3</v>
      </c>
      <c r="R670" s="1036">
        <v>0</v>
      </c>
      <c r="S670" s="1036">
        <v>2.23E-2</v>
      </c>
      <c r="T670" s="1036">
        <v>0</v>
      </c>
      <c r="U670" s="1037">
        <v>0</v>
      </c>
    </row>
    <row r="671" spans="2:21" hidden="1" outlineLevel="2">
      <c r="B671" s="1050">
        <v>2</v>
      </c>
      <c r="C671" s="1050" t="str">
        <f t="shared" ref="C671:C679" si="66">IF(ISNA(VLOOKUP(B671,$D$670:$E$704,2,FALSE)),"-",VLOOKUP(B671,$D$670:$E$704,2,FALSE))</f>
        <v>Coke de lignite, France continentale, Base Carbone</v>
      </c>
      <c r="D671" s="1051">
        <f t="shared" ref="D671:D897" si="67">D670+IF(LEN(E671)=0,0,1)</f>
        <v>1</v>
      </c>
      <c r="E671" s="1051" t="str">
        <f>IF(COUNTIF(E$11:E670,F671)&gt;0,"",F671)</f>
        <v/>
      </c>
      <c r="F671" s="1051" t="str">
        <f t="shared" si="60"/>
        <v>Coke de houille, France continentale, Base Carbone</v>
      </c>
      <c r="G671" s="1055" t="str">
        <f t="shared" si="61"/>
        <v>Coke de houille, France continentale, Base Carbone; kgCO2e/kg, Amont</v>
      </c>
      <c r="I671" s="1031" t="s">
        <v>1609</v>
      </c>
      <c r="J671" s="1032" t="s">
        <v>1572</v>
      </c>
      <c r="K671" s="1032" t="s">
        <v>1567</v>
      </c>
      <c r="L671" s="1032" t="s">
        <v>1571</v>
      </c>
      <c r="M671" s="1033">
        <v>0.2</v>
      </c>
      <c r="N671" s="1032" t="s">
        <v>1570</v>
      </c>
      <c r="O671" s="1036">
        <v>0.247</v>
      </c>
      <c r="P671" s="1036">
        <v>9.2399999999999996E-2</v>
      </c>
      <c r="Q671" s="1036">
        <v>0.155</v>
      </c>
      <c r="R671" s="1036">
        <v>0</v>
      </c>
      <c r="S671" s="1036">
        <v>0</v>
      </c>
      <c r="T671" s="1036">
        <v>0</v>
      </c>
      <c r="U671" s="1037">
        <v>0</v>
      </c>
    </row>
    <row r="672" spans="2:21" hidden="1" outlineLevel="2">
      <c r="B672" s="1050">
        <v>3</v>
      </c>
      <c r="C672" s="1050" t="str">
        <f t="shared" si="66"/>
        <v>Coke de pétrole, France continentale, Base Carbone</v>
      </c>
      <c r="D672" s="1051">
        <f t="shared" si="67"/>
        <v>1</v>
      </c>
      <c r="E672" s="1051" t="str">
        <f>IF(COUNTIF(E$11:E671,F672)&gt;0,"",F672)</f>
        <v/>
      </c>
      <c r="F672" s="1051" t="str">
        <f t="shared" si="60"/>
        <v>Coke de houille, France continentale, Base Carbone</v>
      </c>
      <c r="G672" s="1055" t="str">
        <f t="shared" si="61"/>
        <v>Coke de houille, France continentale, Base Carbone; kgCO2e/kWh PCI, Combustion</v>
      </c>
      <c r="I672" s="1031" t="s">
        <v>1609</v>
      </c>
      <c r="J672" s="1032" t="s">
        <v>1573</v>
      </c>
      <c r="K672" s="1032" t="s">
        <v>1567</v>
      </c>
      <c r="L672" s="1032" t="s">
        <v>1571</v>
      </c>
      <c r="M672" s="1033">
        <v>0.2</v>
      </c>
      <c r="N672" s="1032" t="s">
        <v>1569</v>
      </c>
      <c r="O672" s="1036">
        <v>0.38900000000000001</v>
      </c>
      <c r="P672" s="1036">
        <v>0.38500000000000001</v>
      </c>
      <c r="Q672" s="1036">
        <v>1.08E-3</v>
      </c>
      <c r="R672" s="1036">
        <v>0</v>
      </c>
      <c r="S672" s="1036">
        <v>2.8600000000000001E-3</v>
      </c>
      <c r="T672" s="1036">
        <v>0</v>
      </c>
      <c r="U672" s="1037">
        <v>0</v>
      </c>
    </row>
    <row r="673" spans="2:21" hidden="1" outlineLevel="2">
      <c r="B673" s="1050">
        <v>4</v>
      </c>
      <c r="C673" s="1050" t="str">
        <f t="shared" si="66"/>
        <v>Pneumatiques usagés non réutilisables - mix combustible moyen, France continentale, Base Carbone</v>
      </c>
      <c r="D673" s="1051">
        <f t="shared" si="67"/>
        <v>1</v>
      </c>
      <c r="E673" s="1051" t="str">
        <f>IF(COUNTIF(E$11:E672,F673)&gt;0,"",F673)</f>
        <v/>
      </c>
      <c r="F673" s="1051" t="str">
        <f t="shared" si="60"/>
        <v>Coke de houille, France continentale, Base Carbone</v>
      </c>
      <c r="G673" s="1055" t="str">
        <f t="shared" si="61"/>
        <v>Coke de houille, France continentale, Base Carbone; kgCO2e/kWh PCI, Amont</v>
      </c>
      <c r="I673" s="1031" t="s">
        <v>1609</v>
      </c>
      <c r="J673" s="1032" t="s">
        <v>1573</v>
      </c>
      <c r="K673" s="1032" t="s">
        <v>1567</v>
      </c>
      <c r="L673" s="1032" t="s">
        <v>1571</v>
      </c>
      <c r="M673" s="1033">
        <v>0.2</v>
      </c>
      <c r="N673" s="1032" t="s">
        <v>1570</v>
      </c>
      <c r="O673" s="1036">
        <v>3.1899999999999998E-2</v>
      </c>
      <c r="P673" s="1036">
        <v>1.1900000000000001E-2</v>
      </c>
      <c r="Q673" s="1036">
        <v>0.02</v>
      </c>
      <c r="R673" s="1036">
        <v>0</v>
      </c>
      <c r="S673" s="1036">
        <v>0</v>
      </c>
      <c r="T673" s="1036">
        <v>0</v>
      </c>
      <c r="U673" s="1037">
        <v>0</v>
      </c>
    </row>
    <row r="674" spans="2:21" hidden="1" outlineLevel="2">
      <c r="B674" s="1050">
        <v>5</v>
      </c>
      <c r="C674" s="1050" t="str">
        <f t="shared" si="66"/>
        <v>Pneumatiques usagés non réutilisables - poids lourds, France continentale, Base Carbone</v>
      </c>
      <c r="D674" s="1051">
        <f t="shared" si="67"/>
        <v>1</v>
      </c>
      <c r="E674" s="1051" t="str">
        <f>IF(COUNTIF(E$11:E673,F674)&gt;0,"",F674)</f>
        <v/>
      </c>
      <c r="F674" s="1051" t="str">
        <f t="shared" si="60"/>
        <v>Coke de houille, France continentale, Base Carbone</v>
      </c>
      <c r="G674" s="1055" t="str">
        <f t="shared" si="61"/>
        <v>Coke de houille, France continentale, Base Carbone; kgCO2e/tep PCI, Combustion</v>
      </c>
      <c r="I674" s="1031" t="s">
        <v>1609</v>
      </c>
      <c r="J674" s="1032" t="s">
        <v>1575</v>
      </c>
      <c r="K674" s="1032" t="s">
        <v>1567</v>
      </c>
      <c r="L674" s="1032" t="s">
        <v>1571</v>
      </c>
      <c r="M674" s="1033">
        <v>0.2</v>
      </c>
      <c r="N674" s="1032" t="s">
        <v>1569</v>
      </c>
      <c r="O674" s="1036">
        <v>4540</v>
      </c>
      <c r="P674" s="1036">
        <v>4490</v>
      </c>
      <c r="Q674" s="1036">
        <v>12.6</v>
      </c>
      <c r="R674" s="1036">
        <v>0</v>
      </c>
      <c r="S674" s="1036">
        <v>33.4</v>
      </c>
      <c r="T674" s="1036">
        <v>0</v>
      </c>
      <c r="U674" s="1037">
        <v>0</v>
      </c>
    </row>
    <row r="675" spans="2:21" hidden="1" outlineLevel="2">
      <c r="B675" s="1050">
        <v>6</v>
      </c>
      <c r="C675" s="1050" t="str">
        <f t="shared" si="66"/>
        <v>Pneumatiques usagés non réutilisables - véhicules légers, France continentale, Base Carbone</v>
      </c>
      <c r="D675" s="1051">
        <f t="shared" si="67"/>
        <v>1</v>
      </c>
      <c r="E675" s="1051" t="str">
        <f>IF(COUNTIF(E$11:E674,F675)&gt;0,"",F675)</f>
        <v/>
      </c>
      <c r="F675" s="1051" t="str">
        <f t="shared" si="60"/>
        <v>Coke de houille, France continentale, Base Carbone</v>
      </c>
      <c r="G675" s="1055" t="str">
        <f t="shared" si="61"/>
        <v>Coke de houille, France continentale, Base Carbone; kgCO2e/tep PCI, Amont</v>
      </c>
      <c r="I675" s="1031" t="s">
        <v>1609</v>
      </c>
      <c r="J675" s="1032" t="s">
        <v>1575</v>
      </c>
      <c r="K675" s="1032" t="s">
        <v>1567</v>
      </c>
      <c r="L675" s="1032" t="s">
        <v>1571</v>
      </c>
      <c r="M675" s="1033">
        <v>0.2</v>
      </c>
      <c r="N675" s="1032" t="s">
        <v>1570</v>
      </c>
      <c r="O675" s="1036">
        <v>372</v>
      </c>
      <c r="P675" s="1036">
        <v>139</v>
      </c>
      <c r="Q675" s="1036">
        <v>233</v>
      </c>
      <c r="R675" s="1036">
        <v>0</v>
      </c>
      <c r="S675" s="1036">
        <v>0</v>
      </c>
      <c r="T675" s="1036">
        <v>0</v>
      </c>
      <c r="U675" s="1037">
        <v>0</v>
      </c>
    </row>
    <row r="676" spans="2:21" hidden="1" outlineLevel="2">
      <c r="B676" s="1050">
        <v>7</v>
      </c>
      <c r="C676" s="1050" t="str">
        <f t="shared" si="66"/>
        <v>-</v>
      </c>
      <c r="D676" s="1051">
        <f t="shared" si="67"/>
        <v>1</v>
      </c>
      <c r="E676" s="1051" t="str">
        <f>IF(COUNTIF(E$11:E675,F676)&gt;0,"",F676)</f>
        <v/>
      </c>
      <c r="F676" s="1051" t="str">
        <f t="shared" si="60"/>
        <v>Coke de houille, France continentale, Base Carbone</v>
      </c>
      <c r="G676" s="1055" t="str">
        <f t="shared" si="61"/>
        <v>Coke de houille, France continentale, Base Carbone; kgCO2e/GJ PCI, Combustion</v>
      </c>
      <c r="I676" s="1031" t="s">
        <v>1609</v>
      </c>
      <c r="J676" s="1032" t="s">
        <v>1566</v>
      </c>
      <c r="K676" s="1032" t="s">
        <v>1567</v>
      </c>
      <c r="L676" s="1032" t="s">
        <v>1571</v>
      </c>
      <c r="M676" s="1033">
        <v>0.2</v>
      </c>
      <c r="N676" s="1032" t="s">
        <v>1569</v>
      </c>
      <c r="O676" s="1036">
        <v>108</v>
      </c>
      <c r="P676" s="1036">
        <v>107</v>
      </c>
      <c r="Q676" s="1036">
        <v>0.3</v>
      </c>
      <c r="R676" s="1036">
        <v>0</v>
      </c>
      <c r="S676" s="1036">
        <v>0.79500000000000004</v>
      </c>
      <c r="T676" s="1036">
        <v>0</v>
      </c>
      <c r="U676" s="1037">
        <v>0</v>
      </c>
    </row>
    <row r="677" spans="2:21" hidden="1" outlineLevel="2">
      <c r="B677" s="1050">
        <v>8</v>
      </c>
      <c r="C677" s="1050" t="str">
        <f t="shared" si="66"/>
        <v>-</v>
      </c>
      <c r="D677" s="1051">
        <f t="shared" si="67"/>
        <v>1</v>
      </c>
      <c r="E677" s="1051" t="str">
        <f>IF(COUNTIF(E$11:E676,F677)&gt;0,"",F677)</f>
        <v/>
      </c>
      <c r="F677" s="1051" t="str">
        <f t="shared" si="60"/>
        <v>Coke de houille, France continentale, Base Carbone</v>
      </c>
      <c r="G677" s="1055" t="str">
        <f t="shared" si="61"/>
        <v>Coke de houille, France continentale, Base Carbone; kgCO2e/GJ PCI, Amont</v>
      </c>
      <c r="I677" s="1031" t="s">
        <v>1609</v>
      </c>
      <c r="J677" s="1032" t="s">
        <v>1566</v>
      </c>
      <c r="K677" s="1032" t="s">
        <v>1567</v>
      </c>
      <c r="L677" s="1032" t="s">
        <v>1571</v>
      </c>
      <c r="M677" s="1033">
        <v>0.2</v>
      </c>
      <c r="N677" s="1032" t="s">
        <v>1570</v>
      </c>
      <c r="O677" s="1036">
        <v>8.85</v>
      </c>
      <c r="P677" s="1036">
        <v>3.3</v>
      </c>
      <c r="Q677" s="1036">
        <v>5.55</v>
      </c>
      <c r="R677" s="1036">
        <v>0</v>
      </c>
      <c r="S677" s="1036">
        <v>0</v>
      </c>
      <c r="T677" s="1036">
        <v>0</v>
      </c>
      <c r="U677" s="1037">
        <v>0</v>
      </c>
    </row>
    <row r="678" spans="2:21" hidden="1" outlineLevel="2">
      <c r="B678" s="1050">
        <v>9</v>
      </c>
      <c r="C678" s="1050" t="str">
        <f t="shared" si="66"/>
        <v>-</v>
      </c>
      <c r="D678" s="1051">
        <f t="shared" si="67"/>
        <v>2</v>
      </c>
      <c r="E678" s="1051" t="str">
        <f>IF(COUNTIF(E$11:E677,F678)&gt;0,"",F678)</f>
        <v>Coke de lignite, France continentale, Base Carbone</v>
      </c>
      <c r="F678" s="1051" t="str">
        <f t="shared" si="60"/>
        <v>Coke de lignite, France continentale, Base Carbone</v>
      </c>
      <c r="G678" s="1055" t="str">
        <f t="shared" si="61"/>
        <v>Coke de lignite, France continentale, Base Carbone; kgCO2e/kg, Combustion</v>
      </c>
      <c r="I678" s="1031" t="s">
        <v>1610</v>
      </c>
      <c r="J678" s="1032" t="s">
        <v>1572</v>
      </c>
      <c r="K678" s="1032" t="s">
        <v>1567</v>
      </c>
      <c r="L678" s="1032" t="s">
        <v>1571</v>
      </c>
      <c r="M678" s="1033">
        <v>0.2</v>
      </c>
      <c r="N678" s="1032" t="s">
        <v>1569</v>
      </c>
      <c r="O678" s="1036">
        <v>1.86</v>
      </c>
      <c r="P678" s="1036">
        <v>1.84</v>
      </c>
      <c r="Q678" s="1036">
        <v>5.1000000000000004E-3</v>
      </c>
      <c r="R678" s="1036">
        <v>0</v>
      </c>
      <c r="S678" s="1036">
        <v>1.35E-2</v>
      </c>
      <c r="T678" s="1036">
        <v>0</v>
      </c>
      <c r="U678" s="1037">
        <v>0</v>
      </c>
    </row>
    <row r="679" spans="2:21" hidden="1" outlineLevel="2">
      <c r="B679" s="1050">
        <v>10</v>
      </c>
      <c r="C679" s="1050" t="str">
        <f t="shared" si="66"/>
        <v>-</v>
      </c>
      <c r="D679" s="1051">
        <f t="shared" si="67"/>
        <v>2</v>
      </c>
      <c r="E679" s="1051" t="str">
        <f>IF(COUNTIF(E$11:E678,F679)&gt;0,"",F679)</f>
        <v/>
      </c>
      <c r="F679" s="1051" t="str">
        <f t="shared" si="60"/>
        <v>Coke de lignite, France continentale, Base Carbone</v>
      </c>
      <c r="G679" s="1055" t="str">
        <f t="shared" si="61"/>
        <v>Coke de lignite, France continentale, Base Carbone; kgCO2e/kg, Amont</v>
      </c>
      <c r="I679" s="1031" t="s">
        <v>1610</v>
      </c>
      <c r="J679" s="1032" t="s">
        <v>1572</v>
      </c>
      <c r="K679" s="1032" t="s">
        <v>1567</v>
      </c>
      <c r="L679" s="1032" t="s">
        <v>1571</v>
      </c>
      <c r="M679" s="1033">
        <v>0.2</v>
      </c>
      <c r="N679" s="1032" t="s">
        <v>1570</v>
      </c>
      <c r="O679" s="1036">
        <v>0.151</v>
      </c>
      <c r="P679" s="1036">
        <v>5.6099999999999997E-2</v>
      </c>
      <c r="Q679" s="1036">
        <v>9.4500000000000001E-2</v>
      </c>
      <c r="R679" s="1036">
        <v>0</v>
      </c>
      <c r="S679" s="1036">
        <v>0</v>
      </c>
      <c r="T679" s="1036">
        <v>0</v>
      </c>
      <c r="U679" s="1037">
        <v>0</v>
      </c>
    </row>
    <row r="680" spans="2:21" hidden="1" outlineLevel="2">
      <c r="D680" s="1051">
        <f t="shared" si="67"/>
        <v>2</v>
      </c>
      <c r="E680" s="1051" t="str">
        <f>IF(COUNTIF(E$11:E679,F680)&gt;0,"",F680)</f>
        <v/>
      </c>
      <c r="F680" s="1051" t="str">
        <f t="shared" si="60"/>
        <v>Coke de lignite, France continentale, Base Carbone</v>
      </c>
      <c r="G680" s="1055" t="str">
        <f t="shared" si="61"/>
        <v>Coke de lignite, France continentale, Base Carbone; kgCO2e/kWh PCI, Combustion</v>
      </c>
      <c r="I680" s="1031" t="s">
        <v>1610</v>
      </c>
      <c r="J680" s="1032" t="s">
        <v>1573</v>
      </c>
      <c r="K680" s="1032" t="s">
        <v>1567</v>
      </c>
      <c r="L680" s="1032" t="s">
        <v>1571</v>
      </c>
      <c r="M680" s="1033">
        <v>0.2</v>
      </c>
      <c r="N680" s="1032" t="s">
        <v>1569</v>
      </c>
      <c r="O680" s="1036">
        <v>0.39300000000000002</v>
      </c>
      <c r="P680" s="1036">
        <v>0.38900000000000001</v>
      </c>
      <c r="Q680" s="1036">
        <v>1.08E-3</v>
      </c>
      <c r="R680" s="1036">
        <v>0</v>
      </c>
      <c r="S680" s="1036">
        <v>2.8600000000000001E-3</v>
      </c>
      <c r="T680" s="1036">
        <v>0</v>
      </c>
      <c r="U680" s="1037">
        <v>0</v>
      </c>
    </row>
    <row r="681" spans="2:21" hidden="1" outlineLevel="2">
      <c r="D681" s="1051">
        <f t="shared" si="67"/>
        <v>2</v>
      </c>
      <c r="E681" s="1051" t="str">
        <f>IF(COUNTIF(E$11:E680,F681)&gt;0,"",F681)</f>
        <v/>
      </c>
      <c r="F681" s="1051" t="str">
        <f t="shared" si="60"/>
        <v>Coke de lignite, France continentale, Base Carbone</v>
      </c>
      <c r="G681" s="1055" t="str">
        <f t="shared" si="61"/>
        <v>Coke de lignite, France continentale, Base Carbone; kgCO2e/kWh PCI, Amont</v>
      </c>
      <c r="I681" s="1031" t="s">
        <v>1610</v>
      </c>
      <c r="J681" s="1032" t="s">
        <v>1573</v>
      </c>
      <c r="K681" s="1032" t="s">
        <v>1567</v>
      </c>
      <c r="L681" s="1032" t="s">
        <v>1571</v>
      </c>
      <c r="M681" s="1033">
        <v>0.2</v>
      </c>
      <c r="N681" s="1032" t="s">
        <v>1570</v>
      </c>
      <c r="O681" s="1036">
        <v>3.1899999999999998E-2</v>
      </c>
      <c r="P681" s="1036">
        <v>1.1900000000000001E-2</v>
      </c>
      <c r="Q681" s="1036">
        <v>0.02</v>
      </c>
      <c r="R681" s="1036">
        <v>0</v>
      </c>
      <c r="S681" s="1036">
        <v>0</v>
      </c>
      <c r="T681" s="1036">
        <v>0</v>
      </c>
      <c r="U681" s="1037">
        <v>0</v>
      </c>
    </row>
    <row r="682" spans="2:21" hidden="1" outlineLevel="2">
      <c r="D682" s="1051">
        <f t="shared" si="67"/>
        <v>2</v>
      </c>
      <c r="E682" s="1051" t="str">
        <f>IF(COUNTIF(E$11:E681,F682)&gt;0,"",F682)</f>
        <v/>
      </c>
      <c r="F682" s="1051" t="str">
        <f t="shared" si="60"/>
        <v>Coke de lignite, France continentale, Base Carbone</v>
      </c>
      <c r="G682" s="1055" t="str">
        <f t="shared" si="61"/>
        <v>Coke de lignite, France continentale, Base Carbone; kgCO2e/tep PCI, Combustion</v>
      </c>
      <c r="I682" s="1031" t="s">
        <v>1610</v>
      </c>
      <c r="J682" s="1032" t="s">
        <v>1575</v>
      </c>
      <c r="K682" s="1032" t="s">
        <v>1567</v>
      </c>
      <c r="L682" s="1032" t="s">
        <v>1571</v>
      </c>
      <c r="M682" s="1033">
        <v>0.2</v>
      </c>
      <c r="N682" s="1032" t="s">
        <v>1569</v>
      </c>
      <c r="O682" s="1036">
        <v>4590</v>
      </c>
      <c r="P682" s="1036">
        <v>4540</v>
      </c>
      <c r="Q682" s="1036">
        <v>12.6</v>
      </c>
      <c r="R682" s="1036">
        <v>0</v>
      </c>
      <c r="S682" s="1036">
        <v>33.4</v>
      </c>
      <c r="T682" s="1036">
        <v>0</v>
      </c>
      <c r="U682" s="1037">
        <v>0</v>
      </c>
    </row>
    <row r="683" spans="2:21" hidden="1" outlineLevel="2">
      <c r="D683" s="1051">
        <f t="shared" si="67"/>
        <v>2</v>
      </c>
      <c r="E683" s="1051" t="str">
        <f>IF(COUNTIF(E$11:E682,F683)&gt;0,"",F683)</f>
        <v/>
      </c>
      <c r="F683" s="1051" t="str">
        <f t="shared" si="60"/>
        <v>Coke de lignite, France continentale, Base Carbone</v>
      </c>
      <c r="G683" s="1055" t="str">
        <f t="shared" si="61"/>
        <v>Coke de lignite, France continentale, Base Carbone; kgCO2e/tep PCI, Amont</v>
      </c>
      <c r="I683" s="1031" t="s">
        <v>1610</v>
      </c>
      <c r="J683" s="1032" t="s">
        <v>1575</v>
      </c>
      <c r="K683" s="1032" t="s">
        <v>1567</v>
      </c>
      <c r="L683" s="1032" t="s">
        <v>1571</v>
      </c>
      <c r="M683" s="1033">
        <v>0.2</v>
      </c>
      <c r="N683" s="1032" t="s">
        <v>1570</v>
      </c>
      <c r="O683" s="1036">
        <v>372</v>
      </c>
      <c r="P683" s="1036">
        <v>139</v>
      </c>
      <c r="Q683" s="1036">
        <v>233</v>
      </c>
      <c r="R683" s="1036">
        <v>0</v>
      </c>
      <c r="S683" s="1036">
        <v>0</v>
      </c>
      <c r="T683" s="1036">
        <v>0</v>
      </c>
      <c r="U683" s="1037">
        <v>0</v>
      </c>
    </row>
    <row r="684" spans="2:21" hidden="1" outlineLevel="2">
      <c r="D684" s="1051">
        <f t="shared" si="67"/>
        <v>2</v>
      </c>
      <c r="E684" s="1051" t="str">
        <f>IF(COUNTIF(E$11:E683,F684)&gt;0,"",F684)</f>
        <v/>
      </c>
      <c r="F684" s="1051" t="str">
        <f t="shared" si="60"/>
        <v>Coke de lignite, France continentale, Base Carbone</v>
      </c>
      <c r="G684" s="1055" t="str">
        <f t="shared" si="61"/>
        <v>Coke de lignite, France continentale, Base Carbone; kgCO2e/GJ PCI, Combustion</v>
      </c>
      <c r="I684" s="1031" t="s">
        <v>1610</v>
      </c>
      <c r="J684" s="1032" t="s">
        <v>1566</v>
      </c>
      <c r="K684" s="1032" t="s">
        <v>1567</v>
      </c>
      <c r="L684" s="1032" t="s">
        <v>1571</v>
      </c>
      <c r="M684" s="1033">
        <v>0.2</v>
      </c>
      <c r="N684" s="1032" t="s">
        <v>1569</v>
      </c>
      <c r="O684" s="1036">
        <v>109</v>
      </c>
      <c r="P684" s="1036">
        <v>108</v>
      </c>
      <c r="Q684" s="1036">
        <v>0.3</v>
      </c>
      <c r="R684" s="1036">
        <v>0</v>
      </c>
      <c r="S684" s="1036">
        <v>0.79500000000000004</v>
      </c>
      <c r="T684" s="1036">
        <v>0</v>
      </c>
      <c r="U684" s="1037">
        <v>0</v>
      </c>
    </row>
    <row r="685" spans="2:21" hidden="1" outlineLevel="2">
      <c r="D685" s="1051">
        <f t="shared" si="67"/>
        <v>2</v>
      </c>
      <c r="E685" s="1051" t="str">
        <f>IF(COUNTIF(E$11:E684,F685)&gt;0,"",F685)</f>
        <v/>
      </c>
      <c r="F685" s="1051" t="str">
        <f t="shared" si="60"/>
        <v>Coke de lignite, France continentale, Base Carbone</v>
      </c>
      <c r="G685" s="1055" t="str">
        <f t="shared" si="61"/>
        <v>Coke de lignite, France continentale, Base Carbone; kgCO2e/GJ PCI, Amont</v>
      </c>
      <c r="I685" s="1031" t="s">
        <v>1610</v>
      </c>
      <c r="J685" s="1032" t="s">
        <v>1566</v>
      </c>
      <c r="K685" s="1032" t="s">
        <v>1567</v>
      </c>
      <c r="L685" s="1032" t="s">
        <v>1571</v>
      </c>
      <c r="M685" s="1033">
        <v>0.2</v>
      </c>
      <c r="N685" s="1032" t="s">
        <v>1570</v>
      </c>
      <c r="O685" s="1036">
        <v>8.85</v>
      </c>
      <c r="P685" s="1036">
        <v>3.3</v>
      </c>
      <c r="Q685" s="1036">
        <v>5.55</v>
      </c>
      <c r="R685" s="1036">
        <v>0</v>
      </c>
      <c r="S685" s="1036">
        <v>0</v>
      </c>
      <c r="T685" s="1036">
        <v>0</v>
      </c>
      <c r="U685" s="1037">
        <v>0</v>
      </c>
    </row>
    <row r="686" spans="2:21" hidden="1" outlineLevel="2">
      <c r="D686" s="1051">
        <f t="shared" si="67"/>
        <v>3</v>
      </c>
      <c r="E686" s="1051" t="str">
        <f>IF(COUNTIF(E$11:E685,F686)&gt;0,"",F686)</f>
        <v>Coke de pétrole, France continentale, Base Carbone</v>
      </c>
      <c r="F686" s="1051" t="str">
        <f t="shared" si="60"/>
        <v>Coke de pétrole, France continentale, Base Carbone</v>
      </c>
      <c r="G686" s="1055" t="str">
        <f t="shared" si="61"/>
        <v>Coke de pétrole, France continentale, Base Carbone; kgCO2e/GJ PCI, Combustion</v>
      </c>
      <c r="I686" s="1031" t="s">
        <v>1611</v>
      </c>
      <c r="J686" s="1032" t="s">
        <v>1566</v>
      </c>
      <c r="K686" s="1032" t="s">
        <v>1567</v>
      </c>
      <c r="L686" s="1032" t="s">
        <v>1571</v>
      </c>
      <c r="M686" s="1033">
        <v>0.2</v>
      </c>
      <c r="N686" s="1032" t="s">
        <v>1569</v>
      </c>
      <c r="O686" s="1036">
        <v>96.8</v>
      </c>
      <c r="P686" s="1036">
        <v>96</v>
      </c>
      <c r="Q686" s="1036">
        <v>0.09</v>
      </c>
      <c r="R686" s="1036">
        <v>0</v>
      </c>
      <c r="S686" s="1036">
        <v>0.66300000000000003</v>
      </c>
      <c r="T686" s="1036">
        <v>0</v>
      </c>
      <c r="U686" s="1037">
        <v>0</v>
      </c>
    </row>
    <row r="687" spans="2:21" hidden="1" outlineLevel="2">
      <c r="D687" s="1051">
        <f t="shared" si="67"/>
        <v>3</v>
      </c>
      <c r="E687" s="1051" t="str">
        <f>IF(COUNTIF(E$11:E686,F687)&gt;0,"",F687)</f>
        <v/>
      </c>
      <c r="F687" s="1051" t="str">
        <f t="shared" si="60"/>
        <v>Coke de pétrole, France continentale, Base Carbone</v>
      </c>
      <c r="G687" s="1055" t="str">
        <f t="shared" si="61"/>
        <v>Coke de pétrole, France continentale, Base Carbone; kgCO2e/GJ PCI, Amont</v>
      </c>
      <c r="I687" s="1031" t="s">
        <v>1611</v>
      </c>
      <c r="J687" s="1032" t="s">
        <v>1566</v>
      </c>
      <c r="K687" s="1032" t="s">
        <v>1567</v>
      </c>
      <c r="L687" s="1032" t="s">
        <v>1571</v>
      </c>
      <c r="M687" s="1033">
        <v>0.2</v>
      </c>
      <c r="N687" s="1032" t="s">
        <v>1570</v>
      </c>
      <c r="O687" s="1036">
        <v>12.7</v>
      </c>
      <c r="P687" s="1036">
        <v>11.5</v>
      </c>
      <c r="Q687" s="1036">
        <v>1.2</v>
      </c>
      <c r="R687" s="1036">
        <v>0</v>
      </c>
      <c r="S687" s="1036">
        <v>0</v>
      </c>
      <c r="T687" s="1036">
        <v>0</v>
      </c>
      <c r="U687" s="1037">
        <v>0</v>
      </c>
    </row>
    <row r="688" spans="2:21" hidden="1" outlineLevel="2">
      <c r="D688" s="1051">
        <f t="shared" si="67"/>
        <v>3</v>
      </c>
      <c r="E688" s="1051" t="str">
        <f>IF(COUNTIF(E$11:E687,F688)&gt;0,"",F688)</f>
        <v/>
      </c>
      <c r="F688" s="1051" t="str">
        <f t="shared" si="60"/>
        <v>coke de pétrole, France continentale, Base Carbone</v>
      </c>
      <c r="G688" s="1055" t="str">
        <f t="shared" si="61"/>
        <v>coke de pétrole, France continentale, Base Carbone; kgCO2e/kg, Combustion</v>
      </c>
      <c r="I688" s="1031" t="s">
        <v>1612</v>
      </c>
      <c r="J688" s="1032" t="s">
        <v>1572</v>
      </c>
      <c r="K688" s="1032" t="s">
        <v>1567</v>
      </c>
      <c r="L688" s="1032" t="s">
        <v>1571</v>
      </c>
      <c r="M688" s="1033">
        <v>0.2</v>
      </c>
      <c r="N688" s="1032" t="s">
        <v>1569</v>
      </c>
      <c r="O688" s="1036">
        <v>3.09</v>
      </c>
      <c r="P688" s="1036">
        <v>3.07</v>
      </c>
      <c r="Q688" s="1036">
        <v>2.8800000000000002E-3</v>
      </c>
      <c r="R688" s="1036">
        <v>0</v>
      </c>
      <c r="S688" s="1036">
        <v>2.12E-2</v>
      </c>
      <c r="T688" s="1036">
        <v>0</v>
      </c>
      <c r="U688" s="1037">
        <v>0</v>
      </c>
    </row>
    <row r="689" spans="4:21" hidden="1" outlineLevel="2">
      <c r="D689" s="1051">
        <f t="shared" si="67"/>
        <v>3</v>
      </c>
      <c r="E689" s="1051" t="str">
        <f>IF(COUNTIF(E$11:E688,F689)&gt;0,"",F689)</f>
        <v/>
      </c>
      <c r="F689" s="1051" t="str">
        <f t="shared" si="60"/>
        <v>coke de pétrole, France continentale, Base Carbone</v>
      </c>
      <c r="G689" s="1055" t="str">
        <f t="shared" si="61"/>
        <v>coke de pétrole, France continentale, Base Carbone; kgCO2e/kg, Amont</v>
      </c>
      <c r="I689" s="1031" t="s">
        <v>1612</v>
      </c>
      <c r="J689" s="1032" t="s">
        <v>1572</v>
      </c>
      <c r="K689" s="1032" t="s">
        <v>1567</v>
      </c>
      <c r="L689" s="1032" t="s">
        <v>1571</v>
      </c>
      <c r="M689" s="1033">
        <v>0.2</v>
      </c>
      <c r="N689" s="1032" t="s">
        <v>1570</v>
      </c>
      <c r="O689" s="1036">
        <v>0.40200000000000002</v>
      </c>
      <c r="P689" s="1036">
        <v>0.36699999999999999</v>
      </c>
      <c r="Q689" s="1036">
        <v>3.5400000000000001E-2</v>
      </c>
      <c r="R689" s="1036">
        <v>0</v>
      </c>
      <c r="S689" s="1036">
        <v>0</v>
      </c>
      <c r="T689" s="1036">
        <v>0</v>
      </c>
      <c r="U689" s="1037">
        <v>0</v>
      </c>
    </row>
    <row r="690" spans="4:21" hidden="1" outlineLevel="2">
      <c r="D690" s="1051">
        <f t="shared" si="67"/>
        <v>3</v>
      </c>
      <c r="E690" s="1051" t="str">
        <f>IF(COUNTIF(E$11:E689,F690)&gt;0,"",F690)</f>
        <v/>
      </c>
      <c r="F690" s="1051" t="str">
        <f t="shared" si="60"/>
        <v>coke de pétrole, France continentale, Base Carbone</v>
      </c>
      <c r="G690" s="1055" t="str">
        <f t="shared" si="61"/>
        <v>coke de pétrole, France continentale, Base Carbone; kgCO2e/kWh PCI, Combustion</v>
      </c>
      <c r="I690" s="1031" t="s">
        <v>1612</v>
      </c>
      <c r="J690" s="1032" t="s">
        <v>1573</v>
      </c>
      <c r="K690" s="1032" t="s">
        <v>1567</v>
      </c>
      <c r="L690" s="1032" t="s">
        <v>1571</v>
      </c>
      <c r="M690" s="1033">
        <v>0.2</v>
      </c>
      <c r="N690" s="1032" t="s">
        <v>1569</v>
      </c>
      <c r="O690" s="1036">
        <v>0.34899999999999998</v>
      </c>
      <c r="P690" s="1036">
        <v>0.34599999999999997</v>
      </c>
      <c r="Q690" s="1036">
        <v>3.2400000000000001E-4</v>
      </c>
      <c r="R690" s="1036">
        <v>0</v>
      </c>
      <c r="S690" s="1036">
        <v>2.3900000000000002E-3</v>
      </c>
      <c r="T690" s="1036">
        <v>0</v>
      </c>
      <c r="U690" s="1037">
        <v>0</v>
      </c>
    </row>
    <row r="691" spans="4:21" hidden="1" outlineLevel="2">
      <c r="D691" s="1051">
        <f t="shared" si="67"/>
        <v>3</v>
      </c>
      <c r="E691" s="1051" t="str">
        <f>IF(COUNTIF(E$11:E690,F691)&gt;0,"",F691)</f>
        <v/>
      </c>
      <c r="F691" s="1051" t="str">
        <f t="shared" si="60"/>
        <v>coke de pétrole, France continentale, Base Carbone</v>
      </c>
      <c r="G691" s="1055" t="str">
        <f t="shared" si="61"/>
        <v>coke de pétrole, France continentale, Base Carbone; kgCO2e/kWh PCI, Amont</v>
      </c>
      <c r="I691" s="1031" t="s">
        <v>1612</v>
      </c>
      <c r="J691" s="1032" t="s">
        <v>1573</v>
      </c>
      <c r="K691" s="1032" t="s">
        <v>1567</v>
      </c>
      <c r="L691" s="1032" t="s">
        <v>1571</v>
      </c>
      <c r="M691" s="1033">
        <v>0.2</v>
      </c>
      <c r="N691" s="1032" t="s">
        <v>1570</v>
      </c>
      <c r="O691" s="1036">
        <v>4.1300000000000003E-2</v>
      </c>
      <c r="P691" s="1036">
        <v>4.1300000000000003E-2</v>
      </c>
      <c r="Q691" s="1036">
        <v>0</v>
      </c>
      <c r="R691" s="1036">
        <v>0</v>
      </c>
      <c r="S691" s="1036">
        <v>0</v>
      </c>
      <c r="T691" s="1036">
        <v>0</v>
      </c>
      <c r="U691" s="1037">
        <v>0</v>
      </c>
    </row>
    <row r="692" spans="4:21" hidden="1" outlineLevel="2">
      <c r="D692" s="1051">
        <f t="shared" si="67"/>
        <v>3</v>
      </c>
      <c r="E692" s="1051" t="str">
        <f>IF(COUNTIF(E$11:E691,F692)&gt;0,"",F692)</f>
        <v/>
      </c>
      <c r="F692" s="1051" t="str">
        <f t="shared" si="60"/>
        <v>Coke de pétrole, France continentale, Base Carbone</v>
      </c>
      <c r="G692" s="1055" t="str">
        <f t="shared" si="61"/>
        <v>Coke de pétrole, France continentale, Base Carbone; kgCO2e/tep PCI, Combustion</v>
      </c>
      <c r="I692" s="1031" t="s">
        <v>1611</v>
      </c>
      <c r="J692" s="1032" t="s">
        <v>1575</v>
      </c>
      <c r="K692" s="1032" t="s">
        <v>1567</v>
      </c>
      <c r="L692" s="1032" t="s">
        <v>1571</v>
      </c>
      <c r="M692" s="1033">
        <v>0.2</v>
      </c>
      <c r="N692" s="1032" t="s">
        <v>1569</v>
      </c>
      <c r="O692" s="1036">
        <v>4060</v>
      </c>
      <c r="P692" s="1036">
        <v>4030</v>
      </c>
      <c r="Q692" s="1036">
        <v>3.78</v>
      </c>
      <c r="R692" s="1036">
        <v>0</v>
      </c>
      <c r="S692" s="1036">
        <v>27.8</v>
      </c>
      <c r="T692" s="1036">
        <v>0</v>
      </c>
      <c r="U692" s="1037">
        <v>0</v>
      </c>
    </row>
    <row r="693" spans="4:21" hidden="1" outlineLevel="2">
      <c r="D693" s="1051">
        <f t="shared" si="67"/>
        <v>3</v>
      </c>
      <c r="E693" s="1051" t="str">
        <f>IF(COUNTIF(E$11:E692,F693)&gt;0,"",F693)</f>
        <v/>
      </c>
      <c r="F693" s="1051" t="str">
        <f t="shared" si="60"/>
        <v>Coke de pétrole, France continentale, Base Carbone</v>
      </c>
      <c r="G693" s="1055" t="str">
        <f t="shared" si="61"/>
        <v>Coke de pétrole, France continentale, Base Carbone; kgCO2e/tep PCI, Amont</v>
      </c>
      <c r="I693" s="1031" t="s">
        <v>1611</v>
      </c>
      <c r="J693" s="1032" t="s">
        <v>1575</v>
      </c>
      <c r="K693" s="1032" t="s">
        <v>1567</v>
      </c>
      <c r="L693" s="1032" t="s">
        <v>1571</v>
      </c>
      <c r="M693" s="1033">
        <v>0.2</v>
      </c>
      <c r="N693" s="1032" t="s">
        <v>1570</v>
      </c>
      <c r="O693" s="1036">
        <v>528</v>
      </c>
      <c r="P693" s="1036">
        <v>482</v>
      </c>
      <c r="Q693" s="1036">
        <v>46.4</v>
      </c>
      <c r="R693" s="1036">
        <v>0</v>
      </c>
      <c r="S693" s="1036">
        <v>0</v>
      </c>
      <c r="T693" s="1036">
        <v>0</v>
      </c>
      <c r="U693" s="1037">
        <v>0</v>
      </c>
    </row>
    <row r="694" spans="4:21" hidden="1" outlineLevel="2">
      <c r="D694" s="1051">
        <f t="shared" si="67"/>
        <v>4</v>
      </c>
      <c r="E694" s="1051" t="str">
        <f>IF(COUNTIF(E$11:E693,F694)&gt;0,"",F694)</f>
        <v>Pneumatiques usagés non réutilisables - mix combustible moyen, France continentale, Base Carbone</v>
      </c>
      <c r="F694" s="1051" t="str">
        <f t="shared" si="60"/>
        <v>Pneumatiques usagés non réutilisables - mix combustible moyen, France continentale, Base Carbone</v>
      </c>
      <c r="G694" s="1055" t="str">
        <f t="shared" si="61"/>
        <v>Pneumatiques usagés non réutilisables - mix combustible moyen, France continentale, Base Carbone; kgCO2e/GJ PCI, Combustion</v>
      </c>
      <c r="I694" s="1031" t="s">
        <v>4078</v>
      </c>
      <c r="J694" s="1032" t="s">
        <v>1566</v>
      </c>
      <c r="K694" s="1032" t="s">
        <v>1567</v>
      </c>
      <c r="L694" s="1032" t="s">
        <v>1571</v>
      </c>
      <c r="M694" s="1033">
        <v>0.2</v>
      </c>
      <c r="N694" s="1032" t="s">
        <v>1569</v>
      </c>
      <c r="O694" s="1036">
        <v>59</v>
      </c>
      <c r="P694" s="1036">
        <v>59</v>
      </c>
      <c r="Q694" s="1036">
        <v>0</v>
      </c>
      <c r="R694" s="1036">
        <v>0</v>
      </c>
      <c r="S694" s="1036">
        <v>0</v>
      </c>
      <c r="T694" s="1036">
        <v>0</v>
      </c>
      <c r="U694" s="1037">
        <v>27</v>
      </c>
    </row>
    <row r="695" spans="4:21" hidden="1" outlineLevel="2">
      <c r="D695" s="1051">
        <f t="shared" ref="D695:D696" si="68">D694+IF(LEN(E695)=0,0,1)</f>
        <v>4</v>
      </c>
      <c r="E695" s="1051" t="str">
        <f>IF(COUNTIF(E$11:E694,F695)&gt;0,"",F695)</f>
        <v/>
      </c>
      <c r="F695" s="1051" t="str">
        <f t="shared" ref="F695:F696" si="69">IF(I695&lt;&gt;"",I695&amp;IF(L695&lt;&gt;"",", "&amp;L695,"")&amp;IF(K695&lt;&gt;"",", "&amp;K695,""),"")</f>
        <v>Pneumatiques usagés non réutilisables - mix combustible moyen, France continentale, Base Carbone</v>
      </c>
      <c r="G695" s="1055" t="str">
        <f t="shared" ref="G695:G696" si="70">IF(F695&lt;&gt;"",F695&amp;IF(J695&lt;&gt;"","; "&amp;J695,"")&amp;IF(N695&lt;&gt;"",", "&amp;N695,""),"")</f>
        <v>Pneumatiques usagés non réutilisables - mix combustible moyen, France continentale, Base Carbone; kgCO2e/GJ PCI, Amont</v>
      </c>
      <c r="I695" s="1031" t="s">
        <v>4078</v>
      </c>
      <c r="J695" s="1032" t="s">
        <v>1566</v>
      </c>
      <c r="K695" s="1032" t="s">
        <v>1567</v>
      </c>
      <c r="L695" s="1032" t="s">
        <v>1571</v>
      </c>
      <c r="M695" s="1033">
        <v>0.2</v>
      </c>
      <c r="N695" s="1119" t="s">
        <v>1570</v>
      </c>
      <c r="O695" s="1036">
        <v>1.55</v>
      </c>
      <c r="P695" s="1036">
        <v>1.55</v>
      </c>
      <c r="Q695" s="1036">
        <v>0</v>
      </c>
      <c r="R695" s="1036">
        <v>0</v>
      </c>
      <c r="S695" s="1036">
        <v>0</v>
      </c>
      <c r="T695" s="1036">
        <v>0</v>
      </c>
      <c r="U695" s="1037">
        <v>0</v>
      </c>
    </row>
    <row r="696" spans="4:21" hidden="1" outlineLevel="2">
      <c r="D696" s="1051">
        <f t="shared" si="68"/>
        <v>5</v>
      </c>
      <c r="E696" s="1051" t="str">
        <f>IF(COUNTIF(E$11:E695,F696)&gt;0,"",F696)</f>
        <v>Pneumatiques usagés non réutilisables - poids lourds, France continentale, Base Carbone</v>
      </c>
      <c r="F696" s="1051" t="str">
        <f t="shared" si="69"/>
        <v>Pneumatiques usagés non réutilisables - poids lourds, France continentale, Base Carbone</v>
      </c>
      <c r="G696" s="1055" t="str">
        <f t="shared" si="70"/>
        <v>Pneumatiques usagés non réutilisables - poids lourds, France continentale, Base Carbone; kgCO2e/GJ PCI, Combustion</v>
      </c>
      <c r="I696" s="1031" t="s">
        <v>4079</v>
      </c>
      <c r="J696" s="1032" t="s">
        <v>1566</v>
      </c>
      <c r="K696" s="1032" t="s">
        <v>1567</v>
      </c>
      <c r="L696" s="1032" t="s">
        <v>1571</v>
      </c>
      <c r="M696" s="1033">
        <v>0.2</v>
      </c>
      <c r="N696" s="1119" t="s">
        <v>1569</v>
      </c>
      <c r="O696" s="1036">
        <v>43</v>
      </c>
      <c r="P696" s="1036">
        <v>43</v>
      </c>
      <c r="Q696" s="1036">
        <v>0</v>
      </c>
      <c r="R696" s="1036">
        <v>0</v>
      </c>
      <c r="S696" s="1036">
        <v>0</v>
      </c>
      <c r="T696" s="1036">
        <v>0</v>
      </c>
      <c r="U696" s="1037">
        <v>45</v>
      </c>
    </row>
    <row r="697" spans="4:21" hidden="1" outlineLevel="2">
      <c r="D697" s="1051">
        <f t="shared" ref="D697:D704" si="71">D696+IF(LEN(E697)=0,0,1)</f>
        <v>5</v>
      </c>
      <c r="E697" s="1051" t="str">
        <f>IF(COUNTIF(E$11:E696,F697)&gt;0,"",F697)</f>
        <v/>
      </c>
      <c r="F697" s="1051" t="str">
        <f t="shared" ref="F697:F704" si="72">IF(I697&lt;&gt;"",I697&amp;IF(L697&lt;&gt;"",", "&amp;L697,"")&amp;IF(K697&lt;&gt;"",", "&amp;K697,""),"")</f>
        <v>Pneumatiques usagés non réutilisables - poids lourds, France continentale, Base Carbone</v>
      </c>
      <c r="G697" s="1055" t="str">
        <f t="shared" ref="G697:G704" si="73">IF(F697&lt;&gt;"",F697&amp;IF(J697&lt;&gt;"","; "&amp;J697,"")&amp;IF(N697&lt;&gt;"",", "&amp;N697,""),"")</f>
        <v>Pneumatiques usagés non réutilisables - poids lourds, France continentale, Base Carbone; kgCO2e/GJ PCI, Amont</v>
      </c>
      <c r="I697" s="1031" t="s">
        <v>4079</v>
      </c>
      <c r="J697" s="1032" t="s">
        <v>1566</v>
      </c>
      <c r="K697" s="1032" t="s">
        <v>1567</v>
      </c>
      <c r="L697" s="1032" t="s">
        <v>1571</v>
      </c>
      <c r="M697" s="1033">
        <v>0.2</v>
      </c>
      <c r="N697" s="1119" t="s">
        <v>1570</v>
      </c>
      <c r="O697" s="1036">
        <v>1.63</v>
      </c>
      <c r="P697" s="1036">
        <v>1.63</v>
      </c>
      <c r="Q697" s="1036">
        <v>0</v>
      </c>
      <c r="R697" s="1036">
        <v>0</v>
      </c>
      <c r="S697" s="1036">
        <v>0</v>
      </c>
      <c r="T697" s="1036">
        <v>0</v>
      </c>
      <c r="U697" s="1037">
        <v>0</v>
      </c>
    </row>
    <row r="698" spans="4:21" hidden="1" outlineLevel="2">
      <c r="D698" s="1051">
        <f t="shared" si="71"/>
        <v>6</v>
      </c>
      <c r="E698" s="1051" t="str">
        <f>IF(COUNTIF(E$11:E697,F698)&gt;0,"",F698)</f>
        <v>Pneumatiques usagés non réutilisables - véhicules légers, France continentale, Base Carbone</v>
      </c>
      <c r="F698" s="1051" t="str">
        <f t="shared" si="72"/>
        <v>Pneumatiques usagés non réutilisables - véhicules légers, France continentale, Base Carbone</v>
      </c>
      <c r="G698" s="1055" t="str">
        <f t="shared" si="73"/>
        <v>Pneumatiques usagés non réutilisables - véhicules légers, France continentale, Base Carbone; kgCO2e/GJ PCI, Combustion</v>
      </c>
      <c r="I698" s="1031" t="s">
        <v>4767</v>
      </c>
      <c r="J698" s="1032" t="s">
        <v>1566</v>
      </c>
      <c r="K698" s="1032" t="s">
        <v>1567</v>
      </c>
      <c r="L698" s="1032" t="s">
        <v>1571</v>
      </c>
      <c r="M698" s="1033">
        <v>0.2</v>
      </c>
      <c r="N698" s="1119" t="s">
        <v>1569</v>
      </c>
      <c r="O698" s="1036">
        <v>62</v>
      </c>
      <c r="P698" s="1036">
        <v>62</v>
      </c>
      <c r="Q698" s="1036">
        <v>0</v>
      </c>
      <c r="R698" s="1036">
        <v>0</v>
      </c>
      <c r="S698" s="1036">
        <v>0</v>
      </c>
      <c r="T698" s="1036">
        <v>0</v>
      </c>
      <c r="U698" s="1037">
        <v>0</v>
      </c>
    </row>
    <row r="699" spans="4:21" hidden="1" outlineLevel="2">
      <c r="D699" s="1051">
        <f t="shared" si="71"/>
        <v>6</v>
      </c>
      <c r="E699" s="1051" t="str">
        <f>IF(COUNTIF(E$11:E698,F699)&gt;0,"",F699)</f>
        <v/>
      </c>
      <c r="F699" s="1051" t="str">
        <f t="shared" si="72"/>
        <v>Pneumatiques usagés non réutilisables - véhicules légers, France continentale, Base Carbone</v>
      </c>
      <c r="G699" s="1055" t="str">
        <f t="shared" si="73"/>
        <v>Pneumatiques usagés non réutilisables - véhicules légers, France continentale, Base Carbone; kgCO2e/GJ PCI, Amont</v>
      </c>
      <c r="I699" s="1031" t="s">
        <v>4767</v>
      </c>
      <c r="J699" s="1032" t="s">
        <v>1566</v>
      </c>
      <c r="K699" s="1032" t="s">
        <v>1567</v>
      </c>
      <c r="L699" s="1032" t="s">
        <v>1571</v>
      </c>
      <c r="M699" s="1033">
        <v>0.2</v>
      </c>
      <c r="N699" s="1119" t="s">
        <v>1570</v>
      </c>
      <c r="O699" s="1036">
        <v>1.54</v>
      </c>
      <c r="P699" s="1036">
        <v>1.54</v>
      </c>
      <c r="Q699" s="1036">
        <v>0</v>
      </c>
      <c r="R699" s="1036">
        <v>0</v>
      </c>
      <c r="S699" s="1036">
        <v>0</v>
      </c>
      <c r="T699" s="1036">
        <v>0</v>
      </c>
      <c r="U699" s="1037">
        <v>0</v>
      </c>
    </row>
    <row r="700" spans="4:21" hidden="1" outlineLevel="2">
      <c r="D700" s="1051">
        <f t="shared" si="71"/>
        <v>6</v>
      </c>
      <c r="E700" s="1051" t="str">
        <f>IF(COUNTIF(E$11:E699,F700)&gt;0,"",F700)</f>
        <v/>
      </c>
      <c r="F700" s="1051" t="str">
        <f t="shared" si="72"/>
        <v/>
      </c>
      <c r="G700" s="1055" t="str">
        <f t="shared" si="73"/>
        <v/>
      </c>
      <c r="I700" s="1031"/>
      <c r="J700" s="1032"/>
      <c r="K700" s="1032"/>
      <c r="L700" s="1032"/>
      <c r="M700" s="1033"/>
      <c r="N700" s="1032"/>
      <c r="O700" s="1036"/>
      <c r="P700" s="1036"/>
      <c r="Q700" s="1036"/>
      <c r="R700" s="1036"/>
      <c r="S700" s="1036"/>
      <c r="T700" s="1036"/>
      <c r="U700" s="1037"/>
    </row>
    <row r="701" spans="4:21" hidden="1" outlineLevel="2">
      <c r="D701" s="1051">
        <f t="shared" si="71"/>
        <v>6</v>
      </c>
      <c r="E701" s="1051" t="str">
        <f>IF(COUNTIF(E$11:E700,F701)&gt;0,"",F701)</f>
        <v/>
      </c>
      <c r="F701" s="1051" t="str">
        <f t="shared" si="72"/>
        <v/>
      </c>
      <c r="G701" s="1055" t="str">
        <f t="shared" si="73"/>
        <v/>
      </c>
      <c r="I701" s="1034"/>
      <c r="J701" s="1032"/>
      <c r="K701" s="1032"/>
      <c r="L701" s="1032"/>
      <c r="M701" s="1033"/>
      <c r="N701" s="1032"/>
      <c r="O701" s="1036"/>
      <c r="P701" s="1036"/>
      <c r="Q701" s="1036"/>
      <c r="R701" s="1036"/>
      <c r="S701" s="1036"/>
      <c r="T701" s="1036"/>
      <c r="U701" s="1037"/>
    </row>
    <row r="702" spans="4:21" hidden="1" outlineLevel="2">
      <c r="D702" s="1051">
        <f t="shared" si="71"/>
        <v>6</v>
      </c>
      <c r="E702" s="1051" t="str">
        <f>IF(COUNTIF(E$11:E701,F702)&gt;0,"",F702)</f>
        <v/>
      </c>
      <c r="F702" s="1051" t="str">
        <f t="shared" si="72"/>
        <v/>
      </c>
      <c r="G702" s="1055" t="str">
        <f t="shared" si="73"/>
        <v/>
      </c>
      <c r="I702" s="1034"/>
      <c r="J702" s="1032"/>
      <c r="K702" s="1032"/>
      <c r="L702" s="1032"/>
      <c r="M702" s="1033"/>
      <c r="N702" s="1032"/>
      <c r="O702" s="1036"/>
      <c r="P702" s="1036"/>
      <c r="Q702" s="1036"/>
      <c r="R702" s="1036"/>
      <c r="S702" s="1036"/>
      <c r="T702" s="1036"/>
      <c r="U702" s="1037"/>
    </row>
    <row r="703" spans="4:21" hidden="1" outlineLevel="2">
      <c r="D703" s="1051">
        <f t="shared" si="71"/>
        <v>6</v>
      </c>
      <c r="E703" s="1051" t="str">
        <f>IF(COUNTIF(E$11:E702,F703)&gt;0,"",F703)</f>
        <v/>
      </c>
      <c r="F703" s="1051" t="str">
        <f t="shared" si="72"/>
        <v/>
      </c>
      <c r="G703" s="1055" t="str">
        <f t="shared" si="73"/>
        <v/>
      </c>
      <c r="I703" s="1034"/>
      <c r="J703" s="1032"/>
      <c r="K703" s="1032"/>
      <c r="L703" s="1032"/>
      <c r="M703" s="1033"/>
      <c r="N703" s="1032"/>
      <c r="O703" s="1036"/>
      <c r="P703" s="1036"/>
      <c r="Q703" s="1036"/>
      <c r="R703" s="1036"/>
      <c r="S703" s="1036"/>
      <c r="T703" s="1036"/>
      <c r="U703" s="1037"/>
    </row>
    <row r="704" spans="4:21" hidden="1" outlineLevel="2">
      <c r="D704" s="1051">
        <f t="shared" si="71"/>
        <v>6</v>
      </c>
      <c r="E704" s="1051" t="str">
        <f>IF(COUNTIF(E$11:E703,F704)&gt;0,"",F704)</f>
        <v/>
      </c>
      <c r="F704" s="1051" t="str">
        <f t="shared" si="72"/>
        <v/>
      </c>
      <c r="G704" s="1055" t="str">
        <f t="shared" si="73"/>
        <v/>
      </c>
      <c r="I704" s="1031"/>
      <c r="J704" s="1032"/>
      <c r="K704" s="1032"/>
      <c r="L704" s="1032"/>
      <c r="M704" s="1033"/>
      <c r="N704" s="1032"/>
      <c r="O704" s="1036"/>
      <c r="P704" s="1036"/>
      <c r="Q704" s="1036"/>
      <c r="R704" s="1036"/>
      <c r="S704" s="1036"/>
      <c r="T704" s="1036"/>
      <c r="U704" s="1037"/>
    </row>
    <row r="705" spans="2:21" s="1045" customFormat="1" hidden="1" outlineLevel="1">
      <c r="G705" s="1135"/>
      <c r="I705" s="1694"/>
      <c r="J705" s="1695"/>
      <c r="K705" s="1695"/>
      <c r="L705" s="1695"/>
      <c r="M705" s="1696"/>
      <c r="N705" s="1695"/>
      <c r="O705" s="1697"/>
      <c r="P705" s="1697"/>
      <c r="Q705" s="1697"/>
      <c r="R705" s="1697"/>
      <c r="S705" s="1697"/>
      <c r="T705" s="1697"/>
      <c r="U705" s="1698"/>
    </row>
    <row r="706" spans="2:21" ht="12" hidden="1" customHeight="1" outlineLevel="1" collapsed="1">
      <c r="B706" s="3156" t="s">
        <v>4808</v>
      </c>
      <c r="C706" s="3156"/>
      <c r="D706" s="1051">
        <v>0</v>
      </c>
      <c r="E706" s="1051"/>
      <c r="F706" s="1051" t="str">
        <f t="shared" si="60"/>
        <v/>
      </c>
      <c r="G706" s="1055" t="str">
        <f t="shared" si="61"/>
        <v/>
      </c>
      <c r="I706" s="1699"/>
      <c r="J706" s="1695"/>
      <c r="K706" s="1695"/>
      <c r="L706" s="1695"/>
      <c r="M706" s="1696"/>
      <c r="N706" s="1695"/>
      <c r="O706" s="1697"/>
      <c r="P706" s="1697"/>
      <c r="Q706" s="1697"/>
      <c r="R706" s="1697"/>
      <c r="S706" s="1697"/>
      <c r="T706" s="1697"/>
      <c r="U706" s="1698"/>
    </row>
    <row r="707" spans="2:21" ht="12" hidden="1" customHeight="1" outlineLevel="2">
      <c r="B707" s="2341">
        <v>1</v>
      </c>
      <c r="C707" s="1050" t="str">
        <f t="shared" ref="C707:C736" si="74">IF(ISNA(VLOOKUP(B707,$D$707:$E$888,2,FALSE)),"-",VLOOKUP(B707,$D$707:$E$888,2,FALSE))</f>
        <v>Biodiesel - filière colza - sans changement d'affectation des sols, France continentale, Base Carbone</v>
      </c>
      <c r="D707" s="1051">
        <f>D706+IF(LEN(E707)=0,0,1)</f>
        <v>1</v>
      </c>
      <c r="E707" s="1051" t="str">
        <f>IF(COUNTIF(E$706:E706,F707)&gt;0,"",F707)</f>
        <v>Biodiesel - filière colza - sans changement d'affectation des sols, France continentale, Base Carbone</v>
      </c>
      <c r="F707" s="1051" t="str">
        <f>IF(I707&lt;&gt;"",I707&amp;IF(L707&lt;&gt;"",", "&amp;L707,"")&amp;IF(K707&lt;&gt;"",", "&amp;K707,""),"")</f>
        <v>Biodiesel - filière colza - sans changement d'affectation des sols, France continentale, Base Carbone</v>
      </c>
      <c r="G707" s="1055" t="str">
        <f>IF(F707&lt;&gt;"",F707&amp;IF(J707&lt;&gt;"","; "&amp;J707,"")&amp;IF(N707&lt;&gt;"",", "&amp;N707,""),"")</f>
        <v>Biodiesel - filière colza - sans changement d'affectation des sols, France continentale, Base Carbone; kgCO2e/MJ PCI, Amont</v>
      </c>
      <c r="I707" s="1031" t="s">
        <v>4734</v>
      </c>
      <c r="J707" s="2342" t="s">
        <v>1661</v>
      </c>
      <c r="K707" s="1032" t="s">
        <v>1567</v>
      </c>
      <c r="L707" s="1119" t="s">
        <v>1571</v>
      </c>
      <c r="M707" s="1033">
        <v>0.2</v>
      </c>
      <c r="N707" s="1119" t="s">
        <v>1570</v>
      </c>
      <c r="O707" s="1036">
        <v>3.73E-2</v>
      </c>
      <c r="P707" s="1036">
        <v>3.73E-2</v>
      </c>
      <c r="Q707" s="1980">
        <v>0</v>
      </c>
      <c r="R707" s="1980">
        <v>0</v>
      </c>
      <c r="S707" s="1980">
        <v>0</v>
      </c>
      <c r="T707" s="1980">
        <v>0</v>
      </c>
      <c r="U707" s="2036">
        <v>0</v>
      </c>
    </row>
    <row r="708" spans="2:21" ht="12" hidden="1" customHeight="1" outlineLevel="2">
      <c r="B708" s="2349">
        <v>2</v>
      </c>
      <c r="C708" s="1050" t="str">
        <f t="shared" si="74"/>
        <v>Biodiesel - filière EMGA - sans changement d'affectation des sols, France continentale, Base Carbone</v>
      </c>
      <c r="D708" s="1051">
        <f t="shared" ref="D708:D771" si="75">D707+IF(LEN(E708)=0,0,1)</f>
        <v>1</v>
      </c>
      <c r="E708" s="1051" t="str">
        <f>IF(COUNTIF(E$706:E707,F708)&gt;0,"",F708)</f>
        <v/>
      </c>
      <c r="F708" s="1051" t="str">
        <f t="shared" ref="F708:F771" si="76">IF(I708&lt;&gt;"",I708&amp;IF(L708&lt;&gt;"",", "&amp;L708,"")&amp;IF(K708&lt;&gt;"",", "&amp;K708,""),"")</f>
        <v>Biodiesel - filière colza - sans changement d'affectation des sols, France continentale, Base Carbone</v>
      </c>
      <c r="G708" s="1055" t="str">
        <f t="shared" ref="G708:G771" si="77">IF(F708&lt;&gt;"",F708&amp;IF(J708&lt;&gt;"","; "&amp;J708,"")&amp;IF(N708&lt;&gt;"",", "&amp;N708,""),"")</f>
        <v>Biodiesel - filière colza - sans changement d'affectation des sols, France continentale, Base Carbone; kgCO2e/kWh PCI, Amont</v>
      </c>
      <c r="I708" s="1031" t="s">
        <v>4734</v>
      </c>
      <c r="J708" s="2342" t="s">
        <v>1573</v>
      </c>
      <c r="K708" s="1032" t="s">
        <v>1567</v>
      </c>
      <c r="L708" s="1119" t="s">
        <v>1571</v>
      </c>
      <c r="M708" s="1033">
        <v>0.2</v>
      </c>
      <c r="N708" s="1119" t="s">
        <v>1570</v>
      </c>
      <c r="O708" s="1036">
        <v>0.13400000000000001</v>
      </c>
      <c r="P708" s="1036">
        <v>0.13400000000000001</v>
      </c>
      <c r="Q708" s="1980">
        <v>0</v>
      </c>
      <c r="R708" s="1980">
        <v>0</v>
      </c>
      <c r="S708" s="1980">
        <v>0</v>
      </c>
      <c r="T708" s="1980">
        <v>0</v>
      </c>
      <c r="U708" s="2036">
        <v>0</v>
      </c>
    </row>
    <row r="709" spans="2:21" ht="12" hidden="1" customHeight="1" outlineLevel="2">
      <c r="B709" s="2349">
        <v>3</v>
      </c>
      <c r="C709" s="1050" t="str">
        <f t="shared" si="74"/>
        <v>Biodiesel - filière EMHAU - sans changement d'affectation des sols, France continentale, Base Carbone</v>
      </c>
      <c r="D709" s="1051">
        <f t="shared" si="75"/>
        <v>1</v>
      </c>
      <c r="E709" s="1051" t="str">
        <f>IF(COUNTIF(E$706:E708,F709)&gt;0,"",F709)</f>
        <v/>
      </c>
      <c r="F709" s="1051" t="str">
        <f t="shared" si="76"/>
        <v>Biodiesel - filière colza - sans changement d'affectation des sols, France continentale, Base Carbone</v>
      </c>
      <c r="G709" s="1055" t="str">
        <f t="shared" si="77"/>
        <v>Biodiesel - filière colza - sans changement d'affectation des sols, France continentale, Base Carbone; kgCO2e/tep PCI, Amont</v>
      </c>
      <c r="I709" s="1031" t="s">
        <v>4734</v>
      </c>
      <c r="J709" s="2342" t="s">
        <v>1575</v>
      </c>
      <c r="K709" s="1032" t="s">
        <v>1567</v>
      </c>
      <c r="L709" s="1119" t="s">
        <v>1571</v>
      </c>
      <c r="M709" s="1033">
        <v>0.2</v>
      </c>
      <c r="N709" s="1119" t="s">
        <v>1570</v>
      </c>
      <c r="O709" s="1036">
        <v>1567</v>
      </c>
      <c r="P709" s="1036">
        <v>1567</v>
      </c>
      <c r="Q709" s="1980">
        <v>0</v>
      </c>
      <c r="R709" s="1980">
        <v>0</v>
      </c>
      <c r="S709" s="1980">
        <v>0</v>
      </c>
      <c r="T709" s="1980">
        <v>0</v>
      </c>
      <c r="U709" s="2036">
        <v>0</v>
      </c>
    </row>
    <row r="710" spans="2:21" ht="12" hidden="1" customHeight="1" outlineLevel="2">
      <c r="B710" s="2349">
        <v>4</v>
      </c>
      <c r="C710" s="1050" t="str">
        <f t="shared" si="74"/>
        <v>Biodiesel - filière HVP - sans changement d'affectation des sols, France continentale, Base Carbone</v>
      </c>
      <c r="D710" s="1051">
        <f t="shared" si="75"/>
        <v>1</v>
      </c>
      <c r="E710" s="1051" t="str">
        <f>IF(COUNTIF(E$706:E709,F710)&gt;0,"",F710)</f>
        <v/>
      </c>
      <c r="F710" s="1051" t="str">
        <f t="shared" si="76"/>
        <v>Biodiesel - filière colza - sans changement d'affectation des sols, France continentale, Base Carbone</v>
      </c>
      <c r="G710" s="1055" t="str">
        <f t="shared" si="77"/>
        <v>Biodiesel - filière colza - sans changement d'affectation des sols, France continentale, Base Carbone; kgCO2e/litre, Amont</v>
      </c>
      <c r="I710" s="1031" t="s">
        <v>4734</v>
      </c>
      <c r="J710" s="2342" t="s">
        <v>1574</v>
      </c>
      <c r="K710" s="1119" t="s">
        <v>1567</v>
      </c>
      <c r="L710" s="1119" t="s">
        <v>1571</v>
      </c>
      <c r="M710" s="1033">
        <v>0.2</v>
      </c>
      <c r="N710" s="1119" t="s">
        <v>1570</v>
      </c>
      <c r="O710" s="1036">
        <v>1.23</v>
      </c>
      <c r="P710" s="1036">
        <v>1.23</v>
      </c>
      <c r="Q710" s="1980">
        <v>0</v>
      </c>
      <c r="R710" s="1980">
        <v>0</v>
      </c>
      <c r="S710" s="1980">
        <v>0</v>
      </c>
      <c r="T710" s="1980">
        <v>0</v>
      </c>
      <c r="U710" s="2036">
        <v>0</v>
      </c>
    </row>
    <row r="711" spans="2:21" ht="12" hidden="1" customHeight="1" outlineLevel="2">
      <c r="B711" s="2349">
        <v>5</v>
      </c>
      <c r="C711" s="1050" t="str">
        <f t="shared" si="74"/>
        <v>Biodiesel - filière palme - sans changement d'affectation des sols, France continentale, Base Carbone</v>
      </c>
      <c r="D711" s="1051">
        <f t="shared" si="75"/>
        <v>2</v>
      </c>
      <c r="E711" s="1051" t="str">
        <f>IF(COUNTIF(E$706:E710,F711)&gt;0,"",F711)</f>
        <v>Biodiesel - filière EMGA - sans changement d'affectation des sols, France continentale, Base Carbone</v>
      </c>
      <c r="F711" s="1051" t="str">
        <f t="shared" si="76"/>
        <v>Biodiesel - filière EMGA - sans changement d'affectation des sols, France continentale, Base Carbone</v>
      </c>
      <c r="G711" s="1055" t="str">
        <f t="shared" si="77"/>
        <v>Biodiesel - filière EMGA - sans changement d'affectation des sols, France continentale, Base Carbone; kgCO2e/MJ PCI, Amont</v>
      </c>
      <c r="I711" s="1031" t="s">
        <v>4735</v>
      </c>
      <c r="J711" s="2219" t="s">
        <v>1661</v>
      </c>
      <c r="K711" s="1119" t="s">
        <v>1567</v>
      </c>
      <c r="L711" s="1119" t="s">
        <v>1571</v>
      </c>
      <c r="M711" s="1033">
        <v>0.2</v>
      </c>
      <c r="N711" s="1119" t="s">
        <v>1570</v>
      </c>
      <c r="O711" s="1036">
        <v>8.4000000000000003E-4</v>
      </c>
      <c r="P711" s="1036">
        <v>8.4000000000000003E-4</v>
      </c>
      <c r="Q711" s="1980">
        <v>0</v>
      </c>
      <c r="R711" s="1980">
        <v>0</v>
      </c>
      <c r="S711" s="1980">
        <v>0</v>
      </c>
      <c r="T711" s="1980">
        <v>0</v>
      </c>
      <c r="U711" s="2036">
        <v>0</v>
      </c>
    </row>
    <row r="712" spans="2:21" ht="12" hidden="1" customHeight="1" outlineLevel="2">
      <c r="B712" s="2349">
        <v>6</v>
      </c>
      <c r="C712" s="1050" t="str">
        <f t="shared" si="74"/>
        <v>Biodiesel - filière soja - sans changement d'affectation des sols, France continentale, Base Carbone</v>
      </c>
      <c r="D712" s="1051">
        <f t="shared" si="75"/>
        <v>2</v>
      </c>
      <c r="E712" s="1051" t="str">
        <f>IF(COUNTIF(E$706:E711,F712)&gt;0,"",F712)</f>
        <v/>
      </c>
      <c r="F712" s="1051" t="str">
        <f t="shared" si="76"/>
        <v>Biodiesel - filière EMGA - sans changement d'affectation des sols, France continentale, Base Carbone</v>
      </c>
      <c r="G712" s="1055" t="str">
        <f t="shared" si="77"/>
        <v>Biodiesel - filière EMGA - sans changement d'affectation des sols, France continentale, Base Carbone; kgCO2e/kWh PCI, Amont</v>
      </c>
      <c r="I712" s="1031" t="s">
        <v>4735</v>
      </c>
      <c r="J712" s="2219" t="s">
        <v>1573</v>
      </c>
      <c r="K712" s="1119" t="s">
        <v>1567</v>
      </c>
      <c r="L712" s="1119" t="s">
        <v>1571</v>
      </c>
      <c r="M712" s="1033">
        <v>0.2</v>
      </c>
      <c r="N712" s="1119" t="s">
        <v>1570</v>
      </c>
      <c r="O712" s="1036">
        <v>3.0200000000000001E-2</v>
      </c>
      <c r="P712" s="1036">
        <v>3.0200000000000001E-2</v>
      </c>
      <c r="Q712" s="1980">
        <v>0</v>
      </c>
      <c r="R712" s="1980">
        <v>0</v>
      </c>
      <c r="S712" s="1980">
        <v>0</v>
      </c>
      <c r="T712" s="1980">
        <v>0</v>
      </c>
      <c r="U712" s="2036">
        <v>0</v>
      </c>
    </row>
    <row r="713" spans="2:21" ht="12" hidden="1" customHeight="1" outlineLevel="2">
      <c r="B713" s="2349">
        <v>7</v>
      </c>
      <c r="C713" s="1050" t="str">
        <f t="shared" si="74"/>
        <v>Biodiesel - filière tournesol - sans changement d'affectation des sols, France continentale, Base Carbone</v>
      </c>
      <c r="D713" s="1051">
        <f t="shared" si="75"/>
        <v>2</v>
      </c>
      <c r="E713" s="1051" t="str">
        <f>IF(COUNTIF(E$706:E712,F713)&gt;0,"",F713)</f>
        <v/>
      </c>
      <c r="F713" s="1051" t="str">
        <f t="shared" si="76"/>
        <v>Biodiesel - filière EMGA - sans changement d'affectation des sols, France continentale, Base Carbone</v>
      </c>
      <c r="G713" s="1055" t="str">
        <f t="shared" si="77"/>
        <v>Biodiesel - filière EMGA - sans changement d'affectation des sols, France continentale, Base Carbone; kgCO2e/tep PCI, Amont</v>
      </c>
      <c r="I713" s="1031" t="s">
        <v>4735</v>
      </c>
      <c r="J713" s="2219" t="s">
        <v>1575</v>
      </c>
      <c r="K713" s="1119" t="s">
        <v>1567</v>
      </c>
      <c r="L713" s="1119" t="s">
        <v>1571</v>
      </c>
      <c r="M713" s="1033">
        <v>0.2</v>
      </c>
      <c r="N713" s="1119" t="s">
        <v>1570</v>
      </c>
      <c r="O713" s="1036">
        <v>353</v>
      </c>
      <c r="P713" s="1036">
        <v>353</v>
      </c>
      <c r="Q713" s="1980">
        <v>0</v>
      </c>
      <c r="R713" s="1980">
        <v>0</v>
      </c>
      <c r="S713" s="1980">
        <v>0</v>
      </c>
      <c r="T713" s="1980">
        <v>0</v>
      </c>
      <c r="U713" s="2036">
        <v>0</v>
      </c>
    </row>
    <row r="714" spans="2:21" ht="12" hidden="1" customHeight="1" outlineLevel="2">
      <c r="B714" s="2349">
        <v>8</v>
      </c>
      <c r="C714" s="1050" t="str">
        <f t="shared" si="74"/>
        <v>Biodiesel - mix-moyen (changement d'affectation des sols scénario maximum), France continentale, Base Carbone</v>
      </c>
      <c r="D714" s="1051">
        <f t="shared" si="75"/>
        <v>2</v>
      </c>
      <c r="E714" s="1051" t="str">
        <f>IF(COUNTIF(E$706:E713,F714)&gt;0,"",F714)</f>
        <v/>
      </c>
      <c r="F714" s="1051" t="str">
        <f t="shared" si="76"/>
        <v>Biodiesel - filière EMGA - sans changement d'affectation des sols, France continentale, Base Carbone</v>
      </c>
      <c r="G714" s="1055" t="str">
        <f t="shared" si="77"/>
        <v>Biodiesel - filière EMGA - sans changement d'affectation des sols, France continentale, Base Carbone; kgCO2e/litre, Amont</v>
      </c>
      <c r="I714" s="1031" t="s">
        <v>4735</v>
      </c>
      <c r="J714" s="2219" t="s">
        <v>1574</v>
      </c>
      <c r="K714" s="1119" t="s">
        <v>1567</v>
      </c>
      <c r="L714" s="1119" t="s">
        <v>1571</v>
      </c>
      <c r="M714" s="1033">
        <v>0.2</v>
      </c>
      <c r="N714" s="1119" t="s">
        <v>1570</v>
      </c>
      <c r="O714" s="1036">
        <v>0.27800000000000002</v>
      </c>
      <c r="P714" s="1036">
        <v>0.27800000000000002</v>
      </c>
      <c r="Q714" s="1980">
        <v>0</v>
      </c>
      <c r="R714" s="1980">
        <v>0</v>
      </c>
      <c r="S714" s="1980">
        <v>0</v>
      </c>
      <c r="T714" s="1980">
        <v>0</v>
      </c>
      <c r="U714" s="2036">
        <v>0</v>
      </c>
    </row>
    <row r="715" spans="2:21" ht="12" hidden="1" customHeight="1" outlineLevel="2">
      <c r="B715" s="2349">
        <v>9</v>
      </c>
      <c r="C715" s="1050" t="str">
        <f t="shared" si="74"/>
        <v>Biodiesel - mix moyen (changement d'affectation des sols scénario maximum), France continentale, Base Carbone</v>
      </c>
      <c r="D715" s="1051">
        <f t="shared" si="75"/>
        <v>3</v>
      </c>
      <c r="E715" s="1051" t="str">
        <f>IF(COUNTIF(E$706:E714,F715)&gt;0,"",F715)</f>
        <v>Biodiesel - filière EMHAU - sans changement d'affectation des sols, France continentale, Base Carbone</v>
      </c>
      <c r="F715" s="1051" t="str">
        <f t="shared" si="76"/>
        <v>Biodiesel - filière EMHAU - sans changement d'affectation des sols, France continentale, Base Carbone</v>
      </c>
      <c r="G715" s="1055" t="str">
        <f t="shared" si="77"/>
        <v>Biodiesel - filière EMHAU - sans changement d'affectation des sols, France continentale, Base Carbone; kgCO2e/MJ PCI, Amont</v>
      </c>
      <c r="I715" s="1031" t="s">
        <v>4736</v>
      </c>
      <c r="J715" s="2219" t="s">
        <v>1661</v>
      </c>
      <c r="K715" s="1119" t="s">
        <v>1567</v>
      </c>
      <c r="L715" s="1119" t="s">
        <v>1571</v>
      </c>
      <c r="M715" s="1033">
        <v>0.2</v>
      </c>
      <c r="N715" s="1119" t="s">
        <v>1570</v>
      </c>
      <c r="O715" s="1036">
        <v>8.6999999999999994E-3</v>
      </c>
      <c r="P715" s="1036">
        <v>8.6999999999999994E-3</v>
      </c>
      <c r="Q715" s="1980">
        <v>0</v>
      </c>
      <c r="R715" s="1980">
        <v>0</v>
      </c>
      <c r="S715" s="1980">
        <v>0</v>
      </c>
      <c r="T715" s="1980">
        <v>0</v>
      </c>
      <c r="U715" s="2036">
        <v>0</v>
      </c>
    </row>
    <row r="716" spans="2:21" ht="12" hidden="1" customHeight="1" outlineLevel="2">
      <c r="B716" s="2349">
        <v>10</v>
      </c>
      <c r="C716" s="1050" t="str">
        <f t="shared" si="74"/>
        <v>Biodiesel - mix moyen (changement d'affectation des sols scénario optimiste), France continentale, Base Carbone</v>
      </c>
      <c r="D716" s="1051">
        <f t="shared" si="75"/>
        <v>3</v>
      </c>
      <c r="E716" s="1051" t="str">
        <f>IF(COUNTIF(E$706:E715,F716)&gt;0,"",F716)</f>
        <v/>
      </c>
      <c r="F716" s="1051" t="str">
        <f t="shared" si="76"/>
        <v>Biodiesel - filière EMHAU - sans changement d'affectation des sols, France continentale, Base Carbone</v>
      </c>
      <c r="G716" s="1055" t="str">
        <f t="shared" si="77"/>
        <v>Biodiesel - filière EMHAU - sans changement d'affectation des sols, France continentale, Base Carbone; kgCO2e/kWh PCI, Amont</v>
      </c>
      <c r="I716" s="1031" t="s">
        <v>4736</v>
      </c>
      <c r="J716" s="2219" t="s">
        <v>1573</v>
      </c>
      <c r="K716" s="1119" t="s">
        <v>1567</v>
      </c>
      <c r="L716" s="1119" t="s">
        <v>1571</v>
      </c>
      <c r="M716" s="1033">
        <v>0.2</v>
      </c>
      <c r="N716" s="1119" t="s">
        <v>1570</v>
      </c>
      <c r="O716" s="1036">
        <v>3.1300000000000001E-2</v>
      </c>
      <c r="P716" s="1036">
        <v>3.1300000000000001E-2</v>
      </c>
      <c r="Q716" s="1980">
        <v>0</v>
      </c>
      <c r="R716" s="1980">
        <v>0</v>
      </c>
      <c r="S716" s="1980">
        <v>0</v>
      </c>
      <c r="T716" s="1980">
        <v>0</v>
      </c>
      <c r="U716" s="2036">
        <v>0</v>
      </c>
    </row>
    <row r="717" spans="2:21" ht="12" hidden="1" customHeight="1" outlineLevel="2">
      <c r="B717" s="2349">
        <v>11</v>
      </c>
      <c r="C717" s="1050" t="str">
        <f t="shared" si="74"/>
        <v>Biodiesel - mix moyen (sans changement d'affectation des sols), France continentale, Base Carbone</v>
      </c>
      <c r="D717" s="1051">
        <f t="shared" si="75"/>
        <v>3</v>
      </c>
      <c r="E717" s="1051" t="str">
        <f>IF(COUNTIF(E$706:E716,F717)&gt;0,"",F717)</f>
        <v/>
      </c>
      <c r="F717" s="1051" t="str">
        <f t="shared" si="76"/>
        <v>Biodiesel - filière EMHAU - sans changement d'affectation des sols, France continentale, Base Carbone</v>
      </c>
      <c r="G717" s="1055" t="str">
        <f t="shared" si="77"/>
        <v>Biodiesel - filière EMHAU - sans changement d'affectation des sols, France continentale, Base Carbone; kgCO2e/tep PCI, Amont</v>
      </c>
      <c r="I717" s="1031" t="s">
        <v>4736</v>
      </c>
      <c r="J717" s="2219" t="s">
        <v>1575</v>
      </c>
      <c r="K717" s="1119" t="s">
        <v>1567</v>
      </c>
      <c r="L717" s="1119" t="s">
        <v>1571</v>
      </c>
      <c r="M717" s="1033">
        <v>0.2</v>
      </c>
      <c r="N717" s="1119" t="s">
        <v>1570</v>
      </c>
      <c r="O717" s="1036">
        <v>365</v>
      </c>
      <c r="P717" s="1036">
        <v>365</v>
      </c>
      <c r="Q717" s="1980">
        <v>0</v>
      </c>
      <c r="R717" s="1980">
        <v>0</v>
      </c>
      <c r="S717" s="1980">
        <v>0</v>
      </c>
      <c r="T717" s="1980">
        <v>0</v>
      </c>
      <c r="U717" s="2036">
        <v>0</v>
      </c>
    </row>
    <row r="718" spans="2:21" ht="12" hidden="1" customHeight="1" outlineLevel="2">
      <c r="B718" s="2349">
        <v>12</v>
      </c>
      <c r="C718" s="1050" t="str">
        <f t="shared" si="74"/>
        <v>Bioéthanol (changement d'affectation des sols scénario maximum), France continentale, Base Carbone</v>
      </c>
      <c r="D718" s="1051">
        <f t="shared" si="75"/>
        <v>3</v>
      </c>
      <c r="E718" s="1051" t="str">
        <f>IF(COUNTIF(E$706:E717,F718)&gt;0,"",F718)</f>
        <v/>
      </c>
      <c r="F718" s="1051" t="str">
        <f t="shared" si="76"/>
        <v>Biodiesel - filière EMHAU - sans changement d'affectation des sols, France continentale, Base Carbone</v>
      </c>
      <c r="G718" s="1055" t="str">
        <f t="shared" si="77"/>
        <v>Biodiesel - filière EMHAU - sans changement d'affectation des sols, France continentale, Base Carbone; kgCO2e/litre, Amont</v>
      </c>
      <c r="I718" s="1031" t="s">
        <v>4736</v>
      </c>
      <c r="J718" s="2219" t="s">
        <v>1574</v>
      </c>
      <c r="K718" s="1119" t="s">
        <v>1567</v>
      </c>
      <c r="L718" s="1119" t="s">
        <v>1571</v>
      </c>
      <c r="M718" s="1033">
        <v>0.2</v>
      </c>
      <c r="N718" s="1119" t="s">
        <v>1570</v>
      </c>
      <c r="O718" s="1036">
        <v>0.28799999999999998</v>
      </c>
      <c r="P718" s="1036">
        <v>0.28799999999999998</v>
      </c>
      <c r="Q718" s="1980">
        <v>0</v>
      </c>
      <c r="R718" s="1980">
        <v>0</v>
      </c>
      <c r="S718" s="1980">
        <v>0</v>
      </c>
      <c r="T718" s="1980">
        <v>0</v>
      </c>
      <c r="U718" s="2036">
        <v>0</v>
      </c>
    </row>
    <row r="719" spans="2:21" ht="12" hidden="1" customHeight="1" outlineLevel="2">
      <c r="B719" s="2349">
        <v>13</v>
      </c>
      <c r="C719" s="1050" t="str">
        <f t="shared" si="74"/>
        <v>Bioéthanol (changement d'affectation des sols scénario optimiste), France continentale, Base Carbone</v>
      </c>
      <c r="D719" s="1051">
        <f t="shared" si="75"/>
        <v>4</v>
      </c>
      <c r="E719" s="1051" t="str">
        <f>IF(COUNTIF(E$706:E718,F719)&gt;0,"",F719)</f>
        <v>Biodiesel - filière HVP - sans changement d'affectation des sols, France continentale, Base Carbone</v>
      </c>
      <c r="F719" s="1051" t="str">
        <f t="shared" si="76"/>
        <v>Biodiesel - filière HVP - sans changement d'affectation des sols, France continentale, Base Carbone</v>
      </c>
      <c r="G719" s="1055" t="str">
        <f t="shared" si="77"/>
        <v>Biodiesel - filière HVP - sans changement d'affectation des sols, France continentale, Base Carbone; kgCO2e/MJ PCI, Amont</v>
      </c>
      <c r="I719" s="1031" t="s">
        <v>4737</v>
      </c>
      <c r="J719" s="2219" t="s">
        <v>1661</v>
      </c>
      <c r="K719" s="1119" t="s">
        <v>1567</v>
      </c>
      <c r="L719" s="1119" t="s">
        <v>1571</v>
      </c>
      <c r="M719" s="1033">
        <v>0.2</v>
      </c>
      <c r="N719" s="1119" t="s">
        <v>1570</v>
      </c>
      <c r="O719" s="1036">
        <v>3.1800000000000002E-2</v>
      </c>
      <c r="P719" s="1036">
        <v>3.1800000000000002E-2</v>
      </c>
      <c r="Q719" s="1980">
        <v>0</v>
      </c>
      <c r="R719" s="1980">
        <v>0</v>
      </c>
      <c r="S719" s="1980">
        <v>0</v>
      </c>
      <c r="T719" s="1980">
        <v>0</v>
      </c>
      <c r="U719" s="2036">
        <v>0</v>
      </c>
    </row>
    <row r="720" spans="2:21" ht="12" hidden="1" customHeight="1" outlineLevel="2">
      <c r="B720" s="2349">
        <v>14</v>
      </c>
      <c r="C720" s="1050" t="str">
        <f t="shared" si="74"/>
        <v>Bioéthanol (sans changement d'affectation des sols), France continentale, Base Carbone</v>
      </c>
      <c r="D720" s="1051">
        <f t="shared" si="75"/>
        <v>4</v>
      </c>
      <c r="E720" s="1051" t="str">
        <f>IF(COUNTIF(E$706:E719,F720)&gt;0,"",F720)</f>
        <v/>
      </c>
      <c r="F720" s="1051" t="str">
        <f t="shared" si="76"/>
        <v>Biodiesel - filière HVP - sans changement d'affectation des sols, France continentale, Base Carbone</v>
      </c>
      <c r="G720" s="1055" t="str">
        <f t="shared" si="77"/>
        <v>Biodiesel - filière HVP - sans changement d'affectation des sols, France continentale, Base Carbone; kgCO2e/kWh PCI, Amont</v>
      </c>
      <c r="I720" s="1031" t="s">
        <v>4737</v>
      </c>
      <c r="J720" s="2219" t="s">
        <v>1573</v>
      </c>
      <c r="K720" s="1119" t="s">
        <v>1567</v>
      </c>
      <c r="L720" s="1119" t="s">
        <v>1571</v>
      </c>
      <c r="M720" s="1033">
        <v>0.2</v>
      </c>
      <c r="N720" s="1119" t="s">
        <v>1570</v>
      </c>
      <c r="O720" s="1036">
        <v>0.114</v>
      </c>
      <c r="P720" s="1036">
        <v>0.114</v>
      </c>
      <c r="Q720" s="1980">
        <v>0</v>
      </c>
      <c r="R720" s="1980">
        <v>0</v>
      </c>
      <c r="S720" s="1980">
        <v>0</v>
      </c>
      <c r="T720" s="1980">
        <v>0</v>
      </c>
      <c r="U720" s="2036">
        <v>0</v>
      </c>
    </row>
    <row r="721" spans="2:21" ht="12" hidden="1" customHeight="1" outlineLevel="2">
      <c r="B721" s="2349">
        <v>15</v>
      </c>
      <c r="C721" s="1050" t="str">
        <f t="shared" si="74"/>
        <v>Biométhane (issu de la filière STEU, injecté dans les réseau), France continentale, Base Carbone</v>
      </c>
      <c r="D721" s="1051">
        <f t="shared" si="75"/>
        <v>4</v>
      </c>
      <c r="E721" s="1051" t="str">
        <f>IF(COUNTIF(E$706:E720,F721)&gt;0,"",F721)</f>
        <v/>
      </c>
      <c r="F721" s="1051" t="str">
        <f t="shared" si="76"/>
        <v>Biodiesel - filière HVP - sans changement d'affectation des sols, France continentale, Base Carbone</v>
      </c>
      <c r="G721" s="1055" t="str">
        <f t="shared" si="77"/>
        <v>Biodiesel - filière HVP - sans changement d'affectation des sols, France continentale, Base Carbone; kgCO2e/tep PCI, Amont</v>
      </c>
      <c r="I721" s="1031" t="s">
        <v>4737</v>
      </c>
      <c r="J721" s="2219" t="s">
        <v>1575</v>
      </c>
      <c r="K721" s="1119" t="s">
        <v>1567</v>
      </c>
      <c r="L721" s="1119" t="s">
        <v>1571</v>
      </c>
      <c r="M721" s="1033">
        <v>0.2</v>
      </c>
      <c r="N721" s="1119" t="s">
        <v>1570</v>
      </c>
      <c r="O721" s="1036">
        <v>1336</v>
      </c>
      <c r="P721" s="1036">
        <v>1336</v>
      </c>
      <c r="Q721" s="1980">
        <v>0</v>
      </c>
      <c r="R721" s="1980">
        <v>0</v>
      </c>
      <c r="S721" s="1980">
        <v>0</v>
      </c>
      <c r="T721" s="1980">
        <v>0</v>
      </c>
      <c r="U721" s="2036">
        <v>0</v>
      </c>
    </row>
    <row r="722" spans="2:21" ht="12" hidden="1" customHeight="1" outlineLevel="2">
      <c r="B722" s="2349">
        <v>16</v>
      </c>
      <c r="C722" s="1050" t="str">
        <f t="shared" si="74"/>
        <v>Biométhane - injecté dans les réseau - mix moyen, France continentale, Base Carbone</v>
      </c>
      <c r="D722" s="1051">
        <f t="shared" si="75"/>
        <v>4</v>
      </c>
      <c r="E722" s="1051" t="str">
        <f>IF(COUNTIF(E$706:E721,F722)&gt;0,"",F722)</f>
        <v/>
      </c>
      <c r="F722" s="1051" t="str">
        <f t="shared" si="76"/>
        <v>Biodiesel - filière HVP - sans changement d'affectation des sols, France continentale, Base Carbone</v>
      </c>
      <c r="G722" s="1055" t="str">
        <f t="shared" si="77"/>
        <v>Biodiesel - filière HVP - sans changement d'affectation des sols, France continentale, Base Carbone; kgCO2e/litre, Amont</v>
      </c>
      <c r="I722" s="1031" t="s">
        <v>4737</v>
      </c>
      <c r="J722" s="2219" t="s">
        <v>1574</v>
      </c>
      <c r="K722" s="1119" t="s">
        <v>1567</v>
      </c>
      <c r="L722" s="1119" t="s">
        <v>1571</v>
      </c>
      <c r="M722" s="1033">
        <v>0.2</v>
      </c>
      <c r="N722" s="1119" t="s">
        <v>1570</v>
      </c>
      <c r="O722" s="1036">
        <v>1.05</v>
      </c>
      <c r="P722" s="1036">
        <v>1.05</v>
      </c>
      <c r="Q722" s="1980">
        <v>0</v>
      </c>
      <c r="R722" s="1980">
        <v>0</v>
      </c>
      <c r="S722" s="1980">
        <v>0</v>
      </c>
      <c r="T722" s="1980">
        <v>0</v>
      </c>
      <c r="U722" s="2036">
        <v>0</v>
      </c>
    </row>
    <row r="723" spans="2:21" ht="12" hidden="1" customHeight="1" outlineLevel="2">
      <c r="B723" s="2349">
        <v>17</v>
      </c>
      <c r="C723" s="1050" t="str">
        <f t="shared" si="74"/>
        <v>Biopropane à base d'huile de colza, France continentale, Base Carbone</v>
      </c>
      <c r="D723" s="1051">
        <f t="shared" si="75"/>
        <v>5</v>
      </c>
      <c r="E723" s="1051" t="str">
        <f>IF(COUNTIF(E$706:E722,F723)&gt;0,"",F723)</f>
        <v>Biodiesel - filière palme - sans changement d'affectation des sols, France continentale, Base Carbone</v>
      </c>
      <c r="F723" s="1051" t="str">
        <f t="shared" si="76"/>
        <v>Biodiesel - filière palme - sans changement d'affectation des sols, France continentale, Base Carbone</v>
      </c>
      <c r="G723" s="1055" t="str">
        <f t="shared" si="77"/>
        <v>Biodiesel - filière palme - sans changement d'affectation des sols, France continentale, Base Carbone; kgCO2e/MJ PCI, Amont</v>
      </c>
      <c r="I723" s="1031" t="s">
        <v>4738</v>
      </c>
      <c r="J723" s="2219" t="s">
        <v>1661</v>
      </c>
      <c r="K723" s="1119" t="s">
        <v>1567</v>
      </c>
      <c r="L723" s="1119" t="s">
        <v>1571</v>
      </c>
      <c r="M723" s="1033">
        <v>0.2</v>
      </c>
      <c r="N723" s="1119" t="s">
        <v>1570</v>
      </c>
      <c r="O723" s="1036">
        <v>2.18E-2</v>
      </c>
      <c r="P723" s="1036">
        <v>2.18E-2</v>
      </c>
      <c r="Q723" s="1980">
        <v>0</v>
      </c>
      <c r="R723" s="1980">
        <v>0</v>
      </c>
      <c r="S723" s="1980">
        <v>0</v>
      </c>
      <c r="T723" s="1980">
        <v>0</v>
      </c>
      <c r="U723" s="2036">
        <v>0</v>
      </c>
    </row>
    <row r="724" spans="2:21" ht="12" hidden="1" customHeight="1" outlineLevel="2">
      <c r="B724" s="2349">
        <v>18</v>
      </c>
      <c r="C724" s="1050" t="str">
        <f t="shared" si="74"/>
        <v>Biopropane à base d'huile de palme (avec capture de méthane), France continentale, Base Carbone</v>
      </c>
      <c r="D724" s="1051">
        <f t="shared" si="75"/>
        <v>5</v>
      </c>
      <c r="E724" s="1051" t="str">
        <f>IF(COUNTIF(E$706:E723,F724)&gt;0,"",F724)</f>
        <v/>
      </c>
      <c r="F724" s="1051" t="str">
        <f t="shared" si="76"/>
        <v>Biodiesel - filière palme - sans changement d'affectation des sols, France continentale, Base Carbone</v>
      </c>
      <c r="G724" s="1055" t="str">
        <f t="shared" si="77"/>
        <v>Biodiesel - filière palme - sans changement d'affectation des sols, France continentale, Base Carbone; kgCO2e/kWh PCI, Amont</v>
      </c>
      <c r="I724" s="1031" t="s">
        <v>4738</v>
      </c>
      <c r="J724" s="2219" t="s">
        <v>1573</v>
      </c>
      <c r="K724" s="1119" t="s">
        <v>1567</v>
      </c>
      <c r="L724" s="1119" t="s">
        <v>1571</v>
      </c>
      <c r="M724" s="1033">
        <v>0.2</v>
      </c>
      <c r="N724" s="1119" t="s">
        <v>1570</v>
      </c>
      <c r="O724" s="1036">
        <v>7.85E-2</v>
      </c>
      <c r="P724" s="1036">
        <v>7.85E-2</v>
      </c>
      <c r="Q724" s="1980">
        <v>0</v>
      </c>
      <c r="R724" s="1980">
        <v>0</v>
      </c>
      <c r="S724" s="1980">
        <v>0</v>
      </c>
      <c r="T724" s="1980">
        <v>0</v>
      </c>
      <c r="U724" s="2036">
        <v>0</v>
      </c>
    </row>
    <row r="725" spans="2:21" ht="12" hidden="1" customHeight="1" outlineLevel="2">
      <c r="B725" s="2349">
        <v>19</v>
      </c>
      <c r="C725" s="1050" t="str">
        <f t="shared" si="74"/>
        <v>Biopropane à base d'huile de palme (sans capture de méthane), France continentale, Base Carbone</v>
      </c>
      <c r="D725" s="1051">
        <f t="shared" si="75"/>
        <v>5</v>
      </c>
      <c r="E725" s="1051" t="str">
        <f>IF(COUNTIF(E$706:E724,F725)&gt;0,"",F725)</f>
        <v/>
      </c>
      <c r="F725" s="1051" t="str">
        <f t="shared" si="76"/>
        <v>Biodiesel - filière palme - sans changement d'affectation des sols, France continentale, Base Carbone</v>
      </c>
      <c r="G725" s="1055" t="str">
        <f t="shared" si="77"/>
        <v>Biodiesel - filière palme - sans changement d'affectation des sols, France continentale, Base Carbone; kgCO2e/tep PCI, Amont</v>
      </c>
      <c r="I725" s="1031" t="s">
        <v>4738</v>
      </c>
      <c r="J725" s="2219" t="s">
        <v>1575</v>
      </c>
      <c r="K725" s="1119" t="s">
        <v>1567</v>
      </c>
      <c r="L725" s="1119" t="s">
        <v>1571</v>
      </c>
      <c r="M725" s="1033">
        <v>0.2</v>
      </c>
      <c r="N725" s="1119" t="s">
        <v>1570</v>
      </c>
      <c r="O725" s="1036">
        <v>916</v>
      </c>
      <c r="P725" s="1036">
        <v>916</v>
      </c>
      <c r="Q725" s="1980">
        <v>0</v>
      </c>
      <c r="R725" s="1980">
        <v>0</v>
      </c>
      <c r="S725" s="1980">
        <v>0</v>
      </c>
      <c r="T725" s="1980">
        <v>0</v>
      </c>
      <c r="U725" s="2036">
        <v>0</v>
      </c>
    </row>
    <row r="726" spans="2:21" ht="12" hidden="1" customHeight="1" outlineLevel="2">
      <c r="B726" s="2349">
        <v>20</v>
      </c>
      <c r="C726" s="1050" t="str">
        <f t="shared" si="74"/>
        <v>Biopropane à base d'huile de tournesol, France continentale, Base Carbone</v>
      </c>
      <c r="D726" s="1051">
        <f t="shared" si="75"/>
        <v>5</v>
      </c>
      <c r="E726" s="1051" t="str">
        <f>IF(COUNTIF(E$706:E725,F726)&gt;0,"",F726)</f>
        <v/>
      </c>
      <c r="F726" s="1051" t="str">
        <f t="shared" si="76"/>
        <v>Biodiesel - filière palme - sans changement d'affectation des sols, France continentale, Base Carbone</v>
      </c>
      <c r="G726" s="1055" t="str">
        <f t="shared" si="77"/>
        <v>Biodiesel - filière palme - sans changement d'affectation des sols, France continentale, Base Carbone; kgCO2e/litre, Amont</v>
      </c>
      <c r="I726" s="1031" t="s">
        <v>4738</v>
      </c>
      <c r="J726" s="2219" t="s">
        <v>1574</v>
      </c>
      <c r="K726" s="1119" t="s">
        <v>1567</v>
      </c>
      <c r="L726" s="1119" t="s">
        <v>1571</v>
      </c>
      <c r="M726" s="1033">
        <v>0.2</v>
      </c>
      <c r="N726" s="1119" t="s">
        <v>1570</v>
      </c>
      <c r="O726" s="1036">
        <v>0.72199999999999998</v>
      </c>
      <c r="P726" s="1036">
        <v>0.72199999999999998</v>
      </c>
      <c r="Q726" s="1980">
        <v>0</v>
      </c>
      <c r="R726" s="1980">
        <v>0</v>
      </c>
      <c r="S726" s="1980">
        <v>0</v>
      </c>
      <c r="T726" s="1980">
        <v>0</v>
      </c>
      <c r="U726" s="2036">
        <v>0</v>
      </c>
    </row>
    <row r="727" spans="2:21" ht="12" hidden="1" customHeight="1" outlineLevel="2">
      <c r="B727" s="2349">
        <v>21</v>
      </c>
      <c r="C727" s="1050" t="str">
        <f t="shared" si="74"/>
        <v>Biopropane à base d'huile de cuisson, France continentale, Base Carbone</v>
      </c>
      <c r="D727" s="1051">
        <f t="shared" si="75"/>
        <v>6</v>
      </c>
      <c r="E727" s="1051" t="str">
        <f>IF(COUNTIF(E$706:E726,F727)&gt;0,"",F727)</f>
        <v>Biodiesel - filière soja - sans changement d'affectation des sols, France continentale, Base Carbone</v>
      </c>
      <c r="F727" s="1051" t="str">
        <f t="shared" si="76"/>
        <v>Biodiesel - filière soja - sans changement d'affectation des sols, France continentale, Base Carbone</v>
      </c>
      <c r="G727" s="1055" t="str">
        <f t="shared" si="77"/>
        <v>Biodiesel - filière soja - sans changement d'affectation des sols, France continentale, Base Carbone; kgCO2e/MJ PCI, Amont</v>
      </c>
      <c r="I727" s="1031" t="s">
        <v>4739</v>
      </c>
      <c r="J727" s="2342" t="s">
        <v>1661</v>
      </c>
      <c r="K727" s="1119" t="s">
        <v>1567</v>
      </c>
      <c r="L727" s="1119" t="s">
        <v>1571</v>
      </c>
      <c r="M727" s="1033">
        <v>0.2</v>
      </c>
      <c r="N727" s="1119" t="s">
        <v>1570</v>
      </c>
      <c r="O727" s="1036">
        <v>2.2100000000000002E-2</v>
      </c>
      <c r="P727" s="1036">
        <v>2.2100000000000002E-2</v>
      </c>
      <c r="Q727" s="1980">
        <v>0</v>
      </c>
      <c r="R727" s="1980">
        <v>0</v>
      </c>
      <c r="S727" s="1980">
        <v>0</v>
      </c>
      <c r="T727" s="1980">
        <v>0</v>
      </c>
      <c r="U727" s="2036">
        <v>0</v>
      </c>
    </row>
    <row r="728" spans="2:21" ht="12" hidden="1" customHeight="1" outlineLevel="2">
      <c r="B728" s="2349">
        <v>22</v>
      </c>
      <c r="C728" s="1050" t="str">
        <f t="shared" si="74"/>
        <v>Biopropane à base de distillat d'acides gras d'huile de palme comme résidu, France continentale, Base Carbone</v>
      </c>
      <c r="D728" s="1051">
        <f t="shared" si="75"/>
        <v>6</v>
      </c>
      <c r="E728" s="1051" t="str">
        <f>IF(COUNTIF(E$706:E727,F728)&gt;0,"",F728)</f>
        <v/>
      </c>
      <c r="F728" s="1051" t="str">
        <f t="shared" si="76"/>
        <v>Biodiesel - filière soja - sans changement d'affectation des sols, France continentale, Base Carbone</v>
      </c>
      <c r="G728" s="1055" t="str">
        <f t="shared" si="77"/>
        <v>Biodiesel - filière soja - sans changement d'affectation des sols, France continentale, Base Carbone; kgCO2e/kWh PCI, Amont</v>
      </c>
      <c r="I728" s="1031" t="s">
        <v>4739</v>
      </c>
      <c r="J728" s="2342" t="s">
        <v>1573</v>
      </c>
      <c r="K728" s="1119" t="s">
        <v>1567</v>
      </c>
      <c r="L728" s="1119" t="s">
        <v>1571</v>
      </c>
      <c r="M728" s="1033">
        <v>0.2</v>
      </c>
      <c r="N728" s="1119" t="s">
        <v>1570</v>
      </c>
      <c r="O728" s="1036">
        <v>7.9600000000000004E-2</v>
      </c>
      <c r="P728" s="1036">
        <v>7.9600000000000004E-2</v>
      </c>
      <c r="Q728" s="1980">
        <v>0</v>
      </c>
      <c r="R728" s="1980">
        <v>0</v>
      </c>
      <c r="S728" s="1980">
        <v>0</v>
      </c>
      <c r="T728" s="1980">
        <v>0</v>
      </c>
      <c r="U728" s="2036">
        <v>0</v>
      </c>
    </row>
    <row r="729" spans="2:21" ht="12" hidden="1" customHeight="1" outlineLevel="2">
      <c r="B729" s="2349">
        <v>23</v>
      </c>
      <c r="C729" s="1050" t="str">
        <f t="shared" si="74"/>
        <v>Biopropane à base de graisses animales, France continentale, Base Carbone</v>
      </c>
      <c r="D729" s="1051">
        <f t="shared" si="75"/>
        <v>6</v>
      </c>
      <c r="E729" s="1051" t="str">
        <f>IF(COUNTIF(E$706:E728,F729)&gt;0,"",F729)</f>
        <v/>
      </c>
      <c r="F729" s="1051" t="str">
        <f t="shared" si="76"/>
        <v>Biodiesel - filière soja - sans changement d'affectation des sols, France continentale, Base Carbone</v>
      </c>
      <c r="G729" s="1055" t="str">
        <f t="shared" si="77"/>
        <v>Biodiesel - filière soja - sans changement d'affectation des sols, France continentale, Base Carbone; kgCO2e/tep PCI, Amont</v>
      </c>
      <c r="I729" s="1031" t="s">
        <v>4739</v>
      </c>
      <c r="J729" s="2342" t="s">
        <v>1575</v>
      </c>
      <c r="K729" s="1119" t="s">
        <v>1567</v>
      </c>
      <c r="L729" s="1119" t="s">
        <v>1571</v>
      </c>
      <c r="M729" s="1033">
        <v>0.2</v>
      </c>
      <c r="N729" s="1119" t="s">
        <v>1570</v>
      </c>
      <c r="O729" s="1036">
        <v>928</v>
      </c>
      <c r="P729" s="1036">
        <v>928</v>
      </c>
      <c r="Q729" s="1980">
        <v>0</v>
      </c>
      <c r="R729" s="1980">
        <v>0</v>
      </c>
      <c r="S729" s="1980">
        <v>0</v>
      </c>
      <c r="T729" s="1980">
        <v>0</v>
      </c>
      <c r="U729" s="2036">
        <v>0</v>
      </c>
    </row>
    <row r="730" spans="2:21" ht="12" hidden="1" customHeight="1" outlineLevel="2">
      <c r="B730" s="2349">
        <v>24</v>
      </c>
      <c r="C730" s="1050" t="str">
        <f t="shared" si="74"/>
        <v>Biopropane mix annuel - 2020, France continentale, Base Carbone</v>
      </c>
      <c r="D730" s="1051">
        <f t="shared" si="75"/>
        <v>6</v>
      </c>
      <c r="E730" s="1051" t="str">
        <f>IF(COUNTIF(E$706:E729,F730)&gt;0,"",F730)</f>
        <v/>
      </c>
      <c r="F730" s="1051" t="str">
        <f t="shared" si="76"/>
        <v>Biodiesel - filière soja - sans changement d'affectation des sols, France continentale, Base Carbone</v>
      </c>
      <c r="G730" s="1055" t="str">
        <f t="shared" si="77"/>
        <v>Biodiesel - filière soja - sans changement d'affectation des sols, France continentale, Base Carbone; kgCO2e/litre, Amont</v>
      </c>
      <c r="I730" s="1031" t="s">
        <v>4739</v>
      </c>
      <c r="J730" s="2342" t="s">
        <v>1574</v>
      </c>
      <c r="K730" s="1119" t="s">
        <v>1567</v>
      </c>
      <c r="L730" s="1119" t="s">
        <v>1571</v>
      </c>
      <c r="M730" s="1033">
        <v>0.2</v>
      </c>
      <c r="N730" s="1119" t="s">
        <v>1570</v>
      </c>
      <c r="O730" s="1036">
        <v>0.73199999999999998</v>
      </c>
      <c r="P730" s="1036">
        <v>0.73199999999999998</v>
      </c>
      <c r="Q730" s="1980">
        <v>0</v>
      </c>
      <c r="R730" s="1980">
        <v>0</v>
      </c>
      <c r="S730" s="1980">
        <v>0</v>
      </c>
      <c r="T730" s="1980">
        <v>0</v>
      </c>
      <c r="U730" s="2036">
        <v>0</v>
      </c>
    </row>
    <row r="731" spans="2:21" ht="12" hidden="1" customHeight="1" outlineLevel="2">
      <c r="B731" s="2349">
        <v>25</v>
      </c>
      <c r="C731" s="1050" t="str">
        <f t="shared" si="74"/>
        <v>BioGNC - biométhane comprimé pour véhicule routier - mix moyen, France continentale, Base Carbone</v>
      </c>
      <c r="D731" s="1051">
        <f t="shared" si="75"/>
        <v>7</v>
      </c>
      <c r="E731" s="1051" t="str">
        <f>IF(COUNTIF(E$706:E730,F731)&gt;0,"",F731)</f>
        <v>Biodiesel - filière tournesol - sans changement d'affectation des sols, France continentale, Base Carbone</v>
      </c>
      <c r="F731" s="1051" t="str">
        <f t="shared" si="76"/>
        <v>Biodiesel - filière tournesol - sans changement d'affectation des sols, France continentale, Base Carbone</v>
      </c>
      <c r="G731" s="1055" t="str">
        <f t="shared" si="77"/>
        <v>Biodiesel - filière tournesol - sans changement d'affectation des sols, France continentale, Base Carbone; kgCO2e/MJ PCI, Amont</v>
      </c>
      <c r="I731" s="1031" t="s">
        <v>4740</v>
      </c>
      <c r="J731" s="2342" t="s">
        <v>1661</v>
      </c>
      <c r="K731" s="1119" t="s">
        <v>1567</v>
      </c>
      <c r="L731" s="1119" t="s">
        <v>1571</v>
      </c>
      <c r="M731" s="1033">
        <v>0.2</v>
      </c>
      <c r="N731" s="1119" t="s">
        <v>1570</v>
      </c>
      <c r="O731" s="1036">
        <v>2.5100000000000001E-2</v>
      </c>
      <c r="P731" s="1036">
        <v>2.5100000000000001E-2</v>
      </c>
      <c r="Q731" s="1980">
        <v>0</v>
      </c>
      <c r="R731" s="1980">
        <v>0</v>
      </c>
      <c r="S731" s="1980">
        <v>0</v>
      </c>
      <c r="T731" s="1980">
        <v>0</v>
      </c>
      <c r="U731" s="2036">
        <v>0</v>
      </c>
    </row>
    <row r="732" spans="2:21" ht="12" hidden="1" customHeight="1" outlineLevel="2">
      <c r="B732" s="2349">
        <v>26</v>
      </c>
      <c r="C732" s="1050" t="str">
        <f t="shared" si="74"/>
        <v>-</v>
      </c>
      <c r="D732" s="1051">
        <f t="shared" si="75"/>
        <v>7</v>
      </c>
      <c r="E732" s="1051" t="str">
        <f>IF(COUNTIF(E$706:E731,F732)&gt;0,"",F732)</f>
        <v/>
      </c>
      <c r="F732" s="1051" t="str">
        <f t="shared" si="76"/>
        <v>Biodiesel - filière tournesol - sans changement d'affectation des sols, France continentale, Base Carbone</v>
      </c>
      <c r="G732" s="1055" t="str">
        <f t="shared" si="77"/>
        <v>Biodiesel - filière tournesol - sans changement d'affectation des sols, France continentale, Base Carbone; kgCO2e/kWh PCI, Amont</v>
      </c>
      <c r="I732" s="1031" t="s">
        <v>4740</v>
      </c>
      <c r="J732" s="2342" t="s">
        <v>1573</v>
      </c>
      <c r="K732" s="1119" t="s">
        <v>1567</v>
      </c>
      <c r="L732" s="1119" t="s">
        <v>1571</v>
      </c>
      <c r="M732" s="1033">
        <v>0.2</v>
      </c>
      <c r="N732" s="1119" t="s">
        <v>1570</v>
      </c>
      <c r="O732" s="1036">
        <v>9.0399999999999994E-2</v>
      </c>
      <c r="P732" s="1036">
        <v>9.0399999999999994E-2</v>
      </c>
      <c r="Q732" s="1980">
        <v>0</v>
      </c>
      <c r="R732" s="1980">
        <v>0</v>
      </c>
      <c r="S732" s="1980">
        <v>0</v>
      </c>
      <c r="T732" s="1980">
        <v>0</v>
      </c>
      <c r="U732" s="2036">
        <v>0</v>
      </c>
    </row>
    <row r="733" spans="2:21" ht="12" hidden="1" customHeight="1" outlineLevel="2">
      <c r="B733" s="2349">
        <v>27</v>
      </c>
      <c r="C733" s="1050" t="str">
        <f t="shared" si="74"/>
        <v>-</v>
      </c>
      <c r="D733" s="1051">
        <f t="shared" si="75"/>
        <v>7</v>
      </c>
      <c r="E733" s="1051" t="str">
        <f>IF(COUNTIF(E$706:E732,F733)&gt;0,"",F733)</f>
        <v/>
      </c>
      <c r="F733" s="1051" t="str">
        <f t="shared" si="76"/>
        <v>Biodiesel - filière tournesol - sans changement d'affectation des sols, France continentale, Base Carbone</v>
      </c>
      <c r="G733" s="1055" t="str">
        <f t="shared" si="77"/>
        <v>Biodiesel - filière tournesol - sans changement d'affectation des sols, France continentale, Base Carbone; kgCO2e/tep PCI, Amont</v>
      </c>
      <c r="I733" s="1031" t="s">
        <v>4740</v>
      </c>
      <c r="J733" s="2342" t="s">
        <v>1575</v>
      </c>
      <c r="K733" s="1119" t="s">
        <v>1567</v>
      </c>
      <c r="L733" s="1119" t="s">
        <v>1571</v>
      </c>
      <c r="M733" s="1033">
        <v>0.2</v>
      </c>
      <c r="N733" s="1119" t="s">
        <v>1570</v>
      </c>
      <c r="O733" s="1036">
        <v>1054</v>
      </c>
      <c r="P733" s="1036">
        <v>1054</v>
      </c>
      <c r="Q733" s="1980">
        <v>0</v>
      </c>
      <c r="R733" s="1980">
        <v>0</v>
      </c>
      <c r="S733" s="1980">
        <v>0</v>
      </c>
      <c r="T733" s="1980">
        <v>0</v>
      </c>
      <c r="U733" s="2036">
        <v>0</v>
      </c>
    </row>
    <row r="734" spans="2:21" ht="12" hidden="1" customHeight="1" outlineLevel="2">
      <c r="B734" s="2349">
        <v>28</v>
      </c>
      <c r="C734" s="1050" t="str">
        <f t="shared" si="74"/>
        <v>-</v>
      </c>
      <c r="D734" s="1051">
        <f t="shared" si="75"/>
        <v>7</v>
      </c>
      <c r="E734" s="1051" t="str">
        <f>IF(COUNTIF(E$706:E733,F734)&gt;0,"",F734)</f>
        <v/>
      </c>
      <c r="F734" s="1051" t="str">
        <f t="shared" si="76"/>
        <v>Biodiesel - filière tournesol - sans changement d'affectation des sols, France continentale, Base Carbone</v>
      </c>
      <c r="G734" s="1055" t="str">
        <f t="shared" si="77"/>
        <v>Biodiesel - filière tournesol - sans changement d'affectation des sols, France continentale, Base Carbone; kgCO2e/litre, Amont</v>
      </c>
      <c r="I734" s="1031" t="s">
        <v>4740</v>
      </c>
      <c r="J734" s="2342" t="s">
        <v>1574</v>
      </c>
      <c r="K734" s="1119" t="s">
        <v>1567</v>
      </c>
      <c r="L734" s="1119" t="s">
        <v>1571</v>
      </c>
      <c r="M734" s="1033">
        <v>0.2</v>
      </c>
      <c r="N734" s="1119" t="s">
        <v>1570</v>
      </c>
      <c r="O734" s="1036">
        <v>0.83099999999999996</v>
      </c>
      <c r="P734" s="1036">
        <v>0.83099999999999996</v>
      </c>
      <c r="Q734" s="1980">
        <v>0</v>
      </c>
      <c r="R734" s="1980">
        <v>0</v>
      </c>
      <c r="S734" s="1980">
        <v>0</v>
      </c>
      <c r="T734" s="1980">
        <v>0</v>
      </c>
      <c r="U734" s="2036">
        <v>0</v>
      </c>
    </row>
    <row r="735" spans="2:21" hidden="1" outlineLevel="2">
      <c r="B735" s="2349">
        <v>29</v>
      </c>
      <c r="C735" s="1050" t="str">
        <f t="shared" si="74"/>
        <v>-</v>
      </c>
      <c r="D735" s="1051">
        <f t="shared" si="75"/>
        <v>7</v>
      </c>
      <c r="E735" s="1051" t="str">
        <f>IF(COUNTIF(E$706:E734,F735)&gt;0,"",F735)</f>
        <v/>
      </c>
      <c r="F735" s="1051" t="str">
        <f t="shared" si="76"/>
        <v/>
      </c>
      <c r="G735" s="1055" t="str">
        <f t="shared" si="77"/>
        <v/>
      </c>
      <c r="I735" s="2018"/>
      <c r="J735" s="2313"/>
      <c r="K735" s="1045"/>
      <c r="L735" s="1045"/>
      <c r="M735" s="1045"/>
      <c r="N735" s="1045"/>
      <c r="O735" s="1045"/>
      <c r="P735" s="1045"/>
      <c r="Q735" s="1045"/>
      <c r="R735" s="2511"/>
      <c r="S735" s="1045"/>
      <c r="T735" s="1045"/>
      <c r="U735" s="2041"/>
    </row>
    <row r="736" spans="2:21" hidden="1" outlineLevel="2">
      <c r="B736" s="2349">
        <v>30</v>
      </c>
      <c r="C736" s="1050" t="str">
        <f t="shared" si="74"/>
        <v>-</v>
      </c>
      <c r="D736" s="1051">
        <f t="shared" si="75"/>
        <v>8</v>
      </c>
      <c r="E736" s="1051" t="str">
        <f>IF(COUNTIF(E$706:E735,F736)&gt;0,"",F736)</f>
        <v>Biodiesel - mix-moyen (changement d'affectation des sols scénario maximum), France continentale, Base Carbone</v>
      </c>
      <c r="F736" s="1051" t="str">
        <f t="shared" si="76"/>
        <v>Biodiesel - mix-moyen (changement d'affectation des sols scénario maximum), France continentale, Base Carbone</v>
      </c>
      <c r="G736" s="1055" t="str">
        <f t="shared" si="77"/>
        <v>Biodiesel - mix-moyen (changement d'affectation des sols scénario maximum), France continentale, Base Carbone; kgCO2e/kWh PCI, Amont</v>
      </c>
      <c r="I736" s="1031" t="s">
        <v>4730</v>
      </c>
      <c r="J736" s="2342" t="s">
        <v>1573</v>
      </c>
      <c r="K736" s="1032" t="s">
        <v>1567</v>
      </c>
      <c r="L736" s="1032" t="s">
        <v>1571</v>
      </c>
      <c r="M736" s="1033">
        <v>0.2</v>
      </c>
      <c r="N736" s="1032" t="s">
        <v>1570</v>
      </c>
      <c r="O736" s="1036">
        <v>0.78</v>
      </c>
      <c r="P736" s="1036">
        <v>0.72699999999999998</v>
      </c>
      <c r="Q736" s="1036">
        <v>3.1900000000000001E-3</v>
      </c>
      <c r="R736" s="1036">
        <v>0</v>
      </c>
      <c r="S736" s="1036">
        <v>4.9799999999999997E-2</v>
      </c>
      <c r="T736" s="1036">
        <v>0</v>
      </c>
      <c r="U736" s="1037">
        <v>-0.252</v>
      </c>
    </row>
    <row r="737" spans="2:21" hidden="1" outlineLevel="2">
      <c r="B737" s="2045"/>
      <c r="C737" s="1045"/>
      <c r="D737" s="1051">
        <f t="shared" si="75"/>
        <v>9</v>
      </c>
      <c r="E737" s="1051" t="str">
        <f>IF(COUNTIF(E$706:E736,F737)&gt;0,"",F737)</f>
        <v>Biodiesel - mix moyen (changement d'affectation des sols scénario maximum), France continentale, Base Carbone</v>
      </c>
      <c r="F737" s="1051" t="str">
        <f t="shared" si="76"/>
        <v>Biodiesel - mix moyen (changement d'affectation des sols scénario maximum), France continentale, Base Carbone</v>
      </c>
      <c r="G737" s="1055" t="str">
        <f t="shared" si="77"/>
        <v>Biodiesel - mix moyen (changement d'affectation des sols scénario maximum), France continentale, Base Carbone; kgCO2e/litre, Amont</v>
      </c>
      <c r="I737" s="1031" t="s">
        <v>4731</v>
      </c>
      <c r="J737" s="2342" t="s">
        <v>1574</v>
      </c>
      <c r="K737" s="1032" t="s">
        <v>1567</v>
      </c>
      <c r="L737" s="1032" t="s">
        <v>1571</v>
      </c>
      <c r="M737" s="1033">
        <v>0.2</v>
      </c>
      <c r="N737" s="1032" t="s">
        <v>1570</v>
      </c>
      <c r="O737" s="1036">
        <v>7.17</v>
      </c>
      <c r="P737" s="1036">
        <v>6.68</v>
      </c>
      <c r="Q737" s="1036">
        <v>2.93E-2</v>
      </c>
      <c r="R737" s="1036">
        <v>0</v>
      </c>
      <c r="S737" s="1036">
        <v>0.45800000000000002</v>
      </c>
      <c r="T737" s="1036">
        <v>0</v>
      </c>
      <c r="U737" s="1037">
        <v>-2.31</v>
      </c>
    </row>
    <row r="738" spans="2:21" hidden="1" outlineLevel="2">
      <c r="B738" s="2045"/>
      <c r="C738" s="1045"/>
      <c r="D738" s="1051">
        <f t="shared" si="75"/>
        <v>9</v>
      </c>
      <c r="E738" s="1051" t="str">
        <f>IF(COUNTIF(E$706:E737,F738)&gt;0,"",F738)</f>
        <v/>
      </c>
      <c r="F738" s="1051" t="str">
        <f t="shared" si="76"/>
        <v>Biodiesel - mix moyen (changement d'affectation des sols scénario maximum), France continentale, Base Carbone</v>
      </c>
      <c r="G738" s="1055" t="str">
        <f t="shared" si="77"/>
        <v>Biodiesel - mix moyen (changement d'affectation des sols scénario maximum), France continentale, Base Carbone; kgCO2e/MJ PCI, Amont</v>
      </c>
      <c r="I738" s="1031" t="s">
        <v>4731</v>
      </c>
      <c r="J738" s="2342" t="s">
        <v>1661</v>
      </c>
      <c r="K738" s="1032" t="s">
        <v>1567</v>
      </c>
      <c r="L738" s="1032" t="s">
        <v>1571</v>
      </c>
      <c r="M738" s="1033">
        <v>0.2</v>
      </c>
      <c r="N738" s="1032" t="s">
        <v>1570</v>
      </c>
      <c r="O738" s="1036">
        <v>0.217</v>
      </c>
      <c r="P738" s="1036">
        <v>0.20200000000000001</v>
      </c>
      <c r="Q738" s="1036">
        <v>8.8500000000000004E-4</v>
      </c>
      <c r="R738" s="1036">
        <v>0</v>
      </c>
      <c r="S738" s="1036">
        <v>1.38E-2</v>
      </c>
      <c r="T738" s="1036">
        <v>0</v>
      </c>
      <c r="U738" s="1037">
        <v>-6.9900000000000004E-2</v>
      </c>
    </row>
    <row r="739" spans="2:21" hidden="1" outlineLevel="2">
      <c r="B739" s="2045"/>
      <c r="C739" s="1045"/>
      <c r="D739" s="1051">
        <f t="shared" si="75"/>
        <v>9</v>
      </c>
      <c r="E739" s="1051" t="str">
        <f>IF(COUNTIF(E$706:E738,F739)&gt;0,"",F739)</f>
        <v/>
      </c>
      <c r="F739" s="1051" t="str">
        <f t="shared" si="76"/>
        <v>Biodiesel - mix moyen (changement d'affectation des sols scénario maximum), France continentale, Base Carbone</v>
      </c>
      <c r="G739" s="1055" t="str">
        <f t="shared" si="77"/>
        <v>Biodiesel - mix moyen (changement d'affectation des sols scénario maximum), France continentale, Base Carbone; kgCO2e/tep PCI, Amont</v>
      </c>
      <c r="I739" s="1031" t="s">
        <v>4731</v>
      </c>
      <c r="J739" s="2342" t="s">
        <v>1575</v>
      </c>
      <c r="K739" s="1032" t="s">
        <v>1567</v>
      </c>
      <c r="L739" s="1032" t="s">
        <v>1571</v>
      </c>
      <c r="M739" s="1033">
        <v>0.2</v>
      </c>
      <c r="N739" s="1032" t="s">
        <v>1570</v>
      </c>
      <c r="O739" s="1036">
        <v>9070</v>
      </c>
      <c r="P739" s="1036">
        <v>8450</v>
      </c>
      <c r="Q739" s="1036">
        <v>37.1</v>
      </c>
      <c r="R739" s="1036">
        <v>0</v>
      </c>
      <c r="S739" s="1036">
        <v>579</v>
      </c>
      <c r="T739" s="1036">
        <v>0</v>
      </c>
      <c r="U739" s="1037">
        <v>-2920</v>
      </c>
    </row>
    <row r="740" spans="2:21" hidden="1" outlineLevel="2">
      <c r="B740" s="2045"/>
      <c r="C740" s="1045"/>
      <c r="D740" s="1051">
        <f t="shared" si="75"/>
        <v>9</v>
      </c>
      <c r="E740" s="1051" t="str">
        <f>IF(COUNTIF(E$706:E739,F740)&gt;0,"",F740)</f>
        <v/>
      </c>
      <c r="F740" s="1051" t="str">
        <f t="shared" si="76"/>
        <v>Biodiesel - mix moyen (changement d'affectation des sols scénario maximum), France continentale, Base Carbone</v>
      </c>
      <c r="G740" s="1055" t="str">
        <f t="shared" si="77"/>
        <v>Biodiesel - mix moyen (changement d'affectation des sols scénario maximum), France continentale, Base Carbone; kgCO2e/tonne, Amont</v>
      </c>
      <c r="I740" s="1031" t="s">
        <v>4731</v>
      </c>
      <c r="J740" s="2342" t="s">
        <v>1585</v>
      </c>
      <c r="K740" s="1032" t="s">
        <v>1567</v>
      </c>
      <c r="L740" s="1032" t="s">
        <v>1571</v>
      </c>
      <c r="M740" s="1033">
        <v>0.2</v>
      </c>
      <c r="N740" s="1032" t="s">
        <v>1570</v>
      </c>
      <c r="O740" s="1036">
        <v>8060</v>
      </c>
      <c r="P740" s="1036">
        <v>7510</v>
      </c>
      <c r="Q740" s="1036">
        <v>32.9</v>
      </c>
      <c r="R740" s="1036">
        <v>0</v>
      </c>
      <c r="S740" s="1036">
        <v>514</v>
      </c>
      <c r="T740" s="1036">
        <v>0</v>
      </c>
      <c r="U740" s="1037">
        <v>-2600</v>
      </c>
    </row>
    <row r="741" spans="2:21" hidden="1" outlineLevel="2">
      <c r="B741" s="2045"/>
      <c r="C741" s="1045"/>
      <c r="D741" s="1051">
        <f t="shared" si="75"/>
        <v>10</v>
      </c>
      <c r="E741" s="1051" t="str">
        <f>IF(COUNTIF(E$706:E740,F741)&gt;0,"",F741)</f>
        <v>Biodiesel - mix moyen (changement d'affectation des sols scénario optimiste), France continentale, Base Carbone</v>
      </c>
      <c r="F741" s="1051" t="str">
        <f t="shared" si="76"/>
        <v>Biodiesel - mix moyen (changement d'affectation des sols scénario optimiste), France continentale, Base Carbone</v>
      </c>
      <c r="G741" s="1055" t="str">
        <f t="shared" si="77"/>
        <v>Biodiesel - mix moyen (changement d'affectation des sols scénario optimiste), France continentale, Base Carbone; kgCO2e/kWh PCI, Amont</v>
      </c>
      <c r="I741" s="1031" t="s">
        <v>4732</v>
      </c>
      <c r="J741" s="2342" t="s">
        <v>1573</v>
      </c>
      <c r="K741" s="1032" t="s">
        <v>1567</v>
      </c>
      <c r="L741" s="1032" t="s">
        <v>1571</v>
      </c>
      <c r="M741" s="1033">
        <v>0.2</v>
      </c>
      <c r="N741" s="1032" t="s">
        <v>1570</v>
      </c>
      <c r="O741" s="1036">
        <v>4.7100000000000003E-2</v>
      </c>
      <c r="P741" s="1036">
        <v>-5.8500000000000002E-3</v>
      </c>
      <c r="Q741" s="1036">
        <v>3.1900000000000001E-3</v>
      </c>
      <c r="R741" s="1036">
        <v>0</v>
      </c>
      <c r="S741" s="1036">
        <v>4.9799999999999997E-2</v>
      </c>
      <c r="T741" s="1036">
        <v>0</v>
      </c>
      <c r="U741" s="1037">
        <v>-0.252</v>
      </c>
    </row>
    <row r="742" spans="2:21" hidden="1" outlineLevel="2">
      <c r="B742" s="2045"/>
      <c r="C742" s="1045"/>
      <c r="D742" s="1051">
        <f t="shared" si="75"/>
        <v>10</v>
      </c>
      <c r="E742" s="1051" t="str">
        <f>IF(COUNTIF(E$706:E741,F742)&gt;0,"",F742)</f>
        <v/>
      </c>
      <c r="F742" s="1051" t="str">
        <f t="shared" si="76"/>
        <v>Biodiesel - mix moyen (changement d'affectation des sols scénario optimiste), France continentale, Base Carbone</v>
      </c>
      <c r="G742" s="1055" t="str">
        <f t="shared" si="77"/>
        <v>Biodiesel - mix moyen (changement d'affectation des sols scénario optimiste), France continentale, Base Carbone; kgCO2e/litre, Amont</v>
      </c>
      <c r="I742" s="1031" t="s">
        <v>4732</v>
      </c>
      <c r="J742" s="2342" t="s">
        <v>1574</v>
      </c>
      <c r="K742" s="1032" t="s">
        <v>1567</v>
      </c>
      <c r="L742" s="1032" t="s">
        <v>1571</v>
      </c>
      <c r="M742" s="1033">
        <v>0.2</v>
      </c>
      <c r="N742" s="1032" t="s">
        <v>1570</v>
      </c>
      <c r="O742" s="1036">
        <v>0.434</v>
      </c>
      <c r="P742" s="1036">
        <v>-5.3800000000000001E-2</v>
      </c>
      <c r="Q742" s="1036">
        <v>2.93E-2</v>
      </c>
      <c r="R742" s="1036">
        <v>0</v>
      </c>
      <c r="S742" s="1036">
        <v>0.45800000000000002</v>
      </c>
      <c r="T742" s="1036">
        <v>0</v>
      </c>
      <c r="U742" s="1037">
        <v>-2.31</v>
      </c>
    </row>
    <row r="743" spans="2:21" hidden="1" outlineLevel="2">
      <c r="B743" s="2045"/>
      <c r="C743" s="1045"/>
      <c r="D743" s="1051">
        <f t="shared" si="75"/>
        <v>10</v>
      </c>
      <c r="E743" s="1051" t="str">
        <f>IF(COUNTIF(E$706:E742,F743)&gt;0,"",F743)</f>
        <v/>
      </c>
      <c r="F743" s="1051" t="str">
        <f t="shared" si="76"/>
        <v>Biodiesel - mix moyen (changement d'affectation des sols scénario optimiste), France continentale, Base Carbone</v>
      </c>
      <c r="G743" s="1055" t="str">
        <f t="shared" si="77"/>
        <v>Biodiesel - mix moyen (changement d'affectation des sols scénario optimiste), France continentale, Base Carbone; kgCO2e/MJ PCI, Amont</v>
      </c>
      <c r="I743" s="1031" t="s">
        <v>4732</v>
      </c>
      <c r="J743" s="2342" t="s">
        <v>1661</v>
      </c>
      <c r="K743" s="1032" t="s">
        <v>1567</v>
      </c>
      <c r="L743" s="1032" t="s">
        <v>1571</v>
      </c>
      <c r="M743" s="1033">
        <v>0.2</v>
      </c>
      <c r="N743" s="1032" t="s">
        <v>1570</v>
      </c>
      <c r="O743" s="1036">
        <v>1.3100000000000001E-2</v>
      </c>
      <c r="P743" s="1036">
        <v>-1.6299999999999999E-3</v>
      </c>
      <c r="Q743" s="1036">
        <v>8.8500000000000004E-4</v>
      </c>
      <c r="R743" s="1036">
        <v>0</v>
      </c>
      <c r="S743" s="1036">
        <v>1.38E-2</v>
      </c>
      <c r="T743" s="1036">
        <v>0</v>
      </c>
      <c r="U743" s="1037">
        <v>-6.9900000000000004E-2</v>
      </c>
    </row>
    <row r="744" spans="2:21" hidden="1" outlineLevel="2">
      <c r="B744" s="2045"/>
      <c r="C744" s="1045"/>
      <c r="D744" s="1051">
        <f t="shared" si="75"/>
        <v>10</v>
      </c>
      <c r="E744" s="1051" t="str">
        <f>IF(COUNTIF(E$706:E743,F744)&gt;0,"",F744)</f>
        <v/>
      </c>
      <c r="F744" s="1051" t="str">
        <f t="shared" si="76"/>
        <v>Biodiesel - mix moyen (changement d'affectation des sols scénario optimiste), France continentale, Base Carbone</v>
      </c>
      <c r="G744" s="1055" t="str">
        <f t="shared" si="77"/>
        <v>Biodiesel - mix moyen (changement d'affectation des sols scénario optimiste), France continentale, Base Carbone; kgCO2e/tep PCI, Amont</v>
      </c>
      <c r="I744" s="1031" t="s">
        <v>4732</v>
      </c>
      <c r="J744" s="2342" t="s">
        <v>1575</v>
      </c>
      <c r="K744" s="1032" t="s">
        <v>1567</v>
      </c>
      <c r="L744" s="1032" t="s">
        <v>1571</v>
      </c>
      <c r="M744" s="1033">
        <v>0.2</v>
      </c>
      <c r="N744" s="1032" t="s">
        <v>1570</v>
      </c>
      <c r="O744" s="1036">
        <v>548</v>
      </c>
      <c r="P744" s="1036">
        <v>-68.099999999999994</v>
      </c>
      <c r="Q744" s="1036">
        <v>37.1</v>
      </c>
      <c r="R744" s="1036">
        <v>0</v>
      </c>
      <c r="S744" s="1036">
        <v>579</v>
      </c>
      <c r="T744" s="1036">
        <v>0</v>
      </c>
      <c r="U744" s="1037">
        <v>-2920</v>
      </c>
    </row>
    <row r="745" spans="2:21" hidden="1" outlineLevel="2">
      <c r="B745" s="2045"/>
      <c r="C745" s="1045"/>
      <c r="D745" s="1051">
        <f t="shared" si="75"/>
        <v>10</v>
      </c>
      <c r="E745" s="1051" t="str">
        <f>IF(COUNTIF(E$706:E744,F745)&gt;0,"",F745)</f>
        <v/>
      </c>
      <c r="F745" s="1051" t="str">
        <f t="shared" si="76"/>
        <v>Biodiesel - mix moyen (changement d'affectation des sols scénario optimiste), France continentale, Base Carbone</v>
      </c>
      <c r="G745" s="1055" t="str">
        <f t="shared" si="77"/>
        <v>Biodiesel - mix moyen (changement d'affectation des sols scénario optimiste), France continentale, Base Carbone; kgCO2e/tonne, Amont</v>
      </c>
      <c r="I745" s="1031" t="s">
        <v>4732</v>
      </c>
      <c r="J745" s="2342" t="s">
        <v>1585</v>
      </c>
      <c r="K745" s="1032" t="s">
        <v>1567</v>
      </c>
      <c r="L745" s="1032" t="s">
        <v>1571</v>
      </c>
      <c r="M745" s="1033">
        <v>0.2</v>
      </c>
      <c r="N745" s="1032" t="s">
        <v>1570</v>
      </c>
      <c r="O745" s="1036">
        <v>486</v>
      </c>
      <c r="P745" s="1036">
        <v>-60.5</v>
      </c>
      <c r="Q745" s="1036">
        <v>32.9</v>
      </c>
      <c r="R745" s="1036">
        <v>0</v>
      </c>
      <c r="S745" s="1036">
        <v>514</v>
      </c>
      <c r="T745" s="1036">
        <v>0</v>
      </c>
      <c r="U745" s="1037">
        <v>-2600</v>
      </c>
    </row>
    <row r="746" spans="2:21" hidden="1" outlineLevel="2">
      <c r="B746" s="2045"/>
      <c r="C746" s="1045"/>
      <c r="D746" s="1051">
        <f t="shared" si="75"/>
        <v>11</v>
      </c>
      <c r="E746" s="1051" t="str">
        <f>IF(COUNTIF(E$706:E745,F746)&gt;0,"",F746)</f>
        <v>Biodiesel - mix moyen (sans changement d'affectation des sols), France continentale, Base Carbone</v>
      </c>
      <c r="F746" s="1051" t="str">
        <f t="shared" si="76"/>
        <v>Biodiesel - mix moyen (sans changement d'affectation des sols), France continentale, Base Carbone</v>
      </c>
      <c r="G746" s="1055" t="str">
        <f t="shared" si="77"/>
        <v>Biodiesel - mix moyen (sans changement d'affectation des sols), France continentale, Base Carbone; kgCO2e/kWh PCI, Amont</v>
      </c>
      <c r="I746" s="1031" t="s">
        <v>4733</v>
      </c>
      <c r="J746" s="2342" t="s">
        <v>1573</v>
      </c>
      <c r="K746" s="1032" t="s">
        <v>1567</v>
      </c>
      <c r="L746" s="1032" t="s">
        <v>1571</v>
      </c>
      <c r="M746" s="1033">
        <v>0.2</v>
      </c>
      <c r="N746" s="1032" t="s">
        <v>1570</v>
      </c>
      <c r="O746" s="1036">
        <v>0.11</v>
      </c>
      <c r="P746" s="1036">
        <v>5.6899999999999999E-2</v>
      </c>
      <c r="Q746" s="1036">
        <v>3.1900000000000001E-3</v>
      </c>
      <c r="R746" s="1036">
        <v>0</v>
      </c>
      <c r="S746" s="1036">
        <v>4.9799999999999997E-2</v>
      </c>
      <c r="T746" s="1036">
        <v>0</v>
      </c>
      <c r="U746" s="1037">
        <v>-0.252</v>
      </c>
    </row>
    <row r="747" spans="2:21" hidden="1" outlineLevel="2">
      <c r="B747" s="2045"/>
      <c r="C747" s="1045"/>
      <c r="D747" s="1051">
        <f t="shared" si="75"/>
        <v>11</v>
      </c>
      <c r="E747" s="1051" t="str">
        <f>IF(COUNTIF(E$706:E746,F747)&gt;0,"",F747)</f>
        <v/>
      </c>
      <c r="F747" s="1051" t="str">
        <f t="shared" si="76"/>
        <v>Biodiesel - mix moyen (sans changement d'affectation des sols), France continentale, Base Carbone</v>
      </c>
      <c r="G747" s="1055" t="str">
        <f t="shared" si="77"/>
        <v>Biodiesel - mix moyen (sans changement d'affectation des sols), France continentale, Base Carbone; kgCO2e/litre, Amont</v>
      </c>
      <c r="I747" s="1031" t="s">
        <v>4733</v>
      </c>
      <c r="J747" s="2342" t="s">
        <v>1574</v>
      </c>
      <c r="K747" s="1032" t="s">
        <v>1567</v>
      </c>
      <c r="L747" s="1032" t="s">
        <v>1571</v>
      </c>
      <c r="M747" s="1033">
        <v>0.2</v>
      </c>
      <c r="N747" s="1032" t="s">
        <v>1570</v>
      </c>
      <c r="O747" s="1036">
        <v>1.01</v>
      </c>
      <c r="P747" s="1036">
        <v>0.52400000000000002</v>
      </c>
      <c r="Q747" s="1036">
        <v>2.93E-2</v>
      </c>
      <c r="R747" s="1036">
        <v>0</v>
      </c>
      <c r="S747" s="1036">
        <v>0.45800000000000002</v>
      </c>
      <c r="T747" s="1036">
        <v>0</v>
      </c>
      <c r="U747" s="1037">
        <v>-2.31</v>
      </c>
    </row>
    <row r="748" spans="2:21" hidden="1" outlineLevel="2">
      <c r="B748" s="2045"/>
      <c r="C748" s="1045"/>
      <c r="D748" s="1051">
        <f t="shared" si="75"/>
        <v>11</v>
      </c>
      <c r="E748" s="1051" t="str">
        <f>IF(COUNTIF(E$706:E747,F748)&gt;0,"",F748)</f>
        <v/>
      </c>
      <c r="F748" s="1051" t="str">
        <f t="shared" si="76"/>
        <v>Biodiesel - mix moyen (sans changement d'affectation des sols), France continentale, Base Carbone</v>
      </c>
      <c r="G748" s="1055" t="str">
        <f t="shared" si="77"/>
        <v>Biodiesel - mix moyen (sans changement d'affectation des sols), France continentale, Base Carbone; kgCO2e/MJ PCI, Amont</v>
      </c>
      <c r="I748" s="1031" t="s">
        <v>4733</v>
      </c>
      <c r="J748" s="2342" t="s">
        <v>1661</v>
      </c>
      <c r="K748" s="1032" t="s">
        <v>1567</v>
      </c>
      <c r="L748" s="1032" t="s">
        <v>1571</v>
      </c>
      <c r="M748" s="1033">
        <v>0.2</v>
      </c>
      <c r="N748" s="1032" t="s">
        <v>1570</v>
      </c>
      <c r="O748" s="1036">
        <v>3.0499999999999999E-2</v>
      </c>
      <c r="P748" s="1036">
        <v>1.5800000000000002E-2</v>
      </c>
      <c r="Q748" s="1036">
        <v>8.8500000000000004E-4</v>
      </c>
      <c r="R748" s="1036">
        <v>0</v>
      </c>
      <c r="S748" s="1036">
        <v>1.38E-2</v>
      </c>
      <c r="T748" s="1036">
        <v>0</v>
      </c>
      <c r="U748" s="1037">
        <v>-6.9900000000000004E-2</v>
      </c>
    </row>
    <row r="749" spans="2:21" hidden="1" outlineLevel="2">
      <c r="B749" s="2045"/>
      <c r="C749" s="1045"/>
      <c r="D749" s="1051">
        <f t="shared" si="75"/>
        <v>11</v>
      </c>
      <c r="E749" s="1051" t="str">
        <f>IF(COUNTIF(E$706:E748,F749)&gt;0,"",F749)</f>
        <v/>
      </c>
      <c r="F749" s="1051" t="str">
        <f t="shared" si="76"/>
        <v>Biodiesel - mix moyen (sans changement d'affectation des sols), France continentale, Base Carbone</v>
      </c>
      <c r="G749" s="1055" t="str">
        <f t="shared" si="77"/>
        <v>Biodiesel - mix moyen (sans changement d'affectation des sols), France continentale, Base Carbone; kgCO2e/tep PCI, Amont</v>
      </c>
      <c r="I749" s="1031" t="s">
        <v>4733</v>
      </c>
      <c r="J749" s="2342" t="s">
        <v>1575</v>
      </c>
      <c r="K749" s="1032" t="s">
        <v>1567</v>
      </c>
      <c r="L749" s="1032" t="s">
        <v>1571</v>
      </c>
      <c r="M749" s="1033">
        <v>0.2</v>
      </c>
      <c r="N749" s="1032" t="s">
        <v>1570</v>
      </c>
      <c r="O749" s="1036">
        <v>1280</v>
      </c>
      <c r="P749" s="1036">
        <v>662</v>
      </c>
      <c r="Q749" s="1036">
        <v>37.1</v>
      </c>
      <c r="R749" s="1036">
        <v>0</v>
      </c>
      <c r="S749" s="1036">
        <v>579</v>
      </c>
      <c r="T749" s="1036">
        <v>0</v>
      </c>
      <c r="U749" s="1037">
        <v>-2920</v>
      </c>
    </row>
    <row r="750" spans="2:21" hidden="1" outlineLevel="2">
      <c r="B750" s="2045"/>
      <c r="C750" s="1045"/>
      <c r="D750" s="1051">
        <f t="shared" si="75"/>
        <v>11</v>
      </c>
      <c r="E750" s="1051" t="str">
        <f>IF(COUNTIF(E$706:E749,F750)&gt;0,"",F750)</f>
        <v/>
      </c>
      <c r="F750" s="1051" t="str">
        <f t="shared" si="76"/>
        <v>Biodiesel - mix moyen (sans changement d'affectation des sols), France continentale, Base Carbone</v>
      </c>
      <c r="G750" s="1055" t="str">
        <f t="shared" si="77"/>
        <v>Biodiesel - mix moyen (sans changement d'affectation des sols), France continentale, Base Carbone; kgCO2e/tonne, Amont</v>
      </c>
      <c r="I750" s="1031" t="s">
        <v>4733</v>
      </c>
      <c r="J750" s="2342" t="s">
        <v>1585</v>
      </c>
      <c r="K750" s="1032" t="s">
        <v>1567</v>
      </c>
      <c r="L750" s="1032" t="s">
        <v>1571</v>
      </c>
      <c r="M750" s="1033">
        <v>0.2</v>
      </c>
      <c r="N750" s="1032" t="s">
        <v>1570</v>
      </c>
      <c r="O750" s="1036">
        <v>1130</v>
      </c>
      <c r="P750" s="1036">
        <v>588</v>
      </c>
      <c r="Q750" s="1036">
        <v>32.9</v>
      </c>
      <c r="R750" s="1036">
        <v>0</v>
      </c>
      <c r="S750" s="1036">
        <v>514</v>
      </c>
      <c r="T750" s="1036">
        <v>0</v>
      </c>
      <c r="U750" s="1037">
        <v>-2600</v>
      </c>
    </row>
    <row r="751" spans="2:21" hidden="1" outlineLevel="2">
      <c r="B751" s="2045"/>
      <c r="C751" s="1045"/>
      <c r="D751" s="1051">
        <f t="shared" si="75"/>
        <v>11</v>
      </c>
      <c r="E751" s="1051" t="str">
        <f>IF(COUNTIF(E$706:E750,F751)&gt;0,"",F751)</f>
        <v/>
      </c>
      <c r="F751" s="1051" t="str">
        <f t="shared" si="76"/>
        <v/>
      </c>
      <c r="G751" s="1055" t="str">
        <f t="shared" si="77"/>
        <v/>
      </c>
      <c r="I751" s="1031"/>
      <c r="J751" s="2342"/>
      <c r="K751" s="1032"/>
      <c r="L751" s="1032"/>
      <c r="M751" s="1033"/>
      <c r="N751" s="1032"/>
      <c r="O751" s="1036"/>
      <c r="P751" s="1036"/>
      <c r="Q751" s="1036"/>
      <c r="R751" s="1036"/>
      <c r="S751" s="1036"/>
      <c r="T751" s="1036"/>
      <c r="U751" s="1037"/>
    </row>
    <row r="752" spans="2:21" hidden="1" outlineLevel="2">
      <c r="B752" s="2045"/>
      <c r="C752" s="1045"/>
      <c r="D752" s="1051">
        <f t="shared" si="75"/>
        <v>12</v>
      </c>
      <c r="E752" s="1051" t="str">
        <f>IF(COUNTIF(E$706:E751,F752)&gt;0,"",F752)</f>
        <v>Bioéthanol (changement d'affectation des sols scénario maximum), France continentale, Base Carbone</v>
      </c>
      <c r="F752" s="1051" t="str">
        <f t="shared" si="76"/>
        <v>Bioéthanol (changement d'affectation des sols scénario maximum), France continentale, Base Carbone</v>
      </c>
      <c r="G752" s="1055" t="str">
        <f t="shared" si="77"/>
        <v>Bioéthanol (changement d'affectation des sols scénario maximum), France continentale, Base Carbone; kgCO2e/kWh PCI, Amont</v>
      </c>
      <c r="I752" s="1031" t="s">
        <v>1652</v>
      </c>
      <c r="J752" s="2342" t="s">
        <v>1573</v>
      </c>
      <c r="K752" s="1032" t="s">
        <v>1567</v>
      </c>
      <c r="L752" s="1032" t="s">
        <v>1571</v>
      </c>
      <c r="M752" s="1033">
        <v>0.2</v>
      </c>
      <c r="N752" s="1032" t="s">
        <v>1570</v>
      </c>
      <c r="O752" s="1036">
        <v>0.81499999999999995</v>
      </c>
      <c r="P752" s="1036">
        <v>0.77400000000000002</v>
      </c>
      <c r="Q752" s="1036">
        <v>5.2500000000000003E-3</v>
      </c>
      <c r="R752" s="1036">
        <v>0</v>
      </c>
      <c r="S752" s="1036">
        <v>3.6200000000000003E-2</v>
      </c>
      <c r="T752" s="1036">
        <v>0</v>
      </c>
      <c r="U752" s="1037">
        <v>-0.25800000000000001</v>
      </c>
    </row>
    <row r="753" spans="2:21" hidden="1" outlineLevel="2">
      <c r="B753" s="2045"/>
      <c r="C753" s="1045"/>
      <c r="D753" s="1051">
        <f t="shared" si="75"/>
        <v>12</v>
      </c>
      <c r="E753" s="1051" t="str">
        <f>IF(COUNTIF(E$706:E752,F753)&gt;0,"",F753)</f>
        <v/>
      </c>
      <c r="F753" s="1051" t="str">
        <f t="shared" si="76"/>
        <v>Bioéthanol (changement d'affectation des sols scénario maximum), France continentale, Base Carbone</v>
      </c>
      <c r="G753" s="1055" t="str">
        <f t="shared" si="77"/>
        <v>Bioéthanol (changement d'affectation des sols scénario maximum), France continentale, Base Carbone; kgCO2e/litre, Amont</v>
      </c>
      <c r="I753" s="1031" t="s">
        <v>1652</v>
      </c>
      <c r="J753" s="2342" t="s">
        <v>1574</v>
      </c>
      <c r="K753" s="1032" t="s">
        <v>1567</v>
      </c>
      <c r="L753" s="1032" t="s">
        <v>1571</v>
      </c>
      <c r="M753" s="1033">
        <v>0.2</v>
      </c>
      <c r="N753" s="1032" t="s">
        <v>1570</v>
      </c>
      <c r="O753" s="1036">
        <v>4.79</v>
      </c>
      <c r="P753" s="1036">
        <v>4.55</v>
      </c>
      <c r="Q753" s="1036">
        <v>3.09E-2</v>
      </c>
      <c r="R753" s="1036">
        <v>0</v>
      </c>
      <c r="S753" s="1036">
        <v>0.21299999999999999</v>
      </c>
      <c r="T753" s="1036">
        <v>0</v>
      </c>
      <c r="U753" s="1037">
        <v>-1.52</v>
      </c>
    </row>
    <row r="754" spans="2:21" hidden="1" outlineLevel="2">
      <c r="B754" s="2045"/>
      <c r="C754" s="1045"/>
      <c r="D754" s="1051">
        <f t="shared" si="75"/>
        <v>12</v>
      </c>
      <c r="E754" s="1051" t="str">
        <f>IF(COUNTIF(E$706:E753,F754)&gt;0,"",F754)</f>
        <v/>
      </c>
      <c r="F754" s="1051" t="str">
        <f t="shared" si="76"/>
        <v>Bioéthanol (changement d'affectation des sols scénario maximum), France continentale, Base Carbone</v>
      </c>
      <c r="G754" s="1055" t="str">
        <f t="shared" si="77"/>
        <v>Bioéthanol (changement d'affectation des sols scénario maximum), France continentale, Base Carbone; kgCO2e/MJ PCI, Amont</v>
      </c>
      <c r="I754" s="1031" t="s">
        <v>1652</v>
      </c>
      <c r="J754" s="2342" t="s">
        <v>1661</v>
      </c>
      <c r="K754" s="1032" t="s">
        <v>1567</v>
      </c>
      <c r="L754" s="1032" t="s">
        <v>1571</v>
      </c>
      <c r="M754" s="1033">
        <v>0.2</v>
      </c>
      <c r="N754" s="1032" t="s">
        <v>1570</v>
      </c>
      <c r="O754" s="1036">
        <v>0.22600000000000001</v>
      </c>
      <c r="P754" s="1036">
        <v>0.215</v>
      </c>
      <c r="Q754" s="1036">
        <v>1.4599999999999999E-3</v>
      </c>
      <c r="R754" s="1036">
        <v>0</v>
      </c>
      <c r="S754" s="1036">
        <v>0.01</v>
      </c>
      <c r="T754" s="1036">
        <v>0</v>
      </c>
      <c r="U754" s="1037">
        <v>-7.17E-2</v>
      </c>
    </row>
    <row r="755" spans="2:21" hidden="1" outlineLevel="2">
      <c r="B755" s="2045"/>
      <c r="C755" s="1045"/>
      <c r="D755" s="1051">
        <f t="shared" si="75"/>
        <v>12</v>
      </c>
      <c r="E755" s="1051" t="str">
        <f>IF(COUNTIF(E$706:E754,F755)&gt;0,"",F755)</f>
        <v/>
      </c>
      <c r="F755" s="1051" t="str">
        <f t="shared" si="76"/>
        <v>Bioéthanol (changement d'affectation des sols scénario maximum), France continentale, Base Carbone</v>
      </c>
      <c r="G755" s="1055" t="str">
        <f t="shared" si="77"/>
        <v>Bioéthanol (changement d'affectation des sols scénario maximum), France continentale, Base Carbone; kgCO2e/tep PCI, Amont</v>
      </c>
      <c r="I755" s="1031" t="s">
        <v>1652</v>
      </c>
      <c r="J755" s="2342" t="s">
        <v>1575</v>
      </c>
      <c r="K755" s="1032" t="s">
        <v>1567</v>
      </c>
      <c r="L755" s="1032" t="s">
        <v>1571</v>
      </c>
      <c r="M755" s="1033">
        <v>0.2</v>
      </c>
      <c r="N755" s="1032" t="s">
        <v>1570</v>
      </c>
      <c r="O755" s="1036">
        <v>9480</v>
      </c>
      <c r="P755" s="1036">
        <v>9000</v>
      </c>
      <c r="Q755" s="1036">
        <v>61</v>
      </c>
      <c r="R755" s="1036">
        <v>0</v>
      </c>
      <c r="S755" s="1036">
        <v>421</v>
      </c>
      <c r="T755" s="1036">
        <v>0</v>
      </c>
      <c r="U755" s="1037">
        <v>-3000</v>
      </c>
    </row>
    <row r="756" spans="2:21" hidden="1" outlineLevel="2">
      <c r="B756" s="2045"/>
      <c r="C756" s="1045"/>
      <c r="D756" s="1051">
        <f t="shared" si="75"/>
        <v>12</v>
      </c>
      <c r="E756" s="1051" t="str">
        <f>IF(COUNTIF(E$706:E755,F756)&gt;0,"",F756)</f>
        <v/>
      </c>
      <c r="F756" s="1051" t="str">
        <f t="shared" si="76"/>
        <v>Bioéthanol (changement d'affectation des sols scénario maximum), France continentale, Base Carbone</v>
      </c>
      <c r="G756" s="1055" t="str">
        <f t="shared" si="77"/>
        <v>Bioéthanol (changement d'affectation des sols scénario maximum), France continentale, Base Carbone; kgCO2e/tonne, Amont</v>
      </c>
      <c r="I756" s="1031" t="s">
        <v>1652</v>
      </c>
      <c r="J756" s="2342" t="s">
        <v>1585</v>
      </c>
      <c r="K756" s="1032" t="s">
        <v>1567</v>
      </c>
      <c r="L756" s="1032" t="s">
        <v>1571</v>
      </c>
      <c r="M756" s="1033">
        <v>0.2</v>
      </c>
      <c r="N756" s="1032" t="s">
        <v>1570</v>
      </c>
      <c r="O756" s="1036">
        <v>6070</v>
      </c>
      <c r="P756" s="1036">
        <v>5760</v>
      </c>
      <c r="Q756" s="1036">
        <v>39.1</v>
      </c>
      <c r="R756" s="1036">
        <v>0</v>
      </c>
      <c r="S756" s="1036">
        <v>269</v>
      </c>
      <c r="T756" s="1036">
        <v>0</v>
      </c>
      <c r="U756" s="1037">
        <v>-1920</v>
      </c>
    </row>
    <row r="757" spans="2:21" hidden="1" outlineLevel="2">
      <c r="B757" s="2045"/>
      <c r="C757" s="1045"/>
      <c r="D757" s="1051">
        <f t="shared" si="75"/>
        <v>13</v>
      </c>
      <c r="E757" s="1051" t="str">
        <f>IF(COUNTIF(E$706:E756,F757)&gt;0,"",F757)</f>
        <v>Bioéthanol (changement d'affectation des sols scénario optimiste), France continentale, Base Carbone</v>
      </c>
      <c r="F757" s="1051" t="str">
        <f t="shared" si="76"/>
        <v>Bioéthanol (changement d'affectation des sols scénario optimiste), France continentale, Base Carbone</v>
      </c>
      <c r="G757" s="1055" t="str">
        <f t="shared" si="77"/>
        <v>Bioéthanol (changement d'affectation des sols scénario optimiste), France continentale, Base Carbone; kgCO2e/kWh PCI, Amont</v>
      </c>
      <c r="I757" s="1031" t="s">
        <v>1653</v>
      </c>
      <c r="J757" s="2342" t="s">
        <v>1573</v>
      </c>
      <c r="K757" s="1032" t="s">
        <v>1567</v>
      </c>
      <c r="L757" s="1032" t="s">
        <v>1571</v>
      </c>
      <c r="M757" s="1033">
        <v>0.2</v>
      </c>
      <c r="N757" s="1032" t="s">
        <v>1570</v>
      </c>
      <c r="O757" s="1036">
        <v>0.121</v>
      </c>
      <c r="P757" s="1036">
        <v>7.9799999999999996E-2</v>
      </c>
      <c r="Q757" s="1036">
        <v>5.2500000000000003E-3</v>
      </c>
      <c r="R757" s="1036">
        <v>0</v>
      </c>
      <c r="S757" s="1036">
        <v>3.6200000000000003E-2</v>
      </c>
      <c r="T757" s="1036">
        <v>0</v>
      </c>
      <c r="U757" s="1037">
        <v>-0.25800000000000001</v>
      </c>
    </row>
    <row r="758" spans="2:21" hidden="1" outlineLevel="2">
      <c r="B758" s="2045"/>
      <c r="C758" s="1045"/>
      <c r="D758" s="1051">
        <f t="shared" si="75"/>
        <v>13</v>
      </c>
      <c r="E758" s="1051" t="str">
        <f>IF(COUNTIF(E$706:E757,F758)&gt;0,"",F758)</f>
        <v/>
      </c>
      <c r="F758" s="1051" t="str">
        <f t="shared" si="76"/>
        <v>Bioéthanol (changement d'affectation des sols scénario optimiste), France continentale, Base Carbone</v>
      </c>
      <c r="G758" s="1055" t="str">
        <f t="shared" si="77"/>
        <v>Bioéthanol (changement d'affectation des sols scénario optimiste), France continentale, Base Carbone; kgCO2e/litre, Amont</v>
      </c>
      <c r="I758" s="1031" t="s">
        <v>1653</v>
      </c>
      <c r="J758" s="2342" t="s">
        <v>1574</v>
      </c>
      <c r="K758" s="1032" t="s">
        <v>1567</v>
      </c>
      <c r="L758" s="1032" t="s">
        <v>1571</v>
      </c>
      <c r="M758" s="1033">
        <v>0.2</v>
      </c>
      <c r="N758" s="1032" t="s">
        <v>1570</v>
      </c>
      <c r="O758" s="1036">
        <v>0.71299999999999997</v>
      </c>
      <c r="P758" s="1036">
        <v>0.46899999999999997</v>
      </c>
      <c r="Q758" s="1036">
        <v>3.09E-2</v>
      </c>
      <c r="R758" s="1036">
        <v>0</v>
      </c>
      <c r="S758" s="1036">
        <v>0.21299999999999999</v>
      </c>
      <c r="T758" s="1036">
        <v>0</v>
      </c>
      <c r="U758" s="1037">
        <v>-1.52</v>
      </c>
    </row>
    <row r="759" spans="2:21" hidden="1" outlineLevel="2">
      <c r="B759" s="2045"/>
      <c r="C759" s="1045"/>
      <c r="D759" s="1051">
        <f t="shared" si="75"/>
        <v>13</v>
      </c>
      <c r="E759" s="1051" t="str">
        <f>IF(COUNTIF(E$706:E758,F759)&gt;0,"",F759)</f>
        <v/>
      </c>
      <c r="F759" s="1051" t="str">
        <f t="shared" si="76"/>
        <v>Bioéthanol (changement d'affectation des sols scénario optimiste), France continentale, Base Carbone</v>
      </c>
      <c r="G759" s="1055" t="str">
        <f t="shared" si="77"/>
        <v>Bioéthanol (changement d'affectation des sols scénario optimiste), France continentale, Base Carbone; kgCO2e/MJ PCI, Amont</v>
      </c>
      <c r="I759" s="1031" t="s">
        <v>1653</v>
      </c>
      <c r="J759" s="2342" t="s">
        <v>1661</v>
      </c>
      <c r="K759" s="1032" t="s">
        <v>1567</v>
      </c>
      <c r="L759" s="1032" t="s">
        <v>1571</v>
      </c>
      <c r="M759" s="1033">
        <v>0.2</v>
      </c>
      <c r="N759" s="1032" t="s">
        <v>1570</v>
      </c>
      <c r="O759" s="1036">
        <v>3.3700000000000001E-2</v>
      </c>
      <c r="P759" s="1036">
        <v>2.2200000000000001E-2</v>
      </c>
      <c r="Q759" s="1036">
        <v>1.4599999999999999E-3</v>
      </c>
      <c r="R759" s="1036">
        <v>0</v>
      </c>
      <c r="S759" s="1036">
        <v>0.01</v>
      </c>
      <c r="T759" s="1036">
        <v>0</v>
      </c>
      <c r="U759" s="1037">
        <v>-7.17E-2</v>
      </c>
    </row>
    <row r="760" spans="2:21" hidden="1" outlineLevel="2">
      <c r="B760" s="2045"/>
      <c r="C760" s="1045"/>
      <c r="D760" s="1051">
        <f t="shared" si="75"/>
        <v>13</v>
      </c>
      <c r="E760" s="1051" t="str">
        <f>IF(COUNTIF(E$706:E759,F760)&gt;0,"",F760)</f>
        <v/>
      </c>
      <c r="F760" s="1051" t="str">
        <f t="shared" si="76"/>
        <v>Bioéthanol (changement d'affectation des sols scénario optimiste), France continentale, Base Carbone</v>
      </c>
      <c r="G760" s="1055" t="str">
        <f t="shared" si="77"/>
        <v>Bioéthanol (changement d'affectation des sols scénario optimiste), France continentale, Base Carbone; kgCO2e/tep PCI, Amont</v>
      </c>
      <c r="I760" s="1031" t="s">
        <v>1653</v>
      </c>
      <c r="J760" s="2342" t="s">
        <v>1575</v>
      </c>
      <c r="K760" s="1032" t="s">
        <v>1567</v>
      </c>
      <c r="L760" s="1032" t="s">
        <v>1571</v>
      </c>
      <c r="M760" s="1033">
        <v>0.2</v>
      </c>
      <c r="N760" s="1032" t="s">
        <v>1570</v>
      </c>
      <c r="O760" s="1036">
        <v>1410</v>
      </c>
      <c r="P760" s="1036">
        <v>928</v>
      </c>
      <c r="Q760" s="1036">
        <v>61</v>
      </c>
      <c r="R760" s="1036">
        <v>0</v>
      </c>
      <c r="S760" s="1036">
        <v>421</v>
      </c>
      <c r="T760" s="1036">
        <v>0</v>
      </c>
      <c r="U760" s="1037">
        <v>-3000</v>
      </c>
    </row>
    <row r="761" spans="2:21" hidden="1" outlineLevel="2">
      <c r="B761" s="2045"/>
      <c r="C761" s="1045"/>
      <c r="D761" s="1051">
        <f t="shared" si="75"/>
        <v>13</v>
      </c>
      <c r="E761" s="1051" t="str">
        <f>IF(COUNTIF(E$706:E760,F761)&gt;0,"",F761)</f>
        <v/>
      </c>
      <c r="F761" s="1051" t="str">
        <f t="shared" si="76"/>
        <v>Bioéthanol (changement d'affectation des sols scénario optimiste), France continentale, Base Carbone</v>
      </c>
      <c r="G761" s="1055" t="str">
        <f t="shared" si="77"/>
        <v>Bioéthanol (changement d'affectation des sols scénario optimiste), France continentale, Base Carbone; kgCO2e/tonne, Amont</v>
      </c>
      <c r="I761" s="1031" t="s">
        <v>1653</v>
      </c>
      <c r="J761" s="2342" t="s">
        <v>1585</v>
      </c>
      <c r="K761" s="1032" t="s">
        <v>1567</v>
      </c>
      <c r="L761" s="1032" t="s">
        <v>1571</v>
      </c>
      <c r="M761" s="1033">
        <v>0.2</v>
      </c>
      <c r="N761" s="1032" t="s">
        <v>1570</v>
      </c>
      <c r="O761" s="1036">
        <v>902</v>
      </c>
      <c r="P761" s="1036">
        <v>594</v>
      </c>
      <c r="Q761" s="1036">
        <v>39.1</v>
      </c>
      <c r="R761" s="1036">
        <v>0</v>
      </c>
      <c r="S761" s="1036">
        <v>269</v>
      </c>
      <c r="T761" s="1036">
        <v>0</v>
      </c>
      <c r="U761" s="1037">
        <v>-1920</v>
      </c>
    </row>
    <row r="762" spans="2:21" hidden="1" outlineLevel="2">
      <c r="B762" s="2045"/>
      <c r="C762" s="1045"/>
      <c r="D762" s="1051">
        <f t="shared" si="75"/>
        <v>14</v>
      </c>
      <c r="E762" s="1051" t="str">
        <f>IF(COUNTIF(E$706:E761,F762)&gt;0,"",F762)</f>
        <v>Bioéthanol (sans changement d'affectation des sols), France continentale, Base Carbone</v>
      </c>
      <c r="F762" s="1051" t="str">
        <f t="shared" si="76"/>
        <v>Bioéthanol (sans changement d'affectation des sols), France continentale, Base Carbone</v>
      </c>
      <c r="G762" s="1055" t="str">
        <f t="shared" si="77"/>
        <v>Bioéthanol (sans changement d'affectation des sols), France continentale, Base Carbone; kgCO2e/kWh PCI, Amont</v>
      </c>
      <c r="I762" s="1031" t="s">
        <v>1654</v>
      </c>
      <c r="J762" s="2342" t="s">
        <v>1573</v>
      </c>
      <c r="K762" s="1032" t="s">
        <v>1567</v>
      </c>
      <c r="L762" s="1032" t="s">
        <v>1571</v>
      </c>
      <c r="M762" s="1033">
        <v>0.2</v>
      </c>
      <c r="N762" s="1032" t="s">
        <v>1570</v>
      </c>
      <c r="O762" s="1036">
        <v>0.14399999999999999</v>
      </c>
      <c r="P762" s="1036">
        <v>0.10299999999999999</v>
      </c>
      <c r="Q762" s="1036">
        <v>5.2500000000000003E-3</v>
      </c>
      <c r="R762" s="1036">
        <v>0</v>
      </c>
      <c r="S762" s="1036">
        <v>3.6200000000000003E-2</v>
      </c>
      <c r="T762" s="1036">
        <v>0</v>
      </c>
      <c r="U762" s="1037">
        <v>-0.25800000000000001</v>
      </c>
    </row>
    <row r="763" spans="2:21" hidden="1" outlineLevel="2">
      <c r="B763" s="2045"/>
      <c r="C763" s="1045"/>
      <c r="D763" s="1051">
        <f t="shared" si="75"/>
        <v>14</v>
      </c>
      <c r="E763" s="1051" t="str">
        <f>IF(COUNTIF(E$706:E762,F763)&gt;0,"",F763)</f>
        <v/>
      </c>
      <c r="F763" s="1051" t="str">
        <f t="shared" si="76"/>
        <v>Bioéthanol (sans changement d'affectation des sols), France continentale, Base Carbone</v>
      </c>
      <c r="G763" s="1055" t="str">
        <f t="shared" si="77"/>
        <v>Bioéthanol (sans changement d'affectation des sols), France continentale, Base Carbone; kgCO2e/litre, Amont</v>
      </c>
      <c r="I763" s="1031" t="s">
        <v>1654</v>
      </c>
      <c r="J763" s="2342" t="s">
        <v>1574</v>
      </c>
      <c r="K763" s="1032" t="s">
        <v>1567</v>
      </c>
      <c r="L763" s="1032" t="s">
        <v>1571</v>
      </c>
      <c r="M763" s="1033">
        <v>0.2</v>
      </c>
      <c r="N763" s="1032" t="s">
        <v>1570</v>
      </c>
      <c r="O763" s="1036">
        <v>0.84799999999999998</v>
      </c>
      <c r="P763" s="1036">
        <v>0.60399999999999998</v>
      </c>
      <c r="Q763" s="1036">
        <v>3.09E-2</v>
      </c>
      <c r="R763" s="1036">
        <v>0</v>
      </c>
      <c r="S763" s="1036">
        <v>0.21299999999999999</v>
      </c>
      <c r="T763" s="1036">
        <v>0</v>
      </c>
      <c r="U763" s="1037">
        <v>-1.52</v>
      </c>
    </row>
    <row r="764" spans="2:21" hidden="1" outlineLevel="2">
      <c r="B764" s="2045"/>
      <c r="C764" s="1045"/>
      <c r="D764" s="1051">
        <f t="shared" si="75"/>
        <v>14</v>
      </c>
      <c r="E764" s="1051" t="str">
        <f>IF(COUNTIF(E$706:E763,F764)&gt;0,"",F764)</f>
        <v/>
      </c>
      <c r="F764" s="1051" t="str">
        <f t="shared" si="76"/>
        <v>Bioéthanol (sans changement d'affectation des sols), France continentale, Base Carbone</v>
      </c>
      <c r="G764" s="1055" t="str">
        <f t="shared" si="77"/>
        <v>Bioéthanol (sans changement d'affectation des sols), France continentale, Base Carbone; kgCO2e/MJ PCI, Amont</v>
      </c>
      <c r="I764" s="1031" t="s">
        <v>1654</v>
      </c>
      <c r="J764" s="2342" t="s">
        <v>1661</v>
      </c>
      <c r="K764" s="1032" t="s">
        <v>1567</v>
      </c>
      <c r="L764" s="1032" t="s">
        <v>1571</v>
      </c>
      <c r="M764" s="1033">
        <v>0.2</v>
      </c>
      <c r="N764" s="1032" t="s">
        <v>1570</v>
      </c>
      <c r="O764" s="1036">
        <v>0.04</v>
      </c>
      <c r="P764" s="1036">
        <v>2.8500000000000001E-2</v>
      </c>
      <c r="Q764" s="1036">
        <v>1.4599999999999999E-3</v>
      </c>
      <c r="R764" s="1036">
        <v>0</v>
      </c>
      <c r="S764" s="1036">
        <v>0.01</v>
      </c>
      <c r="T764" s="1036">
        <v>0</v>
      </c>
      <c r="U764" s="1037">
        <v>-7.17E-2</v>
      </c>
    </row>
    <row r="765" spans="2:21" hidden="1" outlineLevel="2">
      <c r="B765" s="2045"/>
      <c r="C765" s="1045"/>
      <c r="D765" s="1051">
        <f t="shared" si="75"/>
        <v>14</v>
      </c>
      <c r="E765" s="1051" t="str">
        <f>IF(COUNTIF(E$706:E764,F765)&gt;0,"",F765)</f>
        <v/>
      </c>
      <c r="F765" s="1051" t="str">
        <f t="shared" si="76"/>
        <v>Bioéthanol (sans changement d'affectation des sols), France continentale, Base Carbone</v>
      </c>
      <c r="G765" s="1055" t="str">
        <f t="shared" si="77"/>
        <v>Bioéthanol (sans changement d'affectation des sols), France continentale, Base Carbone; kgCO2e/tep PCI, Amont</v>
      </c>
      <c r="I765" s="1031" t="s">
        <v>1654</v>
      </c>
      <c r="J765" s="2219" t="s">
        <v>1575</v>
      </c>
      <c r="K765" s="1032" t="s">
        <v>1567</v>
      </c>
      <c r="L765" s="1032" t="s">
        <v>1571</v>
      </c>
      <c r="M765" s="1033">
        <v>0.2</v>
      </c>
      <c r="N765" s="1032" t="s">
        <v>1570</v>
      </c>
      <c r="O765" s="1036">
        <v>1670</v>
      </c>
      <c r="P765" s="1036">
        <v>1190</v>
      </c>
      <c r="Q765" s="1036">
        <v>61</v>
      </c>
      <c r="R765" s="1036">
        <v>0</v>
      </c>
      <c r="S765" s="1036">
        <v>421</v>
      </c>
      <c r="T765" s="1036">
        <v>0</v>
      </c>
      <c r="U765" s="1037">
        <v>-3000</v>
      </c>
    </row>
    <row r="766" spans="2:21" hidden="1" outlineLevel="2">
      <c r="B766" s="2045"/>
      <c r="C766" s="1045"/>
      <c r="D766" s="1051">
        <f t="shared" si="75"/>
        <v>14</v>
      </c>
      <c r="E766" s="1051" t="str">
        <f>IF(COUNTIF(E$706:E765,F766)&gt;0,"",F766)</f>
        <v/>
      </c>
      <c r="F766" s="1051" t="str">
        <f t="shared" si="76"/>
        <v>Bioéthanol (sans changement d'affectation des sols), France continentale, Base Carbone</v>
      </c>
      <c r="G766" s="1055" t="str">
        <f t="shared" si="77"/>
        <v>Bioéthanol (sans changement d'affectation des sols), France continentale, Base Carbone; kgCO2e/tonne, Amont</v>
      </c>
      <c r="I766" s="1031" t="s">
        <v>1654</v>
      </c>
      <c r="J766" s="2342" t="s">
        <v>1585</v>
      </c>
      <c r="K766" s="1032" t="s">
        <v>1567</v>
      </c>
      <c r="L766" s="1032" t="s">
        <v>1571</v>
      </c>
      <c r="M766" s="1033">
        <v>0.2</v>
      </c>
      <c r="N766" s="1032" t="s">
        <v>1570</v>
      </c>
      <c r="O766" s="1036">
        <v>1070</v>
      </c>
      <c r="P766" s="1036">
        <v>765</v>
      </c>
      <c r="Q766" s="1036">
        <v>39.1</v>
      </c>
      <c r="R766" s="1036">
        <v>0</v>
      </c>
      <c r="S766" s="1036">
        <v>269</v>
      </c>
      <c r="T766" s="1036">
        <v>0</v>
      </c>
      <c r="U766" s="1037">
        <v>-1920</v>
      </c>
    </row>
    <row r="767" spans="2:21" hidden="1" outlineLevel="2">
      <c r="D767" s="1051">
        <f t="shared" si="75"/>
        <v>14</v>
      </c>
      <c r="E767" s="1051" t="str">
        <f>IF(COUNTIF(E$706:E766,F767)&gt;0,"",F767)</f>
        <v/>
      </c>
      <c r="F767" s="1051" t="str">
        <f t="shared" si="76"/>
        <v/>
      </c>
      <c r="G767" s="1055" t="str">
        <f t="shared" si="77"/>
        <v/>
      </c>
      <c r="I767" s="1031"/>
      <c r="J767" s="2342"/>
      <c r="K767" s="1032"/>
      <c r="L767" s="1032"/>
      <c r="M767" s="1033"/>
      <c r="N767" s="1032"/>
      <c r="O767" s="1036"/>
      <c r="P767" s="1036"/>
      <c r="Q767" s="1036"/>
      <c r="R767" s="1036"/>
      <c r="S767" s="1036"/>
      <c r="T767" s="1036"/>
      <c r="U767" s="1037"/>
    </row>
    <row r="768" spans="2:21" hidden="1" outlineLevel="2">
      <c r="D768" s="1051">
        <f t="shared" si="75"/>
        <v>15</v>
      </c>
      <c r="E768" s="1051" t="str">
        <f>IF(COUNTIF(E$706:E767,F768)&gt;0,"",F768)</f>
        <v>Biométhane (issu de la filière STEU, injecté dans les réseau), France continentale, Base Carbone</v>
      </c>
      <c r="F768" s="1051" t="str">
        <f t="shared" si="76"/>
        <v>Biométhane (issu de la filière STEU, injecté dans les réseau), France continentale, Base Carbone</v>
      </c>
      <c r="G768" s="1055" t="str">
        <f t="shared" si="77"/>
        <v>Biométhane (issu de la filière STEU, injecté dans les réseau), France continentale, Base Carbone; kgCO2e/kWh PCI, Amont</v>
      </c>
      <c r="I768" s="1034" t="s">
        <v>3295</v>
      </c>
      <c r="J768" s="2219" t="s">
        <v>1573</v>
      </c>
      <c r="K768" s="1119" t="s">
        <v>1567</v>
      </c>
      <c r="L768" s="1119" t="s">
        <v>1571</v>
      </c>
      <c r="M768" s="1033">
        <v>0.7</v>
      </c>
      <c r="N768" s="1119" t="s">
        <v>1570</v>
      </c>
      <c r="O768" s="1036">
        <v>1.34E-2</v>
      </c>
      <c r="P768" s="2510">
        <v>3.98E-3</v>
      </c>
      <c r="Q768" s="2510">
        <v>0</v>
      </c>
      <c r="R768" s="2510">
        <v>9.4599999999999997E-3</v>
      </c>
      <c r="S768" s="2510">
        <v>0</v>
      </c>
      <c r="T768" s="2510">
        <v>2.5500000000000001E-6</v>
      </c>
      <c r="U768" s="2177">
        <v>0</v>
      </c>
    </row>
    <row r="769" spans="4:21" hidden="1" outlineLevel="2">
      <c r="D769" s="1051">
        <f t="shared" si="75"/>
        <v>15</v>
      </c>
      <c r="E769" s="1051" t="str">
        <f>IF(COUNTIF(E$706:E768,F769)&gt;0,"",F769)</f>
        <v/>
      </c>
      <c r="F769" s="1051" t="str">
        <f t="shared" si="76"/>
        <v>Biométhane (issu de la filière STEU, injecté dans les réseau), France continentale, Base Carbone</v>
      </c>
      <c r="G769" s="1055" t="str">
        <f t="shared" si="77"/>
        <v>Biométhane (issu de la filière STEU, injecté dans les réseau), France continentale, Base Carbone; kgCO2e/kWh PCI, Combustion</v>
      </c>
      <c r="I769" s="1034" t="s">
        <v>3295</v>
      </c>
      <c r="J769" s="2219" t="s">
        <v>1573</v>
      </c>
      <c r="K769" s="1119" t="s">
        <v>1567</v>
      </c>
      <c r="L769" s="1119" t="s">
        <v>1571</v>
      </c>
      <c r="M769" s="1033">
        <v>0.7</v>
      </c>
      <c r="N769" s="1119" t="s">
        <v>1569</v>
      </c>
      <c r="O769" s="1036">
        <v>2.9299999999999999E-3</v>
      </c>
      <c r="P769" s="2510">
        <v>0</v>
      </c>
      <c r="Q769" s="2510">
        <v>0</v>
      </c>
      <c r="R769" s="2510">
        <v>5.3999999999999998E-5</v>
      </c>
      <c r="S769" s="2510">
        <v>2.3900000000000002E-3</v>
      </c>
      <c r="T769" s="2510">
        <v>0</v>
      </c>
      <c r="U769" s="2177">
        <v>0</v>
      </c>
    </row>
    <row r="770" spans="4:21" hidden="1" outlineLevel="2">
      <c r="D770" s="1051">
        <f t="shared" si="75"/>
        <v>15</v>
      </c>
      <c r="E770" s="1051" t="str">
        <f>IF(COUNTIF(E$706:E769,F770)&gt;0,"",F770)</f>
        <v/>
      </c>
      <c r="F770" s="1051" t="str">
        <f t="shared" si="76"/>
        <v>Biométhane (issu de la filière STEU, injecté dans les réseau), France continentale, Base Carbone</v>
      </c>
      <c r="G770" s="1055" t="str">
        <f t="shared" si="77"/>
        <v>Biométhane (issu de la filière STEU, injecté dans les réseau), France continentale, Base Carbone; kgCO2e/kWh PCS, Amont</v>
      </c>
      <c r="I770" s="1034" t="s">
        <v>3295</v>
      </c>
      <c r="J770" s="2219" t="s">
        <v>1578</v>
      </c>
      <c r="K770" s="1119" t="s">
        <v>1567</v>
      </c>
      <c r="L770" s="1119" t="s">
        <v>1571</v>
      </c>
      <c r="M770" s="1033">
        <v>0.7</v>
      </c>
      <c r="N770" s="1119" t="s">
        <v>1570</v>
      </c>
      <c r="O770" s="1036">
        <v>1.21E-2</v>
      </c>
      <c r="P770" s="2510">
        <v>3.5899999999999999E-3</v>
      </c>
      <c r="Q770" s="2510">
        <v>0</v>
      </c>
      <c r="R770" s="2510">
        <v>8.5100000000000002E-3</v>
      </c>
      <c r="S770" s="2510">
        <v>0</v>
      </c>
      <c r="T770" s="2510">
        <v>2.3E-6</v>
      </c>
      <c r="U770" s="2177">
        <v>0</v>
      </c>
    </row>
    <row r="771" spans="4:21" hidden="1" outlineLevel="2">
      <c r="D771" s="1051">
        <f t="shared" si="75"/>
        <v>15</v>
      </c>
      <c r="E771" s="1051" t="str">
        <f>IF(COUNTIF(E$706:E770,F771)&gt;0,"",F771)</f>
        <v/>
      </c>
      <c r="F771" s="1051" t="str">
        <f t="shared" si="76"/>
        <v>Biométhane (issu de la filière STEU, injecté dans les réseau), France continentale, Base Carbone</v>
      </c>
      <c r="G771" s="1055" t="str">
        <f t="shared" si="77"/>
        <v>Biométhane (issu de la filière STEU, injecté dans les réseau), France continentale, Base Carbone; kgCO2e/kWh PCS, Combustion</v>
      </c>
      <c r="I771" s="1034" t="s">
        <v>3295</v>
      </c>
      <c r="J771" s="2219" t="s">
        <v>1578</v>
      </c>
      <c r="K771" s="1119" t="s">
        <v>1567</v>
      </c>
      <c r="L771" s="1119" t="s">
        <v>1571</v>
      </c>
      <c r="M771" s="1033">
        <v>0.7</v>
      </c>
      <c r="N771" s="1119" t="s">
        <v>1569</v>
      </c>
      <c r="O771" s="1036">
        <v>2.64E-3</v>
      </c>
      <c r="P771" s="2510">
        <v>0</v>
      </c>
      <c r="Q771" s="2510">
        <v>0</v>
      </c>
      <c r="R771" s="2510">
        <v>4.8700000000000002E-4</v>
      </c>
      <c r="S771" s="2510">
        <v>2.15E-3</v>
      </c>
      <c r="T771" s="2510">
        <v>0</v>
      </c>
      <c r="U771" s="2177">
        <v>0</v>
      </c>
    </row>
    <row r="772" spans="4:21" hidden="1" outlineLevel="2">
      <c r="D772" s="1051">
        <f t="shared" ref="D772:D835" si="78">D771+IF(LEN(E772)=0,0,1)</f>
        <v>16</v>
      </c>
      <c r="E772" s="1051" t="str">
        <f>IF(COUNTIF(E$706:E771,F772)&gt;0,"",F772)</f>
        <v>Biométhane - injecté dans les réseau - mix moyen, France continentale, Base Carbone</v>
      </c>
      <c r="F772" s="1051" t="str">
        <f t="shared" ref="F772:F835" si="79">IF(I772&lt;&gt;"",I772&amp;IF(L772&lt;&gt;"",", "&amp;L772,"")&amp;IF(K772&lt;&gt;"",", "&amp;K772,""),"")</f>
        <v>Biométhane - injecté dans les réseau - mix moyen, France continentale, Base Carbone</v>
      </c>
      <c r="G772" s="1055" t="str">
        <f t="shared" ref="G772:G835" si="80">IF(F772&lt;&gt;"",F772&amp;IF(J772&lt;&gt;"","; "&amp;J772,"")&amp;IF(N772&lt;&gt;"",", "&amp;N772,""),"")</f>
        <v>Biométhane - injecté dans les réseau - mix moyen, France continentale, Base Carbone; kgCO2e/kWh PCI, Amont</v>
      </c>
      <c r="I772" s="1034" t="s">
        <v>3995</v>
      </c>
      <c r="J772" s="2219" t="s">
        <v>1573</v>
      </c>
      <c r="K772" s="1119" t="s">
        <v>1567</v>
      </c>
      <c r="L772" s="1119" t="s">
        <v>1571</v>
      </c>
      <c r="M772" s="1033">
        <v>0.2</v>
      </c>
      <c r="N772" s="1119" t="s">
        <v>1570</v>
      </c>
      <c r="O772" s="1036">
        <v>4.2799999999999998E-2</v>
      </c>
      <c r="P772" s="2510">
        <v>1.9E-2</v>
      </c>
      <c r="Q772" s="2510">
        <v>0</v>
      </c>
      <c r="R772" s="2510">
        <v>2.18E-2</v>
      </c>
      <c r="S772" s="2510">
        <v>2E-3</v>
      </c>
      <c r="T772" s="2510">
        <v>0</v>
      </c>
      <c r="U772" s="2177">
        <v>0</v>
      </c>
    </row>
    <row r="773" spans="4:21" hidden="1" outlineLevel="2">
      <c r="D773" s="1051">
        <f t="shared" si="78"/>
        <v>16</v>
      </c>
      <c r="E773" s="1051" t="str">
        <f>IF(COUNTIF(E$706:E772,F773)&gt;0,"",F773)</f>
        <v/>
      </c>
      <c r="F773" s="1051" t="str">
        <f t="shared" si="79"/>
        <v>Biométhane - injecté dans les réseau - mix moyen, France continentale, Base Carbone</v>
      </c>
      <c r="G773" s="1055" t="str">
        <f t="shared" si="80"/>
        <v>Biométhane - injecté dans les réseau - mix moyen, France continentale, Base Carbone; kgCO2e/kWh PCI, Combustion</v>
      </c>
      <c r="I773" s="1034" t="s">
        <v>3995</v>
      </c>
      <c r="J773" s="2219" t="s">
        <v>1573</v>
      </c>
      <c r="K773" s="1119" t="s">
        <v>1567</v>
      </c>
      <c r="L773" s="1119" t="s">
        <v>1571</v>
      </c>
      <c r="M773" s="1033">
        <v>0.2</v>
      </c>
      <c r="N773" s="1119" t="s">
        <v>1569</v>
      </c>
      <c r="O773" s="1036">
        <v>1.56E-3</v>
      </c>
      <c r="P773" s="2510">
        <v>0</v>
      </c>
      <c r="Q773" s="2510">
        <v>0</v>
      </c>
      <c r="R773" s="2510">
        <v>5.5999999999999995E-4</v>
      </c>
      <c r="S773" s="2510">
        <v>9.990000000000001E-4</v>
      </c>
      <c r="T773" s="2510">
        <v>0</v>
      </c>
      <c r="U773" s="2177">
        <v>0</v>
      </c>
    </row>
    <row r="774" spans="4:21" hidden="1" outlineLevel="2">
      <c r="D774" s="1051">
        <f t="shared" si="78"/>
        <v>16</v>
      </c>
      <c r="E774" s="1051" t="str">
        <f>IF(COUNTIF(E$706:E773,F774)&gt;0,"",F774)</f>
        <v/>
      </c>
      <c r="F774" s="1051" t="str">
        <f t="shared" si="79"/>
        <v>Biométhane - injecté dans les réseau - mix moyen, France continentale, Base Carbone</v>
      </c>
      <c r="G774" s="1055" t="str">
        <f t="shared" si="80"/>
        <v>Biométhane - injecté dans les réseau - mix moyen, France continentale, Base Carbone; kgCO2e/kWh PCS, Amont</v>
      </c>
      <c r="I774" s="1034" t="s">
        <v>3995</v>
      </c>
      <c r="J774" s="2219" t="s">
        <v>1578</v>
      </c>
      <c r="K774" s="1119" t="s">
        <v>1567</v>
      </c>
      <c r="L774" s="1119" t="s">
        <v>1571</v>
      </c>
      <c r="M774" s="1033">
        <v>0.2</v>
      </c>
      <c r="N774" s="1119" t="s">
        <v>1570</v>
      </c>
      <c r="O774" s="1036">
        <v>3.85E-2</v>
      </c>
      <c r="P774" s="2510">
        <v>1.7000000000000001E-2</v>
      </c>
      <c r="Q774" s="2510">
        <v>0</v>
      </c>
      <c r="R774" s="2510">
        <v>1.9599999999999999E-2</v>
      </c>
      <c r="S774" s="2510">
        <v>1.8600000000000001E-3</v>
      </c>
      <c r="T774" s="2510">
        <v>0</v>
      </c>
      <c r="U774" s="2177">
        <v>0</v>
      </c>
    </row>
    <row r="775" spans="4:21" hidden="1" outlineLevel="2">
      <c r="D775" s="1051">
        <f t="shared" si="78"/>
        <v>16</v>
      </c>
      <c r="E775" s="1051" t="str">
        <f>IF(COUNTIF(E$706:E774,F775)&gt;0,"",F775)</f>
        <v/>
      </c>
      <c r="F775" s="1051" t="str">
        <f t="shared" si="79"/>
        <v>Biométhane - injecté dans les réseau - mix moyen, France continentale, Base Carbone</v>
      </c>
      <c r="G775" s="1055" t="str">
        <f t="shared" si="80"/>
        <v>Biométhane - injecté dans les réseau - mix moyen, France continentale, Base Carbone; kgCO2e/kWh PCS, Combustion</v>
      </c>
      <c r="I775" s="1034" t="s">
        <v>3995</v>
      </c>
      <c r="J775" s="2219" t="s">
        <v>1578</v>
      </c>
      <c r="K775" s="1119" t="s">
        <v>1567</v>
      </c>
      <c r="L775" s="1119" t="s">
        <v>1571</v>
      </c>
      <c r="M775" s="1033">
        <v>0.2</v>
      </c>
      <c r="N775" s="1119" t="s">
        <v>1569</v>
      </c>
      <c r="O775" s="1036">
        <v>1.08E-3</v>
      </c>
      <c r="P775" s="2510">
        <v>0</v>
      </c>
      <c r="Q775" s="2510">
        <v>0</v>
      </c>
      <c r="R775" s="2510">
        <v>2.7999999999999998E-4</v>
      </c>
      <c r="S775" s="2510">
        <v>7.9500000000000003E-4</v>
      </c>
      <c r="T775" s="2510">
        <v>0</v>
      </c>
      <c r="U775" s="2177">
        <v>0</v>
      </c>
    </row>
    <row r="776" spans="4:21" hidden="1" outlineLevel="2">
      <c r="D776" s="1051">
        <f t="shared" si="78"/>
        <v>16</v>
      </c>
      <c r="E776" s="1051" t="str">
        <f>IF(COUNTIF(E$706:E775,F776)&gt;0,"",F776)</f>
        <v/>
      </c>
      <c r="F776" s="1051" t="str">
        <f t="shared" si="79"/>
        <v>Biométhane - injecté dans les réseau - mix moyen, France continentale, Base Carbone</v>
      </c>
      <c r="G776" s="1055" t="str">
        <f t="shared" si="80"/>
        <v>Biométhane - injecté dans les réseau - mix moyen, France continentale, Base Carbone; kgCO2e/GJ PCI, Amont</v>
      </c>
      <c r="I776" s="1034" t="s">
        <v>3995</v>
      </c>
      <c r="J776" s="2219" t="s">
        <v>1566</v>
      </c>
      <c r="K776" s="1119" t="s">
        <v>1567</v>
      </c>
      <c r="L776" s="1119" t="s">
        <v>1571</v>
      </c>
      <c r="M776" s="1033">
        <v>0.2</v>
      </c>
      <c r="N776" s="1119" t="s">
        <v>1570</v>
      </c>
      <c r="O776" s="1036">
        <v>11.9</v>
      </c>
      <c r="P776" s="2510">
        <v>5.28</v>
      </c>
      <c r="Q776" s="2510">
        <v>0</v>
      </c>
      <c r="R776" s="2510">
        <v>6.05</v>
      </c>
      <c r="S776" s="2510">
        <v>0.53</v>
      </c>
      <c r="T776" s="2510">
        <v>0</v>
      </c>
      <c r="U776" s="2177">
        <v>0</v>
      </c>
    </row>
    <row r="777" spans="4:21" hidden="1" outlineLevel="2">
      <c r="D777" s="1051">
        <f t="shared" si="78"/>
        <v>16</v>
      </c>
      <c r="E777" s="1051" t="str">
        <f>IF(COUNTIF(E$706:E776,F777)&gt;0,"",F777)</f>
        <v/>
      </c>
      <c r="F777" s="1051" t="str">
        <f t="shared" si="79"/>
        <v>Biométhane - injecté dans les réseau - mix moyen, France continentale, Base Carbone</v>
      </c>
      <c r="G777" s="1055" t="str">
        <f t="shared" si="80"/>
        <v>Biométhane - injecté dans les réseau - mix moyen, France continentale, Base Carbone; kgCO2e/GJ PCI, Combustion</v>
      </c>
      <c r="I777" s="1034" t="s">
        <v>3995</v>
      </c>
      <c r="J777" s="2219" t="s">
        <v>1566</v>
      </c>
      <c r="K777" s="1119" t="s">
        <v>1567</v>
      </c>
      <c r="L777" s="1119" t="s">
        <v>1571</v>
      </c>
      <c r="M777" s="1033">
        <v>0.2</v>
      </c>
      <c r="N777" s="1119" t="s">
        <v>1569</v>
      </c>
      <c r="O777" s="1036">
        <v>0.40500000000000003</v>
      </c>
      <c r="P777" s="2510">
        <v>0</v>
      </c>
      <c r="Q777" s="2510">
        <v>0</v>
      </c>
      <c r="R777" s="2510">
        <v>0.14000000000000001</v>
      </c>
      <c r="S777" s="2510">
        <v>0.26500000000000001</v>
      </c>
      <c r="T777" s="2510">
        <v>0</v>
      </c>
      <c r="U777" s="2177">
        <v>0</v>
      </c>
    </row>
    <row r="778" spans="4:21" hidden="1" outlineLevel="2">
      <c r="D778" s="1051">
        <f t="shared" si="78"/>
        <v>16</v>
      </c>
      <c r="E778" s="1051" t="str">
        <f>IF(COUNTIF(E$706:E777,F778)&gt;0,"",F778)</f>
        <v/>
      </c>
      <c r="F778" s="1051" t="str">
        <f t="shared" si="79"/>
        <v>Biométhane - injecté dans les réseau - mix moyen, France continentale, Base Carbone</v>
      </c>
      <c r="G778" s="1055" t="str">
        <f t="shared" si="80"/>
        <v>Biométhane - injecté dans les réseau - mix moyen, France continentale, Base Carbone; kgCO2e/GJ PCS, Amont</v>
      </c>
      <c r="I778" s="1034" t="s">
        <v>3995</v>
      </c>
      <c r="J778" s="2219" t="s">
        <v>1576</v>
      </c>
      <c r="K778" s="1119" t="s">
        <v>1567</v>
      </c>
      <c r="L778" s="1119" t="s">
        <v>1571</v>
      </c>
      <c r="M778" s="1033">
        <v>0.2</v>
      </c>
      <c r="N778" s="1119" t="s">
        <v>1570</v>
      </c>
      <c r="O778" s="1036">
        <v>10.7</v>
      </c>
      <c r="P778" s="2510">
        <v>4.75</v>
      </c>
      <c r="Q778" s="2510">
        <v>0</v>
      </c>
      <c r="R778" s="2510">
        <v>5.46</v>
      </c>
      <c r="S778" s="2510">
        <v>0.53</v>
      </c>
      <c r="T778" s="2510">
        <v>0</v>
      </c>
      <c r="U778" s="2177">
        <v>0</v>
      </c>
    </row>
    <row r="779" spans="4:21" hidden="1" outlineLevel="2">
      <c r="D779" s="1051">
        <f t="shared" si="78"/>
        <v>16</v>
      </c>
      <c r="E779" s="1051" t="str">
        <f>IF(COUNTIF(E$706:E778,F779)&gt;0,"",F779)</f>
        <v/>
      </c>
      <c r="F779" s="1051" t="str">
        <f t="shared" si="79"/>
        <v>Biométhane - injecté dans les réseau - mix moyen, France continentale, Base Carbone</v>
      </c>
      <c r="G779" s="1055" t="str">
        <f t="shared" si="80"/>
        <v>Biométhane - injecté dans les réseau - mix moyen, France continentale, Base Carbone; kgCO2e/GJ PCS, Combustion</v>
      </c>
      <c r="I779" s="1034" t="s">
        <v>3995</v>
      </c>
      <c r="J779" s="2219" t="s">
        <v>1576</v>
      </c>
      <c r="K779" s="1119" t="s">
        <v>1567</v>
      </c>
      <c r="L779" s="1119" t="s">
        <v>1571</v>
      </c>
      <c r="M779" s="1033">
        <v>0.2</v>
      </c>
      <c r="N779" s="1119" t="s">
        <v>1569</v>
      </c>
      <c r="O779" s="1036">
        <v>0.377</v>
      </c>
      <c r="P779" s="2510">
        <v>0</v>
      </c>
      <c r="Q779" s="2510">
        <v>0</v>
      </c>
      <c r="R779" s="2510">
        <v>0.112</v>
      </c>
      <c r="S779" s="2510">
        <v>0.26500000000000001</v>
      </c>
      <c r="T779" s="2510">
        <v>0</v>
      </c>
      <c r="U779" s="2177">
        <v>0</v>
      </c>
    </row>
    <row r="780" spans="4:21" hidden="1" outlineLevel="2">
      <c r="D780" s="1051">
        <f t="shared" si="78"/>
        <v>16</v>
      </c>
      <c r="E780" s="1051" t="str">
        <f>IF(COUNTIF(E$706:E779,F780)&gt;0,"",F780)</f>
        <v/>
      </c>
      <c r="F780" s="1051" t="str">
        <f t="shared" si="79"/>
        <v>Biométhane - injecté dans les réseau - mix moyen, France continentale, Base Carbone</v>
      </c>
      <c r="G780" s="1055" t="str">
        <f t="shared" si="80"/>
        <v>Biométhane - injecté dans les réseau - mix moyen, France continentale, Base Carbone; kgCO2e/tep PCI, Amont</v>
      </c>
      <c r="I780" s="1034" t="s">
        <v>3995</v>
      </c>
      <c r="J780" s="2219" t="s">
        <v>1575</v>
      </c>
      <c r="K780" s="1119" t="s">
        <v>1567</v>
      </c>
      <c r="L780" s="1119" t="s">
        <v>1571</v>
      </c>
      <c r="M780" s="1033">
        <v>0.2</v>
      </c>
      <c r="N780" s="1119" t="s">
        <v>1570</v>
      </c>
      <c r="O780" s="1036">
        <v>497</v>
      </c>
      <c r="P780" s="2510">
        <v>221</v>
      </c>
      <c r="Q780" s="2510">
        <v>0</v>
      </c>
      <c r="R780" s="2510">
        <v>253</v>
      </c>
      <c r="S780" s="2510">
        <v>23.3</v>
      </c>
      <c r="T780" s="2510">
        <v>0</v>
      </c>
      <c r="U780" s="2177">
        <v>0</v>
      </c>
    </row>
    <row r="781" spans="4:21" hidden="1" outlineLevel="2">
      <c r="D781" s="1051">
        <f t="shared" si="78"/>
        <v>16</v>
      </c>
      <c r="E781" s="1051" t="str">
        <f>IF(COUNTIF(E$706:E780,F781)&gt;0,"",F781)</f>
        <v/>
      </c>
      <c r="F781" s="1051" t="str">
        <f t="shared" si="79"/>
        <v>Biométhane - injecté dans les réseau - mix moyen, France continentale, Base Carbone</v>
      </c>
      <c r="G781" s="1055" t="str">
        <f t="shared" si="80"/>
        <v>Biométhane - injecté dans les réseau - mix moyen, France continentale, Base Carbone; kgCO2e/tep PCI, Combustion</v>
      </c>
      <c r="I781" s="1034" t="s">
        <v>3995</v>
      </c>
      <c r="J781" s="2219" t="s">
        <v>1575</v>
      </c>
      <c r="K781" s="1119" t="s">
        <v>1567</v>
      </c>
      <c r="L781" s="1119" t="s">
        <v>1571</v>
      </c>
      <c r="M781" s="1033">
        <v>0.2</v>
      </c>
      <c r="N781" s="1119" t="s">
        <v>1569</v>
      </c>
      <c r="O781" s="1036">
        <v>17.5</v>
      </c>
      <c r="P781" s="2510">
        <v>0</v>
      </c>
      <c r="Q781" s="2510">
        <v>0</v>
      </c>
      <c r="R781" s="2510">
        <v>5.82</v>
      </c>
      <c r="S781" s="2510">
        <v>11.7</v>
      </c>
      <c r="T781" s="2510">
        <v>0</v>
      </c>
      <c r="U781" s="2177">
        <v>0</v>
      </c>
    </row>
    <row r="782" spans="4:21" hidden="1" outlineLevel="2">
      <c r="D782" s="1051">
        <f t="shared" si="78"/>
        <v>16</v>
      </c>
      <c r="E782" s="1051" t="str">
        <f>IF(COUNTIF(E$706:E781,F782)&gt;0,"",F782)</f>
        <v/>
      </c>
      <c r="F782" s="1051" t="str">
        <f t="shared" si="79"/>
        <v>Biométhane - injecté dans les réseau - mix moyen, France continentale, Base Carbone</v>
      </c>
      <c r="G782" s="1055" t="str">
        <f t="shared" si="80"/>
        <v>Biométhane - injecté dans les réseau - mix moyen, France continentale, Base Carbone; kgCO2e/tep PCS, Amont</v>
      </c>
      <c r="I782" s="1034" t="s">
        <v>3995</v>
      </c>
      <c r="J782" s="2219" t="s">
        <v>1577</v>
      </c>
      <c r="K782" s="1119" t="s">
        <v>1567</v>
      </c>
      <c r="L782" s="1119" t="s">
        <v>1571</v>
      </c>
      <c r="M782" s="1033">
        <v>0.2</v>
      </c>
      <c r="N782" s="1119" t="s">
        <v>1570</v>
      </c>
      <c r="O782" s="1036">
        <v>448</v>
      </c>
      <c r="P782" s="2510">
        <v>199</v>
      </c>
      <c r="Q782" s="2510">
        <v>0</v>
      </c>
      <c r="R782" s="2510">
        <v>228</v>
      </c>
      <c r="S782" s="2510">
        <v>20.9</v>
      </c>
      <c r="T782" s="2510">
        <v>0</v>
      </c>
      <c r="U782" s="2177">
        <v>0</v>
      </c>
    </row>
    <row r="783" spans="4:21" hidden="1" outlineLevel="2">
      <c r="D783" s="1051">
        <f t="shared" si="78"/>
        <v>16</v>
      </c>
      <c r="E783" s="1051" t="str">
        <f>IF(COUNTIF(E$706:E782,F783)&gt;0,"",F783)</f>
        <v/>
      </c>
      <c r="F783" s="1051" t="str">
        <f t="shared" si="79"/>
        <v>Biométhane - injecté dans les réseau - mix moyen, France continentale, Base Carbone</v>
      </c>
      <c r="G783" s="1055" t="str">
        <f t="shared" si="80"/>
        <v>Biométhane - injecté dans les réseau - mix moyen, France continentale, Base Carbone; kgCO2e/tep PCS, Combustion</v>
      </c>
      <c r="I783" s="1034" t="s">
        <v>3995</v>
      </c>
      <c r="J783" s="2219" t="s">
        <v>1577</v>
      </c>
      <c r="K783" s="1119" t="s">
        <v>1567</v>
      </c>
      <c r="L783" s="1119" t="s">
        <v>1571</v>
      </c>
      <c r="M783" s="1033">
        <v>0.2</v>
      </c>
      <c r="N783" s="1119" t="s">
        <v>1569</v>
      </c>
      <c r="O783" s="1036">
        <v>15.5</v>
      </c>
      <c r="P783" s="2510">
        <v>0</v>
      </c>
      <c r="Q783" s="2510">
        <v>0</v>
      </c>
      <c r="R783" s="2510">
        <v>5.24</v>
      </c>
      <c r="S783" s="2510">
        <v>103</v>
      </c>
      <c r="T783" s="2510">
        <v>0</v>
      </c>
      <c r="U783" s="2177">
        <v>0</v>
      </c>
    </row>
    <row r="784" spans="4:21" hidden="1" outlineLevel="2">
      <c r="D784" s="1051">
        <f t="shared" si="78"/>
        <v>16</v>
      </c>
      <c r="E784" s="1051" t="str">
        <f>IF(COUNTIF(E$706:E783,F784)&gt;0,"",F784)</f>
        <v/>
      </c>
      <c r="F784" s="1051" t="str">
        <f t="shared" si="79"/>
        <v>Biométhane - injecté dans les réseau - mix moyen, France continentale, Base Carbone</v>
      </c>
      <c r="G784" s="1055" t="str">
        <f t="shared" si="80"/>
        <v>Biométhane - injecté dans les réseau - mix moyen, France continentale, Base Carbone; kgCO2e/m3, Amont</v>
      </c>
      <c r="I784" s="1034" t="s">
        <v>3995</v>
      </c>
      <c r="J784" s="2219" t="s">
        <v>2358</v>
      </c>
      <c r="K784" s="1119" t="s">
        <v>1567</v>
      </c>
      <c r="L784" s="1119" t="s">
        <v>1571</v>
      </c>
      <c r="M784" s="1033">
        <v>0.2</v>
      </c>
      <c r="N784" s="1119" t="s">
        <v>1570</v>
      </c>
      <c r="O784" s="1036">
        <v>0.435</v>
      </c>
      <c r="P784" s="2510">
        <v>0.193</v>
      </c>
      <c r="Q784" s="2510">
        <v>0</v>
      </c>
      <c r="R784" s="2339">
        <v>0.221</v>
      </c>
      <c r="S784" s="2510">
        <v>2.12E-2</v>
      </c>
      <c r="T784" s="2510">
        <v>0</v>
      </c>
      <c r="U784" s="2177">
        <v>0</v>
      </c>
    </row>
    <row r="785" spans="4:21" hidden="1" outlineLevel="2">
      <c r="D785" s="1051">
        <f t="shared" si="78"/>
        <v>16</v>
      </c>
      <c r="E785" s="1051" t="str">
        <f>IF(COUNTIF(E$706:E784,F785)&gt;0,"",F785)</f>
        <v/>
      </c>
      <c r="F785" s="1051" t="str">
        <f t="shared" si="79"/>
        <v>Biométhane - injecté dans les réseau - mix moyen, France continentale, Base Carbone</v>
      </c>
      <c r="G785" s="1055" t="str">
        <f t="shared" si="80"/>
        <v>Biométhane - injecté dans les réseau - mix moyen, France continentale, Base Carbone; kgCO2e/m3, Combustion</v>
      </c>
      <c r="I785" s="1034" t="s">
        <v>3995</v>
      </c>
      <c r="J785" s="2219" t="s">
        <v>2358</v>
      </c>
      <c r="K785" s="1119" t="s">
        <v>1567</v>
      </c>
      <c r="L785" s="1119" t="s">
        <v>1571</v>
      </c>
      <c r="M785" s="1033">
        <v>0.2</v>
      </c>
      <c r="N785" s="1119" t="s">
        <v>1569</v>
      </c>
      <c r="O785" s="1036">
        <v>1.6199999999999999E-2</v>
      </c>
      <c r="P785" s="2510">
        <v>0</v>
      </c>
      <c r="Q785" s="2510">
        <v>0</v>
      </c>
      <c r="R785" s="2339">
        <v>5.5999999999999999E-3</v>
      </c>
      <c r="S785" s="2510">
        <v>1.06E-2</v>
      </c>
      <c r="T785" s="2510">
        <v>0</v>
      </c>
      <c r="U785" s="2177">
        <v>0</v>
      </c>
    </row>
    <row r="786" spans="4:21" hidden="1" outlineLevel="2">
      <c r="D786" s="1051">
        <f t="shared" si="78"/>
        <v>16</v>
      </c>
      <c r="E786" s="1051" t="str">
        <f>IF(COUNTIF(E$706:E785,F786)&gt;0,"",F786)</f>
        <v/>
      </c>
      <c r="F786" s="1051" t="str">
        <f t="shared" si="79"/>
        <v/>
      </c>
      <c r="G786" s="1055" t="str">
        <f t="shared" si="80"/>
        <v/>
      </c>
      <c r="I786" s="1031"/>
      <c r="J786" s="2342"/>
      <c r="K786" s="1032"/>
      <c r="L786" s="1032"/>
      <c r="M786" s="1033"/>
      <c r="N786" s="1032"/>
      <c r="O786" s="1036"/>
      <c r="P786" s="1036"/>
      <c r="Q786" s="1036"/>
      <c r="R786" s="1036"/>
      <c r="S786" s="1036"/>
      <c r="T786" s="1036"/>
      <c r="U786" s="1037"/>
    </row>
    <row r="787" spans="4:21" s="1045" customFormat="1" hidden="1" outlineLevel="2">
      <c r="D787" s="1051">
        <f t="shared" si="78"/>
        <v>17</v>
      </c>
      <c r="E787" s="1051" t="str">
        <f>IF(COUNTIF(E$706:E786,F787)&gt;0,"",F787)</f>
        <v>Biopropane à base d'huile de colza, France continentale, Base Carbone</v>
      </c>
      <c r="F787" s="1051" t="str">
        <f t="shared" si="79"/>
        <v>Biopropane à base d'huile de colza, France continentale, Base Carbone</v>
      </c>
      <c r="G787" s="1055" t="str">
        <f t="shared" si="80"/>
        <v>Biopropane à base d'huile de colza, France continentale, Base Carbone; kgCO2e/kg, Amont</v>
      </c>
      <c r="I787" s="1031" t="s">
        <v>5051</v>
      </c>
      <c r="J787" s="2342" t="s">
        <v>1572</v>
      </c>
      <c r="K787" s="1032" t="s">
        <v>1567</v>
      </c>
      <c r="L787" s="1032" t="s">
        <v>1571</v>
      </c>
      <c r="M787" s="1033">
        <v>0.2</v>
      </c>
      <c r="N787" s="1119" t="s">
        <v>1570</v>
      </c>
      <c r="O787" s="1036">
        <v>1.82</v>
      </c>
      <c r="P787" s="1036">
        <v>0.97099999999999997</v>
      </c>
      <c r="Q787" s="1036">
        <v>4.2000000000000003E-2</v>
      </c>
      <c r="R787" s="1036">
        <v>1.01E-3</v>
      </c>
      <c r="S787" s="1036">
        <v>0.78200000000000003</v>
      </c>
      <c r="T787" s="1036">
        <v>2.1000000000000001E-2</v>
      </c>
      <c r="U787" s="1037">
        <v>0</v>
      </c>
    </row>
    <row r="788" spans="4:21" s="1045" customFormat="1" hidden="1" outlineLevel="2">
      <c r="D788" s="1051">
        <f t="shared" si="78"/>
        <v>17</v>
      </c>
      <c r="E788" s="1051" t="str">
        <f>IF(COUNTIF(E$706:E787,F788)&gt;0,"",F788)</f>
        <v/>
      </c>
      <c r="F788" s="1051" t="str">
        <f t="shared" si="79"/>
        <v>Biopropane à base d'huile de colza, France continentale, Base Carbone</v>
      </c>
      <c r="G788" s="1055" t="str">
        <f t="shared" si="80"/>
        <v>Biopropane à base d'huile de colza, France continentale, Base Carbone; kgCO2e/kg, Combustion</v>
      </c>
      <c r="I788" s="1031" t="s">
        <v>5051</v>
      </c>
      <c r="J788" s="2342" t="s">
        <v>1572</v>
      </c>
      <c r="K788" s="1032" t="s">
        <v>1567</v>
      </c>
      <c r="L788" s="1032" t="s">
        <v>1571</v>
      </c>
      <c r="M788" s="1033">
        <v>0.2</v>
      </c>
      <c r="N788" s="1119" t="s">
        <v>1569</v>
      </c>
      <c r="O788" s="1036">
        <v>0</v>
      </c>
      <c r="P788" s="1036">
        <v>0</v>
      </c>
      <c r="Q788" s="1036">
        <v>0</v>
      </c>
      <c r="R788" s="1036">
        <v>0</v>
      </c>
      <c r="S788" s="1036">
        <v>0</v>
      </c>
      <c r="T788" s="1036">
        <v>0</v>
      </c>
      <c r="U788" s="1037">
        <v>0</v>
      </c>
    </row>
    <row r="789" spans="4:21" s="1045" customFormat="1" hidden="1" outlineLevel="2">
      <c r="D789" s="1051">
        <f t="shared" si="78"/>
        <v>17</v>
      </c>
      <c r="E789" s="1051" t="str">
        <f>IF(COUNTIF(E$706:E788,F789)&gt;0,"",F789)</f>
        <v/>
      </c>
      <c r="F789" s="1051" t="str">
        <f t="shared" si="79"/>
        <v>Biopropane à base d'huile de colza, France continentale, Base Carbone</v>
      </c>
      <c r="G789" s="1055" t="str">
        <f t="shared" si="80"/>
        <v>Biopropane à base d'huile de colza, France continentale, Base Carbone; kgCO2e/GJ PCI, Amont</v>
      </c>
      <c r="I789" s="1031" t="s">
        <v>5051</v>
      </c>
      <c r="J789" s="2219" t="s">
        <v>1566</v>
      </c>
      <c r="K789" s="1032" t="s">
        <v>1567</v>
      </c>
      <c r="L789" s="1032" t="s">
        <v>1571</v>
      </c>
      <c r="M789" s="1033">
        <v>0.2</v>
      </c>
      <c r="N789" s="1119" t="s">
        <v>1570</v>
      </c>
      <c r="O789" s="1036">
        <v>39.5</v>
      </c>
      <c r="P789" s="1036">
        <v>21.1</v>
      </c>
      <c r="Q789" s="1036">
        <v>0.91800000000000004</v>
      </c>
      <c r="R789" s="1036">
        <v>2.4E-2</v>
      </c>
      <c r="S789" s="1036">
        <v>17</v>
      </c>
      <c r="T789" s="1036">
        <v>0.45900000000000002</v>
      </c>
      <c r="U789" s="1037">
        <v>0</v>
      </c>
    </row>
    <row r="790" spans="4:21" s="1045" customFormat="1" hidden="1" outlineLevel="2">
      <c r="D790" s="1051">
        <f t="shared" si="78"/>
        <v>17</v>
      </c>
      <c r="E790" s="1051" t="str">
        <f>IF(COUNTIF(E$706:E789,F790)&gt;0,"",F790)</f>
        <v/>
      </c>
      <c r="F790" s="1051" t="str">
        <f t="shared" si="79"/>
        <v>Biopropane à base d'huile de colza, France continentale, Base Carbone</v>
      </c>
      <c r="G790" s="1055" t="str">
        <f t="shared" si="80"/>
        <v>Biopropane à base d'huile de colza, France continentale, Base Carbone; kgCO2e/GJ PCI, Combustion</v>
      </c>
      <c r="I790" s="1031" t="s">
        <v>5051</v>
      </c>
      <c r="J790" s="2219" t="s">
        <v>1566</v>
      </c>
      <c r="K790" s="1032" t="s">
        <v>1567</v>
      </c>
      <c r="L790" s="1032" t="s">
        <v>1571</v>
      </c>
      <c r="M790" s="1033">
        <v>0.2</v>
      </c>
      <c r="N790" s="1119" t="s">
        <v>1569</v>
      </c>
      <c r="O790" s="1036">
        <v>0</v>
      </c>
      <c r="P790" s="1036">
        <v>0</v>
      </c>
      <c r="Q790" s="1036">
        <v>0</v>
      </c>
      <c r="R790" s="1036">
        <v>0</v>
      </c>
      <c r="S790" s="1036">
        <v>0</v>
      </c>
      <c r="T790" s="1036">
        <v>0</v>
      </c>
      <c r="U790" s="1037">
        <v>0</v>
      </c>
    </row>
    <row r="791" spans="4:21" s="1045" customFormat="1" hidden="1" outlineLevel="2">
      <c r="D791" s="1051">
        <f t="shared" si="78"/>
        <v>17</v>
      </c>
      <c r="E791" s="1051" t="str">
        <f>IF(COUNTIF(E$706:E790,F791)&gt;0,"",F791)</f>
        <v/>
      </c>
      <c r="F791" s="1051" t="str">
        <f t="shared" si="79"/>
        <v>Biopropane à base d'huile de colza, France continentale, Base Carbone</v>
      </c>
      <c r="G791" s="1055" t="str">
        <f t="shared" si="80"/>
        <v>Biopropane à base d'huile de colza, France continentale, Base Carbone; kgCO2e/kWh PCI, Amont</v>
      </c>
      <c r="I791" s="1031" t="s">
        <v>5051</v>
      </c>
      <c r="J791" s="2342" t="s">
        <v>1573</v>
      </c>
      <c r="K791" s="1032" t="s">
        <v>1567</v>
      </c>
      <c r="L791" s="1032" t="s">
        <v>1571</v>
      </c>
      <c r="M791" s="1033">
        <v>0.2</v>
      </c>
      <c r="N791" s="1119" t="s">
        <v>1570</v>
      </c>
      <c r="O791" s="1036">
        <v>0.14199999999999999</v>
      </c>
      <c r="P791" s="1036">
        <v>7.5999999999999998E-2</v>
      </c>
      <c r="Q791" s="1036">
        <v>3.0000000000000001E-3</v>
      </c>
      <c r="R791" s="1036">
        <v>0</v>
      </c>
      <c r="S791" s="1036">
        <v>6.0999999999999999E-2</v>
      </c>
      <c r="T791" s="1036">
        <v>2E-3</v>
      </c>
      <c r="U791" s="1037">
        <v>0</v>
      </c>
    </row>
    <row r="792" spans="4:21" s="1045" customFormat="1" hidden="1" outlineLevel="2">
      <c r="D792" s="1051">
        <f t="shared" si="78"/>
        <v>17</v>
      </c>
      <c r="E792" s="1051" t="str">
        <f>IF(COUNTIF(E$706:E791,F792)&gt;0,"",F792)</f>
        <v/>
      </c>
      <c r="F792" s="1051" t="str">
        <f t="shared" si="79"/>
        <v>Biopropane à base d'huile de colza, France continentale, Base Carbone</v>
      </c>
      <c r="G792" s="1055" t="str">
        <f t="shared" si="80"/>
        <v>Biopropane à base d'huile de colza, France continentale, Base Carbone; kgCO2e/kWh PCI, Combustion</v>
      </c>
      <c r="I792" s="1031" t="s">
        <v>5051</v>
      </c>
      <c r="J792" s="2342" t="s">
        <v>1573</v>
      </c>
      <c r="K792" s="1032" t="s">
        <v>1567</v>
      </c>
      <c r="L792" s="1032" t="s">
        <v>1571</v>
      </c>
      <c r="M792" s="1033">
        <v>0.2</v>
      </c>
      <c r="N792" s="1119" t="s">
        <v>1569</v>
      </c>
      <c r="O792" s="1036">
        <v>0</v>
      </c>
      <c r="P792" s="1036">
        <v>0</v>
      </c>
      <c r="Q792" s="1036">
        <v>0</v>
      </c>
      <c r="R792" s="1036">
        <v>0</v>
      </c>
      <c r="S792" s="1036">
        <v>0</v>
      </c>
      <c r="T792" s="1036">
        <v>0</v>
      </c>
      <c r="U792" s="1037">
        <v>0</v>
      </c>
    </row>
    <row r="793" spans="4:21" s="1045" customFormat="1" hidden="1" outlineLevel="2">
      <c r="D793" s="1051">
        <f t="shared" si="78"/>
        <v>17</v>
      </c>
      <c r="E793" s="1051" t="str">
        <f>IF(COUNTIF(E$706:E792,F793)&gt;0,"",F793)</f>
        <v/>
      </c>
      <c r="F793" s="1051" t="str">
        <f t="shared" si="79"/>
        <v>Biopropane à base d'huile de colza, France continentale, Base Carbone</v>
      </c>
      <c r="G793" s="1055" t="str">
        <f t="shared" si="80"/>
        <v>Biopropane à base d'huile de colza, France continentale, Base Carbone; kgCO2e/litre, Amont</v>
      </c>
      <c r="I793" s="1031" t="s">
        <v>5051</v>
      </c>
      <c r="J793" s="2342" t="s">
        <v>1574</v>
      </c>
      <c r="K793" s="1032" t="s">
        <v>1567</v>
      </c>
      <c r="L793" s="1032" t="s">
        <v>1571</v>
      </c>
      <c r="M793" s="1033">
        <v>0.2</v>
      </c>
      <c r="N793" s="1119" t="s">
        <v>1570</v>
      </c>
      <c r="O793" s="1036">
        <v>0.94399999999999995</v>
      </c>
      <c r="P793" s="1036">
        <v>0.504</v>
      </c>
      <c r="Q793" s="1036">
        <v>2.1999999999999999E-2</v>
      </c>
      <c r="R793" s="1036">
        <v>1.01E-3</v>
      </c>
      <c r="S793" s="1036">
        <v>0.40600000000000003</v>
      </c>
      <c r="T793" s="1036">
        <v>1.0999999999999999E-2</v>
      </c>
      <c r="U793" s="1037">
        <v>0</v>
      </c>
    </row>
    <row r="794" spans="4:21" s="1045" customFormat="1" hidden="1" outlineLevel="2">
      <c r="D794" s="1051">
        <f t="shared" si="78"/>
        <v>17</v>
      </c>
      <c r="E794" s="1051" t="str">
        <f>IF(COUNTIF(E$706:E793,F794)&gt;0,"",F794)</f>
        <v/>
      </c>
      <c r="F794" s="1051" t="str">
        <f t="shared" si="79"/>
        <v>Biopropane à base d'huile de colza, France continentale, Base Carbone</v>
      </c>
      <c r="G794" s="1055" t="str">
        <f t="shared" si="80"/>
        <v>Biopropane à base d'huile de colza, France continentale, Base Carbone; kgCO2e/litre, Combustion</v>
      </c>
      <c r="I794" s="1031" t="s">
        <v>5051</v>
      </c>
      <c r="J794" s="2342" t="s">
        <v>1574</v>
      </c>
      <c r="K794" s="1032" t="s">
        <v>1567</v>
      </c>
      <c r="L794" s="1032" t="s">
        <v>1571</v>
      </c>
      <c r="M794" s="1033">
        <v>0.2</v>
      </c>
      <c r="N794" s="1119" t="s">
        <v>1569</v>
      </c>
      <c r="O794" s="1036">
        <v>0</v>
      </c>
      <c r="P794" s="1036">
        <v>0</v>
      </c>
      <c r="Q794" s="1036">
        <v>0</v>
      </c>
      <c r="R794" s="1036">
        <v>0</v>
      </c>
      <c r="S794" s="1036">
        <v>0</v>
      </c>
      <c r="T794" s="1036">
        <v>0</v>
      </c>
      <c r="U794" s="1037">
        <v>0</v>
      </c>
    </row>
    <row r="795" spans="4:21" s="1045" customFormat="1" hidden="1" outlineLevel="2">
      <c r="D795" s="1051">
        <f t="shared" si="78"/>
        <v>17</v>
      </c>
      <c r="E795" s="1051" t="str">
        <f>IF(COUNTIF(E$706:E794,F795)&gt;0,"",F795)</f>
        <v/>
      </c>
      <c r="F795" s="1051" t="str">
        <f t="shared" si="79"/>
        <v>Biopropane à base d'huile de colza, France continentale, Base Carbone</v>
      </c>
      <c r="G795" s="1055" t="str">
        <f t="shared" si="80"/>
        <v>Biopropane à base d'huile de colza, France continentale, Base Carbone; kgCO2e/tep PCI, Amont</v>
      </c>
      <c r="I795" s="1031" t="s">
        <v>5051</v>
      </c>
      <c r="J795" s="2342" t="s">
        <v>1575</v>
      </c>
      <c r="K795" s="1032" t="s">
        <v>1567</v>
      </c>
      <c r="L795" s="1032" t="s">
        <v>1571</v>
      </c>
      <c r="M795" s="1033">
        <v>0.2</v>
      </c>
      <c r="N795" s="1119" t="s">
        <v>1570</v>
      </c>
      <c r="O795" s="1036">
        <v>1661</v>
      </c>
      <c r="P795" s="1036">
        <v>887</v>
      </c>
      <c r="Q795" s="1036">
        <v>38.6</v>
      </c>
      <c r="R795" s="1036">
        <v>1</v>
      </c>
      <c r="S795" s="1036">
        <v>715</v>
      </c>
      <c r="T795" s="1036">
        <v>19.3</v>
      </c>
      <c r="U795" s="1037">
        <v>0</v>
      </c>
    </row>
    <row r="796" spans="4:21" s="1045" customFormat="1" hidden="1" outlineLevel="2">
      <c r="D796" s="1051">
        <f t="shared" si="78"/>
        <v>17</v>
      </c>
      <c r="E796" s="1051" t="str">
        <f>IF(COUNTIF(E$706:E795,F796)&gt;0,"",F796)</f>
        <v/>
      </c>
      <c r="F796" s="1051" t="str">
        <f t="shared" si="79"/>
        <v>Biopropane à base d'huile de colza, France continentale, Base Carbone</v>
      </c>
      <c r="G796" s="1055" t="str">
        <f t="shared" si="80"/>
        <v>Biopropane à base d'huile de colza, France continentale, Base Carbone; kgCO2e/tep PCI, Combustion</v>
      </c>
      <c r="I796" s="1031" t="s">
        <v>5051</v>
      </c>
      <c r="J796" s="2342" t="s">
        <v>1575</v>
      </c>
      <c r="K796" s="1032" t="s">
        <v>1567</v>
      </c>
      <c r="L796" s="1032" t="s">
        <v>1571</v>
      </c>
      <c r="M796" s="1033">
        <v>0.2</v>
      </c>
      <c r="N796" s="1119" t="s">
        <v>1569</v>
      </c>
      <c r="O796" s="1036">
        <v>0</v>
      </c>
      <c r="P796" s="1036">
        <v>0</v>
      </c>
      <c r="Q796" s="1036">
        <v>0</v>
      </c>
      <c r="R796" s="1036">
        <v>0</v>
      </c>
      <c r="S796" s="1036">
        <v>0</v>
      </c>
      <c r="T796" s="1036">
        <v>0</v>
      </c>
      <c r="U796" s="1037">
        <v>0</v>
      </c>
    </row>
    <row r="797" spans="4:21" s="1045" customFormat="1" hidden="1" outlineLevel="2">
      <c r="D797" s="1051">
        <f t="shared" si="78"/>
        <v>18</v>
      </c>
      <c r="E797" s="1051" t="str">
        <f>IF(COUNTIF(E$706:E796,F797)&gt;0,"",F797)</f>
        <v>Biopropane à base d'huile de palme (avec capture de méthane), France continentale, Base Carbone</v>
      </c>
      <c r="F797" s="1051" t="str">
        <f t="shared" si="79"/>
        <v>Biopropane à base d'huile de palme (avec capture de méthane), France continentale, Base Carbone</v>
      </c>
      <c r="G797" s="1055" t="str">
        <f t="shared" si="80"/>
        <v>Biopropane à base d'huile de palme (avec capture de méthane), France continentale, Base Carbone; kgCO2e/kg, Amont</v>
      </c>
      <c r="I797" s="1031" t="s">
        <v>5052</v>
      </c>
      <c r="J797" s="2342" t="s">
        <v>1572</v>
      </c>
      <c r="K797" s="1032" t="s">
        <v>1567</v>
      </c>
      <c r="L797" s="1032" t="s">
        <v>1571</v>
      </c>
      <c r="M797" s="1033">
        <v>0.2</v>
      </c>
      <c r="N797" s="1119" t="s">
        <v>1570</v>
      </c>
      <c r="O797" s="1036">
        <v>0.89900000000000002</v>
      </c>
      <c r="P797" s="1036">
        <v>0.64500000000000002</v>
      </c>
      <c r="Q797" s="1036">
        <v>2.5000000000000001E-2</v>
      </c>
      <c r="R797" s="1036">
        <v>1.01E-3</v>
      </c>
      <c r="S797" s="1036">
        <v>0.218</v>
      </c>
      <c r="T797" s="1036">
        <v>0.01</v>
      </c>
      <c r="U797" s="1037">
        <v>0</v>
      </c>
    </row>
    <row r="798" spans="4:21" s="1045" customFormat="1" hidden="1" outlineLevel="2">
      <c r="D798" s="1051">
        <f t="shared" si="78"/>
        <v>18</v>
      </c>
      <c r="E798" s="1051" t="str">
        <f>IF(COUNTIF(E$706:E797,F798)&gt;0,"",F798)</f>
        <v/>
      </c>
      <c r="F798" s="1051" t="str">
        <f t="shared" si="79"/>
        <v>Biopropane à base d'huile de palme (avec capture de méthane), France continentale, Base Carbone</v>
      </c>
      <c r="G798" s="1055" t="str">
        <f t="shared" si="80"/>
        <v>Biopropane à base d'huile de palme (avec capture de méthane), France continentale, Base Carbone; kgCO2e/kg, Combustion</v>
      </c>
      <c r="I798" s="1031" t="s">
        <v>5052</v>
      </c>
      <c r="J798" s="2342" t="s">
        <v>1572</v>
      </c>
      <c r="K798" s="1032" t="s">
        <v>1567</v>
      </c>
      <c r="L798" s="1032" t="s">
        <v>1571</v>
      </c>
      <c r="M798" s="1033">
        <v>0.2</v>
      </c>
      <c r="N798" s="1119" t="s">
        <v>1569</v>
      </c>
      <c r="O798" s="1036">
        <v>0</v>
      </c>
      <c r="P798" s="1036">
        <v>0</v>
      </c>
      <c r="Q798" s="1036">
        <v>0</v>
      </c>
      <c r="R798" s="1036">
        <v>0</v>
      </c>
      <c r="S798" s="1036">
        <v>0</v>
      </c>
      <c r="T798" s="1036">
        <v>0</v>
      </c>
      <c r="U798" s="1037">
        <v>0</v>
      </c>
    </row>
    <row r="799" spans="4:21" s="1045" customFormat="1" hidden="1" outlineLevel="2">
      <c r="D799" s="1051">
        <f t="shared" si="78"/>
        <v>18</v>
      </c>
      <c r="E799" s="1051" t="str">
        <f>IF(COUNTIF(E$706:E798,F799)&gt;0,"",F799)</f>
        <v/>
      </c>
      <c r="F799" s="1051" t="str">
        <f t="shared" si="79"/>
        <v>Biopropane à base d'huile de palme (avec capture de méthane), France continentale, Base Carbone</v>
      </c>
      <c r="G799" s="1055" t="str">
        <f t="shared" si="80"/>
        <v>Biopropane à base d'huile de palme (avec capture de méthane), France continentale, Base Carbone; kgCO2e/GJ PCI, Amont</v>
      </c>
      <c r="I799" s="1031" t="s">
        <v>5052</v>
      </c>
      <c r="J799" s="2219" t="s">
        <v>1566</v>
      </c>
      <c r="K799" s="1032" t="s">
        <v>1567</v>
      </c>
      <c r="L799" s="1032" t="s">
        <v>1571</v>
      </c>
      <c r="M799" s="1033">
        <v>0.2</v>
      </c>
      <c r="N799" s="1119" t="s">
        <v>1570</v>
      </c>
      <c r="O799" s="1036">
        <v>19.5</v>
      </c>
      <c r="P799" s="1036">
        <v>14</v>
      </c>
      <c r="Q799" s="1036">
        <v>0.54800000000000004</v>
      </c>
      <c r="R799" s="1036">
        <v>1.2999999999999999E-2</v>
      </c>
      <c r="S799" s="1036">
        <v>4.7300000000000004</v>
      </c>
      <c r="T799" s="1036">
        <v>0.20699999999999999</v>
      </c>
      <c r="U799" s="1037">
        <v>0</v>
      </c>
    </row>
    <row r="800" spans="4:21" s="1045" customFormat="1" hidden="1" outlineLevel="2">
      <c r="D800" s="1051">
        <f t="shared" si="78"/>
        <v>18</v>
      </c>
      <c r="E800" s="1051" t="str">
        <f>IF(COUNTIF(E$706:E799,F800)&gt;0,"",F800)</f>
        <v/>
      </c>
      <c r="F800" s="1051" t="str">
        <f t="shared" si="79"/>
        <v>Biopropane à base d'huile de palme (avec capture de méthane), France continentale, Base Carbone</v>
      </c>
      <c r="G800" s="1055" t="str">
        <f t="shared" si="80"/>
        <v>Biopropane à base d'huile de palme (avec capture de méthane), France continentale, Base Carbone; kgCO2e/GJ PCI, Combustion</v>
      </c>
      <c r="I800" s="1031" t="s">
        <v>5052</v>
      </c>
      <c r="J800" s="2219" t="s">
        <v>1566</v>
      </c>
      <c r="K800" s="1032" t="s">
        <v>1567</v>
      </c>
      <c r="L800" s="1032" t="s">
        <v>1571</v>
      </c>
      <c r="M800" s="1033">
        <v>0.2</v>
      </c>
      <c r="N800" s="1119" t="s">
        <v>1569</v>
      </c>
      <c r="O800" s="1036">
        <v>0</v>
      </c>
      <c r="P800" s="1036">
        <v>0</v>
      </c>
      <c r="Q800" s="1036">
        <v>0</v>
      </c>
      <c r="R800" s="1036">
        <v>0</v>
      </c>
      <c r="S800" s="1036">
        <v>0</v>
      </c>
      <c r="T800" s="1036">
        <v>0</v>
      </c>
      <c r="U800" s="1037">
        <v>0</v>
      </c>
    </row>
    <row r="801" spans="4:21" s="1045" customFormat="1" hidden="1" outlineLevel="2">
      <c r="D801" s="1051">
        <f t="shared" si="78"/>
        <v>18</v>
      </c>
      <c r="E801" s="1051" t="str">
        <f>IF(COUNTIF(E$706:E800,F801)&gt;0,"",F801)</f>
        <v/>
      </c>
      <c r="F801" s="1051" t="str">
        <f t="shared" si="79"/>
        <v>Biopropane à base d'huile de palme (avec capture de méthane), France continentale, Base Carbone</v>
      </c>
      <c r="G801" s="1055" t="str">
        <f t="shared" si="80"/>
        <v>Biopropane à base d'huile de palme (avec capture de méthane), France continentale, Base Carbone; kgCO2e/kWh PCI, Amont</v>
      </c>
      <c r="I801" s="1031" t="s">
        <v>5052</v>
      </c>
      <c r="J801" s="2342" t="s">
        <v>1573</v>
      </c>
      <c r="K801" s="1032" t="s">
        <v>1567</v>
      </c>
      <c r="L801" s="1032" t="s">
        <v>1571</v>
      </c>
      <c r="M801" s="1033">
        <v>0.2</v>
      </c>
      <c r="N801" s="1119" t="s">
        <v>1570</v>
      </c>
      <c r="O801" s="1036">
        <v>7.0999999999999994E-2</v>
      </c>
      <c r="P801" s="1036">
        <v>5.0999999999999997E-2</v>
      </c>
      <c r="Q801" s="1036">
        <v>2.0100000000000001E-3</v>
      </c>
      <c r="R801" s="1036">
        <v>0</v>
      </c>
      <c r="S801" s="1036">
        <v>0.17</v>
      </c>
      <c r="T801" s="1036">
        <v>1E-3</v>
      </c>
      <c r="U801" s="1037">
        <v>0</v>
      </c>
    </row>
    <row r="802" spans="4:21" s="1045" customFormat="1" hidden="1" outlineLevel="2">
      <c r="D802" s="1051">
        <f t="shared" si="78"/>
        <v>18</v>
      </c>
      <c r="E802" s="1051" t="str">
        <f>IF(COUNTIF(E$706:E801,F802)&gt;0,"",F802)</f>
        <v/>
      </c>
      <c r="F802" s="1051" t="str">
        <f t="shared" si="79"/>
        <v>Biopropane à base d'huile de palme (avec capture de méthane), France continentale, Base Carbone</v>
      </c>
      <c r="G802" s="1055" t="str">
        <f t="shared" si="80"/>
        <v>Biopropane à base d'huile de palme (avec capture de méthane), France continentale, Base Carbone; kgCO2e/kWh PCI, Combustion</v>
      </c>
      <c r="I802" s="1031" t="s">
        <v>5052</v>
      </c>
      <c r="J802" s="2342" t="s">
        <v>1573</v>
      </c>
      <c r="K802" s="1032" t="s">
        <v>1567</v>
      </c>
      <c r="L802" s="1032" t="s">
        <v>1571</v>
      </c>
      <c r="M802" s="1033">
        <v>0.2</v>
      </c>
      <c r="N802" s="1119" t="s">
        <v>1569</v>
      </c>
      <c r="O802" s="1036">
        <v>0</v>
      </c>
      <c r="P802" s="1036">
        <v>0</v>
      </c>
      <c r="Q802" s="1036">
        <v>0</v>
      </c>
      <c r="R802" s="1036">
        <v>0</v>
      </c>
      <c r="S802" s="1036">
        <v>0</v>
      </c>
      <c r="T802" s="1036">
        <v>0</v>
      </c>
      <c r="U802" s="1037">
        <v>0</v>
      </c>
    </row>
    <row r="803" spans="4:21" s="1045" customFormat="1" hidden="1" outlineLevel="2">
      <c r="D803" s="1051">
        <f t="shared" si="78"/>
        <v>18</v>
      </c>
      <c r="E803" s="1051" t="str">
        <f>IF(COUNTIF(E$706:E802,F803)&gt;0,"",F803)</f>
        <v/>
      </c>
      <c r="F803" s="1051" t="str">
        <f t="shared" si="79"/>
        <v>Biopropane à base d'huile de palme (avec capture de méthane), France continentale, Base Carbone</v>
      </c>
      <c r="G803" s="1055" t="str">
        <f t="shared" si="80"/>
        <v>Biopropane à base d'huile de palme (avec capture de méthane), France continentale, Base Carbone; kgCO2e/litre, Amont</v>
      </c>
      <c r="I803" s="1031" t="s">
        <v>5052</v>
      </c>
      <c r="J803" s="2342" t="s">
        <v>1574</v>
      </c>
      <c r="K803" s="1032" t="s">
        <v>1567</v>
      </c>
      <c r="L803" s="1032" t="s">
        <v>1571</v>
      </c>
      <c r="M803" s="1033">
        <v>0.2</v>
      </c>
      <c r="N803" s="1119" t="s">
        <v>1570</v>
      </c>
      <c r="O803" s="1036">
        <v>0.46600000000000003</v>
      </c>
      <c r="P803" s="1036">
        <v>0.33500000000000002</v>
      </c>
      <c r="Q803" s="1036">
        <v>1.2999999999999999E-2</v>
      </c>
      <c r="R803" s="1036">
        <v>0</v>
      </c>
      <c r="S803" s="1036">
        <v>0.113</v>
      </c>
      <c r="T803" s="1036">
        <v>5.0000000000000001E-3</v>
      </c>
      <c r="U803" s="1037">
        <v>0</v>
      </c>
    </row>
    <row r="804" spans="4:21" s="1045" customFormat="1" hidden="1" outlineLevel="2">
      <c r="D804" s="1051">
        <f t="shared" si="78"/>
        <v>18</v>
      </c>
      <c r="E804" s="1051" t="str">
        <f>IF(COUNTIF(E$706:E803,F804)&gt;0,"",F804)</f>
        <v/>
      </c>
      <c r="F804" s="1051" t="str">
        <f t="shared" si="79"/>
        <v>Biopropane à base d'huile de palme (avec capture de méthane), France continentale, Base Carbone</v>
      </c>
      <c r="G804" s="1055" t="str">
        <f t="shared" si="80"/>
        <v>Biopropane à base d'huile de palme (avec capture de méthane), France continentale, Base Carbone; kgCO2e/litre, Combustion</v>
      </c>
      <c r="I804" s="1031" t="s">
        <v>5052</v>
      </c>
      <c r="J804" s="2342" t="s">
        <v>1574</v>
      </c>
      <c r="K804" s="1032" t="s">
        <v>1567</v>
      </c>
      <c r="L804" s="1032" t="s">
        <v>1571</v>
      </c>
      <c r="M804" s="1033">
        <v>0.2</v>
      </c>
      <c r="N804" s="1119" t="s">
        <v>1569</v>
      </c>
      <c r="O804" s="1036">
        <v>0</v>
      </c>
      <c r="P804" s="1036">
        <v>0</v>
      </c>
      <c r="Q804" s="1036">
        <v>0</v>
      </c>
      <c r="R804" s="1036">
        <v>0</v>
      </c>
      <c r="S804" s="1036">
        <v>0</v>
      </c>
      <c r="T804" s="1036">
        <v>0</v>
      </c>
      <c r="U804" s="1037">
        <v>0</v>
      </c>
    </row>
    <row r="805" spans="4:21" s="1045" customFormat="1" hidden="1" outlineLevel="2">
      <c r="D805" s="1051">
        <f t="shared" si="78"/>
        <v>18</v>
      </c>
      <c r="E805" s="1051" t="str">
        <f>IF(COUNTIF(E$706:E804,F805)&gt;0,"",F805)</f>
        <v/>
      </c>
      <c r="F805" s="1051" t="str">
        <f t="shared" si="79"/>
        <v>Biopropane à base d'huile de palme (avec capture de méthane), France continentale, Base Carbone</v>
      </c>
      <c r="G805" s="1055" t="str">
        <f t="shared" si="80"/>
        <v>Biopropane à base d'huile de palme (avec capture de méthane), France continentale, Base Carbone; kgCO2e/tep PCI, Amont</v>
      </c>
      <c r="I805" s="1031" t="s">
        <v>5052</v>
      </c>
      <c r="J805" s="2342" t="s">
        <v>1575</v>
      </c>
      <c r="K805" s="1032" t="s">
        <v>1567</v>
      </c>
      <c r="L805" s="1032" t="s">
        <v>1571</v>
      </c>
      <c r="M805" s="1033">
        <v>0.2</v>
      </c>
      <c r="N805" s="1119" t="s">
        <v>1570</v>
      </c>
      <c r="O805" s="1036">
        <v>821</v>
      </c>
      <c r="P805" s="1036">
        <v>590</v>
      </c>
      <c r="Q805" s="1036">
        <v>23</v>
      </c>
      <c r="R805" s="1036">
        <v>0.5</v>
      </c>
      <c r="S805" s="1036">
        <v>199</v>
      </c>
      <c r="T805" s="1036">
        <v>8.6999999999999993</v>
      </c>
      <c r="U805" s="1037">
        <v>0</v>
      </c>
    </row>
    <row r="806" spans="4:21" s="1045" customFormat="1" hidden="1" outlineLevel="2">
      <c r="D806" s="1051">
        <f t="shared" si="78"/>
        <v>18</v>
      </c>
      <c r="E806" s="1051" t="str">
        <f>IF(COUNTIF(E$706:E805,F806)&gt;0,"",F806)</f>
        <v/>
      </c>
      <c r="F806" s="1051" t="str">
        <f t="shared" si="79"/>
        <v>Biopropane à base d'huile de palme (avec capture de méthane), France continentale, Base Carbone</v>
      </c>
      <c r="G806" s="1055" t="str">
        <f t="shared" si="80"/>
        <v>Biopropane à base d'huile de palme (avec capture de méthane), France continentale, Base Carbone; kgCO2e/tep PCI, Combustion</v>
      </c>
      <c r="I806" s="1031" t="s">
        <v>5052</v>
      </c>
      <c r="J806" s="2342" t="s">
        <v>1575</v>
      </c>
      <c r="K806" s="1032" t="s">
        <v>1567</v>
      </c>
      <c r="L806" s="1032" t="s">
        <v>1571</v>
      </c>
      <c r="M806" s="1033">
        <v>0.2</v>
      </c>
      <c r="N806" s="1119" t="s">
        <v>1569</v>
      </c>
      <c r="O806" s="1036">
        <v>0</v>
      </c>
      <c r="P806" s="1036">
        <v>0</v>
      </c>
      <c r="Q806" s="1036">
        <v>0</v>
      </c>
      <c r="R806" s="1036">
        <v>0</v>
      </c>
      <c r="S806" s="1036">
        <v>0</v>
      </c>
      <c r="T806" s="1036">
        <v>0</v>
      </c>
      <c r="U806" s="1037">
        <v>0</v>
      </c>
    </row>
    <row r="807" spans="4:21" s="1045" customFormat="1" hidden="1" outlineLevel="2">
      <c r="D807" s="1051">
        <f t="shared" si="78"/>
        <v>19</v>
      </c>
      <c r="E807" s="1051" t="str">
        <f>IF(COUNTIF(E$706:E806,F807)&gt;0,"",F807)</f>
        <v>Biopropane à base d'huile de palme (sans capture de méthane), France continentale, Base Carbone</v>
      </c>
      <c r="F807" s="1051" t="str">
        <f t="shared" si="79"/>
        <v>Biopropane à base d'huile de palme (sans capture de méthane), France continentale, Base Carbone</v>
      </c>
      <c r="G807" s="1055" t="str">
        <f t="shared" si="80"/>
        <v>Biopropane à base d'huile de palme (sans capture de méthane), France continentale, Base Carbone; kgCO2e/kg, Amont</v>
      </c>
      <c r="I807" s="1031" t="s">
        <v>5053</v>
      </c>
      <c r="J807" s="2219" t="s">
        <v>1572</v>
      </c>
      <c r="K807" s="1032" t="s">
        <v>1567</v>
      </c>
      <c r="L807" s="1032" t="s">
        <v>1571</v>
      </c>
      <c r="M807" s="1033">
        <v>0.2</v>
      </c>
      <c r="N807" s="1119" t="s">
        <v>1570</v>
      </c>
      <c r="O807" s="1036">
        <v>1.07</v>
      </c>
      <c r="P807" s="1036">
        <v>0.55100000000000005</v>
      </c>
      <c r="Q807" s="1036">
        <v>2.1000000000000001E-2</v>
      </c>
      <c r="R807" s="1036">
        <v>0.30399999999999999</v>
      </c>
      <c r="S807" s="1036">
        <v>0.184</v>
      </c>
      <c r="T807" s="1036">
        <v>8.0000000000000002E-3</v>
      </c>
      <c r="U807" s="1037">
        <v>0</v>
      </c>
    </row>
    <row r="808" spans="4:21" s="1045" customFormat="1" hidden="1" outlineLevel="2">
      <c r="D808" s="1051">
        <f t="shared" si="78"/>
        <v>19</v>
      </c>
      <c r="E808" s="1051" t="str">
        <f>IF(COUNTIF(E$706:E807,F808)&gt;0,"",F808)</f>
        <v/>
      </c>
      <c r="F808" s="1051" t="str">
        <f t="shared" si="79"/>
        <v>Biopropane à base d'huile de palme (sans capture de méthane), France continentale, Base Carbone</v>
      </c>
      <c r="G808" s="1055" t="str">
        <f t="shared" si="80"/>
        <v>Biopropane à base d'huile de palme (sans capture de méthane), France continentale, Base Carbone; kgCO2e/kg, Combustion</v>
      </c>
      <c r="I808" s="1031" t="s">
        <v>5053</v>
      </c>
      <c r="J808" s="2219" t="s">
        <v>1572</v>
      </c>
      <c r="K808" s="1032" t="s">
        <v>1567</v>
      </c>
      <c r="L808" s="1032" t="s">
        <v>1571</v>
      </c>
      <c r="M808" s="1033">
        <v>0.2</v>
      </c>
      <c r="N808" s="1119" t="s">
        <v>1569</v>
      </c>
      <c r="O808" s="1036">
        <v>0</v>
      </c>
      <c r="P808" s="1036">
        <v>0</v>
      </c>
      <c r="Q808" s="1036">
        <v>0</v>
      </c>
      <c r="R808" s="1036">
        <v>0</v>
      </c>
      <c r="S808" s="1036">
        <v>0</v>
      </c>
      <c r="T808" s="1036">
        <v>0</v>
      </c>
      <c r="U808" s="1037">
        <v>0</v>
      </c>
    </row>
    <row r="809" spans="4:21" s="1045" customFormat="1" hidden="1" outlineLevel="2">
      <c r="D809" s="1051">
        <f t="shared" si="78"/>
        <v>19</v>
      </c>
      <c r="E809" s="1051" t="str">
        <f>IF(COUNTIF(E$706:E808,F809)&gt;0,"",F809)</f>
        <v/>
      </c>
      <c r="F809" s="1051" t="str">
        <f t="shared" si="79"/>
        <v>Biopropane à base d'huile de palme (sans capture de méthane), France continentale, Base Carbone</v>
      </c>
      <c r="G809" s="1055" t="str">
        <f t="shared" si="80"/>
        <v>Biopropane à base d'huile de palme (sans capture de méthane), France continentale, Base Carbone; kgCO2e/GJ PCI, Amont</v>
      </c>
      <c r="I809" s="1031" t="s">
        <v>5053</v>
      </c>
      <c r="J809" s="2342" t="s">
        <v>1566</v>
      </c>
      <c r="K809" s="1032" t="s">
        <v>1567</v>
      </c>
      <c r="L809" s="1032" t="s">
        <v>1571</v>
      </c>
      <c r="M809" s="1033">
        <v>0.2</v>
      </c>
      <c r="N809" s="1119" t="s">
        <v>1570</v>
      </c>
      <c r="O809" s="1036">
        <v>23.3</v>
      </c>
      <c r="P809" s="1036">
        <v>12</v>
      </c>
      <c r="Q809" s="1036">
        <v>0.46500000000000002</v>
      </c>
      <c r="R809" s="1036">
        <v>6.62</v>
      </c>
      <c r="S809" s="1036">
        <v>4.01</v>
      </c>
      <c r="T809" s="1036">
        <v>0.17499999999999999</v>
      </c>
      <c r="U809" s="1037">
        <v>0</v>
      </c>
    </row>
    <row r="810" spans="4:21" s="1045" customFormat="1" hidden="1" outlineLevel="2">
      <c r="D810" s="1051">
        <f t="shared" si="78"/>
        <v>19</v>
      </c>
      <c r="E810" s="1051" t="str">
        <f>IF(COUNTIF(E$706:E809,F810)&gt;0,"",F810)</f>
        <v/>
      </c>
      <c r="F810" s="1051" t="str">
        <f t="shared" si="79"/>
        <v>Biopropane à base d'huile de palme (sans capture de méthane), France continentale, Base Carbone</v>
      </c>
      <c r="G810" s="1055" t="str">
        <f t="shared" si="80"/>
        <v>Biopropane à base d'huile de palme (sans capture de méthane), France continentale, Base Carbone; kgCO2e/GJ PCI, Combustion</v>
      </c>
      <c r="I810" s="1031" t="s">
        <v>5053</v>
      </c>
      <c r="J810" s="2342" t="s">
        <v>1566</v>
      </c>
      <c r="K810" s="1032" t="s">
        <v>1567</v>
      </c>
      <c r="L810" s="1032" t="s">
        <v>1571</v>
      </c>
      <c r="M810" s="1033">
        <v>0.2</v>
      </c>
      <c r="N810" s="1119" t="s">
        <v>1569</v>
      </c>
      <c r="O810" s="1036">
        <v>0</v>
      </c>
      <c r="P810" s="1036">
        <v>0</v>
      </c>
      <c r="Q810" s="1036">
        <v>0</v>
      </c>
      <c r="R810" s="1036">
        <v>0</v>
      </c>
      <c r="S810" s="1036">
        <v>0</v>
      </c>
      <c r="T810" s="1036">
        <v>0</v>
      </c>
      <c r="U810" s="1037">
        <v>0</v>
      </c>
    </row>
    <row r="811" spans="4:21" s="1045" customFormat="1" hidden="1" outlineLevel="2">
      <c r="D811" s="1051">
        <f t="shared" si="78"/>
        <v>19</v>
      </c>
      <c r="E811" s="1051" t="str">
        <f>IF(COUNTIF(E$706:E810,F811)&gt;0,"",F811)</f>
        <v/>
      </c>
      <c r="F811" s="1051" t="str">
        <f t="shared" si="79"/>
        <v>Biopropane à base d'huile de palme (sans capture de méthane), France continentale, Base Carbone</v>
      </c>
      <c r="G811" s="1055" t="str">
        <f t="shared" si="80"/>
        <v>Biopropane à base d'huile de palme (sans capture de méthane), France continentale, Base Carbone; kgCO2e/kWh PCI, Amont</v>
      </c>
      <c r="I811" s="1031" t="s">
        <v>5053</v>
      </c>
      <c r="J811" s="2342" t="s">
        <v>1573</v>
      </c>
      <c r="K811" s="1032" t="s">
        <v>1567</v>
      </c>
      <c r="L811" s="1032" t="s">
        <v>1571</v>
      </c>
      <c r="M811" s="1033">
        <v>0.2</v>
      </c>
      <c r="N811" s="1119" t="s">
        <v>1570</v>
      </c>
      <c r="O811" s="1036">
        <v>8.4000000000000005E-2</v>
      </c>
      <c r="P811" s="1036">
        <v>4.2999999999999997E-2</v>
      </c>
      <c r="Q811" s="1036">
        <v>2.0100000000000001E-3</v>
      </c>
      <c r="R811" s="1036">
        <v>2.4E-2</v>
      </c>
      <c r="S811" s="1036">
        <v>1.4E-2</v>
      </c>
      <c r="T811" s="1036">
        <v>1E-3</v>
      </c>
      <c r="U811" s="1037">
        <v>0</v>
      </c>
    </row>
    <row r="812" spans="4:21" s="1045" customFormat="1" hidden="1" outlineLevel="2">
      <c r="D812" s="1051">
        <f t="shared" si="78"/>
        <v>19</v>
      </c>
      <c r="E812" s="1051" t="str">
        <f>IF(COUNTIF(E$706:E811,F812)&gt;0,"",F812)</f>
        <v/>
      </c>
      <c r="F812" s="1051" t="str">
        <f t="shared" si="79"/>
        <v>Biopropane à base d'huile de palme (sans capture de méthane), France continentale, Base Carbone</v>
      </c>
      <c r="G812" s="1055" t="str">
        <f t="shared" si="80"/>
        <v>Biopropane à base d'huile de palme (sans capture de méthane), France continentale, Base Carbone; kgCO2e/kWh PCI, Combustion</v>
      </c>
      <c r="I812" s="1031" t="s">
        <v>5053</v>
      </c>
      <c r="J812" s="2342" t="s">
        <v>1573</v>
      </c>
      <c r="K812" s="1032" t="s">
        <v>1567</v>
      </c>
      <c r="L812" s="1032" t="s">
        <v>1571</v>
      </c>
      <c r="M812" s="1033">
        <v>0.2</v>
      </c>
      <c r="N812" s="1119" t="s">
        <v>1569</v>
      </c>
      <c r="O812" s="1036">
        <v>0</v>
      </c>
      <c r="P812" s="1036">
        <v>0</v>
      </c>
      <c r="Q812" s="1036">
        <v>0</v>
      </c>
      <c r="R812" s="1036" t="s">
        <v>284</v>
      </c>
      <c r="S812" s="1036">
        <v>0</v>
      </c>
      <c r="T812" s="1036">
        <v>0</v>
      </c>
      <c r="U812" s="1037">
        <v>0</v>
      </c>
    </row>
    <row r="813" spans="4:21" s="1045" customFormat="1" hidden="1" outlineLevel="2">
      <c r="D813" s="1051">
        <f t="shared" si="78"/>
        <v>19</v>
      </c>
      <c r="E813" s="1051" t="str">
        <f>IF(COUNTIF(E$706:E812,F813)&gt;0,"",F813)</f>
        <v/>
      </c>
      <c r="F813" s="1051" t="str">
        <f t="shared" si="79"/>
        <v>Biopropane à base d'huile de palme (sans capture de méthane), France continentale, Base Carbone</v>
      </c>
      <c r="G813" s="1055" t="str">
        <f t="shared" si="80"/>
        <v>Biopropane à base d'huile de palme (sans capture de méthane), France continentale, Base Carbone; kgCO2e/litre, Amont</v>
      </c>
      <c r="I813" s="1031" t="s">
        <v>5053</v>
      </c>
      <c r="J813" s="2342" t="s">
        <v>1574</v>
      </c>
      <c r="K813" s="1032" t="s">
        <v>1567</v>
      </c>
      <c r="L813" s="1032" t="s">
        <v>1571</v>
      </c>
      <c r="M813" s="1033">
        <v>0.2</v>
      </c>
      <c r="N813" s="1119" t="s">
        <v>1570</v>
      </c>
      <c r="O813" s="1036">
        <v>0.55500000000000005</v>
      </c>
      <c r="P813" s="1036">
        <v>0.28599999999999998</v>
      </c>
      <c r="Q813" s="1036">
        <v>1.0999999999999999E-2</v>
      </c>
      <c r="R813" s="1036">
        <v>0.158</v>
      </c>
      <c r="S813" s="1036">
        <v>9.5899999999999999E-2</v>
      </c>
      <c r="T813" s="1036">
        <v>4.0000000000000001E-3</v>
      </c>
      <c r="U813" s="1037">
        <v>0</v>
      </c>
    </row>
    <row r="814" spans="4:21" s="1045" customFormat="1" hidden="1" outlineLevel="2">
      <c r="D814" s="1051">
        <f t="shared" si="78"/>
        <v>19</v>
      </c>
      <c r="E814" s="1051" t="str">
        <f>IF(COUNTIF(E$706:E813,F814)&gt;0,"",F814)</f>
        <v/>
      </c>
      <c r="F814" s="1051" t="str">
        <f t="shared" si="79"/>
        <v>Biopropane à base d'huile de palme (sans capture de méthane), France continentale, Base Carbone</v>
      </c>
      <c r="G814" s="1055" t="str">
        <f t="shared" si="80"/>
        <v>Biopropane à base d'huile de palme (sans capture de méthane), France continentale, Base Carbone; kgCO2e/litre, Combustion</v>
      </c>
      <c r="I814" s="1031" t="s">
        <v>5053</v>
      </c>
      <c r="J814" s="2342" t="s">
        <v>1574</v>
      </c>
      <c r="K814" s="1032" t="s">
        <v>1567</v>
      </c>
      <c r="L814" s="1032" t="s">
        <v>1571</v>
      </c>
      <c r="M814" s="1033">
        <v>0.2</v>
      </c>
      <c r="N814" s="1119" t="s">
        <v>1569</v>
      </c>
      <c r="O814" s="1036">
        <v>0</v>
      </c>
      <c r="P814" s="1036">
        <v>0</v>
      </c>
      <c r="Q814" s="1036">
        <v>0</v>
      </c>
      <c r="R814" s="1036">
        <v>0</v>
      </c>
      <c r="S814" s="1036">
        <v>0</v>
      </c>
      <c r="T814" s="1036">
        <v>0</v>
      </c>
      <c r="U814" s="1037">
        <v>0</v>
      </c>
    </row>
    <row r="815" spans="4:21" s="1045" customFormat="1" hidden="1" outlineLevel="2">
      <c r="D815" s="1051">
        <f t="shared" si="78"/>
        <v>19</v>
      </c>
      <c r="E815" s="1051" t="str">
        <f>IF(COUNTIF(E$706:E814,F815)&gt;0,"",F815)</f>
        <v/>
      </c>
      <c r="F815" s="1051" t="str">
        <f t="shared" si="79"/>
        <v>Biopropane à base d'huile de palme (sans capture de méthane), France continentale, Base Carbone</v>
      </c>
      <c r="G815" s="1055" t="str">
        <f t="shared" si="80"/>
        <v>Biopropane à base d'huile de palme (sans capture de méthane), France continentale, Base Carbone; kgCO2e/tep PCI, Amont</v>
      </c>
      <c r="I815" s="1031" t="s">
        <v>5053</v>
      </c>
      <c r="J815" s="2342" t="s">
        <v>1575</v>
      </c>
      <c r="K815" s="1032" t="s">
        <v>1567</v>
      </c>
      <c r="L815" s="1032" t="s">
        <v>1571</v>
      </c>
      <c r="M815" s="1033">
        <v>0.2</v>
      </c>
      <c r="N815" s="1119" t="s">
        <v>1570</v>
      </c>
      <c r="O815" s="1036">
        <v>978</v>
      </c>
      <c r="P815" s="1036">
        <v>504</v>
      </c>
      <c r="Q815" s="1036">
        <v>19.5</v>
      </c>
      <c r="R815" s="1036">
        <v>278</v>
      </c>
      <c r="S815" s="1036">
        <v>169</v>
      </c>
      <c r="T815" s="1036">
        <v>7.4</v>
      </c>
      <c r="U815" s="1037">
        <v>0</v>
      </c>
    </row>
    <row r="816" spans="4:21" s="1045" customFormat="1" hidden="1" outlineLevel="2">
      <c r="D816" s="1051">
        <f t="shared" si="78"/>
        <v>19</v>
      </c>
      <c r="E816" s="1051" t="str">
        <f>IF(COUNTIF(E$706:E815,F816)&gt;0,"",F816)</f>
        <v/>
      </c>
      <c r="F816" s="1051" t="str">
        <f t="shared" si="79"/>
        <v>Biopropane à base d'huile de palme (sans capture de méthane), France continentale, Base Carbone</v>
      </c>
      <c r="G816" s="1055" t="str">
        <f t="shared" si="80"/>
        <v>Biopropane à base d'huile de palme (sans capture de méthane), France continentale, Base Carbone; kgCO2e/tep PCI, Combustion</v>
      </c>
      <c r="I816" s="1031" t="s">
        <v>5053</v>
      </c>
      <c r="J816" s="2342" t="s">
        <v>1575</v>
      </c>
      <c r="K816" s="1032" t="s">
        <v>1567</v>
      </c>
      <c r="L816" s="1032" t="s">
        <v>1571</v>
      </c>
      <c r="M816" s="1033">
        <v>0.2</v>
      </c>
      <c r="N816" s="1119" t="s">
        <v>1569</v>
      </c>
      <c r="O816" s="1036">
        <v>0</v>
      </c>
      <c r="P816" s="1036">
        <v>0</v>
      </c>
      <c r="Q816" s="1036">
        <v>0</v>
      </c>
      <c r="R816" s="1036">
        <v>0</v>
      </c>
      <c r="S816" s="1036">
        <v>0</v>
      </c>
      <c r="T816" s="1036">
        <v>0</v>
      </c>
      <c r="U816" s="1037">
        <v>0</v>
      </c>
    </row>
    <row r="817" spans="4:21" s="1045" customFormat="1" hidden="1" outlineLevel="2">
      <c r="D817" s="1051">
        <f t="shared" si="78"/>
        <v>20</v>
      </c>
      <c r="E817" s="1051" t="str">
        <f>IF(COUNTIF(E$706:E816,F817)&gt;0,"",F817)</f>
        <v>Biopropane à base d'huile de tournesol, France continentale, Base Carbone</v>
      </c>
      <c r="F817" s="1051" t="str">
        <f t="shared" si="79"/>
        <v>Biopropane à base d'huile de tournesol, France continentale, Base Carbone</v>
      </c>
      <c r="G817" s="1055" t="str">
        <f t="shared" si="80"/>
        <v>Biopropane à base d'huile de tournesol, France continentale, Base Carbone; kgCO2e/kg, Amont</v>
      </c>
      <c r="I817" s="1031" t="s">
        <v>5054</v>
      </c>
      <c r="J817" s="2342" t="s">
        <v>1572</v>
      </c>
      <c r="K817" s="1032" t="s">
        <v>1567</v>
      </c>
      <c r="L817" s="1032" t="s">
        <v>1571</v>
      </c>
      <c r="M817" s="1033">
        <v>0.2</v>
      </c>
      <c r="N817" s="1119" t="s">
        <v>1570</v>
      </c>
      <c r="O817" s="1036">
        <v>1.23</v>
      </c>
      <c r="P817" s="2302">
        <v>1.23</v>
      </c>
      <c r="Q817" s="1980">
        <v>0</v>
      </c>
      <c r="R817" s="1980">
        <v>0</v>
      </c>
      <c r="S817" s="1980">
        <v>0</v>
      </c>
      <c r="T817" s="1980">
        <v>0</v>
      </c>
      <c r="U817" s="2036">
        <v>0</v>
      </c>
    </row>
    <row r="818" spans="4:21" s="1045" customFormat="1" hidden="1" outlineLevel="2">
      <c r="D818" s="1051">
        <f t="shared" si="78"/>
        <v>20</v>
      </c>
      <c r="E818" s="1051" t="str">
        <f>IF(COUNTIF(E$706:E817,F818)&gt;0,"",F818)</f>
        <v/>
      </c>
      <c r="F818" s="1051" t="str">
        <f t="shared" si="79"/>
        <v>Biopropane à base d'huile de tournesol, France continentale, Base Carbone</v>
      </c>
      <c r="G818" s="1055" t="str">
        <f t="shared" si="80"/>
        <v>Biopropane à base d'huile de tournesol, France continentale, Base Carbone; kgCO2e/kg, Combustion</v>
      </c>
      <c r="I818" s="1031" t="s">
        <v>5054</v>
      </c>
      <c r="J818" s="2342" t="s">
        <v>1572</v>
      </c>
      <c r="K818" s="1032" t="s">
        <v>1567</v>
      </c>
      <c r="L818" s="1032" t="s">
        <v>1571</v>
      </c>
      <c r="M818" s="1033">
        <v>0.2</v>
      </c>
      <c r="N818" s="1119" t="s">
        <v>1569</v>
      </c>
      <c r="O818" s="1036">
        <v>0</v>
      </c>
      <c r="P818" s="2302">
        <v>0</v>
      </c>
      <c r="Q818" s="1980">
        <v>0</v>
      </c>
      <c r="R818" s="1980">
        <v>0</v>
      </c>
      <c r="S818" s="1980">
        <v>0</v>
      </c>
      <c r="T818" s="1980">
        <v>0</v>
      </c>
      <c r="U818" s="2036">
        <v>0</v>
      </c>
    </row>
    <row r="819" spans="4:21" s="1045" customFormat="1" hidden="1" outlineLevel="2">
      <c r="D819" s="1051">
        <f t="shared" si="78"/>
        <v>20</v>
      </c>
      <c r="E819" s="1051" t="str">
        <f>IF(COUNTIF(E$706:E818,F819)&gt;0,"",F819)</f>
        <v/>
      </c>
      <c r="F819" s="1051" t="str">
        <f t="shared" si="79"/>
        <v>Biopropane à base d'huile de tournesol, France continentale, Base Carbone</v>
      </c>
      <c r="G819" s="1055" t="str">
        <f t="shared" si="80"/>
        <v>Biopropane à base d'huile de tournesol, France continentale, Base Carbone; kgCO2e/GJ PCI, Amont</v>
      </c>
      <c r="I819" s="1031" t="s">
        <v>5054</v>
      </c>
      <c r="J819" s="2342" t="s">
        <v>1566</v>
      </c>
      <c r="K819" s="1032" t="s">
        <v>1567</v>
      </c>
      <c r="L819" s="1032" t="s">
        <v>1571</v>
      </c>
      <c r="M819" s="1033">
        <v>0.2</v>
      </c>
      <c r="N819" s="1119" t="s">
        <v>1570</v>
      </c>
      <c r="O819" s="1036">
        <v>26.8</v>
      </c>
      <c r="P819" s="2302">
        <v>26.8</v>
      </c>
      <c r="Q819" s="1980">
        <v>0</v>
      </c>
      <c r="R819" s="1980">
        <v>0</v>
      </c>
      <c r="S819" s="1980">
        <v>0</v>
      </c>
      <c r="T819" s="1980">
        <v>0</v>
      </c>
      <c r="U819" s="2036">
        <v>0</v>
      </c>
    </row>
    <row r="820" spans="4:21" s="1045" customFormat="1" hidden="1" outlineLevel="2">
      <c r="D820" s="1051">
        <f t="shared" si="78"/>
        <v>20</v>
      </c>
      <c r="E820" s="1051" t="str">
        <f>IF(COUNTIF(E$706:E819,F820)&gt;0,"",F820)</f>
        <v/>
      </c>
      <c r="F820" s="1051" t="str">
        <f t="shared" si="79"/>
        <v>Biopropane à base d'huile de tournesol, France continentale, Base Carbone</v>
      </c>
      <c r="G820" s="1055" t="str">
        <f t="shared" si="80"/>
        <v>Biopropane à base d'huile de tournesol, France continentale, Base Carbone; kgCO2e/GJ PCI, Combustion</v>
      </c>
      <c r="I820" s="1031" t="s">
        <v>5054</v>
      </c>
      <c r="J820" s="2342" t="s">
        <v>1566</v>
      </c>
      <c r="K820" s="1032" t="s">
        <v>1567</v>
      </c>
      <c r="L820" s="1032" t="s">
        <v>1571</v>
      </c>
      <c r="M820" s="1033">
        <v>0.2</v>
      </c>
      <c r="N820" s="1119" t="s">
        <v>1569</v>
      </c>
      <c r="O820" s="1036">
        <v>0</v>
      </c>
      <c r="P820" s="2302">
        <v>0</v>
      </c>
      <c r="Q820" s="1980">
        <v>0</v>
      </c>
      <c r="R820" s="1980">
        <v>0</v>
      </c>
      <c r="S820" s="1980">
        <v>0</v>
      </c>
      <c r="T820" s="1980">
        <v>0</v>
      </c>
      <c r="U820" s="2036">
        <v>0</v>
      </c>
    </row>
    <row r="821" spans="4:21" s="1045" customFormat="1" hidden="1" outlineLevel="2">
      <c r="D821" s="1051">
        <f t="shared" si="78"/>
        <v>20</v>
      </c>
      <c r="E821" s="1051" t="str">
        <f>IF(COUNTIF(E$706:E820,F821)&gt;0,"",F821)</f>
        <v/>
      </c>
      <c r="F821" s="1051" t="str">
        <f t="shared" si="79"/>
        <v>Biopropane à base d'huile de tournesol, France continentale, Base Carbone</v>
      </c>
      <c r="G821" s="1055" t="str">
        <f t="shared" si="80"/>
        <v>Biopropane à base d'huile de tournesol, France continentale, Base Carbone; kgCO2e/kWh PCI, Amont</v>
      </c>
      <c r="I821" s="1031" t="s">
        <v>5054</v>
      </c>
      <c r="J821" s="2342" t="s">
        <v>1573</v>
      </c>
      <c r="K821" s="1032" t="s">
        <v>1567</v>
      </c>
      <c r="L821" s="1032" t="s">
        <v>1571</v>
      </c>
      <c r="M821" s="1033">
        <v>0.2</v>
      </c>
      <c r="N821" s="1119" t="s">
        <v>1570</v>
      </c>
      <c r="O821" s="1036">
        <v>9.6000000000000002E-2</v>
      </c>
      <c r="P821" s="2302">
        <v>9.6000000000000002E-2</v>
      </c>
      <c r="Q821" s="1980">
        <v>0</v>
      </c>
      <c r="R821" s="1980">
        <v>0</v>
      </c>
      <c r="S821" s="1980">
        <v>0</v>
      </c>
      <c r="T821" s="1980">
        <v>0</v>
      </c>
      <c r="U821" s="2036">
        <v>0</v>
      </c>
    </row>
    <row r="822" spans="4:21" s="1045" customFormat="1" hidden="1" outlineLevel="2">
      <c r="D822" s="1051">
        <f t="shared" si="78"/>
        <v>20</v>
      </c>
      <c r="E822" s="1051" t="str">
        <f>IF(COUNTIF(E$706:E821,F822)&gt;0,"",F822)</f>
        <v/>
      </c>
      <c r="F822" s="1051" t="str">
        <f t="shared" si="79"/>
        <v>Biopropane à base d'huile de tournesol, France continentale, Base Carbone</v>
      </c>
      <c r="G822" s="1055" t="str">
        <f t="shared" si="80"/>
        <v>Biopropane à base d'huile de tournesol, France continentale, Base Carbone; kgCO2e/kWh PCI, Combustion</v>
      </c>
      <c r="I822" s="1031" t="s">
        <v>5054</v>
      </c>
      <c r="J822" s="2342" t="s">
        <v>1573</v>
      </c>
      <c r="K822" s="1032" t="s">
        <v>1567</v>
      </c>
      <c r="L822" s="1032" t="s">
        <v>1571</v>
      </c>
      <c r="M822" s="1033">
        <v>0.2</v>
      </c>
      <c r="N822" s="1119" t="s">
        <v>1569</v>
      </c>
      <c r="O822" s="1036">
        <v>0</v>
      </c>
      <c r="P822" s="2302">
        <v>0</v>
      </c>
      <c r="Q822" s="1980">
        <v>0</v>
      </c>
      <c r="R822" s="1980">
        <v>0</v>
      </c>
      <c r="S822" s="1980">
        <v>0</v>
      </c>
      <c r="T822" s="1980">
        <v>0</v>
      </c>
      <c r="U822" s="2036">
        <v>0</v>
      </c>
    </row>
    <row r="823" spans="4:21" s="1045" customFormat="1" hidden="1" outlineLevel="2">
      <c r="D823" s="1051">
        <f t="shared" si="78"/>
        <v>20</v>
      </c>
      <c r="E823" s="1051" t="str">
        <f>IF(COUNTIF(E$706:E822,F823)&gt;0,"",F823)</f>
        <v/>
      </c>
      <c r="F823" s="1051" t="str">
        <f t="shared" si="79"/>
        <v>Biopropane à base d'huile de tournesol, France continentale, Base Carbone</v>
      </c>
      <c r="G823" s="1055" t="str">
        <f t="shared" si="80"/>
        <v>Biopropane à base d'huile de tournesol, France continentale, Base Carbone; kgCO2e/litre, Amont</v>
      </c>
      <c r="I823" s="1031" t="s">
        <v>5054</v>
      </c>
      <c r="J823" s="2342" t="s">
        <v>1574</v>
      </c>
      <c r="K823" s="1032" t="s">
        <v>1567</v>
      </c>
      <c r="L823" s="1032" t="s">
        <v>1571</v>
      </c>
      <c r="M823" s="1033">
        <v>0.2</v>
      </c>
      <c r="N823" s="1119" t="s">
        <v>1570</v>
      </c>
      <c r="O823" s="1036">
        <v>0.63900000000000001</v>
      </c>
      <c r="P823" s="2302">
        <v>0.63900000000000001</v>
      </c>
      <c r="Q823" s="1980">
        <v>0</v>
      </c>
      <c r="R823" s="1980">
        <v>0</v>
      </c>
      <c r="S823" s="1980">
        <v>0</v>
      </c>
      <c r="T823" s="1980">
        <v>0</v>
      </c>
      <c r="U823" s="2036">
        <v>0</v>
      </c>
    </row>
    <row r="824" spans="4:21" s="1045" customFormat="1" hidden="1" outlineLevel="2">
      <c r="D824" s="1051">
        <f t="shared" si="78"/>
        <v>20</v>
      </c>
      <c r="E824" s="1051" t="str">
        <f>IF(COUNTIF(E$706:E823,F824)&gt;0,"",F824)</f>
        <v/>
      </c>
      <c r="F824" s="1051" t="str">
        <f t="shared" si="79"/>
        <v>Biopropane à base d'huile de tournesol, France continentale, Base Carbone</v>
      </c>
      <c r="G824" s="1055" t="str">
        <f t="shared" si="80"/>
        <v>Biopropane à base d'huile de tournesol, France continentale, Base Carbone; kgCO2e/litre, Combustion</v>
      </c>
      <c r="I824" s="1031" t="s">
        <v>5054</v>
      </c>
      <c r="J824" s="2342" t="s">
        <v>1574</v>
      </c>
      <c r="K824" s="1032" t="s">
        <v>1567</v>
      </c>
      <c r="L824" s="1032" t="s">
        <v>1571</v>
      </c>
      <c r="M824" s="1033">
        <v>0.2</v>
      </c>
      <c r="N824" s="1119" t="s">
        <v>1569</v>
      </c>
      <c r="O824" s="1036">
        <v>0</v>
      </c>
      <c r="P824" s="2302">
        <v>0</v>
      </c>
      <c r="Q824" s="1980">
        <v>0</v>
      </c>
      <c r="R824" s="1980">
        <v>0</v>
      </c>
      <c r="S824" s="1980">
        <v>0</v>
      </c>
      <c r="T824" s="1980">
        <v>0</v>
      </c>
      <c r="U824" s="2036">
        <v>0</v>
      </c>
    </row>
    <row r="825" spans="4:21" s="1045" customFormat="1" hidden="1" outlineLevel="2">
      <c r="D825" s="1051">
        <f t="shared" si="78"/>
        <v>20</v>
      </c>
      <c r="E825" s="1051" t="str">
        <f>IF(COUNTIF(E$706:E824,F825)&gt;0,"",F825)</f>
        <v/>
      </c>
      <c r="F825" s="1051" t="str">
        <f t="shared" si="79"/>
        <v>Biopropane à base d'huile de tournesol, France continentale, Base Carbone</v>
      </c>
      <c r="G825" s="1055" t="str">
        <f t="shared" si="80"/>
        <v>Biopropane à base d'huile de tournesol, France continentale, Base Carbone; kgCO2e/tep PCI, Amont</v>
      </c>
      <c r="I825" s="1031" t="s">
        <v>5054</v>
      </c>
      <c r="J825" s="2219" t="s">
        <v>1575</v>
      </c>
      <c r="K825" s="1032" t="s">
        <v>1567</v>
      </c>
      <c r="L825" s="1032" t="s">
        <v>1571</v>
      </c>
      <c r="M825" s="1033">
        <v>0.2</v>
      </c>
      <c r="N825" s="1119" t="s">
        <v>1570</v>
      </c>
      <c r="O825" s="1036">
        <v>1126</v>
      </c>
      <c r="P825" s="2302">
        <v>1126</v>
      </c>
      <c r="Q825" s="1980">
        <v>0</v>
      </c>
      <c r="R825" s="1980">
        <v>0</v>
      </c>
      <c r="S825" s="1980">
        <v>0</v>
      </c>
      <c r="T825" s="1980">
        <v>0</v>
      </c>
      <c r="U825" s="2036">
        <v>0</v>
      </c>
    </row>
    <row r="826" spans="4:21" s="1045" customFormat="1" hidden="1" outlineLevel="2">
      <c r="D826" s="1051">
        <f t="shared" si="78"/>
        <v>20</v>
      </c>
      <c r="E826" s="1051" t="str">
        <f>IF(COUNTIF(E$706:E825,F826)&gt;0,"",F826)</f>
        <v/>
      </c>
      <c r="F826" s="1051" t="str">
        <f t="shared" si="79"/>
        <v>Biopropane à base d'huile de tournesol, France continentale, Base Carbone</v>
      </c>
      <c r="G826" s="1055" t="str">
        <f t="shared" si="80"/>
        <v>Biopropane à base d'huile de tournesol, France continentale, Base Carbone; kgCO2e/tep PCI, Combustion</v>
      </c>
      <c r="I826" s="1031" t="s">
        <v>5054</v>
      </c>
      <c r="J826" s="2219" t="s">
        <v>1575</v>
      </c>
      <c r="K826" s="1032" t="s">
        <v>1567</v>
      </c>
      <c r="L826" s="1032" t="s">
        <v>1571</v>
      </c>
      <c r="M826" s="1033">
        <v>0.2</v>
      </c>
      <c r="N826" s="1119" t="s">
        <v>1569</v>
      </c>
      <c r="O826" s="1036">
        <v>0</v>
      </c>
      <c r="P826" s="2302">
        <v>0</v>
      </c>
      <c r="Q826" s="1980">
        <v>0</v>
      </c>
      <c r="R826" s="1980">
        <v>0</v>
      </c>
      <c r="S826" s="1980">
        <v>0</v>
      </c>
      <c r="T826" s="1980">
        <v>0</v>
      </c>
      <c r="U826" s="2036">
        <v>0</v>
      </c>
    </row>
    <row r="827" spans="4:21" s="1045" customFormat="1" hidden="1" outlineLevel="2">
      <c r="D827" s="1051">
        <f t="shared" si="78"/>
        <v>21</v>
      </c>
      <c r="E827" s="1051" t="str">
        <f>IF(COUNTIF(E$706:E826,F827)&gt;0,"",F827)</f>
        <v>Biopropane à base d'huile de cuisson, France continentale, Base Carbone</v>
      </c>
      <c r="F827" s="1051" t="str">
        <f t="shared" si="79"/>
        <v>Biopropane à base d'huile de cuisson, France continentale, Base Carbone</v>
      </c>
      <c r="G827" s="1055" t="str">
        <f t="shared" si="80"/>
        <v>Biopropane à base d'huile de cuisson, France continentale, Base Carbone; kgCO2e/kg, Amont</v>
      </c>
      <c r="I827" s="1031" t="s">
        <v>5055</v>
      </c>
      <c r="J827" s="2219" t="s">
        <v>1572</v>
      </c>
      <c r="K827" s="1032" t="s">
        <v>1567</v>
      </c>
      <c r="L827" s="1032" t="s">
        <v>1571</v>
      </c>
      <c r="M827" s="1033">
        <v>0.2</v>
      </c>
      <c r="N827" s="1119" t="s">
        <v>1570</v>
      </c>
      <c r="O827" s="1036">
        <v>0.21199999999999999</v>
      </c>
      <c r="P827" s="1036">
        <v>0.20200000000000001</v>
      </c>
      <c r="Q827" s="1036">
        <v>6.9899999999999997E-3</v>
      </c>
      <c r="R827" s="1036">
        <v>0</v>
      </c>
      <c r="S827" s="1036">
        <v>0.26800000000000002</v>
      </c>
      <c r="T827" s="1036">
        <v>2E-3</v>
      </c>
      <c r="U827" s="1037">
        <v>0</v>
      </c>
    </row>
    <row r="828" spans="4:21" s="1045" customFormat="1" hidden="1" outlineLevel="2">
      <c r="D828" s="1051">
        <f t="shared" si="78"/>
        <v>21</v>
      </c>
      <c r="E828" s="1051" t="str">
        <f>IF(COUNTIF(E$706:E827,F828)&gt;0,"",F828)</f>
        <v/>
      </c>
      <c r="F828" s="1051" t="str">
        <f t="shared" si="79"/>
        <v>Biopropane à base d'huile de cuisson, France continentale, Base Carbone</v>
      </c>
      <c r="G828" s="1055" t="str">
        <f t="shared" si="80"/>
        <v>Biopropane à base d'huile de cuisson, France continentale, Base Carbone; kgCO2e/kg, Combustion</v>
      </c>
      <c r="I828" s="1031" t="s">
        <v>5055</v>
      </c>
      <c r="J828" s="2219" t="s">
        <v>1572</v>
      </c>
      <c r="K828" s="1032" t="s">
        <v>1567</v>
      </c>
      <c r="L828" s="1032" t="s">
        <v>1571</v>
      </c>
      <c r="M828" s="1033">
        <v>0.2</v>
      </c>
      <c r="N828" s="1119" t="s">
        <v>1569</v>
      </c>
      <c r="O828" s="1036">
        <v>0</v>
      </c>
      <c r="P828" s="1036">
        <v>0</v>
      </c>
      <c r="Q828" s="1036">
        <v>0</v>
      </c>
      <c r="R828" s="1036">
        <v>0</v>
      </c>
      <c r="S828" s="1036">
        <v>0</v>
      </c>
      <c r="T828" s="1036">
        <v>0</v>
      </c>
      <c r="U828" s="1037">
        <v>0</v>
      </c>
    </row>
    <row r="829" spans="4:21" s="1045" customFormat="1" hidden="1" outlineLevel="2">
      <c r="D829" s="1051">
        <f t="shared" si="78"/>
        <v>21</v>
      </c>
      <c r="E829" s="1051" t="str">
        <f>IF(COUNTIF(E$706:E828,F829)&gt;0,"",F829)</f>
        <v/>
      </c>
      <c r="F829" s="1051" t="str">
        <f t="shared" si="79"/>
        <v>Biopropane à base d'huile de cuisson, France continentale, Base Carbone</v>
      </c>
      <c r="G829" s="1055" t="str">
        <f t="shared" si="80"/>
        <v>Biopropane à base d'huile de cuisson, France continentale, Base Carbone; kgCO2e/GJ PCI, Amont</v>
      </c>
      <c r="I829" s="1031" t="s">
        <v>5055</v>
      </c>
      <c r="J829" s="2219" t="s">
        <v>1566</v>
      </c>
      <c r="K829" s="1032" t="s">
        <v>1567</v>
      </c>
      <c r="L829" s="1032" t="s">
        <v>1571</v>
      </c>
      <c r="M829" s="1033">
        <v>0.2</v>
      </c>
      <c r="N829" s="1119" t="s">
        <v>1570</v>
      </c>
      <c r="O829" s="1036">
        <v>4.6100000000000003</v>
      </c>
      <c r="P829" s="1036">
        <v>4.3899999999999997</v>
      </c>
      <c r="Q829" s="1036">
        <v>0.14899999999999999</v>
      </c>
      <c r="R829" s="1036">
        <v>1.01E-3</v>
      </c>
      <c r="S829" s="1036">
        <v>2.81E-2</v>
      </c>
      <c r="T829" s="1036">
        <v>3.7999999999999999E-2</v>
      </c>
      <c r="U829" s="1037">
        <v>0</v>
      </c>
    </row>
    <row r="830" spans="4:21" s="1045" customFormat="1" hidden="1" outlineLevel="2">
      <c r="D830" s="1051">
        <f t="shared" si="78"/>
        <v>21</v>
      </c>
      <c r="E830" s="1051" t="str">
        <f>IF(COUNTIF(E$706:E829,F830)&gt;0,"",F830)</f>
        <v/>
      </c>
      <c r="F830" s="1051" t="str">
        <f t="shared" si="79"/>
        <v>Biopropane à base d'huile de cuisson, France continentale, Base Carbone</v>
      </c>
      <c r="G830" s="1055" t="str">
        <f t="shared" si="80"/>
        <v>Biopropane à base d'huile de cuisson, France continentale, Base Carbone; kgCO2e/GJ PCI, Combustion</v>
      </c>
      <c r="I830" s="1031" t="s">
        <v>5055</v>
      </c>
      <c r="J830" s="2219" t="s">
        <v>1566</v>
      </c>
      <c r="K830" s="1032" t="s">
        <v>1567</v>
      </c>
      <c r="L830" s="1032" t="s">
        <v>1571</v>
      </c>
      <c r="M830" s="1033">
        <v>0.2</v>
      </c>
      <c r="N830" s="1119" t="s">
        <v>1569</v>
      </c>
      <c r="O830" s="1036">
        <v>0</v>
      </c>
      <c r="P830" s="1036">
        <v>0</v>
      </c>
      <c r="Q830" s="1036">
        <v>0</v>
      </c>
      <c r="R830" s="1036">
        <v>0</v>
      </c>
      <c r="S830" s="1036">
        <v>0</v>
      </c>
      <c r="T830" s="1036">
        <v>0</v>
      </c>
      <c r="U830" s="1037">
        <v>0</v>
      </c>
    </row>
    <row r="831" spans="4:21" s="1045" customFormat="1" hidden="1" outlineLevel="2">
      <c r="D831" s="1051">
        <f t="shared" si="78"/>
        <v>21</v>
      </c>
      <c r="E831" s="1051" t="str">
        <f>IF(COUNTIF(E$706:E830,F831)&gt;0,"",F831)</f>
        <v/>
      </c>
      <c r="F831" s="1051" t="str">
        <f t="shared" si="79"/>
        <v>Biopropane à base d'huile de cuisson, France continentale, Base Carbone</v>
      </c>
      <c r="G831" s="1055" t="str">
        <f t="shared" si="80"/>
        <v>Biopropane à base d'huile de cuisson, France continentale, Base Carbone; kgCO2e/kWh PCI, Amont</v>
      </c>
      <c r="I831" s="1031" t="s">
        <v>5055</v>
      </c>
      <c r="J831" s="2342" t="s">
        <v>1573</v>
      </c>
      <c r="K831" s="1032" t="s">
        <v>1567</v>
      </c>
      <c r="L831" s="1032" t="s">
        <v>1571</v>
      </c>
      <c r="M831" s="1033">
        <v>0.2</v>
      </c>
      <c r="N831" s="1119" t="s">
        <v>1570</v>
      </c>
      <c r="O831" s="1036">
        <v>1.7000000000000001E-2</v>
      </c>
      <c r="P831" s="1036">
        <v>1.6E-2</v>
      </c>
      <c r="Q831" s="1036">
        <v>9.8999999999999999E-4</v>
      </c>
      <c r="R831" s="1036">
        <v>0</v>
      </c>
      <c r="S831" s="1036">
        <v>0</v>
      </c>
      <c r="T831" s="1036">
        <v>0</v>
      </c>
      <c r="U831" s="1037">
        <v>0</v>
      </c>
    </row>
    <row r="832" spans="4:21" s="1045" customFormat="1" hidden="1" outlineLevel="2">
      <c r="D832" s="1051">
        <f t="shared" si="78"/>
        <v>21</v>
      </c>
      <c r="E832" s="1051" t="str">
        <f>IF(COUNTIF(E$706:E831,F832)&gt;0,"",F832)</f>
        <v/>
      </c>
      <c r="F832" s="1051" t="str">
        <f t="shared" si="79"/>
        <v>Biopropane à base d'huile de cuisson, France continentale, Base Carbone</v>
      </c>
      <c r="G832" s="1055" t="str">
        <f t="shared" si="80"/>
        <v>Biopropane à base d'huile de cuisson, France continentale, Base Carbone; kgCO2e/kWh PCI, Combustion</v>
      </c>
      <c r="I832" s="1031" t="s">
        <v>5055</v>
      </c>
      <c r="J832" s="2342" t="s">
        <v>1573</v>
      </c>
      <c r="K832" s="1032" t="s">
        <v>1567</v>
      </c>
      <c r="L832" s="1032" t="s">
        <v>1571</v>
      </c>
      <c r="M832" s="1033">
        <v>0.2</v>
      </c>
      <c r="N832" s="1119" t="s">
        <v>1569</v>
      </c>
      <c r="O832" s="1036">
        <v>0</v>
      </c>
      <c r="P832" s="1036">
        <v>0</v>
      </c>
      <c r="Q832" s="1036">
        <v>0</v>
      </c>
      <c r="R832" s="1036">
        <v>0</v>
      </c>
      <c r="S832" s="1036">
        <v>0</v>
      </c>
      <c r="T832" s="1036">
        <v>0</v>
      </c>
      <c r="U832" s="1037">
        <v>0</v>
      </c>
    </row>
    <row r="833" spans="4:21" s="1045" customFormat="1" hidden="1" outlineLevel="2">
      <c r="D833" s="1051">
        <f t="shared" si="78"/>
        <v>21</v>
      </c>
      <c r="E833" s="1051" t="str">
        <f>IF(COUNTIF(E$706:E832,F833)&gt;0,"",F833)</f>
        <v/>
      </c>
      <c r="F833" s="1051" t="str">
        <f t="shared" si="79"/>
        <v>Biopropane à base d'huile de cuisson, France continentale, Base Carbone</v>
      </c>
      <c r="G833" s="1055" t="str">
        <f t="shared" si="80"/>
        <v>Biopropane à base d'huile de cuisson, France continentale, Base Carbone; kgCO2e/litre, Amont</v>
      </c>
      <c r="I833" s="1031" t="s">
        <v>5055</v>
      </c>
      <c r="J833" s="2342" t="s">
        <v>1574</v>
      </c>
      <c r="K833" s="1032" t="s">
        <v>1567</v>
      </c>
      <c r="L833" s="1032" t="s">
        <v>1571</v>
      </c>
      <c r="M833" s="1033">
        <v>0.2</v>
      </c>
      <c r="N833" s="1119" t="s">
        <v>1570</v>
      </c>
      <c r="O833" s="1036">
        <v>0.111</v>
      </c>
      <c r="P833" s="1036">
        <v>0.105</v>
      </c>
      <c r="Q833" s="1036">
        <v>3.9899999999999996E-3</v>
      </c>
      <c r="R833" s="1036">
        <v>0</v>
      </c>
      <c r="S833" s="1036">
        <v>1.06E-3</v>
      </c>
      <c r="T833" s="1036">
        <v>1E-3</v>
      </c>
      <c r="U833" s="1037">
        <v>0</v>
      </c>
    </row>
    <row r="834" spans="4:21" s="1045" customFormat="1" hidden="1" outlineLevel="2">
      <c r="D834" s="1051">
        <f t="shared" si="78"/>
        <v>21</v>
      </c>
      <c r="E834" s="1051" t="str">
        <f>IF(COUNTIF(E$706:E833,F834)&gt;0,"",F834)</f>
        <v/>
      </c>
      <c r="F834" s="1051" t="str">
        <f t="shared" si="79"/>
        <v>Biopropane à base d'huile de cuisson, France continentale, Base Carbone</v>
      </c>
      <c r="G834" s="1055" t="str">
        <f t="shared" si="80"/>
        <v>Biopropane à base d'huile de cuisson, France continentale, Base Carbone; kgCO2e/litre, Combustion</v>
      </c>
      <c r="I834" s="1031" t="s">
        <v>5055</v>
      </c>
      <c r="J834" s="2342" t="s">
        <v>1574</v>
      </c>
      <c r="K834" s="1032" t="s">
        <v>1567</v>
      </c>
      <c r="L834" s="1032" t="s">
        <v>1571</v>
      </c>
      <c r="M834" s="1033">
        <v>0.2</v>
      </c>
      <c r="N834" s="1119" t="s">
        <v>1569</v>
      </c>
      <c r="O834" s="1036">
        <v>0</v>
      </c>
      <c r="P834" s="1036">
        <v>0</v>
      </c>
      <c r="Q834" s="1036">
        <v>0</v>
      </c>
      <c r="R834" s="1036">
        <v>0</v>
      </c>
      <c r="S834" s="1036">
        <v>0</v>
      </c>
      <c r="T834" s="1036">
        <v>0</v>
      </c>
      <c r="U834" s="1037">
        <v>0</v>
      </c>
    </row>
    <row r="835" spans="4:21" s="1045" customFormat="1" hidden="1" outlineLevel="2">
      <c r="D835" s="1051">
        <f t="shared" si="78"/>
        <v>21</v>
      </c>
      <c r="E835" s="1051" t="str">
        <f>IF(COUNTIF(E$706:E834,F835)&gt;0,"",F835)</f>
        <v/>
      </c>
      <c r="F835" s="1051" t="str">
        <f t="shared" si="79"/>
        <v>Biopropane à base d'huile de cuisson, France continentale, Base Carbone</v>
      </c>
      <c r="G835" s="1055" t="str">
        <f t="shared" si="80"/>
        <v>Biopropane à base d'huile de cuisson, France continentale, Base Carbone; kgCO2e/tep PCI, Amont</v>
      </c>
      <c r="I835" s="1031" t="s">
        <v>5055</v>
      </c>
      <c r="J835" s="2342" t="s">
        <v>1575</v>
      </c>
      <c r="K835" s="1032" t="s">
        <v>1567</v>
      </c>
      <c r="L835" s="1032" t="s">
        <v>1571</v>
      </c>
      <c r="M835" s="1033">
        <v>0.2</v>
      </c>
      <c r="N835" s="1119" t="s">
        <v>1570</v>
      </c>
      <c r="O835" s="1036">
        <v>194</v>
      </c>
      <c r="P835" s="1036">
        <v>185</v>
      </c>
      <c r="Q835" s="1036">
        <v>6.3</v>
      </c>
      <c r="R835" s="1036">
        <v>0</v>
      </c>
      <c r="S835" s="1036">
        <v>1.2</v>
      </c>
      <c r="T835" s="1036">
        <v>1.6</v>
      </c>
      <c r="U835" s="1037">
        <v>0</v>
      </c>
    </row>
    <row r="836" spans="4:21" s="1045" customFormat="1" hidden="1" outlineLevel="2">
      <c r="D836" s="1051">
        <f t="shared" ref="D836:D886" si="81">D835+IF(LEN(E836)=0,0,1)</f>
        <v>21</v>
      </c>
      <c r="E836" s="1051" t="str">
        <f>IF(COUNTIF(E$706:E835,F836)&gt;0,"",F836)</f>
        <v/>
      </c>
      <c r="F836" s="1051" t="str">
        <f t="shared" ref="F836:F886" si="82">IF(I836&lt;&gt;"",I836&amp;IF(L836&lt;&gt;"",", "&amp;L836,"")&amp;IF(K836&lt;&gt;"",", "&amp;K836,""),"")</f>
        <v>Biopropane à base d'huile de cuisson, France continentale, Base Carbone</v>
      </c>
      <c r="G836" s="1055" t="str">
        <f t="shared" ref="G836:G886" si="83">IF(F836&lt;&gt;"",F836&amp;IF(J836&lt;&gt;"","; "&amp;J836,"")&amp;IF(N836&lt;&gt;"",", "&amp;N836,""),"")</f>
        <v>Biopropane à base d'huile de cuisson, France continentale, Base Carbone; kgCO2e/tep PCI, Combustion</v>
      </c>
      <c r="I836" s="1031" t="s">
        <v>5055</v>
      </c>
      <c r="J836" s="2342" t="s">
        <v>1575</v>
      </c>
      <c r="K836" s="1032" t="s">
        <v>1567</v>
      </c>
      <c r="L836" s="1032" t="s">
        <v>1571</v>
      </c>
      <c r="M836" s="1033">
        <v>0.2</v>
      </c>
      <c r="N836" s="1119" t="s">
        <v>1569</v>
      </c>
      <c r="O836" s="1036">
        <v>0</v>
      </c>
      <c r="P836" s="1036">
        <v>0</v>
      </c>
      <c r="Q836" s="1036">
        <v>0</v>
      </c>
      <c r="R836" s="1036">
        <v>0</v>
      </c>
      <c r="S836" s="1036">
        <v>0</v>
      </c>
      <c r="T836" s="1036">
        <v>0</v>
      </c>
      <c r="U836" s="1037">
        <v>0</v>
      </c>
    </row>
    <row r="837" spans="4:21" s="1045" customFormat="1" hidden="1" outlineLevel="2">
      <c r="D837" s="1051">
        <f t="shared" si="81"/>
        <v>22</v>
      </c>
      <c r="E837" s="1051" t="str">
        <f>IF(COUNTIF(E$706:E836,F837)&gt;0,"",F837)</f>
        <v>Biopropane à base de distillat d'acides gras d'huile de palme comme résidu, France continentale, Base Carbone</v>
      </c>
      <c r="F837" s="1051" t="str">
        <f t="shared" si="82"/>
        <v>Biopropane à base de distillat d'acides gras d'huile de palme comme résidu, France continentale, Base Carbone</v>
      </c>
      <c r="G837" s="1055" t="str">
        <f t="shared" si="83"/>
        <v>Biopropane à base de distillat d'acides gras d'huile de palme comme résidu, France continentale, Base Carbone; kgCO2e/kg, Amont</v>
      </c>
      <c r="I837" s="1031" t="s">
        <v>5056</v>
      </c>
      <c r="J837" s="2342" t="s">
        <v>1572</v>
      </c>
      <c r="K837" s="1032" t="s">
        <v>1567</v>
      </c>
      <c r="L837" s="1032" t="s">
        <v>1571</v>
      </c>
      <c r="M837" s="1033">
        <v>0.2</v>
      </c>
      <c r="N837" s="1119" t="s">
        <v>1570</v>
      </c>
      <c r="O837" s="1036">
        <v>0.18099999999999999</v>
      </c>
      <c r="P837" s="1036">
        <v>0.17399999999999999</v>
      </c>
      <c r="Q837" s="1036">
        <v>5.0099999999999997E-3</v>
      </c>
      <c r="R837" s="1036">
        <v>0</v>
      </c>
      <c r="S837" s="1036">
        <v>1.06E-3</v>
      </c>
      <c r="T837" s="1036">
        <v>1E-3</v>
      </c>
      <c r="U837" s="1037">
        <v>0</v>
      </c>
    </row>
    <row r="838" spans="4:21" s="1045" customFormat="1" hidden="1" outlineLevel="2">
      <c r="D838" s="1051">
        <f t="shared" si="81"/>
        <v>22</v>
      </c>
      <c r="E838" s="1051" t="str">
        <f>IF(COUNTIF(E$706:E837,F838)&gt;0,"",F838)</f>
        <v/>
      </c>
      <c r="F838" s="1051" t="str">
        <f t="shared" si="82"/>
        <v>Biopropane à base de distillat d'acides gras d'huile de palme comme résidu, France continentale, Base Carbone</v>
      </c>
      <c r="G838" s="1055" t="str">
        <f t="shared" si="83"/>
        <v>Biopropane à base de distillat d'acides gras d'huile de palme comme résidu, France continentale, Base Carbone; kgCO2e/kg, Combustion</v>
      </c>
      <c r="I838" s="1031" t="s">
        <v>5056</v>
      </c>
      <c r="J838" s="2342" t="s">
        <v>1572</v>
      </c>
      <c r="K838" s="1032" t="s">
        <v>1567</v>
      </c>
      <c r="L838" s="1032" t="s">
        <v>1571</v>
      </c>
      <c r="M838" s="1033">
        <v>0.2</v>
      </c>
      <c r="N838" s="1119" t="s">
        <v>1569</v>
      </c>
      <c r="O838" s="1036">
        <v>0</v>
      </c>
      <c r="P838" s="1036">
        <v>0</v>
      </c>
      <c r="Q838" s="1036">
        <v>0</v>
      </c>
      <c r="R838" s="1036">
        <v>0</v>
      </c>
      <c r="S838" s="1036">
        <v>0</v>
      </c>
      <c r="T838" s="1036">
        <v>0</v>
      </c>
      <c r="U838" s="1037">
        <v>0</v>
      </c>
    </row>
    <row r="839" spans="4:21" s="1045" customFormat="1" hidden="1" outlineLevel="2">
      <c r="D839" s="1051">
        <f t="shared" si="81"/>
        <v>22</v>
      </c>
      <c r="E839" s="1051" t="str">
        <f>IF(COUNTIF(E$706:E838,F839)&gt;0,"",F839)</f>
        <v/>
      </c>
      <c r="F839" s="1051" t="str">
        <f t="shared" si="82"/>
        <v>Biopropane à base de distillat d'acides gras d'huile de palme comme résidu, France continentale, Base Carbone</v>
      </c>
      <c r="G839" s="1055" t="str">
        <f t="shared" si="83"/>
        <v>Biopropane à base de distillat d'acides gras d'huile de palme comme résidu, France continentale, Base Carbone; kgCO2e/GJ PCI, Amont</v>
      </c>
      <c r="I839" s="1031" t="s">
        <v>5056</v>
      </c>
      <c r="J839" s="2219" t="s">
        <v>1566</v>
      </c>
      <c r="K839" s="1032" t="s">
        <v>1567</v>
      </c>
      <c r="L839" s="1032" t="s">
        <v>1571</v>
      </c>
      <c r="M839" s="1033">
        <v>0.2</v>
      </c>
      <c r="N839" s="1119" t="s">
        <v>1570</v>
      </c>
      <c r="O839" s="1036">
        <v>3.95</v>
      </c>
      <c r="P839" s="1036">
        <v>3.78</v>
      </c>
      <c r="Q839" s="1036">
        <v>0.113</v>
      </c>
      <c r="R839" s="1036">
        <v>1.01E-3</v>
      </c>
      <c r="S839" s="1036">
        <v>2.7E-2</v>
      </c>
      <c r="T839" s="1036">
        <v>2.8000000000000001E-2</v>
      </c>
      <c r="U839" s="1037">
        <v>0</v>
      </c>
    </row>
    <row r="840" spans="4:21" s="1045" customFormat="1" hidden="1" outlineLevel="2">
      <c r="D840" s="1051">
        <f t="shared" si="81"/>
        <v>22</v>
      </c>
      <c r="E840" s="1051" t="str">
        <f>IF(COUNTIF(E$706:E839,F840)&gt;0,"",F840)</f>
        <v/>
      </c>
      <c r="F840" s="1051" t="str">
        <f t="shared" si="82"/>
        <v>Biopropane à base de distillat d'acides gras d'huile de palme comme résidu, France continentale, Base Carbone</v>
      </c>
      <c r="G840" s="1055" t="str">
        <f t="shared" si="83"/>
        <v>Biopropane à base de distillat d'acides gras d'huile de palme comme résidu, France continentale, Base Carbone; kgCO2e/GJ PCI, Combustion</v>
      </c>
      <c r="I840" s="1031" t="s">
        <v>5056</v>
      </c>
      <c r="J840" s="2219" t="s">
        <v>1566</v>
      </c>
      <c r="K840" s="1032" t="s">
        <v>1567</v>
      </c>
      <c r="L840" s="1032" t="s">
        <v>1571</v>
      </c>
      <c r="M840" s="1033">
        <v>0.2</v>
      </c>
      <c r="N840" s="1119" t="s">
        <v>1569</v>
      </c>
      <c r="O840" s="1036">
        <v>0</v>
      </c>
      <c r="P840" s="1036">
        <v>0</v>
      </c>
      <c r="Q840" s="1036">
        <v>0</v>
      </c>
      <c r="R840" s="1036">
        <v>0</v>
      </c>
      <c r="S840" s="1036">
        <v>0</v>
      </c>
      <c r="T840" s="1036">
        <v>0</v>
      </c>
      <c r="U840" s="1037">
        <v>0</v>
      </c>
    </row>
    <row r="841" spans="4:21" s="1045" customFormat="1" hidden="1" outlineLevel="2">
      <c r="D841" s="1051">
        <f t="shared" si="81"/>
        <v>22</v>
      </c>
      <c r="E841" s="1051" t="str">
        <f>IF(COUNTIF(E$706:E840,F841)&gt;0,"",F841)</f>
        <v/>
      </c>
      <c r="F841" s="1051" t="str">
        <f t="shared" si="82"/>
        <v>Biopropane à base de distillat d'acides gras d'huile de palme comme résidu, France continentale, Base Carbone</v>
      </c>
      <c r="G841" s="1055" t="str">
        <f t="shared" si="83"/>
        <v>Biopropane à base de distillat d'acides gras d'huile de palme comme résidu, France continentale, Base Carbone; kgCO2e/kWh PCI, Amont</v>
      </c>
      <c r="I841" s="1031" t="s">
        <v>5056</v>
      </c>
      <c r="J841" s="2342" t="s">
        <v>1573</v>
      </c>
      <c r="K841" s="1032" t="s">
        <v>1567</v>
      </c>
      <c r="L841" s="1032" t="s">
        <v>1571</v>
      </c>
      <c r="M841" s="1033">
        <v>0.2</v>
      </c>
      <c r="N841" s="1119" t="s">
        <v>1570</v>
      </c>
      <c r="O841" s="1036">
        <v>1.4E-2</v>
      </c>
      <c r="P841" s="1036">
        <v>1.4E-2</v>
      </c>
      <c r="Q841" s="1036">
        <v>0</v>
      </c>
      <c r="R841" s="1036">
        <v>0</v>
      </c>
      <c r="S841" s="1036">
        <v>0</v>
      </c>
      <c r="T841" s="1036">
        <v>0</v>
      </c>
      <c r="U841" s="1037">
        <v>0</v>
      </c>
    </row>
    <row r="842" spans="4:21" s="1045" customFormat="1" hidden="1" outlineLevel="2">
      <c r="D842" s="1051">
        <f t="shared" si="81"/>
        <v>22</v>
      </c>
      <c r="E842" s="1051" t="str">
        <f>IF(COUNTIF(E$706:E841,F842)&gt;0,"",F842)</f>
        <v/>
      </c>
      <c r="F842" s="1051" t="str">
        <f t="shared" si="82"/>
        <v>Biopropane à base de distillat d'acides gras d'huile de palme comme résidu, France continentale, Base Carbone</v>
      </c>
      <c r="G842" s="1055" t="str">
        <f t="shared" si="83"/>
        <v>Biopropane à base de distillat d'acides gras d'huile de palme comme résidu, France continentale, Base Carbone; kgCO2e/kWh PCI, Combustion</v>
      </c>
      <c r="I842" s="1031" t="s">
        <v>5056</v>
      </c>
      <c r="J842" s="2342" t="s">
        <v>1573</v>
      </c>
      <c r="K842" s="1032" t="s">
        <v>1567</v>
      </c>
      <c r="L842" s="1032" t="s">
        <v>1571</v>
      </c>
      <c r="M842" s="1033">
        <v>0.2</v>
      </c>
      <c r="N842" s="1119" t="s">
        <v>1569</v>
      </c>
      <c r="O842" s="1036">
        <v>0</v>
      </c>
      <c r="P842" s="1036">
        <v>0</v>
      </c>
      <c r="Q842" s="1036">
        <v>0</v>
      </c>
      <c r="R842" s="1036">
        <v>0</v>
      </c>
      <c r="S842" s="1036">
        <v>0</v>
      </c>
      <c r="T842" s="1036">
        <v>0</v>
      </c>
      <c r="U842" s="1037">
        <v>0</v>
      </c>
    </row>
    <row r="843" spans="4:21" s="1045" customFormat="1" hidden="1" outlineLevel="2">
      <c r="D843" s="1051">
        <f t="shared" si="81"/>
        <v>22</v>
      </c>
      <c r="E843" s="1051" t="str">
        <f>IF(COUNTIF(E$706:E842,F843)&gt;0,"",F843)</f>
        <v/>
      </c>
      <c r="F843" s="1051" t="str">
        <f t="shared" si="82"/>
        <v>Biopropane à base de distillat d'acides gras d'huile de palme comme résidu, France continentale, Base Carbone</v>
      </c>
      <c r="G843" s="1055" t="str">
        <f t="shared" si="83"/>
        <v>Biopropane à base de distillat d'acides gras d'huile de palme comme résidu, France continentale, Base Carbone; kgCO2e/litre, Amont</v>
      </c>
      <c r="I843" s="1031" t="s">
        <v>5056</v>
      </c>
      <c r="J843" s="2342" t="s">
        <v>1574</v>
      </c>
      <c r="K843" s="1032" t="s">
        <v>1567</v>
      </c>
      <c r="L843" s="1032" t="s">
        <v>1571</v>
      </c>
      <c r="M843" s="1033">
        <v>0.2</v>
      </c>
      <c r="N843" s="1119" t="s">
        <v>1570</v>
      </c>
      <c r="O843" s="1036">
        <v>9.5100000000000004E-2</v>
      </c>
      <c r="P843" s="1036">
        <v>0.09</v>
      </c>
      <c r="Q843" s="1036">
        <v>3.0000000000000001E-3</v>
      </c>
      <c r="R843" s="1036">
        <v>0</v>
      </c>
      <c r="S843" s="1036">
        <v>1.06E-3</v>
      </c>
      <c r="T843" s="1036">
        <v>1E-3</v>
      </c>
      <c r="U843" s="1037">
        <v>0</v>
      </c>
    </row>
    <row r="844" spans="4:21" s="1045" customFormat="1" hidden="1" outlineLevel="2">
      <c r="D844" s="1051">
        <f t="shared" si="81"/>
        <v>22</v>
      </c>
      <c r="E844" s="1051" t="str">
        <f>IF(COUNTIF(E$706:E843,F844)&gt;0,"",F844)</f>
        <v/>
      </c>
      <c r="F844" s="1051" t="str">
        <f t="shared" si="82"/>
        <v>Biopropane à base de distillat d'acides gras d'huile de palme comme résidu, France continentale, Base Carbone</v>
      </c>
      <c r="G844" s="1055" t="str">
        <f t="shared" si="83"/>
        <v>Biopropane à base de distillat d'acides gras d'huile de palme comme résidu, France continentale, Base Carbone; kgCO2e/litre, Combustion</v>
      </c>
      <c r="I844" s="1031" t="s">
        <v>5056</v>
      </c>
      <c r="J844" s="2342" t="s">
        <v>1574</v>
      </c>
      <c r="K844" s="1032" t="s">
        <v>1567</v>
      </c>
      <c r="L844" s="1032" t="s">
        <v>1571</v>
      </c>
      <c r="M844" s="1033">
        <v>0.2</v>
      </c>
      <c r="N844" s="1119" t="s">
        <v>1569</v>
      </c>
      <c r="O844" s="1036">
        <v>0</v>
      </c>
      <c r="P844" s="1036">
        <v>0</v>
      </c>
      <c r="Q844" s="1036">
        <v>0</v>
      </c>
      <c r="R844" s="1036">
        <v>0</v>
      </c>
      <c r="S844" s="1036">
        <v>0</v>
      </c>
      <c r="T844" s="1036">
        <v>0</v>
      </c>
      <c r="U844" s="1037">
        <v>0</v>
      </c>
    </row>
    <row r="845" spans="4:21" s="1045" customFormat="1" hidden="1" outlineLevel="2">
      <c r="D845" s="1051">
        <f t="shared" si="81"/>
        <v>22</v>
      </c>
      <c r="E845" s="1051" t="str">
        <f>IF(COUNTIF(E$706:E844,F845)&gt;0,"",F845)</f>
        <v/>
      </c>
      <c r="F845" s="1051" t="str">
        <f t="shared" si="82"/>
        <v>Biopropane à base de distillat d'acides gras d'huile de palme comme résidu, France continentale, Base Carbone</v>
      </c>
      <c r="G845" s="1055" t="str">
        <f t="shared" si="83"/>
        <v>Biopropane à base de distillat d'acides gras d'huile de palme comme résidu, France continentale, Base Carbone; kgCO2e/tep PCI, Amont</v>
      </c>
      <c r="I845" s="1031" t="s">
        <v>5056</v>
      </c>
      <c r="J845" s="2342" t="s">
        <v>1575</v>
      </c>
      <c r="K845" s="1032" t="s">
        <v>1567</v>
      </c>
      <c r="L845" s="1032" t="s">
        <v>1571</v>
      </c>
      <c r="M845" s="1033">
        <v>0.2</v>
      </c>
      <c r="N845" s="1119" t="s">
        <v>1570</v>
      </c>
      <c r="O845" s="1036">
        <v>166</v>
      </c>
      <c r="P845" s="1036">
        <v>159</v>
      </c>
      <c r="Q845" s="1036">
        <v>4.7</v>
      </c>
      <c r="R845" s="1036">
        <v>0.1</v>
      </c>
      <c r="S845" s="1036">
        <v>1.1000000000000001</v>
      </c>
      <c r="T845" s="1036">
        <v>1.2</v>
      </c>
      <c r="U845" s="1037">
        <v>0</v>
      </c>
    </row>
    <row r="846" spans="4:21" s="1045" customFormat="1" hidden="1" outlineLevel="2">
      <c r="D846" s="1051">
        <f t="shared" si="81"/>
        <v>22</v>
      </c>
      <c r="E846" s="1051" t="str">
        <f>IF(COUNTIF(E$706:E845,F846)&gt;0,"",F846)</f>
        <v/>
      </c>
      <c r="F846" s="1051" t="str">
        <f t="shared" si="82"/>
        <v>Biopropane à base de distillat d'acides gras d'huile de palme comme résidu, France continentale, Base Carbone</v>
      </c>
      <c r="G846" s="1055" t="str">
        <f t="shared" si="83"/>
        <v>Biopropane à base de distillat d'acides gras d'huile de palme comme résidu, France continentale, Base Carbone; kgCO2e/tep PCI, Combustion</v>
      </c>
      <c r="I846" s="1031" t="s">
        <v>5056</v>
      </c>
      <c r="J846" s="2342" t="s">
        <v>1575</v>
      </c>
      <c r="K846" s="1032" t="s">
        <v>1567</v>
      </c>
      <c r="L846" s="1032" t="s">
        <v>1571</v>
      </c>
      <c r="M846" s="1033">
        <v>0.2</v>
      </c>
      <c r="N846" s="1119" t="s">
        <v>1569</v>
      </c>
      <c r="O846" s="1036">
        <v>0</v>
      </c>
      <c r="P846" s="1036">
        <v>0</v>
      </c>
      <c r="Q846" s="1036">
        <v>0</v>
      </c>
      <c r="R846" s="1036">
        <v>0</v>
      </c>
      <c r="S846" s="1036">
        <v>0</v>
      </c>
      <c r="T846" s="1036">
        <v>0</v>
      </c>
      <c r="U846" s="1037">
        <v>0</v>
      </c>
    </row>
    <row r="847" spans="4:21" s="1045" customFormat="1" hidden="1" outlineLevel="2">
      <c r="D847" s="1051">
        <f t="shared" si="81"/>
        <v>23</v>
      </c>
      <c r="E847" s="1051" t="str">
        <f>IF(COUNTIF(E$706:E846,F847)&gt;0,"",F847)</f>
        <v>Biopropane à base de graisses animales, France continentale, Base Carbone</v>
      </c>
      <c r="F847" s="1051" t="str">
        <f t="shared" si="82"/>
        <v>Biopropane à base de graisses animales, France continentale, Base Carbone</v>
      </c>
      <c r="G847" s="1055" t="str">
        <f t="shared" si="83"/>
        <v>Biopropane à base de graisses animales, France continentale, Base Carbone; kgCO2e/kg, Amont</v>
      </c>
      <c r="I847" s="1031" t="s">
        <v>5057</v>
      </c>
      <c r="J847" s="2342" t="s">
        <v>1572</v>
      </c>
      <c r="K847" s="1032" t="s">
        <v>1567</v>
      </c>
      <c r="L847" s="1032" t="s">
        <v>1571</v>
      </c>
      <c r="M847" s="1033">
        <v>0.2</v>
      </c>
      <c r="N847" s="1119" t="s">
        <v>1570</v>
      </c>
      <c r="O847" s="1036">
        <v>0.65100000000000002</v>
      </c>
      <c r="P847" s="1036">
        <v>0.61899999999999999</v>
      </c>
      <c r="Q847" s="1036">
        <v>2.3E-2</v>
      </c>
      <c r="R847" s="1036">
        <v>0</v>
      </c>
      <c r="S847" s="1036">
        <v>2.9199999999999999E-3</v>
      </c>
      <c r="T847" s="1036">
        <v>6.0000000000000001E-3</v>
      </c>
      <c r="U847" s="1037">
        <v>0</v>
      </c>
    </row>
    <row r="848" spans="4:21" s="1045" customFormat="1" hidden="1" outlineLevel="2">
      <c r="D848" s="1051">
        <f t="shared" si="81"/>
        <v>23</v>
      </c>
      <c r="E848" s="1051" t="str">
        <f>IF(COUNTIF(E$706:E847,F848)&gt;0,"",F848)</f>
        <v/>
      </c>
      <c r="F848" s="1051" t="str">
        <f t="shared" si="82"/>
        <v>Biopropane à base de graisses animales, France continentale, Base Carbone</v>
      </c>
      <c r="G848" s="1055" t="str">
        <f t="shared" si="83"/>
        <v>Biopropane à base de graisses animales, France continentale, Base Carbone; kgCO2e/kg, Combustion</v>
      </c>
      <c r="I848" s="1031" t="s">
        <v>5057</v>
      </c>
      <c r="J848" s="2342" t="s">
        <v>1572</v>
      </c>
      <c r="K848" s="1032" t="s">
        <v>1567</v>
      </c>
      <c r="L848" s="1032" t="s">
        <v>1571</v>
      </c>
      <c r="M848" s="1033">
        <v>0.2</v>
      </c>
      <c r="N848" s="1119" t="s">
        <v>1569</v>
      </c>
      <c r="O848" s="1036">
        <v>0</v>
      </c>
      <c r="P848" s="1036">
        <v>0</v>
      </c>
      <c r="Q848" s="1036">
        <v>0</v>
      </c>
      <c r="R848" s="1036">
        <v>0</v>
      </c>
      <c r="S848" s="1036">
        <v>0</v>
      </c>
      <c r="T848" s="1036">
        <v>0</v>
      </c>
      <c r="U848" s="1037">
        <v>0</v>
      </c>
    </row>
    <row r="849" spans="4:21" s="1045" customFormat="1" hidden="1" outlineLevel="2">
      <c r="D849" s="1051">
        <f t="shared" si="81"/>
        <v>23</v>
      </c>
      <c r="E849" s="1051" t="str">
        <f>IF(COUNTIF(E$706:E848,F849)&gt;0,"",F849)</f>
        <v/>
      </c>
      <c r="F849" s="1051" t="str">
        <f t="shared" si="82"/>
        <v>Biopropane à base de graisses animales, France continentale, Base Carbone</v>
      </c>
      <c r="G849" s="1055" t="str">
        <f t="shared" si="83"/>
        <v>Biopropane à base de graisses animales, France continentale, Base Carbone; kgCO2e/GJ PCI, Amont</v>
      </c>
      <c r="I849" s="1031" t="s">
        <v>5057</v>
      </c>
      <c r="J849" s="2342" t="s">
        <v>1566</v>
      </c>
      <c r="K849" s="1032" t="s">
        <v>1567</v>
      </c>
      <c r="L849" s="1032" t="s">
        <v>1571</v>
      </c>
      <c r="M849" s="1033">
        <v>0.2</v>
      </c>
      <c r="N849" s="1119" t="s">
        <v>1570</v>
      </c>
      <c r="O849" s="1036">
        <v>14.2</v>
      </c>
      <c r="P849" s="1036">
        <v>13.5</v>
      </c>
      <c r="Q849" s="1036">
        <v>0.49099999999999999</v>
      </c>
      <c r="R849" s="1036">
        <v>3.0000000000000001E-3</v>
      </c>
      <c r="S849" s="1036">
        <v>6.3100000000000003E-2</v>
      </c>
      <c r="T849" s="1036">
        <v>0.123</v>
      </c>
      <c r="U849" s="1037">
        <v>0</v>
      </c>
    </row>
    <row r="850" spans="4:21" s="1045" customFormat="1" hidden="1" outlineLevel="2">
      <c r="D850" s="1051">
        <f t="shared" si="81"/>
        <v>23</v>
      </c>
      <c r="E850" s="1051" t="str">
        <f>IF(COUNTIF(E$706:E849,F850)&gt;0,"",F850)</f>
        <v/>
      </c>
      <c r="F850" s="1051" t="str">
        <f t="shared" si="82"/>
        <v>Biopropane à base de graisses animales, France continentale, Base Carbone</v>
      </c>
      <c r="G850" s="1055" t="str">
        <f t="shared" si="83"/>
        <v>Biopropane à base de graisses animales, France continentale, Base Carbone; kgCO2e/GJ PCI, Combustion</v>
      </c>
      <c r="I850" s="1031" t="s">
        <v>5057</v>
      </c>
      <c r="J850" s="2342" t="s">
        <v>1566</v>
      </c>
      <c r="K850" s="1032" t="s">
        <v>1567</v>
      </c>
      <c r="L850" s="1032" t="s">
        <v>1571</v>
      </c>
      <c r="M850" s="1033">
        <v>0.2</v>
      </c>
      <c r="N850" s="1119" t="s">
        <v>1569</v>
      </c>
      <c r="O850" s="1036">
        <v>0</v>
      </c>
      <c r="P850" s="1036">
        <v>0</v>
      </c>
      <c r="Q850" s="1036">
        <v>0</v>
      </c>
      <c r="R850" s="1036">
        <v>0</v>
      </c>
      <c r="S850" s="1036">
        <v>0</v>
      </c>
      <c r="T850" s="1036">
        <v>0</v>
      </c>
      <c r="U850" s="1037">
        <v>0</v>
      </c>
    </row>
    <row r="851" spans="4:21" s="1045" customFormat="1" hidden="1" outlineLevel="2">
      <c r="D851" s="1051">
        <f t="shared" si="81"/>
        <v>23</v>
      </c>
      <c r="E851" s="1051" t="str">
        <f>IF(COUNTIF(E$706:E850,F851)&gt;0,"",F851)</f>
        <v/>
      </c>
      <c r="F851" s="1051" t="str">
        <f t="shared" si="82"/>
        <v>Biopropane à base de graisses animales, France continentale, Base Carbone</v>
      </c>
      <c r="G851" s="1055" t="str">
        <f t="shared" si="83"/>
        <v>Biopropane à base de graisses animales, France continentale, Base Carbone; kgCO2e/kWh PCI, Amont</v>
      </c>
      <c r="I851" s="1031" t="s">
        <v>5057</v>
      </c>
      <c r="J851" s="2342" t="s">
        <v>1573</v>
      </c>
      <c r="K851" s="1032" t="s">
        <v>1567</v>
      </c>
      <c r="L851" s="1032" t="s">
        <v>1571</v>
      </c>
      <c r="M851" s="1033">
        <v>0.2</v>
      </c>
      <c r="N851" s="1119" t="s">
        <v>1570</v>
      </c>
      <c r="O851" s="1036">
        <v>0.05</v>
      </c>
      <c r="P851" s="1036">
        <v>4.8000000000000001E-2</v>
      </c>
      <c r="Q851" s="1036">
        <v>2.0100000000000001E-3</v>
      </c>
      <c r="R851" s="1036">
        <v>0</v>
      </c>
      <c r="S851" s="1036">
        <v>0</v>
      </c>
      <c r="T851" s="1036">
        <v>0</v>
      </c>
      <c r="U851" s="1037">
        <v>0</v>
      </c>
    </row>
    <row r="852" spans="4:21" s="1045" customFormat="1" hidden="1" outlineLevel="2">
      <c r="D852" s="1051">
        <f t="shared" si="81"/>
        <v>23</v>
      </c>
      <c r="E852" s="1051" t="str">
        <f>IF(COUNTIF(E$706:E851,F852)&gt;0,"",F852)</f>
        <v/>
      </c>
      <c r="F852" s="1051" t="str">
        <f t="shared" si="82"/>
        <v>Biopropane à base de graisses animales, France continentale, Base Carbone</v>
      </c>
      <c r="G852" s="1055" t="str">
        <f t="shared" si="83"/>
        <v>Biopropane à base de graisses animales, France continentale, Base Carbone; kgCO2e/kWh PCI, Combustion</v>
      </c>
      <c r="I852" s="1031" t="s">
        <v>5057</v>
      </c>
      <c r="J852" s="2342" t="s">
        <v>1573</v>
      </c>
      <c r="K852" s="1032" t="s">
        <v>1567</v>
      </c>
      <c r="L852" s="1032" t="s">
        <v>1571</v>
      </c>
      <c r="M852" s="1033">
        <v>0.2</v>
      </c>
      <c r="N852" s="1119" t="s">
        <v>1569</v>
      </c>
      <c r="O852" s="1036">
        <v>0</v>
      </c>
      <c r="P852" s="1036">
        <v>0</v>
      </c>
      <c r="Q852" s="1036">
        <v>0</v>
      </c>
      <c r="R852" s="1036">
        <v>0</v>
      </c>
      <c r="S852" s="1036">
        <v>0</v>
      </c>
      <c r="T852" s="1036">
        <v>0</v>
      </c>
      <c r="U852" s="1037">
        <v>0</v>
      </c>
    </row>
    <row r="853" spans="4:21" s="1045" customFormat="1" hidden="1" outlineLevel="2">
      <c r="D853" s="1051">
        <f t="shared" si="81"/>
        <v>23</v>
      </c>
      <c r="E853" s="1051" t="str">
        <f>IF(COUNTIF(E$706:E852,F853)&gt;0,"",F853)</f>
        <v/>
      </c>
      <c r="F853" s="1051" t="str">
        <f t="shared" si="82"/>
        <v>Biopropane à base de graisses animales, France continentale, Base Carbone</v>
      </c>
      <c r="G853" s="1055" t="str">
        <f t="shared" si="83"/>
        <v>Biopropane à base de graisses animales, France continentale, Base Carbone; kgCO2e/litre, Amont</v>
      </c>
      <c r="I853" s="1031" t="s">
        <v>5057</v>
      </c>
      <c r="J853" s="2342" t="s">
        <v>1574</v>
      </c>
      <c r="K853" s="1032" t="s">
        <v>1567</v>
      </c>
      <c r="L853" s="1032" t="s">
        <v>1571</v>
      </c>
      <c r="M853" s="1033">
        <v>0.2</v>
      </c>
      <c r="N853" s="1119" t="s">
        <v>1570</v>
      </c>
      <c r="O853" s="1036">
        <v>0.33800000000000002</v>
      </c>
      <c r="P853" s="1036">
        <v>0.32100000000000001</v>
      </c>
      <c r="Q853" s="1036">
        <v>1.2E-2</v>
      </c>
      <c r="R853" s="1036">
        <v>0</v>
      </c>
      <c r="S853" s="1036">
        <v>2.1199999999999999E-3</v>
      </c>
      <c r="T853" s="1036">
        <v>3.0000000000000001E-3</v>
      </c>
      <c r="U853" s="1037">
        <v>0</v>
      </c>
    </row>
    <row r="854" spans="4:21" s="1045" customFormat="1" hidden="1" outlineLevel="2">
      <c r="D854" s="1051">
        <f t="shared" si="81"/>
        <v>23</v>
      </c>
      <c r="E854" s="1051" t="str">
        <f>IF(COUNTIF(E$706:E853,F854)&gt;0,"",F854)</f>
        <v/>
      </c>
      <c r="F854" s="1051" t="str">
        <f t="shared" si="82"/>
        <v>Biopropane à base de graisses animales, France continentale, Base Carbone</v>
      </c>
      <c r="G854" s="1055" t="str">
        <f t="shared" si="83"/>
        <v>Biopropane à base de graisses animales, France continentale, Base Carbone; kgCO2e/litre, Combustion</v>
      </c>
      <c r="I854" s="1031" t="s">
        <v>5057</v>
      </c>
      <c r="J854" s="2342" t="s">
        <v>1574</v>
      </c>
      <c r="K854" s="1032" t="s">
        <v>1567</v>
      </c>
      <c r="L854" s="1032" t="s">
        <v>1571</v>
      </c>
      <c r="M854" s="1033">
        <v>0.2</v>
      </c>
      <c r="N854" s="1119" t="s">
        <v>1569</v>
      </c>
      <c r="O854" s="1036">
        <v>0</v>
      </c>
      <c r="P854" s="1036">
        <v>0</v>
      </c>
      <c r="Q854" s="1036">
        <v>0</v>
      </c>
      <c r="R854" s="1036">
        <v>0</v>
      </c>
      <c r="S854" s="1036">
        <v>0</v>
      </c>
      <c r="T854" s="1036">
        <v>0</v>
      </c>
      <c r="U854" s="1037">
        <v>0</v>
      </c>
    </row>
    <row r="855" spans="4:21" s="1045" customFormat="1" hidden="1" outlineLevel="2">
      <c r="D855" s="1051">
        <f t="shared" si="81"/>
        <v>23</v>
      </c>
      <c r="E855" s="1051" t="str">
        <f>IF(COUNTIF(E$706:E854,F855)&gt;0,"",F855)</f>
        <v/>
      </c>
      <c r="F855" s="1051" t="str">
        <f t="shared" si="82"/>
        <v>Biopropane à base de graisses animales, France continentale, Base Carbone</v>
      </c>
      <c r="G855" s="1055" t="str">
        <f t="shared" si="83"/>
        <v>Biopropane à base de graisses animales, France continentale, Base Carbone; kgCO2e/tep PCI, Amont</v>
      </c>
      <c r="I855" s="1031" t="s">
        <v>5057</v>
      </c>
      <c r="J855" s="2219" t="s">
        <v>1575</v>
      </c>
      <c r="K855" s="1032" t="s">
        <v>1567</v>
      </c>
      <c r="L855" s="1032" t="s">
        <v>1571</v>
      </c>
      <c r="M855" s="1033">
        <v>0.2</v>
      </c>
      <c r="N855" s="1119" t="s">
        <v>1570</v>
      </c>
      <c r="O855" s="1036">
        <v>595</v>
      </c>
      <c r="P855" s="1036">
        <v>566</v>
      </c>
      <c r="Q855" s="1036">
        <v>20.7</v>
      </c>
      <c r="R855" s="1036">
        <v>0.1</v>
      </c>
      <c r="S855" s="1036">
        <v>2.7</v>
      </c>
      <c r="T855" s="1036">
        <v>5.2</v>
      </c>
      <c r="U855" s="1037">
        <v>0</v>
      </c>
    </row>
    <row r="856" spans="4:21" s="1045" customFormat="1" hidden="1" outlineLevel="2">
      <c r="D856" s="1051">
        <f t="shared" si="81"/>
        <v>23</v>
      </c>
      <c r="E856" s="1051" t="str">
        <f>IF(COUNTIF(E$706:E855,F856)&gt;0,"",F856)</f>
        <v/>
      </c>
      <c r="F856" s="1051" t="str">
        <f t="shared" si="82"/>
        <v>Biopropane à base de graisses animales, France continentale, Base Carbone</v>
      </c>
      <c r="G856" s="1055" t="str">
        <f t="shared" si="83"/>
        <v>Biopropane à base de graisses animales, France continentale, Base Carbone; kgCO2e/tep PCI, Combustion</v>
      </c>
      <c r="I856" s="1031" t="s">
        <v>5057</v>
      </c>
      <c r="J856" s="2219" t="s">
        <v>1575</v>
      </c>
      <c r="K856" s="1032" t="s">
        <v>1567</v>
      </c>
      <c r="L856" s="1032" t="s">
        <v>1571</v>
      </c>
      <c r="M856" s="1033">
        <v>0.2</v>
      </c>
      <c r="N856" s="1119" t="s">
        <v>1569</v>
      </c>
      <c r="O856" s="1036">
        <v>0</v>
      </c>
      <c r="P856" s="1036">
        <v>0</v>
      </c>
      <c r="Q856" s="1036">
        <v>0</v>
      </c>
      <c r="R856" s="1036">
        <v>0</v>
      </c>
      <c r="S856" s="1036">
        <v>0</v>
      </c>
      <c r="T856" s="1036">
        <v>0</v>
      </c>
      <c r="U856" s="1037">
        <v>0</v>
      </c>
    </row>
    <row r="857" spans="4:21" s="1045" customFormat="1" hidden="1" outlineLevel="2">
      <c r="D857" s="1051">
        <f t="shared" si="81"/>
        <v>24</v>
      </c>
      <c r="E857" s="1051" t="str">
        <f>IF(COUNTIF(E$706:E856,F857)&gt;0,"",F857)</f>
        <v>Biopropane mix annuel - 2020, France continentale, Base Carbone</v>
      </c>
      <c r="F857" s="1051" t="str">
        <f t="shared" si="82"/>
        <v>Biopropane mix annuel - 2020, France continentale, Base Carbone</v>
      </c>
      <c r="G857" s="1055" t="str">
        <f t="shared" si="83"/>
        <v>Biopropane mix annuel - 2020, France continentale, Base Carbone; kgCO2e/kg, Amont</v>
      </c>
      <c r="I857" s="1031" t="s">
        <v>4812</v>
      </c>
      <c r="J857" s="2342" t="s">
        <v>1572</v>
      </c>
      <c r="K857" s="1032" t="s">
        <v>1567</v>
      </c>
      <c r="L857" s="1032" t="s">
        <v>1571</v>
      </c>
      <c r="M857" s="1033">
        <v>0.2</v>
      </c>
      <c r="N857" s="1119" t="s">
        <v>1570</v>
      </c>
      <c r="O857" s="1036">
        <v>0.94399999999999995</v>
      </c>
      <c r="P857" s="1980">
        <v>0.94399999999999995</v>
      </c>
      <c r="Q857" s="1980">
        <v>0</v>
      </c>
      <c r="R857" s="1980">
        <v>0</v>
      </c>
      <c r="S857" s="1980">
        <v>0</v>
      </c>
      <c r="T857" s="1980">
        <v>0</v>
      </c>
      <c r="U857" s="2036">
        <v>0</v>
      </c>
    </row>
    <row r="858" spans="4:21" s="1045" customFormat="1" hidden="1" outlineLevel="2">
      <c r="D858" s="1051">
        <f t="shared" si="81"/>
        <v>24</v>
      </c>
      <c r="E858" s="1051" t="str">
        <f>IF(COUNTIF(E$706:E857,F858)&gt;0,"",F858)</f>
        <v/>
      </c>
      <c r="F858" s="1051" t="str">
        <f t="shared" si="82"/>
        <v>Biopropane mix annuel - 2020, France continentale, Base Carbone</v>
      </c>
      <c r="G858" s="1055" t="str">
        <f t="shared" si="83"/>
        <v>Biopropane mix annuel - 2020, France continentale, Base Carbone; kgCO2e/kg, Combustion</v>
      </c>
      <c r="I858" s="1031" t="s">
        <v>4812</v>
      </c>
      <c r="J858" s="2342" t="s">
        <v>1572</v>
      </c>
      <c r="K858" s="1032" t="s">
        <v>1567</v>
      </c>
      <c r="L858" s="1032" t="s">
        <v>1571</v>
      </c>
      <c r="M858" s="1033">
        <v>0.2</v>
      </c>
      <c r="N858" s="1119" t="s">
        <v>1569</v>
      </c>
      <c r="O858" s="1036">
        <v>0</v>
      </c>
      <c r="P858" s="1980">
        <v>0</v>
      </c>
      <c r="Q858" s="1980">
        <v>0</v>
      </c>
      <c r="R858" s="1980">
        <v>0</v>
      </c>
      <c r="S858" s="1980">
        <v>0</v>
      </c>
      <c r="T858" s="1980">
        <v>0</v>
      </c>
      <c r="U858" s="2036">
        <v>0</v>
      </c>
    </row>
    <row r="859" spans="4:21" s="1045" customFormat="1" hidden="1" outlineLevel="2">
      <c r="D859" s="1051">
        <f t="shared" si="81"/>
        <v>24</v>
      </c>
      <c r="E859" s="1051" t="str">
        <f>IF(COUNTIF(E$706:E858,F859)&gt;0,"",F859)</f>
        <v/>
      </c>
      <c r="F859" s="1051" t="str">
        <f t="shared" si="82"/>
        <v>Biopropane mix annuel - 2020, France continentale, Base Carbone</v>
      </c>
      <c r="G859" s="1055" t="str">
        <f t="shared" si="83"/>
        <v>Biopropane mix annuel - 2020, France continentale, Base Carbone; kgCO2e/GJ PCI, Amont</v>
      </c>
      <c r="I859" s="1031" t="s">
        <v>4812</v>
      </c>
      <c r="J859" s="2342" t="s">
        <v>1566</v>
      </c>
      <c r="K859" s="1032" t="s">
        <v>1567</v>
      </c>
      <c r="L859" s="1032" t="s">
        <v>1571</v>
      </c>
      <c r="M859" s="1033">
        <v>0.2</v>
      </c>
      <c r="N859" s="1119" t="s">
        <v>1570</v>
      </c>
      <c r="O859" s="1036">
        <v>20.5</v>
      </c>
      <c r="P859" s="1980">
        <v>20.5</v>
      </c>
      <c r="Q859" s="1980">
        <v>0</v>
      </c>
      <c r="R859" s="1980">
        <v>0</v>
      </c>
      <c r="S859" s="1980">
        <v>0</v>
      </c>
      <c r="T859" s="1980">
        <v>0</v>
      </c>
      <c r="U859" s="2036">
        <v>0</v>
      </c>
    </row>
    <row r="860" spans="4:21" s="1045" customFormat="1" hidden="1" outlineLevel="2">
      <c r="D860" s="1051">
        <f t="shared" si="81"/>
        <v>24</v>
      </c>
      <c r="E860" s="1051" t="str">
        <f>IF(COUNTIF(E$706:E859,F860)&gt;0,"",F860)</f>
        <v/>
      </c>
      <c r="F860" s="1051" t="str">
        <f t="shared" si="82"/>
        <v>Biopropane mix annuel - 2020, France continentale, Base Carbone</v>
      </c>
      <c r="G860" s="1055" t="str">
        <f t="shared" si="83"/>
        <v>Biopropane mix annuel - 2020, France continentale, Base Carbone; kgCO2e/GJ PCI, Combustion</v>
      </c>
      <c r="I860" s="1031" t="s">
        <v>4812</v>
      </c>
      <c r="J860" s="2342" t="s">
        <v>1566</v>
      </c>
      <c r="K860" s="1032" t="s">
        <v>1567</v>
      </c>
      <c r="L860" s="1032" t="s">
        <v>1571</v>
      </c>
      <c r="M860" s="1033">
        <v>0.2</v>
      </c>
      <c r="N860" s="1119" t="s">
        <v>1569</v>
      </c>
      <c r="O860" s="1036">
        <v>0</v>
      </c>
      <c r="P860" s="1980">
        <v>0</v>
      </c>
      <c r="Q860" s="1980">
        <v>0</v>
      </c>
      <c r="R860" s="1980">
        <v>0</v>
      </c>
      <c r="S860" s="1980">
        <v>0</v>
      </c>
      <c r="T860" s="1980">
        <v>0</v>
      </c>
      <c r="U860" s="2036">
        <v>0</v>
      </c>
    </row>
    <row r="861" spans="4:21" s="1045" customFormat="1" hidden="1" outlineLevel="2">
      <c r="D861" s="1051">
        <f t="shared" si="81"/>
        <v>24</v>
      </c>
      <c r="E861" s="1051" t="str">
        <f>IF(COUNTIF(E$706:E860,F861)&gt;0,"",F861)</f>
        <v/>
      </c>
      <c r="F861" s="1051" t="str">
        <f t="shared" si="82"/>
        <v>Biopropane mix annuel - 2020, France continentale, Base Carbone</v>
      </c>
      <c r="G861" s="1055" t="str">
        <f t="shared" si="83"/>
        <v>Biopropane mix annuel - 2020, France continentale, Base Carbone; kgCO2e/kWh PCI, Amont</v>
      </c>
      <c r="I861" s="1031" t="s">
        <v>4812</v>
      </c>
      <c r="J861" s="2219" t="s">
        <v>1573</v>
      </c>
      <c r="K861" s="1032" t="s">
        <v>1567</v>
      </c>
      <c r="L861" s="1032" t="s">
        <v>1571</v>
      </c>
      <c r="M861" s="1033">
        <v>0.2</v>
      </c>
      <c r="N861" s="1119" t="s">
        <v>1570</v>
      </c>
      <c r="O861" s="1036">
        <v>7.3999999999999996E-2</v>
      </c>
      <c r="P861" s="1980">
        <v>7.3999999999999996E-2</v>
      </c>
      <c r="Q861" s="1980">
        <v>0</v>
      </c>
      <c r="R861" s="1980">
        <v>0</v>
      </c>
      <c r="S861" s="1980">
        <v>0</v>
      </c>
      <c r="T861" s="1980">
        <v>0</v>
      </c>
      <c r="U861" s="2036">
        <v>0</v>
      </c>
    </row>
    <row r="862" spans="4:21" s="1045" customFormat="1" hidden="1" outlineLevel="2">
      <c r="D862" s="1051">
        <f t="shared" si="81"/>
        <v>24</v>
      </c>
      <c r="E862" s="1051" t="str">
        <f>IF(COUNTIF(E$706:E861,F862)&gt;0,"",F862)</f>
        <v/>
      </c>
      <c r="F862" s="1051" t="str">
        <f t="shared" si="82"/>
        <v>Biopropane mix annuel - 2020, France continentale, Base Carbone</v>
      </c>
      <c r="G862" s="1055" t="str">
        <f t="shared" si="83"/>
        <v>Biopropane mix annuel - 2020, France continentale, Base Carbone; kgCO2e/kWh PCI, Combustion</v>
      </c>
      <c r="I862" s="1031" t="s">
        <v>4812</v>
      </c>
      <c r="J862" s="2342" t="s">
        <v>1573</v>
      </c>
      <c r="K862" s="1032" t="s">
        <v>1567</v>
      </c>
      <c r="L862" s="1032" t="s">
        <v>1571</v>
      </c>
      <c r="M862" s="1033">
        <v>0.2</v>
      </c>
      <c r="N862" s="1119" t="s">
        <v>1569</v>
      </c>
      <c r="O862" s="1036">
        <v>0</v>
      </c>
      <c r="P862" s="1980">
        <v>0</v>
      </c>
      <c r="Q862" s="1980">
        <v>0</v>
      </c>
      <c r="R862" s="1980">
        <v>0</v>
      </c>
      <c r="S862" s="1980">
        <v>0</v>
      </c>
      <c r="T862" s="1980">
        <v>0</v>
      </c>
      <c r="U862" s="2036">
        <v>0</v>
      </c>
    </row>
    <row r="863" spans="4:21" s="1045" customFormat="1" hidden="1" outlineLevel="2">
      <c r="D863" s="1051">
        <f t="shared" si="81"/>
        <v>24</v>
      </c>
      <c r="E863" s="1051" t="str">
        <f>IF(COUNTIF(E$706:E862,F863)&gt;0,"",F863)</f>
        <v/>
      </c>
      <c r="F863" s="1051" t="str">
        <f t="shared" si="82"/>
        <v>Biopropane mix annuel - 2020, France continentale, Base Carbone</v>
      </c>
      <c r="G863" s="1055" t="str">
        <f t="shared" si="83"/>
        <v>Biopropane mix annuel - 2020, France continentale, Base Carbone; kgCO2e/litre, Amont</v>
      </c>
      <c r="I863" s="1031" t="s">
        <v>4812</v>
      </c>
      <c r="J863" s="2219" t="s">
        <v>1574</v>
      </c>
      <c r="K863" s="1032" t="s">
        <v>1567</v>
      </c>
      <c r="L863" s="1032" t="s">
        <v>1571</v>
      </c>
      <c r="M863" s="1033">
        <v>0.2</v>
      </c>
      <c r="N863" s="1119" t="s">
        <v>1570</v>
      </c>
      <c r="O863" s="1036">
        <v>0.49</v>
      </c>
      <c r="P863" s="1980">
        <v>0.49</v>
      </c>
      <c r="Q863" s="1980">
        <v>0</v>
      </c>
      <c r="R863" s="1980">
        <v>0</v>
      </c>
      <c r="S863" s="1980">
        <v>0</v>
      </c>
      <c r="T863" s="1980">
        <v>0</v>
      </c>
      <c r="U863" s="2036">
        <v>0</v>
      </c>
    </row>
    <row r="864" spans="4:21" s="1045" customFormat="1" hidden="1" outlineLevel="2">
      <c r="D864" s="1051">
        <f t="shared" si="81"/>
        <v>24</v>
      </c>
      <c r="E864" s="1051" t="str">
        <f>IF(COUNTIF(E$706:E863,F864)&gt;0,"",F864)</f>
        <v/>
      </c>
      <c r="F864" s="1051" t="str">
        <f t="shared" si="82"/>
        <v>Biopropane mix annuel - 2020, France continentale, Base Carbone</v>
      </c>
      <c r="G864" s="1055" t="str">
        <f t="shared" si="83"/>
        <v>Biopropane mix annuel - 2020, France continentale, Base Carbone; kgCO2e/litre, Combustion</v>
      </c>
      <c r="I864" s="1031" t="s">
        <v>4812</v>
      </c>
      <c r="J864" s="2342" t="s">
        <v>1574</v>
      </c>
      <c r="K864" s="1032" t="s">
        <v>1567</v>
      </c>
      <c r="L864" s="1032" t="s">
        <v>1571</v>
      </c>
      <c r="M864" s="1033">
        <v>0.2</v>
      </c>
      <c r="N864" s="1119" t="s">
        <v>1569</v>
      </c>
      <c r="O864" s="1036">
        <v>0</v>
      </c>
      <c r="P864" s="1980">
        <v>0</v>
      </c>
      <c r="Q864" s="1980">
        <v>0</v>
      </c>
      <c r="R864" s="1980">
        <v>0</v>
      </c>
      <c r="S864" s="1980">
        <v>0</v>
      </c>
      <c r="T864" s="1980">
        <v>0</v>
      </c>
      <c r="U864" s="2036">
        <v>0</v>
      </c>
    </row>
    <row r="865" spans="4:21" s="1045" customFormat="1" hidden="1" outlineLevel="2">
      <c r="D865" s="1051">
        <f t="shared" si="81"/>
        <v>24</v>
      </c>
      <c r="E865" s="1051" t="str">
        <f>IF(COUNTIF(E$706:E864,F865)&gt;0,"",F865)</f>
        <v/>
      </c>
      <c r="F865" s="1051" t="str">
        <f t="shared" si="82"/>
        <v>Biopropane mix annuel - 2020, France continentale, Base Carbone</v>
      </c>
      <c r="G865" s="1055" t="str">
        <f t="shared" si="83"/>
        <v>Biopropane mix annuel - 2020, France continentale, Base Carbone; kgCO2e/tep PCI, Amont</v>
      </c>
      <c r="I865" s="1031" t="s">
        <v>4812</v>
      </c>
      <c r="J865" s="2342" t="s">
        <v>1575</v>
      </c>
      <c r="K865" s="1032" t="s">
        <v>1567</v>
      </c>
      <c r="L865" s="1032" t="s">
        <v>1571</v>
      </c>
      <c r="M865" s="1033">
        <v>0.2</v>
      </c>
      <c r="N865" s="1119" t="s">
        <v>1570</v>
      </c>
      <c r="O865" s="1036">
        <v>863</v>
      </c>
      <c r="P865" s="1980">
        <v>863</v>
      </c>
      <c r="Q865" s="1980">
        <v>0</v>
      </c>
      <c r="R865" s="1980">
        <v>0</v>
      </c>
      <c r="S865" s="1980">
        <v>0</v>
      </c>
      <c r="T865" s="1980">
        <v>0</v>
      </c>
      <c r="U865" s="2036">
        <v>0</v>
      </c>
    </row>
    <row r="866" spans="4:21" s="1045" customFormat="1" hidden="1" outlineLevel="2">
      <c r="D866" s="1051">
        <f t="shared" si="81"/>
        <v>24</v>
      </c>
      <c r="E866" s="1051" t="str">
        <f>IF(COUNTIF(E$706:E865,F866)&gt;0,"",F866)</f>
        <v/>
      </c>
      <c r="F866" s="1051" t="str">
        <f t="shared" si="82"/>
        <v>Biopropane mix annuel - 2020, France continentale, Base Carbone</v>
      </c>
      <c r="G866" s="1055" t="str">
        <f t="shared" si="83"/>
        <v>Biopropane mix annuel - 2020, France continentale, Base Carbone; kgCO2e/tep PCI, Combustion</v>
      </c>
      <c r="I866" s="1031" t="s">
        <v>4812</v>
      </c>
      <c r="J866" s="2342" t="s">
        <v>1575</v>
      </c>
      <c r="K866" s="1032" t="s">
        <v>1567</v>
      </c>
      <c r="L866" s="1032" t="s">
        <v>1571</v>
      </c>
      <c r="M866" s="1033">
        <v>0.2</v>
      </c>
      <c r="N866" s="1119" t="s">
        <v>1569</v>
      </c>
      <c r="O866" s="1036">
        <v>0</v>
      </c>
      <c r="P866" s="1980">
        <v>0</v>
      </c>
      <c r="Q866" s="1980">
        <v>0</v>
      </c>
      <c r="R866" s="1980">
        <v>0</v>
      </c>
      <c r="S866" s="1980">
        <v>0</v>
      </c>
      <c r="T866" s="1980">
        <v>0</v>
      </c>
      <c r="U866" s="2036">
        <v>0</v>
      </c>
    </row>
    <row r="867" spans="4:21" s="1045" customFormat="1" hidden="1" outlineLevel="2">
      <c r="D867" s="1051">
        <f t="shared" si="81"/>
        <v>24</v>
      </c>
      <c r="E867" s="1051" t="str">
        <f>IF(COUNTIF(E$706:E866,F867)&gt;0,"",F867)</f>
        <v/>
      </c>
      <c r="F867" s="1051" t="str">
        <f t="shared" si="82"/>
        <v/>
      </c>
      <c r="G867" s="1055" t="str">
        <f t="shared" si="83"/>
        <v/>
      </c>
      <c r="I867" s="1031"/>
      <c r="J867" s="2342"/>
      <c r="K867" s="1032"/>
      <c r="L867" s="1032"/>
      <c r="M867" s="1033"/>
      <c r="N867" s="1119"/>
      <c r="O867" s="1036"/>
      <c r="P867" s="1036"/>
      <c r="Q867" s="1036"/>
      <c r="R867" s="1036"/>
      <c r="S867" s="1036"/>
      <c r="T867" s="1036"/>
      <c r="U867" s="1037"/>
    </row>
    <row r="868" spans="4:21" s="1045" customFormat="1" hidden="1" outlineLevel="2">
      <c r="D868" s="1051">
        <f t="shared" si="81"/>
        <v>25</v>
      </c>
      <c r="E868" s="1051" t="str">
        <f>IF(COUNTIF(E$706:E867,F868)&gt;0,"",F868)</f>
        <v>BioGNC - biométhane comprimé pour véhicule routier - mix moyen, France continentale, Base Carbone</v>
      </c>
      <c r="F868" s="1051" t="str">
        <f t="shared" si="82"/>
        <v>BioGNC - biométhane comprimé pour véhicule routier - mix moyen, France continentale, Base Carbone</v>
      </c>
      <c r="G868" s="1055" t="str">
        <f t="shared" si="83"/>
        <v>BioGNC - biométhane comprimé pour véhicule routier - mix moyen, France continentale, Base Carbone; kgCO2e/kWh PCI, Amont</v>
      </c>
      <c r="I868" s="1031" t="s">
        <v>4809</v>
      </c>
      <c r="J868" s="2342" t="s">
        <v>1573</v>
      </c>
      <c r="K868" s="1119" t="s">
        <v>1567</v>
      </c>
      <c r="L868" s="1119" t="s">
        <v>1571</v>
      </c>
      <c r="M868" s="1033">
        <v>0.7</v>
      </c>
      <c r="N868" s="1119" t="s">
        <v>1570</v>
      </c>
      <c r="O868" s="1036">
        <v>4.5499999999999999E-2</v>
      </c>
      <c r="P868" s="1036">
        <v>0.02</v>
      </c>
      <c r="Q868" s="1036">
        <v>0</v>
      </c>
      <c r="R868" s="1036">
        <v>2.35E-2</v>
      </c>
      <c r="S868" s="1036">
        <v>1.99E-3</v>
      </c>
      <c r="T868" s="1036">
        <v>0</v>
      </c>
      <c r="U868" s="1037">
        <v>0</v>
      </c>
    </row>
    <row r="869" spans="4:21" s="1045" customFormat="1" hidden="1" outlineLevel="2">
      <c r="D869" s="1051">
        <f t="shared" si="81"/>
        <v>25</v>
      </c>
      <c r="E869" s="1051" t="str">
        <f>IF(COUNTIF(E$706:E868,F869)&gt;0,"",F869)</f>
        <v/>
      </c>
      <c r="F869" s="1051" t="str">
        <f t="shared" si="82"/>
        <v>BioGNC - biométhane comprimé pour véhicule routier - mix moyen, France continentale, Base Carbone</v>
      </c>
      <c r="G869" s="1055" t="str">
        <f t="shared" si="83"/>
        <v>BioGNC - biométhane comprimé pour véhicule routier - mix moyen, France continentale, Base Carbone; kgCO2e/kWh PCI, Combustion</v>
      </c>
      <c r="I869" s="1031" t="s">
        <v>4809</v>
      </c>
      <c r="J869" s="2342" t="s">
        <v>1573</v>
      </c>
      <c r="K869" s="1119" t="s">
        <v>1567</v>
      </c>
      <c r="L869" s="1119" t="s">
        <v>1571</v>
      </c>
      <c r="M869" s="1033">
        <v>0.7</v>
      </c>
      <c r="N869" s="1119" t="s">
        <v>1569</v>
      </c>
      <c r="O869" s="1036">
        <v>2.0100000000000001E-3</v>
      </c>
      <c r="P869" s="1036">
        <v>0</v>
      </c>
      <c r="Q869" s="1036">
        <v>0</v>
      </c>
      <c r="R869" s="1036">
        <v>1E-3</v>
      </c>
      <c r="S869" s="1036">
        <v>1.01E-3</v>
      </c>
      <c r="T869" s="1036">
        <v>0</v>
      </c>
      <c r="U869" s="1037">
        <v>0</v>
      </c>
    </row>
    <row r="870" spans="4:21" s="1045" customFormat="1" hidden="1" outlineLevel="2">
      <c r="D870" s="1051">
        <f t="shared" si="81"/>
        <v>25</v>
      </c>
      <c r="E870" s="1051" t="str">
        <f>IF(COUNTIF(E$706:E869,F870)&gt;0,"",F870)</f>
        <v/>
      </c>
      <c r="F870" s="1051" t="str">
        <f t="shared" si="82"/>
        <v>BioGNC - biométhane comprimé pour véhicule routier - mix moyen, France continentale, Base Carbone</v>
      </c>
      <c r="G870" s="1055" t="str">
        <f t="shared" si="83"/>
        <v>BioGNC - biométhane comprimé pour véhicule routier - mix moyen, France continentale, Base Carbone; kgCO2e/GJ PCI, Amont</v>
      </c>
      <c r="I870" s="1031" t="s">
        <v>4809</v>
      </c>
      <c r="J870" s="2342" t="s">
        <v>1566</v>
      </c>
      <c r="K870" s="1119" t="s">
        <v>1567</v>
      </c>
      <c r="L870" s="1119" t="s">
        <v>1571</v>
      </c>
      <c r="M870" s="1033">
        <v>0.7</v>
      </c>
      <c r="N870" s="1119" t="s">
        <v>1570</v>
      </c>
      <c r="O870" s="1036">
        <v>12.7</v>
      </c>
      <c r="P870" s="1036">
        <v>5.63</v>
      </c>
      <c r="Q870" s="1036">
        <v>0</v>
      </c>
      <c r="R870" s="1036">
        <v>6.54</v>
      </c>
      <c r="S870" s="1036">
        <v>0.55500000000000005</v>
      </c>
      <c r="T870" s="1036">
        <v>0</v>
      </c>
      <c r="U870" s="1037">
        <v>0</v>
      </c>
    </row>
    <row r="871" spans="4:21" s="1045" customFormat="1" hidden="1" outlineLevel="2">
      <c r="D871" s="1051">
        <f t="shared" si="81"/>
        <v>25</v>
      </c>
      <c r="E871" s="1051" t="str">
        <f>IF(COUNTIF(E$706:E870,F871)&gt;0,"",F871)</f>
        <v/>
      </c>
      <c r="F871" s="1051" t="str">
        <f t="shared" si="82"/>
        <v>BioGNC - biométhane comprimé pour véhicule routier - mix moyen, France continentale, Base Carbone</v>
      </c>
      <c r="G871" s="1055" t="str">
        <f t="shared" si="83"/>
        <v>BioGNC - biométhane comprimé pour véhicule routier - mix moyen, France continentale, Base Carbone; kgCO2e/GJ PCI, Combustion</v>
      </c>
      <c r="I871" s="1031" t="s">
        <v>4809</v>
      </c>
      <c r="J871" s="2342" t="s">
        <v>1566</v>
      </c>
      <c r="K871" s="1119" t="s">
        <v>1567</v>
      </c>
      <c r="L871" s="1119" t="s">
        <v>1571</v>
      </c>
      <c r="M871" s="1033">
        <v>0.7</v>
      </c>
      <c r="N871" s="1119" t="s">
        <v>1569</v>
      </c>
      <c r="O871" s="1036">
        <v>0.434</v>
      </c>
      <c r="P871" s="1036">
        <v>0</v>
      </c>
      <c r="Q871" s="1036">
        <v>0</v>
      </c>
      <c r="R871" s="1036">
        <v>0.156</v>
      </c>
      <c r="S871" s="1036">
        <v>0.27800000000000002</v>
      </c>
      <c r="T871" s="1036">
        <v>0</v>
      </c>
      <c r="U871" s="1037">
        <v>0</v>
      </c>
    </row>
    <row r="872" spans="4:21" s="1045" customFormat="1" hidden="1" outlineLevel="2">
      <c r="D872" s="1051">
        <f t="shared" si="81"/>
        <v>25</v>
      </c>
      <c r="E872" s="1051" t="str">
        <f>IF(COUNTIF(E$706:E871,F872)&gt;0,"",F872)</f>
        <v/>
      </c>
      <c r="F872" s="1051" t="str">
        <f t="shared" si="82"/>
        <v>BioGNC - biométhane comprimé pour véhicule routier - mix moyen, France continentale, Base Carbone</v>
      </c>
      <c r="G872" s="1055" t="str">
        <f t="shared" si="83"/>
        <v>BioGNC - biométhane comprimé pour véhicule routier - mix moyen, France continentale, Base Carbone; kgCO2e/tep PCI, Amont</v>
      </c>
      <c r="I872" s="1031" t="s">
        <v>4809</v>
      </c>
      <c r="J872" s="2342" t="s">
        <v>1575</v>
      </c>
      <c r="K872" s="1119" t="s">
        <v>1567</v>
      </c>
      <c r="L872" s="1119" t="s">
        <v>1571</v>
      </c>
      <c r="M872" s="1033">
        <v>0.7</v>
      </c>
      <c r="N872" s="1119" t="s">
        <v>1570</v>
      </c>
      <c r="O872" s="1036">
        <v>533</v>
      </c>
      <c r="P872" s="1036">
        <v>236</v>
      </c>
      <c r="Q872" s="1036">
        <v>0</v>
      </c>
      <c r="R872" s="1036">
        <v>274</v>
      </c>
      <c r="S872" s="1036">
        <v>23.3</v>
      </c>
      <c r="T872" s="1036">
        <v>0</v>
      </c>
      <c r="U872" s="1037">
        <v>0</v>
      </c>
    </row>
    <row r="873" spans="4:21" s="1045" customFormat="1" hidden="1" outlineLevel="2">
      <c r="D873" s="1051">
        <f t="shared" si="81"/>
        <v>25</v>
      </c>
      <c r="E873" s="1051" t="str">
        <f>IF(COUNTIF(E$706:E872,F873)&gt;0,"",F873)</f>
        <v/>
      </c>
      <c r="F873" s="1051" t="str">
        <f t="shared" si="82"/>
        <v>BioGNC - biométhane comprimé pour véhicule routier - mix moyen, France continentale, Base Carbone</v>
      </c>
      <c r="G873" s="1055" t="str">
        <f t="shared" si="83"/>
        <v>BioGNC - biométhane comprimé pour véhicule routier - mix moyen, France continentale, Base Carbone; kgCO2e/tep PCI, Combustion</v>
      </c>
      <c r="I873" s="1031" t="s">
        <v>4809</v>
      </c>
      <c r="J873" s="2342" t="s">
        <v>1575</v>
      </c>
      <c r="K873" s="1119" t="s">
        <v>1567</v>
      </c>
      <c r="L873" s="1119" t="s">
        <v>1571</v>
      </c>
      <c r="M873" s="1033">
        <v>0.7</v>
      </c>
      <c r="N873" s="1119" t="s">
        <v>1569</v>
      </c>
      <c r="O873" s="1036">
        <v>18.100000000000001</v>
      </c>
      <c r="P873" s="1036">
        <v>0</v>
      </c>
      <c r="Q873" s="1036">
        <v>0</v>
      </c>
      <c r="R873" s="1036">
        <v>6.51</v>
      </c>
      <c r="S873" s="1036">
        <v>11.6</v>
      </c>
      <c r="T873" s="1036">
        <v>0</v>
      </c>
      <c r="U873" s="1037">
        <v>0</v>
      </c>
    </row>
    <row r="874" spans="4:21" s="1045" customFormat="1" hidden="1" outlineLevel="2">
      <c r="D874" s="1051">
        <f t="shared" si="81"/>
        <v>25</v>
      </c>
      <c r="E874" s="1051" t="str">
        <f>IF(COUNTIF(E$706:E873,F874)&gt;0,"",F874)</f>
        <v/>
      </c>
      <c r="F874" s="1051" t="str">
        <f t="shared" si="82"/>
        <v>BioGNC - biométhane comprimé pour véhicule routier - mix moyen, France continentale, Base Carbone</v>
      </c>
      <c r="G874" s="1055" t="str">
        <f t="shared" si="83"/>
        <v>BioGNC - biométhane comprimé pour véhicule routier - mix moyen, France continentale, Base Carbone; kgCO2e/m3, Amont</v>
      </c>
      <c r="I874" s="1031" t="s">
        <v>4809</v>
      </c>
      <c r="J874" s="2342" t="s">
        <v>2358</v>
      </c>
      <c r="K874" s="1119" t="s">
        <v>1567</v>
      </c>
      <c r="L874" s="1119" t="s">
        <v>1571</v>
      </c>
      <c r="M874" s="1033">
        <v>0.7</v>
      </c>
      <c r="N874" s="1119" t="s">
        <v>1570</v>
      </c>
      <c r="O874" s="1036">
        <v>0.46500000000000002</v>
      </c>
      <c r="P874" s="1036">
        <v>0.20599999999999999</v>
      </c>
      <c r="Q874" s="1036">
        <v>0</v>
      </c>
      <c r="R874" s="1036">
        <v>0.23899999999999999</v>
      </c>
      <c r="S874" s="1036">
        <v>0.02</v>
      </c>
      <c r="T874" s="1036">
        <v>0</v>
      </c>
      <c r="U874" s="1037">
        <v>0</v>
      </c>
    </row>
    <row r="875" spans="4:21" s="1045" customFormat="1" hidden="1" outlineLevel="2">
      <c r="D875" s="1051">
        <f t="shared" si="81"/>
        <v>25</v>
      </c>
      <c r="E875" s="1051" t="str">
        <f>IF(COUNTIF(E$706:E874,F875)&gt;0,"",F875)</f>
        <v/>
      </c>
      <c r="F875" s="1051" t="str">
        <f t="shared" si="82"/>
        <v>BioGNC - biométhane comprimé pour véhicule routier - mix moyen, France continentale, Base Carbone</v>
      </c>
      <c r="G875" s="1055" t="str">
        <f t="shared" si="83"/>
        <v>BioGNC - biométhane comprimé pour véhicule routier - mix moyen, France continentale, Base Carbone; kgCO2e/m3, Combustion</v>
      </c>
      <c r="I875" s="1031" t="s">
        <v>4809</v>
      </c>
      <c r="J875" s="2342" t="s">
        <v>2358</v>
      </c>
      <c r="K875" s="1119" t="s">
        <v>1567</v>
      </c>
      <c r="L875" s="1119" t="s">
        <v>1571</v>
      </c>
      <c r="M875" s="1033">
        <v>0.7</v>
      </c>
      <c r="N875" s="1119" t="s">
        <v>1569</v>
      </c>
      <c r="O875" s="1036">
        <v>1.6E-2</v>
      </c>
      <c r="P875" s="1036">
        <v>0</v>
      </c>
      <c r="Q875" s="1036">
        <v>0</v>
      </c>
      <c r="R875" s="1036">
        <v>6.0000000000000001E-3</v>
      </c>
      <c r="S875" s="1036">
        <v>9.9900000000000006E-3</v>
      </c>
      <c r="T875" s="1036">
        <v>0</v>
      </c>
      <c r="U875" s="1037">
        <v>0</v>
      </c>
    </row>
    <row r="876" spans="4:21" s="1045" customFormat="1" hidden="1" outlineLevel="2">
      <c r="D876" s="1051">
        <f t="shared" si="81"/>
        <v>25</v>
      </c>
      <c r="E876" s="1051" t="str">
        <f>IF(COUNTIF(E$706:E875,F876)&gt;0,"",F876)</f>
        <v/>
      </c>
      <c r="F876" s="1051" t="str">
        <f t="shared" si="82"/>
        <v>BioGNC - biométhane comprimé pour véhicule routier - mix moyen, France continentale, Base Carbone</v>
      </c>
      <c r="G876" s="1055" t="str">
        <f t="shared" si="83"/>
        <v>BioGNC - biométhane comprimé pour véhicule routier - mix moyen, France continentale, Base Carbone; kgCO2e/kg, Amont</v>
      </c>
      <c r="I876" s="1031" t="s">
        <v>4809</v>
      </c>
      <c r="J876" s="2342" t="s">
        <v>1572</v>
      </c>
      <c r="K876" s="1119" t="s">
        <v>1567</v>
      </c>
      <c r="L876" s="1119" t="s">
        <v>1571</v>
      </c>
      <c r="M876" s="1033">
        <v>0.7</v>
      </c>
      <c r="N876" s="1119" t="s">
        <v>1570</v>
      </c>
      <c r="O876" s="1036">
        <v>0.58799999999999997</v>
      </c>
      <c r="P876" s="1036">
        <v>0.26</v>
      </c>
      <c r="Q876" s="1036">
        <v>0</v>
      </c>
      <c r="R876" s="1036">
        <v>0.30199999999999999</v>
      </c>
      <c r="S876" s="1036">
        <v>2.5999999999999999E-2</v>
      </c>
      <c r="T876" s="1036">
        <v>0</v>
      </c>
      <c r="U876" s="1037">
        <v>0</v>
      </c>
    </row>
    <row r="877" spans="4:21" hidden="1" outlineLevel="2">
      <c r="D877" s="1051">
        <f t="shared" si="81"/>
        <v>25</v>
      </c>
      <c r="E877" s="1051" t="str">
        <f>IF(COUNTIF(E$706:E876,F877)&gt;0,"",F877)</f>
        <v/>
      </c>
      <c r="F877" s="1051" t="str">
        <f t="shared" si="82"/>
        <v>BioGNC - biométhane comprimé pour véhicule routier - mix moyen, France continentale, Base Carbone</v>
      </c>
      <c r="G877" s="1055" t="str">
        <f t="shared" si="83"/>
        <v>BioGNC - biométhane comprimé pour véhicule routier - mix moyen, France continentale, Base Carbone; kgCO2e/kg, Combustion</v>
      </c>
      <c r="I877" s="1031" t="s">
        <v>4809</v>
      </c>
      <c r="J877" s="2342" t="s">
        <v>1572</v>
      </c>
      <c r="K877" s="1119" t="s">
        <v>1567</v>
      </c>
      <c r="L877" s="1119" t="s">
        <v>1571</v>
      </c>
      <c r="M877" s="1033">
        <v>0.7</v>
      </c>
      <c r="N877" s="1119" t="s">
        <v>1569</v>
      </c>
      <c r="O877" s="1036">
        <v>0.02</v>
      </c>
      <c r="P877" s="1036">
        <v>0</v>
      </c>
      <c r="Q877" s="1036">
        <v>0</v>
      </c>
      <c r="R877" s="1036">
        <v>7.0000000000000001E-3</v>
      </c>
      <c r="S877" s="1036">
        <v>1.2999999999999999E-2</v>
      </c>
      <c r="T877" s="1036">
        <v>0</v>
      </c>
      <c r="U877" s="1037">
        <v>0</v>
      </c>
    </row>
    <row r="878" spans="4:21" hidden="1" outlineLevel="2">
      <c r="D878" s="1051">
        <f t="shared" si="81"/>
        <v>25</v>
      </c>
      <c r="E878" s="1051" t="str">
        <f>IF(COUNTIF(E$706:E877,F878)&gt;0,"",F878)</f>
        <v/>
      </c>
      <c r="F878" s="1051" t="str">
        <f t="shared" si="82"/>
        <v/>
      </c>
      <c r="G878" s="1055" t="str">
        <f t="shared" si="83"/>
        <v/>
      </c>
      <c r="I878" s="1031"/>
      <c r="J878" s="2342"/>
      <c r="K878" s="1032"/>
      <c r="L878" s="1032"/>
      <c r="M878" s="1033"/>
      <c r="N878" s="1032"/>
      <c r="O878" s="1036"/>
      <c r="P878" s="1036"/>
      <c r="Q878" s="1036"/>
      <c r="R878" s="1036"/>
      <c r="S878" s="1036"/>
      <c r="T878" s="1036"/>
      <c r="U878" s="1037"/>
    </row>
    <row r="879" spans="4:21" hidden="1" outlineLevel="2">
      <c r="D879" s="1051">
        <f t="shared" si="81"/>
        <v>25</v>
      </c>
      <c r="E879" s="1051" t="str">
        <f>IF(COUNTIF(E$706:E878,F879)&gt;0,"",F879)</f>
        <v/>
      </c>
      <c r="F879" s="1051" t="str">
        <f t="shared" si="82"/>
        <v/>
      </c>
      <c r="G879" s="1055" t="str">
        <f t="shared" si="83"/>
        <v/>
      </c>
      <c r="I879" s="1031"/>
      <c r="J879" s="2342"/>
      <c r="K879" s="1032"/>
      <c r="L879" s="1032"/>
      <c r="M879" s="1033"/>
      <c r="N879" s="1032"/>
      <c r="O879" s="1036"/>
      <c r="P879" s="1036"/>
      <c r="Q879" s="1036"/>
      <c r="R879" s="1036"/>
      <c r="S879" s="1036"/>
      <c r="T879" s="1036"/>
      <c r="U879" s="1037"/>
    </row>
    <row r="880" spans="4:21" hidden="1" outlineLevel="2">
      <c r="D880" s="1051">
        <f t="shared" si="81"/>
        <v>25</v>
      </c>
      <c r="E880" s="1051" t="str">
        <f>IF(COUNTIF(E$706:E879,F880)&gt;0,"",F880)</f>
        <v/>
      </c>
      <c r="F880" s="1051" t="str">
        <f t="shared" si="82"/>
        <v/>
      </c>
      <c r="G880" s="1055" t="str">
        <f t="shared" si="83"/>
        <v/>
      </c>
      <c r="I880" s="1031"/>
      <c r="J880" s="2342"/>
      <c r="K880" s="1032"/>
      <c r="L880" s="1032"/>
      <c r="M880" s="1033"/>
      <c r="N880" s="1032"/>
      <c r="O880" s="1036"/>
      <c r="P880" s="1036"/>
      <c r="Q880" s="1036"/>
      <c r="R880" s="1036"/>
      <c r="S880" s="1036"/>
      <c r="T880" s="1036"/>
      <c r="U880" s="1037"/>
    </row>
    <row r="881" spans="2:21" hidden="1" outlineLevel="2">
      <c r="D881" s="1051">
        <f t="shared" si="81"/>
        <v>25</v>
      </c>
      <c r="E881" s="1051" t="str">
        <f>IF(COUNTIF(E$706:E880,F881)&gt;0,"",F881)</f>
        <v/>
      </c>
      <c r="F881" s="1051" t="str">
        <f t="shared" si="82"/>
        <v/>
      </c>
      <c r="G881" s="1055" t="str">
        <f t="shared" si="83"/>
        <v/>
      </c>
      <c r="I881" s="1031"/>
      <c r="J881" s="2342"/>
      <c r="K881" s="1032"/>
      <c r="L881" s="1032"/>
      <c r="M881" s="1033"/>
      <c r="N881" s="1032"/>
      <c r="O881" s="1036"/>
      <c r="P881" s="1036"/>
      <c r="Q881" s="1036"/>
      <c r="R881" s="1036"/>
      <c r="S881" s="1036"/>
      <c r="T881" s="1036"/>
      <c r="U881" s="1037"/>
    </row>
    <row r="882" spans="2:21" hidden="1" outlineLevel="2">
      <c r="D882" s="1051">
        <f t="shared" si="81"/>
        <v>25</v>
      </c>
      <c r="E882" s="1051" t="str">
        <f>IF(COUNTIF(E$706:E881,F882)&gt;0,"",F882)</f>
        <v/>
      </c>
      <c r="F882" s="1051" t="str">
        <f t="shared" si="82"/>
        <v/>
      </c>
      <c r="G882" s="1055" t="str">
        <f t="shared" si="83"/>
        <v/>
      </c>
      <c r="I882" s="1031"/>
      <c r="J882" s="2342"/>
      <c r="K882" s="1032"/>
      <c r="L882" s="1032"/>
      <c r="M882" s="1033"/>
      <c r="N882" s="1032"/>
      <c r="O882" s="1036"/>
      <c r="P882" s="1036"/>
      <c r="Q882" s="1036"/>
      <c r="R882" s="1036"/>
      <c r="S882" s="1036"/>
      <c r="T882" s="1036"/>
      <c r="U882" s="1037"/>
    </row>
    <row r="883" spans="2:21" hidden="1" outlineLevel="2">
      <c r="D883" s="1051">
        <f t="shared" si="81"/>
        <v>25</v>
      </c>
      <c r="E883" s="1051" t="str">
        <f>IF(COUNTIF(E$706:E882,F883)&gt;0,"",F883)</f>
        <v/>
      </c>
      <c r="F883" s="1051" t="str">
        <f t="shared" si="82"/>
        <v/>
      </c>
      <c r="G883" s="1055" t="str">
        <f t="shared" si="83"/>
        <v/>
      </c>
      <c r="I883" s="1031"/>
      <c r="J883" s="2342"/>
      <c r="K883" s="1032"/>
      <c r="L883" s="1032"/>
      <c r="M883" s="1033"/>
      <c r="N883" s="1032"/>
      <c r="O883" s="1036"/>
      <c r="P883" s="1036"/>
      <c r="Q883" s="1036"/>
      <c r="R883" s="1036"/>
      <c r="S883" s="1036"/>
      <c r="T883" s="1036"/>
      <c r="U883" s="1037"/>
    </row>
    <row r="884" spans="2:21" hidden="1" outlineLevel="2">
      <c r="D884" s="1051">
        <f t="shared" si="81"/>
        <v>25</v>
      </c>
      <c r="E884" s="1051" t="str">
        <f>IF(COUNTIF(E$706:E883,F884)&gt;0,"",F884)</f>
        <v/>
      </c>
      <c r="F884" s="1051" t="str">
        <f t="shared" si="82"/>
        <v/>
      </c>
      <c r="G884" s="1055" t="str">
        <f t="shared" si="83"/>
        <v/>
      </c>
      <c r="I884" s="1031"/>
      <c r="J884" s="2342"/>
      <c r="K884" s="1032"/>
      <c r="L884" s="1032"/>
      <c r="M884" s="1033"/>
      <c r="N884" s="1032"/>
      <c r="O884" s="1036"/>
      <c r="P884" s="1036"/>
      <c r="Q884" s="1036"/>
      <c r="R884" s="1036"/>
      <c r="S884" s="1036"/>
      <c r="T884" s="1036"/>
      <c r="U884" s="1037"/>
    </row>
    <row r="885" spans="2:21" hidden="1" outlineLevel="2">
      <c r="D885" s="1051">
        <f t="shared" si="81"/>
        <v>25</v>
      </c>
      <c r="E885" s="1051" t="str">
        <f>IF(COUNTIF(E$706:E884,F885)&gt;0,"",F885)</f>
        <v/>
      </c>
      <c r="F885" s="1051" t="str">
        <f t="shared" si="82"/>
        <v/>
      </c>
      <c r="G885" s="1055" t="str">
        <f t="shared" si="83"/>
        <v/>
      </c>
      <c r="I885" s="1031"/>
      <c r="J885" s="2342"/>
      <c r="K885" s="1032"/>
      <c r="L885" s="1032"/>
      <c r="M885" s="1033"/>
      <c r="N885" s="1032"/>
      <c r="O885" s="1036"/>
      <c r="P885" s="1036"/>
      <c r="Q885" s="1036"/>
      <c r="R885" s="1036"/>
      <c r="S885" s="1036"/>
      <c r="T885" s="1036"/>
      <c r="U885" s="1037"/>
    </row>
    <row r="886" spans="2:21" hidden="1" outlineLevel="2">
      <c r="D886" s="1051">
        <f t="shared" si="81"/>
        <v>25</v>
      </c>
      <c r="E886" s="1051" t="str">
        <f>IF(COUNTIF(E$706:E885,F886)&gt;0,"",F886)</f>
        <v/>
      </c>
      <c r="F886" s="1051" t="str">
        <f t="shared" si="82"/>
        <v/>
      </c>
      <c r="G886" s="1055" t="str">
        <f t="shared" si="83"/>
        <v/>
      </c>
      <c r="I886" s="1031"/>
      <c r="J886" s="2342"/>
      <c r="K886" s="1032"/>
      <c r="L886" s="1032"/>
      <c r="M886" s="1033"/>
      <c r="N886" s="1032"/>
      <c r="O886" s="1036"/>
      <c r="P886" s="1036"/>
      <c r="Q886" s="1036"/>
      <c r="R886" s="1036"/>
      <c r="S886" s="1036"/>
      <c r="T886" s="1036"/>
      <c r="U886" s="1037"/>
    </row>
    <row r="887" spans="2:21" s="1045" customFormat="1" hidden="1" outlineLevel="1">
      <c r="G887" s="1135"/>
      <c r="I887" s="1694"/>
      <c r="J887" s="1695"/>
      <c r="K887" s="1695"/>
      <c r="L887" s="1695"/>
      <c r="M887" s="1696"/>
      <c r="N887" s="1695"/>
      <c r="O887" s="1697"/>
      <c r="P887" s="1697"/>
      <c r="Q887" s="1697"/>
      <c r="R887" s="1697"/>
      <c r="S887" s="1697"/>
      <c r="T887" s="1697"/>
      <c r="U887" s="1698"/>
    </row>
    <row r="888" spans="2:21" ht="12" hidden="1" customHeight="1" outlineLevel="1" collapsed="1">
      <c r="B888" s="3156" t="s">
        <v>121</v>
      </c>
      <c r="C888" s="3156"/>
      <c r="D888" s="1051">
        <v>0</v>
      </c>
      <c r="E888" s="1051"/>
      <c r="F888" s="1051" t="str">
        <f t="shared" ref="F888:F912" si="84">IF(I888&lt;&gt;"",I888&amp;IF(L888&lt;&gt;"",", "&amp;L888,"")&amp;IF(K888&lt;&gt;"",", "&amp;K888,""),"")</f>
        <v/>
      </c>
      <c r="G888" s="1055" t="str">
        <f t="shared" ref="G888:G912" si="85">IF(F888&lt;&gt;"",F888&amp;IF(J888&lt;&gt;"","; "&amp;J888,"")&amp;IF(N888&lt;&gt;"",", "&amp;N888,""),"")</f>
        <v/>
      </c>
      <c r="I888" s="1701"/>
      <c r="J888" s="1702"/>
      <c r="K888" s="1702"/>
      <c r="L888" s="1702"/>
      <c r="M888" s="1703"/>
      <c r="N888" s="1702"/>
      <c r="O888" s="1704"/>
      <c r="P888" s="1704"/>
      <c r="Q888" s="1704"/>
      <c r="R888" s="1704"/>
      <c r="S888" s="1704"/>
      <c r="T888" s="1704"/>
      <c r="U888" s="1705"/>
    </row>
    <row r="889" spans="2:21" hidden="1" outlineLevel="3">
      <c r="B889" s="1050">
        <v>1</v>
      </c>
      <c r="C889" s="1050" t="str">
        <f>IF(ISNA(VLOOKUP(B889,$D$889:$E$917,2,FALSE)),"-",VLOOKUP(B889,$D$889:$E$917,2,FALSE))</f>
        <v>Bois bûche (20% d'humidité), France continentale, Base Carbone</v>
      </c>
      <c r="D889" s="1051">
        <f>D888+IF(LEN(E889)=0,0,1)</f>
        <v>1</v>
      </c>
      <c r="E889" s="1051" t="str">
        <f>IF(COUNTIF(E$11:E766,F889)&gt;0,"",F889)</f>
        <v>Bois bûche (20% d'humidité), France continentale, Base Carbone</v>
      </c>
      <c r="F889" s="1051" t="str">
        <f t="shared" si="84"/>
        <v>Bois bûche (20% d'humidité), France continentale, Base Carbone</v>
      </c>
      <c r="G889" s="1055" t="str">
        <f t="shared" si="85"/>
        <v>Bois bûche (20% d'humidité), France continentale, Base Carbone; kgCO2e/kg, Combustion</v>
      </c>
      <c r="I889" s="1031" t="s">
        <v>1655</v>
      </c>
      <c r="J889" s="1032" t="s">
        <v>1572</v>
      </c>
      <c r="K889" s="1032" t="s">
        <v>1567</v>
      </c>
      <c r="L889" s="1032" t="s">
        <v>1571</v>
      </c>
      <c r="M889" s="1033">
        <v>0.5</v>
      </c>
      <c r="N889" s="1032" t="s">
        <v>1569</v>
      </c>
      <c r="O889" s="1036">
        <v>7.2599999999999998E-2</v>
      </c>
      <c r="P889" s="1036">
        <v>0</v>
      </c>
      <c r="Q889" s="1036">
        <v>0</v>
      </c>
      <c r="R889" s="1036">
        <v>7.2599999999999998E-2</v>
      </c>
      <c r="S889" s="1036">
        <v>0</v>
      </c>
      <c r="T889" s="1036">
        <v>0</v>
      </c>
      <c r="U889" s="1037">
        <v>1.47</v>
      </c>
    </row>
    <row r="890" spans="2:21" hidden="1" outlineLevel="3">
      <c r="B890" s="1050">
        <v>2</v>
      </c>
      <c r="C890" s="1050" t="str">
        <f t="shared" ref="C890:C898" si="86">IF(ISNA(VLOOKUP(B890,$D$889:$E$917,2,FALSE)),"-",VLOOKUP(B890,$D$889:$E$917,2,FALSE))</f>
        <v>Broyats de cagettes et de pallettes (20% d'humidité), France continentale, Base Carbone</v>
      </c>
      <c r="D890" s="1051">
        <f t="shared" si="67"/>
        <v>1</v>
      </c>
      <c r="E890" s="1051" t="str">
        <f>IF(COUNTIF(E$11:E889,F890)&gt;0,"",F890)</f>
        <v/>
      </c>
      <c r="F890" s="1051" t="str">
        <f t="shared" si="84"/>
        <v>Bois bûche (20% d'humidité), France continentale, Base Carbone</v>
      </c>
      <c r="G890" s="1055" t="str">
        <f t="shared" si="85"/>
        <v>Bois bûche (20% d'humidité), France continentale, Base Carbone; kgCO2e/kg, Amont</v>
      </c>
      <c r="I890" s="1031" t="s">
        <v>1655</v>
      </c>
      <c r="J890" s="1032" t="s">
        <v>1572</v>
      </c>
      <c r="K890" s="1032" t="s">
        <v>1567</v>
      </c>
      <c r="L890" s="1032" t="s">
        <v>1571</v>
      </c>
      <c r="M890" s="1033">
        <v>0.5</v>
      </c>
      <c r="N890" s="1032" t="s">
        <v>1570</v>
      </c>
      <c r="O890" s="1036">
        <v>4.1200000000000001E-2</v>
      </c>
      <c r="P890" s="1036">
        <v>3.1699999999999999E-2</v>
      </c>
      <c r="Q890" s="1036">
        <v>9.4999999999999998E-3</v>
      </c>
      <c r="R890" s="1036">
        <v>0</v>
      </c>
      <c r="S890" s="1036">
        <v>0</v>
      </c>
      <c r="T890" s="1036">
        <v>0</v>
      </c>
      <c r="U890" s="1037">
        <v>-1.47</v>
      </c>
    </row>
    <row r="891" spans="2:21" hidden="1" outlineLevel="3">
      <c r="B891" s="1050">
        <v>3</v>
      </c>
      <c r="C891" s="1050" t="str">
        <f t="shared" si="86"/>
        <v>Granulés bois (8% d'humidité), France continentale, Base Carbone</v>
      </c>
      <c r="D891" s="1051">
        <f t="shared" si="67"/>
        <v>1</v>
      </c>
      <c r="E891" s="1051" t="str">
        <f>IF(COUNTIF(E$11:E890,F891)&gt;0,"",F891)</f>
        <v/>
      </c>
      <c r="F891" s="1051" t="str">
        <f t="shared" si="84"/>
        <v>Bois bûche (20% d'humidité), France continentale, Base Carbone</v>
      </c>
      <c r="G891" s="1055" t="str">
        <f t="shared" si="85"/>
        <v>Bois bûche (20% d'humidité), France continentale, Base Carbone; kgCO2e/kWh PCI, Combustion</v>
      </c>
      <c r="I891" s="1031" t="s">
        <v>1655</v>
      </c>
      <c r="J891" s="1032" t="s">
        <v>1573</v>
      </c>
      <c r="K891" s="1032" t="s">
        <v>1567</v>
      </c>
      <c r="L891" s="1032" t="s">
        <v>1571</v>
      </c>
      <c r="M891" s="1033">
        <v>0.5</v>
      </c>
      <c r="N891" s="1032" t="s">
        <v>1569</v>
      </c>
      <c r="O891" s="1036">
        <v>1.8800000000000001E-2</v>
      </c>
      <c r="P891" s="1036">
        <v>0</v>
      </c>
      <c r="Q891" s="1036">
        <v>0</v>
      </c>
      <c r="R891" s="1036">
        <v>1.8800000000000001E-2</v>
      </c>
      <c r="S891" s="1036">
        <v>0</v>
      </c>
      <c r="T891" s="1036">
        <v>0</v>
      </c>
      <c r="U891" s="1037">
        <v>0.38</v>
      </c>
    </row>
    <row r="892" spans="2:21" hidden="1" outlineLevel="3">
      <c r="B892" s="1050">
        <v>4</v>
      </c>
      <c r="C892" s="1050" t="str">
        <f t="shared" si="86"/>
        <v>Paille (10% d'humidité), France continentale, Base Carbone</v>
      </c>
      <c r="D892" s="1051">
        <f t="shared" si="67"/>
        <v>1</v>
      </c>
      <c r="E892" s="1051" t="str">
        <f>IF(COUNTIF(E$11:E891,F892)&gt;0,"",F892)</f>
        <v/>
      </c>
      <c r="F892" s="1051" t="str">
        <f t="shared" si="84"/>
        <v>Bois bûche (20% d'humidité), France continentale, Base Carbone</v>
      </c>
      <c r="G892" s="1055" t="str">
        <f t="shared" si="85"/>
        <v>Bois bûche (20% d'humidité), France continentale, Base Carbone; kgCO2e/kWh PCI, Amont</v>
      </c>
      <c r="I892" s="1031" t="s">
        <v>1655</v>
      </c>
      <c r="J892" s="1032" t="s">
        <v>1573</v>
      </c>
      <c r="K892" s="1032" t="s">
        <v>1567</v>
      </c>
      <c r="L892" s="1032" t="s">
        <v>1571</v>
      </c>
      <c r="M892" s="1033">
        <v>0.5</v>
      </c>
      <c r="N892" s="1032" t="s">
        <v>1570</v>
      </c>
      <c r="O892" s="1036">
        <v>1.0699999999999999E-2</v>
      </c>
      <c r="P892" s="1036">
        <v>8.2199999999999999E-3</v>
      </c>
      <c r="Q892" s="1036">
        <v>2.4599999999999999E-3</v>
      </c>
      <c r="R892" s="1036">
        <v>0</v>
      </c>
      <c r="S892" s="1036">
        <v>0</v>
      </c>
      <c r="T892" s="1036">
        <v>0</v>
      </c>
      <c r="U892" s="1037">
        <v>-0.38</v>
      </c>
    </row>
    <row r="893" spans="2:21" hidden="1" outlineLevel="3">
      <c r="B893" s="1050">
        <v>5</v>
      </c>
      <c r="C893" s="1050" t="str">
        <f t="shared" si="86"/>
        <v>Plaquettes forestières (25% d'humidité), France continentale, Base Carbone</v>
      </c>
      <c r="D893" s="1051">
        <f t="shared" si="67"/>
        <v>2</v>
      </c>
      <c r="E893" s="1051" t="str">
        <f>IF(COUNTIF(E$11:E892,F893)&gt;0,"",F893)</f>
        <v>Broyats de cagettes et de pallettes (20% d'humidité), France continentale, Base Carbone</v>
      </c>
      <c r="F893" s="1051" t="str">
        <f t="shared" si="84"/>
        <v>Broyats de cagettes et de pallettes (20% d'humidité), France continentale, Base Carbone</v>
      </c>
      <c r="G893" s="1055" t="str">
        <f t="shared" si="85"/>
        <v>Broyats de cagettes et de pallettes (20% d'humidité), France continentale, Base Carbone; kgCO2e/kg, Combustion</v>
      </c>
      <c r="I893" s="1031" t="s">
        <v>1656</v>
      </c>
      <c r="J893" s="1032" t="s">
        <v>1572</v>
      </c>
      <c r="K893" s="1032" t="s">
        <v>1567</v>
      </c>
      <c r="L893" s="1032" t="s">
        <v>1571</v>
      </c>
      <c r="M893" s="1033">
        <v>0.5</v>
      </c>
      <c r="N893" s="1032" t="s">
        <v>1569</v>
      </c>
      <c r="O893" s="1036">
        <v>1.16E-3</v>
      </c>
      <c r="P893" s="1036">
        <v>0</v>
      </c>
      <c r="Q893" s="1036">
        <v>0</v>
      </c>
      <c r="R893" s="1036">
        <v>1.16E-3</v>
      </c>
      <c r="S893" s="1036">
        <v>0</v>
      </c>
      <c r="T893" s="1036">
        <v>0</v>
      </c>
      <c r="U893" s="1037">
        <v>1.47</v>
      </c>
    </row>
    <row r="894" spans="2:21" hidden="1" outlineLevel="3">
      <c r="B894" s="1050">
        <v>6</v>
      </c>
      <c r="C894" s="1050" t="str">
        <f t="shared" si="86"/>
        <v>Sciures et chutes de scieries (50% d'humidité), France continentale, Base Carbone</v>
      </c>
      <c r="D894" s="1051">
        <f t="shared" si="67"/>
        <v>2</v>
      </c>
      <c r="E894" s="1051" t="str">
        <f>IF(COUNTIF(E$11:E893,F894)&gt;0,"",F894)</f>
        <v/>
      </c>
      <c r="F894" s="1051" t="str">
        <f t="shared" si="84"/>
        <v>Broyats de cagettes et de pallettes (20% d'humidité), France continentale, Base Carbone</v>
      </c>
      <c r="G894" s="1055" t="str">
        <f t="shared" si="85"/>
        <v>Broyats de cagettes et de pallettes (20% d'humidité), France continentale, Base Carbone; kgCO2e/kg, Amont</v>
      </c>
      <c r="I894" s="1031" t="s">
        <v>1656</v>
      </c>
      <c r="J894" s="1032" t="s">
        <v>1572</v>
      </c>
      <c r="K894" s="1032" t="s">
        <v>1567</v>
      </c>
      <c r="L894" s="1032" t="s">
        <v>1571</v>
      </c>
      <c r="M894" s="1033">
        <v>0.5</v>
      </c>
      <c r="N894" s="1032" t="s">
        <v>1570</v>
      </c>
      <c r="O894" s="1036">
        <v>2.6800000000000001E-2</v>
      </c>
      <c r="P894" s="1036">
        <v>2.1000000000000001E-2</v>
      </c>
      <c r="Q894" s="1036">
        <v>5.8100000000000001E-3</v>
      </c>
      <c r="R894" s="1036">
        <v>0</v>
      </c>
      <c r="S894" s="1036">
        <v>0</v>
      </c>
      <c r="T894" s="1036">
        <v>0</v>
      </c>
      <c r="U894" s="1037">
        <v>-1.47</v>
      </c>
    </row>
    <row r="895" spans="2:21" hidden="1" outlineLevel="3">
      <c r="B895" s="1050">
        <v>7</v>
      </c>
      <c r="C895" s="1050" t="str">
        <f t="shared" si="86"/>
        <v>-</v>
      </c>
      <c r="D895" s="1051">
        <f t="shared" si="67"/>
        <v>2</v>
      </c>
      <c r="E895" s="1051" t="str">
        <f>IF(COUNTIF(E$11:E894,F895)&gt;0,"",F895)</f>
        <v/>
      </c>
      <c r="F895" s="1051" t="str">
        <f t="shared" si="84"/>
        <v>Broyats de cagettes et de pallettes (20% d'humidité), France continentale, Base Carbone</v>
      </c>
      <c r="G895" s="1055" t="str">
        <f t="shared" si="85"/>
        <v>Broyats de cagettes et de pallettes (20% d'humidité), France continentale, Base Carbone; kgCO2e/kWh PCI, Combustion</v>
      </c>
      <c r="I895" s="1031" t="s">
        <v>1656</v>
      </c>
      <c r="J895" s="1032" t="s">
        <v>1573</v>
      </c>
      <c r="K895" s="1032" t="s">
        <v>1567</v>
      </c>
      <c r="L895" s="1032" t="s">
        <v>1571</v>
      </c>
      <c r="M895" s="1033">
        <v>0.5</v>
      </c>
      <c r="N895" s="1032" t="s">
        <v>1569</v>
      </c>
      <c r="O895" s="1036">
        <v>2.9700000000000001E-4</v>
      </c>
      <c r="P895" s="1036">
        <v>0</v>
      </c>
      <c r="Q895" s="1036">
        <v>0</v>
      </c>
      <c r="R895" s="1036">
        <v>2.9700000000000001E-4</v>
      </c>
      <c r="S895" s="1036">
        <v>0</v>
      </c>
      <c r="T895" s="1036">
        <v>0</v>
      </c>
      <c r="U895" s="1037">
        <v>0.376</v>
      </c>
    </row>
    <row r="896" spans="2:21" hidden="1" outlineLevel="3">
      <c r="B896" s="1050">
        <v>8</v>
      </c>
      <c r="C896" s="1050" t="str">
        <f t="shared" si="86"/>
        <v>-</v>
      </c>
      <c r="D896" s="1051">
        <f t="shared" si="67"/>
        <v>2</v>
      </c>
      <c r="E896" s="1051" t="str">
        <f>IF(COUNTIF(E$11:E895,F896)&gt;0,"",F896)</f>
        <v/>
      </c>
      <c r="F896" s="1051" t="str">
        <f t="shared" si="84"/>
        <v>Broyats de cagettes et de pallettes (20% d'humidité), France continentale, Base Carbone</v>
      </c>
      <c r="G896" s="1055" t="str">
        <f t="shared" si="85"/>
        <v>Broyats de cagettes et de pallettes (20% d'humidité), France continentale, Base Carbone; kgCO2e/kWh PCI, Amont</v>
      </c>
      <c r="I896" s="1031" t="s">
        <v>1656</v>
      </c>
      <c r="J896" s="1032" t="s">
        <v>1573</v>
      </c>
      <c r="K896" s="1032" t="s">
        <v>1567</v>
      </c>
      <c r="L896" s="1032" t="s">
        <v>1571</v>
      </c>
      <c r="M896" s="1033">
        <v>0.5</v>
      </c>
      <c r="N896" s="1032" t="s">
        <v>1570</v>
      </c>
      <c r="O896" s="1036">
        <v>6.8799999999999998E-3</v>
      </c>
      <c r="P896" s="1036">
        <v>5.3899999999999998E-3</v>
      </c>
      <c r="Q896" s="1036">
        <v>1.49E-3</v>
      </c>
      <c r="R896" s="1036">
        <v>0</v>
      </c>
      <c r="S896" s="1036">
        <v>0</v>
      </c>
      <c r="T896" s="1036">
        <v>0</v>
      </c>
      <c r="U896" s="1037">
        <v>-0.376</v>
      </c>
    </row>
    <row r="897" spans="2:21" hidden="1" outlineLevel="3">
      <c r="B897" s="1050">
        <v>9</v>
      </c>
      <c r="C897" s="1050" t="str">
        <f t="shared" si="86"/>
        <v>-</v>
      </c>
      <c r="D897" s="1051">
        <f t="shared" si="67"/>
        <v>3</v>
      </c>
      <c r="E897" s="1051" t="str">
        <f>IF(COUNTIF(E$11:E896,F897)&gt;0,"",F897)</f>
        <v>Granulés bois (8% d'humidité), France continentale, Base Carbone</v>
      </c>
      <c r="F897" s="1051" t="str">
        <f t="shared" si="84"/>
        <v>Granulés bois (8% d'humidité), France continentale, Base Carbone</v>
      </c>
      <c r="G897" s="1055" t="str">
        <f t="shared" si="85"/>
        <v>Granulés bois (8% d'humidité), France continentale, Base Carbone; kgCO2e/kg, Combustion</v>
      </c>
      <c r="I897" s="1031" t="s">
        <v>1657</v>
      </c>
      <c r="J897" s="1032" t="s">
        <v>1572</v>
      </c>
      <c r="K897" s="1032" t="s">
        <v>1567</v>
      </c>
      <c r="L897" s="1032" t="s">
        <v>1571</v>
      </c>
      <c r="M897" s="1033">
        <v>0.5</v>
      </c>
      <c r="N897" s="1032" t="s">
        <v>1569</v>
      </c>
      <c r="O897" s="1036">
        <v>5.11E-2</v>
      </c>
      <c r="P897" s="1036">
        <v>0</v>
      </c>
      <c r="Q897" s="1036">
        <v>0</v>
      </c>
      <c r="R897" s="1036">
        <v>5.11E-2</v>
      </c>
      <c r="S897" s="1036">
        <v>0</v>
      </c>
      <c r="T897" s="1036">
        <v>0</v>
      </c>
      <c r="U897" s="1037">
        <v>1.69</v>
      </c>
    </row>
    <row r="898" spans="2:21" hidden="1" outlineLevel="3">
      <c r="B898" s="1050">
        <v>10</v>
      </c>
      <c r="C898" s="1050" t="str">
        <f t="shared" si="86"/>
        <v>-</v>
      </c>
      <c r="D898" s="1051">
        <f t="shared" ref="D898:D912" si="87">D897+IF(LEN(E898)=0,0,1)</f>
        <v>3</v>
      </c>
      <c r="E898" s="1051" t="str">
        <f>IF(COUNTIF(E$11:E897,F898)&gt;0,"",F898)</f>
        <v/>
      </c>
      <c r="F898" s="1051" t="str">
        <f t="shared" si="84"/>
        <v>Granulés bois (8% d'humidité), France continentale, Base Carbone</v>
      </c>
      <c r="G898" s="1055" t="str">
        <f t="shared" si="85"/>
        <v>Granulés bois (8% d'humidité), France continentale, Base Carbone; kgCO2e/kg, Amont</v>
      </c>
      <c r="I898" s="1031" t="s">
        <v>1657</v>
      </c>
      <c r="J898" s="1032" t="s">
        <v>1572</v>
      </c>
      <c r="K898" s="1032" t="s">
        <v>1567</v>
      </c>
      <c r="L898" s="1032" t="s">
        <v>1571</v>
      </c>
      <c r="M898" s="1033">
        <v>0.5</v>
      </c>
      <c r="N898" s="1032" t="s">
        <v>1570</v>
      </c>
      <c r="O898" s="1036">
        <v>5.9700000000000003E-2</v>
      </c>
      <c r="P898" s="1036">
        <v>4.5900000000000003E-2</v>
      </c>
      <c r="Q898" s="1036">
        <v>1.38E-2</v>
      </c>
      <c r="R898" s="1036">
        <v>0</v>
      </c>
      <c r="S898" s="1036">
        <v>0</v>
      </c>
      <c r="T898" s="1036">
        <v>0</v>
      </c>
      <c r="U898" s="1037">
        <v>-1.69</v>
      </c>
    </row>
    <row r="899" spans="2:21" hidden="1" outlineLevel="3">
      <c r="D899" s="1051">
        <f t="shared" si="87"/>
        <v>3</v>
      </c>
      <c r="E899" s="1051" t="str">
        <f>IF(COUNTIF(E$11:E898,F899)&gt;0,"",F899)</f>
        <v/>
      </c>
      <c r="F899" s="1051" t="str">
        <f t="shared" si="84"/>
        <v>Granulés bois (8% d'humidité), France continentale, Base Carbone</v>
      </c>
      <c r="G899" s="1055" t="str">
        <f t="shared" si="85"/>
        <v>Granulés bois (8% d'humidité), France continentale, Base Carbone; kgCO2e/kWh PCI, Combustion</v>
      </c>
      <c r="I899" s="1031" t="s">
        <v>1657</v>
      </c>
      <c r="J899" s="1032" t="s">
        <v>1573</v>
      </c>
      <c r="K899" s="1032" t="s">
        <v>1567</v>
      </c>
      <c r="L899" s="1032" t="s">
        <v>1571</v>
      </c>
      <c r="M899" s="1033">
        <v>0.5</v>
      </c>
      <c r="N899" s="1032" t="s">
        <v>1569</v>
      </c>
      <c r="O899" s="1036">
        <v>1.4E-2</v>
      </c>
      <c r="P899" s="1036">
        <v>0</v>
      </c>
      <c r="Q899" s="1036">
        <v>0</v>
      </c>
      <c r="R899" s="1036">
        <v>1.4E-2</v>
      </c>
      <c r="S899" s="1036">
        <v>0</v>
      </c>
      <c r="T899" s="1036">
        <v>0</v>
      </c>
      <c r="U899" s="1037">
        <v>0.46200000000000002</v>
      </c>
    </row>
    <row r="900" spans="2:21" hidden="1" outlineLevel="3">
      <c r="D900" s="1051">
        <f t="shared" si="87"/>
        <v>3</v>
      </c>
      <c r="E900" s="1051" t="str">
        <f>IF(COUNTIF(E$11:E899,F900)&gt;0,"",F900)</f>
        <v/>
      </c>
      <c r="F900" s="1051" t="str">
        <f t="shared" si="84"/>
        <v>Granulés bois (8% d'humidité), France continentale, Base Carbone</v>
      </c>
      <c r="G900" s="1055" t="str">
        <f t="shared" si="85"/>
        <v>Granulés bois (8% d'humidité), France continentale, Base Carbone; kgCO2e/kWh PCI, Amont</v>
      </c>
      <c r="I900" s="1031" t="s">
        <v>1657</v>
      </c>
      <c r="J900" s="1032" t="s">
        <v>1573</v>
      </c>
      <c r="K900" s="1032" t="s">
        <v>1567</v>
      </c>
      <c r="L900" s="1032" t="s">
        <v>1571</v>
      </c>
      <c r="M900" s="1033">
        <v>0.5</v>
      </c>
      <c r="N900" s="1032" t="s">
        <v>1570</v>
      </c>
      <c r="O900" s="1036">
        <v>1.6400000000000001E-2</v>
      </c>
      <c r="P900" s="1036">
        <v>1.26E-2</v>
      </c>
      <c r="Q900" s="1036">
        <v>3.7799999999999999E-3</v>
      </c>
      <c r="R900" s="1036">
        <v>0</v>
      </c>
      <c r="S900" s="1036">
        <v>0</v>
      </c>
      <c r="T900" s="1036">
        <v>0</v>
      </c>
      <c r="U900" s="1037">
        <v>-0.46200000000000002</v>
      </c>
    </row>
    <row r="901" spans="2:21" hidden="1" outlineLevel="3">
      <c r="D901" s="1051">
        <f t="shared" si="87"/>
        <v>4</v>
      </c>
      <c r="E901" s="1051" t="str">
        <f>IF(COUNTIF(E$11:E900,F901)&gt;0,"",F901)</f>
        <v>Paille (10% d'humidité), France continentale, Base Carbone</v>
      </c>
      <c r="F901" s="1051" t="str">
        <f t="shared" si="84"/>
        <v>Paille (10% d'humidité), France continentale, Base Carbone</v>
      </c>
      <c r="G901" s="1055" t="str">
        <f t="shared" si="85"/>
        <v>Paille (10% d'humidité), France continentale, Base Carbone; kgCO2e/kWh PCI, Combustion</v>
      </c>
      <c r="I901" s="1031" t="s">
        <v>1658</v>
      </c>
      <c r="J901" s="1032" t="s">
        <v>1573</v>
      </c>
      <c r="K901" s="1032" t="s">
        <v>1567</v>
      </c>
      <c r="L901" s="1032" t="s">
        <v>1571</v>
      </c>
      <c r="M901" s="1033">
        <v>0.5</v>
      </c>
      <c r="N901" s="1032" t="s">
        <v>1569</v>
      </c>
      <c r="O901" s="1036">
        <v>0</v>
      </c>
      <c r="P901" s="1036">
        <v>0</v>
      </c>
      <c r="Q901" s="1036">
        <v>0</v>
      </c>
      <c r="R901" s="1036">
        <v>0</v>
      </c>
      <c r="S901" s="1036">
        <v>0</v>
      </c>
      <c r="T901" s="1036">
        <v>0</v>
      </c>
      <c r="U901" s="1037">
        <v>0.33</v>
      </c>
    </row>
    <row r="902" spans="2:21" hidden="1" outlineLevel="3">
      <c r="D902" s="1051">
        <f t="shared" si="87"/>
        <v>4</v>
      </c>
      <c r="E902" s="1051" t="str">
        <f>IF(COUNTIF(E$11:E901,F902)&gt;0,"",F902)</f>
        <v/>
      </c>
      <c r="F902" s="1051" t="str">
        <f t="shared" si="84"/>
        <v>Paille (10% d'humidité), France continentale, Base Carbone</v>
      </c>
      <c r="G902" s="1055" t="str">
        <f t="shared" si="85"/>
        <v>Paille (10% d'humidité), France continentale, Base Carbone; kgCO2e/kWh PCI, Amont</v>
      </c>
      <c r="I902" s="1031" t="s">
        <v>1658</v>
      </c>
      <c r="J902" s="1032" t="s">
        <v>1573</v>
      </c>
      <c r="K902" s="1032" t="s">
        <v>1567</v>
      </c>
      <c r="L902" s="1032" t="s">
        <v>1571</v>
      </c>
      <c r="M902" s="1033">
        <v>0.5</v>
      </c>
      <c r="N902" s="1032" t="s">
        <v>1570</v>
      </c>
      <c r="O902" s="1036">
        <v>5.1299999999999998E-2</v>
      </c>
      <c r="P902" s="1036">
        <v>5.1299999999999998E-2</v>
      </c>
      <c r="Q902" s="1036">
        <v>0</v>
      </c>
      <c r="R902" s="1036">
        <v>0</v>
      </c>
      <c r="S902" s="1036">
        <v>0</v>
      </c>
      <c r="T902" s="1036">
        <v>0</v>
      </c>
      <c r="U902" s="1037">
        <v>-0.33</v>
      </c>
    </row>
    <row r="903" spans="2:21" hidden="1" outlineLevel="3">
      <c r="D903" s="1051">
        <f t="shared" si="87"/>
        <v>4</v>
      </c>
      <c r="E903" s="1051" t="str">
        <f>IF(COUNTIF(E$11:E902,F903)&gt;0,"",F903)</f>
        <v/>
      </c>
      <c r="F903" s="1051" t="str">
        <f t="shared" si="84"/>
        <v>Paille (10% d'humidité), France continentale, Base Carbone</v>
      </c>
      <c r="G903" s="1055" t="str">
        <f t="shared" si="85"/>
        <v>Paille (10% d'humidité), France continentale, Base Carbone; kgCO2e/kg, Combustion</v>
      </c>
      <c r="I903" s="1031" t="s">
        <v>1658</v>
      </c>
      <c r="J903" s="1032" t="s">
        <v>1572</v>
      </c>
      <c r="K903" s="1032" t="s">
        <v>1567</v>
      </c>
      <c r="L903" s="1032" t="s">
        <v>1571</v>
      </c>
      <c r="M903" s="1033">
        <v>0.5</v>
      </c>
      <c r="N903" s="1032" t="s">
        <v>1569</v>
      </c>
      <c r="O903" s="1036">
        <v>0</v>
      </c>
      <c r="P903" s="1036">
        <v>0</v>
      </c>
      <c r="Q903" s="1036">
        <v>0</v>
      </c>
      <c r="R903" s="1036">
        <v>0</v>
      </c>
      <c r="S903" s="1036">
        <v>0</v>
      </c>
      <c r="T903" s="1036">
        <v>0</v>
      </c>
      <c r="U903" s="1037">
        <v>1.39</v>
      </c>
    </row>
    <row r="904" spans="2:21" hidden="1" outlineLevel="3">
      <c r="D904" s="1051">
        <f t="shared" si="87"/>
        <v>4</v>
      </c>
      <c r="E904" s="1051" t="str">
        <f>IF(COUNTIF(E$11:E903,F904)&gt;0,"",F904)</f>
        <v/>
      </c>
      <c r="F904" s="1051" t="str">
        <f t="shared" si="84"/>
        <v>Paille (10% d'humidité), France continentale, Base Carbone</v>
      </c>
      <c r="G904" s="1055" t="str">
        <f t="shared" si="85"/>
        <v>Paille (10% d'humidité), France continentale, Base Carbone; kgCO2e/kg, Amont</v>
      </c>
      <c r="I904" s="1031" t="s">
        <v>1658</v>
      </c>
      <c r="J904" s="1032" t="s">
        <v>1572</v>
      </c>
      <c r="K904" s="1032" t="s">
        <v>1567</v>
      </c>
      <c r="L904" s="1032" t="s">
        <v>1571</v>
      </c>
      <c r="M904" s="1033">
        <v>0.5</v>
      </c>
      <c r="N904" s="1032" t="s">
        <v>1570</v>
      </c>
      <c r="O904" s="1036">
        <v>0.16900000000000001</v>
      </c>
      <c r="P904" s="1036">
        <v>0.16900000000000001</v>
      </c>
      <c r="Q904" s="1036">
        <v>0</v>
      </c>
      <c r="R904" s="1036">
        <v>0</v>
      </c>
      <c r="S904" s="1036">
        <v>0</v>
      </c>
      <c r="T904" s="1036">
        <v>0</v>
      </c>
      <c r="U904" s="1037">
        <v>-1.39</v>
      </c>
    </row>
    <row r="905" spans="2:21" hidden="1" outlineLevel="3">
      <c r="D905" s="1051">
        <f t="shared" si="87"/>
        <v>5</v>
      </c>
      <c r="E905" s="1051" t="str">
        <f>IF(COUNTIF(E$11:E904,F905)&gt;0,"",F905)</f>
        <v>Plaquettes forestières (25% d'humidité), France continentale, Base Carbone</v>
      </c>
      <c r="F905" s="1051" t="str">
        <f t="shared" si="84"/>
        <v>Plaquettes forestières (25% d'humidité), France continentale, Base Carbone</v>
      </c>
      <c r="G905" s="1055" t="str">
        <f t="shared" si="85"/>
        <v>Plaquettes forestières (25% d'humidité), France continentale, Base Carbone; kgCO2e/kg, Combustion</v>
      </c>
      <c r="I905" s="1031" t="s">
        <v>1659</v>
      </c>
      <c r="J905" s="1032" t="s">
        <v>1572</v>
      </c>
      <c r="K905" s="1032" t="s">
        <v>1567</v>
      </c>
      <c r="L905" s="1032" t="s">
        <v>1571</v>
      </c>
      <c r="M905" s="1033">
        <v>0.5</v>
      </c>
      <c r="N905" s="1032" t="s">
        <v>1569</v>
      </c>
      <c r="O905" s="1036">
        <v>4.82E-2</v>
      </c>
      <c r="P905" s="1036">
        <v>0</v>
      </c>
      <c r="Q905" s="1036">
        <v>0</v>
      </c>
      <c r="R905" s="1036">
        <v>4.82E-2</v>
      </c>
      <c r="S905" s="1036">
        <v>0</v>
      </c>
      <c r="T905" s="1036">
        <v>0</v>
      </c>
      <c r="U905" s="1037">
        <v>1.38</v>
      </c>
    </row>
    <row r="906" spans="2:21" hidden="1" outlineLevel="3">
      <c r="D906" s="1051">
        <f t="shared" si="87"/>
        <v>5</v>
      </c>
      <c r="E906" s="1051" t="str">
        <f>IF(COUNTIF(E$11:E905,F906)&gt;0,"",F906)</f>
        <v/>
      </c>
      <c r="F906" s="1051" t="str">
        <f t="shared" si="84"/>
        <v>Plaquettes forestières (25% d'humidité), France continentale, Base Carbone</v>
      </c>
      <c r="G906" s="1055" t="str">
        <f t="shared" si="85"/>
        <v>Plaquettes forestières (25% d'humidité), France continentale, Base Carbone; kgCO2e/kg, Amont</v>
      </c>
      <c r="I906" s="1031" t="s">
        <v>1659</v>
      </c>
      <c r="J906" s="1032" t="s">
        <v>1572</v>
      </c>
      <c r="K906" s="1032" t="s">
        <v>1567</v>
      </c>
      <c r="L906" s="1032" t="s">
        <v>1571</v>
      </c>
      <c r="M906" s="1033">
        <v>0.5</v>
      </c>
      <c r="N906" s="1032" t="s">
        <v>1570</v>
      </c>
      <c r="O906" s="1036">
        <v>4.07E-2</v>
      </c>
      <c r="P906" s="1036">
        <v>3.1300000000000001E-2</v>
      </c>
      <c r="Q906" s="1036">
        <v>9.4000000000000004E-3</v>
      </c>
      <c r="R906" s="1036">
        <v>0</v>
      </c>
      <c r="S906" s="1036">
        <v>0</v>
      </c>
      <c r="T906" s="1036">
        <v>0</v>
      </c>
      <c r="U906" s="1037">
        <v>-1.38</v>
      </c>
    </row>
    <row r="907" spans="2:21" hidden="1" outlineLevel="3">
      <c r="D907" s="1051">
        <f t="shared" si="87"/>
        <v>5</v>
      </c>
      <c r="E907" s="1051" t="str">
        <f>IF(COUNTIF(E$11:E906,F907)&gt;0,"",F907)</f>
        <v/>
      </c>
      <c r="F907" s="1051" t="str">
        <f t="shared" si="84"/>
        <v>Plaquettes forestières (25% d'humidité), France continentale, Base Carbone</v>
      </c>
      <c r="G907" s="1055" t="str">
        <f t="shared" si="85"/>
        <v>Plaquettes forestières (25% d'humidité), France continentale, Base Carbone; kgCO2e/kWh PCI, Combustion</v>
      </c>
      <c r="I907" s="1031" t="s">
        <v>1659</v>
      </c>
      <c r="J907" s="1032" t="s">
        <v>1573</v>
      </c>
      <c r="K907" s="1032" t="s">
        <v>1567</v>
      </c>
      <c r="L907" s="1032" t="s">
        <v>1571</v>
      </c>
      <c r="M907" s="1033">
        <v>0.5</v>
      </c>
      <c r="N907" s="1032" t="s">
        <v>1569</v>
      </c>
      <c r="O907" s="1036">
        <v>1.32E-2</v>
      </c>
      <c r="P907" s="1036">
        <v>0</v>
      </c>
      <c r="Q907" s="1036">
        <v>0</v>
      </c>
      <c r="R907" s="1036">
        <v>1.32E-2</v>
      </c>
      <c r="S907" s="1036">
        <v>0</v>
      </c>
      <c r="T907" s="1036">
        <v>0</v>
      </c>
      <c r="U907" s="1037">
        <v>0.377</v>
      </c>
    </row>
    <row r="908" spans="2:21" hidden="1" outlineLevel="3">
      <c r="D908" s="1051">
        <f t="shared" si="87"/>
        <v>5</v>
      </c>
      <c r="E908" s="1051" t="str">
        <f>IF(COUNTIF(E$11:E907,F908)&gt;0,"",F908)</f>
        <v/>
      </c>
      <c r="F908" s="1051" t="str">
        <f t="shared" si="84"/>
        <v>Plaquettes forestières (25% d'humidité), France continentale, Base Carbone</v>
      </c>
      <c r="G908" s="1055" t="str">
        <f t="shared" si="85"/>
        <v>Plaquettes forestières (25% d'humidité), France continentale, Base Carbone; kgCO2e/kWh PCI, Amont</v>
      </c>
      <c r="I908" s="1031" t="s">
        <v>1659</v>
      </c>
      <c r="J908" s="1032" t="s">
        <v>1573</v>
      </c>
      <c r="K908" s="1032" t="s">
        <v>1567</v>
      </c>
      <c r="L908" s="1032" t="s">
        <v>1571</v>
      </c>
      <c r="M908" s="1033">
        <v>0.5</v>
      </c>
      <c r="N908" s="1032" t="s">
        <v>1570</v>
      </c>
      <c r="O908" s="1036">
        <v>1.12E-2</v>
      </c>
      <c r="P908" s="1036">
        <v>8.5800000000000008E-3</v>
      </c>
      <c r="Q908" s="1036">
        <v>2.5699999999999998E-3</v>
      </c>
      <c r="R908" s="1036">
        <v>0</v>
      </c>
      <c r="S908" s="1036">
        <v>0</v>
      </c>
      <c r="T908" s="1036">
        <v>0</v>
      </c>
      <c r="U908" s="1037">
        <v>-0.377</v>
      </c>
    </row>
    <row r="909" spans="2:21" hidden="1" outlineLevel="3">
      <c r="D909" s="1051">
        <f t="shared" si="87"/>
        <v>6</v>
      </c>
      <c r="E909" s="1051" t="str">
        <f>IF(COUNTIF(E$11:E908,F909)&gt;0,"",F909)</f>
        <v>Sciures et chutes de scieries (50% d'humidité), France continentale, Base Carbone</v>
      </c>
      <c r="F909" s="1051" t="str">
        <f t="shared" si="84"/>
        <v>Sciures et chutes de scieries (50% d'humidité), France continentale, Base Carbone</v>
      </c>
      <c r="G909" s="1055" t="str">
        <f t="shared" si="85"/>
        <v>Sciures et chutes de scieries (50% d'humidité), France continentale, Base Carbone; kgCO2e/kg, Combustion</v>
      </c>
      <c r="I909" s="1031" t="s">
        <v>1660</v>
      </c>
      <c r="J909" s="1032" t="s">
        <v>1572</v>
      </c>
      <c r="K909" s="1032" t="s">
        <v>1567</v>
      </c>
      <c r="L909" s="1032" t="s">
        <v>1571</v>
      </c>
      <c r="M909" s="1033">
        <v>0.5</v>
      </c>
      <c r="N909" s="1032" t="s">
        <v>1569</v>
      </c>
      <c r="O909" s="1036">
        <v>1.9900000000000001E-4</v>
      </c>
      <c r="P909" s="1036">
        <v>0</v>
      </c>
      <c r="Q909" s="1036">
        <v>0</v>
      </c>
      <c r="R909" s="1036">
        <v>1.9900000000000001E-4</v>
      </c>
      <c r="S909" s="1036">
        <v>0</v>
      </c>
      <c r="T909" s="1036">
        <v>0</v>
      </c>
      <c r="U909" s="1037">
        <v>0.91700000000000004</v>
      </c>
    </row>
    <row r="910" spans="2:21" hidden="1" outlineLevel="3">
      <c r="D910" s="1051">
        <f t="shared" si="87"/>
        <v>6</v>
      </c>
      <c r="E910" s="1051" t="str">
        <f>IF(COUNTIF(E$11:E909,F910)&gt;0,"",F910)</f>
        <v/>
      </c>
      <c r="F910" s="1051" t="str">
        <f t="shared" si="84"/>
        <v>Sciures et chutes de scieries (50% d'humidité), France continentale, Base Carbone</v>
      </c>
      <c r="G910" s="1055" t="str">
        <f t="shared" si="85"/>
        <v>Sciures et chutes de scieries (50% d'humidité), France continentale, Base Carbone; kgCO2e/kg, Amont</v>
      </c>
      <c r="I910" s="1031" t="s">
        <v>1660</v>
      </c>
      <c r="J910" s="1032" t="s">
        <v>1572</v>
      </c>
      <c r="K910" s="1032" t="s">
        <v>1567</v>
      </c>
      <c r="L910" s="1032" t="s">
        <v>1571</v>
      </c>
      <c r="M910" s="1033">
        <v>0.5</v>
      </c>
      <c r="N910" s="1032" t="s">
        <v>1570</v>
      </c>
      <c r="O910" s="1036">
        <v>4.5799999999999999E-3</v>
      </c>
      <c r="P910" s="1036">
        <v>3.4099999999999998E-3</v>
      </c>
      <c r="Q910" s="1036">
        <v>1.17E-3</v>
      </c>
      <c r="R910" s="1036">
        <v>0</v>
      </c>
      <c r="S910" s="1036">
        <v>0</v>
      </c>
      <c r="T910" s="1036">
        <v>0</v>
      </c>
      <c r="U910" s="1037">
        <v>-0.91700000000000004</v>
      </c>
    </row>
    <row r="911" spans="2:21" hidden="1" outlineLevel="3">
      <c r="D911" s="1051">
        <f t="shared" si="87"/>
        <v>6</v>
      </c>
      <c r="E911" s="1051" t="str">
        <f>IF(COUNTIF(E$11:E910,F911)&gt;0,"",F911)</f>
        <v/>
      </c>
      <c r="F911" s="1051" t="str">
        <f t="shared" si="84"/>
        <v>Sciures et chutes de scieries (50% d'humidité), France continentale, Base Carbone</v>
      </c>
      <c r="G911" s="1055" t="str">
        <f t="shared" si="85"/>
        <v>Sciures et chutes de scieries (50% d'humidité), France continentale, Base Carbone; kgCO2e/kWh PCI, Combustion</v>
      </c>
      <c r="I911" s="1031" t="s">
        <v>1660</v>
      </c>
      <c r="J911" s="1032" t="s">
        <v>1573</v>
      </c>
      <c r="K911" s="1032" t="s">
        <v>1567</v>
      </c>
      <c r="L911" s="1032" t="s">
        <v>1571</v>
      </c>
      <c r="M911" s="1033">
        <v>0.5</v>
      </c>
      <c r="N911" s="1032" t="s">
        <v>1569</v>
      </c>
      <c r="O911" s="1036">
        <v>1.9900000000000001E-4</v>
      </c>
      <c r="P911" s="1036">
        <v>0</v>
      </c>
      <c r="Q911" s="1036">
        <v>0</v>
      </c>
      <c r="R911" s="1036">
        <v>1.9900000000000001E-4</v>
      </c>
      <c r="S911" s="1036">
        <v>0</v>
      </c>
      <c r="T911" s="1036">
        <v>0</v>
      </c>
      <c r="U911" s="1037">
        <v>0.41699999999999998</v>
      </c>
    </row>
    <row r="912" spans="2:21" hidden="1" outlineLevel="3">
      <c r="D912" s="1051">
        <f t="shared" si="87"/>
        <v>6</v>
      </c>
      <c r="E912" s="1051" t="str">
        <f>IF(COUNTIF(E$11:E911,F912)&gt;0,"",F912)</f>
        <v/>
      </c>
      <c r="F912" s="1051" t="str">
        <f t="shared" si="84"/>
        <v>Sciures et chutes de scieries (50% d'humidité), France continentale, Base Carbone</v>
      </c>
      <c r="G912" s="1055" t="str">
        <f t="shared" si="85"/>
        <v>Sciures et chutes de scieries (50% d'humidité), France continentale, Base Carbone; kgCO2e/kWh PCI, Amont</v>
      </c>
      <c r="I912" s="1031" t="s">
        <v>1660</v>
      </c>
      <c r="J912" s="1032" t="s">
        <v>1573</v>
      </c>
      <c r="K912" s="1032" t="s">
        <v>1567</v>
      </c>
      <c r="L912" s="1032" t="s">
        <v>1571</v>
      </c>
      <c r="M912" s="1033">
        <v>0.5</v>
      </c>
      <c r="N912" s="1032" t="s">
        <v>1570</v>
      </c>
      <c r="O912" s="1036">
        <v>2.7200000000000002E-3</v>
      </c>
      <c r="P912" s="1036">
        <v>1.5499999999999999E-3</v>
      </c>
      <c r="Q912" s="1036">
        <v>1.17E-3</v>
      </c>
      <c r="R912" s="1036">
        <v>0</v>
      </c>
      <c r="S912" s="1036">
        <v>0</v>
      </c>
      <c r="T912" s="1036">
        <v>0</v>
      </c>
      <c r="U912" s="1037">
        <v>-0.41699999999999998</v>
      </c>
    </row>
    <row r="913" spans="2:21" hidden="1" outlineLevel="3">
      <c r="D913" s="1051">
        <f t="shared" ref="D913:D916" si="88">D912+IF(LEN(E913)=0,0,1)</f>
        <v>6</v>
      </c>
      <c r="E913" s="1051" t="str">
        <f>IF(COUNTIF(E$11:E912,F913)&gt;0,"",F913)</f>
        <v/>
      </c>
      <c r="F913" s="1051" t="str">
        <f t="shared" ref="F913:F916" si="89">IF(I913&lt;&gt;"",I913&amp;IF(L913&lt;&gt;"",", "&amp;L913,"")&amp;IF(K913&lt;&gt;"",", "&amp;K913,""),"")</f>
        <v/>
      </c>
      <c r="G913" s="1055" t="str">
        <f t="shared" ref="G913:G916" si="90">IF(F913&lt;&gt;"",F913&amp;IF(J913&lt;&gt;"","; "&amp;J913,"")&amp;IF(N913&lt;&gt;"",", "&amp;N913,""),"")</f>
        <v/>
      </c>
      <c r="I913" s="1031"/>
      <c r="J913" s="1032"/>
      <c r="K913" s="1032"/>
      <c r="L913" s="1032"/>
      <c r="M913" s="1033"/>
      <c r="N913" s="1032"/>
      <c r="O913" s="1036"/>
      <c r="P913" s="1036"/>
      <c r="Q913" s="1036"/>
      <c r="R913" s="1036"/>
      <c r="S913" s="1036"/>
      <c r="T913" s="1036"/>
      <c r="U913" s="1037"/>
    </row>
    <row r="914" spans="2:21" hidden="1" outlineLevel="3">
      <c r="D914" s="1051">
        <f t="shared" si="88"/>
        <v>6</v>
      </c>
      <c r="E914" s="1051" t="str">
        <f>IF(COUNTIF(E$11:E913,F914)&gt;0,"",F914)</f>
        <v/>
      </c>
      <c r="F914" s="1051" t="str">
        <f t="shared" si="89"/>
        <v/>
      </c>
      <c r="G914" s="1055" t="str">
        <f t="shared" si="90"/>
        <v/>
      </c>
      <c r="I914" s="1034"/>
      <c r="J914" s="1032"/>
      <c r="K914" s="1032"/>
      <c r="L914" s="1032"/>
      <c r="M914" s="1033"/>
      <c r="N914" s="1032"/>
      <c r="O914" s="1036"/>
      <c r="P914" s="1036"/>
      <c r="Q914" s="1036"/>
      <c r="R914" s="1036"/>
      <c r="S914" s="1036"/>
      <c r="T914" s="1036"/>
      <c r="U914" s="1037"/>
    </row>
    <row r="915" spans="2:21" hidden="1" outlineLevel="3">
      <c r="D915" s="1051">
        <f t="shared" si="88"/>
        <v>6</v>
      </c>
      <c r="E915" s="1051" t="str">
        <f>IF(COUNTIF(E$11:E914,F915)&gt;0,"",F915)</f>
        <v/>
      </c>
      <c r="F915" s="1051" t="str">
        <f t="shared" si="89"/>
        <v/>
      </c>
      <c r="G915" s="1055" t="str">
        <f t="shared" si="90"/>
        <v/>
      </c>
      <c r="I915" s="1031"/>
      <c r="J915" s="1032"/>
      <c r="K915" s="1032"/>
      <c r="L915" s="1032"/>
      <c r="M915" s="1033"/>
      <c r="N915" s="1032"/>
      <c r="O915" s="1036"/>
      <c r="P915" s="1036"/>
      <c r="Q915" s="1036"/>
      <c r="R915" s="1036"/>
      <c r="S915" s="1036"/>
      <c r="T915" s="1036"/>
      <c r="U915" s="1037"/>
    </row>
    <row r="916" spans="2:21" hidden="1" outlineLevel="3">
      <c r="D916" s="1051">
        <f t="shared" si="88"/>
        <v>6</v>
      </c>
      <c r="E916" s="1051" t="str">
        <f>IF(COUNTIF(E$11:E915,F916)&gt;0,"",F916)</f>
        <v/>
      </c>
      <c r="F916" s="1051" t="str">
        <f t="shared" si="89"/>
        <v/>
      </c>
      <c r="G916" s="1055" t="str">
        <f t="shared" si="90"/>
        <v/>
      </c>
      <c r="I916" s="1700"/>
      <c r="J916" s="1035"/>
      <c r="K916" s="1035"/>
      <c r="L916" s="1035"/>
      <c r="M916" s="1155"/>
      <c r="N916" s="1035"/>
      <c r="O916" s="1156"/>
      <c r="P916" s="1156"/>
      <c r="Q916" s="1156"/>
      <c r="R916" s="1156"/>
      <c r="S916" s="1156"/>
      <c r="T916" s="1156"/>
      <c r="U916" s="1157"/>
    </row>
    <row r="917" spans="2:21">
      <c r="K917" s="1032"/>
      <c r="N917" s="1032"/>
    </row>
    <row r="918" spans="2:21" ht="15.6" collapsed="1">
      <c r="I918" s="3167" t="s">
        <v>1671</v>
      </c>
      <c r="J918" s="3168"/>
      <c r="K918" s="3168"/>
      <c r="L918" s="3168"/>
      <c r="M918" s="3168"/>
      <c r="N918" s="3168"/>
      <c r="O918" s="3168"/>
      <c r="P918" s="3168"/>
      <c r="Q918" s="3168"/>
      <c r="R918" s="3168"/>
      <c r="S918" s="3168"/>
      <c r="T918" s="3168"/>
      <c r="U918" s="3169"/>
    </row>
    <row r="919" spans="2:21" hidden="1" outlineLevel="1"/>
    <row r="920" spans="2:21" ht="12.75" hidden="1" customHeight="1" outlineLevel="1">
      <c r="B920" s="3154" t="s">
        <v>1617</v>
      </c>
      <c r="C920" s="3154"/>
      <c r="D920" s="3157" t="s">
        <v>1619</v>
      </c>
      <c r="E920" s="3157"/>
      <c r="F920" s="1056" t="s">
        <v>1616</v>
      </c>
      <c r="G920" s="1053" t="s">
        <v>1618</v>
      </c>
      <c r="H920" s="1044"/>
      <c r="I920" s="1107" t="s">
        <v>1557</v>
      </c>
      <c r="J920" s="1108" t="s">
        <v>1266</v>
      </c>
      <c r="K920" s="1109" t="s">
        <v>224</v>
      </c>
      <c r="L920" s="1109" t="s">
        <v>1558</v>
      </c>
      <c r="M920" s="1110" t="s">
        <v>366</v>
      </c>
      <c r="N920" s="1108" t="s">
        <v>1559</v>
      </c>
      <c r="O920" s="1111" t="s">
        <v>1560</v>
      </c>
      <c r="P920" s="1109" t="s">
        <v>211</v>
      </c>
      <c r="Q920" s="1109" t="s">
        <v>1561</v>
      </c>
      <c r="R920" s="1111" t="s">
        <v>1562</v>
      </c>
      <c r="S920" s="1111" t="s">
        <v>267</v>
      </c>
      <c r="T920" s="1109" t="s">
        <v>1563</v>
      </c>
      <c r="U920" s="1112" t="s">
        <v>1564</v>
      </c>
    </row>
    <row r="921" spans="2:21" ht="12" hidden="1" customHeight="1" outlineLevel="1" collapsed="1">
      <c r="B921" s="3155" t="s">
        <v>1683</v>
      </c>
      <c r="C921" s="3155"/>
      <c r="D921" s="1051">
        <v>0</v>
      </c>
      <c r="E921" s="1051"/>
      <c r="F921" s="1051"/>
      <c r="G921" s="1055"/>
      <c r="I921" s="1706"/>
      <c r="J921" s="1707"/>
      <c r="K921" s="1708"/>
      <c r="L921" s="1707"/>
      <c r="M921" s="1709"/>
      <c r="N921" s="1707"/>
      <c r="O921" s="1707"/>
      <c r="P921" s="1707"/>
      <c r="Q921" s="1707"/>
      <c r="R921" s="1707"/>
      <c r="S921" s="1707"/>
      <c r="T921" s="1707"/>
      <c r="U921" s="1710"/>
    </row>
    <row r="922" spans="2:21" hidden="1" outlineLevel="2">
      <c r="B922" s="1050">
        <v>1</v>
      </c>
      <c r="C922" s="2035" t="str">
        <f t="shared" ref="C922:C985" si="91">IF(ISNA(VLOOKUP(B922,$D$922:$E$1582,2,FALSE)),"-",VLOOKUP(B922,$D$922:$E$1582,2,FALSE))</f>
        <v>1, Belley, Belena, France continentale, Base Carbone</v>
      </c>
      <c r="D922" s="1051">
        <f>D921+IF(LEN(E922)=0,0,1)</f>
        <v>1</v>
      </c>
      <c r="E922" s="1051" t="str">
        <f>IF(COUNTIF(E$921:E921,F922)&gt;0,"",F922)</f>
        <v>1, Belley, Belena, France continentale, Base Carbone</v>
      </c>
      <c r="F922" s="1051" t="str">
        <f>IF(I922&lt;&gt;"",I922&amp;IF(L922&lt;&gt;"",", "&amp;L922,"")&amp;IF(K922&lt;&gt;"",", "&amp;K922,""),"")</f>
        <v>1, Belley, Belena, France continentale, Base Carbone</v>
      </c>
      <c r="G922" s="1055" t="str">
        <f>IF(F922&lt;&gt;"",F922&amp;IF(J922&lt;&gt;"","; "&amp;J922,"")&amp;IF(N922&lt;&gt;"",", "&amp;N922,""),"")</f>
        <v>1, Belley, Belena, France continentale, Base Carbone; kgCO2e/kWh</v>
      </c>
      <c r="I922" s="2190" t="s">
        <v>3303</v>
      </c>
      <c r="J922" s="1135" t="s">
        <v>1681</v>
      </c>
      <c r="K922" s="1119" t="s">
        <v>1567</v>
      </c>
      <c r="L922" s="1119" t="s">
        <v>1571</v>
      </c>
      <c r="M922" s="1134">
        <v>0.3</v>
      </c>
      <c r="N922" s="1135"/>
      <c r="O922" s="1135">
        <v>2.5000000000000001E-2</v>
      </c>
      <c r="P922" s="1048"/>
      <c r="Q922" s="1048"/>
      <c r="R922" s="1048"/>
      <c r="S922" s="1048"/>
      <c r="T922" s="1048"/>
      <c r="U922" s="1102"/>
    </row>
    <row r="923" spans="2:21" hidden="1" outlineLevel="2">
      <c r="B923" s="1050">
        <v>2</v>
      </c>
      <c r="C923" s="2035" t="str">
        <f t="shared" si="91"/>
        <v>1, Bourg-en-Bresse, La Reyssouze, France continentale, Base Carbone</v>
      </c>
      <c r="D923" s="1051">
        <f t="shared" ref="D923:D986" si="92">D922+IF(LEN(E923)=0,0,1)</f>
        <v>2</v>
      </c>
      <c r="E923" s="1051" t="str">
        <f>IF(COUNTIF(E$921:E922,F923)&gt;0,"",F923)</f>
        <v>1, Bourg-en-Bresse, La Reyssouze, France continentale, Base Carbone</v>
      </c>
      <c r="F923" s="1051" t="str">
        <f t="shared" ref="F923:F986" si="93">IF(I923&lt;&gt;"",I923&amp;IF(L923&lt;&gt;"",", "&amp;L923,"")&amp;IF(K923&lt;&gt;"",", "&amp;K923,""),"")</f>
        <v>1, Bourg-en-Bresse, La Reyssouze, France continentale, Base Carbone</v>
      </c>
      <c r="G923" s="1055" t="str">
        <f t="shared" ref="G923:G986" si="94">IF(F923&lt;&gt;"",F923&amp;IF(J923&lt;&gt;"","; "&amp;J923,"")&amp;IF(N923&lt;&gt;"",", "&amp;N923,""),"")</f>
        <v>1, Bourg-en-Bresse, La Reyssouze, France continentale, Base Carbone; kgCO2e/kWh</v>
      </c>
      <c r="I923" s="2190" t="s">
        <v>1672</v>
      </c>
      <c r="J923" s="1135" t="s">
        <v>1681</v>
      </c>
      <c r="K923" s="1119" t="s">
        <v>1567</v>
      </c>
      <c r="L923" s="1119" t="s">
        <v>1571</v>
      </c>
      <c r="M923" s="1134">
        <v>0.3</v>
      </c>
      <c r="N923" s="1135"/>
      <c r="O923" s="1135">
        <v>0.14099999999999999</v>
      </c>
      <c r="P923" s="1048"/>
      <c r="Q923" s="1048"/>
      <c r="R923" s="1048"/>
      <c r="S923" s="1048"/>
      <c r="T923" s="1048"/>
      <c r="U923" s="1102"/>
    </row>
    <row r="924" spans="2:21" hidden="1" outlineLevel="2">
      <c r="B924" s="1050">
        <v>3</v>
      </c>
      <c r="C924" s="2035" t="str">
        <f t="shared" si="91"/>
        <v>1, Bourg-en-Bresse, La Vinaigrerie, France continentale, Base Carbone</v>
      </c>
      <c r="D924" s="1051">
        <f t="shared" si="92"/>
        <v>3</v>
      </c>
      <c r="E924" s="1051" t="str">
        <f>IF(COUNTIF(E$921:E923,F924)&gt;0,"",F924)</f>
        <v>1, Bourg-en-Bresse, La Vinaigrerie, France continentale, Base Carbone</v>
      </c>
      <c r="F924" s="1051" t="str">
        <f t="shared" si="93"/>
        <v>1, Bourg-en-Bresse, La Vinaigrerie, France continentale, Base Carbone</v>
      </c>
      <c r="G924" s="1055" t="str">
        <f t="shared" si="94"/>
        <v>1, Bourg-en-Bresse, La Vinaigrerie, France continentale, Base Carbone; kgCO2e/kWh</v>
      </c>
      <c r="I924" s="2190" t="s">
        <v>3304</v>
      </c>
      <c r="J924" s="1135" t="s">
        <v>1681</v>
      </c>
      <c r="K924" s="1119" t="s">
        <v>1567</v>
      </c>
      <c r="L924" s="1119" t="s">
        <v>1571</v>
      </c>
      <c r="M924" s="1134">
        <v>0.3</v>
      </c>
      <c r="N924" s="1135"/>
      <c r="O924" s="1135">
        <v>6.8000000000000005E-2</v>
      </c>
      <c r="P924" s="1048"/>
      <c r="Q924" s="1048"/>
      <c r="R924" s="1048"/>
      <c r="S924" s="1048"/>
      <c r="T924" s="1048"/>
      <c r="U924" s="1102"/>
    </row>
    <row r="925" spans="2:21" hidden="1" outlineLevel="2">
      <c r="B925" s="1050">
        <v>4</v>
      </c>
      <c r="C925" s="2035" t="str">
        <f t="shared" si="91"/>
        <v>1, Hauteville Lompnes, Réseau d’Hauteville Lompnes, France continentale, Base Carbone</v>
      </c>
      <c r="D925" s="1051">
        <f t="shared" si="92"/>
        <v>4</v>
      </c>
      <c r="E925" s="1051" t="str">
        <f>IF(COUNTIF(E$921:E924,F925)&gt;0,"",F925)</f>
        <v>1, Hauteville Lompnes, Réseau d’Hauteville Lompnes, France continentale, Base Carbone</v>
      </c>
      <c r="F925" s="1051" t="str">
        <f t="shared" si="93"/>
        <v>1, Hauteville Lompnes, Réseau d’Hauteville Lompnes, France continentale, Base Carbone</v>
      </c>
      <c r="G925" s="1055" t="str">
        <f t="shared" si="94"/>
        <v>1, Hauteville Lompnes, Réseau d’Hauteville Lompnes, France continentale, Base Carbone; kgCO2e/kWh</v>
      </c>
      <c r="I925" s="2190" t="s">
        <v>3305</v>
      </c>
      <c r="J925" s="1135" t="s">
        <v>1681</v>
      </c>
      <c r="K925" s="1119" t="s">
        <v>1567</v>
      </c>
      <c r="L925" s="1119" t="s">
        <v>1571</v>
      </c>
      <c r="M925" s="1134">
        <v>0.3</v>
      </c>
      <c r="N925" s="1135"/>
      <c r="O925" s="1135">
        <v>0</v>
      </c>
      <c r="P925" s="1048"/>
      <c r="Q925" s="1048"/>
      <c r="R925" s="1048"/>
      <c r="S925" s="1048"/>
      <c r="T925" s="1048"/>
      <c r="U925" s="1102"/>
    </row>
    <row r="926" spans="2:21" hidden="1" outlineLevel="2">
      <c r="B926" s="1050">
        <v>5</v>
      </c>
      <c r="C926" s="2035" t="str">
        <f t="shared" si="91"/>
        <v>1, Oyonnax, Oyonnax BioChaleur, France continentale, Base Carbone</v>
      </c>
      <c r="D926" s="1051">
        <f t="shared" si="92"/>
        <v>5</v>
      </c>
      <c r="E926" s="1051" t="str">
        <f>IF(COUNTIF(E$921:E925,F926)&gt;0,"",F926)</f>
        <v>1, Oyonnax, Oyonnax BioChaleur, France continentale, Base Carbone</v>
      </c>
      <c r="F926" s="1051" t="str">
        <f t="shared" si="93"/>
        <v>1, Oyonnax, Oyonnax BioChaleur, France continentale, Base Carbone</v>
      </c>
      <c r="G926" s="1055" t="str">
        <f t="shared" si="94"/>
        <v>1, Oyonnax, Oyonnax BioChaleur, France continentale, Base Carbone; kgCO2e/kWh</v>
      </c>
      <c r="I926" s="2190" t="s">
        <v>3306</v>
      </c>
      <c r="J926" s="1135" t="s">
        <v>1681</v>
      </c>
      <c r="K926" s="1119" t="s">
        <v>1567</v>
      </c>
      <c r="L926" s="1119" t="s">
        <v>1571</v>
      </c>
      <c r="M926" s="1134">
        <v>0.3</v>
      </c>
      <c r="N926" s="1135"/>
      <c r="O926" s="1135">
        <v>0.03</v>
      </c>
      <c r="P926" s="1048"/>
      <c r="Q926" s="1048"/>
      <c r="R926" s="1048"/>
      <c r="S926" s="1048"/>
      <c r="T926" s="1048"/>
      <c r="U926" s="1102"/>
    </row>
    <row r="927" spans="2:21" hidden="1" outlineLevel="2">
      <c r="B927" s="1050">
        <v>6</v>
      </c>
      <c r="C927" s="2035" t="str">
        <f t="shared" si="91"/>
        <v>1, Saint-Denis-les-Bourg, Réseau de Saint-Denis-les-Bourg, France continentale, Base Carbone</v>
      </c>
      <c r="D927" s="1051">
        <f t="shared" si="92"/>
        <v>6</v>
      </c>
      <c r="E927" s="1051" t="str">
        <f>IF(COUNTIF(E$921:E926,F927)&gt;0,"",F927)</f>
        <v>1, Saint-Denis-les-Bourg, Réseau de Saint-Denis-les-Bourg, France continentale, Base Carbone</v>
      </c>
      <c r="F927" s="1051" t="str">
        <f t="shared" si="93"/>
        <v>1, Saint-Denis-les-Bourg, Réseau de Saint-Denis-les-Bourg, France continentale, Base Carbone</v>
      </c>
      <c r="G927" s="1055" t="str">
        <f t="shared" si="94"/>
        <v>1, Saint-Denis-les-Bourg, Réseau de Saint-Denis-les-Bourg, France continentale, Base Carbone; kgCO2e/kWh</v>
      </c>
      <c r="I927" s="2190" t="s">
        <v>2860</v>
      </c>
      <c r="J927" s="1135" t="s">
        <v>1681</v>
      </c>
      <c r="K927" s="1119" t="s">
        <v>1567</v>
      </c>
      <c r="L927" s="1119" t="s">
        <v>1571</v>
      </c>
      <c r="M927" s="1134">
        <v>0.3</v>
      </c>
      <c r="N927" s="1135"/>
      <c r="O927" s="1135">
        <v>0.1</v>
      </c>
      <c r="P927" s="1048"/>
      <c r="Q927" s="1048"/>
      <c r="R927" s="1048"/>
      <c r="S927" s="1048"/>
      <c r="T927" s="1048"/>
      <c r="U927" s="1102"/>
    </row>
    <row r="928" spans="2:21" hidden="1" outlineLevel="2">
      <c r="B928" s="1050">
        <v>7</v>
      </c>
      <c r="C928" s="2035" t="str">
        <f t="shared" si="91"/>
        <v>1, Treffort-Cuisiat, Réseau de Treffort, France continentale, Base Carbone</v>
      </c>
      <c r="D928" s="1051">
        <f t="shared" si="92"/>
        <v>7</v>
      </c>
      <c r="E928" s="1051" t="str">
        <f>IF(COUNTIF(E$921:E927,F928)&gt;0,"",F928)</f>
        <v>1, Treffort-Cuisiat, Réseau de Treffort, France continentale, Base Carbone</v>
      </c>
      <c r="F928" s="1051" t="str">
        <f t="shared" si="93"/>
        <v>1, Treffort-Cuisiat, Réseau de Treffort, France continentale, Base Carbone</v>
      </c>
      <c r="G928" s="1055" t="str">
        <f t="shared" si="94"/>
        <v>1, Treffort-Cuisiat, Réseau de Treffort, France continentale, Base Carbone; kgCO2e/kWh</v>
      </c>
      <c r="I928" s="2190" t="s">
        <v>3307</v>
      </c>
      <c r="J928" s="1135" t="s">
        <v>1681</v>
      </c>
      <c r="K928" s="1119" t="s">
        <v>1567</v>
      </c>
      <c r="L928" s="1119" t="s">
        <v>1571</v>
      </c>
      <c r="M928" s="1134">
        <v>0.3</v>
      </c>
      <c r="N928" s="1135"/>
      <c r="O928" s="1135">
        <v>0.27300000000000002</v>
      </c>
      <c r="P928" s="1048"/>
      <c r="Q928" s="1048"/>
      <c r="R928" s="1048"/>
      <c r="S928" s="1048"/>
      <c r="T928" s="1048"/>
      <c r="U928" s="1102"/>
    </row>
    <row r="929" spans="2:21" hidden="1" outlineLevel="2">
      <c r="B929" s="1050">
        <v>8</v>
      </c>
      <c r="C929" s="2035" t="str">
        <f t="shared" si="91"/>
        <v>10, Les Noes-Pres-Troyes, ZUP de la Chapelle Saint-Luc, France continentale, Base Carbone</v>
      </c>
      <c r="D929" s="1051">
        <f t="shared" si="92"/>
        <v>8</v>
      </c>
      <c r="E929" s="1051" t="str">
        <f>IF(COUNTIF(E$921:E928,F929)&gt;0,"",F929)</f>
        <v>10, Les Noes-Pres-Troyes, ZUP de la Chapelle Saint-Luc, France continentale, Base Carbone</v>
      </c>
      <c r="F929" s="1051" t="str">
        <f t="shared" si="93"/>
        <v>10, Les Noes-Pres-Troyes, ZUP de la Chapelle Saint-Luc, France continentale, Base Carbone</v>
      </c>
      <c r="G929" s="1055" t="str">
        <f t="shared" si="94"/>
        <v>10, Les Noes-Pres-Troyes, ZUP de la Chapelle Saint-Luc, France continentale, Base Carbone; kgCO2e/kWh</v>
      </c>
      <c r="I929" s="2190" t="s">
        <v>3308</v>
      </c>
      <c r="J929" s="1135" t="s">
        <v>1681</v>
      </c>
      <c r="K929" s="1119" t="s">
        <v>1567</v>
      </c>
      <c r="L929" s="1119" t="s">
        <v>1571</v>
      </c>
      <c r="M929" s="1134">
        <v>0.3</v>
      </c>
      <c r="N929" s="1135"/>
      <c r="O929" s="1135">
        <v>0.22800000000000001</v>
      </c>
      <c r="P929" s="1048"/>
      <c r="Q929" s="1048"/>
      <c r="R929" s="1048"/>
      <c r="S929" s="1048"/>
      <c r="T929" s="1048"/>
      <c r="U929" s="1102"/>
    </row>
    <row r="930" spans="2:21" hidden="1" outlineLevel="2">
      <c r="B930" s="1050">
        <v>9</v>
      </c>
      <c r="C930" s="2035" t="str">
        <f t="shared" si="91"/>
        <v>10, Piney, Biomasse de Piney, France continentale, Base Carbone</v>
      </c>
      <c r="D930" s="1051">
        <f t="shared" si="92"/>
        <v>9</v>
      </c>
      <c r="E930" s="1051" t="str">
        <f>IF(COUNTIF(E$921:E929,F930)&gt;0,"",F930)</f>
        <v>10, Piney, Biomasse de Piney, France continentale, Base Carbone</v>
      </c>
      <c r="F930" s="1051" t="str">
        <f t="shared" si="93"/>
        <v>10, Piney, Biomasse de Piney, France continentale, Base Carbone</v>
      </c>
      <c r="G930" s="1055" t="str">
        <f t="shared" si="94"/>
        <v>10, Piney, Biomasse de Piney, France continentale, Base Carbone; kgCO2e/kWh</v>
      </c>
      <c r="I930" s="2190" t="s">
        <v>907</v>
      </c>
      <c r="J930" s="1135" t="s">
        <v>1681</v>
      </c>
      <c r="K930" s="1119" t="s">
        <v>1567</v>
      </c>
      <c r="L930" s="1119" t="s">
        <v>1571</v>
      </c>
      <c r="M930" s="1134">
        <v>0.3</v>
      </c>
      <c r="N930" s="1135"/>
      <c r="O930" s="1135">
        <v>7.0999999999999994E-2</v>
      </c>
      <c r="P930" s="1048"/>
      <c r="Q930" s="1048"/>
      <c r="R930" s="1048"/>
      <c r="S930" s="1048"/>
      <c r="T930" s="1048"/>
      <c r="U930" s="1102"/>
    </row>
    <row r="931" spans="2:21" hidden="1" outlineLevel="2">
      <c r="B931" s="1050">
        <v>10</v>
      </c>
      <c r="C931" s="2035" t="str">
        <f t="shared" si="91"/>
        <v>10, Troyes, Les Chartreux, France continentale, Base Carbone</v>
      </c>
      <c r="D931" s="1051">
        <f t="shared" si="92"/>
        <v>10</v>
      </c>
      <c r="E931" s="1051" t="str">
        <f>IF(COUNTIF(E$921:E930,F931)&gt;0,"",F931)</f>
        <v>10, Troyes, Les Chartreux, France continentale, Base Carbone</v>
      </c>
      <c r="F931" s="1051" t="str">
        <f t="shared" si="93"/>
        <v>10, Troyes, Les Chartreux, France continentale, Base Carbone</v>
      </c>
      <c r="G931" s="1055" t="str">
        <f t="shared" si="94"/>
        <v>10, Troyes, Les Chartreux, France continentale, Base Carbone; kgCO2e/kWh</v>
      </c>
      <c r="I931" s="2190" t="s">
        <v>908</v>
      </c>
      <c r="J931" s="1135" t="s">
        <v>1681</v>
      </c>
      <c r="K931" s="1119" t="s">
        <v>1567</v>
      </c>
      <c r="L931" s="1119" t="s">
        <v>1571</v>
      </c>
      <c r="M931" s="1134">
        <v>0.3</v>
      </c>
      <c r="N931" s="1135"/>
      <c r="O931" s="1135">
        <v>8.4000000000000005E-2</v>
      </c>
      <c r="P931" s="1048"/>
      <c r="Q931" s="1048"/>
      <c r="R931" s="1048"/>
      <c r="S931" s="1048"/>
      <c r="T931" s="1048"/>
      <c r="U931" s="1102"/>
    </row>
    <row r="932" spans="2:21" hidden="1" outlineLevel="2">
      <c r="B932" s="1050">
        <v>11</v>
      </c>
      <c r="C932" s="2035" t="str">
        <f t="shared" si="91"/>
        <v>11, Carcassonne, Réseau CEF-MCO, France continentale, Base Carbone</v>
      </c>
      <c r="D932" s="1051">
        <f t="shared" si="92"/>
        <v>11</v>
      </c>
      <c r="E932" s="1051" t="str">
        <f>IF(COUNTIF(E$921:E931,F932)&gt;0,"",F932)</f>
        <v>11, Carcassonne, Réseau CEF-MCO, France continentale, Base Carbone</v>
      </c>
      <c r="F932" s="1051" t="str">
        <f t="shared" si="93"/>
        <v>11, Carcassonne, Réseau CEF-MCO, France continentale, Base Carbone</v>
      </c>
      <c r="G932" s="1055" t="str">
        <f t="shared" si="94"/>
        <v>11, Carcassonne, Réseau CEF-MCO, France continentale, Base Carbone; kgCO2e/kWh</v>
      </c>
      <c r="I932" s="2190" t="s">
        <v>3309</v>
      </c>
      <c r="J932" s="1135" t="s">
        <v>1681</v>
      </c>
      <c r="K932" s="1119" t="s">
        <v>1567</v>
      </c>
      <c r="L932" s="1119" t="s">
        <v>1571</v>
      </c>
      <c r="M932" s="1134">
        <v>0.3</v>
      </c>
      <c r="N932" s="1135"/>
      <c r="O932" s="1135">
        <v>0.184</v>
      </c>
      <c r="P932" s="1048"/>
      <c r="Q932" s="1048"/>
      <c r="R932" s="1048"/>
      <c r="S932" s="1048"/>
      <c r="T932" s="1048"/>
      <c r="U932" s="1102"/>
    </row>
    <row r="933" spans="2:21" hidden="1" outlineLevel="2">
      <c r="B933" s="1050">
        <v>12</v>
      </c>
      <c r="C933" s="2035" t="str">
        <f t="shared" si="91"/>
        <v>11, Narbonne, ZAC Saint Jean et Saint Pierre, France continentale, Base Carbone</v>
      </c>
      <c r="D933" s="1051">
        <f t="shared" si="92"/>
        <v>12</v>
      </c>
      <c r="E933" s="1051" t="str">
        <f>IF(COUNTIF(E$921:E932,F933)&gt;0,"",F933)</f>
        <v>11, Narbonne, ZAC Saint Jean et Saint Pierre, France continentale, Base Carbone</v>
      </c>
      <c r="F933" s="1051" t="str">
        <f t="shared" si="93"/>
        <v>11, Narbonne, ZAC Saint Jean et Saint Pierre, France continentale, Base Carbone</v>
      </c>
      <c r="G933" s="1055" t="str">
        <f t="shared" si="94"/>
        <v>11, Narbonne, ZAC Saint Jean et Saint Pierre, France continentale, Base Carbone; kgCO2e/kWh</v>
      </c>
      <c r="I933" s="2190" t="s">
        <v>2861</v>
      </c>
      <c r="J933" s="1135" t="s">
        <v>1681</v>
      </c>
      <c r="K933" s="1119" t="s">
        <v>1567</v>
      </c>
      <c r="L933" s="1119" t="s">
        <v>1571</v>
      </c>
      <c r="M933" s="1134">
        <v>0.3</v>
      </c>
      <c r="N933" s="1135"/>
      <c r="O933" s="1135">
        <v>9.2999999999999999E-2</v>
      </c>
      <c r="P933" s="1048"/>
      <c r="Q933" s="1048"/>
      <c r="R933" s="1048"/>
      <c r="S933" s="1048"/>
      <c r="T933" s="1048"/>
      <c r="U933" s="1102"/>
    </row>
    <row r="934" spans="2:21" hidden="1" outlineLevel="2">
      <c r="B934" s="1050">
        <v>13</v>
      </c>
      <c r="C934" s="2035" t="str">
        <f t="shared" si="91"/>
        <v>12, Decazeville, Réseau de Decazeville, France continentale, Base Carbone</v>
      </c>
      <c r="D934" s="1051">
        <f t="shared" si="92"/>
        <v>13</v>
      </c>
      <c r="E934" s="1051" t="str">
        <f>IF(COUNTIF(E$921:E933,F934)&gt;0,"",F934)</f>
        <v>12, Decazeville, Réseau de Decazeville, France continentale, Base Carbone</v>
      </c>
      <c r="F934" s="1051" t="str">
        <f t="shared" si="93"/>
        <v>12, Decazeville, Réseau de Decazeville, France continentale, Base Carbone</v>
      </c>
      <c r="G934" s="1055" t="str">
        <f t="shared" si="94"/>
        <v>12, Decazeville, Réseau de Decazeville, France continentale, Base Carbone; kgCO2e/kWh</v>
      </c>
      <c r="I934" s="2190" t="s">
        <v>2862</v>
      </c>
      <c r="J934" s="1135" t="s">
        <v>1681</v>
      </c>
      <c r="K934" s="1119" t="s">
        <v>1567</v>
      </c>
      <c r="L934" s="1119" t="s">
        <v>1571</v>
      </c>
      <c r="M934" s="1134">
        <v>0.3</v>
      </c>
      <c r="N934" s="1135"/>
      <c r="O934" s="1135">
        <v>0.02</v>
      </c>
      <c r="P934" s="1048"/>
      <c r="Q934" s="1048"/>
      <c r="R934" s="1048"/>
      <c r="S934" s="1048"/>
      <c r="T934" s="1048"/>
      <c r="U934" s="1102"/>
    </row>
    <row r="935" spans="2:21" hidden="1" outlineLevel="2">
      <c r="B935" s="1050">
        <v>14</v>
      </c>
      <c r="C935" s="2035" t="str">
        <f t="shared" si="91"/>
        <v>12, Onet-le-Château, Réseau de Cantagrelh, France continentale, Base Carbone</v>
      </c>
      <c r="D935" s="1051">
        <f t="shared" si="92"/>
        <v>14</v>
      </c>
      <c r="E935" s="1051" t="str">
        <f>IF(COUNTIF(E$921:E934,F935)&gt;0,"",F935)</f>
        <v>12, Onet-le-Château, Réseau de Cantagrelh, France continentale, Base Carbone</v>
      </c>
      <c r="F935" s="1051" t="str">
        <f t="shared" si="93"/>
        <v>12, Onet-le-Château, Réseau de Cantagrelh, France continentale, Base Carbone</v>
      </c>
      <c r="G935" s="1055" t="str">
        <f t="shared" si="94"/>
        <v>12, Onet-le-Château, Réseau de Cantagrelh, France continentale, Base Carbone; kgCO2e/kWh</v>
      </c>
      <c r="I935" s="2190" t="s">
        <v>2863</v>
      </c>
      <c r="J935" s="1135" t="s">
        <v>1681</v>
      </c>
      <c r="K935" s="1119" t="s">
        <v>1567</v>
      </c>
      <c r="L935" s="1119" t="s">
        <v>1571</v>
      </c>
      <c r="M935" s="1134">
        <v>0.3</v>
      </c>
      <c r="N935" s="1135"/>
      <c r="O935" s="1135">
        <v>0.29799999999999999</v>
      </c>
      <c r="P935" s="1048"/>
      <c r="Q935" s="1048"/>
      <c r="R935" s="1048"/>
      <c r="S935" s="1048"/>
      <c r="T935" s="1048"/>
      <c r="U935" s="1102"/>
    </row>
    <row r="936" spans="2:21" hidden="1" outlineLevel="2">
      <c r="B936" s="1050">
        <v>15</v>
      </c>
      <c r="C936" s="2035" t="str">
        <f t="shared" si="91"/>
        <v>12, Rodez, Réseau Sarrus, France continentale, Base Carbone</v>
      </c>
      <c r="D936" s="1051">
        <f t="shared" si="92"/>
        <v>15</v>
      </c>
      <c r="E936" s="1051" t="str">
        <f>IF(COUNTIF(E$921:E935,F936)&gt;0,"",F936)</f>
        <v>12, Rodez, Réseau Sarrus, France continentale, Base Carbone</v>
      </c>
      <c r="F936" s="1051" t="str">
        <f t="shared" si="93"/>
        <v>12, Rodez, Réseau Sarrus, France continentale, Base Carbone</v>
      </c>
      <c r="G936" s="1055" t="str">
        <f t="shared" si="94"/>
        <v>12, Rodez, Réseau Sarrus, France continentale, Base Carbone; kgCO2e/kWh</v>
      </c>
      <c r="I936" s="2018" t="s">
        <v>2864</v>
      </c>
      <c r="J936" s="1135" t="s">
        <v>1681</v>
      </c>
      <c r="K936" s="1119" t="s">
        <v>1567</v>
      </c>
      <c r="L936" s="1119" t="s">
        <v>1571</v>
      </c>
      <c r="M936" s="1134">
        <v>0.3</v>
      </c>
      <c r="N936" s="1135"/>
      <c r="O936" s="1135">
        <v>0.14199999999999999</v>
      </c>
      <c r="P936" s="1048"/>
      <c r="Q936" s="1048"/>
      <c r="R936" s="1048"/>
      <c r="S936" s="1048"/>
      <c r="T936" s="1048"/>
      <c r="U936" s="1102"/>
    </row>
    <row r="937" spans="2:21" hidden="1" outlineLevel="2">
      <c r="B937" s="1050">
        <v>16</v>
      </c>
      <c r="C937" s="2035" t="str">
        <f t="shared" si="91"/>
        <v>13, Aix-en-Provence, Réseau d’Aix-en-Provence, France continentale, Base Carbone</v>
      </c>
      <c r="D937" s="1051">
        <f t="shared" si="92"/>
        <v>16</v>
      </c>
      <c r="E937" s="1051" t="str">
        <f>IF(COUNTIF(E$921:E936,F937)&gt;0,"",F937)</f>
        <v>13, Aix-en-Provence, Réseau d’Aix-en-Provence, France continentale, Base Carbone</v>
      </c>
      <c r="F937" s="1051" t="str">
        <f t="shared" si="93"/>
        <v>13, Aix-en-Provence, Réseau d’Aix-en-Provence, France continentale, Base Carbone</v>
      </c>
      <c r="G937" s="1055" t="str">
        <f t="shared" si="94"/>
        <v>13, Aix-en-Provence, Réseau d’Aix-en-Provence, France continentale, Base Carbone; kgCO2e/kWh</v>
      </c>
      <c r="I937" s="2018" t="s">
        <v>3310</v>
      </c>
      <c r="J937" s="1135" t="s">
        <v>1681</v>
      </c>
      <c r="K937" s="1119" t="s">
        <v>1567</v>
      </c>
      <c r="L937" s="1119" t="s">
        <v>1571</v>
      </c>
      <c r="M937" s="1134">
        <v>0.3</v>
      </c>
      <c r="N937" s="1135"/>
      <c r="O937" s="1135">
        <v>0</v>
      </c>
      <c r="P937" s="1048"/>
      <c r="Q937" s="1048"/>
      <c r="R937" s="1048"/>
      <c r="S937" s="1048"/>
      <c r="T937" s="1048"/>
      <c r="U937" s="1102"/>
    </row>
    <row r="938" spans="2:21" hidden="1" outlineLevel="2">
      <c r="B938" s="1050">
        <v>17</v>
      </c>
      <c r="C938" s="2035" t="str">
        <f t="shared" si="91"/>
        <v>13, Coudoux, Réseau communal de Coudoux, France continentale, Base Carbone</v>
      </c>
      <c r="D938" s="1051">
        <f t="shared" si="92"/>
        <v>17</v>
      </c>
      <c r="E938" s="1051" t="str">
        <f>IF(COUNTIF(E$921:E937,F938)&gt;0,"",F938)</f>
        <v>13, Coudoux, Réseau communal de Coudoux, France continentale, Base Carbone</v>
      </c>
      <c r="F938" s="1051" t="str">
        <f t="shared" si="93"/>
        <v>13, Coudoux, Réseau communal de Coudoux, France continentale, Base Carbone</v>
      </c>
      <c r="G938" s="1055" t="str">
        <f t="shared" si="94"/>
        <v>13, Coudoux, Réseau communal de Coudoux, France continentale, Base Carbone; kgCO2e/kWh</v>
      </c>
      <c r="I938" s="2018" t="s">
        <v>3311</v>
      </c>
      <c r="J938" s="1135" t="s">
        <v>1681</v>
      </c>
      <c r="K938" s="1119" t="s">
        <v>1567</v>
      </c>
      <c r="L938" s="1119" t="s">
        <v>1571</v>
      </c>
      <c r="M938" s="1134">
        <v>0.3</v>
      </c>
      <c r="N938" s="1135"/>
      <c r="O938" s="1135">
        <v>0.10100000000000001</v>
      </c>
      <c r="P938" s="1048"/>
      <c r="Q938" s="1048"/>
      <c r="R938" s="1048"/>
      <c r="S938" s="1048"/>
      <c r="T938" s="1048"/>
      <c r="U938" s="1102"/>
    </row>
    <row r="939" spans="2:21" hidden="1" outlineLevel="2">
      <c r="B939" s="1050">
        <v>18</v>
      </c>
      <c r="C939" s="2035" t="str">
        <f t="shared" si="91"/>
        <v>13, Istres, La Bayanne, France continentale, Base Carbone</v>
      </c>
      <c r="D939" s="1051">
        <f t="shared" si="92"/>
        <v>18</v>
      </c>
      <c r="E939" s="1051" t="str">
        <f>IF(COUNTIF(E$921:E938,F939)&gt;0,"",F939)</f>
        <v>13, Istres, La Bayanne, France continentale, Base Carbone</v>
      </c>
      <c r="F939" s="1051" t="str">
        <f t="shared" si="93"/>
        <v>13, Istres, La Bayanne, France continentale, Base Carbone</v>
      </c>
      <c r="G939" s="1055" t="str">
        <f t="shared" si="94"/>
        <v>13, Istres, La Bayanne, France continentale, Base Carbone; kgCO2e/kWh</v>
      </c>
      <c r="I939" s="2018" t="s">
        <v>3312</v>
      </c>
      <c r="J939" s="1135" t="s">
        <v>1681</v>
      </c>
      <c r="K939" s="1119" t="s">
        <v>1567</v>
      </c>
      <c r="L939" s="1119" t="s">
        <v>1571</v>
      </c>
      <c r="M939" s="1134">
        <v>0.3</v>
      </c>
      <c r="N939" s="1135"/>
      <c r="O939" s="1135">
        <v>0.11600000000000001</v>
      </c>
      <c r="P939" s="1048"/>
      <c r="Q939" s="1048"/>
      <c r="R939" s="1048"/>
      <c r="S939" s="1048"/>
      <c r="T939" s="1048"/>
      <c r="U939" s="1102"/>
    </row>
    <row r="940" spans="2:21" hidden="1" outlineLevel="2">
      <c r="B940" s="1050">
        <v>19</v>
      </c>
      <c r="C940" s="2035" t="str">
        <f t="shared" si="91"/>
        <v>13, Marseille, Luminy, France continentale, Base Carbone</v>
      </c>
      <c r="D940" s="1051">
        <f t="shared" si="92"/>
        <v>19</v>
      </c>
      <c r="E940" s="1051" t="str">
        <f>IF(COUNTIF(E$921:E939,F940)&gt;0,"",F940)</f>
        <v>13, Marseille, Luminy, France continentale, Base Carbone</v>
      </c>
      <c r="F940" s="1051" t="str">
        <f t="shared" si="93"/>
        <v>13, Marseille, Luminy, France continentale, Base Carbone</v>
      </c>
      <c r="G940" s="1055" t="str">
        <f t="shared" si="94"/>
        <v>13, Marseille, Luminy, France continentale, Base Carbone; kgCO2e/kWh</v>
      </c>
      <c r="I940" s="2018" t="s">
        <v>2865</v>
      </c>
      <c r="J940" s="1135" t="s">
        <v>1681</v>
      </c>
      <c r="K940" s="1119" t="s">
        <v>1567</v>
      </c>
      <c r="L940" s="1119" t="s">
        <v>1571</v>
      </c>
      <c r="M940" s="1134">
        <v>0.3</v>
      </c>
      <c r="N940" s="1135"/>
      <c r="O940" s="1135">
        <v>0.253</v>
      </c>
      <c r="P940" s="1048"/>
      <c r="Q940" s="1048"/>
      <c r="R940" s="1048"/>
      <c r="S940" s="1048"/>
      <c r="T940" s="1048"/>
      <c r="U940" s="1102"/>
    </row>
    <row r="941" spans="2:21" hidden="1" outlineLevel="2">
      <c r="B941" s="1050">
        <v>20</v>
      </c>
      <c r="C941" s="2035" t="str">
        <f t="shared" si="91"/>
        <v>13, Martigues, ZAC Canto Perdrix, France continentale, Base Carbone</v>
      </c>
      <c r="D941" s="1051">
        <f t="shared" si="92"/>
        <v>20</v>
      </c>
      <c r="E941" s="1051" t="str">
        <f>IF(COUNTIF(E$921:E940,F941)&gt;0,"",F941)</f>
        <v>13, Martigues, ZAC Canto Perdrix, France continentale, Base Carbone</v>
      </c>
      <c r="F941" s="1051" t="str">
        <f t="shared" si="93"/>
        <v>13, Martigues, ZAC Canto Perdrix, France continentale, Base Carbone</v>
      </c>
      <c r="G941" s="1055" t="str">
        <f t="shared" si="94"/>
        <v>13, Martigues, ZAC Canto Perdrix, France continentale, Base Carbone; kgCO2e/kWh</v>
      </c>
      <c r="I941" s="2018" t="s">
        <v>909</v>
      </c>
      <c r="J941" s="1135" t="s">
        <v>1681</v>
      </c>
      <c r="K941" s="1119" t="s">
        <v>1567</v>
      </c>
      <c r="L941" s="1119" t="s">
        <v>1571</v>
      </c>
      <c r="M941" s="1134">
        <v>0.3</v>
      </c>
      <c r="N941" s="1135"/>
      <c r="O941" s="1135">
        <v>4.9000000000000002E-2</v>
      </c>
      <c r="P941" s="1048"/>
      <c r="Q941" s="1048"/>
      <c r="R941" s="1048"/>
      <c r="S941" s="1048"/>
      <c r="T941" s="1048"/>
      <c r="U941" s="1102"/>
    </row>
    <row r="942" spans="2:21" hidden="1" outlineLevel="2">
      <c r="B942" s="1050">
        <v>21</v>
      </c>
      <c r="C942" s="2035" t="str">
        <f t="shared" si="91"/>
        <v>13, Martigues, ZAC Paradis-Saint-Roch, France continentale, Base Carbone</v>
      </c>
      <c r="D942" s="1051">
        <f t="shared" si="92"/>
        <v>21</v>
      </c>
      <c r="E942" s="1051" t="str">
        <f>IF(COUNTIF(E$921:E941,F942)&gt;0,"",F942)</f>
        <v>13, Martigues, ZAC Paradis-Saint-Roch, France continentale, Base Carbone</v>
      </c>
      <c r="F942" s="1051" t="str">
        <f t="shared" si="93"/>
        <v>13, Martigues, ZAC Paradis-Saint-Roch, France continentale, Base Carbone</v>
      </c>
      <c r="G942" s="1055" t="str">
        <f t="shared" si="94"/>
        <v>13, Martigues, ZAC Paradis-Saint-Roch, France continentale, Base Carbone; kgCO2e/kWh</v>
      </c>
      <c r="I942" s="2018" t="s">
        <v>910</v>
      </c>
      <c r="J942" s="1135" t="s">
        <v>1681</v>
      </c>
      <c r="K942" s="1119" t="s">
        <v>1567</v>
      </c>
      <c r="L942" s="1119" t="s">
        <v>1571</v>
      </c>
      <c r="M942" s="1134">
        <v>0.3</v>
      </c>
      <c r="N942" s="1135"/>
      <c r="O942" s="1135">
        <v>0.245</v>
      </c>
      <c r="P942" s="1048"/>
      <c r="Q942" s="1048"/>
      <c r="R942" s="1048"/>
      <c r="S942" s="1048"/>
      <c r="T942" s="1048"/>
      <c r="U942" s="1102"/>
    </row>
    <row r="943" spans="2:21" hidden="1" outlineLevel="2">
      <c r="B943" s="1050">
        <v>22</v>
      </c>
      <c r="C943" s="2035" t="str">
        <f t="shared" si="91"/>
        <v>13, Salon de Provence, ZAC des Canourgues, France continentale, Base Carbone</v>
      </c>
      <c r="D943" s="1051">
        <f t="shared" si="92"/>
        <v>22</v>
      </c>
      <c r="E943" s="1051" t="str">
        <f>IF(COUNTIF(E$921:E942,F943)&gt;0,"",F943)</f>
        <v>13, Salon de Provence, ZAC des Canourgues, France continentale, Base Carbone</v>
      </c>
      <c r="F943" s="1051" t="str">
        <f t="shared" si="93"/>
        <v>13, Salon de Provence, ZAC des Canourgues, France continentale, Base Carbone</v>
      </c>
      <c r="G943" s="1055" t="str">
        <f t="shared" si="94"/>
        <v>13, Salon de Provence, ZAC des Canourgues, France continentale, Base Carbone; kgCO2e/kWh</v>
      </c>
      <c r="I943" s="2018" t="s">
        <v>2866</v>
      </c>
      <c r="J943" s="1135" t="s">
        <v>1681</v>
      </c>
      <c r="K943" s="1119" t="s">
        <v>1567</v>
      </c>
      <c r="L943" s="1119" t="s">
        <v>1571</v>
      </c>
      <c r="M943" s="1134">
        <v>0.3</v>
      </c>
      <c r="N943" s="1135"/>
      <c r="O943" s="1135">
        <v>0.20599999999999999</v>
      </c>
      <c r="P943" s="1048"/>
      <c r="Q943" s="1048"/>
      <c r="R943" s="1048"/>
      <c r="S943" s="1048"/>
      <c r="T943" s="1048"/>
      <c r="U943" s="1102"/>
    </row>
    <row r="944" spans="2:21" hidden="1" outlineLevel="2">
      <c r="B944" s="1050">
        <v>23</v>
      </c>
      <c r="C944" s="2035" t="str">
        <f t="shared" si="91"/>
        <v>13, Vitrolles, Centre Urbain-Zac des Pins, France continentale, Base Carbone</v>
      </c>
      <c r="D944" s="1051">
        <f t="shared" si="92"/>
        <v>23</v>
      </c>
      <c r="E944" s="1051" t="str">
        <f>IF(COUNTIF(E$921:E943,F944)&gt;0,"",F944)</f>
        <v>13, Vitrolles, Centre Urbain-Zac des Pins, France continentale, Base Carbone</v>
      </c>
      <c r="F944" s="1051" t="str">
        <f t="shared" si="93"/>
        <v>13, Vitrolles, Centre Urbain-Zac des Pins, France continentale, Base Carbone</v>
      </c>
      <c r="G944" s="1055" t="str">
        <f t="shared" si="94"/>
        <v>13, Vitrolles, Centre Urbain-Zac des Pins, France continentale, Base Carbone; kgCO2e/kWh</v>
      </c>
      <c r="I944" s="2018" t="s">
        <v>2867</v>
      </c>
      <c r="J944" s="1135" t="s">
        <v>1681</v>
      </c>
      <c r="K944" s="1119" t="s">
        <v>1567</v>
      </c>
      <c r="L944" s="1119" t="s">
        <v>1571</v>
      </c>
      <c r="M944" s="1134">
        <v>0.3</v>
      </c>
      <c r="N944" s="1135"/>
      <c r="O944" s="1135">
        <v>0.22500000000000001</v>
      </c>
      <c r="P944" s="1048"/>
      <c r="Q944" s="1048"/>
      <c r="R944" s="1048"/>
      <c r="S944" s="1048"/>
      <c r="T944" s="1048"/>
      <c r="U944" s="1102"/>
    </row>
    <row r="945" spans="2:21" hidden="1" outlineLevel="2">
      <c r="B945" s="1050">
        <v>24</v>
      </c>
      <c r="C945" s="2035" t="str">
        <f t="shared" si="91"/>
        <v>14, Argences, Réseau de Val-ès-Dunes, France continentale, Base Carbone</v>
      </c>
      <c r="D945" s="1051">
        <f t="shared" si="92"/>
        <v>24</v>
      </c>
      <c r="E945" s="1051" t="str">
        <f>IF(COUNTIF(E$921:E944,F945)&gt;0,"",F945)</f>
        <v>14, Argences, Réseau de Val-ès-Dunes, France continentale, Base Carbone</v>
      </c>
      <c r="F945" s="1051" t="str">
        <f t="shared" si="93"/>
        <v>14, Argences, Réseau de Val-ès-Dunes, France continentale, Base Carbone</v>
      </c>
      <c r="G945" s="1055" t="str">
        <f t="shared" si="94"/>
        <v>14, Argences, Réseau de Val-ès-Dunes, France continentale, Base Carbone; kgCO2e/kWh</v>
      </c>
      <c r="I945" s="2018" t="s">
        <v>3313</v>
      </c>
      <c r="J945" s="1135" t="s">
        <v>1681</v>
      </c>
      <c r="K945" s="1119" t="s">
        <v>1567</v>
      </c>
      <c r="L945" s="1119" t="s">
        <v>1571</v>
      </c>
      <c r="M945" s="1134">
        <v>0.3</v>
      </c>
      <c r="N945" s="1135"/>
      <c r="O945" s="1135">
        <v>4.1000000000000002E-2</v>
      </c>
      <c r="P945" s="1048"/>
      <c r="Q945" s="1048"/>
      <c r="R945" s="1048"/>
      <c r="S945" s="1048"/>
      <c r="T945" s="1048"/>
      <c r="U945" s="1102"/>
    </row>
    <row r="946" spans="2:21" hidden="1" outlineLevel="2">
      <c r="B946" s="1050">
        <v>25</v>
      </c>
      <c r="C946" s="2035" t="str">
        <f t="shared" si="91"/>
        <v>14, Aunay-sur-Odon, Réseau d’Aunay-sur-Odon, France continentale, Base Carbone</v>
      </c>
      <c r="D946" s="1051">
        <f t="shared" si="92"/>
        <v>25</v>
      </c>
      <c r="E946" s="1051" t="str">
        <f>IF(COUNTIF(E$921:E945,F946)&gt;0,"",F946)</f>
        <v>14, Aunay-sur-Odon, Réseau d’Aunay-sur-Odon, France continentale, Base Carbone</v>
      </c>
      <c r="F946" s="1051" t="str">
        <f t="shared" si="93"/>
        <v>14, Aunay-sur-Odon, Réseau d’Aunay-sur-Odon, France continentale, Base Carbone</v>
      </c>
      <c r="G946" s="1055" t="str">
        <f t="shared" si="94"/>
        <v>14, Aunay-sur-Odon, Réseau d’Aunay-sur-Odon, France continentale, Base Carbone; kgCO2e/kWh</v>
      </c>
      <c r="I946" s="2018" t="s">
        <v>3314</v>
      </c>
      <c r="J946" s="1135" t="s">
        <v>1681</v>
      </c>
      <c r="K946" s="1119" t="s">
        <v>1567</v>
      </c>
      <c r="L946" s="1119" t="s">
        <v>1571</v>
      </c>
      <c r="M946" s="1134">
        <v>0.3</v>
      </c>
      <c r="N946" s="1135"/>
      <c r="O946" s="1135">
        <v>1.7000000000000001E-2</v>
      </c>
      <c r="P946" s="1048"/>
      <c r="Q946" s="1048"/>
      <c r="R946" s="1048"/>
      <c r="S946" s="1048"/>
      <c r="T946" s="1048"/>
      <c r="U946" s="1102"/>
    </row>
    <row r="947" spans="2:21" hidden="1" outlineLevel="2">
      <c r="B947" s="1050">
        <v>26</v>
      </c>
      <c r="C947" s="2035" t="str">
        <f t="shared" si="91"/>
        <v>14, Bayeux, Réseau Bois I, France continentale, Base Carbone</v>
      </c>
      <c r="D947" s="1051">
        <f t="shared" si="92"/>
        <v>26</v>
      </c>
      <c r="E947" s="1051" t="str">
        <f>IF(COUNTIF(E$921:E946,F947)&gt;0,"",F947)</f>
        <v>14, Bayeux, Réseau Bois I, France continentale, Base Carbone</v>
      </c>
      <c r="F947" s="1051" t="str">
        <f t="shared" si="93"/>
        <v>14, Bayeux, Réseau Bois I, France continentale, Base Carbone</v>
      </c>
      <c r="G947" s="1055" t="str">
        <f t="shared" si="94"/>
        <v>14, Bayeux, Réseau Bois I, France continentale, Base Carbone; kgCO2e/kWh</v>
      </c>
      <c r="I947" s="2018" t="s">
        <v>911</v>
      </c>
      <c r="J947" s="1135" t="s">
        <v>1681</v>
      </c>
      <c r="K947" s="1119" t="s">
        <v>1567</v>
      </c>
      <c r="L947" s="1119" t="s">
        <v>1571</v>
      </c>
      <c r="M947" s="1134">
        <v>0.3</v>
      </c>
      <c r="N947" s="1135"/>
      <c r="O947" s="1135">
        <v>8.1000000000000003E-2</v>
      </c>
      <c r="P947" s="1048"/>
      <c r="Q947" s="1048"/>
      <c r="R947" s="1048"/>
      <c r="S947" s="1048"/>
      <c r="T947" s="1048"/>
      <c r="U947" s="1102"/>
    </row>
    <row r="948" spans="2:21" hidden="1" outlineLevel="2">
      <c r="B948" s="1050">
        <v>27</v>
      </c>
      <c r="C948" s="2035" t="str">
        <f t="shared" si="91"/>
        <v>14, Bayeux, Réseau Bois Vallée des Près (Bayeux 2), France continentale, Base Carbone</v>
      </c>
      <c r="D948" s="1051">
        <f t="shared" si="92"/>
        <v>27</v>
      </c>
      <c r="E948" s="1051" t="str">
        <f>IF(COUNTIF(E$921:E947,F948)&gt;0,"",F948)</f>
        <v>14, Bayeux, Réseau Bois Vallée des Près (Bayeux 2), France continentale, Base Carbone</v>
      </c>
      <c r="F948" s="1051" t="str">
        <f t="shared" si="93"/>
        <v>14, Bayeux, Réseau Bois Vallée des Près (Bayeux 2), France continentale, Base Carbone</v>
      </c>
      <c r="G948" s="1055" t="str">
        <f t="shared" si="94"/>
        <v>14, Bayeux, Réseau Bois Vallée des Près (Bayeux 2), France continentale, Base Carbone; kgCO2e/kWh</v>
      </c>
      <c r="I948" s="2018" t="s">
        <v>3315</v>
      </c>
      <c r="J948" s="1135" t="s">
        <v>1681</v>
      </c>
      <c r="K948" s="1119" t="s">
        <v>1567</v>
      </c>
      <c r="L948" s="1119" t="s">
        <v>1571</v>
      </c>
      <c r="M948" s="1134">
        <v>0.3</v>
      </c>
      <c r="N948" s="1135"/>
      <c r="O948" s="1135">
        <v>6.8000000000000005E-2</v>
      </c>
      <c r="P948" s="1048"/>
      <c r="Q948" s="1048"/>
      <c r="R948" s="1048"/>
      <c r="S948" s="1048"/>
      <c r="T948" s="1048"/>
      <c r="U948" s="1102"/>
    </row>
    <row r="949" spans="2:21" hidden="1" outlineLevel="2">
      <c r="B949" s="1050">
        <v>28</v>
      </c>
      <c r="C949" s="2035" t="str">
        <f t="shared" si="91"/>
        <v>14, Caen, Caen Sud, France continentale, Base Carbone</v>
      </c>
      <c r="D949" s="1051">
        <f t="shared" si="92"/>
        <v>28</v>
      </c>
      <c r="E949" s="1051" t="str">
        <f>IF(COUNTIF(E$921:E948,F949)&gt;0,"",F949)</f>
        <v>14, Caen, Caen Sud, France continentale, Base Carbone</v>
      </c>
      <c r="F949" s="1051" t="str">
        <f t="shared" si="93"/>
        <v>14, Caen, Caen Sud, France continentale, Base Carbone</v>
      </c>
      <c r="G949" s="1055" t="str">
        <f t="shared" si="94"/>
        <v>14, Caen, Caen Sud, France continentale, Base Carbone; kgCO2e/kWh</v>
      </c>
      <c r="I949" s="2018" t="s">
        <v>3316</v>
      </c>
      <c r="J949" s="1135" t="s">
        <v>1681</v>
      </c>
      <c r="K949" s="1119" t="s">
        <v>1567</v>
      </c>
      <c r="L949" s="1119" t="s">
        <v>1571</v>
      </c>
      <c r="M949" s="1134">
        <v>0.3</v>
      </c>
      <c r="N949" s="1135"/>
      <c r="O949" s="1135">
        <v>0.16700000000000001</v>
      </c>
      <c r="P949" s="1048"/>
      <c r="Q949" s="1048"/>
      <c r="R949" s="1048"/>
      <c r="S949" s="1048"/>
      <c r="T949" s="1048"/>
      <c r="U949" s="1102"/>
    </row>
    <row r="950" spans="2:21" hidden="1" outlineLevel="2">
      <c r="B950" s="1050">
        <v>29</v>
      </c>
      <c r="C950" s="2035" t="str">
        <f t="shared" si="91"/>
        <v>14, Caen, Quartier Nord, France continentale, Base Carbone</v>
      </c>
      <c r="D950" s="1051">
        <f t="shared" si="92"/>
        <v>29</v>
      </c>
      <c r="E950" s="1051" t="str">
        <f>IF(COUNTIF(E$921:E949,F950)&gt;0,"",F950)</f>
        <v>14, Caen, Quartier Nord, France continentale, Base Carbone</v>
      </c>
      <c r="F950" s="1051" t="str">
        <f t="shared" si="93"/>
        <v>14, Caen, Quartier Nord, France continentale, Base Carbone</v>
      </c>
      <c r="G950" s="1055" t="str">
        <f t="shared" si="94"/>
        <v>14, Caen, Quartier Nord, France continentale, Base Carbone; kgCO2e/kWh</v>
      </c>
      <c r="I950" s="2018" t="s">
        <v>2868</v>
      </c>
      <c r="J950" s="1135" t="s">
        <v>1681</v>
      </c>
      <c r="K950" s="1119" t="s">
        <v>1567</v>
      </c>
      <c r="L950" s="1119" t="s">
        <v>1571</v>
      </c>
      <c r="M950" s="1134">
        <v>0.3</v>
      </c>
      <c r="N950" s="1135"/>
      <c r="O950" s="1135">
        <v>0.23100000000000001</v>
      </c>
      <c r="P950" s="1048"/>
      <c r="Q950" s="1048"/>
      <c r="R950" s="1048"/>
      <c r="S950" s="1048"/>
      <c r="T950" s="1048"/>
      <c r="U950" s="1102"/>
    </row>
    <row r="951" spans="2:21" hidden="1" outlineLevel="2">
      <c r="B951" s="1050">
        <v>30</v>
      </c>
      <c r="C951" s="2035" t="str">
        <f t="shared" si="91"/>
        <v>14, Falaise, ZAC de Falaise, France continentale, Base Carbone</v>
      </c>
      <c r="D951" s="1051">
        <f t="shared" si="92"/>
        <v>30</v>
      </c>
      <c r="E951" s="1051" t="str">
        <f>IF(COUNTIF(E$921:E950,F951)&gt;0,"",F951)</f>
        <v>14, Falaise, ZAC de Falaise, France continentale, Base Carbone</v>
      </c>
      <c r="F951" s="1051" t="str">
        <f t="shared" si="93"/>
        <v>14, Falaise, ZAC de Falaise, France continentale, Base Carbone</v>
      </c>
      <c r="G951" s="1055" t="str">
        <f t="shared" si="94"/>
        <v>14, Falaise, ZAC de Falaise, France continentale, Base Carbone; kgCO2e/kWh</v>
      </c>
      <c r="I951" s="2018" t="s">
        <v>912</v>
      </c>
      <c r="J951" s="1135" t="s">
        <v>1681</v>
      </c>
      <c r="K951" s="1119" t="s">
        <v>1567</v>
      </c>
      <c r="L951" s="1119" t="s">
        <v>1571</v>
      </c>
      <c r="M951" s="1134">
        <v>0.3</v>
      </c>
      <c r="N951" s="1135"/>
      <c r="O951" s="1135">
        <v>0.02</v>
      </c>
      <c r="P951" s="1048"/>
      <c r="Q951" s="1048"/>
      <c r="R951" s="1048"/>
      <c r="S951" s="1048"/>
      <c r="T951" s="1048"/>
      <c r="U951" s="1102"/>
    </row>
    <row r="952" spans="2:21" hidden="1" outlineLevel="2">
      <c r="B952" s="1050">
        <v>31</v>
      </c>
      <c r="C952" s="2035" t="str">
        <f t="shared" si="91"/>
        <v>14, Hérouville-Saint-Clair, Hérouville St Clair, France continentale, Base Carbone</v>
      </c>
      <c r="D952" s="1051">
        <f t="shared" si="92"/>
        <v>31</v>
      </c>
      <c r="E952" s="1051" t="str">
        <f>IF(COUNTIF(E$921:E951,F952)&gt;0,"",F952)</f>
        <v>14, Hérouville-Saint-Clair, Hérouville St Clair, France continentale, Base Carbone</v>
      </c>
      <c r="F952" s="1051" t="str">
        <f t="shared" si="93"/>
        <v>14, Hérouville-Saint-Clair, Hérouville St Clair, France continentale, Base Carbone</v>
      </c>
      <c r="G952" s="1055" t="str">
        <f t="shared" si="94"/>
        <v>14, Hérouville-Saint-Clair, Hérouville St Clair, France continentale, Base Carbone; kgCO2e/kWh</v>
      </c>
      <c r="I952" s="2018" t="s">
        <v>2869</v>
      </c>
      <c r="J952" s="1135" t="s">
        <v>1681</v>
      </c>
      <c r="K952" s="1119" t="s">
        <v>1567</v>
      </c>
      <c r="L952" s="1119" t="s">
        <v>1571</v>
      </c>
      <c r="M952" s="1134">
        <v>0.3</v>
      </c>
      <c r="N952" s="1135"/>
      <c r="O952" s="1135">
        <v>1.4999999999999999E-2</v>
      </c>
      <c r="P952" s="1048"/>
      <c r="Q952" s="1048"/>
      <c r="R952" s="1048"/>
      <c r="S952" s="1048"/>
      <c r="T952" s="1048"/>
      <c r="U952" s="1102"/>
    </row>
    <row r="953" spans="2:21" hidden="1" outlineLevel="2">
      <c r="B953" s="1050">
        <v>32</v>
      </c>
      <c r="C953" s="2035" t="str">
        <f t="shared" si="91"/>
        <v>14, Lisieux, ZUP de Hauteville, France continentale, Base Carbone</v>
      </c>
      <c r="D953" s="1051">
        <f t="shared" si="92"/>
        <v>32</v>
      </c>
      <c r="E953" s="1051" t="str">
        <f>IF(COUNTIF(E$921:E952,F953)&gt;0,"",F953)</f>
        <v>14, Lisieux, ZUP de Hauteville, France continentale, Base Carbone</v>
      </c>
      <c r="F953" s="1051" t="str">
        <f t="shared" si="93"/>
        <v>14, Lisieux, ZUP de Hauteville, France continentale, Base Carbone</v>
      </c>
      <c r="G953" s="1055" t="str">
        <f t="shared" si="94"/>
        <v>14, Lisieux, ZUP de Hauteville, France continentale, Base Carbone; kgCO2e/kWh</v>
      </c>
      <c r="I953" s="2018" t="s">
        <v>913</v>
      </c>
      <c r="J953" s="1135" t="s">
        <v>1681</v>
      </c>
      <c r="K953" s="1119" t="s">
        <v>1567</v>
      </c>
      <c r="L953" s="1119" t="s">
        <v>1571</v>
      </c>
      <c r="M953" s="1134">
        <v>0.3</v>
      </c>
      <c r="N953" s="1135"/>
      <c r="O953" s="1135">
        <v>4.5999999999999999E-2</v>
      </c>
      <c r="P953" s="1048"/>
      <c r="Q953" s="1048"/>
      <c r="R953" s="1048"/>
      <c r="S953" s="1048"/>
      <c r="T953" s="1048"/>
      <c r="U953" s="1102"/>
    </row>
    <row r="954" spans="2:21" hidden="1" outlineLevel="2">
      <c r="B954" s="1050">
        <v>33</v>
      </c>
      <c r="C954" s="2035" t="str">
        <f t="shared" si="91"/>
        <v>14, Vire, Réseau de Vire, France continentale, Base Carbone</v>
      </c>
      <c r="D954" s="1051">
        <f t="shared" si="92"/>
        <v>33</v>
      </c>
      <c r="E954" s="1051" t="str">
        <f>IF(COUNTIF(E$921:E953,F954)&gt;0,"",F954)</f>
        <v>14, Vire, Réseau de Vire, France continentale, Base Carbone</v>
      </c>
      <c r="F954" s="1051" t="str">
        <f t="shared" si="93"/>
        <v>14, Vire, Réseau de Vire, France continentale, Base Carbone</v>
      </c>
      <c r="G954" s="1055" t="str">
        <f t="shared" si="94"/>
        <v>14, Vire, Réseau de Vire, France continentale, Base Carbone; kgCO2e/kWh</v>
      </c>
      <c r="I954" s="2018" t="s">
        <v>3317</v>
      </c>
      <c r="J954" s="1135" t="s">
        <v>1681</v>
      </c>
      <c r="K954" s="1119" t="s">
        <v>1567</v>
      </c>
      <c r="L954" s="1119" t="s">
        <v>1571</v>
      </c>
      <c r="M954" s="1134">
        <v>0.3</v>
      </c>
      <c r="N954" s="1135"/>
      <c r="O954" s="1135">
        <v>2.7E-2</v>
      </c>
      <c r="P954" s="1048"/>
      <c r="Q954" s="1048"/>
      <c r="R954" s="1048"/>
      <c r="S954" s="1048"/>
      <c r="T954" s="1048"/>
      <c r="U954" s="1102"/>
    </row>
    <row r="955" spans="2:21" hidden="1" outlineLevel="2">
      <c r="B955" s="1050">
        <v>34</v>
      </c>
      <c r="C955" s="2035" t="str">
        <f t="shared" si="91"/>
        <v>15, Arpajon-sur-Cere, Réseau de l’OP HLM Du Cantal, France continentale, Base Carbone</v>
      </c>
      <c r="D955" s="1051">
        <f t="shared" si="92"/>
        <v>34</v>
      </c>
      <c r="E955" s="1051" t="str">
        <f>IF(COUNTIF(E$921:E954,F955)&gt;0,"",F955)</f>
        <v>15, Arpajon-sur-Cere, Réseau de l’OP HLM Du Cantal, France continentale, Base Carbone</v>
      </c>
      <c r="F955" s="1051" t="str">
        <f t="shared" si="93"/>
        <v>15, Arpajon-sur-Cere, Réseau de l’OP HLM Du Cantal, France continentale, Base Carbone</v>
      </c>
      <c r="G955" s="1055" t="str">
        <f t="shared" si="94"/>
        <v>15, Arpajon-sur-Cere, Réseau de l’OP HLM Du Cantal, France continentale, Base Carbone; kgCO2e/kWh</v>
      </c>
      <c r="I955" s="2018" t="s">
        <v>3318</v>
      </c>
      <c r="J955" s="1135" t="s">
        <v>1681</v>
      </c>
      <c r="K955" s="1119" t="s">
        <v>1567</v>
      </c>
      <c r="L955" s="1119" t="s">
        <v>1571</v>
      </c>
      <c r="M955" s="1134">
        <v>0.3</v>
      </c>
      <c r="N955" s="1135"/>
      <c r="O955" s="1135">
        <v>0</v>
      </c>
      <c r="P955" s="1048"/>
      <c r="Q955" s="1048"/>
      <c r="R955" s="1048"/>
      <c r="S955" s="1048"/>
      <c r="T955" s="1048"/>
      <c r="U955" s="1102"/>
    </row>
    <row r="956" spans="2:21" hidden="1" outlineLevel="2">
      <c r="B956" s="1050">
        <v>35</v>
      </c>
      <c r="C956" s="2035" t="str">
        <f t="shared" si="91"/>
        <v>15, Aurillac, Réseau de l’hôpital d’Aurillac, France continentale, Base Carbone</v>
      </c>
      <c r="D956" s="1051">
        <f t="shared" si="92"/>
        <v>35</v>
      </c>
      <c r="E956" s="1051" t="str">
        <f>IF(COUNTIF(E$921:E955,F956)&gt;0,"",F956)</f>
        <v>15, Aurillac, Réseau de l’hôpital d’Aurillac, France continentale, Base Carbone</v>
      </c>
      <c r="F956" s="1051" t="str">
        <f t="shared" si="93"/>
        <v>15, Aurillac, Réseau de l’hôpital d’Aurillac, France continentale, Base Carbone</v>
      </c>
      <c r="G956" s="1055" t="str">
        <f t="shared" si="94"/>
        <v>15, Aurillac, Réseau de l’hôpital d’Aurillac, France continentale, Base Carbone; kgCO2e/kWh</v>
      </c>
      <c r="I956" s="2018" t="s">
        <v>3319</v>
      </c>
      <c r="J956" s="1135" t="s">
        <v>1681</v>
      </c>
      <c r="K956" s="1119" t="s">
        <v>1567</v>
      </c>
      <c r="L956" s="1119" t="s">
        <v>1571</v>
      </c>
      <c r="M956" s="1134">
        <v>0.3</v>
      </c>
      <c r="N956" s="1135"/>
      <c r="O956" s="1135">
        <v>2E-3</v>
      </c>
      <c r="P956" s="1048"/>
      <c r="Q956" s="1048"/>
      <c r="R956" s="1048"/>
      <c r="S956" s="1048"/>
      <c r="T956" s="1048"/>
      <c r="U956" s="1102"/>
    </row>
    <row r="957" spans="2:21" hidden="1" outlineLevel="2">
      <c r="B957" s="1050">
        <v>36</v>
      </c>
      <c r="C957" s="2035" t="str">
        <f t="shared" si="91"/>
        <v>15, Riom-ès-Montagnes, Réseau de Riom-ès-Montagnes, France continentale, Base Carbone</v>
      </c>
      <c r="D957" s="1051">
        <f t="shared" si="92"/>
        <v>36</v>
      </c>
      <c r="E957" s="1051" t="str">
        <f>IF(COUNTIF(E$921:E956,F957)&gt;0,"",F957)</f>
        <v>15, Riom-ès-Montagnes, Réseau de Riom-ès-Montagnes, France continentale, Base Carbone</v>
      </c>
      <c r="F957" s="1051" t="str">
        <f t="shared" si="93"/>
        <v>15, Riom-ès-Montagnes, Réseau de Riom-ès-Montagnes, France continentale, Base Carbone</v>
      </c>
      <c r="G957" s="1055" t="str">
        <f t="shared" si="94"/>
        <v>15, Riom-ès-Montagnes, Réseau de Riom-ès-Montagnes, France continentale, Base Carbone; kgCO2e/kWh</v>
      </c>
      <c r="I957" s="2018" t="s">
        <v>3320</v>
      </c>
      <c r="J957" s="1135" t="s">
        <v>1681</v>
      </c>
      <c r="K957" s="1119" t="s">
        <v>1567</v>
      </c>
      <c r="L957" s="1119" t="s">
        <v>1571</v>
      </c>
      <c r="M957" s="1134">
        <v>0.3</v>
      </c>
      <c r="N957" s="1135"/>
      <c r="O957" s="1135">
        <v>3.3000000000000002E-2</v>
      </c>
      <c r="P957" s="1048"/>
      <c r="Q957" s="1048"/>
      <c r="R957" s="1048"/>
      <c r="S957" s="1048"/>
      <c r="T957" s="1048"/>
      <c r="U957" s="1102"/>
    </row>
    <row r="958" spans="2:21" hidden="1" outlineLevel="2">
      <c r="B958" s="1050">
        <v>37</v>
      </c>
      <c r="C958" s="2035" t="str">
        <f t="shared" si="91"/>
        <v>15, Saint-Flour, Réseau de chaleur bois du Volzac, France continentale, Base Carbone</v>
      </c>
      <c r="D958" s="1051">
        <f t="shared" si="92"/>
        <v>37</v>
      </c>
      <c r="E958" s="1051" t="str">
        <f>IF(COUNTIF(E$921:E957,F958)&gt;0,"",F958)</f>
        <v>15, Saint-Flour, Réseau de chaleur bois du Volzac, France continentale, Base Carbone</v>
      </c>
      <c r="F958" s="1051" t="str">
        <f t="shared" si="93"/>
        <v>15, Saint-Flour, Réseau de chaleur bois du Volzac, France continentale, Base Carbone</v>
      </c>
      <c r="G958" s="1055" t="str">
        <f t="shared" si="94"/>
        <v>15, Saint-Flour, Réseau de chaleur bois du Volzac, France continentale, Base Carbone; kgCO2e/kWh</v>
      </c>
      <c r="I958" s="2018" t="s">
        <v>2870</v>
      </c>
      <c r="J958" s="1135" t="s">
        <v>1681</v>
      </c>
      <c r="K958" s="1119" t="s">
        <v>1567</v>
      </c>
      <c r="L958" s="1119" t="s">
        <v>1571</v>
      </c>
      <c r="M958" s="1134">
        <v>0.3</v>
      </c>
      <c r="N958" s="1135"/>
      <c r="O958" s="1135">
        <v>7.0000000000000001E-3</v>
      </c>
      <c r="P958" s="1048"/>
      <c r="Q958" s="1048"/>
      <c r="R958" s="1048"/>
      <c r="S958" s="1048"/>
      <c r="T958" s="1048"/>
      <c r="U958" s="1102"/>
    </row>
    <row r="959" spans="2:21" hidden="1" outlineLevel="2">
      <c r="B959" s="1050">
        <v>38</v>
      </c>
      <c r="C959" s="2035" t="str">
        <f t="shared" si="91"/>
        <v>15, Saint-Georges, Réseau de chaleur bois du Crozatier, France continentale, Base Carbone</v>
      </c>
      <c r="D959" s="1051">
        <f t="shared" si="92"/>
        <v>38</v>
      </c>
      <c r="E959" s="1051" t="str">
        <f>IF(COUNTIF(E$921:E958,F959)&gt;0,"",F959)</f>
        <v>15, Saint-Georges, Réseau de chaleur bois du Crozatier, France continentale, Base Carbone</v>
      </c>
      <c r="F959" s="1051" t="str">
        <f t="shared" si="93"/>
        <v>15, Saint-Georges, Réseau de chaleur bois du Crozatier, France continentale, Base Carbone</v>
      </c>
      <c r="G959" s="1055" t="str">
        <f t="shared" si="94"/>
        <v>15, Saint-Georges, Réseau de chaleur bois du Crozatier, France continentale, Base Carbone; kgCO2e/kWh</v>
      </c>
      <c r="I959" s="2018" t="s">
        <v>2871</v>
      </c>
      <c r="J959" s="1135" t="s">
        <v>1681</v>
      </c>
      <c r="K959" s="1119" t="s">
        <v>1567</v>
      </c>
      <c r="L959" s="1119" t="s">
        <v>1571</v>
      </c>
      <c r="M959" s="1134">
        <v>0.3</v>
      </c>
      <c r="N959" s="1135"/>
      <c r="O959" s="1135">
        <v>5.0000000000000001E-3</v>
      </c>
      <c r="P959" s="1048"/>
      <c r="Q959" s="1048"/>
      <c r="R959" s="1048"/>
      <c r="S959" s="1048"/>
      <c r="T959" s="1048"/>
      <c r="U959" s="1102"/>
    </row>
    <row r="960" spans="2:21" hidden="1" outlineLevel="2">
      <c r="B960" s="1050">
        <v>39</v>
      </c>
      <c r="C960" s="2035" t="str">
        <f t="shared" si="91"/>
        <v>16, Champagne-Mouton, Réseau de Champagne-Mouton, France continentale, Base Carbone</v>
      </c>
      <c r="D960" s="1051">
        <f t="shared" si="92"/>
        <v>39</v>
      </c>
      <c r="E960" s="1051" t="str">
        <f>IF(COUNTIF(E$921:E959,F960)&gt;0,"",F960)</f>
        <v>16, Champagne-Mouton, Réseau de Champagne-Mouton, France continentale, Base Carbone</v>
      </c>
      <c r="F960" s="1051" t="str">
        <f t="shared" si="93"/>
        <v>16, Champagne-Mouton, Réseau de Champagne-Mouton, France continentale, Base Carbone</v>
      </c>
      <c r="G960" s="1055" t="str">
        <f t="shared" si="94"/>
        <v>16, Champagne-Mouton, Réseau de Champagne-Mouton, France continentale, Base Carbone; kgCO2e/kWh</v>
      </c>
      <c r="I960" s="2018" t="s">
        <v>3321</v>
      </c>
      <c r="J960" s="1135" t="s">
        <v>1681</v>
      </c>
      <c r="K960" s="1119" t="s">
        <v>1567</v>
      </c>
      <c r="L960" s="1119" t="s">
        <v>1571</v>
      </c>
      <c r="M960" s="1134">
        <v>0.3</v>
      </c>
      <c r="N960" s="1135"/>
      <c r="O960" s="1135">
        <v>0</v>
      </c>
      <c r="P960" s="1048"/>
      <c r="Q960" s="1048"/>
      <c r="R960" s="1048"/>
      <c r="S960" s="1048"/>
      <c r="T960" s="1048"/>
      <c r="U960" s="1102"/>
    </row>
    <row r="961" spans="2:21" hidden="1" outlineLevel="2">
      <c r="B961" s="1050">
        <v>40</v>
      </c>
      <c r="C961" s="2035" t="str">
        <f t="shared" si="91"/>
        <v>16, Montemboeuf, Réseau de Montemboeuf, France continentale, Base Carbone</v>
      </c>
      <c r="D961" s="1051">
        <f t="shared" si="92"/>
        <v>40</v>
      </c>
      <c r="E961" s="1051" t="str">
        <f>IF(COUNTIF(E$921:E960,F961)&gt;0,"",F961)</f>
        <v>16, Montemboeuf, Réseau de Montemboeuf, France continentale, Base Carbone</v>
      </c>
      <c r="F961" s="1051" t="str">
        <f t="shared" si="93"/>
        <v>16, Montemboeuf, Réseau de Montemboeuf, France continentale, Base Carbone</v>
      </c>
      <c r="G961" s="1055" t="str">
        <f t="shared" si="94"/>
        <v>16, Montemboeuf, Réseau de Montemboeuf, France continentale, Base Carbone; kgCO2e/kWh</v>
      </c>
      <c r="I961" s="2018" t="s">
        <v>2872</v>
      </c>
      <c r="J961" s="1135" t="s">
        <v>1681</v>
      </c>
      <c r="K961" s="1119" t="s">
        <v>1567</v>
      </c>
      <c r="L961" s="1119" t="s">
        <v>1571</v>
      </c>
      <c r="M961" s="1134">
        <v>0.3</v>
      </c>
      <c r="N961" s="1135"/>
      <c r="O961" s="1135">
        <v>0</v>
      </c>
      <c r="P961" s="1048"/>
      <c r="Q961" s="1048"/>
      <c r="R961" s="1048"/>
      <c r="S961" s="1048"/>
      <c r="T961" s="1048"/>
      <c r="U961" s="1102"/>
    </row>
    <row r="962" spans="2:21" hidden="1" outlineLevel="2">
      <c r="B962" s="1050">
        <v>41</v>
      </c>
      <c r="C962" s="2035" t="str">
        <f t="shared" si="91"/>
        <v>16, Soyaux, Réseau Champ de manoeuvre, France continentale, Base Carbone</v>
      </c>
      <c r="D962" s="1051">
        <f t="shared" si="92"/>
        <v>41</v>
      </c>
      <c r="E962" s="1051" t="str">
        <f>IF(COUNTIF(E$921:E961,F962)&gt;0,"",F962)</f>
        <v>16, Soyaux, Réseau Champ de manoeuvre, France continentale, Base Carbone</v>
      </c>
      <c r="F962" s="1051" t="str">
        <f t="shared" si="93"/>
        <v>16, Soyaux, Réseau Champ de manoeuvre, France continentale, Base Carbone</v>
      </c>
      <c r="G962" s="1055" t="str">
        <f t="shared" si="94"/>
        <v>16, Soyaux, Réseau Champ de manoeuvre, France continentale, Base Carbone; kgCO2e/kWh</v>
      </c>
      <c r="I962" s="2018" t="s">
        <v>2873</v>
      </c>
      <c r="J962" s="1135" t="s">
        <v>1681</v>
      </c>
      <c r="K962" s="1119" t="s">
        <v>1567</v>
      </c>
      <c r="L962" s="1119" t="s">
        <v>1571</v>
      </c>
      <c r="M962" s="1134">
        <v>0.3</v>
      </c>
      <c r="N962" s="1135"/>
      <c r="O962" s="1135">
        <v>0.32500000000000001</v>
      </c>
      <c r="P962" s="1048"/>
      <c r="Q962" s="1048"/>
      <c r="R962" s="1048"/>
      <c r="S962" s="1048"/>
      <c r="T962" s="1048"/>
      <c r="U962" s="1102"/>
    </row>
    <row r="963" spans="2:21" hidden="1" outlineLevel="2">
      <c r="B963" s="1050">
        <v>42</v>
      </c>
      <c r="C963" s="2035" t="str">
        <f t="shared" si="91"/>
        <v>17, Aytre, Réseau de Aytre, France continentale, Base Carbone</v>
      </c>
      <c r="D963" s="1051">
        <f t="shared" si="92"/>
        <v>42</v>
      </c>
      <c r="E963" s="1051" t="str">
        <f>IF(COUNTIF(E$921:E962,F963)&gt;0,"",F963)</f>
        <v>17, Aytre, Réseau de Aytre, France continentale, Base Carbone</v>
      </c>
      <c r="F963" s="1051" t="str">
        <f t="shared" si="93"/>
        <v>17, Aytre, Réseau de Aytre, France continentale, Base Carbone</v>
      </c>
      <c r="G963" s="1055" t="str">
        <f t="shared" si="94"/>
        <v>17, Aytre, Réseau de Aytre, France continentale, Base Carbone; kgCO2e/kWh</v>
      </c>
      <c r="I963" s="2018" t="s">
        <v>2874</v>
      </c>
      <c r="J963" s="1135" t="s">
        <v>1681</v>
      </c>
      <c r="K963" s="1119" t="s">
        <v>1567</v>
      </c>
      <c r="L963" s="1119" t="s">
        <v>1571</v>
      </c>
      <c r="M963" s="1134">
        <v>0.3</v>
      </c>
      <c r="N963" s="1135"/>
      <c r="O963" s="1135">
        <v>8.0000000000000002E-3</v>
      </c>
      <c r="P963" s="1048"/>
      <c r="Q963" s="1048"/>
      <c r="R963" s="1048"/>
      <c r="S963" s="1048"/>
      <c r="T963" s="1048"/>
      <c r="U963" s="1102"/>
    </row>
    <row r="964" spans="2:21" hidden="1" outlineLevel="2">
      <c r="B964" s="1050">
        <v>43</v>
      </c>
      <c r="C964" s="2035" t="str">
        <f t="shared" si="91"/>
        <v>17, Gémozac, Réseau de Gémozac, France continentale, Base Carbone</v>
      </c>
      <c r="D964" s="1051">
        <f t="shared" si="92"/>
        <v>43</v>
      </c>
      <c r="E964" s="1051" t="str">
        <f>IF(COUNTIF(E$921:E963,F964)&gt;0,"",F964)</f>
        <v>17, Gémozac, Réseau de Gémozac, France continentale, Base Carbone</v>
      </c>
      <c r="F964" s="1051" t="str">
        <f t="shared" si="93"/>
        <v>17, Gémozac, Réseau de Gémozac, France continentale, Base Carbone</v>
      </c>
      <c r="G964" s="1055" t="str">
        <f t="shared" si="94"/>
        <v>17, Gémozac, Réseau de Gémozac, France continentale, Base Carbone; kgCO2e/kWh</v>
      </c>
      <c r="I964" s="2018" t="s">
        <v>3322</v>
      </c>
      <c r="J964" s="1135" t="s">
        <v>1681</v>
      </c>
      <c r="K964" s="1119" t="s">
        <v>1567</v>
      </c>
      <c r="L964" s="1119" t="s">
        <v>1571</v>
      </c>
      <c r="M964" s="1134">
        <v>0.3</v>
      </c>
      <c r="N964" s="1135"/>
      <c r="O964" s="1135">
        <v>1.9E-2</v>
      </c>
      <c r="P964" s="1048"/>
      <c r="Q964" s="1048"/>
      <c r="R964" s="1048"/>
      <c r="S964" s="1048"/>
      <c r="T964" s="1048"/>
      <c r="U964" s="1102"/>
    </row>
    <row r="965" spans="2:21" hidden="1" outlineLevel="2">
      <c r="B965" s="1050">
        <v>44</v>
      </c>
      <c r="C965" s="2035" t="str">
        <f t="shared" si="91"/>
        <v>17, Jonzac, Réseau de Jonzac, France continentale, Base Carbone</v>
      </c>
      <c r="D965" s="1051">
        <f t="shared" si="92"/>
        <v>44</v>
      </c>
      <c r="E965" s="1051" t="str">
        <f>IF(COUNTIF(E$921:E964,F965)&gt;0,"",F965)</f>
        <v>17, Jonzac, Réseau de Jonzac, France continentale, Base Carbone</v>
      </c>
      <c r="F965" s="1051" t="str">
        <f t="shared" si="93"/>
        <v>17, Jonzac, Réseau de Jonzac, France continentale, Base Carbone</v>
      </c>
      <c r="G965" s="1055" t="str">
        <f t="shared" si="94"/>
        <v>17, Jonzac, Réseau de Jonzac, France continentale, Base Carbone; kgCO2e/kWh</v>
      </c>
      <c r="I965" s="2018" t="s">
        <v>914</v>
      </c>
      <c r="J965" s="1135" t="s">
        <v>1681</v>
      </c>
      <c r="K965" s="1119" t="s">
        <v>1567</v>
      </c>
      <c r="L965" s="1119" t="s">
        <v>1571</v>
      </c>
      <c r="M965" s="1134">
        <v>0.3</v>
      </c>
      <c r="N965" s="1135"/>
      <c r="O965" s="1135">
        <v>2.9000000000000001E-2</v>
      </c>
      <c r="P965" s="1048"/>
      <c r="Q965" s="1048"/>
      <c r="R965" s="1048"/>
      <c r="S965" s="1048"/>
      <c r="T965" s="1048"/>
      <c r="U965" s="1102"/>
    </row>
    <row r="966" spans="2:21" hidden="1" outlineLevel="2">
      <c r="B966" s="1050">
        <v>45</v>
      </c>
      <c r="C966" s="2035" t="str">
        <f t="shared" si="91"/>
        <v>17, La Rochelle, Pont Neuf Mireuil Energie, France continentale, Base Carbone</v>
      </c>
      <c r="D966" s="1051">
        <f t="shared" si="92"/>
        <v>45</v>
      </c>
      <c r="E966" s="1051" t="str">
        <f>IF(COUNTIF(E$921:E965,F966)&gt;0,"",F966)</f>
        <v>17, La Rochelle, Pont Neuf Mireuil Energie, France continentale, Base Carbone</v>
      </c>
      <c r="F966" s="1051" t="str">
        <f t="shared" si="93"/>
        <v>17, La Rochelle, Pont Neuf Mireuil Energie, France continentale, Base Carbone</v>
      </c>
      <c r="G966" s="1055" t="str">
        <f t="shared" si="94"/>
        <v>17, La Rochelle, Pont Neuf Mireuil Energie, France continentale, Base Carbone; kgCO2e/kWh</v>
      </c>
      <c r="I966" s="2018" t="s">
        <v>3323</v>
      </c>
      <c r="J966" s="1135" t="s">
        <v>1681</v>
      </c>
      <c r="K966" s="1119" t="s">
        <v>1567</v>
      </c>
      <c r="L966" s="1119" t="s">
        <v>1571</v>
      </c>
      <c r="M966" s="1134">
        <v>0.3</v>
      </c>
      <c r="N966" s="1135"/>
      <c r="O966" s="1135">
        <v>1.9E-2</v>
      </c>
      <c r="P966" s="1048"/>
      <c r="Q966" s="1048"/>
      <c r="R966" s="1048"/>
      <c r="S966" s="1048"/>
      <c r="T966" s="1048"/>
      <c r="U966" s="1102"/>
    </row>
    <row r="967" spans="2:21" hidden="1" outlineLevel="2">
      <c r="B967" s="1050">
        <v>46</v>
      </c>
      <c r="C967" s="2035" t="str">
        <f t="shared" si="91"/>
        <v>17, La Rochelle, Villeneuve les Salines, France continentale, Base Carbone</v>
      </c>
      <c r="D967" s="1051">
        <f t="shared" si="92"/>
        <v>46</v>
      </c>
      <c r="E967" s="1051" t="str">
        <f>IF(COUNTIF(E$921:E966,F967)&gt;0,"",F967)</f>
        <v>17, La Rochelle, Villeneuve les Salines, France continentale, Base Carbone</v>
      </c>
      <c r="F967" s="1051" t="str">
        <f t="shared" si="93"/>
        <v>17, La Rochelle, Villeneuve les Salines, France continentale, Base Carbone</v>
      </c>
      <c r="G967" s="1055" t="str">
        <f t="shared" si="94"/>
        <v>17, La Rochelle, Villeneuve les Salines, France continentale, Base Carbone; kgCO2e/kWh</v>
      </c>
      <c r="I967" s="2018" t="s">
        <v>2875</v>
      </c>
      <c r="J967" s="1135" t="s">
        <v>1681</v>
      </c>
      <c r="K967" s="1119" t="s">
        <v>1567</v>
      </c>
      <c r="L967" s="1119" t="s">
        <v>1571</v>
      </c>
      <c r="M967" s="1134">
        <v>0.3</v>
      </c>
      <c r="N967" s="1135"/>
      <c r="O967" s="1135">
        <v>4.3999999999999997E-2</v>
      </c>
      <c r="P967" s="1048"/>
      <c r="Q967" s="1048"/>
      <c r="R967" s="1048"/>
      <c r="S967" s="1048"/>
      <c r="T967" s="1048"/>
      <c r="U967" s="1102"/>
    </row>
    <row r="968" spans="2:21" hidden="1" outlineLevel="2">
      <c r="B968" s="1050">
        <v>47</v>
      </c>
      <c r="C968" s="2035" t="str">
        <f t="shared" si="91"/>
        <v>17, Pons, Réseau de Pons, France continentale, Base Carbone</v>
      </c>
      <c r="D968" s="1051">
        <f t="shared" si="92"/>
        <v>47</v>
      </c>
      <c r="E968" s="1051" t="str">
        <f>IF(COUNTIF(E$921:E967,F968)&gt;0,"",F968)</f>
        <v>17, Pons, Réseau de Pons, France continentale, Base Carbone</v>
      </c>
      <c r="F968" s="1051" t="str">
        <f t="shared" si="93"/>
        <v>17, Pons, Réseau de Pons, France continentale, Base Carbone</v>
      </c>
      <c r="G968" s="1055" t="str">
        <f t="shared" si="94"/>
        <v>17, Pons, Réseau de Pons, France continentale, Base Carbone; kgCO2e/kWh</v>
      </c>
      <c r="I968" s="2018" t="s">
        <v>915</v>
      </c>
      <c r="J968" s="1135" t="s">
        <v>1681</v>
      </c>
      <c r="K968" s="1119" t="s">
        <v>1567</v>
      </c>
      <c r="L968" s="1119" t="s">
        <v>1571</v>
      </c>
      <c r="M968" s="1134">
        <v>0.3</v>
      </c>
      <c r="N968" s="1135"/>
      <c r="O968" s="1135">
        <v>7.1999999999999995E-2</v>
      </c>
      <c r="P968" s="1048"/>
      <c r="Q968" s="1048"/>
      <c r="R968" s="1048"/>
      <c r="S968" s="1048"/>
      <c r="T968" s="1048"/>
      <c r="U968" s="1102"/>
    </row>
    <row r="969" spans="2:21" hidden="1" outlineLevel="2">
      <c r="B969" s="1050">
        <v>48</v>
      </c>
      <c r="C969" s="2035" t="str">
        <f t="shared" si="91"/>
        <v>18, Asnières-les-Bourges, Chancellerie Gibjoncs-ZUP de Bourges, France continentale, Base Carbone</v>
      </c>
      <c r="D969" s="1051">
        <f t="shared" si="92"/>
        <v>48</v>
      </c>
      <c r="E969" s="1051" t="str">
        <f>IF(COUNTIF(E$921:E968,F969)&gt;0,"",F969)</f>
        <v>18, Asnières-les-Bourges, Chancellerie Gibjoncs-ZUP de Bourges, France continentale, Base Carbone</v>
      </c>
      <c r="F969" s="1051" t="str">
        <f t="shared" si="93"/>
        <v>18, Asnières-les-Bourges, Chancellerie Gibjoncs-ZUP de Bourges, France continentale, Base Carbone</v>
      </c>
      <c r="G969" s="1055" t="str">
        <f t="shared" si="94"/>
        <v>18, Asnières-les-Bourges, Chancellerie Gibjoncs-ZUP de Bourges, France continentale, Base Carbone; kgCO2e/kWh</v>
      </c>
      <c r="I969" s="2018" t="s">
        <v>3324</v>
      </c>
      <c r="J969" s="1135" t="s">
        <v>1681</v>
      </c>
      <c r="K969" s="1119" t="s">
        <v>1567</v>
      </c>
      <c r="L969" s="1119" t="s">
        <v>1571</v>
      </c>
      <c r="M969" s="1134">
        <v>0.3</v>
      </c>
      <c r="N969" s="1135"/>
      <c r="O969" s="1135">
        <v>2.3E-2</v>
      </c>
      <c r="P969" s="1048"/>
      <c r="Q969" s="1048"/>
      <c r="R969" s="1048"/>
      <c r="S969" s="1048"/>
      <c r="T969" s="1048"/>
      <c r="U969" s="1102"/>
    </row>
    <row r="970" spans="2:21" hidden="1" outlineLevel="2">
      <c r="B970" s="1050">
        <v>49</v>
      </c>
      <c r="C970" s="2035" t="str">
        <f t="shared" si="91"/>
        <v>18, Vierzon, Clos du Roi-Tunnel Château, France continentale, Base Carbone</v>
      </c>
      <c r="D970" s="1051">
        <f t="shared" si="92"/>
        <v>49</v>
      </c>
      <c r="E970" s="1051" t="str">
        <f>IF(COUNTIF(E$921:E969,F970)&gt;0,"",F970)</f>
        <v>18, Vierzon, Clos du Roi-Tunnel Château, France continentale, Base Carbone</v>
      </c>
      <c r="F970" s="1051" t="str">
        <f t="shared" si="93"/>
        <v>18, Vierzon, Clos du Roi-Tunnel Château, France continentale, Base Carbone</v>
      </c>
      <c r="G970" s="1055" t="str">
        <f t="shared" si="94"/>
        <v>18, Vierzon, Clos du Roi-Tunnel Château, France continentale, Base Carbone; kgCO2e/kWh</v>
      </c>
      <c r="I970" s="2018" t="s">
        <v>3325</v>
      </c>
      <c r="J970" s="1135" t="s">
        <v>1681</v>
      </c>
      <c r="K970" s="1119" t="s">
        <v>1567</v>
      </c>
      <c r="L970" s="1119" t="s">
        <v>1571</v>
      </c>
      <c r="M970" s="1134">
        <v>0.3</v>
      </c>
      <c r="N970" s="1135"/>
      <c r="O970" s="1135">
        <v>0.19</v>
      </c>
      <c r="P970" s="1048"/>
      <c r="Q970" s="1048"/>
      <c r="R970" s="1048"/>
      <c r="S970" s="1048"/>
      <c r="T970" s="1048"/>
      <c r="U970" s="1102"/>
    </row>
    <row r="971" spans="2:21" hidden="1" outlineLevel="2">
      <c r="B971" s="1050">
        <v>50</v>
      </c>
      <c r="C971" s="2035" t="str">
        <f t="shared" si="91"/>
        <v>19, Egletons, Egletons Bois Energie, France continentale, Base Carbone</v>
      </c>
      <c r="D971" s="1051">
        <f t="shared" si="92"/>
        <v>50</v>
      </c>
      <c r="E971" s="1051" t="str">
        <f>IF(COUNTIF(E$921:E970,F971)&gt;0,"",F971)</f>
        <v>19, Egletons, Egletons Bois Energie, France continentale, Base Carbone</v>
      </c>
      <c r="F971" s="1051" t="str">
        <f t="shared" si="93"/>
        <v>19, Egletons, Egletons Bois Energie, France continentale, Base Carbone</v>
      </c>
      <c r="G971" s="1055" t="str">
        <f t="shared" si="94"/>
        <v>19, Egletons, Egletons Bois Energie, France continentale, Base Carbone; kgCO2e/kWh</v>
      </c>
      <c r="I971" s="2018" t="s">
        <v>2876</v>
      </c>
      <c r="J971" s="1135" t="s">
        <v>1681</v>
      </c>
      <c r="K971" s="1119" t="s">
        <v>1567</v>
      </c>
      <c r="L971" s="1119" t="s">
        <v>1571</v>
      </c>
      <c r="M971" s="1134">
        <v>0.3</v>
      </c>
      <c r="N971" s="1135"/>
      <c r="O971" s="1135">
        <v>0.02</v>
      </c>
      <c r="P971" s="1048"/>
      <c r="Q971" s="1048"/>
      <c r="R971" s="1048"/>
      <c r="S971" s="1048"/>
      <c r="T971" s="1048"/>
      <c r="U971" s="1102"/>
    </row>
    <row r="972" spans="2:21" hidden="1" outlineLevel="2">
      <c r="B972" s="1050">
        <v>51</v>
      </c>
      <c r="C972" s="2035" t="str">
        <f t="shared" si="91"/>
        <v>19, Eyrein, Borg Warner, France continentale, Base Carbone</v>
      </c>
      <c r="D972" s="1051">
        <f t="shared" si="92"/>
        <v>51</v>
      </c>
      <c r="E972" s="1051" t="str">
        <f>IF(COUNTIF(E$921:E971,F972)&gt;0,"",F972)</f>
        <v>19, Eyrein, Borg Warner, France continentale, Base Carbone</v>
      </c>
      <c r="F972" s="1051" t="str">
        <f t="shared" si="93"/>
        <v>19, Eyrein, Borg Warner, France continentale, Base Carbone</v>
      </c>
      <c r="G972" s="1055" t="str">
        <f t="shared" si="94"/>
        <v>19, Eyrein, Borg Warner, France continentale, Base Carbone; kgCO2e/kWh</v>
      </c>
      <c r="I972" s="2018" t="s">
        <v>3326</v>
      </c>
      <c r="J972" s="1135" t="s">
        <v>1681</v>
      </c>
      <c r="K972" s="1119" t="s">
        <v>1567</v>
      </c>
      <c r="L972" s="1119" t="s">
        <v>1571</v>
      </c>
      <c r="M972" s="1134">
        <v>0.3</v>
      </c>
      <c r="N972" s="1135"/>
      <c r="O972" s="1135">
        <v>0.28399999999999997</v>
      </c>
      <c r="P972" s="1048"/>
      <c r="Q972" s="1048"/>
      <c r="R972" s="1048"/>
      <c r="S972" s="1048"/>
      <c r="T972" s="1048"/>
      <c r="U972" s="1102"/>
    </row>
    <row r="973" spans="2:21" hidden="1" outlineLevel="2">
      <c r="B973" s="1050">
        <v>52</v>
      </c>
      <c r="C973" s="2035" t="str">
        <f t="shared" si="91"/>
        <v>19, Saint-Pantaléon-de-Larche, Centre de valorisation énergétique Brive, France continentale, Base Carbone</v>
      </c>
      <c r="D973" s="1051">
        <f t="shared" si="92"/>
        <v>52</v>
      </c>
      <c r="E973" s="1051" t="str">
        <f>IF(COUNTIF(E$921:E972,F973)&gt;0,"",F973)</f>
        <v>19, Saint-Pantaléon-de-Larche, Centre de valorisation énergétique Brive, France continentale, Base Carbone</v>
      </c>
      <c r="F973" s="1051" t="str">
        <f t="shared" si="93"/>
        <v>19, Saint-Pantaléon-de-Larche, Centre de valorisation énergétique Brive, France continentale, Base Carbone</v>
      </c>
      <c r="G973" s="1055" t="str">
        <f t="shared" si="94"/>
        <v>19, Saint-Pantaléon-de-Larche, Centre de valorisation énergétique Brive, France continentale, Base Carbone; kgCO2e/kWh</v>
      </c>
      <c r="I973" s="2018" t="s">
        <v>3327</v>
      </c>
      <c r="J973" s="1135" t="s">
        <v>1681</v>
      </c>
      <c r="K973" s="1119" t="s">
        <v>1567</v>
      </c>
      <c r="L973" s="1119" t="s">
        <v>1571</v>
      </c>
      <c r="M973" s="1134">
        <v>0.3</v>
      </c>
      <c r="N973" s="1135"/>
      <c r="O973" s="1135">
        <v>4.0000000000000001E-3</v>
      </c>
      <c r="P973" s="1048"/>
      <c r="Q973" s="1048"/>
      <c r="R973" s="1048"/>
      <c r="S973" s="1048"/>
      <c r="T973" s="1048"/>
      <c r="U973" s="1102"/>
    </row>
    <row r="974" spans="2:21" hidden="1" outlineLevel="2">
      <c r="B974" s="1050">
        <v>53</v>
      </c>
      <c r="C974" s="2035" t="str">
        <f t="shared" si="91"/>
        <v>19, Servières-le-Château, Réseau de Servières-le-Château, France continentale, Base Carbone</v>
      </c>
      <c r="D974" s="1051">
        <f t="shared" si="92"/>
        <v>53</v>
      </c>
      <c r="E974" s="1051" t="str">
        <f>IF(COUNTIF(E$921:E973,F974)&gt;0,"",F974)</f>
        <v>19, Servières-le-Château, Réseau de Servières-le-Château, France continentale, Base Carbone</v>
      </c>
      <c r="F974" s="1051" t="str">
        <f t="shared" si="93"/>
        <v>19, Servières-le-Château, Réseau de Servières-le-Château, France continentale, Base Carbone</v>
      </c>
      <c r="G974" s="1055" t="str">
        <f t="shared" si="94"/>
        <v>19, Servières-le-Château, Réseau de Servières-le-Château, France continentale, Base Carbone; kgCO2e/kWh</v>
      </c>
      <c r="I974" s="2018" t="s">
        <v>3328</v>
      </c>
      <c r="J974" s="1135" t="s">
        <v>1681</v>
      </c>
      <c r="K974" s="1119" t="s">
        <v>1567</v>
      </c>
      <c r="L974" s="1119" t="s">
        <v>1571</v>
      </c>
      <c r="M974" s="1134">
        <v>0.3</v>
      </c>
      <c r="N974" s="1135"/>
      <c r="O974" s="1135">
        <v>0</v>
      </c>
      <c r="P974" s="1048"/>
      <c r="Q974" s="1048"/>
      <c r="R974" s="1048"/>
      <c r="S974" s="1048"/>
      <c r="T974" s="1048"/>
      <c r="U974" s="1102"/>
    </row>
    <row r="975" spans="2:21" hidden="1" outlineLevel="2">
      <c r="B975" s="1050">
        <v>54</v>
      </c>
      <c r="C975" s="2035" t="str">
        <f t="shared" si="91"/>
        <v>19, Sornac, Réseau de Sornac, France continentale, Base Carbone</v>
      </c>
      <c r="D975" s="1051">
        <f t="shared" si="92"/>
        <v>54</v>
      </c>
      <c r="E975" s="1051" t="str">
        <f>IF(COUNTIF(E$921:E974,F975)&gt;0,"",F975)</f>
        <v>19, Sornac, Réseau de Sornac, France continentale, Base Carbone</v>
      </c>
      <c r="F975" s="1051" t="str">
        <f t="shared" si="93"/>
        <v>19, Sornac, Réseau de Sornac, France continentale, Base Carbone</v>
      </c>
      <c r="G975" s="1055" t="str">
        <f t="shared" si="94"/>
        <v>19, Sornac, Réseau de Sornac, France continentale, Base Carbone; kgCO2e/kWh</v>
      </c>
      <c r="I975" s="2018" t="s">
        <v>2877</v>
      </c>
      <c r="J975" s="1135" t="s">
        <v>1681</v>
      </c>
      <c r="K975" s="1119" t="s">
        <v>1567</v>
      </c>
      <c r="L975" s="1119" t="s">
        <v>1571</v>
      </c>
      <c r="M975" s="1134">
        <v>0.3</v>
      </c>
      <c r="N975" s="1135"/>
      <c r="O975" s="1135">
        <v>4.2000000000000003E-2</v>
      </c>
      <c r="P975" s="1048"/>
      <c r="Q975" s="1048"/>
      <c r="R975" s="1048"/>
      <c r="S975" s="1048"/>
      <c r="T975" s="1048"/>
      <c r="U975" s="1102"/>
    </row>
    <row r="976" spans="2:21" hidden="1" outlineLevel="2">
      <c r="B976" s="1050">
        <v>55</v>
      </c>
      <c r="C976" s="2035" t="str">
        <f t="shared" si="91"/>
        <v>2, Barenton-Bugny, Réseau de Laon, France continentale, Base Carbone</v>
      </c>
      <c r="D976" s="1051">
        <f t="shared" si="92"/>
        <v>55</v>
      </c>
      <c r="E976" s="1051" t="str">
        <f>IF(COUNTIF(E$921:E975,F976)&gt;0,"",F976)</f>
        <v>2, Barenton-Bugny, Réseau de Laon, France continentale, Base Carbone</v>
      </c>
      <c r="F976" s="1051" t="str">
        <f t="shared" si="93"/>
        <v>2, Barenton-Bugny, Réseau de Laon, France continentale, Base Carbone</v>
      </c>
      <c r="G976" s="1055" t="str">
        <f t="shared" si="94"/>
        <v>2, Barenton-Bugny, Réseau de Laon, France continentale, Base Carbone; kgCO2e/kWh</v>
      </c>
      <c r="I976" s="2018" t="s">
        <v>3329</v>
      </c>
      <c r="J976" s="1135" t="s">
        <v>1681</v>
      </c>
      <c r="K976" s="1119" t="s">
        <v>1567</v>
      </c>
      <c r="L976" s="1119" t="s">
        <v>1571</v>
      </c>
      <c r="M976" s="1134">
        <v>0.3</v>
      </c>
      <c r="N976" s="1135"/>
      <c r="O976" s="1135">
        <v>1.2999999999999999E-2</v>
      </c>
      <c r="P976" s="1048"/>
      <c r="Q976" s="1048"/>
      <c r="R976" s="1048"/>
      <c r="S976" s="1048"/>
      <c r="T976" s="1048"/>
      <c r="U976" s="1102"/>
    </row>
    <row r="977" spans="2:21" hidden="1" outlineLevel="2">
      <c r="B977" s="1050">
        <v>56</v>
      </c>
      <c r="C977" s="2035" t="str">
        <f t="shared" si="91"/>
        <v>2, Château-Thierry, Réseau de Château-Thierry, France continentale, Base Carbone</v>
      </c>
      <c r="D977" s="1051">
        <f t="shared" si="92"/>
        <v>56</v>
      </c>
      <c r="E977" s="1051" t="str">
        <f>IF(COUNTIF(E$921:E976,F977)&gt;0,"",F977)</f>
        <v>2, Château-Thierry, Réseau de Château-Thierry, France continentale, Base Carbone</v>
      </c>
      <c r="F977" s="1051" t="str">
        <f t="shared" si="93"/>
        <v>2, Château-Thierry, Réseau de Château-Thierry, France continentale, Base Carbone</v>
      </c>
      <c r="G977" s="1055" t="str">
        <f t="shared" si="94"/>
        <v>2, Château-Thierry, Réseau de Château-Thierry, France continentale, Base Carbone; kgCO2e/kWh</v>
      </c>
      <c r="I977" s="2018" t="s">
        <v>3330</v>
      </c>
      <c r="J977" s="1135" t="s">
        <v>1681</v>
      </c>
      <c r="K977" s="1119" t="s">
        <v>1567</v>
      </c>
      <c r="L977" s="1119" t="s">
        <v>1571</v>
      </c>
      <c r="M977" s="1134">
        <v>0.3</v>
      </c>
      <c r="N977" s="1135"/>
      <c r="O977" s="1135">
        <v>2.5999999999999999E-2</v>
      </c>
      <c r="P977" s="1048"/>
      <c r="Q977" s="1048"/>
      <c r="R977" s="1048"/>
      <c r="S977" s="1048"/>
      <c r="T977" s="1048"/>
      <c r="U977" s="1102"/>
    </row>
    <row r="978" spans="2:21" hidden="1" outlineLevel="2">
      <c r="B978" s="1050">
        <v>57</v>
      </c>
      <c r="C978" s="2035" t="str">
        <f t="shared" si="91"/>
        <v>2, Saint-Quentin, ZUP du Quartier Europe, France continentale, Base Carbone</v>
      </c>
      <c r="D978" s="1051">
        <f t="shared" si="92"/>
        <v>57</v>
      </c>
      <c r="E978" s="1051" t="str">
        <f>IF(COUNTIF(E$921:E977,F978)&gt;0,"",F978)</f>
        <v>2, Saint-Quentin, ZUP du Quartier Europe, France continentale, Base Carbone</v>
      </c>
      <c r="F978" s="1051" t="str">
        <f t="shared" si="93"/>
        <v>2, Saint-Quentin, ZUP du Quartier Europe, France continentale, Base Carbone</v>
      </c>
      <c r="G978" s="1055" t="str">
        <f t="shared" si="94"/>
        <v>2, Saint-Quentin, ZUP du Quartier Europe, France continentale, Base Carbone; kgCO2e/kWh</v>
      </c>
      <c r="I978" s="2018" t="s">
        <v>2878</v>
      </c>
      <c r="J978" s="1135" t="s">
        <v>1681</v>
      </c>
      <c r="K978" s="1119" t="s">
        <v>1567</v>
      </c>
      <c r="L978" s="1119" t="s">
        <v>1571</v>
      </c>
      <c r="M978" s="1134">
        <v>0.3</v>
      </c>
      <c r="N978" s="1135"/>
      <c r="O978" s="1135">
        <v>7.9000000000000001E-2</v>
      </c>
      <c r="P978" s="1048"/>
      <c r="Q978" s="1048"/>
      <c r="R978" s="1048"/>
      <c r="S978" s="1048"/>
      <c r="T978" s="1048"/>
      <c r="U978" s="1102"/>
    </row>
    <row r="979" spans="2:21" hidden="1" outlineLevel="2">
      <c r="B979" s="1050">
        <v>58</v>
      </c>
      <c r="C979" s="2035" t="str">
        <f t="shared" si="91"/>
        <v>2, Soissons, ZUP de Presles, France continentale, Base Carbone</v>
      </c>
      <c r="D979" s="1051">
        <f t="shared" si="92"/>
        <v>58</v>
      </c>
      <c r="E979" s="1051" t="str">
        <f>IF(COUNTIF(E$921:E978,F979)&gt;0,"",F979)</f>
        <v>2, Soissons, ZUP de Presles, France continentale, Base Carbone</v>
      </c>
      <c r="F979" s="1051" t="str">
        <f t="shared" si="93"/>
        <v>2, Soissons, ZUP de Presles, France continentale, Base Carbone</v>
      </c>
      <c r="G979" s="1055" t="str">
        <f t="shared" si="94"/>
        <v>2, Soissons, ZUP de Presles, France continentale, Base Carbone; kgCO2e/kWh</v>
      </c>
      <c r="I979" s="2018" t="s">
        <v>1673</v>
      </c>
      <c r="J979" s="1135" t="s">
        <v>1681</v>
      </c>
      <c r="K979" s="1119" t="s">
        <v>1567</v>
      </c>
      <c r="L979" s="1119" t="s">
        <v>1571</v>
      </c>
      <c r="M979" s="1134">
        <v>0.3</v>
      </c>
      <c r="N979" s="1135"/>
      <c r="O979" s="1135">
        <v>8.5000000000000006E-2</v>
      </c>
      <c r="P979" s="1048"/>
      <c r="Q979" s="1048"/>
      <c r="R979" s="1048"/>
      <c r="S979" s="1048"/>
      <c r="T979" s="1048"/>
      <c r="U979" s="1102"/>
    </row>
    <row r="980" spans="2:21" hidden="1" outlineLevel="2">
      <c r="B980" s="1050">
        <v>59</v>
      </c>
      <c r="C980" s="2035" t="str">
        <f t="shared" si="91"/>
        <v>2, Urcel, Réseau d’Urcel, France continentale, Base Carbone</v>
      </c>
      <c r="D980" s="1051">
        <f t="shared" si="92"/>
        <v>59</v>
      </c>
      <c r="E980" s="1051" t="str">
        <f>IF(COUNTIF(E$921:E979,F980)&gt;0,"",F980)</f>
        <v>2, Urcel, Réseau d’Urcel, France continentale, Base Carbone</v>
      </c>
      <c r="F980" s="1051" t="str">
        <f t="shared" si="93"/>
        <v>2, Urcel, Réseau d’Urcel, France continentale, Base Carbone</v>
      </c>
      <c r="G980" s="1055" t="str">
        <f t="shared" si="94"/>
        <v>2, Urcel, Réseau d’Urcel, France continentale, Base Carbone; kgCO2e/kWh</v>
      </c>
      <c r="I980" s="2018" t="s">
        <v>3331</v>
      </c>
      <c r="J980" s="1135" t="s">
        <v>1681</v>
      </c>
      <c r="K980" s="1119" t="s">
        <v>1567</v>
      </c>
      <c r="L980" s="1119" t="s">
        <v>1571</v>
      </c>
      <c r="M980" s="1134">
        <v>0.3</v>
      </c>
      <c r="N980" s="1135"/>
      <c r="O980" s="1135">
        <v>3.7999999999999999E-2</v>
      </c>
      <c r="P980" s="1048"/>
      <c r="Q980" s="1048"/>
      <c r="R980" s="1048"/>
      <c r="S980" s="1048"/>
      <c r="T980" s="1048"/>
      <c r="U980" s="1102"/>
    </row>
    <row r="981" spans="2:21" hidden="1" outlineLevel="2">
      <c r="B981" s="1050">
        <v>60</v>
      </c>
      <c r="C981" s="2035" t="str">
        <f t="shared" si="91"/>
        <v>20, Corte, Réseau de Corte, France continentale, Base Carbone</v>
      </c>
      <c r="D981" s="1051">
        <f t="shared" si="92"/>
        <v>60</v>
      </c>
      <c r="E981" s="1051" t="str">
        <f>IF(COUNTIF(E$921:E980,F981)&gt;0,"",F981)</f>
        <v>20, Corte, Réseau de Corte, France continentale, Base Carbone</v>
      </c>
      <c r="F981" s="1051" t="str">
        <f t="shared" si="93"/>
        <v>20, Corte, Réseau de Corte, France continentale, Base Carbone</v>
      </c>
      <c r="G981" s="1055" t="str">
        <f t="shared" si="94"/>
        <v>20, Corte, Réseau de Corte, France continentale, Base Carbone; kgCO2e/kWh</v>
      </c>
      <c r="I981" s="2018" t="s">
        <v>916</v>
      </c>
      <c r="J981" s="1135" t="s">
        <v>1681</v>
      </c>
      <c r="K981" s="1119" t="s">
        <v>1567</v>
      </c>
      <c r="L981" s="1119" t="s">
        <v>1571</v>
      </c>
      <c r="M981" s="1134">
        <v>0.3</v>
      </c>
      <c r="N981" s="1135"/>
      <c r="O981" s="1135">
        <v>0.26600000000000001</v>
      </c>
      <c r="P981" s="1048"/>
      <c r="Q981" s="1048"/>
      <c r="R981" s="1048"/>
      <c r="S981" s="1048"/>
      <c r="T981" s="1048"/>
      <c r="U981" s="1102"/>
    </row>
    <row r="982" spans="2:21" hidden="1" outlineLevel="2">
      <c r="B982" s="1050">
        <v>61</v>
      </c>
      <c r="C982" s="2035" t="str">
        <f t="shared" si="91"/>
        <v>21, Dijon, Dijon Énergies, France continentale, Base Carbone</v>
      </c>
      <c r="D982" s="1051">
        <f t="shared" si="92"/>
        <v>61</v>
      </c>
      <c r="E982" s="1051" t="str">
        <f>IF(COUNTIF(E$921:E981,F982)&gt;0,"",F982)</f>
        <v>21, Dijon, Dijon Énergies, France continentale, Base Carbone</v>
      </c>
      <c r="F982" s="1051" t="str">
        <f t="shared" si="93"/>
        <v>21, Dijon, Dijon Énergies, France continentale, Base Carbone</v>
      </c>
      <c r="G982" s="1055" t="str">
        <f t="shared" si="94"/>
        <v>21, Dijon, Dijon Énergies, France continentale, Base Carbone; kgCO2e/kWh</v>
      </c>
      <c r="I982" s="2018" t="s">
        <v>3332</v>
      </c>
      <c r="J982" s="1135" t="s">
        <v>1681</v>
      </c>
      <c r="K982" s="1119" t="s">
        <v>1567</v>
      </c>
      <c r="L982" s="1119" t="s">
        <v>1571</v>
      </c>
      <c r="M982" s="1134">
        <v>0.3</v>
      </c>
      <c r="N982" s="1135"/>
      <c r="O982" s="1135">
        <v>6.8000000000000005E-2</v>
      </c>
      <c r="P982" s="1048"/>
      <c r="Q982" s="1048"/>
      <c r="R982" s="1048"/>
      <c r="S982" s="1048"/>
      <c r="T982" s="1048"/>
      <c r="U982" s="1102"/>
    </row>
    <row r="983" spans="2:21" hidden="1" outlineLevel="2">
      <c r="B983" s="1050">
        <v>62</v>
      </c>
      <c r="C983" s="2035" t="str">
        <f t="shared" si="91"/>
        <v>21, Dijon, La Fontaine d’Ouche et Chenove, France continentale, Base Carbone</v>
      </c>
      <c r="D983" s="1051">
        <f t="shared" si="92"/>
        <v>62</v>
      </c>
      <c r="E983" s="1051" t="str">
        <f>IF(COUNTIF(E$921:E982,F983)&gt;0,"",F983)</f>
        <v>21, Dijon, La Fontaine d’Ouche et Chenove, France continentale, Base Carbone</v>
      </c>
      <c r="F983" s="1051" t="str">
        <f t="shared" si="93"/>
        <v>21, Dijon, La Fontaine d’Ouche et Chenove, France continentale, Base Carbone</v>
      </c>
      <c r="G983" s="1055" t="str">
        <f t="shared" si="94"/>
        <v>21, Dijon, La Fontaine d’Ouche et Chenove, France continentale, Base Carbone; kgCO2e/kWh</v>
      </c>
      <c r="I983" s="2018" t="s">
        <v>3333</v>
      </c>
      <c r="J983" s="1135" t="s">
        <v>1681</v>
      </c>
      <c r="K983" s="1119" t="s">
        <v>1567</v>
      </c>
      <c r="L983" s="1119" t="s">
        <v>1571</v>
      </c>
      <c r="M983" s="1134">
        <v>0.3</v>
      </c>
      <c r="N983" s="1135"/>
      <c r="O983" s="1135">
        <v>0.161</v>
      </c>
      <c r="P983" s="1048"/>
      <c r="Q983" s="1048"/>
      <c r="R983" s="1048"/>
      <c r="S983" s="1048"/>
      <c r="T983" s="1048"/>
      <c r="U983" s="1102"/>
    </row>
    <row r="984" spans="2:21" hidden="1" outlineLevel="2">
      <c r="B984" s="1050">
        <v>63</v>
      </c>
      <c r="C984" s="2035" t="str">
        <f t="shared" si="91"/>
        <v>21, Dijon, Les Gresilles, France continentale, Base Carbone</v>
      </c>
      <c r="D984" s="1051">
        <f t="shared" si="92"/>
        <v>63</v>
      </c>
      <c r="E984" s="1051" t="str">
        <f>IF(COUNTIF(E$921:E983,F984)&gt;0,"",F984)</f>
        <v>21, Dijon, Les Gresilles, France continentale, Base Carbone</v>
      </c>
      <c r="F984" s="1051" t="str">
        <f t="shared" si="93"/>
        <v>21, Dijon, Les Gresilles, France continentale, Base Carbone</v>
      </c>
      <c r="G984" s="1055" t="str">
        <f t="shared" si="94"/>
        <v>21, Dijon, Les Gresilles, France continentale, Base Carbone; kgCO2e/kWh</v>
      </c>
      <c r="I984" s="2018" t="s">
        <v>2879</v>
      </c>
      <c r="J984" s="1135" t="s">
        <v>1681</v>
      </c>
      <c r="K984" s="1119" t="s">
        <v>1567</v>
      </c>
      <c r="L984" s="1119" t="s">
        <v>1571</v>
      </c>
      <c r="M984" s="1134">
        <v>0.3</v>
      </c>
      <c r="N984" s="1135"/>
      <c r="O984" s="1135">
        <v>7.0000000000000007E-2</v>
      </c>
      <c r="P984" s="1048"/>
      <c r="Q984" s="1048"/>
      <c r="R984" s="1048"/>
      <c r="S984" s="1048"/>
      <c r="T984" s="1048"/>
      <c r="U984" s="1102"/>
    </row>
    <row r="985" spans="2:21" hidden="1" outlineLevel="2">
      <c r="B985" s="1050">
        <v>64</v>
      </c>
      <c r="C985" s="2035" t="str">
        <f t="shared" si="91"/>
        <v>22, Collinée, Réseau de chaleur de Collinée, France continentale, Base Carbone</v>
      </c>
      <c r="D985" s="1051">
        <f t="shared" si="92"/>
        <v>64</v>
      </c>
      <c r="E985" s="1051" t="str">
        <f>IF(COUNTIF(E$921:E984,F985)&gt;0,"",F985)</f>
        <v>22, Collinée, Réseau de chaleur de Collinée, France continentale, Base Carbone</v>
      </c>
      <c r="F985" s="1051" t="str">
        <f t="shared" si="93"/>
        <v>22, Collinée, Réseau de chaleur de Collinée, France continentale, Base Carbone</v>
      </c>
      <c r="G985" s="1055" t="str">
        <f t="shared" si="94"/>
        <v>22, Collinée, Réseau de chaleur de Collinée, France continentale, Base Carbone; kgCO2e/kWh</v>
      </c>
      <c r="I985" s="2018" t="s">
        <v>3334</v>
      </c>
      <c r="J985" s="1135" t="s">
        <v>1681</v>
      </c>
      <c r="K985" s="1119" t="s">
        <v>1567</v>
      </c>
      <c r="L985" s="1119" t="s">
        <v>1571</v>
      </c>
      <c r="M985" s="1134">
        <v>0.3</v>
      </c>
      <c r="N985" s="1135"/>
      <c r="O985" s="1135">
        <v>0</v>
      </c>
      <c r="P985" s="1048"/>
      <c r="Q985" s="1048"/>
      <c r="R985" s="1048"/>
      <c r="S985" s="1048"/>
      <c r="T985" s="1048"/>
      <c r="U985" s="1102"/>
    </row>
    <row r="986" spans="2:21" hidden="1" outlineLevel="2">
      <c r="B986" s="1050">
        <v>65</v>
      </c>
      <c r="C986" s="2035" t="str">
        <f t="shared" ref="C986:C1049" si="95">IF(ISNA(VLOOKUP(B986,$D$922:$E$1582,2,FALSE)),"-",VLOOKUP(B986,$D$922:$E$1582,2,FALSE))</f>
        <v>22, Le Gouray, Réseau de chaleur du Gouray, France continentale, Base Carbone</v>
      </c>
      <c r="D986" s="1051">
        <f t="shared" si="92"/>
        <v>65</v>
      </c>
      <c r="E986" s="1051" t="str">
        <f>IF(COUNTIF(E$921:E985,F986)&gt;0,"",F986)</f>
        <v>22, Le Gouray, Réseau de chaleur du Gouray, France continentale, Base Carbone</v>
      </c>
      <c r="F986" s="1051" t="str">
        <f t="shared" si="93"/>
        <v>22, Le Gouray, Réseau de chaleur du Gouray, France continentale, Base Carbone</v>
      </c>
      <c r="G986" s="1055" t="str">
        <f t="shared" si="94"/>
        <v>22, Le Gouray, Réseau de chaleur du Gouray, France continentale, Base Carbone; kgCO2e/kWh</v>
      </c>
      <c r="I986" s="2018" t="s">
        <v>3335</v>
      </c>
      <c r="J986" s="1135" t="s">
        <v>1681</v>
      </c>
      <c r="K986" s="1119" t="s">
        <v>1567</v>
      </c>
      <c r="L986" s="1119" t="s">
        <v>1571</v>
      </c>
      <c r="M986" s="1134">
        <v>0.3</v>
      </c>
      <c r="N986" s="1135"/>
      <c r="O986" s="1135">
        <v>0</v>
      </c>
      <c r="P986" s="1048"/>
      <c r="Q986" s="1048"/>
      <c r="R986" s="1048"/>
      <c r="S986" s="1048"/>
      <c r="T986" s="1048"/>
      <c r="U986" s="1102"/>
    </row>
    <row r="987" spans="2:21" hidden="1" outlineLevel="2">
      <c r="B987" s="1050">
        <v>66</v>
      </c>
      <c r="C987" s="2035" t="str">
        <f t="shared" si="95"/>
        <v>22, Plessala, Réseau de chaleur de Pessala, France continentale, Base Carbone</v>
      </c>
      <c r="D987" s="1051">
        <f t="shared" ref="D987:D1050" si="96">D986+IF(LEN(E987)=0,0,1)</f>
        <v>66</v>
      </c>
      <c r="E987" s="1051" t="str">
        <f>IF(COUNTIF(E$921:E986,F987)&gt;0,"",F987)</f>
        <v>22, Plessala, Réseau de chaleur de Pessala, France continentale, Base Carbone</v>
      </c>
      <c r="F987" s="1051" t="str">
        <f t="shared" ref="F987:F1050" si="97">IF(I987&lt;&gt;"",I987&amp;IF(L987&lt;&gt;"",", "&amp;L987,"")&amp;IF(K987&lt;&gt;"",", "&amp;K987,""),"")</f>
        <v>22, Plessala, Réseau de chaleur de Pessala, France continentale, Base Carbone</v>
      </c>
      <c r="G987" s="1055" t="str">
        <f t="shared" ref="G987:G1050" si="98">IF(F987&lt;&gt;"",F987&amp;IF(J987&lt;&gt;"","; "&amp;J987,"")&amp;IF(N987&lt;&gt;"",", "&amp;N987,""),"")</f>
        <v>22, Plessala, Réseau de chaleur de Pessala, France continentale, Base Carbone; kgCO2e/kWh</v>
      </c>
      <c r="I987" s="2018" t="s">
        <v>3336</v>
      </c>
      <c r="J987" s="1135" t="s">
        <v>1681</v>
      </c>
      <c r="K987" s="1119" t="s">
        <v>1567</v>
      </c>
      <c r="L987" s="1119" t="s">
        <v>1571</v>
      </c>
      <c r="M987" s="1134">
        <v>0.3</v>
      </c>
      <c r="N987" s="1135"/>
      <c r="O987" s="1135">
        <v>0</v>
      </c>
      <c r="P987" s="1048"/>
      <c r="Q987" s="1048"/>
      <c r="R987" s="1048"/>
      <c r="S987" s="1048"/>
      <c r="T987" s="1048"/>
      <c r="U987" s="1102"/>
    </row>
    <row r="988" spans="2:21" hidden="1" outlineLevel="2">
      <c r="B988" s="1050">
        <v>67</v>
      </c>
      <c r="C988" s="2035" t="str">
        <f t="shared" si="95"/>
        <v>22, Ploufragan, Réseau de Brézillet, France continentale, Base Carbone</v>
      </c>
      <c r="D988" s="1051">
        <f t="shared" si="96"/>
        <v>67</v>
      </c>
      <c r="E988" s="1051" t="str">
        <f>IF(COUNTIF(E$921:E987,F988)&gt;0,"",F988)</f>
        <v>22, Ploufragan, Réseau de Brézillet, France continentale, Base Carbone</v>
      </c>
      <c r="F988" s="1051" t="str">
        <f t="shared" si="97"/>
        <v>22, Ploufragan, Réseau de Brézillet, France continentale, Base Carbone</v>
      </c>
      <c r="G988" s="1055" t="str">
        <f t="shared" si="98"/>
        <v>22, Ploufragan, Réseau de Brézillet, France continentale, Base Carbone; kgCO2e/kWh</v>
      </c>
      <c r="I988" s="2018" t="s">
        <v>3337</v>
      </c>
      <c r="J988" s="1135" t="s">
        <v>1681</v>
      </c>
      <c r="K988" s="1119" t="s">
        <v>1567</v>
      </c>
      <c r="L988" s="1119" t="s">
        <v>1571</v>
      </c>
      <c r="M988" s="1134">
        <v>0.3</v>
      </c>
      <c r="N988" s="1135"/>
      <c r="O988" s="1135">
        <v>0.18099999999999999</v>
      </c>
      <c r="P988" s="1048"/>
      <c r="Q988" s="1048"/>
      <c r="R988" s="1048"/>
      <c r="S988" s="1048"/>
      <c r="T988" s="1048"/>
      <c r="U988" s="1102"/>
    </row>
    <row r="989" spans="2:21" hidden="1" outlineLevel="2">
      <c r="B989" s="1050">
        <v>68</v>
      </c>
      <c r="C989" s="2035" t="str">
        <f t="shared" si="95"/>
        <v>22, Pluzunet, Réseau de chaleur de Pluzunet, France continentale, Base Carbone</v>
      </c>
      <c r="D989" s="1051">
        <f t="shared" si="96"/>
        <v>68</v>
      </c>
      <c r="E989" s="1051" t="str">
        <f>IF(COUNTIF(E$921:E988,F989)&gt;0,"",F989)</f>
        <v>22, Pluzunet, Réseau de chaleur de Pluzunet, France continentale, Base Carbone</v>
      </c>
      <c r="F989" s="1051" t="str">
        <f t="shared" si="97"/>
        <v>22, Pluzunet, Réseau de chaleur de Pluzunet, France continentale, Base Carbone</v>
      </c>
      <c r="G989" s="1055" t="str">
        <f t="shared" si="98"/>
        <v>22, Pluzunet, Réseau de chaleur de Pluzunet, France continentale, Base Carbone; kgCO2e/kWh</v>
      </c>
      <c r="I989" s="2018" t="s">
        <v>3338</v>
      </c>
      <c r="J989" s="1135" t="s">
        <v>1681</v>
      </c>
      <c r="K989" s="1119" t="s">
        <v>1567</v>
      </c>
      <c r="L989" s="1119" t="s">
        <v>1571</v>
      </c>
      <c r="M989" s="1134">
        <v>0.3</v>
      </c>
      <c r="N989" s="1135"/>
      <c r="O989" s="1135">
        <v>0</v>
      </c>
      <c r="P989" s="1048"/>
      <c r="Q989" s="1048"/>
      <c r="R989" s="1048"/>
      <c r="S989" s="1048"/>
      <c r="T989" s="1048"/>
      <c r="U989" s="1102"/>
    </row>
    <row r="990" spans="2:21" hidden="1" outlineLevel="2">
      <c r="B990" s="1050">
        <v>69</v>
      </c>
      <c r="C990" s="2035" t="str">
        <f t="shared" si="95"/>
        <v>23, Bourganeuf, Réseau de Bourganeuf, France continentale, Base Carbone</v>
      </c>
      <c r="D990" s="1051">
        <f t="shared" si="96"/>
        <v>69</v>
      </c>
      <c r="E990" s="1051" t="str">
        <f>IF(COUNTIF(E$921:E989,F990)&gt;0,"",F990)</f>
        <v>23, Bourganeuf, Réseau de Bourganeuf, France continentale, Base Carbone</v>
      </c>
      <c r="F990" s="1051" t="str">
        <f t="shared" si="97"/>
        <v>23, Bourganeuf, Réseau de Bourganeuf, France continentale, Base Carbone</v>
      </c>
      <c r="G990" s="1055" t="str">
        <f t="shared" si="98"/>
        <v>23, Bourganeuf, Réseau de Bourganeuf, France continentale, Base Carbone; kgCO2e/kWh</v>
      </c>
      <c r="I990" s="2018" t="s">
        <v>917</v>
      </c>
      <c r="J990" s="1135" t="s">
        <v>1681</v>
      </c>
      <c r="K990" s="1119" t="s">
        <v>1567</v>
      </c>
      <c r="L990" s="1119" t="s">
        <v>1571</v>
      </c>
      <c r="M990" s="1134">
        <v>0.3</v>
      </c>
      <c r="N990" s="1135"/>
      <c r="O990" s="1135">
        <v>2.5999999999999999E-2</v>
      </c>
      <c r="P990" s="1048"/>
      <c r="Q990" s="1048"/>
      <c r="R990" s="1048"/>
      <c r="S990" s="1048"/>
      <c r="T990" s="1048"/>
      <c r="U990" s="1102"/>
    </row>
    <row r="991" spans="2:21" hidden="1" outlineLevel="2">
      <c r="B991" s="1050">
        <v>70</v>
      </c>
      <c r="C991" s="2035" t="str">
        <f t="shared" si="95"/>
        <v>23, Felletin, Réseau de Felletin, France continentale, Base Carbone</v>
      </c>
      <c r="D991" s="1051">
        <f t="shared" si="96"/>
        <v>70</v>
      </c>
      <c r="E991" s="1051" t="str">
        <f>IF(COUNTIF(E$921:E990,F991)&gt;0,"",F991)</f>
        <v>23, Felletin, Réseau de Felletin, France continentale, Base Carbone</v>
      </c>
      <c r="F991" s="1051" t="str">
        <f t="shared" si="97"/>
        <v>23, Felletin, Réseau de Felletin, France continentale, Base Carbone</v>
      </c>
      <c r="G991" s="1055" t="str">
        <f t="shared" si="98"/>
        <v>23, Felletin, Réseau de Felletin, France continentale, Base Carbone; kgCO2e/kWh</v>
      </c>
      <c r="I991" s="2018" t="s">
        <v>918</v>
      </c>
      <c r="J991" s="1135" t="s">
        <v>1681</v>
      </c>
      <c r="K991" s="1119" t="s">
        <v>1567</v>
      </c>
      <c r="L991" s="1119" t="s">
        <v>1571</v>
      </c>
      <c r="M991" s="1134">
        <v>0.3</v>
      </c>
      <c r="N991" s="1135"/>
      <c r="O991" s="1135">
        <v>2.4E-2</v>
      </c>
      <c r="P991" s="1048"/>
      <c r="Q991" s="1048"/>
      <c r="R991" s="1048"/>
      <c r="S991" s="1048"/>
      <c r="T991" s="1048"/>
      <c r="U991" s="1102"/>
    </row>
    <row r="992" spans="2:21" hidden="1" outlineLevel="2">
      <c r="B992" s="1050">
        <v>71</v>
      </c>
      <c r="C992" s="2035" t="str">
        <f t="shared" si="95"/>
        <v>23, Gentioux-Pigerolles, Réseau de Gentioux, France continentale, Base Carbone</v>
      </c>
      <c r="D992" s="1051">
        <f t="shared" si="96"/>
        <v>71</v>
      </c>
      <c r="E992" s="1051" t="str">
        <f>IF(COUNTIF(E$921:E991,F992)&gt;0,"",F992)</f>
        <v>23, Gentioux-Pigerolles, Réseau de Gentioux, France continentale, Base Carbone</v>
      </c>
      <c r="F992" s="1051" t="str">
        <f t="shared" si="97"/>
        <v>23, Gentioux-Pigerolles, Réseau de Gentioux, France continentale, Base Carbone</v>
      </c>
      <c r="G992" s="1055" t="str">
        <f t="shared" si="98"/>
        <v>23, Gentioux-Pigerolles, Réseau de Gentioux, France continentale, Base Carbone; kgCO2e/kWh</v>
      </c>
      <c r="I992" s="2018" t="s">
        <v>3339</v>
      </c>
      <c r="J992" s="1135" t="s">
        <v>1681</v>
      </c>
      <c r="K992" s="1119" t="s">
        <v>1567</v>
      </c>
      <c r="L992" s="1119" t="s">
        <v>1571</v>
      </c>
      <c r="M992" s="1134">
        <v>0.3</v>
      </c>
      <c r="N992" s="1135"/>
      <c r="O992" s="1135">
        <v>0.192</v>
      </c>
      <c r="P992" s="1048"/>
      <c r="Q992" s="1048"/>
      <c r="R992" s="1048"/>
      <c r="S992" s="1048"/>
      <c r="T992" s="1048"/>
      <c r="U992" s="1102"/>
    </row>
    <row r="993" spans="2:21" hidden="1" outlineLevel="2">
      <c r="B993" s="1050">
        <v>72</v>
      </c>
      <c r="C993" s="2035" t="str">
        <f t="shared" si="95"/>
        <v>24, Coulounieix-chamiers, Réseau de Coulounieix-chamiers, France continentale, Base Carbone</v>
      </c>
      <c r="D993" s="1051">
        <f t="shared" si="96"/>
        <v>72</v>
      </c>
      <c r="E993" s="1051" t="str">
        <f>IF(COUNTIF(E$921:E992,F993)&gt;0,"",F993)</f>
        <v>24, Coulounieix-chamiers, Réseau de Coulounieix-chamiers, France continentale, Base Carbone</v>
      </c>
      <c r="F993" s="1051" t="str">
        <f t="shared" si="97"/>
        <v>24, Coulounieix-chamiers, Réseau de Coulounieix-chamiers, France continentale, Base Carbone</v>
      </c>
      <c r="G993" s="1055" t="str">
        <f t="shared" si="98"/>
        <v>24, Coulounieix-chamiers, Réseau de Coulounieix-chamiers, France continentale, Base Carbone; kgCO2e/kWh</v>
      </c>
      <c r="I993" s="2018" t="s">
        <v>3340</v>
      </c>
      <c r="J993" s="1135" t="s">
        <v>1681</v>
      </c>
      <c r="K993" s="1119" t="s">
        <v>1567</v>
      </c>
      <c r="L993" s="1119" t="s">
        <v>1571</v>
      </c>
      <c r="M993" s="1134">
        <v>0.3</v>
      </c>
      <c r="N993" s="1135"/>
      <c r="O993" s="1135">
        <v>9.0999999999999998E-2</v>
      </c>
      <c r="P993" s="1048"/>
      <c r="Q993" s="1048"/>
      <c r="R993" s="1048"/>
      <c r="S993" s="1048"/>
      <c r="T993" s="1048"/>
      <c r="U993" s="1102"/>
    </row>
    <row r="994" spans="2:21" hidden="1" outlineLevel="2">
      <c r="B994" s="1050">
        <v>73</v>
      </c>
      <c r="C994" s="2035" t="str">
        <f t="shared" si="95"/>
        <v>24, Douville, Réseau de Douville, France continentale, Base Carbone</v>
      </c>
      <c r="D994" s="1051">
        <f t="shared" si="96"/>
        <v>73</v>
      </c>
      <c r="E994" s="1051" t="str">
        <f>IF(COUNTIF(E$921:E993,F994)&gt;0,"",F994)</f>
        <v>24, Douville, Réseau de Douville, France continentale, Base Carbone</v>
      </c>
      <c r="F994" s="1051" t="str">
        <f t="shared" si="97"/>
        <v>24, Douville, Réseau de Douville, France continentale, Base Carbone</v>
      </c>
      <c r="G994" s="1055" t="str">
        <f t="shared" si="98"/>
        <v>24, Douville, Réseau de Douville, France continentale, Base Carbone; kgCO2e/kWh</v>
      </c>
      <c r="I994" s="2018" t="s">
        <v>2880</v>
      </c>
      <c r="J994" s="1135" t="s">
        <v>1681</v>
      </c>
      <c r="K994" s="1119" t="s">
        <v>1567</v>
      </c>
      <c r="L994" s="1119" t="s">
        <v>1571</v>
      </c>
      <c r="M994" s="1134">
        <v>0.3</v>
      </c>
      <c r="N994" s="1135"/>
      <c r="O994" s="1135">
        <v>4.9000000000000002E-2</v>
      </c>
      <c r="P994" s="1048"/>
      <c r="Q994" s="1048"/>
      <c r="R994" s="1048"/>
      <c r="S994" s="1048"/>
      <c r="T994" s="1048"/>
      <c r="U994" s="1102"/>
    </row>
    <row r="995" spans="2:21" hidden="1" outlineLevel="2">
      <c r="B995" s="1050">
        <v>74</v>
      </c>
      <c r="C995" s="2035" t="str">
        <f t="shared" si="95"/>
        <v>24, Périgueux, L’Arche au Bois, France continentale, Base Carbone</v>
      </c>
      <c r="D995" s="1051">
        <f t="shared" si="96"/>
        <v>74</v>
      </c>
      <c r="E995" s="1051" t="str">
        <f>IF(COUNTIF(E$921:E994,F995)&gt;0,"",F995)</f>
        <v>24, Périgueux, L’Arche au Bois, France continentale, Base Carbone</v>
      </c>
      <c r="F995" s="1051" t="str">
        <f t="shared" si="97"/>
        <v>24, Périgueux, L’Arche au Bois, France continentale, Base Carbone</v>
      </c>
      <c r="G995" s="1055" t="str">
        <f t="shared" si="98"/>
        <v>24, Périgueux, L’Arche au Bois, France continentale, Base Carbone; kgCO2e/kWh</v>
      </c>
      <c r="I995" s="2018" t="s">
        <v>3341</v>
      </c>
      <c r="J995" s="1135" t="s">
        <v>1681</v>
      </c>
      <c r="K995" s="1119" t="s">
        <v>1567</v>
      </c>
      <c r="L995" s="1119" t="s">
        <v>1571</v>
      </c>
      <c r="M995" s="1134">
        <v>0.3</v>
      </c>
      <c r="N995" s="1135"/>
      <c r="O995" s="1135">
        <v>3.6999999999999998E-2</v>
      </c>
      <c r="P995" s="1048"/>
      <c r="Q995" s="1048"/>
      <c r="R995" s="1048"/>
      <c r="S995" s="1048"/>
      <c r="T995" s="1048"/>
      <c r="U995" s="1102"/>
    </row>
    <row r="996" spans="2:21" hidden="1" outlineLevel="2">
      <c r="B996" s="1050">
        <v>75</v>
      </c>
      <c r="C996" s="2035" t="str">
        <f t="shared" si="95"/>
        <v>24, Saint-Astier, Réseau de Saint-Astier, France continentale, Base Carbone</v>
      </c>
      <c r="D996" s="1051">
        <f t="shared" si="96"/>
        <v>75</v>
      </c>
      <c r="E996" s="1051" t="str">
        <f>IF(COUNTIF(E$921:E995,F996)&gt;0,"",F996)</f>
        <v>24, Saint-Astier, Réseau de Saint-Astier, France continentale, Base Carbone</v>
      </c>
      <c r="F996" s="1051" t="str">
        <f t="shared" si="97"/>
        <v>24, Saint-Astier, Réseau de Saint-Astier, France continentale, Base Carbone</v>
      </c>
      <c r="G996" s="1055" t="str">
        <f t="shared" si="98"/>
        <v>24, Saint-Astier, Réseau de Saint-Astier, France continentale, Base Carbone; kgCO2e/kWh</v>
      </c>
      <c r="I996" s="2018" t="s">
        <v>2881</v>
      </c>
      <c r="J996" s="1135" t="s">
        <v>1681</v>
      </c>
      <c r="K996" s="1119" t="s">
        <v>1567</v>
      </c>
      <c r="L996" s="1119" t="s">
        <v>1571</v>
      </c>
      <c r="M996" s="1134">
        <v>0.3</v>
      </c>
      <c r="N996" s="1135"/>
      <c r="O996" s="1135">
        <v>6.9000000000000006E-2</v>
      </c>
      <c r="P996" s="1048"/>
      <c r="Q996" s="1048"/>
      <c r="R996" s="1048"/>
      <c r="S996" s="1048"/>
      <c r="T996" s="1048"/>
      <c r="U996" s="1102"/>
    </row>
    <row r="997" spans="2:21" hidden="1" outlineLevel="2">
      <c r="B997" s="1050">
        <v>76</v>
      </c>
      <c r="C997" s="2035" t="str">
        <f t="shared" si="95"/>
        <v>25, Audincourt, Champs Montants, France continentale, Base Carbone</v>
      </c>
      <c r="D997" s="1051">
        <f t="shared" si="96"/>
        <v>76</v>
      </c>
      <c r="E997" s="1051" t="str">
        <f>IF(COUNTIF(E$921:E996,F997)&gt;0,"",F997)</f>
        <v>25, Audincourt, Champs Montants, France continentale, Base Carbone</v>
      </c>
      <c r="F997" s="1051" t="str">
        <f t="shared" si="97"/>
        <v>25, Audincourt, Champs Montants, France continentale, Base Carbone</v>
      </c>
      <c r="G997" s="1055" t="str">
        <f t="shared" si="98"/>
        <v>25, Audincourt, Champs Montants, France continentale, Base Carbone; kgCO2e/kWh</v>
      </c>
      <c r="I997" s="2018" t="s">
        <v>919</v>
      </c>
      <c r="J997" s="1135" t="s">
        <v>1681</v>
      </c>
      <c r="K997" s="1119" t="s">
        <v>1567</v>
      </c>
      <c r="L997" s="1119" t="s">
        <v>1571</v>
      </c>
      <c r="M997" s="1134">
        <v>0.3</v>
      </c>
      <c r="N997" s="1135"/>
      <c r="O997" s="1135">
        <v>0.184</v>
      </c>
      <c r="P997" s="1048"/>
      <c r="Q997" s="1048"/>
      <c r="R997" s="1048"/>
      <c r="S997" s="1048"/>
      <c r="T997" s="1048"/>
      <c r="U997" s="1102"/>
    </row>
    <row r="998" spans="2:21" hidden="1" outlineLevel="2">
      <c r="B998" s="1050">
        <v>77</v>
      </c>
      <c r="C998" s="2035" t="str">
        <f t="shared" si="95"/>
        <v>25, Besançon, Besançon-Planoise, France continentale, Base Carbone</v>
      </c>
      <c r="D998" s="1051">
        <f t="shared" si="96"/>
        <v>77</v>
      </c>
      <c r="E998" s="1051" t="str">
        <f>IF(COUNTIF(E$921:E997,F998)&gt;0,"",F998)</f>
        <v>25, Besançon, Besançon-Planoise, France continentale, Base Carbone</v>
      </c>
      <c r="F998" s="1051" t="str">
        <f t="shared" si="97"/>
        <v>25, Besançon, Besançon-Planoise, France continentale, Base Carbone</v>
      </c>
      <c r="G998" s="1055" t="str">
        <f t="shared" si="98"/>
        <v>25, Besançon, Besançon-Planoise, France continentale, Base Carbone; kgCO2e/kWh</v>
      </c>
      <c r="I998" s="2018" t="s">
        <v>920</v>
      </c>
      <c r="J998" s="1135" t="s">
        <v>1681</v>
      </c>
      <c r="K998" s="1119" t="s">
        <v>1567</v>
      </c>
      <c r="L998" s="1119" t="s">
        <v>1571</v>
      </c>
      <c r="M998" s="1134">
        <v>0.3</v>
      </c>
      <c r="N998" s="1135"/>
      <c r="O998" s="1135">
        <v>6.3E-2</v>
      </c>
      <c r="P998" s="1048"/>
      <c r="Q998" s="1048"/>
      <c r="R998" s="1048"/>
      <c r="S998" s="1048"/>
      <c r="T998" s="1048"/>
      <c r="U998" s="1102"/>
    </row>
    <row r="999" spans="2:21" hidden="1" outlineLevel="2">
      <c r="B999" s="1050">
        <v>78</v>
      </c>
      <c r="C999" s="2035" t="str">
        <f t="shared" si="95"/>
        <v>25, Besançon, Domaine Universitaire de la Bouloie, France continentale, Base Carbone</v>
      </c>
      <c r="D999" s="1051">
        <f t="shared" si="96"/>
        <v>78</v>
      </c>
      <c r="E999" s="1051" t="str">
        <f>IF(COUNTIF(E$921:E998,F999)&gt;0,"",F999)</f>
        <v>25, Besançon, Domaine Universitaire de la Bouloie, France continentale, Base Carbone</v>
      </c>
      <c r="F999" s="1051" t="str">
        <f t="shared" si="97"/>
        <v>25, Besançon, Domaine Universitaire de la Bouloie, France continentale, Base Carbone</v>
      </c>
      <c r="G999" s="1055" t="str">
        <f t="shared" si="98"/>
        <v>25, Besançon, Domaine Universitaire de la Bouloie, France continentale, Base Carbone; kgCO2e/kWh</v>
      </c>
      <c r="I999" s="2018" t="s">
        <v>2882</v>
      </c>
      <c r="J999" s="1135" t="s">
        <v>1681</v>
      </c>
      <c r="K999" s="1119" t="s">
        <v>1567</v>
      </c>
      <c r="L999" s="1119" t="s">
        <v>1571</v>
      </c>
      <c r="M999" s="1134">
        <v>0.3</v>
      </c>
      <c r="N999" s="1135"/>
      <c r="O999" s="1135">
        <v>5.0999999999999997E-2</v>
      </c>
      <c r="P999" s="1048"/>
      <c r="Q999" s="1048"/>
      <c r="R999" s="1048"/>
      <c r="S999" s="1048"/>
      <c r="T999" s="1048"/>
      <c r="U999" s="1102"/>
    </row>
    <row r="1000" spans="2:21" hidden="1" outlineLevel="2">
      <c r="B1000" s="1050">
        <v>79</v>
      </c>
      <c r="C1000" s="2035" t="str">
        <f t="shared" si="95"/>
        <v>25, Béthoncourt, Champvalon, France continentale, Base Carbone</v>
      </c>
      <c r="D1000" s="1051">
        <f t="shared" si="96"/>
        <v>79</v>
      </c>
      <c r="E1000" s="1051" t="str">
        <f>IF(COUNTIF(E$921:E999,F1000)&gt;0,"",F1000)</f>
        <v>25, Béthoncourt, Champvalon, France continentale, Base Carbone</v>
      </c>
      <c r="F1000" s="1051" t="str">
        <f t="shared" si="97"/>
        <v>25, Béthoncourt, Champvalon, France continentale, Base Carbone</v>
      </c>
      <c r="G1000" s="1055" t="str">
        <f t="shared" si="98"/>
        <v>25, Béthoncourt, Champvalon, France continentale, Base Carbone; kgCO2e/kWh</v>
      </c>
      <c r="I1000" s="2018" t="s">
        <v>921</v>
      </c>
      <c r="J1000" s="1135" t="s">
        <v>1681</v>
      </c>
      <c r="K1000" s="1119" t="s">
        <v>1567</v>
      </c>
      <c r="L1000" s="1119" t="s">
        <v>1571</v>
      </c>
      <c r="M1000" s="1134">
        <v>0.3</v>
      </c>
      <c r="N1000" s="1135"/>
      <c r="O1000" s="1135">
        <v>0.216</v>
      </c>
      <c r="P1000" s="1048"/>
      <c r="Q1000" s="1048"/>
      <c r="R1000" s="1048"/>
      <c r="S1000" s="1048"/>
      <c r="T1000" s="1048"/>
      <c r="U1000" s="1102"/>
    </row>
    <row r="1001" spans="2:21" hidden="1" outlineLevel="2">
      <c r="B1001" s="1050">
        <v>80</v>
      </c>
      <c r="C1001" s="2035" t="str">
        <f t="shared" si="95"/>
        <v>25, Le Russey, Chaufferie Bois du Russey, France continentale, Base Carbone</v>
      </c>
      <c r="D1001" s="1051">
        <f t="shared" si="96"/>
        <v>80</v>
      </c>
      <c r="E1001" s="1051" t="str">
        <f>IF(COUNTIF(E$921:E1000,F1001)&gt;0,"",F1001)</f>
        <v>25, Le Russey, Chaufferie Bois du Russey, France continentale, Base Carbone</v>
      </c>
      <c r="F1001" s="1051" t="str">
        <f t="shared" si="97"/>
        <v>25, Le Russey, Chaufferie Bois du Russey, France continentale, Base Carbone</v>
      </c>
      <c r="G1001" s="1055" t="str">
        <f t="shared" si="98"/>
        <v>25, Le Russey, Chaufferie Bois du Russey, France continentale, Base Carbone; kgCO2e/kWh</v>
      </c>
      <c r="I1001" s="2018" t="s">
        <v>2883</v>
      </c>
      <c r="J1001" s="1135" t="s">
        <v>1681</v>
      </c>
      <c r="K1001" s="1119" t="s">
        <v>1567</v>
      </c>
      <c r="L1001" s="1119" t="s">
        <v>1571</v>
      </c>
      <c r="M1001" s="1134">
        <v>0.3</v>
      </c>
      <c r="N1001" s="1135"/>
      <c r="O1001" s="1135">
        <v>4.8000000000000001E-2</v>
      </c>
      <c r="P1001" s="1048"/>
      <c r="Q1001" s="1048"/>
      <c r="R1001" s="1048"/>
      <c r="S1001" s="1048"/>
      <c r="T1001" s="1048"/>
      <c r="U1001" s="1102"/>
    </row>
    <row r="1002" spans="2:21" hidden="1" outlineLevel="2">
      <c r="B1002" s="1050">
        <v>81</v>
      </c>
      <c r="C1002" s="2035" t="str">
        <f t="shared" si="95"/>
        <v>25, Montbéliard, ZUP de la Petite Hollande, France continentale, Base Carbone</v>
      </c>
      <c r="D1002" s="1051">
        <f t="shared" si="96"/>
        <v>81</v>
      </c>
      <c r="E1002" s="1051" t="str">
        <f>IF(COUNTIF(E$921:E1001,F1002)&gt;0,"",F1002)</f>
        <v>25, Montbéliard, ZUP de la Petite Hollande, France continentale, Base Carbone</v>
      </c>
      <c r="F1002" s="1051" t="str">
        <f t="shared" si="97"/>
        <v>25, Montbéliard, ZUP de la Petite Hollande, France continentale, Base Carbone</v>
      </c>
      <c r="G1002" s="1055" t="str">
        <f t="shared" si="98"/>
        <v>25, Montbéliard, ZUP de la Petite Hollande, France continentale, Base Carbone; kgCO2e/kWh</v>
      </c>
      <c r="I1002" s="2018" t="s">
        <v>922</v>
      </c>
      <c r="J1002" s="1135" t="s">
        <v>1681</v>
      </c>
      <c r="K1002" s="1119" t="s">
        <v>1567</v>
      </c>
      <c r="L1002" s="1119" t="s">
        <v>1571</v>
      </c>
      <c r="M1002" s="1134">
        <v>0.3</v>
      </c>
      <c r="N1002" s="1135"/>
      <c r="O1002" s="1135">
        <v>5.2999999999999999E-2</v>
      </c>
      <c r="P1002" s="1048"/>
      <c r="Q1002" s="1048"/>
      <c r="R1002" s="1048"/>
      <c r="S1002" s="1048"/>
      <c r="T1002" s="1048"/>
      <c r="U1002" s="1102"/>
    </row>
    <row r="1003" spans="2:21" hidden="1" outlineLevel="2">
      <c r="B1003" s="1050">
        <v>82</v>
      </c>
      <c r="C1003" s="2035" t="str">
        <f t="shared" si="95"/>
        <v>25, Mouthe, Réseau de Mouthe, France continentale, Base Carbone</v>
      </c>
      <c r="D1003" s="1051">
        <f t="shared" si="96"/>
        <v>82</v>
      </c>
      <c r="E1003" s="1051" t="str">
        <f>IF(COUNTIF(E$921:E1002,F1003)&gt;0,"",F1003)</f>
        <v>25, Mouthe, Réseau de Mouthe, France continentale, Base Carbone</v>
      </c>
      <c r="F1003" s="1051" t="str">
        <f t="shared" si="97"/>
        <v>25, Mouthe, Réseau de Mouthe, France continentale, Base Carbone</v>
      </c>
      <c r="G1003" s="1055" t="str">
        <f t="shared" si="98"/>
        <v>25, Mouthe, Réseau de Mouthe, France continentale, Base Carbone; kgCO2e/kWh</v>
      </c>
      <c r="I1003" s="2018" t="s">
        <v>923</v>
      </c>
      <c r="J1003" s="1135" t="s">
        <v>1681</v>
      </c>
      <c r="K1003" s="1119" t="s">
        <v>1567</v>
      </c>
      <c r="L1003" s="1119" t="s">
        <v>1571</v>
      </c>
      <c r="M1003" s="1134">
        <v>0.3</v>
      </c>
      <c r="N1003" s="1135"/>
      <c r="O1003" s="1135">
        <v>9.0999999999999998E-2</v>
      </c>
      <c r="P1003" s="1048"/>
      <c r="Q1003" s="1048"/>
      <c r="R1003" s="1048"/>
      <c r="S1003" s="1048"/>
      <c r="T1003" s="1048"/>
      <c r="U1003" s="1102"/>
    </row>
    <row r="1004" spans="2:21" hidden="1" outlineLevel="2">
      <c r="B1004" s="1050">
        <v>83</v>
      </c>
      <c r="C1004" s="2035" t="str">
        <f t="shared" si="95"/>
        <v>25, Pontarlier, Réseau de Pontarlier, France continentale, Base Carbone</v>
      </c>
      <c r="D1004" s="1051">
        <f t="shared" si="96"/>
        <v>83</v>
      </c>
      <c r="E1004" s="1051" t="str">
        <f>IF(COUNTIF(E$921:E1003,F1004)&gt;0,"",F1004)</f>
        <v>25, Pontarlier, Réseau de Pontarlier, France continentale, Base Carbone</v>
      </c>
      <c r="F1004" s="1051" t="str">
        <f t="shared" si="97"/>
        <v>25, Pontarlier, Réseau de Pontarlier, France continentale, Base Carbone</v>
      </c>
      <c r="G1004" s="1055" t="str">
        <f t="shared" si="98"/>
        <v>25, Pontarlier, Réseau de Pontarlier, France continentale, Base Carbone; kgCO2e/kWh</v>
      </c>
      <c r="I1004" s="2018" t="s">
        <v>2884</v>
      </c>
      <c r="J1004" s="1135" t="s">
        <v>1681</v>
      </c>
      <c r="K1004" s="1119" t="s">
        <v>1567</v>
      </c>
      <c r="L1004" s="1119" t="s">
        <v>1571</v>
      </c>
      <c r="M1004" s="1134">
        <v>0.3</v>
      </c>
      <c r="N1004" s="1135"/>
      <c r="O1004" s="1135">
        <v>1.0999999999999999E-2</v>
      </c>
      <c r="P1004" s="1048"/>
      <c r="Q1004" s="1048"/>
      <c r="R1004" s="1048"/>
      <c r="S1004" s="1048"/>
      <c r="T1004" s="1048"/>
      <c r="U1004" s="1102"/>
    </row>
    <row r="1005" spans="2:21" hidden="1" outlineLevel="2">
      <c r="B1005" s="1050">
        <v>84</v>
      </c>
      <c r="C1005" s="2035" t="str">
        <f t="shared" si="95"/>
        <v>26, Montélimar, Réseau Pracomptal, France continentale, Base Carbone</v>
      </c>
      <c r="D1005" s="1051">
        <f t="shared" si="96"/>
        <v>84</v>
      </c>
      <c r="E1005" s="1051" t="str">
        <f>IF(COUNTIF(E$921:E1004,F1005)&gt;0,"",F1005)</f>
        <v>26, Montélimar, Réseau Pracomptal, France continentale, Base Carbone</v>
      </c>
      <c r="F1005" s="1051" t="str">
        <f t="shared" si="97"/>
        <v>26, Montélimar, Réseau Pracomptal, France continentale, Base Carbone</v>
      </c>
      <c r="G1005" s="1055" t="str">
        <f t="shared" si="98"/>
        <v>26, Montélimar, Réseau Pracomptal, France continentale, Base Carbone; kgCO2e/kWh</v>
      </c>
      <c r="I1005" s="2018" t="s">
        <v>924</v>
      </c>
      <c r="J1005" s="1135" t="s">
        <v>1681</v>
      </c>
      <c r="K1005" s="1119" t="s">
        <v>1567</v>
      </c>
      <c r="L1005" s="1119" t="s">
        <v>1571</v>
      </c>
      <c r="M1005" s="1134">
        <v>0.3</v>
      </c>
      <c r="N1005" s="1135"/>
      <c r="O1005" s="1135">
        <v>0.26800000000000002</v>
      </c>
      <c r="P1005" s="1048"/>
      <c r="Q1005" s="1048"/>
      <c r="R1005" s="1048"/>
      <c r="S1005" s="1048"/>
      <c r="T1005" s="1048"/>
      <c r="U1005" s="1102"/>
    </row>
    <row r="1006" spans="2:21" hidden="1" outlineLevel="2">
      <c r="B1006" s="1050">
        <v>85</v>
      </c>
      <c r="C1006" s="2035" t="str">
        <f t="shared" si="95"/>
        <v>26, Pierrelatte, Réseau de Pierrelatte-Des, France continentale, Base Carbone</v>
      </c>
      <c r="D1006" s="1051">
        <f t="shared" si="96"/>
        <v>85</v>
      </c>
      <c r="E1006" s="1051" t="str">
        <f>IF(COUNTIF(E$921:E1005,F1006)&gt;0,"",F1006)</f>
        <v>26, Pierrelatte, Réseau de Pierrelatte-Des, France continentale, Base Carbone</v>
      </c>
      <c r="F1006" s="1051" t="str">
        <f t="shared" si="97"/>
        <v>26, Pierrelatte, Réseau de Pierrelatte-Des, France continentale, Base Carbone</v>
      </c>
      <c r="G1006" s="1055" t="str">
        <f t="shared" si="98"/>
        <v>26, Pierrelatte, Réseau de Pierrelatte-Des, France continentale, Base Carbone; kgCO2e/kWh</v>
      </c>
      <c r="I1006" s="2018" t="s">
        <v>925</v>
      </c>
      <c r="J1006" s="1135" t="s">
        <v>1681</v>
      </c>
      <c r="K1006" s="1119" t="s">
        <v>1567</v>
      </c>
      <c r="L1006" s="1119" t="s">
        <v>1571</v>
      </c>
      <c r="M1006" s="1134">
        <v>0.3</v>
      </c>
      <c r="N1006" s="1135"/>
      <c r="O1006" s="1135">
        <v>0</v>
      </c>
      <c r="P1006" s="1048"/>
      <c r="Q1006" s="1048"/>
      <c r="R1006" s="1048"/>
      <c r="S1006" s="1048"/>
      <c r="T1006" s="1048"/>
      <c r="U1006" s="1102"/>
    </row>
    <row r="1007" spans="2:21" hidden="1" outlineLevel="2">
      <c r="B1007" s="1050">
        <v>86</v>
      </c>
      <c r="C1007" s="2035" t="str">
        <f t="shared" si="95"/>
        <v>26, Romans-sur-Isère, Réseau du quartier de la Monnaie, France continentale, Base Carbone</v>
      </c>
      <c r="D1007" s="1051">
        <f t="shared" si="96"/>
        <v>86</v>
      </c>
      <c r="E1007" s="1051" t="str">
        <f>IF(COUNTIF(E$921:E1006,F1007)&gt;0,"",F1007)</f>
        <v>26, Romans-sur-Isère, Réseau du quartier de la Monnaie, France continentale, Base Carbone</v>
      </c>
      <c r="F1007" s="1051" t="str">
        <f t="shared" si="97"/>
        <v>26, Romans-sur-Isère, Réseau du quartier de la Monnaie, France continentale, Base Carbone</v>
      </c>
      <c r="G1007" s="1055" t="str">
        <f t="shared" si="98"/>
        <v>26, Romans-sur-Isère, Réseau du quartier de la Monnaie, France continentale, Base Carbone; kgCO2e/kWh</v>
      </c>
      <c r="I1007" s="2018" t="s">
        <v>3342</v>
      </c>
      <c r="J1007" s="1135" t="s">
        <v>1681</v>
      </c>
      <c r="K1007" s="1119" t="s">
        <v>1567</v>
      </c>
      <c r="L1007" s="1119" t="s">
        <v>1571</v>
      </c>
      <c r="M1007" s="1134">
        <v>0.3</v>
      </c>
      <c r="N1007" s="1135"/>
      <c r="O1007" s="1135">
        <v>0.24399999999999999</v>
      </c>
      <c r="P1007" s="1048"/>
      <c r="Q1007" s="1048"/>
      <c r="R1007" s="1048"/>
      <c r="S1007" s="1048"/>
      <c r="T1007" s="1048"/>
      <c r="U1007" s="1102"/>
    </row>
    <row r="1008" spans="2:21" hidden="1" outlineLevel="2">
      <c r="B1008" s="1050">
        <v>87</v>
      </c>
      <c r="C1008" s="2035" t="str">
        <f t="shared" si="95"/>
        <v>26, Valence, Réseau de la Zup de Valence, France continentale, Base Carbone</v>
      </c>
      <c r="D1008" s="1051">
        <f t="shared" si="96"/>
        <v>87</v>
      </c>
      <c r="E1008" s="1051" t="str">
        <f>IF(COUNTIF(E$921:E1007,F1008)&gt;0,"",F1008)</f>
        <v>26, Valence, Réseau de la Zup de Valence, France continentale, Base Carbone</v>
      </c>
      <c r="F1008" s="1051" t="str">
        <f t="shared" si="97"/>
        <v>26, Valence, Réseau de la Zup de Valence, France continentale, Base Carbone</v>
      </c>
      <c r="G1008" s="1055" t="str">
        <f t="shared" si="98"/>
        <v>26, Valence, Réseau de la Zup de Valence, France continentale, Base Carbone; kgCO2e/kWh</v>
      </c>
      <c r="I1008" s="2018" t="s">
        <v>2885</v>
      </c>
      <c r="J1008" s="1135" t="s">
        <v>1681</v>
      </c>
      <c r="K1008" s="1119" t="s">
        <v>1567</v>
      </c>
      <c r="L1008" s="1119" t="s">
        <v>1571</v>
      </c>
      <c r="M1008" s="1134">
        <v>0.3</v>
      </c>
      <c r="N1008" s="1135"/>
      <c r="O1008" s="1135">
        <v>0.28799999999999998</v>
      </c>
      <c r="P1008" s="1048"/>
      <c r="Q1008" s="1048"/>
      <c r="R1008" s="1048"/>
      <c r="S1008" s="1048"/>
      <c r="T1008" s="1048"/>
      <c r="U1008" s="1102"/>
    </row>
    <row r="1009" spans="2:21" hidden="1" outlineLevel="2">
      <c r="B1009" s="1050">
        <v>88</v>
      </c>
      <c r="C1009" s="2035" t="str">
        <f t="shared" si="95"/>
        <v>26, Vassieux-en-Vercors, Réseau de Vassieux-en-Vercors, France continentale, Base Carbone</v>
      </c>
      <c r="D1009" s="1051">
        <f t="shared" si="96"/>
        <v>88</v>
      </c>
      <c r="E1009" s="1051" t="str">
        <f>IF(COUNTIF(E$921:E1008,F1009)&gt;0,"",F1009)</f>
        <v>26, Vassieux-en-Vercors, Réseau de Vassieux-en-Vercors, France continentale, Base Carbone</v>
      </c>
      <c r="F1009" s="1051" t="str">
        <f t="shared" si="97"/>
        <v>26, Vassieux-en-Vercors, Réseau de Vassieux-en-Vercors, France continentale, Base Carbone</v>
      </c>
      <c r="G1009" s="1055" t="str">
        <f t="shared" si="98"/>
        <v>26, Vassieux-en-Vercors, Réseau de Vassieux-en-Vercors, France continentale, Base Carbone; kgCO2e/kWh</v>
      </c>
      <c r="I1009" s="2018" t="s">
        <v>2886</v>
      </c>
      <c r="J1009" s="1135" t="s">
        <v>1681</v>
      </c>
      <c r="K1009" s="1119" t="s">
        <v>1567</v>
      </c>
      <c r="L1009" s="1119" t="s">
        <v>1571</v>
      </c>
      <c r="M1009" s="1134">
        <v>0.3</v>
      </c>
      <c r="N1009" s="1135"/>
      <c r="O1009" s="1135">
        <v>1.4E-2</v>
      </c>
      <c r="P1009" s="1048"/>
      <c r="Q1009" s="1048"/>
      <c r="R1009" s="1048"/>
      <c r="S1009" s="1048"/>
      <c r="T1009" s="1048"/>
      <c r="U1009" s="1102"/>
    </row>
    <row r="1010" spans="2:21" hidden="1" outlineLevel="2">
      <c r="B1010" s="1050">
        <v>89</v>
      </c>
      <c r="C1010" s="2035" t="str">
        <f t="shared" si="95"/>
        <v>27, Canappeville, Réseau-Canappeville, France continentale, Base Carbone</v>
      </c>
      <c r="D1010" s="1051">
        <f t="shared" si="96"/>
        <v>89</v>
      </c>
      <c r="E1010" s="1051" t="str">
        <f>IF(COUNTIF(E$921:E1009,F1010)&gt;0,"",F1010)</f>
        <v>27, Canappeville, Réseau-Canappeville, France continentale, Base Carbone</v>
      </c>
      <c r="F1010" s="1051" t="str">
        <f t="shared" si="97"/>
        <v>27, Canappeville, Réseau-Canappeville, France continentale, Base Carbone</v>
      </c>
      <c r="G1010" s="1055" t="str">
        <f t="shared" si="98"/>
        <v>27, Canappeville, Réseau-Canappeville, France continentale, Base Carbone; kgCO2e/kWh</v>
      </c>
      <c r="I1010" s="2018" t="s">
        <v>3343</v>
      </c>
      <c r="J1010" s="1135" t="s">
        <v>1681</v>
      </c>
      <c r="K1010" s="1119" t="s">
        <v>1567</v>
      </c>
      <c r="L1010" s="1119" t="s">
        <v>1571</v>
      </c>
      <c r="M1010" s="1134">
        <v>0.3</v>
      </c>
      <c r="N1010" s="1135"/>
      <c r="O1010" s="1135">
        <v>0</v>
      </c>
      <c r="P1010" s="1048"/>
      <c r="Q1010" s="1048"/>
      <c r="R1010" s="1048"/>
      <c r="S1010" s="1048"/>
      <c r="T1010" s="1048"/>
      <c r="U1010" s="1102"/>
    </row>
    <row r="1011" spans="2:21" hidden="1" outlineLevel="2">
      <c r="B1011" s="1050">
        <v>90</v>
      </c>
      <c r="C1011" s="2035" t="str">
        <f t="shared" si="95"/>
        <v>27, Conches-en-Ouches, Réseau de Conches-en-Ouches, France continentale, Base Carbone</v>
      </c>
      <c r="D1011" s="1051">
        <f t="shared" si="96"/>
        <v>90</v>
      </c>
      <c r="E1011" s="1051" t="str">
        <f>IF(COUNTIF(E$921:E1010,F1011)&gt;0,"",F1011)</f>
        <v>27, Conches-en-Ouches, Réseau de Conches-en-Ouches, France continentale, Base Carbone</v>
      </c>
      <c r="F1011" s="1051" t="str">
        <f t="shared" si="97"/>
        <v>27, Conches-en-Ouches, Réseau de Conches-en-Ouches, France continentale, Base Carbone</v>
      </c>
      <c r="G1011" s="1055" t="str">
        <f t="shared" si="98"/>
        <v>27, Conches-en-Ouches, Réseau de Conches-en-Ouches, France continentale, Base Carbone; kgCO2e/kWh</v>
      </c>
      <c r="I1011" s="2018" t="s">
        <v>3344</v>
      </c>
      <c r="J1011" s="1135" t="s">
        <v>1681</v>
      </c>
      <c r="K1011" s="1119" t="s">
        <v>1567</v>
      </c>
      <c r="L1011" s="1119" t="s">
        <v>1571</v>
      </c>
      <c r="M1011" s="1134">
        <v>0.3</v>
      </c>
      <c r="N1011" s="1135"/>
      <c r="O1011" s="1135">
        <v>5.2999999999999999E-2</v>
      </c>
      <c r="P1011" s="1048"/>
      <c r="Q1011" s="1048"/>
      <c r="R1011" s="1048"/>
      <c r="S1011" s="1048"/>
      <c r="T1011" s="1048"/>
      <c r="U1011" s="1102"/>
    </row>
    <row r="1012" spans="2:21" hidden="1" outlineLevel="2">
      <c r="B1012" s="1050">
        <v>91</v>
      </c>
      <c r="C1012" s="2035" t="str">
        <f t="shared" si="95"/>
        <v>27, Evreux, ZUP de Saint André-Thermevra, France continentale, Base Carbone</v>
      </c>
      <c r="D1012" s="1051">
        <f t="shared" si="96"/>
        <v>91</v>
      </c>
      <c r="E1012" s="1051" t="str">
        <f>IF(COUNTIF(E$921:E1011,F1012)&gt;0,"",F1012)</f>
        <v>27, Evreux, ZUP de Saint André-Thermevra, France continentale, Base Carbone</v>
      </c>
      <c r="F1012" s="1051" t="str">
        <f t="shared" si="97"/>
        <v>27, Evreux, ZUP de Saint André-Thermevra, France continentale, Base Carbone</v>
      </c>
      <c r="G1012" s="1055" t="str">
        <f t="shared" si="98"/>
        <v>27, Evreux, ZUP de Saint André-Thermevra, France continentale, Base Carbone; kgCO2e/kWh</v>
      </c>
      <c r="I1012" s="2018" t="s">
        <v>2887</v>
      </c>
      <c r="J1012" s="1135" t="s">
        <v>1681</v>
      </c>
      <c r="K1012" s="1119" t="s">
        <v>1567</v>
      </c>
      <c r="L1012" s="1119" t="s">
        <v>1571</v>
      </c>
      <c r="M1012" s="1134">
        <v>0.3</v>
      </c>
      <c r="N1012" s="1135"/>
      <c r="O1012" s="1135">
        <v>1.7999999999999999E-2</v>
      </c>
      <c r="P1012" s="1048"/>
      <c r="Q1012" s="1048"/>
      <c r="R1012" s="1048"/>
      <c r="S1012" s="1048"/>
      <c r="T1012" s="1048"/>
      <c r="U1012" s="1102"/>
    </row>
    <row r="1013" spans="2:21" hidden="1" outlineLevel="2">
      <c r="B1013" s="1050">
        <v>92</v>
      </c>
      <c r="C1013" s="2035" t="str">
        <f t="shared" si="95"/>
        <v>27, Les Andelys, Tours du Levant Clos Galots, France continentale, Base Carbone</v>
      </c>
      <c r="D1013" s="1051">
        <f t="shared" si="96"/>
        <v>92</v>
      </c>
      <c r="E1013" s="1051" t="str">
        <f>IF(COUNTIF(E$921:E1012,F1013)&gt;0,"",F1013)</f>
        <v>27, Les Andelys, Tours du Levant Clos Galots, France continentale, Base Carbone</v>
      </c>
      <c r="F1013" s="1051" t="str">
        <f t="shared" si="97"/>
        <v>27, Les Andelys, Tours du Levant Clos Galots, France continentale, Base Carbone</v>
      </c>
      <c r="G1013" s="1055" t="str">
        <f t="shared" si="98"/>
        <v>27, Les Andelys, Tours du Levant Clos Galots, France continentale, Base Carbone; kgCO2e/kWh</v>
      </c>
      <c r="I1013" s="2018" t="s">
        <v>2888</v>
      </c>
      <c r="J1013" s="1135" t="s">
        <v>1681</v>
      </c>
      <c r="K1013" s="1119" t="s">
        <v>1567</v>
      </c>
      <c r="L1013" s="1119" t="s">
        <v>1571</v>
      </c>
      <c r="M1013" s="1134">
        <v>0.3</v>
      </c>
      <c r="N1013" s="1135"/>
      <c r="O1013" s="1135">
        <v>0.21</v>
      </c>
      <c r="P1013" s="1048"/>
      <c r="Q1013" s="1048"/>
      <c r="R1013" s="1048"/>
      <c r="S1013" s="1048"/>
      <c r="T1013" s="1048"/>
      <c r="U1013" s="1102"/>
    </row>
    <row r="1014" spans="2:21" hidden="1" outlineLevel="2">
      <c r="B1014" s="1050">
        <v>93</v>
      </c>
      <c r="C1014" s="2035" t="str">
        <f t="shared" si="95"/>
        <v>27, Louviers, Louviers Energie, France continentale, Base Carbone</v>
      </c>
      <c r="D1014" s="1051">
        <f t="shared" si="96"/>
        <v>93</v>
      </c>
      <c r="E1014" s="1051" t="str">
        <f>IF(COUNTIF(E$921:E1013,F1014)&gt;0,"",F1014)</f>
        <v>27, Louviers, Louviers Energie, France continentale, Base Carbone</v>
      </c>
      <c r="F1014" s="1051" t="str">
        <f t="shared" si="97"/>
        <v>27, Louviers, Louviers Energie, France continentale, Base Carbone</v>
      </c>
      <c r="G1014" s="1055" t="str">
        <f t="shared" si="98"/>
        <v>27, Louviers, Louviers Energie, France continentale, Base Carbone; kgCO2e/kWh</v>
      </c>
      <c r="I1014" s="2018" t="s">
        <v>3345</v>
      </c>
      <c r="J1014" s="1135" t="s">
        <v>1681</v>
      </c>
      <c r="K1014" s="1119" t="s">
        <v>1567</v>
      </c>
      <c r="L1014" s="1119" t="s">
        <v>1571</v>
      </c>
      <c r="M1014" s="1134">
        <v>0.3</v>
      </c>
      <c r="N1014" s="1135"/>
      <c r="O1014" s="1135">
        <v>7.6999999999999999E-2</v>
      </c>
      <c r="P1014" s="1048"/>
      <c r="Q1014" s="1048"/>
      <c r="R1014" s="1048"/>
      <c r="S1014" s="1048"/>
      <c r="T1014" s="1048"/>
      <c r="U1014" s="1102"/>
    </row>
    <row r="1015" spans="2:21" hidden="1" outlineLevel="2">
      <c r="B1015" s="1050">
        <v>94</v>
      </c>
      <c r="C1015" s="2035" t="str">
        <f t="shared" si="95"/>
        <v>27, Pont-Audemer, Quartier de l’Europe, France continentale, Base Carbone</v>
      </c>
      <c r="D1015" s="1051">
        <f t="shared" si="96"/>
        <v>94</v>
      </c>
      <c r="E1015" s="1051" t="str">
        <f>IF(COUNTIF(E$921:E1014,F1015)&gt;0,"",F1015)</f>
        <v>27, Pont-Audemer, Quartier de l’Europe, France continentale, Base Carbone</v>
      </c>
      <c r="F1015" s="1051" t="str">
        <f t="shared" si="97"/>
        <v>27, Pont-Audemer, Quartier de l’Europe, France continentale, Base Carbone</v>
      </c>
      <c r="G1015" s="1055" t="str">
        <f t="shared" si="98"/>
        <v>27, Pont-Audemer, Quartier de l’Europe, France continentale, Base Carbone; kgCO2e/kWh</v>
      </c>
      <c r="I1015" s="2018" t="s">
        <v>3346</v>
      </c>
      <c r="J1015" s="1135" t="s">
        <v>1681</v>
      </c>
      <c r="K1015" s="1119" t="s">
        <v>1567</v>
      </c>
      <c r="L1015" s="1119" t="s">
        <v>1571</v>
      </c>
      <c r="M1015" s="1134">
        <v>0.3</v>
      </c>
      <c r="N1015" s="1135"/>
      <c r="O1015" s="1135">
        <v>0.217</v>
      </c>
      <c r="P1015" s="1048"/>
      <c r="Q1015" s="1048"/>
      <c r="R1015" s="1048"/>
      <c r="S1015" s="1048"/>
      <c r="T1015" s="1048"/>
      <c r="U1015" s="1102"/>
    </row>
    <row r="1016" spans="2:21" hidden="1" outlineLevel="2">
      <c r="B1016" s="1050">
        <v>95</v>
      </c>
      <c r="C1016" s="2035" t="str">
        <f t="shared" si="95"/>
        <v>27, Vernon, ZUP Les Valmeux, France continentale, Base Carbone</v>
      </c>
      <c r="D1016" s="1051">
        <f t="shared" si="96"/>
        <v>95</v>
      </c>
      <c r="E1016" s="1051" t="str">
        <f>IF(COUNTIF(E$921:E1015,F1016)&gt;0,"",F1016)</f>
        <v>27, Vernon, ZUP Les Valmeux, France continentale, Base Carbone</v>
      </c>
      <c r="F1016" s="1051" t="str">
        <f t="shared" si="97"/>
        <v>27, Vernon, ZUP Les Valmeux, France continentale, Base Carbone</v>
      </c>
      <c r="G1016" s="1055" t="str">
        <f t="shared" si="98"/>
        <v>27, Vernon, ZUP Les Valmeux, France continentale, Base Carbone; kgCO2e/kWh</v>
      </c>
      <c r="I1016" s="2018" t="s">
        <v>926</v>
      </c>
      <c r="J1016" s="1135" t="s">
        <v>1681</v>
      </c>
      <c r="K1016" s="1119" t="s">
        <v>1567</v>
      </c>
      <c r="L1016" s="1119" t="s">
        <v>1571</v>
      </c>
      <c r="M1016" s="1134">
        <v>0.3</v>
      </c>
      <c r="N1016" s="1135"/>
      <c r="O1016" s="1135">
        <v>0.191</v>
      </c>
      <c r="P1016" s="1048"/>
      <c r="Q1016" s="1048"/>
      <c r="R1016" s="1048"/>
      <c r="S1016" s="1048"/>
      <c r="T1016" s="1048"/>
      <c r="U1016" s="1102"/>
    </row>
    <row r="1017" spans="2:21" hidden="1" outlineLevel="2">
      <c r="B1017" s="1050">
        <v>96</v>
      </c>
      <c r="C1017" s="2035" t="str">
        <f t="shared" si="95"/>
        <v>28, Chartres, ZUP de la Madeleine, France continentale, Base Carbone</v>
      </c>
      <c r="D1017" s="1051">
        <f t="shared" si="96"/>
        <v>96</v>
      </c>
      <c r="E1017" s="1051" t="str">
        <f>IF(COUNTIF(E$921:E1016,F1017)&gt;0,"",F1017)</f>
        <v>28, Chartres, ZUP de la Madeleine, France continentale, Base Carbone</v>
      </c>
      <c r="F1017" s="1051" t="str">
        <f t="shared" si="97"/>
        <v>28, Chartres, ZUP de la Madeleine, France continentale, Base Carbone</v>
      </c>
      <c r="G1017" s="1055" t="str">
        <f t="shared" si="98"/>
        <v>28, Chartres, ZUP de la Madeleine, France continentale, Base Carbone; kgCO2e/kWh</v>
      </c>
      <c r="I1017" s="2018" t="s">
        <v>927</v>
      </c>
      <c r="J1017" s="1135" t="s">
        <v>1681</v>
      </c>
      <c r="K1017" s="1119" t="s">
        <v>1567</v>
      </c>
      <c r="L1017" s="1119" t="s">
        <v>1571</v>
      </c>
      <c r="M1017" s="1134">
        <v>0.3</v>
      </c>
      <c r="N1017" s="1135"/>
      <c r="O1017" s="1135">
        <v>0.315</v>
      </c>
      <c r="P1017" s="1048"/>
      <c r="Q1017" s="1048"/>
      <c r="R1017" s="1048"/>
      <c r="S1017" s="1048"/>
      <c r="T1017" s="1048"/>
      <c r="U1017" s="1102"/>
    </row>
    <row r="1018" spans="2:21" hidden="1" outlineLevel="2">
      <c r="B1018" s="1050">
        <v>97</v>
      </c>
      <c r="C1018" s="2035" t="str">
        <f t="shared" si="95"/>
        <v>28, Chateaudun, Réseau Dunes, France continentale, Base Carbone</v>
      </c>
      <c r="D1018" s="1051">
        <f t="shared" si="96"/>
        <v>97</v>
      </c>
      <c r="E1018" s="1051" t="str">
        <f>IF(COUNTIF(E$921:E1017,F1018)&gt;0,"",F1018)</f>
        <v>28, Chateaudun, Réseau Dunes, France continentale, Base Carbone</v>
      </c>
      <c r="F1018" s="1051" t="str">
        <f t="shared" si="97"/>
        <v>28, Chateaudun, Réseau Dunes, France continentale, Base Carbone</v>
      </c>
      <c r="G1018" s="1055" t="str">
        <f t="shared" si="98"/>
        <v>28, Chateaudun, Réseau Dunes, France continentale, Base Carbone; kgCO2e/kWh</v>
      </c>
      <c r="I1018" s="2018" t="s">
        <v>3347</v>
      </c>
      <c r="J1018" s="1135" t="s">
        <v>1681</v>
      </c>
      <c r="K1018" s="1119" t="s">
        <v>1567</v>
      </c>
      <c r="L1018" s="1119" t="s">
        <v>1571</v>
      </c>
      <c r="M1018" s="1134">
        <v>0.3</v>
      </c>
      <c r="N1018" s="1135"/>
      <c r="O1018" s="1135">
        <v>3.5999999999999997E-2</v>
      </c>
      <c r="P1018" s="1048"/>
      <c r="Q1018" s="1048"/>
      <c r="R1018" s="1048"/>
      <c r="S1018" s="1048"/>
      <c r="T1018" s="1048"/>
      <c r="U1018" s="1102"/>
    </row>
    <row r="1019" spans="2:21" hidden="1" outlineLevel="2">
      <c r="B1019" s="1050">
        <v>98</v>
      </c>
      <c r="C1019" s="2035" t="str">
        <f t="shared" si="95"/>
        <v>28, Manvilliers, Tallemont, France continentale, Base Carbone</v>
      </c>
      <c r="D1019" s="1051">
        <f t="shared" si="96"/>
        <v>98</v>
      </c>
      <c r="E1019" s="1051" t="str">
        <f>IF(COUNTIF(E$921:E1018,F1019)&gt;0,"",F1019)</f>
        <v>28, Manvilliers, Tallemont, France continentale, Base Carbone</v>
      </c>
      <c r="F1019" s="1051" t="str">
        <f t="shared" si="97"/>
        <v>28, Manvilliers, Tallemont, France continentale, Base Carbone</v>
      </c>
      <c r="G1019" s="1055" t="str">
        <f t="shared" si="98"/>
        <v>28, Manvilliers, Tallemont, France continentale, Base Carbone; kgCO2e/kWh</v>
      </c>
      <c r="I1019" s="2018" t="s">
        <v>2889</v>
      </c>
      <c r="J1019" s="1135" t="s">
        <v>1681</v>
      </c>
      <c r="K1019" s="1119" t="s">
        <v>1567</v>
      </c>
      <c r="L1019" s="1119" t="s">
        <v>1571</v>
      </c>
      <c r="M1019" s="1134">
        <v>0.3</v>
      </c>
      <c r="N1019" s="1135"/>
      <c r="O1019" s="1135">
        <v>0.32600000000000001</v>
      </c>
      <c r="P1019" s="1048"/>
      <c r="Q1019" s="1048"/>
      <c r="R1019" s="1048"/>
      <c r="S1019" s="1048"/>
      <c r="T1019" s="1048"/>
      <c r="U1019" s="1102"/>
    </row>
    <row r="1020" spans="2:21" hidden="1" outlineLevel="2">
      <c r="B1020" s="1050">
        <v>99</v>
      </c>
      <c r="C1020" s="2035" t="str">
        <f t="shared" si="95"/>
        <v>28, Nogent Rotrou, Les Gauchetières, France continentale, Base Carbone</v>
      </c>
      <c r="D1020" s="1051">
        <f t="shared" si="96"/>
        <v>99</v>
      </c>
      <c r="E1020" s="1051" t="str">
        <f>IF(COUNTIF(E$921:E1019,F1020)&gt;0,"",F1020)</f>
        <v>28, Nogent Rotrou, Les Gauchetières, France continentale, Base Carbone</v>
      </c>
      <c r="F1020" s="1051" t="str">
        <f t="shared" si="97"/>
        <v>28, Nogent Rotrou, Les Gauchetières, France continentale, Base Carbone</v>
      </c>
      <c r="G1020" s="1055" t="str">
        <f t="shared" si="98"/>
        <v>28, Nogent Rotrou, Les Gauchetières, France continentale, Base Carbone; kgCO2e/kWh</v>
      </c>
      <c r="I1020" s="2018" t="s">
        <v>2890</v>
      </c>
      <c r="J1020" s="1135" t="s">
        <v>1681</v>
      </c>
      <c r="K1020" s="1119" t="s">
        <v>1567</v>
      </c>
      <c r="L1020" s="1119" t="s">
        <v>1571</v>
      </c>
      <c r="M1020" s="1134">
        <v>0.3</v>
      </c>
      <c r="N1020" s="1135"/>
      <c r="O1020" s="1135">
        <v>0.219</v>
      </c>
      <c r="P1020" s="1048"/>
      <c r="Q1020" s="1048"/>
      <c r="R1020" s="1048"/>
      <c r="S1020" s="1048"/>
      <c r="T1020" s="1048"/>
      <c r="U1020" s="1102"/>
    </row>
    <row r="1021" spans="2:21" hidden="1" outlineLevel="2">
      <c r="B1021" s="1050">
        <v>100</v>
      </c>
      <c r="C1021" s="2035" t="str">
        <f t="shared" si="95"/>
        <v>28, Voves, Réseau de chaleur de Voves, France continentale, Base Carbone</v>
      </c>
      <c r="D1021" s="1051">
        <f t="shared" si="96"/>
        <v>100</v>
      </c>
      <c r="E1021" s="1051" t="str">
        <f>IF(COUNTIF(E$921:E1020,F1021)&gt;0,"",F1021)</f>
        <v>28, Voves, Réseau de chaleur de Voves, France continentale, Base Carbone</v>
      </c>
      <c r="F1021" s="1051" t="str">
        <f t="shared" si="97"/>
        <v>28, Voves, Réseau de chaleur de Voves, France continentale, Base Carbone</v>
      </c>
      <c r="G1021" s="1055" t="str">
        <f t="shared" si="98"/>
        <v>28, Voves, Réseau de chaleur de Voves, France continentale, Base Carbone; kgCO2e/kWh</v>
      </c>
      <c r="I1021" s="2018" t="s">
        <v>3348</v>
      </c>
      <c r="J1021" s="1135" t="s">
        <v>1681</v>
      </c>
      <c r="K1021" s="1119" t="s">
        <v>1567</v>
      </c>
      <c r="L1021" s="1119" t="s">
        <v>1571</v>
      </c>
      <c r="M1021" s="1134">
        <v>0.3</v>
      </c>
      <c r="N1021" s="1135"/>
      <c r="O1021" s="1135">
        <v>0</v>
      </c>
      <c r="P1021" s="1048"/>
      <c r="Q1021" s="1048"/>
      <c r="R1021" s="1048"/>
      <c r="S1021" s="1048"/>
      <c r="T1021" s="1048"/>
      <c r="U1021" s="1102"/>
    </row>
    <row r="1022" spans="2:21" hidden="1" outlineLevel="2">
      <c r="B1022" s="1050">
        <v>101</v>
      </c>
      <c r="C1022" s="2035" t="str">
        <f t="shared" si="95"/>
        <v>29, Brest, Eco chaleur de Brest, France continentale, Base Carbone</v>
      </c>
      <c r="D1022" s="1051">
        <f t="shared" si="96"/>
        <v>101</v>
      </c>
      <c r="E1022" s="1051" t="str">
        <f>IF(COUNTIF(E$921:E1021,F1022)&gt;0,"",F1022)</f>
        <v>29, Brest, Eco chaleur de Brest, France continentale, Base Carbone</v>
      </c>
      <c r="F1022" s="1051" t="str">
        <f t="shared" si="97"/>
        <v>29, Brest, Eco chaleur de Brest, France continentale, Base Carbone</v>
      </c>
      <c r="G1022" s="1055" t="str">
        <f t="shared" si="98"/>
        <v>29, Brest, Eco chaleur de Brest, France continentale, Base Carbone; kgCO2e/kWh</v>
      </c>
      <c r="I1022" s="2018" t="s">
        <v>3349</v>
      </c>
      <c r="J1022" s="1135" t="s">
        <v>1681</v>
      </c>
      <c r="K1022" s="1119" t="s">
        <v>1567</v>
      </c>
      <c r="L1022" s="1119" t="s">
        <v>1571</v>
      </c>
      <c r="M1022" s="1134">
        <v>0.3</v>
      </c>
      <c r="N1022" s="1135"/>
      <c r="O1022" s="1135">
        <v>0.02</v>
      </c>
      <c r="P1022" s="1048"/>
      <c r="Q1022" s="1048"/>
      <c r="R1022" s="1048"/>
      <c r="S1022" s="1048"/>
      <c r="T1022" s="1048"/>
      <c r="U1022" s="1102"/>
    </row>
    <row r="1023" spans="2:21" hidden="1" outlineLevel="2">
      <c r="B1023" s="1050">
        <v>102</v>
      </c>
      <c r="C1023" s="2035" t="str">
        <f t="shared" si="95"/>
        <v>29, Plougastel-Daoulas, Réseau de Plougastel-Daoulas, France continentale, Base Carbone</v>
      </c>
      <c r="D1023" s="1051">
        <f t="shared" si="96"/>
        <v>102</v>
      </c>
      <c r="E1023" s="1051" t="str">
        <f>IF(COUNTIF(E$921:E1022,F1023)&gt;0,"",F1023)</f>
        <v>29, Plougastel-Daoulas, Réseau de Plougastel-Daoulas, France continentale, Base Carbone</v>
      </c>
      <c r="F1023" s="1051" t="str">
        <f t="shared" si="97"/>
        <v>29, Plougastel-Daoulas, Réseau de Plougastel-Daoulas, France continentale, Base Carbone</v>
      </c>
      <c r="G1023" s="1055" t="str">
        <f t="shared" si="98"/>
        <v>29, Plougastel-Daoulas, Réseau de Plougastel-Daoulas, France continentale, Base Carbone; kgCO2e/kWh</v>
      </c>
      <c r="I1023" s="2018" t="s">
        <v>928</v>
      </c>
      <c r="J1023" s="1135" t="s">
        <v>1681</v>
      </c>
      <c r="K1023" s="1119" t="s">
        <v>1567</v>
      </c>
      <c r="L1023" s="1119" t="s">
        <v>1571</v>
      </c>
      <c r="M1023" s="1134">
        <v>0.3</v>
      </c>
      <c r="N1023" s="1135"/>
      <c r="O1023" s="1135">
        <v>0.02</v>
      </c>
      <c r="P1023" s="1048"/>
      <c r="Q1023" s="1048"/>
      <c r="R1023" s="1048"/>
      <c r="S1023" s="1048"/>
      <c r="T1023" s="1048"/>
      <c r="U1023" s="1102"/>
    </row>
    <row r="1024" spans="2:21" hidden="1" outlineLevel="2">
      <c r="B1024" s="1050">
        <v>103</v>
      </c>
      <c r="C1024" s="2035" t="str">
        <f t="shared" si="95"/>
        <v>3, Commentry, Réseau de Commentry, France continentale, Base Carbone</v>
      </c>
      <c r="D1024" s="1051">
        <f t="shared" si="96"/>
        <v>103</v>
      </c>
      <c r="E1024" s="1051" t="str">
        <f>IF(COUNTIF(E$921:E1023,F1024)&gt;0,"",F1024)</f>
        <v>3, Commentry, Réseau de Commentry, France continentale, Base Carbone</v>
      </c>
      <c r="F1024" s="1051" t="str">
        <f t="shared" si="97"/>
        <v>3, Commentry, Réseau de Commentry, France continentale, Base Carbone</v>
      </c>
      <c r="G1024" s="1055" t="str">
        <f t="shared" si="98"/>
        <v>3, Commentry, Réseau de Commentry, France continentale, Base Carbone; kgCO2e/kWh</v>
      </c>
      <c r="I1024" s="2018" t="s">
        <v>3350</v>
      </c>
      <c r="J1024" s="1135" t="s">
        <v>1681</v>
      </c>
      <c r="K1024" s="1119" t="s">
        <v>1567</v>
      </c>
      <c r="L1024" s="1119" t="s">
        <v>1571</v>
      </c>
      <c r="M1024" s="1134">
        <v>0.3</v>
      </c>
      <c r="N1024" s="1135"/>
      <c r="O1024" s="1135">
        <v>8.1000000000000003E-2</v>
      </c>
      <c r="P1024" s="1048"/>
      <c r="Q1024" s="1048"/>
      <c r="R1024" s="1048"/>
      <c r="S1024" s="1048"/>
      <c r="T1024" s="1048"/>
      <c r="U1024" s="1102"/>
    </row>
    <row r="1025" spans="2:21" hidden="1" outlineLevel="2">
      <c r="B1025" s="1050">
        <v>104</v>
      </c>
      <c r="C1025" s="2035" t="str">
        <f t="shared" si="95"/>
        <v>3, Ebreuil, Réseau de chaleur d’Ebreuil, France continentale, Base Carbone</v>
      </c>
      <c r="D1025" s="1051">
        <f t="shared" si="96"/>
        <v>104</v>
      </c>
      <c r="E1025" s="1051" t="str">
        <f>IF(COUNTIF(E$921:E1024,F1025)&gt;0,"",F1025)</f>
        <v>3, Ebreuil, Réseau de chaleur d’Ebreuil, France continentale, Base Carbone</v>
      </c>
      <c r="F1025" s="1051" t="str">
        <f t="shared" si="97"/>
        <v>3, Ebreuil, Réseau de chaleur d’Ebreuil, France continentale, Base Carbone</v>
      </c>
      <c r="G1025" s="1055" t="str">
        <f t="shared" si="98"/>
        <v>3, Ebreuil, Réseau de chaleur d’Ebreuil, France continentale, Base Carbone; kgCO2e/kWh</v>
      </c>
      <c r="I1025" s="2018" t="s">
        <v>3351</v>
      </c>
      <c r="J1025" s="1135" t="s">
        <v>1681</v>
      </c>
      <c r="K1025" s="1119" t="s">
        <v>1567</v>
      </c>
      <c r="L1025" s="1119" t="s">
        <v>1571</v>
      </c>
      <c r="M1025" s="1134">
        <v>0.3</v>
      </c>
      <c r="N1025" s="1135"/>
      <c r="O1025" s="1135">
        <v>0.03</v>
      </c>
      <c r="P1025" s="1048"/>
      <c r="Q1025" s="1048"/>
      <c r="R1025" s="1048"/>
      <c r="S1025" s="1048"/>
      <c r="T1025" s="1048"/>
      <c r="U1025" s="1102"/>
    </row>
    <row r="1026" spans="2:21" hidden="1" outlineLevel="2">
      <c r="B1026" s="1050">
        <v>105</v>
      </c>
      <c r="C1026" s="2035" t="str">
        <f t="shared" si="95"/>
        <v>3, Le Mayet-de-Montagne, Réseau de Mayet-de-Montagne, France continentale, Base Carbone</v>
      </c>
      <c r="D1026" s="1051">
        <f t="shared" si="96"/>
        <v>105</v>
      </c>
      <c r="E1026" s="1051" t="str">
        <f>IF(COUNTIF(E$921:E1025,F1026)&gt;0,"",F1026)</f>
        <v>3, Le Mayet-de-Montagne, Réseau de Mayet-de-Montagne, France continentale, Base Carbone</v>
      </c>
      <c r="F1026" s="1051" t="str">
        <f t="shared" si="97"/>
        <v>3, Le Mayet-de-Montagne, Réseau de Mayet-de-Montagne, France continentale, Base Carbone</v>
      </c>
      <c r="G1026" s="1055" t="str">
        <f t="shared" si="98"/>
        <v>3, Le Mayet-de-Montagne, Réseau de Mayet-de-Montagne, France continentale, Base Carbone; kgCO2e/kWh</v>
      </c>
      <c r="I1026" s="2018" t="s">
        <v>3352</v>
      </c>
      <c r="J1026" s="1135" t="s">
        <v>1681</v>
      </c>
      <c r="K1026" s="1119" t="s">
        <v>1567</v>
      </c>
      <c r="L1026" s="1119" t="s">
        <v>1571</v>
      </c>
      <c r="M1026" s="1134">
        <v>0.3</v>
      </c>
      <c r="N1026" s="1135"/>
      <c r="O1026" s="1135">
        <v>1.0999999999999999E-2</v>
      </c>
      <c r="P1026" s="1048"/>
      <c r="Q1026" s="1048"/>
      <c r="R1026" s="1048"/>
      <c r="S1026" s="1048"/>
      <c r="T1026" s="1048"/>
      <c r="U1026" s="1102"/>
    </row>
    <row r="1027" spans="2:21" hidden="1" outlineLevel="2">
      <c r="B1027" s="1050">
        <v>106</v>
      </c>
      <c r="C1027" s="2035" t="str">
        <f t="shared" si="95"/>
        <v>3, Meaulne, Réseau de Meaulne, France continentale, Base Carbone</v>
      </c>
      <c r="D1027" s="1051">
        <f t="shared" si="96"/>
        <v>106</v>
      </c>
      <c r="E1027" s="1051" t="str">
        <f>IF(COUNTIF(E$921:E1026,F1027)&gt;0,"",F1027)</f>
        <v>3, Meaulne, Réseau de Meaulne, France continentale, Base Carbone</v>
      </c>
      <c r="F1027" s="1051" t="str">
        <f t="shared" si="97"/>
        <v>3, Meaulne, Réseau de Meaulne, France continentale, Base Carbone</v>
      </c>
      <c r="G1027" s="1055" t="str">
        <f t="shared" si="98"/>
        <v>3, Meaulne, Réseau de Meaulne, France continentale, Base Carbone; kgCO2e/kWh</v>
      </c>
      <c r="I1027" s="2018" t="s">
        <v>3353</v>
      </c>
      <c r="J1027" s="1135" t="s">
        <v>1681</v>
      </c>
      <c r="K1027" s="1119" t="s">
        <v>1567</v>
      </c>
      <c r="L1027" s="1119" t="s">
        <v>1571</v>
      </c>
      <c r="M1027" s="1134">
        <v>0.3</v>
      </c>
      <c r="N1027" s="1135"/>
      <c r="O1027" s="1135">
        <v>0</v>
      </c>
      <c r="P1027" s="1048"/>
      <c r="Q1027" s="1048"/>
      <c r="R1027" s="1048"/>
      <c r="S1027" s="1048"/>
      <c r="T1027" s="1048"/>
      <c r="U1027" s="1102"/>
    </row>
    <row r="1028" spans="2:21" hidden="1" outlineLevel="2">
      <c r="B1028" s="1050">
        <v>107</v>
      </c>
      <c r="C1028" s="2035" t="str">
        <f t="shared" si="95"/>
        <v>3, Montluçon, Fontbouillant, France continentale, Base Carbone</v>
      </c>
      <c r="D1028" s="1051">
        <f t="shared" si="96"/>
        <v>107</v>
      </c>
      <c r="E1028" s="1051" t="str">
        <f>IF(COUNTIF(E$921:E1027,F1028)&gt;0,"",F1028)</f>
        <v>3, Montluçon, Fontbouillant, France continentale, Base Carbone</v>
      </c>
      <c r="F1028" s="1051" t="str">
        <f t="shared" si="97"/>
        <v>3, Montluçon, Fontbouillant, France continentale, Base Carbone</v>
      </c>
      <c r="G1028" s="1055" t="str">
        <f t="shared" si="98"/>
        <v>3, Montluçon, Fontbouillant, France continentale, Base Carbone; kgCO2e/kWh</v>
      </c>
      <c r="I1028" s="2018" t="s">
        <v>1674</v>
      </c>
      <c r="J1028" s="1135" t="s">
        <v>1681</v>
      </c>
      <c r="K1028" s="1119" t="s">
        <v>1567</v>
      </c>
      <c r="L1028" s="1119" t="s">
        <v>1571</v>
      </c>
      <c r="M1028" s="1134">
        <v>0.3</v>
      </c>
      <c r="N1028" s="1135"/>
      <c r="O1028" s="1135">
        <v>0.14199999999999999</v>
      </c>
      <c r="P1028" s="1048"/>
      <c r="Q1028" s="1048"/>
      <c r="R1028" s="1048"/>
      <c r="S1028" s="1048"/>
      <c r="T1028" s="1048"/>
      <c r="U1028" s="1102"/>
    </row>
    <row r="1029" spans="2:21" hidden="1" outlineLevel="2">
      <c r="B1029" s="1050">
        <v>108</v>
      </c>
      <c r="C1029" s="2035" t="str">
        <f t="shared" si="95"/>
        <v>3, Moulins, Réseau de Moulins, France continentale, Base Carbone</v>
      </c>
      <c r="D1029" s="1051">
        <f t="shared" si="96"/>
        <v>108</v>
      </c>
      <c r="E1029" s="1051" t="str">
        <f>IF(COUNTIF(E$921:E1028,F1029)&gt;0,"",F1029)</f>
        <v>3, Moulins, Réseau de Moulins, France continentale, Base Carbone</v>
      </c>
      <c r="F1029" s="1051" t="str">
        <f t="shared" si="97"/>
        <v>3, Moulins, Réseau de Moulins, France continentale, Base Carbone</v>
      </c>
      <c r="G1029" s="1055" t="str">
        <f t="shared" si="98"/>
        <v>3, Moulins, Réseau de Moulins, France continentale, Base Carbone; kgCO2e/kWh</v>
      </c>
      <c r="I1029" s="2018" t="s">
        <v>1675</v>
      </c>
      <c r="J1029" s="1135" t="s">
        <v>1681</v>
      </c>
      <c r="K1029" s="1119" t="s">
        <v>1567</v>
      </c>
      <c r="L1029" s="1119" t="s">
        <v>1571</v>
      </c>
      <c r="M1029" s="1134">
        <v>0.3</v>
      </c>
      <c r="N1029" s="1135"/>
      <c r="O1029" s="1135">
        <v>2.7E-2</v>
      </c>
      <c r="P1029" s="1048"/>
      <c r="Q1029" s="1048"/>
      <c r="R1029" s="1048"/>
      <c r="S1029" s="1048"/>
      <c r="T1029" s="1048"/>
      <c r="U1029" s="1102"/>
    </row>
    <row r="1030" spans="2:21" hidden="1" outlineLevel="2">
      <c r="B1030" s="1050">
        <v>109</v>
      </c>
      <c r="C1030" s="2035" t="str">
        <f t="shared" si="95"/>
        <v>30, Ales, DALAE, France continentale, Base Carbone</v>
      </c>
      <c r="D1030" s="1051">
        <f t="shared" si="96"/>
        <v>109</v>
      </c>
      <c r="E1030" s="1051" t="str">
        <f>IF(COUNTIF(E$921:E1029,F1030)&gt;0,"",F1030)</f>
        <v>30, Ales, DALAE, France continentale, Base Carbone</v>
      </c>
      <c r="F1030" s="1051" t="str">
        <f t="shared" si="97"/>
        <v>30, Ales, DALAE, France continentale, Base Carbone</v>
      </c>
      <c r="G1030" s="1055" t="str">
        <f t="shared" si="98"/>
        <v>30, Ales, DALAE, France continentale, Base Carbone; kgCO2e/kWh</v>
      </c>
      <c r="I1030" s="2018" t="s">
        <v>3354</v>
      </c>
      <c r="J1030" s="1135" t="s">
        <v>1681</v>
      </c>
      <c r="K1030" s="1119" t="s">
        <v>1567</v>
      </c>
      <c r="L1030" s="1119" t="s">
        <v>1571</v>
      </c>
      <c r="M1030" s="1134">
        <v>0.3</v>
      </c>
      <c r="N1030" s="1135"/>
      <c r="O1030" s="1135">
        <v>0.08</v>
      </c>
      <c r="P1030" s="1048"/>
      <c r="Q1030" s="1048"/>
      <c r="R1030" s="1048"/>
      <c r="S1030" s="1048"/>
      <c r="T1030" s="1048"/>
      <c r="U1030" s="1102"/>
    </row>
    <row r="1031" spans="2:21" hidden="1" outlineLevel="2">
      <c r="B1031" s="1050">
        <v>110</v>
      </c>
      <c r="C1031" s="2035" t="str">
        <f t="shared" si="95"/>
        <v>30, Lamelouze, Réseau Lamelouze, France continentale, Base Carbone</v>
      </c>
      <c r="D1031" s="1051">
        <f t="shared" si="96"/>
        <v>110</v>
      </c>
      <c r="E1031" s="1051" t="str">
        <f>IF(COUNTIF(E$921:E1030,F1031)&gt;0,"",F1031)</f>
        <v>30, Lamelouze, Réseau Lamelouze, France continentale, Base Carbone</v>
      </c>
      <c r="F1031" s="1051" t="str">
        <f t="shared" si="97"/>
        <v>30, Lamelouze, Réseau Lamelouze, France continentale, Base Carbone</v>
      </c>
      <c r="G1031" s="1055" t="str">
        <f t="shared" si="98"/>
        <v>30, Lamelouze, Réseau Lamelouze, France continentale, Base Carbone; kgCO2e/kWh</v>
      </c>
      <c r="I1031" s="2018" t="s">
        <v>3355</v>
      </c>
      <c r="J1031" s="1135" t="s">
        <v>1681</v>
      </c>
      <c r="K1031" s="1119" t="s">
        <v>1567</v>
      </c>
      <c r="L1031" s="1119" t="s">
        <v>1571</v>
      </c>
      <c r="M1031" s="1134">
        <v>0.3</v>
      </c>
      <c r="N1031" s="1135"/>
      <c r="O1031" s="1135">
        <v>0</v>
      </c>
      <c r="P1031" s="1048"/>
      <c r="Q1031" s="1048"/>
      <c r="R1031" s="1048"/>
      <c r="S1031" s="1048"/>
      <c r="T1031" s="1048"/>
      <c r="U1031" s="1102"/>
    </row>
    <row r="1032" spans="2:21" hidden="1" outlineLevel="2">
      <c r="B1032" s="1050">
        <v>111</v>
      </c>
      <c r="C1032" s="2035" t="str">
        <f t="shared" si="95"/>
        <v>30, Nîmes, Quartier Ouest, France continentale, Base Carbone</v>
      </c>
      <c r="D1032" s="1051">
        <f t="shared" si="96"/>
        <v>111</v>
      </c>
      <c r="E1032" s="1051" t="str">
        <f>IF(COUNTIF(E$921:E1031,F1032)&gt;0,"",F1032)</f>
        <v>30, Nîmes, Quartier Ouest, France continentale, Base Carbone</v>
      </c>
      <c r="F1032" s="1051" t="str">
        <f t="shared" si="97"/>
        <v>30, Nîmes, Quartier Ouest, France continentale, Base Carbone</v>
      </c>
      <c r="G1032" s="1055" t="str">
        <f t="shared" si="98"/>
        <v>30, Nîmes, Quartier Ouest, France continentale, Base Carbone; kgCO2e/kWh</v>
      </c>
      <c r="I1032" s="2018" t="s">
        <v>929</v>
      </c>
      <c r="J1032" s="1135" t="s">
        <v>1681</v>
      </c>
      <c r="K1032" s="1119" t="s">
        <v>1567</v>
      </c>
      <c r="L1032" s="1119" t="s">
        <v>1571</v>
      </c>
      <c r="M1032" s="1134">
        <v>0.3</v>
      </c>
      <c r="N1032" s="1135"/>
      <c r="O1032" s="1135">
        <v>0.1</v>
      </c>
      <c r="P1032" s="1048"/>
      <c r="Q1032" s="1048"/>
      <c r="R1032" s="1048"/>
      <c r="S1032" s="1048"/>
      <c r="T1032" s="1048"/>
      <c r="U1032" s="1102"/>
    </row>
    <row r="1033" spans="2:21" hidden="1" outlineLevel="2">
      <c r="B1033" s="1050">
        <v>112</v>
      </c>
      <c r="C1033" s="2035" t="str">
        <f t="shared" si="95"/>
        <v>31, Ayguevives, Réseau En Turet, France continentale, Base Carbone</v>
      </c>
      <c r="D1033" s="1051">
        <f t="shared" si="96"/>
        <v>112</v>
      </c>
      <c r="E1033" s="1051" t="str">
        <f>IF(COUNTIF(E$921:E1032,F1033)&gt;0,"",F1033)</f>
        <v>31, Ayguevives, Réseau En Turet, France continentale, Base Carbone</v>
      </c>
      <c r="F1033" s="1051" t="str">
        <f t="shared" si="97"/>
        <v>31, Ayguevives, Réseau En Turet, France continentale, Base Carbone</v>
      </c>
      <c r="G1033" s="1055" t="str">
        <f t="shared" si="98"/>
        <v>31, Ayguevives, Réseau En Turet, France continentale, Base Carbone; kgCO2e/kWh</v>
      </c>
      <c r="I1033" s="2018" t="s">
        <v>2891</v>
      </c>
      <c r="J1033" s="1135" t="s">
        <v>1681</v>
      </c>
      <c r="K1033" s="1119" t="s">
        <v>1567</v>
      </c>
      <c r="L1033" s="1119" t="s">
        <v>1571</v>
      </c>
      <c r="M1033" s="1134">
        <v>0.3</v>
      </c>
      <c r="N1033" s="1135"/>
      <c r="O1033" s="1135">
        <v>7.6999999999999999E-2</v>
      </c>
      <c r="P1033" s="1048"/>
      <c r="Q1033" s="1048"/>
      <c r="R1033" s="1048"/>
      <c r="S1033" s="1048"/>
      <c r="T1033" s="1048"/>
      <c r="U1033" s="1102"/>
    </row>
    <row r="1034" spans="2:21" hidden="1" outlineLevel="2">
      <c r="B1034" s="1050">
        <v>113</v>
      </c>
      <c r="C1034" s="2035" t="str">
        <f t="shared" si="95"/>
        <v>31, Balma, Eco-quartier Balma Vidailhan, France continentale, Base Carbone</v>
      </c>
      <c r="D1034" s="1051">
        <f t="shared" si="96"/>
        <v>113</v>
      </c>
      <c r="E1034" s="1051" t="str">
        <f>IF(COUNTIF(E$921:E1033,F1034)&gt;0,"",F1034)</f>
        <v>31, Balma, Eco-quartier Balma Vidailhan, France continentale, Base Carbone</v>
      </c>
      <c r="F1034" s="1051" t="str">
        <f t="shared" si="97"/>
        <v>31, Balma, Eco-quartier Balma Vidailhan, France continentale, Base Carbone</v>
      </c>
      <c r="G1034" s="1055" t="str">
        <f t="shared" si="98"/>
        <v>31, Balma, Eco-quartier Balma Vidailhan, France continentale, Base Carbone; kgCO2e/kWh</v>
      </c>
      <c r="I1034" s="2018" t="s">
        <v>2892</v>
      </c>
      <c r="J1034" s="1135" t="s">
        <v>1681</v>
      </c>
      <c r="K1034" s="1119" t="s">
        <v>1567</v>
      </c>
      <c r="L1034" s="1119" t="s">
        <v>1571</v>
      </c>
      <c r="M1034" s="1134">
        <v>0.3</v>
      </c>
      <c r="N1034" s="1135"/>
      <c r="O1034" s="1135">
        <v>8.3000000000000004E-2</v>
      </c>
      <c r="P1034" s="1048"/>
      <c r="Q1034" s="1048"/>
      <c r="R1034" s="1048"/>
      <c r="S1034" s="1048"/>
      <c r="T1034" s="1048"/>
      <c r="U1034" s="1102"/>
    </row>
    <row r="1035" spans="2:21" hidden="1" outlineLevel="2">
      <c r="B1035" s="1050">
        <v>114</v>
      </c>
      <c r="C1035" s="2035" t="str">
        <f t="shared" si="95"/>
        <v>31, Blagnac, ZAC du Ritouret, France continentale, Base Carbone</v>
      </c>
      <c r="D1035" s="1051">
        <f t="shared" si="96"/>
        <v>114</v>
      </c>
      <c r="E1035" s="1051" t="str">
        <f>IF(COUNTIF(E$921:E1034,F1035)&gt;0,"",F1035)</f>
        <v>31, Blagnac, ZAC du Ritouret, France continentale, Base Carbone</v>
      </c>
      <c r="F1035" s="1051" t="str">
        <f t="shared" si="97"/>
        <v>31, Blagnac, ZAC du Ritouret, France continentale, Base Carbone</v>
      </c>
      <c r="G1035" s="1055" t="str">
        <f t="shared" si="98"/>
        <v>31, Blagnac, ZAC du Ritouret, France continentale, Base Carbone; kgCO2e/kWh</v>
      </c>
      <c r="I1035" s="2018" t="s">
        <v>930</v>
      </c>
      <c r="J1035" s="1135" t="s">
        <v>1681</v>
      </c>
      <c r="K1035" s="1119" t="s">
        <v>1567</v>
      </c>
      <c r="L1035" s="1119" t="s">
        <v>1571</v>
      </c>
      <c r="M1035" s="1134">
        <v>0.3</v>
      </c>
      <c r="N1035" s="1135"/>
      <c r="O1035" s="1135">
        <v>0.122</v>
      </c>
      <c r="P1035" s="1048"/>
      <c r="Q1035" s="1048"/>
      <c r="R1035" s="1048"/>
      <c r="S1035" s="1048"/>
      <c r="T1035" s="1048"/>
      <c r="U1035" s="1102"/>
    </row>
    <row r="1036" spans="2:21" hidden="1" outlineLevel="2">
      <c r="B1036" s="1050">
        <v>115</v>
      </c>
      <c r="C1036" s="2035" t="str">
        <f t="shared" si="95"/>
        <v>31, Toulouse, Canceropôle, France continentale, Base Carbone</v>
      </c>
      <c r="D1036" s="1051">
        <f t="shared" si="96"/>
        <v>115</v>
      </c>
      <c r="E1036" s="1051" t="str">
        <f>IF(COUNTIF(E$921:E1035,F1036)&gt;0,"",F1036)</f>
        <v>31, Toulouse, Canceropôle, France continentale, Base Carbone</v>
      </c>
      <c r="F1036" s="1051" t="str">
        <f t="shared" si="97"/>
        <v>31, Toulouse, Canceropôle, France continentale, Base Carbone</v>
      </c>
      <c r="G1036" s="1055" t="str">
        <f t="shared" si="98"/>
        <v>31, Toulouse, Canceropôle, France continentale, Base Carbone; kgCO2e/kWh</v>
      </c>
      <c r="I1036" s="2018" t="s">
        <v>2893</v>
      </c>
      <c r="J1036" s="1135" t="s">
        <v>1681</v>
      </c>
      <c r="K1036" s="1119" t="s">
        <v>1567</v>
      </c>
      <c r="L1036" s="1119" t="s">
        <v>1571</v>
      </c>
      <c r="M1036" s="1134">
        <v>0.3</v>
      </c>
      <c r="N1036" s="1135"/>
      <c r="O1036" s="1135">
        <v>1.7000000000000001E-2</v>
      </c>
      <c r="P1036" s="1048"/>
      <c r="Q1036" s="1048"/>
      <c r="R1036" s="1048"/>
      <c r="S1036" s="1048"/>
      <c r="T1036" s="1048"/>
      <c r="U1036" s="1102"/>
    </row>
    <row r="1037" spans="2:21" hidden="1" outlineLevel="2">
      <c r="B1037" s="1050">
        <v>116</v>
      </c>
      <c r="C1037" s="2035" t="str">
        <f t="shared" si="95"/>
        <v>31, Toulouse, Ensemble Universitaire de Toulouse Rangueil, France continentale, Base Carbone</v>
      </c>
      <c r="D1037" s="1051">
        <f t="shared" si="96"/>
        <v>116</v>
      </c>
      <c r="E1037" s="1051" t="str">
        <f>IF(COUNTIF(E$921:E1036,F1037)&gt;0,"",F1037)</f>
        <v>31, Toulouse, Ensemble Universitaire de Toulouse Rangueil, France continentale, Base Carbone</v>
      </c>
      <c r="F1037" s="1051" t="str">
        <f t="shared" si="97"/>
        <v>31, Toulouse, Ensemble Universitaire de Toulouse Rangueil, France continentale, Base Carbone</v>
      </c>
      <c r="G1037" s="1055" t="str">
        <f t="shared" si="98"/>
        <v>31, Toulouse, Ensemble Universitaire de Toulouse Rangueil, France continentale, Base Carbone; kgCO2e/kWh</v>
      </c>
      <c r="I1037" s="2018" t="s">
        <v>2894</v>
      </c>
      <c r="J1037" s="1135" t="s">
        <v>1681</v>
      </c>
      <c r="K1037" s="1119" t="s">
        <v>1567</v>
      </c>
      <c r="L1037" s="1119" t="s">
        <v>1571</v>
      </c>
      <c r="M1037" s="1134">
        <v>0.3</v>
      </c>
      <c r="N1037" s="1135"/>
      <c r="O1037" s="1135">
        <v>0.32400000000000001</v>
      </c>
      <c r="P1037" s="1048"/>
      <c r="Q1037" s="1048"/>
      <c r="R1037" s="1048"/>
      <c r="S1037" s="1048"/>
      <c r="T1037" s="1048"/>
      <c r="U1037" s="1102"/>
    </row>
    <row r="1038" spans="2:21" hidden="1" outlineLevel="2">
      <c r="B1038" s="1050">
        <v>117</v>
      </c>
      <c r="C1038" s="2035" t="str">
        <f t="shared" si="95"/>
        <v>31, Toulouse, Réseau de Toulouse Mirail, France continentale, Base Carbone</v>
      </c>
      <c r="D1038" s="1051">
        <f t="shared" si="96"/>
        <v>117</v>
      </c>
      <c r="E1038" s="1051" t="str">
        <f>IF(COUNTIF(E$921:E1037,F1038)&gt;0,"",F1038)</f>
        <v>31, Toulouse, Réseau de Toulouse Mirail, France continentale, Base Carbone</v>
      </c>
      <c r="F1038" s="1051" t="str">
        <f t="shared" si="97"/>
        <v>31, Toulouse, Réseau de Toulouse Mirail, France continentale, Base Carbone</v>
      </c>
      <c r="G1038" s="1055" t="str">
        <f t="shared" si="98"/>
        <v>31, Toulouse, Réseau de Toulouse Mirail, France continentale, Base Carbone; kgCO2e/kWh</v>
      </c>
      <c r="I1038" s="2018" t="s">
        <v>3356</v>
      </c>
      <c r="J1038" s="1135" t="s">
        <v>1681</v>
      </c>
      <c r="K1038" s="1119" t="s">
        <v>1567</v>
      </c>
      <c r="L1038" s="1119" t="s">
        <v>1571</v>
      </c>
      <c r="M1038" s="1134">
        <v>0.3</v>
      </c>
      <c r="N1038" s="1135"/>
      <c r="O1038" s="1135">
        <v>0</v>
      </c>
      <c r="P1038" s="1048"/>
      <c r="Q1038" s="1048"/>
      <c r="R1038" s="1048"/>
      <c r="S1038" s="1048"/>
      <c r="T1038" s="1048"/>
      <c r="U1038" s="1102"/>
    </row>
    <row r="1039" spans="2:21" hidden="1" outlineLevel="2">
      <c r="B1039" s="1050">
        <v>118</v>
      </c>
      <c r="C1039" s="2035" t="str">
        <f t="shared" si="95"/>
        <v>31, Toulouse, Réseau Saint-Exupéry, France continentale, Base Carbone</v>
      </c>
      <c r="D1039" s="1051">
        <f t="shared" si="96"/>
        <v>118</v>
      </c>
      <c r="E1039" s="1051" t="str">
        <f>IF(COUNTIF(E$921:E1038,F1039)&gt;0,"",F1039)</f>
        <v>31, Toulouse, Réseau Saint-Exupéry, France continentale, Base Carbone</v>
      </c>
      <c r="F1039" s="1051" t="str">
        <f t="shared" si="97"/>
        <v>31, Toulouse, Réseau Saint-Exupéry, France continentale, Base Carbone</v>
      </c>
      <c r="G1039" s="1055" t="str">
        <f t="shared" si="98"/>
        <v>31, Toulouse, Réseau Saint-Exupéry, France continentale, Base Carbone; kgCO2e/kWh</v>
      </c>
      <c r="I1039" s="2018" t="s">
        <v>2895</v>
      </c>
      <c r="J1039" s="1135" t="s">
        <v>1681</v>
      </c>
      <c r="K1039" s="1119" t="s">
        <v>1567</v>
      </c>
      <c r="L1039" s="1119" t="s">
        <v>1571</v>
      </c>
      <c r="M1039" s="1134">
        <v>0.3</v>
      </c>
      <c r="N1039" s="1135"/>
      <c r="O1039" s="1135">
        <v>0.2</v>
      </c>
      <c r="P1039" s="1048"/>
      <c r="Q1039" s="1048"/>
      <c r="R1039" s="1048"/>
      <c r="S1039" s="1048"/>
      <c r="T1039" s="1048"/>
      <c r="U1039" s="1102"/>
    </row>
    <row r="1040" spans="2:21" hidden="1" outlineLevel="2">
      <c r="B1040" s="1050">
        <v>119</v>
      </c>
      <c r="C1040" s="2035" t="str">
        <f t="shared" si="95"/>
        <v>33, Bègles, Réseau de Terre Neuves, France continentale, Base Carbone</v>
      </c>
      <c r="D1040" s="1051">
        <f t="shared" si="96"/>
        <v>119</v>
      </c>
      <c r="E1040" s="1051" t="str">
        <f>IF(COUNTIF(E$921:E1039,F1040)&gt;0,"",F1040)</f>
        <v>33, Bègles, Réseau de Terre Neuves, France continentale, Base Carbone</v>
      </c>
      <c r="F1040" s="1051" t="str">
        <f t="shared" si="97"/>
        <v>33, Bègles, Réseau de Terre Neuves, France continentale, Base Carbone</v>
      </c>
      <c r="G1040" s="1055" t="str">
        <f t="shared" si="98"/>
        <v>33, Bègles, Réseau de Terre Neuves, France continentale, Base Carbone; kgCO2e/kWh</v>
      </c>
      <c r="I1040" s="2018" t="s">
        <v>2896</v>
      </c>
      <c r="J1040" s="1135" t="s">
        <v>1681</v>
      </c>
      <c r="K1040" s="1119" t="s">
        <v>1567</v>
      </c>
      <c r="L1040" s="1119" t="s">
        <v>1571</v>
      </c>
      <c r="M1040" s="1134">
        <v>0.3</v>
      </c>
      <c r="N1040" s="1135"/>
      <c r="O1040" s="1135">
        <v>0.11</v>
      </c>
      <c r="P1040" s="1048"/>
      <c r="Q1040" s="1048"/>
      <c r="R1040" s="1048"/>
      <c r="S1040" s="1048"/>
      <c r="T1040" s="1048"/>
      <c r="U1040" s="1102"/>
    </row>
    <row r="1041" spans="2:21" hidden="1" outlineLevel="2">
      <c r="B1041" s="1050">
        <v>120</v>
      </c>
      <c r="C1041" s="2035" t="str">
        <f t="shared" si="95"/>
        <v>33, Bordeaux, Bassins à flots, France continentale, Base Carbone</v>
      </c>
      <c r="D1041" s="1051">
        <f t="shared" si="96"/>
        <v>120</v>
      </c>
      <c r="E1041" s="1051" t="str">
        <f>IF(COUNTIF(E$921:E1040,F1041)&gt;0,"",F1041)</f>
        <v>33, Bordeaux, Bassins à flots, France continentale, Base Carbone</v>
      </c>
      <c r="F1041" s="1051" t="str">
        <f t="shared" si="97"/>
        <v>33, Bordeaux, Bassins à flots, France continentale, Base Carbone</v>
      </c>
      <c r="G1041" s="1055" t="str">
        <f t="shared" si="98"/>
        <v>33, Bordeaux, Bassins à flots, France continentale, Base Carbone; kgCO2e/kWh</v>
      </c>
      <c r="I1041" s="2018" t="s">
        <v>3357</v>
      </c>
      <c r="J1041" s="1135" t="s">
        <v>1681</v>
      </c>
      <c r="K1041" s="1119" t="s">
        <v>1567</v>
      </c>
      <c r="L1041" s="1119" t="s">
        <v>1571</v>
      </c>
      <c r="M1041" s="1134">
        <v>0.3</v>
      </c>
      <c r="N1041" s="1135"/>
      <c r="O1041" s="1135">
        <v>2.9000000000000001E-2</v>
      </c>
      <c r="P1041" s="1048"/>
      <c r="Q1041" s="1048"/>
      <c r="R1041" s="1048"/>
      <c r="S1041" s="1048"/>
      <c r="T1041" s="1048"/>
      <c r="U1041" s="1102"/>
    </row>
    <row r="1042" spans="2:21" hidden="1" outlineLevel="2">
      <c r="B1042" s="1050">
        <v>121</v>
      </c>
      <c r="C1042" s="2035" t="str">
        <f t="shared" si="95"/>
        <v>33, Bordeaux, Bordeaux Begles Energies, France continentale, Base Carbone</v>
      </c>
      <c r="D1042" s="1051">
        <f t="shared" si="96"/>
        <v>121</v>
      </c>
      <c r="E1042" s="1051" t="str">
        <f>IF(COUNTIF(E$921:E1041,F1042)&gt;0,"",F1042)</f>
        <v>33, Bordeaux, Bordeaux Begles Energies, France continentale, Base Carbone</v>
      </c>
      <c r="F1042" s="1051" t="str">
        <f t="shared" si="97"/>
        <v>33, Bordeaux, Bordeaux Begles Energies, France continentale, Base Carbone</v>
      </c>
      <c r="G1042" s="1055" t="str">
        <f t="shared" si="98"/>
        <v>33, Bordeaux, Bordeaux Begles Energies, France continentale, Base Carbone; kgCO2e/kWh</v>
      </c>
      <c r="I1042" s="2018" t="s">
        <v>3358</v>
      </c>
      <c r="J1042" s="1135" t="s">
        <v>1681</v>
      </c>
      <c r="K1042" s="1119" t="s">
        <v>1567</v>
      </c>
      <c r="L1042" s="1119" t="s">
        <v>1571</v>
      </c>
      <c r="M1042" s="1134">
        <v>0.3</v>
      </c>
      <c r="N1042" s="1135"/>
      <c r="O1042" s="1135">
        <v>0.28499999999999998</v>
      </c>
      <c r="P1042" s="1048"/>
      <c r="Q1042" s="1048"/>
      <c r="R1042" s="1048"/>
      <c r="S1042" s="1048"/>
      <c r="T1042" s="1048"/>
      <c r="U1042" s="1102"/>
    </row>
    <row r="1043" spans="2:21" hidden="1" outlineLevel="2">
      <c r="B1043" s="1050">
        <v>122</v>
      </c>
      <c r="C1043" s="2035" t="str">
        <f t="shared" si="95"/>
        <v>33, Bordeaux, Grand Parc, France continentale, Base Carbone</v>
      </c>
      <c r="D1043" s="1051">
        <f t="shared" si="96"/>
        <v>122</v>
      </c>
      <c r="E1043" s="1051" t="str">
        <f>IF(COUNTIF(E$921:E1042,F1043)&gt;0,"",F1043)</f>
        <v>33, Bordeaux, Grand Parc, France continentale, Base Carbone</v>
      </c>
      <c r="F1043" s="1051" t="str">
        <f t="shared" si="97"/>
        <v>33, Bordeaux, Grand Parc, France continentale, Base Carbone</v>
      </c>
      <c r="G1043" s="1055" t="str">
        <f t="shared" si="98"/>
        <v>33, Bordeaux, Grand Parc, France continentale, Base Carbone; kgCO2e/kWh</v>
      </c>
      <c r="I1043" s="2018" t="s">
        <v>2897</v>
      </c>
      <c r="J1043" s="1135" t="s">
        <v>1681</v>
      </c>
      <c r="K1043" s="1119" t="s">
        <v>1567</v>
      </c>
      <c r="L1043" s="1119" t="s">
        <v>1571</v>
      </c>
      <c r="M1043" s="1134">
        <v>0.3</v>
      </c>
      <c r="N1043" s="1135"/>
      <c r="O1043" s="1135">
        <v>0.185</v>
      </c>
      <c r="P1043" s="1048"/>
      <c r="Q1043" s="1048"/>
      <c r="R1043" s="1048"/>
      <c r="S1043" s="1048"/>
      <c r="T1043" s="1048"/>
      <c r="U1043" s="1102"/>
    </row>
    <row r="1044" spans="2:21" hidden="1" outlineLevel="2">
      <c r="B1044" s="1050">
        <v>123</v>
      </c>
      <c r="C1044" s="2035" t="str">
        <f t="shared" si="95"/>
        <v>33, Bordeaux, Mériadeck, France continentale, Base Carbone</v>
      </c>
      <c r="D1044" s="1051">
        <f t="shared" si="96"/>
        <v>123</v>
      </c>
      <c r="E1044" s="1051" t="str">
        <f>IF(COUNTIF(E$921:E1043,F1044)&gt;0,"",F1044)</f>
        <v>33, Bordeaux, Mériadeck, France continentale, Base Carbone</v>
      </c>
      <c r="F1044" s="1051" t="str">
        <f t="shared" si="97"/>
        <v>33, Bordeaux, Mériadeck, France continentale, Base Carbone</v>
      </c>
      <c r="G1044" s="1055" t="str">
        <f t="shared" si="98"/>
        <v>33, Bordeaux, Mériadeck, France continentale, Base Carbone; kgCO2e/kWh</v>
      </c>
      <c r="I1044" s="2018" t="s">
        <v>2898</v>
      </c>
      <c r="J1044" s="1135" t="s">
        <v>1681</v>
      </c>
      <c r="K1044" s="1119" t="s">
        <v>1567</v>
      </c>
      <c r="L1044" s="1119" t="s">
        <v>1571</v>
      </c>
      <c r="M1044" s="1134">
        <v>0.3</v>
      </c>
      <c r="N1044" s="1135"/>
      <c r="O1044" s="1135">
        <v>0</v>
      </c>
      <c r="P1044" s="1048"/>
      <c r="Q1044" s="1048"/>
      <c r="R1044" s="1048"/>
      <c r="S1044" s="1048"/>
      <c r="T1044" s="1048"/>
      <c r="U1044" s="1102"/>
    </row>
    <row r="1045" spans="2:21" hidden="1" outlineLevel="2">
      <c r="B1045" s="1050">
        <v>124</v>
      </c>
      <c r="C1045" s="2035" t="str">
        <f t="shared" si="95"/>
        <v>33, Cenon, Rive Droite Energies, France continentale, Base Carbone</v>
      </c>
      <c r="D1045" s="1051">
        <f t="shared" si="96"/>
        <v>124</v>
      </c>
      <c r="E1045" s="1051" t="str">
        <f>IF(COUNTIF(E$921:E1044,F1045)&gt;0,"",F1045)</f>
        <v>33, Cenon, Rive Droite Energies, France continentale, Base Carbone</v>
      </c>
      <c r="F1045" s="1051" t="str">
        <f t="shared" si="97"/>
        <v>33, Cenon, Rive Droite Energies, France continentale, Base Carbone</v>
      </c>
      <c r="G1045" s="1055" t="str">
        <f t="shared" si="98"/>
        <v>33, Cenon, Rive Droite Energies, France continentale, Base Carbone; kgCO2e/kWh</v>
      </c>
      <c r="I1045" s="2018" t="s">
        <v>3359</v>
      </c>
      <c r="J1045" s="1135" t="s">
        <v>1681</v>
      </c>
      <c r="K1045" s="1119" t="s">
        <v>1567</v>
      </c>
      <c r="L1045" s="1119" t="s">
        <v>1571</v>
      </c>
      <c r="M1045" s="1134">
        <v>0.3</v>
      </c>
      <c r="N1045" s="1135"/>
      <c r="O1045" s="1135">
        <v>4.8000000000000001E-2</v>
      </c>
      <c r="P1045" s="1048"/>
      <c r="Q1045" s="1048"/>
      <c r="R1045" s="1048"/>
      <c r="S1045" s="1048"/>
      <c r="T1045" s="1048"/>
      <c r="U1045" s="1102"/>
    </row>
    <row r="1046" spans="2:21" hidden="1" outlineLevel="2">
      <c r="B1046" s="1050">
        <v>125</v>
      </c>
      <c r="C1046" s="2035" t="str">
        <f t="shared" si="95"/>
        <v>33, Gironde-sur-Dropt, Réseau de chaleur de Gironde sur Dropt, France continentale, Base Carbone</v>
      </c>
      <c r="D1046" s="1051">
        <f t="shared" si="96"/>
        <v>125</v>
      </c>
      <c r="E1046" s="1051" t="str">
        <f>IF(COUNTIF(E$921:E1045,F1046)&gt;0,"",F1046)</f>
        <v>33, Gironde-sur-Dropt, Réseau de chaleur de Gironde sur Dropt, France continentale, Base Carbone</v>
      </c>
      <c r="F1046" s="1051" t="str">
        <f t="shared" si="97"/>
        <v>33, Gironde-sur-Dropt, Réseau de chaleur de Gironde sur Dropt, France continentale, Base Carbone</v>
      </c>
      <c r="G1046" s="1055" t="str">
        <f t="shared" si="98"/>
        <v>33, Gironde-sur-Dropt, Réseau de chaleur de Gironde sur Dropt, France continentale, Base Carbone; kgCO2e/kWh</v>
      </c>
      <c r="I1046" s="2018" t="s">
        <v>3360</v>
      </c>
      <c r="J1046" s="1135" t="s">
        <v>1681</v>
      </c>
      <c r="K1046" s="1119" t="s">
        <v>1567</v>
      </c>
      <c r="L1046" s="1119" t="s">
        <v>1571</v>
      </c>
      <c r="M1046" s="1134">
        <v>0.3</v>
      </c>
      <c r="N1046" s="1135"/>
      <c r="O1046" s="1135">
        <v>0.06</v>
      </c>
      <c r="P1046" s="1048"/>
      <c r="Q1046" s="1048"/>
      <c r="R1046" s="1048"/>
      <c r="S1046" s="1048"/>
      <c r="T1046" s="1048"/>
      <c r="U1046" s="1102"/>
    </row>
    <row r="1047" spans="2:21" hidden="1" outlineLevel="2">
      <c r="B1047" s="1050">
        <v>126</v>
      </c>
      <c r="C1047" s="2035" t="str">
        <f t="shared" si="95"/>
        <v>33, La Réole, Réseau de la Réole, France continentale, Base Carbone</v>
      </c>
      <c r="D1047" s="1051">
        <f t="shared" si="96"/>
        <v>126</v>
      </c>
      <c r="E1047" s="1051" t="str">
        <f>IF(COUNTIF(E$921:E1046,F1047)&gt;0,"",F1047)</f>
        <v>33, La Réole, Réseau de la Réole, France continentale, Base Carbone</v>
      </c>
      <c r="F1047" s="1051" t="str">
        <f t="shared" si="97"/>
        <v>33, La Réole, Réseau de la Réole, France continentale, Base Carbone</v>
      </c>
      <c r="G1047" s="1055" t="str">
        <f t="shared" si="98"/>
        <v>33, La Réole, Réseau de la Réole, France continentale, Base Carbone; kgCO2e/kWh</v>
      </c>
      <c r="I1047" s="2018" t="s">
        <v>2899</v>
      </c>
      <c r="J1047" s="1135" t="s">
        <v>1681</v>
      </c>
      <c r="K1047" s="1119" t="s">
        <v>1567</v>
      </c>
      <c r="L1047" s="1119" t="s">
        <v>1571</v>
      </c>
      <c r="M1047" s="1134">
        <v>0.3</v>
      </c>
      <c r="N1047" s="1135"/>
      <c r="O1047" s="1135">
        <v>5.0000000000000001E-3</v>
      </c>
      <c r="P1047" s="1048"/>
      <c r="Q1047" s="1048"/>
      <c r="R1047" s="1048"/>
      <c r="S1047" s="1048"/>
      <c r="T1047" s="1048"/>
      <c r="U1047" s="1102"/>
    </row>
    <row r="1048" spans="2:21" hidden="1" outlineLevel="2">
      <c r="B1048" s="1050">
        <v>127</v>
      </c>
      <c r="C1048" s="2035" t="str">
        <f t="shared" si="95"/>
        <v>33, Le Barp, Laseris, France continentale, Base Carbone</v>
      </c>
      <c r="D1048" s="1051">
        <f t="shared" si="96"/>
        <v>127</v>
      </c>
      <c r="E1048" s="1051" t="str">
        <f>IF(COUNTIF(E$921:E1047,F1048)&gt;0,"",F1048)</f>
        <v>33, Le Barp, Laseris, France continentale, Base Carbone</v>
      </c>
      <c r="F1048" s="1051" t="str">
        <f t="shared" si="97"/>
        <v>33, Le Barp, Laseris, France continentale, Base Carbone</v>
      </c>
      <c r="G1048" s="1055" t="str">
        <f t="shared" si="98"/>
        <v>33, Le Barp, Laseris, France continentale, Base Carbone; kgCO2e/kWh</v>
      </c>
      <c r="I1048" s="2018" t="s">
        <v>3035</v>
      </c>
      <c r="J1048" s="1135" t="s">
        <v>1681</v>
      </c>
      <c r="K1048" s="1119" t="s">
        <v>1567</v>
      </c>
      <c r="L1048" s="1119" t="s">
        <v>1571</v>
      </c>
      <c r="M1048" s="1134">
        <v>0.3</v>
      </c>
      <c r="N1048" s="1135"/>
      <c r="O1048" s="1135">
        <v>0.22800000000000001</v>
      </c>
      <c r="P1048" s="1048"/>
      <c r="Q1048" s="1048"/>
      <c r="R1048" s="1048"/>
      <c r="S1048" s="1048"/>
      <c r="T1048" s="1048"/>
      <c r="U1048" s="1102"/>
    </row>
    <row r="1049" spans="2:21" hidden="1" outlineLevel="2">
      <c r="B1049" s="1050">
        <v>128</v>
      </c>
      <c r="C1049" s="2035" t="str">
        <f t="shared" si="95"/>
        <v>33, Lesparre-Médoc, Réseau de la clinique de Lesparre, France continentale, Base Carbone</v>
      </c>
      <c r="D1049" s="1051">
        <f t="shared" si="96"/>
        <v>128</v>
      </c>
      <c r="E1049" s="1051" t="str">
        <f>IF(COUNTIF(E$921:E1048,F1049)&gt;0,"",F1049)</f>
        <v>33, Lesparre-Médoc, Réseau de la clinique de Lesparre, France continentale, Base Carbone</v>
      </c>
      <c r="F1049" s="1051" t="str">
        <f t="shared" si="97"/>
        <v>33, Lesparre-Médoc, Réseau de la clinique de Lesparre, France continentale, Base Carbone</v>
      </c>
      <c r="G1049" s="1055" t="str">
        <f t="shared" si="98"/>
        <v>33, Lesparre-Médoc, Réseau de la clinique de Lesparre, France continentale, Base Carbone; kgCO2e/kWh</v>
      </c>
      <c r="I1049" s="2018" t="s">
        <v>3361</v>
      </c>
      <c r="J1049" s="1135" t="s">
        <v>1681</v>
      </c>
      <c r="K1049" s="1119" t="s">
        <v>1567</v>
      </c>
      <c r="L1049" s="1119" t="s">
        <v>1571</v>
      </c>
      <c r="M1049" s="1134">
        <v>0.3</v>
      </c>
      <c r="N1049" s="1135"/>
      <c r="O1049" s="1135">
        <v>5.6000000000000001E-2</v>
      </c>
      <c r="P1049" s="1048"/>
      <c r="Q1049" s="1048"/>
      <c r="R1049" s="1048"/>
      <c r="S1049" s="1048"/>
      <c r="T1049" s="1048"/>
      <c r="U1049" s="1102"/>
    </row>
    <row r="1050" spans="2:21" hidden="1" outlineLevel="2">
      <c r="B1050" s="1050">
        <v>129</v>
      </c>
      <c r="C1050" s="2035" t="str">
        <f t="shared" ref="C1050:C1113" si="99">IF(ISNA(VLOOKUP(B1050,$D$922:$E$1582,2,FALSE)),"-",VLOOKUP(B1050,$D$922:$E$1582,2,FALSE))</f>
        <v>33, Lormont, Eco-quartier Ginko, France continentale, Base Carbone</v>
      </c>
      <c r="D1050" s="1051">
        <f t="shared" si="96"/>
        <v>129</v>
      </c>
      <c r="E1050" s="1051" t="str">
        <f>IF(COUNTIF(E$921:E1049,F1050)&gt;0,"",F1050)</f>
        <v>33, Lormont, Eco-quartier Ginko, France continentale, Base Carbone</v>
      </c>
      <c r="F1050" s="1051" t="str">
        <f t="shared" si="97"/>
        <v>33, Lormont, Eco-quartier Ginko, France continentale, Base Carbone</v>
      </c>
      <c r="G1050" s="1055" t="str">
        <f t="shared" si="98"/>
        <v>33, Lormont, Eco-quartier Ginko, France continentale, Base Carbone; kgCO2e/kWh</v>
      </c>
      <c r="I1050" s="2018" t="s">
        <v>3362</v>
      </c>
      <c r="J1050" s="1135" t="s">
        <v>1681</v>
      </c>
      <c r="K1050" s="1119" t="s">
        <v>1567</v>
      </c>
      <c r="L1050" s="1119" t="s">
        <v>1571</v>
      </c>
      <c r="M1050" s="1134">
        <v>0.3</v>
      </c>
      <c r="N1050" s="1135"/>
      <c r="O1050" s="1135">
        <v>5.5E-2</v>
      </c>
      <c r="P1050" s="1048"/>
      <c r="Q1050" s="1048"/>
      <c r="R1050" s="1048"/>
      <c r="S1050" s="1048"/>
      <c r="T1050" s="1048"/>
      <c r="U1050" s="1102"/>
    </row>
    <row r="1051" spans="2:21" hidden="1" outlineLevel="2">
      <c r="B1051" s="1050">
        <v>130</v>
      </c>
      <c r="C1051" s="2035" t="str">
        <f t="shared" si="99"/>
        <v>33, Mérignac, Parc de Mérignac Ville Stemer, France continentale, Base Carbone</v>
      </c>
      <c r="D1051" s="1051">
        <f t="shared" ref="D1051:D1114" si="100">D1050+IF(LEN(E1051)=0,0,1)</f>
        <v>130</v>
      </c>
      <c r="E1051" s="1051" t="str">
        <f>IF(COUNTIF(E$921:E1050,F1051)&gt;0,"",F1051)</f>
        <v>33, Mérignac, Parc de Mérignac Ville Stemer, France continentale, Base Carbone</v>
      </c>
      <c r="F1051" s="1051" t="str">
        <f t="shared" ref="F1051:F1114" si="101">IF(I1051&lt;&gt;"",I1051&amp;IF(L1051&lt;&gt;"",", "&amp;L1051,"")&amp;IF(K1051&lt;&gt;"",", "&amp;K1051,""),"")</f>
        <v>33, Mérignac, Parc de Mérignac Ville Stemer, France continentale, Base Carbone</v>
      </c>
      <c r="G1051" s="1055" t="str">
        <f t="shared" ref="G1051:G1114" si="102">IF(F1051&lt;&gt;"",F1051&amp;IF(J1051&lt;&gt;"","; "&amp;J1051,"")&amp;IF(N1051&lt;&gt;"",", "&amp;N1051,""),"")</f>
        <v>33, Mérignac, Parc de Mérignac Ville Stemer, France continentale, Base Carbone; kgCO2e/kWh</v>
      </c>
      <c r="I1051" s="2018" t="s">
        <v>2900</v>
      </c>
      <c r="J1051" s="1135" t="s">
        <v>1681</v>
      </c>
      <c r="K1051" s="1119" t="s">
        <v>1567</v>
      </c>
      <c r="L1051" s="1119" t="s">
        <v>1571</v>
      </c>
      <c r="M1051" s="1134">
        <v>0.3</v>
      </c>
      <c r="N1051" s="1135"/>
      <c r="O1051" s="1135">
        <v>0.20799999999999999</v>
      </c>
      <c r="P1051" s="1048"/>
      <c r="Q1051" s="1048"/>
      <c r="R1051" s="1048"/>
      <c r="S1051" s="1048"/>
      <c r="T1051" s="1048"/>
      <c r="U1051" s="1102"/>
    </row>
    <row r="1052" spans="2:21" hidden="1" outlineLevel="2">
      <c r="B1052" s="1050">
        <v>131</v>
      </c>
      <c r="C1052" s="2035" t="str">
        <f t="shared" si="99"/>
        <v>33, Pellegrue, Réseau de Pellegrue, France continentale, Base Carbone</v>
      </c>
      <c r="D1052" s="1051">
        <f t="shared" si="100"/>
        <v>131</v>
      </c>
      <c r="E1052" s="1051" t="str">
        <f>IF(COUNTIF(E$921:E1051,F1052)&gt;0,"",F1052)</f>
        <v>33, Pellegrue, Réseau de Pellegrue, France continentale, Base Carbone</v>
      </c>
      <c r="F1052" s="1051" t="str">
        <f t="shared" si="101"/>
        <v>33, Pellegrue, Réseau de Pellegrue, France continentale, Base Carbone</v>
      </c>
      <c r="G1052" s="1055" t="str">
        <f t="shared" si="102"/>
        <v>33, Pellegrue, Réseau de Pellegrue, France continentale, Base Carbone; kgCO2e/kWh</v>
      </c>
      <c r="I1052" s="2018" t="s">
        <v>931</v>
      </c>
      <c r="J1052" s="1135" t="s">
        <v>1681</v>
      </c>
      <c r="K1052" s="1119" t="s">
        <v>1567</v>
      </c>
      <c r="L1052" s="1119" t="s">
        <v>1571</v>
      </c>
      <c r="M1052" s="1134">
        <v>0.3</v>
      </c>
      <c r="N1052" s="1135"/>
      <c r="O1052" s="1135">
        <v>3.1E-2</v>
      </c>
      <c r="P1052" s="1048"/>
      <c r="Q1052" s="1048"/>
      <c r="R1052" s="1048"/>
      <c r="S1052" s="1048"/>
      <c r="T1052" s="1048"/>
      <c r="U1052" s="1102"/>
    </row>
    <row r="1053" spans="2:21" hidden="1" outlineLevel="2">
      <c r="B1053" s="1050">
        <v>132</v>
      </c>
      <c r="C1053" s="2035" t="str">
        <f t="shared" si="99"/>
        <v>33, Saint-Pierre-d’Aurillac, Réseau de chaleur de Saint-Pierre d’Aurillac, France continentale, Base Carbone</v>
      </c>
      <c r="D1053" s="1051">
        <f t="shared" si="100"/>
        <v>132</v>
      </c>
      <c r="E1053" s="1051" t="str">
        <f>IF(COUNTIF(E$921:E1052,F1053)&gt;0,"",F1053)</f>
        <v>33, Saint-Pierre-d’Aurillac, Réseau de chaleur de Saint-Pierre d’Aurillac, France continentale, Base Carbone</v>
      </c>
      <c r="F1053" s="1051" t="str">
        <f t="shared" si="101"/>
        <v>33, Saint-Pierre-d’Aurillac, Réseau de chaleur de Saint-Pierre d’Aurillac, France continentale, Base Carbone</v>
      </c>
      <c r="G1053" s="1055" t="str">
        <f t="shared" si="102"/>
        <v>33, Saint-Pierre-d’Aurillac, Réseau de chaleur de Saint-Pierre d’Aurillac, France continentale, Base Carbone; kgCO2e/kWh</v>
      </c>
      <c r="I1053" s="2018" t="s">
        <v>3363</v>
      </c>
      <c r="J1053" s="1135" t="s">
        <v>1681</v>
      </c>
      <c r="K1053" s="1119" t="s">
        <v>1567</v>
      </c>
      <c r="L1053" s="1119" t="s">
        <v>1571</v>
      </c>
      <c r="M1053" s="1134">
        <v>0.3</v>
      </c>
      <c r="N1053" s="1135"/>
      <c r="O1053" s="1135">
        <v>2.1000000000000001E-2</v>
      </c>
      <c r="P1053" s="1048"/>
      <c r="Q1053" s="1048"/>
      <c r="R1053" s="1048"/>
      <c r="S1053" s="1048"/>
      <c r="T1053" s="1048"/>
      <c r="U1053" s="1102"/>
    </row>
    <row r="1054" spans="2:21" hidden="1" outlineLevel="2">
      <c r="B1054" s="1050">
        <v>133</v>
      </c>
      <c r="C1054" s="2035" t="str">
        <f t="shared" si="99"/>
        <v>34, Juvignac, ZAC des Constellations, France continentale, Base Carbone</v>
      </c>
      <c r="D1054" s="1051">
        <f t="shared" si="100"/>
        <v>133</v>
      </c>
      <c r="E1054" s="1051" t="str">
        <f>IF(COUNTIF(E$921:E1053,F1054)&gt;0,"",F1054)</f>
        <v>34, Juvignac, ZAC des Constellations, France continentale, Base Carbone</v>
      </c>
      <c r="F1054" s="1051" t="str">
        <f t="shared" si="101"/>
        <v>34, Juvignac, ZAC des Constellations, France continentale, Base Carbone</v>
      </c>
      <c r="G1054" s="1055" t="str">
        <f t="shared" si="102"/>
        <v>34, Juvignac, ZAC des Constellations, France continentale, Base Carbone; kgCO2e/kWh</v>
      </c>
      <c r="I1054" s="2018" t="s">
        <v>2901</v>
      </c>
      <c r="J1054" s="1135" t="s">
        <v>1681</v>
      </c>
      <c r="K1054" s="1119" t="s">
        <v>1567</v>
      </c>
      <c r="L1054" s="1119" t="s">
        <v>1571</v>
      </c>
      <c r="M1054" s="1134">
        <v>0.3</v>
      </c>
      <c r="N1054" s="1135"/>
      <c r="O1054" s="1135">
        <v>7.9000000000000001E-2</v>
      </c>
      <c r="P1054" s="1048"/>
      <c r="Q1054" s="1048"/>
      <c r="R1054" s="1048"/>
      <c r="S1054" s="1048"/>
      <c r="T1054" s="1048"/>
      <c r="U1054" s="1102"/>
    </row>
    <row r="1055" spans="2:21" hidden="1" outlineLevel="2">
      <c r="B1055" s="1050">
        <v>134</v>
      </c>
      <c r="C1055" s="2035" t="str">
        <f t="shared" si="99"/>
        <v>34, Montpellier, Réseau des universités, France continentale, Base Carbone</v>
      </c>
      <c r="D1055" s="1051">
        <f t="shared" si="100"/>
        <v>134</v>
      </c>
      <c r="E1055" s="1051" t="str">
        <f>IF(COUNTIF(E$921:E1054,F1055)&gt;0,"",F1055)</f>
        <v>34, Montpellier, Réseau des universités, France continentale, Base Carbone</v>
      </c>
      <c r="F1055" s="1051" t="str">
        <f t="shared" si="101"/>
        <v>34, Montpellier, Réseau des universités, France continentale, Base Carbone</v>
      </c>
      <c r="G1055" s="1055" t="str">
        <f t="shared" si="102"/>
        <v>34, Montpellier, Réseau des universités, France continentale, Base Carbone; kgCO2e/kWh</v>
      </c>
      <c r="I1055" s="2018" t="s">
        <v>934</v>
      </c>
      <c r="J1055" s="1135" t="s">
        <v>1681</v>
      </c>
      <c r="K1055" s="1119" t="s">
        <v>1567</v>
      </c>
      <c r="L1055" s="1119" t="s">
        <v>1571</v>
      </c>
      <c r="M1055" s="1134">
        <v>0.3</v>
      </c>
      <c r="N1055" s="1135"/>
      <c r="O1055" s="1135">
        <v>3.1E-2</v>
      </c>
      <c r="P1055" s="1048"/>
      <c r="Q1055" s="1048"/>
      <c r="R1055" s="1048"/>
      <c r="S1055" s="1048"/>
      <c r="T1055" s="1048"/>
      <c r="U1055" s="1102"/>
    </row>
    <row r="1056" spans="2:21" hidden="1" outlineLevel="2">
      <c r="B1056" s="1050">
        <v>135</v>
      </c>
      <c r="C1056" s="2035" t="str">
        <f t="shared" si="99"/>
        <v>34, Montpellier, RMCF, France continentale, Base Carbone</v>
      </c>
      <c r="D1056" s="1051">
        <f t="shared" si="100"/>
        <v>135</v>
      </c>
      <c r="E1056" s="1051" t="str">
        <f>IF(COUNTIF(E$921:E1055,F1056)&gt;0,"",F1056)</f>
        <v>34, Montpellier, RMCF, France continentale, Base Carbone</v>
      </c>
      <c r="F1056" s="1051" t="str">
        <f t="shared" si="101"/>
        <v>34, Montpellier, RMCF, France continentale, Base Carbone</v>
      </c>
      <c r="G1056" s="1055" t="str">
        <f t="shared" si="102"/>
        <v>34, Montpellier, RMCF, France continentale, Base Carbone; kgCO2e/kWh</v>
      </c>
      <c r="I1056" s="2018" t="s">
        <v>3364</v>
      </c>
      <c r="J1056" s="1135" t="s">
        <v>1681</v>
      </c>
      <c r="K1056" s="1119" t="s">
        <v>1567</v>
      </c>
      <c r="L1056" s="1119" t="s">
        <v>1571</v>
      </c>
      <c r="M1056" s="1134">
        <v>0.3</v>
      </c>
      <c r="N1056" s="1135"/>
      <c r="O1056" s="1135">
        <v>8.5999999999999993E-2</v>
      </c>
      <c r="P1056" s="1048"/>
      <c r="Q1056" s="1048"/>
      <c r="R1056" s="1048"/>
      <c r="S1056" s="1048"/>
      <c r="T1056" s="1048"/>
      <c r="U1056" s="1102"/>
    </row>
    <row r="1057" spans="2:21" hidden="1" outlineLevel="2">
      <c r="B1057" s="1050">
        <v>136</v>
      </c>
      <c r="C1057" s="2035" t="str">
        <f t="shared" si="99"/>
        <v>35, Combourg, Réseau de chaleur de Bretagne Romantique, France continentale, Base Carbone</v>
      </c>
      <c r="D1057" s="1051">
        <f t="shared" si="100"/>
        <v>136</v>
      </c>
      <c r="E1057" s="1051" t="str">
        <f>IF(COUNTIF(E$921:E1056,F1057)&gt;0,"",F1057)</f>
        <v>35, Combourg, Réseau de chaleur de Bretagne Romantique, France continentale, Base Carbone</v>
      </c>
      <c r="F1057" s="1051" t="str">
        <f t="shared" si="101"/>
        <v>35, Combourg, Réseau de chaleur de Bretagne Romantique, France continentale, Base Carbone</v>
      </c>
      <c r="G1057" s="1055" t="str">
        <f t="shared" si="102"/>
        <v>35, Combourg, Réseau de chaleur de Bretagne Romantique, France continentale, Base Carbone; kgCO2e/kWh</v>
      </c>
      <c r="I1057" s="2018" t="s">
        <v>3365</v>
      </c>
      <c r="J1057" s="1135" t="s">
        <v>1681</v>
      </c>
      <c r="K1057" s="1119" t="s">
        <v>1567</v>
      </c>
      <c r="L1057" s="1119" t="s">
        <v>1571</v>
      </c>
      <c r="M1057" s="1134">
        <v>0.3</v>
      </c>
      <c r="N1057" s="1135"/>
      <c r="O1057" s="1135">
        <v>5.3999999999999999E-2</v>
      </c>
      <c r="P1057" s="1048"/>
      <c r="Q1057" s="1048"/>
      <c r="R1057" s="1048"/>
      <c r="S1057" s="1048"/>
      <c r="T1057" s="1048"/>
      <c r="U1057" s="1102"/>
    </row>
    <row r="1058" spans="2:21" hidden="1" outlineLevel="2">
      <c r="B1058" s="1050">
        <v>137</v>
      </c>
      <c r="C1058" s="2035" t="str">
        <f t="shared" si="99"/>
        <v>35, Janzé, Réseau de Janzé, France continentale, Base Carbone</v>
      </c>
      <c r="D1058" s="1051">
        <f t="shared" si="100"/>
        <v>137</v>
      </c>
      <c r="E1058" s="1051" t="str">
        <f>IF(COUNTIF(E$921:E1057,F1058)&gt;0,"",F1058)</f>
        <v>35, Janzé, Réseau de Janzé, France continentale, Base Carbone</v>
      </c>
      <c r="F1058" s="1051" t="str">
        <f t="shared" si="101"/>
        <v>35, Janzé, Réseau de Janzé, France continentale, Base Carbone</v>
      </c>
      <c r="G1058" s="1055" t="str">
        <f t="shared" si="102"/>
        <v>35, Janzé, Réseau de Janzé, France continentale, Base Carbone; kgCO2e/kWh</v>
      </c>
      <c r="I1058" s="2018" t="s">
        <v>3366</v>
      </c>
      <c r="J1058" s="1135" t="s">
        <v>1681</v>
      </c>
      <c r="K1058" s="1119" t="s">
        <v>1567</v>
      </c>
      <c r="L1058" s="1119" t="s">
        <v>1571</v>
      </c>
      <c r="M1058" s="1134">
        <v>0.3</v>
      </c>
      <c r="N1058" s="1135"/>
      <c r="O1058" s="1135">
        <v>0.02</v>
      </c>
      <c r="P1058" s="1048"/>
      <c r="Q1058" s="1048"/>
      <c r="R1058" s="1048"/>
      <c r="S1058" s="1048"/>
      <c r="T1058" s="1048"/>
      <c r="U1058" s="1102"/>
    </row>
    <row r="1059" spans="2:21" hidden="1" outlineLevel="2">
      <c r="B1059" s="1050">
        <v>138</v>
      </c>
      <c r="C1059" s="2035" t="str">
        <f t="shared" si="99"/>
        <v>35, Rennes, Campus scientifique de Beaulieu, France continentale, Base Carbone</v>
      </c>
      <c r="D1059" s="1051">
        <f t="shared" si="100"/>
        <v>138</v>
      </c>
      <c r="E1059" s="1051" t="str">
        <f>IF(COUNTIF(E$921:E1058,F1059)&gt;0,"",F1059)</f>
        <v>35, Rennes, Campus scientifique de Beaulieu, France continentale, Base Carbone</v>
      </c>
      <c r="F1059" s="1051" t="str">
        <f t="shared" si="101"/>
        <v>35, Rennes, Campus scientifique de Beaulieu, France continentale, Base Carbone</v>
      </c>
      <c r="G1059" s="1055" t="str">
        <f t="shared" si="102"/>
        <v>35, Rennes, Campus scientifique de Beaulieu, France continentale, Base Carbone; kgCO2e/kWh</v>
      </c>
      <c r="I1059" s="2018" t="s">
        <v>935</v>
      </c>
      <c r="J1059" s="1135" t="s">
        <v>1681</v>
      </c>
      <c r="K1059" s="1119" t="s">
        <v>1567</v>
      </c>
      <c r="L1059" s="1119" t="s">
        <v>1571</v>
      </c>
      <c r="M1059" s="1134">
        <v>0.3</v>
      </c>
      <c r="N1059" s="1135"/>
      <c r="O1059" s="1135">
        <v>0.19600000000000001</v>
      </c>
      <c r="P1059" s="1048"/>
      <c r="Q1059" s="1048"/>
      <c r="R1059" s="1048"/>
      <c r="S1059" s="1048"/>
      <c r="T1059" s="1048"/>
      <c r="U1059" s="1102"/>
    </row>
    <row r="1060" spans="2:21" hidden="1" outlineLevel="2">
      <c r="B1060" s="1050">
        <v>139</v>
      </c>
      <c r="C1060" s="2035" t="str">
        <f t="shared" si="99"/>
        <v>35, Rennes, Quartier Sud, France continentale, Base Carbone</v>
      </c>
      <c r="D1060" s="1051">
        <f t="shared" si="100"/>
        <v>139</v>
      </c>
      <c r="E1060" s="1051" t="str">
        <f>IF(COUNTIF(E$921:E1059,F1060)&gt;0,"",F1060)</f>
        <v>35, Rennes, Quartier Sud, France continentale, Base Carbone</v>
      </c>
      <c r="F1060" s="1051" t="str">
        <f t="shared" si="101"/>
        <v>35, Rennes, Quartier Sud, France continentale, Base Carbone</v>
      </c>
      <c r="G1060" s="1055" t="str">
        <f t="shared" si="102"/>
        <v>35, Rennes, Quartier Sud, France continentale, Base Carbone; kgCO2e/kWh</v>
      </c>
      <c r="I1060" s="2018" t="s">
        <v>936</v>
      </c>
      <c r="J1060" s="1135" t="s">
        <v>1681</v>
      </c>
      <c r="K1060" s="1119" t="s">
        <v>1567</v>
      </c>
      <c r="L1060" s="1119" t="s">
        <v>1571</v>
      </c>
      <c r="M1060" s="1134">
        <v>0.3</v>
      </c>
      <c r="N1060" s="1135"/>
      <c r="O1060" s="1135">
        <v>9.2999999999999999E-2</v>
      </c>
      <c r="P1060" s="1048"/>
      <c r="Q1060" s="1048"/>
      <c r="R1060" s="1048"/>
      <c r="S1060" s="1048"/>
      <c r="T1060" s="1048"/>
      <c r="U1060" s="1102"/>
    </row>
    <row r="1061" spans="2:21" hidden="1" outlineLevel="2">
      <c r="B1061" s="1050">
        <v>140</v>
      </c>
      <c r="C1061" s="2035" t="str">
        <f t="shared" si="99"/>
        <v>35, Rennes, Réseau de la centrale Thermique de Villejean, France continentale, Base Carbone</v>
      </c>
      <c r="D1061" s="1051">
        <f t="shared" si="100"/>
        <v>140</v>
      </c>
      <c r="E1061" s="1051" t="str">
        <f>IF(COUNTIF(E$921:E1060,F1061)&gt;0,"",F1061)</f>
        <v>35, Rennes, Réseau de la centrale Thermique de Villejean, France continentale, Base Carbone</v>
      </c>
      <c r="F1061" s="1051" t="str">
        <f t="shared" si="101"/>
        <v>35, Rennes, Réseau de la centrale Thermique de Villejean, France continentale, Base Carbone</v>
      </c>
      <c r="G1061" s="1055" t="str">
        <f t="shared" si="102"/>
        <v>35, Rennes, Réseau de la centrale Thermique de Villejean, France continentale, Base Carbone; kgCO2e/kWh</v>
      </c>
      <c r="I1061" s="2018" t="s">
        <v>3367</v>
      </c>
      <c r="J1061" s="1135" t="s">
        <v>1681</v>
      </c>
      <c r="K1061" s="1119" t="s">
        <v>1567</v>
      </c>
      <c r="L1061" s="1119" t="s">
        <v>1571</v>
      </c>
      <c r="M1061" s="1134">
        <v>0.3</v>
      </c>
      <c r="N1061" s="1135"/>
      <c r="O1061" s="1135">
        <v>2.1000000000000001E-2</v>
      </c>
      <c r="P1061" s="1048"/>
      <c r="Q1061" s="1048"/>
      <c r="R1061" s="1048"/>
      <c r="S1061" s="1048"/>
      <c r="T1061" s="1048"/>
      <c r="U1061" s="1102"/>
    </row>
    <row r="1062" spans="2:21" hidden="1" outlineLevel="2">
      <c r="B1062" s="1050">
        <v>141</v>
      </c>
      <c r="C1062" s="2035" t="str">
        <f t="shared" si="99"/>
        <v>35, Rennes, Réseau de Rennes Est (ZAC Baud-Chardonnet), France continentale, Base Carbone</v>
      </c>
      <c r="D1062" s="1051">
        <f t="shared" si="100"/>
        <v>141</v>
      </c>
      <c r="E1062" s="1051" t="str">
        <f>IF(COUNTIF(E$921:E1061,F1062)&gt;0,"",F1062)</f>
        <v>35, Rennes, Réseau de Rennes Est (ZAC Baud-Chardonnet), France continentale, Base Carbone</v>
      </c>
      <c r="F1062" s="1051" t="str">
        <f t="shared" si="101"/>
        <v>35, Rennes, Réseau de Rennes Est (ZAC Baud-Chardonnet), France continentale, Base Carbone</v>
      </c>
      <c r="G1062" s="1055" t="str">
        <f t="shared" si="102"/>
        <v>35, Rennes, Réseau de Rennes Est (ZAC Baud-Chardonnet), France continentale, Base Carbone; kgCO2e/kWh</v>
      </c>
      <c r="I1062" s="2018" t="s">
        <v>3368</v>
      </c>
      <c r="J1062" s="1135" t="s">
        <v>1681</v>
      </c>
      <c r="K1062" s="1119" t="s">
        <v>1567</v>
      </c>
      <c r="L1062" s="1119" t="s">
        <v>1571</v>
      </c>
      <c r="M1062" s="1134">
        <v>0.3</v>
      </c>
      <c r="N1062" s="1135"/>
      <c r="O1062" s="1135">
        <v>1E-3</v>
      </c>
      <c r="P1062" s="1048"/>
      <c r="Q1062" s="1048"/>
      <c r="R1062" s="1048"/>
      <c r="S1062" s="1048"/>
      <c r="T1062" s="1048"/>
      <c r="U1062" s="1102"/>
    </row>
    <row r="1063" spans="2:21" hidden="1" outlineLevel="2">
      <c r="B1063" s="1050">
        <v>142</v>
      </c>
      <c r="C1063" s="2035" t="str">
        <f t="shared" si="99"/>
        <v>35, Rennes, Sarah Bernhardt, France continentale, Base Carbone</v>
      </c>
      <c r="D1063" s="1051">
        <f t="shared" si="100"/>
        <v>142</v>
      </c>
      <c r="E1063" s="1051" t="str">
        <f>IF(COUNTIF(E$921:E1062,F1063)&gt;0,"",F1063)</f>
        <v>35, Rennes, Sarah Bernhardt, France continentale, Base Carbone</v>
      </c>
      <c r="F1063" s="1051" t="str">
        <f t="shared" si="101"/>
        <v>35, Rennes, Sarah Bernhardt, France continentale, Base Carbone</v>
      </c>
      <c r="G1063" s="1055" t="str">
        <f t="shared" si="102"/>
        <v>35, Rennes, Sarah Bernhardt, France continentale, Base Carbone; kgCO2e/kWh</v>
      </c>
      <c r="I1063" s="2018" t="s">
        <v>937</v>
      </c>
      <c r="J1063" s="1135" t="s">
        <v>1681</v>
      </c>
      <c r="K1063" s="1119" t="s">
        <v>1567</v>
      </c>
      <c r="L1063" s="1119" t="s">
        <v>1571</v>
      </c>
      <c r="M1063" s="1134">
        <v>0.3</v>
      </c>
      <c r="N1063" s="1135"/>
      <c r="O1063" s="1135">
        <v>0.215</v>
      </c>
      <c r="P1063" s="1048"/>
      <c r="Q1063" s="1048"/>
      <c r="R1063" s="1048"/>
      <c r="S1063" s="1048"/>
      <c r="T1063" s="1048"/>
      <c r="U1063" s="1102"/>
    </row>
    <row r="1064" spans="2:21" hidden="1" outlineLevel="2">
      <c r="B1064" s="1050">
        <v>143</v>
      </c>
      <c r="C1064" s="2035" t="str">
        <f t="shared" si="99"/>
        <v>35, Vezin le Coquet, Réseau de Vezin le Coquet, France continentale, Base Carbone</v>
      </c>
      <c r="D1064" s="1051">
        <f t="shared" si="100"/>
        <v>143</v>
      </c>
      <c r="E1064" s="1051" t="str">
        <f>IF(COUNTIF(E$921:E1063,F1064)&gt;0,"",F1064)</f>
        <v>35, Vezin le Coquet, Réseau de Vezin le Coquet, France continentale, Base Carbone</v>
      </c>
      <c r="F1064" s="1051" t="str">
        <f t="shared" si="101"/>
        <v>35, Vezin le Coquet, Réseau de Vezin le Coquet, France continentale, Base Carbone</v>
      </c>
      <c r="G1064" s="1055" t="str">
        <f t="shared" si="102"/>
        <v>35, Vezin le Coquet, Réseau de Vezin le Coquet, France continentale, Base Carbone; kgCO2e/kWh</v>
      </c>
      <c r="I1064" s="2018" t="s">
        <v>3369</v>
      </c>
      <c r="J1064" s="1135" t="s">
        <v>1681</v>
      </c>
      <c r="K1064" s="1119" t="s">
        <v>1567</v>
      </c>
      <c r="L1064" s="1119" t="s">
        <v>1571</v>
      </c>
      <c r="M1064" s="1134">
        <v>0.3</v>
      </c>
      <c r="N1064" s="1135"/>
      <c r="O1064" s="1135">
        <v>3.5000000000000003E-2</v>
      </c>
      <c r="P1064" s="1048"/>
      <c r="Q1064" s="1048"/>
      <c r="R1064" s="1048"/>
      <c r="S1064" s="1048"/>
      <c r="T1064" s="1048"/>
      <c r="U1064" s="1102"/>
    </row>
    <row r="1065" spans="2:21" hidden="1" outlineLevel="2">
      <c r="B1065" s="1050">
        <v>144</v>
      </c>
      <c r="C1065" s="2035" t="str">
        <f t="shared" si="99"/>
        <v>35, Vitré, Réseau de Vitré, France continentale, Base Carbone</v>
      </c>
      <c r="D1065" s="1051">
        <f t="shared" si="100"/>
        <v>144</v>
      </c>
      <c r="E1065" s="1051" t="str">
        <f>IF(COUNTIF(E$921:E1064,F1065)&gt;0,"",F1065)</f>
        <v>35, Vitré, Réseau de Vitré, France continentale, Base Carbone</v>
      </c>
      <c r="F1065" s="1051" t="str">
        <f t="shared" si="101"/>
        <v>35, Vitré, Réseau de Vitré, France continentale, Base Carbone</v>
      </c>
      <c r="G1065" s="1055" t="str">
        <f t="shared" si="102"/>
        <v>35, Vitré, Réseau de Vitré, France continentale, Base Carbone; kgCO2e/kWh</v>
      </c>
      <c r="I1065" s="2018" t="s">
        <v>3370</v>
      </c>
      <c r="J1065" s="1135" t="s">
        <v>1681</v>
      </c>
      <c r="K1065" s="1119" t="s">
        <v>1567</v>
      </c>
      <c r="L1065" s="1119" t="s">
        <v>1571</v>
      </c>
      <c r="M1065" s="1134">
        <v>0.3</v>
      </c>
      <c r="N1065" s="1135"/>
      <c r="O1065" s="1135">
        <v>0</v>
      </c>
      <c r="P1065" s="1048"/>
      <c r="Q1065" s="1048"/>
      <c r="R1065" s="1048"/>
      <c r="S1065" s="1048"/>
      <c r="T1065" s="1048"/>
      <c r="U1065" s="1102"/>
    </row>
    <row r="1066" spans="2:21" hidden="1" outlineLevel="2">
      <c r="B1066" s="1050">
        <v>145</v>
      </c>
      <c r="C1066" s="2035" t="str">
        <f t="shared" si="99"/>
        <v>37, Joué-les-Tours, Morier et Rabière, France continentale, Base Carbone</v>
      </c>
      <c r="D1066" s="1051">
        <f t="shared" si="100"/>
        <v>145</v>
      </c>
      <c r="E1066" s="1051" t="str">
        <f>IF(COUNTIF(E$921:E1065,F1066)&gt;0,"",F1066)</f>
        <v>37, Joué-les-Tours, Morier et Rabière, France continentale, Base Carbone</v>
      </c>
      <c r="F1066" s="1051" t="str">
        <f t="shared" si="101"/>
        <v>37, Joué-les-Tours, Morier et Rabière, France continentale, Base Carbone</v>
      </c>
      <c r="G1066" s="1055" t="str">
        <f t="shared" si="102"/>
        <v>37, Joué-les-Tours, Morier et Rabière, France continentale, Base Carbone; kgCO2e/kWh</v>
      </c>
      <c r="I1066" s="2018" t="s">
        <v>3371</v>
      </c>
      <c r="J1066" s="1135" t="s">
        <v>1681</v>
      </c>
      <c r="K1066" s="1119" t="s">
        <v>1567</v>
      </c>
      <c r="L1066" s="1119" t="s">
        <v>1571</v>
      </c>
      <c r="M1066" s="1134">
        <v>0.3</v>
      </c>
      <c r="N1066" s="1135"/>
      <c r="O1066" s="1135">
        <v>0.22</v>
      </c>
      <c r="P1066" s="1048"/>
      <c r="Q1066" s="1048"/>
      <c r="R1066" s="1048"/>
      <c r="S1066" s="1048"/>
      <c r="T1066" s="1048"/>
      <c r="U1066" s="1102"/>
    </row>
    <row r="1067" spans="2:21" hidden="1" outlineLevel="2">
      <c r="B1067" s="1050">
        <v>146</v>
      </c>
      <c r="C1067" s="2035" t="str">
        <f t="shared" si="99"/>
        <v>37, La Riche, Réseau de chauffage urbain de la Riche-Quartier, France continentale, Base Carbone</v>
      </c>
      <c r="D1067" s="1051">
        <f t="shared" si="100"/>
        <v>146</v>
      </c>
      <c r="E1067" s="1051" t="str">
        <f>IF(COUNTIF(E$921:E1066,F1067)&gt;0,"",F1067)</f>
        <v>37, La Riche, Réseau de chauffage urbain de la Riche-Quartier, France continentale, Base Carbone</v>
      </c>
      <c r="F1067" s="1051" t="str">
        <f t="shared" si="101"/>
        <v>37, La Riche, Réseau de chauffage urbain de la Riche-Quartier, France continentale, Base Carbone</v>
      </c>
      <c r="G1067" s="1055" t="str">
        <f t="shared" si="102"/>
        <v>37, La Riche, Réseau de chauffage urbain de la Riche-Quartier, France continentale, Base Carbone; kgCO2e/kWh</v>
      </c>
      <c r="I1067" s="2018" t="s">
        <v>3372</v>
      </c>
      <c r="J1067" s="1135" t="s">
        <v>1681</v>
      </c>
      <c r="K1067" s="1119" t="s">
        <v>1567</v>
      </c>
      <c r="L1067" s="1119" t="s">
        <v>1571</v>
      </c>
      <c r="M1067" s="1134">
        <v>0.3</v>
      </c>
      <c r="N1067" s="1135"/>
      <c r="O1067" s="1135">
        <v>0.23799999999999999</v>
      </c>
      <c r="P1067" s="1048"/>
      <c r="Q1067" s="1048"/>
      <c r="R1067" s="1048"/>
      <c r="S1067" s="1048"/>
      <c r="T1067" s="1048"/>
      <c r="U1067" s="1102"/>
    </row>
    <row r="1068" spans="2:21" hidden="1" outlineLevel="2">
      <c r="B1068" s="1050">
        <v>147</v>
      </c>
      <c r="C1068" s="2035" t="str">
        <f t="shared" si="99"/>
        <v>37, Saint-Benoît-la-Forêt, Centre de Valorisation Energétique, France continentale, Base Carbone</v>
      </c>
      <c r="D1068" s="1051">
        <f t="shared" si="100"/>
        <v>147</v>
      </c>
      <c r="E1068" s="1051" t="str">
        <f>IF(COUNTIF(E$921:E1067,F1068)&gt;0,"",F1068)</f>
        <v>37, Saint-Benoît-la-Forêt, Centre de Valorisation Energétique, France continentale, Base Carbone</v>
      </c>
      <c r="F1068" s="1051" t="str">
        <f t="shared" si="101"/>
        <v>37, Saint-Benoît-la-Forêt, Centre de Valorisation Energétique, France continentale, Base Carbone</v>
      </c>
      <c r="G1068" s="1055" t="str">
        <f t="shared" si="102"/>
        <v>37, Saint-Benoît-la-Forêt, Centre de Valorisation Energétique, France continentale, Base Carbone; kgCO2e/kWh</v>
      </c>
      <c r="I1068" s="2018" t="s">
        <v>3373</v>
      </c>
      <c r="J1068" s="1135" t="s">
        <v>1681</v>
      </c>
      <c r="K1068" s="1119" t="s">
        <v>1567</v>
      </c>
      <c r="L1068" s="1119" t="s">
        <v>1571</v>
      </c>
      <c r="M1068" s="1134">
        <v>0.3</v>
      </c>
      <c r="N1068" s="1135"/>
      <c r="O1068" s="1135">
        <v>5.0000000000000001E-3</v>
      </c>
      <c r="P1068" s="1048"/>
      <c r="Q1068" s="1048"/>
      <c r="R1068" s="1048"/>
      <c r="S1068" s="1048"/>
      <c r="T1068" s="1048"/>
      <c r="U1068" s="1102"/>
    </row>
    <row r="1069" spans="2:21" hidden="1" outlineLevel="2">
      <c r="B1069" s="1050">
        <v>148</v>
      </c>
      <c r="C1069" s="2035" t="str">
        <f t="shared" si="99"/>
        <v>37, Saint-Pierre-des-Corps, La Rabaterie, France continentale, Base Carbone</v>
      </c>
      <c r="D1069" s="1051">
        <f t="shared" si="100"/>
        <v>148</v>
      </c>
      <c r="E1069" s="1051" t="str">
        <f>IF(COUNTIF(E$921:E1068,F1069)&gt;0,"",F1069)</f>
        <v>37, Saint-Pierre-des-Corps, La Rabaterie, France continentale, Base Carbone</v>
      </c>
      <c r="F1069" s="1051" t="str">
        <f t="shared" si="101"/>
        <v>37, Saint-Pierre-des-Corps, La Rabaterie, France continentale, Base Carbone</v>
      </c>
      <c r="G1069" s="1055" t="str">
        <f t="shared" si="102"/>
        <v>37, Saint-Pierre-des-Corps, La Rabaterie, France continentale, Base Carbone; kgCO2e/kWh</v>
      </c>
      <c r="I1069" s="2018" t="s">
        <v>938</v>
      </c>
      <c r="J1069" s="1135" t="s">
        <v>1681</v>
      </c>
      <c r="K1069" s="1119" t="s">
        <v>1567</v>
      </c>
      <c r="L1069" s="1119" t="s">
        <v>1571</v>
      </c>
      <c r="M1069" s="1134">
        <v>0.3</v>
      </c>
      <c r="N1069" s="1135"/>
      <c r="O1069" s="1135">
        <v>0.23200000000000001</v>
      </c>
      <c r="P1069" s="1048"/>
      <c r="Q1069" s="1048"/>
      <c r="R1069" s="1048"/>
      <c r="S1069" s="1048"/>
      <c r="T1069" s="1048"/>
      <c r="U1069" s="1102"/>
    </row>
    <row r="1070" spans="2:21" hidden="1" outlineLevel="2">
      <c r="B1070" s="1050">
        <v>149</v>
      </c>
      <c r="C1070" s="2035" t="str">
        <f t="shared" si="99"/>
        <v>37, Tours, Quartier Chateaubriand, France continentale, Base Carbone</v>
      </c>
      <c r="D1070" s="1051">
        <f t="shared" si="100"/>
        <v>149</v>
      </c>
      <c r="E1070" s="1051" t="str">
        <f>IF(COUNTIF(E$921:E1069,F1070)&gt;0,"",F1070)</f>
        <v>37, Tours, Quartier Chateaubriand, France continentale, Base Carbone</v>
      </c>
      <c r="F1070" s="1051" t="str">
        <f t="shared" si="101"/>
        <v>37, Tours, Quartier Chateaubriand, France continentale, Base Carbone</v>
      </c>
      <c r="G1070" s="1055" t="str">
        <f t="shared" si="102"/>
        <v>37, Tours, Quartier Chateaubriand, France continentale, Base Carbone; kgCO2e/kWh</v>
      </c>
      <c r="I1070" s="2018" t="s">
        <v>2904</v>
      </c>
      <c r="J1070" s="1135" t="s">
        <v>1681</v>
      </c>
      <c r="K1070" s="1119" t="s">
        <v>1567</v>
      </c>
      <c r="L1070" s="1119" t="s">
        <v>1571</v>
      </c>
      <c r="M1070" s="1134">
        <v>0.3</v>
      </c>
      <c r="N1070" s="1135"/>
      <c r="O1070" s="1135">
        <v>0.192</v>
      </c>
      <c r="P1070" s="1048"/>
      <c r="Q1070" s="1048"/>
      <c r="R1070" s="1048"/>
      <c r="S1070" s="1048"/>
      <c r="T1070" s="1048"/>
      <c r="U1070" s="1102"/>
    </row>
    <row r="1071" spans="2:21" hidden="1" outlineLevel="2">
      <c r="B1071" s="1050">
        <v>150</v>
      </c>
      <c r="C1071" s="2035" t="str">
        <f t="shared" si="99"/>
        <v>37, Tours, ZUP des Bords de Cher et Sanitas, France continentale, Base Carbone</v>
      </c>
      <c r="D1071" s="1051">
        <f t="shared" si="100"/>
        <v>150</v>
      </c>
      <c r="E1071" s="1051" t="str">
        <f>IF(COUNTIF(E$921:E1070,F1071)&gt;0,"",F1071)</f>
        <v>37, Tours, ZUP des Bords de Cher et Sanitas, France continentale, Base Carbone</v>
      </c>
      <c r="F1071" s="1051" t="str">
        <f t="shared" si="101"/>
        <v>37, Tours, ZUP des Bords de Cher et Sanitas, France continentale, Base Carbone</v>
      </c>
      <c r="G1071" s="1055" t="str">
        <f t="shared" si="102"/>
        <v>37, Tours, ZUP des Bords de Cher et Sanitas, France continentale, Base Carbone; kgCO2e/kWh</v>
      </c>
      <c r="I1071" s="2018" t="s">
        <v>3374</v>
      </c>
      <c r="J1071" s="1135" t="s">
        <v>1681</v>
      </c>
      <c r="K1071" s="1119" t="s">
        <v>1567</v>
      </c>
      <c r="L1071" s="1119" t="s">
        <v>1571</v>
      </c>
      <c r="M1071" s="1134">
        <v>0.3</v>
      </c>
      <c r="N1071" s="1135"/>
      <c r="O1071" s="1135">
        <v>7.0999999999999994E-2</v>
      </c>
      <c r="P1071" s="1048"/>
      <c r="Q1071" s="1048"/>
      <c r="R1071" s="1048"/>
      <c r="S1071" s="1048"/>
      <c r="T1071" s="1048"/>
      <c r="U1071" s="1102"/>
    </row>
    <row r="1072" spans="2:21" hidden="1" outlineLevel="2">
      <c r="B1072" s="1050">
        <v>151</v>
      </c>
      <c r="C1072" s="2035" t="str">
        <f t="shared" si="99"/>
        <v>38, Allevard, Réseau d’Allevard, France continentale, Base Carbone</v>
      </c>
      <c r="D1072" s="1051">
        <f t="shared" si="100"/>
        <v>151</v>
      </c>
      <c r="E1072" s="1051" t="str">
        <f>IF(COUNTIF(E$921:E1071,F1072)&gt;0,"",F1072)</f>
        <v>38, Allevard, Réseau d’Allevard, France continentale, Base Carbone</v>
      </c>
      <c r="F1072" s="1051" t="str">
        <f t="shared" si="101"/>
        <v>38, Allevard, Réseau d’Allevard, France continentale, Base Carbone</v>
      </c>
      <c r="G1072" s="1055" t="str">
        <f t="shared" si="102"/>
        <v>38, Allevard, Réseau d’Allevard, France continentale, Base Carbone; kgCO2e/kWh</v>
      </c>
      <c r="I1072" s="2018" t="s">
        <v>3375</v>
      </c>
      <c r="J1072" s="1135" t="s">
        <v>1681</v>
      </c>
      <c r="K1072" s="1119" t="s">
        <v>1567</v>
      </c>
      <c r="L1072" s="1119" t="s">
        <v>1571</v>
      </c>
      <c r="M1072" s="1134">
        <v>0.3</v>
      </c>
      <c r="N1072" s="1135"/>
      <c r="O1072" s="1135">
        <v>0.02</v>
      </c>
      <c r="P1072" s="1048"/>
      <c r="Q1072" s="1048"/>
      <c r="R1072" s="1048"/>
      <c r="S1072" s="1048"/>
      <c r="T1072" s="1048"/>
      <c r="U1072" s="1102"/>
    </row>
    <row r="1073" spans="2:21" hidden="1" outlineLevel="2">
      <c r="B1073" s="1050">
        <v>152</v>
      </c>
      <c r="C1073" s="2035" t="str">
        <f t="shared" si="99"/>
        <v>38, Bourgoin Jailleu, Berjalia, France continentale, Base Carbone</v>
      </c>
      <c r="D1073" s="1051">
        <f t="shared" si="100"/>
        <v>152</v>
      </c>
      <c r="E1073" s="1051" t="str">
        <f>IF(COUNTIF(E$921:E1072,F1073)&gt;0,"",F1073)</f>
        <v>38, Bourgoin Jailleu, Berjalia, France continentale, Base Carbone</v>
      </c>
      <c r="F1073" s="1051" t="str">
        <f t="shared" si="101"/>
        <v>38, Bourgoin Jailleu, Berjalia, France continentale, Base Carbone</v>
      </c>
      <c r="G1073" s="1055" t="str">
        <f t="shared" si="102"/>
        <v>38, Bourgoin Jailleu, Berjalia, France continentale, Base Carbone; kgCO2e/kWh</v>
      </c>
      <c r="I1073" s="2018" t="s">
        <v>3376</v>
      </c>
      <c r="J1073" s="1135" t="s">
        <v>1681</v>
      </c>
      <c r="K1073" s="1119" t="s">
        <v>1567</v>
      </c>
      <c r="L1073" s="1119" t="s">
        <v>1571</v>
      </c>
      <c r="M1073" s="1134">
        <v>0.3</v>
      </c>
      <c r="N1073" s="1135"/>
      <c r="O1073" s="1135">
        <v>3.4000000000000002E-2</v>
      </c>
      <c r="P1073" s="1048"/>
      <c r="Q1073" s="1048"/>
      <c r="R1073" s="1048"/>
      <c r="S1073" s="1048"/>
      <c r="T1073" s="1048"/>
      <c r="U1073" s="1102"/>
    </row>
    <row r="1074" spans="2:21" hidden="1" outlineLevel="2">
      <c r="B1074" s="1050">
        <v>153</v>
      </c>
      <c r="C1074" s="2035" t="str">
        <f t="shared" si="99"/>
        <v>38, Coublevie, Réseau de Coublevie, France continentale, Base Carbone</v>
      </c>
      <c r="D1074" s="1051">
        <f t="shared" si="100"/>
        <v>153</v>
      </c>
      <c r="E1074" s="1051" t="str">
        <f>IF(COUNTIF(E$921:E1073,F1074)&gt;0,"",F1074)</f>
        <v>38, Coublevie, Réseau de Coublevie, France continentale, Base Carbone</v>
      </c>
      <c r="F1074" s="1051" t="str">
        <f t="shared" si="101"/>
        <v>38, Coublevie, Réseau de Coublevie, France continentale, Base Carbone</v>
      </c>
      <c r="G1074" s="1055" t="str">
        <f t="shared" si="102"/>
        <v>38, Coublevie, Réseau de Coublevie, France continentale, Base Carbone; kgCO2e/kWh</v>
      </c>
      <c r="I1074" s="2018" t="s">
        <v>3377</v>
      </c>
      <c r="J1074" s="1135" t="s">
        <v>1681</v>
      </c>
      <c r="K1074" s="1119" t="s">
        <v>1567</v>
      </c>
      <c r="L1074" s="1119" t="s">
        <v>1571</v>
      </c>
      <c r="M1074" s="1134">
        <v>0.3</v>
      </c>
      <c r="N1074" s="1135"/>
      <c r="O1074" s="1135">
        <v>5.6000000000000001E-2</v>
      </c>
      <c r="P1074" s="1048"/>
      <c r="Q1074" s="1048"/>
      <c r="R1074" s="1048"/>
      <c r="S1074" s="1048"/>
      <c r="T1074" s="1048"/>
      <c r="U1074" s="1102"/>
    </row>
    <row r="1075" spans="2:21" hidden="1" outlineLevel="2">
      <c r="B1075" s="1050">
        <v>154</v>
      </c>
      <c r="C1075" s="2035" t="str">
        <f t="shared" si="99"/>
        <v>38, Grenoble, Réseau de Grenoble, France continentale, Base Carbone</v>
      </c>
      <c r="D1075" s="1051">
        <f t="shared" si="100"/>
        <v>154</v>
      </c>
      <c r="E1075" s="1051" t="str">
        <f>IF(COUNTIF(E$921:E1074,F1075)&gt;0,"",F1075)</f>
        <v>38, Grenoble, Réseau de Grenoble, France continentale, Base Carbone</v>
      </c>
      <c r="F1075" s="1051" t="str">
        <f t="shared" si="101"/>
        <v>38, Grenoble, Réseau de Grenoble, France continentale, Base Carbone</v>
      </c>
      <c r="G1075" s="1055" t="str">
        <f t="shared" si="102"/>
        <v>38, Grenoble, Réseau de Grenoble, France continentale, Base Carbone; kgCO2e/kWh</v>
      </c>
      <c r="I1075" s="2018" t="s">
        <v>3378</v>
      </c>
      <c r="J1075" s="1135" t="s">
        <v>1681</v>
      </c>
      <c r="K1075" s="1119" t="s">
        <v>1567</v>
      </c>
      <c r="L1075" s="1119" t="s">
        <v>1571</v>
      </c>
      <c r="M1075" s="1134">
        <v>0.3</v>
      </c>
      <c r="N1075" s="1135"/>
      <c r="O1075" s="1135">
        <v>0.14099999999999999</v>
      </c>
      <c r="P1075" s="1048"/>
      <c r="Q1075" s="1048"/>
      <c r="R1075" s="1048"/>
      <c r="S1075" s="1048"/>
      <c r="T1075" s="1048"/>
      <c r="U1075" s="1102"/>
    </row>
    <row r="1076" spans="2:21" hidden="1" outlineLevel="2">
      <c r="B1076" s="1050">
        <v>155</v>
      </c>
      <c r="C1076" s="2035" t="str">
        <f t="shared" si="99"/>
        <v>38, Lans-en-Vercors, Réseau de Lans-en-Vercors, France continentale, Base Carbone</v>
      </c>
      <c r="D1076" s="1051">
        <f t="shared" si="100"/>
        <v>155</v>
      </c>
      <c r="E1076" s="1051" t="str">
        <f>IF(COUNTIF(E$921:E1075,F1076)&gt;0,"",F1076)</f>
        <v>38, Lans-en-Vercors, Réseau de Lans-en-Vercors, France continentale, Base Carbone</v>
      </c>
      <c r="F1076" s="1051" t="str">
        <f t="shared" si="101"/>
        <v>38, Lans-en-Vercors, Réseau de Lans-en-Vercors, France continentale, Base Carbone</v>
      </c>
      <c r="G1076" s="1055" t="str">
        <f t="shared" si="102"/>
        <v>38, Lans-en-Vercors, Réseau de Lans-en-Vercors, France continentale, Base Carbone; kgCO2e/kWh</v>
      </c>
      <c r="I1076" s="2018" t="s">
        <v>2905</v>
      </c>
      <c r="J1076" s="1135" t="s">
        <v>1681</v>
      </c>
      <c r="K1076" s="1119" t="s">
        <v>1567</v>
      </c>
      <c r="L1076" s="1119" t="s">
        <v>1571</v>
      </c>
      <c r="M1076" s="1134">
        <v>0.3</v>
      </c>
      <c r="N1076" s="1135"/>
      <c r="O1076" s="1135">
        <v>1.2999999999999999E-2</v>
      </c>
      <c r="P1076" s="1048"/>
      <c r="Q1076" s="1048"/>
      <c r="R1076" s="1048"/>
      <c r="S1076" s="1048"/>
      <c r="T1076" s="1048"/>
      <c r="U1076" s="1102"/>
    </row>
    <row r="1077" spans="2:21" hidden="1" outlineLevel="2">
      <c r="B1077" s="1050">
        <v>156</v>
      </c>
      <c r="C1077" s="2035" t="str">
        <f t="shared" si="99"/>
        <v>38, Mens, Réseau de Mens, France continentale, Base Carbone</v>
      </c>
      <c r="D1077" s="1051">
        <f t="shared" si="100"/>
        <v>156</v>
      </c>
      <c r="E1077" s="1051" t="str">
        <f>IF(COUNTIF(E$921:E1076,F1077)&gt;0,"",F1077)</f>
        <v>38, Mens, Réseau de Mens, France continentale, Base Carbone</v>
      </c>
      <c r="F1077" s="1051" t="str">
        <f t="shared" si="101"/>
        <v>38, Mens, Réseau de Mens, France continentale, Base Carbone</v>
      </c>
      <c r="G1077" s="1055" t="str">
        <f t="shared" si="102"/>
        <v>38, Mens, Réseau de Mens, France continentale, Base Carbone; kgCO2e/kWh</v>
      </c>
      <c r="I1077" s="2018" t="s">
        <v>2906</v>
      </c>
      <c r="J1077" s="1135" t="s">
        <v>1681</v>
      </c>
      <c r="K1077" s="1119" t="s">
        <v>1567</v>
      </c>
      <c r="L1077" s="1119" t="s">
        <v>1571</v>
      </c>
      <c r="M1077" s="1134">
        <v>0.3</v>
      </c>
      <c r="N1077" s="1135"/>
      <c r="O1077" s="1135">
        <v>6.6000000000000003E-2</v>
      </c>
      <c r="P1077" s="1048"/>
      <c r="Q1077" s="1048"/>
      <c r="R1077" s="1048"/>
      <c r="S1077" s="1048"/>
      <c r="T1077" s="1048"/>
      <c r="U1077" s="1102"/>
    </row>
    <row r="1078" spans="2:21" hidden="1" outlineLevel="2">
      <c r="B1078" s="1050">
        <v>157</v>
      </c>
      <c r="C1078" s="2035" t="str">
        <f t="shared" si="99"/>
        <v>38, Monestier-de-Clermont, Réseau de Monestier-de-Clermont, France continentale, Base Carbone</v>
      </c>
      <c r="D1078" s="1051">
        <f t="shared" si="100"/>
        <v>157</v>
      </c>
      <c r="E1078" s="1051" t="str">
        <f>IF(COUNTIF(E$921:E1077,F1078)&gt;0,"",F1078)</f>
        <v>38, Monestier-de-Clermont, Réseau de Monestier-de-Clermont, France continentale, Base Carbone</v>
      </c>
      <c r="F1078" s="1051" t="str">
        <f t="shared" si="101"/>
        <v>38, Monestier-de-Clermont, Réseau de Monestier-de-Clermont, France continentale, Base Carbone</v>
      </c>
      <c r="G1078" s="1055" t="str">
        <f t="shared" si="102"/>
        <v>38, Monestier-de-Clermont, Réseau de Monestier-de-Clermont, France continentale, Base Carbone; kgCO2e/kWh</v>
      </c>
      <c r="I1078" s="2018" t="s">
        <v>2907</v>
      </c>
      <c r="J1078" s="1135" t="s">
        <v>1681</v>
      </c>
      <c r="K1078" s="1119" t="s">
        <v>1567</v>
      </c>
      <c r="L1078" s="1119" t="s">
        <v>1571</v>
      </c>
      <c r="M1078" s="1134">
        <v>0.3</v>
      </c>
      <c r="N1078" s="1135"/>
      <c r="O1078" s="1135">
        <v>2.4E-2</v>
      </c>
      <c r="P1078" s="1048"/>
      <c r="Q1078" s="1048"/>
      <c r="R1078" s="1048"/>
      <c r="S1078" s="1048"/>
      <c r="T1078" s="1048"/>
      <c r="U1078" s="1102"/>
    </row>
    <row r="1079" spans="2:21" hidden="1" outlineLevel="2">
      <c r="B1079" s="1050">
        <v>158</v>
      </c>
      <c r="C1079" s="2035" t="str">
        <f t="shared" si="99"/>
        <v>38, Pontcharra, Réseau de Chaleur Bois Pontcharra RCBP, France continentale, Base Carbone</v>
      </c>
      <c r="D1079" s="1051">
        <f t="shared" si="100"/>
        <v>158</v>
      </c>
      <c r="E1079" s="1051" t="str">
        <f>IF(COUNTIF(E$921:E1078,F1079)&gt;0,"",F1079)</f>
        <v>38, Pontcharra, Réseau de Chaleur Bois Pontcharra RCBP, France continentale, Base Carbone</v>
      </c>
      <c r="F1079" s="1051" t="str">
        <f t="shared" si="101"/>
        <v>38, Pontcharra, Réseau de Chaleur Bois Pontcharra RCBP, France continentale, Base Carbone</v>
      </c>
      <c r="G1079" s="1055" t="str">
        <f t="shared" si="102"/>
        <v>38, Pontcharra, Réseau de Chaleur Bois Pontcharra RCBP, France continentale, Base Carbone; kgCO2e/kWh</v>
      </c>
      <c r="I1079" s="2018" t="s">
        <v>3379</v>
      </c>
      <c r="J1079" s="1135" t="s">
        <v>1681</v>
      </c>
      <c r="K1079" s="1119" t="s">
        <v>1567</v>
      </c>
      <c r="L1079" s="1119" t="s">
        <v>1571</v>
      </c>
      <c r="M1079" s="1134">
        <v>0.3</v>
      </c>
      <c r="N1079" s="1135"/>
      <c r="O1079" s="1135">
        <v>6.0999999999999999E-2</v>
      </c>
      <c r="P1079" s="1048"/>
      <c r="Q1079" s="1048"/>
      <c r="R1079" s="1048"/>
      <c r="S1079" s="1048"/>
      <c r="T1079" s="1048"/>
      <c r="U1079" s="1102"/>
    </row>
    <row r="1080" spans="2:21" hidden="1" outlineLevel="2">
      <c r="B1080" s="1050">
        <v>159</v>
      </c>
      <c r="C1080" s="2035" t="str">
        <f t="shared" si="99"/>
        <v>38, Saint-Marcellin, Réseau de Saint Marcellin, France continentale, Base Carbone</v>
      </c>
      <c r="D1080" s="1051">
        <f t="shared" si="100"/>
        <v>159</v>
      </c>
      <c r="E1080" s="1051" t="str">
        <f>IF(COUNTIF(E$921:E1079,F1080)&gt;0,"",F1080)</f>
        <v>38, Saint-Marcellin, Réseau de Saint Marcellin, France continentale, Base Carbone</v>
      </c>
      <c r="F1080" s="1051" t="str">
        <f t="shared" si="101"/>
        <v>38, Saint-Marcellin, Réseau de Saint Marcellin, France continentale, Base Carbone</v>
      </c>
      <c r="G1080" s="1055" t="str">
        <f t="shared" si="102"/>
        <v>38, Saint-Marcellin, Réseau de Saint Marcellin, France continentale, Base Carbone; kgCO2e/kWh</v>
      </c>
      <c r="I1080" s="2018" t="s">
        <v>2908</v>
      </c>
      <c r="J1080" s="1135" t="s">
        <v>1681</v>
      </c>
      <c r="K1080" s="1119" t="s">
        <v>1567</v>
      </c>
      <c r="L1080" s="1119" t="s">
        <v>1571</v>
      </c>
      <c r="M1080" s="1134">
        <v>0.3</v>
      </c>
      <c r="N1080" s="1135"/>
      <c r="O1080" s="1135">
        <v>2.7E-2</v>
      </c>
      <c r="P1080" s="1048"/>
      <c r="Q1080" s="1048"/>
      <c r="R1080" s="1048"/>
      <c r="S1080" s="1048"/>
      <c r="T1080" s="1048"/>
      <c r="U1080" s="1102"/>
    </row>
    <row r="1081" spans="2:21" hidden="1" outlineLevel="2">
      <c r="B1081" s="1050">
        <v>160</v>
      </c>
      <c r="C1081" s="2035" t="str">
        <f t="shared" si="99"/>
        <v>38, Villars-de-Lans, Les Laiches, France continentale, Base Carbone</v>
      </c>
      <c r="D1081" s="1051">
        <f t="shared" si="100"/>
        <v>160</v>
      </c>
      <c r="E1081" s="1051" t="str">
        <f>IF(COUNTIF(E$921:E1080,F1081)&gt;0,"",F1081)</f>
        <v>38, Villars-de-Lans, Les Laiches, France continentale, Base Carbone</v>
      </c>
      <c r="F1081" s="1051" t="str">
        <f t="shared" si="101"/>
        <v>38, Villars-de-Lans, Les Laiches, France continentale, Base Carbone</v>
      </c>
      <c r="G1081" s="1055" t="str">
        <f t="shared" si="102"/>
        <v>38, Villars-de-Lans, Les Laiches, France continentale, Base Carbone; kgCO2e/kWh</v>
      </c>
      <c r="I1081" s="2018" t="s">
        <v>2909</v>
      </c>
      <c r="J1081" s="1135" t="s">
        <v>1681</v>
      </c>
      <c r="K1081" s="1119" t="s">
        <v>1567</v>
      </c>
      <c r="L1081" s="1119" t="s">
        <v>1571</v>
      </c>
      <c r="M1081" s="1134">
        <v>0.3</v>
      </c>
      <c r="N1081" s="1135"/>
      <c r="O1081" s="1135">
        <v>2.3E-2</v>
      </c>
      <c r="P1081" s="1048"/>
      <c r="Q1081" s="1048"/>
      <c r="R1081" s="1048"/>
      <c r="S1081" s="1048"/>
      <c r="T1081" s="1048"/>
      <c r="U1081" s="1102"/>
    </row>
    <row r="1082" spans="2:21" hidden="1" outlineLevel="2">
      <c r="B1082" s="1050">
        <v>161</v>
      </c>
      <c r="C1082" s="2035" t="str">
        <f t="shared" si="99"/>
        <v>38, Vinay, Réseau de chaleur de Vinay, France continentale, Base Carbone</v>
      </c>
      <c r="D1082" s="1051">
        <f t="shared" si="100"/>
        <v>161</v>
      </c>
      <c r="E1082" s="1051" t="str">
        <f>IF(COUNTIF(E$921:E1081,F1082)&gt;0,"",F1082)</f>
        <v>38, Vinay, Réseau de chaleur de Vinay, France continentale, Base Carbone</v>
      </c>
      <c r="F1082" s="1051" t="str">
        <f t="shared" si="101"/>
        <v>38, Vinay, Réseau de chaleur de Vinay, France continentale, Base Carbone</v>
      </c>
      <c r="G1082" s="1055" t="str">
        <f t="shared" si="102"/>
        <v>38, Vinay, Réseau de chaleur de Vinay, France continentale, Base Carbone; kgCO2e/kWh</v>
      </c>
      <c r="I1082" s="2018" t="s">
        <v>2910</v>
      </c>
      <c r="J1082" s="1135" t="s">
        <v>1681</v>
      </c>
      <c r="K1082" s="1119" t="s">
        <v>1567</v>
      </c>
      <c r="L1082" s="1119" t="s">
        <v>1571</v>
      </c>
      <c r="M1082" s="1134">
        <v>0.3</v>
      </c>
      <c r="N1082" s="1135"/>
      <c r="O1082" s="1135">
        <v>4.8000000000000001E-2</v>
      </c>
      <c r="P1082" s="1048"/>
      <c r="Q1082" s="1048"/>
      <c r="R1082" s="1048"/>
      <c r="S1082" s="1048"/>
      <c r="T1082" s="1048"/>
      <c r="U1082" s="1102"/>
    </row>
    <row r="1083" spans="2:21" hidden="1" outlineLevel="2">
      <c r="B1083" s="1050">
        <v>162</v>
      </c>
      <c r="C1083" s="2035" t="str">
        <f t="shared" si="99"/>
        <v>38, Voreppe, Réseau de chaleur de Voreppe, France continentale, Base Carbone</v>
      </c>
      <c r="D1083" s="1051">
        <f t="shared" si="100"/>
        <v>162</v>
      </c>
      <c r="E1083" s="1051" t="str">
        <f>IF(COUNTIF(E$921:E1082,F1083)&gt;0,"",F1083)</f>
        <v>38, Voreppe, Réseau de chaleur de Voreppe, France continentale, Base Carbone</v>
      </c>
      <c r="F1083" s="1051" t="str">
        <f t="shared" si="101"/>
        <v>38, Voreppe, Réseau de chaleur de Voreppe, France continentale, Base Carbone</v>
      </c>
      <c r="G1083" s="1055" t="str">
        <f t="shared" si="102"/>
        <v>38, Voreppe, Réseau de chaleur de Voreppe, France continentale, Base Carbone; kgCO2e/kWh</v>
      </c>
      <c r="I1083" s="2018" t="s">
        <v>3380</v>
      </c>
      <c r="J1083" s="1135" t="s">
        <v>1681</v>
      </c>
      <c r="K1083" s="1119" t="s">
        <v>1567</v>
      </c>
      <c r="L1083" s="1119" t="s">
        <v>1571</v>
      </c>
      <c r="M1083" s="1134">
        <v>0.3</v>
      </c>
      <c r="N1083" s="1135"/>
      <c r="O1083" s="1135">
        <v>4.2000000000000003E-2</v>
      </c>
      <c r="P1083" s="1048"/>
      <c r="Q1083" s="1048"/>
      <c r="R1083" s="1048"/>
      <c r="S1083" s="1048"/>
      <c r="T1083" s="1048"/>
      <c r="U1083" s="1102"/>
    </row>
    <row r="1084" spans="2:21" hidden="1" outlineLevel="2">
      <c r="B1084" s="1050">
        <v>163</v>
      </c>
      <c r="C1084" s="2035" t="str">
        <f t="shared" si="99"/>
        <v>39, Arinthod, Réseau CCPM Arinthod, France continentale, Base Carbone</v>
      </c>
      <c r="D1084" s="1051">
        <f t="shared" si="100"/>
        <v>163</v>
      </c>
      <c r="E1084" s="1051" t="str">
        <f>IF(COUNTIF(E$921:E1083,F1084)&gt;0,"",F1084)</f>
        <v>39, Arinthod, Réseau CCPM Arinthod, France continentale, Base Carbone</v>
      </c>
      <c r="F1084" s="1051" t="str">
        <f t="shared" si="101"/>
        <v>39, Arinthod, Réseau CCPM Arinthod, France continentale, Base Carbone</v>
      </c>
      <c r="G1084" s="1055" t="str">
        <f t="shared" si="102"/>
        <v>39, Arinthod, Réseau CCPM Arinthod, France continentale, Base Carbone; kgCO2e/kWh</v>
      </c>
      <c r="I1084" s="2018" t="s">
        <v>3381</v>
      </c>
      <c r="J1084" s="1135" t="s">
        <v>1681</v>
      </c>
      <c r="K1084" s="1119" t="s">
        <v>1567</v>
      </c>
      <c r="L1084" s="1119" t="s">
        <v>1571</v>
      </c>
      <c r="M1084" s="1134">
        <v>0.3</v>
      </c>
      <c r="N1084" s="1135"/>
      <c r="O1084" s="1135">
        <v>0</v>
      </c>
      <c r="P1084" s="1048"/>
      <c r="Q1084" s="1048"/>
      <c r="R1084" s="1048"/>
      <c r="S1084" s="1048"/>
      <c r="T1084" s="1048"/>
      <c r="U1084" s="1102"/>
    </row>
    <row r="1085" spans="2:21" hidden="1" outlineLevel="2">
      <c r="B1085" s="1050">
        <v>164</v>
      </c>
      <c r="C1085" s="2035" t="str">
        <f t="shared" si="99"/>
        <v>39, Avignon-Les-Saint-Claude, Chaufferie Bois les Orchidées, France continentale, Base Carbone</v>
      </c>
      <c r="D1085" s="1051">
        <f t="shared" si="100"/>
        <v>164</v>
      </c>
      <c r="E1085" s="1051" t="str">
        <f>IF(COUNTIF(E$921:E1084,F1085)&gt;0,"",F1085)</f>
        <v>39, Avignon-Les-Saint-Claude, Chaufferie Bois les Orchidées, France continentale, Base Carbone</v>
      </c>
      <c r="F1085" s="1051" t="str">
        <f t="shared" si="101"/>
        <v>39, Avignon-Les-Saint-Claude, Chaufferie Bois les Orchidées, France continentale, Base Carbone</v>
      </c>
      <c r="G1085" s="1055" t="str">
        <f t="shared" si="102"/>
        <v>39, Avignon-Les-Saint-Claude, Chaufferie Bois les Orchidées, France continentale, Base Carbone; kgCO2e/kWh</v>
      </c>
      <c r="I1085" s="2018" t="s">
        <v>3382</v>
      </c>
      <c r="J1085" s="1135" t="s">
        <v>1681</v>
      </c>
      <c r="K1085" s="1119" t="s">
        <v>1567</v>
      </c>
      <c r="L1085" s="1119" t="s">
        <v>1571</v>
      </c>
      <c r="M1085" s="1134">
        <v>0.3</v>
      </c>
      <c r="N1085" s="1135"/>
      <c r="O1085" s="1135">
        <v>0</v>
      </c>
      <c r="P1085" s="1048"/>
      <c r="Q1085" s="1048"/>
      <c r="R1085" s="1048"/>
      <c r="S1085" s="1048"/>
      <c r="T1085" s="1048"/>
      <c r="U1085" s="1102"/>
    </row>
    <row r="1086" spans="2:21" hidden="1" outlineLevel="2">
      <c r="B1086" s="1050">
        <v>165</v>
      </c>
      <c r="C1086" s="2035" t="str">
        <f t="shared" si="99"/>
        <v>39, Champvans, Réseau de Champvans, France continentale, Base Carbone</v>
      </c>
      <c r="D1086" s="1051">
        <f t="shared" si="100"/>
        <v>165</v>
      </c>
      <c r="E1086" s="1051" t="str">
        <f>IF(COUNTIF(E$921:E1085,F1086)&gt;0,"",F1086)</f>
        <v>39, Champvans, Réseau de Champvans, France continentale, Base Carbone</v>
      </c>
      <c r="F1086" s="1051" t="str">
        <f t="shared" si="101"/>
        <v>39, Champvans, Réseau de Champvans, France continentale, Base Carbone</v>
      </c>
      <c r="G1086" s="1055" t="str">
        <f t="shared" si="102"/>
        <v>39, Champvans, Réseau de Champvans, France continentale, Base Carbone; kgCO2e/kWh</v>
      </c>
      <c r="I1086" s="2018" t="s">
        <v>2911</v>
      </c>
      <c r="J1086" s="1135" t="s">
        <v>1681</v>
      </c>
      <c r="K1086" s="1119" t="s">
        <v>1567</v>
      </c>
      <c r="L1086" s="1119" t="s">
        <v>1571</v>
      </c>
      <c r="M1086" s="1134">
        <v>0.3</v>
      </c>
      <c r="N1086" s="1135"/>
      <c r="O1086" s="1135">
        <v>0</v>
      </c>
      <c r="P1086" s="1048"/>
      <c r="Q1086" s="1048"/>
      <c r="R1086" s="1048"/>
      <c r="S1086" s="1048"/>
      <c r="T1086" s="1048"/>
      <c r="U1086" s="1102"/>
    </row>
    <row r="1087" spans="2:21" hidden="1" outlineLevel="2">
      <c r="B1087" s="1050">
        <v>166</v>
      </c>
      <c r="C1087" s="2035" t="str">
        <f t="shared" si="99"/>
        <v>39, Dole, Réseau de Dole, France continentale, Base Carbone</v>
      </c>
      <c r="D1087" s="1051">
        <f t="shared" si="100"/>
        <v>166</v>
      </c>
      <c r="E1087" s="1051" t="str">
        <f>IF(COUNTIF(E$921:E1086,F1087)&gt;0,"",F1087)</f>
        <v>39, Dole, Réseau de Dole, France continentale, Base Carbone</v>
      </c>
      <c r="F1087" s="1051" t="str">
        <f t="shared" si="101"/>
        <v>39, Dole, Réseau de Dole, France continentale, Base Carbone</v>
      </c>
      <c r="G1087" s="1055" t="str">
        <f t="shared" si="102"/>
        <v>39, Dole, Réseau de Dole, France continentale, Base Carbone; kgCO2e/kWh</v>
      </c>
      <c r="I1087" s="2018" t="s">
        <v>939</v>
      </c>
      <c r="J1087" s="1135" t="s">
        <v>1681</v>
      </c>
      <c r="K1087" s="1119" t="s">
        <v>1567</v>
      </c>
      <c r="L1087" s="1119" t="s">
        <v>1571</v>
      </c>
      <c r="M1087" s="1134">
        <v>0.3</v>
      </c>
      <c r="N1087" s="1135"/>
      <c r="O1087" s="1135">
        <v>0.109</v>
      </c>
      <c r="P1087" s="1048"/>
      <c r="Q1087" s="1048"/>
      <c r="R1087" s="1048"/>
      <c r="S1087" s="1048"/>
      <c r="T1087" s="1048"/>
      <c r="U1087" s="1102"/>
    </row>
    <row r="1088" spans="2:21" hidden="1" outlineLevel="2">
      <c r="B1088" s="1050">
        <v>167</v>
      </c>
      <c r="C1088" s="2035" t="str">
        <f t="shared" si="99"/>
        <v>39, Hauts de Bienne, Réseau de la Ville de Morez, France continentale, Base Carbone</v>
      </c>
      <c r="D1088" s="1051">
        <f t="shared" si="100"/>
        <v>167</v>
      </c>
      <c r="E1088" s="1051" t="str">
        <f>IF(COUNTIF(E$921:E1087,F1088)&gt;0,"",F1088)</f>
        <v>39, Hauts de Bienne, Réseau de la Ville de Morez, France continentale, Base Carbone</v>
      </c>
      <c r="F1088" s="1051" t="str">
        <f t="shared" si="101"/>
        <v>39, Hauts de Bienne, Réseau de la Ville de Morez, France continentale, Base Carbone</v>
      </c>
      <c r="G1088" s="1055" t="str">
        <f t="shared" si="102"/>
        <v>39, Hauts de Bienne, Réseau de la Ville de Morez, France continentale, Base Carbone; kgCO2e/kWh</v>
      </c>
      <c r="I1088" s="2018" t="s">
        <v>3383</v>
      </c>
      <c r="J1088" s="1135" t="s">
        <v>1681</v>
      </c>
      <c r="K1088" s="1119" t="s">
        <v>1567</v>
      </c>
      <c r="L1088" s="1119" t="s">
        <v>1571</v>
      </c>
      <c r="M1088" s="1134">
        <v>0.3</v>
      </c>
      <c r="N1088" s="1135"/>
      <c r="O1088" s="1135">
        <v>0</v>
      </c>
      <c r="P1088" s="1048"/>
      <c r="Q1088" s="1048"/>
      <c r="R1088" s="1048"/>
      <c r="S1088" s="1048"/>
      <c r="T1088" s="1048"/>
      <c r="U1088" s="1102"/>
    </row>
    <row r="1089" spans="2:21" hidden="1" outlineLevel="2">
      <c r="B1089" s="1050">
        <v>168</v>
      </c>
      <c r="C1089" s="2035" t="str">
        <f t="shared" si="99"/>
        <v>39, Lons-le-Saunier, La Marjorie, France continentale, Base Carbone</v>
      </c>
      <c r="D1089" s="1051">
        <f t="shared" si="100"/>
        <v>168</v>
      </c>
      <c r="E1089" s="1051" t="str">
        <f>IF(COUNTIF(E$921:E1088,F1089)&gt;0,"",F1089)</f>
        <v>39, Lons-le-Saunier, La Marjorie, France continentale, Base Carbone</v>
      </c>
      <c r="F1089" s="1051" t="str">
        <f t="shared" si="101"/>
        <v>39, Lons-le-Saunier, La Marjorie, France continentale, Base Carbone</v>
      </c>
      <c r="G1089" s="1055" t="str">
        <f t="shared" si="102"/>
        <v>39, Lons-le-Saunier, La Marjorie, France continentale, Base Carbone; kgCO2e/kWh</v>
      </c>
      <c r="I1089" s="2018" t="s">
        <v>3384</v>
      </c>
      <c r="J1089" s="1135" t="s">
        <v>1681</v>
      </c>
      <c r="K1089" s="1119" t="s">
        <v>1567</v>
      </c>
      <c r="L1089" s="1119" t="s">
        <v>1571</v>
      </c>
      <c r="M1089" s="1134">
        <v>0.3</v>
      </c>
      <c r="N1089" s="1135"/>
      <c r="O1089" s="1135">
        <v>8.2000000000000003E-2</v>
      </c>
      <c r="P1089" s="1048"/>
      <c r="Q1089" s="1048"/>
      <c r="R1089" s="1048"/>
      <c r="S1089" s="1048"/>
      <c r="T1089" s="1048"/>
      <c r="U1089" s="1102"/>
    </row>
    <row r="1090" spans="2:21" hidden="1" outlineLevel="2">
      <c r="B1090" s="1050">
        <v>169</v>
      </c>
      <c r="C1090" s="2035" t="str">
        <f t="shared" si="99"/>
        <v>39, Moirans-en-Montagne, Réseau de Moirans-en-Montagne, France continentale, Base Carbone</v>
      </c>
      <c r="D1090" s="1051">
        <f t="shared" si="100"/>
        <v>169</v>
      </c>
      <c r="E1090" s="1051" t="str">
        <f>IF(COUNTIF(E$921:E1089,F1090)&gt;0,"",F1090)</f>
        <v>39, Moirans-en-Montagne, Réseau de Moirans-en-Montagne, France continentale, Base Carbone</v>
      </c>
      <c r="F1090" s="1051" t="str">
        <f t="shared" si="101"/>
        <v>39, Moirans-en-Montagne, Réseau de Moirans-en-Montagne, France continentale, Base Carbone</v>
      </c>
      <c r="G1090" s="1055" t="str">
        <f t="shared" si="102"/>
        <v>39, Moirans-en-Montagne, Réseau de Moirans-en-Montagne, France continentale, Base Carbone; kgCO2e/kWh</v>
      </c>
      <c r="I1090" s="2018" t="s">
        <v>3385</v>
      </c>
      <c r="J1090" s="1135" t="s">
        <v>1681</v>
      </c>
      <c r="K1090" s="1119" t="s">
        <v>1567</v>
      </c>
      <c r="L1090" s="1119" t="s">
        <v>1571</v>
      </c>
      <c r="M1090" s="1134">
        <v>0.3</v>
      </c>
      <c r="N1090" s="1135"/>
      <c r="O1090" s="1135">
        <v>0.11799999999999999</v>
      </c>
      <c r="P1090" s="1048"/>
      <c r="Q1090" s="1048"/>
      <c r="R1090" s="1048"/>
      <c r="S1090" s="1048"/>
      <c r="T1090" s="1048"/>
      <c r="U1090" s="1102"/>
    </row>
    <row r="1091" spans="2:21" hidden="1" outlineLevel="2">
      <c r="B1091" s="1050">
        <v>170</v>
      </c>
      <c r="C1091" s="2035" t="str">
        <f t="shared" si="99"/>
        <v>4, Allos, Réseau d’Allos, France continentale, Base Carbone</v>
      </c>
      <c r="D1091" s="1051">
        <f t="shared" si="100"/>
        <v>170</v>
      </c>
      <c r="E1091" s="1051" t="str">
        <f>IF(COUNTIF(E$921:E1090,F1091)&gt;0,"",F1091)</f>
        <v>4, Allos, Réseau d’Allos, France continentale, Base Carbone</v>
      </c>
      <c r="F1091" s="1051" t="str">
        <f t="shared" si="101"/>
        <v>4, Allos, Réseau d’Allos, France continentale, Base Carbone</v>
      </c>
      <c r="G1091" s="1055" t="str">
        <f t="shared" si="102"/>
        <v>4, Allos, Réseau d’Allos, France continentale, Base Carbone; kgCO2e/kWh</v>
      </c>
      <c r="I1091" s="2018" t="s">
        <v>3386</v>
      </c>
      <c r="J1091" s="1135" t="s">
        <v>1681</v>
      </c>
      <c r="K1091" s="1119" t="s">
        <v>1567</v>
      </c>
      <c r="L1091" s="1119" t="s">
        <v>1571</v>
      </c>
      <c r="M1091" s="1134">
        <v>0.3</v>
      </c>
      <c r="N1091" s="1135"/>
      <c r="O1091" s="1135">
        <v>0</v>
      </c>
      <c r="P1091" s="1048"/>
      <c r="Q1091" s="1048"/>
      <c r="R1091" s="1048"/>
      <c r="S1091" s="1048"/>
      <c r="T1091" s="1048"/>
      <c r="U1091" s="1102"/>
    </row>
    <row r="1092" spans="2:21" hidden="1" outlineLevel="2">
      <c r="B1092" s="1050">
        <v>171</v>
      </c>
      <c r="C1092" s="2035" t="str">
        <f t="shared" si="99"/>
        <v>4, Barcelonnette, Réseau de Barcelonnette, France continentale, Base Carbone</v>
      </c>
      <c r="D1092" s="1051">
        <f t="shared" si="100"/>
        <v>171</v>
      </c>
      <c r="E1092" s="1051" t="str">
        <f>IF(COUNTIF(E$921:E1091,F1092)&gt;0,"",F1092)</f>
        <v>4, Barcelonnette, Réseau de Barcelonnette, France continentale, Base Carbone</v>
      </c>
      <c r="F1092" s="1051" t="str">
        <f t="shared" si="101"/>
        <v>4, Barcelonnette, Réseau de Barcelonnette, France continentale, Base Carbone</v>
      </c>
      <c r="G1092" s="1055" t="str">
        <f t="shared" si="102"/>
        <v>4, Barcelonnette, Réseau de Barcelonnette, France continentale, Base Carbone; kgCO2e/kWh</v>
      </c>
      <c r="I1092" s="2018" t="s">
        <v>3387</v>
      </c>
      <c r="J1092" s="1135" t="s">
        <v>1681</v>
      </c>
      <c r="K1092" s="1119" t="s">
        <v>1567</v>
      </c>
      <c r="L1092" s="1119" t="s">
        <v>1571</v>
      </c>
      <c r="M1092" s="1134">
        <v>0.3</v>
      </c>
      <c r="N1092" s="1135"/>
      <c r="O1092" s="1135">
        <v>4.8000000000000001E-2</v>
      </c>
      <c r="P1092" s="1048"/>
      <c r="Q1092" s="1048"/>
      <c r="R1092" s="1048"/>
      <c r="S1092" s="1048"/>
      <c r="T1092" s="1048"/>
      <c r="U1092" s="1102"/>
    </row>
    <row r="1093" spans="2:21" hidden="1" outlineLevel="2">
      <c r="B1093" s="1050">
        <v>172</v>
      </c>
      <c r="C1093" s="2035" t="str">
        <f t="shared" si="99"/>
        <v>4, Forcalquier, Réseau La Tomie, France continentale, Base Carbone</v>
      </c>
      <c r="D1093" s="1051">
        <f t="shared" si="100"/>
        <v>172</v>
      </c>
      <c r="E1093" s="1051" t="str">
        <f>IF(COUNTIF(E$921:E1092,F1093)&gt;0,"",F1093)</f>
        <v>4, Forcalquier, Réseau La Tomie, France continentale, Base Carbone</v>
      </c>
      <c r="F1093" s="1051" t="str">
        <f t="shared" si="101"/>
        <v>4, Forcalquier, Réseau La Tomie, France continentale, Base Carbone</v>
      </c>
      <c r="G1093" s="1055" t="str">
        <f t="shared" si="102"/>
        <v>4, Forcalquier, Réseau La Tomie, France continentale, Base Carbone; kgCO2e/kWh</v>
      </c>
      <c r="I1093" s="2018" t="s">
        <v>3388</v>
      </c>
      <c r="J1093" s="1135" t="s">
        <v>1681</v>
      </c>
      <c r="K1093" s="1119" t="s">
        <v>1567</v>
      </c>
      <c r="L1093" s="1119" t="s">
        <v>1571</v>
      </c>
      <c r="M1093" s="1134">
        <v>0.3</v>
      </c>
      <c r="N1093" s="1135"/>
      <c r="O1093" s="1135">
        <v>8.9999999999999993E-3</v>
      </c>
      <c r="P1093" s="1048"/>
      <c r="Q1093" s="1048"/>
      <c r="R1093" s="1048"/>
      <c r="S1093" s="1048"/>
      <c r="T1093" s="1048"/>
      <c r="U1093" s="1102"/>
    </row>
    <row r="1094" spans="2:21" hidden="1" outlineLevel="2">
      <c r="B1094" s="1050">
        <v>173</v>
      </c>
      <c r="C1094" s="2035" t="str">
        <f t="shared" si="99"/>
        <v>4, Manosque, RCU Manosque ZAC Chanteprunier, France continentale, Base Carbone</v>
      </c>
      <c r="D1094" s="1051">
        <f t="shared" si="100"/>
        <v>173</v>
      </c>
      <c r="E1094" s="1051" t="str">
        <f>IF(COUNTIF(E$921:E1093,F1094)&gt;0,"",F1094)</f>
        <v>4, Manosque, RCU Manosque ZAC Chanteprunier, France continentale, Base Carbone</v>
      </c>
      <c r="F1094" s="1051" t="str">
        <f t="shared" si="101"/>
        <v>4, Manosque, RCU Manosque ZAC Chanteprunier, France continentale, Base Carbone</v>
      </c>
      <c r="G1094" s="1055" t="str">
        <f t="shared" si="102"/>
        <v>4, Manosque, RCU Manosque ZAC Chanteprunier, France continentale, Base Carbone; kgCO2e/kWh</v>
      </c>
      <c r="I1094" s="2018" t="s">
        <v>1676</v>
      </c>
      <c r="J1094" s="1135" t="s">
        <v>1681</v>
      </c>
      <c r="K1094" s="1119" t="s">
        <v>1567</v>
      </c>
      <c r="L1094" s="1119" t="s">
        <v>1571</v>
      </c>
      <c r="M1094" s="1134">
        <v>0.3</v>
      </c>
      <c r="N1094" s="1135"/>
      <c r="O1094" s="1135">
        <v>4.8000000000000001E-2</v>
      </c>
      <c r="P1094" s="1048"/>
      <c r="Q1094" s="1048"/>
      <c r="R1094" s="1048"/>
      <c r="S1094" s="1048"/>
      <c r="T1094" s="1048"/>
      <c r="U1094" s="1102"/>
    </row>
    <row r="1095" spans="2:21" hidden="1" outlineLevel="2">
      <c r="B1095" s="1050">
        <v>174</v>
      </c>
      <c r="C1095" s="2035" t="str">
        <f t="shared" si="99"/>
        <v>40, Mont-de-Marsan, Géothermie Mont-de-Marsan (GMM1), France continentale, Base Carbone</v>
      </c>
      <c r="D1095" s="1051">
        <f t="shared" si="100"/>
        <v>174</v>
      </c>
      <c r="E1095" s="1051" t="str">
        <f>IF(COUNTIF(E$921:E1094,F1095)&gt;0,"",F1095)</f>
        <v>40, Mont-de-Marsan, Géothermie Mont-de-Marsan (GMM1), France continentale, Base Carbone</v>
      </c>
      <c r="F1095" s="1051" t="str">
        <f t="shared" si="101"/>
        <v>40, Mont-de-Marsan, Géothermie Mont-de-Marsan (GMM1), France continentale, Base Carbone</v>
      </c>
      <c r="G1095" s="1055" t="str">
        <f t="shared" si="102"/>
        <v>40, Mont-de-Marsan, Géothermie Mont-de-Marsan (GMM1), France continentale, Base Carbone; kgCO2e/kWh</v>
      </c>
      <c r="I1095" s="2018" t="s">
        <v>2912</v>
      </c>
      <c r="J1095" s="1135" t="s">
        <v>1681</v>
      </c>
      <c r="K1095" s="1119" t="s">
        <v>1567</v>
      </c>
      <c r="L1095" s="1119" t="s">
        <v>1571</v>
      </c>
      <c r="M1095" s="1134">
        <v>0.3</v>
      </c>
      <c r="N1095" s="1135"/>
      <c r="O1095" s="1135">
        <v>1.7999999999999999E-2</v>
      </c>
      <c r="P1095" s="1048"/>
      <c r="Q1095" s="1048"/>
      <c r="R1095" s="1048"/>
      <c r="S1095" s="1048"/>
      <c r="T1095" s="1048"/>
      <c r="U1095" s="1102"/>
    </row>
    <row r="1096" spans="2:21" hidden="1" outlineLevel="2">
      <c r="B1096" s="1050">
        <v>175</v>
      </c>
      <c r="C1096" s="2035" t="str">
        <f t="shared" si="99"/>
        <v>40, Mont-de-Marsan, Réseau de chaleur Peyrouat, France continentale, Base Carbone</v>
      </c>
      <c r="D1096" s="1051">
        <f t="shared" si="100"/>
        <v>175</v>
      </c>
      <c r="E1096" s="1051" t="str">
        <f>IF(COUNTIF(E$921:E1095,F1096)&gt;0,"",F1096)</f>
        <v>40, Mont-de-Marsan, Réseau de chaleur Peyrouat, France continentale, Base Carbone</v>
      </c>
      <c r="F1096" s="1051" t="str">
        <f t="shared" si="101"/>
        <v>40, Mont-de-Marsan, Réseau de chaleur Peyrouat, France continentale, Base Carbone</v>
      </c>
      <c r="G1096" s="1055" t="str">
        <f t="shared" si="102"/>
        <v>40, Mont-de-Marsan, Réseau de chaleur Peyrouat, France continentale, Base Carbone; kgCO2e/kWh</v>
      </c>
      <c r="I1096" s="2018" t="s">
        <v>3389</v>
      </c>
      <c r="J1096" s="1135" t="s">
        <v>1681</v>
      </c>
      <c r="K1096" s="1119" t="s">
        <v>1567</v>
      </c>
      <c r="L1096" s="1119" t="s">
        <v>1571</v>
      </c>
      <c r="M1096" s="1134">
        <v>0.3</v>
      </c>
      <c r="N1096" s="1135"/>
      <c r="O1096" s="1135">
        <v>9.5000000000000001E-2</v>
      </c>
      <c r="P1096" s="1048"/>
      <c r="Q1096" s="1048"/>
      <c r="R1096" s="1048"/>
      <c r="S1096" s="1048"/>
      <c r="T1096" s="1048"/>
      <c r="U1096" s="1102"/>
    </row>
    <row r="1097" spans="2:21" hidden="1" outlineLevel="2">
      <c r="B1097" s="1050">
        <v>176</v>
      </c>
      <c r="C1097" s="2035" t="str">
        <f t="shared" si="99"/>
        <v>41, Blois, Quartier Bégon et Chevalier, France continentale, Base Carbone</v>
      </c>
      <c r="D1097" s="1051">
        <f t="shared" si="100"/>
        <v>176</v>
      </c>
      <c r="E1097" s="1051" t="str">
        <f>IF(COUNTIF(E$921:E1096,F1097)&gt;0,"",F1097)</f>
        <v>41, Blois, Quartier Bégon et Chevalier, France continentale, Base Carbone</v>
      </c>
      <c r="F1097" s="1051" t="str">
        <f t="shared" si="101"/>
        <v>41, Blois, Quartier Bégon et Chevalier, France continentale, Base Carbone</v>
      </c>
      <c r="G1097" s="1055" t="str">
        <f t="shared" si="102"/>
        <v>41, Blois, Quartier Bégon et Chevalier, France continentale, Base Carbone; kgCO2e/kWh</v>
      </c>
      <c r="I1097" s="2018" t="s">
        <v>940</v>
      </c>
      <c r="J1097" s="1135" t="s">
        <v>1681</v>
      </c>
      <c r="K1097" s="1119" t="s">
        <v>1567</v>
      </c>
      <c r="L1097" s="1119" t="s">
        <v>1571</v>
      </c>
      <c r="M1097" s="1134">
        <v>0.3</v>
      </c>
      <c r="N1097" s="1135"/>
      <c r="O1097" s="1135">
        <v>2.1999999999999999E-2</v>
      </c>
      <c r="P1097" s="1048"/>
      <c r="Q1097" s="1048"/>
      <c r="R1097" s="1048"/>
      <c r="S1097" s="1048"/>
      <c r="T1097" s="1048"/>
      <c r="U1097" s="1102"/>
    </row>
    <row r="1098" spans="2:21" hidden="1" outlineLevel="2">
      <c r="B1098" s="1050">
        <v>177</v>
      </c>
      <c r="C1098" s="2035" t="str">
        <f t="shared" si="99"/>
        <v>41, Mondoubleau, Réseau de Mondoubleau, France continentale, Base Carbone</v>
      </c>
      <c r="D1098" s="1051">
        <f t="shared" si="100"/>
        <v>177</v>
      </c>
      <c r="E1098" s="1051" t="str">
        <f>IF(COUNTIF(E$921:E1097,F1098)&gt;0,"",F1098)</f>
        <v>41, Mondoubleau, Réseau de Mondoubleau, France continentale, Base Carbone</v>
      </c>
      <c r="F1098" s="1051" t="str">
        <f t="shared" si="101"/>
        <v>41, Mondoubleau, Réseau de Mondoubleau, France continentale, Base Carbone</v>
      </c>
      <c r="G1098" s="1055" t="str">
        <f t="shared" si="102"/>
        <v>41, Mondoubleau, Réseau de Mondoubleau, France continentale, Base Carbone; kgCO2e/kWh</v>
      </c>
      <c r="I1098" s="2018" t="s">
        <v>941</v>
      </c>
      <c r="J1098" s="1135" t="s">
        <v>1681</v>
      </c>
      <c r="K1098" s="1119" t="s">
        <v>1567</v>
      </c>
      <c r="L1098" s="1119" t="s">
        <v>1571</v>
      </c>
      <c r="M1098" s="1134">
        <v>0.3</v>
      </c>
      <c r="N1098" s="1135"/>
      <c r="O1098" s="1135">
        <v>0.11600000000000001</v>
      </c>
      <c r="P1098" s="1048"/>
      <c r="Q1098" s="1048"/>
      <c r="R1098" s="1048"/>
      <c r="S1098" s="1048"/>
      <c r="T1098" s="1048"/>
      <c r="U1098" s="1102"/>
    </row>
    <row r="1099" spans="2:21" hidden="1" outlineLevel="2">
      <c r="B1099" s="1050">
        <v>178</v>
      </c>
      <c r="C1099" s="2035" t="str">
        <f t="shared" si="99"/>
        <v>41, Vineuil, ZAC des Paradis, France continentale, Base Carbone</v>
      </c>
      <c r="D1099" s="1051">
        <f t="shared" si="100"/>
        <v>178</v>
      </c>
      <c r="E1099" s="1051" t="str">
        <f>IF(COUNTIF(E$921:E1098,F1099)&gt;0,"",F1099)</f>
        <v>41, Vineuil, ZAC des Paradis, France continentale, Base Carbone</v>
      </c>
      <c r="F1099" s="1051" t="str">
        <f t="shared" si="101"/>
        <v>41, Vineuil, ZAC des Paradis, France continentale, Base Carbone</v>
      </c>
      <c r="G1099" s="1055" t="str">
        <f t="shared" si="102"/>
        <v>41, Vineuil, ZAC des Paradis, France continentale, Base Carbone; kgCO2e/kWh</v>
      </c>
      <c r="I1099" s="2018" t="s">
        <v>942</v>
      </c>
      <c r="J1099" s="1135" t="s">
        <v>1681</v>
      </c>
      <c r="K1099" s="1119" t="s">
        <v>1567</v>
      </c>
      <c r="L1099" s="1119" t="s">
        <v>1571</v>
      </c>
      <c r="M1099" s="1134">
        <v>0.3</v>
      </c>
      <c r="N1099" s="1135"/>
      <c r="O1099" s="1135">
        <v>5.6000000000000001E-2</v>
      </c>
      <c r="P1099" s="1048"/>
      <c r="Q1099" s="1048"/>
      <c r="R1099" s="1048"/>
      <c r="S1099" s="1048"/>
      <c r="T1099" s="1048"/>
      <c r="U1099" s="1102"/>
    </row>
    <row r="1100" spans="2:21" hidden="1" outlineLevel="2">
      <c r="B1100" s="1050">
        <v>179</v>
      </c>
      <c r="C1100" s="2035" t="str">
        <f t="shared" si="99"/>
        <v>42, Andrézieux-Bouthéon, Réseau d’Andrézieux-Bouthéon, France continentale, Base Carbone</v>
      </c>
      <c r="D1100" s="1051">
        <f t="shared" si="100"/>
        <v>179</v>
      </c>
      <c r="E1100" s="1051" t="str">
        <f>IF(COUNTIF(E$921:E1099,F1100)&gt;0,"",F1100)</f>
        <v>42, Andrézieux-Bouthéon, Réseau d’Andrézieux-Bouthéon, France continentale, Base Carbone</v>
      </c>
      <c r="F1100" s="1051" t="str">
        <f t="shared" si="101"/>
        <v>42, Andrézieux-Bouthéon, Réseau d’Andrézieux-Bouthéon, France continentale, Base Carbone</v>
      </c>
      <c r="G1100" s="1055" t="str">
        <f t="shared" si="102"/>
        <v>42, Andrézieux-Bouthéon, Réseau d’Andrézieux-Bouthéon, France continentale, Base Carbone; kgCO2e/kWh</v>
      </c>
      <c r="I1100" s="2018" t="s">
        <v>3390</v>
      </c>
      <c r="J1100" s="1135" t="s">
        <v>1681</v>
      </c>
      <c r="K1100" s="1119" t="s">
        <v>1567</v>
      </c>
      <c r="L1100" s="1119" t="s">
        <v>1571</v>
      </c>
      <c r="M1100" s="1134">
        <v>0.3</v>
      </c>
      <c r="N1100" s="1135"/>
      <c r="O1100" s="1135">
        <v>7.6999999999999999E-2</v>
      </c>
      <c r="P1100" s="1048"/>
      <c r="Q1100" s="1048"/>
      <c r="R1100" s="1048"/>
      <c r="S1100" s="1048"/>
      <c r="T1100" s="1048"/>
      <c r="U1100" s="1102"/>
    </row>
    <row r="1101" spans="2:21" hidden="1" outlineLevel="2">
      <c r="B1101" s="1050">
        <v>180</v>
      </c>
      <c r="C1101" s="2035" t="str">
        <f t="shared" si="99"/>
        <v>42, Colombier, Réseau de Colombier, France continentale, Base Carbone</v>
      </c>
      <c r="D1101" s="1051">
        <f t="shared" si="100"/>
        <v>180</v>
      </c>
      <c r="E1101" s="1051" t="str">
        <f>IF(COUNTIF(E$921:E1100,F1101)&gt;0,"",F1101)</f>
        <v>42, Colombier, Réseau de Colombier, France continentale, Base Carbone</v>
      </c>
      <c r="F1101" s="1051" t="str">
        <f t="shared" si="101"/>
        <v>42, Colombier, Réseau de Colombier, France continentale, Base Carbone</v>
      </c>
      <c r="G1101" s="1055" t="str">
        <f t="shared" si="102"/>
        <v>42, Colombier, Réseau de Colombier, France continentale, Base Carbone; kgCO2e/kWh</v>
      </c>
      <c r="I1101" s="2018" t="s">
        <v>2913</v>
      </c>
      <c r="J1101" s="1135" t="s">
        <v>1681</v>
      </c>
      <c r="K1101" s="1119" t="s">
        <v>1567</v>
      </c>
      <c r="L1101" s="1119" t="s">
        <v>1571</v>
      </c>
      <c r="M1101" s="1134">
        <v>0.3</v>
      </c>
      <c r="N1101" s="1135"/>
      <c r="O1101" s="1135">
        <v>3.2000000000000001E-2</v>
      </c>
      <c r="P1101" s="1048"/>
      <c r="Q1101" s="1048"/>
      <c r="R1101" s="1048"/>
      <c r="S1101" s="1048"/>
      <c r="T1101" s="1048"/>
      <c r="U1101" s="1102"/>
    </row>
    <row r="1102" spans="2:21" hidden="1" outlineLevel="2">
      <c r="B1102" s="1050">
        <v>181</v>
      </c>
      <c r="C1102" s="2035" t="str">
        <f t="shared" si="99"/>
        <v>42, Firminy, Réseau de Firminy, France continentale, Base Carbone</v>
      </c>
      <c r="D1102" s="1051">
        <f t="shared" si="100"/>
        <v>181</v>
      </c>
      <c r="E1102" s="1051" t="str">
        <f>IF(COUNTIF(E$921:E1101,F1102)&gt;0,"",F1102)</f>
        <v>42, Firminy, Réseau de Firminy, France continentale, Base Carbone</v>
      </c>
      <c r="F1102" s="1051" t="str">
        <f t="shared" si="101"/>
        <v>42, Firminy, Réseau de Firminy, France continentale, Base Carbone</v>
      </c>
      <c r="G1102" s="1055" t="str">
        <f t="shared" si="102"/>
        <v>42, Firminy, Réseau de Firminy, France continentale, Base Carbone; kgCO2e/kWh</v>
      </c>
      <c r="I1102" s="2018" t="s">
        <v>943</v>
      </c>
      <c r="J1102" s="1135" t="s">
        <v>1681</v>
      </c>
      <c r="K1102" s="1119" t="s">
        <v>1567</v>
      </c>
      <c r="L1102" s="1119" t="s">
        <v>1571</v>
      </c>
      <c r="M1102" s="1134">
        <v>0.3</v>
      </c>
      <c r="N1102" s="1135"/>
      <c r="O1102" s="1135">
        <v>0.11600000000000001</v>
      </c>
      <c r="P1102" s="1048"/>
      <c r="Q1102" s="1048"/>
      <c r="R1102" s="1048"/>
      <c r="S1102" s="1048"/>
      <c r="T1102" s="1048"/>
      <c r="U1102" s="1102"/>
    </row>
    <row r="1103" spans="2:21" hidden="1" outlineLevel="2">
      <c r="B1103" s="1050">
        <v>182</v>
      </c>
      <c r="C1103" s="2035" t="str">
        <f t="shared" si="99"/>
        <v>42, Jonzieux, Réseau de Jonzieux, France continentale, Base Carbone</v>
      </c>
      <c r="D1103" s="1051">
        <f t="shared" si="100"/>
        <v>182</v>
      </c>
      <c r="E1103" s="1051" t="str">
        <f>IF(COUNTIF(E$921:E1102,F1103)&gt;0,"",F1103)</f>
        <v>42, Jonzieux, Réseau de Jonzieux, France continentale, Base Carbone</v>
      </c>
      <c r="F1103" s="1051" t="str">
        <f t="shared" si="101"/>
        <v>42, Jonzieux, Réseau de Jonzieux, France continentale, Base Carbone</v>
      </c>
      <c r="G1103" s="1055" t="str">
        <f t="shared" si="102"/>
        <v>42, Jonzieux, Réseau de Jonzieux, France continentale, Base Carbone; kgCO2e/kWh</v>
      </c>
      <c r="I1103" s="2018" t="s">
        <v>2914</v>
      </c>
      <c r="J1103" s="1135" t="s">
        <v>1681</v>
      </c>
      <c r="K1103" s="1119" t="s">
        <v>1567</v>
      </c>
      <c r="L1103" s="1119" t="s">
        <v>1571</v>
      </c>
      <c r="M1103" s="1134">
        <v>0.3</v>
      </c>
      <c r="N1103" s="1135"/>
      <c r="O1103" s="1135">
        <v>7.4999999999999997E-2</v>
      </c>
      <c r="P1103" s="1048"/>
      <c r="Q1103" s="1048"/>
      <c r="R1103" s="1048"/>
      <c r="S1103" s="1048"/>
      <c r="T1103" s="1048"/>
      <c r="U1103" s="1102"/>
    </row>
    <row r="1104" spans="2:21" hidden="1" outlineLevel="2">
      <c r="B1104" s="1050">
        <v>183</v>
      </c>
      <c r="C1104" s="2035" t="str">
        <f t="shared" si="99"/>
        <v>42, La Terrasse-sur-Dorlay, Réseau de La Terrasse-sur-Dorlay, France continentale, Base Carbone</v>
      </c>
      <c r="D1104" s="1051">
        <f t="shared" si="100"/>
        <v>183</v>
      </c>
      <c r="E1104" s="1051" t="str">
        <f>IF(COUNTIF(E$921:E1103,F1104)&gt;0,"",F1104)</f>
        <v>42, La Terrasse-sur-Dorlay, Réseau de La Terrasse-sur-Dorlay, France continentale, Base Carbone</v>
      </c>
      <c r="F1104" s="1051" t="str">
        <f t="shared" si="101"/>
        <v>42, La Terrasse-sur-Dorlay, Réseau de La Terrasse-sur-Dorlay, France continentale, Base Carbone</v>
      </c>
      <c r="G1104" s="1055" t="str">
        <f t="shared" si="102"/>
        <v>42, La Terrasse-sur-Dorlay, Réseau de La Terrasse-sur-Dorlay, France continentale, Base Carbone; kgCO2e/kWh</v>
      </c>
      <c r="I1104" s="2018" t="s">
        <v>2915</v>
      </c>
      <c r="J1104" s="1135" t="s">
        <v>1681</v>
      </c>
      <c r="K1104" s="1119" t="s">
        <v>1567</v>
      </c>
      <c r="L1104" s="1119" t="s">
        <v>1571</v>
      </c>
      <c r="M1104" s="1134">
        <v>0.3</v>
      </c>
      <c r="N1104" s="1135"/>
      <c r="O1104" s="1135">
        <v>0</v>
      </c>
      <c r="P1104" s="1048"/>
      <c r="Q1104" s="1048"/>
      <c r="R1104" s="1048"/>
      <c r="S1104" s="1048"/>
      <c r="T1104" s="1048"/>
      <c r="U1104" s="1102"/>
    </row>
    <row r="1105" spans="2:21" hidden="1" outlineLevel="2">
      <c r="B1105" s="1050">
        <v>184</v>
      </c>
      <c r="C1105" s="2035" t="str">
        <f t="shared" si="99"/>
        <v>42, Le Bessat, Réseau de Le Bessat, France continentale, Base Carbone</v>
      </c>
      <c r="D1105" s="1051">
        <f t="shared" si="100"/>
        <v>184</v>
      </c>
      <c r="E1105" s="1051" t="str">
        <f>IF(COUNTIF(E$921:E1104,F1105)&gt;0,"",F1105)</f>
        <v>42, Le Bessat, Réseau de Le Bessat, France continentale, Base Carbone</v>
      </c>
      <c r="F1105" s="1051" t="str">
        <f t="shared" si="101"/>
        <v>42, Le Bessat, Réseau de Le Bessat, France continentale, Base Carbone</v>
      </c>
      <c r="G1105" s="1055" t="str">
        <f t="shared" si="102"/>
        <v>42, Le Bessat, Réseau de Le Bessat, France continentale, Base Carbone; kgCO2e/kWh</v>
      </c>
      <c r="I1105" s="2018" t="s">
        <v>2916</v>
      </c>
      <c r="J1105" s="1135" t="s">
        <v>1681</v>
      </c>
      <c r="K1105" s="1119" t="s">
        <v>1567</v>
      </c>
      <c r="L1105" s="1119" t="s">
        <v>1571</v>
      </c>
      <c r="M1105" s="1134">
        <v>0.3</v>
      </c>
      <c r="N1105" s="1135"/>
      <c r="O1105" s="1135">
        <v>0</v>
      </c>
      <c r="P1105" s="1048"/>
      <c r="Q1105" s="1048"/>
      <c r="R1105" s="1048"/>
      <c r="S1105" s="1048"/>
      <c r="T1105" s="1048"/>
      <c r="U1105" s="1102"/>
    </row>
    <row r="1106" spans="2:21" hidden="1" outlineLevel="2">
      <c r="B1106" s="1050">
        <v>185</v>
      </c>
      <c r="C1106" s="2035" t="str">
        <f t="shared" si="99"/>
        <v>42, Marlhes, Réseau de Marlhes, France continentale, Base Carbone</v>
      </c>
      <c r="D1106" s="1051">
        <f t="shared" si="100"/>
        <v>185</v>
      </c>
      <c r="E1106" s="1051" t="str">
        <f>IF(COUNTIF(E$921:E1105,F1106)&gt;0,"",F1106)</f>
        <v>42, Marlhes, Réseau de Marlhes, France continentale, Base Carbone</v>
      </c>
      <c r="F1106" s="1051" t="str">
        <f t="shared" si="101"/>
        <v>42, Marlhes, Réseau de Marlhes, France continentale, Base Carbone</v>
      </c>
      <c r="G1106" s="1055" t="str">
        <f t="shared" si="102"/>
        <v>42, Marlhes, Réseau de Marlhes, France continentale, Base Carbone; kgCO2e/kWh</v>
      </c>
      <c r="I1106" s="2018" t="s">
        <v>2917</v>
      </c>
      <c r="J1106" s="1135" t="s">
        <v>1681</v>
      </c>
      <c r="K1106" s="1119" t="s">
        <v>1567</v>
      </c>
      <c r="L1106" s="1119" t="s">
        <v>1571</v>
      </c>
      <c r="M1106" s="1134">
        <v>0.3</v>
      </c>
      <c r="N1106" s="1135"/>
      <c r="O1106" s="1135">
        <v>0</v>
      </c>
      <c r="P1106" s="1048"/>
      <c r="Q1106" s="1048"/>
      <c r="R1106" s="1048"/>
      <c r="S1106" s="1048"/>
      <c r="T1106" s="1048"/>
      <c r="U1106" s="1102"/>
    </row>
    <row r="1107" spans="2:21" hidden="1" outlineLevel="2">
      <c r="B1107" s="1050">
        <v>186</v>
      </c>
      <c r="C1107" s="2035" t="str">
        <f t="shared" si="99"/>
        <v>42, Montrond-les-Bains, Réseau de Montrond-les-Bains, France continentale, Base Carbone</v>
      </c>
      <c r="D1107" s="1051">
        <f t="shared" si="100"/>
        <v>186</v>
      </c>
      <c r="E1107" s="1051" t="str">
        <f>IF(COUNTIF(E$921:E1106,F1107)&gt;0,"",F1107)</f>
        <v>42, Montrond-les-Bains, Réseau de Montrond-les-Bains, France continentale, Base Carbone</v>
      </c>
      <c r="F1107" s="1051" t="str">
        <f t="shared" si="101"/>
        <v>42, Montrond-les-Bains, Réseau de Montrond-les-Bains, France continentale, Base Carbone</v>
      </c>
      <c r="G1107" s="1055" t="str">
        <f t="shared" si="102"/>
        <v>42, Montrond-les-Bains, Réseau de Montrond-les-Bains, France continentale, Base Carbone; kgCO2e/kWh</v>
      </c>
      <c r="I1107" s="2018" t="s">
        <v>944</v>
      </c>
      <c r="J1107" s="1135" t="s">
        <v>1681</v>
      </c>
      <c r="K1107" s="1119" t="s">
        <v>1567</v>
      </c>
      <c r="L1107" s="1119" t="s">
        <v>1571</v>
      </c>
      <c r="M1107" s="1134">
        <v>0.3</v>
      </c>
      <c r="N1107" s="1135"/>
      <c r="O1107" s="1135">
        <v>6.6000000000000003E-2</v>
      </c>
      <c r="P1107" s="1048"/>
      <c r="Q1107" s="1048"/>
      <c r="R1107" s="1048"/>
      <c r="S1107" s="1048"/>
      <c r="T1107" s="1048"/>
      <c r="U1107" s="1102"/>
    </row>
    <row r="1108" spans="2:21" hidden="1" outlineLevel="2">
      <c r="B1108" s="1050">
        <v>187</v>
      </c>
      <c r="C1108" s="2035" t="str">
        <f t="shared" si="99"/>
        <v>42, Neulise, Réseau de Neulise, France continentale, Base Carbone</v>
      </c>
      <c r="D1108" s="1051">
        <f t="shared" si="100"/>
        <v>187</v>
      </c>
      <c r="E1108" s="1051" t="str">
        <f>IF(COUNTIF(E$921:E1107,F1108)&gt;0,"",F1108)</f>
        <v>42, Neulise, Réseau de Neulise, France continentale, Base Carbone</v>
      </c>
      <c r="F1108" s="1051" t="str">
        <f t="shared" si="101"/>
        <v>42, Neulise, Réseau de Neulise, France continentale, Base Carbone</v>
      </c>
      <c r="G1108" s="1055" t="str">
        <f t="shared" si="102"/>
        <v>42, Neulise, Réseau de Neulise, France continentale, Base Carbone; kgCO2e/kWh</v>
      </c>
      <c r="I1108" s="2018" t="s">
        <v>2918</v>
      </c>
      <c r="J1108" s="1135" t="s">
        <v>1681</v>
      </c>
      <c r="K1108" s="1119" t="s">
        <v>1567</v>
      </c>
      <c r="L1108" s="1119" t="s">
        <v>1571</v>
      </c>
      <c r="M1108" s="1134">
        <v>0.3</v>
      </c>
      <c r="N1108" s="1135"/>
      <c r="O1108" s="1135">
        <v>1.7000000000000001E-2</v>
      </c>
      <c r="P1108" s="1048"/>
      <c r="Q1108" s="1048"/>
      <c r="R1108" s="1048"/>
      <c r="S1108" s="1048"/>
      <c r="T1108" s="1048"/>
      <c r="U1108" s="1102"/>
    </row>
    <row r="1109" spans="2:21" hidden="1" outlineLevel="2">
      <c r="B1109" s="1050">
        <v>188</v>
      </c>
      <c r="C1109" s="2035" t="str">
        <f t="shared" si="99"/>
        <v>42, Pelussin, Quartier Notre-Dame, France continentale, Base Carbone</v>
      </c>
      <c r="D1109" s="1051">
        <f t="shared" si="100"/>
        <v>188</v>
      </c>
      <c r="E1109" s="1051" t="str">
        <f>IF(COUNTIF(E$921:E1108,F1109)&gt;0,"",F1109)</f>
        <v>42, Pelussin, Quartier Notre-Dame, France continentale, Base Carbone</v>
      </c>
      <c r="F1109" s="1051" t="str">
        <f t="shared" si="101"/>
        <v>42, Pelussin, Quartier Notre-Dame, France continentale, Base Carbone</v>
      </c>
      <c r="G1109" s="1055" t="str">
        <f t="shared" si="102"/>
        <v>42, Pelussin, Quartier Notre-Dame, France continentale, Base Carbone; kgCO2e/kWh</v>
      </c>
      <c r="I1109" s="2018" t="s">
        <v>2919</v>
      </c>
      <c r="J1109" s="1135" t="s">
        <v>1681</v>
      </c>
      <c r="K1109" s="1119" t="s">
        <v>1567</v>
      </c>
      <c r="L1109" s="1119" t="s">
        <v>1571</v>
      </c>
      <c r="M1109" s="1134">
        <v>0.3</v>
      </c>
      <c r="N1109" s="1135"/>
      <c r="O1109" s="1135">
        <v>7.0999999999999994E-2</v>
      </c>
      <c r="P1109" s="1048"/>
      <c r="Q1109" s="1048"/>
      <c r="R1109" s="1048"/>
      <c r="S1109" s="1048"/>
      <c r="T1109" s="1048"/>
      <c r="U1109" s="1102"/>
    </row>
    <row r="1110" spans="2:21" hidden="1" outlineLevel="2">
      <c r="B1110" s="1050">
        <v>189</v>
      </c>
      <c r="C1110" s="2035" t="str">
        <f t="shared" si="99"/>
        <v>42, Pelussin, Quartier ” des Croix St Jean “, France continentale, Base Carbone</v>
      </c>
      <c r="D1110" s="1051">
        <f t="shared" si="100"/>
        <v>189</v>
      </c>
      <c r="E1110" s="1051" t="str">
        <f>IF(COUNTIF(E$921:E1109,F1110)&gt;0,"",F1110)</f>
        <v>42, Pelussin, Quartier ” des Croix St Jean “, France continentale, Base Carbone</v>
      </c>
      <c r="F1110" s="1051" t="str">
        <f t="shared" si="101"/>
        <v>42, Pelussin, Quartier ” des Croix St Jean “, France continentale, Base Carbone</v>
      </c>
      <c r="G1110" s="1055" t="str">
        <f t="shared" si="102"/>
        <v>42, Pelussin, Quartier ” des Croix St Jean “, France continentale, Base Carbone; kgCO2e/kWh</v>
      </c>
      <c r="I1110" s="2018" t="s">
        <v>3391</v>
      </c>
      <c r="J1110" s="1135" t="s">
        <v>1681</v>
      </c>
      <c r="K1110" s="1119" t="s">
        <v>1567</v>
      </c>
      <c r="L1110" s="1119" t="s">
        <v>1571</v>
      </c>
      <c r="M1110" s="1134">
        <v>0.3</v>
      </c>
      <c r="N1110" s="1135"/>
      <c r="O1110" s="1135">
        <v>4.5999999999999999E-2</v>
      </c>
      <c r="P1110" s="1048"/>
      <c r="Q1110" s="1048"/>
      <c r="R1110" s="1048"/>
      <c r="S1110" s="1048"/>
      <c r="T1110" s="1048"/>
      <c r="U1110" s="1102"/>
    </row>
    <row r="1111" spans="2:21" hidden="1" outlineLevel="2">
      <c r="B1111" s="1050">
        <v>190</v>
      </c>
      <c r="C1111" s="2035" t="str">
        <f t="shared" si="99"/>
        <v>42, Pelussin, Siège CDC du Pilat Rhodanien et siège maison des s, France continentale, Base Carbone</v>
      </c>
      <c r="D1111" s="1051">
        <f t="shared" si="100"/>
        <v>190</v>
      </c>
      <c r="E1111" s="1051" t="str">
        <f>IF(COUNTIF(E$921:E1110,F1111)&gt;0,"",F1111)</f>
        <v>42, Pelussin, Siège CDC du Pilat Rhodanien et siège maison des s, France continentale, Base Carbone</v>
      </c>
      <c r="F1111" s="1051" t="str">
        <f t="shared" si="101"/>
        <v>42, Pelussin, Siège CDC du Pilat Rhodanien et siège maison des s, France continentale, Base Carbone</v>
      </c>
      <c r="G1111" s="1055" t="str">
        <f t="shared" si="102"/>
        <v>42, Pelussin, Siège CDC du Pilat Rhodanien et siège maison des s, France continentale, Base Carbone; kgCO2e/kWh</v>
      </c>
      <c r="I1111" s="2018" t="s">
        <v>3392</v>
      </c>
      <c r="J1111" s="1135" t="s">
        <v>1681</v>
      </c>
      <c r="K1111" s="1119" t="s">
        <v>1567</v>
      </c>
      <c r="L1111" s="1119" t="s">
        <v>1571</v>
      </c>
      <c r="M1111" s="1134">
        <v>0.3</v>
      </c>
      <c r="N1111" s="1135"/>
      <c r="O1111" s="1135">
        <v>2.5000000000000001E-2</v>
      </c>
      <c r="P1111" s="1048"/>
      <c r="Q1111" s="1048"/>
      <c r="R1111" s="1048"/>
      <c r="S1111" s="1048"/>
      <c r="T1111" s="1048"/>
      <c r="U1111" s="1102"/>
    </row>
    <row r="1112" spans="2:21" hidden="1" outlineLevel="2">
      <c r="B1112" s="1050">
        <v>191</v>
      </c>
      <c r="C1112" s="2035" t="str">
        <f t="shared" si="99"/>
        <v>42, Planfoy, ZAC des Lucioles, France continentale, Base Carbone</v>
      </c>
      <c r="D1112" s="1051">
        <f t="shared" si="100"/>
        <v>191</v>
      </c>
      <c r="E1112" s="1051" t="str">
        <f>IF(COUNTIF(E$921:E1111,F1112)&gt;0,"",F1112)</f>
        <v>42, Planfoy, ZAC des Lucioles, France continentale, Base Carbone</v>
      </c>
      <c r="F1112" s="1051" t="str">
        <f t="shared" si="101"/>
        <v>42, Planfoy, ZAC des Lucioles, France continentale, Base Carbone</v>
      </c>
      <c r="G1112" s="1055" t="str">
        <f t="shared" si="102"/>
        <v>42, Planfoy, ZAC des Lucioles, France continentale, Base Carbone; kgCO2e/kWh</v>
      </c>
      <c r="I1112" s="2018" t="s">
        <v>2920</v>
      </c>
      <c r="J1112" s="1135" t="s">
        <v>1681</v>
      </c>
      <c r="K1112" s="1119" t="s">
        <v>1567</v>
      </c>
      <c r="L1112" s="1119" t="s">
        <v>1571</v>
      </c>
      <c r="M1112" s="1134">
        <v>0.3</v>
      </c>
      <c r="N1112" s="1135"/>
      <c r="O1112" s="1135">
        <v>1.4E-2</v>
      </c>
      <c r="P1112" s="1048"/>
      <c r="Q1112" s="1048"/>
      <c r="R1112" s="1048"/>
      <c r="S1112" s="1048"/>
      <c r="T1112" s="1048"/>
      <c r="U1112" s="1102"/>
    </row>
    <row r="1113" spans="2:21" hidden="1" outlineLevel="2">
      <c r="B1113" s="1050">
        <v>192</v>
      </c>
      <c r="C1113" s="2035" t="str">
        <f t="shared" si="99"/>
        <v>42, Roanne, Quartier Arsenal, France continentale, Base Carbone</v>
      </c>
      <c r="D1113" s="1051">
        <f t="shared" si="100"/>
        <v>192</v>
      </c>
      <c r="E1113" s="1051" t="str">
        <f>IF(COUNTIF(E$921:E1112,F1113)&gt;0,"",F1113)</f>
        <v>42, Roanne, Quartier Arsenal, France continentale, Base Carbone</v>
      </c>
      <c r="F1113" s="1051" t="str">
        <f t="shared" si="101"/>
        <v>42, Roanne, Quartier Arsenal, France continentale, Base Carbone</v>
      </c>
      <c r="G1113" s="1055" t="str">
        <f t="shared" si="102"/>
        <v>42, Roanne, Quartier Arsenal, France continentale, Base Carbone; kgCO2e/kWh</v>
      </c>
      <c r="I1113" s="2018" t="s">
        <v>2921</v>
      </c>
      <c r="J1113" s="1135" t="s">
        <v>1681</v>
      </c>
      <c r="K1113" s="1119" t="s">
        <v>1567</v>
      </c>
      <c r="L1113" s="1119" t="s">
        <v>1571</v>
      </c>
      <c r="M1113" s="1134">
        <v>0.3</v>
      </c>
      <c r="N1113" s="1135"/>
      <c r="O1113" s="1135">
        <v>7.1999999999999995E-2</v>
      </c>
      <c r="P1113" s="1048"/>
      <c r="Q1113" s="1048"/>
      <c r="R1113" s="1048"/>
      <c r="S1113" s="1048"/>
      <c r="T1113" s="1048"/>
      <c r="U1113" s="1102"/>
    </row>
    <row r="1114" spans="2:21" hidden="1" outlineLevel="2">
      <c r="B1114" s="1050">
        <v>193</v>
      </c>
      <c r="C1114" s="2035" t="str">
        <f t="shared" ref="C1114:C1177" si="103">IF(ISNA(VLOOKUP(B1114,$D$922:$E$1582,2,FALSE)),"-",VLOOKUP(B1114,$D$922:$E$1582,2,FALSE))</f>
        <v>42, Roanne, Quartier de Mâtel, France continentale, Base Carbone</v>
      </c>
      <c r="D1114" s="1051">
        <f t="shared" si="100"/>
        <v>193</v>
      </c>
      <c r="E1114" s="1051" t="str">
        <f>IF(COUNTIF(E$921:E1113,F1114)&gt;0,"",F1114)</f>
        <v>42, Roanne, Quartier de Mâtel, France continentale, Base Carbone</v>
      </c>
      <c r="F1114" s="1051" t="str">
        <f t="shared" si="101"/>
        <v>42, Roanne, Quartier de Mâtel, France continentale, Base Carbone</v>
      </c>
      <c r="G1114" s="1055" t="str">
        <f t="shared" si="102"/>
        <v>42, Roanne, Quartier de Mâtel, France continentale, Base Carbone; kgCO2e/kWh</v>
      </c>
      <c r="I1114" s="2018" t="s">
        <v>2922</v>
      </c>
      <c r="J1114" s="1135" t="s">
        <v>1681</v>
      </c>
      <c r="K1114" s="1119" t="s">
        <v>1567</v>
      </c>
      <c r="L1114" s="1119" t="s">
        <v>1571</v>
      </c>
      <c r="M1114" s="1134">
        <v>0.3</v>
      </c>
      <c r="N1114" s="1135"/>
      <c r="O1114" s="1135">
        <v>8.7999999999999995E-2</v>
      </c>
      <c r="P1114" s="1048"/>
      <c r="Q1114" s="1048"/>
      <c r="R1114" s="1048"/>
      <c r="S1114" s="1048"/>
      <c r="T1114" s="1048"/>
      <c r="U1114" s="1102"/>
    </row>
    <row r="1115" spans="2:21" hidden="1" outlineLevel="2">
      <c r="B1115" s="1050">
        <v>194</v>
      </c>
      <c r="C1115" s="2035" t="str">
        <f t="shared" si="103"/>
        <v>42, Roanne, Quartier RN 7, France continentale, Base Carbone</v>
      </c>
      <c r="D1115" s="1051">
        <f t="shared" ref="D1115:D1178" si="104">D1114+IF(LEN(E1115)=0,0,1)</f>
        <v>194</v>
      </c>
      <c r="E1115" s="1051" t="str">
        <f>IF(COUNTIF(E$921:E1114,F1115)&gt;0,"",F1115)</f>
        <v>42, Roanne, Quartier RN 7, France continentale, Base Carbone</v>
      </c>
      <c r="F1115" s="1051" t="str">
        <f t="shared" ref="F1115:F1178" si="105">IF(I1115&lt;&gt;"",I1115&amp;IF(L1115&lt;&gt;"",", "&amp;L1115,"")&amp;IF(K1115&lt;&gt;"",", "&amp;K1115,""),"")</f>
        <v>42, Roanne, Quartier RN 7, France continentale, Base Carbone</v>
      </c>
      <c r="G1115" s="1055" t="str">
        <f t="shared" ref="G1115:G1178" si="106">IF(F1115&lt;&gt;"",F1115&amp;IF(J1115&lt;&gt;"","; "&amp;J1115,"")&amp;IF(N1115&lt;&gt;"",", "&amp;N1115,""),"")</f>
        <v>42, Roanne, Quartier RN 7, France continentale, Base Carbone; kgCO2e/kWh</v>
      </c>
      <c r="I1115" s="2018" t="s">
        <v>2923</v>
      </c>
      <c r="J1115" s="1135" t="s">
        <v>1681</v>
      </c>
      <c r="K1115" s="1119" t="s">
        <v>1567</v>
      </c>
      <c r="L1115" s="1119" t="s">
        <v>1571</v>
      </c>
      <c r="M1115" s="1134">
        <v>0.3</v>
      </c>
      <c r="N1115" s="1135"/>
      <c r="O1115" s="1135">
        <v>0.23300000000000001</v>
      </c>
      <c r="P1115" s="1048"/>
      <c r="Q1115" s="1048"/>
      <c r="R1115" s="1048"/>
      <c r="S1115" s="1048"/>
      <c r="T1115" s="1048"/>
      <c r="U1115" s="1102"/>
    </row>
    <row r="1116" spans="2:21" hidden="1" outlineLevel="2">
      <c r="B1116" s="1050">
        <v>195</v>
      </c>
      <c r="C1116" s="2035" t="str">
        <f t="shared" si="103"/>
        <v>42, Roche, Roche-en-Forez, France continentale, Base Carbone</v>
      </c>
      <c r="D1116" s="1051">
        <f t="shared" si="104"/>
        <v>195</v>
      </c>
      <c r="E1116" s="1051" t="str">
        <f>IF(COUNTIF(E$921:E1115,F1116)&gt;0,"",F1116)</f>
        <v>42, Roche, Roche-en-Forez, France continentale, Base Carbone</v>
      </c>
      <c r="F1116" s="1051" t="str">
        <f t="shared" si="105"/>
        <v>42, Roche, Roche-en-Forez, France continentale, Base Carbone</v>
      </c>
      <c r="G1116" s="1055" t="str">
        <f t="shared" si="106"/>
        <v>42, Roche, Roche-en-Forez, France continentale, Base Carbone; kgCO2e/kWh</v>
      </c>
      <c r="I1116" s="2018" t="s">
        <v>3393</v>
      </c>
      <c r="J1116" s="1135" t="s">
        <v>1681</v>
      </c>
      <c r="K1116" s="1119" t="s">
        <v>1567</v>
      </c>
      <c r="L1116" s="1119" t="s">
        <v>1571</v>
      </c>
      <c r="M1116" s="1134">
        <v>0.3</v>
      </c>
      <c r="N1116" s="1135"/>
      <c r="O1116" s="1135">
        <v>0.01</v>
      </c>
      <c r="P1116" s="1048"/>
      <c r="Q1116" s="1048"/>
      <c r="R1116" s="1048"/>
      <c r="S1116" s="1048"/>
      <c r="T1116" s="1048"/>
      <c r="U1116" s="1102"/>
    </row>
    <row r="1117" spans="2:21" hidden="1" outlineLevel="2">
      <c r="B1117" s="1050">
        <v>196</v>
      </c>
      <c r="C1117" s="2035" t="str">
        <f t="shared" si="103"/>
        <v>42, Roisey, Réseau de Roisey, France continentale, Base Carbone</v>
      </c>
      <c r="D1117" s="1051">
        <f t="shared" si="104"/>
        <v>196</v>
      </c>
      <c r="E1117" s="1051" t="str">
        <f>IF(COUNTIF(E$921:E1116,F1117)&gt;0,"",F1117)</f>
        <v>42, Roisey, Réseau de Roisey, France continentale, Base Carbone</v>
      </c>
      <c r="F1117" s="1051" t="str">
        <f t="shared" si="105"/>
        <v>42, Roisey, Réseau de Roisey, France continentale, Base Carbone</v>
      </c>
      <c r="G1117" s="1055" t="str">
        <f t="shared" si="106"/>
        <v>42, Roisey, Réseau de Roisey, France continentale, Base Carbone; kgCO2e/kWh</v>
      </c>
      <c r="I1117" s="2018" t="s">
        <v>2924</v>
      </c>
      <c r="J1117" s="1135" t="s">
        <v>1681</v>
      </c>
      <c r="K1117" s="1119" t="s">
        <v>1567</v>
      </c>
      <c r="L1117" s="1119" t="s">
        <v>1571</v>
      </c>
      <c r="M1117" s="1134">
        <v>0.3</v>
      </c>
      <c r="N1117" s="1135"/>
      <c r="O1117" s="1135">
        <v>0</v>
      </c>
      <c r="P1117" s="1048"/>
      <c r="Q1117" s="1048"/>
      <c r="R1117" s="1048"/>
      <c r="S1117" s="1048"/>
      <c r="T1117" s="1048"/>
      <c r="U1117" s="1102"/>
    </row>
    <row r="1118" spans="2:21" hidden="1" outlineLevel="2">
      <c r="B1118" s="1050">
        <v>197</v>
      </c>
      <c r="C1118" s="2035" t="str">
        <f t="shared" si="103"/>
        <v>42, Saint Etienne, Réseau de Chaleur VIACONFORT, France continentale, Base Carbone</v>
      </c>
      <c r="D1118" s="1051">
        <f t="shared" si="104"/>
        <v>197</v>
      </c>
      <c r="E1118" s="1051" t="str">
        <f>IF(COUNTIF(E$921:E1117,F1118)&gt;0,"",F1118)</f>
        <v>42, Saint Etienne, Réseau de Chaleur VIACONFORT, France continentale, Base Carbone</v>
      </c>
      <c r="F1118" s="1051" t="str">
        <f t="shared" si="105"/>
        <v>42, Saint Etienne, Réseau de Chaleur VIACONFORT, France continentale, Base Carbone</v>
      </c>
      <c r="G1118" s="1055" t="str">
        <f t="shared" si="106"/>
        <v>42, Saint Etienne, Réseau de Chaleur VIACONFORT, France continentale, Base Carbone; kgCO2e/kWh</v>
      </c>
      <c r="I1118" s="2018" t="s">
        <v>2925</v>
      </c>
      <c r="J1118" s="1135" t="s">
        <v>1681</v>
      </c>
      <c r="K1118" s="1119" t="s">
        <v>1567</v>
      </c>
      <c r="L1118" s="1119" t="s">
        <v>1571</v>
      </c>
      <c r="M1118" s="1134">
        <v>0.3</v>
      </c>
      <c r="N1118" s="1135"/>
      <c r="O1118" s="1135">
        <v>8.1000000000000003E-2</v>
      </c>
      <c r="P1118" s="1048"/>
      <c r="Q1118" s="1048"/>
      <c r="R1118" s="1048"/>
      <c r="S1118" s="1048"/>
      <c r="T1118" s="1048"/>
      <c r="U1118" s="1102"/>
    </row>
    <row r="1119" spans="2:21" hidden="1" outlineLevel="2">
      <c r="B1119" s="1050">
        <v>198</v>
      </c>
      <c r="C1119" s="2035" t="str">
        <f t="shared" si="103"/>
        <v>42, Saint-Bonnet-le-Château, Siège CDC St Bonnet le Château, France continentale, Base Carbone</v>
      </c>
      <c r="D1119" s="1051">
        <f t="shared" si="104"/>
        <v>198</v>
      </c>
      <c r="E1119" s="1051" t="str">
        <f>IF(COUNTIF(E$921:E1118,F1119)&gt;0,"",F1119)</f>
        <v>42, Saint-Bonnet-le-Château, Siège CDC St Bonnet le Château, France continentale, Base Carbone</v>
      </c>
      <c r="F1119" s="1051" t="str">
        <f t="shared" si="105"/>
        <v>42, Saint-Bonnet-le-Château, Siège CDC St Bonnet le Château, France continentale, Base Carbone</v>
      </c>
      <c r="G1119" s="1055" t="str">
        <f t="shared" si="106"/>
        <v>42, Saint-Bonnet-le-Château, Siège CDC St Bonnet le Château, France continentale, Base Carbone; kgCO2e/kWh</v>
      </c>
      <c r="I1119" s="2018" t="s">
        <v>3394</v>
      </c>
      <c r="J1119" s="1135" t="s">
        <v>1681</v>
      </c>
      <c r="K1119" s="1119" t="s">
        <v>1567</v>
      </c>
      <c r="L1119" s="1119" t="s">
        <v>1571</v>
      </c>
      <c r="M1119" s="1134">
        <v>0.3</v>
      </c>
      <c r="N1119" s="1135"/>
      <c r="O1119" s="1135">
        <v>0</v>
      </c>
      <c r="P1119" s="1048"/>
      <c r="Q1119" s="1048"/>
      <c r="R1119" s="1048"/>
      <c r="S1119" s="1048"/>
      <c r="T1119" s="1048"/>
      <c r="U1119" s="1102"/>
    </row>
    <row r="1120" spans="2:21" hidden="1" outlineLevel="2">
      <c r="B1120" s="1050">
        <v>199</v>
      </c>
      <c r="C1120" s="2035" t="str">
        <f t="shared" si="103"/>
        <v>42, Saint-Bonnet-le-Courreau, Réseau de Saint-Bonnet-le-Courreau, France continentale, Base Carbone</v>
      </c>
      <c r="D1120" s="1051">
        <f t="shared" si="104"/>
        <v>199</v>
      </c>
      <c r="E1120" s="1051" t="str">
        <f>IF(COUNTIF(E$921:E1119,F1120)&gt;0,"",F1120)</f>
        <v>42, Saint-Bonnet-le-Courreau, Réseau de Saint-Bonnet-le-Courreau, France continentale, Base Carbone</v>
      </c>
      <c r="F1120" s="1051" t="str">
        <f t="shared" si="105"/>
        <v>42, Saint-Bonnet-le-Courreau, Réseau de Saint-Bonnet-le-Courreau, France continentale, Base Carbone</v>
      </c>
      <c r="G1120" s="1055" t="str">
        <f t="shared" si="106"/>
        <v>42, Saint-Bonnet-le-Courreau, Réseau de Saint-Bonnet-le-Courreau, France continentale, Base Carbone; kgCO2e/kWh</v>
      </c>
      <c r="I1120" s="2018" t="s">
        <v>2926</v>
      </c>
      <c r="J1120" s="1135" t="s">
        <v>1681</v>
      </c>
      <c r="K1120" s="1119" t="s">
        <v>1567</v>
      </c>
      <c r="L1120" s="1119" t="s">
        <v>1571</v>
      </c>
      <c r="M1120" s="1134">
        <v>0.3</v>
      </c>
      <c r="N1120" s="1135"/>
      <c r="O1120" s="1135">
        <v>0</v>
      </c>
      <c r="P1120" s="1048"/>
      <c r="Q1120" s="1048"/>
      <c r="R1120" s="1048"/>
      <c r="S1120" s="1048"/>
      <c r="T1120" s="1048"/>
      <c r="U1120" s="1102"/>
    </row>
    <row r="1121" spans="2:21" hidden="1" outlineLevel="2">
      <c r="B1121" s="1050">
        <v>200</v>
      </c>
      <c r="C1121" s="2035" t="str">
        <f t="shared" si="103"/>
        <v>42, Saint-Chamond, Scevia Quartier de Fonsala, France continentale, Base Carbone</v>
      </c>
      <c r="D1121" s="1051">
        <f t="shared" si="104"/>
        <v>200</v>
      </c>
      <c r="E1121" s="1051" t="str">
        <f>IF(COUNTIF(E$921:E1120,F1121)&gt;0,"",F1121)</f>
        <v>42, Saint-Chamond, Scevia Quartier de Fonsala, France continentale, Base Carbone</v>
      </c>
      <c r="F1121" s="1051" t="str">
        <f t="shared" si="105"/>
        <v>42, Saint-Chamond, Scevia Quartier de Fonsala, France continentale, Base Carbone</v>
      </c>
      <c r="G1121" s="1055" t="str">
        <f t="shared" si="106"/>
        <v>42, Saint-Chamond, Scevia Quartier de Fonsala, France continentale, Base Carbone; kgCO2e/kWh</v>
      </c>
      <c r="I1121" s="2018" t="s">
        <v>2927</v>
      </c>
      <c r="J1121" s="1135" t="s">
        <v>1681</v>
      </c>
      <c r="K1121" s="1119" t="s">
        <v>1567</v>
      </c>
      <c r="L1121" s="1119" t="s">
        <v>1571</v>
      </c>
      <c r="M1121" s="1134">
        <v>0.3</v>
      </c>
      <c r="N1121" s="1135"/>
      <c r="O1121" s="1135">
        <v>4.9000000000000002E-2</v>
      </c>
      <c r="P1121" s="1048"/>
      <c r="Q1121" s="1048"/>
      <c r="R1121" s="1048"/>
      <c r="S1121" s="1048"/>
      <c r="T1121" s="1048"/>
      <c r="U1121" s="1102"/>
    </row>
    <row r="1122" spans="2:21" hidden="1" outlineLevel="2">
      <c r="B1122" s="1050">
        <v>201</v>
      </c>
      <c r="C1122" s="2035" t="str">
        <f t="shared" si="103"/>
        <v>42, Saint-Christo-en-Jarez, Réseau de Saint-Christo-en-Jarez, France continentale, Base Carbone</v>
      </c>
      <c r="D1122" s="1051">
        <f t="shared" si="104"/>
        <v>201</v>
      </c>
      <c r="E1122" s="1051" t="str">
        <f>IF(COUNTIF(E$921:E1121,F1122)&gt;0,"",F1122)</f>
        <v>42, Saint-Christo-en-Jarez, Réseau de Saint-Christo-en-Jarez, France continentale, Base Carbone</v>
      </c>
      <c r="F1122" s="1051" t="str">
        <f t="shared" si="105"/>
        <v>42, Saint-Christo-en-Jarez, Réseau de Saint-Christo-en-Jarez, France continentale, Base Carbone</v>
      </c>
      <c r="G1122" s="1055" t="str">
        <f t="shared" si="106"/>
        <v>42, Saint-Christo-en-Jarez, Réseau de Saint-Christo-en-Jarez, France continentale, Base Carbone; kgCO2e/kWh</v>
      </c>
      <c r="I1122" s="2018" t="s">
        <v>2928</v>
      </c>
      <c r="J1122" s="1135" t="s">
        <v>1681</v>
      </c>
      <c r="K1122" s="1119" t="s">
        <v>1567</v>
      </c>
      <c r="L1122" s="1119" t="s">
        <v>1571</v>
      </c>
      <c r="M1122" s="1134">
        <v>0.3</v>
      </c>
      <c r="N1122" s="1135"/>
      <c r="O1122" s="1135">
        <v>0.152</v>
      </c>
      <c r="P1122" s="1048"/>
      <c r="Q1122" s="1048"/>
      <c r="R1122" s="1048"/>
      <c r="S1122" s="1048"/>
      <c r="T1122" s="1048"/>
      <c r="U1122" s="1102"/>
    </row>
    <row r="1123" spans="2:21" hidden="1" outlineLevel="2">
      <c r="B1123" s="1050">
        <v>202</v>
      </c>
      <c r="C1123" s="2035" t="str">
        <f t="shared" si="103"/>
        <v>42, Saint-Cyr-de-Favières, Réseau de Saint-Cyr-de-Favières, France continentale, Base Carbone</v>
      </c>
      <c r="D1123" s="1051">
        <f t="shared" si="104"/>
        <v>202</v>
      </c>
      <c r="E1123" s="1051" t="str">
        <f>IF(COUNTIF(E$921:E1122,F1123)&gt;0,"",F1123)</f>
        <v>42, Saint-Cyr-de-Favières, Réseau de Saint-Cyr-de-Favières, France continentale, Base Carbone</v>
      </c>
      <c r="F1123" s="1051" t="str">
        <f t="shared" si="105"/>
        <v>42, Saint-Cyr-de-Favières, Réseau de Saint-Cyr-de-Favières, France continentale, Base Carbone</v>
      </c>
      <c r="G1123" s="1055" t="str">
        <f t="shared" si="106"/>
        <v>42, Saint-Cyr-de-Favières, Réseau de Saint-Cyr-de-Favières, France continentale, Base Carbone; kgCO2e/kWh</v>
      </c>
      <c r="I1123" s="2018" t="s">
        <v>2929</v>
      </c>
      <c r="J1123" s="1135" t="s">
        <v>1681</v>
      </c>
      <c r="K1123" s="1119" t="s">
        <v>1567</v>
      </c>
      <c r="L1123" s="1119" t="s">
        <v>1571</v>
      </c>
      <c r="M1123" s="1134">
        <v>0.3</v>
      </c>
      <c r="N1123" s="1135"/>
      <c r="O1123" s="1135">
        <v>0</v>
      </c>
      <c r="P1123" s="1048"/>
      <c r="Q1123" s="1048"/>
      <c r="R1123" s="1048"/>
      <c r="S1123" s="1048"/>
      <c r="T1123" s="1048"/>
      <c r="U1123" s="1102"/>
    </row>
    <row r="1124" spans="2:21" hidden="1" outlineLevel="2">
      <c r="B1124" s="1050">
        <v>203</v>
      </c>
      <c r="C1124" s="2035" t="str">
        <f t="shared" si="103"/>
        <v>42, Saint-Didier-sur-Rochefort, Réseau de Saint-Didier-sur-Rochefort, France continentale, Base Carbone</v>
      </c>
      <c r="D1124" s="1051">
        <f t="shared" si="104"/>
        <v>203</v>
      </c>
      <c r="E1124" s="1051" t="str">
        <f>IF(COUNTIF(E$921:E1123,F1124)&gt;0,"",F1124)</f>
        <v>42, Saint-Didier-sur-Rochefort, Réseau de Saint-Didier-sur-Rochefort, France continentale, Base Carbone</v>
      </c>
      <c r="F1124" s="1051" t="str">
        <f t="shared" si="105"/>
        <v>42, Saint-Didier-sur-Rochefort, Réseau de Saint-Didier-sur-Rochefort, France continentale, Base Carbone</v>
      </c>
      <c r="G1124" s="1055" t="str">
        <f t="shared" si="106"/>
        <v>42, Saint-Didier-sur-Rochefort, Réseau de Saint-Didier-sur-Rochefort, France continentale, Base Carbone; kgCO2e/kWh</v>
      </c>
      <c r="I1124" s="2018" t="s">
        <v>2930</v>
      </c>
      <c r="J1124" s="1135" t="s">
        <v>1681</v>
      </c>
      <c r="K1124" s="1119" t="s">
        <v>1567</v>
      </c>
      <c r="L1124" s="1119" t="s">
        <v>1571</v>
      </c>
      <c r="M1124" s="1134">
        <v>0.3</v>
      </c>
      <c r="N1124" s="1135"/>
      <c r="O1124" s="1135">
        <v>5.0000000000000001E-3</v>
      </c>
      <c r="P1124" s="1048"/>
      <c r="Q1124" s="1048"/>
      <c r="R1124" s="1048"/>
      <c r="S1124" s="1048"/>
      <c r="T1124" s="1048"/>
      <c r="U1124" s="1102"/>
    </row>
    <row r="1125" spans="2:21" hidden="1" outlineLevel="2">
      <c r="B1125" s="1050">
        <v>204</v>
      </c>
      <c r="C1125" s="2035" t="str">
        <f t="shared" si="103"/>
        <v>42, Saint-Étienne, HLM Beaulieu Montchovet IV, France continentale, Base Carbone</v>
      </c>
      <c r="D1125" s="1051">
        <f t="shared" si="104"/>
        <v>204</v>
      </c>
      <c r="E1125" s="1051" t="str">
        <f>IF(COUNTIF(E$921:E1124,F1125)&gt;0,"",F1125)</f>
        <v>42, Saint-Étienne, HLM Beaulieu Montchovet IV, France continentale, Base Carbone</v>
      </c>
      <c r="F1125" s="1051" t="str">
        <f t="shared" si="105"/>
        <v>42, Saint-Étienne, HLM Beaulieu Montchovet IV, France continentale, Base Carbone</v>
      </c>
      <c r="G1125" s="1055" t="str">
        <f t="shared" si="106"/>
        <v>42, Saint-Étienne, HLM Beaulieu Montchovet IV, France continentale, Base Carbone; kgCO2e/kWh</v>
      </c>
      <c r="I1125" s="2018" t="s">
        <v>3395</v>
      </c>
      <c r="J1125" s="1135" t="s">
        <v>1681</v>
      </c>
      <c r="K1125" s="1119" t="s">
        <v>1567</v>
      </c>
      <c r="L1125" s="1119" t="s">
        <v>1571</v>
      </c>
      <c r="M1125" s="1134">
        <v>0.3</v>
      </c>
      <c r="N1125" s="1135"/>
      <c r="O1125" s="1135">
        <v>0.27500000000000002</v>
      </c>
      <c r="P1125" s="1048"/>
      <c r="Q1125" s="1048"/>
      <c r="R1125" s="1048"/>
      <c r="S1125" s="1048"/>
      <c r="T1125" s="1048"/>
      <c r="U1125" s="1102"/>
    </row>
    <row r="1126" spans="2:21" hidden="1" outlineLevel="2">
      <c r="B1126" s="1050">
        <v>205</v>
      </c>
      <c r="C1126" s="2035" t="str">
        <f t="shared" si="103"/>
        <v>42, Saint-Étienne, Quartier de La Métare, France continentale, Base Carbone</v>
      </c>
      <c r="D1126" s="1051">
        <f t="shared" si="104"/>
        <v>205</v>
      </c>
      <c r="E1126" s="1051" t="str">
        <f>IF(COUNTIF(E$921:E1125,F1126)&gt;0,"",F1126)</f>
        <v>42, Saint-Étienne, Quartier de La Métare, France continentale, Base Carbone</v>
      </c>
      <c r="F1126" s="1051" t="str">
        <f t="shared" si="105"/>
        <v>42, Saint-Étienne, Quartier de La Métare, France continentale, Base Carbone</v>
      </c>
      <c r="G1126" s="1055" t="str">
        <f t="shared" si="106"/>
        <v>42, Saint-Étienne, Quartier de La Métare, France continentale, Base Carbone; kgCO2e/kWh</v>
      </c>
      <c r="I1126" s="2018" t="s">
        <v>3396</v>
      </c>
      <c r="J1126" s="1135" t="s">
        <v>1681</v>
      </c>
      <c r="K1126" s="1119" t="s">
        <v>1567</v>
      </c>
      <c r="L1126" s="1119" t="s">
        <v>1571</v>
      </c>
      <c r="M1126" s="1134">
        <v>0.3</v>
      </c>
      <c r="N1126" s="1135"/>
      <c r="O1126" s="1135">
        <v>0.19600000000000001</v>
      </c>
      <c r="P1126" s="1048"/>
      <c r="Q1126" s="1048"/>
      <c r="R1126" s="1048"/>
      <c r="S1126" s="1048"/>
      <c r="T1126" s="1048"/>
      <c r="U1126" s="1102"/>
    </row>
    <row r="1127" spans="2:21" hidden="1" outlineLevel="2">
      <c r="B1127" s="1050">
        <v>206</v>
      </c>
      <c r="C1127" s="2035" t="str">
        <f t="shared" si="103"/>
        <v>42, Saint-Étienne, Quartier Montreynaud, France continentale, Base Carbone</v>
      </c>
      <c r="D1127" s="1051">
        <f t="shared" si="104"/>
        <v>206</v>
      </c>
      <c r="E1127" s="1051" t="str">
        <f>IF(COUNTIF(E$921:E1126,F1127)&gt;0,"",F1127)</f>
        <v>42, Saint-Étienne, Quartier Montreynaud, France continentale, Base Carbone</v>
      </c>
      <c r="F1127" s="1051" t="str">
        <f t="shared" si="105"/>
        <v>42, Saint-Étienne, Quartier Montreynaud, France continentale, Base Carbone</v>
      </c>
      <c r="G1127" s="1055" t="str">
        <f t="shared" si="106"/>
        <v>42, Saint-Étienne, Quartier Montreynaud, France continentale, Base Carbone; kgCO2e/kWh</v>
      </c>
      <c r="I1127" s="2018" t="s">
        <v>3397</v>
      </c>
      <c r="J1127" s="1135" t="s">
        <v>1681</v>
      </c>
      <c r="K1127" s="1119" t="s">
        <v>1567</v>
      </c>
      <c r="L1127" s="1119" t="s">
        <v>1571</v>
      </c>
      <c r="M1127" s="1134">
        <v>0.3</v>
      </c>
      <c r="N1127" s="1135"/>
      <c r="O1127" s="1135">
        <v>5.5E-2</v>
      </c>
      <c r="P1127" s="1048"/>
      <c r="Q1127" s="1048"/>
      <c r="R1127" s="1048"/>
      <c r="S1127" s="1048"/>
      <c r="T1127" s="1048"/>
      <c r="U1127" s="1102"/>
    </row>
    <row r="1128" spans="2:21" hidden="1" outlineLevel="2">
      <c r="B1128" s="1050">
        <v>207</v>
      </c>
      <c r="C1128" s="2035" t="str">
        <f t="shared" si="103"/>
        <v>42, Saint-Étienne, ZUP de la Cotonne, France continentale, Base Carbone</v>
      </c>
      <c r="D1128" s="1051">
        <f t="shared" si="104"/>
        <v>207</v>
      </c>
      <c r="E1128" s="1051" t="str">
        <f>IF(COUNTIF(E$921:E1127,F1128)&gt;0,"",F1128)</f>
        <v>42, Saint-Étienne, ZUP de la Cotonne, France continentale, Base Carbone</v>
      </c>
      <c r="F1128" s="1051" t="str">
        <f t="shared" si="105"/>
        <v>42, Saint-Étienne, ZUP de la Cotonne, France continentale, Base Carbone</v>
      </c>
      <c r="G1128" s="1055" t="str">
        <f t="shared" si="106"/>
        <v>42, Saint-Étienne, ZUP de la Cotonne, France continentale, Base Carbone; kgCO2e/kWh</v>
      </c>
      <c r="I1128" s="2018" t="s">
        <v>2931</v>
      </c>
      <c r="J1128" s="1135" t="s">
        <v>1681</v>
      </c>
      <c r="K1128" s="1119" t="s">
        <v>1567</v>
      </c>
      <c r="L1128" s="1119" t="s">
        <v>1571</v>
      </c>
      <c r="M1128" s="1134">
        <v>0.3</v>
      </c>
      <c r="N1128" s="1135"/>
      <c r="O1128" s="1135">
        <v>0.22700000000000001</v>
      </c>
      <c r="P1128" s="1048"/>
      <c r="Q1128" s="1048"/>
      <c r="R1128" s="1048"/>
      <c r="S1128" s="1048"/>
      <c r="T1128" s="1048"/>
      <c r="U1128" s="1102"/>
    </row>
    <row r="1129" spans="2:21" hidden="1" outlineLevel="2">
      <c r="B1129" s="1050">
        <v>208</v>
      </c>
      <c r="C1129" s="2035" t="str">
        <f t="shared" si="103"/>
        <v>42, Saint-Haon-le-Châtel, Réseau de Saint-Haon-le-Châtel, France continentale, Base Carbone</v>
      </c>
      <c r="D1129" s="1051">
        <f t="shared" si="104"/>
        <v>208</v>
      </c>
      <c r="E1129" s="1051" t="str">
        <f>IF(COUNTIF(E$921:E1128,F1129)&gt;0,"",F1129)</f>
        <v>42, Saint-Haon-le-Châtel, Réseau de Saint-Haon-le-Châtel, France continentale, Base Carbone</v>
      </c>
      <c r="F1129" s="1051" t="str">
        <f t="shared" si="105"/>
        <v>42, Saint-Haon-le-Châtel, Réseau de Saint-Haon-le-Châtel, France continentale, Base Carbone</v>
      </c>
      <c r="G1129" s="1055" t="str">
        <f t="shared" si="106"/>
        <v>42, Saint-Haon-le-Châtel, Réseau de Saint-Haon-le-Châtel, France continentale, Base Carbone; kgCO2e/kWh</v>
      </c>
      <c r="I1129" s="2018" t="s">
        <v>2932</v>
      </c>
      <c r="J1129" s="1135" t="s">
        <v>1681</v>
      </c>
      <c r="K1129" s="1119" t="s">
        <v>1567</v>
      </c>
      <c r="L1129" s="1119" t="s">
        <v>1571</v>
      </c>
      <c r="M1129" s="1134">
        <v>0.3</v>
      </c>
      <c r="N1129" s="1135"/>
      <c r="O1129" s="1135">
        <v>2.5000000000000001E-2</v>
      </c>
      <c r="P1129" s="1048"/>
      <c r="Q1129" s="1048"/>
      <c r="R1129" s="1048"/>
      <c r="S1129" s="1048"/>
      <c r="T1129" s="1048"/>
      <c r="U1129" s="1102"/>
    </row>
    <row r="1130" spans="2:21" hidden="1" outlineLevel="2">
      <c r="B1130" s="1050">
        <v>209</v>
      </c>
      <c r="C1130" s="2035" t="str">
        <f t="shared" si="103"/>
        <v>42, Saint-Joseph, Réseau de Saint-Joseph, France continentale, Base Carbone</v>
      </c>
      <c r="D1130" s="1051">
        <f t="shared" si="104"/>
        <v>209</v>
      </c>
      <c r="E1130" s="1051" t="str">
        <f>IF(COUNTIF(E$921:E1129,F1130)&gt;0,"",F1130)</f>
        <v>42, Saint-Joseph, Réseau de Saint-Joseph, France continentale, Base Carbone</v>
      </c>
      <c r="F1130" s="1051" t="str">
        <f t="shared" si="105"/>
        <v>42, Saint-Joseph, Réseau de Saint-Joseph, France continentale, Base Carbone</v>
      </c>
      <c r="G1130" s="1055" t="str">
        <f t="shared" si="106"/>
        <v>42, Saint-Joseph, Réseau de Saint-Joseph, France continentale, Base Carbone; kgCO2e/kWh</v>
      </c>
      <c r="I1130" s="2018" t="s">
        <v>2933</v>
      </c>
      <c r="J1130" s="1135" t="s">
        <v>1681</v>
      </c>
      <c r="K1130" s="1119" t="s">
        <v>1567</v>
      </c>
      <c r="L1130" s="1119" t="s">
        <v>1571</v>
      </c>
      <c r="M1130" s="1134">
        <v>0.3</v>
      </c>
      <c r="N1130" s="1135"/>
      <c r="O1130" s="1135">
        <v>0.16500000000000001</v>
      </c>
      <c r="P1130" s="1048"/>
      <c r="Q1130" s="1048"/>
      <c r="R1130" s="1048"/>
      <c r="S1130" s="1048"/>
      <c r="T1130" s="1048"/>
      <c r="U1130" s="1102"/>
    </row>
    <row r="1131" spans="2:21" hidden="1" outlineLevel="2">
      <c r="B1131" s="1050">
        <v>210</v>
      </c>
      <c r="C1131" s="2035" t="str">
        <f t="shared" si="103"/>
        <v>42, Saint-Martin-la-Sauveté, Réseau de Saint-Martin-la-Sauveté, France continentale, Base Carbone</v>
      </c>
      <c r="D1131" s="1051">
        <f t="shared" si="104"/>
        <v>210</v>
      </c>
      <c r="E1131" s="1051" t="str">
        <f>IF(COUNTIF(E$921:E1130,F1131)&gt;0,"",F1131)</f>
        <v>42, Saint-Martin-la-Sauveté, Réseau de Saint-Martin-la-Sauveté, France continentale, Base Carbone</v>
      </c>
      <c r="F1131" s="1051" t="str">
        <f t="shared" si="105"/>
        <v>42, Saint-Martin-la-Sauveté, Réseau de Saint-Martin-la-Sauveté, France continentale, Base Carbone</v>
      </c>
      <c r="G1131" s="1055" t="str">
        <f t="shared" si="106"/>
        <v>42, Saint-Martin-la-Sauveté, Réseau de Saint-Martin-la-Sauveté, France continentale, Base Carbone; kgCO2e/kWh</v>
      </c>
      <c r="I1131" s="2018" t="s">
        <v>2934</v>
      </c>
      <c r="J1131" s="1135" t="s">
        <v>1681</v>
      </c>
      <c r="K1131" s="1119" t="s">
        <v>1567</v>
      </c>
      <c r="L1131" s="1119" t="s">
        <v>1571</v>
      </c>
      <c r="M1131" s="1134">
        <v>0.3</v>
      </c>
      <c r="N1131" s="1135"/>
      <c r="O1131" s="1135">
        <v>9.0999999999999998E-2</v>
      </c>
      <c r="P1131" s="1048"/>
      <c r="Q1131" s="1048"/>
      <c r="R1131" s="1048"/>
      <c r="S1131" s="1048"/>
      <c r="T1131" s="1048"/>
      <c r="U1131" s="1102"/>
    </row>
    <row r="1132" spans="2:21" hidden="1" outlineLevel="2">
      <c r="B1132" s="1050">
        <v>211</v>
      </c>
      <c r="C1132" s="2035" t="str">
        <f t="shared" si="103"/>
        <v>42, Saint-Maurice-en-Gourgois, Réseau de Saint-Maurice-en-Gourgois, France continentale, Base Carbone</v>
      </c>
      <c r="D1132" s="1051">
        <f t="shared" si="104"/>
        <v>211</v>
      </c>
      <c r="E1132" s="1051" t="str">
        <f>IF(COUNTIF(E$921:E1131,F1132)&gt;0,"",F1132)</f>
        <v>42, Saint-Maurice-en-Gourgois, Réseau de Saint-Maurice-en-Gourgois, France continentale, Base Carbone</v>
      </c>
      <c r="F1132" s="1051" t="str">
        <f t="shared" si="105"/>
        <v>42, Saint-Maurice-en-Gourgois, Réseau de Saint-Maurice-en-Gourgois, France continentale, Base Carbone</v>
      </c>
      <c r="G1132" s="1055" t="str">
        <f t="shared" si="106"/>
        <v>42, Saint-Maurice-en-Gourgois, Réseau de Saint-Maurice-en-Gourgois, France continentale, Base Carbone; kgCO2e/kWh</v>
      </c>
      <c r="I1132" s="2018" t="s">
        <v>2935</v>
      </c>
      <c r="J1132" s="1135" t="s">
        <v>1681</v>
      </c>
      <c r="K1132" s="1119" t="s">
        <v>1567</v>
      </c>
      <c r="L1132" s="1119" t="s">
        <v>1571</v>
      </c>
      <c r="M1132" s="1134">
        <v>0.3</v>
      </c>
      <c r="N1132" s="1135"/>
      <c r="O1132" s="1135">
        <v>0</v>
      </c>
      <c r="P1132" s="1048"/>
      <c r="Q1132" s="1048"/>
      <c r="R1132" s="1048"/>
      <c r="S1132" s="1048"/>
      <c r="T1132" s="1048"/>
      <c r="U1132" s="1102"/>
    </row>
    <row r="1133" spans="2:21" hidden="1" outlineLevel="2">
      <c r="B1133" s="1050">
        <v>212</v>
      </c>
      <c r="C1133" s="2035" t="str">
        <f t="shared" si="103"/>
        <v>42, Saint-Régis-du-Coin, Réseau de Saint-Régis-du-Coin, France continentale, Base Carbone</v>
      </c>
      <c r="D1133" s="1051">
        <f t="shared" si="104"/>
        <v>212</v>
      </c>
      <c r="E1133" s="1051" t="str">
        <f>IF(COUNTIF(E$921:E1132,F1133)&gt;0,"",F1133)</f>
        <v>42, Saint-Régis-du-Coin, Réseau de Saint-Régis-du-Coin, France continentale, Base Carbone</v>
      </c>
      <c r="F1133" s="1051" t="str">
        <f t="shared" si="105"/>
        <v>42, Saint-Régis-du-Coin, Réseau de Saint-Régis-du-Coin, France continentale, Base Carbone</v>
      </c>
      <c r="G1133" s="1055" t="str">
        <f t="shared" si="106"/>
        <v>42, Saint-Régis-du-Coin, Réseau de Saint-Régis-du-Coin, France continentale, Base Carbone; kgCO2e/kWh</v>
      </c>
      <c r="I1133" s="2018" t="s">
        <v>2936</v>
      </c>
      <c r="J1133" s="1135" t="s">
        <v>1681</v>
      </c>
      <c r="K1133" s="1119" t="s">
        <v>1567</v>
      </c>
      <c r="L1133" s="1119" t="s">
        <v>1571</v>
      </c>
      <c r="M1133" s="1134">
        <v>0.3</v>
      </c>
      <c r="N1133" s="1135"/>
      <c r="O1133" s="1135">
        <v>1.2999999999999999E-2</v>
      </c>
      <c r="P1133" s="1048"/>
      <c r="Q1133" s="1048"/>
      <c r="R1133" s="1048"/>
      <c r="S1133" s="1048"/>
      <c r="T1133" s="1048"/>
      <c r="U1133" s="1102"/>
    </row>
    <row r="1134" spans="2:21" hidden="1" outlineLevel="2">
      <c r="B1134" s="1050">
        <v>213</v>
      </c>
      <c r="C1134" s="2035" t="str">
        <f t="shared" si="103"/>
        <v>42, Saint-Symphorien-de-Lay, Réseau de Saint-Symphorien-de-Lay, France continentale, Base Carbone</v>
      </c>
      <c r="D1134" s="1051">
        <f t="shared" si="104"/>
        <v>213</v>
      </c>
      <c r="E1134" s="1051" t="str">
        <f>IF(COUNTIF(E$921:E1133,F1134)&gt;0,"",F1134)</f>
        <v>42, Saint-Symphorien-de-Lay, Réseau de Saint-Symphorien-de-Lay, France continentale, Base Carbone</v>
      </c>
      <c r="F1134" s="1051" t="str">
        <f t="shared" si="105"/>
        <v>42, Saint-Symphorien-de-Lay, Réseau de Saint-Symphorien-de-Lay, France continentale, Base Carbone</v>
      </c>
      <c r="G1134" s="1055" t="str">
        <f t="shared" si="106"/>
        <v>42, Saint-Symphorien-de-Lay, Réseau de Saint-Symphorien-de-Lay, France continentale, Base Carbone; kgCO2e/kWh</v>
      </c>
      <c r="I1134" s="2018" t="s">
        <v>2937</v>
      </c>
      <c r="J1134" s="1135" t="s">
        <v>1681</v>
      </c>
      <c r="K1134" s="1119" t="s">
        <v>1567</v>
      </c>
      <c r="L1134" s="1119" t="s">
        <v>1571</v>
      </c>
      <c r="M1134" s="1134">
        <v>0.3</v>
      </c>
      <c r="N1134" s="1135"/>
      <c r="O1134" s="1135">
        <v>0</v>
      </c>
      <c r="P1134" s="1048"/>
      <c r="Q1134" s="1048"/>
      <c r="R1134" s="1048"/>
      <c r="S1134" s="1048"/>
      <c r="T1134" s="1048"/>
      <c r="U1134" s="1102"/>
    </row>
    <row r="1135" spans="2:21" hidden="1" outlineLevel="2">
      <c r="B1135" s="1050">
        <v>214</v>
      </c>
      <c r="C1135" s="2035" t="str">
        <f t="shared" si="103"/>
        <v>42, Usson-en-Forez, Réseau d’Usson-en-Forez, France continentale, Base Carbone</v>
      </c>
      <c r="D1135" s="1051">
        <f t="shared" si="104"/>
        <v>214</v>
      </c>
      <c r="E1135" s="1051" t="str">
        <f>IF(COUNTIF(E$921:E1134,F1135)&gt;0,"",F1135)</f>
        <v>42, Usson-en-Forez, Réseau d’Usson-en-Forez, France continentale, Base Carbone</v>
      </c>
      <c r="F1135" s="1051" t="str">
        <f t="shared" si="105"/>
        <v>42, Usson-en-Forez, Réseau d’Usson-en-Forez, France continentale, Base Carbone</v>
      </c>
      <c r="G1135" s="1055" t="str">
        <f t="shared" si="106"/>
        <v>42, Usson-en-Forez, Réseau d’Usson-en-Forez, France continentale, Base Carbone; kgCO2e/kWh</v>
      </c>
      <c r="I1135" s="2018" t="s">
        <v>3398</v>
      </c>
      <c r="J1135" s="1135" t="s">
        <v>1681</v>
      </c>
      <c r="K1135" s="1119" t="s">
        <v>1567</v>
      </c>
      <c r="L1135" s="1119" t="s">
        <v>1571</v>
      </c>
      <c r="M1135" s="1134">
        <v>0.3</v>
      </c>
      <c r="N1135" s="1135"/>
      <c r="O1135" s="1135">
        <v>1.9E-2</v>
      </c>
      <c r="P1135" s="1048"/>
      <c r="Q1135" s="1048"/>
      <c r="R1135" s="1048"/>
      <c r="S1135" s="1048"/>
      <c r="T1135" s="1048"/>
      <c r="U1135" s="1102"/>
    </row>
    <row r="1136" spans="2:21" hidden="1" outlineLevel="2">
      <c r="B1136" s="1050">
        <v>215</v>
      </c>
      <c r="C1136" s="2035" t="str">
        <f t="shared" si="103"/>
        <v>43, Dunières, Réseau de la Mairie, France continentale, Base Carbone</v>
      </c>
      <c r="D1136" s="1051">
        <f t="shared" si="104"/>
        <v>215</v>
      </c>
      <c r="E1136" s="1051" t="str">
        <f>IF(COUNTIF(E$921:E1135,F1136)&gt;0,"",F1136)</f>
        <v>43, Dunières, Réseau de la Mairie, France continentale, Base Carbone</v>
      </c>
      <c r="F1136" s="1051" t="str">
        <f t="shared" si="105"/>
        <v>43, Dunières, Réseau de la Mairie, France continentale, Base Carbone</v>
      </c>
      <c r="G1136" s="1055" t="str">
        <f t="shared" si="106"/>
        <v>43, Dunières, Réseau de la Mairie, France continentale, Base Carbone; kgCO2e/kWh</v>
      </c>
      <c r="I1136" s="2018" t="s">
        <v>2938</v>
      </c>
      <c r="J1136" s="1135" t="s">
        <v>1681</v>
      </c>
      <c r="K1136" s="1119" t="s">
        <v>1567</v>
      </c>
      <c r="L1136" s="1119" t="s">
        <v>1571</v>
      </c>
      <c r="M1136" s="1134">
        <v>0.3</v>
      </c>
      <c r="N1136" s="1135"/>
      <c r="O1136" s="1135">
        <v>0.128</v>
      </c>
      <c r="P1136" s="1048"/>
      <c r="Q1136" s="1048"/>
      <c r="R1136" s="1048"/>
      <c r="S1136" s="1048"/>
      <c r="T1136" s="1048"/>
      <c r="U1136" s="1102"/>
    </row>
    <row r="1137" spans="2:21" hidden="1" outlineLevel="2">
      <c r="B1137" s="1050">
        <v>216</v>
      </c>
      <c r="C1137" s="2035" t="str">
        <f t="shared" si="103"/>
        <v>43, Dunières, Réseau de la Piscine, France continentale, Base Carbone</v>
      </c>
      <c r="D1137" s="1051">
        <f t="shared" si="104"/>
        <v>216</v>
      </c>
      <c r="E1137" s="1051" t="str">
        <f>IF(COUNTIF(E$921:E1136,F1137)&gt;0,"",F1137)</f>
        <v>43, Dunières, Réseau de la Piscine, France continentale, Base Carbone</v>
      </c>
      <c r="F1137" s="1051" t="str">
        <f t="shared" si="105"/>
        <v>43, Dunières, Réseau de la Piscine, France continentale, Base Carbone</v>
      </c>
      <c r="G1137" s="1055" t="str">
        <f t="shared" si="106"/>
        <v>43, Dunières, Réseau de la Piscine, France continentale, Base Carbone; kgCO2e/kWh</v>
      </c>
      <c r="I1137" s="2018" t="s">
        <v>2939</v>
      </c>
      <c r="J1137" s="1135" t="s">
        <v>1681</v>
      </c>
      <c r="K1137" s="1119" t="s">
        <v>1567</v>
      </c>
      <c r="L1137" s="1119" t="s">
        <v>1571</v>
      </c>
      <c r="M1137" s="1134">
        <v>0.3</v>
      </c>
      <c r="N1137" s="1135"/>
      <c r="O1137" s="1135">
        <v>0.128</v>
      </c>
      <c r="P1137" s="1048"/>
      <c r="Q1137" s="1048"/>
      <c r="R1137" s="1048"/>
      <c r="S1137" s="1048"/>
      <c r="T1137" s="1048"/>
      <c r="U1137" s="1102"/>
    </row>
    <row r="1138" spans="2:21" hidden="1" outlineLevel="2">
      <c r="B1138" s="1050">
        <v>217</v>
      </c>
      <c r="C1138" s="2035" t="str">
        <f t="shared" si="103"/>
        <v>43, Langeac, Langeac, France continentale, Base Carbone</v>
      </c>
      <c r="D1138" s="1051">
        <f t="shared" si="104"/>
        <v>217</v>
      </c>
      <c r="E1138" s="1051" t="str">
        <f>IF(COUNTIF(E$921:E1137,F1138)&gt;0,"",F1138)</f>
        <v>43, Langeac, Langeac, France continentale, Base Carbone</v>
      </c>
      <c r="F1138" s="1051" t="str">
        <f t="shared" si="105"/>
        <v>43, Langeac, Langeac, France continentale, Base Carbone</v>
      </c>
      <c r="G1138" s="1055" t="str">
        <f t="shared" si="106"/>
        <v>43, Langeac, Langeac, France continentale, Base Carbone; kgCO2e/kWh</v>
      </c>
      <c r="I1138" s="2018" t="s">
        <v>945</v>
      </c>
      <c r="J1138" s="1135" t="s">
        <v>1681</v>
      </c>
      <c r="K1138" s="1119" t="s">
        <v>1567</v>
      </c>
      <c r="L1138" s="1119" t="s">
        <v>1571</v>
      </c>
      <c r="M1138" s="1134">
        <v>0.3</v>
      </c>
      <c r="N1138" s="1135"/>
      <c r="O1138" s="1135">
        <v>0.192</v>
      </c>
      <c r="P1138" s="1048"/>
      <c r="Q1138" s="1048"/>
      <c r="R1138" s="1048"/>
      <c r="S1138" s="1048"/>
      <c r="T1138" s="1048"/>
      <c r="U1138" s="1102"/>
    </row>
    <row r="1139" spans="2:21" hidden="1" outlineLevel="2">
      <c r="B1139" s="1050">
        <v>218</v>
      </c>
      <c r="C1139" s="2035" t="str">
        <f t="shared" si="103"/>
        <v>43, Le Puy-en-Velay, Réseau du Puy en Velay VERT VEINE, France continentale, Base Carbone</v>
      </c>
      <c r="D1139" s="1051">
        <f t="shared" si="104"/>
        <v>218</v>
      </c>
      <c r="E1139" s="1051" t="str">
        <f>IF(COUNTIF(E$921:E1138,F1139)&gt;0,"",F1139)</f>
        <v>43, Le Puy-en-Velay, Réseau du Puy en Velay VERT VEINE, France continentale, Base Carbone</v>
      </c>
      <c r="F1139" s="1051" t="str">
        <f t="shared" si="105"/>
        <v>43, Le Puy-en-Velay, Réseau du Puy en Velay VERT VEINE, France continentale, Base Carbone</v>
      </c>
      <c r="G1139" s="1055" t="str">
        <f t="shared" si="106"/>
        <v>43, Le Puy-en-Velay, Réseau du Puy en Velay VERT VEINE, France continentale, Base Carbone; kgCO2e/kWh</v>
      </c>
      <c r="I1139" s="2018" t="s">
        <v>3399</v>
      </c>
      <c r="J1139" s="1135" t="s">
        <v>1681</v>
      </c>
      <c r="K1139" s="1119" t="s">
        <v>1567</v>
      </c>
      <c r="L1139" s="1119" t="s">
        <v>1571</v>
      </c>
      <c r="M1139" s="1134">
        <v>0.3</v>
      </c>
      <c r="N1139" s="1135"/>
      <c r="O1139" s="1135">
        <v>2.1000000000000001E-2</v>
      </c>
      <c r="P1139" s="1048"/>
      <c r="Q1139" s="1048"/>
      <c r="R1139" s="1048"/>
      <c r="S1139" s="1048"/>
      <c r="T1139" s="1048"/>
      <c r="U1139" s="1102"/>
    </row>
    <row r="1140" spans="2:21" hidden="1" outlineLevel="2">
      <c r="B1140" s="1050">
        <v>219</v>
      </c>
      <c r="C1140" s="2035" t="str">
        <f t="shared" si="103"/>
        <v>43, Mazet-Saint-Voy, Réseau de Mazet St Voy, France continentale, Base Carbone</v>
      </c>
      <c r="D1140" s="1051">
        <f t="shared" si="104"/>
        <v>219</v>
      </c>
      <c r="E1140" s="1051" t="str">
        <f>IF(COUNTIF(E$921:E1139,F1140)&gt;0,"",F1140)</f>
        <v>43, Mazet-Saint-Voy, Réseau de Mazet St Voy, France continentale, Base Carbone</v>
      </c>
      <c r="F1140" s="1051" t="str">
        <f t="shared" si="105"/>
        <v>43, Mazet-Saint-Voy, Réseau de Mazet St Voy, France continentale, Base Carbone</v>
      </c>
      <c r="G1140" s="1055" t="str">
        <f t="shared" si="106"/>
        <v>43, Mazet-Saint-Voy, Réseau de Mazet St Voy, France continentale, Base Carbone; kgCO2e/kWh</v>
      </c>
      <c r="I1140" s="2018" t="s">
        <v>3400</v>
      </c>
      <c r="J1140" s="1135" t="s">
        <v>1681</v>
      </c>
      <c r="K1140" s="1119" t="s">
        <v>1567</v>
      </c>
      <c r="L1140" s="1119" t="s">
        <v>1571</v>
      </c>
      <c r="M1140" s="1134">
        <v>0.3</v>
      </c>
      <c r="N1140" s="1135"/>
      <c r="O1140" s="1135">
        <v>0</v>
      </c>
      <c r="P1140" s="1048"/>
      <c r="Q1140" s="1048"/>
      <c r="R1140" s="1048"/>
      <c r="S1140" s="1048"/>
      <c r="T1140" s="1048"/>
      <c r="U1140" s="1102"/>
    </row>
    <row r="1141" spans="2:21" hidden="1" outlineLevel="2">
      <c r="B1141" s="1050">
        <v>220</v>
      </c>
      <c r="C1141" s="2035" t="str">
        <f t="shared" si="103"/>
        <v>43, Pradelles, Réseau de Pradelles, France continentale, Base Carbone</v>
      </c>
      <c r="D1141" s="1051">
        <f t="shared" si="104"/>
        <v>220</v>
      </c>
      <c r="E1141" s="1051" t="str">
        <f>IF(COUNTIF(E$921:E1140,F1141)&gt;0,"",F1141)</f>
        <v>43, Pradelles, Réseau de Pradelles, France continentale, Base Carbone</v>
      </c>
      <c r="F1141" s="1051" t="str">
        <f t="shared" si="105"/>
        <v>43, Pradelles, Réseau de Pradelles, France continentale, Base Carbone</v>
      </c>
      <c r="G1141" s="1055" t="str">
        <f t="shared" si="106"/>
        <v>43, Pradelles, Réseau de Pradelles, France continentale, Base Carbone; kgCO2e/kWh</v>
      </c>
      <c r="I1141" s="2018" t="s">
        <v>2940</v>
      </c>
      <c r="J1141" s="1135" t="s">
        <v>1681</v>
      </c>
      <c r="K1141" s="1119" t="s">
        <v>1567</v>
      </c>
      <c r="L1141" s="1119" t="s">
        <v>1571</v>
      </c>
      <c r="M1141" s="1134">
        <v>0.3</v>
      </c>
      <c r="N1141" s="1135"/>
      <c r="O1141" s="1135">
        <v>2.8000000000000001E-2</v>
      </c>
      <c r="P1141" s="1048"/>
      <c r="Q1141" s="1048"/>
      <c r="R1141" s="1048"/>
      <c r="S1141" s="1048"/>
      <c r="T1141" s="1048"/>
      <c r="U1141" s="1102"/>
    </row>
    <row r="1142" spans="2:21" hidden="1" outlineLevel="2">
      <c r="B1142" s="1050">
        <v>221</v>
      </c>
      <c r="C1142" s="2035" t="str">
        <f t="shared" si="103"/>
        <v>43, Saint-Bonnet-Le-Froid, Réseau de St Bonnet le Froid, France continentale, Base Carbone</v>
      </c>
      <c r="D1142" s="1051">
        <f t="shared" si="104"/>
        <v>221</v>
      </c>
      <c r="E1142" s="1051" t="str">
        <f>IF(COUNTIF(E$921:E1141,F1142)&gt;0,"",F1142)</f>
        <v>43, Saint-Bonnet-Le-Froid, Réseau de St Bonnet le Froid, France continentale, Base Carbone</v>
      </c>
      <c r="F1142" s="1051" t="str">
        <f t="shared" si="105"/>
        <v>43, Saint-Bonnet-Le-Froid, Réseau de St Bonnet le Froid, France continentale, Base Carbone</v>
      </c>
      <c r="G1142" s="1055" t="str">
        <f t="shared" si="106"/>
        <v>43, Saint-Bonnet-Le-Froid, Réseau de St Bonnet le Froid, France continentale, Base Carbone; kgCO2e/kWh</v>
      </c>
      <c r="I1142" s="2018" t="s">
        <v>3401</v>
      </c>
      <c r="J1142" s="1135" t="s">
        <v>1681</v>
      </c>
      <c r="K1142" s="1119" t="s">
        <v>1567</v>
      </c>
      <c r="L1142" s="1119" t="s">
        <v>1571</v>
      </c>
      <c r="M1142" s="1134">
        <v>0.3</v>
      </c>
      <c r="N1142" s="1135"/>
      <c r="O1142" s="1135">
        <v>0</v>
      </c>
      <c r="P1142" s="1048"/>
      <c r="Q1142" s="1048"/>
      <c r="R1142" s="1048"/>
      <c r="S1142" s="1048"/>
      <c r="T1142" s="1048"/>
      <c r="U1142" s="1102"/>
    </row>
    <row r="1143" spans="2:21" hidden="1" outlineLevel="2">
      <c r="B1143" s="1050">
        <v>222</v>
      </c>
      <c r="C1143" s="2035" t="str">
        <f t="shared" si="103"/>
        <v>43, Tence, Réseau de Tence, France continentale, Base Carbone</v>
      </c>
      <c r="D1143" s="1051">
        <f t="shared" si="104"/>
        <v>222</v>
      </c>
      <c r="E1143" s="1051" t="str">
        <f>IF(COUNTIF(E$921:E1142,F1143)&gt;0,"",F1143)</f>
        <v>43, Tence, Réseau de Tence, France continentale, Base Carbone</v>
      </c>
      <c r="F1143" s="1051" t="str">
        <f t="shared" si="105"/>
        <v>43, Tence, Réseau de Tence, France continentale, Base Carbone</v>
      </c>
      <c r="G1143" s="1055" t="str">
        <f t="shared" si="106"/>
        <v>43, Tence, Réseau de Tence, France continentale, Base Carbone; kgCO2e/kWh</v>
      </c>
      <c r="I1143" s="2018" t="s">
        <v>3402</v>
      </c>
      <c r="J1143" s="1135" t="s">
        <v>1681</v>
      </c>
      <c r="K1143" s="1119" t="s">
        <v>1567</v>
      </c>
      <c r="L1143" s="1119" t="s">
        <v>1571</v>
      </c>
      <c r="M1143" s="1134">
        <v>0.3</v>
      </c>
      <c r="N1143" s="1135"/>
      <c r="O1143" s="1135">
        <v>1.2E-2</v>
      </c>
      <c r="P1143" s="1048"/>
      <c r="Q1143" s="1048"/>
      <c r="R1143" s="1048"/>
      <c r="S1143" s="1048"/>
      <c r="T1143" s="1048"/>
      <c r="U1143" s="1102"/>
    </row>
    <row r="1144" spans="2:21" hidden="1" outlineLevel="2">
      <c r="B1144" s="1050">
        <v>223</v>
      </c>
      <c r="C1144" s="2035" t="str">
        <f t="shared" si="103"/>
        <v>43, Yssingeaux, Réseau de chaleur YES, France continentale, Base Carbone</v>
      </c>
      <c r="D1144" s="1051">
        <f t="shared" si="104"/>
        <v>223</v>
      </c>
      <c r="E1144" s="1051" t="str">
        <f>IF(COUNTIF(E$921:E1143,F1144)&gt;0,"",F1144)</f>
        <v>43, Yssingeaux, Réseau de chaleur YES, France continentale, Base Carbone</v>
      </c>
      <c r="F1144" s="1051" t="str">
        <f t="shared" si="105"/>
        <v>43, Yssingeaux, Réseau de chaleur YES, France continentale, Base Carbone</v>
      </c>
      <c r="G1144" s="1055" t="str">
        <f t="shared" si="106"/>
        <v>43, Yssingeaux, Réseau de chaleur YES, France continentale, Base Carbone; kgCO2e/kWh</v>
      </c>
      <c r="I1144" s="2018" t="s">
        <v>946</v>
      </c>
      <c r="J1144" s="1135" t="s">
        <v>1681</v>
      </c>
      <c r="K1144" s="1119" t="s">
        <v>1567</v>
      </c>
      <c r="L1144" s="1119" t="s">
        <v>1571</v>
      </c>
      <c r="M1144" s="1134">
        <v>0.3</v>
      </c>
      <c r="N1144" s="1135"/>
      <c r="O1144" s="1135">
        <v>4.3999999999999997E-2</v>
      </c>
      <c r="P1144" s="1048"/>
      <c r="Q1144" s="1048"/>
      <c r="R1144" s="1048"/>
      <c r="S1144" s="1048"/>
      <c r="T1144" s="1048"/>
      <c r="U1144" s="1102"/>
    </row>
    <row r="1145" spans="2:21" hidden="1" outlineLevel="2">
      <c r="B1145" s="1050">
        <v>224</v>
      </c>
      <c r="C1145" s="2035" t="str">
        <f t="shared" si="103"/>
        <v>44, Châteaubriant, Réseau de Chateaubriant, France continentale, Base Carbone</v>
      </c>
      <c r="D1145" s="1051">
        <f t="shared" si="104"/>
        <v>224</v>
      </c>
      <c r="E1145" s="1051" t="str">
        <f>IF(COUNTIF(E$921:E1144,F1145)&gt;0,"",F1145)</f>
        <v>44, Châteaubriant, Réseau de Chateaubriant, France continentale, Base Carbone</v>
      </c>
      <c r="F1145" s="1051" t="str">
        <f t="shared" si="105"/>
        <v>44, Châteaubriant, Réseau de Chateaubriant, France continentale, Base Carbone</v>
      </c>
      <c r="G1145" s="1055" t="str">
        <f t="shared" si="106"/>
        <v>44, Châteaubriant, Réseau de Chateaubriant, France continentale, Base Carbone; kgCO2e/kWh</v>
      </c>
      <c r="I1145" s="2018" t="s">
        <v>2941</v>
      </c>
      <c r="J1145" s="1135" t="s">
        <v>1681</v>
      </c>
      <c r="K1145" s="1119" t="s">
        <v>1567</v>
      </c>
      <c r="L1145" s="1119" t="s">
        <v>1571</v>
      </c>
      <c r="M1145" s="1134">
        <v>0.3</v>
      </c>
      <c r="N1145" s="1135"/>
      <c r="O1145" s="1135">
        <v>7.8E-2</v>
      </c>
      <c r="P1145" s="1048"/>
      <c r="Q1145" s="1048"/>
      <c r="R1145" s="1048"/>
      <c r="S1145" s="1048"/>
      <c r="T1145" s="1048"/>
      <c r="U1145" s="1102"/>
    </row>
    <row r="1146" spans="2:21" hidden="1" outlineLevel="2">
      <c r="B1146" s="1050">
        <v>225</v>
      </c>
      <c r="C1146" s="2035" t="str">
        <f t="shared" si="103"/>
        <v>44, Nantes, Beaulieu Malakoff, France continentale, Base Carbone</v>
      </c>
      <c r="D1146" s="1051">
        <f t="shared" si="104"/>
        <v>225</v>
      </c>
      <c r="E1146" s="1051" t="str">
        <f>IF(COUNTIF(E$921:E1145,F1146)&gt;0,"",F1146)</f>
        <v>44, Nantes, Beaulieu Malakoff, France continentale, Base Carbone</v>
      </c>
      <c r="F1146" s="1051" t="str">
        <f t="shared" si="105"/>
        <v>44, Nantes, Beaulieu Malakoff, France continentale, Base Carbone</v>
      </c>
      <c r="G1146" s="1055" t="str">
        <f t="shared" si="106"/>
        <v>44, Nantes, Beaulieu Malakoff, France continentale, Base Carbone; kgCO2e/kWh</v>
      </c>
      <c r="I1146" s="2018" t="s">
        <v>3403</v>
      </c>
      <c r="J1146" s="1135" t="s">
        <v>1681</v>
      </c>
      <c r="K1146" s="1119" t="s">
        <v>1567</v>
      </c>
      <c r="L1146" s="1119" t="s">
        <v>1571</v>
      </c>
      <c r="M1146" s="1134">
        <v>0.3</v>
      </c>
      <c r="N1146" s="1135"/>
      <c r="O1146" s="1135">
        <v>4.2000000000000003E-2</v>
      </c>
      <c r="P1146" s="1048"/>
      <c r="Q1146" s="1048"/>
      <c r="R1146" s="1048"/>
      <c r="S1146" s="1048"/>
      <c r="T1146" s="1048"/>
      <c r="U1146" s="1102"/>
    </row>
    <row r="1147" spans="2:21" hidden="1" outlineLevel="2">
      <c r="B1147" s="1050">
        <v>226</v>
      </c>
      <c r="C1147" s="2035" t="str">
        <f t="shared" si="103"/>
        <v>44, Nantes, Réseau Nantes Chantrerie, France continentale, Base Carbone</v>
      </c>
      <c r="D1147" s="1051">
        <f t="shared" si="104"/>
        <v>226</v>
      </c>
      <c r="E1147" s="1051" t="str">
        <f>IF(COUNTIF(E$921:E1146,F1147)&gt;0,"",F1147)</f>
        <v>44, Nantes, Réseau Nantes Chantrerie, France continentale, Base Carbone</v>
      </c>
      <c r="F1147" s="1051" t="str">
        <f t="shared" si="105"/>
        <v>44, Nantes, Réseau Nantes Chantrerie, France continentale, Base Carbone</v>
      </c>
      <c r="G1147" s="1055" t="str">
        <f t="shared" si="106"/>
        <v>44, Nantes, Réseau Nantes Chantrerie, France continentale, Base Carbone; kgCO2e/kWh</v>
      </c>
      <c r="I1147" s="2018" t="s">
        <v>3404</v>
      </c>
      <c r="J1147" s="1135" t="s">
        <v>1681</v>
      </c>
      <c r="K1147" s="1119" t="s">
        <v>1567</v>
      </c>
      <c r="L1147" s="1119" t="s">
        <v>1571</v>
      </c>
      <c r="M1147" s="1134">
        <v>0.3</v>
      </c>
      <c r="N1147" s="1135"/>
      <c r="O1147" s="1135">
        <v>7.3999999999999996E-2</v>
      </c>
      <c r="P1147" s="1048"/>
      <c r="Q1147" s="1048"/>
      <c r="R1147" s="1048"/>
      <c r="S1147" s="1048"/>
      <c r="T1147" s="1048"/>
      <c r="U1147" s="1102"/>
    </row>
    <row r="1148" spans="2:21" hidden="1" outlineLevel="2">
      <c r="B1148" s="1050">
        <v>227</v>
      </c>
      <c r="C1148" s="2035" t="str">
        <f t="shared" si="103"/>
        <v>44, Nantes-Saint-Herblain, ZUP de Bellevue Saint Herblain, France continentale, Base Carbone</v>
      </c>
      <c r="D1148" s="1051">
        <f t="shared" si="104"/>
        <v>227</v>
      </c>
      <c r="E1148" s="1051" t="str">
        <f>IF(COUNTIF(E$921:E1147,F1148)&gt;0,"",F1148)</f>
        <v>44, Nantes-Saint-Herblain, ZUP de Bellevue Saint Herblain, France continentale, Base Carbone</v>
      </c>
      <c r="F1148" s="1051" t="str">
        <f t="shared" si="105"/>
        <v>44, Nantes-Saint-Herblain, ZUP de Bellevue Saint Herblain, France continentale, Base Carbone</v>
      </c>
      <c r="G1148" s="1055" t="str">
        <f t="shared" si="106"/>
        <v>44, Nantes-Saint-Herblain, ZUP de Bellevue Saint Herblain, France continentale, Base Carbone; kgCO2e/kWh</v>
      </c>
      <c r="I1148" s="2018" t="s">
        <v>2942</v>
      </c>
      <c r="J1148" s="1135" t="s">
        <v>1681</v>
      </c>
      <c r="K1148" s="1119" t="s">
        <v>1567</v>
      </c>
      <c r="L1148" s="1119" t="s">
        <v>1571</v>
      </c>
      <c r="M1148" s="1134">
        <v>0.3</v>
      </c>
      <c r="N1148" s="1135"/>
      <c r="O1148" s="1135">
        <v>8.8999999999999996E-2</v>
      </c>
      <c r="P1148" s="1048"/>
      <c r="Q1148" s="1048"/>
      <c r="R1148" s="1048"/>
      <c r="S1148" s="1048"/>
      <c r="T1148" s="1048"/>
      <c r="U1148" s="1102"/>
    </row>
    <row r="1149" spans="2:21" hidden="1" outlineLevel="2">
      <c r="B1149" s="1050">
        <v>228</v>
      </c>
      <c r="C1149" s="2035" t="str">
        <f t="shared" si="103"/>
        <v>44, Rezé, Réseau AFUL de Rezé-Château, France continentale, Base Carbone</v>
      </c>
      <c r="D1149" s="1051">
        <f t="shared" si="104"/>
        <v>228</v>
      </c>
      <c r="E1149" s="1051" t="str">
        <f>IF(COUNTIF(E$921:E1148,F1149)&gt;0,"",F1149)</f>
        <v>44, Rezé, Réseau AFUL de Rezé-Château, France continentale, Base Carbone</v>
      </c>
      <c r="F1149" s="1051" t="str">
        <f t="shared" si="105"/>
        <v>44, Rezé, Réseau AFUL de Rezé-Château, France continentale, Base Carbone</v>
      </c>
      <c r="G1149" s="1055" t="str">
        <f t="shared" si="106"/>
        <v>44, Rezé, Réseau AFUL de Rezé-Château, France continentale, Base Carbone; kgCO2e/kWh</v>
      </c>
      <c r="I1149" s="2018" t="s">
        <v>2943</v>
      </c>
      <c r="J1149" s="1135" t="s">
        <v>1681</v>
      </c>
      <c r="K1149" s="1119" t="s">
        <v>1567</v>
      </c>
      <c r="L1149" s="1119" t="s">
        <v>1571</v>
      </c>
      <c r="M1149" s="1134">
        <v>0.3</v>
      </c>
      <c r="N1149" s="1135"/>
      <c r="O1149" s="1135">
        <v>0.16200000000000001</v>
      </c>
      <c r="P1149" s="1048"/>
      <c r="Q1149" s="1048"/>
      <c r="R1149" s="1048"/>
      <c r="S1149" s="1048"/>
      <c r="T1149" s="1048"/>
      <c r="U1149" s="1102"/>
    </row>
    <row r="1150" spans="2:21" hidden="1" outlineLevel="2">
      <c r="B1150" s="1050">
        <v>229</v>
      </c>
      <c r="C1150" s="2035" t="str">
        <f t="shared" si="103"/>
        <v>44, Saint-Jean-de-Boiseau, Réseau de Saint-Jean-de-Boiseau, France continentale, Base Carbone</v>
      </c>
      <c r="D1150" s="1051">
        <f t="shared" si="104"/>
        <v>229</v>
      </c>
      <c r="E1150" s="1051" t="str">
        <f>IF(COUNTIF(E$921:E1149,F1150)&gt;0,"",F1150)</f>
        <v>44, Saint-Jean-de-Boiseau, Réseau de Saint-Jean-de-Boiseau, France continentale, Base Carbone</v>
      </c>
      <c r="F1150" s="1051" t="str">
        <f t="shared" si="105"/>
        <v>44, Saint-Jean-de-Boiseau, Réseau de Saint-Jean-de-Boiseau, France continentale, Base Carbone</v>
      </c>
      <c r="G1150" s="1055" t="str">
        <f t="shared" si="106"/>
        <v>44, Saint-Jean-de-Boiseau, Réseau de Saint-Jean-de-Boiseau, France continentale, Base Carbone; kgCO2e/kWh</v>
      </c>
      <c r="I1150" s="2018" t="s">
        <v>3405</v>
      </c>
      <c r="J1150" s="1135" t="s">
        <v>1681</v>
      </c>
      <c r="K1150" s="1119" t="s">
        <v>1567</v>
      </c>
      <c r="L1150" s="1119" t="s">
        <v>1571</v>
      </c>
      <c r="M1150" s="1134">
        <v>0.3</v>
      </c>
      <c r="N1150" s="1135"/>
      <c r="O1150" s="1135">
        <v>7.6999999999999999E-2</v>
      </c>
      <c r="P1150" s="1048"/>
      <c r="Q1150" s="1048"/>
      <c r="R1150" s="1048"/>
      <c r="S1150" s="1048"/>
      <c r="T1150" s="1048"/>
      <c r="U1150" s="1102"/>
    </row>
    <row r="1151" spans="2:21" hidden="1" outlineLevel="2">
      <c r="B1151" s="1050">
        <v>230</v>
      </c>
      <c r="C1151" s="2035" t="str">
        <f t="shared" si="103"/>
        <v>44, Saint-Julien-de-Concelles, Réseau de Saint-Julien-de-Concelles, France continentale, Base Carbone</v>
      </c>
      <c r="D1151" s="1051">
        <f t="shared" si="104"/>
        <v>230</v>
      </c>
      <c r="E1151" s="1051" t="str">
        <f>IF(COUNTIF(E$921:E1150,F1151)&gt;0,"",F1151)</f>
        <v>44, Saint-Julien-de-Concelles, Réseau de Saint-Julien-de-Concelles, France continentale, Base Carbone</v>
      </c>
      <c r="F1151" s="1051" t="str">
        <f t="shared" si="105"/>
        <v>44, Saint-Julien-de-Concelles, Réseau de Saint-Julien-de-Concelles, France continentale, Base Carbone</v>
      </c>
      <c r="G1151" s="1055" t="str">
        <f t="shared" si="106"/>
        <v>44, Saint-Julien-de-Concelles, Réseau de Saint-Julien-de-Concelles, France continentale, Base Carbone; kgCO2e/kWh</v>
      </c>
      <c r="I1151" s="2018" t="s">
        <v>2944</v>
      </c>
      <c r="J1151" s="1135" t="s">
        <v>1681</v>
      </c>
      <c r="K1151" s="1119" t="s">
        <v>1567</v>
      </c>
      <c r="L1151" s="1119" t="s">
        <v>1571</v>
      </c>
      <c r="M1151" s="1134">
        <v>0.3</v>
      </c>
      <c r="N1151" s="1135"/>
      <c r="O1151" s="1135">
        <v>0</v>
      </c>
      <c r="P1151" s="1048"/>
      <c r="Q1151" s="1048"/>
      <c r="R1151" s="1048"/>
      <c r="S1151" s="1048"/>
      <c r="T1151" s="1048"/>
      <c r="U1151" s="1102"/>
    </row>
    <row r="1152" spans="2:21" hidden="1" outlineLevel="2">
      <c r="B1152" s="1050">
        <v>231</v>
      </c>
      <c r="C1152" s="2035" t="str">
        <f t="shared" si="103"/>
        <v>44, Sainte-Luce-sur-Loire, Réseau ZAC de la Minais, France continentale, Base Carbone</v>
      </c>
      <c r="D1152" s="1051">
        <f t="shared" si="104"/>
        <v>231</v>
      </c>
      <c r="E1152" s="1051" t="str">
        <f>IF(COUNTIF(E$921:E1151,F1152)&gt;0,"",F1152)</f>
        <v>44, Sainte-Luce-sur-Loire, Réseau ZAC de la Minais, France continentale, Base Carbone</v>
      </c>
      <c r="F1152" s="1051" t="str">
        <f t="shared" si="105"/>
        <v>44, Sainte-Luce-sur-Loire, Réseau ZAC de la Minais, France continentale, Base Carbone</v>
      </c>
      <c r="G1152" s="1055" t="str">
        <f t="shared" si="106"/>
        <v>44, Sainte-Luce-sur-Loire, Réseau ZAC de la Minais, France continentale, Base Carbone; kgCO2e/kWh</v>
      </c>
      <c r="I1152" s="2018" t="s">
        <v>2945</v>
      </c>
      <c r="J1152" s="1135" t="s">
        <v>1681</v>
      </c>
      <c r="K1152" s="1119" t="s">
        <v>1567</v>
      </c>
      <c r="L1152" s="1119" t="s">
        <v>1571</v>
      </c>
      <c r="M1152" s="1134">
        <v>0.3</v>
      </c>
      <c r="N1152" s="1135"/>
      <c r="O1152" s="1135">
        <v>0.17299999999999999</v>
      </c>
      <c r="P1152" s="1048"/>
      <c r="Q1152" s="1048"/>
      <c r="R1152" s="1048"/>
      <c r="S1152" s="1048"/>
      <c r="T1152" s="1048"/>
      <c r="U1152" s="1102"/>
    </row>
    <row r="1153" spans="2:21" hidden="1" outlineLevel="2">
      <c r="B1153" s="1050">
        <v>232</v>
      </c>
      <c r="C1153" s="2035" t="str">
        <f t="shared" si="103"/>
        <v>45, Amilly, Réseau de Amilly, France continentale, Base Carbone</v>
      </c>
      <c r="D1153" s="1051">
        <f t="shared" si="104"/>
        <v>232</v>
      </c>
      <c r="E1153" s="1051" t="str">
        <f>IF(COUNTIF(E$921:E1152,F1153)&gt;0,"",F1153)</f>
        <v>45, Amilly, Réseau de Amilly, France continentale, Base Carbone</v>
      </c>
      <c r="F1153" s="1051" t="str">
        <f t="shared" si="105"/>
        <v>45, Amilly, Réseau de Amilly, France continentale, Base Carbone</v>
      </c>
      <c r="G1153" s="1055" t="str">
        <f t="shared" si="106"/>
        <v>45, Amilly, Réseau de Amilly, France continentale, Base Carbone; kgCO2e/kWh</v>
      </c>
      <c r="I1153" s="2018" t="s">
        <v>3406</v>
      </c>
      <c r="J1153" s="1135" t="s">
        <v>1681</v>
      </c>
      <c r="K1153" s="1119" t="s">
        <v>1567</v>
      </c>
      <c r="L1153" s="1119" t="s">
        <v>1571</v>
      </c>
      <c r="M1153" s="1134">
        <v>0.3</v>
      </c>
      <c r="N1153" s="1135"/>
      <c r="O1153" s="1135">
        <v>4.2000000000000003E-2</v>
      </c>
      <c r="P1153" s="1048"/>
      <c r="Q1153" s="1048"/>
      <c r="R1153" s="1048"/>
      <c r="S1153" s="1048"/>
      <c r="T1153" s="1048"/>
      <c r="U1153" s="1102"/>
    </row>
    <row r="1154" spans="2:21" hidden="1" outlineLevel="2">
      <c r="B1154" s="1050">
        <v>233</v>
      </c>
      <c r="C1154" s="2035" t="str">
        <f t="shared" si="103"/>
        <v>45, Fleury-les-Aubrais, Réseau de Fleury les Aubrais, France continentale, Base Carbone</v>
      </c>
      <c r="D1154" s="1051">
        <f t="shared" si="104"/>
        <v>233</v>
      </c>
      <c r="E1154" s="1051" t="str">
        <f>IF(COUNTIF(E$921:E1153,F1154)&gt;0,"",F1154)</f>
        <v>45, Fleury-les-Aubrais, Réseau de Fleury les Aubrais, France continentale, Base Carbone</v>
      </c>
      <c r="F1154" s="1051" t="str">
        <f t="shared" si="105"/>
        <v>45, Fleury-les-Aubrais, Réseau de Fleury les Aubrais, France continentale, Base Carbone</v>
      </c>
      <c r="G1154" s="1055" t="str">
        <f t="shared" si="106"/>
        <v>45, Fleury-les-Aubrais, Réseau de Fleury les Aubrais, France continentale, Base Carbone; kgCO2e/kWh</v>
      </c>
      <c r="I1154" s="2018" t="s">
        <v>3407</v>
      </c>
      <c r="J1154" s="1135" t="s">
        <v>1681</v>
      </c>
      <c r="K1154" s="1119" t="s">
        <v>1567</v>
      </c>
      <c r="L1154" s="1119" t="s">
        <v>1571</v>
      </c>
      <c r="M1154" s="1134">
        <v>0.3</v>
      </c>
      <c r="N1154" s="1135"/>
      <c r="O1154" s="1135">
        <v>7.0999999999999994E-2</v>
      </c>
      <c r="P1154" s="1048"/>
      <c r="Q1154" s="1048"/>
      <c r="R1154" s="1048"/>
      <c r="S1154" s="1048"/>
      <c r="T1154" s="1048"/>
      <c r="U1154" s="1102"/>
    </row>
    <row r="1155" spans="2:21" hidden="1" outlineLevel="2">
      <c r="B1155" s="1050">
        <v>234</v>
      </c>
      <c r="C1155" s="2035" t="str">
        <f t="shared" si="103"/>
        <v>45, Montargis, ZUP du grand clos, France continentale, Base Carbone</v>
      </c>
      <c r="D1155" s="1051">
        <f t="shared" si="104"/>
        <v>234</v>
      </c>
      <c r="E1155" s="1051" t="str">
        <f>IF(COUNTIF(E$921:E1154,F1155)&gt;0,"",F1155)</f>
        <v>45, Montargis, ZUP du grand clos, France continentale, Base Carbone</v>
      </c>
      <c r="F1155" s="1051" t="str">
        <f t="shared" si="105"/>
        <v>45, Montargis, ZUP du grand clos, France continentale, Base Carbone</v>
      </c>
      <c r="G1155" s="1055" t="str">
        <f t="shared" si="106"/>
        <v>45, Montargis, ZUP du grand clos, France continentale, Base Carbone; kgCO2e/kWh</v>
      </c>
      <c r="I1155" s="2018" t="s">
        <v>2946</v>
      </c>
      <c r="J1155" s="1135" t="s">
        <v>1681</v>
      </c>
      <c r="K1155" s="1119" t="s">
        <v>1567</v>
      </c>
      <c r="L1155" s="1119" t="s">
        <v>1571</v>
      </c>
      <c r="M1155" s="1134">
        <v>0.3</v>
      </c>
      <c r="N1155" s="1135"/>
      <c r="O1155" s="1135">
        <v>7.4999999999999997E-2</v>
      </c>
      <c r="P1155" s="1048"/>
      <c r="Q1155" s="1048"/>
      <c r="R1155" s="1048"/>
      <c r="S1155" s="1048"/>
      <c r="T1155" s="1048"/>
      <c r="U1155" s="1102"/>
    </row>
    <row r="1156" spans="2:21" hidden="1" outlineLevel="2">
      <c r="B1156" s="1050">
        <v>235</v>
      </c>
      <c r="C1156" s="2035" t="str">
        <f t="shared" si="103"/>
        <v>45, Orléans, Quartier Centre Ville et Nord, France continentale, Base Carbone</v>
      </c>
      <c r="D1156" s="1051">
        <f t="shared" si="104"/>
        <v>235</v>
      </c>
      <c r="E1156" s="1051" t="str">
        <f>IF(COUNTIF(E$921:E1155,F1156)&gt;0,"",F1156)</f>
        <v>45, Orléans, Quartier Centre Ville et Nord, France continentale, Base Carbone</v>
      </c>
      <c r="F1156" s="1051" t="str">
        <f t="shared" si="105"/>
        <v>45, Orléans, Quartier Centre Ville et Nord, France continentale, Base Carbone</v>
      </c>
      <c r="G1156" s="1055" t="str">
        <f t="shared" si="106"/>
        <v>45, Orléans, Quartier Centre Ville et Nord, France continentale, Base Carbone; kgCO2e/kWh</v>
      </c>
      <c r="I1156" s="2018" t="s">
        <v>2947</v>
      </c>
      <c r="J1156" s="1135" t="s">
        <v>1681</v>
      </c>
      <c r="K1156" s="1119" t="s">
        <v>1567</v>
      </c>
      <c r="L1156" s="1119" t="s">
        <v>1571</v>
      </c>
      <c r="M1156" s="1134">
        <v>0.3</v>
      </c>
      <c r="N1156" s="1135"/>
      <c r="O1156" s="1135">
        <v>0</v>
      </c>
      <c r="P1156" s="1048"/>
      <c r="Q1156" s="1048"/>
      <c r="R1156" s="1048"/>
      <c r="S1156" s="1048"/>
      <c r="T1156" s="1048"/>
      <c r="U1156" s="1102"/>
    </row>
    <row r="1157" spans="2:21" hidden="1" outlineLevel="2">
      <c r="B1157" s="1050">
        <v>236</v>
      </c>
      <c r="C1157" s="2035" t="str">
        <f t="shared" si="103"/>
        <v>45, Orléans, Socos source, France continentale, Base Carbone</v>
      </c>
      <c r="D1157" s="1051">
        <f t="shared" si="104"/>
        <v>236</v>
      </c>
      <c r="E1157" s="1051" t="str">
        <f>IF(COUNTIF(E$921:E1156,F1157)&gt;0,"",F1157)</f>
        <v>45, Orléans, Socos source, France continentale, Base Carbone</v>
      </c>
      <c r="F1157" s="1051" t="str">
        <f t="shared" si="105"/>
        <v>45, Orléans, Socos source, France continentale, Base Carbone</v>
      </c>
      <c r="G1157" s="1055" t="str">
        <f t="shared" si="106"/>
        <v>45, Orléans, Socos source, France continentale, Base Carbone; kgCO2e/kWh</v>
      </c>
      <c r="I1157" s="2018" t="s">
        <v>3408</v>
      </c>
      <c r="J1157" s="1135" t="s">
        <v>1681</v>
      </c>
      <c r="K1157" s="1119" t="s">
        <v>1567</v>
      </c>
      <c r="L1157" s="1119" t="s">
        <v>1571</v>
      </c>
      <c r="M1157" s="1134">
        <v>0.3</v>
      </c>
      <c r="N1157" s="1135"/>
      <c r="O1157" s="1135">
        <v>8.1000000000000003E-2</v>
      </c>
      <c r="P1157" s="1048"/>
      <c r="Q1157" s="1048"/>
      <c r="R1157" s="1048"/>
      <c r="S1157" s="1048"/>
      <c r="T1157" s="1048"/>
      <c r="U1157" s="1102"/>
    </row>
    <row r="1158" spans="2:21" hidden="1" outlineLevel="2">
      <c r="B1158" s="1050">
        <v>237</v>
      </c>
      <c r="C1158" s="2035" t="str">
        <f t="shared" si="103"/>
        <v>45, Pithiviers, U. V. E Pithiviers, France continentale, Base Carbone</v>
      </c>
      <c r="D1158" s="1051">
        <f t="shared" si="104"/>
        <v>237</v>
      </c>
      <c r="E1158" s="1051" t="str">
        <f>IF(COUNTIF(E$921:E1157,F1158)&gt;0,"",F1158)</f>
        <v>45, Pithiviers, U. V. E Pithiviers, France continentale, Base Carbone</v>
      </c>
      <c r="F1158" s="1051" t="str">
        <f t="shared" si="105"/>
        <v>45, Pithiviers, U. V. E Pithiviers, France continentale, Base Carbone</v>
      </c>
      <c r="G1158" s="1055" t="str">
        <f t="shared" si="106"/>
        <v>45, Pithiviers, U. V. E Pithiviers, France continentale, Base Carbone; kgCO2e/kWh</v>
      </c>
      <c r="I1158" s="2018" t="s">
        <v>3409</v>
      </c>
      <c r="J1158" s="1135" t="s">
        <v>1681</v>
      </c>
      <c r="K1158" s="1119" t="s">
        <v>1567</v>
      </c>
      <c r="L1158" s="1119" t="s">
        <v>1571</v>
      </c>
      <c r="M1158" s="1134">
        <v>0.3</v>
      </c>
      <c r="N1158" s="1135"/>
      <c r="O1158" s="1135">
        <v>0</v>
      </c>
      <c r="P1158" s="1048"/>
      <c r="Q1158" s="1048"/>
      <c r="R1158" s="1048"/>
      <c r="S1158" s="1048"/>
      <c r="T1158" s="1048"/>
      <c r="U1158" s="1102"/>
    </row>
    <row r="1159" spans="2:21" hidden="1" outlineLevel="2">
      <c r="B1159" s="1050">
        <v>238</v>
      </c>
      <c r="C1159" s="2035" t="str">
        <f t="shared" si="103"/>
        <v>46, Biars-sur-Cere, Réseau de Biars du Cere, France continentale, Base Carbone</v>
      </c>
      <c r="D1159" s="1051">
        <f t="shared" si="104"/>
        <v>238</v>
      </c>
      <c r="E1159" s="1051" t="str">
        <f>IF(COUNTIF(E$921:E1158,F1159)&gt;0,"",F1159)</f>
        <v>46, Biars-sur-Cere, Réseau de Biars du Cere, France continentale, Base Carbone</v>
      </c>
      <c r="F1159" s="1051" t="str">
        <f t="shared" si="105"/>
        <v>46, Biars-sur-Cere, Réseau de Biars du Cere, France continentale, Base Carbone</v>
      </c>
      <c r="G1159" s="1055" t="str">
        <f t="shared" si="106"/>
        <v>46, Biars-sur-Cere, Réseau de Biars du Cere, France continentale, Base Carbone; kgCO2e/kWh</v>
      </c>
      <c r="I1159" s="2018" t="s">
        <v>3410</v>
      </c>
      <c r="J1159" s="1135" t="s">
        <v>1681</v>
      </c>
      <c r="K1159" s="1119" t="s">
        <v>1567</v>
      </c>
      <c r="L1159" s="1119" t="s">
        <v>1571</v>
      </c>
      <c r="M1159" s="1134">
        <v>0.3</v>
      </c>
      <c r="N1159" s="1135"/>
      <c r="O1159" s="1135">
        <v>6.0000000000000001E-3</v>
      </c>
      <c r="P1159" s="1048"/>
      <c r="Q1159" s="1048"/>
      <c r="R1159" s="1048"/>
      <c r="S1159" s="1048"/>
      <c r="T1159" s="1048"/>
      <c r="U1159" s="1102"/>
    </row>
    <row r="1160" spans="2:21" hidden="1" outlineLevel="2">
      <c r="B1160" s="1050">
        <v>239</v>
      </c>
      <c r="C1160" s="2035" t="str">
        <f t="shared" si="103"/>
        <v>46, Cahors, Réseau de Cahors, France continentale, Base Carbone</v>
      </c>
      <c r="D1160" s="1051">
        <f t="shared" si="104"/>
        <v>239</v>
      </c>
      <c r="E1160" s="1051" t="str">
        <f>IF(COUNTIF(E$921:E1159,F1160)&gt;0,"",F1160)</f>
        <v>46, Cahors, Réseau de Cahors, France continentale, Base Carbone</v>
      </c>
      <c r="F1160" s="1051" t="str">
        <f t="shared" si="105"/>
        <v>46, Cahors, Réseau de Cahors, France continentale, Base Carbone</v>
      </c>
      <c r="G1160" s="1055" t="str">
        <f t="shared" si="106"/>
        <v>46, Cahors, Réseau de Cahors, France continentale, Base Carbone; kgCO2e/kWh</v>
      </c>
      <c r="I1160" s="2018" t="s">
        <v>2948</v>
      </c>
      <c r="J1160" s="1135" t="s">
        <v>1681</v>
      </c>
      <c r="K1160" s="1119" t="s">
        <v>1567</v>
      </c>
      <c r="L1160" s="1119" t="s">
        <v>1571</v>
      </c>
      <c r="M1160" s="1134">
        <v>0.3</v>
      </c>
      <c r="N1160" s="1135"/>
      <c r="O1160" s="1135">
        <v>6.5000000000000002E-2</v>
      </c>
      <c r="P1160" s="1048"/>
      <c r="Q1160" s="1048"/>
      <c r="R1160" s="1048"/>
      <c r="S1160" s="1048"/>
      <c r="T1160" s="1048"/>
      <c r="U1160" s="1102"/>
    </row>
    <row r="1161" spans="2:21" hidden="1" outlineLevel="2">
      <c r="B1161" s="1050">
        <v>240</v>
      </c>
      <c r="C1161" s="2035" t="str">
        <f t="shared" si="103"/>
        <v>46, Caillac, Réseau de Caillac, France continentale, Base Carbone</v>
      </c>
      <c r="D1161" s="1051">
        <f t="shared" si="104"/>
        <v>240</v>
      </c>
      <c r="E1161" s="1051" t="str">
        <f>IF(COUNTIF(E$921:E1160,F1161)&gt;0,"",F1161)</f>
        <v>46, Caillac, Réseau de Caillac, France continentale, Base Carbone</v>
      </c>
      <c r="F1161" s="1051" t="str">
        <f t="shared" si="105"/>
        <v>46, Caillac, Réseau de Caillac, France continentale, Base Carbone</v>
      </c>
      <c r="G1161" s="1055" t="str">
        <f t="shared" si="106"/>
        <v>46, Caillac, Réseau de Caillac, France continentale, Base Carbone; kgCO2e/kWh</v>
      </c>
      <c r="I1161" s="2018" t="s">
        <v>947</v>
      </c>
      <c r="J1161" s="1135" t="s">
        <v>1681</v>
      </c>
      <c r="K1161" s="1119" t="s">
        <v>1567</v>
      </c>
      <c r="L1161" s="1119" t="s">
        <v>1571</v>
      </c>
      <c r="M1161" s="1134">
        <v>0.3</v>
      </c>
      <c r="N1161" s="1135"/>
      <c r="O1161" s="1135">
        <v>7.0000000000000001E-3</v>
      </c>
      <c r="P1161" s="1048"/>
      <c r="Q1161" s="1048"/>
      <c r="R1161" s="1048"/>
      <c r="S1161" s="1048"/>
      <c r="T1161" s="1048"/>
      <c r="U1161" s="1102"/>
    </row>
    <row r="1162" spans="2:21" hidden="1" outlineLevel="2">
      <c r="B1162" s="1050">
        <v>241</v>
      </c>
      <c r="C1162" s="2035" t="str">
        <f t="shared" si="103"/>
        <v>46, Cajarc, Réseau de Cajarc, France continentale, Base Carbone</v>
      </c>
      <c r="D1162" s="1051">
        <f t="shared" si="104"/>
        <v>241</v>
      </c>
      <c r="E1162" s="1051" t="str">
        <f>IF(COUNTIF(E$921:E1161,F1162)&gt;0,"",F1162)</f>
        <v>46, Cajarc, Réseau de Cajarc, France continentale, Base Carbone</v>
      </c>
      <c r="F1162" s="1051" t="str">
        <f t="shared" si="105"/>
        <v>46, Cajarc, Réseau de Cajarc, France continentale, Base Carbone</v>
      </c>
      <c r="G1162" s="1055" t="str">
        <f t="shared" si="106"/>
        <v>46, Cajarc, Réseau de Cajarc, France continentale, Base Carbone; kgCO2e/kWh</v>
      </c>
      <c r="I1162" s="2018" t="s">
        <v>948</v>
      </c>
      <c r="J1162" s="1135" t="s">
        <v>1681</v>
      </c>
      <c r="K1162" s="1119" t="s">
        <v>1567</v>
      </c>
      <c r="L1162" s="1119" t="s">
        <v>1571</v>
      </c>
      <c r="M1162" s="1134">
        <v>0.3</v>
      </c>
      <c r="N1162" s="1135"/>
      <c r="O1162" s="1135">
        <v>6.0000000000000001E-3</v>
      </c>
      <c r="P1162" s="1048"/>
      <c r="Q1162" s="1048"/>
      <c r="R1162" s="1048"/>
      <c r="S1162" s="1048"/>
      <c r="T1162" s="1048"/>
      <c r="U1162" s="1102"/>
    </row>
    <row r="1163" spans="2:21" hidden="1" outlineLevel="2">
      <c r="B1163" s="1050">
        <v>242</v>
      </c>
      <c r="C1163" s="2035" t="str">
        <f t="shared" si="103"/>
        <v>46, Catus, Réseau de Catus, France continentale, Base Carbone</v>
      </c>
      <c r="D1163" s="1051">
        <f t="shared" si="104"/>
        <v>242</v>
      </c>
      <c r="E1163" s="1051" t="str">
        <f>IF(COUNTIF(E$921:E1162,F1163)&gt;0,"",F1163)</f>
        <v>46, Catus, Réseau de Catus, France continentale, Base Carbone</v>
      </c>
      <c r="F1163" s="1051" t="str">
        <f t="shared" si="105"/>
        <v>46, Catus, Réseau de Catus, France continentale, Base Carbone</v>
      </c>
      <c r="G1163" s="1055" t="str">
        <f t="shared" si="106"/>
        <v>46, Catus, Réseau de Catus, France continentale, Base Carbone; kgCO2e/kWh</v>
      </c>
      <c r="I1163" s="2018" t="s">
        <v>949</v>
      </c>
      <c r="J1163" s="1135" t="s">
        <v>1681</v>
      </c>
      <c r="K1163" s="1119" t="s">
        <v>1567</v>
      </c>
      <c r="L1163" s="1119" t="s">
        <v>1571</v>
      </c>
      <c r="M1163" s="1134">
        <v>0.3</v>
      </c>
      <c r="N1163" s="1135"/>
      <c r="O1163" s="1135">
        <v>2.8000000000000001E-2</v>
      </c>
      <c r="P1163" s="1048"/>
      <c r="Q1163" s="1048"/>
      <c r="R1163" s="1048"/>
      <c r="S1163" s="1048"/>
      <c r="T1163" s="1048"/>
      <c r="U1163" s="1102"/>
    </row>
    <row r="1164" spans="2:21" hidden="1" outlineLevel="2">
      <c r="B1164" s="1050">
        <v>243</v>
      </c>
      <c r="C1164" s="2035" t="str">
        <f t="shared" si="103"/>
        <v>46, Figeac, Réseau de Figeac, France continentale, Base Carbone</v>
      </c>
      <c r="D1164" s="1051">
        <f t="shared" si="104"/>
        <v>243</v>
      </c>
      <c r="E1164" s="1051" t="str">
        <f>IF(COUNTIF(E$921:E1163,F1164)&gt;0,"",F1164)</f>
        <v>46, Figeac, Réseau de Figeac, France continentale, Base Carbone</v>
      </c>
      <c r="F1164" s="1051" t="str">
        <f t="shared" si="105"/>
        <v>46, Figeac, Réseau de Figeac, France continentale, Base Carbone</v>
      </c>
      <c r="G1164" s="1055" t="str">
        <f t="shared" si="106"/>
        <v>46, Figeac, Réseau de Figeac, France continentale, Base Carbone; kgCO2e/kWh</v>
      </c>
      <c r="I1164" s="2018" t="s">
        <v>950</v>
      </c>
      <c r="J1164" s="1135" t="s">
        <v>1681</v>
      </c>
      <c r="K1164" s="1119" t="s">
        <v>1567</v>
      </c>
      <c r="L1164" s="1119" t="s">
        <v>1571</v>
      </c>
      <c r="M1164" s="1134">
        <v>0.3</v>
      </c>
      <c r="N1164" s="1135"/>
      <c r="O1164" s="1135">
        <v>6.0000000000000001E-3</v>
      </c>
      <c r="P1164" s="1048"/>
      <c r="Q1164" s="1048"/>
      <c r="R1164" s="1048"/>
      <c r="S1164" s="1048"/>
      <c r="T1164" s="1048"/>
      <c r="U1164" s="1102"/>
    </row>
    <row r="1165" spans="2:21" hidden="1" outlineLevel="2">
      <c r="B1165" s="1050">
        <v>244</v>
      </c>
      <c r="C1165" s="2035" t="str">
        <f t="shared" si="103"/>
        <v>46, Lacapelle-Marival, Réseau de Lacapelle-Marival, France continentale, Base Carbone</v>
      </c>
      <c r="D1165" s="1051">
        <f t="shared" si="104"/>
        <v>244</v>
      </c>
      <c r="E1165" s="1051" t="str">
        <f>IF(COUNTIF(E$921:E1164,F1165)&gt;0,"",F1165)</f>
        <v>46, Lacapelle-Marival, Réseau de Lacapelle-Marival, France continentale, Base Carbone</v>
      </c>
      <c r="F1165" s="1051" t="str">
        <f t="shared" si="105"/>
        <v>46, Lacapelle-Marival, Réseau de Lacapelle-Marival, France continentale, Base Carbone</v>
      </c>
      <c r="G1165" s="1055" t="str">
        <f t="shared" si="106"/>
        <v>46, Lacapelle-Marival, Réseau de Lacapelle-Marival, France continentale, Base Carbone; kgCO2e/kWh</v>
      </c>
      <c r="I1165" s="2018" t="s">
        <v>2949</v>
      </c>
      <c r="J1165" s="1135" t="s">
        <v>1681</v>
      </c>
      <c r="K1165" s="1119" t="s">
        <v>1567</v>
      </c>
      <c r="L1165" s="1119" t="s">
        <v>1571</v>
      </c>
      <c r="M1165" s="1134">
        <v>0.3</v>
      </c>
      <c r="N1165" s="1135"/>
      <c r="O1165" s="1135">
        <v>1.4E-2</v>
      </c>
      <c r="P1165" s="1048"/>
      <c r="Q1165" s="1048"/>
      <c r="R1165" s="1048"/>
      <c r="S1165" s="1048"/>
      <c r="T1165" s="1048"/>
      <c r="U1165" s="1102"/>
    </row>
    <row r="1166" spans="2:21" hidden="1" outlineLevel="2">
      <c r="B1166" s="1050">
        <v>245</v>
      </c>
      <c r="C1166" s="2035" t="str">
        <f t="shared" si="103"/>
        <v>46, Les-Quatre-Routes-du-Lot, Réseau de Les-Quatre-Routes-du-Lot, France continentale, Base Carbone</v>
      </c>
      <c r="D1166" s="1051">
        <f t="shared" si="104"/>
        <v>245</v>
      </c>
      <c r="E1166" s="1051" t="str">
        <f>IF(COUNTIF(E$921:E1165,F1166)&gt;0,"",F1166)</f>
        <v>46, Les-Quatre-Routes-du-Lot, Réseau de Les-Quatre-Routes-du-Lot, France continentale, Base Carbone</v>
      </c>
      <c r="F1166" s="1051" t="str">
        <f t="shared" si="105"/>
        <v>46, Les-Quatre-Routes-du-Lot, Réseau de Les-Quatre-Routes-du-Lot, France continentale, Base Carbone</v>
      </c>
      <c r="G1166" s="1055" t="str">
        <f t="shared" si="106"/>
        <v>46, Les-Quatre-Routes-du-Lot, Réseau de Les-Quatre-Routes-du-Lot, France continentale, Base Carbone; kgCO2e/kWh</v>
      </c>
      <c r="I1166" s="2018" t="s">
        <v>2950</v>
      </c>
      <c r="J1166" s="1135" t="s">
        <v>1681</v>
      </c>
      <c r="K1166" s="1119" t="s">
        <v>1567</v>
      </c>
      <c r="L1166" s="1119" t="s">
        <v>1571</v>
      </c>
      <c r="M1166" s="1134">
        <v>0.3</v>
      </c>
      <c r="N1166" s="1135"/>
      <c r="O1166" s="1135">
        <v>3.0000000000000001E-3</v>
      </c>
      <c r="P1166" s="1048"/>
      <c r="Q1166" s="1048"/>
      <c r="R1166" s="1048"/>
      <c r="S1166" s="1048"/>
      <c r="T1166" s="1048"/>
      <c r="U1166" s="1102"/>
    </row>
    <row r="1167" spans="2:21" hidden="1" outlineLevel="2">
      <c r="B1167" s="1050">
        <v>246</v>
      </c>
      <c r="C1167" s="2035" t="str">
        <f t="shared" si="103"/>
        <v>46, Livernon, Réseau de Livernon, France continentale, Base Carbone</v>
      </c>
      <c r="D1167" s="1051">
        <f t="shared" si="104"/>
        <v>246</v>
      </c>
      <c r="E1167" s="1051" t="str">
        <f>IF(COUNTIF(E$921:E1166,F1167)&gt;0,"",F1167)</f>
        <v>46, Livernon, Réseau de Livernon, France continentale, Base Carbone</v>
      </c>
      <c r="F1167" s="1051" t="str">
        <f t="shared" si="105"/>
        <v>46, Livernon, Réseau de Livernon, France continentale, Base Carbone</v>
      </c>
      <c r="G1167" s="1055" t="str">
        <f t="shared" si="106"/>
        <v>46, Livernon, Réseau de Livernon, France continentale, Base Carbone; kgCO2e/kWh</v>
      </c>
      <c r="I1167" s="2018" t="s">
        <v>2951</v>
      </c>
      <c r="J1167" s="1135" t="s">
        <v>1681</v>
      </c>
      <c r="K1167" s="1119" t="s">
        <v>1567</v>
      </c>
      <c r="L1167" s="1119" t="s">
        <v>1571</v>
      </c>
      <c r="M1167" s="1134">
        <v>0.3</v>
      </c>
      <c r="N1167" s="1135"/>
      <c r="O1167" s="1135">
        <v>2.5000000000000001E-2</v>
      </c>
      <c r="P1167" s="1048"/>
      <c r="Q1167" s="1048"/>
      <c r="R1167" s="1048"/>
      <c r="S1167" s="1048"/>
      <c r="T1167" s="1048"/>
      <c r="U1167" s="1102"/>
    </row>
    <row r="1168" spans="2:21" hidden="1" outlineLevel="2">
      <c r="B1168" s="1050">
        <v>247</v>
      </c>
      <c r="C1168" s="2035" t="str">
        <f t="shared" si="103"/>
        <v>46, Nuzejouls, Réseau de Nuzéjouls, France continentale, Base Carbone</v>
      </c>
      <c r="D1168" s="1051">
        <f t="shared" si="104"/>
        <v>247</v>
      </c>
      <c r="E1168" s="1051" t="str">
        <f>IF(COUNTIF(E$921:E1167,F1168)&gt;0,"",F1168)</f>
        <v>46, Nuzejouls, Réseau de Nuzéjouls, France continentale, Base Carbone</v>
      </c>
      <c r="F1168" s="1051" t="str">
        <f t="shared" si="105"/>
        <v>46, Nuzejouls, Réseau de Nuzéjouls, France continentale, Base Carbone</v>
      </c>
      <c r="G1168" s="1055" t="str">
        <f t="shared" si="106"/>
        <v>46, Nuzejouls, Réseau de Nuzéjouls, France continentale, Base Carbone; kgCO2e/kWh</v>
      </c>
      <c r="I1168" s="2018" t="s">
        <v>3411</v>
      </c>
      <c r="J1168" s="1135" t="s">
        <v>1681</v>
      </c>
      <c r="K1168" s="1119" t="s">
        <v>1567</v>
      </c>
      <c r="L1168" s="1119" t="s">
        <v>1571</v>
      </c>
      <c r="M1168" s="1134">
        <v>0.3</v>
      </c>
      <c r="N1168" s="1135"/>
      <c r="O1168" s="1135">
        <v>3.4000000000000002E-2</v>
      </c>
      <c r="P1168" s="1048"/>
      <c r="Q1168" s="1048"/>
      <c r="R1168" s="1048"/>
      <c r="S1168" s="1048"/>
      <c r="T1168" s="1048"/>
      <c r="U1168" s="1102"/>
    </row>
    <row r="1169" spans="2:21" hidden="1" outlineLevel="2">
      <c r="B1169" s="1050">
        <v>248</v>
      </c>
      <c r="C1169" s="2035" t="str">
        <f t="shared" si="103"/>
        <v>46, Saint-Germain-du-Bel-Air, Réseau de St Germain du Bel air, France continentale, Base Carbone</v>
      </c>
      <c r="D1169" s="1051">
        <f t="shared" si="104"/>
        <v>248</v>
      </c>
      <c r="E1169" s="1051" t="str">
        <f>IF(COUNTIF(E$921:E1168,F1169)&gt;0,"",F1169)</f>
        <v>46, Saint-Germain-du-Bel-Air, Réseau de St Germain du Bel air, France continentale, Base Carbone</v>
      </c>
      <c r="F1169" s="1051" t="str">
        <f t="shared" si="105"/>
        <v>46, Saint-Germain-du-Bel-Air, Réseau de St Germain du Bel air, France continentale, Base Carbone</v>
      </c>
      <c r="G1169" s="1055" t="str">
        <f t="shared" si="106"/>
        <v>46, Saint-Germain-du-Bel-Air, Réseau de St Germain du Bel air, France continentale, Base Carbone; kgCO2e/kWh</v>
      </c>
      <c r="I1169" s="2018" t="s">
        <v>3412</v>
      </c>
      <c r="J1169" s="1135" t="s">
        <v>1681</v>
      </c>
      <c r="K1169" s="1119" t="s">
        <v>1567</v>
      </c>
      <c r="L1169" s="1119" t="s">
        <v>1571</v>
      </c>
      <c r="M1169" s="1134">
        <v>0.3</v>
      </c>
      <c r="N1169" s="1135"/>
      <c r="O1169" s="1135">
        <v>1.2E-2</v>
      </c>
      <c r="P1169" s="1048"/>
      <c r="Q1169" s="1048"/>
      <c r="R1169" s="1048"/>
      <c r="S1169" s="1048"/>
      <c r="T1169" s="1048"/>
      <c r="U1169" s="1102"/>
    </row>
    <row r="1170" spans="2:21" hidden="1" outlineLevel="2">
      <c r="B1170" s="1050">
        <v>249</v>
      </c>
      <c r="C1170" s="2035" t="str">
        <f t="shared" si="103"/>
        <v>46, Sousceyrac, Réseau de Sousceyrac, France continentale, Base Carbone</v>
      </c>
      <c r="D1170" s="1051">
        <f t="shared" si="104"/>
        <v>249</v>
      </c>
      <c r="E1170" s="1051" t="str">
        <f>IF(COUNTIF(E$921:E1169,F1170)&gt;0,"",F1170)</f>
        <v>46, Sousceyrac, Réseau de Sousceyrac, France continentale, Base Carbone</v>
      </c>
      <c r="F1170" s="1051" t="str">
        <f t="shared" si="105"/>
        <v>46, Sousceyrac, Réseau de Sousceyrac, France continentale, Base Carbone</v>
      </c>
      <c r="G1170" s="1055" t="str">
        <f t="shared" si="106"/>
        <v>46, Sousceyrac, Réseau de Sousceyrac, France continentale, Base Carbone; kgCO2e/kWh</v>
      </c>
      <c r="I1170" s="2018" t="s">
        <v>951</v>
      </c>
      <c r="J1170" s="1135" t="s">
        <v>1681</v>
      </c>
      <c r="K1170" s="1119" t="s">
        <v>1567</v>
      </c>
      <c r="L1170" s="1119" t="s">
        <v>1571</v>
      </c>
      <c r="M1170" s="1134">
        <v>0.3</v>
      </c>
      <c r="N1170" s="1135"/>
      <c r="O1170" s="1135">
        <v>2.5999999999999999E-2</v>
      </c>
      <c r="P1170" s="1048"/>
      <c r="Q1170" s="1048"/>
      <c r="R1170" s="1048"/>
      <c r="S1170" s="1048"/>
      <c r="T1170" s="1048"/>
      <c r="U1170" s="1102"/>
    </row>
    <row r="1171" spans="2:21" hidden="1" outlineLevel="2">
      <c r="B1171" s="1050">
        <v>250</v>
      </c>
      <c r="C1171" s="2035" t="str">
        <f t="shared" si="103"/>
        <v>46, Thégra, Réseau de Thégra, France continentale, Base Carbone</v>
      </c>
      <c r="D1171" s="1051">
        <f t="shared" si="104"/>
        <v>250</v>
      </c>
      <c r="E1171" s="1051" t="str">
        <f>IF(COUNTIF(E$921:E1170,F1171)&gt;0,"",F1171)</f>
        <v>46, Thégra, Réseau de Thégra, France continentale, Base Carbone</v>
      </c>
      <c r="F1171" s="1051" t="str">
        <f t="shared" si="105"/>
        <v>46, Thégra, Réseau de Thégra, France continentale, Base Carbone</v>
      </c>
      <c r="G1171" s="1055" t="str">
        <f t="shared" si="106"/>
        <v>46, Thégra, Réseau de Thégra, France continentale, Base Carbone; kgCO2e/kWh</v>
      </c>
      <c r="I1171" s="2018" t="s">
        <v>2952</v>
      </c>
      <c r="J1171" s="1135" t="s">
        <v>1681</v>
      </c>
      <c r="K1171" s="1119" t="s">
        <v>1567</v>
      </c>
      <c r="L1171" s="1119" t="s">
        <v>1571</v>
      </c>
      <c r="M1171" s="1134">
        <v>0.3</v>
      </c>
      <c r="N1171" s="1135"/>
      <c r="O1171" s="1135">
        <v>8.0000000000000002E-3</v>
      </c>
      <c r="P1171" s="1048"/>
      <c r="Q1171" s="1048"/>
      <c r="R1171" s="1048"/>
      <c r="S1171" s="1048"/>
      <c r="T1171" s="1048"/>
      <c r="U1171" s="1102"/>
    </row>
    <row r="1172" spans="2:21" hidden="1" outlineLevel="2">
      <c r="B1172" s="1050">
        <v>251</v>
      </c>
      <c r="C1172" s="2035" t="str">
        <f t="shared" si="103"/>
        <v>47, Le Passage, Novergie Sud Ouest-Sogad, France continentale, Base Carbone</v>
      </c>
      <c r="D1172" s="1051">
        <f t="shared" si="104"/>
        <v>251</v>
      </c>
      <c r="E1172" s="1051" t="str">
        <f>IF(COUNTIF(E$921:E1171,F1172)&gt;0,"",F1172)</f>
        <v>47, Le Passage, Novergie Sud Ouest-Sogad, France continentale, Base Carbone</v>
      </c>
      <c r="F1172" s="1051" t="str">
        <f t="shared" si="105"/>
        <v>47, Le Passage, Novergie Sud Ouest-Sogad, France continentale, Base Carbone</v>
      </c>
      <c r="G1172" s="1055" t="str">
        <f t="shared" si="106"/>
        <v>47, Le Passage, Novergie Sud Ouest-Sogad, France continentale, Base Carbone; kgCO2e/kWh</v>
      </c>
      <c r="I1172" s="2018" t="s">
        <v>2953</v>
      </c>
      <c r="J1172" s="1135" t="s">
        <v>1681</v>
      </c>
      <c r="K1172" s="1119" t="s">
        <v>1567</v>
      </c>
      <c r="L1172" s="1119" t="s">
        <v>1571</v>
      </c>
      <c r="M1172" s="1134">
        <v>0.3</v>
      </c>
      <c r="N1172" s="1135"/>
      <c r="O1172" s="1135">
        <v>0</v>
      </c>
      <c r="P1172" s="1048"/>
      <c r="Q1172" s="1048"/>
      <c r="R1172" s="1048"/>
      <c r="S1172" s="1048"/>
      <c r="T1172" s="1048"/>
      <c r="U1172" s="1102"/>
    </row>
    <row r="1173" spans="2:21" hidden="1" outlineLevel="2">
      <c r="B1173" s="1050">
        <v>252</v>
      </c>
      <c r="C1173" s="2035" t="str">
        <f t="shared" si="103"/>
        <v>48, Mende, Mende, France continentale, Base Carbone</v>
      </c>
      <c r="D1173" s="1051">
        <f t="shared" si="104"/>
        <v>252</v>
      </c>
      <c r="E1173" s="1051" t="str">
        <f>IF(COUNTIF(E$921:E1172,F1173)&gt;0,"",F1173)</f>
        <v>48, Mende, Mende, France continentale, Base Carbone</v>
      </c>
      <c r="F1173" s="1051" t="str">
        <f t="shared" si="105"/>
        <v>48, Mende, Mende, France continentale, Base Carbone</v>
      </c>
      <c r="G1173" s="1055" t="str">
        <f t="shared" si="106"/>
        <v>48, Mende, Mende, France continentale, Base Carbone; kgCO2e/kWh</v>
      </c>
      <c r="I1173" s="2018" t="s">
        <v>952</v>
      </c>
      <c r="J1173" s="1135" t="s">
        <v>1681</v>
      </c>
      <c r="K1173" s="1119" t="s">
        <v>1567</v>
      </c>
      <c r="L1173" s="1119" t="s">
        <v>1571</v>
      </c>
      <c r="M1173" s="1134">
        <v>0.3</v>
      </c>
      <c r="N1173" s="1135"/>
      <c r="O1173" s="1135">
        <v>0</v>
      </c>
      <c r="P1173" s="1048"/>
      <c r="Q1173" s="1048"/>
      <c r="R1173" s="1048"/>
      <c r="S1173" s="1048"/>
      <c r="T1173" s="1048"/>
      <c r="U1173" s="1102"/>
    </row>
    <row r="1174" spans="2:21" hidden="1" outlineLevel="2">
      <c r="B1174" s="1050">
        <v>253</v>
      </c>
      <c r="C1174" s="2035" t="str">
        <f t="shared" si="103"/>
        <v>48, Saint-Chely-d’Apcher, Réseau Saint Chely d’Apcher, France continentale, Base Carbone</v>
      </c>
      <c r="D1174" s="1051">
        <f t="shared" si="104"/>
        <v>253</v>
      </c>
      <c r="E1174" s="1051" t="str">
        <f>IF(COUNTIF(E$921:E1173,F1174)&gt;0,"",F1174)</f>
        <v>48, Saint-Chely-d’Apcher, Réseau Saint Chely d’Apcher, France continentale, Base Carbone</v>
      </c>
      <c r="F1174" s="1051" t="str">
        <f t="shared" si="105"/>
        <v>48, Saint-Chely-d’Apcher, Réseau Saint Chely d’Apcher, France continentale, Base Carbone</v>
      </c>
      <c r="G1174" s="1055" t="str">
        <f t="shared" si="106"/>
        <v>48, Saint-Chely-d’Apcher, Réseau Saint Chely d’Apcher, France continentale, Base Carbone; kgCO2e/kWh</v>
      </c>
      <c r="I1174" s="2018" t="s">
        <v>3413</v>
      </c>
      <c r="J1174" s="1135" t="s">
        <v>1681</v>
      </c>
      <c r="K1174" s="1119" t="s">
        <v>1567</v>
      </c>
      <c r="L1174" s="1119" t="s">
        <v>1571</v>
      </c>
      <c r="M1174" s="1134">
        <v>0.3</v>
      </c>
      <c r="N1174" s="1135"/>
      <c r="O1174" s="1135">
        <v>2.3E-2</v>
      </c>
      <c r="P1174" s="1048"/>
      <c r="Q1174" s="1048"/>
      <c r="R1174" s="1048"/>
      <c r="S1174" s="1048"/>
      <c r="T1174" s="1048"/>
      <c r="U1174" s="1102"/>
    </row>
    <row r="1175" spans="2:21" hidden="1" outlineLevel="2">
      <c r="B1175" s="1050">
        <v>254</v>
      </c>
      <c r="C1175" s="2035" t="str">
        <f t="shared" si="103"/>
        <v>49, Andrezé, Réseau de chaleur d’Andrezé, France continentale, Base Carbone</v>
      </c>
      <c r="D1175" s="1051">
        <f t="shared" si="104"/>
        <v>254</v>
      </c>
      <c r="E1175" s="1051" t="str">
        <f>IF(COUNTIF(E$921:E1174,F1175)&gt;0,"",F1175)</f>
        <v>49, Andrezé, Réseau de chaleur d’Andrezé, France continentale, Base Carbone</v>
      </c>
      <c r="F1175" s="1051" t="str">
        <f t="shared" si="105"/>
        <v>49, Andrezé, Réseau de chaleur d’Andrezé, France continentale, Base Carbone</v>
      </c>
      <c r="G1175" s="1055" t="str">
        <f t="shared" si="106"/>
        <v>49, Andrezé, Réseau de chaleur d’Andrezé, France continentale, Base Carbone; kgCO2e/kWh</v>
      </c>
      <c r="I1175" s="2018" t="s">
        <v>3414</v>
      </c>
      <c r="J1175" s="1135" t="s">
        <v>1681</v>
      </c>
      <c r="K1175" s="1119" t="s">
        <v>1567</v>
      </c>
      <c r="L1175" s="1119" t="s">
        <v>1571</v>
      </c>
      <c r="M1175" s="1134">
        <v>0.3</v>
      </c>
      <c r="N1175" s="1135"/>
      <c r="O1175" s="1135">
        <v>0.253</v>
      </c>
      <c r="P1175" s="1048"/>
      <c r="Q1175" s="1048"/>
      <c r="R1175" s="1048"/>
      <c r="S1175" s="1048"/>
      <c r="T1175" s="1048"/>
      <c r="U1175" s="1102"/>
    </row>
    <row r="1176" spans="2:21" hidden="1" outlineLevel="2">
      <c r="B1176" s="1050">
        <v>255</v>
      </c>
      <c r="C1176" s="2035" t="str">
        <f t="shared" si="103"/>
        <v>49, Angers, CHU Angers, France continentale, Base Carbone</v>
      </c>
      <c r="D1176" s="1051">
        <f t="shared" si="104"/>
        <v>255</v>
      </c>
      <c r="E1176" s="1051" t="str">
        <f>IF(COUNTIF(E$921:E1175,F1176)&gt;0,"",F1176)</f>
        <v>49, Angers, CHU Angers, France continentale, Base Carbone</v>
      </c>
      <c r="F1176" s="1051" t="str">
        <f t="shared" si="105"/>
        <v>49, Angers, CHU Angers, France continentale, Base Carbone</v>
      </c>
      <c r="G1176" s="1055" t="str">
        <f t="shared" si="106"/>
        <v>49, Angers, CHU Angers, France continentale, Base Carbone; kgCO2e/kWh</v>
      </c>
      <c r="I1176" s="2018" t="s">
        <v>953</v>
      </c>
      <c r="J1176" s="1135" t="s">
        <v>1681</v>
      </c>
      <c r="K1176" s="1119" t="s">
        <v>1567</v>
      </c>
      <c r="L1176" s="1119" t="s">
        <v>1571</v>
      </c>
      <c r="M1176" s="1134">
        <v>0.3</v>
      </c>
      <c r="N1176" s="1135"/>
      <c r="O1176" s="1135">
        <v>5.1999999999999998E-2</v>
      </c>
      <c r="P1176" s="1048"/>
      <c r="Q1176" s="1048"/>
      <c r="R1176" s="1048"/>
      <c r="S1176" s="1048"/>
      <c r="T1176" s="1048"/>
      <c r="U1176" s="1102"/>
    </row>
    <row r="1177" spans="2:21" hidden="1" outlineLevel="2">
      <c r="B1177" s="1050">
        <v>256</v>
      </c>
      <c r="C1177" s="2035" t="str">
        <f t="shared" si="103"/>
        <v>49, Angers, Hauts de Saint Aubin, France continentale, Base Carbone</v>
      </c>
      <c r="D1177" s="1051">
        <f t="shared" si="104"/>
        <v>256</v>
      </c>
      <c r="E1177" s="1051" t="str">
        <f>IF(COUNTIF(E$921:E1176,F1177)&gt;0,"",F1177)</f>
        <v>49, Angers, Hauts de Saint Aubin, France continentale, Base Carbone</v>
      </c>
      <c r="F1177" s="1051" t="str">
        <f t="shared" si="105"/>
        <v>49, Angers, Hauts de Saint Aubin, France continentale, Base Carbone</v>
      </c>
      <c r="G1177" s="1055" t="str">
        <f t="shared" si="106"/>
        <v>49, Angers, Hauts de Saint Aubin, France continentale, Base Carbone; kgCO2e/kWh</v>
      </c>
      <c r="I1177" s="2018" t="s">
        <v>3415</v>
      </c>
      <c r="J1177" s="1135" t="s">
        <v>1681</v>
      </c>
      <c r="K1177" s="1119" t="s">
        <v>1567</v>
      </c>
      <c r="L1177" s="1119" t="s">
        <v>1571</v>
      </c>
      <c r="M1177" s="1134">
        <v>0.3</v>
      </c>
      <c r="N1177" s="1135"/>
      <c r="O1177" s="1135">
        <v>8.4000000000000005E-2</v>
      </c>
      <c r="P1177" s="1048"/>
      <c r="Q1177" s="1048"/>
      <c r="R1177" s="1048"/>
      <c r="S1177" s="1048"/>
      <c r="T1177" s="1048"/>
      <c r="U1177" s="1102"/>
    </row>
    <row r="1178" spans="2:21" hidden="1" outlineLevel="2">
      <c r="B1178" s="1050">
        <v>257</v>
      </c>
      <c r="C1178" s="2035" t="str">
        <f t="shared" ref="C1178:C1241" si="107">IF(ISNA(VLOOKUP(B1178,$D$922:$E$1582,2,FALSE)),"-",VLOOKUP(B1178,$D$922:$E$1582,2,FALSE))</f>
        <v>49, Angers, Réseau d’Angers, France continentale, Base Carbone</v>
      </c>
      <c r="D1178" s="1051">
        <f t="shared" si="104"/>
        <v>257</v>
      </c>
      <c r="E1178" s="1051" t="str">
        <f>IF(COUNTIF(E$921:E1177,F1178)&gt;0,"",F1178)</f>
        <v>49, Angers, Réseau d’Angers, France continentale, Base Carbone</v>
      </c>
      <c r="F1178" s="1051" t="str">
        <f t="shared" si="105"/>
        <v>49, Angers, Réseau d’Angers, France continentale, Base Carbone</v>
      </c>
      <c r="G1178" s="1055" t="str">
        <f t="shared" si="106"/>
        <v>49, Angers, Réseau d’Angers, France continentale, Base Carbone; kgCO2e/kWh</v>
      </c>
      <c r="I1178" s="2018" t="s">
        <v>3416</v>
      </c>
      <c r="J1178" s="1135" t="s">
        <v>1681</v>
      </c>
      <c r="K1178" s="1119" t="s">
        <v>1567</v>
      </c>
      <c r="L1178" s="1119" t="s">
        <v>1571</v>
      </c>
      <c r="M1178" s="1134">
        <v>0.3</v>
      </c>
      <c r="N1178" s="1135"/>
      <c r="O1178" s="1135">
        <v>1.2E-2</v>
      </c>
      <c r="P1178" s="1048"/>
      <c r="Q1178" s="1048"/>
      <c r="R1178" s="1048"/>
      <c r="S1178" s="1048"/>
      <c r="T1178" s="1048"/>
      <c r="U1178" s="1102"/>
    </row>
    <row r="1179" spans="2:21" hidden="1" outlineLevel="2">
      <c r="B1179" s="1050">
        <v>258</v>
      </c>
      <c r="C1179" s="2035" t="str">
        <f t="shared" si="107"/>
        <v>49, Angers, Réseau d’Orgemont, France continentale, Base Carbone</v>
      </c>
      <c r="D1179" s="1051">
        <f t="shared" ref="D1179:D1242" si="108">D1178+IF(LEN(E1179)=0,0,1)</f>
        <v>258</v>
      </c>
      <c r="E1179" s="1051" t="str">
        <f>IF(COUNTIF(E$921:E1178,F1179)&gt;0,"",F1179)</f>
        <v>49, Angers, Réseau d’Orgemont, France continentale, Base Carbone</v>
      </c>
      <c r="F1179" s="1051" t="str">
        <f t="shared" ref="F1179:F1242" si="109">IF(I1179&lt;&gt;"",I1179&amp;IF(L1179&lt;&gt;"",", "&amp;L1179,"")&amp;IF(K1179&lt;&gt;"",", "&amp;K1179,""),"")</f>
        <v>49, Angers, Réseau d’Orgemont, France continentale, Base Carbone</v>
      </c>
      <c r="G1179" s="1055" t="str">
        <f t="shared" ref="G1179:G1242" si="110">IF(F1179&lt;&gt;"",F1179&amp;IF(J1179&lt;&gt;"","; "&amp;J1179,"")&amp;IF(N1179&lt;&gt;"",", "&amp;N1179,""),"")</f>
        <v>49, Angers, Réseau d’Orgemont, France continentale, Base Carbone; kgCO2e/kWh</v>
      </c>
      <c r="I1179" s="2018" t="s">
        <v>3417</v>
      </c>
      <c r="J1179" s="1135" t="s">
        <v>1681</v>
      </c>
      <c r="K1179" s="1119" t="s">
        <v>1567</v>
      </c>
      <c r="L1179" s="1119" t="s">
        <v>1571</v>
      </c>
      <c r="M1179" s="1134">
        <v>0.3</v>
      </c>
      <c r="N1179" s="1135"/>
      <c r="O1179" s="1135">
        <v>0</v>
      </c>
      <c r="P1179" s="1048"/>
      <c r="Q1179" s="1048"/>
      <c r="R1179" s="1048"/>
      <c r="S1179" s="1048"/>
      <c r="T1179" s="1048"/>
      <c r="U1179" s="1102"/>
    </row>
    <row r="1180" spans="2:21" hidden="1" outlineLevel="2">
      <c r="B1180" s="1050">
        <v>259</v>
      </c>
      <c r="C1180" s="2035" t="str">
        <f t="shared" si="107"/>
        <v>49, Angers, Zup Jeanne d’Arc-Déromédi (UPJM), France continentale, Base Carbone</v>
      </c>
      <c r="D1180" s="1051">
        <f t="shared" si="108"/>
        <v>259</v>
      </c>
      <c r="E1180" s="1051" t="str">
        <f>IF(COUNTIF(E$921:E1179,F1180)&gt;0,"",F1180)</f>
        <v>49, Angers, Zup Jeanne d’Arc-Déromédi (UPJM), France continentale, Base Carbone</v>
      </c>
      <c r="F1180" s="1051" t="str">
        <f t="shared" si="109"/>
        <v>49, Angers, Zup Jeanne d’Arc-Déromédi (UPJM), France continentale, Base Carbone</v>
      </c>
      <c r="G1180" s="1055" t="str">
        <f t="shared" si="110"/>
        <v>49, Angers, Zup Jeanne d’Arc-Déromédi (UPJM), France continentale, Base Carbone; kgCO2e/kWh</v>
      </c>
      <c r="I1180" s="2018" t="s">
        <v>3418</v>
      </c>
      <c r="J1180" s="1135" t="s">
        <v>1681</v>
      </c>
      <c r="K1180" s="1119" t="s">
        <v>1567</v>
      </c>
      <c r="L1180" s="1119" t="s">
        <v>1571</v>
      </c>
      <c r="M1180" s="1134">
        <v>0.3</v>
      </c>
      <c r="N1180" s="1135"/>
      <c r="O1180" s="1135">
        <v>0.20200000000000001</v>
      </c>
      <c r="P1180" s="1048"/>
      <c r="Q1180" s="1048"/>
      <c r="R1180" s="1048"/>
      <c r="S1180" s="1048"/>
      <c r="T1180" s="1048"/>
      <c r="U1180" s="1102"/>
    </row>
    <row r="1181" spans="2:21" hidden="1" outlineLevel="2">
      <c r="B1181" s="1050">
        <v>260</v>
      </c>
      <c r="C1181" s="2035" t="str">
        <f t="shared" si="107"/>
        <v>49, Ecouflant, Réseau de chaleur d’Ecouflant, France continentale, Base Carbone</v>
      </c>
      <c r="D1181" s="1051">
        <f t="shared" si="108"/>
        <v>260</v>
      </c>
      <c r="E1181" s="1051" t="str">
        <f>IF(COUNTIF(E$921:E1180,F1181)&gt;0,"",F1181)</f>
        <v>49, Ecouflant, Réseau de chaleur d’Ecouflant, France continentale, Base Carbone</v>
      </c>
      <c r="F1181" s="1051" t="str">
        <f t="shared" si="109"/>
        <v>49, Ecouflant, Réseau de chaleur d’Ecouflant, France continentale, Base Carbone</v>
      </c>
      <c r="G1181" s="1055" t="str">
        <f t="shared" si="110"/>
        <v>49, Ecouflant, Réseau de chaleur d’Ecouflant, France continentale, Base Carbone; kgCO2e/kWh</v>
      </c>
      <c r="I1181" s="2018" t="s">
        <v>3419</v>
      </c>
      <c r="J1181" s="1135" t="s">
        <v>1681</v>
      </c>
      <c r="K1181" s="1119" t="s">
        <v>1567</v>
      </c>
      <c r="L1181" s="1119" t="s">
        <v>1571</v>
      </c>
      <c r="M1181" s="1134">
        <v>0.3</v>
      </c>
      <c r="N1181" s="1135"/>
      <c r="O1181" s="1135">
        <v>7.0999999999999994E-2</v>
      </c>
      <c r="P1181" s="1048"/>
      <c r="Q1181" s="1048"/>
      <c r="R1181" s="1048"/>
      <c r="S1181" s="1048"/>
      <c r="T1181" s="1048"/>
      <c r="U1181" s="1102"/>
    </row>
    <row r="1182" spans="2:21" hidden="1" outlineLevel="2">
      <c r="B1182" s="1050">
        <v>261</v>
      </c>
      <c r="C1182" s="2035" t="str">
        <f t="shared" si="107"/>
        <v>49, Saumur, Chemin Vert, France continentale, Base Carbone</v>
      </c>
      <c r="D1182" s="1051">
        <f t="shared" si="108"/>
        <v>261</v>
      </c>
      <c r="E1182" s="1051" t="str">
        <f>IF(COUNTIF(E$921:E1181,F1182)&gt;0,"",F1182)</f>
        <v>49, Saumur, Chemin Vert, France continentale, Base Carbone</v>
      </c>
      <c r="F1182" s="1051" t="str">
        <f t="shared" si="109"/>
        <v>49, Saumur, Chemin Vert, France continentale, Base Carbone</v>
      </c>
      <c r="G1182" s="1055" t="str">
        <f t="shared" si="110"/>
        <v>49, Saumur, Chemin Vert, France continentale, Base Carbone; kgCO2e/kWh</v>
      </c>
      <c r="I1182" s="2018" t="s">
        <v>954</v>
      </c>
      <c r="J1182" s="1135" t="s">
        <v>1681</v>
      </c>
      <c r="K1182" s="1119" t="s">
        <v>1567</v>
      </c>
      <c r="L1182" s="1119" t="s">
        <v>1571</v>
      </c>
      <c r="M1182" s="1134">
        <v>0.3</v>
      </c>
      <c r="N1182" s="1135"/>
      <c r="O1182" s="1135">
        <v>5.1999999999999998E-2</v>
      </c>
      <c r="P1182" s="1048"/>
      <c r="Q1182" s="1048"/>
      <c r="R1182" s="1048"/>
      <c r="S1182" s="1048"/>
      <c r="T1182" s="1048"/>
      <c r="U1182" s="1102"/>
    </row>
    <row r="1183" spans="2:21" hidden="1" outlineLevel="2">
      <c r="B1183" s="1050">
        <v>262</v>
      </c>
      <c r="C1183" s="2035" t="str">
        <f t="shared" si="107"/>
        <v>5, Embrun, Réseau bois Delaroche, France continentale, Base Carbone</v>
      </c>
      <c r="D1183" s="1051">
        <f t="shared" si="108"/>
        <v>262</v>
      </c>
      <c r="E1183" s="1051" t="str">
        <f>IF(COUNTIF(E$921:E1182,F1183)&gt;0,"",F1183)</f>
        <v>5, Embrun, Réseau bois Delaroche, France continentale, Base Carbone</v>
      </c>
      <c r="F1183" s="1051" t="str">
        <f t="shared" si="109"/>
        <v>5, Embrun, Réseau bois Delaroche, France continentale, Base Carbone</v>
      </c>
      <c r="G1183" s="1055" t="str">
        <f t="shared" si="110"/>
        <v>5, Embrun, Réseau bois Delaroche, France continentale, Base Carbone; kgCO2e/kWh</v>
      </c>
      <c r="I1183" s="2018" t="s">
        <v>1677</v>
      </c>
      <c r="J1183" s="1135" t="s">
        <v>1681</v>
      </c>
      <c r="K1183" s="1119" t="s">
        <v>1567</v>
      </c>
      <c r="L1183" s="1119" t="s">
        <v>1571</v>
      </c>
      <c r="M1183" s="1134">
        <v>0.3</v>
      </c>
      <c r="N1183" s="1135"/>
      <c r="O1183" s="1135">
        <v>1.0999999999999999E-2</v>
      </c>
      <c r="P1183" s="1048"/>
      <c r="Q1183" s="1048"/>
      <c r="R1183" s="1048"/>
      <c r="S1183" s="1048"/>
      <c r="T1183" s="1048"/>
      <c r="U1183" s="1102"/>
    </row>
    <row r="1184" spans="2:21" hidden="1" outlineLevel="2">
      <c r="B1184" s="1050">
        <v>263</v>
      </c>
      <c r="C1184" s="2035" t="str">
        <f t="shared" si="107"/>
        <v>5, Embrun, Réseau Quartier Gare, France continentale, Base Carbone</v>
      </c>
      <c r="D1184" s="1051">
        <f t="shared" si="108"/>
        <v>263</v>
      </c>
      <c r="E1184" s="1051" t="str">
        <f>IF(COUNTIF(E$921:E1183,F1184)&gt;0,"",F1184)</f>
        <v>5, Embrun, Réseau Quartier Gare, France continentale, Base Carbone</v>
      </c>
      <c r="F1184" s="1051" t="str">
        <f t="shared" si="109"/>
        <v>5, Embrun, Réseau Quartier Gare, France continentale, Base Carbone</v>
      </c>
      <c r="G1184" s="1055" t="str">
        <f t="shared" si="110"/>
        <v>5, Embrun, Réseau Quartier Gare, France continentale, Base Carbone; kgCO2e/kWh</v>
      </c>
      <c r="I1184" s="2018" t="s">
        <v>2954</v>
      </c>
      <c r="J1184" s="1135" t="s">
        <v>1681</v>
      </c>
      <c r="K1184" s="1119" t="s">
        <v>1567</v>
      </c>
      <c r="L1184" s="1119" t="s">
        <v>1571</v>
      </c>
      <c r="M1184" s="1134">
        <v>0.3</v>
      </c>
      <c r="N1184" s="1135"/>
      <c r="O1184" s="1135">
        <v>5.0000000000000001E-3</v>
      </c>
      <c r="P1184" s="1048"/>
      <c r="Q1184" s="1048"/>
      <c r="R1184" s="1048"/>
      <c r="S1184" s="1048"/>
      <c r="T1184" s="1048"/>
      <c r="U1184" s="1102"/>
    </row>
    <row r="1185" spans="2:21" hidden="1" outlineLevel="2">
      <c r="B1185" s="1050">
        <v>264</v>
      </c>
      <c r="C1185" s="2035" t="str">
        <f t="shared" si="107"/>
        <v>5, Tallard, Réseau de l’Association La Chrysalide, France continentale, Base Carbone</v>
      </c>
      <c r="D1185" s="1051">
        <f t="shared" si="108"/>
        <v>264</v>
      </c>
      <c r="E1185" s="1051" t="str">
        <f>IF(COUNTIF(E$921:E1184,F1185)&gt;0,"",F1185)</f>
        <v>5, Tallard, Réseau de l’Association La Chrysalide, France continentale, Base Carbone</v>
      </c>
      <c r="F1185" s="1051" t="str">
        <f t="shared" si="109"/>
        <v>5, Tallard, Réseau de l’Association La Chrysalide, France continentale, Base Carbone</v>
      </c>
      <c r="G1185" s="1055" t="str">
        <f t="shared" si="110"/>
        <v>5, Tallard, Réseau de l’Association La Chrysalide, France continentale, Base Carbone; kgCO2e/kWh</v>
      </c>
      <c r="I1185" s="2018" t="s">
        <v>3420</v>
      </c>
      <c r="J1185" s="1135" t="s">
        <v>1681</v>
      </c>
      <c r="K1185" s="1119" t="s">
        <v>1567</v>
      </c>
      <c r="L1185" s="1119" t="s">
        <v>1571</v>
      </c>
      <c r="M1185" s="1134">
        <v>0.3</v>
      </c>
      <c r="N1185" s="1135"/>
      <c r="O1185" s="1135">
        <v>0.24199999999999999</v>
      </c>
      <c r="P1185" s="1048"/>
      <c r="Q1185" s="1048"/>
      <c r="R1185" s="1048"/>
      <c r="S1185" s="1048"/>
      <c r="T1185" s="1048"/>
      <c r="U1185" s="1102"/>
    </row>
    <row r="1186" spans="2:21" hidden="1" outlineLevel="2">
      <c r="B1186" s="1050">
        <v>265</v>
      </c>
      <c r="C1186" s="2035" t="str">
        <f t="shared" si="107"/>
        <v>50, Cherbourg-Octeville, Ilot Divette, France continentale, Base Carbone</v>
      </c>
      <c r="D1186" s="1051">
        <f t="shared" si="108"/>
        <v>265</v>
      </c>
      <c r="E1186" s="1051" t="str">
        <f>IF(COUNTIF(E$921:E1185,F1186)&gt;0,"",F1186)</f>
        <v>50, Cherbourg-Octeville, Ilot Divette, France continentale, Base Carbone</v>
      </c>
      <c r="F1186" s="1051" t="str">
        <f t="shared" si="109"/>
        <v>50, Cherbourg-Octeville, Ilot Divette, France continentale, Base Carbone</v>
      </c>
      <c r="G1186" s="1055" t="str">
        <f t="shared" si="110"/>
        <v>50, Cherbourg-Octeville, Ilot Divette, France continentale, Base Carbone; kgCO2e/kWh</v>
      </c>
      <c r="I1186" s="2018" t="s">
        <v>3421</v>
      </c>
      <c r="J1186" s="1135" t="s">
        <v>1681</v>
      </c>
      <c r="K1186" s="1119" t="s">
        <v>1567</v>
      </c>
      <c r="L1186" s="1119" t="s">
        <v>1571</v>
      </c>
      <c r="M1186" s="1134">
        <v>0.3</v>
      </c>
      <c r="N1186" s="1135"/>
      <c r="O1186" s="1135">
        <v>0.151</v>
      </c>
      <c r="P1186" s="1048"/>
      <c r="Q1186" s="1048"/>
      <c r="R1186" s="1048"/>
      <c r="S1186" s="1048"/>
      <c r="T1186" s="1048"/>
      <c r="U1186" s="1102"/>
    </row>
    <row r="1187" spans="2:21" hidden="1" outlineLevel="2">
      <c r="B1187" s="1050">
        <v>266</v>
      </c>
      <c r="C1187" s="2035" t="str">
        <f t="shared" si="107"/>
        <v>50, Cherbourg-Octeville, ZUP d’Octeville, France continentale, Base Carbone</v>
      </c>
      <c r="D1187" s="1051">
        <f t="shared" si="108"/>
        <v>266</v>
      </c>
      <c r="E1187" s="1051" t="str">
        <f>IF(COUNTIF(E$921:E1186,F1187)&gt;0,"",F1187)</f>
        <v>50, Cherbourg-Octeville, ZUP d’Octeville, France continentale, Base Carbone</v>
      </c>
      <c r="F1187" s="1051" t="str">
        <f t="shared" si="109"/>
        <v>50, Cherbourg-Octeville, ZUP d’Octeville, France continentale, Base Carbone</v>
      </c>
      <c r="G1187" s="1055" t="str">
        <f t="shared" si="110"/>
        <v>50, Cherbourg-Octeville, ZUP d’Octeville, France continentale, Base Carbone; kgCO2e/kWh</v>
      </c>
      <c r="I1187" s="2018" t="s">
        <v>3422</v>
      </c>
      <c r="J1187" s="1135" t="s">
        <v>1681</v>
      </c>
      <c r="K1187" s="1119" t="s">
        <v>1567</v>
      </c>
      <c r="L1187" s="1119" t="s">
        <v>1571</v>
      </c>
      <c r="M1187" s="1134">
        <v>0.3</v>
      </c>
      <c r="N1187" s="1135"/>
      <c r="O1187" s="1135">
        <v>1.9E-2</v>
      </c>
      <c r="P1187" s="1048"/>
      <c r="Q1187" s="1048"/>
      <c r="R1187" s="1048"/>
      <c r="S1187" s="1048"/>
      <c r="T1187" s="1048"/>
      <c r="U1187" s="1102"/>
    </row>
    <row r="1188" spans="2:21" hidden="1" outlineLevel="2">
      <c r="B1188" s="1050">
        <v>267</v>
      </c>
      <c r="C1188" s="2035" t="str">
        <f t="shared" si="107"/>
        <v>50, Le Teilleul, Régie de chauffage au bois, France continentale, Base Carbone</v>
      </c>
      <c r="D1188" s="1051">
        <f t="shared" si="108"/>
        <v>267</v>
      </c>
      <c r="E1188" s="1051" t="str">
        <f>IF(COUNTIF(E$921:E1187,F1188)&gt;0,"",F1188)</f>
        <v>50, Le Teilleul, Régie de chauffage au bois, France continentale, Base Carbone</v>
      </c>
      <c r="F1188" s="1051" t="str">
        <f t="shared" si="109"/>
        <v>50, Le Teilleul, Régie de chauffage au bois, France continentale, Base Carbone</v>
      </c>
      <c r="G1188" s="1055" t="str">
        <f t="shared" si="110"/>
        <v>50, Le Teilleul, Régie de chauffage au bois, France continentale, Base Carbone; kgCO2e/kWh</v>
      </c>
      <c r="I1188" s="2018" t="s">
        <v>2955</v>
      </c>
      <c r="J1188" s="1135" t="s">
        <v>1681</v>
      </c>
      <c r="K1188" s="1119" t="s">
        <v>1567</v>
      </c>
      <c r="L1188" s="1119" t="s">
        <v>1571</v>
      </c>
      <c r="M1188" s="1134">
        <v>0.3</v>
      </c>
      <c r="N1188" s="1135"/>
      <c r="O1188" s="1135">
        <v>5.0999999999999997E-2</v>
      </c>
      <c r="P1188" s="1048"/>
      <c r="Q1188" s="1048"/>
      <c r="R1188" s="1048"/>
      <c r="S1188" s="1048"/>
      <c r="T1188" s="1048"/>
      <c r="U1188" s="1102"/>
    </row>
    <row r="1189" spans="2:21" hidden="1" outlineLevel="2">
      <c r="B1189" s="1050">
        <v>268</v>
      </c>
      <c r="C1189" s="2035" t="str">
        <f t="shared" si="107"/>
        <v>51, Epernay, Quartier Bernon, France continentale, Base Carbone</v>
      </c>
      <c r="D1189" s="1051">
        <f t="shared" si="108"/>
        <v>268</v>
      </c>
      <c r="E1189" s="1051" t="str">
        <f>IF(COUNTIF(E$921:E1188,F1189)&gt;0,"",F1189)</f>
        <v>51, Epernay, Quartier Bernon, France continentale, Base Carbone</v>
      </c>
      <c r="F1189" s="1051" t="str">
        <f t="shared" si="109"/>
        <v>51, Epernay, Quartier Bernon, France continentale, Base Carbone</v>
      </c>
      <c r="G1189" s="1055" t="str">
        <f t="shared" si="110"/>
        <v>51, Epernay, Quartier Bernon, France continentale, Base Carbone; kgCO2e/kWh</v>
      </c>
      <c r="I1189" s="2018" t="s">
        <v>955</v>
      </c>
      <c r="J1189" s="1135" t="s">
        <v>1681</v>
      </c>
      <c r="K1189" s="1119" t="s">
        <v>1567</v>
      </c>
      <c r="L1189" s="1119" t="s">
        <v>1571</v>
      </c>
      <c r="M1189" s="1134">
        <v>0.3</v>
      </c>
      <c r="N1189" s="1135"/>
      <c r="O1189" s="1135">
        <v>0.27700000000000002</v>
      </c>
      <c r="P1189" s="1048"/>
      <c r="Q1189" s="1048"/>
      <c r="R1189" s="1048"/>
      <c r="S1189" s="1048"/>
      <c r="T1189" s="1048"/>
      <c r="U1189" s="1102"/>
    </row>
    <row r="1190" spans="2:21" hidden="1" outlineLevel="2">
      <c r="B1190" s="1050">
        <v>269</v>
      </c>
      <c r="C1190" s="2035" t="str">
        <f t="shared" si="107"/>
        <v>51, Reims, Croix Rouge, France continentale, Base Carbone</v>
      </c>
      <c r="D1190" s="1051">
        <f t="shared" si="108"/>
        <v>269</v>
      </c>
      <c r="E1190" s="1051" t="str">
        <f>IF(COUNTIF(E$921:E1189,F1190)&gt;0,"",F1190)</f>
        <v>51, Reims, Croix Rouge, France continentale, Base Carbone</v>
      </c>
      <c r="F1190" s="1051" t="str">
        <f t="shared" si="109"/>
        <v>51, Reims, Croix Rouge, France continentale, Base Carbone</v>
      </c>
      <c r="G1190" s="1055" t="str">
        <f t="shared" si="110"/>
        <v>51, Reims, Croix Rouge, France continentale, Base Carbone; kgCO2e/kWh</v>
      </c>
      <c r="I1190" s="2018" t="s">
        <v>2956</v>
      </c>
      <c r="J1190" s="1135" t="s">
        <v>1681</v>
      </c>
      <c r="K1190" s="1119" t="s">
        <v>1567</v>
      </c>
      <c r="L1190" s="1119" t="s">
        <v>1571</v>
      </c>
      <c r="M1190" s="1134">
        <v>0.3</v>
      </c>
      <c r="N1190" s="1135"/>
      <c r="O1190" s="1135">
        <v>0.115</v>
      </c>
      <c r="P1190" s="1048"/>
      <c r="Q1190" s="1048"/>
      <c r="R1190" s="1048"/>
      <c r="S1190" s="1048"/>
      <c r="T1190" s="1048"/>
      <c r="U1190" s="1102"/>
    </row>
    <row r="1191" spans="2:21" hidden="1" outlineLevel="2">
      <c r="B1191" s="1050">
        <v>270</v>
      </c>
      <c r="C1191" s="2035" t="str">
        <f t="shared" si="107"/>
        <v>51, Reims, Réseau UIOM de Reims, France continentale, Base Carbone</v>
      </c>
      <c r="D1191" s="1051">
        <f t="shared" si="108"/>
        <v>270</v>
      </c>
      <c r="E1191" s="1051" t="str">
        <f>IF(COUNTIF(E$921:E1190,F1191)&gt;0,"",F1191)</f>
        <v>51, Reims, Réseau UIOM de Reims, France continentale, Base Carbone</v>
      </c>
      <c r="F1191" s="1051" t="str">
        <f t="shared" si="109"/>
        <v>51, Reims, Réseau UIOM de Reims, France continentale, Base Carbone</v>
      </c>
      <c r="G1191" s="1055" t="str">
        <f t="shared" si="110"/>
        <v>51, Reims, Réseau UIOM de Reims, France continentale, Base Carbone; kgCO2e/kWh</v>
      </c>
      <c r="I1191" s="2018" t="s">
        <v>2957</v>
      </c>
      <c r="J1191" s="1135" t="s">
        <v>1681</v>
      </c>
      <c r="K1191" s="1119" t="s">
        <v>1567</v>
      </c>
      <c r="L1191" s="1119" t="s">
        <v>1571</v>
      </c>
      <c r="M1191" s="1134">
        <v>0.3</v>
      </c>
      <c r="N1191" s="1135"/>
      <c r="O1191" s="1135">
        <v>0</v>
      </c>
      <c r="P1191" s="1048"/>
      <c r="Q1191" s="1048"/>
      <c r="R1191" s="1048"/>
      <c r="S1191" s="1048"/>
      <c r="T1191" s="1048"/>
      <c r="U1191" s="1102"/>
    </row>
    <row r="1192" spans="2:21" hidden="1" outlineLevel="2">
      <c r="B1192" s="1050">
        <v>271</v>
      </c>
      <c r="C1192" s="2035" t="str">
        <f t="shared" si="107"/>
        <v>51, Reims, ZUP de Laon Neufchâtel, France continentale, Base Carbone</v>
      </c>
      <c r="D1192" s="1051">
        <f t="shared" si="108"/>
        <v>271</v>
      </c>
      <c r="E1192" s="1051" t="str">
        <f>IF(COUNTIF(E$921:E1191,F1192)&gt;0,"",F1192)</f>
        <v>51, Reims, ZUP de Laon Neufchâtel, France continentale, Base Carbone</v>
      </c>
      <c r="F1192" s="1051" t="str">
        <f t="shared" si="109"/>
        <v>51, Reims, ZUP de Laon Neufchâtel, France continentale, Base Carbone</v>
      </c>
      <c r="G1192" s="1055" t="str">
        <f t="shared" si="110"/>
        <v>51, Reims, ZUP de Laon Neufchâtel, France continentale, Base Carbone; kgCO2e/kWh</v>
      </c>
      <c r="I1192" s="2018" t="s">
        <v>3423</v>
      </c>
      <c r="J1192" s="1135" t="s">
        <v>1681</v>
      </c>
      <c r="K1192" s="1119" t="s">
        <v>1567</v>
      </c>
      <c r="L1192" s="1119" t="s">
        <v>1571</v>
      </c>
      <c r="M1192" s="1134">
        <v>0.3</v>
      </c>
      <c r="N1192" s="1135"/>
      <c r="O1192" s="1135">
        <v>0.23899999999999999</v>
      </c>
      <c r="P1192" s="1048"/>
      <c r="Q1192" s="1048"/>
      <c r="R1192" s="1048"/>
      <c r="S1192" s="1048"/>
      <c r="T1192" s="1048"/>
      <c r="U1192" s="1102"/>
    </row>
    <row r="1193" spans="2:21" hidden="1" outlineLevel="2">
      <c r="B1193" s="1050">
        <v>272</v>
      </c>
      <c r="C1193" s="2035" t="str">
        <f t="shared" si="107"/>
        <v>51, Vitry-le-François, Vitry Habitat, France continentale, Base Carbone</v>
      </c>
      <c r="D1193" s="1051">
        <f t="shared" si="108"/>
        <v>272</v>
      </c>
      <c r="E1193" s="1051" t="str">
        <f>IF(COUNTIF(E$921:E1192,F1193)&gt;0,"",F1193)</f>
        <v>51, Vitry-le-François, Vitry Habitat, France continentale, Base Carbone</v>
      </c>
      <c r="F1193" s="1051" t="str">
        <f t="shared" si="109"/>
        <v>51, Vitry-le-François, Vitry Habitat, France continentale, Base Carbone</v>
      </c>
      <c r="G1193" s="1055" t="str">
        <f t="shared" si="110"/>
        <v>51, Vitry-le-François, Vitry Habitat, France continentale, Base Carbone; kgCO2e/kWh</v>
      </c>
      <c r="I1193" s="2018" t="s">
        <v>2958</v>
      </c>
      <c r="J1193" s="1135" t="s">
        <v>1681</v>
      </c>
      <c r="K1193" s="1119" t="s">
        <v>1567</v>
      </c>
      <c r="L1193" s="1119" t="s">
        <v>1571</v>
      </c>
      <c r="M1193" s="1134">
        <v>0.3</v>
      </c>
      <c r="N1193" s="1135"/>
      <c r="O1193" s="1135">
        <v>0</v>
      </c>
      <c r="P1193" s="1048"/>
      <c r="Q1193" s="1048"/>
      <c r="R1193" s="1048"/>
      <c r="S1193" s="1048"/>
      <c r="T1193" s="1048"/>
      <c r="U1193" s="1102"/>
    </row>
    <row r="1194" spans="2:21" hidden="1" outlineLevel="2">
      <c r="B1194" s="1050">
        <v>273</v>
      </c>
      <c r="C1194" s="2035" t="str">
        <f t="shared" si="107"/>
        <v>52, Bourmont, Réseau de Bourmont, France continentale, Base Carbone</v>
      </c>
      <c r="D1194" s="1051">
        <f t="shared" si="108"/>
        <v>273</v>
      </c>
      <c r="E1194" s="1051" t="str">
        <f>IF(COUNTIF(E$921:E1193,F1194)&gt;0,"",F1194)</f>
        <v>52, Bourmont, Réseau de Bourmont, France continentale, Base Carbone</v>
      </c>
      <c r="F1194" s="1051" t="str">
        <f t="shared" si="109"/>
        <v>52, Bourmont, Réseau de Bourmont, France continentale, Base Carbone</v>
      </c>
      <c r="G1194" s="1055" t="str">
        <f t="shared" si="110"/>
        <v>52, Bourmont, Réseau de Bourmont, France continentale, Base Carbone; kgCO2e/kWh</v>
      </c>
      <c r="I1194" s="2018" t="s">
        <v>3424</v>
      </c>
      <c r="J1194" s="1135" t="s">
        <v>1681</v>
      </c>
      <c r="K1194" s="1119" t="s">
        <v>1567</v>
      </c>
      <c r="L1194" s="1119" t="s">
        <v>1571</v>
      </c>
      <c r="M1194" s="1134">
        <v>0.3</v>
      </c>
      <c r="N1194" s="1135"/>
      <c r="O1194" s="1135">
        <v>0</v>
      </c>
      <c r="P1194" s="1048"/>
      <c r="Q1194" s="1048"/>
      <c r="R1194" s="1048"/>
      <c r="S1194" s="1048"/>
      <c r="T1194" s="1048"/>
      <c r="U1194" s="1102"/>
    </row>
    <row r="1195" spans="2:21" hidden="1" outlineLevel="2">
      <c r="B1195" s="1050">
        <v>274</v>
      </c>
      <c r="C1195" s="2035" t="str">
        <f t="shared" si="107"/>
        <v>52, Chaumont, La Rochotte, France continentale, Base Carbone</v>
      </c>
      <c r="D1195" s="1051">
        <f t="shared" si="108"/>
        <v>274</v>
      </c>
      <c r="E1195" s="1051" t="str">
        <f>IF(COUNTIF(E$921:E1194,F1195)&gt;0,"",F1195)</f>
        <v>52, Chaumont, La Rochotte, France continentale, Base Carbone</v>
      </c>
      <c r="F1195" s="1051" t="str">
        <f t="shared" si="109"/>
        <v>52, Chaumont, La Rochotte, France continentale, Base Carbone</v>
      </c>
      <c r="G1195" s="1055" t="str">
        <f t="shared" si="110"/>
        <v>52, Chaumont, La Rochotte, France continentale, Base Carbone; kgCO2e/kWh</v>
      </c>
      <c r="I1195" s="2018" t="s">
        <v>956</v>
      </c>
      <c r="J1195" s="1135" t="s">
        <v>1681</v>
      </c>
      <c r="K1195" s="1119" t="s">
        <v>1567</v>
      </c>
      <c r="L1195" s="1119" t="s">
        <v>1571</v>
      </c>
      <c r="M1195" s="1134">
        <v>0.3</v>
      </c>
      <c r="N1195" s="1135"/>
      <c r="O1195" s="1135">
        <v>0.34</v>
      </c>
      <c r="P1195" s="1048"/>
      <c r="Q1195" s="1048"/>
      <c r="R1195" s="1048"/>
      <c r="S1195" s="1048"/>
      <c r="T1195" s="1048"/>
      <c r="U1195" s="1102"/>
    </row>
    <row r="1196" spans="2:21" hidden="1" outlineLevel="2">
      <c r="B1196" s="1050">
        <v>275</v>
      </c>
      <c r="C1196" s="2035" t="str">
        <f t="shared" si="107"/>
        <v>52, Chaumont, Réseau de chaleur du sud de la ville de Chaumont, France continentale, Base Carbone</v>
      </c>
      <c r="D1196" s="1051">
        <f t="shared" si="108"/>
        <v>275</v>
      </c>
      <c r="E1196" s="1051" t="str">
        <f>IF(COUNTIF(E$921:E1195,F1196)&gt;0,"",F1196)</f>
        <v>52, Chaumont, Réseau de chaleur du sud de la ville de Chaumont, France continentale, Base Carbone</v>
      </c>
      <c r="F1196" s="1051" t="str">
        <f t="shared" si="109"/>
        <v>52, Chaumont, Réseau de chaleur du sud de la ville de Chaumont, France continentale, Base Carbone</v>
      </c>
      <c r="G1196" s="1055" t="str">
        <f t="shared" si="110"/>
        <v>52, Chaumont, Réseau de chaleur du sud de la ville de Chaumont, France continentale, Base Carbone; kgCO2e/kWh</v>
      </c>
      <c r="I1196" s="2018" t="s">
        <v>2959</v>
      </c>
      <c r="J1196" s="1135" t="s">
        <v>1681</v>
      </c>
      <c r="K1196" s="1119" t="s">
        <v>1567</v>
      </c>
      <c r="L1196" s="1119" t="s">
        <v>1571</v>
      </c>
      <c r="M1196" s="1134">
        <v>0.3</v>
      </c>
      <c r="N1196" s="1135"/>
      <c r="O1196" s="1135">
        <v>0.03</v>
      </c>
      <c r="P1196" s="1048"/>
      <c r="Q1196" s="1048"/>
      <c r="R1196" s="1048"/>
      <c r="S1196" s="1048"/>
      <c r="T1196" s="1048"/>
      <c r="U1196" s="1102"/>
    </row>
    <row r="1197" spans="2:21" hidden="1" outlineLevel="2">
      <c r="B1197" s="1050">
        <v>276</v>
      </c>
      <c r="C1197" s="2035" t="str">
        <f t="shared" si="107"/>
        <v>52, Longeau-Percey, Réseau de chaleur de l’EHPAD St Augustin, France continentale, Base Carbone</v>
      </c>
      <c r="D1197" s="1051">
        <f t="shared" si="108"/>
        <v>276</v>
      </c>
      <c r="E1197" s="1051" t="str">
        <f>IF(COUNTIF(E$921:E1196,F1197)&gt;0,"",F1197)</f>
        <v>52, Longeau-Percey, Réseau de chaleur de l’EHPAD St Augustin, France continentale, Base Carbone</v>
      </c>
      <c r="F1197" s="1051" t="str">
        <f t="shared" si="109"/>
        <v>52, Longeau-Percey, Réseau de chaleur de l’EHPAD St Augustin, France continentale, Base Carbone</v>
      </c>
      <c r="G1197" s="1055" t="str">
        <f t="shared" si="110"/>
        <v>52, Longeau-Percey, Réseau de chaleur de l’EHPAD St Augustin, France continentale, Base Carbone; kgCO2e/kWh</v>
      </c>
      <c r="I1197" s="2018" t="s">
        <v>3425</v>
      </c>
      <c r="J1197" s="1135" t="s">
        <v>1681</v>
      </c>
      <c r="K1197" s="1119" t="s">
        <v>1567</v>
      </c>
      <c r="L1197" s="1119" t="s">
        <v>1571</v>
      </c>
      <c r="M1197" s="1134">
        <v>0.3</v>
      </c>
      <c r="N1197" s="1135"/>
      <c r="O1197" s="1135">
        <v>0</v>
      </c>
      <c r="P1197" s="1048"/>
      <c r="Q1197" s="1048"/>
      <c r="R1197" s="1048"/>
      <c r="S1197" s="1048"/>
      <c r="T1197" s="1048"/>
      <c r="U1197" s="1102"/>
    </row>
    <row r="1198" spans="2:21" hidden="1" outlineLevel="2">
      <c r="B1198" s="1050">
        <v>277</v>
      </c>
      <c r="C1198" s="2035" t="str">
        <f t="shared" si="107"/>
        <v>52, Saint-Dizier, Réseau de Saint-Dizier, France continentale, Base Carbone</v>
      </c>
      <c r="D1198" s="1051">
        <f t="shared" si="108"/>
        <v>277</v>
      </c>
      <c r="E1198" s="1051" t="str">
        <f>IF(COUNTIF(E$921:E1197,F1198)&gt;0,"",F1198)</f>
        <v>52, Saint-Dizier, Réseau de Saint-Dizier, France continentale, Base Carbone</v>
      </c>
      <c r="F1198" s="1051" t="str">
        <f t="shared" si="109"/>
        <v>52, Saint-Dizier, Réseau de Saint-Dizier, France continentale, Base Carbone</v>
      </c>
      <c r="G1198" s="1055" t="str">
        <f t="shared" si="110"/>
        <v>52, Saint-Dizier, Réseau de Saint-Dizier, France continentale, Base Carbone; kgCO2e/kWh</v>
      </c>
      <c r="I1198" s="2018" t="s">
        <v>3426</v>
      </c>
      <c r="J1198" s="1135" t="s">
        <v>1681</v>
      </c>
      <c r="K1198" s="1119" t="s">
        <v>1567</v>
      </c>
      <c r="L1198" s="1119" t="s">
        <v>1571</v>
      </c>
      <c r="M1198" s="1134">
        <v>0.3</v>
      </c>
      <c r="N1198" s="1135"/>
      <c r="O1198" s="1135">
        <v>0.111</v>
      </c>
      <c r="P1198" s="1048"/>
      <c r="Q1198" s="1048"/>
      <c r="R1198" s="1048"/>
      <c r="S1198" s="1048"/>
      <c r="T1198" s="1048"/>
      <c r="U1198" s="1102"/>
    </row>
    <row r="1199" spans="2:21" hidden="1" outlineLevel="2">
      <c r="B1199" s="1050">
        <v>278</v>
      </c>
      <c r="C1199" s="2035" t="str">
        <f t="shared" si="107"/>
        <v>52, Saint-Dizier, Zup de Grigny, France continentale, Base Carbone</v>
      </c>
      <c r="D1199" s="1051">
        <f t="shared" si="108"/>
        <v>278</v>
      </c>
      <c r="E1199" s="1051" t="str">
        <f>IF(COUNTIF(E$921:E1198,F1199)&gt;0,"",F1199)</f>
        <v>52, Saint-Dizier, Zup de Grigny, France continentale, Base Carbone</v>
      </c>
      <c r="F1199" s="1051" t="str">
        <f t="shared" si="109"/>
        <v>52, Saint-Dizier, Zup de Grigny, France continentale, Base Carbone</v>
      </c>
      <c r="G1199" s="1055" t="str">
        <f t="shared" si="110"/>
        <v>52, Saint-Dizier, Zup de Grigny, France continentale, Base Carbone; kgCO2e/kWh</v>
      </c>
      <c r="I1199" s="2018" t="s">
        <v>3427</v>
      </c>
      <c r="J1199" s="1135" t="s">
        <v>1681</v>
      </c>
      <c r="K1199" s="1119" t="s">
        <v>1567</v>
      </c>
      <c r="L1199" s="1119" t="s">
        <v>1571</v>
      </c>
      <c r="M1199" s="1134">
        <v>0.3</v>
      </c>
      <c r="N1199" s="1135"/>
      <c r="O1199" s="1135">
        <v>0.29699999999999999</v>
      </c>
      <c r="P1199" s="1048"/>
      <c r="Q1199" s="1048"/>
      <c r="R1199" s="1048"/>
      <c r="S1199" s="1048"/>
      <c r="T1199" s="1048"/>
      <c r="U1199" s="1102"/>
    </row>
    <row r="1200" spans="2:21" hidden="1" outlineLevel="2">
      <c r="B1200" s="1050">
        <v>279</v>
      </c>
      <c r="C1200" s="2035" t="str">
        <f t="shared" si="107"/>
        <v>52, Wassy, Réseau de Wassy, France continentale, Base Carbone</v>
      </c>
      <c r="D1200" s="1051">
        <f t="shared" si="108"/>
        <v>279</v>
      </c>
      <c r="E1200" s="1051" t="str">
        <f>IF(COUNTIF(E$921:E1199,F1200)&gt;0,"",F1200)</f>
        <v>52, Wassy, Réseau de Wassy, France continentale, Base Carbone</v>
      </c>
      <c r="F1200" s="1051" t="str">
        <f t="shared" si="109"/>
        <v>52, Wassy, Réseau de Wassy, France continentale, Base Carbone</v>
      </c>
      <c r="G1200" s="1055" t="str">
        <f t="shared" si="110"/>
        <v>52, Wassy, Réseau de Wassy, France continentale, Base Carbone; kgCO2e/kWh</v>
      </c>
      <c r="I1200" s="2018" t="s">
        <v>3428</v>
      </c>
      <c r="J1200" s="1135" t="s">
        <v>1681</v>
      </c>
      <c r="K1200" s="1119" t="s">
        <v>1567</v>
      </c>
      <c r="L1200" s="1119" t="s">
        <v>1571</v>
      </c>
      <c r="M1200" s="1134">
        <v>0.3</v>
      </c>
      <c r="N1200" s="1135"/>
      <c r="O1200" s="1135">
        <v>0</v>
      </c>
      <c r="P1200" s="1048"/>
      <c r="Q1200" s="1048"/>
      <c r="R1200" s="1048"/>
      <c r="S1200" s="1048"/>
      <c r="T1200" s="1048"/>
      <c r="U1200" s="1102"/>
    </row>
    <row r="1201" spans="2:21" hidden="1" outlineLevel="2">
      <c r="B1201" s="1050">
        <v>280</v>
      </c>
      <c r="C1201" s="2035" t="str">
        <f t="shared" si="107"/>
        <v>53, Laval, ZUP de Nicolas, France continentale, Base Carbone</v>
      </c>
      <c r="D1201" s="1051">
        <f t="shared" si="108"/>
        <v>280</v>
      </c>
      <c r="E1201" s="1051" t="str">
        <f>IF(COUNTIF(E$921:E1200,F1201)&gt;0,"",F1201)</f>
        <v>53, Laval, ZUP de Nicolas, France continentale, Base Carbone</v>
      </c>
      <c r="F1201" s="1051" t="str">
        <f t="shared" si="109"/>
        <v>53, Laval, ZUP de Nicolas, France continentale, Base Carbone</v>
      </c>
      <c r="G1201" s="1055" t="str">
        <f t="shared" si="110"/>
        <v>53, Laval, ZUP de Nicolas, France continentale, Base Carbone; kgCO2e/kWh</v>
      </c>
      <c r="I1201" s="2018" t="s">
        <v>957</v>
      </c>
      <c r="J1201" s="1135" t="s">
        <v>1681</v>
      </c>
      <c r="K1201" s="1119" t="s">
        <v>1567</v>
      </c>
      <c r="L1201" s="1119" t="s">
        <v>1571</v>
      </c>
      <c r="M1201" s="1134">
        <v>0.3</v>
      </c>
      <c r="N1201" s="1135"/>
      <c r="O1201" s="1135">
        <v>9.8000000000000004E-2</v>
      </c>
      <c r="P1201" s="1048"/>
      <c r="Q1201" s="1048"/>
      <c r="R1201" s="1048"/>
      <c r="S1201" s="1048"/>
      <c r="T1201" s="1048"/>
      <c r="U1201" s="1102"/>
    </row>
    <row r="1202" spans="2:21" hidden="1" outlineLevel="2">
      <c r="B1202" s="1050">
        <v>281</v>
      </c>
      <c r="C1202" s="2035" t="str">
        <f t="shared" si="107"/>
        <v>53, Saint-Hilaire-du-Maine, Lotissement les lilas, France continentale, Base Carbone</v>
      </c>
      <c r="D1202" s="1051">
        <f t="shared" si="108"/>
        <v>281</v>
      </c>
      <c r="E1202" s="1051" t="str">
        <f>IF(COUNTIF(E$921:E1201,F1202)&gt;0,"",F1202)</f>
        <v>53, Saint-Hilaire-du-Maine, Lotissement les lilas, France continentale, Base Carbone</v>
      </c>
      <c r="F1202" s="1051" t="str">
        <f t="shared" si="109"/>
        <v>53, Saint-Hilaire-du-Maine, Lotissement les lilas, France continentale, Base Carbone</v>
      </c>
      <c r="G1202" s="1055" t="str">
        <f t="shared" si="110"/>
        <v>53, Saint-Hilaire-du-Maine, Lotissement les lilas, France continentale, Base Carbone; kgCO2e/kWh</v>
      </c>
      <c r="I1202" s="2018" t="s">
        <v>3429</v>
      </c>
      <c r="J1202" s="1135" t="s">
        <v>1681</v>
      </c>
      <c r="K1202" s="1119" t="s">
        <v>1567</v>
      </c>
      <c r="L1202" s="1119" t="s">
        <v>1571</v>
      </c>
      <c r="M1202" s="1134">
        <v>0.3</v>
      </c>
      <c r="N1202" s="1135"/>
      <c r="O1202" s="1135">
        <v>0</v>
      </c>
      <c r="P1202" s="1048"/>
      <c r="Q1202" s="1048"/>
      <c r="R1202" s="1048"/>
      <c r="S1202" s="1048"/>
      <c r="T1202" s="1048"/>
      <c r="U1202" s="1102"/>
    </row>
    <row r="1203" spans="2:21" hidden="1" outlineLevel="2">
      <c r="B1203" s="1050">
        <v>282</v>
      </c>
      <c r="C1203" s="2035" t="str">
        <f t="shared" si="107"/>
        <v>54, Barbonville, Réseau chaufferie bois-Barbonville, France continentale, Base Carbone</v>
      </c>
      <c r="D1203" s="1051">
        <f t="shared" si="108"/>
        <v>282</v>
      </c>
      <c r="E1203" s="1051" t="str">
        <f>IF(COUNTIF(E$921:E1202,F1203)&gt;0,"",F1203)</f>
        <v>54, Barbonville, Réseau chaufferie bois-Barbonville, France continentale, Base Carbone</v>
      </c>
      <c r="F1203" s="1051" t="str">
        <f t="shared" si="109"/>
        <v>54, Barbonville, Réseau chaufferie bois-Barbonville, France continentale, Base Carbone</v>
      </c>
      <c r="G1203" s="1055" t="str">
        <f t="shared" si="110"/>
        <v>54, Barbonville, Réseau chaufferie bois-Barbonville, France continentale, Base Carbone; kgCO2e/kWh</v>
      </c>
      <c r="I1203" s="2018" t="s">
        <v>3430</v>
      </c>
      <c r="J1203" s="1135" t="s">
        <v>1681</v>
      </c>
      <c r="K1203" s="1119" t="s">
        <v>1567</v>
      </c>
      <c r="L1203" s="1119" t="s">
        <v>1571</v>
      </c>
      <c r="M1203" s="1134">
        <v>0.3</v>
      </c>
      <c r="N1203" s="1135"/>
      <c r="O1203" s="1135">
        <v>0</v>
      </c>
      <c r="P1203" s="1048"/>
      <c r="Q1203" s="1048"/>
      <c r="R1203" s="1048"/>
      <c r="S1203" s="1048"/>
      <c r="T1203" s="1048"/>
      <c r="U1203" s="1102"/>
    </row>
    <row r="1204" spans="2:21" hidden="1" outlineLevel="2">
      <c r="B1204" s="1050">
        <v>283</v>
      </c>
      <c r="C1204" s="2035" t="str">
        <f t="shared" si="107"/>
        <v>54, Ecrouves, Réseau d’Ecrouves, France continentale, Base Carbone</v>
      </c>
      <c r="D1204" s="1051">
        <f t="shared" si="108"/>
        <v>283</v>
      </c>
      <c r="E1204" s="1051" t="str">
        <f>IF(COUNTIF(E$921:E1203,F1204)&gt;0,"",F1204)</f>
        <v>54, Ecrouves, Réseau d’Ecrouves, France continentale, Base Carbone</v>
      </c>
      <c r="F1204" s="1051" t="str">
        <f t="shared" si="109"/>
        <v>54, Ecrouves, Réseau d’Ecrouves, France continentale, Base Carbone</v>
      </c>
      <c r="G1204" s="1055" t="str">
        <f t="shared" si="110"/>
        <v>54, Ecrouves, Réseau d’Ecrouves, France continentale, Base Carbone; kgCO2e/kWh</v>
      </c>
      <c r="I1204" s="2018" t="s">
        <v>3431</v>
      </c>
      <c r="J1204" s="1135" t="s">
        <v>1681</v>
      </c>
      <c r="K1204" s="1119" t="s">
        <v>1567</v>
      </c>
      <c r="L1204" s="1119" t="s">
        <v>1571</v>
      </c>
      <c r="M1204" s="1134">
        <v>0.3</v>
      </c>
      <c r="N1204" s="1135"/>
      <c r="O1204" s="1135">
        <v>7.3999999999999996E-2</v>
      </c>
      <c r="P1204" s="1048"/>
      <c r="Q1204" s="1048"/>
      <c r="R1204" s="1048"/>
      <c r="S1204" s="1048"/>
      <c r="T1204" s="1048"/>
      <c r="U1204" s="1102"/>
    </row>
    <row r="1205" spans="2:21" hidden="1" outlineLevel="2">
      <c r="B1205" s="1050">
        <v>284</v>
      </c>
      <c r="C1205" s="2035" t="str">
        <f t="shared" si="107"/>
        <v>54, Nancy, ESTIA-Blandan Medreville, France continentale, Base Carbone</v>
      </c>
      <c r="D1205" s="1051">
        <f t="shared" si="108"/>
        <v>284</v>
      </c>
      <c r="E1205" s="1051" t="str">
        <f>IF(COUNTIF(E$921:E1204,F1205)&gt;0,"",F1205)</f>
        <v>54, Nancy, ESTIA-Blandan Medreville, France continentale, Base Carbone</v>
      </c>
      <c r="F1205" s="1051" t="str">
        <f t="shared" si="109"/>
        <v>54, Nancy, ESTIA-Blandan Medreville, France continentale, Base Carbone</v>
      </c>
      <c r="G1205" s="1055" t="str">
        <f t="shared" si="110"/>
        <v>54, Nancy, ESTIA-Blandan Medreville, France continentale, Base Carbone; kgCO2e/kWh</v>
      </c>
      <c r="I1205" s="2018" t="s">
        <v>3432</v>
      </c>
      <c r="J1205" s="1135" t="s">
        <v>1681</v>
      </c>
      <c r="K1205" s="1119" t="s">
        <v>1567</v>
      </c>
      <c r="L1205" s="1119" t="s">
        <v>1571</v>
      </c>
      <c r="M1205" s="1134">
        <v>0.3</v>
      </c>
      <c r="N1205" s="1135"/>
      <c r="O1205" s="1135">
        <v>9.0999999999999998E-2</v>
      </c>
      <c r="P1205" s="1048"/>
      <c r="Q1205" s="1048"/>
      <c r="R1205" s="1048"/>
      <c r="S1205" s="1048"/>
      <c r="T1205" s="1048"/>
      <c r="U1205" s="1102"/>
    </row>
    <row r="1206" spans="2:21" hidden="1" outlineLevel="2">
      <c r="B1206" s="1050">
        <v>285</v>
      </c>
      <c r="C1206" s="2035" t="str">
        <f t="shared" si="107"/>
        <v>54, Nancy, ESTIA-Plateau de Haye, France continentale, Base Carbone</v>
      </c>
      <c r="D1206" s="1051">
        <f t="shared" si="108"/>
        <v>285</v>
      </c>
      <c r="E1206" s="1051" t="str">
        <f>IF(COUNTIF(E$921:E1205,F1206)&gt;0,"",F1206)</f>
        <v>54, Nancy, ESTIA-Plateau de Haye, France continentale, Base Carbone</v>
      </c>
      <c r="F1206" s="1051" t="str">
        <f t="shared" si="109"/>
        <v>54, Nancy, ESTIA-Plateau de Haye, France continentale, Base Carbone</v>
      </c>
      <c r="G1206" s="1055" t="str">
        <f t="shared" si="110"/>
        <v>54, Nancy, ESTIA-Plateau de Haye, France continentale, Base Carbone; kgCO2e/kWh</v>
      </c>
      <c r="I1206" s="2018" t="s">
        <v>3433</v>
      </c>
      <c r="J1206" s="1135" t="s">
        <v>1681</v>
      </c>
      <c r="K1206" s="1119" t="s">
        <v>1567</v>
      </c>
      <c r="L1206" s="1119" t="s">
        <v>1571</v>
      </c>
      <c r="M1206" s="1134">
        <v>0.3</v>
      </c>
      <c r="N1206" s="1135"/>
      <c r="O1206" s="1135">
        <v>8.4000000000000005E-2</v>
      </c>
      <c r="P1206" s="1048"/>
      <c r="Q1206" s="1048"/>
      <c r="R1206" s="1048"/>
      <c r="S1206" s="1048"/>
      <c r="T1206" s="1048"/>
      <c r="U1206" s="1102"/>
    </row>
    <row r="1207" spans="2:21" hidden="1" outlineLevel="2">
      <c r="B1207" s="1050">
        <v>286</v>
      </c>
      <c r="C1207" s="2035" t="str">
        <f t="shared" si="107"/>
        <v>54, Nancy, ESTIA-Saint Julien Kennedy, France continentale, Base Carbone</v>
      </c>
      <c r="D1207" s="1051">
        <f t="shared" si="108"/>
        <v>286</v>
      </c>
      <c r="E1207" s="1051" t="str">
        <f>IF(COUNTIF(E$921:E1206,F1207)&gt;0,"",F1207)</f>
        <v>54, Nancy, ESTIA-Saint Julien Kennedy, France continentale, Base Carbone</v>
      </c>
      <c r="F1207" s="1051" t="str">
        <f t="shared" si="109"/>
        <v>54, Nancy, ESTIA-Saint Julien Kennedy, France continentale, Base Carbone</v>
      </c>
      <c r="G1207" s="1055" t="str">
        <f t="shared" si="110"/>
        <v>54, Nancy, ESTIA-Saint Julien Kennedy, France continentale, Base Carbone; kgCO2e/kWh</v>
      </c>
      <c r="I1207" s="2018" t="s">
        <v>3434</v>
      </c>
      <c r="J1207" s="1135" t="s">
        <v>1681</v>
      </c>
      <c r="K1207" s="1119" t="s">
        <v>1567</v>
      </c>
      <c r="L1207" s="1119" t="s">
        <v>1571</v>
      </c>
      <c r="M1207" s="1134">
        <v>0.3</v>
      </c>
      <c r="N1207" s="1135"/>
      <c r="O1207" s="1135">
        <v>0.08</v>
      </c>
      <c r="P1207" s="1048"/>
      <c r="Q1207" s="1048"/>
      <c r="R1207" s="1048"/>
      <c r="S1207" s="1048"/>
      <c r="T1207" s="1048"/>
      <c r="U1207" s="1102"/>
    </row>
    <row r="1208" spans="2:21" hidden="1" outlineLevel="2">
      <c r="B1208" s="1050">
        <v>287</v>
      </c>
      <c r="C1208" s="2035" t="str">
        <f t="shared" si="107"/>
        <v>54, Vandoeuvre-les-Nancy, S, E. E. V-Ville de Vandoeuvre, France continentale, Base Carbone</v>
      </c>
      <c r="D1208" s="1051">
        <f t="shared" si="108"/>
        <v>287</v>
      </c>
      <c r="E1208" s="1051" t="str">
        <f>IF(COUNTIF(E$921:E1207,F1208)&gt;0,"",F1208)</f>
        <v>54, Vandoeuvre-les-Nancy, S, E. E. V-Ville de Vandoeuvre, France continentale, Base Carbone</v>
      </c>
      <c r="F1208" s="1051" t="str">
        <f t="shared" si="109"/>
        <v>54, Vandoeuvre-les-Nancy, S, E. E. V-Ville de Vandoeuvre, France continentale, Base Carbone</v>
      </c>
      <c r="G1208" s="1055" t="str">
        <f t="shared" si="110"/>
        <v>54, Vandoeuvre-les-Nancy, S, E. E. V-Ville de Vandoeuvre, France continentale, Base Carbone; kgCO2e/kWh</v>
      </c>
      <c r="I1208" s="2018" t="s">
        <v>3435</v>
      </c>
      <c r="J1208" s="1135" t="s">
        <v>1681</v>
      </c>
      <c r="K1208" s="1119" t="s">
        <v>1567</v>
      </c>
      <c r="L1208" s="1119" t="s">
        <v>1571</v>
      </c>
      <c r="M1208" s="1134">
        <v>0.3</v>
      </c>
      <c r="N1208" s="1135"/>
      <c r="O1208" s="1135">
        <v>3.3000000000000002E-2</v>
      </c>
      <c r="P1208" s="1048"/>
      <c r="Q1208" s="1048"/>
      <c r="R1208" s="1048"/>
      <c r="S1208" s="1048"/>
      <c r="T1208" s="1048"/>
      <c r="U1208" s="1102"/>
    </row>
    <row r="1209" spans="2:21" hidden="1" outlineLevel="2">
      <c r="B1209" s="1050">
        <v>288</v>
      </c>
      <c r="C1209" s="2035" t="str">
        <f t="shared" si="107"/>
        <v>54, Vandoeuvre-les-Nancy, S. E, E. V-Plateau de Brabois, France continentale, Base Carbone</v>
      </c>
      <c r="D1209" s="1051">
        <f t="shared" si="108"/>
        <v>288</v>
      </c>
      <c r="E1209" s="1051" t="str">
        <f>IF(COUNTIF(E$921:E1208,F1209)&gt;0,"",F1209)</f>
        <v>54, Vandoeuvre-les-Nancy, S. E, E. V-Plateau de Brabois, France continentale, Base Carbone</v>
      </c>
      <c r="F1209" s="1051" t="str">
        <f t="shared" si="109"/>
        <v>54, Vandoeuvre-les-Nancy, S. E, E. V-Plateau de Brabois, France continentale, Base Carbone</v>
      </c>
      <c r="G1209" s="1055" t="str">
        <f t="shared" si="110"/>
        <v>54, Vandoeuvre-les-Nancy, S. E, E. V-Plateau de Brabois, France continentale, Base Carbone; kgCO2e/kWh</v>
      </c>
      <c r="I1209" s="2018" t="s">
        <v>3436</v>
      </c>
      <c r="J1209" s="1135" t="s">
        <v>1681</v>
      </c>
      <c r="K1209" s="1119" t="s">
        <v>1567</v>
      </c>
      <c r="L1209" s="1119" t="s">
        <v>1571</v>
      </c>
      <c r="M1209" s="1134">
        <v>0.3</v>
      </c>
      <c r="N1209" s="1135"/>
      <c r="O1209" s="1135">
        <v>0.108</v>
      </c>
      <c r="P1209" s="1048"/>
      <c r="Q1209" s="1048"/>
      <c r="R1209" s="1048"/>
      <c r="S1209" s="1048"/>
      <c r="T1209" s="1048"/>
      <c r="U1209" s="1102"/>
    </row>
    <row r="1210" spans="2:21" hidden="1" outlineLevel="2">
      <c r="B1210" s="1050">
        <v>289</v>
      </c>
      <c r="C1210" s="2035" t="str">
        <f t="shared" si="107"/>
        <v>55, Bar-le-Duc, Côte Sainte Catherine, France continentale, Base Carbone</v>
      </c>
      <c r="D1210" s="1051">
        <f t="shared" si="108"/>
        <v>289</v>
      </c>
      <c r="E1210" s="1051" t="str">
        <f>IF(COUNTIF(E$921:E1209,F1210)&gt;0,"",F1210)</f>
        <v>55, Bar-le-Duc, Côte Sainte Catherine, France continentale, Base Carbone</v>
      </c>
      <c r="F1210" s="1051" t="str">
        <f t="shared" si="109"/>
        <v>55, Bar-le-Duc, Côte Sainte Catherine, France continentale, Base Carbone</v>
      </c>
      <c r="G1210" s="1055" t="str">
        <f t="shared" si="110"/>
        <v>55, Bar-le-Duc, Côte Sainte Catherine, France continentale, Base Carbone; kgCO2e/kWh</v>
      </c>
      <c r="I1210" s="2018" t="s">
        <v>3437</v>
      </c>
      <c r="J1210" s="1135" t="s">
        <v>1681</v>
      </c>
      <c r="K1210" s="1119" t="s">
        <v>1567</v>
      </c>
      <c r="L1210" s="1119" t="s">
        <v>1571</v>
      </c>
      <c r="M1210" s="1134">
        <v>0.3</v>
      </c>
      <c r="N1210" s="1135"/>
      <c r="O1210" s="1135">
        <v>0.27400000000000002</v>
      </c>
      <c r="P1210" s="1048"/>
      <c r="Q1210" s="1048"/>
      <c r="R1210" s="1048"/>
      <c r="S1210" s="1048"/>
      <c r="T1210" s="1048"/>
      <c r="U1210" s="1102"/>
    </row>
    <row r="1211" spans="2:21" hidden="1" outlineLevel="2">
      <c r="B1211" s="1050">
        <v>290</v>
      </c>
      <c r="C1211" s="2035" t="str">
        <f t="shared" si="107"/>
        <v>55, Ligny-en-Barrois, Ligny en Barrois, France continentale, Base Carbone</v>
      </c>
      <c r="D1211" s="1051">
        <f t="shared" si="108"/>
        <v>290</v>
      </c>
      <c r="E1211" s="1051" t="str">
        <f>IF(COUNTIF(E$921:E1210,F1211)&gt;0,"",F1211)</f>
        <v>55, Ligny-en-Barrois, Ligny en Barrois, France continentale, Base Carbone</v>
      </c>
      <c r="F1211" s="1051" t="str">
        <f t="shared" si="109"/>
        <v>55, Ligny-en-Barrois, Ligny en Barrois, France continentale, Base Carbone</v>
      </c>
      <c r="G1211" s="1055" t="str">
        <f t="shared" si="110"/>
        <v>55, Ligny-en-Barrois, Ligny en Barrois, France continentale, Base Carbone; kgCO2e/kWh</v>
      </c>
      <c r="I1211" s="2018" t="s">
        <v>3438</v>
      </c>
      <c r="J1211" s="1135" t="s">
        <v>1681</v>
      </c>
      <c r="K1211" s="1119" t="s">
        <v>1567</v>
      </c>
      <c r="L1211" s="1119" t="s">
        <v>1571</v>
      </c>
      <c r="M1211" s="1134">
        <v>0.3</v>
      </c>
      <c r="N1211" s="1135"/>
      <c r="O1211" s="1135">
        <v>7.3999999999999996E-2</v>
      </c>
      <c r="P1211" s="1048"/>
      <c r="Q1211" s="1048"/>
      <c r="R1211" s="1048"/>
      <c r="S1211" s="1048"/>
      <c r="T1211" s="1048"/>
      <c r="U1211" s="1102"/>
    </row>
    <row r="1212" spans="2:21" hidden="1" outlineLevel="2">
      <c r="B1212" s="1050">
        <v>291</v>
      </c>
      <c r="C1212" s="2035" t="str">
        <f t="shared" si="107"/>
        <v>55, Verdun, ZUP Anthouard, France continentale, Base Carbone</v>
      </c>
      <c r="D1212" s="1051">
        <f t="shared" si="108"/>
        <v>291</v>
      </c>
      <c r="E1212" s="1051" t="str">
        <f>IF(COUNTIF(E$921:E1211,F1212)&gt;0,"",F1212)</f>
        <v>55, Verdun, ZUP Anthouard, France continentale, Base Carbone</v>
      </c>
      <c r="F1212" s="1051" t="str">
        <f t="shared" si="109"/>
        <v>55, Verdun, ZUP Anthouard, France continentale, Base Carbone</v>
      </c>
      <c r="G1212" s="1055" t="str">
        <f t="shared" si="110"/>
        <v>55, Verdun, ZUP Anthouard, France continentale, Base Carbone; kgCO2e/kWh</v>
      </c>
      <c r="I1212" s="2018" t="s">
        <v>958</v>
      </c>
      <c r="J1212" s="1135" t="s">
        <v>1681</v>
      </c>
      <c r="K1212" s="1119" t="s">
        <v>1567</v>
      </c>
      <c r="L1212" s="1119" t="s">
        <v>1571</v>
      </c>
      <c r="M1212" s="1134">
        <v>0.3</v>
      </c>
      <c r="N1212" s="1135"/>
      <c r="O1212" s="1135">
        <v>0.21199999999999999</v>
      </c>
      <c r="P1212" s="1048"/>
      <c r="Q1212" s="1048"/>
      <c r="R1212" s="1048"/>
      <c r="S1212" s="1048"/>
      <c r="T1212" s="1048"/>
      <c r="U1212" s="1102"/>
    </row>
    <row r="1213" spans="2:21" hidden="1" outlineLevel="2">
      <c r="B1213" s="1050">
        <v>292</v>
      </c>
      <c r="C1213" s="2035" t="str">
        <f t="shared" si="107"/>
        <v>56, Auray, Réseau de Gumenen, France continentale, Base Carbone</v>
      </c>
      <c r="D1213" s="1051">
        <f t="shared" si="108"/>
        <v>292</v>
      </c>
      <c r="E1213" s="1051" t="str">
        <f>IF(COUNTIF(E$921:E1212,F1213)&gt;0,"",F1213)</f>
        <v>56, Auray, Réseau de Gumenen, France continentale, Base Carbone</v>
      </c>
      <c r="F1213" s="1051" t="str">
        <f t="shared" si="109"/>
        <v>56, Auray, Réseau de Gumenen, France continentale, Base Carbone</v>
      </c>
      <c r="G1213" s="1055" t="str">
        <f t="shared" si="110"/>
        <v>56, Auray, Réseau de Gumenen, France continentale, Base Carbone; kgCO2e/kWh</v>
      </c>
      <c r="I1213" s="2018" t="s">
        <v>2960</v>
      </c>
      <c r="J1213" s="1135" t="s">
        <v>1681</v>
      </c>
      <c r="K1213" s="1119" t="s">
        <v>1567</v>
      </c>
      <c r="L1213" s="1119" t="s">
        <v>1571</v>
      </c>
      <c r="M1213" s="1134">
        <v>0.3</v>
      </c>
      <c r="N1213" s="1135"/>
      <c r="O1213" s="1135">
        <v>0.08</v>
      </c>
      <c r="P1213" s="1048"/>
      <c r="Q1213" s="1048"/>
      <c r="R1213" s="1048"/>
      <c r="S1213" s="1048"/>
      <c r="T1213" s="1048"/>
      <c r="U1213" s="1102"/>
    </row>
    <row r="1214" spans="2:21" hidden="1" outlineLevel="2">
      <c r="B1214" s="1050">
        <v>293</v>
      </c>
      <c r="C1214" s="2035" t="str">
        <f t="shared" si="107"/>
        <v>56, Hennebont, Réseau de chaleur Zac Centre, France continentale, Base Carbone</v>
      </c>
      <c r="D1214" s="1051">
        <f t="shared" si="108"/>
        <v>293</v>
      </c>
      <c r="E1214" s="1051" t="str">
        <f>IF(COUNTIF(E$921:E1213,F1214)&gt;0,"",F1214)</f>
        <v>56, Hennebont, Réseau de chaleur Zac Centre, France continentale, Base Carbone</v>
      </c>
      <c r="F1214" s="1051" t="str">
        <f t="shared" si="109"/>
        <v>56, Hennebont, Réseau de chaleur Zac Centre, France continentale, Base Carbone</v>
      </c>
      <c r="G1214" s="1055" t="str">
        <f t="shared" si="110"/>
        <v>56, Hennebont, Réseau de chaleur Zac Centre, France continentale, Base Carbone; kgCO2e/kWh</v>
      </c>
      <c r="I1214" s="2018" t="s">
        <v>2961</v>
      </c>
      <c r="J1214" s="1135" t="s">
        <v>1681</v>
      </c>
      <c r="K1214" s="1119" t="s">
        <v>1567</v>
      </c>
      <c r="L1214" s="1119" t="s">
        <v>1571</v>
      </c>
      <c r="M1214" s="1134">
        <v>0.3</v>
      </c>
      <c r="N1214" s="1135"/>
      <c r="O1214" s="1135">
        <v>0</v>
      </c>
      <c r="P1214" s="1048"/>
      <c r="Q1214" s="1048"/>
      <c r="R1214" s="1048"/>
      <c r="S1214" s="1048"/>
      <c r="T1214" s="1048"/>
      <c r="U1214" s="1102"/>
    </row>
    <row r="1215" spans="2:21" hidden="1" outlineLevel="2">
      <c r="B1215" s="1050">
        <v>294</v>
      </c>
      <c r="C1215" s="2035" t="str">
        <f t="shared" si="107"/>
        <v>56, Lanester, Réseau de Lanester, France continentale, Base Carbone</v>
      </c>
      <c r="D1215" s="1051">
        <f t="shared" si="108"/>
        <v>294</v>
      </c>
      <c r="E1215" s="1051" t="str">
        <f>IF(COUNTIF(E$921:E1214,F1215)&gt;0,"",F1215)</f>
        <v>56, Lanester, Réseau de Lanester, France continentale, Base Carbone</v>
      </c>
      <c r="F1215" s="1051" t="str">
        <f t="shared" si="109"/>
        <v>56, Lanester, Réseau de Lanester, France continentale, Base Carbone</v>
      </c>
      <c r="G1215" s="1055" t="str">
        <f t="shared" si="110"/>
        <v>56, Lanester, Réseau de Lanester, France continentale, Base Carbone; kgCO2e/kWh</v>
      </c>
      <c r="I1215" s="2018" t="s">
        <v>959</v>
      </c>
      <c r="J1215" s="1135" t="s">
        <v>1681</v>
      </c>
      <c r="K1215" s="1119" t="s">
        <v>1567</v>
      </c>
      <c r="L1215" s="1119" t="s">
        <v>1571</v>
      </c>
      <c r="M1215" s="1134">
        <v>0.3</v>
      </c>
      <c r="N1215" s="1135"/>
      <c r="O1215" s="1135">
        <v>4.3999999999999997E-2</v>
      </c>
      <c r="P1215" s="1048"/>
      <c r="Q1215" s="1048"/>
      <c r="R1215" s="1048"/>
      <c r="S1215" s="1048"/>
      <c r="T1215" s="1048"/>
      <c r="U1215" s="1102"/>
    </row>
    <row r="1216" spans="2:21" hidden="1" outlineLevel="2">
      <c r="B1216" s="1050">
        <v>295</v>
      </c>
      <c r="C1216" s="2035" t="str">
        <f t="shared" si="107"/>
        <v>56, Locminé, Réseau de chaleur Liger, France continentale, Base Carbone</v>
      </c>
      <c r="D1216" s="1051">
        <f t="shared" si="108"/>
        <v>295</v>
      </c>
      <c r="E1216" s="1051" t="str">
        <f>IF(COUNTIF(E$921:E1215,F1216)&gt;0,"",F1216)</f>
        <v>56, Locminé, Réseau de chaleur Liger, France continentale, Base Carbone</v>
      </c>
      <c r="F1216" s="1051" t="str">
        <f t="shared" si="109"/>
        <v>56, Locminé, Réseau de chaleur Liger, France continentale, Base Carbone</v>
      </c>
      <c r="G1216" s="1055" t="str">
        <f t="shared" si="110"/>
        <v>56, Locminé, Réseau de chaleur Liger, France continentale, Base Carbone; kgCO2e/kWh</v>
      </c>
      <c r="I1216" s="2018" t="s">
        <v>3439</v>
      </c>
      <c r="J1216" s="1135" t="s">
        <v>1681</v>
      </c>
      <c r="K1216" s="1119" t="s">
        <v>1567</v>
      </c>
      <c r="L1216" s="1119" t="s">
        <v>1571</v>
      </c>
      <c r="M1216" s="1134">
        <v>0.3</v>
      </c>
      <c r="N1216" s="1135"/>
      <c r="O1216" s="1135">
        <v>0</v>
      </c>
      <c r="P1216" s="1048"/>
      <c r="Q1216" s="1048"/>
      <c r="R1216" s="1048"/>
      <c r="S1216" s="1048"/>
      <c r="T1216" s="1048"/>
      <c r="U1216" s="1102"/>
    </row>
    <row r="1217" spans="2:21" hidden="1" outlineLevel="2">
      <c r="B1217" s="1050">
        <v>296</v>
      </c>
      <c r="C1217" s="2035" t="str">
        <f t="shared" si="107"/>
        <v>57, -Behren-lès-Forbach, Réseau de Holweg-Forbach-Behren, France continentale, Base Carbone</v>
      </c>
      <c r="D1217" s="1051">
        <f t="shared" si="108"/>
        <v>296</v>
      </c>
      <c r="E1217" s="1051" t="str">
        <f>IF(COUNTIF(E$921:E1216,F1217)&gt;0,"",F1217)</f>
        <v>57, -Behren-lès-Forbach, Réseau de Holweg-Forbach-Behren, France continentale, Base Carbone</v>
      </c>
      <c r="F1217" s="1051" t="str">
        <f t="shared" si="109"/>
        <v>57, -Behren-lès-Forbach, Réseau de Holweg-Forbach-Behren, France continentale, Base Carbone</v>
      </c>
      <c r="G1217" s="1055" t="str">
        <f t="shared" si="110"/>
        <v>57, -Behren-lès-Forbach, Réseau de Holweg-Forbach-Behren, France continentale, Base Carbone; kgCO2e/kWh</v>
      </c>
      <c r="I1217" s="2018" t="s">
        <v>3440</v>
      </c>
      <c r="J1217" s="1135" t="s">
        <v>1681</v>
      </c>
      <c r="K1217" s="1119" t="s">
        <v>1567</v>
      </c>
      <c r="L1217" s="1119" t="s">
        <v>1571</v>
      </c>
      <c r="M1217" s="1134">
        <v>0.3</v>
      </c>
      <c r="N1217" s="1135"/>
      <c r="O1217" s="1135">
        <v>0</v>
      </c>
      <c r="P1217" s="1048"/>
      <c r="Q1217" s="1048"/>
      <c r="R1217" s="1048"/>
      <c r="S1217" s="1048"/>
      <c r="T1217" s="1048"/>
      <c r="U1217" s="1102"/>
    </row>
    <row r="1218" spans="2:21" hidden="1" outlineLevel="2">
      <c r="B1218" s="1050">
        <v>297</v>
      </c>
      <c r="C1218" s="2035" t="str">
        <f t="shared" si="107"/>
        <v>57, Creutzwald, Réseau de chauffage de Creutzwald, France continentale, Base Carbone</v>
      </c>
      <c r="D1218" s="1051">
        <f t="shared" si="108"/>
        <v>297</v>
      </c>
      <c r="E1218" s="1051" t="str">
        <f>IF(COUNTIF(E$921:E1217,F1218)&gt;0,"",F1218)</f>
        <v>57, Creutzwald, Réseau de chauffage de Creutzwald, France continentale, Base Carbone</v>
      </c>
      <c r="F1218" s="1051" t="str">
        <f t="shared" si="109"/>
        <v>57, Creutzwald, Réseau de chauffage de Creutzwald, France continentale, Base Carbone</v>
      </c>
      <c r="G1218" s="1055" t="str">
        <f t="shared" si="110"/>
        <v>57, Creutzwald, Réseau de chauffage de Creutzwald, France continentale, Base Carbone; kgCO2e/kWh</v>
      </c>
      <c r="I1218" s="2018" t="s">
        <v>2962</v>
      </c>
      <c r="J1218" s="1135" t="s">
        <v>1681</v>
      </c>
      <c r="K1218" s="1119" t="s">
        <v>1567</v>
      </c>
      <c r="L1218" s="1119" t="s">
        <v>1571</v>
      </c>
      <c r="M1218" s="1134">
        <v>0.3</v>
      </c>
      <c r="N1218" s="1135"/>
      <c r="O1218" s="1135">
        <v>0.24199999999999999</v>
      </c>
      <c r="P1218" s="1048"/>
      <c r="Q1218" s="1048"/>
      <c r="R1218" s="1048"/>
      <c r="S1218" s="1048"/>
      <c r="T1218" s="1048"/>
      <c r="U1218" s="1102"/>
    </row>
    <row r="1219" spans="2:21" hidden="1" outlineLevel="2">
      <c r="B1219" s="1050">
        <v>298</v>
      </c>
      <c r="C1219" s="2035" t="str">
        <f t="shared" si="107"/>
        <v>57, Farébersviller, Réseau du Farébersviller, France continentale, Base Carbone</v>
      </c>
      <c r="D1219" s="1051">
        <f t="shared" si="108"/>
        <v>298</v>
      </c>
      <c r="E1219" s="1051" t="str">
        <f>IF(COUNTIF(E$921:E1218,F1219)&gt;0,"",F1219)</f>
        <v>57, Farébersviller, Réseau du Farébersviller, France continentale, Base Carbone</v>
      </c>
      <c r="F1219" s="1051" t="str">
        <f t="shared" si="109"/>
        <v>57, Farébersviller, Réseau du Farébersviller, France continentale, Base Carbone</v>
      </c>
      <c r="G1219" s="1055" t="str">
        <f t="shared" si="110"/>
        <v>57, Farébersviller, Réseau du Farébersviller, France continentale, Base Carbone; kgCO2e/kWh</v>
      </c>
      <c r="I1219" s="2018" t="s">
        <v>960</v>
      </c>
      <c r="J1219" s="1135" t="s">
        <v>1681</v>
      </c>
      <c r="K1219" s="1119" t="s">
        <v>1567</v>
      </c>
      <c r="L1219" s="1119" t="s">
        <v>1571</v>
      </c>
      <c r="M1219" s="1134">
        <v>0.3</v>
      </c>
      <c r="N1219" s="1135"/>
      <c r="O1219" s="1135">
        <v>9.7000000000000003E-2</v>
      </c>
      <c r="P1219" s="1048"/>
      <c r="Q1219" s="1048"/>
      <c r="R1219" s="1048"/>
      <c r="S1219" s="1048"/>
      <c r="T1219" s="1048"/>
      <c r="U1219" s="1102"/>
    </row>
    <row r="1220" spans="2:21" hidden="1" outlineLevel="2">
      <c r="B1220" s="1050">
        <v>299</v>
      </c>
      <c r="C1220" s="2035" t="str">
        <f t="shared" si="107"/>
        <v>57, Freyming-Merlebach, Réseau de Freyming-Merlebach, France continentale, Base Carbone</v>
      </c>
      <c r="D1220" s="1051">
        <f t="shared" si="108"/>
        <v>299</v>
      </c>
      <c r="E1220" s="1051" t="str">
        <f>IF(COUNTIF(E$921:E1219,F1220)&gt;0,"",F1220)</f>
        <v>57, Freyming-Merlebach, Réseau de Freyming-Merlebach, France continentale, Base Carbone</v>
      </c>
      <c r="F1220" s="1051" t="str">
        <f t="shared" si="109"/>
        <v>57, Freyming-Merlebach, Réseau de Freyming-Merlebach, France continentale, Base Carbone</v>
      </c>
      <c r="G1220" s="1055" t="str">
        <f t="shared" si="110"/>
        <v>57, Freyming-Merlebach, Réseau de Freyming-Merlebach, France continentale, Base Carbone; kgCO2e/kWh</v>
      </c>
      <c r="I1220" s="2018" t="s">
        <v>961</v>
      </c>
      <c r="J1220" s="1135" t="s">
        <v>1681</v>
      </c>
      <c r="K1220" s="1119" t="s">
        <v>1567</v>
      </c>
      <c r="L1220" s="1119" t="s">
        <v>1571</v>
      </c>
      <c r="M1220" s="1134">
        <v>0.3</v>
      </c>
      <c r="N1220" s="1135"/>
      <c r="O1220" s="1135">
        <v>0.153</v>
      </c>
      <c r="P1220" s="1048"/>
      <c r="Q1220" s="1048"/>
      <c r="R1220" s="1048"/>
      <c r="S1220" s="1048"/>
      <c r="T1220" s="1048"/>
      <c r="U1220" s="1102"/>
    </row>
    <row r="1221" spans="2:21" hidden="1" outlineLevel="2">
      <c r="B1221" s="1050">
        <v>300</v>
      </c>
      <c r="C1221" s="2035" t="str">
        <f t="shared" si="107"/>
        <v>57, Metz, Réseau de Metz, France continentale, Base Carbone</v>
      </c>
      <c r="D1221" s="1051">
        <f t="shared" si="108"/>
        <v>300</v>
      </c>
      <c r="E1221" s="1051" t="str">
        <f>IF(COUNTIF(E$921:E1220,F1221)&gt;0,"",F1221)</f>
        <v>57, Metz, Réseau de Metz, France continentale, Base Carbone</v>
      </c>
      <c r="F1221" s="1051" t="str">
        <f t="shared" si="109"/>
        <v>57, Metz, Réseau de Metz, France continentale, Base Carbone</v>
      </c>
      <c r="G1221" s="1055" t="str">
        <f t="shared" si="110"/>
        <v>57, Metz, Réseau de Metz, France continentale, Base Carbone; kgCO2e/kWh</v>
      </c>
      <c r="I1221" s="2018" t="s">
        <v>2963</v>
      </c>
      <c r="J1221" s="1135" t="s">
        <v>1681</v>
      </c>
      <c r="K1221" s="1119" t="s">
        <v>1567</v>
      </c>
      <c r="L1221" s="1119" t="s">
        <v>1571</v>
      </c>
      <c r="M1221" s="1134">
        <v>0.3</v>
      </c>
      <c r="N1221" s="1135"/>
      <c r="O1221" s="1135">
        <v>8.5000000000000006E-2</v>
      </c>
      <c r="P1221" s="1048"/>
      <c r="Q1221" s="1048"/>
      <c r="R1221" s="1048"/>
      <c r="S1221" s="1048"/>
      <c r="T1221" s="1048"/>
      <c r="U1221" s="1102"/>
    </row>
    <row r="1222" spans="2:21" hidden="1" outlineLevel="2">
      <c r="B1222" s="1050">
        <v>301</v>
      </c>
      <c r="C1222" s="2035" t="str">
        <f t="shared" si="107"/>
        <v>57, Saint-Avold, Carrière, France continentale, Base Carbone</v>
      </c>
      <c r="D1222" s="1051">
        <f t="shared" si="108"/>
        <v>301</v>
      </c>
      <c r="E1222" s="1051" t="str">
        <f>IF(COUNTIF(E$921:E1221,F1222)&gt;0,"",F1222)</f>
        <v>57, Saint-Avold, Carrière, France continentale, Base Carbone</v>
      </c>
      <c r="F1222" s="1051" t="str">
        <f t="shared" si="109"/>
        <v>57, Saint-Avold, Carrière, France continentale, Base Carbone</v>
      </c>
      <c r="G1222" s="1055" t="str">
        <f t="shared" si="110"/>
        <v>57, Saint-Avold, Carrière, France continentale, Base Carbone; kgCO2e/kWh</v>
      </c>
      <c r="I1222" s="2018" t="s">
        <v>962</v>
      </c>
      <c r="J1222" s="1135" t="s">
        <v>1681</v>
      </c>
      <c r="K1222" s="1119" t="s">
        <v>1567</v>
      </c>
      <c r="L1222" s="1119" t="s">
        <v>1571</v>
      </c>
      <c r="M1222" s="1134">
        <v>0.3</v>
      </c>
      <c r="N1222" s="1135"/>
      <c r="O1222" s="1135">
        <v>0.22800000000000001</v>
      </c>
      <c r="P1222" s="1048"/>
      <c r="Q1222" s="1048"/>
      <c r="R1222" s="1048"/>
      <c r="S1222" s="1048"/>
      <c r="T1222" s="1048"/>
      <c r="U1222" s="1102"/>
    </row>
    <row r="1223" spans="2:21" hidden="1" outlineLevel="2">
      <c r="B1223" s="1050">
        <v>302</v>
      </c>
      <c r="C1223" s="2035" t="str">
        <f t="shared" si="107"/>
        <v>57, Saint-Avold, Côte de la Justice, France continentale, Base Carbone</v>
      </c>
      <c r="D1223" s="1051">
        <f t="shared" si="108"/>
        <v>302</v>
      </c>
      <c r="E1223" s="1051" t="str">
        <f>IF(COUNTIF(E$921:E1222,F1223)&gt;0,"",F1223)</f>
        <v>57, Saint-Avold, Côte de la Justice, France continentale, Base Carbone</v>
      </c>
      <c r="F1223" s="1051" t="str">
        <f t="shared" si="109"/>
        <v>57, Saint-Avold, Côte de la Justice, France continentale, Base Carbone</v>
      </c>
      <c r="G1223" s="1055" t="str">
        <f t="shared" si="110"/>
        <v>57, Saint-Avold, Côte de la Justice, France continentale, Base Carbone; kgCO2e/kWh</v>
      </c>
      <c r="I1223" s="2018" t="s">
        <v>963</v>
      </c>
      <c r="J1223" s="1135" t="s">
        <v>1681</v>
      </c>
      <c r="K1223" s="1119" t="s">
        <v>1567</v>
      </c>
      <c r="L1223" s="1119" t="s">
        <v>1571</v>
      </c>
      <c r="M1223" s="1134">
        <v>0.3</v>
      </c>
      <c r="N1223" s="1135"/>
      <c r="O1223" s="1135">
        <v>0.21099999999999999</v>
      </c>
      <c r="P1223" s="1048"/>
      <c r="Q1223" s="1048"/>
      <c r="R1223" s="1048"/>
      <c r="S1223" s="1048"/>
      <c r="T1223" s="1048"/>
      <c r="U1223" s="1102"/>
    </row>
    <row r="1224" spans="2:21" hidden="1" outlineLevel="2">
      <c r="B1224" s="1050">
        <v>303</v>
      </c>
      <c r="C1224" s="2035" t="str">
        <f t="shared" si="107"/>
        <v>57, Saint-Avold, Huchet, France continentale, Base Carbone</v>
      </c>
      <c r="D1224" s="1051">
        <f t="shared" si="108"/>
        <v>303</v>
      </c>
      <c r="E1224" s="1051" t="str">
        <f>IF(COUNTIF(E$921:E1223,F1224)&gt;0,"",F1224)</f>
        <v>57, Saint-Avold, Huchet, France continentale, Base Carbone</v>
      </c>
      <c r="F1224" s="1051" t="str">
        <f t="shared" si="109"/>
        <v>57, Saint-Avold, Huchet, France continentale, Base Carbone</v>
      </c>
      <c r="G1224" s="1055" t="str">
        <f t="shared" si="110"/>
        <v>57, Saint-Avold, Huchet, France continentale, Base Carbone; kgCO2e/kWh</v>
      </c>
      <c r="I1224" s="2018" t="s">
        <v>964</v>
      </c>
      <c r="J1224" s="1135" t="s">
        <v>1681</v>
      </c>
      <c r="K1224" s="1119" t="s">
        <v>1567</v>
      </c>
      <c r="L1224" s="1119" t="s">
        <v>1571</v>
      </c>
      <c r="M1224" s="1134">
        <v>0.3</v>
      </c>
      <c r="N1224" s="1135"/>
      <c r="O1224" s="1135">
        <v>0.19500000000000001</v>
      </c>
      <c r="P1224" s="1048"/>
      <c r="Q1224" s="1048"/>
      <c r="R1224" s="1048"/>
      <c r="S1224" s="1048"/>
      <c r="T1224" s="1048"/>
      <c r="U1224" s="1102"/>
    </row>
    <row r="1225" spans="2:21" hidden="1" outlineLevel="2">
      <c r="B1225" s="1050">
        <v>304</v>
      </c>
      <c r="C1225" s="2035" t="str">
        <f t="shared" si="107"/>
        <v>57, Saint-Avold, Wenheck, France continentale, Base Carbone</v>
      </c>
      <c r="D1225" s="1051">
        <f t="shared" si="108"/>
        <v>304</v>
      </c>
      <c r="E1225" s="1051" t="str">
        <f>IF(COUNTIF(E$921:E1224,F1225)&gt;0,"",F1225)</f>
        <v>57, Saint-Avold, Wenheck, France continentale, Base Carbone</v>
      </c>
      <c r="F1225" s="1051" t="str">
        <f t="shared" si="109"/>
        <v>57, Saint-Avold, Wenheck, France continentale, Base Carbone</v>
      </c>
      <c r="G1225" s="1055" t="str">
        <f t="shared" si="110"/>
        <v>57, Saint-Avold, Wenheck, France continentale, Base Carbone; kgCO2e/kWh</v>
      </c>
      <c r="I1225" s="2018" t="s">
        <v>965</v>
      </c>
      <c r="J1225" s="1135" t="s">
        <v>1681</v>
      </c>
      <c r="K1225" s="1119" t="s">
        <v>1567</v>
      </c>
      <c r="L1225" s="1119" t="s">
        <v>1571</v>
      </c>
      <c r="M1225" s="1134">
        <v>0.3</v>
      </c>
      <c r="N1225" s="1135"/>
      <c r="O1225" s="1135">
        <v>0.23899999999999999</v>
      </c>
      <c r="P1225" s="1048"/>
      <c r="Q1225" s="1048"/>
      <c r="R1225" s="1048"/>
      <c r="S1225" s="1048"/>
      <c r="T1225" s="1048"/>
      <c r="U1225" s="1102"/>
    </row>
    <row r="1226" spans="2:21" hidden="1" outlineLevel="2">
      <c r="B1226" s="1050">
        <v>305</v>
      </c>
      <c r="C1226" s="2035" t="str">
        <f t="shared" si="107"/>
        <v>57, Sarreguemines, Réseau de Sarreguemines, France continentale, Base Carbone</v>
      </c>
      <c r="D1226" s="1051">
        <f t="shared" si="108"/>
        <v>305</v>
      </c>
      <c r="E1226" s="1051" t="str">
        <f>IF(COUNTIF(E$921:E1225,F1226)&gt;0,"",F1226)</f>
        <v>57, Sarreguemines, Réseau de Sarreguemines, France continentale, Base Carbone</v>
      </c>
      <c r="F1226" s="1051" t="str">
        <f t="shared" si="109"/>
        <v>57, Sarreguemines, Réseau de Sarreguemines, France continentale, Base Carbone</v>
      </c>
      <c r="G1226" s="1055" t="str">
        <f t="shared" si="110"/>
        <v>57, Sarreguemines, Réseau de Sarreguemines, France continentale, Base Carbone; kgCO2e/kWh</v>
      </c>
      <c r="I1226" s="2018" t="s">
        <v>966</v>
      </c>
      <c r="J1226" s="1135" t="s">
        <v>1681</v>
      </c>
      <c r="K1226" s="1119" t="s">
        <v>1567</v>
      </c>
      <c r="L1226" s="1119" t="s">
        <v>1571</v>
      </c>
      <c r="M1226" s="1134">
        <v>0.3</v>
      </c>
      <c r="N1226" s="1135"/>
      <c r="O1226" s="1135">
        <v>0.248</v>
      </c>
      <c r="P1226" s="1048"/>
      <c r="Q1226" s="1048"/>
      <c r="R1226" s="1048"/>
      <c r="S1226" s="1048"/>
      <c r="T1226" s="1048"/>
      <c r="U1226" s="1102"/>
    </row>
    <row r="1227" spans="2:21" hidden="1" outlineLevel="2">
      <c r="B1227" s="1050">
        <v>306</v>
      </c>
      <c r="C1227" s="2035" t="str">
        <f t="shared" si="107"/>
        <v>57, Stiring-Wendel, Réseau de Stiring Wendel, France continentale, Base Carbone</v>
      </c>
      <c r="D1227" s="1051">
        <f t="shared" si="108"/>
        <v>306</v>
      </c>
      <c r="E1227" s="1051" t="str">
        <f>IF(COUNTIF(E$921:E1226,F1227)&gt;0,"",F1227)</f>
        <v>57, Stiring-Wendel, Réseau de Stiring Wendel, France continentale, Base Carbone</v>
      </c>
      <c r="F1227" s="1051" t="str">
        <f t="shared" si="109"/>
        <v>57, Stiring-Wendel, Réseau de Stiring Wendel, France continentale, Base Carbone</v>
      </c>
      <c r="G1227" s="1055" t="str">
        <f t="shared" si="110"/>
        <v>57, Stiring-Wendel, Réseau de Stiring Wendel, France continentale, Base Carbone; kgCO2e/kWh</v>
      </c>
      <c r="I1227" s="2018" t="s">
        <v>3441</v>
      </c>
      <c r="J1227" s="1135" t="s">
        <v>1681</v>
      </c>
      <c r="K1227" s="1119" t="s">
        <v>1567</v>
      </c>
      <c r="L1227" s="1119" t="s">
        <v>1571</v>
      </c>
      <c r="M1227" s="1134">
        <v>0.3</v>
      </c>
      <c r="N1227" s="1135"/>
      <c r="O1227" s="1135">
        <v>0</v>
      </c>
      <c r="P1227" s="1048"/>
      <c r="Q1227" s="1048"/>
      <c r="R1227" s="1048"/>
      <c r="S1227" s="1048"/>
      <c r="T1227" s="1048"/>
      <c r="U1227" s="1102"/>
    </row>
    <row r="1228" spans="2:21" hidden="1" outlineLevel="2">
      <c r="B1228" s="1050">
        <v>307</v>
      </c>
      <c r="C1228" s="2035" t="str">
        <f t="shared" si="107"/>
        <v>57, Yutz, Réseau de la ville de Yutz, France continentale, Base Carbone</v>
      </c>
      <c r="D1228" s="1051">
        <f t="shared" si="108"/>
        <v>307</v>
      </c>
      <c r="E1228" s="1051" t="str">
        <f>IF(COUNTIF(E$921:E1227,F1228)&gt;0,"",F1228)</f>
        <v>57, Yutz, Réseau de la ville de Yutz, France continentale, Base Carbone</v>
      </c>
      <c r="F1228" s="1051" t="str">
        <f t="shared" si="109"/>
        <v>57, Yutz, Réseau de la ville de Yutz, France continentale, Base Carbone</v>
      </c>
      <c r="G1228" s="1055" t="str">
        <f t="shared" si="110"/>
        <v>57, Yutz, Réseau de la ville de Yutz, France continentale, Base Carbone; kgCO2e/kWh</v>
      </c>
      <c r="I1228" s="2018" t="s">
        <v>2964</v>
      </c>
      <c r="J1228" s="1135" t="s">
        <v>1681</v>
      </c>
      <c r="K1228" s="1119" t="s">
        <v>1567</v>
      </c>
      <c r="L1228" s="1119" t="s">
        <v>1571</v>
      </c>
      <c r="M1228" s="1134">
        <v>0.3</v>
      </c>
      <c r="N1228" s="1135"/>
      <c r="O1228" s="1135">
        <v>6.8000000000000005E-2</v>
      </c>
      <c r="P1228" s="1048"/>
      <c r="Q1228" s="1048"/>
      <c r="R1228" s="1048"/>
      <c r="S1228" s="1048"/>
      <c r="T1228" s="1048"/>
      <c r="U1228" s="1102"/>
    </row>
    <row r="1229" spans="2:21" hidden="1" outlineLevel="2">
      <c r="B1229" s="1050">
        <v>308</v>
      </c>
      <c r="C1229" s="2035" t="str">
        <f t="shared" si="107"/>
        <v>58, Arleuf, Réseau de chaleur d’Arleuf, France continentale, Base Carbone</v>
      </c>
      <c r="D1229" s="1051">
        <f t="shared" si="108"/>
        <v>308</v>
      </c>
      <c r="E1229" s="1051" t="str">
        <f>IF(COUNTIF(E$921:E1228,F1229)&gt;0,"",F1229)</f>
        <v>58, Arleuf, Réseau de chaleur d’Arleuf, France continentale, Base Carbone</v>
      </c>
      <c r="F1229" s="1051" t="str">
        <f t="shared" si="109"/>
        <v>58, Arleuf, Réseau de chaleur d’Arleuf, France continentale, Base Carbone</v>
      </c>
      <c r="G1229" s="1055" t="str">
        <f t="shared" si="110"/>
        <v>58, Arleuf, Réseau de chaleur d’Arleuf, France continentale, Base Carbone; kgCO2e/kWh</v>
      </c>
      <c r="I1229" s="2018" t="s">
        <v>3442</v>
      </c>
      <c r="J1229" s="1135" t="s">
        <v>1681</v>
      </c>
      <c r="K1229" s="1119" t="s">
        <v>1567</v>
      </c>
      <c r="L1229" s="1119" t="s">
        <v>1571</v>
      </c>
      <c r="M1229" s="1134">
        <v>0.3</v>
      </c>
      <c r="N1229" s="1135"/>
      <c r="O1229" s="1135">
        <v>0</v>
      </c>
      <c r="P1229" s="1048"/>
      <c r="Q1229" s="1048"/>
      <c r="R1229" s="1048"/>
      <c r="S1229" s="1048"/>
      <c r="T1229" s="1048"/>
      <c r="U1229" s="1102"/>
    </row>
    <row r="1230" spans="2:21" hidden="1" outlineLevel="2">
      <c r="B1230" s="1050">
        <v>309</v>
      </c>
      <c r="C1230" s="2035" t="str">
        <f t="shared" si="107"/>
        <v>58, Bazolles, Réseau de chaleur de Bazolles, France continentale, Base Carbone</v>
      </c>
      <c r="D1230" s="1051">
        <f t="shared" si="108"/>
        <v>309</v>
      </c>
      <c r="E1230" s="1051" t="str">
        <f>IF(COUNTIF(E$921:E1229,F1230)&gt;0,"",F1230)</f>
        <v>58, Bazolles, Réseau de chaleur de Bazolles, France continentale, Base Carbone</v>
      </c>
      <c r="F1230" s="1051" t="str">
        <f t="shared" si="109"/>
        <v>58, Bazolles, Réseau de chaleur de Bazolles, France continentale, Base Carbone</v>
      </c>
      <c r="G1230" s="1055" t="str">
        <f t="shared" si="110"/>
        <v>58, Bazolles, Réseau de chaleur de Bazolles, France continentale, Base Carbone; kgCO2e/kWh</v>
      </c>
      <c r="I1230" s="2018" t="s">
        <v>3443</v>
      </c>
      <c r="J1230" s="1135" t="s">
        <v>1681</v>
      </c>
      <c r="K1230" s="1119" t="s">
        <v>1567</v>
      </c>
      <c r="L1230" s="1119" t="s">
        <v>1571</v>
      </c>
      <c r="M1230" s="1134">
        <v>0.3</v>
      </c>
      <c r="N1230" s="1135"/>
      <c r="O1230" s="1135">
        <v>0</v>
      </c>
      <c r="P1230" s="1048"/>
      <c r="Q1230" s="1048"/>
      <c r="R1230" s="1048"/>
      <c r="S1230" s="1048"/>
      <c r="T1230" s="1048"/>
      <c r="U1230" s="1102"/>
    </row>
    <row r="1231" spans="2:21" hidden="1" outlineLevel="2">
      <c r="B1231" s="1050">
        <v>310</v>
      </c>
      <c r="C1231" s="2035" t="str">
        <f t="shared" si="107"/>
        <v>58, Billy-sur-Oisy, Réseau de chaleur de Billy-sur-Oisy, France continentale, Base Carbone</v>
      </c>
      <c r="D1231" s="1051">
        <f t="shared" si="108"/>
        <v>310</v>
      </c>
      <c r="E1231" s="1051" t="str">
        <f>IF(COUNTIF(E$921:E1230,F1231)&gt;0,"",F1231)</f>
        <v>58, Billy-sur-Oisy, Réseau de chaleur de Billy-sur-Oisy, France continentale, Base Carbone</v>
      </c>
      <c r="F1231" s="1051" t="str">
        <f t="shared" si="109"/>
        <v>58, Billy-sur-Oisy, Réseau de chaleur de Billy-sur-Oisy, France continentale, Base Carbone</v>
      </c>
      <c r="G1231" s="1055" t="str">
        <f t="shared" si="110"/>
        <v>58, Billy-sur-Oisy, Réseau de chaleur de Billy-sur-Oisy, France continentale, Base Carbone; kgCO2e/kWh</v>
      </c>
      <c r="I1231" s="2018" t="s">
        <v>3444</v>
      </c>
      <c r="J1231" s="1135" t="s">
        <v>1681</v>
      </c>
      <c r="K1231" s="1119" t="s">
        <v>1567</v>
      </c>
      <c r="L1231" s="1119" t="s">
        <v>1571</v>
      </c>
      <c r="M1231" s="1134">
        <v>0.3</v>
      </c>
      <c r="N1231" s="1135"/>
      <c r="O1231" s="1135">
        <v>0</v>
      </c>
      <c r="P1231" s="1048"/>
      <c r="Q1231" s="1048"/>
      <c r="R1231" s="1048"/>
      <c r="S1231" s="1048"/>
      <c r="T1231" s="1048"/>
      <c r="U1231" s="1102"/>
    </row>
    <row r="1232" spans="2:21" hidden="1" outlineLevel="2">
      <c r="B1232" s="1050">
        <v>311</v>
      </c>
      <c r="C1232" s="2035" t="str">
        <f t="shared" si="107"/>
        <v>58, Brassy, Réseau de chaleur de Brassy, France continentale, Base Carbone</v>
      </c>
      <c r="D1232" s="1051">
        <f t="shared" si="108"/>
        <v>311</v>
      </c>
      <c r="E1232" s="1051" t="str">
        <f>IF(COUNTIF(E$921:E1231,F1232)&gt;0,"",F1232)</f>
        <v>58, Brassy, Réseau de chaleur de Brassy, France continentale, Base Carbone</v>
      </c>
      <c r="F1232" s="1051" t="str">
        <f t="shared" si="109"/>
        <v>58, Brassy, Réseau de chaleur de Brassy, France continentale, Base Carbone</v>
      </c>
      <c r="G1232" s="1055" t="str">
        <f t="shared" si="110"/>
        <v>58, Brassy, Réseau de chaleur de Brassy, France continentale, Base Carbone; kgCO2e/kWh</v>
      </c>
      <c r="I1232" s="2018" t="s">
        <v>3445</v>
      </c>
      <c r="J1232" s="1135" t="s">
        <v>1681</v>
      </c>
      <c r="K1232" s="1119" t="s">
        <v>1567</v>
      </c>
      <c r="L1232" s="1119" t="s">
        <v>1571</v>
      </c>
      <c r="M1232" s="1134">
        <v>0.3</v>
      </c>
      <c r="N1232" s="1135"/>
      <c r="O1232" s="1135">
        <v>0</v>
      </c>
      <c r="P1232" s="1048"/>
      <c r="Q1232" s="1048"/>
      <c r="R1232" s="1048"/>
      <c r="S1232" s="1048"/>
      <c r="T1232" s="1048"/>
      <c r="U1232" s="1102"/>
    </row>
    <row r="1233" spans="2:21" hidden="1" outlineLevel="2">
      <c r="B1233" s="1050">
        <v>312</v>
      </c>
      <c r="C1233" s="2035" t="str">
        <f t="shared" si="107"/>
        <v>58, Château-Chinon (Ville), Réseau de chaleur de Château Chinon Ville, France continentale, Base Carbone</v>
      </c>
      <c r="D1233" s="1051">
        <f t="shared" si="108"/>
        <v>312</v>
      </c>
      <c r="E1233" s="1051" t="str">
        <f>IF(COUNTIF(E$921:E1232,F1233)&gt;0,"",F1233)</f>
        <v>58, Château-Chinon (Ville), Réseau de chaleur de Château Chinon Ville, France continentale, Base Carbone</v>
      </c>
      <c r="F1233" s="1051" t="str">
        <f t="shared" si="109"/>
        <v>58, Château-Chinon (Ville), Réseau de chaleur de Château Chinon Ville, France continentale, Base Carbone</v>
      </c>
      <c r="G1233" s="1055" t="str">
        <f t="shared" si="110"/>
        <v>58, Château-Chinon (Ville), Réseau de chaleur de Château Chinon Ville, France continentale, Base Carbone; kgCO2e/kWh</v>
      </c>
      <c r="I1233" s="2018" t="s">
        <v>3446</v>
      </c>
      <c r="J1233" s="1135" t="s">
        <v>1681</v>
      </c>
      <c r="K1233" s="1119" t="s">
        <v>1567</v>
      </c>
      <c r="L1233" s="1119" t="s">
        <v>1571</v>
      </c>
      <c r="M1233" s="1134">
        <v>0.3</v>
      </c>
      <c r="N1233" s="1135"/>
      <c r="O1233" s="1135">
        <v>0</v>
      </c>
      <c r="P1233" s="1048"/>
      <c r="Q1233" s="1048"/>
      <c r="R1233" s="1048"/>
      <c r="S1233" s="1048"/>
      <c r="T1233" s="1048"/>
      <c r="U1233" s="1102"/>
    </row>
    <row r="1234" spans="2:21" hidden="1" outlineLevel="2">
      <c r="B1234" s="1050">
        <v>313</v>
      </c>
      <c r="C1234" s="2035" t="str">
        <f t="shared" si="107"/>
        <v>58, Corancy, Réseau de chaleur de Corancy, France continentale, Base Carbone</v>
      </c>
      <c r="D1234" s="1051">
        <f t="shared" si="108"/>
        <v>313</v>
      </c>
      <c r="E1234" s="1051" t="str">
        <f>IF(COUNTIF(E$921:E1233,F1234)&gt;0,"",F1234)</f>
        <v>58, Corancy, Réseau de chaleur de Corancy, France continentale, Base Carbone</v>
      </c>
      <c r="F1234" s="1051" t="str">
        <f t="shared" si="109"/>
        <v>58, Corancy, Réseau de chaleur de Corancy, France continentale, Base Carbone</v>
      </c>
      <c r="G1234" s="1055" t="str">
        <f t="shared" si="110"/>
        <v>58, Corancy, Réseau de chaleur de Corancy, France continentale, Base Carbone; kgCO2e/kWh</v>
      </c>
      <c r="I1234" s="2018" t="s">
        <v>3447</v>
      </c>
      <c r="J1234" s="1135" t="s">
        <v>1681</v>
      </c>
      <c r="K1234" s="1119" t="s">
        <v>1567</v>
      </c>
      <c r="L1234" s="1119" t="s">
        <v>1571</v>
      </c>
      <c r="M1234" s="1134">
        <v>0.3</v>
      </c>
      <c r="N1234" s="1135"/>
      <c r="O1234" s="1135">
        <v>0</v>
      </c>
      <c r="P1234" s="1048"/>
      <c r="Q1234" s="1048"/>
      <c r="R1234" s="1048"/>
      <c r="S1234" s="1048"/>
      <c r="T1234" s="1048"/>
      <c r="U1234" s="1102"/>
    </row>
    <row r="1235" spans="2:21" hidden="1" outlineLevel="2">
      <c r="B1235" s="1050">
        <v>314</v>
      </c>
      <c r="C1235" s="2035" t="str">
        <f t="shared" si="107"/>
        <v>58, Corbigny, Réseau de chaleur de Corbigny, France continentale, Base Carbone</v>
      </c>
      <c r="D1235" s="1051">
        <f t="shared" si="108"/>
        <v>314</v>
      </c>
      <c r="E1235" s="1051" t="str">
        <f>IF(COUNTIF(E$921:E1234,F1235)&gt;0,"",F1235)</f>
        <v>58, Corbigny, Réseau de chaleur de Corbigny, France continentale, Base Carbone</v>
      </c>
      <c r="F1235" s="1051" t="str">
        <f t="shared" si="109"/>
        <v>58, Corbigny, Réseau de chaleur de Corbigny, France continentale, Base Carbone</v>
      </c>
      <c r="G1235" s="1055" t="str">
        <f t="shared" si="110"/>
        <v>58, Corbigny, Réseau de chaleur de Corbigny, France continentale, Base Carbone; kgCO2e/kWh</v>
      </c>
      <c r="I1235" s="2018" t="s">
        <v>3448</v>
      </c>
      <c r="J1235" s="1135" t="s">
        <v>1681</v>
      </c>
      <c r="K1235" s="1119" t="s">
        <v>1567</v>
      </c>
      <c r="L1235" s="1119" t="s">
        <v>1571</v>
      </c>
      <c r="M1235" s="1134">
        <v>0.3</v>
      </c>
      <c r="N1235" s="1135"/>
      <c r="O1235" s="1135">
        <v>0</v>
      </c>
      <c r="P1235" s="1048"/>
      <c r="Q1235" s="1048"/>
      <c r="R1235" s="1048"/>
      <c r="S1235" s="1048"/>
      <c r="T1235" s="1048"/>
      <c r="U1235" s="1102"/>
    </row>
    <row r="1236" spans="2:21" hidden="1" outlineLevel="2">
      <c r="B1236" s="1050">
        <v>315</v>
      </c>
      <c r="C1236" s="2035" t="str">
        <f t="shared" si="107"/>
        <v>58, Decize, Réseau de Decize, France continentale, Base Carbone</v>
      </c>
      <c r="D1236" s="1051">
        <f t="shared" si="108"/>
        <v>315</v>
      </c>
      <c r="E1236" s="1051" t="str">
        <f>IF(COUNTIF(E$921:E1235,F1236)&gt;0,"",F1236)</f>
        <v>58, Decize, Réseau de Decize, France continentale, Base Carbone</v>
      </c>
      <c r="F1236" s="1051" t="str">
        <f t="shared" si="109"/>
        <v>58, Decize, Réseau de Decize, France continentale, Base Carbone</v>
      </c>
      <c r="G1236" s="1055" t="str">
        <f t="shared" si="110"/>
        <v>58, Decize, Réseau de Decize, France continentale, Base Carbone; kgCO2e/kWh</v>
      </c>
      <c r="I1236" s="2018" t="s">
        <v>2965</v>
      </c>
      <c r="J1236" s="1135" t="s">
        <v>1681</v>
      </c>
      <c r="K1236" s="1119" t="s">
        <v>1567</v>
      </c>
      <c r="L1236" s="1119" t="s">
        <v>1571</v>
      </c>
      <c r="M1236" s="1134">
        <v>0.3</v>
      </c>
      <c r="N1236" s="1135"/>
      <c r="O1236" s="1135">
        <v>0.126</v>
      </c>
      <c r="P1236" s="1048"/>
      <c r="Q1236" s="1048"/>
      <c r="R1236" s="1048"/>
      <c r="S1236" s="1048"/>
      <c r="T1236" s="1048"/>
      <c r="U1236" s="1102"/>
    </row>
    <row r="1237" spans="2:21" hidden="1" outlineLevel="2">
      <c r="B1237" s="1050">
        <v>316</v>
      </c>
      <c r="C1237" s="2035" t="str">
        <f t="shared" si="107"/>
        <v>58, Lormes, Réseau de chaleur de Lormes, France continentale, Base Carbone</v>
      </c>
      <c r="D1237" s="1051">
        <f t="shared" si="108"/>
        <v>316</v>
      </c>
      <c r="E1237" s="1051" t="str">
        <f>IF(COUNTIF(E$921:E1236,F1237)&gt;0,"",F1237)</f>
        <v>58, Lormes, Réseau de chaleur de Lormes, France continentale, Base Carbone</v>
      </c>
      <c r="F1237" s="1051" t="str">
        <f t="shared" si="109"/>
        <v>58, Lormes, Réseau de chaleur de Lormes, France continentale, Base Carbone</v>
      </c>
      <c r="G1237" s="1055" t="str">
        <f t="shared" si="110"/>
        <v>58, Lormes, Réseau de chaleur de Lormes, France continentale, Base Carbone; kgCO2e/kWh</v>
      </c>
      <c r="I1237" s="2018" t="s">
        <v>3449</v>
      </c>
      <c r="J1237" s="1135" t="s">
        <v>1681</v>
      </c>
      <c r="K1237" s="1119" t="s">
        <v>1567</v>
      </c>
      <c r="L1237" s="1119" t="s">
        <v>1571</v>
      </c>
      <c r="M1237" s="1134">
        <v>0.3</v>
      </c>
      <c r="N1237" s="1135"/>
      <c r="O1237" s="1135">
        <v>0</v>
      </c>
      <c r="P1237" s="1048"/>
      <c r="Q1237" s="1048"/>
      <c r="R1237" s="1048"/>
      <c r="S1237" s="1048"/>
      <c r="T1237" s="1048"/>
      <c r="U1237" s="1102"/>
    </row>
    <row r="1238" spans="2:21" hidden="1" outlineLevel="2">
      <c r="B1238" s="1050">
        <v>317</v>
      </c>
      <c r="C1238" s="2035" t="str">
        <f t="shared" si="107"/>
        <v>58, Montigny-en-Morvan, Réseau de chaleur de Montigny en morvan, France continentale, Base Carbone</v>
      </c>
      <c r="D1238" s="1051">
        <f t="shared" si="108"/>
        <v>317</v>
      </c>
      <c r="E1238" s="1051" t="str">
        <f>IF(COUNTIF(E$921:E1237,F1238)&gt;0,"",F1238)</f>
        <v>58, Montigny-en-Morvan, Réseau de chaleur de Montigny en morvan, France continentale, Base Carbone</v>
      </c>
      <c r="F1238" s="1051" t="str">
        <f t="shared" si="109"/>
        <v>58, Montigny-en-Morvan, Réseau de chaleur de Montigny en morvan, France continentale, Base Carbone</v>
      </c>
      <c r="G1238" s="1055" t="str">
        <f t="shared" si="110"/>
        <v>58, Montigny-en-Morvan, Réseau de chaleur de Montigny en morvan, France continentale, Base Carbone; kgCO2e/kWh</v>
      </c>
      <c r="I1238" s="2018" t="s">
        <v>3450</v>
      </c>
      <c r="J1238" s="1135" t="s">
        <v>1681</v>
      </c>
      <c r="K1238" s="1119" t="s">
        <v>1567</v>
      </c>
      <c r="L1238" s="1119" t="s">
        <v>1571</v>
      </c>
      <c r="M1238" s="1134">
        <v>0.3</v>
      </c>
      <c r="N1238" s="1135"/>
      <c r="O1238" s="1135">
        <v>0</v>
      </c>
      <c r="P1238" s="1048"/>
      <c r="Q1238" s="1048"/>
      <c r="R1238" s="1048"/>
      <c r="S1238" s="1048"/>
      <c r="T1238" s="1048"/>
      <c r="U1238" s="1102"/>
    </row>
    <row r="1239" spans="2:21" hidden="1" outlineLevel="2">
      <c r="B1239" s="1050">
        <v>318</v>
      </c>
      <c r="C1239" s="2035" t="str">
        <f t="shared" si="107"/>
        <v>58, Nevers, Réseau de chaleur du Banlay, France continentale, Base Carbone</v>
      </c>
      <c r="D1239" s="1051">
        <f t="shared" si="108"/>
        <v>318</v>
      </c>
      <c r="E1239" s="1051" t="str">
        <f>IF(COUNTIF(E$921:E1238,F1239)&gt;0,"",F1239)</f>
        <v>58, Nevers, Réseau de chaleur du Banlay, France continentale, Base Carbone</v>
      </c>
      <c r="F1239" s="1051" t="str">
        <f t="shared" si="109"/>
        <v>58, Nevers, Réseau de chaleur du Banlay, France continentale, Base Carbone</v>
      </c>
      <c r="G1239" s="1055" t="str">
        <f t="shared" si="110"/>
        <v>58, Nevers, Réseau de chaleur du Banlay, France continentale, Base Carbone; kgCO2e/kWh</v>
      </c>
      <c r="I1239" s="2018" t="s">
        <v>3451</v>
      </c>
      <c r="J1239" s="1135" t="s">
        <v>1681</v>
      </c>
      <c r="K1239" s="1119" t="s">
        <v>1567</v>
      </c>
      <c r="L1239" s="1119" t="s">
        <v>1571</v>
      </c>
      <c r="M1239" s="1134">
        <v>0.3</v>
      </c>
      <c r="N1239" s="1135"/>
      <c r="O1239" s="1135">
        <v>1.9E-2</v>
      </c>
      <c r="P1239" s="1048"/>
      <c r="Q1239" s="1048"/>
      <c r="R1239" s="1048"/>
      <c r="S1239" s="1048"/>
      <c r="T1239" s="1048"/>
      <c r="U1239" s="1102"/>
    </row>
    <row r="1240" spans="2:21" hidden="1" outlineLevel="2">
      <c r="B1240" s="1050">
        <v>319</v>
      </c>
      <c r="C1240" s="2035" t="str">
        <f t="shared" si="107"/>
        <v>58, Ouroux-en-Morvan, Réseau de chaleur d’Ouroux en Morvan, France continentale, Base Carbone</v>
      </c>
      <c r="D1240" s="1051">
        <f t="shared" si="108"/>
        <v>319</v>
      </c>
      <c r="E1240" s="1051" t="str">
        <f>IF(COUNTIF(E$921:E1239,F1240)&gt;0,"",F1240)</f>
        <v>58, Ouroux-en-Morvan, Réseau de chaleur d’Ouroux en Morvan, France continentale, Base Carbone</v>
      </c>
      <c r="F1240" s="1051" t="str">
        <f t="shared" si="109"/>
        <v>58, Ouroux-en-Morvan, Réseau de chaleur d’Ouroux en Morvan, France continentale, Base Carbone</v>
      </c>
      <c r="G1240" s="1055" t="str">
        <f t="shared" si="110"/>
        <v>58, Ouroux-en-Morvan, Réseau de chaleur d’Ouroux en Morvan, France continentale, Base Carbone; kgCO2e/kWh</v>
      </c>
      <c r="I1240" s="2018" t="s">
        <v>3452</v>
      </c>
      <c r="J1240" s="1135" t="s">
        <v>1681</v>
      </c>
      <c r="K1240" s="1119" t="s">
        <v>1567</v>
      </c>
      <c r="L1240" s="1119" t="s">
        <v>1571</v>
      </c>
      <c r="M1240" s="1134">
        <v>0.3</v>
      </c>
      <c r="N1240" s="1135"/>
      <c r="O1240" s="1135">
        <v>0</v>
      </c>
      <c r="P1240" s="1048"/>
      <c r="Q1240" s="1048"/>
      <c r="R1240" s="1048"/>
      <c r="S1240" s="1048"/>
      <c r="T1240" s="1048"/>
      <c r="U1240" s="1102"/>
    </row>
    <row r="1241" spans="2:21" hidden="1" outlineLevel="2">
      <c r="B1241" s="1050">
        <v>320</v>
      </c>
      <c r="C1241" s="2035" t="str">
        <f t="shared" si="107"/>
        <v>58, Planchez, Réseau de chaleur de Planchez, France continentale, Base Carbone</v>
      </c>
      <c r="D1241" s="1051">
        <f t="shared" si="108"/>
        <v>320</v>
      </c>
      <c r="E1241" s="1051" t="str">
        <f>IF(COUNTIF(E$921:E1240,F1241)&gt;0,"",F1241)</f>
        <v>58, Planchez, Réseau de chaleur de Planchez, France continentale, Base Carbone</v>
      </c>
      <c r="F1241" s="1051" t="str">
        <f t="shared" si="109"/>
        <v>58, Planchez, Réseau de chaleur de Planchez, France continentale, Base Carbone</v>
      </c>
      <c r="G1241" s="1055" t="str">
        <f t="shared" si="110"/>
        <v>58, Planchez, Réseau de chaleur de Planchez, France continentale, Base Carbone; kgCO2e/kWh</v>
      </c>
      <c r="I1241" s="2018" t="s">
        <v>3453</v>
      </c>
      <c r="J1241" s="1135" t="s">
        <v>1681</v>
      </c>
      <c r="K1241" s="1119" t="s">
        <v>1567</v>
      </c>
      <c r="L1241" s="1119" t="s">
        <v>1571</v>
      </c>
      <c r="M1241" s="1134">
        <v>0.3</v>
      </c>
      <c r="N1241" s="1135"/>
      <c r="O1241" s="1135">
        <v>0</v>
      </c>
      <c r="P1241" s="1048"/>
      <c r="Q1241" s="1048"/>
      <c r="R1241" s="1048"/>
      <c r="S1241" s="1048"/>
      <c r="T1241" s="1048"/>
      <c r="U1241" s="1102"/>
    </row>
    <row r="1242" spans="2:21" hidden="1" outlineLevel="2">
      <c r="B1242" s="1050">
        <v>321</v>
      </c>
      <c r="C1242" s="2035" t="str">
        <f t="shared" ref="C1242:C1305" si="111">IF(ISNA(VLOOKUP(B1242,$D$922:$E$1582,2,FALSE)),"-",VLOOKUP(B1242,$D$922:$E$1582,2,FALSE))</f>
        <v>58, Saint-Brisson, Réseau de chaleur de la Maison du Parc du Morvan, France continentale, Base Carbone</v>
      </c>
      <c r="D1242" s="1051">
        <f t="shared" si="108"/>
        <v>321</v>
      </c>
      <c r="E1242" s="1051" t="str">
        <f>IF(COUNTIF(E$921:E1241,F1242)&gt;0,"",F1242)</f>
        <v>58, Saint-Brisson, Réseau de chaleur de la Maison du Parc du Morvan, France continentale, Base Carbone</v>
      </c>
      <c r="F1242" s="1051" t="str">
        <f t="shared" si="109"/>
        <v>58, Saint-Brisson, Réseau de chaleur de la Maison du Parc du Morvan, France continentale, Base Carbone</v>
      </c>
      <c r="G1242" s="1055" t="str">
        <f t="shared" si="110"/>
        <v>58, Saint-Brisson, Réseau de chaleur de la Maison du Parc du Morvan, France continentale, Base Carbone; kgCO2e/kWh</v>
      </c>
      <c r="I1242" s="2018" t="s">
        <v>3454</v>
      </c>
      <c r="J1242" s="1135" t="s">
        <v>1681</v>
      </c>
      <c r="K1242" s="1119" t="s">
        <v>1567</v>
      </c>
      <c r="L1242" s="1119" t="s">
        <v>1571</v>
      </c>
      <c r="M1242" s="1134">
        <v>0.3</v>
      </c>
      <c r="N1242" s="1135"/>
      <c r="O1242" s="1135">
        <v>0</v>
      </c>
      <c r="P1242" s="1048"/>
      <c r="Q1242" s="1048"/>
      <c r="R1242" s="1048"/>
      <c r="S1242" s="1048"/>
      <c r="T1242" s="1048"/>
      <c r="U1242" s="1102"/>
    </row>
    <row r="1243" spans="2:21" hidden="1" outlineLevel="2">
      <c r="B1243" s="1050">
        <v>322</v>
      </c>
      <c r="C1243" s="2035" t="str">
        <f t="shared" si="111"/>
        <v>58, Saint-Saulge, Réseau de chaleur de Saint Saulge, France continentale, Base Carbone</v>
      </c>
      <c r="D1243" s="1051">
        <f t="shared" ref="D1243:D1306" si="112">D1242+IF(LEN(E1243)=0,0,1)</f>
        <v>322</v>
      </c>
      <c r="E1243" s="1051" t="str">
        <f>IF(COUNTIF(E$921:E1242,F1243)&gt;0,"",F1243)</f>
        <v>58, Saint-Saulge, Réseau de chaleur de Saint Saulge, France continentale, Base Carbone</v>
      </c>
      <c r="F1243" s="1051" t="str">
        <f t="shared" ref="F1243:F1306" si="113">IF(I1243&lt;&gt;"",I1243&amp;IF(L1243&lt;&gt;"",", "&amp;L1243,"")&amp;IF(K1243&lt;&gt;"",", "&amp;K1243,""),"")</f>
        <v>58, Saint-Saulge, Réseau de chaleur de Saint Saulge, France continentale, Base Carbone</v>
      </c>
      <c r="G1243" s="1055" t="str">
        <f t="shared" ref="G1243:G1306" si="114">IF(F1243&lt;&gt;"",F1243&amp;IF(J1243&lt;&gt;"","; "&amp;J1243,"")&amp;IF(N1243&lt;&gt;"",", "&amp;N1243,""),"")</f>
        <v>58, Saint-Saulge, Réseau de chaleur de Saint Saulge, France continentale, Base Carbone; kgCO2e/kWh</v>
      </c>
      <c r="I1243" s="2018" t="s">
        <v>3455</v>
      </c>
      <c r="J1243" s="1135" t="s">
        <v>1681</v>
      </c>
      <c r="K1243" s="1119" t="s">
        <v>1567</v>
      </c>
      <c r="L1243" s="1119" t="s">
        <v>1571</v>
      </c>
      <c r="M1243" s="1134">
        <v>0.3</v>
      </c>
      <c r="N1243" s="1135"/>
      <c r="O1243" s="1135">
        <v>0</v>
      </c>
      <c r="P1243" s="1048"/>
      <c r="Q1243" s="1048"/>
      <c r="R1243" s="1048"/>
      <c r="S1243" s="1048"/>
      <c r="T1243" s="1048"/>
      <c r="U1243" s="1102"/>
    </row>
    <row r="1244" spans="2:21" hidden="1" outlineLevel="2">
      <c r="B1244" s="1050">
        <v>323</v>
      </c>
      <c r="C1244" s="2035" t="str">
        <f t="shared" si="111"/>
        <v>58, Saint-Verain, Réseau de chaleur de Saint Amand en Puisaye, France continentale, Base Carbone</v>
      </c>
      <c r="D1244" s="1051">
        <f t="shared" si="112"/>
        <v>323</v>
      </c>
      <c r="E1244" s="1051" t="str">
        <f>IF(COUNTIF(E$921:E1243,F1244)&gt;0,"",F1244)</f>
        <v>58, Saint-Verain, Réseau de chaleur de Saint Amand en Puisaye, France continentale, Base Carbone</v>
      </c>
      <c r="F1244" s="1051" t="str">
        <f t="shared" si="113"/>
        <v>58, Saint-Verain, Réseau de chaleur de Saint Amand en Puisaye, France continentale, Base Carbone</v>
      </c>
      <c r="G1244" s="1055" t="str">
        <f t="shared" si="114"/>
        <v>58, Saint-Verain, Réseau de chaleur de Saint Amand en Puisaye, France continentale, Base Carbone; kgCO2e/kWh</v>
      </c>
      <c r="I1244" s="2018" t="s">
        <v>3456</v>
      </c>
      <c r="J1244" s="1135" t="s">
        <v>1681</v>
      </c>
      <c r="K1244" s="1119" t="s">
        <v>1567</v>
      </c>
      <c r="L1244" s="1119" t="s">
        <v>1571</v>
      </c>
      <c r="M1244" s="1134">
        <v>0.3</v>
      </c>
      <c r="N1244" s="1135"/>
      <c r="O1244" s="1135">
        <v>0</v>
      </c>
      <c r="P1244" s="1048"/>
      <c r="Q1244" s="1048"/>
      <c r="R1244" s="1048"/>
      <c r="S1244" s="1048"/>
      <c r="T1244" s="1048"/>
      <c r="U1244" s="1102"/>
    </row>
    <row r="1245" spans="2:21" hidden="1" outlineLevel="2">
      <c r="B1245" s="1050">
        <v>324</v>
      </c>
      <c r="C1245" s="2035" t="str">
        <f t="shared" si="111"/>
        <v>58, Varzy, Réseau de chaleur de Varzy, France continentale, Base Carbone</v>
      </c>
      <c r="D1245" s="1051">
        <f t="shared" si="112"/>
        <v>324</v>
      </c>
      <c r="E1245" s="1051" t="str">
        <f>IF(COUNTIF(E$921:E1244,F1245)&gt;0,"",F1245)</f>
        <v>58, Varzy, Réseau de chaleur de Varzy, France continentale, Base Carbone</v>
      </c>
      <c r="F1245" s="1051" t="str">
        <f t="shared" si="113"/>
        <v>58, Varzy, Réseau de chaleur de Varzy, France continentale, Base Carbone</v>
      </c>
      <c r="G1245" s="1055" t="str">
        <f t="shared" si="114"/>
        <v>58, Varzy, Réseau de chaleur de Varzy, France continentale, Base Carbone; kgCO2e/kWh</v>
      </c>
      <c r="I1245" s="2018" t="s">
        <v>3457</v>
      </c>
      <c r="J1245" s="1135" t="s">
        <v>1681</v>
      </c>
      <c r="K1245" s="1119" t="s">
        <v>1567</v>
      </c>
      <c r="L1245" s="1119" t="s">
        <v>1571</v>
      </c>
      <c r="M1245" s="1134">
        <v>0.3</v>
      </c>
      <c r="N1245" s="1135"/>
      <c r="O1245" s="1135">
        <v>0</v>
      </c>
      <c r="P1245" s="1048"/>
      <c r="Q1245" s="1048"/>
      <c r="R1245" s="1048"/>
      <c r="S1245" s="1048"/>
      <c r="T1245" s="1048"/>
      <c r="U1245" s="1102"/>
    </row>
    <row r="1246" spans="2:21" hidden="1" outlineLevel="2">
      <c r="B1246" s="1050">
        <v>325</v>
      </c>
      <c r="C1246" s="2035" t="str">
        <f t="shared" si="111"/>
        <v>59, Anzin, Les rives créatives de l’Escaut, France continentale, Base Carbone</v>
      </c>
      <c r="D1246" s="1051">
        <f t="shared" si="112"/>
        <v>325</v>
      </c>
      <c r="E1246" s="1051" t="str">
        <f>IF(COUNTIF(E$921:E1245,F1246)&gt;0,"",F1246)</f>
        <v>59, Anzin, Les rives créatives de l’Escaut, France continentale, Base Carbone</v>
      </c>
      <c r="F1246" s="1051" t="str">
        <f t="shared" si="113"/>
        <v>59, Anzin, Les rives créatives de l’Escaut, France continentale, Base Carbone</v>
      </c>
      <c r="G1246" s="1055" t="str">
        <f t="shared" si="114"/>
        <v>59, Anzin, Les rives créatives de l’Escaut, France continentale, Base Carbone; kgCO2e/kWh</v>
      </c>
      <c r="I1246" s="2018" t="s">
        <v>3458</v>
      </c>
      <c r="J1246" s="1135" t="s">
        <v>1681</v>
      </c>
      <c r="K1246" s="1119" t="s">
        <v>1567</v>
      </c>
      <c r="L1246" s="1119" t="s">
        <v>1571</v>
      </c>
      <c r="M1246" s="1134">
        <v>0.3</v>
      </c>
      <c r="N1246" s="1135"/>
      <c r="O1246" s="1135">
        <v>0</v>
      </c>
      <c r="P1246" s="1048"/>
      <c r="Q1246" s="1048"/>
      <c r="R1246" s="1048"/>
      <c r="S1246" s="1048"/>
      <c r="T1246" s="1048"/>
      <c r="U1246" s="1102"/>
    </row>
    <row r="1247" spans="2:21" hidden="1" outlineLevel="2">
      <c r="B1247" s="1050">
        <v>326</v>
      </c>
      <c r="C1247" s="2035" t="str">
        <f t="shared" si="111"/>
        <v>59, Douchy-les-Mines, Réseau de chaleur de Douchy, France continentale, Base Carbone</v>
      </c>
      <c r="D1247" s="1051">
        <f t="shared" si="112"/>
        <v>326</v>
      </c>
      <c r="E1247" s="1051" t="str">
        <f>IF(COUNTIF(E$921:E1246,F1247)&gt;0,"",F1247)</f>
        <v>59, Douchy-les-Mines, Réseau de chaleur de Douchy, France continentale, Base Carbone</v>
      </c>
      <c r="F1247" s="1051" t="str">
        <f t="shared" si="113"/>
        <v>59, Douchy-les-Mines, Réseau de chaleur de Douchy, France continentale, Base Carbone</v>
      </c>
      <c r="G1247" s="1055" t="str">
        <f t="shared" si="114"/>
        <v>59, Douchy-les-Mines, Réseau de chaleur de Douchy, France continentale, Base Carbone; kgCO2e/kWh</v>
      </c>
      <c r="I1247" s="2018" t="s">
        <v>3459</v>
      </c>
      <c r="J1247" s="1135" t="s">
        <v>1681</v>
      </c>
      <c r="K1247" s="1119" t="s">
        <v>1567</v>
      </c>
      <c r="L1247" s="1119" t="s">
        <v>1571</v>
      </c>
      <c r="M1247" s="1134">
        <v>0.3</v>
      </c>
      <c r="N1247" s="1135"/>
      <c r="O1247" s="1135">
        <v>2.8000000000000001E-2</v>
      </c>
      <c r="P1247" s="1048"/>
      <c r="Q1247" s="1048"/>
      <c r="R1247" s="1048"/>
      <c r="S1247" s="1048"/>
      <c r="T1247" s="1048"/>
      <c r="U1247" s="1102"/>
    </row>
    <row r="1248" spans="2:21" hidden="1" outlineLevel="2">
      <c r="B1248" s="1050">
        <v>327</v>
      </c>
      <c r="C1248" s="2035" t="str">
        <f t="shared" si="111"/>
        <v>59, Dunkerque, Energie Grand Littoral-Dunkerque, France continentale, Base Carbone</v>
      </c>
      <c r="D1248" s="1051">
        <f t="shared" si="112"/>
        <v>327</v>
      </c>
      <c r="E1248" s="1051" t="str">
        <f>IF(COUNTIF(E$921:E1247,F1248)&gt;0,"",F1248)</f>
        <v>59, Dunkerque, Energie Grand Littoral-Dunkerque, France continentale, Base Carbone</v>
      </c>
      <c r="F1248" s="1051" t="str">
        <f t="shared" si="113"/>
        <v>59, Dunkerque, Energie Grand Littoral-Dunkerque, France continentale, Base Carbone</v>
      </c>
      <c r="G1248" s="1055" t="str">
        <f t="shared" si="114"/>
        <v>59, Dunkerque, Energie Grand Littoral-Dunkerque, France continentale, Base Carbone; kgCO2e/kWh</v>
      </c>
      <c r="I1248" s="2018" t="s">
        <v>3460</v>
      </c>
      <c r="J1248" s="1135" t="s">
        <v>1681</v>
      </c>
      <c r="K1248" s="1119" t="s">
        <v>1567</v>
      </c>
      <c r="L1248" s="1119" t="s">
        <v>1571</v>
      </c>
      <c r="M1248" s="1134">
        <v>0.3</v>
      </c>
      <c r="N1248" s="1135"/>
      <c r="O1248" s="1135">
        <v>0.11</v>
      </c>
      <c r="P1248" s="1048"/>
      <c r="Q1248" s="1048"/>
      <c r="R1248" s="1048"/>
      <c r="S1248" s="1048"/>
      <c r="T1248" s="1048"/>
      <c r="U1248" s="1102"/>
    </row>
    <row r="1249" spans="2:21" hidden="1" outlineLevel="2">
      <c r="B1249" s="1050">
        <v>328</v>
      </c>
      <c r="C1249" s="2035" t="str">
        <f t="shared" si="111"/>
        <v>59, Hazebrouck, Réseau de chauffage d’Hazebrouck, France continentale, Base Carbone</v>
      </c>
      <c r="D1249" s="1051">
        <f t="shared" si="112"/>
        <v>328</v>
      </c>
      <c r="E1249" s="1051" t="str">
        <f>IF(COUNTIF(E$921:E1248,F1249)&gt;0,"",F1249)</f>
        <v>59, Hazebrouck, Réseau de chauffage d’Hazebrouck, France continentale, Base Carbone</v>
      </c>
      <c r="F1249" s="1051" t="str">
        <f t="shared" si="113"/>
        <v>59, Hazebrouck, Réseau de chauffage d’Hazebrouck, France continentale, Base Carbone</v>
      </c>
      <c r="G1249" s="1055" t="str">
        <f t="shared" si="114"/>
        <v>59, Hazebrouck, Réseau de chauffage d’Hazebrouck, France continentale, Base Carbone; kgCO2e/kWh</v>
      </c>
      <c r="I1249" s="2018" t="s">
        <v>3461</v>
      </c>
      <c r="J1249" s="1135" t="s">
        <v>1681</v>
      </c>
      <c r="K1249" s="1119" t="s">
        <v>1567</v>
      </c>
      <c r="L1249" s="1119" t="s">
        <v>1571</v>
      </c>
      <c r="M1249" s="1134">
        <v>0.3</v>
      </c>
      <c r="N1249" s="1135"/>
      <c r="O1249" s="1135">
        <v>8.5999999999999993E-2</v>
      </c>
      <c r="P1249" s="1048"/>
      <c r="Q1249" s="1048"/>
      <c r="R1249" s="1048"/>
      <c r="S1249" s="1048"/>
      <c r="T1249" s="1048"/>
      <c r="U1249" s="1102"/>
    </row>
    <row r="1250" spans="2:21" hidden="1" outlineLevel="2">
      <c r="B1250" s="1050">
        <v>329</v>
      </c>
      <c r="C1250" s="2035" t="str">
        <f t="shared" si="111"/>
        <v>59, Lambersart, Réseau de Lambersart, France continentale, Base Carbone</v>
      </c>
      <c r="D1250" s="1051">
        <f t="shared" si="112"/>
        <v>329</v>
      </c>
      <c r="E1250" s="1051" t="str">
        <f>IF(COUNTIF(E$921:E1249,F1250)&gt;0,"",F1250)</f>
        <v>59, Lambersart, Réseau de Lambersart, France continentale, Base Carbone</v>
      </c>
      <c r="F1250" s="1051" t="str">
        <f t="shared" si="113"/>
        <v>59, Lambersart, Réseau de Lambersart, France continentale, Base Carbone</v>
      </c>
      <c r="G1250" s="1055" t="str">
        <f t="shared" si="114"/>
        <v>59, Lambersart, Réseau de Lambersart, France continentale, Base Carbone; kgCO2e/kWh</v>
      </c>
      <c r="I1250" s="2018" t="s">
        <v>2966</v>
      </c>
      <c r="J1250" s="1135" t="s">
        <v>1681</v>
      </c>
      <c r="K1250" s="1119" t="s">
        <v>1567</v>
      </c>
      <c r="L1250" s="1119" t="s">
        <v>1571</v>
      </c>
      <c r="M1250" s="1134">
        <v>0.3</v>
      </c>
      <c r="N1250" s="1135"/>
      <c r="O1250" s="1135">
        <v>0.10199999999999999</v>
      </c>
      <c r="P1250" s="1048"/>
      <c r="Q1250" s="1048"/>
      <c r="R1250" s="1048"/>
      <c r="S1250" s="1048"/>
      <c r="T1250" s="1048"/>
      <c r="U1250" s="1102"/>
    </row>
    <row r="1251" spans="2:21" hidden="1" outlineLevel="2">
      <c r="B1251" s="1050">
        <v>330</v>
      </c>
      <c r="C1251" s="2035" t="str">
        <f t="shared" si="111"/>
        <v>59, Lille, Quartier Tournebride Lomme-Capinghem, France continentale, Base Carbone</v>
      </c>
      <c r="D1251" s="1051">
        <f t="shared" si="112"/>
        <v>330</v>
      </c>
      <c r="E1251" s="1051" t="str">
        <f>IF(COUNTIF(E$921:E1250,F1251)&gt;0,"",F1251)</f>
        <v>59, Lille, Quartier Tournebride Lomme-Capinghem, France continentale, Base Carbone</v>
      </c>
      <c r="F1251" s="1051" t="str">
        <f t="shared" si="113"/>
        <v>59, Lille, Quartier Tournebride Lomme-Capinghem, France continentale, Base Carbone</v>
      </c>
      <c r="G1251" s="1055" t="str">
        <f t="shared" si="114"/>
        <v>59, Lille, Quartier Tournebride Lomme-Capinghem, France continentale, Base Carbone; kgCO2e/kWh</v>
      </c>
      <c r="I1251" s="2018" t="s">
        <v>3462</v>
      </c>
      <c r="J1251" s="1135" t="s">
        <v>1681</v>
      </c>
      <c r="K1251" s="1119" t="s">
        <v>1567</v>
      </c>
      <c r="L1251" s="1119" t="s">
        <v>1571</v>
      </c>
      <c r="M1251" s="1134">
        <v>0.3</v>
      </c>
      <c r="N1251" s="1135"/>
      <c r="O1251" s="1135">
        <v>0.09</v>
      </c>
      <c r="P1251" s="1048"/>
      <c r="Q1251" s="1048"/>
      <c r="R1251" s="1048"/>
      <c r="S1251" s="1048"/>
      <c r="T1251" s="1048"/>
      <c r="U1251" s="1102"/>
    </row>
    <row r="1252" spans="2:21" hidden="1" outlineLevel="2">
      <c r="B1252" s="1050">
        <v>331</v>
      </c>
      <c r="C1252" s="2035" t="str">
        <f t="shared" si="111"/>
        <v>59, Lille, Réseau de Lille, France continentale, Base Carbone</v>
      </c>
      <c r="D1252" s="1051">
        <f t="shared" si="112"/>
        <v>331</v>
      </c>
      <c r="E1252" s="1051" t="str">
        <f>IF(COUNTIF(E$921:E1251,F1252)&gt;0,"",F1252)</f>
        <v>59, Lille, Réseau de Lille, France continentale, Base Carbone</v>
      </c>
      <c r="F1252" s="1051" t="str">
        <f t="shared" si="113"/>
        <v>59, Lille, Réseau de Lille, France continentale, Base Carbone</v>
      </c>
      <c r="G1252" s="1055" t="str">
        <f t="shared" si="114"/>
        <v>59, Lille, Réseau de Lille, France continentale, Base Carbone; kgCO2e/kWh</v>
      </c>
      <c r="I1252" s="2018" t="s">
        <v>3463</v>
      </c>
      <c r="J1252" s="1135" t="s">
        <v>1681</v>
      </c>
      <c r="K1252" s="1119" t="s">
        <v>1567</v>
      </c>
      <c r="L1252" s="1119" t="s">
        <v>1571</v>
      </c>
      <c r="M1252" s="1134">
        <v>0.3</v>
      </c>
      <c r="N1252" s="1135"/>
      <c r="O1252" s="1135">
        <v>0.26</v>
      </c>
      <c r="P1252" s="1048"/>
      <c r="Q1252" s="1048"/>
      <c r="R1252" s="1048"/>
      <c r="S1252" s="1048"/>
      <c r="T1252" s="1048"/>
      <c r="U1252" s="1102"/>
    </row>
    <row r="1253" spans="2:21" hidden="1" outlineLevel="2">
      <c r="B1253" s="1050">
        <v>332</v>
      </c>
      <c r="C1253" s="2035" t="str">
        <f t="shared" si="111"/>
        <v>59, Maubeuge, ZUP de la Caserne Joyeuse-Maubeuge, France continentale, Base Carbone</v>
      </c>
      <c r="D1253" s="1051">
        <f t="shared" si="112"/>
        <v>332</v>
      </c>
      <c r="E1253" s="1051" t="str">
        <f>IF(COUNTIF(E$921:E1252,F1253)&gt;0,"",F1253)</f>
        <v>59, Maubeuge, ZUP de la Caserne Joyeuse-Maubeuge, France continentale, Base Carbone</v>
      </c>
      <c r="F1253" s="1051" t="str">
        <f t="shared" si="113"/>
        <v>59, Maubeuge, ZUP de la Caserne Joyeuse-Maubeuge, France continentale, Base Carbone</v>
      </c>
      <c r="G1253" s="1055" t="str">
        <f t="shared" si="114"/>
        <v>59, Maubeuge, ZUP de la Caserne Joyeuse-Maubeuge, France continentale, Base Carbone; kgCO2e/kWh</v>
      </c>
      <c r="I1253" s="2018" t="s">
        <v>3464</v>
      </c>
      <c r="J1253" s="1135" t="s">
        <v>1681</v>
      </c>
      <c r="K1253" s="1119" t="s">
        <v>1567</v>
      </c>
      <c r="L1253" s="1119" t="s">
        <v>1571</v>
      </c>
      <c r="M1253" s="1134">
        <v>0.3</v>
      </c>
      <c r="N1253" s="1135"/>
      <c r="O1253" s="1135">
        <v>0.215</v>
      </c>
      <c r="P1253" s="1048"/>
      <c r="Q1253" s="1048"/>
      <c r="R1253" s="1048"/>
      <c r="S1253" s="1048"/>
      <c r="T1253" s="1048"/>
      <c r="U1253" s="1102"/>
    </row>
    <row r="1254" spans="2:21" hidden="1" outlineLevel="2">
      <c r="B1254" s="1050">
        <v>333</v>
      </c>
      <c r="C1254" s="2035" t="str">
        <f t="shared" si="111"/>
        <v>59, Mons-en-Barœul, Réseau de Mons-en-Baroeul, France continentale, Base Carbone</v>
      </c>
      <c r="D1254" s="1051">
        <f t="shared" si="112"/>
        <v>333</v>
      </c>
      <c r="E1254" s="1051" t="str">
        <f>IF(COUNTIF(E$921:E1253,F1254)&gt;0,"",F1254)</f>
        <v>59, Mons-en-Barœul, Réseau de Mons-en-Baroeul, France continentale, Base Carbone</v>
      </c>
      <c r="F1254" s="1051" t="str">
        <f t="shared" si="113"/>
        <v>59, Mons-en-Barœul, Réseau de Mons-en-Baroeul, France continentale, Base Carbone</v>
      </c>
      <c r="G1254" s="1055" t="str">
        <f t="shared" si="114"/>
        <v>59, Mons-en-Barœul, Réseau de Mons-en-Baroeul, France continentale, Base Carbone; kgCO2e/kWh</v>
      </c>
      <c r="I1254" s="2018" t="s">
        <v>3465</v>
      </c>
      <c r="J1254" s="1135" t="s">
        <v>1681</v>
      </c>
      <c r="K1254" s="1119" t="s">
        <v>1567</v>
      </c>
      <c r="L1254" s="1119" t="s">
        <v>1571</v>
      </c>
      <c r="M1254" s="1134">
        <v>0.3</v>
      </c>
      <c r="N1254" s="1135"/>
      <c r="O1254" s="1135">
        <v>0.151</v>
      </c>
      <c r="P1254" s="1048"/>
      <c r="Q1254" s="1048"/>
      <c r="R1254" s="1048"/>
      <c r="S1254" s="1048"/>
      <c r="T1254" s="1048"/>
      <c r="U1254" s="1102"/>
    </row>
    <row r="1255" spans="2:21" hidden="1" outlineLevel="2">
      <c r="B1255" s="1050">
        <v>334</v>
      </c>
      <c r="C1255" s="2035" t="str">
        <f t="shared" si="111"/>
        <v>59, Roubaix, Réseau de Roubaix, France continentale, Base Carbone</v>
      </c>
      <c r="D1255" s="1051">
        <f t="shared" si="112"/>
        <v>334</v>
      </c>
      <c r="E1255" s="1051" t="str">
        <f>IF(COUNTIF(E$921:E1254,F1255)&gt;0,"",F1255)</f>
        <v>59, Roubaix, Réseau de Roubaix, France continentale, Base Carbone</v>
      </c>
      <c r="F1255" s="1051" t="str">
        <f t="shared" si="113"/>
        <v>59, Roubaix, Réseau de Roubaix, France continentale, Base Carbone</v>
      </c>
      <c r="G1255" s="1055" t="str">
        <f t="shared" si="114"/>
        <v>59, Roubaix, Réseau de Roubaix, France continentale, Base Carbone; kgCO2e/kWh</v>
      </c>
      <c r="I1255" s="2018" t="s">
        <v>3466</v>
      </c>
      <c r="J1255" s="1135" t="s">
        <v>1681</v>
      </c>
      <c r="K1255" s="1119" t="s">
        <v>1567</v>
      </c>
      <c r="L1255" s="1119" t="s">
        <v>1571</v>
      </c>
      <c r="M1255" s="1134">
        <v>0.3</v>
      </c>
      <c r="N1255" s="1135"/>
      <c r="O1255" s="1135">
        <v>9.1999999999999998E-2</v>
      </c>
      <c r="P1255" s="1048"/>
      <c r="Q1255" s="1048"/>
      <c r="R1255" s="1048"/>
      <c r="S1255" s="1048"/>
      <c r="T1255" s="1048"/>
      <c r="U1255" s="1102"/>
    </row>
    <row r="1256" spans="2:21" hidden="1" outlineLevel="2">
      <c r="B1256" s="1050">
        <v>335</v>
      </c>
      <c r="C1256" s="2035" t="str">
        <f t="shared" si="111"/>
        <v>59, Sains-du-Nord, Réseau de Sains-du-Nord, France continentale, Base Carbone</v>
      </c>
      <c r="D1256" s="1051">
        <f t="shared" si="112"/>
        <v>335</v>
      </c>
      <c r="E1256" s="1051" t="str">
        <f>IF(COUNTIF(E$921:E1255,F1256)&gt;0,"",F1256)</f>
        <v>59, Sains-du-Nord, Réseau de Sains-du-Nord, France continentale, Base Carbone</v>
      </c>
      <c r="F1256" s="1051" t="str">
        <f t="shared" si="113"/>
        <v>59, Sains-du-Nord, Réseau de Sains-du-Nord, France continentale, Base Carbone</v>
      </c>
      <c r="G1256" s="1055" t="str">
        <f t="shared" si="114"/>
        <v>59, Sains-du-Nord, Réseau de Sains-du-Nord, France continentale, Base Carbone; kgCO2e/kWh</v>
      </c>
      <c r="I1256" s="2018" t="s">
        <v>2967</v>
      </c>
      <c r="J1256" s="1135" t="s">
        <v>1681</v>
      </c>
      <c r="K1256" s="1119" t="s">
        <v>1567</v>
      </c>
      <c r="L1256" s="1119" t="s">
        <v>1571</v>
      </c>
      <c r="M1256" s="1134">
        <v>0.3</v>
      </c>
      <c r="N1256" s="1135"/>
      <c r="O1256" s="1135">
        <v>4.5999999999999999E-2</v>
      </c>
      <c r="P1256" s="1048"/>
      <c r="Q1256" s="1048"/>
      <c r="R1256" s="1048"/>
      <c r="S1256" s="1048"/>
      <c r="T1256" s="1048"/>
      <c r="U1256" s="1102"/>
    </row>
    <row r="1257" spans="2:21" hidden="1" outlineLevel="2">
      <c r="B1257" s="1050">
        <v>336</v>
      </c>
      <c r="C1257" s="2035" t="str">
        <f t="shared" si="111"/>
        <v>59, Sin-le-Noble, Réseau de chaleur de Sin Le Noble, France continentale, Base Carbone</v>
      </c>
      <c r="D1257" s="1051">
        <f t="shared" si="112"/>
        <v>336</v>
      </c>
      <c r="E1257" s="1051" t="str">
        <f>IF(COUNTIF(E$921:E1256,F1257)&gt;0,"",F1257)</f>
        <v>59, Sin-le-Noble, Réseau de chaleur de Sin Le Noble, France continentale, Base Carbone</v>
      </c>
      <c r="F1257" s="1051" t="str">
        <f t="shared" si="113"/>
        <v>59, Sin-le-Noble, Réseau de chaleur de Sin Le Noble, France continentale, Base Carbone</v>
      </c>
      <c r="G1257" s="1055" t="str">
        <f t="shared" si="114"/>
        <v>59, Sin-le-Noble, Réseau de chaleur de Sin Le Noble, France continentale, Base Carbone; kgCO2e/kWh</v>
      </c>
      <c r="I1257" s="2018" t="s">
        <v>3467</v>
      </c>
      <c r="J1257" s="1135" t="s">
        <v>1681</v>
      </c>
      <c r="K1257" s="1119" t="s">
        <v>1567</v>
      </c>
      <c r="L1257" s="1119" t="s">
        <v>1571</v>
      </c>
      <c r="M1257" s="1134">
        <v>0.3</v>
      </c>
      <c r="N1257" s="1135"/>
      <c r="O1257" s="1135">
        <v>0.108</v>
      </c>
      <c r="P1257" s="1048"/>
      <c r="Q1257" s="1048"/>
      <c r="R1257" s="1048"/>
      <c r="S1257" s="1048"/>
      <c r="T1257" s="1048"/>
      <c r="U1257" s="1102"/>
    </row>
    <row r="1258" spans="2:21" hidden="1" outlineLevel="2">
      <c r="B1258" s="1050">
        <v>337</v>
      </c>
      <c r="C1258" s="2035" t="str">
        <f t="shared" si="111"/>
        <v>59, Valenciennes, Les Canonniers, France continentale, Base Carbone</v>
      </c>
      <c r="D1258" s="1051">
        <f t="shared" si="112"/>
        <v>337</v>
      </c>
      <c r="E1258" s="1051" t="str">
        <f>IF(COUNTIF(E$921:E1257,F1258)&gt;0,"",F1258)</f>
        <v>59, Valenciennes, Les Canonniers, France continentale, Base Carbone</v>
      </c>
      <c r="F1258" s="1051" t="str">
        <f t="shared" si="113"/>
        <v>59, Valenciennes, Les Canonniers, France continentale, Base Carbone</v>
      </c>
      <c r="G1258" s="1055" t="str">
        <f t="shared" si="114"/>
        <v>59, Valenciennes, Les Canonniers, France continentale, Base Carbone; kgCO2e/kWh</v>
      </c>
      <c r="I1258" s="2018" t="s">
        <v>2968</v>
      </c>
      <c r="J1258" s="1135" t="s">
        <v>1681</v>
      </c>
      <c r="K1258" s="1119" t="s">
        <v>1567</v>
      </c>
      <c r="L1258" s="1119" t="s">
        <v>1571</v>
      </c>
      <c r="M1258" s="1134">
        <v>0.3</v>
      </c>
      <c r="N1258" s="1135"/>
      <c r="O1258" s="1135">
        <v>0.24</v>
      </c>
      <c r="P1258" s="1048"/>
      <c r="Q1258" s="1048"/>
      <c r="R1258" s="1048"/>
      <c r="S1258" s="1048"/>
      <c r="T1258" s="1048"/>
      <c r="U1258" s="1102"/>
    </row>
    <row r="1259" spans="2:21" hidden="1" outlineLevel="2">
      <c r="B1259" s="1050">
        <v>338</v>
      </c>
      <c r="C1259" s="2035" t="str">
        <f t="shared" si="111"/>
        <v>59, Villeneuve-d’Ascq, Domaine Universitaire et Scientifique, France continentale, Base Carbone</v>
      </c>
      <c r="D1259" s="1051">
        <f t="shared" si="112"/>
        <v>338</v>
      </c>
      <c r="E1259" s="1051" t="str">
        <f>IF(COUNTIF(E$921:E1258,F1259)&gt;0,"",F1259)</f>
        <v>59, Villeneuve-d’Ascq, Domaine Universitaire et Scientifique, France continentale, Base Carbone</v>
      </c>
      <c r="F1259" s="1051" t="str">
        <f t="shared" si="113"/>
        <v>59, Villeneuve-d’Ascq, Domaine Universitaire et Scientifique, France continentale, Base Carbone</v>
      </c>
      <c r="G1259" s="1055" t="str">
        <f t="shared" si="114"/>
        <v>59, Villeneuve-d’Ascq, Domaine Universitaire et Scientifique, France continentale, Base Carbone; kgCO2e/kWh</v>
      </c>
      <c r="I1259" s="2018" t="s">
        <v>3468</v>
      </c>
      <c r="J1259" s="1135" t="s">
        <v>1681</v>
      </c>
      <c r="K1259" s="1119" t="s">
        <v>1567</v>
      </c>
      <c r="L1259" s="1119" t="s">
        <v>1571</v>
      </c>
      <c r="M1259" s="1134">
        <v>0.3</v>
      </c>
      <c r="N1259" s="1135"/>
      <c r="O1259" s="1135">
        <v>0.20599999999999999</v>
      </c>
      <c r="P1259" s="1048"/>
      <c r="Q1259" s="1048"/>
      <c r="R1259" s="1048"/>
      <c r="S1259" s="1048"/>
      <c r="T1259" s="1048"/>
      <c r="U1259" s="1102"/>
    </row>
    <row r="1260" spans="2:21" hidden="1" outlineLevel="2">
      <c r="B1260" s="1050">
        <v>339</v>
      </c>
      <c r="C1260" s="2035" t="str">
        <f t="shared" si="111"/>
        <v>59, Villeneuve-d’Ascq, Quartier Pont de bois, France continentale, Base Carbone</v>
      </c>
      <c r="D1260" s="1051">
        <f t="shared" si="112"/>
        <v>339</v>
      </c>
      <c r="E1260" s="1051" t="str">
        <f>IF(COUNTIF(E$921:E1259,F1260)&gt;0,"",F1260)</f>
        <v>59, Villeneuve-d’Ascq, Quartier Pont de bois, France continentale, Base Carbone</v>
      </c>
      <c r="F1260" s="1051" t="str">
        <f t="shared" si="113"/>
        <v>59, Villeneuve-d’Ascq, Quartier Pont de bois, France continentale, Base Carbone</v>
      </c>
      <c r="G1260" s="1055" t="str">
        <f t="shared" si="114"/>
        <v>59, Villeneuve-d’Ascq, Quartier Pont de bois, France continentale, Base Carbone; kgCO2e/kWh</v>
      </c>
      <c r="I1260" s="2018" t="s">
        <v>3469</v>
      </c>
      <c r="J1260" s="1135" t="s">
        <v>1681</v>
      </c>
      <c r="K1260" s="1119" t="s">
        <v>1567</v>
      </c>
      <c r="L1260" s="1119" t="s">
        <v>1571</v>
      </c>
      <c r="M1260" s="1134">
        <v>0.3</v>
      </c>
      <c r="N1260" s="1135"/>
      <c r="O1260" s="1135">
        <v>0.23100000000000001</v>
      </c>
      <c r="P1260" s="1048"/>
      <c r="Q1260" s="1048"/>
      <c r="R1260" s="1048"/>
      <c r="S1260" s="1048"/>
      <c r="T1260" s="1048"/>
      <c r="U1260" s="1102"/>
    </row>
    <row r="1261" spans="2:21" hidden="1" outlineLevel="2">
      <c r="B1261" s="1050">
        <v>340</v>
      </c>
      <c r="C1261" s="2035" t="str">
        <f t="shared" si="111"/>
        <v>59, Wattignies, Réseaux de Wattignies, France continentale, Base Carbone</v>
      </c>
      <c r="D1261" s="1051">
        <f t="shared" si="112"/>
        <v>340</v>
      </c>
      <c r="E1261" s="1051" t="str">
        <f>IF(COUNTIF(E$921:E1260,F1261)&gt;0,"",F1261)</f>
        <v>59, Wattignies, Réseaux de Wattignies, France continentale, Base Carbone</v>
      </c>
      <c r="F1261" s="1051" t="str">
        <f t="shared" si="113"/>
        <v>59, Wattignies, Réseaux de Wattignies, France continentale, Base Carbone</v>
      </c>
      <c r="G1261" s="1055" t="str">
        <f t="shared" si="114"/>
        <v>59, Wattignies, Réseaux de Wattignies, France continentale, Base Carbone; kgCO2e/kWh</v>
      </c>
      <c r="I1261" s="2018" t="s">
        <v>3470</v>
      </c>
      <c r="J1261" s="1135" t="s">
        <v>1681</v>
      </c>
      <c r="K1261" s="1119" t="s">
        <v>1567</v>
      </c>
      <c r="L1261" s="1119" t="s">
        <v>1571</v>
      </c>
      <c r="M1261" s="1134">
        <v>0.3</v>
      </c>
      <c r="N1261" s="1135"/>
      <c r="O1261" s="1135">
        <v>0.17799999999999999</v>
      </c>
      <c r="P1261" s="1048"/>
      <c r="Q1261" s="1048"/>
      <c r="R1261" s="1048"/>
      <c r="S1261" s="1048"/>
      <c r="T1261" s="1048"/>
      <c r="U1261" s="1102"/>
    </row>
    <row r="1262" spans="2:21" hidden="1" outlineLevel="2">
      <c r="B1262" s="1050">
        <v>341</v>
      </c>
      <c r="C1262" s="2035" t="str">
        <f t="shared" si="111"/>
        <v>59, Wattrelos, Réseau de Wattrelos, France continentale, Base Carbone</v>
      </c>
      <c r="D1262" s="1051">
        <f t="shared" si="112"/>
        <v>341</v>
      </c>
      <c r="E1262" s="1051" t="str">
        <f>IF(COUNTIF(E$921:E1261,F1262)&gt;0,"",F1262)</f>
        <v>59, Wattrelos, Réseau de Wattrelos, France continentale, Base Carbone</v>
      </c>
      <c r="F1262" s="1051" t="str">
        <f t="shared" si="113"/>
        <v>59, Wattrelos, Réseau de Wattrelos, France continentale, Base Carbone</v>
      </c>
      <c r="G1262" s="1055" t="str">
        <f t="shared" si="114"/>
        <v>59, Wattrelos, Réseau de Wattrelos, France continentale, Base Carbone; kgCO2e/kWh</v>
      </c>
      <c r="I1262" s="2018" t="s">
        <v>967</v>
      </c>
      <c r="J1262" s="1135" t="s">
        <v>1681</v>
      </c>
      <c r="K1262" s="1119" t="s">
        <v>1567</v>
      </c>
      <c r="L1262" s="1119" t="s">
        <v>1571</v>
      </c>
      <c r="M1262" s="1134">
        <v>0.3</v>
      </c>
      <c r="N1262" s="1135"/>
      <c r="O1262" s="1135">
        <v>0.24</v>
      </c>
      <c r="P1262" s="1048"/>
      <c r="Q1262" s="1048"/>
      <c r="R1262" s="1048"/>
      <c r="S1262" s="1048"/>
      <c r="T1262" s="1048"/>
      <c r="U1262" s="1102"/>
    </row>
    <row r="1263" spans="2:21" hidden="1" outlineLevel="2">
      <c r="B1263" s="1050">
        <v>342</v>
      </c>
      <c r="C1263" s="2035" t="str">
        <f t="shared" si="111"/>
        <v>6, Cannes, Ranguin, France continentale, Base Carbone</v>
      </c>
      <c r="D1263" s="1051">
        <f t="shared" si="112"/>
        <v>342</v>
      </c>
      <c r="E1263" s="1051" t="str">
        <f>IF(COUNTIF(E$921:E1262,F1263)&gt;0,"",F1263)</f>
        <v>6, Cannes, Ranguin, France continentale, Base Carbone</v>
      </c>
      <c r="F1263" s="1051" t="str">
        <f t="shared" si="113"/>
        <v>6, Cannes, Ranguin, France continentale, Base Carbone</v>
      </c>
      <c r="G1263" s="1055" t="str">
        <f t="shared" si="114"/>
        <v>6, Cannes, Ranguin, France continentale, Base Carbone; kgCO2e/kWh</v>
      </c>
      <c r="I1263" s="2018" t="s">
        <v>2969</v>
      </c>
      <c r="J1263" s="1135" t="s">
        <v>1681</v>
      </c>
      <c r="K1263" s="1119" t="s">
        <v>1567</v>
      </c>
      <c r="L1263" s="1119" t="s">
        <v>1571</v>
      </c>
      <c r="M1263" s="1134">
        <v>0.3</v>
      </c>
      <c r="N1263" s="1135"/>
      <c r="O1263" s="1135">
        <v>0.129</v>
      </c>
      <c r="P1263" s="1048"/>
      <c r="Q1263" s="1048"/>
      <c r="R1263" s="1048"/>
      <c r="S1263" s="1048"/>
      <c r="T1263" s="1048"/>
      <c r="U1263" s="1102"/>
    </row>
    <row r="1264" spans="2:21" hidden="1" outlineLevel="2">
      <c r="B1264" s="1050">
        <v>343</v>
      </c>
      <c r="C1264" s="2035" t="str">
        <f t="shared" si="111"/>
        <v>6, Levens, Réseau chaleur et froid chaine de vie 06, France continentale, Base Carbone</v>
      </c>
      <c r="D1264" s="1051">
        <f t="shared" si="112"/>
        <v>343</v>
      </c>
      <c r="E1264" s="1051" t="str">
        <f>IF(COUNTIF(E$921:E1263,F1264)&gt;0,"",F1264)</f>
        <v>6, Levens, Réseau chaleur et froid chaine de vie 06, France continentale, Base Carbone</v>
      </c>
      <c r="F1264" s="1051" t="str">
        <f t="shared" si="113"/>
        <v>6, Levens, Réseau chaleur et froid chaine de vie 06, France continentale, Base Carbone</v>
      </c>
      <c r="G1264" s="1055" t="str">
        <f t="shared" si="114"/>
        <v>6, Levens, Réseau chaleur et froid chaine de vie 06, France continentale, Base Carbone; kgCO2e/kWh</v>
      </c>
      <c r="I1264" s="2018" t="s">
        <v>3471</v>
      </c>
      <c r="J1264" s="1135" t="s">
        <v>1681</v>
      </c>
      <c r="K1264" s="1119" t="s">
        <v>1567</v>
      </c>
      <c r="L1264" s="1119" t="s">
        <v>1571</v>
      </c>
      <c r="M1264" s="1134">
        <v>0.3</v>
      </c>
      <c r="N1264" s="1135"/>
      <c r="O1264" s="1135">
        <v>7.0000000000000007E-2</v>
      </c>
      <c r="P1264" s="1048"/>
      <c r="Q1264" s="1048"/>
      <c r="R1264" s="1048"/>
      <c r="S1264" s="1048"/>
      <c r="T1264" s="1048"/>
      <c r="U1264" s="1102"/>
    </row>
    <row r="1265" spans="2:21" hidden="1" outlineLevel="2">
      <c r="B1265" s="1050">
        <v>344</v>
      </c>
      <c r="C1265" s="2035" t="str">
        <f t="shared" si="111"/>
        <v>6, Nice, Saint Augustin (HLM), France continentale, Base Carbone</v>
      </c>
      <c r="D1265" s="1051">
        <f t="shared" si="112"/>
        <v>344</v>
      </c>
      <c r="E1265" s="1051" t="str">
        <f>IF(COUNTIF(E$921:E1264,F1265)&gt;0,"",F1265)</f>
        <v>6, Nice, Saint Augustin (HLM), France continentale, Base Carbone</v>
      </c>
      <c r="F1265" s="1051" t="str">
        <f t="shared" si="113"/>
        <v>6, Nice, Saint Augustin (HLM), France continentale, Base Carbone</v>
      </c>
      <c r="G1265" s="1055" t="str">
        <f t="shared" si="114"/>
        <v>6, Nice, Saint Augustin (HLM), France continentale, Base Carbone; kgCO2e/kWh</v>
      </c>
      <c r="I1265" s="2018" t="s">
        <v>2970</v>
      </c>
      <c r="J1265" s="1135" t="s">
        <v>1681</v>
      </c>
      <c r="K1265" s="1119" t="s">
        <v>1567</v>
      </c>
      <c r="L1265" s="1119" t="s">
        <v>1571</v>
      </c>
      <c r="M1265" s="1134">
        <v>0.3</v>
      </c>
      <c r="N1265" s="1135"/>
      <c r="O1265" s="1135">
        <v>0.183</v>
      </c>
      <c r="P1265" s="1048"/>
      <c r="Q1265" s="1048"/>
      <c r="R1265" s="1048"/>
      <c r="S1265" s="1048"/>
      <c r="T1265" s="1048"/>
      <c r="U1265" s="1102"/>
    </row>
    <row r="1266" spans="2:21" hidden="1" outlineLevel="2">
      <c r="B1266" s="1050">
        <v>345</v>
      </c>
      <c r="C1266" s="2035" t="str">
        <f t="shared" si="111"/>
        <v>6, Nice, Sonitherm-Réseau de l’Ariane, France continentale, Base Carbone</v>
      </c>
      <c r="D1266" s="1051">
        <f t="shared" si="112"/>
        <v>345</v>
      </c>
      <c r="E1266" s="1051" t="str">
        <f>IF(COUNTIF(E$921:E1265,F1266)&gt;0,"",F1266)</f>
        <v>6, Nice, Sonitherm-Réseau de l’Ariane, France continentale, Base Carbone</v>
      </c>
      <c r="F1266" s="1051" t="str">
        <f t="shared" si="113"/>
        <v>6, Nice, Sonitherm-Réseau de l’Ariane, France continentale, Base Carbone</v>
      </c>
      <c r="G1266" s="1055" t="str">
        <f t="shared" si="114"/>
        <v>6, Nice, Sonitherm-Réseau de l’Ariane, France continentale, Base Carbone; kgCO2e/kWh</v>
      </c>
      <c r="I1266" s="2018" t="s">
        <v>3472</v>
      </c>
      <c r="J1266" s="1135" t="s">
        <v>1681</v>
      </c>
      <c r="K1266" s="1119" t="s">
        <v>1567</v>
      </c>
      <c r="L1266" s="1119" t="s">
        <v>1571</v>
      </c>
      <c r="M1266" s="1134">
        <v>0.3</v>
      </c>
      <c r="N1266" s="1135"/>
      <c r="O1266" s="1135">
        <v>0</v>
      </c>
      <c r="P1266" s="1048"/>
      <c r="Q1266" s="1048"/>
      <c r="R1266" s="1048"/>
      <c r="S1266" s="1048"/>
      <c r="T1266" s="1048"/>
      <c r="U1266" s="1102"/>
    </row>
    <row r="1267" spans="2:21" hidden="1" outlineLevel="2">
      <c r="B1267" s="1050">
        <v>346</v>
      </c>
      <c r="C1267" s="2035" t="str">
        <f t="shared" si="111"/>
        <v>60, Beauvais, Réseau du Quartier Saint-Jean, France continentale, Base Carbone</v>
      </c>
      <c r="D1267" s="1051">
        <f t="shared" si="112"/>
        <v>346</v>
      </c>
      <c r="E1267" s="1051" t="str">
        <f>IF(COUNTIF(E$921:E1266,F1267)&gt;0,"",F1267)</f>
        <v>60, Beauvais, Réseau du Quartier Saint-Jean, France continentale, Base Carbone</v>
      </c>
      <c r="F1267" s="1051" t="str">
        <f t="shared" si="113"/>
        <v>60, Beauvais, Réseau du Quartier Saint-Jean, France continentale, Base Carbone</v>
      </c>
      <c r="G1267" s="1055" t="str">
        <f t="shared" si="114"/>
        <v>60, Beauvais, Réseau du Quartier Saint-Jean, France continentale, Base Carbone; kgCO2e/kWh</v>
      </c>
      <c r="I1267" s="2018" t="s">
        <v>2971</v>
      </c>
      <c r="J1267" s="1135" t="s">
        <v>1681</v>
      </c>
      <c r="K1267" s="1119" t="s">
        <v>1567</v>
      </c>
      <c r="L1267" s="1119" t="s">
        <v>1571</v>
      </c>
      <c r="M1267" s="1134">
        <v>0.3</v>
      </c>
      <c r="N1267" s="1135"/>
      <c r="O1267" s="1135">
        <v>2.1000000000000001E-2</v>
      </c>
      <c r="P1267" s="1048"/>
      <c r="Q1267" s="1048"/>
      <c r="R1267" s="1048"/>
      <c r="S1267" s="1048"/>
      <c r="T1267" s="1048"/>
      <c r="U1267" s="1102"/>
    </row>
    <row r="1268" spans="2:21" hidden="1" outlineLevel="2">
      <c r="B1268" s="1050">
        <v>347</v>
      </c>
      <c r="C1268" s="2035" t="str">
        <f t="shared" si="111"/>
        <v>60, Breteuil-sur-Noye, Réseau de Breteuil-sur-Noye, France continentale, Base Carbone</v>
      </c>
      <c r="D1268" s="1051">
        <f t="shared" si="112"/>
        <v>347</v>
      </c>
      <c r="E1268" s="1051" t="str">
        <f>IF(COUNTIF(E$921:E1267,F1268)&gt;0,"",F1268)</f>
        <v>60, Breteuil-sur-Noye, Réseau de Breteuil-sur-Noye, France continentale, Base Carbone</v>
      </c>
      <c r="F1268" s="1051" t="str">
        <f t="shared" si="113"/>
        <v>60, Breteuil-sur-Noye, Réseau de Breteuil-sur-Noye, France continentale, Base Carbone</v>
      </c>
      <c r="G1268" s="1055" t="str">
        <f t="shared" si="114"/>
        <v>60, Breteuil-sur-Noye, Réseau de Breteuil-sur-Noye, France continentale, Base Carbone; kgCO2e/kWh</v>
      </c>
      <c r="I1268" s="2018" t="s">
        <v>2972</v>
      </c>
      <c r="J1268" s="1135" t="s">
        <v>1681</v>
      </c>
      <c r="K1268" s="1119" t="s">
        <v>1567</v>
      </c>
      <c r="L1268" s="1119" t="s">
        <v>1571</v>
      </c>
      <c r="M1268" s="1134">
        <v>0.3</v>
      </c>
      <c r="N1268" s="1135"/>
      <c r="O1268" s="1135">
        <v>7.0000000000000001E-3</v>
      </c>
      <c r="P1268" s="1048"/>
      <c r="Q1268" s="1048"/>
      <c r="R1268" s="1048"/>
      <c r="S1268" s="1048"/>
      <c r="T1268" s="1048"/>
      <c r="U1268" s="1102"/>
    </row>
    <row r="1269" spans="2:21" hidden="1" outlineLevel="2">
      <c r="B1269" s="1050">
        <v>348</v>
      </c>
      <c r="C1269" s="2035" t="str">
        <f t="shared" si="111"/>
        <v>60, Compiègne, Réseau de Compiègne, France continentale, Base Carbone</v>
      </c>
      <c r="D1269" s="1051">
        <f t="shared" si="112"/>
        <v>348</v>
      </c>
      <c r="E1269" s="1051" t="str">
        <f>IF(COUNTIF(E$921:E1268,F1269)&gt;0,"",F1269)</f>
        <v>60, Compiègne, Réseau de Compiègne, France continentale, Base Carbone</v>
      </c>
      <c r="F1269" s="1051" t="str">
        <f t="shared" si="113"/>
        <v>60, Compiègne, Réseau de Compiègne, France continentale, Base Carbone</v>
      </c>
      <c r="G1269" s="1055" t="str">
        <f t="shared" si="114"/>
        <v>60, Compiègne, Réseau de Compiègne, France continentale, Base Carbone; kgCO2e/kWh</v>
      </c>
      <c r="I1269" s="2018" t="s">
        <v>968</v>
      </c>
      <c r="J1269" s="1135" t="s">
        <v>1681</v>
      </c>
      <c r="K1269" s="1119" t="s">
        <v>1567</v>
      </c>
      <c r="L1269" s="1119" t="s">
        <v>1571</v>
      </c>
      <c r="M1269" s="1134">
        <v>0.3</v>
      </c>
      <c r="N1269" s="1135"/>
      <c r="O1269" s="1135">
        <v>0.22900000000000001</v>
      </c>
      <c r="P1269" s="1048"/>
      <c r="Q1269" s="1048"/>
      <c r="R1269" s="1048"/>
      <c r="S1269" s="1048"/>
      <c r="T1269" s="1048"/>
      <c r="U1269" s="1102"/>
    </row>
    <row r="1270" spans="2:21" hidden="1" outlineLevel="2">
      <c r="B1270" s="1050">
        <v>349</v>
      </c>
      <c r="C1270" s="2035" t="str">
        <f t="shared" si="111"/>
        <v>60, Creil, La Cavée et les hironvalles, France continentale, Base Carbone</v>
      </c>
      <c r="D1270" s="1051">
        <f t="shared" si="112"/>
        <v>349</v>
      </c>
      <c r="E1270" s="1051" t="str">
        <f>IF(COUNTIF(E$921:E1269,F1270)&gt;0,"",F1270)</f>
        <v>60, Creil, La Cavée et les hironvalles, France continentale, Base Carbone</v>
      </c>
      <c r="F1270" s="1051" t="str">
        <f t="shared" si="113"/>
        <v>60, Creil, La Cavée et les hironvalles, France continentale, Base Carbone</v>
      </c>
      <c r="G1270" s="1055" t="str">
        <f t="shared" si="114"/>
        <v>60, Creil, La Cavée et les hironvalles, France continentale, Base Carbone; kgCO2e/kWh</v>
      </c>
      <c r="I1270" s="2018" t="s">
        <v>3473</v>
      </c>
      <c r="J1270" s="1135" t="s">
        <v>1681</v>
      </c>
      <c r="K1270" s="1119" t="s">
        <v>1567</v>
      </c>
      <c r="L1270" s="1119" t="s">
        <v>1571</v>
      </c>
      <c r="M1270" s="1134">
        <v>0.3</v>
      </c>
      <c r="N1270" s="1135"/>
      <c r="O1270" s="1135">
        <v>0.123</v>
      </c>
      <c r="P1270" s="1048"/>
      <c r="Q1270" s="1048"/>
      <c r="R1270" s="1048"/>
      <c r="S1270" s="1048"/>
      <c r="T1270" s="1048"/>
      <c r="U1270" s="1102"/>
    </row>
    <row r="1271" spans="2:21" hidden="1" outlineLevel="2">
      <c r="B1271" s="1050">
        <v>350</v>
      </c>
      <c r="C1271" s="2035" t="str">
        <f t="shared" si="111"/>
        <v>60, Montataire, Les Martinets, France continentale, Base Carbone</v>
      </c>
      <c r="D1271" s="1051">
        <f t="shared" si="112"/>
        <v>350</v>
      </c>
      <c r="E1271" s="1051" t="str">
        <f>IF(COUNTIF(E$921:E1270,F1271)&gt;0,"",F1271)</f>
        <v>60, Montataire, Les Martinets, France continentale, Base Carbone</v>
      </c>
      <c r="F1271" s="1051" t="str">
        <f t="shared" si="113"/>
        <v>60, Montataire, Les Martinets, France continentale, Base Carbone</v>
      </c>
      <c r="G1271" s="1055" t="str">
        <f t="shared" si="114"/>
        <v>60, Montataire, Les Martinets, France continentale, Base Carbone; kgCO2e/kWh</v>
      </c>
      <c r="I1271" s="2018" t="s">
        <v>969</v>
      </c>
      <c r="J1271" s="1135" t="s">
        <v>1681</v>
      </c>
      <c r="K1271" s="1119" t="s">
        <v>1567</v>
      </c>
      <c r="L1271" s="1119" t="s">
        <v>1571</v>
      </c>
      <c r="M1271" s="1134">
        <v>0.3</v>
      </c>
      <c r="N1271" s="1135"/>
      <c r="O1271" s="1135">
        <v>0.16800000000000001</v>
      </c>
      <c r="P1271" s="1048"/>
      <c r="Q1271" s="1048"/>
      <c r="R1271" s="1048"/>
      <c r="S1271" s="1048"/>
      <c r="T1271" s="1048"/>
      <c r="U1271" s="1102"/>
    </row>
    <row r="1272" spans="2:21" hidden="1" outlineLevel="2">
      <c r="B1272" s="1050">
        <v>351</v>
      </c>
      <c r="C1272" s="2035" t="str">
        <f t="shared" si="111"/>
        <v>60, Nogent-sur-Oise, Quartier des Obiers, France continentale, Base Carbone</v>
      </c>
      <c r="D1272" s="1051">
        <f t="shared" si="112"/>
        <v>351</v>
      </c>
      <c r="E1272" s="1051" t="str">
        <f>IF(COUNTIF(E$921:E1271,F1272)&gt;0,"",F1272)</f>
        <v>60, Nogent-sur-Oise, Quartier des Obiers, France continentale, Base Carbone</v>
      </c>
      <c r="F1272" s="1051" t="str">
        <f t="shared" si="113"/>
        <v>60, Nogent-sur-Oise, Quartier des Obiers, France continentale, Base Carbone</v>
      </c>
      <c r="G1272" s="1055" t="str">
        <f t="shared" si="114"/>
        <v>60, Nogent-sur-Oise, Quartier des Obiers, France continentale, Base Carbone; kgCO2e/kWh</v>
      </c>
      <c r="I1272" s="2018" t="s">
        <v>970</v>
      </c>
      <c r="J1272" s="1135" t="s">
        <v>1681</v>
      </c>
      <c r="K1272" s="1119" t="s">
        <v>1567</v>
      </c>
      <c r="L1272" s="1119" t="s">
        <v>1571</v>
      </c>
      <c r="M1272" s="1134">
        <v>0.3</v>
      </c>
      <c r="N1272" s="1135"/>
      <c r="O1272" s="1135">
        <v>8.2000000000000003E-2</v>
      </c>
      <c r="P1272" s="1048"/>
      <c r="Q1272" s="1048"/>
      <c r="R1272" s="1048"/>
      <c r="S1272" s="1048"/>
      <c r="T1272" s="1048"/>
      <c r="U1272" s="1102"/>
    </row>
    <row r="1273" spans="2:21" hidden="1" outlineLevel="2">
      <c r="B1273" s="1050">
        <v>352</v>
      </c>
      <c r="C1273" s="2035" t="str">
        <f t="shared" si="111"/>
        <v>61, Alençon, Perseigne, France continentale, Base Carbone</v>
      </c>
      <c r="D1273" s="1051">
        <f t="shared" si="112"/>
        <v>352</v>
      </c>
      <c r="E1273" s="1051" t="str">
        <f>IF(COUNTIF(E$921:E1272,F1273)&gt;0,"",F1273)</f>
        <v>61, Alençon, Perseigne, France continentale, Base Carbone</v>
      </c>
      <c r="F1273" s="1051" t="str">
        <f t="shared" si="113"/>
        <v>61, Alençon, Perseigne, France continentale, Base Carbone</v>
      </c>
      <c r="G1273" s="1055" t="str">
        <f t="shared" si="114"/>
        <v>61, Alençon, Perseigne, France continentale, Base Carbone; kgCO2e/kWh</v>
      </c>
      <c r="I1273" s="2018" t="s">
        <v>971</v>
      </c>
      <c r="J1273" s="1135" t="s">
        <v>1681</v>
      </c>
      <c r="K1273" s="1119" t="s">
        <v>1567</v>
      </c>
      <c r="L1273" s="1119" t="s">
        <v>1571</v>
      </c>
      <c r="M1273" s="1134">
        <v>0.3</v>
      </c>
      <c r="N1273" s="1135"/>
      <c r="O1273" s="1135">
        <v>5.7000000000000002E-2</v>
      </c>
      <c r="P1273" s="1048"/>
      <c r="Q1273" s="1048"/>
      <c r="R1273" s="1048"/>
      <c r="S1273" s="1048"/>
      <c r="T1273" s="1048"/>
      <c r="U1273" s="1102"/>
    </row>
    <row r="1274" spans="2:21" hidden="1" outlineLevel="2">
      <c r="B1274" s="1050">
        <v>353</v>
      </c>
      <c r="C1274" s="2035" t="str">
        <f t="shared" si="111"/>
        <v>61, Argentan, Quartier Nord-Route de Falaise, France continentale, Base Carbone</v>
      </c>
      <c r="D1274" s="1051">
        <f t="shared" si="112"/>
        <v>353</v>
      </c>
      <c r="E1274" s="1051" t="str">
        <f>IF(COUNTIF(E$921:E1273,F1274)&gt;0,"",F1274)</f>
        <v>61, Argentan, Quartier Nord-Route de Falaise, France continentale, Base Carbone</v>
      </c>
      <c r="F1274" s="1051" t="str">
        <f t="shared" si="113"/>
        <v>61, Argentan, Quartier Nord-Route de Falaise, France continentale, Base Carbone</v>
      </c>
      <c r="G1274" s="1055" t="str">
        <f t="shared" si="114"/>
        <v>61, Argentan, Quartier Nord-Route de Falaise, France continentale, Base Carbone; kgCO2e/kWh</v>
      </c>
      <c r="I1274" s="2018" t="s">
        <v>2973</v>
      </c>
      <c r="J1274" s="1135" t="s">
        <v>1681</v>
      </c>
      <c r="K1274" s="1119" t="s">
        <v>1567</v>
      </c>
      <c r="L1274" s="1119" t="s">
        <v>1571</v>
      </c>
      <c r="M1274" s="1134">
        <v>0.3</v>
      </c>
      <c r="N1274" s="1135"/>
      <c r="O1274" s="1135">
        <v>0.03</v>
      </c>
      <c r="P1274" s="1048"/>
      <c r="Q1274" s="1048"/>
      <c r="R1274" s="1048"/>
      <c r="S1274" s="1048"/>
      <c r="T1274" s="1048"/>
      <c r="U1274" s="1102"/>
    </row>
    <row r="1275" spans="2:21" hidden="1" outlineLevel="2">
      <c r="B1275" s="1050">
        <v>354</v>
      </c>
      <c r="C1275" s="2035" t="str">
        <f t="shared" si="111"/>
        <v>61, Flers, Quartier Saint Sauveur, France continentale, Base Carbone</v>
      </c>
      <c r="D1275" s="1051">
        <f t="shared" si="112"/>
        <v>354</v>
      </c>
      <c r="E1275" s="1051" t="str">
        <f>IF(COUNTIF(E$921:E1274,F1275)&gt;0,"",F1275)</f>
        <v>61, Flers, Quartier Saint Sauveur, France continentale, Base Carbone</v>
      </c>
      <c r="F1275" s="1051" t="str">
        <f t="shared" si="113"/>
        <v>61, Flers, Quartier Saint Sauveur, France continentale, Base Carbone</v>
      </c>
      <c r="G1275" s="1055" t="str">
        <f t="shared" si="114"/>
        <v>61, Flers, Quartier Saint Sauveur, France continentale, Base Carbone; kgCO2e/kWh</v>
      </c>
      <c r="I1275" s="2018" t="s">
        <v>3474</v>
      </c>
      <c r="J1275" s="1135" t="s">
        <v>1681</v>
      </c>
      <c r="K1275" s="1119" t="s">
        <v>1567</v>
      </c>
      <c r="L1275" s="1119" t="s">
        <v>1571</v>
      </c>
      <c r="M1275" s="1134">
        <v>0.3</v>
      </c>
      <c r="N1275" s="1135"/>
      <c r="O1275" s="1135">
        <v>0.06</v>
      </c>
      <c r="P1275" s="1048"/>
      <c r="Q1275" s="1048"/>
      <c r="R1275" s="1048"/>
      <c r="S1275" s="1048"/>
      <c r="T1275" s="1048"/>
      <c r="U1275" s="1102"/>
    </row>
    <row r="1276" spans="2:21" hidden="1" outlineLevel="2">
      <c r="B1276" s="1050">
        <v>355</v>
      </c>
      <c r="C1276" s="2035" t="str">
        <f t="shared" si="111"/>
        <v>61, La Ferté-Macé, Réseau de La Ferté-Macé, France continentale, Base Carbone</v>
      </c>
      <c r="D1276" s="1051">
        <f t="shared" si="112"/>
        <v>355</v>
      </c>
      <c r="E1276" s="1051" t="str">
        <f>IF(COUNTIF(E$921:E1275,F1276)&gt;0,"",F1276)</f>
        <v>61, La Ferté-Macé, Réseau de La Ferté-Macé, France continentale, Base Carbone</v>
      </c>
      <c r="F1276" s="1051" t="str">
        <f t="shared" si="113"/>
        <v>61, La Ferté-Macé, Réseau de La Ferté-Macé, France continentale, Base Carbone</v>
      </c>
      <c r="G1276" s="1055" t="str">
        <f t="shared" si="114"/>
        <v>61, La Ferté-Macé, Réseau de La Ferté-Macé, France continentale, Base Carbone; kgCO2e/kWh</v>
      </c>
      <c r="I1276" s="2018" t="s">
        <v>972</v>
      </c>
      <c r="J1276" s="1135" t="s">
        <v>1681</v>
      </c>
      <c r="K1276" s="1119" t="s">
        <v>1567</v>
      </c>
      <c r="L1276" s="1119" t="s">
        <v>1571</v>
      </c>
      <c r="M1276" s="1134">
        <v>0.3</v>
      </c>
      <c r="N1276" s="1135"/>
      <c r="O1276" s="1135">
        <v>8.0000000000000002E-3</v>
      </c>
      <c r="P1276" s="1048"/>
      <c r="Q1276" s="1048"/>
      <c r="R1276" s="1048"/>
      <c r="S1276" s="1048"/>
      <c r="T1276" s="1048"/>
      <c r="U1276" s="1102"/>
    </row>
    <row r="1277" spans="2:21" hidden="1" outlineLevel="2">
      <c r="B1277" s="1050">
        <v>356</v>
      </c>
      <c r="C1277" s="2035" t="str">
        <f t="shared" si="111"/>
        <v>61, L’Aigle, RECBIA, France continentale, Base Carbone</v>
      </c>
      <c r="D1277" s="1051">
        <f t="shared" si="112"/>
        <v>356</v>
      </c>
      <c r="E1277" s="1051" t="str">
        <f>IF(COUNTIF(E$921:E1276,F1277)&gt;0,"",F1277)</f>
        <v>61, L’Aigle, RECBIA, France continentale, Base Carbone</v>
      </c>
      <c r="F1277" s="1051" t="str">
        <f t="shared" si="113"/>
        <v>61, L’Aigle, RECBIA, France continentale, Base Carbone</v>
      </c>
      <c r="G1277" s="1055" t="str">
        <f t="shared" si="114"/>
        <v>61, L’Aigle, RECBIA, France continentale, Base Carbone; kgCO2e/kWh</v>
      </c>
      <c r="I1277" s="2018" t="s">
        <v>3475</v>
      </c>
      <c r="J1277" s="1135" t="s">
        <v>1681</v>
      </c>
      <c r="K1277" s="1119" t="s">
        <v>1567</v>
      </c>
      <c r="L1277" s="1119" t="s">
        <v>1571</v>
      </c>
      <c r="M1277" s="1134">
        <v>0.3</v>
      </c>
      <c r="N1277" s="1135"/>
      <c r="O1277" s="1135">
        <v>3.5999999999999997E-2</v>
      </c>
      <c r="P1277" s="1048"/>
      <c r="Q1277" s="1048"/>
      <c r="R1277" s="1048"/>
      <c r="S1277" s="1048"/>
      <c r="T1277" s="1048"/>
      <c r="U1277" s="1102"/>
    </row>
    <row r="1278" spans="2:21" hidden="1" outlineLevel="2">
      <c r="B1278" s="1050">
        <v>357</v>
      </c>
      <c r="C1278" s="2035" t="str">
        <f t="shared" si="111"/>
        <v>62, Achicourt, Réseau d’Achicourt, France continentale, Base Carbone</v>
      </c>
      <c r="D1278" s="1051">
        <f t="shared" si="112"/>
        <v>357</v>
      </c>
      <c r="E1278" s="1051" t="str">
        <f>IF(COUNTIF(E$921:E1277,F1278)&gt;0,"",F1278)</f>
        <v>62, Achicourt, Réseau d’Achicourt, France continentale, Base Carbone</v>
      </c>
      <c r="F1278" s="1051" t="str">
        <f t="shared" si="113"/>
        <v>62, Achicourt, Réseau d’Achicourt, France continentale, Base Carbone</v>
      </c>
      <c r="G1278" s="1055" t="str">
        <f t="shared" si="114"/>
        <v>62, Achicourt, Réseau d’Achicourt, France continentale, Base Carbone; kgCO2e/kWh</v>
      </c>
      <c r="I1278" s="2018" t="s">
        <v>3476</v>
      </c>
      <c r="J1278" s="1135" t="s">
        <v>1681</v>
      </c>
      <c r="K1278" s="1119" t="s">
        <v>1567</v>
      </c>
      <c r="L1278" s="1119" t="s">
        <v>1571</v>
      </c>
      <c r="M1278" s="1134">
        <v>0.3</v>
      </c>
      <c r="N1278" s="1135"/>
      <c r="O1278" s="1135">
        <v>7.9000000000000001E-2</v>
      </c>
      <c r="P1278" s="1048"/>
      <c r="Q1278" s="1048"/>
      <c r="R1278" s="1048"/>
      <c r="S1278" s="1048"/>
      <c r="T1278" s="1048"/>
      <c r="U1278" s="1102"/>
    </row>
    <row r="1279" spans="2:21" hidden="1" outlineLevel="2">
      <c r="B1279" s="1050">
        <v>358</v>
      </c>
      <c r="C1279" s="2035" t="str">
        <f t="shared" si="111"/>
        <v>62, Arques, Réseau de Arques, France continentale, Base Carbone</v>
      </c>
      <c r="D1279" s="1051">
        <f t="shared" si="112"/>
        <v>358</v>
      </c>
      <c r="E1279" s="1051" t="str">
        <f>IF(COUNTIF(E$921:E1278,F1279)&gt;0,"",F1279)</f>
        <v>62, Arques, Réseau de Arques, France continentale, Base Carbone</v>
      </c>
      <c r="F1279" s="1051" t="str">
        <f t="shared" si="113"/>
        <v>62, Arques, Réseau de Arques, France continentale, Base Carbone</v>
      </c>
      <c r="G1279" s="1055" t="str">
        <f t="shared" si="114"/>
        <v>62, Arques, Réseau de Arques, France continentale, Base Carbone; kgCO2e/kWh</v>
      </c>
      <c r="I1279" s="2018" t="s">
        <v>2974</v>
      </c>
      <c r="J1279" s="1135" t="s">
        <v>1681</v>
      </c>
      <c r="K1279" s="1119" t="s">
        <v>1567</v>
      </c>
      <c r="L1279" s="1119" t="s">
        <v>1571</v>
      </c>
      <c r="M1279" s="1134">
        <v>0.3</v>
      </c>
      <c r="N1279" s="1135"/>
      <c r="O1279" s="1135">
        <v>6.3E-2</v>
      </c>
      <c r="P1279" s="1048"/>
      <c r="Q1279" s="1048"/>
      <c r="R1279" s="1048"/>
      <c r="S1279" s="1048"/>
      <c r="T1279" s="1048"/>
      <c r="U1279" s="1102"/>
    </row>
    <row r="1280" spans="2:21" hidden="1" outlineLevel="2">
      <c r="B1280" s="1050">
        <v>359</v>
      </c>
      <c r="C1280" s="2035" t="str">
        <f t="shared" si="111"/>
        <v>62, Arras, Réseau d’Arras, France continentale, Base Carbone</v>
      </c>
      <c r="D1280" s="1051">
        <f t="shared" si="112"/>
        <v>359</v>
      </c>
      <c r="E1280" s="1051" t="str">
        <f>IF(COUNTIF(E$921:E1279,F1280)&gt;0,"",F1280)</f>
        <v>62, Arras, Réseau d’Arras, France continentale, Base Carbone</v>
      </c>
      <c r="F1280" s="1051" t="str">
        <f t="shared" si="113"/>
        <v>62, Arras, Réseau d’Arras, France continentale, Base Carbone</v>
      </c>
      <c r="G1280" s="1055" t="str">
        <f t="shared" si="114"/>
        <v>62, Arras, Réseau d’Arras, France continentale, Base Carbone; kgCO2e/kWh</v>
      </c>
      <c r="I1280" s="2018" t="s">
        <v>3477</v>
      </c>
      <c r="J1280" s="1135" t="s">
        <v>1681</v>
      </c>
      <c r="K1280" s="1119" t="s">
        <v>1567</v>
      </c>
      <c r="L1280" s="1119" t="s">
        <v>1571</v>
      </c>
      <c r="M1280" s="1134">
        <v>0.3</v>
      </c>
      <c r="N1280" s="1135"/>
      <c r="O1280" s="1135">
        <v>0.22700000000000001</v>
      </c>
      <c r="P1280" s="1048"/>
      <c r="Q1280" s="1048"/>
      <c r="R1280" s="1048"/>
      <c r="S1280" s="1048"/>
      <c r="T1280" s="1048"/>
      <c r="U1280" s="1102"/>
    </row>
    <row r="1281" spans="2:21" hidden="1" outlineLevel="2">
      <c r="B1281" s="1050">
        <v>360</v>
      </c>
      <c r="C1281" s="2035" t="str">
        <f t="shared" si="111"/>
        <v>62, Avion, ZUP du quartier République-Avion, France continentale, Base Carbone</v>
      </c>
      <c r="D1281" s="1051">
        <f t="shared" si="112"/>
        <v>360</v>
      </c>
      <c r="E1281" s="1051" t="str">
        <f>IF(COUNTIF(E$921:E1280,F1281)&gt;0,"",F1281)</f>
        <v>62, Avion, ZUP du quartier République-Avion, France continentale, Base Carbone</v>
      </c>
      <c r="F1281" s="1051" t="str">
        <f t="shared" si="113"/>
        <v>62, Avion, ZUP du quartier République-Avion, France continentale, Base Carbone</v>
      </c>
      <c r="G1281" s="1055" t="str">
        <f t="shared" si="114"/>
        <v>62, Avion, ZUP du quartier République-Avion, France continentale, Base Carbone; kgCO2e/kWh</v>
      </c>
      <c r="I1281" s="2018" t="s">
        <v>3478</v>
      </c>
      <c r="J1281" s="1135" t="s">
        <v>1681</v>
      </c>
      <c r="K1281" s="1119" t="s">
        <v>1567</v>
      </c>
      <c r="L1281" s="1119" t="s">
        <v>1571</v>
      </c>
      <c r="M1281" s="1134">
        <v>0.3</v>
      </c>
      <c r="N1281" s="1135"/>
      <c r="O1281" s="1135">
        <v>0.20100000000000001</v>
      </c>
      <c r="P1281" s="1048"/>
      <c r="Q1281" s="1048"/>
      <c r="R1281" s="1048"/>
      <c r="S1281" s="1048"/>
      <c r="T1281" s="1048"/>
      <c r="U1281" s="1102"/>
    </row>
    <row r="1282" spans="2:21" hidden="1" outlineLevel="2">
      <c r="B1282" s="1050">
        <v>361</v>
      </c>
      <c r="C1282" s="2035" t="str">
        <f t="shared" si="111"/>
        <v>62, Béthune, Réseau de chaleur de Béthune-Centre-Ville, France continentale, Base Carbone</v>
      </c>
      <c r="D1282" s="1051">
        <f t="shared" si="112"/>
        <v>361</v>
      </c>
      <c r="E1282" s="1051" t="str">
        <f>IF(COUNTIF(E$921:E1281,F1282)&gt;0,"",F1282)</f>
        <v>62, Béthune, Réseau de chaleur de Béthune-Centre-Ville, France continentale, Base Carbone</v>
      </c>
      <c r="F1282" s="1051" t="str">
        <f t="shared" si="113"/>
        <v>62, Béthune, Réseau de chaleur de Béthune-Centre-Ville, France continentale, Base Carbone</v>
      </c>
      <c r="G1282" s="1055" t="str">
        <f t="shared" si="114"/>
        <v>62, Béthune, Réseau de chaleur de Béthune-Centre-Ville, France continentale, Base Carbone; kgCO2e/kWh</v>
      </c>
      <c r="I1282" s="2018" t="s">
        <v>3479</v>
      </c>
      <c r="J1282" s="1135" t="s">
        <v>1681</v>
      </c>
      <c r="K1282" s="1119" t="s">
        <v>1567</v>
      </c>
      <c r="L1282" s="1119" t="s">
        <v>1571</v>
      </c>
      <c r="M1282" s="1134">
        <v>0.3</v>
      </c>
      <c r="N1282" s="1135"/>
      <c r="O1282" s="1135">
        <v>0.214</v>
      </c>
      <c r="P1282" s="1048"/>
      <c r="Q1282" s="1048"/>
      <c r="R1282" s="1048"/>
      <c r="S1282" s="1048"/>
      <c r="T1282" s="1048"/>
      <c r="U1282" s="1102"/>
    </row>
    <row r="1283" spans="2:21" hidden="1" outlineLevel="2">
      <c r="B1283" s="1050">
        <v>362</v>
      </c>
      <c r="C1283" s="2035" t="str">
        <f t="shared" si="111"/>
        <v>62, Béthune, Réseau de chaleur de Béthune-Mont Liebaut, France continentale, Base Carbone</v>
      </c>
      <c r="D1283" s="1051">
        <f t="shared" si="112"/>
        <v>362</v>
      </c>
      <c r="E1283" s="1051" t="str">
        <f>IF(COUNTIF(E$921:E1282,F1283)&gt;0,"",F1283)</f>
        <v>62, Béthune, Réseau de chaleur de Béthune-Mont Liebaut, France continentale, Base Carbone</v>
      </c>
      <c r="F1283" s="1051" t="str">
        <f t="shared" si="113"/>
        <v>62, Béthune, Réseau de chaleur de Béthune-Mont Liebaut, France continentale, Base Carbone</v>
      </c>
      <c r="G1283" s="1055" t="str">
        <f t="shared" si="114"/>
        <v>62, Béthune, Réseau de chaleur de Béthune-Mont Liebaut, France continentale, Base Carbone; kgCO2e/kWh</v>
      </c>
      <c r="I1283" s="2018" t="s">
        <v>3480</v>
      </c>
      <c r="J1283" s="1135" t="s">
        <v>1681</v>
      </c>
      <c r="K1283" s="1119" t="s">
        <v>1567</v>
      </c>
      <c r="L1283" s="1119" t="s">
        <v>1571</v>
      </c>
      <c r="M1283" s="1134">
        <v>0.3</v>
      </c>
      <c r="N1283" s="1135"/>
      <c r="O1283" s="1135">
        <v>0.23699999999999999</v>
      </c>
      <c r="P1283" s="1048"/>
      <c r="Q1283" s="1048"/>
      <c r="R1283" s="1048"/>
      <c r="S1283" s="1048"/>
      <c r="T1283" s="1048"/>
      <c r="U1283" s="1102"/>
    </row>
    <row r="1284" spans="2:21" hidden="1" outlineLevel="2">
      <c r="B1284" s="1050">
        <v>363</v>
      </c>
      <c r="C1284" s="2035" t="str">
        <f t="shared" si="111"/>
        <v>62, Boulogne-sur-Mer, Réseau de Boulogne-sur-Mer, France continentale, Base Carbone</v>
      </c>
      <c r="D1284" s="1051">
        <f t="shared" si="112"/>
        <v>363</v>
      </c>
      <c r="E1284" s="1051" t="str">
        <f>IF(COUNTIF(E$921:E1283,F1284)&gt;0,"",F1284)</f>
        <v>62, Boulogne-sur-Mer, Réseau de Boulogne-sur-Mer, France continentale, Base Carbone</v>
      </c>
      <c r="F1284" s="1051" t="str">
        <f t="shared" si="113"/>
        <v>62, Boulogne-sur-Mer, Réseau de Boulogne-sur-Mer, France continentale, Base Carbone</v>
      </c>
      <c r="G1284" s="1055" t="str">
        <f t="shared" si="114"/>
        <v>62, Boulogne-sur-Mer, Réseau de Boulogne-sur-Mer, France continentale, Base Carbone; kgCO2e/kWh</v>
      </c>
      <c r="I1284" s="2018" t="s">
        <v>2975</v>
      </c>
      <c r="J1284" s="1135" t="s">
        <v>1681</v>
      </c>
      <c r="K1284" s="1119" t="s">
        <v>1567</v>
      </c>
      <c r="L1284" s="1119" t="s">
        <v>1571</v>
      </c>
      <c r="M1284" s="1134">
        <v>0.3</v>
      </c>
      <c r="N1284" s="1135"/>
      <c r="O1284" s="1135">
        <v>0.17</v>
      </c>
      <c r="P1284" s="1048"/>
      <c r="Q1284" s="1048"/>
      <c r="R1284" s="1048"/>
      <c r="S1284" s="1048"/>
      <c r="T1284" s="1048"/>
      <c r="U1284" s="1102"/>
    </row>
    <row r="1285" spans="2:21" hidden="1" outlineLevel="2">
      <c r="B1285" s="1050">
        <v>364</v>
      </c>
      <c r="C1285" s="2035" t="str">
        <f t="shared" si="111"/>
        <v>62, Calais, Réseau de Chaleur de Calais, France continentale, Base Carbone</v>
      </c>
      <c r="D1285" s="1051">
        <f t="shared" si="112"/>
        <v>364</v>
      </c>
      <c r="E1285" s="1051" t="str">
        <f>IF(COUNTIF(E$921:E1284,F1285)&gt;0,"",F1285)</f>
        <v>62, Calais, Réseau de Chaleur de Calais, France continentale, Base Carbone</v>
      </c>
      <c r="F1285" s="1051" t="str">
        <f t="shared" si="113"/>
        <v>62, Calais, Réseau de Chaleur de Calais, France continentale, Base Carbone</v>
      </c>
      <c r="G1285" s="1055" t="str">
        <f t="shared" si="114"/>
        <v>62, Calais, Réseau de Chaleur de Calais, France continentale, Base Carbone; kgCO2e/kWh</v>
      </c>
      <c r="I1285" s="2018" t="s">
        <v>3481</v>
      </c>
      <c r="J1285" s="1135" t="s">
        <v>1681</v>
      </c>
      <c r="K1285" s="1119" t="s">
        <v>1567</v>
      </c>
      <c r="L1285" s="1119" t="s">
        <v>1571</v>
      </c>
      <c r="M1285" s="1134">
        <v>0.3</v>
      </c>
      <c r="N1285" s="1135"/>
      <c r="O1285" s="1135">
        <v>0.14199999999999999</v>
      </c>
      <c r="P1285" s="1048"/>
      <c r="Q1285" s="1048"/>
      <c r="R1285" s="1048"/>
      <c r="S1285" s="1048"/>
      <c r="T1285" s="1048"/>
      <c r="U1285" s="1102"/>
    </row>
    <row r="1286" spans="2:21" hidden="1" outlineLevel="2">
      <c r="B1286" s="1050">
        <v>365</v>
      </c>
      <c r="C1286" s="2035" t="str">
        <f t="shared" si="111"/>
        <v>62, Lens, Réseau de chaleur de Lens, France continentale, Base Carbone</v>
      </c>
      <c r="D1286" s="1051">
        <f t="shared" si="112"/>
        <v>365</v>
      </c>
      <c r="E1286" s="1051" t="str">
        <f>IF(COUNTIF(E$921:E1285,F1286)&gt;0,"",F1286)</f>
        <v>62, Lens, Réseau de chaleur de Lens, France continentale, Base Carbone</v>
      </c>
      <c r="F1286" s="1051" t="str">
        <f t="shared" si="113"/>
        <v>62, Lens, Réseau de chaleur de Lens, France continentale, Base Carbone</v>
      </c>
      <c r="G1286" s="1055" t="str">
        <f t="shared" si="114"/>
        <v>62, Lens, Réseau de chaleur de Lens, France continentale, Base Carbone; kgCO2e/kWh</v>
      </c>
      <c r="I1286" s="2018" t="s">
        <v>3482</v>
      </c>
      <c r="J1286" s="1135" t="s">
        <v>1681</v>
      </c>
      <c r="K1286" s="1119" t="s">
        <v>1567</v>
      </c>
      <c r="L1286" s="1119" t="s">
        <v>1571</v>
      </c>
      <c r="M1286" s="1134">
        <v>0.3</v>
      </c>
      <c r="N1286" s="1135"/>
      <c r="O1286" s="1135">
        <v>2.8000000000000001E-2</v>
      </c>
      <c r="P1286" s="1048"/>
      <c r="Q1286" s="1048"/>
      <c r="R1286" s="1048"/>
      <c r="S1286" s="1048"/>
      <c r="T1286" s="1048"/>
      <c r="U1286" s="1102"/>
    </row>
    <row r="1287" spans="2:21" hidden="1" outlineLevel="2">
      <c r="B1287" s="1050">
        <v>366</v>
      </c>
      <c r="C1287" s="2035" t="str">
        <f t="shared" si="111"/>
        <v>62, Liévin, Réseau de Liévin, France continentale, Base Carbone</v>
      </c>
      <c r="D1287" s="1051">
        <f t="shared" si="112"/>
        <v>366</v>
      </c>
      <c r="E1287" s="1051" t="str">
        <f>IF(COUNTIF(E$921:E1286,F1287)&gt;0,"",F1287)</f>
        <v>62, Liévin, Réseau de Liévin, France continentale, Base Carbone</v>
      </c>
      <c r="F1287" s="1051" t="str">
        <f t="shared" si="113"/>
        <v>62, Liévin, Réseau de Liévin, France continentale, Base Carbone</v>
      </c>
      <c r="G1287" s="1055" t="str">
        <f t="shared" si="114"/>
        <v>62, Liévin, Réseau de Liévin, France continentale, Base Carbone; kgCO2e/kWh</v>
      </c>
      <c r="I1287" s="2018" t="s">
        <v>973</v>
      </c>
      <c r="J1287" s="1135" t="s">
        <v>1681</v>
      </c>
      <c r="K1287" s="1119" t="s">
        <v>1567</v>
      </c>
      <c r="L1287" s="1119" t="s">
        <v>1571</v>
      </c>
      <c r="M1287" s="1134">
        <v>0.3</v>
      </c>
      <c r="N1287" s="1135"/>
      <c r="O1287" s="1135">
        <v>0.246</v>
      </c>
      <c r="P1287" s="1048"/>
      <c r="Q1287" s="1048"/>
      <c r="R1287" s="1048"/>
      <c r="S1287" s="1048"/>
      <c r="T1287" s="1048"/>
      <c r="U1287" s="1102"/>
    </row>
    <row r="1288" spans="2:21" hidden="1" outlineLevel="2">
      <c r="B1288" s="1050">
        <v>367</v>
      </c>
      <c r="C1288" s="2035" t="str">
        <f t="shared" si="111"/>
        <v>62, Outreau, Le Portel-Outreau Dalkia, France continentale, Base Carbone</v>
      </c>
      <c r="D1288" s="1051">
        <f t="shared" si="112"/>
        <v>367</v>
      </c>
      <c r="E1288" s="1051" t="str">
        <f>IF(COUNTIF(E$921:E1287,F1288)&gt;0,"",F1288)</f>
        <v>62, Outreau, Le Portel-Outreau Dalkia, France continentale, Base Carbone</v>
      </c>
      <c r="F1288" s="1051" t="str">
        <f t="shared" si="113"/>
        <v>62, Outreau, Le Portel-Outreau Dalkia, France continentale, Base Carbone</v>
      </c>
      <c r="G1288" s="1055" t="str">
        <f t="shared" si="114"/>
        <v>62, Outreau, Le Portel-Outreau Dalkia, France continentale, Base Carbone; kgCO2e/kWh</v>
      </c>
      <c r="I1288" s="2018" t="s">
        <v>2976</v>
      </c>
      <c r="J1288" s="1135" t="s">
        <v>1681</v>
      </c>
      <c r="K1288" s="1119" t="s">
        <v>1567</v>
      </c>
      <c r="L1288" s="1119" t="s">
        <v>1571</v>
      </c>
      <c r="M1288" s="1134">
        <v>0.3</v>
      </c>
      <c r="N1288" s="1135"/>
      <c r="O1288" s="1135">
        <v>8.2000000000000003E-2</v>
      </c>
      <c r="P1288" s="1048"/>
      <c r="Q1288" s="1048"/>
      <c r="R1288" s="1048"/>
      <c r="S1288" s="1048"/>
      <c r="T1288" s="1048"/>
      <c r="U1288" s="1102"/>
    </row>
    <row r="1289" spans="2:21" hidden="1" outlineLevel="2">
      <c r="B1289" s="1050">
        <v>368</v>
      </c>
      <c r="C1289" s="2035" t="str">
        <f t="shared" si="111"/>
        <v>62, Outreau, Le Portel-Outreau Engie, France continentale, Base Carbone</v>
      </c>
      <c r="D1289" s="1051">
        <f t="shared" si="112"/>
        <v>368</v>
      </c>
      <c r="E1289" s="1051" t="str">
        <f>IF(COUNTIF(E$921:E1288,F1289)&gt;0,"",F1289)</f>
        <v>62, Outreau, Le Portel-Outreau Engie, France continentale, Base Carbone</v>
      </c>
      <c r="F1289" s="1051" t="str">
        <f t="shared" si="113"/>
        <v>62, Outreau, Le Portel-Outreau Engie, France continentale, Base Carbone</v>
      </c>
      <c r="G1289" s="1055" t="str">
        <f t="shared" si="114"/>
        <v>62, Outreau, Le Portel-Outreau Engie, France continentale, Base Carbone; kgCO2e/kWh</v>
      </c>
      <c r="I1289" s="2018" t="s">
        <v>2977</v>
      </c>
      <c r="J1289" s="1135" t="s">
        <v>1681</v>
      </c>
      <c r="K1289" s="1119" t="s">
        <v>1567</v>
      </c>
      <c r="L1289" s="1119" t="s">
        <v>1571</v>
      </c>
      <c r="M1289" s="1134">
        <v>0.3</v>
      </c>
      <c r="N1289" s="1135"/>
      <c r="O1289" s="1135">
        <v>0.189</v>
      </c>
      <c r="P1289" s="1048"/>
      <c r="Q1289" s="1048"/>
      <c r="R1289" s="1048"/>
      <c r="S1289" s="1048"/>
      <c r="T1289" s="1048"/>
      <c r="U1289" s="1102"/>
    </row>
    <row r="1290" spans="2:21" hidden="1" outlineLevel="2">
      <c r="B1290" s="1050">
        <v>369</v>
      </c>
      <c r="C1290" s="2035" t="str">
        <f t="shared" si="111"/>
        <v>63, Ambert, Le Coral, France continentale, Base Carbone</v>
      </c>
      <c r="D1290" s="1051">
        <f t="shared" si="112"/>
        <v>369</v>
      </c>
      <c r="E1290" s="1051" t="str">
        <f>IF(COUNTIF(E$921:E1289,F1290)&gt;0,"",F1290)</f>
        <v>63, Ambert, Le Coral, France continentale, Base Carbone</v>
      </c>
      <c r="F1290" s="1051" t="str">
        <f t="shared" si="113"/>
        <v>63, Ambert, Le Coral, France continentale, Base Carbone</v>
      </c>
      <c r="G1290" s="1055" t="str">
        <f t="shared" si="114"/>
        <v>63, Ambert, Le Coral, France continentale, Base Carbone; kgCO2e/kWh</v>
      </c>
      <c r="I1290" s="2018" t="s">
        <v>2978</v>
      </c>
      <c r="J1290" s="1135" t="s">
        <v>1681</v>
      </c>
      <c r="K1290" s="1119" t="s">
        <v>1567</v>
      </c>
      <c r="L1290" s="1119" t="s">
        <v>1571</v>
      </c>
      <c r="M1290" s="1134">
        <v>0.3</v>
      </c>
      <c r="N1290" s="1135"/>
      <c r="O1290" s="1135">
        <v>0.25600000000000001</v>
      </c>
      <c r="P1290" s="1048"/>
      <c r="Q1290" s="1048"/>
      <c r="R1290" s="1048"/>
      <c r="S1290" s="1048"/>
      <c r="T1290" s="1048"/>
      <c r="U1290" s="1102"/>
    </row>
    <row r="1291" spans="2:21" hidden="1" outlineLevel="2">
      <c r="B1291" s="1050">
        <v>370</v>
      </c>
      <c r="C1291" s="2035" t="str">
        <f t="shared" si="111"/>
        <v>63, Ardes, Réseau de chaleur de Ardes, France continentale, Base Carbone</v>
      </c>
      <c r="D1291" s="1051">
        <f t="shared" si="112"/>
        <v>370</v>
      </c>
      <c r="E1291" s="1051" t="str">
        <f>IF(COUNTIF(E$921:E1290,F1291)&gt;0,"",F1291)</f>
        <v>63, Ardes, Réseau de chaleur de Ardes, France continentale, Base Carbone</v>
      </c>
      <c r="F1291" s="1051" t="str">
        <f t="shared" si="113"/>
        <v>63, Ardes, Réseau de chaleur de Ardes, France continentale, Base Carbone</v>
      </c>
      <c r="G1291" s="1055" t="str">
        <f t="shared" si="114"/>
        <v>63, Ardes, Réseau de chaleur de Ardes, France continentale, Base Carbone; kgCO2e/kWh</v>
      </c>
      <c r="I1291" s="2018" t="s">
        <v>3483</v>
      </c>
      <c r="J1291" s="1135" t="s">
        <v>1681</v>
      </c>
      <c r="K1291" s="1119" t="s">
        <v>1567</v>
      </c>
      <c r="L1291" s="1119" t="s">
        <v>1571</v>
      </c>
      <c r="M1291" s="1134">
        <v>0.3</v>
      </c>
      <c r="N1291" s="1135"/>
      <c r="O1291" s="1135">
        <v>0</v>
      </c>
      <c r="P1291" s="1048"/>
      <c r="Q1291" s="1048"/>
      <c r="R1291" s="1048"/>
      <c r="S1291" s="1048"/>
      <c r="T1291" s="1048"/>
      <c r="U1291" s="1102"/>
    </row>
    <row r="1292" spans="2:21" hidden="1" outlineLevel="2">
      <c r="B1292" s="1050">
        <v>371</v>
      </c>
      <c r="C1292" s="2035" t="str">
        <f t="shared" si="111"/>
        <v>63, Beaumont, Quartier du Masage, France continentale, Base Carbone</v>
      </c>
      <c r="D1292" s="1051">
        <f t="shared" si="112"/>
        <v>371</v>
      </c>
      <c r="E1292" s="1051" t="str">
        <f>IF(COUNTIF(E$921:E1291,F1292)&gt;0,"",F1292)</f>
        <v>63, Beaumont, Quartier du Masage, France continentale, Base Carbone</v>
      </c>
      <c r="F1292" s="1051" t="str">
        <f t="shared" si="113"/>
        <v>63, Beaumont, Quartier du Masage, France continentale, Base Carbone</v>
      </c>
      <c r="G1292" s="1055" t="str">
        <f t="shared" si="114"/>
        <v>63, Beaumont, Quartier du Masage, France continentale, Base Carbone; kgCO2e/kWh</v>
      </c>
      <c r="I1292" s="2018" t="s">
        <v>3484</v>
      </c>
      <c r="J1292" s="1135" t="s">
        <v>1681</v>
      </c>
      <c r="K1292" s="1119" t="s">
        <v>1567</v>
      </c>
      <c r="L1292" s="1119" t="s">
        <v>1571</v>
      </c>
      <c r="M1292" s="1134">
        <v>0.3</v>
      </c>
      <c r="N1292" s="1135"/>
      <c r="O1292" s="1135">
        <v>0.217</v>
      </c>
      <c r="P1292" s="1048"/>
      <c r="Q1292" s="1048"/>
      <c r="R1292" s="1048"/>
      <c r="S1292" s="1048"/>
      <c r="T1292" s="1048"/>
      <c r="U1292" s="1102"/>
    </row>
    <row r="1293" spans="2:21" hidden="1" outlineLevel="2">
      <c r="B1293" s="1050">
        <v>372</v>
      </c>
      <c r="C1293" s="2035" t="str">
        <f t="shared" si="111"/>
        <v>63, Clermont-Ferrand, Croix-de-Neyrat/ Champratel/ Les Vergnes, France continentale, Base Carbone</v>
      </c>
      <c r="D1293" s="1051">
        <f t="shared" si="112"/>
        <v>372</v>
      </c>
      <c r="E1293" s="1051" t="str">
        <f>IF(COUNTIF(E$921:E1292,F1293)&gt;0,"",F1293)</f>
        <v>63, Clermont-Ferrand, Croix-de-Neyrat/ Champratel/ Les Vergnes, France continentale, Base Carbone</v>
      </c>
      <c r="F1293" s="1051" t="str">
        <f t="shared" si="113"/>
        <v>63, Clermont-Ferrand, Croix-de-Neyrat/ Champratel/ Les Vergnes, France continentale, Base Carbone</v>
      </c>
      <c r="G1293" s="1055" t="str">
        <f t="shared" si="114"/>
        <v>63, Clermont-Ferrand, Croix-de-Neyrat/ Champratel/ Les Vergnes, France continentale, Base Carbone; kgCO2e/kWh</v>
      </c>
      <c r="I1293" s="2018" t="s">
        <v>3485</v>
      </c>
      <c r="J1293" s="1135" t="s">
        <v>1681</v>
      </c>
      <c r="K1293" s="1119" t="s">
        <v>1567</v>
      </c>
      <c r="L1293" s="1119" t="s">
        <v>1571</v>
      </c>
      <c r="M1293" s="1134">
        <v>0.3</v>
      </c>
      <c r="N1293" s="1135"/>
      <c r="O1293" s="1135">
        <v>1.9E-2</v>
      </c>
      <c r="P1293" s="1048"/>
      <c r="Q1293" s="1048"/>
      <c r="R1293" s="1048"/>
      <c r="S1293" s="1048"/>
      <c r="T1293" s="1048"/>
      <c r="U1293" s="1102"/>
    </row>
    <row r="1294" spans="2:21" hidden="1" outlineLevel="2">
      <c r="B1294" s="1050">
        <v>373</v>
      </c>
      <c r="C1294" s="2035" t="str">
        <f t="shared" si="111"/>
        <v>63, Clermont-Ferrand, HLM Saint Jacques, France continentale, Base Carbone</v>
      </c>
      <c r="D1294" s="1051">
        <f t="shared" si="112"/>
        <v>373</v>
      </c>
      <c r="E1294" s="1051" t="str">
        <f>IF(COUNTIF(E$921:E1293,F1294)&gt;0,"",F1294)</f>
        <v>63, Clermont-Ferrand, HLM Saint Jacques, France continentale, Base Carbone</v>
      </c>
      <c r="F1294" s="1051" t="str">
        <f t="shared" si="113"/>
        <v>63, Clermont-Ferrand, HLM Saint Jacques, France continentale, Base Carbone</v>
      </c>
      <c r="G1294" s="1055" t="str">
        <f t="shared" si="114"/>
        <v>63, Clermont-Ferrand, HLM Saint Jacques, France continentale, Base Carbone; kgCO2e/kWh</v>
      </c>
      <c r="I1294" s="2018" t="s">
        <v>3486</v>
      </c>
      <c r="J1294" s="1135" t="s">
        <v>1681</v>
      </c>
      <c r="K1294" s="1119" t="s">
        <v>1567</v>
      </c>
      <c r="L1294" s="1119" t="s">
        <v>1571</v>
      </c>
      <c r="M1294" s="1134">
        <v>0.3</v>
      </c>
      <c r="N1294" s="1135"/>
      <c r="O1294" s="1135">
        <v>0.193</v>
      </c>
      <c r="P1294" s="1048"/>
      <c r="Q1294" s="1048"/>
      <c r="R1294" s="1048"/>
      <c r="S1294" s="1048"/>
      <c r="T1294" s="1048"/>
      <c r="U1294" s="1102"/>
    </row>
    <row r="1295" spans="2:21" hidden="1" outlineLevel="2">
      <c r="B1295" s="1050">
        <v>374</v>
      </c>
      <c r="C1295" s="2035" t="str">
        <f t="shared" si="111"/>
        <v>63, Clermont-Ferrand, La Gauthière, France continentale, Base Carbone</v>
      </c>
      <c r="D1295" s="1051">
        <f t="shared" si="112"/>
        <v>374</v>
      </c>
      <c r="E1295" s="1051" t="str">
        <f>IF(COUNTIF(E$921:E1294,F1295)&gt;0,"",F1295)</f>
        <v>63, Clermont-Ferrand, La Gauthière, France continentale, Base Carbone</v>
      </c>
      <c r="F1295" s="1051" t="str">
        <f t="shared" si="113"/>
        <v>63, Clermont-Ferrand, La Gauthière, France continentale, Base Carbone</v>
      </c>
      <c r="G1295" s="1055" t="str">
        <f t="shared" si="114"/>
        <v>63, Clermont-Ferrand, La Gauthière, France continentale, Base Carbone; kgCO2e/kWh</v>
      </c>
      <c r="I1295" s="2018" t="s">
        <v>3487</v>
      </c>
      <c r="J1295" s="1135" t="s">
        <v>1681</v>
      </c>
      <c r="K1295" s="1119" t="s">
        <v>1567</v>
      </c>
      <c r="L1295" s="1119" t="s">
        <v>1571</v>
      </c>
      <c r="M1295" s="1134">
        <v>0.3</v>
      </c>
      <c r="N1295" s="1135"/>
      <c r="O1295" s="1135">
        <v>7.6999999999999999E-2</v>
      </c>
      <c r="P1295" s="1048"/>
      <c r="Q1295" s="1048"/>
      <c r="R1295" s="1048"/>
      <c r="S1295" s="1048"/>
      <c r="T1295" s="1048"/>
      <c r="U1295" s="1102"/>
    </row>
    <row r="1296" spans="2:21" hidden="1" outlineLevel="2">
      <c r="B1296" s="1050">
        <v>375</v>
      </c>
      <c r="C1296" s="2035" t="str">
        <f t="shared" si="111"/>
        <v>63, Pontaumur, Réseau de chaleur bois de Pontaumur, France continentale, Base Carbone</v>
      </c>
      <c r="D1296" s="1051">
        <f t="shared" si="112"/>
        <v>375</v>
      </c>
      <c r="E1296" s="1051" t="str">
        <f>IF(COUNTIF(E$921:E1295,F1296)&gt;0,"",F1296)</f>
        <v>63, Pontaumur, Réseau de chaleur bois de Pontaumur, France continentale, Base Carbone</v>
      </c>
      <c r="F1296" s="1051" t="str">
        <f t="shared" si="113"/>
        <v>63, Pontaumur, Réseau de chaleur bois de Pontaumur, France continentale, Base Carbone</v>
      </c>
      <c r="G1296" s="1055" t="str">
        <f t="shared" si="114"/>
        <v>63, Pontaumur, Réseau de chaleur bois de Pontaumur, France continentale, Base Carbone; kgCO2e/kWh</v>
      </c>
      <c r="I1296" s="2018" t="s">
        <v>3488</v>
      </c>
      <c r="J1296" s="1135" t="s">
        <v>1681</v>
      </c>
      <c r="K1296" s="1119" t="s">
        <v>1567</v>
      </c>
      <c r="L1296" s="1119" t="s">
        <v>1571</v>
      </c>
      <c r="M1296" s="1134">
        <v>0.3</v>
      </c>
      <c r="N1296" s="1135"/>
      <c r="O1296" s="1135">
        <v>0.08</v>
      </c>
      <c r="P1296" s="1048"/>
      <c r="Q1296" s="1048"/>
      <c r="R1296" s="1048"/>
      <c r="S1296" s="1048"/>
      <c r="T1296" s="1048"/>
      <c r="U1296" s="1102"/>
    </row>
    <row r="1297" spans="2:21" hidden="1" outlineLevel="2">
      <c r="B1297" s="1050">
        <v>376</v>
      </c>
      <c r="C1297" s="2035" t="str">
        <f t="shared" si="111"/>
        <v>63, Riom, Réseau de Riom RCBE, France continentale, Base Carbone</v>
      </c>
      <c r="D1297" s="1051">
        <f t="shared" si="112"/>
        <v>376</v>
      </c>
      <c r="E1297" s="1051" t="str">
        <f>IF(COUNTIF(E$921:E1296,F1297)&gt;0,"",F1297)</f>
        <v>63, Riom, Réseau de Riom RCBE, France continentale, Base Carbone</v>
      </c>
      <c r="F1297" s="1051" t="str">
        <f t="shared" si="113"/>
        <v>63, Riom, Réseau de Riom RCBE, France continentale, Base Carbone</v>
      </c>
      <c r="G1297" s="1055" t="str">
        <f t="shared" si="114"/>
        <v>63, Riom, Réseau de Riom RCBE, France continentale, Base Carbone; kgCO2e/kWh</v>
      </c>
      <c r="I1297" s="2018" t="s">
        <v>3489</v>
      </c>
      <c r="J1297" s="1135" t="s">
        <v>1681</v>
      </c>
      <c r="K1297" s="1119" t="s">
        <v>1567</v>
      </c>
      <c r="L1297" s="1119" t="s">
        <v>1571</v>
      </c>
      <c r="M1297" s="1134">
        <v>0.3</v>
      </c>
      <c r="N1297" s="1135"/>
      <c r="O1297" s="1135">
        <v>3.6999999999999998E-2</v>
      </c>
      <c r="P1297" s="1048"/>
      <c r="Q1297" s="1048"/>
      <c r="R1297" s="1048"/>
      <c r="S1297" s="1048"/>
      <c r="T1297" s="1048"/>
      <c r="U1297" s="1102"/>
    </row>
    <row r="1298" spans="2:21" hidden="1" outlineLevel="2">
      <c r="B1298" s="1050">
        <v>377</v>
      </c>
      <c r="C1298" s="2035" t="str">
        <f t="shared" si="111"/>
        <v>63, Rochefort-Montagne, Réseau de Rochefort-Montagne, France continentale, Base Carbone</v>
      </c>
      <c r="D1298" s="1051">
        <f t="shared" si="112"/>
        <v>377</v>
      </c>
      <c r="E1298" s="1051" t="str">
        <f>IF(COUNTIF(E$921:E1297,F1298)&gt;0,"",F1298)</f>
        <v>63, Rochefort-Montagne, Réseau de Rochefort-Montagne, France continentale, Base Carbone</v>
      </c>
      <c r="F1298" s="1051" t="str">
        <f t="shared" si="113"/>
        <v>63, Rochefort-Montagne, Réseau de Rochefort-Montagne, France continentale, Base Carbone</v>
      </c>
      <c r="G1298" s="1055" t="str">
        <f t="shared" si="114"/>
        <v>63, Rochefort-Montagne, Réseau de Rochefort-Montagne, France continentale, Base Carbone; kgCO2e/kWh</v>
      </c>
      <c r="I1298" s="2018" t="s">
        <v>2979</v>
      </c>
      <c r="J1298" s="1135" t="s">
        <v>1681</v>
      </c>
      <c r="K1298" s="1119" t="s">
        <v>1567</v>
      </c>
      <c r="L1298" s="1119" t="s">
        <v>1571</v>
      </c>
      <c r="M1298" s="1134">
        <v>0.3</v>
      </c>
      <c r="N1298" s="1135"/>
      <c r="O1298" s="1135">
        <v>4.5999999999999999E-2</v>
      </c>
      <c r="P1298" s="1048"/>
      <c r="Q1298" s="1048"/>
      <c r="R1298" s="1048"/>
      <c r="S1298" s="1048"/>
      <c r="T1298" s="1048"/>
      <c r="U1298" s="1102"/>
    </row>
    <row r="1299" spans="2:21" hidden="1" outlineLevel="2">
      <c r="B1299" s="1050">
        <v>378</v>
      </c>
      <c r="C1299" s="2035" t="str">
        <f t="shared" si="111"/>
        <v>63, Royat, Réseau de Royat, France continentale, Base Carbone</v>
      </c>
      <c r="D1299" s="1051">
        <f t="shared" si="112"/>
        <v>378</v>
      </c>
      <c r="E1299" s="1051" t="str">
        <f>IF(COUNTIF(E$921:E1298,F1299)&gt;0,"",F1299)</f>
        <v>63, Royat, Réseau de Royat, France continentale, Base Carbone</v>
      </c>
      <c r="F1299" s="1051" t="str">
        <f t="shared" si="113"/>
        <v>63, Royat, Réseau de Royat, France continentale, Base Carbone</v>
      </c>
      <c r="G1299" s="1055" t="str">
        <f t="shared" si="114"/>
        <v>63, Royat, Réseau de Royat, France continentale, Base Carbone; kgCO2e/kWh</v>
      </c>
      <c r="I1299" s="2018" t="s">
        <v>974</v>
      </c>
      <c r="J1299" s="1135" t="s">
        <v>1681</v>
      </c>
      <c r="K1299" s="1119" t="s">
        <v>1567</v>
      </c>
      <c r="L1299" s="1119" t="s">
        <v>1571</v>
      </c>
      <c r="M1299" s="1134">
        <v>0.3</v>
      </c>
      <c r="N1299" s="1135"/>
      <c r="O1299" s="1135">
        <v>0.22800000000000001</v>
      </c>
      <c r="P1299" s="1048"/>
      <c r="Q1299" s="1048"/>
      <c r="R1299" s="1048"/>
      <c r="S1299" s="1048"/>
      <c r="T1299" s="1048"/>
      <c r="U1299" s="1102"/>
    </row>
    <row r="1300" spans="2:21" hidden="1" outlineLevel="2">
      <c r="B1300" s="1050">
        <v>379</v>
      </c>
      <c r="C1300" s="2035" t="str">
        <f t="shared" si="111"/>
        <v>63, Saint-Germain-l’Herm, Réseau de chaleur de St-Germain-l’Herm, France continentale, Base Carbone</v>
      </c>
      <c r="D1300" s="1051">
        <f t="shared" si="112"/>
        <v>379</v>
      </c>
      <c r="E1300" s="1051" t="str">
        <f>IF(COUNTIF(E$921:E1299,F1300)&gt;0,"",F1300)</f>
        <v>63, Saint-Germain-l’Herm, Réseau de chaleur de St-Germain-l’Herm, France continentale, Base Carbone</v>
      </c>
      <c r="F1300" s="1051" t="str">
        <f t="shared" si="113"/>
        <v>63, Saint-Germain-l’Herm, Réseau de chaleur de St-Germain-l’Herm, France continentale, Base Carbone</v>
      </c>
      <c r="G1300" s="1055" t="str">
        <f t="shared" si="114"/>
        <v>63, Saint-Germain-l’Herm, Réseau de chaleur de St-Germain-l’Herm, France continentale, Base Carbone; kgCO2e/kWh</v>
      </c>
      <c r="I1300" s="2018" t="s">
        <v>3490</v>
      </c>
      <c r="J1300" s="1135" t="s">
        <v>1681</v>
      </c>
      <c r="K1300" s="1119" t="s">
        <v>1567</v>
      </c>
      <c r="L1300" s="1119" t="s">
        <v>1571</v>
      </c>
      <c r="M1300" s="1134">
        <v>0.3</v>
      </c>
      <c r="N1300" s="1135"/>
      <c r="O1300" s="1135">
        <v>0</v>
      </c>
      <c r="P1300" s="1048"/>
      <c r="Q1300" s="1048"/>
      <c r="R1300" s="1048"/>
      <c r="S1300" s="1048"/>
      <c r="T1300" s="1048"/>
      <c r="U1300" s="1102"/>
    </row>
    <row r="1301" spans="2:21" hidden="1" outlineLevel="2">
      <c r="B1301" s="1050">
        <v>380</v>
      </c>
      <c r="C1301" s="2035" t="str">
        <f t="shared" si="111"/>
        <v>64, Pau, SPIC réseau de chaleur du hameau, France continentale, Base Carbone</v>
      </c>
      <c r="D1301" s="1051">
        <f t="shared" si="112"/>
        <v>380</v>
      </c>
      <c r="E1301" s="1051" t="str">
        <f>IF(COUNTIF(E$921:E1300,F1301)&gt;0,"",F1301)</f>
        <v>64, Pau, SPIC réseau de chaleur du hameau, France continentale, Base Carbone</v>
      </c>
      <c r="F1301" s="1051" t="str">
        <f t="shared" si="113"/>
        <v>64, Pau, SPIC réseau de chaleur du hameau, France continentale, Base Carbone</v>
      </c>
      <c r="G1301" s="1055" t="str">
        <f t="shared" si="114"/>
        <v>64, Pau, SPIC réseau de chaleur du hameau, France continentale, Base Carbone; kgCO2e/kWh</v>
      </c>
      <c r="I1301" s="2018" t="s">
        <v>3491</v>
      </c>
      <c r="J1301" s="1135" t="s">
        <v>1681</v>
      </c>
      <c r="K1301" s="1119" t="s">
        <v>1567</v>
      </c>
      <c r="L1301" s="1119" t="s">
        <v>1571</v>
      </c>
      <c r="M1301" s="1134">
        <v>0.3</v>
      </c>
      <c r="N1301" s="1135"/>
      <c r="O1301" s="1135">
        <v>2.9000000000000001E-2</v>
      </c>
      <c r="P1301" s="1048"/>
      <c r="Q1301" s="1048"/>
      <c r="R1301" s="1048"/>
      <c r="S1301" s="1048"/>
      <c r="T1301" s="1048"/>
      <c r="U1301" s="1102"/>
    </row>
    <row r="1302" spans="2:21" hidden="1" outlineLevel="2">
      <c r="B1302" s="1050">
        <v>381</v>
      </c>
      <c r="C1302" s="2035" t="str">
        <f t="shared" si="111"/>
        <v>65, Vic-en-Bigorre, Réseau de Vic-en-Bigorre, France continentale, Base Carbone</v>
      </c>
      <c r="D1302" s="1051">
        <f t="shared" si="112"/>
        <v>381</v>
      </c>
      <c r="E1302" s="1051" t="str">
        <f>IF(COUNTIF(E$921:E1301,F1302)&gt;0,"",F1302)</f>
        <v>65, Vic-en-Bigorre, Réseau de Vic-en-Bigorre, France continentale, Base Carbone</v>
      </c>
      <c r="F1302" s="1051" t="str">
        <f t="shared" si="113"/>
        <v>65, Vic-en-Bigorre, Réseau de Vic-en-Bigorre, France continentale, Base Carbone</v>
      </c>
      <c r="G1302" s="1055" t="str">
        <f t="shared" si="114"/>
        <v>65, Vic-en-Bigorre, Réseau de Vic-en-Bigorre, France continentale, Base Carbone; kgCO2e/kWh</v>
      </c>
      <c r="I1302" s="2018" t="s">
        <v>2980</v>
      </c>
      <c r="J1302" s="1135" t="s">
        <v>1681</v>
      </c>
      <c r="K1302" s="1119" t="s">
        <v>1567</v>
      </c>
      <c r="L1302" s="1119" t="s">
        <v>1571</v>
      </c>
      <c r="M1302" s="1134">
        <v>0.3</v>
      </c>
      <c r="N1302" s="1135"/>
      <c r="O1302" s="1135">
        <v>0.05</v>
      </c>
      <c r="P1302" s="1048"/>
      <c r="Q1302" s="1048"/>
      <c r="R1302" s="1048"/>
      <c r="S1302" s="1048"/>
      <c r="T1302" s="1048"/>
      <c r="U1302" s="1102"/>
    </row>
    <row r="1303" spans="2:21" hidden="1" outlineLevel="2">
      <c r="B1303" s="1050">
        <v>382</v>
      </c>
      <c r="C1303" s="2035" t="str">
        <f t="shared" si="111"/>
        <v>66, Osseja, Réseau de la Perle Cerdane, France continentale, Base Carbone</v>
      </c>
      <c r="D1303" s="1051">
        <f t="shared" si="112"/>
        <v>382</v>
      </c>
      <c r="E1303" s="1051" t="str">
        <f>IF(COUNTIF(E$921:E1302,F1303)&gt;0,"",F1303)</f>
        <v>66, Osseja, Réseau de la Perle Cerdane, France continentale, Base Carbone</v>
      </c>
      <c r="F1303" s="1051" t="str">
        <f t="shared" si="113"/>
        <v>66, Osseja, Réseau de la Perle Cerdane, France continentale, Base Carbone</v>
      </c>
      <c r="G1303" s="1055" t="str">
        <f t="shared" si="114"/>
        <v>66, Osseja, Réseau de la Perle Cerdane, France continentale, Base Carbone; kgCO2e/kWh</v>
      </c>
      <c r="I1303" s="2018" t="s">
        <v>3492</v>
      </c>
      <c r="J1303" s="1135" t="s">
        <v>1681</v>
      </c>
      <c r="K1303" s="1119" t="s">
        <v>1567</v>
      </c>
      <c r="L1303" s="1119" t="s">
        <v>1571</v>
      </c>
      <c r="M1303" s="1134">
        <v>0.3</v>
      </c>
      <c r="N1303" s="1135"/>
      <c r="O1303" s="1135">
        <v>0.217</v>
      </c>
      <c r="P1303" s="1048"/>
      <c r="Q1303" s="1048"/>
      <c r="R1303" s="1048"/>
      <c r="S1303" s="1048"/>
      <c r="T1303" s="1048"/>
      <c r="U1303" s="1102"/>
    </row>
    <row r="1304" spans="2:21" hidden="1" outlineLevel="2">
      <c r="B1304" s="1050">
        <v>383</v>
      </c>
      <c r="C1304" s="2035" t="str">
        <f t="shared" si="111"/>
        <v>67, Allenwiller, Réseau d’Allenwiller, France continentale, Base Carbone</v>
      </c>
      <c r="D1304" s="1051">
        <f t="shared" si="112"/>
        <v>383</v>
      </c>
      <c r="E1304" s="1051" t="str">
        <f>IF(COUNTIF(E$921:E1303,F1304)&gt;0,"",F1304)</f>
        <v>67, Allenwiller, Réseau d’Allenwiller, France continentale, Base Carbone</v>
      </c>
      <c r="F1304" s="1051" t="str">
        <f t="shared" si="113"/>
        <v>67, Allenwiller, Réseau d’Allenwiller, France continentale, Base Carbone</v>
      </c>
      <c r="G1304" s="1055" t="str">
        <f t="shared" si="114"/>
        <v>67, Allenwiller, Réseau d’Allenwiller, France continentale, Base Carbone; kgCO2e/kWh</v>
      </c>
      <c r="I1304" s="2018" t="s">
        <v>3493</v>
      </c>
      <c r="J1304" s="1135" t="s">
        <v>1681</v>
      </c>
      <c r="K1304" s="1119" t="s">
        <v>1567</v>
      </c>
      <c r="L1304" s="1119" t="s">
        <v>1571</v>
      </c>
      <c r="M1304" s="1134">
        <v>0.3</v>
      </c>
      <c r="N1304" s="1135"/>
      <c r="O1304" s="1135">
        <v>0</v>
      </c>
      <c r="P1304" s="1048"/>
      <c r="Q1304" s="1048"/>
      <c r="R1304" s="1048"/>
      <c r="S1304" s="1048"/>
      <c r="T1304" s="1048"/>
      <c r="U1304" s="1102"/>
    </row>
    <row r="1305" spans="2:21" hidden="1" outlineLevel="2">
      <c r="B1305" s="1050">
        <v>384</v>
      </c>
      <c r="C1305" s="2035" t="str">
        <f t="shared" si="111"/>
        <v>67, Haguenau, Réseau de Haguenau, France continentale, Base Carbone</v>
      </c>
      <c r="D1305" s="1051">
        <f t="shared" si="112"/>
        <v>384</v>
      </c>
      <c r="E1305" s="1051" t="str">
        <f>IF(COUNTIF(E$921:E1304,F1305)&gt;0,"",F1305)</f>
        <v>67, Haguenau, Réseau de Haguenau, France continentale, Base Carbone</v>
      </c>
      <c r="F1305" s="1051" t="str">
        <f t="shared" si="113"/>
        <v>67, Haguenau, Réseau de Haguenau, France continentale, Base Carbone</v>
      </c>
      <c r="G1305" s="1055" t="str">
        <f t="shared" si="114"/>
        <v>67, Haguenau, Réseau de Haguenau, France continentale, Base Carbone; kgCO2e/kWh</v>
      </c>
      <c r="I1305" s="2018" t="s">
        <v>975</v>
      </c>
      <c r="J1305" s="1135" t="s">
        <v>1681</v>
      </c>
      <c r="K1305" s="1119" t="s">
        <v>1567</v>
      </c>
      <c r="L1305" s="1119" t="s">
        <v>1571</v>
      </c>
      <c r="M1305" s="1134">
        <v>0.3</v>
      </c>
      <c r="N1305" s="1135"/>
      <c r="O1305" s="1135">
        <v>6.3E-2</v>
      </c>
      <c r="P1305" s="1048"/>
      <c r="Q1305" s="1048"/>
      <c r="R1305" s="1048"/>
      <c r="S1305" s="1048"/>
      <c r="T1305" s="1048"/>
      <c r="U1305" s="1102"/>
    </row>
    <row r="1306" spans="2:21" hidden="1" outlineLevel="2">
      <c r="B1306" s="1050">
        <v>385</v>
      </c>
      <c r="C1306" s="2035" t="str">
        <f t="shared" ref="C1306:C1369" si="115">IF(ISNA(VLOOKUP(B1306,$D$922:$E$1582,2,FALSE)),"-",VLOOKUP(B1306,$D$922:$E$1582,2,FALSE))</f>
        <v>67, Haguenau, Réseau Mars, France continentale, Base Carbone</v>
      </c>
      <c r="D1306" s="1051">
        <f t="shared" si="112"/>
        <v>385</v>
      </c>
      <c r="E1306" s="1051" t="str">
        <f>IF(COUNTIF(E$921:E1305,F1306)&gt;0,"",F1306)</f>
        <v>67, Haguenau, Réseau Mars, France continentale, Base Carbone</v>
      </c>
      <c r="F1306" s="1051" t="str">
        <f t="shared" si="113"/>
        <v>67, Haguenau, Réseau Mars, France continentale, Base Carbone</v>
      </c>
      <c r="G1306" s="1055" t="str">
        <f t="shared" si="114"/>
        <v>67, Haguenau, Réseau Mars, France continentale, Base Carbone; kgCO2e/kWh</v>
      </c>
      <c r="I1306" s="2018" t="s">
        <v>2981</v>
      </c>
      <c r="J1306" s="1135" t="s">
        <v>1681</v>
      </c>
      <c r="K1306" s="1119" t="s">
        <v>1567</v>
      </c>
      <c r="L1306" s="1119" t="s">
        <v>1571</v>
      </c>
      <c r="M1306" s="1134">
        <v>0.3</v>
      </c>
      <c r="N1306" s="1135"/>
      <c r="O1306" s="1135">
        <v>0.112</v>
      </c>
      <c r="P1306" s="1048"/>
      <c r="Q1306" s="1048"/>
      <c r="R1306" s="1048"/>
      <c r="S1306" s="1048"/>
      <c r="T1306" s="1048"/>
      <c r="U1306" s="1102"/>
    </row>
    <row r="1307" spans="2:21" hidden="1" outlineLevel="2">
      <c r="B1307" s="1050">
        <v>386</v>
      </c>
      <c r="C1307" s="2035" t="str">
        <f t="shared" si="115"/>
        <v>67, Lingolsheim, Réseau des Tanneries-Bohrie, France continentale, Base Carbone</v>
      </c>
      <c r="D1307" s="1051">
        <f t="shared" ref="D1307:D1370" si="116">D1306+IF(LEN(E1307)=0,0,1)</f>
        <v>386</v>
      </c>
      <c r="E1307" s="1051" t="str">
        <f>IF(COUNTIF(E$921:E1306,F1307)&gt;0,"",F1307)</f>
        <v>67, Lingolsheim, Réseau des Tanneries-Bohrie, France continentale, Base Carbone</v>
      </c>
      <c r="F1307" s="1051" t="str">
        <f t="shared" ref="F1307:F1370" si="117">IF(I1307&lt;&gt;"",I1307&amp;IF(L1307&lt;&gt;"",", "&amp;L1307,"")&amp;IF(K1307&lt;&gt;"",", "&amp;K1307,""),"")</f>
        <v>67, Lingolsheim, Réseau des Tanneries-Bohrie, France continentale, Base Carbone</v>
      </c>
      <c r="G1307" s="1055" t="str">
        <f t="shared" ref="G1307:G1370" si="118">IF(F1307&lt;&gt;"",F1307&amp;IF(J1307&lt;&gt;"","; "&amp;J1307,"")&amp;IF(N1307&lt;&gt;"",", "&amp;N1307,""),"")</f>
        <v>67, Lingolsheim, Réseau des Tanneries-Bohrie, France continentale, Base Carbone; kgCO2e/kWh</v>
      </c>
      <c r="I1307" s="2018" t="s">
        <v>2982</v>
      </c>
      <c r="J1307" s="1135" t="s">
        <v>1681</v>
      </c>
      <c r="K1307" s="1119" t="s">
        <v>1567</v>
      </c>
      <c r="L1307" s="1119" t="s">
        <v>1571</v>
      </c>
      <c r="M1307" s="1134">
        <v>0.3</v>
      </c>
      <c r="N1307" s="1135"/>
      <c r="O1307" s="1135">
        <v>0.107</v>
      </c>
      <c r="P1307" s="1048"/>
      <c r="Q1307" s="1048"/>
      <c r="R1307" s="1048"/>
      <c r="S1307" s="1048"/>
      <c r="T1307" s="1048"/>
      <c r="U1307" s="1102"/>
    </row>
    <row r="1308" spans="2:21" hidden="1" outlineLevel="2">
      <c r="B1308" s="1050">
        <v>387</v>
      </c>
      <c r="C1308" s="2035" t="str">
        <f t="shared" si="115"/>
        <v>67, Morsbronn-les-Bains, Réseau de la Communauté de Communes Sauer Pechelbronn, France continentale, Base Carbone</v>
      </c>
      <c r="D1308" s="1051">
        <f t="shared" si="116"/>
        <v>387</v>
      </c>
      <c r="E1308" s="1051" t="str">
        <f>IF(COUNTIF(E$921:E1307,F1308)&gt;0,"",F1308)</f>
        <v>67, Morsbronn-les-Bains, Réseau de la Communauté de Communes Sauer Pechelbronn, France continentale, Base Carbone</v>
      </c>
      <c r="F1308" s="1051" t="str">
        <f t="shared" si="117"/>
        <v>67, Morsbronn-les-Bains, Réseau de la Communauté de Communes Sauer Pechelbronn, France continentale, Base Carbone</v>
      </c>
      <c r="G1308" s="1055" t="str">
        <f t="shared" si="118"/>
        <v>67, Morsbronn-les-Bains, Réseau de la Communauté de Communes Sauer Pechelbronn, France continentale, Base Carbone; kgCO2e/kWh</v>
      </c>
      <c r="I1308" s="2018" t="s">
        <v>2983</v>
      </c>
      <c r="J1308" s="1135" t="s">
        <v>1681</v>
      </c>
      <c r="K1308" s="1119" t="s">
        <v>1567</v>
      </c>
      <c r="L1308" s="1119" t="s">
        <v>1571</v>
      </c>
      <c r="M1308" s="1134">
        <v>0.3</v>
      </c>
      <c r="N1308" s="1135"/>
      <c r="O1308" s="1135">
        <v>9.0999999999999998E-2</v>
      </c>
      <c r="P1308" s="1048"/>
      <c r="Q1308" s="1048"/>
      <c r="R1308" s="1048"/>
      <c r="S1308" s="1048"/>
      <c r="T1308" s="1048"/>
      <c r="U1308" s="1102"/>
    </row>
    <row r="1309" spans="2:21" hidden="1" outlineLevel="2">
      <c r="B1309" s="1050">
        <v>388</v>
      </c>
      <c r="C1309" s="2035" t="str">
        <f t="shared" si="115"/>
        <v>67, Niederbronn-les-Bains, Réseau de Niederbronn-les-Bains, France continentale, Base Carbone</v>
      </c>
      <c r="D1309" s="1051">
        <f t="shared" si="116"/>
        <v>388</v>
      </c>
      <c r="E1309" s="1051" t="str">
        <f>IF(COUNTIF(E$921:E1308,F1309)&gt;0,"",F1309)</f>
        <v>67, Niederbronn-les-Bains, Réseau de Niederbronn-les-Bains, France continentale, Base Carbone</v>
      </c>
      <c r="F1309" s="1051" t="str">
        <f t="shared" si="117"/>
        <v>67, Niederbronn-les-Bains, Réseau de Niederbronn-les-Bains, France continentale, Base Carbone</v>
      </c>
      <c r="G1309" s="1055" t="str">
        <f t="shared" si="118"/>
        <v>67, Niederbronn-les-Bains, Réseau de Niederbronn-les-Bains, France continentale, Base Carbone; kgCO2e/kWh</v>
      </c>
      <c r="I1309" s="2018" t="s">
        <v>2984</v>
      </c>
      <c r="J1309" s="1135" t="s">
        <v>1681</v>
      </c>
      <c r="K1309" s="1119" t="s">
        <v>1567</v>
      </c>
      <c r="L1309" s="1119" t="s">
        <v>1571</v>
      </c>
      <c r="M1309" s="1134">
        <v>0.3</v>
      </c>
      <c r="N1309" s="1135"/>
      <c r="O1309" s="1135">
        <v>6.6000000000000003E-2</v>
      </c>
      <c r="P1309" s="1048"/>
      <c r="Q1309" s="1048"/>
      <c r="R1309" s="1048"/>
      <c r="S1309" s="1048"/>
      <c r="T1309" s="1048"/>
      <c r="U1309" s="1102"/>
    </row>
    <row r="1310" spans="2:21" hidden="1" outlineLevel="2">
      <c r="B1310" s="1050">
        <v>389</v>
      </c>
      <c r="C1310" s="2035" t="str">
        <f t="shared" si="115"/>
        <v>67, Ostwald, Cité du Wihrel, France continentale, Base Carbone</v>
      </c>
      <c r="D1310" s="1051">
        <f t="shared" si="116"/>
        <v>389</v>
      </c>
      <c r="E1310" s="1051" t="str">
        <f>IF(COUNTIF(E$921:E1309,F1310)&gt;0,"",F1310)</f>
        <v>67, Ostwald, Cité du Wihrel, France continentale, Base Carbone</v>
      </c>
      <c r="F1310" s="1051" t="str">
        <f t="shared" si="117"/>
        <v>67, Ostwald, Cité du Wihrel, France continentale, Base Carbone</v>
      </c>
      <c r="G1310" s="1055" t="str">
        <f t="shared" si="118"/>
        <v>67, Ostwald, Cité du Wihrel, France continentale, Base Carbone; kgCO2e/kWh</v>
      </c>
      <c r="I1310" s="2018" t="s">
        <v>976</v>
      </c>
      <c r="J1310" s="1135" t="s">
        <v>1681</v>
      </c>
      <c r="K1310" s="1119" t="s">
        <v>1567</v>
      </c>
      <c r="L1310" s="1119" t="s">
        <v>1571</v>
      </c>
      <c r="M1310" s="1134">
        <v>0.3</v>
      </c>
      <c r="N1310" s="1135"/>
      <c r="O1310" s="1135">
        <v>0.23499999999999999</v>
      </c>
      <c r="P1310" s="1048"/>
      <c r="Q1310" s="1048"/>
      <c r="R1310" s="1048"/>
      <c r="S1310" s="1048"/>
      <c r="T1310" s="1048"/>
      <c r="U1310" s="1102"/>
    </row>
    <row r="1311" spans="2:21" hidden="1" outlineLevel="2">
      <c r="B1311" s="1050">
        <v>390</v>
      </c>
      <c r="C1311" s="2035" t="str">
        <f t="shared" si="115"/>
        <v>67, Rittershoffen, ECOGI, France continentale, Base Carbone</v>
      </c>
      <c r="D1311" s="1051">
        <f t="shared" si="116"/>
        <v>390</v>
      </c>
      <c r="E1311" s="1051" t="str">
        <f>IF(COUNTIF(E$921:E1310,F1311)&gt;0,"",F1311)</f>
        <v>67, Rittershoffen, ECOGI, France continentale, Base Carbone</v>
      </c>
      <c r="F1311" s="1051" t="str">
        <f t="shared" si="117"/>
        <v>67, Rittershoffen, ECOGI, France continentale, Base Carbone</v>
      </c>
      <c r="G1311" s="1055" t="str">
        <f t="shared" si="118"/>
        <v>67, Rittershoffen, ECOGI, France continentale, Base Carbone; kgCO2e/kWh</v>
      </c>
      <c r="I1311" s="2018" t="s">
        <v>3494</v>
      </c>
      <c r="J1311" s="1135" t="s">
        <v>1681</v>
      </c>
      <c r="K1311" s="1119" t="s">
        <v>1567</v>
      </c>
      <c r="L1311" s="1119" t="s">
        <v>1571</v>
      </c>
      <c r="M1311" s="1134">
        <v>0.3</v>
      </c>
      <c r="N1311" s="1135"/>
      <c r="O1311" s="1135">
        <v>0</v>
      </c>
      <c r="P1311" s="1048"/>
      <c r="Q1311" s="1048"/>
      <c r="R1311" s="1048"/>
      <c r="S1311" s="1048"/>
      <c r="T1311" s="1048"/>
      <c r="U1311" s="1102"/>
    </row>
    <row r="1312" spans="2:21" hidden="1" outlineLevel="2">
      <c r="B1312" s="1050">
        <v>391</v>
      </c>
      <c r="C1312" s="2035" t="str">
        <f t="shared" si="115"/>
        <v>67, Saales, Réseau de Saales, France continentale, Base Carbone</v>
      </c>
      <c r="D1312" s="1051">
        <f t="shared" si="116"/>
        <v>391</v>
      </c>
      <c r="E1312" s="1051" t="str">
        <f>IF(COUNTIF(E$921:E1311,F1312)&gt;0,"",F1312)</f>
        <v>67, Saales, Réseau de Saales, France continentale, Base Carbone</v>
      </c>
      <c r="F1312" s="1051" t="str">
        <f t="shared" si="117"/>
        <v>67, Saales, Réseau de Saales, France continentale, Base Carbone</v>
      </c>
      <c r="G1312" s="1055" t="str">
        <f t="shared" si="118"/>
        <v>67, Saales, Réseau de Saales, France continentale, Base Carbone; kgCO2e/kWh</v>
      </c>
      <c r="I1312" s="2018" t="s">
        <v>3495</v>
      </c>
      <c r="J1312" s="1135" t="s">
        <v>1681</v>
      </c>
      <c r="K1312" s="1119" t="s">
        <v>1567</v>
      </c>
      <c r="L1312" s="1119" t="s">
        <v>1571</v>
      </c>
      <c r="M1312" s="1134">
        <v>0.3</v>
      </c>
      <c r="N1312" s="1135"/>
      <c r="O1312" s="1135">
        <v>0</v>
      </c>
      <c r="P1312" s="1048"/>
      <c r="Q1312" s="1048"/>
      <c r="R1312" s="1048"/>
      <c r="S1312" s="1048"/>
      <c r="T1312" s="1048"/>
      <c r="U1312" s="1102"/>
    </row>
    <row r="1313" spans="2:21" hidden="1" outlineLevel="2">
      <c r="B1313" s="1050">
        <v>392</v>
      </c>
      <c r="C1313" s="2035" t="str">
        <f t="shared" si="115"/>
        <v>67, Schiltigheim, Le Ried, France continentale, Base Carbone</v>
      </c>
      <c r="D1313" s="1051">
        <f t="shared" si="116"/>
        <v>392</v>
      </c>
      <c r="E1313" s="1051" t="str">
        <f>IF(COUNTIF(E$921:E1312,F1313)&gt;0,"",F1313)</f>
        <v>67, Schiltigheim, Le Ried, France continentale, Base Carbone</v>
      </c>
      <c r="F1313" s="1051" t="str">
        <f t="shared" si="117"/>
        <v>67, Schiltigheim, Le Ried, France continentale, Base Carbone</v>
      </c>
      <c r="G1313" s="1055" t="str">
        <f t="shared" si="118"/>
        <v>67, Schiltigheim, Le Ried, France continentale, Base Carbone; kgCO2e/kWh</v>
      </c>
      <c r="I1313" s="2018" t="s">
        <v>2985</v>
      </c>
      <c r="J1313" s="1135" t="s">
        <v>1681</v>
      </c>
      <c r="K1313" s="1119" t="s">
        <v>1567</v>
      </c>
      <c r="L1313" s="1119" t="s">
        <v>1571</v>
      </c>
      <c r="M1313" s="1134">
        <v>0.3</v>
      </c>
      <c r="N1313" s="1135"/>
      <c r="O1313" s="1135">
        <v>0.11</v>
      </c>
      <c r="P1313" s="1048"/>
      <c r="Q1313" s="1048"/>
      <c r="R1313" s="1048"/>
      <c r="S1313" s="1048"/>
      <c r="T1313" s="1048"/>
      <c r="U1313" s="1102"/>
    </row>
    <row r="1314" spans="2:21" hidden="1" outlineLevel="2">
      <c r="B1314" s="1050">
        <v>393</v>
      </c>
      <c r="C1314" s="2035" t="str">
        <f t="shared" si="115"/>
        <v>67, Sélestat, Réseau de Sélestat, France continentale, Base Carbone</v>
      </c>
      <c r="D1314" s="1051">
        <f t="shared" si="116"/>
        <v>393</v>
      </c>
      <c r="E1314" s="1051" t="str">
        <f>IF(COUNTIF(E$921:E1313,F1314)&gt;0,"",F1314)</f>
        <v>67, Sélestat, Réseau de Sélestat, France continentale, Base Carbone</v>
      </c>
      <c r="F1314" s="1051" t="str">
        <f t="shared" si="117"/>
        <v>67, Sélestat, Réseau de Sélestat, France continentale, Base Carbone</v>
      </c>
      <c r="G1314" s="1055" t="str">
        <f t="shared" si="118"/>
        <v>67, Sélestat, Réseau de Sélestat, France continentale, Base Carbone; kgCO2e/kWh</v>
      </c>
      <c r="I1314" s="2018" t="s">
        <v>3496</v>
      </c>
      <c r="J1314" s="1135" t="s">
        <v>1681</v>
      </c>
      <c r="K1314" s="1119" t="s">
        <v>1567</v>
      </c>
      <c r="L1314" s="1119" t="s">
        <v>1571</v>
      </c>
      <c r="M1314" s="1134">
        <v>0.3</v>
      </c>
      <c r="N1314" s="1135"/>
      <c r="O1314" s="1135">
        <v>0.111</v>
      </c>
      <c r="P1314" s="1048"/>
      <c r="Q1314" s="1048"/>
      <c r="R1314" s="1048"/>
      <c r="S1314" s="1048"/>
      <c r="T1314" s="1048"/>
      <c r="U1314" s="1102"/>
    </row>
    <row r="1315" spans="2:21" hidden="1" outlineLevel="2">
      <c r="B1315" s="1050">
        <v>394</v>
      </c>
      <c r="C1315" s="2035" t="str">
        <f t="shared" si="115"/>
        <v>67, Strasbourg, Cité de l’Ill, France continentale, Base Carbone</v>
      </c>
      <c r="D1315" s="1051">
        <f t="shared" si="116"/>
        <v>394</v>
      </c>
      <c r="E1315" s="1051" t="str">
        <f>IF(COUNTIF(E$921:E1314,F1315)&gt;0,"",F1315)</f>
        <v>67, Strasbourg, Cité de l’Ill, France continentale, Base Carbone</v>
      </c>
      <c r="F1315" s="1051" t="str">
        <f t="shared" si="117"/>
        <v>67, Strasbourg, Cité de l’Ill, France continentale, Base Carbone</v>
      </c>
      <c r="G1315" s="1055" t="str">
        <f t="shared" si="118"/>
        <v>67, Strasbourg, Cité de l’Ill, France continentale, Base Carbone; kgCO2e/kWh</v>
      </c>
      <c r="I1315" s="2018" t="s">
        <v>3497</v>
      </c>
      <c r="J1315" s="1135" t="s">
        <v>1681</v>
      </c>
      <c r="K1315" s="1119" t="s">
        <v>1567</v>
      </c>
      <c r="L1315" s="1119" t="s">
        <v>1571</v>
      </c>
      <c r="M1315" s="1134">
        <v>0.3</v>
      </c>
      <c r="N1315" s="1135"/>
      <c r="O1315" s="1135">
        <v>7.5999999999999998E-2</v>
      </c>
      <c r="P1315" s="1048"/>
      <c r="Q1315" s="1048"/>
      <c r="R1315" s="1048"/>
      <c r="S1315" s="1048"/>
      <c r="T1315" s="1048"/>
      <c r="U1315" s="1102"/>
    </row>
    <row r="1316" spans="2:21" hidden="1" outlineLevel="2">
      <c r="B1316" s="1050">
        <v>395</v>
      </c>
      <c r="C1316" s="2035" t="str">
        <f t="shared" si="115"/>
        <v>67, Strasbourg, Eco-Quartier Brasserie Cronenbourg, France continentale, Base Carbone</v>
      </c>
      <c r="D1316" s="1051">
        <f t="shared" si="116"/>
        <v>395</v>
      </c>
      <c r="E1316" s="1051" t="str">
        <f>IF(COUNTIF(E$921:E1315,F1316)&gt;0,"",F1316)</f>
        <v>67, Strasbourg, Eco-Quartier Brasserie Cronenbourg, France continentale, Base Carbone</v>
      </c>
      <c r="F1316" s="1051" t="str">
        <f t="shared" si="117"/>
        <v>67, Strasbourg, Eco-Quartier Brasserie Cronenbourg, France continentale, Base Carbone</v>
      </c>
      <c r="G1316" s="1055" t="str">
        <f t="shared" si="118"/>
        <v>67, Strasbourg, Eco-Quartier Brasserie Cronenbourg, France continentale, Base Carbone; kgCO2e/kWh</v>
      </c>
      <c r="I1316" s="2018" t="s">
        <v>2986</v>
      </c>
      <c r="J1316" s="1135" t="s">
        <v>1681</v>
      </c>
      <c r="K1316" s="1119" t="s">
        <v>1567</v>
      </c>
      <c r="L1316" s="1119" t="s">
        <v>1571</v>
      </c>
      <c r="M1316" s="1134">
        <v>0.3</v>
      </c>
      <c r="N1316" s="1135"/>
      <c r="O1316" s="1135">
        <v>6.0999999999999999E-2</v>
      </c>
      <c r="P1316" s="1048"/>
      <c r="Q1316" s="1048"/>
      <c r="R1316" s="1048"/>
      <c r="S1316" s="1048"/>
      <c r="T1316" s="1048"/>
      <c r="U1316" s="1102"/>
    </row>
    <row r="1317" spans="2:21" hidden="1" outlineLevel="2">
      <c r="B1317" s="1050">
        <v>396</v>
      </c>
      <c r="C1317" s="2035" t="str">
        <f t="shared" si="115"/>
        <v>67, Strasbourg, Elsau, France continentale, Base Carbone</v>
      </c>
      <c r="D1317" s="1051">
        <f t="shared" si="116"/>
        <v>396</v>
      </c>
      <c r="E1317" s="1051" t="str">
        <f>IF(COUNTIF(E$921:E1316,F1317)&gt;0,"",F1317)</f>
        <v>67, Strasbourg, Elsau, France continentale, Base Carbone</v>
      </c>
      <c r="F1317" s="1051" t="str">
        <f t="shared" si="117"/>
        <v>67, Strasbourg, Elsau, France continentale, Base Carbone</v>
      </c>
      <c r="G1317" s="1055" t="str">
        <f t="shared" si="118"/>
        <v>67, Strasbourg, Elsau, France continentale, Base Carbone; kgCO2e/kWh</v>
      </c>
      <c r="I1317" s="2018" t="s">
        <v>977</v>
      </c>
      <c r="J1317" s="1135" t="s">
        <v>1681</v>
      </c>
      <c r="K1317" s="1119" t="s">
        <v>1567</v>
      </c>
      <c r="L1317" s="1119" t="s">
        <v>1571</v>
      </c>
      <c r="M1317" s="1134">
        <v>0.3</v>
      </c>
      <c r="N1317" s="1135"/>
      <c r="O1317" s="1135">
        <v>0.23899999999999999</v>
      </c>
      <c r="P1317" s="1048"/>
      <c r="Q1317" s="1048"/>
      <c r="R1317" s="1048"/>
      <c r="S1317" s="1048"/>
      <c r="T1317" s="1048"/>
      <c r="U1317" s="1102"/>
    </row>
    <row r="1318" spans="2:21" hidden="1" outlineLevel="2">
      <c r="B1318" s="1050">
        <v>397</v>
      </c>
      <c r="C1318" s="2035" t="str">
        <f t="shared" si="115"/>
        <v>67, Strasbourg, Hautepierre, France continentale, Base Carbone</v>
      </c>
      <c r="D1318" s="1051">
        <f t="shared" si="116"/>
        <v>397</v>
      </c>
      <c r="E1318" s="1051" t="str">
        <f>IF(COUNTIF(E$921:E1317,F1318)&gt;0,"",F1318)</f>
        <v>67, Strasbourg, Hautepierre, France continentale, Base Carbone</v>
      </c>
      <c r="F1318" s="1051" t="str">
        <f t="shared" si="117"/>
        <v>67, Strasbourg, Hautepierre, France continentale, Base Carbone</v>
      </c>
      <c r="G1318" s="1055" t="str">
        <f t="shared" si="118"/>
        <v>67, Strasbourg, Hautepierre, France continentale, Base Carbone; kgCO2e/kWh</v>
      </c>
      <c r="I1318" s="2018" t="s">
        <v>978</v>
      </c>
      <c r="J1318" s="1135" t="s">
        <v>1681</v>
      </c>
      <c r="K1318" s="1119" t="s">
        <v>1567</v>
      </c>
      <c r="L1318" s="1119" t="s">
        <v>1571</v>
      </c>
      <c r="M1318" s="1134">
        <v>0.3</v>
      </c>
      <c r="N1318" s="1135"/>
      <c r="O1318" s="1135">
        <v>0.23899999999999999</v>
      </c>
      <c r="P1318" s="1048"/>
      <c r="Q1318" s="1048"/>
      <c r="R1318" s="1048"/>
      <c r="S1318" s="1048"/>
      <c r="T1318" s="1048"/>
      <c r="U1318" s="1102"/>
    </row>
    <row r="1319" spans="2:21" hidden="1" outlineLevel="2">
      <c r="B1319" s="1050">
        <v>398</v>
      </c>
      <c r="C1319" s="2035" t="str">
        <f t="shared" si="115"/>
        <v>67, Strasbourg, Hochfelden, France continentale, Base Carbone</v>
      </c>
      <c r="D1319" s="1051">
        <f t="shared" si="116"/>
        <v>398</v>
      </c>
      <c r="E1319" s="1051" t="str">
        <f>IF(COUNTIF(E$921:E1318,F1319)&gt;0,"",F1319)</f>
        <v>67, Strasbourg, Hochfelden, France continentale, Base Carbone</v>
      </c>
      <c r="F1319" s="1051" t="str">
        <f t="shared" si="117"/>
        <v>67, Strasbourg, Hochfelden, France continentale, Base Carbone</v>
      </c>
      <c r="G1319" s="1055" t="str">
        <f t="shared" si="118"/>
        <v>67, Strasbourg, Hochfelden, France continentale, Base Carbone; kgCO2e/kWh</v>
      </c>
      <c r="I1319" s="2018" t="s">
        <v>2987</v>
      </c>
      <c r="J1319" s="1135" t="s">
        <v>1681</v>
      </c>
      <c r="K1319" s="1119" t="s">
        <v>1567</v>
      </c>
      <c r="L1319" s="1119" t="s">
        <v>1571</v>
      </c>
      <c r="M1319" s="1134">
        <v>0.3</v>
      </c>
      <c r="N1319" s="1135"/>
      <c r="O1319" s="1135">
        <v>0.27900000000000003</v>
      </c>
      <c r="P1319" s="1048"/>
      <c r="Q1319" s="1048"/>
      <c r="R1319" s="1048"/>
      <c r="S1319" s="1048"/>
      <c r="T1319" s="1048"/>
      <c r="U1319" s="1102"/>
    </row>
    <row r="1320" spans="2:21" hidden="1" outlineLevel="2">
      <c r="B1320" s="1050">
        <v>399</v>
      </c>
      <c r="C1320" s="2035" t="str">
        <f t="shared" si="115"/>
        <v>67, Strasbourg, L’Esplanade, France continentale, Base Carbone</v>
      </c>
      <c r="D1320" s="1051">
        <f t="shared" si="116"/>
        <v>399</v>
      </c>
      <c r="E1320" s="1051" t="str">
        <f>IF(COUNTIF(E$921:E1319,F1320)&gt;0,"",F1320)</f>
        <v>67, Strasbourg, L’Esplanade, France continentale, Base Carbone</v>
      </c>
      <c r="F1320" s="1051" t="str">
        <f t="shared" si="117"/>
        <v>67, Strasbourg, L’Esplanade, France continentale, Base Carbone</v>
      </c>
      <c r="G1320" s="1055" t="str">
        <f t="shared" si="118"/>
        <v>67, Strasbourg, L’Esplanade, France continentale, Base Carbone; kgCO2e/kWh</v>
      </c>
      <c r="I1320" s="2018" t="s">
        <v>3498</v>
      </c>
      <c r="J1320" s="1135" t="s">
        <v>1681</v>
      </c>
      <c r="K1320" s="1119" t="s">
        <v>1567</v>
      </c>
      <c r="L1320" s="1119" t="s">
        <v>1571</v>
      </c>
      <c r="M1320" s="1134">
        <v>0.3</v>
      </c>
      <c r="N1320" s="1135"/>
      <c r="O1320" s="1135">
        <v>0.22500000000000001</v>
      </c>
      <c r="P1320" s="1048"/>
      <c r="Q1320" s="1048"/>
      <c r="R1320" s="1048"/>
      <c r="S1320" s="1048"/>
      <c r="T1320" s="1048"/>
      <c r="U1320" s="1102"/>
    </row>
    <row r="1321" spans="2:21" hidden="1" outlineLevel="2">
      <c r="B1321" s="1050">
        <v>400</v>
      </c>
      <c r="C1321" s="2035" t="str">
        <f t="shared" si="115"/>
        <v>67, Strasbourg, Réseau de Chaleur ECO2WACKEN, France continentale, Base Carbone</v>
      </c>
      <c r="D1321" s="1051">
        <f t="shared" si="116"/>
        <v>400</v>
      </c>
      <c r="E1321" s="1051" t="str">
        <f>IF(COUNTIF(E$921:E1320,F1321)&gt;0,"",F1321)</f>
        <v>67, Strasbourg, Réseau de Chaleur ECO2WACKEN, France continentale, Base Carbone</v>
      </c>
      <c r="F1321" s="1051" t="str">
        <f t="shared" si="117"/>
        <v>67, Strasbourg, Réseau de Chaleur ECO2WACKEN, France continentale, Base Carbone</v>
      </c>
      <c r="G1321" s="1055" t="str">
        <f t="shared" si="118"/>
        <v>67, Strasbourg, Réseau de Chaleur ECO2WACKEN, France continentale, Base Carbone; kgCO2e/kWh</v>
      </c>
      <c r="I1321" s="2018" t="s">
        <v>3499</v>
      </c>
      <c r="J1321" s="1135" t="s">
        <v>1681</v>
      </c>
      <c r="K1321" s="1119" t="s">
        <v>1567</v>
      </c>
      <c r="L1321" s="1119" t="s">
        <v>1571</v>
      </c>
      <c r="M1321" s="1134">
        <v>0.3</v>
      </c>
      <c r="N1321" s="1135"/>
      <c r="O1321" s="1135">
        <v>7.0000000000000007E-2</v>
      </c>
      <c r="P1321" s="1048"/>
      <c r="Q1321" s="1048"/>
      <c r="R1321" s="1048"/>
      <c r="S1321" s="1048"/>
      <c r="T1321" s="1048"/>
      <c r="U1321" s="1102"/>
    </row>
    <row r="1322" spans="2:21" hidden="1" outlineLevel="2">
      <c r="B1322" s="1050">
        <v>401</v>
      </c>
      <c r="C1322" s="2035" t="str">
        <f t="shared" si="115"/>
        <v>67, Strasbourg, Réseau de Colmar Vosges, France continentale, Base Carbone</v>
      </c>
      <c r="D1322" s="1051">
        <f t="shared" si="116"/>
        <v>401</v>
      </c>
      <c r="E1322" s="1051" t="str">
        <f>IF(COUNTIF(E$921:E1321,F1322)&gt;0,"",F1322)</f>
        <v>67, Strasbourg, Réseau de Colmar Vosges, France continentale, Base Carbone</v>
      </c>
      <c r="F1322" s="1051" t="str">
        <f t="shared" si="117"/>
        <v>67, Strasbourg, Réseau de Colmar Vosges, France continentale, Base Carbone</v>
      </c>
      <c r="G1322" s="1055" t="str">
        <f t="shared" si="118"/>
        <v>67, Strasbourg, Réseau de Colmar Vosges, France continentale, Base Carbone; kgCO2e/kWh</v>
      </c>
      <c r="I1322" s="2018" t="s">
        <v>3500</v>
      </c>
      <c r="J1322" s="1135" t="s">
        <v>1681</v>
      </c>
      <c r="K1322" s="1119" t="s">
        <v>1567</v>
      </c>
      <c r="L1322" s="1119" t="s">
        <v>1571</v>
      </c>
      <c r="M1322" s="1134">
        <v>0.3</v>
      </c>
      <c r="N1322" s="1135"/>
      <c r="O1322" s="1135">
        <v>6.9000000000000006E-2</v>
      </c>
      <c r="P1322" s="1048"/>
      <c r="Q1322" s="1048"/>
      <c r="R1322" s="1048"/>
      <c r="S1322" s="1048"/>
      <c r="T1322" s="1048"/>
      <c r="U1322" s="1102"/>
    </row>
    <row r="1323" spans="2:21" hidden="1" outlineLevel="2">
      <c r="B1323" s="1050">
        <v>402</v>
      </c>
      <c r="C1323" s="2035" t="str">
        <f t="shared" si="115"/>
        <v>68, Cernay, Réseau de Cernay, France continentale, Base Carbone</v>
      </c>
      <c r="D1323" s="1051">
        <f t="shared" si="116"/>
        <v>402</v>
      </c>
      <c r="E1323" s="1051" t="str">
        <f>IF(COUNTIF(E$921:E1322,F1323)&gt;0,"",F1323)</f>
        <v>68, Cernay, Réseau de Cernay, France continentale, Base Carbone</v>
      </c>
      <c r="F1323" s="1051" t="str">
        <f t="shared" si="117"/>
        <v>68, Cernay, Réseau de Cernay, France continentale, Base Carbone</v>
      </c>
      <c r="G1323" s="1055" t="str">
        <f t="shared" si="118"/>
        <v>68, Cernay, Réseau de Cernay, France continentale, Base Carbone; kgCO2e/kWh</v>
      </c>
      <c r="I1323" s="2018" t="s">
        <v>979</v>
      </c>
      <c r="J1323" s="1135" t="s">
        <v>1681</v>
      </c>
      <c r="K1323" s="1119" t="s">
        <v>1567</v>
      </c>
      <c r="L1323" s="1119" t="s">
        <v>1571</v>
      </c>
      <c r="M1323" s="1134">
        <v>0.3</v>
      </c>
      <c r="N1323" s="1135"/>
      <c r="O1323" s="1135">
        <v>7.5999999999999998E-2</v>
      </c>
      <c r="P1323" s="1048"/>
      <c r="Q1323" s="1048"/>
      <c r="R1323" s="1048"/>
      <c r="S1323" s="1048"/>
      <c r="T1323" s="1048"/>
      <c r="U1323" s="1102"/>
    </row>
    <row r="1324" spans="2:21" hidden="1" outlineLevel="2">
      <c r="B1324" s="1050">
        <v>403</v>
      </c>
      <c r="C1324" s="2035" t="str">
        <f t="shared" si="115"/>
        <v>68, Colmar, Réseau de Colmar, France continentale, Base Carbone</v>
      </c>
      <c r="D1324" s="1051">
        <f t="shared" si="116"/>
        <v>403</v>
      </c>
      <c r="E1324" s="1051" t="str">
        <f>IF(COUNTIF(E$921:E1323,F1324)&gt;0,"",F1324)</f>
        <v>68, Colmar, Réseau de Colmar, France continentale, Base Carbone</v>
      </c>
      <c r="F1324" s="1051" t="str">
        <f t="shared" si="117"/>
        <v>68, Colmar, Réseau de Colmar, France continentale, Base Carbone</v>
      </c>
      <c r="G1324" s="1055" t="str">
        <f t="shared" si="118"/>
        <v>68, Colmar, Réseau de Colmar, France continentale, Base Carbone; kgCO2e/kWh</v>
      </c>
      <c r="I1324" s="2018" t="s">
        <v>980</v>
      </c>
      <c r="J1324" s="1135" t="s">
        <v>1681</v>
      </c>
      <c r="K1324" s="1119" t="s">
        <v>1567</v>
      </c>
      <c r="L1324" s="1119" t="s">
        <v>1571</v>
      </c>
      <c r="M1324" s="1134">
        <v>0.3</v>
      </c>
      <c r="N1324" s="1135"/>
      <c r="O1324" s="1135">
        <v>7.0000000000000007E-2</v>
      </c>
      <c r="P1324" s="1048"/>
      <c r="Q1324" s="1048"/>
      <c r="R1324" s="1048"/>
      <c r="S1324" s="1048"/>
      <c r="T1324" s="1048"/>
      <c r="U1324" s="1102"/>
    </row>
    <row r="1325" spans="2:21" hidden="1" outlineLevel="2">
      <c r="B1325" s="1050">
        <v>404</v>
      </c>
      <c r="C1325" s="2035" t="str">
        <f t="shared" si="115"/>
        <v>68, Didenheim, L’Illberg, France continentale, Base Carbone</v>
      </c>
      <c r="D1325" s="1051">
        <f t="shared" si="116"/>
        <v>404</v>
      </c>
      <c r="E1325" s="1051" t="str">
        <f>IF(COUNTIF(E$921:E1324,F1325)&gt;0,"",F1325)</f>
        <v>68, Didenheim, L’Illberg, France continentale, Base Carbone</v>
      </c>
      <c r="F1325" s="1051" t="str">
        <f t="shared" si="117"/>
        <v>68, Didenheim, L’Illberg, France continentale, Base Carbone</v>
      </c>
      <c r="G1325" s="1055" t="str">
        <f t="shared" si="118"/>
        <v>68, Didenheim, L’Illberg, France continentale, Base Carbone; kgCO2e/kWh</v>
      </c>
      <c r="I1325" s="2018" t="s">
        <v>3501</v>
      </c>
      <c r="J1325" s="1135" t="s">
        <v>1681</v>
      </c>
      <c r="K1325" s="1119" t="s">
        <v>1567</v>
      </c>
      <c r="L1325" s="1119" t="s">
        <v>1571</v>
      </c>
      <c r="M1325" s="1134">
        <v>0.3</v>
      </c>
      <c r="N1325" s="1135"/>
      <c r="O1325" s="1135">
        <v>0.10100000000000001</v>
      </c>
      <c r="P1325" s="1048"/>
      <c r="Q1325" s="1048"/>
      <c r="R1325" s="1048"/>
      <c r="S1325" s="1048"/>
      <c r="T1325" s="1048"/>
      <c r="U1325" s="1102"/>
    </row>
    <row r="1326" spans="2:21" hidden="1" outlineLevel="2">
      <c r="B1326" s="1050">
        <v>405</v>
      </c>
      <c r="C1326" s="2035" t="str">
        <f t="shared" si="115"/>
        <v>68, Feldbach, Réseau de chaleur de Feldbach, France continentale, Base Carbone</v>
      </c>
      <c r="D1326" s="1051">
        <f t="shared" si="116"/>
        <v>405</v>
      </c>
      <c r="E1326" s="1051" t="str">
        <f>IF(COUNTIF(E$921:E1325,F1326)&gt;0,"",F1326)</f>
        <v>68, Feldbach, Réseau de chaleur de Feldbach, France continentale, Base Carbone</v>
      </c>
      <c r="F1326" s="1051" t="str">
        <f t="shared" si="117"/>
        <v>68, Feldbach, Réseau de chaleur de Feldbach, France continentale, Base Carbone</v>
      </c>
      <c r="G1326" s="1055" t="str">
        <f t="shared" si="118"/>
        <v>68, Feldbach, Réseau de chaleur de Feldbach, France continentale, Base Carbone; kgCO2e/kWh</v>
      </c>
      <c r="I1326" s="2018" t="s">
        <v>3502</v>
      </c>
      <c r="J1326" s="1135" t="s">
        <v>1681</v>
      </c>
      <c r="K1326" s="1119" t="s">
        <v>1567</v>
      </c>
      <c r="L1326" s="1119" t="s">
        <v>1571</v>
      </c>
      <c r="M1326" s="1134">
        <v>0.3</v>
      </c>
      <c r="N1326" s="1135"/>
      <c r="O1326" s="1135">
        <v>5.6000000000000001E-2</v>
      </c>
      <c r="P1326" s="1048"/>
      <c r="Q1326" s="1048"/>
      <c r="R1326" s="1048"/>
      <c r="S1326" s="1048"/>
      <c r="T1326" s="1048"/>
      <c r="U1326" s="1102"/>
    </row>
    <row r="1327" spans="2:21" hidden="1" outlineLevel="2">
      <c r="B1327" s="1050">
        <v>406</v>
      </c>
      <c r="C1327" s="2035" t="str">
        <f t="shared" si="115"/>
        <v>68, Freisen, Réseau communal de Freisen, France continentale, Base Carbone</v>
      </c>
      <c r="D1327" s="1051">
        <f t="shared" si="116"/>
        <v>406</v>
      </c>
      <c r="E1327" s="1051" t="str">
        <f>IF(COUNTIF(E$921:E1326,F1327)&gt;0,"",F1327)</f>
        <v>68, Freisen, Réseau communal de Freisen, France continentale, Base Carbone</v>
      </c>
      <c r="F1327" s="1051" t="str">
        <f t="shared" si="117"/>
        <v>68, Freisen, Réseau communal de Freisen, France continentale, Base Carbone</v>
      </c>
      <c r="G1327" s="1055" t="str">
        <f t="shared" si="118"/>
        <v>68, Freisen, Réseau communal de Freisen, France continentale, Base Carbone; kgCO2e/kWh</v>
      </c>
      <c r="I1327" s="2018" t="s">
        <v>3503</v>
      </c>
      <c r="J1327" s="1135" t="s">
        <v>1681</v>
      </c>
      <c r="K1327" s="1119" t="s">
        <v>1567</v>
      </c>
      <c r="L1327" s="1119" t="s">
        <v>1571</v>
      </c>
      <c r="M1327" s="1134">
        <v>0.3</v>
      </c>
      <c r="N1327" s="1135"/>
      <c r="O1327" s="1135">
        <v>0</v>
      </c>
      <c r="P1327" s="1048"/>
      <c r="Q1327" s="1048"/>
      <c r="R1327" s="1048"/>
      <c r="S1327" s="1048"/>
      <c r="T1327" s="1048"/>
      <c r="U1327" s="1102"/>
    </row>
    <row r="1328" spans="2:21" hidden="1" outlineLevel="2">
      <c r="B1328" s="1050">
        <v>407</v>
      </c>
      <c r="C1328" s="2035" t="str">
        <f t="shared" si="115"/>
        <v>68, Illzach, Papeteries du Rhin, France continentale, Base Carbone</v>
      </c>
      <c r="D1328" s="1051">
        <f t="shared" si="116"/>
        <v>407</v>
      </c>
      <c r="E1328" s="1051" t="str">
        <f>IF(COUNTIF(E$921:E1327,F1328)&gt;0,"",F1328)</f>
        <v>68, Illzach, Papeteries du Rhin, France continentale, Base Carbone</v>
      </c>
      <c r="F1328" s="1051" t="str">
        <f t="shared" si="117"/>
        <v>68, Illzach, Papeteries du Rhin, France continentale, Base Carbone</v>
      </c>
      <c r="G1328" s="1055" t="str">
        <f t="shared" si="118"/>
        <v>68, Illzach, Papeteries du Rhin, France continentale, Base Carbone; kgCO2e/kWh</v>
      </c>
      <c r="I1328" s="2018" t="s">
        <v>3504</v>
      </c>
      <c r="J1328" s="1135" t="s">
        <v>1681</v>
      </c>
      <c r="K1328" s="1119" t="s">
        <v>1567</v>
      </c>
      <c r="L1328" s="1119" t="s">
        <v>1571</v>
      </c>
      <c r="M1328" s="1134">
        <v>0.3</v>
      </c>
      <c r="N1328" s="1135"/>
      <c r="O1328" s="1135">
        <v>6.2E-2</v>
      </c>
      <c r="P1328" s="1048"/>
      <c r="Q1328" s="1048"/>
      <c r="R1328" s="1048"/>
      <c r="S1328" s="1048"/>
      <c r="T1328" s="1048"/>
      <c r="U1328" s="1102"/>
    </row>
    <row r="1329" spans="2:21" hidden="1" outlineLevel="2">
      <c r="B1329" s="1050">
        <v>408</v>
      </c>
      <c r="C1329" s="2035" t="str">
        <f t="shared" si="115"/>
        <v>68, Lapoutroie, Réseau de Lapoutroie, France continentale, Base Carbone</v>
      </c>
      <c r="D1329" s="1051">
        <f t="shared" si="116"/>
        <v>408</v>
      </c>
      <c r="E1329" s="1051" t="str">
        <f>IF(COUNTIF(E$921:E1328,F1329)&gt;0,"",F1329)</f>
        <v>68, Lapoutroie, Réseau de Lapoutroie, France continentale, Base Carbone</v>
      </c>
      <c r="F1329" s="1051" t="str">
        <f t="shared" si="117"/>
        <v>68, Lapoutroie, Réseau de Lapoutroie, France continentale, Base Carbone</v>
      </c>
      <c r="G1329" s="1055" t="str">
        <f t="shared" si="118"/>
        <v>68, Lapoutroie, Réseau de Lapoutroie, France continentale, Base Carbone; kgCO2e/kWh</v>
      </c>
      <c r="I1329" s="2018" t="s">
        <v>3505</v>
      </c>
      <c r="J1329" s="1135" t="s">
        <v>1681</v>
      </c>
      <c r="K1329" s="1119" t="s">
        <v>1567</v>
      </c>
      <c r="L1329" s="1119" t="s">
        <v>1571</v>
      </c>
      <c r="M1329" s="1134">
        <v>0.3</v>
      </c>
      <c r="N1329" s="1135"/>
      <c r="O1329" s="1135">
        <v>0</v>
      </c>
      <c r="P1329" s="1048"/>
      <c r="Q1329" s="1048"/>
      <c r="R1329" s="1048"/>
      <c r="S1329" s="1048"/>
      <c r="T1329" s="1048"/>
      <c r="U1329" s="1102"/>
    </row>
    <row r="1330" spans="2:21" hidden="1" outlineLevel="2">
      <c r="B1330" s="1050">
        <v>409</v>
      </c>
      <c r="C1330" s="2035" t="str">
        <f t="shared" si="115"/>
        <v>68, Mulhouse, Porte de Bâle, France continentale, Base Carbone</v>
      </c>
      <c r="D1330" s="1051">
        <f t="shared" si="116"/>
        <v>409</v>
      </c>
      <c r="E1330" s="1051" t="str">
        <f>IF(COUNTIF(E$921:E1329,F1330)&gt;0,"",F1330)</f>
        <v>68, Mulhouse, Porte de Bâle, France continentale, Base Carbone</v>
      </c>
      <c r="F1330" s="1051" t="str">
        <f t="shared" si="117"/>
        <v>68, Mulhouse, Porte de Bâle, France continentale, Base Carbone</v>
      </c>
      <c r="G1330" s="1055" t="str">
        <f t="shared" si="118"/>
        <v>68, Mulhouse, Porte de Bâle, France continentale, Base Carbone; kgCO2e/kWh</v>
      </c>
      <c r="I1330" s="2018" t="s">
        <v>2988</v>
      </c>
      <c r="J1330" s="1135" t="s">
        <v>1681</v>
      </c>
      <c r="K1330" s="1119" t="s">
        <v>1567</v>
      </c>
      <c r="L1330" s="1119" t="s">
        <v>1571</v>
      </c>
      <c r="M1330" s="1134">
        <v>0.3</v>
      </c>
      <c r="N1330" s="1135"/>
      <c r="O1330" s="1135">
        <v>0.185</v>
      </c>
      <c r="P1330" s="1048"/>
      <c r="Q1330" s="1048"/>
      <c r="R1330" s="1048"/>
      <c r="S1330" s="1048"/>
      <c r="T1330" s="1048"/>
      <c r="U1330" s="1102"/>
    </row>
    <row r="1331" spans="2:21" hidden="1" outlineLevel="2">
      <c r="B1331" s="1050">
        <v>410</v>
      </c>
      <c r="C1331" s="2035" t="str">
        <f t="shared" si="115"/>
        <v>68, Rixheim, Réseau de Rixheim, France continentale, Base Carbone</v>
      </c>
      <c r="D1331" s="1051">
        <f t="shared" si="116"/>
        <v>410</v>
      </c>
      <c r="E1331" s="1051" t="str">
        <f>IF(COUNTIF(E$921:E1330,F1331)&gt;0,"",F1331)</f>
        <v>68, Rixheim, Réseau de Rixheim, France continentale, Base Carbone</v>
      </c>
      <c r="F1331" s="1051" t="str">
        <f t="shared" si="117"/>
        <v>68, Rixheim, Réseau de Rixheim, France continentale, Base Carbone</v>
      </c>
      <c r="G1331" s="1055" t="str">
        <f t="shared" si="118"/>
        <v>68, Rixheim, Réseau de Rixheim, France continentale, Base Carbone; kgCO2e/kWh</v>
      </c>
      <c r="I1331" s="2018" t="s">
        <v>981</v>
      </c>
      <c r="J1331" s="1135" t="s">
        <v>1681</v>
      </c>
      <c r="K1331" s="1119" t="s">
        <v>1567</v>
      </c>
      <c r="L1331" s="1119" t="s">
        <v>1571</v>
      </c>
      <c r="M1331" s="1134">
        <v>0.3</v>
      </c>
      <c r="N1331" s="1135"/>
      <c r="O1331" s="1135">
        <v>6.3E-2</v>
      </c>
      <c r="P1331" s="1048"/>
      <c r="Q1331" s="1048"/>
      <c r="R1331" s="1048"/>
      <c r="S1331" s="1048"/>
      <c r="T1331" s="1048"/>
      <c r="U1331" s="1102"/>
    </row>
    <row r="1332" spans="2:21" hidden="1" outlineLevel="2">
      <c r="B1332" s="1050">
        <v>411</v>
      </c>
      <c r="C1332" s="2035" t="str">
        <f t="shared" si="115"/>
        <v>68, Saint-Louis, Réseau de la Ville de Saint-Louis, France continentale, Base Carbone</v>
      </c>
      <c r="D1332" s="1051">
        <f t="shared" si="116"/>
        <v>411</v>
      </c>
      <c r="E1332" s="1051" t="str">
        <f>IF(COUNTIF(E$921:E1331,F1332)&gt;0,"",F1332)</f>
        <v>68, Saint-Louis, Réseau de la Ville de Saint-Louis, France continentale, Base Carbone</v>
      </c>
      <c r="F1332" s="1051" t="str">
        <f t="shared" si="117"/>
        <v>68, Saint-Louis, Réseau de la Ville de Saint-Louis, France continentale, Base Carbone</v>
      </c>
      <c r="G1332" s="1055" t="str">
        <f t="shared" si="118"/>
        <v>68, Saint-Louis, Réseau de la Ville de Saint-Louis, France continentale, Base Carbone; kgCO2e/kWh</v>
      </c>
      <c r="I1332" s="2018" t="s">
        <v>2989</v>
      </c>
      <c r="J1332" s="1135" t="s">
        <v>1681</v>
      </c>
      <c r="K1332" s="1119" t="s">
        <v>1567</v>
      </c>
      <c r="L1332" s="1119" t="s">
        <v>1571</v>
      </c>
      <c r="M1332" s="1134">
        <v>0.3</v>
      </c>
      <c r="N1332" s="1135"/>
      <c r="O1332" s="1135">
        <v>0</v>
      </c>
      <c r="P1332" s="1048"/>
      <c r="Q1332" s="1048"/>
      <c r="R1332" s="1048"/>
      <c r="S1332" s="1048"/>
      <c r="T1332" s="1048"/>
      <c r="U1332" s="1102"/>
    </row>
    <row r="1333" spans="2:21" hidden="1" outlineLevel="2">
      <c r="B1333" s="1050">
        <v>412</v>
      </c>
      <c r="C1333" s="2035" t="str">
        <f t="shared" si="115"/>
        <v>68, Sainte-Marie-aux-Mines, Réseau Val-d’Argent, France continentale, Base Carbone</v>
      </c>
      <c r="D1333" s="1051">
        <f t="shared" si="116"/>
        <v>412</v>
      </c>
      <c r="E1333" s="1051" t="str">
        <f>IF(COUNTIF(E$921:E1332,F1333)&gt;0,"",F1333)</f>
        <v>68, Sainte-Marie-aux-Mines, Réseau Val-d’Argent, France continentale, Base Carbone</v>
      </c>
      <c r="F1333" s="1051" t="str">
        <f t="shared" si="117"/>
        <v>68, Sainte-Marie-aux-Mines, Réseau Val-d’Argent, France continentale, Base Carbone</v>
      </c>
      <c r="G1333" s="1055" t="str">
        <f t="shared" si="118"/>
        <v>68, Sainte-Marie-aux-Mines, Réseau Val-d’Argent, France continentale, Base Carbone; kgCO2e/kWh</v>
      </c>
      <c r="I1333" s="2018" t="s">
        <v>3506</v>
      </c>
      <c r="J1333" s="1135" t="s">
        <v>1681</v>
      </c>
      <c r="K1333" s="1119" t="s">
        <v>1567</v>
      </c>
      <c r="L1333" s="1119" t="s">
        <v>1571</v>
      </c>
      <c r="M1333" s="1134">
        <v>0.3</v>
      </c>
      <c r="N1333" s="1135"/>
      <c r="O1333" s="1135">
        <v>7.4999999999999997E-2</v>
      </c>
      <c r="P1333" s="1048"/>
      <c r="Q1333" s="1048"/>
      <c r="R1333" s="1048"/>
      <c r="S1333" s="1048"/>
      <c r="T1333" s="1048"/>
      <c r="U1333" s="1102"/>
    </row>
    <row r="1334" spans="2:21" hidden="1" outlineLevel="2">
      <c r="B1334" s="1050">
        <v>413</v>
      </c>
      <c r="C1334" s="2035" t="str">
        <f t="shared" si="115"/>
        <v>68, Thann, Réseau de Thann, France continentale, Base Carbone</v>
      </c>
      <c r="D1334" s="1051">
        <f t="shared" si="116"/>
        <v>413</v>
      </c>
      <c r="E1334" s="1051" t="str">
        <f>IF(COUNTIF(E$921:E1333,F1334)&gt;0,"",F1334)</f>
        <v>68, Thann, Réseau de Thann, France continentale, Base Carbone</v>
      </c>
      <c r="F1334" s="1051" t="str">
        <f t="shared" si="117"/>
        <v>68, Thann, Réseau de Thann, France continentale, Base Carbone</v>
      </c>
      <c r="G1334" s="1055" t="str">
        <f t="shared" si="118"/>
        <v>68, Thann, Réseau de Thann, France continentale, Base Carbone; kgCO2e/kWh</v>
      </c>
      <c r="I1334" s="2018" t="s">
        <v>3507</v>
      </c>
      <c r="J1334" s="1135" t="s">
        <v>1681</v>
      </c>
      <c r="K1334" s="1119" t="s">
        <v>1567</v>
      </c>
      <c r="L1334" s="1119" t="s">
        <v>1571</v>
      </c>
      <c r="M1334" s="1134">
        <v>0.3</v>
      </c>
      <c r="N1334" s="1135"/>
      <c r="O1334" s="1135">
        <v>0</v>
      </c>
      <c r="P1334" s="1048"/>
      <c r="Q1334" s="1048"/>
      <c r="R1334" s="1048"/>
      <c r="S1334" s="1048"/>
      <c r="T1334" s="1048"/>
      <c r="U1334" s="1102"/>
    </row>
    <row r="1335" spans="2:21" hidden="1" outlineLevel="2">
      <c r="B1335" s="1050">
        <v>414</v>
      </c>
      <c r="C1335" s="2035" t="str">
        <f t="shared" si="115"/>
        <v>69, Bron, Quartier Parilly, France continentale, Base Carbone</v>
      </c>
      <c r="D1335" s="1051">
        <f t="shared" si="116"/>
        <v>414</v>
      </c>
      <c r="E1335" s="1051" t="str">
        <f>IF(COUNTIF(E$921:E1334,F1335)&gt;0,"",F1335)</f>
        <v>69, Bron, Quartier Parilly, France continentale, Base Carbone</v>
      </c>
      <c r="F1335" s="1051" t="str">
        <f t="shared" si="117"/>
        <v>69, Bron, Quartier Parilly, France continentale, Base Carbone</v>
      </c>
      <c r="G1335" s="1055" t="str">
        <f t="shared" si="118"/>
        <v>69, Bron, Quartier Parilly, France continentale, Base Carbone; kgCO2e/kWh</v>
      </c>
      <c r="I1335" s="2018" t="s">
        <v>3508</v>
      </c>
      <c r="J1335" s="1135" t="s">
        <v>1681</v>
      </c>
      <c r="K1335" s="1119" t="s">
        <v>1567</v>
      </c>
      <c r="L1335" s="1119" t="s">
        <v>1571</v>
      </c>
      <c r="M1335" s="1134">
        <v>0.3</v>
      </c>
      <c r="N1335" s="1135"/>
      <c r="O1335" s="1135">
        <v>0.20200000000000001</v>
      </c>
      <c r="P1335" s="1048"/>
      <c r="Q1335" s="1048"/>
      <c r="R1335" s="1048"/>
      <c r="S1335" s="1048"/>
      <c r="T1335" s="1048"/>
      <c r="U1335" s="1102"/>
    </row>
    <row r="1336" spans="2:21" hidden="1" outlineLevel="2">
      <c r="B1336" s="1050">
        <v>415</v>
      </c>
      <c r="C1336" s="2035" t="str">
        <f t="shared" si="115"/>
        <v>69, Champagne-au-Mont-d’Or, La Duchère et Lyon 9e, France continentale, Base Carbone</v>
      </c>
      <c r="D1336" s="1051">
        <f t="shared" si="116"/>
        <v>415</v>
      </c>
      <c r="E1336" s="1051" t="str">
        <f>IF(COUNTIF(E$921:E1335,F1336)&gt;0,"",F1336)</f>
        <v>69, Champagne-au-Mont-d’Or, La Duchère et Lyon 9e, France continentale, Base Carbone</v>
      </c>
      <c r="F1336" s="1051" t="str">
        <f t="shared" si="117"/>
        <v>69, Champagne-au-Mont-d’Or, La Duchère et Lyon 9e, France continentale, Base Carbone</v>
      </c>
      <c r="G1336" s="1055" t="str">
        <f t="shared" si="118"/>
        <v>69, Champagne-au-Mont-d’Or, La Duchère et Lyon 9e, France continentale, Base Carbone; kgCO2e/kWh</v>
      </c>
      <c r="I1336" s="2018" t="s">
        <v>3509</v>
      </c>
      <c r="J1336" s="1135" t="s">
        <v>1681</v>
      </c>
      <c r="K1336" s="1119" t="s">
        <v>1567</v>
      </c>
      <c r="L1336" s="1119" t="s">
        <v>1571</v>
      </c>
      <c r="M1336" s="1134">
        <v>0.3</v>
      </c>
      <c r="N1336" s="1135"/>
      <c r="O1336" s="1135">
        <v>7.2999999999999995E-2</v>
      </c>
      <c r="P1336" s="1048"/>
      <c r="Q1336" s="1048"/>
      <c r="R1336" s="1048"/>
      <c r="S1336" s="1048"/>
      <c r="T1336" s="1048"/>
      <c r="U1336" s="1102"/>
    </row>
    <row r="1337" spans="2:21" hidden="1" outlineLevel="2">
      <c r="B1337" s="1050">
        <v>416</v>
      </c>
      <c r="C1337" s="2035" t="str">
        <f t="shared" si="115"/>
        <v>69, Ecully, HLM Les Sources, France continentale, Base Carbone</v>
      </c>
      <c r="D1337" s="1051">
        <f t="shared" si="116"/>
        <v>416</v>
      </c>
      <c r="E1337" s="1051" t="str">
        <f>IF(COUNTIF(E$921:E1336,F1337)&gt;0,"",F1337)</f>
        <v>69, Ecully, HLM Les Sources, France continentale, Base Carbone</v>
      </c>
      <c r="F1337" s="1051" t="str">
        <f t="shared" si="117"/>
        <v>69, Ecully, HLM Les Sources, France continentale, Base Carbone</v>
      </c>
      <c r="G1337" s="1055" t="str">
        <f t="shared" si="118"/>
        <v>69, Ecully, HLM Les Sources, France continentale, Base Carbone; kgCO2e/kWh</v>
      </c>
      <c r="I1337" s="2018" t="s">
        <v>3510</v>
      </c>
      <c r="J1337" s="1135" t="s">
        <v>1681</v>
      </c>
      <c r="K1337" s="1119" t="s">
        <v>1567</v>
      </c>
      <c r="L1337" s="1119" t="s">
        <v>1571</v>
      </c>
      <c r="M1337" s="1134">
        <v>0.3</v>
      </c>
      <c r="N1337" s="1135"/>
      <c r="O1337" s="1135">
        <v>0.20699999999999999</v>
      </c>
      <c r="P1337" s="1048"/>
      <c r="Q1337" s="1048"/>
      <c r="R1337" s="1048"/>
      <c r="S1337" s="1048"/>
      <c r="T1337" s="1048"/>
      <c r="U1337" s="1102"/>
    </row>
    <row r="1338" spans="2:21" hidden="1" outlineLevel="2">
      <c r="B1338" s="1050">
        <v>417</v>
      </c>
      <c r="C1338" s="2035" t="str">
        <f t="shared" si="115"/>
        <v>69, Givors, Quartier Les Vernes, France continentale, Base Carbone</v>
      </c>
      <c r="D1338" s="1051">
        <f t="shared" si="116"/>
        <v>417</v>
      </c>
      <c r="E1338" s="1051" t="str">
        <f>IF(COUNTIF(E$921:E1337,F1338)&gt;0,"",F1338)</f>
        <v>69, Givors, Quartier Les Vernes, France continentale, Base Carbone</v>
      </c>
      <c r="F1338" s="1051" t="str">
        <f t="shared" si="117"/>
        <v>69, Givors, Quartier Les Vernes, France continentale, Base Carbone</v>
      </c>
      <c r="G1338" s="1055" t="str">
        <f t="shared" si="118"/>
        <v>69, Givors, Quartier Les Vernes, France continentale, Base Carbone; kgCO2e/kWh</v>
      </c>
      <c r="I1338" s="2018" t="s">
        <v>3511</v>
      </c>
      <c r="J1338" s="1135" t="s">
        <v>1681</v>
      </c>
      <c r="K1338" s="1119" t="s">
        <v>1567</v>
      </c>
      <c r="L1338" s="1119" t="s">
        <v>1571</v>
      </c>
      <c r="M1338" s="1134">
        <v>0.3</v>
      </c>
      <c r="N1338" s="1135"/>
      <c r="O1338" s="1135">
        <v>0.253</v>
      </c>
      <c r="P1338" s="1048"/>
      <c r="Q1338" s="1048"/>
      <c r="R1338" s="1048"/>
      <c r="S1338" s="1048"/>
      <c r="T1338" s="1048"/>
      <c r="U1338" s="1102"/>
    </row>
    <row r="1339" spans="2:21" hidden="1" outlineLevel="2">
      <c r="B1339" s="1050">
        <v>418</v>
      </c>
      <c r="C1339" s="2035" t="str">
        <f t="shared" si="115"/>
        <v>69, Gleize, Quartier Belleroche Ouest, France continentale, Base Carbone</v>
      </c>
      <c r="D1339" s="1051">
        <f t="shared" si="116"/>
        <v>418</v>
      </c>
      <c r="E1339" s="1051" t="str">
        <f>IF(COUNTIF(E$921:E1338,F1339)&gt;0,"",F1339)</f>
        <v>69, Gleize, Quartier Belleroche Ouest, France continentale, Base Carbone</v>
      </c>
      <c r="F1339" s="1051" t="str">
        <f t="shared" si="117"/>
        <v>69, Gleize, Quartier Belleroche Ouest, France continentale, Base Carbone</v>
      </c>
      <c r="G1339" s="1055" t="str">
        <f t="shared" si="118"/>
        <v>69, Gleize, Quartier Belleroche Ouest, France continentale, Base Carbone; kgCO2e/kWh</v>
      </c>
      <c r="I1339" s="2018" t="s">
        <v>3512</v>
      </c>
      <c r="J1339" s="1135" t="s">
        <v>1681</v>
      </c>
      <c r="K1339" s="1119" t="s">
        <v>1567</v>
      </c>
      <c r="L1339" s="1119" t="s">
        <v>1571</v>
      </c>
      <c r="M1339" s="1134">
        <v>0.3</v>
      </c>
      <c r="N1339" s="1135"/>
      <c r="O1339" s="1135">
        <v>8.6999999999999994E-2</v>
      </c>
      <c r="P1339" s="1048"/>
      <c r="Q1339" s="1048"/>
      <c r="R1339" s="1048"/>
      <c r="S1339" s="1048"/>
      <c r="T1339" s="1048"/>
      <c r="U1339" s="1102"/>
    </row>
    <row r="1340" spans="2:21" hidden="1" outlineLevel="2">
      <c r="B1340" s="1050">
        <v>419</v>
      </c>
      <c r="C1340" s="2035" t="str">
        <f t="shared" si="115"/>
        <v>69, La Tour-de-Salvagny, Réseau de La Tour-de-Salvagny, France continentale, Base Carbone</v>
      </c>
      <c r="D1340" s="1051">
        <f t="shared" si="116"/>
        <v>419</v>
      </c>
      <c r="E1340" s="1051" t="str">
        <f>IF(COUNTIF(E$921:E1339,F1340)&gt;0,"",F1340)</f>
        <v>69, La Tour-de-Salvagny, Réseau de La Tour-de-Salvagny, France continentale, Base Carbone</v>
      </c>
      <c r="F1340" s="1051" t="str">
        <f t="shared" si="117"/>
        <v>69, La Tour-de-Salvagny, Réseau de La Tour-de-Salvagny, France continentale, Base Carbone</v>
      </c>
      <c r="G1340" s="1055" t="str">
        <f t="shared" si="118"/>
        <v>69, La Tour-de-Salvagny, Réseau de La Tour-de-Salvagny, France continentale, Base Carbone; kgCO2e/kWh</v>
      </c>
      <c r="I1340" s="2018" t="s">
        <v>2990</v>
      </c>
      <c r="J1340" s="1135" t="s">
        <v>1681</v>
      </c>
      <c r="K1340" s="1119" t="s">
        <v>1567</v>
      </c>
      <c r="L1340" s="1119" t="s">
        <v>1571</v>
      </c>
      <c r="M1340" s="1134">
        <v>0.3</v>
      </c>
      <c r="N1340" s="1135"/>
      <c r="O1340" s="1135">
        <v>4.3999999999999997E-2</v>
      </c>
      <c r="P1340" s="1048"/>
      <c r="Q1340" s="1048"/>
      <c r="R1340" s="1048"/>
      <c r="S1340" s="1048"/>
      <c r="T1340" s="1048"/>
      <c r="U1340" s="1102"/>
    </row>
    <row r="1341" spans="2:21" hidden="1" outlineLevel="2">
      <c r="B1341" s="1050">
        <v>420</v>
      </c>
      <c r="C1341" s="2035" t="str">
        <f t="shared" si="115"/>
        <v>69, Lamure-sur-Azergues, Réseau de Lamure-sur-Azergues, France continentale, Base Carbone</v>
      </c>
      <c r="D1341" s="1051">
        <f t="shared" si="116"/>
        <v>420</v>
      </c>
      <c r="E1341" s="1051" t="str">
        <f>IF(COUNTIF(E$921:E1340,F1341)&gt;0,"",F1341)</f>
        <v>69, Lamure-sur-Azergues, Réseau de Lamure-sur-Azergues, France continentale, Base Carbone</v>
      </c>
      <c r="F1341" s="1051" t="str">
        <f t="shared" si="117"/>
        <v>69, Lamure-sur-Azergues, Réseau de Lamure-sur-Azergues, France continentale, Base Carbone</v>
      </c>
      <c r="G1341" s="1055" t="str">
        <f t="shared" si="118"/>
        <v>69, Lamure-sur-Azergues, Réseau de Lamure-sur-Azergues, France continentale, Base Carbone; kgCO2e/kWh</v>
      </c>
      <c r="I1341" s="2018" t="s">
        <v>2991</v>
      </c>
      <c r="J1341" s="1135" t="s">
        <v>1681</v>
      </c>
      <c r="K1341" s="1119" t="s">
        <v>1567</v>
      </c>
      <c r="L1341" s="1119" t="s">
        <v>1571</v>
      </c>
      <c r="M1341" s="1134">
        <v>0.3</v>
      </c>
      <c r="N1341" s="1135"/>
      <c r="O1341" s="1135">
        <v>0.25600000000000001</v>
      </c>
      <c r="P1341" s="1048"/>
      <c r="Q1341" s="1048"/>
      <c r="R1341" s="1048"/>
      <c r="S1341" s="1048"/>
      <c r="T1341" s="1048"/>
      <c r="U1341" s="1102"/>
    </row>
    <row r="1342" spans="2:21" hidden="1" outlineLevel="2">
      <c r="B1342" s="1050">
        <v>421</v>
      </c>
      <c r="C1342" s="2035" t="str">
        <f t="shared" si="115"/>
        <v>69, Lyon, Quartier Mermoz Sud, France continentale, Base Carbone</v>
      </c>
      <c r="D1342" s="1051">
        <f t="shared" si="116"/>
        <v>421</v>
      </c>
      <c r="E1342" s="1051" t="str">
        <f>IF(COUNTIF(E$921:E1341,F1342)&gt;0,"",F1342)</f>
        <v>69, Lyon, Quartier Mermoz Sud, France continentale, Base Carbone</v>
      </c>
      <c r="F1342" s="1051" t="str">
        <f t="shared" si="117"/>
        <v>69, Lyon, Quartier Mermoz Sud, France continentale, Base Carbone</v>
      </c>
      <c r="G1342" s="1055" t="str">
        <f t="shared" si="118"/>
        <v>69, Lyon, Quartier Mermoz Sud, France continentale, Base Carbone; kgCO2e/kWh</v>
      </c>
      <c r="I1342" s="2018" t="s">
        <v>3513</v>
      </c>
      <c r="J1342" s="1135" t="s">
        <v>1681</v>
      </c>
      <c r="K1342" s="1119" t="s">
        <v>1567</v>
      </c>
      <c r="L1342" s="1119" t="s">
        <v>1571</v>
      </c>
      <c r="M1342" s="1134">
        <v>0.3</v>
      </c>
      <c r="N1342" s="1135"/>
      <c r="O1342" s="1135">
        <v>0.20200000000000001</v>
      </c>
      <c r="P1342" s="1048"/>
      <c r="Q1342" s="1048"/>
      <c r="R1342" s="1048"/>
      <c r="S1342" s="1048"/>
      <c r="T1342" s="1048"/>
      <c r="U1342" s="1102"/>
    </row>
    <row r="1343" spans="2:21" hidden="1" outlineLevel="2">
      <c r="B1343" s="1050">
        <v>422</v>
      </c>
      <c r="C1343" s="2035" t="str">
        <f t="shared" si="115"/>
        <v>69, Lyon, Réseau de chaleur Lyon Confluence, France continentale, Base Carbone</v>
      </c>
      <c r="D1343" s="1051">
        <f t="shared" si="116"/>
        <v>422</v>
      </c>
      <c r="E1343" s="1051" t="str">
        <f>IF(COUNTIF(E$921:E1342,F1343)&gt;0,"",F1343)</f>
        <v>69, Lyon, Réseau de chaleur Lyon Confluence, France continentale, Base Carbone</v>
      </c>
      <c r="F1343" s="1051" t="str">
        <f t="shared" si="117"/>
        <v>69, Lyon, Réseau de chaleur Lyon Confluence, France continentale, Base Carbone</v>
      </c>
      <c r="G1343" s="1055" t="str">
        <f t="shared" si="118"/>
        <v>69, Lyon, Réseau de chaleur Lyon Confluence, France continentale, Base Carbone; kgCO2e/kWh</v>
      </c>
      <c r="I1343" s="2018" t="s">
        <v>3514</v>
      </c>
      <c r="J1343" s="1135" t="s">
        <v>1681</v>
      </c>
      <c r="K1343" s="1119" t="s">
        <v>1567</v>
      </c>
      <c r="L1343" s="1119" t="s">
        <v>1571</v>
      </c>
      <c r="M1343" s="1134">
        <v>0.3</v>
      </c>
      <c r="N1343" s="1135"/>
      <c r="O1343" s="1135">
        <v>0.38400000000000001</v>
      </c>
      <c r="P1343" s="1048"/>
      <c r="Q1343" s="1048"/>
      <c r="R1343" s="1048"/>
      <c r="S1343" s="1048"/>
      <c r="T1343" s="1048"/>
      <c r="U1343" s="1102"/>
    </row>
    <row r="1344" spans="2:21" hidden="1" outlineLevel="2">
      <c r="B1344" s="1050">
        <v>423</v>
      </c>
      <c r="C1344" s="2035" t="str">
        <f t="shared" si="115"/>
        <v>69, Lyon, Réseau Lyon, France continentale, Base Carbone</v>
      </c>
      <c r="D1344" s="1051">
        <f t="shared" si="116"/>
        <v>423</v>
      </c>
      <c r="E1344" s="1051" t="str">
        <f>IF(COUNTIF(E$921:E1343,F1344)&gt;0,"",F1344)</f>
        <v>69, Lyon, Réseau Lyon, France continentale, Base Carbone</v>
      </c>
      <c r="F1344" s="1051" t="str">
        <f t="shared" si="117"/>
        <v>69, Lyon, Réseau Lyon, France continentale, Base Carbone</v>
      </c>
      <c r="G1344" s="1055" t="str">
        <f t="shared" si="118"/>
        <v>69, Lyon, Réseau Lyon, France continentale, Base Carbone; kgCO2e/kWh</v>
      </c>
      <c r="I1344" s="2018" t="s">
        <v>3515</v>
      </c>
      <c r="J1344" s="1135" t="s">
        <v>1681</v>
      </c>
      <c r="K1344" s="1119" t="s">
        <v>1567</v>
      </c>
      <c r="L1344" s="1119" t="s">
        <v>1571</v>
      </c>
      <c r="M1344" s="1134">
        <v>0.3</v>
      </c>
      <c r="N1344" s="1135"/>
      <c r="O1344" s="1135">
        <v>0.10100000000000001</v>
      </c>
      <c r="P1344" s="1048"/>
      <c r="Q1344" s="1048"/>
      <c r="R1344" s="1048"/>
      <c r="S1344" s="1048"/>
      <c r="T1344" s="1048"/>
      <c r="U1344" s="1102"/>
    </row>
    <row r="1345" spans="2:21" hidden="1" outlineLevel="2">
      <c r="B1345" s="1050">
        <v>424</v>
      </c>
      <c r="C1345" s="2035" t="str">
        <f t="shared" si="115"/>
        <v>69, Lyon, Z. H Champvert, France continentale, Base Carbone</v>
      </c>
      <c r="D1345" s="1051">
        <f t="shared" si="116"/>
        <v>424</v>
      </c>
      <c r="E1345" s="1051" t="str">
        <f>IF(COUNTIF(E$921:E1344,F1345)&gt;0,"",F1345)</f>
        <v>69, Lyon, Z. H Champvert, France continentale, Base Carbone</v>
      </c>
      <c r="F1345" s="1051" t="str">
        <f t="shared" si="117"/>
        <v>69, Lyon, Z. H Champvert, France continentale, Base Carbone</v>
      </c>
      <c r="G1345" s="1055" t="str">
        <f t="shared" si="118"/>
        <v>69, Lyon, Z. H Champvert, France continentale, Base Carbone; kgCO2e/kWh</v>
      </c>
      <c r="I1345" s="2018" t="s">
        <v>2992</v>
      </c>
      <c r="J1345" s="1135" t="s">
        <v>1681</v>
      </c>
      <c r="K1345" s="1119" t="s">
        <v>1567</v>
      </c>
      <c r="L1345" s="1119" t="s">
        <v>1571</v>
      </c>
      <c r="M1345" s="1134">
        <v>0.3</v>
      </c>
      <c r="N1345" s="1135"/>
      <c r="O1345" s="1135">
        <v>0.193</v>
      </c>
      <c r="P1345" s="1048"/>
      <c r="Q1345" s="1048"/>
      <c r="R1345" s="1048"/>
      <c r="S1345" s="1048"/>
      <c r="T1345" s="1048"/>
      <c r="U1345" s="1102"/>
    </row>
    <row r="1346" spans="2:21" hidden="1" outlineLevel="2">
      <c r="B1346" s="1050">
        <v>425</v>
      </c>
      <c r="C1346" s="2035" t="str">
        <f t="shared" si="115"/>
        <v>69, Oullins, Plateau de Montmein, France continentale, Base Carbone</v>
      </c>
      <c r="D1346" s="1051">
        <f t="shared" si="116"/>
        <v>425</v>
      </c>
      <c r="E1346" s="1051" t="str">
        <f>IF(COUNTIF(E$921:E1345,F1346)&gt;0,"",F1346)</f>
        <v>69, Oullins, Plateau de Montmein, France continentale, Base Carbone</v>
      </c>
      <c r="F1346" s="1051" t="str">
        <f t="shared" si="117"/>
        <v>69, Oullins, Plateau de Montmein, France continentale, Base Carbone</v>
      </c>
      <c r="G1346" s="1055" t="str">
        <f t="shared" si="118"/>
        <v>69, Oullins, Plateau de Montmein, France continentale, Base Carbone; kgCO2e/kWh</v>
      </c>
      <c r="I1346" s="2018" t="s">
        <v>982</v>
      </c>
      <c r="J1346" s="1135" t="s">
        <v>1681</v>
      </c>
      <c r="K1346" s="1119" t="s">
        <v>1567</v>
      </c>
      <c r="L1346" s="1119" t="s">
        <v>1571</v>
      </c>
      <c r="M1346" s="1134">
        <v>0.3</v>
      </c>
      <c r="N1346" s="1135"/>
      <c r="O1346" s="1135">
        <v>0.20599999999999999</v>
      </c>
      <c r="P1346" s="1048"/>
      <c r="Q1346" s="1048"/>
      <c r="R1346" s="1048"/>
      <c r="S1346" s="1048"/>
      <c r="T1346" s="1048"/>
      <c r="U1346" s="1102"/>
    </row>
    <row r="1347" spans="2:21" hidden="1" outlineLevel="2">
      <c r="B1347" s="1050">
        <v>426</v>
      </c>
      <c r="C1347" s="2035" t="str">
        <f t="shared" si="115"/>
        <v>69, Rillieux-la-Pape, Les Semailles, France continentale, Base Carbone</v>
      </c>
      <c r="D1347" s="1051">
        <f t="shared" si="116"/>
        <v>426</v>
      </c>
      <c r="E1347" s="1051" t="str">
        <f>IF(COUNTIF(E$921:E1346,F1347)&gt;0,"",F1347)</f>
        <v>69, Rillieux-la-Pape, Les Semailles, France continentale, Base Carbone</v>
      </c>
      <c r="F1347" s="1051" t="str">
        <f t="shared" si="117"/>
        <v>69, Rillieux-la-Pape, Les Semailles, France continentale, Base Carbone</v>
      </c>
      <c r="G1347" s="1055" t="str">
        <f t="shared" si="118"/>
        <v>69, Rillieux-la-Pape, Les Semailles, France continentale, Base Carbone; kgCO2e/kWh</v>
      </c>
      <c r="I1347" s="2018" t="s">
        <v>983</v>
      </c>
      <c r="J1347" s="1135" t="s">
        <v>1681</v>
      </c>
      <c r="K1347" s="1119" t="s">
        <v>1567</v>
      </c>
      <c r="L1347" s="1119" t="s">
        <v>1571</v>
      </c>
      <c r="M1347" s="1134">
        <v>0.3</v>
      </c>
      <c r="N1347" s="1135"/>
      <c r="O1347" s="1135">
        <v>2.8000000000000001E-2</v>
      </c>
      <c r="P1347" s="1048"/>
      <c r="Q1347" s="1048"/>
      <c r="R1347" s="1048"/>
      <c r="S1347" s="1048"/>
      <c r="T1347" s="1048"/>
      <c r="U1347" s="1102"/>
    </row>
    <row r="1348" spans="2:21" hidden="1" outlineLevel="2">
      <c r="B1348" s="1050">
        <v>427</v>
      </c>
      <c r="C1348" s="2035" t="str">
        <f t="shared" si="115"/>
        <v>69, Rillieux-la-Pape, Quartier de la Roue, France continentale, Base Carbone</v>
      </c>
      <c r="D1348" s="1051">
        <f t="shared" si="116"/>
        <v>427</v>
      </c>
      <c r="E1348" s="1051" t="str">
        <f>IF(COUNTIF(E$921:E1347,F1348)&gt;0,"",F1348)</f>
        <v>69, Rillieux-la-Pape, Quartier de la Roue, France continentale, Base Carbone</v>
      </c>
      <c r="F1348" s="1051" t="str">
        <f t="shared" si="117"/>
        <v>69, Rillieux-la-Pape, Quartier de la Roue, France continentale, Base Carbone</v>
      </c>
      <c r="G1348" s="1055" t="str">
        <f t="shared" si="118"/>
        <v>69, Rillieux-la-Pape, Quartier de la Roue, France continentale, Base Carbone; kgCO2e/kWh</v>
      </c>
      <c r="I1348" s="2018" t="s">
        <v>3516</v>
      </c>
      <c r="J1348" s="1135" t="s">
        <v>1681</v>
      </c>
      <c r="K1348" s="1119" t="s">
        <v>1567</v>
      </c>
      <c r="L1348" s="1119" t="s">
        <v>1571</v>
      </c>
      <c r="M1348" s="1134">
        <v>0.3</v>
      </c>
      <c r="N1348" s="1135"/>
      <c r="O1348" s="1135">
        <v>0.22600000000000001</v>
      </c>
      <c r="P1348" s="1048"/>
      <c r="Q1348" s="1048"/>
      <c r="R1348" s="1048"/>
      <c r="S1348" s="1048"/>
      <c r="T1348" s="1048"/>
      <c r="U1348" s="1102"/>
    </row>
    <row r="1349" spans="2:21" hidden="1" outlineLevel="2">
      <c r="B1349" s="1050">
        <v>428</v>
      </c>
      <c r="C1349" s="2035" t="str">
        <f t="shared" si="115"/>
        <v>69, Rillieux-la-Pape, Réseau Valorly, France continentale, Base Carbone</v>
      </c>
      <c r="D1349" s="1051">
        <f t="shared" si="116"/>
        <v>428</v>
      </c>
      <c r="E1349" s="1051" t="str">
        <f>IF(COUNTIF(E$921:E1348,F1349)&gt;0,"",F1349)</f>
        <v>69, Rillieux-la-Pape, Réseau Valorly, France continentale, Base Carbone</v>
      </c>
      <c r="F1349" s="1051" t="str">
        <f t="shared" si="117"/>
        <v>69, Rillieux-la-Pape, Réseau Valorly, France continentale, Base Carbone</v>
      </c>
      <c r="G1349" s="1055" t="str">
        <f t="shared" si="118"/>
        <v>69, Rillieux-la-Pape, Réseau Valorly, France continentale, Base Carbone; kgCO2e/kWh</v>
      </c>
      <c r="I1349" s="2018" t="s">
        <v>3517</v>
      </c>
      <c r="J1349" s="1135" t="s">
        <v>1681</v>
      </c>
      <c r="K1349" s="1119" t="s">
        <v>1567</v>
      </c>
      <c r="L1349" s="1119" t="s">
        <v>1571</v>
      </c>
      <c r="M1349" s="1134">
        <v>0.3</v>
      </c>
      <c r="N1349" s="1135"/>
      <c r="O1349" s="1135">
        <v>0</v>
      </c>
      <c r="P1349" s="1048"/>
      <c r="Q1349" s="1048"/>
      <c r="R1349" s="1048"/>
      <c r="S1349" s="1048"/>
      <c r="T1349" s="1048"/>
      <c r="U1349" s="1102"/>
    </row>
    <row r="1350" spans="2:21" hidden="1" outlineLevel="2">
      <c r="B1350" s="1050">
        <v>429</v>
      </c>
      <c r="C1350" s="2035" t="str">
        <f t="shared" si="115"/>
        <v>69, Sathonay-Camp, Réseau de Sathonay-Camp, France continentale, Base Carbone</v>
      </c>
      <c r="D1350" s="1051">
        <f t="shared" si="116"/>
        <v>429</v>
      </c>
      <c r="E1350" s="1051" t="str">
        <f>IF(COUNTIF(E$921:E1349,F1350)&gt;0,"",F1350)</f>
        <v>69, Sathonay-Camp, Réseau de Sathonay-Camp, France continentale, Base Carbone</v>
      </c>
      <c r="F1350" s="1051" t="str">
        <f t="shared" si="117"/>
        <v>69, Sathonay-Camp, Réseau de Sathonay-Camp, France continentale, Base Carbone</v>
      </c>
      <c r="G1350" s="1055" t="str">
        <f t="shared" si="118"/>
        <v>69, Sathonay-Camp, Réseau de Sathonay-Camp, France continentale, Base Carbone; kgCO2e/kWh</v>
      </c>
      <c r="I1350" s="2018" t="s">
        <v>2993</v>
      </c>
      <c r="J1350" s="1135" t="s">
        <v>1681</v>
      </c>
      <c r="K1350" s="1119" t="s">
        <v>1567</v>
      </c>
      <c r="L1350" s="1119" t="s">
        <v>1571</v>
      </c>
      <c r="M1350" s="1134">
        <v>0.3</v>
      </c>
      <c r="N1350" s="1135"/>
      <c r="O1350" s="1135">
        <v>6.4000000000000001E-2</v>
      </c>
      <c r="P1350" s="1048"/>
      <c r="Q1350" s="1048"/>
      <c r="R1350" s="1048"/>
      <c r="S1350" s="1048"/>
      <c r="T1350" s="1048"/>
      <c r="U1350" s="1102"/>
    </row>
    <row r="1351" spans="2:21" hidden="1" outlineLevel="2">
      <c r="B1351" s="1050">
        <v>430</v>
      </c>
      <c r="C1351" s="2035" t="str">
        <f t="shared" si="115"/>
        <v>69, Vaulx-en-Velin, Réseau de Vaulx-en-Velin, France continentale, Base Carbone</v>
      </c>
      <c r="D1351" s="1051">
        <f t="shared" si="116"/>
        <v>430</v>
      </c>
      <c r="E1351" s="1051" t="str">
        <f>IF(COUNTIF(E$921:E1350,F1351)&gt;0,"",F1351)</f>
        <v>69, Vaulx-en-Velin, Réseau de Vaulx-en-Velin, France continentale, Base Carbone</v>
      </c>
      <c r="F1351" s="1051" t="str">
        <f t="shared" si="117"/>
        <v>69, Vaulx-en-Velin, Réseau de Vaulx-en-Velin, France continentale, Base Carbone</v>
      </c>
      <c r="G1351" s="1055" t="str">
        <f t="shared" si="118"/>
        <v>69, Vaulx-en-Velin, Réseau de Vaulx-en-Velin, France continentale, Base Carbone; kgCO2e/kWh</v>
      </c>
      <c r="I1351" s="2018" t="s">
        <v>984</v>
      </c>
      <c r="J1351" s="1135" t="s">
        <v>1681</v>
      </c>
      <c r="K1351" s="1119" t="s">
        <v>1567</v>
      </c>
      <c r="L1351" s="1119" t="s">
        <v>1571</v>
      </c>
      <c r="M1351" s="1134">
        <v>0.3</v>
      </c>
      <c r="N1351" s="1135"/>
      <c r="O1351" s="1135">
        <v>7.9000000000000001E-2</v>
      </c>
      <c r="P1351" s="1048"/>
      <c r="Q1351" s="1048"/>
      <c r="R1351" s="1048"/>
      <c r="S1351" s="1048"/>
      <c r="T1351" s="1048"/>
      <c r="U1351" s="1102"/>
    </row>
    <row r="1352" spans="2:21" hidden="1" outlineLevel="2">
      <c r="B1352" s="1050">
        <v>431</v>
      </c>
      <c r="C1352" s="2035" t="str">
        <f t="shared" si="115"/>
        <v>69, Vénissieux, Vénissieux énergies, France continentale, Base Carbone</v>
      </c>
      <c r="D1352" s="1051">
        <f t="shared" si="116"/>
        <v>431</v>
      </c>
      <c r="E1352" s="1051" t="str">
        <f>IF(COUNTIF(E$921:E1351,F1352)&gt;0,"",F1352)</f>
        <v>69, Vénissieux, Vénissieux énergies, France continentale, Base Carbone</v>
      </c>
      <c r="F1352" s="1051" t="str">
        <f t="shared" si="117"/>
        <v>69, Vénissieux, Vénissieux énergies, France continentale, Base Carbone</v>
      </c>
      <c r="G1352" s="1055" t="str">
        <f t="shared" si="118"/>
        <v>69, Vénissieux, Vénissieux énergies, France continentale, Base Carbone; kgCO2e/kWh</v>
      </c>
      <c r="I1352" s="2018" t="s">
        <v>3518</v>
      </c>
      <c r="J1352" s="1135" t="s">
        <v>1681</v>
      </c>
      <c r="K1352" s="1119" t="s">
        <v>1567</v>
      </c>
      <c r="L1352" s="1119" t="s">
        <v>1571</v>
      </c>
      <c r="M1352" s="1134">
        <v>0.3</v>
      </c>
      <c r="N1352" s="1135"/>
      <c r="O1352" s="1135">
        <v>0.121</v>
      </c>
      <c r="P1352" s="1048"/>
      <c r="Q1352" s="1048"/>
      <c r="R1352" s="1048"/>
      <c r="S1352" s="1048"/>
      <c r="T1352" s="1048"/>
      <c r="U1352" s="1102"/>
    </row>
    <row r="1353" spans="2:21" hidden="1" outlineLevel="2">
      <c r="B1353" s="1050">
        <v>432</v>
      </c>
      <c r="C1353" s="2035" t="str">
        <f t="shared" si="115"/>
        <v>69, Villefranche-sur-Saone, Réseau UIOM Villefranche, France continentale, Base Carbone</v>
      </c>
      <c r="D1353" s="1051">
        <f t="shared" si="116"/>
        <v>432</v>
      </c>
      <c r="E1353" s="1051" t="str">
        <f>IF(COUNTIF(E$921:E1352,F1353)&gt;0,"",F1353)</f>
        <v>69, Villefranche-sur-Saone, Réseau UIOM Villefranche, France continentale, Base Carbone</v>
      </c>
      <c r="F1353" s="1051" t="str">
        <f t="shared" si="117"/>
        <v>69, Villefranche-sur-Saone, Réseau UIOM Villefranche, France continentale, Base Carbone</v>
      </c>
      <c r="G1353" s="1055" t="str">
        <f t="shared" si="118"/>
        <v>69, Villefranche-sur-Saone, Réseau UIOM Villefranche, France continentale, Base Carbone; kgCO2e/kWh</v>
      </c>
      <c r="I1353" s="2018" t="s">
        <v>2994</v>
      </c>
      <c r="J1353" s="1135" t="s">
        <v>1681</v>
      </c>
      <c r="K1353" s="1119" t="s">
        <v>1567</v>
      </c>
      <c r="L1353" s="1119" t="s">
        <v>1571</v>
      </c>
      <c r="M1353" s="1134">
        <v>0.3</v>
      </c>
      <c r="N1353" s="1135"/>
      <c r="O1353" s="1135">
        <v>3.0000000000000001E-3</v>
      </c>
      <c r="P1353" s="1048"/>
      <c r="Q1353" s="1048"/>
      <c r="R1353" s="1048"/>
      <c r="S1353" s="1048"/>
      <c r="T1353" s="1048"/>
      <c r="U1353" s="1102"/>
    </row>
    <row r="1354" spans="2:21" hidden="1" outlineLevel="2">
      <c r="B1354" s="1050">
        <v>433</v>
      </c>
      <c r="C1354" s="2035" t="str">
        <f t="shared" si="115"/>
        <v>69, Villeurbanne, Campus de la Doua, France continentale, Base Carbone</v>
      </c>
      <c r="D1354" s="1051">
        <f t="shared" si="116"/>
        <v>433</v>
      </c>
      <c r="E1354" s="1051" t="str">
        <f>IF(COUNTIF(E$921:E1353,F1354)&gt;0,"",F1354)</f>
        <v>69, Villeurbanne, Campus de la Doua, France continentale, Base Carbone</v>
      </c>
      <c r="F1354" s="1051" t="str">
        <f t="shared" si="117"/>
        <v>69, Villeurbanne, Campus de la Doua, France continentale, Base Carbone</v>
      </c>
      <c r="G1354" s="1055" t="str">
        <f t="shared" si="118"/>
        <v>69, Villeurbanne, Campus de la Doua, France continentale, Base Carbone; kgCO2e/kWh</v>
      </c>
      <c r="I1354" s="2018" t="s">
        <v>985</v>
      </c>
      <c r="J1354" s="1135" t="s">
        <v>1681</v>
      </c>
      <c r="K1354" s="1119" t="s">
        <v>1567</v>
      </c>
      <c r="L1354" s="1119" t="s">
        <v>1571</v>
      </c>
      <c r="M1354" s="1134">
        <v>0.3</v>
      </c>
      <c r="N1354" s="1135"/>
      <c r="O1354" s="1135">
        <v>0.249</v>
      </c>
      <c r="P1354" s="1048"/>
      <c r="Q1354" s="1048"/>
      <c r="R1354" s="1048"/>
      <c r="S1354" s="1048"/>
      <c r="T1354" s="1048"/>
      <c r="U1354" s="1102"/>
    </row>
    <row r="1355" spans="2:21" hidden="1" outlineLevel="2">
      <c r="B1355" s="1050">
        <v>434</v>
      </c>
      <c r="C1355" s="2035" t="str">
        <f t="shared" si="115"/>
        <v>69, Villeurbanne, Quartier La Perralière, France continentale, Base Carbone</v>
      </c>
      <c r="D1355" s="1051">
        <f t="shared" si="116"/>
        <v>434</v>
      </c>
      <c r="E1355" s="1051" t="str">
        <f>IF(COUNTIF(E$921:E1354,F1355)&gt;0,"",F1355)</f>
        <v>69, Villeurbanne, Quartier La Perralière, France continentale, Base Carbone</v>
      </c>
      <c r="F1355" s="1051" t="str">
        <f t="shared" si="117"/>
        <v>69, Villeurbanne, Quartier La Perralière, France continentale, Base Carbone</v>
      </c>
      <c r="G1355" s="1055" t="str">
        <f t="shared" si="118"/>
        <v>69, Villeurbanne, Quartier La Perralière, France continentale, Base Carbone; kgCO2e/kWh</v>
      </c>
      <c r="I1355" s="2018" t="s">
        <v>3519</v>
      </c>
      <c r="J1355" s="1135" t="s">
        <v>1681</v>
      </c>
      <c r="K1355" s="1119" t="s">
        <v>1567</v>
      </c>
      <c r="L1355" s="1119" t="s">
        <v>1571</v>
      </c>
      <c r="M1355" s="1134">
        <v>0.3</v>
      </c>
      <c r="N1355" s="1135"/>
      <c r="O1355" s="1135">
        <v>0.183</v>
      </c>
      <c r="P1355" s="1048"/>
      <c r="Q1355" s="1048"/>
      <c r="R1355" s="1048"/>
      <c r="S1355" s="1048"/>
      <c r="T1355" s="1048"/>
      <c r="U1355" s="1102"/>
    </row>
    <row r="1356" spans="2:21" hidden="1" outlineLevel="2">
      <c r="B1356" s="1050">
        <v>435</v>
      </c>
      <c r="C1356" s="2035" t="str">
        <f t="shared" si="115"/>
        <v>69, Yzeron, Réseau Le Bourg, France continentale, Base Carbone</v>
      </c>
      <c r="D1356" s="1051">
        <f t="shared" si="116"/>
        <v>435</v>
      </c>
      <c r="E1356" s="1051" t="str">
        <f>IF(COUNTIF(E$921:E1355,F1356)&gt;0,"",F1356)</f>
        <v>69, Yzeron, Réseau Le Bourg, France continentale, Base Carbone</v>
      </c>
      <c r="F1356" s="1051" t="str">
        <f t="shared" si="117"/>
        <v>69, Yzeron, Réseau Le Bourg, France continentale, Base Carbone</v>
      </c>
      <c r="G1356" s="1055" t="str">
        <f t="shared" si="118"/>
        <v>69, Yzeron, Réseau Le Bourg, France continentale, Base Carbone; kgCO2e/kWh</v>
      </c>
      <c r="I1356" s="2018" t="s">
        <v>3520</v>
      </c>
      <c r="J1356" s="1135" t="s">
        <v>1681</v>
      </c>
      <c r="K1356" s="1119" t="s">
        <v>1567</v>
      </c>
      <c r="L1356" s="1119" t="s">
        <v>1571</v>
      </c>
      <c r="M1356" s="1134">
        <v>0.3</v>
      </c>
      <c r="N1356" s="1135"/>
      <c r="O1356" s="1135">
        <v>0</v>
      </c>
      <c r="P1356" s="1048"/>
      <c r="Q1356" s="1048"/>
      <c r="R1356" s="1048"/>
      <c r="S1356" s="1048"/>
      <c r="T1356" s="1048"/>
      <c r="U1356" s="1102"/>
    </row>
    <row r="1357" spans="2:21" hidden="1" outlineLevel="2">
      <c r="B1357" s="1050">
        <v>436</v>
      </c>
      <c r="C1357" s="2035" t="str">
        <f t="shared" si="115"/>
        <v>69, Yzeron, Réseau Les Combes, France continentale, Base Carbone</v>
      </c>
      <c r="D1357" s="1051">
        <f t="shared" si="116"/>
        <v>436</v>
      </c>
      <c r="E1357" s="1051" t="str">
        <f>IF(COUNTIF(E$921:E1356,F1357)&gt;0,"",F1357)</f>
        <v>69, Yzeron, Réseau Les Combes, France continentale, Base Carbone</v>
      </c>
      <c r="F1357" s="1051" t="str">
        <f t="shared" si="117"/>
        <v>69, Yzeron, Réseau Les Combes, France continentale, Base Carbone</v>
      </c>
      <c r="G1357" s="1055" t="str">
        <f t="shared" si="118"/>
        <v>69, Yzeron, Réseau Les Combes, France continentale, Base Carbone; kgCO2e/kWh</v>
      </c>
      <c r="I1357" s="2018" t="s">
        <v>3521</v>
      </c>
      <c r="J1357" s="1135" t="s">
        <v>1681</v>
      </c>
      <c r="K1357" s="1119" t="s">
        <v>1567</v>
      </c>
      <c r="L1357" s="1119" t="s">
        <v>1571</v>
      </c>
      <c r="M1357" s="1134">
        <v>0.3</v>
      </c>
      <c r="N1357" s="1135"/>
      <c r="O1357" s="1135">
        <v>0</v>
      </c>
      <c r="P1357" s="1048"/>
      <c r="Q1357" s="1048"/>
      <c r="R1357" s="1048"/>
      <c r="S1357" s="1048"/>
      <c r="T1357" s="1048"/>
      <c r="U1357" s="1102"/>
    </row>
    <row r="1358" spans="2:21" hidden="1" outlineLevel="2">
      <c r="B1358" s="1050">
        <v>437</v>
      </c>
      <c r="C1358" s="2035" t="str">
        <f t="shared" si="115"/>
        <v>7, Aubenas, Réseau d’Aubenas, France continentale, Base Carbone</v>
      </c>
      <c r="D1358" s="1051">
        <f t="shared" si="116"/>
        <v>437</v>
      </c>
      <c r="E1358" s="1051" t="str">
        <f>IF(COUNTIF(E$921:E1357,F1358)&gt;0,"",F1358)</f>
        <v>7, Aubenas, Réseau d’Aubenas, France continentale, Base Carbone</v>
      </c>
      <c r="F1358" s="1051" t="str">
        <f t="shared" si="117"/>
        <v>7, Aubenas, Réseau d’Aubenas, France continentale, Base Carbone</v>
      </c>
      <c r="G1358" s="1055" t="str">
        <f t="shared" si="118"/>
        <v>7, Aubenas, Réseau d’Aubenas, France continentale, Base Carbone; kgCO2e/kWh</v>
      </c>
      <c r="I1358" s="2018" t="s">
        <v>3522</v>
      </c>
      <c r="J1358" s="1135" t="s">
        <v>1681</v>
      </c>
      <c r="K1358" s="1119" t="s">
        <v>1567</v>
      </c>
      <c r="L1358" s="1119" t="s">
        <v>1571</v>
      </c>
      <c r="M1358" s="1134">
        <v>0.3</v>
      </c>
      <c r="N1358" s="1135"/>
      <c r="O1358" s="1135">
        <v>2.3E-2</v>
      </c>
      <c r="P1358" s="1048"/>
      <c r="Q1358" s="1048"/>
      <c r="R1358" s="1048"/>
      <c r="S1358" s="1048"/>
      <c r="T1358" s="1048"/>
      <c r="U1358" s="1102"/>
    </row>
    <row r="1359" spans="2:21" hidden="1" outlineLevel="2">
      <c r="B1359" s="1050">
        <v>438</v>
      </c>
      <c r="C1359" s="2035" t="str">
        <f t="shared" si="115"/>
        <v>7, Banne, Réseau de chaleur de Banne, France continentale, Base Carbone</v>
      </c>
      <c r="D1359" s="1051">
        <f t="shared" si="116"/>
        <v>438</v>
      </c>
      <c r="E1359" s="1051" t="str">
        <f>IF(COUNTIF(E$921:E1358,F1359)&gt;0,"",F1359)</f>
        <v>7, Banne, Réseau de chaleur de Banne, France continentale, Base Carbone</v>
      </c>
      <c r="F1359" s="1051" t="str">
        <f t="shared" si="117"/>
        <v>7, Banne, Réseau de chaleur de Banne, France continentale, Base Carbone</v>
      </c>
      <c r="G1359" s="1055" t="str">
        <f t="shared" si="118"/>
        <v>7, Banne, Réseau de chaleur de Banne, France continentale, Base Carbone; kgCO2e/kWh</v>
      </c>
      <c r="I1359" s="2018" t="s">
        <v>3523</v>
      </c>
      <c r="J1359" s="1135" t="s">
        <v>1681</v>
      </c>
      <c r="K1359" s="1119" t="s">
        <v>1567</v>
      </c>
      <c r="L1359" s="1119" t="s">
        <v>1571</v>
      </c>
      <c r="M1359" s="1134">
        <v>0.3</v>
      </c>
      <c r="N1359" s="1135"/>
      <c r="O1359" s="1135">
        <v>0</v>
      </c>
      <c r="P1359" s="1048"/>
      <c r="Q1359" s="1048"/>
      <c r="R1359" s="1048"/>
      <c r="S1359" s="1048"/>
      <c r="T1359" s="1048"/>
      <c r="U1359" s="1102"/>
    </row>
    <row r="1360" spans="2:21" hidden="1" outlineLevel="2">
      <c r="B1360" s="1050">
        <v>439</v>
      </c>
      <c r="C1360" s="2035" t="str">
        <f t="shared" si="115"/>
        <v>7, Burzet, Réseau de chaleur communal de Burzet, France continentale, Base Carbone</v>
      </c>
      <c r="D1360" s="1051">
        <f t="shared" si="116"/>
        <v>439</v>
      </c>
      <c r="E1360" s="1051" t="str">
        <f>IF(COUNTIF(E$921:E1359,F1360)&gt;0,"",F1360)</f>
        <v>7, Burzet, Réseau de chaleur communal de Burzet, France continentale, Base Carbone</v>
      </c>
      <c r="F1360" s="1051" t="str">
        <f t="shared" si="117"/>
        <v>7, Burzet, Réseau de chaleur communal de Burzet, France continentale, Base Carbone</v>
      </c>
      <c r="G1360" s="1055" t="str">
        <f t="shared" si="118"/>
        <v>7, Burzet, Réseau de chaleur communal de Burzet, France continentale, Base Carbone; kgCO2e/kWh</v>
      </c>
      <c r="I1360" s="2018" t="s">
        <v>3524</v>
      </c>
      <c r="J1360" s="1135" t="s">
        <v>1681</v>
      </c>
      <c r="K1360" s="1119" t="s">
        <v>1567</v>
      </c>
      <c r="L1360" s="1119" t="s">
        <v>1571</v>
      </c>
      <c r="M1360" s="1134">
        <v>0.3</v>
      </c>
      <c r="N1360" s="1135"/>
      <c r="O1360" s="1135">
        <v>0</v>
      </c>
      <c r="P1360" s="1048"/>
      <c r="Q1360" s="1048"/>
      <c r="R1360" s="1048"/>
      <c r="S1360" s="1048"/>
      <c r="T1360" s="1048"/>
      <c r="U1360" s="1102"/>
    </row>
    <row r="1361" spans="2:21" hidden="1" outlineLevel="2">
      <c r="B1361" s="1050">
        <v>440</v>
      </c>
      <c r="C1361" s="2035" t="str">
        <f t="shared" si="115"/>
        <v>7, Le Cheylard, Réseau de Cheylard, France continentale, Base Carbone</v>
      </c>
      <c r="D1361" s="1051">
        <f t="shared" si="116"/>
        <v>440</v>
      </c>
      <c r="E1361" s="1051" t="str">
        <f>IF(COUNTIF(E$921:E1360,F1361)&gt;0,"",F1361)</f>
        <v>7, Le Cheylard, Réseau de Cheylard, France continentale, Base Carbone</v>
      </c>
      <c r="F1361" s="1051" t="str">
        <f t="shared" si="117"/>
        <v>7, Le Cheylard, Réseau de Cheylard, France continentale, Base Carbone</v>
      </c>
      <c r="G1361" s="1055" t="str">
        <f t="shared" si="118"/>
        <v>7, Le Cheylard, Réseau de Cheylard, France continentale, Base Carbone; kgCO2e/kWh</v>
      </c>
      <c r="I1361" s="2018" t="s">
        <v>3525</v>
      </c>
      <c r="J1361" s="1135" t="s">
        <v>1681</v>
      </c>
      <c r="K1361" s="1119" t="s">
        <v>1567</v>
      </c>
      <c r="L1361" s="1119" t="s">
        <v>1571</v>
      </c>
      <c r="M1361" s="1134">
        <v>0.3</v>
      </c>
      <c r="N1361" s="1135"/>
      <c r="O1361" s="1135">
        <v>2.5000000000000001E-2</v>
      </c>
      <c r="P1361" s="1048"/>
      <c r="Q1361" s="1048"/>
      <c r="R1361" s="1048"/>
      <c r="S1361" s="1048"/>
      <c r="T1361" s="1048"/>
      <c r="U1361" s="1102"/>
    </row>
    <row r="1362" spans="2:21" hidden="1" outlineLevel="2">
      <c r="B1362" s="1050">
        <v>441</v>
      </c>
      <c r="C1362" s="2035" t="str">
        <f t="shared" si="115"/>
        <v>7, Montpezat-Sous-Bauzon, Réseau de Montpezat-Sous-Bauzon, France continentale, Base Carbone</v>
      </c>
      <c r="D1362" s="1051">
        <f t="shared" si="116"/>
        <v>441</v>
      </c>
      <c r="E1362" s="1051" t="str">
        <f>IF(COUNTIF(E$921:E1361,F1362)&gt;0,"",F1362)</f>
        <v>7, Montpezat-Sous-Bauzon, Réseau de Montpezat-Sous-Bauzon, France continentale, Base Carbone</v>
      </c>
      <c r="F1362" s="1051" t="str">
        <f t="shared" si="117"/>
        <v>7, Montpezat-Sous-Bauzon, Réseau de Montpezat-Sous-Bauzon, France continentale, Base Carbone</v>
      </c>
      <c r="G1362" s="1055" t="str">
        <f t="shared" si="118"/>
        <v>7, Montpezat-Sous-Bauzon, Réseau de Montpezat-Sous-Bauzon, France continentale, Base Carbone; kgCO2e/kWh</v>
      </c>
      <c r="I1362" s="2018" t="s">
        <v>3526</v>
      </c>
      <c r="J1362" s="1135" t="s">
        <v>1681</v>
      </c>
      <c r="K1362" s="1119" t="s">
        <v>1567</v>
      </c>
      <c r="L1362" s="1119" t="s">
        <v>1571</v>
      </c>
      <c r="M1362" s="1134">
        <v>0.3</v>
      </c>
      <c r="N1362" s="1135"/>
      <c r="O1362" s="1135">
        <v>0</v>
      </c>
      <c r="P1362" s="1048"/>
      <c r="Q1362" s="1048"/>
      <c r="R1362" s="1048"/>
      <c r="S1362" s="1048"/>
      <c r="T1362" s="1048"/>
      <c r="U1362" s="1102"/>
    </row>
    <row r="1363" spans="2:21" hidden="1" outlineLevel="2">
      <c r="B1363" s="1050">
        <v>442</v>
      </c>
      <c r="C1363" s="2035" t="str">
        <f t="shared" si="115"/>
        <v>7, Valgorge, Réseau de Valgorge, France continentale, Base Carbone</v>
      </c>
      <c r="D1363" s="1051">
        <f t="shared" si="116"/>
        <v>442</v>
      </c>
      <c r="E1363" s="1051" t="str">
        <f>IF(COUNTIF(E$921:E1362,F1363)&gt;0,"",F1363)</f>
        <v>7, Valgorge, Réseau de Valgorge, France continentale, Base Carbone</v>
      </c>
      <c r="F1363" s="1051" t="str">
        <f t="shared" si="117"/>
        <v>7, Valgorge, Réseau de Valgorge, France continentale, Base Carbone</v>
      </c>
      <c r="G1363" s="1055" t="str">
        <f t="shared" si="118"/>
        <v>7, Valgorge, Réseau de Valgorge, France continentale, Base Carbone; kgCO2e/kWh</v>
      </c>
      <c r="I1363" s="2018" t="s">
        <v>3527</v>
      </c>
      <c r="J1363" s="1135" t="s">
        <v>1681</v>
      </c>
      <c r="K1363" s="1119" t="s">
        <v>1567</v>
      </c>
      <c r="L1363" s="1119" t="s">
        <v>1571</v>
      </c>
      <c r="M1363" s="1134">
        <v>0.3</v>
      </c>
      <c r="N1363" s="1135"/>
      <c r="O1363" s="1135">
        <v>0</v>
      </c>
      <c r="P1363" s="1048"/>
      <c r="Q1363" s="1048"/>
      <c r="R1363" s="1048"/>
      <c r="S1363" s="1048"/>
      <c r="T1363" s="1048"/>
      <c r="U1363" s="1102"/>
    </row>
    <row r="1364" spans="2:21" hidden="1" outlineLevel="2">
      <c r="B1364" s="1050">
        <v>443</v>
      </c>
      <c r="C1364" s="2035" t="str">
        <f t="shared" si="115"/>
        <v>70, Breurey-les-Faverney, Réseau de Breurey les Faverney, France continentale, Base Carbone</v>
      </c>
      <c r="D1364" s="1051">
        <f t="shared" si="116"/>
        <v>443</v>
      </c>
      <c r="E1364" s="1051" t="str">
        <f>IF(COUNTIF(E$921:E1363,F1364)&gt;0,"",F1364)</f>
        <v>70, Breurey-les-Faverney, Réseau de Breurey les Faverney, France continentale, Base Carbone</v>
      </c>
      <c r="F1364" s="1051" t="str">
        <f t="shared" si="117"/>
        <v>70, Breurey-les-Faverney, Réseau de Breurey les Faverney, France continentale, Base Carbone</v>
      </c>
      <c r="G1364" s="1055" t="str">
        <f t="shared" si="118"/>
        <v>70, Breurey-les-Faverney, Réseau de Breurey les Faverney, France continentale, Base Carbone; kgCO2e/kWh</v>
      </c>
      <c r="I1364" s="2018" t="s">
        <v>3528</v>
      </c>
      <c r="J1364" s="1135" t="s">
        <v>1681</v>
      </c>
      <c r="K1364" s="1119" t="s">
        <v>1567</v>
      </c>
      <c r="L1364" s="1119" t="s">
        <v>1571</v>
      </c>
      <c r="M1364" s="1134">
        <v>0.3</v>
      </c>
      <c r="N1364" s="1135"/>
      <c r="O1364" s="1135">
        <v>0</v>
      </c>
      <c r="P1364" s="1048"/>
      <c r="Q1364" s="1048"/>
      <c r="R1364" s="1048"/>
      <c r="S1364" s="1048"/>
      <c r="T1364" s="1048"/>
      <c r="U1364" s="1102"/>
    </row>
    <row r="1365" spans="2:21" hidden="1" outlineLevel="2">
      <c r="B1365" s="1050">
        <v>444</v>
      </c>
      <c r="C1365" s="2035" t="str">
        <f t="shared" si="115"/>
        <v>70, Champey, Réseau de Champey, France continentale, Base Carbone</v>
      </c>
      <c r="D1365" s="1051">
        <f t="shared" si="116"/>
        <v>444</v>
      </c>
      <c r="E1365" s="1051" t="str">
        <f>IF(COUNTIF(E$921:E1364,F1365)&gt;0,"",F1365)</f>
        <v>70, Champey, Réseau de Champey, France continentale, Base Carbone</v>
      </c>
      <c r="F1365" s="1051" t="str">
        <f t="shared" si="117"/>
        <v>70, Champey, Réseau de Champey, France continentale, Base Carbone</v>
      </c>
      <c r="G1365" s="1055" t="str">
        <f t="shared" si="118"/>
        <v>70, Champey, Réseau de Champey, France continentale, Base Carbone; kgCO2e/kWh</v>
      </c>
      <c r="I1365" s="2018" t="s">
        <v>3529</v>
      </c>
      <c r="J1365" s="1135" t="s">
        <v>1681</v>
      </c>
      <c r="K1365" s="1119" t="s">
        <v>1567</v>
      </c>
      <c r="L1365" s="1119" t="s">
        <v>1571</v>
      </c>
      <c r="M1365" s="1134">
        <v>0.3</v>
      </c>
      <c r="N1365" s="1135"/>
      <c r="O1365" s="1135">
        <v>0.192</v>
      </c>
      <c r="P1365" s="1048"/>
      <c r="Q1365" s="1048"/>
      <c r="R1365" s="1048"/>
      <c r="S1365" s="1048"/>
      <c r="T1365" s="1048"/>
      <c r="U1365" s="1102"/>
    </row>
    <row r="1366" spans="2:21" hidden="1" outlineLevel="2">
      <c r="B1366" s="1050">
        <v>445</v>
      </c>
      <c r="C1366" s="2035" t="str">
        <f t="shared" si="115"/>
        <v>70, Dampierre-sur-Linotte, Réseau de Dampierre-sur-Linotte, France continentale, Base Carbone</v>
      </c>
      <c r="D1366" s="1051">
        <f t="shared" si="116"/>
        <v>445</v>
      </c>
      <c r="E1366" s="1051" t="str">
        <f>IF(COUNTIF(E$921:E1365,F1366)&gt;0,"",F1366)</f>
        <v>70, Dampierre-sur-Linotte, Réseau de Dampierre-sur-Linotte, France continentale, Base Carbone</v>
      </c>
      <c r="F1366" s="1051" t="str">
        <f t="shared" si="117"/>
        <v>70, Dampierre-sur-Linotte, Réseau de Dampierre-sur-Linotte, France continentale, Base Carbone</v>
      </c>
      <c r="G1366" s="1055" t="str">
        <f t="shared" si="118"/>
        <v>70, Dampierre-sur-Linotte, Réseau de Dampierre-sur-Linotte, France continentale, Base Carbone; kgCO2e/kWh</v>
      </c>
      <c r="I1366" s="2018" t="s">
        <v>2995</v>
      </c>
      <c r="J1366" s="1135" t="s">
        <v>1681</v>
      </c>
      <c r="K1366" s="1119" t="s">
        <v>1567</v>
      </c>
      <c r="L1366" s="1119" t="s">
        <v>1571</v>
      </c>
      <c r="M1366" s="1134">
        <v>0.3</v>
      </c>
      <c r="N1366" s="1135"/>
      <c r="O1366" s="1135">
        <v>0.14799999999999999</v>
      </c>
      <c r="P1366" s="1048"/>
      <c r="Q1366" s="1048"/>
      <c r="R1366" s="1048"/>
      <c r="S1366" s="1048"/>
      <c r="T1366" s="1048"/>
      <c r="U1366" s="1102"/>
    </row>
    <row r="1367" spans="2:21" hidden="1" outlineLevel="2">
      <c r="B1367" s="1050">
        <v>446</v>
      </c>
      <c r="C1367" s="2035" t="str">
        <f t="shared" si="115"/>
        <v>70, Gray, ZUP des Capucins, France continentale, Base Carbone</v>
      </c>
      <c r="D1367" s="1051">
        <f t="shared" si="116"/>
        <v>446</v>
      </c>
      <c r="E1367" s="1051" t="str">
        <f>IF(COUNTIF(E$921:E1366,F1367)&gt;0,"",F1367)</f>
        <v>70, Gray, ZUP des Capucins, France continentale, Base Carbone</v>
      </c>
      <c r="F1367" s="1051" t="str">
        <f t="shared" si="117"/>
        <v>70, Gray, ZUP des Capucins, France continentale, Base Carbone</v>
      </c>
      <c r="G1367" s="1055" t="str">
        <f t="shared" si="118"/>
        <v>70, Gray, ZUP des Capucins, France continentale, Base Carbone; kgCO2e/kWh</v>
      </c>
      <c r="I1367" s="2018" t="s">
        <v>986</v>
      </c>
      <c r="J1367" s="1135" t="s">
        <v>1681</v>
      </c>
      <c r="K1367" s="1119" t="s">
        <v>1567</v>
      </c>
      <c r="L1367" s="1119" t="s">
        <v>1571</v>
      </c>
      <c r="M1367" s="1134">
        <v>0.3</v>
      </c>
      <c r="N1367" s="1135"/>
      <c r="O1367" s="1135">
        <v>4.4999999999999998E-2</v>
      </c>
      <c r="P1367" s="1048"/>
      <c r="Q1367" s="1048"/>
      <c r="R1367" s="1048"/>
      <c r="S1367" s="1048"/>
      <c r="T1367" s="1048"/>
      <c r="U1367" s="1102"/>
    </row>
    <row r="1368" spans="2:21" hidden="1" outlineLevel="2">
      <c r="B1368" s="1050">
        <v>447</v>
      </c>
      <c r="C1368" s="2035" t="str">
        <f t="shared" si="115"/>
        <v>70, Gy, Réseau de Gy, France continentale, Base Carbone</v>
      </c>
      <c r="D1368" s="1051">
        <f t="shared" si="116"/>
        <v>447</v>
      </c>
      <c r="E1368" s="1051" t="str">
        <f>IF(COUNTIF(E$921:E1367,F1368)&gt;0,"",F1368)</f>
        <v>70, Gy, Réseau de Gy, France continentale, Base Carbone</v>
      </c>
      <c r="F1368" s="1051" t="str">
        <f t="shared" si="117"/>
        <v>70, Gy, Réseau de Gy, France continentale, Base Carbone</v>
      </c>
      <c r="G1368" s="1055" t="str">
        <f t="shared" si="118"/>
        <v>70, Gy, Réseau de Gy, France continentale, Base Carbone; kgCO2e/kWh</v>
      </c>
      <c r="I1368" s="2018" t="s">
        <v>3530</v>
      </c>
      <c r="J1368" s="1135" t="s">
        <v>1681</v>
      </c>
      <c r="K1368" s="1119" t="s">
        <v>1567</v>
      </c>
      <c r="L1368" s="1119" t="s">
        <v>1571</v>
      </c>
      <c r="M1368" s="1134">
        <v>0.3</v>
      </c>
      <c r="N1368" s="1135"/>
      <c r="O1368" s="1135">
        <v>0</v>
      </c>
      <c r="P1368" s="1048"/>
      <c r="Q1368" s="1048"/>
      <c r="R1368" s="1048"/>
      <c r="S1368" s="1048"/>
      <c r="T1368" s="1048"/>
      <c r="U1368" s="1102"/>
    </row>
    <row r="1369" spans="2:21" hidden="1" outlineLevel="2">
      <c r="B1369" s="1050">
        <v>448</v>
      </c>
      <c r="C1369" s="2035" t="str">
        <f t="shared" si="115"/>
        <v>70, Hericourt, Réseau d’Hericourt-Quartier Maunoury, France continentale, Base Carbone</v>
      </c>
      <c r="D1369" s="1051">
        <f t="shared" si="116"/>
        <v>448</v>
      </c>
      <c r="E1369" s="1051" t="str">
        <f>IF(COUNTIF(E$921:E1368,F1369)&gt;0,"",F1369)</f>
        <v>70, Hericourt, Réseau d’Hericourt-Quartier Maunoury, France continentale, Base Carbone</v>
      </c>
      <c r="F1369" s="1051" t="str">
        <f t="shared" si="117"/>
        <v>70, Hericourt, Réseau d’Hericourt-Quartier Maunoury, France continentale, Base Carbone</v>
      </c>
      <c r="G1369" s="1055" t="str">
        <f t="shared" si="118"/>
        <v>70, Hericourt, Réseau d’Hericourt-Quartier Maunoury, France continentale, Base Carbone; kgCO2e/kWh</v>
      </c>
      <c r="I1369" s="2018" t="s">
        <v>3531</v>
      </c>
      <c r="J1369" s="1135" t="s">
        <v>1681</v>
      </c>
      <c r="K1369" s="1119" t="s">
        <v>1567</v>
      </c>
      <c r="L1369" s="1119" t="s">
        <v>1571</v>
      </c>
      <c r="M1369" s="1134">
        <v>0.3</v>
      </c>
      <c r="N1369" s="1135"/>
      <c r="O1369" s="1135">
        <v>5.8000000000000003E-2</v>
      </c>
      <c r="P1369" s="1048"/>
      <c r="Q1369" s="1048"/>
      <c r="R1369" s="1048"/>
      <c r="S1369" s="1048"/>
      <c r="T1369" s="1048"/>
      <c r="U1369" s="1102"/>
    </row>
    <row r="1370" spans="2:21" hidden="1" outlineLevel="2">
      <c r="B1370" s="1050">
        <v>449</v>
      </c>
      <c r="C1370" s="2035" t="str">
        <f t="shared" ref="C1370:C1433" si="119">IF(ISNA(VLOOKUP(B1370,$D$922:$E$1582,2,FALSE)),"-",VLOOKUP(B1370,$D$922:$E$1582,2,FALSE))</f>
        <v>70, Marnay, Réseau de Marnay, France continentale, Base Carbone</v>
      </c>
      <c r="D1370" s="1051">
        <f t="shared" si="116"/>
        <v>449</v>
      </c>
      <c r="E1370" s="1051" t="str">
        <f>IF(COUNTIF(E$921:E1369,F1370)&gt;0,"",F1370)</f>
        <v>70, Marnay, Réseau de Marnay, France continentale, Base Carbone</v>
      </c>
      <c r="F1370" s="1051" t="str">
        <f t="shared" si="117"/>
        <v>70, Marnay, Réseau de Marnay, France continentale, Base Carbone</v>
      </c>
      <c r="G1370" s="1055" t="str">
        <f t="shared" si="118"/>
        <v>70, Marnay, Réseau de Marnay, France continentale, Base Carbone; kgCO2e/kWh</v>
      </c>
      <c r="I1370" s="2018" t="s">
        <v>3532</v>
      </c>
      <c r="J1370" s="1135" t="s">
        <v>1681</v>
      </c>
      <c r="K1370" s="1119" t="s">
        <v>1567</v>
      </c>
      <c r="L1370" s="1119" t="s">
        <v>1571</v>
      </c>
      <c r="M1370" s="1134">
        <v>0.3</v>
      </c>
      <c r="N1370" s="1135"/>
      <c r="O1370" s="1135">
        <v>1E-3</v>
      </c>
      <c r="P1370" s="1048"/>
      <c r="Q1370" s="1048"/>
      <c r="R1370" s="1048"/>
      <c r="S1370" s="1048"/>
      <c r="T1370" s="1048"/>
      <c r="U1370" s="1102"/>
    </row>
    <row r="1371" spans="2:21" hidden="1" outlineLevel="2">
      <c r="B1371" s="1050">
        <v>450</v>
      </c>
      <c r="C1371" s="2035" t="str">
        <f t="shared" si="119"/>
        <v>70, Plancher-Bas, Réseau de Plancher-Bas, France continentale, Base Carbone</v>
      </c>
      <c r="D1371" s="1051">
        <f t="shared" ref="D1371:D1434" si="120">D1370+IF(LEN(E1371)=0,0,1)</f>
        <v>450</v>
      </c>
      <c r="E1371" s="1051" t="str">
        <f>IF(COUNTIF(E$921:E1370,F1371)&gt;0,"",F1371)</f>
        <v>70, Plancher-Bas, Réseau de Plancher-Bas, France continentale, Base Carbone</v>
      </c>
      <c r="F1371" s="1051" t="str">
        <f t="shared" ref="F1371:F1434" si="121">IF(I1371&lt;&gt;"",I1371&amp;IF(L1371&lt;&gt;"",", "&amp;L1371,"")&amp;IF(K1371&lt;&gt;"",", "&amp;K1371,""),"")</f>
        <v>70, Plancher-Bas, Réseau de Plancher-Bas, France continentale, Base Carbone</v>
      </c>
      <c r="G1371" s="1055" t="str">
        <f t="shared" ref="G1371:G1434" si="122">IF(F1371&lt;&gt;"",F1371&amp;IF(J1371&lt;&gt;"","; "&amp;J1371,"")&amp;IF(N1371&lt;&gt;"",", "&amp;N1371,""),"")</f>
        <v>70, Plancher-Bas, Réseau de Plancher-Bas, France continentale, Base Carbone; kgCO2e/kWh</v>
      </c>
      <c r="I1371" s="2018" t="s">
        <v>2996</v>
      </c>
      <c r="J1371" s="1135" t="s">
        <v>1681</v>
      </c>
      <c r="K1371" s="1119" t="s">
        <v>1567</v>
      </c>
      <c r="L1371" s="1119" t="s">
        <v>1571</v>
      </c>
      <c r="M1371" s="1134">
        <v>0.3</v>
      </c>
      <c r="N1371" s="1135"/>
      <c r="O1371" s="1135">
        <v>6.2E-2</v>
      </c>
      <c r="P1371" s="1048"/>
      <c r="Q1371" s="1048"/>
      <c r="R1371" s="1048"/>
      <c r="S1371" s="1048"/>
      <c r="T1371" s="1048"/>
      <c r="U1371" s="1102"/>
    </row>
    <row r="1372" spans="2:21" hidden="1" outlineLevel="2">
      <c r="B1372" s="1050">
        <v>451</v>
      </c>
      <c r="C1372" s="2035" t="str">
        <f t="shared" si="119"/>
        <v>70, Saulnot, Réseau de Saulnot, France continentale, Base Carbone</v>
      </c>
      <c r="D1372" s="1051">
        <f t="shared" si="120"/>
        <v>451</v>
      </c>
      <c r="E1372" s="1051" t="str">
        <f>IF(COUNTIF(E$921:E1371,F1372)&gt;0,"",F1372)</f>
        <v>70, Saulnot, Réseau de Saulnot, France continentale, Base Carbone</v>
      </c>
      <c r="F1372" s="1051" t="str">
        <f t="shared" si="121"/>
        <v>70, Saulnot, Réseau de Saulnot, France continentale, Base Carbone</v>
      </c>
      <c r="G1372" s="1055" t="str">
        <f t="shared" si="122"/>
        <v>70, Saulnot, Réseau de Saulnot, France continentale, Base Carbone; kgCO2e/kWh</v>
      </c>
      <c r="I1372" s="2018" t="s">
        <v>987</v>
      </c>
      <c r="J1372" s="1135" t="s">
        <v>1681</v>
      </c>
      <c r="K1372" s="1119" t="s">
        <v>1567</v>
      </c>
      <c r="L1372" s="1119" t="s">
        <v>1571</v>
      </c>
      <c r="M1372" s="1134">
        <v>0.3</v>
      </c>
      <c r="N1372" s="1135"/>
      <c r="O1372" s="1135">
        <v>0.01</v>
      </c>
      <c r="P1372" s="1048"/>
      <c r="Q1372" s="1048"/>
      <c r="R1372" s="1048"/>
      <c r="S1372" s="1048"/>
      <c r="T1372" s="1048"/>
      <c r="U1372" s="1102"/>
    </row>
    <row r="1373" spans="2:21" hidden="1" outlineLevel="2">
      <c r="B1373" s="1050">
        <v>452</v>
      </c>
      <c r="C1373" s="2035" t="str">
        <f t="shared" si="119"/>
        <v>70, Scey-sur-Saône-et-Saint-Albin, Réseau de Scey-sur-Saône-et-Saint-Albin, France continentale, Base Carbone</v>
      </c>
      <c r="D1373" s="1051">
        <f t="shared" si="120"/>
        <v>452</v>
      </c>
      <c r="E1373" s="1051" t="str">
        <f>IF(COUNTIF(E$921:E1372,F1373)&gt;0,"",F1373)</f>
        <v>70, Scey-sur-Saône-et-Saint-Albin, Réseau de Scey-sur-Saône-et-Saint-Albin, France continentale, Base Carbone</v>
      </c>
      <c r="F1373" s="1051" t="str">
        <f t="shared" si="121"/>
        <v>70, Scey-sur-Saône-et-Saint-Albin, Réseau de Scey-sur-Saône-et-Saint-Albin, France continentale, Base Carbone</v>
      </c>
      <c r="G1373" s="1055" t="str">
        <f t="shared" si="122"/>
        <v>70, Scey-sur-Saône-et-Saint-Albin, Réseau de Scey-sur-Saône-et-Saint-Albin, France continentale, Base Carbone; kgCO2e/kWh</v>
      </c>
      <c r="I1373" s="2018" t="s">
        <v>3533</v>
      </c>
      <c r="J1373" s="1135" t="s">
        <v>1681</v>
      </c>
      <c r="K1373" s="1119" t="s">
        <v>1567</v>
      </c>
      <c r="L1373" s="1119" t="s">
        <v>1571</v>
      </c>
      <c r="M1373" s="1134">
        <v>0.3</v>
      </c>
      <c r="N1373" s="1135"/>
      <c r="O1373" s="1135">
        <v>8.5999999999999993E-2</v>
      </c>
      <c r="P1373" s="1048"/>
      <c r="Q1373" s="1048"/>
      <c r="R1373" s="1048"/>
      <c r="S1373" s="1048"/>
      <c r="T1373" s="1048"/>
      <c r="U1373" s="1102"/>
    </row>
    <row r="1374" spans="2:21" hidden="1" outlineLevel="2">
      <c r="B1374" s="1050">
        <v>453</v>
      </c>
      <c r="C1374" s="2035" t="str">
        <f t="shared" si="119"/>
        <v>71, Anost, Réseau d’Anost, France continentale, Base Carbone</v>
      </c>
      <c r="D1374" s="1051">
        <f t="shared" si="120"/>
        <v>453</v>
      </c>
      <c r="E1374" s="1051" t="str">
        <f>IF(COUNTIF(E$921:E1373,F1374)&gt;0,"",F1374)</f>
        <v>71, Anost, Réseau d’Anost, France continentale, Base Carbone</v>
      </c>
      <c r="F1374" s="1051" t="str">
        <f t="shared" si="121"/>
        <v>71, Anost, Réseau d’Anost, France continentale, Base Carbone</v>
      </c>
      <c r="G1374" s="1055" t="str">
        <f t="shared" si="122"/>
        <v>71, Anost, Réseau d’Anost, France continentale, Base Carbone; kgCO2e/kWh</v>
      </c>
      <c r="I1374" s="2018" t="s">
        <v>3534</v>
      </c>
      <c r="J1374" s="1135" t="s">
        <v>1681</v>
      </c>
      <c r="K1374" s="1119" t="s">
        <v>1567</v>
      </c>
      <c r="L1374" s="1119" t="s">
        <v>1571</v>
      </c>
      <c r="M1374" s="1134">
        <v>0.3</v>
      </c>
      <c r="N1374" s="1135"/>
      <c r="O1374" s="1135">
        <v>0</v>
      </c>
      <c r="P1374" s="1048"/>
      <c r="Q1374" s="1048"/>
      <c r="R1374" s="1048"/>
      <c r="S1374" s="1048"/>
      <c r="T1374" s="1048"/>
      <c r="U1374" s="1102"/>
    </row>
    <row r="1375" spans="2:21" hidden="1" outlineLevel="2">
      <c r="B1375" s="1050">
        <v>454</v>
      </c>
      <c r="C1375" s="2035" t="str">
        <f t="shared" si="119"/>
        <v>71, Autun, Réseau d’Autun, France continentale, Base Carbone</v>
      </c>
      <c r="D1375" s="1051">
        <f t="shared" si="120"/>
        <v>454</v>
      </c>
      <c r="E1375" s="1051" t="str">
        <f>IF(COUNTIF(E$921:E1374,F1375)&gt;0,"",F1375)</f>
        <v>71, Autun, Réseau d’Autun, France continentale, Base Carbone</v>
      </c>
      <c r="F1375" s="1051" t="str">
        <f t="shared" si="121"/>
        <v>71, Autun, Réseau d’Autun, France continentale, Base Carbone</v>
      </c>
      <c r="G1375" s="1055" t="str">
        <f t="shared" si="122"/>
        <v>71, Autun, Réseau d’Autun, France continentale, Base Carbone; kgCO2e/kWh</v>
      </c>
      <c r="I1375" s="2018" t="s">
        <v>3535</v>
      </c>
      <c r="J1375" s="1135" t="s">
        <v>1681</v>
      </c>
      <c r="K1375" s="1119" t="s">
        <v>1567</v>
      </c>
      <c r="L1375" s="1119" t="s">
        <v>1571</v>
      </c>
      <c r="M1375" s="1134">
        <v>0.3</v>
      </c>
      <c r="N1375" s="1135"/>
      <c r="O1375" s="1135">
        <v>7.0999999999999994E-2</v>
      </c>
      <c r="P1375" s="1048"/>
      <c r="Q1375" s="1048"/>
      <c r="R1375" s="1048"/>
      <c r="S1375" s="1048"/>
      <c r="T1375" s="1048"/>
      <c r="U1375" s="1102"/>
    </row>
    <row r="1376" spans="2:21" hidden="1" outlineLevel="2">
      <c r="B1376" s="1050">
        <v>455</v>
      </c>
      <c r="C1376" s="2035" t="str">
        <f t="shared" si="119"/>
        <v>71, Chalon-sur-Saône, Réseau de Chalon, France continentale, Base Carbone</v>
      </c>
      <c r="D1376" s="1051">
        <f t="shared" si="120"/>
        <v>455</v>
      </c>
      <c r="E1376" s="1051" t="str">
        <f>IF(COUNTIF(E$921:E1375,F1376)&gt;0,"",F1376)</f>
        <v>71, Chalon-sur-Saône, Réseau de Chalon, France continentale, Base Carbone</v>
      </c>
      <c r="F1376" s="1051" t="str">
        <f t="shared" si="121"/>
        <v>71, Chalon-sur-Saône, Réseau de Chalon, France continentale, Base Carbone</v>
      </c>
      <c r="G1376" s="1055" t="str">
        <f t="shared" si="122"/>
        <v>71, Chalon-sur-Saône, Réseau de Chalon, France continentale, Base Carbone; kgCO2e/kWh</v>
      </c>
      <c r="I1376" s="2018" t="s">
        <v>3536</v>
      </c>
      <c r="J1376" s="1135" t="s">
        <v>1681</v>
      </c>
      <c r="K1376" s="1119" t="s">
        <v>1567</v>
      </c>
      <c r="L1376" s="1119" t="s">
        <v>1571</v>
      </c>
      <c r="M1376" s="1134">
        <v>0.3</v>
      </c>
      <c r="N1376" s="1135"/>
      <c r="O1376" s="1135">
        <v>0.10299999999999999</v>
      </c>
      <c r="P1376" s="1048"/>
      <c r="Q1376" s="1048"/>
      <c r="R1376" s="1048"/>
      <c r="S1376" s="1048"/>
      <c r="T1376" s="1048"/>
      <c r="U1376" s="1102"/>
    </row>
    <row r="1377" spans="2:21" hidden="1" outlineLevel="2">
      <c r="B1377" s="1050">
        <v>456</v>
      </c>
      <c r="C1377" s="2035" t="str">
        <f t="shared" si="119"/>
        <v>71, Mâcon, Réseau de Mâcon, France continentale, Base Carbone</v>
      </c>
      <c r="D1377" s="1051">
        <f t="shared" si="120"/>
        <v>456</v>
      </c>
      <c r="E1377" s="1051" t="str">
        <f>IF(COUNTIF(E$921:E1376,F1377)&gt;0,"",F1377)</f>
        <v>71, Mâcon, Réseau de Mâcon, France continentale, Base Carbone</v>
      </c>
      <c r="F1377" s="1051" t="str">
        <f t="shared" si="121"/>
        <v>71, Mâcon, Réseau de Mâcon, France continentale, Base Carbone</v>
      </c>
      <c r="G1377" s="1055" t="str">
        <f t="shared" si="122"/>
        <v>71, Mâcon, Réseau de Mâcon, France continentale, Base Carbone; kgCO2e/kWh</v>
      </c>
      <c r="I1377" s="2018" t="s">
        <v>988</v>
      </c>
      <c r="J1377" s="1135" t="s">
        <v>1681</v>
      </c>
      <c r="K1377" s="1119" t="s">
        <v>1567</v>
      </c>
      <c r="L1377" s="1119" t="s">
        <v>1571</v>
      </c>
      <c r="M1377" s="1134">
        <v>0.3</v>
      </c>
      <c r="N1377" s="1135"/>
      <c r="O1377" s="1135">
        <v>0.30099999999999999</v>
      </c>
      <c r="P1377" s="1048"/>
      <c r="Q1377" s="1048"/>
      <c r="R1377" s="1048"/>
      <c r="S1377" s="1048"/>
      <c r="T1377" s="1048"/>
      <c r="U1377" s="1102"/>
    </row>
    <row r="1378" spans="2:21" hidden="1" outlineLevel="2">
      <c r="B1378" s="1050">
        <v>457</v>
      </c>
      <c r="C1378" s="2035" t="str">
        <f t="shared" si="119"/>
        <v>71, Montceau-les-Mines, Réseau de Montceau les mines, France continentale, Base Carbone</v>
      </c>
      <c r="D1378" s="1051">
        <f t="shared" si="120"/>
        <v>457</v>
      </c>
      <c r="E1378" s="1051" t="str">
        <f>IF(COUNTIF(E$921:E1377,F1378)&gt;0,"",F1378)</f>
        <v>71, Montceau-les-Mines, Réseau de Montceau les mines, France continentale, Base Carbone</v>
      </c>
      <c r="F1378" s="1051" t="str">
        <f t="shared" si="121"/>
        <v>71, Montceau-les-Mines, Réseau de Montceau les mines, France continentale, Base Carbone</v>
      </c>
      <c r="G1378" s="1055" t="str">
        <f t="shared" si="122"/>
        <v>71, Montceau-les-Mines, Réseau de Montceau les mines, France continentale, Base Carbone; kgCO2e/kWh</v>
      </c>
      <c r="I1378" s="2018" t="s">
        <v>2997</v>
      </c>
      <c r="J1378" s="1135" t="s">
        <v>1681</v>
      </c>
      <c r="K1378" s="1119" t="s">
        <v>1567</v>
      </c>
      <c r="L1378" s="1119" t="s">
        <v>1571</v>
      </c>
      <c r="M1378" s="1134">
        <v>0.3</v>
      </c>
      <c r="N1378" s="1135"/>
      <c r="O1378" s="1135">
        <v>0.127</v>
      </c>
      <c r="P1378" s="1048"/>
      <c r="Q1378" s="1048"/>
      <c r="R1378" s="1048"/>
      <c r="S1378" s="1048"/>
      <c r="T1378" s="1048"/>
      <c r="U1378" s="1102"/>
    </row>
    <row r="1379" spans="2:21" hidden="1" outlineLevel="2">
      <c r="B1379" s="1050">
        <v>458</v>
      </c>
      <c r="C1379" s="2035" t="str">
        <f t="shared" si="119"/>
        <v>71, Tramayes, Réseau de Tramayes, France continentale, Base Carbone</v>
      </c>
      <c r="D1379" s="1051">
        <f t="shared" si="120"/>
        <v>458</v>
      </c>
      <c r="E1379" s="1051" t="str">
        <f>IF(COUNTIF(E$921:E1378,F1379)&gt;0,"",F1379)</f>
        <v>71, Tramayes, Réseau de Tramayes, France continentale, Base Carbone</v>
      </c>
      <c r="F1379" s="1051" t="str">
        <f t="shared" si="121"/>
        <v>71, Tramayes, Réseau de Tramayes, France continentale, Base Carbone</v>
      </c>
      <c r="G1379" s="1055" t="str">
        <f t="shared" si="122"/>
        <v>71, Tramayes, Réseau de Tramayes, France continentale, Base Carbone; kgCO2e/kWh</v>
      </c>
      <c r="I1379" s="2018" t="s">
        <v>989</v>
      </c>
      <c r="J1379" s="1135" t="s">
        <v>1681</v>
      </c>
      <c r="K1379" s="1119" t="s">
        <v>1567</v>
      </c>
      <c r="L1379" s="1119" t="s">
        <v>1571</v>
      </c>
      <c r="M1379" s="1134">
        <v>0.3</v>
      </c>
      <c r="N1379" s="1135"/>
      <c r="O1379" s="1135">
        <v>1.6E-2</v>
      </c>
      <c r="P1379" s="1048"/>
      <c r="Q1379" s="1048"/>
      <c r="R1379" s="1048"/>
      <c r="S1379" s="1048"/>
      <c r="T1379" s="1048"/>
      <c r="U1379" s="1102"/>
    </row>
    <row r="1380" spans="2:21" hidden="1" outlineLevel="2">
      <c r="B1380" s="1050">
        <v>459</v>
      </c>
      <c r="C1380" s="2035" t="str">
        <f t="shared" si="119"/>
        <v>72, Coulaine, Bellevue, France continentale, Base Carbone</v>
      </c>
      <c r="D1380" s="1051">
        <f t="shared" si="120"/>
        <v>459</v>
      </c>
      <c r="E1380" s="1051" t="str">
        <f>IF(COUNTIF(E$921:E1379,F1380)&gt;0,"",F1380)</f>
        <v>72, Coulaine, Bellevue, France continentale, Base Carbone</v>
      </c>
      <c r="F1380" s="1051" t="str">
        <f t="shared" si="121"/>
        <v>72, Coulaine, Bellevue, France continentale, Base Carbone</v>
      </c>
      <c r="G1380" s="1055" t="str">
        <f t="shared" si="122"/>
        <v>72, Coulaine, Bellevue, France continentale, Base Carbone; kgCO2e/kWh</v>
      </c>
      <c r="I1380" s="2018" t="s">
        <v>990</v>
      </c>
      <c r="J1380" s="1135" t="s">
        <v>1681</v>
      </c>
      <c r="K1380" s="1119" t="s">
        <v>1567</v>
      </c>
      <c r="L1380" s="1119" t="s">
        <v>1571</v>
      </c>
      <c r="M1380" s="1134">
        <v>0.3</v>
      </c>
      <c r="N1380" s="1135"/>
      <c r="O1380" s="1135">
        <v>0.16900000000000001</v>
      </c>
      <c r="P1380" s="1048"/>
      <c r="Q1380" s="1048"/>
      <c r="R1380" s="1048"/>
      <c r="S1380" s="1048"/>
      <c r="T1380" s="1048"/>
      <c r="U1380" s="1102"/>
    </row>
    <row r="1381" spans="2:21" hidden="1" outlineLevel="2">
      <c r="B1381" s="1050">
        <v>460</v>
      </c>
      <c r="C1381" s="2035" t="str">
        <f t="shared" si="119"/>
        <v>72, Le Mans, Percée Centrale, France continentale, Base Carbone</v>
      </c>
      <c r="D1381" s="1051">
        <f t="shared" si="120"/>
        <v>460</v>
      </c>
      <c r="E1381" s="1051" t="str">
        <f>IF(COUNTIF(E$921:E1380,F1381)&gt;0,"",F1381)</f>
        <v>72, Le Mans, Percée Centrale, France continentale, Base Carbone</v>
      </c>
      <c r="F1381" s="1051" t="str">
        <f t="shared" si="121"/>
        <v>72, Le Mans, Percée Centrale, France continentale, Base Carbone</v>
      </c>
      <c r="G1381" s="1055" t="str">
        <f t="shared" si="122"/>
        <v>72, Le Mans, Percée Centrale, France continentale, Base Carbone; kgCO2e/kWh</v>
      </c>
      <c r="I1381" s="2018" t="s">
        <v>991</v>
      </c>
      <c r="J1381" s="1135" t="s">
        <v>1681</v>
      </c>
      <c r="K1381" s="1119" t="s">
        <v>1567</v>
      </c>
      <c r="L1381" s="1119" t="s">
        <v>1571</v>
      </c>
      <c r="M1381" s="1134">
        <v>0.3</v>
      </c>
      <c r="N1381" s="1135"/>
      <c r="O1381" s="1135">
        <v>0.22800000000000001</v>
      </c>
      <c r="P1381" s="1048"/>
      <c r="Q1381" s="1048"/>
      <c r="R1381" s="1048"/>
      <c r="S1381" s="1048"/>
      <c r="T1381" s="1048"/>
      <c r="U1381" s="1102"/>
    </row>
    <row r="1382" spans="2:21" hidden="1" outlineLevel="2">
      <c r="B1382" s="1050">
        <v>461</v>
      </c>
      <c r="C1382" s="2035" t="str">
        <f t="shared" si="119"/>
        <v>72, Le Mans, Réseau du Mans, France continentale, Base Carbone</v>
      </c>
      <c r="D1382" s="1051">
        <f t="shared" si="120"/>
        <v>461</v>
      </c>
      <c r="E1382" s="1051" t="str">
        <f>IF(COUNTIF(E$921:E1381,F1382)&gt;0,"",F1382)</f>
        <v>72, Le Mans, Réseau du Mans, France continentale, Base Carbone</v>
      </c>
      <c r="F1382" s="1051" t="str">
        <f t="shared" si="121"/>
        <v>72, Le Mans, Réseau du Mans, France continentale, Base Carbone</v>
      </c>
      <c r="G1382" s="1055" t="str">
        <f t="shared" si="122"/>
        <v>72, Le Mans, Réseau du Mans, France continentale, Base Carbone; kgCO2e/kWh</v>
      </c>
      <c r="I1382" s="2018" t="s">
        <v>992</v>
      </c>
      <c r="J1382" s="1135" t="s">
        <v>1681</v>
      </c>
      <c r="K1382" s="1119" t="s">
        <v>1567</v>
      </c>
      <c r="L1382" s="1119" t="s">
        <v>1571</v>
      </c>
      <c r="M1382" s="1134">
        <v>0.3</v>
      </c>
      <c r="N1382" s="1135"/>
      <c r="O1382" s="1135">
        <v>0.312</v>
      </c>
      <c r="P1382" s="1048"/>
      <c r="Q1382" s="1048"/>
      <c r="R1382" s="1048"/>
      <c r="S1382" s="1048"/>
      <c r="T1382" s="1048"/>
      <c r="U1382" s="1102"/>
    </row>
    <row r="1383" spans="2:21" hidden="1" outlineLevel="2">
      <c r="B1383" s="1050">
        <v>462</v>
      </c>
      <c r="C1383" s="2035" t="str">
        <f t="shared" si="119"/>
        <v>72, Le Mans-Allonnes, ZUP d’Allonnes, France continentale, Base Carbone</v>
      </c>
      <c r="D1383" s="1051">
        <f t="shared" si="120"/>
        <v>462</v>
      </c>
      <c r="E1383" s="1051" t="str">
        <f>IF(COUNTIF(E$921:E1382,F1383)&gt;0,"",F1383)</f>
        <v>72, Le Mans-Allonnes, ZUP d’Allonnes, France continentale, Base Carbone</v>
      </c>
      <c r="F1383" s="1051" t="str">
        <f t="shared" si="121"/>
        <v>72, Le Mans-Allonnes, ZUP d’Allonnes, France continentale, Base Carbone</v>
      </c>
      <c r="G1383" s="1055" t="str">
        <f t="shared" si="122"/>
        <v>72, Le Mans-Allonnes, ZUP d’Allonnes, France continentale, Base Carbone; kgCO2e/kWh</v>
      </c>
      <c r="I1383" s="2018" t="s">
        <v>3537</v>
      </c>
      <c r="J1383" s="1135" t="s">
        <v>1681</v>
      </c>
      <c r="K1383" s="1119" t="s">
        <v>1567</v>
      </c>
      <c r="L1383" s="1119" t="s">
        <v>1571</v>
      </c>
      <c r="M1383" s="1134">
        <v>0.3</v>
      </c>
      <c r="N1383" s="1135"/>
      <c r="O1383" s="1135">
        <v>2.7E-2</v>
      </c>
      <c r="P1383" s="1048"/>
      <c r="Q1383" s="1048"/>
      <c r="R1383" s="1048"/>
      <c r="S1383" s="1048"/>
      <c r="T1383" s="1048"/>
      <c r="U1383" s="1102"/>
    </row>
    <row r="1384" spans="2:21" hidden="1" outlineLevel="2">
      <c r="B1384" s="1050">
        <v>463</v>
      </c>
      <c r="C1384" s="2035" t="str">
        <f t="shared" si="119"/>
        <v>73, Beaufort, Réseau de Beaufort, France continentale, Base Carbone</v>
      </c>
      <c r="D1384" s="1051">
        <f t="shared" si="120"/>
        <v>463</v>
      </c>
      <c r="E1384" s="1051" t="str">
        <f>IF(COUNTIF(E$921:E1383,F1384)&gt;0,"",F1384)</f>
        <v>73, Beaufort, Réseau de Beaufort, France continentale, Base Carbone</v>
      </c>
      <c r="F1384" s="1051" t="str">
        <f t="shared" si="121"/>
        <v>73, Beaufort, Réseau de Beaufort, France continentale, Base Carbone</v>
      </c>
      <c r="G1384" s="1055" t="str">
        <f t="shared" si="122"/>
        <v>73, Beaufort, Réseau de Beaufort, France continentale, Base Carbone; kgCO2e/kWh</v>
      </c>
      <c r="I1384" s="2018" t="s">
        <v>2998</v>
      </c>
      <c r="J1384" s="1135" t="s">
        <v>1681</v>
      </c>
      <c r="K1384" s="1119" t="s">
        <v>1567</v>
      </c>
      <c r="L1384" s="1119" t="s">
        <v>1571</v>
      </c>
      <c r="M1384" s="1134">
        <v>0.3</v>
      </c>
      <c r="N1384" s="1135"/>
      <c r="O1384" s="1135">
        <v>5.8000000000000003E-2</v>
      </c>
      <c r="P1384" s="1048"/>
      <c r="Q1384" s="1048"/>
      <c r="R1384" s="1048"/>
      <c r="S1384" s="1048"/>
      <c r="T1384" s="1048"/>
      <c r="U1384" s="1102"/>
    </row>
    <row r="1385" spans="2:21" hidden="1" outlineLevel="2">
      <c r="B1385" s="1050">
        <v>464</v>
      </c>
      <c r="C1385" s="2035" t="str">
        <f t="shared" si="119"/>
        <v>73, Bourg-Saint-Maurice, Les Arcs, France continentale, Base Carbone</v>
      </c>
      <c r="D1385" s="1051">
        <f t="shared" si="120"/>
        <v>464</v>
      </c>
      <c r="E1385" s="1051" t="str">
        <f>IF(COUNTIF(E$921:E1384,F1385)&gt;0,"",F1385)</f>
        <v>73, Bourg-Saint-Maurice, Les Arcs, France continentale, Base Carbone</v>
      </c>
      <c r="F1385" s="1051" t="str">
        <f t="shared" si="121"/>
        <v>73, Bourg-Saint-Maurice, Les Arcs, France continentale, Base Carbone</v>
      </c>
      <c r="G1385" s="1055" t="str">
        <f t="shared" si="122"/>
        <v>73, Bourg-Saint-Maurice, Les Arcs, France continentale, Base Carbone; kgCO2e/kWh</v>
      </c>
      <c r="I1385" s="2018" t="s">
        <v>3538</v>
      </c>
      <c r="J1385" s="1135" t="s">
        <v>1681</v>
      </c>
      <c r="K1385" s="1119" t="s">
        <v>1567</v>
      </c>
      <c r="L1385" s="1119" t="s">
        <v>1571</v>
      </c>
      <c r="M1385" s="1134">
        <v>0.3</v>
      </c>
      <c r="N1385" s="1135"/>
      <c r="O1385" s="1135">
        <v>0.33800000000000002</v>
      </c>
      <c r="P1385" s="1048"/>
      <c r="Q1385" s="1048"/>
      <c r="R1385" s="1048"/>
      <c r="S1385" s="1048"/>
      <c r="T1385" s="1048"/>
      <c r="U1385" s="1102"/>
    </row>
    <row r="1386" spans="2:21" hidden="1" outlineLevel="2">
      <c r="B1386" s="1050">
        <v>465</v>
      </c>
      <c r="C1386" s="2035" t="str">
        <f t="shared" si="119"/>
        <v>73, Chambéry, Bissy et Croix Rouge, France continentale, Base Carbone</v>
      </c>
      <c r="D1386" s="1051">
        <f t="shared" si="120"/>
        <v>465</v>
      </c>
      <c r="E1386" s="1051" t="str">
        <f>IF(COUNTIF(E$921:E1385,F1386)&gt;0,"",F1386)</f>
        <v>73, Chambéry, Bissy et Croix Rouge, France continentale, Base Carbone</v>
      </c>
      <c r="F1386" s="1051" t="str">
        <f t="shared" si="121"/>
        <v>73, Chambéry, Bissy et Croix Rouge, France continentale, Base Carbone</v>
      </c>
      <c r="G1386" s="1055" t="str">
        <f t="shared" si="122"/>
        <v>73, Chambéry, Bissy et Croix Rouge, France continentale, Base Carbone; kgCO2e/kWh</v>
      </c>
      <c r="I1386" s="2018" t="s">
        <v>993</v>
      </c>
      <c r="J1386" s="1135" t="s">
        <v>1681</v>
      </c>
      <c r="K1386" s="1119" t="s">
        <v>1567</v>
      </c>
      <c r="L1386" s="1119" t="s">
        <v>1571</v>
      </c>
      <c r="M1386" s="1134">
        <v>0.3</v>
      </c>
      <c r="N1386" s="1135"/>
      <c r="O1386" s="1135">
        <v>0.10299999999999999</v>
      </c>
      <c r="P1386" s="1048"/>
      <c r="Q1386" s="1048"/>
      <c r="R1386" s="1048"/>
      <c r="S1386" s="1048"/>
      <c r="T1386" s="1048"/>
      <c r="U1386" s="1102"/>
    </row>
    <row r="1387" spans="2:21" hidden="1" outlineLevel="2">
      <c r="B1387" s="1050">
        <v>466</v>
      </c>
      <c r="C1387" s="2035" t="str">
        <f t="shared" si="119"/>
        <v>73, Gilly-sur-Isère, Réseau de Gilly-sur-Isère, France continentale, Base Carbone</v>
      </c>
      <c r="D1387" s="1051">
        <f t="shared" si="120"/>
        <v>466</v>
      </c>
      <c r="E1387" s="1051" t="str">
        <f>IF(COUNTIF(E$921:E1386,F1387)&gt;0,"",F1387)</f>
        <v>73, Gilly-sur-Isère, Réseau de Gilly-sur-Isère, France continentale, Base Carbone</v>
      </c>
      <c r="F1387" s="1051" t="str">
        <f t="shared" si="121"/>
        <v>73, Gilly-sur-Isère, Réseau de Gilly-sur-Isère, France continentale, Base Carbone</v>
      </c>
      <c r="G1387" s="1055" t="str">
        <f t="shared" si="122"/>
        <v>73, Gilly-sur-Isère, Réseau de Gilly-sur-Isère, France continentale, Base Carbone; kgCO2e/kWh</v>
      </c>
      <c r="I1387" s="2018" t="s">
        <v>2999</v>
      </c>
      <c r="J1387" s="1135" t="s">
        <v>1681</v>
      </c>
      <c r="K1387" s="1119" t="s">
        <v>1567</v>
      </c>
      <c r="L1387" s="1119" t="s">
        <v>1571</v>
      </c>
      <c r="M1387" s="1134">
        <v>0.3</v>
      </c>
      <c r="N1387" s="1135"/>
      <c r="O1387" s="1135">
        <v>0.13400000000000001</v>
      </c>
      <c r="P1387" s="1048"/>
      <c r="Q1387" s="1048"/>
      <c r="R1387" s="1048"/>
      <c r="S1387" s="1048"/>
      <c r="T1387" s="1048"/>
      <c r="U1387" s="1102"/>
    </row>
    <row r="1388" spans="2:21" hidden="1" outlineLevel="2">
      <c r="B1388" s="1050">
        <v>467</v>
      </c>
      <c r="C1388" s="2035" t="str">
        <f t="shared" si="119"/>
        <v>73, La Bauche, Réseau de la Bauche, France continentale, Base Carbone</v>
      </c>
      <c r="D1388" s="1051">
        <f t="shared" si="120"/>
        <v>467</v>
      </c>
      <c r="E1388" s="1051" t="str">
        <f>IF(COUNTIF(E$921:E1387,F1388)&gt;0,"",F1388)</f>
        <v>73, La Bauche, Réseau de la Bauche, France continentale, Base Carbone</v>
      </c>
      <c r="F1388" s="1051" t="str">
        <f t="shared" si="121"/>
        <v>73, La Bauche, Réseau de la Bauche, France continentale, Base Carbone</v>
      </c>
      <c r="G1388" s="1055" t="str">
        <f t="shared" si="122"/>
        <v>73, La Bauche, Réseau de la Bauche, France continentale, Base Carbone; kgCO2e/kWh</v>
      </c>
      <c r="I1388" s="2018" t="s">
        <v>3000</v>
      </c>
      <c r="J1388" s="1135" t="s">
        <v>1681</v>
      </c>
      <c r="K1388" s="1119" t="s">
        <v>1567</v>
      </c>
      <c r="L1388" s="1119" t="s">
        <v>1571</v>
      </c>
      <c r="M1388" s="1134">
        <v>0.3</v>
      </c>
      <c r="N1388" s="1135"/>
      <c r="O1388" s="1135">
        <v>0</v>
      </c>
      <c r="P1388" s="1048"/>
      <c r="Q1388" s="1048"/>
      <c r="R1388" s="1048"/>
      <c r="S1388" s="1048"/>
      <c r="T1388" s="1048"/>
      <c r="U1388" s="1102"/>
    </row>
    <row r="1389" spans="2:21" hidden="1" outlineLevel="2">
      <c r="B1389" s="1050">
        <v>468</v>
      </c>
      <c r="C1389" s="2035" t="str">
        <f t="shared" si="119"/>
        <v>73, Macôt-La-Plagne, La Plagne, France continentale, Base Carbone</v>
      </c>
      <c r="D1389" s="1051">
        <f t="shared" si="120"/>
        <v>468</v>
      </c>
      <c r="E1389" s="1051" t="str">
        <f>IF(COUNTIF(E$921:E1388,F1389)&gt;0,"",F1389)</f>
        <v>73, Macôt-La-Plagne, La Plagne, France continentale, Base Carbone</v>
      </c>
      <c r="F1389" s="1051" t="str">
        <f t="shared" si="121"/>
        <v>73, Macôt-La-Plagne, La Plagne, France continentale, Base Carbone</v>
      </c>
      <c r="G1389" s="1055" t="str">
        <f t="shared" si="122"/>
        <v>73, Macôt-La-Plagne, La Plagne, France continentale, Base Carbone; kgCO2e/kWh</v>
      </c>
      <c r="I1389" s="2018" t="s">
        <v>3539</v>
      </c>
      <c r="J1389" s="1135" t="s">
        <v>1681</v>
      </c>
      <c r="K1389" s="1119" t="s">
        <v>1567</v>
      </c>
      <c r="L1389" s="1119" t="s">
        <v>1571</v>
      </c>
      <c r="M1389" s="1134">
        <v>0.3</v>
      </c>
      <c r="N1389" s="1135"/>
      <c r="O1389" s="1135">
        <v>5.8999999999999997E-2</v>
      </c>
      <c r="P1389" s="1048"/>
      <c r="Q1389" s="1048"/>
      <c r="R1389" s="1048"/>
      <c r="S1389" s="1048"/>
      <c r="T1389" s="1048"/>
      <c r="U1389" s="1102"/>
    </row>
    <row r="1390" spans="2:21" hidden="1" outlineLevel="2">
      <c r="B1390" s="1050">
        <v>469</v>
      </c>
      <c r="C1390" s="2035" t="str">
        <f t="shared" si="119"/>
        <v>73, Notre-Dame-des-Millières, Réseau de Notre-Dame-des-Millières, France continentale, Base Carbone</v>
      </c>
      <c r="D1390" s="1051">
        <f t="shared" si="120"/>
        <v>469</v>
      </c>
      <c r="E1390" s="1051" t="str">
        <f>IF(COUNTIF(E$921:E1389,F1390)&gt;0,"",F1390)</f>
        <v>73, Notre-Dame-des-Millières, Réseau de Notre-Dame-des-Millières, France continentale, Base Carbone</v>
      </c>
      <c r="F1390" s="1051" t="str">
        <f t="shared" si="121"/>
        <v>73, Notre-Dame-des-Millières, Réseau de Notre-Dame-des-Millières, France continentale, Base Carbone</v>
      </c>
      <c r="G1390" s="1055" t="str">
        <f t="shared" si="122"/>
        <v>73, Notre-Dame-des-Millières, Réseau de Notre-Dame-des-Millières, France continentale, Base Carbone; kgCO2e/kWh</v>
      </c>
      <c r="I1390" s="2018" t="s">
        <v>3540</v>
      </c>
      <c r="J1390" s="1135" t="s">
        <v>1681</v>
      </c>
      <c r="K1390" s="1119" t="s">
        <v>1567</v>
      </c>
      <c r="L1390" s="1119" t="s">
        <v>1571</v>
      </c>
      <c r="M1390" s="1134">
        <v>0.3</v>
      </c>
      <c r="N1390" s="1135"/>
      <c r="O1390" s="1135">
        <v>3.9E-2</v>
      </c>
      <c r="P1390" s="1048"/>
      <c r="Q1390" s="1048"/>
      <c r="R1390" s="1048"/>
      <c r="S1390" s="1048"/>
      <c r="T1390" s="1048"/>
      <c r="U1390" s="1102"/>
    </row>
    <row r="1391" spans="2:21" hidden="1" outlineLevel="2">
      <c r="B1391" s="1050">
        <v>470</v>
      </c>
      <c r="C1391" s="2035" t="str">
        <f t="shared" si="119"/>
        <v>73, Saint-Etienne-de-Cuines, Réseau de Saint Etienne de Cuines, France continentale, Base Carbone</v>
      </c>
      <c r="D1391" s="1051">
        <f t="shared" si="120"/>
        <v>470</v>
      </c>
      <c r="E1391" s="1051" t="str">
        <f>IF(COUNTIF(E$921:E1390,F1391)&gt;0,"",F1391)</f>
        <v>73, Saint-Etienne-de-Cuines, Réseau de Saint Etienne de Cuines, France continentale, Base Carbone</v>
      </c>
      <c r="F1391" s="1051" t="str">
        <f t="shared" si="121"/>
        <v>73, Saint-Etienne-de-Cuines, Réseau de Saint Etienne de Cuines, France continentale, Base Carbone</v>
      </c>
      <c r="G1391" s="1055" t="str">
        <f t="shared" si="122"/>
        <v>73, Saint-Etienne-de-Cuines, Réseau de Saint Etienne de Cuines, France continentale, Base Carbone; kgCO2e/kWh</v>
      </c>
      <c r="I1391" s="2018" t="s">
        <v>3541</v>
      </c>
      <c r="J1391" s="1135" t="s">
        <v>1681</v>
      </c>
      <c r="K1391" s="1119" t="s">
        <v>1567</v>
      </c>
      <c r="L1391" s="1119" t="s">
        <v>1571</v>
      </c>
      <c r="M1391" s="1134">
        <v>0.3</v>
      </c>
      <c r="N1391" s="1135"/>
      <c r="O1391" s="1135">
        <v>0</v>
      </c>
      <c r="P1391" s="1048"/>
      <c r="Q1391" s="1048"/>
      <c r="R1391" s="1048"/>
      <c r="S1391" s="1048"/>
      <c r="T1391" s="1048"/>
      <c r="U1391" s="1102"/>
    </row>
    <row r="1392" spans="2:21" hidden="1" outlineLevel="2">
      <c r="B1392" s="1050">
        <v>471</v>
      </c>
      <c r="C1392" s="2035" t="str">
        <f t="shared" si="119"/>
        <v>73, Saint-Jean-d’Arvey, Réseau de Saint-Jean-d’Arvey, France continentale, Base Carbone</v>
      </c>
      <c r="D1392" s="1051">
        <f t="shared" si="120"/>
        <v>471</v>
      </c>
      <c r="E1392" s="1051" t="str">
        <f>IF(COUNTIF(E$921:E1391,F1392)&gt;0,"",F1392)</f>
        <v>73, Saint-Jean-d’Arvey, Réseau de Saint-Jean-d’Arvey, France continentale, Base Carbone</v>
      </c>
      <c r="F1392" s="1051" t="str">
        <f t="shared" si="121"/>
        <v>73, Saint-Jean-d’Arvey, Réseau de Saint-Jean-d’Arvey, France continentale, Base Carbone</v>
      </c>
      <c r="G1392" s="1055" t="str">
        <f t="shared" si="122"/>
        <v>73, Saint-Jean-d’Arvey, Réseau de Saint-Jean-d’Arvey, France continentale, Base Carbone; kgCO2e/kWh</v>
      </c>
      <c r="I1392" s="2018" t="s">
        <v>3542</v>
      </c>
      <c r="J1392" s="1135" t="s">
        <v>1681</v>
      </c>
      <c r="K1392" s="1119" t="s">
        <v>1567</v>
      </c>
      <c r="L1392" s="1119" t="s">
        <v>1571</v>
      </c>
      <c r="M1392" s="1134">
        <v>0.3</v>
      </c>
      <c r="N1392" s="1135"/>
      <c r="O1392" s="1135">
        <v>0.19900000000000001</v>
      </c>
      <c r="P1392" s="1048"/>
      <c r="Q1392" s="1048"/>
      <c r="R1392" s="1048"/>
      <c r="S1392" s="1048"/>
      <c r="T1392" s="1048"/>
      <c r="U1392" s="1102"/>
    </row>
    <row r="1393" spans="2:21" hidden="1" outlineLevel="2">
      <c r="B1393" s="1050">
        <v>472</v>
      </c>
      <c r="C1393" s="2035" t="str">
        <f t="shared" si="119"/>
        <v>73, Yenne, Réseau de Yenne, France continentale, Base Carbone</v>
      </c>
      <c r="D1393" s="1051">
        <f t="shared" si="120"/>
        <v>472</v>
      </c>
      <c r="E1393" s="1051" t="str">
        <f>IF(COUNTIF(E$921:E1392,F1393)&gt;0,"",F1393)</f>
        <v>73, Yenne, Réseau de Yenne, France continentale, Base Carbone</v>
      </c>
      <c r="F1393" s="1051" t="str">
        <f t="shared" si="121"/>
        <v>73, Yenne, Réseau de Yenne, France continentale, Base Carbone</v>
      </c>
      <c r="G1393" s="1055" t="str">
        <f t="shared" si="122"/>
        <v>73, Yenne, Réseau de Yenne, France continentale, Base Carbone; kgCO2e/kWh</v>
      </c>
      <c r="I1393" s="2018" t="s">
        <v>3001</v>
      </c>
      <c r="J1393" s="1135" t="s">
        <v>1681</v>
      </c>
      <c r="K1393" s="1119" t="s">
        <v>1567</v>
      </c>
      <c r="L1393" s="1119" t="s">
        <v>1571</v>
      </c>
      <c r="M1393" s="1134">
        <v>0.3</v>
      </c>
      <c r="N1393" s="1135"/>
      <c r="O1393" s="1135">
        <v>1.4E-2</v>
      </c>
      <c r="P1393" s="1048"/>
      <c r="Q1393" s="1048"/>
      <c r="R1393" s="1048"/>
      <c r="S1393" s="1048"/>
      <c r="T1393" s="1048"/>
      <c r="U1393" s="1102"/>
    </row>
    <row r="1394" spans="2:21" hidden="1" outlineLevel="2">
      <c r="B1394" s="1050">
        <v>473</v>
      </c>
      <c r="C1394" s="2035" t="str">
        <f t="shared" si="119"/>
        <v>74, Annecy, Annecy Bio chaleur, France continentale, Base Carbone</v>
      </c>
      <c r="D1394" s="1051">
        <f t="shared" si="120"/>
        <v>473</v>
      </c>
      <c r="E1394" s="1051" t="str">
        <f>IF(COUNTIF(E$921:E1393,F1394)&gt;0,"",F1394)</f>
        <v>74, Annecy, Annecy Bio chaleur, France continentale, Base Carbone</v>
      </c>
      <c r="F1394" s="1051" t="str">
        <f t="shared" si="121"/>
        <v>74, Annecy, Annecy Bio chaleur, France continentale, Base Carbone</v>
      </c>
      <c r="G1394" s="1055" t="str">
        <f t="shared" si="122"/>
        <v>74, Annecy, Annecy Bio chaleur, France continentale, Base Carbone; kgCO2e/kWh</v>
      </c>
      <c r="I1394" s="2018" t="s">
        <v>3543</v>
      </c>
      <c r="J1394" s="1135" t="s">
        <v>1681</v>
      </c>
      <c r="K1394" s="1119" t="s">
        <v>1567</v>
      </c>
      <c r="L1394" s="1119" t="s">
        <v>1571</v>
      </c>
      <c r="M1394" s="1134">
        <v>0.3</v>
      </c>
      <c r="N1394" s="1135"/>
      <c r="O1394" s="1135">
        <v>2.3E-2</v>
      </c>
      <c r="P1394" s="1048"/>
      <c r="Q1394" s="1048"/>
      <c r="R1394" s="1048"/>
      <c r="S1394" s="1048"/>
      <c r="T1394" s="1048"/>
      <c r="U1394" s="1102"/>
    </row>
    <row r="1395" spans="2:21" hidden="1" outlineLevel="2">
      <c r="B1395" s="1050">
        <v>474</v>
      </c>
      <c r="C1395" s="2035" t="str">
        <f t="shared" si="119"/>
        <v>74, Annemasse, Bois Energies Annemasse, France continentale, Base Carbone</v>
      </c>
      <c r="D1395" s="1051">
        <f t="shared" si="120"/>
        <v>474</v>
      </c>
      <c r="E1395" s="1051" t="str">
        <f>IF(COUNTIF(E$921:E1394,F1395)&gt;0,"",F1395)</f>
        <v>74, Annemasse, Bois Energies Annemasse, France continentale, Base Carbone</v>
      </c>
      <c r="F1395" s="1051" t="str">
        <f t="shared" si="121"/>
        <v>74, Annemasse, Bois Energies Annemasse, France continentale, Base Carbone</v>
      </c>
      <c r="G1395" s="1055" t="str">
        <f t="shared" si="122"/>
        <v>74, Annemasse, Bois Energies Annemasse, France continentale, Base Carbone; kgCO2e/kWh</v>
      </c>
      <c r="I1395" s="2018" t="s">
        <v>3002</v>
      </c>
      <c r="J1395" s="1135" t="s">
        <v>1681</v>
      </c>
      <c r="K1395" s="1119" t="s">
        <v>1567</v>
      </c>
      <c r="L1395" s="1119" t="s">
        <v>1571</v>
      </c>
      <c r="M1395" s="1134">
        <v>0.3</v>
      </c>
      <c r="N1395" s="1135"/>
      <c r="O1395" s="1135">
        <v>5.0999999999999997E-2</v>
      </c>
      <c r="P1395" s="1048"/>
      <c r="Q1395" s="1048"/>
      <c r="R1395" s="1048"/>
      <c r="S1395" s="1048"/>
      <c r="T1395" s="1048"/>
      <c r="U1395" s="1102"/>
    </row>
    <row r="1396" spans="2:21" hidden="1" outlineLevel="2">
      <c r="B1396" s="1050">
        <v>475</v>
      </c>
      <c r="C1396" s="2035" t="str">
        <f t="shared" si="119"/>
        <v>74, Arracles les Carroy, Flaine Energie, France continentale, Base Carbone</v>
      </c>
      <c r="D1396" s="1051">
        <f t="shared" si="120"/>
        <v>475</v>
      </c>
      <c r="E1396" s="1051" t="str">
        <f>IF(COUNTIF(E$921:E1395,F1396)&gt;0,"",F1396)</f>
        <v>74, Arracles les Carroy, Flaine Energie, France continentale, Base Carbone</v>
      </c>
      <c r="F1396" s="1051" t="str">
        <f t="shared" si="121"/>
        <v>74, Arracles les Carroy, Flaine Energie, France continentale, Base Carbone</v>
      </c>
      <c r="G1396" s="1055" t="str">
        <f t="shared" si="122"/>
        <v>74, Arracles les Carroy, Flaine Energie, France continentale, Base Carbone; kgCO2e/kWh</v>
      </c>
      <c r="I1396" s="2018" t="s">
        <v>3544</v>
      </c>
      <c r="J1396" s="1135" t="s">
        <v>1681</v>
      </c>
      <c r="K1396" s="1119" t="s">
        <v>1567</v>
      </c>
      <c r="L1396" s="1119" t="s">
        <v>1571</v>
      </c>
      <c r="M1396" s="1134">
        <v>0.3</v>
      </c>
      <c r="N1396" s="1135"/>
      <c r="O1396" s="1135">
        <v>0.20499999999999999</v>
      </c>
      <c r="P1396" s="1048"/>
      <c r="Q1396" s="1048"/>
      <c r="R1396" s="1048"/>
      <c r="S1396" s="1048"/>
      <c r="T1396" s="1048"/>
      <c r="U1396" s="1102"/>
    </row>
    <row r="1397" spans="2:21" hidden="1" outlineLevel="2">
      <c r="B1397" s="1050">
        <v>476</v>
      </c>
      <c r="C1397" s="2035" t="str">
        <f t="shared" si="119"/>
        <v>74, Clarafond-Arcine, Réseau de Clarafond-la-Presles, France continentale, Base Carbone</v>
      </c>
      <c r="D1397" s="1051">
        <f t="shared" si="120"/>
        <v>476</v>
      </c>
      <c r="E1397" s="1051" t="str">
        <f>IF(COUNTIF(E$921:E1396,F1397)&gt;0,"",F1397)</f>
        <v>74, Clarafond-Arcine, Réseau de Clarafond-la-Presles, France continentale, Base Carbone</v>
      </c>
      <c r="F1397" s="1051" t="str">
        <f t="shared" si="121"/>
        <v>74, Clarafond-Arcine, Réseau de Clarafond-la-Presles, France continentale, Base Carbone</v>
      </c>
      <c r="G1397" s="1055" t="str">
        <f t="shared" si="122"/>
        <v>74, Clarafond-Arcine, Réseau de Clarafond-la-Presles, France continentale, Base Carbone; kgCO2e/kWh</v>
      </c>
      <c r="I1397" s="2018" t="s">
        <v>3003</v>
      </c>
      <c r="J1397" s="1135" t="s">
        <v>1681</v>
      </c>
      <c r="K1397" s="1119" t="s">
        <v>1567</v>
      </c>
      <c r="L1397" s="1119" t="s">
        <v>1571</v>
      </c>
      <c r="M1397" s="1134">
        <v>0.3</v>
      </c>
      <c r="N1397" s="1135"/>
      <c r="O1397" s="1135">
        <v>4.4999999999999998E-2</v>
      </c>
      <c r="P1397" s="1048"/>
      <c r="Q1397" s="1048"/>
      <c r="R1397" s="1048"/>
      <c r="S1397" s="1048"/>
      <c r="T1397" s="1048"/>
      <c r="U1397" s="1102"/>
    </row>
    <row r="1398" spans="2:21" hidden="1" outlineLevel="2">
      <c r="B1398" s="1050">
        <v>477</v>
      </c>
      <c r="C1398" s="2035" t="str">
        <f t="shared" si="119"/>
        <v>74, Cluses, Quartier Les Ewues, France continentale, Base Carbone</v>
      </c>
      <c r="D1398" s="1051">
        <f t="shared" si="120"/>
        <v>477</v>
      </c>
      <c r="E1398" s="1051" t="str">
        <f>IF(COUNTIF(E$921:E1397,F1398)&gt;0,"",F1398)</f>
        <v>74, Cluses, Quartier Les Ewues, France continentale, Base Carbone</v>
      </c>
      <c r="F1398" s="1051" t="str">
        <f t="shared" si="121"/>
        <v>74, Cluses, Quartier Les Ewues, France continentale, Base Carbone</v>
      </c>
      <c r="G1398" s="1055" t="str">
        <f t="shared" si="122"/>
        <v>74, Cluses, Quartier Les Ewues, France continentale, Base Carbone; kgCO2e/kWh</v>
      </c>
      <c r="I1398" s="2018" t="s">
        <v>3545</v>
      </c>
      <c r="J1398" s="1135" t="s">
        <v>1681</v>
      </c>
      <c r="K1398" s="1119" t="s">
        <v>1567</v>
      </c>
      <c r="L1398" s="1119" t="s">
        <v>1571</v>
      </c>
      <c r="M1398" s="1134">
        <v>0.3</v>
      </c>
      <c r="N1398" s="1135"/>
      <c r="O1398" s="1135">
        <v>0.27</v>
      </c>
      <c r="P1398" s="1048"/>
      <c r="Q1398" s="1048"/>
      <c r="R1398" s="1048"/>
      <c r="S1398" s="1048"/>
      <c r="T1398" s="1048"/>
      <c r="U1398" s="1102"/>
    </row>
    <row r="1399" spans="2:21" hidden="1" outlineLevel="2">
      <c r="B1399" s="1050">
        <v>478</v>
      </c>
      <c r="C1399" s="2035" t="str">
        <f t="shared" si="119"/>
        <v>74, Faverges, Quartier La Cudray, France continentale, Base Carbone</v>
      </c>
      <c r="D1399" s="1051">
        <f t="shared" si="120"/>
        <v>478</v>
      </c>
      <c r="E1399" s="1051" t="str">
        <f>IF(COUNTIF(E$921:E1398,F1399)&gt;0,"",F1399)</f>
        <v>74, Faverges, Quartier La Cudray, France continentale, Base Carbone</v>
      </c>
      <c r="F1399" s="1051" t="str">
        <f t="shared" si="121"/>
        <v>74, Faverges, Quartier La Cudray, France continentale, Base Carbone</v>
      </c>
      <c r="G1399" s="1055" t="str">
        <f t="shared" si="122"/>
        <v>74, Faverges, Quartier La Cudray, France continentale, Base Carbone; kgCO2e/kWh</v>
      </c>
      <c r="I1399" s="2018" t="s">
        <v>3546</v>
      </c>
      <c r="J1399" s="1135" t="s">
        <v>1681</v>
      </c>
      <c r="K1399" s="1119" t="s">
        <v>1567</v>
      </c>
      <c r="L1399" s="1119" t="s">
        <v>1571</v>
      </c>
      <c r="M1399" s="1134">
        <v>0.3</v>
      </c>
      <c r="N1399" s="1135"/>
      <c r="O1399" s="1135">
        <v>8.9999999999999993E-3</v>
      </c>
      <c r="P1399" s="1048"/>
      <c r="Q1399" s="1048"/>
      <c r="R1399" s="1048"/>
      <c r="S1399" s="1048"/>
      <c r="T1399" s="1048"/>
      <c r="U1399" s="1102"/>
    </row>
    <row r="1400" spans="2:21" hidden="1" outlineLevel="2">
      <c r="B1400" s="1050">
        <v>479</v>
      </c>
      <c r="C1400" s="2035" t="str">
        <f t="shared" si="119"/>
        <v>74, Morzine, Réseau d’Avoriaz, France continentale, Base Carbone</v>
      </c>
      <c r="D1400" s="1051">
        <f t="shared" si="120"/>
        <v>479</v>
      </c>
      <c r="E1400" s="1051" t="str">
        <f>IF(COUNTIF(E$921:E1399,F1400)&gt;0,"",F1400)</f>
        <v>74, Morzine, Réseau d’Avoriaz, France continentale, Base Carbone</v>
      </c>
      <c r="F1400" s="1051" t="str">
        <f t="shared" si="121"/>
        <v>74, Morzine, Réseau d’Avoriaz, France continentale, Base Carbone</v>
      </c>
      <c r="G1400" s="1055" t="str">
        <f t="shared" si="122"/>
        <v>74, Morzine, Réseau d’Avoriaz, France continentale, Base Carbone; kgCO2e/kWh</v>
      </c>
      <c r="I1400" s="2018" t="s">
        <v>3547</v>
      </c>
      <c r="J1400" s="1135" t="s">
        <v>1681</v>
      </c>
      <c r="K1400" s="1119" t="s">
        <v>1567</v>
      </c>
      <c r="L1400" s="1119" t="s">
        <v>1571</v>
      </c>
      <c r="M1400" s="1134">
        <v>0.3</v>
      </c>
      <c r="N1400" s="1135"/>
      <c r="O1400" s="1135">
        <v>8.5999999999999993E-2</v>
      </c>
      <c r="P1400" s="1048"/>
      <c r="Q1400" s="1048"/>
      <c r="R1400" s="1048"/>
      <c r="S1400" s="1048"/>
      <c r="T1400" s="1048"/>
      <c r="U1400" s="1102"/>
    </row>
    <row r="1401" spans="2:21" hidden="1" outlineLevel="2">
      <c r="B1401" s="1050">
        <v>480</v>
      </c>
      <c r="C1401" s="2035" t="str">
        <f t="shared" si="119"/>
        <v>74, Scionzier, Quartier du Crozets, France continentale, Base Carbone</v>
      </c>
      <c r="D1401" s="1051">
        <f t="shared" si="120"/>
        <v>480</v>
      </c>
      <c r="E1401" s="1051" t="str">
        <f>IF(COUNTIF(E$921:E1400,F1401)&gt;0,"",F1401)</f>
        <v>74, Scionzier, Quartier du Crozets, France continentale, Base Carbone</v>
      </c>
      <c r="F1401" s="1051" t="str">
        <f t="shared" si="121"/>
        <v>74, Scionzier, Quartier du Crozets, France continentale, Base Carbone</v>
      </c>
      <c r="G1401" s="1055" t="str">
        <f t="shared" si="122"/>
        <v>74, Scionzier, Quartier du Crozets, France continentale, Base Carbone; kgCO2e/kWh</v>
      </c>
      <c r="I1401" s="2018" t="s">
        <v>3548</v>
      </c>
      <c r="J1401" s="1135" t="s">
        <v>1681</v>
      </c>
      <c r="K1401" s="1119" t="s">
        <v>1567</v>
      </c>
      <c r="L1401" s="1119" t="s">
        <v>1571</v>
      </c>
      <c r="M1401" s="1134">
        <v>0.3</v>
      </c>
      <c r="N1401" s="1135"/>
      <c r="O1401" s="1135">
        <v>0.22600000000000001</v>
      </c>
      <c r="P1401" s="1048"/>
      <c r="Q1401" s="1048"/>
      <c r="R1401" s="1048"/>
      <c r="S1401" s="1048"/>
      <c r="T1401" s="1048"/>
      <c r="U1401" s="1102"/>
    </row>
    <row r="1402" spans="2:21" hidden="1" outlineLevel="2">
      <c r="B1402" s="1050">
        <v>481</v>
      </c>
      <c r="C1402" s="2035" t="str">
        <f t="shared" si="119"/>
        <v>74, Seynod, Quartier de Champ Fleury, France continentale, Base Carbone</v>
      </c>
      <c r="D1402" s="1051">
        <f t="shared" si="120"/>
        <v>481</v>
      </c>
      <c r="E1402" s="1051" t="str">
        <f>IF(COUNTIF(E$921:E1401,F1402)&gt;0,"",F1402)</f>
        <v>74, Seynod, Quartier de Champ Fleury, France continentale, Base Carbone</v>
      </c>
      <c r="F1402" s="1051" t="str">
        <f t="shared" si="121"/>
        <v>74, Seynod, Quartier de Champ Fleury, France continentale, Base Carbone</v>
      </c>
      <c r="G1402" s="1055" t="str">
        <f t="shared" si="122"/>
        <v>74, Seynod, Quartier de Champ Fleury, France continentale, Base Carbone; kgCO2e/kWh</v>
      </c>
      <c r="I1402" s="2018" t="s">
        <v>3549</v>
      </c>
      <c r="J1402" s="1135" t="s">
        <v>1681</v>
      </c>
      <c r="K1402" s="1119" t="s">
        <v>1567</v>
      </c>
      <c r="L1402" s="1119" t="s">
        <v>1571</v>
      </c>
      <c r="M1402" s="1134">
        <v>0.3</v>
      </c>
      <c r="N1402" s="1135"/>
      <c r="O1402" s="1135">
        <v>4.8000000000000001E-2</v>
      </c>
      <c r="P1402" s="1048"/>
      <c r="Q1402" s="1048"/>
      <c r="R1402" s="1048"/>
      <c r="S1402" s="1048"/>
      <c r="T1402" s="1048"/>
      <c r="U1402" s="1102"/>
    </row>
    <row r="1403" spans="2:21" hidden="1" outlineLevel="2">
      <c r="B1403" s="1050">
        <v>482</v>
      </c>
      <c r="C1403" s="2035" t="str">
        <f t="shared" si="119"/>
        <v>74, Thonon-les-Bains, Quartier de la Rénovation, France continentale, Base Carbone</v>
      </c>
      <c r="D1403" s="1051">
        <f t="shared" si="120"/>
        <v>482</v>
      </c>
      <c r="E1403" s="1051" t="str">
        <f>IF(COUNTIF(E$921:E1402,F1403)&gt;0,"",F1403)</f>
        <v>74, Thonon-les-Bains, Quartier de la Rénovation, France continentale, Base Carbone</v>
      </c>
      <c r="F1403" s="1051" t="str">
        <f t="shared" si="121"/>
        <v>74, Thonon-les-Bains, Quartier de la Rénovation, France continentale, Base Carbone</v>
      </c>
      <c r="G1403" s="1055" t="str">
        <f t="shared" si="122"/>
        <v>74, Thonon-les-Bains, Quartier de la Rénovation, France continentale, Base Carbone; kgCO2e/kWh</v>
      </c>
      <c r="I1403" s="2018" t="s">
        <v>3550</v>
      </c>
      <c r="J1403" s="1135" t="s">
        <v>1681</v>
      </c>
      <c r="K1403" s="1119" t="s">
        <v>1567</v>
      </c>
      <c r="L1403" s="1119" t="s">
        <v>1571</v>
      </c>
      <c r="M1403" s="1134">
        <v>0.3</v>
      </c>
      <c r="N1403" s="1135"/>
      <c r="O1403" s="1135">
        <v>0.222</v>
      </c>
      <c r="P1403" s="1048"/>
      <c r="Q1403" s="1048"/>
      <c r="R1403" s="1048"/>
      <c r="S1403" s="1048"/>
      <c r="T1403" s="1048"/>
      <c r="U1403" s="1102"/>
    </row>
    <row r="1404" spans="2:21" hidden="1" outlineLevel="2">
      <c r="B1404" s="1050">
        <v>483</v>
      </c>
      <c r="C1404" s="2035" t="str">
        <f t="shared" si="119"/>
        <v>74, Thonon-les-Bains, Réseau UVE du STOC, France continentale, Base Carbone</v>
      </c>
      <c r="D1404" s="1051">
        <f t="shared" si="120"/>
        <v>483</v>
      </c>
      <c r="E1404" s="1051" t="str">
        <f>IF(COUNTIF(E$921:E1403,F1404)&gt;0,"",F1404)</f>
        <v>74, Thonon-les-Bains, Réseau UVE du STOC, France continentale, Base Carbone</v>
      </c>
      <c r="F1404" s="1051" t="str">
        <f t="shared" si="121"/>
        <v>74, Thonon-les-Bains, Réseau UVE du STOC, France continentale, Base Carbone</v>
      </c>
      <c r="G1404" s="1055" t="str">
        <f t="shared" si="122"/>
        <v>74, Thonon-les-Bains, Réseau UVE du STOC, France continentale, Base Carbone; kgCO2e/kWh</v>
      </c>
      <c r="I1404" s="2018" t="s">
        <v>3551</v>
      </c>
      <c r="J1404" s="1135" t="s">
        <v>1681</v>
      </c>
      <c r="K1404" s="1119" t="s">
        <v>1567</v>
      </c>
      <c r="L1404" s="1119" t="s">
        <v>1571</v>
      </c>
      <c r="M1404" s="1134">
        <v>0.3</v>
      </c>
      <c r="N1404" s="1135"/>
      <c r="O1404" s="1135">
        <v>0</v>
      </c>
      <c r="P1404" s="1048"/>
      <c r="Q1404" s="1048"/>
      <c r="R1404" s="1048"/>
      <c r="S1404" s="1048"/>
      <c r="T1404" s="1048"/>
      <c r="U1404" s="1102"/>
    </row>
    <row r="1405" spans="2:21" hidden="1" outlineLevel="2">
      <c r="B1405" s="1050">
        <v>484</v>
      </c>
      <c r="C1405" s="2035" t="str">
        <f t="shared" si="119"/>
        <v>74, Vallorcine, Réseau de Vallorcine, France continentale, Base Carbone</v>
      </c>
      <c r="D1405" s="1051">
        <f t="shared" si="120"/>
        <v>484</v>
      </c>
      <c r="E1405" s="1051" t="str">
        <f>IF(COUNTIF(E$921:E1404,F1405)&gt;0,"",F1405)</f>
        <v>74, Vallorcine, Réseau de Vallorcine, France continentale, Base Carbone</v>
      </c>
      <c r="F1405" s="1051" t="str">
        <f t="shared" si="121"/>
        <v>74, Vallorcine, Réseau de Vallorcine, France continentale, Base Carbone</v>
      </c>
      <c r="G1405" s="1055" t="str">
        <f t="shared" si="122"/>
        <v>74, Vallorcine, Réseau de Vallorcine, France continentale, Base Carbone; kgCO2e/kWh</v>
      </c>
      <c r="I1405" s="2018" t="s">
        <v>3004</v>
      </c>
      <c r="J1405" s="1135" t="s">
        <v>1681</v>
      </c>
      <c r="K1405" s="1119" t="s">
        <v>1567</v>
      </c>
      <c r="L1405" s="1119" t="s">
        <v>1571</v>
      </c>
      <c r="M1405" s="1134">
        <v>0.3</v>
      </c>
      <c r="N1405" s="1135"/>
      <c r="O1405" s="1135">
        <v>0.01</v>
      </c>
      <c r="P1405" s="1048"/>
      <c r="Q1405" s="1048"/>
      <c r="R1405" s="1048"/>
      <c r="S1405" s="1048"/>
      <c r="T1405" s="1048"/>
      <c r="U1405" s="1102"/>
    </row>
    <row r="1406" spans="2:21" hidden="1" outlineLevel="2">
      <c r="B1406" s="1050">
        <v>485</v>
      </c>
      <c r="C1406" s="2035" t="str">
        <f t="shared" si="119"/>
        <v>75, Paris, Paris et communes limitrophes-CPCU, France continentale, Base Carbone</v>
      </c>
      <c r="D1406" s="1051">
        <f t="shared" si="120"/>
        <v>485</v>
      </c>
      <c r="E1406" s="1051" t="str">
        <f>IF(COUNTIF(E$921:E1405,F1406)&gt;0,"",F1406)</f>
        <v>75, Paris, Paris et communes limitrophes-CPCU, France continentale, Base Carbone</v>
      </c>
      <c r="F1406" s="1051" t="str">
        <f t="shared" si="121"/>
        <v>75, Paris, Paris et communes limitrophes-CPCU, France continentale, Base Carbone</v>
      </c>
      <c r="G1406" s="1055" t="str">
        <f t="shared" si="122"/>
        <v>75, Paris, Paris et communes limitrophes-CPCU, France continentale, Base Carbone; kgCO2e/kWh</v>
      </c>
      <c r="I1406" s="2018" t="s">
        <v>3552</v>
      </c>
      <c r="J1406" s="1135" t="s">
        <v>1681</v>
      </c>
      <c r="K1406" s="1119" t="s">
        <v>1567</v>
      </c>
      <c r="L1406" s="1119" t="s">
        <v>1571</v>
      </c>
      <c r="M1406" s="1134">
        <v>0.3</v>
      </c>
      <c r="N1406" s="1135"/>
      <c r="O1406" s="1135">
        <v>0.17199999999999999</v>
      </c>
      <c r="P1406" s="1048"/>
      <c r="Q1406" s="1048"/>
      <c r="R1406" s="1048"/>
      <c r="S1406" s="1048"/>
      <c r="T1406" s="1048"/>
      <c r="U1406" s="1102"/>
    </row>
    <row r="1407" spans="2:21" hidden="1" outlineLevel="2">
      <c r="B1407" s="1050">
        <v>486</v>
      </c>
      <c r="C1407" s="2035" t="str">
        <f t="shared" si="119"/>
        <v>75, Paris, Réseau Climespace, France continentale, Base Carbone</v>
      </c>
      <c r="D1407" s="1051">
        <f t="shared" si="120"/>
        <v>486</v>
      </c>
      <c r="E1407" s="1051" t="str">
        <f>IF(COUNTIF(E$921:E1406,F1407)&gt;0,"",F1407)</f>
        <v>75, Paris, Réseau Climespace, France continentale, Base Carbone</v>
      </c>
      <c r="F1407" s="1051" t="str">
        <f t="shared" si="121"/>
        <v>75, Paris, Réseau Climespace, France continentale, Base Carbone</v>
      </c>
      <c r="G1407" s="1055" t="str">
        <f t="shared" si="122"/>
        <v>75, Paris, Réseau Climespace, France continentale, Base Carbone; kgCO2e/kWh</v>
      </c>
      <c r="I1407" s="2018" t="s">
        <v>994</v>
      </c>
      <c r="J1407" s="1135" t="s">
        <v>1681</v>
      </c>
      <c r="K1407" s="1119" t="s">
        <v>1567</v>
      </c>
      <c r="L1407" s="1119" t="s">
        <v>1571</v>
      </c>
      <c r="M1407" s="1134">
        <v>0.3</v>
      </c>
      <c r="N1407" s="1135"/>
      <c r="O1407" s="1135">
        <v>0.20200000000000001</v>
      </c>
      <c r="P1407" s="1048"/>
      <c r="Q1407" s="1048"/>
      <c r="R1407" s="1048"/>
      <c r="S1407" s="1048"/>
      <c r="T1407" s="1048"/>
      <c r="U1407" s="1102"/>
    </row>
    <row r="1408" spans="2:21" hidden="1" outlineLevel="2">
      <c r="B1408" s="1050">
        <v>487</v>
      </c>
      <c r="C1408" s="2035" t="str">
        <f t="shared" si="119"/>
        <v>76, Canteleu, Canteleu Energie, France continentale, Base Carbone</v>
      </c>
      <c r="D1408" s="1051">
        <f t="shared" si="120"/>
        <v>487</v>
      </c>
      <c r="E1408" s="1051" t="str">
        <f>IF(COUNTIF(E$921:E1407,F1408)&gt;0,"",F1408)</f>
        <v>76, Canteleu, Canteleu Energie, France continentale, Base Carbone</v>
      </c>
      <c r="F1408" s="1051" t="str">
        <f t="shared" si="121"/>
        <v>76, Canteleu, Canteleu Energie, France continentale, Base Carbone</v>
      </c>
      <c r="G1408" s="1055" t="str">
        <f t="shared" si="122"/>
        <v>76, Canteleu, Canteleu Energie, France continentale, Base Carbone; kgCO2e/kWh</v>
      </c>
      <c r="I1408" s="2018" t="s">
        <v>3553</v>
      </c>
      <c r="J1408" s="1135" t="s">
        <v>1681</v>
      </c>
      <c r="K1408" s="1119" t="s">
        <v>1567</v>
      </c>
      <c r="L1408" s="1119" t="s">
        <v>1571</v>
      </c>
      <c r="M1408" s="1134">
        <v>0.3</v>
      </c>
      <c r="N1408" s="1135"/>
      <c r="O1408" s="1135">
        <v>0.105</v>
      </c>
      <c r="P1408" s="1048"/>
      <c r="Q1408" s="1048"/>
      <c r="R1408" s="1048"/>
      <c r="S1408" s="1048"/>
      <c r="T1408" s="1048"/>
      <c r="U1408" s="1102"/>
    </row>
    <row r="1409" spans="2:21" hidden="1" outlineLevel="2">
      <c r="B1409" s="1050">
        <v>488</v>
      </c>
      <c r="C1409" s="2035" t="str">
        <f t="shared" si="119"/>
        <v>76, Dieppe, Sodineuf, France continentale, Base Carbone</v>
      </c>
      <c r="D1409" s="1051">
        <f t="shared" si="120"/>
        <v>488</v>
      </c>
      <c r="E1409" s="1051" t="str">
        <f>IF(COUNTIF(E$921:E1408,F1409)&gt;0,"",F1409)</f>
        <v>76, Dieppe, Sodineuf, France continentale, Base Carbone</v>
      </c>
      <c r="F1409" s="1051" t="str">
        <f t="shared" si="121"/>
        <v>76, Dieppe, Sodineuf, France continentale, Base Carbone</v>
      </c>
      <c r="G1409" s="1055" t="str">
        <f t="shared" si="122"/>
        <v>76, Dieppe, Sodineuf, France continentale, Base Carbone; kgCO2e/kWh</v>
      </c>
      <c r="I1409" s="2018" t="s">
        <v>3554</v>
      </c>
      <c r="J1409" s="1135" t="s">
        <v>1681</v>
      </c>
      <c r="K1409" s="1119" t="s">
        <v>1567</v>
      </c>
      <c r="L1409" s="1119" t="s">
        <v>1571</v>
      </c>
      <c r="M1409" s="1134">
        <v>0.3</v>
      </c>
      <c r="N1409" s="1135"/>
      <c r="O1409" s="1135">
        <v>0.20300000000000001</v>
      </c>
      <c r="P1409" s="1048"/>
      <c r="Q1409" s="1048"/>
      <c r="R1409" s="1048"/>
      <c r="S1409" s="1048"/>
      <c r="T1409" s="1048"/>
      <c r="U1409" s="1102"/>
    </row>
    <row r="1410" spans="2:21" hidden="1" outlineLevel="2">
      <c r="B1410" s="1050">
        <v>489</v>
      </c>
      <c r="C1410" s="2035" t="str">
        <f t="shared" si="119"/>
        <v>76, Gonfreville-l’Orcher, SECGO, France continentale, Base Carbone</v>
      </c>
      <c r="D1410" s="1051">
        <f t="shared" si="120"/>
        <v>489</v>
      </c>
      <c r="E1410" s="1051" t="str">
        <f>IF(COUNTIF(E$921:E1409,F1410)&gt;0,"",F1410)</f>
        <v>76, Gonfreville-l’Orcher, SECGO, France continentale, Base Carbone</v>
      </c>
      <c r="F1410" s="1051" t="str">
        <f t="shared" si="121"/>
        <v>76, Gonfreville-l’Orcher, SECGO, France continentale, Base Carbone</v>
      </c>
      <c r="G1410" s="1055" t="str">
        <f t="shared" si="122"/>
        <v>76, Gonfreville-l’Orcher, SECGO, France continentale, Base Carbone; kgCO2e/kWh</v>
      </c>
      <c r="I1410" s="2018" t="s">
        <v>3555</v>
      </c>
      <c r="J1410" s="1135" t="s">
        <v>1681</v>
      </c>
      <c r="K1410" s="1119" t="s">
        <v>1567</v>
      </c>
      <c r="L1410" s="1119" t="s">
        <v>1571</v>
      </c>
      <c r="M1410" s="1134">
        <v>0.3</v>
      </c>
      <c r="N1410" s="1135"/>
      <c r="O1410" s="1135">
        <v>1.2999999999999999E-2</v>
      </c>
      <c r="P1410" s="1048"/>
      <c r="Q1410" s="1048"/>
      <c r="R1410" s="1048"/>
      <c r="S1410" s="1048"/>
      <c r="T1410" s="1048"/>
      <c r="U1410" s="1102"/>
    </row>
    <row r="1411" spans="2:21" hidden="1" outlineLevel="2">
      <c r="B1411" s="1050">
        <v>490</v>
      </c>
      <c r="C1411" s="2035" t="str">
        <f t="shared" si="119"/>
        <v>76, Le Grand-Quevilly, VESUVE, France continentale, Base Carbone</v>
      </c>
      <c r="D1411" s="1051">
        <f t="shared" si="120"/>
        <v>490</v>
      </c>
      <c r="E1411" s="1051" t="str">
        <f>IF(COUNTIF(E$921:E1410,F1411)&gt;0,"",F1411)</f>
        <v>76, Le Grand-Quevilly, VESUVE, France continentale, Base Carbone</v>
      </c>
      <c r="F1411" s="1051" t="str">
        <f t="shared" si="121"/>
        <v>76, Le Grand-Quevilly, VESUVE, France continentale, Base Carbone</v>
      </c>
      <c r="G1411" s="1055" t="str">
        <f t="shared" si="122"/>
        <v>76, Le Grand-Quevilly, VESUVE, France continentale, Base Carbone; kgCO2e/kWh</v>
      </c>
      <c r="I1411" s="2018" t="s">
        <v>3556</v>
      </c>
      <c r="J1411" s="1135" t="s">
        <v>1681</v>
      </c>
      <c r="K1411" s="1119" t="s">
        <v>1567</v>
      </c>
      <c r="L1411" s="1119" t="s">
        <v>1571</v>
      </c>
      <c r="M1411" s="1134">
        <v>0.3</v>
      </c>
      <c r="N1411" s="1135"/>
      <c r="O1411" s="1135">
        <v>0</v>
      </c>
      <c r="P1411" s="1048"/>
      <c r="Q1411" s="1048"/>
      <c r="R1411" s="1048"/>
      <c r="S1411" s="1048"/>
      <c r="T1411" s="1048"/>
      <c r="U1411" s="1102"/>
    </row>
    <row r="1412" spans="2:21" hidden="1" outlineLevel="2">
      <c r="B1412" s="1050">
        <v>491</v>
      </c>
      <c r="C1412" s="2035" t="str">
        <f t="shared" si="119"/>
        <v>76, Le Havre, La Côte Brulée, France continentale, Base Carbone</v>
      </c>
      <c r="D1412" s="1051">
        <f t="shared" si="120"/>
        <v>491</v>
      </c>
      <c r="E1412" s="1051" t="str">
        <f>IF(COUNTIF(E$921:E1411,F1412)&gt;0,"",F1412)</f>
        <v>76, Le Havre, La Côte Brulée, France continentale, Base Carbone</v>
      </c>
      <c r="F1412" s="1051" t="str">
        <f t="shared" si="121"/>
        <v>76, Le Havre, La Côte Brulée, France continentale, Base Carbone</v>
      </c>
      <c r="G1412" s="1055" t="str">
        <f t="shared" si="122"/>
        <v>76, Le Havre, La Côte Brulée, France continentale, Base Carbone; kgCO2e/kWh</v>
      </c>
      <c r="I1412" s="2018" t="s">
        <v>995</v>
      </c>
      <c r="J1412" s="1135" t="s">
        <v>1681</v>
      </c>
      <c r="K1412" s="1119" t="s">
        <v>1567</v>
      </c>
      <c r="L1412" s="1119" t="s">
        <v>1571</v>
      </c>
      <c r="M1412" s="1134">
        <v>0.3</v>
      </c>
      <c r="N1412" s="1135"/>
      <c r="O1412" s="1135">
        <v>0.24399999999999999</v>
      </c>
      <c r="P1412" s="1048"/>
      <c r="Q1412" s="1048"/>
      <c r="R1412" s="1048"/>
      <c r="S1412" s="1048"/>
      <c r="T1412" s="1048"/>
      <c r="U1412" s="1102"/>
    </row>
    <row r="1413" spans="2:21" hidden="1" outlineLevel="2">
      <c r="B1413" s="1050">
        <v>492</v>
      </c>
      <c r="C1413" s="2035" t="str">
        <f t="shared" si="119"/>
        <v>76, Le Havre, ZAC du Mont Gaillard, France continentale, Base Carbone</v>
      </c>
      <c r="D1413" s="1051">
        <f t="shared" si="120"/>
        <v>492</v>
      </c>
      <c r="E1413" s="1051" t="str">
        <f>IF(COUNTIF(E$921:E1412,F1413)&gt;0,"",F1413)</f>
        <v>76, Le Havre, ZAC du Mont Gaillard, France continentale, Base Carbone</v>
      </c>
      <c r="F1413" s="1051" t="str">
        <f t="shared" si="121"/>
        <v>76, Le Havre, ZAC du Mont Gaillard, France continentale, Base Carbone</v>
      </c>
      <c r="G1413" s="1055" t="str">
        <f t="shared" si="122"/>
        <v>76, Le Havre, ZAC du Mont Gaillard, France continentale, Base Carbone; kgCO2e/kWh</v>
      </c>
      <c r="I1413" s="2018" t="s">
        <v>996</v>
      </c>
      <c r="J1413" s="1135" t="s">
        <v>1681</v>
      </c>
      <c r="K1413" s="1119" t="s">
        <v>1567</v>
      </c>
      <c r="L1413" s="1119" t="s">
        <v>1571</v>
      </c>
      <c r="M1413" s="1134">
        <v>0.3</v>
      </c>
      <c r="N1413" s="1135"/>
      <c r="O1413" s="1135">
        <v>0.109</v>
      </c>
      <c r="P1413" s="1048"/>
      <c r="Q1413" s="1048"/>
      <c r="R1413" s="1048"/>
      <c r="S1413" s="1048"/>
      <c r="T1413" s="1048"/>
      <c r="U1413" s="1102"/>
    </row>
    <row r="1414" spans="2:21" hidden="1" outlineLevel="2">
      <c r="B1414" s="1050">
        <v>493</v>
      </c>
      <c r="C1414" s="2035" t="str">
        <f t="shared" si="119"/>
        <v>76, Le Havre, ZUP de Caucriauville, France continentale, Base Carbone</v>
      </c>
      <c r="D1414" s="1051">
        <f t="shared" si="120"/>
        <v>493</v>
      </c>
      <c r="E1414" s="1051" t="str">
        <f>IF(COUNTIF(E$921:E1413,F1414)&gt;0,"",F1414)</f>
        <v>76, Le Havre, ZUP de Caucriauville, France continentale, Base Carbone</v>
      </c>
      <c r="F1414" s="1051" t="str">
        <f t="shared" si="121"/>
        <v>76, Le Havre, ZUP de Caucriauville, France continentale, Base Carbone</v>
      </c>
      <c r="G1414" s="1055" t="str">
        <f t="shared" si="122"/>
        <v>76, Le Havre, ZUP de Caucriauville, France continentale, Base Carbone; kgCO2e/kWh</v>
      </c>
      <c r="I1414" s="2018" t="s">
        <v>997</v>
      </c>
      <c r="J1414" s="1135" t="s">
        <v>1681</v>
      </c>
      <c r="K1414" s="1119" t="s">
        <v>1567</v>
      </c>
      <c r="L1414" s="1119" t="s">
        <v>1571</v>
      </c>
      <c r="M1414" s="1134">
        <v>0.3</v>
      </c>
      <c r="N1414" s="1135"/>
      <c r="O1414" s="1135">
        <v>0.255</v>
      </c>
      <c r="P1414" s="1048"/>
      <c r="Q1414" s="1048"/>
      <c r="R1414" s="1048"/>
      <c r="S1414" s="1048"/>
      <c r="T1414" s="1048"/>
      <c r="U1414" s="1102"/>
    </row>
    <row r="1415" spans="2:21" hidden="1" outlineLevel="2">
      <c r="B1415" s="1050">
        <v>494</v>
      </c>
      <c r="C1415" s="2035" t="str">
        <f t="shared" si="119"/>
        <v>76, Le Petit-Quevilly, ZAC Nobel Bozel, France continentale, Base Carbone</v>
      </c>
      <c r="D1415" s="1051">
        <f t="shared" si="120"/>
        <v>494</v>
      </c>
      <c r="E1415" s="1051" t="str">
        <f>IF(COUNTIF(E$921:E1414,F1415)&gt;0,"",F1415)</f>
        <v>76, Le Petit-Quevilly, ZAC Nobel Bozel, France continentale, Base Carbone</v>
      </c>
      <c r="F1415" s="1051" t="str">
        <f t="shared" si="121"/>
        <v>76, Le Petit-Quevilly, ZAC Nobel Bozel, France continentale, Base Carbone</v>
      </c>
      <c r="G1415" s="1055" t="str">
        <f t="shared" si="122"/>
        <v>76, Le Petit-Quevilly, ZAC Nobel Bozel, France continentale, Base Carbone; kgCO2e/kWh</v>
      </c>
      <c r="I1415" s="2018" t="s">
        <v>3557</v>
      </c>
      <c r="J1415" s="1135" t="s">
        <v>1681</v>
      </c>
      <c r="K1415" s="1119" t="s">
        <v>1567</v>
      </c>
      <c r="L1415" s="1119" t="s">
        <v>1571</v>
      </c>
      <c r="M1415" s="1134">
        <v>0.3</v>
      </c>
      <c r="N1415" s="1135"/>
      <c r="O1415" s="1135">
        <v>5.0999999999999997E-2</v>
      </c>
      <c r="P1415" s="1048"/>
      <c r="Q1415" s="1048"/>
      <c r="R1415" s="1048"/>
      <c r="S1415" s="1048"/>
      <c r="T1415" s="1048"/>
      <c r="U1415" s="1102"/>
    </row>
    <row r="1416" spans="2:21" hidden="1" outlineLevel="2">
      <c r="B1416" s="1050">
        <v>495</v>
      </c>
      <c r="C1416" s="2035" t="str">
        <f t="shared" si="119"/>
        <v>76, Maromme, Réseau de Maromme, France continentale, Base Carbone</v>
      </c>
      <c r="D1416" s="1051">
        <f t="shared" si="120"/>
        <v>495</v>
      </c>
      <c r="E1416" s="1051" t="str">
        <f>IF(COUNTIF(E$921:E1415,F1416)&gt;0,"",F1416)</f>
        <v>76, Maromme, Réseau de Maromme, France continentale, Base Carbone</v>
      </c>
      <c r="F1416" s="1051" t="str">
        <f t="shared" si="121"/>
        <v>76, Maromme, Réseau de Maromme, France continentale, Base Carbone</v>
      </c>
      <c r="G1416" s="1055" t="str">
        <f t="shared" si="122"/>
        <v>76, Maromme, Réseau de Maromme, France continentale, Base Carbone; kgCO2e/kWh</v>
      </c>
      <c r="I1416" s="2018" t="s">
        <v>3005</v>
      </c>
      <c r="J1416" s="1135" t="s">
        <v>1681</v>
      </c>
      <c r="K1416" s="1119" t="s">
        <v>1567</v>
      </c>
      <c r="L1416" s="1119" t="s">
        <v>1571</v>
      </c>
      <c r="M1416" s="1134">
        <v>0.3</v>
      </c>
      <c r="N1416" s="1135"/>
      <c r="O1416" s="1135">
        <v>2.1000000000000001E-2</v>
      </c>
      <c r="P1416" s="1048"/>
      <c r="Q1416" s="1048"/>
      <c r="R1416" s="1048"/>
      <c r="S1416" s="1048"/>
      <c r="T1416" s="1048"/>
      <c r="U1416" s="1102"/>
    </row>
    <row r="1417" spans="2:21" hidden="1" outlineLevel="2">
      <c r="B1417" s="1050">
        <v>496</v>
      </c>
      <c r="C1417" s="2035" t="str">
        <f t="shared" si="119"/>
        <v>76, Mont-Saint-Aignan, Réseau de Mont Saint Aignan, France continentale, Base Carbone</v>
      </c>
      <c r="D1417" s="1051">
        <f t="shared" si="120"/>
        <v>496</v>
      </c>
      <c r="E1417" s="1051" t="str">
        <f>IF(COUNTIF(E$921:E1416,F1417)&gt;0,"",F1417)</f>
        <v>76, Mont-Saint-Aignan, Réseau de Mont Saint Aignan, France continentale, Base Carbone</v>
      </c>
      <c r="F1417" s="1051" t="str">
        <f t="shared" si="121"/>
        <v>76, Mont-Saint-Aignan, Réseau de Mont Saint Aignan, France continentale, Base Carbone</v>
      </c>
      <c r="G1417" s="1055" t="str">
        <f t="shared" si="122"/>
        <v>76, Mont-Saint-Aignan, Réseau de Mont Saint Aignan, France continentale, Base Carbone; kgCO2e/kWh</v>
      </c>
      <c r="I1417" s="2018" t="s">
        <v>3558</v>
      </c>
      <c r="J1417" s="1135" t="s">
        <v>1681</v>
      </c>
      <c r="K1417" s="1119" t="s">
        <v>1567</v>
      </c>
      <c r="L1417" s="1119" t="s">
        <v>1571</v>
      </c>
      <c r="M1417" s="1134">
        <v>0.3</v>
      </c>
      <c r="N1417" s="1135"/>
      <c r="O1417" s="1135">
        <v>0.17799999999999999</v>
      </c>
      <c r="P1417" s="1048"/>
      <c r="Q1417" s="1048"/>
      <c r="R1417" s="1048"/>
      <c r="S1417" s="1048"/>
      <c r="T1417" s="1048"/>
      <c r="U1417" s="1102"/>
    </row>
    <row r="1418" spans="2:21" hidden="1" outlineLevel="2">
      <c r="B1418" s="1050">
        <v>497</v>
      </c>
      <c r="C1418" s="2035" t="str">
        <f t="shared" si="119"/>
        <v>76, Neufchatel-en-Bray, Réseau de Neufchatel-en-Bray, France continentale, Base Carbone</v>
      </c>
      <c r="D1418" s="1051">
        <f t="shared" si="120"/>
        <v>497</v>
      </c>
      <c r="E1418" s="1051" t="str">
        <f>IF(COUNTIF(E$921:E1417,F1418)&gt;0,"",F1418)</f>
        <v>76, Neufchatel-en-Bray, Réseau de Neufchatel-en-Bray, France continentale, Base Carbone</v>
      </c>
      <c r="F1418" s="1051" t="str">
        <f t="shared" si="121"/>
        <v>76, Neufchatel-en-Bray, Réseau de Neufchatel-en-Bray, France continentale, Base Carbone</v>
      </c>
      <c r="G1418" s="1055" t="str">
        <f t="shared" si="122"/>
        <v>76, Neufchatel-en-Bray, Réseau de Neufchatel-en-Bray, France continentale, Base Carbone; kgCO2e/kWh</v>
      </c>
      <c r="I1418" s="2018" t="s">
        <v>3006</v>
      </c>
      <c r="J1418" s="1135" t="s">
        <v>1681</v>
      </c>
      <c r="K1418" s="1119" t="s">
        <v>1567</v>
      </c>
      <c r="L1418" s="1119" t="s">
        <v>1571</v>
      </c>
      <c r="M1418" s="1134">
        <v>0.3</v>
      </c>
      <c r="N1418" s="1135"/>
      <c r="O1418" s="1135">
        <v>3.2000000000000001E-2</v>
      </c>
      <c r="P1418" s="1048"/>
      <c r="Q1418" s="1048"/>
      <c r="R1418" s="1048"/>
      <c r="S1418" s="1048"/>
      <c r="T1418" s="1048"/>
      <c r="U1418" s="1102"/>
    </row>
    <row r="1419" spans="2:21" hidden="1" outlineLevel="2">
      <c r="B1419" s="1050">
        <v>498</v>
      </c>
      <c r="C1419" s="2035" t="str">
        <f t="shared" si="119"/>
        <v>76, Notre-Dame-de-Gravenchon, SRGB, France continentale, Base Carbone</v>
      </c>
      <c r="D1419" s="1051">
        <f t="shared" si="120"/>
        <v>498</v>
      </c>
      <c r="E1419" s="1051" t="str">
        <f>IF(COUNTIF(E$921:E1418,F1419)&gt;0,"",F1419)</f>
        <v>76, Notre-Dame-de-Gravenchon, SRGB, France continentale, Base Carbone</v>
      </c>
      <c r="F1419" s="1051" t="str">
        <f t="shared" si="121"/>
        <v>76, Notre-Dame-de-Gravenchon, SRGB, France continentale, Base Carbone</v>
      </c>
      <c r="G1419" s="1055" t="str">
        <f t="shared" si="122"/>
        <v>76, Notre-Dame-de-Gravenchon, SRGB, France continentale, Base Carbone; kgCO2e/kWh</v>
      </c>
      <c r="I1419" s="2018" t="s">
        <v>3007</v>
      </c>
      <c r="J1419" s="1135" t="s">
        <v>1681</v>
      </c>
      <c r="K1419" s="1119" t="s">
        <v>1567</v>
      </c>
      <c r="L1419" s="1119" t="s">
        <v>1571</v>
      </c>
      <c r="M1419" s="1134">
        <v>0.3</v>
      </c>
      <c r="N1419" s="1135"/>
      <c r="O1419" s="1135">
        <v>2.5000000000000001E-2</v>
      </c>
      <c r="P1419" s="1048"/>
      <c r="Q1419" s="1048"/>
      <c r="R1419" s="1048"/>
      <c r="S1419" s="1048"/>
      <c r="T1419" s="1048"/>
      <c r="U1419" s="1102"/>
    </row>
    <row r="1420" spans="2:21" hidden="1" outlineLevel="2">
      <c r="B1420" s="1050">
        <v>499</v>
      </c>
      <c r="C1420" s="2035" t="str">
        <f t="shared" si="119"/>
        <v>76, Rouen, Chaufferie bois Grammont, France continentale, Base Carbone</v>
      </c>
      <c r="D1420" s="1051">
        <f t="shared" si="120"/>
        <v>499</v>
      </c>
      <c r="E1420" s="1051" t="str">
        <f>IF(COUNTIF(E$921:E1419,F1420)&gt;0,"",F1420)</f>
        <v>76, Rouen, Chaufferie bois Grammont, France continentale, Base Carbone</v>
      </c>
      <c r="F1420" s="1051" t="str">
        <f t="shared" si="121"/>
        <v>76, Rouen, Chaufferie bois Grammont, France continentale, Base Carbone</v>
      </c>
      <c r="G1420" s="1055" t="str">
        <f t="shared" si="122"/>
        <v>76, Rouen, Chaufferie bois Grammont, France continentale, Base Carbone; kgCO2e/kWh</v>
      </c>
      <c r="I1420" s="2018" t="s">
        <v>3559</v>
      </c>
      <c r="J1420" s="1135" t="s">
        <v>1681</v>
      </c>
      <c r="K1420" s="1119" t="s">
        <v>1567</v>
      </c>
      <c r="L1420" s="1119" t="s">
        <v>1571</v>
      </c>
      <c r="M1420" s="1134">
        <v>0.3</v>
      </c>
      <c r="N1420" s="1135"/>
      <c r="O1420" s="1135">
        <v>3.5000000000000003E-2</v>
      </c>
      <c r="P1420" s="1048"/>
      <c r="Q1420" s="1048"/>
      <c r="R1420" s="1048"/>
      <c r="S1420" s="1048"/>
      <c r="T1420" s="1048"/>
      <c r="U1420" s="1102"/>
    </row>
    <row r="1421" spans="2:21" hidden="1" outlineLevel="2">
      <c r="B1421" s="1050">
        <v>500</v>
      </c>
      <c r="C1421" s="2035" t="str">
        <f t="shared" si="119"/>
        <v>76, Rouen, CHU Charles Nicolle, France continentale, Base Carbone</v>
      </c>
      <c r="D1421" s="1051">
        <f t="shared" si="120"/>
        <v>500</v>
      </c>
      <c r="E1421" s="1051" t="str">
        <f>IF(COUNTIF(E$921:E1420,F1421)&gt;0,"",F1421)</f>
        <v>76, Rouen, CHU Charles Nicolle, France continentale, Base Carbone</v>
      </c>
      <c r="F1421" s="1051" t="str">
        <f t="shared" si="121"/>
        <v>76, Rouen, CHU Charles Nicolle, France continentale, Base Carbone</v>
      </c>
      <c r="G1421" s="1055" t="str">
        <f t="shared" si="122"/>
        <v>76, Rouen, CHU Charles Nicolle, France continentale, Base Carbone; kgCO2e/kWh</v>
      </c>
      <c r="I1421" s="2018" t="s">
        <v>998</v>
      </c>
      <c r="J1421" s="1135" t="s">
        <v>1681</v>
      </c>
      <c r="K1421" s="1119" t="s">
        <v>1567</v>
      </c>
      <c r="L1421" s="1119" t="s">
        <v>1571</v>
      </c>
      <c r="M1421" s="1134">
        <v>0.3</v>
      </c>
      <c r="N1421" s="1135"/>
      <c r="O1421" s="1135">
        <v>0.19</v>
      </c>
      <c r="P1421" s="1048"/>
      <c r="Q1421" s="1048"/>
      <c r="R1421" s="1048"/>
      <c r="S1421" s="1048"/>
      <c r="T1421" s="1048"/>
      <c r="U1421" s="1102"/>
    </row>
    <row r="1422" spans="2:21" hidden="1" outlineLevel="2">
      <c r="B1422" s="1050">
        <v>501</v>
      </c>
      <c r="C1422" s="2035" t="str">
        <f t="shared" si="119"/>
        <v>76, Rouen, Curb-Bihorel, France continentale, Base Carbone</v>
      </c>
      <c r="D1422" s="1051">
        <f t="shared" si="120"/>
        <v>501</v>
      </c>
      <c r="E1422" s="1051" t="str">
        <f>IF(COUNTIF(E$921:E1421,F1422)&gt;0,"",F1422)</f>
        <v>76, Rouen, Curb-Bihorel, France continentale, Base Carbone</v>
      </c>
      <c r="F1422" s="1051" t="str">
        <f t="shared" si="121"/>
        <v>76, Rouen, Curb-Bihorel, France continentale, Base Carbone</v>
      </c>
      <c r="G1422" s="1055" t="str">
        <f t="shared" si="122"/>
        <v>76, Rouen, Curb-Bihorel, France continentale, Base Carbone; kgCO2e/kWh</v>
      </c>
      <c r="I1422" s="2018" t="s">
        <v>999</v>
      </c>
      <c r="J1422" s="1135" t="s">
        <v>1681</v>
      </c>
      <c r="K1422" s="1119" t="s">
        <v>1567</v>
      </c>
      <c r="L1422" s="1119" t="s">
        <v>1571</v>
      </c>
      <c r="M1422" s="1134">
        <v>0.3</v>
      </c>
      <c r="N1422" s="1135"/>
      <c r="O1422" s="1135">
        <v>0.36799999999999999</v>
      </c>
      <c r="P1422" s="1048"/>
      <c r="Q1422" s="1048"/>
      <c r="R1422" s="1048"/>
      <c r="S1422" s="1048"/>
      <c r="T1422" s="1048"/>
      <c r="U1422" s="1102"/>
    </row>
    <row r="1423" spans="2:21" hidden="1" outlineLevel="2">
      <c r="B1423" s="1050">
        <v>502</v>
      </c>
      <c r="C1423" s="2035" t="str">
        <f t="shared" si="119"/>
        <v>76, Saint-Etienne-du-Rouvray, Château Blanc, France continentale, Base Carbone</v>
      </c>
      <c r="D1423" s="1051">
        <f t="shared" si="120"/>
        <v>502</v>
      </c>
      <c r="E1423" s="1051" t="str">
        <f>IF(COUNTIF(E$921:E1422,F1423)&gt;0,"",F1423)</f>
        <v>76, Saint-Etienne-du-Rouvray, Château Blanc, France continentale, Base Carbone</v>
      </c>
      <c r="F1423" s="1051" t="str">
        <f t="shared" si="121"/>
        <v>76, Saint-Etienne-du-Rouvray, Château Blanc, France continentale, Base Carbone</v>
      </c>
      <c r="G1423" s="1055" t="str">
        <f t="shared" si="122"/>
        <v>76, Saint-Etienne-du-Rouvray, Château Blanc, France continentale, Base Carbone; kgCO2e/kWh</v>
      </c>
      <c r="I1423" s="2018" t="s">
        <v>3560</v>
      </c>
      <c r="J1423" s="1135" t="s">
        <v>1681</v>
      </c>
      <c r="K1423" s="1119" t="s">
        <v>1567</v>
      </c>
      <c r="L1423" s="1119" t="s">
        <v>1571</v>
      </c>
      <c r="M1423" s="1134">
        <v>0.3</v>
      </c>
      <c r="N1423" s="1135"/>
      <c r="O1423" s="1135">
        <v>1.7999999999999999E-2</v>
      </c>
      <c r="P1423" s="1048"/>
      <c r="Q1423" s="1048"/>
      <c r="R1423" s="1048"/>
      <c r="S1423" s="1048"/>
      <c r="T1423" s="1048"/>
      <c r="U1423" s="1102"/>
    </row>
    <row r="1424" spans="2:21" hidden="1" outlineLevel="2">
      <c r="B1424" s="1050">
        <v>503</v>
      </c>
      <c r="C1424" s="2035" t="str">
        <f t="shared" si="119"/>
        <v>76, Sandouville, Réseau de Semedi-Sedibex, France continentale, Base Carbone</v>
      </c>
      <c r="D1424" s="1051">
        <f t="shared" si="120"/>
        <v>503</v>
      </c>
      <c r="E1424" s="1051" t="str">
        <f>IF(COUNTIF(E$921:E1423,F1424)&gt;0,"",F1424)</f>
        <v>76, Sandouville, Réseau de Semedi-Sedibex, France continentale, Base Carbone</v>
      </c>
      <c r="F1424" s="1051" t="str">
        <f t="shared" si="121"/>
        <v>76, Sandouville, Réseau de Semedi-Sedibex, France continentale, Base Carbone</v>
      </c>
      <c r="G1424" s="1055" t="str">
        <f t="shared" si="122"/>
        <v>76, Sandouville, Réseau de Semedi-Sedibex, France continentale, Base Carbone; kgCO2e/kWh</v>
      </c>
      <c r="I1424" s="2018" t="s">
        <v>3561</v>
      </c>
      <c r="J1424" s="1135" t="s">
        <v>1681</v>
      </c>
      <c r="K1424" s="1119" t="s">
        <v>1567</v>
      </c>
      <c r="L1424" s="1119" t="s">
        <v>1571</v>
      </c>
      <c r="M1424" s="1134">
        <v>0.3</v>
      </c>
      <c r="N1424" s="1135"/>
      <c r="O1424" s="1135">
        <v>0</v>
      </c>
      <c r="P1424" s="1048"/>
      <c r="Q1424" s="1048"/>
      <c r="R1424" s="1048"/>
      <c r="S1424" s="1048"/>
      <c r="T1424" s="1048"/>
      <c r="U1424" s="1102"/>
    </row>
    <row r="1425" spans="2:21" hidden="1" outlineLevel="2">
      <c r="B1425" s="1050">
        <v>504</v>
      </c>
      <c r="C1425" s="2035" t="str">
        <f t="shared" si="119"/>
        <v>77, Avon, Centrale de la butte Monceau, France continentale, Base Carbone</v>
      </c>
      <c r="D1425" s="1051">
        <f t="shared" si="120"/>
        <v>504</v>
      </c>
      <c r="E1425" s="1051" t="str">
        <f>IF(COUNTIF(E$921:E1424,F1425)&gt;0,"",F1425)</f>
        <v>77, Avon, Centrale de la butte Monceau, France continentale, Base Carbone</v>
      </c>
      <c r="F1425" s="1051" t="str">
        <f t="shared" si="121"/>
        <v>77, Avon, Centrale de la butte Monceau, France continentale, Base Carbone</v>
      </c>
      <c r="G1425" s="1055" t="str">
        <f t="shared" si="122"/>
        <v>77, Avon, Centrale de la butte Monceau, France continentale, Base Carbone; kgCO2e/kWh</v>
      </c>
      <c r="I1425" s="2018" t="s">
        <v>1000</v>
      </c>
      <c r="J1425" s="1135" t="s">
        <v>1681</v>
      </c>
      <c r="K1425" s="1119" t="s">
        <v>1567</v>
      </c>
      <c r="L1425" s="1119" t="s">
        <v>1571</v>
      </c>
      <c r="M1425" s="1134">
        <v>0.3</v>
      </c>
      <c r="N1425" s="1135"/>
      <c r="O1425" s="1135">
        <v>0.316</v>
      </c>
      <c r="P1425" s="1048"/>
      <c r="Q1425" s="1048"/>
      <c r="R1425" s="1048"/>
      <c r="S1425" s="1048"/>
      <c r="T1425" s="1048"/>
      <c r="U1425" s="1102"/>
    </row>
    <row r="1426" spans="2:21" hidden="1" outlineLevel="2">
      <c r="B1426" s="1050">
        <v>505</v>
      </c>
      <c r="C1426" s="2035" t="str">
        <f t="shared" si="119"/>
        <v>77, Bailly Romainvilliers, Réseau de Bailly Romainvilliers, France continentale, Base Carbone</v>
      </c>
      <c r="D1426" s="1051">
        <f t="shared" si="120"/>
        <v>505</v>
      </c>
      <c r="E1426" s="1051" t="str">
        <f>IF(COUNTIF(E$921:E1425,F1426)&gt;0,"",F1426)</f>
        <v>77, Bailly Romainvilliers, Réseau de Bailly Romainvilliers, France continentale, Base Carbone</v>
      </c>
      <c r="F1426" s="1051" t="str">
        <f t="shared" si="121"/>
        <v>77, Bailly Romainvilliers, Réseau de Bailly Romainvilliers, France continentale, Base Carbone</v>
      </c>
      <c r="G1426" s="1055" t="str">
        <f t="shared" si="122"/>
        <v>77, Bailly Romainvilliers, Réseau de Bailly Romainvilliers, France continentale, Base Carbone; kgCO2e/kWh</v>
      </c>
      <c r="I1426" s="2018" t="s">
        <v>3562</v>
      </c>
      <c r="J1426" s="1135" t="s">
        <v>1681</v>
      </c>
      <c r="K1426" s="1119" t="s">
        <v>1567</v>
      </c>
      <c r="L1426" s="1119" t="s">
        <v>1571</v>
      </c>
      <c r="M1426" s="1134">
        <v>0.3</v>
      </c>
      <c r="N1426" s="1135"/>
      <c r="O1426" s="1135">
        <v>3.5000000000000003E-2</v>
      </c>
      <c r="P1426" s="1048"/>
      <c r="Q1426" s="1048"/>
      <c r="R1426" s="1048"/>
      <c r="S1426" s="1048"/>
      <c r="T1426" s="1048"/>
      <c r="U1426" s="1102"/>
    </row>
    <row r="1427" spans="2:21" hidden="1" outlineLevel="2">
      <c r="B1427" s="1050">
        <v>506</v>
      </c>
      <c r="C1427" s="2035" t="str">
        <f t="shared" si="119"/>
        <v>77, Chelles, Réseau de Chelles, France continentale, Base Carbone</v>
      </c>
      <c r="D1427" s="1051">
        <f t="shared" si="120"/>
        <v>506</v>
      </c>
      <c r="E1427" s="1051" t="str">
        <f>IF(COUNTIF(E$921:E1426,F1427)&gt;0,"",F1427)</f>
        <v>77, Chelles, Réseau de Chelles, France continentale, Base Carbone</v>
      </c>
      <c r="F1427" s="1051" t="str">
        <f t="shared" si="121"/>
        <v>77, Chelles, Réseau de Chelles, France continentale, Base Carbone</v>
      </c>
      <c r="G1427" s="1055" t="str">
        <f t="shared" si="122"/>
        <v>77, Chelles, Réseau de Chelles, France continentale, Base Carbone; kgCO2e/kWh</v>
      </c>
      <c r="I1427" s="2018" t="s">
        <v>1001</v>
      </c>
      <c r="J1427" s="1135" t="s">
        <v>1681</v>
      </c>
      <c r="K1427" s="1119" t="s">
        <v>1567</v>
      </c>
      <c r="L1427" s="1119" t="s">
        <v>1571</v>
      </c>
      <c r="M1427" s="1134">
        <v>0.3</v>
      </c>
      <c r="N1427" s="1135"/>
      <c r="O1427" s="1135">
        <v>0.105</v>
      </c>
      <c r="P1427" s="1048"/>
      <c r="Q1427" s="1048"/>
      <c r="R1427" s="1048"/>
      <c r="S1427" s="1048"/>
      <c r="T1427" s="1048"/>
      <c r="U1427" s="1102"/>
    </row>
    <row r="1428" spans="2:21" hidden="1" outlineLevel="2">
      <c r="B1428" s="1050">
        <v>507</v>
      </c>
      <c r="C1428" s="2035" t="str">
        <f t="shared" si="119"/>
        <v>77, Coulommiers, Réseau de Coulommiers, France continentale, Base Carbone</v>
      </c>
      <c r="D1428" s="1051">
        <f t="shared" si="120"/>
        <v>507</v>
      </c>
      <c r="E1428" s="1051" t="str">
        <f>IF(COUNTIF(E$921:E1427,F1428)&gt;0,"",F1428)</f>
        <v>77, Coulommiers, Réseau de Coulommiers, France continentale, Base Carbone</v>
      </c>
      <c r="F1428" s="1051" t="str">
        <f t="shared" si="121"/>
        <v>77, Coulommiers, Réseau de Coulommiers, France continentale, Base Carbone</v>
      </c>
      <c r="G1428" s="1055" t="str">
        <f t="shared" si="122"/>
        <v>77, Coulommiers, Réseau de Coulommiers, France continentale, Base Carbone; kgCO2e/kWh</v>
      </c>
      <c r="I1428" s="2018" t="s">
        <v>1002</v>
      </c>
      <c r="J1428" s="1135" t="s">
        <v>1681</v>
      </c>
      <c r="K1428" s="1119" t="s">
        <v>1567</v>
      </c>
      <c r="L1428" s="1119" t="s">
        <v>1571</v>
      </c>
      <c r="M1428" s="1134">
        <v>0.3</v>
      </c>
      <c r="N1428" s="1135"/>
      <c r="O1428" s="1135">
        <v>5.0000000000000001E-3</v>
      </c>
      <c r="P1428" s="1048"/>
      <c r="Q1428" s="1048"/>
      <c r="R1428" s="1048"/>
      <c r="S1428" s="1048"/>
      <c r="T1428" s="1048"/>
      <c r="U1428" s="1102"/>
    </row>
    <row r="1429" spans="2:21" hidden="1" outlineLevel="2">
      <c r="B1429" s="1050">
        <v>508</v>
      </c>
      <c r="C1429" s="2035" t="str">
        <f t="shared" si="119"/>
        <v>77, Dammarie-les-Lys, Réseau de Dammarie-les-Lys, France continentale, Base Carbone</v>
      </c>
      <c r="D1429" s="1051">
        <f t="shared" si="120"/>
        <v>508</v>
      </c>
      <c r="E1429" s="1051" t="str">
        <f>IF(COUNTIF(E$921:E1428,F1429)&gt;0,"",F1429)</f>
        <v>77, Dammarie-les-Lys, Réseau de Dammarie-les-Lys, France continentale, Base Carbone</v>
      </c>
      <c r="F1429" s="1051" t="str">
        <f t="shared" si="121"/>
        <v>77, Dammarie-les-Lys, Réseau de Dammarie-les-Lys, France continentale, Base Carbone</v>
      </c>
      <c r="G1429" s="1055" t="str">
        <f t="shared" si="122"/>
        <v>77, Dammarie-les-Lys, Réseau de Dammarie-les-Lys, France continentale, Base Carbone; kgCO2e/kWh</v>
      </c>
      <c r="I1429" s="2018" t="s">
        <v>1003</v>
      </c>
      <c r="J1429" s="1135" t="s">
        <v>1681</v>
      </c>
      <c r="K1429" s="1119" t="s">
        <v>1567</v>
      </c>
      <c r="L1429" s="1119" t="s">
        <v>1571</v>
      </c>
      <c r="M1429" s="1134">
        <v>0.3</v>
      </c>
      <c r="N1429" s="1135"/>
      <c r="O1429" s="1135">
        <v>0.246</v>
      </c>
      <c r="P1429" s="1048"/>
      <c r="Q1429" s="1048"/>
      <c r="R1429" s="1048"/>
      <c r="S1429" s="1048"/>
      <c r="T1429" s="1048"/>
      <c r="U1429" s="1102"/>
    </row>
    <row r="1430" spans="2:21" hidden="1" outlineLevel="2">
      <c r="B1430" s="1050">
        <v>509</v>
      </c>
      <c r="C1430" s="2035" t="str">
        <f t="shared" si="119"/>
        <v>77, Le Mée-sur-Seine, Réseau du Mée-sur-Seine, France continentale, Base Carbone</v>
      </c>
      <c r="D1430" s="1051">
        <f t="shared" si="120"/>
        <v>509</v>
      </c>
      <c r="E1430" s="1051" t="str">
        <f>IF(COUNTIF(E$921:E1429,F1430)&gt;0,"",F1430)</f>
        <v>77, Le Mée-sur-Seine, Réseau du Mée-sur-Seine, France continentale, Base Carbone</v>
      </c>
      <c r="F1430" s="1051" t="str">
        <f t="shared" si="121"/>
        <v>77, Le Mée-sur-Seine, Réseau du Mée-sur-Seine, France continentale, Base Carbone</v>
      </c>
      <c r="G1430" s="1055" t="str">
        <f t="shared" si="122"/>
        <v>77, Le Mée-sur-Seine, Réseau du Mée-sur-Seine, France continentale, Base Carbone; kgCO2e/kWh</v>
      </c>
      <c r="I1430" s="2018" t="s">
        <v>1004</v>
      </c>
      <c r="J1430" s="1135" t="s">
        <v>1681</v>
      </c>
      <c r="K1430" s="1119" t="s">
        <v>1567</v>
      </c>
      <c r="L1430" s="1119" t="s">
        <v>1571</v>
      </c>
      <c r="M1430" s="1134">
        <v>0.3</v>
      </c>
      <c r="N1430" s="1135"/>
      <c r="O1430" s="1135">
        <v>6.3E-2</v>
      </c>
      <c r="P1430" s="1048"/>
      <c r="Q1430" s="1048"/>
      <c r="R1430" s="1048"/>
      <c r="S1430" s="1048"/>
      <c r="T1430" s="1048"/>
      <c r="U1430" s="1102"/>
    </row>
    <row r="1431" spans="2:21" hidden="1" outlineLevel="2">
      <c r="B1431" s="1050">
        <v>510</v>
      </c>
      <c r="C1431" s="2035" t="str">
        <f t="shared" si="119"/>
        <v>77, Meaux, Beauval-Collinet, France continentale, Base Carbone</v>
      </c>
      <c r="D1431" s="1051">
        <f t="shared" si="120"/>
        <v>510</v>
      </c>
      <c r="E1431" s="1051" t="str">
        <f>IF(COUNTIF(E$921:E1430,F1431)&gt;0,"",F1431)</f>
        <v>77, Meaux, Beauval-Collinet, France continentale, Base Carbone</v>
      </c>
      <c r="F1431" s="1051" t="str">
        <f t="shared" si="121"/>
        <v>77, Meaux, Beauval-Collinet, France continentale, Base Carbone</v>
      </c>
      <c r="G1431" s="1055" t="str">
        <f t="shared" si="122"/>
        <v>77, Meaux, Beauval-Collinet, France continentale, Base Carbone; kgCO2e/kWh</v>
      </c>
      <c r="I1431" s="2018" t="s">
        <v>1005</v>
      </c>
      <c r="J1431" s="1135" t="s">
        <v>1681</v>
      </c>
      <c r="K1431" s="1119" t="s">
        <v>1567</v>
      </c>
      <c r="L1431" s="1119" t="s">
        <v>1571</v>
      </c>
      <c r="M1431" s="1134">
        <v>0.3</v>
      </c>
      <c r="N1431" s="1135"/>
      <c r="O1431" s="1135">
        <v>0.108</v>
      </c>
      <c r="P1431" s="1048"/>
      <c r="Q1431" s="1048"/>
      <c r="R1431" s="1048"/>
      <c r="S1431" s="1048"/>
      <c r="T1431" s="1048"/>
      <c r="U1431" s="1102"/>
    </row>
    <row r="1432" spans="2:21" hidden="1" outlineLevel="2">
      <c r="B1432" s="1050">
        <v>511</v>
      </c>
      <c r="C1432" s="2035" t="str">
        <f t="shared" si="119"/>
        <v>77, Meaux, Réseau de l’hôpital, France continentale, Base Carbone</v>
      </c>
      <c r="D1432" s="1051">
        <f t="shared" si="120"/>
        <v>511</v>
      </c>
      <c r="E1432" s="1051" t="str">
        <f>IF(COUNTIF(E$921:E1431,F1432)&gt;0,"",F1432)</f>
        <v>77, Meaux, Réseau de l’hôpital, France continentale, Base Carbone</v>
      </c>
      <c r="F1432" s="1051" t="str">
        <f t="shared" si="121"/>
        <v>77, Meaux, Réseau de l’hôpital, France continentale, Base Carbone</v>
      </c>
      <c r="G1432" s="1055" t="str">
        <f t="shared" si="122"/>
        <v>77, Meaux, Réseau de l’hôpital, France continentale, Base Carbone; kgCO2e/kWh</v>
      </c>
      <c r="I1432" s="2018" t="s">
        <v>3563</v>
      </c>
      <c r="J1432" s="1135" t="s">
        <v>1681</v>
      </c>
      <c r="K1432" s="1119" t="s">
        <v>1567</v>
      </c>
      <c r="L1432" s="1119" t="s">
        <v>1571</v>
      </c>
      <c r="M1432" s="1134">
        <v>0.3</v>
      </c>
      <c r="N1432" s="1135"/>
      <c r="O1432" s="1135">
        <v>0.10299999999999999</v>
      </c>
      <c r="P1432" s="1048"/>
      <c r="Q1432" s="1048"/>
      <c r="R1432" s="1048"/>
      <c r="S1432" s="1048"/>
      <c r="T1432" s="1048"/>
      <c r="U1432" s="1102"/>
    </row>
    <row r="1433" spans="2:21" hidden="1" outlineLevel="2">
      <c r="B1433" s="1050">
        <v>512</v>
      </c>
      <c r="C1433" s="2035" t="str">
        <f t="shared" si="119"/>
        <v>77, Melun, Almont-Montaigu, France continentale, Base Carbone</v>
      </c>
      <c r="D1433" s="1051">
        <f t="shared" si="120"/>
        <v>512</v>
      </c>
      <c r="E1433" s="1051" t="str">
        <f>IF(COUNTIF(E$921:E1432,F1433)&gt;0,"",F1433)</f>
        <v>77, Melun, Almont-Montaigu, France continentale, Base Carbone</v>
      </c>
      <c r="F1433" s="1051" t="str">
        <f t="shared" si="121"/>
        <v>77, Melun, Almont-Montaigu, France continentale, Base Carbone</v>
      </c>
      <c r="G1433" s="1055" t="str">
        <f t="shared" si="122"/>
        <v>77, Melun, Almont-Montaigu, France continentale, Base Carbone; kgCO2e/kWh</v>
      </c>
      <c r="I1433" s="2018" t="s">
        <v>1006</v>
      </c>
      <c r="J1433" s="1135" t="s">
        <v>1681</v>
      </c>
      <c r="K1433" s="1119" t="s">
        <v>1567</v>
      </c>
      <c r="L1433" s="1119" t="s">
        <v>1571</v>
      </c>
      <c r="M1433" s="1134">
        <v>0.3</v>
      </c>
      <c r="N1433" s="1135"/>
      <c r="O1433" s="1135">
        <v>3.3000000000000002E-2</v>
      </c>
      <c r="P1433" s="1048"/>
      <c r="Q1433" s="1048"/>
      <c r="R1433" s="1048"/>
      <c r="S1433" s="1048"/>
      <c r="T1433" s="1048"/>
      <c r="U1433" s="1102"/>
    </row>
    <row r="1434" spans="2:21" hidden="1" outlineLevel="2">
      <c r="B1434" s="1050">
        <v>513</v>
      </c>
      <c r="C1434" s="2035" t="str">
        <f t="shared" ref="C1434:C1482" si="123">IF(ISNA(VLOOKUP(B1434,$D$922:$E$1582,2,FALSE)),"-",VLOOKUP(B1434,$D$922:$E$1582,2,FALSE))</f>
        <v>77, Montereau-Fault-Yonne, ZUP de Surville, France continentale, Base Carbone</v>
      </c>
      <c r="D1434" s="1051">
        <f t="shared" si="120"/>
        <v>513</v>
      </c>
      <c r="E1434" s="1051" t="str">
        <f>IF(COUNTIF(E$921:E1433,F1434)&gt;0,"",F1434)</f>
        <v>77, Montereau-Fault-Yonne, ZUP de Surville, France continentale, Base Carbone</v>
      </c>
      <c r="F1434" s="1051" t="str">
        <f t="shared" si="121"/>
        <v>77, Montereau-Fault-Yonne, ZUP de Surville, France continentale, Base Carbone</v>
      </c>
      <c r="G1434" s="1055" t="str">
        <f t="shared" si="122"/>
        <v>77, Montereau-Fault-Yonne, ZUP de Surville, France continentale, Base Carbone; kgCO2e/kWh</v>
      </c>
      <c r="I1434" s="2018" t="s">
        <v>1007</v>
      </c>
      <c r="J1434" s="1135" t="s">
        <v>1681</v>
      </c>
      <c r="K1434" s="1119" t="s">
        <v>1567</v>
      </c>
      <c r="L1434" s="1119" t="s">
        <v>1571</v>
      </c>
      <c r="M1434" s="1134">
        <v>0.3</v>
      </c>
      <c r="N1434" s="1135"/>
      <c r="O1434" s="1135">
        <v>1.4999999999999999E-2</v>
      </c>
      <c r="P1434" s="1048"/>
      <c r="Q1434" s="1048"/>
      <c r="R1434" s="1048"/>
      <c r="S1434" s="1048"/>
      <c r="T1434" s="1048"/>
      <c r="U1434" s="1102"/>
    </row>
    <row r="1435" spans="2:21" hidden="1" outlineLevel="2">
      <c r="B1435" s="1050">
        <v>514</v>
      </c>
      <c r="C1435" s="2035" t="str">
        <f t="shared" si="123"/>
        <v>77, Nemours, ZUP du mont Saint-Martin, France continentale, Base Carbone</v>
      </c>
      <c r="D1435" s="1051">
        <f t="shared" ref="D1435:D1482" si="124">D1434+IF(LEN(E1435)=0,0,1)</f>
        <v>514</v>
      </c>
      <c r="E1435" s="1051" t="str">
        <f>IF(COUNTIF(E$921:E1434,F1435)&gt;0,"",F1435)</f>
        <v>77, Nemours, ZUP du mont Saint-Martin, France continentale, Base Carbone</v>
      </c>
      <c r="F1435" s="1051" t="str">
        <f t="shared" ref="F1435:F1482" si="125">IF(I1435&lt;&gt;"",I1435&amp;IF(L1435&lt;&gt;"",", "&amp;L1435,"")&amp;IF(K1435&lt;&gt;"",", "&amp;K1435,""),"")</f>
        <v>77, Nemours, ZUP du mont Saint-Martin, France continentale, Base Carbone</v>
      </c>
      <c r="G1435" s="1055" t="str">
        <f t="shared" ref="G1435:G1482" si="126">IF(F1435&lt;&gt;"",F1435&amp;IF(J1435&lt;&gt;"","; "&amp;J1435,"")&amp;IF(N1435&lt;&gt;"",", "&amp;N1435,""),"")</f>
        <v>77, Nemours, ZUP du mont Saint-Martin, France continentale, Base Carbone; kgCO2e/kWh</v>
      </c>
      <c r="I1435" s="2018" t="s">
        <v>3564</v>
      </c>
      <c r="J1435" s="1135" t="s">
        <v>1681</v>
      </c>
      <c r="K1435" s="1119" t="s">
        <v>1567</v>
      </c>
      <c r="L1435" s="1119" t="s">
        <v>1571</v>
      </c>
      <c r="M1435" s="1134">
        <v>0.3</v>
      </c>
      <c r="N1435" s="1135"/>
      <c r="O1435" s="1135">
        <v>9.4E-2</v>
      </c>
      <c r="P1435" s="1048"/>
      <c r="Q1435" s="1048"/>
      <c r="R1435" s="1048"/>
      <c r="S1435" s="1048"/>
      <c r="T1435" s="1048"/>
      <c r="U1435" s="1102"/>
    </row>
    <row r="1436" spans="2:21" hidden="1" outlineLevel="2">
      <c r="B1436" s="1050">
        <v>515</v>
      </c>
      <c r="C1436" s="2035" t="str">
        <f t="shared" si="123"/>
        <v>77, Torcy, Réseau de Marne la Vallée, France continentale, Base Carbone</v>
      </c>
      <c r="D1436" s="1051">
        <f t="shared" si="124"/>
        <v>515</v>
      </c>
      <c r="E1436" s="1051" t="str">
        <f>IF(COUNTIF(E$921:E1435,F1436)&gt;0,"",F1436)</f>
        <v>77, Torcy, Réseau de Marne la Vallée, France continentale, Base Carbone</v>
      </c>
      <c r="F1436" s="1051" t="str">
        <f t="shared" si="125"/>
        <v>77, Torcy, Réseau de Marne la Vallée, France continentale, Base Carbone</v>
      </c>
      <c r="G1436" s="1055" t="str">
        <f t="shared" si="126"/>
        <v>77, Torcy, Réseau de Marne la Vallée, France continentale, Base Carbone; kgCO2e/kWh</v>
      </c>
      <c r="I1436" s="2018" t="s">
        <v>3008</v>
      </c>
      <c r="J1436" s="1135" t="s">
        <v>1681</v>
      </c>
      <c r="K1436" s="1119" t="s">
        <v>1567</v>
      </c>
      <c r="L1436" s="1119" t="s">
        <v>1571</v>
      </c>
      <c r="M1436" s="1134">
        <v>0.3</v>
      </c>
      <c r="N1436" s="1135"/>
      <c r="O1436" s="1135">
        <v>1.7000000000000001E-2</v>
      </c>
      <c r="P1436" s="1048"/>
      <c r="Q1436" s="1048"/>
      <c r="R1436" s="1048"/>
      <c r="S1436" s="1048"/>
      <c r="T1436" s="1048"/>
      <c r="U1436" s="1102"/>
    </row>
    <row r="1437" spans="2:21" hidden="1" outlineLevel="2">
      <c r="B1437" s="1050">
        <v>516</v>
      </c>
      <c r="C1437" s="2035" t="str">
        <f t="shared" si="123"/>
        <v>77, Vaux-le-Pénil, Réseau de Vaux-le-Pénil, France continentale, Base Carbone</v>
      </c>
      <c r="D1437" s="1051">
        <f t="shared" si="124"/>
        <v>516</v>
      </c>
      <c r="E1437" s="1051" t="str">
        <f>IF(COUNTIF(E$921:E1436,F1437)&gt;0,"",F1437)</f>
        <v>77, Vaux-le-Pénil, Réseau de Vaux-le-Pénil, France continentale, Base Carbone</v>
      </c>
      <c r="F1437" s="1051" t="str">
        <f t="shared" si="125"/>
        <v>77, Vaux-le-Pénil, Réseau de Vaux-le-Pénil, France continentale, Base Carbone</v>
      </c>
      <c r="G1437" s="1055" t="str">
        <f t="shared" si="126"/>
        <v>77, Vaux-le-Pénil, Réseau de Vaux-le-Pénil, France continentale, Base Carbone; kgCO2e/kWh</v>
      </c>
      <c r="I1437" s="2018" t="s">
        <v>1008</v>
      </c>
      <c r="J1437" s="1135" t="s">
        <v>1681</v>
      </c>
      <c r="K1437" s="1119" t="s">
        <v>1567</v>
      </c>
      <c r="L1437" s="1119" t="s">
        <v>1571</v>
      </c>
      <c r="M1437" s="1134">
        <v>0.3</v>
      </c>
      <c r="N1437" s="1135"/>
      <c r="O1437" s="1135">
        <v>4.2999999999999997E-2</v>
      </c>
      <c r="P1437" s="1048"/>
      <c r="Q1437" s="1048"/>
      <c r="R1437" s="1048"/>
      <c r="S1437" s="1048"/>
      <c r="T1437" s="1048"/>
      <c r="U1437" s="1102"/>
    </row>
    <row r="1438" spans="2:21" hidden="1" outlineLevel="2">
      <c r="B1438" s="1050">
        <v>517</v>
      </c>
      <c r="C1438" s="2035" t="str">
        <f t="shared" si="123"/>
        <v>78, Achères, Réseau d’Achères, France continentale, Base Carbone</v>
      </c>
      <c r="D1438" s="1051">
        <f t="shared" si="124"/>
        <v>517</v>
      </c>
      <c r="E1438" s="1051" t="str">
        <f>IF(COUNTIF(E$921:E1437,F1438)&gt;0,"",F1438)</f>
        <v>78, Achères, Réseau d’Achères, France continentale, Base Carbone</v>
      </c>
      <c r="F1438" s="1051" t="str">
        <f t="shared" si="125"/>
        <v>78, Achères, Réseau d’Achères, France continentale, Base Carbone</v>
      </c>
      <c r="G1438" s="1055" t="str">
        <f t="shared" si="126"/>
        <v>78, Achères, Réseau d’Achères, France continentale, Base Carbone; kgCO2e/kWh</v>
      </c>
      <c r="I1438" s="2018" t="s">
        <v>3565</v>
      </c>
      <c r="J1438" s="1135" t="s">
        <v>1681</v>
      </c>
      <c r="K1438" s="1119" t="s">
        <v>1567</v>
      </c>
      <c r="L1438" s="1119" t="s">
        <v>1571</v>
      </c>
      <c r="M1438" s="1134">
        <v>0.3</v>
      </c>
      <c r="N1438" s="1135"/>
      <c r="O1438" s="1135">
        <v>0.104</v>
      </c>
      <c r="P1438" s="1048"/>
      <c r="Q1438" s="1048"/>
      <c r="R1438" s="1048"/>
      <c r="S1438" s="1048"/>
      <c r="T1438" s="1048"/>
      <c r="U1438" s="1102"/>
    </row>
    <row r="1439" spans="2:21" hidden="1" outlineLevel="2">
      <c r="B1439" s="1050">
        <v>518</v>
      </c>
      <c r="C1439" s="2035" t="str">
        <f t="shared" si="123"/>
        <v>78, Carrières-sur-Seine, Réseau de Carrières-Chatou, France continentale, Base Carbone</v>
      </c>
      <c r="D1439" s="1051">
        <f t="shared" si="124"/>
        <v>518</v>
      </c>
      <c r="E1439" s="1051" t="str">
        <f>IF(COUNTIF(E$921:E1438,F1439)&gt;0,"",F1439)</f>
        <v>78, Carrières-sur-Seine, Réseau de Carrières-Chatou, France continentale, Base Carbone</v>
      </c>
      <c r="F1439" s="1051" t="str">
        <f t="shared" si="125"/>
        <v>78, Carrières-sur-Seine, Réseau de Carrières-Chatou, France continentale, Base Carbone</v>
      </c>
      <c r="G1439" s="1055" t="str">
        <f t="shared" si="126"/>
        <v>78, Carrières-sur-Seine, Réseau de Carrières-Chatou, France continentale, Base Carbone; kgCO2e/kWh</v>
      </c>
      <c r="I1439" s="2018" t="s">
        <v>3566</v>
      </c>
      <c r="J1439" s="1135" t="s">
        <v>1681</v>
      </c>
      <c r="K1439" s="1119" t="s">
        <v>1567</v>
      </c>
      <c r="L1439" s="1119" t="s">
        <v>1571</v>
      </c>
      <c r="M1439" s="1134">
        <v>0.3</v>
      </c>
      <c r="N1439" s="1135"/>
      <c r="O1439" s="1135">
        <v>7.0000000000000001E-3</v>
      </c>
      <c r="P1439" s="1048"/>
      <c r="Q1439" s="1048"/>
      <c r="R1439" s="1048"/>
      <c r="S1439" s="1048"/>
      <c r="T1439" s="1048"/>
      <c r="U1439" s="1102"/>
    </row>
    <row r="1440" spans="2:21" hidden="1" outlineLevel="2">
      <c r="B1440" s="1050">
        <v>519</v>
      </c>
      <c r="C1440" s="2035" t="str">
        <f t="shared" si="123"/>
        <v>78, Le Chesnay, Parly II, France continentale, Base Carbone</v>
      </c>
      <c r="D1440" s="1051">
        <f t="shared" si="124"/>
        <v>519</v>
      </c>
      <c r="E1440" s="1051" t="str">
        <f>IF(COUNTIF(E$921:E1439,F1440)&gt;0,"",F1440)</f>
        <v>78, Le Chesnay, Parly II, France continentale, Base Carbone</v>
      </c>
      <c r="F1440" s="1051" t="str">
        <f t="shared" si="125"/>
        <v>78, Le Chesnay, Parly II, France continentale, Base Carbone</v>
      </c>
      <c r="G1440" s="1055" t="str">
        <f t="shared" si="126"/>
        <v>78, Le Chesnay, Parly II, France continentale, Base Carbone; kgCO2e/kWh</v>
      </c>
      <c r="I1440" s="2018" t="s">
        <v>3567</v>
      </c>
      <c r="J1440" s="1135" t="s">
        <v>1681</v>
      </c>
      <c r="K1440" s="1119" t="s">
        <v>1567</v>
      </c>
      <c r="L1440" s="1119" t="s">
        <v>1571</v>
      </c>
      <c r="M1440" s="1134">
        <v>0.3</v>
      </c>
      <c r="N1440" s="1135"/>
      <c r="O1440" s="1135">
        <v>0.21199999999999999</v>
      </c>
      <c r="P1440" s="1048"/>
      <c r="Q1440" s="1048"/>
      <c r="R1440" s="1048"/>
      <c r="S1440" s="1048"/>
      <c r="T1440" s="1048"/>
      <c r="U1440" s="1102"/>
    </row>
    <row r="1441" spans="2:21" hidden="1" outlineLevel="2">
      <c r="B1441" s="1050">
        <v>520</v>
      </c>
      <c r="C1441" s="2035" t="str">
        <f t="shared" si="123"/>
        <v>78, Les Mureaux, Quartier Grand Ouest et Musiciens, France continentale, Base Carbone</v>
      </c>
      <c r="D1441" s="1051">
        <f t="shared" si="124"/>
        <v>520</v>
      </c>
      <c r="E1441" s="1051" t="str">
        <f>IF(COUNTIF(E$921:E1440,F1441)&gt;0,"",F1441)</f>
        <v>78, Les Mureaux, Quartier Grand Ouest et Musiciens, France continentale, Base Carbone</v>
      </c>
      <c r="F1441" s="1051" t="str">
        <f t="shared" si="125"/>
        <v>78, Les Mureaux, Quartier Grand Ouest et Musiciens, France continentale, Base Carbone</v>
      </c>
      <c r="G1441" s="1055" t="str">
        <f t="shared" si="126"/>
        <v>78, Les Mureaux, Quartier Grand Ouest et Musiciens, France continentale, Base Carbone; kgCO2e/kWh</v>
      </c>
      <c r="I1441" s="2018" t="s">
        <v>3568</v>
      </c>
      <c r="J1441" s="1135" t="s">
        <v>1681</v>
      </c>
      <c r="K1441" s="1119" t="s">
        <v>1567</v>
      </c>
      <c r="L1441" s="1119" t="s">
        <v>1571</v>
      </c>
      <c r="M1441" s="1134">
        <v>0.3</v>
      </c>
      <c r="N1441" s="1135"/>
      <c r="O1441" s="1135">
        <v>7.5999999999999998E-2</v>
      </c>
      <c r="P1441" s="1048"/>
      <c r="Q1441" s="1048"/>
      <c r="R1441" s="1048"/>
      <c r="S1441" s="1048"/>
      <c r="T1441" s="1048"/>
      <c r="U1441" s="1102"/>
    </row>
    <row r="1442" spans="2:21" hidden="1" outlineLevel="2">
      <c r="B1442" s="1050">
        <v>521</v>
      </c>
      <c r="C1442" s="2035" t="str">
        <f t="shared" si="123"/>
        <v>78, Mantes-la-Jolie, Le Val Fourré, France continentale, Base Carbone</v>
      </c>
      <c r="D1442" s="1051">
        <f t="shared" si="124"/>
        <v>521</v>
      </c>
      <c r="E1442" s="1051" t="str">
        <f>IF(COUNTIF(E$921:E1441,F1442)&gt;0,"",F1442)</f>
        <v>78, Mantes-la-Jolie, Le Val Fourré, France continentale, Base Carbone</v>
      </c>
      <c r="F1442" s="1051" t="str">
        <f t="shared" si="125"/>
        <v>78, Mantes-la-Jolie, Le Val Fourré, France continentale, Base Carbone</v>
      </c>
      <c r="G1442" s="1055" t="str">
        <f t="shared" si="126"/>
        <v>78, Mantes-la-Jolie, Le Val Fourré, France continentale, Base Carbone; kgCO2e/kWh</v>
      </c>
      <c r="I1442" s="2018" t="s">
        <v>3569</v>
      </c>
      <c r="J1442" s="1135" t="s">
        <v>1681</v>
      </c>
      <c r="K1442" s="1119" t="s">
        <v>1567</v>
      </c>
      <c r="L1442" s="1119" t="s">
        <v>1571</v>
      </c>
      <c r="M1442" s="1134">
        <v>0.3</v>
      </c>
      <c r="N1442" s="1135"/>
      <c r="O1442" s="1135">
        <v>0.104</v>
      </c>
      <c r="P1442" s="1048"/>
      <c r="Q1442" s="1048"/>
      <c r="R1442" s="1048"/>
      <c r="S1442" s="1048"/>
      <c r="T1442" s="1048"/>
      <c r="U1442" s="1102"/>
    </row>
    <row r="1443" spans="2:21" hidden="1" outlineLevel="2">
      <c r="B1443" s="1050">
        <v>522</v>
      </c>
      <c r="C1443" s="2035" t="str">
        <f t="shared" si="123"/>
        <v>78, Plaisir, Réseau de Plaisir-Resop, France continentale, Base Carbone</v>
      </c>
      <c r="D1443" s="1051">
        <f t="shared" si="124"/>
        <v>522</v>
      </c>
      <c r="E1443" s="1051" t="str">
        <f>IF(COUNTIF(E$921:E1442,F1443)&gt;0,"",F1443)</f>
        <v>78, Plaisir, Réseau de Plaisir-Resop, France continentale, Base Carbone</v>
      </c>
      <c r="F1443" s="1051" t="str">
        <f t="shared" si="125"/>
        <v>78, Plaisir, Réseau de Plaisir-Resop, France continentale, Base Carbone</v>
      </c>
      <c r="G1443" s="1055" t="str">
        <f t="shared" si="126"/>
        <v>78, Plaisir, Réseau de Plaisir-Resop, France continentale, Base Carbone; kgCO2e/kWh</v>
      </c>
      <c r="I1443" s="2018" t="s">
        <v>1009</v>
      </c>
      <c r="J1443" s="1135" t="s">
        <v>1681</v>
      </c>
      <c r="K1443" s="1119" t="s">
        <v>1567</v>
      </c>
      <c r="L1443" s="1119" t="s">
        <v>1571</v>
      </c>
      <c r="M1443" s="1134">
        <v>0.3</v>
      </c>
      <c r="N1443" s="1135"/>
      <c r="O1443" s="1135">
        <v>3.1E-2</v>
      </c>
      <c r="P1443" s="1048"/>
      <c r="Q1443" s="1048"/>
      <c r="R1443" s="1048"/>
      <c r="S1443" s="1048"/>
      <c r="T1443" s="1048"/>
      <c r="U1443" s="1102"/>
    </row>
    <row r="1444" spans="2:21" hidden="1" outlineLevel="2">
      <c r="B1444" s="1050">
        <v>523</v>
      </c>
      <c r="C1444" s="2035" t="str">
        <f t="shared" si="123"/>
        <v>78, Saint-Germain-en-Laye, Réseau de Saint Germain en Laye, France continentale, Base Carbone</v>
      </c>
      <c r="D1444" s="1051">
        <f t="shared" si="124"/>
        <v>523</v>
      </c>
      <c r="E1444" s="1051" t="str">
        <f>IF(COUNTIF(E$921:E1443,F1444)&gt;0,"",F1444)</f>
        <v>78, Saint-Germain-en-Laye, Réseau de Saint Germain en Laye, France continentale, Base Carbone</v>
      </c>
      <c r="F1444" s="1051" t="str">
        <f t="shared" si="125"/>
        <v>78, Saint-Germain-en-Laye, Réseau de Saint Germain en Laye, France continentale, Base Carbone</v>
      </c>
      <c r="G1444" s="1055" t="str">
        <f t="shared" si="126"/>
        <v>78, Saint-Germain-en-Laye, Réseau de Saint Germain en Laye, France continentale, Base Carbone; kgCO2e/kWh</v>
      </c>
      <c r="I1444" s="2018" t="s">
        <v>3570</v>
      </c>
      <c r="J1444" s="1135" t="s">
        <v>1681</v>
      </c>
      <c r="K1444" s="1119" t="s">
        <v>1567</v>
      </c>
      <c r="L1444" s="1119" t="s">
        <v>1571</v>
      </c>
      <c r="M1444" s="1134">
        <v>0.3</v>
      </c>
      <c r="N1444" s="1135"/>
      <c r="O1444" s="1135">
        <v>0.14399999999999999</v>
      </c>
      <c r="P1444" s="1048"/>
      <c r="Q1444" s="1048"/>
      <c r="R1444" s="1048"/>
      <c r="S1444" s="1048"/>
      <c r="T1444" s="1048"/>
      <c r="U1444" s="1102"/>
    </row>
    <row r="1445" spans="2:21" hidden="1" outlineLevel="2">
      <c r="B1445" s="1050">
        <v>524</v>
      </c>
      <c r="C1445" s="2035" t="str">
        <f t="shared" si="123"/>
        <v>78, Vélizy-Villacoublay, Réseau de Vélizy, France continentale, Base Carbone</v>
      </c>
      <c r="D1445" s="1051">
        <f t="shared" si="124"/>
        <v>524</v>
      </c>
      <c r="E1445" s="1051" t="str">
        <f>IF(COUNTIF(E$921:E1444,F1445)&gt;0,"",F1445)</f>
        <v>78, Vélizy-Villacoublay, Réseau de Vélizy, France continentale, Base Carbone</v>
      </c>
      <c r="F1445" s="1051" t="str">
        <f t="shared" si="125"/>
        <v>78, Vélizy-Villacoublay, Réseau de Vélizy, France continentale, Base Carbone</v>
      </c>
      <c r="G1445" s="1055" t="str">
        <f t="shared" si="126"/>
        <v>78, Vélizy-Villacoublay, Réseau de Vélizy, France continentale, Base Carbone; kgCO2e/kWh</v>
      </c>
      <c r="I1445" s="2018" t="s">
        <v>1010</v>
      </c>
      <c r="J1445" s="1135" t="s">
        <v>1681</v>
      </c>
      <c r="K1445" s="1119" t="s">
        <v>1567</v>
      </c>
      <c r="L1445" s="1119" t="s">
        <v>1571</v>
      </c>
      <c r="M1445" s="1134">
        <v>0.3</v>
      </c>
      <c r="N1445" s="1135"/>
      <c r="O1445" s="1135">
        <v>0.221</v>
      </c>
      <c r="P1445" s="1048"/>
      <c r="Q1445" s="1048"/>
      <c r="R1445" s="1048"/>
      <c r="S1445" s="1048"/>
      <c r="T1445" s="1048"/>
      <c r="U1445" s="1102"/>
    </row>
    <row r="1446" spans="2:21" hidden="1" outlineLevel="2">
      <c r="B1446" s="1050">
        <v>525</v>
      </c>
      <c r="C1446" s="2035" t="str">
        <f t="shared" si="123"/>
        <v>78, Versailles, Réseau de Versailles, France continentale, Base Carbone</v>
      </c>
      <c r="D1446" s="1051">
        <f t="shared" si="124"/>
        <v>525</v>
      </c>
      <c r="E1446" s="1051" t="str">
        <f>IF(COUNTIF(E$921:E1445,F1446)&gt;0,"",F1446)</f>
        <v>78, Versailles, Réseau de Versailles, France continentale, Base Carbone</v>
      </c>
      <c r="F1446" s="1051" t="str">
        <f t="shared" si="125"/>
        <v>78, Versailles, Réseau de Versailles, France continentale, Base Carbone</v>
      </c>
      <c r="G1446" s="1055" t="str">
        <f t="shared" si="126"/>
        <v>78, Versailles, Réseau de Versailles, France continentale, Base Carbone; kgCO2e/kWh</v>
      </c>
      <c r="I1446" s="2018" t="s">
        <v>3571</v>
      </c>
      <c r="J1446" s="1135" t="s">
        <v>1681</v>
      </c>
      <c r="K1446" s="1119" t="s">
        <v>1567</v>
      </c>
      <c r="L1446" s="1119" t="s">
        <v>1571</v>
      </c>
      <c r="M1446" s="1134">
        <v>0.3</v>
      </c>
      <c r="N1446" s="1135"/>
      <c r="O1446" s="1135">
        <v>0.22700000000000001</v>
      </c>
      <c r="P1446" s="1048"/>
      <c r="Q1446" s="1048"/>
      <c r="R1446" s="1048"/>
      <c r="S1446" s="1048"/>
      <c r="T1446" s="1048"/>
      <c r="U1446" s="1102"/>
    </row>
    <row r="1447" spans="2:21" hidden="1" outlineLevel="2">
      <c r="B1447" s="1050">
        <v>526</v>
      </c>
      <c r="C1447" s="2035" t="str">
        <f t="shared" si="123"/>
        <v>79, Bressuire, Réseau de Bressuire, France continentale, Base Carbone</v>
      </c>
      <c r="D1447" s="1051">
        <f t="shared" si="124"/>
        <v>526</v>
      </c>
      <c r="E1447" s="1051" t="str">
        <f>IF(COUNTIF(E$921:E1446,F1447)&gt;0,"",F1447)</f>
        <v>79, Bressuire, Réseau de Bressuire, France continentale, Base Carbone</v>
      </c>
      <c r="F1447" s="1051" t="str">
        <f t="shared" si="125"/>
        <v>79, Bressuire, Réseau de Bressuire, France continentale, Base Carbone</v>
      </c>
      <c r="G1447" s="1055" t="str">
        <f t="shared" si="126"/>
        <v>79, Bressuire, Réseau de Bressuire, France continentale, Base Carbone; kgCO2e/kWh</v>
      </c>
      <c r="I1447" s="2018" t="s">
        <v>1011</v>
      </c>
      <c r="J1447" s="1135" t="s">
        <v>1681</v>
      </c>
      <c r="K1447" s="1119" t="s">
        <v>1567</v>
      </c>
      <c r="L1447" s="1119" t="s">
        <v>1571</v>
      </c>
      <c r="M1447" s="1134">
        <v>0.3</v>
      </c>
      <c r="N1447" s="1135"/>
      <c r="O1447" s="1135">
        <v>0.15</v>
      </c>
      <c r="P1447" s="1048"/>
      <c r="Q1447" s="1048"/>
      <c r="R1447" s="1048"/>
      <c r="S1447" s="1048"/>
      <c r="T1447" s="1048"/>
      <c r="U1447" s="1102"/>
    </row>
    <row r="1448" spans="2:21" hidden="1" outlineLevel="2">
      <c r="B1448" s="1050">
        <v>527</v>
      </c>
      <c r="C1448" s="2035" t="str">
        <f t="shared" si="123"/>
        <v>79, Lezay, Réseau de chaleur CC du Mellois, France continentale, Base Carbone</v>
      </c>
      <c r="D1448" s="1051">
        <f t="shared" si="124"/>
        <v>527</v>
      </c>
      <c r="E1448" s="1051" t="str">
        <f>IF(COUNTIF(E$921:E1447,F1448)&gt;0,"",F1448)</f>
        <v>79, Lezay, Réseau de chaleur CC du Mellois, France continentale, Base Carbone</v>
      </c>
      <c r="F1448" s="1051" t="str">
        <f t="shared" si="125"/>
        <v>79, Lezay, Réseau de chaleur CC du Mellois, France continentale, Base Carbone</v>
      </c>
      <c r="G1448" s="1055" t="str">
        <f t="shared" si="126"/>
        <v>79, Lezay, Réseau de chaleur CC du Mellois, France continentale, Base Carbone; kgCO2e/kWh</v>
      </c>
      <c r="I1448" s="2018" t="s">
        <v>3572</v>
      </c>
      <c r="J1448" s="1135" t="s">
        <v>1681</v>
      </c>
      <c r="K1448" s="1119" t="s">
        <v>1567</v>
      </c>
      <c r="L1448" s="1119" t="s">
        <v>1571</v>
      </c>
      <c r="M1448" s="1134">
        <v>0.3</v>
      </c>
      <c r="N1448" s="1135"/>
      <c r="O1448" s="1135">
        <v>2.9000000000000001E-2</v>
      </c>
      <c r="P1448" s="1048"/>
      <c r="Q1448" s="1048"/>
      <c r="R1448" s="1048"/>
      <c r="S1448" s="1048"/>
      <c r="T1448" s="1048"/>
      <c r="U1448" s="1102"/>
    </row>
    <row r="1449" spans="2:21" hidden="1" outlineLevel="2">
      <c r="B1449" s="1050">
        <v>528</v>
      </c>
      <c r="C1449" s="2035" t="str">
        <f t="shared" si="123"/>
        <v>79, L’Absie, Réseau de l’Absie, France continentale, Base Carbone</v>
      </c>
      <c r="D1449" s="1051">
        <f t="shared" si="124"/>
        <v>528</v>
      </c>
      <c r="E1449" s="1051" t="str">
        <f>IF(COUNTIF(E$921:E1448,F1449)&gt;0,"",F1449)</f>
        <v>79, L’Absie, Réseau de l’Absie, France continentale, Base Carbone</v>
      </c>
      <c r="F1449" s="1051" t="str">
        <f t="shared" si="125"/>
        <v>79, L’Absie, Réseau de l’Absie, France continentale, Base Carbone</v>
      </c>
      <c r="G1449" s="1055" t="str">
        <f t="shared" si="126"/>
        <v>79, L’Absie, Réseau de l’Absie, France continentale, Base Carbone; kgCO2e/kWh</v>
      </c>
      <c r="I1449" s="2018" t="s">
        <v>3573</v>
      </c>
      <c r="J1449" s="1135" t="s">
        <v>1681</v>
      </c>
      <c r="K1449" s="1119" t="s">
        <v>1567</v>
      </c>
      <c r="L1449" s="1119" t="s">
        <v>1571</v>
      </c>
      <c r="M1449" s="1134">
        <v>0.3</v>
      </c>
      <c r="N1449" s="1135"/>
      <c r="O1449" s="1135">
        <v>0</v>
      </c>
      <c r="P1449" s="1048"/>
      <c r="Q1449" s="1048"/>
      <c r="R1449" s="1048"/>
      <c r="S1449" s="1048"/>
      <c r="T1449" s="1048"/>
      <c r="U1449" s="1102"/>
    </row>
    <row r="1450" spans="2:21" hidden="1" outlineLevel="2">
      <c r="B1450" s="1050">
        <v>529</v>
      </c>
      <c r="C1450" s="2035" t="str">
        <f t="shared" si="123"/>
        <v>79, Niort, Quartier Les Brizeaux, France continentale, Base Carbone</v>
      </c>
      <c r="D1450" s="1051">
        <f t="shared" si="124"/>
        <v>529</v>
      </c>
      <c r="E1450" s="1051" t="str">
        <f>IF(COUNTIF(E$921:E1449,F1450)&gt;0,"",F1450)</f>
        <v>79, Niort, Quartier Les Brizeaux, France continentale, Base Carbone</v>
      </c>
      <c r="F1450" s="1051" t="str">
        <f t="shared" si="125"/>
        <v>79, Niort, Quartier Les Brizeaux, France continentale, Base Carbone</v>
      </c>
      <c r="G1450" s="1055" t="str">
        <f t="shared" si="126"/>
        <v>79, Niort, Quartier Les Brizeaux, France continentale, Base Carbone; kgCO2e/kWh</v>
      </c>
      <c r="I1450" s="2018" t="s">
        <v>3574</v>
      </c>
      <c r="J1450" s="1135" t="s">
        <v>1681</v>
      </c>
      <c r="K1450" s="1119" t="s">
        <v>1567</v>
      </c>
      <c r="L1450" s="1119" t="s">
        <v>1571</v>
      </c>
      <c r="M1450" s="1134">
        <v>0.3</v>
      </c>
      <c r="N1450" s="1135"/>
      <c r="O1450" s="1135">
        <v>1.7000000000000001E-2</v>
      </c>
      <c r="P1450" s="1048"/>
      <c r="Q1450" s="1048"/>
      <c r="R1450" s="1048"/>
      <c r="S1450" s="1048"/>
      <c r="T1450" s="1048"/>
      <c r="U1450" s="1102"/>
    </row>
    <row r="1451" spans="2:21" hidden="1" outlineLevel="2">
      <c r="B1451" s="1050">
        <v>530</v>
      </c>
      <c r="C1451" s="2035" t="str">
        <f t="shared" si="123"/>
        <v>79, Niort, ZUP Le Clou Bouchet, France continentale, Base Carbone</v>
      </c>
      <c r="D1451" s="1051">
        <f t="shared" si="124"/>
        <v>530</v>
      </c>
      <c r="E1451" s="1051" t="str">
        <f>IF(COUNTIF(E$921:E1450,F1451)&gt;0,"",F1451)</f>
        <v>79, Niort, ZUP Le Clou Bouchet, France continentale, Base Carbone</v>
      </c>
      <c r="F1451" s="1051" t="str">
        <f t="shared" si="125"/>
        <v>79, Niort, ZUP Le Clou Bouchet, France continentale, Base Carbone</v>
      </c>
      <c r="G1451" s="1055" t="str">
        <f t="shared" si="126"/>
        <v>79, Niort, ZUP Le Clou Bouchet, France continentale, Base Carbone; kgCO2e/kWh</v>
      </c>
      <c r="I1451" s="2018" t="s">
        <v>1012</v>
      </c>
      <c r="J1451" s="1135" t="s">
        <v>1681</v>
      </c>
      <c r="K1451" s="1119" t="s">
        <v>1567</v>
      </c>
      <c r="L1451" s="1119" t="s">
        <v>1571</v>
      </c>
      <c r="M1451" s="1134">
        <v>0.3</v>
      </c>
      <c r="N1451" s="1135"/>
      <c r="O1451" s="1135">
        <v>0.32700000000000001</v>
      </c>
      <c r="P1451" s="1048"/>
      <c r="Q1451" s="1048"/>
      <c r="R1451" s="1048"/>
      <c r="S1451" s="1048"/>
      <c r="T1451" s="1048"/>
      <c r="U1451" s="1102"/>
    </row>
    <row r="1452" spans="2:21" hidden="1" outlineLevel="2">
      <c r="B1452" s="1050">
        <v>531</v>
      </c>
      <c r="C1452" s="2035" t="str">
        <f t="shared" si="123"/>
        <v>79, Romans, Réseau de Romans, France continentale, Base Carbone</v>
      </c>
      <c r="D1452" s="1051">
        <f t="shared" si="124"/>
        <v>531</v>
      </c>
      <c r="E1452" s="1051" t="str">
        <f>IF(COUNTIF(E$921:E1451,F1452)&gt;0,"",F1452)</f>
        <v>79, Romans, Réseau de Romans, France continentale, Base Carbone</v>
      </c>
      <c r="F1452" s="1051" t="str">
        <f t="shared" si="125"/>
        <v>79, Romans, Réseau de Romans, France continentale, Base Carbone</v>
      </c>
      <c r="G1452" s="1055" t="str">
        <f t="shared" si="126"/>
        <v>79, Romans, Réseau de Romans, France continentale, Base Carbone; kgCO2e/kWh</v>
      </c>
      <c r="I1452" s="2018" t="s">
        <v>3575</v>
      </c>
      <c r="J1452" s="1135" t="s">
        <v>1681</v>
      </c>
      <c r="K1452" s="1119" t="s">
        <v>1567</v>
      </c>
      <c r="L1452" s="1119" t="s">
        <v>1571</v>
      </c>
      <c r="M1452" s="1134">
        <v>0.3</v>
      </c>
      <c r="N1452" s="1135"/>
      <c r="O1452" s="1135">
        <v>0</v>
      </c>
      <c r="P1452" s="1048"/>
      <c r="Q1452" s="1048"/>
      <c r="R1452" s="1048"/>
      <c r="S1452" s="1048"/>
      <c r="T1452" s="1048"/>
      <c r="U1452" s="1102"/>
    </row>
    <row r="1453" spans="2:21" hidden="1" outlineLevel="2">
      <c r="B1453" s="1050">
        <v>532</v>
      </c>
      <c r="C1453" s="2035" t="str">
        <f t="shared" si="123"/>
        <v>8, Charleville-Mézières, La Citadelle, France continentale, Base Carbone</v>
      </c>
      <c r="D1453" s="1051">
        <f t="shared" si="124"/>
        <v>532</v>
      </c>
      <c r="E1453" s="1051" t="str">
        <f>IF(COUNTIF(E$921:E1452,F1453)&gt;0,"",F1453)</f>
        <v>8, Charleville-Mézières, La Citadelle, France continentale, Base Carbone</v>
      </c>
      <c r="F1453" s="1051" t="str">
        <f t="shared" si="125"/>
        <v>8, Charleville-Mézières, La Citadelle, France continentale, Base Carbone</v>
      </c>
      <c r="G1453" s="1055" t="str">
        <f t="shared" si="126"/>
        <v>8, Charleville-Mézières, La Citadelle, France continentale, Base Carbone; kgCO2e/kWh</v>
      </c>
      <c r="I1453" s="2018" t="s">
        <v>1678</v>
      </c>
      <c r="J1453" s="1135" t="s">
        <v>1681</v>
      </c>
      <c r="K1453" s="1119" t="s">
        <v>1567</v>
      </c>
      <c r="L1453" s="1119" t="s">
        <v>1571</v>
      </c>
      <c r="M1453" s="1134">
        <v>0.3</v>
      </c>
      <c r="N1453" s="1135"/>
      <c r="O1453" s="1135">
        <v>0.22500000000000001</v>
      </c>
      <c r="P1453" s="1048"/>
      <c r="Q1453" s="1048"/>
      <c r="R1453" s="1048"/>
      <c r="S1453" s="1048"/>
      <c r="T1453" s="1048"/>
      <c r="U1453" s="1102"/>
    </row>
    <row r="1454" spans="2:21" hidden="1" outlineLevel="2">
      <c r="B1454" s="1050">
        <v>533</v>
      </c>
      <c r="C1454" s="2035" t="str">
        <f t="shared" si="123"/>
        <v>8, Charleville-Mézières, Ronde couture, France continentale, Base Carbone</v>
      </c>
      <c r="D1454" s="1051">
        <f t="shared" si="124"/>
        <v>533</v>
      </c>
      <c r="E1454" s="1051" t="str">
        <f>IF(COUNTIF(E$921:E1453,F1454)&gt;0,"",F1454)</f>
        <v>8, Charleville-Mézières, Ronde couture, France continentale, Base Carbone</v>
      </c>
      <c r="F1454" s="1051" t="str">
        <f t="shared" si="125"/>
        <v>8, Charleville-Mézières, Ronde couture, France continentale, Base Carbone</v>
      </c>
      <c r="G1454" s="1055" t="str">
        <f t="shared" si="126"/>
        <v>8, Charleville-Mézières, Ronde couture, France continentale, Base Carbone; kgCO2e/kWh</v>
      </c>
      <c r="I1454" s="2018" t="s">
        <v>1679</v>
      </c>
      <c r="J1454" s="1135" t="s">
        <v>1681</v>
      </c>
      <c r="K1454" s="1119" t="s">
        <v>1567</v>
      </c>
      <c r="L1454" s="1119" t="s">
        <v>1571</v>
      </c>
      <c r="M1454" s="1134">
        <v>0.3</v>
      </c>
      <c r="N1454" s="1135"/>
      <c r="O1454" s="1135">
        <v>7.4999999999999997E-2</v>
      </c>
      <c r="P1454" s="1048"/>
      <c r="Q1454" s="1048"/>
      <c r="R1454" s="1048"/>
      <c r="S1454" s="1048"/>
      <c r="T1454" s="1048"/>
      <c r="U1454" s="1102"/>
    </row>
    <row r="1455" spans="2:21" hidden="1" outlineLevel="2">
      <c r="B1455" s="1050">
        <v>534</v>
      </c>
      <c r="C1455" s="2035" t="str">
        <f t="shared" si="123"/>
        <v>8, Machault, Réseau bois de Machault, France continentale, Base Carbone</v>
      </c>
      <c r="D1455" s="1051">
        <f t="shared" si="124"/>
        <v>534</v>
      </c>
      <c r="E1455" s="1051" t="str">
        <f>IF(COUNTIF(E$921:E1454,F1455)&gt;0,"",F1455)</f>
        <v>8, Machault, Réseau bois de Machault, France continentale, Base Carbone</v>
      </c>
      <c r="F1455" s="1051" t="str">
        <f t="shared" si="125"/>
        <v>8, Machault, Réseau bois de Machault, France continentale, Base Carbone</v>
      </c>
      <c r="G1455" s="1055" t="str">
        <f t="shared" si="126"/>
        <v>8, Machault, Réseau bois de Machault, France continentale, Base Carbone; kgCO2e/kWh</v>
      </c>
      <c r="I1455" s="2018" t="s">
        <v>3009</v>
      </c>
      <c r="J1455" s="1135" t="s">
        <v>1681</v>
      </c>
      <c r="K1455" s="1119" t="s">
        <v>1567</v>
      </c>
      <c r="L1455" s="1119" t="s">
        <v>1571</v>
      </c>
      <c r="M1455" s="1134">
        <v>0.3</v>
      </c>
      <c r="N1455" s="1135"/>
      <c r="O1455" s="1135">
        <v>0.27300000000000002</v>
      </c>
      <c r="P1455" s="1048"/>
      <c r="Q1455" s="1048"/>
      <c r="R1455" s="1048"/>
      <c r="S1455" s="1048"/>
      <c r="T1455" s="1048"/>
      <c r="U1455" s="1102"/>
    </row>
    <row r="1456" spans="2:21" hidden="1" outlineLevel="2">
      <c r="B1456" s="1050">
        <v>535</v>
      </c>
      <c r="C1456" s="2035" t="str">
        <f t="shared" si="123"/>
        <v>8, Rocroi, Réseau de chaleur de Rocroi, France continentale, Base Carbone</v>
      </c>
      <c r="D1456" s="1051">
        <f t="shared" si="124"/>
        <v>535</v>
      </c>
      <c r="E1456" s="1051" t="str">
        <f>IF(COUNTIF(E$921:E1455,F1456)&gt;0,"",F1456)</f>
        <v>8, Rocroi, Réseau de chaleur de Rocroi, France continentale, Base Carbone</v>
      </c>
      <c r="F1456" s="1051" t="str">
        <f t="shared" si="125"/>
        <v>8, Rocroi, Réseau de chaleur de Rocroi, France continentale, Base Carbone</v>
      </c>
      <c r="G1456" s="1055" t="str">
        <f t="shared" si="126"/>
        <v>8, Rocroi, Réseau de chaleur de Rocroi, France continentale, Base Carbone; kgCO2e/kWh</v>
      </c>
      <c r="I1456" s="2018" t="s">
        <v>3576</v>
      </c>
      <c r="J1456" s="1135" t="s">
        <v>1681</v>
      </c>
      <c r="K1456" s="1119" t="s">
        <v>1567</v>
      </c>
      <c r="L1456" s="1119" t="s">
        <v>1571</v>
      </c>
      <c r="M1456" s="1134">
        <v>0.3</v>
      </c>
      <c r="N1456" s="1135"/>
      <c r="O1456" s="1135">
        <v>9.4E-2</v>
      </c>
      <c r="P1456" s="1048"/>
      <c r="Q1456" s="1048"/>
      <c r="R1456" s="1048"/>
      <c r="S1456" s="1048"/>
      <c r="T1456" s="1048"/>
      <c r="U1456" s="1102"/>
    </row>
    <row r="1457" spans="2:21" hidden="1" outlineLevel="2">
      <c r="B1457" s="1050">
        <v>536</v>
      </c>
      <c r="C1457" s="2035" t="str">
        <f t="shared" si="123"/>
        <v>8, Sedan, ZUP de Sedan, France continentale, Base Carbone</v>
      </c>
      <c r="D1457" s="1051">
        <f t="shared" si="124"/>
        <v>536</v>
      </c>
      <c r="E1457" s="1051" t="str">
        <f>IF(COUNTIF(E$921:E1456,F1457)&gt;0,"",F1457)</f>
        <v>8, Sedan, ZUP de Sedan, France continentale, Base Carbone</v>
      </c>
      <c r="F1457" s="1051" t="str">
        <f t="shared" si="125"/>
        <v>8, Sedan, ZUP de Sedan, France continentale, Base Carbone</v>
      </c>
      <c r="G1457" s="1055" t="str">
        <f t="shared" si="126"/>
        <v>8, Sedan, ZUP de Sedan, France continentale, Base Carbone; kgCO2e/kWh</v>
      </c>
      <c r="I1457" s="2018" t="s">
        <v>1680</v>
      </c>
      <c r="J1457" s="1135" t="s">
        <v>1681</v>
      </c>
      <c r="K1457" s="1119" t="s">
        <v>1567</v>
      </c>
      <c r="L1457" s="1119" t="s">
        <v>1571</v>
      </c>
      <c r="M1457" s="1134">
        <v>0.3</v>
      </c>
      <c r="N1457" s="1135"/>
      <c r="O1457" s="1135">
        <v>0.114</v>
      </c>
      <c r="P1457" s="1048"/>
      <c r="Q1457" s="1048"/>
      <c r="R1457" s="1048"/>
      <c r="S1457" s="1048"/>
      <c r="T1457" s="1048"/>
      <c r="U1457" s="1102"/>
    </row>
    <row r="1458" spans="2:21" hidden="1" outlineLevel="2">
      <c r="B1458" s="1050">
        <v>537</v>
      </c>
      <c r="C1458" s="2035" t="str">
        <f t="shared" si="123"/>
        <v>80, Abbeville, Réseau d’Abbeville, France continentale, Base Carbone</v>
      </c>
      <c r="D1458" s="1051">
        <f t="shared" si="124"/>
        <v>537</v>
      </c>
      <c r="E1458" s="1051" t="str">
        <f>IF(COUNTIF(E$921:E1457,F1458)&gt;0,"",F1458)</f>
        <v>80, Abbeville, Réseau d’Abbeville, France continentale, Base Carbone</v>
      </c>
      <c r="F1458" s="1051" t="str">
        <f t="shared" si="125"/>
        <v>80, Abbeville, Réseau d’Abbeville, France continentale, Base Carbone</v>
      </c>
      <c r="G1458" s="1055" t="str">
        <f t="shared" si="126"/>
        <v>80, Abbeville, Réseau d’Abbeville, France continentale, Base Carbone; kgCO2e/kWh</v>
      </c>
      <c r="I1458" s="2018" t="s">
        <v>3577</v>
      </c>
      <c r="J1458" s="1135" t="s">
        <v>1681</v>
      </c>
      <c r="K1458" s="1119" t="s">
        <v>1567</v>
      </c>
      <c r="L1458" s="1119" t="s">
        <v>1571</v>
      </c>
      <c r="M1458" s="1134">
        <v>0.3</v>
      </c>
      <c r="N1458" s="1135"/>
      <c r="O1458" s="1135">
        <v>9.5000000000000001E-2</v>
      </c>
      <c r="P1458" s="1048"/>
      <c r="Q1458" s="1048"/>
      <c r="R1458" s="1048"/>
      <c r="S1458" s="1048"/>
      <c r="T1458" s="1048"/>
      <c r="U1458" s="1102"/>
    </row>
    <row r="1459" spans="2:21" hidden="1" outlineLevel="2">
      <c r="B1459" s="1050">
        <v>538</v>
      </c>
      <c r="C1459" s="2035" t="str">
        <f t="shared" si="123"/>
        <v>80, Amiens, Etouvie, France continentale, Base Carbone</v>
      </c>
      <c r="D1459" s="1051">
        <f t="shared" si="124"/>
        <v>538</v>
      </c>
      <c r="E1459" s="1051" t="str">
        <f>IF(COUNTIF(E$921:E1458,F1459)&gt;0,"",F1459)</f>
        <v>80, Amiens, Etouvie, France continentale, Base Carbone</v>
      </c>
      <c r="F1459" s="1051" t="str">
        <f t="shared" si="125"/>
        <v>80, Amiens, Etouvie, France continentale, Base Carbone</v>
      </c>
      <c r="G1459" s="1055" t="str">
        <f t="shared" si="126"/>
        <v>80, Amiens, Etouvie, France continentale, Base Carbone; kgCO2e/kWh</v>
      </c>
      <c r="I1459" s="2018" t="s">
        <v>1013</v>
      </c>
      <c r="J1459" s="1135" t="s">
        <v>1681</v>
      </c>
      <c r="K1459" s="1119" t="s">
        <v>1567</v>
      </c>
      <c r="L1459" s="1119" t="s">
        <v>1571</v>
      </c>
      <c r="M1459" s="1134">
        <v>0.3</v>
      </c>
      <c r="N1459" s="1135"/>
      <c r="O1459" s="1135">
        <v>0</v>
      </c>
      <c r="P1459" s="1048"/>
      <c r="Q1459" s="1048"/>
      <c r="R1459" s="1048"/>
      <c r="S1459" s="1048"/>
      <c r="T1459" s="1048"/>
      <c r="U1459" s="1102"/>
    </row>
    <row r="1460" spans="2:21" hidden="1" outlineLevel="2">
      <c r="B1460" s="1050">
        <v>539</v>
      </c>
      <c r="C1460" s="2035" t="str">
        <f t="shared" si="123"/>
        <v>80, Amiens, Le pigeonnier, France continentale, Base Carbone</v>
      </c>
      <c r="D1460" s="1051">
        <f t="shared" si="124"/>
        <v>539</v>
      </c>
      <c r="E1460" s="1051" t="str">
        <f>IF(COUNTIF(E$921:E1459,F1460)&gt;0,"",F1460)</f>
        <v>80, Amiens, Le pigeonnier, France continentale, Base Carbone</v>
      </c>
      <c r="F1460" s="1051" t="str">
        <f t="shared" si="125"/>
        <v>80, Amiens, Le pigeonnier, France continentale, Base Carbone</v>
      </c>
      <c r="G1460" s="1055" t="str">
        <f t="shared" si="126"/>
        <v>80, Amiens, Le pigeonnier, France continentale, Base Carbone; kgCO2e/kWh</v>
      </c>
      <c r="I1460" s="2018" t="s">
        <v>3578</v>
      </c>
      <c r="J1460" s="1135" t="s">
        <v>1681</v>
      </c>
      <c r="K1460" s="1119" t="s">
        <v>1567</v>
      </c>
      <c r="L1460" s="1119" t="s">
        <v>1571</v>
      </c>
      <c r="M1460" s="1134">
        <v>0.3</v>
      </c>
      <c r="N1460" s="1135"/>
      <c r="O1460" s="1135">
        <v>0.21299999999999999</v>
      </c>
      <c r="P1460" s="1048"/>
      <c r="Q1460" s="1048"/>
      <c r="R1460" s="1048"/>
      <c r="S1460" s="1048"/>
      <c r="T1460" s="1048"/>
      <c r="U1460" s="1102"/>
    </row>
    <row r="1461" spans="2:21" hidden="1" outlineLevel="2">
      <c r="B1461" s="1050">
        <v>540</v>
      </c>
      <c r="C1461" s="2035" t="str">
        <f t="shared" si="123"/>
        <v>80, Amiens, Quartier Henriville, France continentale, Base Carbone</v>
      </c>
      <c r="D1461" s="1051">
        <f t="shared" si="124"/>
        <v>540</v>
      </c>
      <c r="E1461" s="1051" t="str">
        <f>IF(COUNTIF(E$921:E1460,F1461)&gt;0,"",F1461)</f>
        <v>80, Amiens, Quartier Henriville, France continentale, Base Carbone</v>
      </c>
      <c r="F1461" s="1051" t="str">
        <f t="shared" si="125"/>
        <v>80, Amiens, Quartier Henriville, France continentale, Base Carbone</v>
      </c>
      <c r="G1461" s="1055" t="str">
        <f t="shared" si="126"/>
        <v>80, Amiens, Quartier Henriville, France continentale, Base Carbone; kgCO2e/kWh</v>
      </c>
      <c r="I1461" s="2018" t="s">
        <v>3579</v>
      </c>
      <c r="J1461" s="1135" t="s">
        <v>1681</v>
      </c>
      <c r="K1461" s="1119" t="s">
        <v>1567</v>
      </c>
      <c r="L1461" s="1119" t="s">
        <v>1571</v>
      </c>
      <c r="M1461" s="1134">
        <v>0.3</v>
      </c>
      <c r="N1461" s="1135"/>
      <c r="O1461" s="1135">
        <v>0.23400000000000001</v>
      </c>
      <c r="P1461" s="1048"/>
      <c r="Q1461" s="1048"/>
      <c r="R1461" s="1048"/>
      <c r="S1461" s="1048"/>
      <c r="T1461" s="1048"/>
      <c r="U1461" s="1102"/>
    </row>
    <row r="1462" spans="2:21" hidden="1" outlineLevel="2">
      <c r="B1462" s="1050">
        <v>541</v>
      </c>
      <c r="C1462" s="2035" t="str">
        <f t="shared" si="123"/>
        <v>80, Montdidier, Réseau de Montdidier, France continentale, Base Carbone</v>
      </c>
      <c r="D1462" s="1051">
        <f t="shared" si="124"/>
        <v>541</v>
      </c>
      <c r="E1462" s="1051" t="str">
        <f>IF(COUNTIF(E$921:E1461,F1462)&gt;0,"",F1462)</f>
        <v>80, Montdidier, Réseau de Montdidier, France continentale, Base Carbone</v>
      </c>
      <c r="F1462" s="1051" t="str">
        <f t="shared" si="125"/>
        <v>80, Montdidier, Réseau de Montdidier, France continentale, Base Carbone</v>
      </c>
      <c r="G1462" s="1055" t="str">
        <f t="shared" si="126"/>
        <v>80, Montdidier, Réseau de Montdidier, France continentale, Base Carbone; kgCO2e/kWh</v>
      </c>
      <c r="I1462" s="2018" t="s">
        <v>1014</v>
      </c>
      <c r="J1462" s="1135" t="s">
        <v>1681</v>
      </c>
      <c r="K1462" s="1119" t="s">
        <v>1567</v>
      </c>
      <c r="L1462" s="1119" t="s">
        <v>1571</v>
      </c>
      <c r="M1462" s="1134">
        <v>0.3</v>
      </c>
      <c r="N1462" s="1135"/>
      <c r="O1462" s="1135">
        <v>9.9000000000000005E-2</v>
      </c>
      <c r="P1462" s="1048"/>
      <c r="Q1462" s="1048"/>
      <c r="R1462" s="1048"/>
      <c r="S1462" s="1048"/>
      <c r="T1462" s="1048"/>
      <c r="U1462" s="1102"/>
    </row>
    <row r="1463" spans="2:21" hidden="1" outlineLevel="2">
      <c r="B1463" s="1050">
        <v>542</v>
      </c>
      <c r="C1463" s="2035" t="str">
        <f t="shared" si="123"/>
        <v>81, Alban, Réseau d’Alban, France continentale, Base Carbone</v>
      </c>
      <c r="D1463" s="1051">
        <f t="shared" si="124"/>
        <v>542</v>
      </c>
      <c r="E1463" s="1051" t="str">
        <f>IF(COUNTIF(E$921:E1462,F1463)&gt;0,"",F1463)</f>
        <v>81, Alban, Réseau d’Alban, France continentale, Base Carbone</v>
      </c>
      <c r="F1463" s="1051" t="str">
        <f t="shared" si="125"/>
        <v>81, Alban, Réseau d’Alban, France continentale, Base Carbone</v>
      </c>
      <c r="G1463" s="1055" t="str">
        <f t="shared" si="126"/>
        <v>81, Alban, Réseau d’Alban, France continentale, Base Carbone; kgCO2e/kWh</v>
      </c>
      <c r="I1463" s="2018" t="s">
        <v>3580</v>
      </c>
      <c r="J1463" s="1135" t="s">
        <v>1681</v>
      </c>
      <c r="K1463" s="1119" t="s">
        <v>1567</v>
      </c>
      <c r="L1463" s="1119" t="s">
        <v>1571</v>
      </c>
      <c r="M1463" s="1134">
        <v>0.3</v>
      </c>
      <c r="N1463" s="1135"/>
      <c r="O1463" s="1135">
        <v>8.0000000000000002E-3</v>
      </c>
      <c r="P1463" s="1048"/>
      <c r="Q1463" s="1048"/>
      <c r="R1463" s="1048"/>
      <c r="S1463" s="1048"/>
      <c r="T1463" s="1048"/>
      <c r="U1463" s="1102"/>
    </row>
    <row r="1464" spans="2:21" hidden="1" outlineLevel="2">
      <c r="B1464" s="1050">
        <v>543</v>
      </c>
      <c r="C1464" s="2035" t="str">
        <f t="shared" si="123"/>
        <v>81, Carmaux, Réseau de Carmaux, France continentale, Base Carbone</v>
      </c>
      <c r="D1464" s="1051">
        <f t="shared" si="124"/>
        <v>543</v>
      </c>
      <c r="E1464" s="1051" t="str">
        <f>IF(COUNTIF(E$921:E1463,F1464)&gt;0,"",F1464)</f>
        <v>81, Carmaux, Réseau de Carmaux, France continentale, Base Carbone</v>
      </c>
      <c r="F1464" s="1051" t="str">
        <f t="shared" si="125"/>
        <v>81, Carmaux, Réseau de Carmaux, France continentale, Base Carbone</v>
      </c>
      <c r="G1464" s="1055" t="str">
        <f t="shared" si="126"/>
        <v>81, Carmaux, Réseau de Carmaux, France continentale, Base Carbone; kgCO2e/kWh</v>
      </c>
      <c r="I1464" s="2018" t="s">
        <v>1015</v>
      </c>
      <c r="J1464" s="1135" t="s">
        <v>1681</v>
      </c>
      <c r="K1464" s="1119" t="s">
        <v>1567</v>
      </c>
      <c r="L1464" s="1119" t="s">
        <v>1571</v>
      </c>
      <c r="M1464" s="1134">
        <v>0.3</v>
      </c>
      <c r="N1464" s="1135"/>
      <c r="O1464" s="1135">
        <v>0.29899999999999999</v>
      </c>
      <c r="P1464" s="1048"/>
      <c r="Q1464" s="1048"/>
      <c r="R1464" s="1048"/>
      <c r="S1464" s="1048"/>
      <c r="T1464" s="1048"/>
      <c r="U1464" s="1102"/>
    </row>
    <row r="1465" spans="2:21" hidden="1" outlineLevel="2">
      <c r="B1465" s="1050">
        <v>544</v>
      </c>
      <c r="C1465" s="2035" t="str">
        <f t="shared" si="123"/>
        <v>81, Castres, Réseau de Castres Lameilhé, France continentale, Base Carbone</v>
      </c>
      <c r="D1465" s="1051">
        <f t="shared" si="124"/>
        <v>544</v>
      </c>
      <c r="E1465" s="1051" t="str">
        <f>IF(COUNTIF(E$921:E1464,F1465)&gt;0,"",F1465)</f>
        <v>81, Castres, Réseau de Castres Lameilhé, France continentale, Base Carbone</v>
      </c>
      <c r="F1465" s="1051" t="str">
        <f t="shared" si="125"/>
        <v>81, Castres, Réseau de Castres Lameilhé, France continentale, Base Carbone</v>
      </c>
      <c r="G1465" s="1055" t="str">
        <f t="shared" si="126"/>
        <v>81, Castres, Réseau de Castres Lameilhé, France continentale, Base Carbone; kgCO2e/kWh</v>
      </c>
      <c r="I1465" s="2018" t="s">
        <v>3010</v>
      </c>
      <c r="J1465" s="1135" t="s">
        <v>1681</v>
      </c>
      <c r="K1465" s="1119" t="s">
        <v>1567</v>
      </c>
      <c r="L1465" s="1119" t="s">
        <v>1571</v>
      </c>
      <c r="M1465" s="1134">
        <v>0.3</v>
      </c>
      <c r="N1465" s="1135"/>
      <c r="O1465" s="1135">
        <v>1.4999999999999999E-2</v>
      </c>
      <c r="P1465" s="1048"/>
      <c r="Q1465" s="1048"/>
      <c r="R1465" s="1048"/>
      <c r="S1465" s="1048"/>
      <c r="T1465" s="1048"/>
      <c r="U1465" s="1102"/>
    </row>
    <row r="1466" spans="2:21" hidden="1" outlineLevel="2">
      <c r="B1466" s="1050">
        <v>545</v>
      </c>
      <c r="C1466" s="2035" t="str">
        <f t="shared" si="123"/>
        <v>81, Gaillac, Réseau de Gaillac-ZAC de Pouille, France continentale, Base Carbone</v>
      </c>
      <c r="D1466" s="1051">
        <f t="shared" si="124"/>
        <v>545</v>
      </c>
      <c r="E1466" s="1051" t="str">
        <f>IF(COUNTIF(E$921:E1465,F1466)&gt;0,"",F1466)</f>
        <v>81, Gaillac, Réseau de Gaillac-ZAC de Pouille, France continentale, Base Carbone</v>
      </c>
      <c r="F1466" s="1051" t="str">
        <f t="shared" si="125"/>
        <v>81, Gaillac, Réseau de Gaillac-ZAC de Pouille, France continentale, Base Carbone</v>
      </c>
      <c r="G1466" s="1055" t="str">
        <f t="shared" si="126"/>
        <v>81, Gaillac, Réseau de Gaillac-ZAC de Pouille, France continentale, Base Carbone; kgCO2e/kWh</v>
      </c>
      <c r="I1466" s="2018" t="s">
        <v>3011</v>
      </c>
      <c r="J1466" s="1135" t="s">
        <v>1681</v>
      </c>
      <c r="K1466" s="1119" t="s">
        <v>1567</v>
      </c>
      <c r="L1466" s="1119" t="s">
        <v>1571</v>
      </c>
      <c r="M1466" s="1134">
        <v>0.3</v>
      </c>
      <c r="N1466" s="1135"/>
      <c r="O1466" s="1135">
        <v>5.2999999999999999E-2</v>
      </c>
      <c r="P1466" s="1048"/>
      <c r="Q1466" s="1048"/>
      <c r="R1466" s="1048"/>
      <c r="S1466" s="1048"/>
      <c r="T1466" s="1048"/>
      <c r="U1466" s="1102"/>
    </row>
    <row r="1467" spans="2:21" hidden="1" outlineLevel="2">
      <c r="B1467" s="1050">
        <v>546</v>
      </c>
      <c r="C1467" s="2035" t="str">
        <f t="shared" si="123"/>
        <v>81, Graulhet, Réseau de Graulhet, France continentale, Base Carbone</v>
      </c>
      <c r="D1467" s="1051">
        <f t="shared" si="124"/>
        <v>546</v>
      </c>
      <c r="E1467" s="1051" t="str">
        <f>IF(COUNTIF(E$921:E1466,F1467)&gt;0,"",F1467)</f>
        <v>81, Graulhet, Réseau de Graulhet, France continentale, Base Carbone</v>
      </c>
      <c r="F1467" s="1051" t="str">
        <f t="shared" si="125"/>
        <v>81, Graulhet, Réseau de Graulhet, France continentale, Base Carbone</v>
      </c>
      <c r="G1467" s="1055" t="str">
        <f t="shared" si="126"/>
        <v>81, Graulhet, Réseau de Graulhet, France continentale, Base Carbone; kgCO2e/kWh</v>
      </c>
      <c r="I1467" s="2018" t="s">
        <v>3012</v>
      </c>
      <c r="J1467" s="1135" t="s">
        <v>1681</v>
      </c>
      <c r="K1467" s="1119" t="s">
        <v>1567</v>
      </c>
      <c r="L1467" s="1119" t="s">
        <v>1571</v>
      </c>
      <c r="M1467" s="1134">
        <v>0.3</v>
      </c>
      <c r="N1467" s="1135"/>
      <c r="O1467" s="1135">
        <v>2.1999999999999999E-2</v>
      </c>
      <c r="P1467" s="1048"/>
      <c r="Q1467" s="1048"/>
      <c r="R1467" s="1048"/>
      <c r="S1467" s="1048"/>
      <c r="T1467" s="1048"/>
      <c r="U1467" s="1102"/>
    </row>
    <row r="1468" spans="2:21" hidden="1" outlineLevel="2">
      <c r="B1468" s="1050">
        <v>547</v>
      </c>
      <c r="C1468" s="2035" t="str">
        <f t="shared" si="123"/>
        <v>81, Mazamet, Chauffage urbain de Mazamet, France continentale, Base Carbone</v>
      </c>
      <c r="D1468" s="1051">
        <f t="shared" si="124"/>
        <v>547</v>
      </c>
      <c r="E1468" s="1051" t="str">
        <f>IF(COUNTIF(E$921:E1467,F1468)&gt;0,"",F1468)</f>
        <v>81, Mazamet, Chauffage urbain de Mazamet, France continentale, Base Carbone</v>
      </c>
      <c r="F1468" s="1051" t="str">
        <f t="shared" si="125"/>
        <v>81, Mazamet, Chauffage urbain de Mazamet, France continentale, Base Carbone</v>
      </c>
      <c r="G1468" s="1055" t="str">
        <f t="shared" si="126"/>
        <v>81, Mazamet, Chauffage urbain de Mazamet, France continentale, Base Carbone; kgCO2e/kWh</v>
      </c>
      <c r="I1468" s="2018" t="s">
        <v>1016</v>
      </c>
      <c r="J1468" s="1135" t="s">
        <v>1681</v>
      </c>
      <c r="K1468" s="1119" t="s">
        <v>1567</v>
      </c>
      <c r="L1468" s="1119" t="s">
        <v>1571</v>
      </c>
      <c r="M1468" s="1134">
        <v>0.3</v>
      </c>
      <c r="N1468" s="1135"/>
      <c r="O1468" s="1135">
        <v>7.6999999999999999E-2</v>
      </c>
      <c r="P1468" s="1048"/>
      <c r="Q1468" s="1048"/>
      <c r="R1468" s="1048"/>
      <c r="S1468" s="1048"/>
      <c r="T1468" s="1048"/>
      <c r="U1468" s="1102"/>
    </row>
    <row r="1469" spans="2:21" hidden="1" outlineLevel="2">
      <c r="B1469" s="1050">
        <v>548</v>
      </c>
      <c r="C1469" s="2035" t="str">
        <f t="shared" si="123"/>
        <v>82, Montauban, SIRTOMAD, France continentale, Base Carbone</v>
      </c>
      <c r="D1469" s="1051">
        <f t="shared" si="124"/>
        <v>548</v>
      </c>
      <c r="E1469" s="1051" t="str">
        <f>IF(COUNTIF(E$921:E1468,F1469)&gt;0,"",F1469)</f>
        <v>82, Montauban, SIRTOMAD, France continentale, Base Carbone</v>
      </c>
      <c r="F1469" s="1051" t="str">
        <f t="shared" si="125"/>
        <v>82, Montauban, SIRTOMAD, France continentale, Base Carbone</v>
      </c>
      <c r="G1469" s="1055" t="str">
        <f t="shared" si="126"/>
        <v>82, Montauban, SIRTOMAD, France continentale, Base Carbone; kgCO2e/kWh</v>
      </c>
      <c r="I1469" s="2018" t="s">
        <v>3581</v>
      </c>
      <c r="J1469" s="1135" t="s">
        <v>1681</v>
      </c>
      <c r="K1469" s="1119" t="s">
        <v>1567</v>
      </c>
      <c r="L1469" s="1119" t="s">
        <v>1571</v>
      </c>
      <c r="M1469" s="1134">
        <v>0.3</v>
      </c>
      <c r="N1469" s="1135"/>
      <c r="O1469" s="1135">
        <v>0.02</v>
      </c>
      <c r="P1469" s="1048"/>
      <c r="Q1469" s="1048"/>
      <c r="R1469" s="1048"/>
      <c r="S1469" s="1048"/>
      <c r="T1469" s="1048"/>
      <c r="U1469" s="1102"/>
    </row>
    <row r="1470" spans="2:21" hidden="1" outlineLevel="2">
      <c r="B1470" s="1050">
        <v>549</v>
      </c>
      <c r="C1470" s="2035" t="str">
        <f t="shared" si="123"/>
        <v>83, La-Seyne-sur-Mer, Berthe, France continentale, Base Carbone</v>
      </c>
      <c r="D1470" s="1051">
        <f t="shared" si="124"/>
        <v>549</v>
      </c>
      <c r="E1470" s="1051" t="str">
        <f>IF(COUNTIF(E$921:E1469,F1470)&gt;0,"",F1470)</f>
        <v>83, La-Seyne-sur-Mer, Berthe, France continentale, Base Carbone</v>
      </c>
      <c r="F1470" s="1051" t="str">
        <f t="shared" si="125"/>
        <v>83, La-Seyne-sur-Mer, Berthe, France continentale, Base Carbone</v>
      </c>
      <c r="G1470" s="1055" t="str">
        <f t="shared" si="126"/>
        <v>83, La-Seyne-sur-Mer, Berthe, France continentale, Base Carbone; kgCO2e/kWh</v>
      </c>
      <c r="I1470" s="2018" t="s">
        <v>3013</v>
      </c>
      <c r="J1470" s="1135" t="s">
        <v>1681</v>
      </c>
      <c r="K1470" s="1119" t="s">
        <v>1567</v>
      </c>
      <c r="L1470" s="1119" t="s">
        <v>1571</v>
      </c>
      <c r="M1470" s="1134">
        <v>0.3</v>
      </c>
      <c r="N1470" s="1135"/>
      <c r="O1470" s="1135">
        <v>1.0999999999999999E-2</v>
      </c>
      <c r="P1470" s="1048"/>
      <c r="Q1470" s="1048"/>
      <c r="R1470" s="1048"/>
      <c r="S1470" s="1048"/>
      <c r="T1470" s="1048"/>
      <c r="U1470" s="1102"/>
    </row>
    <row r="1471" spans="2:21" hidden="1" outlineLevel="2">
      <c r="B1471" s="1050">
        <v>550</v>
      </c>
      <c r="C1471" s="2035" t="str">
        <f t="shared" si="123"/>
        <v>83, Toulon, Réseau La Beaucaire (UIOM), France continentale, Base Carbone</v>
      </c>
      <c r="D1471" s="1051">
        <f t="shared" si="124"/>
        <v>550</v>
      </c>
      <c r="E1471" s="1051" t="str">
        <f>IF(COUNTIF(E$921:E1470,F1471)&gt;0,"",F1471)</f>
        <v>83, Toulon, Réseau La Beaucaire (UIOM), France continentale, Base Carbone</v>
      </c>
      <c r="F1471" s="1051" t="str">
        <f t="shared" si="125"/>
        <v>83, Toulon, Réseau La Beaucaire (UIOM), France continentale, Base Carbone</v>
      </c>
      <c r="G1471" s="1055" t="str">
        <f t="shared" si="126"/>
        <v>83, Toulon, Réseau La Beaucaire (UIOM), France continentale, Base Carbone; kgCO2e/kWh</v>
      </c>
      <c r="I1471" s="2018" t="s">
        <v>1017</v>
      </c>
      <c r="J1471" s="1135" t="s">
        <v>1681</v>
      </c>
      <c r="K1471" s="1119" t="s">
        <v>1567</v>
      </c>
      <c r="L1471" s="1119" t="s">
        <v>1571</v>
      </c>
      <c r="M1471" s="1134">
        <v>0.3</v>
      </c>
      <c r="N1471" s="1135"/>
      <c r="O1471" s="1135">
        <v>0</v>
      </c>
      <c r="P1471" s="1048"/>
      <c r="Q1471" s="1048"/>
      <c r="R1471" s="1048"/>
      <c r="S1471" s="1048"/>
      <c r="T1471" s="1048"/>
      <c r="U1471" s="1102"/>
    </row>
    <row r="1472" spans="2:21" hidden="1" outlineLevel="2">
      <c r="B1472" s="1050">
        <v>551</v>
      </c>
      <c r="C1472" s="2035" t="str">
        <f t="shared" si="123"/>
        <v>84, Avignon, Le Triennal, France continentale, Base Carbone</v>
      </c>
      <c r="D1472" s="1051">
        <f t="shared" si="124"/>
        <v>551</v>
      </c>
      <c r="E1472" s="1051" t="str">
        <f>IF(COUNTIF(E$921:E1471,F1472)&gt;0,"",F1472)</f>
        <v>84, Avignon, Le Triennal, France continentale, Base Carbone</v>
      </c>
      <c r="F1472" s="1051" t="str">
        <f t="shared" si="125"/>
        <v>84, Avignon, Le Triennal, France continentale, Base Carbone</v>
      </c>
      <c r="G1472" s="1055" t="str">
        <f t="shared" si="126"/>
        <v>84, Avignon, Le Triennal, France continentale, Base Carbone; kgCO2e/kWh</v>
      </c>
      <c r="I1472" s="2018" t="s">
        <v>1018</v>
      </c>
      <c r="J1472" s="1135" t="s">
        <v>1681</v>
      </c>
      <c r="K1472" s="1119" t="s">
        <v>1567</v>
      </c>
      <c r="L1472" s="1119" t="s">
        <v>1571</v>
      </c>
      <c r="M1472" s="1134">
        <v>0.3</v>
      </c>
      <c r="N1472" s="1135"/>
      <c r="O1472" s="1135">
        <v>0.216</v>
      </c>
      <c r="P1472" s="1048"/>
      <c r="Q1472" s="1048"/>
      <c r="R1472" s="1048"/>
      <c r="S1472" s="1048"/>
      <c r="T1472" s="1048"/>
      <c r="U1472" s="1102"/>
    </row>
    <row r="1473" spans="2:21" hidden="1" outlineLevel="2">
      <c r="B1473" s="1050">
        <v>552</v>
      </c>
      <c r="C1473" s="2035" t="str">
        <f t="shared" si="123"/>
        <v>85, La-Roche-sur-Yon, Quartier Vendée, France continentale, Base Carbone</v>
      </c>
      <c r="D1473" s="1051">
        <f t="shared" si="124"/>
        <v>552</v>
      </c>
      <c r="E1473" s="1051" t="str">
        <f>IF(COUNTIF(E$921:E1472,F1473)&gt;0,"",F1473)</f>
        <v>85, La-Roche-sur-Yon, Quartier Vendée, France continentale, Base Carbone</v>
      </c>
      <c r="F1473" s="1051" t="str">
        <f t="shared" si="125"/>
        <v>85, La-Roche-sur-Yon, Quartier Vendée, France continentale, Base Carbone</v>
      </c>
      <c r="G1473" s="1055" t="str">
        <f t="shared" si="126"/>
        <v>85, La-Roche-sur-Yon, Quartier Vendée, France continentale, Base Carbone; kgCO2e/kWh</v>
      </c>
      <c r="I1473" s="2018" t="s">
        <v>3014</v>
      </c>
      <c r="J1473" s="1135" t="s">
        <v>1681</v>
      </c>
      <c r="K1473" s="1119" t="s">
        <v>1567</v>
      </c>
      <c r="L1473" s="1119" t="s">
        <v>1571</v>
      </c>
      <c r="M1473" s="1134">
        <v>0.3</v>
      </c>
      <c r="N1473" s="1135"/>
      <c r="O1473" s="1135">
        <v>0.314</v>
      </c>
      <c r="P1473" s="1048"/>
      <c r="Q1473" s="1048"/>
      <c r="R1473" s="1048"/>
      <c r="S1473" s="1048"/>
      <c r="T1473" s="1048"/>
      <c r="U1473" s="1102"/>
    </row>
    <row r="1474" spans="2:21" hidden="1" outlineLevel="2">
      <c r="B1474" s="1050">
        <v>553</v>
      </c>
      <c r="C1474" s="2035" t="str">
        <f t="shared" si="123"/>
        <v>85, Les Herbiers, Réseau Les Herbiers, France continentale, Base Carbone</v>
      </c>
      <c r="D1474" s="1051">
        <f t="shared" si="124"/>
        <v>553</v>
      </c>
      <c r="E1474" s="1051" t="str">
        <f>IF(COUNTIF(E$921:E1473,F1474)&gt;0,"",F1474)</f>
        <v>85, Les Herbiers, Réseau Les Herbiers, France continentale, Base Carbone</v>
      </c>
      <c r="F1474" s="1051" t="str">
        <f t="shared" si="125"/>
        <v>85, Les Herbiers, Réseau Les Herbiers, France continentale, Base Carbone</v>
      </c>
      <c r="G1474" s="1055" t="str">
        <f t="shared" si="126"/>
        <v>85, Les Herbiers, Réseau Les Herbiers, France continentale, Base Carbone; kgCO2e/kWh</v>
      </c>
      <c r="I1474" s="2018" t="s">
        <v>1019</v>
      </c>
      <c r="J1474" s="1135" t="s">
        <v>1681</v>
      </c>
      <c r="K1474" s="1119" t="s">
        <v>1567</v>
      </c>
      <c r="L1474" s="1119" t="s">
        <v>1571</v>
      </c>
      <c r="M1474" s="1134">
        <v>0.3</v>
      </c>
      <c r="N1474" s="1135"/>
      <c r="O1474" s="1135">
        <v>0.06</v>
      </c>
      <c r="P1474" s="1048"/>
      <c r="Q1474" s="1048"/>
      <c r="R1474" s="1048"/>
      <c r="S1474" s="1048"/>
      <c r="T1474" s="1048"/>
      <c r="U1474" s="1102"/>
    </row>
    <row r="1475" spans="2:21" hidden="1" outlineLevel="2">
      <c r="B1475" s="1050">
        <v>554</v>
      </c>
      <c r="C1475" s="2035" t="str">
        <f t="shared" si="123"/>
        <v>85, Saint-Pierre-du-Chemin, Réseau de Saint-Pierre-du-Chemin, France continentale, Base Carbone</v>
      </c>
      <c r="D1475" s="1051">
        <f t="shared" si="124"/>
        <v>554</v>
      </c>
      <c r="E1475" s="1051" t="str">
        <f>IF(COUNTIF(E$921:E1474,F1475)&gt;0,"",F1475)</f>
        <v>85, Saint-Pierre-du-Chemin, Réseau de Saint-Pierre-du-Chemin, France continentale, Base Carbone</v>
      </c>
      <c r="F1475" s="1051" t="str">
        <f t="shared" si="125"/>
        <v>85, Saint-Pierre-du-Chemin, Réseau de Saint-Pierre-du-Chemin, France continentale, Base Carbone</v>
      </c>
      <c r="G1475" s="1055" t="str">
        <f t="shared" si="126"/>
        <v>85, Saint-Pierre-du-Chemin, Réseau de Saint-Pierre-du-Chemin, France continentale, Base Carbone; kgCO2e/kWh</v>
      </c>
      <c r="I1475" s="2018" t="s">
        <v>3015</v>
      </c>
      <c r="J1475" s="1135" t="s">
        <v>1681</v>
      </c>
      <c r="K1475" s="1119" t="s">
        <v>1567</v>
      </c>
      <c r="L1475" s="1119" t="s">
        <v>1571</v>
      </c>
      <c r="M1475" s="1134">
        <v>0.3</v>
      </c>
      <c r="N1475" s="1135"/>
      <c r="O1475" s="1135">
        <v>0</v>
      </c>
      <c r="P1475" s="1048"/>
      <c r="Q1475" s="1048"/>
      <c r="R1475" s="1048"/>
      <c r="S1475" s="1048"/>
      <c r="T1475" s="1048"/>
      <c r="U1475" s="1102"/>
    </row>
    <row r="1476" spans="2:21" hidden="1" outlineLevel="2">
      <c r="B1476" s="1050">
        <v>555</v>
      </c>
      <c r="C1476" s="2035" t="str">
        <f t="shared" si="123"/>
        <v>86, Civaux, Réseau de Civaux, France continentale, Base Carbone</v>
      </c>
      <c r="D1476" s="1051">
        <f t="shared" si="124"/>
        <v>555</v>
      </c>
      <c r="E1476" s="1051" t="str">
        <f>IF(COUNTIF(E$921:E1475,F1476)&gt;0,"",F1476)</f>
        <v>86, Civaux, Réseau de Civaux, France continentale, Base Carbone</v>
      </c>
      <c r="F1476" s="1051" t="str">
        <f t="shared" si="125"/>
        <v>86, Civaux, Réseau de Civaux, France continentale, Base Carbone</v>
      </c>
      <c r="G1476" s="1055" t="str">
        <f t="shared" si="126"/>
        <v>86, Civaux, Réseau de Civaux, France continentale, Base Carbone; kgCO2e/kWh</v>
      </c>
      <c r="I1476" s="2018" t="s">
        <v>3016</v>
      </c>
      <c r="J1476" s="1135" t="s">
        <v>1681</v>
      </c>
      <c r="K1476" s="1119" t="s">
        <v>1567</v>
      </c>
      <c r="L1476" s="1119" t="s">
        <v>1571</v>
      </c>
      <c r="M1476" s="1134">
        <v>0.3</v>
      </c>
      <c r="N1476" s="1135"/>
      <c r="O1476" s="1135">
        <v>7.8E-2</v>
      </c>
      <c r="P1476" s="1048"/>
      <c r="Q1476" s="1048"/>
      <c r="R1476" s="1048"/>
      <c r="S1476" s="1048"/>
      <c r="T1476" s="1048"/>
      <c r="U1476" s="1102"/>
    </row>
    <row r="1477" spans="2:21" hidden="1" outlineLevel="2">
      <c r="B1477" s="1050">
        <v>556</v>
      </c>
      <c r="C1477" s="2035" t="str">
        <f t="shared" si="123"/>
        <v>86, Poitiers, ZUP des Couronneries, France continentale, Base Carbone</v>
      </c>
      <c r="D1477" s="1051">
        <f t="shared" si="124"/>
        <v>556</v>
      </c>
      <c r="E1477" s="1051" t="str">
        <f>IF(COUNTIF(E$921:E1476,F1477)&gt;0,"",F1477)</f>
        <v>86, Poitiers, ZUP des Couronneries, France continentale, Base Carbone</v>
      </c>
      <c r="F1477" s="1051" t="str">
        <f t="shared" si="125"/>
        <v>86, Poitiers, ZUP des Couronneries, France continentale, Base Carbone</v>
      </c>
      <c r="G1477" s="1055" t="str">
        <f t="shared" si="126"/>
        <v>86, Poitiers, ZUP des Couronneries, France continentale, Base Carbone; kgCO2e/kWh</v>
      </c>
      <c r="I1477" s="2018" t="s">
        <v>1020</v>
      </c>
      <c r="J1477" s="1135" t="s">
        <v>1681</v>
      </c>
      <c r="K1477" s="1119" t="s">
        <v>1567</v>
      </c>
      <c r="L1477" s="1119" t="s">
        <v>1571</v>
      </c>
      <c r="M1477" s="1134">
        <v>0.3</v>
      </c>
      <c r="N1477" s="1135"/>
      <c r="O1477" s="1135">
        <v>7.2999999999999995E-2</v>
      </c>
      <c r="P1477" s="1048"/>
      <c r="Q1477" s="1048"/>
      <c r="R1477" s="1048"/>
      <c r="S1477" s="1048"/>
      <c r="T1477" s="1048"/>
      <c r="U1477" s="1102"/>
    </row>
    <row r="1478" spans="2:21" hidden="1" outlineLevel="2">
      <c r="B1478" s="1050">
        <v>557</v>
      </c>
      <c r="C1478" s="2035" t="str">
        <f t="shared" si="123"/>
        <v>87, Limoges, Quartier de l’Hôtel de Ville, France continentale, Base Carbone</v>
      </c>
      <c r="D1478" s="1051">
        <f t="shared" si="124"/>
        <v>557</v>
      </c>
      <c r="E1478" s="1051" t="str">
        <f>IF(COUNTIF(E$921:E1477,F1478)&gt;0,"",F1478)</f>
        <v>87, Limoges, Quartier de l’Hôtel de Ville, France continentale, Base Carbone</v>
      </c>
      <c r="F1478" s="1051" t="str">
        <f t="shared" si="125"/>
        <v>87, Limoges, Quartier de l’Hôtel de Ville, France continentale, Base Carbone</v>
      </c>
      <c r="G1478" s="1055" t="str">
        <f t="shared" si="126"/>
        <v>87, Limoges, Quartier de l’Hôtel de Ville, France continentale, Base Carbone; kgCO2e/kWh</v>
      </c>
      <c r="I1478" s="2018" t="s">
        <v>3582</v>
      </c>
      <c r="J1478" s="1135" t="s">
        <v>1681</v>
      </c>
      <c r="K1478" s="1119" t="s">
        <v>1567</v>
      </c>
      <c r="L1478" s="1119" t="s">
        <v>1571</v>
      </c>
      <c r="M1478" s="1134">
        <v>0.3</v>
      </c>
      <c r="N1478" s="1135"/>
      <c r="O1478" s="1135">
        <v>0.19</v>
      </c>
      <c r="P1478" s="1048"/>
      <c r="Q1478" s="1048"/>
      <c r="R1478" s="1048"/>
      <c r="S1478" s="1048"/>
      <c r="T1478" s="1048"/>
      <c r="U1478" s="1102"/>
    </row>
    <row r="1479" spans="2:21" hidden="1" outlineLevel="2">
      <c r="B1479" s="1050">
        <v>558</v>
      </c>
      <c r="C1479" s="2035" t="str">
        <f t="shared" si="123"/>
        <v>87, Limoges, ZAC de Beaubreuil, France continentale, Base Carbone</v>
      </c>
      <c r="D1479" s="1051">
        <f t="shared" si="124"/>
        <v>558</v>
      </c>
      <c r="E1479" s="1051" t="str">
        <f>IF(COUNTIF(E$921:E1478,F1479)&gt;0,"",F1479)</f>
        <v>87, Limoges, ZAC de Beaubreuil, France continentale, Base Carbone</v>
      </c>
      <c r="F1479" s="1051" t="str">
        <f t="shared" si="125"/>
        <v>87, Limoges, ZAC de Beaubreuil, France continentale, Base Carbone</v>
      </c>
      <c r="G1479" s="1055" t="str">
        <f t="shared" si="126"/>
        <v>87, Limoges, ZAC de Beaubreuil, France continentale, Base Carbone; kgCO2e/kWh</v>
      </c>
      <c r="I1479" s="2018" t="s">
        <v>1021</v>
      </c>
      <c r="J1479" s="1135" t="s">
        <v>1681</v>
      </c>
      <c r="K1479" s="1119" t="s">
        <v>1567</v>
      </c>
      <c r="L1479" s="1119" t="s">
        <v>1571</v>
      </c>
      <c r="M1479" s="1134">
        <v>0.3</v>
      </c>
      <c r="N1479" s="1135"/>
      <c r="O1479" s="1135">
        <v>5.0000000000000001E-3</v>
      </c>
      <c r="P1479" s="1048"/>
      <c r="Q1479" s="1048"/>
      <c r="R1479" s="1048"/>
      <c r="S1479" s="1048"/>
      <c r="T1479" s="1048"/>
      <c r="U1479" s="1102"/>
    </row>
    <row r="1480" spans="2:21" hidden="1" outlineLevel="2">
      <c r="B1480" s="1050">
        <v>559</v>
      </c>
      <c r="C1480" s="2035" t="str">
        <f t="shared" si="123"/>
        <v>87, Limoges, ZUP Val de l’Aurence, France continentale, Base Carbone</v>
      </c>
      <c r="D1480" s="1051">
        <f t="shared" si="124"/>
        <v>559</v>
      </c>
      <c r="E1480" s="1051" t="str">
        <f>IF(COUNTIF(E$921:E1479,F1480)&gt;0,"",F1480)</f>
        <v>87, Limoges, ZUP Val de l’Aurence, France continentale, Base Carbone</v>
      </c>
      <c r="F1480" s="1051" t="str">
        <f t="shared" si="125"/>
        <v>87, Limoges, ZUP Val de l’Aurence, France continentale, Base Carbone</v>
      </c>
      <c r="G1480" s="1055" t="str">
        <f t="shared" si="126"/>
        <v>87, Limoges, ZUP Val de l’Aurence, France continentale, Base Carbone; kgCO2e/kWh</v>
      </c>
      <c r="I1480" s="2018" t="s">
        <v>3583</v>
      </c>
      <c r="J1480" s="1135" t="s">
        <v>1681</v>
      </c>
      <c r="K1480" s="1119" t="s">
        <v>1567</v>
      </c>
      <c r="L1480" s="1119" t="s">
        <v>1571</v>
      </c>
      <c r="M1480" s="1134">
        <v>0.3</v>
      </c>
      <c r="N1480" s="1135"/>
      <c r="O1480" s="1135">
        <v>5.1999999999999998E-2</v>
      </c>
      <c r="P1480" s="1048"/>
      <c r="Q1480" s="1048"/>
      <c r="R1480" s="1048"/>
      <c r="S1480" s="1048"/>
      <c r="T1480" s="1048"/>
      <c r="U1480" s="1102"/>
    </row>
    <row r="1481" spans="2:21" hidden="1" outlineLevel="2">
      <c r="B1481" s="1050">
        <v>560</v>
      </c>
      <c r="C1481" s="2035" t="str">
        <f t="shared" si="123"/>
        <v>88, Epinal, Plateau de la Justice, France continentale, Base Carbone</v>
      </c>
      <c r="D1481" s="1051">
        <f t="shared" si="124"/>
        <v>560</v>
      </c>
      <c r="E1481" s="1051" t="str">
        <f>IF(COUNTIF(E$921:E1480,F1481)&gt;0,"",F1481)</f>
        <v>88, Epinal, Plateau de la Justice, France continentale, Base Carbone</v>
      </c>
      <c r="F1481" s="1051" t="str">
        <f t="shared" si="125"/>
        <v>88, Epinal, Plateau de la Justice, France continentale, Base Carbone</v>
      </c>
      <c r="G1481" s="1055" t="str">
        <f t="shared" si="126"/>
        <v>88, Epinal, Plateau de la Justice, France continentale, Base Carbone; kgCO2e/kWh</v>
      </c>
      <c r="I1481" s="2018" t="s">
        <v>1022</v>
      </c>
      <c r="J1481" s="1135" t="s">
        <v>1681</v>
      </c>
      <c r="K1481" s="1119" t="s">
        <v>1567</v>
      </c>
      <c r="L1481" s="1119" t="s">
        <v>1571</v>
      </c>
      <c r="M1481" s="1134">
        <v>0.3</v>
      </c>
      <c r="N1481" s="1135"/>
      <c r="O1481" s="1135">
        <v>0</v>
      </c>
      <c r="P1481" s="1048"/>
      <c r="Q1481" s="1048"/>
      <c r="R1481" s="1048"/>
      <c r="S1481" s="1048"/>
      <c r="T1481" s="1048"/>
      <c r="U1481" s="1102"/>
    </row>
    <row r="1482" spans="2:21" hidden="1" outlineLevel="2">
      <c r="B1482" s="1050">
        <v>561</v>
      </c>
      <c r="C1482" s="2035" t="str">
        <f t="shared" si="123"/>
        <v>88, Frémifontaine, Réseau de Frémifontaine, France continentale, Base Carbone</v>
      </c>
      <c r="D1482" s="1051">
        <f t="shared" si="124"/>
        <v>561</v>
      </c>
      <c r="E1482" s="1051" t="str">
        <f>IF(COUNTIF(E$921:E1481,F1482)&gt;0,"",F1482)</f>
        <v>88, Frémifontaine, Réseau de Frémifontaine, France continentale, Base Carbone</v>
      </c>
      <c r="F1482" s="1051" t="str">
        <f t="shared" si="125"/>
        <v>88, Frémifontaine, Réseau de Frémifontaine, France continentale, Base Carbone</v>
      </c>
      <c r="G1482" s="1055" t="str">
        <f t="shared" si="126"/>
        <v>88, Frémifontaine, Réseau de Frémifontaine, France continentale, Base Carbone; kgCO2e/kWh</v>
      </c>
      <c r="I1482" s="2018" t="s">
        <v>3584</v>
      </c>
      <c r="J1482" s="1135" t="s">
        <v>1681</v>
      </c>
      <c r="K1482" s="1119" t="s">
        <v>1567</v>
      </c>
      <c r="L1482" s="1119" t="s">
        <v>1571</v>
      </c>
      <c r="M1482" s="1134">
        <v>0.3</v>
      </c>
      <c r="N1482" s="1135"/>
      <c r="O1482" s="1135">
        <v>0</v>
      </c>
      <c r="P1482" s="1048"/>
      <c r="Q1482" s="1048"/>
      <c r="R1482" s="1048"/>
      <c r="S1482" s="1048"/>
      <c r="T1482" s="1048"/>
      <c r="U1482" s="1102"/>
    </row>
    <row r="1483" spans="2:21" hidden="1" outlineLevel="2">
      <c r="B1483" s="1050">
        <v>562</v>
      </c>
      <c r="C1483" s="2035" t="str">
        <f t="shared" ref="C1483:C1580" si="127">IF(ISNA(VLOOKUP(B1483,$D$922:$E$1582,2,FALSE)),"-",VLOOKUP(B1483,$D$922:$E$1582,2,FALSE))</f>
        <v>88, Fresse-sur-Moselle, Réseau de Fresse sur Moselle, France continentale, Base Carbone</v>
      </c>
      <c r="D1483" s="1051">
        <f t="shared" ref="D1483:D1495" si="128">D1482+IF(LEN(E1483)=0,0,1)</f>
        <v>562</v>
      </c>
      <c r="E1483" s="1051" t="str">
        <f>IF(COUNTIF(E$921:E1482,F1483)&gt;0,"",F1483)</f>
        <v>88, Fresse-sur-Moselle, Réseau de Fresse sur Moselle, France continentale, Base Carbone</v>
      </c>
      <c r="F1483" s="1051" t="str">
        <f t="shared" ref="F1483:F1495" si="129">IF(I1483&lt;&gt;"",I1483&amp;IF(L1483&lt;&gt;"",", "&amp;L1483,"")&amp;IF(K1483&lt;&gt;"",", "&amp;K1483,""),"")</f>
        <v>88, Fresse-sur-Moselle, Réseau de Fresse sur Moselle, France continentale, Base Carbone</v>
      </c>
      <c r="G1483" s="1055" t="str">
        <f t="shared" ref="G1483:G1495" si="130">IF(F1483&lt;&gt;"",F1483&amp;IF(J1483&lt;&gt;"","; "&amp;J1483,"")&amp;IF(N1483&lt;&gt;"",", "&amp;N1483,""),"")</f>
        <v>88, Fresse-sur-Moselle, Réseau de Fresse sur Moselle, France continentale, Base Carbone; kgCO2e/kWh</v>
      </c>
      <c r="I1483" s="2018" t="s">
        <v>3585</v>
      </c>
      <c r="J1483" s="1135" t="s">
        <v>1681</v>
      </c>
      <c r="K1483" s="1119" t="s">
        <v>1567</v>
      </c>
      <c r="L1483" s="1119" t="s">
        <v>1571</v>
      </c>
      <c r="M1483" s="1134">
        <v>0.3</v>
      </c>
      <c r="N1483" s="1135"/>
      <c r="O1483" s="1135">
        <v>1.6E-2</v>
      </c>
      <c r="P1483" s="1048"/>
      <c r="Q1483" s="1048"/>
      <c r="R1483" s="1048"/>
      <c r="S1483" s="1048"/>
      <c r="T1483" s="1048"/>
      <c r="U1483" s="1102"/>
    </row>
    <row r="1484" spans="2:21" hidden="1" outlineLevel="2">
      <c r="B1484" s="1050">
        <v>563</v>
      </c>
      <c r="C1484" s="2035" t="str">
        <f t="shared" si="127"/>
        <v>88, La Bresse, Réseau de la Bresse 1, France continentale, Base Carbone</v>
      </c>
      <c r="D1484" s="1051">
        <f t="shared" si="128"/>
        <v>563</v>
      </c>
      <c r="E1484" s="1051" t="str">
        <f>IF(COUNTIF(E$921:E1483,F1484)&gt;0,"",F1484)</f>
        <v>88, La Bresse, Réseau de la Bresse 1, France continentale, Base Carbone</v>
      </c>
      <c r="F1484" s="1051" t="str">
        <f t="shared" si="129"/>
        <v>88, La Bresse, Réseau de la Bresse 1, France continentale, Base Carbone</v>
      </c>
      <c r="G1484" s="1055" t="str">
        <f t="shared" si="130"/>
        <v>88, La Bresse, Réseau de la Bresse 1, France continentale, Base Carbone; kgCO2e/kWh</v>
      </c>
      <c r="I1484" s="2018" t="s">
        <v>3586</v>
      </c>
      <c r="J1484" s="1135" t="s">
        <v>1681</v>
      </c>
      <c r="K1484" s="1119" t="s">
        <v>1567</v>
      </c>
      <c r="L1484" s="1119" t="s">
        <v>1571</v>
      </c>
      <c r="M1484" s="1134">
        <v>0.3</v>
      </c>
      <c r="N1484" s="1135"/>
      <c r="O1484" s="1135">
        <v>0</v>
      </c>
      <c r="P1484" s="1048"/>
      <c r="Q1484" s="1048"/>
      <c r="R1484" s="1048"/>
      <c r="S1484" s="1048"/>
      <c r="T1484" s="1048"/>
      <c r="U1484" s="1102"/>
    </row>
    <row r="1485" spans="2:21" hidden="1" outlineLevel="2">
      <c r="B1485" s="1050">
        <v>564</v>
      </c>
      <c r="C1485" s="2035" t="str">
        <f t="shared" si="127"/>
        <v>88, La Bresse, Réseau de la Bresse 2, France continentale, Base Carbone</v>
      </c>
      <c r="D1485" s="1051">
        <f t="shared" si="128"/>
        <v>564</v>
      </c>
      <c r="E1485" s="1051" t="str">
        <f>IF(COUNTIF(E$921:E1484,F1485)&gt;0,"",F1485)</f>
        <v>88, La Bresse, Réseau de la Bresse 2, France continentale, Base Carbone</v>
      </c>
      <c r="F1485" s="1051" t="str">
        <f t="shared" si="129"/>
        <v>88, La Bresse, Réseau de la Bresse 2, France continentale, Base Carbone</v>
      </c>
      <c r="G1485" s="1055" t="str">
        <f t="shared" si="130"/>
        <v>88, La Bresse, Réseau de la Bresse 2, France continentale, Base Carbone; kgCO2e/kWh</v>
      </c>
      <c r="I1485" s="2018" t="s">
        <v>3587</v>
      </c>
      <c r="J1485" s="1135" t="s">
        <v>1681</v>
      </c>
      <c r="K1485" s="1119" t="s">
        <v>1567</v>
      </c>
      <c r="L1485" s="1119" t="s">
        <v>1571</v>
      </c>
      <c r="M1485" s="1134">
        <v>0.3</v>
      </c>
      <c r="N1485" s="1135"/>
      <c r="O1485" s="1135">
        <v>0</v>
      </c>
      <c r="P1485" s="1048"/>
      <c r="Q1485" s="1048"/>
      <c r="R1485" s="1048"/>
      <c r="S1485" s="1048"/>
      <c r="T1485" s="1048"/>
      <c r="U1485" s="1102"/>
    </row>
    <row r="1486" spans="2:21" hidden="1" outlineLevel="2">
      <c r="B1486" s="1050">
        <v>565</v>
      </c>
      <c r="C1486" s="2035" t="str">
        <f t="shared" si="127"/>
        <v>88, Monthureux-sur-Saône, Réseau de Monthureux-sur-Saône, France continentale, Base Carbone</v>
      </c>
      <c r="D1486" s="1051">
        <f t="shared" si="128"/>
        <v>565</v>
      </c>
      <c r="E1486" s="1051" t="str">
        <f>IF(COUNTIF(E$921:E1485,F1486)&gt;0,"",F1486)</f>
        <v>88, Monthureux-sur-Saône, Réseau de Monthureux-sur-Saône, France continentale, Base Carbone</v>
      </c>
      <c r="F1486" s="1051" t="str">
        <f t="shared" si="129"/>
        <v>88, Monthureux-sur-Saône, Réseau de Monthureux-sur-Saône, France continentale, Base Carbone</v>
      </c>
      <c r="G1486" s="1055" t="str">
        <f t="shared" si="130"/>
        <v>88, Monthureux-sur-Saône, Réseau de Monthureux-sur-Saône, France continentale, Base Carbone; kgCO2e/kWh</v>
      </c>
      <c r="I1486" s="2018" t="s">
        <v>3588</v>
      </c>
      <c r="J1486" s="1135" t="s">
        <v>1681</v>
      </c>
      <c r="K1486" s="1119" t="s">
        <v>1567</v>
      </c>
      <c r="L1486" s="1119" t="s">
        <v>1571</v>
      </c>
      <c r="M1486" s="1134">
        <v>0.3</v>
      </c>
      <c r="N1486" s="1135"/>
      <c r="O1486" s="1135">
        <v>7.4999999999999997E-2</v>
      </c>
      <c r="P1486" s="1048"/>
      <c r="Q1486" s="1048"/>
      <c r="R1486" s="1048"/>
      <c r="S1486" s="1048"/>
      <c r="T1486" s="1048"/>
      <c r="U1486" s="1102"/>
    </row>
    <row r="1487" spans="2:21" hidden="1" outlineLevel="2">
      <c r="B1487" s="1050">
        <v>566</v>
      </c>
      <c r="C1487" s="2035" t="str">
        <f t="shared" si="127"/>
        <v>88, Saint-Dié-des-Vosges, Quartier Kellerman, France continentale, Base Carbone</v>
      </c>
      <c r="D1487" s="1051">
        <f t="shared" si="128"/>
        <v>566</v>
      </c>
      <c r="E1487" s="1051" t="str">
        <f>IF(COUNTIF(E$921:E1486,F1487)&gt;0,"",F1487)</f>
        <v>88, Saint-Dié-des-Vosges, Quartier Kellerman, France continentale, Base Carbone</v>
      </c>
      <c r="F1487" s="1051" t="str">
        <f t="shared" si="129"/>
        <v>88, Saint-Dié-des-Vosges, Quartier Kellerman, France continentale, Base Carbone</v>
      </c>
      <c r="G1487" s="1055" t="str">
        <f t="shared" si="130"/>
        <v>88, Saint-Dié-des-Vosges, Quartier Kellerman, France continentale, Base Carbone; kgCO2e/kWh</v>
      </c>
      <c r="I1487" s="2018" t="s">
        <v>3589</v>
      </c>
      <c r="J1487" s="1135" t="s">
        <v>1681</v>
      </c>
      <c r="K1487" s="1119" t="s">
        <v>1567</v>
      </c>
      <c r="L1487" s="1119" t="s">
        <v>1571</v>
      </c>
      <c r="M1487" s="1134">
        <v>0.3</v>
      </c>
      <c r="N1487" s="1135"/>
      <c r="O1487" s="1135">
        <v>4.5999999999999999E-2</v>
      </c>
      <c r="P1487" s="1048"/>
      <c r="Q1487" s="1048"/>
      <c r="R1487" s="1048"/>
      <c r="S1487" s="1048"/>
      <c r="T1487" s="1048"/>
      <c r="U1487" s="1102"/>
    </row>
    <row r="1488" spans="2:21" hidden="1" outlineLevel="2">
      <c r="B1488" s="1050">
        <v>567</v>
      </c>
      <c r="C1488" s="2035" t="str">
        <f t="shared" si="127"/>
        <v>88, Senones, Réseau bois du pays des Abbayes, France continentale, Base Carbone</v>
      </c>
      <c r="D1488" s="1051">
        <f t="shared" si="128"/>
        <v>567</v>
      </c>
      <c r="E1488" s="1051" t="str">
        <f>IF(COUNTIF(E$921:E1487,F1488)&gt;0,"",F1488)</f>
        <v>88, Senones, Réseau bois du pays des Abbayes, France continentale, Base Carbone</v>
      </c>
      <c r="F1488" s="1051" t="str">
        <f t="shared" si="129"/>
        <v>88, Senones, Réseau bois du pays des Abbayes, France continentale, Base Carbone</v>
      </c>
      <c r="G1488" s="1055" t="str">
        <f t="shared" si="130"/>
        <v>88, Senones, Réseau bois du pays des Abbayes, France continentale, Base Carbone; kgCO2e/kWh</v>
      </c>
      <c r="I1488" s="2018" t="s">
        <v>3590</v>
      </c>
      <c r="J1488" s="1135" t="s">
        <v>1681</v>
      </c>
      <c r="K1488" s="1119" t="s">
        <v>1567</v>
      </c>
      <c r="L1488" s="1119" t="s">
        <v>1571</v>
      </c>
      <c r="M1488" s="1134">
        <v>0.3</v>
      </c>
      <c r="N1488" s="1135"/>
      <c r="O1488" s="1135">
        <v>0.192</v>
      </c>
      <c r="P1488" s="1048"/>
      <c r="Q1488" s="1048"/>
      <c r="R1488" s="1048"/>
      <c r="S1488" s="1048"/>
      <c r="T1488" s="1048"/>
      <c r="U1488" s="1102"/>
    </row>
    <row r="1489" spans="2:21" hidden="1" outlineLevel="2">
      <c r="B1489" s="1050">
        <v>568</v>
      </c>
      <c r="C1489" s="2035" t="str">
        <f t="shared" si="127"/>
        <v>88, Ventron, Réseau de Ventron, France continentale, Base Carbone</v>
      </c>
      <c r="D1489" s="1051">
        <f t="shared" si="128"/>
        <v>568</v>
      </c>
      <c r="E1489" s="1051" t="str">
        <f>IF(COUNTIF(E$921:E1488,F1489)&gt;0,"",F1489)</f>
        <v>88, Ventron, Réseau de Ventron, France continentale, Base Carbone</v>
      </c>
      <c r="F1489" s="1051" t="str">
        <f t="shared" si="129"/>
        <v>88, Ventron, Réseau de Ventron, France continentale, Base Carbone</v>
      </c>
      <c r="G1489" s="1055" t="str">
        <f t="shared" si="130"/>
        <v>88, Ventron, Réseau de Ventron, France continentale, Base Carbone; kgCO2e/kWh</v>
      </c>
      <c r="I1489" s="2018" t="s">
        <v>3591</v>
      </c>
      <c r="J1489" s="1135" t="s">
        <v>1681</v>
      </c>
      <c r="K1489" s="1119" t="s">
        <v>1567</v>
      </c>
      <c r="L1489" s="1119" t="s">
        <v>1571</v>
      </c>
      <c r="M1489" s="1134">
        <v>0.3</v>
      </c>
      <c r="N1489" s="1135"/>
      <c r="O1489" s="1135">
        <v>3.5000000000000003E-2</v>
      </c>
      <c r="P1489" s="1048"/>
      <c r="Q1489" s="1048"/>
      <c r="R1489" s="1048"/>
      <c r="S1489" s="1048"/>
      <c r="T1489" s="1048"/>
      <c r="U1489" s="1102"/>
    </row>
    <row r="1490" spans="2:21" hidden="1" outlineLevel="2">
      <c r="B1490" s="1050">
        <v>569</v>
      </c>
      <c r="C1490" s="2035" t="str">
        <f t="shared" si="127"/>
        <v>88, Vittel, ZAD du Haut de Fol, France continentale, Base Carbone</v>
      </c>
      <c r="D1490" s="1051">
        <f t="shared" si="128"/>
        <v>569</v>
      </c>
      <c r="E1490" s="1051" t="str">
        <f>IF(COUNTIF(E$921:E1489,F1490)&gt;0,"",F1490)</f>
        <v>88, Vittel, ZAD du Haut de Fol, France continentale, Base Carbone</v>
      </c>
      <c r="F1490" s="1051" t="str">
        <f t="shared" si="129"/>
        <v>88, Vittel, ZAD du Haut de Fol, France continentale, Base Carbone</v>
      </c>
      <c r="G1490" s="1055" t="str">
        <f t="shared" si="130"/>
        <v>88, Vittel, ZAD du Haut de Fol, France continentale, Base Carbone; kgCO2e/kWh</v>
      </c>
      <c r="I1490" s="2018" t="s">
        <v>1023</v>
      </c>
      <c r="J1490" s="1135" t="s">
        <v>1681</v>
      </c>
      <c r="K1490" s="1119" t="s">
        <v>1567</v>
      </c>
      <c r="L1490" s="1119" t="s">
        <v>1571</v>
      </c>
      <c r="M1490" s="1134">
        <v>0.3</v>
      </c>
      <c r="N1490" s="1135"/>
      <c r="O1490" s="1135">
        <v>0.109</v>
      </c>
      <c r="P1490" s="1048"/>
      <c r="Q1490" s="1048"/>
      <c r="R1490" s="1048"/>
      <c r="S1490" s="1048"/>
      <c r="T1490" s="1048"/>
      <c r="U1490" s="1102"/>
    </row>
    <row r="1491" spans="2:21" hidden="1" outlineLevel="2">
      <c r="B1491" s="1050">
        <v>570</v>
      </c>
      <c r="C1491" s="2035" t="str">
        <f t="shared" si="127"/>
        <v>89, Auxerre, ZUP de Sainte Geneviève, France continentale, Base Carbone</v>
      </c>
      <c r="D1491" s="1051">
        <f t="shared" si="128"/>
        <v>570</v>
      </c>
      <c r="E1491" s="1051" t="str">
        <f>IF(COUNTIF(E$921:E1490,F1491)&gt;0,"",F1491)</f>
        <v>89, Auxerre, ZUP de Sainte Geneviève, France continentale, Base Carbone</v>
      </c>
      <c r="F1491" s="1051" t="str">
        <f t="shared" si="129"/>
        <v>89, Auxerre, ZUP de Sainte Geneviève, France continentale, Base Carbone</v>
      </c>
      <c r="G1491" s="1055" t="str">
        <f t="shared" si="130"/>
        <v>89, Auxerre, ZUP de Sainte Geneviève, France continentale, Base Carbone; kgCO2e/kWh</v>
      </c>
      <c r="I1491" s="2018" t="s">
        <v>3017</v>
      </c>
      <c r="J1491" s="1135" t="s">
        <v>1681</v>
      </c>
      <c r="K1491" s="1119" t="s">
        <v>1567</v>
      </c>
      <c r="L1491" s="1119" t="s">
        <v>1571</v>
      </c>
      <c r="M1491" s="1134">
        <v>0.3</v>
      </c>
      <c r="N1491" s="1135"/>
      <c r="O1491" s="1135">
        <v>0.11899999999999999</v>
      </c>
      <c r="P1491" s="1048"/>
      <c r="Q1491" s="1048"/>
      <c r="R1491" s="1048"/>
      <c r="S1491" s="1048"/>
      <c r="T1491" s="1048"/>
      <c r="U1491" s="1102"/>
    </row>
    <row r="1492" spans="2:21" hidden="1" outlineLevel="2">
      <c r="B1492" s="1050">
        <v>571</v>
      </c>
      <c r="C1492" s="2035" t="str">
        <f t="shared" si="127"/>
        <v>89, Quarre-les-Tombes, Réseau de Quarre-les-Tombes, France continentale, Base Carbone</v>
      </c>
      <c r="D1492" s="1051">
        <f t="shared" si="128"/>
        <v>571</v>
      </c>
      <c r="E1492" s="1051" t="str">
        <f>IF(COUNTIF(E$921:E1491,F1492)&gt;0,"",F1492)</f>
        <v>89, Quarre-les-Tombes, Réseau de Quarre-les-Tombes, France continentale, Base Carbone</v>
      </c>
      <c r="F1492" s="1051" t="str">
        <f t="shared" si="129"/>
        <v>89, Quarre-les-Tombes, Réseau de Quarre-les-Tombes, France continentale, Base Carbone</v>
      </c>
      <c r="G1492" s="1055" t="str">
        <f t="shared" si="130"/>
        <v>89, Quarre-les-Tombes, Réseau de Quarre-les-Tombes, France continentale, Base Carbone; kgCO2e/kWh</v>
      </c>
      <c r="I1492" s="2018" t="s">
        <v>3592</v>
      </c>
      <c r="J1492" s="1135" t="s">
        <v>1681</v>
      </c>
      <c r="K1492" s="1119" t="s">
        <v>1567</v>
      </c>
      <c r="L1492" s="1119" t="s">
        <v>1571</v>
      </c>
      <c r="M1492" s="1134">
        <v>0.3</v>
      </c>
      <c r="N1492" s="1135"/>
      <c r="O1492" s="1135">
        <v>0.21099999999999999</v>
      </c>
      <c r="P1492" s="1048"/>
      <c r="Q1492" s="1048"/>
      <c r="R1492" s="1048"/>
      <c r="S1492" s="1048"/>
      <c r="T1492" s="1048"/>
      <c r="U1492" s="1102"/>
    </row>
    <row r="1493" spans="2:21" hidden="1" outlineLevel="2">
      <c r="B1493" s="1050">
        <v>572</v>
      </c>
      <c r="C1493" s="2035" t="str">
        <f t="shared" si="127"/>
        <v>89, Sens, Les Chaillots, France continentale, Base Carbone</v>
      </c>
      <c r="D1493" s="1051">
        <f t="shared" si="128"/>
        <v>572</v>
      </c>
      <c r="E1493" s="1051" t="str">
        <f>IF(COUNTIF(E$921:E1492,F1493)&gt;0,"",F1493)</f>
        <v>89, Sens, Les Chaillots, France continentale, Base Carbone</v>
      </c>
      <c r="F1493" s="1051" t="str">
        <f t="shared" si="129"/>
        <v>89, Sens, Les Chaillots, France continentale, Base Carbone</v>
      </c>
      <c r="G1493" s="1055" t="str">
        <f t="shared" si="130"/>
        <v>89, Sens, Les Chaillots, France continentale, Base Carbone; kgCO2e/kWh</v>
      </c>
      <c r="I1493" s="2018" t="s">
        <v>1024</v>
      </c>
      <c r="J1493" s="1135" t="s">
        <v>1681</v>
      </c>
      <c r="K1493" s="1119" t="s">
        <v>1567</v>
      </c>
      <c r="L1493" s="1119" t="s">
        <v>1571</v>
      </c>
      <c r="M1493" s="1134">
        <v>0.3</v>
      </c>
      <c r="N1493" s="1135"/>
      <c r="O1493" s="1135">
        <v>0.26800000000000002</v>
      </c>
      <c r="P1493" s="1048"/>
      <c r="Q1493" s="1048"/>
      <c r="R1493" s="1048"/>
      <c r="S1493" s="1048"/>
      <c r="T1493" s="1048"/>
      <c r="U1493" s="1102"/>
    </row>
    <row r="1494" spans="2:21" hidden="1" outlineLevel="2">
      <c r="B1494" s="1050">
        <v>573</v>
      </c>
      <c r="C1494" s="2035" t="str">
        <f t="shared" si="127"/>
        <v>89, Sens, ZUP des Grahuches, France continentale, Base Carbone</v>
      </c>
      <c r="D1494" s="1051">
        <f t="shared" si="128"/>
        <v>573</v>
      </c>
      <c r="E1494" s="1051" t="str">
        <f>IF(COUNTIF(E$921:E1493,F1494)&gt;0,"",F1494)</f>
        <v>89, Sens, ZUP des Grahuches, France continentale, Base Carbone</v>
      </c>
      <c r="F1494" s="1051" t="str">
        <f t="shared" si="129"/>
        <v>89, Sens, ZUP des Grahuches, France continentale, Base Carbone</v>
      </c>
      <c r="G1494" s="1055" t="str">
        <f t="shared" si="130"/>
        <v>89, Sens, ZUP des Grahuches, France continentale, Base Carbone; kgCO2e/kWh</v>
      </c>
      <c r="I1494" s="2018" t="s">
        <v>1025</v>
      </c>
      <c r="J1494" s="1135" t="s">
        <v>1681</v>
      </c>
      <c r="K1494" s="1119" t="s">
        <v>1567</v>
      </c>
      <c r="L1494" s="1119" t="s">
        <v>1571</v>
      </c>
      <c r="M1494" s="1134">
        <v>0.3</v>
      </c>
      <c r="N1494" s="1135"/>
      <c r="O1494" s="1135">
        <v>2.4E-2</v>
      </c>
      <c r="P1494" s="1048"/>
      <c r="Q1494" s="1048"/>
      <c r="R1494" s="1048"/>
      <c r="S1494" s="1048"/>
      <c r="T1494" s="1048"/>
      <c r="U1494" s="1102"/>
    </row>
    <row r="1495" spans="2:21" hidden="1" outlineLevel="2">
      <c r="B1495" s="1050">
        <v>574</v>
      </c>
      <c r="C1495" s="2035" t="str">
        <f t="shared" si="127"/>
        <v>90, Belfort, ZUP des Glacis, France continentale, Base Carbone</v>
      </c>
      <c r="D1495" s="1051">
        <f t="shared" si="128"/>
        <v>574</v>
      </c>
      <c r="E1495" s="1051" t="str">
        <f>IF(COUNTIF(E$921:E1494,F1495)&gt;0,"",F1495)</f>
        <v>90, Belfort, ZUP des Glacis, France continentale, Base Carbone</v>
      </c>
      <c r="F1495" s="1051" t="str">
        <f t="shared" si="129"/>
        <v>90, Belfort, ZUP des Glacis, France continentale, Base Carbone</v>
      </c>
      <c r="G1495" s="1055" t="str">
        <f t="shared" si="130"/>
        <v>90, Belfort, ZUP des Glacis, France continentale, Base Carbone; kgCO2e/kWh</v>
      </c>
      <c r="I1495" s="2018" t="s">
        <v>1026</v>
      </c>
      <c r="J1495" s="1135" t="s">
        <v>1681</v>
      </c>
      <c r="K1495" s="1119" t="s">
        <v>1567</v>
      </c>
      <c r="L1495" s="1119" t="s">
        <v>1571</v>
      </c>
      <c r="M1495" s="1134">
        <v>0.3</v>
      </c>
      <c r="N1495" s="1135"/>
      <c r="O1495" s="1135">
        <v>0.23300000000000001</v>
      </c>
      <c r="P1495" s="1048"/>
      <c r="Q1495" s="1048"/>
      <c r="R1495" s="1048"/>
      <c r="S1495" s="1048"/>
      <c r="T1495" s="1048"/>
      <c r="U1495" s="1102"/>
    </row>
    <row r="1496" spans="2:21" hidden="1" outlineLevel="2">
      <c r="B1496" s="1050">
        <v>575</v>
      </c>
      <c r="C1496" s="2035" t="str">
        <f t="shared" si="127"/>
        <v>90, Delle, Réseau de Delle, France continentale, Base Carbone</v>
      </c>
      <c r="D1496" s="1051">
        <f t="shared" ref="D1496:D1559" si="131">D1495+IF(LEN(E1496)=0,0,1)</f>
        <v>575</v>
      </c>
      <c r="E1496" s="1051" t="str">
        <f>IF(COUNTIF(E$921:E1495,F1496)&gt;0,"",F1496)</f>
        <v>90, Delle, Réseau de Delle, France continentale, Base Carbone</v>
      </c>
      <c r="F1496" s="1051" t="str">
        <f t="shared" ref="F1496:F1559" si="132">IF(I1496&lt;&gt;"",I1496&amp;IF(L1496&lt;&gt;"",", "&amp;L1496,"")&amp;IF(K1496&lt;&gt;"",", "&amp;K1496,""),"")</f>
        <v>90, Delle, Réseau de Delle, France continentale, Base Carbone</v>
      </c>
      <c r="G1496" s="1055" t="str">
        <f t="shared" ref="G1496:G1559" si="133">IF(F1496&lt;&gt;"",F1496&amp;IF(J1496&lt;&gt;"","; "&amp;J1496,"")&amp;IF(N1496&lt;&gt;"",", "&amp;N1496,""),"")</f>
        <v>90, Delle, Réseau de Delle, France continentale, Base Carbone; kgCO2e/kWh</v>
      </c>
      <c r="I1496" s="2018" t="s">
        <v>3593</v>
      </c>
      <c r="J1496" s="1135" t="s">
        <v>1681</v>
      </c>
      <c r="K1496" s="1119" t="s">
        <v>1567</v>
      </c>
      <c r="L1496" s="1119" t="s">
        <v>1571</v>
      </c>
      <c r="M1496" s="1134">
        <v>0.3</v>
      </c>
      <c r="N1496" s="1135"/>
      <c r="O1496" s="1135">
        <v>0.106</v>
      </c>
      <c r="P1496" s="1048"/>
      <c r="Q1496" s="1048"/>
      <c r="R1496" s="1048"/>
      <c r="S1496" s="1048"/>
      <c r="T1496" s="1048"/>
      <c r="U1496" s="1102"/>
    </row>
    <row r="1497" spans="2:21" hidden="1" outlineLevel="2">
      <c r="B1497" s="1050">
        <v>576</v>
      </c>
      <c r="C1497" s="2035" t="str">
        <f t="shared" si="127"/>
        <v>91, Brétigny-sur-orge, Réseau de Brétigny-sur-Orge, France continentale, Base Carbone</v>
      </c>
      <c r="D1497" s="1051">
        <f t="shared" si="131"/>
        <v>576</v>
      </c>
      <c r="E1497" s="1051" t="str">
        <f>IF(COUNTIF(E$921:E1496,F1497)&gt;0,"",F1497)</f>
        <v>91, Brétigny-sur-orge, Réseau de Brétigny-sur-Orge, France continentale, Base Carbone</v>
      </c>
      <c r="F1497" s="1051" t="str">
        <f t="shared" si="132"/>
        <v>91, Brétigny-sur-orge, Réseau de Brétigny-sur-Orge, France continentale, Base Carbone</v>
      </c>
      <c r="G1497" s="1055" t="str">
        <f t="shared" si="133"/>
        <v>91, Brétigny-sur-orge, Réseau de Brétigny-sur-Orge, France continentale, Base Carbone; kgCO2e/kWh</v>
      </c>
      <c r="I1497" s="2018" t="s">
        <v>3018</v>
      </c>
      <c r="J1497" s="1135" t="s">
        <v>1681</v>
      </c>
      <c r="K1497" s="1119" t="s">
        <v>1567</v>
      </c>
      <c r="L1497" s="1119" t="s">
        <v>1571</v>
      </c>
      <c r="M1497" s="1134">
        <v>0.3</v>
      </c>
      <c r="N1497" s="1135"/>
      <c r="O1497" s="1135">
        <v>8.7999999999999995E-2</v>
      </c>
      <c r="P1497" s="1048"/>
      <c r="Q1497" s="1048"/>
      <c r="R1497" s="1048"/>
      <c r="S1497" s="1048"/>
      <c r="T1497" s="1048"/>
      <c r="U1497" s="1102"/>
    </row>
    <row r="1498" spans="2:21" hidden="1" outlineLevel="2">
      <c r="B1498" s="1050">
        <v>577</v>
      </c>
      <c r="C1498" s="2035" t="str">
        <f t="shared" si="127"/>
        <v>91, Bruyères-le-Chatel, CEA DIF, France continentale, Base Carbone</v>
      </c>
      <c r="D1498" s="1051">
        <f t="shared" si="131"/>
        <v>577</v>
      </c>
      <c r="E1498" s="1051" t="str">
        <f>IF(COUNTIF(E$921:E1497,F1498)&gt;0,"",F1498)</f>
        <v>91, Bruyères-le-Chatel, CEA DIF, France continentale, Base Carbone</v>
      </c>
      <c r="F1498" s="1051" t="str">
        <f t="shared" si="132"/>
        <v>91, Bruyères-le-Chatel, CEA DIF, France continentale, Base Carbone</v>
      </c>
      <c r="G1498" s="1055" t="str">
        <f t="shared" si="133"/>
        <v>91, Bruyères-le-Chatel, CEA DIF, France continentale, Base Carbone; kgCO2e/kWh</v>
      </c>
      <c r="I1498" s="2018" t="s">
        <v>3019</v>
      </c>
      <c r="J1498" s="1135" t="s">
        <v>1681</v>
      </c>
      <c r="K1498" s="1119" t="s">
        <v>1567</v>
      </c>
      <c r="L1498" s="1119" t="s">
        <v>1571</v>
      </c>
      <c r="M1498" s="1134">
        <v>0.3</v>
      </c>
      <c r="N1498" s="1135"/>
      <c r="O1498" s="1135">
        <v>0.219</v>
      </c>
      <c r="P1498" s="1048"/>
      <c r="Q1498" s="1048"/>
      <c r="R1498" s="1048"/>
      <c r="S1498" s="1048"/>
      <c r="T1498" s="1048"/>
      <c r="U1498" s="1102"/>
    </row>
    <row r="1499" spans="2:21" hidden="1" outlineLevel="2">
      <c r="B1499" s="1050">
        <v>578</v>
      </c>
      <c r="C1499" s="2035" t="str">
        <f t="shared" si="127"/>
        <v>91, Dourdan, Réseau de Dourdan, France continentale, Base Carbone</v>
      </c>
      <c r="D1499" s="1051">
        <f t="shared" si="131"/>
        <v>578</v>
      </c>
      <c r="E1499" s="1051" t="str">
        <f>IF(COUNTIF(E$921:E1498,F1499)&gt;0,"",F1499)</f>
        <v>91, Dourdan, Réseau de Dourdan, France continentale, Base Carbone</v>
      </c>
      <c r="F1499" s="1051" t="str">
        <f t="shared" si="132"/>
        <v>91, Dourdan, Réseau de Dourdan, France continentale, Base Carbone</v>
      </c>
      <c r="G1499" s="1055" t="str">
        <f t="shared" si="133"/>
        <v>91, Dourdan, Réseau de Dourdan, France continentale, Base Carbone; kgCO2e/kWh</v>
      </c>
      <c r="I1499" s="2018" t="s">
        <v>1027</v>
      </c>
      <c r="J1499" s="1135" t="s">
        <v>1681</v>
      </c>
      <c r="K1499" s="1119" t="s">
        <v>1567</v>
      </c>
      <c r="L1499" s="1119" t="s">
        <v>1571</v>
      </c>
      <c r="M1499" s="1134">
        <v>0.3</v>
      </c>
      <c r="N1499" s="1135"/>
      <c r="O1499" s="1135">
        <v>0.246</v>
      </c>
      <c r="P1499" s="1048"/>
      <c r="Q1499" s="1048"/>
      <c r="R1499" s="1048"/>
      <c r="S1499" s="1048"/>
      <c r="T1499" s="1048"/>
      <c r="U1499" s="1102"/>
    </row>
    <row r="1500" spans="2:21" hidden="1" outlineLevel="2">
      <c r="B1500" s="1050">
        <v>579</v>
      </c>
      <c r="C1500" s="2035" t="str">
        <f t="shared" si="127"/>
        <v>91, Epinay-sous-Sénart, Réseau d’Epinay sous Sénart, France continentale, Base Carbone</v>
      </c>
      <c r="D1500" s="1051">
        <f t="shared" si="131"/>
        <v>579</v>
      </c>
      <c r="E1500" s="1051" t="str">
        <f>IF(COUNTIF(E$921:E1499,F1500)&gt;0,"",F1500)</f>
        <v>91, Epinay-sous-Sénart, Réseau d’Epinay sous Sénart, France continentale, Base Carbone</v>
      </c>
      <c r="F1500" s="1051" t="str">
        <f t="shared" si="132"/>
        <v>91, Epinay-sous-Sénart, Réseau d’Epinay sous Sénart, France continentale, Base Carbone</v>
      </c>
      <c r="G1500" s="1055" t="str">
        <f t="shared" si="133"/>
        <v>91, Epinay-sous-Sénart, Réseau d’Epinay sous Sénart, France continentale, Base Carbone; kgCO2e/kWh</v>
      </c>
      <c r="I1500" s="2018" t="s">
        <v>3594</v>
      </c>
      <c r="J1500" s="1135" t="s">
        <v>1681</v>
      </c>
      <c r="K1500" s="1119" t="s">
        <v>1567</v>
      </c>
      <c r="L1500" s="1119" t="s">
        <v>1571</v>
      </c>
      <c r="M1500" s="1134">
        <v>0.3</v>
      </c>
      <c r="N1500" s="1135"/>
      <c r="O1500" s="1135">
        <v>9.4E-2</v>
      </c>
      <c r="P1500" s="1048"/>
      <c r="Q1500" s="1048"/>
      <c r="R1500" s="1048"/>
      <c r="S1500" s="1048"/>
      <c r="T1500" s="1048"/>
      <c r="U1500" s="1102"/>
    </row>
    <row r="1501" spans="2:21" hidden="1" outlineLevel="2">
      <c r="B1501" s="1050">
        <v>580</v>
      </c>
      <c r="C1501" s="2035" t="str">
        <f t="shared" si="127"/>
        <v>91, Evry, Réseau d’Evry, France continentale, Base Carbone</v>
      </c>
      <c r="D1501" s="1051">
        <f t="shared" si="131"/>
        <v>580</v>
      </c>
      <c r="E1501" s="1051" t="str">
        <f>IF(COUNTIF(E$921:E1500,F1501)&gt;0,"",F1501)</f>
        <v>91, Evry, Réseau d’Evry, France continentale, Base Carbone</v>
      </c>
      <c r="F1501" s="1051" t="str">
        <f t="shared" si="132"/>
        <v>91, Evry, Réseau d’Evry, France continentale, Base Carbone</v>
      </c>
      <c r="G1501" s="1055" t="str">
        <f t="shared" si="133"/>
        <v>91, Evry, Réseau d’Evry, France continentale, Base Carbone; kgCO2e/kWh</v>
      </c>
      <c r="I1501" s="2018" t="s">
        <v>3595</v>
      </c>
      <c r="J1501" s="1135" t="s">
        <v>1681</v>
      </c>
      <c r="K1501" s="1119" t="s">
        <v>1567</v>
      </c>
      <c r="L1501" s="1119" t="s">
        <v>1571</v>
      </c>
      <c r="M1501" s="1134">
        <v>0.3</v>
      </c>
      <c r="N1501" s="1135"/>
      <c r="O1501" s="1135">
        <v>0.193</v>
      </c>
      <c r="P1501" s="1048"/>
      <c r="Q1501" s="1048"/>
      <c r="R1501" s="1048"/>
      <c r="S1501" s="1048"/>
      <c r="T1501" s="1048"/>
      <c r="U1501" s="1102"/>
    </row>
    <row r="1502" spans="2:21" hidden="1" outlineLevel="2">
      <c r="B1502" s="1050">
        <v>581</v>
      </c>
      <c r="C1502" s="2035" t="str">
        <f t="shared" si="127"/>
        <v>91, Grigny, Réseau de Grigny Rougnon, France continentale, Base Carbone</v>
      </c>
      <c r="D1502" s="1051">
        <f t="shared" si="131"/>
        <v>581</v>
      </c>
      <c r="E1502" s="1051" t="str">
        <f>IF(COUNTIF(E$921:E1501,F1502)&gt;0,"",F1502)</f>
        <v>91, Grigny, Réseau de Grigny Rougnon, France continentale, Base Carbone</v>
      </c>
      <c r="F1502" s="1051" t="str">
        <f t="shared" si="132"/>
        <v>91, Grigny, Réseau de Grigny Rougnon, France continentale, Base Carbone</v>
      </c>
      <c r="G1502" s="1055" t="str">
        <f t="shared" si="133"/>
        <v>91, Grigny, Réseau de Grigny Rougnon, France continentale, Base Carbone; kgCO2e/kWh</v>
      </c>
      <c r="I1502" s="2018" t="s">
        <v>3596</v>
      </c>
      <c r="J1502" s="1135" t="s">
        <v>1681</v>
      </c>
      <c r="K1502" s="1119" t="s">
        <v>1567</v>
      </c>
      <c r="L1502" s="1119" t="s">
        <v>1571</v>
      </c>
      <c r="M1502" s="1134">
        <v>0.3</v>
      </c>
      <c r="N1502" s="1135"/>
      <c r="O1502" s="1135">
        <v>0.19700000000000001</v>
      </c>
      <c r="P1502" s="1048"/>
      <c r="Q1502" s="1048"/>
      <c r="R1502" s="1048"/>
      <c r="S1502" s="1048"/>
      <c r="T1502" s="1048"/>
      <c r="U1502" s="1102"/>
    </row>
    <row r="1503" spans="2:21" hidden="1" outlineLevel="2">
      <c r="B1503" s="1050">
        <v>582</v>
      </c>
      <c r="C1503" s="2035" t="str">
        <f t="shared" si="127"/>
        <v>91, Grigny, Réseau de Grigny SOCCRAM, France continentale, Base Carbone</v>
      </c>
      <c r="D1503" s="1051">
        <f t="shared" si="131"/>
        <v>582</v>
      </c>
      <c r="E1503" s="1051" t="str">
        <f>IF(COUNTIF(E$921:E1502,F1503)&gt;0,"",F1503)</f>
        <v>91, Grigny, Réseau de Grigny SOCCRAM, France continentale, Base Carbone</v>
      </c>
      <c r="F1503" s="1051" t="str">
        <f t="shared" si="132"/>
        <v>91, Grigny, Réseau de Grigny SOCCRAM, France continentale, Base Carbone</v>
      </c>
      <c r="G1503" s="1055" t="str">
        <f t="shared" si="133"/>
        <v>91, Grigny, Réseau de Grigny SOCCRAM, France continentale, Base Carbone; kgCO2e/kWh</v>
      </c>
      <c r="I1503" s="2018" t="s">
        <v>1028</v>
      </c>
      <c r="J1503" s="1135" t="s">
        <v>1681</v>
      </c>
      <c r="K1503" s="1119" t="s">
        <v>1567</v>
      </c>
      <c r="L1503" s="1119" t="s">
        <v>1571</v>
      </c>
      <c r="M1503" s="1134">
        <v>0.3</v>
      </c>
      <c r="N1503" s="1135"/>
      <c r="O1503" s="1135">
        <v>0.191</v>
      </c>
      <c r="P1503" s="1048"/>
      <c r="Q1503" s="1048"/>
      <c r="R1503" s="1048"/>
      <c r="S1503" s="1048"/>
      <c r="T1503" s="1048"/>
      <c r="U1503" s="1102"/>
    </row>
    <row r="1504" spans="2:21" hidden="1" outlineLevel="2">
      <c r="B1504" s="1050">
        <v>583</v>
      </c>
      <c r="C1504" s="2035" t="str">
        <f t="shared" si="127"/>
        <v>91, Les Ulis, Réseau des Ulis, France continentale, Base Carbone</v>
      </c>
      <c r="D1504" s="1051">
        <f t="shared" si="131"/>
        <v>583</v>
      </c>
      <c r="E1504" s="1051" t="str">
        <f>IF(COUNTIF(E$921:E1503,F1504)&gt;0,"",F1504)</f>
        <v>91, Les Ulis, Réseau des Ulis, France continentale, Base Carbone</v>
      </c>
      <c r="F1504" s="1051" t="str">
        <f t="shared" si="132"/>
        <v>91, Les Ulis, Réseau des Ulis, France continentale, Base Carbone</v>
      </c>
      <c r="G1504" s="1055" t="str">
        <f t="shared" si="133"/>
        <v>91, Les Ulis, Réseau des Ulis, France continentale, Base Carbone; kgCO2e/kWh</v>
      </c>
      <c r="I1504" s="2018" t="s">
        <v>3597</v>
      </c>
      <c r="J1504" s="1135" t="s">
        <v>1681</v>
      </c>
      <c r="K1504" s="1119" t="s">
        <v>1567</v>
      </c>
      <c r="L1504" s="1119" t="s">
        <v>1571</v>
      </c>
      <c r="M1504" s="1134">
        <v>0.3</v>
      </c>
      <c r="N1504" s="1135"/>
      <c r="O1504" s="1135">
        <v>7.2999999999999995E-2</v>
      </c>
      <c r="P1504" s="1048"/>
      <c r="Q1504" s="1048"/>
      <c r="R1504" s="1048"/>
      <c r="S1504" s="1048"/>
      <c r="T1504" s="1048"/>
      <c r="U1504" s="1102"/>
    </row>
    <row r="1505" spans="2:21" hidden="1" outlineLevel="2">
      <c r="B1505" s="1050">
        <v>584</v>
      </c>
      <c r="C1505" s="2035" t="str">
        <f t="shared" si="127"/>
        <v>91, Massy, Réseau de Massy-Antony, France continentale, Base Carbone</v>
      </c>
      <c r="D1505" s="1051">
        <f t="shared" si="131"/>
        <v>584</v>
      </c>
      <c r="E1505" s="1051" t="str">
        <f>IF(COUNTIF(E$921:E1504,F1505)&gt;0,"",F1505)</f>
        <v>91, Massy, Réseau de Massy-Antony, France continentale, Base Carbone</v>
      </c>
      <c r="F1505" s="1051" t="str">
        <f t="shared" si="132"/>
        <v>91, Massy, Réseau de Massy-Antony, France continentale, Base Carbone</v>
      </c>
      <c r="G1505" s="1055" t="str">
        <f t="shared" si="133"/>
        <v>91, Massy, Réseau de Massy-Antony, France continentale, Base Carbone; kgCO2e/kWh</v>
      </c>
      <c r="I1505" s="2018" t="s">
        <v>1029</v>
      </c>
      <c r="J1505" s="1135" t="s">
        <v>1681</v>
      </c>
      <c r="K1505" s="1119" t="s">
        <v>1567</v>
      </c>
      <c r="L1505" s="1119" t="s">
        <v>1571</v>
      </c>
      <c r="M1505" s="1134">
        <v>0.3</v>
      </c>
      <c r="N1505" s="1135"/>
      <c r="O1505" s="1135">
        <v>0.16300000000000001</v>
      </c>
      <c r="P1505" s="1048"/>
      <c r="Q1505" s="1048"/>
      <c r="R1505" s="1048"/>
      <c r="S1505" s="1048"/>
      <c r="T1505" s="1048"/>
      <c r="U1505" s="1102"/>
    </row>
    <row r="1506" spans="2:21" hidden="1" outlineLevel="2">
      <c r="B1506" s="1050">
        <v>585</v>
      </c>
      <c r="C1506" s="2035" t="str">
        <f t="shared" si="127"/>
        <v>91, Ris-Orangis, Réseau de Ris-Orangis, France continentale, Base Carbone</v>
      </c>
      <c r="D1506" s="1051">
        <f t="shared" si="131"/>
        <v>585</v>
      </c>
      <c r="E1506" s="1051" t="str">
        <f>IF(COUNTIF(E$921:E1505,F1506)&gt;0,"",F1506)</f>
        <v>91, Ris-Orangis, Réseau de Ris-Orangis, France continentale, Base Carbone</v>
      </c>
      <c r="F1506" s="1051" t="str">
        <f t="shared" si="132"/>
        <v>91, Ris-Orangis, Réseau de Ris-Orangis, France continentale, Base Carbone</v>
      </c>
      <c r="G1506" s="1055" t="str">
        <f t="shared" si="133"/>
        <v>91, Ris-Orangis, Réseau de Ris-Orangis, France continentale, Base Carbone; kgCO2e/kWh</v>
      </c>
      <c r="I1506" s="2018" t="s">
        <v>1030</v>
      </c>
      <c r="J1506" s="1135" t="s">
        <v>1681</v>
      </c>
      <c r="K1506" s="1119" t="s">
        <v>1567</v>
      </c>
      <c r="L1506" s="1119" t="s">
        <v>1571</v>
      </c>
      <c r="M1506" s="1134">
        <v>0.3</v>
      </c>
      <c r="N1506" s="1135"/>
      <c r="O1506" s="1135">
        <v>0.10100000000000001</v>
      </c>
      <c r="P1506" s="1048"/>
      <c r="Q1506" s="1048"/>
      <c r="R1506" s="1048"/>
      <c r="S1506" s="1048"/>
      <c r="T1506" s="1048"/>
      <c r="U1506" s="1102"/>
    </row>
    <row r="1507" spans="2:21" hidden="1" outlineLevel="2">
      <c r="B1507" s="1050">
        <v>586</v>
      </c>
      <c r="C1507" s="2035" t="str">
        <f t="shared" si="127"/>
        <v>91, Saint-Michel-Sur-Orge, Domaine du Bois des Roches, France continentale, Base Carbone</v>
      </c>
      <c r="D1507" s="1051">
        <f t="shared" si="131"/>
        <v>586</v>
      </c>
      <c r="E1507" s="1051" t="str">
        <f>IF(COUNTIF(E$921:E1506,F1507)&gt;0,"",F1507)</f>
        <v>91, Saint-Michel-Sur-Orge, Domaine du Bois des Roches, France continentale, Base Carbone</v>
      </c>
      <c r="F1507" s="1051" t="str">
        <f t="shared" si="132"/>
        <v>91, Saint-Michel-Sur-Orge, Domaine du Bois des Roches, France continentale, Base Carbone</v>
      </c>
      <c r="G1507" s="1055" t="str">
        <f t="shared" si="133"/>
        <v>91, Saint-Michel-Sur-Orge, Domaine du Bois des Roches, France continentale, Base Carbone; kgCO2e/kWh</v>
      </c>
      <c r="I1507" s="2018" t="s">
        <v>3020</v>
      </c>
      <c r="J1507" s="1135" t="s">
        <v>1681</v>
      </c>
      <c r="K1507" s="1119" t="s">
        <v>1567</v>
      </c>
      <c r="L1507" s="1119" t="s">
        <v>1571</v>
      </c>
      <c r="M1507" s="1134">
        <v>0.3</v>
      </c>
      <c r="N1507" s="1135"/>
      <c r="O1507" s="1135">
        <v>0.23400000000000001</v>
      </c>
      <c r="P1507" s="1048"/>
      <c r="Q1507" s="1048"/>
      <c r="R1507" s="1048"/>
      <c r="S1507" s="1048"/>
      <c r="T1507" s="1048"/>
      <c r="U1507" s="1102"/>
    </row>
    <row r="1508" spans="2:21" hidden="1" outlineLevel="2">
      <c r="B1508" s="1050">
        <v>587</v>
      </c>
      <c r="C1508" s="2035" t="str">
        <f t="shared" si="127"/>
        <v>91, Sainte-Geneviève-des-Bois, ZUP de Saint Hubert et Louis Pergaud, France continentale, Base Carbone</v>
      </c>
      <c r="D1508" s="1051">
        <f t="shared" si="131"/>
        <v>587</v>
      </c>
      <c r="E1508" s="1051" t="str">
        <f>IF(COUNTIF(E$921:E1507,F1508)&gt;0,"",F1508)</f>
        <v>91, Sainte-Geneviève-des-Bois, ZUP de Saint Hubert et Louis Pergaud, France continentale, Base Carbone</v>
      </c>
      <c r="F1508" s="1051" t="str">
        <f t="shared" si="132"/>
        <v>91, Sainte-Geneviève-des-Bois, ZUP de Saint Hubert et Louis Pergaud, France continentale, Base Carbone</v>
      </c>
      <c r="G1508" s="1055" t="str">
        <f t="shared" si="133"/>
        <v>91, Sainte-Geneviève-des-Bois, ZUP de Saint Hubert et Louis Pergaud, France continentale, Base Carbone; kgCO2e/kWh</v>
      </c>
      <c r="I1508" s="2018" t="s">
        <v>3598</v>
      </c>
      <c r="J1508" s="1135" t="s">
        <v>1681</v>
      </c>
      <c r="K1508" s="1119" t="s">
        <v>1567</v>
      </c>
      <c r="L1508" s="1119" t="s">
        <v>1571</v>
      </c>
      <c r="M1508" s="1134">
        <v>0.3</v>
      </c>
      <c r="N1508" s="1135"/>
      <c r="O1508" s="1135">
        <v>0.219</v>
      </c>
      <c r="P1508" s="1048"/>
      <c r="Q1508" s="1048"/>
      <c r="R1508" s="1048"/>
      <c r="S1508" s="1048"/>
      <c r="T1508" s="1048"/>
      <c r="U1508" s="1102"/>
    </row>
    <row r="1509" spans="2:21" hidden="1" outlineLevel="2">
      <c r="B1509" s="1050">
        <v>588</v>
      </c>
      <c r="C1509" s="2035" t="str">
        <f t="shared" si="127"/>
        <v>91, Vigneux-sur-Seine, ZUP de la Croix Blanche, France continentale, Base Carbone</v>
      </c>
      <c r="D1509" s="1051">
        <f t="shared" si="131"/>
        <v>588</v>
      </c>
      <c r="E1509" s="1051" t="str">
        <f>IF(COUNTIF(E$921:E1508,F1509)&gt;0,"",F1509)</f>
        <v>91, Vigneux-sur-Seine, ZUP de la Croix Blanche, France continentale, Base Carbone</v>
      </c>
      <c r="F1509" s="1051" t="str">
        <f t="shared" si="132"/>
        <v>91, Vigneux-sur-Seine, ZUP de la Croix Blanche, France continentale, Base Carbone</v>
      </c>
      <c r="G1509" s="1055" t="str">
        <f t="shared" si="133"/>
        <v>91, Vigneux-sur-Seine, ZUP de la Croix Blanche, France continentale, Base Carbone; kgCO2e/kWh</v>
      </c>
      <c r="I1509" s="2018" t="s">
        <v>1031</v>
      </c>
      <c r="J1509" s="1135" t="s">
        <v>1681</v>
      </c>
      <c r="K1509" s="1119" t="s">
        <v>1567</v>
      </c>
      <c r="L1509" s="1119" t="s">
        <v>1571</v>
      </c>
      <c r="M1509" s="1134">
        <v>0.3</v>
      </c>
      <c r="N1509" s="1135"/>
      <c r="O1509" s="1135">
        <v>0.16400000000000001</v>
      </c>
      <c r="P1509" s="1048"/>
      <c r="Q1509" s="1048"/>
      <c r="R1509" s="1048"/>
      <c r="S1509" s="1048"/>
      <c r="T1509" s="1048"/>
      <c r="U1509" s="1102"/>
    </row>
    <row r="1510" spans="2:21" hidden="1" outlineLevel="2">
      <c r="B1510" s="1050">
        <v>589</v>
      </c>
      <c r="C1510" s="2035" t="str">
        <f t="shared" si="127"/>
        <v>91, Villejust, Parc d’activités, France continentale, Base Carbone</v>
      </c>
      <c r="D1510" s="1051">
        <f t="shared" si="131"/>
        <v>589</v>
      </c>
      <c r="E1510" s="1051" t="str">
        <f>IF(COUNTIF(E$921:E1509,F1510)&gt;0,"",F1510)</f>
        <v>91, Villejust, Parc d’activités, France continentale, Base Carbone</v>
      </c>
      <c r="F1510" s="1051" t="str">
        <f t="shared" si="132"/>
        <v>91, Villejust, Parc d’activités, France continentale, Base Carbone</v>
      </c>
      <c r="G1510" s="1055" t="str">
        <f t="shared" si="133"/>
        <v>91, Villejust, Parc d’activités, France continentale, Base Carbone; kgCO2e/kWh</v>
      </c>
      <c r="I1510" s="2018" t="s">
        <v>3599</v>
      </c>
      <c r="J1510" s="1135" t="s">
        <v>1681</v>
      </c>
      <c r="K1510" s="1119" t="s">
        <v>1567</v>
      </c>
      <c r="L1510" s="1119" t="s">
        <v>1571</v>
      </c>
      <c r="M1510" s="1134">
        <v>0.3</v>
      </c>
      <c r="N1510" s="1135"/>
      <c r="O1510" s="1135">
        <v>0</v>
      </c>
      <c r="P1510" s="1048"/>
      <c r="Q1510" s="1048"/>
      <c r="R1510" s="1048"/>
      <c r="S1510" s="1048"/>
      <c r="T1510" s="1048"/>
      <c r="U1510" s="1102"/>
    </row>
    <row r="1511" spans="2:21" hidden="1" outlineLevel="2">
      <c r="B1511" s="1050">
        <v>590</v>
      </c>
      <c r="C1511" s="2035" t="str">
        <f t="shared" si="127"/>
        <v>91, Viry-Châtillon, Réseau de Viry Châtillon, France continentale, Base Carbone</v>
      </c>
      <c r="D1511" s="1051">
        <f t="shared" si="131"/>
        <v>590</v>
      </c>
      <c r="E1511" s="1051" t="str">
        <f>IF(COUNTIF(E$921:E1510,F1511)&gt;0,"",F1511)</f>
        <v>91, Viry-Châtillon, Réseau de Viry Châtillon, France continentale, Base Carbone</v>
      </c>
      <c r="F1511" s="1051" t="str">
        <f t="shared" si="132"/>
        <v>91, Viry-Châtillon, Réseau de Viry Châtillon, France continentale, Base Carbone</v>
      </c>
      <c r="G1511" s="1055" t="str">
        <f t="shared" si="133"/>
        <v>91, Viry-Châtillon, Réseau de Viry Châtillon, France continentale, Base Carbone; kgCO2e/kWh</v>
      </c>
      <c r="I1511" s="2018" t="s">
        <v>3021</v>
      </c>
      <c r="J1511" s="1135" t="s">
        <v>1681</v>
      </c>
      <c r="K1511" s="1119" t="s">
        <v>1567</v>
      </c>
      <c r="L1511" s="1119" t="s">
        <v>1571</v>
      </c>
      <c r="M1511" s="1134">
        <v>0.3</v>
      </c>
      <c r="N1511" s="1135"/>
      <c r="O1511" s="1135">
        <v>0.22600000000000001</v>
      </c>
      <c r="P1511" s="1048"/>
      <c r="Q1511" s="1048"/>
      <c r="R1511" s="1048"/>
      <c r="S1511" s="1048"/>
      <c r="T1511" s="1048"/>
      <c r="U1511" s="1102"/>
    </row>
    <row r="1512" spans="2:21" hidden="1" outlineLevel="2">
      <c r="B1512" s="1050">
        <v>591</v>
      </c>
      <c r="C1512" s="2035" t="str">
        <f t="shared" si="127"/>
        <v>92, Bagneux, Réseau de Bagneux-Chatillon, France continentale, Base Carbone</v>
      </c>
      <c r="D1512" s="1051">
        <f t="shared" si="131"/>
        <v>591</v>
      </c>
      <c r="E1512" s="1051" t="str">
        <f>IF(COUNTIF(E$921:E1511,F1512)&gt;0,"",F1512)</f>
        <v>92, Bagneux, Réseau de Bagneux-Chatillon, France continentale, Base Carbone</v>
      </c>
      <c r="F1512" s="1051" t="str">
        <f t="shared" si="132"/>
        <v>92, Bagneux, Réseau de Bagneux-Chatillon, France continentale, Base Carbone</v>
      </c>
      <c r="G1512" s="1055" t="str">
        <f t="shared" si="133"/>
        <v>92, Bagneux, Réseau de Bagneux-Chatillon, France continentale, Base Carbone; kgCO2e/kWh</v>
      </c>
      <c r="I1512" s="2018" t="s">
        <v>3600</v>
      </c>
      <c r="J1512" s="1135" t="s">
        <v>1681</v>
      </c>
      <c r="K1512" s="1119" t="s">
        <v>1567</v>
      </c>
      <c r="L1512" s="1119" t="s">
        <v>1571</v>
      </c>
      <c r="M1512" s="1134">
        <v>0.3</v>
      </c>
      <c r="N1512" s="1135"/>
      <c r="O1512" s="1135">
        <v>0.19</v>
      </c>
      <c r="P1512" s="1048"/>
      <c r="Q1512" s="1048"/>
      <c r="R1512" s="1048"/>
      <c r="S1512" s="1048"/>
      <c r="T1512" s="1048"/>
      <c r="U1512" s="1102"/>
    </row>
    <row r="1513" spans="2:21" hidden="1" outlineLevel="2">
      <c r="B1513" s="1050">
        <v>592</v>
      </c>
      <c r="C1513" s="2035" t="str">
        <f t="shared" si="127"/>
        <v>92, Boulogne-Billancourt, ZAC île Séguin Rives de Seine, France continentale, Base Carbone</v>
      </c>
      <c r="D1513" s="1051">
        <f t="shared" si="131"/>
        <v>592</v>
      </c>
      <c r="E1513" s="1051" t="str">
        <f>IF(COUNTIF(E$921:E1512,F1513)&gt;0,"",F1513)</f>
        <v>92, Boulogne-Billancourt, ZAC île Séguin Rives de Seine, France continentale, Base Carbone</v>
      </c>
      <c r="F1513" s="1051" t="str">
        <f t="shared" si="132"/>
        <v>92, Boulogne-Billancourt, ZAC île Séguin Rives de Seine, France continentale, Base Carbone</v>
      </c>
      <c r="G1513" s="1055" t="str">
        <f t="shared" si="133"/>
        <v>92, Boulogne-Billancourt, ZAC île Séguin Rives de Seine, France continentale, Base Carbone; kgCO2e/kWh</v>
      </c>
      <c r="I1513" s="2018" t="s">
        <v>3022</v>
      </c>
      <c r="J1513" s="1135" t="s">
        <v>1681</v>
      </c>
      <c r="K1513" s="1119" t="s">
        <v>1567</v>
      </c>
      <c r="L1513" s="1119" t="s">
        <v>1571</v>
      </c>
      <c r="M1513" s="1134">
        <v>0.3</v>
      </c>
      <c r="N1513" s="1135"/>
      <c r="O1513" s="1135">
        <v>0.13</v>
      </c>
      <c r="P1513" s="1048"/>
      <c r="Q1513" s="1048"/>
      <c r="R1513" s="1048"/>
      <c r="S1513" s="1048"/>
      <c r="T1513" s="1048"/>
      <c r="U1513" s="1102"/>
    </row>
    <row r="1514" spans="2:21" hidden="1" outlineLevel="2">
      <c r="B1514" s="1050">
        <v>593</v>
      </c>
      <c r="C1514" s="2035" t="str">
        <f t="shared" si="127"/>
        <v>92, Châtillon-Sous-Bagneux, Réseau de Châtillon sous Bagneux Cocharec, France continentale, Base Carbone</v>
      </c>
      <c r="D1514" s="1051">
        <f t="shared" si="131"/>
        <v>593</v>
      </c>
      <c r="E1514" s="1051" t="str">
        <f>IF(COUNTIF(E$921:E1513,F1514)&gt;0,"",F1514)</f>
        <v>92, Châtillon-Sous-Bagneux, Réseau de Châtillon sous Bagneux Cocharec, France continentale, Base Carbone</v>
      </c>
      <c r="F1514" s="1051" t="str">
        <f t="shared" si="132"/>
        <v>92, Châtillon-Sous-Bagneux, Réseau de Châtillon sous Bagneux Cocharec, France continentale, Base Carbone</v>
      </c>
      <c r="G1514" s="1055" t="str">
        <f t="shared" si="133"/>
        <v>92, Châtillon-Sous-Bagneux, Réseau de Châtillon sous Bagneux Cocharec, France continentale, Base Carbone; kgCO2e/kWh</v>
      </c>
      <c r="I1514" s="2018" t="s">
        <v>3023</v>
      </c>
      <c r="J1514" s="1135" t="s">
        <v>1681</v>
      </c>
      <c r="K1514" s="1119" t="s">
        <v>1567</v>
      </c>
      <c r="L1514" s="1119" t="s">
        <v>1571</v>
      </c>
      <c r="M1514" s="1134">
        <v>0.3</v>
      </c>
      <c r="N1514" s="1135"/>
      <c r="O1514" s="1135">
        <v>0.28199999999999997</v>
      </c>
      <c r="P1514" s="1048"/>
      <c r="Q1514" s="1048"/>
      <c r="R1514" s="1048"/>
      <c r="S1514" s="1048"/>
      <c r="T1514" s="1048"/>
      <c r="U1514" s="1102"/>
    </row>
    <row r="1515" spans="2:21" hidden="1" outlineLevel="2">
      <c r="B1515" s="1050">
        <v>594</v>
      </c>
      <c r="C1515" s="2035" t="str">
        <f t="shared" si="127"/>
        <v>92, Chaville, Réseau de Chaville, France continentale, Base Carbone</v>
      </c>
      <c r="D1515" s="1051">
        <f t="shared" si="131"/>
        <v>594</v>
      </c>
      <c r="E1515" s="1051" t="str">
        <f>IF(COUNTIF(E$921:E1514,F1515)&gt;0,"",F1515)</f>
        <v>92, Chaville, Réseau de Chaville, France continentale, Base Carbone</v>
      </c>
      <c r="F1515" s="1051" t="str">
        <f t="shared" si="132"/>
        <v>92, Chaville, Réseau de Chaville, France continentale, Base Carbone</v>
      </c>
      <c r="G1515" s="1055" t="str">
        <f t="shared" si="133"/>
        <v>92, Chaville, Réseau de Chaville, France continentale, Base Carbone; kgCO2e/kWh</v>
      </c>
      <c r="I1515" s="2018" t="s">
        <v>1032</v>
      </c>
      <c r="J1515" s="1135" t="s">
        <v>1681</v>
      </c>
      <c r="K1515" s="1119" t="s">
        <v>1567</v>
      </c>
      <c r="L1515" s="1119" t="s">
        <v>1571</v>
      </c>
      <c r="M1515" s="1134">
        <v>0.3</v>
      </c>
      <c r="N1515" s="1135"/>
      <c r="O1515" s="1135">
        <v>0.255</v>
      </c>
      <c r="P1515" s="1048"/>
      <c r="Q1515" s="1048"/>
      <c r="R1515" s="1048"/>
      <c r="S1515" s="1048"/>
      <c r="T1515" s="1048"/>
      <c r="U1515" s="1102"/>
    </row>
    <row r="1516" spans="2:21" hidden="1" outlineLevel="2">
      <c r="B1516" s="1050">
        <v>595</v>
      </c>
      <c r="C1516" s="2035" t="str">
        <f t="shared" si="127"/>
        <v>92, Clichy, Réseau de Clichy, France continentale, Base Carbone</v>
      </c>
      <c r="D1516" s="1051">
        <f t="shared" si="131"/>
        <v>595</v>
      </c>
      <c r="E1516" s="1051" t="str">
        <f>IF(COUNTIF(E$921:E1515,F1516)&gt;0,"",F1516)</f>
        <v>92, Clichy, Réseau de Clichy, France continentale, Base Carbone</v>
      </c>
      <c r="F1516" s="1051" t="str">
        <f t="shared" si="132"/>
        <v>92, Clichy, Réseau de Clichy, France continentale, Base Carbone</v>
      </c>
      <c r="G1516" s="1055" t="str">
        <f t="shared" si="133"/>
        <v>92, Clichy, Réseau de Clichy, France continentale, Base Carbone; kgCO2e/kWh</v>
      </c>
      <c r="I1516" s="2018" t="s">
        <v>3601</v>
      </c>
      <c r="J1516" s="1135" t="s">
        <v>1681</v>
      </c>
      <c r="K1516" s="1119" t="s">
        <v>1567</v>
      </c>
      <c r="L1516" s="1119" t="s">
        <v>1571</v>
      </c>
      <c r="M1516" s="1134">
        <v>0.3</v>
      </c>
      <c r="N1516" s="1135"/>
      <c r="O1516" s="1135">
        <v>0.23300000000000001</v>
      </c>
      <c r="P1516" s="1048"/>
      <c r="Q1516" s="1048"/>
      <c r="R1516" s="1048"/>
      <c r="S1516" s="1048"/>
      <c r="T1516" s="1048"/>
      <c r="U1516" s="1102"/>
    </row>
    <row r="1517" spans="2:21" hidden="1" outlineLevel="2">
      <c r="B1517" s="1050">
        <v>596</v>
      </c>
      <c r="C1517" s="2035" t="str">
        <f t="shared" si="127"/>
        <v>92, Colombes, Réseau de la ZAC de la Marine, France continentale, Base Carbone</v>
      </c>
      <c r="D1517" s="1051">
        <f t="shared" si="131"/>
        <v>596</v>
      </c>
      <c r="E1517" s="1051" t="str">
        <f>IF(COUNTIF(E$921:E1516,F1517)&gt;0,"",F1517)</f>
        <v>92, Colombes, Réseau de la ZAC de la Marine, France continentale, Base Carbone</v>
      </c>
      <c r="F1517" s="1051" t="str">
        <f t="shared" si="132"/>
        <v>92, Colombes, Réseau de la ZAC de la Marine, France continentale, Base Carbone</v>
      </c>
      <c r="G1517" s="1055" t="str">
        <f t="shared" si="133"/>
        <v>92, Colombes, Réseau de la ZAC de la Marine, France continentale, Base Carbone; kgCO2e/kWh</v>
      </c>
      <c r="I1517" s="2018" t="s">
        <v>3024</v>
      </c>
      <c r="J1517" s="1135" t="s">
        <v>1681</v>
      </c>
      <c r="K1517" s="1119" t="s">
        <v>1567</v>
      </c>
      <c r="L1517" s="1119" t="s">
        <v>1571</v>
      </c>
      <c r="M1517" s="1134">
        <v>0.3</v>
      </c>
      <c r="N1517" s="1135"/>
      <c r="O1517" s="1135">
        <v>0.11600000000000001</v>
      </c>
      <c r="P1517" s="1048"/>
      <c r="Q1517" s="1048"/>
      <c r="R1517" s="1048"/>
      <c r="S1517" s="1048"/>
      <c r="T1517" s="1048"/>
      <c r="U1517" s="1102"/>
    </row>
    <row r="1518" spans="2:21" hidden="1" outlineLevel="2">
      <c r="B1518" s="1050">
        <v>597</v>
      </c>
      <c r="C1518" s="2035" t="str">
        <f t="shared" si="127"/>
        <v>92, Courbevoie, Réseau CENEVIA, France continentale, Base Carbone</v>
      </c>
      <c r="D1518" s="1051">
        <f t="shared" si="131"/>
        <v>597</v>
      </c>
      <c r="E1518" s="1051" t="str">
        <f>IF(COUNTIF(E$921:E1517,F1518)&gt;0,"",F1518)</f>
        <v>92, Courbevoie, Réseau CENEVIA, France continentale, Base Carbone</v>
      </c>
      <c r="F1518" s="1051" t="str">
        <f t="shared" si="132"/>
        <v>92, Courbevoie, Réseau CENEVIA, France continentale, Base Carbone</v>
      </c>
      <c r="G1518" s="1055" t="str">
        <f t="shared" si="133"/>
        <v>92, Courbevoie, Réseau CENEVIA, France continentale, Base Carbone; kgCO2e/kWh</v>
      </c>
      <c r="I1518" s="2018" t="s">
        <v>3602</v>
      </c>
      <c r="J1518" s="1135" t="s">
        <v>1681</v>
      </c>
      <c r="K1518" s="1119" t="s">
        <v>1567</v>
      </c>
      <c r="L1518" s="1119" t="s">
        <v>1571</v>
      </c>
      <c r="M1518" s="1134">
        <v>0.3</v>
      </c>
      <c r="N1518" s="1135"/>
      <c r="O1518" s="1135">
        <v>0.246</v>
      </c>
      <c r="P1518" s="1048"/>
      <c r="Q1518" s="1048"/>
      <c r="R1518" s="1048"/>
      <c r="S1518" s="1048"/>
      <c r="T1518" s="1048"/>
      <c r="U1518" s="1102"/>
    </row>
    <row r="1519" spans="2:21" hidden="1" outlineLevel="2">
      <c r="B1519" s="1050">
        <v>598</v>
      </c>
      <c r="C1519" s="2035" t="str">
        <f t="shared" si="127"/>
        <v>92, Courbevoie, Réseau de La Défense-Enertherm, France continentale, Base Carbone</v>
      </c>
      <c r="D1519" s="1051">
        <f t="shared" si="131"/>
        <v>598</v>
      </c>
      <c r="E1519" s="1051" t="str">
        <f>IF(COUNTIF(E$921:E1518,F1519)&gt;0,"",F1519)</f>
        <v>92, Courbevoie, Réseau de La Défense-Enertherm, France continentale, Base Carbone</v>
      </c>
      <c r="F1519" s="1051" t="str">
        <f t="shared" si="132"/>
        <v>92, Courbevoie, Réseau de La Défense-Enertherm, France continentale, Base Carbone</v>
      </c>
      <c r="G1519" s="1055" t="str">
        <f t="shared" si="133"/>
        <v>92, Courbevoie, Réseau de La Défense-Enertherm, France continentale, Base Carbone; kgCO2e/kWh</v>
      </c>
      <c r="I1519" s="2018" t="s">
        <v>1033</v>
      </c>
      <c r="J1519" s="1135" t="s">
        <v>1681</v>
      </c>
      <c r="K1519" s="1119" t="s">
        <v>1567</v>
      </c>
      <c r="L1519" s="1119" t="s">
        <v>1571</v>
      </c>
      <c r="M1519" s="1134">
        <v>0.3</v>
      </c>
      <c r="N1519" s="1135"/>
      <c r="O1519" s="1135">
        <v>0.192</v>
      </c>
      <c r="P1519" s="1048"/>
      <c r="Q1519" s="1048"/>
      <c r="R1519" s="1048"/>
      <c r="S1519" s="1048"/>
      <c r="T1519" s="1048"/>
      <c r="U1519" s="1102"/>
    </row>
    <row r="1520" spans="2:21" hidden="1" outlineLevel="2">
      <c r="B1520" s="1050">
        <v>599</v>
      </c>
      <c r="C1520" s="2035" t="str">
        <f t="shared" si="127"/>
        <v>92, Gennevilliers, Réseau Gennevilliers, France continentale, Base Carbone</v>
      </c>
      <c r="D1520" s="1051">
        <f t="shared" si="131"/>
        <v>599</v>
      </c>
      <c r="E1520" s="1051" t="str">
        <f>IF(COUNTIF(E$921:E1519,F1520)&gt;0,"",F1520)</f>
        <v>92, Gennevilliers, Réseau Gennevilliers, France continentale, Base Carbone</v>
      </c>
      <c r="F1520" s="1051" t="str">
        <f t="shared" si="132"/>
        <v>92, Gennevilliers, Réseau Gennevilliers, France continentale, Base Carbone</v>
      </c>
      <c r="G1520" s="1055" t="str">
        <f t="shared" si="133"/>
        <v>92, Gennevilliers, Réseau Gennevilliers, France continentale, Base Carbone; kgCO2e/kWh</v>
      </c>
      <c r="I1520" s="2018" t="s">
        <v>3603</v>
      </c>
      <c r="J1520" s="1135" t="s">
        <v>1681</v>
      </c>
      <c r="K1520" s="1119" t="s">
        <v>1567</v>
      </c>
      <c r="L1520" s="1119" t="s">
        <v>1571</v>
      </c>
      <c r="M1520" s="1134">
        <v>0.3</v>
      </c>
      <c r="N1520" s="1135"/>
      <c r="O1520" s="1135">
        <v>0.221</v>
      </c>
      <c r="P1520" s="1048"/>
      <c r="Q1520" s="1048"/>
      <c r="R1520" s="1048"/>
      <c r="S1520" s="1048"/>
      <c r="T1520" s="1048"/>
      <c r="U1520" s="1102"/>
    </row>
    <row r="1521" spans="2:21" hidden="1" outlineLevel="2">
      <c r="B1521" s="1050">
        <v>600</v>
      </c>
      <c r="C1521" s="2035" t="str">
        <f t="shared" si="127"/>
        <v>92, Levallois-Perret, Réseau de chaleur de Levallois, France continentale, Base Carbone</v>
      </c>
      <c r="D1521" s="1051">
        <f t="shared" si="131"/>
        <v>600</v>
      </c>
      <c r="E1521" s="1051" t="str">
        <f>IF(COUNTIF(E$921:E1520,F1521)&gt;0,"",F1521)</f>
        <v>92, Levallois-Perret, Réseau de chaleur de Levallois, France continentale, Base Carbone</v>
      </c>
      <c r="F1521" s="1051" t="str">
        <f t="shared" si="132"/>
        <v>92, Levallois-Perret, Réseau de chaleur de Levallois, France continentale, Base Carbone</v>
      </c>
      <c r="G1521" s="1055" t="str">
        <f t="shared" si="133"/>
        <v>92, Levallois-Perret, Réseau de chaleur de Levallois, France continentale, Base Carbone; kgCO2e/kWh</v>
      </c>
      <c r="I1521" s="2018" t="s">
        <v>3604</v>
      </c>
      <c r="J1521" s="1135" t="s">
        <v>1681</v>
      </c>
      <c r="K1521" s="1119" t="s">
        <v>1567</v>
      </c>
      <c r="L1521" s="1119" t="s">
        <v>1571</v>
      </c>
      <c r="M1521" s="1134">
        <v>0.3</v>
      </c>
      <c r="N1521" s="1135"/>
      <c r="O1521" s="1135">
        <v>0.19700000000000001</v>
      </c>
      <c r="P1521" s="1048"/>
      <c r="Q1521" s="1048"/>
      <c r="R1521" s="1048"/>
      <c r="S1521" s="1048"/>
      <c r="T1521" s="1048"/>
      <c r="U1521" s="1102"/>
    </row>
    <row r="1522" spans="2:21" hidden="1" outlineLevel="2">
      <c r="B1522" s="1050">
        <v>601</v>
      </c>
      <c r="C1522" s="2035" t="str">
        <f t="shared" si="127"/>
        <v>92, Levallois-Perret, ZAC du Front de Seine, France continentale, Base Carbone</v>
      </c>
      <c r="D1522" s="1051">
        <f t="shared" si="131"/>
        <v>601</v>
      </c>
      <c r="E1522" s="1051" t="str">
        <f>IF(COUNTIF(E$921:E1521,F1522)&gt;0,"",F1522)</f>
        <v>92, Levallois-Perret, ZAC du Front de Seine, France continentale, Base Carbone</v>
      </c>
      <c r="F1522" s="1051" t="str">
        <f t="shared" si="132"/>
        <v>92, Levallois-Perret, ZAC du Front de Seine, France continentale, Base Carbone</v>
      </c>
      <c r="G1522" s="1055" t="str">
        <f t="shared" si="133"/>
        <v>92, Levallois-Perret, ZAC du Front de Seine, France continentale, Base Carbone; kgCO2e/kWh</v>
      </c>
      <c r="I1522" s="2018" t="s">
        <v>1034</v>
      </c>
      <c r="J1522" s="1135" t="s">
        <v>1681</v>
      </c>
      <c r="K1522" s="1119" t="s">
        <v>1567</v>
      </c>
      <c r="L1522" s="1119" t="s">
        <v>1571</v>
      </c>
      <c r="M1522" s="1134">
        <v>0.3</v>
      </c>
      <c r="N1522" s="1135"/>
      <c r="O1522" s="1135">
        <v>0.34699999999999998</v>
      </c>
      <c r="P1522" s="1048"/>
      <c r="Q1522" s="1048"/>
      <c r="R1522" s="1048"/>
      <c r="S1522" s="1048"/>
      <c r="T1522" s="1048"/>
      <c r="U1522" s="1102"/>
    </row>
    <row r="1523" spans="2:21" hidden="1" outlineLevel="2">
      <c r="B1523" s="1050">
        <v>602</v>
      </c>
      <c r="C1523" s="2035" t="str">
        <f t="shared" si="127"/>
        <v>92, Meudon la Forêt, Réseau de Meudon, France continentale, Base Carbone</v>
      </c>
      <c r="D1523" s="1051">
        <f t="shared" si="131"/>
        <v>602</v>
      </c>
      <c r="E1523" s="1051" t="str">
        <f>IF(COUNTIF(E$921:E1522,F1523)&gt;0,"",F1523)</f>
        <v>92, Meudon la Forêt, Réseau de Meudon, France continentale, Base Carbone</v>
      </c>
      <c r="F1523" s="1051" t="str">
        <f t="shared" si="132"/>
        <v>92, Meudon la Forêt, Réseau de Meudon, France continentale, Base Carbone</v>
      </c>
      <c r="G1523" s="1055" t="str">
        <f t="shared" si="133"/>
        <v>92, Meudon la Forêt, Réseau de Meudon, France continentale, Base Carbone; kgCO2e/kWh</v>
      </c>
      <c r="I1523" s="2018" t="s">
        <v>3025</v>
      </c>
      <c r="J1523" s="1135" t="s">
        <v>1681</v>
      </c>
      <c r="K1523" s="1119" t="s">
        <v>1567</v>
      </c>
      <c r="L1523" s="1119" t="s">
        <v>1571</v>
      </c>
      <c r="M1523" s="1134">
        <v>0.3</v>
      </c>
      <c r="N1523" s="1135"/>
      <c r="O1523" s="1135">
        <v>0.20399999999999999</v>
      </c>
      <c r="P1523" s="1048"/>
      <c r="Q1523" s="1048"/>
      <c r="R1523" s="1048"/>
      <c r="S1523" s="1048"/>
      <c r="T1523" s="1048"/>
      <c r="U1523" s="1102"/>
    </row>
    <row r="1524" spans="2:21" hidden="1" outlineLevel="2">
      <c r="B1524" s="1050">
        <v>603</v>
      </c>
      <c r="C1524" s="2035" t="str">
        <f t="shared" si="127"/>
        <v>92, Nanterre, Réseau Quartier Hoche, France continentale, Base Carbone</v>
      </c>
      <c r="D1524" s="1051">
        <f t="shared" si="131"/>
        <v>603</v>
      </c>
      <c r="E1524" s="1051" t="str">
        <f>IF(COUNTIF(E$921:E1523,F1524)&gt;0,"",F1524)</f>
        <v>92, Nanterre, Réseau Quartier Hoche, France continentale, Base Carbone</v>
      </c>
      <c r="F1524" s="1051" t="str">
        <f t="shared" si="132"/>
        <v>92, Nanterre, Réseau Quartier Hoche, France continentale, Base Carbone</v>
      </c>
      <c r="G1524" s="1055" t="str">
        <f t="shared" si="133"/>
        <v>92, Nanterre, Réseau Quartier Hoche, France continentale, Base Carbone; kgCO2e/kWh</v>
      </c>
      <c r="I1524" s="2018" t="s">
        <v>3026</v>
      </c>
      <c r="J1524" s="1135" t="s">
        <v>1681</v>
      </c>
      <c r="K1524" s="1119" t="s">
        <v>1567</v>
      </c>
      <c r="L1524" s="1119" t="s">
        <v>1571</v>
      </c>
      <c r="M1524" s="1134">
        <v>0.3</v>
      </c>
      <c r="N1524" s="1135"/>
      <c r="O1524" s="1135">
        <v>6.2E-2</v>
      </c>
      <c r="P1524" s="1048"/>
      <c r="Q1524" s="1048"/>
      <c r="R1524" s="1048"/>
      <c r="S1524" s="1048"/>
      <c r="T1524" s="1048"/>
      <c r="U1524" s="1102"/>
    </row>
    <row r="1525" spans="2:21" hidden="1" outlineLevel="2">
      <c r="B1525" s="1050">
        <v>604</v>
      </c>
      <c r="C1525" s="2035" t="str">
        <f t="shared" si="127"/>
        <v>92, Nanterre, ZAC Sainte-Geneviève, France continentale, Base Carbone</v>
      </c>
      <c r="D1525" s="1051">
        <f t="shared" si="131"/>
        <v>604</v>
      </c>
      <c r="E1525" s="1051" t="str">
        <f>IF(COUNTIF(E$921:E1524,F1525)&gt;0,"",F1525)</f>
        <v>92, Nanterre, ZAC Sainte-Geneviève, France continentale, Base Carbone</v>
      </c>
      <c r="F1525" s="1051" t="str">
        <f t="shared" si="132"/>
        <v>92, Nanterre, ZAC Sainte-Geneviève, France continentale, Base Carbone</v>
      </c>
      <c r="G1525" s="1055" t="str">
        <f t="shared" si="133"/>
        <v>92, Nanterre, ZAC Sainte-Geneviève, France continentale, Base Carbone; kgCO2e/kWh</v>
      </c>
      <c r="I1525" s="2018" t="s">
        <v>3027</v>
      </c>
      <c r="J1525" s="1135" t="s">
        <v>1681</v>
      </c>
      <c r="K1525" s="1119" t="s">
        <v>1567</v>
      </c>
      <c r="L1525" s="1119" t="s">
        <v>1571</v>
      </c>
      <c r="M1525" s="1134">
        <v>0.3</v>
      </c>
      <c r="N1525" s="1135"/>
      <c r="O1525" s="1135">
        <v>9.6000000000000002E-2</v>
      </c>
      <c r="P1525" s="1048"/>
      <c r="Q1525" s="1048"/>
      <c r="R1525" s="1048"/>
      <c r="S1525" s="1048"/>
      <c r="T1525" s="1048"/>
      <c r="U1525" s="1102"/>
    </row>
    <row r="1526" spans="2:21" hidden="1" outlineLevel="2">
      <c r="B1526" s="1050">
        <v>605</v>
      </c>
      <c r="C1526" s="2035" t="str">
        <f t="shared" si="127"/>
        <v>92, Puteaux, Réseau Ciceo, France continentale, Base Carbone</v>
      </c>
      <c r="D1526" s="1051">
        <f t="shared" si="131"/>
        <v>605</v>
      </c>
      <c r="E1526" s="1051" t="str">
        <f>IF(COUNTIF(E$921:E1525,F1526)&gt;0,"",F1526)</f>
        <v>92, Puteaux, Réseau Ciceo, France continentale, Base Carbone</v>
      </c>
      <c r="F1526" s="1051" t="str">
        <f t="shared" si="132"/>
        <v>92, Puteaux, Réseau Ciceo, France continentale, Base Carbone</v>
      </c>
      <c r="G1526" s="1055" t="str">
        <f t="shared" si="133"/>
        <v>92, Puteaux, Réseau Ciceo, France continentale, Base Carbone; kgCO2e/kWh</v>
      </c>
      <c r="I1526" s="2018" t="s">
        <v>1035</v>
      </c>
      <c r="J1526" s="1135" t="s">
        <v>1681</v>
      </c>
      <c r="K1526" s="1119" t="s">
        <v>1567</v>
      </c>
      <c r="L1526" s="1119" t="s">
        <v>1571</v>
      </c>
      <c r="M1526" s="1134">
        <v>0.3</v>
      </c>
      <c r="N1526" s="1135"/>
      <c r="O1526" s="1135">
        <v>0.23599999999999999</v>
      </c>
      <c r="P1526" s="1048"/>
      <c r="Q1526" s="1048"/>
      <c r="R1526" s="1048"/>
      <c r="S1526" s="1048"/>
      <c r="T1526" s="1048"/>
      <c r="U1526" s="1102"/>
    </row>
    <row r="1527" spans="2:21" hidden="1" outlineLevel="2">
      <c r="B1527" s="1050">
        <v>606</v>
      </c>
      <c r="C1527" s="2035" t="str">
        <f t="shared" si="127"/>
        <v>92, Suresnes, Réseau de Suresnes, France continentale, Base Carbone</v>
      </c>
      <c r="D1527" s="1051">
        <f t="shared" si="131"/>
        <v>606</v>
      </c>
      <c r="E1527" s="1051" t="str">
        <f>IF(COUNTIF(E$921:E1526,F1527)&gt;0,"",F1527)</f>
        <v>92, Suresnes, Réseau de Suresnes, France continentale, Base Carbone</v>
      </c>
      <c r="F1527" s="1051" t="str">
        <f t="shared" si="132"/>
        <v>92, Suresnes, Réseau de Suresnes, France continentale, Base Carbone</v>
      </c>
      <c r="G1527" s="1055" t="str">
        <f t="shared" si="133"/>
        <v>92, Suresnes, Réseau de Suresnes, France continentale, Base Carbone; kgCO2e/kWh</v>
      </c>
      <c r="I1527" s="2018" t="s">
        <v>3605</v>
      </c>
      <c r="J1527" s="1135" t="s">
        <v>1681</v>
      </c>
      <c r="K1527" s="1119" t="s">
        <v>1567</v>
      </c>
      <c r="L1527" s="1119" t="s">
        <v>1571</v>
      </c>
      <c r="M1527" s="1134">
        <v>0.3</v>
      </c>
      <c r="N1527" s="1135"/>
      <c r="O1527" s="1135">
        <v>0.24199999999999999</v>
      </c>
      <c r="P1527" s="1048"/>
      <c r="Q1527" s="1048"/>
      <c r="R1527" s="1048"/>
      <c r="S1527" s="1048"/>
      <c r="T1527" s="1048"/>
      <c r="U1527" s="1102"/>
    </row>
    <row r="1528" spans="2:21" hidden="1" outlineLevel="2">
      <c r="B1528" s="1050">
        <v>607</v>
      </c>
      <c r="C1528" s="2035" t="str">
        <f t="shared" si="127"/>
        <v>92, Villeneuve-la-Garenne, Résidence Villeneuve, France continentale, Base Carbone</v>
      </c>
      <c r="D1528" s="1051">
        <f t="shared" si="131"/>
        <v>607</v>
      </c>
      <c r="E1528" s="1051" t="str">
        <f>IF(COUNTIF(E$921:E1527,F1528)&gt;0,"",F1528)</f>
        <v>92, Villeneuve-la-Garenne, Résidence Villeneuve, France continentale, Base Carbone</v>
      </c>
      <c r="F1528" s="1051" t="str">
        <f t="shared" si="132"/>
        <v>92, Villeneuve-la-Garenne, Résidence Villeneuve, France continentale, Base Carbone</v>
      </c>
      <c r="G1528" s="1055" t="str">
        <f t="shared" si="133"/>
        <v>92, Villeneuve-la-Garenne, Résidence Villeneuve, France continentale, Base Carbone; kgCO2e/kWh</v>
      </c>
      <c r="I1528" s="2018" t="s">
        <v>1036</v>
      </c>
      <c r="J1528" s="1135" t="s">
        <v>1681</v>
      </c>
      <c r="K1528" s="1119" t="s">
        <v>1567</v>
      </c>
      <c r="L1528" s="1119" t="s">
        <v>1571</v>
      </c>
      <c r="M1528" s="1134">
        <v>0.3</v>
      </c>
      <c r="N1528" s="1135"/>
      <c r="O1528" s="1135">
        <v>0.21</v>
      </c>
      <c r="P1528" s="1048"/>
      <c r="Q1528" s="1048"/>
      <c r="R1528" s="1048"/>
      <c r="S1528" s="1048"/>
      <c r="T1528" s="1048"/>
      <c r="U1528" s="1102"/>
    </row>
    <row r="1529" spans="2:21" hidden="1" outlineLevel="2">
      <c r="B1529" s="1050">
        <v>608</v>
      </c>
      <c r="C1529" s="2035" t="str">
        <f t="shared" si="127"/>
        <v>93, Aulnay-sous-bois, Garonor, France continentale, Base Carbone</v>
      </c>
      <c r="D1529" s="1051">
        <f t="shared" si="131"/>
        <v>608</v>
      </c>
      <c r="E1529" s="1051" t="str">
        <f>IF(COUNTIF(E$921:E1528,F1529)&gt;0,"",F1529)</f>
        <v>93, Aulnay-sous-bois, Garonor, France continentale, Base Carbone</v>
      </c>
      <c r="F1529" s="1051" t="str">
        <f t="shared" si="132"/>
        <v>93, Aulnay-sous-bois, Garonor, France continentale, Base Carbone</v>
      </c>
      <c r="G1529" s="1055" t="str">
        <f t="shared" si="133"/>
        <v>93, Aulnay-sous-bois, Garonor, France continentale, Base Carbone; kgCO2e/kWh</v>
      </c>
      <c r="I1529" s="2018" t="s">
        <v>3606</v>
      </c>
      <c r="J1529" s="1135" t="s">
        <v>1681</v>
      </c>
      <c r="K1529" s="1119" t="s">
        <v>1567</v>
      </c>
      <c r="L1529" s="1119" t="s">
        <v>1571</v>
      </c>
      <c r="M1529" s="1134">
        <v>0.3</v>
      </c>
      <c r="N1529" s="1135"/>
      <c r="O1529" s="1135">
        <v>0.26700000000000002</v>
      </c>
      <c r="P1529" s="1048"/>
      <c r="Q1529" s="1048"/>
      <c r="R1529" s="1048"/>
      <c r="S1529" s="1048"/>
      <c r="T1529" s="1048"/>
      <c r="U1529" s="1102"/>
    </row>
    <row r="1530" spans="2:21" hidden="1" outlineLevel="2">
      <c r="B1530" s="1050">
        <v>609</v>
      </c>
      <c r="C1530" s="2035" t="str">
        <f t="shared" si="127"/>
        <v>93, Aulnay-sous-Bois, Le Gros Saule, France continentale, Base Carbone</v>
      </c>
      <c r="D1530" s="1051">
        <f t="shared" si="131"/>
        <v>609</v>
      </c>
      <c r="E1530" s="1051" t="str">
        <f>IF(COUNTIF(E$921:E1529,F1530)&gt;0,"",F1530)</f>
        <v>93, Aulnay-sous-Bois, Le Gros Saule, France continentale, Base Carbone</v>
      </c>
      <c r="F1530" s="1051" t="str">
        <f t="shared" si="132"/>
        <v>93, Aulnay-sous-Bois, Le Gros Saule, France continentale, Base Carbone</v>
      </c>
      <c r="G1530" s="1055" t="str">
        <f t="shared" si="133"/>
        <v>93, Aulnay-sous-Bois, Le Gros Saule, France continentale, Base Carbone; kgCO2e/kWh</v>
      </c>
      <c r="I1530" s="2018" t="s">
        <v>1037</v>
      </c>
      <c r="J1530" s="1135" t="s">
        <v>1681</v>
      </c>
      <c r="K1530" s="1119" t="s">
        <v>1567</v>
      </c>
      <c r="L1530" s="1119" t="s">
        <v>1571</v>
      </c>
      <c r="M1530" s="1134">
        <v>0.3</v>
      </c>
      <c r="N1530" s="1135"/>
      <c r="O1530" s="1135">
        <v>0.193</v>
      </c>
      <c r="P1530" s="1048"/>
      <c r="Q1530" s="1048"/>
      <c r="R1530" s="1048"/>
      <c r="S1530" s="1048"/>
      <c r="T1530" s="1048"/>
      <c r="U1530" s="1102"/>
    </row>
    <row r="1531" spans="2:21" hidden="1" outlineLevel="2">
      <c r="B1531" s="1050">
        <v>610</v>
      </c>
      <c r="C1531" s="2035" t="str">
        <f t="shared" si="127"/>
        <v>93, Bagnolet, Réseau de Bagnolet, France continentale, Base Carbone</v>
      </c>
      <c r="D1531" s="1051">
        <f t="shared" si="131"/>
        <v>610</v>
      </c>
      <c r="E1531" s="1051" t="str">
        <f>IF(COUNTIF(E$921:E1530,F1531)&gt;0,"",F1531)</f>
        <v>93, Bagnolet, Réseau de Bagnolet, France continentale, Base Carbone</v>
      </c>
      <c r="F1531" s="1051" t="str">
        <f t="shared" si="132"/>
        <v>93, Bagnolet, Réseau de Bagnolet, France continentale, Base Carbone</v>
      </c>
      <c r="G1531" s="1055" t="str">
        <f t="shared" si="133"/>
        <v>93, Bagnolet, Réseau de Bagnolet, France continentale, Base Carbone; kgCO2e/kWh</v>
      </c>
      <c r="I1531" s="2018" t="s">
        <v>3607</v>
      </c>
      <c r="J1531" s="1135" t="s">
        <v>1681</v>
      </c>
      <c r="K1531" s="1119" t="s">
        <v>1567</v>
      </c>
      <c r="L1531" s="1119" t="s">
        <v>1571</v>
      </c>
      <c r="M1531" s="1134">
        <v>0.3</v>
      </c>
      <c r="N1531" s="1135"/>
      <c r="O1531" s="1135">
        <v>0.182</v>
      </c>
      <c r="P1531" s="1048"/>
      <c r="Q1531" s="1048"/>
      <c r="R1531" s="1048"/>
      <c r="S1531" s="1048"/>
      <c r="T1531" s="1048"/>
      <c r="U1531" s="1102"/>
    </row>
    <row r="1532" spans="2:21" hidden="1" outlineLevel="2">
      <c r="B1532" s="1050">
        <v>611</v>
      </c>
      <c r="C1532" s="2035" t="str">
        <f t="shared" si="127"/>
        <v>93, Bobigny, ZUP de Bobigny, France continentale, Base Carbone</v>
      </c>
      <c r="D1532" s="1051">
        <f t="shared" si="131"/>
        <v>611</v>
      </c>
      <c r="E1532" s="1051" t="str">
        <f>IF(COUNTIF(E$921:E1531,F1532)&gt;0,"",F1532)</f>
        <v>93, Bobigny, ZUP de Bobigny, France continentale, Base Carbone</v>
      </c>
      <c r="F1532" s="1051" t="str">
        <f t="shared" si="132"/>
        <v>93, Bobigny, ZUP de Bobigny, France continentale, Base Carbone</v>
      </c>
      <c r="G1532" s="1055" t="str">
        <f t="shared" si="133"/>
        <v>93, Bobigny, ZUP de Bobigny, France continentale, Base Carbone; kgCO2e/kWh</v>
      </c>
      <c r="I1532" s="2018" t="s">
        <v>1038</v>
      </c>
      <c r="J1532" s="1135" t="s">
        <v>1681</v>
      </c>
      <c r="K1532" s="1119" t="s">
        <v>1567</v>
      </c>
      <c r="L1532" s="1119" t="s">
        <v>1571</v>
      </c>
      <c r="M1532" s="1134">
        <v>0.3</v>
      </c>
      <c r="N1532" s="1135"/>
      <c r="O1532" s="1135">
        <v>0.221</v>
      </c>
      <c r="P1532" s="1048"/>
      <c r="Q1532" s="1048"/>
      <c r="R1532" s="1048"/>
      <c r="S1532" s="1048"/>
      <c r="T1532" s="1048"/>
      <c r="U1532" s="1102"/>
    </row>
    <row r="1533" spans="2:21" hidden="1" outlineLevel="2">
      <c r="B1533" s="1050">
        <v>612</v>
      </c>
      <c r="C1533" s="2035" t="str">
        <f t="shared" si="127"/>
        <v>93, Bondy, Réseau de Bondy, France continentale, Base Carbone</v>
      </c>
      <c r="D1533" s="1051">
        <f t="shared" si="131"/>
        <v>612</v>
      </c>
      <c r="E1533" s="1051" t="str">
        <f>IF(COUNTIF(E$921:E1532,F1533)&gt;0,"",F1533)</f>
        <v>93, Bondy, Réseau de Bondy, France continentale, Base Carbone</v>
      </c>
      <c r="F1533" s="1051" t="str">
        <f t="shared" si="132"/>
        <v>93, Bondy, Réseau de Bondy, France continentale, Base Carbone</v>
      </c>
      <c r="G1533" s="1055" t="str">
        <f t="shared" si="133"/>
        <v>93, Bondy, Réseau de Bondy, France continentale, Base Carbone; kgCO2e/kWh</v>
      </c>
      <c r="I1533" s="2018" t="s">
        <v>1039</v>
      </c>
      <c r="J1533" s="1135" t="s">
        <v>1681</v>
      </c>
      <c r="K1533" s="1119" t="s">
        <v>1567</v>
      </c>
      <c r="L1533" s="1119" t="s">
        <v>1571</v>
      </c>
      <c r="M1533" s="1134">
        <v>0.3</v>
      </c>
      <c r="N1533" s="1135"/>
      <c r="O1533" s="1135">
        <v>0.13</v>
      </c>
      <c r="P1533" s="1048"/>
      <c r="Q1533" s="1048"/>
      <c r="R1533" s="1048"/>
      <c r="S1533" s="1048"/>
      <c r="T1533" s="1048"/>
      <c r="U1533" s="1102"/>
    </row>
    <row r="1534" spans="2:21" hidden="1" outlineLevel="2">
      <c r="B1534" s="1050">
        <v>613</v>
      </c>
      <c r="C1534" s="2035" t="str">
        <f t="shared" si="127"/>
        <v>93, Clichy-sous-Bois, Le Chêne Pointu, France continentale, Base Carbone</v>
      </c>
      <c r="D1534" s="1051">
        <f t="shared" si="131"/>
        <v>613</v>
      </c>
      <c r="E1534" s="1051" t="str">
        <f>IF(COUNTIF(E$921:E1533,F1534)&gt;0,"",F1534)</f>
        <v>93, Clichy-sous-Bois, Le Chêne Pointu, France continentale, Base Carbone</v>
      </c>
      <c r="F1534" s="1051" t="str">
        <f t="shared" si="132"/>
        <v>93, Clichy-sous-Bois, Le Chêne Pointu, France continentale, Base Carbone</v>
      </c>
      <c r="G1534" s="1055" t="str">
        <f t="shared" si="133"/>
        <v>93, Clichy-sous-Bois, Le Chêne Pointu, France continentale, Base Carbone; kgCO2e/kWh</v>
      </c>
      <c r="I1534" s="2018" t="s">
        <v>1040</v>
      </c>
      <c r="J1534" s="1135" t="s">
        <v>1681</v>
      </c>
      <c r="K1534" s="1119" t="s">
        <v>1567</v>
      </c>
      <c r="L1534" s="1119" t="s">
        <v>1571</v>
      </c>
      <c r="M1534" s="1134">
        <v>0.3</v>
      </c>
      <c r="N1534" s="1135"/>
      <c r="O1534" s="1135">
        <v>0.193</v>
      </c>
      <c r="P1534" s="1048"/>
      <c r="Q1534" s="1048"/>
      <c r="R1534" s="1048"/>
      <c r="S1534" s="1048"/>
      <c r="T1534" s="1048"/>
      <c r="U1534" s="1102"/>
    </row>
    <row r="1535" spans="2:21" hidden="1" outlineLevel="2">
      <c r="B1535" s="1050">
        <v>614</v>
      </c>
      <c r="C1535" s="2035" t="str">
        <f t="shared" si="127"/>
        <v>93, La Courneuve, Quartier Nord, France continentale, Base Carbone</v>
      </c>
      <c r="D1535" s="1051">
        <f t="shared" si="131"/>
        <v>614</v>
      </c>
      <c r="E1535" s="1051" t="str">
        <f>IF(COUNTIF(E$921:E1534,F1535)&gt;0,"",F1535)</f>
        <v>93, La Courneuve, Quartier Nord, France continentale, Base Carbone</v>
      </c>
      <c r="F1535" s="1051" t="str">
        <f t="shared" si="132"/>
        <v>93, La Courneuve, Quartier Nord, France continentale, Base Carbone</v>
      </c>
      <c r="G1535" s="1055" t="str">
        <f t="shared" si="133"/>
        <v>93, La Courneuve, Quartier Nord, France continentale, Base Carbone; kgCO2e/kWh</v>
      </c>
      <c r="I1535" s="2018" t="s">
        <v>3608</v>
      </c>
      <c r="J1535" s="1135" t="s">
        <v>1681</v>
      </c>
      <c r="K1535" s="1119" t="s">
        <v>1567</v>
      </c>
      <c r="L1535" s="1119" t="s">
        <v>1571</v>
      </c>
      <c r="M1535" s="1134">
        <v>0.3</v>
      </c>
      <c r="N1535" s="1135"/>
      <c r="O1535" s="1135">
        <v>0.21099999999999999</v>
      </c>
      <c r="P1535" s="1048"/>
      <c r="Q1535" s="1048"/>
      <c r="R1535" s="1048"/>
      <c r="S1535" s="1048"/>
      <c r="T1535" s="1048"/>
      <c r="U1535" s="1102"/>
    </row>
    <row r="1536" spans="2:21" hidden="1" outlineLevel="2">
      <c r="B1536" s="1050">
        <v>615</v>
      </c>
      <c r="C1536" s="2035" t="str">
        <f t="shared" si="127"/>
        <v>93, La Courneuve, Quartier Sud, France continentale, Base Carbone</v>
      </c>
      <c r="D1536" s="1051">
        <f t="shared" si="131"/>
        <v>615</v>
      </c>
      <c r="E1536" s="1051" t="str">
        <f>IF(COUNTIF(E$921:E1535,F1536)&gt;0,"",F1536)</f>
        <v>93, La Courneuve, Quartier Sud, France continentale, Base Carbone</v>
      </c>
      <c r="F1536" s="1051" t="str">
        <f t="shared" si="132"/>
        <v>93, La Courneuve, Quartier Sud, France continentale, Base Carbone</v>
      </c>
      <c r="G1536" s="1055" t="str">
        <f t="shared" si="133"/>
        <v>93, La Courneuve, Quartier Sud, France continentale, Base Carbone; kgCO2e/kWh</v>
      </c>
      <c r="I1536" s="2018" t="s">
        <v>3609</v>
      </c>
      <c r="J1536" s="1135" t="s">
        <v>1681</v>
      </c>
      <c r="K1536" s="1119" t="s">
        <v>1567</v>
      </c>
      <c r="L1536" s="1119" t="s">
        <v>1571</v>
      </c>
      <c r="M1536" s="1134">
        <v>0.3</v>
      </c>
      <c r="N1536" s="1135"/>
      <c r="O1536" s="1135">
        <v>0.16300000000000001</v>
      </c>
      <c r="P1536" s="1048"/>
      <c r="Q1536" s="1048"/>
      <c r="R1536" s="1048"/>
      <c r="S1536" s="1048"/>
      <c r="T1536" s="1048"/>
      <c r="U1536" s="1102"/>
    </row>
    <row r="1537" spans="2:21" hidden="1" outlineLevel="2">
      <c r="B1537" s="1050">
        <v>616</v>
      </c>
      <c r="C1537" s="2035" t="str">
        <f t="shared" si="127"/>
        <v>93, Le Blanc-Mesnil, Réseau du Blanc Mesnil, France continentale, Base Carbone</v>
      </c>
      <c r="D1537" s="1051">
        <f t="shared" si="131"/>
        <v>616</v>
      </c>
      <c r="E1537" s="1051" t="str">
        <f>IF(COUNTIF(E$921:E1536,F1537)&gt;0,"",F1537)</f>
        <v>93, Le Blanc-Mesnil, Réseau du Blanc Mesnil, France continentale, Base Carbone</v>
      </c>
      <c r="F1537" s="1051" t="str">
        <f t="shared" si="132"/>
        <v>93, Le Blanc-Mesnil, Réseau du Blanc Mesnil, France continentale, Base Carbone</v>
      </c>
      <c r="G1537" s="1055" t="str">
        <f t="shared" si="133"/>
        <v>93, Le Blanc-Mesnil, Réseau du Blanc Mesnil, France continentale, Base Carbone; kgCO2e/kWh</v>
      </c>
      <c r="I1537" s="2018" t="s">
        <v>3610</v>
      </c>
      <c r="J1537" s="1135" t="s">
        <v>1681</v>
      </c>
      <c r="K1537" s="1119" t="s">
        <v>1567</v>
      </c>
      <c r="L1537" s="1119" t="s">
        <v>1571</v>
      </c>
      <c r="M1537" s="1134">
        <v>0.3</v>
      </c>
      <c r="N1537" s="1135"/>
      <c r="O1537" s="1135">
        <v>0.218</v>
      </c>
      <c r="P1537" s="1048"/>
      <c r="Q1537" s="1048"/>
      <c r="R1537" s="1048"/>
      <c r="S1537" s="1048"/>
      <c r="T1537" s="1048"/>
      <c r="U1537" s="1102"/>
    </row>
    <row r="1538" spans="2:21" hidden="1" outlineLevel="2">
      <c r="B1538" s="1050">
        <v>617</v>
      </c>
      <c r="C1538" s="2035" t="str">
        <f t="shared" si="127"/>
        <v>93, Le Bourget, Réseau ADP Le Bouget, France continentale, Base Carbone</v>
      </c>
      <c r="D1538" s="1051">
        <f t="shared" si="131"/>
        <v>617</v>
      </c>
      <c r="E1538" s="1051" t="str">
        <f>IF(COUNTIF(E$921:E1537,F1538)&gt;0,"",F1538)</f>
        <v>93, Le Bourget, Réseau ADP Le Bouget, France continentale, Base Carbone</v>
      </c>
      <c r="F1538" s="1051" t="str">
        <f t="shared" si="132"/>
        <v>93, Le Bourget, Réseau ADP Le Bouget, France continentale, Base Carbone</v>
      </c>
      <c r="G1538" s="1055" t="str">
        <f t="shared" si="133"/>
        <v>93, Le Bourget, Réseau ADP Le Bouget, France continentale, Base Carbone; kgCO2e/kWh</v>
      </c>
      <c r="I1538" s="2018" t="s">
        <v>3028</v>
      </c>
      <c r="J1538" s="1135" t="s">
        <v>1681</v>
      </c>
      <c r="K1538" s="1119" t="s">
        <v>1567</v>
      </c>
      <c r="L1538" s="1119" t="s">
        <v>1571</v>
      </c>
      <c r="M1538" s="1134">
        <v>0.3</v>
      </c>
      <c r="N1538" s="1135"/>
      <c r="O1538" s="1135">
        <v>0.22600000000000001</v>
      </c>
      <c r="P1538" s="1048"/>
      <c r="Q1538" s="1048"/>
      <c r="R1538" s="1048"/>
      <c r="S1538" s="1048"/>
      <c r="T1538" s="1048"/>
      <c r="U1538" s="1102"/>
    </row>
    <row r="1539" spans="2:21" hidden="1" outlineLevel="2">
      <c r="B1539" s="1050">
        <v>618</v>
      </c>
      <c r="C1539" s="2035" t="str">
        <f t="shared" si="127"/>
        <v>93, Neuilly-sur-Marne, ZUP des Fauvettes, France continentale, Base Carbone</v>
      </c>
      <c r="D1539" s="1051">
        <f t="shared" si="131"/>
        <v>618</v>
      </c>
      <c r="E1539" s="1051" t="str">
        <f>IF(COUNTIF(E$921:E1538,F1539)&gt;0,"",F1539)</f>
        <v>93, Neuilly-sur-Marne, ZUP des Fauvettes, France continentale, Base Carbone</v>
      </c>
      <c r="F1539" s="1051" t="str">
        <f t="shared" si="132"/>
        <v>93, Neuilly-sur-Marne, ZUP des Fauvettes, France continentale, Base Carbone</v>
      </c>
      <c r="G1539" s="1055" t="str">
        <f t="shared" si="133"/>
        <v>93, Neuilly-sur-Marne, ZUP des Fauvettes, France continentale, Base Carbone; kgCO2e/kWh</v>
      </c>
      <c r="I1539" s="2018" t="s">
        <v>1041</v>
      </c>
      <c r="J1539" s="1135" t="s">
        <v>1681</v>
      </c>
      <c r="K1539" s="1119" t="s">
        <v>1567</v>
      </c>
      <c r="L1539" s="1119" t="s">
        <v>1571</v>
      </c>
      <c r="M1539" s="1134">
        <v>0.3</v>
      </c>
      <c r="N1539" s="1135"/>
      <c r="O1539" s="1135">
        <v>6.5000000000000002E-2</v>
      </c>
      <c r="P1539" s="1048"/>
      <c r="Q1539" s="1048"/>
      <c r="R1539" s="1048"/>
      <c r="S1539" s="1048"/>
      <c r="T1539" s="1048"/>
      <c r="U1539" s="1102"/>
    </row>
    <row r="1540" spans="2:21" hidden="1" outlineLevel="2">
      <c r="B1540" s="1050">
        <v>619</v>
      </c>
      <c r="C1540" s="2035" t="str">
        <f t="shared" si="127"/>
        <v>93, Saint-Denis, Centrale Landy, France continentale, Base Carbone</v>
      </c>
      <c r="D1540" s="1051">
        <f t="shared" si="131"/>
        <v>619</v>
      </c>
      <c r="E1540" s="1051" t="str">
        <f>IF(COUNTIF(E$921:E1539,F1540)&gt;0,"",F1540)</f>
        <v>93, Saint-Denis, Centrale Landy, France continentale, Base Carbone</v>
      </c>
      <c r="F1540" s="1051" t="str">
        <f t="shared" si="132"/>
        <v>93, Saint-Denis, Centrale Landy, France continentale, Base Carbone</v>
      </c>
      <c r="G1540" s="1055" t="str">
        <f t="shared" si="133"/>
        <v>93, Saint-Denis, Centrale Landy, France continentale, Base Carbone; kgCO2e/kWh</v>
      </c>
      <c r="I1540" s="2018" t="s">
        <v>3611</v>
      </c>
      <c r="J1540" s="1135" t="s">
        <v>1681</v>
      </c>
      <c r="K1540" s="1119" t="s">
        <v>1567</v>
      </c>
      <c r="L1540" s="1119" t="s">
        <v>1571</v>
      </c>
      <c r="M1540" s="1134">
        <v>0.3</v>
      </c>
      <c r="N1540" s="1135"/>
      <c r="O1540" s="1135">
        <v>0.23300000000000001</v>
      </c>
      <c r="P1540" s="1048"/>
      <c r="Q1540" s="1048"/>
      <c r="R1540" s="1048"/>
      <c r="S1540" s="1048"/>
      <c r="T1540" s="1048"/>
      <c r="U1540" s="1102"/>
    </row>
    <row r="1541" spans="2:21" hidden="1" outlineLevel="2">
      <c r="B1541" s="1050">
        <v>620</v>
      </c>
      <c r="C1541" s="2035" t="str">
        <f t="shared" si="127"/>
        <v>93, Saint-Denis, Réseau de Saint Denis, France continentale, Base Carbone</v>
      </c>
      <c r="D1541" s="1051">
        <f t="shared" si="131"/>
        <v>620</v>
      </c>
      <c r="E1541" s="1051" t="str">
        <f>IF(COUNTIF(E$921:E1540,F1541)&gt;0,"",F1541)</f>
        <v>93, Saint-Denis, Réseau de Saint Denis, France continentale, Base Carbone</v>
      </c>
      <c r="F1541" s="1051" t="str">
        <f t="shared" si="132"/>
        <v>93, Saint-Denis, Réseau de Saint Denis, France continentale, Base Carbone</v>
      </c>
      <c r="G1541" s="1055" t="str">
        <f t="shared" si="133"/>
        <v>93, Saint-Denis, Réseau de Saint Denis, France continentale, Base Carbone; kgCO2e/kWh</v>
      </c>
      <c r="I1541" s="2018" t="s">
        <v>3612</v>
      </c>
      <c r="J1541" s="1135" t="s">
        <v>1681</v>
      </c>
      <c r="K1541" s="1119" t="s">
        <v>1567</v>
      </c>
      <c r="L1541" s="1119" t="s">
        <v>1571</v>
      </c>
      <c r="M1541" s="1134">
        <v>0.3</v>
      </c>
      <c r="N1541" s="1135"/>
      <c r="O1541" s="1135">
        <v>0.183</v>
      </c>
      <c r="P1541" s="1048"/>
      <c r="Q1541" s="1048"/>
      <c r="R1541" s="1048"/>
      <c r="S1541" s="1048"/>
      <c r="T1541" s="1048"/>
      <c r="U1541" s="1102"/>
    </row>
    <row r="1542" spans="2:21" hidden="1" outlineLevel="2">
      <c r="B1542" s="1050">
        <v>621</v>
      </c>
      <c r="C1542" s="2035" t="str">
        <f t="shared" si="127"/>
        <v>93, Saint-Ouen, Réseau de la ZAC des docks de Saint-Ouen, France continentale, Base Carbone</v>
      </c>
      <c r="D1542" s="1051">
        <f t="shared" si="131"/>
        <v>621</v>
      </c>
      <c r="E1542" s="1051" t="str">
        <f>IF(COUNTIF(E$921:E1541,F1542)&gt;0,"",F1542)</f>
        <v>93, Saint-Ouen, Réseau de la ZAC des docks de Saint-Ouen, France continentale, Base Carbone</v>
      </c>
      <c r="F1542" s="1051" t="str">
        <f t="shared" si="132"/>
        <v>93, Saint-Ouen, Réseau de la ZAC des docks de Saint-Ouen, France continentale, Base Carbone</v>
      </c>
      <c r="G1542" s="1055" t="str">
        <f t="shared" si="133"/>
        <v>93, Saint-Ouen, Réseau de la ZAC des docks de Saint-Ouen, France continentale, Base Carbone; kgCO2e/kWh</v>
      </c>
      <c r="I1542" s="2018" t="s">
        <v>3613</v>
      </c>
      <c r="J1542" s="1135" t="s">
        <v>1681</v>
      </c>
      <c r="K1542" s="1119" t="s">
        <v>1567</v>
      </c>
      <c r="L1542" s="1119" t="s">
        <v>1571</v>
      </c>
      <c r="M1542" s="1134">
        <v>0.3</v>
      </c>
      <c r="N1542" s="1135"/>
      <c r="O1542" s="1135">
        <v>6.0999999999999999E-2</v>
      </c>
      <c r="P1542" s="1048"/>
      <c r="Q1542" s="1048"/>
      <c r="R1542" s="1048"/>
      <c r="S1542" s="1048"/>
      <c r="T1542" s="1048"/>
      <c r="U1542" s="1102"/>
    </row>
    <row r="1543" spans="2:21" hidden="1" outlineLevel="2">
      <c r="B1543" s="1050">
        <v>622</v>
      </c>
      <c r="C1543" s="2035" t="str">
        <f t="shared" si="127"/>
        <v>93, Sevran, SEBIO, France continentale, Base Carbone</v>
      </c>
      <c r="D1543" s="1051">
        <f t="shared" si="131"/>
        <v>622</v>
      </c>
      <c r="E1543" s="1051" t="str">
        <f>IF(COUNTIF(E$921:E1542,F1543)&gt;0,"",F1543)</f>
        <v>93, Sevran, SEBIO, France continentale, Base Carbone</v>
      </c>
      <c r="F1543" s="1051" t="str">
        <f t="shared" si="132"/>
        <v>93, Sevran, SEBIO, France continentale, Base Carbone</v>
      </c>
      <c r="G1543" s="1055" t="str">
        <f t="shared" si="133"/>
        <v>93, Sevran, SEBIO, France continentale, Base Carbone; kgCO2e/kWh</v>
      </c>
      <c r="I1543" s="2018" t="s">
        <v>3614</v>
      </c>
      <c r="J1543" s="1135" t="s">
        <v>1681</v>
      </c>
      <c r="K1543" s="1119" t="s">
        <v>1567</v>
      </c>
      <c r="L1543" s="1119" t="s">
        <v>1571</v>
      </c>
      <c r="M1543" s="1134">
        <v>0.3</v>
      </c>
      <c r="N1543" s="1135"/>
      <c r="O1543" s="1135">
        <v>7.3999999999999996E-2</v>
      </c>
      <c r="P1543" s="1048"/>
      <c r="Q1543" s="1048"/>
      <c r="R1543" s="1048"/>
      <c r="S1543" s="1048"/>
      <c r="T1543" s="1048"/>
      <c r="U1543" s="1102"/>
    </row>
    <row r="1544" spans="2:21" hidden="1" outlineLevel="2">
      <c r="B1544" s="1050">
        <v>623</v>
      </c>
      <c r="C1544" s="2035" t="str">
        <f t="shared" si="127"/>
        <v>93, Sevran, ZAC de Sevran, France continentale, Base Carbone</v>
      </c>
      <c r="D1544" s="1051">
        <f t="shared" si="131"/>
        <v>623</v>
      </c>
      <c r="E1544" s="1051" t="str">
        <f>IF(COUNTIF(E$921:E1543,F1544)&gt;0,"",F1544)</f>
        <v>93, Sevran, ZAC de Sevran, France continentale, Base Carbone</v>
      </c>
      <c r="F1544" s="1051" t="str">
        <f t="shared" si="132"/>
        <v>93, Sevran, ZAC de Sevran, France continentale, Base Carbone</v>
      </c>
      <c r="G1544" s="1055" t="str">
        <f t="shared" si="133"/>
        <v>93, Sevran, ZAC de Sevran, France continentale, Base Carbone; kgCO2e/kWh</v>
      </c>
      <c r="I1544" s="2018" t="s">
        <v>1042</v>
      </c>
      <c r="J1544" s="1135" t="s">
        <v>1681</v>
      </c>
      <c r="K1544" s="1119" t="s">
        <v>1567</v>
      </c>
      <c r="L1544" s="1119" t="s">
        <v>1571</v>
      </c>
      <c r="M1544" s="1134">
        <v>0.3</v>
      </c>
      <c r="N1544" s="1135"/>
      <c r="O1544" s="1135">
        <v>0.23100000000000001</v>
      </c>
      <c r="P1544" s="1048"/>
      <c r="Q1544" s="1048"/>
      <c r="R1544" s="1048"/>
      <c r="S1544" s="1048"/>
      <c r="T1544" s="1048"/>
      <c r="U1544" s="1102"/>
    </row>
    <row r="1545" spans="2:21" hidden="1" outlineLevel="2">
      <c r="B1545" s="1050">
        <v>624</v>
      </c>
      <c r="C1545" s="2035" t="str">
        <f t="shared" si="127"/>
        <v>93, Tremblay-en-France, Réseau de Tremblay-en-France, France continentale, Base Carbone</v>
      </c>
      <c r="D1545" s="1051">
        <f t="shared" si="131"/>
        <v>624</v>
      </c>
      <c r="E1545" s="1051" t="str">
        <f>IF(COUNTIF(E$921:E1544,F1545)&gt;0,"",F1545)</f>
        <v>93, Tremblay-en-France, Réseau de Tremblay-en-France, France continentale, Base Carbone</v>
      </c>
      <c r="F1545" s="1051" t="str">
        <f t="shared" si="132"/>
        <v>93, Tremblay-en-France, Réseau de Tremblay-en-France, France continentale, Base Carbone</v>
      </c>
      <c r="G1545" s="1055" t="str">
        <f t="shared" si="133"/>
        <v>93, Tremblay-en-France, Réseau de Tremblay-en-France, France continentale, Base Carbone; kgCO2e/kWh</v>
      </c>
      <c r="I1545" s="2018" t="s">
        <v>3615</v>
      </c>
      <c r="J1545" s="1135" t="s">
        <v>1681</v>
      </c>
      <c r="K1545" s="1119" t="s">
        <v>1567</v>
      </c>
      <c r="L1545" s="1119" t="s">
        <v>1571</v>
      </c>
      <c r="M1545" s="1134">
        <v>0.3</v>
      </c>
      <c r="N1545" s="1135"/>
      <c r="O1545" s="1135">
        <v>0.08</v>
      </c>
      <c r="P1545" s="1048"/>
      <c r="Q1545" s="1048"/>
      <c r="R1545" s="1048"/>
      <c r="S1545" s="1048"/>
      <c r="T1545" s="1048"/>
      <c r="U1545" s="1102"/>
    </row>
    <row r="1546" spans="2:21" hidden="1" outlineLevel="2">
      <c r="B1546" s="1050">
        <v>625</v>
      </c>
      <c r="C1546" s="2035" t="str">
        <f t="shared" si="127"/>
        <v>93, Villepinte, Réseau de Villepinte, France continentale, Base Carbone</v>
      </c>
      <c r="D1546" s="1051">
        <f t="shared" si="131"/>
        <v>625</v>
      </c>
      <c r="E1546" s="1051" t="str">
        <f>IF(COUNTIF(E$921:E1545,F1546)&gt;0,"",F1546)</f>
        <v>93, Villepinte, Réseau de Villepinte, France continentale, Base Carbone</v>
      </c>
      <c r="F1546" s="1051" t="str">
        <f t="shared" si="132"/>
        <v>93, Villepinte, Réseau de Villepinte, France continentale, Base Carbone</v>
      </c>
      <c r="G1546" s="1055" t="str">
        <f t="shared" si="133"/>
        <v>93, Villepinte, Réseau de Villepinte, France continentale, Base Carbone; kgCO2e/kWh</v>
      </c>
      <c r="I1546" s="2018" t="s">
        <v>1043</v>
      </c>
      <c r="J1546" s="1135" t="s">
        <v>1681</v>
      </c>
      <c r="K1546" s="1119" t="s">
        <v>1567</v>
      </c>
      <c r="L1546" s="1119" t="s">
        <v>1571</v>
      </c>
      <c r="M1546" s="1134">
        <v>0.3</v>
      </c>
      <c r="N1546" s="1135"/>
      <c r="O1546" s="1135">
        <v>5.3999999999999999E-2</v>
      </c>
      <c r="P1546" s="1048"/>
      <c r="Q1546" s="1048"/>
      <c r="R1546" s="1048"/>
      <c r="S1546" s="1048"/>
      <c r="T1546" s="1048"/>
      <c r="U1546" s="1102"/>
    </row>
    <row r="1547" spans="2:21" hidden="1" outlineLevel="2">
      <c r="B1547" s="1050">
        <v>626</v>
      </c>
      <c r="C1547" s="2035" t="str">
        <f t="shared" si="127"/>
        <v>94, Alfortville, Réseau d’Alfortville-Smag, France continentale, Base Carbone</v>
      </c>
      <c r="D1547" s="1051">
        <f t="shared" si="131"/>
        <v>626</v>
      </c>
      <c r="E1547" s="1051" t="str">
        <f>IF(COUNTIF(E$921:E1546,F1547)&gt;0,"",F1547)</f>
        <v>94, Alfortville, Réseau d’Alfortville-Smag, France continentale, Base Carbone</v>
      </c>
      <c r="F1547" s="1051" t="str">
        <f t="shared" si="132"/>
        <v>94, Alfortville, Réseau d’Alfortville-Smag, France continentale, Base Carbone</v>
      </c>
      <c r="G1547" s="1055" t="str">
        <f t="shared" si="133"/>
        <v>94, Alfortville, Réseau d’Alfortville-Smag, France continentale, Base Carbone; kgCO2e/kWh</v>
      </c>
      <c r="I1547" s="2018" t="s">
        <v>3616</v>
      </c>
      <c r="J1547" s="1135" t="s">
        <v>1681</v>
      </c>
      <c r="K1547" s="1119" t="s">
        <v>1567</v>
      </c>
      <c r="L1547" s="1119" t="s">
        <v>1571</v>
      </c>
      <c r="M1547" s="1134">
        <v>0.3</v>
      </c>
      <c r="N1547" s="1135"/>
      <c r="O1547" s="1135">
        <v>4.8000000000000001E-2</v>
      </c>
      <c r="P1547" s="1048"/>
      <c r="Q1547" s="1048"/>
      <c r="R1547" s="1048"/>
      <c r="S1547" s="1048"/>
      <c r="T1547" s="1048"/>
      <c r="U1547" s="1102"/>
    </row>
    <row r="1548" spans="2:21" hidden="1" outlineLevel="2">
      <c r="B1548" s="1050">
        <v>627</v>
      </c>
      <c r="C1548" s="2035" t="str">
        <f t="shared" si="127"/>
        <v>94, Arcueil, Réseau d’Arcueil-Gentilly, France continentale, Base Carbone</v>
      </c>
      <c r="D1548" s="1051">
        <f t="shared" si="131"/>
        <v>627</v>
      </c>
      <c r="E1548" s="1051" t="str">
        <f>IF(COUNTIF(E$921:E1547,F1548)&gt;0,"",F1548)</f>
        <v>94, Arcueil, Réseau d’Arcueil-Gentilly, France continentale, Base Carbone</v>
      </c>
      <c r="F1548" s="1051" t="str">
        <f t="shared" si="132"/>
        <v>94, Arcueil, Réseau d’Arcueil-Gentilly, France continentale, Base Carbone</v>
      </c>
      <c r="G1548" s="1055" t="str">
        <f t="shared" si="133"/>
        <v>94, Arcueil, Réseau d’Arcueil-Gentilly, France continentale, Base Carbone; kgCO2e/kWh</v>
      </c>
      <c r="I1548" s="2018" t="s">
        <v>3617</v>
      </c>
      <c r="J1548" s="1135" t="s">
        <v>1681</v>
      </c>
      <c r="K1548" s="1119" t="s">
        <v>1567</v>
      </c>
      <c r="L1548" s="1119" t="s">
        <v>1571</v>
      </c>
      <c r="M1548" s="1134">
        <v>0.3</v>
      </c>
      <c r="N1548" s="1135"/>
      <c r="O1548" s="1135">
        <v>0.107</v>
      </c>
      <c r="P1548" s="1048"/>
      <c r="Q1548" s="1048"/>
      <c r="R1548" s="1048"/>
      <c r="S1548" s="1048"/>
      <c r="T1548" s="1048"/>
      <c r="U1548" s="1102"/>
    </row>
    <row r="1549" spans="2:21" hidden="1" outlineLevel="2">
      <c r="B1549" s="1050">
        <v>628</v>
      </c>
      <c r="C1549" s="2035" t="str">
        <f t="shared" si="127"/>
        <v>94, Bonneuil-sur-Marne, SETBO, France continentale, Base Carbone</v>
      </c>
      <c r="D1549" s="1051">
        <f t="shared" si="131"/>
        <v>628</v>
      </c>
      <c r="E1549" s="1051" t="str">
        <f>IF(COUNTIF(E$921:E1548,F1549)&gt;0,"",F1549)</f>
        <v>94, Bonneuil-sur-Marne, SETBO, France continentale, Base Carbone</v>
      </c>
      <c r="F1549" s="1051" t="str">
        <f t="shared" si="132"/>
        <v>94, Bonneuil-sur-Marne, SETBO, France continentale, Base Carbone</v>
      </c>
      <c r="G1549" s="1055" t="str">
        <f t="shared" si="133"/>
        <v>94, Bonneuil-sur-Marne, SETBO, France continentale, Base Carbone; kgCO2e/kWh</v>
      </c>
      <c r="I1549" s="2018" t="s">
        <v>3618</v>
      </c>
      <c r="J1549" s="1135" t="s">
        <v>1681</v>
      </c>
      <c r="K1549" s="1119" t="s">
        <v>1567</v>
      </c>
      <c r="L1549" s="1119" t="s">
        <v>1571</v>
      </c>
      <c r="M1549" s="1134">
        <v>0.3</v>
      </c>
      <c r="N1549" s="1135"/>
      <c r="O1549" s="1135">
        <v>5.1999999999999998E-2</v>
      </c>
      <c r="P1549" s="1048"/>
      <c r="Q1549" s="1048"/>
      <c r="R1549" s="1048"/>
      <c r="S1549" s="1048"/>
      <c r="T1549" s="1048"/>
      <c r="U1549" s="1102"/>
    </row>
    <row r="1550" spans="2:21" hidden="1" outlineLevel="2">
      <c r="B1550" s="1050">
        <v>629</v>
      </c>
      <c r="C1550" s="2035" t="str">
        <f t="shared" si="127"/>
        <v>94, Cachan, Réseau de Cachan, France continentale, Base Carbone</v>
      </c>
      <c r="D1550" s="1051">
        <f t="shared" si="131"/>
        <v>629</v>
      </c>
      <c r="E1550" s="1051" t="str">
        <f>IF(COUNTIF(E$921:E1549,F1550)&gt;0,"",F1550)</f>
        <v>94, Cachan, Réseau de Cachan, France continentale, Base Carbone</v>
      </c>
      <c r="F1550" s="1051" t="str">
        <f t="shared" si="132"/>
        <v>94, Cachan, Réseau de Cachan, France continentale, Base Carbone</v>
      </c>
      <c r="G1550" s="1055" t="str">
        <f t="shared" si="133"/>
        <v>94, Cachan, Réseau de Cachan, France continentale, Base Carbone; kgCO2e/kWh</v>
      </c>
      <c r="I1550" s="2018" t="s">
        <v>1044</v>
      </c>
      <c r="J1550" s="1135" t="s">
        <v>1681</v>
      </c>
      <c r="K1550" s="1119" t="s">
        <v>1567</v>
      </c>
      <c r="L1550" s="1119" t="s">
        <v>1571</v>
      </c>
      <c r="M1550" s="1134">
        <v>0.3</v>
      </c>
      <c r="N1550" s="1135"/>
      <c r="O1550" s="1135">
        <v>0.151</v>
      </c>
      <c r="P1550" s="1048"/>
      <c r="Q1550" s="1048"/>
      <c r="R1550" s="1048"/>
      <c r="S1550" s="1048"/>
      <c r="T1550" s="1048"/>
      <c r="U1550" s="1102"/>
    </row>
    <row r="1551" spans="2:21" hidden="1" outlineLevel="2">
      <c r="B1551" s="1050">
        <v>630</v>
      </c>
      <c r="C1551" s="2035" t="str">
        <f t="shared" si="127"/>
        <v>94, Champigny-sur-Marne, Réseau de Champigny sur Marne, France continentale, Base Carbone</v>
      </c>
      <c r="D1551" s="1051">
        <f t="shared" si="131"/>
        <v>630</v>
      </c>
      <c r="E1551" s="1051" t="str">
        <f>IF(COUNTIF(E$921:E1550,F1551)&gt;0,"",F1551)</f>
        <v>94, Champigny-sur-Marne, Réseau de Champigny sur Marne, France continentale, Base Carbone</v>
      </c>
      <c r="F1551" s="1051" t="str">
        <f t="shared" si="132"/>
        <v>94, Champigny-sur-Marne, Réseau de Champigny sur Marne, France continentale, Base Carbone</v>
      </c>
      <c r="G1551" s="1055" t="str">
        <f t="shared" si="133"/>
        <v>94, Champigny-sur-Marne, Réseau de Champigny sur Marne, France continentale, Base Carbone; kgCO2e/kWh</v>
      </c>
      <c r="I1551" s="2018" t="s">
        <v>3029</v>
      </c>
      <c r="J1551" s="1135" t="s">
        <v>1681</v>
      </c>
      <c r="K1551" s="1119" t="s">
        <v>1567</v>
      </c>
      <c r="L1551" s="1119" t="s">
        <v>1571</v>
      </c>
      <c r="M1551" s="1134">
        <v>0.3</v>
      </c>
      <c r="N1551" s="1135"/>
      <c r="O1551" s="1135">
        <v>6.6000000000000003E-2</v>
      </c>
      <c r="P1551" s="1048"/>
      <c r="Q1551" s="1048"/>
      <c r="R1551" s="1048"/>
      <c r="S1551" s="1048"/>
      <c r="T1551" s="1048"/>
      <c r="U1551" s="1102"/>
    </row>
    <row r="1552" spans="2:21" hidden="1" outlineLevel="2">
      <c r="B1552" s="1050">
        <v>631</v>
      </c>
      <c r="C1552" s="2035" t="str">
        <f t="shared" si="127"/>
        <v>94, Chevilly-Larue, Réseau de Chevilly-Larue l’Hay les Roses Villejuif, France continentale, Base Carbone</v>
      </c>
      <c r="D1552" s="1051">
        <f t="shared" si="131"/>
        <v>631</v>
      </c>
      <c r="E1552" s="1051" t="str">
        <f>IF(COUNTIF(E$921:E1551,F1552)&gt;0,"",F1552)</f>
        <v>94, Chevilly-Larue, Réseau de Chevilly-Larue l’Hay les Roses Villejuif, France continentale, Base Carbone</v>
      </c>
      <c r="F1552" s="1051" t="str">
        <f t="shared" si="132"/>
        <v>94, Chevilly-Larue, Réseau de Chevilly-Larue l’Hay les Roses Villejuif, France continentale, Base Carbone</v>
      </c>
      <c r="G1552" s="1055" t="str">
        <f t="shared" si="133"/>
        <v>94, Chevilly-Larue, Réseau de Chevilly-Larue l’Hay les Roses Villejuif, France continentale, Base Carbone; kgCO2e/kWh</v>
      </c>
      <c r="I1552" s="2018" t="s">
        <v>3619</v>
      </c>
      <c r="J1552" s="1135" t="s">
        <v>1681</v>
      </c>
      <c r="K1552" s="1119" t="s">
        <v>1567</v>
      </c>
      <c r="L1552" s="1119" t="s">
        <v>1571</v>
      </c>
      <c r="M1552" s="1134">
        <v>0.3</v>
      </c>
      <c r="N1552" s="1135"/>
      <c r="O1552" s="1135">
        <v>9.2999999999999999E-2</v>
      </c>
      <c r="P1552" s="1048"/>
      <c r="Q1552" s="1048"/>
      <c r="R1552" s="1048"/>
      <c r="S1552" s="1048"/>
      <c r="T1552" s="1048"/>
      <c r="U1552" s="1102"/>
    </row>
    <row r="1553" spans="2:21" hidden="1" outlineLevel="2">
      <c r="B1553" s="1050">
        <v>632</v>
      </c>
      <c r="C1553" s="2035" t="str">
        <f t="shared" si="127"/>
        <v>94, Créteil, Réseau de Créteil-Scuc, France continentale, Base Carbone</v>
      </c>
      <c r="D1553" s="1051">
        <f t="shared" si="131"/>
        <v>632</v>
      </c>
      <c r="E1553" s="1051" t="str">
        <f>IF(COUNTIF(E$921:E1552,F1553)&gt;0,"",F1553)</f>
        <v>94, Créteil, Réseau de Créteil-Scuc, France continentale, Base Carbone</v>
      </c>
      <c r="F1553" s="1051" t="str">
        <f t="shared" si="132"/>
        <v>94, Créteil, Réseau de Créteil-Scuc, France continentale, Base Carbone</v>
      </c>
      <c r="G1553" s="1055" t="str">
        <f t="shared" si="133"/>
        <v>94, Créteil, Réseau de Créteil-Scuc, France continentale, Base Carbone; kgCO2e/kWh</v>
      </c>
      <c r="I1553" s="2018" t="s">
        <v>1045</v>
      </c>
      <c r="J1553" s="1135" t="s">
        <v>1681</v>
      </c>
      <c r="K1553" s="1119" t="s">
        <v>1567</v>
      </c>
      <c r="L1553" s="1119" t="s">
        <v>1571</v>
      </c>
      <c r="M1553" s="1134">
        <v>0.3</v>
      </c>
      <c r="N1553" s="1135"/>
      <c r="O1553" s="1135">
        <v>7.1999999999999995E-2</v>
      </c>
      <c r="P1553" s="1048"/>
      <c r="Q1553" s="1048"/>
      <c r="R1553" s="1048"/>
      <c r="S1553" s="1048"/>
      <c r="T1553" s="1048"/>
      <c r="U1553" s="1102"/>
    </row>
    <row r="1554" spans="2:21" hidden="1" outlineLevel="2">
      <c r="B1554" s="1050">
        <v>633</v>
      </c>
      <c r="C1554" s="2035" t="str">
        <f t="shared" si="127"/>
        <v>94, Fontenay-sous-Bois, Réseau de Fontenay-sous-Bois, France continentale, Base Carbone</v>
      </c>
      <c r="D1554" s="1051">
        <f t="shared" si="131"/>
        <v>633</v>
      </c>
      <c r="E1554" s="1051" t="str">
        <f>IF(COUNTIF(E$921:E1553,F1554)&gt;0,"",F1554)</f>
        <v>94, Fontenay-sous-Bois, Réseau de Fontenay-sous-Bois, France continentale, Base Carbone</v>
      </c>
      <c r="F1554" s="1051" t="str">
        <f t="shared" si="132"/>
        <v>94, Fontenay-sous-Bois, Réseau de Fontenay-sous-Bois, France continentale, Base Carbone</v>
      </c>
      <c r="G1554" s="1055" t="str">
        <f t="shared" si="133"/>
        <v>94, Fontenay-sous-Bois, Réseau de Fontenay-sous-Bois, France continentale, Base Carbone; kgCO2e/kWh</v>
      </c>
      <c r="I1554" s="2018" t="s">
        <v>3620</v>
      </c>
      <c r="J1554" s="1135" t="s">
        <v>1681</v>
      </c>
      <c r="K1554" s="1119" t="s">
        <v>1567</v>
      </c>
      <c r="L1554" s="1119" t="s">
        <v>1571</v>
      </c>
      <c r="M1554" s="1134">
        <v>0.3</v>
      </c>
      <c r="N1554" s="1135"/>
      <c r="O1554" s="1135">
        <v>0.18</v>
      </c>
      <c r="P1554" s="1048"/>
      <c r="Q1554" s="1048"/>
      <c r="R1554" s="1048"/>
      <c r="S1554" s="1048"/>
      <c r="T1554" s="1048"/>
      <c r="U1554" s="1102"/>
    </row>
    <row r="1555" spans="2:21" hidden="1" outlineLevel="2">
      <c r="B1555" s="1050">
        <v>634</v>
      </c>
      <c r="C1555" s="2035" t="str">
        <f t="shared" si="127"/>
        <v>94, Fresnes, Réseau de Fresnes, France continentale, Base Carbone</v>
      </c>
      <c r="D1555" s="1051">
        <f t="shared" si="131"/>
        <v>634</v>
      </c>
      <c r="E1555" s="1051" t="str">
        <f>IF(COUNTIF(E$921:E1554,F1555)&gt;0,"",F1555)</f>
        <v>94, Fresnes, Réseau de Fresnes, France continentale, Base Carbone</v>
      </c>
      <c r="F1555" s="1051" t="str">
        <f t="shared" si="132"/>
        <v>94, Fresnes, Réseau de Fresnes, France continentale, Base Carbone</v>
      </c>
      <c r="G1555" s="1055" t="str">
        <f t="shared" si="133"/>
        <v>94, Fresnes, Réseau de Fresnes, France continentale, Base Carbone; kgCO2e/kWh</v>
      </c>
      <c r="I1555" s="2018" t="s">
        <v>3621</v>
      </c>
      <c r="J1555" s="1135" t="s">
        <v>1681</v>
      </c>
      <c r="K1555" s="1119" t="s">
        <v>1567</v>
      </c>
      <c r="L1555" s="1119" t="s">
        <v>1571</v>
      </c>
      <c r="M1555" s="1134">
        <v>0.3</v>
      </c>
      <c r="N1555" s="1135"/>
      <c r="O1555" s="1135">
        <v>9.5000000000000001E-2</v>
      </c>
      <c r="P1555" s="1048"/>
      <c r="Q1555" s="1048"/>
      <c r="R1555" s="1048"/>
      <c r="S1555" s="1048"/>
      <c r="T1555" s="1048"/>
      <c r="U1555" s="1102"/>
    </row>
    <row r="1556" spans="2:21" hidden="1" outlineLevel="2">
      <c r="B1556" s="1050">
        <v>635</v>
      </c>
      <c r="C1556" s="2035" t="str">
        <f t="shared" si="127"/>
        <v>94, Ivry-sur-Seine, Réseau d’Ivry, France continentale, Base Carbone</v>
      </c>
      <c r="D1556" s="1051">
        <f t="shared" si="131"/>
        <v>635</v>
      </c>
      <c r="E1556" s="1051" t="str">
        <f>IF(COUNTIF(E$921:E1555,F1556)&gt;0,"",F1556)</f>
        <v>94, Ivry-sur-Seine, Réseau d’Ivry, France continentale, Base Carbone</v>
      </c>
      <c r="F1556" s="1051" t="str">
        <f t="shared" si="132"/>
        <v>94, Ivry-sur-Seine, Réseau d’Ivry, France continentale, Base Carbone</v>
      </c>
      <c r="G1556" s="1055" t="str">
        <f t="shared" si="133"/>
        <v>94, Ivry-sur-Seine, Réseau d’Ivry, France continentale, Base Carbone; kgCO2e/kWh</v>
      </c>
      <c r="I1556" s="2018" t="s">
        <v>3622</v>
      </c>
      <c r="J1556" s="1135" t="s">
        <v>1681</v>
      </c>
      <c r="K1556" s="1119" t="s">
        <v>1567</v>
      </c>
      <c r="L1556" s="1119" t="s">
        <v>1571</v>
      </c>
      <c r="M1556" s="1134">
        <v>0.3</v>
      </c>
      <c r="N1556" s="1135"/>
      <c r="O1556" s="1135">
        <v>0.23200000000000001</v>
      </c>
      <c r="P1556" s="1048"/>
      <c r="Q1556" s="1048"/>
      <c r="R1556" s="1048"/>
      <c r="S1556" s="1048"/>
      <c r="T1556" s="1048"/>
      <c r="U1556" s="1102"/>
    </row>
    <row r="1557" spans="2:21" hidden="1" outlineLevel="2">
      <c r="B1557" s="1050">
        <v>636</v>
      </c>
      <c r="C1557" s="2035" t="str">
        <f t="shared" si="127"/>
        <v>94, Limeil-Brévannes, Réseau de Limeil-Brévannes, France continentale, Base Carbone</v>
      </c>
      <c r="D1557" s="1051">
        <f t="shared" si="131"/>
        <v>636</v>
      </c>
      <c r="E1557" s="1051" t="str">
        <f>IF(COUNTIF(E$921:E1556,F1557)&gt;0,"",F1557)</f>
        <v>94, Limeil-Brévannes, Réseau de Limeil-Brévannes, France continentale, Base Carbone</v>
      </c>
      <c r="F1557" s="1051" t="str">
        <f t="shared" si="132"/>
        <v>94, Limeil-Brévannes, Réseau de Limeil-Brévannes, France continentale, Base Carbone</v>
      </c>
      <c r="G1557" s="1055" t="str">
        <f t="shared" si="133"/>
        <v>94, Limeil-Brévannes, Réseau de Limeil-Brévannes, France continentale, Base Carbone; kgCO2e/kWh</v>
      </c>
      <c r="I1557" s="2018" t="s">
        <v>3030</v>
      </c>
      <c r="J1557" s="1135" t="s">
        <v>1681</v>
      </c>
      <c r="K1557" s="1119" t="s">
        <v>1567</v>
      </c>
      <c r="L1557" s="1119" t="s">
        <v>1571</v>
      </c>
      <c r="M1557" s="1134">
        <v>0.3</v>
      </c>
      <c r="N1557" s="1135"/>
      <c r="O1557" s="1135">
        <v>7.1999999999999995E-2</v>
      </c>
      <c r="P1557" s="1048"/>
      <c r="Q1557" s="1048"/>
      <c r="R1557" s="1048"/>
      <c r="S1557" s="1048"/>
      <c r="T1557" s="1048"/>
      <c r="U1557" s="1102"/>
    </row>
    <row r="1558" spans="2:21" hidden="1" outlineLevel="2">
      <c r="B1558" s="1050">
        <v>637</v>
      </c>
      <c r="C1558" s="2035" t="str">
        <f t="shared" si="127"/>
        <v>94, Maison-Alfort, Réseau de Maison-Alfort, France continentale, Base Carbone</v>
      </c>
      <c r="D1558" s="1051">
        <f t="shared" si="131"/>
        <v>637</v>
      </c>
      <c r="E1558" s="1051" t="str">
        <f>IF(COUNTIF(E$921:E1557,F1558)&gt;0,"",F1558)</f>
        <v>94, Maison-Alfort, Réseau de Maison-Alfort, France continentale, Base Carbone</v>
      </c>
      <c r="F1558" s="1051" t="str">
        <f t="shared" si="132"/>
        <v>94, Maison-Alfort, Réseau de Maison-Alfort, France continentale, Base Carbone</v>
      </c>
      <c r="G1558" s="1055" t="str">
        <f t="shared" si="133"/>
        <v>94, Maison-Alfort, Réseau de Maison-Alfort, France continentale, Base Carbone; kgCO2e/kWh</v>
      </c>
      <c r="I1558" s="2018" t="s">
        <v>3623</v>
      </c>
      <c r="J1558" s="1135" t="s">
        <v>1681</v>
      </c>
      <c r="K1558" s="1119" t="s">
        <v>1567</v>
      </c>
      <c r="L1558" s="1119" t="s">
        <v>1571</v>
      </c>
      <c r="M1558" s="1134">
        <v>0.3</v>
      </c>
      <c r="N1558" s="1135"/>
      <c r="O1558" s="1135">
        <v>9.0999999999999998E-2</v>
      </c>
      <c r="P1558" s="1048"/>
      <c r="Q1558" s="1048"/>
      <c r="R1558" s="1048"/>
      <c r="S1558" s="1048"/>
      <c r="T1558" s="1048"/>
      <c r="U1558" s="1102"/>
    </row>
    <row r="1559" spans="2:21" hidden="1" outlineLevel="2">
      <c r="B1559" s="1050">
        <v>638</v>
      </c>
      <c r="C1559" s="2035" t="str">
        <f t="shared" si="127"/>
        <v>94, Orly, Réseau ADP Orly, France continentale, Base Carbone</v>
      </c>
      <c r="D1559" s="1051">
        <f t="shared" si="131"/>
        <v>638</v>
      </c>
      <c r="E1559" s="1051" t="str">
        <f>IF(COUNTIF(E$921:E1558,F1559)&gt;0,"",F1559)</f>
        <v>94, Orly, Réseau ADP Orly, France continentale, Base Carbone</v>
      </c>
      <c r="F1559" s="1051" t="str">
        <f t="shared" si="132"/>
        <v>94, Orly, Réseau ADP Orly, France continentale, Base Carbone</v>
      </c>
      <c r="G1559" s="1055" t="str">
        <f t="shared" si="133"/>
        <v>94, Orly, Réseau ADP Orly, France continentale, Base Carbone; kgCO2e/kWh</v>
      </c>
      <c r="I1559" s="2018" t="s">
        <v>1046</v>
      </c>
      <c r="J1559" s="1135" t="s">
        <v>1681</v>
      </c>
      <c r="K1559" s="1119" t="s">
        <v>1567</v>
      </c>
      <c r="L1559" s="1119" t="s">
        <v>1571</v>
      </c>
      <c r="M1559" s="1134">
        <v>0.3</v>
      </c>
      <c r="N1559" s="1135"/>
      <c r="O1559" s="1135">
        <v>9.6000000000000002E-2</v>
      </c>
      <c r="P1559" s="1048"/>
      <c r="Q1559" s="1048"/>
      <c r="R1559" s="1048"/>
      <c r="S1559" s="1048"/>
      <c r="T1559" s="1048"/>
      <c r="U1559" s="1102"/>
    </row>
    <row r="1560" spans="2:21" hidden="1" outlineLevel="2">
      <c r="B1560" s="1050">
        <v>639</v>
      </c>
      <c r="C1560" s="2035" t="str">
        <f t="shared" si="127"/>
        <v>94, Orly, Réseau d’Orly, France continentale, Base Carbone</v>
      </c>
      <c r="D1560" s="1051">
        <f t="shared" ref="D1560:D1580" si="134">D1559+IF(LEN(E1560)=0,0,1)</f>
        <v>639</v>
      </c>
      <c r="E1560" s="1051" t="str">
        <f>IF(COUNTIF(E$921:E1559,F1560)&gt;0,"",F1560)</f>
        <v>94, Orly, Réseau d’Orly, France continentale, Base Carbone</v>
      </c>
      <c r="F1560" s="1051" t="str">
        <f t="shared" ref="F1560:F1580" si="135">IF(I1560&lt;&gt;"",I1560&amp;IF(L1560&lt;&gt;"",", "&amp;L1560,"")&amp;IF(K1560&lt;&gt;"",", "&amp;K1560,""),"")</f>
        <v>94, Orly, Réseau d’Orly, France continentale, Base Carbone</v>
      </c>
      <c r="G1560" s="1055" t="str">
        <f t="shared" ref="G1560:G1580" si="136">IF(F1560&lt;&gt;"",F1560&amp;IF(J1560&lt;&gt;"","; "&amp;J1560,"")&amp;IF(N1560&lt;&gt;"",", "&amp;N1560,""),"")</f>
        <v>94, Orly, Réseau d’Orly, France continentale, Base Carbone; kgCO2e/kWh</v>
      </c>
      <c r="I1560" s="2018" t="s">
        <v>3624</v>
      </c>
      <c r="J1560" s="1135" t="s">
        <v>1681</v>
      </c>
      <c r="K1560" s="1119" t="s">
        <v>1567</v>
      </c>
      <c r="L1560" s="1119" t="s">
        <v>1571</v>
      </c>
      <c r="M1560" s="1134">
        <v>0.3</v>
      </c>
      <c r="N1560" s="1135"/>
      <c r="O1560" s="1135">
        <v>6.5000000000000002E-2</v>
      </c>
      <c r="P1560" s="1048"/>
      <c r="Q1560" s="1048"/>
      <c r="R1560" s="1048"/>
      <c r="S1560" s="1048"/>
      <c r="T1560" s="1048"/>
      <c r="U1560" s="1102"/>
    </row>
    <row r="1561" spans="2:21" hidden="1" outlineLevel="2">
      <c r="B1561" s="1050">
        <v>640</v>
      </c>
      <c r="C1561" s="2035" t="str">
        <f t="shared" si="127"/>
        <v>94, Rungis, Marché International de Rungis, France continentale, Base Carbone</v>
      </c>
      <c r="D1561" s="1051">
        <f t="shared" si="134"/>
        <v>640</v>
      </c>
      <c r="E1561" s="1051" t="str">
        <f>IF(COUNTIF(E$921:E1560,F1561)&gt;0,"",F1561)</f>
        <v>94, Rungis, Marché International de Rungis, France continentale, Base Carbone</v>
      </c>
      <c r="F1561" s="1051" t="str">
        <f t="shared" si="135"/>
        <v>94, Rungis, Marché International de Rungis, France continentale, Base Carbone</v>
      </c>
      <c r="G1561" s="1055" t="str">
        <f t="shared" si="136"/>
        <v>94, Rungis, Marché International de Rungis, France continentale, Base Carbone; kgCO2e/kWh</v>
      </c>
      <c r="I1561" s="2018" t="s">
        <v>3625</v>
      </c>
      <c r="J1561" s="1135" t="s">
        <v>1681</v>
      </c>
      <c r="K1561" s="1119" t="s">
        <v>1567</v>
      </c>
      <c r="L1561" s="1119" t="s">
        <v>1571</v>
      </c>
      <c r="M1561" s="1134">
        <v>0.3</v>
      </c>
      <c r="N1561" s="1135"/>
      <c r="O1561" s="1135">
        <v>1E-3</v>
      </c>
      <c r="P1561" s="1048"/>
      <c r="Q1561" s="1048"/>
      <c r="R1561" s="1048"/>
      <c r="S1561" s="1048"/>
      <c r="T1561" s="1048"/>
      <c r="U1561" s="1102"/>
    </row>
    <row r="1562" spans="2:21" hidden="1" outlineLevel="2">
      <c r="B1562" s="1050">
        <v>641</v>
      </c>
      <c r="C1562" s="2035" t="str">
        <f t="shared" si="127"/>
        <v>94, Sucy-en-Brie, Réseau de Sucy en Brie, France continentale, Base Carbone</v>
      </c>
      <c r="D1562" s="1051">
        <f t="shared" si="134"/>
        <v>641</v>
      </c>
      <c r="E1562" s="1051" t="str">
        <f>IF(COUNTIF(E$921:E1561,F1562)&gt;0,"",F1562)</f>
        <v>94, Sucy-en-Brie, Réseau de Sucy en Brie, France continentale, Base Carbone</v>
      </c>
      <c r="F1562" s="1051" t="str">
        <f t="shared" si="135"/>
        <v>94, Sucy-en-Brie, Réseau de Sucy en Brie, France continentale, Base Carbone</v>
      </c>
      <c r="G1562" s="1055" t="str">
        <f t="shared" si="136"/>
        <v>94, Sucy-en-Brie, Réseau de Sucy en Brie, France continentale, Base Carbone; kgCO2e/kWh</v>
      </c>
      <c r="I1562" s="2018" t="s">
        <v>3031</v>
      </c>
      <c r="J1562" s="1135" t="s">
        <v>1681</v>
      </c>
      <c r="K1562" s="1119" t="s">
        <v>1567</v>
      </c>
      <c r="L1562" s="1119" t="s">
        <v>1571</v>
      </c>
      <c r="M1562" s="1134">
        <v>0.3</v>
      </c>
      <c r="N1562" s="1135"/>
      <c r="O1562" s="1135">
        <v>4.4999999999999998E-2</v>
      </c>
      <c r="P1562" s="1048"/>
      <c r="Q1562" s="1048"/>
      <c r="R1562" s="1048"/>
      <c r="S1562" s="1048"/>
      <c r="T1562" s="1048"/>
      <c r="U1562" s="1102"/>
    </row>
    <row r="1563" spans="2:21" hidden="1" outlineLevel="2">
      <c r="B1563" s="1050">
        <v>642</v>
      </c>
      <c r="C1563" s="2035" t="str">
        <f t="shared" si="127"/>
        <v>94, Thiais, Réseau de Thiais, France continentale, Base Carbone</v>
      </c>
      <c r="D1563" s="1051">
        <f t="shared" si="134"/>
        <v>642</v>
      </c>
      <c r="E1563" s="1051" t="str">
        <f>IF(COUNTIF(E$921:E1562,F1563)&gt;0,"",F1563)</f>
        <v>94, Thiais, Réseau de Thiais, France continentale, Base Carbone</v>
      </c>
      <c r="F1563" s="1051" t="str">
        <f t="shared" si="135"/>
        <v>94, Thiais, Réseau de Thiais, France continentale, Base Carbone</v>
      </c>
      <c r="G1563" s="1055" t="str">
        <f t="shared" si="136"/>
        <v>94, Thiais, Réseau de Thiais, France continentale, Base Carbone; kgCO2e/kWh</v>
      </c>
      <c r="I1563" s="2018" t="s">
        <v>1047</v>
      </c>
      <c r="J1563" s="1135" t="s">
        <v>1681</v>
      </c>
      <c r="K1563" s="1119" t="s">
        <v>1567</v>
      </c>
      <c r="L1563" s="1119" t="s">
        <v>1571</v>
      </c>
      <c r="M1563" s="1134">
        <v>0.3</v>
      </c>
      <c r="N1563" s="1135"/>
      <c r="O1563" s="1135">
        <v>0.128</v>
      </c>
      <c r="P1563" s="1048"/>
      <c r="Q1563" s="1048"/>
      <c r="R1563" s="1048"/>
      <c r="S1563" s="1048"/>
      <c r="T1563" s="1048"/>
      <c r="U1563" s="1102"/>
    </row>
    <row r="1564" spans="2:21" hidden="1" outlineLevel="2">
      <c r="B1564" s="1050">
        <v>643</v>
      </c>
      <c r="C1564" s="2035" t="str">
        <f t="shared" si="127"/>
        <v>94, Villeneuve-Saint-Georges, Réseau de Villeneuve Saint Georges, France continentale, Base Carbone</v>
      </c>
      <c r="D1564" s="1051">
        <f t="shared" si="134"/>
        <v>643</v>
      </c>
      <c r="E1564" s="1051" t="str">
        <f>IF(COUNTIF(E$921:E1563,F1564)&gt;0,"",F1564)</f>
        <v>94, Villeneuve-Saint-Georges, Réseau de Villeneuve Saint Georges, France continentale, Base Carbone</v>
      </c>
      <c r="F1564" s="1051" t="str">
        <f t="shared" si="135"/>
        <v>94, Villeneuve-Saint-Georges, Réseau de Villeneuve Saint Georges, France continentale, Base Carbone</v>
      </c>
      <c r="G1564" s="1055" t="str">
        <f t="shared" si="136"/>
        <v>94, Villeneuve-Saint-Georges, Réseau de Villeneuve Saint Georges, France continentale, Base Carbone; kgCO2e/kWh</v>
      </c>
      <c r="I1564" s="2018" t="s">
        <v>3626</v>
      </c>
      <c r="J1564" s="1135" t="s">
        <v>1681</v>
      </c>
      <c r="K1564" s="1119" t="s">
        <v>1567</v>
      </c>
      <c r="L1564" s="1119" t="s">
        <v>1571</v>
      </c>
      <c r="M1564" s="1134">
        <v>0.3</v>
      </c>
      <c r="N1564" s="1135"/>
      <c r="O1564" s="1135">
        <v>8.6999999999999994E-2</v>
      </c>
      <c r="P1564" s="1048"/>
      <c r="Q1564" s="1048"/>
      <c r="R1564" s="1048"/>
      <c r="S1564" s="1048"/>
      <c r="T1564" s="1048"/>
      <c r="U1564" s="1102"/>
    </row>
    <row r="1565" spans="2:21" hidden="1" outlineLevel="2">
      <c r="B1565" s="1050">
        <v>644</v>
      </c>
      <c r="C1565" s="2035" t="str">
        <f t="shared" si="127"/>
        <v>94, Vitry-sur-Seine, Réseau de Choisy-Vitry, France continentale, Base Carbone</v>
      </c>
      <c r="D1565" s="1051">
        <f t="shared" si="134"/>
        <v>644</v>
      </c>
      <c r="E1565" s="1051" t="str">
        <f>IF(COUNTIF(E$921:E1564,F1565)&gt;0,"",F1565)</f>
        <v>94, Vitry-sur-Seine, Réseau de Choisy-Vitry, France continentale, Base Carbone</v>
      </c>
      <c r="F1565" s="1051" t="str">
        <f t="shared" si="135"/>
        <v>94, Vitry-sur-Seine, Réseau de Choisy-Vitry, France continentale, Base Carbone</v>
      </c>
      <c r="G1565" s="1055" t="str">
        <f t="shared" si="136"/>
        <v>94, Vitry-sur-Seine, Réseau de Choisy-Vitry, France continentale, Base Carbone; kgCO2e/kWh</v>
      </c>
      <c r="I1565" s="2018" t="s">
        <v>3627</v>
      </c>
      <c r="J1565" s="1135" t="s">
        <v>1681</v>
      </c>
      <c r="K1565" s="1119" t="s">
        <v>1567</v>
      </c>
      <c r="L1565" s="1119" t="s">
        <v>1571</v>
      </c>
      <c r="M1565" s="1134">
        <v>0.3</v>
      </c>
      <c r="N1565" s="1135"/>
      <c r="O1565" s="1135">
        <v>0.157</v>
      </c>
      <c r="P1565" s="1048"/>
      <c r="Q1565" s="1048"/>
      <c r="R1565" s="1048"/>
      <c r="S1565" s="1048"/>
      <c r="T1565" s="1048"/>
      <c r="U1565" s="1102"/>
    </row>
    <row r="1566" spans="2:21" hidden="1" outlineLevel="2">
      <c r="B1566" s="1050">
        <v>645</v>
      </c>
      <c r="C1566" s="2035" t="str">
        <f t="shared" si="127"/>
        <v>95, Argenteuil, Réseau d’Argenteuil, France continentale, Base Carbone</v>
      </c>
      <c r="D1566" s="1051">
        <f t="shared" si="134"/>
        <v>645</v>
      </c>
      <c r="E1566" s="1051" t="str">
        <f>IF(COUNTIF(E$921:E1565,F1566)&gt;0,"",F1566)</f>
        <v>95, Argenteuil, Réseau d’Argenteuil, France continentale, Base Carbone</v>
      </c>
      <c r="F1566" s="1051" t="str">
        <f t="shared" si="135"/>
        <v>95, Argenteuil, Réseau d’Argenteuil, France continentale, Base Carbone</v>
      </c>
      <c r="G1566" s="1055" t="str">
        <f t="shared" si="136"/>
        <v>95, Argenteuil, Réseau d’Argenteuil, France continentale, Base Carbone; kgCO2e/kWh</v>
      </c>
      <c r="I1566" s="2018" t="s">
        <v>3628</v>
      </c>
      <c r="J1566" s="1135" t="s">
        <v>1681</v>
      </c>
      <c r="K1566" s="1119" t="s">
        <v>1567</v>
      </c>
      <c r="L1566" s="1119" t="s">
        <v>1571</v>
      </c>
      <c r="M1566" s="1134">
        <v>0.3</v>
      </c>
      <c r="N1566" s="1135"/>
      <c r="O1566" s="1135">
        <v>0.1</v>
      </c>
      <c r="P1566" s="1048"/>
      <c r="Q1566" s="1048"/>
      <c r="R1566" s="1048"/>
      <c r="S1566" s="1048"/>
      <c r="T1566" s="1048"/>
      <c r="U1566" s="1102"/>
    </row>
    <row r="1567" spans="2:21" hidden="1" outlineLevel="2">
      <c r="B1567" s="1050">
        <v>646</v>
      </c>
      <c r="C1567" s="2035" t="str">
        <f t="shared" si="127"/>
        <v>95, Cergy Pontoise, Réseau de Cergy-Pontoise, France continentale, Base Carbone</v>
      </c>
      <c r="D1567" s="1051">
        <f t="shared" si="134"/>
        <v>646</v>
      </c>
      <c r="E1567" s="1051" t="str">
        <f>IF(COUNTIF(E$921:E1566,F1567)&gt;0,"",F1567)</f>
        <v>95, Cergy Pontoise, Réseau de Cergy-Pontoise, France continentale, Base Carbone</v>
      </c>
      <c r="F1567" s="1051" t="str">
        <f t="shared" si="135"/>
        <v>95, Cergy Pontoise, Réseau de Cergy-Pontoise, France continentale, Base Carbone</v>
      </c>
      <c r="G1567" s="1055" t="str">
        <f t="shared" si="136"/>
        <v>95, Cergy Pontoise, Réseau de Cergy-Pontoise, France continentale, Base Carbone; kgCO2e/kWh</v>
      </c>
      <c r="I1567" s="2018" t="s">
        <v>3032</v>
      </c>
      <c r="J1567" s="1135" t="s">
        <v>1681</v>
      </c>
      <c r="K1567" s="1119" t="s">
        <v>1567</v>
      </c>
      <c r="L1567" s="1119" t="s">
        <v>1571</v>
      </c>
      <c r="M1567" s="1134">
        <v>0.3</v>
      </c>
      <c r="N1567" s="1135"/>
      <c r="O1567" s="1135">
        <v>0.16600000000000001</v>
      </c>
      <c r="P1567" s="1048"/>
      <c r="Q1567" s="1048"/>
      <c r="R1567" s="1048"/>
      <c r="S1567" s="1048"/>
      <c r="T1567" s="1048"/>
      <c r="U1567" s="1102"/>
    </row>
    <row r="1568" spans="2:21" hidden="1" outlineLevel="2">
      <c r="B1568" s="1050">
        <v>647</v>
      </c>
      <c r="C1568" s="2035" t="str">
        <f t="shared" si="127"/>
        <v>95, Franconville, ZAC de Montedour, France continentale, Base Carbone</v>
      </c>
      <c r="D1568" s="1051">
        <f t="shared" si="134"/>
        <v>647</v>
      </c>
      <c r="E1568" s="1051" t="str">
        <f>IF(COUNTIF(E$921:E1567,F1568)&gt;0,"",F1568)</f>
        <v>95, Franconville, ZAC de Montedour, France continentale, Base Carbone</v>
      </c>
      <c r="F1568" s="1051" t="str">
        <f t="shared" si="135"/>
        <v>95, Franconville, ZAC de Montedour, France continentale, Base Carbone</v>
      </c>
      <c r="G1568" s="1055" t="str">
        <f t="shared" si="136"/>
        <v>95, Franconville, ZAC de Montedour, France continentale, Base Carbone; kgCO2e/kWh</v>
      </c>
      <c r="I1568" s="2018" t="s">
        <v>3629</v>
      </c>
      <c r="J1568" s="1135" t="s">
        <v>1681</v>
      </c>
      <c r="K1568" s="1119" t="s">
        <v>1567</v>
      </c>
      <c r="L1568" s="1119" t="s">
        <v>1571</v>
      </c>
      <c r="M1568" s="1134">
        <v>0.3</v>
      </c>
      <c r="N1568" s="1135"/>
      <c r="O1568" s="1135">
        <v>0.23100000000000001</v>
      </c>
      <c r="P1568" s="1048"/>
      <c r="Q1568" s="1048"/>
      <c r="R1568" s="1048"/>
      <c r="S1568" s="1048"/>
      <c r="T1568" s="1048"/>
      <c r="U1568" s="1102"/>
    </row>
    <row r="1569" spans="2:21" hidden="1" outlineLevel="2">
      <c r="B1569" s="1050">
        <v>648</v>
      </c>
      <c r="C1569" s="2035" t="str">
        <f t="shared" si="127"/>
        <v>95, Franconville, ZUP de l’Epine Guyon, France continentale, Base Carbone</v>
      </c>
      <c r="D1569" s="1051">
        <f t="shared" si="134"/>
        <v>648</v>
      </c>
      <c r="E1569" s="1051" t="str">
        <f>IF(COUNTIF(E$921:E1568,F1569)&gt;0,"",F1569)</f>
        <v>95, Franconville, ZUP de l’Epine Guyon, France continentale, Base Carbone</v>
      </c>
      <c r="F1569" s="1051" t="str">
        <f t="shared" si="135"/>
        <v>95, Franconville, ZUP de l’Epine Guyon, France continentale, Base Carbone</v>
      </c>
      <c r="G1569" s="1055" t="str">
        <f t="shared" si="136"/>
        <v>95, Franconville, ZUP de l’Epine Guyon, France continentale, Base Carbone; kgCO2e/kWh</v>
      </c>
      <c r="I1569" s="2018" t="s">
        <v>3630</v>
      </c>
      <c r="J1569" s="1135" t="s">
        <v>1681</v>
      </c>
      <c r="K1569" s="1119" t="s">
        <v>1567</v>
      </c>
      <c r="L1569" s="1119" t="s">
        <v>1571</v>
      </c>
      <c r="M1569" s="1134">
        <v>0.3</v>
      </c>
      <c r="N1569" s="1135"/>
      <c r="O1569" s="1135">
        <v>0.16300000000000001</v>
      </c>
      <c r="P1569" s="1048"/>
      <c r="Q1569" s="1048"/>
      <c r="R1569" s="1048"/>
      <c r="S1569" s="1048"/>
      <c r="T1569" s="1048"/>
      <c r="U1569" s="1102"/>
    </row>
    <row r="1570" spans="2:21" hidden="1" outlineLevel="2">
      <c r="B1570" s="1050">
        <v>649</v>
      </c>
      <c r="C1570" s="2035" t="str">
        <f t="shared" si="127"/>
        <v>95, Franconville, ZUP de Sannois-Ermont-Franconville, France continentale, Base Carbone</v>
      </c>
      <c r="D1570" s="1051">
        <f t="shared" si="134"/>
        <v>649</v>
      </c>
      <c r="E1570" s="1051" t="str">
        <f>IF(COUNTIF(E$921:E1569,F1570)&gt;0,"",F1570)</f>
        <v>95, Franconville, ZUP de Sannois-Ermont-Franconville, France continentale, Base Carbone</v>
      </c>
      <c r="F1570" s="1051" t="str">
        <f t="shared" si="135"/>
        <v>95, Franconville, ZUP de Sannois-Ermont-Franconville, France continentale, Base Carbone</v>
      </c>
      <c r="G1570" s="1055" t="str">
        <f t="shared" si="136"/>
        <v>95, Franconville, ZUP de Sannois-Ermont-Franconville, France continentale, Base Carbone; kgCO2e/kWh</v>
      </c>
      <c r="I1570" s="2018" t="s">
        <v>1048</v>
      </c>
      <c r="J1570" s="1135" t="s">
        <v>1681</v>
      </c>
      <c r="K1570" s="1119" t="s">
        <v>1567</v>
      </c>
      <c r="L1570" s="1119" t="s">
        <v>1571</v>
      </c>
      <c r="M1570" s="1134">
        <v>0.3</v>
      </c>
      <c r="N1570" s="1135"/>
      <c r="O1570" s="1135">
        <v>8.7999999999999995E-2</v>
      </c>
      <c r="P1570" s="1048"/>
      <c r="Q1570" s="1048"/>
      <c r="R1570" s="1048"/>
      <c r="S1570" s="1048"/>
      <c r="T1570" s="1048"/>
      <c r="U1570" s="1102"/>
    </row>
    <row r="1571" spans="2:21" hidden="1" outlineLevel="2">
      <c r="B1571" s="1050">
        <v>650</v>
      </c>
      <c r="C1571" s="2035" t="str">
        <f t="shared" si="127"/>
        <v>95, Garges-Les-Gonesse, Van Gogh, France continentale, Base Carbone</v>
      </c>
      <c r="D1571" s="1051">
        <f t="shared" si="134"/>
        <v>650</v>
      </c>
      <c r="E1571" s="1051" t="str">
        <f>IF(COUNTIF(E$921:E1570,F1571)&gt;0,"",F1571)</f>
        <v>95, Garges-Les-Gonesse, Van Gogh, France continentale, Base Carbone</v>
      </c>
      <c r="F1571" s="1051" t="str">
        <f t="shared" si="135"/>
        <v>95, Garges-Les-Gonesse, Van Gogh, France continentale, Base Carbone</v>
      </c>
      <c r="G1571" s="1055" t="str">
        <f t="shared" si="136"/>
        <v>95, Garges-Les-Gonesse, Van Gogh, France continentale, Base Carbone; kgCO2e/kWh</v>
      </c>
      <c r="I1571" s="2018" t="s">
        <v>3033</v>
      </c>
      <c r="J1571" s="1135" t="s">
        <v>1681</v>
      </c>
      <c r="K1571" s="1119" t="s">
        <v>1567</v>
      </c>
      <c r="L1571" s="1119" t="s">
        <v>1571</v>
      </c>
      <c r="M1571" s="1134">
        <v>0.3</v>
      </c>
      <c r="N1571" s="1135"/>
      <c r="O1571" s="1135">
        <v>0.18</v>
      </c>
      <c r="P1571" s="1048"/>
      <c r="Q1571" s="1048"/>
      <c r="R1571" s="1048"/>
      <c r="S1571" s="1048"/>
      <c r="T1571" s="1048"/>
      <c r="U1571" s="1102"/>
    </row>
    <row r="1572" spans="2:21" hidden="1" outlineLevel="2">
      <c r="B1572" s="1050">
        <v>651</v>
      </c>
      <c r="C1572" s="2035" t="str">
        <f t="shared" si="127"/>
        <v>95, Pontoise, Réseau de Pontoise, France continentale, Base Carbone</v>
      </c>
      <c r="D1572" s="1051">
        <f t="shared" si="134"/>
        <v>651</v>
      </c>
      <c r="E1572" s="1051" t="str">
        <f>IF(COUNTIF(E$921:E1571,F1572)&gt;0,"",F1572)</f>
        <v>95, Pontoise, Réseau de Pontoise, France continentale, Base Carbone</v>
      </c>
      <c r="F1572" s="1051" t="str">
        <f t="shared" si="135"/>
        <v>95, Pontoise, Réseau de Pontoise, France continentale, Base Carbone</v>
      </c>
      <c r="G1572" s="1055" t="str">
        <f t="shared" si="136"/>
        <v>95, Pontoise, Réseau de Pontoise, France continentale, Base Carbone; kgCO2e/kWh</v>
      </c>
      <c r="I1572" s="2018" t="s">
        <v>1049</v>
      </c>
      <c r="J1572" s="1135" t="s">
        <v>1681</v>
      </c>
      <c r="K1572" s="1119" t="s">
        <v>1567</v>
      </c>
      <c r="L1572" s="1119" t="s">
        <v>1571</v>
      </c>
      <c r="M1572" s="1134">
        <v>0.3</v>
      </c>
      <c r="N1572" s="1135"/>
      <c r="O1572" s="1135">
        <v>0.19700000000000001</v>
      </c>
      <c r="P1572" s="1048"/>
      <c r="Q1572" s="1048"/>
      <c r="R1572" s="1048"/>
      <c r="S1572" s="1048"/>
      <c r="T1572" s="1048"/>
      <c r="U1572" s="1102"/>
    </row>
    <row r="1573" spans="2:21" hidden="1" outlineLevel="2">
      <c r="B1573" s="1050">
        <v>652</v>
      </c>
      <c r="C1573" s="2035" t="str">
        <f t="shared" si="127"/>
        <v>95, Roissy, Réseaux ADP Roissy, France continentale, Base Carbone</v>
      </c>
      <c r="D1573" s="1051">
        <f t="shared" si="134"/>
        <v>652</v>
      </c>
      <c r="E1573" s="1051" t="str">
        <f>IF(COUNTIF(E$921:E1572,F1573)&gt;0,"",F1573)</f>
        <v>95, Roissy, Réseaux ADP Roissy, France continentale, Base Carbone</v>
      </c>
      <c r="F1573" s="1051" t="str">
        <f t="shared" si="135"/>
        <v>95, Roissy, Réseaux ADP Roissy, France continentale, Base Carbone</v>
      </c>
      <c r="G1573" s="1055" t="str">
        <f t="shared" si="136"/>
        <v>95, Roissy, Réseaux ADP Roissy, France continentale, Base Carbone; kgCO2e/kWh</v>
      </c>
      <c r="I1573" s="2018" t="s">
        <v>1050</v>
      </c>
      <c r="J1573" s="1135" t="s">
        <v>1681</v>
      </c>
      <c r="K1573" s="1119" t="s">
        <v>1567</v>
      </c>
      <c r="L1573" s="1119" t="s">
        <v>1571</v>
      </c>
      <c r="M1573" s="1134">
        <v>0.3</v>
      </c>
      <c r="N1573" s="1135"/>
      <c r="O1573" s="1135">
        <v>0.191</v>
      </c>
      <c r="P1573" s="1048"/>
      <c r="Q1573" s="1048"/>
      <c r="R1573" s="1048"/>
      <c r="S1573" s="1048"/>
      <c r="T1573" s="1048"/>
      <c r="U1573" s="1102"/>
    </row>
    <row r="1574" spans="2:21" hidden="1" outlineLevel="2">
      <c r="B1574" s="1050">
        <v>653</v>
      </c>
      <c r="C1574" s="2035" t="str">
        <f t="shared" si="127"/>
        <v>95, Sarcelles, Grand Ensemble Sarcelles-Locheres, France continentale, Base Carbone</v>
      </c>
      <c r="D1574" s="1051">
        <f t="shared" si="134"/>
        <v>653</v>
      </c>
      <c r="E1574" s="1051" t="str">
        <f>IF(COUNTIF(E$921:E1573,F1574)&gt;0,"",F1574)</f>
        <v>95, Sarcelles, Grand Ensemble Sarcelles-Locheres, France continentale, Base Carbone</v>
      </c>
      <c r="F1574" s="1051" t="str">
        <f t="shared" si="135"/>
        <v>95, Sarcelles, Grand Ensemble Sarcelles-Locheres, France continentale, Base Carbone</v>
      </c>
      <c r="G1574" s="1055" t="str">
        <f t="shared" si="136"/>
        <v>95, Sarcelles, Grand Ensemble Sarcelles-Locheres, France continentale, Base Carbone; kgCO2e/kWh</v>
      </c>
      <c r="I1574" s="2018" t="s">
        <v>3034</v>
      </c>
      <c r="J1574" s="1135" t="s">
        <v>1681</v>
      </c>
      <c r="K1574" s="1119" t="s">
        <v>1567</v>
      </c>
      <c r="L1574" s="1119" t="s">
        <v>1571</v>
      </c>
      <c r="M1574" s="1134">
        <v>0.3</v>
      </c>
      <c r="N1574" s="1135"/>
      <c r="O1574" s="1135">
        <v>5.2999999999999999E-2</v>
      </c>
      <c r="P1574" s="1048"/>
      <c r="Q1574" s="1048"/>
      <c r="R1574" s="1048"/>
      <c r="S1574" s="1048"/>
      <c r="T1574" s="1048"/>
      <c r="U1574" s="1102"/>
    </row>
    <row r="1575" spans="2:21" hidden="1" outlineLevel="2">
      <c r="B1575" s="1050">
        <v>654</v>
      </c>
      <c r="C1575" s="2035" t="str">
        <f t="shared" si="127"/>
        <v>95, Taverny, Réseau de la ZAC Croix Rouge, France continentale, Base Carbone</v>
      </c>
      <c r="D1575" s="1051">
        <f t="shared" si="134"/>
        <v>654</v>
      </c>
      <c r="E1575" s="1051" t="str">
        <f>IF(COUNTIF(E$921:E1574,F1575)&gt;0,"",F1575)</f>
        <v>95, Taverny, Réseau de la ZAC Croix Rouge, France continentale, Base Carbone</v>
      </c>
      <c r="F1575" s="1051" t="str">
        <f t="shared" si="135"/>
        <v>95, Taverny, Réseau de la ZAC Croix Rouge, France continentale, Base Carbone</v>
      </c>
      <c r="G1575" s="1055" t="str">
        <f t="shared" si="136"/>
        <v>95, Taverny, Réseau de la ZAC Croix Rouge, France continentale, Base Carbone; kgCO2e/kWh</v>
      </c>
      <c r="I1575" s="2018" t="s">
        <v>1051</v>
      </c>
      <c r="J1575" s="1135" t="s">
        <v>1681</v>
      </c>
      <c r="K1575" s="1119" t="s">
        <v>1567</v>
      </c>
      <c r="L1575" s="1119" t="s">
        <v>1571</v>
      </c>
      <c r="M1575" s="1134">
        <v>0.3</v>
      </c>
      <c r="N1575" s="1135"/>
      <c r="O1575" s="1135">
        <v>0.24199999999999999</v>
      </c>
      <c r="P1575" s="1048"/>
      <c r="Q1575" s="1048"/>
      <c r="R1575" s="1048"/>
      <c r="S1575" s="1048"/>
      <c r="T1575" s="1048"/>
      <c r="U1575" s="1102"/>
    </row>
    <row r="1576" spans="2:21" hidden="1" outlineLevel="2">
      <c r="B1576" s="1050">
        <v>655</v>
      </c>
      <c r="C1576" s="2035" t="str">
        <f t="shared" si="127"/>
        <v>95, Villiers-le-Bel, Réseau de Villiers-le-Bel-Gonesse, France continentale, Base Carbone</v>
      </c>
      <c r="D1576" s="1051">
        <f t="shared" si="134"/>
        <v>655</v>
      </c>
      <c r="E1576" s="1051" t="str">
        <f>IF(COUNTIF(E$921:E1575,F1576)&gt;0,"",F1576)</f>
        <v>95, Villiers-le-Bel, Réseau de Villiers-le-Bel-Gonesse, France continentale, Base Carbone</v>
      </c>
      <c r="F1576" s="1051" t="str">
        <f t="shared" si="135"/>
        <v>95, Villiers-le-Bel, Réseau de Villiers-le-Bel-Gonesse, France continentale, Base Carbone</v>
      </c>
      <c r="G1576" s="1055" t="str">
        <f t="shared" si="136"/>
        <v>95, Villiers-le-Bel, Réseau de Villiers-le-Bel-Gonesse, France continentale, Base Carbone; kgCO2e/kWh</v>
      </c>
      <c r="I1576" s="2018" t="s">
        <v>1052</v>
      </c>
      <c r="J1576" s="1135" t="s">
        <v>1681</v>
      </c>
      <c r="K1576" s="1119" t="s">
        <v>1567</v>
      </c>
      <c r="L1576" s="1119" t="s">
        <v>1571</v>
      </c>
      <c r="M1576" s="1134">
        <v>0.3</v>
      </c>
      <c r="N1576" s="1135"/>
      <c r="O1576" s="1135">
        <v>0.105</v>
      </c>
      <c r="P1576" s="1048"/>
      <c r="Q1576" s="1048"/>
      <c r="R1576" s="1048"/>
      <c r="S1576" s="1048"/>
      <c r="T1576" s="1048"/>
      <c r="U1576" s="1102"/>
    </row>
    <row r="1577" spans="2:21" hidden="1" outlineLevel="2">
      <c r="B1577" s="1050">
        <v>656</v>
      </c>
      <c r="C1577" s="2035" t="str">
        <f t="shared" si="127"/>
        <v>-</v>
      </c>
      <c r="D1577" s="1051">
        <f t="shared" si="134"/>
        <v>655</v>
      </c>
      <c r="E1577" s="1051" t="str">
        <f>IF(COUNTIF(E$921:E1576,F1577)&gt;0,"",F1577)</f>
        <v/>
      </c>
      <c r="F1577" s="1051" t="str">
        <f t="shared" si="135"/>
        <v/>
      </c>
      <c r="G1577" s="1055" t="str">
        <f t="shared" si="136"/>
        <v/>
      </c>
      <c r="I1577" s="1100"/>
      <c r="J1577" s="1048"/>
      <c r="K1577" s="1119"/>
      <c r="L1577" s="1119"/>
      <c r="M1577" s="1101"/>
      <c r="N1577" s="1048"/>
      <c r="O1577" s="1048"/>
      <c r="P1577" s="1048"/>
      <c r="Q1577" s="1048"/>
      <c r="R1577" s="1048"/>
      <c r="S1577" s="1048"/>
      <c r="T1577" s="1048"/>
      <c r="U1577" s="1102"/>
    </row>
    <row r="1578" spans="2:21" hidden="1" outlineLevel="2">
      <c r="B1578" s="1050">
        <v>657</v>
      </c>
      <c r="C1578" s="2035" t="str">
        <f t="shared" si="127"/>
        <v>-</v>
      </c>
      <c r="D1578" s="1051">
        <f t="shared" si="134"/>
        <v>655</v>
      </c>
      <c r="E1578" s="1051" t="str">
        <f>IF(COUNTIF(E$921:E1577,F1578)&gt;0,"",F1578)</f>
        <v/>
      </c>
      <c r="F1578" s="1051" t="str">
        <f t="shared" si="135"/>
        <v/>
      </c>
      <c r="G1578" s="1055" t="str">
        <f t="shared" si="136"/>
        <v/>
      </c>
      <c r="I1578" s="1100"/>
      <c r="J1578" s="1048"/>
      <c r="K1578" s="1119"/>
      <c r="L1578" s="1119"/>
      <c r="M1578" s="1101"/>
      <c r="N1578" s="1048"/>
      <c r="O1578" s="1048"/>
      <c r="P1578" s="1048"/>
      <c r="Q1578" s="1048"/>
      <c r="R1578" s="1048"/>
      <c r="S1578" s="1048"/>
      <c r="T1578" s="1048"/>
      <c r="U1578" s="1102"/>
    </row>
    <row r="1579" spans="2:21" hidden="1" outlineLevel="2">
      <c r="B1579" s="1050">
        <v>658</v>
      </c>
      <c r="C1579" s="2035" t="str">
        <f t="shared" si="127"/>
        <v>-</v>
      </c>
      <c r="D1579" s="1051">
        <f t="shared" si="134"/>
        <v>655</v>
      </c>
      <c r="E1579" s="1051" t="str">
        <f>IF(COUNTIF(E$921:E1578,F1579)&gt;0,"",F1579)</f>
        <v/>
      </c>
      <c r="F1579" s="1051" t="str">
        <f t="shared" si="135"/>
        <v/>
      </c>
      <c r="G1579" s="1055" t="str">
        <f t="shared" si="136"/>
        <v/>
      </c>
      <c r="I1579" s="1100"/>
      <c r="J1579" s="1048"/>
      <c r="K1579" s="1119"/>
      <c r="L1579" s="1119"/>
      <c r="M1579" s="1101"/>
      <c r="N1579" s="1048"/>
      <c r="O1579" s="1048"/>
      <c r="P1579" s="1048"/>
      <c r="Q1579" s="1048"/>
      <c r="R1579" s="1048"/>
      <c r="S1579" s="1048"/>
      <c r="T1579" s="1048"/>
      <c r="U1579" s="1102"/>
    </row>
    <row r="1580" spans="2:21" hidden="1" outlineLevel="2">
      <c r="B1580" s="1050">
        <v>659</v>
      </c>
      <c r="C1580" s="2035" t="str">
        <f t="shared" si="127"/>
        <v>-</v>
      </c>
      <c r="D1580" s="1051">
        <f t="shared" si="134"/>
        <v>655</v>
      </c>
      <c r="E1580" s="1051" t="str">
        <f>IF(COUNTIF(E$921:E1579,F1580)&gt;0,"",F1580)</f>
        <v/>
      </c>
      <c r="F1580" s="1051" t="str">
        <f t="shared" si="135"/>
        <v/>
      </c>
      <c r="G1580" s="1055" t="str">
        <f t="shared" si="136"/>
        <v/>
      </c>
      <c r="I1580" s="1100"/>
      <c r="J1580" s="1048"/>
      <c r="K1580" s="1032"/>
      <c r="L1580" s="1048"/>
      <c r="M1580" s="1101"/>
      <c r="N1580" s="1048"/>
      <c r="O1580" s="1048"/>
      <c r="P1580" s="1048"/>
      <c r="Q1580" s="1048"/>
      <c r="R1580" s="1048"/>
      <c r="S1580" s="1048"/>
      <c r="T1580" s="1048"/>
      <c r="U1580" s="1102"/>
    </row>
    <row r="1581" spans="2:21" s="1045" customFormat="1" hidden="1" outlineLevel="1">
      <c r="G1581" s="1135"/>
      <c r="I1581" s="1711"/>
      <c r="J1581" s="1712"/>
      <c r="K1581" s="1695"/>
      <c r="L1581" s="1712"/>
      <c r="M1581" s="1713"/>
      <c r="N1581" s="1712"/>
      <c r="O1581" s="1712"/>
      <c r="P1581" s="1712"/>
      <c r="Q1581" s="1712"/>
      <c r="R1581" s="1712"/>
      <c r="S1581" s="1712"/>
      <c r="T1581" s="1712"/>
      <c r="U1581" s="1714"/>
    </row>
    <row r="1582" spans="2:21" ht="12" hidden="1" customHeight="1" outlineLevel="1" collapsed="1">
      <c r="B1582" s="3155" t="s">
        <v>1685</v>
      </c>
      <c r="C1582" s="3155"/>
      <c r="D1582" s="1051">
        <v>0</v>
      </c>
      <c r="E1582" s="1051"/>
      <c r="F1582" s="1051" t="str">
        <f t="shared" ref="F1582:F1583" si="137">IF(I1582&lt;&gt;"",I1582&amp;IF(L1582&lt;&gt;"",", "&amp;L1582,"")&amp;IF(K1582&lt;&gt;"",", "&amp;K1582,""),"")</f>
        <v/>
      </c>
      <c r="G1582" s="1055" t="str">
        <f t="shared" ref="G1582:G1583" si="138">IF(F1582&lt;&gt;"",F1582&amp;IF(J1582&lt;&gt;"","; "&amp;J1582,"")&amp;IF(N1582&lt;&gt;"",", "&amp;N1582,""),"")</f>
        <v/>
      </c>
      <c r="I1582" s="1715"/>
      <c r="J1582" s="1716"/>
      <c r="K1582" s="1702"/>
      <c r="L1582" s="1716"/>
      <c r="M1582" s="1717"/>
      <c r="N1582" s="1716"/>
      <c r="O1582" s="1716"/>
      <c r="P1582" s="1716"/>
      <c r="Q1582" s="1716"/>
      <c r="R1582" s="1716"/>
      <c r="S1582" s="1716"/>
      <c r="T1582" s="1716"/>
      <c r="U1582" s="1718"/>
    </row>
    <row r="1583" spans="2:21" hidden="1" outlineLevel="2">
      <c r="B1583" s="1050">
        <v>1</v>
      </c>
      <c r="C1583" s="1050" t="str">
        <f>IF(ISNA(VLOOKUP(B1583,$D$1583:$E$1612,2,FALSE)),"-",VLOOKUP(B1583,$D$1583:$E$1612,2,FALSE))</f>
        <v>31, Toulouse, Canceropôle, France continentale, Base Carbone</v>
      </c>
      <c r="D1583" s="1051">
        <f t="shared" ref="D1583" si="139">D1582+IF(LEN(E1583)=0,0,1)</f>
        <v>1</v>
      </c>
      <c r="E1583" s="1051" t="str">
        <f>IF(COUNTIF(E$1582:E1582,F1583)&gt;0,"",F1583)</f>
        <v>31, Toulouse, Canceropôle, France continentale, Base Carbone</v>
      </c>
      <c r="F1583" s="1051" t="str">
        <f t="shared" si="137"/>
        <v>31, Toulouse, Canceropôle, France continentale, Base Carbone</v>
      </c>
      <c r="G1583" s="1055" t="str">
        <f t="shared" si="138"/>
        <v>31, Toulouse, Canceropôle, France continentale, Base Carbone; kgCO2e/kWh, Froid</v>
      </c>
      <c r="I1583" s="2190" t="s">
        <v>2893</v>
      </c>
      <c r="J1583" s="1135" t="s">
        <v>1681</v>
      </c>
      <c r="K1583" s="1119" t="s">
        <v>1567</v>
      </c>
      <c r="L1583" s="1119" t="s">
        <v>1571</v>
      </c>
      <c r="M1583" s="1134">
        <v>0.3</v>
      </c>
      <c r="N1583" s="1981" t="s">
        <v>2555</v>
      </c>
      <c r="O1583" s="1048">
        <v>0.01</v>
      </c>
      <c r="P1583" s="1048"/>
      <c r="Q1583" s="1048"/>
      <c r="R1583" s="1048"/>
      <c r="S1583" s="1048"/>
      <c r="T1583" s="1048"/>
      <c r="U1583" s="1102"/>
    </row>
    <row r="1584" spans="2:21" hidden="1" outlineLevel="2">
      <c r="B1584" s="1050">
        <v>2</v>
      </c>
      <c r="C1584" s="1050" t="str">
        <f t="shared" ref="C1584:C1610" si="140">IF(ISNA(VLOOKUP(B1584,$D$1583:$E$1612,2,FALSE)),"-",VLOOKUP(B1584,$D$1583:$E$1612,2,FALSE))</f>
        <v>33, Bordeaux, Bassins à flots, France continentale, Base Carbone</v>
      </c>
      <c r="D1584" s="1051">
        <f t="shared" ref="D1584:D1610" si="141">D1583+IF(LEN(E1584)=0,0,1)</f>
        <v>2</v>
      </c>
      <c r="E1584" s="1051" t="str">
        <f>IF(COUNTIF(E$1582:E1583,F1584)&gt;0,"",F1584)</f>
        <v>33, Bordeaux, Bassins à flots, France continentale, Base Carbone</v>
      </c>
      <c r="F1584" s="1051" t="str">
        <f t="shared" ref="F1584:F1610" si="142">IF(I1584&lt;&gt;"",I1584&amp;IF(L1584&lt;&gt;"",", "&amp;L1584,"")&amp;IF(K1584&lt;&gt;"",", "&amp;K1584,""),"")</f>
        <v>33, Bordeaux, Bassins à flots, France continentale, Base Carbone</v>
      </c>
      <c r="G1584" s="1055" t="str">
        <f t="shared" ref="G1584:G1610" si="143">IF(F1584&lt;&gt;"",F1584&amp;IF(J1584&lt;&gt;"","; "&amp;J1584,"")&amp;IF(N1584&lt;&gt;"",", "&amp;N1584,""),"")</f>
        <v>33, Bordeaux, Bassins à flots, France continentale, Base Carbone; kgCO2e/kWh, Froid</v>
      </c>
      <c r="I1584" s="2190" t="s">
        <v>3357</v>
      </c>
      <c r="J1584" s="1135" t="s">
        <v>1681</v>
      </c>
      <c r="K1584" s="1119" t="s">
        <v>1567</v>
      </c>
      <c r="L1584" s="1119" t="s">
        <v>1571</v>
      </c>
      <c r="M1584" s="1134">
        <v>0.3</v>
      </c>
      <c r="N1584" s="1981" t="s">
        <v>2555</v>
      </c>
      <c r="O1584" s="1048">
        <v>8.9999999999999993E-3</v>
      </c>
      <c r="P1584" s="1048"/>
      <c r="Q1584" s="1048"/>
      <c r="R1584" s="1048"/>
      <c r="S1584" s="1048"/>
      <c r="T1584" s="1048"/>
      <c r="U1584" s="1102"/>
    </row>
    <row r="1585" spans="2:21" hidden="1" outlineLevel="2">
      <c r="B1585" s="1050">
        <v>3</v>
      </c>
      <c r="C1585" s="1050" t="str">
        <f t="shared" si="140"/>
        <v>33, Le Barp, Laseris, France continentale, Base Carbone</v>
      </c>
      <c r="D1585" s="1051">
        <f t="shared" si="141"/>
        <v>3</v>
      </c>
      <c r="E1585" s="1051" t="str">
        <f>IF(COUNTIF(E$1582:E1584,F1585)&gt;0,"",F1585)</f>
        <v>33, Le Barp, Laseris, France continentale, Base Carbone</v>
      </c>
      <c r="F1585" s="1051" t="str">
        <f t="shared" si="142"/>
        <v>33, Le Barp, Laseris, France continentale, Base Carbone</v>
      </c>
      <c r="G1585" s="1055" t="str">
        <f t="shared" si="143"/>
        <v>33, Le Barp, Laseris, France continentale, Base Carbone; kgCO2e/kWh, Froid</v>
      </c>
      <c r="I1585" s="2190" t="s">
        <v>3035</v>
      </c>
      <c r="J1585" s="1135" t="s">
        <v>1681</v>
      </c>
      <c r="K1585" s="1119" t="s">
        <v>1567</v>
      </c>
      <c r="L1585" s="1119" t="s">
        <v>1571</v>
      </c>
      <c r="M1585" s="1134">
        <v>0.3</v>
      </c>
      <c r="N1585" s="1981" t="s">
        <v>2555</v>
      </c>
      <c r="O1585" s="1048">
        <v>1.2E-2</v>
      </c>
      <c r="P1585" s="1048"/>
      <c r="Q1585" s="1048"/>
      <c r="R1585" s="1048"/>
      <c r="S1585" s="1048"/>
      <c r="T1585" s="1048"/>
      <c r="U1585" s="1102"/>
    </row>
    <row r="1586" spans="2:21" hidden="1" outlineLevel="2">
      <c r="B1586" s="1050">
        <v>4</v>
      </c>
      <c r="C1586" s="1050" t="str">
        <f t="shared" si="140"/>
        <v>34, Montpellier, Ernest Granier, France continentale, Base Carbone</v>
      </c>
      <c r="D1586" s="1051">
        <f t="shared" si="141"/>
        <v>4</v>
      </c>
      <c r="E1586" s="1051" t="str">
        <f>IF(COUNTIF(E$1582:E1585,F1586)&gt;0,"",F1586)</f>
        <v>34, Montpellier, Ernest Granier, France continentale, Base Carbone</v>
      </c>
      <c r="F1586" s="1051" t="str">
        <f t="shared" si="142"/>
        <v>34, Montpellier, Ernest Granier, France continentale, Base Carbone</v>
      </c>
      <c r="G1586" s="1055" t="str">
        <f t="shared" si="143"/>
        <v>34, Montpellier, Ernest Granier, France continentale, Base Carbone; kgCO2e/kWh, Froid</v>
      </c>
      <c r="I1586" s="2190" t="s">
        <v>932</v>
      </c>
      <c r="J1586" s="1135" t="s">
        <v>1681</v>
      </c>
      <c r="K1586" s="1119" t="s">
        <v>1567</v>
      </c>
      <c r="L1586" s="1119" t="s">
        <v>1571</v>
      </c>
      <c r="M1586" s="1134">
        <v>0.3</v>
      </c>
      <c r="N1586" s="1981" t="s">
        <v>2555</v>
      </c>
      <c r="O1586" s="1048">
        <v>1.2E-2</v>
      </c>
      <c r="P1586" s="1048"/>
      <c r="Q1586" s="1048"/>
      <c r="R1586" s="1048"/>
      <c r="S1586" s="1048"/>
      <c r="T1586" s="1048"/>
      <c r="U1586" s="1102"/>
    </row>
    <row r="1587" spans="2:21" hidden="1" outlineLevel="2">
      <c r="B1587" s="1050">
        <v>5</v>
      </c>
      <c r="C1587" s="1050" t="str">
        <f t="shared" si="140"/>
        <v>34, Montpellier, Polygone Antigone, France continentale, Base Carbone</v>
      </c>
      <c r="D1587" s="1051">
        <f t="shared" si="141"/>
        <v>5</v>
      </c>
      <c r="E1587" s="1051" t="str">
        <f>IF(COUNTIF(E$1582:E1586,F1587)&gt;0,"",F1587)</f>
        <v>34, Montpellier, Polygone Antigone, France continentale, Base Carbone</v>
      </c>
      <c r="F1587" s="1051" t="str">
        <f t="shared" si="142"/>
        <v>34, Montpellier, Polygone Antigone, France continentale, Base Carbone</v>
      </c>
      <c r="G1587" s="1055" t="str">
        <f t="shared" si="143"/>
        <v>34, Montpellier, Polygone Antigone, France continentale, Base Carbone; kgCO2e/kWh, Froid</v>
      </c>
      <c r="I1587" s="2018" t="s">
        <v>933</v>
      </c>
      <c r="J1587" s="1135" t="s">
        <v>1681</v>
      </c>
      <c r="K1587" s="1119" t="s">
        <v>1567</v>
      </c>
      <c r="L1587" s="1119" t="s">
        <v>1571</v>
      </c>
      <c r="M1587" s="1134">
        <v>0.3</v>
      </c>
      <c r="N1587" s="1981" t="s">
        <v>2555</v>
      </c>
      <c r="O1587" s="1048">
        <v>9.2999999999999999E-2</v>
      </c>
      <c r="P1587" s="1048"/>
      <c r="Q1587" s="1048"/>
      <c r="R1587" s="1048"/>
      <c r="S1587" s="1048"/>
      <c r="T1587" s="1048"/>
      <c r="U1587" s="1102"/>
    </row>
    <row r="1588" spans="2:21" hidden="1" outlineLevel="2">
      <c r="B1588" s="1050">
        <v>6</v>
      </c>
      <c r="C1588" s="1050" t="str">
        <f t="shared" si="140"/>
        <v>34, Montpellier, Port Marianne Odysseum, France continentale, Base Carbone</v>
      </c>
      <c r="D1588" s="1051">
        <f t="shared" si="141"/>
        <v>6</v>
      </c>
      <c r="E1588" s="1051" t="str">
        <f>IF(COUNTIF(E$1582:E1587,F1588)&gt;0,"",F1588)</f>
        <v>34, Montpellier, Port Marianne Odysseum, France continentale, Base Carbone</v>
      </c>
      <c r="F1588" s="1051" t="str">
        <f t="shared" si="142"/>
        <v>34, Montpellier, Port Marianne Odysseum, France continentale, Base Carbone</v>
      </c>
      <c r="G1588" s="1055" t="str">
        <f t="shared" si="143"/>
        <v>34, Montpellier, Port Marianne Odysseum, France continentale, Base Carbone; kgCO2e/kWh, Froid</v>
      </c>
      <c r="I1588" s="2018" t="s">
        <v>2902</v>
      </c>
      <c r="J1588" s="1135" t="s">
        <v>1681</v>
      </c>
      <c r="K1588" s="1119" t="s">
        <v>1567</v>
      </c>
      <c r="L1588" s="1119" t="s">
        <v>1571</v>
      </c>
      <c r="M1588" s="1134">
        <v>0.3</v>
      </c>
      <c r="N1588" s="1981" t="s">
        <v>2555</v>
      </c>
      <c r="O1588" s="1048">
        <v>1.2E-2</v>
      </c>
      <c r="P1588" s="1048"/>
      <c r="Q1588" s="1048"/>
      <c r="R1588" s="1048"/>
      <c r="S1588" s="1048"/>
      <c r="T1588" s="1048"/>
      <c r="U1588" s="1102"/>
    </row>
    <row r="1589" spans="2:21" hidden="1" outlineLevel="2">
      <c r="B1589" s="1050">
        <v>7</v>
      </c>
      <c r="C1589" s="1050" t="str">
        <f t="shared" si="140"/>
        <v>34, Montpellier, Réseau Arches Jacques Coeur, France continentale, Base Carbone</v>
      </c>
      <c r="D1589" s="1051">
        <f t="shared" si="141"/>
        <v>7</v>
      </c>
      <c r="E1589" s="1051" t="str">
        <f>IF(COUNTIF(E$1582:E1588,F1589)&gt;0,"",F1589)</f>
        <v>34, Montpellier, Réseau Arches Jacques Coeur, France continentale, Base Carbone</v>
      </c>
      <c r="F1589" s="1051" t="str">
        <f t="shared" si="142"/>
        <v>34, Montpellier, Réseau Arches Jacques Coeur, France continentale, Base Carbone</v>
      </c>
      <c r="G1589" s="1055" t="str">
        <f t="shared" si="143"/>
        <v>34, Montpellier, Réseau Arches Jacques Coeur, France continentale, Base Carbone; kgCO2e/kWh, Froid</v>
      </c>
      <c r="I1589" s="2018" t="s">
        <v>2903</v>
      </c>
      <c r="J1589" s="1135" t="s">
        <v>1681</v>
      </c>
      <c r="K1589" s="1119" t="s">
        <v>1567</v>
      </c>
      <c r="L1589" s="1119" t="s">
        <v>1571</v>
      </c>
      <c r="M1589" s="1134">
        <v>0.3</v>
      </c>
      <c r="N1589" s="1981" t="s">
        <v>2555</v>
      </c>
      <c r="O1589" s="1048">
        <v>1.4999999999999999E-2</v>
      </c>
      <c r="P1589" s="1048"/>
      <c r="Q1589" s="1048"/>
      <c r="R1589" s="1048"/>
      <c r="S1589" s="1048"/>
      <c r="T1589" s="1048"/>
      <c r="U1589" s="1102"/>
    </row>
    <row r="1590" spans="2:21" hidden="1" outlineLevel="2">
      <c r="B1590" s="1050">
        <v>8</v>
      </c>
      <c r="C1590" s="1050" t="str">
        <f t="shared" si="140"/>
        <v>38, Grenoble, Réseau froid CCIAG Grenoble, France continentale, Base Carbone</v>
      </c>
      <c r="D1590" s="1051">
        <f t="shared" si="141"/>
        <v>8</v>
      </c>
      <c r="E1590" s="1051" t="str">
        <f>IF(COUNTIF(E$1582:E1589,F1590)&gt;0,"",F1590)</f>
        <v>38, Grenoble, Réseau froid CCIAG Grenoble, France continentale, Base Carbone</v>
      </c>
      <c r="F1590" s="1051" t="str">
        <f t="shared" si="142"/>
        <v>38, Grenoble, Réseau froid CCIAG Grenoble, France continentale, Base Carbone</v>
      </c>
      <c r="G1590" s="1055" t="str">
        <f t="shared" si="143"/>
        <v>38, Grenoble, Réseau froid CCIAG Grenoble, France continentale, Base Carbone; kgCO2e/kWh, Froid</v>
      </c>
      <c r="I1590" s="2018" t="s">
        <v>3631</v>
      </c>
      <c r="J1590" s="1135" t="s">
        <v>1681</v>
      </c>
      <c r="K1590" s="1119" t="s">
        <v>1567</v>
      </c>
      <c r="L1590" s="1119" t="s">
        <v>1571</v>
      </c>
      <c r="M1590" s="1134">
        <v>0.3</v>
      </c>
      <c r="N1590" s="1981" t="s">
        <v>2555</v>
      </c>
      <c r="O1590" s="1048">
        <v>1.2999999999999999E-2</v>
      </c>
      <c r="P1590" s="1048"/>
      <c r="Q1590" s="1048"/>
      <c r="R1590" s="1048"/>
      <c r="S1590" s="1048"/>
      <c r="T1590" s="1048"/>
      <c r="U1590" s="1102"/>
    </row>
    <row r="1591" spans="2:21" hidden="1" outlineLevel="2">
      <c r="B1591" s="1050">
        <v>9</v>
      </c>
      <c r="C1591" s="1050" t="str">
        <f t="shared" si="140"/>
        <v>42, Saint Etienne, Réseau de froid VIACONFORT, France continentale, Base Carbone</v>
      </c>
      <c r="D1591" s="1051">
        <f t="shared" si="141"/>
        <v>9</v>
      </c>
      <c r="E1591" s="1051" t="str">
        <f>IF(COUNTIF(E$1582:E1590,F1591)&gt;0,"",F1591)</f>
        <v>42, Saint Etienne, Réseau de froid VIACONFORT, France continentale, Base Carbone</v>
      </c>
      <c r="F1591" s="1051" t="str">
        <f t="shared" si="142"/>
        <v>42, Saint Etienne, Réseau de froid VIACONFORT, France continentale, Base Carbone</v>
      </c>
      <c r="G1591" s="1055" t="str">
        <f t="shared" si="143"/>
        <v>42, Saint Etienne, Réseau de froid VIACONFORT, France continentale, Base Carbone; kgCO2e/kWh, Froid</v>
      </c>
      <c r="I1591" s="2018" t="s">
        <v>3036</v>
      </c>
      <c r="J1591" s="1135" t="s">
        <v>1681</v>
      </c>
      <c r="K1591" s="1119" t="s">
        <v>1567</v>
      </c>
      <c r="L1591" s="1119" t="s">
        <v>1571</v>
      </c>
      <c r="M1591" s="1134">
        <v>0.3</v>
      </c>
      <c r="N1591" s="1981" t="s">
        <v>2555</v>
      </c>
      <c r="O1591" s="1048">
        <v>1.2999999999999999E-2</v>
      </c>
      <c r="P1591" s="1048"/>
      <c r="Q1591" s="1048"/>
      <c r="R1591" s="1048"/>
      <c r="S1591" s="1048"/>
      <c r="T1591" s="1048"/>
      <c r="U1591" s="1102"/>
    </row>
    <row r="1592" spans="2:21" hidden="1" outlineLevel="2">
      <c r="B1592" s="1050">
        <v>10</v>
      </c>
      <c r="C1592" s="1050" t="str">
        <f t="shared" si="140"/>
        <v>57, Metz, Réseau ZAC Amphithéâtre, France continentale, Base Carbone</v>
      </c>
      <c r="D1592" s="1051">
        <f t="shared" si="141"/>
        <v>10</v>
      </c>
      <c r="E1592" s="1051" t="str">
        <f>IF(COUNTIF(E$1582:E1591,F1592)&gt;0,"",F1592)</f>
        <v>57, Metz, Réseau ZAC Amphithéâtre, France continentale, Base Carbone</v>
      </c>
      <c r="F1592" s="1051" t="str">
        <f t="shared" si="142"/>
        <v>57, Metz, Réseau ZAC Amphithéâtre, France continentale, Base Carbone</v>
      </c>
      <c r="G1592" s="1055" t="str">
        <f t="shared" si="143"/>
        <v>57, Metz, Réseau ZAC Amphithéâtre, France continentale, Base Carbone; kgCO2e/kWh, Froid</v>
      </c>
      <c r="I1592" s="2018" t="s">
        <v>3632</v>
      </c>
      <c r="J1592" s="1135" t="s">
        <v>1681</v>
      </c>
      <c r="K1592" s="1119" t="s">
        <v>1567</v>
      </c>
      <c r="L1592" s="1119" t="s">
        <v>1571</v>
      </c>
      <c r="M1592" s="1134">
        <v>0.3</v>
      </c>
      <c r="N1592" s="1981" t="s">
        <v>2555</v>
      </c>
      <c r="O1592" s="1048">
        <v>1.2E-2</v>
      </c>
      <c r="P1592" s="1048"/>
      <c r="Q1592" s="1048"/>
      <c r="R1592" s="1048"/>
      <c r="S1592" s="1048"/>
      <c r="T1592" s="1048"/>
      <c r="U1592" s="1102"/>
    </row>
    <row r="1593" spans="2:21" hidden="1" outlineLevel="2">
      <c r="B1593" s="1050">
        <v>11</v>
      </c>
      <c r="C1593" s="1050" t="str">
        <f t="shared" si="140"/>
        <v>69, Lyon-Villeurbanne, Réseau Lyon, France continentale, Base Carbone</v>
      </c>
      <c r="D1593" s="1051">
        <f t="shared" si="141"/>
        <v>11</v>
      </c>
      <c r="E1593" s="1051" t="str">
        <f>IF(COUNTIF(E$1582:E1592,F1593)&gt;0,"",F1593)</f>
        <v>69, Lyon-Villeurbanne, Réseau Lyon, France continentale, Base Carbone</v>
      </c>
      <c r="F1593" s="1051" t="str">
        <f t="shared" si="142"/>
        <v>69, Lyon-Villeurbanne, Réseau Lyon, France continentale, Base Carbone</v>
      </c>
      <c r="G1593" s="1055" t="str">
        <f t="shared" si="143"/>
        <v>69, Lyon-Villeurbanne, Réseau Lyon, France continentale, Base Carbone; kgCO2e/kWh, Froid</v>
      </c>
      <c r="I1593" s="2018" t="s">
        <v>3633</v>
      </c>
      <c r="J1593" s="1135" t="s">
        <v>1681</v>
      </c>
      <c r="K1593" s="1119" t="s">
        <v>1567</v>
      </c>
      <c r="L1593" s="1119" t="s">
        <v>1571</v>
      </c>
      <c r="M1593" s="1134">
        <v>0.3</v>
      </c>
      <c r="N1593" s="1981" t="s">
        <v>2555</v>
      </c>
      <c r="O1593" s="1048">
        <v>1.0999999999999999E-2</v>
      </c>
      <c r="P1593" s="1048"/>
      <c r="Q1593" s="1048"/>
      <c r="R1593" s="1048"/>
      <c r="S1593" s="1048"/>
      <c r="T1593" s="1048"/>
      <c r="U1593" s="1102"/>
    </row>
    <row r="1594" spans="2:21" hidden="1" outlineLevel="2">
      <c r="B1594" s="1050">
        <v>12</v>
      </c>
      <c r="C1594" s="1050" t="str">
        <f t="shared" si="140"/>
        <v>75, Paris, Réseau Climespace, France continentale, Base Carbone</v>
      </c>
      <c r="D1594" s="1051">
        <f t="shared" si="141"/>
        <v>12</v>
      </c>
      <c r="E1594" s="1051" t="str">
        <f>IF(COUNTIF(E$1582:E1593,F1594)&gt;0,"",F1594)</f>
        <v>75, Paris, Réseau Climespace, France continentale, Base Carbone</v>
      </c>
      <c r="F1594" s="1051" t="str">
        <f t="shared" si="142"/>
        <v>75, Paris, Réseau Climespace, France continentale, Base Carbone</v>
      </c>
      <c r="G1594" s="1055" t="str">
        <f t="shared" si="143"/>
        <v>75, Paris, Réseau Climespace, France continentale, Base Carbone; kgCO2e/kWh, Froid</v>
      </c>
      <c r="I1594" s="2018" t="s">
        <v>994</v>
      </c>
      <c r="J1594" s="1135" t="s">
        <v>1681</v>
      </c>
      <c r="K1594" s="1119" t="s">
        <v>1567</v>
      </c>
      <c r="L1594" s="1119" t="s">
        <v>1571</v>
      </c>
      <c r="M1594" s="1134">
        <v>0.3</v>
      </c>
      <c r="N1594" s="1981" t="s">
        <v>2555</v>
      </c>
      <c r="O1594" s="1048">
        <v>7.0000000000000001E-3</v>
      </c>
      <c r="P1594" s="1048"/>
      <c r="Q1594" s="1048"/>
      <c r="R1594" s="1048"/>
      <c r="S1594" s="1048"/>
      <c r="T1594" s="1048"/>
      <c r="U1594" s="1102"/>
    </row>
    <row r="1595" spans="2:21" hidden="1" outlineLevel="2">
      <c r="B1595" s="1050">
        <v>13</v>
      </c>
      <c r="C1595" s="1050" t="str">
        <f t="shared" si="140"/>
        <v>92, Boulogne-Billancourt, ZAC île Séguin Rives de Seine, France continentale, Base Carbone</v>
      </c>
      <c r="D1595" s="1051">
        <f t="shared" si="141"/>
        <v>13</v>
      </c>
      <c r="E1595" s="1051" t="str">
        <f>IF(COUNTIF(E$1582:E1594,F1595)&gt;0,"",F1595)</f>
        <v>92, Boulogne-Billancourt, ZAC île Séguin Rives de Seine, France continentale, Base Carbone</v>
      </c>
      <c r="F1595" s="1051" t="str">
        <f t="shared" si="142"/>
        <v>92, Boulogne-Billancourt, ZAC île Séguin Rives de Seine, France continentale, Base Carbone</v>
      </c>
      <c r="G1595" s="1055" t="str">
        <f t="shared" si="143"/>
        <v>92, Boulogne-Billancourt, ZAC île Séguin Rives de Seine, France continentale, Base Carbone; kgCO2e/kWh, Froid</v>
      </c>
      <c r="I1595" s="2018" t="s">
        <v>3022</v>
      </c>
      <c r="J1595" s="1135" t="s">
        <v>1681</v>
      </c>
      <c r="K1595" s="1119" t="s">
        <v>1567</v>
      </c>
      <c r="L1595" s="1119" t="s">
        <v>1571</v>
      </c>
      <c r="M1595" s="1134">
        <v>0.3</v>
      </c>
      <c r="N1595" s="1981" t="s">
        <v>2555</v>
      </c>
      <c r="O1595" s="1048">
        <v>1.2999999999999999E-2</v>
      </c>
      <c r="P1595" s="1048"/>
      <c r="Q1595" s="1048"/>
      <c r="R1595" s="1048"/>
      <c r="S1595" s="1048"/>
      <c r="T1595" s="1048"/>
      <c r="U1595" s="1102"/>
    </row>
    <row r="1596" spans="2:21" hidden="1" outlineLevel="2">
      <c r="B1596" s="1050">
        <v>14</v>
      </c>
      <c r="C1596" s="1050" t="str">
        <f t="shared" si="140"/>
        <v>92, Courbevoie, Réseau de La Défense-Enertherm, France continentale, Base Carbone</v>
      </c>
      <c r="D1596" s="1051">
        <f t="shared" si="141"/>
        <v>14</v>
      </c>
      <c r="E1596" s="1051" t="str">
        <f>IF(COUNTIF(E$1582:E1595,F1596)&gt;0,"",F1596)</f>
        <v>92, Courbevoie, Réseau de La Défense-Enertherm, France continentale, Base Carbone</v>
      </c>
      <c r="F1596" s="1051" t="str">
        <f t="shared" si="142"/>
        <v>92, Courbevoie, Réseau de La Défense-Enertherm, France continentale, Base Carbone</v>
      </c>
      <c r="G1596" s="1055" t="str">
        <f t="shared" si="143"/>
        <v>92, Courbevoie, Réseau de La Défense-Enertherm, France continentale, Base Carbone; kgCO2e/kWh, Froid</v>
      </c>
      <c r="I1596" s="2018" t="s">
        <v>1033</v>
      </c>
      <c r="J1596" s="1135" t="s">
        <v>1681</v>
      </c>
      <c r="K1596" s="1119" t="s">
        <v>1567</v>
      </c>
      <c r="L1596" s="1119" t="s">
        <v>1571</v>
      </c>
      <c r="M1596" s="1134">
        <v>0.3</v>
      </c>
      <c r="N1596" s="1981" t="s">
        <v>2555</v>
      </c>
      <c r="O1596" s="1048">
        <v>1.0999999999999999E-2</v>
      </c>
      <c r="P1596" s="1048"/>
      <c r="Q1596" s="1048"/>
      <c r="R1596" s="1048"/>
      <c r="S1596" s="1048"/>
      <c r="T1596" s="1048"/>
      <c r="U1596" s="1102"/>
    </row>
    <row r="1597" spans="2:21" hidden="1" outlineLevel="2">
      <c r="B1597" s="1050">
        <v>15</v>
      </c>
      <c r="C1597" s="1050" t="str">
        <f t="shared" si="140"/>
        <v>92, Courbevoie, Réseau Suc-Société Urbaine de Climatisation, France continentale, Base Carbone</v>
      </c>
      <c r="D1597" s="1051">
        <f t="shared" si="141"/>
        <v>15</v>
      </c>
      <c r="E1597" s="1051" t="str">
        <f>IF(COUNTIF(E$1582:E1596,F1597)&gt;0,"",F1597)</f>
        <v>92, Courbevoie, Réseau Suc-Société Urbaine de Climatisation, France continentale, Base Carbone</v>
      </c>
      <c r="F1597" s="1051" t="str">
        <f t="shared" si="142"/>
        <v>92, Courbevoie, Réseau Suc-Société Urbaine de Climatisation, France continentale, Base Carbone</v>
      </c>
      <c r="G1597" s="1055" t="str">
        <f t="shared" si="143"/>
        <v>92, Courbevoie, Réseau Suc-Société Urbaine de Climatisation, France continentale, Base Carbone; kgCO2e/kWh, Froid</v>
      </c>
      <c r="I1597" s="2018" t="s">
        <v>3634</v>
      </c>
      <c r="J1597" s="1135" t="s">
        <v>1681</v>
      </c>
      <c r="K1597" s="1119" t="s">
        <v>1567</v>
      </c>
      <c r="L1597" s="1119" t="s">
        <v>1571</v>
      </c>
      <c r="M1597" s="1134">
        <v>0.3</v>
      </c>
      <c r="N1597" s="1981" t="s">
        <v>2555</v>
      </c>
      <c r="O1597" s="1048">
        <v>1.0999999999999999E-2</v>
      </c>
      <c r="P1597" s="1048"/>
      <c r="Q1597" s="1048"/>
      <c r="R1597" s="1048"/>
      <c r="S1597" s="1048"/>
      <c r="T1597" s="1048"/>
      <c r="U1597" s="1102"/>
    </row>
    <row r="1598" spans="2:21" hidden="1" outlineLevel="2">
      <c r="B1598" s="1050">
        <v>16</v>
      </c>
      <c r="C1598" s="1050" t="str">
        <f t="shared" si="140"/>
        <v>92, Levallois-Perret, Réseau Cristalia, France continentale, Base Carbone</v>
      </c>
      <c r="D1598" s="1051">
        <f t="shared" si="141"/>
        <v>16</v>
      </c>
      <c r="E1598" s="1051" t="str">
        <f>IF(COUNTIF(E$1582:E1597,F1598)&gt;0,"",F1598)</f>
        <v>92, Levallois-Perret, Réseau Cristalia, France continentale, Base Carbone</v>
      </c>
      <c r="F1598" s="1051" t="str">
        <f t="shared" si="142"/>
        <v>92, Levallois-Perret, Réseau Cristalia, France continentale, Base Carbone</v>
      </c>
      <c r="G1598" s="1055" t="str">
        <f t="shared" si="143"/>
        <v>92, Levallois-Perret, Réseau Cristalia, France continentale, Base Carbone; kgCO2e/kWh, Froid</v>
      </c>
      <c r="I1598" s="2018" t="s">
        <v>3037</v>
      </c>
      <c r="J1598" s="1135" t="s">
        <v>1681</v>
      </c>
      <c r="K1598" s="1119" t="s">
        <v>1567</v>
      </c>
      <c r="L1598" s="1119" t="s">
        <v>1571</v>
      </c>
      <c r="M1598" s="1134">
        <v>0.3</v>
      </c>
      <c r="N1598" s="1981" t="s">
        <v>2555</v>
      </c>
      <c r="O1598" s="1048">
        <v>1.7999999999999999E-2</v>
      </c>
      <c r="P1598" s="1048"/>
      <c r="Q1598" s="1048"/>
      <c r="R1598" s="1048"/>
      <c r="S1598" s="1048"/>
      <c r="T1598" s="1048"/>
      <c r="U1598" s="1102"/>
    </row>
    <row r="1599" spans="2:21" hidden="1" outlineLevel="2">
      <c r="B1599" s="1050">
        <v>17</v>
      </c>
      <c r="C1599" s="1050" t="str">
        <f t="shared" si="140"/>
        <v>93, Le Bourget, Réseau ADP Le Bouget, France continentale, Base Carbone</v>
      </c>
      <c r="D1599" s="1051">
        <f t="shared" si="141"/>
        <v>17</v>
      </c>
      <c r="E1599" s="1051" t="str">
        <f>IF(COUNTIF(E$1582:E1598,F1599)&gt;0,"",F1599)</f>
        <v>93, Le Bourget, Réseau ADP Le Bouget, France continentale, Base Carbone</v>
      </c>
      <c r="F1599" s="1051" t="str">
        <f t="shared" si="142"/>
        <v>93, Le Bourget, Réseau ADP Le Bouget, France continentale, Base Carbone</v>
      </c>
      <c r="G1599" s="1055" t="str">
        <f t="shared" si="143"/>
        <v>93, Le Bourget, Réseau ADP Le Bouget, France continentale, Base Carbone; kgCO2e/kWh, Froid</v>
      </c>
      <c r="I1599" s="2018" t="s">
        <v>3028</v>
      </c>
      <c r="J1599" s="1135" t="s">
        <v>1681</v>
      </c>
      <c r="K1599" s="1119" t="s">
        <v>1567</v>
      </c>
      <c r="L1599" s="1119" t="s">
        <v>1571</v>
      </c>
      <c r="M1599" s="1134">
        <v>0.3</v>
      </c>
      <c r="N1599" s="1981" t="s">
        <v>2555</v>
      </c>
      <c r="O1599" s="1048">
        <v>3.3000000000000002E-2</v>
      </c>
      <c r="P1599" s="1048"/>
      <c r="Q1599" s="1048"/>
      <c r="R1599" s="1048"/>
      <c r="S1599" s="1048"/>
      <c r="T1599" s="1048"/>
      <c r="U1599" s="1102"/>
    </row>
    <row r="1600" spans="2:21" hidden="1" outlineLevel="2">
      <c r="B1600" s="1050">
        <v>18</v>
      </c>
      <c r="C1600" s="1050" t="str">
        <f t="shared" si="140"/>
        <v>93, Saint-Denis, Stade Energies SAS, France continentale, Base Carbone</v>
      </c>
      <c r="D1600" s="1051">
        <f t="shared" si="141"/>
        <v>18</v>
      </c>
      <c r="E1600" s="1051" t="str">
        <f>IF(COUNTIF(E$1582:E1599,F1600)&gt;0,"",F1600)</f>
        <v>93, Saint-Denis, Stade Energies SAS, France continentale, Base Carbone</v>
      </c>
      <c r="F1600" s="1051" t="str">
        <f t="shared" si="142"/>
        <v>93, Saint-Denis, Stade Energies SAS, France continentale, Base Carbone</v>
      </c>
      <c r="G1600" s="1055" t="str">
        <f t="shared" si="143"/>
        <v>93, Saint-Denis, Stade Energies SAS, France continentale, Base Carbone; kgCO2e/kWh, Froid</v>
      </c>
      <c r="I1600" s="2018" t="s">
        <v>3635</v>
      </c>
      <c r="J1600" s="1135" t="s">
        <v>1681</v>
      </c>
      <c r="K1600" s="1119" t="s">
        <v>1567</v>
      </c>
      <c r="L1600" s="1119" t="s">
        <v>1571</v>
      </c>
      <c r="M1600" s="1134">
        <v>0.3</v>
      </c>
      <c r="N1600" s="1981" t="s">
        <v>2555</v>
      </c>
      <c r="O1600" s="1048">
        <v>8.9999999999999993E-3</v>
      </c>
      <c r="P1600" s="1048"/>
      <c r="Q1600" s="1048"/>
      <c r="R1600" s="1048"/>
      <c r="S1600" s="1048"/>
      <c r="T1600" s="1048"/>
      <c r="U1600" s="1102"/>
    </row>
    <row r="1601" spans="2:21" hidden="1" outlineLevel="2">
      <c r="B1601" s="1050">
        <v>19</v>
      </c>
      <c r="C1601" s="1050" t="str">
        <f t="shared" si="140"/>
        <v>94, Orly, Réseau ADP Orly, France continentale, Base Carbone</v>
      </c>
      <c r="D1601" s="1051">
        <f t="shared" si="141"/>
        <v>19</v>
      </c>
      <c r="E1601" s="1051" t="str">
        <f>IF(COUNTIF(E$1582:E1600,F1601)&gt;0,"",F1601)</f>
        <v>94, Orly, Réseau ADP Orly, France continentale, Base Carbone</v>
      </c>
      <c r="F1601" s="1051" t="str">
        <f t="shared" si="142"/>
        <v>94, Orly, Réseau ADP Orly, France continentale, Base Carbone</v>
      </c>
      <c r="G1601" s="1055" t="str">
        <f t="shared" si="143"/>
        <v>94, Orly, Réseau ADP Orly, France continentale, Base Carbone; kgCO2e/kWh, Froid</v>
      </c>
      <c r="I1601" s="2018" t="s">
        <v>1046</v>
      </c>
      <c r="J1601" s="1135" t="s">
        <v>1681</v>
      </c>
      <c r="K1601" s="1119" t="s">
        <v>1567</v>
      </c>
      <c r="L1601" s="1119" t="s">
        <v>1571</v>
      </c>
      <c r="M1601" s="1134">
        <v>0.3</v>
      </c>
      <c r="N1601" s="1981" t="s">
        <v>2555</v>
      </c>
      <c r="O1601" s="1048">
        <v>7.0000000000000001E-3</v>
      </c>
      <c r="P1601" s="1048"/>
      <c r="Q1601" s="1048"/>
      <c r="R1601" s="1048"/>
      <c r="S1601" s="1048"/>
      <c r="T1601" s="1048"/>
      <c r="U1601" s="1102"/>
    </row>
    <row r="1602" spans="2:21" hidden="1" outlineLevel="2">
      <c r="B1602" s="1050">
        <v>20</v>
      </c>
      <c r="C1602" s="1050" t="str">
        <f t="shared" si="140"/>
        <v>95, Roissy, Réseau ADP Roissy, France continentale, Base Carbone</v>
      </c>
      <c r="D1602" s="1051">
        <f t="shared" si="141"/>
        <v>20</v>
      </c>
      <c r="E1602" s="1051" t="str">
        <f>IF(COUNTIF(E$1582:E1601,F1602)&gt;0,"",F1602)</f>
        <v>95, Roissy, Réseau ADP Roissy, France continentale, Base Carbone</v>
      </c>
      <c r="F1602" s="1051" t="str">
        <f t="shared" si="142"/>
        <v>95, Roissy, Réseau ADP Roissy, France continentale, Base Carbone</v>
      </c>
      <c r="G1602" s="1055" t="str">
        <f t="shared" si="143"/>
        <v>95, Roissy, Réseau ADP Roissy, France continentale, Base Carbone; kgCO2e/kWh, Froid</v>
      </c>
      <c r="I1602" s="2018" t="s">
        <v>1053</v>
      </c>
      <c r="J1602" s="1135" t="s">
        <v>1681</v>
      </c>
      <c r="K1602" s="1119" t="s">
        <v>1567</v>
      </c>
      <c r="L1602" s="1119" t="s">
        <v>1571</v>
      </c>
      <c r="M1602" s="1134">
        <v>0.3</v>
      </c>
      <c r="N1602" s="1981" t="s">
        <v>2555</v>
      </c>
      <c r="O1602" s="1048">
        <v>8.0000000000000002E-3</v>
      </c>
      <c r="P1602" s="1048"/>
      <c r="Q1602" s="1048"/>
      <c r="R1602" s="1048"/>
      <c r="S1602" s="1048"/>
      <c r="T1602" s="1048"/>
      <c r="U1602" s="1102"/>
    </row>
    <row r="1603" spans="2:21" hidden="1" outlineLevel="2">
      <c r="B1603" s="1050">
        <v>21</v>
      </c>
      <c r="C1603" s="1050" t="str">
        <f t="shared" si="140"/>
        <v>-</v>
      </c>
      <c r="D1603" s="1051">
        <f t="shared" si="141"/>
        <v>20</v>
      </c>
      <c r="E1603" s="1051" t="str">
        <f>IF(COUNTIF(E$1582:E1602,F1603)&gt;0,"",F1603)</f>
        <v/>
      </c>
      <c r="F1603" s="1051" t="str">
        <f t="shared" si="142"/>
        <v/>
      </c>
      <c r="G1603" s="1055" t="str">
        <f t="shared" si="143"/>
        <v/>
      </c>
      <c r="I1603" s="1100"/>
      <c r="J1603" s="1048"/>
      <c r="K1603" s="1119"/>
      <c r="L1603" s="1119"/>
      <c r="M1603" s="1101"/>
      <c r="N1603" s="1981"/>
      <c r="O1603" s="1048"/>
      <c r="P1603" s="1048"/>
      <c r="Q1603" s="1048"/>
      <c r="R1603" s="1048"/>
      <c r="S1603" s="1048"/>
      <c r="T1603" s="1048"/>
      <c r="U1603" s="1102"/>
    </row>
    <row r="1604" spans="2:21" hidden="1" outlineLevel="2">
      <c r="B1604" s="1050">
        <v>22</v>
      </c>
      <c r="C1604" s="1050" t="str">
        <f t="shared" si="140"/>
        <v>-</v>
      </c>
      <c r="D1604" s="1051">
        <f t="shared" si="141"/>
        <v>20</v>
      </c>
      <c r="E1604" s="1051" t="str">
        <f>IF(COUNTIF(E$1582:E1603,F1604)&gt;0,"",F1604)</f>
        <v/>
      </c>
      <c r="F1604" s="1051" t="str">
        <f t="shared" si="142"/>
        <v/>
      </c>
      <c r="G1604" s="1055" t="str">
        <f t="shared" si="143"/>
        <v/>
      </c>
      <c r="I1604" s="1100"/>
      <c r="J1604" s="1048"/>
      <c r="K1604" s="1119"/>
      <c r="L1604" s="1119"/>
      <c r="M1604" s="1101"/>
      <c r="N1604" s="1981"/>
      <c r="O1604" s="1048"/>
      <c r="P1604" s="1048"/>
      <c r="Q1604" s="1048"/>
      <c r="R1604" s="1048"/>
      <c r="S1604" s="1048"/>
      <c r="T1604" s="1048"/>
      <c r="U1604" s="1102"/>
    </row>
    <row r="1605" spans="2:21" hidden="1" outlineLevel="2">
      <c r="B1605" s="1050">
        <v>23</v>
      </c>
      <c r="C1605" s="1050" t="str">
        <f t="shared" si="140"/>
        <v>-</v>
      </c>
      <c r="D1605" s="1051">
        <f t="shared" si="141"/>
        <v>20</v>
      </c>
      <c r="E1605" s="1051" t="str">
        <f>IF(COUNTIF(E$1582:E1604,F1605)&gt;0,"",F1605)</f>
        <v/>
      </c>
      <c r="F1605" s="1051" t="str">
        <f t="shared" si="142"/>
        <v/>
      </c>
      <c r="G1605" s="1055" t="str">
        <f t="shared" si="143"/>
        <v/>
      </c>
      <c r="I1605" s="1100"/>
      <c r="J1605" s="1048"/>
      <c r="K1605" s="1032"/>
      <c r="L1605" s="1048"/>
      <c r="M1605" s="1101"/>
      <c r="N1605" s="1048"/>
      <c r="O1605" s="1048"/>
      <c r="P1605" s="1048"/>
      <c r="Q1605" s="1048"/>
      <c r="R1605" s="1048"/>
      <c r="S1605" s="1048"/>
      <c r="T1605" s="1048"/>
      <c r="U1605" s="1102"/>
    </row>
    <row r="1606" spans="2:21" hidden="1" outlineLevel="2">
      <c r="B1606" s="1050">
        <v>24</v>
      </c>
      <c r="C1606" s="1050" t="str">
        <f t="shared" si="140"/>
        <v>-</v>
      </c>
      <c r="D1606" s="1051">
        <f t="shared" si="141"/>
        <v>20</v>
      </c>
      <c r="E1606" s="1051" t="str">
        <f>IF(COUNTIF(E$1582:E1605,F1606)&gt;0,"",F1606)</f>
        <v/>
      </c>
      <c r="F1606" s="1051" t="str">
        <f t="shared" si="142"/>
        <v/>
      </c>
      <c r="G1606" s="1055" t="str">
        <f t="shared" si="143"/>
        <v/>
      </c>
      <c r="I1606" s="1100"/>
      <c r="J1606" s="1048"/>
      <c r="K1606" s="1032"/>
      <c r="L1606" s="1048"/>
      <c r="M1606" s="1101"/>
      <c r="N1606" s="1048"/>
      <c r="O1606" s="1048"/>
      <c r="P1606" s="1048"/>
      <c r="Q1606" s="1048"/>
      <c r="R1606" s="1048"/>
      <c r="S1606" s="1048"/>
      <c r="T1606" s="1048"/>
      <c r="U1606" s="1102"/>
    </row>
    <row r="1607" spans="2:21" hidden="1" outlineLevel="2">
      <c r="B1607" s="1050">
        <v>25</v>
      </c>
      <c r="C1607" s="1050" t="str">
        <f t="shared" si="140"/>
        <v>-</v>
      </c>
      <c r="D1607" s="1051">
        <f t="shared" si="141"/>
        <v>20</v>
      </c>
      <c r="E1607" s="1051" t="str">
        <f>IF(COUNTIF(E$1582:E1606,F1607)&gt;0,"",F1607)</f>
        <v/>
      </c>
      <c r="F1607" s="1051" t="str">
        <f t="shared" si="142"/>
        <v/>
      </c>
      <c r="G1607" s="1055" t="str">
        <f t="shared" si="143"/>
        <v/>
      </c>
      <c r="I1607" s="1100"/>
      <c r="J1607" s="1048"/>
      <c r="K1607" s="1032"/>
      <c r="L1607" s="1048"/>
      <c r="M1607" s="1101"/>
      <c r="N1607" s="1048"/>
      <c r="O1607" s="1048"/>
      <c r="P1607" s="1048"/>
      <c r="Q1607" s="1048"/>
      <c r="R1607" s="1048"/>
      <c r="S1607" s="1048"/>
      <c r="T1607" s="1048"/>
      <c r="U1607" s="1102"/>
    </row>
    <row r="1608" spans="2:21" hidden="1" outlineLevel="2">
      <c r="B1608" s="1050">
        <v>26</v>
      </c>
      <c r="C1608" s="1050" t="str">
        <f t="shared" si="140"/>
        <v>-</v>
      </c>
      <c r="D1608" s="1051">
        <f t="shared" si="141"/>
        <v>20</v>
      </c>
      <c r="E1608" s="1051" t="str">
        <f>IF(COUNTIF(E$1582:E1607,F1608)&gt;0,"",F1608)</f>
        <v/>
      </c>
      <c r="F1608" s="1051" t="str">
        <f t="shared" si="142"/>
        <v/>
      </c>
      <c r="G1608" s="1055" t="str">
        <f t="shared" si="143"/>
        <v/>
      </c>
      <c r="I1608" s="1100"/>
      <c r="J1608" s="1048"/>
      <c r="K1608" s="1032"/>
      <c r="L1608" s="1048"/>
      <c r="M1608" s="1101"/>
      <c r="N1608" s="1048"/>
      <c r="O1608" s="1048"/>
      <c r="P1608" s="1048"/>
      <c r="Q1608" s="1048"/>
      <c r="R1608" s="1048"/>
      <c r="S1608" s="1048"/>
      <c r="T1608" s="1048"/>
      <c r="U1608" s="1102"/>
    </row>
    <row r="1609" spans="2:21" hidden="1" outlineLevel="2">
      <c r="B1609" s="1050">
        <v>27</v>
      </c>
      <c r="C1609" s="1050" t="str">
        <f t="shared" si="140"/>
        <v>-</v>
      </c>
      <c r="D1609" s="1051">
        <f t="shared" si="141"/>
        <v>20</v>
      </c>
      <c r="E1609" s="1051" t="str">
        <f>IF(COUNTIF(E$1582:E1608,F1609)&gt;0,"",F1609)</f>
        <v/>
      </c>
      <c r="F1609" s="1051" t="str">
        <f t="shared" si="142"/>
        <v/>
      </c>
      <c r="G1609" s="1055" t="str">
        <f t="shared" si="143"/>
        <v/>
      </c>
      <c r="I1609" s="1100"/>
      <c r="J1609" s="1048"/>
      <c r="K1609" s="1032"/>
      <c r="L1609" s="1048"/>
      <c r="M1609" s="1101"/>
      <c r="N1609" s="1048"/>
      <c r="O1609" s="1048"/>
      <c r="P1609" s="1048"/>
      <c r="Q1609" s="1048"/>
      <c r="R1609" s="1048"/>
      <c r="S1609" s="1048"/>
      <c r="T1609" s="1048"/>
      <c r="U1609" s="1102"/>
    </row>
    <row r="1610" spans="2:21" s="1048" customFormat="1" hidden="1" outlineLevel="2">
      <c r="B1610" s="1050">
        <v>28</v>
      </c>
      <c r="C1610" s="1050" t="str">
        <f t="shared" si="140"/>
        <v>-</v>
      </c>
      <c r="D1610" s="1051">
        <f t="shared" si="141"/>
        <v>20</v>
      </c>
      <c r="E1610" s="1051" t="str">
        <f>IF(COUNTIF(E$1582:E1609,F1610)&gt;0,"",F1610)</f>
        <v/>
      </c>
      <c r="F1610" s="1051" t="str">
        <f t="shared" si="142"/>
        <v/>
      </c>
      <c r="G1610" s="1055" t="str">
        <f t="shared" si="143"/>
        <v/>
      </c>
      <c r="I1610" s="1103"/>
      <c r="J1610" s="1104"/>
      <c r="K1610" s="1035"/>
      <c r="L1610" s="1104"/>
      <c r="M1610" s="1105"/>
      <c r="N1610" s="1104"/>
      <c r="O1610" s="1104"/>
      <c r="P1610" s="1104"/>
      <c r="Q1610" s="1104"/>
      <c r="R1610" s="1104"/>
      <c r="S1610" s="1104"/>
      <c r="T1610" s="1104"/>
      <c r="U1610" s="1106"/>
    </row>
    <row r="1611" spans="2:21"/>
    <row r="1612" spans="2:21" ht="15.6" collapsed="1">
      <c r="I1612" s="3167" t="s">
        <v>333</v>
      </c>
      <c r="J1612" s="3168"/>
      <c r="K1612" s="3168"/>
      <c r="L1612" s="3168"/>
      <c r="M1612" s="3168"/>
      <c r="N1612" s="3168"/>
      <c r="O1612" s="3168"/>
      <c r="P1612" s="3168"/>
      <c r="Q1612" s="3168"/>
      <c r="R1612" s="3168"/>
      <c r="S1612" s="3168"/>
      <c r="T1612" s="3168"/>
      <c r="U1612" s="3169"/>
    </row>
    <row r="1613" spans="2:21" hidden="1" outlineLevel="1"/>
    <row r="1614" spans="2:21" ht="12.75" hidden="1" customHeight="1" outlineLevel="1">
      <c r="B1614" s="3154" t="s">
        <v>1617</v>
      </c>
      <c r="C1614" s="3154"/>
      <c r="D1614" s="3157" t="s">
        <v>1619</v>
      </c>
      <c r="E1614" s="3157"/>
      <c r="F1614" s="1118" t="s">
        <v>1616</v>
      </c>
      <c r="G1614" s="1053" t="s">
        <v>1618</v>
      </c>
      <c r="H1614" s="1044"/>
      <c r="I1614" s="1038" t="s">
        <v>1557</v>
      </c>
      <c r="J1614" s="1040" t="s">
        <v>1266</v>
      </c>
      <c r="K1614" s="1043" t="s">
        <v>224</v>
      </c>
      <c r="L1614" s="1043" t="s">
        <v>1558</v>
      </c>
      <c r="M1614" s="1039" t="s">
        <v>366</v>
      </c>
      <c r="N1614" s="1040" t="s">
        <v>1559</v>
      </c>
      <c r="O1614" s="1041" t="s">
        <v>1560</v>
      </c>
      <c r="P1614" s="1043" t="s">
        <v>211</v>
      </c>
      <c r="Q1614" s="1043" t="s">
        <v>1561</v>
      </c>
      <c r="R1614" s="1041" t="s">
        <v>1562</v>
      </c>
      <c r="S1614" s="1041" t="s">
        <v>267</v>
      </c>
      <c r="T1614" s="1043" t="s">
        <v>1563</v>
      </c>
      <c r="U1614" s="1042" t="s">
        <v>1564</v>
      </c>
    </row>
    <row r="1615" spans="2:21" ht="12" hidden="1" customHeight="1" outlineLevel="1" collapsed="1">
      <c r="B1615" s="3155" t="s">
        <v>5040</v>
      </c>
      <c r="C1615" s="3155"/>
      <c r="D1615" s="1051">
        <v>0</v>
      </c>
      <c r="E1615" s="1051"/>
      <c r="F1615" s="1051"/>
      <c r="G1615" s="1055"/>
      <c r="I1615" s="1706"/>
      <c r="J1615" s="1707"/>
      <c r="K1615" s="1719"/>
      <c r="L1615" s="1707"/>
      <c r="M1615" s="1709"/>
      <c r="N1615" s="1707"/>
      <c r="O1615" s="1707"/>
      <c r="P1615" s="1707"/>
      <c r="Q1615" s="1707"/>
      <c r="R1615" s="1707"/>
      <c r="S1615" s="1707"/>
      <c r="T1615" s="1707"/>
      <c r="U1615" s="1710"/>
    </row>
    <row r="1616" spans="2:21" hidden="1" outlineLevel="2">
      <c r="B1616" s="1050">
        <v>1</v>
      </c>
      <c r="C1616" s="1050" t="str">
        <f>IF(ISNA(VLOOKUP(B1616,$D$1616:$E$1984,2,FALSE)),"-",VLOOKUP(B1616,$D$1616:$E$1984,2,FALSE))</f>
        <v>2008 - usage : Autres (BTP. recherche. armée. etc.), France continentale, Base Carbone</v>
      </c>
      <c r="D1616" s="1051">
        <f>D1615+IF(LEN(E1616)=0,0,1)</f>
        <v>1</v>
      </c>
      <c r="E1616" s="1051" t="str">
        <f>IF(COUNTIF(E$1615:E1615,F1616)&gt;0,"",F1616)</f>
        <v>2008 - usage : Autres (BTP. recherche. armée. etc.), France continentale, Base Carbone</v>
      </c>
      <c r="F1616" s="1051" t="str">
        <f>IF(I1616&lt;&gt;"",I1616&amp;IF(L1616&lt;&gt;"",", "&amp;L1616,"")&amp;IF(K1616&lt;&gt;"",", "&amp;K1616,""),"")</f>
        <v>2008 - usage : Autres (BTP. recherche. armée. etc.), France continentale, Base Carbone</v>
      </c>
      <c r="G1616" s="1055" t="str">
        <f>IF(F1616&lt;&gt;"",F1616&amp;IF(J1616&lt;&gt;"","; "&amp;J1616,"")&amp;IF(N1616&lt;&gt;"",", "&amp;N1616,""),"")</f>
        <v>2008 - usage : Autres (BTP. recherche. armée. etc.), France continentale, Base Carbone; kgCO2e/kWh, Combustion à la centrale</v>
      </c>
      <c r="I1616" s="2018" t="s">
        <v>1687</v>
      </c>
      <c r="J1616" s="1135" t="s">
        <v>1681</v>
      </c>
      <c r="K1616" s="1119" t="s">
        <v>1567</v>
      </c>
      <c r="L1616" s="1135" t="s">
        <v>1571</v>
      </c>
      <c r="M1616" s="1134">
        <v>0.3</v>
      </c>
      <c r="N1616" s="1135" t="s">
        <v>1763</v>
      </c>
      <c r="O1616" s="1135">
        <v>3.3300000000000003E-2</v>
      </c>
      <c r="P1616" s="1048"/>
      <c r="Q1616" s="1048"/>
      <c r="R1616" s="1048"/>
      <c r="S1616" s="1048"/>
      <c r="T1616" s="1048"/>
      <c r="U1616" s="1102"/>
    </row>
    <row r="1617" spans="2:21" hidden="1" outlineLevel="2">
      <c r="B1617" s="1050">
        <v>2</v>
      </c>
      <c r="C1617" s="1050" t="str">
        <f t="shared" ref="C1617:C1680" si="144">IF(ISNA(VLOOKUP(B1617,$D$1616:$E$1984,2,FALSE)),"-",VLOOKUP(B1617,$D$1616:$E$1984,2,FALSE))</f>
        <v>2008 - usage : chauffage, France continentale, Base Carbone</v>
      </c>
      <c r="D1617" s="1051">
        <f t="shared" ref="D1617:D1680" si="145">D1616+IF(LEN(E1617)=0,0,1)</f>
        <v>1</v>
      </c>
      <c r="E1617" s="1051" t="str">
        <f>IF(COUNTIF(E$1615:E1616,F1617)&gt;0,"",F1617)</f>
        <v/>
      </c>
      <c r="F1617" s="1051" t="str">
        <f t="shared" ref="F1617:F1680" si="146">IF(I1617&lt;&gt;"",I1617&amp;IF(L1617&lt;&gt;"",", "&amp;L1617,"")&amp;IF(K1617&lt;&gt;"",", "&amp;K1617,""),"")</f>
        <v>2008 - usage : Autres (BTP. recherche. armée. etc.), France continentale, Base Carbone</v>
      </c>
      <c r="G1617" s="1055" t="str">
        <f t="shared" ref="G1617:G1680" si="147">IF(F1617&lt;&gt;"",F1617&amp;IF(J1617&lt;&gt;"","; "&amp;J1617,"")&amp;IF(N1617&lt;&gt;"",", "&amp;N1617,""),"")</f>
        <v>2008 - usage : Autres (BTP. recherche. armée. etc.), France continentale, Base Carbone; kgCO2e/kWh, Amont</v>
      </c>
      <c r="I1617" s="2018" t="s">
        <v>1687</v>
      </c>
      <c r="J1617" s="1135" t="s">
        <v>1681</v>
      </c>
      <c r="K1617" s="1119" t="s">
        <v>1567</v>
      </c>
      <c r="L1617" s="1135" t="s">
        <v>1571</v>
      </c>
      <c r="M1617" s="1134">
        <v>0.3</v>
      </c>
      <c r="N1617" s="1135" t="s">
        <v>1570</v>
      </c>
      <c r="O1617" s="1135">
        <v>1.01E-2</v>
      </c>
      <c r="P1617" s="1048"/>
      <c r="Q1617" s="1048"/>
      <c r="R1617" s="1048"/>
      <c r="S1617" s="1048"/>
      <c r="T1617" s="1048"/>
      <c r="U1617" s="1102"/>
    </row>
    <row r="1618" spans="2:21" hidden="1" outlineLevel="2">
      <c r="B1618" s="1050">
        <v>3</v>
      </c>
      <c r="C1618" s="1050" t="str">
        <f t="shared" si="144"/>
        <v>2008 - usage : Climatisation tertiaire, France continentale, Base Carbone</v>
      </c>
      <c r="D1618" s="1051">
        <f t="shared" si="145"/>
        <v>1</v>
      </c>
      <c r="E1618" s="1051" t="str">
        <f>IF(COUNTIF(E$1615:E1617,F1618)&gt;0,"",F1618)</f>
        <v/>
      </c>
      <c r="F1618" s="1051" t="str">
        <f t="shared" si="146"/>
        <v>2008 - usage : Autres (BTP. recherche. armée. etc.), France continentale, Base Carbone</v>
      </c>
      <c r="G1618" s="1055" t="str">
        <f t="shared" si="147"/>
        <v>2008 - usage : Autres (BTP. recherche. armée. etc.), France continentale, Base Carbone; kgCO2e/kWh, Pertes</v>
      </c>
      <c r="I1618" s="2018" t="s">
        <v>1687</v>
      </c>
      <c r="J1618" s="1135" t="s">
        <v>1681</v>
      </c>
      <c r="K1618" s="1119" t="s">
        <v>1567</v>
      </c>
      <c r="L1618" s="1135" t="s">
        <v>1571</v>
      </c>
      <c r="M1618" s="1134">
        <v>0.3</v>
      </c>
      <c r="N1618" s="1135" t="s">
        <v>1766</v>
      </c>
      <c r="O1618" s="1135">
        <v>6.0000000000000001E-3</v>
      </c>
      <c r="P1618" s="1048"/>
      <c r="Q1618" s="1048"/>
      <c r="R1618" s="1048"/>
      <c r="S1618" s="1048"/>
      <c r="T1618" s="1048"/>
      <c r="U1618" s="1102"/>
    </row>
    <row r="1619" spans="2:21" hidden="1" outlineLevel="2">
      <c r="B1619" s="1050">
        <v>4</v>
      </c>
      <c r="C1619" s="1050" t="str">
        <f t="shared" si="144"/>
        <v>2008 - usage : Cuisson résidentiel, France continentale, Base Carbone</v>
      </c>
      <c r="D1619" s="1051">
        <f t="shared" si="145"/>
        <v>2</v>
      </c>
      <c r="E1619" s="1051" t="str">
        <f>IF(COUNTIF(E$1615:E1618,F1619)&gt;0,"",F1619)</f>
        <v>2008 - usage : chauffage, France continentale, Base Carbone</v>
      </c>
      <c r="F1619" s="1051" t="str">
        <f t="shared" si="146"/>
        <v>2008 - usage : chauffage, France continentale, Base Carbone</v>
      </c>
      <c r="G1619" s="1055" t="str">
        <f t="shared" si="147"/>
        <v>2008 - usage : chauffage, France continentale, Base Carbone; kgCO2e/kWh, Combustion à la centrale</v>
      </c>
      <c r="I1619" s="2018" t="s">
        <v>1688</v>
      </c>
      <c r="J1619" s="1135" t="s">
        <v>1681</v>
      </c>
      <c r="K1619" s="1119" t="s">
        <v>1567</v>
      </c>
      <c r="L1619" s="1135" t="s">
        <v>1571</v>
      </c>
      <c r="M1619" s="1134">
        <v>0.3</v>
      </c>
      <c r="N1619" s="1135" t="s">
        <v>1763</v>
      </c>
      <c r="O1619" s="1135">
        <v>0.17799999999999999</v>
      </c>
      <c r="P1619" s="1048"/>
      <c r="Q1619" s="1048"/>
      <c r="R1619" s="1048"/>
      <c r="S1619" s="1048"/>
      <c r="T1619" s="1048"/>
      <c r="U1619" s="1102"/>
    </row>
    <row r="1620" spans="2:21" hidden="1" outlineLevel="2">
      <c r="B1620" s="1050">
        <v>5</v>
      </c>
      <c r="C1620" s="1050" t="str">
        <f t="shared" si="144"/>
        <v>2008 - usage : Eau Chaude Sanitaire, France continentale, Base Carbone</v>
      </c>
      <c r="D1620" s="1051">
        <f t="shared" si="145"/>
        <v>2</v>
      </c>
      <c r="E1620" s="1051" t="str">
        <f>IF(COUNTIF(E$1615:E1619,F1620)&gt;0,"",F1620)</f>
        <v/>
      </c>
      <c r="F1620" s="1051" t="str">
        <f t="shared" si="146"/>
        <v>2008 - usage : chauffage, France continentale, Base Carbone</v>
      </c>
      <c r="G1620" s="1055" t="str">
        <f t="shared" si="147"/>
        <v>2008 - usage : chauffage, France continentale, Base Carbone; kgCO2e/kWh, Amont</v>
      </c>
      <c r="I1620" s="2018" t="s">
        <v>1688</v>
      </c>
      <c r="J1620" s="1135" t="s">
        <v>1681</v>
      </c>
      <c r="K1620" s="1119" t="s">
        <v>1567</v>
      </c>
      <c r="L1620" s="1135" t="s">
        <v>1571</v>
      </c>
      <c r="M1620" s="1134">
        <v>0.3</v>
      </c>
      <c r="N1620" s="1135" t="s">
        <v>1570</v>
      </c>
      <c r="O1620" s="1135">
        <v>2.7199999999999998E-2</v>
      </c>
      <c r="P1620" s="1048"/>
      <c r="Q1620" s="1048"/>
      <c r="R1620" s="1048"/>
      <c r="S1620" s="1048"/>
      <c r="T1620" s="1048"/>
      <c r="U1620" s="1102"/>
    </row>
    <row r="1621" spans="2:21" hidden="1" outlineLevel="2">
      <c r="B1621" s="1050">
        <v>6</v>
      </c>
      <c r="C1621" s="1050" t="str">
        <f t="shared" si="144"/>
        <v>2008 - usage : Eclairage public et Industrie, France continentale, Base Carbone</v>
      </c>
      <c r="D1621" s="1051">
        <f t="shared" si="145"/>
        <v>2</v>
      </c>
      <c r="E1621" s="1051" t="str">
        <f>IF(COUNTIF(E$1615:E1620,F1621)&gt;0,"",F1621)</f>
        <v/>
      </c>
      <c r="F1621" s="1051" t="str">
        <f t="shared" si="146"/>
        <v>2008 - usage : chauffage, France continentale, Base Carbone</v>
      </c>
      <c r="G1621" s="1055" t="str">
        <f t="shared" si="147"/>
        <v>2008 - usage : chauffage, France continentale, Base Carbone; kgCO2e/kWh, Pertes</v>
      </c>
      <c r="I1621" s="2018" t="s">
        <v>1688</v>
      </c>
      <c r="J1621" s="1135" t="s">
        <v>1681</v>
      </c>
      <c r="K1621" s="1119" t="s">
        <v>1567</v>
      </c>
      <c r="L1621" s="1135" t="s">
        <v>1571</v>
      </c>
      <c r="M1621" s="1134">
        <v>0.3</v>
      </c>
      <c r="N1621" s="1135" t="s">
        <v>1766</v>
      </c>
      <c r="O1621" s="1135">
        <v>6.0000000000000001E-3</v>
      </c>
      <c r="P1621" s="1048"/>
      <c r="Q1621" s="1048"/>
      <c r="R1621" s="1048"/>
      <c r="S1621" s="1048"/>
      <c r="T1621" s="1048"/>
      <c r="U1621" s="1102"/>
    </row>
    <row r="1622" spans="2:21" hidden="1" outlineLevel="2">
      <c r="B1622" s="1050">
        <v>7</v>
      </c>
      <c r="C1622" s="1050" t="str">
        <f t="shared" si="144"/>
        <v>2008 - usage : Eclairage résidentiel, France continentale, Base Carbone</v>
      </c>
      <c r="D1622" s="1051">
        <f t="shared" si="145"/>
        <v>3</v>
      </c>
      <c r="E1622" s="1051" t="str">
        <f>IF(COUNTIF(E$1615:E1621,F1622)&gt;0,"",F1622)</f>
        <v>2008 - usage : Climatisation tertiaire, France continentale, Base Carbone</v>
      </c>
      <c r="F1622" s="1051" t="str">
        <f t="shared" si="146"/>
        <v>2008 - usage : Climatisation tertiaire, France continentale, Base Carbone</v>
      </c>
      <c r="G1622" s="1055" t="str">
        <f t="shared" si="147"/>
        <v>2008 - usage : Climatisation tertiaire, France continentale, Base Carbone; kgCO2e/kWh, Combustion à la centrale</v>
      </c>
      <c r="I1622" s="2018" t="s">
        <v>1689</v>
      </c>
      <c r="J1622" s="1135" t="s">
        <v>1681</v>
      </c>
      <c r="K1622" s="1119" t="s">
        <v>1567</v>
      </c>
      <c r="L1622" s="1135" t="s">
        <v>1571</v>
      </c>
      <c r="M1622" s="1134">
        <v>0.3</v>
      </c>
      <c r="N1622" s="1135" t="s">
        <v>1763</v>
      </c>
      <c r="O1622" s="1135">
        <v>4.0599999999999997E-2</v>
      </c>
      <c r="P1622" s="1048"/>
      <c r="Q1622" s="1048"/>
      <c r="R1622" s="1048"/>
      <c r="S1622" s="1048"/>
      <c r="T1622" s="1048"/>
      <c r="U1622" s="1102"/>
    </row>
    <row r="1623" spans="2:21" hidden="1" outlineLevel="2">
      <c r="B1623" s="1050">
        <v>8</v>
      </c>
      <c r="C1623" s="1050" t="str">
        <f t="shared" si="144"/>
        <v>2008 - usage : Industrie base, France continentale, Base Carbone</v>
      </c>
      <c r="D1623" s="1051">
        <f t="shared" si="145"/>
        <v>3</v>
      </c>
      <c r="E1623" s="1051" t="str">
        <f>IF(COUNTIF(E$1615:E1622,F1623)&gt;0,"",F1623)</f>
        <v/>
      </c>
      <c r="F1623" s="1051" t="str">
        <f t="shared" si="146"/>
        <v>2008 - usage : Climatisation tertiaire, France continentale, Base Carbone</v>
      </c>
      <c r="G1623" s="1055" t="str">
        <f t="shared" si="147"/>
        <v>2008 - usage : Climatisation tertiaire, France continentale, Base Carbone; kgCO2e/kWh, Amont</v>
      </c>
      <c r="I1623" s="2018" t="s">
        <v>1689</v>
      </c>
      <c r="J1623" s="1135" t="s">
        <v>1681</v>
      </c>
      <c r="K1623" s="1119" t="s">
        <v>1567</v>
      </c>
      <c r="L1623" s="1135" t="s">
        <v>1571</v>
      </c>
      <c r="M1623" s="1134">
        <v>0.3</v>
      </c>
      <c r="N1623" s="1135" t="s">
        <v>1570</v>
      </c>
      <c r="O1623" s="1135">
        <v>1.0999999999999999E-2</v>
      </c>
      <c r="P1623" s="1048"/>
      <c r="Q1623" s="1048"/>
      <c r="R1623" s="1048"/>
      <c r="S1623" s="1048"/>
      <c r="T1623" s="1048"/>
      <c r="U1623" s="1102"/>
    </row>
    <row r="1624" spans="2:21" hidden="1" outlineLevel="2">
      <c r="B1624" s="1050">
        <v>9</v>
      </c>
      <c r="C1624" s="1050" t="str">
        <f t="shared" si="144"/>
        <v>2008 - usage : Transports, France continentale, Base Carbone</v>
      </c>
      <c r="D1624" s="1051">
        <f t="shared" si="145"/>
        <v>3</v>
      </c>
      <c r="E1624" s="1051" t="str">
        <f>IF(COUNTIF(E$1615:E1623,F1624)&gt;0,"",F1624)</f>
        <v/>
      </c>
      <c r="F1624" s="1051" t="str">
        <f t="shared" si="146"/>
        <v>2008 - usage : Climatisation tertiaire, France continentale, Base Carbone</v>
      </c>
      <c r="G1624" s="1055" t="str">
        <f t="shared" si="147"/>
        <v>2008 - usage : Climatisation tertiaire, France continentale, Base Carbone; kgCO2e/kWh, Pertes</v>
      </c>
      <c r="I1624" s="2018" t="s">
        <v>1689</v>
      </c>
      <c r="J1624" s="1135" t="s">
        <v>1681</v>
      </c>
      <c r="K1624" s="1119" t="s">
        <v>1567</v>
      </c>
      <c r="L1624" s="1135" t="s">
        <v>1571</v>
      </c>
      <c r="M1624" s="1134">
        <v>0.3</v>
      </c>
      <c r="N1624" s="1135" t="s">
        <v>1766</v>
      </c>
      <c r="O1624" s="1135">
        <v>6.0000000000000001E-3</v>
      </c>
      <c r="P1624" s="1048"/>
      <c r="Q1624" s="1048"/>
      <c r="R1624" s="1048"/>
      <c r="S1624" s="1048"/>
      <c r="T1624" s="1048"/>
      <c r="U1624" s="1102"/>
    </row>
    <row r="1625" spans="2:21" hidden="1" outlineLevel="2">
      <c r="B1625" s="1050">
        <v>10</v>
      </c>
      <c r="C1625" s="1050" t="str">
        <f t="shared" si="144"/>
        <v>2009 - usage : Autres (BTP. recherche. armée. etc.), France continentale, Base Carbone</v>
      </c>
      <c r="D1625" s="1051">
        <f t="shared" si="145"/>
        <v>4</v>
      </c>
      <c r="E1625" s="1051" t="str">
        <f>IF(COUNTIF(E$1615:E1624,F1625)&gt;0,"",F1625)</f>
        <v>2008 - usage : Cuisson résidentiel, France continentale, Base Carbone</v>
      </c>
      <c r="F1625" s="1051" t="str">
        <f t="shared" si="146"/>
        <v>2008 - usage : Cuisson résidentiel, France continentale, Base Carbone</v>
      </c>
      <c r="G1625" s="1055" t="str">
        <f t="shared" si="147"/>
        <v>2008 - usage : Cuisson résidentiel, France continentale, Base Carbone; kgCO2e/kWh, Combustion à la centrale</v>
      </c>
      <c r="I1625" s="2018" t="s">
        <v>1690</v>
      </c>
      <c r="J1625" s="1135" t="s">
        <v>1681</v>
      </c>
      <c r="K1625" s="1119" t="s">
        <v>1567</v>
      </c>
      <c r="L1625" s="1135" t="s">
        <v>1571</v>
      </c>
      <c r="M1625" s="1134">
        <v>0.3</v>
      </c>
      <c r="N1625" s="1135" t="s">
        <v>1763</v>
      </c>
      <c r="O1625" s="1135">
        <v>5.5100000000000003E-2</v>
      </c>
      <c r="P1625" s="1048"/>
      <c r="Q1625" s="1048"/>
      <c r="R1625" s="1048"/>
      <c r="S1625" s="1048"/>
      <c r="T1625" s="1048"/>
      <c r="U1625" s="1102"/>
    </row>
    <row r="1626" spans="2:21" hidden="1" outlineLevel="2">
      <c r="B1626" s="1050">
        <v>11</v>
      </c>
      <c r="C1626" s="1050" t="str">
        <f t="shared" si="144"/>
        <v>2009 - usage : chauffage, France continentale, Base Carbone</v>
      </c>
      <c r="D1626" s="1051">
        <f t="shared" si="145"/>
        <v>4</v>
      </c>
      <c r="E1626" s="1051" t="str">
        <f>IF(COUNTIF(E$1615:E1625,F1626)&gt;0,"",F1626)</f>
        <v/>
      </c>
      <c r="F1626" s="1051" t="str">
        <f t="shared" si="146"/>
        <v>2008 - usage : Cuisson résidentiel, France continentale, Base Carbone</v>
      </c>
      <c r="G1626" s="1055" t="str">
        <f t="shared" si="147"/>
        <v>2008 - usage : Cuisson résidentiel, France continentale, Base Carbone; kgCO2e/kWh, Amont</v>
      </c>
      <c r="I1626" s="2018" t="s">
        <v>1690</v>
      </c>
      <c r="J1626" s="1135" t="s">
        <v>1681</v>
      </c>
      <c r="K1626" s="1119" t="s">
        <v>1567</v>
      </c>
      <c r="L1626" s="1135" t="s">
        <v>1571</v>
      </c>
      <c r="M1626" s="1134">
        <v>0.3</v>
      </c>
      <c r="N1626" s="1135" t="s">
        <v>1570</v>
      </c>
      <c r="O1626" s="1135">
        <v>1.2699999999999999E-2</v>
      </c>
      <c r="P1626" s="1048"/>
      <c r="Q1626" s="1048"/>
      <c r="R1626" s="1048"/>
      <c r="S1626" s="1048"/>
      <c r="T1626" s="1048"/>
      <c r="U1626" s="1102"/>
    </row>
    <row r="1627" spans="2:21" hidden="1" outlineLevel="2">
      <c r="B1627" s="1050">
        <v>12</v>
      </c>
      <c r="C1627" s="1050" t="str">
        <f t="shared" si="144"/>
        <v>2009 - usage : Climatisation tertiaire, France continentale, Base Carbone</v>
      </c>
      <c r="D1627" s="1051">
        <f t="shared" si="145"/>
        <v>4</v>
      </c>
      <c r="E1627" s="1051" t="str">
        <f>IF(COUNTIF(E$1615:E1626,F1627)&gt;0,"",F1627)</f>
        <v/>
      </c>
      <c r="F1627" s="1051" t="str">
        <f t="shared" si="146"/>
        <v>2008 - usage : Cuisson résidentiel, France continentale, Base Carbone</v>
      </c>
      <c r="G1627" s="1055" t="str">
        <f t="shared" si="147"/>
        <v>2008 - usage : Cuisson résidentiel, France continentale, Base Carbone; kgCO2e/kWh, Pertes</v>
      </c>
      <c r="I1627" s="2018" t="s">
        <v>1690</v>
      </c>
      <c r="J1627" s="1135" t="s">
        <v>1681</v>
      </c>
      <c r="K1627" s="1119" t="s">
        <v>1567</v>
      </c>
      <c r="L1627" s="1135" t="s">
        <v>1571</v>
      </c>
      <c r="M1627" s="1134">
        <v>0.3</v>
      </c>
      <c r="N1627" s="1135" t="s">
        <v>1766</v>
      </c>
      <c r="O1627" s="1135">
        <v>6.0000000000000001E-3</v>
      </c>
      <c r="P1627" s="1048"/>
      <c r="Q1627" s="1048"/>
      <c r="R1627" s="1048"/>
      <c r="S1627" s="1048"/>
      <c r="T1627" s="1048"/>
      <c r="U1627" s="1102"/>
    </row>
    <row r="1628" spans="2:21" hidden="1" outlineLevel="2">
      <c r="B1628" s="1050">
        <v>13</v>
      </c>
      <c r="C1628" s="1050" t="str">
        <f t="shared" si="144"/>
        <v>2009 - usage : Cuisson résidentiel, France continentale, Base Carbone</v>
      </c>
      <c r="D1628" s="1051">
        <f t="shared" si="145"/>
        <v>5</v>
      </c>
      <c r="E1628" s="1051" t="str">
        <f>IF(COUNTIF(E$1615:E1627,F1628)&gt;0,"",F1628)</f>
        <v>2008 - usage : Eau Chaude Sanitaire, France continentale, Base Carbone</v>
      </c>
      <c r="F1628" s="1051" t="str">
        <f t="shared" si="146"/>
        <v>2008 - usage : Eau Chaude Sanitaire, France continentale, Base Carbone</v>
      </c>
      <c r="G1628" s="1055" t="str">
        <f t="shared" si="147"/>
        <v>2008 - usage : Eau Chaude Sanitaire, France continentale, Base Carbone; kgCO2e/kWh, Combustion à la centrale</v>
      </c>
      <c r="I1628" s="2018" t="s">
        <v>1691</v>
      </c>
      <c r="J1628" s="1135" t="s">
        <v>1681</v>
      </c>
      <c r="K1628" s="1119" t="s">
        <v>1567</v>
      </c>
      <c r="L1628" s="1135" t="s">
        <v>1571</v>
      </c>
      <c r="M1628" s="1134">
        <v>0.3</v>
      </c>
      <c r="N1628" s="1135" t="s">
        <v>1763</v>
      </c>
      <c r="O1628" s="1135">
        <v>4.0099999999999997E-2</v>
      </c>
      <c r="P1628" s="1048"/>
      <c r="Q1628" s="1048"/>
      <c r="R1628" s="1048"/>
      <c r="S1628" s="1048"/>
      <c r="T1628" s="1048"/>
      <c r="U1628" s="1102"/>
    </row>
    <row r="1629" spans="2:21" hidden="1" outlineLevel="2">
      <c r="B1629" s="1050">
        <v>14</v>
      </c>
      <c r="C1629" s="1050" t="str">
        <f t="shared" si="144"/>
        <v>2009 - usage : Eau Chaude Sanitaire, France continentale, Base Carbone</v>
      </c>
      <c r="D1629" s="1051">
        <f t="shared" si="145"/>
        <v>5</v>
      </c>
      <c r="E1629" s="1051" t="str">
        <f>IF(COUNTIF(E$1615:E1628,F1629)&gt;0,"",F1629)</f>
        <v/>
      </c>
      <c r="F1629" s="1051" t="str">
        <f t="shared" si="146"/>
        <v>2008 - usage : Eau Chaude Sanitaire, France continentale, Base Carbone</v>
      </c>
      <c r="G1629" s="1055" t="str">
        <f t="shared" si="147"/>
        <v>2008 - usage : Eau Chaude Sanitaire, France continentale, Base Carbone; kgCO2e/kWh, Amont</v>
      </c>
      <c r="I1629" s="2018" t="s">
        <v>1691</v>
      </c>
      <c r="J1629" s="1135" t="s">
        <v>1681</v>
      </c>
      <c r="K1629" s="1119" t="s">
        <v>1567</v>
      </c>
      <c r="L1629" s="1135" t="s">
        <v>1571</v>
      </c>
      <c r="M1629" s="1134">
        <v>0.3</v>
      </c>
      <c r="N1629" s="1135" t="s">
        <v>1570</v>
      </c>
      <c r="O1629" s="1135">
        <v>1.09E-2</v>
      </c>
      <c r="P1629" s="1048"/>
      <c r="Q1629" s="1048"/>
      <c r="R1629" s="1048"/>
      <c r="S1629" s="1048"/>
      <c r="T1629" s="1048"/>
      <c r="U1629" s="1102"/>
    </row>
    <row r="1630" spans="2:21" hidden="1" outlineLevel="2">
      <c r="B1630" s="1050">
        <v>15</v>
      </c>
      <c r="C1630" s="1050" t="str">
        <f t="shared" si="144"/>
        <v>2009 - usage : Eclairage public et Industrie, France continentale, Base Carbone</v>
      </c>
      <c r="D1630" s="1051">
        <f t="shared" si="145"/>
        <v>5</v>
      </c>
      <c r="E1630" s="1051" t="str">
        <f>IF(COUNTIF(E$1615:E1629,F1630)&gt;0,"",F1630)</f>
        <v/>
      </c>
      <c r="F1630" s="1051" t="str">
        <f t="shared" si="146"/>
        <v>2008 - usage : Eau Chaude Sanitaire, France continentale, Base Carbone</v>
      </c>
      <c r="G1630" s="1055" t="str">
        <f t="shared" si="147"/>
        <v>2008 - usage : Eau Chaude Sanitaire, France continentale, Base Carbone; kgCO2e/kWh, Pertes</v>
      </c>
      <c r="I1630" s="2018" t="s">
        <v>1691</v>
      </c>
      <c r="J1630" s="1135" t="s">
        <v>1681</v>
      </c>
      <c r="K1630" s="1119" t="s">
        <v>1567</v>
      </c>
      <c r="L1630" s="1135" t="s">
        <v>1571</v>
      </c>
      <c r="M1630" s="1134">
        <v>0.3</v>
      </c>
      <c r="N1630" s="1135" t="s">
        <v>1766</v>
      </c>
      <c r="O1630" s="1135">
        <v>6.0000000000000001E-3</v>
      </c>
      <c r="P1630" s="1048"/>
      <c r="Q1630" s="1048"/>
      <c r="R1630" s="1048"/>
      <c r="S1630" s="1048"/>
      <c r="T1630" s="1048"/>
      <c r="U1630" s="1102"/>
    </row>
    <row r="1631" spans="2:21" hidden="1" outlineLevel="2">
      <c r="B1631" s="1050">
        <v>16</v>
      </c>
      <c r="C1631" s="1050" t="str">
        <f t="shared" si="144"/>
        <v>2009 - usage : Eclairage résidentiel, France continentale, Base Carbone</v>
      </c>
      <c r="D1631" s="1051">
        <f t="shared" si="145"/>
        <v>6</v>
      </c>
      <c r="E1631" s="1051" t="str">
        <f>IF(COUNTIF(E$1615:E1630,F1631)&gt;0,"",F1631)</f>
        <v>2008 - usage : Eclairage public et Industrie, France continentale, Base Carbone</v>
      </c>
      <c r="F1631" s="1051" t="str">
        <f t="shared" si="146"/>
        <v>2008 - usage : Eclairage public et Industrie, France continentale, Base Carbone</v>
      </c>
      <c r="G1631" s="1055" t="str">
        <f t="shared" si="147"/>
        <v>2008 - usage : Eclairage public et Industrie, France continentale, Base Carbone; kgCO2e/kWh, Combustion à la centrale</v>
      </c>
      <c r="I1631" s="2018" t="s">
        <v>1692</v>
      </c>
      <c r="J1631" s="1135" t="s">
        <v>1681</v>
      </c>
      <c r="K1631" s="1119" t="s">
        <v>1567</v>
      </c>
      <c r="L1631" s="1135" t="s">
        <v>1571</v>
      </c>
      <c r="M1631" s="1134">
        <v>0.3</v>
      </c>
      <c r="N1631" s="1135" t="s">
        <v>1763</v>
      </c>
      <c r="O1631" s="1135">
        <v>7.0499999999999993E-2</v>
      </c>
      <c r="P1631" s="1048"/>
      <c r="Q1631" s="1048"/>
      <c r="R1631" s="1048"/>
      <c r="S1631" s="1048"/>
      <c r="T1631" s="1048"/>
      <c r="U1631" s="1102"/>
    </row>
    <row r="1632" spans="2:21" hidden="1" outlineLevel="2">
      <c r="B1632" s="1050">
        <v>17</v>
      </c>
      <c r="C1632" s="1050" t="str">
        <f t="shared" si="144"/>
        <v>2009 - usage : Industrie base, France continentale, Base Carbone</v>
      </c>
      <c r="D1632" s="1051">
        <f t="shared" si="145"/>
        <v>6</v>
      </c>
      <c r="E1632" s="1051" t="str">
        <f>IF(COUNTIF(E$1615:E1631,F1632)&gt;0,"",F1632)</f>
        <v/>
      </c>
      <c r="F1632" s="1051" t="str">
        <f t="shared" si="146"/>
        <v>2008 - usage : Eclairage public et Industrie, France continentale, Base Carbone</v>
      </c>
      <c r="G1632" s="1055" t="str">
        <f t="shared" si="147"/>
        <v>2008 - usage : Eclairage public et Industrie, France continentale, Base Carbone; kgCO2e/kWh, Amont</v>
      </c>
      <c r="I1632" s="2018" t="s">
        <v>1692</v>
      </c>
      <c r="J1632" s="1135" t="s">
        <v>1681</v>
      </c>
      <c r="K1632" s="1119" t="s">
        <v>1567</v>
      </c>
      <c r="L1632" s="1135" t="s">
        <v>1571</v>
      </c>
      <c r="M1632" s="1134">
        <v>0.3</v>
      </c>
      <c r="N1632" s="1135" t="s">
        <v>1570</v>
      </c>
      <c r="O1632" s="1135">
        <v>1.4500000000000001E-2</v>
      </c>
      <c r="P1632" s="1048"/>
      <c r="Q1632" s="1048"/>
      <c r="R1632" s="1048"/>
      <c r="S1632" s="1048"/>
      <c r="T1632" s="1048"/>
      <c r="U1632" s="1102"/>
    </row>
    <row r="1633" spans="2:21" hidden="1" outlineLevel="2">
      <c r="B1633" s="1050">
        <v>18</v>
      </c>
      <c r="C1633" s="1050" t="str">
        <f t="shared" si="144"/>
        <v>2009 - usage : Transports, France continentale, Base Carbone</v>
      </c>
      <c r="D1633" s="1051">
        <f t="shared" si="145"/>
        <v>6</v>
      </c>
      <c r="E1633" s="1051" t="str">
        <f>IF(COUNTIF(E$1615:E1632,F1633)&gt;0,"",F1633)</f>
        <v/>
      </c>
      <c r="F1633" s="1051" t="str">
        <f t="shared" si="146"/>
        <v>2008 - usage : Eclairage public et Industrie, France continentale, Base Carbone</v>
      </c>
      <c r="G1633" s="1055" t="str">
        <f t="shared" si="147"/>
        <v>2008 - usage : Eclairage public et Industrie, France continentale, Base Carbone; kgCO2e/kWh, Pertes</v>
      </c>
      <c r="I1633" s="2018" t="s">
        <v>1692</v>
      </c>
      <c r="J1633" s="1135" t="s">
        <v>1681</v>
      </c>
      <c r="K1633" s="1119" t="s">
        <v>1567</v>
      </c>
      <c r="L1633" s="1135" t="s">
        <v>1571</v>
      </c>
      <c r="M1633" s="1134">
        <v>0.3</v>
      </c>
      <c r="N1633" s="1135" t="s">
        <v>1766</v>
      </c>
      <c r="O1633" s="1135">
        <v>6.0000000000000001E-3</v>
      </c>
      <c r="P1633" s="1048"/>
      <c r="Q1633" s="1048"/>
      <c r="R1633" s="1048"/>
      <c r="S1633" s="1048"/>
      <c r="T1633" s="1048"/>
      <c r="U1633" s="1102"/>
    </row>
    <row r="1634" spans="2:21" hidden="1" outlineLevel="2">
      <c r="B1634" s="1050">
        <v>19</v>
      </c>
      <c r="C1634" s="1050" t="str">
        <f t="shared" si="144"/>
        <v>2010 - usage : Autres (BTP. recherche. armée. etc.), France continentale, Base Carbone</v>
      </c>
      <c r="D1634" s="1051">
        <f t="shared" si="145"/>
        <v>7</v>
      </c>
      <c r="E1634" s="1051" t="str">
        <f>IF(COUNTIF(E$1615:E1633,F1634)&gt;0,"",F1634)</f>
        <v>2008 - usage : Eclairage résidentiel, France continentale, Base Carbone</v>
      </c>
      <c r="F1634" s="1051" t="str">
        <f t="shared" si="146"/>
        <v>2008 - usage : Eclairage résidentiel, France continentale, Base Carbone</v>
      </c>
      <c r="G1634" s="1055" t="str">
        <f t="shared" si="147"/>
        <v>2008 - usage : Eclairage résidentiel, France continentale, Base Carbone; kgCO2e/kWh, Combustion à la centrale</v>
      </c>
      <c r="I1634" s="2018" t="s">
        <v>1693</v>
      </c>
      <c r="J1634" s="1135" t="s">
        <v>1681</v>
      </c>
      <c r="K1634" s="1119" t="s">
        <v>1567</v>
      </c>
      <c r="L1634" s="1135" t="s">
        <v>1571</v>
      </c>
      <c r="M1634" s="1134">
        <v>0.3</v>
      </c>
      <c r="N1634" s="1135" t="s">
        <v>1763</v>
      </c>
      <c r="O1634" s="1135">
        <v>9.0899999999999995E-2</v>
      </c>
      <c r="P1634" s="1048"/>
      <c r="Q1634" s="1048"/>
      <c r="R1634" s="1048"/>
      <c r="S1634" s="1048"/>
      <c r="T1634" s="1048"/>
      <c r="U1634" s="1102"/>
    </row>
    <row r="1635" spans="2:21" hidden="1" outlineLevel="2">
      <c r="B1635" s="1050">
        <v>20</v>
      </c>
      <c r="C1635" s="1050" t="str">
        <f t="shared" si="144"/>
        <v>2010 - usage : chauffage, France continentale, Base Carbone</v>
      </c>
      <c r="D1635" s="1051">
        <f t="shared" si="145"/>
        <v>7</v>
      </c>
      <c r="E1635" s="1051" t="str">
        <f>IF(COUNTIF(E$1615:E1634,F1635)&gt;0,"",F1635)</f>
        <v/>
      </c>
      <c r="F1635" s="1051" t="str">
        <f t="shared" si="146"/>
        <v>2008 - usage : Eclairage résidentiel, France continentale, Base Carbone</v>
      </c>
      <c r="G1635" s="1055" t="str">
        <f t="shared" si="147"/>
        <v>2008 - usage : Eclairage résidentiel, France continentale, Base Carbone; kgCO2e/kWh, Amont</v>
      </c>
      <c r="I1635" s="2018" t="s">
        <v>1693</v>
      </c>
      <c r="J1635" s="1135" t="s">
        <v>1681</v>
      </c>
      <c r="K1635" s="1119" t="s">
        <v>1567</v>
      </c>
      <c r="L1635" s="1135" t="s">
        <v>1571</v>
      </c>
      <c r="M1635" s="1134">
        <v>0.3</v>
      </c>
      <c r="N1635" s="1135" t="s">
        <v>1570</v>
      </c>
      <c r="O1635" s="1135">
        <v>1.6899999999999998E-2</v>
      </c>
      <c r="P1635" s="1048"/>
      <c r="Q1635" s="1048"/>
      <c r="R1635" s="1048"/>
      <c r="S1635" s="1048"/>
      <c r="T1635" s="1048"/>
      <c r="U1635" s="1102"/>
    </row>
    <row r="1636" spans="2:21" hidden="1" outlineLevel="2">
      <c r="B1636" s="1050">
        <v>21</v>
      </c>
      <c r="C1636" s="1050" t="str">
        <f t="shared" si="144"/>
        <v>2010 - usage : Climatisation tertiaire, France continentale, Base Carbone</v>
      </c>
      <c r="D1636" s="1051">
        <f t="shared" si="145"/>
        <v>7</v>
      </c>
      <c r="E1636" s="1051" t="str">
        <f>IF(COUNTIF(E$1615:E1635,F1636)&gt;0,"",F1636)</f>
        <v/>
      </c>
      <c r="F1636" s="1051" t="str">
        <f t="shared" si="146"/>
        <v>2008 - usage : Eclairage résidentiel, France continentale, Base Carbone</v>
      </c>
      <c r="G1636" s="1055" t="str">
        <f t="shared" si="147"/>
        <v>2008 - usage : Eclairage résidentiel, France continentale, Base Carbone; kgCO2e/kWh, Pertes</v>
      </c>
      <c r="I1636" s="2018" t="s">
        <v>1693</v>
      </c>
      <c r="J1636" s="1135" t="s">
        <v>1681</v>
      </c>
      <c r="K1636" s="1119" t="s">
        <v>1567</v>
      </c>
      <c r="L1636" s="1135" t="s">
        <v>1571</v>
      </c>
      <c r="M1636" s="1134">
        <v>0.3</v>
      </c>
      <c r="N1636" s="1135" t="s">
        <v>1766</v>
      </c>
      <c r="O1636" s="1135">
        <v>6.0000000000000001E-3</v>
      </c>
      <c r="P1636" s="1048"/>
      <c r="Q1636" s="1048"/>
      <c r="R1636" s="1048"/>
      <c r="S1636" s="1048"/>
      <c r="T1636" s="1048"/>
      <c r="U1636" s="1102"/>
    </row>
    <row r="1637" spans="2:21" hidden="1" outlineLevel="2">
      <c r="B1637" s="1050">
        <v>22</v>
      </c>
      <c r="C1637" s="1050" t="str">
        <f t="shared" si="144"/>
        <v>2010 - usage : Cuisson résidentiel, France continentale, Base Carbone</v>
      </c>
      <c r="D1637" s="1051">
        <f t="shared" si="145"/>
        <v>8</v>
      </c>
      <c r="E1637" s="1051" t="str">
        <f>IF(COUNTIF(E$1615:E1636,F1637)&gt;0,"",F1637)</f>
        <v>2008 - usage : Industrie base, France continentale, Base Carbone</v>
      </c>
      <c r="F1637" s="1051" t="str">
        <f t="shared" si="146"/>
        <v>2008 - usage : Industrie base, France continentale, Base Carbone</v>
      </c>
      <c r="G1637" s="1055" t="str">
        <f t="shared" si="147"/>
        <v>2008 - usage : Industrie base, France continentale, Base Carbone; kgCO2e/kWh, Combustion à la centrale</v>
      </c>
      <c r="I1637" s="2018" t="s">
        <v>1694</v>
      </c>
      <c r="J1637" s="1135" t="s">
        <v>1681</v>
      </c>
      <c r="K1637" s="1119" t="s">
        <v>1567</v>
      </c>
      <c r="L1637" s="1135" t="s">
        <v>1571</v>
      </c>
      <c r="M1637" s="1134">
        <v>0.3</v>
      </c>
      <c r="N1637" s="1135" t="s">
        <v>1763</v>
      </c>
      <c r="O1637" s="1135">
        <v>3.4200000000000001E-2</v>
      </c>
      <c r="P1637" s="1048"/>
      <c r="Q1637" s="1048"/>
      <c r="R1637" s="1048"/>
      <c r="S1637" s="1048"/>
      <c r="T1637" s="1048"/>
      <c r="U1637" s="1102"/>
    </row>
    <row r="1638" spans="2:21" hidden="1" outlineLevel="2">
      <c r="B1638" s="1050">
        <v>23</v>
      </c>
      <c r="C1638" s="1050" t="str">
        <f t="shared" si="144"/>
        <v>2010 - usage : Eau Chaude Sanitaire, France continentale, Base Carbone</v>
      </c>
      <c r="D1638" s="1051">
        <f t="shared" si="145"/>
        <v>8</v>
      </c>
      <c r="E1638" s="1051" t="str">
        <f>IF(COUNTIF(E$1615:E1637,F1638)&gt;0,"",F1638)</f>
        <v/>
      </c>
      <c r="F1638" s="1051" t="str">
        <f t="shared" si="146"/>
        <v>2008 - usage : Industrie base, France continentale, Base Carbone</v>
      </c>
      <c r="G1638" s="1055" t="str">
        <f t="shared" si="147"/>
        <v>2008 - usage : Industrie base, France continentale, Base Carbone; kgCO2e/kWh, Amont</v>
      </c>
      <c r="I1638" s="2018" t="s">
        <v>1694</v>
      </c>
      <c r="J1638" s="1135" t="s">
        <v>1681</v>
      </c>
      <c r="K1638" s="1119" t="s">
        <v>1567</v>
      </c>
      <c r="L1638" s="1135" t="s">
        <v>1571</v>
      </c>
      <c r="M1638" s="1134">
        <v>0.3</v>
      </c>
      <c r="N1638" s="1135" t="s">
        <v>1570</v>
      </c>
      <c r="O1638" s="1135">
        <v>0.01</v>
      </c>
      <c r="P1638" s="1048"/>
      <c r="Q1638" s="1048"/>
      <c r="R1638" s="1048"/>
      <c r="S1638" s="1048"/>
      <c r="T1638" s="1048"/>
      <c r="U1638" s="1102"/>
    </row>
    <row r="1639" spans="2:21" hidden="1" outlineLevel="2">
      <c r="B1639" s="1050">
        <v>24</v>
      </c>
      <c r="C1639" s="1050" t="str">
        <f t="shared" si="144"/>
        <v>2010 - usage : Eclairage public et Industrie, France continentale, Base Carbone</v>
      </c>
      <c r="D1639" s="1051">
        <f t="shared" si="145"/>
        <v>8</v>
      </c>
      <c r="E1639" s="1051" t="str">
        <f>IF(COUNTIF(E$1615:E1638,F1639)&gt;0,"",F1639)</f>
        <v/>
      </c>
      <c r="F1639" s="1051" t="str">
        <f t="shared" si="146"/>
        <v>2008 - usage : Industrie base, France continentale, Base Carbone</v>
      </c>
      <c r="G1639" s="1055" t="str">
        <f t="shared" si="147"/>
        <v>2008 - usage : Industrie base, France continentale, Base Carbone; kgCO2e/kWh, Pertes</v>
      </c>
      <c r="I1639" s="2018" t="s">
        <v>1694</v>
      </c>
      <c r="J1639" s="1135" t="s">
        <v>1681</v>
      </c>
      <c r="K1639" s="1119" t="s">
        <v>1567</v>
      </c>
      <c r="L1639" s="1135" t="s">
        <v>1571</v>
      </c>
      <c r="M1639" s="1134">
        <v>0.3</v>
      </c>
      <c r="N1639" s="1135" t="s">
        <v>1766</v>
      </c>
      <c r="O1639" s="1135">
        <v>6.0000000000000001E-3</v>
      </c>
      <c r="P1639" s="1048"/>
      <c r="Q1639" s="1048"/>
      <c r="R1639" s="1048"/>
      <c r="S1639" s="1048"/>
      <c r="T1639" s="1048"/>
      <c r="U1639" s="1102"/>
    </row>
    <row r="1640" spans="2:21" hidden="1" outlineLevel="2">
      <c r="B1640" s="1050">
        <v>25</v>
      </c>
      <c r="C1640" s="1050" t="str">
        <f t="shared" si="144"/>
        <v>2010 - usage : Eclairage résidentiel, France continentale, Base Carbone</v>
      </c>
      <c r="D1640" s="1051">
        <f t="shared" si="145"/>
        <v>9</v>
      </c>
      <c r="E1640" s="1051" t="str">
        <f>IF(COUNTIF(E$1615:E1639,F1640)&gt;0,"",F1640)</f>
        <v>2008 - usage : Transports, France continentale, Base Carbone</v>
      </c>
      <c r="F1640" s="1051" t="str">
        <f t="shared" si="146"/>
        <v>2008 - usage : Transports, France continentale, Base Carbone</v>
      </c>
      <c r="G1640" s="1055" t="str">
        <f t="shared" si="147"/>
        <v>2008 - usage : Transports, France continentale, Base Carbone; kgCO2e/kWh, Combustion à la centrale</v>
      </c>
      <c r="I1640" s="2018" t="s">
        <v>1695</v>
      </c>
      <c r="J1640" s="1135" t="s">
        <v>1681</v>
      </c>
      <c r="K1640" s="1119" t="s">
        <v>1567</v>
      </c>
      <c r="L1640" s="1135" t="s">
        <v>1571</v>
      </c>
      <c r="M1640" s="1134">
        <v>0.3</v>
      </c>
      <c r="N1640" s="1135" t="s">
        <v>1763</v>
      </c>
      <c r="O1640" s="1135">
        <v>3.2199999999999999E-2</v>
      </c>
      <c r="P1640" s="1048"/>
      <c r="Q1640" s="1048"/>
      <c r="R1640" s="1048"/>
      <c r="S1640" s="1048"/>
      <c r="T1640" s="1048"/>
      <c r="U1640" s="1102"/>
    </row>
    <row r="1641" spans="2:21" hidden="1" outlineLevel="2">
      <c r="B1641" s="1050">
        <v>26</v>
      </c>
      <c r="C1641" s="1050" t="str">
        <f t="shared" si="144"/>
        <v>2010 - usage : Industrie base, France continentale, Base Carbone</v>
      </c>
      <c r="D1641" s="1051">
        <f t="shared" si="145"/>
        <v>9</v>
      </c>
      <c r="E1641" s="1051" t="str">
        <f>IF(COUNTIF(E$1615:E1640,F1641)&gt;0,"",F1641)</f>
        <v/>
      </c>
      <c r="F1641" s="1051" t="str">
        <f t="shared" si="146"/>
        <v>2008 - usage : Transports, France continentale, Base Carbone</v>
      </c>
      <c r="G1641" s="1055" t="str">
        <f t="shared" si="147"/>
        <v>2008 - usage : Transports, France continentale, Base Carbone; kgCO2e/kWh, Amont</v>
      </c>
      <c r="I1641" s="2018" t="s">
        <v>1695</v>
      </c>
      <c r="J1641" s="1135" t="s">
        <v>1681</v>
      </c>
      <c r="K1641" s="1119" t="s">
        <v>1567</v>
      </c>
      <c r="L1641" s="1135" t="s">
        <v>1571</v>
      </c>
      <c r="M1641" s="1134">
        <v>0.3</v>
      </c>
      <c r="N1641" s="1135" t="s">
        <v>1570</v>
      </c>
      <c r="O1641" s="1135">
        <v>0.01</v>
      </c>
      <c r="P1641" s="1048"/>
      <c r="Q1641" s="1048"/>
      <c r="R1641" s="1048"/>
      <c r="S1641" s="1048"/>
      <c r="T1641" s="1048"/>
      <c r="U1641" s="1102"/>
    </row>
    <row r="1642" spans="2:21" hidden="1" outlineLevel="2">
      <c r="B1642" s="1050">
        <v>27</v>
      </c>
      <c r="C1642" s="1050" t="str">
        <f t="shared" si="144"/>
        <v>2010 - usage : Transports, France continentale, Base Carbone</v>
      </c>
      <c r="D1642" s="1051">
        <f t="shared" si="145"/>
        <v>9</v>
      </c>
      <c r="E1642" s="1051" t="str">
        <f>IF(COUNTIF(E$1615:E1641,F1642)&gt;0,"",F1642)</f>
        <v/>
      </c>
      <c r="F1642" s="1051" t="str">
        <f t="shared" si="146"/>
        <v>2008 - usage : Transports, France continentale, Base Carbone</v>
      </c>
      <c r="G1642" s="1055" t="str">
        <f t="shared" si="147"/>
        <v>2008 - usage : Transports, France continentale, Base Carbone; kgCO2e/kWh, Pertes</v>
      </c>
      <c r="I1642" s="2018" t="s">
        <v>1695</v>
      </c>
      <c r="J1642" s="1135" t="s">
        <v>1681</v>
      </c>
      <c r="K1642" s="1119" t="s">
        <v>1567</v>
      </c>
      <c r="L1642" s="1135" t="s">
        <v>1571</v>
      </c>
      <c r="M1642" s="1134">
        <v>0.3</v>
      </c>
      <c r="N1642" s="1135" t="s">
        <v>1766</v>
      </c>
      <c r="O1642" s="1135">
        <v>6.0000000000000001E-3</v>
      </c>
      <c r="P1642" s="1048"/>
      <c r="Q1642" s="1048"/>
      <c r="R1642" s="1048"/>
      <c r="S1642" s="1048"/>
      <c r="T1642" s="1048"/>
      <c r="U1642" s="1102"/>
    </row>
    <row r="1643" spans="2:21" hidden="1" outlineLevel="2">
      <c r="B1643" s="1050">
        <v>28</v>
      </c>
      <c r="C1643" s="1050" t="str">
        <f t="shared" si="144"/>
        <v>2011 - usage : Autres (BTP. recherche. armée. etc.), France continentale, Base Carbone</v>
      </c>
      <c r="D1643" s="1051">
        <f t="shared" si="145"/>
        <v>9</v>
      </c>
      <c r="E1643" s="1051" t="str">
        <f>IF(COUNTIF(E$1615:E1642,F1643)&gt;0,"",F1643)</f>
        <v/>
      </c>
      <c r="F1643" s="1051" t="str">
        <f t="shared" si="146"/>
        <v/>
      </c>
      <c r="G1643" s="1055" t="str">
        <f t="shared" si="147"/>
        <v/>
      </c>
      <c r="I1643" s="2018"/>
      <c r="J1643" s="1135"/>
      <c r="K1643" s="1119"/>
      <c r="L1643" s="1135"/>
      <c r="M1643" s="1134"/>
      <c r="N1643" s="1135"/>
      <c r="O1643" s="1135"/>
      <c r="P1643" s="1048"/>
      <c r="Q1643" s="1048"/>
      <c r="R1643" s="1048"/>
      <c r="S1643" s="1048"/>
      <c r="T1643" s="1048"/>
      <c r="U1643" s="1102"/>
    </row>
    <row r="1644" spans="2:21" hidden="1" outlineLevel="2">
      <c r="B1644" s="1050">
        <v>29</v>
      </c>
      <c r="C1644" s="1050" t="str">
        <f t="shared" si="144"/>
        <v>2011 - usage : chauffage, France continentale, Base Carbone</v>
      </c>
      <c r="D1644" s="1051">
        <f t="shared" si="145"/>
        <v>10</v>
      </c>
      <c r="E1644" s="1051" t="str">
        <f>IF(COUNTIF(E$1615:E1643,F1644)&gt;0,"",F1644)</f>
        <v>2009 - usage : Autres (BTP. recherche. armée. etc.), France continentale, Base Carbone</v>
      </c>
      <c r="F1644" s="1051" t="str">
        <f t="shared" si="146"/>
        <v>2009 - usage : Autres (BTP. recherche. armée. etc.), France continentale, Base Carbone</v>
      </c>
      <c r="G1644" s="1055" t="str">
        <f t="shared" si="147"/>
        <v>2009 - usage : Autres (BTP. recherche. armée. etc.), France continentale, Base Carbone; kgCO2e/kWh, Combustion à la centrale</v>
      </c>
      <c r="I1644" s="2018" t="s">
        <v>1697</v>
      </c>
      <c r="J1644" s="1135" t="s">
        <v>1681</v>
      </c>
      <c r="K1644" s="1119" t="s">
        <v>1567</v>
      </c>
      <c r="L1644" s="1135" t="s">
        <v>1571</v>
      </c>
      <c r="M1644" s="1134">
        <v>0.3</v>
      </c>
      <c r="N1644" s="1135" t="s">
        <v>1763</v>
      </c>
      <c r="O1644" s="1135">
        <v>3.3300000000000003E-2</v>
      </c>
      <c r="P1644" s="1048"/>
      <c r="Q1644" s="1048"/>
      <c r="R1644" s="1048"/>
      <c r="S1644" s="1048"/>
      <c r="T1644" s="1048"/>
      <c r="U1644" s="1102"/>
    </row>
    <row r="1645" spans="2:21" hidden="1" outlineLevel="2">
      <c r="B1645" s="1050">
        <v>30</v>
      </c>
      <c r="C1645" s="1050" t="str">
        <f t="shared" si="144"/>
        <v>2011 - usage : Climatisation tertiaire, France continentale, Base Carbone</v>
      </c>
      <c r="D1645" s="1051">
        <f t="shared" si="145"/>
        <v>10</v>
      </c>
      <c r="E1645" s="1051" t="str">
        <f>IF(COUNTIF(E$1615:E1644,F1645)&gt;0,"",F1645)</f>
        <v/>
      </c>
      <c r="F1645" s="1051" t="str">
        <f t="shared" si="146"/>
        <v>2009 - usage : Autres (BTP. recherche. armée. etc.), France continentale, Base Carbone</v>
      </c>
      <c r="G1645" s="1055" t="str">
        <f t="shared" si="147"/>
        <v>2009 - usage : Autres (BTP. recherche. armée. etc.), France continentale, Base Carbone; kgCO2e/kWh, Amont</v>
      </c>
      <c r="I1645" s="2018" t="s">
        <v>1697</v>
      </c>
      <c r="J1645" s="1135" t="s">
        <v>1681</v>
      </c>
      <c r="K1645" s="1119" t="s">
        <v>1567</v>
      </c>
      <c r="L1645" s="1135" t="s">
        <v>1571</v>
      </c>
      <c r="M1645" s="1134">
        <v>0.3</v>
      </c>
      <c r="N1645" s="1135" t="s">
        <v>1570</v>
      </c>
      <c r="O1645" s="1135">
        <v>1.01E-2</v>
      </c>
      <c r="P1645" s="1048"/>
      <c r="Q1645" s="1048"/>
      <c r="R1645" s="1048"/>
      <c r="S1645" s="1048"/>
      <c r="T1645" s="1048"/>
      <c r="U1645" s="1102"/>
    </row>
    <row r="1646" spans="2:21" hidden="1" outlineLevel="2">
      <c r="B1646" s="1050">
        <v>31</v>
      </c>
      <c r="C1646" s="1050" t="str">
        <f t="shared" si="144"/>
        <v>2011 - usage : Cuisson résidentiel, France continentale, Base Carbone</v>
      </c>
      <c r="D1646" s="1051">
        <f t="shared" si="145"/>
        <v>10</v>
      </c>
      <c r="E1646" s="1051" t="str">
        <f>IF(COUNTIF(E$1615:E1645,F1646)&gt;0,"",F1646)</f>
        <v/>
      </c>
      <c r="F1646" s="1051" t="str">
        <f t="shared" si="146"/>
        <v>2009 - usage : Autres (BTP. recherche. armée. etc.), France continentale, Base Carbone</v>
      </c>
      <c r="G1646" s="1055" t="str">
        <f t="shared" si="147"/>
        <v>2009 - usage : Autres (BTP. recherche. armée. etc.), France continentale, Base Carbone; kgCO2e/kWh, Pertes</v>
      </c>
      <c r="I1646" s="2018" t="s">
        <v>1697</v>
      </c>
      <c r="J1646" s="1135" t="s">
        <v>1681</v>
      </c>
      <c r="K1646" s="1119" t="s">
        <v>1567</v>
      </c>
      <c r="L1646" s="1135" t="s">
        <v>1571</v>
      </c>
      <c r="M1646" s="1134">
        <v>0.3</v>
      </c>
      <c r="N1646" s="1135" t="s">
        <v>1766</v>
      </c>
      <c r="O1646" s="1135">
        <v>6.0000000000000001E-3</v>
      </c>
      <c r="P1646" s="1048"/>
      <c r="Q1646" s="1048"/>
      <c r="R1646" s="1048"/>
      <c r="S1646" s="1048"/>
      <c r="T1646" s="1048"/>
      <c r="U1646" s="1102"/>
    </row>
    <row r="1647" spans="2:21" hidden="1" outlineLevel="2">
      <c r="B1647" s="1050">
        <v>32</v>
      </c>
      <c r="C1647" s="1050" t="str">
        <f t="shared" si="144"/>
        <v>2011 - usage : Eau Chaude Sanitaire, France continentale, Base Carbone</v>
      </c>
      <c r="D1647" s="1051">
        <f t="shared" si="145"/>
        <v>11</v>
      </c>
      <c r="E1647" s="1051" t="str">
        <f>IF(COUNTIF(E$1615:E1646,F1647)&gt;0,"",F1647)</f>
        <v>2009 - usage : chauffage, France continentale, Base Carbone</v>
      </c>
      <c r="F1647" s="1051" t="str">
        <f t="shared" si="146"/>
        <v>2009 - usage : chauffage, France continentale, Base Carbone</v>
      </c>
      <c r="G1647" s="1055" t="str">
        <f t="shared" si="147"/>
        <v>2009 - usage : chauffage, France continentale, Base Carbone; kgCO2e/kWh, Combustion à la centrale</v>
      </c>
      <c r="I1647" s="2018" t="s">
        <v>1698</v>
      </c>
      <c r="J1647" s="1135" t="s">
        <v>1681</v>
      </c>
      <c r="K1647" s="1119" t="s">
        <v>1567</v>
      </c>
      <c r="L1647" s="1135" t="s">
        <v>1571</v>
      </c>
      <c r="M1647" s="1134">
        <v>0.3</v>
      </c>
      <c r="N1647" s="1135" t="s">
        <v>1763</v>
      </c>
      <c r="O1647" s="1135">
        <v>0.17799999999999999</v>
      </c>
      <c r="P1647" s="1048"/>
      <c r="Q1647" s="1048"/>
      <c r="R1647" s="1158"/>
      <c r="S1647" s="1048"/>
      <c r="T1647" s="1048"/>
      <c r="U1647" s="1102"/>
    </row>
    <row r="1648" spans="2:21" hidden="1" outlineLevel="2">
      <c r="B1648" s="1050">
        <v>33</v>
      </c>
      <c r="C1648" s="1050" t="str">
        <f t="shared" si="144"/>
        <v>2011 - usage : Eclairage public et Industrie, France continentale, Base Carbone</v>
      </c>
      <c r="D1648" s="1051">
        <f t="shared" si="145"/>
        <v>11</v>
      </c>
      <c r="E1648" s="1051" t="str">
        <f>IF(COUNTIF(E$1615:E1647,F1648)&gt;0,"",F1648)</f>
        <v/>
      </c>
      <c r="F1648" s="1051" t="str">
        <f t="shared" si="146"/>
        <v>2009 - usage : chauffage, France continentale, Base Carbone</v>
      </c>
      <c r="G1648" s="1055" t="str">
        <f t="shared" si="147"/>
        <v>2009 - usage : chauffage, France continentale, Base Carbone; kgCO2e/kWh, Amont</v>
      </c>
      <c r="I1648" s="2018" t="s">
        <v>1698</v>
      </c>
      <c r="J1648" s="1135" t="s">
        <v>1681</v>
      </c>
      <c r="K1648" s="1119" t="s">
        <v>1567</v>
      </c>
      <c r="L1648" s="1135" t="s">
        <v>1571</v>
      </c>
      <c r="M1648" s="1134">
        <v>0.3</v>
      </c>
      <c r="N1648" s="1135" t="s">
        <v>1570</v>
      </c>
      <c r="O1648" s="1135">
        <v>2.7199999999999998E-2</v>
      </c>
      <c r="P1648" s="1048"/>
      <c r="Q1648" s="1048"/>
      <c r="R1648" s="1158"/>
      <c r="S1648" s="1048"/>
      <c r="T1648" s="1048"/>
      <c r="U1648" s="1102"/>
    </row>
    <row r="1649" spans="2:21" hidden="1" outlineLevel="2">
      <c r="B1649" s="1050">
        <v>34</v>
      </c>
      <c r="C1649" s="1050" t="str">
        <f t="shared" si="144"/>
        <v>2011 - usage : Eclairage résidentiel, France continentale, Base Carbone</v>
      </c>
      <c r="D1649" s="1051">
        <f t="shared" si="145"/>
        <v>11</v>
      </c>
      <c r="E1649" s="1051" t="str">
        <f>IF(COUNTIF(E$1615:E1648,F1649)&gt;0,"",F1649)</f>
        <v/>
      </c>
      <c r="F1649" s="1051" t="str">
        <f t="shared" si="146"/>
        <v>2009 - usage : chauffage, France continentale, Base Carbone</v>
      </c>
      <c r="G1649" s="1055" t="str">
        <f t="shared" si="147"/>
        <v>2009 - usage : chauffage, France continentale, Base Carbone; kgCO2e/kWh, Pertes</v>
      </c>
      <c r="I1649" s="2018" t="s">
        <v>1698</v>
      </c>
      <c r="J1649" s="1135" t="s">
        <v>1681</v>
      </c>
      <c r="K1649" s="1119" t="s">
        <v>1567</v>
      </c>
      <c r="L1649" s="1135" t="s">
        <v>1571</v>
      </c>
      <c r="M1649" s="1134">
        <v>0.3</v>
      </c>
      <c r="N1649" s="1135" t="s">
        <v>1766</v>
      </c>
      <c r="O1649" s="1135">
        <v>6.0000000000000001E-3</v>
      </c>
      <c r="P1649" s="1048"/>
      <c r="Q1649" s="1048"/>
      <c r="R1649" s="1158"/>
      <c r="S1649" s="1048"/>
      <c r="T1649" s="1048"/>
      <c r="U1649" s="1102"/>
    </row>
    <row r="1650" spans="2:21" hidden="1" outlineLevel="2">
      <c r="B1650" s="1050">
        <v>35</v>
      </c>
      <c r="C1650" s="1050" t="str">
        <f t="shared" si="144"/>
        <v>2011 - usage : Industrie base, France continentale, Base Carbone</v>
      </c>
      <c r="D1650" s="1051">
        <f t="shared" si="145"/>
        <v>12</v>
      </c>
      <c r="E1650" s="1051" t="str">
        <f>IF(COUNTIF(E$1615:E1649,F1650)&gt;0,"",F1650)</f>
        <v>2009 - usage : Climatisation tertiaire, France continentale, Base Carbone</v>
      </c>
      <c r="F1650" s="1051" t="str">
        <f t="shared" si="146"/>
        <v>2009 - usage : Climatisation tertiaire, France continentale, Base Carbone</v>
      </c>
      <c r="G1650" s="1055" t="str">
        <f t="shared" si="147"/>
        <v>2009 - usage : Climatisation tertiaire, France continentale, Base Carbone; kgCO2e/kWh, Combustion à la centrale</v>
      </c>
      <c r="I1650" s="2018" t="s">
        <v>1699</v>
      </c>
      <c r="J1650" s="1135" t="s">
        <v>1681</v>
      </c>
      <c r="K1650" s="1119" t="s">
        <v>1567</v>
      </c>
      <c r="L1650" s="1135" t="s">
        <v>1571</v>
      </c>
      <c r="M1650" s="1134">
        <v>0.3</v>
      </c>
      <c r="N1650" s="1135" t="s">
        <v>1763</v>
      </c>
      <c r="O1650" s="1135">
        <v>4.0599999999999997E-2</v>
      </c>
      <c r="P1650" s="1048"/>
      <c r="Q1650" s="1048"/>
      <c r="R1650" s="1158"/>
      <c r="S1650" s="1048"/>
      <c r="T1650" s="1048"/>
      <c r="U1650" s="1102"/>
    </row>
    <row r="1651" spans="2:21" hidden="1" outlineLevel="2">
      <c r="B1651" s="1050">
        <v>36</v>
      </c>
      <c r="C1651" s="1050" t="str">
        <f t="shared" si="144"/>
        <v>2011 - usage : Transports, France continentale, Base Carbone</v>
      </c>
      <c r="D1651" s="1051">
        <f t="shared" si="145"/>
        <v>12</v>
      </c>
      <c r="E1651" s="1051" t="str">
        <f>IF(COUNTIF(E$1615:E1650,F1651)&gt;0,"",F1651)</f>
        <v/>
      </c>
      <c r="F1651" s="1051" t="str">
        <f t="shared" si="146"/>
        <v>2009 - usage : Climatisation tertiaire, France continentale, Base Carbone</v>
      </c>
      <c r="G1651" s="1055" t="str">
        <f t="shared" si="147"/>
        <v>2009 - usage : Climatisation tertiaire, France continentale, Base Carbone; kgCO2e/kWh, Amont</v>
      </c>
      <c r="I1651" s="2018" t="s">
        <v>1699</v>
      </c>
      <c r="J1651" s="1135" t="s">
        <v>1681</v>
      </c>
      <c r="K1651" s="1119" t="s">
        <v>1567</v>
      </c>
      <c r="L1651" s="1135" t="s">
        <v>1571</v>
      </c>
      <c r="M1651" s="1134">
        <v>0.3</v>
      </c>
      <c r="N1651" s="1135" t="s">
        <v>1570</v>
      </c>
      <c r="O1651" s="1135">
        <v>1.0999999999999999E-2</v>
      </c>
      <c r="P1651" s="1048"/>
      <c r="Q1651" s="1048"/>
      <c r="R1651" s="1158"/>
      <c r="S1651" s="1048"/>
      <c r="T1651" s="1048"/>
      <c r="U1651" s="1102"/>
    </row>
    <row r="1652" spans="2:21" hidden="1" outlineLevel="2">
      <c r="B1652" s="1050">
        <v>37</v>
      </c>
      <c r="C1652" s="1050" t="str">
        <f t="shared" si="144"/>
        <v>2012 - usage : Autres (BTP. recherche. armée. etc.), France continentale, Base Carbone</v>
      </c>
      <c r="D1652" s="1051">
        <f t="shared" si="145"/>
        <v>12</v>
      </c>
      <c r="E1652" s="1051" t="str">
        <f>IF(COUNTIF(E$1615:E1651,F1652)&gt;0,"",F1652)</f>
        <v/>
      </c>
      <c r="F1652" s="1051" t="str">
        <f t="shared" si="146"/>
        <v>2009 - usage : Climatisation tertiaire, France continentale, Base Carbone</v>
      </c>
      <c r="G1652" s="1055" t="str">
        <f t="shared" si="147"/>
        <v>2009 - usage : Climatisation tertiaire, France continentale, Base Carbone; kgCO2e/kWh, Pertes</v>
      </c>
      <c r="I1652" s="2018" t="s">
        <v>1699</v>
      </c>
      <c r="J1652" s="1135" t="s">
        <v>1681</v>
      </c>
      <c r="K1652" s="1119" t="s">
        <v>1567</v>
      </c>
      <c r="L1652" s="1135" t="s">
        <v>1571</v>
      </c>
      <c r="M1652" s="1134">
        <v>0.3</v>
      </c>
      <c r="N1652" s="1135" t="s">
        <v>1766</v>
      </c>
      <c r="O1652" s="1135">
        <v>6.0000000000000001E-3</v>
      </c>
      <c r="P1652" s="1048"/>
      <c r="Q1652" s="1048"/>
      <c r="R1652" s="1158"/>
      <c r="S1652" s="1048"/>
      <c r="T1652" s="1048"/>
      <c r="U1652" s="1102"/>
    </row>
    <row r="1653" spans="2:21" hidden="1" outlineLevel="2">
      <c r="B1653" s="1050">
        <v>38</v>
      </c>
      <c r="C1653" s="1050" t="str">
        <f t="shared" si="144"/>
        <v>2012 - usage : chauffage, France continentale, Base Carbone</v>
      </c>
      <c r="D1653" s="1051">
        <f t="shared" si="145"/>
        <v>13</v>
      </c>
      <c r="E1653" s="1051" t="str">
        <f>IF(COUNTIF(E$1615:E1652,F1653)&gt;0,"",F1653)</f>
        <v>2009 - usage : Cuisson résidentiel, France continentale, Base Carbone</v>
      </c>
      <c r="F1653" s="1051" t="str">
        <f t="shared" si="146"/>
        <v>2009 - usage : Cuisson résidentiel, France continentale, Base Carbone</v>
      </c>
      <c r="G1653" s="1055" t="str">
        <f t="shared" si="147"/>
        <v>2009 - usage : Cuisson résidentiel, France continentale, Base Carbone; kgCO2e/kWh, Combustion à la centrale</v>
      </c>
      <c r="I1653" s="2018" t="s">
        <v>1700</v>
      </c>
      <c r="J1653" s="1135" t="s">
        <v>1681</v>
      </c>
      <c r="K1653" s="1119" t="s">
        <v>1567</v>
      </c>
      <c r="L1653" s="1135" t="s">
        <v>1571</v>
      </c>
      <c r="M1653" s="1134">
        <v>0.3</v>
      </c>
      <c r="N1653" s="1135" t="s">
        <v>1763</v>
      </c>
      <c r="O1653" s="1135">
        <v>5.5100000000000003E-2</v>
      </c>
      <c r="P1653" s="1048"/>
      <c r="Q1653" s="1048"/>
      <c r="R1653" s="1158"/>
      <c r="S1653" s="1048"/>
      <c r="T1653" s="1048"/>
      <c r="U1653" s="1102"/>
    </row>
    <row r="1654" spans="2:21" hidden="1" outlineLevel="2">
      <c r="B1654" s="1050">
        <v>39</v>
      </c>
      <c r="C1654" s="1050" t="str">
        <f t="shared" si="144"/>
        <v>2012 - usage : Climatisation tertiaire, France continentale, Base Carbone</v>
      </c>
      <c r="D1654" s="1051">
        <f t="shared" si="145"/>
        <v>13</v>
      </c>
      <c r="E1654" s="1051" t="str">
        <f>IF(COUNTIF(E$1615:E1653,F1654)&gt;0,"",F1654)</f>
        <v/>
      </c>
      <c r="F1654" s="1051" t="str">
        <f t="shared" si="146"/>
        <v>2009 - usage : Cuisson résidentiel, France continentale, Base Carbone</v>
      </c>
      <c r="G1654" s="1055" t="str">
        <f t="shared" si="147"/>
        <v>2009 - usage : Cuisson résidentiel, France continentale, Base Carbone; kgCO2e/kWh, Amont</v>
      </c>
      <c r="I1654" s="2018" t="s">
        <v>1700</v>
      </c>
      <c r="J1654" s="1135" t="s">
        <v>1681</v>
      </c>
      <c r="K1654" s="1119" t="s">
        <v>1567</v>
      </c>
      <c r="L1654" s="1135" t="s">
        <v>1571</v>
      </c>
      <c r="M1654" s="1134">
        <v>0.3</v>
      </c>
      <c r="N1654" s="1135" t="s">
        <v>1570</v>
      </c>
      <c r="O1654" s="1135">
        <v>1.2699999999999999E-2</v>
      </c>
      <c r="P1654" s="1048"/>
      <c r="Q1654" s="1048"/>
      <c r="R1654" s="1158"/>
      <c r="S1654" s="1048"/>
      <c r="T1654" s="1048"/>
      <c r="U1654" s="1102"/>
    </row>
    <row r="1655" spans="2:21" hidden="1" outlineLevel="2">
      <c r="B1655" s="1050">
        <v>40</v>
      </c>
      <c r="C1655" s="1050" t="str">
        <f t="shared" si="144"/>
        <v>2012 - usage : Cuisson résidentiel, France continentale, Base Carbone</v>
      </c>
      <c r="D1655" s="1051">
        <f t="shared" si="145"/>
        <v>13</v>
      </c>
      <c r="E1655" s="1051" t="str">
        <f>IF(COUNTIF(E$1615:E1654,F1655)&gt;0,"",F1655)</f>
        <v/>
      </c>
      <c r="F1655" s="1051" t="str">
        <f t="shared" si="146"/>
        <v>2009 - usage : Cuisson résidentiel, France continentale, Base Carbone</v>
      </c>
      <c r="G1655" s="1055" t="str">
        <f t="shared" si="147"/>
        <v>2009 - usage : Cuisson résidentiel, France continentale, Base Carbone; kgCO2e/kWh, Pertes</v>
      </c>
      <c r="I1655" s="2018" t="s">
        <v>1700</v>
      </c>
      <c r="J1655" s="1135" t="s">
        <v>1681</v>
      </c>
      <c r="K1655" s="1119" t="s">
        <v>1567</v>
      </c>
      <c r="L1655" s="1135" t="s">
        <v>1571</v>
      </c>
      <c r="M1655" s="1134">
        <v>0.3</v>
      </c>
      <c r="N1655" s="1135" t="s">
        <v>1766</v>
      </c>
      <c r="O1655" s="1135">
        <v>6.0000000000000001E-3</v>
      </c>
      <c r="P1655" s="1048"/>
      <c r="Q1655" s="1048"/>
      <c r="R1655" s="1158"/>
      <c r="S1655" s="1048"/>
      <c r="T1655" s="1048"/>
      <c r="U1655" s="1102"/>
    </row>
    <row r="1656" spans="2:21" hidden="1" outlineLevel="2">
      <c r="B1656" s="1050">
        <v>41</v>
      </c>
      <c r="C1656" s="1050" t="str">
        <f t="shared" si="144"/>
        <v>2012 - usage : Eau Chaude Sanitaire, France continentale, Base Carbone</v>
      </c>
      <c r="D1656" s="1051">
        <f t="shared" si="145"/>
        <v>14</v>
      </c>
      <c r="E1656" s="1051" t="str">
        <f>IF(COUNTIF(E$1615:E1655,F1656)&gt;0,"",F1656)</f>
        <v>2009 - usage : Eau Chaude Sanitaire, France continentale, Base Carbone</v>
      </c>
      <c r="F1656" s="1051" t="str">
        <f t="shared" si="146"/>
        <v>2009 - usage : Eau Chaude Sanitaire, France continentale, Base Carbone</v>
      </c>
      <c r="G1656" s="1055" t="str">
        <f t="shared" si="147"/>
        <v>2009 - usage : Eau Chaude Sanitaire, France continentale, Base Carbone; kgCO2e/kWh, Combustion à la centrale</v>
      </c>
      <c r="I1656" s="2018" t="s">
        <v>1701</v>
      </c>
      <c r="J1656" s="1135" t="s">
        <v>1681</v>
      </c>
      <c r="K1656" s="1119" t="s">
        <v>1567</v>
      </c>
      <c r="L1656" s="1135" t="s">
        <v>1571</v>
      </c>
      <c r="M1656" s="1134">
        <v>0.3</v>
      </c>
      <c r="N1656" s="1135" t="s">
        <v>1763</v>
      </c>
      <c r="O1656" s="1135">
        <v>4.0099999999999997E-2</v>
      </c>
      <c r="P1656" s="1048"/>
      <c r="Q1656" s="1048"/>
      <c r="R1656" s="1158"/>
      <c r="S1656" s="1048"/>
      <c r="T1656" s="1048"/>
      <c r="U1656" s="1102"/>
    </row>
    <row r="1657" spans="2:21" hidden="1" outlineLevel="2">
      <c r="B1657" s="1050">
        <v>42</v>
      </c>
      <c r="C1657" s="1050" t="str">
        <f t="shared" si="144"/>
        <v>2012 - usage : Eclairage public et Industrie, France continentale, Base Carbone</v>
      </c>
      <c r="D1657" s="1051">
        <f t="shared" si="145"/>
        <v>14</v>
      </c>
      <c r="E1657" s="1051" t="str">
        <f>IF(COUNTIF(E$1615:E1656,F1657)&gt;0,"",F1657)</f>
        <v/>
      </c>
      <c r="F1657" s="1051" t="str">
        <f t="shared" si="146"/>
        <v>2009 - usage : Eau Chaude Sanitaire, France continentale, Base Carbone</v>
      </c>
      <c r="G1657" s="1055" t="str">
        <f t="shared" si="147"/>
        <v>2009 - usage : Eau Chaude Sanitaire, France continentale, Base Carbone; kgCO2e/kWh, Amont</v>
      </c>
      <c r="I1657" s="2018" t="s">
        <v>1701</v>
      </c>
      <c r="J1657" s="1135" t="s">
        <v>1681</v>
      </c>
      <c r="K1657" s="1119" t="s">
        <v>1567</v>
      </c>
      <c r="L1657" s="1135" t="s">
        <v>1571</v>
      </c>
      <c r="M1657" s="1134">
        <v>0.3</v>
      </c>
      <c r="N1657" s="1135" t="s">
        <v>1570</v>
      </c>
      <c r="O1657" s="1135">
        <v>1.09E-2</v>
      </c>
      <c r="P1657" s="1048"/>
      <c r="Q1657" s="1048"/>
      <c r="R1657" s="1158"/>
      <c r="S1657" s="1048"/>
      <c r="T1657" s="1048"/>
      <c r="U1657" s="1102"/>
    </row>
    <row r="1658" spans="2:21" hidden="1" outlineLevel="2">
      <c r="B1658" s="1050">
        <v>43</v>
      </c>
      <c r="C1658" s="1050" t="str">
        <f t="shared" si="144"/>
        <v>2012 - usage : Eclairage résidentiel, France continentale, Base Carbone</v>
      </c>
      <c r="D1658" s="1051">
        <f t="shared" si="145"/>
        <v>14</v>
      </c>
      <c r="E1658" s="1051" t="str">
        <f>IF(COUNTIF(E$1615:E1657,F1658)&gt;0,"",F1658)</f>
        <v/>
      </c>
      <c r="F1658" s="1051" t="str">
        <f t="shared" si="146"/>
        <v>2009 - usage : Eau Chaude Sanitaire, France continentale, Base Carbone</v>
      </c>
      <c r="G1658" s="1055" t="str">
        <f t="shared" si="147"/>
        <v>2009 - usage : Eau Chaude Sanitaire, France continentale, Base Carbone; kgCO2e/kWh, Pertes</v>
      </c>
      <c r="I1658" s="2018" t="s">
        <v>1701</v>
      </c>
      <c r="J1658" s="1135" t="s">
        <v>1681</v>
      </c>
      <c r="K1658" s="1119" t="s">
        <v>1567</v>
      </c>
      <c r="L1658" s="1135" t="s">
        <v>1571</v>
      </c>
      <c r="M1658" s="1134">
        <v>0.3</v>
      </c>
      <c r="N1658" s="1135" t="s">
        <v>1766</v>
      </c>
      <c r="O1658" s="1135">
        <v>6.0000000000000001E-3</v>
      </c>
      <c r="P1658" s="1048"/>
      <c r="Q1658" s="1048"/>
      <c r="R1658" s="1158"/>
      <c r="S1658" s="1048"/>
      <c r="T1658" s="1048"/>
      <c r="U1658" s="1102"/>
    </row>
    <row r="1659" spans="2:21" hidden="1" outlineLevel="2">
      <c r="B1659" s="1050">
        <v>44</v>
      </c>
      <c r="C1659" s="1050" t="str">
        <f t="shared" si="144"/>
        <v>2012 - usage : Industrie base, France continentale, Base Carbone</v>
      </c>
      <c r="D1659" s="1051">
        <f t="shared" si="145"/>
        <v>15</v>
      </c>
      <c r="E1659" s="1051" t="str">
        <f>IF(COUNTIF(E$1615:E1658,F1659)&gt;0,"",F1659)</f>
        <v>2009 - usage : Eclairage public et Industrie, France continentale, Base Carbone</v>
      </c>
      <c r="F1659" s="1051" t="str">
        <f t="shared" si="146"/>
        <v>2009 - usage : Eclairage public et Industrie, France continentale, Base Carbone</v>
      </c>
      <c r="G1659" s="1055" t="str">
        <f t="shared" si="147"/>
        <v>2009 - usage : Eclairage public et Industrie, France continentale, Base Carbone; kgCO2e/kWh, Combustion à la centrale</v>
      </c>
      <c r="I1659" s="2018" t="s">
        <v>1702</v>
      </c>
      <c r="J1659" s="1135" t="s">
        <v>1681</v>
      </c>
      <c r="K1659" s="1119" t="s">
        <v>1567</v>
      </c>
      <c r="L1659" s="1135" t="s">
        <v>1571</v>
      </c>
      <c r="M1659" s="1134">
        <v>0.3</v>
      </c>
      <c r="N1659" s="1135" t="s">
        <v>1763</v>
      </c>
      <c r="O1659" s="1135">
        <v>7.0499999999999993E-2</v>
      </c>
      <c r="P1659" s="1048"/>
      <c r="Q1659" s="1048"/>
      <c r="R1659" s="1158"/>
      <c r="S1659" s="1048"/>
      <c r="T1659" s="1048"/>
      <c r="U1659" s="1102"/>
    </row>
    <row r="1660" spans="2:21" hidden="1" outlineLevel="2">
      <c r="B1660" s="1050">
        <v>45</v>
      </c>
      <c r="C1660" s="1050" t="str">
        <f t="shared" si="144"/>
        <v>2012 - usage : Transports, France continentale, Base Carbone</v>
      </c>
      <c r="D1660" s="1051">
        <f t="shared" si="145"/>
        <v>15</v>
      </c>
      <c r="E1660" s="1051" t="str">
        <f>IF(COUNTIF(E$1615:E1659,F1660)&gt;0,"",F1660)</f>
        <v/>
      </c>
      <c r="F1660" s="1051" t="str">
        <f t="shared" si="146"/>
        <v>2009 - usage : Eclairage public et Industrie, France continentale, Base Carbone</v>
      </c>
      <c r="G1660" s="1055" t="str">
        <f t="shared" si="147"/>
        <v>2009 - usage : Eclairage public et Industrie, France continentale, Base Carbone; kgCO2e/kWh, Amont</v>
      </c>
      <c r="I1660" s="2018" t="s">
        <v>1702</v>
      </c>
      <c r="J1660" s="1135" t="s">
        <v>1681</v>
      </c>
      <c r="K1660" s="1119" t="s">
        <v>1567</v>
      </c>
      <c r="L1660" s="1135" t="s">
        <v>1571</v>
      </c>
      <c r="M1660" s="1134">
        <v>0.3</v>
      </c>
      <c r="N1660" s="1135" t="s">
        <v>1570</v>
      </c>
      <c r="O1660" s="1135">
        <v>1.4500000000000001E-2</v>
      </c>
      <c r="P1660" s="1048"/>
      <c r="Q1660" s="1048"/>
      <c r="R1660" s="1158"/>
      <c r="S1660" s="1048"/>
      <c r="T1660" s="1048"/>
      <c r="U1660" s="1102"/>
    </row>
    <row r="1661" spans="2:21" hidden="1" outlineLevel="2">
      <c r="B1661" s="1050">
        <v>46</v>
      </c>
      <c r="C1661" s="1050" t="str">
        <f t="shared" si="144"/>
        <v>2013 - usage : Autres (BTP. recherche. armée. etc.), France continentale, Base Carbone</v>
      </c>
      <c r="D1661" s="1051">
        <f t="shared" si="145"/>
        <v>15</v>
      </c>
      <c r="E1661" s="1051" t="str">
        <f>IF(COUNTIF(E$1615:E1660,F1661)&gt;0,"",F1661)</f>
        <v/>
      </c>
      <c r="F1661" s="1051" t="str">
        <f t="shared" si="146"/>
        <v>2009 - usage : Eclairage public et Industrie, France continentale, Base Carbone</v>
      </c>
      <c r="G1661" s="1055" t="str">
        <f t="shared" si="147"/>
        <v>2009 - usage : Eclairage public et Industrie, France continentale, Base Carbone; kgCO2e/kWh, Pertes</v>
      </c>
      <c r="I1661" s="2018" t="s">
        <v>1702</v>
      </c>
      <c r="J1661" s="1135" t="s">
        <v>1681</v>
      </c>
      <c r="K1661" s="1119" t="s">
        <v>1567</v>
      </c>
      <c r="L1661" s="1135" t="s">
        <v>1571</v>
      </c>
      <c r="M1661" s="1134">
        <v>0.3</v>
      </c>
      <c r="N1661" s="1135" t="s">
        <v>1766</v>
      </c>
      <c r="O1661" s="1135">
        <v>6.0000000000000001E-3</v>
      </c>
      <c r="P1661" s="1048"/>
      <c r="Q1661" s="1048"/>
      <c r="R1661" s="1158"/>
      <c r="S1661" s="1048"/>
      <c r="T1661" s="1048"/>
      <c r="U1661" s="1102"/>
    </row>
    <row r="1662" spans="2:21" hidden="1" outlineLevel="2">
      <c r="B1662" s="1050">
        <v>47</v>
      </c>
      <c r="C1662" s="1050" t="str">
        <f t="shared" si="144"/>
        <v>2013 - usage : chauffage, France continentale, Base Carbone</v>
      </c>
      <c r="D1662" s="1051">
        <f t="shared" si="145"/>
        <v>16</v>
      </c>
      <c r="E1662" s="1051" t="str">
        <f>IF(COUNTIF(E$1615:E1661,F1662)&gt;0,"",F1662)</f>
        <v>2009 - usage : Eclairage résidentiel, France continentale, Base Carbone</v>
      </c>
      <c r="F1662" s="1051" t="str">
        <f t="shared" si="146"/>
        <v>2009 - usage : Eclairage résidentiel, France continentale, Base Carbone</v>
      </c>
      <c r="G1662" s="1055" t="str">
        <f t="shared" si="147"/>
        <v>2009 - usage : Eclairage résidentiel, France continentale, Base Carbone; kgCO2e/kWh, Combustion à la centrale</v>
      </c>
      <c r="I1662" s="2018" t="s">
        <v>1703</v>
      </c>
      <c r="J1662" s="1135" t="s">
        <v>1681</v>
      </c>
      <c r="K1662" s="1119" t="s">
        <v>1567</v>
      </c>
      <c r="L1662" s="1135" t="s">
        <v>1571</v>
      </c>
      <c r="M1662" s="1134">
        <v>0.3</v>
      </c>
      <c r="N1662" s="1135" t="s">
        <v>1763</v>
      </c>
      <c r="O1662" s="1135">
        <v>9.0899999999999995E-2</v>
      </c>
      <c r="P1662" s="1048"/>
      <c r="Q1662" s="1048"/>
      <c r="R1662" s="1158"/>
      <c r="S1662" s="1048"/>
      <c r="T1662" s="1048"/>
      <c r="U1662" s="1102"/>
    </row>
    <row r="1663" spans="2:21" hidden="1" outlineLevel="2">
      <c r="B1663" s="1050">
        <v>48</v>
      </c>
      <c r="C1663" s="1050" t="str">
        <f t="shared" si="144"/>
        <v>2013 - usage : Climatisation tertiaire, France continentale, Base Carbone</v>
      </c>
      <c r="D1663" s="1051">
        <f t="shared" si="145"/>
        <v>16</v>
      </c>
      <c r="E1663" s="1051" t="str">
        <f>IF(COUNTIF(E$1615:E1662,F1663)&gt;0,"",F1663)</f>
        <v/>
      </c>
      <c r="F1663" s="1051" t="str">
        <f t="shared" si="146"/>
        <v>2009 - usage : Eclairage résidentiel, France continentale, Base Carbone</v>
      </c>
      <c r="G1663" s="1055" t="str">
        <f t="shared" si="147"/>
        <v>2009 - usage : Eclairage résidentiel, France continentale, Base Carbone; kgCO2e/kWh, Amont</v>
      </c>
      <c r="I1663" s="2018" t="s">
        <v>1703</v>
      </c>
      <c r="J1663" s="1135" t="s">
        <v>1681</v>
      </c>
      <c r="K1663" s="1119" t="s">
        <v>1567</v>
      </c>
      <c r="L1663" s="1135" t="s">
        <v>1571</v>
      </c>
      <c r="M1663" s="1134">
        <v>0.3</v>
      </c>
      <c r="N1663" s="1135" t="s">
        <v>1570</v>
      </c>
      <c r="O1663" s="1135">
        <v>1.6899999999999998E-2</v>
      </c>
      <c r="P1663" s="1048"/>
      <c r="Q1663" s="1048"/>
      <c r="R1663" s="1158"/>
      <c r="S1663" s="1048"/>
      <c r="T1663" s="1048"/>
      <c r="U1663" s="1102"/>
    </row>
    <row r="1664" spans="2:21" hidden="1" outlineLevel="2">
      <c r="B1664" s="1050">
        <v>49</v>
      </c>
      <c r="C1664" s="1050" t="str">
        <f t="shared" si="144"/>
        <v>2013 - usage : Cuisson résidentiel, France continentale, Base Carbone</v>
      </c>
      <c r="D1664" s="1051">
        <f t="shared" si="145"/>
        <v>16</v>
      </c>
      <c r="E1664" s="1051" t="str">
        <f>IF(COUNTIF(E$1615:E1663,F1664)&gt;0,"",F1664)</f>
        <v/>
      </c>
      <c r="F1664" s="1051" t="str">
        <f t="shared" si="146"/>
        <v>2009 - usage : Eclairage résidentiel, France continentale, Base Carbone</v>
      </c>
      <c r="G1664" s="1055" t="str">
        <f t="shared" si="147"/>
        <v>2009 - usage : Eclairage résidentiel, France continentale, Base Carbone; kgCO2e/kWh, Pertes</v>
      </c>
      <c r="I1664" s="2018" t="s">
        <v>1703</v>
      </c>
      <c r="J1664" s="1135" t="s">
        <v>1681</v>
      </c>
      <c r="K1664" s="1119" t="s">
        <v>1567</v>
      </c>
      <c r="L1664" s="1135" t="s">
        <v>1571</v>
      </c>
      <c r="M1664" s="1134">
        <v>0.3</v>
      </c>
      <c r="N1664" s="1135" t="s">
        <v>1766</v>
      </c>
      <c r="O1664" s="1135">
        <v>6.0000000000000001E-3</v>
      </c>
      <c r="P1664" s="1048"/>
      <c r="Q1664" s="1048"/>
      <c r="R1664" s="1158"/>
      <c r="S1664" s="1048"/>
      <c r="T1664" s="1048"/>
      <c r="U1664" s="1102"/>
    </row>
    <row r="1665" spans="2:21" hidden="1" outlineLevel="2">
      <c r="B1665" s="1050">
        <v>50</v>
      </c>
      <c r="C1665" s="1050" t="str">
        <f t="shared" si="144"/>
        <v>2013 - usage : Eau Chaude Sanitaire, France continentale, Base Carbone</v>
      </c>
      <c r="D1665" s="1051">
        <f t="shared" si="145"/>
        <v>17</v>
      </c>
      <c r="E1665" s="1051" t="str">
        <f>IF(COUNTIF(E$1615:E1664,F1665)&gt;0,"",F1665)</f>
        <v>2009 - usage : Industrie base, France continentale, Base Carbone</v>
      </c>
      <c r="F1665" s="1051" t="str">
        <f t="shared" si="146"/>
        <v>2009 - usage : Industrie base, France continentale, Base Carbone</v>
      </c>
      <c r="G1665" s="1055" t="str">
        <f t="shared" si="147"/>
        <v>2009 - usage : Industrie base, France continentale, Base Carbone; kgCO2e/kWh, Combustion à la centrale</v>
      </c>
      <c r="I1665" s="2018" t="s">
        <v>1704</v>
      </c>
      <c r="J1665" s="1135" t="s">
        <v>1681</v>
      </c>
      <c r="K1665" s="1119" t="s">
        <v>1567</v>
      </c>
      <c r="L1665" s="1135" t="s">
        <v>1571</v>
      </c>
      <c r="M1665" s="1134">
        <v>0.3</v>
      </c>
      <c r="N1665" s="1135" t="s">
        <v>1763</v>
      </c>
      <c r="O1665" s="1135">
        <v>3.4200000000000001E-2</v>
      </c>
      <c r="P1665" s="1048"/>
      <c r="Q1665" s="1048"/>
      <c r="R1665" s="1158"/>
      <c r="S1665" s="1048"/>
      <c r="T1665" s="1048"/>
      <c r="U1665" s="1102"/>
    </row>
    <row r="1666" spans="2:21" hidden="1" outlineLevel="2">
      <c r="B1666" s="1050">
        <v>51</v>
      </c>
      <c r="C1666" s="1050" t="str">
        <f t="shared" si="144"/>
        <v>2013 - usage : Eclairage public et Industrie, France continentale, Base Carbone</v>
      </c>
      <c r="D1666" s="1051">
        <f t="shared" si="145"/>
        <v>17</v>
      </c>
      <c r="E1666" s="1051" t="str">
        <f>IF(COUNTIF(E$1615:E1665,F1666)&gt;0,"",F1666)</f>
        <v/>
      </c>
      <c r="F1666" s="1051" t="str">
        <f t="shared" si="146"/>
        <v>2009 - usage : Industrie base, France continentale, Base Carbone</v>
      </c>
      <c r="G1666" s="1055" t="str">
        <f t="shared" si="147"/>
        <v>2009 - usage : Industrie base, France continentale, Base Carbone; kgCO2e/kWh, Amont</v>
      </c>
      <c r="I1666" s="2018" t="s">
        <v>1704</v>
      </c>
      <c r="J1666" s="1135" t="s">
        <v>1681</v>
      </c>
      <c r="K1666" s="1119" t="s">
        <v>1567</v>
      </c>
      <c r="L1666" s="1135" t="s">
        <v>1571</v>
      </c>
      <c r="M1666" s="1134">
        <v>0.3</v>
      </c>
      <c r="N1666" s="1135" t="s">
        <v>1570</v>
      </c>
      <c r="O1666" s="1135">
        <v>0.01</v>
      </c>
      <c r="P1666" s="1048"/>
      <c r="Q1666" s="1048"/>
      <c r="R1666" s="1158"/>
      <c r="S1666" s="1048"/>
      <c r="T1666" s="1048"/>
      <c r="U1666" s="1102"/>
    </row>
    <row r="1667" spans="2:21" hidden="1" outlineLevel="2">
      <c r="B1667" s="1050">
        <v>52</v>
      </c>
      <c r="C1667" s="1050" t="str">
        <f t="shared" si="144"/>
        <v>2013 - usage : Eclairage résidentiel, France continentale, Base Carbone</v>
      </c>
      <c r="D1667" s="1051">
        <f t="shared" si="145"/>
        <v>17</v>
      </c>
      <c r="E1667" s="1051" t="str">
        <f>IF(COUNTIF(E$1615:E1666,F1667)&gt;0,"",F1667)</f>
        <v/>
      </c>
      <c r="F1667" s="1051" t="str">
        <f t="shared" si="146"/>
        <v>2009 - usage : Industrie base, France continentale, Base Carbone</v>
      </c>
      <c r="G1667" s="1055" t="str">
        <f t="shared" si="147"/>
        <v>2009 - usage : Industrie base, France continentale, Base Carbone; kgCO2e/kWh, Pertes</v>
      </c>
      <c r="I1667" s="2018" t="s">
        <v>1704</v>
      </c>
      <c r="J1667" s="1135" t="s">
        <v>1681</v>
      </c>
      <c r="K1667" s="1119" t="s">
        <v>1567</v>
      </c>
      <c r="L1667" s="1135" t="s">
        <v>1571</v>
      </c>
      <c r="M1667" s="1134">
        <v>0.3</v>
      </c>
      <c r="N1667" s="1135" t="s">
        <v>1766</v>
      </c>
      <c r="O1667" s="1135">
        <v>6.0000000000000001E-3</v>
      </c>
      <c r="P1667" s="1048"/>
      <c r="Q1667" s="1048"/>
      <c r="R1667" s="1158"/>
      <c r="S1667" s="1048"/>
      <c r="T1667" s="1048"/>
      <c r="U1667" s="1102"/>
    </row>
    <row r="1668" spans="2:21" hidden="1" outlineLevel="2">
      <c r="B1668" s="1050">
        <v>53</v>
      </c>
      <c r="C1668" s="1050" t="str">
        <f t="shared" si="144"/>
        <v>2013 - usage : Industrie base, France continentale, Base Carbone</v>
      </c>
      <c r="D1668" s="1051">
        <f t="shared" si="145"/>
        <v>18</v>
      </c>
      <c r="E1668" s="1051" t="str">
        <f>IF(COUNTIF(E$1615:E1667,F1668)&gt;0,"",F1668)</f>
        <v>2009 - usage : Transports, France continentale, Base Carbone</v>
      </c>
      <c r="F1668" s="1051" t="str">
        <f t="shared" si="146"/>
        <v>2009 - usage : Transports, France continentale, Base Carbone</v>
      </c>
      <c r="G1668" s="1055" t="str">
        <f t="shared" si="147"/>
        <v>2009 - usage : Transports, France continentale, Base Carbone; kgCO2e/kWh, Combustion à la centrale</v>
      </c>
      <c r="I1668" s="2018" t="s">
        <v>1705</v>
      </c>
      <c r="J1668" s="1135" t="s">
        <v>1681</v>
      </c>
      <c r="K1668" s="1119" t="s">
        <v>1567</v>
      </c>
      <c r="L1668" s="1135" t="s">
        <v>1571</v>
      </c>
      <c r="M1668" s="1134">
        <v>0.3</v>
      </c>
      <c r="N1668" s="1135" t="s">
        <v>1763</v>
      </c>
      <c r="O1668" s="1135">
        <v>3.2199999999999999E-2</v>
      </c>
      <c r="P1668" s="1048"/>
      <c r="Q1668" s="1048"/>
      <c r="R1668" s="1158"/>
      <c r="S1668" s="1048"/>
      <c r="T1668" s="1048"/>
      <c r="U1668" s="1102"/>
    </row>
    <row r="1669" spans="2:21" hidden="1" outlineLevel="2">
      <c r="B1669" s="1050">
        <v>54</v>
      </c>
      <c r="C1669" s="1050" t="str">
        <f t="shared" si="144"/>
        <v>2013 - usage : Transports, France continentale, Base Carbone</v>
      </c>
      <c r="D1669" s="1051">
        <f t="shared" si="145"/>
        <v>18</v>
      </c>
      <c r="E1669" s="1051" t="str">
        <f>IF(COUNTIF(E$1615:E1668,F1669)&gt;0,"",F1669)</f>
        <v/>
      </c>
      <c r="F1669" s="1051" t="str">
        <f t="shared" si="146"/>
        <v>2009 - usage : Transports, France continentale, Base Carbone</v>
      </c>
      <c r="G1669" s="1055" t="str">
        <f t="shared" si="147"/>
        <v>2009 - usage : Transports, France continentale, Base Carbone; kgCO2e/kWh, Amont</v>
      </c>
      <c r="I1669" s="2018" t="s">
        <v>1705</v>
      </c>
      <c r="J1669" s="1135" t="s">
        <v>1681</v>
      </c>
      <c r="K1669" s="1119" t="s">
        <v>1567</v>
      </c>
      <c r="L1669" s="1135" t="s">
        <v>1571</v>
      </c>
      <c r="M1669" s="1134">
        <v>0.3</v>
      </c>
      <c r="N1669" s="1135" t="s">
        <v>1570</v>
      </c>
      <c r="O1669" s="1135">
        <v>0.01</v>
      </c>
      <c r="P1669" s="1048"/>
      <c r="Q1669" s="1048"/>
      <c r="R1669" s="1158"/>
      <c r="S1669" s="1048"/>
      <c r="T1669" s="1048"/>
      <c r="U1669" s="1102"/>
    </row>
    <row r="1670" spans="2:21" hidden="1" outlineLevel="2">
      <c r="B1670" s="1050">
        <v>55</v>
      </c>
      <c r="C1670" s="1050" t="str">
        <f t="shared" si="144"/>
        <v>2014 - usage : Autres (BTP. recherche. armée. etc.), France continentale, Base Carbone</v>
      </c>
      <c r="D1670" s="1051">
        <f t="shared" si="145"/>
        <v>18</v>
      </c>
      <c r="E1670" s="1051" t="str">
        <f>IF(COUNTIF(E$1615:E1669,F1670)&gt;0,"",F1670)</f>
        <v/>
      </c>
      <c r="F1670" s="1051" t="str">
        <f t="shared" si="146"/>
        <v>2009 - usage : Transports, France continentale, Base Carbone</v>
      </c>
      <c r="G1670" s="1055" t="str">
        <f t="shared" si="147"/>
        <v>2009 - usage : Transports, France continentale, Base Carbone; kgCO2e/kWh, Pertes</v>
      </c>
      <c r="I1670" s="2018" t="s">
        <v>1705</v>
      </c>
      <c r="J1670" s="1135" t="s">
        <v>1681</v>
      </c>
      <c r="K1670" s="1119" t="s">
        <v>1567</v>
      </c>
      <c r="L1670" s="1135" t="s">
        <v>1571</v>
      </c>
      <c r="M1670" s="1134">
        <v>0.3</v>
      </c>
      <c r="N1670" s="1135" t="s">
        <v>1766</v>
      </c>
      <c r="O1670" s="1135">
        <v>6.0000000000000001E-3</v>
      </c>
      <c r="P1670" s="1048"/>
      <c r="Q1670" s="1048"/>
      <c r="R1670" s="1158"/>
      <c r="S1670" s="1048"/>
      <c r="T1670" s="1048"/>
      <c r="U1670" s="1102"/>
    </row>
    <row r="1671" spans="2:21" hidden="1" outlineLevel="2">
      <c r="B1671" s="1050">
        <v>56</v>
      </c>
      <c r="C1671" s="1050" t="str">
        <f t="shared" si="144"/>
        <v>2014 - usage : chauffage, France continentale, Base Carbone</v>
      </c>
      <c r="D1671" s="1051">
        <f t="shared" si="145"/>
        <v>18</v>
      </c>
      <c r="E1671" s="1051" t="str">
        <f>IF(COUNTIF(E$1615:E1670,F1671)&gt;0,"",F1671)</f>
        <v/>
      </c>
      <c r="F1671" s="1051" t="str">
        <f t="shared" si="146"/>
        <v/>
      </c>
      <c r="G1671" s="1055" t="str">
        <f t="shared" si="147"/>
        <v/>
      </c>
      <c r="I1671" s="2018"/>
      <c r="J1671" s="1135"/>
      <c r="K1671" s="1119"/>
      <c r="L1671" s="1135"/>
      <c r="M1671" s="1134"/>
      <c r="N1671" s="1135"/>
      <c r="O1671" s="1135"/>
      <c r="P1671" s="1048"/>
      <c r="Q1671" s="1048"/>
      <c r="R1671" s="1158"/>
      <c r="S1671" s="1048"/>
      <c r="T1671" s="1048"/>
      <c r="U1671" s="1102"/>
    </row>
    <row r="1672" spans="2:21" hidden="1" outlineLevel="2">
      <c r="B1672" s="1050">
        <v>57</v>
      </c>
      <c r="C1672" s="1050" t="str">
        <f t="shared" si="144"/>
        <v>2014 - usage : Climatisation tertiaire, France continentale, Base Carbone</v>
      </c>
      <c r="D1672" s="1051">
        <f t="shared" si="145"/>
        <v>19</v>
      </c>
      <c r="E1672" s="1051" t="str">
        <f>IF(COUNTIF(E$1615:E1671,F1672)&gt;0,"",F1672)</f>
        <v>2010 - usage : Autres (BTP. recherche. armée. etc.), France continentale, Base Carbone</v>
      </c>
      <c r="F1672" s="1051" t="str">
        <f t="shared" si="146"/>
        <v>2010 - usage : Autres (BTP. recherche. armée. etc.), France continentale, Base Carbone</v>
      </c>
      <c r="G1672" s="1055" t="str">
        <f t="shared" si="147"/>
        <v>2010 - usage : Autres (BTP. recherche. armée. etc.), France continentale, Base Carbone; kgCO2e/kWh, Combustion à la centrale</v>
      </c>
      <c r="I1672" s="2018" t="s">
        <v>1707</v>
      </c>
      <c r="J1672" s="1135" t="s">
        <v>1681</v>
      </c>
      <c r="K1672" s="1119" t="s">
        <v>1567</v>
      </c>
      <c r="L1672" s="1135" t="s">
        <v>1571</v>
      </c>
      <c r="M1672" s="1134">
        <v>0.3</v>
      </c>
      <c r="N1672" s="1135" t="s">
        <v>1763</v>
      </c>
      <c r="O1672" s="1135">
        <v>3.3300000000000003E-2</v>
      </c>
      <c r="P1672" s="1048"/>
      <c r="Q1672" s="1048"/>
      <c r="R1672" s="1158"/>
      <c r="S1672" s="1048"/>
      <c r="T1672" s="1048"/>
      <c r="U1672" s="1102"/>
    </row>
    <row r="1673" spans="2:21" hidden="1" outlineLevel="2">
      <c r="B1673" s="1050">
        <v>58</v>
      </c>
      <c r="C1673" s="1050" t="str">
        <f t="shared" si="144"/>
        <v>2014 - usage : Cuisson résidentiel, France continentale, Base Carbone</v>
      </c>
      <c r="D1673" s="1051">
        <f t="shared" si="145"/>
        <v>19</v>
      </c>
      <c r="E1673" s="1051" t="str">
        <f>IF(COUNTIF(E$1615:E1672,F1673)&gt;0,"",F1673)</f>
        <v/>
      </c>
      <c r="F1673" s="1051" t="str">
        <f t="shared" si="146"/>
        <v>2010 - usage : Autres (BTP. recherche. armée. etc.), France continentale, Base Carbone</v>
      </c>
      <c r="G1673" s="1055" t="str">
        <f t="shared" si="147"/>
        <v>2010 - usage : Autres (BTP. recherche. armée. etc.), France continentale, Base Carbone; kgCO2e/kWh, Amont</v>
      </c>
      <c r="I1673" s="2018" t="s">
        <v>1707</v>
      </c>
      <c r="J1673" s="1135" t="s">
        <v>1681</v>
      </c>
      <c r="K1673" s="1119" t="s">
        <v>1567</v>
      </c>
      <c r="L1673" s="1135" t="s">
        <v>1571</v>
      </c>
      <c r="M1673" s="1134">
        <v>0.3</v>
      </c>
      <c r="N1673" s="1135" t="s">
        <v>1570</v>
      </c>
      <c r="O1673" s="1135">
        <v>1.01E-2</v>
      </c>
      <c r="P1673" s="1048"/>
      <c r="Q1673" s="1048"/>
      <c r="R1673" s="1158"/>
      <c r="S1673" s="1048"/>
      <c r="T1673" s="1048"/>
      <c r="U1673" s="1102"/>
    </row>
    <row r="1674" spans="2:21" hidden="1" outlineLevel="2">
      <c r="B1674" s="1050">
        <v>59</v>
      </c>
      <c r="C1674" s="1050" t="str">
        <f t="shared" si="144"/>
        <v>2014 - usage : Eau Chaude Sanitaire, France continentale, Base Carbone</v>
      </c>
      <c r="D1674" s="1051">
        <f t="shared" si="145"/>
        <v>19</v>
      </c>
      <c r="E1674" s="1051" t="str">
        <f>IF(COUNTIF(E$1615:E1673,F1674)&gt;0,"",F1674)</f>
        <v/>
      </c>
      <c r="F1674" s="1051" t="str">
        <f t="shared" si="146"/>
        <v>2010 - usage : Autres (BTP. recherche. armée. etc.), France continentale, Base Carbone</v>
      </c>
      <c r="G1674" s="1055" t="str">
        <f t="shared" si="147"/>
        <v>2010 - usage : Autres (BTP. recherche. armée. etc.), France continentale, Base Carbone; kgCO2e/kWh, Pertes</v>
      </c>
      <c r="I1674" s="2018" t="s">
        <v>1707</v>
      </c>
      <c r="J1674" s="1135" t="s">
        <v>1681</v>
      </c>
      <c r="K1674" s="1119" t="s">
        <v>1567</v>
      </c>
      <c r="L1674" s="1135" t="s">
        <v>1571</v>
      </c>
      <c r="M1674" s="1134">
        <v>0.3</v>
      </c>
      <c r="N1674" s="1135" t="s">
        <v>1766</v>
      </c>
      <c r="O1674" s="1135">
        <v>6.0000000000000001E-3</v>
      </c>
      <c r="P1674" s="1048"/>
      <c r="Q1674" s="1048"/>
      <c r="R1674" s="1158"/>
      <c r="S1674" s="1048"/>
      <c r="T1674" s="1048"/>
      <c r="U1674" s="1102"/>
    </row>
    <row r="1675" spans="2:21" hidden="1" outlineLevel="2">
      <c r="B1675" s="1050">
        <v>60</v>
      </c>
      <c r="C1675" s="1050" t="str">
        <f t="shared" si="144"/>
        <v>2014 - usage : Eclairage public et Industrie, France continentale, Base Carbone</v>
      </c>
      <c r="D1675" s="1051">
        <f t="shared" si="145"/>
        <v>20</v>
      </c>
      <c r="E1675" s="1051" t="str">
        <f>IF(COUNTIF(E$1615:E1674,F1675)&gt;0,"",F1675)</f>
        <v>2010 - usage : chauffage, France continentale, Base Carbone</v>
      </c>
      <c r="F1675" s="1051" t="str">
        <f t="shared" si="146"/>
        <v>2010 - usage : chauffage, France continentale, Base Carbone</v>
      </c>
      <c r="G1675" s="1055" t="str">
        <f t="shared" si="147"/>
        <v>2010 - usage : chauffage, France continentale, Base Carbone; kgCO2e/kWh, Combustion à la centrale</v>
      </c>
      <c r="I1675" s="2018" t="s">
        <v>1708</v>
      </c>
      <c r="J1675" s="1135" t="s">
        <v>1681</v>
      </c>
      <c r="K1675" s="1119" t="s">
        <v>1567</v>
      </c>
      <c r="L1675" s="1135" t="s">
        <v>1571</v>
      </c>
      <c r="M1675" s="1134">
        <v>0.3</v>
      </c>
      <c r="N1675" s="1135" t="s">
        <v>1763</v>
      </c>
      <c r="O1675" s="1135">
        <v>0.17799999999999999</v>
      </c>
      <c r="P1675" s="1048"/>
      <c r="Q1675" s="1048"/>
      <c r="R1675" s="1158"/>
      <c r="S1675" s="1048"/>
      <c r="T1675" s="1048"/>
      <c r="U1675" s="1102"/>
    </row>
    <row r="1676" spans="2:21" hidden="1" outlineLevel="2">
      <c r="B1676" s="1050">
        <v>61</v>
      </c>
      <c r="C1676" s="1050" t="str">
        <f t="shared" si="144"/>
        <v>2014 - usage : Eclairage résidentiel, France continentale, Base Carbone</v>
      </c>
      <c r="D1676" s="1051">
        <f t="shared" si="145"/>
        <v>20</v>
      </c>
      <c r="E1676" s="1051" t="str">
        <f>IF(COUNTIF(E$1615:E1675,F1676)&gt;0,"",F1676)</f>
        <v/>
      </c>
      <c r="F1676" s="1051" t="str">
        <f t="shared" si="146"/>
        <v>2010 - usage : chauffage, France continentale, Base Carbone</v>
      </c>
      <c r="G1676" s="1055" t="str">
        <f t="shared" si="147"/>
        <v>2010 - usage : chauffage, France continentale, Base Carbone; kgCO2e/kWh, Amont</v>
      </c>
      <c r="I1676" s="2018" t="s">
        <v>1708</v>
      </c>
      <c r="J1676" s="1135" t="s">
        <v>1681</v>
      </c>
      <c r="K1676" s="1119" t="s">
        <v>1567</v>
      </c>
      <c r="L1676" s="1135" t="s">
        <v>1571</v>
      </c>
      <c r="M1676" s="1134">
        <v>0.3</v>
      </c>
      <c r="N1676" s="1135" t="s">
        <v>1570</v>
      </c>
      <c r="O1676" s="1135">
        <v>2.7199999999999998E-2</v>
      </c>
      <c r="P1676" s="1048"/>
      <c r="Q1676" s="1048"/>
      <c r="R1676" s="1158"/>
      <c r="S1676" s="1048"/>
      <c r="T1676" s="1048"/>
      <c r="U1676" s="1102"/>
    </row>
    <row r="1677" spans="2:21" hidden="1" outlineLevel="2">
      <c r="B1677" s="1050">
        <v>62</v>
      </c>
      <c r="C1677" s="1050" t="str">
        <f t="shared" si="144"/>
        <v>2014 - usage : Industrie base, France continentale, Base Carbone</v>
      </c>
      <c r="D1677" s="1051">
        <f t="shared" si="145"/>
        <v>20</v>
      </c>
      <c r="E1677" s="1051" t="str">
        <f>IF(COUNTIF(E$1615:E1676,F1677)&gt;0,"",F1677)</f>
        <v/>
      </c>
      <c r="F1677" s="1051" t="str">
        <f t="shared" si="146"/>
        <v>2010 - usage : chauffage, France continentale, Base Carbone</v>
      </c>
      <c r="G1677" s="1055" t="str">
        <f t="shared" si="147"/>
        <v>2010 - usage : chauffage, France continentale, Base Carbone; kgCO2e/kWh, Pertes</v>
      </c>
      <c r="I1677" s="2018" t="s">
        <v>1708</v>
      </c>
      <c r="J1677" s="1135" t="s">
        <v>1681</v>
      </c>
      <c r="K1677" s="1119" t="s">
        <v>1567</v>
      </c>
      <c r="L1677" s="1135" t="s">
        <v>1571</v>
      </c>
      <c r="M1677" s="1134">
        <v>0.3</v>
      </c>
      <c r="N1677" s="1135" t="s">
        <v>1766</v>
      </c>
      <c r="O1677" s="1135">
        <v>6.0000000000000001E-3</v>
      </c>
      <c r="P1677" s="1048"/>
      <c r="Q1677" s="1048"/>
      <c r="R1677" s="1158"/>
      <c r="S1677" s="1048"/>
      <c r="T1677" s="1048"/>
      <c r="U1677" s="1102"/>
    </row>
    <row r="1678" spans="2:21" hidden="1" outlineLevel="2">
      <c r="B1678" s="1050">
        <v>63</v>
      </c>
      <c r="C1678" s="1050" t="str">
        <f t="shared" si="144"/>
        <v>2014 - usage : Transports, France continentale, Base Carbone</v>
      </c>
      <c r="D1678" s="1051">
        <f t="shared" si="145"/>
        <v>21</v>
      </c>
      <c r="E1678" s="1051" t="str">
        <f>IF(COUNTIF(E$1615:E1677,F1678)&gt;0,"",F1678)</f>
        <v>2010 - usage : Climatisation tertiaire, France continentale, Base Carbone</v>
      </c>
      <c r="F1678" s="1051" t="str">
        <f t="shared" si="146"/>
        <v>2010 - usage : Climatisation tertiaire, France continentale, Base Carbone</v>
      </c>
      <c r="G1678" s="1055" t="str">
        <f t="shared" si="147"/>
        <v>2010 - usage : Climatisation tertiaire, France continentale, Base Carbone; kgCO2e/kWh, Combustion à la centrale</v>
      </c>
      <c r="I1678" s="2018" t="s">
        <v>1709</v>
      </c>
      <c r="J1678" s="1135" t="s">
        <v>1681</v>
      </c>
      <c r="K1678" s="1119" t="s">
        <v>1567</v>
      </c>
      <c r="L1678" s="1135" t="s">
        <v>1571</v>
      </c>
      <c r="M1678" s="1134">
        <v>0.3</v>
      </c>
      <c r="N1678" s="1135" t="s">
        <v>1763</v>
      </c>
      <c r="O1678" s="1135">
        <v>4.0599999999999997E-2</v>
      </c>
      <c r="P1678" s="1048"/>
      <c r="Q1678" s="1048"/>
      <c r="R1678" s="1158"/>
      <c r="S1678" s="1048"/>
      <c r="T1678" s="1048"/>
      <c r="U1678" s="1102"/>
    </row>
    <row r="1679" spans="2:21" hidden="1" outlineLevel="2">
      <c r="B1679" s="1050">
        <v>64</v>
      </c>
      <c r="C1679" s="1050" t="str">
        <f t="shared" si="144"/>
        <v>2015 - usage : Autres (BTP. recherche. armée. etc.), France continentale, Base Carbone</v>
      </c>
      <c r="D1679" s="1051">
        <f t="shared" si="145"/>
        <v>21</v>
      </c>
      <c r="E1679" s="1051" t="str">
        <f>IF(COUNTIF(E$1615:E1678,F1679)&gt;0,"",F1679)</f>
        <v/>
      </c>
      <c r="F1679" s="1051" t="str">
        <f t="shared" si="146"/>
        <v>2010 - usage : Climatisation tertiaire, France continentale, Base Carbone</v>
      </c>
      <c r="G1679" s="1055" t="str">
        <f t="shared" si="147"/>
        <v>2010 - usage : Climatisation tertiaire, France continentale, Base Carbone; kgCO2e/kWh, Amont</v>
      </c>
      <c r="I1679" s="2018" t="s">
        <v>1709</v>
      </c>
      <c r="J1679" s="1135" t="s">
        <v>1681</v>
      </c>
      <c r="K1679" s="1119" t="s">
        <v>1567</v>
      </c>
      <c r="L1679" s="1135" t="s">
        <v>1571</v>
      </c>
      <c r="M1679" s="1134">
        <v>0.3</v>
      </c>
      <c r="N1679" s="1135" t="s">
        <v>1570</v>
      </c>
      <c r="O1679" s="1135">
        <v>1.0999999999999999E-2</v>
      </c>
      <c r="P1679" s="1048"/>
      <c r="Q1679" s="1048"/>
      <c r="R1679" s="1158"/>
      <c r="S1679" s="1048"/>
      <c r="T1679" s="1048"/>
      <c r="U1679" s="1102"/>
    </row>
    <row r="1680" spans="2:21" hidden="1" outlineLevel="2">
      <c r="B1680" s="1050">
        <v>65</v>
      </c>
      <c r="C1680" s="1050" t="str">
        <f t="shared" si="144"/>
        <v>2015 - usage : chauffage, France continentale, Base Carbone</v>
      </c>
      <c r="D1680" s="1051">
        <f t="shared" si="145"/>
        <v>21</v>
      </c>
      <c r="E1680" s="1051" t="str">
        <f>IF(COUNTIF(E$1615:E1679,F1680)&gt;0,"",F1680)</f>
        <v/>
      </c>
      <c r="F1680" s="1051" t="str">
        <f t="shared" si="146"/>
        <v>2010 - usage : Climatisation tertiaire, France continentale, Base Carbone</v>
      </c>
      <c r="G1680" s="1055" t="str">
        <f t="shared" si="147"/>
        <v>2010 - usage : Climatisation tertiaire, France continentale, Base Carbone; kgCO2e/kWh, Pertes</v>
      </c>
      <c r="I1680" s="2018" t="s">
        <v>1709</v>
      </c>
      <c r="J1680" s="1135" t="s">
        <v>1681</v>
      </c>
      <c r="K1680" s="1119" t="s">
        <v>1567</v>
      </c>
      <c r="L1680" s="1135" t="s">
        <v>1571</v>
      </c>
      <c r="M1680" s="1134">
        <v>0.3</v>
      </c>
      <c r="N1680" s="1135" t="s">
        <v>1766</v>
      </c>
      <c r="O1680" s="1135">
        <v>6.0000000000000001E-3</v>
      </c>
      <c r="P1680" s="1048"/>
      <c r="Q1680" s="1048"/>
      <c r="R1680" s="1158"/>
      <c r="S1680" s="1048"/>
      <c r="T1680" s="1048"/>
      <c r="U1680" s="1102"/>
    </row>
    <row r="1681" spans="2:21" hidden="1" outlineLevel="2">
      <c r="B1681" s="1050">
        <v>66</v>
      </c>
      <c r="C1681" s="1050" t="str">
        <f t="shared" ref="C1681:C1735" si="148">IF(ISNA(VLOOKUP(B1681,$D$1616:$E$1984,2,FALSE)),"-",VLOOKUP(B1681,$D$1616:$E$1984,2,FALSE))</f>
        <v>2015 - usage : Climatisation tertiaire, France continentale, Base Carbone</v>
      </c>
      <c r="D1681" s="1051">
        <f t="shared" ref="D1681:D1744" si="149">D1680+IF(LEN(E1681)=0,0,1)</f>
        <v>22</v>
      </c>
      <c r="E1681" s="1051" t="str">
        <f>IF(COUNTIF(E$1615:E1680,F1681)&gt;0,"",F1681)</f>
        <v>2010 - usage : Cuisson résidentiel, France continentale, Base Carbone</v>
      </c>
      <c r="F1681" s="1051" t="str">
        <f t="shared" ref="F1681:F1744" si="150">IF(I1681&lt;&gt;"",I1681&amp;IF(L1681&lt;&gt;"",", "&amp;L1681,"")&amp;IF(K1681&lt;&gt;"",", "&amp;K1681,""),"")</f>
        <v>2010 - usage : Cuisson résidentiel, France continentale, Base Carbone</v>
      </c>
      <c r="G1681" s="1055" t="str">
        <f t="shared" ref="G1681:G1744" si="151">IF(F1681&lt;&gt;"",F1681&amp;IF(J1681&lt;&gt;"","; "&amp;J1681,"")&amp;IF(N1681&lt;&gt;"",", "&amp;N1681,""),"")</f>
        <v>2010 - usage : Cuisson résidentiel, France continentale, Base Carbone; kgCO2e/kWh, Combustion à la centrale</v>
      </c>
      <c r="I1681" s="2018" t="s">
        <v>1710</v>
      </c>
      <c r="J1681" s="1135" t="s">
        <v>1681</v>
      </c>
      <c r="K1681" s="1119" t="s">
        <v>1567</v>
      </c>
      <c r="L1681" s="1135" t="s">
        <v>1571</v>
      </c>
      <c r="M1681" s="1134">
        <v>0.3</v>
      </c>
      <c r="N1681" s="1135" t="s">
        <v>1763</v>
      </c>
      <c r="O1681" s="1135">
        <v>5.5100000000000003E-2</v>
      </c>
      <c r="P1681" s="1048"/>
      <c r="Q1681" s="1048"/>
      <c r="R1681" s="1158"/>
      <c r="S1681" s="1048"/>
      <c r="T1681" s="1048"/>
      <c r="U1681" s="1102"/>
    </row>
    <row r="1682" spans="2:21" hidden="1" outlineLevel="2">
      <c r="B1682" s="1050">
        <v>67</v>
      </c>
      <c r="C1682" s="1050" t="str">
        <f t="shared" si="148"/>
        <v>2015 - usage : Cuisson résidentiel, France continentale, Base Carbone</v>
      </c>
      <c r="D1682" s="1051">
        <f t="shared" si="149"/>
        <v>22</v>
      </c>
      <c r="E1682" s="1051" t="str">
        <f>IF(COUNTIF(E$1615:E1681,F1682)&gt;0,"",F1682)</f>
        <v/>
      </c>
      <c r="F1682" s="1051" t="str">
        <f t="shared" si="150"/>
        <v>2010 - usage : Cuisson résidentiel, France continentale, Base Carbone</v>
      </c>
      <c r="G1682" s="1055" t="str">
        <f t="shared" si="151"/>
        <v>2010 - usage : Cuisson résidentiel, France continentale, Base Carbone; kgCO2e/kWh, Amont</v>
      </c>
      <c r="I1682" s="2018" t="s">
        <v>1710</v>
      </c>
      <c r="J1682" s="1135" t="s">
        <v>1681</v>
      </c>
      <c r="K1682" s="1119" t="s">
        <v>1567</v>
      </c>
      <c r="L1682" s="1135" t="s">
        <v>1571</v>
      </c>
      <c r="M1682" s="1134">
        <v>0.3</v>
      </c>
      <c r="N1682" s="1135" t="s">
        <v>1570</v>
      </c>
      <c r="O1682" s="1135">
        <v>1.2699999999999999E-2</v>
      </c>
      <c r="P1682" s="1048"/>
      <c r="Q1682" s="1048"/>
      <c r="R1682" s="1158"/>
      <c r="S1682" s="1048"/>
      <c r="T1682" s="1048"/>
      <c r="U1682" s="1102"/>
    </row>
    <row r="1683" spans="2:21" hidden="1" outlineLevel="2">
      <c r="B1683" s="1050">
        <v>68</v>
      </c>
      <c r="C1683" s="1050" t="str">
        <f t="shared" si="148"/>
        <v>2015 - usage : Eau Chaude Sanitaire, France continentale, Base Carbone</v>
      </c>
      <c r="D1683" s="1051">
        <f t="shared" si="149"/>
        <v>22</v>
      </c>
      <c r="E1683" s="1051" t="str">
        <f>IF(COUNTIF(E$1615:E1682,F1683)&gt;0,"",F1683)</f>
        <v/>
      </c>
      <c r="F1683" s="1051" t="str">
        <f t="shared" si="150"/>
        <v>2010 - usage : Cuisson résidentiel, France continentale, Base Carbone</v>
      </c>
      <c r="G1683" s="1055" t="str">
        <f t="shared" si="151"/>
        <v>2010 - usage : Cuisson résidentiel, France continentale, Base Carbone; kgCO2e/kWh, Pertes</v>
      </c>
      <c r="I1683" s="2018" t="s">
        <v>1710</v>
      </c>
      <c r="J1683" s="1135" t="s">
        <v>1681</v>
      </c>
      <c r="K1683" s="1119" t="s">
        <v>1567</v>
      </c>
      <c r="L1683" s="1135" t="s">
        <v>1571</v>
      </c>
      <c r="M1683" s="1134">
        <v>0.3</v>
      </c>
      <c r="N1683" s="1135" t="s">
        <v>1766</v>
      </c>
      <c r="O1683" s="1135">
        <v>6.0000000000000001E-3</v>
      </c>
      <c r="P1683" s="1048"/>
      <c r="Q1683" s="1048"/>
      <c r="R1683" s="1158"/>
      <c r="S1683" s="1048"/>
      <c r="T1683" s="1048"/>
      <c r="U1683" s="1102"/>
    </row>
    <row r="1684" spans="2:21" hidden="1" outlineLevel="2">
      <c r="B1684" s="1050">
        <v>69</v>
      </c>
      <c r="C1684" s="1050" t="str">
        <f t="shared" si="148"/>
        <v>2015 - usage : Eclairage public, France continentale, Base Carbone</v>
      </c>
      <c r="D1684" s="1051">
        <f t="shared" si="149"/>
        <v>23</v>
      </c>
      <c r="E1684" s="1051" t="str">
        <f>IF(COUNTIF(E$1615:E1683,F1684)&gt;0,"",F1684)</f>
        <v>2010 - usage : Eau Chaude Sanitaire, France continentale, Base Carbone</v>
      </c>
      <c r="F1684" s="1051" t="str">
        <f t="shared" si="150"/>
        <v>2010 - usage : Eau Chaude Sanitaire, France continentale, Base Carbone</v>
      </c>
      <c r="G1684" s="1055" t="str">
        <f t="shared" si="151"/>
        <v>2010 - usage : Eau Chaude Sanitaire, France continentale, Base Carbone; kgCO2e/kWh, Combustion à la centrale</v>
      </c>
      <c r="I1684" s="2018" t="s">
        <v>1711</v>
      </c>
      <c r="J1684" s="1135" t="s">
        <v>1681</v>
      </c>
      <c r="K1684" s="1119" t="s">
        <v>1567</v>
      </c>
      <c r="L1684" s="1135" t="s">
        <v>1571</v>
      </c>
      <c r="M1684" s="1134">
        <v>0.3</v>
      </c>
      <c r="N1684" s="1135" t="s">
        <v>1763</v>
      </c>
      <c r="O1684" s="1135">
        <v>4.0099999999999997E-2</v>
      </c>
      <c r="P1684" s="1048"/>
      <c r="Q1684" s="1048"/>
      <c r="R1684" s="1158"/>
      <c r="S1684" s="1048"/>
      <c r="T1684" s="1048"/>
      <c r="U1684" s="1102"/>
    </row>
    <row r="1685" spans="2:21" hidden="1" outlineLevel="2">
      <c r="B1685" s="1050">
        <v>70</v>
      </c>
      <c r="C1685" s="1050" t="str">
        <f t="shared" si="148"/>
        <v>2015 - usage : Eclairage résidentiel, France continentale, Base Carbone</v>
      </c>
      <c r="D1685" s="1051">
        <f t="shared" si="149"/>
        <v>23</v>
      </c>
      <c r="E1685" s="1051" t="str">
        <f>IF(COUNTIF(E$1615:E1684,F1685)&gt;0,"",F1685)</f>
        <v/>
      </c>
      <c r="F1685" s="1051" t="str">
        <f t="shared" si="150"/>
        <v>2010 - usage : Eau Chaude Sanitaire, France continentale, Base Carbone</v>
      </c>
      <c r="G1685" s="1055" t="str">
        <f t="shared" si="151"/>
        <v>2010 - usage : Eau Chaude Sanitaire, France continentale, Base Carbone; kgCO2e/kWh, Amont</v>
      </c>
      <c r="I1685" s="2018" t="s">
        <v>1711</v>
      </c>
      <c r="J1685" s="1135" t="s">
        <v>1681</v>
      </c>
      <c r="K1685" s="1119" t="s">
        <v>1567</v>
      </c>
      <c r="L1685" s="1135" t="s">
        <v>1571</v>
      </c>
      <c r="M1685" s="1134">
        <v>0.3</v>
      </c>
      <c r="N1685" s="1135" t="s">
        <v>1570</v>
      </c>
      <c r="O1685" s="1135">
        <v>1.09E-2</v>
      </c>
      <c r="P1685" s="1048"/>
      <c r="Q1685" s="1048"/>
      <c r="R1685" s="1158"/>
      <c r="S1685" s="1048"/>
      <c r="T1685" s="1048"/>
      <c r="U1685" s="1102"/>
    </row>
    <row r="1686" spans="2:21" hidden="1" outlineLevel="2">
      <c r="B1686" s="1050">
        <v>71</v>
      </c>
      <c r="C1686" s="1050" t="str">
        <f t="shared" si="148"/>
        <v>2015 - usage : Industrie base, France continentale, Base Carbone</v>
      </c>
      <c r="D1686" s="1051">
        <f t="shared" si="149"/>
        <v>23</v>
      </c>
      <c r="E1686" s="1051" t="str">
        <f>IF(COUNTIF(E$1615:E1685,F1686)&gt;0,"",F1686)</f>
        <v/>
      </c>
      <c r="F1686" s="1051" t="str">
        <f t="shared" si="150"/>
        <v>2010 - usage : Eau Chaude Sanitaire, France continentale, Base Carbone</v>
      </c>
      <c r="G1686" s="1055" t="str">
        <f t="shared" si="151"/>
        <v>2010 - usage : Eau Chaude Sanitaire, France continentale, Base Carbone; kgCO2e/kWh, Pertes</v>
      </c>
      <c r="I1686" s="2018" t="s">
        <v>1711</v>
      </c>
      <c r="J1686" s="1135" t="s">
        <v>1681</v>
      </c>
      <c r="K1686" s="1119" t="s">
        <v>1567</v>
      </c>
      <c r="L1686" s="1135" t="s">
        <v>1571</v>
      </c>
      <c r="M1686" s="1134">
        <v>0.3</v>
      </c>
      <c r="N1686" s="1135" t="s">
        <v>1766</v>
      </c>
      <c r="O1686" s="1135">
        <v>6.0000000000000001E-3</v>
      </c>
      <c r="P1686" s="1048"/>
      <c r="Q1686" s="1048"/>
      <c r="R1686" s="1158"/>
      <c r="S1686" s="1048"/>
      <c r="T1686" s="1048"/>
      <c r="U1686" s="1102"/>
    </row>
    <row r="1687" spans="2:21" hidden="1" outlineLevel="2">
      <c r="B1687" s="1050">
        <v>72</v>
      </c>
      <c r="C1687" s="1050" t="str">
        <f t="shared" si="148"/>
        <v>2015 - usage : Transports, France continentale, Base Carbone</v>
      </c>
      <c r="D1687" s="1051">
        <f t="shared" si="149"/>
        <v>24</v>
      </c>
      <c r="E1687" s="1051" t="str">
        <f>IF(COUNTIF(E$1615:E1686,F1687)&gt;0,"",F1687)</f>
        <v>2010 - usage : Eclairage public et Industrie, France continentale, Base Carbone</v>
      </c>
      <c r="F1687" s="1051" t="str">
        <f t="shared" si="150"/>
        <v>2010 - usage : Eclairage public et Industrie, France continentale, Base Carbone</v>
      </c>
      <c r="G1687" s="1055" t="str">
        <f t="shared" si="151"/>
        <v>2010 - usage : Eclairage public et Industrie, France continentale, Base Carbone; kgCO2e/kWh, Combustion à la centrale</v>
      </c>
      <c r="I1687" s="2018" t="s">
        <v>1712</v>
      </c>
      <c r="J1687" s="1135" t="s">
        <v>1681</v>
      </c>
      <c r="K1687" s="1119" t="s">
        <v>1567</v>
      </c>
      <c r="L1687" s="1135" t="s">
        <v>1571</v>
      </c>
      <c r="M1687" s="1134">
        <v>0.3</v>
      </c>
      <c r="N1687" s="1135" t="s">
        <v>1763</v>
      </c>
      <c r="O1687" s="1135">
        <v>7.0499999999999993E-2</v>
      </c>
      <c r="P1687" s="1048"/>
      <c r="Q1687" s="1048"/>
      <c r="R1687" s="1158"/>
      <c r="S1687" s="1048"/>
      <c r="T1687" s="1048"/>
      <c r="U1687" s="1102"/>
    </row>
    <row r="1688" spans="2:21" hidden="1" outlineLevel="2">
      <c r="B1688" s="1050">
        <v>73</v>
      </c>
      <c r="C1688" s="1050" t="str">
        <f t="shared" si="148"/>
        <v>2016 - usage : Autres (BTP. recherche. armée. etc.), France continentale, Base Carbone</v>
      </c>
      <c r="D1688" s="1051">
        <f t="shared" si="149"/>
        <v>24</v>
      </c>
      <c r="E1688" s="1051" t="str">
        <f>IF(COUNTIF(E$1615:E1687,F1688)&gt;0,"",F1688)</f>
        <v/>
      </c>
      <c r="F1688" s="1051" t="str">
        <f t="shared" si="150"/>
        <v>2010 - usage : Eclairage public et Industrie, France continentale, Base Carbone</v>
      </c>
      <c r="G1688" s="1055" t="str">
        <f t="shared" si="151"/>
        <v>2010 - usage : Eclairage public et Industrie, France continentale, Base Carbone; kgCO2e/kWh, Amont</v>
      </c>
      <c r="I1688" s="2018" t="s">
        <v>1712</v>
      </c>
      <c r="J1688" s="1135" t="s">
        <v>1681</v>
      </c>
      <c r="K1688" s="1119" t="s">
        <v>1567</v>
      </c>
      <c r="L1688" s="1135" t="s">
        <v>1571</v>
      </c>
      <c r="M1688" s="1134">
        <v>0.3</v>
      </c>
      <c r="N1688" s="1135" t="s">
        <v>1570</v>
      </c>
      <c r="O1688" s="1135">
        <v>1.4500000000000001E-2</v>
      </c>
      <c r="P1688" s="1048"/>
      <c r="Q1688" s="1048"/>
      <c r="R1688" s="1158"/>
      <c r="S1688" s="1048"/>
      <c r="T1688" s="1048"/>
      <c r="U1688" s="1102"/>
    </row>
    <row r="1689" spans="2:21" hidden="1" outlineLevel="2">
      <c r="B1689" s="1050">
        <v>74</v>
      </c>
      <c r="C1689" s="1050" t="str">
        <f t="shared" si="148"/>
        <v>2016 - usage : chauffage, France continentale, Base Carbone</v>
      </c>
      <c r="D1689" s="1051">
        <f t="shared" si="149"/>
        <v>24</v>
      </c>
      <c r="E1689" s="1051" t="str">
        <f>IF(COUNTIF(E$1615:E1688,F1689)&gt;0,"",F1689)</f>
        <v/>
      </c>
      <c r="F1689" s="1051" t="str">
        <f t="shared" si="150"/>
        <v>2010 - usage : Eclairage public et Industrie, France continentale, Base Carbone</v>
      </c>
      <c r="G1689" s="1055" t="str">
        <f t="shared" si="151"/>
        <v>2010 - usage : Eclairage public et Industrie, France continentale, Base Carbone; kgCO2e/kWh, Pertes</v>
      </c>
      <c r="I1689" s="2018" t="s">
        <v>1712</v>
      </c>
      <c r="J1689" s="1135" t="s">
        <v>1681</v>
      </c>
      <c r="K1689" s="1119" t="s">
        <v>1567</v>
      </c>
      <c r="L1689" s="1135" t="s">
        <v>1571</v>
      </c>
      <c r="M1689" s="1134">
        <v>0.3</v>
      </c>
      <c r="N1689" s="1135" t="s">
        <v>1766</v>
      </c>
      <c r="O1689" s="1135">
        <v>6.0000000000000001E-3</v>
      </c>
      <c r="P1689" s="1048"/>
      <c r="Q1689" s="1048"/>
      <c r="R1689" s="1158"/>
      <c r="S1689" s="1048"/>
      <c r="T1689" s="1048"/>
      <c r="U1689" s="1102"/>
    </row>
    <row r="1690" spans="2:21" hidden="1" outlineLevel="2">
      <c r="B1690" s="1050">
        <v>75</v>
      </c>
      <c r="C1690" s="1050" t="str">
        <f t="shared" si="148"/>
        <v>2016 - usage : Climatisation tertiaire, France continentale, Base Carbone</v>
      </c>
      <c r="D1690" s="1051">
        <f t="shared" si="149"/>
        <v>25</v>
      </c>
      <c r="E1690" s="1051" t="str">
        <f>IF(COUNTIF(E$1615:E1689,F1690)&gt;0,"",F1690)</f>
        <v>2010 - usage : Eclairage résidentiel, France continentale, Base Carbone</v>
      </c>
      <c r="F1690" s="1051" t="str">
        <f t="shared" si="150"/>
        <v>2010 - usage : Eclairage résidentiel, France continentale, Base Carbone</v>
      </c>
      <c r="G1690" s="1055" t="str">
        <f t="shared" si="151"/>
        <v>2010 - usage : Eclairage résidentiel, France continentale, Base Carbone; kgCO2e/kWh, Combustion à la centrale</v>
      </c>
      <c r="I1690" s="2018" t="s">
        <v>1713</v>
      </c>
      <c r="J1690" s="1135" t="s">
        <v>1681</v>
      </c>
      <c r="K1690" s="1119" t="s">
        <v>1567</v>
      </c>
      <c r="L1690" s="1135" t="s">
        <v>1571</v>
      </c>
      <c r="M1690" s="1134">
        <v>0.3</v>
      </c>
      <c r="N1690" s="1135" t="s">
        <v>1763</v>
      </c>
      <c r="O1690" s="1135">
        <v>9.0899999999999995E-2</v>
      </c>
      <c r="P1690" s="1048"/>
      <c r="Q1690" s="1048"/>
      <c r="R1690" s="1158"/>
      <c r="S1690" s="1048"/>
      <c r="T1690" s="1048"/>
      <c r="U1690" s="1102"/>
    </row>
    <row r="1691" spans="2:21" hidden="1" outlineLevel="2">
      <c r="B1691" s="1050">
        <v>76</v>
      </c>
      <c r="C1691" s="1050" t="str">
        <f t="shared" si="148"/>
        <v>2016 - usage : Cuisson résidentiel, France continentale, Base Carbone</v>
      </c>
      <c r="D1691" s="1051">
        <f t="shared" si="149"/>
        <v>25</v>
      </c>
      <c r="E1691" s="1051" t="str">
        <f>IF(COUNTIF(E$1615:E1690,F1691)&gt;0,"",F1691)</f>
        <v/>
      </c>
      <c r="F1691" s="1051" t="str">
        <f t="shared" si="150"/>
        <v>2010 - usage : Eclairage résidentiel, France continentale, Base Carbone</v>
      </c>
      <c r="G1691" s="1055" t="str">
        <f t="shared" si="151"/>
        <v>2010 - usage : Eclairage résidentiel, France continentale, Base Carbone; kgCO2e/kWh, Amont</v>
      </c>
      <c r="I1691" s="2018" t="s">
        <v>1713</v>
      </c>
      <c r="J1691" s="1135" t="s">
        <v>1681</v>
      </c>
      <c r="K1691" s="1119" t="s">
        <v>1567</v>
      </c>
      <c r="L1691" s="1135" t="s">
        <v>1571</v>
      </c>
      <c r="M1691" s="1134">
        <v>0.3</v>
      </c>
      <c r="N1691" s="1135" t="s">
        <v>1570</v>
      </c>
      <c r="O1691" s="1135">
        <v>1.6899999999999998E-2</v>
      </c>
      <c r="P1691" s="1048"/>
      <c r="Q1691" s="1048"/>
      <c r="R1691" s="1158"/>
      <c r="S1691" s="1048"/>
      <c r="T1691" s="1048"/>
      <c r="U1691" s="1102"/>
    </row>
    <row r="1692" spans="2:21" hidden="1" outlineLevel="2">
      <c r="B1692" s="1050">
        <v>77</v>
      </c>
      <c r="C1692" s="1050" t="str">
        <f t="shared" si="148"/>
        <v>2016 - usage : Eau Chaude Sanitaire, France continentale, Base Carbone</v>
      </c>
      <c r="D1692" s="1051">
        <f t="shared" si="149"/>
        <v>25</v>
      </c>
      <c r="E1692" s="1051" t="str">
        <f>IF(COUNTIF(E$1615:E1691,F1692)&gt;0,"",F1692)</f>
        <v/>
      </c>
      <c r="F1692" s="1051" t="str">
        <f t="shared" si="150"/>
        <v>2010 - usage : Eclairage résidentiel, France continentale, Base Carbone</v>
      </c>
      <c r="G1692" s="1055" t="str">
        <f t="shared" si="151"/>
        <v>2010 - usage : Eclairage résidentiel, France continentale, Base Carbone; kgCO2e/kWh, Pertes</v>
      </c>
      <c r="I1692" s="2018" t="s">
        <v>1713</v>
      </c>
      <c r="J1692" s="1135" t="s">
        <v>1681</v>
      </c>
      <c r="K1692" s="1119" t="s">
        <v>1567</v>
      </c>
      <c r="L1692" s="1135" t="s">
        <v>1571</v>
      </c>
      <c r="M1692" s="1134">
        <v>0.3</v>
      </c>
      <c r="N1692" s="1135" t="s">
        <v>1766</v>
      </c>
      <c r="O1692" s="1135">
        <v>6.0000000000000001E-3</v>
      </c>
      <c r="P1692" s="1048"/>
      <c r="Q1692" s="1048"/>
      <c r="R1692" s="1158"/>
      <c r="S1692" s="1048"/>
      <c r="T1692" s="1048"/>
      <c r="U1692" s="1102"/>
    </row>
    <row r="1693" spans="2:21" hidden="1" outlineLevel="2">
      <c r="B1693" s="1050">
        <v>78</v>
      </c>
      <c r="C1693" s="1050" t="str">
        <f t="shared" si="148"/>
        <v>2016 - usage : Eclairage public, France continentale, Base Carbone</v>
      </c>
      <c r="D1693" s="1051">
        <f t="shared" si="149"/>
        <v>26</v>
      </c>
      <c r="E1693" s="1051" t="str">
        <f>IF(COUNTIF(E$1615:E1692,F1693)&gt;0,"",F1693)</f>
        <v>2010 - usage : Industrie base, France continentale, Base Carbone</v>
      </c>
      <c r="F1693" s="1051" t="str">
        <f t="shared" si="150"/>
        <v>2010 - usage : Industrie base, France continentale, Base Carbone</v>
      </c>
      <c r="G1693" s="1055" t="str">
        <f t="shared" si="151"/>
        <v>2010 - usage : Industrie base, France continentale, Base Carbone; kgCO2e/kWh, Combustion à la centrale</v>
      </c>
      <c r="I1693" s="2018" t="s">
        <v>1714</v>
      </c>
      <c r="J1693" s="1135" t="s">
        <v>1681</v>
      </c>
      <c r="K1693" s="1119" t="s">
        <v>1567</v>
      </c>
      <c r="L1693" s="1135" t="s">
        <v>1571</v>
      </c>
      <c r="M1693" s="1134">
        <v>0.3</v>
      </c>
      <c r="N1693" s="1135" t="s">
        <v>1763</v>
      </c>
      <c r="O1693" s="1135">
        <v>3.4200000000000001E-2</v>
      </c>
      <c r="P1693" s="1048"/>
      <c r="Q1693" s="1048"/>
      <c r="R1693" s="1158"/>
      <c r="S1693" s="1048"/>
      <c r="T1693" s="1048"/>
      <c r="U1693" s="1102"/>
    </row>
    <row r="1694" spans="2:21" hidden="1" outlineLevel="2">
      <c r="B1694" s="1050">
        <v>79</v>
      </c>
      <c r="C1694" s="1050" t="str">
        <f t="shared" si="148"/>
        <v>2016 - usage : Eclairage résidentiel, France continentale, Base Carbone</v>
      </c>
      <c r="D1694" s="1051">
        <f t="shared" si="149"/>
        <v>26</v>
      </c>
      <c r="E1694" s="1051" t="str">
        <f>IF(COUNTIF(E$1615:E1693,F1694)&gt;0,"",F1694)</f>
        <v/>
      </c>
      <c r="F1694" s="1051" t="str">
        <f t="shared" si="150"/>
        <v>2010 - usage : Industrie base, France continentale, Base Carbone</v>
      </c>
      <c r="G1694" s="1055" t="str">
        <f t="shared" si="151"/>
        <v>2010 - usage : Industrie base, France continentale, Base Carbone; kgCO2e/kWh, Amont</v>
      </c>
      <c r="I1694" s="2018" t="s">
        <v>1714</v>
      </c>
      <c r="J1694" s="1135" t="s">
        <v>1681</v>
      </c>
      <c r="K1694" s="1119" t="s">
        <v>1567</v>
      </c>
      <c r="L1694" s="1135" t="s">
        <v>1571</v>
      </c>
      <c r="M1694" s="1134">
        <v>0.3</v>
      </c>
      <c r="N1694" s="1135" t="s">
        <v>1570</v>
      </c>
      <c r="O1694" s="1135">
        <v>0.01</v>
      </c>
      <c r="P1694" s="1048"/>
      <c r="Q1694" s="1048"/>
      <c r="R1694" s="1158"/>
      <c r="S1694" s="1048"/>
      <c r="T1694" s="1048"/>
      <c r="U1694" s="1102"/>
    </row>
    <row r="1695" spans="2:21" hidden="1" outlineLevel="2">
      <c r="B1695" s="1050">
        <v>80</v>
      </c>
      <c r="C1695" s="1050" t="str">
        <f t="shared" si="148"/>
        <v>2016 - usage : Industrie base, France continentale, Base Carbone</v>
      </c>
      <c r="D1695" s="1051">
        <f t="shared" si="149"/>
        <v>26</v>
      </c>
      <c r="E1695" s="1051" t="str">
        <f>IF(COUNTIF(E$1615:E1694,F1695)&gt;0,"",F1695)</f>
        <v/>
      </c>
      <c r="F1695" s="1051" t="str">
        <f t="shared" si="150"/>
        <v>2010 - usage : Industrie base, France continentale, Base Carbone</v>
      </c>
      <c r="G1695" s="1055" t="str">
        <f t="shared" si="151"/>
        <v>2010 - usage : Industrie base, France continentale, Base Carbone; kgCO2e/kWh, Pertes</v>
      </c>
      <c r="I1695" s="2018" t="s">
        <v>1714</v>
      </c>
      <c r="J1695" s="1135" t="s">
        <v>1681</v>
      </c>
      <c r="K1695" s="1119" t="s">
        <v>1567</v>
      </c>
      <c r="L1695" s="1135" t="s">
        <v>1571</v>
      </c>
      <c r="M1695" s="1134">
        <v>0.3</v>
      </c>
      <c r="N1695" s="1135" t="s">
        <v>1766</v>
      </c>
      <c r="O1695" s="1135">
        <v>6.0000000000000001E-3</v>
      </c>
      <c r="P1695" s="1048"/>
      <c r="Q1695" s="1048"/>
      <c r="R1695" s="1158"/>
      <c r="S1695" s="1048"/>
      <c r="T1695" s="1048"/>
      <c r="U1695" s="1102"/>
    </row>
    <row r="1696" spans="2:21" hidden="1" outlineLevel="2">
      <c r="B1696" s="1050">
        <v>81</v>
      </c>
      <c r="C1696" s="1050" t="str">
        <f t="shared" si="148"/>
        <v>2016 - usage : Transports, France continentale, Base Carbone</v>
      </c>
      <c r="D1696" s="1051">
        <f t="shared" si="149"/>
        <v>27</v>
      </c>
      <c r="E1696" s="1051" t="str">
        <f>IF(COUNTIF(E$1615:E1695,F1696)&gt;0,"",F1696)</f>
        <v>2010 - usage : Transports, France continentale, Base Carbone</v>
      </c>
      <c r="F1696" s="1051" t="str">
        <f t="shared" si="150"/>
        <v>2010 - usage : Transports, France continentale, Base Carbone</v>
      </c>
      <c r="G1696" s="1055" t="str">
        <f t="shared" si="151"/>
        <v>2010 - usage : Transports, France continentale, Base Carbone; kgCO2e/kWh, Combustion à la centrale</v>
      </c>
      <c r="I1696" s="2018" t="s">
        <v>1715</v>
      </c>
      <c r="J1696" s="1135" t="s">
        <v>1681</v>
      </c>
      <c r="K1696" s="1119" t="s">
        <v>1567</v>
      </c>
      <c r="L1696" s="1135" t="s">
        <v>1571</v>
      </c>
      <c r="M1696" s="1134">
        <v>0.3</v>
      </c>
      <c r="N1696" s="1135" t="s">
        <v>1763</v>
      </c>
      <c r="O1696" s="1135">
        <v>3.2199999999999999E-2</v>
      </c>
      <c r="P1696" s="1048"/>
      <c r="Q1696" s="1048"/>
      <c r="R1696" s="1158"/>
      <c r="S1696" s="1048"/>
      <c r="T1696" s="1048"/>
      <c r="U1696" s="1102"/>
    </row>
    <row r="1697" spans="2:21" hidden="1" outlineLevel="2">
      <c r="B1697" s="1050">
        <v>82</v>
      </c>
      <c r="C1697" s="1050" t="str">
        <f t="shared" si="148"/>
        <v>2017 - usage : Autres (BTP. recherche. armée. etc.), France continentale, Base Carbone</v>
      </c>
      <c r="D1697" s="1051">
        <f t="shared" si="149"/>
        <v>27</v>
      </c>
      <c r="E1697" s="1051" t="str">
        <f>IF(COUNTIF(E$1615:E1696,F1697)&gt;0,"",F1697)</f>
        <v/>
      </c>
      <c r="F1697" s="1051" t="str">
        <f t="shared" si="150"/>
        <v>2010 - usage : Transports, France continentale, Base Carbone</v>
      </c>
      <c r="G1697" s="1055" t="str">
        <f t="shared" si="151"/>
        <v>2010 - usage : Transports, France continentale, Base Carbone; kgCO2e/kWh, Amont</v>
      </c>
      <c r="I1697" s="2018" t="s">
        <v>1715</v>
      </c>
      <c r="J1697" s="1135" t="s">
        <v>1681</v>
      </c>
      <c r="K1697" s="1119" t="s">
        <v>1567</v>
      </c>
      <c r="L1697" s="1135" t="s">
        <v>1571</v>
      </c>
      <c r="M1697" s="1134">
        <v>0.3</v>
      </c>
      <c r="N1697" s="1135" t="s">
        <v>1570</v>
      </c>
      <c r="O1697" s="1135">
        <v>0.01</v>
      </c>
      <c r="P1697" s="1048"/>
      <c r="Q1697" s="1048"/>
      <c r="R1697" s="1158"/>
      <c r="S1697" s="1048"/>
      <c r="T1697" s="1048"/>
      <c r="U1697" s="1102"/>
    </row>
    <row r="1698" spans="2:21" hidden="1" outlineLevel="2">
      <c r="B1698" s="1050">
        <v>83</v>
      </c>
      <c r="C1698" s="1050" t="str">
        <f t="shared" si="148"/>
        <v>2017 - usage : chauffage, France continentale, Base Carbone</v>
      </c>
      <c r="D1698" s="1051">
        <f t="shared" si="149"/>
        <v>27</v>
      </c>
      <c r="E1698" s="1051" t="str">
        <f>IF(COUNTIF(E$1615:E1697,F1698)&gt;0,"",F1698)</f>
        <v/>
      </c>
      <c r="F1698" s="1051" t="str">
        <f t="shared" si="150"/>
        <v>2010 - usage : Transports, France continentale, Base Carbone</v>
      </c>
      <c r="G1698" s="1055" t="str">
        <f t="shared" si="151"/>
        <v>2010 - usage : Transports, France continentale, Base Carbone; kgCO2e/kWh, Pertes</v>
      </c>
      <c r="I1698" s="2018" t="s">
        <v>1715</v>
      </c>
      <c r="J1698" s="1135" t="s">
        <v>1681</v>
      </c>
      <c r="K1698" s="1119" t="s">
        <v>1567</v>
      </c>
      <c r="L1698" s="1135" t="s">
        <v>1571</v>
      </c>
      <c r="M1698" s="1134">
        <v>0.3</v>
      </c>
      <c r="N1698" s="1135" t="s">
        <v>1766</v>
      </c>
      <c r="O1698" s="1135">
        <v>6.0000000000000001E-3</v>
      </c>
      <c r="P1698" s="1048"/>
      <c r="Q1698" s="1048"/>
      <c r="R1698" s="1158"/>
      <c r="S1698" s="1048"/>
      <c r="T1698" s="1048"/>
      <c r="U1698" s="1102"/>
    </row>
    <row r="1699" spans="2:21" hidden="1" outlineLevel="2">
      <c r="B1699" s="1050">
        <v>84</v>
      </c>
      <c r="C1699" s="1050" t="str">
        <f t="shared" si="148"/>
        <v>2017 - usage : Climatisation tertiaire, France continentale, Base Carbone</v>
      </c>
      <c r="D1699" s="1051">
        <f t="shared" si="149"/>
        <v>27</v>
      </c>
      <c r="E1699" s="1051" t="str">
        <f>IF(COUNTIF(E$1615:E1698,F1699)&gt;0,"",F1699)</f>
        <v/>
      </c>
      <c r="F1699" s="1051" t="str">
        <f t="shared" si="150"/>
        <v/>
      </c>
      <c r="G1699" s="1055" t="str">
        <f t="shared" si="151"/>
        <v/>
      </c>
      <c r="I1699" s="2018"/>
      <c r="J1699" s="1135"/>
      <c r="K1699" s="1119"/>
      <c r="L1699" s="1135"/>
      <c r="M1699" s="1134"/>
      <c r="N1699" s="1135"/>
      <c r="O1699" s="1135"/>
      <c r="P1699" s="1048"/>
      <c r="Q1699" s="1048"/>
      <c r="R1699" s="1158"/>
      <c r="S1699" s="1048"/>
      <c r="T1699" s="1048"/>
      <c r="U1699" s="1102"/>
    </row>
    <row r="1700" spans="2:21" hidden="1" outlineLevel="2">
      <c r="B1700" s="1050">
        <v>85</v>
      </c>
      <c r="C1700" s="1050" t="str">
        <f t="shared" si="148"/>
        <v>2017 - usage : Cuisson résidentiel, France continentale, Base Carbone</v>
      </c>
      <c r="D1700" s="1051">
        <f t="shared" si="149"/>
        <v>28</v>
      </c>
      <c r="E1700" s="1051" t="str">
        <f>IF(COUNTIF(E$1615:E1699,F1700)&gt;0,"",F1700)</f>
        <v>2011 - usage : Autres (BTP. recherche. armée. etc.), France continentale, Base Carbone</v>
      </c>
      <c r="F1700" s="1051" t="str">
        <f t="shared" si="150"/>
        <v>2011 - usage : Autres (BTP. recherche. armée. etc.), France continentale, Base Carbone</v>
      </c>
      <c r="G1700" s="1055" t="str">
        <f t="shared" si="151"/>
        <v>2011 - usage : Autres (BTP. recherche. armée. etc.), France continentale, Base Carbone; kgCO2e/kWh, Combustion à la centrale</v>
      </c>
      <c r="I1700" s="2018" t="s">
        <v>1717</v>
      </c>
      <c r="J1700" s="1135" t="s">
        <v>1681</v>
      </c>
      <c r="K1700" s="1119" t="s">
        <v>1567</v>
      </c>
      <c r="L1700" s="1135" t="s">
        <v>1571</v>
      </c>
      <c r="M1700" s="1134">
        <v>0.3</v>
      </c>
      <c r="N1700" s="1135" t="s">
        <v>1763</v>
      </c>
      <c r="O1700" s="1135">
        <v>3.3300000000000003E-2</v>
      </c>
      <c r="P1700" s="1048"/>
      <c r="Q1700" s="1048"/>
      <c r="R1700" s="1158"/>
      <c r="S1700" s="1048"/>
      <c r="T1700" s="1048"/>
      <c r="U1700" s="1102"/>
    </row>
    <row r="1701" spans="2:21" hidden="1" outlineLevel="2">
      <c r="B1701" s="1050">
        <v>86</v>
      </c>
      <c r="C1701" s="1050" t="str">
        <f t="shared" si="148"/>
        <v>2017 - usage : Eau Chaude Sanitaire, France continentale, Base Carbone</v>
      </c>
      <c r="D1701" s="1051">
        <f t="shared" si="149"/>
        <v>28</v>
      </c>
      <c r="E1701" s="1051" t="str">
        <f>IF(COUNTIF(E$1615:E1700,F1701)&gt;0,"",F1701)</f>
        <v/>
      </c>
      <c r="F1701" s="1051" t="str">
        <f t="shared" si="150"/>
        <v>2011 - usage : Autres (BTP. recherche. armée. etc.), France continentale, Base Carbone</v>
      </c>
      <c r="G1701" s="1055" t="str">
        <f t="shared" si="151"/>
        <v>2011 - usage : Autres (BTP. recherche. armée. etc.), France continentale, Base Carbone; kgCO2e/kWh, Amont</v>
      </c>
      <c r="I1701" s="2018" t="s">
        <v>1717</v>
      </c>
      <c r="J1701" s="1135" t="s">
        <v>1681</v>
      </c>
      <c r="K1701" s="1119" t="s">
        <v>1567</v>
      </c>
      <c r="L1701" s="1135" t="s">
        <v>1571</v>
      </c>
      <c r="M1701" s="1134">
        <v>0.3</v>
      </c>
      <c r="N1701" s="1135" t="s">
        <v>1570</v>
      </c>
      <c r="O1701" s="1135">
        <v>1.01E-2</v>
      </c>
      <c r="P1701" s="1048"/>
      <c r="Q1701" s="1048"/>
      <c r="R1701" s="1158"/>
      <c r="S1701" s="1048"/>
      <c r="T1701" s="1048"/>
      <c r="U1701" s="1102"/>
    </row>
    <row r="1702" spans="2:21" hidden="1" outlineLevel="2">
      <c r="B1702" s="1050">
        <v>87</v>
      </c>
      <c r="C1702" s="1050" t="str">
        <f t="shared" si="148"/>
        <v>2017 - usage : Eclairage public, France continentale, Base Carbone</v>
      </c>
      <c r="D1702" s="1051">
        <f t="shared" si="149"/>
        <v>28</v>
      </c>
      <c r="E1702" s="1051" t="str">
        <f>IF(COUNTIF(E$1615:E1701,F1702)&gt;0,"",F1702)</f>
        <v/>
      </c>
      <c r="F1702" s="1051" t="str">
        <f t="shared" si="150"/>
        <v>2011 - usage : Autres (BTP. recherche. armée. etc.), France continentale, Base Carbone</v>
      </c>
      <c r="G1702" s="1055" t="str">
        <f t="shared" si="151"/>
        <v>2011 - usage : Autres (BTP. recherche. armée. etc.), France continentale, Base Carbone; kgCO2e/kWh, Pertes</v>
      </c>
      <c r="I1702" s="2018" t="s">
        <v>1717</v>
      </c>
      <c r="J1702" s="1135" t="s">
        <v>1681</v>
      </c>
      <c r="K1702" s="1119" t="s">
        <v>1567</v>
      </c>
      <c r="L1702" s="1135" t="s">
        <v>1571</v>
      </c>
      <c r="M1702" s="1134">
        <v>0.3</v>
      </c>
      <c r="N1702" s="1135" t="s">
        <v>1766</v>
      </c>
      <c r="O1702" s="1135">
        <v>6.0000000000000001E-3</v>
      </c>
      <c r="P1702" s="1048"/>
      <c r="Q1702" s="1048"/>
      <c r="R1702" s="1158"/>
      <c r="S1702" s="1048"/>
      <c r="T1702" s="1048"/>
      <c r="U1702" s="1102"/>
    </row>
    <row r="1703" spans="2:21" hidden="1" outlineLevel="2">
      <c r="B1703" s="1050">
        <v>88</v>
      </c>
      <c r="C1703" s="1050" t="str">
        <f t="shared" si="148"/>
        <v>2017 - usage : Eclairage résidentiel, France continentale, Base Carbone</v>
      </c>
      <c r="D1703" s="1051">
        <f t="shared" si="149"/>
        <v>29</v>
      </c>
      <c r="E1703" s="1051" t="str">
        <f>IF(COUNTIF(E$1615:E1702,F1703)&gt;0,"",F1703)</f>
        <v>2011 - usage : chauffage, France continentale, Base Carbone</v>
      </c>
      <c r="F1703" s="1051" t="str">
        <f t="shared" si="150"/>
        <v>2011 - usage : chauffage, France continentale, Base Carbone</v>
      </c>
      <c r="G1703" s="1055" t="str">
        <f t="shared" si="151"/>
        <v>2011 - usage : chauffage, France continentale, Base Carbone; kgCO2e/kWh, Combustion à la centrale</v>
      </c>
      <c r="I1703" s="2018" t="s">
        <v>1718</v>
      </c>
      <c r="J1703" s="1135" t="s">
        <v>1681</v>
      </c>
      <c r="K1703" s="1119" t="s">
        <v>1567</v>
      </c>
      <c r="L1703" s="1135" t="s">
        <v>1571</v>
      </c>
      <c r="M1703" s="1134">
        <v>0.3</v>
      </c>
      <c r="N1703" s="1135" t="s">
        <v>1763</v>
      </c>
      <c r="O1703" s="1135">
        <v>0.17799999999999999</v>
      </c>
      <c r="P1703" s="1048"/>
      <c r="Q1703" s="1048"/>
      <c r="R1703" s="1158"/>
      <c r="S1703" s="1048"/>
      <c r="T1703" s="1048"/>
      <c r="U1703" s="1102"/>
    </row>
    <row r="1704" spans="2:21" hidden="1" outlineLevel="2">
      <c r="B1704" s="1050">
        <v>89</v>
      </c>
      <c r="C1704" s="1050" t="str">
        <f t="shared" si="148"/>
        <v>2017 - usage : Industrie base, France continentale, Base Carbone</v>
      </c>
      <c r="D1704" s="1051">
        <f t="shared" si="149"/>
        <v>29</v>
      </c>
      <c r="E1704" s="1051" t="str">
        <f>IF(COUNTIF(E$1615:E1703,F1704)&gt;0,"",F1704)</f>
        <v/>
      </c>
      <c r="F1704" s="1051" t="str">
        <f t="shared" si="150"/>
        <v>2011 - usage : chauffage, France continentale, Base Carbone</v>
      </c>
      <c r="G1704" s="1055" t="str">
        <f t="shared" si="151"/>
        <v>2011 - usage : chauffage, France continentale, Base Carbone; kgCO2e/kWh, Amont</v>
      </c>
      <c r="I1704" s="2018" t="s">
        <v>1718</v>
      </c>
      <c r="J1704" s="1135" t="s">
        <v>1681</v>
      </c>
      <c r="K1704" s="1119" t="s">
        <v>1567</v>
      </c>
      <c r="L1704" s="1135" t="s">
        <v>1571</v>
      </c>
      <c r="M1704" s="1134">
        <v>0.3</v>
      </c>
      <c r="N1704" s="1135" t="s">
        <v>1570</v>
      </c>
      <c r="O1704" s="1135">
        <v>2.7199999999999998E-2</v>
      </c>
      <c r="P1704" s="1048"/>
      <c r="Q1704" s="1048"/>
      <c r="R1704" s="1158"/>
      <c r="S1704" s="1048"/>
      <c r="T1704" s="1048"/>
      <c r="U1704" s="1102"/>
    </row>
    <row r="1705" spans="2:21" hidden="1" outlineLevel="2">
      <c r="B1705" s="1050">
        <v>90</v>
      </c>
      <c r="C1705" s="1050" t="str">
        <f t="shared" si="148"/>
        <v>2017 - usage : Transports, France continentale, Base Carbone</v>
      </c>
      <c r="D1705" s="1051">
        <f t="shared" si="149"/>
        <v>29</v>
      </c>
      <c r="E1705" s="1051" t="str">
        <f>IF(COUNTIF(E$1615:E1704,F1705)&gt;0,"",F1705)</f>
        <v/>
      </c>
      <c r="F1705" s="1051" t="str">
        <f t="shared" si="150"/>
        <v>2011 - usage : chauffage, France continentale, Base Carbone</v>
      </c>
      <c r="G1705" s="1055" t="str">
        <f t="shared" si="151"/>
        <v>2011 - usage : chauffage, France continentale, Base Carbone; kgCO2e/kWh, Pertes</v>
      </c>
      <c r="I1705" s="2018" t="s">
        <v>1718</v>
      </c>
      <c r="J1705" s="1135" t="s">
        <v>1681</v>
      </c>
      <c r="K1705" s="1119" t="s">
        <v>1567</v>
      </c>
      <c r="L1705" s="1135" t="s">
        <v>1571</v>
      </c>
      <c r="M1705" s="1134">
        <v>0.3</v>
      </c>
      <c r="N1705" s="1135" t="s">
        <v>1766</v>
      </c>
      <c r="O1705" s="1135">
        <v>6.0000000000000001E-3</v>
      </c>
      <c r="P1705" s="1048"/>
      <c r="Q1705" s="1048"/>
      <c r="R1705" s="1158"/>
      <c r="S1705" s="1048"/>
      <c r="T1705" s="1048"/>
      <c r="U1705" s="1102"/>
    </row>
    <row r="1706" spans="2:21" hidden="1" outlineLevel="2">
      <c r="B1706" s="1050">
        <v>91</v>
      </c>
      <c r="C1706" s="1050" t="str">
        <f t="shared" si="148"/>
        <v>2018 - usage : Autres (BTP. recherche. armée. etc.), France continentale, Base Carbone</v>
      </c>
      <c r="D1706" s="1051">
        <f t="shared" si="149"/>
        <v>30</v>
      </c>
      <c r="E1706" s="1051" t="str">
        <f>IF(COUNTIF(E$1615:E1705,F1706)&gt;0,"",F1706)</f>
        <v>2011 - usage : Climatisation tertiaire, France continentale, Base Carbone</v>
      </c>
      <c r="F1706" s="1051" t="str">
        <f t="shared" si="150"/>
        <v>2011 - usage : Climatisation tertiaire, France continentale, Base Carbone</v>
      </c>
      <c r="G1706" s="1055" t="str">
        <f t="shared" si="151"/>
        <v>2011 - usage : Climatisation tertiaire, France continentale, Base Carbone; kgCO2e/kWh, Combustion à la centrale</v>
      </c>
      <c r="I1706" s="2018" t="s">
        <v>1719</v>
      </c>
      <c r="J1706" s="1135" t="s">
        <v>1681</v>
      </c>
      <c r="K1706" s="1119" t="s">
        <v>1567</v>
      </c>
      <c r="L1706" s="1135" t="s">
        <v>1571</v>
      </c>
      <c r="M1706" s="1134">
        <v>0.3</v>
      </c>
      <c r="N1706" s="1135" t="s">
        <v>1763</v>
      </c>
      <c r="O1706" s="1135">
        <v>4.0599999999999997E-2</v>
      </c>
      <c r="P1706" s="1048"/>
      <c r="Q1706" s="1048"/>
      <c r="R1706" s="1158"/>
      <c r="S1706" s="1048"/>
      <c r="T1706" s="1048"/>
      <c r="U1706" s="1102"/>
    </row>
    <row r="1707" spans="2:21" hidden="1" outlineLevel="2">
      <c r="B1707" s="1050">
        <v>92</v>
      </c>
      <c r="C1707" s="1050" t="str">
        <f t="shared" si="148"/>
        <v>2018 - usage : chauffage, France continentale, Base Carbone</v>
      </c>
      <c r="D1707" s="1051">
        <f t="shared" si="149"/>
        <v>30</v>
      </c>
      <c r="E1707" s="1051" t="str">
        <f>IF(COUNTIF(E$1615:E1706,F1707)&gt;0,"",F1707)</f>
        <v/>
      </c>
      <c r="F1707" s="1051" t="str">
        <f t="shared" si="150"/>
        <v>2011 - usage : Climatisation tertiaire, France continentale, Base Carbone</v>
      </c>
      <c r="G1707" s="1055" t="str">
        <f t="shared" si="151"/>
        <v>2011 - usage : Climatisation tertiaire, France continentale, Base Carbone; kgCO2e/kWh, Amont</v>
      </c>
      <c r="I1707" s="2018" t="s">
        <v>1719</v>
      </c>
      <c r="J1707" s="1135" t="s">
        <v>1681</v>
      </c>
      <c r="K1707" s="1119" t="s">
        <v>1567</v>
      </c>
      <c r="L1707" s="1135" t="s">
        <v>1571</v>
      </c>
      <c r="M1707" s="1134">
        <v>0.3</v>
      </c>
      <c r="N1707" s="1135" t="s">
        <v>1570</v>
      </c>
      <c r="O1707" s="1135">
        <v>1.0999999999999999E-2</v>
      </c>
      <c r="P1707" s="1048"/>
      <c r="Q1707" s="1048"/>
      <c r="R1707" s="1158"/>
      <c r="S1707" s="1048"/>
      <c r="T1707" s="1048"/>
      <c r="U1707" s="1102"/>
    </row>
    <row r="1708" spans="2:21" hidden="1" outlineLevel="2">
      <c r="B1708" s="1050">
        <v>93</v>
      </c>
      <c r="C1708" s="1050" t="str">
        <f t="shared" si="148"/>
        <v>2018 - usage : Climatisation tertiaire, France continentale, Base Carbone</v>
      </c>
      <c r="D1708" s="1051">
        <f t="shared" si="149"/>
        <v>30</v>
      </c>
      <c r="E1708" s="1051" t="str">
        <f>IF(COUNTIF(E$1615:E1707,F1708)&gt;0,"",F1708)</f>
        <v/>
      </c>
      <c r="F1708" s="1051" t="str">
        <f t="shared" si="150"/>
        <v>2011 - usage : Climatisation tertiaire, France continentale, Base Carbone</v>
      </c>
      <c r="G1708" s="1055" t="str">
        <f t="shared" si="151"/>
        <v>2011 - usage : Climatisation tertiaire, France continentale, Base Carbone; kgCO2e/kWh, Pertes</v>
      </c>
      <c r="I1708" s="2018" t="s">
        <v>1719</v>
      </c>
      <c r="J1708" s="1135" t="s">
        <v>1681</v>
      </c>
      <c r="K1708" s="1119" t="s">
        <v>1567</v>
      </c>
      <c r="L1708" s="1135" t="s">
        <v>1571</v>
      </c>
      <c r="M1708" s="1134">
        <v>0.3</v>
      </c>
      <c r="N1708" s="1135" t="s">
        <v>1766</v>
      </c>
      <c r="O1708" s="1135">
        <v>6.0000000000000001E-3</v>
      </c>
      <c r="P1708" s="1048"/>
      <c r="Q1708" s="1048"/>
      <c r="R1708" s="1158"/>
      <c r="S1708" s="1048"/>
      <c r="T1708" s="1048"/>
      <c r="U1708" s="1102"/>
    </row>
    <row r="1709" spans="2:21" hidden="1" outlineLevel="2">
      <c r="B1709" s="1050">
        <v>94</v>
      </c>
      <c r="C1709" s="1050" t="str">
        <f t="shared" si="148"/>
        <v>2018 - usage : Cuisson résidentiel, France continentale, Base Carbone</v>
      </c>
      <c r="D1709" s="1051">
        <f t="shared" si="149"/>
        <v>31</v>
      </c>
      <c r="E1709" s="1051" t="str">
        <f>IF(COUNTIF(E$1615:E1708,F1709)&gt;0,"",F1709)</f>
        <v>2011 - usage : Cuisson résidentiel, France continentale, Base Carbone</v>
      </c>
      <c r="F1709" s="1051" t="str">
        <f t="shared" si="150"/>
        <v>2011 - usage : Cuisson résidentiel, France continentale, Base Carbone</v>
      </c>
      <c r="G1709" s="1055" t="str">
        <f t="shared" si="151"/>
        <v>2011 - usage : Cuisson résidentiel, France continentale, Base Carbone; kgCO2e/kWh, Combustion à la centrale</v>
      </c>
      <c r="I1709" s="2018" t="s">
        <v>1720</v>
      </c>
      <c r="J1709" s="1135" t="s">
        <v>1681</v>
      </c>
      <c r="K1709" s="1119" t="s">
        <v>1567</v>
      </c>
      <c r="L1709" s="1135" t="s">
        <v>1571</v>
      </c>
      <c r="M1709" s="1134">
        <v>0.3</v>
      </c>
      <c r="N1709" s="1135" t="s">
        <v>1763</v>
      </c>
      <c r="O1709" s="1135">
        <v>5.5100000000000003E-2</v>
      </c>
      <c r="P1709" s="1048"/>
      <c r="Q1709" s="1048"/>
      <c r="R1709" s="1158"/>
      <c r="S1709" s="1048"/>
      <c r="T1709" s="1048"/>
      <c r="U1709" s="1102"/>
    </row>
    <row r="1710" spans="2:21" hidden="1" outlineLevel="2">
      <c r="B1710" s="1050">
        <v>95</v>
      </c>
      <c r="C1710" s="1050" t="str">
        <f t="shared" si="148"/>
        <v>2018 - usage : Eau Chaude Sanitaire, France continentale, Base Carbone</v>
      </c>
      <c r="D1710" s="1051">
        <f t="shared" si="149"/>
        <v>31</v>
      </c>
      <c r="E1710" s="1051" t="str">
        <f>IF(COUNTIF(E$1615:E1709,F1710)&gt;0,"",F1710)</f>
        <v/>
      </c>
      <c r="F1710" s="1051" t="str">
        <f t="shared" si="150"/>
        <v>2011 - usage : Cuisson résidentiel, France continentale, Base Carbone</v>
      </c>
      <c r="G1710" s="1055" t="str">
        <f t="shared" si="151"/>
        <v>2011 - usage : Cuisson résidentiel, France continentale, Base Carbone; kgCO2e/kWh, Amont</v>
      </c>
      <c r="I1710" s="2018" t="s">
        <v>1720</v>
      </c>
      <c r="J1710" s="1135" t="s">
        <v>1681</v>
      </c>
      <c r="K1710" s="1119" t="s">
        <v>1567</v>
      </c>
      <c r="L1710" s="1135" t="s">
        <v>1571</v>
      </c>
      <c r="M1710" s="1134">
        <v>0.3</v>
      </c>
      <c r="N1710" s="1135" t="s">
        <v>1570</v>
      </c>
      <c r="O1710" s="1135">
        <v>1.2699999999999999E-2</v>
      </c>
      <c r="P1710" s="1048"/>
      <c r="Q1710" s="1048"/>
      <c r="R1710" s="1158"/>
      <c r="S1710" s="1048"/>
      <c r="T1710" s="1048"/>
      <c r="U1710" s="1102"/>
    </row>
    <row r="1711" spans="2:21" hidden="1" outlineLevel="2">
      <c r="B1711" s="1050">
        <v>96</v>
      </c>
      <c r="C1711" s="1050" t="str">
        <f t="shared" si="148"/>
        <v>2018 - usage : Eclairage public, France continentale, Base Carbone</v>
      </c>
      <c r="D1711" s="1051">
        <f t="shared" si="149"/>
        <v>31</v>
      </c>
      <c r="E1711" s="1051" t="str">
        <f>IF(COUNTIF(E$1615:E1710,F1711)&gt;0,"",F1711)</f>
        <v/>
      </c>
      <c r="F1711" s="1051" t="str">
        <f t="shared" si="150"/>
        <v>2011 - usage : Cuisson résidentiel, France continentale, Base Carbone</v>
      </c>
      <c r="G1711" s="1055" t="str">
        <f t="shared" si="151"/>
        <v>2011 - usage : Cuisson résidentiel, France continentale, Base Carbone; kgCO2e/kWh, Pertes</v>
      </c>
      <c r="I1711" s="2018" t="s">
        <v>1720</v>
      </c>
      <c r="J1711" s="1135" t="s">
        <v>1681</v>
      </c>
      <c r="K1711" s="1119" t="s">
        <v>1567</v>
      </c>
      <c r="L1711" s="1135" t="s">
        <v>1571</v>
      </c>
      <c r="M1711" s="1134">
        <v>0.3</v>
      </c>
      <c r="N1711" s="1135" t="s">
        <v>1766</v>
      </c>
      <c r="O1711" s="1135">
        <v>6.0000000000000001E-3</v>
      </c>
      <c r="P1711" s="1048"/>
      <c r="Q1711" s="1048"/>
      <c r="R1711" s="1158"/>
      <c r="S1711" s="1048"/>
      <c r="T1711" s="1048"/>
      <c r="U1711" s="1102"/>
    </row>
    <row r="1712" spans="2:21" hidden="1" outlineLevel="2">
      <c r="B1712" s="1050">
        <v>97</v>
      </c>
      <c r="C1712" s="1050" t="str">
        <f t="shared" si="148"/>
        <v>2018 - usage : Eclairage résidentiel, France continentale, Base Carbone</v>
      </c>
      <c r="D1712" s="1051">
        <f t="shared" si="149"/>
        <v>32</v>
      </c>
      <c r="E1712" s="1051" t="str">
        <f>IF(COUNTIF(E$1615:E1711,F1712)&gt;0,"",F1712)</f>
        <v>2011 - usage : Eau Chaude Sanitaire, France continentale, Base Carbone</v>
      </c>
      <c r="F1712" s="1051" t="str">
        <f t="shared" si="150"/>
        <v>2011 - usage : Eau Chaude Sanitaire, France continentale, Base Carbone</v>
      </c>
      <c r="G1712" s="1055" t="str">
        <f t="shared" si="151"/>
        <v>2011 - usage : Eau Chaude Sanitaire, France continentale, Base Carbone; kgCO2e/kWh, Combustion à la centrale</v>
      </c>
      <c r="I1712" s="2018" t="s">
        <v>1721</v>
      </c>
      <c r="J1712" s="1135" t="s">
        <v>1681</v>
      </c>
      <c r="K1712" s="1119" t="s">
        <v>1567</v>
      </c>
      <c r="L1712" s="1135" t="s">
        <v>1571</v>
      </c>
      <c r="M1712" s="1134">
        <v>0.3</v>
      </c>
      <c r="N1712" s="1135" t="s">
        <v>1763</v>
      </c>
      <c r="O1712" s="1135">
        <v>4.0099999999999997E-2</v>
      </c>
      <c r="P1712" s="1048"/>
      <c r="Q1712" s="1048"/>
      <c r="R1712" s="1158"/>
      <c r="S1712" s="1048"/>
      <c r="T1712" s="1048"/>
      <c r="U1712" s="1102"/>
    </row>
    <row r="1713" spans="2:21" hidden="1" outlineLevel="2">
      <c r="B1713" s="1050">
        <v>98</v>
      </c>
      <c r="C1713" s="1050" t="str">
        <f t="shared" si="148"/>
        <v>2018 - usage : Industrie base, France continentale, Base Carbone</v>
      </c>
      <c r="D1713" s="1051">
        <f t="shared" si="149"/>
        <v>32</v>
      </c>
      <c r="E1713" s="1051" t="str">
        <f>IF(COUNTIF(E$1615:E1712,F1713)&gt;0,"",F1713)</f>
        <v/>
      </c>
      <c r="F1713" s="1051" t="str">
        <f t="shared" si="150"/>
        <v>2011 - usage : Eau Chaude Sanitaire, France continentale, Base Carbone</v>
      </c>
      <c r="G1713" s="1055" t="str">
        <f t="shared" si="151"/>
        <v>2011 - usage : Eau Chaude Sanitaire, France continentale, Base Carbone; kgCO2e/kWh, Amont</v>
      </c>
      <c r="I1713" s="2018" t="s">
        <v>1721</v>
      </c>
      <c r="J1713" s="1135" t="s">
        <v>1681</v>
      </c>
      <c r="K1713" s="1119" t="s">
        <v>1567</v>
      </c>
      <c r="L1713" s="1135" t="s">
        <v>1571</v>
      </c>
      <c r="M1713" s="1134">
        <v>0.3</v>
      </c>
      <c r="N1713" s="1135" t="s">
        <v>1570</v>
      </c>
      <c r="O1713" s="1135">
        <v>1.09E-2</v>
      </c>
      <c r="P1713" s="1048"/>
      <c r="Q1713" s="1048"/>
      <c r="R1713" s="1158"/>
      <c r="S1713" s="1048"/>
      <c r="T1713" s="1048"/>
      <c r="U1713" s="1102"/>
    </row>
    <row r="1714" spans="2:21" hidden="1" outlineLevel="2">
      <c r="B1714" s="1050">
        <v>99</v>
      </c>
      <c r="C1714" s="1050" t="str">
        <f t="shared" si="148"/>
        <v>2018 - usage : Transports, France continentale, Base Carbone</v>
      </c>
      <c r="D1714" s="1051">
        <f t="shared" si="149"/>
        <v>32</v>
      </c>
      <c r="E1714" s="1051" t="str">
        <f>IF(COUNTIF(E$1615:E1713,F1714)&gt;0,"",F1714)</f>
        <v/>
      </c>
      <c r="F1714" s="1051" t="str">
        <f t="shared" si="150"/>
        <v>2011 - usage : Eau Chaude Sanitaire, France continentale, Base Carbone</v>
      </c>
      <c r="G1714" s="1055" t="str">
        <f t="shared" si="151"/>
        <v>2011 - usage : Eau Chaude Sanitaire, France continentale, Base Carbone; kgCO2e/kWh, Pertes</v>
      </c>
      <c r="I1714" s="2018" t="s">
        <v>1721</v>
      </c>
      <c r="J1714" s="1135" t="s">
        <v>1681</v>
      </c>
      <c r="K1714" s="1119" t="s">
        <v>1567</v>
      </c>
      <c r="L1714" s="1135" t="s">
        <v>1571</v>
      </c>
      <c r="M1714" s="1134">
        <v>0.3</v>
      </c>
      <c r="N1714" s="1135" t="s">
        <v>1766</v>
      </c>
      <c r="O1714" s="1135">
        <v>6.0000000000000001E-3</v>
      </c>
      <c r="P1714" s="1048"/>
      <c r="Q1714" s="1048"/>
      <c r="R1714" s="1158"/>
      <c r="S1714" s="1048"/>
      <c r="T1714" s="1048"/>
      <c r="U1714" s="1102"/>
    </row>
    <row r="1715" spans="2:21" hidden="1" outlineLevel="2">
      <c r="B1715" s="1050">
        <v>100</v>
      </c>
      <c r="C1715" s="1050" t="str">
        <f t="shared" si="148"/>
        <v>2019 - usage : Autres (BTP. recherche. armée. etc.), France continentale, Base Carbone</v>
      </c>
      <c r="D1715" s="1051">
        <f t="shared" si="149"/>
        <v>33</v>
      </c>
      <c r="E1715" s="1051" t="str">
        <f>IF(COUNTIF(E$1615:E1714,F1715)&gt;0,"",F1715)</f>
        <v>2011 - usage : Eclairage public et Industrie, France continentale, Base Carbone</v>
      </c>
      <c r="F1715" s="1051" t="str">
        <f t="shared" si="150"/>
        <v>2011 - usage : Eclairage public et Industrie, France continentale, Base Carbone</v>
      </c>
      <c r="G1715" s="1055" t="str">
        <f t="shared" si="151"/>
        <v>2011 - usage : Eclairage public et Industrie, France continentale, Base Carbone; kgCO2e/kWh, Combustion à la centrale</v>
      </c>
      <c r="I1715" s="2018" t="s">
        <v>1722</v>
      </c>
      <c r="J1715" s="1135" t="s">
        <v>1681</v>
      </c>
      <c r="K1715" s="1119" t="s">
        <v>1567</v>
      </c>
      <c r="L1715" s="1135" t="s">
        <v>1571</v>
      </c>
      <c r="M1715" s="1134">
        <v>0.3</v>
      </c>
      <c r="N1715" s="1135" t="s">
        <v>1763</v>
      </c>
      <c r="O1715" s="1135">
        <v>7.0499999999999993E-2</v>
      </c>
      <c r="P1715" s="1048"/>
      <c r="Q1715" s="1048"/>
      <c r="R1715" s="1158"/>
      <c r="S1715" s="1048"/>
      <c r="T1715" s="1048"/>
      <c r="U1715" s="1102"/>
    </row>
    <row r="1716" spans="2:21" hidden="1" outlineLevel="2">
      <c r="B1716" s="1050">
        <v>101</v>
      </c>
      <c r="C1716" s="1050" t="str">
        <f t="shared" si="148"/>
        <v>2019 - usage : chauffage, France continentale, Base Carbone</v>
      </c>
      <c r="D1716" s="1051">
        <f t="shared" si="149"/>
        <v>33</v>
      </c>
      <c r="E1716" s="1051" t="str">
        <f>IF(COUNTIF(E$1615:E1715,F1716)&gt;0,"",F1716)</f>
        <v/>
      </c>
      <c r="F1716" s="1051" t="str">
        <f t="shared" si="150"/>
        <v>2011 - usage : Eclairage public et Industrie, France continentale, Base Carbone</v>
      </c>
      <c r="G1716" s="1055" t="str">
        <f t="shared" si="151"/>
        <v>2011 - usage : Eclairage public et Industrie, France continentale, Base Carbone; kgCO2e/kWh, Amont</v>
      </c>
      <c r="I1716" s="2018" t="s">
        <v>1722</v>
      </c>
      <c r="J1716" s="1135" t="s">
        <v>1681</v>
      </c>
      <c r="K1716" s="1119" t="s">
        <v>1567</v>
      </c>
      <c r="L1716" s="1135" t="s">
        <v>1571</v>
      </c>
      <c r="M1716" s="1134">
        <v>0.3</v>
      </c>
      <c r="N1716" s="1135" t="s">
        <v>1570</v>
      </c>
      <c r="O1716" s="1135">
        <v>1.4500000000000001E-2</v>
      </c>
      <c r="P1716" s="1048"/>
      <c r="Q1716" s="1048"/>
      <c r="R1716" s="1158"/>
      <c r="S1716" s="1048"/>
      <c r="T1716" s="1048"/>
      <c r="U1716" s="1102"/>
    </row>
    <row r="1717" spans="2:21" hidden="1" outlineLevel="2">
      <c r="B1717" s="1050">
        <v>102</v>
      </c>
      <c r="C1717" s="1050" t="str">
        <f t="shared" si="148"/>
        <v>2019 - usage : Cuisson résidentiel, France continentale, Base Carbone</v>
      </c>
      <c r="D1717" s="1051">
        <f t="shared" si="149"/>
        <v>33</v>
      </c>
      <c r="E1717" s="1051" t="str">
        <f>IF(COUNTIF(E$1615:E1716,F1717)&gt;0,"",F1717)</f>
        <v/>
      </c>
      <c r="F1717" s="1051" t="str">
        <f t="shared" si="150"/>
        <v>2011 - usage : Eclairage public et Industrie, France continentale, Base Carbone</v>
      </c>
      <c r="G1717" s="1055" t="str">
        <f t="shared" si="151"/>
        <v>2011 - usage : Eclairage public et Industrie, France continentale, Base Carbone; kgCO2e/kWh, Pertes</v>
      </c>
      <c r="I1717" s="2018" t="s">
        <v>1722</v>
      </c>
      <c r="J1717" s="1135" t="s">
        <v>1681</v>
      </c>
      <c r="K1717" s="1119" t="s">
        <v>1567</v>
      </c>
      <c r="L1717" s="1135" t="s">
        <v>1571</v>
      </c>
      <c r="M1717" s="1134">
        <v>0.3</v>
      </c>
      <c r="N1717" s="1135" t="s">
        <v>1766</v>
      </c>
      <c r="O1717" s="1135">
        <v>6.0000000000000001E-3</v>
      </c>
      <c r="P1717" s="1048"/>
      <c r="Q1717" s="1048"/>
      <c r="R1717" s="1158"/>
      <c r="S1717" s="1048"/>
      <c r="T1717" s="1048"/>
      <c r="U1717" s="1102"/>
    </row>
    <row r="1718" spans="2:21" hidden="1" outlineLevel="2">
      <c r="B1718" s="1050">
        <v>103</v>
      </c>
      <c r="C1718" s="1050" t="str">
        <f t="shared" si="148"/>
        <v>2019 - usage : Eau Chaude Sanitaire, France continentale, Base Carbone</v>
      </c>
      <c r="D1718" s="1051">
        <f t="shared" si="149"/>
        <v>34</v>
      </c>
      <c r="E1718" s="1051" t="str">
        <f>IF(COUNTIF(E$1615:E1717,F1718)&gt;0,"",F1718)</f>
        <v>2011 - usage : Eclairage résidentiel, France continentale, Base Carbone</v>
      </c>
      <c r="F1718" s="1051" t="str">
        <f t="shared" si="150"/>
        <v>2011 - usage : Eclairage résidentiel, France continentale, Base Carbone</v>
      </c>
      <c r="G1718" s="1055" t="str">
        <f t="shared" si="151"/>
        <v>2011 - usage : Eclairage résidentiel, France continentale, Base Carbone; kgCO2e/kWh, Combustion à la centrale</v>
      </c>
      <c r="I1718" s="2018" t="s">
        <v>1723</v>
      </c>
      <c r="J1718" s="1135" t="s">
        <v>1681</v>
      </c>
      <c r="K1718" s="1119" t="s">
        <v>1567</v>
      </c>
      <c r="L1718" s="1135" t="s">
        <v>1571</v>
      </c>
      <c r="M1718" s="1134">
        <v>0.3</v>
      </c>
      <c r="N1718" s="1135" t="s">
        <v>1763</v>
      </c>
      <c r="O1718" s="1135">
        <v>9.0899999999999995E-2</v>
      </c>
      <c r="P1718" s="1048"/>
      <c r="Q1718" s="1048"/>
      <c r="R1718" s="1158"/>
      <c r="S1718" s="1048"/>
      <c r="T1718" s="1048"/>
      <c r="U1718" s="1102"/>
    </row>
    <row r="1719" spans="2:21" hidden="1" outlineLevel="2">
      <c r="B1719" s="1050">
        <v>104</v>
      </c>
      <c r="C1719" s="1050" t="str">
        <f t="shared" si="148"/>
        <v>2019 - usage : Eclairage public, France continentale, Base Carbone</v>
      </c>
      <c r="D1719" s="1051">
        <f t="shared" si="149"/>
        <v>34</v>
      </c>
      <c r="E1719" s="1051" t="str">
        <f>IF(COUNTIF(E$1615:E1718,F1719)&gt;0,"",F1719)</f>
        <v/>
      </c>
      <c r="F1719" s="1051" t="str">
        <f t="shared" si="150"/>
        <v>2011 - usage : Eclairage résidentiel, France continentale, Base Carbone</v>
      </c>
      <c r="G1719" s="1055" t="str">
        <f t="shared" si="151"/>
        <v>2011 - usage : Eclairage résidentiel, France continentale, Base Carbone; kgCO2e/kWh, Amont</v>
      </c>
      <c r="I1719" s="2018" t="s">
        <v>1723</v>
      </c>
      <c r="J1719" s="1135" t="s">
        <v>1681</v>
      </c>
      <c r="K1719" s="1119" t="s">
        <v>1567</v>
      </c>
      <c r="L1719" s="1135" t="s">
        <v>1571</v>
      </c>
      <c r="M1719" s="1134">
        <v>0.3</v>
      </c>
      <c r="N1719" s="1135" t="s">
        <v>1570</v>
      </c>
      <c r="O1719" s="1135">
        <v>1.6899999999999998E-2</v>
      </c>
      <c r="P1719" s="1048"/>
      <c r="Q1719" s="1048"/>
      <c r="R1719" s="1158"/>
      <c r="S1719" s="1048"/>
      <c r="T1719" s="1048"/>
      <c r="U1719" s="1102"/>
    </row>
    <row r="1720" spans="2:21" hidden="1" outlineLevel="2">
      <c r="B1720" s="1050">
        <v>105</v>
      </c>
      <c r="C1720" s="1050" t="str">
        <f t="shared" si="148"/>
        <v>2019 - usage : Eclairage résidentiel, France continentale, Base Carbone</v>
      </c>
      <c r="D1720" s="1051">
        <f t="shared" si="149"/>
        <v>34</v>
      </c>
      <c r="E1720" s="1051" t="str">
        <f>IF(COUNTIF(E$1615:E1719,F1720)&gt;0,"",F1720)</f>
        <v/>
      </c>
      <c r="F1720" s="1051" t="str">
        <f t="shared" si="150"/>
        <v>2011 - usage : Eclairage résidentiel, France continentale, Base Carbone</v>
      </c>
      <c r="G1720" s="1055" t="str">
        <f t="shared" si="151"/>
        <v>2011 - usage : Eclairage résidentiel, France continentale, Base Carbone; kgCO2e/kWh, Pertes</v>
      </c>
      <c r="I1720" s="2018" t="s">
        <v>1723</v>
      </c>
      <c r="J1720" s="1135" t="s">
        <v>1681</v>
      </c>
      <c r="K1720" s="1119" t="s">
        <v>1567</v>
      </c>
      <c r="L1720" s="1135" t="s">
        <v>1571</v>
      </c>
      <c r="M1720" s="1134">
        <v>0.3</v>
      </c>
      <c r="N1720" s="1135" t="s">
        <v>1766</v>
      </c>
      <c r="O1720" s="1135">
        <v>6.0000000000000001E-3</v>
      </c>
      <c r="P1720" s="1048"/>
      <c r="Q1720" s="1048"/>
      <c r="R1720" s="1158"/>
      <c r="S1720" s="1048"/>
      <c r="T1720" s="1048"/>
      <c r="U1720" s="1102"/>
    </row>
    <row r="1721" spans="2:21" hidden="1" outlineLevel="2">
      <c r="B1721" s="1050">
        <v>106</v>
      </c>
      <c r="C1721" s="1050" t="str">
        <f t="shared" si="148"/>
        <v>2019 - usage : Froid, France continentale, Base Carbone</v>
      </c>
      <c r="D1721" s="1051">
        <f t="shared" si="149"/>
        <v>35</v>
      </c>
      <c r="E1721" s="1051" t="str">
        <f>IF(COUNTIF(E$1615:E1720,F1721)&gt;0,"",F1721)</f>
        <v>2011 - usage : Industrie base, France continentale, Base Carbone</v>
      </c>
      <c r="F1721" s="1051" t="str">
        <f t="shared" si="150"/>
        <v>2011 - usage : Industrie base, France continentale, Base Carbone</v>
      </c>
      <c r="G1721" s="1055" t="str">
        <f t="shared" si="151"/>
        <v>2011 - usage : Industrie base, France continentale, Base Carbone; kgCO2e/kWh, Combustion à la centrale</v>
      </c>
      <c r="I1721" s="2018" t="s">
        <v>1724</v>
      </c>
      <c r="J1721" s="1135" t="s">
        <v>1681</v>
      </c>
      <c r="K1721" s="1119" t="s">
        <v>1567</v>
      </c>
      <c r="L1721" s="1135" t="s">
        <v>1571</v>
      </c>
      <c r="M1721" s="1134">
        <v>0.3</v>
      </c>
      <c r="N1721" s="1135" t="s">
        <v>1763</v>
      </c>
      <c r="O1721" s="1135">
        <v>3.4200000000000001E-2</v>
      </c>
      <c r="P1721" s="1048"/>
      <c r="Q1721" s="1048"/>
      <c r="R1721" s="1158"/>
      <c r="S1721" s="1048"/>
      <c r="T1721" s="1048"/>
      <c r="U1721" s="1102"/>
    </row>
    <row r="1722" spans="2:21" hidden="1" outlineLevel="2">
      <c r="B1722" s="1050">
        <v>107</v>
      </c>
      <c r="C1722" s="1050" t="str">
        <f t="shared" si="148"/>
        <v>2019 - usage : Industrie base, France continentale, Base Carbone</v>
      </c>
      <c r="D1722" s="1051">
        <f t="shared" si="149"/>
        <v>35</v>
      </c>
      <c r="E1722" s="1051" t="str">
        <f>IF(COUNTIF(E$1615:E1721,F1722)&gt;0,"",F1722)</f>
        <v/>
      </c>
      <c r="F1722" s="1051" t="str">
        <f t="shared" si="150"/>
        <v>2011 - usage : Industrie base, France continentale, Base Carbone</v>
      </c>
      <c r="G1722" s="1055" t="str">
        <f t="shared" si="151"/>
        <v>2011 - usage : Industrie base, France continentale, Base Carbone; kgCO2e/kWh, Amont</v>
      </c>
      <c r="I1722" s="2018" t="s">
        <v>1724</v>
      </c>
      <c r="J1722" s="1135" t="s">
        <v>1681</v>
      </c>
      <c r="K1722" s="1119" t="s">
        <v>1567</v>
      </c>
      <c r="L1722" s="1135" t="s">
        <v>1571</v>
      </c>
      <c r="M1722" s="1134">
        <v>0.3</v>
      </c>
      <c r="N1722" s="1135" t="s">
        <v>1570</v>
      </c>
      <c r="O1722" s="1135">
        <v>0.01</v>
      </c>
      <c r="P1722" s="1048"/>
      <c r="Q1722" s="1048"/>
      <c r="R1722" s="1158"/>
      <c r="S1722" s="1048"/>
      <c r="T1722" s="1048"/>
      <c r="U1722" s="1102"/>
    </row>
    <row r="1723" spans="2:21" hidden="1" outlineLevel="2">
      <c r="B1723" s="1050">
        <v>108</v>
      </c>
      <c r="C1723" s="1050" t="str">
        <f t="shared" si="148"/>
        <v>2019 - usage : Transports, France continentale, Base Carbone</v>
      </c>
      <c r="D1723" s="1051">
        <f t="shared" si="149"/>
        <v>35</v>
      </c>
      <c r="E1723" s="1051" t="str">
        <f>IF(COUNTIF(E$1615:E1722,F1723)&gt;0,"",F1723)</f>
        <v/>
      </c>
      <c r="F1723" s="1051" t="str">
        <f t="shared" si="150"/>
        <v>2011 - usage : Industrie base, France continentale, Base Carbone</v>
      </c>
      <c r="G1723" s="1055" t="str">
        <f t="shared" si="151"/>
        <v>2011 - usage : Industrie base, France continentale, Base Carbone; kgCO2e/kWh, Pertes</v>
      </c>
      <c r="I1723" s="2018" t="s">
        <v>1724</v>
      </c>
      <c r="J1723" s="1135" t="s">
        <v>1681</v>
      </c>
      <c r="K1723" s="1119" t="s">
        <v>1567</v>
      </c>
      <c r="L1723" s="1135" t="s">
        <v>1571</v>
      </c>
      <c r="M1723" s="1134">
        <v>0.3</v>
      </c>
      <c r="N1723" s="1135" t="s">
        <v>1766</v>
      </c>
      <c r="O1723" s="1135">
        <v>6.0000000000000001E-3</v>
      </c>
      <c r="P1723" s="1048"/>
      <c r="Q1723" s="1048"/>
      <c r="R1723" s="1158"/>
      <c r="S1723" s="1048"/>
      <c r="T1723" s="1048"/>
      <c r="U1723" s="1102"/>
    </row>
    <row r="1724" spans="2:21" hidden="1" outlineLevel="2">
      <c r="B1724" s="1050">
        <v>109</v>
      </c>
      <c r="C1724" s="1050" t="str">
        <f t="shared" si="148"/>
        <v>2020 - usage : Autres (BTP. recherche. armée. etc.), France continentale, Base Carbone</v>
      </c>
      <c r="D1724" s="1051">
        <f t="shared" si="149"/>
        <v>36</v>
      </c>
      <c r="E1724" s="1051" t="str">
        <f>IF(COUNTIF(E$1615:E1723,F1724)&gt;0,"",F1724)</f>
        <v>2011 - usage : Transports, France continentale, Base Carbone</v>
      </c>
      <c r="F1724" s="1051" t="str">
        <f t="shared" si="150"/>
        <v>2011 - usage : Transports, France continentale, Base Carbone</v>
      </c>
      <c r="G1724" s="1055" t="str">
        <f t="shared" si="151"/>
        <v>2011 - usage : Transports, France continentale, Base Carbone; kgCO2e/kWh, Combustion à la centrale</v>
      </c>
      <c r="I1724" s="2018" t="s">
        <v>1725</v>
      </c>
      <c r="J1724" s="1135" t="s">
        <v>1681</v>
      </c>
      <c r="K1724" s="1119" t="s">
        <v>1567</v>
      </c>
      <c r="L1724" s="1135" t="s">
        <v>1571</v>
      </c>
      <c r="M1724" s="1134">
        <v>0.3</v>
      </c>
      <c r="N1724" s="1135" t="s">
        <v>1763</v>
      </c>
      <c r="O1724" s="1135">
        <v>3.2199999999999999E-2</v>
      </c>
      <c r="P1724" s="1048"/>
      <c r="Q1724" s="1048"/>
      <c r="R1724" s="1158"/>
      <c r="S1724" s="1048"/>
      <c r="T1724" s="1048"/>
      <c r="U1724" s="1102"/>
    </row>
    <row r="1725" spans="2:21" hidden="1" outlineLevel="2">
      <c r="B1725" s="1050">
        <v>110</v>
      </c>
      <c r="C1725" s="1050" t="str">
        <f t="shared" si="148"/>
        <v>2020 - usage : chauffage, France continentale, Base Carbone</v>
      </c>
      <c r="D1725" s="1051">
        <f t="shared" si="149"/>
        <v>36</v>
      </c>
      <c r="E1725" s="1051" t="str">
        <f>IF(COUNTIF(E$1615:E1724,F1725)&gt;0,"",F1725)</f>
        <v/>
      </c>
      <c r="F1725" s="1051" t="str">
        <f t="shared" si="150"/>
        <v>2011 - usage : Transports, France continentale, Base Carbone</v>
      </c>
      <c r="G1725" s="1055" t="str">
        <f t="shared" si="151"/>
        <v>2011 - usage : Transports, France continentale, Base Carbone; kgCO2e/kWh, Amont</v>
      </c>
      <c r="I1725" s="2018" t="s">
        <v>1725</v>
      </c>
      <c r="J1725" s="1135" t="s">
        <v>1681</v>
      </c>
      <c r="K1725" s="1119" t="s">
        <v>1567</v>
      </c>
      <c r="L1725" s="1135" t="s">
        <v>1571</v>
      </c>
      <c r="M1725" s="1134">
        <v>0.3</v>
      </c>
      <c r="N1725" s="1135" t="s">
        <v>1570</v>
      </c>
      <c r="O1725" s="1135">
        <v>0.01</v>
      </c>
      <c r="P1725" s="1048"/>
      <c r="Q1725" s="1048"/>
      <c r="R1725" s="1158"/>
      <c r="S1725" s="1048"/>
      <c r="T1725" s="1048"/>
      <c r="U1725" s="1102"/>
    </row>
    <row r="1726" spans="2:21" hidden="1" outlineLevel="2">
      <c r="B1726" s="1050">
        <v>111</v>
      </c>
      <c r="C1726" s="1050" t="str">
        <f t="shared" si="148"/>
        <v>2020 - usage : Cuisson résidentiel, France continentale, Base Carbone</v>
      </c>
      <c r="D1726" s="1051">
        <f t="shared" si="149"/>
        <v>36</v>
      </c>
      <c r="E1726" s="1051" t="str">
        <f>IF(COUNTIF(E$1615:E1725,F1726)&gt;0,"",F1726)</f>
        <v/>
      </c>
      <c r="F1726" s="1051" t="str">
        <f t="shared" si="150"/>
        <v>2011 - usage : Transports, France continentale, Base Carbone</v>
      </c>
      <c r="G1726" s="1055" t="str">
        <f t="shared" si="151"/>
        <v>2011 - usage : Transports, France continentale, Base Carbone; kgCO2e/kWh, Pertes</v>
      </c>
      <c r="I1726" s="2018" t="s">
        <v>1725</v>
      </c>
      <c r="J1726" s="1135" t="s">
        <v>1681</v>
      </c>
      <c r="K1726" s="1119" t="s">
        <v>1567</v>
      </c>
      <c r="L1726" s="1135" t="s">
        <v>1571</v>
      </c>
      <c r="M1726" s="1134">
        <v>0.3</v>
      </c>
      <c r="N1726" s="1135" t="s">
        <v>1766</v>
      </c>
      <c r="O1726" s="1135">
        <v>6.0000000000000001E-3</v>
      </c>
      <c r="P1726" s="1048"/>
      <c r="Q1726" s="1048"/>
      <c r="R1726" s="1158"/>
      <c r="S1726" s="1048"/>
      <c r="T1726" s="1048"/>
      <c r="U1726" s="1102"/>
    </row>
    <row r="1727" spans="2:21" hidden="1" outlineLevel="2">
      <c r="B1727" s="1050">
        <v>112</v>
      </c>
      <c r="C1727" s="1050" t="str">
        <f t="shared" si="148"/>
        <v>2020 - usage : Eau Chaude Sanitaire, France continentale, Base Carbone</v>
      </c>
      <c r="D1727" s="1051">
        <f t="shared" si="149"/>
        <v>36</v>
      </c>
      <c r="E1727" s="1051" t="str">
        <f>IF(COUNTIF(E$1615:E1726,F1727)&gt;0,"",F1727)</f>
        <v/>
      </c>
      <c r="F1727" s="1051" t="str">
        <f t="shared" si="150"/>
        <v/>
      </c>
      <c r="G1727" s="1055" t="str">
        <f t="shared" si="151"/>
        <v/>
      </c>
      <c r="I1727" s="2018"/>
      <c r="J1727" s="1135"/>
      <c r="K1727" s="1119"/>
      <c r="L1727" s="1135"/>
      <c r="M1727" s="1134"/>
      <c r="N1727" s="1135"/>
      <c r="O1727" s="1135"/>
      <c r="P1727" s="1048"/>
      <c r="Q1727" s="1048"/>
      <c r="R1727" s="1158"/>
      <c r="S1727" s="1048"/>
      <c r="T1727" s="1048"/>
      <c r="U1727" s="1102"/>
    </row>
    <row r="1728" spans="2:21" hidden="1" outlineLevel="2">
      <c r="B1728" s="1050">
        <v>113</v>
      </c>
      <c r="C1728" s="1050" t="str">
        <f t="shared" si="148"/>
        <v>2020 - usage : Eclairage public, France continentale, Base Carbone</v>
      </c>
      <c r="D1728" s="1051">
        <f t="shared" si="149"/>
        <v>37</v>
      </c>
      <c r="E1728" s="1051" t="str">
        <f>IF(COUNTIF(E$1615:E1727,F1728)&gt;0,"",F1728)</f>
        <v>2012 - usage : Autres (BTP. recherche. armée. etc.), France continentale, Base Carbone</v>
      </c>
      <c r="F1728" s="1051" t="str">
        <f t="shared" si="150"/>
        <v>2012 - usage : Autres (BTP. recherche. armée. etc.), France continentale, Base Carbone</v>
      </c>
      <c r="G1728" s="1055" t="str">
        <f t="shared" si="151"/>
        <v>2012 - usage : Autres (BTP. recherche. armée. etc.), France continentale, Base Carbone; kgCO2e/kWh, Combustion à la centrale</v>
      </c>
      <c r="I1728" s="2018" t="s">
        <v>1727</v>
      </c>
      <c r="J1728" s="1135" t="s">
        <v>1681</v>
      </c>
      <c r="K1728" s="1119" t="s">
        <v>1567</v>
      </c>
      <c r="L1728" s="1135" t="s">
        <v>1571</v>
      </c>
      <c r="M1728" s="1134">
        <v>0.3</v>
      </c>
      <c r="N1728" s="1135" t="s">
        <v>1763</v>
      </c>
      <c r="O1728" s="1135">
        <v>3.3300000000000003E-2</v>
      </c>
      <c r="P1728" s="1048"/>
      <c r="Q1728" s="1048"/>
      <c r="R1728" s="1158"/>
      <c r="S1728" s="1048"/>
      <c r="T1728" s="1048"/>
      <c r="U1728" s="1102"/>
    </row>
    <row r="1729" spans="2:21" hidden="1" outlineLevel="2">
      <c r="B1729" s="1050">
        <v>114</v>
      </c>
      <c r="C1729" s="1050" t="str">
        <f t="shared" si="148"/>
        <v>2020 - usage : Eclairage résidentiel, France continentale, Base Carbone</v>
      </c>
      <c r="D1729" s="1051">
        <f t="shared" si="149"/>
        <v>37</v>
      </c>
      <c r="E1729" s="1051" t="str">
        <f>IF(COUNTIF(E$1615:E1728,F1729)&gt;0,"",F1729)</f>
        <v/>
      </c>
      <c r="F1729" s="1051" t="str">
        <f t="shared" si="150"/>
        <v>2012 - usage : Autres (BTP. recherche. armée. etc.), France continentale, Base Carbone</v>
      </c>
      <c r="G1729" s="1055" t="str">
        <f t="shared" si="151"/>
        <v>2012 - usage : Autres (BTP. recherche. armée. etc.), France continentale, Base Carbone; kgCO2e/kWh, Amont</v>
      </c>
      <c r="I1729" s="2018" t="s">
        <v>1727</v>
      </c>
      <c r="J1729" s="1135" t="s">
        <v>1681</v>
      </c>
      <c r="K1729" s="1119" t="s">
        <v>1567</v>
      </c>
      <c r="L1729" s="1135" t="s">
        <v>1571</v>
      </c>
      <c r="M1729" s="1134">
        <v>0.3</v>
      </c>
      <c r="N1729" s="1135" t="s">
        <v>1570</v>
      </c>
      <c r="O1729" s="1135">
        <v>1.01E-2</v>
      </c>
      <c r="P1729" s="1048"/>
      <c r="Q1729" s="1048"/>
      <c r="R1729" s="1158"/>
      <c r="S1729" s="1048"/>
      <c r="T1729" s="1048"/>
      <c r="U1729" s="1102"/>
    </row>
    <row r="1730" spans="2:21" hidden="1" outlineLevel="2">
      <c r="B1730" s="1050">
        <v>115</v>
      </c>
      <c r="C1730" s="1050" t="str">
        <f t="shared" si="148"/>
        <v>2020 - usage : Froid, France continentale, Base Carbone</v>
      </c>
      <c r="D1730" s="1051">
        <f t="shared" si="149"/>
        <v>37</v>
      </c>
      <c r="E1730" s="1051" t="str">
        <f>IF(COUNTIF(E$1615:E1729,F1730)&gt;0,"",F1730)</f>
        <v/>
      </c>
      <c r="F1730" s="1051" t="str">
        <f t="shared" si="150"/>
        <v>2012 - usage : Autres (BTP. recherche. armée. etc.), France continentale, Base Carbone</v>
      </c>
      <c r="G1730" s="1055" t="str">
        <f t="shared" si="151"/>
        <v>2012 - usage : Autres (BTP. recherche. armée. etc.), France continentale, Base Carbone; kgCO2e/kWh, Pertes</v>
      </c>
      <c r="I1730" s="2018" t="s">
        <v>1727</v>
      </c>
      <c r="J1730" s="1135" t="s">
        <v>1681</v>
      </c>
      <c r="K1730" s="1119" t="s">
        <v>1567</v>
      </c>
      <c r="L1730" s="1135" t="s">
        <v>1571</v>
      </c>
      <c r="M1730" s="1134">
        <v>0.3</v>
      </c>
      <c r="N1730" s="1135" t="s">
        <v>1766</v>
      </c>
      <c r="O1730" s="1135">
        <v>6.0000000000000001E-3</v>
      </c>
      <c r="P1730" s="1048"/>
      <c r="Q1730" s="1048"/>
      <c r="R1730" s="1158"/>
      <c r="S1730" s="1048"/>
      <c r="T1730" s="1048"/>
      <c r="U1730" s="1102"/>
    </row>
    <row r="1731" spans="2:21" hidden="1" outlineLevel="2">
      <c r="B1731" s="1050">
        <v>116</v>
      </c>
      <c r="C1731" s="1050" t="str">
        <f t="shared" si="148"/>
        <v>2020 - usage : Industrie base, France continentale, Base Carbone</v>
      </c>
      <c r="D1731" s="1051">
        <f t="shared" si="149"/>
        <v>38</v>
      </c>
      <c r="E1731" s="1051" t="str">
        <f>IF(COUNTIF(E$1615:E1730,F1731)&gt;0,"",F1731)</f>
        <v>2012 - usage : chauffage, France continentale, Base Carbone</v>
      </c>
      <c r="F1731" s="1051" t="str">
        <f t="shared" si="150"/>
        <v>2012 - usage : chauffage, France continentale, Base Carbone</v>
      </c>
      <c r="G1731" s="1055" t="str">
        <f t="shared" si="151"/>
        <v>2012 - usage : chauffage, France continentale, Base Carbone; kgCO2e/kWh, Combustion à la centrale</v>
      </c>
      <c r="I1731" s="2018" t="s">
        <v>1728</v>
      </c>
      <c r="J1731" s="1135" t="s">
        <v>1681</v>
      </c>
      <c r="K1731" s="1119" t="s">
        <v>1567</v>
      </c>
      <c r="L1731" s="1135" t="s">
        <v>1571</v>
      </c>
      <c r="M1731" s="1134">
        <v>0.3</v>
      </c>
      <c r="N1731" s="1135" t="s">
        <v>1763</v>
      </c>
      <c r="O1731" s="1135">
        <v>0.17799999999999999</v>
      </c>
      <c r="P1731" s="1048"/>
      <c r="Q1731" s="1048"/>
      <c r="R1731" s="1158"/>
      <c r="S1731" s="1048"/>
      <c r="T1731" s="1048"/>
      <c r="U1731" s="1102"/>
    </row>
    <row r="1732" spans="2:21" hidden="1" outlineLevel="2">
      <c r="B1732" s="1050">
        <v>117</v>
      </c>
      <c r="C1732" s="1050" t="str">
        <f t="shared" si="148"/>
        <v>2020 - usage : Transports, France continentale, Base Carbone</v>
      </c>
      <c r="D1732" s="1051">
        <f t="shared" si="149"/>
        <v>38</v>
      </c>
      <c r="E1732" s="1051" t="str">
        <f>IF(COUNTIF(E$1615:E1731,F1732)&gt;0,"",F1732)</f>
        <v/>
      </c>
      <c r="F1732" s="1051" t="str">
        <f t="shared" si="150"/>
        <v>2012 - usage : chauffage, France continentale, Base Carbone</v>
      </c>
      <c r="G1732" s="1055" t="str">
        <f t="shared" si="151"/>
        <v>2012 - usage : chauffage, France continentale, Base Carbone; kgCO2e/kWh, Amont</v>
      </c>
      <c r="I1732" s="2018" t="s">
        <v>1728</v>
      </c>
      <c r="J1732" s="1135" t="s">
        <v>1681</v>
      </c>
      <c r="K1732" s="1119" t="s">
        <v>1567</v>
      </c>
      <c r="L1732" s="1135" t="s">
        <v>1571</v>
      </c>
      <c r="M1732" s="1134">
        <v>0.3</v>
      </c>
      <c r="N1732" s="1135" t="s">
        <v>1570</v>
      </c>
      <c r="O1732" s="1135">
        <v>2.7199999999999998E-2</v>
      </c>
      <c r="P1732" s="1048"/>
      <c r="Q1732" s="1048"/>
      <c r="R1732" s="1158"/>
      <c r="S1732" s="1048"/>
      <c r="T1732" s="1048"/>
      <c r="U1732" s="1102"/>
    </row>
    <row r="1733" spans="2:21" hidden="1" outlineLevel="2">
      <c r="B1733" s="1050">
        <v>118</v>
      </c>
      <c r="C1733" s="1050" t="str">
        <f t="shared" si="148"/>
        <v>-</v>
      </c>
      <c r="D1733" s="1051">
        <f t="shared" si="149"/>
        <v>38</v>
      </c>
      <c r="E1733" s="1051" t="str">
        <f>IF(COUNTIF(E$1615:E1732,F1733)&gt;0,"",F1733)</f>
        <v/>
      </c>
      <c r="F1733" s="1051" t="str">
        <f t="shared" si="150"/>
        <v>2012 - usage : chauffage, France continentale, Base Carbone</v>
      </c>
      <c r="G1733" s="1055" t="str">
        <f t="shared" si="151"/>
        <v>2012 - usage : chauffage, France continentale, Base Carbone; kgCO2e/kWh, Pertes</v>
      </c>
      <c r="I1733" s="2018" t="s">
        <v>1728</v>
      </c>
      <c r="J1733" s="1135" t="s">
        <v>1681</v>
      </c>
      <c r="K1733" s="1119" t="s">
        <v>1567</v>
      </c>
      <c r="L1733" s="1135" t="s">
        <v>1571</v>
      </c>
      <c r="M1733" s="1134">
        <v>0.3</v>
      </c>
      <c r="N1733" s="1135" t="s">
        <v>1766</v>
      </c>
      <c r="O1733" s="1135">
        <v>6.0000000000000001E-3</v>
      </c>
      <c r="P1733" s="1048"/>
      <c r="Q1733" s="1048"/>
      <c r="R1733" s="1158"/>
      <c r="S1733" s="1048"/>
      <c r="T1733" s="1048"/>
      <c r="U1733" s="1102"/>
    </row>
    <row r="1734" spans="2:21" hidden="1" outlineLevel="2">
      <c r="B1734" s="1050">
        <v>119</v>
      </c>
      <c r="C1734" s="1050" t="str">
        <f t="shared" si="148"/>
        <v>-</v>
      </c>
      <c r="D1734" s="1051">
        <f t="shared" si="149"/>
        <v>39</v>
      </c>
      <c r="E1734" s="1051" t="str">
        <f>IF(COUNTIF(E$1615:E1733,F1734)&gt;0,"",F1734)</f>
        <v>2012 - usage : Climatisation tertiaire, France continentale, Base Carbone</v>
      </c>
      <c r="F1734" s="1051" t="str">
        <f t="shared" si="150"/>
        <v>2012 - usage : Climatisation tertiaire, France continentale, Base Carbone</v>
      </c>
      <c r="G1734" s="1055" t="str">
        <f t="shared" si="151"/>
        <v>2012 - usage : Climatisation tertiaire, France continentale, Base Carbone; kgCO2e/kWh, Combustion à la centrale</v>
      </c>
      <c r="I1734" s="2018" t="s">
        <v>1729</v>
      </c>
      <c r="J1734" s="1135" t="s">
        <v>1681</v>
      </c>
      <c r="K1734" s="1119" t="s">
        <v>1567</v>
      </c>
      <c r="L1734" s="1135" t="s">
        <v>1571</v>
      </c>
      <c r="M1734" s="1134">
        <v>0.3</v>
      </c>
      <c r="N1734" s="1135" t="s">
        <v>1763</v>
      </c>
      <c r="O1734" s="1135">
        <v>4.0599999999999997E-2</v>
      </c>
      <c r="P1734" s="1048"/>
      <c r="Q1734" s="1048"/>
      <c r="R1734" s="1158"/>
      <c r="S1734" s="1048"/>
      <c r="T1734" s="1048"/>
      <c r="U1734" s="1102"/>
    </row>
    <row r="1735" spans="2:21" hidden="1" outlineLevel="2">
      <c r="B1735" s="1050">
        <v>120</v>
      </c>
      <c r="C1735" s="1050" t="str">
        <f t="shared" si="148"/>
        <v>-</v>
      </c>
      <c r="D1735" s="1051">
        <f t="shared" si="149"/>
        <v>39</v>
      </c>
      <c r="E1735" s="1051" t="str">
        <f>IF(COUNTIF(E$1615:E1734,F1735)&gt;0,"",F1735)</f>
        <v/>
      </c>
      <c r="F1735" s="1051" t="str">
        <f t="shared" si="150"/>
        <v>2012 - usage : Climatisation tertiaire, France continentale, Base Carbone</v>
      </c>
      <c r="G1735" s="1055" t="str">
        <f t="shared" si="151"/>
        <v>2012 - usage : Climatisation tertiaire, France continentale, Base Carbone; kgCO2e/kWh, Amont</v>
      </c>
      <c r="I1735" s="2018" t="s">
        <v>1729</v>
      </c>
      <c r="J1735" s="1135" t="s">
        <v>1681</v>
      </c>
      <c r="K1735" s="1119" t="s">
        <v>1567</v>
      </c>
      <c r="L1735" s="1135" t="s">
        <v>1571</v>
      </c>
      <c r="M1735" s="1134">
        <v>0.3</v>
      </c>
      <c r="N1735" s="1135" t="s">
        <v>1570</v>
      </c>
      <c r="O1735" s="1135">
        <v>1.0999999999999999E-2</v>
      </c>
      <c r="P1735" s="1048"/>
      <c r="Q1735" s="1048"/>
      <c r="R1735" s="1158"/>
      <c r="S1735" s="1048"/>
      <c r="T1735" s="1048"/>
      <c r="U1735" s="1102"/>
    </row>
    <row r="1736" spans="2:21" hidden="1" outlineLevel="2">
      <c r="B1736" s="1050"/>
      <c r="C1736" s="1050"/>
      <c r="D1736" s="1051">
        <f t="shared" si="149"/>
        <v>39</v>
      </c>
      <c r="E1736" s="1051" t="str">
        <f>IF(COUNTIF(E$1615:E1735,F1736)&gt;0,"",F1736)</f>
        <v/>
      </c>
      <c r="F1736" s="1051" t="str">
        <f t="shared" si="150"/>
        <v>2012 - usage : Climatisation tertiaire, France continentale, Base Carbone</v>
      </c>
      <c r="G1736" s="1055" t="str">
        <f t="shared" si="151"/>
        <v>2012 - usage : Climatisation tertiaire, France continentale, Base Carbone; kgCO2e/kWh, Pertes</v>
      </c>
      <c r="I1736" s="2018" t="s">
        <v>1729</v>
      </c>
      <c r="J1736" s="1135" t="s">
        <v>1681</v>
      </c>
      <c r="K1736" s="1119" t="s">
        <v>1567</v>
      </c>
      <c r="L1736" s="1135" t="s">
        <v>1571</v>
      </c>
      <c r="M1736" s="1134">
        <v>0.3</v>
      </c>
      <c r="N1736" s="1135" t="s">
        <v>1766</v>
      </c>
      <c r="O1736" s="1135">
        <v>6.0000000000000001E-3</v>
      </c>
      <c r="P1736" s="1048"/>
      <c r="Q1736" s="1048"/>
      <c r="R1736" s="1158"/>
      <c r="S1736" s="1048"/>
      <c r="T1736" s="1048"/>
      <c r="U1736" s="1102"/>
    </row>
    <row r="1737" spans="2:21" hidden="1" outlineLevel="2">
      <c r="B1737" s="1050"/>
      <c r="C1737" s="1050"/>
      <c r="D1737" s="1051">
        <f t="shared" si="149"/>
        <v>40</v>
      </c>
      <c r="E1737" s="1051" t="str">
        <f>IF(COUNTIF(E$1615:E1736,F1737)&gt;0,"",F1737)</f>
        <v>2012 - usage : Cuisson résidentiel, France continentale, Base Carbone</v>
      </c>
      <c r="F1737" s="1051" t="str">
        <f t="shared" si="150"/>
        <v>2012 - usage : Cuisson résidentiel, France continentale, Base Carbone</v>
      </c>
      <c r="G1737" s="1055" t="str">
        <f t="shared" si="151"/>
        <v>2012 - usage : Cuisson résidentiel, France continentale, Base Carbone; kgCO2e/kWh, Combustion à la centrale</v>
      </c>
      <c r="I1737" s="2018" t="s">
        <v>1730</v>
      </c>
      <c r="J1737" s="1135" t="s">
        <v>1681</v>
      </c>
      <c r="K1737" s="1119" t="s">
        <v>1567</v>
      </c>
      <c r="L1737" s="1135" t="s">
        <v>1571</v>
      </c>
      <c r="M1737" s="1134">
        <v>0.3</v>
      </c>
      <c r="N1737" s="1135" t="s">
        <v>1763</v>
      </c>
      <c r="O1737" s="1135">
        <v>5.5100000000000003E-2</v>
      </c>
      <c r="P1737" s="1048"/>
      <c r="Q1737" s="1048"/>
      <c r="R1737" s="1158"/>
      <c r="S1737" s="1048"/>
      <c r="T1737" s="1048"/>
      <c r="U1737" s="1102"/>
    </row>
    <row r="1738" spans="2:21" hidden="1" outlineLevel="2">
      <c r="B1738" s="1050"/>
      <c r="C1738" s="1050"/>
      <c r="D1738" s="1051">
        <f t="shared" si="149"/>
        <v>40</v>
      </c>
      <c r="E1738" s="1051" t="str">
        <f>IF(COUNTIF(E$1615:E1737,F1738)&gt;0,"",F1738)</f>
        <v/>
      </c>
      <c r="F1738" s="1051" t="str">
        <f t="shared" si="150"/>
        <v>2012 - usage : Cuisson résidentiel, France continentale, Base Carbone</v>
      </c>
      <c r="G1738" s="1055" t="str">
        <f t="shared" si="151"/>
        <v>2012 - usage : Cuisson résidentiel, France continentale, Base Carbone; kgCO2e/kWh, Amont</v>
      </c>
      <c r="I1738" s="2018" t="s">
        <v>1730</v>
      </c>
      <c r="J1738" s="1135" t="s">
        <v>1681</v>
      </c>
      <c r="K1738" s="1119" t="s">
        <v>1567</v>
      </c>
      <c r="L1738" s="1135" t="s">
        <v>1571</v>
      </c>
      <c r="M1738" s="1134">
        <v>0.3</v>
      </c>
      <c r="N1738" s="1135" t="s">
        <v>1570</v>
      </c>
      <c r="O1738" s="1135">
        <v>1.2699999999999999E-2</v>
      </c>
      <c r="P1738" s="1048"/>
      <c r="Q1738" s="1048"/>
      <c r="R1738" s="1158"/>
      <c r="S1738" s="1048"/>
      <c r="T1738" s="1048"/>
      <c r="U1738" s="1102"/>
    </row>
    <row r="1739" spans="2:21" hidden="1" outlineLevel="2">
      <c r="B1739" s="1050"/>
      <c r="C1739" s="1050"/>
      <c r="D1739" s="1051">
        <f t="shared" si="149"/>
        <v>40</v>
      </c>
      <c r="E1739" s="1051" t="str">
        <f>IF(COUNTIF(E$1615:E1738,F1739)&gt;0,"",F1739)</f>
        <v/>
      </c>
      <c r="F1739" s="1051" t="str">
        <f t="shared" si="150"/>
        <v>2012 - usage : Cuisson résidentiel, France continentale, Base Carbone</v>
      </c>
      <c r="G1739" s="1055" t="str">
        <f t="shared" si="151"/>
        <v>2012 - usage : Cuisson résidentiel, France continentale, Base Carbone; kgCO2e/kWh, Pertes</v>
      </c>
      <c r="I1739" s="2018" t="s">
        <v>1730</v>
      </c>
      <c r="J1739" s="1135" t="s">
        <v>1681</v>
      </c>
      <c r="K1739" s="1119" t="s">
        <v>1567</v>
      </c>
      <c r="L1739" s="1135" t="s">
        <v>1571</v>
      </c>
      <c r="M1739" s="1134">
        <v>0.3</v>
      </c>
      <c r="N1739" s="1135" t="s">
        <v>1766</v>
      </c>
      <c r="O1739" s="1135">
        <v>6.0000000000000001E-3</v>
      </c>
      <c r="P1739" s="1048"/>
      <c r="Q1739" s="1048"/>
      <c r="R1739" s="1158"/>
      <c r="S1739" s="1048"/>
      <c r="T1739" s="1048"/>
      <c r="U1739" s="1102"/>
    </row>
    <row r="1740" spans="2:21" hidden="1" outlineLevel="2">
      <c r="B1740" s="1050"/>
      <c r="C1740" s="1050"/>
      <c r="D1740" s="1051">
        <f t="shared" si="149"/>
        <v>41</v>
      </c>
      <c r="E1740" s="1051" t="str">
        <f>IF(COUNTIF(E$1615:E1739,F1740)&gt;0,"",F1740)</f>
        <v>2012 - usage : Eau Chaude Sanitaire, France continentale, Base Carbone</v>
      </c>
      <c r="F1740" s="1051" t="str">
        <f t="shared" si="150"/>
        <v>2012 - usage : Eau Chaude Sanitaire, France continentale, Base Carbone</v>
      </c>
      <c r="G1740" s="1055" t="str">
        <f t="shared" si="151"/>
        <v>2012 - usage : Eau Chaude Sanitaire, France continentale, Base Carbone; kgCO2e/kWh, Combustion à la centrale</v>
      </c>
      <c r="I1740" s="2018" t="s">
        <v>1731</v>
      </c>
      <c r="J1740" s="1135" t="s">
        <v>1681</v>
      </c>
      <c r="K1740" s="1119" t="s">
        <v>1567</v>
      </c>
      <c r="L1740" s="1135" t="s">
        <v>1571</v>
      </c>
      <c r="M1740" s="1134">
        <v>0.3</v>
      </c>
      <c r="N1740" s="1135" t="s">
        <v>1763</v>
      </c>
      <c r="O1740" s="1135">
        <v>4.0099999999999997E-2</v>
      </c>
      <c r="P1740" s="1048"/>
      <c r="Q1740" s="1048"/>
      <c r="R1740" s="1158"/>
      <c r="S1740" s="1048"/>
      <c r="T1740" s="1048"/>
      <c r="U1740" s="1102"/>
    </row>
    <row r="1741" spans="2:21" hidden="1" outlineLevel="2">
      <c r="B1741" s="1050"/>
      <c r="C1741" s="1050"/>
      <c r="D1741" s="1051">
        <f t="shared" si="149"/>
        <v>41</v>
      </c>
      <c r="E1741" s="1051" t="str">
        <f>IF(COUNTIF(E$1615:E1740,F1741)&gt;0,"",F1741)</f>
        <v/>
      </c>
      <c r="F1741" s="1051" t="str">
        <f t="shared" si="150"/>
        <v>2012 - usage : Eau Chaude Sanitaire, France continentale, Base Carbone</v>
      </c>
      <c r="G1741" s="1055" t="str">
        <f t="shared" si="151"/>
        <v>2012 - usage : Eau Chaude Sanitaire, France continentale, Base Carbone; kgCO2e/kWh, Amont</v>
      </c>
      <c r="I1741" s="2018" t="s">
        <v>1731</v>
      </c>
      <c r="J1741" s="1135" t="s">
        <v>1681</v>
      </c>
      <c r="K1741" s="1119" t="s">
        <v>1567</v>
      </c>
      <c r="L1741" s="1135" t="s">
        <v>1571</v>
      </c>
      <c r="M1741" s="1134">
        <v>0.3</v>
      </c>
      <c r="N1741" s="1135" t="s">
        <v>1570</v>
      </c>
      <c r="O1741" s="1135">
        <v>1.09E-2</v>
      </c>
      <c r="P1741" s="1048"/>
      <c r="Q1741" s="1048"/>
      <c r="R1741" s="1158"/>
      <c r="S1741" s="1048"/>
      <c r="T1741" s="1048"/>
      <c r="U1741" s="1102"/>
    </row>
    <row r="1742" spans="2:21" hidden="1" outlineLevel="2">
      <c r="B1742" s="1050"/>
      <c r="C1742" s="1050"/>
      <c r="D1742" s="1051">
        <f t="shared" si="149"/>
        <v>41</v>
      </c>
      <c r="E1742" s="1051" t="str">
        <f>IF(COUNTIF(E$1615:E1741,F1742)&gt;0,"",F1742)</f>
        <v/>
      </c>
      <c r="F1742" s="1051" t="str">
        <f t="shared" si="150"/>
        <v>2012 - usage : Eau Chaude Sanitaire, France continentale, Base Carbone</v>
      </c>
      <c r="G1742" s="1055" t="str">
        <f t="shared" si="151"/>
        <v>2012 - usage : Eau Chaude Sanitaire, France continentale, Base Carbone; kgCO2e/kWh, Pertes</v>
      </c>
      <c r="I1742" s="2018" t="s">
        <v>1731</v>
      </c>
      <c r="J1742" s="1135" t="s">
        <v>1681</v>
      </c>
      <c r="K1742" s="1119" t="s">
        <v>1567</v>
      </c>
      <c r="L1742" s="1135" t="s">
        <v>1571</v>
      </c>
      <c r="M1742" s="1134">
        <v>0.3</v>
      </c>
      <c r="N1742" s="1135" t="s">
        <v>1766</v>
      </c>
      <c r="O1742" s="1135">
        <v>6.0000000000000001E-3</v>
      </c>
      <c r="P1742" s="1048"/>
      <c r="Q1742" s="1048"/>
      <c r="R1742" s="1158"/>
      <c r="S1742" s="1048"/>
      <c r="T1742" s="1048"/>
      <c r="U1742" s="1102"/>
    </row>
    <row r="1743" spans="2:21" hidden="1" outlineLevel="2">
      <c r="B1743" s="1050"/>
      <c r="C1743" s="1050"/>
      <c r="D1743" s="1051">
        <f t="shared" si="149"/>
        <v>42</v>
      </c>
      <c r="E1743" s="1051" t="str">
        <f>IF(COUNTIF(E$1615:E1742,F1743)&gt;0,"",F1743)</f>
        <v>2012 - usage : Eclairage public et Industrie, France continentale, Base Carbone</v>
      </c>
      <c r="F1743" s="1051" t="str">
        <f t="shared" si="150"/>
        <v>2012 - usage : Eclairage public et Industrie, France continentale, Base Carbone</v>
      </c>
      <c r="G1743" s="1055" t="str">
        <f t="shared" si="151"/>
        <v>2012 - usage : Eclairage public et Industrie, France continentale, Base Carbone; kgCO2e/kWh, Combustion à la centrale</v>
      </c>
      <c r="I1743" s="2018" t="s">
        <v>1732</v>
      </c>
      <c r="J1743" s="1135" t="s">
        <v>1681</v>
      </c>
      <c r="K1743" s="1119" t="s">
        <v>1567</v>
      </c>
      <c r="L1743" s="1135" t="s">
        <v>1571</v>
      </c>
      <c r="M1743" s="1134">
        <v>0.3</v>
      </c>
      <c r="N1743" s="1135" t="s">
        <v>1763</v>
      </c>
      <c r="O1743" s="1135">
        <v>7.0499999999999993E-2</v>
      </c>
      <c r="P1743" s="1048"/>
      <c r="Q1743" s="1048"/>
      <c r="R1743" s="1158"/>
      <c r="S1743" s="1048"/>
      <c r="T1743" s="1048"/>
      <c r="U1743" s="1102"/>
    </row>
    <row r="1744" spans="2:21" hidden="1" outlineLevel="2">
      <c r="B1744" s="1050"/>
      <c r="C1744" s="1050"/>
      <c r="D1744" s="1051">
        <f t="shared" si="149"/>
        <v>42</v>
      </c>
      <c r="E1744" s="1051" t="str">
        <f>IF(COUNTIF(E$1615:E1743,F1744)&gt;0,"",F1744)</f>
        <v/>
      </c>
      <c r="F1744" s="1051" t="str">
        <f t="shared" si="150"/>
        <v>2012 - usage : Eclairage public et Industrie, France continentale, Base Carbone</v>
      </c>
      <c r="G1744" s="1055" t="str">
        <f t="shared" si="151"/>
        <v>2012 - usage : Eclairage public et Industrie, France continentale, Base Carbone; kgCO2e/kWh, Amont</v>
      </c>
      <c r="I1744" s="2018" t="s">
        <v>1732</v>
      </c>
      <c r="J1744" s="1135" t="s">
        <v>1681</v>
      </c>
      <c r="K1744" s="1119" t="s">
        <v>1567</v>
      </c>
      <c r="L1744" s="1135" t="s">
        <v>1571</v>
      </c>
      <c r="M1744" s="1134">
        <v>0.3</v>
      </c>
      <c r="N1744" s="1135" t="s">
        <v>1570</v>
      </c>
      <c r="O1744" s="1135">
        <v>1.4500000000000001E-2</v>
      </c>
      <c r="P1744" s="1048"/>
      <c r="Q1744" s="1048"/>
      <c r="R1744" s="1158"/>
      <c r="S1744" s="1048"/>
      <c r="T1744" s="1048"/>
      <c r="U1744" s="1102"/>
    </row>
    <row r="1745" spans="2:21" hidden="1" outlineLevel="2">
      <c r="B1745" s="1050"/>
      <c r="C1745" s="1050"/>
      <c r="D1745" s="1051">
        <f t="shared" ref="D1745:D1808" si="152">D1744+IF(LEN(E1745)=0,0,1)</f>
        <v>42</v>
      </c>
      <c r="E1745" s="1051" t="str">
        <f>IF(COUNTIF(E$1615:E1744,F1745)&gt;0,"",F1745)</f>
        <v/>
      </c>
      <c r="F1745" s="1051" t="str">
        <f t="shared" ref="F1745:F1808" si="153">IF(I1745&lt;&gt;"",I1745&amp;IF(L1745&lt;&gt;"",", "&amp;L1745,"")&amp;IF(K1745&lt;&gt;"",", "&amp;K1745,""),"")</f>
        <v>2012 - usage : Eclairage public et Industrie, France continentale, Base Carbone</v>
      </c>
      <c r="G1745" s="1055" t="str">
        <f t="shared" ref="G1745:G1808" si="154">IF(F1745&lt;&gt;"",F1745&amp;IF(J1745&lt;&gt;"","; "&amp;J1745,"")&amp;IF(N1745&lt;&gt;"",", "&amp;N1745,""),"")</f>
        <v>2012 - usage : Eclairage public et Industrie, France continentale, Base Carbone; kgCO2e/kWh, Pertes</v>
      </c>
      <c r="I1745" s="2018" t="s">
        <v>1732</v>
      </c>
      <c r="J1745" s="1135" t="s">
        <v>1681</v>
      </c>
      <c r="K1745" s="1119" t="s">
        <v>1567</v>
      </c>
      <c r="L1745" s="1135" t="s">
        <v>1571</v>
      </c>
      <c r="M1745" s="1134">
        <v>0.3</v>
      </c>
      <c r="N1745" s="1135" t="s">
        <v>1766</v>
      </c>
      <c r="O1745" s="1135">
        <v>6.0000000000000001E-3</v>
      </c>
      <c r="P1745" s="1048"/>
      <c r="Q1745" s="1048"/>
      <c r="R1745" s="1158"/>
      <c r="S1745" s="1048"/>
      <c r="T1745" s="1048"/>
      <c r="U1745" s="1102"/>
    </row>
    <row r="1746" spans="2:21" hidden="1" outlineLevel="2">
      <c r="B1746" s="1050"/>
      <c r="C1746" s="1050"/>
      <c r="D1746" s="1051">
        <f t="shared" si="152"/>
        <v>43</v>
      </c>
      <c r="E1746" s="1051" t="str">
        <f>IF(COUNTIF(E$1615:E1745,F1746)&gt;0,"",F1746)</f>
        <v>2012 - usage : Eclairage résidentiel, France continentale, Base Carbone</v>
      </c>
      <c r="F1746" s="1051" t="str">
        <f t="shared" si="153"/>
        <v>2012 - usage : Eclairage résidentiel, France continentale, Base Carbone</v>
      </c>
      <c r="G1746" s="1055" t="str">
        <f t="shared" si="154"/>
        <v>2012 - usage : Eclairage résidentiel, France continentale, Base Carbone; kgCO2e/kWh, Combustion à la centrale</v>
      </c>
      <c r="I1746" s="2018" t="s">
        <v>1733</v>
      </c>
      <c r="J1746" s="1135" t="s">
        <v>1681</v>
      </c>
      <c r="K1746" s="1119" t="s">
        <v>1567</v>
      </c>
      <c r="L1746" s="1135" t="s">
        <v>1571</v>
      </c>
      <c r="M1746" s="1134">
        <v>0.3</v>
      </c>
      <c r="N1746" s="1135" t="s">
        <v>1763</v>
      </c>
      <c r="O1746" s="1135">
        <v>9.0899999999999995E-2</v>
      </c>
      <c r="P1746" s="1048"/>
      <c r="Q1746" s="1048"/>
      <c r="R1746" s="1158"/>
      <c r="S1746" s="1048"/>
      <c r="T1746" s="1048"/>
      <c r="U1746" s="1102"/>
    </row>
    <row r="1747" spans="2:21" hidden="1" outlineLevel="2">
      <c r="B1747" s="1050"/>
      <c r="C1747" s="1050"/>
      <c r="D1747" s="1051">
        <f t="shared" si="152"/>
        <v>43</v>
      </c>
      <c r="E1747" s="1051" t="str">
        <f>IF(COUNTIF(E$1615:E1746,F1747)&gt;0,"",F1747)</f>
        <v/>
      </c>
      <c r="F1747" s="1051" t="str">
        <f t="shared" si="153"/>
        <v>2012 - usage : Eclairage résidentiel, France continentale, Base Carbone</v>
      </c>
      <c r="G1747" s="1055" t="str">
        <f t="shared" si="154"/>
        <v>2012 - usage : Eclairage résidentiel, France continentale, Base Carbone; kgCO2e/kWh, Amont</v>
      </c>
      <c r="I1747" s="2018" t="s">
        <v>1733</v>
      </c>
      <c r="J1747" s="1135" t="s">
        <v>1681</v>
      </c>
      <c r="K1747" s="1119" t="s">
        <v>1567</v>
      </c>
      <c r="L1747" s="1135" t="s">
        <v>1571</v>
      </c>
      <c r="M1747" s="1134">
        <v>0.3</v>
      </c>
      <c r="N1747" s="1135" t="s">
        <v>1570</v>
      </c>
      <c r="O1747" s="1135">
        <v>1.6899999999999998E-2</v>
      </c>
      <c r="P1747" s="1048"/>
      <c r="Q1747" s="1048"/>
      <c r="R1747" s="1158"/>
      <c r="S1747" s="1048"/>
      <c r="T1747" s="1048"/>
      <c r="U1747" s="1102"/>
    </row>
    <row r="1748" spans="2:21" hidden="1" outlineLevel="2">
      <c r="B1748" s="1050"/>
      <c r="C1748" s="1050"/>
      <c r="D1748" s="1051">
        <f t="shared" si="152"/>
        <v>43</v>
      </c>
      <c r="E1748" s="1051" t="str">
        <f>IF(COUNTIF(E$1615:E1747,F1748)&gt;0,"",F1748)</f>
        <v/>
      </c>
      <c r="F1748" s="1051" t="str">
        <f t="shared" si="153"/>
        <v>2012 - usage : Eclairage résidentiel, France continentale, Base Carbone</v>
      </c>
      <c r="G1748" s="1055" t="str">
        <f t="shared" si="154"/>
        <v>2012 - usage : Eclairage résidentiel, France continentale, Base Carbone; kgCO2e/kWh, Pertes</v>
      </c>
      <c r="I1748" s="2018" t="s">
        <v>1733</v>
      </c>
      <c r="J1748" s="1135" t="s">
        <v>1681</v>
      </c>
      <c r="K1748" s="1119" t="s">
        <v>1567</v>
      </c>
      <c r="L1748" s="1135" t="s">
        <v>1571</v>
      </c>
      <c r="M1748" s="1134">
        <v>0.3</v>
      </c>
      <c r="N1748" s="1135" t="s">
        <v>1766</v>
      </c>
      <c r="O1748" s="1135">
        <v>6.0000000000000001E-3</v>
      </c>
      <c r="P1748" s="1048"/>
      <c r="Q1748" s="1048"/>
      <c r="R1748" s="1158"/>
      <c r="S1748" s="1048"/>
      <c r="T1748" s="1048"/>
      <c r="U1748" s="1102"/>
    </row>
    <row r="1749" spans="2:21" hidden="1" outlineLevel="2">
      <c r="B1749" s="1050"/>
      <c r="C1749" s="1050"/>
      <c r="D1749" s="1051">
        <f t="shared" si="152"/>
        <v>44</v>
      </c>
      <c r="E1749" s="1051" t="str">
        <f>IF(COUNTIF(E$1615:E1748,F1749)&gt;0,"",F1749)</f>
        <v>2012 - usage : Industrie base, France continentale, Base Carbone</v>
      </c>
      <c r="F1749" s="1051" t="str">
        <f t="shared" si="153"/>
        <v>2012 - usage : Industrie base, France continentale, Base Carbone</v>
      </c>
      <c r="G1749" s="1055" t="str">
        <f t="shared" si="154"/>
        <v>2012 - usage : Industrie base, France continentale, Base Carbone; kgCO2e/kWh, Combustion à la centrale</v>
      </c>
      <c r="I1749" s="2018" t="s">
        <v>1734</v>
      </c>
      <c r="J1749" s="1135" t="s">
        <v>1681</v>
      </c>
      <c r="K1749" s="1119" t="s">
        <v>1567</v>
      </c>
      <c r="L1749" s="1135" t="s">
        <v>1571</v>
      </c>
      <c r="M1749" s="1134">
        <v>0.3</v>
      </c>
      <c r="N1749" s="1135" t="s">
        <v>1763</v>
      </c>
      <c r="O1749" s="1135">
        <v>3.4200000000000001E-2</v>
      </c>
      <c r="P1749" s="1048"/>
      <c r="Q1749" s="1048"/>
      <c r="R1749" s="1158"/>
      <c r="S1749" s="1048"/>
      <c r="T1749" s="1048"/>
      <c r="U1749" s="1102"/>
    </row>
    <row r="1750" spans="2:21" hidden="1" outlineLevel="2">
      <c r="B1750" s="1050"/>
      <c r="C1750" s="1050"/>
      <c r="D1750" s="1051">
        <f t="shared" si="152"/>
        <v>44</v>
      </c>
      <c r="E1750" s="1051" t="str">
        <f>IF(COUNTIF(E$1615:E1749,F1750)&gt;0,"",F1750)</f>
        <v/>
      </c>
      <c r="F1750" s="1051" t="str">
        <f t="shared" si="153"/>
        <v>2012 - usage : Industrie base, France continentale, Base Carbone</v>
      </c>
      <c r="G1750" s="1055" t="str">
        <f t="shared" si="154"/>
        <v>2012 - usage : Industrie base, France continentale, Base Carbone; kgCO2e/kWh, Amont</v>
      </c>
      <c r="I1750" s="2018" t="s">
        <v>1734</v>
      </c>
      <c r="J1750" s="1135" t="s">
        <v>1681</v>
      </c>
      <c r="K1750" s="1119" t="s">
        <v>1567</v>
      </c>
      <c r="L1750" s="1135" t="s">
        <v>1571</v>
      </c>
      <c r="M1750" s="1134">
        <v>0.3</v>
      </c>
      <c r="N1750" s="1135" t="s">
        <v>1570</v>
      </c>
      <c r="O1750" s="1135">
        <v>0.01</v>
      </c>
      <c r="P1750" s="1048"/>
      <c r="Q1750" s="1048"/>
      <c r="R1750" s="1158"/>
      <c r="S1750" s="1048"/>
      <c r="T1750" s="1048"/>
      <c r="U1750" s="1102"/>
    </row>
    <row r="1751" spans="2:21" hidden="1" outlineLevel="2">
      <c r="B1751" s="1050"/>
      <c r="C1751" s="1050"/>
      <c r="D1751" s="1051">
        <f t="shared" si="152"/>
        <v>44</v>
      </c>
      <c r="E1751" s="1051" t="str">
        <f>IF(COUNTIF(E$1615:E1750,F1751)&gt;0,"",F1751)</f>
        <v/>
      </c>
      <c r="F1751" s="1051" t="str">
        <f t="shared" si="153"/>
        <v>2012 - usage : Industrie base, France continentale, Base Carbone</v>
      </c>
      <c r="G1751" s="1055" t="str">
        <f t="shared" si="154"/>
        <v>2012 - usage : Industrie base, France continentale, Base Carbone; kgCO2e/kWh, Pertes</v>
      </c>
      <c r="I1751" s="2018" t="s">
        <v>1734</v>
      </c>
      <c r="J1751" s="1135" t="s">
        <v>1681</v>
      </c>
      <c r="K1751" s="1119" t="s">
        <v>1567</v>
      </c>
      <c r="L1751" s="1135" t="s">
        <v>1571</v>
      </c>
      <c r="M1751" s="1134">
        <v>0.3</v>
      </c>
      <c r="N1751" s="1135" t="s">
        <v>1766</v>
      </c>
      <c r="O1751" s="1135">
        <v>6.0000000000000001E-3</v>
      </c>
      <c r="P1751" s="1048"/>
      <c r="Q1751" s="1048"/>
      <c r="R1751" s="1158"/>
      <c r="S1751" s="1048"/>
      <c r="T1751" s="1048"/>
      <c r="U1751" s="1102"/>
    </row>
    <row r="1752" spans="2:21" hidden="1" outlineLevel="2">
      <c r="B1752" s="1050"/>
      <c r="C1752" s="1050"/>
      <c r="D1752" s="1051">
        <f t="shared" si="152"/>
        <v>45</v>
      </c>
      <c r="E1752" s="1051" t="str">
        <f>IF(COUNTIF(E$1615:E1751,F1752)&gt;0,"",F1752)</f>
        <v>2012 - usage : Transports, France continentale, Base Carbone</v>
      </c>
      <c r="F1752" s="1051" t="str">
        <f t="shared" si="153"/>
        <v>2012 - usage : Transports, France continentale, Base Carbone</v>
      </c>
      <c r="G1752" s="1055" t="str">
        <f t="shared" si="154"/>
        <v>2012 - usage : Transports, France continentale, Base Carbone; kgCO2e/kWh, Combustion à la centrale</v>
      </c>
      <c r="I1752" s="2018" t="s">
        <v>1735</v>
      </c>
      <c r="J1752" s="1135" t="s">
        <v>1681</v>
      </c>
      <c r="K1752" s="1119" t="s">
        <v>1567</v>
      </c>
      <c r="L1752" s="1135" t="s">
        <v>1571</v>
      </c>
      <c r="M1752" s="1134">
        <v>0.3</v>
      </c>
      <c r="N1752" s="1135" t="s">
        <v>1763</v>
      </c>
      <c r="O1752" s="1135">
        <v>3.2199999999999999E-2</v>
      </c>
      <c r="P1752" s="1048"/>
      <c r="Q1752" s="1048"/>
      <c r="R1752" s="1158"/>
      <c r="S1752" s="1048"/>
      <c r="T1752" s="1048"/>
      <c r="U1752" s="1102"/>
    </row>
    <row r="1753" spans="2:21" hidden="1" outlineLevel="2">
      <c r="B1753" s="1050"/>
      <c r="C1753" s="1050"/>
      <c r="D1753" s="1051">
        <f t="shared" si="152"/>
        <v>45</v>
      </c>
      <c r="E1753" s="1051" t="str">
        <f>IF(COUNTIF(E$1615:E1752,F1753)&gt;0,"",F1753)</f>
        <v/>
      </c>
      <c r="F1753" s="1051" t="str">
        <f t="shared" si="153"/>
        <v>2012 - usage : Transports, France continentale, Base Carbone</v>
      </c>
      <c r="G1753" s="1055" t="str">
        <f t="shared" si="154"/>
        <v>2012 - usage : Transports, France continentale, Base Carbone; kgCO2e/kWh, Amont</v>
      </c>
      <c r="I1753" s="2018" t="s">
        <v>1735</v>
      </c>
      <c r="J1753" s="1135" t="s">
        <v>1681</v>
      </c>
      <c r="K1753" s="1119" t="s">
        <v>1567</v>
      </c>
      <c r="L1753" s="1135" t="s">
        <v>1571</v>
      </c>
      <c r="M1753" s="1134">
        <v>0.3</v>
      </c>
      <c r="N1753" s="1135" t="s">
        <v>1570</v>
      </c>
      <c r="O1753" s="1135">
        <v>0.01</v>
      </c>
      <c r="P1753" s="1048"/>
      <c r="Q1753" s="1048"/>
      <c r="R1753" s="1158"/>
      <c r="S1753" s="1048"/>
      <c r="T1753" s="1048"/>
      <c r="U1753" s="1102"/>
    </row>
    <row r="1754" spans="2:21" hidden="1" outlineLevel="2">
      <c r="B1754" s="1050"/>
      <c r="C1754" s="1050"/>
      <c r="D1754" s="1051">
        <f t="shared" si="152"/>
        <v>45</v>
      </c>
      <c r="E1754" s="1051" t="str">
        <f>IF(COUNTIF(E$1615:E1753,F1754)&gt;0,"",F1754)</f>
        <v/>
      </c>
      <c r="F1754" s="1051" t="str">
        <f t="shared" si="153"/>
        <v>2012 - usage : Transports, France continentale, Base Carbone</v>
      </c>
      <c r="G1754" s="1055" t="str">
        <f t="shared" si="154"/>
        <v>2012 - usage : Transports, France continentale, Base Carbone; kgCO2e/kWh, Pertes</v>
      </c>
      <c r="I1754" s="2018" t="s">
        <v>1735</v>
      </c>
      <c r="J1754" s="1135" t="s">
        <v>1681</v>
      </c>
      <c r="K1754" s="1119" t="s">
        <v>1567</v>
      </c>
      <c r="L1754" s="1135" t="s">
        <v>1571</v>
      </c>
      <c r="M1754" s="1134">
        <v>0.3</v>
      </c>
      <c r="N1754" s="1135" t="s">
        <v>1766</v>
      </c>
      <c r="O1754" s="1135">
        <v>6.0000000000000001E-3</v>
      </c>
      <c r="P1754" s="1048"/>
      <c r="Q1754" s="1048"/>
      <c r="R1754" s="1158"/>
      <c r="S1754" s="1048"/>
      <c r="T1754" s="1048"/>
      <c r="U1754" s="1102"/>
    </row>
    <row r="1755" spans="2:21" hidden="1" outlineLevel="2">
      <c r="B1755" s="1050"/>
      <c r="C1755" s="1050"/>
      <c r="D1755" s="1051">
        <f t="shared" si="152"/>
        <v>45</v>
      </c>
      <c r="E1755" s="1051" t="str">
        <f>IF(COUNTIF(E$1615:E1754,F1755)&gt;0,"",F1755)</f>
        <v/>
      </c>
      <c r="F1755" s="1051" t="str">
        <f t="shared" si="153"/>
        <v/>
      </c>
      <c r="G1755" s="1055" t="str">
        <f t="shared" si="154"/>
        <v/>
      </c>
      <c r="I1755" s="2018"/>
      <c r="J1755" s="1135"/>
      <c r="K1755" s="1119"/>
      <c r="L1755" s="1135"/>
      <c r="M1755" s="1134"/>
      <c r="N1755" s="1135"/>
      <c r="O1755" s="1135"/>
      <c r="P1755" s="1048"/>
      <c r="Q1755" s="1048"/>
      <c r="R1755" s="1158"/>
      <c r="S1755" s="1048"/>
      <c r="T1755" s="1048"/>
      <c r="U1755" s="1102"/>
    </row>
    <row r="1756" spans="2:21" hidden="1" outlineLevel="2">
      <c r="B1756" s="1050"/>
      <c r="C1756" s="1050"/>
      <c r="D1756" s="1051">
        <f t="shared" si="152"/>
        <v>46</v>
      </c>
      <c r="E1756" s="1051" t="str">
        <f>IF(COUNTIF(E$1615:E1755,F1756)&gt;0,"",F1756)</f>
        <v>2013 - usage : Autres (BTP. recherche. armée. etc.), France continentale, Base Carbone</v>
      </c>
      <c r="F1756" s="1051" t="str">
        <f t="shared" si="153"/>
        <v>2013 - usage : Autres (BTP. recherche. armée. etc.), France continentale, Base Carbone</v>
      </c>
      <c r="G1756" s="1055" t="str">
        <f t="shared" si="154"/>
        <v>2013 - usage : Autres (BTP. recherche. armée. etc.), France continentale, Base Carbone; kgCO2e/kWh, Combustion à la centrale</v>
      </c>
      <c r="I1756" s="2018" t="s">
        <v>1737</v>
      </c>
      <c r="J1756" s="1135" t="s">
        <v>1681</v>
      </c>
      <c r="K1756" s="1119" t="s">
        <v>1567</v>
      </c>
      <c r="L1756" s="1135" t="s">
        <v>1571</v>
      </c>
      <c r="M1756" s="1134">
        <v>0.3</v>
      </c>
      <c r="N1756" s="1135" t="s">
        <v>1763</v>
      </c>
      <c r="O1756" s="1135">
        <v>3.2099999999999997E-2</v>
      </c>
      <c r="P1756" s="1048"/>
      <c r="Q1756" s="1048"/>
      <c r="R1756" s="1158"/>
      <c r="S1756" s="1048"/>
      <c r="T1756" s="1048"/>
      <c r="U1756" s="1102"/>
    </row>
    <row r="1757" spans="2:21" hidden="1" outlineLevel="2">
      <c r="B1757" s="1050"/>
      <c r="C1757" s="1050"/>
      <c r="D1757" s="1051">
        <f t="shared" si="152"/>
        <v>46</v>
      </c>
      <c r="E1757" s="1051" t="str">
        <f>IF(COUNTIF(E$1615:E1756,F1757)&gt;0,"",F1757)</f>
        <v/>
      </c>
      <c r="F1757" s="1051" t="str">
        <f t="shared" si="153"/>
        <v>2013 - usage : Autres (BTP. recherche. armée. etc.), France continentale, Base Carbone</v>
      </c>
      <c r="G1757" s="1055" t="str">
        <f t="shared" si="154"/>
        <v>2013 - usage : Autres (BTP. recherche. armée. etc.), France continentale, Base Carbone; kgCO2e/kWh, Amont</v>
      </c>
      <c r="I1757" s="2018" t="s">
        <v>1737</v>
      </c>
      <c r="J1757" s="1135" t="s">
        <v>1681</v>
      </c>
      <c r="K1757" s="1119" t="s">
        <v>1567</v>
      </c>
      <c r="L1757" s="1135" t="s">
        <v>1571</v>
      </c>
      <c r="M1757" s="1134">
        <v>0.3</v>
      </c>
      <c r="N1757" s="1135" t="s">
        <v>1570</v>
      </c>
      <c r="O1757" s="1135">
        <v>1.01E-2</v>
      </c>
      <c r="P1757" s="1048"/>
      <c r="Q1757" s="1048"/>
      <c r="R1757" s="1158"/>
      <c r="S1757" s="1048"/>
      <c r="T1757" s="1048"/>
      <c r="U1757" s="1102"/>
    </row>
    <row r="1758" spans="2:21" hidden="1" outlineLevel="2">
      <c r="B1758" s="1050"/>
      <c r="C1758" s="1050"/>
      <c r="D1758" s="1051">
        <f t="shared" si="152"/>
        <v>46</v>
      </c>
      <c r="E1758" s="1051" t="str">
        <f>IF(COUNTIF(E$1615:E1757,F1758)&gt;0,"",F1758)</f>
        <v/>
      </c>
      <c r="F1758" s="1051" t="str">
        <f t="shared" si="153"/>
        <v>2013 - usage : Autres (BTP. recherche. armée. etc.), France continentale, Base Carbone</v>
      </c>
      <c r="G1758" s="1055" t="str">
        <f t="shared" si="154"/>
        <v>2013 - usage : Autres (BTP. recherche. armée. etc.), France continentale, Base Carbone; kgCO2e/kWh, Pertes</v>
      </c>
      <c r="I1758" s="2018" t="s">
        <v>1737</v>
      </c>
      <c r="J1758" s="1135" t="s">
        <v>1681</v>
      </c>
      <c r="K1758" s="1119" t="s">
        <v>1567</v>
      </c>
      <c r="L1758" s="1135" t="s">
        <v>1571</v>
      </c>
      <c r="M1758" s="1134">
        <v>0.3</v>
      </c>
      <c r="N1758" s="1135" t="s">
        <v>1766</v>
      </c>
      <c r="O1758" s="1135">
        <v>6.3E-3</v>
      </c>
      <c r="P1758" s="1048"/>
      <c r="Q1758" s="1048"/>
      <c r="R1758" s="1158"/>
      <c r="S1758" s="1048"/>
      <c r="T1758" s="1048"/>
      <c r="U1758" s="1102"/>
    </row>
    <row r="1759" spans="2:21" hidden="1" outlineLevel="2">
      <c r="B1759" s="1050"/>
      <c r="C1759" s="1050"/>
      <c r="D1759" s="1051">
        <f t="shared" si="152"/>
        <v>47</v>
      </c>
      <c r="E1759" s="1051" t="str">
        <f>IF(COUNTIF(E$1615:E1758,F1759)&gt;0,"",F1759)</f>
        <v>2013 - usage : chauffage, France continentale, Base Carbone</v>
      </c>
      <c r="F1759" s="1051" t="str">
        <f t="shared" si="153"/>
        <v>2013 - usage : chauffage, France continentale, Base Carbone</v>
      </c>
      <c r="G1759" s="1055" t="str">
        <f t="shared" si="154"/>
        <v>2013 - usage : chauffage, France continentale, Base Carbone; kgCO2e/kWh, Combustion à la centrale</v>
      </c>
      <c r="I1759" s="2018" t="s">
        <v>1738</v>
      </c>
      <c r="J1759" s="1135" t="s">
        <v>1681</v>
      </c>
      <c r="K1759" s="1119" t="s">
        <v>1567</v>
      </c>
      <c r="L1759" s="1135" t="s">
        <v>1571</v>
      </c>
      <c r="M1759" s="1134">
        <v>0.3</v>
      </c>
      <c r="N1759" s="1135" t="s">
        <v>1763</v>
      </c>
      <c r="O1759" s="1135">
        <v>0.16500000000000001</v>
      </c>
      <c r="P1759" s="1048"/>
      <c r="Q1759" s="1048"/>
      <c r="R1759" s="1158"/>
      <c r="S1759" s="1048"/>
      <c r="T1759" s="1048"/>
      <c r="U1759" s="1102"/>
    </row>
    <row r="1760" spans="2:21" hidden="1" outlineLevel="2">
      <c r="B1760" s="1050"/>
      <c r="C1760" s="1050"/>
      <c r="D1760" s="1051">
        <f t="shared" si="152"/>
        <v>47</v>
      </c>
      <c r="E1760" s="1051" t="str">
        <f>IF(COUNTIF(E$1615:E1759,F1760)&gt;0,"",F1760)</f>
        <v/>
      </c>
      <c r="F1760" s="1051" t="str">
        <f t="shared" si="153"/>
        <v>2013 - usage : chauffage, France continentale, Base Carbone</v>
      </c>
      <c r="G1760" s="1055" t="str">
        <f t="shared" si="154"/>
        <v>2013 - usage : chauffage, France continentale, Base Carbone; kgCO2e/kWh, Amont</v>
      </c>
      <c r="I1760" s="2018" t="s">
        <v>1738</v>
      </c>
      <c r="J1760" s="1135" t="s">
        <v>1681</v>
      </c>
      <c r="K1760" s="1119" t="s">
        <v>1567</v>
      </c>
      <c r="L1760" s="1135" t="s">
        <v>1571</v>
      </c>
      <c r="M1760" s="1134">
        <v>0.3</v>
      </c>
      <c r="N1760" s="1135" t="s">
        <v>1570</v>
      </c>
      <c r="O1760" s="1135">
        <v>2.63E-2</v>
      </c>
      <c r="P1760" s="1048"/>
      <c r="Q1760" s="1048"/>
      <c r="R1760" s="1158"/>
      <c r="S1760" s="1048"/>
      <c r="T1760" s="1048"/>
      <c r="U1760" s="1102"/>
    </row>
    <row r="1761" spans="2:21" hidden="1" outlineLevel="2">
      <c r="B1761" s="1050"/>
      <c r="C1761" s="1050"/>
      <c r="D1761" s="1051">
        <f t="shared" si="152"/>
        <v>47</v>
      </c>
      <c r="E1761" s="1051" t="str">
        <f>IF(COUNTIF(E$1615:E1760,F1761)&gt;0,"",F1761)</f>
        <v/>
      </c>
      <c r="F1761" s="1051" t="str">
        <f t="shared" si="153"/>
        <v>2013 - usage : chauffage, France continentale, Base Carbone</v>
      </c>
      <c r="G1761" s="1055" t="str">
        <f t="shared" si="154"/>
        <v>2013 - usage : chauffage, France continentale, Base Carbone; kgCO2e/kWh, Pertes</v>
      </c>
      <c r="I1761" s="2018" t="s">
        <v>1738</v>
      </c>
      <c r="J1761" s="1135" t="s">
        <v>1681</v>
      </c>
      <c r="K1761" s="1119" t="s">
        <v>1567</v>
      </c>
      <c r="L1761" s="1135" t="s">
        <v>1571</v>
      </c>
      <c r="M1761" s="1134">
        <v>0.3</v>
      </c>
      <c r="N1761" s="1135" t="s">
        <v>1766</v>
      </c>
      <c r="O1761" s="1135">
        <v>6.3E-3</v>
      </c>
      <c r="P1761" s="1048"/>
      <c r="Q1761" s="1048"/>
      <c r="R1761" s="1158"/>
      <c r="S1761" s="1048"/>
      <c r="T1761" s="1048"/>
      <c r="U1761" s="1102"/>
    </row>
    <row r="1762" spans="2:21" hidden="1" outlineLevel="2">
      <c r="B1762" s="1050"/>
      <c r="C1762" s="1050"/>
      <c r="D1762" s="1051">
        <f t="shared" si="152"/>
        <v>48</v>
      </c>
      <c r="E1762" s="1051" t="str">
        <f>IF(COUNTIF(E$1615:E1761,F1762)&gt;0,"",F1762)</f>
        <v>2013 - usage : Climatisation tertiaire, France continentale, Base Carbone</v>
      </c>
      <c r="F1762" s="1051" t="str">
        <f t="shared" si="153"/>
        <v>2013 - usage : Climatisation tertiaire, France continentale, Base Carbone</v>
      </c>
      <c r="G1762" s="1055" t="str">
        <f t="shared" si="154"/>
        <v>2013 - usage : Climatisation tertiaire, France continentale, Base Carbone; kgCO2e/kWh, Combustion à la centrale</v>
      </c>
      <c r="I1762" s="2018" t="s">
        <v>1739</v>
      </c>
      <c r="J1762" s="1135" t="s">
        <v>1681</v>
      </c>
      <c r="K1762" s="1119" t="s">
        <v>1567</v>
      </c>
      <c r="L1762" s="1135" t="s">
        <v>1571</v>
      </c>
      <c r="M1762" s="1134">
        <v>0.3</v>
      </c>
      <c r="N1762" s="1135" t="s">
        <v>1763</v>
      </c>
      <c r="O1762" s="1135">
        <v>3.95E-2</v>
      </c>
      <c r="P1762" s="1048"/>
      <c r="Q1762" s="1048"/>
      <c r="R1762" s="1158"/>
      <c r="S1762" s="1048"/>
      <c r="T1762" s="1048"/>
      <c r="U1762" s="1102"/>
    </row>
    <row r="1763" spans="2:21" hidden="1" outlineLevel="2">
      <c r="B1763" s="1050"/>
      <c r="C1763" s="1050"/>
      <c r="D1763" s="1051">
        <f t="shared" si="152"/>
        <v>48</v>
      </c>
      <c r="E1763" s="1051" t="str">
        <f>IF(COUNTIF(E$1615:E1762,F1763)&gt;0,"",F1763)</f>
        <v/>
      </c>
      <c r="F1763" s="1051" t="str">
        <f t="shared" si="153"/>
        <v>2013 - usage : Climatisation tertiaire, France continentale, Base Carbone</v>
      </c>
      <c r="G1763" s="1055" t="str">
        <f t="shared" si="154"/>
        <v>2013 - usage : Climatisation tertiaire, France continentale, Base Carbone; kgCO2e/kWh, Amont</v>
      </c>
      <c r="I1763" s="2018" t="s">
        <v>1739</v>
      </c>
      <c r="J1763" s="1135" t="s">
        <v>1681</v>
      </c>
      <c r="K1763" s="1119" t="s">
        <v>1567</v>
      </c>
      <c r="L1763" s="1135" t="s">
        <v>1571</v>
      </c>
      <c r="M1763" s="1134">
        <v>0.3</v>
      </c>
      <c r="N1763" s="1135" t="s">
        <v>1570</v>
      </c>
      <c r="O1763" s="1135">
        <v>1.0999999999999999E-2</v>
      </c>
      <c r="P1763" s="1048"/>
      <c r="Q1763" s="1048"/>
      <c r="R1763" s="1158"/>
      <c r="S1763" s="1048"/>
      <c r="T1763" s="1048"/>
      <c r="U1763" s="1102"/>
    </row>
    <row r="1764" spans="2:21" hidden="1" outlineLevel="2">
      <c r="B1764" s="1050"/>
      <c r="C1764" s="1050"/>
      <c r="D1764" s="1051">
        <f t="shared" si="152"/>
        <v>48</v>
      </c>
      <c r="E1764" s="1051" t="str">
        <f>IF(COUNTIF(E$1615:E1763,F1764)&gt;0,"",F1764)</f>
        <v/>
      </c>
      <c r="F1764" s="1051" t="str">
        <f t="shared" si="153"/>
        <v>2013 - usage : Climatisation tertiaire, France continentale, Base Carbone</v>
      </c>
      <c r="G1764" s="1055" t="str">
        <f t="shared" si="154"/>
        <v>2013 - usage : Climatisation tertiaire, France continentale, Base Carbone; kgCO2e/kWh, Pertes</v>
      </c>
      <c r="I1764" s="2018" t="s">
        <v>1739</v>
      </c>
      <c r="J1764" s="1135" t="s">
        <v>1681</v>
      </c>
      <c r="K1764" s="1119" t="s">
        <v>1567</v>
      </c>
      <c r="L1764" s="1135" t="s">
        <v>1571</v>
      </c>
      <c r="M1764" s="1134">
        <v>0.3</v>
      </c>
      <c r="N1764" s="1135" t="s">
        <v>1766</v>
      </c>
      <c r="O1764" s="1135">
        <v>6.3E-3</v>
      </c>
      <c r="P1764" s="1048"/>
      <c r="Q1764" s="1048"/>
      <c r="R1764" s="1158"/>
      <c r="S1764" s="1048"/>
      <c r="T1764" s="1048"/>
      <c r="U1764" s="1102"/>
    </row>
    <row r="1765" spans="2:21" hidden="1" outlineLevel="2">
      <c r="B1765" s="1050"/>
      <c r="C1765" s="1050"/>
      <c r="D1765" s="1051">
        <f t="shared" si="152"/>
        <v>49</v>
      </c>
      <c r="E1765" s="1051" t="str">
        <f>IF(COUNTIF(E$1615:E1764,F1765)&gt;0,"",F1765)</f>
        <v>2013 - usage : Cuisson résidentiel, France continentale, Base Carbone</v>
      </c>
      <c r="F1765" s="1051" t="str">
        <f t="shared" si="153"/>
        <v>2013 - usage : Cuisson résidentiel, France continentale, Base Carbone</v>
      </c>
      <c r="G1765" s="1055" t="str">
        <f t="shared" si="154"/>
        <v>2013 - usage : Cuisson résidentiel, France continentale, Base Carbone; kgCO2e/kWh, Combustion à la centrale</v>
      </c>
      <c r="I1765" s="2018" t="s">
        <v>1740</v>
      </c>
      <c r="J1765" s="1135" t="s">
        <v>1681</v>
      </c>
      <c r="K1765" s="1119" t="s">
        <v>1567</v>
      </c>
      <c r="L1765" s="1135" t="s">
        <v>1571</v>
      </c>
      <c r="M1765" s="1134">
        <v>0.3</v>
      </c>
      <c r="N1765" s="1135" t="s">
        <v>1763</v>
      </c>
      <c r="O1765" s="1135">
        <v>5.28E-2</v>
      </c>
      <c r="P1765" s="1048"/>
      <c r="Q1765" s="1048"/>
      <c r="R1765" s="1158"/>
      <c r="S1765" s="1048"/>
      <c r="T1765" s="1048"/>
      <c r="U1765" s="1102"/>
    </row>
    <row r="1766" spans="2:21" hidden="1" outlineLevel="2">
      <c r="B1766" s="1050"/>
      <c r="C1766" s="1050"/>
      <c r="D1766" s="1051">
        <f t="shared" si="152"/>
        <v>49</v>
      </c>
      <c r="E1766" s="1051" t="str">
        <f>IF(COUNTIF(E$1615:E1765,F1766)&gt;0,"",F1766)</f>
        <v/>
      </c>
      <c r="F1766" s="1051" t="str">
        <f t="shared" si="153"/>
        <v>2013 - usage : Cuisson résidentiel, France continentale, Base Carbone</v>
      </c>
      <c r="G1766" s="1055" t="str">
        <f t="shared" si="154"/>
        <v>2013 - usage : Cuisson résidentiel, France continentale, Base Carbone; kgCO2e/kWh, Amont</v>
      </c>
      <c r="I1766" s="2018" t="s">
        <v>1740</v>
      </c>
      <c r="J1766" s="1135" t="s">
        <v>1681</v>
      </c>
      <c r="K1766" s="1119" t="s">
        <v>1567</v>
      </c>
      <c r="L1766" s="1135" t="s">
        <v>1571</v>
      </c>
      <c r="M1766" s="1134">
        <v>0.3</v>
      </c>
      <c r="N1766" s="1135" t="s">
        <v>1570</v>
      </c>
      <c r="O1766" s="1135">
        <v>1.26E-2</v>
      </c>
      <c r="P1766" s="1048"/>
      <c r="Q1766" s="1048"/>
      <c r="R1766" s="1158"/>
      <c r="S1766" s="1048"/>
      <c r="T1766" s="1048"/>
      <c r="U1766" s="1102"/>
    </row>
    <row r="1767" spans="2:21" hidden="1" outlineLevel="2">
      <c r="B1767" s="1050"/>
      <c r="C1767" s="1050"/>
      <c r="D1767" s="1051">
        <f t="shared" si="152"/>
        <v>49</v>
      </c>
      <c r="E1767" s="1051" t="str">
        <f>IF(COUNTIF(E$1615:E1766,F1767)&gt;0,"",F1767)</f>
        <v/>
      </c>
      <c r="F1767" s="1051" t="str">
        <f t="shared" si="153"/>
        <v>2013 - usage : Cuisson résidentiel, France continentale, Base Carbone</v>
      </c>
      <c r="G1767" s="1055" t="str">
        <f t="shared" si="154"/>
        <v>2013 - usage : Cuisson résidentiel, France continentale, Base Carbone; kgCO2e/kWh, Pertes</v>
      </c>
      <c r="I1767" s="2018" t="s">
        <v>1740</v>
      </c>
      <c r="J1767" s="1135" t="s">
        <v>1681</v>
      </c>
      <c r="K1767" s="1119" t="s">
        <v>1567</v>
      </c>
      <c r="L1767" s="1135" t="s">
        <v>1571</v>
      </c>
      <c r="M1767" s="1134">
        <v>0.3</v>
      </c>
      <c r="N1767" s="1135" t="s">
        <v>1766</v>
      </c>
      <c r="O1767" s="1135">
        <v>6.3E-3</v>
      </c>
      <c r="P1767" s="1048"/>
      <c r="Q1767" s="1048"/>
      <c r="R1767" s="1158"/>
      <c r="S1767" s="1048"/>
      <c r="T1767" s="1048"/>
      <c r="U1767" s="1102"/>
    </row>
    <row r="1768" spans="2:21" hidden="1" outlineLevel="2">
      <c r="B1768" s="1050"/>
      <c r="C1768" s="1050"/>
      <c r="D1768" s="1051">
        <f t="shared" si="152"/>
        <v>50</v>
      </c>
      <c r="E1768" s="1051" t="str">
        <f>IF(COUNTIF(E$1615:E1767,F1768)&gt;0,"",F1768)</f>
        <v>2013 - usage : Eau Chaude Sanitaire, France continentale, Base Carbone</v>
      </c>
      <c r="F1768" s="1051" t="str">
        <f t="shared" si="153"/>
        <v>2013 - usage : Eau Chaude Sanitaire, France continentale, Base Carbone</v>
      </c>
      <c r="G1768" s="1055" t="str">
        <f t="shared" si="154"/>
        <v>2013 - usage : Eau Chaude Sanitaire, France continentale, Base Carbone; kgCO2e/kWh, Combustion à la centrale</v>
      </c>
      <c r="I1768" s="2018" t="s">
        <v>1741</v>
      </c>
      <c r="J1768" s="1135" t="s">
        <v>1681</v>
      </c>
      <c r="K1768" s="1119" t="s">
        <v>1567</v>
      </c>
      <c r="L1768" s="1135" t="s">
        <v>1571</v>
      </c>
      <c r="M1768" s="1134">
        <v>0.3</v>
      </c>
      <c r="N1768" s="1135" t="s">
        <v>1763</v>
      </c>
      <c r="O1768" s="1135">
        <v>4.1500000000000002E-2</v>
      </c>
      <c r="P1768" s="1048"/>
      <c r="Q1768" s="1048"/>
      <c r="R1768" s="1158"/>
      <c r="S1768" s="1048"/>
      <c r="T1768" s="1048"/>
      <c r="U1768" s="1102"/>
    </row>
    <row r="1769" spans="2:21" hidden="1" outlineLevel="2">
      <c r="B1769" s="1050"/>
      <c r="C1769" s="1050"/>
      <c r="D1769" s="1051">
        <f t="shared" si="152"/>
        <v>50</v>
      </c>
      <c r="E1769" s="1051" t="str">
        <f>IF(COUNTIF(E$1615:E1768,F1769)&gt;0,"",F1769)</f>
        <v/>
      </c>
      <c r="F1769" s="1051" t="str">
        <f t="shared" si="153"/>
        <v>2013 - usage : Eau Chaude Sanitaire, France continentale, Base Carbone</v>
      </c>
      <c r="G1769" s="1055" t="str">
        <f t="shared" si="154"/>
        <v>2013 - usage : Eau Chaude Sanitaire, France continentale, Base Carbone; kgCO2e/kWh, Amont</v>
      </c>
      <c r="I1769" s="2018" t="s">
        <v>1741</v>
      </c>
      <c r="J1769" s="1135" t="s">
        <v>1681</v>
      </c>
      <c r="K1769" s="1119" t="s">
        <v>1567</v>
      </c>
      <c r="L1769" s="1135" t="s">
        <v>1571</v>
      </c>
      <c r="M1769" s="1134">
        <v>0.3</v>
      </c>
      <c r="N1769" s="1135" t="s">
        <v>1570</v>
      </c>
      <c r="O1769" s="1135">
        <v>1.1299999999999999E-2</v>
      </c>
      <c r="P1769" s="1048"/>
      <c r="Q1769" s="1048"/>
      <c r="R1769" s="1158"/>
      <c r="S1769" s="1048"/>
      <c r="T1769" s="1048"/>
      <c r="U1769" s="1102"/>
    </row>
    <row r="1770" spans="2:21" hidden="1" outlineLevel="2">
      <c r="B1770" s="1050"/>
      <c r="C1770" s="1050"/>
      <c r="D1770" s="1051">
        <f t="shared" si="152"/>
        <v>50</v>
      </c>
      <c r="E1770" s="1051" t="str">
        <f>IF(COUNTIF(E$1615:E1769,F1770)&gt;0,"",F1770)</f>
        <v/>
      </c>
      <c r="F1770" s="1051" t="str">
        <f t="shared" si="153"/>
        <v>2013 - usage : Eau Chaude Sanitaire, France continentale, Base Carbone</v>
      </c>
      <c r="G1770" s="1055" t="str">
        <f t="shared" si="154"/>
        <v>2013 - usage : Eau Chaude Sanitaire, France continentale, Base Carbone; kgCO2e/kWh, Pertes</v>
      </c>
      <c r="I1770" s="2018" t="s">
        <v>1741</v>
      </c>
      <c r="J1770" s="1135" t="s">
        <v>1681</v>
      </c>
      <c r="K1770" s="1119" t="s">
        <v>1567</v>
      </c>
      <c r="L1770" s="1135" t="s">
        <v>1571</v>
      </c>
      <c r="M1770" s="1134">
        <v>0.3</v>
      </c>
      <c r="N1770" s="1135" t="s">
        <v>1766</v>
      </c>
      <c r="O1770" s="1135">
        <v>6.3E-3</v>
      </c>
      <c r="P1770" s="1048"/>
      <c r="Q1770" s="1048"/>
      <c r="R1770" s="1158"/>
      <c r="S1770" s="1048"/>
      <c r="T1770" s="1048"/>
      <c r="U1770" s="1102"/>
    </row>
    <row r="1771" spans="2:21" hidden="1" outlineLevel="2">
      <c r="B1771" s="1050"/>
      <c r="C1771" s="1050"/>
      <c r="D1771" s="1051">
        <f t="shared" si="152"/>
        <v>51</v>
      </c>
      <c r="E1771" s="1051" t="str">
        <f>IF(COUNTIF(E$1615:E1770,F1771)&gt;0,"",F1771)</f>
        <v>2013 - usage : Eclairage public et Industrie, France continentale, Base Carbone</v>
      </c>
      <c r="F1771" s="1051" t="str">
        <f t="shared" si="153"/>
        <v>2013 - usage : Eclairage public et Industrie, France continentale, Base Carbone</v>
      </c>
      <c r="G1771" s="1055" t="str">
        <f t="shared" si="154"/>
        <v>2013 - usage : Eclairage public et Industrie, France continentale, Base Carbone; kgCO2e/kWh, Combustion à la centrale</v>
      </c>
      <c r="I1771" s="2018" t="s">
        <v>1742</v>
      </c>
      <c r="J1771" s="1135" t="s">
        <v>1681</v>
      </c>
      <c r="K1771" s="1119" t="s">
        <v>1567</v>
      </c>
      <c r="L1771" s="1135" t="s">
        <v>1571</v>
      </c>
      <c r="M1771" s="1134">
        <v>0.3</v>
      </c>
      <c r="N1771" s="1135" t="s">
        <v>1763</v>
      </c>
      <c r="O1771" s="1135">
        <v>6.6500000000000004E-2</v>
      </c>
      <c r="P1771" s="1048"/>
      <c r="Q1771" s="1048"/>
      <c r="R1771" s="1158"/>
      <c r="S1771" s="1048"/>
      <c r="T1771" s="1048"/>
      <c r="U1771" s="1102"/>
    </row>
    <row r="1772" spans="2:21" hidden="1" outlineLevel="2">
      <c r="B1772" s="1050"/>
      <c r="C1772" s="1050"/>
      <c r="D1772" s="1051">
        <f t="shared" si="152"/>
        <v>51</v>
      </c>
      <c r="E1772" s="1051" t="str">
        <f>IF(COUNTIF(E$1615:E1771,F1772)&gt;0,"",F1772)</f>
        <v/>
      </c>
      <c r="F1772" s="1051" t="str">
        <f t="shared" si="153"/>
        <v>2013 - usage : Eclairage public et Industrie, France continentale, Base Carbone</v>
      </c>
      <c r="G1772" s="1055" t="str">
        <f t="shared" si="154"/>
        <v>2013 - usage : Eclairage public et Industrie, France continentale, Base Carbone; kgCO2e/kWh, Amont</v>
      </c>
      <c r="I1772" s="2018" t="s">
        <v>1742</v>
      </c>
      <c r="J1772" s="1135" t="s">
        <v>1681</v>
      </c>
      <c r="K1772" s="1119" t="s">
        <v>1567</v>
      </c>
      <c r="L1772" s="1135" t="s">
        <v>1571</v>
      </c>
      <c r="M1772" s="1134">
        <v>0.3</v>
      </c>
      <c r="N1772" s="1135" t="s">
        <v>1570</v>
      </c>
      <c r="O1772" s="1135">
        <v>1.43E-2</v>
      </c>
      <c r="P1772" s="1048"/>
      <c r="Q1772" s="1048"/>
      <c r="R1772" s="1158"/>
      <c r="S1772" s="1048"/>
      <c r="T1772" s="1048"/>
      <c r="U1772" s="1102"/>
    </row>
    <row r="1773" spans="2:21" hidden="1" outlineLevel="2">
      <c r="B1773" s="1050"/>
      <c r="C1773" s="1050"/>
      <c r="D1773" s="1051">
        <f t="shared" si="152"/>
        <v>51</v>
      </c>
      <c r="E1773" s="1051" t="str">
        <f>IF(COUNTIF(E$1615:E1772,F1773)&gt;0,"",F1773)</f>
        <v/>
      </c>
      <c r="F1773" s="1051" t="str">
        <f t="shared" si="153"/>
        <v>2013 - usage : Eclairage public et Industrie, France continentale, Base Carbone</v>
      </c>
      <c r="G1773" s="1055" t="str">
        <f t="shared" si="154"/>
        <v>2013 - usage : Eclairage public et Industrie, France continentale, Base Carbone; kgCO2e/kWh, Pertes</v>
      </c>
      <c r="I1773" s="2018" t="s">
        <v>1742</v>
      </c>
      <c r="J1773" s="1135" t="s">
        <v>1681</v>
      </c>
      <c r="K1773" s="1119" t="s">
        <v>1567</v>
      </c>
      <c r="L1773" s="1135" t="s">
        <v>1571</v>
      </c>
      <c r="M1773" s="1134">
        <v>0.3</v>
      </c>
      <c r="N1773" s="1135" t="s">
        <v>1766</v>
      </c>
      <c r="O1773" s="1135">
        <v>6.3E-3</v>
      </c>
      <c r="P1773" s="1048"/>
      <c r="Q1773" s="1048"/>
      <c r="R1773" s="1158"/>
      <c r="S1773" s="1048"/>
      <c r="T1773" s="1048"/>
      <c r="U1773" s="1102"/>
    </row>
    <row r="1774" spans="2:21" hidden="1" outlineLevel="2">
      <c r="B1774" s="1050"/>
      <c r="C1774" s="1050"/>
      <c r="D1774" s="1051">
        <f t="shared" si="152"/>
        <v>52</v>
      </c>
      <c r="E1774" s="1051" t="str">
        <f>IF(COUNTIF(E$1615:E1773,F1774)&gt;0,"",F1774)</f>
        <v>2013 - usage : Eclairage résidentiel, France continentale, Base Carbone</v>
      </c>
      <c r="F1774" s="1051" t="str">
        <f t="shared" si="153"/>
        <v>2013 - usage : Eclairage résidentiel, France continentale, Base Carbone</v>
      </c>
      <c r="G1774" s="1055" t="str">
        <f t="shared" si="154"/>
        <v>2013 - usage : Eclairage résidentiel, France continentale, Base Carbone; kgCO2e/kWh, Combustion à la centrale</v>
      </c>
      <c r="I1774" s="2018" t="s">
        <v>1743</v>
      </c>
      <c r="J1774" s="1135" t="s">
        <v>1681</v>
      </c>
      <c r="K1774" s="1119" t="s">
        <v>1567</v>
      </c>
      <c r="L1774" s="1135" t="s">
        <v>1571</v>
      </c>
      <c r="M1774" s="1134">
        <v>0.3</v>
      </c>
      <c r="N1774" s="1135" t="s">
        <v>1763</v>
      </c>
      <c r="O1774" s="1135">
        <v>8.5599999999999996E-2</v>
      </c>
      <c r="P1774" s="1048"/>
      <c r="Q1774" s="1048"/>
      <c r="R1774" s="1158"/>
      <c r="S1774" s="1048"/>
      <c r="T1774" s="1048"/>
      <c r="U1774" s="1102"/>
    </row>
    <row r="1775" spans="2:21" hidden="1" outlineLevel="2">
      <c r="B1775" s="1050"/>
      <c r="C1775" s="1050"/>
      <c r="D1775" s="1051">
        <f t="shared" si="152"/>
        <v>52</v>
      </c>
      <c r="E1775" s="1051" t="str">
        <f>IF(COUNTIF(E$1615:E1774,F1775)&gt;0,"",F1775)</f>
        <v/>
      </c>
      <c r="F1775" s="1051" t="str">
        <f t="shared" si="153"/>
        <v>2013 - usage : Eclairage résidentiel, France continentale, Base Carbone</v>
      </c>
      <c r="G1775" s="1055" t="str">
        <f t="shared" si="154"/>
        <v>2013 - usage : Eclairage résidentiel, France continentale, Base Carbone; kgCO2e/kWh, Amont</v>
      </c>
      <c r="I1775" s="2018" t="s">
        <v>1743</v>
      </c>
      <c r="J1775" s="1135" t="s">
        <v>1681</v>
      </c>
      <c r="K1775" s="1119" t="s">
        <v>1567</v>
      </c>
      <c r="L1775" s="1135" t="s">
        <v>1571</v>
      </c>
      <c r="M1775" s="1134">
        <v>0.3</v>
      </c>
      <c r="N1775" s="1135" t="s">
        <v>1570</v>
      </c>
      <c r="O1775" s="1135">
        <v>1.66E-2</v>
      </c>
      <c r="P1775" s="1048"/>
      <c r="Q1775" s="1048"/>
      <c r="R1775" s="1158"/>
      <c r="S1775" s="1048"/>
      <c r="T1775" s="1048"/>
      <c r="U1775" s="1102"/>
    </row>
    <row r="1776" spans="2:21" hidden="1" outlineLevel="2">
      <c r="B1776" s="1050"/>
      <c r="C1776" s="1050"/>
      <c r="D1776" s="1051">
        <f t="shared" si="152"/>
        <v>52</v>
      </c>
      <c r="E1776" s="1051" t="str">
        <f>IF(COUNTIF(E$1615:E1775,F1776)&gt;0,"",F1776)</f>
        <v/>
      </c>
      <c r="F1776" s="1051" t="str">
        <f t="shared" si="153"/>
        <v>2013 - usage : Eclairage résidentiel, France continentale, Base Carbone</v>
      </c>
      <c r="G1776" s="1055" t="str">
        <f t="shared" si="154"/>
        <v>2013 - usage : Eclairage résidentiel, France continentale, Base Carbone; kgCO2e/kWh, Pertes</v>
      </c>
      <c r="I1776" s="2018" t="s">
        <v>1743</v>
      </c>
      <c r="J1776" s="1135" t="s">
        <v>1681</v>
      </c>
      <c r="K1776" s="1119" t="s">
        <v>1567</v>
      </c>
      <c r="L1776" s="1135" t="s">
        <v>1571</v>
      </c>
      <c r="M1776" s="1134">
        <v>0.3</v>
      </c>
      <c r="N1776" s="1135" t="s">
        <v>1766</v>
      </c>
      <c r="O1776" s="1135">
        <v>6.3E-3</v>
      </c>
      <c r="P1776" s="1048"/>
      <c r="Q1776" s="1048"/>
      <c r="R1776" s="1158"/>
      <c r="S1776" s="1048"/>
      <c r="T1776" s="1048"/>
      <c r="U1776" s="1102"/>
    </row>
    <row r="1777" spans="2:21" hidden="1" outlineLevel="2">
      <c r="B1777" s="1050"/>
      <c r="C1777" s="1050"/>
      <c r="D1777" s="1051">
        <f t="shared" si="152"/>
        <v>53</v>
      </c>
      <c r="E1777" s="1051" t="str">
        <f>IF(COUNTIF(E$1615:E1776,F1777)&gt;0,"",F1777)</f>
        <v>2013 - usage : Industrie base, France continentale, Base Carbone</v>
      </c>
      <c r="F1777" s="1051" t="str">
        <f t="shared" si="153"/>
        <v>2013 - usage : Industrie base, France continentale, Base Carbone</v>
      </c>
      <c r="G1777" s="1055" t="str">
        <f t="shared" si="154"/>
        <v>2013 - usage : Industrie base, France continentale, Base Carbone; kgCO2e/kWh, Combustion à la centrale</v>
      </c>
      <c r="I1777" s="2018" t="s">
        <v>1744</v>
      </c>
      <c r="J1777" s="1135" t="s">
        <v>1681</v>
      </c>
      <c r="K1777" s="1119" t="s">
        <v>1567</v>
      </c>
      <c r="L1777" s="1135" t="s">
        <v>1571</v>
      </c>
      <c r="M1777" s="1134">
        <v>0.3</v>
      </c>
      <c r="N1777" s="1135" t="s">
        <v>1763</v>
      </c>
      <c r="O1777" s="1135">
        <v>3.1199999999999999E-2</v>
      </c>
      <c r="P1777" s="1048"/>
      <c r="Q1777" s="1048"/>
      <c r="R1777" s="1158"/>
      <c r="S1777" s="1048"/>
      <c r="T1777" s="1048"/>
      <c r="U1777" s="1102"/>
    </row>
    <row r="1778" spans="2:21" hidden="1" outlineLevel="2">
      <c r="B1778" s="1050"/>
      <c r="C1778" s="1050"/>
      <c r="D1778" s="1051">
        <f t="shared" si="152"/>
        <v>53</v>
      </c>
      <c r="E1778" s="1051" t="str">
        <f>IF(COUNTIF(E$1615:E1777,F1778)&gt;0,"",F1778)</f>
        <v/>
      </c>
      <c r="F1778" s="1051" t="str">
        <f t="shared" si="153"/>
        <v>2013 - usage : Industrie base, France continentale, Base Carbone</v>
      </c>
      <c r="G1778" s="1055" t="str">
        <f t="shared" si="154"/>
        <v>2013 - usage : Industrie base, France continentale, Base Carbone; kgCO2e/kWh, Amont</v>
      </c>
      <c r="I1778" s="2018" t="s">
        <v>1744</v>
      </c>
      <c r="J1778" s="1135" t="s">
        <v>1681</v>
      </c>
      <c r="K1778" s="1119" t="s">
        <v>1567</v>
      </c>
      <c r="L1778" s="1135" t="s">
        <v>1571</v>
      </c>
      <c r="M1778" s="1134">
        <v>0.3</v>
      </c>
      <c r="N1778" s="1135" t="s">
        <v>1570</v>
      </c>
      <c r="O1778" s="1135">
        <v>0.01</v>
      </c>
      <c r="P1778" s="1048"/>
      <c r="Q1778" s="1048"/>
      <c r="R1778" s="1158"/>
      <c r="S1778" s="1048"/>
      <c r="T1778" s="1048"/>
      <c r="U1778" s="1102"/>
    </row>
    <row r="1779" spans="2:21" hidden="1" outlineLevel="2">
      <c r="B1779" s="1050"/>
      <c r="C1779" s="1050"/>
      <c r="D1779" s="1051">
        <f t="shared" si="152"/>
        <v>53</v>
      </c>
      <c r="E1779" s="1051" t="str">
        <f>IF(COUNTIF(E$1615:E1778,F1779)&gt;0,"",F1779)</f>
        <v/>
      </c>
      <c r="F1779" s="1051" t="str">
        <f t="shared" si="153"/>
        <v>2013 - usage : Industrie base, France continentale, Base Carbone</v>
      </c>
      <c r="G1779" s="1055" t="str">
        <f t="shared" si="154"/>
        <v>2013 - usage : Industrie base, France continentale, Base Carbone; kgCO2e/kWh, Pertes</v>
      </c>
      <c r="I1779" s="2018" t="s">
        <v>1744</v>
      </c>
      <c r="J1779" s="1135" t="s">
        <v>1681</v>
      </c>
      <c r="K1779" s="1119" t="s">
        <v>1567</v>
      </c>
      <c r="L1779" s="1135" t="s">
        <v>1571</v>
      </c>
      <c r="M1779" s="1134">
        <v>0.3</v>
      </c>
      <c r="N1779" s="1135" t="s">
        <v>1766</v>
      </c>
      <c r="O1779" s="1135">
        <v>6.3E-3</v>
      </c>
      <c r="P1779" s="1048"/>
      <c r="Q1779" s="1048"/>
      <c r="R1779" s="1158"/>
      <c r="S1779" s="1048"/>
      <c r="T1779" s="1048"/>
      <c r="U1779" s="1102"/>
    </row>
    <row r="1780" spans="2:21" hidden="1" outlineLevel="2">
      <c r="B1780" s="1050"/>
      <c r="C1780" s="1050"/>
      <c r="D1780" s="1051">
        <f t="shared" si="152"/>
        <v>54</v>
      </c>
      <c r="E1780" s="1051" t="str">
        <f>IF(COUNTIF(E$1615:E1779,F1780)&gt;0,"",F1780)</f>
        <v>2013 - usage : Transports, France continentale, Base Carbone</v>
      </c>
      <c r="F1780" s="1051" t="str">
        <f t="shared" si="153"/>
        <v>2013 - usage : Transports, France continentale, Base Carbone</v>
      </c>
      <c r="G1780" s="1055" t="str">
        <f t="shared" si="154"/>
        <v>2013 - usage : Transports, France continentale, Base Carbone; kgCO2e/kWh, Combustion à la centrale</v>
      </c>
      <c r="I1780" s="2018" t="s">
        <v>1745</v>
      </c>
      <c r="J1780" s="1135" t="s">
        <v>1681</v>
      </c>
      <c r="K1780" s="1119" t="s">
        <v>1567</v>
      </c>
      <c r="L1780" s="1135" t="s">
        <v>1571</v>
      </c>
      <c r="M1780" s="1134">
        <v>0.3</v>
      </c>
      <c r="N1780" s="1135" t="s">
        <v>1763</v>
      </c>
      <c r="O1780" s="1135">
        <v>3.1199999999999999E-2</v>
      </c>
      <c r="P1780" s="1048"/>
      <c r="Q1780" s="1048"/>
      <c r="R1780" s="1158"/>
      <c r="S1780" s="1048"/>
      <c r="T1780" s="1048"/>
      <c r="U1780" s="1102"/>
    </row>
    <row r="1781" spans="2:21" hidden="1" outlineLevel="2">
      <c r="B1781" s="1050"/>
      <c r="C1781" s="1050"/>
      <c r="D1781" s="1051">
        <f t="shared" si="152"/>
        <v>54</v>
      </c>
      <c r="E1781" s="1051" t="str">
        <f>IF(COUNTIF(E$1615:E1780,F1781)&gt;0,"",F1781)</f>
        <v/>
      </c>
      <c r="F1781" s="1051" t="str">
        <f t="shared" si="153"/>
        <v>2013 - usage : Transports, France continentale, Base Carbone</v>
      </c>
      <c r="G1781" s="1055" t="str">
        <f t="shared" si="154"/>
        <v>2013 - usage : Transports, France continentale, Base Carbone; kgCO2e/kWh, Amont</v>
      </c>
      <c r="I1781" s="2018" t="s">
        <v>1745</v>
      </c>
      <c r="J1781" s="1135" t="s">
        <v>1681</v>
      </c>
      <c r="K1781" s="1119" t="s">
        <v>1567</v>
      </c>
      <c r="L1781" s="1135" t="s">
        <v>1571</v>
      </c>
      <c r="M1781" s="1134">
        <v>0.3</v>
      </c>
      <c r="N1781" s="1135" t="s">
        <v>1570</v>
      </c>
      <c r="O1781" s="1135">
        <v>0.01</v>
      </c>
      <c r="P1781" s="1048"/>
      <c r="Q1781" s="1048"/>
      <c r="R1781" s="1158"/>
      <c r="S1781" s="1048"/>
      <c r="T1781" s="1048"/>
      <c r="U1781" s="1102"/>
    </row>
    <row r="1782" spans="2:21" hidden="1" outlineLevel="2">
      <c r="B1782" s="1050"/>
      <c r="C1782" s="1050"/>
      <c r="D1782" s="1051">
        <f t="shared" si="152"/>
        <v>54</v>
      </c>
      <c r="E1782" s="1051" t="str">
        <f>IF(COUNTIF(E$1615:E1781,F1782)&gt;0,"",F1782)</f>
        <v/>
      </c>
      <c r="F1782" s="1051" t="str">
        <f t="shared" si="153"/>
        <v>2013 - usage : Transports, France continentale, Base Carbone</v>
      </c>
      <c r="G1782" s="1055" t="str">
        <f t="shared" si="154"/>
        <v>2013 - usage : Transports, France continentale, Base Carbone; kgCO2e/kWh, Pertes</v>
      </c>
      <c r="I1782" s="2018" t="s">
        <v>1745</v>
      </c>
      <c r="J1782" s="1135" t="s">
        <v>1681</v>
      </c>
      <c r="K1782" s="1119" t="s">
        <v>1567</v>
      </c>
      <c r="L1782" s="1135" t="s">
        <v>1571</v>
      </c>
      <c r="M1782" s="1134">
        <v>0.3</v>
      </c>
      <c r="N1782" s="1135" t="s">
        <v>1766</v>
      </c>
      <c r="O1782" s="1135">
        <v>6.3E-3</v>
      </c>
      <c r="P1782" s="1048"/>
      <c r="Q1782" s="1048"/>
      <c r="R1782" s="1158"/>
      <c r="S1782" s="1048"/>
      <c r="T1782" s="1048"/>
      <c r="U1782" s="1102"/>
    </row>
    <row r="1783" spans="2:21" hidden="1" outlineLevel="2">
      <c r="B1783" s="1050"/>
      <c r="C1783" s="1050"/>
      <c r="D1783" s="1051">
        <f t="shared" si="152"/>
        <v>54</v>
      </c>
      <c r="E1783" s="1051" t="str">
        <f>IF(COUNTIF(E$1615:E1782,F1783)&gt;0,"",F1783)</f>
        <v/>
      </c>
      <c r="F1783" s="1051" t="str">
        <f t="shared" si="153"/>
        <v/>
      </c>
      <c r="G1783" s="1055" t="str">
        <f t="shared" si="154"/>
        <v/>
      </c>
      <c r="I1783" s="2018"/>
      <c r="J1783" s="1135"/>
      <c r="K1783" s="1119"/>
      <c r="L1783" s="1135"/>
      <c r="M1783" s="1134"/>
      <c r="N1783" s="1135"/>
      <c r="O1783" s="1135"/>
      <c r="P1783" s="1048"/>
      <c r="Q1783" s="1048"/>
      <c r="R1783" s="1158"/>
      <c r="S1783" s="1048"/>
      <c r="T1783" s="1048"/>
      <c r="U1783" s="1102"/>
    </row>
    <row r="1784" spans="2:21" hidden="1" outlineLevel="2">
      <c r="B1784" s="1050"/>
      <c r="C1784" s="1050"/>
      <c r="D1784" s="1051">
        <f t="shared" si="152"/>
        <v>55</v>
      </c>
      <c r="E1784" s="1051" t="str">
        <f>IF(COUNTIF(E$1615:E1783,F1784)&gt;0,"",F1784)</f>
        <v>2014 - usage : Autres (BTP. recherche. armée. etc.), France continentale, Base Carbone</v>
      </c>
      <c r="F1784" s="1051" t="str">
        <f t="shared" si="153"/>
        <v>2014 - usage : Autres (BTP. recherche. armée. etc.), France continentale, Base Carbone</v>
      </c>
      <c r="G1784" s="1055" t="str">
        <f t="shared" si="154"/>
        <v>2014 - usage : Autres (BTP. recherche. armée. etc.), France continentale, Base Carbone; kgCO2e/kWh, Combustion à la centrale</v>
      </c>
      <c r="I1784" s="2018" t="s">
        <v>1747</v>
      </c>
      <c r="J1784" s="1135" t="s">
        <v>1681</v>
      </c>
      <c r="K1784" s="1119" t="s">
        <v>1567</v>
      </c>
      <c r="L1784" s="1135" t="s">
        <v>1571</v>
      </c>
      <c r="M1784" s="1134">
        <v>0.3</v>
      </c>
      <c r="N1784" s="1135" t="s">
        <v>1763</v>
      </c>
      <c r="O1784" s="1135">
        <v>2.8799999999999999E-2</v>
      </c>
      <c r="P1784" s="1048"/>
      <c r="Q1784" s="1048"/>
      <c r="R1784" s="1158"/>
      <c r="S1784" s="1048"/>
      <c r="T1784" s="1048"/>
      <c r="U1784" s="1102"/>
    </row>
    <row r="1785" spans="2:21" hidden="1" outlineLevel="2">
      <c r="B1785" s="1050"/>
      <c r="C1785" s="1050"/>
      <c r="D1785" s="1051">
        <f t="shared" si="152"/>
        <v>55</v>
      </c>
      <c r="E1785" s="1051" t="str">
        <f>IF(COUNTIF(E$1615:E1784,F1785)&gt;0,"",F1785)</f>
        <v/>
      </c>
      <c r="F1785" s="1051" t="str">
        <f t="shared" si="153"/>
        <v>2014 - usage : Autres (BTP. recherche. armée. etc.), France continentale, Base Carbone</v>
      </c>
      <c r="G1785" s="1055" t="str">
        <f t="shared" si="154"/>
        <v>2014 - usage : Autres (BTP. recherche. armée. etc.), France continentale, Base Carbone; kgCO2e/kWh, Amont</v>
      </c>
      <c r="I1785" s="2018" t="s">
        <v>1747</v>
      </c>
      <c r="J1785" s="1135" t="s">
        <v>1681</v>
      </c>
      <c r="K1785" s="1119" t="s">
        <v>1567</v>
      </c>
      <c r="L1785" s="1135" t="s">
        <v>1571</v>
      </c>
      <c r="M1785" s="1134">
        <v>0.3</v>
      </c>
      <c r="N1785" s="1135" t="s">
        <v>1570</v>
      </c>
      <c r="O1785" s="1135">
        <v>9.7999999999999997E-3</v>
      </c>
      <c r="P1785" s="1048"/>
      <c r="Q1785" s="1048"/>
      <c r="R1785" s="1158"/>
      <c r="S1785" s="1048"/>
      <c r="T1785" s="1048"/>
      <c r="U1785" s="1102"/>
    </row>
    <row r="1786" spans="2:21" hidden="1" outlineLevel="2">
      <c r="B1786" s="1050"/>
      <c r="C1786" s="1050"/>
      <c r="D1786" s="1051">
        <f t="shared" si="152"/>
        <v>55</v>
      </c>
      <c r="E1786" s="1051" t="str">
        <f>IF(COUNTIF(E$1615:E1785,F1786)&gt;0,"",F1786)</f>
        <v/>
      </c>
      <c r="F1786" s="1051" t="str">
        <f t="shared" si="153"/>
        <v>2014 - usage : Autres (BTP. recherche. armée. etc.), France continentale, Base Carbone</v>
      </c>
      <c r="G1786" s="1055" t="str">
        <f t="shared" si="154"/>
        <v>2014 - usage : Autres (BTP. recherche. armée. etc.), France continentale, Base Carbone; kgCO2e/kWh, Pertes</v>
      </c>
      <c r="I1786" s="2018" t="s">
        <v>1747</v>
      </c>
      <c r="J1786" s="1135" t="s">
        <v>1681</v>
      </c>
      <c r="K1786" s="1119" t="s">
        <v>1567</v>
      </c>
      <c r="L1786" s="1135" t="s">
        <v>1571</v>
      </c>
      <c r="M1786" s="1134">
        <v>0.3</v>
      </c>
      <c r="N1786" s="1135" t="s">
        <v>1766</v>
      </c>
      <c r="O1786" s="1135">
        <v>6.1999999999999998E-3</v>
      </c>
      <c r="P1786" s="1048"/>
      <c r="Q1786" s="1048"/>
      <c r="R1786" s="1158"/>
      <c r="S1786" s="1048"/>
      <c r="T1786" s="1048"/>
      <c r="U1786" s="1102"/>
    </row>
    <row r="1787" spans="2:21" hidden="1" outlineLevel="2">
      <c r="B1787" s="1050"/>
      <c r="C1787" s="1050"/>
      <c r="D1787" s="1051">
        <f t="shared" si="152"/>
        <v>56</v>
      </c>
      <c r="E1787" s="1051" t="str">
        <f>IF(COUNTIF(E$1615:E1786,F1787)&gt;0,"",F1787)</f>
        <v>2014 - usage : chauffage, France continentale, Base Carbone</v>
      </c>
      <c r="F1787" s="1051" t="str">
        <f t="shared" si="153"/>
        <v>2014 - usage : chauffage, France continentale, Base Carbone</v>
      </c>
      <c r="G1787" s="1055" t="str">
        <f t="shared" si="154"/>
        <v>2014 - usage : chauffage, France continentale, Base Carbone; kgCO2e/kWh, Combustion à la centrale</v>
      </c>
      <c r="I1787" s="2018" t="s">
        <v>1748</v>
      </c>
      <c r="J1787" s="1135" t="s">
        <v>1681</v>
      </c>
      <c r="K1787" s="1119" t="s">
        <v>1567</v>
      </c>
      <c r="L1787" s="1135" t="s">
        <v>1571</v>
      </c>
      <c r="M1787" s="1134">
        <v>0.3</v>
      </c>
      <c r="N1787" s="1135" t="s">
        <v>1763</v>
      </c>
      <c r="O1787" s="1135">
        <v>0.16200000000000001</v>
      </c>
      <c r="P1787" s="1048"/>
      <c r="Q1787" s="1048"/>
      <c r="R1787" s="1158"/>
      <c r="S1787" s="1048"/>
      <c r="T1787" s="1048"/>
      <c r="U1787" s="1102"/>
    </row>
    <row r="1788" spans="2:21" hidden="1" outlineLevel="2">
      <c r="B1788" s="1050"/>
      <c r="C1788" s="1050"/>
      <c r="D1788" s="1051">
        <f t="shared" si="152"/>
        <v>56</v>
      </c>
      <c r="E1788" s="1051" t="str">
        <f>IF(COUNTIF(E$1615:E1787,F1788)&gt;0,"",F1788)</f>
        <v/>
      </c>
      <c r="F1788" s="1051" t="str">
        <f t="shared" si="153"/>
        <v>2014 - usage : chauffage, France continentale, Base Carbone</v>
      </c>
      <c r="G1788" s="1055" t="str">
        <f t="shared" si="154"/>
        <v>2014 - usage : chauffage, France continentale, Base Carbone; kgCO2e/kWh, Amont</v>
      </c>
      <c r="I1788" s="2018" t="s">
        <v>1748</v>
      </c>
      <c r="J1788" s="1135" t="s">
        <v>1681</v>
      </c>
      <c r="K1788" s="1119" t="s">
        <v>1567</v>
      </c>
      <c r="L1788" s="1135" t="s">
        <v>1571</v>
      </c>
      <c r="M1788" s="1134">
        <v>0.3</v>
      </c>
      <c r="N1788" s="1135" t="s">
        <v>1570</v>
      </c>
      <c r="O1788" s="1135">
        <v>2.58E-2</v>
      </c>
      <c r="P1788" s="1048"/>
      <c r="Q1788" s="1048"/>
      <c r="R1788" s="1158"/>
      <c r="S1788" s="1048"/>
      <c r="T1788" s="1048"/>
      <c r="U1788" s="1102"/>
    </row>
    <row r="1789" spans="2:21" hidden="1" outlineLevel="2">
      <c r="B1789" s="1050"/>
      <c r="C1789" s="1050"/>
      <c r="D1789" s="1051">
        <f t="shared" si="152"/>
        <v>56</v>
      </c>
      <c r="E1789" s="1051" t="str">
        <f>IF(COUNTIF(E$1615:E1788,F1789)&gt;0,"",F1789)</f>
        <v/>
      </c>
      <c r="F1789" s="1051" t="str">
        <f t="shared" si="153"/>
        <v>2014 - usage : chauffage, France continentale, Base Carbone</v>
      </c>
      <c r="G1789" s="1055" t="str">
        <f t="shared" si="154"/>
        <v>2014 - usage : chauffage, France continentale, Base Carbone; kgCO2e/kWh, Pertes</v>
      </c>
      <c r="I1789" s="2018" t="s">
        <v>1748</v>
      </c>
      <c r="J1789" s="1135" t="s">
        <v>1681</v>
      </c>
      <c r="K1789" s="1119" t="s">
        <v>1567</v>
      </c>
      <c r="L1789" s="1135" t="s">
        <v>1571</v>
      </c>
      <c r="M1789" s="1134">
        <v>0.3</v>
      </c>
      <c r="N1789" s="1135" t="s">
        <v>1766</v>
      </c>
      <c r="O1789" s="1135">
        <v>6.1999999999999998E-3</v>
      </c>
      <c r="P1789" s="1048"/>
      <c r="Q1789" s="1048"/>
      <c r="R1789" s="1158"/>
      <c r="S1789" s="1048"/>
      <c r="T1789" s="1048"/>
      <c r="U1789" s="1102"/>
    </row>
    <row r="1790" spans="2:21" hidden="1" outlineLevel="2">
      <c r="B1790" s="1050"/>
      <c r="C1790" s="1050"/>
      <c r="D1790" s="1051">
        <f t="shared" si="152"/>
        <v>57</v>
      </c>
      <c r="E1790" s="1051" t="str">
        <f>IF(COUNTIF(E$1615:E1789,F1790)&gt;0,"",F1790)</f>
        <v>2014 - usage : Climatisation tertiaire, France continentale, Base Carbone</v>
      </c>
      <c r="F1790" s="1051" t="str">
        <f t="shared" si="153"/>
        <v>2014 - usage : Climatisation tertiaire, France continentale, Base Carbone</v>
      </c>
      <c r="G1790" s="1055" t="str">
        <f t="shared" si="154"/>
        <v>2014 - usage : Climatisation tertiaire, France continentale, Base Carbone; kgCO2e/kWh, Combustion à la centrale</v>
      </c>
      <c r="I1790" s="2018" t="s">
        <v>1749</v>
      </c>
      <c r="J1790" s="1135" t="s">
        <v>1681</v>
      </c>
      <c r="K1790" s="1119" t="s">
        <v>1567</v>
      </c>
      <c r="L1790" s="1135" t="s">
        <v>1571</v>
      </c>
      <c r="M1790" s="1134">
        <v>0.3</v>
      </c>
      <c r="N1790" s="1135" t="s">
        <v>1763</v>
      </c>
      <c r="O1790" s="1135">
        <v>3.3799999999999997E-2</v>
      </c>
      <c r="P1790" s="1048"/>
      <c r="Q1790" s="1048"/>
      <c r="R1790" s="1158"/>
      <c r="S1790" s="1048"/>
      <c r="T1790" s="1048"/>
      <c r="U1790" s="1102"/>
    </row>
    <row r="1791" spans="2:21" hidden="1" outlineLevel="2">
      <c r="B1791" s="1050"/>
      <c r="C1791" s="1050"/>
      <c r="D1791" s="1051">
        <f t="shared" si="152"/>
        <v>57</v>
      </c>
      <c r="E1791" s="1051" t="str">
        <f>IF(COUNTIF(E$1615:E1790,F1791)&gt;0,"",F1791)</f>
        <v/>
      </c>
      <c r="F1791" s="1051" t="str">
        <f t="shared" si="153"/>
        <v>2014 - usage : Climatisation tertiaire, France continentale, Base Carbone</v>
      </c>
      <c r="G1791" s="1055" t="str">
        <f t="shared" si="154"/>
        <v>2014 - usage : Climatisation tertiaire, France continentale, Base Carbone; kgCO2e/kWh, Amont</v>
      </c>
      <c r="I1791" s="2018" t="s">
        <v>1749</v>
      </c>
      <c r="J1791" s="1135" t="s">
        <v>1681</v>
      </c>
      <c r="K1791" s="1119" t="s">
        <v>1567</v>
      </c>
      <c r="L1791" s="1135" t="s">
        <v>1571</v>
      </c>
      <c r="M1791" s="1134">
        <v>0.3</v>
      </c>
      <c r="N1791" s="1135" t="s">
        <v>1570</v>
      </c>
      <c r="O1791" s="1135">
        <v>1.04E-2</v>
      </c>
      <c r="P1791" s="1048"/>
      <c r="Q1791" s="1048"/>
      <c r="R1791" s="1158"/>
      <c r="S1791" s="1048"/>
      <c r="T1791" s="1048"/>
      <c r="U1791" s="1102"/>
    </row>
    <row r="1792" spans="2:21" hidden="1" outlineLevel="2">
      <c r="B1792" s="1050"/>
      <c r="C1792" s="1050"/>
      <c r="D1792" s="1051">
        <f t="shared" si="152"/>
        <v>57</v>
      </c>
      <c r="E1792" s="1051" t="str">
        <f>IF(COUNTIF(E$1615:E1791,F1792)&gt;0,"",F1792)</f>
        <v/>
      </c>
      <c r="F1792" s="1051" t="str">
        <f t="shared" si="153"/>
        <v>2014 - usage : Climatisation tertiaire, France continentale, Base Carbone</v>
      </c>
      <c r="G1792" s="1055" t="str">
        <f t="shared" si="154"/>
        <v>2014 - usage : Climatisation tertiaire, France continentale, Base Carbone; kgCO2e/kWh, Pertes</v>
      </c>
      <c r="I1792" s="2018" t="s">
        <v>1749</v>
      </c>
      <c r="J1792" s="1135" t="s">
        <v>1681</v>
      </c>
      <c r="K1792" s="1119" t="s">
        <v>1567</v>
      </c>
      <c r="L1792" s="1135" t="s">
        <v>1571</v>
      </c>
      <c r="M1792" s="1134">
        <v>0.3</v>
      </c>
      <c r="N1792" s="1135" t="s">
        <v>1766</v>
      </c>
      <c r="O1792" s="1135">
        <v>6.1999999999999998E-3</v>
      </c>
      <c r="P1792" s="1048"/>
      <c r="Q1792" s="1048"/>
      <c r="R1792" s="1158"/>
      <c r="S1792" s="1048"/>
      <c r="T1792" s="1048"/>
      <c r="U1792" s="1102"/>
    </row>
    <row r="1793" spans="2:21" hidden="1" outlineLevel="2">
      <c r="B1793" s="1050"/>
      <c r="C1793" s="1050"/>
      <c r="D1793" s="1051">
        <f t="shared" si="152"/>
        <v>58</v>
      </c>
      <c r="E1793" s="1051" t="str">
        <f>IF(COUNTIF(E$1615:E1792,F1793)&gt;0,"",F1793)</f>
        <v>2014 - usage : Cuisson résidentiel, France continentale, Base Carbone</v>
      </c>
      <c r="F1793" s="1051" t="str">
        <f t="shared" si="153"/>
        <v>2014 - usage : Cuisson résidentiel, France continentale, Base Carbone</v>
      </c>
      <c r="G1793" s="1055" t="str">
        <f t="shared" si="154"/>
        <v>2014 - usage : Cuisson résidentiel, France continentale, Base Carbone; kgCO2e/kWh, Combustion à la centrale</v>
      </c>
      <c r="I1793" s="2018" t="s">
        <v>1750</v>
      </c>
      <c r="J1793" s="1135" t="s">
        <v>1681</v>
      </c>
      <c r="K1793" s="1119" t="s">
        <v>1567</v>
      </c>
      <c r="L1793" s="1135" t="s">
        <v>1571</v>
      </c>
      <c r="M1793" s="1134">
        <v>0.3</v>
      </c>
      <c r="N1793" s="1135" t="s">
        <v>1763</v>
      </c>
      <c r="O1793" s="1135">
        <v>4.87E-2</v>
      </c>
      <c r="P1793" s="1048"/>
      <c r="Q1793" s="1048"/>
      <c r="R1793" s="1158"/>
      <c r="S1793" s="1048"/>
      <c r="T1793" s="1048"/>
      <c r="U1793" s="1102"/>
    </row>
    <row r="1794" spans="2:21" hidden="1" outlineLevel="2">
      <c r="B1794" s="1050"/>
      <c r="C1794" s="1050"/>
      <c r="D1794" s="1051">
        <f t="shared" si="152"/>
        <v>58</v>
      </c>
      <c r="E1794" s="1051" t="str">
        <f>IF(COUNTIF(E$1615:E1793,F1794)&gt;0,"",F1794)</f>
        <v/>
      </c>
      <c r="F1794" s="1051" t="str">
        <f t="shared" si="153"/>
        <v>2014 - usage : Cuisson résidentiel, France continentale, Base Carbone</v>
      </c>
      <c r="G1794" s="1055" t="str">
        <f t="shared" si="154"/>
        <v>2014 - usage : Cuisson résidentiel, France continentale, Base Carbone; kgCO2e/kWh, Amont</v>
      </c>
      <c r="I1794" s="2018" t="s">
        <v>1750</v>
      </c>
      <c r="J1794" s="1135" t="s">
        <v>1681</v>
      </c>
      <c r="K1794" s="1119" t="s">
        <v>1567</v>
      </c>
      <c r="L1794" s="1135" t="s">
        <v>1571</v>
      </c>
      <c r="M1794" s="1134">
        <v>0.3</v>
      </c>
      <c r="N1794" s="1135" t="s">
        <v>1570</v>
      </c>
      <c r="O1794" s="1135">
        <v>1.2200000000000001E-2</v>
      </c>
      <c r="P1794" s="1048"/>
      <c r="Q1794" s="1048"/>
      <c r="R1794" s="1158"/>
      <c r="S1794" s="1048"/>
      <c r="T1794" s="1048"/>
      <c r="U1794" s="1102"/>
    </row>
    <row r="1795" spans="2:21" hidden="1" outlineLevel="2">
      <c r="B1795" s="1050"/>
      <c r="C1795" s="1050"/>
      <c r="D1795" s="1051">
        <f t="shared" si="152"/>
        <v>58</v>
      </c>
      <c r="E1795" s="1051" t="str">
        <f>IF(COUNTIF(E$1615:E1794,F1795)&gt;0,"",F1795)</f>
        <v/>
      </c>
      <c r="F1795" s="1051" t="str">
        <f t="shared" si="153"/>
        <v>2014 - usage : Cuisson résidentiel, France continentale, Base Carbone</v>
      </c>
      <c r="G1795" s="1055" t="str">
        <f t="shared" si="154"/>
        <v>2014 - usage : Cuisson résidentiel, France continentale, Base Carbone; kgCO2e/kWh, Pertes</v>
      </c>
      <c r="I1795" s="2018" t="s">
        <v>1750</v>
      </c>
      <c r="J1795" s="1135" t="s">
        <v>1681</v>
      </c>
      <c r="K1795" s="1119" t="s">
        <v>1567</v>
      </c>
      <c r="L1795" s="1135" t="s">
        <v>1571</v>
      </c>
      <c r="M1795" s="1134">
        <v>0.3</v>
      </c>
      <c r="N1795" s="1135" t="s">
        <v>1766</v>
      </c>
      <c r="O1795" s="1135">
        <v>6.1999999999999998E-3</v>
      </c>
      <c r="P1795" s="1048"/>
      <c r="Q1795" s="1048"/>
      <c r="R1795" s="1158"/>
      <c r="S1795" s="1048"/>
      <c r="T1795" s="1048"/>
      <c r="U1795" s="1102"/>
    </row>
    <row r="1796" spans="2:21" hidden="1" outlineLevel="2">
      <c r="B1796" s="1050"/>
      <c r="C1796" s="1050"/>
      <c r="D1796" s="1051">
        <f t="shared" si="152"/>
        <v>59</v>
      </c>
      <c r="E1796" s="1051" t="str">
        <f>IF(COUNTIF(E$1615:E1795,F1796)&gt;0,"",F1796)</f>
        <v>2014 - usage : Eau Chaude Sanitaire, France continentale, Base Carbone</v>
      </c>
      <c r="F1796" s="1051" t="str">
        <f t="shared" si="153"/>
        <v>2014 - usage : Eau Chaude Sanitaire, France continentale, Base Carbone</v>
      </c>
      <c r="G1796" s="1055" t="str">
        <f t="shared" si="154"/>
        <v>2014 - usage : Eau Chaude Sanitaire, France continentale, Base Carbone; kgCO2e/kWh, Combustion à la centrale</v>
      </c>
      <c r="I1796" s="2018" t="s">
        <v>1751</v>
      </c>
      <c r="J1796" s="1135" t="s">
        <v>1681</v>
      </c>
      <c r="K1796" s="1119" t="s">
        <v>1567</v>
      </c>
      <c r="L1796" s="1135" t="s">
        <v>1571</v>
      </c>
      <c r="M1796" s="1134">
        <v>0.3</v>
      </c>
      <c r="N1796" s="1135" t="s">
        <v>1763</v>
      </c>
      <c r="O1796" s="1135">
        <v>4.1000000000000002E-2</v>
      </c>
      <c r="P1796" s="1048"/>
      <c r="Q1796" s="1048"/>
      <c r="R1796" s="1158"/>
      <c r="S1796" s="1048"/>
      <c r="T1796" s="1048"/>
      <c r="U1796" s="1102"/>
    </row>
    <row r="1797" spans="2:21" hidden="1" outlineLevel="2">
      <c r="B1797" s="1050"/>
      <c r="C1797" s="1050"/>
      <c r="D1797" s="1051">
        <f t="shared" si="152"/>
        <v>59</v>
      </c>
      <c r="E1797" s="1051" t="str">
        <f>IF(COUNTIF(E$1615:E1796,F1797)&gt;0,"",F1797)</f>
        <v/>
      </c>
      <c r="F1797" s="1051" t="str">
        <f t="shared" si="153"/>
        <v>2014 - usage : Eau Chaude Sanitaire, France continentale, Base Carbone</v>
      </c>
      <c r="G1797" s="1055" t="str">
        <f t="shared" si="154"/>
        <v>2014 - usage : Eau Chaude Sanitaire, France continentale, Base Carbone; kgCO2e/kWh, Amont</v>
      </c>
      <c r="I1797" s="2018" t="s">
        <v>1751</v>
      </c>
      <c r="J1797" s="1135" t="s">
        <v>1681</v>
      </c>
      <c r="K1797" s="1119" t="s">
        <v>1567</v>
      </c>
      <c r="L1797" s="1135" t="s">
        <v>1571</v>
      </c>
      <c r="M1797" s="1134">
        <v>0.3</v>
      </c>
      <c r="N1797" s="1135" t="s">
        <v>1570</v>
      </c>
      <c r="O1797" s="1135">
        <v>1.1299999999999999E-2</v>
      </c>
      <c r="P1797" s="1048"/>
      <c r="Q1797" s="1048"/>
      <c r="R1797" s="1158"/>
      <c r="S1797" s="1048"/>
      <c r="T1797" s="1048"/>
      <c r="U1797" s="1102"/>
    </row>
    <row r="1798" spans="2:21" hidden="1" outlineLevel="2">
      <c r="B1798" s="1050"/>
      <c r="C1798" s="1050"/>
      <c r="D1798" s="1051">
        <f t="shared" si="152"/>
        <v>59</v>
      </c>
      <c r="E1798" s="1051" t="str">
        <f>IF(COUNTIF(E$1615:E1797,F1798)&gt;0,"",F1798)</f>
        <v/>
      </c>
      <c r="F1798" s="1051" t="str">
        <f t="shared" si="153"/>
        <v>2014 - usage : Eau Chaude Sanitaire, France continentale, Base Carbone</v>
      </c>
      <c r="G1798" s="1055" t="str">
        <f t="shared" si="154"/>
        <v>2014 - usage : Eau Chaude Sanitaire, France continentale, Base Carbone; kgCO2e/kWh, Pertes</v>
      </c>
      <c r="I1798" s="2018" t="s">
        <v>1751</v>
      </c>
      <c r="J1798" s="1135" t="s">
        <v>1681</v>
      </c>
      <c r="K1798" s="1119" t="s">
        <v>1567</v>
      </c>
      <c r="L1798" s="1135" t="s">
        <v>1571</v>
      </c>
      <c r="M1798" s="1134">
        <v>0.3</v>
      </c>
      <c r="N1798" s="1135" t="s">
        <v>1766</v>
      </c>
      <c r="O1798" s="1135">
        <v>6.1999999999999998E-3</v>
      </c>
      <c r="P1798" s="1048"/>
      <c r="Q1798" s="1048"/>
      <c r="R1798" s="1158"/>
      <c r="S1798" s="1048"/>
      <c r="T1798" s="1048"/>
      <c r="U1798" s="1102"/>
    </row>
    <row r="1799" spans="2:21" hidden="1" outlineLevel="2">
      <c r="B1799" s="1050"/>
      <c r="C1799" s="1050"/>
      <c r="D1799" s="1051">
        <f t="shared" si="152"/>
        <v>60</v>
      </c>
      <c r="E1799" s="1051" t="str">
        <f>IF(COUNTIF(E$1615:E1798,F1799)&gt;0,"",F1799)</f>
        <v>2014 - usage : Eclairage public et Industrie, France continentale, Base Carbone</v>
      </c>
      <c r="F1799" s="1051" t="str">
        <f t="shared" si="153"/>
        <v>2014 - usage : Eclairage public et Industrie, France continentale, Base Carbone</v>
      </c>
      <c r="G1799" s="1055" t="str">
        <f t="shared" si="154"/>
        <v>2014 - usage : Eclairage public et Industrie, France continentale, Base Carbone; kgCO2e/kWh, Combustion à la centrale</v>
      </c>
      <c r="I1799" s="2018" t="s">
        <v>1752</v>
      </c>
      <c r="J1799" s="1135" t="s">
        <v>1681</v>
      </c>
      <c r="K1799" s="1119" t="s">
        <v>1567</v>
      </c>
      <c r="L1799" s="1135" t="s">
        <v>1571</v>
      </c>
      <c r="M1799" s="1134">
        <v>0.3</v>
      </c>
      <c r="N1799" s="1135" t="s">
        <v>1763</v>
      </c>
      <c r="O1799" s="1135">
        <v>6.2100000000000002E-2</v>
      </c>
      <c r="P1799" s="1048"/>
      <c r="Q1799" s="1048"/>
      <c r="R1799" s="1158"/>
      <c r="S1799" s="1048"/>
      <c r="T1799" s="1048"/>
      <c r="U1799" s="1102"/>
    </row>
    <row r="1800" spans="2:21" hidden="1" outlineLevel="2">
      <c r="B1800" s="1050"/>
      <c r="C1800" s="1050"/>
      <c r="D1800" s="1051">
        <f t="shared" si="152"/>
        <v>60</v>
      </c>
      <c r="E1800" s="1051" t="str">
        <f>IF(COUNTIF(E$1615:E1799,F1800)&gt;0,"",F1800)</f>
        <v/>
      </c>
      <c r="F1800" s="1051" t="str">
        <f t="shared" si="153"/>
        <v>2014 - usage : Eclairage public et Industrie, France continentale, Base Carbone</v>
      </c>
      <c r="G1800" s="1055" t="str">
        <f t="shared" si="154"/>
        <v>2014 - usage : Eclairage public et Industrie, France continentale, Base Carbone; kgCO2e/kWh, Amont</v>
      </c>
      <c r="I1800" s="2018" t="s">
        <v>1752</v>
      </c>
      <c r="J1800" s="1135" t="s">
        <v>1681</v>
      </c>
      <c r="K1800" s="1119" t="s">
        <v>1567</v>
      </c>
      <c r="L1800" s="1135" t="s">
        <v>1571</v>
      </c>
      <c r="M1800" s="1134">
        <v>0.3</v>
      </c>
      <c r="N1800" s="1135" t="s">
        <v>1570</v>
      </c>
      <c r="O1800" s="1135">
        <v>1.38E-2</v>
      </c>
      <c r="P1800" s="1048"/>
      <c r="Q1800" s="1048"/>
      <c r="R1800" s="1158"/>
      <c r="S1800" s="1048"/>
      <c r="T1800" s="1048"/>
      <c r="U1800" s="1102"/>
    </row>
    <row r="1801" spans="2:21" hidden="1" outlineLevel="2">
      <c r="B1801" s="1050"/>
      <c r="C1801" s="1050"/>
      <c r="D1801" s="1051">
        <f t="shared" si="152"/>
        <v>60</v>
      </c>
      <c r="E1801" s="1051" t="str">
        <f>IF(COUNTIF(E$1615:E1800,F1801)&gt;0,"",F1801)</f>
        <v/>
      </c>
      <c r="F1801" s="1051" t="str">
        <f t="shared" si="153"/>
        <v>2014 - usage : Eclairage public et Industrie, France continentale, Base Carbone</v>
      </c>
      <c r="G1801" s="1055" t="str">
        <f t="shared" si="154"/>
        <v>2014 - usage : Eclairage public et Industrie, France continentale, Base Carbone; kgCO2e/kWh, Pertes</v>
      </c>
      <c r="I1801" s="2018" t="s">
        <v>1752</v>
      </c>
      <c r="J1801" s="1135" t="s">
        <v>1681</v>
      </c>
      <c r="K1801" s="1119" t="s">
        <v>1567</v>
      </c>
      <c r="L1801" s="1135" t="s">
        <v>1571</v>
      </c>
      <c r="M1801" s="1134">
        <v>0.3</v>
      </c>
      <c r="N1801" s="1135" t="s">
        <v>1766</v>
      </c>
      <c r="O1801" s="1135">
        <v>6.1999999999999998E-3</v>
      </c>
      <c r="P1801" s="1048"/>
      <c r="Q1801" s="1048"/>
      <c r="R1801" s="1158"/>
      <c r="S1801" s="1048"/>
      <c r="T1801" s="1048"/>
      <c r="U1801" s="1102"/>
    </row>
    <row r="1802" spans="2:21" hidden="1" outlineLevel="2">
      <c r="B1802" s="1050"/>
      <c r="C1802" s="1050"/>
      <c r="D1802" s="1051">
        <f t="shared" si="152"/>
        <v>61</v>
      </c>
      <c r="E1802" s="1051" t="str">
        <f>IF(COUNTIF(E$1615:E1801,F1802)&gt;0,"",F1802)</f>
        <v>2014 - usage : Eclairage résidentiel, France continentale, Base Carbone</v>
      </c>
      <c r="F1802" s="1051" t="str">
        <f t="shared" si="153"/>
        <v>2014 - usage : Eclairage résidentiel, France continentale, Base Carbone</v>
      </c>
      <c r="G1802" s="1055" t="str">
        <f t="shared" si="154"/>
        <v>2014 - usage : Eclairage résidentiel, France continentale, Base Carbone; kgCO2e/kWh, Combustion à la centrale</v>
      </c>
      <c r="I1802" s="2018" t="s">
        <v>1753</v>
      </c>
      <c r="J1802" s="1135" t="s">
        <v>1681</v>
      </c>
      <c r="K1802" s="1119" t="s">
        <v>1567</v>
      </c>
      <c r="L1802" s="1135" t="s">
        <v>1571</v>
      </c>
      <c r="M1802" s="1134">
        <v>0.3</v>
      </c>
      <c r="N1802" s="1135" t="s">
        <v>1763</v>
      </c>
      <c r="O1802" s="1135">
        <v>8.1600000000000006E-2</v>
      </c>
      <c r="P1802" s="1048"/>
      <c r="Q1802" s="1048"/>
      <c r="R1802" s="1158"/>
      <c r="S1802" s="1048"/>
      <c r="T1802" s="1048"/>
      <c r="U1802" s="1102"/>
    </row>
    <row r="1803" spans="2:21" hidden="1" outlineLevel="2">
      <c r="B1803" s="1050"/>
      <c r="C1803" s="1050"/>
      <c r="D1803" s="1051">
        <f t="shared" si="152"/>
        <v>61</v>
      </c>
      <c r="E1803" s="1051" t="str">
        <f>IF(COUNTIF(E$1615:E1802,F1803)&gt;0,"",F1803)</f>
        <v/>
      </c>
      <c r="F1803" s="1051" t="str">
        <f t="shared" si="153"/>
        <v>2014 - usage : Eclairage résidentiel, France continentale, Base Carbone</v>
      </c>
      <c r="G1803" s="1055" t="str">
        <f t="shared" si="154"/>
        <v>2014 - usage : Eclairage résidentiel, France continentale, Base Carbone; kgCO2e/kWh, Amont</v>
      </c>
      <c r="I1803" s="2018" t="s">
        <v>1753</v>
      </c>
      <c r="J1803" s="1135" t="s">
        <v>1681</v>
      </c>
      <c r="K1803" s="1119" t="s">
        <v>1567</v>
      </c>
      <c r="L1803" s="1135" t="s">
        <v>1571</v>
      </c>
      <c r="M1803" s="1134">
        <v>0.3</v>
      </c>
      <c r="N1803" s="1135" t="s">
        <v>1570</v>
      </c>
      <c r="O1803" s="1135">
        <v>1.6199999999999999E-2</v>
      </c>
      <c r="P1803" s="1048"/>
      <c r="Q1803" s="1048"/>
      <c r="R1803" s="1158"/>
      <c r="S1803" s="1048"/>
      <c r="T1803" s="1048"/>
      <c r="U1803" s="1102"/>
    </row>
    <row r="1804" spans="2:21" hidden="1" outlineLevel="2">
      <c r="B1804" s="1050"/>
      <c r="C1804" s="1050"/>
      <c r="D1804" s="1051">
        <f t="shared" si="152"/>
        <v>61</v>
      </c>
      <c r="E1804" s="1051" t="str">
        <f>IF(COUNTIF(E$1615:E1803,F1804)&gt;0,"",F1804)</f>
        <v/>
      </c>
      <c r="F1804" s="1051" t="str">
        <f t="shared" si="153"/>
        <v>2014 - usage : Eclairage résidentiel, France continentale, Base Carbone</v>
      </c>
      <c r="G1804" s="1055" t="str">
        <f t="shared" si="154"/>
        <v>2014 - usage : Eclairage résidentiel, France continentale, Base Carbone; kgCO2e/kWh, Pertes</v>
      </c>
      <c r="I1804" s="2018" t="s">
        <v>1753</v>
      </c>
      <c r="J1804" s="1135" t="s">
        <v>1681</v>
      </c>
      <c r="K1804" s="1119" t="s">
        <v>1567</v>
      </c>
      <c r="L1804" s="1135" t="s">
        <v>1571</v>
      </c>
      <c r="M1804" s="1134">
        <v>0.3</v>
      </c>
      <c r="N1804" s="1135" t="s">
        <v>1766</v>
      </c>
      <c r="O1804" s="1135">
        <v>6.1999999999999998E-3</v>
      </c>
      <c r="P1804" s="1048"/>
      <c r="Q1804" s="1048"/>
      <c r="R1804" s="1158"/>
      <c r="S1804" s="1048"/>
      <c r="T1804" s="1048"/>
      <c r="U1804" s="1102"/>
    </row>
    <row r="1805" spans="2:21" hidden="1" outlineLevel="2">
      <c r="B1805" s="1050"/>
      <c r="C1805" s="1050"/>
      <c r="D1805" s="1051">
        <f t="shared" si="152"/>
        <v>62</v>
      </c>
      <c r="E1805" s="1051" t="str">
        <f>IF(COUNTIF(E$1615:E1804,F1805)&gt;0,"",F1805)</f>
        <v>2014 - usage : Industrie base, France continentale, Base Carbone</v>
      </c>
      <c r="F1805" s="1051" t="str">
        <f t="shared" si="153"/>
        <v>2014 - usage : Industrie base, France continentale, Base Carbone</v>
      </c>
      <c r="G1805" s="1055" t="str">
        <f t="shared" si="154"/>
        <v>2014 - usage : Industrie base, France continentale, Base Carbone; kgCO2e/kWh, Combustion à la centrale</v>
      </c>
      <c r="I1805" s="2018" t="s">
        <v>1754</v>
      </c>
      <c r="J1805" s="1135" t="s">
        <v>1681</v>
      </c>
      <c r="K1805" s="1119" t="s">
        <v>1567</v>
      </c>
      <c r="L1805" s="1135" t="s">
        <v>1571</v>
      </c>
      <c r="M1805" s="1134">
        <v>0.3</v>
      </c>
      <c r="N1805" s="1135" t="s">
        <v>1763</v>
      </c>
      <c r="O1805" s="1135">
        <v>2.7699999999999999E-2</v>
      </c>
      <c r="P1805" s="1048"/>
      <c r="Q1805" s="1048"/>
      <c r="R1805" s="1158"/>
      <c r="S1805" s="1048"/>
      <c r="T1805" s="1048"/>
      <c r="U1805" s="1102"/>
    </row>
    <row r="1806" spans="2:21" hidden="1" outlineLevel="2">
      <c r="B1806" s="1050"/>
      <c r="C1806" s="1050"/>
      <c r="D1806" s="1051">
        <f t="shared" si="152"/>
        <v>62</v>
      </c>
      <c r="E1806" s="1051" t="str">
        <f>IF(COUNTIF(E$1615:E1805,F1806)&gt;0,"",F1806)</f>
        <v/>
      </c>
      <c r="F1806" s="1051" t="str">
        <f t="shared" si="153"/>
        <v>2014 - usage : Industrie base, France continentale, Base Carbone</v>
      </c>
      <c r="G1806" s="1055" t="str">
        <f t="shared" si="154"/>
        <v>2014 - usage : Industrie base, France continentale, Base Carbone; kgCO2e/kWh, Amont</v>
      </c>
      <c r="I1806" s="2018" t="s">
        <v>1754</v>
      </c>
      <c r="J1806" s="1135" t="s">
        <v>1681</v>
      </c>
      <c r="K1806" s="1119" t="s">
        <v>1567</v>
      </c>
      <c r="L1806" s="1135" t="s">
        <v>1571</v>
      </c>
      <c r="M1806" s="1134">
        <v>0.3</v>
      </c>
      <c r="N1806" s="1135" t="s">
        <v>1570</v>
      </c>
      <c r="O1806" s="1135">
        <v>9.5999999999999992E-3</v>
      </c>
      <c r="P1806" s="1048"/>
      <c r="Q1806" s="1048"/>
      <c r="R1806" s="1158"/>
      <c r="S1806" s="1048"/>
      <c r="T1806" s="1048"/>
      <c r="U1806" s="1102"/>
    </row>
    <row r="1807" spans="2:21" hidden="1" outlineLevel="2">
      <c r="B1807" s="1050"/>
      <c r="C1807" s="1050"/>
      <c r="D1807" s="1051">
        <f t="shared" si="152"/>
        <v>62</v>
      </c>
      <c r="E1807" s="1051" t="str">
        <f>IF(COUNTIF(E$1615:E1806,F1807)&gt;0,"",F1807)</f>
        <v/>
      </c>
      <c r="F1807" s="1051" t="str">
        <f t="shared" si="153"/>
        <v>2014 - usage : Industrie base, France continentale, Base Carbone</v>
      </c>
      <c r="G1807" s="1055" t="str">
        <f t="shared" si="154"/>
        <v>2014 - usage : Industrie base, France continentale, Base Carbone; kgCO2e/kWh, Pertes</v>
      </c>
      <c r="I1807" s="2018" t="s">
        <v>1754</v>
      </c>
      <c r="J1807" s="1135" t="s">
        <v>1681</v>
      </c>
      <c r="K1807" s="1119" t="s">
        <v>1567</v>
      </c>
      <c r="L1807" s="1135" t="s">
        <v>1571</v>
      </c>
      <c r="M1807" s="1134">
        <v>0.3</v>
      </c>
      <c r="N1807" s="1135" t="s">
        <v>1766</v>
      </c>
      <c r="O1807" s="1135">
        <v>6.1999999999999998E-3</v>
      </c>
      <c r="P1807" s="1048"/>
      <c r="Q1807" s="1048"/>
      <c r="R1807" s="1158"/>
      <c r="S1807" s="1048"/>
      <c r="T1807" s="1048"/>
      <c r="U1807" s="1102"/>
    </row>
    <row r="1808" spans="2:21" hidden="1" outlineLevel="2">
      <c r="B1808" s="1050"/>
      <c r="C1808" s="1050"/>
      <c r="D1808" s="1051">
        <f t="shared" si="152"/>
        <v>63</v>
      </c>
      <c r="E1808" s="1051" t="str">
        <f>IF(COUNTIF(E$1615:E1807,F1808)&gt;0,"",F1808)</f>
        <v>2014 - usage : Transports, France continentale, Base Carbone</v>
      </c>
      <c r="F1808" s="1051" t="str">
        <f t="shared" si="153"/>
        <v>2014 - usage : Transports, France continentale, Base Carbone</v>
      </c>
      <c r="G1808" s="1055" t="str">
        <f t="shared" si="154"/>
        <v>2014 - usage : Transports, France continentale, Base Carbone; kgCO2e/kWh, Combustion à la centrale</v>
      </c>
      <c r="I1808" s="2018" t="s">
        <v>1755</v>
      </c>
      <c r="J1808" s="1135" t="s">
        <v>1681</v>
      </c>
      <c r="K1808" s="1119" t="s">
        <v>1567</v>
      </c>
      <c r="L1808" s="1135" t="s">
        <v>1571</v>
      </c>
      <c r="M1808" s="1134">
        <v>0.3</v>
      </c>
      <c r="N1808" s="1135" t="s">
        <v>1763</v>
      </c>
      <c r="O1808" s="1135">
        <v>2.6200000000000001E-2</v>
      </c>
      <c r="P1808" s="1048"/>
      <c r="Q1808" s="1048"/>
      <c r="R1808" s="1158"/>
      <c r="S1808" s="1048"/>
      <c r="T1808" s="1048"/>
      <c r="U1808" s="1102"/>
    </row>
    <row r="1809" spans="2:21" hidden="1" outlineLevel="2">
      <c r="B1809" s="1050"/>
      <c r="C1809" s="1050"/>
      <c r="D1809" s="1051">
        <f t="shared" ref="D1809:D1872" si="155">D1808+IF(LEN(E1809)=0,0,1)</f>
        <v>63</v>
      </c>
      <c r="E1809" s="1051" t="str">
        <f>IF(COUNTIF(E$1615:E1808,F1809)&gt;0,"",F1809)</f>
        <v/>
      </c>
      <c r="F1809" s="1051" t="str">
        <f t="shared" ref="F1809:F1872" si="156">IF(I1809&lt;&gt;"",I1809&amp;IF(L1809&lt;&gt;"",", "&amp;L1809,"")&amp;IF(K1809&lt;&gt;"",", "&amp;K1809,""),"")</f>
        <v>2014 - usage : Transports, France continentale, Base Carbone</v>
      </c>
      <c r="G1809" s="1055" t="str">
        <f t="shared" ref="G1809:G1872" si="157">IF(F1809&lt;&gt;"",F1809&amp;IF(J1809&lt;&gt;"","; "&amp;J1809,"")&amp;IF(N1809&lt;&gt;"",", "&amp;N1809,""),"")</f>
        <v>2014 - usage : Transports, France continentale, Base Carbone; kgCO2e/kWh, Amont</v>
      </c>
      <c r="I1809" s="2018" t="s">
        <v>1755</v>
      </c>
      <c r="J1809" s="1135" t="s">
        <v>1681</v>
      </c>
      <c r="K1809" s="1119" t="s">
        <v>1567</v>
      </c>
      <c r="L1809" s="1135" t="s">
        <v>1571</v>
      </c>
      <c r="M1809" s="1134">
        <v>0.3</v>
      </c>
      <c r="N1809" s="1135" t="s">
        <v>1570</v>
      </c>
      <c r="O1809" s="1135">
        <v>9.4000000000000004E-3</v>
      </c>
      <c r="P1809" s="1048"/>
      <c r="Q1809" s="1048"/>
      <c r="R1809" s="1158"/>
      <c r="S1809" s="1048"/>
      <c r="T1809" s="1048"/>
      <c r="U1809" s="1102"/>
    </row>
    <row r="1810" spans="2:21" hidden="1" outlineLevel="2">
      <c r="B1810" s="1050"/>
      <c r="C1810" s="1050"/>
      <c r="D1810" s="1051">
        <f t="shared" si="155"/>
        <v>63</v>
      </c>
      <c r="E1810" s="1051" t="str">
        <f>IF(COUNTIF(E$1615:E1809,F1810)&gt;0,"",F1810)</f>
        <v/>
      </c>
      <c r="F1810" s="1051" t="str">
        <f t="shared" si="156"/>
        <v>2014 - usage : Transports, France continentale, Base Carbone</v>
      </c>
      <c r="G1810" s="1055" t="str">
        <f t="shared" si="157"/>
        <v>2014 - usage : Transports, France continentale, Base Carbone; kgCO2e/kWh, Pertes</v>
      </c>
      <c r="I1810" s="2018" t="s">
        <v>1755</v>
      </c>
      <c r="J1810" s="1135" t="s">
        <v>1681</v>
      </c>
      <c r="K1810" s="1119" t="s">
        <v>1567</v>
      </c>
      <c r="L1810" s="1135" t="s">
        <v>1571</v>
      </c>
      <c r="M1810" s="1134">
        <v>0.3</v>
      </c>
      <c r="N1810" s="1135" t="s">
        <v>1766</v>
      </c>
      <c r="O1810" s="1135">
        <v>6.1999999999999998E-3</v>
      </c>
      <c r="P1810" s="1048"/>
      <c r="Q1810" s="1048"/>
      <c r="R1810" s="1158"/>
      <c r="S1810" s="1048"/>
      <c r="T1810" s="1048"/>
      <c r="U1810" s="1102"/>
    </row>
    <row r="1811" spans="2:21" hidden="1" outlineLevel="2">
      <c r="B1811" s="1050"/>
      <c r="C1811" s="1050"/>
      <c r="D1811" s="1051">
        <f t="shared" si="155"/>
        <v>63</v>
      </c>
      <c r="E1811" s="1051" t="str">
        <f>IF(COUNTIF(E$1615:E1810,F1811)&gt;0,"",F1811)</f>
        <v/>
      </c>
      <c r="F1811" s="1051" t="str">
        <f t="shared" si="156"/>
        <v/>
      </c>
      <c r="G1811" s="1055" t="str">
        <f t="shared" si="157"/>
        <v/>
      </c>
      <c r="I1811" s="2018"/>
      <c r="J1811" s="1135"/>
      <c r="K1811" s="1119"/>
      <c r="L1811" s="1135"/>
      <c r="M1811" s="1134"/>
      <c r="N1811" s="1135"/>
      <c r="O1811" s="1135"/>
      <c r="P1811" s="1048"/>
      <c r="Q1811" s="1048"/>
      <c r="R1811" s="1158"/>
      <c r="S1811" s="1048"/>
      <c r="T1811" s="1048"/>
      <c r="U1811" s="1102"/>
    </row>
    <row r="1812" spans="2:21" hidden="1" outlineLevel="2">
      <c r="B1812" s="1050"/>
      <c r="C1812" s="1050"/>
      <c r="D1812" s="1051">
        <f t="shared" si="155"/>
        <v>64</v>
      </c>
      <c r="E1812" s="1051" t="str">
        <f>IF(COUNTIF(E$1615:E1811,F1812)&gt;0,"",F1812)</f>
        <v>2015 - usage : Autres (BTP. recherche. armée. etc.), France continentale, Base Carbone</v>
      </c>
      <c r="F1812" s="1051" t="str">
        <f t="shared" si="156"/>
        <v>2015 - usage : Autres (BTP. recherche. armée. etc.), France continentale, Base Carbone</v>
      </c>
      <c r="G1812" s="1055" t="str">
        <f t="shared" si="157"/>
        <v>2015 - usage : Autres (BTP. recherche. armée. etc.), France continentale, Base Carbone; kgCO2e/kWh, Combustion à la centrale</v>
      </c>
      <c r="I1812" s="2018" t="s">
        <v>2811</v>
      </c>
      <c r="J1812" s="1135" t="s">
        <v>1681</v>
      </c>
      <c r="K1812" s="1119" t="s">
        <v>1567</v>
      </c>
      <c r="L1812" s="1119" t="s">
        <v>1571</v>
      </c>
      <c r="M1812" s="1134">
        <v>0.3</v>
      </c>
      <c r="N1812" s="1119" t="s">
        <v>1763</v>
      </c>
      <c r="O1812" s="1135">
        <v>2.5100000000000001E-2</v>
      </c>
      <c r="P1812" s="1048"/>
      <c r="Q1812" s="1048"/>
      <c r="R1812" s="1158"/>
      <c r="S1812" s="1048"/>
      <c r="T1812" s="1048"/>
      <c r="U1812" s="1102"/>
    </row>
    <row r="1813" spans="2:21" hidden="1" outlineLevel="2">
      <c r="B1813" s="1050"/>
      <c r="C1813" s="1050"/>
      <c r="D1813" s="1051">
        <f t="shared" si="155"/>
        <v>64</v>
      </c>
      <c r="E1813" s="1051" t="str">
        <f>IF(COUNTIF(E$1615:E1812,F1813)&gt;0,"",F1813)</f>
        <v/>
      </c>
      <c r="F1813" s="1051" t="str">
        <f t="shared" si="156"/>
        <v>2015 - usage : Autres (BTP. recherche. armée. etc.), France continentale, Base Carbone</v>
      </c>
      <c r="G1813" s="1055" t="str">
        <f t="shared" si="157"/>
        <v>2015 - usage : Autres (BTP. recherche. armée. etc.), France continentale, Base Carbone; kgCO2e/kWh, Amont</v>
      </c>
      <c r="I1813" s="2018" t="s">
        <v>2811</v>
      </c>
      <c r="J1813" s="1135" t="s">
        <v>1681</v>
      </c>
      <c r="K1813" s="1119" t="s">
        <v>1567</v>
      </c>
      <c r="L1813" s="1119" t="s">
        <v>1571</v>
      </c>
      <c r="M1813" s="1134">
        <v>0.3</v>
      </c>
      <c r="N1813" s="1119" t="s">
        <v>1570</v>
      </c>
      <c r="O1813" s="1135">
        <v>9.4000000000000004E-3</v>
      </c>
      <c r="P1813" s="1048"/>
      <c r="Q1813" s="1048"/>
      <c r="R1813" s="1158"/>
      <c r="S1813" s="1048"/>
      <c r="T1813" s="1048"/>
      <c r="U1813" s="1102"/>
    </row>
    <row r="1814" spans="2:21" s="1045" customFormat="1" hidden="1" outlineLevel="2">
      <c r="B1814" s="1050"/>
      <c r="C1814" s="1050"/>
      <c r="D1814" s="1051">
        <f t="shared" si="155"/>
        <v>64</v>
      </c>
      <c r="E1814" s="1051" t="str">
        <f>IF(COUNTIF(E$1615:E1813,F1814)&gt;0,"",F1814)</f>
        <v/>
      </c>
      <c r="F1814" s="1051" t="str">
        <f t="shared" si="156"/>
        <v>2015 - usage : Autres (BTP. recherche. armée. etc.), France continentale, Base Carbone</v>
      </c>
      <c r="G1814" s="1055" t="str">
        <f t="shared" si="157"/>
        <v>2015 - usage : Autres (BTP. recherche. armée. etc.), France continentale, Base Carbone; kgCO2e/kWh, Pertes</v>
      </c>
      <c r="I1814" s="2018" t="s">
        <v>2811</v>
      </c>
      <c r="J1814" s="1135" t="s">
        <v>1681</v>
      </c>
      <c r="K1814" s="1119" t="s">
        <v>1567</v>
      </c>
      <c r="L1814" s="1135" t="s">
        <v>1571</v>
      </c>
      <c r="M1814" s="1134">
        <v>0.3</v>
      </c>
      <c r="N1814" s="1119" t="s">
        <v>1766</v>
      </c>
      <c r="O1814" s="1135">
        <v>5.1999999999999998E-3</v>
      </c>
      <c r="P1814" s="1135"/>
      <c r="Q1814" s="1135"/>
      <c r="R1814" s="2040"/>
      <c r="S1814" s="1135"/>
      <c r="T1814" s="1135"/>
      <c r="U1814" s="2041"/>
    </row>
    <row r="1815" spans="2:21" s="1045" customFormat="1" hidden="1" outlineLevel="2">
      <c r="B1815" s="1050"/>
      <c r="C1815" s="1050"/>
      <c r="D1815" s="1051">
        <f t="shared" si="155"/>
        <v>65</v>
      </c>
      <c r="E1815" s="1051" t="str">
        <f>IF(COUNTIF(E$1615:E1814,F1815)&gt;0,"",F1815)</f>
        <v>2015 - usage : chauffage, France continentale, Base Carbone</v>
      </c>
      <c r="F1815" s="1051" t="str">
        <f t="shared" si="156"/>
        <v>2015 - usage : chauffage, France continentale, Base Carbone</v>
      </c>
      <c r="G1815" s="1055" t="str">
        <f t="shared" si="157"/>
        <v>2015 - usage : chauffage, France continentale, Base Carbone; kgCO2e/kWh, Combustion à la centrale</v>
      </c>
      <c r="I1815" s="2018" t="s">
        <v>2812</v>
      </c>
      <c r="J1815" s="1135" t="s">
        <v>1681</v>
      </c>
      <c r="K1815" s="1119" t="s">
        <v>1567</v>
      </c>
      <c r="L1815" s="1135" t="s">
        <v>1571</v>
      </c>
      <c r="M1815" s="1134">
        <v>0.3</v>
      </c>
      <c r="N1815" s="1119" t="s">
        <v>1763</v>
      </c>
      <c r="O1815" s="1135">
        <v>0.13900000000000001</v>
      </c>
      <c r="P1815" s="1135"/>
      <c r="Q1815" s="1135"/>
      <c r="R1815" s="2040"/>
      <c r="S1815" s="1135"/>
      <c r="T1815" s="1135"/>
      <c r="U1815" s="2041"/>
    </row>
    <row r="1816" spans="2:21" s="1045" customFormat="1" hidden="1" outlineLevel="2">
      <c r="B1816" s="1050"/>
      <c r="C1816" s="1050"/>
      <c r="D1816" s="1051">
        <f t="shared" si="155"/>
        <v>65</v>
      </c>
      <c r="E1816" s="1051" t="str">
        <f>IF(COUNTIF(E$1615:E1815,F1816)&gt;0,"",F1816)</f>
        <v/>
      </c>
      <c r="F1816" s="1051" t="str">
        <f t="shared" si="156"/>
        <v>2015 - usage : chauffage, France continentale, Base Carbone</v>
      </c>
      <c r="G1816" s="1055" t="str">
        <f t="shared" si="157"/>
        <v>2015 - usage : chauffage, France continentale, Base Carbone; kgCO2e/kWh, Amont</v>
      </c>
      <c r="I1816" s="2018" t="s">
        <v>2812</v>
      </c>
      <c r="J1816" s="1135" t="s">
        <v>1681</v>
      </c>
      <c r="K1816" s="1119" t="s">
        <v>1567</v>
      </c>
      <c r="L1816" s="1119" t="s">
        <v>1571</v>
      </c>
      <c r="M1816" s="1134">
        <v>0.3</v>
      </c>
      <c r="N1816" s="1119" t="s">
        <v>1570</v>
      </c>
      <c r="O1816" s="1135">
        <v>2.35E-2</v>
      </c>
      <c r="P1816" s="1135"/>
      <c r="Q1816" s="1135"/>
      <c r="R1816" s="2040"/>
      <c r="S1816" s="1135"/>
      <c r="T1816" s="1135"/>
      <c r="U1816" s="2041"/>
    </row>
    <row r="1817" spans="2:21" s="1045" customFormat="1" hidden="1" outlineLevel="2">
      <c r="B1817" s="1050"/>
      <c r="C1817" s="1050"/>
      <c r="D1817" s="1051">
        <f t="shared" si="155"/>
        <v>65</v>
      </c>
      <c r="E1817" s="1051" t="str">
        <f>IF(COUNTIF(E$1615:E1816,F1817)&gt;0,"",F1817)</f>
        <v/>
      </c>
      <c r="F1817" s="1051" t="str">
        <f t="shared" si="156"/>
        <v>2015 - usage : chauffage, France continentale, Base Carbone</v>
      </c>
      <c r="G1817" s="1055" t="str">
        <f t="shared" si="157"/>
        <v>2015 - usage : chauffage, France continentale, Base Carbone; kgCO2e/kWh, Pertes</v>
      </c>
      <c r="I1817" s="2018" t="s">
        <v>2812</v>
      </c>
      <c r="J1817" s="1135" t="s">
        <v>1681</v>
      </c>
      <c r="K1817" s="1119" t="s">
        <v>1567</v>
      </c>
      <c r="L1817" s="1119" t="s">
        <v>1571</v>
      </c>
      <c r="M1817" s="1134">
        <v>0.3</v>
      </c>
      <c r="N1817" s="1119" t="s">
        <v>1766</v>
      </c>
      <c r="O1817" s="1135">
        <v>5.1999999999999998E-3</v>
      </c>
      <c r="P1817" s="1135"/>
      <c r="Q1817" s="1135"/>
      <c r="R1817" s="2040"/>
      <c r="S1817" s="1135"/>
      <c r="T1817" s="1135"/>
      <c r="U1817" s="2041"/>
    </row>
    <row r="1818" spans="2:21" s="1045" customFormat="1" hidden="1" outlineLevel="2">
      <c r="B1818" s="1050"/>
      <c r="C1818" s="1050"/>
      <c r="D1818" s="1051">
        <f t="shared" si="155"/>
        <v>66</v>
      </c>
      <c r="E1818" s="1051" t="str">
        <f>IF(COUNTIF(E$1615:E1817,F1818)&gt;0,"",F1818)</f>
        <v>2015 - usage : Climatisation tertiaire, France continentale, Base Carbone</v>
      </c>
      <c r="F1818" s="1051" t="str">
        <f t="shared" si="156"/>
        <v>2015 - usage : Climatisation tertiaire, France continentale, Base Carbone</v>
      </c>
      <c r="G1818" s="1055" t="str">
        <f t="shared" si="157"/>
        <v>2015 - usage : Climatisation tertiaire, France continentale, Base Carbone; kgCO2e/kWh, Combustion à la centrale</v>
      </c>
      <c r="I1818" s="2018" t="s">
        <v>2813</v>
      </c>
      <c r="J1818" s="1135" t="s">
        <v>1681</v>
      </c>
      <c r="K1818" s="1119" t="s">
        <v>1567</v>
      </c>
      <c r="L1818" s="1135" t="s">
        <v>1571</v>
      </c>
      <c r="M1818" s="1134">
        <v>0.3</v>
      </c>
      <c r="N1818" s="1119" t="s">
        <v>1763</v>
      </c>
      <c r="O1818" s="1135">
        <v>2.76E-2</v>
      </c>
      <c r="P1818" s="1135"/>
      <c r="Q1818" s="1135"/>
      <c r="R1818" s="2040"/>
      <c r="S1818" s="1135"/>
      <c r="T1818" s="1135"/>
      <c r="U1818" s="2041"/>
    </row>
    <row r="1819" spans="2:21" s="1045" customFormat="1" hidden="1" outlineLevel="2">
      <c r="B1819" s="1050"/>
      <c r="C1819" s="1050"/>
      <c r="D1819" s="1051">
        <f t="shared" si="155"/>
        <v>66</v>
      </c>
      <c r="E1819" s="1051" t="str">
        <f>IF(COUNTIF(E$1615:E1818,F1819)&gt;0,"",F1819)</f>
        <v/>
      </c>
      <c r="F1819" s="1051" t="str">
        <f t="shared" si="156"/>
        <v>2015 - usage : Climatisation tertiaire, France continentale, Base Carbone</v>
      </c>
      <c r="G1819" s="1055" t="str">
        <f t="shared" si="157"/>
        <v>2015 - usage : Climatisation tertiaire, France continentale, Base Carbone; kgCO2e/kWh, Amont</v>
      </c>
      <c r="I1819" s="2018" t="s">
        <v>2813</v>
      </c>
      <c r="J1819" s="1135" t="s">
        <v>1681</v>
      </c>
      <c r="K1819" s="1119" t="s">
        <v>1567</v>
      </c>
      <c r="L1819" s="1119" t="s">
        <v>1571</v>
      </c>
      <c r="M1819" s="1134">
        <v>0.3</v>
      </c>
      <c r="N1819" s="1119" t="s">
        <v>1570</v>
      </c>
      <c r="O1819" s="1135">
        <v>9.7000000000000003E-3</v>
      </c>
      <c r="P1819" s="1135"/>
      <c r="Q1819" s="1135"/>
      <c r="R1819" s="2040"/>
      <c r="S1819" s="1135"/>
      <c r="T1819" s="1135"/>
      <c r="U1819" s="2041"/>
    </row>
    <row r="1820" spans="2:21" s="1045" customFormat="1" hidden="1" outlineLevel="2">
      <c r="B1820" s="1050"/>
      <c r="C1820" s="1050"/>
      <c r="D1820" s="1051">
        <f t="shared" si="155"/>
        <v>66</v>
      </c>
      <c r="E1820" s="1051" t="str">
        <f>IF(COUNTIF(E$1615:E1819,F1820)&gt;0,"",F1820)</f>
        <v/>
      </c>
      <c r="F1820" s="1051" t="str">
        <f t="shared" si="156"/>
        <v>2015 - usage : Climatisation tertiaire, France continentale, Base Carbone</v>
      </c>
      <c r="G1820" s="1055" t="str">
        <f t="shared" si="157"/>
        <v>2015 - usage : Climatisation tertiaire, France continentale, Base Carbone; kgCO2e/kWh, Pertes</v>
      </c>
      <c r="I1820" s="2018" t="s">
        <v>2813</v>
      </c>
      <c r="J1820" s="1135" t="s">
        <v>1681</v>
      </c>
      <c r="K1820" s="1119" t="s">
        <v>1567</v>
      </c>
      <c r="L1820" s="1119" t="s">
        <v>1571</v>
      </c>
      <c r="M1820" s="1134">
        <v>0.3</v>
      </c>
      <c r="N1820" s="1119" t="s">
        <v>1766</v>
      </c>
      <c r="O1820" s="1135">
        <v>5.1999999999999998E-3</v>
      </c>
      <c r="P1820" s="1135"/>
      <c r="Q1820" s="1135"/>
      <c r="R1820" s="2040"/>
      <c r="S1820" s="1135"/>
      <c r="T1820" s="1135"/>
      <c r="U1820" s="2041"/>
    </row>
    <row r="1821" spans="2:21" s="1045" customFormat="1" hidden="1" outlineLevel="2">
      <c r="B1821" s="1050"/>
      <c r="C1821" s="1050"/>
      <c r="D1821" s="1051">
        <f t="shared" si="155"/>
        <v>67</v>
      </c>
      <c r="E1821" s="1051" t="str">
        <f>IF(COUNTIF(E$1615:E1820,F1821)&gt;0,"",F1821)</f>
        <v>2015 - usage : Cuisson résidentiel, France continentale, Base Carbone</v>
      </c>
      <c r="F1821" s="1051" t="str">
        <f t="shared" si="156"/>
        <v>2015 - usage : Cuisson résidentiel, France continentale, Base Carbone</v>
      </c>
      <c r="G1821" s="1055" t="str">
        <f t="shared" si="157"/>
        <v>2015 - usage : Cuisson résidentiel, France continentale, Base Carbone; kgCO2e/kWh, Combustion à la centrale</v>
      </c>
      <c r="I1821" s="2018" t="s">
        <v>2814</v>
      </c>
      <c r="J1821" s="1135" t="s">
        <v>1681</v>
      </c>
      <c r="K1821" s="1119" t="s">
        <v>1567</v>
      </c>
      <c r="L1821" s="1135" t="s">
        <v>1571</v>
      </c>
      <c r="M1821" s="1134">
        <v>0.3</v>
      </c>
      <c r="N1821" s="1119" t="s">
        <v>1763</v>
      </c>
      <c r="O1821" s="1135">
        <v>4.1000000000000002E-2</v>
      </c>
      <c r="P1821" s="1135"/>
      <c r="Q1821" s="1135"/>
      <c r="R1821" s="2040"/>
      <c r="S1821" s="1135"/>
      <c r="T1821" s="1135"/>
      <c r="U1821" s="2041"/>
    </row>
    <row r="1822" spans="2:21" s="1045" customFormat="1" hidden="1" outlineLevel="2">
      <c r="B1822" s="1050"/>
      <c r="C1822" s="1050"/>
      <c r="D1822" s="1051">
        <f t="shared" si="155"/>
        <v>67</v>
      </c>
      <c r="E1822" s="1051" t="str">
        <f>IF(COUNTIF(E$1615:E1821,F1822)&gt;0,"",F1822)</f>
        <v/>
      </c>
      <c r="F1822" s="1051" t="str">
        <f t="shared" si="156"/>
        <v>2015 - usage : Cuisson résidentiel, France continentale, Base Carbone</v>
      </c>
      <c r="G1822" s="1055" t="str">
        <f t="shared" si="157"/>
        <v>2015 - usage : Cuisson résidentiel, France continentale, Base Carbone; kgCO2e/kWh, Amont</v>
      </c>
      <c r="I1822" s="2018" t="s">
        <v>2814</v>
      </c>
      <c r="J1822" s="1135" t="s">
        <v>1681</v>
      </c>
      <c r="K1822" s="1119" t="s">
        <v>1567</v>
      </c>
      <c r="L1822" s="1119" t="s">
        <v>1571</v>
      </c>
      <c r="M1822" s="1134">
        <v>0.3</v>
      </c>
      <c r="N1822" s="1119" t="s">
        <v>1570</v>
      </c>
      <c r="O1822" s="1135">
        <v>1.14E-2</v>
      </c>
      <c r="P1822" s="1135"/>
      <c r="Q1822" s="1135"/>
      <c r="R1822" s="2040"/>
      <c r="S1822" s="1135"/>
      <c r="T1822" s="1135"/>
      <c r="U1822" s="2041"/>
    </row>
    <row r="1823" spans="2:21" s="1045" customFormat="1" hidden="1" outlineLevel="2">
      <c r="B1823" s="1050"/>
      <c r="C1823" s="1050"/>
      <c r="D1823" s="1051">
        <f t="shared" si="155"/>
        <v>67</v>
      </c>
      <c r="E1823" s="1051" t="str">
        <f>IF(COUNTIF(E$1615:E1822,F1823)&gt;0,"",F1823)</f>
        <v/>
      </c>
      <c r="F1823" s="1051" t="str">
        <f t="shared" si="156"/>
        <v>2015 - usage : Cuisson résidentiel, France continentale, Base Carbone</v>
      </c>
      <c r="G1823" s="1055" t="str">
        <f t="shared" si="157"/>
        <v>2015 - usage : Cuisson résidentiel, France continentale, Base Carbone; kgCO2e/kWh, Pertes</v>
      </c>
      <c r="I1823" s="2018" t="s">
        <v>2814</v>
      </c>
      <c r="J1823" s="1135" t="s">
        <v>1681</v>
      </c>
      <c r="K1823" s="1119" t="s">
        <v>1567</v>
      </c>
      <c r="L1823" s="1119" t="s">
        <v>1571</v>
      </c>
      <c r="M1823" s="1134">
        <v>0.3</v>
      </c>
      <c r="N1823" s="1119" t="s">
        <v>1766</v>
      </c>
      <c r="O1823" s="1135">
        <v>5.1999999999999998E-3</v>
      </c>
      <c r="P1823" s="1135"/>
      <c r="Q1823" s="1135"/>
      <c r="R1823" s="2040"/>
      <c r="S1823" s="1135"/>
      <c r="T1823" s="1135"/>
      <c r="U1823" s="2041"/>
    </row>
    <row r="1824" spans="2:21" s="1045" customFormat="1" hidden="1" outlineLevel="2">
      <c r="B1824" s="1050"/>
      <c r="C1824" s="1050"/>
      <c r="D1824" s="1051">
        <f t="shared" si="155"/>
        <v>68</v>
      </c>
      <c r="E1824" s="1051" t="str">
        <f>IF(COUNTIF(E$1615:E1823,F1824)&gt;0,"",F1824)</f>
        <v>2015 - usage : Eau Chaude Sanitaire, France continentale, Base Carbone</v>
      </c>
      <c r="F1824" s="1051" t="str">
        <f t="shared" si="156"/>
        <v>2015 - usage : Eau Chaude Sanitaire, France continentale, Base Carbone</v>
      </c>
      <c r="G1824" s="1055" t="str">
        <f t="shared" si="157"/>
        <v>2015 - usage : Eau Chaude Sanitaire, France continentale, Base Carbone; kgCO2e/kWh, Combustion à la centrale</v>
      </c>
      <c r="I1824" s="2018" t="s">
        <v>2815</v>
      </c>
      <c r="J1824" s="1135" t="s">
        <v>1681</v>
      </c>
      <c r="K1824" s="1119" t="s">
        <v>1567</v>
      </c>
      <c r="L1824" s="1135" t="s">
        <v>1571</v>
      </c>
      <c r="M1824" s="1134">
        <v>0.3</v>
      </c>
      <c r="N1824" s="1119" t="s">
        <v>1763</v>
      </c>
      <c r="O1824" s="1135">
        <v>3.8899999999999997E-2</v>
      </c>
      <c r="P1824" s="1135"/>
      <c r="Q1824" s="1135"/>
      <c r="R1824" s="2040"/>
      <c r="S1824" s="1135"/>
      <c r="T1824" s="1135"/>
      <c r="U1824" s="2041"/>
    </row>
    <row r="1825" spans="2:21" s="1045" customFormat="1" hidden="1" outlineLevel="2">
      <c r="B1825" s="1050"/>
      <c r="C1825" s="1050"/>
      <c r="D1825" s="1051">
        <f t="shared" si="155"/>
        <v>68</v>
      </c>
      <c r="E1825" s="1051" t="str">
        <f>IF(COUNTIF(E$1615:E1824,F1825)&gt;0,"",F1825)</f>
        <v/>
      </c>
      <c r="F1825" s="1051" t="str">
        <f t="shared" si="156"/>
        <v>2015 - usage : Eau Chaude Sanitaire, France continentale, Base Carbone</v>
      </c>
      <c r="G1825" s="1055" t="str">
        <f t="shared" si="157"/>
        <v>2015 - usage : Eau Chaude Sanitaire, France continentale, Base Carbone; kgCO2e/kWh, Amont</v>
      </c>
      <c r="I1825" s="2018" t="s">
        <v>2815</v>
      </c>
      <c r="J1825" s="1135" t="s">
        <v>1681</v>
      </c>
      <c r="K1825" s="1119" t="s">
        <v>1567</v>
      </c>
      <c r="L1825" s="1119" t="s">
        <v>1571</v>
      </c>
      <c r="M1825" s="1134">
        <v>0.3</v>
      </c>
      <c r="N1825" s="1119" t="s">
        <v>1570</v>
      </c>
      <c r="O1825" s="1135">
        <v>1.11E-2</v>
      </c>
      <c r="P1825" s="1135"/>
      <c r="Q1825" s="1135"/>
      <c r="R1825" s="2040"/>
      <c r="S1825" s="1135"/>
      <c r="T1825" s="1135"/>
      <c r="U1825" s="2041"/>
    </row>
    <row r="1826" spans="2:21" s="1045" customFormat="1" hidden="1" outlineLevel="2">
      <c r="B1826" s="1050"/>
      <c r="C1826" s="1050"/>
      <c r="D1826" s="1051">
        <f t="shared" si="155"/>
        <v>68</v>
      </c>
      <c r="E1826" s="1051" t="str">
        <f>IF(COUNTIF(E$1615:E1825,F1826)&gt;0,"",F1826)</f>
        <v/>
      </c>
      <c r="F1826" s="1051" t="str">
        <f t="shared" si="156"/>
        <v>2015 - usage : Eau Chaude Sanitaire, France continentale, Base Carbone</v>
      </c>
      <c r="G1826" s="1055" t="str">
        <f t="shared" si="157"/>
        <v>2015 - usage : Eau Chaude Sanitaire, France continentale, Base Carbone; kgCO2e/kWh, Pertes</v>
      </c>
      <c r="I1826" s="2018" t="s">
        <v>2815</v>
      </c>
      <c r="J1826" s="1135" t="s">
        <v>1681</v>
      </c>
      <c r="K1826" s="1119" t="s">
        <v>1567</v>
      </c>
      <c r="L1826" s="1119" t="s">
        <v>1571</v>
      </c>
      <c r="M1826" s="1134">
        <v>0.3</v>
      </c>
      <c r="N1826" s="1119" t="s">
        <v>1766</v>
      </c>
      <c r="O1826" s="1135">
        <v>5.1999999999999998E-3</v>
      </c>
      <c r="P1826" s="1135"/>
      <c r="Q1826" s="1135"/>
      <c r="R1826" s="2040"/>
      <c r="S1826" s="1135"/>
      <c r="T1826" s="1135"/>
      <c r="U1826" s="2041"/>
    </row>
    <row r="1827" spans="2:21" s="1045" customFormat="1" hidden="1" outlineLevel="2">
      <c r="B1827" s="1050"/>
      <c r="C1827" s="1050"/>
      <c r="D1827" s="1051">
        <f t="shared" si="155"/>
        <v>69</v>
      </c>
      <c r="E1827" s="1051" t="str">
        <f>IF(COUNTIF(E$1615:E1826,F1827)&gt;0,"",F1827)</f>
        <v>2015 - usage : Eclairage public, France continentale, Base Carbone</v>
      </c>
      <c r="F1827" s="1051" t="str">
        <f t="shared" si="156"/>
        <v>2015 - usage : Eclairage public, France continentale, Base Carbone</v>
      </c>
      <c r="G1827" s="1055" t="str">
        <f t="shared" si="157"/>
        <v>2015 - usage : Eclairage public, France continentale, Base Carbone; kgCO2e/kWh, Combustion à la centrale</v>
      </c>
      <c r="I1827" s="2018" t="s">
        <v>2816</v>
      </c>
      <c r="J1827" s="1135" t="s">
        <v>1681</v>
      </c>
      <c r="K1827" s="1119" t="s">
        <v>1567</v>
      </c>
      <c r="L1827" s="1135" t="s">
        <v>1571</v>
      </c>
      <c r="M1827" s="1134">
        <v>0.3</v>
      </c>
      <c r="N1827" s="1119" t="s">
        <v>1763</v>
      </c>
      <c r="O1827" s="1135">
        <v>5.2900000000000003E-2</v>
      </c>
      <c r="P1827" s="1135"/>
      <c r="Q1827" s="1135"/>
      <c r="R1827" s="2040"/>
      <c r="S1827" s="1135"/>
      <c r="T1827" s="1135"/>
      <c r="U1827" s="2041"/>
    </row>
    <row r="1828" spans="2:21" s="1045" customFormat="1" hidden="1" outlineLevel="2">
      <c r="B1828" s="1050"/>
      <c r="C1828" s="1050"/>
      <c r="D1828" s="1051">
        <f t="shared" si="155"/>
        <v>69</v>
      </c>
      <c r="E1828" s="1051" t="str">
        <f>IF(COUNTIF(E$1615:E1827,F1828)&gt;0,"",F1828)</f>
        <v/>
      </c>
      <c r="F1828" s="1051" t="str">
        <f t="shared" si="156"/>
        <v>2015 - usage : Eclairage public, France continentale, Base Carbone</v>
      </c>
      <c r="G1828" s="1055" t="str">
        <f t="shared" si="157"/>
        <v>2015 - usage : Eclairage public, France continentale, Base Carbone; kgCO2e/kWh, Amont</v>
      </c>
      <c r="I1828" s="2018" t="s">
        <v>2816</v>
      </c>
      <c r="J1828" s="1135" t="s">
        <v>1681</v>
      </c>
      <c r="K1828" s="1119" t="s">
        <v>1567</v>
      </c>
      <c r="L1828" s="1119" t="s">
        <v>1571</v>
      </c>
      <c r="M1828" s="1134">
        <v>0.3</v>
      </c>
      <c r="N1828" s="1119" t="s">
        <v>1570</v>
      </c>
      <c r="O1828" s="1135">
        <v>1.29E-2</v>
      </c>
      <c r="P1828" s="1135"/>
      <c r="Q1828" s="1135"/>
      <c r="R1828" s="2040"/>
      <c r="S1828" s="1135"/>
      <c r="T1828" s="1135"/>
      <c r="U1828" s="2041"/>
    </row>
    <row r="1829" spans="2:21" s="1045" customFormat="1" hidden="1" outlineLevel="2">
      <c r="B1829" s="1050"/>
      <c r="C1829" s="1050"/>
      <c r="D1829" s="1051">
        <f t="shared" si="155"/>
        <v>69</v>
      </c>
      <c r="E1829" s="1051" t="str">
        <f>IF(COUNTIF(E$1615:E1828,F1829)&gt;0,"",F1829)</f>
        <v/>
      </c>
      <c r="F1829" s="1051" t="str">
        <f t="shared" si="156"/>
        <v>2015 - usage : Eclairage public, France continentale, Base Carbone</v>
      </c>
      <c r="G1829" s="1055" t="str">
        <f t="shared" si="157"/>
        <v>2015 - usage : Eclairage public, France continentale, Base Carbone; kgCO2e/kWh, Pertes</v>
      </c>
      <c r="I1829" s="2018" t="s">
        <v>2816</v>
      </c>
      <c r="J1829" s="1135" t="s">
        <v>1681</v>
      </c>
      <c r="K1829" s="1119" t="s">
        <v>1567</v>
      </c>
      <c r="L1829" s="1119" t="s">
        <v>1571</v>
      </c>
      <c r="M1829" s="1134">
        <v>0.3</v>
      </c>
      <c r="N1829" s="1119" t="s">
        <v>1766</v>
      </c>
      <c r="O1829" s="1135">
        <v>5.1999999999999998E-3</v>
      </c>
      <c r="P1829" s="1135"/>
      <c r="Q1829" s="1135"/>
      <c r="R1829" s="2040"/>
      <c r="S1829" s="1135"/>
      <c r="T1829" s="1135"/>
      <c r="U1829" s="2041"/>
    </row>
    <row r="1830" spans="2:21" s="1045" customFormat="1" hidden="1" outlineLevel="2">
      <c r="B1830" s="1050"/>
      <c r="C1830" s="1050"/>
      <c r="D1830" s="1051">
        <f t="shared" si="155"/>
        <v>70</v>
      </c>
      <c r="E1830" s="1051" t="str">
        <f>IF(COUNTIF(E$1615:E1829,F1830)&gt;0,"",F1830)</f>
        <v>2015 - usage : Eclairage résidentiel, France continentale, Base Carbone</v>
      </c>
      <c r="F1830" s="1051" t="str">
        <f t="shared" si="156"/>
        <v>2015 - usage : Eclairage résidentiel, France continentale, Base Carbone</v>
      </c>
      <c r="G1830" s="1055" t="str">
        <f t="shared" si="157"/>
        <v>2015 - usage : Eclairage résidentiel, France continentale, Base Carbone; kgCO2e/kWh, Combustion à la centrale</v>
      </c>
      <c r="I1830" s="2018" t="s">
        <v>2817</v>
      </c>
      <c r="J1830" s="1135" t="s">
        <v>1681</v>
      </c>
      <c r="K1830" s="1119" t="s">
        <v>1567</v>
      </c>
      <c r="L1830" s="1135" t="s">
        <v>1571</v>
      </c>
      <c r="M1830" s="1134">
        <v>0.3</v>
      </c>
      <c r="N1830" s="1119" t="s">
        <v>1763</v>
      </c>
      <c r="O1830" s="1135">
        <v>6.9900000000000004E-2</v>
      </c>
      <c r="P1830" s="1135"/>
      <c r="Q1830" s="1135"/>
      <c r="R1830" s="2040"/>
      <c r="S1830" s="1135"/>
      <c r="T1830" s="1135"/>
      <c r="U1830" s="2041"/>
    </row>
    <row r="1831" spans="2:21" s="1045" customFormat="1" hidden="1" outlineLevel="2">
      <c r="B1831" s="1050"/>
      <c r="C1831" s="1050"/>
      <c r="D1831" s="1051">
        <f t="shared" si="155"/>
        <v>70</v>
      </c>
      <c r="E1831" s="1051" t="str">
        <f>IF(COUNTIF(E$1615:E1830,F1831)&gt;0,"",F1831)</f>
        <v/>
      </c>
      <c r="F1831" s="1051" t="str">
        <f t="shared" si="156"/>
        <v>2015 - usage : Eclairage résidentiel, France continentale, Base Carbone</v>
      </c>
      <c r="G1831" s="1055" t="str">
        <f t="shared" si="157"/>
        <v>2015 - usage : Eclairage résidentiel, France continentale, Base Carbone; kgCO2e/kWh, Amont</v>
      </c>
      <c r="I1831" s="2018" t="s">
        <v>2817</v>
      </c>
      <c r="J1831" s="1135" t="s">
        <v>1681</v>
      </c>
      <c r="K1831" s="1119" t="s">
        <v>1567</v>
      </c>
      <c r="L1831" s="1119" t="s">
        <v>1571</v>
      </c>
      <c r="M1831" s="1134">
        <v>0.3</v>
      </c>
      <c r="N1831" s="1119" t="s">
        <v>1570</v>
      </c>
      <c r="O1831" s="1135">
        <v>1.4999999999999999E-2</v>
      </c>
      <c r="P1831" s="1135"/>
      <c r="Q1831" s="1135"/>
      <c r="R1831" s="2040"/>
      <c r="S1831" s="1135"/>
      <c r="T1831" s="1135"/>
      <c r="U1831" s="2041"/>
    </row>
    <row r="1832" spans="2:21" s="1045" customFormat="1" hidden="1" outlineLevel="2">
      <c r="B1832" s="1050"/>
      <c r="C1832" s="1050"/>
      <c r="D1832" s="1051">
        <f t="shared" si="155"/>
        <v>70</v>
      </c>
      <c r="E1832" s="1051" t="str">
        <f>IF(COUNTIF(E$1615:E1831,F1832)&gt;0,"",F1832)</f>
        <v/>
      </c>
      <c r="F1832" s="1051" t="str">
        <f t="shared" si="156"/>
        <v>2015 - usage : Eclairage résidentiel, France continentale, Base Carbone</v>
      </c>
      <c r="G1832" s="1055" t="str">
        <f t="shared" si="157"/>
        <v>2015 - usage : Eclairage résidentiel, France continentale, Base Carbone; kgCO2e/kWh, Pertes</v>
      </c>
      <c r="I1832" s="2018" t="s">
        <v>2817</v>
      </c>
      <c r="J1832" s="1135" t="s">
        <v>1681</v>
      </c>
      <c r="K1832" s="1119" t="s">
        <v>1567</v>
      </c>
      <c r="L1832" s="1119" t="s">
        <v>1571</v>
      </c>
      <c r="M1832" s="1134">
        <v>0.3</v>
      </c>
      <c r="N1832" s="1119" t="s">
        <v>1766</v>
      </c>
      <c r="O1832" s="1135">
        <v>5.1999999999999998E-3</v>
      </c>
      <c r="P1832" s="1135"/>
      <c r="Q1832" s="1135"/>
      <c r="R1832" s="2040"/>
      <c r="S1832" s="1135"/>
      <c r="T1832" s="1135"/>
      <c r="U1832" s="2041"/>
    </row>
    <row r="1833" spans="2:21" s="1045" customFormat="1" hidden="1" outlineLevel="2">
      <c r="B1833" s="1050"/>
      <c r="C1833" s="1050"/>
      <c r="D1833" s="1051">
        <f t="shared" si="155"/>
        <v>71</v>
      </c>
      <c r="E1833" s="1051" t="str">
        <f>IF(COUNTIF(E$1615:E1832,F1833)&gt;0,"",F1833)</f>
        <v>2015 - usage : Industrie base, France continentale, Base Carbone</v>
      </c>
      <c r="F1833" s="1051" t="str">
        <f t="shared" si="156"/>
        <v>2015 - usage : Industrie base, France continentale, Base Carbone</v>
      </c>
      <c r="G1833" s="1055" t="str">
        <f t="shared" si="157"/>
        <v>2015 - usage : Industrie base, France continentale, Base Carbone; kgCO2e/kWh, Combustion à la centrale</v>
      </c>
      <c r="I1833" s="2018" t="s">
        <v>2818</v>
      </c>
      <c r="J1833" s="1135" t="s">
        <v>1681</v>
      </c>
      <c r="K1833" s="1119" t="s">
        <v>1567</v>
      </c>
      <c r="L1833" s="1135" t="s">
        <v>1571</v>
      </c>
      <c r="M1833" s="1134">
        <v>0.3</v>
      </c>
      <c r="N1833" s="1119" t="s">
        <v>1763</v>
      </c>
      <c r="O1833" s="1135">
        <v>2.4199999999999999E-2</v>
      </c>
      <c r="P1833" s="1135"/>
      <c r="Q1833" s="1135"/>
      <c r="R1833" s="2040"/>
      <c r="S1833" s="1135"/>
      <c r="T1833" s="1135"/>
      <c r="U1833" s="2041"/>
    </row>
    <row r="1834" spans="2:21" s="1045" customFormat="1" hidden="1" outlineLevel="2">
      <c r="B1834" s="1050"/>
      <c r="C1834" s="1050"/>
      <c r="D1834" s="1051">
        <f t="shared" si="155"/>
        <v>71</v>
      </c>
      <c r="E1834" s="1051" t="str">
        <f>IF(COUNTIF(E$1615:E1833,F1834)&gt;0,"",F1834)</f>
        <v/>
      </c>
      <c r="F1834" s="1051" t="str">
        <f t="shared" si="156"/>
        <v>2015 - usage : Industrie base, France continentale, Base Carbone</v>
      </c>
      <c r="G1834" s="1055" t="str">
        <f t="shared" si="157"/>
        <v>2015 - usage : Industrie base, France continentale, Base Carbone; kgCO2e/kWh, Amont</v>
      </c>
      <c r="I1834" s="2018" t="s">
        <v>2818</v>
      </c>
      <c r="J1834" s="1135" t="s">
        <v>1681</v>
      </c>
      <c r="K1834" s="1119" t="s">
        <v>1567</v>
      </c>
      <c r="L1834" s="1119" t="s">
        <v>1571</v>
      </c>
      <c r="M1834" s="1134">
        <v>0.3</v>
      </c>
      <c r="N1834" s="1119" t="s">
        <v>1570</v>
      </c>
      <c r="O1834" s="1135">
        <v>9.2999999999999992E-3</v>
      </c>
      <c r="P1834" s="1135"/>
      <c r="Q1834" s="1135"/>
      <c r="R1834" s="2040"/>
      <c r="S1834" s="1135"/>
      <c r="T1834" s="1135"/>
      <c r="U1834" s="2041"/>
    </row>
    <row r="1835" spans="2:21" s="1045" customFormat="1" hidden="1" outlineLevel="2">
      <c r="B1835" s="1050"/>
      <c r="C1835" s="1050"/>
      <c r="D1835" s="1051">
        <f t="shared" si="155"/>
        <v>71</v>
      </c>
      <c r="E1835" s="1051" t="str">
        <f>IF(COUNTIF(E$1615:E1834,F1835)&gt;0,"",F1835)</f>
        <v/>
      </c>
      <c r="F1835" s="1051" t="str">
        <f t="shared" si="156"/>
        <v>2015 - usage : Industrie base, France continentale, Base Carbone</v>
      </c>
      <c r="G1835" s="1055" t="str">
        <f t="shared" si="157"/>
        <v>2015 - usage : Industrie base, France continentale, Base Carbone; kgCO2e/kWh, Pertes</v>
      </c>
      <c r="I1835" s="2018" t="s">
        <v>2818</v>
      </c>
      <c r="J1835" s="1135" t="s">
        <v>1681</v>
      </c>
      <c r="K1835" s="1119" t="s">
        <v>1567</v>
      </c>
      <c r="L1835" s="1119" t="s">
        <v>1571</v>
      </c>
      <c r="M1835" s="1134">
        <v>0.3</v>
      </c>
      <c r="N1835" s="1119" t="s">
        <v>1766</v>
      </c>
      <c r="O1835" s="1135">
        <v>5.1999999999999998E-3</v>
      </c>
      <c r="P1835" s="1135"/>
      <c r="Q1835" s="1135"/>
      <c r="R1835" s="2040"/>
      <c r="S1835" s="1135"/>
      <c r="T1835" s="1135"/>
      <c r="U1835" s="2041"/>
    </row>
    <row r="1836" spans="2:21" s="1045" customFormat="1" hidden="1" outlineLevel="2">
      <c r="B1836" s="1050"/>
      <c r="C1836" s="1050"/>
      <c r="D1836" s="1051">
        <f t="shared" si="155"/>
        <v>72</v>
      </c>
      <c r="E1836" s="1051" t="str">
        <f>IF(COUNTIF(E$1615:E1835,F1836)&gt;0,"",F1836)</f>
        <v>2015 - usage : Transports, France continentale, Base Carbone</v>
      </c>
      <c r="F1836" s="1051" t="str">
        <f t="shared" si="156"/>
        <v>2015 - usage : Transports, France continentale, Base Carbone</v>
      </c>
      <c r="G1836" s="1055" t="str">
        <f t="shared" si="157"/>
        <v>2015 - usage : Transports, France continentale, Base Carbone; kgCO2e/kWh, Combustion à la centrale</v>
      </c>
      <c r="I1836" s="2018" t="s">
        <v>2819</v>
      </c>
      <c r="J1836" s="1135" t="s">
        <v>1681</v>
      </c>
      <c r="K1836" s="1119" t="s">
        <v>1567</v>
      </c>
      <c r="L1836" s="1135" t="s">
        <v>1571</v>
      </c>
      <c r="M1836" s="1134">
        <v>0.3</v>
      </c>
      <c r="N1836" s="1119" t="s">
        <v>1763</v>
      </c>
      <c r="O1836" s="1135">
        <v>2.2100000000000002E-2</v>
      </c>
      <c r="P1836" s="1135"/>
      <c r="Q1836" s="1135"/>
      <c r="R1836" s="2040"/>
      <c r="S1836" s="1135"/>
      <c r="T1836" s="1135"/>
      <c r="U1836" s="2041"/>
    </row>
    <row r="1837" spans="2:21" s="1045" customFormat="1" hidden="1" outlineLevel="2">
      <c r="B1837" s="1050"/>
      <c r="C1837" s="1050"/>
      <c r="D1837" s="1051">
        <f t="shared" si="155"/>
        <v>72</v>
      </c>
      <c r="E1837" s="1051" t="str">
        <f>IF(COUNTIF(E$1615:E1836,F1837)&gt;0,"",F1837)</f>
        <v/>
      </c>
      <c r="F1837" s="1051" t="str">
        <f t="shared" si="156"/>
        <v>2015 - usage : Transports, France continentale, Base Carbone</v>
      </c>
      <c r="G1837" s="1055" t="str">
        <f t="shared" si="157"/>
        <v>2015 - usage : Transports, France continentale, Base Carbone; kgCO2e/kWh, Amont</v>
      </c>
      <c r="I1837" s="2018" t="s">
        <v>2819</v>
      </c>
      <c r="J1837" s="1135" t="s">
        <v>1681</v>
      </c>
      <c r="K1837" s="1119" t="s">
        <v>1567</v>
      </c>
      <c r="L1837" s="1119" t="s">
        <v>1571</v>
      </c>
      <c r="M1837" s="1134">
        <v>0.3</v>
      </c>
      <c r="N1837" s="1119" t="s">
        <v>1570</v>
      </c>
      <c r="O1837" s="1135">
        <v>8.9999999999999993E-3</v>
      </c>
      <c r="P1837" s="1135"/>
      <c r="Q1837" s="1135"/>
      <c r="R1837" s="2040"/>
      <c r="S1837" s="1135"/>
      <c r="T1837" s="1135"/>
      <c r="U1837" s="2041"/>
    </row>
    <row r="1838" spans="2:21" s="1045" customFormat="1" hidden="1" outlineLevel="2">
      <c r="B1838" s="1050"/>
      <c r="C1838" s="1050"/>
      <c r="D1838" s="1051">
        <f t="shared" si="155"/>
        <v>72</v>
      </c>
      <c r="E1838" s="1051" t="str">
        <f>IF(COUNTIF(E$1615:E1837,F1838)&gt;0,"",F1838)</f>
        <v/>
      </c>
      <c r="F1838" s="1051" t="str">
        <f t="shared" si="156"/>
        <v>2015 - usage : Transports, France continentale, Base Carbone</v>
      </c>
      <c r="G1838" s="1055" t="str">
        <f t="shared" si="157"/>
        <v>2015 - usage : Transports, France continentale, Base Carbone; kgCO2e/kWh, Pertes</v>
      </c>
      <c r="I1838" s="2018" t="s">
        <v>2819</v>
      </c>
      <c r="J1838" s="1135" t="s">
        <v>1681</v>
      </c>
      <c r="K1838" s="1119" t="s">
        <v>1567</v>
      </c>
      <c r="L1838" s="1119" t="s">
        <v>1571</v>
      </c>
      <c r="M1838" s="1134">
        <v>0.3</v>
      </c>
      <c r="N1838" s="1119" t="s">
        <v>1766</v>
      </c>
      <c r="O1838" s="1135">
        <v>5.1999999999999998E-3</v>
      </c>
      <c r="P1838" s="1135"/>
      <c r="Q1838" s="1135"/>
      <c r="R1838" s="2040"/>
      <c r="S1838" s="1135"/>
      <c r="T1838" s="1135"/>
      <c r="U1838" s="2041"/>
    </row>
    <row r="1839" spans="2:21" s="1045" customFormat="1" hidden="1" outlineLevel="2">
      <c r="B1839" s="1050"/>
      <c r="C1839" s="1050"/>
      <c r="D1839" s="1051">
        <f t="shared" si="155"/>
        <v>72</v>
      </c>
      <c r="E1839" s="1051" t="str">
        <f>IF(COUNTIF(E$1615:E1838,F1839)&gt;0,"",F1839)</f>
        <v/>
      </c>
      <c r="F1839" s="1051" t="str">
        <f t="shared" si="156"/>
        <v/>
      </c>
      <c r="G1839" s="1055" t="str">
        <f t="shared" si="157"/>
        <v/>
      </c>
      <c r="I1839" s="2018"/>
      <c r="J1839" s="1135"/>
      <c r="K1839" s="1119"/>
      <c r="L1839" s="1135"/>
      <c r="M1839" s="1134"/>
      <c r="N1839" s="2017"/>
      <c r="O1839" s="1135"/>
      <c r="P1839" s="1135"/>
      <c r="Q1839" s="1135"/>
      <c r="R1839" s="2040"/>
      <c r="S1839" s="1135"/>
      <c r="T1839" s="1135"/>
      <c r="U1839" s="2041"/>
    </row>
    <row r="1840" spans="2:21" s="1045" customFormat="1" hidden="1" outlineLevel="2">
      <c r="B1840" s="1050"/>
      <c r="C1840" s="1050"/>
      <c r="D1840" s="1051">
        <f t="shared" si="155"/>
        <v>73</v>
      </c>
      <c r="E1840" s="1051" t="str">
        <f>IF(COUNTIF(E$1615:E1839,F1840)&gt;0,"",F1840)</f>
        <v>2016 - usage : Autres (BTP. recherche. armée. etc.), France continentale, Base Carbone</v>
      </c>
      <c r="F1840" s="1051" t="str">
        <f t="shared" si="156"/>
        <v>2016 - usage : Autres (BTP. recherche. armée. etc.), France continentale, Base Carbone</v>
      </c>
      <c r="G1840" s="1055" t="str">
        <f t="shared" si="157"/>
        <v>2016 - usage : Autres (BTP. recherche. armée. etc.), France continentale, Base Carbone; kgCO2e/kWh, Combustion à la centrale</v>
      </c>
      <c r="I1840" s="2018" t="s">
        <v>2820</v>
      </c>
      <c r="J1840" s="1135" t="s">
        <v>1681</v>
      </c>
      <c r="K1840" s="1119" t="s">
        <v>1567</v>
      </c>
      <c r="L1840" s="1135" t="s">
        <v>1571</v>
      </c>
      <c r="M1840" s="1134">
        <v>0.3</v>
      </c>
      <c r="N1840" s="1119" t="s">
        <v>1763</v>
      </c>
      <c r="O1840" s="1135">
        <v>2.5899999999999999E-2</v>
      </c>
      <c r="P1840" s="1135"/>
      <c r="Q1840" s="1135"/>
      <c r="R1840" s="2040"/>
      <c r="S1840" s="1135"/>
      <c r="T1840" s="1135"/>
      <c r="U1840" s="2041"/>
    </row>
    <row r="1841" spans="2:21" s="1045" customFormat="1" hidden="1" outlineLevel="2">
      <c r="B1841" s="1050"/>
      <c r="C1841" s="1050"/>
      <c r="D1841" s="1051">
        <f t="shared" si="155"/>
        <v>73</v>
      </c>
      <c r="E1841" s="1051" t="str">
        <f>IF(COUNTIF(E$1615:E1840,F1841)&gt;0,"",F1841)</f>
        <v/>
      </c>
      <c r="F1841" s="1051" t="str">
        <f t="shared" si="156"/>
        <v>2016 - usage : Autres (BTP. recherche. armée. etc.), France continentale, Base Carbone</v>
      </c>
      <c r="G1841" s="1055" t="str">
        <f t="shared" si="157"/>
        <v>2016 - usage : Autres (BTP. recherche. armée. etc.), France continentale, Base Carbone; kgCO2e/kWh, Amont</v>
      </c>
      <c r="I1841" s="2018" t="s">
        <v>2820</v>
      </c>
      <c r="J1841" s="1135" t="s">
        <v>1681</v>
      </c>
      <c r="K1841" s="1119" t="s">
        <v>1567</v>
      </c>
      <c r="L1841" s="1119" t="s">
        <v>1571</v>
      </c>
      <c r="M1841" s="1134">
        <v>0.3</v>
      </c>
      <c r="N1841" s="1119" t="s">
        <v>1570</v>
      </c>
      <c r="O1841" s="1135">
        <v>9.7000000000000003E-3</v>
      </c>
      <c r="P1841" s="1135"/>
      <c r="Q1841" s="1135"/>
      <c r="R1841" s="2040"/>
      <c r="S1841" s="1135"/>
      <c r="T1841" s="1135"/>
      <c r="U1841" s="2041"/>
    </row>
    <row r="1842" spans="2:21" s="1045" customFormat="1" hidden="1" outlineLevel="2">
      <c r="B1842" s="1050"/>
      <c r="C1842" s="1050"/>
      <c r="D1842" s="1051">
        <f t="shared" si="155"/>
        <v>73</v>
      </c>
      <c r="E1842" s="1051" t="str">
        <f>IF(COUNTIF(E$1615:E1841,F1842)&gt;0,"",F1842)</f>
        <v/>
      </c>
      <c r="F1842" s="1051" t="str">
        <f t="shared" si="156"/>
        <v>2016 - usage : Autres (BTP. recherche. armée. etc.), France continentale, Base Carbone</v>
      </c>
      <c r="G1842" s="1055" t="str">
        <f t="shared" si="157"/>
        <v>2016 - usage : Autres (BTP. recherche. armée. etc.), France continentale, Base Carbone; kgCO2e/kWh, Pertes</v>
      </c>
      <c r="I1842" s="2018" t="s">
        <v>2820</v>
      </c>
      <c r="J1842" s="1135" t="s">
        <v>1681</v>
      </c>
      <c r="K1842" s="1119" t="s">
        <v>1567</v>
      </c>
      <c r="L1842" s="1119" t="s">
        <v>1571</v>
      </c>
      <c r="M1842" s="1134">
        <v>0.3</v>
      </c>
      <c r="N1842" s="1119" t="s">
        <v>1766</v>
      </c>
      <c r="O1842" s="1135">
        <v>4.8999999999999998E-3</v>
      </c>
      <c r="P1842" s="1135"/>
      <c r="Q1842" s="1135"/>
      <c r="R1842" s="2040"/>
      <c r="S1842" s="1135"/>
      <c r="T1842" s="1135"/>
      <c r="U1842" s="2041"/>
    </row>
    <row r="1843" spans="2:21" s="1045" customFormat="1" hidden="1" outlineLevel="2">
      <c r="B1843" s="1050"/>
      <c r="C1843" s="1050"/>
      <c r="D1843" s="1051">
        <f t="shared" si="155"/>
        <v>74</v>
      </c>
      <c r="E1843" s="1051" t="str">
        <f>IF(COUNTIF(E$1615:E1842,F1843)&gt;0,"",F1843)</f>
        <v>2016 - usage : chauffage, France continentale, Base Carbone</v>
      </c>
      <c r="F1843" s="1051" t="str">
        <f t="shared" si="156"/>
        <v>2016 - usage : chauffage, France continentale, Base Carbone</v>
      </c>
      <c r="G1843" s="1055" t="str">
        <f t="shared" si="157"/>
        <v>2016 - usage : chauffage, France continentale, Base Carbone; kgCO2e/kWh, Combustion à la centrale</v>
      </c>
      <c r="I1843" s="2018" t="s">
        <v>2821</v>
      </c>
      <c r="J1843" s="1135" t="s">
        <v>1681</v>
      </c>
      <c r="K1843" s="1119" t="s">
        <v>1567</v>
      </c>
      <c r="L1843" s="1135" t="s">
        <v>1571</v>
      </c>
      <c r="M1843" s="1134">
        <v>0.3</v>
      </c>
      <c r="N1843" s="1119" t="s">
        <v>1763</v>
      </c>
      <c r="O1843" s="1135">
        <v>0.128</v>
      </c>
      <c r="P1843" s="1135"/>
      <c r="Q1843" s="1135"/>
      <c r="R1843" s="2040"/>
      <c r="S1843" s="1135"/>
      <c r="T1843" s="1135"/>
      <c r="U1843" s="2041"/>
    </row>
    <row r="1844" spans="2:21" s="1045" customFormat="1" hidden="1" outlineLevel="2">
      <c r="B1844" s="1050"/>
      <c r="C1844" s="1050"/>
      <c r="D1844" s="1051">
        <f t="shared" si="155"/>
        <v>74</v>
      </c>
      <c r="E1844" s="1051" t="str">
        <f>IF(COUNTIF(E$1615:E1843,F1844)&gt;0,"",F1844)</f>
        <v/>
      </c>
      <c r="F1844" s="1051" t="str">
        <f t="shared" si="156"/>
        <v>2016 - usage : chauffage, France continentale, Base Carbone</v>
      </c>
      <c r="G1844" s="1055" t="str">
        <f t="shared" si="157"/>
        <v>2016 - usage : chauffage, France continentale, Base Carbone; kgCO2e/kWh, Amont</v>
      </c>
      <c r="I1844" s="2018" t="s">
        <v>2821</v>
      </c>
      <c r="J1844" s="1135" t="s">
        <v>1681</v>
      </c>
      <c r="K1844" s="1119" t="s">
        <v>1567</v>
      </c>
      <c r="L1844" s="1119" t="s">
        <v>1571</v>
      </c>
      <c r="M1844" s="1134">
        <v>0.3</v>
      </c>
      <c r="N1844" s="1119" t="s">
        <v>1570</v>
      </c>
      <c r="O1844" s="1135">
        <v>2.2499999999999999E-2</v>
      </c>
      <c r="P1844" s="1135"/>
      <c r="Q1844" s="1135"/>
      <c r="R1844" s="2040"/>
      <c r="S1844" s="1135"/>
      <c r="T1844" s="1135"/>
      <c r="U1844" s="2041"/>
    </row>
    <row r="1845" spans="2:21" s="1045" customFormat="1" hidden="1" outlineLevel="2">
      <c r="B1845" s="1050"/>
      <c r="C1845" s="1050"/>
      <c r="D1845" s="1051">
        <f t="shared" si="155"/>
        <v>74</v>
      </c>
      <c r="E1845" s="1051" t="str">
        <f>IF(COUNTIF(E$1615:E1844,F1845)&gt;0,"",F1845)</f>
        <v/>
      </c>
      <c r="F1845" s="1051" t="str">
        <f t="shared" si="156"/>
        <v>2016 - usage : chauffage, France continentale, Base Carbone</v>
      </c>
      <c r="G1845" s="1055" t="str">
        <f t="shared" si="157"/>
        <v>2016 - usage : chauffage, France continentale, Base Carbone; kgCO2e/kWh, Pertes</v>
      </c>
      <c r="I1845" s="2018" t="s">
        <v>2821</v>
      </c>
      <c r="J1845" s="1135" t="s">
        <v>1681</v>
      </c>
      <c r="K1845" s="1119" t="s">
        <v>1567</v>
      </c>
      <c r="L1845" s="1119" t="s">
        <v>1571</v>
      </c>
      <c r="M1845" s="1134">
        <v>0.3</v>
      </c>
      <c r="N1845" s="1119" t="s">
        <v>1766</v>
      </c>
      <c r="O1845" s="1135">
        <v>4.8999999999999998E-3</v>
      </c>
      <c r="P1845" s="1135"/>
      <c r="Q1845" s="1135"/>
      <c r="R1845" s="2040"/>
      <c r="S1845" s="1135"/>
      <c r="T1845" s="1135"/>
      <c r="U1845" s="2041"/>
    </row>
    <row r="1846" spans="2:21" s="1045" customFormat="1" hidden="1" outlineLevel="2">
      <c r="B1846" s="1050"/>
      <c r="C1846" s="1050"/>
      <c r="D1846" s="1051">
        <f t="shared" si="155"/>
        <v>75</v>
      </c>
      <c r="E1846" s="1051" t="str">
        <f>IF(COUNTIF(E$1615:E1845,F1846)&gt;0,"",F1846)</f>
        <v>2016 - usage : Climatisation tertiaire, France continentale, Base Carbone</v>
      </c>
      <c r="F1846" s="1051" t="str">
        <f t="shared" si="156"/>
        <v>2016 - usage : Climatisation tertiaire, France continentale, Base Carbone</v>
      </c>
      <c r="G1846" s="1055" t="str">
        <f t="shared" si="157"/>
        <v>2016 - usage : Climatisation tertiaire, France continentale, Base Carbone; kgCO2e/kWh, Combustion à la centrale</v>
      </c>
      <c r="I1846" s="2018" t="s">
        <v>2822</v>
      </c>
      <c r="J1846" s="1135" t="s">
        <v>1681</v>
      </c>
      <c r="K1846" s="1119" t="s">
        <v>1567</v>
      </c>
      <c r="L1846" s="1135" t="s">
        <v>1571</v>
      </c>
      <c r="M1846" s="1134">
        <v>0.3</v>
      </c>
      <c r="N1846" s="1119" t="s">
        <v>1763</v>
      </c>
      <c r="O1846" s="1135">
        <v>2.3800000000000002E-2</v>
      </c>
      <c r="P1846" s="1135"/>
      <c r="Q1846" s="1135"/>
      <c r="R1846" s="2040"/>
      <c r="S1846" s="1135"/>
      <c r="T1846" s="1135"/>
      <c r="U1846" s="2041"/>
    </row>
    <row r="1847" spans="2:21" s="1045" customFormat="1" hidden="1" outlineLevel="2">
      <c r="B1847" s="1050"/>
      <c r="C1847" s="1050"/>
      <c r="D1847" s="1051">
        <f t="shared" si="155"/>
        <v>75</v>
      </c>
      <c r="E1847" s="1051" t="str">
        <f>IF(COUNTIF(E$1615:E1846,F1847)&gt;0,"",F1847)</f>
        <v/>
      </c>
      <c r="F1847" s="1051" t="str">
        <f t="shared" si="156"/>
        <v>2016 - usage : Climatisation tertiaire, France continentale, Base Carbone</v>
      </c>
      <c r="G1847" s="1055" t="str">
        <f t="shared" si="157"/>
        <v>2016 - usage : Climatisation tertiaire, France continentale, Base Carbone; kgCO2e/kWh, Amont</v>
      </c>
      <c r="I1847" s="2018" t="s">
        <v>2822</v>
      </c>
      <c r="J1847" s="1135" t="s">
        <v>1681</v>
      </c>
      <c r="K1847" s="1119" t="s">
        <v>1567</v>
      </c>
      <c r="L1847" s="1119" t="s">
        <v>1571</v>
      </c>
      <c r="M1847" s="1134">
        <v>0.3</v>
      </c>
      <c r="N1847" s="1119" t="s">
        <v>1570</v>
      </c>
      <c r="O1847" s="1135">
        <v>9.4999999999999998E-3</v>
      </c>
      <c r="P1847" s="1135"/>
      <c r="Q1847" s="1135"/>
      <c r="R1847" s="2040"/>
      <c r="S1847" s="1135"/>
      <c r="T1847" s="1135"/>
      <c r="U1847" s="2041"/>
    </row>
    <row r="1848" spans="2:21" s="1045" customFormat="1" hidden="1" outlineLevel="2">
      <c r="B1848" s="1050"/>
      <c r="C1848" s="1050"/>
      <c r="D1848" s="1051">
        <f t="shared" si="155"/>
        <v>75</v>
      </c>
      <c r="E1848" s="1051" t="str">
        <f>IF(COUNTIF(E$1615:E1847,F1848)&gt;0,"",F1848)</f>
        <v/>
      </c>
      <c r="F1848" s="1051" t="str">
        <f t="shared" si="156"/>
        <v>2016 - usage : Climatisation tertiaire, France continentale, Base Carbone</v>
      </c>
      <c r="G1848" s="1055" t="str">
        <f t="shared" si="157"/>
        <v>2016 - usage : Climatisation tertiaire, France continentale, Base Carbone; kgCO2e/kWh, Pertes</v>
      </c>
      <c r="I1848" s="2018" t="s">
        <v>2822</v>
      </c>
      <c r="J1848" s="1135" t="s">
        <v>1681</v>
      </c>
      <c r="K1848" s="1119" t="s">
        <v>1567</v>
      </c>
      <c r="L1848" s="1119" t="s">
        <v>1571</v>
      </c>
      <c r="M1848" s="1134">
        <v>0.3</v>
      </c>
      <c r="N1848" s="1119" t="s">
        <v>1766</v>
      </c>
      <c r="O1848" s="1135">
        <v>4.8999999999999998E-3</v>
      </c>
      <c r="P1848" s="1135"/>
      <c r="Q1848" s="1135"/>
      <c r="R1848" s="2040"/>
      <c r="S1848" s="1135"/>
      <c r="T1848" s="1135"/>
      <c r="U1848" s="2041"/>
    </row>
    <row r="1849" spans="2:21" s="1045" customFormat="1" hidden="1" outlineLevel="2">
      <c r="B1849" s="1050"/>
      <c r="C1849" s="1050"/>
      <c r="D1849" s="1051">
        <f t="shared" si="155"/>
        <v>76</v>
      </c>
      <c r="E1849" s="1051" t="str">
        <f>IF(COUNTIF(E$1615:E1848,F1849)&gt;0,"",F1849)</f>
        <v>2016 - usage : Cuisson résidentiel, France continentale, Base Carbone</v>
      </c>
      <c r="F1849" s="1051" t="str">
        <f t="shared" si="156"/>
        <v>2016 - usage : Cuisson résidentiel, France continentale, Base Carbone</v>
      </c>
      <c r="G1849" s="1055" t="str">
        <f t="shared" si="157"/>
        <v>2016 - usage : Cuisson résidentiel, France continentale, Base Carbone; kgCO2e/kWh, Combustion à la centrale</v>
      </c>
      <c r="I1849" s="2018" t="s">
        <v>2823</v>
      </c>
      <c r="J1849" s="1135" t="s">
        <v>1681</v>
      </c>
      <c r="K1849" s="1119" t="s">
        <v>1567</v>
      </c>
      <c r="L1849" s="1135" t="s">
        <v>1571</v>
      </c>
      <c r="M1849" s="1134">
        <v>0.3</v>
      </c>
      <c r="N1849" s="1119" t="s">
        <v>1763</v>
      </c>
      <c r="O1849" s="1135">
        <v>3.61E-2</v>
      </c>
      <c r="P1849" s="1135"/>
      <c r="Q1849" s="1135"/>
      <c r="R1849" s="2040"/>
      <c r="S1849" s="1135"/>
      <c r="T1849" s="1135"/>
      <c r="U1849" s="2041"/>
    </row>
    <row r="1850" spans="2:21" s="1045" customFormat="1" hidden="1" outlineLevel="2">
      <c r="B1850" s="1050"/>
      <c r="C1850" s="1050"/>
      <c r="D1850" s="1051">
        <f t="shared" si="155"/>
        <v>76</v>
      </c>
      <c r="E1850" s="1051" t="str">
        <f>IF(COUNTIF(E$1615:E1849,F1850)&gt;0,"",F1850)</f>
        <v/>
      </c>
      <c r="F1850" s="1051" t="str">
        <f t="shared" si="156"/>
        <v>2016 - usage : Cuisson résidentiel, France continentale, Base Carbone</v>
      </c>
      <c r="G1850" s="1055" t="str">
        <f t="shared" si="157"/>
        <v>2016 - usage : Cuisson résidentiel, France continentale, Base Carbone; kgCO2e/kWh, Amont</v>
      </c>
      <c r="I1850" s="2018" t="s">
        <v>2823</v>
      </c>
      <c r="J1850" s="1135" t="s">
        <v>1681</v>
      </c>
      <c r="K1850" s="1119" t="s">
        <v>1567</v>
      </c>
      <c r="L1850" s="1119" t="s">
        <v>1571</v>
      </c>
      <c r="M1850" s="1134">
        <v>0.3</v>
      </c>
      <c r="N1850" s="1119" t="s">
        <v>1570</v>
      </c>
      <c r="O1850" s="1135">
        <v>1.0999999999999999E-2</v>
      </c>
      <c r="P1850" s="1135"/>
      <c r="Q1850" s="1135"/>
      <c r="R1850" s="2040"/>
      <c r="S1850" s="1135"/>
      <c r="T1850" s="1135"/>
      <c r="U1850" s="2041"/>
    </row>
    <row r="1851" spans="2:21" s="1045" customFormat="1" hidden="1" outlineLevel="2">
      <c r="B1851" s="1050"/>
      <c r="C1851" s="1050"/>
      <c r="D1851" s="1051">
        <f t="shared" si="155"/>
        <v>76</v>
      </c>
      <c r="E1851" s="1051" t="str">
        <f>IF(COUNTIF(E$1615:E1850,F1851)&gt;0,"",F1851)</f>
        <v/>
      </c>
      <c r="F1851" s="1051" t="str">
        <f t="shared" si="156"/>
        <v>2016 - usage : Cuisson résidentiel, France continentale, Base Carbone</v>
      </c>
      <c r="G1851" s="1055" t="str">
        <f t="shared" si="157"/>
        <v>2016 - usage : Cuisson résidentiel, France continentale, Base Carbone; kgCO2e/kWh, Pertes</v>
      </c>
      <c r="I1851" s="2018" t="s">
        <v>2823</v>
      </c>
      <c r="J1851" s="1135" t="s">
        <v>1681</v>
      </c>
      <c r="K1851" s="1119" t="s">
        <v>1567</v>
      </c>
      <c r="L1851" s="1119" t="s">
        <v>1571</v>
      </c>
      <c r="M1851" s="1134">
        <v>0.3</v>
      </c>
      <c r="N1851" s="1119" t="s">
        <v>1766</v>
      </c>
      <c r="O1851" s="1135">
        <v>4.8999999999999998E-3</v>
      </c>
      <c r="P1851" s="1135"/>
      <c r="Q1851" s="1135"/>
      <c r="R1851" s="2040"/>
      <c r="S1851" s="1135"/>
      <c r="T1851" s="1135"/>
      <c r="U1851" s="2041"/>
    </row>
    <row r="1852" spans="2:21" s="1045" customFormat="1" hidden="1" outlineLevel="2">
      <c r="B1852" s="1050"/>
      <c r="C1852" s="1050"/>
      <c r="D1852" s="1051">
        <f t="shared" si="155"/>
        <v>77</v>
      </c>
      <c r="E1852" s="1051" t="str">
        <f>IF(COUNTIF(E$1615:E1851,F1852)&gt;0,"",F1852)</f>
        <v>2016 - usage : Eau Chaude Sanitaire, France continentale, Base Carbone</v>
      </c>
      <c r="F1852" s="1051" t="str">
        <f t="shared" si="156"/>
        <v>2016 - usage : Eau Chaude Sanitaire, France continentale, Base Carbone</v>
      </c>
      <c r="G1852" s="1055" t="str">
        <f t="shared" si="157"/>
        <v>2016 - usage : Eau Chaude Sanitaire, France continentale, Base Carbone; kgCO2e/kWh, Combustion à la centrale</v>
      </c>
      <c r="I1852" s="2018" t="s">
        <v>2824</v>
      </c>
      <c r="J1852" s="1135" t="s">
        <v>1681</v>
      </c>
      <c r="K1852" s="1119" t="s">
        <v>1567</v>
      </c>
      <c r="L1852" s="1135" t="s">
        <v>1571</v>
      </c>
      <c r="M1852" s="1134">
        <v>0.3</v>
      </c>
      <c r="N1852" s="1119" t="s">
        <v>1763</v>
      </c>
      <c r="O1852" s="1135">
        <v>3.6200000000000003E-2</v>
      </c>
      <c r="P1852" s="1135"/>
      <c r="Q1852" s="1135"/>
      <c r="R1852" s="2040"/>
      <c r="S1852" s="1135"/>
      <c r="T1852" s="1135"/>
      <c r="U1852" s="2041"/>
    </row>
    <row r="1853" spans="2:21" s="1045" customFormat="1" hidden="1" outlineLevel="2">
      <c r="B1853" s="1050"/>
      <c r="C1853" s="1050"/>
      <c r="D1853" s="1051">
        <f t="shared" si="155"/>
        <v>77</v>
      </c>
      <c r="E1853" s="1051" t="str">
        <f>IF(COUNTIF(E$1615:E1852,F1853)&gt;0,"",F1853)</f>
        <v/>
      </c>
      <c r="F1853" s="1051" t="str">
        <f t="shared" si="156"/>
        <v>2016 - usage : Eau Chaude Sanitaire, France continentale, Base Carbone</v>
      </c>
      <c r="G1853" s="1055" t="str">
        <f t="shared" si="157"/>
        <v>2016 - usage : Eau Chaude Sanitaire, France continentale, Base Carbone; kgCO2e/kWh, Amont</v>
      </c>
      <c r="I1853" s="2018" t="s">
        <v>2824</v>
      </c>
      <c r="J1853" s="1135" t="s">
        <v>1681</v>
      </c>
      <c r="K1853" s="1119" t="s">
        <v>1567</v>
      </c>
      <c r="L1853" s="1119" t="s">
        <v>1571</v>
      </c>
      <c r="M1853" s="1134">
        <v>0.3</v>
      </c>
      <c r="N1853" s="1119" t="s">
        <v>1570</v>
      </c>
      <c r="O1853" s="1135">
        <v>1.0999999999999999E-2</v>
      </c>
      <c r="P1853" s="1135"/>
      <c r="Q1853" s="1135"/>
      <c r="R1853" s="2040"/>
      <c r="S1853" s="1135"/>
      <c r="T1853" s="1135"/>
      <c r="U1853" s="2041"/>
    </row>
    <row r="1854" spans="2:21" s="1045" customFormat="1" hidden="1" outlineLevel="2">
      <c r="B1854" s="1050"/>
      <c r="C1854" s="1050"/>
      <c r="D1854" s="1051">
        <f t="shared" si="155"/>
        <v>77</v>
      </c>
      <c r="E1854" s="1051" t="str">
        <f>IF(COUNTIF(E$1615:E1853,F1854)&gt;0,"",F1854)</f>
        <v/>
      </c>
      <c r="F1854" s="1051" t="str">
        <f t="shared" si="156"/>
        <v>2016 - usage : Eau Chaude Sanitaire, France continentale, Base Carbone</v>
      </c>
      <c r="G1854" s="1055" t="str">
        <f t="shared" si="157"/>
        <v>2016 - usage : Eau Chaude Sanitaire, France continentale, Base Carbone; kgCO2e/kWh, Pertes</v>
      </c>
      <c r="I1854" s="2018" t="s">
        <v>2824</v>
      </c>
      <c r="J1854" s="1135" t="s">
        <v>1681</v>
      </c>
      <c r="K1854" s="1119" t="s">
        <v>1567</v>
      </c>
      <c r="L1854" s="1119" t="s">
        <v>1571</v>
      </c>
      <c r="M1854" s="1134">
        <v>0.3</v>
      </c>
      <c r="N1854" s="1119" t="s">
        <v>1766</v>
      </c>
      <c r="O1854" s="1135">
        <v>4.8999999999999998E-3</v>
      </c>
      <c r="P1854" s="1135"/>
      <c r="Q1854" s="1135"/>
      <c r="R1854" s="2040"/>
      <c r="S1854" s="1135"/>
      <c r="T1854" s="1135"/>
      <c r="U1854" s="2041"/>
    </row>
    <row r="1855" spans="2:21" s="1045" customFormat="1" hidden="1" outlineLevel="2">
      <c r="B1855" s="1050"/>
      <c r="C1855" s="1050"/>
      <c r="D1855" s="1051">
        <f t="shared" si="155"/>
        <v>78</v>
      </c>
      <c r="E1855" s="1051" t="str">
        <f>IF(COUNTIF(E$1615:E1854,F1855)&gt;0,"",F1855)</f>
        <v>2016 - usage : Eclairage public, France continentale, Base Carbone</v>
      </c>
      <c r="F1855" s="1051" t="str">
        <f t="shared" si="156"/>
        <v>2016 - usage : Eclairage public, France continentale, Base Carbone</v>
      </c>
      <c r="G1855" s="1055" t="str">
        <f t="shared" si="157"/>
        <v>2016 - usage : Eclairage public, France continentale, Base Carbone; kgCO2e/kWh, Combustion à la centrale</v>
      </c>
      <c r="I1855" s="2018" t="s">
        <v>2825</v>
      </c>
      <c r="J1855" s="1135" t="s">
        <v>1681</v>
      </c>
      <c r="K1855" s="1119" t="s">
        <v>1567</v>
      </c>
      <c r="L1855" s="1135" t="s">
        <v>1571</v>
      </c>
      <c r="M1855" s="1134">
        <v>0.3</v>
      </c>
      <c r="N1855" s="1119" t="s">
        <v>1763</v>
      </c>
      <c r="O1855" s="1135">
        <v>4.8399999999999999E-2</v>
      </c>
      <c r="P1855" s="1135"/>
      <c r="Q1855" s="1135"/>
      <c r="R1855" s="2040"/>
      <c r="S1855" s="1135"/>
      <c r="T1855" s="1135"/>
      <c r="U1855" s="2041"/>
    </row>
    <row r="1856" spans="2:21" s="1045" customFormat="1" hidden="1" outlineLevel="2">
      <c r="B1856" s="1050"/>
      <c r="C1856" s="1050"/>
      <c r="D1856" s="1051">
        <f t="shared" si="155"/>
        <v>78</v>
      </c>
      <c r="E1856" s="1051" t="str">
        <f>IF(COUNTIF(E$1615:E1855,F1856)&gt;0,"",F1856)</f>
        <v/>
      </c>
      <c r="F1856" s="1051" t="str">
        <f t="shared" si="156"/>
        <v>2016 - usage : Eclairage public, France continentale, Base Carbone</v>
      </c>
      <c r="G1856" s="1055" t="str">
        <f t="shared" si="157"/>
        <v>2016 - usage : Eclairage public, France continentale, Base Carbone; kgCO2e/kWh, Amont</v>
      </c>
      <c r="I1856" s="2018" t="s">
        <v>2825</v>
      </c>
      <c r="J1856" s="1135" t="s">
        <v>1681</v>
      </c>
      <c r="K1856" s="1119" t="s">
        <v>1567</v>
      </c>
      <c r="L1856" s="1119" t="s">
        <v>1571</v>
      </c>
      <c r="M1856" s="1134">
        <v>0.3</v>
      </c>
      <c r="N1856" s="1119" t="s">
        <v>1570</v>
      </c>
      <c r="O1856" s="1135">
        <v>1.2500000000000001E-2</v>
      </c>
      <c r="P1856" s="1135"/>
      <c r="Q1856" s="1135"/>
      <c r="R1856" s="2040"/>
      <c r="S1856" s="1135"/>
      <c r="T1856" s="1135"/>
      <c r="U1856" s="2041"/>
    </row>
    <row r="1857" spans="2:21" s="1045" customFormat="1" hidden="1" outlineLevel="2">
      <c r="B1857" s="1050"/>
      <c r="C1857" s="1050"/>
      <c r="D1857" s="1051">
        <f t="shared" si="155"/>
        <v>78</v>
      </c>
      <c r="E1857" s="1051" t="str">
        <f>IF(COUNTIF(E$1615:E1856,F1857)&gt;0,"",F1857)</f>
        <v/>
      </c>
      <c r="F1857" s="1051" t="str">
        <f t="shared" si="156"/>
        <v>2016 - usage : Eclairage public, France continentale, Base Carbone</v>
      </c>
      <c r="G1857" s="1055" t="str">
        <f t="shared" si="157"/>
        <v>2016 - usage : Eclairage public, France continentale, Base Carbone; kgCO2e/kWh, Pertes</v>
      </c>
      <c r="I1857" s="2018" t="s">
        <v>2825</v>
      </c>
      <c r="J1857" s="1135" t="s">
        <v>1681</v>
      </c>
      <c r="K1857" s="1119" t="s">
        <v>1567</v>
      </c>
      <c r="L1857" s="1119" t="s">
        <v>1571</v>
      </c>
      <c r="M1857" s="1134">
        <v>0.3</v>
      </c>
      <c r="N1857" s="1119" t="s">
        <v>1766</v>
      </c>
      <c r="O1857" s="1135">
        <v>4.8999999999999998E-3</v>
      </c>
      <c r="P1857" s="1135"/>
      <c r="Q1857" s="1135"/>
      <c r="R1857" s="2040"/>
      <c r="S1857" s="1135"/>
      <c r="T1857" s="1135"/>
      <c r="U1857" s="2041"/>
    </row>
    <row r="1858" spans="2:21" s="1045" customFormat="1" hidden="1" outlineLevel="2">
      <c r="B1858" s="1050"/>
      <c r="C1858" s="1050"/>
      <c r="D1858" s="1051">
        <f t="shared" si="155"/>
        <v>79</v>
      </c>
      <c r="E1858" s="1051" t="str">
        <f>IF(COUNTIF(E$1615:E1857,F1858)&gt;0,"",F1858)</f>
        <v>2016 - usage : Eclairage résidentiel, France continentale, Base Carbone</v>
      </c>
      <c r="F1858" s="1051" t="str">
        <f t="shared" si="156"/>
        <v>2016 - usage : Eclairage résidentiel, France continentale, Base Carbone</v>
      </c>
      <c r="G1858" s="1055" t="str">
        <f t="shared" si="157"/>
        <v>2016 - usage : Eclairage résidentiel, France continentale, Base Carbone; kgCO2e/kWh, Combustion à la centrale</v>
      </c>
      <c r="I1858" s="2018" t="s">
        <v>2826</v>
      </c>
      <c r="J1858" s="1135" t="s">
        <v>1681</v>
      </c>
      <c r="K1858" s="1119" t="s">
        <v>1567</v>
      </c>
      <c r="L1858" s="1135" t="s">
        <v>1571</v>
      </c>
      <c r="M1858" s="1134">
        <v>0.3</v>
      </c>
      <c r="N1858" s="1119" t="s">
        <v>1763</v>
      </c>
      <c r="O1858" s="1135">
        <v>6.3899999999999998E-2</v>
      </c>
      <c r="P1858" s="1135"/>
      <c r="Q1858" s="1135"/>
      <c r="R1858" s="2040"/>
      <c r="S1858" s="1135"/>
      <c r="T1858" s="1135"/>
      <c r="U1858" s="2041"/>
    </row>
    <row r="1859" spans="2:21" s="1045" customFormat="1" hidden="1" outlineLevel="2">
      <c r="B1859" s="1050"/>
      <c r="C1859" s="1050"/>
      <c r="D1859" s="1051">
        <f t="shared" si="155"/>
        <v>79</v>
      </c>
      <c r="E1859" s="1051" t="str">
        <f>IF(COUNTIF(E$1615:E1858,F1859)&gt;0,"",F1859)</f>
        <v/>
      </c>
      <c r="F1859" s="1051" t="str">
        <f t="shared" si="156"/>
        <v>2016 - usage : Eclairage résidentiel, France continentale, Base Carbone</v>
      </c>
      <c r="G1859" s="1055" t="str">
        <f t="shared" si="157"/>
        <v>2016 - usage : Eclairage résidentiel, France continentale, Base Carbone; kgCO2e/kWh, Amont</v>
      </c>
      <c r="I1859" s="2018" t="s">
        <v>2826</v>
      </c>
      <c r="J1859" s="1135" t="s">
        <v>1681</v>
      </c>
      <c r="K1859" s="1119" t="s">
        <v>1567</v>
      </c>
      <c r="L1859" s="1119" t="s">
        <v>1571</v>
      </c>
      <c r="M1859" s="1134">
        <v>0.3</v>
      </c>
      <c r="N1859" s="1119" t="s">
        <v>1570</v>
      </c>
      <c r="O1859" s="1135">
        <v>1.4500000000000001E-2</v>
      </c>
      <c r="P1859" s="1135"/>
      <c r="Q1859" s="1135"/>
      <c r="R1859" s="2040"/>
      <c r="S1859" s="1135"/>
      <c r="T1859" s="1135"/>
      <c r="U1859" s="2041"/>
    </row>
    <row r="1860" spans="2:21" s="1045" customFormat="1" hidden="1" outlineLevel="2">
      <c r="B1860" s="1050"/>
      <c r="C1860" s="1050"/>
      <c r="D1860" s="1051">
        <f t="shared" si="155"/>
        <v>79</v>
      </c>
      <c r="E1860" s="1051" t="str">
        <f>IF(COUNTIF(E$1615:E1859,F1860)&gt;0,"",F1860)</f>
        <v/>
      </c>
      <c r="F1860" s="1051" t="str">
        <f t="shared" si="156"/>
        <v>2016 - usage : Eclairage résidentiel, France continentale, Base Carbone</v>
      </c>
      <c r="G1860" s="1055" t="str">
        <f t="shared" si="157"/>
        <v>2016 - usage : Eclairage résidentiel, France continentale, Base Carbone; kgCO2e/kWh, Pertes</v>
      </c>
      <c r="I1860" s="2018" t="s">
        <v>2826</v>
      </c>
      <c r="J1860" s="1135" t="s">
        <v>1681</v>
      </c>
      <c r="K1860" s="1119" t="s">
        <v>1567</v>
      </c>
      <c r="L1860" s="1119" t="s">
        <v>1571</v>
      </c>
      <c r="M1860" s="1134">
        <v>0.3</v>
      </c>
      <c r="N1860" s="1119" t="s">
        <v>1766</v>
      </c>
      <c r="O1860" s="1135">
        <v>4.8999999999999998E-3</v>
      </c>
      <c r="P1860" s="1135"/>
      <c r="Q1860" s="1135"/>
      <c r="R1860" s="2040"/>
      <c r="S1860" s="1135"/>
      <c r="T1860" s="1135"/>
      <c r="U1860" s="2041"/>
    </row>
    <row r="1861" spans="2:21" s="1045" customFormat="1" hidden="1" outlineLevel="2">
      <c r="B1861" s="1050"/>
      <c r="C1861" s="1050"/>
      <c r="D1861" s="1051">
        <f t="shared" si="155"/>
        <v>80</v>
      </c>
      <c r="E1861" s="1051" t="str">
        <f>IF(COUNTIF(E$1615:E1860,F1861)&gt;0,"",F1861)</f>
        <v>2016 - usage : Industrie base, France continentale, Base Carbone</v>
      </c>
      <c r="F1861" s="1051" t="str">
        <f t="shared" si="156"/>
        <v>2016 - usage : Industrie base, France continentale, Base Carbone</v>
      </c>
      <c r="G1861" s="1055" t="str">
        <f t="shared" si="157"/>
        <v>2016 - usage : Industrie base, France continentale, Base Carbone; kgCO2e/kWh, Combustion à la centrale</v>
      </c>
      <c r="I1861" s="2018" t="s">
        <v>2827</v>
      </c>
      <c r="J1861" s="1135" t="s">
        <v>1681</v>
      </c>
      <c r="K1861" s="1119" t="s">
        <v>1567</v>
      </c>
      <c r="L1861" s="1135" t="s">
        <v>1571</v>
      </c>
      <c r="M1861" s="1134">
        <v>0.3</v>
      </c>
      <c r="N1861" s="1119" t="s">
        <v>1763</v>
      </c>
      <c r="O1861" s="1135">
        <v>2.2700000000000001E-2</v>
      </c>
      <c r="P1861" s="1135"/>
      <c r="Q1861" s="1135"/>
      <c r="R1861" s="2040"/>
      <c r="S1861" s="1135"/>
      <c r="T1861" s="1135"/>
      <c r="U1861" s="2041"/>
    </row>
    <row r="1862" spans="2:21" s="1045" customFormat="1" hidden="1" outlineLevel="2">
      <c r="B1862" s="1050"/>
      <c r="C1862" s="1050"/>
      <c r="D1862" s="1051">
        <f t="shared" si="155"/>
        <v>80</v>
      </c>
      <c r="E1862" s="1051" t="str">
        <f>IF(COUNTIF(E$1615:E1861,F1862)&gt;0,"",F1862)</f>
        <v/>
      </c>
      <c r="F1862" s="1051" t="str">
        <f t="shared" si="156"/>
        <v>2016 - usage : Industrie base, France continentale, Base Carbone</v>
      </c>
      <c r="G1862" s="1055" t="str">
        <f t="shared" si="157"/>
        <v>2016 - usage : Industrie base, France continentale, Base Carbone; kgCO2e/kWh, Amont</v>
      </c>
      <c r="I1862" s="2018" t="s">
        <v>2827</v>
      </c>
      <c r="J1862" s="1135" t="s">
        <v>1681</v>
      </c>
      <c r="K1862" s="1119" t="s">
        <v>1567</v>
      </c>
      <c r="L1862" s="1119" t="s">
        <v>1571</v>
      </c>
      <c r="M1862" s="1134">
        <v>0.3</v>
      </c>
      <c r="N1862" s="1119" t="s">
        <v>1570</v>
      </c>
      <c r="O1862" s="1135">
        <v>9.2999999999999992E-3</v>
      </c>
      <c r="P1862" s="1135"/>
      <c r="Q1862" s="1135"/>
      <c r="R1862" s="2040"/>
      <c r="S1862" s="1135"/>
      <c r="T1862" s="1135"/>
      <c r="U1862" s="2041"/>
    </row>
    <row r="1863" spans="2:21" s="1045" customFormat="1" hidden="1" outlineLevel="2">
      <c r="B1863" s="1050"/>
      <c r="C1863" s="1050"/>
      <c r="D1863" s="1051">
        <f t="shared" si="155"/>
        <v>80</v>
      </c>
      <c r="E1863" s="1051" t="str">
        <f>IF(COUNTIF(E$1615:E1862,F1863)&gt;0,"",F1863)</f>
        <v/>
      </c>
      <c r="F1863" s="1051" t="str">
        <f t="shared" si="156"/>
        <v>2016 - usage : Industrie base, France continentale, Base Carbone</v>
      </c>
      <c r="G1863" s="1055" t="str">
        <f t="shared" si="157"/>
        <v>2016 - usage : Industrie base, France continentale, Base Carbone; kgCO2e/kWh, Pertes</v>
      </c>
      <c r="I1863" s="2018" t="s">
        <v>2827</v>
      </c>
      <c r="J1863" s="1135" t="s">
        <v>1681</v>
      </c>
      <c r="K1863" s="1119" t="s">
        <v>1567</v>
      </c>
      <c r="L1863" s="1119" t="s">
        <v>1571</v>
      </c>
      <c r="M1863" s="1134">
        <v>0.3</v>
      </c>
      <c r="N1863" s="1119" t="s">
        <v>1766</v>
      </c>
      <c r="O1863" s="1135">
        <v>4.8999999999999998E-3</v>
      </c>
      <c r="P1863" s="1135"/>
      <c r="Q1863" s="1135"/>
      <c r="R1863" s="2040"/>
      <c r="S1863" s="1135"/>
      <c r="T1863" s="1135"/>
      <c r="U1863" s="2041"/>
    </row>
    <row r="1864" spans="2:21" s="1045" customFormat="1" hidden="1" outlineLevel="2">
      <c r="B1864" s="1050"/>
      <c r="C1864" s="1050"/>
      <c r="D1864" s="1051">
        <f t="shared" si="155"/>
        <v>81</v>
      </c>
      <c r="E1864" s="1051" t="str">
        <f>IF(COUNTIF(E$1615:E1863,F1864)&gt;0,"",F1864)</f>
        <v>2016 - usage : Transports, France continentale, Base Carbone</v>
      </c>
      <c r="F1864" s="1051" t="str">
        <f t="shared" si="156"/>
        <v>2016 - usage : Transports, France continentale, Base Carbone</v>
      </c>
      <c r="G1864" s="1055" t="str">
        <f t="shared" si="157"/>
        <v>2016 - usage : Transports, France continentale, Base Carbone; kgCO2e/kWh, Combustion à la centrale</v>
      </c>
      <c r="I1864" s="2018" t="s">
        <v>2828</v>
      </c>
      <c r="J1864" s="1135" t="s">
        <v>1681</v>
      </c>
      <c r="K1864" s="1119" t="s">
        <v>1567</v>
      </c>
      <c r="L1864" s="1135" t="s">
        <v>1571</v>
      </c>
      <c r="M1864" s="1134">
        <v>0.3</v>
      </c>
      <c r="N1864" s="1119" t="s">
        <v>1763</v>
      </c>
      <c r="O1864" s="1135">
        <v>2.0799999999999999E-2</v>
      </c>
      <c r="P1864" s="1135"/>
      <c r="Q1864" s="1135"/>
      <c r="R1864" s="2040"/>
      <c r="S1864" s="1135"/>
      <c r="T1864" s="1135"/>
      <c r="U1864" s="2041"/>
    </row>
    <row r="1865" spans="2:21" s="1045" customFormat="1" hidden="1" outlineLevel="2">
      <c r="B1865" s="1050"/>
      <c r="C1865" s="1050"/>
      <c r="D1865" s="1051">
        <f t="shared" si="155"/>
        <v>81</v>
      </c>
      <c r="E1865" s="1051" t="str">
        <f>IF(COUNTIF(E$1615:E1864,F1865)&gt;0,"",F1865)</f>
        <v/>
      </c>
      <c r="F1865" s="1051" t="str">
        <f t="shared" si="156"/>
        <v>2016 - usage : Transports, France continentale, Base Carbone</v>
      </c>
      <c r="G1865" s="1055" t="str">
        <f t="shared" si="157"/>
        <v>2016 - usage : Transports, France continentale, Base Carbone; kgCO2e/kWh, Amont</v>
      </c>
      <c r="I1865" s="2018" t="s">
        <v>2828</v>
      </c>
      <c r="J1865" s="1135" t="s">
        <v>1681</v>
      </c>
      <c r="K1865" s="1119" t="s">
        <v>1567</v>
      </c>
      <c r="L1865" s="1119" t="s">
        <v>1571</v>
      </c>
      <c r="M1865" s="1134">
        <v>0.3</v>
      </c>
      <c r="N1865" s="1119" t="s">
        <v>1570</v>
      </c>
      <c r="O1865" s="1135">
        <v>9.1000000000000004E-3</v>
      </c>
      <c r="P1865" s="1135"/>
      <c r="Q1865" s="1135"/>
      <c r="R1865" s="2040"/>
      <c r="S1865" s="1135"/>
      <c r="T1865" s="1135"/>
      <c r="U1865" s="2041"/>
    </row>
    <row r="1866" spans="2:21" hidden="1" outlineLevel="2">
      <c r="B1866" s="1050"/>
      <c r="C1866" s="1050"/>
      <c r="D1866" s="1051">
        <f t="shared" si="155"/>
        <v>81</v>
      </c>
      <c r="E1866" s="1051" t="str">
        <f>IF(COUNTIF(E$1615:E1865,F1866)&gt;0,"",F1866)</f>
        <v/>
      </c>
      <c r="F1866" s="1051" t="str">
        <f t="shared" si="156"/>
        <v>2016 - usage : Transports, France continentale, Base Carbone</v>
      </c>
      <c r="G1866" s="1055" t="str">
        <f t="shared" si="157"/>
        <v>2016 - usage : Transports, France continentale, Base Carbone; kgCO2e/kWh, Pertes</v>
      </c>
      <c r="I1866" s="2018" t="s">
        <v>2828</v>
      </c>
      <c r="J1866" s="1135" t="s">
        <v>1681</v>
      </c>
      <c r="K1866" s="1119" t="s">
        <v>1567</v>
      </c>
      <c r="L1866" s="1119" t="s">
        <v>1571</v>
      </c>
      <c r="M1866" s="1134">
        <v>0.3</v>
      </c>
      <c r="N1866" s="1119" t="s">
        <v>1766</v>
      </c>
      <c r="O1866" s="1135">
        <v>4.8999999999999998E-3</v>
      </c>
      <c r="P1866" s="1048"/>
      <c r="Q1866" s="1048"/>
      <c r="R1866" s="1158"/>
      <c r="S1866" s="1048"/>
      <c r="T1866" s="1048"/>
      <c r="U1866" s="1102"/>
    </row>
    <row r="1867" spans="2:21" hidden="1" outlineLevel="2">
      <c r="B1867" s="1050"/>
      <c r="C1867" s="1050"/>
      <c r="D1867" s="1051">
        <f t="shared" si="155"/>
        <v>81</v>
      </c>
      <c r="E1867" s="1051" t="str">
        <f>IF(COUNTIF(E$1615:E1866,F1867)&gt;0,"",F1867)</f>
        <v/>
      </c>
      <c r="F1867" s="1051" t="str">
        <f t="shared" si="156"/>
        <v/>
      </c>
      <c r="G1867" s="1055" t="str">
        <f t="shared" si="157"/>
        <v/>
      </c>
      <c r="I1867" s="2018"/>
      <c r="J1867" s="1135"/>
      <c r="K1867" s="1119"/>
      <c r="L1867" s="1135"/>
      <c r="M1867" s="1134"/>
      <c r="N1867" s="1119"/>
      <c r="O1867" s="1135"/>
      <c r="P1867" s="1048"/>
      <c r="Q1867" s="1048"/>
      <c r="R1867" s="1158"/>
      <c r="S1867" s="1048"/>
      <c r="T1867" s="1048"/>
      <c r="U1867" s="1102"/>
    </row>
    <row r="1868" spans="2:21" hidden="1" outlineLevel="2">
      <c r="B1868" s="1050"/>
      <c r="C1868" s="1050"/>
      <c r="D1868" s="1051">
        <f t="shared" si="155"/>
        <v>82</v>
      </c>
      <c r="E1868" s="1051" t="str">
        <f>IF(COUNTIF(E$1615:E1867,F1868)&gt;0,"",F1868)</f>
        <v>2017 - usage : Autres (BTP. recherche. armée. etc.), France continentale, Base Carbone</v>
      </c>
      <c r="F1868" s="1051" t="str">
        <f t="shared" si="156"/>
        <v>2017 - usage : Autres (BTP. recherche. armée. etc.), France continentale, Base Carbone</v>
      </c>
      <c r="G1868" s="1055" t="str">
        <f t="shared" si="157"/>
        <v>2017 - usage : Autres (BTP. recherche. armée. etc.), France continentale, Base Carbone; kgCO2e/kWh, Combustion à la centrale</v>
      </c>
      <c r="I1868" s="2018" t="s">
        <v>3107</v>
      </c>
      <c r="J1868" s="1135" t="s">
        <v>1681</v>
      </c>
      <c r="K1868" s="1119" t="s">
        <v>1567</v>
      </c>
      <c r="L1868" s="1119" t="s">
        <v>1571</v>
      </c>
      <c r="M1868" s="1134">
        <v>0.3</v>
      </c>
      <c r="N1868" s="1119" t="s">
        <v>1763</v>
      </c>
      <c r="O1868" s="1135">
        <v>2.5399999999999999E-2</v>
      </c>
      <c r="P1868" s="1048"/>
      <c r="Q1868" s="1048"/>
      <c r="R1868" s="1158"/>
      <c r="S1868" s="1048"/>
      <c r="T1868" s="1048"/>
      <c r="U1868" s="1102"/>
    </row>
    <row r="1869" spans="2:21" hidden="1" outlineLevel="2">
      <c r="B1869" s="1050"/>
      <c r="C1869" s="1050"/>
      <c r="D1869" s="1051">
        <f t="shared" si="155"/>
        <v>82</v>
      </c>
      <c r="E1869" s="1051" t="str">
        <f>IF(COUNTIF(E$1615:E1868,F1869)&gt;0,"",F1869)</f>
        <v/>
      </c>
      <c r="F1869" s="1051" t="str">
        <f t="shared" si="156"/>
        <v>2017 - usage : Autres (BTP. recherche. armée. etc.), France continentale, Base Carbone</v>
      </c>
      <c r="G1869" s="1055" t="str">
        <f t="shared" si="157"/>
        <v>2017 - usage : Autres (BTP. recherche. armée. etc.), France continentale, Base Carbone; kgCO2e/kWh, Amont</v>
      </c>
      <c r="I1869" s="2018" t="s">
        <v>3107</v>
      </c>
      <c r="J1869" s="1135" t="s">
        <v>1681</v>
      </c>
      <c r="K1869" s="1119" t="s">
        <v>1567</v>
      </c>
      <c r="L1869" s="1119" t="s">
        <v>1571</v>
      </c>
      <c r="M1869" s="1134">
        <v>0.3</v>
      </c>
      <c r="N1869" s="1119" t="s">
        <v>1570</v>
      </c>
      <c r="O1869" s="1135">
        <v>1.0200000000000001E-2</v>
      </c>
      <c r="P1869" s="1048"/>
      <c r="Q1869" s="1048"/>
      <c r="R1869" s="1158"/>
      <c r="S1869" s="1048"/>
      <c r="T1869" s="1048"/>
      <c r="U1869" s="1102"/>
    </row>
    <row r="1870" spans="2:21" hidden="1" outlineLevel="2">
      <c r="B1870" s="1050"/>
      <c r="C1870" s="1050"/>
      <c r="D1870" s="1051">
        <f t="shared" si="155"/>
        <v>82</v>
      </c>
      <c r="E1870" s="1051" t="str">
        <f>IF(COUNTIF(E$1615:E1869,F1870)&gt;0,"",F1870)</f>
        <v/>
      </c>
      <c r="F1870" s="1051" t="str">
        <f t="shared" si="156"/>
        <v>2017 - usage : Autres (BTP. recherche. armée. etc.), France continentale, Base Carbone</v>
      </c>
      <c r="G1870" s="1055" t="str">
        <f t="shared" si="157"/>
        <v>2017 - usage : Autres (BTP. recherche. armée. etc.), France continentale, Base Carbone; kgCO2e/kWh, Pertes</v>
      </c>
      <c r="I1870" s="2018" t="s">
        <v>3107</v>
      </c>
      <c r="J1870" s="1135" t="s">
        <v>1681</v>
      </c>
      <c r="K1870" s="1119" t="s">
        <v>1567</v>
      </c>
      <c r="L1870" s="1119" t="s">
        <v>1571</v>
      </c>
      <c r="M1870" s="1134">
        <v>0.3</v>
      </c>
      <c r="N1870" s="1119" t="s">
        <v>1766</v>
      </c>
      <c r="O1870" s="1135">
        <v>4.4000000000000003E-3</v>
      </c>
      <c r="P1870" s="1048"/>
      <c r="Q1870" s="1048"/>
      <c r="R1870" s="1158"/>
      <c r="S1870" s="1048"/>
      <c r="T1870" s="1048"/>
      <c r="U1870" s="1102"/>
    </row>
    <row r="1871" spans="2:21" hidden="1" outlineLevel="2">
      <c r="B1871" s="1050"/>
      <c r="C1871" s="1050"/>
      <c r="D1871" s="1051">
        <f t="shared" si="155"/>
        <v>83</v>
      </c>
      <c r="E1871" s="1051" t="str">
        <f>IF(COUNTIF(E$1615:E1870,F1871)&gt;0,"",F1871)</f>
        <v>2017 - usage : chauffage, France continentale, Base Carbone</v>
      </c>
      <c r="F1871" s="1051" t="str">
        <f t="shared" si="156"/>
        <v>2017 - usage : chauffage, France continentale, Base Carbone</v>
      </c>
      <c r="G1871" s="1055" t="str">
        <f t="shared" si="157"/>
        <v>2017 - usage : chauffage, France continentale, Base Carbone; kgCO2e/kWh, Combustion à la centrale</v>
      </c>
      <c r="I1871" s="2018" t="s">
        <v>3109</v>
      </c>
      <c r="J1871" s="1135" t="s">
        <v>1681</v>
      </c>
      <c r="K1871" s="1119" t="s">
        <v>1567</v>
      </c>
      <c r="L1871" s="1119" t="s">
        <v>1571</v>
      </c>
      <c r="M1871" s="1134">
        <v>0.3</v>
      </c>
      <c r="N1871" s="1119" t="s">
        <v>1763</v>
      </c>
      <c r="O1871" s="1135">
        <v>0.127</v>
      </c>
      <c r="P1871" s="1048"/>
      <c r="Q1871" s="1048"/>
      <c r="R1871" s="1158"/>
      <c r="S1871" s="1048"/>
      <c r="T1871" s="1048"/>
      <c r="U1871" s="1102"/>
    </row>
    <row r="1872" spans="2:21" hidden="1" outlineLevel="2">
      <c r="B1872" s="1050"/>
      <c r="C1872" s="1050"/>
      <c r="D1872" s="1051">
        <f t="shared" si="155"/>
        <v>83</v>
      </c>
      <c r="E1872" s="1051" t="str">
        <f>IF(COUNTIF(E$1615:E1871,F1872)&gt;0,"",F1872)</f>
        <v/>
      </c>
      <c r="F1872" s="1051" t="str">
        <f t="shared" si="156"/>
        <v>2017 - usage : chauffage, France continentale, Base Carbone</v>
      </c>
      <c r="G1872" s="1055" t="str">
        <f t="shared" si="157"/>
        <v>2017 - usage : chauffage, France continentale, Base Carbone; kgCO2e/kWh, Amont</v>
      </c>
      <c r="I1872" s="2018" t="s">
        <v>3109</v>
      </c>
      <c r="J1872" s="1135" t="s">
        <v>1681</v>
      </c>
      <c r="K1872" s="1119" t="s">
        <v>1567</v>
      </c>
      <c r="L1872" s="1119" t="s">
        <v>1571</v>
      </c>
      <c r="M1872" s="1134">
        <v>0.3</v>
      </c>
      <c r="N1872" s="1119" t="s">
        <v>1570</v>
      </c>
      <c r="O1872" s="1135">
        <v>2.3099999999999999E-2</v>
      </c>
      <c r="P1872" s="1048"/>
      <c r="Q1872" s="1048"/>
      <c r="R1872" s="1158"/>
      <c r="S1872" s="1048"/>
      <c r="T1872" s="1048"/>
      <c r="U1872" s="1102"/>
    </row>
    <row r="1873" spans="2:21" hidden="1" outlineLevel="2">
      <c r="B1873" s="1050"/>
      <c r="C1873" s="1050"/>
      <c r="D1873" s="1051">
        <f t="shared" ref="D1873:D1936" si="158">D1872+IF(LEN(E1873)=0,0,1)</f>
        <v>83</v>
      </c>
      <c r="E1873" s="1051" t="str">
        <f>IF(COUNTIF(E$1615:E1872,F1873)&gt;0,"",F1873)</f>
        <v/>
      </c>
      <c r="F1873" s="1051" t="str">
        <f t="shared" ref="F1873:F1936" si="159">IF(I1873&lt;&gt;"",I1873&amp;IF(L1873&lt;&gt;"",", "&amp;L1873,"")&amp;IF(K1873&lt;&gt;"",", "&amp;K1873,""),"")</f>
        <v>2017 - usage : chauffage, France continentale, Base Carbone</v>
      </c>
      <c r="G1873" s="1055" t="str">
        <f t="shared" ref="G1873:G1936" si="160">IF(F1873&lt;&gt;"",F1873&amp;IF(J1873&lt;&gt;"","; "&amp;J1873,"")&amp;IF(N1873&lt;&gt;"",", "&amp;N1873,""),"")</f>
        <v>2017 - usage : chauffage, France continentale, Base Carbone; kgCO2e/kWh, Pertes</v>
      </c>
      <c r="I1873" s="2018" t="s">
        <v>3109</v>
      </c>
      <c r="J1873" s="1135" t="s">
        <v>1681</v>
      </c>
      <c r="K1873" s="1119" t="s">
        <v>1567</v>
      </c>
      <c r="L1873" s="1119" t="s">
        <v>1571</v>
      </c>
      <c r="M1873" s="1134">
        <v>0.3</v>
      </c>
      <c r="N1873" s="1119" t="s">
        <v>1766</v>
      </c>
      <c r="O1873" s="1135">
        <v>4.4000000000000003E-3</v>
      </c>
      <c r="P1873" s="1048"/>
      <c r="Q1873" s="1048"/>
      <c r="R1873" s="1158"/>
      <c r="S1873" s="1048"/>
      <c r="T1873" s="1048"/>
      <c r="U1873" s="1102"/>
    </row>
    <row r="1874" spans="2:21" hidden="1" outlineLevel="2">
      <c r="B1874" s="1050"/>
      <c r="C1874" s="1050"/>
      <c r="D1874" s="1051">
        <f t="shared" si="158"/>
        <v>84</v>
      </c>
      <c r="E1874" s="1051" t="str">
        <f>IF(COUNTIF(E$1615:E1873,F1874)&gt;0,"",F1874)</f>
        <v>2017 - usage : Climatisation tertiaire, France continentale, Base Carbone</v>
      </c>
      <c r="F1874" s="1051" t="str">
        <f t="shared" si="159"/>
        <v>2017 - usage : Climatisation tertiaire, France continentale, Base Carbone</v>
      </c>
      <c r="G1874" s="1055" t="str">
        <f t="shared" si="160"/>
        <v>2017 - usage : Climatisation tertiaire, France continentale, Base Carbone; kgCO2e/kWh, Combustion à la centrale</v>
      </c>
      <c r="I1874" s="2018" t="s">
        <v>3110</v>
      </c>
      <c r="J1874" s="1135" t="s">
        <v>1681</v>
      </c>
      <c r="K1874" s="1119" t="s">
        <v>1567</v>
      </c>
      <c r="L1874" s="1119" t="s">
        <v>1571</v>
      </c>
      <c r="M1874" s="1134">
        <v>0.3</v>
      </c>
      <c r="N1874" s="1119" t="s">
        <v>1763</v>
      </c>
      <c r="O1874" s="1135">
        <v>2.1600000000000001E-2</v>
      </c>
      <c r="P1874" s="1048"/>
      <c r="Q1874" s="1048"/>
      <c r="R1874" s="1158"/>
      <c r="S1874" s="1048"/>
      <c r="T1874" s="1048"/>
      <c r="U1874" s="1102"/>
    </row>
    <row r="1875" spans="2:21" hidden="1" outlineLevel="2">
      <c r="B1875" s="1050"/>
      <c r="C1875" s="1050"/>
      <c r="D1875" s="1051">
        <f t="shared" si="158"/>
        <v>84</v>
      </c>
      <c r="E1875" s="1051" t="str">
        <f>IF(COUNTIF(E$1615:E1874,F1875)&gt;0,"",F1875)</f>
        <v/>
      </c>
      <c r="F1875" s="1051" t="str">
        <f t="shared" si="159"/>
        <v>2017 - usage : Climatisation tertiaire, France continentale, Base Carbone</v>
      </c>
      <c r="G1875" s="1055" t="str">
        <f t="shared" si="160"/>
        <v>2017 - usage : Climatisation tertiaire, France continentale, Base Carbone; kgCO2e/kWh, Amont</v>
      </c>
      <c r="I1875" s="2018" t="s">
        <v>3110</v>
      </c>
      <c r="J1875" s="1135" t="s">
        <v>1681</v>
      </c>
      <c r="K1875" s="1119" t="s">
        <v>1567</v>
      </c>
      <c r="L1875" s="1119" t="s">
        <v>1571</v>
      </c>
      <c r="M1875" s="1134">
        <v>0.3</v>
      </c>
      <c r="N1875" s="1119" t="s">
        <v>1570</v>
      </c>
      <c r="O1875" s="1135">
        <v>9.7000000000000003E-3</v>
      </c>
      <c r="P1875" s="1048"/>
      <c r="Q1875" s="1048"/>
      <c r="R1875" s="1158"/>
      <c r="S1875" s="1048"/>
      <c r="T1875" s="1048"/>
      <c r="U1875" s="1102"/>
    </row>
    <row r="1876" spans="2:21" hidden="1" outlineLevel="2">
      <c r="B1876" s="1050"/>
      <c r="C1876" s="1050"/>
      <c r="D1876" s="1051">
        <f t="shared" si="158"/>
        <v>84</v>
      </c>
      <c r="E1876" s="1051" t="str">
        <f>IF(COUNTIF(E$1615:E1875,F1876)&gt;0,"",F1876)</f>
        <v/>
      </c>
      <c r="F1876" s="1051" t="str">
        <f t="shared" si="159"/>
        <v>2017 - usage : Climatisation tertiaire, France continentale, Base Carbone</v>
      </c>
      <c r="G1876" s="1055" t="str">
        <f t="shared" si="160"/>
        <v>2017 - usage : Climatisation tertiaire, France continentale, Base Carbone; kgCO2e/kWh, Pertes</v>
      </c>
      <c r="I1876" s="2018" t="s">
        <v>3110</v>
      </c>
      <c r="J1876" s="1135" t="s">
        <v>1681</v>
      </c>
      <c r="K1876" s="1119" t="s">
        <v>1567</v>
      </c>
      <c r="L1876" s="1119" t="s">
        <v>1571</v>
      </c>
      <c r="M1876" s="1134">
        <v>0.3</v>
      </c>
      <c r="N1876" s="1119" t="s">
        <v>1766</v>
      </c>
      <c r="O1876" s="1135">
        <v>4.4000000000000003E-3</v>
      </c>
      <c r="P1876" s="1048"/>
      <c r="Q1876" s="1048"/>
      <c r="R1876" s="1158"/>
      <c r="S1876" s="1048"/>
      <c r="T1876" s="1048"/>
      <c r="U1876" s="1102"/>
    </row>
    <row r="1877" spans="2:21" hidden="1" outlineLevel="2">
      <c r="B1877" s="1050"/>
      <c r="C1877" s="1050"/>
      <c r="D1877" s="1051">
        <f t="shared" si="158"/>
        <v>85</v>
      </c>
      <c r="E1877" s="1051" t="str">
        <f>IF(COUNTIF(E$1615:E1876,F1877)&gt;0,"",F1877)</f>
        <v>2017 - usage : Cuisson résidentiel, France continentale, Base Carbone</v>
      </c>
      <c r="F1877" s="1051" t="str">
        <f t="shared" si="159"/>
        <v>2017 - usage : Cuisson résidentiel, France continentale, Base Carbone</v>
      </c>
      <c r="G1877" s="1055" t="str">
        <f t="shared" si="160"/>
        <v>2017 - usage : Cuisson résidentiel, France continentale, Base Carbone; kgCO2e/kWh, Combustion à la centrale</v>
      </c>
      <c r="I1877" s="2018" t="s">
        <v>3111</v>
      </c>
      <c r="J1877" s="1135" t="s">
        <v>1681</v>
      </c>
      <c r="K1877" s="1119" t="s">
        <v>1567</v>
      </c>
      <c r="L1877" s="1119" t="s">
        <v>1571</v>
      </c>
      <c r="M1877" s="1134">
        <v>0.3</v>
      </c>
      <c r="N1877" s="1119" t="s">
        <v>1763</v>
      </c>
      <c r="O1877" s="1135">
        <v>3.4000000000000002E-2</v>
      </c>
      <c r="P1877" s="1048"/>
      <c r="Q1877" s="1048"/>
      <c r="R1877" s="1158"/>
      <c r="S1877" s="1048"/>
      <c r="T1877" s="1048"/>
      <c r="U1877" s="1102"/>
    </row>
    <row r="1878" spans="2:21" hidden="1" outlineLevel="2">
      <c r="B1878" s="1050"/>
      <c r="C1878" s="1050"/>
      <c r="D1878" s="1051">
        <f t="shared" si="158"/>
        <v>85</v>
      </c>
      <c r="E1878" s="1051" t="str">
        <f>IF(COUNTIF(E$1615:E1877,F1878)&gt;0,"",F1878)</f>
        <v/>
      </c>
      <c r="F1878" s="1051" t="str">
        <f t="shared" si="159"/>
        <v>2017 - usage : Cuisson résidentiel, France continentale, Base Carbone</v>
      </c>
      <c r="G1878" s="1055" t="str">
        <f t="shared" si="160"/>
        <v>2017 - usage : Cuisson résidentiel, France continentale, Base Carbone; kgCO2e/kWh, Amont</v>
      </c>
      <c r="I1878" s="2018" t="s">
        <v>3111</v>
      </c>
      <c r="J1878" s="1135" t="s">
        <v>1681</v>
      </c>
      <c r="K1878" s="1119" t="s">
        <v>1567</v>
      </c>
      <c r="L1878" s="1119" t="s">
        <v>1571</v>
      </c>
      <c r="M1878" s="1134">
        <v>0.3</v>
      </c>
      <c r="N1878" s="1119" t="s">
        <v>1570</v>
      </c>
      <c r="O1878" s="1135">
        <v>1.12E-2</v>
      </c>
      <c r="P1878" s="1048"/>
      <c r="Q1878" s="1048"/>
      <c r="R1878" s="1158"/>
      <c r="S1878" s="1048"/>
      <c r="T1878" s="1048"/>
      <c r="U1878" s="1102"/>
    </row>
    <row r="1879" spans="2:21" hidden="1" outlineLevel="2">
      <c r="B1879" s="1050"/>
      <c r="C1879" s="1050"/>
      <c r="D1879" s="1051">
        <f t="shared" si="158"/>
        <v>85</v>
      </c>
      <c r="E1879" s="1051" t="str">
        <f>IF(COUNTIF(E$1615:E1878,F1879)&gt;0,"",F1879)</f>
        <v/>
      </c>
      <c r="F1879" s="1051" t="str">
        <f t="shared" si="159"/>
        <v>2017 - usage : Cuisson résidentiel, France continentale, Base Carbone</v>
      </c>
      <c r="G1879" s="1055" t="str">
        <f t="shared" si="160"/>
        <v>2017 - usage : Cuisson résidentiel, France continentale, Base Carbone; kgCO2e/kWh, Pertes</v>
      </c>
      <c r="I1879" s="2018" t="s">
        <v>3111</v>
      </c>
      <c r="J1879" s="1135" t="s">
        <v>1681</v>
      </c>
      <c r="K1879" s="1119" t="s">
        <v>1567</v>
      </c>
      <c r="L1879" s="1119" t="s">
        <v>1571</v>
      </c>
      <c r="M1879" s="1134">
        <v>0.3</v>
      </c>
      <c r="N1879" s="1119" t="s">
        <v>1766</v>
      </c>
      <c r="O1879" s="1135">
        <v>4.4000000000000003E-3</v>
      </c>
      <c r="P1879" s="1048"/>
      <c r="Q1879" s="1048"/>
      <c r="R1879" s="1158"/>
      <c r="S1879" s="1048"/>
      <c r="T1879" s="1048"/>
      <c r="U1879" s="1102"/>
    </row>
    <row r="1880" spans="2:21" hidden="1" outlineLevel="2">
      <c r="B1880" s="1050"/>
      <c r="C1880" s="1050"/>
      <c r="D1880" s="1051">
        <f t="shared" si="158"/>
        <v>86</v>
      </c>
      <c r="E1880" s="1051" t="str">
        <f>IF(COUNTIF(E$1615:E1879,F1880)&gt;0,"",F1880)</f>
        <v>2017 - usage : Eau Chaude Sanitaire, France continentale, Base Carbone</v>
      </c>
      <c r="F1880" s="1051" t="str">
        <f t="shared" si="159"/>
        <v>2017 - usage : Eau Chaude Sanitaire, France continentale, Base Carbone</v>
      </c>
      <c r="G1880" s="1055" t="str">
        <f t="shared" si="160"/>
        <v>2017 - usage : Eau Chaude Sanitaire, France continentale, Base Carbone; kgCO2e/kWh, Combustion à la centrale</v>
      </c>
      <c r="I1880" s="2018" t="s">
        <v>3112</v>
      </c>
      <c r="J1880" s="1135" t="s">
        <v>1681</v>
      </c>
      <c r="K1880" s="1119" t="s">
        <v>1567</v>
      </c>
      <c r="L1880" s="1119" t="s">
        <v>1571</v>
      </c>
      <c r="M1880" s="1134">
        <v>0.3</v>
      </c>
      <c r="N1880" s="1119" t="s">
        <v>1763</v>
      </c>
      <c r="O1880" s="1135">
        <v>3.5400000000000001E-2</v>
      </c>
      <c r="P1880" s="1048"/>
      <c r="Q1880" s="1048"/>
      <c r="R1880" s="1158"/>
      <c r="S1880" s="1048"/>
      <c r="T1880" s="1048"/>
      <c r="U1880" s="1102"/>
    </row>
    <row r="1881" spans="2:21" hidden="1" outlineLevel="2">
      <c r="B1881" s="1050"/>
      <c r="C1881" s="1050"/>
      <c r="D1881" s="1051">
        <f t="shared" si="158"/>
        <v>86</v>
      </c>
      <c r="E1881" s="1051" t="str">
        <f>IF(COUNTIF(E$1615:E1880,F1881)&gt;0,"",F1881)</f>
        <v/>
      </c>
      <c r="F1881" s="1051" t="str">
        <f t="shared" si="159"/>
        <v>2017 - usage : Eau Chaude Sanitaire, France continentale, Base Carbone</v>
      </c>
      <c r="G1881" s="1055" t="str">
        <f t="shared" si="160"/>
        <v>2017 - usage : Eau Chaude Sanitaire, France continentale, Base Carbone; kgCO2e/kWh, Amont</v>
      </c>
      <c r="I1881" s="2018" t="s">
        <v>3112</v>
      </c>
      <c r="J1881" s="1135" t="s">
        <v>1681</v>
      </c>
      <c r="K1881" s="1119" t="s">
        <v>1567</v>
      </c>
      <c r="L1881" s="1119" t="s">
        <v>1571</v>
      </c>
      <c r="M1881" s="1134">
        <v>0.3</v>
      </c>
      <c r="N1881" s="1119" t="s">
        <v>1570</v>
      </c>
      <c r="O1881" s="1135">
        <v>1.15E-2</v>
      </c>
      <c r="P1881" s="1048"/>
      <c r="Q1881" s="1048"/>
      <c r="R1881" s="1158"/>
      <c r="S1881" s="1048"/>
      <c r="T1881" s="1048"/>
      <c r="U1881" s="1102"/>
    </row>
    <row r="1882" spans="2:21" hidden="1" outlineLevel="2">
      <c r="B1882" s="1050"/>
      <c r="C1882" s="1050"/>
      <c r="D1882" s="1051">
        <f t="shared" si="158"/>
        <v>86</v>
      </c>
      <c r="E1882" s="1051" t="str">
        <f>IF(COUNTIF(E$1615:E1881,F1882)&gt;0,"",F1882)</f>
        <v/>
      </c>
      <c r="F1882" s="1051" t="str">
        <f t="shared" si="159"/>
        <v>2017 - usage : Eau Chaude Sanitaire, France continentale, Base Carbone</v>
      </c>
      <c r="G1882" s="1055" t="str">
        <f t="shared" si="160"/>
        <v>2017 - usage : Eau Chaude Sanitaire, France continentale, Base Carbone; kgCO2e/kWh, Pertes</v>
      </c>
      <c r="I1882" s="2018" t="s">
        <v>3112</v>
      </c>
      <c r="J1882" s="1135" t="s">
        <v>1681</v>
      </c>
      <c r="K1882" s="1119" t="s">
        <v>1567</v>
      </c>
      <c r="L1882" s="1119" t="s">
        <v>1571</v>
      </c>
      <c r="M1882" s="1134">
        <v>0.3</v>
      </c>
      <c r="N1882" s="1119" t="s">
        <v>1766</v>
      </c>
      <c r="O1882" s="1135">
        <v>4.4000000000000003E-3</v>
      </c>
      <c r="P1882" s="1048"/>
      <c r="Q1882" s="1048"/>
      <c r="R1882" s="1158"/>
      <c r="S1882" s="1048"/>
      <c r="T1882" s="1048"/>
      <c r="U1882" s="1102"/>
    </row>
    <row r="1883" spans="2:21" hidden="1" outlineLevel="2">
      <c r="B1883" s="1050"/>
      <c r="C1883" s="1050"/>
      <c r="D1883" s="1051">
        <f t="shared" si="158"/>
        <v>87</v>
      </c>
      <c r="E1883" s="1051" t="str">
        <f>IF(COUNTIF(E$1615:E1882,F1883)&gt;0,"",F1883)</f>
        <v>2017 - usage : Eclairage public, France continentale, Base Carbone</v>
      </c>
      <c r="F1883" s="1051" t="str">
        <f t="shared" si="159"/>
        <v>2017 - usage : Eclairage public, France continentale, Base Carbone</v>
      </c>
      <c r="G1883" s="1055" t="str">
        <f t="shared" si="160"/>
        <v>2017 - usage : Eclairage public, France continentale, Base Carbone; kgCO2e/kWh, Combustion à la centrale</v>
      </c>
      <c r="I1883" s="2018" t="s">
        <v>3113</v>
      </c>
      <c r="J1883" s="1135" t="s">
        <v>1681</v>
      </c>
      <c r="K1883" s="1119" t="s">
        <v>1567</v>
      </c>
      <c r="L1883" s="1119" t="s">
        <v>1571</v>
      </c>
      <c r="M1883" s="1134">
        <v>0.3</v>
      </c>
      <c r="N1883" s="1119" t="s">
        <v>1763</v>
      </c>
      <c r="O1883" s="1135">
        <v>4.7E-2</v>
      </c>
      <c r="P1883" s="1048"/>
      <c r="Q1883" s="1048"/>
      <c r="R1883" s="1158"/>
      <c r="S1883" s="1048"/>
      <c r="T1883" s="1048"/>
      <c r="U1883" s="1102"/>
    </row>
    <row r="1884" spans="2:21" hidden="1" outlineLevel="2">
      <c r="B1884" s="1050"/>
      <c r="C1884" s="1050"/>
      <c r="D1884" s="1051">
        <f t="shared" si="158"/>
        <v>87</v>
      </c>
      <c r="E1884" s="1051" t="str">
        <f>IF(COUNTIF(E$1615:E1883,F1884)&gt;0,"",F1884)</f>
        <v/>
      </c>
      <c r="F1884" s="1051" t="str">
        <f t="shared" si="159"/>
        <v>2017 - usage : Eclairage public, France continentale, Base Carbone</v>
      </c>
      <c r="G1884" s="1055" t="str">
        <f t="shared" si="160"/>
        <v>2017 - usage : Eclairage public, France continentale, Base Carbone; kgCO2e/kWh, Amont</v>
      </c>
      <c r="I1884" s="2018" t="s">
        <v>3113</v>
      </c>
      <c r="J1884" s="1135" t="s">
        <v>1681</v>
      </c>
      <c r="K1884" s="1119" t="s">
        <v>1567</v>
      </c>
      <c r="L1884" s="1119" t="s">
        <v>1571</v>
      </c>
      <c r="M1884" s="1134">
        <v>0.3</v>
      </c>
      <c r="N1884" s="1119" t="s">
        <v>1570</v>
      </c>
      <c r="O1884" s="1135">
        <v>1.2800000000000001E-2</v>
      </c>
      <c r="P1884" s="1048"/>
      <c r="Q1884" s="1048"/>
      <c r="R1884" s="1158"/>
      <c r="S1884" s="1048"/>
      <c r="T1884" s="1048"/>
      <c r="U1884" s="1102"/>
    </row>
    <row r="1885" spans="2:21" hidden="1" outlineLevel="2">
      <c r="B1885" s="1050"/>
      <c r="C1885" s="1050"/>
      <c r="D1885" s="1051">
        <f t="shared" si="158"/>
        <v>87</v>
      </c>
      <c r="E1885" s="1051" t="str">
        <f>IF(COUNTIF(E$1615:E1884,F1885)&gt;0,"",F1885)</f>
        <v/>
      </c>
      <c r="F1885" s="1051" t="str">
        <f t="shared" si="159"/>
        <v>2017 - usage : Eclairage public, France continentale, Base Carbone</v>
      </c>
      <c r="G1885" s="1055" t="str">
        <f t="shared" si="160"/>
        <v>2017 - usage : Eclairage public, France continentale, Base Carbone; kgCO2e/kWh, Pertes</v>
      </c>
      <c r="I1885" s="2018" t="s">
        <v>3113</v>
      </c>
      <c r="J1885" s="1135" t="s">
        <v>1681</v>
      </c>
      <c r="K1885" s="1119" t="s">
        <v>1567</v>
      </c>
      <c r="L1885" s="1119" t="s">
        <v>1571</v>
      </c>
      <c r="M1885" s="1134">
        <v>0.3</v>
      </c>
      <c r="N1885" s="1119" t="s">
        <v>1766</v>
      </c>
      <c r="O1885" s="1135">
        <v>4.4000000000000003E-3</v>
      </c>
      <c r="P1885" s="1048"/>
      <c r="Q1885" s="1048"/>
      <c r="R1885" s="1158"/>
      <c r="S1885" s="1048"/>
      <c r="T1885" s="1048"/>
      <c r="U1885" s="1102"/>
    </row>
    <row r="1886" spans="2:21" hidden="1" outlineLevel="2">
      <c r="B1886" s="1050"/>
      <c r="C1886" s="1050"/>
      <c r="D1886" s="1051">
        <f t="shared" si="158"/>
        <v>88</v>
      </c>
      <c r="E1886" s="1051" t="str">
        <f>IF(COUNTIF(E$1615:E1885,F1886)&gt;0,"",F1886)</f>
        <v>2017 - usage : Eclairage résidentiel, France continentale, Base Carbone</v>
      </c>
      <c r="F1886" s="1051" t="str">
        <f t="shared" si="159"/>
        <v>2017 - usage : Eclairage résidentiel, France continentale, Base Carbone</v>
      </c>
      <c r="G1886" s="1055" t="str">
        <f t="shared" si="160"/>
        <v>2017 - usage : Eclairage résidentiel, France continentale, Base Carbone; kgCO2e/kWh, Combustion à la centrale</v>
      </c>
      <c r="I1886" s="2018" t="s">
        <v>3114</v>
      </c>
      <c r="J1886" s="1135" t="s">
        <v>1681</v>
      </c>
      <c r="K1886" s="1119" t="s">
        <v>1567</v>
      </c>
      <c r="L1886" s="1119" t="s">
        <v>1571</v>
      </c>
      <c r="M1886" s="1134">
        <v>0.3</v>
      </c>
      <c r="N1886" s="1119" t="s">
        <v>1763</v>
      </c>
      <c r="O1886" s="1135">
        <v>6.3100000000000003E-2</v>
      </c>
      <c r="P1886" s="1048"/>
      <c r="Q1886" s="1048"/>
      <c r="R1886" s="1158"/>
      <c r="S1886" s="1048"/>
      <c r="T1886" s="1048"/>
      <c r="U1886" s="1102"/>
    </row>
    <row r="1887" spans="2:21" hidden="1" outlineLevel="2">
      <c r="B1887" s="1050"/>
      <c r="C1887" s="1050"/>
      <c r="D1887" s="1051">
        <f t="shared" si="158"/>
        <v>88</v>
      </c>
      <c r="E1887" s="1051" t="str">
        <f>IF(COUNTIF(E$1615:E1886,F1887)&gt;0,"",F1887)</f>
        <v/>
      </c>
      <c r="F1887" s="1051" t="str">
        <f t="shared" si="159"/>
        <v>2017 - usage : Eclairage résidentiel, France continentale, Base Carbone</v>
      </c>
      <c r="G1887" s="1055" t="str">
        <f t="shared" si="160"/>
        <v>2017 - usage : Eclairage résidentiel, France continentale, Base Carbone; kgCO2e/kWh, Amont</v>
      </c>
      <c r="I1887" s="2018" t="s">
        <v>3114</v>
      </c>
      <c r="J1887" s="1135" t="s">
        <v>1681</v>
      </c>
      <c r="K1887" s="1119" t="s">
        <v>1567</v>
      </c>
      <c r="L1887" s="1119" t="s">
        <v>1571</v>
      </c>
      <c r="M1887" s="1134">
        <v>0.3</v>
      </c>
      <c r="N1887" s="1119" t="s">
        <v>1570</v>
      </c>
      <c r="O1887" s="1135">
        <v>1.4999999999999999E-2</v>
      </c>
      <c r="P1887" s="1048"/>
      <c r="Q1887" s="1048"/>
      <c r="R1887" s="1158"/>
      <c r="S1887" s="1048"/>
      <c r="T1887" s="1048"/>
      <c r="U1887" s="1102"/>
    </row>
    <row r="1888" spans="2:21" hidden="1" outlineLevel="2">
      <c r="B1888" s="1050"/>
      <c r="C1888" s="1050"/>
      <c r="D1888" s="1051">
        <f t="shared" si="158"/>
        <v>88</v>
      </c>
      <c r="E1888" s="1051" t="str">
        <f>IF(COUNTIF(E$1615:E1887,F1888)&gt;0,"",F1888)</f>
        <v/>
      </c>
      <c r="F1888" s="1051" t="str">
        <f t="shared" si="159"/>
        <v>2017 - usage : Eclairage résidentiel, France continentale, Base Carbone</v>
      </c>
      <c r="G1888" s="1055" t="str">
        <f t="shared" si="160"/>
        <v>2017 - usage : Eclairage résidentiel, France continentale, Base Carbone; kgCO2e/kWh, Pertes</v>
      </c>
      <c r="I1888" s="2018" t="s">
        <v>3114</v>
      </c>
      <c r="J1888" s="1135" t="s">
        <v>1681</v>
      </c>
      <c r="K1888" s="1119" t="s">
        <v>1567</v>
      </c>
      <c r="L1888" s="1119" t="s">
        <v>1571</v>
      </c>
      <c r="M1888" s="1134">
        <v>0.3</v>
      </c>
      <c r="N1888" s="1119" t="s">
        <v>1766</v>
      </c>
      <c r="O1888" s="1135">
        <v>4.4000000000000003E-3</v>
      </c>
      <c r="P1888" s="1048"/>
      <c r="Q1888" s="1048"/>
      <c r="R1888" s="1158"/>
      <c r="S1888" s="1048"/>
      <c r="T1888" s="1048"/>
      <c r="U1888" s="1102"/>
    </row>
    <row r="1889" spans="2:21" hidden="1" outlineLevel="2">
      <c r="B1889" s="1050"/>
      <c r="C1889" s="1050"/>
      <c r="D1889" s="1051">
        <f t="shared" si="158"/>
        <v>89</v>
      </c>
      <c r="E1889" s="1051" t="str">
        <f>IF(COUNTIF(E$1615:E1888,F1889)&gt;0,"",F1889)</f>
        <v>2017 - usage : Industrie base, France continentale, Base Carbone</v>
      </c>
      <c r="F1889" s="1051" t="str">
        <f t="shared" si="159"/>
        <v>2017 - usage : Industrie base, France continentale, Base Carbone</v>
      </c>
      <c r="G1889" s="1055" t="str">
        <f t="shared" si="160"/>
        <v>2017 - usage : Industrie base, France continentale, Base Carbone; kgCO2e/kWh, Combustion à la centrale</v>
      </c>
      <c r="I1889" s="2018" t="s">
        <v>3106</v>
      </c>
      <c r="J1889" s="1135" t="s">
        <v>1681</v>
      </c>
      <c r="K1889" s="1119" t="s">
        <v>1567</v>
      </c>
      <c r="L1889" s="1119" t="s">
        <v>1571</v>
      </c>
      <c r="M1889" s="1134">
        <v>0.3</v>
      </c>
      <c r="N1889" s="1119" t="s">
        <v>1763</v>
      </c>
      <c r="O1889" s="1135">
        <v>2.23E-2</v>
      </c>
      <c r="P1889" s="1048"/>
      <c r="Q1889" s="1048"/>
      <c r="R1889" s="1158"/>
      <c r="S1889" s="1048"/>
      <c r="T1889" s="1048"/>
      <c r="U1889" s="1102"/>
    </row>
    <row r="1890" spans="2:21" hidden="1" outlineLevel="2">
      <c r="B1890" s="1050"/>
      <c r="C1890" s="1050"/>
      <c r="D1890" s="1051">
        <f t="shared" si="158"/>
        <v>89</v>
      </c>
      <c r="E1890" s="1051" t="str">
        <f>IF(COUNTIF(E$1615:E1889,F1890)&gt;0,"",F1890)</f>
        <v/>
      </c>
      <c r="F1890" s="1051" t="str">
        <f t="shared" si="159"/>
        <v>2017 - usage : Industrie base, France continentale, Base Carbone</v>
      </c>
      <c r="G1890" s="1055" t="str">
        <f t="shared" si="160"/>
        <v>2017 - usage : Industrie base, France continentale, Base Carbone; kgCO2e/kWh, Amont</v>
      </c>
      <c r="I1890" s="2018" t="s">
        <v>3106</v>
      </c>
      <c r="J1890" s="1135" t="s">
        <v>1681</v>
      </c>
      <c r="K1890" s="1119" t="s">
        <v>1567</v>
      </c>
      <c r="L1890" s="1119" t="s">
        <v>1571</v>
      </c>
      <c r="M1890" s="1134">
        <v>0.3</v>
      </c>
      <c r="N1890" s="1119" t="s">
        <v>1570</v>
      </c>
      <c r="O1890" s="1135">
        <v>9.7999999999999997E-3</v>
      </c>
      <c r="P1890" s="1048"/>
      <c r="Q1890" s="1048"/>
      <c r="R1890" s="1158"/>
      <c r="S1890" s="1048"/>
      <c r="T1890" s="1048"/>
      <c r="U1890" s="1102"/>
    </row>
    <row r="1891" spans="2:21" hidden="1" outlineLevel="2">
      <c r="B1891" s="1050"/>
      <c r="C1891" s="1050"/>
      <c r="D1891" s="1051">
        <f t="shared" si="158"/>
        <v>89</v>
      </c>
      <c r="E1891" s="1051" t="str">
        <f>IF(COUNTIF(E$1615:E1890,F1891)&gt;0,"",F1891)</f>
        <v/>
      </c>
      <c r="F1891" s="1051" t="str">
        <f t="shared" si="159"/>
        <v>2017 - usage : Industrie base, France continentale, Base Carbone</v>
      </c>
      <c r="G1891" s="1055" t="str">
        <f t="shared" si="160"/>
        <v>2017 - usage : Industrie base, France continentale, Base Carbone; kgCO2e/kWh, Pertes</v>
      </c>
      <c r="I1891" s="2018" t="s">
        <v>3106</v>
      </c>
      <c r="J1891" s="1135" t="s">
        <v>1681</v>
      </c>
      <c r="K1891" s="1119" t="s">
        <v>1567</v>
      </c>
      <c r="L1891" s="1119" t="s">
        <v>1571</v>
      </c>
      <c r="M1891" s="1134">
        <v>0.3</v>
      </c>
      <c r="N1891" s="1119" t="s">
        <v>1766</v>
      </c>
      <c r="O1891" s="1135">
        <v>4.4000000000000003E-3</v>
      </c>
      <c r="P1891" s="1048"/>
      <c r="Q1891" s="1048"/>
      <c r="R1891" s="1158"/>
      <c r="S1891" s="1048"/>
      <c r="T1891" s="1048"/>
      <c r="U1891" s="1102"/>
    </row>
    <row r="1892" spans="2:21" hidden="1" outlineLevel="2">
      <c r="B1892" s="1050"/>
      <c r="C1892" s="1050"/>
      <c r="D1892" s="1051">
        <f t="shared" si="158"/>
        <v>90</v>
      </c>
      <c r="E1892" s="1051" t="str">
        <f>IF(COUNTIF(E$1615:E1891,F1892)&gt;0,"",F1892)</f>
        <v>2017 - usage : Transports, France continentale, Base Carbone</v>
      </c>
      <c r="F1892" s="1051" t="str">
        <f t="shared" si="159"/>
        <v>2017 - usage : Transports, France continentale, Base Carbone</v>
      </c>
      <c r="G1892" s="1055" t="str">
        <f t="shared" si="160"/>
        <v>2017 - usage : Transports, France continentale, Base Carbone; kgCO2e/kWh, Combustion à la centrale</v>
      </c>
      <c r="I1892" s="2018" t="s">
        <v>3115</v>
      </c>
      <c r="J1892" s="1135" t="s">
        <v>1681</v>
      </c>
      <c r="K1892" s="1119" t="s">
        <v>1567</v>
      </c>
      <c r="L1892" s="1119" t="s">
        <v>1571</v>
      </c>
      <c r="M1892" s="1134">
        <v>0.3</v>
      </c>
      <c r="N1892" s="1119" t="s">
        <v>1763</v>
      </c>
      <c r="O1892" s="1135">
        <v>2.06E-2</v>
      </c>
      <c r="P1892" s="1048"/>
      <c r="Q1892" s="1048"/>
      <c r="R1892" s="1158"/>
      <c r="S1892" s="1048"/>
      <c r="T1892" s="1048"/>
      <c r="U1892" s="1102"/>
    </row>
    <row r="1893" spans="2:21" hidden="1" outlineLevel="2">
      <c r="B1893" s="1050"/>
      <c r="C1893" s="1050"/>
      <c r="D1893" s="1051">
        <f t="shared" si="158"/>
        <v>90</v>
      </c>
      <c r="E1893" s="1051" t="str">
        <f>IF(COUNTIF(E$1615:E1892,F1893)&gt;0,"",F1893)</f>
        <v/>
      </c>
      <c r="F1893" s="1051" t="str">
        <f t="shared" si="159"/>
        <v>2017 - usage : Transports, France continentale, Base Carbone</v>
      </c>
      <c r="G1893" s="1055" t="str">
        <f t="shared" si="160"/>
        <v>2017 - usage : Transports, France continentale, Base Carbone; kgCO2e/kWh, Amont</v>
      </c>
      <c r="I1893" s="2018" t="s">
        <v>3115</v>
      </c>
      <c r="J1893" s="1135" t="s">
        <v>1681</v>
      </c>
      <c r="K1893" s="1119" t="s">
        <v>1567</v>
      </c>
      <c r="L1893" s="1119" t="s">
        <v>1571</v>
      </c>
      <c r="M1893" s="1134">
        <v>0.3</v>
      </c>
      <c r="N1893" s="1119" t="s">
        <v>1570</v>
      </c>
      <c r="O1893" s="1135">
        <v>9.5999999999999992E-3</v>
      </c>
      <c r="P1893" s="1048"/>
      <c r="Q1893" s="1048"/>
      <c r="R1893" s="1158"/>
      <c r="S1893" s="1048"/>
      <c r="T1893" s="1048"/>
      <c r="U1893" s="1102"/>
    </row>
    <row r="1894" spans="2:21" hidden="1" outlineLevel="2">
      <c r="B1894" s="1050"/>
      <c r="C1894" s="1050"/>
      <c r="D1894" s="1051">
        <f t="shared" si="158"/>
        <v>90</v>
      </c>
      <c r="E1894" s="1051" t="str">
        <f>IF(COUNTIF(E$1615:E1893,F1894)&gt;0,"",F1894)</f>
        <v/>
      </c>
      <c r="F1894" s="1051" t="str">
        <f t="shared" si="159"/>
        <v>2017 - usage : Transports, France continentale, Base Carbone</v>
      </c>
      <c r="G1894" s="1055" t="str">
        <f t="shared" si="160"/>
        <v>2017 - usage : Transports, France continentale, Base Carbone; kgCO2e/kWh, Pertes</v>
      </c>
      <c r="I1894" s="2018" t="s">
        <v>3115</v>
      </c>
      <c r="J1894" s="1135" t="s">
        <v>1681</v>
      </c>
      <c r="K1894" s="1119" t="s">
        <v>1567</v>
      </c>
      <c r="L1894" s="1119" t="s">
        <v>1571</v>
      </c>
      <c r="M1894" s="1134">
        <v>0.3</v>
      </c>
      <c r="N1894" s="1119" t="s">
        <v>1766</v>
      </c>
      <c r="O1894" s="1135">
        <v>4.4000000000000003E-3</v>
      </c>
      <c r="P1894" s="1048"/>
      <c r="Q1894" s="1048"/>
      <c r="R1894" s="1158"/>
      <c r="S1894" s="1048"/>
      <c r="T1894" s="1048"/>
      <c r="U1894" s="1102"/>
    </row>
    <row r="1895" spans="2:21" hidden="1" outlineLevel="2">
      <c r="B1895" s="1050"/>
      <c r="C1895" s="1050"/>
      <c r="D1895" s="1051">
        <f t="shared" si="158"/>
        <v>90</v>
      </c>
      <c r="E1895" s="1051" t="str">
        <f>IF(COUNTIF(E$1615:E1894,F1895)&gt;0,"",F1895)</f>
        <v/>
      </c>
      <c r="F1895" s="1051" t="str">
        <f t="shared" si="159"/>
        <v/>
      </c>
      <c r="G1895" s="1055" t="str">
        <f t="shared" si="160"/>
        <v/>
      </c>
      <c r="I1895" s="2018"/>
      <c r="J1895" s="1135"/>
      <c r="K1895" s="1119"/>
      <c r="L1895" s="1135"/>
      <c r="M1895" s="1134"/>
      <c r="N1895" s="1119"/>
      <c r="O1895" s="1135"/>
      <c r="P1895" s="1048"/>
      <c r="Q1895" s="1048"/>
      <c r="R1895" s="1158"/>
      <c r="S1895" s="1048"/>
      <c r="T1895" s="1048"/>
      <c r="U1895" s="1102"/>
    </row>
    <row r="1896" spans="2:21" hidden="1" outlineLevel="2">
      <c r="B1896" s="1050"/>
      <c r="C1896" s="1050"/>
      <c r="D1896" s="1051">
        <f t="shared" si="158"/>
        <v>91</v>
      </c>
      <c r="E1896" s="1051" t="str">
        <f>IF(COUNTIF(E$1615:E1895,F1896)&gt;0,"",F1896)</f>
        <v>2018 - usage : Autres (BTP. recherche. armée. etc.), France continentale, Base Carbone</v>
      </c>
      <c r="F1896" s="1051" t="str">
        <f t="shared" si="159"/>
        <v>2018 - usage : Autres (BTP. recherche. armée. etc.), France continentale, Base Carbone</v>
      </c>
      <c r="G1896" s="1055" t="str">
        <f t="shared" si="160"/>
        <v>2018 - usage : Autres (BTP. recherche. armée. etc.), France continentale, Base Carbone; kgCO2e/kWh, Combustion à la centrale</v>
      </c>
      <c r="I1896" s="2018" t="s">
        <v>3108</v>
      </c>
      <c r="J1896" s="1135" t="s">
        <v>1681</v>
      </c>
      <c r="K1896" s="1119" t="s">
        <v>1567</v>
      </c>
      <c r="L1896" s="1119" t="s">
        <v>1571</v>
      </c>
      <c r="M1896" s="1134">
        <v>0.3</v>
      </c>
      <c r="N1896" s="1119" t="s">
        <v>1763</v>
      </c>
      <c r="O1896" s="1135">
        <v>2.9899999999999999E-2</v>
      </c>
      <c r="P1896" s="1048"/>
      <c r="Q1896" s="1048"/>
      <c r="R1896" s="1158"/>
      <c r="S1896" s="1048"/>
      <c r="T1896" s="1048"/>
      <c r="U1896" s="1102"/>
    </row>
    <row r="1897" spans="2:21" hidden="1" outlineLevel="2">
      <c r="B1897" s="1050"/>
      <c r="C1897" s="1050"/>
      <c r="D1897" s="1051">
        <f t="shared" si="158"/>
        <v>91</v>
      </c>
      <c r="E1897" s="1051" t="str">
        <f>IF(COUNTIF(E$1615:E1896,F1897)&gt;0,"",F1897)</f>
        <v/>
      </c>
      <c r="F1897" s="1051" t="str">
        <f t="shared" si="159"/>
        <v>2018 - usage : Autres (BTP. recherche. armée. etc.), France continentale, Base Carbone</v>
      </c>
      <c r="G1897" s="1055" t="str">
        <f t="shared" si="160"/>
        <v>2018 - usage : Autres (BTP. recherche. armée. etc.), France continentale, Base Carbone; kgCO2e/kWh, Amont</v>
      </c>
      <c r="I1897" s="2018" t="s">
        <v>3108</v>
      </c>
      <c r="J1897" s="1135" t="s">
        <v>1681</v>
      </c>
      <c r="K1897" s="1119" t="s">
        <v>1567</v>
      </c>
      <c r="L1897" s="1119" t="s">
        <v>1571</v>
      </c>
      <c r="M1897" s="1134">
        <v>0.3</v>
      </c>
      <c r="N1897" s="1119" t="s">
        <v>1570</v>
      </c>
      <c r="O1897" s="1135">
        <v>1.1299999999999999E-2</v>
      </c>
      <c r="P1897" s="1048"/>
      <c r="Q1897" s="1048"/>
      <c r="R1897" s="1158"/>
      <c r="S1897" s="1048"/>
      <c r="T1897" s="1048"/>
      <c r="U1897" s="1102"/>
    </row>
    <row r="1898" spans="2:21" hidden="1" outlineLevel="2">
      <c r="B1898" s="1050"/>
      <c r="C1898" s="1050"/>
      <c r="D1898" s="1051">
        <f t="shared" si="158"/>
        <v>91</v>
      </c>
      <c r="E1898" s="1051" t="str">
        <f>IF(COUNTIF(E$1615:E1897,F1898)&gt;0,"",F1898)</f>
        <v/>
      </c>
      <c r="F1898" s="1051" t="str">
        <f t="shared" si="159"/>
        <v>2018 - usage : Autres (BTP. recherche. armée. etc.), France continentale, Base Carbone</v>
      </c>
      <c r="G1898" s="1055" t="str">
        <f t="shared" si="160"/>
        <v>2018 - usage : Autres (BTP. recherche. armée. etc.), France continentale, Base Carbone; kgCO2e/kWh, Pertes</v>
      </c>
      <c r="I1898" s="2018" t="s">
        <v>3108</v>
      </c>
      <c r="J1898" s="1135" t="s">
        <v>1681</v>
      </c>
      <c r="K1898" s="1119" t="s">
        <v>1567</v>
      </c>
      <c r="L1898" s="1119" t="s">
        <v>1571</v>
      </c>
      <c r="M1898" s="1134">
        <v>0.3</v>
      </c>
      <c r="N1898" s="1119" t="s">
        <v>1766</v>
      </c>
      <c r="O1898" s="1135">
        <v>4.4000000000000003E-3</v>
      </c>
      <c r="P1898" s="1048"/>
      <c r="Q1898" s="1048"/>
      <c r="R1898" s="1158"/>
      <c r="S1898" s="1048"/>
      <c r="T1898" s="1048"/>
      <c r="U1898" s="1102"/>
    </row>
    <row r="1899" spans="2:21" hidden="1" outlineLevel="2">
      <c r="B1899" s="1050"/>
      <c r="C1899" s="1050"/>
      <c r="D1899" s="1051">
        <f t="shared" si="158"/>
        <v>92</v>
      </c>
      <c r="E1899" s="1051" t="str">
        <f>IF(COUNTIF(E$1615:E1898,F1899)&gt;0,"",F1899)</f>
        <v>2018 - usage : chauffage, France continentale, Base Carbone</v>
      </c>
      <c r="F1899" s="1051" t="str">
        <f t="shared" si="159"/>
        <v>2018 - usage : chauffage, France continentale, Base Carbone</v>
      </c>
      <c r="G1899" s="1055" t="str">
        <f t="shared" si="160"/>
        <v>2018 - usage : chauffage, France continentale, Base Carbone; kgCO2e/kWh, Combustion à la centrale</v>
      </c>
      <c r="I1899" s="2018" t="s">
        <v>3116</v>
      </c>
      <c r="J1899" s="1135" t="s">
        <v>1681</v>
      </c>
      <c r="K1899" s="1119" t="s">
        <v>1567</v>
      </c>
      <c r="L1899" s="1119" t="s">
        <v>1571</v>
      </c>
      <c r="M1899" s="1134">
        <v>0.3</v>
      </c>
      <c r="N1899" s="1119" t="s">
        <v>1763</v>
      </c>
      <c r="O1899" s="1135">
        <v>0.11899999999999999</v>
      </c>
      <c r="P1899" s="1048"/>
      <c r="Q1899" s="1048"/>
      <c r="R1899" s="1158"/>
      <c r="S1899" s="1048"/>
      <c r="T1899" s="1048"/>
      <c r="U1899" s="1102"/>
    </row>
    <row r="1900" spans="2:21" hidden="1" outlineLevel="2">
      <c r="B1900" s="1050"/>
      <c r="C1900" s="1050"/>
      <c r="D1900" s="1051">
        <f t="shared" si="158"/>
        <v>92</v>
      </c>
      <c r="E1900" s="1051" t="str">
        <f>IF(COUNTIF(E$1615:E1899,F1900)&gt;0,"",F1900)</f>
        <v/>
      </c>
      <c r="F1900" s="1051" t="str">
        <f t="shared" si="159"/>
        <v>2018 - usage : chauffage, France continentale, Base Carbone</v>
      </c>
      <c r="G1900" s="1055" t="str">
        <f t="shared" si="160"/>
        <v>2018 - usage : chauffage, France continentale, Base Carbone; kgCO2e/kWh, Amont</v>
      </c>
      <c r="I1900" s="2018" t="s">
        <v>3116</v>
      </c>
      <c r="J1900" s="1135" t="s">
        <v>1681</v>
      </c>
      <c r="K1900" s="1119" t="s">
        <v>1567</v>
      </c>
      <c r="L1900" s="1119" t="s">
        <v>1571</v>
      </c>
      <c r="M1900" s="1134">
        <v>0.3</v>
      </c>
      <c r="N1900" s="1119" t="s">
        <v>1570</v>
      </c>
      <c r="O1900" s="1135">
        <v>2.3699999999999999E-2</v>
      </c>
      <c r="P1900" s="1048"/>
      <c r="Q1900" s="1048"/>
      <c r="R1900" s="1158"/>
      <c r="S1900" s="1048"/>
      <c r="T1900" s="1048"/>
      <c r="U1900" s="1102"/>
    </row>
    <row r="1901" spans="2:21" hidden="1" outlineLevel="2">
      <c r="B1901" s="1050"/>
      <c r="C1901" s="1050"/>
      <c r="D1901" s="1051">
        <f t="shared" si="158"/>
        <v>92</v>
      </c>
      <c r="E1901" s="1051" t="str">
        <f>IF(COUNTIF(E$1615:E1900,F1901)&gt;0,"",F1901)</f>
        <v/>
      </c>
      <c r="F1901" s="1051" t="str">
        <f t="shared" si="159"/>
        <v>2018 - usage : chauffage, France continentale, Base Carbone</v>
      </c>
      <c r="G1901" s="1055" t="str">
        <f t="shared" si="160"/>
        <v>2018 - usage : chauffage, France continentale, Base Carbone; kgCO2e/kWh, Pertes</v>
      </c>
      <c r="I1901" s="2018" t="s">
        <v>3116</v>
      </c>
      <c r="J1901" s="1135" t="s">
        <v>1681</v>
      </c>
      <c r="K1901" s="1119" t="s">
        <v>1567</v>
      </c>
      <c r="L1901" s="1119" t="s">
        <v>1571</v>
      </c>
      <c r="M1901" s="1134">
        <v>0.3</v>
      </c>
      <c r="N1901" s="1119" t="s">
        <v>1766</v>
      </c>
      <c r="O1901" s="1135">
        <v>4.4000000000000003E-3</v>
      </c>
      <c r="P1901" s="1048"/>
      <c r="Q1901" s="1048"/>
      <c r="R1901" s="1158"/>
      <c r="S1901" s="1048"/>
      <c r="T1901" s="1048"/>
      <c r="U1901" s="1102"/>
    </row>
    <row r="1902" spans="2:21" hidden="1" outlineLevel="2">
      <c r="B1902" s="1050"/>
      <c r="C1902" s="1050"/>
      <c r="D1902" s="1051">
        <f t="shared" si="158"/>
        <v>93</v>
      </c>
      <c r="E1902" s="1051" t="str">
        <f>IF(COUNTIF(E$1615:E1901,F1902)&gt;0,"",F1902)</f>
        <v>2018 - usage : Climatisation tertiaire, France continentale, Base Carbone</v>
      </c>
      <c r="F1902" s="1051" t="str">
        <f t="shared" si="159"/>
        <v>2018 - usage : Climatisation tertiaire, France continentale, Base Carbone</v>
      </c>
      <c r="G1902" s="1055" t="str">
        <f t="shared" si="160"/>
        <v>2018 - usage : Climatisation tertiaire, France continentale, Base Carbone; kgCO2e/kWh, Combustion à la centrale</v>
      </c>
      <c r="I1902" s="2018" t="s">
        <v>3117</v>
      </c>
      <c r="J1902" s="1135" t="s">
        <v>1681</v>
      </c>
      <c r="K1902" s="1119" t="s">
        <v>1567</v>
      </c>
      <c r="L1902" s="1119" t="s">
        <v>1571</v>
      </c>
      <c r="M1902" s="1134">
        <v>0.3</v>
      </c>
      <c r="N1902" s="1119" t="s">
        <v>1763</v>
      </c>
      <c r="O1902" s="1135">
        <v>2.3800000000000002E-2</v>
      </c>
      <c r="P1902" s="1048"/>
      <c r="Q1902" s="1048"/>
      <c r="R1902" s="1158"/>
      <c r="S1902" s="1048"/>
      <c r="T1902" s="1048"/>
      <c r="U1902" s="1102"/>
    </row>
    <row r="1903" spans="2:21" hidden="1" outlineLevel="2">
      <c r="B1903" s="1050"/>
      <c r="C1903" s="1050"/>
      <c r="D1903" s="1051">
        <f t="shared" si="158"/>
        <v>93</v>
      </c>
      <c r="E1903" s="1051" t="str">
        <f>IF(COUNTIF(E$1615:E1902,F1903)&gt;0,"",F1903)</f>
        <v/>
      </c>
      <c r="F1903" s="1051" t="str">
        <f t="shared" si="159"/>
        <v>2018 - usage : Climatisation tertiaire, France continentale, Base Carbone</v>
      </c>
      <c r="G1903" s="1055" t="str">
        <f t="shared" si="160"/>
        <v>2018 - usage : Climatisation tertiaire, France continentale, Base Carbone; kgCO2e/kWh, Amont</v>
      </c>
      <c r="I1903" s="2018" t="s">
        <v>3117</v>
      </c>
      <c r="J1903" s="1135" t="s">
        <v>1681</v>
      </c>
      <c r="K1903" s="1119" t="s">
        <v>1567</v>
      </c>
      <c r="L1903" s="1119" t="s">
        <v>1571</v>
      </c>
      <c r="M1903" s="1134">
        <v>0.3</v>
      </c>
      <c r="N1903" s="1119" t="s">
        <v>1570</v>
      </c>
      <c r="O1903" s="1135">
        <v>1.0500000000000001E-2</v>
      </c>
      <c r="P1903" s="1048"/>
      <c r="Q1903" s="1048"/>
      <c r="R1903" s="1158"/>
      <c r="S1903" s="1048"/>
      <c r="T1903" s="1048"/>
      <c r="U1903" s="1102"/>
    </row>
    <row r="1904" spans="2:21" hidden="1" outlineLevel="2">
      <c r="B1904" s="1050"/>
      <c r="C1904" s="1050"/>
      <c r="D1904" s="1051">
        <f t="shared" si="158"/>
        <v>93</v>
      </c>
      <c r="E1904" s="1051" t="str">
        <f>IF(COUNTIF(E$1615:E1903,F1904)&gt;0,"",F1904)</f>
        <v/>
      </c>
      <c r="F1904" s="1051" t="str">
        <f t="shared" si="159"/>
        <v>2018 - usage : Climatisation tertiaire, France continentale, Base Carbone</v>
      </c>
      <c r="G1904" s="1055" t="str">
        <f t="shared" si="160"/>
        <v>2018 - usage : Climatisation tertiaire, France continentale, Base Carbone; kgCO2e/kWh, Pertes</v>
      </c>
      <c r="I1904" s="2018" t="s">
        <v>3117</v>
      </c>
      <c r="J1904" s="1135" t="s">
        <v>1681</v>
      </c>
      <c r="K1904" s="1119" t="s">
        <v>1567</v>
      </c>
      <c r="L1904" s="1119" t="s">
        <v>1571</v>
      </c>
      <c r="M1904" s="1134">
        <v>0.3</v>
      </c>
      <c r="N1904" s="1119" t="s">
        <v>1766</v>
      </c>
      <c r="O1904" s="1135">
        <v>4.4000000000000003E-3</v>
      </c>
      <c r="P1904" s="1048"/>
      <c r="Q1904" s="1048"/>
      <c r="R1904" s="1158"/>
      <c r="S1904" s="1048"/>
      <c r="T1904" s="1048"/>
      <c r="U1904" s="1102"/>
    </row>
    <row r="1905" spans="2:21" hidden="1" outlineLevel="2">
      <c r="B1905" s="1050"/>
      <c r="C1905" s="1050"/>
      <c r="D1905" s="1051">
        <f t="shared" si="158"/>
        <v>94</v>
      </c>
      <c r="E1905" s="1051" t="str">
        <f>IF(COUNTIF(E$1615:E1904,F1905)&gt;0,"",F1905)</f>
        <v>2018 - usage : Cuisson résidentiel, France continentale, Base Carbone</v>
      </c>
      <c r="F1905" s="1051" t="str">
        <f t="shared" si="159"/>
        <v>2018 - usage : Cuisson résidentiel, France continentale, Base Carbone</v>
      </c>
      <c r="G1905" s="1055" t="str">
        <f t="shared" si="160"/>
        <v>2018 - usage : Cuisson résidentiel, France continentale, Base Carbone; kgCO2e/kWh, Combustion à la centrale</v>
      </c>
      <c r="I1905" s="2018" t="s">
        <v>3118</v>
      </c>
      <c r="J1905" s="1135" t="s">
        <v>1681</v>
      </c>
      <c r="K1905" s="1119" t="s">
        <v>1567</v>
      </c>
      <c r="L1905" s="1119" t="s">
        <v>1571</v>
      </c>
      <c r="M1905" s="1134">
        <v>0.3</v>
      </c>
      <c r="N1905" s="1119" t="s">
        <v>1763</v>
      </c>
      <c r="O1905" s="1135">
        <v>3.3599999999999998E-2</v>
      </c>
      <c r="P1905" s="1048"/>
      <c r="Q1905" s="1048"/>
      <c r="R1905" s="1158"/>
      <c r="S1905" s="1048"/>
      <c r="T1905" s="1048"/>
      <c r="U1905" s="1102"/>
    </row>
    <row r="1906" spans="2:21" hidden="1" outlineLevel="2">
      <c r="B1906" s="1050"/>
      <c r="C1906" s="1050"/>
      <c r="D1906" s="1051">
        <f t="shared" si="158"/>
        <v>94</v>
      </c>
      <c r="E1906" s="1051" t="str">
        <f>IF(COUNTIF(E$1615:E1905,F1906)&gt;0,"",F1906)</f>
        <v/>
      </c>
      <c r="F1906" s="1051" t="str">
        <f t="shared" si="159"/>
        <v>2018 - usage : Cuisson résidentiel, France continentale, Base Carbone</v>
      </c>
      <c r="G1906" s="1055" t="str">
        <f t="shared" si="160"/>
        <v>2018 - usage : Cuisson résidentiel, France continentale, Base Carbone; kgCO2e/kWh, Amont</v>
      </c>
      <c r="I1906" s="2018" t="s">
        <v>3118</v>
      </c>
      <c r="J1906" s="1135" t="s">
        <v>1681</v>
      </c>
      <c r="K1906" s="1119" t="s">
        <v>1567</v>
      </c>
      <c r="L1906" s="1119" t="s">
        <v>1571</v>
      </c>
      <c r="M1906" s="1134">
        <v>0.3</v>
      </c>
      <c r="N1906" s="1119" t="s">
        <v>1570</v>
      </c>
      <c r="O1906" s="1135">
        <v>1.18E-2</v>
      </c>
      <c r="P1906" s="1048"/>
      <c r="Q1906" s="1048"/>
      <c r="R1906" s="1158"/>
      <c r="S1906" s="1048"/>
      <c r="T1906" s="1048"/>
      <c r="U1906" s="1102"/>
    </row>
    <row r="1907" spans="2:21" hidden="1" outlineLevel="2">
      <c r="B1907" s="1050"/>
      <c r="C1907" s="1050"/>
      <c r="D1907" s="1051">
        <f t="shared" si="158"/>
        <v>94</v>
      </c>
      <c r="E1907" s="1051" t="str">
        <f>IF(COUNTIF(E$1615:E1906,F1907)&gt;0,"",F1907)</f>
        <v/>
      </c>
      <c r="F1907" s="1051" t="str">
        <f t="shared" si="159"/>
        <v>2018 - usage : Cuisson résidentiel, France continentale, Base Carbone</v>
      </c>
      <c r="G1907" s="1055" t="str">
        <f t="shared" si="160"/>
        <v>2018 - usage : Cuisson résidentiel, France continentale, Base Carbone; kgCO2e/kWh, Pertes</v>
      </c>
      <c r="I1907" s="2018" t="s">
        <v>3118</v>
      </c>
      <c r="J1907" s="1135" t="s">
        <v>1681</v>
      </c>
      <c r="K1907" s="1119" t="s">
        <v>1567</v>
      </c>
      <c r="L1907" s="1119" t="s">
        <v>1571</v>
      </c>
      <c r="M1907" s="1134">
        <v>0.3</v>
      </c>
      <c r="N1907" s="1119" t="s">
        <v>1766</v>
      </c>
      <c r="O1907" s="1135">
        <v>4.4000000000000003E-3</v>
      </c>
      <c r="P1907" s="1048"/>
      <c r="Q1907" s="1048"/>
      <c r="R1907" s="1158"/>
      <c r="S1907" s="1048"/>
      <c r="T1907" s="1048"/>
      <c r="U1907" s="1102"/>
    </row>
    <row r="1908" spans="2:21" hidden="1" outlineLevel="2">
      <c r="B1908" s="1050"/>
      <c r="C1908" s="1050"/>
      <c r="D1908" s="1051">
        <f t="shared" si="158"/>
        <v>95</v>
      </c>
      <c r="E1908" s="1051" t="str">
        <f>IF(COUNTIF(E$1615:E1907,F1908)&gt;0,"",F1908)</f>
        <v>2018 - usage : Eau Chaude Sanitaire, France continentale, Base Carbone</v>
      </c>
      <c r="F1908" s="1051" t="str">
        <f t="shared" si="159"/>
        <v>2018 - usage : Eau Chaude Sanitaire, France continentale, Base Carbone</v>
      </c>
      <c r="G1908" s="1055" t="str">
        <f t="shared" si="160"/>
        <v>2018 - usage : Eau Chaude Sanitaire, France continentale, Base Carbone; kgCO2e/kWh, Combustion à la centrale</v>
      </c>
      <c r="I1908" s="2018" t="s">
        <v>3119</v>
      </c>
      <c r="J1908" s="1135" t="s">
        <v>1681</v>
      </c>
      <c r="K1908" s="1119" t="s">
        <v>1567</v>
      </c>
      <c r="L1908" s="1119" t="s">
        <v>1571</v>
      </c>
      <c r="M1908" s="1134">
        <v>0.3</v>
      </c>
      <c r="N1908" s="1119" t="s">
        <v>1763</v>
      </c>
      <c r="O1908" s="1135">
        <v>3.7100000000000001E-2</v>
      </c>
      <c r="P1908" s="1048"/>
      <c r="Q1908" s="1048"/>
      <c r="R1908" s="1158"/>
      <c r="S1908" s="1048"/>
      <c r="T1908" s="1048"/>
      <c r="U1908" s="1102"/>
    </row>
    <row r="1909" spans="2:21" hidden="1" outlineLevel="2">
      <c r="B1909" s="1050"/>
      <c r="C1909" s="1050"/>
      <c r="D1909" s="1051">
        <f t="shared" si="158"/>
        <v>95</v>
      </c>
      <c r="E1909" s="1051" t="str">
        <f>IF(COUNTIF(E$1615:E1908,F1909)&gt;0,"",F1909)</f>
        <v/>
      </c>
      <c r="F1909" s="1051" t="str">
        <f t="shared" si="159"/>
        <v>2018 - usage : Eau Chaude Sanitaire, France continentale, Base Carbone</v>
      </c>
      <c r="G1909" s="1055" t="str">
        <f t="shared" si="160"/>
        <v>2018 - usage : Eau Chaude Sanitaire, France continentale, Base Carbone; kgCO2e/kWh, Amont</v>
      </c>
      <c r="I1909" s="2018" t="s">
        <v>3119</v>
      </c>
      <c r="J1909" s="1135" t="s">
        <v>1681</v>
      </c>
      <c r="K1909" s="1119" t="s">
        <v>1567</v>
      </c>
      <c r="L1909" s="1119" t="s">
        <v>1571</v>
      </c>
      <c r="M1909" s="1134">
        <v>0.3</v>
      </c>
      <c r="N1909" s="1119" t="s">
        <v>1570</v>
      </c>
      <c r="O1909" s="1135">
        <v>1.23E-2</v>
      </c>
      <c r="P1909" s="1048"/>
      <c r="Q1909" s="1048"/>
      <c r="R1909" s="1158"/>
      <c r="S1909" s="1048"/>
      <c r="T1909" s="1048"/>
      <c r="U1909" s="1102"/>
    </row>
    <row r="1910" spans="2:21" hidden="1" outlineLevel="2">
      <c r="B1910" s="1050"/>
      <c r="C1910" s="1050"/>
      <c r="D1910" s="1051">
        <f t="shared" si="158"/>
        <v>95</v>
      </c>
      <c r="E1910" s="1051" t="str">
        <f>IF(COUNTIF(E$1615:E1909,F1910)&gt;0,"",F1910)</f>
        <v/>
      </c>
      <c r="F1910" s="1051" t="str">
        <f t="shared" si="159"/>
        <v>2018 - usage : Eau Chaude Sanitaire, France continentale, Base Carbone</v>
      </c>
      <c r="G1910" s="1055" t="str">
        <f t="shared" si="160"/>
        <v>2018 - usage : Eau Chaude Sanitaire, France continentale, Base Carbone; kgCO2e/kWh, Pertes</v>
      </c>
      <c r="I1910" s="2018" t="s">
        <v>3119</v>
      </c>
      <c r="J1910" s="1135" t="s">
        <v>1681</v>
      </c>
      <c r="K1910" s="1119" t="s">
        <v>1567</v>
      </c>
      <c r="L1910" s="1119" t="s">
        <v>1571</v>
      </c>
      <c r="M1910" s="1134">
        <v>0.3</v>
      </c>
      <c r="N1910" s="1119" t="s">
        <v>1766</v>
      </c>
      <c r="O1910" s="1135">
        <v>4.4000000000000003E-3</v>
      </c>
      <c r="P1910" s="1048"/>
      <c r="Q1910" s="1048"/>
      <c r="R1910" s="1158"/>
      <c r="S1910" s="1048"/>
      <c r="T1910" s="1048"/>
      <c r="U1910" s="1102"/>
    </row>
    <row r="1911" spans="2:21" hidden="1" outlineLevel="2">
      <c r="B1911" s="1050"/>
      <c r="C1911" s="1050"/>
      <c r="D1911" s="1051">
        <f t="shared" si="158"/>
        <v>96</v>
      </c>
      <c r="E1911" s="1051" t="str">
        <f>IF(COUNTIF(E$1615:E1910,F1911)&gt;0,"",F1911)</f>
        <v>2018 - usage : Eclairage public, France continentale, Base Carbone</v>
      </c>
      <c r="F1911" s="1051" t="str">
        <f t="shared" si="159"/>
        <v>2018 - usage : Eclairage public, France continentale, Base Carbone</v>
      </c>
      <c r="G1911" s="1055" t="str">
        <f t="shared" si="160"/>
        <v>2018 - usage : Eclairage public, France continentale, Base Carbone; kgCO2e/kWh, Combustion à la centrale</v>
      </c>
      <c r="I1911" s="2018" t="s">
        <v>3120</v>
      </c>
      <c r="J1911" s="1135" t="s">
        <v>1681</v>
      </c>
      <c r="K1911" s="1119" t="s">
        <v>1567</v>
      </c>
      <c r="L1911" s="1119" t="s">
        <v>1571</v>
      </c>
      <c r="M1911" s="1134">
        <v>0.3</v>
      </c>
      <c r="N1911" s="1119" t="s">
        <v>1763</v>
      </c>
      <c r="O1911" s="1135">
        <v>4.65E-2</v>
      </c>
      <c r="P1911" s="1048"/>
      <c r="Q1911" s="1048"/>
      <c r="R1911" s="1158"/>
      <c r="S1911" s="1048"/>
      <c r="T1911" s="1048"/>
      <c r="U1911" s="1102"/>
    </row>
    <row r="1912" spans="2:21" hidden="1" outlineLevel="2">
      <c r="B1912" s="1050"/>
      <c r="C1912" s="1050"/>
      <c r="D1912" s="1051">
        <f t="shared" si="158"/>
        <v>96</v>
      </c>
      <c r="E1912" s="1051" t="str">
        <f>IF(COUNTIF(E$1615:E1911,F1912)&gt;0,"",F1912)</f>
        <v/>
      </c>
      <c r="F1912" s="1051" t="str">
        <f t="shared" si="159"/>
        <v>2018 - usage : Eclairage public, France continentale, Base Carbone</v>
      </c>
      <c r="G1912" s="1055" t="str">
        <f t="shared" si="160"/>
        <v>2018 - usage : Eclairage public, France continentale, Base Carbone; kgCO2e/kWh, Amont</v>
      </c>
      <c r="I1912" s="2018" t="s">
        <v>3120</v>
      </c>
      <c r="J1912" s="1135" t="s">
        <v>1681</v>
      </c>
      <c r="K1912" s="1119" t="s">
        <v>1567</v>
      </c>
      <c r="L1912" s="1119" t="s">
        <v>1571</v>
      </c>
      <c r="M1912" s="1134">
        <v>0.3</v>
      </c>
      <c r="N1912" s="1119" t="s">
        <v>1570</v>
      </c>
      <c r="O1912" s="1135">
        <v>1.35E-2</v>
      </c>
      <c r="P1912" s="1048"/>
      <c r="Q1912" s="1048"/>
      <c r="R1912" s="1158"/>
      <c r="S1912" s="1048"/>
      <c r="T1912" s="1048"/>
      <c r="U1912" s="1102"/>
    </row>
    <row r="1913" spans="2:21" hidden="1" outlineLevel="2">
      <c r="B1913" s="1050"/>
      <c r="C1913" s="1050"/>
      <c r="D1913" s="1051">
        <f t="shared" si="158"/>
        <v>96</v>
      </c>
      <c r="E1913" s="1051" t="str">
        <f>IF(COUNTIF(E$1615:E1912,F1913)&gt;0,"",F1913)</f>
        <v/>
      </c>
      <c r="F1913" s="1051" t="str">
        <f t="shared" si="159"/>
        <v>2018 - usage : Eclairage public, France continentale, Base Carbone</v>
      </c>
      <c r="G1913" s="1055" t="str">
        <f t="shared" si="160"/>
        <v>2018 - usage : Eclairage public, France continentale, Base Carbone; kgCO2e/kWh, Pertes</v>
      </c>
      <c r="I1913" s="2018" t="s">
        <v>3120</v>
      </c>
      <c r="J1913" s="1135" t="s">
        <v>1681</v>
      </c>
      <c r="K1913" s="1119" t="s">
        <v>1567</v>
      </c>
      <c r="L1913" s="1119" t="s">
        <v>1571</v>
      </c>
      <c r="M1913" s="1134">
        <v>0.3</v>
      </c>
      <c r="N1913" s="1119" t="s">
        <v>1766</v>
      </c>
      <c r="O1913" s="1135">
        <v>4.4000000000000003E-3</v>
      </c>
      <c r="P1913" s="1048"/>
      <c r="Q1913" s="1048"/>
      <c r="R1913" s="1158"/>
      <c r="S1913" s="1048"/>
      <c r="T1913" s="1048"/>
      <c r="U1913" s="1102"/>
    </row>
    <row r="1914" spans="2:21" hidden="1" outlineLevel="2">
      <c r="B1914" s="1050"/>
      <c r="C1914" s="1050"/>
      <c r="D1914" s="1051">
        <f t="shared" si="158"/>
        <v>97</v>
      </c>
      <c r="E1914" s="1051" t="str">
        <f>IF(COUNTIF(E$1615:E1913,F1914)&gt;0,"",F1914)</f>
        <v>2018 - usage : Eclairage résidentiel, France continentale, Base Carbone</v>
      </c>
      <c r="F1914" s="1051" t="str">
        <f t="shared" si="159"/>
        <v>2018 - usage : Eclairage résidentiel, France continentale, Base Carbone</v>
      </c>
      <c r="G1914" s="1055" t="str">
        <f t="shared" si="160"/>
        <v>2018 - usage : Eclairage résidentiel, France continentale, Base Carbone; kgCO2e/kWh, Combustion à la centrale</v>
      </c>
      <c r="I1914" s="2018" t="s">
        <v>3121</v>
      </c>
      <c r="J1914" s="1135" t="s">
        <v>1681</v>
      </c>
      <c r="K1914" s="1119" t="s">
        <v>1567</v>
      </c>
      <c r="L1914" s="1119" t="s">
        <v>1571</v>
      </c>
      <c r="M1914" s="1134">
        <v>0.3</v>
      </c>
      <c r="N1914" s="1119" t="s">
        <v>1763</v>
      </c>
      <c r="O1914" s="1135">
        <v>6.2199999999999998E-2</v>
      </c>
      <c r="P1914" s="1048"/>
      <c r="Q1914" s="1048"/>
      <c r="R1914" s="1158"/>
      <c r="S1914" s="1048"/>
      <c r="T1914" s="1048"/>
      <c r="U1914" s="1102"/>
    </row>
    <row r="1915" spans="2:21" hidden="1" outlineLevel="2">
      <c r="B1915" s="1050"/>
      <c r="C1915" s="1050"/>
      <c r="D1915" s="1051">
        <f t="shared" si="158"/>
        <v>97</v>
      </c>
      <c r="E1915" s="1051" t="str">
        <f>IF(COUNTIF(E$1615:E1914,F1915)&gt;0,"",F1915)</f>
        <v/>
      </c>
      <c r="F1915" s="1051" t="str">
        <f t="shared" si="159"/>
        <v>2018 - usage : Eclairage résidentiel, France continentale, Base Carbone</v>
      </c>
      <c r="G1915" s="1055" t="str">
        <f t="shared" si="160"/>
        <v>2018 - usage : Eclairage résidentiel, France continentale, Base Carbone; kgCO2e/kWh, Amont</v>
      </c>
      <c r="I1915" s="2018" t="s">
        <v>3121</v>
      </c>
      <c r="J1915" s="1135" t="s">
        <v>1681</v>
      </c>
      <c r="K1915" s="1119" t="s">
        <v>1567</v>
      </c>
      <c r="L1915" s="1119" t="s">
        <v>1571</v>
      </c>
      <c r="M1915" s="1134">
        <v>0.3</v>
      </c>
      <c r="N1915" s="1119" t="s">
        <v>1570</v>
      </c>
      <c r="O1915" s="1135">
        <v>1.5699999999999999E-2</v>
      </c>
      <c r="P1915" s="1048"/>
      <c r="Q1915" s="1048"/>
      <c r="R1915" s="1158"/>
      <c r="S1915" s="1048"/>
      <c r="T1915" s="1048"/>
      <c r="U1915" s="1102"/>
    </row>
    <row r="1916" spans="2:21" hidden="1" outlineLevel="2">
      <c r="B1916" s="1050"/>
      <c r="C1916" s="1050"/>
      <c r="D1916" s="1051">
        <f t="shared" si="158"/>
        <v>97</v>
      </c>
      <c r="E1916" s="1051" t="str">
        <f>IF(COUNTIF(E$1615:E1915,F1916)&gt;0,"",F1916)</f>
        <v/>
      </c>
      <c r="F1916" s="1051" t="str">
        <f t="shared" si="159"/>
        <v>2018 - usage : Eclairage résidentiel, France continentale, Base Carbone</v>
      </c>
      <c r="G1916" s="1055" t="str">
        <f t="shared" si="160"/>
        <v>2018 - usage : Eclairage résidentiel, France continentale, Base Carbone; kgCO2e/kWh, Pertes</v>
      </c>
      <c r="I1916" s="2018" t="s">
        <v>3121</v>
      </c>
      <c r="J1916" s="1135" t="s">
        <v>1681</v>
      </c>
      <c r="K1916" s="1119" t="s">
        <v>1567</v>
      </c>
      <c r="L1916" s="1119" t="s">
        <v>1571</v>
      </c>
      <c r="M1916" s="1134">
        <v>0.3</v>
      </c>
      <c r="N1916" s="1119" t="s">
        <v>1766</v>
      </c>
      <c r="O1916" s="1135">
        <v>4.4000000000000003E-3</v>
      </c>
      <c r="P1916" s="1048"/>
      <c r="Q1916" s="1048"/>
      <c r="R1916" s="1158"/>
      <c r="S1916" s="1048"/>
      <c r="T1916" s="1048"/>
      <c r="U1916" s="1102"/>
    </row>
    <row r="1917" spans="2:21" hidden="1" outlineLevel="2">
      <c r="B1917" s="1050"/>
      <c r="C1917" s="1050"/>
      <c r="D1917" s="1051">
        <f t="shared" si="158"/>
        <v>98</v>
      </c>
      <c r="E1917" s="1051" t="str">
        <f>IF(COUNTIF(E$1615:E1916,F1917)&gt;0,"",F1917)</f>
        <v>2018 - usage : Industrie base, France continentale, Base Carbone</v>
      </c>
      <c r="F1917" s="1051" t="str">
        <f t="shared" si="159"/>
        <v>2018 - usage : Industrie base, France continentale, Base Carbone</v>
      </c>
      <c r="G1917" s="1055" t="str">
        <f t="shared" si="160"/>
        <v>2018 - usage : Industrie base, France continentale, Base Carbone; kgCO2e/kWh, Combustion à la centrale</v>
      </c>
      <c r="I1917" s="2018" t="s">
        <v>3122</v>
      </c>
      <c r="J1917" s="1135" t="s">
        <v>1681</v>
      </c>
      <c r="K1917" s="1119" t="s">
        <v>1567</v>
      </c>
      <c r="L1917" s="1119" t="s">
        <v>1571</v>
      </c>
      <c r="M1917" s="1134">
        <v>0.3</v>
      </c>
      <c r="N1917" s="1119" t="s">
        <v>1763</v>
      </c>
      <c r="O1917" s="1135">
        <v>2.4299999999999999E-2</v>
      </c>
      <c r="P1917" s="1048"/>
      <c r="Q1917" s="1048"/>
      <c r="R1917" s="1158"/>
      <c r="S1917" s="1048"/>
      <c r="T1917" s="1048"/>
      <c r="U1917" s="1102"/>
    </row>
    <row r="1918" spans="2:21" hidden="1" outlineLevel="2">
      <c r="B1918" s="1050"/>
      <c r="C1918" s="1050"/>
      <c r="D1918" s="1051">
        <f t="shared" si="158"/>
        <v>98</v>
      </c>
      <c r="E1918" s="1051" t="str">
        <f>IF(COUNTIF(E$1615:E1917,F1918)&gt;0,"",F1918)</f>
        <v/>
      </c>
      <c r="F1918" s="1051" t="str">
        <f t="shared" si="159"/>
        <v>2018 - usage : Industrie base, France continentale, Base Carbone</v>
      </c>
      <c r="G1918" s="1055" t="str">
        <f t="shared" si="160"/>
        <v>2018 - usage : Industrie base, France continentale, Base Carbone; kgCO2e/kWh, Amont</v>
      </c>
      <c r="I1918" s="2018" t="s">
        <v>3122</v>
      </c>
      <c r="J1918" s="1135" t="s">
        <v>1681</v>
      </c>
      <c r="K1918" s="1119" t="s">
        <v>1567</v>
      </c>
      <c r="L1918" s="1119" t="s">
        <v>1571</v>
      </c>
      <c r="M1918" s="1134">
        <v>0.3</v>
      </c>
      <c r="N1918" s="1119" t="s">
        <v>1570</v>
      </c>
      <c r="O1918" s="1135">
        <v>1.0500000000000001E-2</v>
      </c>
      <c r="P1918" s="1048"/>
      <c r="Q1918" s="1048"/>
      <c r="R1918" s="1158"/>
      <c r="S1918" s="1048"/>
      <c r="T1918" s="1048"/>
      <c r="U1918" s="1102"/>
    </row>
    <row r="1919" spans="2:21" hidden="1" outlineLevel="2">
      <c r="B1919" s="1050"/>
      <c r="C1919" s="1050"/>
      <c r="D1919" s="1051">
        <f t="shared" si="158"/>
        <v>98</v>
      </c>
      <c r="E1919" s="1051" t="str">
        <f>IF(COUNTIF(E$1615:E1918,F1919)&gt;0,"",F1919)</f>
        <v/>
      </c>
      <c r="F1919" s="1051" t="str">
        <f t="shared" si="159"/>
        <v>2018 - usage : Industrie base, France continentale, Base Carbone</v>
      </c>
      <c r="G1919" s="1055" t="str">
        <f t="shared" si="160"/>
        <v>2018 - usage : Industrie base, France continentale, Base Carbone; kgCO2e/kWh, Pertes</v>
      </c>
      <c r="I1919" s="2018" t="s">
        <v>3122</v>
      </c>
      <c r="J1919" s="1135" t="s">
        <v>1681</v>
      </c>
      <c r="K1919" s="1119" t="s">
        <v>1567</v>
      </c>
      <c r="L1919" s="1119" t="s">
        <v>1571</v>
      </c>
      <c r="M1919" s="1134">
        <v>0.3</v>
      </c>
      <c r="N1919" s="1119" t="s">
        <v>1766</v>
      </c>
      <c r="O1919" s="1135">
        <v>4.4000000000000003E-3</v>
      </c>
      <c r="P1919" s="1048"/>
      <c r="Q1919" s="1048"/>
      <c r="R1919" s="1158"/>
      <c r="S1919" s="1048"/>
      <c r="T1919" s="1048"/>
      <c r="U1919" s="1102"/>
    </row>
    <row r="1920" spans="2:21" hidden="1" outlineLevel="2">
      <c r="B1920" s="1050"/>
      <c r="C1920" s="1050"/>
      <c r="D1920" s="1051">
        <f t="shared" si="158"/>
        <v>99</v>
      </c>
      <c r="E1920" s="1051" t="str">
        <f>IF(COUNTIF(E$1615:E1919,F1920)&gt;0,"",F1920)</f>
        <v>2018 - usage : Transports, France continentale, Base Carbone</v>
      </c>
      <c r="F1920" s="1051" t="str">
        <f t="shared" si="159"/>
        <v>2018 - usage : Transports, France continentale, Base Carbone</v>
      </c>
      <c r="G1920" s="1055" t="str">
        <f t="shared" si="160"/>
        <v>2018 - usage : Transports, France continentale, Base Carbone; kgCO2e/kWh, Combustion à la centrale</v>
      </c>
      <c r="I1920" s="2018" t="s">
        <v>3123</v>
      </c>
      <c r="J1920" s="1135" t="s">
        <v>1681</v>
      </c>
      <c r="K1920" s="1119" t="s">
        <v>1567</v>
      </c>
      <c r="L1920" s="1119" t="s">
        <v>1571</v>
      </c>
      <c r="M1920" s="1134">
        <v>0.3</v>
      </c>
      <c r="N1920" s="1119" t="s">
        <v>1763</v>
      </c>
      <c r="O1920" s="1135">
        <v>2.3699999999999999E-2</v>
      </c>
      <c r="P1920" s="1048"/>
      <c r="Q1920" s="1048"/>
      <c r="R1920" s="1158"/>
      <c r="S1920" s="1048"/>
      <c r="T1920" s="1048"/>
      <c r="U1920" s="1102"/>
    </row>
    <row r="1921" spans="2:21" hidden="1" outlineLevel="2">
      <c r="B1921" s="1050"/>
      <c r="C1921" s="1050"/>
      <c r="D1921" s="1051">
        <f t="shared" si="158"/>
        <v>99</v>
      </c>
      <c r="E1921" s="1051" t="str">
        <f>IF(COUNTIF(E$1615:E1920,F1921)&gt;0,"",F1921)</f>
        <v/>
      </c>
      <c r="F1921" s="1051" t="str">
        <f t="shared" si="159"/>
        <v>2018 - usage : Transports, France continentale, Base Carbone</v>
      </c>
      <c r="G1921" s="1055" t="str">
        <f t="shared" si="160"/>
        <v>2018 - usage : Transports, France continentale, Base Carbone; kgCO2e/kWh, Amont</v>
      </c>
      <c r="I1921" s="2018" t="s">
        <v>3123</v>
      </c>
      <c r="J1921" s="1135" t="s">
        <v>1681</v>
      </c>
      <c r="K1921" s="1119" t="s">
        <v>1567</v>
      </c>
      <c r="L1921" s="1119" t="s">
        <v>1571</v>
      </c>
      <c r="M1921" s="1134">
        <v>0.3</v>
      </c>
      <c r="N1921" s="1119" t="s">
        <v>1570</v>
      </c>
      <c r="O1921" s="1135">
        <v>1.0500000000000001E-2</v>
      </c>
      <c r="P1921" s="1048"/>
      <c r="Q1921" s="1048"/>
      <c r="R1921" s="1158"/>
      <c r="S1921" s="1048"/>
      <c r="T1921" s="1048"/>
      <c r="U1921" s="1102"/>
    </row>
    <row r="1922" spans="2:21" hidden="1" outlineLevel="2">
      <c r="B1922" s="1050"/>
      <c r="C1922" s="1050"/>
      <c r="D1922" s="1051">
        <f t="shared" si="158"/>
        <v>99</v>
      </c>
      <c r="E1922" s="1051" t="str">
        <f>IF(COUNTIF(E$1615:E1921,F1922)&gt;0,"",F1922)</f>
        <v/>
      </c>
      <c r="F1922" s="1051" t="str">
        <f t="shared" si="159"/>
        <v>2018 - usage : Transports, France continentale, Base Carbone</v>
      </c>
      <c r="G1922" s="1055" t="str">
        <f t="shared" si="160"/>
        <v>2018 - usage : Transports, France continentale, Base Carbone; kgCO2e/kWh, Pertes</v>
      </c>
      <c r="I1922" s="2018" t="s">
        <v>3123</v>
      </c>
      <c r="J1922" s="1135" t="s">
        <v>1681</v>
      </c>
      <c r="K1922" s="1119" t="s">
        <v>1567</v>
      </c>
      <c r="L1922" s="1119" t="s">
        <v>1571</v>
      </c>
      <c r="M1922" s="1134">
        <v>0.3</v>
      </c>
      <c r="N1922" s="1119" t="s">
        <v>1766</v>
      </c>
      <c r="O1922" s="1135">
        <v>4.4000000000000003E-3</v>
      </c>
      <c r="P1922" s="1048"/>
      <c r="Q1922" s="1048"/>
      <c r="R1922" s="1158"/>
      <c r="S1922" s="1048"/>
      <c r="T1922" s="1048"/>
      <c r="U1922" s="1102"/>
    </row>
    <row r="1923" spans="2:21" hidden="1" outlineLevel="2">
      <c r="B1923" s="1050"/>
      <c r="C1923" s="1050"/>
      <c r="D1923" s="1051">
        <f t="shared" si="158"/>
        <v>99</v>
      </c>
      <c r="E1923" s="1051" t="str">
        <f>IF(COUNTIF(E$1615:E1922,F1923)&gt;0,"",F1923)</f>
        <v/>
      </c>
      <c r="F1923" s="1051" t="str">
        <f t="shared" si="159"/>
        <v/>
      </c>
      <c r="G1923" s="1055" t="str">
        <f t="shared" si="160"/>
        <v/>
      </c>
      <c r="I1923" s="1100"/>
      <c r="J1923" s="1048"/>
      <c r="K1923" s="1119"/>
      <c r="L1923" s="1048"/>
      <c r="M1923" s="1101"/>
      <c r="N1923" s="1048"/>
      <c r="O1923" s="1048"/>
      <c r="P1923" s="1048"/>
      <c r="Q1923" s="1048"/>
      <c r="R1923" s="1158"/>
      <c r="S1923" s="1048"/>
      <c r="T1923" s="1048"/>
      <c r="U1923" s="1102"/>
    </row>
    <row r="1924" spans="2:21" hidden="1" outlineLevel="2">
      <c r="B1924" s="1050"/>
      <c r="C1924" s="1050"/>
      <c r="D1924" s="1051">
        <f t="shared" si="158"/>
        <v>100</v>
      </c>
      <c r="E1924" s="1051" t="str">
        <f>IF(COUNTIF(E$1615:E1923,F1924)&gt;0,"",F1924)</f>
        <v>2019 - usage : Autres (BTP. recherche. armée. etc.), France continentale, Base Carbone</v>
      </c>
      <c r="F1924" s="1051" t="str">
        <f t="shared" si="159"/>
        <v>2019 - usage : Autres (BTP. recherche. armée. etc.), France continentale, Base Carbone</v>
      </c>
      <c r="G1924" s="1055" t="str">
        <f t="shared" si="160"/>
        <v>2019 - usage : Autres (BTP. recherche. armée. etc.), France continentale, Base Carbone; kgCO2e/kWh, Combustion à la centrale</v>
      </c>
      <c r="I1924" s="2018" t="s">
        <v>5020</v>
      </c>
      <c r="J1924" s="1135" t="s">
        <v>1681</v>
      </c>
      <c r="K1924" s="1119" t="s">
        <v>1567</v>
      </c>
      <c r="L1924" s="1119" t="s">
        <v>1571</v>
      </c>
      <c r="M1924" s="1134">
        <v>0.3</v>
      </c>
      <c r="N1924" s="1135" t="s">
        <v>1763</v>
      </c>
      <c r="O1924" s="1135">
        <v>4.2999999999999997E-2</v>
      </c>
      <c r="P1924" s="1048"/>
      <c r="Q1924" s="1048"/>
      <c r="R1924" s="1158"/>
      <c r="S1924" s="1048"/>
      <c r="T1924" s="1048"/>
      <c r="U1924" s="1102"/>
    </row>
    <row r="1925" spans="2:21" hidden="1" outlineLevel="2">
      <c r="B1925" s="1050"/>
      <c r="C1925" s="1050"/>
      <c r="D1925" s="1051">
        <f t="shared" si="158"/>
        <v>100</v>
      </c>
      <c r="E1925" s="1051" t="str">
        <f>IF(COUNTIF(E$1615:E1924,F1925)&gt;0,"",F1925)</f>
        <v/>
      </c>
      <c r="F1925" s="1051" t="str">
        <f t="shared" si="159"/>
        <v>2019 - usage : Autres (BTP. recherche. armée. etc.), France continentale, Base Carbone</v>
      </c>
      <c r="G1925" s="1055" t="str">
        <f t="shared" si="160"/>
        <v>2019 - usage : Autres (BTP. recherche. armée. etc.), France continentale, Base Carbone; kgCO2e/kWh, Amont</v>
      </c>
      <c r="I1925" s="2018" t="s">
        <v>5020</v>
      </c>
      <c r="J1925" s="1135" t="s">
        <v>1681</v>
      </c>
      <c r="K1925" s="1119" t="s">
        <v>1567</v>
      </c>
      <c r="L1925" s="1119" t="s">
        <v>1571</v>
      </c>
      <c r="M1925" s="1134">
        <v>0.3</v>
      </c>
      <c r="N1925" s="1135" t="s">
        <v>1570</v>
      </c>
      <c r="O1925" s="1135">
        <v>1.37E-2</v>
      </c>
      <c r="P1925" s="1048"/>
      <c r="Q1925" s="1048"/>
      <c r="R1925" s="1158"/>
      <c r="S1925" s="1048"/>
      <c r="T1925" s="1048"/>
      <c r="U1925" s="1102"/>
    </row>
    <row r="1926" spans="2:21" hidden="1" outlineLevel="2">
      <c r="B1926" s="1050"/>
      <c r="C1926" s="1050"/>
      <c r="D1926" s="1051">
        <f t="shared" si="158"/>
        <v>100</v>
      </c>
      <c r="E1926" s="1051" t="str">
        <f>IF(COUNTIF(E$1615:E1925,F1926)&gt;0,"",F1926)</f>
        <v/>
      </c>
      <c r="F1926" s="1051" t="str">
        <f t="shared" si="159"/>
        <v>2019 - usage : Autres (BTP. recherche. armée. etc.), France continentale, Base Carbone</v>
      </c>
      <c r="G1926" s="1055" t="str">
        <f t="shared" si="160"/>
        <v>2019 - usage : Autres (BTP. recherche. armée. etc.), France continentale, Base Carbone; kgCO2e/kWh, Pertes</v>
      </c>
      <c r="I1926" s="2018" t="s">
        <v>5020</v>
      </c>
      <c r="J1926" s="1135" t="s">
        <v>1681</v>
      </c>
      <c r="K1926" s="1119" t="s">
        <v>1567</v>
      </c>
      <c r="L1926" s="1119" t="s">
        <v>1571</v>
      </c>
      <c r="M1926" s="1134">
        <v>0.3</v>
      </c>
      <c r="N1926" s="1135" t="s">
        <v>1766</v>
      </c>
      <c r="O1926" s="1135">
        <v>4.5199999999999997E-3</v>
      </c>
      <c r="P1926" s="1048"/>
      <c r="Q1926" s="1048"/>
      <c r="R1926" s="1158"/>
      <c r="S1926" s="1048"/>
      <c r="T1926" s="1048"/>
      <c r="U1926" s="1102"/>
    </row>
    <row r="1927" spans="2:21" hidden="1" outlineLevel="2">
      <c r="B1927" s="1050"/>
      <c r="C1927" s="1050"/>
      <c r="D1927" s="1051">
        <f t="shared" si="158"/>
        <v>101</v>
      </c>
      <c r="E1927" s="1051" t="str">
        <f>IF(COUNTIF(E$1615:E1926,F1927)&gt;0,"",F1927)</f>
        <v>2019 - usage : chauffage, France continentale, Base Carbone</v>
      </c>
      <c r="F1927" s="1051" t="str">
        <f t="shared" si="159"/>
        <v>2019 - usage : chauffage, France continentale, Base Carbone</v>
      </c>
      <c r="G1927" s="1055" t="str">
        <f t="shared" si="160"/>
        <v>2019 - usage : chauffage, France continentale, Base Carbone; kgCO2e/kWh, Combustion à la centrale</v>
      </c>
      <c r="I1927" s="2018" t="s">
        <v>5021</v>
      </c>
      <c r="J1927" s="1135" t="s">
        <v>1681</v>
      </c>
      <c r="K1927" s="1119" t="s">
        <v>1567</v>
      </c>
      <c r="L1927" s="1119" t="s">
        <v>1571</v>
      </c>
      <c r="M1927" s="1134">
        <v>0.3</v>
      </c>
      <c r="N1927" s="1135" t="s">
        <v>1763</v>
      </c>
      <c r="O1927" s="1135">
        <v>5.2400000000000002E-2</v>
      </c>
      <c r="P1927" s="1048"/>
      <c r="Q1927" s="1048"/>
      <c r="R1927" s="1158"/>
      <c r="S1927" s="1048"/>
      <c r="T1927" s="1048"/>
      <c r="U1927" s="1102"/>
    </row>
    <row r="1928" spans="2:21" hidden="1" outlineLevel="2">
      <c r="B1928" s="1050"/>
      <c r="C1928" s="1050"/>
      <c r="D1928" s="1051">
        <f t="shared" si="158"/>
        <v>101</v>
      </c>
      <c r="E1928" s="1051" t="str">
        <f>IF(COUNTIF(E$1615:E1927,F1928)&gt;0,"",F1928)</f>
        <v/>
      </c>
      <c r="F1928" s="1051" t="str">
        <f t="shared" si="159"/>
        <v>2019 - usage : chauffage, France continentale, Base Carbone</v>
      </c>
      <c r="G1928" s="1055" t="str">
        <f t="shared" si="160"/>
        <v>2019 - usage : chauffage, France continentale, Base Carbone; kgCO2e/kWh, Amont</v>
      </c>
      <c r="I1928" s="2018" t="s">
        <v>5021</v>
      </c>
      <c r="J1928" s="1135" t="s">
        <v>1681</v>
      </c>
      <c r="K1928" s="1119" t="s">
        <v>1567</v>
      </c>
      <c r="L1928" s="1119" t="s">
        <v>1571</v>
      </c>
      <c r="M1928" s="1134">
        <v>0.3</v>
      </c>
      <c r="N1928" s="1135" t="s">
        <v>1570</v>
      </c>
      <c r="O1928" s="1135">
        <v>1.4800000000000001E-2</v>
      </c>
      <c r="P1928" s="1048"/>
      <c r="Q1928" s="1048"/>
      <c r="R1928" s="1158"/>
      <c r="S1928" s="1048"/>
      <c r="T1928" s="1048"/>
      <c r="U1928" s="1102"/>
    </row>
    <row r="1929" spans="2:21" hidden="1" outlineLevel="2">
      <c r="B1929" s="1050"/>
      <c r="C1929" s="1050"/>
      <c r="D1929" s="1051">
        <f t="shared" si="158"/>
        <v>101</v>
      </c>
      <c r="E1929" s="1051" t="str">
        <f>IF(COUNTIF(E$1615:E1928,F1929)&gt;0,"",F1929)</f>
        <v/>
      </c>
      <c r="F1929" s="1051" t="str">
        <f t="shared" si="159"/>
        <v>2019 - usage : chauffage, France continentale, Base Carbone</v>
      </c>
      <c r="G1929" s="1055" t="str">
        <f t="shared" si="160"/>
        <v>2019 - usage : chauffage, France continentale, Base Carbone; kgCO2e/kWh, Pertes</v>
      </c>
      <c r="I1929" s="2018" t="s">
        <v>5021</v>
      </c>
      <c r="J1929" s="1135" t="s">
        <v>1681</v>
      </c>
      <c r="K1929" s="1119" t="s">
        <v>1567</v>
      </c>
      <c r="L1929" s="1119" t="s">
        <v>1571</v>
      </c>
      <c r="M1929" s="1134">
        <v>0.3</v>
      </c>
      <c r="N1929" s="1135" t="s">
        <v>1766</v>
      </c>
      <c r="O1929" s="1135">
        <v>4.5199999999999997E-3</v>
      </c>
      <c r="P1929" s="1048"/>
      <c r="Q1929" s="1048"/>
      <c r="R1929" s="1158"/>
      <c r="S1929" s="1048"/>
      <c r="T1929" s="1048"/>
      <c r="U1929" s="1102"/>
    </row>
    <row r="1930" spans="2:21" hidden="1" outlineLevel="2">
      <c r="B1930" s="1050"/>
      <c r="C1930" s="1050"/>
      <c r="D1930" s="1051">
        <f t="shared" si="158"/>
        <v>102</v>
      </c>
      <c r="E1930" s="1051" t="str">
        <f>IF(COUNTIF(E$1615:E1929,F1930)&gt;0,"",F1930)</f>
        <v>2019 - usage : Cuisson résidentiel, France continentale, Base Carbone</v>
      </c>
      <c r="F1930" s="1051" t="str">
        <f t="shared" si="159"/>
        <v>2019 - usage : Cuisson résidentiel, France continentale, Base Carbone</v>
      </c>
      <c r="G1930" s="1055" t="str">
        <f t="shared" si="160"/>
        <v>2019 - usage : Cuisson résidentiel, France continentale, Base Carbone; kgCO2e/kWh, Combustion à la centrale</v>
      </c>
      <c r="I1930" s="2018" t="s">
        <v>5022</v>
      </c>
      <c r="J1930" s="1135" t="s">
        <v>1681</v>
      </c>
      <c r="K1930" s="1119" t="s">
        <v>1567</v>
      </c>
      <c r="L1930" s="1119" t="s">
        <v>1571</v>
      </c>
      <c r="M1930" s="1134">
        <v>0.3</v>
      </c>
      <c r="N1930" s="1135" t="s">
        <v>1763</v>
      </c>
      <c r="O1930" s="1135">
        <v>4.1399999999999999E-2</v>
      </c>
      <c r="P1930" s="1048"/>
      <c r="Q1930" s="1048"/>
      <c r="R1930" s="1158"/>
      <c r="S1930" s="1048"/>
      <c r="T1930" s="1048"/>
      <c r="U1930" s="1102"/>
    </row>
    <row r="1931" spans="2:21" hidden="1" outlineLevel="2">
      <c r="B1931" s="1050"/>
      <c r="C1931" s="1050"/>
      <c r="D1931" s="1051">
        <f t="shared" si="158"/>
        <v>102</v>
      </c>
      <c r="E1931" s="1051" t="str">
        <f>IF(COUNTIF(E$1615:E1930,F1931)&gt;0,"",F1931)</f>
        <v/>
      </c>
      <c r="F1931" s="1051" t="str">
        <f t="shared" si="159"/>
        <v>2019 - usage : Cuisson résidentiel, France continentale, Base Carbone</v>
      </c>
      <c r="G1931" s="1055" t="str">
        <f t="shared" si="160"/>
        <v>2019 - usage : Cuisson résidentiel, France continentale, Base Carbone; kgCO2e/kWh, Amont</v>
      </c>
      <c r="I1931" s="2018" t="s">
        <v>5022</v>
      </c>
      <c r="J1931" s="1135" t="s">
        <v>1681</v>
      </c>
      <c r="K1931" s="1119" t="s">
        <v>1567</v>
      </c>
      <c r="L1931" s="1119" t="s">
        <v>1571</v>
      </c>
      <c r="M1931" s="1134">
        <v>0.3</v>
      </c>
      <c r="N1931" s="1135" t="s">
        <v>1570</v>
      </c>
      <c r="O1931" s="1135">
        <v>1.3599999999999999E-2</v>
      </c>
      <c r="P1931" s="1048"/>
      <c r="Q1931" s="1048"/>
      <c r="R1931" s="1158"/>
      <c r="S1931" s="1048"/>
      <c r="T1931" s="1048"/>
      <c r="U1931" s="1102"/>
    </row>
    <row r="1932" spans="2:21" hidden="1" outlineLevel="2">
      <c r="B1932" s="1050"/>
      <c r="C1932" s="1050"/>
      <c r="D1932" s="1051">
        <f t="shared" si="158"/>
        <v>102</v>
      </c>
      <c r="E1932" s="1051" t="str">
        <f>IF(COUNTIF(E$1615:E1931,F1932)&gt;0,"",F1932)</f>
        <v/>
      </c>
      <c r="F1932" s="1051" t="str">
        <f t="shared" si="159"/>
        <v>2019 - usage : Cuisson résidentiel, France continentale, Base Carbone</v>
      </c>
      <c r="G1932" s="1055" t="str">
        <f t="shared" si="160"/>
        <v>2019 - usage : Cuisson résidentiel, France continentale, Base Carbone; kgCO2e/kWh, Pertes</v>
      </c>
      <c r="I1932" s="2018" t="s">
        <v>5022</v>
      </c>
      <c r="J1932" s="1135" t="s">
        <v>1681</v>
      </c>
      <c r="K1932" s="1119" t="s">
        <v>1567</v>
      </c>
      <c r="L1932" s="1119" t="s">
        <v>1571</v>
      </c>
      <c r="M1932" s="1134">
        <v>0.3</v>
      </c>
      <c r="N1932" s="1135" t="s">
        <v>1766</v>
      </c>
      <c r="O1932" s="1135">
        <v>4.5199999999999997E-3</v>
      </c>
      <c r="P1932" s="1048"/>
      <c r="Q1932" s="1048"/>
      <c r="R1932" s="1158"/>
      <c r="S1932" s="1048"/>
      <c r="T1932" s="1048"/>
      <c r="U1932" s="1102"/>
    </row>
    <row r="1933" spans="2:21" hidden="1" outlineLevel="2">
      <c r="B1933" s="1050"/>
      <c r="C1933" s="1050"/>
      <c r="D1933" s="1051">
        <f t="shared" si="158"/>
        <v>103</v>
      </c>
      <c r="E1933" s="1051" t="str">
        <f>IF(COUNTIF(E$1615:E1932,F1933)&gt;0,"",F1933)</f>
        <v>2019 - usage : Eau Chaude Sanitaire, France continentale, Base Carbone</v>
      </c>
      <c r="F1933" s="1051" t="str">
        <f t="shared" si="159"/>
        <v>2019 - usage : Eau Chaude Sanitaire, France continentale, Base Carbone</v>
      </c>
      <c r="G1933" s="1055" t="str">
        <f t="shared" si="160"/>
        <v>2019 - usage : Eau Chaude Sanitaire, France continentale, Base Carbone; kgCO2e/kWh, Combustion à la centrale</v>
      </c>
      <c r="I1933" s="2018" t="s">
        <v>5023</v>
      </c>
      <c r="J1933" s="1135" t="s">
        <v>1681</v>
      </c>
      <c r="K1933" s="1119" t="s">
        <v>1567</v>
      </c>
      <c r="L1933" s="1119" t="s">
        <v>1571</v>
      </c>
      <c r="M1933" s="1134">
        <v>0.3</v>
      </c>
      <c r="N1933" s="1135" t="s">
        <v>1763</v>
      </c>
      <c r="O1933" s="1135">
        <v>4.1399999999999999E-2</v>
      </c>
      <c r="P1933" s="1048"/>
      <c r="Q1933" s="1048"/>
      <c r="R1933" s="1158"/>
      <c r="S1933" s="1048"/>
      <c r="T1933" s="1048"/>
      <c r="U1933" s="1102"/>
    </row>
    <row r="1934" spans="2:21" hidden="1" outlineLevel="2">
      <c r="B1934" s="1050"/>
      <c r="C1934" s="1050"/>
      <c r="D1934" s="1051">
        <f t="shared" si="158"/>
        <v>103</v>
      </c>
      <c r="E1934" s="1051" t="str">
        <f>IF(COUNTIF(E$1615:E1933,F1934)&gt;0,"",F1934)</f>
        <v/>
      </c>
      <c r="F1934" s="1051" t="str">
        <f t="shared" si="159"/>
        <v>2019 - usage : Eau Chaude Sanitaire, France continentale, Base Carbone</v>
      </c>
      <c r="G1934" s="1055" t="str">
        <f t="shared" si="160"/>
        <v>2019 - usage : Eau Chaude Sanitaire, France continentale, Base Carbone; kgCO2e/kWh, Amont</v>
      </c>
      <c r="I1934" s="2018" t="s">
        <v>5023</v>
      </c>
      <c r="J1934" s="1135" t="s">
        <v>1681</v>
      </c>
      <c r="K1934" s="1119" t="s">
        <v>1567</v>
      </c>
      <c r="L1934" s="1119" t="s">
        <v>1571</v>
      </c>
      <c r="M1934" s="1134">
        <v>0.3</v>
      </c>
      <c r="N1934" s="1135" t="s">
        <v>1570</v>
      </c>
      <c r="O1934" s="1135">
        <v>1.3599999999999999E-2</v>
      </c>
      <c r="P1934" s="1048"/>
      <c r="Q1934" s="1048"/>
      <c r="R1934" s="1158"/>
      <c r="S1934" s="1048"/>
      <c r="T1934" s="1048"/>
      <c r="U1934" s="1102"/>
    </row>
    <row r="1935" spans="2:21" hidden="1" outlineLevel="2">
      <c r="B1935" s="1050"/>
      <c r="C1935" s="1050"/>
      <c r="D1935" s="1051">
        <f t="shared" si="158"/>
        <v>103</v>
      </c>
      <c r="E1935" s="1051" t="str">
        <f>IF(COUNTIF(E$1615:E1934,F1935)&gt;0,"",F1935)</f>
        <v/>
      </c>
      <c r="F1935" s="1051" t="str">
        <f t="shared" si="159"/>
        <v>2019 - usage : Eau Chaude Sanitaire, France continentale, Base Carbone</v>
      </c>
      <c r="G1935" s="1055" t="str">
        <f t="shared" si="160"/>
        <v>2019 - usage : Eau Chaude Sanitaire, France continentale, Base Carbone; kgCO2e/kWh, Pertes</v>
      </c>
      <c r="I1935" s="2018" t="s">
        <v>5023</v>
      </c>
      <c r="J1935" s="1135" t="s">
        <v>1681</v>
      </c>
      <c r="K1935" s="1119" t="s">
        <v>1567</v>
      </c>
      <c r="L1935" s="1119" t="s">
        <v>1571</v>
      </c>
      <c r="M1935" s="1134">
        <v>0.3</v>
      </c>
      <c r="N1935" s="1135" t="s">
        <v>1766</v>
      </c>
      <c r="O1935" s="1135">
        <v>4.5199999999999997E-3</v>
      </c>
      <c r="P1935" s="1048"/>
      <c r="Q1935" s="1048"/>
      <c r="R1935" s="1158"/>
      <c r="S1935" s="1048"/>
      <c r="T1935" s="1048"/>
      <c r="U1935" s="1102"/>
    </row>
    <row r="1936" spans="2:21" hidden="1" outlineLevel="2">
      <c r="B1936" s="1050"/>
      <c r="C1936" s="1050"/>
      <c r="D1936" s="1051">
        <f t="shared" si="158"/>
        <v>104</v>
      </c>
      <c r="E1936" s="1051" t="str">
        <f>IF(COUNTIF(E$1615:E1935,F1936)&gt;0,"",F1936)</f>
        <v>2019 - usage : Eclairage public, France continentale, Base Carbone</v>
      </c>
      <c r="F1936" s="1051" t="str">
        <f t="shared" si="159"/>
        <v>2019 - usage : Eclairage public, France continentale, Base Carbone</v>
      </c>
      <c r="G1936" s="1055" t="str">
        <f t="shared" si="160"/>
        <v>2019 - usage : Eclairage public, France continentale, Base Carbone; kgCO2e/kWh, Combustion à la centrale</v>
      </c>
      <c r="I1936" s="2018" t="s">
        <v>5024</v>
      </c>
      <c r="J1936" s="1135" t="s">
        <v>1681</v>
      </c>
      <c r="K1936" s="1119" t="s">
        <v>1567</v>
      </c>
      <c r="L1936" s="1119" t="s">
        <v>1571</v>
      </c>
      <c r="M1936" s="1134">
        <v>0.3</v>
      </c>
      <c r="N1936" s="1135" t="s">
        <v>1763</v>
      </c>
      <c r="O1936" s="1135">
        <v>4.3499999999999997E-2</v>
      </c>
      <c r="P1936" s="1048"/>
      <c r="Q1936" s="1048"/>
      <c r="R1936" s="1158"/>
      <c r="S1936" s="1048"/>
      <c r="T1936" s="1048"/>
      <c r="U1936" s="1102"/>
    </row>
    <row r="1937" spans="2:21" hidden="1" outlineLevel="2">
      <c r="B1937" s="1050"/>
      <c r="C1937" s="1050"/>
      <c r="D1937" s="1051">
        <f t="shared" ref="D1937:D1951" si="161">D1936+IF(LEN(E1937)=0,0,1)</f>
        <v>104</v>
      </c>
      <c r="E1937" s="1051" t="str">
        <f>IF(COUNTIF(E$1615:E1936,F1937)&gt;0,"",F1937)</f>
        <v/>
      </c>
      <c r="F1937" s="1051" t="str">
        <f t="shared" ref="F1937:F1951" si="162">IF(I1937&lt;&gt;"",I1937&amp;IF(L1937&lt;&gt;"",", "&amp;L1937,"")&amp;IF(K1937&lt;&gt;"",", "&amp;K1937,""),"")</f>
        <v>2019 - usage : Eclairage public, France continentale, Base Carbone</v>
      </c>
      <c r="G1937" s="1055" t="str">
        <f t="shared" ref="G1937:G1951" si="163">IF(F1937&lt;&gt;"",F1937&amp;IF(J1937&lt;&gt;"","; "&amp;J1937,"")&amp;IF(N1937&lt;&gt;"",", "&amp;N1937,""),"")</f>
        <v>2019 - usage : Eclairage public, France continentale, Base Carbone; kgCO2e/kWh, Amont</v>
      </c>
      <c r="I1937" s="2018" t="s">
        <v>5024</v>
      </c>
      <c r="J1937" s="1135" t="s">
        <v>1681</v>
      </c>
      <c r="K1937" s="1119" t="s">
        <v>1567</v>
      </c>
      <c r="L1937" s="1119" t="s">
        <v>1571</v>
      </c>
      <c r="M1937" s="1134">
        <v>0.3</v>
      </c>
      <c r="N1937" s="1135" t="s">
        <v>1570</v>
      </c>
      <c r="O1937" s="1135">
        <v>1.38E-2</v>
      </c>
      <c r="P1937" s="1048"/>
      <c r="Q1937" s="1048"/>
      <c r="R1937" s="1158"/>
      <c r="S1937" s="1048"/>
      <c r="T1937" s="1048"/>
      <c r="U1937" s="1102"/>
    </row>
    <row r="1938" spans="2:21" hidden="1" outlineLevel="2">
      <c r="B1938" s="1050"/>
      <c r="C1938" s="1050"/>
      <c r="D1938" s="1051">
        <f t="shared" si="161"/>
        <v>104</v>
      </c>
      <c r="E1938" s="1051" t="str">
        <f>IF(COUNTIF(E$1615:E1937,F1938)&gt;0,"",F1938)</f>
        <v/>
      </c>
      <c r="F1938" s="1051" t="str">
        <f t="shared" si="162"/>
        <v>2019 - usage : Eclairage public, France continentale, Base Carbone</v>
      </c>
      <c r="G1938" s="1055" t="str">
        <f t="shared" si="163"/>
        <v>2019 - usage : Eclairage public, France continentale, Base Carbone; kgCO2e/kWh, Pertes</v>
      </c>
      <c r="I1938" s="2018" t="s">
        <v>5024</v>
      </c>
      <c r="J1938" s="1135" t="s">
        <v>1681</v>
      </c>
      <c r="K1938" s="1119" t="s">
        <v>1567</v>
      </c>
      <c r="L1938" s="1119" t="s">
        <v>1571</v>
      </c>
      <c r="M1938" s="1134">
        <v>0.3</v>
      </c>
      <c r="N1938" s="1135" t="s">
        <v>1766</v>
      </c>
      <c r="O1938" s="1135">
        <v>4.5199999999999997E-3</v>
      </c>
      <c r="P1938" s="1048"/>
      <c r="Q1938" s="1048"/>
      <c r="R1938" s="1158"/>
      <c r="S1938" s="1048"/>
      <c r="T1938" s="1048"/>
      <c r="U1938" s="1102"/>
    </row>
    <row r="1939" spans="2:21" hidden="1" outlineLevel="2">
      <c r="B1939" s="1050"/>
      <c r="C1939" s="1050"/>
      <c r="D1939" s="1051">
        <f t="shared" si="161"/>
        <v>105</v>
      </c>
      <c r="E1939" s="1051" t="str">
        <f>IF(COUNTIF(E$1615:E1938,F1939)&gt;0,"",F1939)</f>
        <v>2019 - usage : Eclairage résidentiel, France continentale, Base Carbone</v>
      </c>
      <c r="F1939" s="1051" t="str">
        <f t="shared" si="162"/>
        <v>2019 - usage : Eclairage résidentiel, France continentale, Base Carbone</v>
      </c>
      <c r="G1939" s="1055" t="str">
        <f t="shared" si="163"/>
        <v>2019 - usage : Eclairage résidentiel, France continentale, Base Carbone; kgCO2e/kWh, Combustion à la centrale</v>
      </c>
      <c r="I1939" s="2018" t="s">
        <v>5025</v>
      </c>
      <c r="J1939" s="1135" t="s">
        <v>1681</v>
      </c>
      <c r="K1939" s="1119" t="s">
        <v>1567</v>
      </c>
      <c r="L1939" s="1119" t="s">
        <v>1571</v>
      </c>
      <c r="M1939" s="1134">
        <v>0.3</v>
      </c>
      <c r="N1939" s="1135" t="s">
        <v>1763</v>
      </c>
      <c r="O1939" s="1135">
        <v>4.4699999999999997E-2</v>
      </c>
      <c r="P1939" s="1048"/>
      <c r="Q1939" s="1048"/>
      <c r="R1939" s="1158"/>
      <c r="S1939" s="1048"/>
      <c r="T1939" s="1048"/>
      <c r="U1939" s="1102"/>
    </row>
    <row r="1940" spans="2:21" hidden="1" outlineLevel="2">
      <c r="B1940" s="1050"/>
      <c r="C1940" s="1050"/>
      <c r="D1940" s="1051">
        <f t="shared" si="161"/>
        <v>105</v>
      </c>
      <c r="E1940" s="1051" t="str">
        <f>IF(COUNTIF(E$1615:E1939,F1940)&gt;0,"",F1940)</f>
        <v/>
      </c>
      <c r="F1940" s="1051" t="str">
        <f t="shared" si="162"/>
        <v>2019 - usage : Eclairage résidentiel, France continentale, Base Carbone</v>
      </c>
      <c r="G1940" s="1055" t="str">
        <f t="shared" si="163"/>
        <v>2019 - usage : Eclairage résidentiel, France continentale, Base Carbone; kgCO2e/kWh, Amont</v>
      </c>
      <c r="I1940" s="2018" t="s">
        <v>5025</v>
      </c>
      <c r="J1940" s="1135" t="s">
        <v>1681</v>
      </c>
      <c r="K1940" s="1119" t="s">
        <v>1567</v>
      </c>
      <c r="L1940" s="1119" t="s">
        <v>1571</v>
      </c>
      <c r="M1940" s="1134">
        <v>0.3</v>
      </c>
      <c r="N1940" s="1135" t="s">
        <v>1570</v>
      </c>
      <c r="O1940" s="1135">
        <v>1.4E-2</v>
      </c>
      <c r="P1940" s="1048"/>
      <c r="Q1940" s="1048"/>
      <c r="R1940" s="1158"/>
      <c r="S1940" s="1048"/>
      <c r="T1940" s="1048"/>
      <c r="U1940" s="1102"/>
    </row>
    <row r="1941" spans="2:21" hidden="1" outlineLevel="2">
      <c r="B1941" s="1050"/>
      <c r="C1941" s="1050"/>
      <c r="D1941" s="1051">
        <f t="shared" si="161"/>
        <v>105</v>
      </c>
      <c r="E1941" s="1051" t="str">
        <f>IF(COUNTIF(E$1615:E1940,F1941)&gt;0,"",F1941)</f>
        <v/>
      </c>
      <c r="F1941" s="1051" t="str">
        <f t="shared" si="162"/>
        <v>2019 - usage : Eclairage résidentiel, France continentale, Base Carbone</v>
      </c>
      <c r="G1941" s="1055" t="str">
        <f t="shared" si="163"/>
        <v>2019 - usage : Eclairage résidentiel, France continentale, Base Carbone; kgCO2e/kWh, Pertes</v>
      </c>
      <c r="I1941" s="2018" t="s">
        <v>5025</v>
      </c>
      <c r="J1941" s="1135" t="s">
        <v>1681</v>
      </c>
      <c r="K1941" s="1119" t="s">
        <v>1567</v>
      </c>
      <c r="L1941" s="1119" t="s">
        <v>1571</v>
      </c>
      <c r="M1941" s="1134">
        <v>0.3</v>
      </c>
      <c r="N1941" s="1135" t="s">
        <v>1766</v>
      </c>
      <c r="O1941" s="1135">
        <v>4.5199999999999997E-3</v>
      </c>
      <c r="P1941" s="1048"/>
      <c r="Q1941" s="1048"/>
      <c r="R1941" s="1158"/>
      <c r="S1941" s="1048"/>
      <c r="T1941" s="1048"/>
      <c r="U1941" s="1102"/>
    </row>
    <row r="1942" spans="2:21" hidden="1" outlineLevel="2">
      <c r="B1942" s="1050"/>
      <c r="C1942" s="1050"/>
      <c r="D1942" s="1051">
        <f t="shared" si="161"/>
        <v>106</v>
      </c>
      <c r="E1942" s="1051" t="str">
        <f>IF(COUNTIF(E$1615:E1941,F1942)&gt;0,"",F1942)</f>
        <v>2019 - usage : Froid, France continentale, Base Carbone</v>
      </c>
      <c r="F1942" s="1051" t="str">
        <f t="shared" si="162"/>
        <v>2019 - usage : Froid, France continentale, Base Carbone</v>
      </c>
      <c r="G1942" s="1055" t="str">
        <f t="shared" si="163"/>
        <v>2019 - usage : Froid, France continentale, Base Carbone; kgCO2e/kWh, Combustion à la centrale</v>
      </c>
      <c r="I1942" s="2018" t="s">
        <v>5026</v>
      </c>
      <c r="J1942" s="1135" t="s">
        <v>1681</v>
      </c>
      <c r="K1942" s="1119" t="s">
        <v>1567</v>
      </c>
      <c r="L1942" s="1119" t="s">
        <v>1571</v>
      </c>
      <c r="M1942" s="1134">
        <v>0.3</v>
      </c>
      <c r="N1942" s="1135" t="s">
        <v>1763</v>
      </c>
      <c r="O1942" s="1135">
        <v>4.07E-2</v>
      </c>
      <c r="P1942" s="1048"/>
      <c r="Q1942" s="1048"/>
      <c r="R1942" s="1158"/>
      <c r="S1942" s="1048"/>
      <c r="T1942" s="1048"/>
      <c r="U1942" s="1102"/>
    </row>
    <row r="1943" spans="2:21" hidden="1" outlineLevel="2">
      <c r="B1943" s="1050"/>
      <c r="C1943" s="1050"/>
      <c r="D1943" s="1051">
        <f t="shared" si="161"/>
        <v>106</v>
      </c>
      <c r="E1943" s="1051" t="str">
        <f>IF(COUNTIF(E$1615:E1942,F1943)&gt;0,"",F1943)</f>
        <v/>
      </c>
      <c r="F1943" s="1051" t="str">
        <f t="shared" si="162"/>
        <v>2019 - usage : Froid, France continentale, Base Carbone</v>
      </c>
      <c r="G1943" s="1055" t="str">
        <f t="shared" si="163"/>
        <v>2019 - usage : Froid, France continentale, Base Carbone; kgCO2e/kWh, Amont</v>
      </c>
      <c r="I1943" s="2018" t="s">
        <v>5026</v>
      </c>
      <c r="J1943" s="1135" t="s">
        <v>1681</v>
      </c>
      <c r="K1943" s="1119" t="s">
        <v>1567</v>
      </c>
      <c r="L1943" s="1119" t="s">
        <v>1571</v>
      </c>
      <c r="M1943" s="1134">
        <v>0.3</v>
      </c>
      <c r="N1943" s="1135" t="s">
        <v>1570</v>
      </c>
      <c r="O1943" s="1135">
        <v>1.35E-2</v>
      </c>
      <c r="P1943" s="1048"/>
      <c r="Q1943" s="1048"/>
      <c r="R1943" s="1158"/>
      <c r="S1943" s="1048"/>
      <c r="T1943" s="1048"/>
      <c r="U1943" s="1102"/>
    </row>
    <row r="1944" spans="2:21" hidden="1" outlineLevel="2">
      <c r="B1944" s="1050"/>
      <c r="C1944" s="1050"/>
      <c r="D1944" s="1051">
        <f t="shared" si="161"/>
        <v>106</v>
      </c>
      <c r="E1944" s="1051" t="str">
        <f>IF(COUNTIF(E$1615:E1943,F1944)&gt;0,"",F1944)</f>
        <v/>
      </c>
      <c r="F1944" s="1051" t="str">
        <f t="shared" si="162"/>
        <v>2019 - usage : Froid, France continentale, Base Carbone</v>
      </c>
      <c r="G1944" s="1055" t="str">
        <f t="shared" si="163"/>
        <v>2019 - usage : Froid, France continentale, Base Carbone; kgCO2e/kWh, Pertes</v>
      </c>
      <c r="I1944" s="2018" t="s">
        <v>5026</v>
      </c>
      <c r="J1944" s="1135" t="s">
        <v>1681</v>
      </c>
      <c r="K1944" s="1119" t="s">
        <v>1567</v>
      </c>
      <c r="L1944" s="1119" t="s">
        <v>1571</v>
      </c>
      <c r="M1944" s="1134">
        <v>0.3</v>
      </c>
      <c r="N1944" s="1135" t="s">
        <v>1766</v>
      </c>
      <c r="O1944" s="1135">
        <v>4.5199999999999997E-3</v>
      </c>
      <c r="P1944" s="1048"/>
      <c r="Q1944" s="1048"/>
      <c r="R1944" s="1158"/>
      <c r="S1944" s="1048"/>
      <c r="T1944" s="1048"/>
      <c r="U1944" s="1102"/>
    </row>
    <row r="1945" spans="2:21" hidden="1" outlineLevel="2">
      <c r="B1945" s="1050"/>
      <c r="C1945" s="1050"/>
      <c r="D1945" s="1051">
        <f t="shared" si="161"/>
        <v>107</v>
      </c>
      <c r="E1945" s="1051" t="str">
        <f>IF(COUNTIF(E$1615:E1944,F1945)&gt;0,"",F1945)</f>
        <v>2019 - usage : Industrie base, France continentale, Base Carbone</v>
      </c>
      <c r="F1945" s="1051" t="str">
        <f t="shared" si="162"/>
        <v>2019 - usage : Industrie base, France continentale, Base Carbone</v>
      </c>
      <c r="G1945" s="1055" t="str">
        <f t="shared" si="163"/>
        <v>2019 - usage : Industrie base, France continentale, Base Carbone; kgCO2e/kWh, Combustion à la centrale</v>
      </c>
      <c r="I1945" s="2018" t="s">
        <v>5027</v>
      </c>
      <c r="J1945" s="1135" t="s">
        <v>1681</v>
      </c>
      <c r="K1945" s="1119" t="s">
        <v>1567</v>
      </c>
      <c r="L1945" s="1119" t="s">
        <v>1571</v>
      </c>
      <c r="M1945" s="1134">
        <v>0.3</v>
      </c>
      <c r="N1945" s="1135" t="s">
        <v>1763</v>
      </c>
      <c r="O1945" s="1135">
        <v>4.07E-2</v>
      </c>
      <c r="P1945" s="1048"/>
      <c r="Q1945" s="1048"/>
      <c r="R1945" s="1158"/>
      <c r="S1945" s="1048"/>
      <c r="T1945" s="1048"/>
      <c r="U1945" s="1102"/>
    </row>
    <row r="1946" spans="2:21" hidden="1" outlineLevel="2">
      <c r="B1946" s="1050"/>
      <c r="C1946" s="1050"/>
      <c r="D1946" s="1051">
        <f t="shared" si="161"/>
        <v>107</v>
      </c>
      <c r="E1946" s="1051" t="str">
        <f>IF(COUNTIF(E$1615:E1945,F1946)&gt;0,"",F1946)</f>
        <v/>
      </c>
      <c r="F1946" s="1051" t="str">
        <f t="shared" si="162"/>
        <v>2019 - usage : Industrie base, France continentale, Base Carbone</v>
      </c>
      <c r="G1946" s="1055" t="str">
        <f t="shared" si="163"/>
        <v>2019 - usage : Industrie base, France continentale, Base Carbone; kgCO2e/kWh, Amont</v>
      </c>
      <c r="I1946" s="2018" t="s">
        <v>5027</v>
      </c>
      <c r="J1946" s="1135" t="s">
        <v>1681</v>
      </c>
      <c r="K1946" s="1119" t="s">
        <v>1567</v>
      </c>
      <c r="L1946" s="1119" t="s">
        <v>1571</v>
      </c>
      <c r="M1946" s="1134">
        <v>0.3</v>
      </c>
      <c r="N1946" s="1135" t="s">
        <v>1570</v>
      </c>
      <c r="O1946" s="1135">
        <v>1.35E-2</v>
      </c>
      <c r="P1946" s="1048"/>
      <c r="Q1946" s="1048"/>
      <c r="R1946" s="1158"/>
      <c r="S1946" s="1048"/>
      <c r="T1946" s="1048"/>
      <c r="U1946" s="1102"/>
    </row>
    <row r="1947" spans="2:21" hidden="1" outlineLevel="2">
      <c r="B1947" s="1050"/>
      <c r="C1947" s="1050"/>
      <c r="D1947" s="1051">
        <f t="shared" si="161"/>
        <v>107</v>
      </c>
      <c r="E1947" s="1051" t="str">
        <f>IF(COUNTIF(E$1615:E1946,F1947)&gt;0,"",F1947)</f>
        <v/>
      </c>
      <c r="F1947" s="1051" t="str">
        <f t="shared" si="162"/>
        <v>2019 - usage : Industrie base, France continentale, Base Carbone</v>
      </c>
      <c r="G1947" s="1055" t="str">
        <f t="shared" si="163"/>
        <v>2019 - usage : Industrie base, France continentale, Base Carbone; kgCO2e/kWh, Pertes</v>
      </c>
      <c r="I1947" s="2018" t="s">
        <v>5027</v>
      </c>
      <c r="J1947" s="1135" t="s">
        <v>1681</v>
      </c>
      <c r="K1947" s="1119" t="s">
        <v>1567</v>
      </c>
      <c r="L1947" s="1119" t="s">
        <v>1571</v>
      </c>
      <c r="M1947" s="1134">
        <v>0.3</v>
      </c>
      <c r="N1947" s="1135" t="s">
        <v>1766</v>
      </c>
      <c r="O1947" s="1135">
        <v>4.5199999999999997E-3</v>
      </c>
      <c r="P1947" s="1048"/>
      <c r="Q1947" s="1048"/>
      <c r="R1947" s="1158"/>
      <c r="S1947" s="1048"/>
      <c r="T1947" s="1048"/>
      <c r="U1947" s="1102"/>
    </row>
    <row r="1948" spans="2:21" hidden="1" outlineLevel="2">
      <c r="B1948" s="1050"/>
      <c r="C1948" s="1050"/>
      <c r="D1948" s="1051">
        <f t="shared" si="161"/>
        <v>108</v>
      </c>
      <c r="E1948" s="1051" t="str">
        <f>IF(COUNTIF(E$1615:E1947,F1948)&gt;0,"",F1948)</f>
        <v>2019 - usage : Transports, France continentale, Base Carbone</v>
      </c>
      <c r="F1948" s="1051" t="str">
        <f t="shared" si="162"/>
        <v>2019 - usage : Transports, France continentale, Base Carbone</v>
      </c>
      <c r="G1948" s="1055" t="str">
        <f t="shared" si="163"/>
        <v>2019 - usage : Transports, France continentale, Base Carbone; kgCO2e/kWh, Combustion à la centrale</v>
      </c>
      <c r="I1948" s="2018" t="s">
        <v>5028</v>
      </c>
      <c r="J1948" s="1135" t="s">
        <v>1681</v>
      </c>
      <c r="K1948" s="1119" t="s">
        <v>1567</v>
      </c>
      <c r="L1948" s="1119" t="s">
        <v>1571</v>
      </c>
      <c r="M1948" s="1134">
        <v>0.3</v>
      </c>
      <c r="N1948" s="1135" t="s">
        <v>1763</v>
      </c>
      <c r="O1948" s="1135">
        <v>4.2000000000000003E-2</v>
      </c>
      <c r="P1948" s="1048"/>
      <c r="Q1948" s="1048"/>
      <c r="R1948" s="1158"/>
      <c r="S1948" s="1048"/>
      <c r="T1948" s="1048"/>
      <c r="U1948" s="1102"/>
    </row>
    <row r="1949" spans="2:21" hidden="1" outlineLevel="2">
      <c r="B1949" s="1050"/>
      <c r="C1949" s="1050"/>
      <c r="D1949" s="1051">
        <f t="shared" si="161"/>
        <v>108</v>
      </c>
      <c r="E1949" s="1051" t="str">
        <f>IF(COUNTIF(E$1615:E1948,F1949)&gt;0,"",F1949)</f>
        <v/>
      </c>
      <c r="F1949" s="1051" t="str">
        <f t="shared" si="162"/>
        <v>2019 - usage : Transports, France continentale, Base Carbone</v>
      </c>
      <c r="G1949" s="1055" t="str">
        <f t="shared" si="163"/>
        <v>2019 - usage : Transports, France continentale, Base Carbone; kgCO2e/kWh, Amont</v>
      </c>
      <c r="I1949" s="2018" t="s">
        <v>5028</v>
      </c>
      <c r="J1949" s="1135" t="s">
        <v>1681</v>
      </c>
      <c r="K1949" s="1119" t="s">
        <v>1567</v>
      </c>
      <c r="L1949" s="1119" t="s">
        <v>1571</v>
      </c>
      <c r="M1949" s="1134">
        <v>0.3</v>
      </c>
      <c r="N1949" s="1135" t="s">
        <v>1570</v>
      </c>
      <c r="O1949" s="1135">
        <v>1.37E-2</v>
      </c>
      <c r="P1949" s="1048"/>
      <c r="Q1949" s="1048"/>
      <c r="R1949" s="1158"/>
      <c r="S1949" s="1048"/>
      <c r="T1949" s="1048"/>
      <c r="U1949" s="1102"/>
    </row>
    <row r="1950" spans="2:21" hidden="1" outlineLevel="2">
      <c r="B1950" s="1050"/>
      <c r="C1950" s="1050"/>
      <c r="D1950" s="1051">
        <f t="shared" si="161"/>
        <v>108</v>
      </c>
      <c r="E1950" s="1051" t="str">
        <f>IF(COUNTIF(E$1615:E1949,F1950)&gt;0,"",F1950)</f>
        <v/>
      </c>
      <c r="F1950" s="1051" t="str">
        <f t="shared" si="162"/>
        <v>2019 - usage : Transports, France continentale, Base Carbone</v>
      </c>
      <c r="G1950" s="1055" t="str">
        <f t="shared" si="163"/>
        <v>2019 - usage : Transports, France continentale, Base Carbone; kgCO2e/kWh, Pertes</v>
      </c>
      <c r="I1950" s="2018" t="s">
        <v>5028</v>
      </c>
      <c r="J1950" s="1135" t="s">
        <v>1681</v>
      </c>
      <c r="K1950" s="1119" t="s">
        <v>1567</v>
      </c>
      <c r="L1950" s="1119" t="s">
        <v>1571</v>
      </c>
      <c r="M1950" s="1134">
        <v>0.3</v>
      </c>
      <c r="N1950" s="1135" t="s">
        <v>1766</v>
      </c>
      <c r="O1950" s="1135">
        <v>4.5199999999999997E-3</v>
      </c>
      <c r="P1950" s="1048"/>
      <c r="Q1950" s="1048"/>
      <c r="R1950" s="1158"/>
      <c r="S1950" s="1048"/>
      <c r="T1950" s="1048"/>
      <c r="U1950" s="1102"/>
    </row>
    <row r="1951" spans="2:21" hidden="1" outlineLevel="2">
      <c r="B1951" s="1050"/>
      <c r="C1951" s="1050"/>
      <c r="D1951" s="1051">
        <f t="shared" si="161"/>
        <v>108</v>
      </c>
      <c r="E1951" s="1051" t="str">
        <f>IF(COUNTIF(E$1615:E1950,F1951)&gt;0,"",F1951)</f>
        <v/>
      </c>
      <c r="F1951" s="1051" t="str">
        <f t="shared" si="162"/>
        <v/>
      </c>
      <c r="G1951" s="1055" t="str">
        <f t="shared" si="163"/>
        <v/>
      </c>
      <c r="I1951" s="2018"/>
      <c r="J1951" s="1135"/>
      <c r="K1951" s="1119"/>
      <c r="L1951" s="1119"/>
      <c r="M1951" s="1134"/>
      <c r="N1951" s="1135"/>
      <c r="O1951" s="1135"/>
      <c r="P1951" s="1048"/>
      <c r="Q1951" s="1048"/>
      <c r="R1951" s="1158"/>
      <c r="S1951" s="1048"/>
      <c r="T1951" s="1048"/>
      <c r="U1951" s="1102"/>
    </row>
    <row r="1952" spans="2:21" hidden="1" outlineLevel="2">
      <c r="B1952" s="1050"/>
      <c r="C1952" s="1050"/>
      <c r="D1952" s="1051">
        <f t="shared" ref="D1952:D1984" si="164">D1951+IF(LEN(E1952)=0,0,1)</f>
        <v>109</v>
      </c>
      <c r="E1952" s="1051" t="str">
        <f>IF(COUNTIF(E$1615:E1951,F1952)&gt;0,"",F1952)</f>
        <v>2020 - usage : Autres (BTP. recherche. armée. etc.), France continentale, Base Carbone</v>
      </c>
      <c r="F1952" s="1051" t="str">
        <f t="shared" ref="F1952:F1984" si="165">IF(I1952&lt;&gt;"",I1952&amp;IF(L1952&lt;&gt;"",", "&amp;L1952,"")&amp;IF(K1952&lt;&gt;"",", "&amp;K1952,""),"")</f>
        <v>2020 - usage : Autres (BTP. recherche. armée. etc.), France continentale, Base Carbone</v>
      </c>
      <c r="G1952" s="1055" t="str">
        <f t="shared" ref="G1952:G1984" si="166">IF(F1952&lt;&gt;"",F1952&amp;IF(J1952&lt;&gt;"","; "&amp;J1952,"")&amp;IF(N1952&lt;&gt;"",", "&amp;N1952,""),"")</f>
        <v>2020 - usage : Autres (BTP. recherche. armée. etc.), France continentale, Base Carbone; kgCO2e/kWh, Combustion à la centrale</v>
      </c>
      <c r="I1952" s="2018" t="s">
        <v>5029</v>
      </c>
      <c r="J1952" s="1135" t="s">
        <v>1681</v>
      </c>
      <c r="K1952" s="1119" t="s">
        <v>1567</v>
      </c>
      <c r="L1952" s="1119" t="s">
        <v>1571</v>
      </c>
      <c r="M1952" s="1134">
        <v>0.3</v>
      </c>
      <c r="N1952" s="1135" t="s">
        <v>1763</v>
      </c>
      <c r="O1952" s="1135">
        <v>4.0300000000000002E-2</v>
      </c>
      <c r="P1952" s="1048"/>
      <c r="Q1952" s="1048"/>
      <c r="R1952" s="1158"/>
      <c r="S1952" s="1048"/>
      <c r="T1952" s="1048"/>
      <c r="U1952" s="1102"/>
    </row>
    <row r="1953" spans="2:21" hidden="1" outlineLevel="2">
      <c r="B1953" s="1050"/>
      <c r="C1953" s="1050"/>
      <c r="D1953" s="1051">
        <f t="shared" si="164"/>
        <v>109</v>
      </c>
      <c r="E1953" s="1051" t="str">
        <f>IF(COUNTIF(E$1615:E1952,F1953)&gt;0,"",F1953)</f>
        <v/>
      </c>
      <c r="F1953" s="1051" t="str">
        <f t="shared" si="165"/>
        <v>2020 - usage : Autres (BTP. recherche. armée. etc.), France continentale, Base Carbone</v>
      </c>
      <c r="G1953" s="1055" t="str">
        <f t="shared" si="166"/>
        <v>2020 - usage : Autres (BTP. recherche. armée. etc.), France continentale, Base Carbone; kgCO2e/kWh, Amont</v>
      </c>
      <c r="I1953" s="2018" t="s">
        <v>5029</v>
      </c>
      <c r="J1953" s="1135" t="s">
        <v>1681</v>
      </c>
      <c r="K1953" s="1119" t="s">
        <v>1567</v>
      </c>
      <c r="L1953" s="1119" t="s">
        <v>1571</v>
      </c>
      <c r="M1953" s="1134">
        <v>0.3</v>
      </c>
      <c r="N1953" s="1135" t="s">
        <v>1570</v>
      </c>
      <c r="O1953" s="1135">
        <v>1.3899999999999999E-2</v>
      </c>
      <c r="P1953" s="1048"/>
      <c r="Q1953" s="1048"/>
      <c r="R1953" s="1158"/>
      <c r="S1953" s="1048"/>
      <c r="T1953" s="1048"/>
      <c r="U1953" s="1102"/>
    </row>
    <row r="1954" spans="2:21" hidden="1" outlineLevel="2">
      <c r="B1954" s="1050"/>
      <c r="C1954" s="1050"/>
      <c r="D1954" s="1051">
        <f t="shared" si="164"/>
        <v>109</v>
      </c>
      <c r="E1954" s="1051" t="str">
        <f>IF(COUNTIF(E$1615:E1953,F1954)&gt;0,"",F1954)</f>
        <v/>
      </c>
      <c r="F1954" s="1051" t="str">
        <f t="shared" si="165"/>
        <v>2020 - usage : Autres (BTP. recherche. armée. etc.), France continentale, Base Carbone</v>
      </c>
      <c r="G1954" s="1055" t="str">
        <f t="shared" si="166"/>
        <v>2020 - usage : Autres (BTP. recherche. armée. etc.), France continentale, Base Carbone; kgCO2e/kWh, Pertes</v>
      </c>
      <c r="I1954" s="2018" t="s">
        <v>5029</v>
      </c>
      <c r="J1954" s="1135" t="s">
        <v>1681</v>
      </c>
      <c r="K1954" s="1119" t="s">
        <v>1567</v>
      </c>
      <c r="L1954" s="1119" t="s">
        <v>1571</v>
      </c>
      <c r="M1954" s="1134">
        <v>0.3</v>
      </c>
      <c r="N1954" s="1135" t="s">
        <v>1766</v>
      </c>
      <c r="O1954" s="1135">
        <v>4.4799999999999996E-3</v>
      </c>
      <c r="P1954" s="1048"/>
      <c r="Q1954" s="1048"/>
      <c r="R1954" s="1158"/>
      <c r="S1954" s="1048"/>
      <c r="T1954" s="1048"/>
      <c r="U1954" s="1102"/>
    </row>
    <row r="1955" spans="2:21" hidden="1" outlineLevel="2">
      <c r="B1955" s="1050"/>
      <c r="C1955" s="1050"/>
      <c r="D1955" s="1051">
        <f t="shared" si="164"/>
        <v>110</v>
      </c>
      <c r="E1955" s="1051" t="str">
        <f>IF(COUNTIF(E$1615:E1954,F1955)&gt;0,"",F1955)</f>
        <v>2020 - usage : chauffage, France continentale, Base Carbone</v>
      </c>
      <c r="F1955" s="1051" t="str">
        <f t="shared" si="165"/>
        <v>2020 - usage : chauffage, France continentale, Base Carbone</v>
      </c>
      <c r="G1955" s="1055" t="str">
        <f t="shared" si="166"/>
        <v>2020 - usage : chauffage, France continentale, Base Carbone; kgCO2e/kWh, Combustion à la centrale</v>
      </c>
      <c r="I1955" s="2018" t="s">
        <v>5030</v>
      </c>
      <c r="J1955" s="1135" t="s">
        <v>1681</v>
      </c>
      <c r="K1955" s="1119" t="s">
        <v>1567</v>
      </c>
      <c r="L1955" s="1119" t="s">
        <v>1571</v>
      </c>
      <c r="M1955" s="1134">
        <v>0.3</v>
      </c>
      <c r="N1955" s="1135" t="s">
        <v>1763</v>
      </c>
      <c r="O1955" s="1135">
        <v>4.99E-2</v>
      </c>
      <c r="P1955" s="1048"/>
      <c r="Q1955" s="1048"/>
      <c r="R1955" s="1158"/>
      <c r="S1955" s="1048"/>
      <c r="T1955" s="1048"/>
      <c r="U1955" s="1102"/>
    </row>
    <row r="1956" spans="2:21" hidden="1" outlineLevel="2">
      <c r="B1956" s="1050"/>
      <c r="C1956" s="1050"/>
      <c r="D1956" s="1051">
        <f t="shared" si="164"/>
        <v>110</v>
      </c>
      <c r="E1956" s="1051" t="str">
        <f>IF(COUNTIF(E$1615:E1955,F1956)&gt;0,"",F1956)</f>
        <v/>
      </c>
      <c r="F1956" s="1051" t="str">
        <f t="shared" si="165"/>
        <v>2020 - usage : chauffage, France continentale, Base Carbone</v>
      </c>
      <c r="G1956" s="1055" t="str">
        <f t="shared" si="166"/>
        <v>2020 - usage : chauffage, France continentale, Base Carbone; kgCO2e/kWh, Amont</v>
      </c>
      <c r="I1956" s="2018" t="s">
        <v>5030</v>
      </c>
      <c r="J1956" s="1135" t="s">
        <v>1681</v>
      </c>
      <c r="K1956" s="1119" t="s">
        <v>1567</v>
      </c>
      <c r="L1956" s="1119" t="s">
        <v>1571</v>
      </c>
      <c r="M1956" s="1134">
        <v>0.3</v>
      </c>
      <c r="N1956" s="1135" t="s">
        <v>1570</v>
      </c>
      <c r="O1956" s="1135">
        <v>1.49E-2</v>
      </c>
      <c r="P1956" s="1048"/>
      <c r="Q1956" s="1048"/>
      <c r="R1956" s="1158"/>
      <c r="S1956" s="1048"/>
      <c r="T1956" s="1048"/>
      <c r="U1956" s="1102"/>
    </row>
    <row r="1957" spans="2:21" hidden="1" outlineLevel="2">
      <c r="B1957" s="1050"/>
      <c r="C1957" s="1050"/>
      <c r="D1957" s="1051">
        <f t="shared" si="164"/>
        <v>110</v>
      </c>
      <c r="E1957" s="1051" t="str">
        <f>IF(COUNTIF(E$1615:E1956,F1957)&gt;0,"",F1957)</f>
        <v/>
      </c>
      <c r="F1957" s="1051" t="str">
        <f t="shared" si="165"/>
        <v>2020 - usage : chauffage, France continentale, Base Carbone</v>
      </c>
      <c r="G1957" s="1055" t="str">
        <f t="shared" si="166"/>
        <v>2020 - usage : chauffage, France continentale, Base Carbone; kgCO2e/kWh, Pertes</v>
      </c>
      <c r="I1957" s="2018" t="s">
        <v>5030</v>
      </c>
      <c r="J1957" s="1135" t="s">
        <v>1681</v>
      </c>
      <c r="K1957" s="1119" t="s">
        <v>1567</v>
      </c>
      <c r="L1957" s="1119" t="s">
        <v>1571</v>
      </c>
      <c r="M1957" s="1134">
        <v>0.3</v>
      </c>
      <c r="N1957" s="1135" t="s">
        <v>1766</v>
      </c>
      <c r="O1957" s="1135">
        <v>4.4799999999999996E-3</v>
      </c>
      <c r="P1957" s="1048"/>
      <c r="Q1957" s="1048"/>
      <c r="R1957" s="1158"/>
      <c r="S1957" s="1048"/>
      <c r="T1957" s="1048"/>
      <c r="U1957" s="1102"/>
    </row>
    <row r="1958" spans="2:21" hidden="1" outlineLevel="2">
      <c r="B1958" s="1050"/>
      <c r="C1958" s="1050"/>
      <c r="D1958" s="1051">
        <f t="shared" si="164"/>
        <v>111</v>
      </c>
      <c r="E1958" s="1051" t="str">
        <f>IF(COUNTIF(E$1615:E1957,F1958)&gt;0,"",F1958)</f>
        <v>2020 - usage : Cuisson résidentiel, France continentale, Base Carbone</v>
      </c>
      <c r="F1958" s="1051" t="str">
        <f t="shared" si="165"/>
        <v>2020 - usage : Cuisson résidentiel, France continentale, Base Carbone</v>
      </c>
      <c r="G1958" s="1055" t="str">
        <f t="shared" si="166"/>
        <v>2020 - usage : Cuisson résidentiel, France continentale, Base Carbone; kgCO2e/kWh, Combustion à la centrale</v>
      </c>
      <c r="I1958" s="2018" t="s">
        <v>5031</v>
      </c>
      <c r="J1958" s="1135" t="s">
        <v>1681</v>
      </c>
      <c r="K1958" s="1119" t="s">
        <v>1567</v>
      </c>
      <c r="L1958" s="1119" t="s">
        <v>1571</v>
      </c>
      <c r="M1958" s="1134">
        <v>0.3</v>
      </c>
      <c r="N1958" s="1135" t="s">
        <v>1763</v>
      </c>
      <c r="O1958" s="1135">
        <v>4.0300000000000002E-2</v>
      </c>
      <c r="P1958" s="1048"/>
      <c r="Q1958" s="1048"/>
      <c r="R1958" s="1158"/>
      <c r="S1958" s="1048"/>
      <c r="T1958" s="1048"/>
      <c r="U1958" s="1102"/>
    </row>
    <row r="1959" spans="2:21" hidden="1" outlineLevel="2">
      <c r="B1959" s="1050"/>
      <c r="C1959" s="1050"/>
      <c r="D1959" s="1051">
        <f t="shared" si="164"/>
        <v>111</v>
      </c>
      <c r="E1959" s="1051" t="str">
        <f>IF(COUNTIF(E$1615:E1958,F1959)&gt;0,"",F1959)</f>
        <v/>
      </c>
      <c r="F1959" s="1051" t="str">
        <f t="shared" si="165"/>
        <v>2020 - usage : Cuisson résidentiel, France continentale, Base Carbone</v>
      </c>
      <c r="G1959" s="1055" t="str">
        <f t="shared" si="166"/>
        <v>2020 - usage : Cuisson résidentiel, France continentale, Base Carbone; kgCO2e/kWh, Amont</v>
      </c>
      <c r="I1959" s="2018" t="s">
        <v>5031</v>
      </c>
      <c r="J1959" s="1135" t="s">
        <v>1681</v>
      </c>
      <c r="K1959" s="1119" t="s">
        <v>1567</v>
      </c>
      <c r="L1959" s="1119" t="s">
        <v>1571</v>
      </c>
      <c r="M1959" s="1134">
        <v>0.3</v>
      </c>
      <c r="N1959" s="1135" t="s">
        <v>1570</v>
      </c>
      <c r="O1959" s="1135">
        <v>1.3899999999999999E-2</v>
      </c>
      <c r="P1959" s="1048"/>
      <c r="Q1959" s="1048"/>
      <c r="R1959" s="1158"/>
      <c r="S1959" s="1048"/>
      <c r="T1959" s="1048"/>
      <c r="U1959" s="1102"/>
    </row>
    <row r="1960" spans="2:21" hidden="1" outlineLevel="2">
      <c r="B1960" s="1050"/>
      <c r="C1960" s="1050"/>
      <c r="D1960" s="1051">
        <f t="shared" si="164"/>
        <v>111</v>
      </c>
      <c r="E1960" s="1051" t="str">
        <f>IF(COUNTIF(E$1615:E1959,F1960)&gt;0,"",F1960)</f>
        <v/>
      </c>
      <c r="F1960" s="1051" t="str">
        <f t="shared" si="165"/>
        <v>2020 - usage : Cuisson résidentiel, France continentale, Base Carbone</v>
      </c>
      <c r="G1960" s="1055" t="str">
        <f t="shared" si="166"/>
        <v>2020 - usage : Cuisson résidentiel, France continentale, Base Carbone; kgCO2e/kWh, Pertes</v>
      </c>
      <c r="I1960" s="2018" t="s">
        <v>5031</v>
      </c>
      <c r="J1960" s="1135" t="s">
        <v>1681</v>
      </c>
      <c r="K1960" s="1119" t="s">
        <v>1567</v>
      </c>
      <c r="L1960" s="1119" t="s">
        <v>1571</v>
      </c>
      <c r="M1960" s="1134">
        <v>0.3</v>
      </c>
      <c r="N1960" s="1135" t="s">
        <v>1766</v>
      </c>
      <c r="O1960" s="1135">
        <v>4.4799999999999996E-3</v>
      </c>
      <c r="P1960" s="1048"/>
      <c r="Q1960" s="1048"/>
      <c r="R1960" s="1158"/>
      <c r="S1960" s="1048"/>
      <c r="T1960" s="1048"/>
      <c r="U1960" s="1102"/>
    </row>
    <row r="1961" spans="2:21" hidden="1" outlineLevel="2">
      <c r="B1961" s="1050"/>
      <c r="C1961" s="1050"/>
      <c r="D1961" s="1051">
        <f t="shared" si="164"/>
        <v>112</v>
      </c>
      <c r="E1961" s="1051" t="str">
        <f>IF(COUNTIF(E$1615:E1960,F1961)&gt;0,"",F1961)</f>
        <v>2020 - usage : Eau Chaude Sanitaire, France continentale, Base Carbone</v>
      </c>
      <c r="F1961" s="1051" t="str">
        <f t="shared" si="165"/>
        <v>2020 - usage : Eau Chaude Sanitaire, France continentale, Base Carbone</v>
      </c>
      <c r="G1961" s="1055" t="str">
        <f t="shared" si="166"/>
        <v>2020 - usage : Eau Chaude Sanitaire, France continentale, Base Carbone; kgCO2e/kWh, Combustion à la centrale</v>
      </c>
      <c r="I1961" s="2018" t="s">
        <v>5032</v>
      </c>
      <c r="J1961" s="1135" t="s">
        <v>1681</v>
      </c>
      <c r="K1961" s="1119" t="s">
        <v>1567</v>
      </c>
      <c r="L1961" s="1119" t="s">
        <v>1571</v>
      </c>
      <c r="M1961" s="1134">
        <v>0.3</v>
      </c>
      <c r="N1961" s="1135" t="s">
        <v>1763</v>
      </c>
      <c r="O1961" s="1135">
        <v>4.0099999999999997E-2</v>
      </c>
      <c r="P1961" s="1048"/>
      <c r="Q1961" s="1048"/>
      <c r="R1961" s="1158"/>
      <c r="S1961" s="1048"/>
      <c r="T1961" s="1048"/>
      <c r="U1961" s="1102"/>
    </row>
    <row r="1962" spans="2:21" hidden="1" outlineLevel="2">
      <c r="B1962" s="1050"/>
      <c r="C1962" s="1050"/>
      <c r="D1962" s="1051">
        <f t="shared" si="164"/>
        <v>112</v>
      </c>
      <c r="E1962" s="1051" t="str">
        <f>IF(COUNTIF(E$1615:E1961,F1962)&gt;0,"",F1962)</f>
        <v/>
      </c>
      <c r="F1962" s="1051" t="str">
        <f t="shared" si="165"/>
        <v>2020 - usage : Eau Chaude Sanitaire, France continentale, Base Carbone</v>
      </c>
      <c r="G1962" s="1055" t="str">
        <f t="shared" si="166"/>
        <v>2020 - usage : Eau Chaude Sanitaire, France continentale, Base Carbone; kgCO2e/kWh, Amont</v>
      </c>
      <c r="I1962" s="2018" t="s">
        <v>5032</v>
      </c>
      <c r="J1962" s="1135" t="s">
        <v>1681</v>
      </c>
      <c r="K1962" s="1119" t="s">
        <v>1567</v>
      </c>
      <c r="L1962" s="1119" t="s">
        <v>1571</v>
      </c>
      <c r="M1962" s="1134">
        <v>0.3</v>
      </c>
      <c r="N1962" s="1135" t="s">
        <v>1570</v>
      </c>
      <c r="O1962" s="1135">
        <v>1.3899999999999999E-2</v>
      </c>
      <c r="P1962" s="1048"/>
      <c r="Q1962" s="1048"/>
      <c r="R1962" s="1158"/>
      <c r="S1962" s="1048"/>
      <c r="T1962" s="1048"/>
      <c r="U1962" s="1102"/>
    </row>
    <row r="1963" spans="2:21" hidden="1" outlineLevel="2">
      <c r="B1963" s="1050"/>
      <c r="C1963" s="1050"/>
      <c r="D1963" s="1051">
        <f t="shared" si="164"/>
        <v>112</v>
      </c>
      <c r="E1963" s="1051" t="str">
        <f>IF(COUNTIF(E$1615:E1962,F1963)&gt;0,"",F1963)</f>
        <v/>
      </c>
      <c r="F1963" s="1051" t="str">
        <f t="shared" si="165"/>
        <v>2020 - usage : Eau Chaude Sanitaire, France continentale, Base Carbone</v>
      </c>
      <c r="G1963" s="1055" t="str">
        <f t="shared" si="166"/>
        <v>2020 - usage : Eau Chaude Sanitaire, France continentale, Base Carbone; kgCO2e/kWh, Pertes</v>
      </c>
      <c r="I1963" s="2018" t="s">
        <v>5032</v>
      </c>
      <c r="J1963" s="1135" t="s">
        <v>1681</v>
      </c>
      <c r="K1963" s="1119" t="s">
        <v>1567</v>
      </c>
      <c r="L1963" s="1119" t="s">
        <v>1571</v>
      </c>
      <c r="M1963" s="1134">
        <v>0.3</v>
      </c>
      <c r="N1963" s="1135" t="s">
        <v>1766</v>
      </c>
      <c r="O1963" s="1135">
        <v>4.4799999999999996E-3</v>
      </c>
      <c r="P1963" s="1048"/>
      <c r="Q1963" s="1048"/>
      <c r="R1963" s="1158"/>
      <c r="S1963" s="1048"/>
      <c r="T1963" s="1048"/>
      <c r="U1963" s="1102"/>
    </row>
    <row r="1964" spans="2:21" hidden="1" outlineLevel="2">
      <c r="B1964" s="1050"/>
      <c r="C1964" s="1050"/>
      <c r="D1964" s="1051">
        <f t="shared" si="164"/>
        <v>113</v>
      </c>
      <c r="E1964" s="1051" t="str">
        <f>IF(COUNTIF(E$1615:E1963,F1964)&gt;0,"",F1964)</f>
        <v>2020 - usage : Eclairage public, France continentale, Base Carbone</v>
      </c>
      <c r="F1964" s="1051" t="str">
        <f t="shared" si="165"/>
        <v>2020 - usage : Eclairage public, France continentale, Base Carbone</v>
      </c>
      <c r="G1964" s="1055" t="str">
        <f t="shared" si="166"/>
        <v>2020 - usage : Eclairage public, France continentale, Base Carbone; kgCO2e/kWh, Combustion à la centrale</v>
      </c>
      <c r="I1964" s="2018" t="s">
        <v>5033</v>
      </c>
      <c r="J1964" s="1135" t="s">
        <v>1681</v>
      </c>
      <c r="K1964" s="1119" t="s">
        <v>1567</v>
      </c>
      <c r="L1964" s="1119" t="s">
        <v>1571</v>
      </c>
      <c r="M1964" s="1134">
        <v>0.3</v>
      </c>
      <c r="N1964" s="1135" t="s">
        <v>1763</v>
      </c>
      <c r="O1964" s="1135">
        <v>4.2799999999999998E-2</v>
      </c>
      <c r="P1964" s="1048"/>
      <c r="Q1964" s="1048"/>
      <c r="R1964" s="1158"/>
      <c r="S1964" s="1048"/>
      <c r="T1964" s="1048"/>
      <c r="U1964" s="1102"/>
    </row>
    <row r="1965" spans="2:21" hidden="1" outlineLevel="2">
      <c r="B1965" s="1050"/>
      <c r="C1965" s="1050"/>
      <c r="D1965" s="1051">
        <f t="shared" si="164"/>
        <v>113</v>
      </c>
      <c r="E1965" s="1051" t="str">
        <f>IF(COUNTIF(E$1615:E1964,F1965)&gt;0,"",F1965)</f>
        <v/>
      </c>
      <c r="F1965" s="1051" t="str">
        <f t="shared" si="165"/>
        <v>2020 - usage : Eclairage public, France continentale, Base Carbone</v>
      </c>
      <c r="G1965" s="1055" t="str">
        <f t="shared" si="166"/>
        <v>2020 - usage : Eclairage public, France continentale, Base Carbone; kgCO2e/kWh, Amont</v>
      </c>
      <c r="I1965" s="2018" t="s">
        <v>5033</v>
      </c>
      <c r="J1965" s="1135" t="s">
        <v>1681</v>
      </c>
      <c r="K1965" s="1119" t="s">
        <v>1567</v>
      </c>
      <c r="L1965" s="1119" t="s">
        <v>1571</v>
      </c>
      <c r="M1965" s="1134">
        <v>0.3</v>
      </c>
      <c r="N1965" s="1135" t="s">
        <v>1570</v>
      </c>
      <c r="O1965" s="1135">
        <v>1.4200000000000001E-2</v>
      </c>
      <c r="P1965" s="1048"/>
      <c r="Q1965" s="1048"/>
      <c r="R1965" s="1158"/>
      <c r="S1965" s="1048"/>
      <c r="T1965" s="1048"/>
      <c r="U1965" s="1102"/>
    </row>
    <row r="1966" spans="2:21" hidden="1" outlineLevel="2">
      <c r="B1966" s="1050"/>
      <c r="C1966" s="1050"/>
      <c r="D1966" s="1051">
        <f t="shared" si="164"/>
        <v>113</v>
      </c>
      <c r="E1966" s="1051" t="str">
        <f>IF(COUNTIF(E$1615:E1965,F1966)&gt;0,"",F1966)</f>
        <v/>
      </c>
      <c r="F1966" s="1051" t="str">
        <f t="shared" si="165"/>
        <v>2020 - usage : Eclairage public, France continentale, Base Carbone</v>
      </c>
      <c r="G1966" s="1055" t="str">
        <f t="shared" si="166"/>
        <v>2020 - usage : Eclairage public, France continentale, Base Carbone; kgCO2e/kWh, Pertes</v>
      </c>
      <c r="I1966" s="2018" t="s">
        <v>5033</v>
      </c>
      <c r="J1966" s="1135" t="s">
        <v>1681</v>
      </c>
      <c r="K1966" s="1119" t="s">
        <v>1567</v>
      </c>
      <c r="L1966" s="1119" t="s">
        <v>1571</v>
      </c>
      <c r="M1966" s="1134">
        <v>0.3</v>
      </c>
      <c r="N1966" s="1135" t="s">
        <v>1766</v>
      </c>
      <c r="O1966" s="1135">
        <v>4.4799999999999996E-3</v>
      </c>
      <c r="P1966" s="1048"/>
      <c r="Q1966" s="1048"/>
      <c r="R1966" s="1158"/>
      <c r="S1966" s="1048"/>
      <c r="T1966" s="1048"/>
      <c r="U1966" s="1102"/>
    </row>
    <row r="1967" spans="2:21" hidden="1" outlineLevel="2">
      <c r="B1967" s="1050"/>
      <c r="C1967" s="1050"/>
      <c r="D1967" s="1051">
        <f t="shared" si="164"/>
        <v>114</v>
      </c>
      <c r="E1967" s="1051" t="str">
        <f>IF(COUNTIF(E$1615:E1966,F1967)&gt;0,"",F1967)</f>
        <v>2020 - usage : Eclairage résidentiel, France continentale, Base Carbone</v>
      </c>
      <c r="F1967" s="1051" t="str">
        <f t="shared" si="165"/>
        <v>2020 - usage : Eclairage résidentiel, France continentale, Base Carbone</v>
      </c>
      <c r="G1967" s="1055" t="str">
        <f t="shared" si="166"/>
        <v>2020 - usage : Eclairage résidentiel, France continentale, Base Carbone; kgCO2e/kWh, Combustion à la centrale</v>
      </c>
      <c r="I1967" s="2018" t="s">
        <v>5034</v>
      </c>
      <c r="J1967" s="1135" t="s">
        <v>1681</v>
      </c>
      <c r="K1967" s="1119" t="s">
        <v>1567</v>
      </c>
      <c r="L1967" s="1119" t="s">
        <v>1571</v>
      </c>
      <c r="M1967" s="1134">
        <v>0.3</v>
      </c>
      <c r="N1967" s="1135" t="s">
        <v>1763</v>
      </c>
      <c r="O1967" s="1135">
        <v>4.3799999999999999E-2</v>
      </c>
      <c r="P1967" s="1048"/>
      <c r="Q1967" s="1048"/>
      <c r="R1967" s="1158"/>
      <c r="S1967" s="1048"/>
      <c r="T1967" s="1048"/>
      <c r="U1967" s="1102"/>
    </row>
    <row r="1968" spans="2:21" hidden="1" outlineLevel="2">
      <c r="B1968" s="1050"/>
      <c r="C1968" s="1050"/>
      <c r="D1968" s="1051">
        <f t="shared" si="164"/>
        <v>114</v>
      </c>
      <c r="E1968" s="1051" t="str">
        <f>IF(COUNTIF(E$1615:E1967,F1968)&gt;0,"",F1968)</f>
        <v/>
      </c>
      <c r="F1968" s="1051" t="str">
        <f t="shared" si="165"/>
        <v>2020 - usage : Eclairage résidentiel, France continentale, Base Carbone</v>
      </c>
      <c r="G1968" s="1055" t="str">
        <f t="shared" si="166"/>
        <v>2020 - usage : Eclairage résidentiel, France continentale, Base Carbone; kgCO2e/kWh, Amont</v>
      </c>
      <c r="I1968" s="2018" t="s">
        <v>5034</v>
      </c>
      <c r="J1968" s="1135" t="s">
        <v>1681</v>
      </c>
      <c r="K1968" s="1119" t="s">
        <v>1567</v>
      </c>
      <c r="L1968" s="1119" t="s">
        <v>1571</v>
      </c>
      <c r="M1968" s="1134">
        <v>0.3</v>
      </c>
      <c r="N1968" s="1135" t="s">
        <v>1570</v>
      </c>
      <c r="O1968" s="1135">
        <v>1.43E-2</v>
      </c>
      <c r="P1968" s="1048"/>
      <c r="Q1968" s="1048"/>
      <c r="R1968" s="1158"/>
      <c r="S1968" s="1048"/>
      <c r="T1968" s="1048"/>
      <c r="U1968" s="1102"/>
    </row>
    <row r="1969" spans="2:21" hidden="1" outlineLevel="2">
      <c r="B1969" s="1050"/>
      <c r="C1969" s="1050"/>
      <c r="D1969" s="1051">
        <f t="shared" si="164"/>
        <v>114</v>
      </c>
      <c r="E1969" s="1051" t="str">
        <f>IF(COUNTIF(E$1615:E1968,F1969)&gt;0,"",F1969)</f>
        <v/>
      </c>
      <c r="F1969" s="1051" t="str">
        <f t="shared" si="165"/>
        <v>2020 - usage : Eclairage résidentiel, France continentale, Base Carbone</v>
      </c>
      <c r="G1969" s="1055" t="str">
        <f t="shared" si="166"/>
        <v>2020 - usage : Eclairage résidentiel, France continentale, Base Carbone; kgCO2e/kWh, Pertes</v>
      </c>
      <c r="I1969" s="2018" t="s">
        <v>5034</v>
      </c>
      <c r="J1969" s="1135" t="s">
        <v>1681</v>
      </c>
      <c r="K1969" s="1119" t="s">
        <v>1567</v>
      </c>
      <c r="L1969" s="1119" t="s">
        <v>1571</v>
      </c>
      <c r="M1969" s="1134">
        <v>0.3</v>
      </c>
      <c r="N1969" s="1135" t="s">
        <v>1766</v>
      </c>
      <c r="O1969" s="1135">
        <v>4.4799999999999996E-3</v>
      </c>
      <c r="P1969" s="1048"/>
      <c r="Q1969" s="1048"/>
      <c r="R1969" s="1158"/>
      <c r="S1969" s="1048"/>
      <c r="T1969" s="1048"/>
      <c r="U1969" s="1102"/>
    </row>
    <row r="1970" spans="2:21" hidden="1" outlineLevel="2">
      <c r="B1970" s="1050"/>
      <c r="C1970" s="1050"/>
      <c r="D1970" s="1051">
        <f t="shared" si="164"/>
        <v>115</v>
      </c>
      <c r="E1970" s="1051" t="str">
        <f>IF(COUNTIF(E$1615:E1969,F1970)&gt;0,"",F1970)</f>
        <v>2020 - usage : Froid, France continentale, Base Carbone</v>
      </c>
      <c r="F1970" s="1051" t="str">
        <f t="shared" si="165"/>
        <v>2020 - usage : Froid, France continentale, Base Carbone</v>
      </c>
      <c r="G1970" s="1055" t="str">
        <f t="shared" si="166"/>
        <v>2020 - usage : Froid, France continentale, Base Carbone; kgCO2e/kWh, Combustion à la centrale</v>
      </c>
      <c r="I1970" s="2018" t="s">
        <v>5035</v>
      </c>
      <c r="J1970" s="1135" t="s">
        <v>1681</v>
      </c>
      <c r="K1970" s="1119" t="s">
        <v>1567</v>
      </c>
      <c r="L1970" s="1119" t="s">
        <v>1571</v>
      </c>
      <c r="M1970" s="1134">
        <v>0.3</v>
      </c>
      <c r="N1970" s="1135" t="s">
        <v>1763</v>
      </c>
      <c r="O1970" s="1135">
        <v>0.04</v>
      </c>
      <c r="P1970" s="1048"/>
      <c r="Q1970" s="1048"/>
      <c r="R1970" s="1158"/>
      <c r="S1970" s="1048"/>
      <c r="T1970" s="1048"/>
      <c r="U1970" s="1102"/>
    </row>
    <row r="1971" spans="2:21" hidden="1" outlineLevel="2">
      <c r="B1971" s="1050"/>
      <c r="C1971" s="1050"/>
      <c r="D1971" s="1051">
        <f t="shared" si="164"/>
        <v>115</v>
      </c>
      <c r="E1971" s="1051" t="str">
        <f>IF(COUNTIF(E$1615:E1970,F1971)&gt;0,"",F1971)</f>
        <v/>
      </c>
      <c r="F1971" s="1051" t="str">
        <f t="shared" si="165"/>
        <v>2020 - usage : Froid, France continentale, Base Carbone</v>
      </c>
      <c r="G1971" s="1055" t="str">
        <f t="shared" si="166"/>
        <v>2020 - usage : Froid, France continentale, Base Carbone; kgCO2e/kWh, Amont</v>
      </c>
      <c r="I1971" s="2018" t="s">
        <v>5035</v>
      </c>
      <c r="J1971" s="1135" t="s">
        <v>1681</v>
      </c>
      <c r="K1971" s="1119" t="s">
        <v>1567</v>
      </c>
      <c r="L1971" s="1119" t="s">
        <v>1571</v>
      </c>
      <c r="M1971" s="1134">
        <v>0.3</v>
      </c>
      <c r="N1971" s="1135" t="s">
        <v>1570</v>
      </c>
      <c r="O1971" s="1135">
        <v>1.3899999999999999E-2</v>
      </c>
      <c r="P1971" s="1048"/>
      <c r="Q1971" s="1048"/>
      <c r="R1971" s="1158"/>
      <c r="S1971" s="1048"/>
      <c r="T1971" s="1048"/>
      <c r="U1971" s="1102"/>
    </row>
    <row r="1972" spans="2:21" hidden="1" outlineLevel="2">
      <c r="B1972" s="1050"/>
      <c r="C1972" s="1050"/>
      <c r="D1972" s="1051">
        <f t="shared" si="164"/>
        <v>115</v>
      </c>
      <c r="E1972" s="1051" t="str">
        <f>IF(COUNTIF(E$1615:E1971,F1972)&gt;0,"",F1972)</f>
        <v/>
      </c>
      <c r="F1972" s="1051" t="str">
        <f t="shared" si="165"/>
        <v>2020 - usage : Froid, France continentale, Base Carbone</v>
      </c>
      <c r="G1972" s="1055" t="str">
        <f t="shared" si="166"/>
        <v>2020 - usage : Froid, France continentale, Base Carbone; kgCO2e/kWh, Pertes</v>
      </c>
      <c r="I1972" s="2018" t="s">
        <v>5035</v>
      </c>
      <c r="J1972" s="1135" t="s">
        <v>1681</v>
      </c>
      <c r="K1972" s="1119" t="s">
        <v>1567</v>
      </c>
      <c r="L1972" s="1119" t="s">
        <v>1571</v>
      </c>
      <c r="M1972" s="1134">
        <v>0.3</v>
      </c>
      <c r="N1972" s="1135" t="s">
        <v>1766</v>
      </c>
      <c r="O1972" s="1135">
        <v>4.4799999999999996E-3</v>
      </c>
      <c r="P1972" s="1048"/>
      <c r="Q1972" s="1048"/>
      <c r="R1972" s="1158"/>
      <c r="S1972" s="1048"/>
      <c r="T1972" s="1048"/>
      <c r="U1972" s="1102"/>
    </row>
    <row r="1973" spans="2:21" hidden="1" outlineLevel="2">
      <c r="B1973" s="1050"/>
      <c r="C1973" s="1050"/>
      <c r="D1973" s="1051">
        <f t="shared" si="164"/>
        <v>116</v>
      </c>
      <c r="E1973" s="1051" t="str">
        <f>IF(COUNTIF(E$1615:E1972,F1973)&gt;0,"",F1973)</f>
        <v>2020 - usage : Industrie base, France continentale, Base Carbone</v>
      </c>
      <c r="F1973" s="1051" t="str">
        <f t="shared" si="165"/>
        <v>2020 - usage : Industrie base, France continentale, Base Carbone</v>
      </c>
      <c r="G1973" s="1055" t="str">
        <f t="shared" si="166"/>
        <v>2020 - usage : Industrie base, France continentale, Base Carbone; kgCO2e/kWh, Combustion à la centrale</v>
      </c>
      <c r="I1973" s="2018" t="s">
        <v>5036</v>
      </c>
      <c r="J1973" s="1135" t="s">
        <v>1681</v>
      </c>
      <c r="K1973" s="1119" t="s">
        <v>1567</v>
      </c>
      <c r="L1973" s="1119" t="s">
        <v>1571</v>
      </c>
      <c r="M1973" s="1134">
        <v>0.3</v>
      </c>
      <c r="N1973" s="1135" t="s">
        <v>1763</v>
      </c>
      <c r="O1973" s="1135">
        <v>3.9899999999999998E-2</v>
      </c>
      <c r="P1973" s="1048"/>
      <c r="Q1973" s="1048"/>
      <c r="R1973" s="1158"/>
      <c r="S1973" s="1048"/>
      <c r="T1973" s="1048"/>
      <c r="U1973" s="1102"/>
    </row>
    <row r="1974" spans="2:21" hidden="1" outlineLevel="2">
      <c r="B1974" s="1050"/>
      <c r="C1974" s="1050"/>
      <c r="D1974" s="1051">
        <f t="shared" si="164"/>
        <v>116</v>
      </c>
      <c r="E1974" s="1051" t="str">
        <f>IF(COUNTIF(E$1615:E1973,F1974)&gt;0,"",F1974)</f>
        <v/>
      </c>
      <c r="F1974" s="1051" t="str">
        <f t="shared" si="165"/>
        <v>2020 - usage : Industrie base, France continentale, Base Carbone</v>
      </c>
      <c r="G1974" s="1055" t="str">
        <f t="shared" si="166"/>
        <v>2020 - usage : Industrie base, France continentale, Base Carbone; kgCO2e/kWh, Amont</v>
      </c>
      <c r="I1974" s="2018" t="s">
        <v>5036</v>
      </c>
      <c r="J1974" s="1135" t="s">
        <v>1681</v>
      </c>
      <c r="K1974" s="1119" t="s">
        <v>1567</v>
      </c>
      <c r="L1974" s="1119" t="s">
        <v>1571</v>
      </c>
      <c r="M1974" s="1134">
        <v>0.3</v>
      </c>
      <c r="N1974" s="1135" t="s">
        <v>1570</v>
      </c>
      <c r="O1974" s="1135">
        <v>1.3899999999999999E-2</v>
      </c>
      <c r="P1974" s="1048"/>
      <c r="Q1974" s="1048"/>
      <c r="R1974" s="1158"/>
      <c r="S1974" s="1048"/>
      <c r="T1974" s="1048"/>
      <c r="U1974" s="1102"/>
    </row>
    <row r="1975" spans="2:21" hidden="1" outlineLevel="2">
      <c r="B1975" s="1050"/>
      <c r="C1975" s="1050"/>
      <c r="D1975" s="1051">
        <f t="shared" si="164"/>
        <v>116</v>
      </c>
      <c r="E1975" s="1051" t="str">
        <f>IF(COUNTIF(E$1615:E1974,F1975)&gt;0,"",F1975)</f>
        <v/>
      </c>
      <c r="F1975" s="1051" t="str">
        <f t="shared" si="165"/>
        <v>2020 - usage : Industrie base, France continentale, Base Carbone</v>
      </c>
      <c r="G1975" s="1055" t="str">
        <f t="shared" si="166"/>
        <v>2020 - usage : Industrie base, France continentale, Base Carbone; kgCO2e/kWh, Pertes</v>
      </c>
      <c r="I1975" s="2018" t="s">
        <v>5036</v>
      </c>
      <c r="J1975" s="1135" t="s">
        <v>1681</v>
      </c>
      <c r="K1975" s="1119" t="s">
        <v>1567</v>
      </c>
      <c r="L1975" s="1119" t="s">
        <v>1571</v>
      </c>
      <c r="M1975" s="1134">
        <v>0.3</v>
      </c>
      <c r="N1975" s="1135" t="s">
        <v>1766</v>
      </c>
      <c r="O1975" s="1135">
        <v>4.4799999999999996E-3</v>
      </c>
      <c r="P1975" s="1048"/>
      <c r="Q1975" s="1048"/>
      <c r="R1975" s="1158"/>
      <c r="S1975" s="1048"/>
      <c r="T1975" s="1048"/>
      <c r="U1975" s="1102"/>
    </row>
    <row r="1976" spans="2:21" hidden="1" outlineLevel="2">
      <c r="B1976" s="1050"/>
      <c r="C1976" s="1050"/>
      <c r="D1976" s="1051">
        <f t="shared" si="164"/>
        <v>117</v>
      </c>
      <c r="E1976" s="1051" t="str">
        <f>IF(COUNTIF(E$1615:E1975,F1976)&gt;0,"",F1976)</f>
        <v>2020 - usage : Transports, France continentale, Base Carbone</v>
      </c>
      <c r="F1976" s="1051" t="str">
        <f t="shared" si="165"/>
        <v>2020 - usage : Transports, France continentale, Base Carbone</v>
      </c>
      <c r="G1976" s="1055" t="str">
        <f t="shared" si="166"/>
        <v>2020 - usage : Transports, France continentale, Base Carbone; kgCO2e/kWh, Combustion à la centrale</v>
      </c>
      <c r="I1976" s="2018" t="s">
        <v>5037</v>
      </c>
      <c r="J1976" s="1135" t="s">
        <v>1681</v>
      </c>
      <c r="K1976" s="1119" t="s">
        <v>1567</v>
      </c>
      <c r="L1976" s="1119" t="s">
        <v>1571</v>
      </c>
      <c r="M1976" s="1134">
        <v>0.3</v>
      </c>
      <c r="N1976" s="1135" t="s">
        <v>1763</v>
      </c>
      <c r="O1976" s="1135">
        <v>4.1500000000000002E-2</v>
      </c>
      <c r="P1976" s="1048"/>
      <c r="Q1976" s="1048"/>
      <c r="R1976" s="1158"/>
      <c r="S1976" s="1048"/>
      <c r="T1976" s="1048"/>
      <c r="U1976" s="1102"/>
    </row>
    <row r="1977" spans="2:21" hidden="1" outlineLevel="2">
      <c r="B1977" s="1050"/>
      <c r="C1977" s="1050"/>
      <c r="D1977" s="1051">
        <f t="shared" si="164"/>
        <v>117</v>
      </c>
      <c r="E1977" s="1051" t="str">
        <f>IF(COUNTIF(E$1615:E1976,F1977)&gt;0,"",F1977)</f>
        <v/>
      </c>
      <c r="F1977" s="1051" t="str">
        <f t="shared" si="165"/>
        <v>2020 - usage : Transports, France continentale, Base Carbone</v>
      </c>
      <c r="G1977" s="1055" t="str">
        <f t="shared" si="166"/>
        <v>2020 - usage : Transports, France continentale, Base Carbone; kgCO2e/kWh, Amont</v>
      </c>
      <c r="I1977" s="2018" t="s">
        <v>5037</v>
      </c>
      <c r="J1977" s="1135" t="s">
        <v>1681</v>
      </c>
      <c r="K1977" s="1119" t="s">
        <v>1567</v>
      </c>
      <c r="L1977" s="1119" t="s">
        <v>1571</v>
      </c>
      <c r="M1977" s="1134">
        <v>0.3</v>
      </c>
      <c r="N1977" s="1135" t="s">
        <v>1570</v>
      </c>
      <c r="O1977" s="1135">
        <v>1.4E-2</v>
      </c>
      <c r="P1977" s="1048"/>
      <c r="Q1977" s="1048"/>
      <c r="R1977" s="1158"/>
      <c r="S1977" s="1048"/>
      <c r="T1977" s="1048"/>
      <c r="U1977" s="1102"/>
    </row>
    <row r="1978" spans="2:21" hidden="1" outlineLevel="2">
      <c r="B1978" s="1050"/>
      <c r="C1978" s="1050"/>
      <c r="D1978" s="1051">
        <f t="shared" si="164"/>
        <v>117</v>
      </c>
      <c r="E1978" s="1051" t="str">
        <f>IF(COUNTIF(E$1615:E1977,F1978)&gt;0,"",F1978)</f>
        <v/>
      </c>
      <c r="F1978" s="1051" t="str">
        <f t="shared" si="165"/>
        <v>2020 - usage : Transports, France continentale, Base Carbone</v>
      </c>
      <c r="G1978" s="1055" t="str">
        <f t="shared" si="166"/>
        <v>2020 - usage : Transports, France continentale, Base Carbone; kgCO2e/kWh, Pertes</v>
      </c>
      <c r="I1978" s="2018" t="s">
        <v>5037</v>
      </c>
      <c r="J1978" s="1135" t="s">
        <v>1681</v>
      </c>
      <c r="K1978" s="1119" t="s">
        <v>1567</v>
      </c>
      <c r="L1978" s="1119" t="s">
        <v>1571</v>
      </c>
      <c r="M1978" s="1134">
        <v>0.3</v>
      </c>
      <c r="N1978" s="1135" t="s">
        <v>1766</v>
      </c>
      <c r="O1978" s="1135">
        <v>4.4799999999999996E-3</v>
      </c>
      <c r="P1978" s="1048"/>
      <c r="Q1978" s="1048"/>
      <c r="R1978" s="1158"/>
      <c r="S1978" s="1048"/>
      <c r="T1978" s="1048"/>
      <c r="U1978" s="1102"/>
    </row>
    <row r="1979" spans="2:21" hidden="1" outlineLevel="2">
      <c r="B1979" s="1050"/>
      <c r="C1979" s="1050"/>
      <c r="D1979" s="1051">
        <f t="shared" si="164"/>
        <v>117</v>
      </c>
      <c r="E1979" s="1051" t="str">
        <f>IF(COUNTIF(E$1615:E1978,F1979)&gt;0,"",F1979)</f>
        <v/>
      </c>
      <c r="F1979" s="1051" t="str">
        <f t="shared" si="165"/>
        <v/>
      </c>
      <c r="G1979" s="1055" t="str">
        <f t="shared" si="166"/>
        <v/>
      </c>
      <c r="I1979" s="1100"/>
      <c r="J1979" s="1048"/>
      <c r="K1979" s="1119"/>
      <c r="L1979" s="1048"/>
      <c r="M1979" s="1101"/>
      <c r="N1979" s="1048"/>
      <c r="O1979" s="1048"/>
      <c r="P1979" s="1048"/>
      <c r="Q1979" s="1048"/>
      <c r="R1979" s="1158"/>
      <c r="S1979" s="1048"/>
      <c r="T1979" s="1048"/>
      <c r="U1979" s="1102"/>
    </row>
    <row r="1980" spans="2:21" hidden="1" outlineLevel="2">
      <c r="B1980" s="1050"/>
      <c r="C1980" s="1050"/>
      <c r="D1980" s="1051">
        <f t="shared" si="164"/>
        <v>117</v>
      </c>
      <c r="E1980" s="1051" t="str">
        <f>IF(COUNTIF(E$1615:E1979,F1980)&gt;0,"",F1980)</f>
        <v/>
      </c>
      <c r="F1980" s="1051" t="str">
        <f t="shared" si="165"/>
        <v/>
      </c>
      <c r="G1980" s="1055" t="str">
        <f t="shared" si="166"/>
        <v/>
      </c>
      <c r="I1980" s="1100"/>
      <c r="J1980" s="1048"/>
      <c r="K1980" s="1119"/>
      <c r="L1980" s="1048"/>
      <c r="M1980" s="1101"/>
      <c r="N1980" s="1048"/>
      <c r="O1980" s="1048"/>
      <c r="P1980" s="1048"/>
      <c r="Q1980" s="1048"/>
      <c r="R1980" s="1158"/>
      <c r="S1980" s="1048"/>
      <c r="T1980" s="1048"/>
      <c r="U1980" s="1102"/>
    </row>
    <row r="1981" spans="2:21" hidden="1" outlineLevel="2">
      <c r="B1981" s="1050"/>
      <c r="C1981" s="1050"/>
      <c r="D1981" s="1051">
        <f t="shared" si="164"/>
        <v>117</v>
      </c>
      <c r="E1981" s="1051" t="str">
        <f>IF(COUNTIF(E$1615:E1980,F1981)&gt;0,"",F1981)</f>
        <v/>
      </c>
      <c r="F1981" s="1051" t="str">
        <f t="shared" si="165"/>
        <v/>
      </c>
      <c r="G1981" s="1055" t="str">
        <f t="shared" si="166"/>
        <v/>
      </c>
      <c r="I1981" s="1100"/>
      <c r="J1981" s="1048"/>
      <c r="K1981" s="1119"/>
      <c r="L1981" s="1048"/>
      <c r="M1981" s="1101"/>
      <c r="N1981" s="1048"/>
      <c r="O1981" s="1048"/>
      <c r="P1981" s="1048"/>
      <c r="Q1981" s="1048"/>
      <c r="R1981" s="1158"/>
      <c r="S1981" s="1048"/>
      <c r="T1981" s="1048"/>
      <c r="U1981" s="1102"/>
    </row>
    <row r="1982" spans="2:21" hidden="1" outlineLevel="2">
      <c r="B1982" s="1050"/>
      <c r="C1982" s="1050"/>
      <c r="D1982" s="1051">
        <f t="shared" si="164"/>
        <v>117</v>
      </c>
      <c r="E1982" s="1051" t="str">
        <f>IF(COUNTIF(E$1615:E1981,F1982)&gt;0,"",F1982)</f>
        <v/>
      </c>
      <c r="F1982" s="1051" t="str">
        <f t="shared" si="165"/>
        <v/>
      </c>
      <c r="G1982" s="1055" t="str">
        <f t="shared" si="166"/>
        <v/>
      </c>
      <c r="I1982" s="1100"/>
      <c r="J1982" s="1048"/>
      <c r="K1982" s="1119"/>
      <c r="L1982" s="1048"/>
      <c r="M1982" s="1101"/>
      <c r="N1982" s="1048"/>
      <c r="O1982" s="1048"/>
      <c r="P1982" s="1048"/>
      <c r="Q1982" s="1048"/>
      <c r="R1982" s="1158"/>
      <c r="S1982" s="1048"/>
      <c r="T1982" s="1048"/>
      <c r="U1982" s="1102"/>
    </row>
    <row r="1983" spans="2:21" hidden="1" outlineLevel="2">
      <c r="B1983" s="1050"/>
      <c r="C1983" s="1050"/>
      <c r="D1983" s="1051">
        <f t="shared" si="164"/>
        <v>117</v>
      </c>
      <c r="E1983" s="1051" t="str">
        <f>IF(COUNTIF(E$1615:E1982,F1983)&gt;0,"",F1983)</f>
        <v/>
      </c>
      <c r="F1983" s="1051" t="str">
        <f t="shared" si="165"/>
        <v/>
      </c>
      <c r="G1983" s="1055" t="str">
        <f t="shared" si="166"/>
        <v/>
      </c>
      <c r="I1983" s="1100"/>
      <c r="J1983" s="1048"/>
      <c r="K1983" s="1119"/>
      <c r="L1983" s="1048"/>
      <c r="M1983" s="1101"/>
      <c r="N1983" s="1048"/>
      <c r="O1983" s="1048"/>
      <c r="P1983" s="1048"/>
      <c r="Q1983" s="1048"/>
      <c r="R1983" s="1158"/>
      <c r="S1983" s="1048"/>
      <c r="T1983" s="1048"/>
      <c r="U1983" s="1102"/>
    </row>
    <row r="1984" spans="2:21" hidden="1" outlineLevel="2">
      <c r="B1984" s="1050"/>
      <c r="C1984" s="1050"/>
      <c r="D1984" s="1051">
        <f t="shared" si="164"/>
        <v>117</v>
      </c>
      <c r="E1984" s="1051" t="str">
        <f>IF(COUNTIF(E$1615:E1983,F1984)&gt;0,"",F1984)</f>
        <v/>
      </c>
      <c r="F1984" s="1051" t="str">
        <f t="shared" si="165"/>
        <v/>
      </c>
      <c r="G1984" s="1055" t="str">
        <f t="shared" si="166"/>
        <v/>
      </c>
      <c r="I1984" s="1100"/>
      <c r="J1984" s="1048"/>
      <c r="K1984" s="1119"/>
      <c r="L1984" s="1048"/>
      <c r="M1984" s="1101"/>
      <c r="N1984" s="1048"/>
      <c r="O1984" s="1048"/>
      <c r="P1984" s="1048"/>
      <c r="Q1984" s="1048"/>
      <c r="R1984" s="1158"/>
      <c r="S1984" s="1048"/>
      <c r="T1984" s="1048"/>
      <c r="U1984" s="1102"/>
    </row>
    <row r="1985" spans="2:21" ht="13.2" hidden="1" outlineLevel="1">
      <c r="B1985" s="1045"/>
      <c r="C1985" s="1045"/>
      <c r="D1985" s="1045"/>
      <c r="E1985" s="1045"/>
      <c r="F1985" s="1045"/>
      <c r="G1985" s="1135"/>
      <c r="I1985" s="1746"/>
      <c r="J1985" s="2358"/>
      <c r="K1985" s="2358"/>
      <c r="L1985" s="2358"/>
      <c r="M1985" s="2358"/>
      <c r="N1985" s="2358"/>
      <c r="O1985" s="2358"/>
      <c r="P1985" s="2358"/>
      <c r="Q1985" s="2358"/>
      <c r="R1985" s="2358"/>
      <c r="S1985" s="2358"/>
      <c r="T1985" s="2358"/>
      <c r="U1985" s="2063"/>
    </row>
    <row r="1986" spans="2:21" ht="13.2" hidden="1" outlineLevel="1" collapsed="1">
      <c r="B1986" s="3155" t="s">
        <v>5041</v>
      </c>
      <c r="C1986" s="3155"/>
      <c r="D1986" s="1051">
        <v>0</v>
      </c>
      <c r="E1986" s="1051" t="str">
        <f>IF(COUNTIF(E$1615:E1985,F1986)&gt;0,"",F1986)</f>
        <v/>
      </c>
      <c r="F1986" s="1051" t="str">
        <f t="shared" ref="F1986:F1987" si="167">IF(I1986&lt;&gt;"",I1986&amp;IF(L1986&lt;&gt;"",", "&amp;L1986,"")&amp;IF(K1986&lt;&gt;"",", "&amp;K1986,""),"")</f>
        <v/>
      </c>
      <c r="G1986" s="1055" t="str">
        <f t="shared" ref="G1986:G1987" si="168">IF(F1986&lt;&gt;"",F1986&amp;IF(J1986&lt;&gt;"","; "&amp;J1986,"")&amp;IF(N1986&lt;&gt;"",", "&amp;N1986,""),"")</f>
        <v/>
      </c>
      <c r="I1986" s="1746"/>
      <c r="J1986" s="2358"/>
      <c r="K1986" s="2358"/>
      <c r="L1986" s="2358"/>
      <c r="M1986" s="2358"/>
      <c r="N1986" s="2358"/>
      <c r="O1986" s="2358"/>
      <c r="P1986" s="2358"/>
      <c r="Q1986" s="2358"/>
      <c r="R1986" s="2358"/>
      <c r="S1986" s="2358"/>
      <c r="T1986" s="2358"/>
      <c r="U1986" s="2063"/>
    </row>
    <row r="1987" spans="2:21" ht="13.2" hidden="1" outlineLevel="2">
      <c r="B1987" s="2407">
        <v>1</v>
      </c>
      <c r="C1987" s="1050" t="str">
        <f t="shared" ref="C1987:C2018" si="169">IF(ISNA(VLOOKUP(B1987,$D$1986:$E$2150,2,FALSE)),"-",VLOOKUP(B1987,$D$1986:$E$2150,2,FALSE))</f>
        <v>2016 - usage : Autres (BTP. recherche. armée. etc.), France continentale, Base Carbone</v>
      </c>
      <c r="D1987" s="1051">
        <f t="shared" ref="D1987" si="170">D1986+IF(LEN(E1987)=0,0,1)</f>
        <v>1</v>
      </c>
      <c r="E1987" s="1051" t="str">
        <f>IF(COUNTIF(E$1986:E1986,F1987)&gt;0,"",F1987)</f>
        <v>2016 - usage : Autres (BTP. recherche. armée. etc.), France continentale, Base Carbone</v>
      </c>
      <c r="F1987" s="1051" t="str">
        <f t="shared" si="167"/>
        <v>2016 - usage : Autres (BTP. recherche. armée. etc.), France continentale, Base Carbone</v>
      </c>
      <c r="G1987" s="1055" t="str">
        <f t="shared" si="168"/>
        <v>2016 - usage : Autres (BTP. recherche. armée. etc.), France continentale, Base Carbone; kgCO2e/kWh, Combustion à la centrale</v>
      </c>
      <c r="I1987" s="2218" t="s">
        <v>2820</v>
      </c>
      <c r="J1987" s="2512" t="s">
        <v>1681</v>
      </c>
      <c r="K1987" s="2512" t="s">
        <v>1567</v>
      </c>
      <c r="L1987" s="2512" t="s">
        <v>1571</v>
      </c>
      <c r="M1987" s="2513">
        <v>0.3</v>
      </c>
      <c r="N1987" s="2512" t="s">
        <v>1763</v>
      </c>
      <c r="O1987" s="2512">
        <v>2.5700000000000001E-2</v>
      </c>
      <c r="P1987" s="94"/>
      <c r="Q1987" s="94"/>
      <c r="R1987" s="94"/>
      <c r="S1987" s="94"/>
      <c r="T1987" s="94"/>
      <c r="U1987" s="2396"/>
    </row>
    <row r="1988" spans="2:21" hidden="1" outlineLevel="2">
      <c r="B1988" s="2407">
        <v>2</v>
      </c>
      <c r="C1988" s="1050" t="str">
        <f t="shared" si="169"/>
        <v>2016 - usage : chauffage, France continentale, Base Carbone</v>
      </c>
      <c r="D1988" s="1051">
        <f t="shared" ref="D1988:D2051" si="171">D1987+IF(LEN(E1988)=0,0,1)</f>
        <v>1</v>
      </c>
      <c r="E1988" s="1051" t="str">
        <f>IF(COUNTIF(E$1986:E1987,F1988)&gt;0,"",F1988)</f>
        <v/>
      </c>
      <c r="F1988" s="1051" t="str">
        <f t="shared" ref="F1988:F2051" si="172">IF(I1988&lt;&gt;"",I1988&amp;IF(L1988&lt;&gt;"",", "&amp;L1988,"")&amp;IF(K1988&lt;&gt;"",", "&amp;K1988,""),"")</f>
        <v>2016 - usage : Autres (BTP. recherche. armée. etc.), France continentale, Base Carbone</v>
      </c>
      <c r="G1988" s="1055" t="str">
        <f t="shared" ref="G1988:G2051" si="173">IF(F1988&lt;&gt;"",F1988&amp;IF(J1988&lt;&gt;"","; "&amp;J1988,"")&amp;IF(N1988&lt;&gt;"",", "&amp;N1988,""),"")</f>
        <v>2016 - usage : Autres (BTP. recherche. armée. etc.), France continentale, Base Carbone; kgCO2e/kWh, Amont</v>
      </c>
      <c r="I1988" s="2218" t="s">
        <v>2820</v>
      </c>
      <c r="J1988" s="2512" t="s">
        <v>1681</v>
      </c>
      <c r="K1988" s="2512" t="s">
        <v>1567</v>
      </c>
      <c r="L1988" s="2512" t="s">
        <v>1571</v>
      </c>
      <c r="M1988" s="2513">
        <v>0.3</v>
      </c>
      <c r="N1988" s="2512" t="s">
        <v>1570</v>
      </c>
      <c r="O1988" s="2512">
        <v>9.9399999999999992E-3</v>
      </c>
      <c r="P1988" s="2404"/>
      <c r="Q1988" s="2404"/>
      <c r="R1988" s="2404"/>
      <c r="S1988" s="2404"/>
      <c r="T1988" s="2404"/>
      <c r="U1988" s="2177"/>
    </row>
    <row r="1989" spans="2:21" hidden="1" outlineLevel="2">
      <c r="B1989" s="2407">
        <v>3</v>
      </c>
      <c r="C1989" s="1050" t="str">
        <f t="shared" si="169"/>
        <v>2016 - usage : Cuisson résidentiel, France continentale, Base Carbone</v>
      </c>
      <c r="D1989" s="1051">
        <f t="shared" si="171"/>
        <v>1</v>
      </c>
      <c r="E1989" s="1051" t="str">
        <f>IF(COUNTIF(E$1986:E1988,F1989)&gt;0,"",F1989)</f>
        <v/>
      </c>
      <c r="F1989" s="1051" t="str">
        <f t="shared" si="172"/>
        <v>2016 - usage : Autres (BTP. recherche. armée. etc.), France continentale, Base Carbone</v>
      </c>
      <c r="G1989" s="1055" t="str">
        <f t="shared" si="173"/>
        <v>2016 - usage : Autres (BTP. recherche. armée. etc.), France continentale, Base Carbone; kgCO2e/kWh, Pertes</v>
      </c>
      <c r="I1989" s="2218" t="s">
        <v>2820</v>
      </c>
      <c r="J1989" s="2512" t="s">
        <v>1681</v>
      </c>
      <c r="K1989" s="2512" t="s">
        <v>1567</v>
      </c>
      <c r="L1989" s="2512" t="s">
        <v>1571</v>
      </c>
      <c r="M1989" s="2513">
        <v>0.3</v>
      </c>
      <c r="N1989" s="2512" t="s">
        <v>1766</v>
      </c>
      <c r="O1989" s="2512">
        <v>4.8799999999999998E-3</v>
      </c>
      <c r="P1989" s="2404"/>
      <c r="Q1989" s="2404"/>
      <c r="R1989" s="2404"/>
      <c r="S1989" s="2404"/>
      <c r="T1989" s="2404"/>
      <c r="U1989" s="2177"/>
    </row>
    <row r="1990" spans="2:21" hidden="1" outlineLevel="2">
      <c r="B1990" s="2407">
        <v>4</v>
      </c>
      <c r="C1990" s="1050" t="str">
        <f t="shared" si="169"/>
        <v>2016 - usage : Eau Chaude Sanitaire, France continentale, Base Carbone</v>
      </c>
      <c r="D1990" s="1051">
        <f t="shared" si="171"/>
        <v>2</v>
      </c>
      <c r="E1990" s="1051" t="str">
        <f>IF(COUNTIF(E$1986:E1989,F1990)&gt;0,"",F1990)</f>
        <v>2016 - usage : chauffage, France continentale, Base Carbone</v>
      </c>
      <c r="F1990" s="1051" t="str">
        <f t="shared" si="172"/>
        <v>2016 - usage : chauffage, France continentale, Base Carbone</v>
      </c>
      <c r="G1990" s="1055" t="str">
        <f t="shared" si="173"/>
        <v>2016 - usage : chauffage, France continentale, Base Carbone; kgCO2e/kWh, Combustion à la centrale</v>
      </c>
      <c r="I1990" s="2218" t="s">
        <v>2821</v>
      </c>
      <c r="J1990" s="2512" t="s">
        <v>1681</v>
      </c>
      <c r="K1990" s="2512" t="s">
        <v>1567</v>
      </c>
      <c r="L1990" s="2512" t="s">
        <v>1571</v>
      </c>
      <c r="M1990" s="2513">
        <v>0.3</v>
      </c>
      <c r="N1990" s="2512" t="s">
        <v>1763</v>
      </c>
      <c r="O1990" s="2512">
        <v>0.13</v>
      </c>
      <c r="P1990" s="2404"/>
      <c r="Q1990" s="2404"/>
      <c r="R1990" s="2404"/>
      <c r="S1990" s="2404"/>
      <c r="T1990" s="2404"/>
      <c r="U1990" s="2177"/>
    </row>
    <row r="1991" spans="2:21" hidden="1" outlineLevel="2">
      <c r="B1991" s="2407">
        <v>5</v>
      </c>
      <c r="C1991" s="1050" t="str">
        <f t="shared" si="169"/>
        <v>2016 - usage : Eclairage public, France continentale, Base Carbone</v>
      </c>
      <c r="D1991" s="1051">
        <f t="shared" si="171"/>
        <v>2</v>
      </c>
      <c r="E1991" s="1051" t="str">
        <f>IF(COUNTIF(E$1986:E1990,F1991)&gt;0,"",F1991)</f>
        <v/>
      </c>
      <c r="F1991" s="1051" t="str">
        <f t="shared" si="172"/>
        <v>2016 - usage : chauffage, France continentale, Base Carbone</v>
      </c>
      <c r="G1991" s="1055" t="str">
        <f t="shared" si="173"/>
        <v>2016 - usage : chauffage, France continentale, Base Carbone; kgCO2e/kWh, Amont</v>
      </c>
      <c r="I1991" s="2218" t="s">
        <v>2821</v>
      </c>
      <c r="J1991" s="2512" t="s">
        <v>1681</v>
      </c>
      <c r="K1991" s="2512" t="s">
        <v>1567</v>
      </c>
      <c r="L1991" s="2512" t="s">
        <v>1571</v>
      </c>
      <c r="M1991" s="2513">
        <v>0.3</v>
      </c>
      <c r="N1991" s="2512" t="s">
        <v>1570</v>
      </c>
      <c r="O1991" s="2512">
        <v>2.2700000000000001E-2</v>
      </c>
      <c r="P1991" s="2404"/>
      <c r="Q1991" s="2404"/>
      <c r="R1991" s="2404"/>
      <c r="S1991" s="2404"/>
      <c r="T1991" s="2404"/>
      <c r="U1991" s="2177"/>
    </row>
    <row r="1992" spans="2:21" hidden="1" outlineLevel="2">
      <c r="B1992" s="2407">
        <v>6</v>
      </c>
      <c r="C1992" s="1050" t="str">
        <f t="shared" si="169"/>
        <v>2016 - usage : Eclairage résidentiel, France continentale, Base Carbone</v>
      </c>
      <c r="D1992" s="1051">
        <f t="shared" si="171"/>
        <v>2</v>
      </c>
      <c r="E1992" s="1051" t="str">
        <f>IF(COUNTIF(E$1986:E1991,F1992)&gt;0,"",F1992)</f>
        <v/>
      </c>
      <c r="F1992" s="1051" t="str">
        <f t="shared" si="172"/>
        <v>2016 - usage : chauffage, France continentale, Base Carbone</v>
      </c>
      <c r="G1992" s="1055" t="str">
        <f t="shared" si="173"/>
        <v>2016 - usage : chauffage, France continentale, Base Carbone; kgCO2e/kWh, Pertes</v>
      </c>
      <c r="I1992" s="2218" t="s">
        <v>2821</v>
      </c>
      <c r="J1992" s="2512" t="s">
        <v>1681</v>
      </c>
      <c r="K1992" s="2512" t="s">
        <v>1567</v>
      </c>
      <c r="L1992" s="2512" t="s">
        <v>1571</v>
      </c>
      <c r="M1992" s="2513">
        <v>0.3</v>
      </c>
      <c r="N1992" s="2512" t="s">
        <v>1766</v>
      </c>
      <c r="O1992" s="2512">
        <v>4.8799999999999998E-3</v>
      </c>
      <c r="P1992" s="2404"/>
      <c r="Q1992" s="2404"/>
      <c r="R1992" s="2404"/>
      <c r="S1992" s="2404"/>
      <c r="T1992" s="2404"/>
      <c r="U1992" s="2177"/>
    </row>
    <row r="1993" spans="2:21" hidden="1" outlineLevel="2">
      <c r="B1993" s="2407">
        <v>7</v>
      </c>
      <c r="C1993" s="1050" t="str">
        <f t="shared" si="169"/>
        <v>2016 - usage : Froid, France continentale, Base Carbone</v>
      </c>
      <c r="D1993" s="1051">
        <f t="shared" si="171"/>
        <v>3</v>
      </c>
      <c r="E1993" s="1051" t="str">
        <f>IF(COUNTIF(E$1986:E1992,F1993)&gt;0,"",F1993)</f>
        <v>2016 - usage : Cuisson résidentiel, France continentale, Base Carbone</v>
      </c>
      <c r="F1993" s="1051" t="str">
        <f t="shared" si="172"/>
        <v>2016 - usage : Cuisson résidentiel, France continentale, Base Carbone</v>
      </c>
      <c r="G1993" s="1055" t="str">
        <f t="shared" si="173"/>
        <v>2016 - usage : Cuisson résidentiel, France continentale, Base Carbone; kgCO2e/kWh, Combustion à la centrale</v>
      </c>
      <c r="I1993" s="2218" t="s">
        <v>2823</v>
      </c>
      <c r="J1993" s="2512" t="s">
        <v>1681</v>
      </c>
      <c r="K1993" s="2512" t="s">
        <v>1567</v>
      </c>
      <c r="L1993" s="2512" t="s">
        <v>1571</v>
      </c>
      <c r="M1993" s="2513">
        <v>0.3</v>
      </c>
      <c r="N1993" s="2512" t="s">
        <v>1763</v>
      </c>
      <c r="O1993" s="2512">
        <v>3.6999999999999998E-2</v>
      </c>
      <c r="P1993" s="2404"/>
      <c r="Q1993" s="2404"/>
      <c r="R1993" s="2404"/>
      <c r="S1993" s="2404"/>
      <c r="T1993" s="2404"/>
      <c r="U1993" s="2177"/>
    </row>
    <row r="1994" spans="2:21" hidden="1" outlineLevel="2">
      <c r="B1994" s="2407">
        <v>8</v>
      </c>
      <c r="C1994" s="1050" t="str">
        <f t="shared" si="169"/>
        <v>2016 - usage : Industrie base, France continentale, Base Carbone</v>
      </c>
      <c r="D1994" s="1051">
        <f t="shared" si="171"/>
        <v>3</v>
      </c>
      <c r="E1994" s="1051" t="str">
        <f>IF(COUNTIF(E$1986:E1993,F1994)&gt;0,"",F1994)</f>
        <v/>
      </c>
      <c r="F1994" s="1051" t="str">
        <f t="shared" si="172"/>
        <v>2016 - usage : Cuisson résidentiel, France continentale, Base Carbone</v>
      </c>
      <c r="G1994" s="1055" t="str">
        <f t="shared" si="173"/>
        <v>2016 - usage : Cuisson résidentiel, France continentale, Base Carbone; kgCO2e/kWh, Amont</v>
      </c>
      <c r="I1994" s="2218" t="s">
        <v>2823</v>
      </c>
      <c r="J1994" s="2512" t="s">
        <v>1681</v>
      </c>
      <c r="K1994" s="2512" t="s">
        <v>1567</v>
      </c>
      <c r="L1994" s="2512" t="s">
        <v>1571</v>
      </c>
      <c r="M1994" s="2513">
        <v>0.3</v>
      </c>
      <c r="N1994" s="2512" t="s">
        <v>1570</v>
      </c>
      <c r="O1994" s="2512">
        <v>1.1299999999999999E-2</v>
      </c>
      <c r="P1994" s="2404"/>
      <c r="Q1994" s="2404"/>
      <c r="R1994" s="2404"/>
      <c r="S1994" s="2404"/>
      <c r="T1994" s="2404"/>
      <c r="U1994" s="2177"/>
    </row>
    <row r="1995" spans="2:21" hidden="1" outlineLevel="2">
      <c r="B1995" s="2407">
        <v>9</v>
      </c>
      <c r="C1995" s="1050" t="str">
        <f t="shared" si="169"/>
        <v>2016 - usage : Transports, France continentale, Base Carbone</v>
      </c>
      <c r="D1995" s="1051">
        <f t="shared" si="171"/>
        <v>3</v>
      </c>
      <c r="E1995" s="1051" t="str">
        <f>IF(COUNTIF(E$1986:E1994,F1995)&gt;0,"",F1995)</f>
        <v/>
      </c>
      <c r="F1995" s="1051" t="str">
        <f t="shared" si="172"/>
        <v>2016 - usage : Cuisson résidentiel, France continentale, Base Carbone</v>
      </c>
      <c r="G1995" s="1055" t="str">
        <f t="shared" si="173"/>
        <v>2016 - usage : Cuisson résidentiel, France continentale, Base Carbone; kgCO2e/kWh, Pertes</v>
      </c>
      <c r="I1995" s="2218" t="s">
        <v>2823</v>
      </c>
      <c r="J1995" s="2512" t="s">
        <v>1681</v>
      </c>
      <c r="K1995" s="2512" t="s">
        <v>1567</v>
      </c>
      <c r="L1995" s="2512" t="s">
        <v>1571</v>
      </c>
      <c r="M1995" s="2513">
        <v>0.3</v>
      </c>
      <c r="N1995" s="2512" t="s">
        <v>1766</v>
      </c>
      <c r="O1995" s="2512">
        <v>4.8799999999999998E-3</v>
      </c>
      <c r="P1995" s="2404"/>
      <c r="Q1995" s="2404"/>
      <c r="R1995" s="2404"/>
      <c r="S1995" s="2404"/>
      <c r="T1995" s="2404"/>
      <c r="U1995" s="2177"/>
    </row>
    <row r="1996" spans="2:21" hidden="1" outlineLevel="2">
      <c r="B1996" s="2407">
        <v>10</v>
      </c>
      <c r="C1996" s="1050" t="str">
        <f t="shared" si="169"/>
        <v>2017 - usage : chauffage, France continentale, Base Carbone</v>
      </c>
      <c r="D1996" s="1051">
        <f t="shared" si="171"/>
        <v>4</v>
      </c>
      <c r="E1996" s="1051" t="str">
        <f>IF(COUNTIF(E$1986:E1995,F1996)&gt;0,"",F1996)</f>
        <v>2016 - usage : Eau Chaude Sanitaire, France continentale, Base Carbone</v>
      </c>
      <c r="F1996" s="1051" t="str">
        <f t="shared" si="172"/>
        <v>2016 - usage : Eau Chaude Sanitaire, France continentale, Base Carbone</v>
      </c>
      <c r="G1996" s="1055" t="str">
        <f t="shared" si="173"/>
        <v>2016 - usage : Eau Chaude Sanitaire, France continentale, Base Carbone; kgCO2e/kWh, Combustion à la centrale</v>
      </c>
      <c r="I1996" s="2218" t="s">
        <v>2824</v>
      </c>
      <c r="J1996" s="2512" t="s">
        <v>1681</v>
      </c>
      <c r="K1996" s="2512" t="s">
        <v>1567</v>
      </c>
      <c r="L1996" s="2512" t="s">
        <v>1571</v>
      </c>
      <c r="M1996" s="2513">
        <v>0.3</v>
      </c>
      <c r="N1996" s="2512" t="s">
        <v>1763</v>
      </c>
      <c r="O1996" s="2512">
        <v>3.4500000000000003E-2</v>
      </c>
      <c r="P1996" s="2404"/>
      <c r="Q1996" s="2404"/>
      <c r="R1996" s="2404"/>
      <c r="S1996" s="2404"/>
      <c r="T1996" s="2404"/>
      <c r="U1996" s="2177"/>
    </row>
    <row r="1997" spans="2:21" hidden="1" outlineLevel="2">
      <c r="B1997" s="2407">
        <v>11</v>
      </c>
      <c r="C1997" s="1050" t="str">
        <f t="shared" si="169"/>
        <v>2017 - usage : Cuisson résidentiel, France continentale, Base Carbone</v>
      </c>
      <c r="D1997" s="1051">
        <f t="shared" si="171"/>
        <v>4</v>
      </c>
      <c r="E1997" s="1051" t="str">
        <f>IF(COUNTIF(E$1986:E1996,F1997)&gt;0,"",F1997)</f>
        <v/>
      </c>
      <c r="F1997" s="1051" t="str">
        <f t="shared" si="172"/>
        <v>2016 - usage : Eau Chaude Sanitaire, France continentale, Base Carbone</v>
      </c>
      <c r="G1997" s="1055" t="str">
        <f t="shared" si="173"/>
        <v>2016 - usage : Eau Chaude Sanitaire, France continentale, Base Carbone; kgCO2e/kWh, Amont</v>
      </c>
      <c r="I1997" s="2218" t="s">
        <v>2824</v>
      </c>
      <c r="J1997" s="2512" t="s">
        <v>1681</v>
      </c>
      <c r="K1997" s="2512" t="s">
        <v>1567</v>
      </c>
      <c r="L1997" s="2512" t="s">
        <v>1571</v>
      </c>
      <c r="M1997" s="2513">
        <v>0.3</v>
      </c>
      <c r="N1997" s="2512" t="s">
        <v>1570</v>
      </c>
      <c r="O1997" s="2512">
        <v>1.0999999999999999E-2</v>
      </c>
      <c r="P1997" s="2404"/>
      <c r="Q1997" s="2404"/>
      <c r="R1997" s="2404"/>
      <c r="S1997" s="2404"/>
      <c r="T1997" s="2404"/>
      <c r="U1997" s="2177"/>
    </row>
    <row r="1998" spans="2:21" hidden="1" outlineLevel="2">
      <c r="B1998" s="2407">
        <v>12</v>
      </c>
      <c r="C1998" s="1050" t="str">
        <f t="shared" si="169"/>
        <v>2017 - usage : Eau Chaude Sanitaire, France continentale, Base Carbone</v>
      </c>
      <c r="D1998" s="1051">
        <f t="shared" si="171"/>
        <v>4</v>
      </c>
      <c r="E1998" s="1051" t="str">
        <f>IF(COUNTIF(E$1986:E1997,F1998)&gt;0,"",F1998)</f>
        <v/>
      </c>
      <c r="F1998" s="1051" t="str">
        <f t="shared" si="172"/>
        <v>2016 - usage : Eau Chaude Sanitaire, France continentale, Base Carbone</v>
      </c>
      <c r="G1998" s="1055" t="str">
        <f t="shared" si="173"/>
        <v>2016 - usage : Eau Chaude Sanitaire, France continentale, Base Carbone; kgCO2e/kWh, Pertes</v>
      </c>
      <c r="I1998" s="2218" t="s">
        <v>2824</v>
      </c>
      <c r="J1998" s="2512" t="s">
        <v>1681</v>
      </c>
      <c r="K1998" s="2512" t="s">
        <v>1567</v>
      </c>
      <c r="L1998" s="2512" t="s">
        <v>1571</v>
      </c>
      <c r="M1998" s="2513">
        <v>0.3</v>
      </c>
      <c r="N1998" s="2512" t="s">
        <v>1766</v>
      </c>
      <c r="O1998" s="2512">
        <v>4.8799999999999998E-3</v>
      </c>
      <c r="P1998" s="2404"/>
      <c r="Q1998" s="2404"/>
      <c r="R1998" s="2404"/>
      <c r="S1998" s="2404"/>
      <c r="T1998" s="2404"/>
      <c r="U1998" s="2177"/>
    </row>
    <row r="1999" spans="2:21" hidden="1" outlineLevel="2">
      <c r="B1999" s="2407">
        <v>13</v>
      </c>
      <c r="C1999" s="1050" t="str">
        <f t="shared" si="169"/>
        <v>2017 - usage : Eclairage public, France continentale, Base Carbone</v>
      </c>
      <c r="D1999" s="1051">
        <f t="shared" si="171"/>
        <v>5</v>
      </c>
      <c r="E1999" s="1051" t="str">
        <f>IF(COUNTIF(E$1986:E1998,F1999)&gt;0,"",F1999)</f>
        <v>2016 - usage : Eclairage public, France continentale, Base Carbone</v>
      </c>
      <c r="F1999" s="1051" t="str">
        <f t="shared" si="172"/>
        <v>2016 - usage : Eclairage public, France continentale, Base Carbone</v>
      </c>
      <c r="G1999" s="1055" t="str">
        <f t="shared" si="173"/>
        <v>2016 - usage : Eclairage public, France continentale, Base Carbone; kgCO2e/kWh, Combustion à la centrale</v>
      </c>
      <c r="I1999" s="2218" t="s">
        <v>2825</v>
      </c>
      <c r="J1999" s="2512" t="s">
        <v>1681</v>
      </c>
      <c r="K1999" s="2512" t="s">
        <v>1567</v>
      </c>
      <c r="L1999" s="2512" t="s">
        <v>1571</v>
      </c>
      <c r="M1999" s="2513">
        <v>0.3</v>
      </c>
      <c r="N1999" s="2512" t="s">
        <v>1763</v>
      </c>
      <c r="O1999" s="2512">
        <v>5.5199999999999999E-2</v>
      </c>
      <c r="P1999" s="2404"/>
      <c r="Q1999" s="2404"/>
      <c r="R1999" s="2404"/>
      <c r="S1999" s="2404"/>
      <c r="T1999" s="2404"/>
      <c r="U1999" s="2177"/>
    </row>
    <row r="2000" spans="2:21" hidden="1" outlineLevel="2">
      <c r="B2000" s="2407">
        <v>14</v>
      </c>
      <c r="C2000" s="1050" t="str">
        <f t="shared" si="169"/>
        <v>2017 - usage : Eclairage résidentiel, France continentale, Base Carbone</v>
      </c>
      <c r="D2000" s="1051">
        <f t="shared" si="171"/>
        <v>5</v>
      </c>
      <c r="E2000" s="1051" t="str">
        <f>IF(COUNTIF(E$1986:E1999,F2000)&gt;0,"",F2000)</f>
        <v/>
      </c>
      <c r="F2000" s="1051" t="str">
        <f t="shared" si="172"/>
        <v>2016 - usage : Eclairage public, France continentale, Base Carbone</v>
      </c>
      <c r="G2000" s="1055" t="str">
        <f t="shared" si="173"/>
        <v>2016 - usage : Eclairage public, France continentale, Base Carbone; kgCO2e/kWh, Amont</v>
      </c>
      <c r="I2000" s="2218" t="s">
        <v>2825</v>
      </c>
      <c r="J2000" s="2512" t="s">
        <v>1681</v>
      </c>
      <c r="K2000" s="2512" t="s">
        <v>1567</v>
      </c>
      <c r="L2000" s="2512" t="s">
        <v>1571</v>
      </c>
      <c r="M2000" s="2513">
        <v>0.3</v>
      </c>
      <c r="N2000" s="2512" t="s">
        <v>1570</v>
      </c>
      <c r="O2000" s="2512">
        <v>1.35E-2</v>
      </c>
      <c r="P2000" s="2404"/>
      <c r="Q2000" s="2404"/>
      <c r="R2000" s="2404"/>
      <c r="S2000" s="2404"/>
      <c r="T2000" s="2404"/>
      <c r="U2000" s="2177"/>
    </row>
    <row r="2001" spans="2:21" hidden="1" outlineLevel="2">
      <c r="B2001" s="2407">
        <v>15</v>
      </c>
      <c r="C2001" s="1050" t="str">
        <f t="shared" si="169"/>
        <v>2017 - usage : Froid, France continentale, Base Carbone</v>
      </c>
      <c r="D2001" s="1051">
        <f t="shared" si="171"/>
        <v>5</v>
      </c>
      <c r="E2001" s="1051" t="str">
        <f>IF(COUNTIF(E$1986:E2000,F2001)&gt;0,"",F2001)</f>
        <v/>
      </c>
      <c r="F2001" s="1051" t="str">
        <f t="shared" si="172"/>
        <v>2016 - usage : Eclairage public, France continentale, Base Carbone</v>
      </c>
      <c r="G2001" s="1055" t="str">
        <f t="shared" si="173"/>
        <v>2016 - usage : Eclairage public, France continentale, Base Carbone; kgCO2e/kWh, Pertes</v>
      </c>
      <c r="I2001" s="2218" t="s">
        <v>2825</v>
      </c>
      <c r="J2001" s="2512" t="s">
        <v>1681</v>
      </c>
      <c r="K2001" s="2512" t="s">
        <v>1567</v>
      </c>
      <c r="L2001" s="2512" t="s">
        <v>1571</v>
      </c>
      <c r="M2001" s="2513">
        <v>0.3</v>
      </c>
      <c r="N2001" s="2512" t="s">
        <v>1766</v>
      </c>
      <c r="O2001" s="2512">
        <v>4.8799999999999998E-3</v>
      </c>
      <c r="P2001" s="2404"/>
      <c r="Q2001" s="2404"/>
      <c r="R2001" s="2404"/>
      <c r="S2001" s="2404"/>
      <c r="T2001" s="2404"/>
      <c r="U2001" s="2177"/>
    </row>
    <row r="2002" spans="2:21" hidden="1" outlineLevel="2">
      <c r="B2002" s="2407">
        <v>16</v>
      </c>
      <c r="C2002" s="1050" t="str">
        <f t="shared" si="169"/>
        <v>2017 - usage : Industrie base, France continentale, Base Carbone</v>
      </c>
      <c r="D2002" s="1051">
        <f t="shared" si="171"/>
        <v>6</v>
      </c>
      <c r="E2002" s="1051" t="str">
        <f>IF(COUNTIF(E$1986:E2001,F2002)&gt;0,"",F2002)</f>
        <v>2016 - usage : Eclairage résidentiel, France continentale, Base Carbone</v>
      </c>
      <c r="F2002" s="1051" t="str">
        <f t="shared" si="172"/>
        <v>2016 - usage : Eclairage résidentiel, France continentale, Base Carbone</v>
      </c>
      <c r="G2002" s="1055" t="str">
        <f t="shared" si="173"/>
        <v>2016 - usage : Eclairage résidentiel, France continentale, Base Carbone; kgCO2e/kWh, Combustion à la centrale</v>
      </c>
      <c r="I2002" s="2218" t="s">
        <v>2826</v>
      </c>
      <c r="J2002" s="2512" t="s">
        <v>1681</v>
      </c>
      <c r="K2002" s="2512" t="s">
        <v>1567</v>
      </c>
      <c r="L2002" s="2512" t="s">
        <v>1571</v>
      </c>
      <c r="M2002" s="2513">
        <v>0.3</v>
      </c>
      <c r="N2002" s="2512" t="s">
        <v>1763</v>
      </c>
      <c r="O2002" s="2512">
        <v>6.8599999999999994E-2</v>
      </c>
      <c r="P2002" s="2404"/>
      <c r="Q2002" s="2404"/>
      <c r="R2002" s="2404"/>
      <c r="S2002" s="2404"/>
      <c r="T2002" s="2404"/>
      <c r="U2002" s="2177"/>
    </row>
    <row r="2003" spans="2:21" hidden="1" outlineLevel="2">
      <c r="B2003" s="2407">
        <v>17</v>
      </c>
      <c r="C2003" s="1050" t="str">
        <f t="shared" si="169"/>
        <v>2017 - usage : Transports, France continentale, Base Carbone</v>
      </c>
      <c r="D2003" s="1051">
        <f t="shared" si="171"/>
        <v>6</v>
      </c>
      <c r="E2003" s="1051" t="str">
        <f>IF(COUNTIF(E$1986:E2002,F2003)&gt;0,"",F2003)</f>
        <v/>
      </c>
      <c r="F2003" s="1051" t="str">
        <f t="shared" si="172"/>
        <v>2016 - usage : Eclairage résidentiel, France continentale, Base Carbone</v>
      </c>
      <c r="G2003" s="1055" t="str">
        <f t="shared" si="173"/>
        <v>2016 - usage : Eclairage résidentiel, France continentale, Base Carbone; kgCO2e/kWh, Amont</v>
      </c>
      <c r="I2003" s="2218" t="s">
        <v>2826</v>
      </c>
      <c r="J2003" s="2512" t="s">
        <v>1681</v>
      </c>
      <c r="K2003" s="2512" t="s">
        <v>1567</v>
      </c>
      <c r="L2003" s="2512" t="s">
        <v>1571</v>
      </c>
      <c r="M2003" s="2513">
        <v>0.3</v>
      </c>
      <c r="N2003" s="2512" t="s">
        <v>1570</v>
      </c>
      <c r="O2003" s="2512">
        <v>1.52E-2</v>
      </c>
      <c r="P2003" s="2404"/>
      <c r="Q2003" s="2404"/>
      <c r="R2003" s="2404"/>
      <c r="S2003" s="2404"/>
      <c r="T2003" s="2404"/>
      <c r="U2003" s="2177"/>
    </row>
    <row r="2004" spans="2:21" hidden="1" outlineLevel="2">
      <c r="B2004" s="2407">
        <v>18</v>
      </c>
      <c r="C2004" s="1050" t="str">
        <f t="shared" si="169"/>
        <v>2018 - usage : chauffage, France continentale, Base Carbone</v>
      </c>
      <c r="D2004" s="1051">
        <f t="shared" si="171"/>
        <v>6</v>
      </c>
      <c r="E2004" s="1051" t="str">
        <f>IF(COUNTIF(E$1986:E2003,F2004)&gt;0,"",F2004)</f>
        <v/>
      </c>
      <c r="F2004" s="1051" t="str">
        <f t="shared" si="172"/>
        <v>2016 - usage : Eclairage résidentiel, France continentale, Base Carbone</v>
      </c>
      <c r="G2004" s="1055" t="str">
        <f t="shared" si="173"/>
        <v>2016 - usage : Eclairage résidentiel, France continentale, Base Carbone; kgCO2e/kWh, Pertes</v>
      </c>
      <c r="I2004" s="2218" t="s">
        <v>2826</v>
      </c>
      <c r="J2004" s="2512" t="s">
        <v>1681</v>
      </c>
      <c r="K2004" s="2512" t="s">
        <v>1567</v>
      </c>
      <c r="L2004" s="2512" t="s">
        <v>1571</v>
      </c>
      <c r="M2004" s="2513">
        <v>0.3</v>
      </c>
      <c r="N2004" s="2512" t="s">
        <v>1766</v>
      </c>
      <c r="O2004" s="2512">
        <v>4.8799999999999998E-3</v>
      </c>
      <c r="P2004" s="2404"/>
      <c r="Q2004" s="2404"/>
      <c r="R2004" s="2404"/>
      <c r="S2004" s="2404"/>
      <c r="T2004" s="2404"/>
      <c r="U2004" s="2177"/>
    </row>
    <row r="2005" spans="2:21" hidden="1" outlineLevel="2">
      <c r="B2005" s="2407">
        <v>19</v>
      </c>
      <c r="C2005" s="1050" t="str">
        <f t="shared" si="169"/>
        <v>2018 - usage : Cuisson résidentiel, France continentale, Base Carbone</v>
      </c>
      <c r="D2005" s="1051">
        <f t="shared" si="171"/>
        <v>7</v>
      </c>
      <c r="E2005" s="1051" t="str">
        <f>IF(COUNTIF(E$1986:E2004,F2005)&gt;0,"",F2005)</f>
        <v>2016 - usage : Froid, France continentale, Base Carbone</v>
      </c>
      <c r="F2005" s="1051" t="str">
        <f t="shared" si="172"/>
        <v>2016 - usage : Froid, France continentale, Base Carbone</v>
      </c>
      <c r="G2005" s="1055" t="str">
        <f t="shared" si="173"/>
        <v>2016 - usage : Froid, France continentale, Base Carbone; kgCO2e/kWh, Combustion à la centrale</v>
      </c>
      <c r="I2005" s="2218" t="s">
        <v>5042</v>
      </c>
      <c r="J2005" s="2512" t="s">
        <v>1681</v>
      </c>
      <c r="K2005" s="2512" t="s">
        <v>1567</v>
      </c>
      <c r="L2005" s="2512" t="s">
        <v>1571</v>
      </c>
      <c r="M2005" s="2513">
        <v>0.3</v>
      </c>
      <c r="N2005" s="2512" t="s">
        <v>1763</v>
      </c>
      <c r="O2005" s="2512">
        <v>2.5399999999999999E-2</v>
      </c>
      <c r="P2005" s="2404"/>
      <c r="Q2005" s="2404"/>
      <c r="R2005" s="2404"/>
      <c r="S2005" s="2404"/>
      <c r="T2005" s="2404"/>
      <c r="U2005" s="2177"/>
    </row>
    <row r="2006" spans="2:21" hidden="1" outlineLevel="2">
      <c r="B2006" s="2407">
        <v>20</v>
      </c>
      <c r="C2006" s="1050" t="str">
        <f t="shared" si="169"/>
        <v>2018 - usage : Eau Chaude Sanitaire, France continentale, Base Carbone</v>
      </c>
      <c r="D2006" s="1051">
        <f t="shared" si="171"/>
        <v>7</v>
      </c>
      <c r="E2006" s="1051" t="str">
        <f>IF(COUNTIF(E$1986:E2005,F2006)&gt;0,"",F2006)</f>
        <v/>
      </c>
      <c r="F2006" s="1051" t="str">
        <f t="shared" si="172"/>
        <v>2016 - usage : Froid, France continentale, Base Carbone</v>
      </c>
      <c r="G2006" s="1055" t="str">
        <f t="shared" si="173"/>
        <v>2016 - usage : Froid, France continentale, Base Carbone; kgCO2e/kWh, Amont</v>
      </c>
      <c r="I2006" s="2218" t="s">
        <v>5042</v>
      </c>
      <c r="J2006" s="2512" t="s">
        <v>1681</v>
      </c>
      <c r="K2006" s="2512" t="s">
        <v>1567</v>
      </c>
      <c r="L2006" s="2512" t="s">
        <v>1571</v>
      </c>
      <c r="M2006" s="2513">
        <v>0.3</v>
      </c>
      <c r="N2006" s="2512" t="s">
        <v>1570</v>
      </c>
      <c r="O2006" s="2512">
        <v>9.9600000000000001E-3</v>
      </c>
      <c r="P2006" s="2404"/>
      <c r="Q2006" s="2404"/>
      <c r="R2006" s="2404"/>
      <c r="S2006" s="2404"/>
      <c r="T2006" s="2404"/>
      <c r="U2006" s="2177"/>
    </row>
    <row r="2007" spans="2:21" hidden="1" outlineLevel="2">
      <c r="B2007" s="2407">
        <v>21</v>
      </c>
      <c r="C2007" s="1050" t="str">
        <f t="shared" si="169"/>
        <v>2018 - usage : Eclairage public, France continentale, Base Carbone</v>
      </c>
      <c r="D2007" s="1051">
        <f t="shared" si="171"/>
        <v>7</v>
      </c>
      <c r="E2007" s="1051" t="str">
        <f>IF(COUNTIF(E$1986:E2006,F2007)&gt;0,"",F2007)</f>
        <v/>
      </c>
      <c r="F2007" s="1051" t="str">
        <f t="shared" si="172"/>
        <v>2016 - usage : Froid, France continentale, Base Carbone</v>
      </c>
      <c r="G2007" s="1055" t="str">
        <f t="shared" si="173"/>
        <v>2016 - usage : Froid, France continentale, Base Carbone; kgCO2e/kWh, Pertes</v>
      </c>
      <c r="I2007" s="2218" t="s">
        <v>5042</v>
      </c>
      <c r="J2007" s="2512" t="s">
        <v>1681</v>
      </c>
      <c r="K2007" s="2512" t="s">
        <v>1567</v>
      </c>
      <c r="L2007" s="2512" t="s">
        <v>1571</v>
      </c>
      <c r="M2007" s="2513">
        <v>0.3</v>
      </c>
      <c r="N2007" s="2512" t="s">
        <v>1766</v>
      </c>
      <c r="O2007" s="2512">
        <v>4.8799999999999998E-3</v>
      </c>
      <c r="P2007" s="2404"/>
      <c r="Q2007" s="2404"/>
      <c r="R2007" s="2404"/>
      <c r="S2007" s="2404"/>
      <c r="T2007" s="2404"/>
      <c r="U2007" s="2177"/>
    </row>
    <row r="2008" spans="2:21" hidden="1" outlineLevel="2">
      <c r="B2008" s="2407">
        <v>22</v>
      </c>
      <c r="C2008" s="1050" t="str">
        <f t="shared" si="169"/>
        <v>2018 - usage : Eclairage résidentiel, France continentale, Base Carbone</v>
      </c>
      <c r="D2008" s="1051">
        <f t="shared" si="171"/>
        <v>8</v>
      </c>
      <c r="E2008" s="1051" t="str">
        <f>IF(COUNTIF(E$1986:E2007,F2008)&gt;0,"",F2008)</f>
        <v>2016 - usage : Industrie base, France continentale, Base Carbone</v>
      </c>
      <c r="F2008" s="1051" t="str">
        <f t="shared" si="172"/>
        <v>2016 - usage : Industrie base, France continentale, Base Carbone</v>
      </c>
      <c r="G2008" s="1055" t="str">
        <f t="shared" si="173"/>
        <v>2016 - usage : Industrie base, France continentale, Base Carbone; kgCO2e/kWh, Combustion à la centrale</v>
      </c>
      <c r="I2008" s="2218" t="s">
        <v>2827</v>
      </c>
      <c r="J2008" s="2512" t="s">
        <v>1681</v>
      </c>
      <c r="K2008" s="2512" t="s">
        <v>1567</v>
      </c>
      <c r="L2008" s="2512" t="s">
        <v>1571</v>
      </c>
      <c r="M2008" s="2513">
        <v>0.3</v>
      </c>
      <c r="N2008" s="2512" t="s">
        <v>1763</v>
      </c>
      <c r="O2008" s="2512">
        <v>2.12E-2</v>
      </c>
      <c r="P2008" s="2404"/>
      <c r="Q2008" s="2404"/>
      <c r="R2008" s="2404"/>
      <c r="S2008" s="2404"/>
      <c r="T2008" s="2404"/>
      <c r="U2008" s="2177"/>
    </row>
    <row r="2009" spans="2:21" hidden="1" outlineLevel="2">
      <c r="B2009" s="2407">
        <v>23</v>
      </c>
      <c r="C2009" s="1050" t="str">
        <f t="shared" si="169"/>
        <v>2018 - usage : Froid, France continentale, Base Carbone</v>
      </c>
      <c r="D2009" s="1051">
        <f t="shared" si="171"/>
        <v>8</v>
      </c>
      <c r="E2009" s="1051" t="str">
        <f>IF(COUNTIF(E$1986:E2008,F2009)&gt;0,"",F2009)</f>
        <v/>
      </c>
      <c r="F2009" s="1051" t="str">
        <f t="shared" si="172"/>
        <v>2016 - usage : Industrie base, France continentale, Base Carbone</v>
      </c>
      <c r="G2009" s="1055" t="str">
        <f t="shared" si="173"/>
        <v>2016 - usage : Industrie base, France continentale, Base Carbone; kgCO2e/kWh, Amont</v>
      </c>
      <c r="I2009" s="2218" t="s">
        <v>2827</v>
      </c>
      <c r="J2009" s="2512" t="s">
        <v>1681</v>
      </c>
      <c r="K2009" s="2512" t="s">
        <v>1567</v>
      </c>
      <c r="L2009" s="2512" t="s">
        <v>1571</v>
      </c>
      <c r="M2009" s="2513">
        <v>0.3</v>
      </c>
      <c r="N2009" s="2512" t="s">
        <v>1570</v>
      </c>
      <c r="O2009" s="2512">
        <v>9.3699999999999999E-3</v>
      </c>
      <c r="P2009" s="2404"/>
      <c r="Q2009" s="2404"/>
      <c r="R2009" s="2404"/>
      <c r="S2009" s="2404"/>
      <c r="T2009" s="2404"/>
      <c r="U2009" s="2177"/>
    </row>
    <row r="2010" spans="2:21" hidden="1" outlineLevel="2">
      <c r="B2010" s="2407">
        <v>24</v>
      </c>
      <c r="C2010" s="1050" t="str">
        <f t="shared" si="169"/>
        <v>2018 - usage : Industrie base, France continentale, Base Carbone</v>
      </c>
      <c r="D2010" s="1051">
        <f t="shared" si="171"/>
        <v>8</v>
      </c>
      <c r="E2010" s="1051" t="str">
        <f>IF(COUNTIF(E$1986:E2009,F2010)&gt;0,"",F2010)</f>
        <v/>
      </c>
      <c r="F2010" s="1051" t="str">
        <f t="shared" si="172"/>
        <v>2016 - usage : Industrie base, France continentale, Base Carbone</v>
      </c>
      <c r="G2010" s="1055" t="str">
        <f t="shared" si="173"/>
        <v>2016 - usage : Industrie base, France continentale, Base Carbone; kgCO2e/kWh, Pertes</v>
      </c>
      <c r="I2010" s="2218" t="s">
        <v>2827</v>
      </c>
      <c r="J2010" s="2512" t="s">
        <v>1681</v>
      </c>
      <c r="K2010" s="2512" t="s">
        <v>1567</v>
      </c>
      <c r="L2010" s="2512" t="s">
        <v>1571</v>
      </c>
      <c r="M2010" s="2513">
        <v>0.3</v>
      </c>
      <c r="N2010" s="2512" t="s">
        <v>1766</v>
      </c>
      <c r="O2010" s="2512">
        <v>4.8799999999999998E-3</v>
      </c>
      <c r="P2010" s="2404"/>
      <c r="Q2010" s="2404"/>
      <c r="R2010" s="2404"/>
      <c r="S2010" s="2404"/>
      <c r="T2010" s="2404"/>
      <c r="U2010" s="2177"/>
    </row>
    <row r="2011" spans="2:21" hidden="1" outlineLevel="2">
      <c r="B2011" s="2407">
        <v>25</v>
      </c>
      <c r="C2011" s="1050" t="str">
        <f t="shared" si="169"/>
        <v>2018 - usage : Transports, France continentale, Base Carbone</v>
      </c>
      <c r="D2011" s="1051">
        <f t="shared" si="171"/>
        <v>9</v>
      </c>
      <c r="E2011" s="1051" t="str">
        <f>IF(COUNTIF(E$1986:E2010,F2011)&gt;0,"",F2011)</f>
        <v>2016 - usage : Transports, France continentale, Base Carbone</v>
      </c>
      <c r="F2011" s="1051" t="str">
        <f t="shared" si="172"/>
        <v>2016 - usage : Transports, France continentale, Base Carbone</v>
      </c>
      <c r="G2011" s="1055" t="str">
        <f t="shared" si="173"/>
        <v>2016 - usage : Transports, France continentale, Base Carbone; kgCO2e/kWh, Combustion à la centrale</v>
      </c>
      <c r="I2011" s="2218" t="s">
        <v>2828</v>
      </c>
      <c r="J2011" s="2512" t="s">
        <v>1681</v>
      </c>
      <c r="K2011" s="2512" t="s">
        <v>1567</v>
      </c>
      <c r="L2011" s="2512" t="s">
        <v>1571</v>
      </c>
      <c r="M2011" s="2513">
        <v>0.3</v>
      </c>
      <c r="N2011" s="2512" t="s">
        <v>1763</v>
      </c>
      <c r="O2011" s="2512">
        <v>1.8200000000000001E-2</v>
      </c>
      <c r="P2011" s="2404"/>
      <c r="Q2011" s="2404"/>
      <c r="R2011" s="2404"/>
      <c r="S2011" s="2404"/>
      <c r="T2011" s="2404"/>
      <c r="U2011" s="2177"/>
    </row>
    <row r="2012" spans="2:21" hidden="1" outlineLevel="2">
      <c r="B2012" s="2407">
        <v>26</v>
      </c>
      <c r="C2012" s="1050" t="str">
        <f t="shared" si="169"/>
        <v>2019 - usage : chauffage, France continentale, Base Carbone</v>
      </c>
      <c r="D2012" s="1051">
        <f t="shared" si="171"/>
        <v>9</v>
      </c>
      <c r="E2012" s="1051" t="str">
        <f>IF(COUNTIF(E$1986:E2011,F2012)&gt;0,"",F2012)</f>
        <v/>
      </c>
      <c r="F2012" s="1051" t="str">
        <f t="shared" si="172"/>
        <v>2016 - usage : Transports, France continentale, Base Carbone</v>
      </c>
      <c r="G2012" s="1055" t="str">
        <f t="shared" si="173"/>
        <v>2016 - usage : Transports, France continentale, Base Carbone; kgCO2e/kWh, Amont</v>
      </c>
      <c r="I2012" s="2218" t="s">
        <v>2828</v>
      </c>
      <c r="J2012" s="2512" t="s">
        <v>1681</v>
      </c>
      <c r="K2012" s="2512" t="s">
        <v>1567</v>
      </c>
      <c r="L2012" s="2512" t="s">
        <v>1571</v>
      </c>
      <c r="M2012" s="2513">
        <v>0.3</v>
      </c>
      <c r="N2012" s="2512" t="s">
        <v>1570</v>
      </c>
      <c r="O2012" s="2512">
        <v>8.9800000000000001E-3</v>
      </c>
      <c r="P2012" s="2404"/>
      <c r="Q2012" s="2404"/>
      <c r="R2012" s="2404"/>
      <c r="S2012" s="2404"/>
      <c r="T2012" s="2404"/>
      <c r="U2012" s="2177"/>
    </row>
    <row r="2013" spans="2:21" hidden="1" outlineLevel="2">
      <c r="B2013" s="2407">
        <v>27</v>
      </c>
      <c r="C2013" s="1050" t="str">
        <f t="shared" si="169"/>
        <v>2019 - usage : Cuisson résidentiel, France continentale, Base Carbone</v>
      </c>
      <c r="D2013" s="1051">
        <f t="shared" si="171"/>
        <v>9</v>
      </c>
      <c r="E2013" s="1051" t="str">
        <f>IF(COUNTIF(E$1986:E2012,F2013)&gt;0,"",F2013)</f>
        <v/>
      </c>
      <c r="F2013" s="1051" t="str">
        <f t="shared" si="172"/>
        <v>2016 - usage : Transports, France continentale, Base Carbone</v>
      </c>
      <c r="G2013" s="1055" t="str">
        <f t="shared" si="173"/>
        <v>2016 - usage : Transports, France continentale, Base Carbone; kgCO2e/kWh, Pertes</v>
      </c>
      <c r="I2013" s="2218" t="s">
        <v>2828</v>
      </c>
      <c r="J2013" s="2512" t="s">
        <v>1681</v>
      </c>
      <c r="K2013" s="2512" t="s">
        <v>1567</v>
      </c>
      <c r="L2013" s="2512" t="s">
        <v>1571</v>
      </c>
      <c r="M2013" s="2513">
        <v>0.3</v>
      </c>
      <c r="N2013" s="2512" t="s">
        <v>1766</v>
      </c>
      <c r="O2013" s="2512">
        <v>4.8799999999999998E-3</v>
      </c>
      <c r="P2013" s="2404"/>
      <c r="Q2013" s="2404"/>
      <c r="R2013" s="2404"/>
      <c r="S2013" s="2404"/>
      <c r="T2013" s="2404"/>
      <c r="U2013" s="2177"/>
    </row>
    <row r="2014" spans="2:21" hidden="1" outlineLevel="2">
      <c r="B2014" s="2407">
        <v>28</v>
      </c>
      <c r="C2014" s="1050" t="str">
        <f t="shared" si="169"/>
        <v>2019 - usage : Eau Chaude Sanitaire, France continentale, Base Carbone</v>
      </c>
      <c r="D2014" s="1051">
        <f t="shared" si="171"/>
        <v>9</v>
      </c>
      <c r="E2014" s="1051" t="str">
        <f>IF(COUNTIF(E$1986:E2013,F2014)&gt;0,"",F2014)</f>
        <v/>
      </c>
      <c r="F2014" s="1051" t="str">
        <f t="shared" si="172"/>
        <v/>
      </c>
      <c r="G2014" s="1055" t="str">
        <f t="shared" si="173"/>
        <v/>
      </c>
      <c r="I2014" s="2218"/>
      <c r="J2014" s="2512"/>
      <c r="K2014" s="2512"/>
      <c r="L2014" s="2512"/>
      <c r="M2014" s="2513"/>
      <c r="N2014" s="2512"/>
      <c r="O2014" s="2512"/>
      <c r="P2014" s="2404"/>
      <c r="Q2014" s="2404"/>
      <c r="R2014" s="2404"/>
      <c r="S2014" s="2404"/>
      <c r="T2014" s="2404"/>
      <c r="U2014" s="2177"/>
    </row>
    <row r="2015" spans="2:21" hidden="1" outlineLevel="2">
      <c r="B2015" s="2407">
        <v>29</v>
      </c>
      <c r="C2015" s="1050" t="str">
        <f t="shared" si="169"/>
        <v>2019 - usage : Eclairage public, France continentale, Base Carbone</v>
      </c>
      <c r="D2015" s="1051">
        <f t="shared" si="171"/>
        <v>10</v>
      </c>
      <c r="E2015" s="1051" t="str">
        <f>IF(COUNTIF(E$1986:E2014,F2015)&gt;0,"",F2015)</f>
        <v>2017 - usage : chauffage, France continentale, Base Carbone</v>
      </c>
      <c r="F2015" s="1051" t="str">
        <f t="shared" si="172"/>
        <v>2017 - usage : chauffage, France continentale, Base Carbone</v>
      </c>
      <c r="G2015" s="1055" t="str">
        <f t="shared" si="173"/>
        <v>2017 - usage : chauffage, France continentale, Base Carbone; kgCO2e/kWh, Combustion à la centrale</v>
      </c>
      <c r="I2015" s="2218" t="s">
        <v>3109</v>
      </c>
      <c r="J2015" s="2512" t="s">
        <v>1681</v>
      </c>
      <c r="K2015" s="2512" t="s">
        <v>1567</v>
      </c>
      <c r="L2015" s="2512" t="s">
        <v>1571</v>
      </c>
      <c r="M2015" s="2513">
        <v>0.3</v>
      </c>
      <c r="N2015" s="2512" t="s">
        <v>1763</v>
      </c>
      <c r="O2015" s="2512">
        <v>0.129</v>
      </c>
      <c r="P2015" s="2404"/>
      <c r="Q2015" s="2404"/>
      <c r="R2015" s="2404"/>
      <c r="S2015" s="2404"/>
      <c r="T2015" s="2404"/>
      <c r="U2015" s="2177"/>
    </row>
    <row r="2016" spans="2:21" hidden="1" outlineLevel="2">
      <c r="B2016" s="2407">
        <v>30</v>
      </c>
      <c r="C2016" s="1050" t="str">
        <f t="shared" si="169"/>
        <v>2019 - usage : Eclairage résidentiel, France continentale, Base Carbone</v>
      </c>
      <c r="D2016" s="1051">
        <f t="shared" si="171"/>
        <v>10</v>
      </c>
      <c r="E2016" s="1051" t="str">
        <f>IF(COUNTIF(E$1986:E2015,F2016)&gt;0,"",F2016)</f>
        <v/>
      </c>
      <c r="F2016" s="1051" t="str">
        <f t="shared" si="172"/>
        <v>2017 - usage : chauffage, France continentale, Base Carbone</v>
      </c>
      <c r="G2016" s="1055" t="str">
        <f t="shared" si="173"/>
        <v>2017 - usage : chauffage, France continentale, Base Carbone; kgCO2e/kWh, Amont</v>
      </c>
      <c r="I2016" s="2218" t="s">
        <v>3109</v>
      </c>
      <c r="J2016" s="2512" t="s">
        <v>1681</v>
      </c>
      <c r="K2016" s="2512" t="s">
        <v>1567</v>
      </c>
      <c r="L2016" s="2512" t="s">
        <v>1571</v>
      </c>
      <c r="M2016" s="2513">
        <v>0.3</v>
      </c>
      <c r="N2016" s="2512" t="s">
        <v>1570</v>
      </c>
      <c r="O2016" s="2512">
        <v>2.35E-2</v>
      </c>
      <c r="P2016" s="2404"/>
      <c r="Q2016" s="2404"/>
      <c r="R2016" s="2404"/>
      <c r="S2016" s="2404"/>
      <c r="T2016" s="2404"/>
      <c r="U2016" s="2177"/>
    </row>
    <row r="2017" spans="2:21" hidden="1" outlineLevel="2">
      <c r="B2017" s="2407">
        <v>31</v>
      </c>
      <c r="C2017" s="1050" t="str">
        <f t="shared" si="169"/>
        <v>2019 - usage : Froid, France continentale, Base Carbone</v>
      </c>
      <c r="D2017" s="1051">
        <f t="shared" si="171"/>
        <v>10</v>
      </c>
      <c r="E2017" s="1051" t="str">
        <f>IF(COUNTIF(E$1986:E2016,F2017)&gt;0,"",F2017)</f>
        <v/>
      </c>
      <c r="F2017" s="1051" t="str">
        <f t="shared" si="172"/>
        <v>2017 - usage : chauffage, France continentale, Base Carbone</v>
      </c>
      <c r="G2017" s="1055" t="str">
        <f t="shared" si="173"/>
        <v>2017 - usage : chauffage, France continentale, Base Carbone; kgCO2e/kWh, Pertes</v>
      </c>
      <c r="I2017" s="2218" t="s">
        <v>3109</v>
      </c>
      <c r="J2017" s="2512" t="s">
        <v>1681</v>
      </c>
      <c r="K2017" s="2512" t="s">
        <v>1567</v>
      </c>
      <c r="L2017" s="2512" t="s">
        <v>1571</v>
      </c>
      <c r="M2017" s="2513">
        <v>0.3</v>
      </c>
      <c r="N2017" s="2512" t="s">
        <v>1766</v>
      </c>
      <c r="O2017" s="2512">
        <v>4.4099999999999999E-3</v>
      </c>
      <c r="P2017" s="2404"/>
      <c r="Q2017" s="2404"/>
      <c r="R2017" s="2404"/>
      <c r="S2017" s="2404"/>
      <c r="T2017" s="2404"/>
      <c r="U2017" s="2177"/>
    </row>
    <row r="2018" spans="2:21" hidden="1" outlineLevel="2">
      <c r="B2018" s="2407">
        <v>32</v>
      </c>
      <c r="C2018" s="1050" t="str">
        <f t="shared" si="169"/>
        <v>2019 - usage : Industrie base, France continentale, Base Carbone</v>
      </c>
      <c r="D2018" s="1051">
        <f t="shared" si="171"/>
        <v>11</v>
      </c>
      <c r="E2018" s="1051" t="str">
        <f>IF(COUNTIF(E$1986:E2017,F2018)&gt;0,"",F2018)</f>
        <v>2017 - usage : Cuisson résidentiel, France continentale, Base Carbone</v>
      </c>
      <c r="F2018" s="1051" t="str">
        <f t="shared" si="172"/>
        <v>2017 - usage : Cuisson résidentiel, France continentale, Base Carbone</v>
      </c>
      <c r="G2018" s="1055" t="str">
        <f t="shared" si="173"/>
        <v>2017 - usage : Cuisson résidentiel, France continentale, Base Carbone; kgCO2e/kWh, Combustion à la centrale</v>
      </c>
      <c r="I2018" s="2218" t="s">
        <v>3111</v>
      </c>
      <c r="J2018" s="2512" t="s">
        <v>1681</v>
      </c>
      <c r="K2018" s="2512" t="s">
        <v>1567</v>
      </c>
      <c r="L2018" s="2512" t="s">
        <v>1571</v>
      </c>
      <c r="M2018" s="2513">
        <v>0.3</v>
      </c>
      <c r="N2018" s="2512" t="s">
        <v>1763</v>
      </c>
      <c r="O2018" s="2512">
        <v>3.5400000000000001E-2</v>
      </c>
      <c r="P2018" s="2404"/>
      <c r="Q2018" s="2404"/>
      <c r="R2018" s="2404"/>
      <c r="S2018" s="2404"/>
      <c r="T2018" s="2404"/>
      <c r="U2018" s="2177"/>
    </row>
    <row r="2019" spans="2:21" hidden="1" outlineLevel="2">
      <c r="B2019" s="2407">
        <v>33</v>
      </c>
      <c r="C2019" s="1050" t="str">
        <f t="shared" ref="C2019:C2046" si="174">IF(ISNA(VLOOKUP(B2019,$D$1986:$E$2150,2,FALSE)),"-",VLOOKUP(B2019,$D$1986:$E$2150,2,FALSE))</f>
        <v>2019 - usage : Transports, France continentale, Base Carbone</v>
      </c>
      <c r="D2019" s="1051">
        <f t="shared" si="171"/>
        <v>11</v>
      </c>
      <c r="E2019" s="1051" t="str">
        <f>IF(COUNTIF(E$1986:E2018,F2019)&gt;0,"",F2019)</f>
        <v/>
      </c>
      <c r="F2019" s="1051" t="str">
        <f t="shared" si="172"/>
        <v>2017 - usage : Cuisson résidentiel, France continentale, Base Carbone</v>
      </c>
      <c r="G2019" s="1055" t="str">
        <f t="shared" si="173"/>
        <v>2017 - usage : Cuisson résidentiel, France continentale, Base Carbone; kgCO2e/kWh, Amont</v>
      </c>
      <c r="I2019" s="2218" t="s">
        <v>3111</v>
      </c>
      <c r="J2019" s="2512" t="s">
        <v>1681</v>
      </c>
      <c r="K2019" s="2512" t="s">
        <v>1567</v>
      </c>
      <c r="L2019" s="2512" t="s">
        <v>1571</v>
      </c>
      <c r="M2019" s="2513">
        <v>0.3</v>
      </c>
      <c r="N2019" s="2512" t="s">
        <v>1570</v>
      </c>
      <c r="O2019" s="2512">
        <v>1.2E-2</v>
      </c>
      <c r="P2019" s="2404"/>
      <c r="Q2019" s="2404"/>
      <c r="R2019" s="2404"/>
      <c r="S2019" s="2404"/>
      <c r="T2019" s="2404"/>
      <c r="U2019" s="2177"/>
    </row>
    <row r="2020" spans="2:21" hidden="1" outlineLevel="2">
      <c r="B2020" s="2407">
        <v>34</v>
      </c>
      <c r="C2020" s="1050" t="str">
        <f t="shared" si="174"/>
        <v>2020 - usage : Autres (BTP. recherche. armée. etc.), France continentale, Base Carbone</v>
      </c>
      <c r="D2020" s="1051">
        <f t="shared" si="171"/>
        <v>11</v>
      </c>
      <c r="E2020" s="1051" t="str">
        <f>IF(COUNTIF(E$1986:E2019,F2020)&gt;0,"",F2020)</f>
        <v/>
      </c>
      <c r="F2020" s="1051" t="str">
        <f t="shared" si="172"/>
        <v>2017 - usage : Cuisson résidentiel, France continentale, Base Carbone</v>
      </c>
      <c r="G2020" s="1055" t="str">
        <f t="shared" si="173"/>
        <v>2017 - usage : Cuisson résidentiel, France continentale, Base Carbone; kgCO2e/kWh, Pertes</v>
      </c>
      <c r="I2020" s="2218" t="s">
        <v>3111</v>
      </c>
      <c r="J2020" s="2512" t="s">
        <v>1681</v>
      </c>
      <c r="K2020" s="2512" t="s">
        <v>1567</v>
      </c>
      <c r="L2020" s="2512" t="s">
        <v>1571</v>
      </c>
      <c r="M2020" s="2513">
        <v>0.3</v>
      </c>
      <c r="N2020" s="2512" t="s">
        <v>1766</v>
      </c>
      <c r="O2020" s="2512">
        <v>4.4099999999999999E-3</v>
      </c>
      <c r="P2020" s="2404"/>
      <c r="Q2020" s="2404"/>
      <c r="R2020" s="2404"/>
      <c r="S2020" s="2404"/>
      <c r="T2020" s="2404"/>
      <c r="U2020" s="2177"/>
    </row>
    <row r="2021" spans="2:21" hidden="1" outlineLevel="2">
      <c r="B2021" s="2407">
        <v>35</v>
      </c>
      <c r="C2021" s="1050" t="str">
        <f t="shared" si="174"/>
        <v>2020 - usage : chauffage, France continentale, Base Carbone</v>
      </c>
      <c r="D2021" s="1051">
        <f t="shared" si="171"/>
        <v>12</v>
      </c>
      <c r="E2021" s="1051" t="str">
        <f>IF(COUNTIF(E$1986:E2020,F2021)&gt;0,"",F2021)</f>
        <v>2017 - usage : Eau Chaude Sanitaire, France continentale, Base Carbone</v>
      </c>
      <c r="F2021" s="1051" t="str">
        <f t="shared" si="172"/>
        <v>2017 - usage : Eau Chaude Sanitaire, France continentale, Base Carbone</v>
      </c>
      <c r="G2021" s="1055" t="str">
        <f t="shared" si="173"/>
        <v>2017 - usage : Eau Chaude Sanitaire, France continentale, Base Carbone; kgCO2e/kWh, Combustion à la centrale</v>
      </c>
      <c r="I2021" s="2218" t="s">
        <v>3112</v>
      </c>
      <c r="J2021" s="2512" t="s">
        <v>1681</v>
      </c>
      <c r="K2021" s="2512" t="s">
        <v>1567</v>
      </c>
      <c r="L2021" s="2512" t="s">
        <v>1571</v>
      </c>
      <c r="M2021" s="2513">
        <v>0.3</v>
      </c>
      <c r="N2021" s="2512" t="s">
        <v>1763</v>
      </c>
      <c r="O2021" s="2512">
        <v>3.3399999999999999E-2</v>
      </c>
      <c r="P2021" s="2404"/>
      <c r="Q2021" s="2404"/>
      <c r="R2021" s="2404"/>
      <c r="S2021" s="2404"/>
      <c r="T2021" s="2404"/>
      <c r="U2021" s="2177"/>
    </row>
    <row r="2022" spans="2:21" hidden="1" outlineLevel="2">
      <c r="B2022" s="2407">
        <v>36</v>
      </c>
      <c r="C2022" s="1050" t="str">
        <f t="shared" si="174"/>
        <v>2020 - usage : Climatisation tertiaire, France continentale, Base Carbone</v>
      </c>
      <c r="D2022" s="1051">
        <f t="shared" si="171"/>
        <v>12</v>
      </c>
      <c r="E2022" s="1051" t="str">
        <f>IF(COUNTIF(E$1986:E2021,F2022)&gt;0,"",F2022)</f>
        <v/>
      </c>
      <c r="F2022" s="1051" t="str">
        <f t="shared" si="172"/>
        <v>2017 - usage : Eau Chaude Sanitaire, France continentale, Base Carbone</v>
      </c>
      <c r="G2022" s="1055" t="str">
        <f t="shared" si="173"/>
        <v>2017 - usage : Eau Chaude Sanitaire, France continentale, Base Carbone; kgCO2e/kWh, Amont</v>
      </c>
      <c r="I2022" s="2218" t="s">
        <v>3112</v>
      </c>
      <c r="J2022" s="2512" t="s">
        <v>1681</v>
      </c>
      <c r="K2022" s="2512" t="s">
        <v>1567</v>
      </c>
      <c r="L2022" s="2512" t="s">
        <v>1571</v>
      </c>
      <c r="M2022" s="2513">
        <v>0.3</v>
      </c>
      <c r="N2022" s="2512" t="s">
        <v>1570</v>
      </c>
      <c r="O2022" s="2512">
        <v>1.18E-2</v>
      </c>
      <c r="P2022" s="2404"/>
      <c r="Q2022" s="2404"/>
      <c r="R2022" s="2404"/>
      <c r="S2022" s="2404"/>
      <c r="T2022" s="2404"/>
      <c r="U2022" s="2177"/>
    </row>
    <row r="2023" spans="2:21" hidden="1" outlineLevel="2">
      <c r="B2023" s="2407">
        <v>37</v>
      </c>
      <c r="C2023" s="1050" t="str">
        <f t="shared" si="174"/>
        <v>2020 - usage : Cuisson résidentiel, France continentale, Base Carbone</v>
      </c>
      <c r="D2023" s="1051">
        <f t="shared" si="171"/>
        <v>12</v>
      </c>
      <c r="E2023" s="1051" t="str">
        <f>IF(COUNTIF(E$1986:E2022,F2023)&gt;0,"",F2023)</f>
        <v/>
      </c>
      <c r="F2023" s="1051" t="str">
        <f t="shared" si="172"/>
        <v>2017 - usage : Eau Chaude Sanitaire, France continentale, Base Carbone</v>
      </c>
      <c r="G2023" s="1055" t="str">
        <f t="shared" si="173"/>
        <v>2017 - usage : Eau Chaude Sanitaire, France continentale, Base Carbone; kgCO2e/kWh, Pertes</v>
      </c>
      <c r="I2023" s="2218" t="s">
        <v>3112</v>
      </c>
      <c r="J2023" s="2512" t="s">
        <v>1681</v>
      </c>
      <c r="K2023" s="2512" t="s">
        <v>1567</v>
      </c>
      <c r="L2023" s="2512" t="s">
        <v>1571</v>
      </c>
      <c r="M2023" s="2513">
        <v>0.3</v>
      </c>
      <c r="N2023" s="2512" t="s">
        <v>1766</v>
      </c>
      <c r="O2023" s="2512">
        <v>4.4099999999999999E-3</v>
      </c>
      <c r="P2023" s="2404"/>
      <c r="Q2023" s="2404"/>
      <c r="R2023" s="2404"/>
      <c r="S2023" s="2404"/>
      <c r="T2023" s="2404"/>
      <c r="U2023" s="2177"/>
    </row>
    <row r="2024" spans="2:21" hidden="1" outlineLevel="2">
      <c r="B2024" s="2407">
        <v>38</v>
      </c>
      <c r="C2024" s="1050" t="str">
        <f t="shared" si="174"/>
        <v>2020 - usage : Eau Chaude Sanitaire, France continentale, Base Carbone</v>
      </c>
      <c r="D2024" s="1051">
        <f t="shared" si="171"/>
        <v>13</v>
      </c>
      <c r="E2024" s="1051" t="str">
        <f>IF(COUNTIF(E$1986:E2023,F2024)&gt;0,"",F2024)</f>
        <v>2017 - usage : Eclairage public, France continentale, Base Carbone</v>
      </c>
      <c r="F2024" s="1051" t="str">
        <f t="shared" si="172"/>
        <v>2017 - usage : Eclairage public, France continentale, Base Carbone</v>
      </c>
      <c r="G2024" s="1055" t="str">
        <f t="shared" si="173"/>
        <v>2017 - usage : Eclairage public, France continentale, Base Carbone; kgCO2e/kWh, Combustion à la centrale</v>
      </c>
      <c r="I2024" s="2218" t="s">
        <v>3113</v>
      </c>
      <c r="J2024" s="2512" t="s">
        <v>1681</v>
      </c>
      <c r="K2024" s="2512" t="s">
        <v>1567</v>
      </c>
      <c r="L2024" s="2512" t="s">
        <v>1571</v>
      </c>
      <c r="M2024" s="2513">
        <v>0.3</v>
      </c>
      <c r="N2024" s="2512" t="s">
        <v>1763</v>
      </c>
      <c r="O2024" s="2512">
        <v>5.5300000000000002E-2</v>
      </c>
      <c r="P2024" s="2404"/>
      <c r="Q2024" s="2404"/>
      <c r="R2024" s="2404"/>
      <c r="S2024" s="2404"/>
      <c r="T2024" s="2404"/>
      <c r="U2024" s="2177"/>
    </row>
    <row r="2025" spans="2:21" hidden="1" outlineLevel="2">
      <c r="B2025" s="2407">
        <v>39</v>
      </c>
      <c r="C2025" s="1050" t="str">
        <f t="shared" si="174"/>
        <v>2020 - usage : Eclairage public, France continentale, Base Carbone</v>
      </c>
      <c r="D2025" s="1051">
        <f t="shared" si="171"/>
        <v>13</v>
      </c>
      <c r="E2025" s="1051" t="str">
        <f>IF(COUNTIF(E$1986:E2024,F2025)&gt;0,"",F2025)</f>
        <v/>
      </c>
      <c r="F2025" s="1051" t="str">
        <f t="shared" si="172"/>
        <v>2017 - usage : Eclairage public, France continentale, Base Carbone</v>
      </c>
      <c r="G2025" s="1055" t="str">
        <f t="shared" si="173"/>
        <v>2017 - usage : Eclairage public, France continentale, Base Carbone; kgCO2e/kWh, Amont</v>
      </c>
      <c r="I2025" s="2218" t="s">
        <v>3113</v>
      </c>
      <c r="J2025" s="2512" t="s">
        <v>1681</v>
      </c>
      <c r="K2025" s="2512" t="s">
        <v>1567</v>
      </c>
      <c r="L2025" s="2512" t="s">
        <v>1571</v>
      </c>
      <c r="M2025" s="2513">
        <v>0.3</v>
      </c>
      <c r="N2025" s="2512" t="s">
        <v>1570</v>
      </c>
      <c r="O2025" s="2512">
        <v>1.44E-2</v>
      </c>
      <c r="P2025" s="2404"/>
      <c r="Q2025" s="2404"/>
      <c r="R2025" s="2404"/>
      <c r="S2025" s="2404"/>
      <c r="T2025" s="2404"/>
      <c r="U2025" s="2177"/>
    </row>
    <row r="2026" spans="2:21" hidden="1" outlineLevel="2">
      <c r="B2026" s="2407">
        <v>40</v>
      </c>
      <c r="C2026" s="1050" t="str">
        <f t="shared" si="174"/>
        <v>2020 - usage : Eclairage résidentiel, France continentale, Base Carbone</v>
      </c>
      <c r="D2026" s="1051">
        <f t="shared" si="171"/>
        <v>13</v>
      </c>
      <c r="E2026" s="1051" t="str">
        <f>IF(COUNTIF(E$1986:E2025,F2026)&gt;0,"",F2026)</f>
        <v/>
      </c>
      <c r="F2026" s="1051" t="str">
        <f t="shared" si="172"/>
        <v>2017 - usage : Eclairage public, France continentale, Base Carbone</v>
      </c>
      <c r="G2026" s="1055" t="str">
        <f t="shared" si="173"/>
        <v>2017 - usage : Eclairage public, France continentale, Base Carbone; kgCO2e/kWh, Pertes</v>
      </c>
      <c r="I2026" s="2218" t="s">
        <v>3113</v>
      </c>
      <c r="J2026" s="2512" t="s">
        <v>1681</v>
      </c>
      <c r="K2026" s="2512" t="s">
        <v>1567</v>
      </c>
      <c r="L2026" s="2512" t="s">
        <v>1571</v>
      </c>
      <c r="M2026" s="2513">
        <v>0.3</v>
      </c>
      <c r="N2026" s="2512" t="s">
        <v>1766</v>
      </c>
      <c r="O2026" s="2512">
        <v>4.4099999999999999E-3</v>
      </c>
      <c r="P2026" s="2404"/>
      <c r="Q2026" s="2404"/>
      <c r="R2026" s="2404"/>
      <c r="S2026" s="2404"/>
      <c r="T2026" s="2404"/>
      <c r="U2026" s="2177"/>
    </row>
    <row r="2027" spans="2:21" hidden="1" outlineLevel="2">
      <c r="B2027" s="2407">
        <v>41</v>
      </c>
      <c r="C2027" s="1050" t="str">
        <f t="shared" si="174"/>
        <v>2020 - usage : Froid, France continentale, Base Carbone</v>
      </c>
      <c r="D2027" s="1051">
        <f t="shared" si="171"/>
        <v>14</v>
      </c>
      <c r="E2027" s="1051" t="str">
        <f>IF(COUNTIF(E$1986:E2026,F2027)&gt;0,"",F2027)</f>
        <v>2017 - usage : Eclairage résidentiel, France continentale, Base Carbone</v>
      </c>
      <c r="F2027" s="1051" t="str">
        <f t="shared" si="172"/>
        <v>2017 - usage : Eclairage résidentiel, France continentale, Base Carbone</v>
      </c>
      <c r="G2027" s="1055" t="str">
        <f t="shared" si="173"/>
        <v>2017 - usage : Eclairage résidentiel, France continentale, Base Carbone; kgCO2e/kWh, Combustion à la centrale</v>
      </c>
      <c r="I2027" s="2218" t="s">
        <v>3114</v>
      </c>
      <c r="J2027" s="2512" t="s">
        <v>1681</v>
      </c>
      <c r="K2027" s="2512" t="s">
        <v>1567</v>
      </c>
      <c r="L2027" s="2512" t="s">
        <v>1571</v>
      </c>
      <c r="M2027" s="2513">
        <v>0.3</v>
      </c>
      <c r="N2027" s="2512" t="s">
        <v>1763</v>
      </c>
      <c r="O2027" s="2512">
        <v>7.0699999999999999E-2</v>
      </c>
      <c r="P2027" s="2404"/>
      <c r="Q2027" s="2404"/>
      <c r="R2027" s="2404"/>
      <c r="S2027" s="2404"/>
      <c r="T2027" s="2404"/>
      <c r="U2027" s="2177"/>
    </row>
    <row r="2028" spans="2:21" hidden="1" outlineLevel="2">
      <c r="B2028" s="2407">
        <v>42</v>
      </c>
      <c r="C2028" s="1050" t="str">
        <f t="shared" si="174"/>
        <v>2020 - usage : Industrie base, France continentale, Base Carbone</v>
      </c>
      <c r="D2028" s="1051">
        <f t="shared" si="171"/>
        <v>14</v>
      </c>
      <c r="E2028" s="1051" t="str">
        <f>IF(COUNTIF(E$1986:E2027,F2028)&gt;0,"",F2028)</f>
        <v/>
      </c>
      <c r="F2028" s="1051" t="str">
        <f t="shared" si="172"/>
        <v>2017 - usage : Eclairage résidentiel, France continentale, Base Carbone</v>
      </c>
      <c r="G2028" s="1055" t="str">
        <f t="shared" si="173"/>
        <v>2017 - usage : Eclairage résidentiel, France continentale, Base Carbone; kgCO2e/kWh, Amont</v>
      </c>
      <c r="I2028" s="2218" t="s">
        <v>3114</v>
      </c>
      <c r="J2028" s="2512" t="s">
        <v>1681</v>
      </c>
      <c r="K2028" s="2512" t="s">
        <v>1567</v>
      </c>
      <c r="L2028" s="2512" t="s">
        <v>1571</v>
      </c>
      <c r="M2028" s="2513">
        <v>0.3</v>
      </c>
      <c r="N2028" s="2512" t="s">
        <v>1570</v>
      </c>
      <c r="O2028" s="2512">
        <v>1.6500000000000001E-2</v>
      </c>
      <c r="P2028" s="2404"/>
      <c r="Q2028" s="2404"/>
      <c r="R2028" s="2404"/>
      <c r="S2028" s="2404"/>
      <c r="T2028" s="2404"/>
      <c r="U2028" s="2177"/>
    </row>
    <row r="2029" spans="2:21" hidden="1" outlineLevel="2">
      <c r="B2029" s="2407">
        <v>43</v>
      </c>
      <c r="C2029" s="1050" t="str">
        <f t="shared" si="174"/>
        <v>2020 - usage : Transports, France continentale, Base Carbone</v>
      </c>
      <c r="D2029" s="1051">
        <f t="shared" si="171"/>
        <v>14</v>
      </c>
      <c r="E2029" s="1051" t="str">
        <f>IF(COUNTIF(E$1986:E2028,F2029)&gt;0,"",F2029)</f>
        <v/>
      </c>
      <c r="F2029" s="1051" t="str">
        <f t="shared" si="172"/>
        <v>2017 - usage : Eclairage résidentiel, France continentale, Base Carbone</v>
      </c>
      <c r="G2029" s="1055" t="str">
        <f t="shared" si="173"/>
        <v>2017 - usage : Eclairage résidentiel, France continentale, Base Carbone; kgCO2e/kWh, Pertes</v>
      </c>
      <c r="I2029" s="2218" t="s">
        <v>3114</v>
      </c>
      <c r="J2029" s="2512" t="s">
        <v>1681</v>
      </c>
      <c r="K2029" s="2512" t="s">
        <v>1567</v>
      </c>
      <c r="L2029" s="2512" t="s">
        <v>1571</v>
      </c>
      <c r="M2029" s="2513">
        <v>0.3</v>
      </c>
      <c r="N2029" s="2512" t="s">
        <v>1766</v>
      </c>
      <c r="O2029" s="2512">
        <v>4.4099999999999999E-3</v>
      </c>
      <c r="P2029" s="2404"/>
      <c r="Q2029" s="2404"/>
      <c r="R2029" s="2404"/>
      <c r="S2029" s="2404"/>
      <c r="T2029" s="2404"/>
      <c r="U2029" s="2177"/>
    </row>
    <row r="2030" spans="2:21" hidden="1" outlineLevel="2">
      <c r="B2030" s="2407">
        <v>44</v>
      </c>
      <c r="C2030" s="1050" t="str">
        <f t="shared" si="174"/>
        <v>-</v>
      </c>
      <c r="D2030" s="1051">
        <f t="shared" si="171"/>
        <v>15</v>
      </c>
      <c r="E2030" s="1051" t="str">
        <f>IF(COUNTIF(E$1986:E2029,F2030)&gt;0,"",F2030)</f>
        <v>2017 - usage : Froid, France continentale, Base Carbone</v>
      </c>
      <c r="F2030" s="1051" t="str">
        <f t="shared" si="172"/>
        <v>2017 - usage : Froid, France continentale, Base Carbone</v>
      </c>
      <c r="G2030" s="1055" t="str">
        <f t="shared" si="173"/>
        <v>2017 - usage : Froid, France continentale, Base Carbone; kgCO2e/kWh, Combustion à la centrale</v>
      </c>
      <c r="I2030" s="2218" t="s">
        <v>5043</v>
      </c>
      <c r="J2030" s="2512" t="s">
        <v>1681</v>
      </c>
      <c r="K2030" s="2512" t="s">
        <v>1567</v>
      </c>
      <c r="L2030" s="2512" t="s">
        <v>1571</v>
      </c>
      <c r="M2030" s="2513">
        <v>0.3</v>
      </c>
      <c r="N2030" s="2512" t="s">
        <v>1763</v>
      </c>
      <c r="O2030" s="2512">
        <v>2.3099999999999999E-2</v>
      </c>
      <c r="P2030" s="2404"/>
      <c r="Q2030" s="2404"/>
      <c r="R2030" s="2404"/>
      <c r="S2030" s="2404"/>
      <c r="T2030" s="2404"/>
      <c r="U2030" s="2177"/>
    </row>
    <row r="2031" spans="2:21" hidden="1" outlineLevel="2">
      <c r="B2031" s="2407">
        <v>45</v>
      </c>
      <c r="C2031" s="1050" t="str">
        <f t="shared" si="174"/>
        <v>-</v>
      </c>
      <c r="D2031" s="1051">
        <f t="shared" si="171"/>
        <v>15</v>
      </c>
      <c r="E2031" s="1051" t="str">
        <f>IF(COUNTIF(E$1986:E2030,F2031)&gt;0,"",F2031)</f>
        <v/>
      </c>
      <c r="F2031" s="1051" t="str">
        <f t="shared" si="172"/>
        <v>2017 - usage : Froid, France continentale, Base Carbone</v>
      </c>
      <c r="G2031" s="1055" t="str">
        <f t="shared" si="173"/>
        <v>2017 - usage : Froid, France continentale, Base Carbone; kgCO2e/kWh, Amont</v>
      </c>
      <c r="I2031" s="2218" t="s">
        <v>5043</v>
      </c>
      <c r="J2031" s="2512" t="s">
        <v>1681</v>
      </c>
      <c r="K2031" s="2512" t="s">
        <v>1567</v>
      </c>
      <c r="L2031" s="2512" t="s">
        <v>1571</v>
      </c>
      <c r="M2031" s="2513">
        <v>0.3</v>
      </c>
      <c r="N2031" s="2512" t="s">
        <v>1570</v>
      </c>
      <c r="O2031" s="2512">
        <v>1.06E-2</v>
      </c>
      <c r="P2031" s="2404"/>
      <c r="Q2031" s="2404"/>
      <c r="R2031" s="2404"/>
      <c r="S2031" s="2404"/>
      <c r="T2031" s="2404"/>
      <c r="U2031" s="2177"/>
    </row>
    <row r="2032" spans="2:21" hidden="1" outlineLevel="2">
      <c r="B2032" s="2407">
        <v>46</v>
      </c>
      <c r="C2032" s="1050" t="str">
        <f t="shared" si="174"/>
        <v>-</v>
      </c>
      <c r="D2032" s="1051">
        <f t="shared" si="171"/>
        <v>15</v>
      </c>
      <c r="E2032" s="1051" t="str">
        <f>IF(COUNTIF(E$1986:E2031,F2032)&gt;0,"",F2032)</f>
        <v/>
      </c>
      <c r="F2032" s="1051" t="str">
        <f t="shared" si="172"/>
        <v>2017 - usage : Froid, France continentale, Base Carbone</v>
      </c>
      <c r="G2032" s="1055" t="str">
        <f t="shared" si="173"/>
        <v>2017 - usage : Froid, France continentale, Base Carbone; kgCO2e/kWh, Pertes</v>
      </c>
      <c r="I2032" s="2218" t="s">
        <v>5043</v>
      </c>
      <c r="J2032" s="2512" t="s">
        <v>1681</v>
      </c>
      <c r="K2032" s="2512" t="s">
        <v>1567</v>
      </c>
      <c r="L2032" s="2512" t="s">
        <v>1571</v>
      </c>
      <c r="M2032" s="2513">
        <v>0.3</v>
      </c>
      <c r="N2032" s="2512" t="s">
        <v>1766</v>
      </c>
      <c r="O2032" s="2512">
        <v>4.4099999999999999E-3</v>
      </c>
      <c r="P2032" s="2404"/>
      <c r="Q2032" s="2404"/>
      <c r="R2032" s="2404"/>
      <c r="S2032" s="2404"/>
      <c r="T2032" s="2404"/>
      <c r="U2032" s="2177"/>
    </row>
    <row r="2033" spans="2:21" hidden="1" outlineLevel="2">
      <c r="B2033" s="2407">
        <v>47</v>
      </c>
      <c r="C2033" s="1050" t="str">
        <f t="shared" si="174"/>
        <v>-</v>
      </c>
      <c r="D2033" s="1051">
        <f t="shared" si="171"/>
        <v>16</v>
      </c>
      <c r="E2033" s="1051" t="str">
        <f>IF(COUNTIF(E$1986:E2032,F2033)&gt;0,"",F2033)</f>
        <v>2017 - usage : Industrie base, France continentale, Base Carbone</v>
      </c>
      <c r="F2033" s="1051" t="str">
        <f t="shared" si="172"/>
        <v>2017 - usage : Industrie base, France continentale, Base Carbone</v>
      </c>
      <c r="G2033" s="1055" t="str">
        <f t="shared" si="173"/>
        <v>2017 - usage : Industrie base, France continentale, Base Carbone; kgCO2e/kWh, Combustion à la centrale</v>
      </c>
      <c r="I2033" s="2218" t="s">
        <v>3106</v>
      </c>
      <c r="J2033" s="2512" t="s">
        <v>1681</v>
      </c>
      <c r="K2033" s="2512" t="s">
        <v>1567</v>
      </c>
      <c r="L2033" s="2512" t="s">
        <v>1571</v>
      </c>
      <c r="M2033" s="2513">
        <v>0.3</v>
      </c>
      <c r="N2033" s="2512" t="s">
        <v>1763</v>
      </c>
      <c r="O2033" s="2512">
        <v>2.0199999999999999E-2</v>
      </c>
      <c r="P2033" s="2404"/>
      <c r="Q2033" s="2404"/>
      <c r="R2033" s="2404"/>
      <c r="S2033" s="2404"/>
      <c r="T2033" s="2404"/>
      <c r="U2033" s="2177"/>
    </row>
    <row r="2034" spans="2:21" hidden="1" outlineLevel="2">
      <c r="B2034" s="2407">
        <v>48</v>
      </c>
      <c r="C2034" s="1050" t="str">
        <f t="shared" si="174"/>
        <v>-</v>
      </c>
      <c r="D2034" s="1051">
        <f t="shared" si="171"/>
        <v>16</v>
      </c>
      <c r="E2034" s="1051" t="str">
        <f>IF(COUNTIF(E$1986:E2033,F2034)&gt;0,"",F2034)</f>
        <v/>
      </c>
      <c r="F2034" s="1051" t="str">
        <f t="shared" si="172"/>
        <v>2017 - usage : Industrie base, France continentale, Base Carbone</v>
      </c>
      <c r="G2034" s="1055" t="str">
        <f t="shared" si="173"/>
        <v>2017 - usage : Industrie base, France continentale, Base Carbone; kgCO2e/kWh, Amont</v>
      </c>
      <c r="I2034" s="2218" t="s">
        <v>3106</v>
      </c>
      <c r="J2034" s="2512" t="s">
        <v>1681</v>
      </c>
      <c r="K2034" s="2512" t="s">
        <v>1567</v>
      </c>
      <c r="L2034" s="2512" t="s">
        <v>1571</v>
      </c>
      <c r="M2034" s="2513">
        <v>0.3</v>
      </c>
      <c r="N2034" s="2512" t="s">
        <v>1570</v>
      </c>
      <c r="O2034" s="2512">
        <v>1.0200000000000001E-2</v>
      </c>
      <c r="P2034" s="2404"/>
      <c r="Q2034" s="2404"/>
      <c r="R2034" s="2404"/>
      <c r="S2034" s="2404"/>
      <c r="T2034" s="2404"/>
      <c r="U2034" s="2177"/>
    </row>
    <row r="2035" spans="2:21" hidden="1" outlineLevel="2">
      <c r="B2035" s="2407">
        <v>49</v>
      </c>
      <c r="C2035" s="1050" t="str">
        <f t="shared" si="174"/>
        <v>-</v>
      </c>
      <c r="D2035" s="1051">
        <f t="shared" si="171"/>
        <v>16</v>
      </c>
      <c r="E2035" s="1051" t="str">
        <f>IF(COUNTIF(E$1986:E2034,F2035)&gt;0,"",F2035)</f>
        <v/>
      </c>
      <c r="F2035" s="1051" t="str">
        <f t="shared" si="172"/>
        <v>2017 - usage : Industrie base, France continentale, Base Carbone</v>
      </c>
      <c r="G2035" s="1055" t="str">
        <f t="shared" si="173"/>
        <v>2017 - usage : Industrie base, France continentale, Base Carbone; kgCO2e/kWh, Pertes</v>
      </c>
      <c r="I2035" s="2218" t="s">
        <v>3106</v>
      </c>
      <c r="J2035" s="2512" t="s">
        <v>1681</v>
      </c>
      <c r="K2035" s="2512" t="s">
        <v>1567</v>
      </c>
      <c r="L2035" s="2512" t="s">
        <v>1571</v>
      </c>
      <c r="M2035" s="2513">
        <v>0.3</v>
      </c>
      <c r="N2035" s="2512" t="s">
        <v>1766</v>
      </c>
      <c r="O2035" s="2512">
        <v>4.4099999999999999E-3</v>
      </c>
      <c r="P2035" s="2404"/>
      <c r="Q2035" s="2404"/>
      <c r="R2035" s="2404"/>
      <c r="S2035" s="2404"/>
      <c r="T2035" s="2404"/>
      <c r="U2035" s="2177"/>
    </row>
    <row r="2036" spans="2:21" hidden="1" outlineLevel="2">
      <c r="B2036" s="2407">
        <v>50</v>
      </c>
      <c r="C2036" s="1050" t="str">
        <f t="shared" si="174"/>
        <v>-</v>
      </c>
      <c r="D2036" s="1051">
        <f t="shared" si="171"/>
        <v>17</v>
      </c>
      <c r="E2036" s="1051" t="str">
        <f>IF(COUNTIF(E$1986:E2035,F2036)&gt;0,"",F2036)</f>
        <v>2017 - usage : Transports, France continentale, Base Carbone</v>
      </c>
      <c r="F2036" s="1051" t="str">
        <f t="shared" si="172"/>
        <v>2017 - usage : Transports, France continentale, Base Carbone</v>
      </c>
      <c r="G2036" s="1055" t="str">
        <f t="shared" si="173"/>
        <v>2017 - usage : Transports, France continentale, Base Carbone; kgCO2e/kWh, Combustion à la centrale</v>
      </c>
      <c r="I2036" s="2218" t="s">
        <v>3115</v>
      </c>
      <c r="J2036" s="2512" t="s">
        <v>1681</v>
      </c>
      <c r="K2036" s="2512" t="s">
        <v>1567</v>
      </c>
      <c r="L2036" s="2512" t="s">
        <v>1571</v>
      </c>
      <c r="M2036" s="2513">
        <v>0.3</v>
      </c>
      <c r="N2036" s="2512" t="s">
        <v>1763</v>
      </c>
      <c r="O2036" s="2512">
        <v>1.72E-2</v>
      </c>
      <c r="P2036" s="2404"/>
      <c r="Q2036" s="2404"/>
      <c r="R2036" s="2404"/>
      <c r="S2036" s="2404"/>
      <c r="T2036" s="2404"/>
      <c r="U2036" s="2177"/>
    </row>
    <row r="2037" spans="2:21" hidden="1" outlineLevel="2">
      <c r="B2037" s="2407">
        <v>51</v>
      </c>
      <c r="C2037" s="1050" t="str">
        <f t="shared" si="174"/>
        <v>-</v>
      </c>
      <c r="D2037" s="1051">
        <f t="shared" si="171"/>
        <v>17</v>
      </c>
      <c r="E2037" s="1051" t="str">
        <f>IF(COUNTIF(E$1986:E2036,F2037)&gt;0,"",F2037)</f>
        <v/>
      </c>
      <c r="F2037" s="1051" t="str">
        <f t="shared" si="172"/>
        <v>2017 - usage : Transports, France continentale, Base Carbone</v>
      </c>
      <c r="G2037" s="1055" t="str">
        <f t="shared" si="173"/>
        <v>2017 - usage : Transports, France continentale, Base Carbone; kgCO2e/kWh, Amont</v>
      </c>
      <c r="I2037" s="2218" t="s">
        <v>3115</v>
      </c>
      <c r="J2037" s="2512" t="s">
        <v>1681</v>
      </c>
      <c r="K2037" s="2512" t="s">
        <v>1567</v>
      </c>
      <c r="L2037" s="2512" t="s">
        <v>1571</v>
      </c>
      <c r="M2037" s="2513">
        <v>0.3</v>
      </c>
      <c r="N2037" s="2512" t="s">
        <v>1570</v>
      </c>
      <c r="O2037" s="2512">
        <v>9.8499999999999994E-3</v>
      </c>
      <c r="P2037" s="2404"/>
      <c r="Q2037" s="2404"/>
      <c r="R2037" s="2404"/>
      <c r="S2037" s="2404"/>
      <c r="T2037" s="2404"/>
      <c r="U2037" s="2177"/>
    </row>
    <row r="2038" spans="2:21" hidden="1" outlineLevel="2">
      <c r="B2038" s="2407">
        <v>52</v>
      </c>
      <c r="C2038" s="1050" t="str">
        <f t="shared" si="174"/>
        <v>-</v>
      </c>
      <c r="D2038" s="1051">
        <f t="shared" si="171"/>
        <v>17</v>
      </c>
      <c r="E2038" s="1051" t="str">
        <f>IF(COUNTIF(E$1986:E2037,F2038)&gt;0,"",F2038)</f>
        <v/>
      </c>
      <c r="F2038" s="1051" t="str">
        <f t="shared" si="172"/>
        <v>2017 - usage : Transports, France continentale, Base Carbone</v>
      </c>
      <c r="G2038" s="1055" t="str">
        <f t="shared" si="173"/>
        <v>2017 - usage : Transports, France continentale, Base Carbone; kgCO2e/kWh, Pertes</v>
      </c>
      <c r="I2038" s="2218" t="s">
        <v>3115</v>
      </c>
      <c r="J2038" s="2512" t="s">
        <v>1681</v>
      </c>
      <c r="K2038" s="2512" t="s">
        <v>1567</v>
      </c>
      <c r="L2038" s="2512" t="s">
        <v>1571</v>
      </c>
      <c r="M2038" s="2513">
        <v>0.3</v>
      </c>
      <c r="N2038" s="2512" t="s">
        <v>1766</v>
      </c>
      <c r="O2038" s="2512">
        <v>4.4099999999999999E-3</v>
      </c>
      <c r="P2038" s="2404"/>
      <c r="Q2038" s="2404"/>
      <c r="R2038" s="2404"/>
      <c r="S2038" s="2404"/>
      <c r="T2038" s="2404"/>
      <c r="U2038" s="2177"/>
    </row>
    <row r="2039" spans="2:21" hidden="1" outlineLevel="2">
      <c r="B2039" s="2407">
        <v>53</v>
      </c>
      <c r="C2039" s="1050" t="str">
        <f t="shared" si="174"/>
        <v>-</v>
      </c>
      <c r="D2039" s="1051">
        <f t="shared" si="171"/>
        <v>17</v>
      </c>
      <c r="E2039" s="1051" t="str">
        <f>IF(COUNTIF(E$1986:E2038,F2039)&gt;0,"",F2039)</f>
        <v/>
      </c>
      <c r="F2039" s="1051" t="str">
        <f t="shared" si="172"/>
        <v/>
      </c>
      <c r="G2039" s="1055" t="str">
        <f t="shared" si="173"/>
        <v/>
      </c>
      <c r="I2039" s="2509"/>
      <c r="J2039" s="2512"/>
      <c r="K2039" s="2512"/>
      <c r="L2039" s="2512"/>
      <c r="M2039" s="2513"/>
      <c r="N2039" s="2512"/>
      <c r="O2039" s="2404"/>
      <c r="P2039" s="2404"/>
      <c r="Q2039" s="2404"/>
      <c r="R2039" s="2404"/>
      <c r="S2039" s="2404"/>
      <c r="T2039" s="2404"/>
      <c r="U2039" s="2177"/>
    </row>
    <row r="2040" spans="2:21" hidden="1" outlineLevel="2">
      <c r="B2040" s="2407">
        <v>54</v>
      </c>
      <c r="C2040" s="1050" t="str">
        <f t="shared" si="174"/>
        <v>-</v>
      </c>
      <c r="D2040" s="1051">
        <f t="shared" si="171"/>
        <v>18</v>
      </c>
      <c r="E2040" s="1051" t="str">
        <f>IF(COUNTIF(E$1986:E2039,F2040)&gt;0,"",F2040)</f>
        <v>2018 - usage : chauffage, France continentale, Base Carbone</v>
      </c>
      <c r="F2040" s="1051" t="str">
        <f t="shared" si="172"/>
        <v>2018 - usage : chauffage, France continentale, Base Carbone</v>
      </c>
      <c r="G2040" s="1055" t="str">
        <f t="shared" si="173"/>
        <v>2018 - usage : chauffage, France continentale, Base Carbone; kgCO2e/kWh, Combustion à la centrale</v>
      </c>
      <c r="I2040" s="2218" t="s">
        <v>3116</v>
      </c>
      <c r="J2040" s="2512" t="s">
        <v>1681</v>
      </c>
      <c r="K2040" s="2512" t="s">
        <v>1567</v>
      </c>
      <c r="L2040" s="2512" t="s">
        <v>1571</v>
      </c>
      <c r="M2040" s="2513">
        <v>0.3</v>
      </c>
      <c r="N2040" s="2512" t="s">
        <v>1763</v>
      </c>
      <c r="O2040" s="2313">
        <v>0.123</v>
      </c>
      <c r="P2040" s="2404"/>
      <c r="Q2040" s="2404"/>
      <c r="R2040" s="2404"/>
      <c r="S2040" s="2404"/>
      <c r="T2040" s="2404"/>
      <c r="U2040" s="2177"/>
    </row>
    <row r="2041" spans="2:21" hidden="1" outlineLevel="2">
      <c r="B2041" s="2407">
        <v>55</v>
      </c>
      <c r="C2041" s="1050" t="str">
        <f t="shared" si="174"/>
        <v>-</v>
      </c>
      <c r="D2041" s="1051">
        <f t="shared" si="171"/>
        <v>18</v>
      </c>
      <c r="E2041" s="1051" t="str">
        <f>IF(COUNTIF(E$1986:E2040,F2041)&gt;0,"",F2041)</f>
        <v/>
      </c>
      <c r="F2041" s="1051" t="str">
        <f t="shared" si="172"/>
        <v>2018 - usage : chauffage, France continentale, Base Carbone</v>
      </c>
      <c r="G2041" s="1055" t="str">
        <f t="shared" si="173"/>
        <v>2018 - usage : chauffage, France continentale, Base Carbone; kgCO2e/kWh, Amont</v>
      </c>
      <c r="I2041" s="2218" t="s">
        <v>3116</v>
      </c>
      <c r="J2041" s="2512" t="s">
        <v>1681</v>
      </c>
      <c r="K2041" s="2512" t="s">
        <v>1567</v>
      </c>
      <c r="L2041" s="2512" t="s">
        <v>1571</v>
      </c>
      <c r="M2041" s="2513">
        <v>0.3</v>
      </c>
      <c r="N2041" s="2512" t="s">
        <v>1570</v>
      </c>
      <c r="O2041" s="2313">
        <v>2.41E-2</v>
      </c>
      <c r="P2041" s="2404"/>
      <c r="Q2041" s="2404"/>
      <c r="R2041" s="2404"/>
      <c r="S2041" s="2404"/>
      <c r="T2041" s="2404"/>
      <c r="U2041" s="2177"/>
    </row>
    <row r="2042" spans="2:21" hidden="1" outlineLevel="2">
      <c r="B2042" s="2407">
        <v>56</v>
      </c>
      <c r="C2042" s="1050" t="str">
        <f t="shared" si="174"/>
        <v>-</v>
      </c>
      <c r="D2042" s="1051">
        <f t="shared" si="171"/>
        <v>18</v>
      </c>
      <c r="E2042" s="1051" t="str">
        <f>IF(COUNTIF(E$1986:E2041,F2042)&gt;0,"",F2042)</f>
        <v/>
      </c>
      <c r="F2042" s="1051" t="str">
        <f t="shared" si="172"/>
        <v>2018 - usage : chauffage, France continentale, Base Carbone</v>
      </c>
      <c r="G2042" s="1055" t="str">
        <f t="shared" si="173"/>
        <v>2018 - usage : chauffage, France continentale, Base Carbone; kgCO2e/kWh, Pertes</v>
      </c>
      <c r="I2042" s="2218" t="s">
        <v>3116</v>
      </c>
      <c r="J2042" s="2512" t="s">
        <v>1681</v>
      </c>
      <c r="K2042" s="2404" t="s">
        <v>1567</v>
      </c>
      <c r="L2042" s="2404" t="s">
        <v>1571</v>
      </c>
      <c r="M2042" s="2513">
        <v>0.3</v>
      </c>
      <c r="N2042" s="2512" t="s">
        <v>1766</v>
      </c>
      <c r="O2042" s="2514">
        <v>4.4099999999999999E-3</v>
      </c>
      <c r="P2042" s="2404"/>
      <c r="Q2042" s="2404"/>
      <c r="R2042" s="2404"/>
      <c r="S2042" s="2404"/>
      <c r="T2042" s="2404"/>
      <c r="U2042" s="2177"/>
    </row>
    <row r="2043" spans="2:21" hidden="1" outlineLevel="2">
      <c r="B2043" s="2407">
        <v>57</v>
      </c>
      <c r="C2043" s="1050" t="str">
        <f t="shared" si="174"/>
        <v>-</v>
      </c>
      <c r="D2043" s="1051">
        <f t="shared" si="171"/>
        <v>19</v>
      </c>
      <c r="E2043" s="1051" t="str">
        <f>IF(COUNTIF(E$1986:E2042,F2043)&gt;0,"",F2043)</f>
        <v>2018 - usage : Cuisson résidentiel, France continentale, Base Carbone</v>
      </c>
      <c r="F2043" s="1051" t="str">
        <f t="shared" si="172"/>
        <v>2018 - usage : Cuisson résidentiel, France continentale, Base Carbone</v>
      </c>
      <c r="G2043" s="1055" t="str">
        <f t="shared" si="173"/>
        <v>2018 - usage : Cuisson résidentiel, France continentale, Base Carbone; kgCO2e/kWh, Combustion à la centrale</v>
      </c>
      <c r="I2043" s="2018" t="s">
        <v>3118</v>
      </c>
      <c r="J2043" s="1135" t="s">
        <v>1681</v>
      </c>
      <c r="K2043" s="1135" t="s">
        <v>1567</v>
      </c>
      <c r="L2043" s="1135" t="s">
        <v>1571</v>
      </c>
      <c r="M2043" s="2513">
        <v>0.3</v>
      </c>
      <c r="N2043" s="2512" t="s">
        <v>1763</v>
      </c>
      <c r="O2043" s="2313">
        <v>3.5000000000000003E-2</v>
      </c>
      <c r="P2043" s="2404"/>
      <c r="Q2043" s="2404"/>
      <c r="R2043" s="2404"/>
      <c r="S2043" s="2404"/>
      <c r="T2043" s="2404"/>
      <c r="U2043" s="2177"/>
    </row>
    <row r="2044" spans="2:21" hidden="1" outlineLevel="2">
      <c r="B2044" s="2407">
        <v>58</v>
      </c>
      <c r="C2044" s="1050" t="str">
        <f t="shared" si="174"/>
        <v>-</v>
      </c>
      <c r="D2044" s="1051">
        <f t="shared" si="171"/>
        <v>19</v>
      </c>
      <c r="E2044" s="1051" t="str">
        <f>IF(COUNTIF(E$1986:E2043,F2044)&gt;0,"",F2044)</f>
        <v/>
      </c>
      <c r="F2044" s="1051" t="str">
        <f t="shared" si="172"/>
        <v>2018 - usage : Cuisson résidentiel, France continentale, Base Carbone</v>
      </c>
      <c r="G2044" s="1055" t="str">
        <f t="shared" si="173"/>
        <v>2018 - usage : Cuisson résidentiel, France continentale, Base Carbone; kgCO2e/kWh, Amont</v>
      </c>
      <c r="I2044" s="2018" t="s">
        <v>3118</v>
      </c>
      <c r="J2044" s="1135" t="s">
        <v>1681</v>
      </c>
      <c r="K2044" s="1135" t="s">
        <v>1567</v>
      </c>
      <c r="L2044" s="1135" t="s">
        <v>1571</v>
      </c>
      <c r="M2044" s="2513">
        <v>0.3</v>
      </c>
      <c r="N2044" s="2512" t="s">
        <v>1570</v>
      </c>
      <c r="O2044" s="2313">
        <v>1.26E-2</v>
      </c>
      <c r="P2044" s="2404"/>
      <c r="Q2044" s="2404"/>
      <c r="R2044" s="2404"/>
      <c r="S2044" s="2404"/>
      <c r="T2044" s="2404"/>
      <c r="U2044" s="2177"/>
    </row>
    <row r="2045" spans="2:21" hidden="1" outlineLevel="2">
      <c r="B2045" s="2407">
        <v>59</v>
      </c>
      <c r="C2045" s="1050" t="str">
        <f t="shared" si="174"/>
        <v>-</v>
      </c>
      <c r="D2045" s="1051">
        <f t="shared" si="171"/>
        <v>19</v>
      </c>
      <c r="E2045" s="1051" t="str">
        <f>IF(COUNTIF(E$1986:E2044,F2045)&gt;0,"",F2045)</f>
        <v/>
      </c>
      <c r="F2045" s="1051" t="str">
        <f t="shared" si="172"/>
        <v>2018 - usage : Cuisson résidentiel, France continentale, Base Carbone</v>
      </c>
      <c r="G2045" s="1055" t="str">
        <f t="shared" si="173"/>
        <v>2018 - usage : Cuisson résidentiel, France continentale, Base Carbone; kgCO2e/kWh, Pertes</v>
      </c>
      <c r="I2045" s="2018" t="s">
        <v>3118</v>
      </c>
      <c r="J2045" s="1135" t="s">
        <v>1681</v>
      </c>
      <c r="K2045" s="1135" t="s">
        <v>1567</v>
      </c>
      <c r="L2045" s="1135" t="s">
        <v>1571</v>
      </c>
      <c r="M2045" s="2513">
        <v>0.3</v>
      </c>
      <c r="N2045" s="2512" t="s">
        <v>1766</v>
      </c>
      <c r="O2045" s="2514">
        <v>4.4099999999999999E-3</v>
      </c>
      <c r="P2045" s="2404"/>
      <c r="Q2045" s="2404"/>
      <c r="R2045" s="2404"/>
      <c r="S2045" s="2404"/>
      <c r="T2045" s="2404"/>
      <c r="U2045" s="2177"/>
    </row>
    <row r="2046" spans="2:21" hidden="1" outlineLevel="2">
      <c r="B2046" s="2407">
        <v>60</v>
      </c>
      <c r="C2046" s="1050" t="str">
        <f t="shared" si="174"/>
        <v>-</v>
      </c>
      <c r="D2046" s="1051">
        <f t="shared" si="171"/>
        <v>20</v>
      </c>
      <c r="E2046" s="1051" t="str">
        <f>IF(COUNTIF(E$1986:E2045,F2046)&gt;0,"",F2046)</f>
        <v>2018 - usage : Eau Chaude Sanitaire, France continentale, Base Carbone</v>
      </c>
      <c r="F2046" s="1051" t="str">
        <f t="shared" si="172"/>
        <v>2018 - usage : Eau Chaude Sanitaire, France continentale, Base Carbone</v>
      </c>
      <c r="G2046" s="1055" t="str">
        <f t="shared" si="173"/>
        <v>2018 - usage : Eau Chaude Sanitaire, France continentale, Base Carbone; kgCO2e/kWh, Combustion à la centrale</v>
      </c>
      <c r="I2046" s="2018" t="s">
        <v>3119</v>
      </c>
      <c r="J2046" s="1135" t="s">
        <v>1681</v>
      </c>
      <c r="K2046" s="1135" t="s">
        <v>1567</v>
      </c>
      <c r="L2046" s="1135" t="s">
        <v>1571</v>
      </c>
      <c r="M2046" s="2513">
        <v>0.3</v>
      </c>
      <c r="N2046" s="2512" t="s">
        <v>1763</v>
      </c>
      <c r="O2046" s="2313">
        <v>3.5400000000000001E-2</v>
      </c>
      <c r="P2046" s="2404"/>
      <c r="Q2046" s="2404"/>
      <c r="R2046" s="2404"/>
      <c r="S2046" s="2404"/>
      <c r="T2046" s="2404"/>
      <c r="U2046" s="2177"/>
    </row>
    <row r="2047" spans="2:21" hidden="1" outlineLevel="2">
      <c r="B2047" s="2404"/>
      <c r="C2047" s="1045"/>
      <c r="D2047" s="1051">
        <f t="shared" si="171"/>
        <v>20</v>
      </c>
      <c r="E2047" s="1051" t="str">
        <f>IF(COUNTIF(E$1986:E2046,F2047)&gt;0,"",F2047)</f>
        <v/>
      </c>
      <c r="F2047" s="1051" t="str">
        <f t="shared" si="172"/>
        <v>2018 - usage : Eau Chaude Sanitaire, France continentale, Base Carbone</v>
      </c>
      <c r="G2047" s="1055" t="str">
        <f t="shared" si="173"/>
        <v>2018 - usage : Eau Chaude Sanitaire, France continentale, Base Carbone; kgCO2e/kWh, Amont</v>
      </c>
      <c r="I2047" s="2018" t="s">
        <v>3119</v>
      </c>
      <c r="J2047" s="1135" t="s">
        <v>1681</v>
      </c>
      <c r="K2047" s="1135" t="s">
        <v>1567</v>
      </c>
      <c r="L2047" s="1135" t="s">
        <v>1571</v>
      </c>
      <c r="M2047" s="2513">
        <v>0.3</v>
      </c>
      <c r="N2047" s="2512" t="s">
        <v>1570</v>
      </c>
      <c r="O2047" s="2313">
        <v>1.2699999999999999E-2</v>
      </c>
      <c r="P2047" s="2404"/>
      <c r="Q2047" s="2404"/>
      <c r="R2047" s="2404"/>
      <c r="S2047" s="2404"/>
      <c r="T2047" s="2404"/>
      <c r="U2047" s="2177"/>
    </row>
    <row r="2048" spans="2:21" hidden="1" outlineLevel="2">
      <c r="B2048" s="2404"/>
      <c r="C2048" s="1045"/>
      <c r="D2048" s="1051">
        <f t="shared" si="171"/>
        <v>20</v>
      </c>
      <c r="E2048" s="1051" t="str">
        <f>IF(COUNTIF(E$1986:E2047,F2048)&gt;0,"",F2048)</f>
        <v/>
      </c>
      <c r="F2048" s="1051" t="str">
        <f t="shared" si="172"/>
        <v>2018 - usage : Eau Chaude Sanitaire, France continentale, Base Carbone</v>
      </c>
      <c r="G2048" s="1055" t="str">
        <f t="shared" si="173"/>
        <v>2018 - usage : Eau Chaude Sanitaire, France continentale, Base Carbone; kgCO2e/kWh, Pertes</v>
      </c>
      <c r="I2048" s="2018" t="s">
        <v>3119</v>
      </c>
      <c r="J2048" s="1135" t="s">
        <v>1681</v>
      </c>
      <c r="K2048" s="1135" t="s">
        <v>1567</v>
      </c>
      <c r="L2048" s="1135" t="s">
        <v>1571</v>
      </c>
      <c r="M2048" s="2513">
        <v>0.3</v>
      </c>
      <c r="N2048" s="2512" t="s">
        <v>1766</v>
      </c>
      <c r="O2048" s="2514">
        <v>4.4099999999999999E-3</v>
      </c>
      <c r="P2048" s="2404"/>
      <c r="Q2048" s="2404"/>
      <c r="R2048" s="2404"/>
      <c r="S2048" s="2404"/>
      <c r="T2048" s="2404"/>
      <c r="U2048" s="2177"/>
    </row>
    <row r="2049" spans="2:21" hidden="1" outlineLevel="2">
      <c r="B2049" s="2404"/>
      <c r="C2049" s="1045"/>
      <c r="D2049" s="1051">
        <f t="shared" si="171"/>
        <v>21</v>
      </c>
      <c r="E2049" s="1051" t="str">
        <f>IF(COUNTIF(E$1986:E2048,F2049)&gt;0,"",F2049)</f>
        <v>2018 - usage : Eclairage public, France continentale, Base Carbone</v>
      </c>
      <c r="F2049" s="1051" t="str">
        <f t="shared" si="172"/>
        <v>2018 - usage : Eclairage public, France continentale, Base Carbone</v>
      </c>
      <c r="G2049" s="1055" t="str">
        <f t="shared" si="173"/>
        <v>2018 - usage : Eclairage public, France continentale, Base Carbone; kgCO2e/kWh, Combustion à la centrale</v>
      </c>
      <c r="I2049" s="2018" t="s">
        <v>3120</v>
      </c>
      <c r="J2049" s="1135" t="s">
        <v>1681</v>
      </c>
      <c r="K2049" s="1135" t="s">
        <v>1567</v>
      </c>
      <c r="L2049" s="1135" t="s">
        <v>1571</v>
      </c>
      <c r="M2049" s="2513">
        <v>0.3</v>
      </c>
      <c r="N2049" s="2512" t="s">
        <v>1763</v>
      </c>
      <c r="O2049" s="2313">
        <v>5.3499999999999999E-2</v>
      </c>
      <c r="P2049" s="2404"/>
      <c r="Q2049" s="2404"/>
      <c r="R2049" s="2404"/>
      <c r="S2049" s="2404"/>
      <c r="T2049" s="2404"/>
      <c r="U2049" s="2177"/>
    </row>
    <row r="2050" spans="2:21" hidden="1" outlineLevel="2">
      <c r="B2050" s="2404"/>
      <c r="C2050" s="1045"/>
      <c r="D2050" s="1051">
        <f t="shared" si="171"/>
        <v>21</v>
      </c>
      <c r="E2050" s="1051" t="str">
        <f>IF(COUNTIF(E$1986:E2049,F2050)&gt;0,"",F2050)</f>
        <v/>
      </c>
      <c r="F2050" s="1051" t="str">
        <f t="shared" si="172"/>
        <v>2018 - usage : Eclairage public, France continentale, Base Carbone</v>
      </c>
      <c r="G2050" s="1055" t="str">
        <f t="shared" si="173"/>
        <v>2018 - usage : Eclairage public, France continentale, Base Carbone; kgCO2e/kWh, Amont</v>
      </c>
      <c r="I2050" s="2018" t="s">
        <v>3120</v>
      </c>
      <c r="J2050" s="1135" t="s">
        <v>1681</v>
      </c>
      <c r="K2050" s="1135" t="s">
        <v>1567</v>
      </c>
      <c r="L2050" s="1135" t="s">
        <v>1571</v>
      </c>
      <c r="M2050" s="2513">
        <v>0.3</v>
      </c>
      <c r="N2050" s="2512" t="s">
        <v>1570</v>
      </c>
      <c r="O2050" s="2313">
        <v>1.5100000000000001E-2</v>
      </c>
      <c r="P2050" s="2404"/>
      <c r="Q2050" s="2404"/>
      <c r="R2050" s="2404"/>
      <c r="S2050" s="2404"/>
      <c r="T2050" s="2404"/>
      <c r="U2050" s="2177"/>
    </row>
    <row r="2051" spans="2:21" hidden="1" outlineLevel="2">
      <c r="B2051" s="2404"/>
      <c r="C2051" s="1045"/>
      <c r="D2051" s="1051">
        <f t="shared" si="171"/>
        <v>21</v>
      </c>
      <c r="E2051" s="1051" t="str">
        <f>IF(COUNTIF(E$1986:E2050,F2051)&gt;0,"",F2051)</f>
        <v/>
      </c>
      <c r="F2051" s="1051" t="str">
        <f t="shared" si="172"/>
        <v>2018 - usage : Eclairage public, France continentale, Base Carbone</v>
      </c>
      <c r="G2051" s="1055" t="str">
        <f t="shared" si="173"/>
        <v>2018 - usage : Eclairage public, France continentale, Base Carbone; kgCO2e/kWh, Pertes</v>
      </c>
      <c r="I2051" s="2018" t="s">
        <v>3120</v>
      </c>
      <c r="J2051" s="1135" t="s">
        <v>1681</v>
      </c>
      <c r="K2051" s="1135" t="s">
        <v>1567</v>
      </c>
      <c r="L2051" s="1135" t="s">
        <v>1571</v>
      </c>
      <c r="M2051" s="2513">
        <v>0.3</v>
      </c>
      <c r="N2051" s="2512" t="s">
        <v>1766</v>
      </c>
      <c r="O2051" s="2514">
        <v>4.4099999999999999E-3</v>
      </c>
      <c r="P2051" s="2404"/>
      <c r="Q2051" s="2404"/>
      <c r="R2051" s="2404"/>
      <c r="S2051" s="2404"/>
      <c r="T2051" s="2404"/>
      <c r="U2051" s="2177"/>
    </row>
    <row r="2052" spans="2:21" hidden="1" outlineLevel="2">
      <c r="B2052" s="2404"/>
      <c r="C2052" s="1045"/>
      <c r="D2052" s="1051">
        <f t="shared" ref="D2052:D2115" si="175">D2051+IF(LEN(E2052)=0,0,1)</f>
        <v>22</v>
      </c>
      <c r="E2052" s="1051" t="str">
        <f>IF(COUNTIF(E$1986:E2051,F2052)&gt;0,"",F2052)</f>
        <v>2018 - usage : Eclairage résidentiel, France continentale, Base Carbone</v>
      </c>
      <c r="F2052" s="1051" t="str">
        <f t="shared" ref="F2052:F2115" si="176">IF(I2052&lt;&gt;"",I2052&amp;IF(L2052&lt;&gt;"",", "&amp;L2052,"")&amp;IF(K2052&lt;&gt;"",", "&amp;K2052,""),"")</f>
        <v>2018 - usage : Eclairage résidentiel, France continentale, Base Carbone</v>
      </c>
      <c r="G2052" s="1055" t="str">
        <f t="shared" ref="G2052:G2115" si="177">IF(F2052&lt;&gt;"",F2052&amp;IF(J2052&lt;&gt;"","; "&amp;J2052,"")&amp;IF(N2052&lt;&gt;"",", "&amp;N2052,""),"")</f>
        <v>2018 - usage : Eclairage résidentiel, France continentale, Base Carbone; kgCO2e/kWh, Combustion à la centrale</v>
      </c>
      <c r="I2052" s="2018" t="s">
        <v>3121</v>
      </c>
      <c r="J2052" s="1135" t="s">
        <v>1681</v>
      </c>
      <c r="K2052" s="1135" t="s">
        <v>1567</v>
      </c>
      <c r="L2052" s="1135" t="s">
        <v>1571</v>
      </c>
      <c r="M2052" s="2513">
        <v>0.3</v>
      </c>
      <c r="N2052" s="2512" t="s">
        <v>1763</v>
      </c>
      <c r="O2052" s="2313">
        <v>7.0199999999999999E-2</v>
      </c>
      <c r="P2052" s="2404"/>
      <c r="Q2052" s="2404"/>
      <c r="R2052" s="2404"/>
      <c r="S2052" s="2404"/>
      <c r="T2052" s="2404"/>
      <c r="U2052" s="2177"/>
    </row>
    <row r="2053" spans="2:21" hidden="1" outlineLevel="2">
      <c r="B2053" s="2404"/>
      <c r="C2053" s="1045"/>
      <c r="D2053" s="1051">
        <f t="shared" si="175"/>
        <v>22</v>
      </c>
      <c r="E2053" s="1051" t="str">
        <f>IF(COUNTIF(E$1986:E2052,F2053)&gt;0,"",F2053)</f>
        <v/>
      </c>
      <c r="F2053" s="1051" t="str">
        <f t="shared" si="176"/>
        <v>2018 - usage : Eclairage résidentiel, France continentale, Base Carbone</v>
      </c>
      <c r="G2053" s="1055" t="str">
        <f t="shared" si="177"/>
        <v>2018 - usage : Eclairage résidentiel, France continentale, Base Carbone; kgCO2e/kWh, Amont</v>
      </c>
      <c r="I2053" s="2018" t="s">
        <v>3121</v>
      </c>
      <c r="J2053" s="1135" t="s">
        <v>1681</v>
      </c>
      <c r="K2053" s="1135" t="s">
        <v>1567</v>
      </c>
      <c r="L2053" s="1135" t="s">
        <v>1571</v>
      </c>
      <c r="M2053" s="2513">
        <v>0.3</v>
      </c>
      <c r="N2053" s="2512" t="s">
        <v>1570</v>
      </c>
      <c r="O2053" s="2313">
        <v>1.7299999999999999E-2</v>
      </c>
      <c r="P2053" s="2404"/>
      <c r="Q2053" s="2404"/>
      <c r="R2053" s="2404"/>
      <c r="S2053" s="2404"/>
      <c r="T2053" s="2404"/>
      <c r="U2053" s="2177"/>
    </row>
    <row r="2054" spans="2:21" hidden="1" outlineLevel="2">
      <c r="B2054" s="2404"/>
      <c r="C2054" s="1045"/>
      <c r="D2054" s="1051">
        <f t="shared" si="175"/>
        <v>22</v>
      </c>
      <c r="E2054" s="1051" t="str">
        <f>IF(COUNTIF(E$1986:E2053,F2054)&gt;0,"",F2054)</f>
        <v/>
      </c>
      <c r="F2054" s="1051" t="str">
        <f t="shared" si="176"/>
        <v>2018 - usage : Eclairage résidentiel, France continentale, Base Carbone</v>
      </c>
      <c r="G2054" s="1055" t="str">
        <f t="shared" si="177"/>
        <v>2018 - usage : Eclairage résidentiel, France continentale, Base Carbone; kgCO2e/kWh, Pertes</v>
      </c>
      <c r="I2054" s="2018" t="s">
        <v>3121</v>
      </c>
      <c r="J2054" s="1135" t="s">
        <v>1681</v>
      </c>
      <c r="K2054" s="1135" t="s">
        <v>1567</v>
      </c>
      <c r="L2054" s="1135" t="s">
        <v>1571</v>
      </c>
      <c r="M2054" s="2513">
        <v>0.3</v>
      </c>
      <c r="N2054" s="2512" t="s">
        <v>1766</v>
      </c>
      <c r="O2054" s="2514">
        <v>4.4099999999999999E-3</v>
      </c>
      <c r="P2054" s="2404"/>
      <c r="Q2054" s="2404"/>
      <c r="R2054" s="2404"/>
      <c r="S2054" s="2404"/>
      <c r="T2054" s="2404"/>
      <c r="U2054" s="2177"/>
    </row>
    <row r="2055" spans="2:21" hidden="1" outlineLevel="2">
      <c r="B2055" s="2404"/>
      <c r="C2055" s="1045"/>
      <c r="D2055" s="1051">
        <f t="shared" si="175"/>
        <v>23</v>
      </c>
      <c r="E2055" s="1051" t="str">
        <f>IF(COUNTIF(E$1986:E2054,F2055)&gt;0,"",F2055)</f>
        <v>2018 - usage : Froid, France continentale, Base Carbone</v>
      </c>
      <c r="F2055" s="1051" t="str">
        <f t="shared" si="176"/>
        <v>2018 - usage : Froid, France continentale, Base Carbone</v>
      </c>
      <c r="G2055" s="1055" t="str">
        <f t="shared" si="177"/>
        <v>2018 - usage : Froid, France continentale, Base Carbone; kgCO2e/kWh, Combustion à la centrale</v>
      </c>
      <c r="I2055" s="2018" t="s">
        <v>5044</v>
      </c>
      <c r="J2055" s="1135" t="s">
        <v>1681</v>
      </c>
      <c r="K2055" s="1135" t="s">
        <v>1567</v>
      </c>
      <c r="L2055" s="1135" t="s">
        <v>1571</v>
      </c>
      <c r="M2055" s="2513">
        <v>0.3</v>
      </c>
      <c r="N2055" s="2512" t="s">
        <v>1763</v>
      </c>
      <c r="O2055" s="2313">
        <v>2.4199999999999999E-2</v>
      </c>
      <c r="P2055" s="2404"/>
      <c r="Q2055" s="2404"/>
      <c r="R2055" s="2404"/>
      <c r="S2055" s="2404"/>
      <c r="T2055" s="2404"/>
      <c r="U2055" s="2177"/>
    </row>
    <row r="2056" spans="2:21" hidden="1" outlineLevel="2">
      <c r="B2056" s="2404"/>
      <c r="C2056" s="1045"/>
      <c r="D2056" s="1051">
        <f t="shared" si="175"/>
        <v>23</v>
      </c>
      <c r="E2056" s="1051" t="str">
        <f>IF(COUNTIF(E$1986:E2055,F2056)&gt;0,"",F2056)</f>
        <v/>
      </c>
      <c r="F2056" s="1051" t="str">
        <f t="shared" si="176"/>
        <v>2018 - usage : Froid, France continentale, Base Carbone</v>
      </c>
      <c r="G2056" s="1055" t="str">
        <f t="shared" si="177"/>
        <v>2018 - usage : Froid, France continentale, Base Carbone; kgCO2e/kWh, Amont</v>
      </c>
      <c r="I2056" s="2018" t="s">
        <v>5044</v>
      </c>
      <c r="J2056" s="1135" t="s">
        <v>1681</v>
      </c>
      <c r="K2056" s="1135" t="s">
        <v>1567</v>
      </c>
      <c r="L2056" s="1135" t="s">
        <v>1571</v>
      </c>
      <c r="M2056" s="2513">
        <v>0.3</v>
      </c>
      <c r="N2056" s="2512" t="s">
        <v>1570</v>
      </c>
      <c r="O2056" s="2313">
        <v>1.1299999999999999E-2</v>
      </c>
      <c r="P2056" s="2404"/>
      <c r="Q2056" s="2404"/>
      <c r="R2056" s="2404"/>
      <c r="S2056" s="2404"/>
      <c r="T2056" s="2404"/>
      <c r="U2056" s="2177"/>
    </row>
    <row r="2057" spans="2:21" hidden="1" outlineLevel="2">
      <c r="B2057" s="2404"/>
      <c r="C2057" s="1045"/>
      <c r="D2057" s="1051">
        <f t="shared" si="175"/>
        <v>23</v>
      </c>
      <c r="E2057" s="1051" t="str">
        <f>IF(COUNTIF(E$1986:E2056,F2057)&gt;0,"",F2057)</f>
        <v/>
      </c>
      <c r="F2057" s="1051" t="str">
        <f t="shared" si="176"/>
        <v>2018 - usage : Froid, France continentale, Base Carbone</v>
      </c>
      <c r="G2057" s="1055" t="str">
        <f t="shared" si="177"/>
        <v>2018 - usage : Froid, France continentale, Base Carbone; kgCO2e/kWh, Pertes</v>
      </c>
      <c r="I2057" s="2018" t="s">
        <v>5044</v>
      </c>
      <c r="J2057" s="1135" t="s">
        <v>1681</v>
      </c>
      <c r="K2057" s="1135" t="s">
        <v>1567</v>
      </c>
      <c r="L2057" s="1135" t="s">
        <v>1571</v>
      </c>
      <c r="M2057" s="2513">
        <v>0.3</v>
      </c>
      <c r="N2057" s="2512" t="s">
        <v>1766</v>
      </c>
      <c r="O2057" s="2514">
        <v>4.4099999999999999E-3</v>
      </c>
      <c r="P2057" s="2404"/>
      <c r="Q2057" s="2404"/>
      <c r="R2057" s="2404"/>
      <c r="S2057" s="2404"/>
      <c r="T2057" s="2404"/>
      <c r="U2057" s="2177"/>
    </row>
    <row r="2058" spans="2:21" hidden="1" outlineLevel="2">
      <c r="B2058" s="2404"/>
      <c r="C2058" s="1045"/>
      <c r="D2058" s="1051">
        <f t="shared" si="175"/>
        <v>24</v>
      </c>
      <c r="E2058" s="1051" t="str">
        <f>IF(COUNTIF(E$1986:E2057,F2058)&gt;0,"",F2058)</f>
        <v>2018 - usage : Industrie base, France continentale, Base Carbone</v>
      </c>
      <c r="F2058" s="1051" t="str">
        <f t="shared" si="176"/>
        <v>2018 - usage : Industrie base, France continentale, Base Carbone</v>
      </c>
      <c r="G2058" s="1055" t="str">
        <f t="shared" si="177"/>
        <v>2018 - usage : Industrie base, France continentale, Base Carbone; kgCO2e/kWh, Combustion à la centrale</v>
      </c>
      <c r="I2058" s="2018" t="s">
        <v>3122</v>
      </c>
      <c r="J2058" s="1135" t="s">
        <v>1681</v>
      </c>
      <c r="K2058" s="1135" t="s">
        <v>1567</v>
      </c>
      <c r="L2058" s="1135" t="s">
        <v>1571</v>
      </c>
      <c r="M2058" s="2513">
        <v>0.3</v>
      </c>
      <c r="N2058" s="2512" t="s">
        <v>1763</v>
      </c>
      <c r="O2058" s="2313">
        <v>2.2100000000000002E-2</v>
      </c>
      <c r="P2058" s="2404"/>
      <c r="Q2058" s="2404"/>
      <c r="R2058" s="2404"/>
      <c r="S2058" s="2404"/>
      <c r="T2058" s="2404"/>
      <c r="U2058" s="2177"/>
    </row>
    <row r="2059" spans="2:21" hidden="1" outlineLevel="2">
      <c r="B2059" s="2404"/>
      <c r="C2059" s="1045"/>
      <c r="D2059" s="1051">
        <f t="shared" si="175"/>
        <v>24</v>
      </c>
      <c r="E2059" s="1051" t="str">
        <f>IF(COUNTIF(E$1986:E2058,F2059)&gt;0,"",F2059)</f>
        <v/>
      </c>
      <c r="F2059" s="1051" t="str">
        <f t="shared" si="176"/>
        <v>2018 - usage : Industrie base, France continentale, Base Carbone</v>
      </c>
      <c r="G2059" s="1055" t="str">
        <f t="shared" si="177"/>
        <v>2018 - usage : Industrie base, France continentale, Base Carbone; kgCO2e/kWh, Amont</v>
      </c>
      <c r="I2059" s="2018" t="s">
        <v>3122</v>
      </c>
      <c r="J2059" s="1135" t="s">
        <v>1681</v>
      </c>
      <c r="K2059" s="1135" t="s">
        <v>1567</v>
      </c>
      <c r="L2059" s="1135" t="s">
        <v>1571</v>
      </c>
      <c r="M2059" s="2513">
        <v>0.3</v>
      </c>
      <c r="N2059" s="2512" t="s">
        <v>1570</v>
      </c>
      <c r="O2059" s="2313">
        <v>1.0999999999999999E-2</v>
      </c>
      <c r="P2059" s="2404"/>
      <c r="Q2059" s="2404"/>
      <c r="R2059" s="2404"/>
      <c r="S2059" s="2404"/>
      <c r="T2059" s="2404"/>
      <c r="U2059" s="2177"/>
    </row>
    <row r="2060" spans="2:21" hidden="1" outlineLevel="2">
      <c r="B2060" s="2404"/>
      <c r="C2060" s="1045"/>
      <c r="D2060" s="1051">
        <f t="shared" si="175"/>
        <v>24</v>
      </c>
      <c r="E2060" s="1051" t="str">
        <f>IF(COUNTIF(E$1986:E2059,F2060)&gt;0,"",F2060)</f>
        <v/>
      </c>
      <c r="F2060" s="1051" t="str">
        <f t="shared" si="176"/>
        <v>2018 - usage : Industrie base, France continentale, Base Carbone</v>
      </c>
      <c r="G2060" s="1055" t="str">
        <f t="shared" si="177"/>
        <v>2018 - usage : Industrie base, France continentale, Base Carbone; kgCO2e/kWh, Pertes</v>
      </c>
      <c r="I2060" s="2018" t="s">
        <v>3122</v>
      </c>
      <c r="J2060" s="1135" t="s">
        <v>1681</v>
      </c>
      <c r="K2060" s="1135" t="s">
        <v>1567</v>
      </c>
      <c r="L2060" s="1135" t="s">
        <v>1571</v>
      </c>
      <c r="M2060" s="2513">
        <v>0.3</v>
      </c>
      <c r="N2060" s="2512" t="s">
        <v>1766</v>
      </c>
      <c r="O2060" s="2514">
        <v>4.4099999999999999E-3</v>
      </c>
      <c r="P2060" s="2404"/>
      <c r="Q2060" s="2404"/>
      <c r="R2060" s="2404"/>
      <c r="S2060" s="2404"/>
      <c r="T2060" s="2404"/>
      <c r="U2060" s="2177"/>
    </row>
    <row r="2061" spans="2:21" hidden="1" outlineLevel="2">
      <c r="B2061" s="2404"/>
      <c r="C2061" s="1045"/>
      <c r="D2061" s="1051">
        <f t="shared" si="175"/>
        <v>25</v>
      </c>
      <c r="E2061" s="1051" t="str">
        <f>IF(COUNTIF(E$1986:E2060,F2061)&gt;0,"",F2061)</f>
        <v>2018 - usage : Transports, France continentale, Base Carbone</v>
      </c>
      <c r="F2061" s="1051" t="str">
        <f t="shared" si="176"/>
        <v>2018 - usage : Transports, France continentale, Base Carbone</v>
      </c>
      <c r="G2061" s="1055" t="str">
        <f t="shared" si="177"/>
        <v>2018 - usage : Transports, France continentale, Base Carbone; kgCO2e/kWh, Combustion à la centrale</v>
      </c>
      <c r="I2061" s="2018" t="s">
        <v>3123</v>
      </c>
      <c r="J2061" s="1135" t="s">
        <v>1681</v>
      </c>
      <c r="K2061" s="1135" t="s">
        <v>1567</v>
      </c>
      <c r="L2061" s="1135" t="s">
        <v>1571</v>
      </c>
      <c r="M2061" s="2513">
        <v>0.3</v>
      </c>
      <c r="N2061" s="2512" t="s">
        <v>1763</v>
      </c>
      <c r="O2061" s="2313">
        <v>2.0500000000000001E-2</v>
      </c>
      <c r="P2061" s="2404"/>
      <c r="Q2061" s="2404"/>
      <c r="R2061" s="2404"/>
      <c r="S2061" s="2404"/>
      <c r="T2061" s="2404"/>
      <c r="U2061" s="2177"/>
    </row>
    <row r="2062" spans="2:21" hidden="1" outlineLevel="2">
      <c r="B2062" s="2404"/>
      <c r="C2062" s="1045"/>
      <c r="D2062" s="1051">
        <f t="shared" si="175"/>
        <v>25</v>
      </c>
      <c r="E2062" s="1051" t="str">
        <f>IF(COUNTIF(E$1986:E2061,F2062)&gt;0,"",F2062)</f>
        <v/>
      </c>
      <c r="F2062" s="1051" t="str">
        <f t="shared" si="176"/>
        <v>2018 - usage : Transports, France continentale, Base Carbone</v>
      </c>
      <c r="G2062" s="1055" t="str">
        <f t="shared" si="177"/>
        <v>2018 - usage : Transports, France continentale, Base Carbone; kgCO2e/kWh, Amont</v>
      </c>
      <c r="I2062" s="2018" t="s">
        <v>3123</v>
      </c>
      <c r="J2062" s="1135" t="s">
        <v>1681</v>
      </c>
      <c r="K2062" s="1135" t="s">
        <v>1567</v>
      </c>
      <c r="L2062" s="1135" t="s">
        <v>1571</v>
      </c>
      <c r="M2062" s="2513">
        <v>0.3</v>
      </c>
      <c r="N2062" s="2512" t="s">
        <v>1570</v>
      </c>
      <c r="O2062" s="2313">
        <v>1.0699999999999999E-2</v>
      </c>
      <c r="P2062" s="2404"/>
      <c r="Q2062" s="2404"/>
      <c r="R2062" s="2404"/>
      <c r="S2062" s="2404"/>
      <c r="T2062" s="2404"/>
      <c r="U2062" s="2177"/>
    </row>
    <row r="2063" spans="2:21" hidden="1" outlineLevel="2">
      <c r="B2063" s="2404"/>
      <c r="C2063" s="1045"/>
      <c r="D2063" s="1051">
        <f t="shared" si="175"/>
        <v>25</v>
      </c>
      <c r="E2063" s="1051" t="str">
        <f>IF(COUNTIF(E$1986:E2062,F2063)&gt;0,"",F2063)</f>
        <v/>
      </c>
      <c r="F2063" s="1051" t="str">
        <f t="shared" si="176"/>
        <v>2018 - usage : Transports, France continentale, Base Carbone</v>
      </c>
      <c r="G2063" s="1055" t="str">
        <f t="shared" si="177"/>
        <v>2018 - usage : Transports, France continentale, Base Carbone; kgCO2e/kWh, Pertes</v>
      </c>
      <c r="I2063" s="2018" t="s">
        <v>3123</v>
      </c>
      <c r="J2063" s="1135" t="s">
        <v>1681</v>
      </c>
      <c r="K2063" s="1135" t="s">
        <v>1567</v>
      </c>
      <c r="L2063" s="1135" t="s">
        <v>1571</v>
      </c>
      <c r="M2063" s="2513">
        <v>0.3</v>
      </c>
      <c r="N2063" s="2512" t="s">
        <v>1766</v>
      </c>
      <c r="O2063" s="2514">
        <v>4.4099999999999999E-3</v>
      </c>
      <c r="P2063" s="2404"/>
      <c r="Q2063" s="2404"/>
      <c r="R2063" s="2404"/>
      <c r="S2063" s="2404"/>
      <c r="T2063" s="2404"/>
      <c r="U2063" s="2177"/>
    </row>
    <row r="2064" spans="2:21" hidden="1" outlineLevel="2">
      <c r="B2064" s="2404"/>
      <c r="C2064" s="1045"/>
      <c r="D2064" s="1051">
        <f t="shared" si="175"/>
        <v>25</v>
      </c>
      <c r="E2064" s="1051" t="str">
        <f>IF(COUNTIF(E$1986:E2063,F2064)&gt;0,"",F2064)</f>
        <v/>
      </c>
      <c r="F2064" s="1051" t="str">
        <f t="shared" si="176"/>
        <v/>
      </c>
      <c r="G2064" s="1055" t="str">
        <f t="shared" si="177"/>
        <v/>
      </c>
      <c r="I2064" s="2018"/>
      <c r="J2064" s="1135"/>
      <c r="K2064" s="1135"/>
      <c r="L2064" s="1135"/>
      <c r="M2064" s="1045"/>
      <c r="N2064" s="1045"/>
      <c r="O2064" s="1045"/>
      <c r="P2064" s="2404"/>
      <c r="Q2064" s="2404"/>
      <c r="R2064" s="2404"/>
      <c r="S2064" s="2404"/>
      <c r="T2064" s="2404"/>
      <c r="U2064" s="2177"/>
    </row>
    <row r="2065" spans="2:21" hidden="1" outlineLevel="2">
      <c r="B2065" s="2404"/>
      <c r="C2065" s="1045"/>
      <c r="D2065" s="1051">
        <f t="shared" si="175"/>
        <v>26</v>
      </c>
      <c r="E2065" s="1051" t="str">
        <f>IF(COUNTIF(E$1986:E2064,F2065)&gt;0,"",F2065)</f>
        <v>2019 - usage : chauffage, France continentale, Base Carbone</v>
      </c>
      <c r="F2065" s="1051" t="str">
        <f t="shared" si="176"/>
        <v>2019 - usage : chauffage, France continentale, Base Carbone</v>
      </c>
      <c r="G2065" s="1055" t="str">
        <f t="shared" si="177"/>
        <v>2019 - usage : chauffage, France continentale, Base Carbone; kgCO2e/kWh, Combustion à la centrale</v>
      </c>
      <c r="I2065" s="2018" t="s">
        <v>5021</v>
      </c>
      <c r="J2065" s="2512" t="s">
        <v>1681</v>
      </c>
      <c r="K2065" s="2512" t="s">
        <v>1567</v>
      </c>
      <c r="L2065" s="2512" t="s">
        <v>1571</v>
      </c>
      <c r="M2065" s="2513">
        <v>0.3</v>
      </c>
      <c r="N2065" s="2512" t="s">
        <v>1763</v>
      </c>
      <c r="O2065" s="2313">
        <v>0.12</v>
      </c>
      <c r="P2065" s="2404"/>
      <c r="Q2065" s="2404"/>
      <c r="R2065" s="2404"/>
      <c r="S2065" s="2404"/>
      <c r="T2065" s="2404"/>
      <c r="U2065" s="2177"/>
    </row>
    <row r="2066" spans="2:21" hidden="1" outlineLevel="2">
      <c r="B2066" s="2404"/>
      <c r="C2066" s="1045"/>
      <c r="D2066" s="1051">
        <f t="shared" si="175"/>
        <v>26</v>
      </c>
      <c r="E2066" s="1051" t="str">
        <f>IF(COUNTIF(E$1986:E2065,F2066)&gt;0,"",F2066)</f>
        <v/>
      </c>
      <c r="F2066" s="1051" t="str">
        <f t="shared" si="176"/>
        <v>2019 - usage : chauffage, France continentale, Base Carbone</v>
      </c>
      <c r="G2066" s="1055" t="str">
        <f t="shared" si="177"/>
        <v>2019 - usage : chauffage, France continentale, Base Carbone; kgCO2e/kWh, Amont</v>
      </c>
      <c r="I2066" s="2018" t="s">
        <v>5021</v>
      </c>
      <c r="J2066" s="2512" t="s">
        <v>1681</v>
      </c>
      <c r="K2066" s="2512" t="s">
        <v>1567</v>
      </c>
      <c r="L2066" s="2512" t="s">
        <v>1571</v>
      </c>
      <c r="M2066" s="2513">
        <v>0.3</v>
      </c>
      <c r="N2066" s="2512" t="s">
        <v>1570</v>
      </c>
      <c r="O2066" s="2313">
        <v>2.47E-2</v>
      </c>
      <c r="P2066" s="2404"/>
      <c r="Q2066" s="2404"/>
      <c r="R2066" s="2404"/>
      <c r="S2066" s="2404"/>
      <c r="T2066" s="2404"/>
      <c r="U2066" s="2177"/>
    </row>
    <row r="2067" spans="2:21" hidden="1" outlineLevel="2">
      <c r="B2067" s="2404"/>
      <c r="C2067" s="1045"/>
      <c r="D2067" s="1051">
        <f t="shared" si="175"/>
        <v>26</v>
      </c>
      <c r="E2067" s="1051" t="str">
        <f>IF(COUNTIF(E$1986:E2066,F2067)&gt;0,"",F2067)</f>
        <v/>
      </c>
      <c r="F2067" s="1051" t="str">
        <f t="shared" si="176"/>
        <v>2019 - usage : chauffage, France continentale, Base Carbone</v>
      </c>
      <c r="G2067" s="1055" t="str">
        <f t="shared" si="177"/>
        <v>2019 - usage : chauffage, France continentale, Base Carbone; kgCO2e/kWh, Pertes</v>
      </c>
      <c r="I2067" s="2018" t="s">
        <v>5021</v>
      </c>
      <c r="J2067" s="2512" t="s">
        <v>1681</v>
      </c>
      <c r="K2067" s="2404" t="s">
        <v>1567</v>
      </c>
      <c r="L2067" s="2404" t="s">
        <v>1571</v>
      </c>
      <c r="M2067" s="2513">
        <v>0.3</v>
      </c>
      <c r="N2067" s="2512" t="s">
        <v>1766</v>
      </c>
      <c r="O2067" s="2313">
        <v>4.5199999999999997E-3</v>
      </c>
      <c r="P2067" s="2404"/>
      <c r="Q2067" s="2404"/>
      <c r="R2067" s="2404"/>
      <c r="S2067" s="2404"/>
      <c r="T2067" s="2404"/>
      <c r="U2067" s="2177"/>
    </row>
    <row r="2068" spans="2:21" hidden="1" outlineLevel="2">
      <c r="B2068" s="2404"/>
      <c r="C2068" s="1045"/>
      <c r="D2068" s="1051">
        <f t="shared" si="175"/>
        <v>27</v>
      </c>
      <c r="E2068" s="1051" t="str">
        <f>IF(COUNTIF(E$1986:E2067,F2068)&gt;0,"",F2068)</f>
        <v>2019 - usage : Cuisson résidentiel, France continentale, Base Carbone</v>
      </c>
      <c r="F2068" s="1051" t="str">
        <f t="shared" si="176"/>
        <v>2019 - usage : Cuisson résidentiel, France continentale, Base Carbone</v>
      </c>
      <c r="G2068" s="1055" t="str">
        <f t="shared" si="177"/>
        <v>2019 - usage : Cuisson résidentiel, France continentale, Base Carbone; kgCO2e/kWh, Combustion à la centrale</v>
      </c>
      <c r="I2068" s="2018" t="s">
        <v>5022</v>
      </c>
      <c r="J2068" s="1135" t="s">
        <v>1681</v>
      </c>
      <c r="K2068" s="1135" t="s">
        <v>1567</v>
      </c>
      <c r="L2068" s="1135" t="s">
        <v>1571</v>
      </c>
      <c r="M2068" s="2513">
        <v>0.3</v>
      </c>
      <c r="N2068" s="2512" t="s">
        <v>1763</v>
      </c>
      <c r="O2068" s="2313">
        <v>3.56E-2</v>
      </c>
      <c r="P2068" s="2404"/>
      <c r="Q2068" s="2404"/>
      <c r="R2068" s="2404"/>
      <c r="S2068" s="2404"/>
      <c r="T2068" s="2404"/>
      <c r="U2068" s="2177"/>
    </row>
    <row r="2069" spans="2:21" hidden="1" outlineLevel="2">
      <c r="B2069" s="2404"/>
      <c r="C2069" s="1045"/>
      <c r="D2069" s="1051">
        <f t="shared" si="175"/>
        <v>27</v>
      </c>
      <c r="E2069" s="1051" t="str">
        <f>IF(COUNTIF(E$1986:E2068,F2069)&gt;0,"",F2069)</f>
        <v/>
      </c>
      <c r="F2069" s="1051" t="str">
        <f t="shared" si="176"/>
        <v>2019 - usage : Cuisson résidentiel, France continentale, Base Carbone</v>
      </c>
      <c r="G2069" s="1055" t="str">
        <f t="shared" si="177"/>
        <v>2019 - usage : Cuisson résidentiel, France continentale, Base Carbone; kgCO2e/kWh, Amont</v>
      </c>
      <c r="I2069" s="2018" t="s">
        <v>5022</v>
      </c>
      <c r="J2069" s="1135" t="s">
        <v>1681</v>
      </c>
      <c r="K2069" s="1135" t="s">
        <v>1567</v>
      </c>
      <c r="L2069" s="1135" t="s">
        <v>1571</v>
      </c>
      <c r="M2069" s="2513">
        <v>0.3</v>
      </c>
      <c r="N2069" s="2512" t="s">
        <v>1570</v>
      </c>
      <c r="O2069" s="2313">
        <v>1.34E-2</v>
      </c>
      <c r="P2069" s="2404"/>
      <c r="Q2069" s="2404"/>
      <c r="R2069" s="2404"/>
      <c r="S2069" s="2404"/>
      <c r="T2069" s="2404"/>
      <c r="U2069" s="2177"/>
    </row>
    <row r="2070" spans="2:21" hidden="1" outlineLevel="2">
      <c r="B2070" s="2404"/>
      <c r="C2070" s="1045"/>
      <c r="D2070" s="1051">
        <f t="shared" si="175"/>
        <v>27</v>
      </c>
      <c r="E2070" s="1051" t="str">
        <f>IF(COUNTIF(E$1986:E2069,F2070)&gt;0,"",F2070)</f>
        <v/>
      </c>
      <c r="F2070" s="1051" t="str">
        <f t="shared" si="176"/>
        <v>2019 - usage : Cuisson résidentiel, France continentale, Base Carbone</v>
      </c>
      <c r="G2070" s="1055" t="str">
        <f t="shared" si="177"/>
        <v>2019 - usage : Cuisson résidentiel, France continentale, Base Carbone; kgCO2e/kWh, Pertes</v>
      </c>
      <c r="I2070" s="2018" t="s">
        <v>5022</v>
      </c>
      <c r="J2070" s="1135" t="s">
        <v>1681</v>
      </c>
      <c r="K2070" s="1135" t="s">
        <v>1567</v>
      </c>
      <c r="L2070" s="1135" t="s">
        <v>1571</v>
      </c>
      <c r="M2070" s="2513">
        <v>0.3</v>
      </c>
      <c r="N2070" s="2512" t="s">
        <v>1766</v>
      </c>
      <c r="O2070" s="2313">
        <v>4.5199999999999997E-3</v>
      </c>
      <c r="P2070" s="2404"/>
      <c r="Q2070" s="2404"/>
      <c r="R2070" s="2404"/>
      <c r="S2070" s="2404"/>
      <c r="T2070" s="2404"/>
      <c r="U2070" s="2177"/>
    </row>
    <row r="2071" spans="2:21" hidden="1" outlineLevel="2">
      <c r="B2071" s="2404"/>
      <c r="C2071" s="1045"/>
      <c r="D2071" s="1051">
        <f t="shared" si="175"/>
        <v>28</v>
      </c>
      <c r="E2071" s="1051" t="str">
        <f>IF(COUNTIF(E$1986:E2070,F2071)&gt;0,"",F2071)</f>
        <v>2019 - usage : Eau Chaude Sanitaire, France continentale, Base Carbone</v>
      </c>
      <c r="F2071" s="1051" t="str">
        <f t="shared" si="176"/>
        <v>2019 - usage : Eau Chaude Sanitaire, France continentale, Base Carbone</v>
      </c>
      <c r="G2071" s="1055" t="str">
        <f t="shared" si="177"/>
        <v>2019 - usage : Eau Chaude Sanitaire, France continentale, Base Carbone; kgCO2e/kWh, Combustion à la centrale</v>
      </c>
      <c r="I2071" s="2018" t="s">
        <v>5023</v>
      </c>
      <c r="J2071" s="1135" t="s">
        <v>1681</v>
      </c>
      <c r="K2071" s="1135" t="s">
        <v>1567</v>
      </c>
      <c r="L2071" s="1135" t="s">
        <v>1571</v>
      </c>
      <c r="M2071" s="2513">
        <v>0.3</v>
      </c>
      <c r="N2071" s="2512" t="s">
        <v>1763</v>
      </c>
      <c r="O2071" s="2313">
        <v>3.6400000000000002E-2</v>
      </c>
      <c r="P2071" s="2404"/>
      <c r="Q2071" s="2404"/>
      <c r="R2071" s="2404"/>
      <c r="S2071" s="2404"/>
      <c r="T2071" s="2404"/>
      <c r="U2071" s="2177"/>
    </row>
    <row r="2072" spans="2:21" hidden="1" outlineLevel="2">
      <c r="B2072" s="2404"/>
      <c r="C2072" s="1045"/>
      <c r="D2072" s="1051">
        <f t="shared" si="175"/>
        <v>28</v>
      </c>
      <c r="E2072" s="1051" t="str">
        <f>IF(COUNTIF(E$1986:E2071,F2072)&gt;0,"",F2072)</f>
        <v/>
      </c>
      <c r="F2072" s="1051" t="str">
        <f t="shared" si="176"/>
        <v>2019 - usage : Eau Chaude Sanitaire, France continentale, Base Carbone</v>
      </c>
      <c r="G2072" s="1055" t="str">
        <f t="shared" si="177"/>
        <v>2019 - usage : Eau Chaude Sanitaire, France continentale, Base Carbone; kgCO2e/kWh, Amont</v>
      </c>
      <c r="I2072" s="2018" t="s">
        <v>5023</v>
      </c>
      <c r="J2072" s="1135" t="s">
        <v>1681</v>
      </c>
      <c r="K2072" s="1135" t="s">
        <v>1567</v>
      </c>
      <c r="L2072" s="1135" t="s">
        <v>1571</v>
      </c>
      <c r="M2072" s="2513">
        <v>0.3</v>
      </c>
      <c r="N2072" s="2512" t="s">
        <v>1570</v>
      </c>
      <c r="O2072" s="2313">
        <v>1.34E-2</v>
      </c>
      <c r="P2072" s="2404"/>
      <c r="Q2072" s="2404"/>
      <c r="R2072" s="2404"/>
      <c r="S2072" s="2404"/>
      <c r="T2072" s="2404"/>
      <c r="U2072" s="2177"/>
    </row>
    <row r="2073" spans="2:21" hidden="1" outlineLevel="2">
      <c r="B2073" s="2404"/>
      <c r="C2073" s="1045"/>
      <c r="D2073" s="1051">
        <f t="shared" si="175"/>
        <v>28</v>
      </c>
      <c r="E2073" s="1051" t="str">
        <f>IF(COUNTIF(E$1986:E2072,F2073)&gt;0,"",F2073)</f>
        <v/>
      </c>
      <c r="F2073" s="1051" t="str">
        <f t="shared" si="176"/>
        <v>2019 - usage : Eau Chaude Sanitaire, France continentale, Base Carbone</v>
      </c>
      <c r="G2073" s="1055" t="str">
        <f t="shared" si="177"/>
        <v>2019 - usage : Eau Chaude Sanitaire, France continentale, Base Carbone; kgCO2e/kWh, Pertes</v>
      </c>
      <c r="I2073" s="2018" t="s">
        <v>5023</v>
      </c>
      <c r="J2073" s="1135" t="s">
        <v>1681</v>
      </c>
      <c r="K2073" s="1135" t="s">
        <v>1567</v>
      </c>
      <c r="L2073" s="1135" t="s">
        <v>1571</v>
      </c>
      <c r="M2073" s="2513">
        <v>0.3</v>
      </c>
      <c r="N2073" s="2512" t="s">
        <v>1766</v>
      </c>
      <c r="O2073" s="2313">
        <v>4.5199999999999997E-3</v>
      </c>
      <c r="P2073" s="2404"/>
      <c r="Q2073" s="2404"/>
      <c r="R2073" s="2404"/>
      <c r="S2073" s="2404"/>
      <c r="T2073" s="2404"/>
      <c r="U2073" s="2177"/>
    </row>
    <row r="2074" spans="2:21" hidden="1" outlineLevel="2">
      <c r="B2074" s="2404"/>
      <c r="C2074" s="1045"/>
      <c r="D2074" s="1051">
        <f t="shared" si="175"/>
        <v>29</v>
      </c>
      <c r="E2074" s="1051" t="str">
        <f>IF(COUNTIF(E$1986:E2073,F2074)&gt;0,"",F2074)</f>
        <v>2019 - usage : Eclairage public, France continentale, Base Carbone</v>
      </c>
      <c r="F2074" s="1051" t="str">
        <f t="shared" si="176"/>
        <v>2019 - usage : Eclairage public, France continentale, Base Carbone</v>
      </c>
      <c r="G2074" s="1055" t="str">
        <f t="shared" si="177"/>
        <v>2019 - usage : Eclairage public, France continentale, Base Carbone; kgCO2e/kWh, Combustion à la centrale</v>
      </c>
      <c r="I2074" s="2018" t="s">
        <v>5024</v>
      </c>
      <c r="J2074" s="1135" t="s">
        <v>1681</v>
      </c>
      <c r="K2074" s="1135" t="s">
        <v>1567</v>
      </c>
      <c r="L2074" s="1135" t="s">
        <v>1571</v>
      </c>
      <c r="M2074" s="2513">
        <v>0.3</v>
      </c>
      <c r="N2074" s="2512" t="s">
        <v>1763</v>
      </c>
      <c r="O2074" s="2313">
        <v>5.5E-2</v>
      </c>
      <c r="P2074" s="2404"/>
      <c r="Q2074" s="2404"/>
      <c r="R2074" s="2404"/>
      <c r="S2074" s="2404"/>
      <c r="T2074" s="2404"/>
      <c r="U2074" s="2177"/>
    </row>
    <row r="2075" spans="2:21" hidden="1" outlineLevel="2">
      <c r="B2075" s="2404"/>
      <c r="C2075" s="1045"/>
      <c r="D2075" s="1051">
        <f t="shared" si="175"/>
        <v>29</v>
      </c>
      <c r="E2075" s="1051" t="str">
        <f>IF(COUNTIF(E$1986:E2074,F2075)&gt;0,"",F2075)</f>
        <v/>
      </c>
      <c r="F2075" s="1051" t="str">
        <f t="shared" si="176"/>
        <v>2019 - usage : Eclairage public, France continentale, Base Carbone</v>
      </c>
      <c r="G2075" s="1055" t="str">
        <f t="shared" si="177"/>
        <v>2019 - usage : Eclairage public, France continentale, Base Carbone; kgCO2e/kWh, Amont</v>
      </c>
      <c r="I2075" s="2018" t="s">
        <v>5024</v>
      </c>
      <c r="J2075" s="1135" t="s">
        <v>1681</v>
      </c>
      <c r="K2075" s="1135" t="s">
        <v>1567</v>
      </c>
      <c r="L2075" s="1135" t="s">
        <v>1571</v>
      </c>
      <c r="M2075" s="2513">
        <v>0.3</v>
      </c>
      <c r="N2075" s="2512" t="s">
        <v>1570</v>
      </c>
      <c r="O2075" s="2313">
        <v>1.61E-2</v>
      </c>
      <c r="P2075" s="2404"/>
      <c r="Q2075" s="2404"/>
      <c r="R2075" s="2404"/>
      <c r="S2075" s="2404"/>
      <c r="T2075" s="2404"/>
      <c r="U2075" s="2177"/>
    </row>
    <row r="2076" spans="2:21" hidden="1" outlineLevel="2">
      <c r="B2076" s="2404"/>
      <c r="C2076" s="1045"/>
      <c r="D2076" s="1051">
        <f t="shared" si="175"/>
        <v>29</v>
      </c>
      <c r="E2076" s="1051" t="str">
        <f>IF(COUNTIF(E$1986:E2075,F2076)&gt;0,"",F2076)</f>
        <v/>
      </c>
      <c r="F2076" s="1051" t="str">
        <f t="shared" si="176"/>
        <v>2019 - usage : Eclairage public, France continentale, Base Carbone</v>
      </c>
      <c r="G2076" s="1055" t="str">
        <f t="shared" si="177"/>
        <v>2019 - usage : Eclairage public, France continentale, Base Carbone; kgCO2e/kWh, Pertes</v>
      </c>
      <c r="I2076" s="2018" t="s">
        <v>5024</v>
      </c>
      <c r="J2076" s="1135" t="s">
        <v>1681</v>
      </c>
      <c r="K2076" s="1135" t="s">
        <v>1567</v>
      </c>
      <c r="L2076" s="1135" t="s">
        <v>1571</v>
      </c>
      <c r="M2076" s="2513">
        <v>0.3</v>
      </c>
      <c r="N2076" s="2512" t="s">
        <v>1766</v>
      </c>
      <c r="O2076" s="2313">
        <v>4.5199999999999997E-3</v>
      </c>
      <c r="P2076" s="2404"/>
      <c r="Q2076" s="2404"/>
      <c r="R2076" s="2404"/>
      <c r="S2076" s="2404"/>
      <c r="T2076" s="2404"/>
      <c r="U2076" s="2177"/>
    </row>
    <row r="2077" spans="2:21" hidden="1" outlineLevel="2">
      <c r="B2077" s="2404"/>
      <c r="C2077" s="1045"/>
      <c r="D2077" s="1051">
        <f t="shared" si="175"/>
        <v>30</v>
      </c>
      <c r="E2077" s="1051" t="str">
        <f>IF(COUNTIF(E$1986:E2076,F2077)&gt;0,"",F2077)</f>
        <v>2019 - usage : Eclairage résidentiel, France continentale, Base Carbone</v>
      </c>
      <c r="F2077" s="1051" t="str">
        <f t="shared" si="176"/>
        <v>2019 - usage : Eclairage résidentiel, France continentale, Base Carbone</v>
      </c>
      <c r="G2077" s="1055" t="str">
        <f t="shared" si="177"/>
        <v>2019 - usage : Eclairage résidentiel, France continentale, Base Carbone; kgCO2e/kWh, Combustion à la centrale</v>
      </c>
      <c r="I2077" s="2018" t="s">
        <v>5025</v>
      </c>
      <c r="J2077" s="1135" t="s">
        <v>1681</v>
      </c>
      <c r="K2077" s="1135" t="s">
        <v>1567</v>
      </c>
      <c r="L2077" s="1135" t="s">
        <v>1571</v>
      </c>
      <c r="M2077" s="2513">
        <v>0.3</v>
      </c>
      <c r="N2077" s="2512" t="s">
        <v>1763</v>
      </c>
      <c r="O2077" s="2313">
        <v>6.8199999999999997E-2</v>
      </c>
      <c r="P2077" s="2404"/>
      <c r="Q2077" s="2404"/>
      <c r="R2077" s="2404"/>
      <c r="S2077" s="2404"/>
      <c r="T2077" s="2404"/>
      <c r="U2077" s="2177"/>
    </row>
    <row r="2078" spans="2:21" hidden="1" outlineLevel="2">
      <c r="B2078" s="2404"/>
      <c r="C2078" s="1045"/>
      <c r="D2078" s="1051">
        <f t="shared" si="175"/>
        <v>30</v>
      </c>
      <c r="E2078" s="1051" t="str">
        <f>IF(COUNTIF(E$1986:E2077,F2078)&gt;0,"",F2078)</f>
        <v/>
      </c>
      <c r="F2078" s="1051" t="str">
        <f t="shared" si="176"/>
        <v>2019 - usage : Eclairage résidentiel, France continentale, Base Carbone</v>
      </c>
      <c r="G2078" s="1055" t="str">
        <f t="shared" si="177"/>
        <v>2019 - usage : Eclairage résidentiel, France continentale, Base Carbone; kgCO2e/kWh, Amont</v>
      </c>
      <c r="I2078" s="2018" t="s">
        <v>5025</v>
      </c>
      <c r="J2078" s="1135" t="s">
        <v>1681</v>
      </c>
      <c r="K2078" s="1135" t="s">
        <v>1567</v>
      </c>
      <c r="L2078" s="1135" t="s">
        <v>1571</v>
      </c>
      <c r="M2078" s="2513">
        <v>0.3</v>
      </c>
      <c r="N2078" s="2512" t="s">
        <v>1570</v>
      </c>
      <c r="O2078" s="2313">
        <v>1.7899999999999999E-2</v>
      </c>
      <c r="P2078" s="2404"/>
      <c r="Q2078" s="2404"/>
      <c r="R2078" s="2404"/>
      <c r="S2078" s="2404"/>
      <c r="T2078" s="2404"/>
      <c r="U2078" s="2177"/>
    </row>
    <row r="2079" spans="2:21" hidden="1" outlineLevel="2">
      <c r="B2079" s="2404"/>
      <c r="C2079" s="1045"/>
      <c r="D2079" s="1051">
        <f t="shared" si="175"/>
        <v>30</v>
      </c>
      <c r="E2079" s="1051" t="str">
        <f>IF(COUNTIF(E$1986:E2078,F2079)&gt;0,"",F2079)</f>
        <v/>
      </c>
      <c r="F2079" s="1051" t="str">
        <f t="shared" si="176"/>
        <v>2019 - usage : Eclairage résidentiel, France continentale, Base Carbone</v>
      </c>
      <c r="G2079" s="1055" t="str">
        <f t="shared" si="177"/>
        <v>2019 - usage : Eclairage résidentiel, France continentale, Base Carbone; kgCO2e/kWh, Pertes</v>
      </c>
      <c r="I2079" s="2018" t="s">
        <v>5025</v>
      </c>
      <c r="J2079" s="1135" t="s">
        <v>1681</v>
      </c>
      <c r="K2079" s="1135" t="s">
        <v>1567</v>
      </c>
      <c r="L2079" s="1135" t="s">
        <v>1571</v>
      </c>
      <c r="M2079" s="2513">
        <v>0.3</v>
      </c>
      <c r="N2079" s="2512" t="s">
        <v>1766</v>
      </c>
      <c r="O2079" s="2313">
        <v>4.5199999999999997E-3</v>
      </c>
      <c r="P2079" s="2404"/>
      <c r="Q2079" s="2404"/>
      <c r="R2079" s="2404"/>
      <c r="S2079" s="2404"/>
      <c r="T2079" s="2404"/>
      <c r="U2079" s="2177"/>
    </row>
    <row r="2080" spans="2:21" hidden="1" outlineLevel="2">
      <c r="B2080" s="2404"/>
      <c r="C2080" s="1045"/>
      <c r="D2080" s="1051">
        <f t="shared" si="175"/>
        <v>31</v>
      </c>
      <c r="E2080" s="1051" t="str">
        <f>IF(COUNTIF(E$1986:E2079,F2080)&gt;0,"",F2080)</f>
        <v>2019 - usage : Froid, France continentale, Base Carbone</v>
      </c>
      <c r="F2080" s="1051" t="str">
        <f t="shared" si="176"/>
        <v>2019 - usage : Froid, France continentale, Base Carbone</v>
      </c>
      <c r="G2080" s="1055" t="str">
        <f t="shared" si="177"/>
        <v>2019 - usage : Froid, France continentale, Base Carbone; kgCO2e/kWh, Combustion à la centrale</v>
      </c>
      <c r="I2080" s="2018" t="s">
        <v>5026</v>
      </c>
      <c r="J2080" s="1135" t="s">
        <v>1681</v>
      </c>
      <c r="K2080" s="1135" t="s">
        <v>1567</v>
      </c>
      <c r="L2080" s="1135" t="s">
        <v>1571</v>
      </c>
      <c r="M2080" s="2513">
        <v>0.3</v>
      </c>
      <c r="N2080" s="2512" t="s">
        <v>1763</v>
      </c>
      <c r="O2080" s="2313">
        <v>2.6200000000000001E-2</v>
      </c>
      <c r="P2080" s="2404"/>
      <c r="Q2080" s="2404"/>
      <c r="R2080" s="2404"/>
      <c r="S2080" s="2404"/>
      <c r="T2080" s="2404"/>
      <c r="U2080" s="2177"/>
    </row>
    <row r="2081" spans="2:21" hidden="1" outlineLevel="2">
      <c r="B2081" s="2404"/>
      <c r="C2081" s="1045"/>
      <c r="D2081" s="1051">
        <f t="shared" si="175"/>
        <v>31</v>
      </c>
      <c r="E2081" s="1051" t="str">
        <f>IF(COUNTIF(E$1986:E2080,F2081)&gt;0,"",F2081)</f>
        <v/>
      </c>
      <c r="F2081" s="1051" t="str">
        <f t="shared" si="176"/>
        <v>2019 - usage : Froid, France continentale, Base Carbone</v>
      </c>
      <c r="G2081" s="1055" t="str">
        <f t="shared" si="177"/>
        <v>2019 - usage : Froid, France continentale, Base Carbone; kgCO2e/kWh, Amont</v>
      </c>
      <c r="I2081" s="2018" t="s">
        <v>5026</v>
      </c>
      <c r="J2081" s="1135" t="s">
        <v>1681</v>
      </c>
      <c r="K2081" s="1135" t="s">
        <v>1567</v>
      </c>
      <c r="L2081" s="1135" t="s">
        <v>1571</v>
      </c>
      <c r="M2081" s="2513">
        <v>0.3</v>
      </c>
      <c r="N2081" s="2512" t="s">
        <v>1570</v>
      </c>
      <c r="O2081" s="2313">
        <v>1.2E-2</v>
      </c>
      <c r="P2081" s="2404"/>
      <c r="Q2081" s="2404"/>
      <c r="R2081" s="2404"/>
      <c r="S2081" s="2404"/>
      <c r="T2081" s="2404"/>
      <c r="U2081" s="2177"/>
    </row>
    <row r="2082" spans="2:21" hidden="1" outlineLevel="2">
      <c r="B2082" s="2404"/>
      <c r="C2082" s="1045"/>
      <c r="D2082" s="1051">
        <f t="shared" si="175"/>
        <v>31</v>
      </c>
      <c r="E2082" s="1051" t="str">
        <f>IF(COUNTIF(E$1986:E2081,F2082)&gt;0,"",F2082)</f>
        <v/>
      </c>
      <c r="F2082" s="1051" t="str">
        <f t="shared" si="176"/>
        <v>2019 - usage : Froid, France continentale, Base Carbone</v>
      </c>
      <c r="G2082" s="1055" t="str">
        <f t="shared" si="177"/>
        <v>2019 - usage : Froid, France continentale, Base Carbone; kgCO2e/kWh, Pertes</v>
      </c>
      <c r="I2082" s="2018" t="s">
        <v>5026</v>
      </c>
      <c r="J2082" s="1135" t="s">
        <v>1681</v>
      </c>
      <c r="K2082" s="1135" t="s">
        <v>1567</v>
      </c>
      <c r="L2082" s="1135" t="s">
        <v>1571</v>
      </c>
      <c r="M2082" s="2513">
        <v>0.3</v>
      </c>
      <c r="N2082" s="2512" t="s">
        <v>1766</v>
      </c>
      <c r="O2082" s="2313">
        <v>4.5199999999999997E-3</v>
      </c>
      <c r="P2082" s="2404"/>
      <c r="Q2082" s="2404"/>
      <c r="R2082" s="2404"/>
      <c r="S2082" s="2404"/>
      <c r="T2082" s="2404"/>
      <c r="U2082" s="2177"/>
    </row>
    <row r="2083" spans="2:21" hidden="1" outlineLevel="2">
      <c r="B2083" s="2404"/>
      <c r="C2083" s="1045"/>
      <c r="D2083" s="1051">
        <f t="shared" si="175"/>
        <v>32</v>
      </c>
      <c r="E2083" s="1051" t="str">
        <f>IF(COUNTIF(E$1986:E2082,F2083)&gt;0,"",F2083)</f>
        <v>2019 - usage : Industrie base, France continentale, Base Carbone</v>
      </c>
      <c r="F2083" s="1051" t="str">
        <f t="shared" si="176"/>
        <v>2019 - usage : Industrie base, France continentale, Base Carbone</v>
      </c>
      <c r="G2083" s="1055" t="str">
        <f t="shared" si="177"/>
        <v>2019 - usage : Industrie base, France continentale, Base Carbone; kgCO2e/kWh, Combustion à la centrale</v>
      </c>
      <c r="I2083" s="2018" t="s">
        <v>5027</v>
      </c>
      <c r="J2083" s="1135" t="s">
        <v>1681</v>
      </c>
      <c r="K2083" s="1135" t="s">
        <v>1567</v>
      </c>
      <c r="L2083" s="1135" t="s">
        <v>1571</v>
      </c>
      <c r="M2083" s="2513">
        <v>0.3</v>
      </c>
      <c r="N2083" s="2512" t="s">
        <v>1763</v>
      </c>
      <c r="O2083" s="2313">
        <v>2.4299999999999999E-2</v>
      </c>
      <c r="P2083" s="2404"/>
      <c r="Q2083" s="2404"/>
      <c r="R2083" s="2404"/>
      <c r="S2083" s="2404"/>
      <c r="T2083" s="2404"/>
      <c r="U2083" s="2177"/>
    </row>
    <row r="2084" spans="2:21" hidden="1" outlineLevel="2">
      <c r="B2084" s="2404"/>
      <c r="C2084" s="1045"/>
      <c r="D2084" s="1051">
        <f t="shared" si="175"/>
        <v>32</v>
      </c>
      <c r="E2084" s="1051" t="str">
        <f>IF(COUNTIF(E$1986:E2083,F2084)&gt;0,"",F2084)</f>
        <v/>
      </c>
      <c r="F2084" s="1051" t="str">
        <f t="shared" si="176"/>
        <v>2019 - usage : Industrie base, France continentale, Base Carbone</v>
      </c>
      <c r="G2084" s="1055" t="str">
        <f t="shared" si="177"/>
        <v>2019 - usage : Industrie base, France continentale, Base Carbone; kgCO2e/kWh, Amont</v>
      </c>
      <c r="I2084" s="2018" t="s">
        <v>5027</v>
      </c>
      <c r="J2084" s="1135" t="s">
        <v>1681</v>
      </c>
      <c r="K2084" s="1135" t="s">
        <v>1567</v>
      </c>
      <c r="L2084" s="1135" t="s">
        <v>1571</v>
      </c>
      <c r="M2084" s="2513">
        <v>0.3</v>
      </c>
      <c r="N2084" s="2512" t="s">
        <v>1570</v>
      </c>
      <c r="O2084" s="2313">
        <v>1.17E-2</v>
      </c>
      <c r="P2084" s="2404"/>
      <c r="Q2084" s="2404"/>
      <c r="R2084" s="2404"/>
      <c r="S2084" s="2404"/>
      <c r="T2084" s="2404"/>
      <c r="U2084" s="2177"/>
    </row>
    <row r="2085" spans="2:21" hidden="1" outlineLevel="2">
      <c r="B2085" s="2404"/>
      <c r="C2085" s="1045"/>
      <c r="D2085" s="1051">
        <f t="shared" si="175"/>
        <v>32</v>
      </c>
      <c r="E2085" s="1051" t="str">
        <f>IF(COUNTIF(E$1986:E2084,F2085)&gt;0,"",F2085)</f>
        <v/>
      </c>
      <c r="F2085" s="1051" t="str">
        <f t="shared" si="176"/>
        <v>2019 - usage : Industrie base, France continentale, Base Carbone</v>
      </c>
      <c r="G2085" s="1055" t="str">
        <f t="shared" si="177"/>
        <v>2019 - usage : Industrie base, France continentale, Base Carbone; kgCO2e/kWh, Pertes</v>
      </c>
      <c r="I2085" s="2018" t="s">
        <v>5027</v>
      </c>
      <c r="J2085" s="1135" t="s">
        <v>1681</v>
      </c>
      <c r="K2085" s="1135" t="s">
        <v>1567</v>
      </c>
      <c r="L2085" s="1135" t="s">
        <v>1571</v>
      </c>
      <c r="M2085" s="2513">
        <v>0.3</v>
      </c>
      <c r="N2085" s="2512" t="s">
        <v>1766</v>
      </c>
      <c r="O2085" s="2313">
        <v>4.5199999999999997E-3</v>
      </c>
      <c r="P2085" s="2404"/>
      <c r="Q2085" s="2404"/>
      <c r="R2085" s="2404"/>
      <c r="S2085" s="2404"/>
      <c r="T2085" s="2404"/>
      <c r="U2085" s="2177"/>
    </row>
    <row r="2086" spans="2:21" hidden="1" outlineLevel="2">
      <c r="B2086" s="2404"/>
      <c r="C2086" s="1045"/>
      <c r="D2086" s="1051">
        <f t="shared" si="175"/>
        <v>33</v>
      </c>
      <c r="E2086" s="1051" t="str">
        <f>IF(COUNTIF(E$1986:E2085,F2086)&gt;0,"",F2086)</f>
        <v>2019 - usage : Transports, France continentale, Base Carbone</v>
      </c>
      <c r="F2086" s="1051" t="str">
        <f t="shared" si="176"/>
        <v>2019 - usage : Transports, France continentale, Base Carbone</v>
      </c>
      <c r="G2086" s="1055" t="str">
        <f t="shared" si="177"/>
        <v>2019 - usage : Transports, France continentale, Base Carbone; kgCO2e/kWh, Combustion à la centrale</v>
      </c>
      <c r="I2086" s="2018" t="s">
        <v>5028</v>
      </c>
      <c r="J2086" s="1135" t="s">
        <v>1681</v>
      </c>
      <c r="K2086" s="1135" t="s">
        <v>1567</v>
      </c>
      <c r="L2086" s="1135" t="s">
        <v>1571</v>
      </c>
      <c r="M2086" s="2513">
        <v>0.3</v>
      </c>
      <c r="N2086" s="2512" t="s">
        <v>1763</v>
      </c>
      <c r="O2086" s="2313">
        <v>2.41E-2</v>
      </c>
      <c r="P2086" s="2404"/>
      <c r="Q2086" s="2404"/>
      <c r="R2086" s="2404"/>
      <c r="S2086" s="2404"/>
      <c r="T2086" s="2404"/>
      <c r="U2086" s="2177"/>
    </row>
    <row r="2087" spans="2:21" hidden="1" outlineLevel="2">
      <c r="B2087" s="2404"/>
      <c r="C2087" s="1045"/>
      <c r="D2087" s="1051">
        <f t="shared" si="175"/>
        <v>33</v>
      </c>
      <c r="E2087" s="1051" t="str">
        <f>IF(COUNTIF(E$1986:E2086,F2087)&gt;0,"",F2087)</f>
        <v/>
      </c>
      <c r="F2087" s="1051" t="str">
        <f t="shared" si="176"/>
        <v>2019 - usage : Transports, France continentale, Base Carbone</v>
      </c>
      <c r="G2087" s="1055" t="str">
        <f t="shared" si="177"/>
        <v>2019 - usage : Transports, France continentale, Base Carbone; kgCO2e/kWh, Amont</v>
      </c>
      <c r="I2087" s="2018" t="s">
        <v>5028</v>
      </c>
      <c r="J2087" s="1135" t="s">
        <v>1681</v>
      </c>
      <c r="K2087" s="1135" t="s">
        <v>1567</v>
      </c>
      <c r="L2087" s="1135" t="s">
        <v>1571</v>
      </c>
      <c r="M2087" s="2513">
        <v>0.3</v>
      </c>
      <c r="N2087" s="2512" t="s">
        <v>1570</v>
      </c>
      <c r="O2087" s="2313">
        <v>1.1599999999999999E-2</v>
      </c>
      <c r="P2087" s="2404"/>
      <c r="Q2087" s="2404"/>
      <c r="R2087" s="2404"/>
      <c r="S2087" s="2404"/>
      <c r="T2087" s="2404"/>
      <c r="U2087" s="2177"/>
    </row>
    <row r="2088" spans="2:21" hidden="1" outlineLevel="2">
      <c r="B2088" s="2404"/>
      <c r="C2088" s="1045"/>
      <c r="D2088" s="1051">
        <f t="shared" si="175"/>
        <v>33</v>
      </c>
      <c r="E2088" s="1051" t="str">
        <f>IF(COUNTIF(E$1986:E2087,F2088)&gt;0,"",F2088)</f>
        <v/>
      </c>
      <c r="F2088" s="1051" t="str">
        <f t="shared" si="176"/>
        <v>2019 - usage : Transports, France continentale, Base Carbone</v>
      </c>
      <c r="G2088" s="1055" t="str">
        <f t="shared" si="177"/>
        <v>2019 - usage : Transports, France continentale, Base Carbone; kgCO2e/kWh, Pertes</v>
      </c>
      <c r="I2088" s="2018" t="s">
        <v>5028</v>
      </c>
      <c r="J2088" s="1135" t="s">
        <v>1681</v>
      </c>
      <c r="K2088" s="1135" t="s">
        <v>1567</v>
      </c>
      <c r="L2088" s="1135" t="s">
        <v>1571</v>
      </c>
      <c r="M2088" s="2513">
        <v>0.3</v>
      </c>
      <c r="N2088" s="2512" t="s">
        <v>1766</v>
      </c>
      <c r="O2088" s="2313">
        <v>4.5199999999999997E-3</v>
      </c>
      <c r="P2088" s="2404"/>
      <c r="Q2088" s="2404"/>
      <c r="R2088" s="2404"/>
      <c r="S2088" s="2404"/>
      <c r="T2088" s="2404"/>
      <c r="U2088" s="2177"/>
    </row>
    <row r="2089" spans="2:21" hidden="1" outlineLevel="2">
      <c r="B2089" s="2404"/>
      <c r="C2089" s="1045"/>
      <c r="D2089" s="1051">
        <f t="shared" si="175"/>
        <v>33</v>
      </c>
      <c r="E2089" s="1051" t="str">
        <f>IF(COUNTIF(E$1986:E2088,F2089)&gt;0,"",F2089)</f>
        <v/>
      </c>
      <c r="F2089" s="1051" t="str">
        <f t="shared" si="176"/>
        <v/>
      </c>
      <c r="G2089" s="1055" t="str">
        <f t="shared" si="177"/>
        <v/>
      </c>
      <c r="I2089" s="2018"/>
      <c r="J2089" s="1135"/>
      <c r="K2089" s="1135"/>
      <c r="L2089" s="1135"/>
      <c r="M2089" s="1045"/>
      <c r="N2089" s="1045"/>
      <c r="O2089" s="1045"/>
      <c r="P2089" s="2404"/>
      <c r="Q2089" s="2404"/>
      <c r="R2089" s="2404"/>
      <c r="S2089" s="2404"/>
      <c r="T2089" s="2404"/>
      <c r="U2089" s="2177"/>
    </row>
    <row r="2090" spans="2:21" hidden="1" outlineLevel="2">
      <c r="B2090" s="2404"/>
      <c r="C2090" s="1045"/>
      <c r="D2090" s="1051">
        <f t="shared" si="175"/>
        <v>34</v>
      </c>
      <c r="E2090" s="1051" t="str">
        <f>IF(COUNTIF(E$1986:E2089,F2090)&gt;0,"",F2090)</f>
        <v>2020 - usage : Autres (BTP. recherche. armée. etc.), France continentale, Base Carbone</v>
      </c>
      <c r="F2090" s="1051" t="str">
        <f t="shared" si="176"/>
        <v>2020 - usage : Autres (BTP. recherche. armée. etc.), France continentale, Base Carbone</v>
      </c>
      <c r="G2090" s="1055" t="str">
        <f t="shared" si="177"/>
        <v>2020 - usage : Autres (BTP. recherche. armée. etc.), France continentale, Base Carbone; kgCO2e/kWh, Combustion à la centrale</v>
      </c>
      <c r="I2090" s="2018" t="s">
        <v>5029</v>
      </c>
      <c r="J2090" s="2512" t="s">
        <v>1681</v>
      </c>
      <c r="K2090" s="2512" t="s">
        <v>1567</v>
      </c>
      <c r="L2090" s="2512" t="s">
        <v>1571</v>
      </c>
      <c r="M2090" s="2513">
        <v>0.3</v>
      </c>
      <c r="N2090" s="2512" t="s">
        <v>1763</v>
      </c>
      <c r="O2090" s="2514">
        <v>3.2599999999999997E-2</v>
      </c>
      <c r="P2090" s="2404"/>
      <c r="Q2090" s="2404"/>
      <c r="R2090" s="2404"/>
      <c r="S2090" s="2404"/>
      <c r="T2090" s="2404"/>
      <c r="U2090" s="2177"/>
    </row>
    <row r="2091" spans="2:21" hidden="1" outlineLevel="2">
      <c r="B2091" s="2404"/>
      <c r="C2091" s="1045"/>
      <c r="D2091" s="1051">
        <f t="shared" si="175"/>
        <v>34</v>
      </c>
      <c r="E2091" s="1051" t="str">
        <f>IF(COUNTIF(E$1986:E2090,F2091)&gt;0,"",F2091)</f>
        <v/>
      </c>
      <c r="F2091" s="1051" t="str">
        <f t="shared" si="176"/>
        <v>2020 - usage : Autres (BTP. recherche. armée. etc.), France continentale, Base Carbone</v>
      </c>
      <c r="G2091" s="1055" t="str">
        <f t="shared" si="177"/>
        <v>2020 - usage : Autres (BTP. recherche. armée. etc.), France continentale, Base Carbone; kgCO2e/kWh, Amont</v>
      </c>
      <c r="I2091" s="2018" t="s">
        <v>5029</v>
      </c>
      <c r="J2091" s="2512" t="s">
        <v>1681</v>
      </c>
      <c r="K2091" s="2512" t="s">
        <v>1567</v>
      </c>
      <c r="L2091" s="2512" t="s">
        <v>1571</v>
      </c>
      <c r="M2091" s="2513">
        <v>0.3</v>
      </c>
      <c r="N2091" s="2512" t="s">
        <v>1570</v>
      </c>
      <c r="O2091" s="2514">
        <v>1.37E-2</v>
      </c>
      <c r="P2091" s="2404"/>
      <c r="Q2091" s="2404"/>
      <c r="R2091" s="2404"/>
      <c r="S2091" s="2404"/>
      <c r="T2091" s="2404"/>
      <c r="U2091" s="2177"/>
    </row>
    <row r="2092" spans="2:21" hidden="1" outlineLevel="2">
      <c r="B2092" s="2404"/>
      <c r="C2092" s="1045"/>
      <c r="D2092" s="1051">
        <f t="shared" si="175"/>
        <v>34</v>
      </c>
      <c r="E2092" s="1051" t="str">
        <f>IF(COUNTIF(E$1986:E2091,F2092)&gt;0,"",F2092)</f>
        <v/>
      </c>
      <c r="F2092" s="1051" t="str">
        <f t="shared" si="176"/>
        <v>2020 - usage : Autres (BTP. recherche. armée. etc.), France continentale, Base Carbone</v>
      </c>
      <c r="G2092" s="1055" t="str">
        <f t="shared" si="177"/>
        <v>2020 - usage : Autres (BTP. recherche. armée. etc.), France continentale, Base Carbone; kgCO2e/kWh, Pertes</v>
      </c>
      <c r="I2092" s="2018" t="s">
        <v>5029</v>
      </c>
      <c r="J2092" s="2512" t="s">
        <v>1681</v>
      </c>
      <c r="K2092" s="2512" t="s">
        <v>1567</v>
      </c>
      <c r="L2092" s="2512" t="s">
        <v>1571</v>
      </c>
      <c r="M2092" s="2513">
        <v>0.3</v>
      </c>
      <c r="N2092" s="2512" t="s">
        <v>1766</v>
      </c>
      <c r="O2092" s="2514">
        <v>4.4799999999999996E-3</v>
      </c>
      <c r="P2092" s="2404"/>
      <c r="Q2092" s="2404"/>
      <c r="R2092" s="2404"/>
      <c r="S2092" s="2404"/>
      <c r="T2092" s="2404"/>
      <c r="U2092" s="2177"/>
    </row>
    <row r="2093" spans="2:21" hidden="1" outlineLevel="2">
      <c r="B2093" s="2404"/>
      <c r="C2093" s="1045"/>
      <c r="D2093" s="1051">
        <f t="shared" si="175"/>
        <v>35</v>
      </c>
      <c r="E2093" s="1051" t="str">
        <f>IF(COUNTIF(E$1986:E2092,F2093)&gt;0,"",F2093)</f>
        <v>2020 - usage : chauffage, France continentale, Base Carbone</v>
      </c>
      <c r="F2093" s="1051" t="str">
        <f t="shared" si="176"/>
        <v>2020 - usage : chauffage, France continentale, Base Carbone</v>
      </c>
      <c r="G2093" s="1055" t="str">
        <f t="shared" si="177"/>
        <v>2020 - usage : chauffage, France continentale, Base Carbone; kgCO2e/kWh, Combustion à la centrale</v>
      </c>
      <c r="I2093" s="2018" t="s">
        <v>5030</v>
      </c>
      <c r="J2093" s="1135" t="s">
        <v>1681</v>
      </c>
      <c r="K2093" s="1135" t="s">
        <v>1567</v>
      </c>
      <c r="L2093" s="1135" t="s">
        <v>1571</v>
      </c>
      <c r="M2093" s="2513">
        <v>0.3</v>
      </c>
      <c r="N2093" s="2512" t="s">
        <v>1763</v>
      </c>
      <c r="O2093" s="2514">
        <v>0.104</v>
      </c>
      <c r="P2093" s="2404"/>
      <c r="Q2093" s="2404"/>
      <c r="R2093" s="2404"/>
      <c r="S2093" s="2404"/>
      <c r="T2093" s="2404"/>
      <c r="U2093" s="2177"/>
    </row>
    <row r="2094" spans="2:21" hidden="1" outlineLevel="2">
      <c r="B2094" s="2404"/>
      <c r="C2094" s="1045"/>
      <c r="D2094" s="1051">
        <f t="shared" si="175"/>
        <v>35</v>
      </c>
      <c r="E2094" s="1051" t="str">
        <f>IF(COUNTIF(E$1986:E2093,F2094)&gt;0,"",F2094)</f>
        <v/>
      </c>
      <c r="F2094" s="1051" t="str">
        <f t="shared" si="176"/>
        <v>2020 - usage : chauffage, France continentale, Base Carbone</v>
      </c>
      <c r="G2094" s="1055" t="str">
        <f t="shared" si="177"/>
        <v>2020 - usage : chauffage, France continentale, Base Carbone; kgCO2e/kWh, Amont</v>
      </c>
      <c r="I2094" s="2018" t="s">
        <v>5030</v>
      </c>
      <c r="J2094" s="1135" t="s">
        <v>1681</v>
      </c>
      <c r="K2094" s="1135" t="s">
        <v>1567</v>
      </c>
      <c r="L2094" s="1135" t="s">
        <v>1571</v>
      </c>
      <c r="M2094" s="2513">
        <v>0.3</v>
      </c>
      <c r="N2094" s="2512" t="s">
        <v>1570</v>
      </c>
      <c r="O2094" s="2514">
        <v>2.3800000000000002E-2</v>
      </c>
      <c r="P2094" s="2404"/>
      <c r="Q2094" s="2404"/>
      <c r="R2094" s="2404"/>
      <c r="S2094" s="2404"/>
      <c r="T2094" s="2404"/>
      <c r="U2094" s="2177"/>
    </row>
    <row r="2095" spans="2:21" hidden="1" outlineLevel="2">
      <c r="B2095" s="2404"/>
      <c r="C2095" s="1045"/>
      <c r="D2095" s="1051">
        <f t="shared" si="175"/>
        <v>35</v>
      </c>
      <c r="E2095" s="1051" t="str">
        <f>IF(COUNTIF(E$1986:E2094,F2095)&gt;0,"",F2095)</f>
        <v/>
      </c>
      <c r="F2095" s="1051" t="str">
        <f t="shared" si="176"/>
        <v>2020 - usage : chauffage, France continentale, Base Carbone</v>
      </c>
      <c r="G2095" s="1055" t="str">
        <f t="shared" si="177"/>
        <v>2020 - usage : chauffage, France continentale, Base Carbone; kgCO2e/kWh, Pertes</v>
      </c>
      <c r="I2095" s="2018" t="s">
        <v>5030</v>
      </c>
      <c r="J2095" s="1135" t="s">
        <v>1681</v>
      </c>
      <c r="K2095" s="1135" t="s">
        <v>1567</v>
      </c>
      <c r="L2095" s="1135" t="s">
        <v>1571</v>
      </c>
      <c r="M2095" s="2513">
        <v>0.3</v>
      </c>
      <c r="N2095" s="2512" t="s">
        <v>1766</v>
      </c>
      <c r="O2095" s="2514">
        <v>4.4799999999999996E-3</v>
      </c>
      <c r="P2095" s="2404"/>
      <c r="Q2095" s="2404"/>
      <c r="R2095" s="2404"/>
      <c r="S2095" s="2404"/>
      <c r="T2095" s="2404"/>
      <c r="U2095" s="2177"/>
    </row>
    <row r="2096" spans="2:21" hidden="1" outlineLevel="2">
      <c r="B2096" s="2404"/>
      <c r="C2096" s="1045"/>
      <c r="D2096" s="1051">
        <f t="shared" si="175"/>
        <v>36</v>
      </c>
      <c r="E2096" s="1051" t="str">
        <f>IF(COUNTIF(E$1986:E2095,F2096)&gt;0,"",F2096)</f>
        <v>2020 - usage : Climatisation tertiaire, France continentale, Base Carbone</v>
      </c>
      <c r="F2096" s="1051" t="str">
        <f t="shared" si="176"/>
        <v>2020 - usage : Climatisation tertiaire, France continentale, Base Carbone</v>
      </c>
      <c r="G2096" s="1055" t="str">
        <f t="shared" si="177"/>
        <v>2020 - usage : Climatisation tertiaire, France continentale, Base Carbone; kgCO2e/kWh, Combustion à la centrale</v>
      </c>
      <c r="I2096" s="2018" t="s">
        <v>5045</v>
      </c>
      <c r="J2096" s="1135" t="s">
        <v>1681</v>
      </c>
      <c r="K2096" s="1135" t="s">
        <v>1567</v>
      </c>
      <c r="L2096" s="1135" t="s">
        <v>1571</v>
      </c>
      <c r="M2096" s="2513">
        <v>0.3</v>
      </c>
      <c r="N2096" s="2512" t="s">
        <v>1763</v>
      </c>
      <c r="O2096" s="2514">
        <v>0.10100000000000001</v>
      </c>
      <c r="P2096" s="2404"/>
      <c r="Q2096" s="2404"/>
      <c r="R2096" s="2404"/>
      <c r="S2096" s="2404"/>
      <c r="T2096" s="2404"/>
      <c r="U2096" s="2177"/>
    </row>
    <row r="2097" spans="2:21" hidden="1" outlineLevel="2">
      <c r="B2097" s="2404"/>
      <c r="C2097" s="1045"/>
      <c r="D2097" s="1051">
        <f t="shared" si="175"/>
        <v>36</v>
      </c>
      <c r="E2097" s="1051" t="str">
        <f>IF(COUNTIF(E$1986:E2096,F2097)&gt;0,"",F2097)</f>
        <v/>
      </c>
      <c r="F2097" s="1051" t="str">
        <f t="shared" si="176"/>
        <v>2020 - usage : Climatisation tertiaire, France continentale, Base Carbone</v>
      </c>
      <c r="G2097" s="1055" t="str">
        <f t="shared" si="177"/>
        <v>2020 - usage : Climatisation tertiaire, France continentale, Base Carbone; kgCO2e/kWh, Amont</v>
      </c>
      <c r="I2097" s="2018" t="s">
        <v>5045</v>
      </c>
      <c r="J2097" s="1135" t="s">
        <v>1681</v>
      </c>
      <c r="K2097" s="1135" t="s">
        <v>1567</v>
      </c>
      <c r="L2097" s="1135" t="s">
        <v>1571</v>
      </c>
      <c r="M2097" s="2513">
        <v>0.3</v>
      </c>
      <c r="N2097" s="2512" t="s">
        <v>1570</v>
      </c>
      <c r="O2097" s="2514">
        <v>3.04E-2</v>
      </c>
      <c r="P2097" s="2404"/>
      <c r="Q2097" s="2404"/>
      <c r="R2097" s="2404"/>
      <c r="S2097" s="2404"/>
      <c r="T2097" s="2404"/>
      <c r="U2097" s="2177"/>
    </row>
    <row r="2098" spans="2:21" hidden="1" outlineLevel="2">
      <c r="B2098" s="2404"/>
      <c r="C2098" s="1045"/>
      <c r="D2098" s="1051">
        <f t="shared" si="175"/>
        <v>36</v>
      </c>
      <c r="E2098" s="1051" t="str">
        <f>IF(COUNTIF(E$1986:E2097,F2098)&gt;0,"",F2098)</f>
        <v/>
      </c>
      <c r="F2098" s="1051" t="str">
        <f t="shared" si="176"/>
        <v>2020 - usage : Climatisation tertiaire, France continentale, Base Carbone</v>
      </c>
      <c r="G2098" s="1055" t="str">
        <f t="shared" si="177"/>
        <v>2020 - usage : Climatisation tertiaire, France continentale, Base Carbone; kgCO2e/kWh, Pertes</v>
      </c>
      <c r="I2098" s="2018" t="s">
        <v>5045</v>
      </c>
      <c r="J2098" s="1135" t="s">
        <v>1681</v>
      </c>
      <c r="K2098" s="1135" t="s">
        <v>1567</v>
      </c>
      <c r="L2098" s="1135" t="s">
        <v>1571</v>
      </c>
      <c r="M2098" s="2513">
        <v>0.3</v>
      </c>
      <c r="N2098" s="2512" t="s">
        <v>1766</v>
      </c>
      <c r="O2098" s="2514">
        <v>4.4799999999999996E-3</v>
      </c>
      <c r="P2098" s="2404"/>
      <c r="Q2098" s="2404"/>
      <c r="R2098" s="2404"/>
      <c r="S2098" s="2404"/>
      <c r="T2098" s="2404"/>
      <c r="U2098" s="2177"/>
    </row>
    <row r="2099" spans="2:21" hidden="1" outlineLevel="2">
      <c r="B2099" s="2404"/>
      <c r="C2099" s="1045"/>
      <c r="D2099" s="1051">
        <f t="shared" si="175"/>
        <v>37</v>
      </c>
      <c r="E2099" s="1051" t="str">
        <f>IF(COUNTIF(E$1986:E2098,F2099)&gt;0,"",F2099)</f>
        <v>2020 - usage : Cuisson résidentiel, France continentale, Base Carbone</v>
      </c>
      <c r="F2099" s="1051" t="str">
        <f t="shared" si="176"/>
        <v>2020 - usage : Cuisson résidentiel, France continentale, Base Carbone</v>
      </c>
      <c r="G2099" s="1055" t="str">
        <f t="shared" si="177"/>
        <v>2020 - usage : Cuisson résidentiel, France continentale, Base Carbone; kgCO2e/kWh, Combustion à la centrale</v>
      </c>
      <c r="I2099" s="2018" t="s">
        <v>5031</v>
      </c>
      <c r="J2099" s="1135" t="s">
        <v>1681</v>
      </c>
      <c r="K2099" s="1135" t="s">
        <v>1567</v>
      </c>
      <c r="L2099" s="1135" t="s">
        <v>1571</v>
      </c>
      <c r="M2099" s="2513">
        <v>0.3</v>
      </c>
      <c r="N2099" s="2512" t="s">
        <v>1763</v>
      </c>
      <c r="O2099" s="2514">
        <v>3.5900000000000001E-2</v>
      </c>
      <c r="P2099" s="2404"/>
      <c r="Q2099" s="2404"/>
      <c r="R2099" s="2404"/>
      <c r="S2099" s="2404"/>
      <c r="T2099" s="2404"/>
      <c r="U2099" s="2177"/>
    </row>
    <row r="2100" spans="2:21" hidden="1" outlineLevel="2">
      <c r="B2100" s="2404"/>
      <c r="C2100" s="1045"/>
      <c r="D2100" s="1051">
        <f t="shared" si="175"/>
        <v>37</v>
      </c>
      <c r="E2100" s="1051" t="str">
        <f>IF(COUNTIF(E$1986:E2099,F2100)&gt;0,"",F2100)</f>
        <v/>
      </c>
      <c r="F2100" s="1051" t="str">
        <f t="shared" si="176"/>
        <v>2020 - usage : Cuisson résidentiel, France continentale, Base Carbone</v>
      </c>
      <c r="G2100" s="1055" t="str">
        <f t="shared" si="177"/>
        <v>2020 - usage : Cuisson résidentiel, France continentale, Base Carbone; kgCO2e/kWh, Amont</v>
      </c>
      <c r="I2100" s="2018" t="s">
        <v>5031</v>
      </c>
      <c r="J2100" s="1135" t="s">
        <v>1681</v>
      </c>
      <c r="K2100" s="1135" t="s">
        <v>1567</v>
      </c>
      <c r="L2100" s="1135" t="s">
        <v>1571</v>
      </c>
      <c r="M2100" s="2513">
        <v>0.3</v>
      </c>
      <c r="N2100" s="2512" t="s">
        <v>1570</v>
      </c>
      <c r="O2100" s="2514">
        <v>1.41E-2</v>
      </c>
      <c r="P2100" s="2404"/>
      <c r="Q2100" s="2404"/>
      <c r="R2100" s="2404"/>
      <c r="S2100" s="2404"/>
      <c r="T2100" s="2404"/>
      <c r="U2100" s="2177"/>
    </row>
    <row r="2101" spans="2:21" hidden="1" outlineLevel="2">
      <c r="B2101" s="2404"/>
      <c r="C2101" s="1045"/>
      <c r="D2101" s="1051">
        <f t="shared" si="175"/>
        <v>37</v>
      </c>
      <c r="E2101" s="1051" t="str">
        <f>IF(COUNTIF(E$1986:E2100,F2101)&gt;0,"",F2101)</f>
        <v/>
      </c>
      <c r="F2101" s="1051" t="str">
        <f t="shared" si="176"/>
        <v>2020 - usage : Cuisson résidentiel, France continentale, Base Carbone</v>
      </c>
      <c r="G2101" s="1055" t="str">
        <f t="shared" si="177"/>
        <v>2020 - usage : Cuisson résidentiel, France continentale, Base Carbone; kgCO2e/kWh, Pertes</v>
      </c>
      <c r="I2101" s="2018" t="s">
        <v>5031</v>
      </c>
      <c r="J2101" s="1135" t="s">
        <v>1681</v>
      </c>
      <c r="K2101" s="1135" t="s">
        <v>1567</v>
      </c>
      <c r="L2101" s="1135" t="s">
        <v>1571</v>
      </c>
      <c r="M2101" s="2513">
        <v>0.3</v>
      </c>
      <c r="N2101" s="2512" t="s">
        <v>1766</v>
      </c>
      <c r="O2101" s="2514">
        <v>4.4799999999999996E-3</v>
      </c>
      <c r="P2101" s="2404"/>
      <c r="Q2101" s="2404"/>
      <c r="R2101" s="2404"/>
      <c r="S2101" s="2404"/>
      <c r="T2101" s="2404"/>
      <c r="U2101" s="2177"/>
    </row>
    <row r="2102" spans="2:21" hidden="1" outlineLevel="2">
      <c r="B2102" s="2404"/>
      <c r="C2102" s="1045"/>
      <c r="D2102" s="1051">
        <f t="shared" si="175"/>
        <v>38</v>
      </c>
      <c r="E2102" s="1051" t="str">
        <f>IF(COUNTIF(E$1986:E2101,F2102)&gt;0,"",F2102)</f>
        <v>2020 - usage : Eau Chaude Sanitaire, France continentale, Base Carbone</v>
      </c>
      <c r="F2102" s="1051" t="str">
        <f t="shared" si="176"/>
        <v>2020 - usage : Eau Chaude Sanitaire, France continentale, Base Carbone</v>
      </c>
      <c r="G2102" s="1055" t="str">
        <f t="shared" si="177"/>
        <v>2020 - usage : Eau Chaude Sanitaire, France continentale, Base Carbone; kgCO2e/kWh, Combustion à la centrale</v>
      </c>
      <c r="I2102" s="2018" t="s">
        <v>5032</v>
      </c>
      <c r="J2102" s="1135" t="s">
        <v>1681</v>
      </c>
      <c r="K2102" s="1135" t="s">
        <v>1567</v>
      </c>
      <c r="L2102" s="1135" t="s">
        <v>1571</v>
      </c>
      <c r="M2102" s="2513">
        <v>0.3</v>
      </c>
      <c r="N2102" s="2512" t="s">
        <v>1763</v>
      </c>
      <c r="O2102" s="2514">
        <v>3.5000000000000003E-2</v>
      </c>
      <c r="P2102" s="2404"/>
      <c r="Q2102" s="2404"/>
      <c r="R2102" s="2404"/>
      <c r="S2102" s="2404"/>
      <c r="T2102" s="2404"/>
      <c r="U2102" s="2177"/>
    </row>
    <row r="2103" spans="2:21" hidden="1" outlineLevel="2">
      <c r="B2103" s="2404"/>
      <c r="C2103" s="1045"/>
      <c r="D2103" s="1051">
        <f t="shared" si="175"/>
        <v>38</v>
      </c>
      <c r="E2103" s="1051" t="str">
        <f>IF(COUNTIF(E$1986:E2102,F2103)&gt;0,"",F2103)</f>
        <v/>
      </c>
      <c r="F2103" s="1051" t="str">
        <f t="shared" si="176"/>
        <v>2020 - usage : Eau Chaude Sanitaire, France continentale, Base Carbone</v>
      </c>
      <c r="G2103" s="1055" t="str">
        <f t="shared" si="177"/>
        <v>2020 - usage : Eau Chaude Sanitaire, France continentale, Base Carbone; kgCO2e/kWh, Amont</v>
      </c>
      <c r="I2103" s="2018" t="s">
        <v>5032</v>
      </c>
      <c r="J2103" s="1135" t="s">
        <v>1681</v>
      </c>
      <c r="K2103" s="1135" t="s">
        <v>1567</v>
      </c>
      <c r="L2103" s="1135" t="s">
        <v>1571</v>
      </c>
      <c r="M2103" s="2513">
        <v>0.3</v>
      </c>
      <c r="N2103" s="2512" t="s">
        <v>1570</v>
      </c>
      <c r="O2103" s="2514">
        <v>1.3899999999999999E-2</v>
      </c>
      <c r="P2103" s="2404"/>
      <c r="Q2103" s="2404"/>
      <c r="R2103" s="2404"/>
      <c r="S2103" s="2404"/>
      <c r="T2103" s="2404"/>
      <c r="U2103" s="2177"/>
    </row>
    <row r="2104" spans="2:21" hidden="1" outlineLevel="2">
      <c r="B2104" s="2404"/>
      <c r="C2104" s="1045"/>
      <c r="D2104" s="1051">
        <f t="shared" si="175"/>
        <v>38</v>
      </c>
      <c r="E2104" s="1051" t="str">
        <f>IF(COUNTIF(E$1986:E2103,F2104)&gt;0,"",F2104)</f>
        <v/>
      </c>
      <c r="F2104" s="1051" t="str">
        <f t="shared" si="176"/>
        <v>2020 - usage : Eau Chaude Sanitaire, France continentale, Base Carbone</v>
      </c>
      <c r="G2104" s="1055" t="str">
        <f t="shared" si="177"/>
        <v>2020 - usage : Eau Chaude Sanitaire, France continentale, Base Carbone; kgCO2e/kWh, Pertes</v>
      </c>
      <c r="I2104" s="2018" t="s">
        <v>5032</v>
      </c>
      <c r="J2104" s="1135" t="s">
        <v>1681</v>
      </c>
      <c r="K2104" s="1135" t="s">
        <v>1567</v>
      </c>
      <c r="L2104" s="1135" t="s">
        <v>1571</v>
      </c>
      <c r="M2104" s="2513">
        <v>0.3</v>
      </c>
      <c r="N2104" s="2512" t="s">
        <v>1766</v>
      </c>
      <c r="O2104" s="2514">
        <v>4.4799999999999996E-3</v>
      </c>
      <c r="P2104" s="2404"/>
      <c r="Q2104" s="2404"/>
      <c r="R2104" s="2404"/>
      <c r="S2104" s="2404"/>
      <c r="T2104" s="2404"/>
      <c r="U2104" s="2177"/>
    </row>
    <row r="2105" spans="2:21" hidden="1" outlineLevel="2">
      <c r="B2105" s="2404"/>
      <c r="C2105" s="1045"/>
      <c r="D2105" s="1051">
        <f t="shared" si="175"/>
        <v>39</v>
      </c>
      <c r="E2105" s="1051" t="str">
        <f>IF(COUNTIF(E$1986:E2104,F2105)&gt;0,"",F2105)</f>
        <v>2020 - usage : Eclairage public, France continentale, Base Carbone</v>
      </c>
      <c r="F2105" s="1051" t="str">
        <f t="shared" si="176"/>
        <v>2020 - usage : Eclairage public, France continentale, Base Carbone</v>
      </c>
      <c r="G2105" s="1055" t="str">
        <f t="shared" si="177"/>
        <v>2020 - usage : Eclairage public, France continentale, Base Carbone; kgCO2e/kWh, Combustion à la centrale</v>
      </c>
      <c r="I2105" s="2018" t="s">
        <v>5033</v>
      </c>
      <c r="J2105" s="1135" t="s">
        <v>1681</v>
      </c>
      <c r="K2105" s="1135" t="s">
        <v>1567</v>
      </c>
      <c r="L2105" s="1135" t="s">
        <v>1571</v>
      </c>
      <c r="M2105" s="2513">
        <v>0.3</v>
      </c>
      <c r="N2105" s="2512" t="s">
        <v>1763</v>
      </c>
      <c r="O2105" s="2514">
        <v>5.1700000000000003E-2</v>
      </c>
      <c r="P2105" s="2404"/>
      <c r="Q2105" s="2404"/>
      <c r="R2105" s="2404"/>
      <c r="S2105" s="2404"/>
      <c r="T2105" s="2404"/>
      <c r="U2105" s="2177"/>
    </row>
    <row r="2106" spans="2:21" hidden="1" outlineLevel="2">
      <c r="B2106" s="2404"/>
      <c r="C2106" s="1045"/>
      <c r="D2106" s="1051">
        <f t="shared" si="175"/>
        <v>39</v>
      </c>
      <c r="E2106" s="1051" t="str">
        <f>IF(COUNTIF(E$1986:E2105,F2106)&gt;0,"",F2106)</f>
        <v/>
      </c>
      <c r="F2106" s="1051" t="str">
        <f t="shared" si="176"/>
        <v>2020 - usage : Eclairage public, France continentale, Base Carbone</v>
      </c>
      <c r="G2106" s="1055" t="str">
        <f t="shared" si="177"/>
        <v>2020 - usage : Eclairage public, France continentale, Base Carbone; kgCO2e/kWh, Amont</v>
      </c>
      <c r="I2106" s="2018" t="s">
        <v>5033</v>
      </c>
      <c r="J2106" s="1135" t="s">
        <v>1681</v>
      </c>
      <c r="K2106" s="1135" t="s">
        <v>1567</v>
      </c>
      <c r="L2106" s="1135" t="s">
        <v>1571</v>
      </c>
      <c r="M2106" s="2513">
        <v>0.3</v>
      </c>
      <c r="N2106" s="2512" t="s">
        <v>1570</v>
      </c>
      <c r="O2106" s="2514">
        <v>1.6500000000000001E-2</v>
      </c>
      <c r="P2106" s="2404"/>
      <c r="Q2106" s="2404"/>
      <c r="R2106" s="2404"/>
      <c r="S2106" s="2404"/>
      <c r="T2106" s="2404"/>
      <c r="U2106" s="2177"/>
    </row>
    <row r="2107" spans="2:21" hidden="1" outlineLevel="2">
      <c r="B2107" s="2404"/>
      <c r="C2107" s="1045"/>
      <c r="D2107" s="1051">
        <f t="shared" si="175"/>
        <v>39</v>
      </c>
      <c r="E2107" s="1051" t="str">
        <f>IF(COUNTIF(E$1986:E2106,F2107)&gt;0,"",F2107)</f>
        <v/>
      </c>
      <c r="F2107" s="1051" t="str">
        <f t="shared" si="176"/>
        <v>2020 - usage : Eclairage public, France continentale, Base Carbone</v>
      </c>
      <c r="G2107" s="1055" t="str">
        <f t="shared" si="177"/>
        <v>2020 - usage : Eclairage public, France continentale, Base Carbone; kgCO2e/kWh, Pertes</v>
      </c>
      <c r="I2107" s="2018" t="s">
        <v>5033</v>
      </c>
      <c r="J2107" s="1135" t="s">
        <v>1681</v>
      </c>
      <c r="K2107" s="1135" t="s">
        <v>1567</v>
      </c>
      <c r="L2107" s="1135" t="s">
        <v>1571</v>
      </c>
      <c r="M2107" s="2513">
        <v>0.3</v>
      </c>
      <c r="N2107" s="2512" t="s">
        <v>1766</v>
      </c>
      <c r="O2107" s="2514">
        <v>4.4799999999999996E-3</v>
      </c>
      <c r="P2107" s="2404"/>
      <c r="Q2107" s="2404"/>
      <c r="R2107" s="2404"/>
      <c r="S2107" s="2404"/>
      <c r="T2107" s="2404"/>
      <c r="U2107" s="2177"/>
    </row>
    <row r="2108" spans="2:21" hidden="1" outlineLevel="2">
      <c r="B2108" s="2404"/>
      <c r="C2108" s="1045"/>
      <c r="D2108" s="1051">
        <f t="shared" si="175"/>
        <v>40</v>
      </c>
      <c r="E2108" s="1051" t="str">
        <f>IF(COUNTIF(E$1986:E2107,F2108)&gt;0,"",F2108)</f>
        <v>2020 - usage : Eclairage résidentiel, France continentale, Base Carbone</v>
      </c>
      <c r="F2108" s="1051" t="str">
        <f t="shared" si="176"/>
        <v>2020 - usage : Eclairage résidentiel, France continentale, Base Carbone</v>
      </c>
      <c r="G2108" s="1055" t="str">
        <f t="shared" si="177"/>
        <v>2020 - usage : Eclairage résidentiel, France continentale, Base Carbone; kgCO2e/kWh, Combustion à la centrale</v>
      </c>
      <c r="I2108" s="2018" t="s">
        <v>5034</v>
      </c>
      <c r="J2108" s="1135" t="s">
        <v>1681</v>
      </c>
      <c r="K2108" s="1135" t="s">
        <v>1567</v>
      </c>
      <c r="L2108" s="1135" t="s">
        <v>1571</v>
      </c>
      <c r="M2108" s="2513">
        <v>0.3</v>
      </c>
      <c r="N2108" s="2512" t="s">
        <v>1763</v>
      </c>
      <c r="O2108" s="2514">
        <v>6.2399999999999997E-2</v>
      </c>
      <c r="P2108" s="2404"/>
      <c r="Q2108" s="2404"/>
      <c r="R2108" s="2404"/>
      <c r="S2108" s="2404"/>
      <c r="T2108" s="2404"/>
      <c r="U2108" s="2177"/>
    </row>
    <row r="2109" spans="2:21" hidden="1" outlineLevel="2">
      <c r="B2109" s="2404"/>
      <c r="C2109" s="1045"/>
      <c r="D2109" s="1051">
        <f t="shared" si="175"/>
        <v>40</v>
      </c>
      <c r="E2109" s="1051" t="str">
        <f>IF(COUNTIF(E$1986:E2108,F2109)&gt;0,"",F2109)</f>
        <v/>
      </c>
      <c r="F2109" s="1051" t="str">
        <f t="shared" si="176"/>
        <v>2020 - usage : Eclairage résidentiel, France continentale, Base Carbone</v>
      </c>
      <c r="G2109" s="1055" t="str">
        <f t="shared" si="177"/>
        <v>2020 - usage : Eclairage résidentiel, France continentale, Base Carbone; kgCO2e/kWh, Amont</v>
      </c>
      <c r="I2109" s="2018" t="s">
        <v>5034</v>
      </c>
      <c r="J2109" s="1135" t="s">
        <v>1681</v>
      </c>
      <c r="K2109" s="1135" t="s">
        <v>1567</v>
      </c>
      <c r="L2109" s="1135" t="s">
        <v>1571</v>
      </c>
      <c r="M2109" s="2513">
        <v>0.3</v>
      </c>
      <c r="N2109" s="2512" t="s">
        <v>1570</v>
      </c>
      <c r="O2109" s="2514">
        <v>1.7899999999999999E-2</v>
      </c>
      <c r="P2109" s="2404"/>
      <c r="Q2109" s="2404"/>
      <c r="R2109" s="2404"/>
      <c r="S2109" s="2404"/>
      <c r="T2109" s="2404"/>
      <c r="U2109" s="2177"/>
    </row>
    <row r="2110" spans="2:21" hidden="1" outlineLevel="2">
      <c r="B2110" s="2404"/>
      <c r="C2110" s="1045"/>
      <c r="D2110" s="1051">
        <f t="shared" si="175"/>
        <v>40</v>
      </c>
      <c r="E2110" s="1051" t="str">
        <f>IF(COUNTIF(E$1986:E2109,F2110)&gt;0,"",F2110)</f>
        <v/>
      </c>
      <c r="F2110" s="1051" t="str">
        <f t="shared" si="176"/>
        <v>2020 - usage : Eclairage résidentiel, France continentale, Base Carbone</v>
      </c>
      <c r="G2110" s="1055" t="str">
        <f t="shared" si="177"/>
        <v>2020 - usage : Eclairage résidentiel, France continentale, Base Carbone; kgCO2e/kWh, Pertes</v>
      </c>
      <c r="I2110" s="2018" t="s">
        <v>5034</v>
      </c>
      <c r="J2110" s="1135" t="s">
        <v>1681</v>
      </c>
      <c r="K2110" s="1135" t="s">
        <v>1567</v>
      </c>
      <c r="L2110" s="1135" t="s">
        <v>1571</v>
      </c>
      <c r="M2110" s="2513">
        <v>0.3</v>
      </c>
      <c r="N2110" s="2512" t="s">
        <v>1766</v>
      </c>
      <c r="O2110" s="2514">
        <v>4.4799999999999996E-3</v>
      </c>
      <c r="P2110" s="2404"/>
      <c r="Q2110" s="2404"/>
      <c r="R2110" s="2404"/>
      <c r="S2110" s="2404"/>
      <c r="T2110" s="2404"/>
      <c r="U2110" s="2177"/>
    </row>
    <row r="2111" spans="2:21" hidden="1" outlineLevel="2">
      <c r="B2111" s="2404"/>
      <c r="C2111" s="1045"/>
      <c r="D2111" s="1051">
        <f t="shared" si="175"/>
        <v>41</v>
      </c>
      <c r="E2111" s="1051" t="str">
        <f>IF(COUNTIF(E$1986:E2110,F2111)&gt;0,"",F2111)</f>
        <v>2020 - usage : Froid, France continentale, Base Carbone</v>
      </c>
      <c r="F2111" s="1051" t="str">
        <f t="shared" si="176"/>
        <v>2020 - usage : Froid, France continentale, Base Carbone</v>
      </c>
      <c r="G2111" s="1055" t="str">
        <f t="shared" si="177"/>
        <v>2020 - usage : Froid, France continentale, Base Carbone; kgCO2e/kWh, Combustion à la centrale</v>
      </c>
      <c r="I2111" s="2018" t="s">
        <v>5035</v>
      </c>
      <c r="J2111" s="1135" t="s">
        <v>1681</v>
      </c>
      <c r="K2111" s="1135" t="s">
        <v>1567</v>
      </c>
      <c r="L2111" s="1135" t="s">
        <v>1571</v>
      </c>
      <c r="M2111" s="2513">
        <v>0.3</v>
      </c>
      <c r="N2111" s="2512" t="s">
        <v>1763</v>
      </c>
      <c r="O2111" s="2514">
        <v>2.7300000000000001E-2</v>
      </c>
      <c r="P2111" s="2404"/>
      <c r="Q2111" s="2404"/>
      <c r="R2111" s="2404"/>
      <c r="S2111" s="2404"/>
      <c r="T2111" s="2404"/>
      <c r="U2111" s="2177"/>
    </row>
    <row r="2112" spans="2:21" hidden="1" outlineLevel="2">
      <c r="B2112" s="2404"/>
      <c r="C2112" s="1045"/>
      <c r="D2112" s="1051">
        <f t="shared" si="175"/>
        <v>41</v>
      </c>
      <c r="E2112" s="1051" t="str">
        <f>IF(COUNTIF(E$1986:E2111,F2112)&gt;0,"",F2112)</f>
        <v/>
      </c>
      <c r="F2112" s="1051" t="str">
        <f t="shared" si="176"/>
        <v>2020 - usage : Froid, France continentale, Base Carbone</v>
      </c>
      <c r="G2112" s="1055" t="str">
        <f t="shared" si="177"/>
        <v>2020 - usage : Froid, France continentale, Base Carbone; kgCO2e/kWh, Amont</v>
      </c>
      <c r="I2112" s="2018" t="s">
        <v>5035</v>
      </c>
      <c r="J2112" s="1135" t="s">
        <v>1681</v>
      </c>
      <c r="K2112" s="1135" t="s">
        <v>1567</v>
      </c>
      <c r="L2112" s="1135" t="s">
        <v>1571</v>
      </c>
      <c r="M2112" s="2513">
        <v>0.3</v>
      </c>
      <c r="N2112" s="2512" t="s">
        <v>1570</v>
      </c>
      <c r="O2112" s="2514">
        <v>1.2800000000000001E-2</v>
      </c>
      <c r="P2112" s="2404"/>
      <c r="Q2112" s="2404"/>
      <c r="R2112" s="2404"/>
      <c r="S2112" s="2404"/>
      <c r="T2112" s="2404"/>
      <c r="U2112" s="2177"/>
    </row>
    <row r="2113" spans="2:21" hidden="1" outlineLevel="2">
      <c r="B2113" s="2404"/>
      <c r="C2113" s="1045"/>
      <c r="D2113" s="1051">
        <f t="shared" si="175"/>
        <v>41</v>
      </c>
      <c r="E2113" s="1051" t="str">
        <f>IF(COUNTIF(E$1986:E2112,F2113)&gt;0,"",F2113)</f>
        <v/>
      </c>
      <c r="F2113" s="1051" t="str">
        <f t="shared" si="176"/>
        <v>2020 - usage : Froid, France continentale, Base Carbone</v>
      </c>
      <c r="G2113" s="1055" t="str">
        <f t="shared" si="177"/>
        <v>2020 - usage : Froid, France continentale, Base Carbone; kgCO2e/kWh, Pertes</v>
      </c>
      <c r="I2113" s="2018" t="s">
        <v>5035</v>
      </c>
      <c r="J2113" s="1135" t="s">
        <v>1681</v>
      </c>
      <c r="K2113" s="1135" t="s">
        <v>1567</v>
      </c>
      <c r="L2113" s="1135" t="s">
        <v>1571</v>
      </c>
      <c r="M2113" s="2513">
        <v>0.3</v>
      </c>
      <c r="N2113" s="2512" t="s">
        <v>1766</v>
      </c>
      <c r="O2113" s="2514">
        <v>4.4799999999999996E-3</v>
      </c>
      <c r="P2113" s="2404"/>
      <c r="Q2113" s="2404"/>
      <c r="R2113" s="2404"/>
      <c r="S2113" s="2404"/>
      <c r="T2113" s="2404"/>
      <c r="U2113" s="2177"/>
    </row>
    <row r="2114" spans="2:21" hidden="1" outlineLevel="2">
      <c r="B2114" s="2404"/>
      <c r="C2114" s="1045"/>
      <c r="D2114" s="1051">
        <f t="shared" si="175"/>
        <v>42</v>
      </c>
      <c r="E2114" s="1051" t="str">
        <f>IF(COUNTIF(E$1986:E2113,F2114)&gt;0,"",F2114)</f>
        <v>2020 - usage : Industrie base, France continentale, Base Carbone</v>
      </c>
      <c r="F2114" s="1051" t="str">
        <f t="shared" si="176"/>
        <v>2020 - usage : Industrie base, France continentale, Base Carbone</v>
      </c>
      <c r="G2114" s="1055" t="str">
        <f t="shared" si="177"/>
        <v>2020 - usage : Industrie base, France continentale, Base Carbone; kgCO2e/kWh, Combustion à la centrale</v>
      </c>
      <c r="I2114" s="2018" t="s">
        <v>5036</v>
      </c>
      <c r="J2114" s="2512" t="s">
        <v>1681</v>
      </c>
      <c r="K2114" s="2512" t="s">
        <v>1567</v>
      </c>
      <c r="L2114" s="2512" t="s">
        <v>1571</v>
      </c>
      <c r="M2114" s="2513">
        <v>0.3</v>
      </c>
      <c r="N2114" s="2512" t="s">
        <v>1763</v>
      </c>
      <c r="O2114" s="2514">
        <v>2.5399999999999999E-2</v>
      </c>
      <c r="P2114" s="2404"/>
      <c r="Q2114" s="2404"/>
      <c r="R2114" s="2404"/>
      <c r="S2114" s="2404"/>
      <c r="T2114" s="2404"/>
      <c r="U2114" s="2177"/>
    </row>
    <row r="2115" spans="2:21" hidden="1" outlineLevel="2">
      <c r="B2115" s="2404"/>
      <c r="C2115" s="1045"/>
      <c r="D2115" s="1051">
        <f t="shared" si="175"/>
        <v>42</v>
      </c>
      <c r="E2115" s="1051" t="str">
        <f>IF(COUNTIF(E$1986:E2114,F2115)&gt;0,"",F2115)</f>
        <v/>
      </c>
      <c r="F2115" s="1051" t="str">
        <f t="shared" si="176"/>
        <v>2020 - usage : Industrie base, France continentale, Base Carbone</v>
      </c>
      <c r="G2115" s="1055" t="str">
        <f t="shared" si="177"/>
        <v>2020 - usage : Industrie base, France continentale, Base Carbone; kgCO2e/kWh, Amont</v>
      </c>
      <c r="I2115" s="2018" t="s">
        <v>5036</v>
      </c>
      <c r="J2115" s="2512" t="s">
        <v>1681</v>
      </c>
      <c r="K2115" s="2512" t="s">
        <v>1567</v>
      </c>
      <c r="L2115" s="2512" t="s">
        <v>1571</v>
      </c>
      <c r="M2115" s="2513">
        <v>0.3</v>
      </c>
      <c r="N2115" s="2512" t="s">
        <v>1570</v>
      </c>
      <c r="O2115" s="2514">
        <v>1.24E-2</v>
      </c>
      <c r="P2115" s="2404"/>
      <c r="Q2115" s="2404"/>
      <c r="R2115" s="2404"/>
      <c r="S2115" s="2404"/>
      <c r="T2115" s="2404"/>
      <c r="U2115" s="2177"/>
    </row>
    <row r="2116" spans="2:21" hidden="1" outlineLevel="2">
      <c r="B2116" s="2404"/>
      <c r="C2116" s="1045"/>
      <c r="D2116" s="1051">
        <f t="shared" ref="D2116:D2150" si="178">D2115+IF(LEN(E2116)=0,0,1)</f>
        <v>42</v>
      </c>
      <c r="E2116" s="1051" t="str">
        <f>IF(COUNTIF(E$1986:E2115,F2116)&gt;0,"",F2116)</f>
        <v/>
      </c>
      <c r="F2116" s="1051" t="str">
        <f t="shared" ref="F2116:F2150" si="179">IF(I2116&lt;&gt;"",I2116&amp;IF(L2116&lt;&gt;"",", "&amp;L2116,"")&amp;IF(K2116&lt;&gt;"",", "&amp;K2116,""),"")</f>
        <v>2020 - usage : Industrie base, France continentale, Base Carbone</v>
      </c>
      <c r="G2116" s="1055" t="str">
        <f t="shared" ref="G2116:G2150" si="180">IF(F2116&lt;&gt;"",F2116&amp;IF(J2116&lt;&gt;"","; "&amp;J2116,"")&amp;IF(N2116&lt;&gt;"",", "&amp;N2116,""),"")</f>
        <v>2020 - usage : Industrie base, France continentale, Base Carbone; kgCO2e/kWh, Pertes</v>
      </c>
      <c r="I2116" s="2018" t="s">
        <v>5036</v>
      </c>
      <c r="J2116" s="2512" t="s">
        <v>1681</v>
      </c>
      <c r="K2116" s="2512" t="s">
        <v>1567</v>
      </c>
      <c r="L2116" s="2512" t="s">
        <v>1571</v>
      </c>
      <c r="M2116" s="2513">
        <v>0.3</v>
      </c>
      <c r="N2116" s="2512" t="s">
        <v>1766</v>
      </c>
      <c r="O2116" s="2514">
        <v>4.4799999999999996E-3</v>
      </c>
      <c r="P2116" s="2404"/>
      <c r="Q2116" s="2404"/>
      <c r="R2116" s="2404"/>
      <c r="S2116" s="2404"/>
      <c r="T2116" s="2404"/>
      <c r="U2116" s="2177"/>
    </row>
    <row r="2117" spans="2:21" hidden="1" outlineLevel="2">
      <c r="B2117" s="2404"/>
      <c r="C2117" s="1045"/>
      <c r="D2117" s="1051">
        <f t="shared" si="178"/>
        <v>43</v>
      </c>
      <c r="E2117" s="1051" t="str">
        <f>IF(COUNTIF(E$1986:E2116,F2117)&gt;0,"",F2117)</f>
        <v>2020 - usage : Transports, France continentale, Base Carbone</v>
      </c>
      <c r="F2117" s="1051" t="str">
        <f t="shared" si="179"/>
        <v>2020 - usage : Transports, France continentale, Base Carbone</v>
      </c>
      <c r="G2117" s="1055" t="str">
        <f t="shared" si="180"/>
        <v>2020 - usage : Transports, France continentale, Base Carbone; kgCO2e/kWh, Combustion à la centrale</v>
      </c>
      <c r="I2117" s="2018" t="s">
        <v>5037</v>
      </c>
      <c r="J2117" s="1135" t="s">
        <v>1681</v>
      </c>
      <c r="K2117" s="1135" t="s">
        <v>1567</v>
      </c>
      <c r="L2117" s="1135" t="s">
        <v>1571</v>
      </c>
      <c r="M2117" s="2513">
        <v>0.3</v>
      </c>
      <c r="N2117" s="2512" t="s">
        <v>1763</v>
      </c>
      <c r="O2117" s="2514">
        <v>2.6100000000000002E-2</v>
      </c>
      <c r="P2117" s="2404"/>
      <c r="Q2117" s="2404"/>
      <c r="R2117" s="2404"/>
      <c r="S2117" s="2404"/>
      <c r="T2117" s="2404"/>
      <c r="U2117" s="2177"/>
    </row>
    <row r="2118" spans="2:21" hidden="1" outlineLevel="2">
      <c r="B2118" s="2404"/>
      <c r="C2118" s="1045"/>
      <c r="D2118" s="1051">
        <f t="shared" si="178"/>
        <v>43</v>
      </c>
      <c r="E2118" s="1051" t="str">
        <f>IF(COUNTIF(E$1986:E2117,F2118)&gt;0,"",F2118)</f>
        <v/>
      </c>
      <c r="F2118" s="1051" t="str">
        <f t="shared" si="179"/>
        <v>2020 - usage : Transports, France continentale, Base Carbone</v>
      </c>
      <c r="G2118" s="1055" t="str">
        <f t="shared" si="180"/>
        <v>2020 - usage : Transports, France continentale, Base Carbone; kgCO2e/kWh, Amont</v>
      </c>
      <c r="I2118" s="2018" t="s">
        <v>5037</v>
      </c>
      <c r="J2118" s="1135" t="s">
        <v>1681</v>
      </c>
      <c r="K2118" s="1135" t="s">
        <v>1567</v>
      </c>
      <c r="L2118" s="1135" t="s">
        <v>1571</v>
      </c>
      <c r="M2118" s="2513">
        <v>0.3</v>
      </c>
      <c r="N2118" s="2512" t="s">
        <v>1570</v>
      </c>
      <c r="O2118" s="2514">
        <v>1.2500000000000001E-2</v>
      </c>
      <c r="P2118" s="2404"/>
      <c r="Q2118" s="2404"/>
      <c r="R2118" s="2404"/>
      <c r="S2118" s="2404"/>
      <c r="T2118" s="2404"/>
      <c r="U2118" s="2177"/>
    </row>
    <row r="2119" spans="2:21" hidden="1" outlineLevel="2">
      <c r="B2119" s="2404"/>
      <c r="C2119" s="1045"/>
      <c r="D2119" s="1051">
        <f t="shared" si="178"/>
        <v>43</v>
      </c>
      <c r="E2119" s="1051" t="str">
        <f>IF(COUNTIF(E$1986:E2118,F2119)&gt;0,"",F2119)</f>
        <v/>
      </c>
      <c r="F2119" s="1051" t="str">
        <f t="shared" si="179"/>
        <v>2020 - usage : Transports, France continentale, Base Carbone</v>
      </c>
      <c r="G2119" s="1055" t="str">
        <f t="shared" si="180"/>
        <v>2020 - usage : Transports, France continentale, Base Carbone; kgCO2e/kWh, Pertes</v>
      </c>
      <c r="I2119" s="2018" t="s">
        <v>5037</v>
      </c>
      <c r="J2119" s="1135" t="s">
        <v>1681</v>
      </c>
      <c r="K2119" s="1135" t="s">
        <v>1567</v>
      </c>
      <c r="L2119" s="1135" t="s">
        <v>1571</v>
      </c>
      <c r="M2119" s="2513">
        <v>0.3</v>
      </c>
      <c r="N2119" s="2512" t="s">
        <v>1766</v>
      </c>
      <c r="O2119" s="2514">
        <v>4.4799999999999996E-3</v>
      </c>
      <c r="P2119" s="2404"/>
      <c r="Q2119" s="2404"/>
      <c r="R2119" s="2404"/>
      <c r="S2119" s="2404"/>
      <c r="T2119" s="2404"/>
      <c r="U2119" s="2177"/>
    </row>
    <row r="2120" spans="2:21" hidden="1" outlineLevel="2">
      <c r="B2120" s="2404"/>
      <c r="C2120" s="1045"/>
      <c r="D2120" s="1051">
        <f t="shared" si="178"/>
        <v>43</v>
      </c>
      <c r="E2120" s="1051" t="str">
        <f>IF(COUNTIF(E$1986:E2119,F2120)&gt;0,"",F2120)</f>
        <v/>
      </c>
      <c r="F2120" s="1051" t="str">
        <f t="shared" si="179"/>
        <v/>
      </c>
      <c r="G2120" s="1055" t="str">
        <f t="shared" si="180"/>
        <v/>
      </c>
      <c r="I2120" s="2405"/>
      <c r="J2120" s="2404"/>
      <c r="K2120" s="2404"/>
      <c r="L2120" s="2404"/>
      <c r="M2120" s="2404"/>
      <c r="N2120" s="2404"/>
      <c r="O2120" s="2404"/>
      <c r="P2120" s="2404"/>
      <c r="Q2120" s="2404"/>
      <c r="R2120" s="2404"/>
      <c r="S2120" s="2404"/>
      <c r="T2120" s="2404"/>
      <c r="U2120" s="2177"/>
    </row>
    <row r="2121" spans="2:21" hidden="1" outlineLevel="2">
      <c r="B2121" s="2404"/>
      <c r="C2121" s="1045"/>
      <c r="D2121" s="1051">
        <f t="shared" si="178"/>
        <v>43</v>
      </c>
      <c r="E2121" s="1051" t="str">
        <f>IF(COUNTIF(E$1986:E2120,F2121)&gt;0,"",F2121)</f>
        <v/>
      </c>
      <c r="F2121" s="1051" t="str">
        <f t="shared" si="179"/>
        <v/>
      </c>
      <c r="G2121" s="1055" t="str">
        <f t="shared" si="180"/>
        <v/>
      </c>
      <c r="I2121" s="2405"/>
      <c r="J2121" s="2404"/>
      <c r="K2121" s="2404"/>
      <c r="L2121" s="2404"/>
      <c r="M2121" s="2404"/>
      <c r="N2121" s="2404"/>
      <c r="O2121" s="2404"/>
      <c r="P2121" s="2404"/>
      <c r="Q2121" s="2404"/>
      <c r="R2121" s="2404"/>
      <c r="S2121" s="2404"/>
      <c r="T2121" s="2404"/>
      <c r="U2121" s="2177"/>
    </row>
    <row r="2122" spans="2:21" hidden="1" outlineLevel="2">
      <c r="B2122" s="2404"/>
      <c r="C2122" s="1045"/>
      <c r="D2122" s="1051">
        <f t="shared" si="178"/>
        <v>43</v>
      </c>
      <c r="E2122" s="1051" t="str">
        <f>IF(COUNTIF(E$1986:E2121,F2122)&gt;0,"",F2122)</f>
        <v/>
      </c>
      <c r="F2122" s="1051" t="str">
        <f t="shared" si="179"/>
        <v/>
      </c>
      <c r="G2122" s="1055" t="str">
        <f t="shared" si="180"/>
        <v/>
      </c>
      <c r="I2122" s="2405"/>
      <c r="J2122" s="2404"/>
      <c r="K2122" s="2404"/>
      <c r="L2122" s="2404"/>
      <c r="M2122" s="2404"/>
      <c r="N2122" s="2404"/>
      <c r="O2122" s="2404"/>
      <c r="P2122" s="2404"/>
      <c r="Q2122" s="2404"/>
      <c r="R2122" s="2404"/>
      <c r="S2122" s="2404"/>
      <c r="T2122" s="2404"/>
      <c r="U2122" s="2177"/>
    </row>
    <row r="2123" spans="2:21" hidden="1" outlineLevel="2">
      <c r="B2123" s="2404"/>
      <c r="C2123" s="1045"/>
      <c r="D2123" s="1051">
        <f t="shared" si="178"/>
        <v>43</v>
      </c>
      <c r="E2123" s="1051" t="str">
        <f>IF(COUNTIF(E$1986:E2122,F2123)&gt;0,"",F2123)</f>
        <v/>
      </c>
      <c r="F2123" s="1051" t="str">
        <f t="shared" si="179"/>
        <v/>
      </c>
      <c r="G2123" s="1055" t="str">
        <f t="shared" si="180"/>
        <v/>
      </c>
      <c r="I2123" s="2405"/>
      <c r="J2123" s="2404"/>
      <c r="K2123" s="2404"/>
      <c r="L2123" s="2404"/>
      <c r="M2123" s="2404"/>
      <c r="N2123" s="2404"/>
      <c r="O2123" s="2404"/>
      <c r="P2123" s="2404"/>
      <c r="Q2123" s="2404"/>
      <c r="R2123" s="2404"/>
      <c r="S2123" s="2404"/>
      <c r="T2123" s="2404"/>
      <c r="U2123" s="2177"/>
    </row>
    <row r="2124" spans="2:21" hidden="1" outlineLevel="2">
      <c r="B2124" s="2404"/>
      <c r="C2124" s="1045"/>
      <c r="D2124" s="1051">
        <f t="shared" si="178"/>
        <v>43</v>
      </c>
      <c r="E2124" s="1051" t="str">
        <f>IF(COUNTIF(E$1986:E2123,F2124)&gt;0,"",F2124)</f>
        <v/>
      </c>
      <c r="F2124" s="1051" t="str">
        <f t="shared" si="179"/>
        <v/>
      </c>
      <c r="G2124" s="1055" t="str">
        <f t="shared" si="180"/>
        <v/>
      </c>
      <c r="I2124" s="2405"/>
      <c r="J2124" s="2404"/>
      <c r="K2124" s="2404"/>
      <c r="L2124" s="2404"/>
      <c r="M2124" s="2404"/>
      <c r="N2124" s="2404"/>
      <c r="O2124" s="2404"/>
      <c r="P2124" s="2404"/>
      <c r="Q2124" s="2404"/>
      <c r="R2124" s="2404"/>
      <c r="S2124" s="2404"/>
      <c r="T2124" s="2404"/>
      <c r="U2124" s="2177"/>
    </row>
    <row r="2125" spans="2:21" hidden="1" outlineLevel="2">
      <c r="B2125" s="2404"/>
      <c r="C2125" s="1045"/>
      <c r="D2125" s="1051">
        <f t="shared" si="178"/>
        <v>43</v>
      </c>
      <c r="E2125" s="1051" t="str">
        <f>IF(COUNTIF(E$1986:E2124,F2125)&gt;0,"",F2125)</f>
        <v/>
      </c>
      <c r="F2125" s="1051" t="str">
        <f t="shared" si="179"/>
        <v/>
      </c>
      <c r="G2125" s="1055" t="str">
        <f t="shared" si="180"/>
        <v/>
      </c>
      <c r="I2125" s="2405"/>
      <c r="J2125" s="2404"/>
      <c r="K2125" s="2404"/>
      <c r="L2125" s="2404"/>
      <c r="M2125" s="2404"/>
      <c r="N2125" s="2404"/>
      <c r="O2125" s="2404"/>
      <c r="P2125" s="2404"/>
      <c r="Q2125" s="2404"/>
      <c r="R2125" s="2404"/>
      <c r="S2125" s="2404"/>
      <c r="T2125" s="2404"/>
      <c r="U2125" s="2177"/>
    </row>
    <row r="2126" spans="2:21" hidden="1" outlineLevel="2">
      <c r="B2126" s="2404"/>
      <c r="C2126" s="1045"/>
      <c r="D2126" s="1051">
        <f t="shared" si="178"/>
        <v>43</v>
      </c>
      <c r="E2126" s="1051" t="str">
        <f>IF(COUNTIF(E$1986:E2125,F2126)&gt;0,"",F2126)</f>
        <v/>
      </c>
      <c r="F2126" s="1051" t="str">
        <f t="shared" si="179"/>
        <v/>
      </c>
      <c r="G2126" s="1055" t="str">
        <f t="shared" si="180"/>
        <v/>
      </c>
      <c r="I2126" s="2405"/>
      <c r="J2126" s="2404"/>
      <c r="K2126" s="2404"/>
      <c r="L2126" s="2404"/>
      <c r="M2126" s="2404"/>
      <c r="N2126" s="2404"/>
      <c r="O2126" s="2404"/>
      <c r="P2126" s="2404"/>
      <c r="Q2126" s="2404"/>
      <c r="R2126" s="2404"/>
      <c r="S2126" s="2404"/>
      <c r="T2126" s="2404"/>
      <c r="U2126" s="2177"/>
    </row>
    <row r="2127" spans="2:21" hidden="1" outlineLevel="2">
      <c r="B2127" s="2404"/>
      <c r="C2127" s="1045"/>
      <c r="D2127" s="1051">
        <f t="shared" si="178"/>
        <v>43</v>
      </c>
      <c r="E2127" s="1051" t="str">
        <f>IF(COUNTIF(E$1986:E2126,F2127)&gt;0,"",F2127)</f>
        <v/>
      </c>
      <c r="F2127" s="1051" t="str">
        <f t="shared" si="179"/>
        <v/>
      </c>
      <c r="G2127" s="1055" t="str">
        <f t="shared" si="180"/>
        <v/>
      </c>
      <c r="I2127" s="2405"/>
      <c r="J2127" s="2404"/>
      <c r="K2127" s="2404"/>
      <c r="L2127" s="2404"/>
      <c r="M2127" s="2404"/>
      <c r="N2127" s="2404"/>
      <c r="O2127" s="2404"/>
      <c r="P2127" s="2404"/>
      <c r="Q2127" s="2404"/>
      <c r="R2127" s="2404"/>
      <c r="S2127" s="2404"/>
      <c r="T2127" s="2404"/>
      <c r="U2127" s="2177"/>
    </row>
    <row r="2128" spans="2:21" hidden="1" outlineLevel="2">
      <c r="B2128" s="2404"/>
      <c r="C2128" s="1045"/>
      <c r="D2128" s="1051">
        <f t="shared" si="178"/>
        <v>43</v>
      </c>
      <c r="E2128" s="1051" t="str">
        <f>IF(COUNTIF(E$1986:E2127,F2128)&gt;0,"",F2128)</f>
        <v/>
      </c>
      <c r="F2128" s="1051" t="str">
        <f t="shared" si="179"/>
        <v/>
      </c>
      <c r="G2128" s="1055" t="str">
        <f t="shared" si="180"/>
        <v/>
      </c>
      <c r="I2128" s="2405"/>
      <c r="J2128" s="2404"/>
      <c r="K2128" s="2404"/>
      <c r="L2128" s="2404"/>
      <c r="M2128" s="2404"/>
      <c r="N2128" s="2404"/>
      <c r="O2128" s="2404"/>
      <c r="P2128" s="2404"/>
      <c r="Q2128" s="2404"/>
      <c r="R2128" s="2404"/>
      <c r="S2128" s="2404"/>
      <c r="T2128" s="2404"/>
      <c r="U2128" s="2177"/>
    </row>
    <row r="2129" spans="2:21" hidden="1" outlineLevel="2">
      <c r="B2129" s="2404"/>
      <c r="C2129" s="1045"/>
      <c r="D2129" s="1051">
        <f t="shared" si="178"/>
        <v>43</v>
      </c>
      <c r="E2129" s="1051" t="str">
        <f>IF(COUNTIF(E$1986:E2128,F2129)&gt;0,"",F2129)</f>
        <v/>
      </c>
      <c r="F2129" s="1051" t="str">
        <f t="shared" si="179"/>
        <v/>
      </c>
      <c r="G2129" s="1055" t="str">
        <f t="shared" si="180"/>
        <v/>
      </c>
      <c r="I2129" s="2405"/>
      <c r="J2129" s="2404"/>
      <c r="K2129" s="2404"/>
      <c r="L2129" s="2404"/>
      <c r="M2129" s="2404"/>
      <c r="N2129" s="2404"/>
      <c r="O2129" s="2404"/>
      <c r="P2129" s="2404"/>
      <c r="Q2129" s="2404"/>
      <c r="R2129" s="2404"/>
      <c r="S2129" s="2404"/>
      <c r="T2129" s="2404"/>
      <c r="U2129" s="2177"/>
    </row>
    <row r="2130" spans="2:21" hidden="1" outlineLevel="2">
      <c r="B2130" s="2404"/>
      <c r="C2130" s="1045"/>
      <c r="D2130" s="1051">
        <f t="shared" si="178"/>
        <v>43</v>
      </c>
      <c r="E2130" s="1051" t="str">
        <f>IF(COUNTIF(E$1986:E2129,F2130)&gt;0,"",F2130)</f>
        <v/>
      </c>
      <c r="F2130" s="1051" t="str">
        <f t="shared" si="179"/>
        <v/>
      </c>
      <c r="G2130" s="1055" t="str">
        <f t="shared" si="180"/>
        <v/>
      </c>
      <c r="I2130" s="2405"/>
      <c r="J2130" s="2404"/>
      <c r="K2130" s="2404"/>
      <c r="L2130" s="2404"/>
      <c r="M2130" s="2404"/>
      <c r="N2130" s="2404"/>
      <c r="O2130" s="2404"/>
      <c r="P2130" s="2404"/>
      <c r="Q2130" s="2404"/>
      <c r="R2130" s="2404"/>
      <c r="S2130" s="2404"/>
      <c r="T2130" s="2404"/>
      <c r="U2130" s="2177"/>
    </row>
    <row r="2131" spans="2:21" hidden="1" outlineLevel="2">
      <c r="B2131" s="2404"/>
      <c r="C2131" s="1045"/>
      <c r="D2131" s="1051">
        <f t="shared" si="178"/>
        <v>43</v>
      </c>
      <c r="E2131" s="1051" t="str">
        <f>IF(COUNTIF(E$1986:E2130,F2131)&gt;0,"",F2131)</f>
        <v/>
      </c>
      <c r="F2131" s="1051" t="str">
        <f t="shared" si="179"/>
        <v/>
      </c>
      <c r="G2131" s="1055" t="str">
        <f t="shared" si="180"/>
        <v/>
      </c>
      <c r="I2131" s="2405"/>
      <c r="J2131" s="2404"/>
      <c r="K2131" s="2404"/>
      <c r="L2131" s="2404"/>
      <c r="M2131" s="2404"/>
      <c r="N2131" s="2404"/>
      <c r="O2131" s="2404"/>
      <c r="P2131" s="2404"/>
      <c r="Q2131" s="2404"/>
      <c r="R2131" s="2404"/>
      <c r="S2131" s="2404"/>
      <c r="T2131" s="2404"/>
      <c r="U2131" s="2177"/>
    </row>
    <row r="2132" spans="2:21" hidden="1" outlineLevel="2">
      <c r="B2132" s="2404"/>
      <c r="C2132" s="1045"/>
      <c r="D2132" s="1051">
        <f t="shared" si="178"/>
        <v>43</v>
      </c>
      <c r="E2132" s="1051" t="str">
        <f>IF(COUNTIF(E$1986:E2131,F2132)&gt;0,"",F2132)</f>
        <v/>
      </c>
      <c r="F2132" s="1051" t="str">
        <f t="shared" si="179"/>
        <v/>
      </c>
      <c r="G2132" s="1055" t="str">
        <f t="shared" si="180"/>
        <v/>
      </c>
      <c r="I2132" s="2405"/>
      <c r="J2132" s="2404"/>
      <c r="K2132" s="2404"/>
      <c r="L2132" s="2404"/>
      <c r="M2132" s="2404"/>
      <c r="N2132" s="2404"/>
      <c r="O2132" s="2404"/>
      <c r="P2132" s="2404"/>
      <c r="Q2132" s="2404"/>
      <c r="R2132" s="2404"/>
      <c r="S2132" s="2404"/>
      <c r="T2132" s="2404"/>
      <c r="U2132" s="2177"/>
    </row>
    <row r="2133" spans="2:21" hidden="1" outlineLevel="2">
      <c r="B2133" s="2404"/>
      <c r="C2133" s="1045"/>
      <c r="D2133" s="1051">
        <f t="shared" si="178"/>
        <v>43</v>
      </c>
      <c r="E2133" s="1051" t="str">
        <f>IF(COUNTIF(E$1986:E2132,F2133)&gt;0,"",F2133)</f>
        <v/>
      </c>
      <c r="F2133" s="1051" t="str">
        <f t="shared" si="179"/>
        <v/>
      </c>
      <c r="G2133" s="1055" t="str">
        <f t="shared" si="180"/>
        <v/>
      </c>
      <c r="I2133" s="2405"/>
      <c r="J2133" s="2404"/>
      <c r="K2133" s="2404"/>
      <c r="L2133" s="2404"/>
      <c r="M2133" s="2404"/>
      <c r="N2133" s="2404"/>
      <c r="O2133" s="2404"/>
      <c r="P2133" s="2404"/>
      <c r="Q2133" s="2404"/>
      <c r="R2133" s="2404"/>
      <c r="S2133" s="2404"/>
      <c r="T2133" s="2404"/>
      <c r="U2133" s="2177"/>
    </row>
    <row r="2134" spans="2:21" hidden="1" outlineLevel="2">
      <c r="B2134" s="2404"/>
      <c r="C2134" s="1045"/>
      <c r="D2134" s="1051">
        <f t="shared" si="178"/>
        <v>43</v>
      </c>
      <c r="E2134" s="1051" t="str">
        <f>IF(COUNTIF(E$1986:E2133,F2134)&gt;0,"",F2134)</f>
        <v/>
      </c>
      <c r="F2134" s="1051" t="str">
        <f t="shared" si="179"/>
        <v/>
      </c>
      <c r="G2134" s="1055" t="str">
        <f t="shared" si="180"/>
        <v/>
      </c>
      <c r="I2134" s="2405"/>
      <c r="J2134" s="2404"/>
      <c r="K2134" s="2404"/>
      <c r="L2134" s="2404"/>
      <c r="M2134" s="2404"/>
      <c r="N2134" s="2404"/>
      <c r="O2134" s="2404"/>
      <c r="P2134" s="2404"/>
      <c r="Q2134" s="2404"/>
      <c r="R2134" s="2404"/>
      <c r="S2134" s="2404"/>
      <c r="T2134" s="2404"/>
      <c r="U2134" s="2177"/>
    </row>
    <row r="2135" spans="2:21" hidden="1" outlineLevel="2">
      <c r="B2135" s="2404"/>
      <c r="C2135" s="1045"/>
      <c r="D2135" s="1051">
        <f t="shared" si="178"/>
        <v>43</v>
      </c>
      <c r="E2135" s="1051" t="str">
        <f>IF(COUNTIF(E$1986:E2134,F2135)&gt;0,"",F2135)</f>
        <v/>
      </c>
      <c r="F2135" s="1051" t="str">
        <f t="shared" si="179"/>
        <v/>
      </c>
      <c r="G2135" s="1055" t="str">
        <f t="shared" si="180"/>
        <v/>
      </c>
      <c r="I2135" s="2405"/>
      <c r="J2135" s="2404"/>
      <c r="K2135" s="2404"/>
      <c r="L2135" s="2404"/>
      <c r="M2135" s="2404"/>
      <c r="N2135" s="2404"/>
      <c r="O2135" s="2404"/>
      <c r="P2135" s="2404"/>
      <c r="Q2135" s="2404"/>
      <c r="R2135" s="2404"/>
      <c r="S2135" s="2404"/>
      <c r="T2135" s="2404"/>
      <c r="U2135" s="2177"/>
    </row>
    <row r="2136" spans="2:21" hidden="1" outlineLevel="2">
      <c r="B2136" s="2404"/>
      <c r="C2136" s="1045"/>
      <c r="D2136" s="1051">
        <f t="shared" si="178"/>
        <v>43</v>
      </c>
      <c r="E2136" s="1051" t="str">
        <f>IF(COUNTIF(E$1986:E2135,F2136)&gt;0,"",F2136)</f>
        <v/>
      </c>
      <c r="F2136" s="1051" t="str">
        <f t="shared" si="179"/>
        <v/>
      </c>
      <c r="G2136" s="1055" t="str">
        <f t="shared" si="180"/>
        <v/>
      </c>
      <c r="I2136" s="2405"/>
      <c r="J2136" s="2404"/>
      <c r="K2136" s="2404"/>
      <c r="L2136" s="2404"/>
      <c r="M2136" s="2404"/>
      <c r="N2136" s="2404"/>
      <c r="O2136" s="2404"/>
      <c r="P2136" s="2404"/>
      <c r="Q2136" s="2404"/>
      <c r="R2136" s="2404"/>
      <c r="S2136" s="2404"/>
      <c r="T2136" s="2404"/>
      <c r="U2136" s="2177"/>
    </row>
    <row r="2137" spans="2:21" hidden="1" outlineLevel="2">
      <c r="B2137" s="2404"/>
      <c r="C2137" s="1045"/>
      <c r="D2137" s="1051">
        <f t="shared" si="178"/>
        <v>43</v>
      </c>
      <c r="E2137" s="1051" t="str">
        <f>IF(COUNTIF(E$1986:E2136,F2137)&gt;0,"",F2137)</f>
        <v/>
      </c>
      <c r="F2137" s="1051" t="str">
        <f t="shared" si="179"/>
        <v/>
      </c>
      <c r="G2137" s="1055" t="str">
        <f t="shared" si="180"/>
        <v/>
      </c>
      <c r="I2137" s="2405"/>
      <c r="J2137" s="2404"/>
      <c r="K2137" s="2404"/>
      <c r="L2137" s="2404"/>
      <c r="M2137" s="2404"/>
      <c r="N2137" s="2404"/>
      <c r="O2137" s="2404"/>
      <c r="P2137" s="2404"/>
      <c r="Q2137" s="2404"/>
      <c r="R2137" s="2404"/>
      <c r="S2137" s="2404"/>
      <c r="T2137" s="2404"/>
      <c r="U2137" s="2177"/>
    </row>
    <row r="2138" spans="2:21" hidden="1" outlineLevel="2">
      <c r="B2138" s="2404"/>
      <c r="C2138" s="1045"/>
      <c r="D2138" s="1051">
        <f t="shared" si="178"/>
        <v>43</v>
      </c>
      <c r="E2138" s="1051" t="str">
        <f>IF(COUNTIF(E$1986:E2137,F2138)&gt;0,"",F2138)</f>
        <v/>
      </c>
      <c r="F2138" s="1051" t="str">
        <f t="shared" si="179"/>
        <v/>
      </c>
      <c r="G2138" s="1055" t="str">
        <f t="shared" si="180"/>
        <v/>
      </c>
      <c r="I2138" s="2405"/>
      <c r="J2138" s="2404"/>
      <c r="K2138" s="2404"/>
      <c r="L2138" s="2404"/>
      <c r="M2138" s="2404"/>
      <c r="N2138" s="2404"/>
      <c r="O2138" s="2404"/>
      <c r="P2138" s="2404"/>
      <c r="Q2138" s="2404"/>
      <c r="R2138" s="2404"/>
      <c r="S2138" s="2404"/>
      <c r="T2138" s="2404"/>
      <c r="U2138" s="2177"/>
    </row>
    <row r="2139" spans="2:21" hidden="1" outlineLevel="2">
      <c r="B2139" s="2404"/>
      <c r="C2139" s="1045"/>
      <c r="D2139" s="1051">
        <f t="shared" si="178"/>
        <v>43</v>
      </c>
      <c r="E2139" s="1051" t="str">
        <f>IF(COUNTIF(E$1986:E2138,F2139)&gt;0,"",F2139)</f>
        <v/>
      </c>
      <c r="F2139" s="1051" t="str">
        <f t="shared" si="179"/>
        <v/>
      </c>
      <c r="G2139" s="1055" t="str">
        <f t="shared" si="180"/>
        <v/>
      </c>
      <c r="I2139" s="2405"/>
      <c r="J2139" s="2404"/>
      <c r="K2139" s="2404"/>
      <c r="L2139" s="2404"/>
      <c r="M2139" s="2404"/>
      <c r="N2139" s="2404"/>
      <c r="O2139" s="2404"/>
      <c r="P2139" s="2404"/>
      <c r="Q2139" s="2404"/>
      <c r="R2139" s="2404"/>
      <c r="S2139" s="2404"/>
      <c r="T2139" s="2404"/>
      <c r="U2139" s="2177"/>
    </row>
    <row r="2140" spans="2:21" hidden="1" outlineLevel="2">
      <c r="B2140" s="2404"/>
      <c r="C2140" s="1045"/>
      <c r="D2140" s="1051">
        <f t="shared" si="178"/>
        <v>43</v>
      </c>
      <c r="E2140" s="1051" t="str">
        <f>IF(COUNTIF(E$1986:E2139,F2140)&gt;0,"",F2140)</f>
        <v/>
      </c>
      <c r="F2140" s="1051" t="str">
        <f t="shared" si="179"/>
        <v/>
      </c>
      <c r="G2140" s="1055" t="str">
        <f t="shared" si="180"/>
        <v/>
      </c>
      <c r="I2140" s="2405"/>
      <c r="J2140" s="2404"/>
      <c r="K2140" s="2404"/>
      <c r="L2140" s="2404"/>
      <c r="M2140" s="2404"/>
      <c r="N2140" s="2404"/>
      <c r="O2140" s="2404"/>
      <c r="P2140" s="2404"/>
      <c r="Q2140" s="2404"/>
      <c r="R2140" s="2404"/>
      <c r="S2140" s="2404"/>
      <c r="T2140" s="2404"/>
      <c r="U2140" s="2177"/>
    </row>
    <row r="2141" spans="2:21" hidden="1" outlineLevel="2">
      <c r="B2141" s="2404"/>
      <c r="C2141" s="1045"/>
      <c r="D2141" s="1051">
        <f t="shared" si="178"/>
        <v>43</v>
      </c>
      <c r="E2141" s="1051" t="str">
        <f>IF(COUNTIF(E$1986:E2140,F2141)&gt;0,"",F2141)</f>
        <v/>
      </c>
      <c r="F2141" s="1051" t="str">
        <f t="shared" si="179"/>
        <v/>
      </c>
      <c r="G2141" s="1055" t="str">
        <f t="shared" si="180"/>
        <v/>
      </c>
      <c r="I2141" s="2405"/>
      <c r="J2141" s="2404"/>
      <c r="K2141" s="2404"/>
      <c r="L2141" s="2404"/>
      <c r="M2141" s="2404"/>
      <c r="N2141" s="2404"/>
      <c r="O2141" s="2404"/>
      <c r="P2141" s="2404"/>
      <c r="Q2141" s="2404"/>
      <c r="R2141" s="2404"/>
      <c r="S2141" s="2404"/>
      <c r="T2141" s="2404"/>
      <c r="U2141" s="2177"/>
    </row>
    <row r="2142" spans="2:21" hidden="1" outlineLevel="2">
      <c r="B2142" s="2404"/>
      <c r="C2142" s="1045"/>
      <c r="D2142" s="1051">
        <f t="shared" si="178"/>
        <v>43</v>
      </c>
      <c r="E2142" s="1051" t="str">
        <f>IF(COUNTIF(E$1986:E2141,F2142)&gt;0,"",F2142)</f>
        <v/>
      </c>
      <c r="F2142" s="1051" t="str">
        <f t="shared" si="179"/>
        <v/>
      </c>
      <c r="G2142" s="1055" t="str">
        <f t="shared" si="180"/>
        <v/>
      </c>
      <c r="I2142" s="2405"/>
      <c r="J2142" s="2404"/>
      <c r="K2142" s="2404"/>
      <c r="L2142" s="2404"/>
      <c r="M2142" s="2404"/>
      <c r="N2142" s="2404"/>
      <c r="O2142" s="2404"/>
      <c r="P2142" s="2404"/>
      <c r="Q2142" s="2404"/>
      <c r="R2142" s="2404"/>
      <c r="S2142" s="2404"/>
      <c r="T2142" s="2404"/>
      <c r="U2142" s="2177"/>
    </row>
    <row r="2143" spans="2:21" hidden="1" outlineLevel="2">
      <c r="B2143" s="2404"/>
      <c r="C2143" s="1045"/>
      <c r="D2143" s="1051">
        <f t="shared" si="178"/>
        <v>43</v>
      </c>
      <c r="E2143" s="1051" t="str">
        <f>IF(COUNTIF(E$1986:E2142,F2143)&gt;0,"",F2143)</f>
        <v/>
      </c>
      <c r="F2143" s="1051" t="str">
        <f t="shared" si="179"/>
        <v/>
      </c>
      <c r="G2143" s="1055" t="str">
        <f t="shared" si="180"/>
        <v/>
      </c>
      <c r="I2143" s="2405"/>
      <c r="J2143" s="2404"/>
      <c r="K2143" s="2404"/>
      <c r="L2143" s="2404"/>
      <c r="M2143" s="2404"/>
      <c r="N2143" s="2404"/>
      <c r="O2143" s="2404"/>
      <c r="P2143" s="2404"/>
      <c r="Q2143" s="2404"/>
      <c r="R2143" s="2404"/>
      <c r="S2143" s="2404"/>
      <c r="T2143" s="2404"/>
      <c r="U2143" s="2177"/>
    </row>
    <row r="2144" spans="2:21" hidden="1" outlineLevel="2">
      <c r="B2144" s="2404"/>
      <c r="C2144" s="1045"/>
      <c r="D2144" s="1051">
        <f t="shared" si="178"/>
        <v>43</v>
      </c>
      <c r="E2144" s="1051" t="str">
        <f>IF(COUNTIF(E$1986:E2143,F2144)&gt;0,"",F2144)</f>
        <v/>
      </c>
      <c r="F2144" s="1051" t="str">
        <f t="shared" si="179"/>
        <v/>
      </c>
      <c r="G2144" s="1055" t="str">
        <f t="shared" si="180"/>
        <v/>
      </c>
      <c r="I2144" s="2405"/>
      <c r="J2144" s="2404"/>
      <c r="K2144" s="2404"/>
      <c r="L2144" s="2404"/>
      <c r="M2144" s="2404"/>
      <c r="N2144" s="2404"/>
      <c r="O2144" s="2404"/>
      <c r="P2144" s="2404"/>
      <c r="Q2144" s="2404"/>
      <c r="R2144" s="2404"/>
      <c r="S2144" s="2404"/>
      <c r="T2144" s="2404"/>
      <c r="U2144" s="2177"/>
    </row>
    <row r="2145" spans="2:21" hidden="1" outlineLevel="2">
      <c r="B2145" s="2404"/>
      <c r="C2145" s="1045"/>
      <c r="D2145" s="1051">
        <f t="shared" si="178"/>
        <v>43</v>
      </c>
      <c r="E2145" s="1051" t="str">
        <f>IF(COUNTIF(E$1986:E2144,F2145)&gt;0,"",F2145)</f>
        <v/>
      </c>
      <c r="F2145" s="1051" t="str">
        <f t="shared" si="179"/>
        <v/>
      </c>
      <c r="G2145" s="1055" t="str">
        <f t="shared" si="180"/>
        <v/>
      </c>
      <c r="I2145" s="2405"/>
      <c r="J2145" s="2404"/>
      <c r="K2145" s="2404"/>
      <c r="L2145" s="2404"/>
      <c r="M2145" s="2404"/>
      <c r="N2145" s="2404"/>
      <c r="O2145" s="2404"/>
      <c r="P2145" s="2404"/>
      <c r="Q2145" s="2404"/>
      <c r="R2145" s="2404"/>
      <c r="S2145" s="2404"/>
      <c r="T2145" s="2404"/>
      <c r="U2145" s="2177"/>
    </row>
    <row r="2146" spans="2:21" hidden="1" outlineLevel="2">
      <c r="B2146" s="2404"/>
      <c r="C2146" s="1045"/>
      <c r="D2146" s="1051">
        <f t="shared" si="178"/>
        <v>43</v>
      </c>
      <c r="E2146" s="1051" t="str">
        <f>IF(COUNTIF(E$1986:E2145,F2146)&gt;0,"",F2146)</f>
        <v/>
      </c>
      <c r="F2146" s="1051" t="str">
        <f t="shared" si="179"/>
        <v/>
      </c>
      <c r="G2146" s="1055" t="str">
        <f t="shared" si="180"/>
        <v/>
      </c>
      <c r="I2146" s="2405"/>
      <c r="J2146" s="2404"/>
      <c r="K2146" s="2404"/>
      <c r="L2146" s="2404"/>
      <c r="M2146" s="2404"/>
      <c r="N2146" s="2404"/>
      <c r="O2146" s="2404"/>
      <c r="P2146" s="2404"/>
      <c r="Q2146" s="2404"/>
      <c r="R2146" s="2404"/>
      <c r="S2146" s="2404"/>
      <c r="T2146" s="2404"/>
      <c r="U2146" s="2177"/>
    </row>
    <row r="2147" spans="2:21" hidden="1" outlineLevel="2">
      <c r="B2147" s="2404"/>
      <c r="C2147" s="1045"/>
      <c r="D2147" s="1051">
        <f t="shared" si="178"/>
        <v>43</v>
      </c>
      <c r="E2147" s="1051" t="str">
        <f>IF(COUNTIF(E$1986:E2146,F2147)&gt;0,"",F2147)</f>
        <v/>
      </c>
      <c r="F2147" s="1051" t="str">
        <f t="shared" si="179"/>
        <v/>
      </c>
      <c r="G2147" s="1055" t="str">
        <f t="shared" si="180"/>
        <v/>
      </c>
      <c r="I2147" s="2405"/>
      <c r="J2147" s="2404"/>
      <c r="K2147" s="2404"/>
      <c r="L2147" s="2404"/>
      <c r="M2147" s="2404"/>
      <c r="N2147" s="2404"/>
      <c r="O2147" s="2404"/>
      <c r="P2147" s="2404"/>
      <c r="Q2147" s="2404"/>
      <c r="R2147" s="2404"/>
      <c r="S2147" s="2404"/>
      <c r="T2147" s="2404"/>
      <c r="U2147" s="2177"/>
    </row>
    <row r="2148" spans="2:21" hidden="1" outlineLevel="2">
      <c r="B2148" s="2404"/>
      <c r="C2148" s="1045"/>
      <c r="D2148" s="1051">
        <f t="shared" si="178"/>
        <v>43</v>
      </c>
      <c r="E2148" s="1051" t="str">
        <f>IF(COUNTIF(E$1986:E2147,F2148)&gt;0,"",F2148)</f>
        <v/>
      </c>
      <c r="F2148" s="1051" t="str">
        <f t="shared" si="179"/>
        <v/>
      </c>
      <c r="G2148" s="1055" t="str">
        <f t="shared" si="180"/>
        <v/>
      </c>
      <c r="I2148" s="2405"/>
      <c r="J2148" s="2404"/>
      <c r="K2148" s="2404"/>
      <c r="L2148" s="2404"/>
      <c r="M2148" s="2404"/>
      <c r="N2148" s="2404"/>
      <c r="O2148" s="2404"/>
      <c r="P2148" s="2404"/>
      <c r="Q2148" s="2404"/>
      <c r="R2148" s="2404"/>
      <c r="S2148" s="2404"/>
      <c r="T2148" s="2404"/>
      <c r="U2148" s="2177"/>
    </row>
    <row r="2149" spans="2:21" hidden="1" outlineLevel="2">
      <c r="B2149" s="2404"/>
      <c r="C2149" s="1045"/>
      <c r="D2149" s="1051">
        <f t="shared" si="178"/>
        <v>43</v>
      </c>
      <c r="E2149" s="1051" t="str">
        <f>IF(COUNTIF(E$1986:E2148,F2149)&gt;0,"",F2149)</f>
        <v/>
      </c>
      <c r="F2149" s="1051" t="str">
        <f t="shared" si="179"/>
        <v/>
      </c>
      <c r="G2149" s="1055" t="str">
        <f t="shared" si="180"/>
        <v/>
      </c>
      <c r="I2149" s="2405"/>
      <c r="J2149" s="2404"/>
      <c r="K2149" s="2404"/>
      <c r="L2149" s="2404"/>
      <c r="M2149" s="2404"/>
      <c r="N2149" s="2404"/>
      <c r="O2149" s="2404"/>
      <c r="P2149" s="2404"/>
      <c r="Q2149" s="2404"/>
      <c r="R2149" s="2404"/>
      <c r="S2149" s="2404"/>
      <c r="T2149" s="2404"/>
      <c r="U2149" s="2177"/>
    </row>
    <row r="2150" spans="2:21" hidden="1" outlineLevel="2">
      <c r="B2150" s="2404"/>
      <c r="C2150" s="1045"/>
      <c r="D2150" s="1051">
        <f t="shared" si="178"/>
        <v>43</v>
      </c>
      <c r="E2150" s="1051" t="str">
        <f>IF(COUNTIF(E$1986:E2149,F2150)&gt;0,"",F2150)</f>
        <v/>
      </c>
      <c r="F2150" s="1051" t="str">
        <f t="shared" si="179"/>
        <v/>
      </c>
      <c r="G2150" s="1055" t="str">
        <f t="shared" si="180"/>
        <v/>
      </c>
      <c r="I2150" s="2405"/>
      <c r="J2150" s="2404"/>
      <c r="K2150" s="2404"/>
      <c r="L2150" s="2404"/>
      <c r="M2150" s="2404"/>
      <c r="N2150" s="2404"/>
      <c r="O2150" s="2404"/>
      <c r="P2150" s="2404"/>
      <c r="Q2150" s="2404"/>
      <c r="R2150" s="2404"/>
      <c r="S2150" s="2404"/>
      <c r="T2150" s="2404"/>
      <c r="U2150" s="2177"/>
    </row>
    <row r="2151" spans="2:21" hidden="1" outlineLevel="2">
      <c r="B2151" s="2404"/>
      <c r="C2151" s="1045"/>
      <c r="D2151" s="1051">
        <f t="shared" ref="D2151" si="181">D2150+IF(LEN(E2151)=0,0,1)</f>
        <v>43</v>
      </c>
      <c r="E2151" s="1051" t="str">
        <f>IF(COUNTIF(E$1986:E2150,F2151)&gt;0,"",F2151)</f>
        <v/>
      </c>
      <c r="F2151" s="1051" t="str">
        <f t="shared" ref="F2151" si="182">IF(I2151&lt;&gt;"",I2151&amp;IF(L2151&lt;&gt;"",", "&amp;L2151,"")&amp;IF(K2151&lt;&gt;"",", "&amp;K2151,""),"")</f>
        <v/>
      </c>
      <c r="G2151" s="1055" t="str">
        <f t="shared" ref="G2151" si="183">IF(F2151&lt;&gt;"",F2151&amp;IF(J2151&lt;&gt;"","; "&amp;J2151,"")&amp;IF(N2151&lt;&gt;"",", "&amp;N2151,""),"")</f>
        <v/>
      </c>
      <c r="I2151" s="2405"/>
      <c r="J2151" s="2404"/>
      <c r="K2151" s="2404"/>
      <c r="L2151" s="2404"/>
      <c r="M2151" s="2404"/>
      <c r="N2151" s="2404"/>
      <c r="O2151" s="2404"/>
      <c r="P2151" s="2404"/>
      <c r="Q2151" s="2404"/>
      <c r="R2151" s="2404"/>
      <c r="S2151" s="2404"/>
      <c r="T2151" s="2404"/>
      <c r="U2151" s="2177"/>
    </row>
    <row r="2152" spans="2:21" s="1045" customFormat="1" hidden="1" outlineLevel="1">
      <c r="G2152" s="1135"/>
      <c r="I2152" s="1711"/>
      <c r="J2152" s="1712"/>
      <c r="K2152" s="1720"/>
      <c r="L2152" s="1712"/>
      <c r="M2152" s="1713"/>
      <c r="N2152" s="1712"/>
      <c r="O2152" s="1712"/>
      <c r="P2152" s="1712"/>
      <c r="Q2152" s="1712"/>
      <c r="R2152" s="1721"/>
      <c r="S2152" s="1712"/>
      <c r="T2152" s="1712"/>
      <c r="U2152" s="1714"/>
    </row>
    <row r="2153" spans="2:21" ht="12" hidden="1" customHeight="1" outlineLevel="1" collapsed="1">
      <c r="B2153" s="3155" t="s">
        <v>1767</v>
      </c>
      <c r="C2153" s="3155"/>
      <c r="D2153" s="1051">
        <v>0</v>
      </c>
      <c r="E2153" s="1051"/>
      <c r="F2153" s="1051" t="str">
        <f t="shared" ref="F2153:F2154" si="184">IF(I2153&lt;&gt;"",I2153&amp;IF(L2153&lt;&gt;"",", "&amp;L2153,"")&amp;IF(K2153&lt;&gt;"",", "&amp;K2153,""),"")</f>
        <v/>
      </c>
      <c r="G2153" s="1055" t="str">
        <f t="shared" ref="G2153:G2154" si="185">IF(F2153&lt;&gt;"",F2153&amp;IF(J2153&lt;&gt;"","; "&amp;J2153,"")&amp;IF(N2153&lt;&gt;"",", "&amp;N2153,""),"")</f>
        <v/>
      </c>
      <c r="I2153" s="1711"/>
      <c r="J2153" s="1712"/>
      <c r="K2153" s="1720"/>
      <c r="L2153" s="1712"/>
      <c r="M2153" s="1713"/>
      <c r="N2153" s="1712"/>
      <c r="O2153" s="1712"/>
      <c r="P2153" s="1712"/>
      <c r="Q2153" s="1712"/>
      <c r="R2153" s="1721"/>
      <c r="S2153" s="1712"/>
      <c r="T2153" s="1712"/>
      <c r="U2153" s="1714"/>
    </row>
    <row r="2154" spans="2:21" hidden="1" outlineLevel="2">
      <c r="B2154" s="1050">
        <v>1</v>
      </c>
      <c r="C2154" s="1050" t="str">
        <f t="shared" ref="C2154:C2169" si="186">IF(ISNA(VLOOKUP(B2154,$D$2154:$E$2181,2,FALSE)),"-",VLOOKUP(B2154,$D$2154:$E$2181,2,FALSE))</f>
        <v>centrale charbon, France continentale, Base Carbone</v>
      </c>
      <c r="D2154" s="1051">
        <f>D2153+IF(LEN(E2154)=0,0,1)</f>
        <v>1</v>
      </c>
      <c r="E2154" s="1051" t="str">
        <f>IF(COUNTIF(E$2153:E2153,F2154)&gt;0,"",F2154)</f>
        <v>centrale charbon, France continentale, Base Carbone</v>
      </c>
      <c r="F2154" s="1051" t="str">
        <f t="shared" si="184"/>
        <v>centrale charbon, France continentale, Base Carbone</v>
      </c>
      <c r="G2154" s="1055" t="str">
        <f t="shared" si="185"/>
        <v>centrale charbon, France continentale, Base Carbone; kgCO2e/kWh, Combustion</v>
      </c>
      <c r="I2154" s="2018" t="s">
        <v>3125</v>
      </c>
      <c r="J2154" s="1135" t="s">
        <v>1681</v>
      </c>
      <c r="K2154" s="1119" t="s">
        <v>1567</v>
      </c>
      <c r="L2154" s="1135" t="s">
        <v>1571</v>
      </c>
      <c r="M2154" s="1134">
        <v>0.1</v>
      </c>
      <c r="N2154" s="1135" t="s">
        <v>1569</v>
      </c>
      <c r="O2154" s="1135">
        <v>0.96899999999999997</v>
      </c>
      <c r="P2154" s="1119">
        <v>0.96899999999999997</v>
      </c>
      <c r="Q2154" s="1135">
        <v>0</v>
      </c>
      <c r="R2154" s="1135">
        <v>0</v>
      </c>
      <c r="S2154" s="1135">
        <v>0</v>
      </c>
      <c r="T2154" s="1135">
        <v>0</v>
      </c>
      <c r="U2154" s="2041">
        <v>0</v>
      </c>
    </row>
    <row r="2155" spans="2:21" hidden="1" outlineLevel="2">
      <c r="B2155" s="1050">
        <v>2</v>
      </c>
      <c r="C2155" s="1050" t="str">
        <f t="shared" si="186"/>
        <v>centrale fioul , France continentale, Base Carbone</v>
      </c>
      <c r="D2155" s="1051">
        <f t="shared" ref="D2155:D2179" si="187">D2154+IF(LEN(E2155)=0,0,1)</f>
        <v>1</v>
      </c>
      <c r="E2155" s="1051" t="str">
        <f>IF(COUNTIF(E$2153:E2154,F2155)&gt;0,"",F2155)</f>
        <v/>
      </c>
      <c r="F2155" s="1051" t="str">
        <f t="shared" ref="F2155:F2179" si="188">IF(I2155&lt;&gt;"",I2155&amp;IF(L2155&lt;&gt;"",", "&amp;L2155,"")&amp;IF(K2155&lt;&gt;"",", "&amp;K2155,""),"")</f>
        <v>centrale charbon, France continentale, Base Carbone</v>
      </c>
      <c r="G2155" s="1055" t="str">
        <f t="shared" ref="G2155:G2179" si="189">IF(F2155&lt;&gt;"",F2155&amp;IF(J2155&lt;&gt;"","; "&amp;J2155,"")&amp;IF(N2155&lt;&gt;"",", "&amp;N2155,""),"")</f>
        <v>centrale charbon, France continentale, Base Carbone; kgCO2e/kWh, Amont</v>
      </c>
      <c r="I2155" s="2018" t="s">
        <v>3125</v>
      </c>
      <c r="J2155" s="1135" t="s">
        <v>1681</v>
      </c>
      <c r="K2155" s="1119" t="s">
        <v>1567</v>
      </c>
      <c r="L2155" s="1119" t="s">
        <v>1571</v>
      </c>
      <c r="M2155" s="1134">
        <v>0.1</v>
      </c>
      <c r="N2155" s="1119" t="s">
        <v>1570</v>
      </c>
      <c r="O2155" s="1135">
        <v>8.8999999999999996E-2</v>
      </c>
      <c r="P2155" s="1119">
        <v>8.8999999999999996E-2</v>
      </c>
      <c r="Q2155" s="1119">
        <v>0</v>
      </c>
      <c r="R2155" s="1119">
        <v>0</v>
      </c>
      <c r="S2155" s="1119">
        <v>0</v>
      </c>
      <c r="T2155" s="1135">
        <v>0</v>
      </c>
      <c r="U2155" s="2041">
        <v>0</v>
      </c>
    </row>
    <row r="2156" spans="2:21" hidden="1" outlineLevel="2">
      <c r="B2156" s="1050">
        <v>3</v>
      </c>
      <c r="C2156" s="1050" t="str">
        <f t="shared" si="186"/>
        <v>centrale gaz, France continentale, Base Carbone</v>
      </c>
      <c r="D2156" s="1051">
        <f t="shared" si="187"/>
        <v>2</v>
      </c>
      <c r="E2156" s="1051" t="str">
        <f>IF(COUNTIF(E$2153:E2155,F2156)&gt;0,"",F2156)</f>
        <v>centrale fioul , France continentale, Base Carbone</v>
      </c>
      <c r="F2156" s="1051" t="str">
        <f t="shared" si="188"/>
        <v>centrale fioul , France continentale, Base Carbone</v>
      </c>
      <c r="G2156" s="1055" t="str">
        <f t="shared" si="189"/>
        <v>centrale fioul , France continentale, Base Carbone; kgCO2e/kWh, Combustion</v>
      </c>
      <c r="I2156" s="2018" t="s">
        <v>3126</v>
      </c>
      <c r="J2156" s="1135" t="s">
        <v>1681</v>
      </c>
      <c r="K2156" s="1119" t="s">
        <v>1567</v>
      </c>
      <c r="L2156" s="1119" t="s">
        <v>1571</v>
      </c>
      <c r="M2156" s="1134">
        <v>0.1</v>
      </c>
      <c r="N2156" s="1119" t="s">
        <v>1569</v>
      </c>
      <c r="O2156" s="1135">
        <v>0.628</v>
      </c>
      <c r="P2156" s="1119">
        <v>0.628</v>
      </c>
      <c r="Q2156" s="1135">
        <v>0</v>
      </c>
      <c r="R2156" s="1135">
        <v>0</v>
      </c>
      <c r="S2156" s="1135">
        <v>0</v>
      </c>
      <c r="T2156" s="1135">
        <v>0</v>
      </c>
      <c r="U2156" s="2041">
        <v>0</v>
      </c>
    </row>
    <row r="2157" spans="2:21" hidden="1" outlineLevel="2">
      <c r="B2157" s="1050">
        <v>4</v>
      </c>
      <c r="C2157" s="1050" t="str">
        <f t="shared" si="186"/>
        <v>centrale nucléaire, France continentale, Base Carbone</v>
      </c>
      <c r="D2157" s="1051">
        <f t="shared" si="187"/>
        <v>2</v>
      </c>
      <c r="E2157" s="1051" t="str">
        <f>IF(COUNTIF(E$2153:E2156,F2157)&gt;0,"",F2157)</f>
        <v/>
      </c>
      <c r="F2157" s="1051" t="str">
        <f t="shared" si="188"/>
        <v>centrale fioul , France continentale, Base Carbone</v>
      </c>
      <c r="G2157" s="1055" t="str">
        <f t="shared" si="189"/>
        <v>centrale fioul , France continentale, Base Carbone; kgCO2e/kWh, Amont</v>
      </c>
      <c r="I2157" s="2018" t="s">
        <v>3126</v>
      </c>
      <c r="J2157" s="1135" t="s">
        <v>1681</v>
      </c>
      <c r="K2157" s="1119" t="s">
        <v>1567</v>
      </c>
      <c r="L2157" s="1119" t="s">
        <v>1571</v>
      </c>
      <c r="M2157" s="1134">
        <v>0.1</v>
      </c>
      <c r="N2157" s="1119" t="s">
        <v>1570</v>
      </c>
      <c r="O2157" s="1135">
        <v>0.10199999999999999</v>
      </c>
      <c r="P2157" s="1119">
        <v>0.10199999999999999</v>
      </c>
      <c r="Q2157" s="1135">
        <v>0</v>
      </c>
      <c r="R2157" s="1135">
        <v>0</v>
      </c>
      <c r="S2157" s="1135">
        <v>0</v>
      </c>
      <c r="T2157" s="1135">
        <v>0</v>
      </c>
      <c r="U2157" s="2041">
        <v>0</v>
      </c>
    </row>
    <row r="2158" spans="2:21" hidden="1" outlineLevel="2">
      <c r="B2158" s="1050">
        <v>5</v>
      </c>
      <c r="C2158" s="1050" t="str">
        <f t="shared" si="186"/>
        <v>éolien en mer, France continentale, Base Carbone</v>
      </c>
      <c r="D2158" s="1051">
        <f t="shared" si="187"/>
        <v>3</v>
      </c>
      <c r="E2158" s="1051" t="str">
        <f>IF(COUNTIF(E$2153:E2157,F2158)&gt;0,"",F2158)</f>
        <v>centrale gaz, France continentale, Base Carbone</v>
      </c>
      <c r="F2158" s="1051" t="str">
        <f t="shared" si="188"/>
        <v>centrale gaz, France continentale, Base Carbone</v>
      </c>
      <c r="G2158" s="1055" t="str">
        <f t="shared" si="189"/>
        <v>centrale gaz, France continentale, Base Carbone; kgCO2e/kWh, Combustion</v>
      </c>
      <c r="I2158" s="2018" t="s">
        <v>3127</v>
      </c>
      <c r="J2158" s="1135" t="s">
        <v>1681</v>
      </c>
      <c r="K2158" s="1119" t="s">
        <v>1567</v>
      </c>
      <c r="L2158" s="1119" t="s">
        <v>1571</v>
      </c>
      <c r="M2158" s="1134">
        <v>0.1</v>
      </c>
      <c r="N2158" s="1119" t="s">
        <v>1569</v>
      </c>
      <c r="O2158" s="1135">
        <v>0.35099999999999998</v>
      </c>
      <c r="P2158" s="1119">
        <v>0.35099999999999998</v>
      </c>
      <c r="Q2158" s="1135">
        <v>0</v>
      </c>
      <c r="R2158" s="1135">
        <v>0</v>
      </c>
      <c r="S2158" s="1135">
        <v>0</v>
      </c>
      <c r="T2158" s="1135">
        <v>0</v>
      </c>
      <c r="U2158" s="2041">
        <v>0</v>
      </c>
    </row>
    <row r="2159" spans="2:21" hidden="1" outlineLevel="2">
      <c r="B2159" s="1050">
        <v>6</v>
      </c>
      <c r="C2159" s="1050" t="str">
        <f t="shared" si="186"/>
        <v>éolien terrestre, France continentale, Base Carbone</v>
      </c>
      <c r="D2159" s="1051">
        <f t="shared" si="187"/>
        <v>3</v>
      </c>
      <c r="E2159" s="1051" t="str">
        <f>IF(COUNTIF(E$2153:E2158,F2159)&gt;0,"",F2159)</f>
        <v/>
      </c>
      <c r="F2159" s="1051" t="str">
        <f t="shared" si="188"/>
        <v>centrale gaz, France continentale, Base Carbone</v>
      </c>
      <c r="G2159" s="1055" t="str">
        <f t="shared" si="189"/>
        <v>centrale gaz, France continentale, Base Carbone; kgCO2e/kWh, Amont</v>
      </c>
      <c r="I2159" s="2018" t="s">
        <v>3127</v>
      </c>
      <c r="J2159" s="1135" t="s">
        <v>1681</v>
      </c>
      <c r="K2159" s="1119" t="s">
        <v>1567</v>
      </c>
      <c r="L2159" s="1119" t="s">
        <v>1571</v>
      </c>
      <c r="M2159" s="1134">
        <v>0.1</v>
      </c>
      <c r="N2159" s="1119" t="s">
        <v>1570</v>
      </c>
      <c r="O2159" s="1135">
        <v>6.7000000000000004E-2</v>
      </c>
      <c r="P2159" s="1119">
        <v>6.7000000000000004E-2</v>
      </c>
      <c r="Q2159" s="1119">
        <v>0</v>
      </c>
      <c r="R2159" s="1119">
        <v>0</v>
      </c>
      <c r="S2159" s="1119">
        <v>0</v>
      </c>
      <c r="T2159" s="1119">
        <v>0</v>
      </c>
      <c r="U2159" s="2041">
        <v>0</v>
      </c>
    </row>
    <row r="2160" spans="2:21" hidden="1" outlineLevel="2">
      <c r="B2160" s="1050">
        <v>7</v>
      </c>
      <c r="C2160" s="1050" t="str">
        <f t="shared" si="186"/>
        <v>géothermie, France continentale, Base Carbone</v>
      </c>
      <c r="D2160" s="1051">
        <f t="shared" si="187"/>
        <v>4</v>
      </c>
      <c r="E2160" s="1051" t="str">
        <f>IF(COUNTIF(E$2153:E2159,F2160)&gt;0,"",F2160)</f>
        <v>centrale nucléaire, France continentale, Base Carbone</v>
      </c>
      <c r="F2160" s="1051" t="str">
        <f t="shared" si="188"/>
        <v>centrale nucléaire, France continentale, Base Carbone</v>
      </c>
      <c r="G2160" s="1055" t="str">
        <f t="shared" si="189"/>
        <v>centrale nucléaire, France continentale, Base Carbone; kgCO2e/kWh, Combustion</v>
      </c>
      <c r="I2160" s="2018" t="s">
        <v>3128</v>
      </c>
      <c r="J2160" s="1135" t="s">
        <v>1681</v>
      </c>
      <c r="K2160" s="1119" t="s">
        <v>1567</v>
      </c>
      <c r="L2160" s="1119" t="s">
        <v>1571</v>
      </c>
      <c r="M2160" s="1134">
        <v>0.1</v>
      </c>
      <c r="N2160" s="1119" t="s">
        <v>1569</v>
      </c>
      <c r="O2160" s="1135">
        <v>0</v>
      </c>
      <c r="P2160" s="1119">
        <v>0</v>
      </c>
      <c r="Q2160" s="1119">
        <v>0</v>
      </c>
      <c r="R2160" s="1119">
        <v>0</v>
      </c>
      <c r="S2160" s="1119">
        <v>0</v>
      </c>
      <c r="T2160" s="1119">
        <v>0</v>
      </c>
      <c r="U2160" s="2041">
        <v>0</v>
      </c>
    </row>
    <row r="2161" spans="2:21" hidden="1" outlineLevel="2">
      <c r="B2161" s="1050">
        <v>8</v>
      </c>
      <c r="C2161" s="1050" t="str">
        <f t="shared" si="186"/>
        <v>hydraulique, France continentale, Base Carbone</v>
      </c>
      <c r="D2161" s="1051">
        <f t="shared" si="187"/>
        <v>4</v>
      </c>
      <c r="E2161" s="1051" t="str">
        <f>IF(COUNTIF(E$2153:E2160,F2161)&gt;0,"",F2161)</f>
        <v/>
      </c>
      <c r="F2161" s="1051" t="str">
        <f t="shared" si="188"/>
        <v>centrale nucléaire, France continentale, Base Carbone</v>
      </c>
      <c r="G2161" s="1055" t="str">
        <f t="shared" si="189"/>
        <v>centrale nucléaire, France continentale, Base Carbone; kgCO2e/kWh, Amont</v>
      </c>
      <c r="I2161" s="2018" t="s">
        <v>3128</v>
      </c>
      <c r="J2161" s="1135" t="s">
        <v>1681</v>
      </c>
      <c r="K2161" s="1119" t="s">
        <v>1567</v>
      </c>
      <c r="L2161" s="1119" t="s">
        <v>1571</v>
      </c>
      <c r="M2161" s="1134">
        <v>0.1</v>
      </c>
      <c r="N2161" s="1119" t="s">
        <v>1570</v>
      </c>
      <c r="O2161" s="1135">
        <v>6.0000000000000001E-3</v>
      </c>
      <c r="P2161" s="1119">
        <v>6.0000000000000001E-3</v>
      </c>
      <c r="Q2161" s="1119">
        <v>0</v>
      </c>
      <c r="R2161" s="1119">
        <v>0</v>
      </c>
      <c r="S2161" s="1119">
        <v>0</v>
      </c>
      <c r="T2161" s="1119">
        <v>0</v>
      </c>
      <c r="U2161" s="2041">
        <v>0</v>
      </c>
    </row>
    <row r="2162" spans="2:21" hidden="1" outlineLevel="2">
      <c r="B2162" s="1050">
        <v>9</v>
      </c>
      <c r="C2162" s="1050" t="str">
        <f t="shared" si="186"/>
        <v>photovoltaïque - fabrication Chine (par défaut utilisé en France), France continentale, Base Carbone</v>
      </c>
      <c r="D2162" s="1051">
        <f t="shared" si="187"/>
        <v>5</v>
      </c>
      <c r="E2162" s="1051" t="str">
        <f>IF(COUNTIF(E$2153:E2161,F2162)&gt;0,"",F2162)</f>
        <v>éolien en mer, France continentale, Base Carbone</v>
      </c>
      <c r="F2162" s="1051" t="str">
        <f t="shared" si="188"/>
        <v>éolien en mer, France continentale, Base Carbone</v>
      </c>
      <c r="G2162" s="1055" t="str">
        <f t="shared" si="189"/>
        <v>éolien en mer, France continentale, Base Carbone; kgCo2e/kWh, Combustion</v>
      </c>
      <c r="I2162" s="2018" t="s">
        <v>2808</v>
      </c>
      <c r="J2162" s="1135" t="s">
        <v>3124</v>
      </c>
      <c r="K2162" s="1119" t="s">
        <v>1567</v>
      </c>
      <c r="L2162" s="1119" t="s">
        <v>1571</v>
      </c>
      <c r="M2162" s="1134">
        <v>0.5</v>
      </c>
      <c r="N2162" s="1119" t="s">
        <v>1569</v>
      </c>
      <c r="O2162" s="1135">
        <v>0</v>
      </c>
      <c r="P2162" s="2017">
        <v>0</v>
      </c>
      <c r="Q2162" s="1119">
        <v>0</v>
      </c>
      <c r="R2162" s="1119">
        <v>0</v>
      </c>
      <c r="S2162" s="1119">
        <v>0</v>
      </c>
      <c r="T2162" s="1119">
        <v>0</v>
      </c>
      <c r="U2162" s="2041">
        <v>0</v>
      </c>
    </row>
    <row r="2163" spans="2:21" hidden="1" outlineLevel="2">
      <c r="B2163" s="1050">
        <v>10</v>
      </c>
      <c r="C2163" s="1050" t="str">
        <f t="shared" si="186"/>
        <v>photovoltaïque - fabrication Europe, France continentale, Base Carbone</v>
      </c>
      <c r="D2163" s="1051">
        <f t="shared" si="187"/>
        <v>5</v>
      </c>
      <c r="E2163" s="1051" t="str">
        <f>IF(COUNTIF(E$2153:E2162,F2163)&gt;0,"",F2163)</f>
        <v/>
      </c>
      <c r="F2163" s="1051" t="str">
        <f t="shared" si="188"/>
        <v>éolien en mer, France continentale, Base Carbone</v>
      </c>
      <c r="G2163" s="1055" t="str">
        <f t="shared" si="189"/>
        <v>éolien en mer, France continentale, Base Carbone; kgCO2e/kWh, Amont</v>
      </c>
      <c r="I2163" s="2018" t="s">
        <v>2808</v>
      </c>
      <c r="J2163" s="1135" t="s">
        <v>1681</v>
      </c>
      <c r="K2163" s="1119" t="s">
        <v>1567</v>
      </c>
      <c r="L2163" s="1135" t="s">
        <v>1571</v>
      </c>
      <c r="M2163" s="1134">
        <v>0.5</v>
      </c>
      <c r="N2163" s="1135" t="s">
        <v>1570</v>
      </c>
      <c r="O2163" s="1135">
        <v>1.5599999999999999E-2</v>
      </c>
      <c r="P2163" s="2017">
        <v>1.5599999999999999E-2</v>
      </c>
      <c r="Q2163" s="1135">
        <v>0</v>
      </c>
      <c r="R2163" s="1135">
        <v>0</v>
      </c>
      <c r="S2163" s="1135">
        <v>0</v>
      </c>
      <c r="T2163" s="1135">
        <v>0</v>
      </c>
      <c r="U2163" s="2041">
        <v>0</v>
      </c>
    </row>
    <row r="2164" spans="2:21" hidden="1" outlineLevel="2">
      <c r="B2164" s="1050">
        <v>11</v>
      </c>
      <c r="C2164" s="1050" t="str">
        <f t="shared" si="186"/>
        <v>photovoltaïque - fabrication France, France continentale, Base Carbone</v>
      </c>
      <c r="D2164" s="1051">
        <f t="shared" si="187"/>
        <v>6</v>
      </c>
      <c r="E2164" s="1051" t="str">
        <f>IF(COUNTIF(E$2153:E2163,F2164)&gt;0,"",F2164)</f>
        <v>éolien terrestre, France continentale, Base Carbone</v>
      </c>
      <c r="F2164" s="1051" t="str">
        <f t="shared" si="188"/>
        <v>éolien terrestre, France continentale, Base Carbone</v>
      </c>
      <c r="G2164" s="1055" t="str">
        <f t="shared" si="189"/>
        <v>éolien terrestre, France continentale, Base Carbone; kgCO2e/kWh, Combustion</v>
      </c>
      <c r="I2164" s="2018" t="s">
        <v>2809</v>
      </c>
      <c r="J2164" s="1135" t="s">
        <v>1681</v>
      </c>
      <c r="K2164" s="1119" t="s">
        <v>1567</v>
      </c>
      <c r="L2164" s="1135" t="s">
        <v>1571</v>
      </c>
      <c r="M2164" s="1134">
        <v>0.5</v>
      </c>
      <c r="N2164" s="1135" t="s">
        <v>1569</v>
      </c>
      <c r="O2164" s="1135">
        <v>0</v>
      </c>
      <c r="P2164" s="2017">
        <v>0</v>
      </c>
      <c r="Q2164" s="1135">
        <v>0</v>
      </c>
      <c r="R2164" s="1135">
        <v>0</v>
      </c>
      <c r="S2164" s="1135">
        <v>0</v>
      </c>
      <c r="T2164" s="1135">
        <v>0</v>
      </c>
      <c r="U2164" s="2041">
        <v>0</v>
      </c>
    </row>
    <row r="2165" spans="2:21" hidden="1" outlineLevel="2">
      <c r="B2165" s="1050">
        <v>12</v>
      </c>
      <c r="C2165" s="1050" t="str">
        <f t="shared" si="186"/>
        <v>-</v>
      </c>
      <c r="D2165" s="1051">
        <f t="shared" si="187"/>
        <v>6</v>
      </c>
      <c r="E2165" s="1051" t="str">
        <f>IF(COUNTIF(E$2153:E2164,F2165)&gt;0,"",F2165)</f>
        <v/>
      </c>
      <c r="F2165" s="1051" t="str">
        <f t="shared" si="188"/>
        <v>éolien terrestre, France continentale, Base Carbone</v>
      </c>
      <c r="G2165" s="1055" t="str">
        <f t="shared" si="189"/>
        <v>éolien terrestre, France continentale, Base Carbone; kgCO2e/kWh, Amont</v>
      </c>
      <c r="I2165" s="2018" t="s">
        <v>2809</v>
      </c>
      <c r="J2165" s="1135" t="s">
        <v>1681</v>
      </c>
      <c r="K2165" s="1119" t="s">
        <v>1567</v>
      </c>
      <c r="L2165" s="1135" t="s">
        <v>1571</v>
      </c>
      <c r="M2165" s="1134">
        <v>0.5</v>
      </c>
      <c r="N2165" s="1135" t="s">
        <v>1570</v>
      </c>
      <c r="O2165" s="1135">
        <v>1.41E-2</v>
      </c>
      <c r="P2165" s="2017">
        <v>1.41E-2</v>
      </c>
      <c r="Q2165" s="1135">
        <v>0</v>
      </c>
      <c r="R2165" s="1135">
        <v>0</v>
      </c>
      <c r="S2165" s="1135">
        <v>0</v>
      </c>
      <c r="T2165" s="1135">
        <v>0</v>
      </c>
      <c r="U2165" s="2041">
        <v>0</v>
      </c>
    </row>
    <row r="2166" spans="2:21" hidden="1" outlineLevel="2">
      <c r="B2166" s="1050">
        <v>13</v>
      </c>
      <c r="C2166" s="1050" t="str">
        <f t="shared" si="186"/>
        <v>-</v>
      </c>
      <c r="D2166" s="1051">
        <f t="shared" si="187"/>
        <v>7</v>
      </c>
      <c r="E2166" s="1051" t="str">
        <f>IF(COUNTIF(E$2153:E2165,F2166)&gt;0,"",F2166)</f>
        <v>géothermie, France continentale, Base Carbone</v>
      </c>
      <c r="F2166" s="1051" t="str">
        <f t="shared" si="188"/>
        <v>géothermie, France continentale, Base Carbone</v>
      </c>
      <c r="G2166" s="1055" t="str">
        <f t="shared" si="189"/>
        <v>géothermie, France continentale, Base Carbone; kgCO2e/kWh, Combustion</v>
      </c>
      <c r="I2166" s="1100" t="s">
        <v>1756</v>
      </c>
      <c r="J2166" s="1048" t="s">
        <v>1681</v>
      </c>
      <c r="K2166" s="1119" t="s">
        <v>1567</v>
      </c>
      <c r="L2166" s="1048" t="s">
        <v>1571</v>
      </c>
      <c r="M2166" s="1101">
        <v>0.5</v>
      </c>
      <c r="N2166" s="1048" t="s">
        <v>1569</v>
      </c>
      <c r="O2166" s="1048">
        <v>0</v>
      </c>
      <c r="P2166" s="1048">
        <v>0</v>
      </c>
      <c r="Q2166" s="1048">
        <v>0</v>
      </c>
      <c r="R2166" s="1048">
        <v>0</v>
      </c>
      <c r="S2166" s="1048">
        <v>0</v>
      </c>
      <c r="T2166" s="1048">
        <v>0</v>
      </c>
      <c r="U2166" s="1102">
        <v>0</v>
      </c>
    </row>
    <row r="2167" spans="2:21" hidden="1" outlineLevel="2">
      <c r="B2167" s="1050">
        <v>14</v>
      </c>
      <c r="C2167" s="1050" t="str">
        <f t="shared" si="186"/>
        <v>-</v>
      </c>
      <c r="D2167" s="1051">
        <f t="shared" si="187"/>
        <v>7</v>
      </c>
      <c r="E2167" s="1051" t="str">
        <f>IF(COUNTIF(E$2153:E2166,F2167)&gt;0,"",F2167)</f>
        <v/>
      </c>
      <c r="F2167" s="1051" t="str">
        <f t="shared" si="188"/>
        <v>géothermie, France continentale, Base Carbone</v>
      </c>
      <c r="G2167" s="1055" t="str">
        <f t="shared" si="189"/>
        <v>géothermie, France continentale, Base Carbone; kgCO2e/kWh, Amont</v>
      </c>
      <c r="I2167" s="1100" t="s">
        <v>1756</v>
      </c>
      <c r="J2167" s="1048" t="s">
        <v>1681</v>
      </c>
      <c r="K2167" s="1119" t="s">
        <v>1567</v>
      </c>
      <c r="L2167" s="1048" t="s">
        <v>1571</v>
      </c>
      <c r="M2167" s="1101">
        <v>0.5</v>
      </c>
      <c r="N2167" s="1048" t="s">
        <v>1570</v>
      </c>
      <c r="O2167" s="1048">
        <v>4.4999999999999998E-2</v>
      </c>
      <c r="P2167" s="1048">
        <v>4.4999999999999998E-2</v>
      </c>
      <c r="Q2167" s="1048">
        <v>0</v>
      </c>
      <c r="R2167" s="1048">
        <v>0</v>
      </c>
      <c r="S2167" s="1048">
        <v>0</v>
      </c>
      <c r="T2167" s="1048">
        <v>0</v>
      </c>
      <c r="U2167" s="1102">
        <v>0</v>
      </c>
    </row>
    <row r="2168" spans="2:21" hidden="1" outlineLevel="2">
      <c r="B2168" s="1050">
        <v>15</v>
      </c>
      <c r="C2168" s="1050" t="str">
        <f t="shared" si="186"/>
        <v>-</v>
      </c>
      <c r="D2168" s="1051">
        <f t="shared" si="187"/>
        <v>8</v>
      </c>
      <c r="E2168" s="1051" t="str">
        <f>IF(COUNTIF(E$2153:E2167,F2168)&gt;0,"",F2168)</f>
        <v>hydraulique, France continentale, Base Carbone</v>
      </c>
      <c r="F2168" s="1051" t="str">
        <f t="shared" si="188"/>
        <v>hydraulique, France continentale, Base Carbone</v>
      </c>
      <c r="G2168" s="1055" t="str">
        <f t="shared" si="189"/>
        <v>hydraulique, France continentale, Base Carbone; kgCO2e/kWh, Combustion</v>
      </c>
      <c r="I2168" s="1100" t="s">
        <v>1757</v>
      </c>
      <c r="J2168" s="1048" t="s">
        <v>1681</v>
      </c>
      <c r="K2168" s="1119" t="s">
        <v>1567</v>
      </c>
      <c r="L2168" s="1048" t="s">
        <v>1571</v>
      </c>
      <c r="M2168" s="1101">
        <v>0.5</v>
      </c>
      <c r="N2168" s="1048" t="s">
        <v>1569</v>
      </c>
      <c r="O2168" s="1048">
        <v>0</v>
      </c>
      <c r="P2168" s="1048">
        <v>0</v>
      </c>
      <c r="Q2168" s="1048">
        <v>0</v>
      </c>
      <c r="R2168" s="1048">
        <v>0</v>
      </c>
      <c r="S2168" s="1048">
        <v>0</v>
      </c>
      <c r="T2168" s="1048">
        <v>0</v>
      </c>
      <c r="U2168" s="1102">
        <v>0</v>
      </c>
    </row>
    <row r="2169" spans="2:21" hidden="1" outlineLevel="2">
      <c r="B2169" s="1050">
        <v>16</v>
      </c>
      <c r="C2169" s="1050" t="str">
        <f t="shared" si="186"/>
        <v>-</v>
      </c>
      <c r="D2169" s="1051">
        <f t="shared" si="187"/>
        <v>8</v>
      </c>
      <c r="E2169" s="1051" t="str">
        <f>IF(COUNTIF(E$2153:E2168,F2169)&gt;0,"",F2169)</f>
        <v/>
      </c>
      <c r="F2169" s="1051" t="str">
        <f t="shared" si="188"/>
        <v>hydraulique, France continentale, Base Carbone</v>
      </c>
      <c r="G2169" s="1055" t="str">
        <f t="shared" si="189"/>
        <v>hydraulique, France continentale, Base Carbone; kgCO2e/kWh, Amont</v>
      </c>
      <c r="I2169" s="1100" t="s">
        <v>1757</v>
      </c>
      <c r="J2169" s="1048" t="s">
        <v>1681</v>
      </c>
      <c r="K2169" s="1119" t="s">
        <v>1567</v>
      </c>
      <c r="L2169" s="1048" t="s">
        <v>1571</v>
      </c>
      <c r="M2169" s="1101">
        <v>0.5</v>
      </c>
      <c r="N2169" s="1048" t="s">
        <v>1570</v>
      </c>
      <c r="O2169" s="1048">
        <v>6.0000000000000001E-3</v>
      </c>
      <c r="P2169" s="1048">
        <v>6.0000000000000001E-3</v>
      </c>
      <c r="Q2169" s="1048">
        <v>0</v>
      </c>
      <c r="R2169" s="1048">
        <v>0</v>
      </c>
      <c r="S2169" s="1048">
        <v>0</v>
      </c>
      <c r="T2169" s="1048">
        <v>0</v>
      </c>
      <c r="U2169" s="1102">
        <v>0</v>
      </c>
    </row>
    <row r="2170" spans="2:21" hidden="1" outlineLevel="2">
      <c r="B2170" s="2058"/>
      <c r="C2170" s="2058"/>
      <c r="D2170" s="1051">
        <f t="shared" si="187"/>
        <v>9</v>
      </c>
      <c r="E2170" s="1051" t="str">
        <f>IF(COUNTIF(E$2153:E2169,F2170)&gt;0,"",F2170)</f>
        <v>photovoltaïque - fabrication Chine (par défaut utilisé en France), France continentale, Base Carbone</v>
      </c>
      <c r="F2170" s="1051" t="str">
        <f t="shared" si="188"/>
        <v>photovoltaïque - fabrication Chine (par défaut utilisé en France), France continentale, Base Carbone</v>
      </c>
      <c r="G2170" s="1055" t="str">
        <f t="shared" si="189"/>
        <v>photovoltaïque - fabrication Chine (par défaut utilisé en France), France continentale, Base Carbone; kgCO2e/kWh, Combustion</v>
      </c>
      <c r="I2170" s="2018" t="s">
        <v>5015</v>
      </c>
      <c r="J2170" s="1135" t="s">
        <v>1681</v>
      </c>
      <c r="K2170" s="1119" t="s">
        <v>1567</v>
      </c>
      <c r="L2170" s="1135" t="s">
        <v>1571</v>
      </c>
      <c r="M2170" s="1134">
        <v>0.3</v>
      </c>
      <c r="N2170" s="2017" t="s">
        <v>1569</v>
      </c>
      <c r="O2170" s="2017">
        <v>0</v>
      </c>
      <c r="P2170" s="2017">
        <v>0</v>
      </c>
      <c r="Q2170" s="2017">
        <v>0</v>
      </c>
      <c r="R2170" s="2017">
        <v>0</v>
      </c>
      <c r="S2170" s="2017">
        <v>0</v>
      </c>
      <c r="T2170" s="2017">
        <v>0</v>
      </c>
      <c r="U2170" s="2042">
        <v>0</v>
      </c>
    </row>
    <row r="2171" spans="2:21" hidden="1" outlineLevel="2">
      <c r="B2171" s="2058"/>
      <c r="C2171" s="2058"/>
      <c r="D2171" s="1051">
        <f t="shared" si="187"/>
        <v>9</v>
      </c>
      <c r="E2171" s="1051" t="str">
        <f>IF(COUNTIF(E$2153:E2170,F2171)&gt;0,"",F2171)</f>
        <v/>
      </c>
      <c r="F2171" s="1051" t="str">
        <f t="shared" si="188"/>
        <v>photovoltaïque - fabrication Chine (par défaut utilisé en France), France continentale, Base Carbone</v>
      </c>
      <c r="G2171" s="1055" t="str">
        <f t="shared" si="189"/>
        <v>photovoltaïque - fabrication Chine (par défaut utilisé en France), France continentale, Base Carbone; kgCO2e/kWh, Amont</v>
      </c>
      <c r="I2171" s="2018" t="s">
        <v>5015</v>
      </c>
      <c r="J2171" s="1135" t="s">
        <v>1681</v>
      </c>
      <c r="K2171" s="1119" t="s">
        <v>1567</v>
      </c>
      <c r="L2171" s="1135" t="s">
        <v>1571</v>
      </c>
      <c r="M2171" s="1134">
        <v>0.3</v>
      </c>
      <c r="N2171" s="2017" t="s">
        <v>1570</v>
      </c>
      <c r="O2171" s="1135">
        <v>4.3900000000000002E-2</v>
      </c>
      <c r="P2171" s="2017">
        <v>4.3900000000000002E-2</v>
      </c>
      <c r="Q2171" s="2017">
        <v>0</v>
      </c>
      <c r="R2171" s="2017">
        <v>0</v>
      </c>
      <c r="S2171" s="2017">
        <v>0</v>
      </c>
      <c r="T2171" s="2017">
        <v>0</v>
      </c>
      <c r="U2171" s="2042">
        <v>0</v>
      </c>
    </row>
    <row r="2172" spans="2:21" hidden="1" outlineLevel="2">
      <c r="B2172" s="2058"/>
      <c r="C2172" s="2058"/>
      <c r="D2172" s="1051">
        <f t="shared" si="187"/>
        <v>10</v>
      </c>
      <c r="E2172" s="1051" t="str">
        <f>IF(COUNTIF(E$2153:E2171,F2172)&gt;0,"",F2172)</f>
        <v>photovoltaïque - fabrication Europe, France continentale, Base Carbone</v>
      </c>
      <c r="F2172" s="1051" t="str">
        <f t="shared" si="188"/>
        <v>photovoltaïque - fabrication Europe, France continentale, Base Carbone</v>
      </c>
      <c r="G2172" s="1055" t="str">
        <f t="shared" si="189"/>
        <v>photovoltaïque - fabrication Europe, France continentale, Base Carbone; kgCO2e/kWh, Combustion</v>
      </c>
      <c r="I2172" s="2018" t="s">
        <v>5016</v>
      </c>
      <c r="J2172" s="1135" t="s">
        <v>1681</v>
      </c>
      <c r="K2172" s="1119" t="s">
        <v>1567</v>
      </c>
      <c r="L2172" s="1135" t="s">
        <v>1571</v>
      </c>
      <c r="M2172" s="1134">
        <v>0.3</v>
      </c>
      <c r="N2172" s="2017" t="s">
        <v>1569</v>
      </c>
      <c r="O2172" s="2017">
        <v>0</v>
      </c>
      <c r="P2172" s="2017">
        <v>0</v>
      </c>
      <c r="Q2172" s="2017">
        <v>0</v>
      </c>
      <c r="R2172" s="2017">
        <v>0</v>
      </c>
      <c r="S2172" s="2017">
        <v>0</v>
      </c>
      <c r="T2172" s="2017">
        <v>0</v>
      </c>
      <c r="U2172" s="2042">
        <v>0</v>
      </c>
    </row>
    <row r="2173" spans="2:21" hidden="1" outlineLevel="2">
      <c r="B2173" s="2058"/>
      <c r="C2173" s="2058"/>
      <c r="D2173" s="1051">
        <f t="shared" si="187"/>
        <v>10</v>
      </c>
      <c r="E2173" s="1051" t="str">
        <f>IF(COUNTIF(E$2153:E2172,F2173)&gt;0,"",F2173)</f>
        <v/>
      </c>
      <c r="F2173" s="1051" t="str">
        <f t="shared" si="188"/>
        <v>photovoltaïque - fabrication Europe, France continentale, Base Carbone</v>
      </c>
      <c r="G2173" s="1055" t="str">
        <f t="shared" si="189"/>
        <v>photovoltaïque - fabrication Europe, France continentale, Base Carbone; kgCO2e/kWh, Amont</v>
      </c>
      <c r="I2173" s="2018" t="s">
        <v>5016</v>
      </c>
      <c r="J2173" s="1135" t="s">
        <v>1681</v>
      </c>
      <c r="K2173" s="1119" t="s">
        <v>1567</v>
      </c>
      <c r="L2173" s="1135" t="s">
        <v>1571</v>
      </c>
      <c r="M2173" s="1134">
        <v>0.3</v>
      </c>
      <c r="N2173" s="2017" t="s">
        <v>1570</v>
      </c>
      <c r="O2173" s="1135">
        <v>3.2300000000000002E-2</v>
      </c>
      <c r="P2173" s="2017">
        <v>3.2300000000000002E-2</v>
      </c>
      <c r="Q2173" s="2017">
        <v>0</v>
      </c>
      <c r="R2173" s="2017">
        <v>0</v>
      </c>
      <c r="S2173" s="2017">
        <v>0</v>
      </c>
      <c r="T2173" s="2017">
        <v>0</v>
      </c>
      <c r="U2173" s="2042">
        <v>0</v>
      </c>
    </row>
    <row r="2174" spans="2:21" hidden="1" outlineLevel="2">
      <c r="B2174" s="2058"/>
      <c r="C2174" s="2058"/>
      <c r="D2174" s="1051">
        <f t="shared" si="187"/>
        <v>11</v>
      </c>
      <c r="E2174" s="1051" t="str">
        <f>IF(COUNTIF(E$2153:E2173,F2174)&gt;0,"",F2174)</f>
        <v>photovoltaïque - fabrication France, France continentale, Base Carbone</v>
      </c>
      <c r="F2174" s="1051" t="str">
        <f t="shared" si="188"/>
        <v>photovoltaïque - fabrication France, France continentale, Base Carbone</v>
      </c>
      <c r="G2174" s="1055" t="str">
        <f t="shared" si="189"/>
        <v>photovoltaïque - fabrication France, France continentale, Base Carbone; kgCO2e/kWh, Combustion</v>
      </c>
      <c r="I2174" s="2018" t="s">
        <v>5017</v>
      </c>
      <c r="J2174" s="1135" t="s">
        <v>1681</v>
      </c>
      <c r="K2174" s="1119" t="s">
        <v>1567</v>
      </c>
      <c r="L2174" s="1135" t="s">
        <v>1571</v>
      </c>
      <c r="M2174" s="1134">
        <v>0.3</v>
      </c>
      <c r="N2174" s="2017" t="s">
        <v>1569</v>
      </c>
      <c r="O2174" s="2017">
        <v>0</v>
      </c>
      <c r="P2174" s="2017">
        <v>0</v>
      </c>
      <c r="Q2174" s="2017">
        <v>0</v>
      </c>
      <c r="R2174" s="2017">
        <v>0</v>
      </c>
      <c r="S2174" s="2017">
        <v>0</v>
      </c>
      <c r="T2174" s="2017">
        <v>0</v>
      </c>
      <c r="U2174" s="2042">
        <v>0</v>
      </c>
    </row>
    <row r="2175" spans="2:21" hidden="1" outlineLevel="2">
      <c r="B2175" s="2058"/>
      <c r="C2175" s="2058"/>
      <c r="D2175" s="1051">
        <f t="shared" si="187"/>
        <v>11</v>
      </c>
      <c r="E2175" s="1051" t="str">
        <f>IF(COUNTIF(E$2153:E2174,F2175)&gt;0,"",F2175)</f>
        <v/>
      </c>
      <c r="F2175" s="1051" t="str">
        <f t="shared" si="188"/>
        <v>photovoltaïque - fabrication France, France continentale, Base Carbone</v>
      </c>
      <c r="G2175" s="1055" t="str">
        <f t="shared" si="189"/>
        <v>photovoltaïque - fabrication France, France continentale, Base Carbone; kgCO2e/kWh, Amont</v>
      </c>
      <c r="I2175" s="2018" t="s">
        <v>5017</v>
      </c>
      <c r="J2175" s="1135" t="s">
        <v>1681</v>
      </c>
      <c r="K2175" s="1119" t="s">
        <v>1567</v>
      </c>
      <c r="L2175" s="1135" t="s">
        <v>1571</v>
      </c>
      <c r="M2175" s="1134">
        <v>0.3</v>
      </c>
      <c r="N2175" s="2017" t="s">
        <v>1570</v>
      </c>
      <c r="O2175" s="1135">
        <v>2.52E-2</v>
      </c>
      <c r="P2175" s="2017">
        <v>2.52E-2</v>
      </c>
      <c r="Q2175" s="2017">
        <v>0</v>
      </c>
      <c r="R2175" s="2017">
        <v>0</v>
      </c>
      <c r="S2175" s="2017">
        <v>0</v>
      </c>
      <c r="T2175" s="2017">
        <v>0</v>
      </c>
      <c r="U2175" s="2042">
        <v>0</v>
      </c>
    </row>
    <row r="2176" spans="2:21" hidden="1" outlineLevel="2">
      <c r="B2176" s="2058"/>
      <c r="C2176" s="2058"/>
      <c r="D2176" s="1051">
        <f t="shared" si="187"/>
        <v>11</v>
      </c>
      <c r="E2176" s="1051" t="str">
        <f>IF(COUNTIF(E$2153:E2175,F2176)&gt;0,"",F2176)</f>
        <v/>
      </c>
      <c r="F2176" s="1051" t="str">
        <f t="shared" si="188"/>
        <v/>
      </c>
      <c r="G2176" s="1055" t="str">
        <f t="shared" si="189"/>
        <v/>
      </c>
      <c r="I2176" s="1100"/>
      <c r="J2176" s="1048"/>
      <c r="K2176" s="1119"/>
      <c r="L2176" s="1048"/>
      <c r="M2176" s="1101"/>
      <c r="N2176" s="1048"/>
      <c r="O2176" s="1048"/>
      <c r="P2176" s="1048"/>
      <c r="Q2176" s="1048"/>
      <c r="R2176" s="1048"/>
      <c r="S2176" s="1048"/>
      <c r="T2176" s="1048"/>
      <c r="U2176" s="1102"/>
    </row>
    <row r="2177" spans="2:21" hidden="1" outlineLevel="2">
      <c r="B2177" s="2058"/>
      <c r="C2177" s="2058"/>
      <c r="D2177" s="1051">
        <f t="shared" si="187"/>
        <v>11</v>
      </c>
      <c r="E2177" s="1051" t="str">
        <f>IF(COUNTIF(E$2153:E2176,F2177)&gt;0,"",F2177)</f>
        <v/>
      </c>
      <c r="F2177" s="1051" t="str">
        <f t="shared" si="188"/>
        <v/>
      </c>
      <c r="G2177" s="1055" t="str">
        <f t="shared" si="189"/>
        <v/>
      </c>
      <c r="I2177" s="1100"/>
      <c r="J2177" s="1048"/>
      <c r="K2177" s="1119"/>
      <c r="L2177" s="1048"/>
      <c r="M2177" s="1101"/>
      <c r="N2177" s="1048"/>
      <c r="O2177" s="1048"/>
      <c r="P2177" s="1048"/>
      <c r="Q2177" s="1048"/>
      <c r="R2177" s="1048"/>
      <c r="S2177" s="1048"/>
      <c r="T2177" s="1048"/>
      <c r="U2177" s="1102"/>
    </row>
    <row r="2178" spans="2:21" hidden="1" outlineLevel="2">
      <c r="D2178" s="1051">
        <f t="shared" si="187"/>
        <v>11</v>
      </c>
      <c r="E2178" s="1051" t="str">
        <f>IF(COUNTIF(E$2153:E2177,F2178)&gt;0,"",F2178)</f>
        <v/>
      </c>
      <c r="F2178" s="1051" t="str">
        <f t="shared" si="188"/>
        <v/>
      </c>
      <c r="G2178" s="1055" t="str">
        <f t="shared" si="189"/>
        <v/>
      </c>
      <c r="I2178" s="1100"/>
      <c r="J2178" s="1048"/>
      <c r="K2178" s="1119"/>
      <c r="L2178" s="1048"/>
      <c r="M2178" s="1101"/>
      <c r="N2178" s="1048"/>
      <c r="O2178" s="1048"/>
      <c r="P2178" s="1048"/>
      <c r="Q2178" s="1048"/>
      <c r="R2178" s="1048"/>
      <c r="S2178" s="1048"/>
      <c r="T2178" s="1048"/>
      <c r="U2178" s="1102"/>
    </row>
    <row r="2179" spans="2:21" hidden="1" outlineLevel="2">
      <c r="D2179" s="1051">
        <f t="shared" si="187"/>
        <v>11</v>
      </c>
      <c r="E2179" s="1051" t="str">
        <f>IF(COUNTIF(E$2153:E2178,F2179)&gt;0,"",F2179)</f>
        <v/>
      </c>
      <c r="F2179" s="1051" t="str">
        <f t="shared" si="188"/>
        <v/>
      </c>
      <c r="G2179" s="1055" t="str">
        <f t="shared" si="189"/>
        <v/>
      </c>
      <c r="I2179" s="1100"/>
      <c r="J2179" s="1048"/>
      <c r="K2179" s="1119"/>
      <c r="L2179" s="1048"/>
      <c r="M2179" s="1101"/>
      <c r="N2179" s="1048"/>
      <c r="O2179" s="1048"/>
      <c r="P2179" s="1048"/>
      <c r="Q2179" s="1048"/>
      <c r="R2179" s="1048"/>
      <c r="S2179" s="1048"/>
      <c r="T2179" s="1048"/>
      <c r="U2179" s="1102"/>
    </row>
    <row r="2180" spans="2:21" s="1045" customFormat="1" hidden="1" outlineLevel="1">
      <c r="G2180" s="1135"/>
      <c r="I2180" s="1711"/>
      <c r="J2180" s="1712"/>
      <c r="K2180" s="1720"/>
      <c r="L2180" s="1712"/>
      <c r="M2180" s="1713"/>
      <c r="N2180" s="1712"/>
      <c r="O2180" s="1712"/>
      <c r="P2180" s="1712"/>
      <c r="Q2180" s="1712"/>
      <c r="R2180" s="1721"/>
      <c r="S2180" s="1712"/>
      <c r="T2180" s="1712"/>
      <c r="U2180" s="1714"/>
    </row>
    <row r="2181" spans="2:21" ht="12" hidden="1" customHeight="1" outlineLevel="1" collapsed="1">
      <c r="B2181" s="3155" t="s">
        <v>1768</v>
      </c>
      <c r="C2181" s="3155"/>
      <c r="D2181" s="1051">
        <v>0</v>
      </c>
      <c r="E2181" s="1051"/>
      <c r="F2181" s="1051" t="str">
        <f t="shared" ref="F2181:F2234" si="190">IF(I2181&lt;&gt;"",I2181&amp;IF(L2181&lt;&gt;"",", "&amp;L2181,"")&amp;IF(K2181&lt;&gt;"",", "&amp;K2181,""),"")</f>
        <v/>
      </c>
      <c r="G2181" s="1055" t="str">
        <f t="shared" ref="G2181:G2235" si="191">IF(F2181&lt;&gt;"",F2181&amp;IF(J2181&lt;&gt;"","; "&amp;J2181,"")&amp;IF(N2181&lt;&gt;"",", "&amp;N2181,""),"")</f>
        <v/>
      </c>
      <c r="I2181" s="1711"/>
      <c r="J2181" s="1712"/>
      <c r="K2181" s="1720"/>
      <c r="L2181" s="1712"/>
      <c r="M2181" s="1713"/>
      <c r="N2181" s="1712"/>
      <c r="O2181" s="1712"/>
      <c r="P2181" s="1712"/>
      <c r="Q2181" s="1712"/>
      <c r="R2181" s="1721"/>
      <c r="S2181" s="1712"/>
      <c r="T2181" s="1712"/>
      <c r="U2181" s="1714"/>
    </row>
    <row r="2182" spans="2:21" hidden="1" outlineLevel="2">
      <c r="B2182" s="1050">
        <v>1</v>
      </c>
      <c r="C2182" s="1050" t="str">
        <f>IF(ISNA(VLOOKUP(B2182,$D$2182:$E$2234,2,FALSE)),"-",VLOOKUP(B2182,$D$2182:$E$2234,2,FALSE))</f>
        <v>2008 - mix moyen, France continentale, Base Carbone</v>
      </c>
      <c r="D2182" s="1051">
        <f t="shared" ref="D2182" si="192">D2181+IF(LEN(E2182)=0,0,1)</f>
        <v>1</v>
      </c>
      <c r="E2182" s="1051" t="str">
        <f>IF(COUNTIF(E$2181:E2181,F2182)&gt;0,"",F2182)</f>
        <v>2008 - mix moyen, France continentale, Base Carbone</v>
      </c>
      <c r="F2182" s="1051" t="str">
        <f t="shared" si="190"/>
        <v>2008 - mix moyen, France continentale, Base Carbone</v>
      </c>
      <c r="G2182" s="1055" t="str">
        <f t="shared" si="191"/>
        <v>2008 - mix moyen, France continentale, Base Carbone; kgCO2e/kWh, Combustion à la centrale</v>
      </c>
      <c r="I2182" s="2018" t="s">
        <v>1686</v>
      </c>
      <c r="J2182" s="1135" t="s">
        <v>1681</v>
      </c>
      <c r="K2182" s="1119" t="s">
        <v>1567</v>
      </c>
      <c r="L2182" s="1135" t="s">
        <v>1571</v>
      </c>
      <c r="M2182" s="1134">
        <v>0.1</v>
      </c>
      <c r="N2182" s="1135" t="s">
        <v>1763</v>
      </c>
      <c r="O2182" s="1135">
        <v>5.6899999999999999E-2</v>
      </c>
      <c r="P2182" s="1135"/>
      <c r="Q2182" s="1048"/>
      <c r="R2182" s="1048"/>
      <c r="S2182" s="1048"/>
      <c r="T2182" s="1048"/>
      <c r="U2182" s="1102"/>
    </row>
    <row r="2183" spans="2:21" hidden="1" outlineLevel="2">
      <c r="B2183" s="1050">
        <v>2</v>
      </c>
      <c r="C2183" s="1050" t="str">
        <f t="shared" ref="C2183:C2199" si="193">IF(ISNA(VLOOKUP(B2183,$D$2182:$E$2234,2,FALSE)),"-",VLOOKUP(B2183,$D$2182:$E$2234,2,FALSE))</f>
        <v>2009 - mix moyen, France continentale, Base Carbone</v>
      </c>
      <c r="D2183" s="1051">
        <f t="shared" ref="D2183:D2229" si="194">D2182+IF(LEN(E2183)=0,0,1)</f>
        <v>1</v>
      </c>
      <c r="E2183" s="1051" t="str">
        <f>IF(COUNTIF(E$2181:E2182,F2183)&gt;0,"",F2183)</f>
        <v/>
      </c>
      <c r="F2183" s="1051" t="str">
        <f t="shared" ref="F2183:F2229" si="195">IF(I2183&lt;&gt;"",I2183&amp;IF(L2183&lt;&gt;"",", "&amp;L2183,"")&amp;IF(K2183&lt;&gt;"",", "&amp;K2183,""),"")</f>
        <v>2008 - mix moyen, France continentale, Base Carbone</v>
      </c>
      <c r="G2183" s="1055" t="str">
        <f t="shared" ref="G2183:G2229" si="196">IF(F2183&lt;&gt;"",F2183&amp;IF(J2183&lt;&gt;"","; "&amp;J2183,"")&amp;IF(N2183&lt;&gt;"",", "&amp;N2183,""),"")</f>
        <v>2008 - mix moyen, France continentale, Base Carbone; kgCO2e/kWh, combustibles</v>
      </c>
      <c r="I2183" s="2018" t="s">
        <v>1686</v>
      </c>
      <c r="J2183" s="1135" t="s">
        <v>1681</v>
      </c>
      <c r="K2183" s="1119" t="s">
        <v>1567</v>
      </c>
      <c r="L2183" s="1135" t="s">
        <v>1571</v>
      </c>
      <c r="M2183" s="1134">
        <v>0.1</v>
      </c>
      <c r="N2183" s="1135" t="s">
        <v>1765</v>
      </c>
      <c r="O2183" s="1135">
        <v>1.29E-2</v>
      </c>
      <c r="P2183" s="1135"/>
      <c r="Q2183" s="1048"/>
      <c r="R2183" s="1048"/>
      <c r="S2183" s="1048"/>
      <c r="T2183" s="1048"/>
      <c r="U2183" s="1102"/>
    </row>
    <row r="2184" spans="2:21" hidden="1" outlineLevel="2">
      <c r="B2184" s="1050">
        <v>3</v>
      </c>
      <c r="C2184" s="1050" t="str">
        <f t="shared" si="193"/>
        <v>2010 - mix moyen, France continentale, Base Carbone</v>
      </c>
      <c r="D2184" s="1051">
        <f t="shared" si="194"/>
        <v>1</v>
      </c>
      <c r="E2184" s="1051" t="str">
        <f>IF(COUNTIF(E$2181:E2183,F2184)&gt;0,"",F2184)</f>
        <v/>
      </c>
      <c r="F2184" s="1051" t="str">
        <f t="shared" si="195"/>
        <v>2008 - mix moyen, France continentale, Base Carbone</v>
      </c>
      <c r="G2184" s="1055" t="str">
        <f t="shared" si="196"/>
        <v>2008 - mix moyen, France continentale, Base Carbone; kgCO2e/kWh, Pertes</v>
      </c>
      <c r="I2184" s="2018" t="s">
        <v>1686</v>
      </c>
      <c r="J2184" s="1135" t="s">
        <v>1681</v>
      </c>
      <c r="K2184" s="1119" t="s">
        <v>1567</v>
      </c>
      <c r="L2184" s="1135" t="s">
        <v>1571</v>
      </c>
      <c r="M2184" s="1134">
        <v>0.1</v>
      </c>
      <c r="N2184" s="1135" t="s">
        <v>1766</v>
      </c>
      <c r="O2184" s="1135">
        <v>8.6999999999999994E-3</v>
      </c>
      <c r="P2184" s="1135"/>
      <c r="Q2184" s="1048"/>
      <c r="R2184" s="1048"/>
      <c r="S2184" s="1048"/>
      <c r="T2184" s="1048"/>
      <c r="U2184" s="1102"/>
    </row>
    <row r="2185" spans="2:21" hidden="1" outlineLevel="2">
      <c r="B2185" s="1050">
        <v>4</v>
      </c>
      <c r="C2185" s="1050" t="str">
        <f t="shared" si="193"/>
        <v>2011 - mix moyen, France continentale, Base Carbone</v>
      </c>
      <c r="D2185" s="1051">
        <f t="shared" si="194"/>
        <v>2</v>
      </c>
      <c r="E2185" s="1051" t="str">
        <f>IF(COUNTIF(E$2181:E2184,F2185)&gt;0,"",F2185)</f>
        <v>2009 - mix moyen, France continentale, Base Carbone</v>
      </c>
      <c r="F2185" s="1051" t="str">
        <f t="shared" si="195"/>
        <v>2009 - mix moyen, France continentale, Base Carbone</v>
      </c>
      <c r="G2185" s="1055" t="str">
        <f t="shared" si="196"/>
        <v>2009 - mix moyen, France continentale, Base Carbone; kgCO2e/kWh, Combustion à la centrale</v>
      </c>
      <c r="I2185" s="2018" t="s">
        <v>1696</v>
      </c>
      <c r="J2185" s="1135" t="s">
        <v>1681</v>
      </c>
      <c r="K2185" s="1119" t="s">
        <v>1567</v>
      </c>
      <c r="L2185" s="1135" t="s">
        <v>1571</v>
      </c>
      <c r="M2185" s="1134">
        <v>0.1</v>
      </c>
      <c r="N2185" s="1135" t="s">
        <v>1763</v>
      </c>
      <c r="O2185" s="1135">
        <v>5.6899999999999999E-2</v>
      </c>
      <c r="P2185" s="1135"/>
      <c r="Q2185" s="1048"/>
      <c r="R2185" s="1048"/>
      <c r="S2185" s="1048"/>
      <c r="T2185" s="1048"/>
      <c r="U2185" s="1102"/>
    </row>
    <row r="2186" spans="2:21" hidden="1" outlineLevel="2">
      <c r="B2186" s="1050">
        <v>5</v>
      </c>
      <c r="C2186" s="1050" t="str">
        <f t="shared" si="193"/>
        <v>2012 - mix moyen, France continentale, Base Carbone</v>
      </c>
      <c r="D2186" s="1051">
        <f t="shared" si="194"/>
        <v>2</v>
      </c>
      <c r="E2186" s="1051" t="str">
        <f>IF(COUNTIF(E$2181:E2185,F2186)&gt;0,"",F2186)</f>
        <v/>
      </c>
      <c r="F2186" s="1051" t="str">
        <f t="shared" si="195"/>
        <v>2009 - mix moyen, France continentale, Base Carbone</v>
      </c>
      <c r="G2186" s="1055" t="str">
        <f t="shared" si="196"/>
        <v>2009 - mix moyen, France continentale, Base Carbone; kgCO2e/kWh, combustibles</v>
      </c>
      <c r="I2186" s="2018" t="s">
        <v>1696</v>
      </c>
      <c r="J2186" s="1135" t="s">
        <v>1681</v>
      </c>
      <c r="K2186" s="1119" t="s">
        <v>1567</v>
      </c>
      <c r="L2186" s="1135" t="s">
        <v>1571</v>
      </c>
      <c r="M2186" s="1134">
        <v>0.1</v>
      </c>
      <c r="N2186" s="1135" t="s">
        <v>1765</v>
      </c>
      <c r="O2186" s="1135">
        <v>1.29E-2</v>
      </c>
      <c r="P2186" s="1135"/>
      <c r="Q2186" s="1048"/>
      <c r="R2186" s="1048"/>
      <c r="S2186" s="1048"/>
      <c r="T2186" s="1048"/>
      <c r="U2186" s="1102"/>
    </row>
    <row r="2187" spans="2:21" hidden="1" outlineLevel="2">
      <c r="B2187" s="1050">
        <v>6</v>
      </c>
      <c r="C2187" s="1050" t="str">
        <f t="shared" si="193"/>
        <v>2013 - mix moyen, France continentale, Base Carbone</v>
      </c>
      <c r="D2187" s="1051">
        <f t="shared" si="194"/>
        <v>2</v>
      </c>
      <c r="E2187" s="1051" t="str">
        <f>IF(COUNTIF(E$2181:E2186,F2187)&gt;0,"",F2187)</f>
        <v/>
      </c>
      <c r="F2187" s="1051" t="str">
        <f t="shared" si="195"/>
        <v>2009 - mix moyen, France continentale, Base Carbone</v>
      </c>
      <c r="G2187" s="1055" t="str">
        <f t="shared" si="196"/>
        <v>2009 - mix moyen, France continentale, Base Carbone; kgCO2e/kWh, Pertes</v>
      </c>
      <c r="I2187" s="2018" t="s">
        <v>1696</v>
      </c>
      <c r="J2187" s="1135" t="s">
        <v>1681</v>
      </c>
      <c r="K2187" s="1119" t="s">
        <v>1567</v>
      </c>
      <c r="L2187" s="1135" t="s">
        <v>1571</v>
      </c>
      <c r="M2187" s="1134">
        <v>0.1</v>
      </c>
      <c r="N2187" s="1135" t="s">
        <v>1766</v>
      </c>
      <c r="O2187" s="1135">
        <v>8.6999999999999994E-3</v>
      </c>
      <c r="P2187" s="1135"/>
      <c r="Q2187" s="1048"/>
      <c r="R2187" s="1048"/>
      <c r="S2187" s="1048"/>
      <c r="T2187" s="1048"/>
      <c r="U2187" s="1102"/>
    </row>
    <row r="2188" spans="2:21" hidden="1" outlineLevel="2">
      <c r="B2188" s="1050">
        <v>7</v>
      </c>
      <c r="C2188" s="1050" t="str">
        <f t="shared" si="193"/>
        <v>2014 - mix moyen, France continentale, Base Carbone</v>
      </c>
      <c r="D2188" s="1051">
        <f t="shared" si="194"/>
        <v>3</v>
      </c>
      <c r="E2188" s="1051" t="str">
        <f>IF(COUNTIF(E$2181:E2187,F2188)&gt;0,"",F2188)</f>
        <v>2010 - mix moyen, France continentale, Base Carbone</v>
      </c>
      <c r="F2188" s="1051" t="str">
        <f t="shared" si="195"/>
        <v>2010 - mix moyen, France continentale, Base Carbone</v>
      </c>
      <c r="G2188" s="1055" t="str">
        <f t="shared" si="196"/>
        <v>2010 - mix moyen, France continentale, Base Carbone; kgCO2e/kWh, Combustion à la centrale</v>
      </c>
      <c r="I2188" s="2018" t="s">
        <v>1706</v>
      </c>
      <c r="J2188" s="1135" t="s">
        <v>1681</v>
      </c>
      <c r="K2188" s="1119" t="s">
        <v>1567</v>
      </c>
      <c r="L2188" s="1135" t="s">
        <v>1571</v>
      </c>
      <c r="M2188" s="1134">
        <v>0.1</v>
      </c>
      <c r="N2188" s="1135" t="s">
        <v>1763</v>
      </c>
      <c r="O2188" s="1135">
        <v>5.6899999999999999E-2</v>
      </c>
      <c r="P2188" s="1135"/>
      <c r="Q2188" s="1048"/>
      <c r="R2188" s="1158"/>
      <c r="S2188" s="1048"/>
      <c r="T2188" s="1048"/>
      <c r="U2188" s="1102"/>
    </row>
    <row r="2189" spans="2:21" hidden="1" outlineLevel="2">
      <c r="B2189" s="1050">
        <v>8</v>
      </c>
      <c r="C2189" s="1050" t="str">
        <f t="shared" si="193"/>
        <v>2015 - mix moyen, France continentale, Base Carbone</v>
      </c>
      <c r="D2189" s="1051">
        <f t="shared" si="194"/>
        <v>3</v>
      </c>
      <c r="E2189" s="1051" t="str">
        <f>IF(COUNTIF(E$2181:E2188,F2189)&gt;0,"",F2189)</f>
        <v/>
      </c>
      <c r="F2189" s="1051" t="str">
        <f t="shared" si="195"/>
        <v>2010 - mix moyen, France continentale, Base Carbone</v>
      </c>
      <c r="G2189" s="1055" t="str">
        <f t="shared" si="196"/>
        <v>2010 - mix moyen, France continentale, Base Carbone; kgCO2e/kWh, combustibles</v>
      </c>
      <c r="I2189" s="2018" t="s">
        <v>1706</v>
      </c>
      <c r="J2189" s="1135" t="s">
        <v>1681</v>
      </c>
      <c r="K2189" s="1119" t="s">
        <v>1567</v>
      </c>
      <c r="L2189" s="1135" t="s">
        <v>1571</v>
      </c>
      <c r="M2189" s="1134">
        <v>0.1</v>
      </c>
      <c r="N2189" s="1135" t="s">
        <v>1765</v>
      </c>
      <c r="O2189" s="1135">
        <v>1.29E-2</v>
      </c>
      <c r="P2189" s="1135"/>
      <c r="Q2189" s="1048"/>
      <c r="R2189" s="1158"/>
      <c r="S2189" s="1048"/>
      <c r="T2189" s="1048"/>
      <c r="U2189" s="1102"/>
    </row>
    <row r="2190" spans="2:21" hidden="1" outlineLevel="2">
      <c r="B2190" s="1050">
        <v>9</v>
      </c>
      <c r="C2190" s="1050" t="str">
        <f t="shared" si="193"/>
        <v>2016 - mix moyen, France continentale, Base Carbone</v>
      </c>
      <c r="D2190" s="1051">
        <f t="shared" si="194"/>
        <v>3</v>
      </c>
      <c r="E2190" s="1051" t="str">
        <f>IF(COUNTIF(E$2181:E2189,F2190)&gt;0,"",F2190)</f>
        <v/>
      </c>
      <c r="F2190" s="1051" t="str">
        <f t="shared" si="195"/>
        <v>2010 - mix moyen, France continentale, Base Carbone</v>
      </c>
      <c r="G2190" s="1055" t="str">
        <f t="shared" si="196"/>
        <v>2010 - mix moyen, France continentale, Base Carbone; kgCO2e/kWh, Pertes</v>
      </c>
      <c r="I2190" s="2018" t="s">
        <v>1706</v>
      </c>
      <c r="J2190" s="1135" t="s">
        <v>1681</v>
      </c>
      <c r="K2190" s="1119" t="s">
        <v>1567</v>
      </c>
      <c r="L2190" s="1135" t="s">
        <v>1571</v>
      </c>
      <c r="M2190" s="1134">
        <v>0.1</v>
      </c>
      <c r="N2190" s="1135" t="s">
        <v>1766</v>
      </c>
      <c r="O2190" s="1135">
        <v>8.6999999999999994E-3</v>
      </c>
      <c r="P2190" s="1135"/>
      <c r="Q2190" s="1048"/>
      <c r="R2190" s="1158"/>
      <c r="S2190" s="1048"/>
      <c r="T2190" s="1048"/>
      <c r="U2190" s="1102"/>
    </row>
    <row r="2191" spans="2:21" hidden="1" outlineLevel="2">
      <c r="B2191" s="1050">
        <v>10</v>
      </c>
      <c r="C2191" s="1050" t="str">
        <f t="shared" si="193"/>
        <v>2017 - mix moyen, France continentale, Base Carbone</v>
      </c>
      <c r="D2191" s="1051">
        <f t="shared" si="194"/>
        <v>4</v>
      </c>
      <c r="E2191" s="1051" t="str">
        <f>IF(COUNTIF(E$2181:E2190,F2191)&gt;0,"",F2191)</f>
        <v>2011 - mix moyen, France continentale, Base Carbone</v>
      </c>
      <c r="F2191" s="1051" t="str">
        <f t="shared" si="195"/>
        <v>2011 - mix moyen, France continentale, Base Carbone</v>
      </c>
      <c r="G2191" s="1055" t="str">
        <f t="shared" si="196"/>
        <v>2011 - mix moyen, France continentale, Base Carbone; kgCO2e/kWh, Combustion à la centrale</v>
      </c>
      <c r="I2191" s="2018" t="s">
        <v>1716</v>
      </c>
      <c r="J2191" s="1135" t="s">
        <v>1681</v>
      </c>
      <c r="K2191" s="1119" t="s">
        <v>1567</v>
      </c>
      <c r="L2191" s="1135" t="s">
        <v>1571</v>
      </c>
      <c r="M2191" s="1134">
        <v>0.1</v>
      </c>
      <c r="N2191" s="1135" t="s">
        <v>1763</v>
      </c>
      <c r="O2191" s="1135">
        <v>5.6899999999999999E-2</v>
      </c>
      <c r="P2191" s="1135"/>
      <c r="Q2191" s="1048"/>
      <c r="R2191" s="1158"/>
      <c r="S2191" s="1048"/>
      <c r="T2191" s="1048"/>
      <c r="U2191" s="1102"/>
    </row>
    <row r="2192" spans="2:21" hidden="1" outlineLevel="2">
      <c r="B2192" s="1050">
        <v>11</v>
      </c>
      <c r="C2192" s="1050" t="str">
        <f t="shared" si="193"/>
        <v>2018 - mix moyen, France continentale, Base Carbone</v>
      </c>
      <c r="D2192" s="1051">
        <f t="shared" si="194"/>
        <v>4</v>
      </c>
      <c r="E2192" s="1051" t="str">
        <f>IF(COUNTIF(E$2181:E2191,F2192)&gt;0,"",F2192)</f>
        <v/>
      </c>
      <c r="F2192" s="1051" t="str">
        <f t="shared" si="195"/>
        <v>2011 - mix moyen, France continentale, Base Carbone</v>
      </c>
      <c r="G2192" s="1055" t="str">
        <f t="shared" si="196"/>
        <v>2011 - mix moyen, France continentale, Base Carbone; kgCO2e/kWh, combustibles</v>
      </c>
      <c r="I2192" s="2018" t="s">
        <v>1716</v>
      </c>
      <c r="J2192" s="1135" t="s">
        <v>1681</v>
      </c>
      <c r="K2192" s="1119" t="s">
        <v>1567</v>
      </c>
      <c r="L2192" s="1135" t="s">
        <v>1571</v>
      </c>
      <c r="M2192" s="1134">
        <v>0.1</v>
      </c>
      <c r="N2192" s="1135" t="s">
        <v>1765</v>
      </c>
      <c r="O2192" s="1135">
        <v>1.29E-2</v>
      </c>
      <c r="P2192" s="1135"/>
      <c r="Q2192" s="1048"/>
      <c r="R2192" s="1158"/>
      <c r="S2192" s="1048"/>
      <c r="T2192" s="1048"/>
      <c r="U2192" s="1102"/>
    </row>
    <row r="2193" spans="2:21" hidden="1" outlineLevel="2">
      <c r="B2193" s="1050">
        <v>12</v>
      </c>
      <c r="C2193" s="1050" t="str">
        <f t="shared" si="193"/>
        <v>2019 - mix moyen, France continentale, Base Carbone</v>
      </c>
      <c r="D2193" s="1051">
        <f t="shared" si="194"/>
        <v>4</v>
      </c>
      <c r="E2193" s="1051" t="str">
        <f>IF(COUNTIF(E$2181:E2192,F2193)&gt;0,"",F2193)</f>
        <v/>
      </c>
      <c r="F2193" s="1051" t="str">
        <f t="shared" si="195"/>
        <v>2011 - mix moyen, France continentale, Base Carbone</v>
      </c>
      <c r="G2193" s="1055" t="str">
        <f t="shared" si="196"/>
        <v>2011 - mix moyen, France continentale, Base Carbone; kgCO2e/kWh, Pertes</v>
      </c>
      <c r="I2193" s="2018" t="s">
        <v>1716</v>
      </c>
      <c r="J2193" s="1135" t="s">
        <v>1681</v>
      </c>
      <c r="K2193" s="1119" t="s">
        <v>1567</v>
      </c>
      <c r="L2193" s="1135" t="s">
        <v>1571</v>
      </c>
      <c r="M2193" s="1134">
        <v>0.1</v>
      </c>
      <c r="N2193" s="1135" t="s">
        <v>1766</v>
      </c>
      <c r="O2193" s="1135">
        <v>8.6999999999999994E-3</v>
      </c>
      <c r="P2193" s="1135"/>
      <c r="Q2193" s="1048"/>
      <c r="R2193" s="1158"/>
      <c r="S2193" s="1048"/>
      <c r="T2193" s="1048"/>
      <c r="U2193" s="1102"/>
    </row>
    <row r="2194" spans="2:21" hidden="1" outlineLevel="2">
      <c r="B2194" s="1050">
        <v>13</v>
      </c>
      <c r="C2194" s="1050" t="str">
        <f t="shared" si="193"/>
        <v>2020 - mix moyen, France continentale, Base Carbone</v>
      </c>
      <c r="D2194" s="1051">
        <f t="shared" si="194"/>
        <v>5</v>
      </c>
      <c r="E2194" s="1051" t="str">
        <f>IF(COUNTIF(E$2181:E2193,F2194)&gt;0,"",F2194)</f>
        <v>2012 - mix moyen, France continentale, Base Carbone</v>
      </c>
      <c r="F2194" s="1051" t="str">
        <f t="shared" si="195"/>
        <v>2012 - mix moyen, France continentale, Base Carbone</v>
      </c>
      <c r="G2194" s="1055" t="str">
        <f t="shared" si="196"/>
        <v>2012 - mix moyen, France continentale, Base Carbone; kgCO2e/kWh, Combustion à la centrale</v>
      </c>
      <c r="I2194" s="2018" t="s">
        <v>1726</v>
      </c>
      <c r="J2194" s="1135" t="s">
        <v>1681</v>
      </c>
      <c r="K2194" s="1119" t="s">
        <v>1567</v>
      </c>
      <c r="L2194" s="1135" t="s">
        <v>1571</v>
      </c>
      <c r="M2194" s="1134">
        <v>0.1</v>
      </c>
      <c r="N2194" s="1135" t="s">
        <v>1763</v>
      </c>
      <c r="O2194" s="1135">
        <v>5.6899999999999999E-2</v>
      </c>
      <c r="P2194" s="1135"/>
      <c r="Q2194" s="1048"/>
      <c r="R2194" s="1158"/>
      <c r="S2194" s="1048"/>
      <c r="T2194" s="1048"/>
      <c r="U2194" s="1102"/>
    </row>
    <row r="2195" spans="2:21" hidden="1" outlineLevel="2">
      <c r="B2195" s="1050">
        <v>14</v>
      </c>
      <c r="C2195" s="1050" t="str">
        <f t="shared" si="193"/>
        <v>-</v>
      </c>
      <c r="D2195" s="1051">
        <f t="shared" si="194"/>
        <v>5</v>
      </c>
      <c r="E2195" s="1051" t="str">
        <f>IF(COUNTIF(E$2181:E2194,F2195)&gt;0,"",F2195)</f>
        <v/>
      </c>
      <c r="F2195" s="1051" t="str">
        <f t="shared" si="195"/>
        <v>2012 - mix moyen, France continentale, Base Carbone</v>
      </c>
      <c r="G2195" s="1055" t="str">
        <f t="shared" si="196"/>
        <v>2012 - mix moyen, France continentale, Base Carbone; kgCO2e/kWh, combustibles</v>
      </c>
      <c r="I2195" s="2018" t="s">
        <v>1726</v>
      </c>
      <c r="J2195" s="1135" t="s">
        <v>1681</v>
      </c>
      <c r="K2195" s="1119" t="s">
        <v>1567</v>
      </c>
      <c r="L2195" s="1135" t="s">
        <v>1571</v>
      </c>
      <c r="M2195" s="1134">
        <v>0.1</v>
      </c>
      <c r="N2195" s="1135" t="s">
        <v>1765</v>
      </c>
      <c r="O2195" s="1135">
        <v>1.29E-2</v>
      </c>
      <c r="P2195" s="1135"/>
      <c r="Q2195" s="1048"/>
      <c r="R2195" s="1158"/>
      <c r="S2195" s="1048"/>
      <c r="T2195" s="1048"/>
      <c r="U2195" s="1102"/>
    </row>
    <row r="2196" spans="2:21" hidden="1" outlineLevel="2">
      <c r="B2196" s="1050">
        <v>15</v>
      </c>
      <c r="C2196" s="1050" t="str">
        <f t="shared" si="193"/>
        <v>-</v>
      </c>
      <c r="D2196" s="1051">
        <f t="shared" si="194"/>
        <v>5</v>
      </c>
      <c r="E2196" s="1051" t="str">
        <f>IF(COUNTIF(E$2181:E2195,F2196)&gt;0,"",F2196)</f>
        <v/>
      </c>
      <c r="F2196" s="1051" t="str">
        <f t="shared" si="195"/>
        <v>2012 - mix moyen, France continentale, Base Carbone</v>
      </c>
      <c r="G2196" s="1055" t="str">
        <f t="shared" si="196"/>
        <v>2012 - mix moyen, France continentale, Base Carbone; kgCO2e/kWh, Pertes</v>
      </c>
      <c r="I2196" s="2018" t="s">
        <v>1726</v>
      </c>
      <c r="J2196" s="1135" t="s">
        <v>1681</v>
      </c>
      <c r="K2196" s="1119" t="s">
        <v>1567</v>
      </c>
      <c r="L2196" s="1135" t="s">
        <v>1571</v>
      </c>
      <c r="M2196" s="1134">
        <v>0.1</v>
      </c>
      <c r="N2196" s="1135" t="s">
        <v>1766</v>
      </c>
      <c r="O2196" s="1135">
        <v>8.6999999999999994E-3</v>
      </c>
      <c r="P2196" s="1135"/>
      <c r="Q2196" s="1048"/>
      <c r="R2196" s="1158"/>
      <c r="S2196" s="1048"/>
      <c r="T2196" s="1048"/>
      <c r="U2196" s="1102"/>
    </row>
    <row r="2197" spans="2:21" hidden="1" outlineLevel="2">
      <c r="B2197" s="1050">
        <v>16</v>
      </c>
      <c r="C2197" s="1050" t="str">
        <f t="shared" si="193"/>
        <v>-</v>
      </c>
      <c r="D2197" s="1051">
        <f t="shared" si="194"/>
        <v>6</v>
      </c>
      <c r="E2197" s="1051" t="str">
        <f>IF(COUNTIF(E$2181:E2196,F2197)&gt;0,"",F2197)</f>
        <v>2013 - mix moyen, France continentale, Base Carbone</v>
      </c>
      <c r="F2197" s="1051" t="str">
        <f t="shared" si="195"/>
        <v>2013 - mix moyen, France continentale, Base Carbone</v>
      </c>
      <c r="G2197" s="1055" t="str">
        <f t="shared" si="196"/>
        <v>2013 - mix moyen, France continentale, Base Carbone; kgCO2e/kWh, Combustion à la centrale</v>
      </c>
      <c r="I2197" s="2018" t="s">
        <v>1736</v>
      </c>
      <c r="J2197" s="1135" t="s">
        <v>1681</v>
      </c>
      <c r="K2197" s="1119" t="s">
        <v>1567</v>
      </c>
      <c r="L2197" s="1135" t="s">
        <v>1571</v>
      </c>
      <c r="M2197" s="1134">
        <v>0.1</v>
      </c>
      <c r="N2197" s="1135" t="s">
        <v>1763</v>
      </c>
      <c r="O2197" s="1135">
        <v>5.4899999999999997E-2</v>
      </c>
      <c r="P2197" s="1135"/>
      <c r="Q2197" s="1048"/>
      <c r="R2197" s="1158"/>
      <c r="S2197" s="1048"/>
      <c r="T2197" s="1048"/>
      <c r="U2197" s="1102"/>
    </row>
    <row r="2198" spans="2:21" hidden="1" outlineLevel="2">
      <c r="B2198" s="1050">
        <v>17</v>
      </c>
      <c r="C2198" s="1050" t="str">
        <f t="shared" si="193"/>
        <v>-</v>
      </c>
      <c r="D2198" s="1051">
        <f t="shared" si="194"/>
        <v>6</v>
      </c>
      <c r="E2198" s="1051" t="str">
        <f>IF(COUNTIF(E$2181:E2197,F2198)&gt;0,"",F2198)</f>
        <v/>
      </c>
      <c r="F2198" s="1051" t="str">
        <f t="shared" si="195"/>
        <v>2013 - mix moyen, France continentale, Base Carbone</v>
      </c>
      <c r="G2198" s="1055" t="str">
        <f t="shared" si="196"/>
        <v>2013 - mix moyen, France continentale, Base Carbone; kgCO2e/kWh, combustibles</v>
      </c>
      <c r="I2198" s="2018" t="s">
        <v>1736</v>
      </c>
      <c r="J2198" s="1135" t="s">
        <v>1681</v>
      </c>
      <c r="K2198" s="1119" t="s">
        <v>1567</v>
      </c>
      <c r="L2198" s="1135" t="s">
        <v>1571</v>
      </c>
      <c r="M2198" s="1134">
        <v>0.1</v>
      </c>
      <c r="N2198" s="1135" t="s">
        <v>1765</v>
      </c>
      <c r="O2198" s="1135">
        <v>1.29E-2</v>
      </c>
      <c r="P2198" s="1135"/>
      <c r="Q2198" s="1048"/>
      <c r="R2198" s="1158"/>
      <c r="S2198" s="1048"/>
      <c r="T2198" s="1048"/>
      <c r="U2198" s="1102"/>
    </row>
    <row r="2199" spans="2:21" hidden="1" outlineLevel="2">
      <c r="B2199" s="1050">
        <v>18</v>
      </c>
      <c r="C2199" s="1050" t="str">
        <f t="shared" si="193"/>
        <v>-</v>
      </c>
      <c r="D2199" s="1051">
        <f t="shared" si="194"/>
        <v>6</v>
      </c>
      <c r="E2199" s="1051" t="str">
        <f>IF(COUNTIF(E$2181:E2198,F2199)&gt;0,"",F2199)</f>
        <v/>
      </c>
      <c r="F2199" s="1051" t="str">
        <f t="shared" si="195"/>
        <v>2013 - mix moyen, France continentale, Base Carbone</v>
      </c>
      <c r="G2199" s="1055" t="str">
        <f t="shared" si="196"/>
        <v>2013 - mix moyen, France continentale, Base Carbone; kgCO2e/kWh, Pertes</v>
      </c>
      <c r="I2199" s="2018" t="s">
        <v>1736</v>
      </c>
      <c r="J2199" s="1135" t="s">
        <v>1681</v>
      </c>
      <c r="K2199" s="1119" t="s">
        <v>1567</v>
      </c>
      <c r="L2199" s="1135" t="s">
        <v>1571</v>
      </c>
      <c r="M2199" s="1134">
        <v>0.1</v>
      </c>
      <c r="N2199" s="1135" t="s">
        <v>1766</v>
      </c>
      <c r="O2199" s="1135">
        <v>8.0999999999999996E-3</v>
      </c>
      <c r="P2199" s="1135"/>
      <c r="Q2199" s="1048"/>
      <c r="R2199" s="1158"/>
      <c r="S2199" s="1048"/>
      <c r="T2199" s="1048"/>
      <c r="U2199" s="1102"/>
    </row>
    <row r="2200" spans="2:21" hidden="1" outlineLevel="2">
      <c r="D2200" s="1051">
        <f t="shared" si="194"/>
        <v>7</v>
      </c>
      <c r="E2200" s="1051" t="str">
        <f>IF(COUNTIF(E$2181:E2199,F2200)&gt;0,"",F2200)</f>
        <v>2014 - mix moyen, France continentale, Base Carbone</v>
      </c>
      <c r="F2200" s="1051" t="str">
        <f t="shared" si="195"/>
        <v>2014 - mix moyen, France continentale, Base Carbone</v>
      </c>
      <c r="G2200" s="1055" t="str">
        <f t="shared" si="196"/>
        <v>2014 - mix moyen, France continentale, Base Carbone; kgCO2e/kWh, Combustion à la centrale</v>
      </c>
      <c r="I2200" s="2018" t="s">
        <v>1746</v>
      </c>
      <c r="J2200" s="1135" t="s">
        <v>1681</v>
      </c>
      <c r="K2200" s="1119" t="s">
        <v>1567</v>
      </c>
      <c r="L2200" s="1135" t="s">
        <v>1571</v>
      </c>
      <c r="M2200" s="1134">
        <v>0.1</v>
      </c>
      <c r="N2200" s="1135" t="s">
        <v>1763</v>
      </c>
      <c r="O2200" s="1135">
        <v>5.2200000000000003E-2</v>
      </c>
      <c r="P2200" s="1135"/>
      <c r="Q2200" s="1048"/>
      <c r="R2200" s="1158"/>
      <c r="S2200" s="1048"/>
      <c r="T2200" s="1048"/>
      <c r="U2200" s="1102"/>
    </row>
    <row r="2201" spans="2:21" hidden="1" outlineLevel="2">
      <c r="D2201" s="1051">
        <f t="shared" si="194"/>
        <v>7</v>
      </c>
      <c r="E2201" s="1051" t="str">
        <f>IF(COUNTIF(E$2181:E2200,F2201)&gt;0,"",F2201)</f>
        <v/>
      </c>
      <c r="F2201" s="1051" t="str">
        <f t="shared" si="195"/>
        <v>2014 - mix moyen, France continentale, Base Carbone</v>
      </c>
      <c r="G2201" s="1055" t="str">
        <f t="shared" si="196"/>
        <v>2014 - mix moyen, France continentale, Base Carbone; kgCO2e/kWh, combustibles</v>
      </c>
      <c r="I2201" s="2018" t="s">
        <v>1746</v>
      </c>
      <c r="J2201" s="1135" t="s">
        <v>1681</v>
      </c>
      <c r="K2201" s="1119" t="s">
        <v>1567</v>
      </c>
      <c r="L2201" s="1135" t="s">
        <v>1571</v>
      </c>
      <c r="M2201" s="1134">
        <v>0.1</v>
      </c>
      <c r="N2201" s="1135" t="s">
        <v>1765</v>
      </c>
      <c r="O2201" s="1135">
        <v>1.26E-2</v>
      </c>
      <c r="P2201" s="1135"/>
      <c r="Q2201" s="1048"/>
      <c r="R2201" s="1158"/>
      <c r="S2201" s="1048"/>
      <c r="T2201" s="1048"/>
      <c r="U2201" s="1102"/>
    </row>
    <row r="2202" spans="2:21" hidden="1" outlineLevel="2">
      <c r="D2202" s="1051">
        <f t="shared" si="194"/>
        <v>7</v>
      </c>
      <c r="E2202" s="1051" t="str">
        <f>IF(COUNTIF(E$2181:E2201,F2202)&gt;0,"",F2202)</f>
        <v/>
      </c>
      <c r="F2202" s="1051" t="str">
        <f t="shared" si="195"/>
        <v>2014 - mix moyen, France continentale, Base Carbone</v>
      </c>
      <c r="G2202" s="1055" t="str">
        <f t="shared" si="196"/>
        <v>2014 - mix moyen, France continentale, Base Carbone; kgCO2e/kWh, Pertes</v>
      </c>
      <c r="I2202" s="2018" t="s">
        <v>1746</v>
      </c>
      <c r="J2202" s="1135" t="s">
        <v>1681</v>
      </c>
      <c r="K2202" s="1119" t="s">
        <v>1567</v>
      </c>
      <c r="L2202" s="1135" t="s">
        <v>1571</v>
      </c>
      <c r="M2202" s="1134">
        <v>0.1</v>
      </c>
      <c r="N2202" s="1135" t="s">
        <v>1766</v>
      </c>
      <c r="O2202" s="1135">
        <v>7.3000000000000001E-3</v>
      </c>
      <c r="P2202" s="1135"/>
      <c r="Q2202" s="1048"/>
      <c r="R2202" s="1158"/>
      <c r="S2202" s="1048"/>
      <c r="T2202" s="1048"/>
      <c r="U2202" s="1102"/>
    </row>
    <row r="2203" spans="2:21" hidden="1" outlineLevel="2">
      <c r="D2203" s="1051">
        <f t="shared" si="194"/>
        <v>8</v>
      </c>
      <c r="E2203" s="1051" t="str">
        <f>IF(COUNTIF(E$2181:E2202,F2203)&gt;0,"",F2203)</f>
        <v>2015 - mix moyen, France continentale, Base Carbone</v>
      </c>
      <c r="F2203" s="1051" t="str">
        <f t="shared" si="195"/>
        <v>2015 - mix moyen, France continentale, Base Carbone</v>
      </c>
      <c r="G2203" s="1055" t="str">
        <f t="shared" si="196"/>
        <v>2015 - mix moyen, France continentale, Base Carbone; kgCO2e/kWh, Combustion à la centrale</v>
      </c>
      <c r="I2203" s="2018" t="s">
        <v>2829</v>
      </c>
      <c r="J2203" s="1135" t="s">
        <v>1681</v>
      </c>
      <c r="K2203" s="1119" t="s">
        <v>1567</v>
      </c>
      <c r="L2203" s="1135" t="s">
        <v>1571</v>
      </c>
      <c r="M2203" s="1134">
        <v>0.1</v>
      </c>
      <c r="N2203" s="1135" t="s">
        <v>1763</v>
      </c>
      <c r="O2203" s="1135">
        <v>4.3400000000000001E-2</v>
      </c>
      <c r="P2203" s="1135"/>
      <c r="Q2203" s="1048"/>
      <c r="R2203" s="1158"/>
      <c r="S2203" s="1048"/>
      <c r="T2203" s="1048"/>
      <c r="U2203" s="1102"/>
    </row>
    <row r="2204" spans="2:21" hidden="1" outlineLevel="2">
      <c r="D2204" s="1051">
        <f t="shared" si="194"/>
        <v>8</v>
      </c>
      <c r="E2204" s="1051" t="str">
        <f>IF(COUNTIF(E$2181:E2203,F2204)&gt;0,"",F2204)</f>
        <v/>
      </c>
      <c r="F2204" s="1051" t="str">
        <f t="shared" si="195"/>
        <v>2015 - mix moyen, France continentale, Base Carbone</v>
      </c>
      <c r="G2204" s="1055" t="str">
        <f t="shared" si="196"/>
        <v>2015 - mix moyen, France continentale, Base Carbone; kgCO2e/kWh, combustibles</v>
      </c>
      <c r="I2204" s="2018" t="s">
        <v>2829</v>
      </c>
      <c r="J2204" s="1135" t="s">
        <v>1681</v>
      </c>
      <c r="K2204" s="1119" t="s">
        <v>1567</v>
      </c>
      <c r="L2204" s="1135" t="s">
        <v>1571</v>
      </c>
      <c r="M2204" s="1134">
        <v>0.1</v>
      </c>
      <c r="N2204" s="1135" t="s">
        <v>1765</v>
      </c>
      <c r="O2204" s="1135">
        <v>1.17E-2</v>
      </c>
      <c r="P2204" s="1135"/>
      <c r="Q2204" s="1048"/>
      <c r="R2204" s="1158"/>
      <c r="S2204" s="1048"/>
      <c r="T2204" s="1048"/>
      <c r="U2204" s="1102"/>
    </row>
    <row r="2205" spans="2:21" hidden="1" outlineLevel="2">
      <c r="D2205" s="1051">
        <f t="shared" si="194"/>
        <v>8</v>
      </c>
      <c r="E2205" s="1051" t="str">
        <f>IF(COUNTIF(E$2181:E2204,F2205)&gt;0,"",F2205)</f>
        <v/>
      </c>
      <c r="F2205" s="1051" t="str">
        <f t="shared" si="195"/>
        <v>2015 - mix moyen, France continentale, Base Carbone</v>
      </c>
      <c r="G2205" s="1055" t="str">
        <f t="shared" si="196"/>
        <v>2015 - mix moyen, France continentale, Base Carbone; kgCO2e/kWh, Pertes</v>
      </c>
      <c r="I2205" s="2018" t="s">
        <v>2829</v>
      </c>
      <c r="J2205" s="1135" t="s">
        <v>1681</v>
      </c>
      <c r="K2205" s="1119" t="s">
        <v>1567</v>
      </c>
      <c r="L2205" s="1135" t="s">
        <v>1571</v>
      </c>
      <c r="M2205" s="1134">
        <v>0.1</v>
      </c>
      <c r="N2205" s="1135" t="s">
        <v>1766</v>
      </c>
      <c r="O2205" s="1135">
        <v>5.7999999999999996E-3</v>
      </c>
      <c r="P2205" s="1135"/>
      <c r="Q2205" s="1048"/>
      <c r="R2205" s="1158"/>
      <c r="S2205" s="1048"/>
      <c r="T2205" s="1048"/>
      <c r="U2205" s="1102"/>
    </row>
    <row r="2206" spans="2:21" hidden="1" outlineLevel="2">
      <c r="D2206" s="1051">
        <f t="shared" si="194"/>
        <v>9</v>
      </c>
      <c r="E2206" s="1051" t="str">
        <f>IF(COUNTIF(E$2181:E2205,F2206)&gt;0,"",F2206)</f>
        <v>2016 - mix moyen, France continentale, Base Carbone</v>
      </c>
      <c r="F2206" s="1051" t="str">
        <f t="shared" si="195"/>
        <v>2016 - mix moyen, France continentale, Base Carbone</v>
      </c>
      <c r="G2206" s="1055" t="str">
        <f t="shared" si="196"/>
        <v>2016 - mix moyen, France continentale, Base Carbone; kgCO2e/kWh, Combustion à la centrale</v>
      </c>
      <c r="I2206" s="2018" t="s">
        <v>2830</v>
      </c>
      <c r="J2206" s="1135" t="s">
        <v>1681</v>
      </c>
      <c r="K2206" s="1119" t="s">
        <v>1567</v>
      </c>
      <c r="L2206" s="1135" t="s">
        <v>1571</v>
      </c>
      <c r="M2206" s="1134">
        <v>0.1</v>
      </c>
      <c r="N2206" s="1135" t="s">
        <v>1763</v>
      </c>
      <c r="O2206" s="1135">
        <v>4.0500000000000001E-2</v>
      </c>
      <c r="P2206" s="1135"/>
      <c r="Q2206" s="1048"/>
      <c r="R2206" s="1158"/>
      <c r="S2206" s="1048"/>
      <c r="T2206" s="1048"/>
      <c r="U2206" s="1102"/>
    </row>
    <row r="2207" spans="2:21" hidden="1" outlineLevel="2">
      <c r="D2207" s="1051">
        <f t="shared" si="194"/>
        <v>9</v>
      </c>
      <c r="E2207" s="1051" t="str">
        <f>IF(COUNTIF(E$2181:E2206,F2207)&gt;0,"",F2207)</f>
        <v/>
      </c>
      <c r="F2207" s="1051" t="str">
        <f t="shared" si="195"/>
        <v>2016 - mix moyen, France continentale, Base Carbone</v>
      </c>
      <c r="G2207" s="1055" t="str">
        <f t="shared" si="196"/>
        <v>2016 - mix moyen, France continentale, Base Carbone; kgCO2e/kWh, combustibles</v>
      </c>
      <c r="I2207" s="2018" t="s">
        <v>2830</v>
      </c>
      <c r="J2207" s="1135" t="s">
        <v>1681</v>
      </c>
      <c r="K2207" s="1119" t="s">
        <v>1567</v>
      </c>
      <c r="L2207" s="1135" t="s">
        <v>1571</v>
      </c>
      <c r="M2207" s="1134">
        <v>0.1</v>
      </c>
      <c r="N2207" s="1135" t="s">
        <v>1765</v>
      </c>
      <c r="O2207" s="1135">
        <v>1.15E-2</v>
      </c>
      <c r="P2207" s="1135"/>
      <c r="Q2207" s="1048"/>
      <c r="R2207" s="1158"/>
      <c r="S2207" s="1048"/>
      <c r="T2207" s="1048"/>
      <c r="U2207" s="1102"/>
    </row>
    <row r="2208" spans="2:21" hidden="1" outlineLevel="2">
      <c r="D2208" s="1051">
        <f t="shared" si="194"/>
        <v>9</v>
      </c>
      <c r="E2208" s="1051" t="str">
        <f>IF(COUNTIF(E$2181:E2207,F2208)&gt;0,"",F2208)</f>
        <v/>
      </c>
      <c r="F2208" s="1051" t="str">
        <f t="shared" si="195"/>
        <v>2016 - mix moyen, France continentale, Base Carbone</v>
      </c>
      <c r="G2208" s="1055" t="str">
        <f t="shared" si="196"/>
        <v>2016 - mix moyen, France continentale, Base Carbone; kgCO2e/kWh, Pertes</v>
      </c>
      <c r="I2208" s="2018" t="s">
        <v>2830</v>
      </c>
      <c r="J2208" s="1135" t="s">
        <v>1681</v>
      </c>
      <c r="K2208" s="1119" t="s">
        <v>1567</v>
      </c>
      <c r="L2208" s="1135" t="s">
        <v>1571</v>
      </c>
      <c r="M2208" s="1134">
        <v>0.1</v>
      </c>
      <c r="N2208" s="1135" t="s">
        <v>1766</v>
      </c>
      <c r="O2208" s="1135">
        <v>5.3E-3</v>
      </c>
      <c r="P2208" s="1135"/>
      <c r="Q2208" s="1048"/>
      <c r="R2208" s="1158"/>
      <c r="S2208" s="1048"/>
      <c r="T2208" s="1048"/>
      <c r="U2208" s="1102"/>
    </row>
    <row r="2209" spans="4:21" hidden="1" outlineLevel="2">
      <c r="D2209" s="1051">
        <f t="shared" si="194"/>
        <v>10</v>
      </c>
      <c r="E2209" s="1051" t="str">
        <f>IF(COUNTIF(E$2181:E2208,F2209)&gt;0,"",F2209)</f>
        <v>2017 - mix moyen, France continentale, Base Carbone</v>
      </c>
      <c r="F2209" s="1051" t="str">
        <f t="shared" si="195"/>
        <v>2017 - mix moyen, France continentale, Base Carbone</v>
      </c>
      <c r="G2209" s="1055" t="str">
        <f t="shared" si="196"/>
        <v>2017 - mix moyen, France continentale, Base Carbone; kgCO2e/kWh, Combustion à la centrale</v>
      </c>
      <c r="I2209" s="2018" t="s">
        <v>3254</v>
      </c>
      <c r="J2209" s="1135" t="s">
        <v>1681</v>
      </c>
      <c r="K2209" s="1119" t="s">
        <v>1567</v>
      </c>
      <c r="L2209" s="1135" t="s">
        <v>1571</v>
      </c>
      <c r="M2209" s="1134">
        <v>0.1</v>
      </c>
      <c r="N2209" s="1135" t="s">
        <v>1763</v>
      </c>
      <c r="O2209" s="1135">
        <v>3.8899999999999997E-2</v>
      </c>
      <c r="P2209" s="1135"/>
      <c r="Q2209" s="1048"/>
      <c r="R2209" s="1158"/>
      <c r="S2209" s="1048"/>
      <c r="T2209" s="1048"/>
      <c r="U2209" s="1102"/>
    </row>
    <row r="2210" spans="4:21" hidden="1" outlineLevel="2">
      <c r="D2210" s="1051">
        <f t="shared" si="194"/>
        <v>10</v>
      </c>
      <c r="E2210" s="1051" t="str">
        <f>IF(COUNTIF(E$2181:E2209,F2210)&gt;0,"",F2210)</f>
        <v/>
      </c>
      <c r="F2210" s="1051" t="str">
        <f t="shared" si="195"/>
        <v>2017 - mix moyen, France continentale, Base Carbone</v>
      </c>
      <c r="G2210" s="1055" t="str">
        <f t="shared" si="196"/>
        <v>2017 - mix moyen, France continentale, Base Carbone; kgCO2e/kWh, combustibles</v>
      </c>
      <c r="I2210" s="2018" t="s">
        <v>3254</v>
      </c>
      <c r="J2210" s="1135" t="s">
        <v>1681</v>
      </c>
      <c r="K2210" s="1119" t="s">
        <v>1567</v>
      </c>
      <c r="L2210" s="1135" t="s">
        <v>1571</v>
      </c>
      <c r="M2210" s="1134">
        <v>0.1</v>
      </c>
      <c r="N2210" s="1135" t="s">
        <v>1765</v>
      </c>
      <c r="O2210" s="1135">
        <v>1.18E-2</v>
      </c>
      <c r="P2210" s="1135"/>
      <c r="Q2210" s="1048"/>
      <c r="R2210" s="1158"/>
      <c r="S2210" s="1048"/>
      <c r="T2210" s="1048"/>
      <c r="U2210" s="1102"/>
    </row>
    <row r="2211" spans="4:21" hidden="1" outlineLevel="2">
      <c r="D2211" s="1051">
        <f t="shared" si="194"/>
        <v>10</v>
      </c>
      <c r="E2211" s="1051" t="str">
        <f>IF(COUNTIF(E$2181:E2210,F2211)&gt;0,"",F2211)</f>
        <v/>
      </c>
      <c r="F2211" s="1051" t="str">
        <f t="shared" si="195"/>
        <v>2017 - mix moyen, France continentale, Base Carbone</v>
      </c>
      <c r="G2211" s="1055" t="str">
        <f t="shared" si="196"/>
        <v>2017 - mix moyen, France continentale, Base Carbone; kgCO2e/kWh, Pertes</v>
      </c>
      <c r="I2211" s="2018" t="s">
        <v>3254</v>
      </c>
      <c r="J2211" s="1135" t="s">
        <v>1681</v>
      </c>
      <c r="K2211" s="1119" t="s">
        <v>1567</v>
      </c>
      <c r="L2211" s="1135" t="s">
        <v>1571</v>
      </c>
      <c r="M2211" s="1134">
        <v>0.1</v>
      </c>
      <c r="N2211" s="1135" t="s">
        <v>1766</v>
      </c>
      <c r="O2211" s="1135">
        <v>5.1000000000000004E-3</v>
      </c>
      <c r="P2211" s="1135"/>
      <c r="Q2211" s="1048"/>
      <c r="R2211" s="1158"/>
      <c r="S2211" s="1048"/>
      <c r="T2211" s="1048"/>
      <c r="U2211" s="1102"/>
    </row>
    <row r="2212" spans="4:21" hidden="1" outlineLevel="2">
      <c r="D2212" s="1051">
        <f t="shared" si="194"/>
        <v>11</v>
      </c>
      <c r="E2212" s="1051" t="str">
        <f>IF(COUNTIF(E$2181:E2211,F2212)&gt;0,"",F2212)</f>
        <v>2018 - mix moyen, France continentale, Base Carbone</v>
      </c>
      <c r="F2212" s="1051" t="str">
        <f t="shared" si="195"/>
        <v>2018 - mix moyen, France continentale, Base Carbone</v>
      </c>
      <c r="G2212" s="1055" t="str">
        <f t="shared" si="196"/>
        <v>2018 - mix moyen, France continentale, Base Carbone; kgCO2e/kWh, Combustion à la centrale</v>
      </c>
      <c r="I2212" s="2018" t="s">
        <v>3255</v>
      </c>
      <c r="J2212" s="1135" t="s">
        <v>1681</v>
      </c>
      <c r="K2212" s="1119" t="s">
        <v>1567</v>
      </c>
      <c r="L2212" s="1135" t="s">
        <v>1571</v>
      </c>
      <c r="M2212" s="1134">
        <v>0.1</v>
      </c>
      <c r="N2212" s="1135" t="s">
        <v>1763</v>
      </c>
      <c r="O2212" s="1135">
        <v>3.95E-2</v>
      </c>
      <c r="P2212" s="1135"/>
      <c r="Q2212" s="1048"/>
      <c r="R2212" s="1158"/>
      <c r="S2212" s="1048"/>
      <c r="T2212" s="1048"/>
      <c r="U2212" s="1102"/>
    </row>
    <row r="2213" spans="4:21" hidden="1" outlineLevel="2">
      <c r="D2213" s="1051">
        <f t="shared" si="194"/>
        <v>11</v>
      </c>
      <c r="E2213" s="1051" t="str">
        <f>IF(COUNTIF(E$2181:E2212,F2213)&gt;0,"",F2213)</f>
        <v/>
      </c>
      <c r="F2213" s="1051" t="str">
        <f t="shared" si="195"/>
        <v>2018 - mix moyen, France continentale, Base Carbone</v>
      </c>
      <c r="G2213" s="1055" t="str">
        <f t="shared" si="196"/>
        <v>2018 - mix moyen, France continentale, Base Carbone; kgCO2e/kWh, combustibles</v>
      </c>
      <c r="I2213" s="2018" t="s">
        <v>3255</v>
      </c>
      <c r="J2213" s="1135" t="s">
        <v>1681</v>
      </c>
      <c r="K2213" s="1119" t="s">
        <v>1567</v>
      </c>
      <c r="L2213" s="1135" t="s">
        <v>1571</v>
      </c>
      <c r="M2213" s="1134">
        <v>0.1</v>
      </c>
      <c r="N2213" s="1135" t="s">
        <v>1765</v>
      </c>
      <c r="O2213" s="1135">
        <v>1.2500000000000001E-2</v>
      </c>
      <c r="P2213" s="1135"/>
      <c r="Q2213" s="1048"/>
      <c r="R2213" s="1158"/>
      <c r="S2213" s="1048"/>
      <c r="T2213" s="1048"/>
      <c r="U2213" s="1102"/>
    </row>
    <row r="2214" spans="4:21" hidden="1" outlineLevel="2">
      <c r="D2214" s="1051">
        <f t="shared" si="194"/>
        <v>11</v>
      </c>
      <c r="E2214" s="1051" t="str">
        <f>IF(COUNTIF(E$2181:E2213,F2214)&gt;0,"",F2214)</f>
        <v/>
      </c>
      <c r="F2214" s="1051" t="str">
        <f t="shared" si="195"/>
        <v>2018 - mix moyen, France continentale, Base Carbone</v>
      </c>
      <c r="G2214" s="1055" t="str">
        <f t="shared" si="196"/>
        <v>2018 - mix moyen, France continentale, Base Carbone; kgCO2e/kWh, Pertes</v>
      </c>
      <c r="I2214" s="2018" t="s">
        <v>3255</v>
      </c>
      <c r="J2214" s="1135" t="s">
        <v>1681</v>
      </c>
      <c r="K2214" s="1119" t="s">
        <v>1567</v>
      </c>
      <c r="L2214" s="1135" t="s">
        <v>1571</v>
      </c>
      <c r="M2214" s="1134">
        <v>0.1</v>
      </c>
      <c r="N2214" s="1135" t="s">
        <v>1766</v>
      </c>
      <c r="O2214" s="1135">
        <v>5.1000000000000004E-3</v>
      </c>
      <c r="P2214" s="1135"/>
      <c r="Q2214" s="1048"/>
      <c r="R2214" s="1158"/>
      <c r="S2214" s="1048"/>
      <c r="T2214" s="1048"/>
      <c r="U2214" s="1102"/>
    </row>
    <row r="2215" spans="4:21" hidden="1" outlineLevel="2">
      <c r="D2215" s="1051">
        <f t="shared" si="194"/>
        <v>12</v>
      </c>
      <c r="E2215" s="1051" t="str">
        <f>IF(COUNTIF(E$2181:E2214,F2215)&gt;0,"",F2215)</f>
        <v>2019 - mix moyen, France continentale, Base Carbone</v>
      </c>
      <c r="F2215" s="1051" t="str">
        <f t="shared" si="195"/>
        <v>2019 - mix moyen, France continentale, Base Carbone</v>
      </c>
      <c r="G2215" s="1055" t="str">
        <f t="shared" si="196"/>
        <v>2019 - mix moyen, France continentale, Base Carbone; kgCO2e/kWh, Combustion à la centrale</v>
      </c>
      <c r="I2215" s="2018" t="s">
        <v>4122</v>
      </c>
      <c r="J2215" s="1135" t="s">
        <v>1681</v>
      </c>
      <c r="K2215" s="1119" t="s">
        <v>1567</v>
      </c>
      <c r="L2215" s="1135" t="s">
        <v>1571</v>
      </c>
      <c r="M2215" s="1134">
        <v>0.1</v>
      </c>
      <c r="N2215" s="1135" t="s">
        <v>1763</v>
      </c>
      <c r="O2215" s="1119">
        <v>4.1799999999999997E-2</v>
      </c>
      <c r="P2215" s="1048"/>
      <c r="Q2215" s="1048"/>
      <c r="R2215" s="1158"/>
      <c r="S2215" s="1048"/>
      <c r="T2215" s="1048"/>
      <c r="U2215" s="1102"/>
    </row>
    <row r="2216" spans="4:21" hidden="1" outlineLevel="2">
      <c r="D2216" s="1051">
        <f t="shared" si="194"/>
        <v>12</v>
      </c>
      <c r="E2216" s="1051" t="str">
        <f>IF(COUNTIF(E$2181:E2215,F2216)&gt;0,"",F2216)</f>
        <v/>
      </c>
      <c r="F2216" s="1051" t="str">
        <f t="shared" si="195"/>
        <v>2019 - mix moyen, France continentale, Base Carbone</v>
      </c>
      <c r="G2216" s="1055" t="str">
        <f t="shared" si="196"/>
        <v>2019 - mix moyen, France continentale, Base Carbone; kgCO2e/kWh, combustibles</v>
      </c>
      <c r="I2216" s="2018" t="s">
        <v>4122</v>
      </c>
      <c r="J2216" s="1135" t="s">
        <v>1681</v>
      </c>
      <c r="K2216" s="1119" t="s">
        <v>1567</v>
      </c>
      <c r="L2216" s="1135" t="s">
        <v>1571</v>
      </c>
      <c r="M2216" s="1134">
        <v>0.1</v>
      </c>
      <c r="N2216" s="1119" t="s">
        <v>1765</v>
      </c>
      <c r="O2216" s="1119">
        <v>1.35E-2</v>
      </c>
      <c r="P2216" s="1048"/>
      <c r="Q2216" s="1048"/>
      <c r="R2216" s="1158"/>
      <c r="S2216" s="1048"/>
      <c r="T2216" s="1048"/>
      <c r="U2216" s="1102"/>
    </row>
    <row r="2217" spans="4:21" hidden="1" outlineLevel="2">
      <c r="D2217" s="1051">
        <f t="shared" si="194"/>
        <v>12</v>
      </c>
      <c r="E2217" s="1051" t="str">
        <f>IF(COUNTIF(E$2181:E2216,F2217)&gt;0,"",F2217)</f>
        <v/>
      </c>
      <c r="F2217" s="1051" t="str">
        <f t="shared" si="195"/>
        <v>2019 - mix moyen, France continentale, Base Carbone</v>
      </c>
      <c r="G2217" s="1055" t="str">
        <f t="shared" si="196"/>
        <v>2019 - mix moyen, France continentale, Base Carbone; kgCO2e/kWh, Pertes</v>
      </c>
      <c r="I2217" s="1034" t="s">
        <v>4122</v>
      </c>
      <c r="J2217" s="1135" t="s">
        <v>1681</v>
      </c>
      <c r="K2217" s="1119" t="s">
        <v>1567</v>
      </c>
      <c r="L2217" s="1135" t="s">
        <v>1571</v>
      </c>
      <c r="M2217" s="1136">
        <v>0.1</v>
      </c>
      <c r="N2217" s="1119" t="s">
        <v>1766</v>
      </c>
      <c r="O2217" s="1119">
        <v>5.4000000000000003E-3</v>
      </c>
      <c r="P2217" s="1048"/>
      <c r="Q2217" s="1048"/>
      <c r="R2217" s="1158"/>
      <c r="S2217" s="1048"/>
      <c r="T2217" s="1048"/>
      <c r="U2217" s="1102"/>
    </row>
    <row r="2218" spans="4:21" hidden="1" outlineLevel="2">
      <c r="D2218" s="1051">
        <f t="shared" si="194"/>
        <v>13</v>
      </c>
      <c r="E2218" s="1051" t="str">
        <f>IF(COUNTIF(E$2181:E2217,F2218)&gt;0,"",F2218)</f>
        <v>2020 - mix moyen, France continentale, Base Carbone</v>
      </c>
      <c r="F2218" s="1051" t="str">
        <f t="shared" si="195"/>
        <v>2020 - mix moyen, France continentale, Base Carbone</v>
      </c>
      <c r="G2218" s="1055" t="str">
        <f t="shared" si="196"/>
        <v>2020 - mix moyen, France continentale, Base Carbone; kgCO2e/kWh, Combustion à la centrale</v>
      </c>
      <c r="I2218" s="1034" t="s">
        <v>4123</v>
      </c>
      <c r="J2218" s="1119" t="s">
        <v>1681</v>
      </c>
      <c r="K2218" s="1119" t="s">
        <v>1567</v>
      </c>
      <c r="L2218" s="1119" t="s">
        <v>1571</v>
      </c>
      <c r="M2218" s="1136">
        <v>0.1</v>
      </c>
      <c r="N2218" s="1119" t="s">
        <v>1763</v>
      </c>
      <c r="O2218" s="1119">
        <v>4.07E-2</v>
      </c>
      <c r="P2218" s="1048"/>
      <c r="Q2218" s="1048"/>
      <c r="R2218" s="1158"/>
      <c r="S2218" s="1048"/>
      <c r="T2218" s="1048"/>
      <c r="U2218" s="1102"/>
    </row>
    <row r="2219" spans="4:21" hidden="1" outlineLevel="2">
      <c r="D2219" s="1051">
        <f t="shared" si="194"/>
        <v>13</v>
      </c>
      <c r="E2219" s="1051" t="str">
        <f>IF(COUNTIF(E$2181:E2218,F2219)&gt;0,"",F2219)</f>
        <v/>
      </c>
      <c r="F2219" s="1051" t="str">
        <f t="shared" si="195"/>
        <v>2020 - mix moyen, France continentale, Base Carbone</v>
      </c>
      <c r="G2219" s="1055" t="str">
        <f t="shared" si="196"/>
        <v>2020 - mix moyen, France continentale, Base Carbone; kgCO2e/kWh, combustibles</v>
      </c>
      <c r="I2219" s="2018" t="s">
        <v>4123</v>
      </c>
      <c r="J2219" s="1135" t="s">
        <v>1681</v>
      </c>
      <c r="K2219" s="1119" t="s">
        <v>1567</v>
      </c>
      <c r="L2219" s="1135" t="s">
        <v>1571</v>
      </c>
      <c r="M2219" s="1134">
        <v>0.1</v>
      </c>
      <c r="N2219" s="1119" t="s">
        <v>1765</v>
      </c>
      <c r="O2219" s="1119">
        <v>1.38E-2</v>
      </c>
      <c r="P2219" s="1048"/>
      <c r="Q2219" s="1048"/>
      <c r="R2219" s="1158"/>
      <c r="S2219" s="1048"/>
      <c r="T2219" s="1048"/>
      <c r="U2219" s="1102"/>
    </row>
    <row r="2220" spans="4:21" hidden="1" outlineLevel="2">
      <c r="D2220" s="1051">
        <f t="shared" si="194"/>
        <v>13</v>
      </c>
      <c r="E2220" s="1051" t="str">
        <f>IF(COUNTIF(E$2181:E2219,F2220)&gt;0,"",F2220)</f>
        <v/>
      </c>
      <c r="F2220" s="1051" t="str">
        <f t="shared" si="195"/>
        <v>2020 - mix moyen, France continentale, Base Carbone</v>
      </c>
      <c r="G2220" s="1055" t="str">
        <f t="shared" si="196"/>
        <v>2020 - mix moyen, France continentale, Base Carbone; kgCO2e/kWh, Pertes</v>
      </c>
      <c r="I2220" s="2018" t="s">
        <v>4123</v>
      </c>
      <c r="J2220" s="1135" t="s">
        <v>1681</v>
      </c>
      <c r="K2220" s="1119" t="s">
        <v>1567</v>
      </c>
      <c r="L2220" s="1135" t="s">
        <v>1571</v>
      </c>
      <c r="M2220" s="1134">
        <v>0.1</v>
      </c>
      <c r="N2220" s="1119" t="s">
        <v>1766</v>
      </c>
      <c r="O2220" s="1119">
        <v>5.4000000000000003E-3</v>
      </c>
      <c r="P2220" s="1048"/>
      <c r="Q2220" s="1048"/>
      <c r="R2220" s="1158"/>
      <c r="S2220" s="1048"/>
      <c r="T2220" s="1048"/>
      <c r="U2220" s="1102"/>
    </row>
    <row r="2221" spans="4:21" hidden="1" outlineLevel="2">
      <c r="D2221" s="1051">
        <f t="shared" si="194"/>
        <v>13</v>
      </c>
      <c r="E2221" s="1051" t="str">
        <f>IF(COUNTIF(E$2181:E2220,F2221)&gt;0,"",F2221)</f>
        <v/>
      </c>
      <c r="F2221" s="1051" t="str">
        <f t="shared" si="195"/>
        <v/>
      </c>
      <c r="G2221" s="1055" t="str">
        <f t="shared" si="196"/>
        <v/>
      </c>
      <c r="I2221" s="2018"/>
      <c r="J2221" s="1135"/>
      <c r="K2221" s="1119"/>
      <c r="L2221" s="1135"/>
      <c r="M2221" s="1134"/>
      <c r="N2221" s="2017"/>
      <c r="O2221" s="1135"/>
      <c r="P2221" s="1048"/>
      <c r="Q2221" s="1048"/>
      <c r="R2221" s="1158"/>
      <c r="S2221" s="1048"/>
      <c r="T2221" s="1048"/>
      <c r="U2221" s="1102"/>
    </row>
    <row r="2222" spans="4:21" hidden="1" outlineLevel="2">
      <c r="D2222" s="1051">
        <f t="shared" si="194"/>
        <v>13</v>
      </c>
      <c r="E2222" s="1051" t="str">
        <f>IF(COUNTIF(E$2181:E2221,F2222)&gt;0,"",F2222)</f>
        <v/>
      </c>
      <c r="F2222" s="1051" t="str">
        <f t="shared" si="195"/>
        <v/>
      </c>
      <c r="G2222" s="1055" t="str">
        <f t="shared" si="196"/>
        <v/>
      </c>
      <c r="I2222" s="2018"/>
      <c r="J2222" s="1135"/>
      <c r="K2222" s="1119"/>
      <c r="L2222" s="1135"/>
      <c r="M2222" s="1134"/>
      <c r="N2222" s="2017"/>
      <c r="O2222" s="1135"/>
      <c r="P2222" s="1048"/>
      <c r="Q2222" s="1048"/>
      <c r="R2222" s="1158"/>
      <c r="S2222" s="1048"/>
      <c r="T2222" s="1048"/>
      <c r="U2222" s="1102"/>
    </row>
    <row r="2223" spans="4:21" hidden="1" outlineLevel="2">
      <c r="D2223" s="1051">
        <f t="shared" si="194"/>
        <v>13</v>
      </c>
      <c r="E2223" s="1051" t="str">
        <f>IF(COUNTIF(E$2181:E2222,F2223)&gt;0,"",F2223)</f>
        <v/>
      </c>
      <c r="F2223" s="1051" t="str">
        <f t="shared" si="195"/>
        <v/>
      </c>
      <c r="G2223" s="1055" t="str">
        <f t="shared" si="196"/>
        <v/>
      </c>
      <c r="I2223" s="2018"/>
      <c r="J2223" s="1135"/>
      <c r="K2223" s="1119"/>
      <c r="L2223" s="1135"/>
      <c r="M2223" s="1134"/>
      <c r="N2223" s="2017"/>
      <c r="O2223" s="1135"/>
      <c r="P2223" s="1048"/>
      <c r="Q2223" s="1048"/>
      <c r="R2223" s="1158"/>
      <c r="S2223" s="1048"/>
      <c r="T2223" s="1048"/>
      <c r="U2223" s="1102"/>
    </row>
    <row r="2224" spans="4:21" hidden="1" outlineLevel="2">
      <c r="D2224" s="1051">
        <f t="shared" si="194"/>
        <v>13</v>
      </c>
      <c r="E2224" s="1051" t="str">
        <f>IF(COUNTIF(E$2181:E2223,F2224)&gt;0,"",F2224)</f>
        <v/>
      </c>
      <c r="F2224" s="1051" t="str">
        <f t="shared" si="195"/>
        <v/>
      </c>
      <c r="G2224" s="1055" t="str">
        <f t="shared" si="196"/>
        <v/>
      </c>
      <c r="I2224" s="2018"/>
      <c r="J2224" s="1135"/>
      <c r="K2224" s="1119"/>
      <c r="L2224" s="1135"/>
      <c r="M2224" s="1134"/>
      <c r="N2224" s="2017"/>
      <c r="O2224" s="1135"/>
      <c r="P2224" s="1048"/>
      <c r="Q2224" s="1048"/>
      <c r="R2224" s="1158"/>
      <c r="S2224" s="1048"/>
      <c r="T2224" s="1048"/>
      <c r="U2224" s="1102"/>
    </row>
    <row r="2225" spans="2:21" hidden="1" outlineLevel="2">
      <c r="D2225" s="1051">
        <f t="shared" si="194"/>
        <v>13</v>
      </c>
      <c r="E2225" s="1051" t="str">
        <f>IF(COUNTIF(E$2181:E2224,F2225)&gt;0,"",F2225)</f>
        <v/>
      </c>
      <c r="F2225" s="1051" t="str">
        <f t="shared" si="195"/>
        <v/>
      </c>
      <c r="G2225" s="1055" t="str">
        <f t="shared" si="196"/>
        <v/>
      </c>
      <c r="I2225" s="2018"/>
      <c r="J2225" s="1135"/>
      <c r="K2225" s="1119"/>
      <c r="L2225" s="1135"/>
      <c r="M2225" s="1134"/>
      <c r="N2225" s="2017"/>
      <c r="O2225" s="1135"/>
      <c r="P2225" s="1048"/>
      <c r="Q2225" s="1048"/>
      <c r="R2225" s="1158"/>
      <c r="S2225" s="1048"/>
      <c r="T2225" s="1048"/>
      <c r="U2225" s="1102"/>
    </row>
    <row r="2226" spans="2:21" hidden="1" outlineLevel="2">
      <c r="D2226" s="1051">
        <f t="shared" si="194"/>
        <v>13</v>
      </c>
      <c r="E2226" s="1051" t="str">
        <f>IF(COUNTIF(E$2181:E2225,F2226)&gt;0,"",F2226)</f>
        <v/>
      </c>
      <c r="F2226" s="1051" t="str">
        <f t="shared" si="195"/>
        <v/>
      </c>
      <c r="G2226" s="1055" t="str">
        <f t="shared" si="196"/>
        <v/>
      </c>
      <c r="I2226" s="2018"/>
      <c r="J2226" s="1135"/>
      <c r="K2226" s="1119"/>
      <c r="L2226" s="1135"/>
      <c r="M2226" s="1134"/>
      <c r="N2226" s="2017"/>
      <c r="O2226" s="1135"/>
      <c r="P2226" s="1048"/>
      <c r="Q2226" s="1048"/>
      <c r="R2226" s="1158"/>
      <c r="S2226" s="1048"/>
      <c r="T2226" s="1048"/>
      <c r="U2226" s="1102"/>
    </row>
    <row r="2227" spans="2:21" hidden="1" outlineLevel="2">
      <c r="D2227" s="1051">
        <f t="shared" si="194"/>
        <v>13</v>
      </c>
      <c r="E2227" s="1051" t="str">
        <f>IF(COUNTIF(E$2181:E2226,F2227)&gt;0,"",F2227)</f>
        <v/>
      </c>
      <c r="F2227" s="1051" t="str">
        <f t="shared" si="195"/>
        <v/>
      </c>
      <c r="G2227" s="1055" t="str">
        <f t="shared" si="196"/>
        <v/>
      </c>
      <c r="I2227" s="2018"/>
      <c r="J2227" s="1135"/>
      <c r="K2227" s="1119"/>
      <c r="L2227" s="1135"/>
      <c r="M2227" s="1134"/>
      <c r="N2227" s="2017"/>
      <c r="O2227" s="1135"/>
      <c r="P2227" s="1048"/>
      <c r="Q2227" s="1048"/>
      <c r="R2227" s="1158"/>
      <c r="S2227" s="1048"/>
      <c r="T2227" s="1048"/>
      <c r="U2227" s="1102"/>
    </row>
    <row r="2228" spans="2:21" hidden="1" outlineLevel="2">
      <c r="D2228" s="1051">
        <f t="shared" si="194"/>
        <v>13</v>
      </c>
      <c r="E2228" s="1051" t="str">
        <f>IF(COUNTIF(E$2181:E2227,F2228)&gt;0,"",F2228)</f>
        <v/>
      </c>
      <c r="F2228" s="1051" t="str">
        <f t="shared" si="195"/>
        <v/>
      </c>
      <c r="G2228" s="1055" t="str">
        <f t="shared" si="196"/>
        <v/>
      </c>
      <c r="I2228" s="2018"/>
      <c r="J2228" s="1135"/>
      <c r="K2228" s="1119"/>
      <c r="L2228" s="1135"/>
      <c r="M2228" s="1134"/>
      <c r="N2228" s="2017"/>
      <c r="O2228" s="1135"/>
      <c r="P2228" s="1048"/>
      <c r="Q2228" s="1048"/>
      <c r="R2228" s="1158"/>
      <c r="S2228" s="1048"/>
      <c r="T2228" s="1048"/>
      <c r="U2228" s="1102"/>
    </row>
    <row r="2229" spans="2:21" hidden="1" outlineLevel="2">
      <c r="D2229" s="1051">
        <f t="shared" si="194"/>
        <v>13</v>
      </c>
      <c r="E2229" s="1051" t="str">
        <f>IF(COUNTIF(E$2181:E2228,F2229)&gt;0,"",F2229)</f>
        <v/>
      </c>
      <c r="F2229" s="1051" t="str">
        <f t="shared" si="195"/>
        <v/>
      </c>
      <c r="G2229" s="1055" t="str">
        <f t="shared" si="196"/>
        <v/>
      </c>
      <c r="I2229" s="1100"/>
      <c r="J2229" s="1048"/>
      <c r="K2229" s="1119"/>
      <c r="L2229" s="1048"/>
      <c r="M2229" s="1101"/>
      <c r="N2229" s="1048"/>
      <c r="O2229" s="1048"/>
      <c r="P2229" s="1048"/>
      <c r="Q2229" s="1048"/>
      <c r="R2229" s="1158"/>
      <c r="S2229" s="1048"/>
      <c r="T2229" s="1048"/>
      <c r="U2229" s="1102"/>
    </row>
    <row r="2230" spans="2:21" s="1045" customFormat="1" hidden="1" outlineLevel="1">
      <c r="G2230" s="1135"/>
      <c r="I2230" s="1711"/>
      <c r="J2230" s="1712"/>
      <c r="K2230" s="1720"/>
      <c r="L2230" s="1712"/>
      <c r="M2230" s="1713"/>
      <c r="N2230" s="1712"/>
      <c r="O2230" s="1712"/>
      <c r="P2230" s="1712"/>
      <c r="Q2230" s="1712"/>
      <c r="R2230" s="1721"/>
      <c r="S2230" s="1712"/>
      <c r="T2230" s="1712"/>
      <c r="U2230" s="1714"/>
    </row>
    <row r="2231" spans="2:21" s="1045" customFormat="1" ht="12" hidden="1" customHeight="1" outlineLevel="1">
      <c r="G2231" s="1135"/>
      <c r="I2231" s="1711"/>
      <c r="J2231" s="3146" t="s">
        <v>3302</v>
      </c>
      <c r="K2231" s="3147"/>
      <c r="L2231" s="3150">
        <f>O2214/SUM(O2212:O2214)</f>
        <v>8.9316987740805598E-2</v>
      </c>
      <c r="M2231" s="3150"/>
      <c r="N2231" s="3151"/>
      <c r="O2231" s="1712"/>
      <c r="P2231" s="1712"/>
      <c r="Q2231" s="1712"/>
      <c r="R2231" s="1721"/>
      <c r="S2231" s="1712"/>
      <c r="T2231" s="1712"/>
      <c r="U2231" s="1714"/>
    </row>
    <row r="2232" spans="2:21" s="1045" customFormat="1" ht="12" hidden="1" customHeight="1" outlineLevel="1">
      <c r="G2232" s="1135"/>
      <c r="I2232" s="1711"/>
      <c r="J2232" s="3148"/>
      <c r="K2232" s="3149"/>
      <c r="L2232" s="3152"/>
      <c r="M2232" s="3152"/>
      <c r="N2232" s="3153"/>
      <c r="O2232" s="1712"/>
      <c r="P2232" s="1712"/>
      <c r="Q2232" s="1712"/>
      <c r="R2232" s="1721"/>
      <c r="S2232" s="1712"/>
      <c r="T2232" s="1712"/>
      <c r="U2232" s="1714"/>
    </row>
    <row r="2233" spans="2:21" s="1045" customFormat="1" hidden="1" outlineLevel="1">
      <c r="G2233" s="1135"/>
      <c r="I2233" s="1711"/>
      <c r="J2233" s="1712"/>
      <c r="K2233" s="1720"/>
      <c r="L2233" s="1712"/>
      <c r="M2233" s="1713"/>
      <c r="N2233" s="1712"/>
      <c r="O2233" s="1712"/>
      <c r="P2233" s="1712"/>
      <c r="Q2233" s="1712"/>
      <c r="R2233" s="1721"/>
      <c r="S2233" s="1712"/>
      <c r="T2233" s="1712"/>
      <c r="U2233" s="1714"/>
    </row>
    <row r="2234" spans="2:21" ht="12" hidden="1" customHeight="1" outlineLevel="1" collapsed="1">
      <c r="B2234" s="3155" t="s">
        <v>1772</v>
      </c>
      <c r="C2234" s="3155"/>
      <c r="D2234" s="1051">
        <v>0</v>
      </c>
      <c r="E2234" s="1051"/>
      <c r="F2234" s="1051" t="str">
        <f t="shared" si="190"/>
        <v/>
      </c>
      <c r="G2234" s="1055" t="str">
        <f t="shared" si="191"/>
        <v/>
      </c>
      <c r="I2234" s="1711"/>
      <c r="J2234" s="1712"/>
      <c r="K2234" s="1720"/>
      <c r="L2234" s="1712"/>
      <c r="M2234" s="1713"/>
      <c r="N2234" s="1712"/>
      <c r="O2234" s="1712"/>
      <c r="P2234" s="1712"/>
      <c r="Q2234" s="1712"/>
      <c r="R2234" s="1721"/>
      <c r="S2234" s="1712"/>
      <c r="T2234" s="1712"/>
      <c r="U2234" s="1714"/>
    </row>
    <row r="2235" spans="2:21" hidden="1" outlineLevel="2">
      <c r="B2235" s="1050">
        <v>1</v>
      </c>
      <c r="C2235" s="1050" t="str">
        <f>IF(ISNA(VLOOKUP(B2235,$D$2235:$E$2276,2,FALSE)),"-",VLOOKUP(B2235,$D$2235:$E$2276,2,FALSE))</f>
        <v>mix moyen, Guadeloupe hors COM, Base Carbone</v>
      </c>
      <c r="D2235" s="1051">
        <f>D2234+IF(LEN(E2235)=0,0,1)</f>
        <v>1</v>
      </c>
      <c r="E2235" s="1051" t="str">
        <f>IF(COUNTIF(E$2234:E2234,F2235)&gt;0,"",F2235)</f>
        <v>mix moyen, Guadeloupe hors COM, Base Carbone</v>
      </c>
      <c r="F2235" s="1051" t="str">
        <f>IF(I2235&lt;&gt;"",I2235&amp;IF(L2235&lt;&gt;"",", "&amp;L2235,"")&amp;IF(K2235&lt;&gt;"",", "&amp;K2235,""),"")</f>
        <v>mix moyen, Guadeloupe hors COM, Base Carbone</v>
      </c>
      <c r="G2235" s="1055" t="str">
        <f t="shared" si="191"/>
        <v>mix moyen, Guadeloupe hors COM, Base Carbone; kgCO2e/kWh, Combustion à la centrale</v>
      </c>
      <c r="I2235" s="1100" t="s">
        <v>1758</v>
      </c>
      <c r="J2235" s="1048" t="s">
        <v>1681</v>
      </c>
      <c r="K2235" s="1119" t="s">
        <v>1567</v>
      </c>
      <c r="L2235" s="1048" t="s">
        <v>3099</v>
      </c>
      <c r="M2235" s="1101">
        <v>0.15</v>
      </c>
      <c r="N2235" s="1048" t="s">
        <v>1763</v>
      </c>
      <c r="O2235" s="1048">
        <v>0.79300000000000004</v>
      </c>
      <c r="P2235" s="1048">
        <v>0.78600000000000003</v>
      </c>
      <c r="Q2235" s="1048">
        <v>1.56E-3</v>
      </c>
      <c r="R2235" s="1048">
        <v>0</v>
      </c>
      <c r="S2235" s="1048">
        <v>5.5599999999999998E-3</v>
      </c>
      <c r="T2235" s="1048">
        <v>0</v>
      </c>
      <c r="U2235" s="1102">
        <v>0</v>
      </c>
    </row>
    <row r="2236" spans="2:21" hidden="1" outlineLevel="2">
      <c r="B2236" s="1050">
        <v>2</v>
      </c>
      <c r="C2236" s="1050" t="str">
        <f t="shared" ref="C2236:C2249" si="197">IF(ISNA(VLOOKUP(B2236,$D$2235:$E$2276,2,FALSE)),"-",VLOOKUP(B2236,$D$2235:$E$2276,2,FALSE))</f>
        <v>mix moyen, St Pierre et Miquelon, Base Carbone</v>
      </c>
      <c r="D2236" s="1051">
        <f t="shared" ref="D2236:D2276" si="198">D2235+IF(LEN(E2236)=0,0,1)</f>
        <v>1</v>
      </c>
      <c r="E2236" s="1051" t="str">
        <f>IF(COUNTIF(E$2234:E2235,F2236)&gt;0,"",F2236)</f>
        <v/>
      </c>
      <c r="F2236" s="1051" t="str">
        <f t="shared" ref="F2236:F2276" si="199">IF(I2236&lt;&gt;"",I2236&amp;IF(L2236&lt;&gt;"",", "&amp;L2236,"")&amp;IF(K2236&lt;&gt;"",", "&amp;K2236,""),"")</f>
        <v>mix moyen, Guadeloupe hors COM, Base Carbone</v>
      </c>
      <c r="G2236" s="1055" t="str">
        <f t="shared" ref="G2236:G2276" si="200">IF(F2236&lt;&gt;"",F2236&amp;IF(J2236&lt;&gt;"","; "&amp;J2236,"")&amp;IF(N2236&lt;&gt;"",", "&amp;N2236,""),"")</f>
        <v>mix moyen, Guadeloupe hors COM, Base Carbone; kgCO2e/kWh, Emissions fugitives</v>
      </c>
      <c r="I2236" s="1100" t="s">
        <v>1758</v>
      </c>
      <c r="J2236" s="1048" t="s">
        <v>1681</v>
      </c>
      <c r="K2236" s="1119" t="s">
        <v>1567</v>
      </c>
      <c r="L2236" s="1048" t="s">
        <v>3099</v>
      </c>
      <c r="M2236" s="1101">
        <v>0.15</v>
      </c>
      <c r="N2236" s="1048" t="s">
        <v>1764</v>
      </c>
      <c r="O2236" s="1048">
        <v>6.1999999999999998E-3</v>
      </c>
      <c r="P2236" s="1048">
        <v>0</v>
      </c>
      <c r="Q2236" s="1048">
        <v>0</v>
      </c>
      <c r="R2236" s="1048">
        <v>0</v>
      </c>
      <c r="S2236" s="1048">
        <v>0</v>
      </c>
      <c r="T2236" s="1048">
        <v>0</v>
      </c>
      <c r="U2236" s="1102">
        <v>0</v>
      </c>
    </row>
    <row r="2237" spans="2:21" hidden="1" outlineLevel="2">
      <c r="B2237" s="1050">
        <v>3</v>
      </c>
      <c r="C2237" s="1050" t="str">
        <f t="shared" si="197"/>
        <v>mix moyen, St Martin, Base Carbone</v>
      </c>
      <c r="D2237" s="1051">
        <f t="shared" si="198"/>
        <v>1</v>
      </c>
      <c r="E2237" s="1051" t="str">
        <f>IF(COUNTIF(E$2234:E2236,F2237)&gt;0,"",F2237)</f>
        <v/>
      </c>
      <c r="F2237" s="1051" t="str">
        <f t="shared" si="199"/>
        <v>mix moyen, Guadeloupe hors COM, Base Carbone</v>
      </c>
      <c r="G2237" s="1055" t="str">
        <f t="shared" si="200"/>
        <v>mix moyen, Guadeloupe hors COM, Base Carbone; kgCO2e/kWh, Amont</v>
      </c>
      <c r="I2237" s="1100" t="s">
        <v>1758</v>
      </c>
      <c r="J2237" s="1048" t="s">
        <v>1681</v>
      </c>
      <c r="K2237" s="1119" t="s">
        <v>1567</v>
      </c>
      <c r="L2237" s="1048" t="s">
        <v>3099</v>
      </c>
      <c r="M2237" s="1101">
        <v>0.15</v>
      </c>
      <c r="N2237" s="1048" t="s">
        <v>1570</v>
      </c>
      <c r="O2237" s="1048">
        <v>0.107</v>
      </c>
      <c r="P2237" s="1048">
        <v>0.107</v>
      </c>
      <c r="Q2237" s="1048">
        <v>0</v>
      </c>
      <c r="R2237" s="1048">
        <v>0</v>
      </c>
      <c r="S2237" s="1048">
        <v>0</v>
      </c>
      <c r="T2237" s="1048">
        <v>0</v>
      </c>
      <c r="U2237" s="1102">
        <v>0</v>
      </c>
    </row>
    <row r="2238" spans="2:21" hidden="1" outlineLevel="2">
      <c r="B2238" s="1050">
        <v>4</v>
      </c>
      <c r="C2238" s="1050" t="str">
        <f t="shared" si="197"/>
        <v>mix moyen, St Barthélémy, Base Carbone</v>
      </c>
      <c r="D2238" s="1051">
        <f t="shared" si="198"/>
        <v>1</v>
      </c>
      <c r="E2238" s="1051" t="str">
        <f>IF(COUNTIF(E$2234:E2237,F2238)&gt;0,"",F2238)</f>
        <v/>
      </c>
      <c r="F2238" s="1051" t="str">
        <f t="shared" si="199"/>
        <v>mix moyen, Guadeloupe hors COM, Base Carbone</v>
      </c>
      <c r="G2238" s="1055" t="str">
        <f t="shared" si="200"/>
        <v>mix moyen, Guadeloupe hors COM, Base Carbone; kgCO2e/kWh, Pertes</v>
      </c>
      <c r="I2238" s="1100" t="s">
        <v>1758</v>
      </c>
      <c r="J2238" s="1135" t="s">
        <v>1681</v>
      </c>
      <c r="K2238" s="1119" t="s">
        <v>1567</v>
      </c>
      <c r="L2238" s="1119" t="s">
        <v>3099</v>
      </c>
      <c r="M2238" s="1101">
        <v>0.15</v>
      </c>
      <c r="N2238" s="1119" t="s">
        <v>1766</v>
      </c>
      <c r="O2238" s="1135">
        <v>9.06E-2</v>
      </c>
      <c r="P2238" s="1135">
        <v>8.9300000000000004E-2</v>
      </c>
      <c r="Q2238" s="1135">
        <v>1.56E-4</v>
      </c>
      <c r="R2238" s="1135">
        <v>0</v>
      </c>
      <c r="S2238" s="1135">
        <v>5.5599999999999996E-4</v>
      </c>
      <c r="T2238" s="1135">
        <v>0</v>
      </c>
      <c r="U2238" s="1102">
        <v>0</v>
      </c>
    </row>
    <row r="2239" spans="2:21" hidden="1" outlineLevel="2">
      <c r="B2239" s="1050">
        <v>5</v>
      </c>
      <c r="C2239" s="1050" t="str">
        <f t="shared" si="197"/>
        <v>mix moyen, Réunion, Base Carbone</v>
      </c>
      <c r="D2239" s="1051">
        <f t="shared" si="198"/>
        <v>2</v>
      </c>
      <c r="E2239" s="1051" t="str">
        <f>IF(COUNTIF(E$2234:E2238,F2239)&gt;0,"",F2239)</f>
        <v>mix moyen, St Pierre et Miquelon, Base Carbone</v>
      </c>
      <c r="F2239" s="1051" t="str">
        <f t="shared" si="199"/>
        <v>mix moyen, St Pierre et Miquelon, Base Carbone</v>
      </c>
      <c r="G2239" s="1055" t="str">
        <f t="shared" si="200"/>
        <v>mix moyen, St Pierre et Miquelon, Base Carbone; kgCO2e/kWh, Combustion à la centrale</v>
      </c>
      <c r="I2239" s="1100" t="s">
        <v>1758</v>
      </c>
      <c r="J2239" s="1048" t="s">
        <v>1681</v>
      </c>
      <c r="K2239" s="1119" t="s">
        <v>1567</v>
      </c>
      <c r="L2239" s="1048" t="s">
        <v>1760</v>
      </c>
      <c r="M2239" s="1101">
        <v>0.15</v>
      </c>
      <c r="N2239" s="1048" t="s">
        <v>1763</v>
      </c>
      <c r="O2239" s="1048">
        <v>0.81100000000000005</v>
      </c>
      <c r="P2239" s="1048">
        <v>0.80500000000000005</v>
      </c>
      <c r="Q2239" s="1048">
        <v>1.2800000000000001E-3</v>
      </c>
      <c r="R2239" s="1048">
        <v>0</v>
      </c>
      <c r="S2239" s="1048">
        <v>4.2500000000000003E-3</v>
      </c>
      <c r="T2239" s="1048">
        <v>0</v>
      </c>
      <c r="U2239" s="1102">
        <v>0</v>
      </c>
    </row>
    <row r="2240" spans="2:21" hidden="1" outlineLevel="2">
      <c r="B2240" s="1050">
        <v>6</v>
      </c>
      <c r="C2240" s="1050" t="str">
        <f t="shared" si="197"/>
        <v>mix moyen, Mayotte, Base Carbone</v>
      </c>
      <c r="D2240" s="1051">
        <f t="shared" si="198"/>
        <v>2</v>
      </c>
      <c r="E2240" s="1051" t="str">
        <f>IF(COUNTIF(E$2234:E2239,F2240)&gt;0,"",F2240)</f>
        <v/>
      </c>
      <c r="F2240" s="1051" t="str">
        <f t="shared" si="199"/>
        <v>mix moyen, St Pierre et Miquelon, Base Carbone</v>
      </c>
      <c r="G2240" s="1055" t="str">
        <f t="shared" si="200"/>
        <v>mix moyen, St Pierre et Miquelon, Base Carbone; kgCO2e/kWh, Emissions fugitives</v>
      </c>
      <c r="I2240" s="1100" t="s">
        <v>1758</v>
      </c>
      <c r="J2240" s="1048" t="s">
        <v>1681</v>
      </c>
      <c r="K2240" s="1119" t="s">
        <v>1567</v>
      </c>
      <c r="L2240" s="1048" t="s">
        <v>1760</v>
      </c>
      <c r="M2240" s="1101">
        <v>0.15</v>
      </c>
      <c r="N2240" s="1048" t="s">
        <v>1764</v>
      </c>
      <c r="O2240" s="1048">
        <v>4.7400000000000003E-3</v>
      </c>
      <c r="P2240" s="1048">
        <v>0</v>
      </c>
      <c r="Q2240" s="1048">
        <v>0</v>
      </c>
      <c r="R2240" s="1048">
        <v>0</v>
      </c>
      <c r="S2240" s="1048">
        <v>0</v>
      </c>
      <c r="T2240" s="1048">
        <v>0</v>
      </c>
      <c r="U2240" s="1102">
        <v>0</v>
      </c>
    </row>
    <row r="2241" spans="2:21" hidden="1" outlineLevel="2">
      <c r="B2241" s="1050">
        <v>7</v>
      </c>
      <c r="C2241" s="1050" t="str">
        <f t="shared" si="197"/>
        <v>mix moyen, Guadeloupe, Base Carbone</v>
      </c>
      <c r="D2241" s="1051">
        <f t="shared" si="198"/>
        <v>2</v>
      </c>
      <c r="E2241" s="1051" t="str">
        <f>IF(COUNTIF(E$2234:E2240,F2241)&gt;0,"",F2241)</f>
        <v/>
      </c>
      <c r="F2241" s="1051" t="str">
        <f t="shared" si="199"/>
        <v>mix moyen, St Pierre et Miquelon, Base Carbone</v>
      </c>
      <c r="G2241" s="1055" t="str">
        <f t="shared" si="200"/>
        <v>mix moyen, St Pierre et Miquelon, Base Carbone; kgCO2e/kWh, Amont</v>
      </c>
      <c r="I2241" s="1100" t="s">
        <v>1758</v>
      </c>
      <c r="J2241" s="1048" t="s">
        <v>1681</v>
      </c>
      <c r="K2241" s="1119" t="s">
        <v>1567</v>
      </c>
      <c r="L2241" s="1048" t="s">
        <v>1760</v>
      </c>
      <c r="M2241" s="1101">
        <v>0.15</v>
      </c>
      <c r="N2241" s="1048" t="s">
        <v>1570</v>
      </c>
      <c r="O2241" s="1048">
        <v>0.128</v>
      </c>
      <c r="P2241" s="1048">
        <v>0.128</v>
      </c>
      <c r="Q2241" s="1048">
        <v>0</v>
      </c>
      <c r="R2241" s="1048">
        <v>0</v>
      </c>
      <c r="S2241" s="1048">
        <v>0</v>
      </c>
      <c r="T2241" s="1048">
        <v>0</v>
      </c>
      <c r="U2241" s="1102">
        <v>0</v>
      </c>
    </row>
    <row r="2242" spans="2:21" hidden="1" outlineLevel="2">
      <c r="B2242" s="1050">
        <v>8</v>
      </c>
      <c r="C2242" s="1050" t="str">
        <f t="shared" si="197"/>
        <v>mix moyen, Martinique, Base Carbone</v>
      </c>
      <c r="D2242" s="1051">
        <f t="shared" si="198"/>
        <v>2</v>
      </c>
      <c r="E2242" s="1051" t="str">
        <f>IF(COUNTIF(E$2234:E2241,F2242)&gt;0,"",F2242)</f>
        <v/>
      </c>
      <c r="F2242" s="1051" t="str">
        <f t="shared" si="199"/>
        <v>mix moyen, St Pierre et Miquelon, Base Carbone</v>
      </c>
      <c r="G2242" s="1055" t="str">
        <f t="shared" si="200"/>
        <v>mix moyen, St Pierre et Miquelon, Base Carbone; kgCO2e/kWh, Pertes</v>
      </c>
      <c r="I2242" s="1100" t="s">
        <v>1758</v>
      </c>
      <c r="J2242" s="1135" t="s">
        <v>1681</v>
      </c>
      <c r="K2242" s="1119" t="s">
        <v>1567</v>
      </c>
      <c r="L2242" s="1119" t="s">
        <v>1760</v>
      </c>
      <c r="M2242" s="1101">
        <v>0.15</v>
      </c>
      <c r="N2242" s="1119" t="s">
        <v>1766</v>
      </c>
      <c r="O2242" s="1135">
        <v>9.4299999999999995E-2</v>
      </c>
      <c r="P2242" s="1135">
        <v>9.3299999999999994E-2</v>
      </c>
      <c r="Q2242" s="1135">
        <v>1.2799999999999999E-4</v>
      </c>
      <c r="R2242" s="1135">
        <v>0</v>
      </c>
      <c r="S2242" s="1135">
        <v>4.2499999999999998E-4</v>
      </c>
      <c r="T2242" s="1135">
        <v>0</v>
      </c>
      <c r="U2242" s="1102"/>
    </row>
    <row r="2243" spans="2:21" hidden="1" outlineLevel="2">
      <c r="B2243" s="1050">
        <v>9</v>
      </c>
      <c r="C2243" s="1050" t="str">
        <f t="shared" si="197"/>
        <v>mix moyen, Guyane, Base Carbone</v>
      </c>
      <c r="D2243" s="1051">
        <f t="shared" si="198"/>
        <v>3</v>
      </c>
      <c r="E2243" s="1051" t="str">
        <f>IF(COUNTIF(E$2234:E2242,F2243)&gt;0,"",F2243)</f>
        <v>mix moyen, St Martin, Base Carbone</v>
      </c>
      <c r="F2243" s="1051" t="str">
        <f t="shared" si="199"/>
        <v>mix moyen, St Martin, Base Carbone</v>
      </c>
      <c r="G2243" s="1055" t="str">
        <f t="shared" si="200"/>
        <v>mix moyen, St Martin, Base Carbone; kgCO2e/kWh, Combustion à la centrale</v>
      </c>
      <c r="I2243" s="1100" t="s">
        <v>1758</v>
      </c>
      <c r="J2243" s="1048" t="s">
        <v>1681</v>
      </c>
      <c r="K2243" s="1119" t="s">
        <v>1567</v>
      </c>
      <c r="L2243" s="1048" t="s">
        <v>1761</v>
      </c>
      <c r="M2243" s="1101">
        <v>0.15</v>
      </c>
      <c r="N2243" s="1048" t="s">
        <v>1763</v>
      </c>
      <c r="O2243" s="1048">
        <v>0.71799999999999997</v>
      </c>
      <c r="P2243" s="1048">
        <v>0.71299999999999997</v>
      </c>
      <c r="Q2243" s="1048">
        <v>1.15E-3</v>
      </c>
      <c r="R2243" s="1048">
        <v>0</v>
      </c>
      <c r="S2243" s="1048">
        <v>3.8E-3</v>
      </c>
      <c r="T2243" s="1048">
        <v>0</v>
      </c>
      <c r="U2243" s="1102">
        <v>0</v>
      </c>
    </row>
    <row r="2244" spans="2:21" hidden="1" outlineLevel="2">
      <c r="B2244" s="1050">
        <v>10</v>
      </c>
      <c r="C2244" s="1050" t="str">
        <f t="shared" si="197"/>
        <v>mix moyen, Corse, Base Carbone</v>
      </c>
      <c r="D2244" s="1051">
        <f t="shared" si="198"/>
        <v>3</v>
      </c>
      <c r="E2244" s="1051" t="str">
        <f>IF(COUNTIF(E$2234:E2243,F2244)&gt;0,"",F2244)</f>
        <v/>
      </c>
      <c r="F2244" s="1051" t="str">
        <f t="shared" si="199"/>
        <v>mix moyen, St Martin, Base Carbone</v>
      </c>
      <c r="G2244" s="1055" t="str">
        <f t="shared" si="200"/>
        <v>mix moyen, St Martin, Base Carbone; kgCO2e/kWh, Emissions fugitives</v>
      </c>
      <c r="I2244" s="1100" t="s">
        <v>1758</v>
      </c>
      <c r="J2244" s="1048" t="s">
        <v>1681</v>
      </c>
      <c r="K2244" s="1119" t="s">
        <v>1567</v>
      </c>
      <c r="L2244" s="1048" t="s">
        <v>1761</v>
      </c>
      <c r="M2244" s="1101">
        <v>0.15</v>
      </c>
      <c r="N2244" s="1048" t="s">
        <v>1764</v>
      </c>
      <c r="O2244" s="1048">
        <v>4.2399999999999998E-3</v>
      </c>
      <c r="P2244" s="1048">
        <v>0</v>
      </c>
      <c r="Q2244" s="1048">
        <v>0</v>
      </c>
      <c r="R2244" s="1048">
        <v>0</v>
      </c>
      <c r="S2244" s="1048">
        <v>0</v>
      </c>
      <c r="T2244" s="1048">
        <v>0</v>
      </c>
      <c r="U2244" s="1102">
        <v>0</v>
      </c>
    </row>
    <row r="2245" spans="2:21" hidden="1" outlineLevel="2">
      <c r="B2245" s="1050">
        <v>11</v>
      </c>
      <c r="C2245" s="1050" t="str">
        <f t="shared" si="197"/>
        <v>mix moyen, Tahiti, Base Carbone</v>
      </c>
      <c r="D2245" s="1051">
        <f t="shared" si="198"/>
        <v>3</v>
      </c>
      <c r="E2245" s="1051" t="str">
        <f>IF(COUNTIF(E$2234:E2244,F2245)&gt;0,"",F2245)</f>
        <v/>
      </c>
      <c r="F2245" s="1051" t="str">
        <f t="shared" si="199"/>
        <v>mix moyen, St Martin, Base Carbone</v>
      </c>
      <c r="G2245" s="1055" t="str">
        <f t="shared" si="200"/>
        <v>mix moyen, St Martin, Base Carbone; kgCO2e/kWh, Amont</v>
      </c>
      <c r="I2245" s="1100" t="s">
        <v>1758</v>
      </c>
      <c r="J2245" s="1048" t="s">
        <v>1681</v>
      </c>
      <c r="K2245" s="1119" t="s">
        <v>1567</v>
      </c>
      <c r="L2245" s="1048" t="s">
        <v>1761</v>
      </c>
      <c r="M2245" s="1101">
        <v>0.15</v>
      </c>
      <c r="N2245" s="1048" t="s">
        <v>1570</v>
      </c>
      <c r="O2245" s="1048">
        <v>9.7199999999999995E-2</v>
      </c>
      <c r="P2245" s="1048">
        <v>9.7199999999999995E-2</v>
      </c>
      <c r="Q2245" s="1048">
        <v>0</v>
      </c>
      <c r="R2245" s="1048">
        <v>0</v>
      </c>
      <c r="S2245" s="1048">
        <v>0</v>
      </c>
      <c r="T2245" s="1048">
        <v>0</v>
      </c>
      <c r="U2245" s="1102">
        <v>0</v>
      </c>
    </row>
    <row r="2246" spans="2:21" hidden="1" outlineLevel="2">
      <c r="B2246" s="1050">
        <v>12</v>
      </c>
      <c r="C2246" s="1050" t="str">
        <f t="shared" si="197"/>
        <v>mix moyen, Polynésie Française - hors Tahiti, Base Carbone</v>
      </c>
      <c r="D2246" s="1051">
        <f t="shared" si="198"/>
        <v>3</v>
      </c>
      <c r="E2246" s="1051" t="str">
        <f>IF(COUNTIF(E$2234:E2245,F2246)&gt;0,"",F2246)</f>
        <v/>
      </c>
      <c r="F2246" s="1051" t="str">
        <f t="shared" si="199"/>
        <v>mix moyen, St Martin, Base Carbone</v>
      </c>
      <c r="G2246" s="1055" t="str">
        <f t="shared" si="200"/>
        <v>mix moyen, St Martin, Base Carbone; kgCO2e/kWh, Pertes</v>
      </c>
      <c r="I2246" s="1100" t="s">
        <v>1758</v>
      </c>
      <c r="J2246" s="1135" t="s">
        <v>1681</v>
      </c>
      <c r="K2246" s="1119" t="s">
        <v>1567</v>
      </c>
      <c r="L2246" s="1119" t="s">
        <v>1761</v>
      </c>
      <c r="M2246" s="1101">
        <v>0.15</v>
      </c>
      <c r="N2246" s="1119" t="s">
        <v>1766</v>
      </c>
      <c r="O2246" s="1135">
        <v>8.1900000000000001E-2</v>
      </c>
      <c r="P2246" s="1135">
        <v>8.1000000000000003E-2</v>
      </c>
      <c r="Q2246" s="1135">
        <v>1.15E-4</v>
      </c>
      <c r="R2246" s="1135">
        <v>0</v>
      </c>
      <c r="S2246" s="1135">
        <v>3.8000000000000002E-4</v>
      </c>
      <c r="T2246" s="1135">
        <v>0</v>
      </c>
      <c r="U2246" s="1102"/>
    </row>
    <row r="2247" spans="2:21" hidden="1" outlineLevel="2">
      <c r="B2247" s="1050">
        <v>13</v>
      </c>
      <c r="C2247" s="1050" t="str">
        <f t="shared" si="197"/>
        <v>-</v>
      </c>
      <c r="D2247" s="1051">
        <f t="shared" si="198"/>
        <v>4</v>
      </c>
      <c r="E2247" s="1051" t="str">
        <f>IF(COUNTIF(E$2234:E2246,F2247)&gt;0,"",F2247)</f>
        <v>mix moyen, St Barthélémy, Base Carbone</v>
      </c>
      <c r="F2247" s="1051" t="str">
        <f t="shared" si="199"/>
        <v>mix moyen, St Barthélémy, Base Carbone</v>
      </c>
      <c r="G2247" s="1055" t="str">
        <f t="shared" si="200"/>
        <v>mix moyen, St Barthélémy, Base Carbone; kgCO2e/kWh, Combustion à la centrale</v>
      </c>
      <c r="I2247" s="1100" t="s">
        <v>1758</v>
      </c>
      <c r="J2247" s="1048" t="s">
        <v>1681</v>
      </c>
      <c r="K2247" s="1119" t="s">
        <v>1567</v>
      </c>
      <c r="L2247" s="1048" t="s">
        <v>1762</v>
      </c>
      <c r="M2247" s="1101">
        <v>0.15</v>
      </c>
      <c r="N2247" s="1048" t="s">
        <v>1763</v>
      </c>
      <c r="O2247" s="1048">
        <v>0.752</v>
      </c>
      <c r="P2247" s="1048">
        <v>0.747</v>
      </c>
      <c r="Q2247" s="1048">
        <v>1.1999999999999999E-3</v>
      </c>
      <c r="R2247" s="1048">
        <v>0</v>
      </c>
      <c r="S2247" s="1048">
        <v>3.98E-3</v>
      </c>
      <c r="T2247" s="1048">
        <v>0</v>
      </c>
      <c r="U2247" s="1102">
        <v>0</v>
      </c>
    </row>
    <row r="2248" spans="2:21" hidden="1" outlineLevel="2">
      <c r="B2248" s="1050">
        <v>14</v>
      </c>
      <c r="C2248" s="1050" t="str">
        <f t="shared" si="197"/>
        <v>-</v>
      </c>
      <c r="D2248" s="1051">
        <f t="shared" si="198"/>
        <v>4</v>
      </c>
      <c r="E2248" s="1051" t="str">
        <f>IF(COUNTIF(E$2234:E2247,F2248)&gt;0,"",F2248)</f>
        <v/>
      </c>
      <c r="F2248" s="1051" t="str">
        <f t="shared" si="199"/>
        <v>mix moyen, St Barthélémy, Base Carbone</v>
      </c>
      <c r="G2248" s="1055" t="str">
        <f t="shared" si="200"/>
        <v>mix moyen, St Barthélémy, Base Carbone; kgCO2e/kWh, Emissions fugitives</v>
      </c>
      <c r="I2248" s="1100" t="s">
        <v>1758</v>
      </c>
      <c r="J2248" s="1048" t="s">
        <v>1681</v>
      </c>
      <c r="K2248" s="1119" t="s">
        <v>1567</v>
      </c>
      <c r="L2248" s="1048" t="s">
        <v>1762</v>
      </c>
      <c r="M2248" s="1101">
        <v>0.15</v>
      </c>
      <c r="N2248" s="1048" t="s">
        <v>1764</v>
      </c>
      <c r="O2248" s="1048">
        <v>5.0899999999999999E-3</v>
      </c>
      <c r="P2248" s="1048">
        <v>0</v>
      </c>
      <c r="Q2248" s="1048">
        <v>0</v>
      </c>
      <c r="R2248" s="1048">
        <v>0</v>
      </c>
      <c r="S2248" s="1048">
        <v>0</v>
      </c>
      <c r="T2248" s="1048">
        <v>5.0899999999999999E-3</v>
      </c>
      <c r="U2248" s="1102">
        <v>0</v>
      </c>
    </row>
    <row r="2249" spans="2:21" hidden="1" outlineLevel="2">
      <c r="B2249" s="1050">
        <v>15</v>
      </c>
      <c r="C2249" s="1050" t="str">
        <f t="shared" si="197"/>
        <v>-</v>
      </c>
      <c r="D2249" s="1051">
        <f t="shared" si="198"/>
        <v>4</v>
      </c>
      <c r="E2249" s="1051" t="str">
        <f>IF(COUNTIF(E$2234:E2248,F2249)&gt;0,"",F2249)</f>
        <v/>
      </c>
      <c r="F2249" s="1051" t="str">
        <f t="shared" si="199"/>
        <v>mix moyen, St Barthélémy, Base Carbone</v>
      </c>
      <c r="G2249" s="1055" t="str">
        <f t="shared" si="200"/>
        <v>mix moyen, St Barthélémy, Base Carbone; kgCO2e/kWh, Amont</v>
      </c>
      <c r="I2249" s="1100" t="s">
        <v>1758</v>
      </c>
      <c r="J2249" s="1048" t="s">
        <v>1681</v>
      </c>
      <c r="K2249" s="1119" t="s">
        <v>1567</v>
      </c>
      <c r="L2249" s="1048" t="s">
        <v>1762</v>
      </c>
      <c r="M2249" s="1101">
        <v>0.15</v>
      </c>
      <c r="N2249" s="1048" t="s">
        <v>1570</v>
      </c>
      <c r="O2249" s="1048">
        <v>0.10199999999999999</v>
      </c>
      <c r="P2249" s="1048">
        <v>0.10199999999999999</v>
      </c>
      <c r="Q2249" s="1048">
        <v>0</v>
      </c>
      <c r="R2249" s="1048">
        <v>0</v>
      </c>
      <c r="S2249" s="1048">
        <v>0</v>
      </c>
      <c r="T2249" s="1048">
        <v>0</v>
      </c>
      <c r="U2249" s="1102">
        <v>0</v>
      </c>
    </row>
    <row r="2250" spans="2:21" hidden="1" outlineLevel="2">
      <c r="B2250" s="1050"/>
      <c r="C2250" s="1050"/>
      <c r="D2250" s="1051">
        <f t="shared" si="198"/>
        <v>4</v>
      </c>
      <c r="E2250" s="1051" t="str">
        <f>IF(COUNTIF(E$2234:E2249,F2250)&gt;0,"",F2250)</f>
        <v/>
      </c>
      <c r="F2250" s="1051" t="str">
        <f t="shared" si="199"/>
        <v>mix moyen, St Barthélémy, Base Carbone</v>
      </c>
      <c r="G2250" s="1055" t="str">
        <f t="shared" si="200"/>
        <v>mix moyen, St Barthélémy, Base Carbone; kgCO2e/kWh, Pertes</v>
      </c>
      <c r="I2250" s="1100" t="s">
        <v>1758</v>
      </c>
      <c r="J2250" s="1135" t="s">
        <v>1681</v>
      </c>
      <c r="K2250" s="1119" t="s">
        <v>1567</v>
      </c>
      <c r="L2250" s="1119" t="s">
        <v>1762</v>
      </c>
      <c r="M2250" s="1101">
        <v>0.15</v>
      </c>
      <c r="N2250" s="1119" t="s">
        <v>1766</v>
      </c>
      <c r="O2250" s="1135">
        <v>8.5400000000000004E-2</v>
      </c>
      <c r="P2250" s="1135">
        <v>8.4900000000000003E-2</v>
      </c>
      <c r="Q2250" s="1135">
        <v>1.2E-4</v>
      </c>
      <c r="R2250" s="1135">
        <v>0</v>
      </c>
      <c r="S2250" s="1135">
        <v>3.9800000000000002E-4</v>
      </c>
      <c r="T2250" s="1135">
        <v>0</v>
      </c>
      <c r="U2250" s="1102"/>
    </row>
    <row r="2251" spans="2:21" hidden="1" outlineLevel="2">
      <c r="B2251" s="1050"/>
      <c r="C2251" s="1050"/>
      <c r="D2251" s="1051">
        <f t="shared" si="198"/>
        <v>5</v>
      </c>
      <c r="E2251" s="1051" t="str">
        <f>IF(COUNTIF(E$2234:E2250,F2251)&gt;0,"",F2251)</f>
        <v>mix moyen, Réunion, Base Carbone</v>
      </c>
      <c r="F2251" s="1051" t="str">
        <f t="shared" si="199"/>
        <v>mix moyen, Réunion, Base Carbone</v>
      </c>
      <c r="G2251" s="1055" t="str">
        <f t="shared" si="200"/>
        <v>mix moyen, Réunion, Base Carbone; kgCO2e/kWh, Combustion à la centrale</v>
      </c>
      <c r="I2251" s="1100" t="s">
        <v>1758</v>
      </c>
      <c r="J2251" s="1048" t="s">
        <v>1681</v>
      </c>
      <c r="K2251" s="1119" t="s">
        <v>1567</v>
      </c>
      <c r="L2251" s="1048" t="s">
        <v>785</v>
      </c>
      <c r="M2251" s="1101">
        <v>0.15</v>
      </c>
      <c r="N2251" s="1048" t="s">
        <v>1763</v>
      </c>
      <c r="O2251" s="1048">
        <v>0.70099999999999996</v>
      </c>
      <c r="P2251" s="1048">
        <v>0.69299999999999995</v>
      </c>
      <c r="Q2251" s="1048">
        <v>3.6400000000000001E-4</v>
      </c>
      <c r="R2251" s="1048">
        <v>0</v>
      </c>
      <c r="S2251" s="1048">
        <v>7.1599999999999997E-3</v>
      </c>
      <c r="T2251" s="1048">
        <v>0</v>
      </c>
      <c r="U2251" s="1102">
        <v>0</v>
      </c>
    </row>
    <row r="2252" spans="2:21" hidden="1" outlineLevel="2">
      <c r="B2252" s="1050"/>
      <c r="C2252" s="1050"/>
      <c r="D2252" s="1051">
        <f t="shared" si="198"/>
        <v>5</v>
      </c>
      <c r="E2252" s="1051" t="str">
        <f>IF(COUNTIF(E$2234:E2251,F2252)&gt;0,"",F2252)</f>
        <v/>
      </c>
      <c r="F2252" s="1051" t="str">
        <f t="shared" si="199"/>
        <v>mix moyen, Réunion, Base Carbone</v>
      </c>
      <c r="G2252" s="1055" t="str">
        <f t="shared" si="200"/>
        <v>mix moyen, Réunion, Base Carbone; kgCO2e/kWh, Emissions fugitives</v>
      </c>
      <c r="I2252" s="1100" t="s">
        <v>1758</v>
      </c>
      <c r="J2252" s="1048" t="s">
        <v>1681</v>
      </c>
      <c r="K2252" s="1119" t="s">
        <v>1567</v>
      </c>
      <c r="L2252" s="1048" t="s">
        <v>785</v>
      </c>
      <c r="M2252" s="1101">
        <v>0.15</v>
      </c>
      <c r="N2252" s="1048" t="s">
        <v>1764</v>
      </c>
      <c r="O2252" s="1048">
        <v>7.9799999999999992E-3</v>
      </c>
      <c r="P2252" s="1048">
        <v>0</v>
      </c>
      <c r="Q2252" s="1048">
        <v>0</v>
      </c>
      <c r="R2252" s="1048">
        <v>0</v>
      </c>
      <c r="S2252" s="1048">
        <v>0</v>
      </c>
      <c r="T2252" s="1048">
        <v>0</v>
      </c>
      <c r="U2252" s="1102">
        <v>0</v>
      </c>
    </row>
    <row r="2253" spans="2:21" hidden="1" outlineLevel="2">
      <c r="B2253" s="1050"/>
      <c r="C2253" s="1050"/>
      <c r="D2253" s="1051">
        <f t="shared" si="198"/>
        <v>5</v>
      </c>
      <c r="E2253" s="1051" t="str">
        <f>IF(COUNTIF(E$2234:E2252,F2253)&gt;0,"",F2253)</f>
        <v/>
      </c>
      <c r="F2253" s="1051" t="str">
        <f t="shared" si="199"/>
        <v>mix moyen, Réunion, Base Carbone</v>
      </c>
      <c r="G2253" s="1055" t="str">
        <f t="shared" si="200"/>
        <v>mix moyen, Réunion, Base Carbone; kgCO2e/kWh, Amont</v>
      </c>
      <c r="I2253" s="1100" t="s">
        <v>1758</v>
      </c>
      <c r="J2253" s="1048" t="s">
        <v>1681</v>
      </c>
      <c r="K2253" s="1119" t="s">
        <v>1567</v>
      </c>
      <c r="L2253" s="1048" t="s">
        <v>785</v>
      </c>
      <c r="M2253" s="1101">
        <v>0.15</v>
      </c>
      <c r="N2253" s="1048" t="s">
        <v>1570</v>
      </c>
      <c r="O2253" s="1048">
        <v>7.0999999999999994E-2</v>
      </c>
      <c r="P2253" s="1048">
        <v>7.0999999999999994E-2</v>
      </c>
      <c r="Q2253" s="1048">
        <v>0</v>
      </c>
      <c r="R2253" s="1048">
        <v>0</v>
      </c>
      <c r="S2253" s="1048">
        <v>0</v>
      </c>
      <c r="T2253" s="1048">
        <v>0</v>
      </c>
      <c r="U2253" s="1102">
        <v>0</v>
      </c>
    </row>
    <row r="2254" spans="2:21" hidden="1" outlineLevel="2">
      <c r="B2254" s="1050"/>
      <c r="C2254" s="1050"/>
      <c r="D2254" s="1051">
        <f t="shared" si="198"/>
        <v>6</v>
      </c>
      <c r="E2254" s="1051" t="str">
        <f>IF(COUNTIF(E$2234:E2253,F2254)&gt;0,"",F2254)</f>
        <v>mix moyen, Mayotte, Base Carbone</v>
      </c>
      <c r="F2254" s="1051" t="str">
        <f t="shared" si="199"/>
        <v>mix moyen, Mayotte, Base Carbone</v>
      </c>
      <c r="G2254" s="1055" t="str">
        <f t="shared" si="200"/>
        <v>mix moyen, Mayotte, Base Carbone; kgCO2e/kWh, Combustion à la centrale</v>
      </c>
      <c r="I2254" s="1100" t="s">
        <v>1758</v>
      </c>
      <c r="J2254" s="1048" t="s">
        <v>1681</v>
      </c>
      <c r="K2254" s="1119" t="s">
        <v>1567</v>
      </c>
      <c r="L2254" s="1048" t="s">
        <v>783</v>
      </c>
      <c r="M2254" s="1101">
        <v>0.15</v>
      </c>
      <c r="N2254" s="1048" t="s">
        <v>1763</v>
      </c>
      <c r="O2254" s="1048">
        <v>0.68600000000000005</v>
      </c>
      <c r="P2254" s="1048">
        <v>0.67900000000000005</v>
      </c>
      <c r="Q2254" s="1048">
        <v>3.4299999999999999E-4</v>
      </c>
      <c r="R2254" s="1048">
        <v>0</v>
      </c>
      <c r="S2254" s="1048">
        <v>6.7400000000000003E-3</v>
      </c>
      <c r="T2254" s="1048">
        <v>0</v>
      </c>
      <c r="U2254" s="1102">
        <v>0</v>
      </c>
    </row>
    <row r="2255" spans="2:21" hidden="1" outlineLevel="2">
      <c r="B2255" s="1050"/>
      <c r="C2255" s="1050"/>
      <c r="D2255" s="1051">
        <f t="shared" si="198"/>
        <v>6</v>
      </c>
      <c r="E2255" s="1051" t="str">
        <f>IF(COUNTIF(E$2234:E2254,F2255)&gt;0,"",F2255)</f>
        <v/>
      </c>
      <c r="F2255" s="1051" t="str">
        <f t="shared" si="199"/>
        <v>mix moyen, Mayotte, Base Carbone</v>
      </c>
      <c r="G2255" s="1055" t="str">
        <f t="shared" si="200"/>
        <v>mix moyen, Mayotte, Base Carbone; kgCO2e/kWh, Emissions fugitives</v>
      </c>
      <c r="I2255" s="1100" t="s">
        <v>1758</v>
      </c>
      <c r="J2255" s="1048" t="s">
        <v>1681</v>
      </c>
      <c r="K2255" s="1119" t="s">
        <v>1567</v>
      </c>
      <c r="L2255" s="1048" t="s">
        <v>783</v>
      </c>
      <c r="M2255" s="1101">
        <v>0.15</v>
      </c>
      <c r="N2255" s="1048" t="s">
        <v>1764</v>
      </c>
      <c r="O2255" s="1048">
        <v>7.5199999999999998E-3</v>
      </c>
      <c r="P2255" s="1048">
        <v>0</v>
      </c>
      <c r="Q2255" s="1048">
        <v>0</v>
      </c>
      <c r="R2255" s="1048">
        <v>0</v>
      </c>
      <c r="S2255" s="1048">
        <v>0</v>
      </c>
      <c r="T2255" s="1048">
        <v>0</v>
      </c>
      <c r="U2255" s="1102">
        <v>0</v>
      </c>
    </row>
    <row r="2256" spans="2:21" hidden="1" outlineLevel="2">
      <c r="B2256" s="1050"/>
      <c r="C2256" s="1050"/>
      <c r="D2256" s="1051">
        <f t="shared" si="198"/>
        <v>6</v>
      </c>
      <c r="E2256" s="1051" t="str">
        <f>IF(COUNTIF(E$2234:E2255,F2256)&gt;0,"",F2256)</f>
        <v/>
      </c>
      <c r="F2256" s="1051" t="str">
        <f t="shared" si="199"/>
        <v>mix moyen, Mayotte, Base Carbone</v>
      </c>
      <c r="G2256" s="1055" t="str">
        <f t="shared" si="200"/>
        <v>mix moyen, Mayotte, Base Carbone; kgCO2e/kWh, Amont</v>
      </c>
      <c r="I2256" s="1100" t="s">
        <v>1758</v>
      </c>
      <c r="J2256" s="1048" t="s">
        <v>1681</v>
      </c>
      <c r="K2256" s="1119" t="s">
        <v>1567</v>
      </c>
      <c r="L2256" s="1048" t="s">
        <v>783</v>
      </c>
      <c r="M2256" s="1101">
        <v>0.15</v>
      </c>
      <c r="N2256" s="1048" t="s">
        <v>1570</v>
      </c>
      <c r="O2256" s="1048">
        <v>8.5999999999999993E-2</v>
      </c>
      <c r="P2256" s="1048">
        <v>8.5999999999999993E-2</v>
      </c>
      <c r="Q2256" s="1048">
        <v>0</v>
      </c>
      <c r="R2256" s="1048">
        <v>0</v>
      </c>
      <c r="S2256" s="1048">
        <v>0</v>
      </c>
      <c r="T2256" s="1048">
        <v>0</v>
      </c>
      <c r="U2256" s="1102">
        <v>0</v>
      </c>
    </row>
    <row r="2257" spans="2:21" hidden="1" outlineLevel="2">
      <c r="B2257" s="1050"/>
      <c r="C2257" s="1050"/>
      <c r="D2257" s="1051">
        <f t="shared" si="198"/>
        <v>7</v>
      </c>
      <c r="E2257" s="1051" t="str">
        <f>IF(COUNTIF(E$2234:E2256,F2257)&gt;0,"",F2257)</f>
        <v>mix moyen, Guadeloupe, Base Carbone</v>
      </c>
      <c r="F2257" s="1051" t="str">
        <f t="shared" si="199"/>
        <v>mix moyen, Guadeloupe, Base Carbone</v>
      </c>
      <c r="G2257" s="1055" t="str">
        <f t="shared" si="200"/>
        <v>mix moyen, Guadeloupe, Base Carbone; kgCO2e/kWh, Combustion à la centrale</v>
      </c>
      <c r="I2257" s="1100" t="s">
        <v>1758</v>
      </c>
      <c r="J2257" s="1048" t="s">
        <v>1681</v>
      </c>
      <c r="K2257" s="1119" t="s">
        <v>1567</v>
      </c>
      <c r="L2257" s="1048" t="s">
        <v>784</v>
      </c>
      <c r="M2257" s="1101">
        <v>0.15</v>
      </c>
      <c r="N2257" s="1048" t="s">
        <v>1763</v>
      </c>
      <c r="O2257" s="1048">
        <v>0.61199999999999999</v>
      </c>
      <c r="P2257" s="1048">
        <v>0.60499999999999998</v>
      </c>
      <c r="Q2257" s="1048">
        <v>3.21E-4</v>
      </c>
      <c r="R2257" s="1048">
        <v>0</v>
      </c>
      <c r="S2257" s="1048">
        <v>6.3099999999999996E-3</v>
      </c>
      <c r="T2257" s="1048">
        <v>0</v>
      </c>
      <c r="U2257" s="1102">
        <v>0</v>
      </c>
    </row>
    <row r="2258" spans="2:21" hidden="1" outlineLevel="2">
      <c r="B2258" s="1050"/>
      <c r="C2258" s="1050"/>
      <c r="D2258" s="1051">
        <f t="shared" si="198"/>
        <v>7</v>
      </c>
      <c r="E2258" s="1051" t="str">
        <f>IF(COUNTIF(E$2234:E2257,F2258)&gt;0,"",F2258)</f>
        <v/>
      </c>
      <c r="F2258" s="1051" t="str">
        <f t="shared" si="199"/>
        <v>mix moyen, Guadeloupe, Base Carbone</v>
      </c>
      <c r="G2258" s="1055" t="str">
        <f t="shared" si="200"/>
        <v>mix moyen, Guadeloupe, Base Carbone; kgCO2e/kWh, Emissions fugitives</v>
      </c>
      <c r="I2258" s="1100" t="s">
        <v>1758</v>
      </c>
      <c r="J2258" s="1048" t="s">
        <v>1681</v>
      </c>
      <c r="K2258" s="1119" t="s">
        <v>1567</v>
      </c>
      <c r="L2258" s="1048" t="s">
        <v>784</v>
      </c>
      <c r="M2258" s="1101">
        <v>0.15</v>
      </c>
      <c r="N2258" s="1048" t="s">
        <v>1764</v>
      </c>
      <c r="O2258" s="1048">
        <v>7.0699999999999999E-3</v>
      </c>
      <c r="P2258" s="1048">
        <v>0</v>
      </c>
      <c r="Q2258" s="1048">
        <v>0</v>
      </c>
      <c r="R2258" s="1048">
        <v>0</v>
      </c>
      <c r="S2258" s="1048">
        <v>0</v>
      </c>
      <c r="T2258" s="1048">
        <v>0</v>
      </c>
      <c r="U2258" s="1102">
        <v>0</v>
      </c>
    </row>
    <row r="2259" spans="2:21" hidden="1" outlineLevel="2">
      <c r="B2259" s="1050"/>
      <c r="C2259" s="1050"/>
      <c r="D2259" s="1051">
        <f t="shared" si="198"/>
        <v>7</v>
      </c>
      <c r="E2259" s="1051" t="str">
        <f>IF(COUNTIF(E$2234:E2258,F2259)&gt;0,"",F2259)</f>
        <v/>
      </c>
      <c r="F2259" s="1051" t="str">
        <f t="shared" si="199"/>
        <v>mix moyen, Guadeloupe, Base Carbone</v>
      </c>
      <c r="G2259" s="1055" t="str">
        <f t="shared" si="200"/>
        <v>mix moyen, Guadeloupe, Base Carbone; kgCO2e/kWh, Amont</v>
      </c>
      <c r="I2259" s="1100" t="s">
        <v>1758</v>
      </c>
      <c r="J2259" s="1048" t="s">
        <v>1681</v>
      </c>
      <c r="K2259" s="1119" t="s">
        <v>1567</v>
      </c>
      <c r="L2259" s="1048" t="s">
        <v>784</v>
      </c>
      <c r="M2259" s="1101">
        <v>0.15</v>
      </c>
      <c r="N2259" s="1048" t="s">
        <v>1570</v>
      </c>
      <c r="O2259" s="1048">
        <v>8.3000000000000004E-2</v>
      </c>
      <c r="P2259" s="1048">
        <v>8.3000000000000004E-2</v>
      </c>
      <c r="Q2259" s="1048">
        <v>0</v>
      </c>
      <c r="R2259" s="1048">
        <v>0</v>
      </c>
      <c r="S2259" s="1048">
        <v>0</v>
      </c>
      <c r="T2259" s="1048">
        <v>0</v>
      </c>
      <c r="U2259" s="1102">
        <v>0</v>
      </c>
    </row>
    <row r="2260" spans="2:21" hidden="1" outlineLevel="2">
      <c r="B2260" s="1050"/>
      <c r="C2260" s="1050"/>
      <c r="D2260" s="1051">
        <f t="shared" si="198"/>
        <v>8</v>
      </c>
      <c r="E2260" s="1051" t="str">
        <f>IF(COUNTIF(E$2234:E2259,F2260)&gt;0,"",F2260)</f>
        <v>mix moyen, Martinique, Base Carbone</v>
      </c>
      <c r="F2260" s="1051" t="str">
        <f t="shared" si="199"/>
        <v>mix moyen, Martinique, Base Carbone</v>
      </c>
      <c r="G2260" s="1055" t="str">
        <f t="shared" si="200"/>
        <v>mix moyen, Martinique, Base Carbone; kgCO2e/kWh, Combustion à la centrale</v>
      </c>
      <c r="I2260" s="1100" t="s">
        <v>1758</v>
      </c>
      <c r="J2260" s="1048" t="s">
        <v>1681</v>
      </c>
      <c r="K2260" s="1119" t="s">
        <v>1567</v>
      </c>
      <c r="L2260" s="1048" t="s">
        <v>786</v>
      </c>
      <c r="M2260" s="1101">
        <v>0.15</v>
      </c>
      <c r="N2260" s="1048" t="s">
        <v>1763</v>
      </c>
      <c r="O2260" s="1048">
        <v>0.71599999999999997</v>
      </c>
      <c r="P2260" s="1048">
        <v>0.70899999999999996</v>
      </c>
      <c r="Q2260" s="1048">
        <v>3.4299999999999999E-4</v>
      </c>
      <c r="R2260" s="1048">
        <v>0</v>
      </c>
      <c r="S2260" s="1048">
        <v>6.7400000000000003E-3</v>
      </c>
      <c r="T2260" s="1048">
        <v>0</v>
      </c>
      <c r="U2260" s="1102">
        <v>0</v>
      </c>
    </row>
    <row r="2261" spans="2:21" hidden="1" outlineLevel="2">
      <c r="B2261" s="1050"/>
      <c r="C2261" s="1050"/>
      <c r="D2261" s="1051">
        <f t="shared" si="198"/>
        <v>8</v>
      </c>
      <c r="E2261" s="1051" t="str">
        <f>IF(COUNTIF(E$2234:E2260,F2261)&gt;0,"",F2261)</f>
        <v/>
      </c>
      <c r="F2261" s="1051" t="str">
        <f t="shared" si="199"/>
        <v>mix moyen, Martinique, Base Carbone</v>
      </c>
      <c r="G2261" s="1055" t="str">
        <f t="shared" si="200"/>
        <v>mix moyen, Martinique, Base Carbone; kgCO2e/kWh, Emissions fugitives</v>
      </c>
      <c r="I2261" s="1100" t="s">
        <v>1758</v>
      </c>
      <c r="J2261" s="1048" t="s">
        <v>1681</v>
      </c>
      <c r="K2261" s="1119" t="s">
        <v>1567</v>
      </c>
      <c r="L2261" s="1048" t="s">
        <v>786</v>
      </c>
      <c r="M2261" s="1101">
        <v>0.15</v>
      </c>
      <c r="N2261" s="1048" t="s">
        <v>1764</v>
      </c>
      <c r="O2261" s="1048">
        <v>7.5199999999999998E-3</v>
      </c>
      <c r="P2261" s="1048">
        <v>0</v>
      </c>
      <c r="Q2261" s="1048">
        <v>0</v>
      </c>
      <c r="R2261" s="1048">
        <v>0</v>
      </c>
      <c r="S2261" s="1048">
        <v>0</v>
      </c>
      <c r="T2261" s="1048">
        <v>0</v>
      </c>
      <c r="U2261" s="1102">
        <v>0</v>
      </c>
    </row>
    <row r="2262" spans="2:21" hidden="1" outlineLevel="2">
      <c r="B2262" s="1050"/>
      <c r="C2262" s="1050"/>
      <c r="D2262" s="1051">
        <f t="shared" si="198"/>
        <v>8</v>
      </c>
      <c r="E2262" s="1051" t="str">
        <f>IF(COUNTIF(E$2234:E2261,F2262)&gt;0,"",F2262)</f>
        <v/>
      </c>
      <c r="F2262" s="1051" t="str">
        <f t="shared" si="199"/>
        <v>mix moyen, Martinique, Base Carbone</v>
      </c>
      <c r="G2262" s="1055" t="str">
        <f t="shared" si="200"/>
        <v>mix moyen, Martinique, Base Carbone; kgCO2e/kWh, Amont</v>
      </c>
      <c r="I2262" s="1100" t="s">
        <v>1758</v>
      </c>
      <c r="J2262" s="1048" t="s">
        <v>1681</v>
      </c>
      <c r="K2262" s="1119" t="s">
        <v>1567</v>
      </c>
      <c r="L2262" s="1048" t="s">
        <v>786</v>
      </c>
      <c r="M2262" s="1101">
        <v>0.15</v>
      </c>
      <c r="N2262" s="1048" t="s">
        <v>1570</v>
      </c>
      <c r="O2262" s="1048">
        <v>0.11600000000000001</v>
      </c>
      <c r="P2262" s="1048">
        <v>0.11600000000000001</v>
      </c>
      <c r="Q2262" s="1048">
        <v>0</v>
      </c>
      <c r="R2262" s="1048">
        <v>0</v>
      </c>
      <c r="S2262" s="1048">
        <v>0</v>
      </c>
      <c r="T2262" s="1048">
        <v>0</v>
      </c>
      <c r="U2262" s="1102">
        <v>0</v>
      </c>
    </row>
    <row r="2263" spans="2:21" hidden="1" outlineLevel="2">
      <c r="B2263" s="1050"/>
      <c r="C2263" s="1050"/>
      <c r="D2263" s="1051">
        <f t="shared" si="198"/>
        <v>9</v>
      </c>
      <c r="E2263" s="1051" t="str">
        <f>IF(COUNTIF(E$2234:E2262,F2263)&gt;0,"",F2263)</f>
        <v>mix moyen, Guyane, Base Carbone</v>
      </c>
      <c r="F2263" s="1051" t="str">
        <f t="shared" si="199"/>
        <v>mix moyen, Guyane, Base Carbone</v>
      </c>
      <c r="G2263" s="1055" t="str">
        <f t="shared" si="200"/>
        <v>mix moyen, Guyane, Base Carbone; kgCO2e/kWh, Combustion à la centrale</v>
      </c>
      <c r="I2263" s="1100" t="s">
        <v>1758</v>
      </c>
      <c r="J2263" s="1048" t="s">
        <v>1681</v>
      </c>
      <c r="K2263" s="1119" t="s">
        <v>1567</v>
      </c>
      <c r="L2263" s="1048" t="s">
        <v>782</v>
      </c>
      <c r="M2263" s="1101">
        <v>0.15</v>
      </c>
      <c r="N2263" s="1048" t="s">
        <v>1763</v>
      </c>
      <c r="O2263" s="1048">
        <v>0.314</v>
      </c>
      <c r="P2263" s="1048">
        <v>0.311</v>
      </c>
      <c r="Q2263" s="1048">
        <v>0</v>
      </c>
      <c r="R2263" s="1048">
        <v>0</v>
      </c>
      <c r="S2263" s="1048">
        <v>3.1900000000000001E-3</v>
      </c>
      <c r="T2263" s="1048">
        <v>0</v>
      </c>
      <c r="U2263" s="1102">
        <v>0</v>
      </c>
    </row>
    <row r="2264" spans="2:21" hidden="1" outlineLevel="2">
      <c r="B2264" s="1050"/>
      <c r="C2264" s="1050"/>
      <c r="D2264" s="1051">
        <f t="shared" si="198"/>
        <v>9</v>
      </c>
      <c r="E2264" s="1051" t="str">
        <f>IF(COUNTIF(E$2234:E2263,F2264)&gt;0,"",F2264)</f>
        <v/>
      </c>
      <c r="F2264" s="1051" t="str">
        <f t="shared" si="199"/>
        <v>mix moyen, Guyane, Base Carbone</v>
      </c>
      <c r="G2264" s="1055" t="str">
        <f t="shared" si="200"/>
        <v>mix moyen, Guyane, Base Carbone; kgCO2e/kWh, Emissions fugitives</v>
      </c>
      <c r="I2264" s="1100" t="s">
        <v>1758</v>
      </c>
      <c r="J2264" s="1048" t="s">
        <v>1681</v>
      </c>
      <c r="K2264" s="1119" t="s">
        <v>1567</v>
      </c>
      <c r="L2264" s="1048" t="s">
        <v>782</v>
      </c>
      <c r="M2264" s="1134">
        <v>0.15</v>
      </c>
      <c r="N2264" s="1135" t="s">
        <v>1764</v>
      </c>
      <c r="O2264" s="1135">
        <v>0.60365000000000002</v>
      </c>
      <c r="P2264" s="1135">
        <v>0</v>
      </c>
      <c r="Q2264" s="1135">
        <v>0</v>
      </c>
      <c r="R2264" s="1135">
        <v>0.6</v>
      </c>
      <c r="S2264" s="1135">
        <v>0</v>
      </c>
      <c r="T2264" s="1135">
        <v>3.65E-3</v>
      </c>
      <c r="U2264" s="2041">
        <v>0</v>
      </c>
    </row>
    <row r="2265" spans="2:21" hidden="1" outlineLevel="2">
      <c r="B2265" s="1050"/>
      <c r="C2265" s="1050"/>
      <c r="D2265" s="1051">
        <f t="shared" si="198"/>
        <v>9</v>
      </c>
      <c r="E2265" s="1051" t="str">
        <f>IF(COUNTIF(E$2234:E2264,F2265)&gt;0,"",F2265)</f>
        <v/>
      </c>
      <c r="F2265" s="1051" t="str">
        <f t="shared" si="199"/>
        <v>mix moyen, Guyane, Base Carbone</v>
      </c>
      <c r="G2265" s="1055" t="str">
        <f t="shared" si="200"/>
        <v>mix moyen, Guyane, Base Carbone; kgCO2e/kWh, Amont</v>
      </c>
      <c r="I2265" s="2018" t="s">
        <v>1758</v>
      </c>
      <c r="J2265" s="1135" t="s">
        <v>1681</v>
      </c>
      <c r="K2265" s="1119" t="s">
        <v>1567</v>
      </c>
      <c r="L2265" s="1135" t="s">
        <v>782</v>
      </c>
      <c r="M2265" s="1134">
        <v>0.15</v>
      </c>
      <c r="N2265" s="1135" t="s">
        <v>1570</v>
      </c>
      <c r="O2265" s="1135">
        <v>3.9E-2</v>
      </c>
      <c r="P2265" s="1135">
        <v>3.9E-2</v>
      </c>
      <c r="Q2265" s="1135">
        <v>0</v>
      </c>
      <c r="R2265" s="1135">
        <v>0</v>
      </c>
      <c r="S2265" s="1135">
        <v>0</v>
      </c>
      <c r="T2265" s="1135">
        <v>0</v>
      </c>
      <c r="U2265" s="2041">
        <v>0</v>
      </c>
    </row>
    <row r="2266" spans="2:21" hidden="1" outlineLevel="2">
      <c r="B2266" s="1050"/>
      <c r="C2266" s="1050"/>
      <c r="D2266" s="1051">
        <f t="shared" si="198"/>
        <v>10</v>
      </c>
      <c r="E2266" s="1051" t="str">
        <f>IF(COUNTIF(E$2234:E2265,F2266)&gt;0,"",F2266)</f>
        <v>mix moyen, Corse, Base Carbone</v>
      </c>
      <c r="F2266" s="1051" t="str">
        <f t="shared" si="199"/>
        <v>mix moyen, Corse, Base Carbone</v>
      </c>
      <c r="G2266" s="1055" t="str">
        <f t="shared" si="200"/>
        <v>mix moyen, Corse, Base Carbone; kgCO2e/kWh, Combustion à la centrale</v>
      </c>
      <c r="I2266" s="1100" t="s">
        <v>1758</v>
      </c>
      <c r="J2266" s="1048" t="s">
        <v>1681</v>
      </c>
      <c r="K2266" s="1119" t="s">
        <v>1567</v>
      </c>
      <c r="L2266" s="1048" t="s">
        <v>251</v>
      </c>
      <c r="M2266" s="1101">
        <v>0.15</v>
      </c>
      <c r="N2266" s="1048" t="s">
        <v>1763</v>
      </c>
      <c r="O2266" s="1048">
        <v>0.53</v>
      </c>
      <c r="P2266" s="1048">
        <v>0.52500000000000002</v>
      </c>
      <c r="Q2266" s="1048">
        <v>2.5700000000000001E-4</v>
      </c>
      <c r="R2266" s="1048">
        <v>0</v>
      </c>
      <c r="S2266" s="1048">
        <v>5.0499999999999998E-3</v>
      </c>
      <c r="T2266" s="1048">
        <v>0</v>
      </c>
      <c r="U2266" s="1102">
        <v>0</v>
      </c>
    </row>
    <row r="2267" spans="2:21" hidden="1" outlineLevel="2">
      <c r="B2267" s="1050"/>
      <c r="C2267" s="1050"/>
      <c r="D2267" s="1051">
        <f t="shared" si="198"/>
        <v>10</v>
      </c>
      <c r="E2267" s="1051" t="str">
        <f>IF(COUNTIF(E$2234:E2266,F2267)&gt;0,"",F2267)</f>
        <v/>
      </c>
      <c r="F2267" s="1051" t="str">
        <f t="shared" si="199"/>
        <v>mix moyen, Corse, Base Carbone</v>
      </c>
      <c r="G2267" s="1055" t="str">
        <f t="shared" si="200"/>
        <v>mix moyen, Corse, Base Carbone; kgCO2e/kWh, Emissions fugitives</v>
      </c>
      <c r="I2267" s="1100" t="s">
        <v>1758</v>
      </c>
      <c r="J2267" s="1048" t="s">
        <v>1681</v>
      </c>
      <c r="K2267" s="1119" t="s">
        <v>1567</v>
      </c>
      <c r="L2267" s="1048" t="s">
        <v>251</v>
      </c>
      <c r="M2267" s="1101">
        <v>0.15</v>
      </c>
      <c r="N2267" s="1048" t="s">
        <v>1764</v>
      </c>
      <c r="O2267" s="1048">
        <v>5.7000000000000002E-3</v>
      </c>
      <c r="P2267" s="1048">
        <v>0</v>
      </c>
      <c r="Q2267" s="1048">
        <v>0</v>
      </c>
      <c r="R2267" s="1048">
        <v>0</v>
      </c>
      <c r="S2267" s="1048">
        <v>0</v>
      </c>
      <c r="T2267" s="1048">
        <v>0</v>
      </c>
      <c r="U2267" s="1102">
        <v>0</v>
      </c>
    </row>
    <row r="2268" spans="2:21" hidden="1" outlineLevel="2">
      <c r="B2268" s="1050"/>
      <c r="C2268" s="1050"/>
      <c r="D2268" s="1051">
        <f t="shared" si="198"/>
        <v>10</v>
      </c>
      <c r="E2268" s="1051" t="str">
        <f>IF(COUNTIF(E$2234:E2267,F2268)&gt;0,"",F2268)</f>
        <v/>
      </c>
      <c r="F2268" s="1051" t="str">
        <f t="shared" si="199"/>
        <v>mix moyen, Corse, Base Carbone</v>
      </c>
      <c r="G2268" s="1055" t="str">
        <f t="shared" si="200"/>
        <v>mix moyen, Corse, Base Carbone; kgCO2e/kWh, Amont</v>
      </c>
      <c r="I2268" s="1100" t="s">
        <v>1758</v>
      </c>
      <c r="J2268" s="1048" t="s">
        <v>1681</v>
      </c>
      <c r="K2268" s="1119" t="s">
        <v>1567</v>
      </c>
      <c r="L2268" s="1048" t="s">
        <v>251</v>
      </c>
      <c r="M2268" s="1101">
        <v>0.15</v>
      </c>
      <c r="N2268" s="1048" t="s">
        <v>1570</v>
      </c>
      <c r="O2268" s="1048">
        <v>5.8000000000000003E-2</v>
      </c>
      <c r="P2268" s="1048">
        <v>5.8000000000000003E-2</v>
      </c>
      <c r="Q2268" s="1048">
        <v>0</v>
      </c>
      <c r="R2268" s="1048">
        <v>0</v>
      </c>
      <c r="S2268" s="1048">
        <v>0</v>
      </c>
      <c r="T2268" s="1048">
        <v>0</v>
      </c>
      <c r="U2268" s="1102">
        <v>0</v>
      </c>
    </row>
    <row r="2269" spans="2:21" hidden="1" outlineLevel="2">
      <c r="B2269" s="1050"/>
      <c r="C2269" s="1050"/>
      <c r="D2269" s="1051">
        <f t="shared" si="198"/>
        <v>11</v>
      </c>
      <c r="E2269" s="1051" t="str">
        <f>IF(COUNTIF(E$2234:E2268,F2269)&gt;0,"",F2269)</f>
        <v>mix moyen, Tahiti, Base Carbone</v>
      </c>
      <c r="F2269" s="1051" t="str">
        <f t="shared" si="199"/>
        <v>mix moyen, Tahiti, Base Carbone</v>
      </c>
      <c r="G2269" s="1055" t="str">
        <f t="shared" si="200"/>
        <v>mix moyen, Tahiti, Base Carbone; kgCO2e/kWh, Combustion à la centrale</v>
      </c>
      <c r="I2269" s="2018" t="s">
        <v>1758</v>
      </c>
      <c r="J2269" s="1135" t="s">
        <v>1681</v>
      </c>
      <c r="K2269" s="1119" t="s">
        <v>1567</v>
      </c>
      <c r="L2269" s="1135" t="s">
        <v>2246</v>
      </c>
      <c r="M2269" s="1134">
        <v>0.15</v>
      </c>
      <c r="N2269" s="1119" t="s">
        <v>1763</v>
      </c>
      <c r="O2269" s="1135">
        <v>0.41099999999999998</v>
      </c>
      <c r="P2269" s="2017">
        <v>0.41099999999999998</v>
      </c>
      <c r="Q2269" s="2017">
        <v>0</v>
      </c>
      <c r="R2269" s="2017">
        <v>0</v>
      </c>
      <c r="S2269" s="2017">
        <v>0</v>
      </c>
      <c r="T2269" s="2017">
        <v>0</v>
      </c>
      <c r="U2269" s="2042">
        <v>0</v>
      </c>
    </row>
    <row r="2270" spans="2:21" hidden="1" outlineLevel="2">
      <c r="B2270" s="1050"/>
      <c r="C2270" s="1050"/>
      <c r="D2270" s="1051">
        <f t="shared" si="198"/>
        <v>11</v>
      </c>
      <c r="E2270" s="1051" t="str">
        <f>IF(COUNTIF(E$2234:E2269,F2270)&gt;0,"",F2270)</f>
        <v/>
      </c>
      <c r="F2270" s="1051" t="str">
        <f t="shared" si="199"/>
        <v>mix moyen, Tahiti, Base Carbone</v>
      </c>
      <c r="G2270" s="1055" t="str">
        <f t="shared" si="200"/>
        <v>mix moyen, Tahiti, Base Carbone; kgCO2e/kWh, Pertes</v>
      </c>
      <c r="I2270" s="2018" t="s">
        <v>1758</v>
      </c>
      <c r="J2270" s="1135" t="s">
        <v>1681</v>
      </c>
      <c r="K2270" s="1119" t="s">
        <v>1567</v>
      </c>
      <c r="L2270" s="1135" t="s">
        <v>2246</v>
      </c>
      <c r="M2270" s="1134">
        <v>0.15</v>
      </c>
      <c r="N2270" s="1119" t="s">
        <v>1766</v>
      </c>
      <c r="O2270" s="1135">
        <v>4.9299999999999997E-2</v>
      </c>
      <c r="P2270" s="2017">
        <v>4.9299999999999997E-2</v>
      </c>
      <c r="Q2270" s="2017">
        <v>0</v>
      </c>
      <c r="R2270" s="2017">
        <v>0</v>
      </c>
      <c r="S2270" s="2017">
        <v>0</v>
      </c>
      <c r="T2270" s="2017">
        <v>0</v>
      </c>
      <c r="U2270" s="2042">
        <v>0</v>
      </c>
    </row>
    <row r="2271" spans="2:21" hidden="1" outlineLevel="2">
      <c r="B2271" s="1050"/>
      <c r="C2271" s="1050"/>
      <c r="D2271" s="1051">
        <f t="shared" si="198"/>
        <v>11</v>
      </c>
      <c r="E2271" s="1051" t="str">
        <f>IF(COUNTIF(E$2234:E2270,F2271)&gt;0,"",F2271)</f>
        <v/>
      </c>
      <c r="F2271" s="1051" t="str">
        <f t="shared" si="199"/>
        <v>mix moyen, Tahiti, Base Carbone</v>
      </c>
      <c r="G2271" s="1055" t="str">
        <f t="shared" si="200"/>
        <v>mix moyen, Tahiti, Base Carbone; kgCO2e/kWh, Amont</v>
      </c>
      <c r="I2271" s="2018" t="s">
        <v>1758</v>
      </c>
      <c r="J2271" s="1135" t="s">
        <v>1681</v>
      </c>
      <c r="K2271" s="1119" t="s">
        <v>1567</v>
      </c>
      <c r="L2271" s="1135" t="s">
        <v>2246</v>
      </c>
      <c r="M2271" s="1134">
        <v>0.15</v>
      </c>
      <c r="N2271" s="1119" t="s">
        <v>1570</v>
      </c>
      <c r="O2271" s="1135">
        <v>8.2900000000000001E-2</v>
      </c>
      <c r="P2271" s="2017">
        <v>8.2900000000000001E-2</v>
      </c>
      <c r="Q2271" s="2017">
        <v>0</v>
      </c>
      <c r="R2271" s="2017">
        <v>0</v>
      </c>
      <c r="S2271" s="2017">
        <v>0</v>
      </c>
      <c r="T2271" s="2017">
        <v>0</v>
      </c>
      <c r="U2271" s="2042">
        <v>0</v>
      </c>
    </row>
    <row r="2272" spans="2:21" hidden="1" outlineLevel="2">
      <c r="B2272" s="1050"/>
      <c r="C2272" s="1050"/>
      <c r="D2272" s="1051">
        <f t="shared" si="198"/>
        <v>12</v>
      </c>
      <c r="E2272" s="1051" t="str">
        <f>IF(COUNTIF(E$2234:E2271,F2272)&gt;0,"",F2272)</f>
        <v>mix moyen, Polynésie Française - hors Tahiti, Base Carbone</v>
      </c>
      <c r="F2272" s="1051" t="str">
        <f t="shared" si="199"/>
        <v>mix moyen, Polynésie Française - hors Tahiti, Base Carbone</v>
      </c>
      <c r="G2272" s="1055" t="str">
        <f t="shared" si="200"/>
        <v>mix moyen, Polynésie Française - hors Tahiti, Base Carbone; kgCO2e/kWh, Combustion à la centrale</v>
      </c>
      <c r="I2272" s="2018" t="s">
        <v>1758</v>
      </c>
      <c r="J2272" s="1135" t="s">
        <v>1681</v>
      </c>
      <c r="K2272" s="1119" t="s">
        <v>1567</v>
      </c>
      <c r="L2272" s="1135" t="s">
        <v>3087</v>
      </c>
      <c r="M2272" s="1134">
        <v>0.15</v>
      </c>
      <c r="N2272" s="1119" t="s">
        <v>1763</v>
      </c>
      <c r="O2272" s="1135">
        <v>0.85799999999999998</v>
      </c>
      <c r="P2272" s="2017">
        <v>0.85799999999999998</v>
      </c>
      <c r="Q2272" s="2017">
        <v>0</v>
      </c>
      <c r="R2272" s="2017">
        <v>0</v>
      </c>
      <c r="S2272" s="2017">
        <v>0</v>
      </c>
      <c r="T2272" s="2017">
        <v>0</v>
      </c>
      <c r="U2272" s="2042">
        <v>0</v>
      </c>
    </row>
    <row r="2273" spans="2:21" hidden="1" outlineLevel="2">
      <c r="B2273" s="1050"/>
      <c r="C2273" s="1050"/>
      <c r="D2273" s="1051">
        <f t="shared" si="198"/>
        <v>12</v>
      </c>
      <c r="E2273" s="1051" t="str">
        <f>IF(COUNTIF(E$2234:E2272,F2273)&gt;0,"",F2273)</f>
        <v/>
      </c>
      <c r="F2273" s="1051" t="str">
        <f t="shared" si="199"/>
        <v>mix moyen, Polynésie Française - hors Tahiti, Base Carbone</v>
      </c>
      <c r="G2273" s="1055" t="str">
        <f t="shared" si="200"/>
        <v>mix moyen, Polynésie Française - hors Tahiti, Base Carbone; kgCO2e/kWh, Pertes</v>
      </c>
      <c r="I2273" s="2018" t="s">
        <v>1758</v>
      </c>
      <c r="J2273" s="1135" t="s">
        <v>1681</v>
      </c>
      <c r="K2273" s="1119" t="s">
        <v>1567</v>
      </c>
      <c r="L2273" s="1135" t="s">
        <v>3087</v>
      </c>
      <c r="M2273" s="1134">
        <v>0.15</v>
      </c>
      <c r="N2273" s="1119" t="s">
        <v>1766</v>
      </c>
      <c r="O2273" s="1135">
        <v>9.9400000000000002E-2</v>
      </c>
      <c r="P2273" s="2017">
        <v>9.9400000000000002E-2</v>
      </c>
      <c r="Q2273" s="2017">
        <v>0</v>
      </c>
      <c r="R2273" s="2017">
        <v>0</v>
      </c>
      <c r="S2273" s="2017">
        <v>0</v>
      </c>
      <c r="T2273" s="2017">
        <v>0</v>
      </c>
      <c r="U2273" s="2042">
        <v>0</v>
      </c>
    </row>
    <row r="2274" spans="2:21" hidden="1" outlineLevel="2">
      <c r="B2274" s="1050"/>
      <c r="C2274" s="1050"/>
      <c r="D2274" s="1051">
        <f t="shared" si="198"/>
        <v>12</v>
      </c>
      <c r="E2274" s="1051" t="str">
        <f>IF(COUNTIF(E$2234:E2273,F2274)&gt;0,"",F2274)</f>
        <v/>
      </c>
      <c r="F2274" s="1051" t="str">
        <f t="shared" si="199"/>
        <v>mix moyen, Polynésie Française - hors Tahiti, Base Carbone</v>
      </c>
      <c r="G2274" s="1055" t="str">
        <f t="shared" si="200"/>
        <v>mix moyen, Polynésie Française - hors Tahiti, Base Carbone; kgCO2e/kWh, Amont</v>
      </c>
      <c r="I2274" s="2018" t="s">
        <v>1758</v>
      </c>
      <c r="J2274" s="1135" t="s">
        <v>1681</v>
      </c>
      <c r="K2274" s="1119" t="s">
        <v>1567</v>
      </c>
      <c r="L2274" s="1135" t="s">
        <v>3087</v>
      </c>
      <c r="M2274" s="1134">
        <v>0.15</v>
      </c>
      <c r="N2274" s="1119" t="s">
        <v>1570</v>
      </c>
      <c r="O2274" s="1135">
        <v>0.13600000000000001</v>
      </c>
      <c r="P2274" s="2017">
        <v>0.13600000000000001</v>
      </c>
      <c r="Q2274" s="2017">
        <v>0</v>
      </c>
      <c r="R2274" s="2017">
        <v>0</v>
      </c>
      <c r="S2274" s="2017">
        <v>0</v>
      </c>
      <c r="T2274" s="2017">
        <v>0</v>
      </c>
      <c r="U2274" s="2042">
        <v>0</v>
      </c>
    </row>
    <row r="2275" spans="2:21" hidden="1" outlineLevel="2">
      <c r="D2275" s="1051">
        <f t="shared" si="198"/>
        <v>12</v>
      </c>
      <c r="E2275" s="1051" t="str">
        <f>IF(COUNTIF(E$2234:E2274,F2275)&gt;0,"",F2275)</f>
        <v/>
      </c>
      <c r="F2275" s="1051" t="str">
        <f t="shared" si="199"/>
        <v/>
      </c>
      <c r="G2275" s="1055" t="str">
        <f t="shared" si="200"/>
        <v/>
      </c>
      <c r="I2275" s="1100"/>
      <c r="J2275" s="1048"/>
      <c r="K2275" s="1119"/>
      <c r="L2275" s="1048"/>
      <c r="M2275" s="1101"/>
      <c r="N2275" s="1048"/>
      <c r="O2275" s="1048"/>
      <c r="P2275" s="1048"/>
      <c r="Q2275" s="1048"/>
      <c r="R2275" s="1048"/>
      <c r="S2275" s="1048"/>
      <c r="T2275" s="1048"/>
      <c r="U2275" s="1102"/>
    </row>
    <row r="2276" spans="2:21" hidden="1" outlineLevel="2">
      <c r="D2276" s="1051">
        <f t="shared" si="198"/>
        <v>12</v>
      </c>
      <c r="E2276" s="1051" t="str">
        <f>IF(COUNTIF(E$2234:E2275,F2276)&gt;0,"",F2276)</f>
        <v/>
      </c>
      <c r="F2276" s="1051" t="str">
        <f t="shared" si="199"/>
        <v/>
      </c>
      <c r="G2276" s="1055" t="str">
        <f t="shared" si="200"/>
        <v/>
      </c>
      <c r="I2276" s="1100"/>
      <c r="J2276" s="1048"/>
      <c r="K2276" s="1119"/>
      <c r="L2276" s="1048"/>
      <c r="M2276" s="1101"/>
      <c r="N2276" s="1048"/>
      <c r="O2276" s="1048"/>
      <c r="P2276" s="1048"/>
      <c r="Q2276" s="1048"/>
      <c r="R2276" s="1048"/>
      <c r="S2276" s="1048"/>
      <c r="T2276" s="1048"/>
      <c r="U2276" s="1102"/>
    </row>
    <row r="2277" spans="2:21" s="1045" customFormat="1" hidden="1" outlineLevel="1">
      <c r="G2277" s="1135"/>
      <c r="I2277" s="1711"/>
      <c r="J2277" s="1712"/>
      <c r="K2277" s="1720"/>
      <c r="L2277" s="1712"/>
      <c r="M2277" s="1713"/>
      <c r="N2277" s="1712"/>
      <c r="O2277" s="1712"/>
      <c r="P2277" s="1712"/>
      <c r="Q2277" s="1712"/>
      <c r="R2277" s="1721"/>
      <c r="S2277" s="1712"/>
      <c r="T2277" s="1712"/>
      <c r="U2277" s="1714"/>
    </row>
    <row r="2278" spans="2:21" ht="12" hidden="1" customHeight="1" outlineLevel="1" collapsed="1">
      <c r="B2278" s="3155" t="s">
        <v>1783</v>
      </c>
      <c r="C2278" s="3155"/>
      <c r="D2278" s="1055">
        <v>0</v>
      </c>
      <c r="E2278" s="1055"/>
      <c r="F2278" s="1051" t="str">
        <f t="shared" ref="F2278:F2333" si="201">IF(I2278&lt;&gt;"",I2278&amp;IF(L2278&lt;&gt;"",", "&amp;L2278,"")&amp;IF(K2278&lt;&gt;"",", "&amp;K2278,""),"")</f>
        <v/>
      </c>
      <c r="G2278" s="1055" t="str">
        <f t="shared" ref="G2278:G2333" si="202">IF(F2278&lt;&gt;"",F2278&amp;IF(J2278&lt;&gt;"","; "&amp;J2278,"")&amp;IF(N2278&lt;&gt;"",", "&amp;N2278,""),"")</f>
        <v/>
      </c>
      <c r="I2278" s="1711"/>
      <c r="J2278" s="1712"/>
      <c r="K2278" s="1720"/>
      <c r="L2278" s="1712"/>
      <c r="M2278" s="1713"/>
      <c r="N2278" s="1712"/>
      <c r="O2278" s="1712"/>
      <c r="P2278" s="1712"/>
      <c r="Q2278" s="1712"/>
      <c r="R2278" s="1721"/>
      <c r="S2278" s="1712"/>
      <c r="T2278" s="1712"/>
      <c r="U2278" s="1714"/>
    </row>
    <row r="2279" spans="2:21" hidden="1" outlineLevel="2">
      <c r="B2279" s="1050">
        <v>1</v>
      </c>
      <c r="C2279" s="1050" t="str">
        <f>IF(ISNA(VLOOKUP(B2279,$D$2279:$E$2421,2,FALSE)),"-",VLOOKUP(B2279,$D$2279:$E$2421,2,FALSE))</f>
        <v>Canada, Base Carbone</v>
      </c>
      <c r="D2279" s="1055">
        <f>D2278+IF(LEN(E2279)=0,0,1)</f>
        <v>1</v>
      </c>
      <c r="E2279" s="1055" t="str">
        <f>IF(COUNTIF(E$2278:E2278,F2279)&gt;0,"",F2279)</f>
        <v>Canada, Base Carbone</v>
      </c>
      <c r="F2279" s="1051" t="str">
        <f t="shared" si="201"/>
        <v>Canada, Base Carbone</v>
      </c>
      <c r="G2279" s="1055" t="str">
        <f t="shared" si="202"/>
        <v>Canada, Base Carbone; kgCO2e/kWh</v>
      </c>
      <c r="I2279" s="1100" t="s">
        <v>1080</v>
      </c>
      <c r="J2279" s="1048" t="s">
        <v>1681</v>
      </c>
      <c r="K2279" s="1119" t="s">
        <v>1567</v>
      </c>
      <c r="L2279" s="1048"/>
      <c r="M2279" s="1101">
        <v>0.1</v>
      </c>
      <c r="N2279" s="1048"/>
      <c r="O2279" s="1048">
        <v>0.186</v>
      </c>
      <c r="P2279" s="1048"/>
      <c r="Q2279" s="1048"/>
      <c r="R2279" s="1158"/>
      <c r="S2279" s="1048"/>
      <c r="T2279" s="1048"/>
      <c r="U2279" s="1102"/>
    </row>
    <row r="2280" spans="2:21" hidden="1" outlineLevel="2">
      <c r="B2280" s="1050">
        <v>2</v>
      </c>
      <c r="C2280" s="1050" t="str">
        <f t="shared" ref="C2280:C2343" si="203">IF(ISNA(VLOOKUP(B2280,$D$2279:$E$2421,2,FALSE)),"-",VLOOKUP(B2280,$D$2279:$E$2421,2,FALSE))</f>
        <v>Chili, Base Carbone</v>
      </c>
      <c r="D2280" s="1055">
        <f t="shared" ref="D2280:D2343" si="204">D2279+IF(LEN(E2280)=0,0,1)</f>
        <v>2</v>
      </c>
      <c r="E2280" s="1055" t="str">
        <f>IF(COUNTIF(E$2278:E2279,F2280)&gt;0,"",F2280)</f>
        <v>Chili, Base Carbone</v>
      </c>
      <c r="F2280" s="1051" t="str">
        <f t="shared" si="201"/>
        <v>Chili, Base Carbone</v>
      </c>
      <c r="G2280" s="1055" t="str">
        <f t="shared" si="202"/>
        <v>Chili, Base Carbone; kgCO2e/kWh</v>
      </c>
      <c r="I2280" s="1100" t="s">
        <v>1081</v>
      </c>
      <c r="J2280" s="1048" t="s">
        <v>1681</v>
      </c>
      <c r="K2280" s="1119" t="s">
        <v>1567</v>
      </c>
      <c r="L2280" s="1048"/>
      <c r="M2280" s="1101">
        <v>0.1</v>
      </c>
      <c r="N2280" s="1048"/>
      <c r="O2280" s="1048">
        <v>0.41</v>
      </c>
      <c r="P2280" s="1048"/>
      <c r="Q2280" s="1048"/>
      <c r="R2280" s="1158"/>
      <c r="S2280" s="1048"/>
      <c r="T2280" s="1048"/>
      <c r="U2280" s="1102"/>
    </row>
    <row r="2281" spans="2:21" hidden="1" outlineLevel="2">
      <c r="B2281" s="1050">
        <v>3</v>
      </c>
      <c r="C2281" s="1050" t="str">
        <f t="shared" si="203"/>
        <v>Mexique, Base Carbone</v>
      </c>
      <c r="D2281" s="1055">
        <f t="shared" si="204"/>
        <v>3</v>
      </c>
      <c r="E2281" s="1055" t="str">
        <f>IF(COUNTIF(E$2278:E2280,F2281)&gt;0,"",F2281)</f>
        <v>Mexique, Base Carbone</v>
      </c>
      <c r="F2281" s="1051" t="str">
        <f t="shared" si="201"/>
        <v>Mexique, Base Carbone</v>
      </c>
      <c r="G2281" s="1055" t="str">
        <f t="shared" si="202"/>
        <v>Mexique, Base Carbone; kgCO2e/kWh</v>
      </c>
      <c r="I2281" s="1100" t="s">
        <v>1134</v>
      </c>
      <c r="J2281" s="1048" t="s">
        <v>1681</v>
      </c>
      <c r="K2281" s="1119" t="s">
        <v>1567</v>
      </c>
      <c r="L2281" s="1048"/>
      <c r="M2281" s="1101">
        <v>0.1</v>
      </c>
      <c r="N2281" s="1048"/>
      <c r="O2281" s="1048">
        <v>0.45500000000000002</v>
      </c>
      <c r="P2281" s="1048"/>
      <c r="Q2281" s="1048"/>
      <c r="R2281" s="1158"/>
      <c r="S2281" s="1048"/>
      <c r="T2281" s="1048"/>
      <c r="U2281" s="1102"/>
    </row>
    <row r="2282" spans="2:21" hidden="1" outlineLevel="2">
      <c r="B2282" s="1050">
        <v>4</v>
      </c>
      <c r="C2282" s="1050" t="str">
        <f t="shared" si="203"/>
        <v>États-Unis, Base Carbone</v>
      </c>
      <c r="D2282" s="1055">
        <f t="shared" si="204"/>
        <v>4</v>
      </c>
      <c r="E2282" s="1055" t="str">
        <f>IF(COUNTIF(E$2278:E2281,F2282)&gt;0,"",F2282)</f>
        <v>États-Unis, Base Carbone</v>
      </c>
      <c r="F2282" s="1051" t="str">
        <f t="shared" si="201"/>
        <v>États-Unis, Base Carbone</v>
      </c>
      <c r="G2282" s="1055" t="str">
        <f t="shared" si="202"/>
        <v>États-Unis, Base Carbone; kgCO2e/kWh</v>
      </c>
      <c r="I2282" s="1100" t="s">
        <v>1098</v>
      </c>
      <c r="J2282" s="1048" t="s">
        <v>1681</v>
      </c>
      <c r="K2282" s="1119" t="s">
        <v>1567</v>
      </c>
      <c r="L2282" s="1048"/>
      <c r="M2282" s="1101">
        <v>0.1</v>
      </c>
      <c r="N2282" s="1048"/>
      <c r="O2282" s="1048">
        <v>0.52200000000000002</v>
      </c>
      <c r="P2282" s="1048"/>
      <c r="Q2282" s="1048"/>
      <c r="R2282" s="1158"/>
      <c r="S2282" s="1048"/>
      <c r="T2282" s="1048"/>
      <c r="U2282" s="1102"/>
    </row>
    <row r="2283" spans="2:21" hidden="1" outlineLevel="2">
      <c r="B2283" s="1050">
        <v>5</v>
      </c>
      <c r="C2283" s="1050" t="str">
        <f t="shared" si="203"/>
        <v>Australie, Base Carbone</v>
      </c>
      <c r="D2283" s="1055">
        <f t="shared" si="204"/>
        <v>5</v>
      </c>
      <c r="E2283" s="1055" t="str">
        <f>IF(COUNTIF(E$2278:E2282,F2283)&gt;0,"",F2283)</f>
        <v>Australie, Base Carbone</v>
      </c>
      <c r="F2283" s="1051" t="str">
        <f t="shared" si="201"/>
        <v>Australie, Base Carbone</v>
      </c>
      <c r="G2283" s="1055" t="str">
        <f t="shared" si="202"/>
        <v>Australie, Base Carbone; kgCO2e/kWh</v>
      </c>
      <c r="I2283" s="1100" t="s">
        <v>1063</v>
      </c>
      <c r="J2283" s="1048" t="s">
        <v>1681</v>
      </c>
      <c r="K2283" s="1119" t="s">
        <v>1567</v>
      </c>
      <c r="L2283" s="1048"/>
      <c r="M2283" s="1101">
        <v>0.1</v>
      </c>
      <c r="N2283" s="1048"/>
      <c r="O2283" s="1048">
        <v>0.84099999999999997</v>
      </c>
      <c r="P2283" s="1048"/>
      <c r="Q2283" s="1048"/>
      <c r="R2283" s="1158"/>
      <c r="S2283" s="1048"/>
      <c r="T2283" s="1048"/>
      <c r="U2283" s="1102"/>
    </row>
    <row r="2284" spans="2:21" hidden="1" outlineLevel="2">
      <c r="B2284" s="1050">
        <v>6</v>
      </c>
      <c r="C2284" s="1050" t="str">
        <f t="shared" si="203"/>
        <v>Israël, Base Carbone</v>
      </c>
      <c r="D2284" s="1055">
        <f t="shared" si="204"/>
        <v>6</v>
      </c>
      <c r="E2284" s="1055" t="str">
        <f>IF(COUNTIF(E$2278:E2283,F2284)&gt;0,"",F2284)</f>
        <v>Israël, Base Carbone</v>
      </c>
      <c r="F2284" s="1051" t="str">
        <f t="shared" si="201"/>
        <v>Israël, Base Carbone</v>
      </c>
      <c r="G2284" s="1055" t="str">
        <f t="shared" si="202"/>
        <v>Israël, Base Carbone; kgCO2e/kWh</v>
      </c>
      <c r="I2284" s="1100" t="s">
        <v>1115</v>
      </c>
      <c r="J2284" s="1048" t="s">
        <v>1681</v>
      </c>
      <c r="K2284" s="1119" t="s">
        <v>1567</v>
      </c>
      <c r="L2284" s="1048"/>
      <c r="M2284" s="1101">
        <v>0.1</v>
      </c>
      <c r="N2284" s="1048"/>
      <c r="O2284" s="1048">
        <v>0.68899999999999995</v>
      </c>
      <c r="P2284" s="1048"/>
      <c r="Q2284" s="1048"/>
      <c r="R2284" s="1158"/>
      <c r="S2284" s="1048"/>
      <c r="T2284" s="1048"/>
      <c r="U2284" s="1102"/>
    </row>
    <row r="2285" spans="2:21" hidden="1" outlineLevel="2">
      <c r="B2285" s="1050">
        <v>7</v>
      </c>
      <c r="C2285" s="1050" t="str">
        <f t="shared" si="203"/>
        <v>Japon, Base Carbone</v>
      </c>
      <c r="D2285" s="1055">
        <f t="shared" si="204"/>
        <v>7</v>
      </c>
      <c r="E2285" s="1055" t="str">
        <f>IF(COUNTIF(E$2278:E2284,F2285)&gt;0,"",F2285)</f>
        <v>Japon, Base Carbone</v>
      </c>
      <c r="F2285" s="1051" t="str">
        <f t="shared" si="201"/>
        <v>Japon, Base Carbone</v>
      </c>
      <c r="G2285" s="1055" t="str">
        <f t="shared" si="202"/>
        <v>Japon, Base Carbone; kgCO2e/kWh</v>
      </c>
      <c r="I2285" s="1100" t="s">
        <v>1118</v>
      </c>
      <c r="J2285" s="1048" t="s">
        <v>1681</v>
      </c>
      <c r="K2285" s="1119" t="s">
        <v>1567</v>
      </c>
      <c r="L2285" s="1048"/>
      <c r="M2285" s="1101">
        <v>0.1</v>
      </c>
      <c r="N2285" s="1048"/>
      <c r="O2285" s="1048">
        <v>0.41599999999999998</v>
      </c>
      <c r="P2285" s="1048"/>
      <c r="Q2285" s="1048"/>
      <c r="R2285" s="1158"/>
      <c r="S2285" s="1048"/>
      <c r="T2285" s="1048"/>
      <c r="U2285" s="1102"/>
    </row>
    <row r="2286" spans="2:21" hidden="1" outlineLevel="2">
      <c r="B2286" s="1050">
        <v>8</v>
      </c>
      <c r="C2286" s="1050" t="str">
        <f t="shared" si="203"/>
        <v>Corée du sud, Base Carbone</v>
      </c>
      <c r="D2286" s="1055">
        <f t="shared" si="204"/>
        <v>8</v>
      </c>
      <c r="E2286" s="1055" t="str">
        <f>IF(COUNTIF(E$2278:E2285,F2286)&gt;0,"",F2286)</f>
        <v>Corée du sud, Base Carbone</v>
      </c>
      <c r="F2286" s="1051" t="str">
        <f t="shared" si="201"/>
        <v>Corée du sud, Base Carbone</v>
      </c>
      <c r="G2286" s="1055" t="str">
        <f t="shared" si="202"/>
        <v>Corée du sud, Base Carbone; kgCO2e/kWh</v>
      </c>
      <c r="I2286" s="1100" t="s">
        <v>1778</v>
      </c>
      <c r="J2286" s="1048" t="s">
        <v>1681</v>
      </c>
      <c r="K2286" s="1119" t="s">
        <v>1567</v>
      </c>
      <c r="L2286" s="1048"/>
      <c r="M2286" s="1101">
        <v>0.1</v>
      </c>
      <c r="N2286" s="1048"/>
      <c r="O2286" s="1048">
        <v>0.53300000000000003</v>
      </c>
      <c r="P2286" s="1048"/>
      <c r="Q2286" s="1048"/>
      <c r="R2286" s="1158"/>
      <c r="S2286" s="1048"/>
      <c r="T2286" s="1048"/>
      <c r="U2286" s="1102"/>
    </row>
    <row r="2287" spans="2:21" hidden="1" outlineLevel="2">
      <c r="B2287" s="1050">
        <v>9</v>
      </c>
      <c r="C2287" s="1050" t="str">
        <f t="shared" si="203"/>
        <v>Nouvelle-Zélande, Base Carbone</v>
      </c>
      <c r="D2287" s="1055">
        <f t="shared" si="204"/>
        <v>9</v>
      </c>
      <c r="E2287" s="1055" t="str">
        <f>IF(COUNTIF(E$2278:E2286,F2287)&gt;0,"",F2287)</f>
        <v>Nouvelle-Zélande, Base Carbone</v>
      </c>
      <c r="F2287" s="1051" t="str">
        <f t="shared" si="201"/>
        <v>Nouvelle-Zélande, Base Carbone</v>
      </c>
      <c r="G2287" s="1055" t="str">
        <f t="shared" si="202"/>
        <v>Nouvelle-Zélande, Base Carbone; kgCO2e/kWh</v>
      </c>
      <c r="I2287" s="1100" t="s">
        <v>1144</v>
      </c>
      <c r="J2287" s="1048" t="s">
        <v>1681</v>
      </c>
      <c r="K2287" s="1119" t="s">
        <v>1567</v>
      </c>
      <c r="L2287" s="1048"/>
      <c r="M2287" s="1101">
        <v>0.1</v>
      </c>
      <c r="N2287" s="1048"/>
      <c r="O2287" s="1048">
        <v>0.15</v>
      </c>
      <c r="P2287" s="1048"/>
      <c r="Q2287" s="1048"/>
      <c r="R2287" s="1158"/>
      <c r="S2287" s="1048"/>
      <c r="T2287" s="1048"/>
      <c r="U2287" s="1102"/>
    </row>
    <row r="2288" spans="2:21" hidden="1" outlineLevel="2">
      <c r="B2288" s="1050">
        <v>10</v>
      </c>
      <c r="C2288" s="1050" t="str">
        <f t="shared" si="203"/>
        <v>Autriche, Base Carbone</v>
      </c>
      <c r="D2288" s="1055">
        <f t="shared" si="204"/>
        <v>10</v>
      </c>
      <c r="E2288" s="1055" t="str">
        <f>IF(COUNTIF(E$2278:E2287,F2288)&gt;0,"",F2288)</f>
        <v>Autriche, Base Carbone</v>
      </c>
      <c r="F2288" s="1051" t="str">
        <f t="shared" si="201"/>
        <v>Autriche, Base Carbone</v>
      </c>
      <c r="G2288" s="1055" t="str">
        <f t="shared" si="202"/>
        <v>Autriche, Base Carbone; kgCO2e/kWh</v>
      </c>
      <c r="I2288" s="1100" t="s">
        <v>1064</v>
      </c>
      <c r="J2288" s="1048" t="s">
        <v>1681</v>
      </c>
      <c r="K2288" s="1119" t="s">
        <v>1567</v>
      </c>
      <c r="L2288" s="1048"/>
      <c r="M2288" s="1101">
        <v>0.1</v>
      </c>
      <c r="N2288" s="1048"/>
      <c r="O2288" s="1048">
        <v>0.188</v>
      </c>
      <c r="P2288" s="1048"/>
      <c r="Q2288" s="1048"/>
      <c r="R2288" s="1158"/>
      <c r="S2288" s="1048"/>
      <c r="T2288" s="1048"/>
      <c r="U2288" s="1102"/>
    </row>
    <row r="2289" spans="2:21" hidden="1" outlineLevel="2">
      <c r="B2289" s="1050">
        <v>11</v>
      </c>
      <c r="C2289" s="1050" t="str">
        <f t="shared" si="203"/>
        <v>Belgique, Base Carbone</v>
      </c>
      <c r="D2289" s="1055">
        <f t="shared" si="204"/>
        <v>11</v>
      </c>
      <c r="E2289" s="1055" t="str">
        <f>IF(COUNTIF(E$2278:E2288,F2289)&gt;0,"",F2289)</f>
        <v>Belgique, Base Carbone</v>
      </c>
      <c r="F2289" s="1051" t="str">
        <f t="shared" si="201"/>
        <v>Belgique, Base Carbone</v>
      </c>
      <c r="G2289" s="1055" t="str">
        <f t="shared" si="202"/>
        <v>Belgique, Base Carbone; kgCO2e/kWh</v>
      </c>
      <c r="I2289" s="1100" t="s">
        <v>1069</v>
      </c>
      <c r="J2289" s="1048" t="s">
        <v>1681</v>
      </c>
      <c r="K2289" s="1119" t="s">
        <v>1567</v>
      </c>
      <c r="L2289" s="1048"/>
      <c r="M2289" s="1101">
        <v>0.1</v>
      </c>
      <c r="N2289" s="1048"/>
      <c r="O2289" s="1048">
        <v>0.22</v>
      </c>
      <c r="P2289" s="1048"/>
      <c r="Q2289" s="1048"/>
      <c r="R2289" s="1158"/>
      <c r="S2289" s="1048"/>
      <c r="T2289" s="1048"/>
      <c r="U2289" s="1102"/>
    </row>
    <row r="2290" spans="2:21" hidden="1" outlineLevel="2">
      <c r="B2290" s="1050">
        <v>12</v>
      </c>
      <c r="C2290" s="1050" t="str">
        <f t="shared" si="203"/>
        <v>République Tchèque, Base Carbone</v>
      </c>
      <c r="D2290" s="1055">
        <f t="shared" si="204"/>
        <v>12</v>
      </c>
      <c r="E2290" s="1055" t="str">
        <f>IF(COUNTIF(E$2278:E2289,F2290)&gt;0,"",F2290)</f>
        <v>République Tchèque, Base Carbone</v>
      </c>
      <c r="F2290" s="1051" t="str">
        <f t="shared" si="201"/>
        <v>République Tchèque, Base Carbone</v>
      </c>
      <c r="G2290" s="1055" t="str">
        <f t="shared" si="202"/>
        <v>République Tchèque, Base Carbone; kgCO2e/kWh</v>
      </c>
      <c r="I2290" s="1100" t="s">
        <v>1155</v>
      </c>
      <c r="J2290" s="1048" t="s">
        <v>1681</v>
      </c>
      <c r="K2290" s="1119" t="s">
        <v>1567</v>
      </c>
      <c r="L2290" s="1048"/>
      <c r="M2290" s="1101">
        <v>0.1</v>
      </c>
      <c r="N2290" s="1048"/>
      <c r="O2290" s="1048">
        <v>0.58899999999999997</v>
      </c>
      <c r="P2290" s="1048"/>
      <c r="Q2290" s="1048"/>
      <c r="R2290" s="1158"/>
      <c r="S2290" s="1048"/>
      <c r="T2290" s="1048"/>
      <c r="U2290" s="1102"/>
    </row>
    <row r="2291" spans="2:21" hidden="1" outlineLevel="2">
      <c r="B2291" s="1050">
        <v>13</v>
      </c>
      <c r="C2291" s="1050" t="str">
        <f t="shared" si="203"/>
        <v>Danemark, Base Carbone</v>
      </c>
      <c r="D2291" s="1055">
        <f t="shared" si="204"/>
        <v>13</v>
      </c>
      <c r="E2291" s="1055" t="str">
        <f>IF(COUNTIF(E$2278:E2290,F2291)&gt;0,"",F2291)</f>
        <v>Danemark, Base Carbone</v>
      </c>
      <c r="F2291" s="1051" t="str">
        <f t="shared" si="201"/>
        <v>Danemark, Base Carbone</v>
      </c>
      <c r="G2291" s="1055" t="str">
        <f t="shared" si="202"/>
        <v>Danemark, Base Carbone; kgCO2e/kWh</v>
      </c>
      <c r="I2291" s="1100" t="s">
        <v>1090</v>
      </c>
      <c r="J2291" s="1048" t="s">
        <v>1681</v>
      </c>
      <c r="K2291" s="1119" t="s">
        <v>1567</v>
      </c>
      <c r="L2291" s="1048"/>
      <c r="M2291" s="1101">
        <v>0.1</v>
      </c>
      <c r="N2291" s="1048"/>
      <c r="O2291" s="1048">
        <v>0.36</v>
      </c>
      <c r="P2291" s="1048"/>
      <c r="Q2291" s="1048"/>
      <c r="R2291" s="1158"/>
      <c r="S2291" s="1048"/>
      <c r="T2291" s="1048"/>
      <c r="U2291" s="1102"/>
    </row>
    <row r="2292" spans="2:21" hidden="1" outlineLevel="2">
      <c r="B2292" s="1050">
        <v>14</v>
      </c>
      <c r="C2292" s="1050" t="str">
        <f t="shared" si="203"/>
        <v>Estonie, Base Carbone</v>
      </c>
      <c r="D2292" s="1055">
        <f t="shared" si="204"/>
        <v>14</v>
      </c>
      <c r="E2292" s="1055" t="str">
        <f>IF(COUNTIF(E$2278:E2291,F2292)&gt;0,"",F2292)</f>
        <v>Estonie, Base Carbone</v>
      </c>
      <c r="F2292" s="1051" t="str">
        <f t="shared" si="201"/>
        <v>Estonie, Base Carbone</v>
      </c>
      <c r="G2292" s="1055" t="str">
        <f t="shared" si="202"/>
        <v>Estonie, Base Carbone; kgCO2e/kWh</v>
      </c>
      <c r="I2292" s="1100" t="s">
        <v>1097</v>
      </c>
      <c r="J2292" s="1048" t="s">
        <v>1681</v>
      </c>
      <c r="K2292" s="1119" t="s">
        <v>1567</v>
      </c>
      <c r="L2292" s="1048"/>
      <c r="M2292" s="1101">
        <v>0.1</v>
      </c>
      <c r="N2292" s="1048"/>
      <c r="O2292" s="1048">
        <v>1.01</v>
      </c>
      <c r="P2292" s="1048"/>
      <c r="Q2292" s="1048"/>
      <c r="R2292" s="1158"/>
      <c r="S2292" s="1048"/>
      <c r="T2292" s="1048"/>
      <c r="U2292" s="1102"/>
    </row>
    <row r="2293" spans="2:21" hidden="1" outlineLevel="2">
      <c r="B2293" s="1050">
        <v>15</v>
      </c>
      <c r="C2293" s="1050" t="str">
        <f t="shared" si="203"/>
        <v>Finlande, Base Carbone</v>
      </c>
      <c r="D2293" s="1055">
        <f t="shared" si="204"/>
        <v>15</v>
      </c>
      <c r="E2293" s="1055" t="str">
        <f>IF(COUNTIF(E$2278:E2292,F2293)&gt;0,"",F2293)</f>
        <v>Finlande, Base Carbone</v>
      </c>
      <c r="F2293" s="1051" t="str">
        <f t="shared" si="201"/>
        <v>Finlande, Base Carbone</v>
      </c>
      <c r="G2293" s="1055" t="str">
        <f t="shared" si="202"/>
        <v>Finlande, Base Carbone; kgCO2e/kWh</v>
      </c>
      <c r="I2293" s="1100" t="s">
        <v>1100</v>
      </c>
      <c r="J2293" s="1048" t="s">
        <v>1681</v>
      </c>
      <c r="K2293" s="1119" t="s">
        <v>1567</v>
      </c>
      <c r="L2293" s="1048"/>
      <c r="M2293" s="1101">
        <v>0.1</v>
      </c>
      <c r="N2293" s="1048"/>
      <c r="O2293" s="1048">
        <v>0.22900000000000001</v>
      </c>
      <c r="P2293" s="1048"/>
      <c r="Q2293" s="1048"/>
      <c r="R2293" s="1158"/>
      <c r="S2293" s="1048"/>
      <c r="T2293" s="1048"/>
      <c r="U2293" s="1102"/>
    </row>
    <row r="2294" spans="2:21" hidden="1" outlineLevel="2">
      <c r="B2294" s="1050">
        <v>16</v>
      </c>
      <c r="C2294" s="1050" t="str">
        <f t="shared" si="203"/>
        <v>France, Base Carbone</v>
      </c>
      <c r="D2294" s="1055">
        <f t="shared" si="204"/>
        <v>16</v>
      </c>
      <c r="E2294" s="1055" t="str">
        <f>IF(COUNTIF(E$2278:E2293,F2294)&gt;0,"",F2294)</f>
        <v>France, Base Carbone</v>
      </c>
      <c r="F2294" s="1051" t="str">
        <f t="shared" si="201"/>
        <v>France, Base Carbone</v>
      </c>
      <c r="G2294" s="1055" t="str">
        <f t="shared" si="202"/>
        <v>France, Base Carbone; kgCO2e/kWh</v>
      </c>
      <c r="I2294" s="1100" t="s">
        <v>239</v>
      </c>
      <c r="J2294" s="1048" t="s">
        <v>1681</v>
      </c>
      <c r="K2294" s="1119" t="s">
        <v>1567</v>
      </c>
      <c r="L2294" s="1048"/>
      <c r="M2294" s="1101">
        <v>0.1</v>
      </c>
      <c r="N2294" s="1048"/>
      <c r="O2294" s="1048">
        <v>7.9100000000000004E-2</v>
      </c>
      <c r="P2294" s="1048"/>
      <c r="Q2294" s="1048"/>
      <c r="R2294" s="1158"/>
      <c r="S2294" s="1048"/>
      <c r="T2294" s="1048"/>
      <c r="U2294" s="1102"/>
    </row>
    <row r="2295" spans="2:21" hidden="1" outlineLevel="2">
      <c r="B2295" s="1050">
        <v>17</v>
      </c>
      <c r="C2295" s="1050" t="str">
        <f t="shared" si="203"/>
        <v>Allemagne, Base Carbone</v>
      </c>
      <c r="D2295" s="1055">
        <f t="shared" si="204"/>
        <v>17</v>
      </c>
      <c r="E2295" s="1055" t="str">
        <f>IF(COUNTIF(E$2278:E2294,F2295)&gt;0,"",F2295)</f>
        <v>Allemagne, Base Carbone</v>
      </c>
      <c r="F2295" s="1051" t="str">
        <f t="shared" si="201"/>
        <v>Allemagne, Base Carbone</v>
      </c>
      <c r="G2295" s="1055" t="str">
        <f t="shared" si="202"/>
        <v>Allemagne, Base Carbone; kgCO2e/kWh</v>
      </c>
      <c r="I2295" s="1100" t="s">
        <v>1057</v>
      </c>
      <c r="J2295" s="1048" t="s">
        <v>1681</v>
      </c>
      <c r="K2295" s="1119" t="s">
        <v>1567</v>
      </c>
      <c r="L2295" s="1048"/>
      <c r="M2295" s="1101">
        <v>0.1</v>
      </c>
      <c r="N2295" s="1048"/>
      <c r="O2295" s="1048">
        <v>0.46100000000000002</v>
      </c>
      <c r="P2295" s="1048"/>
      <c r="Q2295" s="1048"/>
      <c r="R2295" s="1158"/>
      <c r="S2295" s="1048"/>
      <c r="T2295" s="1048"/>
      <c r="U2295" s="1102"/>
    </row>
    <row r="2296" spans="2:21" hidden="1" outlineLevel="2">
      <c r="B2296" s="1050">
        <v>18</v>
      </c>
      <c r="C2296" s="1050" t="str">
        <f t="shared" si="203"/>
        <v>Grèce, Base Carbone</v>
      </c>
      <c r="D2296" s="1055">
        <f t="shared" si="204"/>
        <v>18</v>
      </c>
      <c r="E2296" s="1055" t="str">
        <f>IF(COUNTIF(E$2278:E2295,F2296)&gt;0,"",F2296)</f>
        <v>Grèce, Base Carbone</v>
      </c>
      <c r="F2296" s="1051" t="str">
        <f t="shared" si="201"/>
        <v>Grèce, Base Carbone</v>
      </c>
      <c r="G2296" s="1055" t="str">
        <f t="shared" si="202"/>
        <v>Grèce, Base Carbone; kgCO2e/kWh</v>
      </c>
      <c r="I2296" s="1100" t="s">
        <v>1105</v>
      </c>
      <c r="J2296" s="1048" t="s">
        <v>1681</v>
      </c>
      <c r="K2296" s="1119" t="s">
        <v>1567</v>
      </c>
      <c r="L2296" s="1048"/>
      <c r="M2296" s="1101">
        <v>0.1</v>
      </c>
      <c r="N2296" s="1048"/>
      <c r="O2296" s="1048">
        <v>0.71799999999999997</v>
      </c>
      <c r="P2296" s="1048"/>
      <c r="Q2296" s="1048"/>
      <c r="R2296" s="1158"/>
      <c r="S2296" s="1048"/>
      <c r="T2296" s="1048"/>
      <c r="U2296" s="1102"/>
    </row>
    <row r="2297" spans="2:21" hidden="1" outlineLevel="2">
      <c r="B2297" s="1050">
        <v>19</v>
      </c>
      <c r="C2297" s="1050" t="str">
        <f t="shared" si="203"/>
        <v>Hongrie, Base Carbone</v>
      </c>
      <c r="D2297" s="1055">
        <f t="shared" si="204"/>
        <v>19</v>
      </c>
      <c r="E2297" s="1055" t="str">
        <f>IF(COUNTIF(E$2278:E2296,F2297)&gt;0,"",F2297)</f>
        <v>Hongrie, Base Carbone</v>
      </c>
      <c r="F2297" s="1051" t="str">
        <f t="shared" si="201"/>
        <v>Hongrie, Base Carbone</v>
      </c>
      <c r="G2297" s="1055" t="str">
        <f t="shared" si="202"/>
        <v>Hongrie, Base Carbone; kgCO2e/kWh</v>
      </c>
      <c r="I2297" s="1100" t="s">
        <v>1109</v>
      </c>
      <c r="J2297" s="1048" t="s">
        <v>1681</v>
      </c>
      <c r="K2297" s="1119" t="s">
        <v>1567</v>
      </c>
      <c r="L2297" s="1048"/>
      <c r="M2297" s="1101">
        <v>0.1</v>
      </c>
      <c r="N2297" s="1048"/>
      <c r="O2297" s="1048">
        <v>0.317</v>
      </c>
      <c r="P2297" s="1048"/>
      <c r="Q2297" s="1048"/>
      <c r="R2297" s="1158"/>
      <c r="S2297" s="1048"/>
      <c r="T2297" s="1048"/>
      <c r="U2297" s="1102"/>
    </row>
    <row r="2298" spans="2:21" hidden="1" outlineLevel="2">
      <c r="B2298" s="1050">
        <v>20</v>
      </c>
      <c r="C2298" s="1050" t="str">
        <f t="shared" si="203"/>
        <v>Islande, Base Carbone</v>
      </c>
      <c r="D2298" s="1055">
        <f t="shared" si="204"/>
        <v>20</v>
      </c>
      <c r="E2298" s="1055" t="str">
        <f>IF(COUNTIF(E$2278:E2297,F2298)&gt;0,"",F2298)</f>
        <v>Islande, Base Carbone</v>
      </c>
      <c r="F2298" s="1051" t="str">
        <f t="shared" si="201"/>
        <v>Islande, Base Carbone</v>
      </c>
      <c r="G2298" s="1055" t="str">
        <f t="shared" si="202"/>
        <v>Islande, Base Carbone; kgCO2e/kWh</v>
      </c>
      <c r="I2298" s="1100" t="s">
        <v>1114</v>
      </c>
      <c r="J2298" s="1048" t="s">
        <v>1681</v>
      </c>
      <c r="K2298" s="1119" t="s">
        <v>1567</v>
      </c>
      <c r="L2298" s="1048"/>
      <c r="M2298" s="1101">
        <v>0.1</v>
      </c>
      <c r="N2298" s="1048"/>
      <c r="O2298" s="1048">
        <v>1.83E-4</v>
      </c>
      <c r="P2298" s="1048"/>
      <c r="Q2298" s="1048"/>
      <c r="R2298" s="1158"/>
      <c r="S2298" s="1048"/>
      <c r="T2298" s="1048"/>
      <c r="U2298" s="1102"/>
    </row>
    <row r="2299" spans="2:21" hidden="1" outlineLevel="2">
      <c r="B2299" s="1050">
        <v>21</v>
      </c>
      <c r="C2299" s="1050" t="str">
        <f t="shared" si="203"/>
        <v>Irlande, Base Carbone</v>
      </c>
      <c r="D2299" s="1055">
        <f t="shared" si="204"/>
        <v>21</v>
      </c>
      <c r="E2299" s="1055" t="str">
        <f>IF(COUNTIF(E$2278:E2298,F2299)&gt;0,"",F2299)</f>
        <v>Irlande, Base Carbone</v>
      </c>
      <c r="F2299" s="1051" t="str">
        <f t="shared" si="201"/>
        <v>Irlande, Base Carbone</v>
      </c>
      <c r="G2299" s="1055" t="str">
        <f t="shared" si="202"/>
        <v>Irlande, Base Carbone; kgCO2e/kWh</v>
      </c>
      <c r="I2299" s="1100" t="s">
        <v>1113</v>
      </c>
      <c r="J2299" s="1048" t="s">
        <v>1681</v>
      </c>
      <c r="K2299" s="1119" t="s">
        <v>1567</v>
      </c>
      <c r="L2299" s="1048"/>
      <c r="M2299" s="1101">
        <v>0.1</v>
      </c>
      <c r="N2299" s="1048"/>
      <c r="O2299" s="1048">
        <v>0.45800000000000002</v>
      </c>
      <c r="P2299" s="1048"/>
      <c r="Q2299" s="1048"/>
      <c r="R2299" s="1158"/>
      <c r="S2299" s="1048"/>
      <c r="T2299" s="1048"/>
      <c r="U2299" s="1102"/>
    </row>
    <row r="2300" spans="2:21" hidden="1" outlineLevel="2">
      <c r="B2300" s="1050">
        <v>22</v>
      </c>
      <c r="C2300" s="1050" t="str">
        <f t="shared" si="203"/>
        <v>Italie, Base Carbone</v>
      </c>
      <c r="D2300" s="1055">
        <f t="shared" si="204"/>
        <v>22</v>
      </c>
      <c r="E2300" s="1055" t="str">
        <f>IF(COUNTIF(E$2278:E2299,F2300)&gt;0,"",F2300)</f>
        <v>Italie, Base Carbone</v>
      </c>
      <c r="F2300" s="1051" t="str">
        <f t="shared" si="201"/>
        <v>Italie, Base Carbone</v>
      </c>
      <c r="G2300" s="1055" t="str">
        <f t="shared" si="202"/>
        <v>Italie, Base Carbone; kgCO2e/kWh</v>
      </c>
      <c r="I2300" s="1100" t="s">
        <v>1116</v>
      </c>
      <c r="J2300" s="1048" t="s">
        <v>1681</v>
      </c>
      <c r="K2300" s="1119" t="s">
        <v>1567</v>
      </c>
      <c r="L2300" s="1048"/>
      <c r="M2300" s="1101">
        <v>0.1</v>
      </c>
      <c r="N2300" s="1048"/>
      <c r="O2300" s="1048">
        <v>0.40600000000000003</v>
      </c>
      <c r="P2300" s="1048"/>
      <c r="Q2300" s="1048"/>
      <c r="R2300" s="1158"/>
      <c r="S2300" s="1048"/>
      <c r="T2300" s="1048"/>
      <c r="U2300" s="1102"/>
    </row>
    <row r="2301" spans="2:21" hidden="1" outlineLevel="2">
      <c r="B2301" s="1050">
        <v>23</v>
      </c>
      <c r="C2301" s="1050" t="str">
        <f t="shared" si="203"/>
        <v>Luxembourg, Base Carbone</v>
      </c>
      <c r="D2301" s="1055">
        <f t="shared" si="204"/>
        <v>23</v>
      </c>
      <c r="E2301" s="1055" t="str">
        <f>IF(COUNTIF(E$2278:E2300,F2301)&gt;0,"",F2301)</f>
        <v>Luxembourg, Base Carbone</v>
      </c>
      <c r="F2301" s="1051" t="str">
        <f t="shared" si="201"/>
        <v>Luxembourg, Base Carbone</v>
      </c>
      <c r="G2301" s="1055" t="str">
        <f t="shared" si="202"/>
        <v>Luxembourg, Base Carbone; kgCO2e/kWh</v>
      </c>
      <c r="I2301" s="1100" t="s">
        <v>1129</v>
      </c>
      <c r="J2301" s="1048" t="s">
        <v>1681</v>
      </c>
      <c r="K2301" s="1119" t="s">
        <v>1567</v>
      </c>
      <c r="L2301" s="1048"/>
      <c r="M2301" s="1101">
        <v>0.1</v>
      </c>
      <c r="N2301" s="1048"/>
      <c r="O2301" s="1048">
        <v>0.41</v>
      </c>
      <c r="P2301" s="1048"/>
      <c r="Q2301" s="1048"/>
      <c r="R2301" s="1158"/>
      <c r="S2301" s="1048"/>
      <c r="T2301" s="1048"/>
      <c r="U2301" s="1102"/>
    </row>
    <row r="2302" spans="2:21" hidden="1" outlineLevel="2">
      <c r="B2302" s="1050">
        <v>24</v>
      </c>
      <c r="C2302" s="1050" t="str">
        <f t="shared" si="203"/>
        <v>Pays-Bas, Base Carbone</v>
      </c>
      <c r="D2302" s="1055">
        <f t="shared" si="204"/>
        <v>24</v>
      </c>
      <c r="E2302" s="1055" t="str">
        <f>IF(COUNTIF(E$2278:E2301,F2302)&gt;0,"",F2302)</f>
        <v>Pays-Bas, Base Carbone</v>
      </c>
      <c r="F2302" s="1051" t="str">
        <f t="shared" si="201"/>
        <v>Pays-Bas, Base Carbone</v>
      </c>
      <c r="G2302" s="1055" t="str">
        <f t="shared" si="202"/>
        <v>Pays-Bas, Base Carbone; kgCO2e/kWh</v>
      </c>
      <c r="I2302" s="1100" t="s">
        <v>1149</v>
      </c>
      <c r="J2302" s="1048" t="s">
        <v>1681</v>
      </c>
      <c r="K2302" s="1119" t="s">
        <v>1567</v>
      </c>
      <c r="L2302" s="1048"/>
      <c r="M2302" s="1101">
        <v>0.1</v>
      </c>
      <c r="N2302" s="1048"/>
      <c r="O2302" s="1048">
        <v>0.41499999999999998</v>
      </c>
      <c r="P2302" s="1048"/>
      <c r="Q2302" s="1048"/>
      <c r="R2302" s="1158"/>
      <c r="S2302" s="1048"/>
      <c r="T2302" s="1048"/>
      <c r="U2302" s="1102"/>
    </row>
    <row r="2303" spans="2:21" hidden="1" outlineLevel="2">
      <c r="B2303" s="1050">
        <v>25</v>
      </c>
      <c r="C2303" s="1050" t="str">
        <f t="shared" si="203"/>
        <v>Norvège, Base Carbone</v>
      </c>
      <c r="D2303" s="1055">
        <f t="shared" si="204"/>
        <v>25</v>
      </c>
      <c r="E2303" s="1055" t="str">
        <f>IF(COUNTIF(E$2278:E2302,F2303)&gt;0,"",F2303)</f>
        <v>Norvège, Base Carbone</v>
      </c>
      <c r="F2303" s="1051" t="str">
        <f t="shared" si="201"/>
        <v>Norvège, Base Carbone</v>
      </c>
      <c r="G2303" s="1055" t="str">
        <f t="shared" si="202"/>
        <v>Norvège, Base Carbone; kgCO2e/kWh</v>
      </c>
      <c r="I2303" s="1100" t="s">
        <v>1143</v>
      </c>
      <c r="J2303" s="1048" t="s">
        <v>1681</v>
      </c>
      <c r="K2303" s="1119" t="s">
        <v>1567</v>
      </c>
      <c r="L2303" s="1048"/>
      <c r="M2303" s="1101">
        <v>0.1</v>
      </c>
      <c r="N2303" s="1048"/>
      <c r="O2303" s="1048">
        <v>1.67E-2</v>
      </c>
      <c r="P2303" s="1048"/>
      <c r="Q2303" s="1048"/>
      <c r="R2303" s="1158"/>
      <c r="S2303" s="1048"/>
      <c r="T2303" s="1048"/>
      <c r="U2303" s="1102"/>
    </row>
    <row r="2304" spans="2:21" hidden="1" outlineLevel="2">
      <c r="B2304" s="1050">
        <v>26</v>
      </c>
      <c r="C2304" s="1050" t="str">
        <f t="shared" si="203"/>
        <v>Pologne, Base Carbone</v>
      </c>
      <c r="D2304" s="1055">
        <f t="shared" si="204"/>
        <v>26</v>
      </c>
      <c r="E2304" s="1055" t="str">
        <f>IF(COUNTIF(E$2278:E2303,F2304)&gt;0,"",F2304)</f>
        <v>Pologne, Base Carbone</v>
      </c>
      <c r="F2304" s="1051" t="str">
        <f t="shared" si="201"/>
        <v>Pologne, Base Carbone</v>
      </c>
      <c r="G2304" s="1055" t="str">
        <f t="shared" si="202"/>
        <v>Pologne, Base Carbone; kgCO2e/kWh</v>
      </c>
      <c r="I2304" s="1100" t="s">
        <v>1152</v>
      </c>
      <c r="J2304" s="1048" t="s">
        <v>1681</v>
      </c>
      <c r="K2304" s="1119" t="s">
        <v>1567</v>
      </c>
      <c r="L2304" s="1048"/>
      <c r="M2304" s="1101">
        <v>0.1</v>
      </c>
      <c r="N2304" s="1048"/>
      <c r="O2304" s="1048">
        <v>0.78100000000000003</v>
      </c>
      <c r="P2304" s="1048"/>
      <c r="Q2304" s="1048"/>
      <c r="R2304" s="1158"/>
      <c r="S2304" s="1048"/>
      <c r="T2304" s="1048"/>
      <c r="U2304" s="1102"/>
    </row>
    <row r="2305" spans="2:21" hidden="1" outlineLevel="2">
      <c r="B2305" s="1050">
        <v>27</v>
      </c>
      <c r="C2305" s="1050" t="str">
        <f t="shared" si="203"/>
        <v>Portugal, Base Carbone</v>
      </c>
      <c r="D2305" s="1055">
        <f t="shared" si="204"/>
        <v>27</v>
      </c>
      <c r="E2305" s="1055" t="str">
        <f>IF(COUNTIF(E$2278:E2304,F2305)&gt;0,"",F2305)</f>
        <v>Portugal, Base Carbone</v>
      </c>
      <c r="F2305" s="1051" t="str">
        <f t="shared" si="201"/>
        <v>Portugal, Base Carbone</v>
      </c>
      <c r="G2305" s="1055" t="str">
        <f t="shared" si="202"/>
        <v>Portugal, Base Carbone; kgCO2e/kWh</v>
      </c>
      <c r="I2305" s="1100" t="s">
        <v>1153</v>
      </c>
      <c r="J2305" s="1048" t="s">
        <v>1681</v>
      </c>
      <c r="K2305" s="1119" t="s">
        <v>1567</v>
      </c>
      <c r="L2305" s="1048"/>
      <c r="M2305" s="1101">
        <v>0.1</v>
      </c>
      <c r="N2305" s="1048"/>
      <c r="O2305" s="1048">
        <v>0.255</v>
      </c>
      <c r="P2305" s="1048"/>
      <c r="Q2305" s="1048"/>
      <c r="R2305" s="1158"/>
      <c r="S2305" s="1048"/>
      <c r="T2305" s="1048"/>
      <c r="U2305" s="1102"/>
    </row>
    <row r="2306" spans="2:21" hidden="1" outlineLevel="2">
      <c r="B2306" s="1050">
        <v>28</v>
      </c>
      <c r="C2306" s="1050" t="str">
        <f t="shared" si="203"/>
        <v>Slovaquie, Base Carbone</v>
      </c>
      <c r="D2306" s="1055">
        <f t="shared" si="204"/>
        <v>28</v>
      </c>
      <c r="E2306" s="1055" t="str">
        <f>IF(COUNTIF(E$2278:E2305,F2306)&gt;0,"",F2306)</f>
        <v>Slovaquie, Base Carbone</v>
      </c>
      <c r="F2306" s="1051" t="str">
        <f t="shared" si="201"/>
        <v>Slovaquie, Base Carbone</v>
      </c>
      <c r="G2306" s="1055" t="str">
        <f t="shared" si="202"/>
        <v>Slovaquie, Base Carbone; kgCO2e/kWh</v>
      </c>
      <c r="I2306" s="1100" t="s">
        <v>1162</v>
      </c>
      <c r="J2306" s="1048" t="s">
        <v>1681</v>
      </c>
      <c r="K2306" s="1119" t="s">
        <v>1567</v>
      </c>
      <c r="L2306" s="1048"/>
      <c r="M2306" s="1101">
        <v>0.1</v>
      </c>
      <c r="N2306" s="1048"/>
      <c r="O2306" s="1048">
        <v>0.19700000000000001</v>
      </c>
      <c r="P2306" s="1048"/>
      <c r="Q2306" s="1048"/>
      <c r="R2306" s="1158"/>
      <c r="S2306" s="1048"/>
      <c r="T2306" s="1048"/>
      <c r="U2306" s="1102"/>
    </row>
    <row r="2307" spans="2:21" hidden="1" outlineLevel="2">
      <c r="B2307" s="1050">
        <v>29</v>
      </c>
      <c r="C2307" s="1050" t="str">
        <f t="shared" si="203"/>
        <v>Slovénie, Base Carbone</v>
      </c>
      <c r="D2307" s="1055">
        <f t="shared" si="204"/>
        <v>29</v>
      </c>
      <c r="E2307" s="1055" t="str">
        <f>IF(COUNTIF(E$2278:E2306,F2307)&gt;0,"",F2307)</f>
        <v>Slovénie, Base Carbone</v>
      </c>
      <c r="F2307" s="1051" t="str">
        <f t="shared" si="201"/>
        <v>Slovénie, Base Carbone</v>
      </c>
      <c r="G2307" s="1055" t="str">
        <f t="shared" si="202"/>
        <v>Slovénie, Base Carbone; kgCO2e/kWh</v>
      </c>
      <c r="I2307" s="1100" t="s">
        <v>1163</v>
      </c>
      <c r="J2307" s="1048" t="s">
        <v>1681</v>
      </c>
      <c r="K2307" s="1119" t="s">
        <v>1567</v>
      </c>
      <c r="L2307" s="1048"/>
      <c r="M2307" s="1101">
        <v>0.1</v>
      </c>
      <c r="N2307" s="1048"/>
      <c r="O2307" s="1048">
        <v>0.32500000000000001</v>
      </c>
      <c r="P2307" s="1048"/>
      <c r="Q2307" s="1048"/>
      <c r="R2307" s="1158"/>
      <c r="S2307" s="1048"/>
      <c r="T2307" s="1048"/>
      <c r="U2307" s="1102"/>
    </row>
    <row r="2308" spans="2:21" hidden="1" outlineLevel="2">
      <c r="B2308" s="1050">
        <v>30</v>
      </c>
      <c r="C2308" s="1050" t="str">
        <f t="shared" si="203"/>
        <v>Espagne, Base Carbone</v>
      </c>
      <c r="D2308" s="1055">
        <f t="shared" si="204"/>
        <v>30</v>
      </c>
      <c r="E2308" s="1055" t="str">
        <f>IF(COUNTIF(E$2278:E2307,F2308)&gt;0,"",F2308)</f>
        <v>Espagne, Base Carbone</v>
      </c>
      <c r="F2308" s="1051" t="str">
        <f t="shared" si="201"/>
        <v>Espagne, Base Carbone</v>
      </c>
      <c r="G2308" s="1055" t="str">
        <f t="shared" si="202"/>
        <v>Espagne, Base Carbone; kgCO2e/kWh</v>
      </c>
      <c r="I2308" s="1100" t="s">
        <v>1096</v>
      </c>
      <c r="J2308" s="1048" t="s">
        <v>1681</v>
      </c>
      <c r="K2308" s="1119" t="s">
        <v>1567</v>
      </c>
      <c r="L2308" s="1048"/>
      <c r="M2308" s="1101">
        <v>0.1</v>
      </c>
      <c r="N2308" s="1048"/>
      <c r="O2308" s="1048">
        <v>0.23799999999999999</v>
      </c>
      <c r="P2308" s="1048"/>
      <c r="Q2308" s="1048"/>
      <c r="R2308" s="1158"/>
      <c r="S2308" s="1048"/>
      <c r="T2308" s="1048"/>
      <c r="U2308" s="1102"/>
    </row>
    <row r="2309" spans="2:21" hidden="1" outlineLevel="2">
      <c r="B2309" s="1050">
        <v>31</v>
      </c>
      <c r="C2309" s="1050" t="str">
        <f t="shared" si="203"/>
        <v>Suède, Base Carbone</v>
      </c>
      <c r="D2309" s="1055">
        <f t="shared" si="204"/>
        <v>31</v>
      </c>
      <c r="E2309" s="1055" t="str">
        <f>IF(COUNTIF(E$2278:E2308,F2309)&gt;0,"",F2309)</f>
        <v>Suède, Base Carbone</v>
      </c>
      <c r="F2309" s="1051" t="str">
        <f t="shared" si="201"/>
        <v>Suède, Base Carbone</v>
      </c>
      <c r="G2309" s="1055" t="str">
        <f t="shared" si="202"/>
        <v>Suède, Base Carbone; kgCO2e/kWh</v>
      </c>
      <c r="I2309" s="1100" t="s">
        <v>1166</v>
      </c>
      <c r="J2309" s="1048" t="s">
        <v>1681</v>
      </c>
      <c r="K2309" s="1119" t="s">
        <v>1567</v>
      </c>
      <c r="L2309" s="1048"/>
      <c r="M2309" s="1101">
        <v>0.1</v>
      </c>
      <c r="N2309" s="1048"/>
      <c r="O2309" s="1048">
        <v>2.9600000000000001E-2</v>
      </c>
      <c r="P2309" s="1048"/>
      <c r="Q2309" s="1048"/>
      <c r="R2309" s="1158"/>
      <c r="S2309" s="1048"/>
      <c r="T2309" s="1048"/>
      <c r="U2309" s="1102"/>
    </row>
    <row r="2310" spans="2:21" hidden="1" outlineLevel="2">
      <c r="B2310" s="1050">
        <v>32</v>
      </c>
      <c r="C2310" s="1050" t="str">
        <f t="shared" si="203"/>
        <v>Suisse, Base Carbone</v>
      </c>
      <c r="D2310" s="1055">
        <f t="shared" si="204"/>
        <v>32</v>
      </c>
      <c r="E2310" s="1055" t="str">
        <f>IF(COUNTIF(E$2278:E2309,F2310)&gt;0,"",F2310)</f>
        <v>Suisse, Base Carbone</v>
      </c>
      <c r="F2310" s="1051" t="str">
        <f t="shared" si="201"/>
        <v>Suisse, Base Carbone</v>
      </c>
      <c r="G2310" s="1055" t="str">
        <f t="shared" si="202"/>
        <v>Suisse, Base Carbone; kgCO2e/kWh</v>
      </c>
      <c r="I2310" s="1100" t="s">
        <v>1167</v>
      </c>
      <c r="J2310" s="1048" t="s">
        <v>1681</v>
      </c>
      <c r="K2310" s="1119" t="s">
        <v>1567</v>
      </c>
      <c r="L2310" s="1048"/>
      <c r="M2310" s="1101">
        <v>0.1</v>
      </c>
      <c r="N2310" s="1048"/>
      <c r="O2310" s="1048">
        <v>2.7300000000000001E-2</v>
      </c>
      <c r="P2310" s="1048"/>
      <c r="Q2310" s="1048"/>
      <c r="R2310" s="1158"/>
      <c r="S2310" s="1048"/>
      <c r="T2310" s="1048"/>
      <c r="U2310" s="1102"/>
    </row>
    <row r="2311" spans="2:21" hidden="1" outlineLevel="2">
      <c r="B2311" s="1050">
        <v>33</v>
      </c>
      <c r="C2311" s="1050" t="str">
        <f t="shared" si="203"/>
        <v>Turquie, Base Carbone</v>
      </c>
      <c r="D2311" s="1055">
        <f t="shared" si="204"/>
        <v>33</v>
      </c>
      <c r="E2311" s="1055" t="str">
        <f>IF(COUNTIF(E$2278:E2310,F2311)&gt;0,"",F2311)</f>
        <v>Turquie, Base Carbone</v>
      </c>
      <c r="F2311" s="1051" t="str">
        <f t="shared" si="201"/>
        <v>Turquie, Base Carbone</v>
      </c>
      <c r="G2311" s="1055" t="str">
        <f t="shared" si="202"/>
        <v>Turquie, Base Carbone; kgCO2e/kWh</v>
      </c>
      <c r="I2311" s="1100" t="s">
        <v>1176</v>
      </c>
      <c r="J2311" s="1048" t="s">
        <v>1681</v>
      </c>
      <c r="K2311" s="1119" t="s">
        <v>1567</v>
      </c>
      <c r="L2311" s="1048"/>
      <c r="M2311" s="1101">
        <v>0.1</v>
      </c>
      <c r="N2311" s="1048"/>
      <c r="O2311" s="1048">
        <v>0.46</v>
      </c>
      <c r="P2311" s="1048"/>
      <c r="Q2311" s="1048"/>
      <c r="R2311" s="1158"/>
      <c r="S2311" s="1048"/>
      <c r="T2311" s="1048"/>
      <c r="U2311" s="1102"/>
    </row>
    <row r="2312" spans="2:21" hidden="1" outlineLevel="2">
      <c r="B2312" s="1050">
        <v>34</v>
      </c>
      <c r="C2312" s="1050" t="str">
        <f t="shared" si="203"/>
        <v>Royaume-Uni, Base Carbone</v>
      </c>
      <c r="D2312" s="1055">
        <f t="shared" si="204"/>
        <v>34</v>
      </c>
      <c r="E2312" s="1055" t="str">
        <f>IF(COUNTIF(E$2278:E2311,F2312)&gt;0,"",F2312)</f>
        <v>Royaume-Uni, Base Carbone</v>
      </c>
      <c r="F2312" s="1051" t="str">
        <f t="shared" si="201"/>
        <v>Royaume-Uni, Base Carbone</v>
      </c>
      <c r="G2312" s="1055" t="str">
        <f t="shared" si="202"/>
        <v>Royaume-Uni, Base Carbone; kgCO2e/kWh</v>
      </c>
      <c r="I2312" s="1100" t="s">
        <v>1157</v>
      </c>
      <c r="J2312" s="1048" t="s">
        <v>1681</v>
      </c>
      <c r="K2312" s="1119" t="s">
        <v>1567</v>
      </c>
      <c r="L2312" s="1048"/>
      <c r="M2312" s="1101">
        <v>0.1</v>
      </c>
      <c r="N2312" s="1048"/>
      <c r="O2312" s="1048">
        <v>0.45700000000000002</v>
      </c>
      <c r="P2312" s="1048"/>
      <c r="Q2312" s="1048"/>
      <c r="R2312" s="1158"/>
      <c r="S2312" s="1048"/>
      <c r="T2312" s="1048"/>
      <c r="U2312" s="1102"/>
    </row>
    <row r="2313" spans="2:21" hidden="1" outlineLevel="2">
      <c r="B2313" s="1050">
        <v>35</v>
      </c>
      <c r="C2313" s="1050" t="str">
        <f t="shared" si="203"/>
        <v>Albanie, Base Carbone</v>
      </c>
      <c r="D2313" s="1055">
        <f t="shared" si="204"/>
        <v>35</v>
      </c>
      <c r="E2313" s="1055" t="str">
        <f>IF(COUNTIF(E$2278:E2312,F2313)&gt;0,"",F2313)</f>
        <v>Albanie, Base Carbone</v>
      </c>
      <c r="F2313" s="1051" t="str">
        <f t="shared" si="201"/>
        <v>Albanie, Base Carbone</v>
      </c>
      <c r="G2313" s="1055" t="str">
        <f t="shared" si="202"/>
        <v>Albanie, Base Carbone; kgCO2e/kWh</v>
      </c>
      <c r="I2313" s="1100" t="s">
        <v>1055</v>
      </c>
      <c r="J2313" s="1048" t="s">
        <v>1681</v>
      </c>
      <c r="K2313" s="1119" t="s">
        <v>1567</v>
      </c>
      <c r="L2313" s="1048"/>
      <c r="M2313" s="1101">
        <v>0.1</v>
      </c>
      <c r="N2313" s="1048"/>
      <c r="O2313" s="1048">
        <v>2.15E-3</v>
      </c>
      <c r="P2313" s="1048"/>
      <c r="Q2313" s="1048"/>
      <c r="R2313" s="1158"/>
      <c r="S2313" s="1048"/>
      <c r="T2313" s="1048"/>
      <c r="U2313" s="1102"/>
    </row>
    <row r="2314" spans="2:21" hidden="1" outlineLevel="2">
      <c r="B2314" s="1050">
        <v>36</v>
      </c>
      <c r="C2314" s="1050" t="str">
        <f t="shared" si="203"/>
        <v>Arménie, Base Carbone</v>
      </c>
      <c r="D2314" s="1055">
        <f t="shared" si="204"/>
        <v>36</v>
      </c>
      <c r="E2314" s="1055" t="str">
        <f>IF(COUNTIF(E$2278:E2313,F2314)&gt;0,"",F2314)</f>
        <v>Arménie, Base Carbone</v>
      </c>
      <c r="F2314" s="1051" t="str">
        <f t="shared" si="201"/>
        <v>Arménie, Base Carbone</v>
      </c>
      <c r="G2314" s="1055" t="str">
        <f t="shared" si="202"/>
        <v>Arménie, Base Carbone; kgCO2e/kWh</v>
      </c>
      <c r="I2314" s="1100" t="s">
        <v>1062</v>
      </c>
      <c r="J2314" s="1048" t="s">
        <v>1681</v>
      </c>
      <c r="K2314" s="1119" t="s">
        <v>1567</v>
      </c>
      <c r="L2314" s="1048"/>
      <c r="M2314" s="1101">
        <v>0.1</v>
      </c>
      <c r="N2314" s="1048"/>
      <c r="O2314" s="1048">
        <v>9.2200000000000004E-2</v>
      </c>
      <c r="P2314" s="1048"/>
      <c r="Q2314" s="1048"/>
      <c r="R2314" s="1158"/>
      <c r="S2314" s="1048"/>
      <c r="T2314" s="1048"/>
      <c r="U2314" s="1102"/>
    </row>
    <row r="2315" spans="2:21" hidden="1" outlineLevel="2">
      <c r="B2315" s="1050">
        <v>37</v>
      </c>
      <c r="C2315" s="1050" t="str">
        <f t="shared" si="203"/>
        <v>Azerbaïdjan, Base Carbone</v>
      </c>
      <c r="D2315" s="1055">
        <f t="shared" si="204"/>
        <v>37</v>
      </c>
      <c r="E2315" s="1055" t="str">
        <f>IF(COUNTIF(E$2278:E2314,F2315)&gt;0,"",F2315)</f>
        <v>Azerbaïdjan, Base Carbone</v>
      </c>
      <c r="F2315" s="1051" t="str">
        <f t="shared" si="201"/>
        <v>Azerbaïdjan, Base Carbone</v>
      </c>
      <c r="G2315" s="1055" t="str">
        <f t="shared" si="202"/>
        <v>Azerbaïdjan, Base Carbone; kgCO2e/kWh</v>
      </c>
      <c r="I2315" s="1100" t="s">
        <v>1065</v>
      </c>
      <c r="J2315" s="1048" t="s">
        <v>1681</v>
      </c>
      <c r="K2315" s="1119" t="s">
        <v>1567</v>
      </c>
      <c r="L2315" s="1048"/>
      <c r="M2315" s="1101">
        <v>0.1</v>
      </c>
      <c r="N2315" s="1048"/>
      <c r="O2315" s="1048">
        <v>0.439</v>
      </c>
      <c r="P2315" s="1048"/>
      <c r="Q2315" s="1048"/>
      <c r="R2315" s="1158"/>
      <c r="S2315" s="1048"/>
      <c r="T2315" s="1048"/>
      <c r="U2315" s="1102"/>
    </row>
    <row r="2316" spans="2:21" hidden="1" outlineLevel="2">
      <c r="B2316" s="1050">
        <v>38</v>
      </c>
      <c r="C2316" s="1050" t="str">
        <f t="shared" si="203"/>
        <v>Bélarus, Base Carbone</v>
      </c>
      <c r="D2316" s="1055">
        <f t="shared" si="204"/>
        <v>38</v>
      </c>
      <c r="E2316" s="1055" t="str">
        <f>IF(COUNTIF(E$2278:E2315,F2316)&gt;0,"",F2316)</f>
        <v>Bélarus, Base Carbone</v>
      </c>
      <c r="F2316" s="1051" t="str">
        <f t="shared" si="201"/>
        <v>Bélarus, Base Carbone</v>
      </c>
      <c r="G2316" s="1055" t="str">
        <f t="shared" si="202"/>
        <v>Bélarus, Base Carbone; kgCO2e/kWh</v>
      </c>
      <c r="I2316" s="1100" t="s">
        <v>1068</v>
      </c>
      <c r="J2316" s="1048" t="s">
        <v>1681</v>
      </c>
      <c r="K2316" s="1119" t="s">
        <v>1567</v>
      </c>
      <c r="L2316" s="1048"/>
      <c r="M2316" s="1101">
        <v>0.1</v>
      </c>
      <c r="N2316" s="1048"/>
      <c r="O2316" s="1048">
        <v>0.44900000000000001</v>
      </c>
      <c r="P2316" s="1048"/>
      <c r="Q2316" s="1048"/>
      <c r="R2316" s="1158"/>
      <c r="S2316" s="1048"/>
      <c r="T2316" s="1048"/>
      <c r="U2316" s="1102"/>
    </row>
    <row r="2317" spans="2:21" hidden="1" outlineLevel="2">
      <c r="B2317" s="1050">
        <v>39</v>
      </c>
      <c r="C2317" s="1050" t="str">
        <f t="shared" si="203"/>
        <v>Bosnie-Herzégovine, Base Carbone</v>
      </c>
      <c r="D2317" s="1055">
        <f t="shared" si="204"/>
        <v>39</v>
      </c>
      <c r="E2317" s="1055" t="str">
        <f>IF(COUNTIF(E$2278:E2316,F2317)&gt;0,"",F2317)</f>
        <v>Bosnie-Herzégovine, Base Carbone</v>
      </c>
      <c r="F2317" s="1051" t="str">
        <f t="shared" si="201"/>
        <v>Bosnie-Herzégovine, Base Carbone</v>
      </c>
      <c r="G2317" s="1055" t="str">
        <f t="shared" si="202"/>
        <v>Bosnie-Herzégovine, Base Carbone; kgCO2e/kWh</v>
      </c>
      <c r="I2317" s="1100" t="s">
        <v>1073</v>
      </c>
      <c r="J2317" s="1048" t="s">
        <v>1681</v>
      </c>
      <c r="K2317" s="1119" t="s">
        <v>1567</v>
      </c>
      <c r="L2317" s="1048"/>
      <c r="M2317" s="1101">
        <v>0.1</v>
      </c>
      <c r="N2317" s="1048"/>
      <c r="O2317" s="1048">
        <v>0.72299999999999998</v>
      </c>
      <c r="P2317" s="1048"/>
      <c r="Q2317" s="1048"/>
      <c r="R2317" s="1158"/>
      <c r="S2317" s="1048"/>
      <c r="T2317" s="1048"/>
      <c r="U2317" s="1102"/>
    </row>
    <row r="2318" spans="2:21" hidden="1" outlineLevel="2">
      <c r="B2318" s="1050">
        <v>40</v>
      </c>
      <c r="C2318" s="1050" t="str">
        <f t="shared" si="203"/>
        <v>Bulgarie, Base Carbone</v>
      </c>
      <c r="D2318" s="1055">
        <f t="shared" si="204"/>
        <v>40</v>
      </c>
      <c r="E2318" s="1055" t="str">
        <f>IF(COUNTIF(E$2278:E2317,F2318)&gt;0,"",F2318)</f>
        <v>Bulgarie, Base Carbone</v>
      </c>
      <c r="F2318" s="1051" t="str">
        <f t="shared" si="201"/>
        <v>Bulgarie, Base Carbone</v>
      </c>
      <c r="G2318" s="1055" t="str">
        <f t="shared" si="202"/>
        <v>Bulgarie, Base Carbone; kgCO2e/kWh</v>
      </c>
      <c r="I2318" s="1100" t="s">
        <v>1077</v>
      </c>
      <c r="J2318" s="1048" t="s">
        <v>1681</v>
      </c>
      <c r="K2318" s="1119" t="s">
        <v>1567</v>
      </c>
      <c r="L2318" s="1048"/>
      <c r="M2318" s="1101">
        <v>0.1</v>
      </c>
      <c r="N2318" s="1048"/>
      <c r="O2318" s="1048">
        <v>0.53500000000000003</v>
      </c>
      <c r="P2318" s="1048"/>
      <c r="Q2318" s="1048"/>
      <c r="R2318" s="1158"/>
      <c r="S2318" s="1048"/>
      <c r="T2318" s="1048"/>
      <c r="U2318" s="1102"/>
    </row>
    <row r="2319" spans="2:21" hidden="1" outlineLevel="2">
      <c r="B2319" s="1050">
        <v>41</v>
      </c>
      <c r="C2319" s="1050" t="str">
        <f t="shared" si="203"/>
        <v>Croatie, Base Carbone</v>
      </c>
      <c r="D2319" s="1055">
        <f t="shared" si="204"/>
        <v>41</v>
      </c>
      <c r="E2319" s="1055" t="str">
        <f>IF(COUNTIF(E$2278:E2318,F2319)&gt;0,"",F2319)</f>
        <v>Croatie, Base Carbone</v>
      </c>
      <c r="F2319" s="1051" t="str">
        <f t="shared" si="201"/>
        <v>Croatie, Base Carbone</v>
      </c>
      <c r="G2319" s="1055" t="str">
        <f t="shared" si="202"/>
        <v>Croatie, Base Carbone; kgCO2e/kWh</v>
      </c>
      <c r="I2319" s="1100" t="s">
        <v>1088</v>
      </c>
      <c r="J2319" s="1048" t="s">
        <v>1681</v>
      </c>
      <c r="K2319" s="1119" t="s">
        <v>1567</v>
      </c>
      <c r="L2319" s="1048"/>
      <c r="M2319" s="1101">
        <v>0.1</v>
      </c>
      <c r="N2319" s="1048"/>
      <c r="O2319" s="1048">
        <v>0.23599999999999999</v>
      </c>
      <c r="P2319" s="1048"/>
      <c r="Q2319" s="1048"/>
      <c r="R2319" s="1158"/>
      <c r="S2319" s="1048"/>
      <c r="T2319" s="1048"/>
      <c r="U2319" s="1102"/>
    </row>
    <row r="2320" spans="2:21" hidden="1" outlineLevel="2">
      <c r="B2320" s="1050">
        <v>42</v>
      </c>
      <c r="C2320" s="1050" t="str">
        <f t="shared" si="203"/>
        <v>Chypre, Base Carbone</v>
      </c>
      <c r="D2320" s="1055">
        <f t="shared" si="204"/>
        <v>42</v>
      </c>
      <c r="E2320" s="1055" t="str">
        <f>IF(COUNTIF(E$2278:E2319,F2320)&gt;0,"",F2320)</f>
        <v>Chypre, Base Carbone</v>
      </c>
      <c r="F2320" s="1051" t="str">
        <f t="shared" si="201"/>
        <v>Chypre, Base Carbone</v>
      </c>
      <c r="G2320" s="1055" t="str">
        <f t="shared" si="202"/>
        <v>Chypre, Base Carbone; kgCO2e/kWh</v>
      </c>
      <c r="I2320" s="1100" t="s">
        <v>1083</v>
      </c>
      <c r="J2320" s="1048" t="s">
        <v>1681</v>
      </c>
      <c r="K2320" s="1119" t="s">
        <v>1567</v>
      </c>
      <c r="L2320" s="1048"/>
      <c r="M2320" s="1101">
        <v>0.1</v>
      </c>
      <c r="N2320" s="1048"/>
      <c r="O2320" s="1048">
        <v>0.69699999999999995</v>
      </c>
      <c r="P2320" s="1048"/>
      <c r="Q2320" s="1048"/>
      <c r="R2320" s="1158"/>
      <c r="S2320" s="1048"/>
      <c r="T2320" s="1048"/>
      <c r="U2320" s="1102"/>
    </row>
    <row r="2321" spans="2:21" hidden="1" outlineLevel="2">
      <c r="B2321" s="1050">
        <v>43</v>
      </c>
      <c r="C2321" s="1050" t="str">
        <f t="shared" si="203"/>
        <v>Géorgie, Base Carbone</v>
      </c>
      <c r="D2321" s="1055">
        <f t="shared" si="204"/>
        <v>43</v>
      </c>
      <c r="E2321" s="1055" t="str">
        <f>IF(COUNTIF(E$2278:E2320,F2321)&gt;0,"",F2321)</f>
        <v>Géorgie, Base Carbone</v>
      </c>
      <c r="F2321" s="1051" t="str">
        <f t="shared" si="201"/>
        <v>Géorgie, Base Carbone</v>
      </c>
      <c r="G2321" s="1055" t="str">
        <f t="shared" si="202"/>
        <v>Géorgie, Base Carbone; kgCO2e/kWh</v>
      </c>
      <c r="I2321" s="1100" t="s">
        <v>1102</v>
      </c>
      <c r="J2321" s="1048" t="s">
        <v>1681</v>
      </c>
      <c r="K2321" s="1119" t="s">
        <v>1567</v>
      </c>
      <c r="L2321" s="1048"/>
      <c r="M2321" s="1101">
        <v>0.1</v>
      </c>
      <c r="N2321" s="1048"/>
      <c r="O2321" s="1048">
        <v>6.8699999999999997E-2</v>
      </c>
      <c r="P2321" s="1048"/>
      <c r="Q2321" s="1048"/>
      <c r="R2321" s="1158"/>
      <c r="S2321" s="1048"/>
      <c r="T2321" s="1048"/>
      <c r="U2321" s="1102"/>
    </row>
    <row r="2322" spans="2:21" hidden="1" outlineLevel="2">
      <c r="B2322" s="1050">
        <v>44</v>
      </c>
      <c r="C2322" s="1050" t="str">
        <f t="shared" si="203"/>
        <v>Gibraltar, Base Carbone</v>
      </c>
      <c r="D2322" s="1055">
        <f t="shared" si="204"/>
        <v>44</v>
      </c>
      <c r="E2322" s="1055" t="str">
        <f>IF(COUNTIF(E$2278:E2321,F2322)&gt;0,"",F2322)</f>
        <v>Gibraltar, Base Carbone</v>
      </c>
      <c r="F2322" s="1051" t="str">
        <f t="shared" si="201"/>
        <v>Gibraltar, Base Carbone</v>
      </c>
      <c r="G2322" s="1055" t="str">
        <f t="shared" si="202"/>
        <v>Gibraltar, Base Carbone; kgCO2e/kWh</v>
      </c>
      <c r="I2322" s="1100" t="s">
        <v>1104</v>
      </c>
      <c r="J2322" s="1048" t="s">
        <v>1681</v>
      </c>
      <c r="K2322" s="1119" t="s">
        <v>1567</v>
      </c>
      <c r="L2322" s="1048"/>
      <c r="M2322" s="1101">
        <v>0.1</v>
      </c>
      <c r="N2322" s="1048"/>
      <c r="O2322" s="1048">
        <v>0.76200000000000001</v>
      </c>
      <c r="P2322" s="1048"/>
      <c r="Q2322" s="1048"/>
      <c r="R2322" s="1158"/>
      <c r="S2322" s="1048"/>
      <c r="T2322" s="1048"/>
      <c r="U2322" s="1102"/>
    </row>
    <row r="2323" spans="2:21" hidden="1" outlineLevel="2">
      <c r="B2323" s="1050">
        <v>45</v>
      </c>
      <c r="C2323" s="1050" t="str">
        <f t="shared" si="203"/>
        <v>Kazakstan, Base Carbone</v>
      </c>
      <c r="D2323" s="1055">
        <f t="shared" si="204"/>
        <v>45</v>
      </c>
      <c r="E2323" s="1055" t="str">
        <f>IF(COUNTIF(E$2278:E2322,F2323)&gt;0,"",F2323)</f>
        <v>Kazakstan, Base Carbone</v>
      </c>
      <c r="F2323" s="1051" t="str">
        <f t="shared" si="201"/>
        <v>Kazakstan, Base Carbone</v>
      </c>
      <c r="G2323" s="1055" t="str">
        <f t="shared" si="202"/>
        <v>Kazakstan, Base Carbone; kgCO2e/kWh</v>
      </c>
      <c r="I2323" s="1100" t="s">
        <v>1120</v>
      </c>
      <c r="J2323" s="1048" t="s">
        <v>1681</v>
      </c>
      <c r="K2323" s="1119" t="s">
        <v>1567</v>
      </c>
      <c r="L2323" s="1048"/>
      <c r="M2323" s="1101">
        <v>0.1</v>
      </c>
      <c r="N2323" s="1048"/>
      <c r="O2323" s="1048">
        <v>0.40300000000000002</v>
      </c>
      <c r="P2323" s="1048"/>
      <c r="Q2323" s="1048"/>
      <c r="R2323" s="1158"/>
      <c r="S2323" s="1048"/>
      <c r="T2323" s="1048"/>
      <c r="U2323" s="1102"/>
    </row>
    <row r="2324" spans="2:21" hidden="1" outlineLevel="2">
      <c r="B2324" s="1050">
        <v>46</v>
      </c>
      <c r="C2324" s="1050" t="str">
        <f t="shared" si="203"/>
        <v>Kosovo, Base Carbone</v>
      </c>
      <c r="D2324" s="1055">
        <f t="shared" si="204"/>
        <v>46</v>
      </c>
      <c r="E2324" s="1055" t="str">
        <f>IF(COUNTIF(E$2278:E2323,F2324)&gt;0,"",F2324)</f>
        <v>Kosovo, Base Carbone</v>
      </c>
      <c r="F2324" s="1051" t="str">
        <f t="shared" si="201"/>
        <v>Kosovo, Base Carbone</v>
      </c>
      <c r="G2324" s="1055" t="str">
        <f t="shared" si="202"/>
        <v>Kosovo, Base Carbone; kgCO2e/kWh</v>
      </c>
      <c r="I2324" s="1100" t="s">
        <v>1123</v>
      </c>
      <c r="J2324" s="1048" t="s">
        <v>1681</v>
      </c>
      <c r="K2324" s="1119" t="s">
        <v>1567</v>
      </c>
      <c r="L2324" s="1048"/>
      <c r="M2324" s="1101">
        <v>0.1</v>
      </c>
      <c r="N2324" s="1048"/>
      <c r="O2324" s="1048">
        <v>1.29</v>
      </c>
      <c r="P2324" s="1048"/>
      <c r="Q2324" s="1048"/>
      <c r="R2324" s="1158"/>
      <c r="S2324" s="1048"/>
      <c r="T2324" s="1048"/>
      <c r="U2324" s="1102"/>
    </row>
    <row r="2325" spans="2:21" hidden="1" outlineLevel="2">
      <c r="B2325" s="1050">
        <v>47</v>
      </c>
      <c r="C2325" s="1050" t="str">
        <f t="shared" si="203"/>
        <v>Kirghizistan, Base Carbone</v>
      </c>
      <c r="D2325" s="1055">
        <f t="shared" si="204"/>
        <v>47</v>
      </c>
      <c r="E2325" s="1055" t="str">
        <f>IF(COUNTIF(E$2278:E2324,F2325)&gt;0,"",F2325)</f>
        <v>Kirghizistan, Base Carbone</v>
      </c>
      <c r="F2325" s="1051" t="str">
        <f t="shared" si="201"/>
        <v>Kirghizistan, Base Carbone</v>
      </c>
      <c r="G2325" s="1055" t="str">
        <f t="shared" si="202"/>
        <v>Kirghizistan, Base Carbone; kgCO2e/kWh</v>
      </c>
      <c r="I2325" s="1100" t="s">
        <v>1122</v>
      </c>
      <c r="J2325" s="1048" t="s">
        <v>1681</v>
      </c>
      <c r="K2325" s="1119" t="s">
        <v>1567</v>
      </c>
      <c r="L2325" s="1048"/>
      <c r="M2325" s="1101">
        <v>0.1</v>
      </c>
      <c r="N2325" s="1048"/>
      <c r="O2325" s="1048">
        <v>5.91E-2</v>
      </c>
      <c r="P2325" s="1048"/>
      <c r="Q2325" s="1048"/>
      <c r="R2325" s="1158"/>
      <c r="S2325" s="1048"/>
      <c r="T2325" s="1048"/>
      <c r="U2325" s="1102"/>
    </row>
    <row r="2326" spans="2:21" hidden="1" outlineLevel="2">
      <c r="B2326" s="1050">
        <v>48</v>
      </c>
      <c r="C2326" s="1050" t="str">
        <f t="shared" si="203"/>
        <v>Lettonie, Base Carbone</v>
      </c>
      <c r="D2326" s="1055">
        <f t="shared" si="204"/>
        <v>48</v>
      </c>
      <c r="E2326" s="1055" t="str">
        <f>IF(COUNTIF(E$2278:E2325,F2326)&gt;0,"",F2326)</f>
        <v>Lettonie, Base Carbone</v>
      </c>
      <c r="F2326" s="1051" t="str">
        <f t="shared" si="201"/>
        <v>Lettonie, Base Carbone</v>
      </c>
      <c r="G2326" s="1055" t="str">
        <f t="shared" si="202"/>
        <v>Lettonie, Base Carbone; kgCO2e/kWh</v>
      </c>
      <c r="I2326" s="1100" t="s">
        <v>1125</v>
      </c>
      <c r="J2326" s="1048" t="s">
        <v>1681</v>
      </c>
      <c r="K2326" s="1119" t="s">
        <v>1567</v>
      </c>
      <c r="L2326" s="1048"/>
      <c r="M2326" s="1101">
        <v>0.1</v>
      </c>
      <c r="N2326" s="1048"/>
      <c r="O2326" s="1048">
        <v>0.12</v>
      </c>
      <c r="P2326" s="1048"/>
      <c r="Q2326" s="1048"/>
      <c r="R2326" s="1158"/>
      <c r="S2326" s="1048"/>
      <c r="T2326" s="1048"/>
      <c r="U2326" s="1102"/>
    </row>
    <row r="2327" spans="2:21" hidden="1" outlineLevel="2">
      <c r="B2327" s="1050">
        <v>49</v>
      </c>
      <c r="C2327" s="1050" t="str">
        <f t="shared" si="203"/>
        <v>Lituanie, Base Carbone</v>
      </c>
      <c r="D2327" s="1055">
        <f t="shared" si="204"/>
        <v>49</v>
      </c>
      <c r="E2327" s="1055" t="str">
        <f>IF(COUNTIF(E$2278:E2326,F2327)&gt;0,"",F2327)</f>
        <v>Lituanie, Base Carbone</v>
      </c>
      <c r="F2327" s="1051" t="str">
        <f t="shared" si="201"/>
        <v>Lituanie, Base Carbone</v>
      </c>
      <c r="G2327" s="1055" t="str">
        <f t="shared" si="202"/>
        <v>Lituanie, Base Carbone; kgCO2e/kWh</v>
      </c>
      <c r="I2327" s="1100" t="s">
        <v>1128</v>
      </c>
      <c r="J2327" s="1048" t="s">
        <v>1681</v>
      </c>
      <c r="K2327" s="1119" t="s">
        <v>1567</v>
      </c>
      <c r="L2327" s="1048"/>
      <c r="M2327" s="1101">
        <v>0.1</v>
      </c>
      <c r="N2327" s="1048"/>
      <c r="O2327" s="1048">
        <v>0.33700000000000002</v>
      </c>
      <c r="P2327" s="1048"/>
      <c r="Q2327" s="1048"/>
      <c r="R2327" s="1158"/>
      <c r="S2327" s="1048"/>
      <c r="T2327" s="1048"/>
      <c r="U2327" s="1102"/>
    </row>
    <row r="2328" spans="2:21" hidden="1" outlineLevel="2">
      <c r="B2328" s="1050">
        <v>50</v>
      </c>
      <c r="C2328" s="1050" t="str">
        <f t="shared" si="203"/>
        <v>Macédonie, Base Carbone</v>
      </c>
      <c r="D2328" s="1055">
        <f t="shared" si="204"/>
        <v>50</v>
      </c>
      <c r="E2328" s="1055" t="str">
        <f>IF(COUNTIF(E$2278:E2327,F2328)&gt;0,"",F2328)</f>
        <v>Macédonie, Base Carbone</v>
      </c>
      <c r="F2328" s="1051" t="str">
        <f t="shared" si="201"/>
        <v>Macédonie, Base Carbone</v>
      </c>
      <c r="G2328" s="1055" t="str">
        <f t="shared" si="202"/>
        <v>Macédonie, Base Carbone; kgCO2e/kWh</v>
      </c>
      <c r="I2328" s="1100" t="s">
        <v>1130</v>
      </c>
      <c r="J2328" s="1048" t="s">
        <v>1681</v>
      </c>
      <c r="K2328" s="1119" t="s">
        <v>1567</v>
      </c>
      <c r="L2328" s="1048"/>
      <c r="M2328" s="1101">
        <v>0.1</v>
      </c>
      <c r="N2328" s="1048"/>
      <c r="O2328" s="1048">
        <v>0.68500000000000005</v>
      </c>
      <c r="P2328" s="1048"/>
      <c r="Q2328" s="1048"/>
      <c r="R2328" s="1158"/>
      <c r="S2328" s="1048"/>
      <c r="T2328" s="1048"/>
      <c r="U2328" s="1102"/>
    </row>
    <row r="2329" spans="2:21" hidden="1" outlineLevel="2">
      <c r="B2329" s="1050">
        <v>51</v>
      </c>
      <c r="C2329" s="1050" t="str">
        <f t="shared" si="203"/>
        <v>Malte, Base Carbone</v>
      </c>
      <c r="D2329" s="1055">
        <f t="shared" si="204"/>
        <v>51</v>
      </c>
      <c r="E2329" s="1055" t="str">
        <f>IF(COUNTIF(E$2278:E2328,F2329)&gt;0,"",F2329)</f>
        <v>Malte, Base Carbone</v>
      </c>
      <c r="F2329" s="1051" t="str">
        <f t="shared" si="201"/>
        <v>Malte, Base Carbone</v>
      </c>
      <c r="G2329" s="1055" t="str">
        <f t="shared" si="202"/>
        <v>Malte, Base Carbone; kgCO2e/kWh</v>
      </c>
      <c r="I2329" s="1100" t="s">
        <v>1132</v>
      </c>
      <c r="J2329" s="1048" t="s">
        <v>1681</v>
      </c>
      <c r="K2329" s="1119" t="s">
        <v>1567</v>
      </c>
      <c r="L2329" s="1048"/>
      <c r="M2329" s="1101">
        <v>0.1</v>
      </c>
      <c r="N2329" s="1048"/>
      <c r="O2329" s="1048">
        <v>0.872</v>
      </c>
      <c r="P2329" s="1048"/>
      <c r="Q2329" s="1048"/>
      <c r="R2329" s="1158"/>
      <c r="S2329" s="1048"/>
      <c r="T2329" s="1048"/>
      <c r="U2329" s="1102"/>
    </row>
    <row r="2330" spans="2:21" hidden="1" outlineLevel="2">
      <c r="B2330" s="1050">
        <v>52</v>
      </c>
      <c r="C2330" s="1050" t="str">
        <f t="shared" si="203"/>
        <v>Moldavie, Base Carbone</v>
      </c>
      <c r="D2330" s="1055">
        <f t="shared" si="204"/>
        <v>52</v>
      </c>
      <c r="E2330" s="1055" t="str">
        <f>IF(COUNTIF(E$2278:E2329,F2330)&gt;0,"",F2330)</f>
        <v>Moldavie, Base Carbone</v>
      </c>
      <c r="F2330" s="1051" t="str">
        <f t="shared" si="201"/>
        <v>Moldavie, Base Carbone</v>
      </c>
      <c r="G2330" s="1055" t="str">
        <f t="shared" si="202"/>
        <v>Moldavie, Base Carbone; kgCO2e/kWh</v>
      </c>
      <c r="I2330" s="1100" t="s">
        <v>1135</v>
      </c>
      <c r="J2330" s="1048" t="s">
        <v>1681</v>
      </c>
      <c r="K2330" s="1119" t="s">
        <v>1567</v>
      </c>
      <c r="L2330" s="1048"/>
      <c r="M2330" s="1101">
        <v>0.1</v>
      </c>
      <c r="N2330" s="1048"/>
      <c r="O2330" s="1048">
        <v>0.51700000000000002</v>
      </c>
      <c r="P2330" s="1048"/>
      <c r="Q2330" s="1048"/>
      <c r="R2330" s="1158"/>
      <c r="S2330" s="1048"/>
      <c r="T2330" s="1048"/>
      <c r="U2330" s="1102"/>
    </row>
    <row r="2331" spans="2:21" hidden="1" outlineLevel="2">
      <c r="B2331" s="1050">
        <v>53</v>
      </c>
      <c r="C2331" s="1050" t="str">
        <f t="shared" si="203"/>
        <v>Montenegro, Base Carbone</v>
      </c>
      <c r="D2331" s="1055">
        <f t="shared" si="204"/>
        <v>53</v>
      </c>
      <c r="E2331" s="1055" t="str">
        <f>IF(COUNTIF(E$2278:E2330,F2331)&gt;0,"",F2331)</f>
        <v>Montenegro, Base Carbone</v>
      </c>
      <c r="F2331" s="1051" t="str">
        <f t="shared" si="201"/>
        <v>Montenegro, Base Carbone</v>
      </c>
      <c r="G2331" s="1055" t="str">
        <f t="shared" si="202"/>
        <v>Montenegro, Base Carbone; kgCO2e/kWh</v>
      </c>
      <c r="I2331" s="1100" t="s">
        <v>1137</v>
      </c>
      <c r="J2331" s="1048" t="s">
        <v>1681</v>
      </c>
      <c r="K2331" s="1119" t="s">
        <v>1567</v>
      </c>
      <c r="L2331" s="1048"/>
      <c r="M2331" s="1101">
        <v>0.1</v>
      </c>
      <c r="N2331" s="1048"/>
      <c r="O2331" s="1048">
        <v>0.40500000000000003</v>
      </c>
      <c r="P2331" s="1048"/>
      <c r="Q2331" s="1048"/>
      <c r="R2331" s="1158"/>
      <c r="S2331" s="1048"/>
      <c r="T2331" s="1048"/>
      <c r="U2331" s="1102"/>
    </row>
    <row r="2332" spans="2:21" hidden="1" outlineLevel="2">
      <c r="B2332" s="1050">
        <v>54</v>
      </c>
      <c r="C2332" s="1050" t="str">
        <f t="shared" si="203"/>
        <v>Roumanie, Base Carbone</v>
      </c>
      <c r="D2332" s="1055">
        <f t="shared" si="204"/>
        <v>54</v>
      </c>
      <c r="E2332" s="1055" t="str">
        <f>IF(COUNTIF(E$2278:E2331,F2332)&gt;0,"",F2332)</f>
        <v>Roumanie, Base Carbone</v>
      </c>
      <c r="F2332" s="1051" t="str">
        <f t="shared" si="201"/>
        <v>Roumanie, Base Carbone</v>
      </c>
      <c r="G2332" s="1055" t="str">
        <f t="shared" si="202"/>
        <v>Roumanie, Base Carbone; kgCO2e/kWh</v>
      </c>
      <c r="I2332" s="1100" t="s">
        <v>1156</v>
      </c>
      <c r="J2332" s="1048" t="s">
        <v>1681</v>
      </c>
      <c r="K2332" s="1119" t="s">
        <v>1567</v>
      </c>
      <c r="L2332" s="1048"/>
      <c r="M2332" s="1101">
        <v>0.1</v>
      </c>
      <c r="N2332" s="1048"/>
      <c r="O2332" s="1048">
        <v>0.41299999999999998</v>
      </c>
      <c r="P2332" s="1048"/>
      <c r="Q2332" s="1048"/>
      <c r="R2332" s="1158"/>
      <c r="S2332" s="1048"/>
      <c r="T2332" s="1048"/>
      <c r="U2332" s="1102"/>
    </row>
    <row r="2333" spans="2:21" hidden="1" outlineLevel="2">
      <c r="B2333" s="1050">
        <v>55</v>
      </c>
      <c r="C2333" s="1050" t="str">
        <f t="shared" si="203"/>
        <v>Russie, Base Carbone</v>
      </c>
      <c r="D2333" s="1055">
        <f t="shared" si="204"/>
        <v>55</v>
      </c>
      <c r="E2333" s="1055" t="str">
        <f>IF(COUNTIF(E$2278:E2332,F2333)&gt;0,"",F2333)</f>
        <v>Russie, Base Carbone</v>
      </c>
      <c r="F2333" s="1051" t="str">
        <f t="shared" si="201"/>
        <v>Russie, Base Carbone</v>
      </c>
      <c r="G2333" s="1055" t="str">
        <f t="shared" si="202"/>
        <v>Russie, Base Carbone; kgCO2e/kWh</v>
      </c>
      <c r="I2333" s="1100" t="s">
        <v>1158</v>
      </c>
      <c r="J2333" s="1048" t="s">
        <v>1681</v>
      </c>
      <c r="K2333" s="1119" t="s">
        <v>1567</v>
      </c>
      <c r="L2333" s="1048"/>
      <c r="M2333" s="1101">
        <v>0.1</v>
      </c>
      <c r="N2333" s="1048"/>
      <c r="O2333" s="1048">
        <v>0.38400000000000001</v>
      </c>
      <c r="P2333" s="1048"/>
      <c r="Q2333" s="1048"/>
      <c r="R2333" s="1158"/>
      <c r="S2333" s="1048"/>
      <c r="T2333" s="1048"/>
      <c r="U2333" s="1102"/>
    </row>
    <row r="2334" spans="2:21" hidden="1" outlineLevel="2">
      <c r="B2334" s="1050">
        <v>56</v>
      </c>
      <c r="C2334" s="1050" t="str">
        <f t="shared" si="203"/>
        <v>Serbie, Base Carbone</v>
      </c>
      <c r="D2334" s="1055">
        <f t="shared" si="204"/>
        <v>56</v>
      </c>
      <c r="E2334" s="1055" t="str">
        <f>IF(COUNTIF(E$2278:E2333,F2334)&gt;0,"",F2334)</f>
        <v>Serbie, Base Carbone</v>
      </c>
      <c r="F2334" s="1051" t="str">
        <f t="shared" ref="F2334:F2397" si="205">IF(I2334&lt;&gt;"",I2334&amp;IF(L2334&lt;&gt;"",", "&amp;L2334,"")&amp;IF(K2334&lt;&gt;"",", "&amp;K2334,""),"")</f>
        <v>Serbie, Base Carbone</v>
      </c>
      <c r="G2334" s="1055" t="str">
        <f t="shared" ref="G2334:G2397" si="206">IF(F2334&lt;&gt;"",F2334&amp;IF(J2334&lt;&gt;"","; "&amp;J2334,"")&amp;IF(N2334&lt;&gt;"",", "&amp;N2334,""),"")</f>
        <v>Serbie, Base Carbone; kgCO2e/kWh</v>
      </c>
      <c r="I2334" s="1100" t="s">
        <v>1160</v>
      </c>
      <c r="J2334" s="1048" t="s">
        <v>1681</v>
      </c>
      <c r="K2334" s="1119" t="s">
        <v>1567</v>
      </c>
      <c r="L2334" s="1048"/>
      <c r="M2334" s="1101">
        <v>0.1</v>
      </c>
      <c r="N2334" s="1048"/>
      <c r="O2334" s="1048">
        <v>0.71799999999999997</v>
      </c>
      <c r="P2334" s="1048"/>
      <c r="Q2334" s="1048"/>
      <c r="R2334" s="1158"/>
      <c r="S2334" s="1048"/>
      <c r="T2334" s="1048"/>
      <c r="U2334" s="1102"/>
    </row>
    <row r="2335" spans="2:21" hidden="1" outlineLevel="2">
      <c r="B2335" s="1050">
        <v>57</v>
      </c>
      <c r="C2335" s="1050" t="str">
        <f t="shared" si="203"/>
        <v>Tadjikistan, Base Carbone</v>
      </c>
      <c r="D2335" s="1055">
        <f t="shared" si="204"/>
        <v>57</v>
      </c>
      <c r="E2335" s="1055" t="str">
        <f>IF(COUNTIF(E$2278:E2334,F2335)&gt;0,"",F2335)</f>
        <v>Tadjikistan, Base Carbone</v>
      </c>
      <c r="F2335" s="1051" t="str">
        <f t="shared" si="205"/>
        <v>Tadjikistan, Base Carbone</v>
      </c>
      <c r="G2335" s="1055" t="str">
        <f t="shared" si="206"/>
        <v>Tadjikistan, Base Carbone; kgCO2e/kWh</v>
      </c>
      <c r="I2335" s="1100" t="s">
        <v>1168</v>
      </c>
      <c r="J2335" s="1048" t="s">
        <v>1681</v>
      </c>
      <c r="K2335" s="1119" t="s">
        <v>1567</v>
      </c>
      <c r="L2335" s="1048"/>
      <c r="M2335" s="1101">
        <v>0.1</v>
      </c>
      <c r="N2335" s="1048"/>
      <c r="O2335" s="1048">
        <v>1.43E-2</v>
      </c>
      <c r="P2335" s="1048"/>
      <c r="Q2335" s="1048"/>
      <c r="R2335" s="1158"/>
      <c r="S2335" s="1048"/>
      <c r="T2335" s="1048"/>
      <c r="U2335" s="1102"/>
    </row>
    <row r="2336" spans="2:21" hidden="1" outlineLevel="2">
      <c r="B2336" s="1050">
        <v>58</v>
      </c>
      <c r="C2336" s="1050" t="str">
        <f t="shared" si="203"/>
        <v>Turkménistan, Base Carbone</v>
      </c>
      <c r="D2336" s="1055">
        <f t="shared" si="204"/>
        <v>58</v>
      </c>
      <c r="E2336" s="1055" t="str">
        <f>IF(COUNTIF(E$2278:E2335,F2336)&gt;0,"",F2336)</f>
        <v>Turkménistan, Base Carbone</v>
      </c>
      <c r="F2336" s="1051" t="str">
        <f t="shared" si="205"/>
        <v>Turkménistan, Base Carbone</v>
      </c>
      <c r="G2336" s="1055" t="str">
        <f t="shared" si="206"/>
        <v>Turkménistan, Base Carbone; kgCO2e/kWh</v>
      </c>
      <c r="I2336" s="1100" t="s">
        <v>1175</v>
      </c>
      <c r="J2336" s="1048" t="s">
        <v>1681</v>
      </c>
      <c r="K2336" s="1119" t="s">
        <v>1567</v>
      </c>
      <c r="L2336" s="1048"/>
      <c r="M2336" s="1101">
        <v>0.1</v>
      </c>
      <c r="N2336" s="1048"/>
      <c r="O2336" s="1048">
        <v>0.95399999999999996</v>
      </c>
      <c r="P2336" s="1048"/>
      <c r="Q2336" s="1048"/>
      <c r="R2336" s="1158"/>
      <c r="S2336" s="1048"/>
      <c r="T2336" s="1048"/>
      <c r="U2336" s="1102"/>
    </row>
    <row r="2337" spans="2:21" hidden="1" outlineLevel="2">
      <c r="B2337" s="1050">
        <v>59</v>
      </c>
      <c r="C2337" s="1050" t="str">
        <f t="shared" si="203"/>
        <v>Ukraine, Base Carbone</v>
      </c>
      <c r="D2337" s="1055">
        <f t="shared" si="204"/>
        <v>59</v>
      </c>
      <c r="E2337" s="1055" t="str">
        <f>IF(COUNTIF(E$2278:E2336,F2337)&gt;0,"",F2337)</f>
        <v>Ukraine, Base Carbone</v>
      </c>
      <c r="F2337" s="1051" t="str">
        <f t="shared" si="205"/>
        <v>Ukraine, Base Carbone</v>
      </c>
      <c r="G2337" s="1055" t="str">
        <f t="shared" si="206"/>
        <v>Ukraine, Base Carbone; kgCO2e/kWh</v>
      </c>
      <c r="I2337" s="1100" t="s">
        <v>1177</v>
      </c>
      <c r="J2337" s="1048" t="s">
        <v>1681</v>
      </c>
      <c r="K2337" s="1119" t="s">
        <v>1567</v>
      </c>
      <c r="L2337" s="1048"/>
      <c r="M2337" s="1101">
        <v>0.1</v>
      </c>
      <c r="N2337" s="1048"/>
      <c r="O2337" s="1048">
        <v>0.39200000000000002</v>
      </c>
      <c r="P2337" s="1048"/>
      <c r="Q2337" s="1048"/>
      <c r="R2337" s="1158"/>
      <c r="S2337" s="1048"/>
      <c r="T2337" s="1048"/>
      <c r="U2337" s="1102"/>
    </row>
    <row r="2338" spans="2:21" hidden="1" outlineLevel="2">
      <c r="B2338" s="1050">
        <v>60</v>
      </c>
      <c r="C2338" s="1050" t="str">
        <f t="shared" si="203"/>
        <v>Ouzbékistan, Base Carbone</v>
      </c>
      <c r="D2338" s="1055">
        <f t="shared" si="204"/>
        <v>60</v>
      </c>
      <c r="E2338" s="1055" t="str">
        <f>IF(COUNTIF(E$2278:E2337,F2338)&gt;0,"",F2338)</f>
        <v>Ouzbékistan, Base Carbone</v>
      </c>
      <c r="F2338" s="1051" t="str">
        <f t="shared" si="205"/>
        <v>Ouzbékistan, Base Carbone</v>
      </c>
      <c r="G2338" s="1055" t="str">
        <f t="shared" si="206"/>
        <v>Ouzbékistan, Base Carbone; kgCO2e/kWh</v>
      </c>
      <c r="I2338" s="1100" t="s">
        <v>1146</v>
      </c>
      <c r="J2338" s="1048" t="s">
        <v>1681</v>
      </c>
      <c r="K2338" s="1119" t="s">
        <v>1567</v>
      </c>
      <c r="L2338" s="1048"/>
      <c r="M2338" s="1101">
        <v>0.1</v>
      </c>
      <c r="N2338" s="1048"/>
      <c r="O2338" s="1048">
        <v>0.55000000000000004</v>
      </c>
      <c r="P2338" s="1048"/>
      <c r="Q2338" s="1048"/>
      <c r="R2338" s="1158"/>
      <c r="S2338" s="1048"/>
      <c r="T2338" s="1048"/>
      <c r="U2338" s="1102"/>
    </row>
    <row r="2339" spans="2:21" hidden="1" outlineLevel="2">
      <c r="B2339" s="1050">
        <v>61</v>
      </c>
      <c r="C2339" s="1050" t="str">
        <f t="shared" si="203"/>
        <v>Algérie, Base Carbone</v>
      </c>
      <c r="D2339" s="1055">
        <f t="shared" si="204"/>
        <v>61</v>
      </c>
      <c r="E2339" s="1055" t="str">
        <f>IF(COUNTIF(E$2278:E2338,F2339)&gt;0,"",F2339)</f>
        <v>Algérie, Base Carbone</v>
      </c>
      <c r="F2339" s="1051" t="str">
        <f t="shared" si="205"/>
        <v>Algérie, Base Carbone</v>
      </c>
      <c r="G2339" s="1055" t="str">
        <f t="shared" si="206"/>
        <v>Algérie, Base Carbone; kgCO2e/kWh</v>
      </c>
      <c r="I2339" s="1100" t="s">
        <v>1056</v>
      </c>
      <c r="J2339" s="1048" t="s">
        <v>1681</v>
      </c>
      <c r="K2339" s="1119" t="s">
        <v>1567</v>
      </c>
      <c r="L2339" s="1048"/>
      <c r="M2339" s="1101">
        <v>0.1</v>
      </c>
      <c r="N2339" s="1048"/>
      <c r="O2339" s="1048">
        <v>0.54800000000000004</v>
      </c>
      <c r="P2339" s="1048"/>
      <c r="Q2339" s="1048"/>
      <c r="R2339" s="1158"/>
      <c r="S2339" s="1048"/>
      <c r="T2339" s="1048"/>
      <c r="U2339" s="1102"/>
    </row>
    <row r="2340" spans="2:21" hidden="1" outlineLevel="2">
      <c r="B2340" s="1050">
        <v>62</v>
      </c>
      <c r="C2340" s="1050" t="str">
        <f t="shared" si="203"/>
        <v>Angola, Base Carbone</v>
      </c>
      <c r="D2340" s="1055">
        <f t="shared" si="204"/>
        <v>62</v>
      </c>
      <c r="E2340" s="1055" t="str">
        <f>IF(COUNTIF(E$2278:E2339,F2340)&gt;0,"",F2340)</f>
        <v>Angola, Base Carbone</v>
      </c>
      <c r="F2340" s="1051" t="str">
        <f t="shared" si="205"/>
        <v>Angola, Base Carbone</v>
      </c>
      <c r="G2340" s="1055" t="str">
        <f t="shared" si="206"/>
        <v>Angola, Base Carbone; kgCO2e/kWh</v>
      </c>
      <c r="I2340" s="1100" t="s">
        <v>1058</v>
      </c>
      <c r="J2340" s="1048" t="s">
        <v>1681</v>
      </c>
      <c r="K2340" s="1119" t="s">
        <v>1567</v>
      </c>
      <c r="L2340" s="1048"/>
      <c r="M2340" s="1101">
        <v>0.1</v>
      </c>
      <c r="N2340" s="1048"/>
      <c r="O2340" s="1048">
        <v>0.44</v>
      </c>
      <c r="P2340" s="1048"/>
      <c r="Q2340" s="1048"/>
      <c r="R2340" s="1158"/>
      <c r="S2340" s="1048"/>
      <c r="T2340" s="1048"/>
      <c r="U2340" s="1102"/>
    </row>
    <row r="2341" spans="2:21" hidden="1" outlineLevel="2">
      <c r="B2341" s="1050">
        <v>63</v>
      </c>
      <c r="C2341" s="1050" t="str">
        <f t="shared" si="203"/>
        <v>Bénin, Base Carbone</v>
      </c>
      <c r="D2341" s="1055">
        <f t="shared" si="204"/>
        <v>63</v>
      </c>
      <c r="E2341" s="1055" t="str">
        <f>IF(COUNTIF(E$2278:E2340,F2341)&gt;0,"",F2341)</f>
        <v>Bénin, Base Carbone</v>
      </c>
      <c r="F2341" s="1051" t="str">
        <f t="shared" si="205"/>
        <v>Bénin, Base Carbone</v>
      </c>
      <c r="G2341" s="1055" t="str">
        <f t="shared" si="206"/>
        <v>Bénin, Base Carbone; kgCO2e/kWh</v>
      </c>
      <c r="I2341" s="1100" t="s">
        <v>1070</v>
      </c>
      <c r="J2341" s="1048" t="s">
        <v>1681</v>
      </c>
      <c r="K2341" s="1119" t="s">
        <v>1567</v>
      </c>
      <c r="L2341" s="1048"/>
      <c r="M2341" s="1101">
        <v>0.1</v>
      </c>
      <c r="N2341" s="1048"/>
      <c r="O2341" s="1048">
        <v>0.72</v>
      </c>
      <c r="P2341" s="1048"/>
      <c r="Q2341" s="1048"/>
      <c r="R2341" s="1158"/>
      <c r="S2341" s="1048"/>
      <c r="T2341" s="1048"/>
      <c r="U2341" s="1102"/>
    </row>
    <row r="2342" spans="2:21" hidden="1" outlineLevel="2">
      <c r="B2342" s="1050">
        <v>64</v>
      </c>
      <c r="C2342" s="1050" t="str">
        <f t="shared" si="203"/>
        <v>Botswana, Base Carbone</v>
      </c>
      <c r="D2342" s="1055">
        <f t="shared" si="204"/>
        <v>64</v>
      </c>
      <c r="E2342" s="1055" t="str">
        <f>IF(COUNTIF(E$2278:E2341,F2342)&gt;0,"",F2342)</f>
        <v>Botswana, Base Carbone</v>
      </c>
      <c r="F2342" s="1051" t="str">
        <f t="shared" si="205"/>
        <v>Botswana, Base Carbone</v>
      </c>
      <c r="G2342" s="1055" t="str">
        <f t="shared" si="206"/>
        <v>Botswana, Base Carbone; kgCO2e/kWh</v>
      </c>
      <c r="I2342" s="1100" t="s">
        <v>1074</v>
      </c>
      <c r="J2342" s="1048" t="s">
        <v>1681</v>
      </c>
      <c r="K2342" s="1119" t="s">
        <v>1567</v>
      </c>
      <c r="L2342" s="1048"/>
      <c r="M2342" s="1101">
        <v>0.1</v>
      </c>
      <c r="N2342" s="1048"/>
      <c r="O2342" s="1048">
        <v>2.52</v>
      </c>
      <c r="P2342" s="1048"/>
      <c r="Q2342" s="1048"/>
      <c r="R2342" s="1158"/>
      <c r="S2342" s="1048"/>
      <c r="T2342" s="1048"/>
      <c r="U2342" s="1102"/>
    </row>
    <row r="2343" spans="2:21" hidden="1" outlineLevel="2">
      <c r="B2343" s="1050">
        <v>65</v>
      </c>
      <c r="C2343" s="1050" t="str">
        <f t="shared" si="203"/>
        <v>Cameroun, Base Carbone</v>
      </c>
      <c r="D2343" s="1055">
        <f t="shared" si="204"/>
        <v>65</v>
      </c>
      <c r="E2343" s="1055" t="str">
        <f>IF(COUNTIF(E$2278:E2342,F2343)&gt;0,"",F2343)</f>
        <v>Cameroun, Base Carbone</v>
      </c>
      <c r="F2343" s="1051" t="str">
        <f t="shared" si="205"/>
        <v>Cameroun, Base Carbone</v>
      </c>
      <c r="G2343" s="1055" t="str">
        <f t="shared" si="206"/>
        <v>Cameroun, Base Carbone; kgCO2e/kWh</v>
      </c>
      <c r="I2343" s="1100" t="s">
        <v>1079</v>
      </c>
      <c r="J2343" s="1048" t="s">
        <v>1681</v>
      </c>
      <c r="K2343" s="1119" t="s">
        <v>1567</v>
      </c>
      <c r="L2343" s="1048"/>
      <c r="M2343" s="1101">
        <v>0.1</v>
      </c>
      <c r="N2343" s="1048"/>
      <c r="O2343" s="1048">
        <v>0.20699999999999999</v>
      </c>
      <c r="P2343" s="1048"/>
      <c r="Q2343" s="1048"/>
      <c r="R2343" s="1158"/>
      <c r="S2343" s="1048"/>
      <c r="T2343" s="1048"/>
      <c r="U2343" s="1102"/>
    </row>
    <row r="2344" spans="2:21" hidden="1" outlineLevel="2">
      <c r="B2344" s="1050">
        <v>66</v>
      </c>
      <c r="C2344" s="1050" t="str">
        <f t="shared" ref="C2344:C2407" si="207">IF(ISNA(VLOOKUP(B2344,$D$2279:$E$2421,2,FALSE)),"-",VLOOKUP(B2344,$D$2279:$E$2421,2,FALSE))</f>
        <v>Congo, Base Carbone</v>
      </c>
      <c r="D2344" s="1055">
        <f t="shared" ref="D2344:D2407" si="208">D2343+IF(LEN(E2344)=0,0,1)</f>
        <v>66</v>
      </c>
      <c r="E2344" s="1055" t="str">
        <f>IF(COUNTIF(E$2278:E2343,F2344)&gt;0,"",F2344)</f>
        <v>Congo, Base Carbone</v>
      </c>
      <c r="F2344" s="1051" t="str">
        <f t="shared" si="205"/>
        <v>Congo, Base Carbone</v>
      </c>
      <c r="G2344" s="1055" t="str">
        <f t="shared" si="206"/>
        <v>Congo, Base Carbone; kgCO2e/kWh</v>
      </c>
      <c r="I2344" s="1100" t="s">
        <v>1085</v>
      </c>
      <c r="J2344" s="1048" t="s">
        <v>1681</v>
      </c>
      <c r="K2344" s="1119" t="s">
        <v>1567</v>
      </c>
      <c r="L2344" s="1048"/>
      <c r="M2344" s="1101">
        <v>0.1</v>
      </c>
      <c r="N2344" s="1048"/>
      <c r="O2344" s="1048">
        <v>0.14199999999999999</v>
      </c>
      <c r="P2344" s="1048"/>
      <c r="Q2344" s="1048"/>
      <c r="R2344" s="1158"/>
      <c r="S2344" s="1048"/>
      <c r="T2344" s="1048"/>
      <c r="U2344" s="1102"/>
    </row>
    <row r="2345" spans="2:21" hidden="1" outlineLevel="2">
      <c r="B2345" s="1050">
        <v>67</v>
      </c>
      <c r="C2345" s="1050" t="str">
        <f t="shared" si="207"/>
        <v>Rép. Dém. Du Congo, Base Carbone</v>
      </c>
      <c r="D2345" s="1055">
        <f t="shared" si="208"/>
        <v>67</v>
      </c>
      <c r="E2345" s="1055" t="str">
        <f>IF(COUNTIF(E$2278:E2344,F2345)&gt;0,"",F2345)</f>
        <v>Rép. Dém. Du Congo, Base Carbone</v>
      </c>
      <c r="F2345" s="1051" t="str">
        <f t="shared" si="205"/>
        <v>Rép. Dém. Du Congo, Base Carbone</v>
      </c>
      <c r="G2345" s="1055" t="str">
        <f t="shared" si="206"/>
        <v>Rép. Dém. Du Congo, Base Carbone; kgCO2e/kWh</v>
      </c>
      <c r="I2345" s="1100" t="s">
        <v>1779</v>
      </c>
      <c r="J2345" s="1048" t="s">
        <v>1681</v>
      </c>
      <c r="K2345" s="1119" t="s">
        <v>1567</v>
      </c>
      <c r="L2345" s="1048"/>
      <c r="M2345" s="1101">
        <v>0.1</v>
      </c>
      <c r="N2345" s="1048"/>
      <c r="O2345" s="1048">
        <v>2.9099999999999998E-3</v>
      </c>
      <c r="P2345" s="1048"/>
      <c r="Q2345" s="1048"/>
      <c r="R2345" s="1158"/>
      <c r="S2345" s="1048"/>
      <c r="T2345" s="1048"/>
      <c r="U2345" s="1102"/>
    </row>
    <row r="2346" spans="2:21" hidden="1" outlineLevel="2">
      <c r="B2346" s="1050">
        <v>68</v>
      </c>
      <c r="C2346" s="1050" t="str">
        <f t="shared" si="207"/>
        <v>Côte d'Ivoire, Base Carbone</v>
      </c>
      <c r="D2346" s="1055">
        <f t="shared" si="208"/>
        <v>68</v>
      </c>
      <c r="E2346" s="1055" t="str">
        <f>IF(COUNTIF(E$2278:E2345,F2346)&gt;0,"",F2346)</f>
        <v>Côte d'Ivoire, Base Carbone</v>
      </c>
      <c r="F2346" s="1051" t="str">
        <f t="shared" si="205"/>
        <v>Côte d'Ivoire, Base Carbone</v>
      </c>
      <c r="G2346" s="1055" t="str">
        <f t="shared" si="206"/>
        <v>Côte d'Ivoire, Base Carbone; kgCO2e/kWh</v>
      </c>
      <c r="I2346" s="1100" t="s">
        <v>1087</v>
      </c>
      <c r="J2346" s="1048" t="s">
        <v>1681</v>
      </c>
      <c r="K2346" s="1119" t="s">
        <v>1567</v>
      </c>
      <c r="L2346" s="1048"/>
      <c r="M2346" s="1101">
        <v>0.1</v>
      </c>
      <c r="N2346" s="1048"/>
      <c r="O2346" s="1048">
        <v>0.44500000000000001</v>
      </c>
      <c r="P2346" s="1048"/>
      <c r="Q2346" s="1048"/>
      <c r="R2346" s="1158"/>
      <c r="S2346" s="1048"/>
      <c r="T2346" s="1048"/>
      <c r="U2346" s="1102"/>
    </row>
    <row r="2347" spans="2:21" hidden="1" outlineLevel="2">
      <c r="B2347" s="1050">
        <v>69</v>
      </c>
      <c r="C2347" s="1050" t="str">
        <f t="shared" si="207"/>
        <v>Égypte, Base Carbone</v>
      </c>
      <c r="D2347" s="1055">
        <f t="shared" si="208"/>
        <v>69</v>
      </c>
      <c r="E2347" s="1055" t="str">
        <f>IF(COUNTIF(E$2278:E2346,F2347)&gt;0,"",F2347)</f>
        <v>Égypte, Base Carbone</v>
      </c>
      <c r="F2347" s="1051" t="str">
        <f t="shared" si="205"/>
        <v>Égypte, Base Carbone</v>
      </c>
      <c r="G2347" s="1055" t="str">
        <f t="shared" si="206"/>
        <v>Égypte, Base Carbone; kgCO2e/kWh</v>
      </c>
      <c r="I2347" s="1100" t="s">
        <v>1091</v>
      </c>
      <c r="J2347" s="1048" t="s">
        <v>1681</v>
      </c>
      <c r="K2347" s="1119" t="s">
        <v>1567</v>
      </c>
      <c r="L2347" s="1048"/>
      <c r="M2347" s="1101">
        <v>0.1</v>
      </c>
      <c r="N2347" s="1048"/>
      <c r="O2347" s="1048">
        <v>0.45</v>
      </c>
      <c r="P2347" s="1048"/>
      <c r="Q2347" s="1048"/>
      <c r="R2347" s="1158"/>
      <c r="S2347" s="1048"/>
      <c r="T2347" s="1048"/>
      <c r="U2347" s="1102"/>
    </row>
    <row r="2348" spans="2:21" hidden="1" outlineLevel="2">
      <c r="B2348" s="1050">
        <v>70</v>
      </c>
      <c r="C2348" s="1050" t="str">
        <f t="shared" si="207"/>
        <v>Érythrée, Base Carbone</v>
      </c>
      <c r="D2348" s="1055">
        <f t="shared" si="208"/>
        <v>70</v>
      </c>
      <c r="E2348" s="1055" t="str">
        <f>IF(COUNTIF(E$2278:E2347,F2348)&gt;0,"",F2348)</f>
        <v>Érythrée, Base Carbone</v>
      </c>
      <c r="F2348" s="1051" t="str">
        <f t="shared" si="205"/>
        <v>Érythrée, Base Carbone</v>
      </c>
      <c r="G2348" s="1055" t="str">
        <f t="shared" si="206"/>
        <v>Érythrée, Base Carbone; kgCO2e/kWh</v>
      </c>
      <c r="I2348" s="1100" t="s">
        <v>1095</v>
      </c>
      <c r="J2348" s="1048" t="s">
        <v>1681</v>
      </c>
      <c r="K2348" s="1119" t="s">
        <v>1567</v>
      </c>
      <c r="L2348" s="1048"/>
      <c r="M2348" s="1101">
        <v>0.1</v>
      </c>
      <c r="N2348" s="1048"/>
      <c r="O2348" s="1048">
        <v>0.64600000000000002</v>
      </c>
      <c r="P2348" s="1048"/>
      <c r="Q2348" s="1048"/>
      <c r="R2348" s="1158"/>
      <c r="S2348" s="1048"/>
      <c r="T2348" s="1048"/>
      <c r="U2348" s="1102"/>
    </row>
    <row r="2349" spans="2:21" hidden="1" outlineLevel="2">
      <c r="B2349" s="1050">
        <v>71</v>
      </c>
      <c r="C2349" s="1050" t="str">
        <f t="shared" si="207"/>
        <v>Éthiopie, Base Carbone</v>
      </c>
      <c r="D2349" s="1055">
        <f t="shared" si="208"/>
        <v>71</v>
      </c>
      <c r="E2349" s="1055" t="str">
        <f>IF(COUNTIF(E$2278:E2348,F2349)&gt;0,"",F2349)</f>
        <v>Éthiopie, Base Carbone</v>
      </c>
      <c r="F2349" s="1051" t="str">
        <f t="shared" si="205"/>
        <v>Éthiopie, Base Carbone</v>
      </c>
      <c r="G2349" s="1055" t="str">
        <f t="shared" si="206"/>
        <v>Éthiopie, Base Carbone; kgCO2e/kWh</v>
      </c>
      <c r="I2349" s="1100" t="s">
        <v>1099</v>
      </c>
      <c r="J2349" s="1048" t="s">
        <v>1681</v>
      </c>
      <c r="K2349" s="1119" t="s">
        <v>1567</v>
      </c>
      <c r="L2349" s="1048"/>
      <c r="M2349" s="1101">
        <v>0.1</v>
      </c>
      <c r="N2349" s="1048"/>
      <c r="O2349" s="1048">
        <v>7.0099999999999997E-3</v>
      </c>
      <c r="P2349" s="1048"/>
      <c r="Q2349" s="1048"/>
      <c r="R2349" s="1158"/>
      <c r="S2349" s="1048"/>
      <c r="T2349" s="1048"/>
      <c r="U2349" s="1102"/>
    </row>
    <row r="2350" spans="2:21" hidden="1" outlineLevel="2">
      <c r="B2350" s="1050">
        <v>72</v>
      </c>
      <c r="C2350" s="1050" t="str">
        <f t="shared" si="207"/>
        <v>Gabon, Base Carbone</v>
      </c>
      <c r="D2350" s="1055">
        <f t="shared" si="208"/>
        <v>72</v>
      </c>
      <c r="E2350" s="1055" t="str">
        <f>IF(COUNTIF(E$2278:E2349,F2350)&gt;0,"",F2350)</f>
        <v>Gabon, Base Carbone</v>
      </c>
      <c r="F2350" s="1051" t="str">
        <f t="shared" si="205"/>
        <v>Gabon, Base Carbone</v>
      </c>
      <c r="G2350" s="1055" t="str">
        <f t="shared" si="206"/>
        <v>Gabon, Base Carbone; kgCO2e/kWh</v>
      </c>
      <c r="I2350" s="1100" t="s">
        <v>1101</v>
      </c>
      <c r="J2350" s="1048" t="s">
        <v>1681</v>
      </c>
      <c r="K2350" s="1119" t="s">
        <v>1567</v>
      </c>
      <c r="L2350" s="1048"/>
      <c r="M2350" s="1101">
        <v>0.1</v>
      </c>
      <c r="N2350" s="1048"/>
      <c r="O2350" s="1048">
        <v>0.38300000000000001</v>
      </c>
      <c r="P2350" s="1048"/>
      <c r="Q2350" s="1048"/>
      <c r="R2350" s="1158"/>
      <c r="S2350" s="1048"/>
      <c r="T2350" s="1048"/>
      <c r="U2350" s="1102"/>
    </row>
    <row r="2351" spans="2:21" hidden="1" outlineLevel="2">
      <c r="B2351" s="1050">
        <v>73</v>
      </c>
      <c r="C2351" s="1050" t="str">
        <f t="shared" si="207"/>
        <v>Ghana, Base Carbone</v>
      </c>
      <c r="D2351" s="1055">
        <f t="shared" si="208"/>
        <v>73</v>
      </c>
      <c r="E2351" s="1055" t="str">
        <f>IF(COUNTIF(E$2278:E2350,F2351)&gt;0,"",F2351)</f>
        <v>Ghana, Base Carbone</v>
      </c>
      <c r="F2351" s="1051" t="str">
        <f t="shared" si="205"/>
        <v>Ghana, Base Carbone</v>
      </c>
      <c r="G2351" s="1055" t="str">
        <f t="shared" si="206"/>
        <v>Ghana, Base Carbone; kgCO2e/kWh</v>
      </c>
      <c r="I2351" s="1100" t="s">
        <v>1103</v>
      </c>
      <c r="J2351" s="1048" t="s">
        <v>1681</v>
      </c>
      <c r="K2351" s="1119" t="s">
        <v>1567</v>
      </c>
      <c r="L2351" s="1048"/>
      <c r="M2351" s="1101">
        <v>0.1</v>
      </c>
      <c r="N2351" s="1048"/>
      <c r="O2351" s="1048">
        <v>0.25900000000000001</v>
      </c>
      <c r="P2351" s="1048"/>
      <c r="Q2351" s="1048"/>
      <c r="R2351" s="1158"/>
      <c r="S2351" s="1048"/>
      <c r="T2351" s="1048"/>
      <c r="U2351" s="1102"/>
    </row>
    <row r="2352" spans="2:21" hidden="1" outlineLevel="2">
      <c r="B2352" s="1050">
        <v>74</v>
      </c>
      <c r="C2352" s="1050" t="str">
        <f t="shared" si="207"/>
        <v>Kenya, Base Carbone</v>
      </c>
      <c r="D2352" s="1055">
        <f t="shared" si="208"/>
        <v>74</v>
      </c>
      <c r="E2352" s="1055" t="str">
        <f>IF(COUNTIF(E$2278:E2351,F2352)&gt;0,"",F2352)</f>
        <v>Kenya, Base Carbone</v>
      </c>
      <c r="F2352" s="1051" t="str">
        <f t="shared" si="205"/>
        <v>Kenya, Base Carbone</v>
      </c>
      <c r="G2352" s="1055" t="str">
        <f t="shared" si="206"/>
        <v>Kenya, Base Carbone; kgCO2e/kWh</v>
      </c>
      <c r="I2352" s="1100" t="s">
        <v>1121</v>
      </c>
      <c r="J2352" s="1048" t="s">
        <v>1681</v>
      </c>
      <c r="K2352" s="1119" t="s">
        <v>1567</v>
      </c>
      <c r="L2352" s="1048"/>
      <c r="M2352" s="1101">
        <v>0.1</v>
      </c>
      <c r="N2352" s="1048"/>
      <c r="O2352" s="1048">
        <v>0.27400000000000002</v>
      </c>
      <c r="P2352" s="1048"/>
      <c r="Q2352" s="1048"/>
      <c r="R2352" s="1158"/>
      <c r="S2352" s="1048"/>
      <c r="T2352" s="1048"/>
      <c r="U2352" s="1102"/>
    </row>
    <row r="2353" spans="2:21" hidden="1" outlineLevel="2">
      <c r="B2353" s="1050">
        <v>75</v>
      </c>
      <c r="C2353" s="1050" t="str">
        <f t="shared" si="207"/>
        <v>Libye, Base Carbone</v>
      </c>
      <c r="D2353" s="1055">
        <f t="shared" si="208"/>
        <v>75</v>
      </c>
      <c r="E2353" s="1055" t="str">
        <f>IF(COUNTIF(E$2278:E2352,F2353)&gt;0,"",F2353)</f>
        <v>Libye, Base Carbone</v>
      </c>
      <c r="F2353" s="1051" t="str">
        <f t="shared" si="205"/>
        <v>Libye, Base Carbone</v>
      </c>
      <c r="G2353" s="1055" t="str">
        <f t="shared" si="206"/>
        <v>Libye, Base Carbone; kgCO2e/kWh</v>
      </c>
      <c r="I2353" s="1100" t="s">
        <v>1127</v>
      </c>
      <c r="J2353" s="1048" t="s">
        <v>1681</v>
      </c>
      <c r="K2353" s="1119" t="s">
        <v>1567</v>
      </c>
      <c r="L2353" s="1048"/>
      <c r="M2353" s="1101">
        <v>0.1</v>
      </c>
      <c r="N2353" s="1048"/>
      <c r="O2353" s="1048">
        <v>0.88500000000000001</v>
      </c>
      <c r="P2353" s="1048"/>
      <c r="Q2353" s="1048"/>
      <c r="R2353" s="1158"/>
      <c r="S2353" s="1048"/>
      <c r="T2353" s="1048"/>
      <c r="U2353" s="1102"/>
    </row>
    <row r="2354" spans="2:21" hidden="1" outlineLevel="2">
      <c r="B2354" s="1050">
        <v>76</v>
      </c>
      <c r="C2354" s="1050" t="str">
        <f t="shared" si="207"/>
        <v>Maroc, Base Carbone</v>
      </c>
      <c r="D2354" s="1055">
        <f t="shared" si="208"/>
        <v>76</v>
      </c>
      <c r="E2354" s="1055" t="str">
        <f>IF(COUNTIF(E$2278:E2353,F2354)&gt;0,"",F2354)</f>
        <v>Maroc, Base Carbone</v>
      </c>
      <c r="F2354" s="1051" t="str">
        <f t="shared" si="205"/>
        <v>Maroc, Base Carbone</v>
      </c>
      <c r="G2354" s="1055" t="str">
        <f t="shared" si="206"/>
        <v>Maroc, Base Carbone; kgCO2e/kWh</v>
      </c>
      <c r="I2354" s="1100" t="s">
        <v>1133</v>
      </c>
      <c r="J2354" s="1048" t="s">
        <v>1681</v>
      </c>
      <c r="K2354" s="1119" t="s">
        <v>1567</v>
      </c>
      <c r="L2354" s="1048"/>
      <c r="M2354" s="1101">
        <v>0.1</v>
      </c>
      <c r="N2354" s="1048"/>
      <c r="O2354" s="1048">
        <v>0.71799999999999997</v>
      </c>
      <c r="P2354" s="1048"/>
      <c r="Q2354" s="1048"/>
      <c r="R2354" s="1158"/>
      <c r="S2354" s="1048"/>
      <c r="T2354" s="1048"/>
      <c r="U2354" s="1102"/>
    </row>
    <row r="2355" spans="2:21" hidden="1" outlineLevel="2">
      <c r="B2355" s="1050">
        <v>77</v>
      </c>
      <c r="C2355" s="1050" t="str">
        <f t="shared" si="207"/>
        <v>Mozambique, Base Carbone</v>
      </c>
      <c r="D2355" s="1055">
        <f t="shared" si="208"/>
        <v>77</v>
      </c>
      <c r="E2355" s="1055" t="str">
        <f>IF(COUNTIF(E$2278:E2354,F2355)&gt;0,"",F2355)</f>
        <v>Mozambique, Base Carbone</v>
      </c>
      <c r="F2355" s="1051" t="str">
        <f t="shared" si="205"/>
        <v>Mozambique, Base Carbone</v>
      </c>
      <c r="G2355" s="1055" t="str">
        <f t="shared" si="206"/>
        <v>Mozambique, Base Carbone; kgCO2e/kWh</v>
      </c>
      <c r="I2355" s="1100" t="s">
        <v>1138</v>
      </c>
      <c r="J2355" s="1048" t="s">
        <v>1681</v>
      </c>
      <c r="K2355" s="1119" t="s">
        <v>1567</v>
      </c>
      <c r="L2355" s="1048"/>
      <c r="M2355" s="1101">
        <v>0.1</v>
      </c>
      <c r="N2355" s="1048"/>
      <c r="O2355" s="1048">
        <v>6.4800000000000003E-4</v>
      </c>
      <c r="P2355" s="1048"/>
      <c r="Q2355" s="1048"/>
      <c r="R2355" s="1158"/>
      <c r="S2355" s="1048"/>
      <c r="T2355" s="1048"/>
      <c r="U2355" s="1102"/>
    </row>
    <row r="2356" spans="2:21" hidden="1" outlineLevel="2">
      <c r="B2356" s="1050">
        <v>78</v>
      </c>
      <c r="C2356" s="1050" t="str">
        <f t="shared" si="207"/>
        <v>Namibie, Base Carbone</v>
      </c>
      <c r="D2356" s="1055">
        <f t="shared" si="208"/>
        <v>78</v>
      </c>
      <c r="E2356" s="1055" t="str">
        <f>IF(COUNTIF(E$2278:E2355,F2356)&gt;0,"",F2356)</f>
        <v>Namibie, Base Carbone</v>
      </c>
      <c r="F2356" s="1051" t="str">
        <f t="shared" si="205"/>
        <v>Namibie, Base Carbone</v>
      </c>
      <c r="G2356" s="1055" t="str">
        <f t="shared" si="206"/>
        <v>Namibie, Base Carbone; kgCO2e/kWh</v>
      </c>
      <c r="I2356" s="1100" t="s">
        <v>1139</v>
      </c>
      <c r="J2356" s="1048" t="s">
        <v>1681</v>
      </c>
      <c r="K2356" s="1119" t="s">
        <v>1567</v>
      </c>
      <c r="L2356" s="1048"/>
      <c r="M2356" s="1101">
        <v>0.1</v>
      </c>
      <c r="N2356" s="1048"/>
      <c r="O2356" s="1048">
        <v>0.19700000000000001</v>
      </c>
      <c r="P2356" s="1048"/>
      <c r="Q2356" s="1048"/>
      <c r="R2356" s="1158"/>
      <c r="S2356" s="1048"/>
      <c r="T2356" s="1048"/>
      <c r="U2356" s="1102"/>
    </row>
    <row r="2357" spans="2:21" hidden="1" outlineLevel="2">
      <c r="B2357" s="1050">
        <v>79</v>
      </c>
      <c r="C2357" s="1050" t="str">
        <f t="shared" si="207"/>
        <v>Nigéria, Base Carbone</v>
      </c>
      <c r="D2357" s="1055">
        <f t="shared" si="208"/>
        <v>79</v>
      </c>
      <c r="E2357" s="1055" t="str">
        <f>IF(COUNTIF(E$2278:E2356,F2357)&gt;0,"",F2357)</f>
        <v>Nigéria, Base Carbone</v>
      </c>
      <c r="F2357" s="1051" t="str">
        <f t="shared" si="205"/>
        <v>Nigéria, Base Carbone</v>
      </c>
      <c r="G2357" s="1055" t="str">
        <f t="shared" si="206"/>
        <v>Nigéria, Base Carbone; kgCO2e/kWh</v>
      </c>
      <c r="I2357" s="1100" t="s">
        <v>1142</v>
      </c>
      <c r="J2357" s="1048" t="s">
        <v>1681</v>
      </c>
      <c r="K2357" s="1119" t="s">
        <v>1567</v>
      </c>
      <c r="L2357" s="1048"/>
      <c r="M2357" s="1101">
        <v>0.1</v>
      </c>
      <c r="N2357" s="1048"/>
      <c r="O2357" s="1048">
        <v>0.40500000000000003</v>
      </c>
      <c r="P2357" s="1048"/>
      <c r="Q2357" s="1048"/>
      <c r="R2357" s="1158"/>
      <c r="S2357" s="1048"/>
      <c r="T2357" s="1048"/>
      <c r="U2357" s="1102"/>
    </row>
    <row r="2358" spans="2:21" hidden="1" outlineLevel="2">
      <c r="B2358" s="1050">
        <v>80</v>
      </c>
      <c r="C2358" s="1050" t="str">
        <f t="shared" si="207"/>
        <v>Sénégal, Base Carbone</v>
      </c>
      <c r="D2358" s="1055">
        <f t="shared" si="208"/>
        <v>80</v>
      </c>
      <c r="E2358" s="1055" t="str">
        <f>IF(COUNTIF(E$2278:E2357,F2358)&gt;0,"",F2358)</f>
        <v>Sénégal, Base Carbone</v>
      </c>
      <c r="F2358" s="1051" t="str">
        <f t="shared" si="205"/>
        <v>Sénégal, Base Carbone</v>
      </c>
      <c r="G2358" s="1055" t="str">
        <f t="shared" si="206"/>
        <v>Sénégal, Base Carbone; kgCO2e/kWh</v>
      </c>
      <c r="I2358" s="1100" t="s">
        <v>1159</v>
      </c>
      <c r="J2358" s="1048" t="s">
        <v>1681</v>
      </c>
      <c r="K2358" s="1119" t="s">
        <v>1567</v>
      </c>
      <c r="L2358" s="1048"/>
      <c r="M2358" s="1101">
        <v>0.1</v>
      </c>
      <c r="N2358" s="1048"/>
      <c r="O2358" s="1048">
        <v>0.63700000000000001</v>
      </c>
      <c r="P2358" s="1048"/>
      <c r="Q2358" s="1048"/>
      <c r="R2358" s="1158"/>
      <c r="S2358" s="1048"/>
      <c r="T2358" s="1048"/>
      <c r="U2358" s="1102"/>
    </row>
    <row r="2359" spans="2:21" hidden="1" outlineLevel="2">
      <c r="B2359" s="1050">
        <v>81</v>
      </c>
      <c r="C2359" s="1050" t="str">
        <f t="shared" si="207"/>
        <v>Afrique du Sud, Base Carbone</v>
      </c>
      <c r="D2359" s="1055">
        <f t="shared" si="208"/>
        <v>81</v>
      </c>
      <c r="E2359" s="1055" t="str">
        <f>IF(COUNTIF(E$2278:E2358,F2359)&gt;0,"",F2359)</f>
        <v>Afrique du Sud, Base Carbone</v>
      </c>
      <c r="F2359" s="1051" t="str">
        <f t="shared" si="205"/>
        <v>Afrique du Sud, Base Carbone</v>
      </c>
      <c r="G2359" s="1055" t="str">
        <f t="shared" si="206"/>
        <v>Afrique du Sud, Base Carbone; kgCO2e/kWh</v>
      </c>
      <c r="I2359" s="1100" t="s">
        <v>1054</v>
      </c>
      <c r="J2359" s="1048" t="s">
        <v>1681</v>
      </c>
      <c r="K2359" s="1119" t="s">
        <v>1567</v>
      </c>
      <c r="L2359" s="1048"/>
      <c r="M2359" s="1101">
        <v>0.1</v>
      </c>
      <c r="N2359" s="1048"/>
      <c r="O2359" s="1048">
        <v>0.92700000000000005</v>
      </c>
      <c r="P2359" s="1048"/>
      <c r="Q2359" s="1048"/>
      <c r="R2359" s="1158"/>
      <c r="S2359" s="1048"/>
      <c r="T2359" s="1048"/>
      <c r="U2359" s="1102"/>
    </row>
    <row r="2360" spans="2:21" hidden="1" outlineLevel="2">
      <c r="B2360" s="1050">
        <v>82</v>
      </c>
      <c r="C2360" s="1050" t="str">
        <f t="shared" si="207"/>
        <v>Soudan, Base Carbone</v>
      </c>
      <c r="D2360" s="1055">
        <f t="shared" si="208"/>
        <v>82</v>
      </c>
      <c r="E2360" s="1055" t="str">
        <f>IF(COUNTIF(E$2278:E2359,F2360)&gt;0,"",F2360)</f>
        <v>Soudan, Base Carbone</v>
      </c>
      <c r="F2360" s="1051" t="str">
        <f t="shared" si="205"/>
        <v>Soudan, Base Carbone</v>
      </c>
      <c r="G2360" s="1055" t="str">
        <f t="shared" si="206"/>
        <v>Soudan, Base Carbone; kgCO2e/kWh</v>
      </c>
      <c r="I2360" s="1100" t="s">
        <v>1164</v>
      </c>
      <c r="J2360" s="1048" t="s">
        <v>1681</v>
      </c>
      <c r="K2360" s="1119" t="s">
        <v>1567</v>
      </c>
      <c r="L2360" s="1048"/>
      <c r="M2360" s="1101">
        <v>0.1</v>
      </c>
      <c r="N2360" s="1048"/>
      <c r="O2360" s="1048">
        <v>0.34399999999999997</v>
      </c>
      <c r="P2360" s="1048"/>
      <c r="Q2360" s="1048"/>
      <c r="R2360" s="1158"/>
      <c r="S2360" s="1048"/>
      <c r="T2360" s="1048"/>
      <c r="U2360" s="1102"/>
    </row>
    <row r="2361" spans="2:21" hidden="1" outlineLevel="2">
      <c r="B2361" s="1050">
        <v>83</v>
      </c>
      <c r="C2361" s="1050" t="str">
        <f t="shared" si="207"/>
        <v>Tanzanie, Base Carbone</v>
      </c>
      <c r="D2361" s="1055">
        <f t="shared" si="208"/>
        <v>83</v>
      </c>
      <c r="E2361" s="1055" t="str">
        <f>IF(COUNTIF(E$2278:E2360,F2361)&gt;0,"",F2361)</f>
        <v>Tanzanie, Base Carbone</v>
      </c>
      <c r="F2361" s="1051" t="str">
        <f t="shared" si="205"/>
        <v>Tanzanie, Base Carbone</v>
      </c>
      <c r="G2361" s="1055" t="str">
        <f t="shared" si="206"/>
        <v>Tanzanie, Base Carbone; kgCO2e/kWh</v>
      </c>
      <c r="I2361" s="1100" t="s">
        <v>1170</v>
      </c>
      <c r="J2361" s="1048" t="s">
        <v>1681</v>
      </c>
      <c r="K2361" s="1119" t="s">
        <v>1567</v>
      </c>
      <c r="L2361" s="1048"/>
      <c r="M2361" s="1101">
        <v>0.1</v>
      </c>
      <c r="N2361" s="1048"/>
      <c r="O2361" s="1048">
        <v>0.32900000000000001</v>
      </c>
      <c r="P2361" s="1048"/>
      <c r="Q2361" s="1048"/>
      <c r="R2361" s="1158"/>
      <c r="S2361" s="1048"/>
      <c r="T2361" s="1048"/>
      <c r="U2361" s="1102"/>
    </row>
    <row r="2362" spans="2:21" hidden="1" outlineLevel="2">
      <c r="B2362" s="1050">
        <v>84</v>
      </c>
      <c r="C2362" s="1050" t="str">
        <f t="shared" si="207"/>
        <v>Togo, Base Carbone</v>
      </c>
      <c r="D2362" s="1055">
        <f t="shared" si="208"/>
        <v>84</v>
      </c>
      <c r="E2362" s="1055" t="str">
        <f>IF(COUNTIF(E$2278:E2361,F2362)&gt;0,"",F2362)</f>
        <v>Togo, Base Carbone</v>
      </c>
      <c r="F2362" s="1051" t="str">
        <f t="shared" si="205"/>
        <v>Togo, Base Carbone</v>
      </c>
      <c r="G2362" s="1055" t="str">
        <f t="shared" si="206"/>
        <v>Togo, Base Carbone; kgCO2e/kWh</v>
      </c>
      <c r="I2362" s="1100" t="s">
        <v>1172</v>
      </c>
      <c r="J2362" s="1048" t="s">
        <v>1681</v>
      </c>
      <c r="K2362" s="1119" t="s">
        <v>1567</v>
      </c>
      <c r="L2362" s="1048"/>
      <c r="M2362" s="1101">
        <v>0.1</v>
      </c>
      <c r="N2362" s="1048"/>
      <c r="O2362" s="1048">
        <v>0.19500000000000001</v>
      </c>
      <c r="P2362" s="1048"/>
      <c r="Q2362" s="1048"/>
      <c r="R2362" s="1158"/>
      <c r="S2362" s="1048"/>
      <c r="T2362" s="1048"/>
      <c r="U2362" s="1102"/>
    </row>
    <row r="2363" spans="2:21" hidden="1" outlineLevel="2">
      <c r="B2363" s="1050">
        <v>85</v>
      </c>
      <c r="C2363" s="1050" t="str">
        <f t="shared" si="207"/>
        <v>Tunisie, Base Carbone</v>
      </c>
      <c r="D2363" s="1055">
        <f t="shared" si="208"/>
        <v>85</v>
      </c>
      <c r="E2363" s="1055" t="str">
        <f>IF(COUNTIF(E$2278:E2362,F2363)&gt;0,"",F2363)</f>
        <v>Tunisie, Base Carbone</v>
      </c>
      <c r="F2363" s="1051" t="str">
        <f t="shared" si="205"/>
        <v>Tunisie, Base Carbone</v>
      </c>
      <c r="G2363" s="1055" t="str">
        <f t="shared" si="206"/>
        <v>Tunisie, Base Carbone; kgCO2e/kWh</v>
      </c>
      <c r="I2363" s="1100" t="s">
        <v>1174</v>
      </c>
      <c r="J2363" s="1048" t="s">
        <v>1681</v>
      </c>
      <c r="K2363" s="1119" t="s">
        <v>1567</v>
      </c>
      <c r="L2363" s="1048"/>
      <c r="M2363" s="1101">
        <v>0.1</v>
      </c>
      <c r="N2363" s="1048"/>
      <c r="O2363" s="1048">
        <v>0.46300000000000002</v>
      </c>
      <c r="P2363" s="1048"/>
      <c r="Q2363" s="1048"/>
      <c r="R2363" s="1158"/>
      <c r="S2363" s="1048"/>
      <c r="T2363" s="1048"/>
      <c r="U2363" s="1102"/>
    </row>
    <row r="2364" spans="2:21" hidden="1" outlineLevel="2">
      <c r="B2364" s="1050">
        <v>86</v>
      </c>
      <c r="C2364" s="1050" t="str">
        <f t="shared" si="207"/>
        <v>Zambie, Base Carbone</v>
      </c>
      <c r="D2364" s="1055">
        <f t="shared" si="208"/>
        <v>86</v>
      </c>
      <c r="E2364" s="1055" t="str">
        <f>IF(COUNTIF(E$2278:E2363,F2364)&gt;0,"",F2364)</f>
        <v>Zambie, Base Carbone</v>
      </c>
      <c r="F2364" s="1051" t="str">
        <f t="shared" si="205"/>
        <v>Zambie, Base Carbone</v>
      </c>
      <c r="G2364" s="1055" t="str">
        <f t="shared" si="206"/>
        <v>Zambie, Base Carbone; kgCO2e/kWh</v>
      </c>
      <c r="I2364" s="1100" t="s">
        <v>1182</v>
      </c>
      <c r="J2364" s="1048" t="s">
        <v>1681</v>
      </c>
      <c r="K2364" s="1119" t="s">
        <v>1567</v>
      </c>
      <c r="L2364" s="1048"/>
      <c r="M2364" s="1101">
        <v>0.1</v>
      </c>
      <c r="N2364" s="1048"/>
      <c r="O2364" s="1048">
        <v>2.6800000000000001E-3</v>
      </c>
      <c r="P2364" s="1048"/>
      <c r="Q2364" s="1048"/>
      <c r="R2364" s="1158"/>
      <c r="S2364" s="1048"/>
      <c r="T2364" s="1048"/>
      <c r="U2364" s="1102"/>
    </row>
    <row r="2365" spans="2:21" hidden="1" outlineLevel="2">
      <c r="B2365" s="1050">
        <v>87</v>
      </c>
      <c r="C2365" s="1050" t="str">
        <f t="shared" si="207"/>
        <v>Zimbabwe, Base Carbone</v>
      </c>
      <c r="D2365" s="1055">
        <f t="shared" si="208"/>
        <v>87</v>
      </c>
      <c r="E2365" s="1055" t="str">
        <f>IF(COUNTIF(E$2278:E2364,F2365)&gt;0,"",F2365)</f>
        <v>Zimbabwe, Base Carbone</v>
      </c>
      <c r="F2365" s="1051" t="str">
        <f t="shared" si="205"/>
        <v>Zimbabwe, Base Carbone</v>
      </c>
      <c r="G2365" s="1055" t="str">
        <f t="shared" si="206"/>
        <v>Zimbabwe, Base Carbone; kgCO2e/kWh</v>
      </c>
      <c r="I2365" s="1100" t="s">
        <v>1183</v>
      </c>
      <c r="J2365" s="1048" t="s">
        <v>1681</v>
      </c>
      <c r="K2365" s="1119" t="s">
        <v>1567</v>
      </c>
      <c r="L2365" s="1048"/>
      <c r="M2365" s="1101">
        <v>0.1</v>
      </c>
      <c r="N2365" s="1048"/>
      <c r="O2365" s="1048">
        <v>0.66</v>
      </c>
      <c r="P2365" s="1048"/>
      <c r="Q2365" s="1048"/>
      <c r="R2365" s="1158"/>
      <c r="S2365" s="1048"/>
      <c r="T2365" s="1048"/>
      <c r="U2365" s="1102"/>
    </row>
    <row r="2366" spans="2:21" hidden="1" outlineLevel="2">
      <c r="B2366" s="1050">
        <v>88</v>
      </c>
      <c r="C2366" s="1050" t="str">
        <f t="shared" si="207"/>
        <v>Bangladesh, Base Carbone</v>
      </c>
      <c r="D2366" s="1055">
        <f t="shared" si="208"/>
        <v>88</v>
      </c>
      <c r="E2366" s="1055" t="str">
        <f>IF(COUNTIF(E$2278:E2365,F2366)&gt;0,"",F2366)</f>
        <v>Bangladesh, Base Carbone</v>
      </c>
      <c r="F2366" s="1051" t="str">
        <f t="shared" si="205"/>
        <v>Bangladesh, Base Carbone</v>
      </c>
      <c r="G2366" s="1055" t="str">
        <f t="shared" si="206"/>
        <v>Bangladesh, Base Carbone; kgCO2e/kWh</v>
      </c>
      <c r="I2366" s="1100" t="s">
        <v>1067</v>
      </c>
      <c r="J2366" s="1048" t="s">
        <v>1681</v>
      </c>
      <c r="K2366" s="1119" t="s">
        <v>1567</v>
      </c>
      <c r="L2366" s="1048"/>
      <c r="M2366" s="1101">
        <v>0.1</v>
      </c>
      <c r="N2366" s="1048"/>
      <c r="O2366" s="1048">
        <v>0.59299999999999997</v>
      </c>
      <c r="P2366" s="1048"/>
      <c r="Q2366" s="1048"/>
      <c r="R2366" s="1158"/>
      <c r="S2366" s="1048"/>
      <c r="T2366" s="1048"/>
      <c r="U2366" s="1102"/>
    </row>
    <row r="2367" spans="2:21" hidden="1" outlineLevel="2">
      <c r="B2367" s="1050">
        <v>89</v>
      </c>
      <c r="C2367" s="1050" t="str">
        <f t="shared" si="207"/>
        <v>Brunéi Darussalam, Base Carbone</v>
      </c>
      <c r="D2367" s="1055">
        <f t="shared" si="208"/>
        <v>89</v>
      </c>
      <c r="E2367" s="1055" t="str">
        <f>IF(COUNTIF(E$2278:E2366,F2367)&gt;0,"",F2367)</f>
        <v>Brunéi Darussalam, Base Carbone</v>
      </c>
      <c r="F2367" s="1051" t="str">
        <f t="shared" si="205"/>
        <v>Brunéi Darussalam, Base Carbone</v>
      </c>
      <c r="G2367" s="1055" t="str">
        <f t="shared" si="206"/>
        <v>Brunéi Darussalam, Base Carbone; kgCO2e/kWh</v>
      </c>
      <c r="I2367" s="1100" t="s">
        <v>1076</v>
      </c>
      <c r="J2367" s="1048" t="s">
        <v>1681</v>
      </c>
      <c r="K2367" s="1119" t="s">
        <v>1567</v>
      </c>
      <c r="L2367" s="1048"/>
      <c r="M2367" s="1101">
        <v>0.1</v>
      </c>
      <c r="N2367" s="1048"/>
      <c r="O2367" s="1048">
        <v>0.71699999999999997</v>
      </c>
      <c r="P2367" s="1048"/>
      <c r="Q2367" s="1048"/>
      <c r="R2367" s="1158"/>
      <c r="S2367" s="1048"/>
      <c r="T2367" s="1048"/>
      <c r="U2367" s="1102"/>
    </row>
    <row r="2368" spans="2:21" hidden="1" outlineLevel="2">
      <c r="B2368" s="1050">
        <v>90</v>
      </c>
      <c r="C2368" s="1050" t="str">
        <f t="shared" si="207"/>
        <v>Cambodge, Base Carbone</v>
      </c>
      <c r="D2368" s="1055">
        <f t="shared" si="208"/>
        <v>90</v>
      </c>
      <c r="E2368" s="1055" t="str">
        <f>IF(COUNTIF(E$2278:E2367,F2368)&gt;0,"",F2368)</f>
        <v>Cambodge, Base Carbone</v>
      </c>
      <c r="F2368" s="1051" t="str">
        <f t="shared" si="205"/>
        <v>Cambodge, Base Carbone</v>
      </c>
      <c r="G2368" s="1055" t="str">
        <f t="shared" si="206"/>
        <v>Cambodge, Base Carbone; kgCO2e/kWh</v>
      </c>
      <c r="I2368" s="1100" t="s">
        <v>1078</v>
      </c>
      <c r="J2368" s="1048" t="s">
        <v>1681</v>
      </c>
      <c r="K2368" s="1119" t="s">
        <v>1567</v>
      </c>
      <c r="L2368" s="1048"/>
      <c r="M2368" s="1101">
        <v>0.1</v>
      </c>
      <c r="N2368" s="1048"/>
      <c r="O2368" s="1048">
        <v>0.80400000000000005</v>
      </c>
      <c r="P2368" s="1048"/>
      <c r="Q2368" s="1048"/>
      <c r="R2368" s="1158"/>
      <c r="S2368" s="1048"/>
      <c r="T2368" s="1048"/>
      <c r="U2368" s="1102"/>
    </row>
    <row r="2369" spans="2:21" hidden="1" outlineLevel="2">
      <c r="B2369" s="1050">
        <v>91</v>
      </c>
      <c r="C2369" s="1050" t="str">
        <f t="shared" si="207"/>
        <v>Taïwan, Base Carbone</v>
      </c>
      <c r="D2369" s="1055">
        <f t="shared" si="208"/>
        <v>91</v>
      </c>
      <c r="E2369" s="1055" t="str">
        <f>IF(COUNTIF(E$2278:E2368,F2369)&gt;0,"",F2369)</f>
        <v>Taïwan, Base Carbone</v>
      </c>
      <c r="F2369" s="1051" t="str">
        <f t="shared" si="205"/>
        <v>Taïwan, Base Carbone</v>
      </c>
      <c r="G2369" s="1055" t="str">
        <f t="shared" si="206"/>
        <v>Taïwan, Base Carbone; kgCO2e/kWh</v>
      </c>
      <c r="I2369" s="1100" t="s">
        <v>1169</v>
      </c>
      <c r="J2369" s="1048" t="s">
        <v>1681</v>
      </c>
      <c r="K2369" s="1119" t="s">
        <v>1567</v>
      </c>
      <c r="L2369" s="1048"/>
      <c r="M2369" s="1101">
        <v>0.1</v>
      </c>
      <c r="N2369" s="1048"/>
      <c r="O2369" s="1048">
        <v>0.624</v>
      </c>
      <c r="P2369" s="1048"/>
      <c r="Q2369" s="1048"/>
      <c r="R2369" s="1158"/>
      <c r="S2369" s="1048"/>
      <c r="T2369" s="1048"/>
      <c r="U2369" s="1102"/>
    </row>
    <row r="2370" spans="2:21" hidden="1" outlineLevel="2">
      <c r="B2370" s="1050">
        <v>92</v>
      </c>
      <c r="C2370" s="1050" t="str">
        <f t="shared" si="207"/>
        <v>Inde, Base Carbone</v>
      </c>
      <c r="D2370" s="1055">
        <f t="shared" si="208"/>
        <v>92</v>
      </c>
      <c r="E2370" s="1055" t="str">
        <f>IF(COUNTIF(E$2278:E2369,F2370)&gt;0,"",F2370)</f>
        <v>Inde, Base Carbone</v>
      </c>
      <c r="F2370" s="1051" t="str">
        <f t="shared" si="205"/>
        <v>Inde, Base Carbone</v>
      </c>
      <c r="G2370" s="1055" t="str">
        <f t="shared" si="206"/>
        <v>Inde, Base Carbone; kgCO2e/kWh</v>
      </c>
      <c r="I2370" s="1100" t="s">
        <v>1110</v>
      </c>
      <c r="J2370" s="1048" t="s">
        <v>1681</v>
      </c>
      <c r="K2370" s="1119" t="s">
        <v>1567</v>
      </c>
      <c r="L2370" s="1048"/>
      <c r="M2370" s="1101">
        <v>0.1</v>
      </c>
      <c r="N2370" s="1048"/>
      <c r="O2370" s="1048">
        <v>0.91200000000000003</v>
      </c>
      <c r="P2370" s="1048"/>
      <c r="Q2370" s="1048"/>
      <c r="R2370" s="1158"/>
      <c r="S2370" s="1048"/>
      <c r="T2370" s="1048"/>
      <c r="U2370" s="1102"/>
    </row>
    <row r="2371" spans="2:21" hidden="1" outlineLevel="2">
      <c r="B2371" s="1050">
        <v>93</v>
      </c>
      <c r="C2371" s="1050" t="str">
        <f t="shared" si="207"/>
        <v>Indonésie, Base Carbone</v>
      </c>
      <c r="D2371" s="1055">
        <f t="shared" si="208"/>
        <v>93</v>
      </c>
      <c r="E2371" s="1055" t="str">
        <f>IF(COUNTIF(E$2278:E2370,F2371)&gt;0,"",F2371)</f>
        <v>Indonésie, Base Carbone</v>
      </c>
      <c r="F2371" s="1051" t="str">
        <f t="shared" si="205"/>
        <v>Indonésie, Base Carbone</v>
      </c>
      <c r="G2371" s="1055" t="str">
        <f t="shared" si="206"/>
        <v>Indonésie, Base Carbone; kgCO2e/kWh</v>
      </c>
      <c r="I2371" s="1100" t="s">
        <v>1111</v>
      </c>
      <c r="J2371" s="1048" t="s">
        <v>1681</v>
      </c>
      <c r="K2371" s="1119" t="s">
        <v>1567</v>
      </c>
      <c r="L2371" s="1048"/>
      <c r="M2371" s="1101">
        <v>0.1</v>
      </c>
      <c r="N2371" s="1048"/>
      <c r="O2371" s="1048">
        <v>0.70899999999999996</v>
      </c>
      <c r="P2371" s="1048"/>
      <c r="Q2371" s="1048"/>
      <c r="R2371" s="1158"/>
      <c r="S2371" s="1048"/>
      <c r="T2371" s="1048"/>
      <c r="U2371" s="1102"/>
    </row>
    <row r="2372" spans="2:21" hidden="1" outlineLevel="2">
      <c r="B2372" s="1050">
        <v>94</v>
      </c>
      <c r="C2372" s="1050" t="str">
        <f t="shared" si="207"/>
        <v>Corée du nord, Base Carbone</v>
      </c>
      <c r="D2372" s="1055">
        <f t="shared" si="208"/>
        <v>94</v>
      </c>
      <c r="E2372" s="1055" t="str">
        <f>IF(COUNTIF(E$2278:E2371,F2372)&gt;0,"",F2372)</f>
        <v>Corée du nord, Base Carbone</v>
      </c>
      <c r="F2372" s="1051" t="str">
        <f t="shared" si="205"/>
        <v>Corée du nord, Base Carbone</v>
      </c>
      <c r="G2372" s="1055" t="str">
        <f t="shared" si="206"/>
        <v>Corée du nord, Base Carbone; kgCO2e/kWh</v>
      </c>
      <c r="I2372" s="1100" t="s">
        <v>1780</v>
      </c>
      <c r="J2372" s="1048" t="s">
        <v>1681</v>
      </c>
      <c r="K2372" s="1119" t="s">
        <v>1567</v>
      </c>
      <c r="L2372" s="1048"/>
      <c r="M2372" s="1101">
        <v>0.1</v>
      </c>
      <c r="N2372" s="1048"/>
      <c r="O2372" s="1048">
        <v>0.46500000000000002</v>
      </c>
      <c r="P2372" s="1048"/>
      <c r="Q2372" s="1048"/>
      <c r="R2372" s="1158"/>
      <c r="S2372" s="1048"/>
      <c r="T2372" s="1048"/>
      <c r="U2372" s="1102"/>
    </row>
    <row r="2373" spans="2:21" hidden="1" outlineLevel="2">
      <c r="B2373" s="1050">
        <v>95</v>
      </c>
      <c r="C2373" s="1050" t="str">
        <f t="shared" si="207"/>
        <v>Malaisie, Base Carbone</v>
      </c>
      <c r="D2373" s="1055">
        <f t="shared" si="208"/>
        <v>95</v>
      </c>
      <c r="E2373" s="1055" t="str">
        <f>IF(COUNTIF(E$2278:E2372,F2373)&gt;0,"",F2373)</f>
        <v>Malaisie, Base Carbone</v>
      </c>
      <c r="F2373" s="1051" t="str">
        <f t="shared" si="205"/>
        <v>Malaisie, Base Carbone</v>
      </c>
      <c r="G2373" s="1055" t="str">
        <f t="shared" si="206"/>
        <v>Malaisie, Base Carbone; kgCO2e/kWh</v>
      </c>
      <c r="I2373" s="1100" t="s">
        <v>1131</v>
      </c>
      <c r="J2373" s="1048" t="s">
        <v>1681</v>
      </c>
      <c r="K2373" s="1119" t="s">
        <v>1567</v>
      </c>
      <c r="L2373" s="1048"/>
      <c r="M2373" s="1101">
        <v>0.1</v>
      </c>
      <c r="N2373" s="1048"/>
      <c r="O2373" s="1048">
        <v>0.72699999999999998</v>
      </c>
      <c r="P2373" s="1048"/>
      <c r="Q2373" s="1048"/>
      <c r="R2373" s="1158"/>
      <c r="S2373" s="1048"/>
      <c r="T2373" s="1048"/>
      <c r="U2373" s="1102"/>
    </row>
    <row r="2374" spans="2:21" hidden="1" outlineLevel="2">
      <c r="B2374" s="1050">
        <v>96</v>
      </c>
      <c r="C2374" s="1050" t="str">
        <f t="shared" si="207"/>
        <v>Mongolie, Base Carbone</v>
      </c>
      <c r="D2374" s="1055">
        <f t="shared" si="208"/>
        <v>96</v>
      </c>
      <c r="E2374" s="1055" t="str">
        <f>IF(COUNTIF(E$2278:E2373,F2374)&gt;0,"",F2374)</f>
        <v>Mongolie, Base Carbone</v>
      </c>
      <c r="F2374" s="1051" t="str">
        <f t="shared" si="205"/>
        <v>Mongolie, Base Carbone</v>
      </c>
      <c r="G2374" s="1055" t="str">
        <f t="shared" si="206"/>
        <v>Mongolie, Base Carbone; kgCO2e/kWh</v>
      </c>
      <c r="I2374" s="1100" t="s">
        <v>1136</v>
      </c>
      <c r="J2374" s="1048" t="s">
        <v>1681</v>
      </c>
      <c r="K2374" s="1119" t="s">
        <v>1567</v>
      </c>
      <c r="L2374" s="1048"/>
      <c r="M2374" s="1101">
        <v>0.1</v>
      </c>
      <c r="N2374" s="1048"/>
      <c r="O2374" s="1048">
        <v>0.94899999999999995</v>
      </c>
      <c r="P2374" s="1048"/>
      <c r="Q2374" s="1048"/>
      <c r="R2374" s="1158"/>
      <c r="S2374" s="1048"/>
      <c r="T2374" s="1048"/>
      <c r="U2374" s="1102"/>
    </row>
    <row r="2375" spans="2:21" hidden="1" outlineLevel="2">
      <c r="B2375" s="1050">
        <v>97</v>
      </c>
      <c r="C2375" s="1050" t="str">
        <f t="shared" si="207"/>
        <v>Birmanie, Base Carbone</v>
      </c>
      <c r="D2375" s="1055">
        <f t="shared" si="208"/>
        <v>97</v>
      </c>
      <c r="E2375" s="1055" t="str">
        <f>IF(COUNTIF(E$2278:E2374,F2375)&gt;0,"",F2375)</f>
        <v>Birmanie, Base Carbone</v>
      </c>
      <c r="F2375" s="1051" t="str">
        <f t="shared" si="205"/>
        <v>Birmanie, Base Carbone</v>
      </c>
      <c r="G2375" s="1055" t="str">
        <f t="shared" si="206"/>
        <v>Birmanie, Base Carbone; kgCO2e/kWh</v>
      </c>
      <c r="I2375" s="1100" t="s">
        <v>1071</v>
      </c>
      <c r="J2375" s="1048" t="s">
        <v>1681</v>
      </c>
      <c r="K2375" s="1119" t="s">
        <v>1567</v>
      </c>
      <c r="L2375" s="1048"/>
      <c r="M2375" s="1101">
        <v>0.1</v>
      </c>
      <c r="N2375" s="1048"/>
      <c r="O2375" s="1048">
        <v>0.26200000000000001</v>
      </c>
      <c r="P2375" s="1048"/>
      <c r="Q2375" s="1048"/>
      <c r="R2375" s="1158"/>
      <c r="S2375" s="1048"/>
      <c r="T2375" s="1048"/>
      <c r="U2375" s="1102"/>
    </row>
    <row r="2376" spans="2:21" hidden="1" outlineLevel="2">
      <c r="B2376" s="1050">
        <v>98</v>
      </c>
      <c r="C2376" s="1050" t="str">
        <f t="shared" si="207"/>
        <v>Népal, Base Carbone</v>
      </c>
      <c r="D2376" s="1055">
        <f t="shared" si="208"/>
        <v>98</v>
      </c>
      <c r="E2376" s="1055" t="str">
        <f>IF(COUNTIF(E$2278:E2375,F2376)&gt;0,"",F2376)</f>
        <v>Népal, Base Carbone</v>
      </c>
      <c r="F2376" s="1051" t="str">
        <f t="shared" si="205"/>
        <v>Népal, Base Carbone</v>
      </c>
      <c r="G2376" s="1055" t="str">
        <f t="shared" si="206"/>
        <v>Népal, Base Carbone; kgCO2e/kWh</v>
      </c>
      <c r="I2376" s="1100" t="s">
        <v>1140</v>
      </c>
      <c r="J2376" s="1048" t="s">
        <v>1681</v>
      </c>
      <c r="K2376" s="1119" t="s">
        <v>1567</v>
      </c>
      <c r="L2376" s="1048"/>
      <c r="M2376" s="1101">
        <v>0.1</v>
      </c>
      <c r="N2376" s="1048"/>
      <c r="O2376" s="1048">
        <v>1.06E-3</v>
      </c>
      <c r="P2376" s="1048"/>
      <c r="Q2376" s="1048"/>
      <c r="R2376" s="1158"/>
      <c r="S2376" s="1048"/>
      <c r="T2376" s="1048"/>
      <c r="U2376" s="1102"/>
    </row>
    <row r="2377" spans="2:21" hidden="1" outlineLevel="2">
      <c r="B2377" s="1050">
        <v>99</v>
      </c>
      <c r="C2377" s="1050" t="str">
        <f t="shared" si="207"/>
        <v>Pakistan, Base Carbone</v>
      </c>
      <c r="D2377" s="1055">
        <f t="shared" si="208"/>
        <v>99</v>
      </c>
      <c r="E2377" s="1055" t="str">
        <f>IF(COUNTIF(E$2278:E2376,F2377)&gt;0,"",F2377)</f>
        <v>Pakistan, Base Carbone</v>
      </c>
      <c r="F2377" s="1051" t="str">
        <f t="shared" si="205"/>
        <v>Pakistan, Base Carbone</v>
      </c>
      <c r="G2377" s="1055" t="str">
        <f t="shared" si="206"/>
        <v>Pakistan, Base Carbone; kgCO2e/kWh</v>
      </c>
      <c r="I2377" s="1100" t="s">
        <v>1147</v>
      </c>
      <c r="J2377" s="1048" t="s">
        <v>1681</v>
      </c>
      <c r="K2377" s="1119" t="s">
        <v>1567</v>
      </c>
      <c r="L2377" s="1048"/>
      <c r="M2377" s="1101">
        <v>0.1</v>
      </c>
      <c r="N2377" s="1048"/>
      <c r="O2377" s="1048">
        <v>0.42499999999999999</v>
      </c>
      <c r="P2377" s="1048"/>
      <c r="Q2377" s="1048"/>
      <c r="R2377" s="1158"/>
      <c r="S2377" s="1048"/>
      <c r="T2377" s="1048"/>
      <c r="U2377" s="1102"/>
    </row>
    <row r="2378" spans="2:21" hidden="1" outlineLevel="2">
      <c r="B2378" s="1050">
        <v>100</v>
      </c>
      <c r="C2378" s="1050" t="str">
        <f t="shared" si="207"/>
        <v>Philippines, Base Carbone</v>
      </c>
      <c r="D2378" s="1055">
        <f t="shared" si="208"/>
        <v>100</v>
      </c>
      <c r="E2378" s="1055" t="str">
        <f>IF(COUNTIF(E$2278:E2377,F2378)&gt;0,"",F2378)</f>
        <v>Philippines, Base Carbone</v>
      </c>
      <c r="F2378" s="1051" t="str">
        <f t="shared" si="205"/>
        <v>Philippines, Base Carbone</v>
      </c>
      <c r="G2378" s="1055" t="str">
        <f t="shared" si="206"/>
        <v>Philippines, Base Carbone; kgCO2e/kWh</v>
      </c>
      <c r="I2378" s="1100" t="s">
        <v>1151</v>
      </c>
      <c r="J2378" s="1048" t="s">
        <v>1681</v>
      </c>
      <c r="K2378" s="1119" t="s">
        <v>1567</v>
      </c>
      <c r="L2378" s="1048"/>
      <c r="M2378" s="1101">
        <v>0.1</v>
      </c>
      <c r="N2378" s="1048"/>
      <c r="O2378" s="1048">
        <v>0.48099999999999998</v>
      </c>
      <c r="P2378" s="1048"/>
      <c r="Q2378" s="1048"/>
      <c r="R2378" s="1158"/>
      <c r="S2378" s="1048"/>
      <c r="T2378" s="1048"/>
      <c r="U2378" s="1102"/>
    </row>
    <row r="2379" spans="2:21" hidden="1" outlineLevel="2">
      <c r="B2379" s="1050">
        <v>101</v>
      </c>
      <c r="C2379" s="1050" t="str">
        <f t="shared" si="207"/>
        <v>Singapour, Base Carbone</v>
      </c>
      <c r="D2379" s="1055">
        <f t="shared" si="208"/>
        <v>101</v>
      </c>
      <c r="E2379" s="1055" t="str">
        <f>IF(COUNTIF(E$2278:E2378,F2379)&gt;0,"",F2379)</f>
        <v>Singapour, Base Carbone</v>
      </c>
      <c r="F2379" s="1051" t="str">
        <f t="shared" si="205"/>
        <v>Singapour, Base Carbone</v>
      </c>
      <c r="G2379" s="1055" t="str">
        <f t="shared" si="206"/>
        <v>Singapour, Base Carbone; kgCO2e/kWh</v>
      </c>
      <c r="I2379" s="1100" t="s">
        <v>1161</v>
      </c>
      <c r="J2379" s="1048" t="s">
        <v>1681</v>
      </c>
      <c r="K2379" s="1119" t="s">
        <v>1567</v>
      </c>
      <c r="L2379" s="1048"/>
      <c r="M2379" s="1101">
        <v>0.1</v>
      </c>
      <c r="N2379" s="1048"/>
      <c r="O2379" s="1048">
        <v>0.499</v>
      </c>
      <c r="P2379" s="1048"/>
      <c r="Q2379" s="1048"/>
      <c r="R2379" s="1158"/>
      <c r="S2379" s="1048"/>
      <c r="T2379" s="1048"/>
      <c r="U2379" s="1102"/>
    </row>
    <row r="2380" spans="2:21" hidden="1" outlineLevel="2">
      <c r="B2380" s="1050">
        <v>102</v>
      </c>
      <c r="C2380" s="1050" t="str">
        <f t="shared" si="207"/>
        <v>Sri Lanka, Base Carbone</v>
      </c>
      <c r="D2380" s="1055">
        <f t="shared" si="208"/>
        <v>102</v>
      </c>
      <c r="E2380" s="1055" t="str">
        <f>IF(COUNTIF(E$2278:E2379,F2380)&gt;0,"",F2380)</f>
        <v>Sri Lanka, Base Carbone</v>
      </c>
      <c r="F2380" s="1051" t="str">
        <f t="shared" si="205"/>
        <v>Sri Lanka, Base Carbone</v>
      </c>
      <c r="G2380" s="1055" t="str">
        <f t="shared" si="206"/>
        <v>Sri Lanka, Base Carbone; kgCO2e/kWh</v>
      </c>
      <c r="I2380" s="1100" t="s">
        <v>1165</v>
      </c>
      <c r="J2380" s="1048" t="s">
        <v>1681</v>
      </c>
      <c r="K2380" s="1119" t="s">
        <v>1567</v>
      </c>
      <c r="L2380" s="1048"/>
      <c r="M2380" s="1101">
        <v>0.1</v>
      </c>
      <c r="N2380" s="1048"/>
      <c r="O2380" s="1048">
        <v>0.379</v>
      </c>
      <c r="P2380" s="1048"/>
      <c r="Q2380" s="1048"/>
      <c r="R2380" s="1158"/>
      <c r="S2380" s="1048"/>
      <c r="T2380" s="1048"/>
      <c r="U2380" s="1102"/>
    </row>
    <row r="2381" spans="2:21" hidden="1" outlineLevel="2">
      <c r="B2381" s="1050">
        <v>103</v>
      </c>
      <c r="C2381" s="1050" t="str">
        <f t="shared" si="207"/>
        <v>Thaïlande, Base Carbone</v>
      </c>
      <c r="D2381" s="1055">
        <f t="shared" si="208"/>
        <v>103</v>
      </c>
      <c r="E2381" s="1055" t="str">
        <f>IF(COUNTIF(E$2278:E2380,F2381)&gt;0,"",F2381)</f>
        <v>Thaïlande, Base Carbone</v>
      </c>
      <c r="F2381" s="1051" t="str">
        <f t="shared" si="205"/>
        <v>Thaïlande, Base Carbone</v>
      </c>
      <c r="G2381" s="1055" t="str">
        <f t="shared" si="206"/>
        <v>Thaïlande, Base Carbone; kgCO2e/kWh</v>
      </c>
      <c r="I2381" s="1100" t="s">
        <v>1171</v>
      </c>
      <c r="J2381" s="1048" t="s">
        <v>1681</v>
      </c>
      <c r="K2381" s="1119" t="s">
        <v>1567</v>
      </c>
      <c r="L2381" s="1048"/>
      <c r="M2381" s="1101">
        <v>0.1</v>
      </c>
      <c r="N2381" s="1048"/>
      <c r="O2381" s="1048">
        <v>0.51300000000000001</v>
      </c>
      <c r="P2381" s="1048"/>
      <c r="Q2381" s="1048"/>
      <c r="R2381" s="1158"/>
      <c r="S2381" s="1048"/>
      <c r="T2381" s="1048"/>
      <c r="U2381" s="1102"/>
    </row>
    <row r="2382" spans="2:21" hidden="1" outlineLevel="2">
      <c r="B2382" s="1050">
        <v>104</v>
      </c>
      <c r="C2382" s="1050" t="str">
        <f t="shared" si="207"/>
        <v>Viêt Nam, Base Carbone</v>
      </c>
      <c r="D2382" s="1055">
        <f t="shared" si="208"/>
        <v>104</v>
      </c>
      <c r="E2382" s="1055" t="str">
        <f>IF(COUNTIF(E$2278:E2381,F2382)&gt;0,"",F2382)</f>
        <v>Viêt Nam, Base Carbone</v>
      </c>
      <c r="F2382" s="1051" t="str">
        <f t="shared" si="205"/>
        <v>Viêt Nam, Base Carbone</v>
      </c>
      <c r="G2382" s="1055" t="str">
        <f t="shared" si="206"/>
        <v>Viêt Nam, Base Carbone; kgCO2e/kWh</v>
      </c>
      <c r="I2382" s="1100" t="s">
        <v>1180</v>
      </c>
      <c r="J2382" s="1048" t="s">
        <v>1681</v>
      </c>
      <c r="K2382" s="1119" t="s">
        <v>1567</v>
      </c>
      <c r="L2382" s="1048"/>
      <c r="M2382" s="1101">
        <v>0.1</v>
      </c>
      <c r="N2382" s="1048"/>
      <c r="O2382" s="1048">
        <v>0.432</v>
      </c>
      <c r="P2382" s="1048"/>
      <c r="Q2382" s="1048"/>
      <c r="R2382" s="1158"/>
      <c r="S2382" s="1048"/>
      <c r="T2382" s="1048"/>
      <c r="U2382" s="1102"/>
    </row>
    <row r="2383" spans="2:21" hidden="1" outlineLevel="2">
      <c r="B2383" s="1050">
        <v>105</v>
      </c>
      <c r="C2383" s="1050" t="str">
        <f t="shared" si="207"/>
        <v>Chine, Base Carbone</v>
      </c>
      <c r="D2383" s="1055">
        <f t="shared" si="208"/>
        <v>105</v>
      </c>
      <c r="E2383" s="1055" t="str">
        <f>IF(COUNTIF(E$2278:E2382,F2383)&gt;0,"",F2383)</f>
        <v>Chine, Base Carbone</v>
      </c>
      <c r="F2383" s="1051" t="str">
        <f t="shared" si="205"/>
        <v>Chine, Base Carbone</v>
      </c>
      <c r="G2383" s="1055" t="str">
        <f t="shared" si="206"/>
        <v>Chine, Base Carbone; kgCO2e/kWh</v>
      </c>
      <c r="I2383" s="1100" t="s">
        <v>1082</v>
      </c>
      <c r="J2383" s="1048" t="s">
        <v>1681</v>
      </c>
      <c r="K2383" s="1119" t="s">
        <v>1567</v>
      </c>
      <c r="L2383" s="1048"/>
      <c r="M2383" s="1101">
        <v>0.1</v>
      </c>
      <c r="N2383" s="1048"/>
      <c r="O2383" s="1048">
        <v>0.76600000000000001</v>
      </c>
      <c r="P2383" s="1048"/>
      <c r="Q2383" s="1048"/>
      <c r="R2383" s="1158"/>
      <c r="S2383" s="1048"/>
      <c r="T2383" s="1048"/>
      <c r="U2383" s="1102"/>
    </row>
    <row r="2384" spans="2:21" hidden="1" outlineLevel="2">
      <c r="B2384" s="1050">
        <v>106</v>
      </c>
      <c r="C2384" s="1050" t="str">
        <f t="shared" si="207"/>
        <v>Argentine, Base Carbone</v>
      </c>
      <c r="D2384" s="1055">
        <f t="shared" si="208"/>
        <v>106</v>
      </c>
      <c r="E2384" s="1055" t="str">
        <f>IF(COUNTIF(E$2278:E2383,F2384)&gt;0,"",F2384)</f>
        <v>Argentine, Base Carbone</v>
      </c>
      <c r="F2384" s="1051" t="str">
        <f t="shared" si="205"/>
        <v>Argentine, Base Carbone</v>
      </c>
      <c r="G2384" s="1055" t="str">
        <f t="shared" si="206"/>
        <v>Argentine, Base Carbone; kgCO2e/kWh</v>
      </c>
      <c r="I2384" s="1100" t="s">
        <v>1061</v>
      </c>
      <c r="J2384" s="1048" t="s">
        <v>1681</v>
      </c>
      <c r="K2384" s="1119" t="s">
        <v>1567</v>
      </c>
      <c r="L2384" s="1048"/>
      <c r="M2384" s="1101">
        <v>0.1</v>
      </c>
      <c r="N2384" s="1048"/>
      <c r="O2384" s="1048">
        <v>0.36699999999999999</v>
      </c>
      <c r="P2384" s="1048"/>
      <c r="Q2384" s="1048"/>
      <c r="R2384" s="1158"/>
      <c r="S2384" s="1048"/>
      <c r="T2384" s="1048"/>
      <c r="U2384" s="1102"/>
    </row>
    <row r="2385" spans="2:21" hidden="1" outlineLevel="2">
      <c r="B2385" s="1050">
        <v>107</v>
      </c>
      <c r="C2385" s="1050" t="str">
        <f t="shared" si="207"/>
        <v>Bolivie, Base Carbone</v>
      </c>
      <c r="D2385" s="1055">
        <f t="shared" si="208"/>
        <v>107</v>
      </c>
      <c r="E2385" s="1055" t="str">
        <f>IF(COUNTIF(E$2278:E2384,F2385)&gt;0,"",F2385)</f>
        <v>Bolivie, Base Carbone</v>
      </c>
      <c r="F2385" s="1051" t="str">
        <f t="shared" si="205"/>
        <v>Bolivie, Base Carbone</v>
      </c>
      <c r="G2385" s="1055" t="str">
        <f t="shared" si="206"/>
        <v>Bolivie, Base Carbone; kgCO2e/kWh</v>
      </c>
      <c r="I2385" s="1100" t="s">
        <v>1072</v>
      </c>
      <c r="J2385" s="1048" t="s">
        <v>1681</v>
      </c>
      <c r="K2385" s="1119" t="s">
        <v>1567</v>
      </c>
      <c r="L2385" s="1048"/>
      <c r="M2385" s="1101">
        <v>0.1</v>
      </c>
      <c r="N2385" s="1048"/>
      <c r="O2385" s="1048">
        <v>0.42299999999999999</v>
      </c>
      <c r="P2385" s="1048"/>
      <c r="Q2385" s="1048"/>
      <c r="R2385" s="1158"/>
      <c r="S2385" s="1048"/>
      <c r="T2385" s="1048"/>
      <c r="U2385" s="1102"/>
    </row>
    <row r="2386" spans="2:21" hidden="1" outlineLevel="2">
      <c r="B2386" s="1050">
        <v>108</v>
      </c>
      <c r="C2386" s="1050" t="str">
        <f t="shared" si="207"/>
        <v>Brésil, Base Carbone</v>
      </c>
      <c r="D2386" s="1055">
        <f t="shared" si="208"/>
        <v>108</v>
      </c>
      <c r="E2386" s="1055" t="str">
        <f>IF(COUNTIF(E$2278:E2385,F2386)&gt;0,"",F2386)</f>
        <v>Brésil, Base Carbone</v>
      </c>
      <c r="F2386" s="1051" t="str">
        <f t="shared" si="205"/>
        <v>Brésil, Base Carbone</v>
      </c>
      <c r="G2386" s="1055" t="str">
        <f t="shared" si="206"/>
        <v>Brésil, Base Carbone; kgCO2e/kWh</v>
      </c>
      <c r="I2386" s="1100" t="s">
        <v>1075</v>
      </c>
      <c r="J2386" s="1048" t="s">
        <v>1681</v>
      </c>
      <c r="K2386" s="1119" t="s">
        <v>1567</v>
      </c>
      <c r="L2386" s="1048"/>
      <c r="M2386" s="1101">
        <v>0.1</v>
      </c>
      <c r="N2386" s="1048"/>
      <c r="O2386" s="1048">
        <v>8.6800000000000002E-2</v>
      </c>
      <c r="P2386" s="1048"/>
      <c r="Q2386" s="1048"/>
      <c r="R2386" s="1158"/>
      <c r="S2386" s="1048"/>
      <c r="T2386" s="1048"/>
      <c r="U2386" s="1102"/>
    </row>
    <row r="2387" spans="2:21" hidden="1" outlineLevel="2">
      <c r="B2387" s="1050">
        <v>109</v>
      </c>
      <c r="C2387" s="1050" t="str">
        <f t="shared" si="207"/>
        <v>Colombie, Base Carbone</v>
      </c>
      <c r="D2387" s="1055">
        <f t="shared" si="208"/>
        <v>109</v>
      </c>
      <c r="E2387" s="1055" t="str">
        <f>IF(COUNTIF(E$2278:E2386,F2387)&gt;0,"",F2387)</f>
        <v>Colombie, Base Carbone</v>
      </c>
      <c r="F2387" s="1051" t="str">
        <f t="shared" si="205"/>
        <v>Colombie, Base Carbone</v>
      </c>
      <c r="G2387" s="1055" t="str">
        <f t="shared" si="206"/>
        <v>Colombie, Base Carbone; kgCO2e/kWh</v>
      </c>
      <c r="I2387" s="1100" t="s">
        <v>1084</v>
      </c>
      <c r="J2387" s="1048" t="s">
        <v>1681</v>
      </c>
      <c r="K2387" s="1119" t="s">
        <v>1567</v>
      </c>
      <c r="L2387" s="1048"/>
      <c r="M2387" s="1101">
        <v>0.1</v>
      </c>
      <c r="N2387" s="1048"/>
      <c r="O2387" s="1048">
        <v>0.17599999999999999</v>
      </c>
      <c r="P2387" s="1048"/>
      <c r="Q2387" s="1048"/>
      <c r="R2387" s="1158"/>
      <c r="S2387" s="1048"/>
      <c r="T2387" s="1048"/>
      <c r="U2387" s="1102"/>
    </row>
    <row r="2388" spans="2:21" hidden="1" outlineLevel="2">
      <c r="B2388" s="1050">
        <v>110</v>
      </c>
      <c r="C2388" s="1050" t="str">
        <f t="shared" si="207"/>
        <v>Costa rica, Base Carbone</v>
      </c>
      <c r="D2388" s="1055">
        <f t="shared" si="208"/>
        <v>110</v>
      </c>
      <c r="E2388" s="1055" t="str">
        <f>IF(COUNTIF(E$2278:E2387,F2388)&gt;0,"",F2388)</f>
        <v>Costa rica, Base Carbone</v>
      </c>
      <c r="F2388" s="1051" t="str">
        <f t="shared" si="205"/>
        <v>Costa rica, Base Carbone</v>
      </c>
      <c r="G2388" s="1055" t="str">
        <f t="shared" si="206"/>
        <v>Costa rica, Base Carbone; kgCO2e/kWh</v>
      </c>
      <c r="I2388" s="1100" t="s">
        <v>1086</v>
      </c>
      <c r="J2388" s="1048" t="s">
        <v>1681</v>
      </c>
      <c r="K2388" s="1119" t="s">
        <v>1567</v>
      </c>
      <c r="L2388" s="1048"/>
      <c r="M2388" s="1101">
        <v>0.1</v>
      </c>
      <c r="N2388" s="1048"/>
      <c r="O2388" s="1048">
        <v>5.57E-2</v>
      </c>
      <c r="P2388" s="1048"/>
      <c r="Q2388" s="1048"/>
      <c r="R2388" s="1158"/>
      <c r="S2388" s="1048"/>
      <c r="T2388" s="1048"/>
      <c r="U2388" s="1102"/>
    </row>
    <row r="2389" spans="2:21" hidden="1" outlineLevel="2">
      <c r="B2389" s="1050">
        <v>111</v>
      </c>
      <c r="C2389" s="1050" t="str">
        <f t="shared" si="207"/>
        <v>Cuba, Base Carbone</v>
      </c>
      <c r="D2389" s="1055">
        <f t="shared" si="208"/>
        <v>111</v>
      </c>
      <c r="E2389" s="1055" t="str">
        <f>IF(COUNTIF(E$2278:E2388,F2389)&gt;0,"",F2389)</f>
        <v>Cuba, Base Carbone</v>
      </c>
      <c r="F2389" s="1051" t="str">
        <f t="shared" si="205"/>
        <v>Cuba, Base Carbone</v>
      </c>
      <c r="G2389" s="1055" t="str">
        <f t="shared" si="206"/>
        <v>Cuba, Base Carbone; kgCO2e/kWh</v>
      </c>
      <c r="I2389" s="1100" t="s">
        <v>1089</v>
      </c>
      <c r="J2389" s="1048" t="s">
        <v>1681</v>
      </c>
      <c r="K2389" s="1119" t="s">
        <v>1567</v>
      </c>
      <c r="L2389" s="1048"/>
      <c r="M2389" s="1101">
        <v>0.1</v>
      </c>
      <c r="N2389" s="1048"/>
      <c r="O2389" s="1048">
        <v>1.01</v>
      </c>
      <c r="P2389" s="1048"/>
      <c r="Q2389" s="1048"/>
      <c r="R2389" s="1158"/>
      <c r="S2389" s="1048"/>
      <c r="T2389" s="1048"/>
      <c r="U2389" s="1102"/>
    </row>
    <row r="2390" spans="2:21" hidden="1" outlineLevel="2">
      <c r="B2390" s="1050">
        <v>112</v>
      </c>
      <c r="C2390" s="1050" t="str">
        <f t="shared" si="207"/>
        <v>Dominicaine. République, Base Carbone</v>
      </c>
      <c r="D2390" s="1055">
        <f t="shared" si="208"/>
        <v>112</v>
      </c>
      <c r="E2390" s="1055" t="str">
        <f>IF(COUNTIF(E$2278:E2389,F2390)&gt;0,"",F2390)</f>
        <v>Dominicaine. République, Base Carbone</v>
      </c>
      <c r="F2390" s="1051" t="str">
        <f t="shared" si="205"/>
        <v>Dominicaine. République, Base Carbone</v>
      </c>
      <c r="G2390" s="1055" t="str">
        <f t="shared" si="206"/>
        <v>Dominicaine. République, Base Carbone; kgCO2e/kWh</v>
      </c>
      <c r="I2390" s="1100" t="s">
        <v>1781</v>
      </c>
      <c r="J2390" s="1048" t="s">
        <v>1681</v>
      </c>
      <c r="K2390" s="1119" t="s">
        <v>1567</v>
      </c>
      <c r="L2390" s="1048"/>
      <c r="M2390" s="1101">
        <v>0.1</v>
      </c>
      <c r="N2390" s="1048"/>
      <c r="O2390" s="1048">
        <v>0.58899999999999997</v>
      </c>
      <c r="P2390" s="1048"/>
      <c r="Q2390" s="1048"/>
      <c r="R2390" s="1158"/>
      <c r="S2390" s="1048"/>
      <c r="T2390" s="1048"/>
      <c r="U2390" s="1102"/>
    </row>
    <row r="2391" spans="2:21" hidden="1" outlineLevel="2">
      <c r="B2391" s="1050">
        <v>113</v>
      </c>
      <c r="C2391" s="1050" t="str">
        <f t="shared" si="207"/>
        <v>Équateur, Base Carbone</v>
      </c>
      <c r="D2391" s="1055">
        <f t="shared" si="208"/>
        <v>113</v>
      </c>
      <c r="E2391" s="1055" t="str">
        <f>IF(COUNTIF(E$2278:E2390,F2391)&gt;0,"",F2391)</f>
        <v>Équateur, Base Carbone</v>
      </c>
      <c r="F2391" s="1051" t="str">
        <f t="shared" si="205"/>
        <v>Équateur, Base Carbone</v>
      </c>
      <c r="G2391" s="1055" t="str">
        <f t="shared" si="206"/>
        <v>Équateur, Base Carbone; kgCO2e/kWh</v>
      </c>
      <c r="I2391" s="1100" t="s">
        <v>1094</v>
      </c>
      <c r="J2391" s="1048" t="s">
        <v>1681</v>
      </c>
      <c r="K2391" s="1119" t="s">
        <v>1567</v>
      </c>
      <c r="L2391" s="1048"/>
      <c r="M2391" s="1101">
        <v>0.1</v>
      </c>
      <c r="N2391" s="1048"/>
      <c r="O2391" s="1048">
        <v>0.38900000000000001</v>
      </c>
      <c r="P2391" s="1048"/>
      <c r="Q2391" s="1048"/>
      <c r="R2391" s="1158"/>
      <c r="S2391" s="1048"/>
      <c r="T2391" s="1048"/>
      <c r="U2391" s="1102"/>
    </row>
    <row r="2392" spans="2:21" hidden="1" outlineLevel="2">
      <c r="B2392" s="1050">
        <v>114</v>
      </c>
      <c r="C2392" s="1050" t="str">
        <f t="shared" si="207"/>
        <v>El Salvador, Base Carbone</v>
      </c>
      <c r="D2392" s="1055">
        <f t="shared" si="208"/>
        <v>114</v>
      </c>
      <c r="E2392" s="1055" t="str">
        <f>IF(COUNTIF(E$2278:E2391,F2392)&gt;0,"",F2392)</f>
        <v>El Salvador, Base Carbone</v>
      </c>
      <c r="F2392" s="1051" t="str">
        <f t="shared" si="205"/>
        <v>El Salvador, Base Carbone</v>
      </c>
      <c r="G2392" s="1055" t="str">
        <f t="shared" si="206"/>
        <v>El Salvador, Base Carbone; kgCO2e/kWh</v>
      </c>
      <c r="I2392" s="1100" t="s">
        <v>1092</v>
      </c>
      <c r="J2392" s="1048" t="s">
        <v>1681</v>
      </c>
      <c r="K2392" s="1119" t="s">
        <v>1567</v>
      </c>
      <c r="L2392" s="1048"/>
      <c r="M2392" s="1101">
        <v>0.1</v>
      </c>
      <c r="N2392" s="1048"/>
      <c r="O2392" s="1048">
        <v>0.223</v>
      </c>
      <c r="P2392" s="1048"/>
      <c r="Q2392" s="1048"/>
      <c r="R2392" s="1158"/>
      <c r="S2392" s="1048"/>
      <c r="T2392" s="1048"/>
      <c r="U2392" s="1102"/>
    </row>
    <row r="2393" spans="2:21" hidden="1" outlineLevel="2">
      <c r="B2393" s="1050">
        <v>115</v>
      </c>
      <c r="C2393" s="1050" t="str">
        <f t="shared" si="207"/>
        <v>Guatemala, Base Carbone</v>
      </c>
      <c r="D2393" s="1055">
        <f t="shared" si="208"/>
        <v>115</v>
      </c>
      <c r="E2393" s="1055" t="str">
        <f>IF(COUNTIF(E$2278:E2392,F2393)&gt;0,"",F2393)</f>
        <v>Guatemala, Base Carbone</v>
      </c>
      <c r="F2393" s="1051" t="str">
        <f t="shared" si="205"/>
        <v>Guatemala, Base Carbone</v>
      </c>
      <c r="G2393" s="1055" t="str">
        <f t="shared" si="206"/>
        <v>Guatemala, Base Carbone; kgCO2e/kWh</v>
      </c>
      <c r="I2393" s="1100" t="s">
        <v>1106</v>
      </c>
      <c r="J2393" s="1048" t="s">
        <v>1681</v>
      </c>
      <c r="K2393" s="1119" t="s">
        <v>1567</v>
      </c>
      <c r="L2393" s="1048"/>
      <c r="M2393" s="1101">
        <v>0.1</v>
      </c>
      <c r="N2393" s="1048"/>
      <c r="O2393" s="1048">
        <v>0.28599999999999998</v>
      </c>
      <c r="P2393" s="1048"/>
      <c r="Q2393" s="1048"/>
      <c r="R2393" s="1158"/>
      <c r="S2393" s="1048"/>
      <c r="T2393" s="1048"/>
      <c r="U2393" s="1102"/>
    </row>
    <row r="2394" spans="2:21" hidden="1" outlineLevel="2">
      <c r="B2394" s="1050">
        <v>116</v>
      </c>
      <c r="C2394" s="1050" t="str">
        <f t="shared" si="207"/>
        <v>Haïti, Base Carbone</v>
      </c>
      <c r="D2394" s="1055">
        <f t="shared" si="208"/>
        <v>116</v>
      </c>
      <c r="E2394" s="1055" t="str">
        <f>IF(COUNTIF(E$2278:E2393,F2394)&gt;0,"",F2394)</f>
        <v>Haïti, Base Carbone</v>
      </c>
      <c r="F2394" s="1051" t="str">
        <f t="shared" si="205"/>
        <v>Haïti, Base Carbone</v>
      </c>
      <c r="G2394" s="1055" t="str">
        <f t="shared" si="206"/>
        <v>Haïti, Base Carbone; kgCO2e/kWh</v>
      </c>
      <c r="I2394" s="1100" t="s">
        <v>1107</v>
      </c>
      <c r="J2394" s="1048" t="s">
        <v>1681</v>
      </c>
      <c r="K2394" s="1119" t="s">
        <v>1567</v>
      </c>
      <c r="L2394" s="1048"/>
      <c r="M2394" s="1101">
        <v>0.1</v>
      </c>
      <c r="N2394" s="1048"/>
      <c r="O2394" s="1048">
        <v>0.53800000000000003</v>
      </c>
      <c r="P2394" s="1048"/>
      <c r="Q2394" s="1048"/>
      <c r="R2394" s="1158"/>
      <c r="S2394" s="1048"/>
      <c r="T2394" s="1048"/>
      <c r="U2394" s="1102"/>
    </row>
    <row r="2395" spans="2:21" hidden="1" outlineLevel="2">
      <c r="B2395" s="1050">
        <v>117</v>
      </c>
      <c r="C2395" s="1050" t="str">
        <f t="shared" si="207"/>
        <v>Honduras, Base Carbone</v>
      </c>
      <c r="D2395" s="1055">
        <f t="shared" si="208"/>
        <v>117</v>
      </c>
      <c r="E2395" s="1055" t="str">
        <f>IF(COUNTIF(E$2278:E2394,F2395)&gt;0,"",F2395)</f>
        <v>Honduras, Base Carbone</v>
      </c>
      <c r="F2395" s="1051" t="str">
        <f t="shared" si="205"/>
        <v>Honduras, Base Carbone</v>
      </c>
      <c r="G2395" s="1055" t="str">
        <f t="shared" si="206"/>
        <v>Honduras, Base Carbone; kgCO2e/kWh</v>
      </c>
      <c r="I2395" s="1100" t="s">
        <v>1108</v>
      </c>
      <c r="J2395" s="1048" t="s">
        <v>1681</v>
      </c>
      <c r="K2395" s="1119" t="s">
        <v>1567</v>
      </c>
      <c r="L2395" s="1048"/>
      <c r="M2395" s="1101">
        <v>0.1</v>
      </c>
      <c r="N2395" s="1048"/>
      <c r="O2395" s="1048">
        <v>0.33200000000000002</v>
      </c>
      <c r="P2395" s="1048"/>
      <c r="Q2395" s="1048"/>
      <c r="R2395" s="1158"/>
      <c r="S2395" s="1048"/>
      <c r="T2395" s="1048"/>
      <c r="U2395" s="1102"/>
    </row>
    <row r="2396" spans="2:21" hidden="1" outlineLevel="2">
      <c r="B2396" s="1050">
        <v>118</v>
      </c>
      <c r="C2396" s="1050" t="str">
        <f t="shared" si="207"/>
        <v>Jamaïque, Base Carbone</v>
      </c>
      <c r="D2396" s="1055">
        <f t="shared" si="208"/>
        <v>118</v>
      </c>
      <c r="E2396" s="1055" t="str">
        <f>IF(COUNTIF(E$2278:E2395,F2396)&gt;0,"",F2396)</f>
        <v>Jamaïque, Base Carbone</v>
      </c>
      <c r="F2396" s="1051" t="str">
        <f t="shared" si="205"/>
        <v>Jamaïque, Base Carbone</v>
      </c>
      <c r="G2396" s="1055" t="str">
        <f t="shared" si="206"/>
        <v>Jamaïque, Base Carbone; kgCO2e/kWh</v>
      </c>
      <c r="I2396" s="1100" t="s">
        <v>1117</v>
      </c>
      <c r="J2396" s="1048" t="s">
        <v>1681</v>
      </c>
      <c r="K2396" s="1119" t="s">
        <v>1567</v>
      </c>
      <c r="L2396" s="1048"/>
      <c r="M2396" s="1101">
        <v>0.1</v>
      </c>
      <c r="N2396" s="1048"/>
      <c r="O2396" s="1048">
        <v>0.71099999999999997</v>
      </c>
      <c r="P2396" s="1048"/>
      <c r="Q2396" s="1048"/>
      <c r="R2396" s="1158"/>
      <c r="S2396" s="1048"/>
      <c r="T2396" s="1048"/>
      <c r="U2396" s="1102"/>
    </row>
    <row r="2397" spans="2:21" hidden="1" outlineLevel="2">
      <c r="B2397" s="1050">
        <v>119</v>
      </c>
      <c r="C2397" s="1050" t="str">
        <f t="shared" si="207"/>
        <v>Antilles Néerlandaises, Base Carbone</v>
      </c>
      <c r="D2397" s="1055">
        <f t="shared" si="208"/>
        <v>119</v>
      </c>
      <c r="E2397" s="1055" t="str">
        <f>IF(COUNTIF(E$2278:E2396,F2397)&gt;0,"",F2397)</f>
        <v>Antilles Néerlandaises, Base Carbone</v>
      </c>
      <c r="F2397" s="1051" t="str">
        <f t="shared" si="205"/>
        <v>Antilles Néerlandaises, Base Carbone</v>
      </c>
      <c r="G2397" s="1055" t="str">
        <f t="shared" si="206"/>
        <v>Antilles Néerlandaises, Base Carbone; kgCO2e/kWh</v>
      </c>
      <c r="I2397" s="1100" t="s">
        <v>1059</v>
      </c>
      <c r="J2397" s="1048" t="s">
        <v>1681</v>
      </c>
      <c r="K2397" s="1119" t="s">
        <v>1567</v>
      </c>
      <c r="L2397" s="1048"/>
      <c r="M2397" s="1101">
        <v>0.1</v>
      </c>
      <c r="N2397" s="1048"/>
      <c r="O2397" s="1048">
        <v>0.70699999999999996</v>
      </c>
      <c r="P2397" s="1048"/>
      <c r="Q2397" s="1048"/>
      <c r="R2397" s="1158"/>
      <c r="S2397" s="1048"/>
      <c r="T2397" s="1048"/>
      <c r="U2397" s="1102"/>
    </row>
    <row r="2398" spans="2:21" hidden="1" outlineLevel="2">
      <c r="B2398" s="1050">
        <v>120</v>
      </c>
      <c r="C2398" s="1050" t="str">
        <f t="shared" si="207"/>
        <v>Nicaragua, Base Carbone</v>
      </c>
      <c r="D2398" s="1055">
        <f t="shared" si="208"/>
        <v>120</v>
      </c>
      <c r="E2398" s="1055" t="str">
        <f>IF(COUNTIF(E$2278:E2397,F2398)&gt;0,"",F2398)</f>
        <v>Nicaragua, Base Carbone</v>
      </c>
      <c r="F2398" s="1051" t="str">
        <f t="shared" ref="F2398:F2472" si="209">IF(I2398&lt;&gt;"",I2398&amp;IF(L2398&lt;&gt;"",", "&amp;L2398,"")&amp;IF(K2398&lt;&gt;"",", "&amp;K2398,""),"")</f>
        <v>Nicaragua, Base Carbone</v>
      </c>
      <c r="G2398" s="1055" t="str">
        <f t="shared" ref="G2398:G2472" si="210">IF(F2398&lt;&gt;"",F2398&amp;IF(J2398&lt;&gt;"","; "&amp;J2398,"")&amp;IF(N2398&lt;&gt;"",", "&amp;N2398,""),"")</f>
        <v>Nicaragua, Base Carbone; kgCO2e/kWh</v>
      </c>
      <c r="I2398" s="1100" t="s">
        <v>1141</v>
      </c>
      <c r="J2398" s="1048" t="s">
        <v>1681</v>
      </c>
      <c r="K2398" s="1119" t="s">
        <v>1567</v>
      </c>
      <c r="L2398" s="1048"/>
      <c r="M2398" s="1101">
        <v>0.1</v>
      </c>
      <c r="N2398" s="1048"/>
      <c r="O2398" s="1048">
        <v>0.46</v>
      </c>
      <c r="P2398" s="1048"/>
      <c r="Q2398" s="1048"/>
      <c r="R2398" s="1158"/>
      <c r="S2398" s="1048"/>
      <c r="T2398" s="1048"/>
      <c r="U2398" s="1102"/>
    </row>
    <row r="2399" spans="2:21" hidden="1" outlineLevel="2">
      <c r="B2399" s="1050">
        <v>121</v>
      </c>
      <c r="C2399" s="1050" t="str">
        <f t="shared" si="207"/>
        <v>Panama, Base Carbone</v>
      </c>
      <c r="D2399" s="1055">
        <f t="shared" si="208"/>
        <v>121</v>
      </c>
      <c r="E2399" s="1055" t="str">
        <f>IF(COUNTIF(E$2278:E2398,F2399)&gt;0,"",F2399)</f>
        <v>Panama, Base Carbone</v>
      </c>
      <c r="F2399" s="1051" t="str">
        <f t="shared" si="209"/>
        <v>Panama, Base Carbone</v>
      </c>
      <c r="G2399" s="1055" t="str">
        <f t="shared" si="210"/>
        <v>Panama, Base Carbone; kgCO2e/kWh</v>
      </c>
      <c r="I2399" s="1100" t="s">
        <v>1148</v>
      </c>
      <c r="J2399" s="1048" t="s">
        <v>1681</v>
      </c>
      <c r="K2399" s="1119" t="s">
        <v>1567</v>
      </c>
      <c r="L2399" s="1048"/>
      <c r="M2399" s="1101">
        <v>0.1</v>
      </c>
      <c r="N2399" s="1048"/>
      <c r="O2399" s="1048">
        <v>0.29799999999999999</v>
      </c>
      <c r="P2399" s="1048"/>
      <c r="Q2399" s="1048"/>
      <c r="R2399" s="1158"/>
      <c r="S2399" s="1048"/>
      <c r="T2399" s="1048"/>
      <c r="U2399" s="1102"/>
    </row>
    <row r="2400" spans="2:21" hidden="1" outlineLevel="2">
      <c r="B2400" s="1050">
        <v>122</v>
      </c>
      <c r="C2400" s="1050" t="str">
        <f t="shared" si="207"/>
        <v>Pérou, Base Carbone</v>
      </c>
      <c r="D2400" s="1055">
        <f t="shared" si="208"/>
        <v>122</v>
      </c>
      <c r="E2400" s="1055" t="str">
        <f>IF(COUNTIF(E$2278:E2399,F2400)&gt;0,"",F2400)</f>
        <v>Pérou, Base Carbone</v>
      </c>
      <c r="F2400" s="1051" t="str">
        <f t="shared" si="209"/>
        <v>Pérou, Base Carbone</v>
      </c>
      <c r="G2400" s="1055" t="str">
        <f t="shared" si="210"/>
        <v>Pérou, Base Carbone; kgCO2e/kWh</v>
      </c>
      <c r="I2400" s="1100" t="s">
        <v>1150</v>
      </c>
      <c r="J2400" s="1048" t="s">
        <v>1681</v>
      </c>
      <c r="K2400" s="1119" t="s">
        <v>1567</v>
      </c>
      <c r="L2400" s="1048"/>
      <c r="M2400" s="1101">
        <v>0.1</v>
      </c>
      <c r="N2400" s="1048"/>
      <c r="O2400" s="1048">
        <v>0.28899999999999998</v>
      </c>
      <c r="P2400" s="1048"/>
      <c r="Q2400" s="1048"/>
      <c r="R2400" s="1158"/>
      <c r="S2400" s="1048"/>
      <c r="T2400" s="1048"/>
      <c r="U2400" s="1102"/>
    </row>
    <row r="2401" spans="2:21" hidden="1" outlineLevel="2">
      <c r="B2401" s="1050">
        <v>123</v>
      </c>
      <c r="C2401" s="1050" t="str">
        <f t="shared" si="207"/>
        <v>Trinité-et-Tobago, Base Carbone</v>
      </c>
      <c r="D2401" s="1055">
        <f t="shared" si="208"/>
        <v>123</v>
      </c>
      <c r="E2401" s="1055" t="str">
        <f>IF(COUNTIF(E$2278:E2400,F2401)&gt;0,"",F2401)</f>
        <v>Trinité-et-Tobago, Base Carbone</v>
      </c>
      <c r="F2401" s="1051" t="str">
        <f t="shared" si="209"/>
        <v>Trinité-et-Tobago, Base Carbone</v>
      </c>
      <c r="G2401" s="1055" t="str">
        <f t="shared" si="210"/>
        <v>Trinité-et-Tobago, Base Carbone; kgCO2e/kWh</v>
      </c>
      <c r="I2401" s="1100" t="s">
        <v>1173</v>
      </c>
      <c r="J2401" s="1048" t="s">
        <v>1681</v>
      </c>
      <c r="K2401" s="1119" t="s">
        <v>1567</v>
      </c>
      <c r="L2401" s="1048"/>
      <c r="M2401" s="1101">
        <v>0.1</v>
      </c>
      <c r="N2401" s="1048"/>
      <c r="O2401" s="1048">
        <v>0.7</v>
      </c>
      <c r="P2401" s="1048"/>
      <c r="Q2401" s="1048"/>
      <c r="R2401" s="1158"/>
      <c r="S2401" s="1048"/>
      <c r="T2401" s="1048"/>
      <c r="U2401" s="1102"/>
    </row>
    <row r="2402" spans="2:21" hidden="1" outlineLevel="2">
      <c r="B2402" s="1050">
        <v>124</v>
      </c>
      <c r="C2402" s="1050" t="str">
        <f t="shared" si="207"/>
        <v>Uruguay, Base Carbone</v>
      </c>
      <c r="D2402" s="1055">
        <f t="shared" si="208"/>
        <v>124</v>
      </c>
      <c r="E2402" s="1055" t="str">
        <f>IF(COUNTIF(E$2278:E2401,F2402)&gt;0,"",F2402)</f>
        <v>Uruguay, Base Carbone</v>
      </c>
      <c r="F2402" s="1051" t="str">
        <f t="shared" si="209"/>
        <v>Uruguay, Base Carbone</v>
      </c>
      <c r="G2402" s="1055" t="str">
        <f t="shared" si="210"/>
        <v>Uruguay, Base Carbone; kgCO2e/kWh</v>
      </c>
      <c r="I2402" s="1100" t="s">
        <v>1178</v>
      </c>
      <c r="J2402" s="1048" t="s">
        <v>1681</v>
      </c>
      <c r="K2402" s="1119" t="s">
        <v>1567</v>
      </c>
      <c r="L2402" s="1048"/>
      <c r="M2402" s="1101">
        <v>0.1</v>
      </c>
      <c r="N2402" s="1048"/>
      <c r="O2402" s="1048">
        <v>8.1000000000000003E-2</v>
      </c>
      <c r="P2402" s="1048"/>
      <c r="Q2402" s="1048"/>
      <c r="R2402" s="1158"/>
      <c r="S2402" s="1048"/>
      <c r="T2402" s="1048"/>
      <c r="U2402" s="1102"/>
    </row>
    <row r="2403" spans="2:21" hidden="1" outlineLevel="2">
      <c r="B2403" s="1050">
        <v>125</v>
      </c>
      <c r="C2403" s="1050" t="str">
        <f t="shared" si="207"/>
        <v>Venezuela, Base Carbone</v>
      </c>
      <c r="D2403" s="1055">
        <f t="shared" si="208"/>
        <v>125</v>
      </c>
      <c r="E2403" s="1055" t="str">
        <f>IF(COUNTIF(E$2278:E2402,F2403)&gt;0,"",F2403)</f>
        <v>Venezuela, Base Carbone</v>
      </c>
      <c r="F2403" s="1051" t="str">
        <f t="shared" si="209"/>
        <v>Venezuela, Base Carbone</v>
      </c>
      <c r="G2403" s="1055" t="str">
        <f t="shared" si="210"/>
        <v>Venezuela, Base Carbone; kgCO2e/kWh</v>
      </c>
      <c r="I2403" s="1100" t="s">
        <v>1179</v>
      </c>
      <c r="J2403" s="1048" t="s">
        <v>1681</v>
      </c>
      <c r="K2403" s="1119" t="s">
        <v>1567</v>
      </c>
      <c r="L2403" s="1048"/>
      <c r="M2403" s="1101">
        <v>0.1</v>
      </c>
      <c r="N2403" s="1048"/>
      <c r="O2403" s="1048">
        <v>0.26400000000000001</v>
      </c>
      <c r="P2403" s="1048"/>
      <c r="Q2403" s="1048"/>
      <c r="R2403" s="1158"/>
      <c r="S2403" s="1048"/>
      <c r="T2403" s="1048"/>
      <c r="U2403" s="1102"/>
    </row>
    <row r="2404" spans="2:21" hidden="1" outlineLevel="2">
      <c r="B2404" s="1050">
        <v>126</v>
      </c>
      <c r="C2404" s="1050" t="str">
        <f t="shared" si="207"/>
        <v>Bahreïn, Base Carbone</v>
      </c>
      <c r="D2404" s="1055">
        <f t="shared" si="208"/>
        <v>126</v>
      </c>
      <c r="E2404" s="1055" t="str">
        <f>IF(COUNTIF(E$2278:E2403,F2404)&gt;0,"",F2404)</f>
        <v>Bahreïn, Base Carbone</v>
      </c>
      <c r="F2404" s="1051" t="str">
        <f t="shared" si="209"/>
        <v>Bahreïn, Base Carbone</v>
      </c>
      <c r="G2404" s="1055" t="str">
        <f t="shared" si="210"/>
        <v>Bahreïn, Base Carbone; kgCO2e/kWh</v>
      </c>
      <c r="I2404" s="1100" t="s">
        <v>1066</v>
      </c>
      <c r="J2404" s="1048" t="s">
        <v>1681</v>
      </c>
      <c r="K2404" s="1119" t="s">
        <v>1567</v>
      </c>
      <c r="L2404" s="1048"/>
      <c r="M2404" s="1101">
        <v>0.1</v>
      </c>
      <c r="N2404" s="1048"/>
      <c r="O2404" s="1048">
        <v>0.64</v>
      </c>
      <c r="P2404" s="1048"/>
      <c r="Q2404" s="1048"/>
      <c r="R2404" s="1158"/>
      <c r="S2404" s="1048"/>
      <c r="T2404" s="1048"/>
      <c r="U2404" s="1102"/>
    </row>
    <row r="2405" spans="2:21" hidden="1" outlineLevel="2">
      <c r="B2405" s="1050">
        <v>127</v>
      </c>
      <c r="C2405" s="1050" t="str">
        <f t="shared" si="207"/>
        <v>Iraq, Base Carbone</v>
      </c>
      <c r="D2405" s="1055">
        <f t="shared" si="208"/>
        <v>127</v>
      </c>
      <c r="E2405" s="1055" t="str">
        <f>IF(COUNTIF(E$2278:E2404,F2405)&gt;0,"",F2405)</f>
        <v>Iraq, Base Carbone</v>
      </c>
      <c r="F2405" s="1051" t="str">
        <f t="shared" si="209"/>
        <v>Iraq, Base Carbone</v>
      </c>
      <c r="G2405" s="1055" t="str">
        <f t="shared" si="210"/>
        <v>Iraq, Base Carbone; kgCO2e/kWh</v>
      </c>
      <c r="I2405" s="1100" t="s">
        <v>1112</v>
      </c>
      <c r="J2405" s="1048" t="s">
        <v>1681</v>
      </c>
      <c r="K2405" s="1119" t="s">
        <v>1567</v>
      </c>
      <c r="L2405" s="1048"/>
      <c r="M2405" s="1101">
        <v>0.1</v>
      </c>
      <c r="N2405" s="1048"/>
      <c r="O2405" s="1048">
        <v>1</v>
      </c>
      <c r="P2405" s="1048"/>
      <c r="Q2405" s="1048"/>
      <c r="R2405" s="1158"/>
      <c r="S2405" s="1048"/>
      <c r="T2405" s="1048"/>
      <c r="U2405" s="1102"/>
    </row>
    <row r="2406" spans="2:21" hidden="1" outlineLevel="2">
      <c r="B2406" s="1050">
        <v>128</v>
      </c>
      <c r="C2406" s="1050" t="str">
        <f t="shared" si="207"/>
        <v>Jordanie, Base Carbone</v>
      </c>
      <c r="D2406" s="1055">
        <f t="shared" si="208"/>
        <v>128</v>
      </c>
      <c r="E2406" s="1055" t="str">
        <f>IF(COUNTIF(E$2278:E2405,F2406)&gt;0,"",F2406)</f>
        <v>Jordanie, Base Carbone</v>
      </c>
      <c r="F2406" s="1051" t="str">
        <f t="shared" si="209"/>
        <v>Jordanie, Base Carbone</v>
      </c>
      <c r="G2406" s="1055" t="str">
        <f t="shared" si="210"/>
        <v>Jordanie, Base Carbone; kgCO2e/kWh</v>
      </c>
      <c r="I2406" s="1100" t="s">
        <v>1119</v>
      </c>
      <c r="J2406" s="1048" t="s">
        <v>1681</v>
      </c>
      <c r="K2406" s="1119" t="s">
        <v>1567</v>
      </c>
      <c r="L2406" s="1048"/>
      <c r="M2406" s="1101">
        <v>0.1</v>
      </c>
      <c r="N2406" s="1048"/>
      <c r="O2406" s="1048">
        <v>0.56599999999999995</v>
      </c>
      <c r="P2406" s="1048"/>
      <c r="Q2406" s="1048"/>
      <c r="R2406" s="1158"/>
      <c r="S2406" s="1048"/>
      <c r="T2406" s="1048"/>
      <c r="U2406" s="1102"/>
    </row>
    <row r="2407" spans="2:21" hidden="1" outlineLevel="2">
      <c r="B2407" s="1050">
        <v>129</v>
      </c>
      <c r="C2407" s="1050" t="str">
        <f t="shared" si="207"/>
        <v>Koweït, Base Carbone</v>
      </c>
      <c r="D2407" s="1055">
        <f t="shared" si="208"/>
        <v>129</v>
      </c>
      <c r="E2407" s="1055" t="str">
        <f>IF(COUNTIF(E$2278:E2406,F2407)&gt;0,"",F2407)</f>
        <v>Koweït, Base Carbone</v>
      </c>
      <c r="F2407" s="1051" t="str">
        <f t="shared" si="209"/>
        <v>Koweït, Base Carbone</v>
      </c>
      <c r="G2407" s="1055" t="str">
        <f t="shared" si="210"/>
        <v>Koweït, Base Carbone; kgCO2e/kWh</v>
      </c>
      <c r="I2407" s="1100" t="s">
        <v>1124</v>
      </c>
      <c r="J2407" s="1048" t="s">
        <v>1681</v>
      </c>
      <c r="K2407" s="1119" t="s">
        <v>1567</v>
      </c>
      <c r="L2407" s="1048"/>
      <c r="M2407" s="1101">
        <v>0.1</v>
      </c>
      <c r="N2407" s="1048"/>
      <c r="O2407" s="1048">
        <v>0.84199999999999997</v>
      </c>
      <c r="P2407" s="1048"/>
      <c r="Q2407" s="1048"/>
      <c r="R2407" s="1158"/>
      <c r="S2407" s="1048"/>
      <c r="T2407" s="1048"/>
      <c r="U2407" s="1102"/>
    </row>
    <row r="2408" spans="2:21" hidden="1" outlineLevel="2">
      <c r="B2408" s="1050">
        <v>130</v>
      </c>
      <c r="C2408" s="1050" t="str">
        <f t="shared" ref="C2408:C2415" si="211">IF(ISNA(VLOOKUP(B2408,$D$2279:$E$2421,2,FALSE)),"-",VLOOKUP(B2408,$D$2279:$E$2421,2,FALSE))</f>
        <v>Liban, Base Carbone</v>
      </c>
      <c r="D2408" s="1055">
        <f t="shared" ref="D2408:D2422" si="212">D2407+IF(LEN(E2408)=0,0,1)</f>
        <v>130</v>
      </c>
      <c r="E2408" s="1055" t="str">
        <f>IF(COUNTIF(E$2278:E2407,F2408)&gt;0,"",F2408)</f>
        <v>Liban, Base Carbone</v>
      </c>
      <c r="F2408" s="1051" t="str">
        <f t="shared" si="209"/>
        <v>Liban, Base Carbone</v>
      </c>
      <c r="G2408" s="1055" t="str">
        <f t="shared" si="210"/>
        <v>Liban, Base Carbone; kgCO2e/kWh</v>
      </c>
      <c r="I2408" s="1100" t="s">
        <v>1126</v>
      </c>
      <c r="J2408" s="1048" t="s">
        <v>1681</v>
      </c>
      <c r="K2408" s="1119" t="s">
        <v>1567</v>
      </c>
      <c r="L2408" s="1048"/>
      <c r="M2408" s="1101">
        <v>0.1</v>
      </c>
      <c r="N2408" s="1048"/>
      <c r="O2408" s="1048">
        <v>0.70899999999999996</v>
      </c>
      <c r="P2408" s="1048"/>
      <c r="Q2408" s="1048"/>
      <c r="R2408" s="1158"/>
      <c r="S2408" s="1048"/>
      <c r="T2408" s="1048"/>
      <c r="U2408" s="1102"/>
    </row>
    <row r="2409" spans="2:21" hidden="1" outlineLevel="2">
      <c r="B2409" s="1050">
        <v>131</v>
      </c>
      <c r="C2409" s="1050" t="str">
        <f t="shared" si="211"/>
        <v>Oman, Base Carbone</v>
      </c>
      <c r="D2409" s="1055">
        <f t="shared" si="212"/>
        <v>131</v>
      </c>
      <c r="E2409" s="1055" t="str">
        <f>IF(COUNTIF(E$2278:E2408,F2409)&gt;0,"",F2409)</f>
        <v>Oman, Base Carbone</v>
      </c>
      <c r="F2409" s="1051" t="str">
        <f t="shared" si="209"/>
        <v>Oman, Base Carbone</v>
      </c>
      <c r="G2409" s="1055" t="str">
        <f t="shared" si="210"/>
        <v>Oman, Base Carbone; kgCO2e/kWh</v>
      </c>
      <c r="I2409" s="1100" t="s">
        <v>1145</v>
      </c>
      <c r="J2409" s="1048" t="s">
        <v>1681</v>
      </c>
      <c r="K2409" s="1119" t="s">
        <v>1567</v>
      </c>
      <c r="L2409" s="1048"/>
      <c r="M2409" s="1101">
        <v>0.1</v>
      </c>
      <c r="N2409" s="1048"/>
      <c r="O2409" s="1048">
        <v>0.79400000000000004</v>
      </c>
      <c r="P2409" s="1048"/>
      <c r="Q2409" s="1048"/>
      <c r="R2409" s="1158"/>
      <c r="S2409" s="1048"/>
      <c r="T2409" s="1048"/>
      <c r="U2409" s="1102"/>
    </row>
    <row r="2410" spans="2:21" hidden="1" outlineLevel="2">
      <c r="B2410" s="1050">
        <v>132</v>
      </c>
      <c r="C2410" s="1050" t="str">
        <f t="shared" si="211"/>
        <v>Qatar, Base Carbone</v>
      </c>
      <c r="D2410" s="1055">
        <f t="shared" si="212"/>
        <v>132</v>
      </c>
      <c r="E2410" s="1055" t="str">
        <f>IF(COUNTIF(E$2278:E2409,F2410)&gt;0,"",F2410)</f>
        <v>Qatar, Base Carbone</v>
      </c>
      <c r="F2410" s="1051" t="str">
        <f t="shared" si="209"/>
        <v>Qatar, Base Carbone</v>
      </c>
      <c r="G2410" s="1055" t="str">
        <f t="shared" si="210"/>
        <v>Qatar, Base Carbone; kgCO2e/kWh</v>
      </c>
      <c r="I2410" s="1100" t="s">
        <v>1154</v>
      </c>
      <c r="J2410" s="1048" t="s">
        <v>1681</v>
      </c>
      <c r="K2410" s="1119" t="s">
        <v>1567</v>
      </c>
      <c r="L2410" s="1048"/>
      <c r="M2410" s="1101">
        <v>0.1</v>
      </c>
      <c r="N2410" s="1048"/>
      <c r="O2410" s="1048">
        <v>0.49399999999999999</v>
      </c>
      <c r="P2410" s="1048"/>
      <c r="Q2410" s="1048"/>
      <c r="R2410" s="1158"/>
      <c r="S2410" s="1048"/>
      <c r="T2410" s="1048"/>
      <c r="U2410" s="1102"/>
    </row>
    <row r="2411" spans="2:21" hidden="1" outlineLevel="2">
      <c r="B2411" s="1050">
        <v>133</v>
      </c>
      <c r="C2411" s="1050" t="str">
        <f t="shared" si="211"/>
        <v>Arabie Saoudite, Base Carbone</v>
      </c>
      <c r="D2411" s="1055">
        <f t="shared" si="212"/>
        <v>133</v>
      </c>
      <c r="E2411" s="1055" t="str">
        <f>IF(COUNTIF(E$2278:E2410,F2411)&gt;0,"",F2411)</f>
        <v>Arabie Saoudite, Base Carbone</v>
      </c>
      <c r="F2411" s="1051" t="str">
        <f t="shared" si="209"/>
        <v>Arabie Saoudite, Base Carbone</v>
      </c>
      <c r="G2411" s="1055" t="str">
        <f t="shared" si="210"/>
        <v>Arabie Saoudite, Base Carbone; kgCO2e/kWh</v>
      </c>
      <c r="I2411" s="1100" t="s">
        <v>1060</v>
      </c>
      <c r="J2411" s="1048" t="s">
        <v>1681</v>
      </c>
      <c r="K2411" s="1119" t="s">
        <v>1567</v>
      </c>
      <c r="L2411" s="1048"/>
      <c r="M2411" s="1101">
        <v>0.1</v>
      </c>
      <c r="N2411" s="1048"/>
      <c r="O2411" s="1048">
        <v>0.73699999999999999</v>
      </c>
      <c r="P2411" s="1048"/>
      <c r="Q2411" s="1048"/>
      <c r="R2411" s="1158"/>
      <c r="S2411" s="1048"/>
      <c r="T2411" s="1048"/>
      <c r="U2411" s="1102"/>
    </row>
    <row r="2412" spans="2:21" hidden="1" outlineLevel="2">
      <c r="B2412" s="1050">
        <v>134</v>
      </c>
      <c r="C2412" s="1050" t="str">
        <f t="shared" si="211"/>
        <v>Syrie, Base Carbone</v>
      </c>
      <c r="D2412" s="1055">
        <f t="shared" si="212"/>
        <v>134</v>
      </c>
      <c r="E2412" s="1055" t="str">
        <f>IF(COUNTIF(E$2278:E2411,F2412)&gt;0,"",F2412)</f>
        <v>Syrie, Base Carbone</v>
      </c>
      <c r="F2412" s="1051" t="str">
        <f t="shared" si="209"/>
        <v>Syrie, Base Carbone</v>
      </c>
      <c r="G2412" s="1055" t="str">
        <f t="shared" si="210"/>
        <v>Syrie, Base Carbone; kgCO2e/kWh</v>
      </c>
      <c r="I2412" s="1100" t="s">
        <v>3658</v>
      </c>
      <c r="J2412" s="1048" t="s">
        <v>1681</v>
      </c>
      <c r="K2412" s="1119" t="s">
        <v>1567</v>
      </c>
      <c r="L2412" s="1048"/>
      <c r="M2412" s="1101">
        <v>0.1</v>
      </c>
      <c r="N2412" s="1048"/>
      <c r="O2412" s="1048">
        <v>0.59399999999999997</v>
      </c>
      <c r="P2412" s="1048"/>
      <c r="Q2412" s="1048"/>
      <c r="R2412" s="1158"/>
      <c r="S2412" s="1048"/>
      <c r="T2412" s="1048"/>
      <c r="U2412" s="1102"/>
    </row>
    <row r="2413" spans="2:21" hidden="1" outlineLevel="2">
      <c r="B2413" s="1050">
        <v>135</v>
      </c>
      <c r="C2413" s="1050" t="str">
        <f t="shared" si="211"/>
        <v>Émirats Arabes Unis, Base Carbone</v>
      </c>
      <c r="D2413" s="1055">
        <f t="shared" si="212"/>
        <v>135</v>
      </c>
      <c r="E2413" s="1055" t="str">
        <f>IF(COUNTIF(E$2278:E2412,F2413)&gt;0,"",F2413)</f>
        <v>Émirats Arabes Unis, Base Carbone</v>
      </c>
      <c r="F2413" s="1051" t="str">
        <f t="shared" si="209"/>
        <v>Émirats Arabes Unis, Base Carbone</v>
      </c>
      <c r="G2413" s="1055" t="str">
        <f t="shared" si="210"/>
        <v>Émirats Arabes Unis, Base Carbone; kgCO2e/kWh</v>
      </c>
      <c r="I2413" s="1100" t="s">
        <v>1093</v>
      </c>
      <c r="J2413" s="1048" t="s">
        <v>1681</v>
      </c>
      <c r="K2413" s="1119" t="s">
        <v>1567</v>
      </c>
      <c r="L2413" s="1048"/>
      <c r="M2413" s="1101">
        <v>0.1</v>
      </c>
      <c r="N2413" s="1048"/>
      <c r="O2413" s="1048">
        <v>0.59799999999999998</v>
      </c>
      <c r="P2413" s="1048"/>
      <c r="Q2413" s="1048"/>
      <c r="R2413" s="1158"/>
      <c r="S2413" s="1048"/>
      <c r="T2413" s="1048"/>
      <c r="U2413" s="1102"/>
    </row>
    <row r="2414" spans="2:21" hidden="1" outlineLevel="2">
      <c r="B2414" s="1050">
        <v>136</v>
      </c>
      <c r="C2414" s="1050" t="str">
        <f t="shared" si="211"/>
        <v>Yémen, Base Carbone</v>
      </c>
      <c r="D2414" s="1055">
        <f t="shared" si="212"/>
        <v>136</v>
      </c>
      <c r="E2414" s="1055" t="str">
        <f>IF(COUNTIF(E$2278:E2413,F2414)&gt;0,"",F2414)</f>
        <v>Yémen, Base Carbone</v>
      </c>
      <c r="F2414" s="1051" t="str">
        <f t="shared" si="209"/>
        <v>Yémen, Base Carbone</v>
      </c>
      <c r="G2414" s="1055" t="str">
        <f t="shared" si="210"/>
        <v>Yémen, Base Carbone; kgCO2e/kWh</v>
      </c>
      <c r="I2414" s="1100" t="s">
        <v>1181</v>
      </c>
      <c r="J2414" s="1048" t="s">
        <v>1681</v>
      </c>
      <c r="K2414" s="1119" t="s">
        <v>1567</v>
      </c>
      <c r="L2414" s="1048"/>
      <c r="M2414" s="1101">
        <v>0.1</v>
      </c>
      <c r="N2414" s="1048"/>
      <c r="O2414" s="1048">
        <v>0.65500000000000003</v>
      </c>
      <c r="P2414" s="1048"/>
      <c r="Q2414" s="1048"/>
      <c r="R2414" s="1158"/>
      <c r="S2414" s="1048"/>
      <c r="T2414" s="1048"/>
      <c r="U2414" s="1102"/>
    </row>
    <row r="2415" spans="2:21" hidden="1" outlineLevel="2">
      <c r="B2415" s="1050">
        <v>137</v>
      </c>
      <c r="C2415" s="1050" t="str">
        <f t="shared" si="211"/>
        <v>Union européenne à 27, Base Carbone</v>
      </c>
      <c r="D2415" s="1055">
        <f t="shared" si="212"/>
        <v>137</v>
      </c>
      <c r="E2415" s="1055" t="str">
        <f>IF(COUNTIF(E$2278:E2414,F2415)&gt;0,"",F2415)</f>
        <v>Union européenne à 27, Base Carbone</v>
      </c>
      <c r="F2415" s="1051" t="str">
        <f t="shared" si="209"/>
        <v>Union européenne à 27, Base Carbone</v>
      </c>
      <c r="G2415" s="1055" t="str">
        <f t="shared" si="210"/>
        <v>Union européenne à 27, Base Carbone; kgCO2e/kWh</v>
      </c>
      <c r="I2415" s="1100" t="s">
        <v>1782</v>
      </c>
      <c r="J2415" s="1048" t="s">
        <v>1681</v>
      </c>
      <c r="K2415" s="1119" t="s">
        <v>1567</v>
      </c>
      <c r="L2415" s="1048"/>
      <c r="M2415" s="1101">
        <v>0.1</v>
      </c>
      <c r="N2415" s="1048"/>
      <c r="O2415" s="1048">
        <v>0.42</v>
      </c>
      <c r="P2415" s="1048"/>
      <c r="Q2415" s="1048"/>
      <c r="R2415" s="1158"/>
      <c r="S2415" s="1048"/>
      <c r="T2415" s="1048"/>
      <c r="U2415" s="1102"/>
    </row>
    <row r="2416" spans="2:21" hidden="1" outlineLevel="2">
      <c r="B2416" s="1050">
        <v>138</v>
      </c>
      <c r="C2416" s="1050" t="str">
        <f t="shared" ref="C2416:C2418" si="213">IF(ISNA(VLOOKUP(B2416,$D$2279:$E$2421,2,FALSE)),"-",VLOOKUP(B2416,$D$2279:$E$2421,2,FALSE))</f>
        <v>-</v>
      </c>
      <c r="D2416" s="1055">
        <f t="shared" ref="D2416:D2419" si="214">D2415+IF(LEN(E2416)=0,0,1)</f>
        <v>137</v>
      </c>
      <c r="E2416" s="1055" t="str">
        <f>IF(COUNTIF(E$2278:E2415,F2416)&gt;0,"",F2416)</f>
        <v/>
      </c>
      <c r="F2416" s="1051" t="str">
        <f t="shared" ref="F2416:F2419" si="215">IF(I2416&lt;&gt;"",I2416&amp;IF(L2416&lt;&gt;"",", "&amp;L2416,"")&amp;IF(K2416&lt;&gt;"",", "&amp;K2416,""),"")</f>
        <v/>
      </c>
      <c r="G2416" s="1055" t="str">
        <f t="shared" ref="G2416:G2419" si="216">IF(F2416&lt;&gt;"",F2416&amp;IF(J2416&lt;&gt;"","; "&amp;J2416,"")&amp;IF(N2416&lt;&gt;"",", "&amp;N2416,""),"")</f>
        <v/>
      </c>
      <c r="I2416" s="1100"/>
      <c r="J2416" s="1048"/>
      <c r="K2416" s="1119"/>
      <c r="L2416" s="1048"/>
      <c r="M2416" s="1101"/>
      <c r="N2416" s="1048"/>
      <c r="O2416" s="1048"/>
      <c r="P2416" s="1048"/>
      <c r="Q2416" s="1048"/>
      <c r="R2416" s="1158"/>
      <c r="S2416" s="1048"/>
      <c r="T2416" s="1048"/>
      <c r="U2416" s="1102"/>
    </row>
    <row r="2417" spans="2:21" hidden="1" outlineLevel="2">
      <c r="B2417" s="1050">
        <v>139</v>
      </c>
      <c r="C2417" s="1050" t="str">
        <f t="shared" si="213"/>
        <v>-</v>
      </c>
      <c r="D2417" s="1055">
        <f t="shared" si="214"/>
        <v>137</v>
      </c>
      <c r="E2417" s="1055" t="str">
        <f>IF(COUNTIF(E$2278:E2416,F2417)&gt;0,"",F2417)</f>
        <v/>
      </c>
      <c r="F2417" s="1051" t="str">
        <f t="shared" si="215"/>
        <v/>
      </c>
      <c r="G2417" s="1055" t="str">
        <f t="shared" si="216"/>
        <v/>
      </c>
      <c r="I2417" s="1100"/>
      <c r="J2417" s="1048"/>
      <c r="K2417" s="1119"/>
      <c r="L2417" s="1048"/>
      <c r="M2417" s="1101"/>
      <c r="N2417" s="1048"/>
      <c r="O2417" s="1048"/>
      <c r="P2417" s="1048"/>
      <c r="Q2417" s="1048"/>
      <c r="R2417" s="1158"/>
      <c r="S2417" s="1048"/>
      <c r="T2417" s="1048"/>
      <c r="U2417" s="1102"/>
    </row>
    <row r="2418" spans="2:21" hidden="1" outlineLevel="2">
      <c r="B2418" s="1050">
        <v>140</v>
      </c>
      <c r="C2418" s="1050" t="str">
        <f t="shared" si="213"/>
        <v>-</v>
      </c>
      <c r="D2418" s="1055">
        <f t="shared" si="214"/>
        <v>137</v>
      </c>
      <c r="E2418" s="1055" t="str">
        <f>IF(COUNTIF(E$2278:E2417,F2418)&gt;0,"",F2418)</f>
        <v/>
      </c>
      <c r="F2418" s="1051" t="str">
        <f t="shared" si="215"/>
        <v/>
      </c>
      <c r="G2418" s="1055" t="str">
        <f t="shared" si="216"/>
        <v/>
      </c>
      <c r="I2418" s="1100"/>
      <c r="J2418" s="1048"/>
      <c r="K2418" s="1119"/>
      <c r="L2418" s="1048"/>
      <c r="M2418" s="1101"/>
      <c r="N2418" s="1048"/>
      <c r="O2418" s="1048"/>
      <c r="P2418" s="1048"/>
      <c r="Q2418" s="1048"/>
      <c r="R2418" s="1158"/>
      <c r="S2418" s="1048"/>
      <c r="T2418" s="1048"/>
      <c r="U2418" s="1102"/>
    </row>
    <row r="2419" spans="2:21" hidden="1" outlineLevel="2">
      <c r="B2419" s="1045"/>
      <c r="C2419" s="1045"/>
      <c r="D2419" s="1055">
        <f t="shared" si="214"/>
        <v>137</v>
      </c>
      <c r="E2419" s="1055" t="str">
        <f>IF(COUNTIF(E$2278:E2418,F2419)&gt;0,"",F2419)</f>
        <v/>
      </c>
      <c r="F2419" s="1051" t="str">
        <f t="shared" si="215"/>
        <v/>
      </c>
      <c r="G2419" s="1055" t="str">
        <f t="shared" si="216"/>
        <v/>
      </c>
      <c r="I2419" s="1100"/>
      <c r="J2419" s="1048"/>
      <c r="K2419" s="1119"/>
      <c r="L2419" s="1048"/>
      <c r="M2419" s="1101"/>
      <c r="N2419" s="1048"/>
      <c r="O2419" s="1048"/>
      <c r="P2419" s="1048"/>
      <c r="Q2419" s="1048"/>
      <c r="R2419" s="1158"/>
      <c r="S2419" s="1048"/>
      <c r="T2419" s="1048"/>
      <c r="U2419" s="1102"/>
    </row>
    <row r="2420" spans="2:21" s="1045" customFormat="1" hidden="1" outlineLevel="1">
      <c r="D2420" s="1135"/>
      <c r="E2420" s="1135"/>
      <c r="G2420" s="1135"/>
      <c r="I2420" s="1711"/>
      <c r="J2420" s="1712"/>
      <c r="K2420" s="1720"/>
      <c r="L2420" s="1712"/>
      <c r="M2420" s="1713"/>
      <c r="N2420" s="1712"/>
      <c r="O2420" s="1712"/>
      <c r="P2420" s="1712"/>
      <c r="Q2420" s="1712"/>
      <c r="R2420" s="1721"/>
      <c r="S2420" s="1712"/>
      <c r="T2420" s="1712"/>
      <c r="U2420" s="1714"/>
    </row>
    <row r="2421" spans="2:21" ht="12" hidden="1" customHeight="1" outlineLevel="1" collapsed="1">
      <c r="B2421" s="3155" t="s">
        <v>1792</v>
      </c>
      <c r="C2421" s="3155"/>
      <c r="D2421" s="1055">
        <v>0</v>
      </c>
      <c r="E2421" s="1055"/>
      <c r="F2421" s="1051" t="str">
        <f t="shared" si="209"/>
        <v/>
      </c>
      <c r="G2421" s="1055" t="str">
        <f t="shared" si="210"/>
        <v/>
      </c>
      <c r="I2421" s="1711"/>
      <c r="J2421" s="1712"/>
      <c r="K2421" s="1720"/>
      <c r="L2421" s="1712"/>
      <c r="M2421" s="1713"/>
      <c r="N2421" s="1712"/>
      <c r="O2421" s="1712"/>
      <c r="P2421" s="1712"/>
      <c r="Q2421" s="1712"/>
      <c r="R2421" s="1721"/>
      <c r="S2421" s="1712"/>
      <c r="T2421" s="1712"/>
      <c r="U2421" s="1714"/>
    </row>
    <row r="2422" spans="2:21" hidden="1" outlineLevel="2">
      <c r="B2422" s="1050">
        <v>1</v>
      </c>
      <c r="C2422" s="1050" t="str">
        <f>IF(ISNA(VLOOKUP(B2422,$D$2422:$E$2464,2,FALSE)),"-",VLOOKUP(B2422,$D$2422:$E$2464,2,FALSE))</f>
        <v>Groupe EDF, Europe, PWC</v>
      </c>
      <c r="D2422" s="1055">
        <f t="shared" si="212"/>
        <v>1</v>
      </c>
      <c r="E2422" s="1055" t="str">
        <f>IF(COUNTIF(E$2421:E2421,F2422)&gt;0,"",F2422)</f>
        <v>Groupe EDF, Europe, PWC</v>
      </c>
      <c r="F2422" s="1051" t="str">
        <f t="shared" si="209"/>
        <v>Groupe EDF, Europe, PWC</v>
      </c>
      <c r="G2422" s="1055" t="str">
        <f t="shared" si="210"/>
        <v>Groupe EDF, Europe, PWC; kgCO2e/kWh</v>
      </c>
      <c r="I2422" s="1100" t="s">
        <v>2445</v>
      </c>
      <c r="J2422" s="1048" t="s">
        <v>1681</v>
      </c>
      <c r="K2422" s="1133" t="s">
        <v>832</v>
      </c>
      <c r="L2422" s="1135" t="s">
        <v>1568</v>
      </c>
      <c r="M2422" s="1134">
        <v>0.15</v>
      </c>
      <c r="N2422" s="1135"/>
      <c r="O2422" s="1135">
        <v>8.1000000000000003E-2</v>
      </c>
      <c r="P2422" s="1048"/>
      <c r="Q2422" s="1048"/>
      <c r="R2422" s="1158"/>
      <c r="S2422" s="1048"/>
      <c r="T2422" s="1048"/>
      <c r="U2422" s="1102"/>
    </row>
    <row r="2423" spans="2:21" hidden="1" outlineLevel="2">
      <c r="B2423" s="1050">
        <v>2</v>
      </c>
      <c r="C2423" s="1050" t="str">
        <f t="shared" ref="C2423:C2462" si="217">IF(ISNA(VLOOKUP(B2423,$D$2422:$E$2464,2,FALSE)),"-",VLOOKUP(B2423,$D$2422:$E$2464,2,FALSE))</f>
        <v xml:space="preserve"> A2A, Italie, PWC</v>
      </c>
      <c r="D2423" s="1055">
        <f t="shared" ref="D2423:D2462" si="218">D2422+IF(LEN(E2423)=0,0,1)</f>
        <v>2</v>
      </c>
      <c r="E2423" s="1055" t="str">
        <f>IF(COUNTIF(E$2421:E2422,F2423)&gt;0,"",F2423)</f>
        <v xml:space="preserve"> A2A, Italie, PWC</v>
      </c>
      <c r="F2423" s="1051" t="str">
        <f t="shared" ref="F2423:F2462" si="219">IF(I2423&lt;&gt;"",I2423&amp;IF(L2423&lt;&gt;"",", "&amp;L2423,"")&amp;IF(K2423&lt;&gt;"",", "&amp;K2423,""),"")</f>
        <v xml:space="preserve"> A2A, Italie, PWC</v>
      </c>
      <c r="G2423" s="1055" t="str">
        <f t="shared" ref="G2423:G2462" si="220">IF(F2423&lt;&gt;"",F2423&amp;IF(J2423&lt;&gt;"","; "&amp;J2423,"")&amp;IF(N2423&lt;&gt;"",", "&amp;N2423,""),"")</f>
        <v xml:space="preserve"> A2A, Italie, PWC; kgCO2e/kWh</v>
      </c>
      <c r="I2423" s="1100" t="s">
        <v>1790</v>
      </c>
      <c r="J2423" s="1048" t="s">
        <v>1681</v>
      </c>
      <c r="K2423" s="1133" t="s">
        <v>832</v>
      </c>
      <c r="L2423" s="1135" t="s">
        <v>1116</v>
      </c>
      <c r="M2423" s="1134">
        <v>0.15</v>
      </c>
      <c r="N2423" s="1135"/>
      <c r="O2423" s="1135">
        <v>0.436</v>
      </c>
      <c r="P2423" s="1048"/>
      <c r="Q2423" s="1048"/>
      <c r="R2423" s="1158"/>
      <c r="S2423" s="1048"/>
      <c r="T2423" s="1048"/>
      <c r="U2423" s="1102"/>
    </row>
    <row r="2424" spans="2:21" hidden="1" outlineLevel="2">
      <c r="B2424" s="1050">
        <v>3</v>
      </c>
      <c r="C2424" s="1050" t="str">
        <f t="shared" si="217"/>
        <v xml:space="preserve"> EnBW, Allemagne, PWC</v>
      </c>
      <c r="D2424" s="1055">
        <f t="shared" si="218"/>
        <v>3</v>
      </c>
      <c r="E2424" s="1055" t="str">
        <f>IF(COUNTIF(E$2421:E2423,F2424)&gt;0,"",F2424)</f>
        <v xml:space="preserve"> EnBW, Allemagne, PWC</v>
      </c>
      <c r="F2424" s="1051" t="str">
        <f t="shared" si="219"/>
        <v xml:space="preserve"> EnBW, Allemagne, PWC</v>
      </c>
      <c r="G2424" s="1055" t="str">
        <f t="shared" si="220"/>
        <v xml:space="preserve"> EnBW, Allemagne, PWC; kgCO2e/kWh</v>
      </c>
      <c r="I2424" s="1100" t="s">
        <v>1785</v>
      </c>
      <c r="J2424" s="1048" t="s">
        <v>1681</v>
      </c>
      <c r="K2424" s="1133" t="s">
        <v>832</v>
      </c>
      <c r="L2424" s="1135" t="s">
        <v>1057</v>
      </c>
      <c r="M2424" s="1134">
        <v>0.15</v>
      </c>
      <c r="N2424" s="1135"/>
      <c r="O2424" s="1135">
        <v>0.33</v>
      </c>
      <c r="P2424" s="1048"/>
      <c r="Q2424" s="1048"/>
      <c r="R2424" s="1158"/>
      <c r="S2424" s="1048"/>
      <c r="T2424" s="1048"/>
      <c r="U2424" s="1102"/>
    </row>
    <row r="2425" spans="2:21" hidden="1" outlineLevel="2">
      <c r="B2425" s="1050">
        <v>4</v>
      </c>
      <c r="C2425" s="1050" t="str">
        <f t="shared" si="217"/>
        <v>Groupe RWE, Europe, PWC</v>
      </c>
      <c r="D2425" s="1055">
        <f t="shared" si="218"/>
        <v>4</v>
      </c>
      <c r="E2425" s="1055" t="str">
        <f>IF(COUNTIF(E$2421:E2424,F2425)&gt;0,"",F2425)</f>
        <v>Groupe RWE, Europe, PWC</v>
      </c>
      <c r="F2425" s="1051" t="str">
        <f t="shared" si="219"/>
        <v>Groupe RWE, Europe, PWC</v>
      </c>
      <c r="G2425" s="1055" t="str">
        <f t="shared" si="220"/>
        <v>Groupe RWE, Europe, PWC; kgCO2e/kWh</v>
      </c>
      <c r="I2425" s="1100" t="s">
        <v>2446</v>
      </c>
      <c r="J2425" s="1048" t="s">
        <v>1681</v>
      </c>
      <c r="K2425" s="1133" t="s">
        <v>832</v>
      </c>
      <c r="L2425" s="1135" t="s">
        <v>1568</v>
      </c>
      <c r="M2425" s="1134">
        <v>0.15</v>
      </c>
      <c r="N2425" s="1135"/>
      <c r="O2425" s="1135">
        <v>0.72099999999999997</v>
      </c>
      <c r="P2425" s="1048"/>
      <c r="Q2425" s="1048"/>
      <c r="R2425" s="1158"/>
      <c r="S2425" s="1048"/>
      <c r="T2425" s="1048"/>
      <c r="U2425" s="1102"/>
    </row>
    <row r="2426" spans="2:21" hidden="1" outlineLevel="2">
      <c r="B2426" s="1050">
        <v>5</v>
      </c>
      <c r="C2426" s="1050" t="str">
        <f t="shared" si="217"/>
        <v>Groupe E.ON, Europe, PWC</v>
      </c>
      <c r="D2426" s="1055">
        <f t="shared" si="218"/>
        <v>5</v>
      </c>
      <c r="E2426" s="1055" t="str">
        <f>IF(COUNTIF(E$2421:E2425,F2426)&gt;0,"",F2426)</f>
        <v>Groupe E.ON, Europe, PWC</v>
      </c>
      <c r="F2426" s="1051" t="str">
        <f t="shared" si="219"/>
        <v>Groupe E.ON, Europe, PWC</v>
      </c>
      <c r="G2426" s="1055" t="str">
        <f t="shared" si="220"/>
        <v>Groupe E.ON, Europe, PWC; kgCO2e/kWh</v>
      </c>
      <c r="I2426" s="1100" t="s">
        <v>2447</v>
      </c>
      <c r="J2426" s="1048" t="s">
        <v>1681</v>
      </c>
      <c r="K2426" s="1133" t="s">
        <v>832</v>
      </c>
      <c r="L2426" s="1135" t="s">
        <v>1568</v>
      </c>
      <c r="M2426" s="1134">
        <v>0.15</v>
      </c>
      <c r="N2426" s="1135"/>
      <c r="O2426" s="2017">
        <v>0.35</v>
      </c>
      <c r="P2426" s="1048"/>
      <c r="Q2426" s="1048"/>
      <c r="R2426" s="1158"/>
      <c r="S2426" s="1048"/>
      <c r="T2426" s="1048"/>
      <c r="U2426" s="1102"/>
    </row>
    <row r="2427" spans="2:21" hidden="1" outlineLevel="2">
      <c r="B2427" s="1050">
        <v>6</v>
      </c>
      <c r="C2427" s="1050" t="str">
        <f t="shared" si="217"/>
        <v>Vattenfall, Europe, PWC</v>
      </c>
      <c r="D2427" s="1055">
        <f t="shared" si="218"/>
        <v>6</v>
      </c>
      <c r="E2427" s="1055" t="str">
        <f>IF(COUNTIF(E$2421:E2426,F2427)&gt;0,"",F2427)</f>
        <v>Vattenfall, Europe, PWC</v>
      </c>
      <c r="F2427" s="1051" t="str">
        <f t="shared" si="219"/>
        <v>Vattenfall, Europe, PWC</v>
      </c>
      <c r="G2427" s="1055" t="str">
        <f t="shared" si="220"/>
        <v>Vattenfall, Europe, PWC; kgCO2e/kWh</v>
      </c>
      <c r="I2427" s="1100" t="s">
        <v>2448</v>
      </c>
      <c r="J2427" s="1048" t="s">
        <v>1681</v>
      </c>
      <c r="K2427" s="1133" t="s">
        <v>832</v>
      </c>
      <c r="L2427" s="1135" t="s">
        <v>1568</v>
      </c>
      <c r="M2427" s="1134">
        <v>0.15</v>
      </c>
      <c r="N2427" s="1135"/>
      <c r="O2427" s="1135">
        <v>0.48399999999999999</v>
      </c>
      <c r="P2427" s="1048"/>
      <c r="Q2427" s="1048"/>
      <c r="R2427" s="1158"/>
      <c r="S2427" s="1048"/>
      <c r="T2427" s="1048"/>
      <c r="U2427" s="1102"/>
    </row>
    <row r="2428" spans="2:21" hidden="1" outlineLevel="2">
      <c r="B2428" s="1050">
        <v>7</v>
      </c>
      <c r="C2428" s="1050" t="str">
        <f t="shared" si="217"/>
        <v>Engie, Europe, PWC</v>
      </c>
      <c r="D2428" s="1055">
        <f t="shared" si="218"/>
        <v>7</v>
      </c>
      <c r="E2428" s="1055" t="str">
        <f>IF(COUNTIF(E$2421:E2427,F2428)&gt;0,"",F2428)</f>
        <v>Engie, Europe, PWC</v>
      </c>
      <c r="F2428" s="1051" t="str">
        <f t="shared" si="219"/>
        <v>Engie, Europe, PWC</v>
      </c>
      <c r="G2428" s="1055" t="str">
        <f t="shared" si="220"/>
        <v>Engie, Europe, PWC; kgCO2e/kWh</v>
      </c>
      <c r="I2428" s="1100" t="s">
        <v>2449</v>
      </c>
      <c r="J2428" s="1048" t="s">
        <v>1681</v>
      </c>
      <c r="K2428" s="1133" t="s">
        <v>832</v>
      </c>
      <c r="L2428" s="1135" t="s">
        <v>1568</v>
      </c>
      <c r="M2428" s="1134">
        <v>0.15</v>
      </c>
      <c r="N2428" s="1135"/>
      <c r="O2428" s="1135">
        <v>0.377</v>
      </c>
      <c r="P2428" s="1048"/>
      <c r="Q2428" s="1048"/>
      <c r="R2428" s="1158"/>
      <c r="S2428" s="1048"/>
      <c r="T2428" s="1048"/>
      <c r="U2428" s="1102"/>
    </row>
    <row r="2429" spans="2:21" hidden="1" outlineLevel="2">
      <c r="B2429" s="1050">
        <v>8</v>
      </c>
      <c r="C2429" s="1050" t="str">
        <f t="shared" si="217"/>
        <v>Groupe Enel, Europe, PWC</v>
      </c>
      <c r="D2429" s="1055">
        <f t="shared" si="218"/>
        <v>8</v>
      </c>
      <c r="E2429" s="1055" t="str">
        <f>IF(COUNTIF(E$2421:E2428,F2429)&gt;0,"",F2429)</f>
        <v>Groupe Enel, Europe, PWC</v>
      </c>
      <c r="F2429" s="1051" t="str">
        <f t="shared" si="219"/>
        <v>Groupe Enel, Europe, PWC</v>
      </c>
      <c r="G2429" s="1055" t="str">
        <f t="shared" si="220"/>
        <v>Groupe Enel, Europe, PWC; kgCO2e/kWh</v>
      </c>
      <c r="I2429" s="1100" t="s">
        <v>2450</v>
      </c>
      <c r="J2429" s="1048" t="s">
        <v>1681</v>
      </c>
      <c r="K2429" s="1133" t="s">
        <v>832</v>
      </c>
      <c r="L2429" s="1135" t="s">
        <v>1568</v>
      </c>
      <c r="M2429" s="1134">
        <v>0.15</v>
      </c>
      <c r="N2429" s="1135"/>
      <c r="O2429" s="1135">
        <v>0.40899999999999997</v>
      </c>
      <c r="P2429" s="1048"/>
      <c r="Q2429" s="1048"/>
      <c r="R2429" s="1158"/>
      <c r="S2429" s="1048"/>
      <c r="T2429" s="1048"/>
      <c r="U2429" s="1102"/>
    </row>
    <row r="2430" spans="2:21" hidden="1" outlineLevel="2">
      <c r="B2430" s="1050">
        <v>9</v>
      </c>
      <c r="C2430" s="1050" t="str">
        <f t="shared" si="217"/>
        <v>Groupe EDP, Europe, PWC</v>
      </c>
      <c r="D2430" s="1055">
        <f t="shared" si="218"/>
        <v>9</v>
      </c>
      <c r="E2430" s="1055" t="str">
        <f>IF(COUNTIF(E$2421:E2429,F2430)&gt;0,"",F2430)</f>
        <v>Groupe EDP, Europe, PWC</v>
      </c>
      <c r="F2430" s="1051" t="str">
        <f t="shared" si="219"/>
        <v>Groupe EDP, Europe, PWC</v>
      </c>
      <c r="G2430" s="1055" t="str">
        <f t="shared" si="220"/>
        <v>Groupe EDP, Europe, PWC; kgCO2e/kWh</v>
      </c>
      <c r="I2430" s="1100" t="s">
        <v>2451</v>
      </c>
      <c r="J2430" s="1048" t="s">
        <v>1681</v>
      </c>
      <c r="K2430" s="1133" t="s">
        <v>832</v>
      </c>
      <c r="L2430" s="1135" t="s">
        <v>1568</v>
      </c>
      <c r="M2430" s="1134">
        <v>0.15</v>
      </c>
      <c r="N2430" s="1135"/>
      <c r="O2430" s="1135">
        <v>0.52</v>
      </c>
      <c r="P2430" s="1048"/>
      <c r="Q2430" s="1048"/>
      <c r="R2430" s="1158"/>
      <c r="S2430" s="1048"/>
      <c r="T2430" s="1048"/>
      <c r="U2430" s="1102"/>
    </row>
    <row r="2431" spans="2:21" hidden="1" outlineLevel="2">
      <c r="B2431" s="1050">
        <v>10</v>
      </c>
      <c r="C2431" s="1050" t="str">
        <f t="shared" si="217"/>
        <v>CEZ, Europe, PWC</v>
      </c>
      <c r="D2431" s="1055">
        <f t="shared" si="218"/>
        <v>10</v>
      </c>
      <c r="E2431" s="1055" t="str">
        <f>IF(COUNTIF(E$2421:E2430,F2431)&gt;0,"",F2431)</f>
        <v>CEZ, Europe, PWC</v>
      </c>
      <c r="F2431" s="1051" t="str">
        <f t="shared" si="219"/>
        <v>CEZ, Europe, PWC</v>
      </c>
      <c r="G2431" s="1055" t="str">
        <f t="shared" si="220"/>
        <v>CEZ, Europe, PWC; kgCO2e/kWh</v>
      </c>
      <c r="I2431" s="1100" t="s">
        <v>2452</v>
      </c>
      <c r="J2431" s="1048" t="s">
        <v>1681</v>
      </c>
      <c r="K2431" s="1133" t="s">
        <v>832</v>
      </c>
      <c r="L2431" s="1135" t="s">
        <v>1568</v>
      </c>
      <c r="M2431" s="1134">
        <v>0.15</v>
      </c>
      <c r="N2431" s="1135"/>
      <c r="O2431" s="1135">
        <v>0.47799999999999998</v>
      </c>
      <c r="P2431" s="1048"/>
      <c r="Q2431" s="1048"/>
      <c r="R2431" s="1158"/>
      <c r="S2431" s="1048"/>
      <c r="T2431" s="1048"/>
      <c r="U2431" s="1102"/>
    </row>
    <row r="2432" spans="2:21" hidden="1" outlineLevel="2">
      <c r="B2432" s="1050">
        <v>11</v>
      </c>
      <c r="C2432" s="1050" t="str">
        <f t="shared" si="217"/>
        <v>Fortum, Finlande, PWC</v>
      </c>
      <c r="D2432" s="1055">
        <f t="shared" si="218"/>
        <v>11</v>
      </c>
      <c r="E2432" s="1055" t="str">
        <f>IF(COUNTIF(E$2421:E2431,F2432)&gt;0,"",F2432)</f>
        <v>Fortum, Finlande, PWC</v>
      </c>
      <c r="F2432" s="1051" t="str">
        <f t="shared" si="219"/>
        <v>Fortum, Finlande, PWC</v>
      </c>
      <c r="G2432" s="1055" t="str">
        <f t="shared" si="220"/>
        <v>Fortum, Finlande, PWC; kgCO2e/kWh</v>
      </c>
      <c r="I2432" s="1100" t="s">
        <v>2453</v>
      </c>
      <c r="J2432" s="1048" t="s">
        <v>1681</v>
      </c>
      <c r="K2432" s="1133" t="s">
        <v>832</v>
      </c>
      <c r="L2432" s="1135" t="s">
        <v>1100</v>
      </c>
      <c r="M2432" s="1134">
        <v>0.15</v>
      </c>
      <c r="N2432" s="1135"/>
      <c r="O2432" s="1135">
        <v>2.1000000000000001E-2</v>
      </c>
      <c r="P2432" s="1048"/>
      <c r="Q2432" s="1048"/>
      <c r="R2432" s="1158"/>
      <c r="S2432" s="1048"/>
      <c r="T2432" s="1048"/>
      <c r="U2432" s="1102"/>
    </row>
    <row r="2433" spans="2:21" hidden="1" outlineLevel="2">
      <c r="B2433" s="1050">
        <v>12</v>
      </c>
      <c r="C2433" s="1050" t="str">
        <f t="shared" si="217"/>
        <v>DEI, Grèce, PWC</v>
      </c>
      <c r="D2433" s="1055">
        <f t="shared" si="218"/>
        <v>12</v>
      </c>
      <c r="E2433" s="1055" t="str">
        <f>IF(COUNTIF(E$2421:E2432,F2433)&gt;0,"",F2433)</f>
        <v>DEI, Grèce, PWC</v>
      </c>
      <c r="F2433" s="1051" t="str">
        <f t="shared" si="219"/>
        <v>DEI, Grèce, PWC</v>
      </c>
      <c r="G2433" s="1055" t="str">
        <f t="shared" si="220"/>
        <v>DEI, Grèce, PWC; kgCO2e/kWh</v>
      </c>
      <c r="I2433" s="1100" t="s">
        <v>2454</v>
      </c>
      <c r="J2433" s="1048" t="s">
        <v>1681</v>
      </c>
      <c r="K2433" s="1133" t="s">
        <v>832</v>
      </c>
      <c r="L2433" s="1135" t="s">
        <v>1105</v>
      </c>
      <c r="M2433" s="1134">
        <v>0.15</v>
      </c>
      <c r="N2433" s="1135"/>
      <c r="O2433" s="1135">
        <v>1.006</v>
      </c>
      <c r="P2433" s="1048"/>
      <c r="Q2433" s="1048"/>
      <c r="R2433" s="1158"/>
      <c r="S2433" s="1048"/>
      <c r="T2433" s="1048"/>
      <c r="U2433" s="1102"/>
    </row>
    <row r="2434" spans="2:21" hidden="1" outlineLevel="2">
      <c r="B2434" s="1050">
        <v>13</v>
      </c>
      <c r="C2434" s="1050" t="str">
        <f t="shared" si="217"/>
        <v>Statkraft, Norvège, PWC</v>
      </c>
      <c r="D2434" s="1055">
        <f t="shared" si="218"/>
        <v>13</v>
      </c>
      <c r="E2434" s="1055" t="str">
        <f>IF(COUNTIF(E$2421:E2433,F2434)&gt;0,"",F2434)</f>
        <v>Statkraft, Norvège, PWC</v>
      </c>
      <c r="F2434" s="1051" t="str">
        <f t="shared" si="219"/>
        <v>Statkraft, Norvège, PWC</v>
      </c>
      <c r="G2434" s="1055" t="str">
        <f t="shared" si="220"/>
        <v>Statkraft, Norvège, PWC; kgCO2e/kWh</v>
      </c>
      <c r="I2434" s="1100" t="s">
        <v>2455</v>
      </c>
      <c r="J2434" s="1048" t="s">
        <v>1681</v>
      </c>
      <c r="K2434" s="1133" t="s">
        <v>832</v>
      </c>
      <c r="L2434" s="1135" t="s">
        <v>1143</v>
      </c>
      <c r="M2434" s="1134">
        <v>0.15</v>
      </c>
      <c r="N2434" s="1135"/>
      <c r="O2434" s="1135">
        <v>4.0000000000000001E-3</v>
      </c>
      <c r="P2434" s="1048"/>
      <c r="Q2434" s="1048"/>
      <c r="R2434" s="1158"/>
      <c r="S2434" s="1048"/>
      <c r="T2434" s="1048"/>
      <c r="U2434" s="1102"/>
    </row>
    <row r="2435" spans="2:21" hidden="1" outlineLevel="2">
      <c r="B2435" s="1050">
        <v>14</v>
      </c>
      <c r="C2435" s="1050" t="str">
        <f t="shared" si="217"/>
        <v>Verbund, Europe, PWC</v>
      </c>
      <c r="D2435" s="1055">
        <f t="shared" si="218"/>
        <v>14</v>
      </c>
      <c r="E2435" s="1055" t="str">
        <f>IF(COUNTIF(E$2421:E2434,F2435)&gt;0,"",F2435)</f>
        <v>Verbund, Europe, PWC</v>
      </c>
      <c r="F2435" s="1051" t="str">
        <f t="shared" si="219"/>
        <v>Verbund, Europe, PWC</v>
      </c>
      <c r="G2435" s="1055" t="str">
        <f t="shared" si="220"/>
        <v>Verbund, Europe, PWC; kgCO2e/kWh</v>
      </c>
      <c r="I2435" s="1100" t="s">
        <v>2456</v>
      </c>
      <c r="J2435" s="1048" t="s">
        <v>1681</v>
      </c>
      <c r="K2435" s="1133" t="s">
        <v>832</v>
      </c>
      <c r="L2435" s="1135" t="s">
        <v>1568</v>
      </c>
      <c r="M2435" s="1134">
        <v>0.15</v>
      </c>
      <c r="N2435" s="1135"/>
      <c r="O2435" s="1135">
        <v>5.5E-2</v>
      </c>
      <c r="P2435" s="1048"/>
      <c r="Q2435" s="1048"/>
      <c r="R2435" s="1158"/>
      <c r="S2435" s="1048"/>
      <c r="T2435" s="1048"/>
      <c r="U2435" s="1102"/>
    </row>
    <row r="2436" spans="2:21" hidden="1" outlineLevel="2">
      <c r="B2436" s="1050">
        <v>15</v>
      </c>
      <c r="C2436" s="1050" t="str">
        <f t="shared" si="217"/>
        <v>Gas Natural Fenosa, Espagne, PWC</v>
      </c>
      <c r="D2436" s="1055">
        <f t="shared" si="218"/>
        <v>15</v>
      </c>
      <c r="E2436" s="1055" t="str">
        <f>IF(COUNTIF(E$2421:E2435,F2436)&gt;0,"",F2436)</f>
        <v>Gas Natural Fenosa, Espagne, PWC</v>
      </c>
      <c r="F2436" s="1051" t="str">
        <f t="shared" si="219"/>
        <v>Gas Natural Fenosa, Espagne, PWC</v>
      </c>
      <c r="G2436" s="1055" t="str">
        <f t="shared" si="220"/>
        <v>Gas Natural Fenosa, Espagne, PWC; kgCO2e/kWh</v>
      </c>
      <c r="I2436" s="1100" t="s">
        <v>2457</v>
      </c>
      <c r="J2436" s="1048" t="s">
        <v>1681</v>
      </c>
      <c r="K2436" s="1133" t="s">
        <v>832</v>
      </c>
      <c r="L2436" s="1135" t="s">
        <v>1096</v>
      </c>
      <c r="M2436" s="1134">
        <v>0.15</v>
      </c>
      <c r="N2436" s="1135"/>
      <c r="O2436" s="1135">
        <v>0.43099999999999999</v>
      </c>
      <c r="P2436" s="1048"/>
      <c r="Q2436" s="1048"/>
      <c r="R2436" s="1158"/>
      <c r="S2436" s="1048"/>
      <c r="T2436" s="1048"/>
      <c r="U2436" s="1102"/>
    </row>
    <row r="2437" spans="2:21" hidden="1" outlineLevel="2">
      <c r="B2437" s="1050">
        <v>16</v>
      </c>
      <c r="C2437" s="1050" t="str">
        <f t="shared" si="217"/>
        <v>Drax, Royaume-Uni, PWC</v>
      </c>
      <c r="D2437" s="1055">
        <f t="shared" si="218"/>
        <v>16</v>
      </c>
      <c r="E2437" s="1055" t="str">
        <f>IF(COUNTIF(E$2421:E2436,F2437)&gt;0,"",F2437)</f>
        <v>Drax, Royaume-Uni, PWC</v>
      </c>
      <c r="F2437" s="1051" t="str">
        <f t="shared" si="219"/>
        <v>Drax, Royaume-Uni, PWC</v>
      </c>
      <c r="G2437" s="1055" t="str">
        <f t="shared" si="220"/>
        <v>Drax, Royaume-Uni, PWC; kgCO2e/kWh</v>
      </c>
      <c r="I2437" s="1100" t="s">
        <v>2458</v>
      </c>
      <c r="J2437" s="1048" t="s">
        <v>1681</v>
      </c>
      <c r="K2437" s="1133" t="s">
        <v>832</v>
      </c>
      <c r="L2437" s="1135" t="s">
        <v>1157</v>
      </c>
      <c r="M2437" s="1134">
        <v>0.15</v>
      </c>
      <c r="N2437" s="1135"/>
      <c r="O2437" s="1135">
        <v>0.49099999999999999</v>
      </c>
      <c r="P2437" s="1048"/>
      <c r="Q2437" s="1048"/>
      <c r="R2437" s="1158"/>
      <c r="S2437" s="1048"/>
      <c r="T2437" s="1048"/>
      <c r="U2437" s="1102"/>
    </row>
    <row r="2438" spans="2:21" hidden="1" outlineLevel="2">
      <c r="B2438" s="1050">
        <v>17</v>
      </c>
      <c r="C2438" s="1050" t="str">
        <f t="shared" si="217"/>
        <v>Scottish &amp; Southern, Royaume-Uni, PWC</v>
      </c>
      <c r="D2438" s="1055">
        <f t="shared" si="218"/>
        <v>17</v>
      </c>
      <c r="E2438" s="1055" t="str">
        <f>IF(COUNTIF(E$2421:E2437,F2438)&gt;0,"",F2438)</f>
        <v>Scottish &amp; Southern, Royaume-Uni, PWC</v>
      </c>
      <c r="F2438" s="1051" t="str">
        <f t="shared" si="219"/>
        <v>Scottish &amp; Southern, Royaume-Uni, PWC</v>
      </c>
      <c r="G2438" s="1055" t="str">
        <f t="shared" si="220"/>
        <v>Scottish &amp; Southern, Royaume-Uni, PWC; kgCO2e/kWh</v>
      </c>
      <c r="I2438" s="1100" t="s">
        <v>2459</v>
      </c>
      <c r="J2438" s="1048" t="s">
        <v>1681</v>
      </c>
      <c r="K2438" s="1133" t="s">
        <v>832</v>
      </c>
      <c r="L2438" s="1135" t="s">
        <v>1157</v>
      </c>
      <c r="M2438" s="1134">
        <v>0.15</v>
      </c>
      <c r="N2438" s="1135"/>
      <c r="O2438" s="1135">
        <v>0.39700000000000002</v>
      </c>
      <c r="P2438" s="1048"/>
      <c r="Q2438" s="1048"/>
      <c r="R2438" s="1158"/>
      <c r="S2438" s="1048"/>
      <c r="T2438" s="1048"/>
      <c r="U2438" s="1102"/>
    </row>
    <row r="2439" spans="2:21" hidden="1" outlineLevel="2">
      <c r="B2439" s="1050">
        <v>18</v>
      </c>
      <c r="C2439" s="1050" t="str">
        <f t="shared" si="217"/>
        <v>PVO, Finlande, PWC</v>
      </c>
      <c r="D2439" s="1055">
        <f t="shared" si="218"/>
        <v>18</v>
      </c>
      <c r="E2439" s="1055" t="str">
        <f>IF(COUNTIF(E$2421:E2438,F2439)&gt;0,"",F2439)</f>
        <v>PVO, Finlande, PWC</v>
      </c>
      <c r="F2439" s="1051" t="str">
        <f t="shared" si="219"/>
        <v>PVO, Finlande, PWC</v>
      </c>
      <c r="G2439" s="1055" t="str">
        <f t="shared" si="220"/>
        <v>PVO, Finlande, PWC; kgCO2e/kWh</v>
      </c>
      <c r="I2439" s="1100" t="s">
        <v>2460</v>
      </c>
      <c r="J2439" s="1048" t="s">
        <v>1681</v>
      </c>
      <c r="K2439" s="1133" t="s">
        <v>832</v>
      </c>
      <c r="L2439" s="1135" t="s">
        <v>1100</v>
      </c>
      <c r="M2439" s="1134">
        <v>0.15</v>
      </c>
      <c r="N2439" s="1135"/>
      <c r="O2439" s="1135">
        <v>8.4000000000000005E-2</v>
      </c>
      <c r="P2439" s="1048"/>
      <c r="Q2439" s="1048"/>
      <c r="R2439" s="1158"/>
      <c r="S2439" s="1048"/>
      <c r="T2439" s="1048"/>
      <c r="U2439" s="1102"/>
    </row>
    <row r="2440" spans="2:21" hidden="1" outlineLevel="2">
      <c r="B2440" s="1050">
        <v>19</v>
      </c>
      <c r="C2440" s="1050" t="str">
        <f t="shared" si="217"/>
        <v>Dong, Danemark, PWC</v>
      </c>
      <c r="D2440" s="1055">
        <f t="shared" si="218"/>
        <v>19</v>
      </c>
      <c r="E2440" s="1055" t="str">
        <f>IF(COUNTIF(E$2421:E2439,F2440)&gt;0,"",F2440)</f>
        <v>Dong, Danemark, PWC</v>
      </c>
      <c r="F2440" s="1051" t="str">
        <f t="shared" si="219"/>
        <v>Dong, Danemark, PWC</v>
      </c>
      <c r="G2440" s="1055" t="str">
        <f t="shared" si="220"/>
        <v>Dong, Danemark, PWC; kgCO2e/kWh</v>
      </c>
      <c r="I2440" s="1100" t="s">
        <v>2461</v>
      </c>
      <c r="J2440" s="1048" t="s">
        <v>1681</v>
      </c>
      <c r="K2440" s="1133" t="s">
        <v>832</v>
      </c>
      <c r="L2440" s="1135" t="s">
        <v>1090</v>
      </c>
      <c r="M2440" s="1134">
        <v>0.15</v>
      </c>
      <c r="N2440" s="1135"/>
      <c r="O2440" s="1135">
        <v>0.22</v>
      </c>
      <c r="P2440" s="1048"/>
      <c r="Q2440" s="1048"/>
      <c r="R2440" s="1158"/>
      <c r="S2440" s="1048"/>
      <c r="T2440" s="1048"/>
      <c r="U2440" s="1102"/>
    </row>
    <row r="2441" spans="2:21" hidden="1" outlineLevel="2">
      <c r="B2441" s="1050">
        <v>20</v>
      </c>
      <c r="C2441" s="1050" t="str">
        <f t="shared" si="217"/>
        <v>Iberdrola + Scottish Power, Europe, PWC</v>
      </c>
      <c r="D2441" s="1055">
        <f t="shared" si="218"/>
        <v>20</v>
      </c>
      <c r="E2441" s="1055" t="str">
        <f>IF(COUNTIF(E$2421:E2440,F2441)&gt;0,"",F2441)</f>
        <v>Iberdrola + Scottish Power, Europe, PWC</v>
      </c>
      <c r="F2441" s="1051" t="str">
        <f t="shared" si="219"/>
        <v>Iberdrola + Scottish Power, Europe, PWC</v>
      </c>
      <c r="G2441" s="1055" t="str">
        <f t="shared" si="220"/>
        <v>Iberdrola + Scottish Power, Europe, PWC; kgCO2e/kWh</v>
      </c>
      <c r="I2441" s="1100" t="s">
        <v>2462</v>
      </c>
      <c r="J2441" s="1048" t="s">
        <v>1681</v>
      </c>
      <c r="K2441" s="1133" t="s">
        <v>832</v>
      </c>
      <c r="L2441" s="1135" t="s">
        <v>1568</v>
      </c>
      <c r="M2441" s="1134">
        <v>0.15</v>
      </c>
      <c r="N2441" s="1135"/>
      <c r="O2441" s="1135">
        <v>0.217</v>
      </c>
      <c r="P2441" s="1048"/>
      <c r="Q2441" s="1048"/>
      <c r="R2441" s="1158"/>
      <c r="S2441" s="1048"/>
      <c r="T2441" s="1048"/>
      <c r="U2441" s="1102"/>
    </row>
    <row r="2442" spans="2:21" hidden="1" outlineLevel="2">
      <c r="B2442" s="1050">
        <v>21</v>
      </c>
      <c r="C2442" s="1050" t="str">
        <f t="shared" si="217"/>
        <v>EDF France, France, PWC</v>
      </c>
      <c r="D2442" s="1055">
        <f t="shared" si="218"/>
        <v>21</v>
      </c>
      <c r="E2442" s="1055" t="str">
        <f>IF(COUNTIF(E$2421:E2441,F2442)&gt;0,"",F2442)</f>
        <v>EDF France, France, PWC</v>
      </c>
      <c r="F2442" s="1051" t="str">
        <f t="shared" si="219"/>
        <v>EDF France, France, PWC</v>
      </c>
      <c r="G2442" s="1055" t="str">
        <f t="shared" si="220"/>
        <v>EDF France, France, PWC; kgCO2e/kWh</v>
      </c>
      <c r="I2442" s="1100" t="s">
        <v>2464</v>
      </c>
      <c r="J2442" s="1048" t="s">
        <v>1681</v>
      </c>
      <c r="K2442" s="1133" t="s">
        <v>832</v>
      </c>
      <c r="L2442" s="1135" t="s">
        <v>239</v>
      </c>
      <c r="M2442" s="1134">
        <v>0.15</v>
      </c>
      <c r="N2442" s="1135"/>
      <c r="O2442" s="1135">
        <v>2.8000000000000001E-2</v>
      </c>
      <c r="P2442" s="1048"/>
      <c r="Q2442" s="1048"/>
      <c r="R2442" s="1158"/>
      <c r="S2442" s="1048"/>
      <c r="T2442" s="1048"/>
      <c r="U2442" s="1102"/>
    </row>
    <row r="2443" spans="2:21" hidden="1" outlineLevel="2">
      <c r="B2443" s="1050">
        <v>22</v>
      </c>
      <c r="C2443" s="1050" t="str">
        <f t="shared" si="217"/>
        <v>EDF Energies Nouvelles, Europe (hors France), PWC</v>
      </c>
      <c r="D2443" s="1055">
        <f t="shared" si="218"/>
        <v>22</v>
      </c>
      <c r="E2443" s="1055" t="str">
        <f>IF(COUNTIF(E$2421:E2442,F2443)&gt;0,"",F2443)</f>
        <v>EDF Energies Nouvelles, Europe (hors France), PWC</v>
      </c>
      <c r="F2443" s="1051" t="str">
        <f t="shared" si="219"/>
        <v>EDF Energies Nouvelles, Europe (hors France), PWC</v>
      </c>
      <c r="G2443" s="1055" t="str">
        <f t="shared" si="220"/>
        <v>EDF Energies Nouvelles, Europe (hors France), PWC; kgCO2e/kWh</v>
      </c>
      <c r="I2443" s="1100" t="s">
        <v>2463</v>
      </c>
      <c r="J2443" s="1048" t="s">
        <v>1681</v>
      </c>
      <c r="K2443" s="1133" t="s">
        <v>832</v>
      </c>
      <c r="L2443" s="1135" t="s">
        <v>2466</v>
      </c>
      <c r="M2443" s="1134">
        <v>0.15</v>
      </c>
      <c r="N2443" s="1135"/>
      <c r="O2443" s="1135">
        <v>2.5000000000000001E-2</v>
      </c>
      <c r="P2443" s="1048"/>
      <c r="Q2443" s="1048"/>
      <c r="R2443" s="1158"/>
      <c r="S2443" s="1048"/>
      <c r="T2443" s="1048"/>
      <c r="U2443" s="1102"/>
    </row>
    <row r="2444" spans="2:21" hidden="1" outlineLevel="2">
      <c r="B2444" s="1050">
        <v>23</v>
      </c>
      <c r="C2444" s="1050" t="str">
        <f t="shared" si="217"/>
        <v>EDF Energy, Royaume-Uni, PWC</v>
      </c>
      <c r="D2444" s="1055">
        <f t="shared" si="218"/>
        <v>23</v>
      </c>
      <c r="E2444" s="1055" t="str">
        <f>IF(COUNTIF(E$2421:E2443,F2444)&gt;0,"",F2444)</f>
        <v>EDF Energy, Royaume-Uni, PWC</v>
      </c>
      <c r="F2444" s="1051" t="str">
        <f t="shared" si="219"/>
        <v>EDF Energy, Royaume-Uni, PWC</v>
      </c>
      <c r="G2444" s="1055" t="str">
        <f t="shared" si="220"/>
        <v>EDF Energy, Royaume-Uni, PWC; kgCO2e/kWh</v>
      </c>
      <c r="I2444" s="1100" t="s">
        <v>2465</v>
      </c>
      <c r="J2444" s="1048" t="s">
        <v>1681</v>
      </c>
      <c r="K2444" s="1133" t="s">
        <v>832</v>
      </c>
      <c r="L2444" s="1135" t="s">
        <v>1157</v>
      </c>
      <c r="M2444" s="1134">
        <v>0.15</v>
      </c>
      <c r="N2444" s="1135"/>
      <c r="O2444" s="1135">
        <v>0.20399999999999999</v>
      </c>
      <c r="P2444" s="1048"/>
      <c r="Q2444" s="1048"/>
      <c r="R2444" s="1158"/>
      <c r="S2444" s="1048"/>
      <c r="T2444" s="1048"/>
      <c r="U2444" s="1102"/>
    </row>
    <row r="2445" spans="2:21" hidden="1" outlineLevel="2">
      <c r="B2445" s="1050">
        <v>24</v>
      </c>
      <c r="C2445" s="1050" t="str">
        <f t="shared" si="217"/>
        <v>Edison, Italie, PWC</v>
      </c>
      <c r="D2445" s="1055">
        <f t="shared" si="218"/>
        <v>24</v>
      </c>
      <c r="E2445" s="1055" t="str">
        <f>IF(COUNTIF(E$2421:E2444,F2445)&gt;0,"",F2445)</f>
        <v>Edison, Italie, PWC</v>
      </c>
      <c r="F2445" s="1051" t="str">
        <f t="shared" si="219"/>
        <v>Edison, Italie, PWC</v>
      </c>
      <c r="G2445" s="1055" t="str">
        <f t="shared" si="220"/>
        <v>Edison, Italie, PWC; kgCO2e/kWh</v>
      </c>
      <c r="I2445" s="1100" t="s">
        <v>1793</v>
      </c>
      <c r="J2445" s="1048" t="s">
        <v>1681</v>
      </c>
      <c r="K2445" s="1133" t="s">
        <v>832</v>
      </c>
      <c r="L2445" s="1135" t="s">
        <v>1116</v>
      </c>
      <c r="M2445" s="1134">
        <v>0.15</v>
      </c>
      <c r="N2445" s="1135"/>
      <c r="O2445" s="1135">
        <v>0.28999999999999998</v>
      </c>
      <c r="P2445" s="1048"/>
      <c r="Q2445" s="1048"/>
      <c r="R2445" s="1158"/>
      <c r="S2445" s="1048"/>
      <c r="T2445" s="1048"/>
      <c r="U2445" s="1102"/>
    </row>
    <row r="2446" spans="2:21" hidden="1" outlineLevel="2">
      <c r="B2446" s="1050">
        <v>25</v>
      </c>
      <c r="C2446" s="1050" t="str">
        <f t="shared" si="217"/>
        <v>ERSA &amp; Kogeneracja, Pologne, PWC</v>
      </c>
      <c r="D2446" s="1055">
        <f t="shared" si="218"/>
        <v>25</v>
      </c>
      <c r="E2446" s="1055" t="str">
        <f>IF(COUNTIF(E$2421:E2445,F2446)&gt;0,"",F2446)</f>
        <v>ERSA &amp; Kogeneracja, Pologne, PWC</v>
      </c>
      <c r="F2446" s="1051" t="str">
        <f t="shared" si="219"/>
        <v>ERSA &amp; Kogeneracja, Pologne, PWC</v>
      </c>
      <c r="G2446" s="1055" t="str">
        <f t="shared" si="220"/>
        <v>ERSA &amp; Kogeneracja, Pologne, PWC; kgCO2e/kWh</v>
      </c>
      <c r="I2446" s="1100" t="s">
        <v>2467</v>
      </c>
      <c r="J2446" s="1048" t="s">
        <v>1681</v>
      </c>
      <c r="K2446" s="1133" t="s">
        <v>832</v>
      </c>
      <c r="L2446" s="1135" t="s">
        <v>1152</v>
      </c>
      <c r="M2446" s="1134">
        <v>0.15</v>
      </c>
      <c r="N2446" s="1135"/>
      <c r="O2446" s="1135">
        <v>0.61199999999999999</v>
      </c>
      <c r="P2446" s="1048"/>
      <c r="Q2446" s="1048"/>
      <c r="R2446" s="1158"/>
      <c r="S2446" s="1048"/>
      <c r="T2446" s="1048"/>
      <c r="U2446" s="1102"/>
    </row>
    <row r="2447" spans="2:21" hidden="1" outlineLevel="2">
      <c r="B2447" s="1050">
        <v>26</v>
      </c>
      <c r="C2447" s="1050" t="str">
        <f t="shared" si="217"/>
        <v>EDF Luminus, Belgique, PWC</v>
      </c>
      <c r="D2447" s="1055">
        <f t="shared" si="218"/>
        <v>26</v>
      </c>
      <c r="E2447" s="1055" t="str">
        <f>IF(COUNTIF(E$2421:E2446,F2447)&gt;0,"",F2447)</f>
        <v>EDF Luminus, Belgique, PWC</v>
      </c>
      <c r="F2447" s="1051" t="str">
        <f t="shared" si="219"/>
        <v>EDF Luminus, Belgique, PWC</v>
      </c>
      <c r="G2447" s="1055" t="str">
        <f t="shared" si="220"/>
        <v>EDF Luminus, Belgique, PWC; kgCO2e/kWh</v>
      </c>
      <c r="I2447" s="1100" t="s">
        <v>1794</v>
      </c>
      <c r="J2447" s="1048" t="s">
        <v>1681</v>
      </c>
      <c r="K2447" s="1133" t="s">
        <v>832</v>
      </c>
      <c r="L2447" s="1135" t="s">
        <v>1069</v>
      </c>
      <c r="M2447" s="1134">
        <v>0.15</v>
      </c>
      <c r="N2447" s="1135"/>
      <c r="O2447" s="1135">
        <v>0.1</v>
      </c>
      <c r="P2447" s="1048"/>
      <c r="Q2447" s="1048"/>
      <c r="R2447" s="1158"/>
      <c r="S2447" s="1048"/>
      <c r="T2447" s="1048"/>
      <c r="U2447" s="1102"/>
    </row>
    <row r="2448" spans="2:21" hidden="1" outlineLevel="2">
      <c r="B2448" s="1050">
        <v>27</v>
      </c>
      <c r="C2448" s="1050" t="str">
        <f t="shared" si="217"/>
        <v>BE ZRT &amp; EDF Demasz, PWC</v>
      </c>
      <c r="D2448" s="1055">
        <f t="shared" si="218"/>
        <v>27</v>
      </c>
      <c r="E2448" s="1055" t="str">
        <f>IF(COUNTIF(E$2421:E2447,F2448)&gt;0,"",F2448)</f>
        <v>BE ZRT &amp; EDF Demasz, PWC</v>
      </c>
      <c r="F2448" s="1051" t="str">
        <f t="shared" si="219"/>
        <v>BE ZRT &amp; EDF Demasz, PWC</v>
      </c>
      <c r="G2448" s="1055" t="str">
        <f t="shared" si="220"/>
        <v>BE ZRT &amp; EDF Demasz, PWC; kgCO2e/kWh</v>
      </c>
      <c r="I2448" s="1100" t="s">
        <v>2468</v>
      </c>
      <c r="J2448" s="1048" t="s">
        <v>1681</v>
      </c>
      <c r="K2448" s="1133" t="s">
        <v>832</v>
      </c>
      <c r="L2448" s="1135"/>
      <c r="M2448" s="1134">
        <v>0.15</v>
      </c>
      <c r="N2448" s="1135"/>
      <c r="O2448" s="1135">
        <v>0.249</v>
      </c>
      <c r="P2448" s="1048"/>
      <c r="Q2448" s="1048"/>
      <c r="R2448" s="1158"/>
      <c r="S2448" s="1048"/>
      <c r="T2448" s="1048"/>
      <c r="U2448" s="1102"/>
    </row>
    <row r="2449" spans="2:21" hidden="1" outlineLevel="2">
      <c r="B2449" s="1050">
        <v>28</v>
      </c>
      <c r="C2449" s="1050" t="str">
        <f t="shared" si="217"/>
        <v xml:space="preserve"> RWE, Allemagne, PWC</v>
      </c>
      <c r="D2449" s="1055">
        <f t="shared" si="218"/>
        <v>28</v>
      </c>
      <c r="E2449" s="1055" t="str">
        <f>IF(COUNTIF(E$2421:E2448,F2449)&gt;0,"",F2449)</f>
        <v xml:space="preserve"> RWE, Allemagne, PWC</v>
      </c>
      <c r="F2449" s="1051" t="str">
        <f t="shared" si="219"/>
        <v xml:space="preserve"> RWE, Allemagne, PWC</v>
      </c>
      <c r="G2449" s="1055" t="str">
        <f t="shared" si="220"/>
        <v xml:space="preserve"> RWE, Allemagne, PWC; kgCO2e/kWh</v>
      </c>
      <c r="I2449" s="1100" t="s">
        <v>1787</v>
      </c>
      <c r="J2449" s="1048" t="s">
        <v>1681</v>
      </c>
      <c r="K2449" s="1133" t="s">
        <v>832</v>
      </c>
      <c r="L2449" s="1135" t="s">
        <v>1057</v>
      </c>
      <c r="M2449" s="1134">
        <v>0.15</v>
      </c>
      <c r="N2449" s="1135"/>
      <c r="O2449" s="1135">
        <v>0.83899999999999997</v>
      </c>
      <c r="P2449" s="1048"/>
      <c r="Q2449" s="1048"/>
      <c r="R2449" s="1158"/>
      <c r="S2449" s="1048"/>
      <c r="T2449" s="1048"/>
      <c r="U2449" s="1102"/>
    </row>
    <row r="2450" spans="2:21" hidden="1" outlineLevel="2">
      <c r="B2450" s="1050">
        <v>29</v>
      </c>
      <c r="C2450" s="1050" t="str">
        <f t="shared" si="217"/>
        <v xml:space="preserve"> RWE UK, Royaume-Uni, PWC</v>
      </c>
      <c r="D2450" s="1055">
        <f t="shared" si="218"/>
        <v>29</v>
      </c>
      <c r="E2450" s="1055" t="str">
        <f>IF(COUNTIF(E$2421:E2449,F2450)&gt;0,"",F2450)</f>
        <v xml:space="preserve"> RWE UK, Royaume-Uni, PWC</v>
      </c>
      <c r="F2450" s="1051" t="str">
        <f t="shared" si="219"/>
        <v xml:space="preserve"> RWE UK, Royaume-Uni, PWC</v>
      </c>
      <c r="G2450" s="1055" t="str">
        <f t="shared" si="220"/>
        <v xml:space="preserve"> RWE UK, Royaume-Uni, PWC; kgCO2e/kWh</v>
      </c>
      <c r="I2450" s="1100" t="s">
        <v>1789</v>
      </c>
      <c r="J2450" s="1048" t="s">
        <v>1681</v>
      </c>
      <c r="K2450" s="1133" t="s">
        <v>832</v>
      </c>
      <c r="L2450" s="1135" t="s">
        <v>1157</v>
      </c>
      <c r="M2450" s="1134">
        <v>0.15</v>
      </c>
      <c r="N2450" s="1135"/>
      <c r="O2450" s="1135">
        <v>0.47199999999999998</v>
      </c>
      <c r="P2450" s="1048"/>
      <c r="Q2450" s="1048"/>
      <c r="R2450" s="1158"/>
      <c r="S2450" s="1048"/>
      <c r="T2450" s="1048"/>
      <c r="U2450" s="1102"/>
    </row>
    <row r="2451" spans="2:21" hidden="1" outlineLevel="2">
      <c r="B2451" s="1050">
        <v>30</v>
      </c>
      <c r="C2451" s="1050" t="str">
        <f t="shared" si="217"/>
        <v>RWE Belgium Netherlands, Europe, PWC</v>
      </c>
      <c r="D2451" s="1055">
        <f t="shared" si="218"/>
        <v>30</v>
      </c>
      <c r="E2451" s="1055" t="str">
        <f>IF(COUNTIF(E$2421:E2450,F2451)&gt;0,"",F2451)</f>
        <v>RWE Belgium Netherlands, Europe, PWC</v>
      </c>
      <c r="F2451" s="1051" t="str">
        <f t="shared" si="219"/>
        <v>RWE Belgium Netherlands, Europe, PWC</v>
      </c>
      <c r="G2451" s="1055" t="str">
        <f t="shared" si="220"/>
        <v>RWE Belgium Netherlands, Europe, PWC; kgCO2e/kWh</v>
      </c>
      <c r="I2451" s="1100" t="s">
        <v>2469</v>
      </c>
      <c r="J2451" s="1048" t="s">
        <v>1681</v>
      </c>
      <c r="K2451" s="1133" t="s">
        <v>832</v>
      </c>
      <c r="L2451" s="1135" t="s">
        <v>1568</v>
      </c>
      <c r="M2451" s="1134">
        <v>0.15</v>
      </c>
      <c r="N2451" s="1135"/>
      <c r="O2451" s="1135">
        <v>0.66400000000000003</v>
      </c>
      <c r="P2451" s="1048"/>
      <c r="Q2451" s="1048"/>
      <c r="R2451" s="1158"/>
      <c r="S2451" s="1048"/>
      <c r="T2451" s="1048"/>
      <c r="U2451" s="1102"/>
    </row>
    <row r="2452" spans="2:21" hidden="1" outlineLevel="2">
      <c r="B2452" s="1050">
        <v>31</v>
      </c>
      <c r="C2452" s="1050" t="str">
        <f t="shared" si="217"/>
        <v>RWE Central / Eastern, Europe, PWC</v>
      </c>
      <c r="D2452" s="1055">
        <f t="shared" si="218"/>
        <v>31</v>
      </c>
      <c r="E2452" s="1055" t="str">
        <f>IF(COUNTIF(E$2421:E2451,F2452)&gt;0,"",F2452)</f>
        <v>RWE Central / Eastern, Europe, PWC</v>
      </c>
      <c r="F2452" s="1051" t="str">
        <f t="shared" si="219"/>
        <v>RWE Central / Eastern, Europe, PWC</v>
      </c>
      <c r="G2452" s="1055" t="str">
        <f t="shared" si="220"/>
        <v>RWE Central / Eastern, Europe, PWC; kgCO2e/kWh</v>
      </c>
      <c r="I2452" s="1100" t="s">
        <v>2470</v>
      </c>
      <c r="J2452" s="1048" t="s">
        <v>1681</v>
      </c>
      <c r="K2452" s="1133" t="s">
        <v>832</v>
      </c>
      <c r="L2452" s="1135" t="s">
        <v>1568</v>
      </c>
      <c r="M2452" s="1134">
        <v>0.15</v>
      </c>
      <c r="N2452" s="1135"/>
      <c r="O2452" s="1135">
        <v>1.208</v>
      </c>
      <c r="P2452" s="1048"/>
      <c r="Q2452" s="1048"/>
      <c r="R2452" s="1158"/>
      <c r="S2452" s="1048"/>
      <c r="T2452" s="1048"/>
      <c r="U2452" s="1102"/>
    </row>
    <row r="2453" spans="2:21" hidden="1" outlineLevel="2">
      <c r="B2453" s="1050">
        <v>32</v>
      </c>
      <c r="C2453" s="1050" t="str">
        <f t="shared" si="217"/>
        <v>E.ON, Europe, PWC</v>
      </c>
      <c r="D2453" s="1055">
        <f t="shared" si="218"/>
        <v>32</v>
      </c>
      <c r="E2453" s="1055" t="str">
        <f>IF(COUNTIF(E$2421:E2452,F2453)&gt;0,"",F2453)</f>
        <v>E.ON, Europe, PWC</v>
      </c>
      <c r="F2453" s="1051" t="str">
        <f t="shared" si="219"/>
        <v>E.ON, Europe, PWC</v>
      </c>
      <c r="G2453" s="1055" t="str">
        <f t="shared" si="220"/>
        <v>E.ON, Europe, PWC; kgCO2e/kWh</v>
      </c>
      <c r="I2453" s="1100" t="s">
        <v>2471</v>
      </c>
      <c r="J2453" s="1048" t="s">
        <v>1681</v>
      </c>
      <c r="K2453" s="1133" t="s">
        <v>832</v>
      </c>
      <c r="L2453" s="1135" t="s">
        <v>1568</v>
      </c>
      <c r="M2453" s="1134">
        <v>0.15</v>
      </c>
      <c r="N2453" s="1135"/>
      <c r="O2453" s="1135">
        <v>0.23899999999999999</v>
      </c>
      <c r="P2453" s="1048"/>
      <c r="Q2453" s="1048"/>
      <c r="R2453" s="1158"/>
      <c r="S2453" s="1048"/>
      <c r="T2453" s="1048"/>
      <c r="U2453" s="1102"/>
    </row>
    <row r="2454" spans="2:21" hidden="1" outlineLevel="2">
      <c r="B2454" s="1050">
        <v>33</v>
      </c>
      <c r="C2454" s="1050" t="str">
        <f t="shared" si="217"/>
        <v>E.ON UK, Royaume-Uni, PWC</v>
      </c>
      <c r="D2454" s="1055">
        <f t="shared" si="218"/>
        <v>33</v>
      </c>
      <c r="E2454" s="1055" t="str">
        <f>IF(COUNTIF(E$2421:E2453,F2454)&gt;0,"",F2454)</f>
        <v>E.ON UK, Royaume-Uni, PWC</v>
      </c>
      <c r="F2454" s="1051" t="str">
        <f t="shared" si="219"/>
        <v>E.ON UK, Royaume-Uni, PWC</v>
      </c>
      <c r="G2454" s="1055" t="str">
        <f t="shared" si="220"/>
        <v>E.ON UK, Royaume-Uni, PWC; kgCO2e/kWh</v>
      </c>
      <c r="I2454" s="1100" t="s">
        <v>2472</v>
      </c>
      <c r="J2454" s="1048" t="s">
        <v>1681</v>
      </c>
      <c r="K2454" s="1133" t="s">
        <v>832</v>
      </c>
      <c r="L2454" s="1135" t="s">
        <v>1157</v>
      </c>
      <c r="M2454" s="1134">
        <v>0.15</v>
      </c>
      <c r="N2454" s="1135"/>
      <c r="O2454" s="1135">
        <v>0.43</v>
      </c>
      <c r="P2454" s="1048"/>
      <c r="Q2454" s="1048"/>
      <c r="R2454" s="1158"/>
      <c r="S2454" s="1048"/>
      <c r="T2454" s="1048"/>
      <c r="U2454" s="1102"/>
    </row>
    <row r="2455" spans="2:21" hidden="1" outlineLevel="2">
      <c r="B2455" s="1050">
        <v>34</v>
      </c>
      <c r="C2455" s="1050" t="str">
        <f t="shared" si="217"/>
        <v>ex Endesa Italia, Italie, PWC</v>
      </c>
      <c r="D2455" s="1055">
        <f t="shared" si="218"/>
        <v>34</v>
      </c>
      <c r="E2455" s="1055" t="str">
        <f>IF(COUNTIF(E$2421:E2454,F2455)&gt;0,"",F2455)</f>
        <v>ex Endesa Italia, Italie, PWC</v>
      </c>
      <c r="F2455" s="1051" t="str">
        <f t="shared" si="219"/>
        <v>ex Endesa Italia, Italie, PWC</v>
      </c>
      <c r="G2455" s="1055" t="str">
        <f t="shared" si="220"/>
        <v>ex Endesa Italia, Italie, PWC; kgCO2e/kWh</v>
      </c>
      <c r="I2455" s="1100" t="s">
        <v>2473</v>
      </c>
      <c r="J2455" s="1048" t="s">
        <v>1681</v>
      </c>
      <c r="K2455" s="1133" t="s">
        <v>832</v>
      </c>
      <c r="L2455" s="1135" t="s">
        <v>1116</v>
      </c>
      <c r="M2455" s="1134">
        <v>0.15</v>
      </c>
      <c r="N2455" s="1135"/>
      <c r="O2455" s="1135">
        <v>0.38</v>
      </c>
      <c r="P2455" s="1048"/>
      <c r="Q2455" s="1048"/>
      <c r="R2455" s="1158"/>
      <c r="S2455" s="1048"/>
      <c r="T2455" s="1048"/>
      <c r="U2455" s="1102"/>
    </row>
    <row r="2456" spans="2:21" hidden="1" outlineLevel="2">
      <c r="B2456" s="1050">
        <v>35</v>
      </c>
      <c r="C2456" s="1050" t="str">
        <f t="shared" si="217"/>
        <v xml:space="preserve"> E.ON France, France, PWC</v>
      </c>
      <c r="D2456" s="1055">
        <f t="shared" si="218"/>
        <v>35</v>
      </c>
      <c r="E2456" s="1055" t="str">
        <f>IF(COUNTIF(E$2421:E2455,F2456)&gt;0,"",F2456)</f>
        <v xml:space="preserve"> E.ON France, France, PWC</v>
      </c>
      <c r="F2456" s="1051" t="str">
        <f t="shared" si="219"/>
        <v xml:space="preserve"> E.ON France, France, PWC</v>
      </c>
      <c r="G2456" s="1055" t="str">
        <f t="shared" si="220"/>
        <v xml:space="preserve"> E.ON France, France, PWC; kgCO2e/kWh</v>
      </c>
      <c r="I2456" s="1100" t="s">
        <v>1788</v>
      </c>
      <c r="J2456" s="1048" t="s">
        <v>1681</v>
      </c>
      <c r="K2456" s="1133" t="s">
        <v>832</v>
      </c>
      <c r="L2456" s="1135" t="s">
        <v>239</v>
      </c>
      <c r="M2456" s="1134">
        <v>0.15</v>
      </c>
      <c r="N2456" s="1135"/>
      <c r="O2456" s="1135">
        <v>0.76</v>
      </c>
      <c r="P2456" s="1048"/>
      <c r="Q2456" s="1048"/>
      <c r="R2456" s="1158"/>
      <c r="S2456" s="1048"/>
      <c r="T2456" s="1048"/>
      <c r="U2456" s="1102"/>
    </row>
    <row r="2457" spans="2:21" hidden="1" outlineLevel="2">
      <c r="B2457" s="1050">
        <v>36</v>
      </c>
      <c r="C2457" s="1050" t="str">
        <f t="shared" si="217"/>
        <v xml:space="preserve"> E.ON Germany, Allemagne, PWC</v>
      </c>
      <c r="D2457" s="1055">
        <f t="shared" si="218"/>
        <v>36</v>
      </c>
      <c r="E2457" s="1055" t="str">
        <f>IF(COUNTIF(E$2421:E2456,F2457)&gt;0,"",F2457)</f>
        <v xml:space="preserve"> E.ON Germany, Allemagne, PWC</v>
      </c>
      <c r="F2457" s="1051" t="str">
        <f t="shared" si="219"/>
        <v xml:space="preserve"> E.ON Germany, Allemagne, PWC</v>
      </c>
      <c r="G2457" s="1055" t="str">
        <f t="shared" si="220"/>
        <v xml:space="preserve"> E.ON Germany, Allemagne, PWC; kgCO2e/kWh</v>
      </c>
      <c r="I2457" s="1100" t="s">
        <v>1786</v>
      </c>
      <c r="J2457" s="1048" t="s">
        <v>1681</v>
      </c>
      <c r="K2457" s="1133" t="s">
        <v>832</v>
      </c>
      <c r="L2457" s="1135" t="s">
        <v>1057</v>
      </c>
      <c r="M2457" s="1134">
        <v>0.15</v>
      </c>
      <c r="N2457" s="1135"/>
      <c r="O2457" s="1135">
        <v>0.32</v>
      </c>
      <c r="P2457" s="1048"/>
      <c r="Q2457" s="1048"/>
      <c r="R2457" s="1158"/>
      <c r="S2457" s="1048"/>
      <c r="T2457" s="1048"/>
      <c r="U2457" s="1102"/>
    </row>
    <row r="2458" spans="2:21" hidden="1" outlineLevel="2">
      <c r="B2458" s="1050">
        <v>37</v>
      </c>
      <c r="C2458" s="1050" t="str">
        <f t="shared" si="217"/>
        <v>-</v>
      </c>
      <c r="D2458" s="1055">
        <f t="shared" si="218"/>
        <v>36</v>
      </c>
      <c r="E2458" s="1055" t="str">
        <f>IF(COUNTIF(E$2421:E2457,F2458)&gt;0,"",F2458)</f>
        <v/>
      </c>
      <c r="F2458" s="1051" t="str">
        <f t="shared" si="219"/>
        <v/>
      </c>
      <c r="G2458" s="1055" t="str">
        <f t="shared" si="220"/>
        <v/>
      </c>
      <c r="I2458" s="1100"/>
      <c r="J2458" s="1048"/>
      <c r="K2458" s="1133"/>
      <c r="L2458" s="1135"/>
      <c r="M2458" s="1134"/>
      <c r="N2458" s="1135"/>
      <c r="O2458" s="1135"/>
      <c r="P2458" s="1048"/>
      <c r="Q2458" s="1048"/>
      <c r="R2458" s="1158"/>
      <c r="S2458" s="1048"/>
      <c r="T2458" s="1048"/>
      <c r="U2458" s="1102"/>
    </row>
    <row r="2459" spans="2:21" hidden="1" outlineLevel="2">
      <c r="B2459" s="1050">
        <v>38</v>
      </c>
      <c r="C2459" s="1050" t="str">
        <f t="shared" si="217"/>
        <v>-</v>
      </c>
      <c r="D2459" s="1055">
        <f t="shared" si="218"/>
        <v>36</v>
      </c>
      <c r="E2459" s="1055" t="str">
        <f>IF(COUNTIF(E$2421:E2458,F2459)&gt;0,"",F2459)</f>
        <v/>
      </c>
      <c r="F2459" s="1051" t="str">
        <f t="shared" si="219"/>
        <v/>
      </c>
      <c r="G2459" s="1055" t="str">
        <f t="shared" si="220"/>
        <v/>
      </c>
      <c r="I2459" s="1100"/>
      <c r="J2459" s="1048"/>
      <c r="K2459" s="1133"/>
      <c r="L2459" s="1135"/>
      <c r="M2459" s="1134"/>
      <c r="N2459" s="1135"/>
      <c r="O2459" s="1135"/>
      <c r="P2459" s="1048"/>
      <c r="Q2459" s="1048"/>
      <c r="R2459" s="1158"/>
      <c r="S2459" s="1048"/>
      <c r="T2459" s="1048"/>
      <c r="U2459" s="1102"/>
    </row>
    <row r="2460" spans="2:21" hidden="1" outlineLevel="2">
      <c r="B2460" s="1050">
        <v>39</v>
      </c>
      <c r="C2460" s="1050" t="str">
        <f t="shared" si="217"/>
        <v>-</v>
      </c>
      <c r="D2460" s="1055">
        <f t="shared" si="218"/>
        <v>36</v>
      </c>
      <c r="E2460" s="1055" t="str">
        <f>IF(COUNTIF(E$2421:E2459,F2460)&gt;0,"",F2460)</f>
        <v/>
      </c>
      <c r="F2460" s="1051" t="str">
        <f t="shared" si="219"/>
        <v/>
      </c>
      <c r="G2460" s="1055" t="str">
        <f t="shared" si="220"/>
        <v/>
      </c>
      <c r="I2460" s="1100"/>
      <c r="J2460" s="1048"/>
      <c r="K2460" s="1133"/>
      <c r="L2460" s="1135"/>
      <c r="M2460" s="1134"/>
      <c r="N2460" s="1135"/>
      <c r="O2460" s="1135"/>
      <c r="P2460" s="1048"/>
      <c r="Q2460" s="1048"/>
      <c r="R2460" s="1158"/>
      <c r="S2460" s="1048"/>
      <c r="T2460" s="1048"/>
      <c r="U2460" s="1102"/>
    </row>
    <row r="2461" spans="2:21" hidden="1" outlineLevel="2">
      <c r="B2461" s="1050">
        <v>40</v>
      </c>
      <c r="C2461" s="1050" t="str">
        <f t="shared" si="217"/>
        <v>-</v>
      </c>
      <c r="D2461" s="1055">
        <f t="shared" si="218"/>
        <v>36</v>
      </c>
      <c r="E2461" s="1055" t="str">
        <f>IF(COUNTIF(E$2421:E2460,F2461)&gt;0,"",F2461)</f>
        <v/>
      </c>
      <c r="F2461" s="1051" t="str">
        <f t="shared" si="219"/>
        <v/>
      </c>
      <c r="G2461" s="1055" t="str">
        <f t="shared" si="220"/>
        <v/>
      </c>
      <c r="I2461" s="1100"/>
      <c r="J2461" s="1048"/>
      <c r="K2461" s="1133"/>
      <c r="L2461" s="1135"/>
      <c r="M2461" s="1134"/>
      <c r="N2461" s="1135"/>
      <c r="O2461" s="1135"/>
      <c r="P2461" s="1048"/>
      <c r="Q2461" s="1048"/>
      <c r="R2461" s="1158"/>
      <c r="S2461" s="1048"/>
      <c r="T2461" s="1048"/>
      <c r="U2461" s="1102"/>
    </row>
    <row r="2462" spans="2:21" hidden="1" outlineLevel="2">
      <c r="B2462" s="1050">
        <v>41</v>
      </c>
      <c r="C2462" s="1050" t="str">
        <f t="shared" si="217"/>
        <v>-</v>
      </c>
      <c r="D2462" s="1055">
        <f t="shared" si="218"/>
        <v>36</v>
      </c>
      <c r="E2462" s="1055" t="str">
        <f>IF(COUNTIF(E$2421:E2461,F2462)&gt;0,"",F2462)</f>
        <v/>
      </c>
      <c r="F2462" s="1051" t="str">
        <f t="shared" si="219"/>
        <v/>
      </c>
      <c r="G2462" s="1055" t="str">
        <f t="shared" si="220"/>
        <v/>
      </c>
      <c r="I2462" s="1100"/>
      <c r="J2462" s="1048"/>
      <c r="K2462" s="1133"/>
      <c r="L2462" s="1135"/>
      <c r="M2462" s="1134"/>
      <c r="N2462" s="1135"/>
      <c r="O2462" s="1135"/>
      <c r="P2462" s="1048"/>
      <c r="Q2462" s="1048"/>
      <c r="R2462" s="1158"/>
      <c r="S2462" s="1048"/>
      <c r="T2462" s="1048"/>
      <c r="U2462" s="1102"/>
    </row>
    <row r="2463" spans="2:21" s="1045" customFormat="1" hidden="1" outlineLevel="1">
      <c r="D2463" s="1135"/>
      <c r="E2463" s="1135"/>
      <c r="G2463" s="1135"/>
      <c r="I2463" s="1711"/>
      <c r="J2463" s="1712"/>
      <c r="K2463" s="1720"/>
      <c r="L2463" s="1712"/>
      <c r="M2463" s="1713"/>
      <c r="N2463" s="1712"/>
      <c r="O2463" s="1712"/>
      <c r="P2463" s="1712"/>
      <c r="Q2463" s="1712"/>
      <c r="R2463" s="1721"/>
      <c r="S2463" s="1712"/>
      <c r="T2463" s="1712"/>
      <c r="U2463" s="1714"/>
    </row>
    <row r="2464" spans="2:21" ht="12" hidden="1" customHeight="1" outlineLevel="1" collapsed="1">
      <c r="B2464" s="3155" t="s">
        <v>1843</v>
      </c>
      <c r="C2464" s="3155"/>
      <c r="D2464" s="1055">
        <v>0</v>
      </c>
      <c r="E2464" s="1055"/>
      <c r="F2464" s="1051" t="str">
        <f t="shared" si="209"/>
        <v/>
      </c>
      <c r="G2464" s="1055" t="str">
        <f t="shared" si="210"/>
        <v/>
      </c>
      <c r="I2464" s="1711"/>
      <c r="J2464" s="1712"/>
      <c r="K2464" s="1720"/>
      <c r="L2464" s="1712"/>
      <c r="M2464" s="1713"/>
      <c r="N2464" s="1712"/>
      <c r="O2464" s="1712"/>
      <c r="P2464" s="1712"/>
      <c r="Q2464" s="1712"/>
      <c r="R2464" s="1721"/>
      <c r="S2464" s="1712"/>
      <c r="T2464" s="1712"/>
      <c r="U2464" s="1714"/>
    </row>
    <row r="2465" spans="2:21" hidden="1" outlineLevel="2">
      <c r="B2465" s="1050">
        <v>1</v>
      </c>
      <c r="C2465" s="1050" t="str">
        <f>IF(ISNA(VLOOKUP(B2465,$D$2465:$E$2520,2,FALSE)),"-",VLOOKUP(B2465,$D$2465:$E$2520,2,FALSE))</f>
        <v>Janvier 2011, B</v>
      </c>
      <c r="D2465" s="1055">
        <f t="shared" ref="D2465:D2515" si="221">D2464+IF(LEN(E2465)=0,0,1)</f>
        <v>1</v>
      </c>
      <c r="E2465" s="1055" t="str">
        <f>IF(COUNTIF(E$2421:E2464,F2465)&gt;0,"",F2465)</f>
        <v>Janvier 2011, B</v>
      </c>
      <c r="F2465" s="1051" t="str">
        <f t="shared" si="209"/>
        <v>Janvier 2011, B</v>
      </c>
      <c r="G2465" s="1055" t="str">
        <f t="shared" si="210"/>
        <v>Janvier 2011, B; kgCO2e/kWh</v>
      </c>
      <c r="I2465" s="1159" t="s">
        <v>1796</v>
      </c>
      <c r="J2465" s="1048" t="s">
        <v>1681</v>
      </c>
      <c r="K2465" s="1133" t="s">
        <v>1784</v>
      </c>
      <c r="L2465" s="1048"/>
      <c r="M2465" s="1136">
        <v>0.1</v>
      </c>
      <c r="N2465" s="1048"/>
      <c r="O2465" s="1048">
        <v>3.1E-2</v>
      </c>
      <c r="P2465" s="1048"/>
      <c r="Q2465" s="1048"/>
      <c r="R2465" s="1158"/>
      <c r="S2465" s="1048"/>
      <c r="T2465" s="1048"/>
      <c r="U2465" s="1102"/>
    </row>
    <row r="2466" spans="2:21" hidden="1" outlineLevel="2">
      <c r="B2466" s="1050">
        <v>2</v>
      </c>
      <c r="C2466" s="1050" t="str">
        <f t="shared" ref="C2466:C2515" si="222">IF(ISNA(VLOOKUP(B2466,$D$2465:$E$2520,2,FALSE)),"-",VLOOKUP(B2466,$D$2465:$E$2520,2,FALSE))</f>
        <v>Février 2011, B</v>
      </c>
      <c r="D2466" s="1055">
        <f t="shared" si="221"/>
        <v>2</v>
      </c>
      <c r="E2466" s="1055" t="str">
        <f>IF(COUNTIF(E$2421:E2465,F2466)&gt;0,"",F2466)</f>
        <v>Février 2011, B</v>
      </c>
      <c r="F2466" s="1051" t="str">
        <f t="shared" si="209"/>
        <v>Février 2011, B</v>
      </c>
      <c r="G2466" s="1055" t="str">
        <f t="shared" si="210"/>
        <v>Février 2011, B; kgCO2e/kWh</v>
      </c>
      <c r="I2466" s="1159" t="s">
        <v>1797</v>
      </c>
      <c r="J2466" s="1048" t="s">
        <v>1681</v>
      </c>
      <c r="K2466" s="1133" t="s">
        <v>1784</v>
      </c>
      <c r="L2466" s="1048"/>
      <c r="M2466" s="1136">
        <v>0.1</v>
      </c>
      <c r="N2466" s="1048"/>
      <c r="O2466" s="1048">
        <v>4.1000000000000002E-2</v>
      </c>
      <c r="P2466" s="1048"/>
      <c r="Q2466" s="1048"/>
      <c r="R2466" s="1158"/>
      <c r="S2466" s="1048"/>
      <c r="T2466" s="1048"/>
      <c r="U2466" s="1102"/>
    </row>
    <row r="2467" spans="2:21" hidden="1" outlineLevel="2">
      <c r="B2467" s="1050">
        <v>3</v>
      </c>
      <c r="C2467" s="1050" t="str">
        <f t="shared" si="222"/>
        <v>Mars 2011, B</v>
      </c>
      <c r="D2467" s="1055">
        <f t="shared" si="221"/>
        <v>3</v>
      </c>
      <c r="E2467" s="1055" t="str">
        <f>IF(COUNTIF(E$2421:E2466,F2467)&gt;0,"",F2467)</f>
        <v>Mars 2011, B</v>
      </c>
      <c r="F2467" s="1051" t="str">
        <f t="shared" si="209"/>
        <v>Mars 2011, B</v>
      </c>
      <c r="G2467" s="1055" t="str">
        <f t="shared" si="210"/>
        <v>Mars 2011, B; kgCO2e/kWh</v>
      </c>
      <c r="I2467" s="1159" t="s">
        <v>1798</v>
      </c>
      <c r="J2467" s="1048" t="s">
        <v>1681</v>
      </c>
      <c r="K2467" s="1133" t="s">
        <v>1784</v>
      </c>
      <c r="L2467" s="1048"/>
      <c r="M2467" s="1136">
        <v>0.1</v>
      </c>
      <c r="N2467" s="1048"/>
      <c r="O2467" s="1048">
        <v>0.04</v>
      </c>
      <c r="P2467" s="1048"/>
      <c r="Q2467" s="1048"/>
      <c r="R2467" s="1158"/>
      <c r="S2467" s="1048"/>
      <c r="T2467" s="1048"/>
      <c r="U2467" s="1102"/>
    </row>
    <row r="2468" spans="2:21" hidden="1" outlineLevel="2">
      <c r="B2468" s="1050">
        <v>4</v>
      </c>
      <c r="C2468" s="1050" t="str">
        <f t="shared" si="222"/>
        <v>Avril 2011, B</v>
      </c>
      <c r="D2468" s="1055">
        <f t="shared" si="221"/>
        <v>4</v>
      </c>
      <c r="E2468" s="1055" t="str">
        <f>IF(COUNTIF(E$2421:E2467,F2468)&gt;0,"",F2468)</f>
        <v>Avril 2011, B</v>
      </c>
      <c r="F2468" s="1051" t="str">
        <f t="shared" si="209"/>
        <v>Avril 2011, B</v>
      </c>
      <c r="G2468" s="1055" t="str">
        <f t="shared" si="210"/>
        <v>Avril 2011, B; kgCO2e/kWh</v>
      </c>
      <c r="I2468" s="1159" t="s">
        <v>1799</v>
      </c>
      <c r="J2468" s="1048" t="s">
        <v>1681</v>
      </c>
      <c r="K2468" s="1133" t="s">
        <v>1784</v>
      </c>
      <c r="L2468" s="1048"/>
      <c r="M2468" s="1136">
        <v>0.1</v>
      </c>
      <c r="N2468" s="1048"/>
      <c r="O2468" s="1048">
        <v>2.7E-2</v>
      </c>
      <c r="P2468" s="1048"/>
      <c r="Q2468" s="1048"/>
      <c r="R2468" s="1158"/>
      <c r="S2468" s="1048"/>
      <c r="T2468" s="1048"/>
      <c r="U2468" s="1102"/>
    </row>
    <row r="2469" spans="2:21" hidden="1" outlineLevel="2">
      <c r="B2469" s="1050">
        <v>5</v>
      </c>
      <c r="C2469" s="1050" t="str">
        <f t="shared" si="222"/>
        <v>Mai 2011, B</v>
      </c>
      <c r="D2469" s="1055">
        <f t="shared" si="221"/>
        <v>5</v>
      </c>
      <c r="E2469" s="1055" t="str">
        <f>IF(COUNTIF(E$2421:E2468,F2469)&gt;0,"",F2469)</f>
        <v>Mai 2011, B</v>
      </c>
      <c r="F2469" s="1051" t="str">
        <f t="shared" si="209"/>
        <v>Mai 2011, B</v>
      </c>
      <c r="G2469" s="1055" t="str">
        <f t="shared" si="210"/>
        <v>Mai 2011, B; kgCO2e/kWh</v>
      </c>
      <c r="I2469" s="1159" t="s">
        <v>1800</v>
      </c>
      <c r="J2469" s="1048" t="s">
        <v>1681</v>
      </c>
      <c r="K2469" s="1133" t="s">
        <v>1784</v>
      </c>
      <c r="L2469" s="1048"/>
      <c r="M2469" s="1136">
        <v>0.1</v>
      </c>
      <c r="N2469" s="1048"/>
      <c r="O2469" s="1048">
        <v>3.3000000000000002E-2</v>
      </c>
      <c r="P2469" s="1048"/>
      <c r="Q2469" s="1048"/>
      <c r="R2469" s="1158"/>
      <c r="S2469" s="1048"/>
      <c r="T2469" s="1048"/>
      <c r="U2469" s="1102"/>
    </row>
    <row r="2470" spans="2:21" hidden="1" outlineLevel="2">
      <c r="B2470" s="1050">
        <v>6</v>
      </c>
      <c r="C2470" s="1050" t="str">
        <f t="shared" si="222"/>
        <v>Juin 2011, B</v>
      </c>
      <c r="D2470" s="1055">
        <f t="shared" si="221"/>
        <v>6</v>
      </c>
      <c r="E2470" s="1055" t="str">
        <f>IF(COUNTIF(E$2421:E2469,F2470)&gt;0,"",F2470)</f>
        <v>Juin 2011, B</v>
      </c>
      <c r="F2470" s="1051" t="str">
        <f t="shared" si="209"/>
        <v>Juin 2011, B</v>
      </c>
      <c r="G2470" s="1055" t="str">
        <f t="shared" si="210"/>
        <v>Juin 2011, B; kgCO2e/kWh</v>
      </c>
      <c r="I2470" s="1159" t="s">
        <v>1801</v>
      </c>
      <c r="J2470" s="1048" t="s">
        <v>1681</v>
      </c>
      <c r="K2470" s="1133" t="s">
        <v>1784</v>
      </c>
      <c r="L2470" s="1048"/>
      <c r="M2470" s="1136">
        <v>0.1</v>
      </c>
      <c r="N2470" s="1048"/>
      <c r="O2470" s="1048">
        <v>2.1999999999999999E-2</v>
      </c>
      <c r="P2470" s="1048"/>
      <c r="Q2470" s="1048"/>
      <c r="R2470" s="1158"/>
      <c r="S2470" s="1048"/>
      <c r="T2470" s="1048"/>
      <c r="U2470" s="1102"/>
    </row>
    <row r="2471" spans="2:21" hidden="1" outlineLevel="2">
      <c r="B2471" s="1050">
        <v>7</v>
      </c>
      <c r="C2471" s="1050" t="str">
        <f t="shared" si="222"/>
        <v>Juillet 2011, B</v>
      </c>
      <c r="D2471" s="1055">
        <f t="shared" si="221"/>
        <v>7</v>
      </c>
      <c r="E2471" s="1055" t="str">
        <f>IF(COUNTIF(E$2421:E2470,F2471)&gt;0,"",F2471)</f>
        <v>Juillet 2011, B</v>
      </c>
      <c r="F2471" s="1051" t="str">
        <f t="shared" si="209"/>
        <v>Juillet 2011, B</v>
      </c>
      <c r="G2471" s="1055" t="str">
        <f t="shared" si="210"/>
        <v>Juillet 2011, B; kgCO2e/kWh</v>
      </c>
      <c r="I2471" s="1159" t="s">
        <v>1802</v>
      </c>
      <c r="J2471" s="1048" t="s">
        <v>1681</v>
      </c>
      <c r="K2471" s="1133" t="s">
        <v>1784</v>
      </c>
      <c r="L2471" s="1048"/>
      <c r="M2471" s="1136">
        <v>0.1</v>
      </c>
      <c r="N2471" s="1048"/>
      <c r="O2471" s="1048">
        <v>1.4999999999999999E-2</v>
      </c>
      <c r="P2471" s="1048"/>
      <c r="Q2471" s="1048"/>
      <c r="R2471" s="1158"/>
      <c r="S2471" s="1048"/>
      <c r="T2471" s="1048"/>
      <c r="U2471" s="1102"/>
    </row>
    <row r="2472" spans="2:21" hidden="1" outlineLevel="2">
      <c r="B2472" s="1050">
        <v>8</v>
      </c>
      <c r="C2472" s="1050" t="str">
        <f t="shared" si="222"/>
        <v>Aout 2011, B</v>
      </c>
      <c r="D2472" s="1055">
        <f t="shared" si="221"/>
        <v>8</v>
      </c>
      <c r="E2472" s="1055" t="str">
        <f>IF(COUNTIF(E$2421:E2471,F2472)&gt;0,"",F2472)</f>
        <v>Aout 2011, B</v>
      </c>
      <c r="F2472" s="1051" t="str">
        <f t="shared" si="209"/>
        <v>Aout 2011, B</v>
      </c>
      <c r="G2472" s="1055" t="str">
        <f t="shared" si="210"/>
        <v>Aout 2011, B; kgCO2e/kWh</v>
      </c>
      <c r="I2472" s="1159" t="s">
        <v>1795</v>
      </c>
      <c r="J2472" s="1048" t="s">
        <v>1681</v>
      </c>
      <c r="K2472" s="1133" t="s">
        <v>1784</v>
      </c>
      <c r="L2472" s="1048"/>
      <c r="M2472" s="1136">
        <v>0.1</v>
      </c>
      <c r="N2472" s="1048"/>
      <c r="O2472" s="1048">
        <v>1.7000000000000001E-2</v>
      </c>
      <c r="P2472" s="1048"/>
      <c r="Q2472" s="1048"/>
      <c r="R2472" s="1158"/>
      <c r="S2472" s="1048"/>
      <c r="T2472" s="1048"/>
      <c r="U2472" s="1102"/>
    </row>
    <row r="2473" spans="2:21" hidden="1" outlineLevel="2">
      <c r="B2473" s="1050">
        <v>9</v>
      </c>
      <c r="C2473" s="1050" t="str">
        <f t="shared" si="222"/>
        <v>Septembre 2011, B</v>
      </c>
      <c r="D2473" s="1055">
        <f t="shared" si="221"/>
        <v>9</v>
      </c>
      <c r="E2473" s="1055" t="str">
        <f>IF(COUNTIF(E$2421:E2472,F2473)&gt;0,"",F2473)</f>
        <v>Septembre 2011, B</v>
      </c>
      <c r="F2473" s="1051" t="str">
        <f t="shared" ref="F2473:F2515" si="223">IF(I2473&lt;&gt;"",I2473&amp;IF(L2473&lt;&gt;"",", "&amp;L2473,"")&amp;IF(K2473&lt;&gt;"",", "&amp;K2473,""),"")</f>
        <v>Septembre 2011, B</v>
      </c>
      <c r="G2473" s="1055" t="str">
        <f t="shared" ref="G2473:G2515" si="224">IF(F2473&lt;&gt;"",F2473&amp;IF(J2473&lt;&gt;"","; "&amp;J2473,"")&amp;IF(N2473&lt;&gt;"",", "&amp;N2473,""),"")</f>
        <v>Septembre 2011, B; kgCO2e/kWh</v>
      </c>
      <c r="I2473" s="1159" t="s">
        <v>1803</v>
      </c>
      <c r="J2473" s="1048" t="s">
        <v>1681</v>
      </c>
      <c r="K2473" s="1133" t="s">
        <v>1784</v>
      </c>
      <c r="L2473" s="1048"/>
      <c r="M2473" s="1136">
        <v>0.1</v>
      </c>
      <c r="N2473" s="1048"/>
      <c r="O2473" s="1048">
        <v>4.8000000000000001E-2</v>
      </c>
      <c r="P2473" s="1048"/>
      <c r="Q2473" s="1048"/>
      <c r="R2473" s="1158"/>
      <c r="S2473" s="1048"/>
      <c r="T2473" s="1048"/>
      <c r="U2473" s="1102"/>
    </row>
    <row r="2474" spans="2:21" hidden="1" outlineLevel="2">
      <c r="B2474" s="1050">
        <v>10</v>
      </c>
      <c r="C2474" s="1050" t="str">
        <f t="shared" si="222"/>
        <v>Octobre 2011, B</v>
      </c>
      <c r="D2474" s="1055">
        <f t="shared" si="221"/>
        <v>10</v>
      </c>
      <c r="E2474" s="1055" t="str">
        <f>IF(COUNTIF(E$2421:E2473,F2474)&gt;0,"",F2474)</f>
        <v>Octobre 2011, B</v>
      </c>
      <c r="F2474" s="1051" t="str">
        <f t="shared" si="223"/>
        <v>Octobre 2011, B</v>
      </c>
      <c r="G2474" s="1055" t="str">
        <f t="shared" si="224"/>
        <v>Octobre 2011, B; kgCO2e/kWh</v>
      </c>
      <c r="I2474" s="1159" t="s">
        <v>1804</v>
      </c>
      <c r="J2474" s="1048" t="s">
        <v>1681</v>
      </c>
      <c r="K2474" s="1133" t="s">
        <v>1784</v>
      </c>
      <c r="L2474" s="1048"/>
      <c r="M2474" s="1136">
        <v>0.1</v>
      </c>
      <c r="N2474" s="1048"/>
      <c r="O2474" s="1048">
        <v>4.8000000000000001E-2</v>
      </c>
      <c r="P2474" s="1048"/>
      <c r="Q2474" s="1048"/>
      <c r="R2474" s="1158"/>
      <c r="S2474" s="1048"/>
      <c r="T2474" s="1048"/>
      <c r="U2474" s="1102"/>
    </row>
    <row r="2475" spans="2:21" hidden="1" outlineLevel="2">
      <c r="B2475" s="1050">
        <v>11</v>
      </c>
      <c r="C2475" s="1050" t="str">
        <f t="shared" si="222"/>
        <v>Novembre 2011, B</v>
      </c>
      <c r="D2475" s="1055">
        <f t="shared" si="221"/>
        <v>11</v>
      </c>
      <c r="E2475" s="1055" t="str">
        <f>IF(COUNTIF(E$2421:E2474,F2475)&gt;0,"",F2475)</f>
        <v>Novembre 2011, B</v>
      </c>
      <c r="F2475" s="1051" t="str">
        <f t="shared" si="223"/>
        <v>Novembre 2011, B</v>
      </c>
      <c r="G2475" s="1055" t="str">
        <f t="shared" si="224"/>
        <v>Novembre 2011, B; kgCO2e/kWh</v>
      </c>
      <c r="I2475" s="1159" t="s">
        <v>1805</v>
      </c>
      <c r="J2475" s="1048" t="s">
        <v>1681</v>
      </c>
      <c r="K2475" s="1133" t="s">
        <v>1784</v>
      </c>
      <c r="L2475" s="1048"/>
      <c r="M2475" s="1136">
        <v>0.1</v>
      </c>
      <c r="N2475" s="1048"/>
      <c r="O2475" s="1048">
        <v>5.6000000000000001E-2</v>
      </c>
      <c r="P2475" s="1048"/>
      <c r="Q2475" s="1048"/>
      <c r="R2475" s="1158"/>
      <c r="S2475" s="1048"/>
      <c r="T2475" s="1048"/>
      <c r="U2475" s="1102"/>
    </row>
    <row r="2476" spans="2:21" hidden="1" outlineLevel="2">
      <c r="B2476" s="1050">
        <v>12</v>
      </c>
      <c r="C2476" s="1050" t="str">
        <f t="shared" si="222"/>
        <v>Décembre 2011, B</v>
      </c>
      <c r="D2476" s="1055">
        <f t="shared" si="221"/>
        <v>12</v>
      </c>
      <c r="E2476" s="1055" t="str">
        <f>IF(COUNTIF(E$2421:E2475,F2476)&gt;0,"",F2476)</f>
        <v>Décembre 2011, B</v>
      </c>
      <c r="F2476" s="1051" t="str">
        <f t="shared" si="223"/>
        <v>Décembre 2011, B</v>
      </c>
      <c r="G2476" s="1055" t="str">
        <f t="shared" si="224"/>
        <v>Décembre 2011, B; kgCO2e/kWh</v>
      </c>
      <c r="I2476" s="1159" t="s">
        <v>1831</v>
      </c>
      <c r="J2476" s="1048" t="s">
        <v>1681</v>
      </c>
      <c r="K2476" s="1133" t="s">
        <v>1784</v>
      </c>
      <c r="L2476" s="1048"/>
      <c r="M2476" s="1136">
        <v>0.1</v>
      </c>
      <c r="N2476" s="1048"/>
      <c r="O2476" s="1048">
        <v>2.7E-2</v>
      </c>
      <c r="P2476" s="1048"/>
      <c r="Q2476" s="1048"/>
      <c r="R2476" s="1158"/>
      <c r="S2476" s="1048"/>
      <c r="T2476" s="1048"/>
      <c r="U2476" s="1102"/>
    </row>
    <row r="2477" spans="2:21" hidden="1" outlineLevel="2">
      <c r="B2477" s="1050">
        <v>13</v>
      </c>
      <c r="C2477" s="1050" t="str">
        <f t="shared" si="222"/>
        <v>Janvier 2012, EDF</v>
      </c>
      <c r="D2477" s="1055">
        <f t="shared" si="221"/>
        <v>12</v>
      </c>
      <c r="E2477" s="1055"/>
      <c r="F2477" s="1051" t="str">
        <f t="shared" si="223"/>
        <v/>
      </c>
      <c r="G2477" s="1055" t="str">
        <f t="shared" si="224"/>
        <v/>
      </c>
      <c r="I2477" s="1100"/>
      <c r="J2477" s="1048"/>
      <c r="K2477" s="1133"/>
      <c r="L2477" s="1048"/>
      <c r="M2477" s="1136"/>
      <c r="N2477" s="1048"/>
      <c r="O2477" s="1048"/>
      <c r="P2477" s="1048"/>
      <c r="Q2477" s="1048"/>
      <c r="R2477" s="1158"/>
      <c r="S2477" s="1048"/>
      <c r="T2477" s="1048"/>
      <c r="U2477" s="1102"/>
    </row>
    <row r="2478" spans="2:21" hidden="1" outlineLevel="2">
      <c r="B2478" s="1050">
        <v>14</v>
      </c>
      <c r="C2478" s="1050" t="str">
        <f t="shared" si="222"/>
        <v>Février 2012, EDF</v>
      </c>
      <c r="D2478" s="1055">
        <f t="shared" si="221"/>
        <v>13</v>
      </c>
      <c r="E2478" s="1055" t="str">
        <f>IF(COUNTIF(E$2421:E2477,F2478)&gt;0,"",F2478)</f>
        <v>Janvier 2012, EDF</v>
      </c>
      <c r="F2478" s="1051" t="str">
        <f t="shared" si="223"/>
        <v>Janvier 2012, EDF</v>
      </c>
      <c r="G2478" s="1055" t="str">
        <f t="shared" si="224"/>
        <v>Janvier 2012, EDF; kgCO2e/kWh</v>
      </c>
      <c r="I2478" s="1159" t="s">
        <v>1809</v>
      </c>
      <c r="J2478" s="1048" t="s">
        <v>1681</v>
      </c>
      <c r="K2478" s="1133" t="s">
        <v>829</v>
      </c>
      <c r="L2478" s="1048"/>
      <c r="M2478" s="1136">
        <v>0.1</v>
      </c>
      <c r="N2478" s="1048"/>
      <c r="O2478" s="1048">
        <v>2.4E-2</v>
      </c>
      <c r="P2478" s="1048"/>
      <c r="Q2478" s="1048"/>
      <c r="R2478" s="1158"/>
      <c r="S2478" s="1048"/>
      <c r="T2478" s="1048"/>
      <c r="U2478" s="1102"/>
    </row>
    <row r="2479" spans="2:21" hidden="1" outlineLevel="2">
      <c r="B2479" s="1050">
        <v>15</v>
      </c>
      <c r="C2479" s="1050" t="str">
        <f t="shared" si="222"/>
        <v>Mars 2012, EDF</v>
      </c>
      <c r="D2479" s="1055">
        <f t="shared" si="221"/>
        <v>14</v>
      </c>
      <c r="E2479" s="1055" t="str">
        <f>IF(COUNTIF(E$2421:E2478,F2479)&gt;0,"",F2479)</f>
        <v>Février 2012, EDF</v>
      </c>
      <c r="F2479" s="1051" t="str">
        <f t="shared" si="223"/>
        <v>Février 2012, EDF</v>
      </c>
      <c r="G2479" s="1055" t="str">
        <f t="shared" si="224"/>
        <v>Février 2012, EDF; kgCO2e/kWh</v>
      </c>
      <c r="I2479" s="1159" t="s">
        <v>1810</v>
      </c>
      <c r="J2479" s="1048" t="s">
        <v>1681</v>
      </c>
      <c r="K2479" s="1133" t="s">
        <v>829</v>
      </c>
      <c r="L2479" s="1048"/>
      <c r="M2479" s="1136">
        <v>0.1</v>
      </c>
      <c r="N2479" s="1048"/>
      <c r="O2479" s="1048">
        <v>0.06</v>
      </c>
      <c r="P2479" s="1048"/>
      <c r="Q2479" s="1048"/>
      <c r="R2479" s="1158"/>
      <c r="S2479" s="1048"/>
      <c r="T2479" s="1048"/>
      <c r="U2479" s="1102"/>
    </row>
    <row r="2480" spans="2:21" hidden="1" outlineLevel="2">
      <c r="B2480" s="1050">
        <v>16</v>
      </c>
      <c r="C2480" s="1050" t="str">
        <f t="shared" si="222"/>
        <v>Avril 2012, EDF</v>
      </c>
      <c r="D2480" s="1055">
        <f t="shared" si="221"/>
        <v>15</v>
      </c>
      <c r="E2480" s="1055" t="str">
        <f>IF(COUNTIF(E$2421:E2479,F2480)&gt;0,"",F2480)</f>
        <v>Mars 2012, EDF</v>
      </c>
      <c r="F2480" s="1051" t="str">
        <f t="shared" si="223"/>
        <v>Mars 2012, EDF</v>
      </c>
      <c r="G2480" s="1055" t="str">
        <f t="shared" si="224"/>
        <v>Mars 2012, EDF; kgCO2e/kWh</v>
      </c>
      <c r="I2480" s="1159" t="s">
        <v>1811</v>
      </c>
      <c r="J2480" s="1048" t="s">
        <v>1681</v>
      </c>
      <c r="K2480" s="1133" t="s">
        <v>829</v>
      </c>
      <c r="L2480" s="1048"/>
      <c r="M2480" s="1136">
        <v>0.1</v>
      </c>
      <c r="N2480" s="1048"/>
      <c r="O2480" s="1048">
        <v>3.4000000000000002E-2</v>
      </c>
      <c r="P2480" s="1048"/>
      <c r="Q2480" s="1048"/>
      <c r="R2480" s="1158"/>
      <c r="S2480" s="1048"/>
      <c r="T2480" s="1048"/>
      <c r="U2480" s="1102"/>
    </row>
    <row r="2481" spans="2:21" hidden="1" outlineLevel="2">
      <c r="B2481" s="1050">
        <v>17</v>
      </c>
      <c r="C2481" s="1050" t="str">
        <f t="shared" si="222"/>
        <v>Mai 2012, EDF</v>
      </c>
      <c r="D2481" s="1055">
        <f t="shared" si="221"/>
        <v>16</v>
      </c>
      <c r="E2481" s="1055" t="str">
        <f>IF(COUNTIF(E$2421:E2480,F2481)&gt;0,"",F2481)</f>
        <v>Avril 2012, EDF</v>
      </c>
      <c r="F2481" s="1051" t="str">
        <f t="shared" si="223"/>
        <v>Avril 2012, EDF</v>
      </c>
      <c r="G2481" s="1055" t="str">
        <f t="shared" si="224"/>
        <v>Avril 2012, EDF; kgCO2e/kWh</v>
      </c>
      <c r="I2481" s="1159" t="s">
        <v>1812</v>
      </c>
      <c r="J2481" s="1048" t="s">
        <v>1681</v>
      </c>
      <c r="K2481" s="1133" t="s">
        <v>829</v>
      </c>
      <c r="L2481" s="1048"/>
      <c r="M2481" s="1136">
        <v>0.1</v>
      </c>
      <c r="N2481" s="1048"/>
      <c r="O2481" s="1048">
        <v>4.3999999999999997E-2</v>
      </c>
      <c r="P2481" s="1048"/>
      <c r="Q2481" s="1048"/>
      <c r="R2481" s="1158"/>
      <c r="S2481" s="1048"/>
      <c r="T2481" s="1048"/>
      <c r="U2481" s="1102"/>
    </row>
    <row r="2482" spans="2:21" hidden="1" outlineLevel="2">
      <c r="B2482" s="1050">
        <v>18</v>
      </c>
      <c r="C2482" s="1050" t="str">
        <f t="shared" si="222"/>
        <v>Juin 2012, EDF</v>
      </c>
      <c r="D2482" s="1055">
        <f t="shared" si="221"/>
        <v>17</v>
      </c>
      <c r="E2482" s="1055" t="str">
        <f>IF(COUNTIF(E$2421:E2481,F2482)&gt;0,"",F2482)</f>
        <v>Mai 2012, EDF</v>
      </c>
      <c r="F2482" s="1051" t="str">
        <f t="shared" si="223"/>
        <v>Mai 2012, EDF</v>
      </c>
      <c r="G2482" s="1055" t="str">
        <f t="shared" si="224"/>
        <v>Mai 2012, EDF; kgCO2e/kWh</v>
      </c>
      <c r="I2482" s="1159" t="s">
        <v>1813</v>
      </c>
      <c r="J2482" s="1048" t="s">
        <v>1681</v>
      </c>
      <c r="K2482" s="1133" t="s">
        <v>829</v>
      </c>
      <c r="L2482" s="1048"/>
      <c r="M2482" s="1136">
        <v>0.1</v>
      </c>
      <c r="N2482" s="1048"/>
      <c r="O2482" s="1048">
        <v>2.5999999999999999E-2</v>
      </c>
      <c r="P2482" s="1048"/>
      <c r="Q2482" s="1048"/>
      <c r="R2482" s="1158"/>
      <c r="S2482" s="1048"/>
      <c r="T2482" s="1048"/>
      <c r="U2482" s="1102"/>
    </row>
    <row r="2483" spans="2:21" hidden="1" outlineLevel="2">
      <c r="B2483" s="1050">
        <v>19</v>
      </c>
      <c r="C2483" s="1050" t="str">
        <f t="shared" si="222"/>
        <v>Juillet 2012, EDF</v>
      </c>
      <c r="D2483" s="1055">
        <f t="shared" si="221"/>
        <v>18</v>
      </c>
      <c r="E2483" s="1055" t="str">
        <f>IF(COUNTIF(E$2421:E2482,F2483)&gt;0,"",F2483)</f>
        <v>Juin 2012, EDF</v>
      </c>
      <c r="F2483" s="1051" t="str">
        <f t="shared" si="223"/>
        <v>Juin 2012, EDF</v>
      </c>
      <c r="G2483" s="1055" t="str">
        <f t="shared" si="224"/>
        <v>Juin 2012, EDF; kgCO2e/kWh</v>
      </c>
      <c r="I2483" s="1159" t="s">
        <v>1814</v>
      </c>
      <c r="J2483" s="1048" t="s">
        <v>1681</v>
      </c>
      <c r="K2483" s="1133" t="s">
        <v>829</v>
      </c>
      <c r="L2483" s="1048"/>
      <c r="M2483" s="1136">
        <v>0.1</v>
      </c>
      <c r="N2483" s="1048"/>
      <c r="O2483" s="1048">
        <v>2.8000000000000001E-2</v>
      </c>
      <c r="P2483" s="1048"/>
      <c r="Q2483" s="1048"/>
      <c r="R2483" s="1158"/>
      <c r="S2483" s="1048"/>
      <c r="T2483" s="1048"/>
      <c r="U2483" s="1102"/>
    </row>
    <row r="2484" spans="2:21" hidden="1" outlineLevel="2">
      <c r="B2484" s="1050">
        <v>20</v>
      </c>
      <c r="C2484" s="1050" t="str">
        <f t="shared" si="222"/>
        <v>Aout 2012, EDF</v>
      </c>
      <c r="D2484" s="1055">
        <f t="shared" si="221"/>
        <v>19</v>
      </c>
      <c r="E2484" s="1055" t="str">
        <f>IF(COUNTIF(E$2421:E2483,F2484)&gt;0,"",F2484)</f>
        <v>Juillet 2012, EDF</v>
      </c>
      <c r="F2484" s="1051" t="str">
        <f t="shared" si="223"/>
        <v>Juillet 2012, EDF</v>
      </c>
      <c r="G2484" s="1055" t="str">
        <f t="shared" si="224"/>
        <v>Juillet 2012, EDF; kgCO2e/kWh</v>
      </c>
      <c r="I2484" s="1159" t="s">
        <v>1815</v>
      </c>
      <c r="J2484" s="1048" t="s">
        <v>1681</v>
      </c>
      <c r="K2484" s="1133" t="s">
        <v>829</v>
      </c>
      <c r="L2484" s="1048"/>
      <c r="M2484" s="1136">
        <v>0.1</v>
      </c>
      <c r="N2484" s="1048"/>
      <c r="O2484" s="1048">
        <v>3.4000000000000002E-2</v>
      </c>
      <c r="P2484" s="1048"/>
      <c r="Q2484" s="1048"/>
      <c r="R2484" s="1158"/>
      <c r="S2484" s="1048"/>
      <c r="T2484" s="1048"/>
      <c r="U2484" s="1102"/>
    </row>
    <row r="2485" spans="2:21" hidden="1" outlineLevel="2">
      <c r="B2485" s="1050">
        <v>21</v>
      </c>
      <c r="C2485" s="1050" t="str">
        <f t="shared" si="222"/>
        <v>Septembre 2012, EDF</v>
      </c>
      <c r="D2485" s="1055">
        <f t="shared" si="221"/>
        <v>20</v>
      </c>
      <c r="E2485" s="1055" t="str">
        <f>IF(COUNTIF(E$2421:E2484,F2485)&gt;0,"",F2485)</f>
        <v>Aout 2012, EDF</v>
      </c>
      <c r="F2485" s="1051" t="str">
        <f t="shared" si="223"/>
        <v>Aout 2012, EDF</v>
      </c>
      <c r="G2485" s="1055" t="str">
        <f t="shared" si="224"/>
        <v>Aout 2012, EDF; kgCO2e/kWh</v>
      </c>
      <c r="I2485" s="1159" t="s">
        <v>1806</v>
      </c>
      <c r="J2485" s="1048" t="s">
        <v>1681</v>
      </c>
      <c r="K2485" s="1133" t="s">
        <v>829</v>
      </c>
      <c r="L2485" s="1048"/>
      <c r="M2485" s="1136">
        <v>0.1</v>
      </c>
      <c r="N2485" s="1048"/>
      <c r="O2485" s="1048">
        <v>0.04</v>
      </c>
      <c r="P2485" s="1048"/>
      <c r="Q2485" s="1048"/>
      <c r="R2485" s="1158"/>
      <c r="S2485" s="1048"/>
      <c r="T2485" s="1048"/>
      <c r="U2485" s="1102"/>
    </row>
    <row r="2486" spans="2:21" hidden="1" outlineLevel="2">
      <c r="B2486" s="1050">
        <v>22</v>
      </c>
      <c r="C2486" s="1050" t="str">
        <f t="shared" si="222"/>
        <v>Octobre 2012, EDF</v>
      </c>
      <c r="D2486" s="1055">
        <f t="shared" si="221"/>
        <v>21</v>
      </c>
      <c r="E2486" s="1055" t="str">
        <f>IF(COUNTIF(E$2421:E2485,F2486)&gt;0,"",F2486)</f>
        <v>Septembre 2012, EDF</v>
      </c>
      <c r="F2486" s="1051" t="str">
        <f t="shared" si="223"/>
        <v>Septembre 2012, EDF</v>
      </c>
      <c r="G2486" s="1055" t="str">
        <f t="shared" si="224"/>
        <v>Septembre 2012, EDF; kgCO2e/kWh</v>
      </c>
      <c r="I2486" s="1159" t="s">
        <v>1816</v>
      </c>
      <c r="J2486" s="1048" t="s">
        <v>1681</v>
      </c>
      <c r="K2486" s="1133" t="s">
        <v>829</v>
      </c>
      <c r="L2486" s="1048"/>
      <c r="M2486" s="1136">
        <v>0.1</v>
      </c>
      <c r="N2486" s="1048"/>
      <c r="O2486" s="1048">
        <v>4.1000000000000002E-2</v>
      </c>
      <c r="P2486" s="1048"/>
      <c r="Q2486" s="1048"/>
      <c r="R2486" s="1158"/>
      <c r="S2486" s="1048"/>
      <c r="T2486" s="1048"/>
      <c r="U2486" s="1102"/>
    </row>
    <row r="2487" spans="2:21" hidden="1" outlineLevel="2">
      <c r="B2487" s="1050">
        <v>23</v>
      </c>
      <c r="C2487" s="1050" t="str">
        <f t="shared" si="222"/>
        <v>Novembre 2012, EDF</v>
      </c>
      <c r="D2487" s="1055">
        <f t="shared" si="221"/>
        <v>22</v>
      </c>
      <c r="E2487" s="1055" t="str">
        <f>IF(COUNTIF(E$2421:E2486,F2487)&gt;0,"",F2487)</f>
        <v>Octobre 2012, EDF</v>
      </c>
      <c r="F2487" s="1051" t="str">
        <f t="shared" si="223"/>
        <v>Octobre 2012, EDF</v>
      </c>
      <c r="G2487" s="1055" t="str">
        <f t="shared" si="224"/>
        <v>Octobre 2012, EDF; kgCO2e/kWh</v>
      </c>
      <c r="I2487" s="1159" t="s">
        <v>1817</v>
      </c>
      <c r="J2487" s="1048" t="s">
        <v>1681</v>
      </c>
      <c r="K2487" s="1133" t="s">
        <v>829</v>
      </c>
      <c r="L2487" s="1048"/>
      <c r="M2487" s="1136">
        <v>0.1</v>
      </c>
      <c r="N2487" s="1048"/>
      <c r="O2487" s="1048">
        <v>5.5E-2</v>
      </c>
      <c r="P2487" s="1048"/>
      <c r="Q2487" s="1048"/>
      <c r="R2487" s="1158"/>
      <c r="S2487" s="1048"/>
      <c r="T2487" s="1048"/>
      <c r="U2487" s="1102"/>
    </row>
    <row r="2488" spans="2:21" hidden="1" outlineLevel="2">
      <c r="B2488" s="1050">
        <v>24</v>
      </c>
      <c r="C2488" s="1050" t="str">
        <f t="shared" si="222"/>
        <v>Décembre 2012, EDF</v>
      </c>
      <c r="D2488" s="1055">
        <f t="shared" si="221"/>
        <v>23</v>
      </c>
      <c r="E2488" s="1055" t="str">
        <f>IF(COUNTIF(E$2421:E2487,F2488)&gt;0,"",F2488)</f>
        <v>Novembre 2012, EDF</v>
      </c>
      <c r="F2488" s="1051" t="str">
        <f t="shared" si="223"/>
        <v>Novembre 2012, EDF</v>
      </c>
      <c r="G2488" s="1055" t="str">
        <f t="shared" si="224"/>
        <v>Novembre 2012, EDF; kgCO2e/kWh</v>
      </c>
      <c r="I2488" s="1159" t="s">
        <v>1818</v>
      </c>
      <c r="J2488" s="1048" t="s">
        <v>1681</v>
      </c>
      <c r="K2488" s="1133" t="s">
        <v>829</v>
      </c>
      <c r="L2488" s="1048"/>
      <c r="M2488" s="1136">
        <v>0.1</v>
      </c>
      <c r="N2488" s="1048"/>
      <c r="O2488" s="1048">
        <v>4.3999999999999997E-2</v>
      </c>
      <c r="P2488" s="1048"/>
      <c r="Q2488" s="1048"/>
      <c r="R2488" s="1158"/>
      <c r="S2488" s="1048"/>
      <c r="T2488" s="1048"/>
      <c r="U2488" s="1102"/>
    </row>
    <row r="2489" spans="2:21" hidden="1" outlineLevel="2">
      <c r="B2489" s="1050">
        <v>25</v>
      </c>
      <c r="C2489" s="1050" t="str">
        <f t="shared" si="222"/>
        <v>Janvier 2013, EDF</v>
      </c>
      <c r="D2489" s="1055">
        <f t="shared" si="221"/>
        <v>24</v>
      </c>
      <c r="E2489" s="1055" t="str">
        <f>IF(COUNTIF(E$2421:E2488,F2489)&gt;0,"",F2489)</f>
        <v>Décembre 2012, EDF</v>
      </c>
      <c r="F2489" s="1051" t="str">
        <f t="shared" si="223"/>
        <v>Décembre 2012, EDF</v>
      </c>
      <c r="G2489" s="1055" t="str">
        <f t="shared" si="224"/>
        <v>Décembre 2012, EDF; kgCO2e/kWh</v>
      </c>
      <c r="I2489" s="1159" t="s">
        <v>1819</v>
      </c>
      <c r="J2489" s="1048" t="s">
        <v>1681</v>
      </c>
      <c r="K2489" s="1133" t="s">
        <v>829</v>
      </c>
      <c r="L2489" s="1048"/>
      <c r="M2489" s="1136">
        <v>0.1</v>
      </c>
      <c r="N2489" s="1048"/>
      <c r="O2489" s="1048">
        <v>3.5000000000000003E-2</v>
      </c>
      <c r="P2489" s="1048"/>
      <c r="Q2489" s="1048"/>
      <c r="R2489" s="1158"/>
      <c r="S2489" s="1048"/>
      <c r="T2489" s="1048"/>
      <c r="U2489" s="1102"/>
    </row>
    <row r="2490" spans="2:21" hidden="1" outlineLevel="2">
      <c r="B2490" s="1050">
        <v>26</v>
      </c>
      <c r="C2490" s="1050" t="str">
        <f t="shared" si="222"/>
        <v>Février 2013, EDF</v>
      </c>
      <c r="D2490" s="1055">
        <f t="shared" si="221"/>
        <v>24</v>
      </c>
      <c r="E2490" s="1055"/>
      <c r="F2490" s="1051" t="str">
        <f t="shared" si="223"/>
        <v/>
      </c>
      <c r="G2490" s="1055" t="str">
        <f t="shared" si="224"/>
        <v/>
      </c>
      <c r="I2490" s="1159"/>
      <c r="J2490" s="1048"/>
      <c r="K2490" s="1133"/>
      <c r="L2490" s="1048"/>
      <c r="M2490" s="1136"/>
      <c r="N2490" s="1048"/>
      <c r="O2490" s="1048"/>
      <c r="P2490" s="1048"/>
      <c r="Q2490" s="1048"/>
      <c r="R2490" s="1158"/>
      <c r="S2490" s="1048"/>
      <c r="T2490" s="1048"/>
      <c r="U2490" s="1102"/>
    </row>
    <row r="2491" spans="2:21" hidden="1" outlineLevel="2">
      <c r="B2491" s="1050">
        <v>27</v>
      </c>
      <c r="C2491" s="1050" t="str">
        <f t="shared" si="222"/>
        <v>Mars 2013, EDF</v>
      </c>
      <c r="D2491" s="1055">
        <f t="shared" si="221"/>
        <v>25</v>
      </c>
      <c r="E2491" s="1055" t="str">
        <f>IF(COUNTIF(E$2421:E2490,F2491)&gt;0,"",F2491)</f>
        <v>Janvier 2013, EDF</v>
      </c>
      <c r="F2491" s="1051" t="str">
        <f t="shared" si="223"/>
        <v>Janvier 2013, EDF</v>
      </c>
      <c r="G2491" s="1055" t="str">
        <f t="shared" si="224"/>
        <v>Janvier 2013, EDF; kgCO2e/kWh</v>
      </c>
      <c r="I2491" s="1159" t="s">
        <v>1820</v>
      </c>
      <c r="J2491" s="1048" t="s">
        <v>1681</v>
      </c>
      <c r="K2491" s="1133" t="s">
        <v>829</v>
      </c>
      <c r="L2491" s="1048"/>
      <c r="M2491" s="1136">
        <v>0.1</v>
      </c>
      <c r="N2491" s="1048"/>
      <c r="O2491" s="1048">
        <v>4.8000000000000001E-2</v>
      </c>
      <c r="P2491" s="1048"/>
      <c r="Q2491" s="1048"/>
      <c r="R2491" s="1158"/>
      <c r="S2491" s="1048"/>
      <c r="T2491" s="1048"/>
      <c r="U2491" s="1102"/>
    </row>
    <row r="2492" spans="2:21" hidden="1" outlineLevel="2">
      <c r="B2492" s="1050">
        <v>28</v>
      </c>
      <c r="C2492" s="1050" t="str">
        <f t="shared" si="222"/>
        <v>Avril 2013, EDF</v>
      </c>
      <c r="D2492" s="1055">
        <f t="shared" si="221"/>
        <v>26</v>
      </c>
      <c r="E2492" s="1055" t="str">
        <f>IF(COUNTIF(E$2421:E2491,F2492)&gt;0,"",F2492)</f>
        <v>Février 2013, EDF</v>
      </c>
      <c r="F2492" s="1051" t="str">
        <f t="shared" si="223"/>
        <v>Février 2013, EDF</v>
      </c>
      <c r="G2492" s="1055" t="str">
        <f t="shared" si="224"/>
        <v>Février 2013, EDF; kgCO2e/kWh</v>
      </c>
      <c r="I2492" s="1159" t="s">
        <v>1821</v>
      </c>
      <c r="J2492" s="1048" t="s">
        <v>1681</v>
      </c>
      <c r="K2492" s="1133" t="s">
        <v>829</v>
      </c>
      <c r="L2492" s="1048"/>
      <c r="M2492" s="1136">
        <v>0.1</v>
      </c>
      <c r="N2492" s="1048"/>
      <c r="O2492" s="1048">
        <v>5.3999999999999999E-2</v>
      </c>
      <c r="P2492" s="1048"/>
      <c r="Q2492" s="1048"/>
      <c r="R2492" s="1158"/>
      <c r="S2492" s="1048"/>
      <c r="T2492" s="1048"/>
      <c r="U2492" s="1102"/>
    </row>
    <row r="2493" spans="2:21" hidden="1" outlineLevel="2">
      <c r="B2493" s="1050">
        <v>29</v>
      </c>
      <c r="C2493" s="1050" t="str">
        <f t="shared" si="222"/>
        <v>Mai 2013, EDF</v>
      </c>
      <c r="D2493" s="1055">
        <f t="shared" si="221"/>
        <v>27</v>
      </c>
      <c r="E2493" s="1055" t="str">
        <f>IF(COUNTIF(E$2421:E2492,F2493)&gt;0,"",F2493)</f>
        <v>Mars 2013, EDF</v>
      </c>
      <c r="F2493" s="1051" t="str">
        <f t="shared" si="223"/>
        <v>Mars 2013, EDF</v>
      </c>
      <c r="G2493" s="1055" t="str">
        <f t="shared" si="224"/>
        <v>Mars 2013, EDF; kgCO2e/kWh</v>
      </c>
      <c r="I2493" s="1159" t="s">
        <v>1822</v>
      </c>
      <c r="J2493" s="1048" t="s">
        <v>1681</v>
      </c>
      <c r="K2493" s="1133" t="s">
        <v>829</v>
      </c>
      <c r="L2493" s="1048"/>
      <c r="M2493" s="1136">
        <v>0.1</v>
      </c>
      <c r="N2493" s="1048"/>
      <c r="O2493" s="1048">
        <v>5.7000000000000002E-2</v>
      </c>
      <c r="P2493" s="1048"/>
      <c r="Q2493" s="1048"/>
      <c r="R2493" s="1158"/>
      <c r="S2493" s="1048"/>
      <c r="T2493" s="1048"/>
      <c r="U2493" s="1102"/>
    </row>
    <row r="2494" spans="2:21" hidden="1" outlineLevel="2">
      <c r="B2494" s="1050">
        <v>30</v>
      </c>
      <c r="C2494" s="1050" t="str">
        <f t="shared" si="222"/>
        <v>Juin 2013, EDF</v>
      </c>
      <c r="D2494" s="1055">
        <f t="shared" si="221"/>
        <v>28</v>
      </c>
      <c r="E2494" s="1055" t="str">
        <f>IF(COUNTIF(E$2421:E2493,F2494)&gt;0,"",F2494)</f>
        <v>Avril 2013, EDF</v>
      </c>
      <c r="F2494" s="1051" t="str">
        <f t="shared" si="223"/>
        <v>Avril 2013, EDF</v>
      </c>
      <c r="G2494" s="1055" t="str">
        <f t="shared" si="224"/>
        <v>Avril 2013, EDF; kgCO2e/kWh</v>
      </c>
      <c r="I2494" s="1159" t="s">
        <v>1823</v>
      </c>
      <c r="J2494" s="1048" t="s">
        <v>1681</v>
      </c>
      <c r="K2494" s="1133" t="s">
        <v>829</v>
      </c>
      <c r="L2494" s="1048"/>
      <c r="M2494" s="1136">
        <v>0.1</v>
      </c>
      <c r="N2494" s="1048"/>
      <c r="O2494" s="1048">
        <v>4.1000000000000002E-2</v>
      </c>
      <c r="P2494" s="1048"/>
      <c r="Q2494" s="1048"/>
      <c r="R2494" s="1158"/>
      <c r="S2494" s="1048"/>
      <c r="T2494" s="1048"/>
      <c r="U2494" s="1102"/>
    </row>
    <row r="2495" spans="2:21" hidden="1" outlineLevel="2">
      <c r="B2495" s="1050">
        <v>31</v>
      </c>
      <c r="C2495" s="1050" t="str">
        <f t="shared" si="222"/>
        <v>Juillet 2013, EDF</v>
      </c>
      <c r="D2495" s="1055">
        <f t="shared" si="221"/>
        <v>29</v>
      </c>
      <c r="E2495" s="1055" t="str">
        <f>IF(COUNTIF(E$2421:E2494,F2495)&gt;0,"",F2495)</f>
        <v>Mai 2013, EDF</v>
      </c>
      <c r="F2495" s="1051" t="str">
        <f t="shared" si="223"/>
        <v>Mai 2013, EDF</v>
      </c>
      <c r="G2495" s="1055" t="str">
        <f t="shared" si="224"/>
        <v>Mai 2013, EDF; kgCO2e/kWh</v>
      </c>
      <c r="I2495" s="1159" t="s">
        <v>1824</v>
      </c>
      <c r="J2495" s="1048" t="s">
        <v>1681</v>
      </c>
      <c r="K2495" s="1133" t="s">
        <v>829</v>
      </c>
      <c r="L2495" s="1048"/>
      <c r="M2495" s="1136">
        <v>0.1</v>
      </c>
      <c r="N2495" s="1048"/>
      <c r="O2495" s="1048">
        <v>2.3E-2</v>
      </c>
      <c r="P2495" s="1048"/>
      <c r="Q2495" s="1048"/>
      <c r="R2495" s="1158"/>
      <c r="S2495" s="1048"/>
      <c r="T2495" s="1048"/>
      <c r="U2495" s="1102"/>
    </row>
    <row r="2496" spans="2:21" hidden="1" outlineLevel="2">
      <c r="B2496" s="1050">
        <v>32</v>
      </c>
      <c r="C2496" s="1050" t="str">
        <f t="shared" si="222"/>
        <v>Aout 2013, EDF</v>
      </c>
      <c r="D2496" s="1055">
        <f t="shared" si="221"/>
        <v>30</v>
      </c>
      <c r="E2496" s="1055" t="str">
        <f>IF(COUNTIF(E$2421:E2495,F2496)&gt;0,"",F2496)</f>
        <v>Juin 2013, EDF</v>
      </c>
      <c r="F2496" s="1051" t="str">
        <f t="shared" si="223"/>
        <v>Juin 2013, EDF</v>
      </c>
      <c r="G2496" s="1055" t="str">
        <f t="shared" si="224"/>
        <v>Juin 2013, EDF; kgCO2e/kWh</v>
      </c>
      <c r="I2496" s="1159" t="s">
        <v>1825</v>
      </c>
      <c r="J2496" s="1048" t="s">
        <v>1681</v>
      </c>
      <c r="K2496" s="1133" t="s">
        <v>829</v>
      </c>
      <c r="L2496" s="1048"/>
      <c r="M2496" s="1136">
        <v>0.1</v>
      </c>
      <c r="N2496" s="1048"/>
      <c r="O2496" s="1048">
        <v>1.9E-2</v>
      </c>
      <c r="P2496" s="1048"/>
      <c r="Q2496" s="1048"/>
      <c r="R2496" s="1158"/>
      <c r="S2496" s="1048"/>
      <c r="T2496" s="1048"/>
      <c r="U2496" s="1102"/>
    </row>
    <row r="2497" spans="2:21" hidden="1" outlineLevel="2">
      <c r="B2497" s="1050">
        <v>33</v>
      </c>
      <c r="C2497" s="1050" t="str">
        <f t="shared" si="222"/>
        <v>Septembre 2013, EDF</v>
      </c>
      <c r="D2497" s="1055">
        <f t="shared" si="221"/>
        <v>31</v>
      </c>
      <c r="E2497" s="1055" t="str">
        <f>IF(COUNTIF(E$2421:E2496,F2497)&gt;0,"",F2497)</f>
        <v>Juillet 2013, EDF</v>
      </c>
      <c r="F2497" s="1051" t="str">
        <f t="shared" si="223"/>
        <v>Juillet 2013, EDF</v>
      </c>
      <c r="G2497" s="1055" t="str">
        <f t="shared" si="224"/>
        <v>Juillet 2013, EDF; kgCO2e/kWh</v>
      </c>
      <c r="I2497" s="1159" t="s">
        <v>1826</v>
      </c>
      <c r="J2497" s="1048" t="s">
        <v>1681</v>
      </c>
      <c r="K2497" s="1133" t="s">
        <v>829</v>
      </c>
      <c r="L2497" s="1048"/>
      <c r="M2497" s="1136">
        <v>0.1</v>
      </c>
      <c r="N2497" s="1048"/>
      <c r="O2497" s="1048">
        <v>0.04</v>
      </c>
      <c r="P2497" s="1048"/>
      <c r="Q2497" s="1048"/>
      <c r="R2497" s="1158"/>
      <c r="S2497" s="1048"/>
      <c r="T2497" s="1048"/>
      <c r="U2497" s="1102"/>
    </row>
    <row r="2498" spans="2:21" hidden="1" outlineLevel="2">
      <c r="B2498" s="1050">
        <v>34</v>
      </c>
      <c r="C2498" s="1050" t="str">
        <f t="shared" si="222"/>
        <v>Octobre 2013, EDF</v>
      </c>
      <c r="D2498" s="1055">
        <f t="shared" si="221"/>
        <v>32</v>
      </c>
      <c r="E2498" s="1055" t="str">
        <f>IF(COUNTIF(E$2421:E2497,F2498)&gt;0,"",F2498)</f>
        <v>Aout 2013, EDF</v>
      </c>
      <c r="F2498" s="1051" t="str">
        <f t="shared" si="223"/>
        <v>Aout 2013, EDF</v>
      </c>
      <c r="G2498" s="1055" t="str">
        <f t="shared" si="224"/>
        <v>Aout 2013, EDF; kgCO2e/kWh</v>
      </c>
      <c r="I2498" s="1159" t="s">
        <v>1807</v>
      </c>
      <c r="J2498" s="1048" t="s">
        <v>1681</v>
      </c>
      <c r="K2498" s="1133" t="s">
        <v>829</v>
      </c>
      <c r="L2498" s="1048"/>
      <c r="M2498" s="1136">
        <v>0.1</v>
      </c>
      <c r="N2498" s="1048"/>
      <c r="O2498" s="1048">
        <v>3.4000000000000002E-2</v>
      </c>
      <c r="P2498" s="1048"/>
      <c r="Q2498" s="1048"/>
      <c r="R2498" s="1158"/>
      <c r="S2498" s="1048"/>
      <c r="T2498" s="1048"/>
      <c r="U2498" s="1102"/>
    </row>
    <row r="2499" spans="2:21" hidden="1" outlineLevel="2">
      <c r="B2499" s="1050">
        <v>35</v>
      </c>
      <c r="C2499" s="1050" t="str">
        <f t="shared" si="222"/>
        <v>Novembre 2013, EDF</v>
      </c>
      <c r="D2499" s="1055">
        <f t="shared" si="221"/>
        <v>33</v>
      </c>
      <c r="E2499" s="1055" t="str">
        <f>IF(COUNTIF(E$2421:E2498,F2499)&gt;0,"",F2499)</f>
        <v>Septembre 2013, EDF</v>
      </c>
      <c r="F2499" s="1051" t="str">
        <f t="shared" si="223"/>
        <v>Septembre 2013, EDF</v>
      </c>
      <c r="G2499" s="1055" t="str">
        <f t="shared" si="224"/>
        <v>Septembre 2013, EDF; kgCO2e/kWh</v>
      </c>
      <c r="I2499" s="1159" t="s">
        <v>1827</v>
      </c>
      <c r="J2499" s="1048" t="s">
        <v>1681</v>
      </c>
      <c r="K2499" s="1133" t="s">
        <v>829</v>
      </c>
      <c r="L2499" s="1048"/>
      <c r="M2499" s="1136">
        <v>0.1</v>
      </c>
      <c r="N2499" s="1048"/>
      <c r="O2499" s="1048">
        <v>4.7E-2</v>
      </c>
      <c r="P2499" s="1048"/>
      <c r="Q2499" s="1048"/>
      <c r="R2499" s="1158"/>
      <c r="S2499" s="1048"/>
      <c r="T2499" s="1048"/>
      <c r="U2499" s="1102"/>
    </row>
    <row r="2500" spans="2:21" hidden="1" outlineLevel="2">
      <c r="B2500" s="1050">
        <v>36</v>
      </c>
      <c r="C2500" s="1050" t="str">
        <f t="shared" si="222"/>
        <v>Décembre 2013, EDF</v>
      </c>
      <c r="D2500" s="1055">
        <f t="shared" si="221"/>
        <v>34</v>
      </c>
      <c r="E2500" s="1055" t="str">
        <f>IF(COUNTIF(E$2421:E2499,F2500)&gt;0,"",F2500)</f>
        <v>Octobre 2013, EDF</v>
      </c>
      <c r="F2500" s="1051" t="str">
        <f t="shared" si="223"/>
        <v>Octobre 2013, EDF</v>
      </c>
      <c r="G2500" s="1055" t="str">
        <f t="shared" si="224"/>
        <v>Octobre 2013, EDF; kgCO2e/kWh</v>
      </c>
      <c r="I2500" s="1159" t="s">
        <v>1828</v>
      </c>
      <c r="J2500" s="1048" t="s">
        <v>1681</v>
      </c>
      <c r="K2500" s="1133" t="s">
        <v>829</v>
      </c>
      <c r="L2500" s="1048"/>
      <c r="M2500" s="1136">
        <v>0.1</v>
      </c>
      <c r="N2500" s="1048"/>
      <c r="O2500" s="1048">
        <v>0.05</v>
      </c>
      <c r="P2500" s="1048"/>
      <c r="Q2500" s="1048"/>
      <c r="R2500" s="1158"/>
      <c r="S2500" s="1048"/>
      <c r="T2500" s="1048"/>
      <c r="U2500" s="1102"/>
    </row>
    <row r="2501" spans="2:21" hidden="1" outlineLevel="2">
      <c r="B2501" s="1050">
        <v>37</v>
      </c>
      <c r="C2501" s="1050" t="str">
        <f t="shared" si="222"/>
        <v>Janvier 2014, EDF</v>
      </c>
      <c r="D2501" s="1055">
        <f t="shared" si="221"/>
        <v>35</v>
      </c>
      <c r="E2501" s="1055" t="str">
        <f>IF(COUNTIF(E$2421:E2500,F2501)&gt;0,"",F2501)</f>
        <v>Novembre 2013, EDF</v>
      </c>
      <c r="F2501" s="1051" t="str">
        <f t="shared" si="223"/>
        <v>Novembre 2013, EDF</v>
      </c>
      <c r="G2501" s="1055" t="str">
        <f t="shared" si="224"/>
        <v>Novembre 2013, EDF; kgCO2e/kWh</v>
      </c>
      <c r="I2501" s="1159" t="s">
        <v>1829</v>
      </c>
      <c r="J2501" s="1048" t="s">
        <v>1681</v>
      </c>
      <c r="K2501" s="1133" t="s">
        <v>829</v>
      </c>
      <c r="L2501" s="1048"/>
      <c r="M2501" s="1136">
        <v>0.1</v>
      </c>
      <c r="N2501" s="1048"/>
      <c r="O2501" s="1048">
        <v>4.5999999999999999E-2</v>
      </c>
      <c r="P2501" s="1048"/>
      <c r="Q2501" s="1048"/>
      <c r="R2501" s="1158"/>
      <c r="S2501" s="1048"/>
      <c r="T2501" s="1048"/>
      <c r="U2501" s="1102"/>
    </row>
    <row r="2502" spans="2:21" hidden="1" outlineLevel="2">
      <c r="B2502" s="1050">
        <v>38</v>
      </c>
      <c r="C2502" s="1050" t="str">
        <f t="shared" si="222"/>
        <v>Février 2014, EDF</v>
      </c>
      <c r="D2502" s="1055">
        <f t="shared" si="221"/>
        <v>36</v>
      </c>
      <c r="E2502" s="1055" t="str">
        <f>IF(COUNTIF(E$2421:E2501,F2502)&gt;0,"",F2502)</f>
        <v>Décembre 2013, EDF</v>
      </c>
      <c r="F2502" s="1051" t="str">
        <f t="shared" si="223"/>
        <v>Décembre 2013, EDF</v>
      </c>
      <c r="G2502" s="1055" t="str">
        <f t="shared" si="224"/>
        <v>Décembre 2013, EDF; kgCO2e/kWh</v>
      </c>
      <c r="I2502" s="1159" t="s">
        <v>1830</v>
      </c>
      <c r="J2502" s="1048" t="s">
        <v>1681</v>
      </c>
      <c r="K2502" s="1133" t="s">
        <v>829</v>
      </c>
      <c r="L2502" s="1048"/>
      <c r="M2502" s="1136">
        <v>0.1</v>
      </c>
      <c r="N2502" s="1048"/>
      <c r="O2502" s="1048">
        <v>3.4000000000000002E-2</v>
      </c>
      <c r="P2502" s="1048"/>
      <c r="Q2502" s="1048"/>
      <c r="R2502" s="1158"/>
      <c r="S2502" s="1048"/>
      <c r="T2502" s="1048"/>
      <c r="U2502" s="1102"/>
    </row>
    <row r="2503" spans="2:21" hidden="1" outlineLevel="2">
      <c r="B2503" s="1050">
        <v>39</v>
      </c>
      <c r="C2503" s="1050" t="str">
        <f t="shared" si="222"/>
        <v>Mars 2014, EDF</v>
      </c>
      <c r="D2503" s="1055">
        <f t="shared" si="221"/>
        <v>36</v>
      </c>
      <c r="E2503" s="1055"/>
      <c r="F2503" s="1051" t="str">
        <f t="shared" si="223"/>
        <v/>
      </c>
      <c r="G2503" s="1055" t="str">
        <f t="shared" si="224"/>
        <v/>
      </c>
      <c r="I2503" s="1159"/>
      <c r="J2503" s="1048"/>
      <c r="K2503" s="1133"/>
      <c r="L2503" s="1048"/>
      <c r="M2503" s="1136"/>
      <c r="N2503" s="1048"/>
      <c r="O2503" s="1048"/>
      <c r="P2503" s="1048"/>
      <c r="Q2503" s="1048"/>
      <c r="R2503" s="1158"/>
      <c r="S2503" s="1048"/>
      <c r="T2503" s="1048"/>
      <c r="U2503" s="1102"/>
    </row>
    <row r="2504" spans="2:21" hidden="1" outlineLevel="2">
      <c r="B2504" s="1050">
        <v>40</v>
      </c>
      <c r="C2504" s="1050" t="str">
        <f t="shared" si="222"/>
        <v>Avril 2014, EDF</v>
      </c>
      <c r="D2504" s="1055">
        <f t="shared" si="221"/>
        <v>37</v>
      </c>
      <c r="E2504" s="1055" t="str">
        <f>IF(COUNTIF(E$2421:E2503,F2504)&gt;0,"",F2504)</f>
        <v>Janvier 2014, EDF</v>
      </c>
      <c r="F2504" s="1051" t="str">
        <f t="shared" si="223"/>
        <v>Janvier 2014, EDF</v>
      </c>
      <c r="G2504" s="1055" t="str">
        <f t="shared" si="224"/>
        <v>Janvier 2014, EDF; kgCO2e/kWh</v>
      </c>
      <c r="I2504" s="1159" t="s">
        <v>1832</v>
      </c>
      <c r="J2504" s="1048" t="s">
        <v>1681</v>
      </c>
      <c r="K2504" s="1133" t="s">
        <v>829</v>
      </c>
      <c r="L2504" s="1048"/>
      <c r="M2504" s="1136">
        <v>0.1</v>
      </c>
      <c r="N2504" s="1048"/>
      <c r="O2504" s="1048">
        <v>2.1999999999999999E-2</v>
      </c>
      <c r="P2504" s="1048"/>
      <c r="Q2504" s="1048"/>
      <c r="R2504" s="1158"/>
      <c r="S2504" s="1048"/>
      <c r="T2504" s="1048"/>
      <c r="U2504" s="1102"/>
    </row>
    <row r="2505" spans="2:21" hidden="1" outlineLevel="2">
      <c r="B2505" s="1050">
        <v>41</v>
      </c>
      <c r="C2505" s="1050" t="str">
        <f t="shared" si="222"/>
        <v>Mai 2014, EDF</v>
      </c>
      <c r="D2505" s="1055">
        <f t="shared" si="221"/>
        <v>38</v>
      </c>
      <c r="E2505" s="1055" t="str">
        <f>IF(COUNTIF(E$2421:E2504,F2505)&gt;0,"",F2505)</f>
        <v>Février 2014, EDF</v>
      </c>
      <c r="F2505" s="1051" t="str">
        <f t="shared" si="223"/>
        <v>Février 2014, EDF</v>
      </c>
      <c r="G2505" s="1055" t="str">
        <f t="shared" si="224"/>
        <v>Février 2014, EDF; kgCO2e/kWh</v>
      </c>
      <c r="I2505" s="1159" t="s">
        <v>1833</v>
      </c>
      <c r="J2505" s="1048" t="s">
        <v>1681</v>
      </c>
      <c r="K2505" s="1133" t="s">
        <v>829</v>
      </c>
      <c r="L2505" s="1048"/>
      <c r="M2505" s="1136">
        <v>0.1</v>
      </c>
      <c r="N2505" s="1048"/>
      <c r="O2505" s="1048">
        <v>1.9E-2</v>
      </c>
      <c r="P2505" s="1048"/>
      <c r="Q2505" s="1048"/>
      <c r="R2505" s="1158"/>
      <c r="S2505" s="1048"/>
      <c r="T2505" s="1048"/>
      <c r="U2505" s="1102"/>
    </row>
    <row r="2506" spans="2:21" hidden="1" outlineLevel="2">
      <c r="B2506" s="1050">
        <v>42</v>
      </c>
      <c r="C2506" s="1050" t="str">
        <f t="shared" si="222"/>
        <v>Juin 2014, EDF</v>
      </c>
      <c r="D2506" s="1055">
        <f t="shared" si="221"/>
        <v>39</v>
      </c>
      <c r="E2506" s="1055" t="str">
        <f>IF(COUNTIF(E$2421:E2505,F2506)&gt;0,"",F2506)</f>
        <v>Mars 2014, EDF</v>
      </c>
      <c r="F2506" s="1051" t="str">
        <f t="shared" si="223"/>
        <v>Mars 2014, EDF</v>
      </c>
      <c r="G2506" s="1055" t="str">
        <f t="shared" si="224"/>
        <v>Mars 2014, EDF; kgCO2e/kWh</v>
      </c>
      <c r="I2506" s="1159" t="s">
        <v>1834</v>
      </c>
      <c r="J2506" s="1048" t="s">
        <v>1681</v>
      </c>
      <c r="K2506" s="1133" t="s">
        <v>829</v>
      </c>
      <c r="L2506" s="1048"/>
      <c r="M2506" s="1136">
        <v>0.1</v>
      </c>
      <c r="N2506" s="1048"/>
      <c r="O2506" s="1048">
        <v>2.9000000000000001E-2</v>
      </c>
      <c r="P2506" s="1048"/>
      <c r="Q2506" s="1048"/>
      <c r="R2506" s="1158"/>
      <c r="S2506" s="1048"/>
      <c r="T2506" s="1048"/>
      <c r="U2506" s="1102"/>
    </row>
    <row r="2507" spans="2:21" hidden="1" outlineLevel="2">
      <c r="B2507" s="1050">
        <v>43</v>
      </c>
      <c r="C2507" s="1050" t="str">
        <f t="shared" si="222"/>
        <v>Juillet 2014, EDF</v>
      </c>
      <c r="D2507" s="1055">
        <f t="shared" si="221"/>
        <v>40</v>
      </c>
      <c r="E2507" s="1055" t="str">
        <f>IF(COUNTIF(E$2421:E2506,F2507)&gt;0,"",F2507)</f>
        <v>Avril 2014, EDF</v>
      </c>
      <c r="F2507" s="1051" t="str">
        <f t="shared" si="223"/>
        <v>Avril 2014, EDF</v>
      </c>
      <c r="G2507" s="1055" t="str">
        <f t="shared" si="224"/>
        <v>Avril 2014, EDF; kgCO2e/kWh</v>
      </c>
      <c r="I2507" s="1159" t="s">
        <v>1835</v>
      </c>
      <c r="J2507" s="1048" t="s">
        <v>1681</v>
      </c>
      <c r="K2507" s="1133" t="s">
        <v>829</v>
      </c>
      <c r="L2507" s="1048"/>
      <c r="M2507" s="1136">
        <v>0.1</v>
      </c>
      <c r="N2507" s="1048"/>
      <c r="O2507" s="1048">
        <v>2.3E-2</v>
      </c>
      <c r="P2507" s="1048"/>
      <c r="Q2507" s="1048"/>
      <c r="R2507" s="1158"/>
      <c r="S2507" s="1048"/>
      <c r="T2507" s="1048"/>
      <c r="U2507" s="1102"/>
    </row>
    <row r="2508" spans="2:21" hidden="1" outlineLevel="2">
      <c r="B2508" s="1050">
        <v>44</v>
      </c>
      <c r="C2508" s="1050" t="str">
        <f t="shared" si="222"/>
        <v>Aout 2014, EDF</v>
      </c>
      <c r="D2508" s="1055">
        <f t="shared" si="221"/>
        <v>41</v>
      </c>
      <c r="E2508" s="1055" t="str">
        <f>IF(COUNTIF(E$2421:E2507,F2508)&gt;0,"",F2508)</f>
        <v>Mai 2014, EDF</v>
      </c>
      <c r="F2508" s="1051" t="str">
        <f t="shared" si="223"/>
        <v>Mai 2014, EDF</v>
      </c>
      <c r="G2508" s="1055" t="str">
        <f t="shared" si="224"/>
        <v>Mai 2014, EDF; kgCO2e/kWh</v>
      </c>
      <c r="I2508" s="1159" t="s">
        <v>1836</v>
      </c>
      <c r="J2508" s="1048" t="s">
        <v>1681</v>
      </c>
      <c r="K2508" s="1133" t="s">
        <v>829</v>
      </c>
      <c r="L2508" s="1048"/>
      <c r="M2508" s="1136">
        <v>0.1</v>
      </c>
      <c r="N2508" s="1048"/>
      <c r="O2508" s="1048">
        <v>1.4999999999999999E-2</v>
      </c>
      <c r="P2508" s="1048"/>
      <c r="Q2508" s="1048"/>
      <c r="R2508" s="1158"/>
      <c r="S2508" s="1048"/>
      <c r="T2508" s="1048"/>
      <c r="U2508" s="1102"/>
    </row>
    <row r="2509" spans="2:21" hidden="1" outlineLevel="2">
      <c r="B2509" s="1050">
        <v>45</v>
      </c>
      <c r="C2509" s="1050" t="str">
        <f t="shared" si="222"/>
        <v>Septembre 2014, EDF</v>
      </c>
      <c r="D2509" s="1055">
        <f t="shared" si="221"/>
        <v>42</v>
      </c>
      <c r="E2509" s="1055" t="str">
        <f>IF(COUNTIF(E$2421:E2508,F2509)&gt;0,"",F2509)</f>
        <v>Juin 2014, EDF</v>
      </c>
      <c r="F2509" s="1051" t="str">
        <f t="shared" si="223"/>
        <v>Juin 2014, EDF</v>
      </c>
      <c r="G2509" s="1055" t="str">
        <f t="shared" si="224"/>
        <v>Juin 2014, EDF; kgCO2e/kWh</v>
      </c>
      <c r="I2509" s="1159" t="s">
        <v>1837</v>
      </c>
      <c r="J2509" s="1048" t="s">
        <v>1681</v>
      </c>
      <c r="K2509" s="1133" t="s">
        <v>829</v>
      </c>
      <c r="L2509" s="1048"/>
      <c r="M2509" s="1136">
        <v>0.1</v>
      </c>
      <c r="N2509" s="1048"/>
      <c r="O2509" s="1048">
        <v>1.4999999999999999E-2</v>
      </c>
      <c r="P2509" s="1048"/>
      <c r="Q2509" s="1048"/>
      <c r="R2509" s="1158"/>
      <c r="S2509" s="1048"/>
      <c r="T2509" s="1048"/>
      <c r="U2509" s="1102"/>
    </row>
    <row r="2510" spans="2:21" hidden="1" outlineLevel="2">
      <c r="B2510" s="1050">
        <v>46</v>
      </c>
      <c r="C2510" s="1050" t="str">
        <f t="shared" si="222"/>
        <v>Octobre 2014, EDF</v>
      </c>
      <c r="D2510" s="1055">
        <f t="shared" si="221"/>
        <v>43</v>
      </c>
      <c r="E2510" s="1055" t="str">
        <f>IF(COUNTIF(E$2421:E2509,F2510)&gt;0,"",F2510)</f>
        <v>Juillet 2014, EDF</v>
      </c>
      <c r="F2510" s="1051" t="str">
        <f t="shared" si="223"/>
        <v>Juillet 2014, EDF</v>
      </c>
      <c r="G2510" s="1055" t="str">
        <f t="shared" si="224"/>
        <v>Juillet 2014, EDF; kgCO2e/kWh</v>
      </c>
      <c r="I2510" s="1159" t="s">
        <v>1838</v>
      </c>
      <c r="J2510" s="1048" t="s">
        <v>1681</v>
      </c>
      <c r="K2510" s="1133" t="s">
        <v>829</v>
      </c>
      <c r="L2510" s="1048"/>
      <c r="M2510" s="1136">
        <v>0.1</v>
      </c>
      <c r="N2510" s="1048"/>
      <c r="O2510" s="1048">
        <v>1.2E-2</v>
      </c>
      <c r="P2510" s="1048"/>
      <c r="Q2510" s="1048"/>
      <c r="R2510" s="1158"/>
      <c r="S2510" s="1048"/>
      <c r="T2510" s="1048"/>
      <c r="U2510" s="1102"/>
    </row>
    <row r="2511" spans="2:21" hidden="1" outlineLevel="2">
      <c r="B2511" s="1050">
        <v>47</v>
      </c>
      <c r="C2511" s="1050" t="str">
        <f t="shared" si="222"/>
        <v>Novembre 2014, EDF</v>
      </c>
      <c r="D2511" s="1055">
        <f t="shared" si="221"/>
        <v>44</v>
      </c>
      <c r="E2511" s="1055" t="str">
        <f>IF(COUNTIF(E$2421:E2510,F2511)&gt;0,"",F2511)</f>
        <v>Aout 2014, EDF</v>
      </c>
      <c r="F2511" s="1051" t="str">
        <f t="shared" si="223"/>
        <v>Aout 2014, EDF</v>
      </c>
      <c r="G2511" s="1055" t="str">
        <f t="shared" si="224"/>
        <v>Aout 2014, EDF; kgCO2e/kWh</v>
      </c>
      <c r="I2511" s="1159" t="s">
        <v>1808</v>
      </c>
      <c r="J2511" s="1048" t="s">
        <v>1681</v>
      </c>
      <c r="K2511" s="1133" t="s">
        <v>829</v>
      </c>
      <c r="L2511" s="1048"/>
      <c r="M2511" s="1136">
        <v>0.1</v>
      </c>
      <c r="N2511" s="1048"/>
      <c r="O2511" s="1048">
        <v>0.01</v>
      </c>
      <c r="P2511" s="1048"/>
      <c r="Q2511" s="1048"/>
      <c r="R2511" s="1158"/>
      <c r="S2511" s="1048"/>
      <c r="T2511" s="1048"/>
      <c r="U2511" s="1102"/>
    </row>
    <row r="2512" spans="2:21" hidden="1" outlineLevel="2">
      <c r="B2512" s="1050">
        <v>48</v>
      </c>
      <c r="C2512" s="1050" t="str">
        <f t="shared" si="222"/>
        <v>Décembre 2014, EDF</v>
      </c>
      <c r="D2512" s="1055">
        <f t="shared" si="221"/>
        <v>45</v>
      </c>
      <c r="E2512" s="1055" t="str">
        <f>IF(COUNTIF(E$2421:E2511,F2512)&gt;0,"",F2512)</f>
        <v>Septembre 2014, EDF</v>
      </c>
      <c r="F2512" s="1051" t="str">
        <f t="shared" si="223"/>
        <v>Septembre 2014, EDF</v>
      </c>
      <c r="G2512" s="1055" t="str">
        <f t="shared" si="224"/>
        <v>Septembre 2014, EDF; kgCO2e/kWh</v>
      </c>
      <c r="I2512" s="1159" t="s">
        <v>1839</v>
      </c>
      <c r="J2512" s="1048" t="s">
        <v>1681</v>
      </c>
      <c r="K2512" s="1133" t="s">
        <v>829</v>
      </c>
      <c r="L2512" s="1048"/>
      <c r="M2512" s="1136">
        <v>0.1</v>
      </c>
      <c r="N2512" s="1048"/>
      <c r="O2512" s="1048">
        <v>2.3E-2</v>
      </c>
      <c r="P2512" s="1048"/>
      <c r="Q2512" s="1048"/>
      <c r="R2512" s="1158"/>
      <c r="S2512" s="1048"/>
      <c r="T2512" s="1048"/>
      <c r="U2512" s="1102"/>
    </row>
    <row r="2513" spans="1:21" hidden="1" outlineLevel="2">
      <c r="B2513" s="1050">
        <v>49</v>
      </c>
      <c r="C2513" s="1050" t="str">
        <f t="shared" si="222"/>
        <v>-</v>
      </c>
      <c r="D2513" s="1055">
        <f t="shared" si="221"/>
        <v>46</v>
      </c>
      <c r="E2513" s="1055" t="str">
        <f>IF(COUNTIF(E$2421:E2512,F2513)&gt;0,"",F2513)</f>
        <v>Octobre 2014, EDF</v>
      </c>
      <c r="F2513" s="1051" t="str">
        <f t="shared" si="223"/>
        <v>Octobre 2014, EDF</v>
      </c>
      <c r="G2513" s="1055" t="str">
        <f t="shared" si="224"/>
        <v>Octobre 2014, EDF; kgCO2e/kWh</v>
      </c>
      <c r="I2513" s="1159" t="s">
        <v>1840</v>
      </c>
      <c r="J2513" s="1048" t="s">
        <v>1681</v>
      </c>
      <c r="K2513" s="1133" t="s">
        <v>829</v>
      </c>
      <c r="L2513" s="1048"/>
      <c r="M2513" s="1136">
        <v>0.1</v>
      </c>
      <c r="N2513" s="1048"/>
      <c r="O2513" s="1048">
        <v>0.03</v>
      </c>
      <c r="P2513" s="1048"/>
      <c r="Q2513" s="1048"/>
      <c r="R2513" s="1158"/>
      <c r="S2513" s="1048"/>
      <c r="T2513" s="1048"/>
      <c r="U2513" s="1102"/>
    </row>
    <row r="2514" spans="1:21" hidden="1" outlineLevel="2">
      <c r="B2514" s="1050">
        <v>50</v>
      </c>
      <c r="C2514" s="1050" t="str">
        <f t="shared" si="222"/>
        <v>-</v>
      </c>
      <c r="D2514" s="1055">
        <f t="shared" si="221"/>
        <v>47</v>
      </c>
      <c r="E2514" s="1055" t="str">
        <f>IF(COUNTIF(E$2421:E2513,F2514)&gt;0,"",F2514)</f>
        <v>Novembre 2014, EDF</v>
      </c>
      <c r="F2514" s="1051" t="str">
        <f t="shared" si="223"/>
        <v>Novembre 2014, EDF</v>
      </c>
      <c r="G2514" s="1055" t="str">
        <f t="shared" si="224"/>
        <v>Novembre 2014, EDF; kgCO2e/kWh</v>
      </c>
      <c r="I2514" s="1159" t="s">
        <v>1841</v>
      </c>
      <c r="J2514" s="1048" t="s">
        <v>1681</v>
      </c>
      <c r="K2514" s="1133" t="s">
        <v>829</v>
      </c>
      <c r="L2514" s="1048"/>
      <c r="M2514" s="1136">
        <v>0.1</v>
      </c>
      <c r="N2514" s="1048"/>
      <c r="O2514" s="1048">
        <v>2.5000000000000001E-2</v>
      </c>
      <c r="P2514" s="1048"/>
      <c r="Q2514" s="1048"/>
      <c r="R2514" s="1158"/>
      <c r="S2514" s="1048"/>
      <c r="T2514" s="1048"/>
      <c r="U2514" s="1102"/>
    </row>
    <row r="2515" spans="1:21" hidden="1" outlineLevel="2">
      <c r="B2515" s="1050">
        <v>51</v>
      </c>
      <c r="C2515" s="1050" t="str">
        <f t="shared" si="222"/>
        <v>-</v>
      </c>
      <c r="D2515" s="1055">
        <f t="shared" si="221"/>
        <v>48</v>
      </c>
      <c r="E2515" s="1055" t="str">
        <f>IF(COUNTIF(E$2421:E2514,F2515)&gt;0,"",F2515)</f>
        <v>Décembre 2014, EDF</v>
      </c>
      <c r="F2515" s="1051" t="str">
        <f t="shared" si="223"/>
        <v>Décembre 2014, EDF</v>
      </c>
      <c r="G2515" s="1055" t="str">
        <f t="shared" si="224"/>
        <v>Décembre 2014, EDF; kgCO2e/kWh</v>
      </c>
      <c r="I2515" s="1159" t="s">
        <v>1842</v>
      </c>
      <c r="J2515" s="1048" t="s">
        <v>1681</v>
      </c>
      <c r="K2515" s="1133" t="s">
        <v>829</v>
      </c>
      <c r="L2515" s="1048"/>
      <c r="M2515" s="1136">
        <v>0.1</v>
      </c>
      <c r="N2515" s="1048"/>
      <c r="O2515" s="1048">
        <v>2.5999999999999999E-2</v>
      </c>
      <c r="P2515" s="1048"/>
      <c r="Q2515" s="1048"/>
      <c r="R2515" s="1158"/>
      <c r="S2515" s="1048"/>
      <c r="T2515" s="1048"/>
      <c r="U2515" s="1102"/>
    </row>
    <row r="2516" spans="1:21" hidden="1" outlineLevel="2">
      <c r="B2516" s="1050"/>
      <c r="C2516" s="1050"/>
      <c r="D2516" s="1055">
        <f t="shared" ref="D2516:D2519" si="225">D2515+IF(LEN(E2516)=0,0,1)</f>
        <v>48</v>
      </c>
      <c r="E2516" s="1055" t="str">
        <f>IF(COUNTIF(E$2421:E2515,F2516)&gt;0,"",F2516)</f>
        <v/>
      </c>
      <c r="F2516" s="1051" t="str">
        <f t="shared" ref="F2516:F2519" si="226">IF(I2516&lt;&gt;"",I2516&amp;IF(L2516&lt;&gt;"",", "&amp;L2516,"")&amp;IF(K2516&lt;&gt;"",", "&amp;K2516,""),"")</f>
        <v/>
      </c>
      <c r="G2516" s="1055" t="str">
        <f t="shared" ref="G2516:G2519" si="227">IF(F2516&lt;&gt;"",F2516&amp;IF(J2516&lt;&gt;"","; "&amp;J2516,"")&amp;IF(N2516&lt;&gt;"",", "&amp;N2516,""),"")</f>
        <v/>
      </c>
      <c r="I2516" s="1159"/>
      <c r="J2516" s="1048"/>
      <c r="K2516" s="1133"/>
      <c r="L2516" s="1048"/>
      <c r="M2516" s="1136"/>
      <c r="N2516" s="1048"/>
      <c r="O2516" s="1048"/>
      <c r="P2516" s="1048"/>
      <c r="Q2516" s="1048"/>
      <c r="R2516" s="1158"/>
      <c r="S2516" s="1048"/>
      <c r="T2516" s="1048"/>
      <c r="U2516" s="1102"/>
    </row>
    <row r="2517" spans="1:21" hidden="1" outlineLevel="2">
      <c r="B2517" s="1050"/>
      <c r="C2517" s="1050"/>
      <c r="D2517" s="1055">
        <f t="shared" si="225"/>
        <v>48</v>
      </c>
      <c r="E2517" s="1055" t="str">
        <f>IF(COUNTIF(E$2421:E2516,F2517)&gt;0,"",F2517)</f>
        <v/>
      </c>
      <c r="F2517" s="1051" t="str">
        <f t="shared" si="226"/>
        <v/>
      </c>
      <c r="G2517" s="1055" t="str">
        <f t="shared" si="227"/>
        <v/>
      </c>
      <c r="I2517" s="1159"/>
      <c r="J2517" s="1048"/>
      <c r="K2517" s="1133"/>
      <c r="L2517" s="1048"/>
      <c r="M2517" s="1136"/>
      <c r="N2517" s="1048"/>
      <c r="O2517" s="1048"/>
      <c r="P2517" s="1048"/>
      <c r="Q2517" s="1048"/>
      <c r="R2517" s="1158"/>
      <c r="S2517" s="1048"/>
      <c r="T2517" s="1048"/>
      <c r="U2517" s="1102"/>
    </row>
    <row r="2518" spans="1:21" hidden="1" outlineLevel="2">
      <c r="B2518" s="1050"/>
      <c r="C2518" s="1050"/>
      <c r="D2518" s="1055">
        <f t="shared" si="225"/>
        <v>48</v>
      </c>
      <c r="E2518" s="1055" t="str">
        <f>IF(COUNTIF(E$2421:E2517,F2518)&gt;0,"",F2518)</f>
        <v/>
      </c>
      <c r="F2518" s="1051" t="str">
        <f t="shared" si="226"/>
        <v/>
      </c>
      <c r="G2518" s="1055" t="str">
        <f t="shared" si="227"/>
        <v/>
      </c>
      <c r="I2518" s="1159"/>
      <c r="J2518" s="1048"/>
      <c r="K2518" s="1133"/>
      <c r="L2518" s="1048"/>
      <c r="M2518" s="1136"/>
      <c r="N2518" s="1048"/>
      <c r="O2518" s="1048"/>
      <c r="P2518" s="1048"/>
      <c r="Q2518" s="1048"/>
      <c r="R2518" s="1158"/>
      <c r="S2518" s="1048"/>
      <c r="T2518" s="1048"/>
      <c r="U2518" s="1102"/>
    </row>
    <row r="2519" spans="1:21" hidden="1" outlineLevel="2">
      <c r="B2519" s="1050"/>
      <c r="C2519" s="1050"/>
      <c r="D2519" s="1055">
        <f t="shared" si="225"/>
        <v>48</v>
      </c>
      <c r="E2519" s="1055" t="str">
        <f>IF(COUNTIF(E$2421:E2518,F2519)&gt;0,"",F2519)</f>
        <v/>
      </c>
      <c r="F2519" s="1051" t="str">
        <f t="shared" si="226"/>
        <v/>
      </c>
      <c r="G2519" s="1055" t="str">
        <f t="shared" si="227"/>
        <v/>
      </c>
      <c r="I2519" s="1159"/>
      <c r="J2519" s="1048"/>
      <c r="K2519" s="1133"/>
      <c r="L2519" s="1048"/>
      <c r="M2519" s="1136"/>
      <c r="N2519" s="1048"/>
      <c r="O2519" s="1048"/>
      <c r="P2519" s="1048"/>
      <c r="Q2519" s="1048"/>
      <c r="R2519" s="1158"/>
      <c r="S2519" s="1048"/>
      <c r="T2519" s="1048"/>
      <c r="U2519" s="1102"/>
    </row>
    <row r="2520" spans="1:21" s="1045" customFormat="1" hidden="1" outlineLevel="1">
      <c r="D2520" s="1135"/>
      <c r="E2520" s="1135"/>
      <c r="G2520" s="1135"/>
      <c r="I2520" s="1715"/>
      <c r="J2520" s="1716"/>
      <c r="K2520" s="1722"/>
      <c r="L2520" s="1716"/>
      <c r="M2520" s="1717"/>
      <c r="N2520" s="1716"/>
      <c r="O2520" s="1716"/>
      <c r="P2520" s="1716"/>
      <c r="Q2520" s="1716"/>
      <c r="R2520" s="1723"/>
      <c r="S2520" s="1716"/>
      <c r="T2520" s="1716"/>
      <c r="U2520" s="1718"/>
    </row>
    <row r="2521" spans="1:21">
      <c r="K2521" s="1119"/>
      <c r="M2521" s="1101"/>
      <c r="N2521" s="1048"/>
    </row>
    <row r="2522" spans="1:21">
      <c r="A2522" t="s">
        <v>284</v>
      </c>
      <c r="K2522" s="1119"/>
      <c r="M2522" s="1101"/>
      <c r="N2522" s="1048"/>
    </row>
    <row r="2523" spans="1:21" ht="15.6" collapsed="1">
      <c r="I2523" s="2916" t="s">
        <v>821</v>
      </c>
      <c r="J2523" s="2917"/>
      <c r="K2523" s="2917"/>
      <c r="L2523" s="2917"/>
      <c r="M2523" s="2917"/>
      <c r="N2523" s="2917"/>
      <c r="O2523" s="2917"/>
      <c r="P2523" s="2917"/>
      <c r="Q2523" s="2917"/>
      <c r="R2523" s="2917"/>
      <c r="S2523" s="2917"/>
      <c r="T2523" s="2917"/>
      <c r="U2523" s="2918"/>
    </row>
    <row r="2524" spans="1:21" ht="13.2" hidden="1" outlineLevel="1">
      <c r="I2524" s="91"/>
      <c r="J2524" s="91"/>
      <c r="K2524" s="91"/>
      <c r="L2524" s="91"/>
      <c r="M2524" s="91"/>
      <c r="N2524" s="91"/>
      <c r="O2524" s="91"/>
      <c r="P2524" s="91"/>
      <c r="Q2524" s="91"/>
    </row>
    <row r="2525" spans="1:21" ht="12.75" hidden="1" customHeight="1" outlineLevel="1">
      <c r="I2525" s="1675" t="s">
        <v>822</v>
      </c>
      <c r="J2525" s="3173" t="s">
        <v>823</v>
      </c>
      <c r="K2525" s="3174"/>
      <c r="L2525" s="3173" t="s">
        <v>824</v>
      </c>
      <c r="M2525" s="3174"/>
      <c r="N2525" s="3173" t="s">
        <v>825</v>
      </c>
      <c r="O2525" s="3174"/>
      <c r="P2525" s="3175" t="s">
        <v>826</v>
      </c>
      <c r="Q2525" s="3176"/>
      <c r="R2525" s="3176"/>
      <c r="S2525" s="3176"/>
      <c r="T2525" s="3176"/>
      <c r="U2525" s="3176"/>
    </row>
    <row r="2526" spans="1:21" ht="12.75" hidden="1" customHeight="1" outlineLevel="1">
      <c r="I2526" s="998" t="s">
        <v>1567</v>
      </c>
      <c r="J2526" s="3182" t="s">
        <v>827</v>
      </c>
      <c r="K2526" s="3183"/>
      <c r="L2526" s="3177" t="s">
        <v>5127</v>
      </c>
      <c r="M2526" s="3178"/>
      <c r="N2526" s="3182" t="s">
        <v>828</v>
      </c>
      <c r="O2526" s="3183"/>
      <c r="P2526" s="3186" t="s">
        <v>901</v>
      </c>
      <c r="Q2526" s="3187"/>
      <c r="R2526" s="3187"/>
      <c r="S2526" s="3187"/>
      <c r="T2526" s="3187"/>
      <c r="U2526" s="3188"/>
    </row>
    <row r="2527" spans="1:21" ht="12.75" hidden="1" customHeight="1" outlineLevel="1">
      <c r="I2527" s="998" t="s">
        <v>1784</v>
      </c>
      <c r="J2527" s="3184"/>
      <c r="K2527" s="3185"/>
      <c r="L2527" s="3177" t="s">
        <v>1224</v>
      </c>
      <c r="M2527" s="3178"/>
      <c r="N2527" s="3184"/>
      <c r="O2527" s="3185"/>
      <c r="P2527" s="3189"/>
      <c r="Q2527" s="3190"/>
      <c r="R2527" s="3190"/>
      <c r="S2527" s="3190"/>
      <c r="T2527" s="3190"/>
      <c r="U2527" s="3191"/>
    </row>
    <row r="2528" spans="1:21" ht="12.75" hidden="1" customHeight="1" outlineLevel="1">
      <c r="I2528" s="998" t="s">
        <v>829</v>
      </c>
      <c r="J2528" s="3177" t="s">
        <v>829</v>
      </c>
      <c r="K2528" s="3178"/>
      <c r="L2528" s="3177" t="s">
        <v>850</v>
      </c>
      <c r="M2528" s="3178"/>
      <c r="N2528" s="3177" t="s">
        <v>851</v>
      </c>
      <c r="O2528" s="3178"/>
      <c r="P2528" s="3179" t="s">
        <v>830</v>
      </c>
      <c r="Q2528" s="3180"/>
      <c r="R2528" s="3180"/>
      <c r="S2528" s="3180"/>
      <c r="T2528" s="3180"/>
      <c r="U2528" s="3181"/>
    </row>
    <row r="2529" spans="9:21" ht="12.75" hidden="1" customHeight="1" outlineLevel="1">
      <c r="I2529" s="998" t="s">
        <v>832</v>
      </c>
      <c r="J2529" s="3177" t="s">
        <v>832</v>
      </c>
      <c r="K2529" s="3178"/>
      <c r="L2529" s="3177" t="s">
        <v>833</v>
      </c>
      <c r="M2529" s="3178"/>
      <c r="N2529" s="3177" t="s">
        <v>1553</v>
      </c>
      <c r="O2529" s="3178"/>
      <c r="P2529" s="3179" t="s">
        <v>834</v>
      </c>
      <c r="Q2529" s="3180"/>
      <c r="R2529" s="3180"/>
      <c r="S2529" s="3180"/>
      <c r="T2529" s="3180"/>
      <c r="U2529" s="3181"/>
    </row>
    <row r="2530" spans="9:21" ht="12.75" hidden="1" customHeight="1" outlineLevel="1">
      <c r="I2530" s="998"/>
      <c r="J2530" s="3177"/>
      <c r="K2530" s="3178"/>
      <c r="L2530" s="3177"/>
      <c r="M2530" s="3178"/>
      <c r="N2530" s="3177"/>
      <c r="O2530" s="3178"/>
      <c r="P2530" s="3179"/>
      <c r="Q2530" s="3180"/>
      <c r="R2530" s="3180"/>
      <c r="S2530" s="3180"/>
      <c r="T2530" s="3180"/>
      <c r="U2530" s="3181"/>
    </row>
    <row r="2531" spans="9:21" ht="12.75" hidden="1" customHeight="1" outlineLevel="1">
      <c r="I2531" s="998"/>
      <c r="J2531" s="3177"/>
      <c r="K2531" s="3178"/>
      <c r="L2531" s="3177"/>
      <c r="M2531" s="3178"/>
      <c r="N2531" s="3177"/>
      <c r="O2531" s="3178"/>
      <c r="P2531" s="3179"/>
      <c r="Q2531" s="3180"/>
      <c r="R2531" s="3180"/>
      <c r="S2531" s="3180"/>
      <c r="T2531" s="3180"/>
      <c r="U2531" s="3181"/>
    </row>
    <row r="2532" spans="9:21" ht="12.75" hidden="1" customHeight="1" outlineLevel="1">
      <c r="I2532" s="998"/>
      <c r="J2532" s="3177"/>
      <c r="K2532" s="3178"/>
      <c r="L2532" s="3177"/>
      <c r="M2532" s="3178"/>
      <c r="N2532" s="3177"/>
      <c r="O2532" s="3178"/>
      <c r="P2532" s="3179"/>
      <c r="Q2532" s="3180"/>
      <c r="R2532" s="3180"/>
      <c r="S2532" s="3180"/>
      <c r="T2532" s="3180"/>
      <c r="U2532" s="3181"/>
    </row>
    <row r="2533" spans="9:21" ht="12.75" hidden="1" customHeight="1" outlineLevel="1">
      <c r="I2533" s="998"/>
      <c r="J2533" s="3177"/>
      <c r="K2533" s="3178"/>
      <c r="L2533" s="3177"/>
      <c r="M2533" s="3178"/>
      <c r="N2533" s="3177"/>
      <c r="O2533" s="3178"/>
      <c r="P2533" s="3179"/>
      <c r="Q2533" s="3180"/>
      <c r="R2533" s="3180"/>
      <c r="S2533" s="3180"/>
      <c r="T2533" s="3180"/>
      <c r="U2533" s="3181"/>
    </row>
    <row r="2534" spans="9:21"/>
    <row r="2535" spans="9:21"/>
    <row r="2536" spans="9:21"/>
    <row r="2537" spans="9:21"/>
    <row r="2538" spans="9:21"/>
    <row r="2539" spans="9:21"/>
    <row r="2540" spans="9:21"/>
    <row r="2541" spans="9:21"/>
    <row r="2542" spans="9:21"/>
    <row r="2543" spans="9:21"/>
    <row r="2544" spans="9:21"/>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sheetData>
  <mergeCells count="68">
    <mergeCell ref="P2528:U2528"/>
    <mergeCell ref="P2529:U2529"/>
    <mergeCell ref="J2526:K2527"/>
    <mergeCell ref="L2526:M2526"/>
    <mergeCell ref="N2526:O2527"/>
    <mergeCell ref="J2528:K2528"/>
    <mergeCell ref="L2528:M2528"/>
    <mergeCell ref="N2528:O2528"/>
    <mergeCell ref="J2529:K2529"/>
    <mergeCell ref="L2529:M2529"/>
    <mergeCell ref="N2529:O2529"/>
    <mergeCell ref="L2527:M2527"/>
    <mergeCell ref="P2526:U2527"/>
    <mergeCell ref="J2533:K2533"/>
    <mergeCell ref="L2533:M2533"/>
    <mergeCell ref="N2533:O2533"/>
    <mergeCell ref="P2533:U2533"/>
    <mergeCell ref="J2530:K2530"/>
    <mergeCell ref="L2530:M2530"/>
    <mergeCell ref="N2530:O2530"/>
    <mergeCell ref="P2530:U2530"/>
    <mergeCell ref="J2531:K2531"/>
    <mergeCell ref="L2531:M2531"/>
    <mergeCell ref="N2531:O2531"/>
    <mergeCell ref="P2531:U2531"/>
    <mergeCell ref="J2532:K2532"/>
    <mergeCell ref="L2532:M2532"/>
    <mergeCell ref="N2532:O2532"/>
    <mergeCell ref="P2532:U2532"/>
    <mergeCell ref="B2421:C2421"/>
    <mergeCell ref="B2464:C2464"/>
    <mergeCell ref="B591:C591"/>
    <mergeCell ref="B669:C669"/>
    <mergeCell ref="B1615:C1615"/>
    <mergeCell ref="B2153:C2153"/>
    <mergeCell ref="B2181:C2181"/>
    <mergeCell ref="B2234:C2234"/>
    <mergeCell ref="B706:C706"/>
    <mergeCell ref="B2278:C2278"/>
    <mergeCell ref="B1582:C1582"/>
    <mergeCell ref="B888:C888"/>
    <mergeCell ref="B1986:C1986"/>
    <mergeCell ref="J2525:K2525"/>
    <mergeCell ref="L2525:M2525"/>
    <mergeCell ref="N2525:O2525"/>
    <mergeCell ref="I2523:U2523"/>
    <mergeCell ref="P2525:U2525"/>
    <mergeCell ref="D920:E920"/>
    <mergeCell ref="I7:U7"/>
    <mergeCell ref="I9:U9"/>
    <mergeCell ref="D11:E11"/>
    <mergeCell ref="I1612:U1612"/>
    <mergeCell ref="J2231:K2232"/>
    <mergeCell ref="L2231:N2232"/>
    <mergeCell ref="B2:C2"/>
    <mergeCell ref="B3:C3"/>
    <mergeCell ref="B920:C920"/>
    <mergeCell ref="B1614:C1614"/>
    <mergeCell ref="B921:C921"/>
    <mergeCell ref="B58:C58"/>
    <mergeCell ref="B95:C95"/>
    <mergeCell ref="B4:C4"/>
    <mergeCell ref="B5:C5"/>
    <mergeCell ref="B12:C12"/>
    <mergeCell ref="B11:C11"/>
    <mergeCell ref="D1614:E1614"/>
    <mergeCell ref="J2:U5"/>
    <mergeCell ref="I918:U918"/>
  </mergeCells>
  <phoneticPr fontId="11" type="noConversion"/>
  <hyperlinks>
    <hyperlink ref="P2528" r:id="rId1" xr:uid="{00000000-0004-0000-1600-000000000000}"/>
    <hyperlink ref="P2529" r:id="rId2" xr:uid="{00000000-0004-0000-1600-000001000000}"/>
    <hyperlink ref="P2526" r:id="rId3" xr:uid="{00000000-0004-0000-1600-000002000000}"/>
  </hyperlinks>
  <pageMargins left="0.7" right="0.7" top="0.75" bottom="0.75"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14999847407452621"/>
    <outlinePr summaryBelow="0" summaryRight="0"/>
  </sheetPr>
  <dimension ref="A1:V221"/>
  <sheetViews>
    <sheetView showGridLines="0" zoomScale="90" zoomScaleNormal="90" workbookViewId="0"/>
  </sheetViews>
  <sheetFormatPr baseColWidth="10" defaultColWidth="0" defaultRowHeight="11.4" zeroHeight="1" outlineLevelRow="2" outlineLevelCol="1"/>
  <cols>
    <col min="1" max="1" width="2.375" customWidth="1"/>
    <col min="2" max="2" width="3" bestFit="1" customWidth="1"/>
    <col min="3" max="3" width="30.25" customWidth="1" collapsed="1"/>
    <col min="4" max="4" width="3" hidden="1" customWidth="1" outlineLevel="1"/>
    <col min="5" max="7" width="11.375" hidden="1" customWidth="1" outlineLevel="1"/>
    <col min="8" max="8" width="2.375" customWidth="1"/>
    <col min="9" max="9" width="29.125" bestFit="1" customWidth="1"/>
    <col min="10" max="10" width="11.375" customWidth="1"/>
    <col min="11" max="11" width="12.375" style="1150" bestFit="1" customWidth="1"/>
    <col min="12" max="12" width="11.375" customWidth="1"/>
    <col min="13" max="13" width="11.375" style="1144" customWidth="1"/>
    <col min="14" max="14" width="18.875" bestFit="1" customWidth="1"/>
    <col min="15" max="15" width="20.75" style="1148" bestFit="1" customWidth="1"/>
    <col min="16" max="21" width="11.375" style="1146" customWidth="1"/>
    <col min="22" max="22" width="3" customWidth="1"/>
    <col min="23" max="16384" width="11.375" hidden="1"/>
  </cols>
  <sheetData>
    <row r="1" spans="2:21"/>
    <row r="2" spans="2:21" ht="14.25" customHeight="1">
      <c r="B2" s="2761" t="s">
        <v>893</v>
      </c>
      <c r="C2" s="2762"/>
      <c r="J2" s="3158" t="s">
        <v>2474</v>
      </c>
      <c r="K2" s="3159"/>
      <c r="L2" s="3159"/>
      <c r="M2" s="3159"/>
      <c r="N2" s="3159"/>
      <c r="O2" s="3159"/>
      <c r="P2" s="3159"/>
      <c r="Q2" s="3159"/>
      <c r="R2" s="3159"/>
      <c r="S2" s="3159"/>
      <c r="T2" s="3159"/>
      <c r="U2" s="3160"/>
    </row>
    <row r="3" spans="2:21" ht="13.8">
      <c r="B3" s="2761" t="s">
        <v>59</v>
      </c>
      <c r="C3" s="2762"/>
      <c r="J3" s="3161"/>
      <c r="K3" s="3162"/>
      <c r="L3" s="3162"/>
      <c r="M3" s="3162"/>
      <c r="N3" s="3162"/>
      <c r="O3" s="3162"/>
      <c r="P3" s="3162"/>
      <c r="Q3" s="3162"/>
      <c r="R3" s="3162"/>
      <c r="S3" s="3162"/>
      <c r="T3" s="3162"/>
      <c r="U3" s="3163"/>
    </row>
    <row r="4" spans="2:21" ht="13.8">
      <c r="B4" s="2761" t="s">
        <v>60</v>
      </c>
      <c r="C4" s="2762"/>
      <c r="J4" s="3161"/>
      <c r="K4" s="3162"/>
      <c r="L4" s="3162"/>
      <c r="M4" s="3162"/>
      <c r="N4" s="3162"/>
      <c r="O4" s="3162"/>
      <c r="P4" s="3162"/>
      <c r="Q4" s="3162"/>
      <c r="R4" s="3162"/>
      <c r="S4" s="3162"/>
      <c r="T4" s="3162"/>
      <c r="U4" s="3163"/>
    </row>
    <row r="5" spans="2:21" ht="13.8">
      <c r="B5" s="2761" t="s">
        <v>37</v>
      </c>
      <c r="C5" s="2762"/>
      <c r="J5" s="3164"/>
      <c r="K5" s="3165"/>
      <c r="L5" s="3165"/>
      <c r="M5" s="3165"/>
      <c r="N5" s="3165"/>
      <c r="O5" s="3165"/>
      <c r="P5" s="3165"/>
      <c r="Q5" s="3165"/>
      <c r="R5" s="3165"/>
      <c r="S5" s="3165"/>
      <c r="T5" s="3165"/>
      <c r="U5" s="3166"/>
    </row>
    <row r="6" spans="2:21">
      <c r="K6" s="1673"/>
    </row>
    <row r="7" spans="2:21" ht="15.6">
      <c r="I7" s="3170" t="s">
        <v>1846</v>
      </c>
      <c r="J7" s="3171"/>
      <c r="K7" s="3171"/>
      <c r="L7" s="3171"/>
      <c r="M7" s="3171"/>
      <c r="N7" s="3171"/>
      <c r="O7" s="3171"/>
      <c r="P7" s="3171"/>
      <c r="Q7" s="3171"/>
      <c r="R7" s="3171"/>
      <c r="S7" s="3171"/>
      <c r="T7" s="3171"/>
      <c r="U7" s="3172"/>
    </row>
    <row r="8" spans="2:21"/>
    <row r="9" spans="2:21" ht="15.6" collapsed="1">
      <c r="I9" s="3167" t="s">
        <v>197</v>
      </c>
      <c r="J9" s="3168"/>
      <c r="K9" s="3168"/>
      <c r="L9" s="3168"/>
      <c r="M9" s="3168"/>
      <c r="N9" s="3168"/>
      <c r="O9" s="3168"/>
      <c r="P9" s="3168"/>
      <c r="Q9" s="3168"/>
      <c r="R9" s="3168"/>
      <c r="S9" s="3168"/>
      <c r="T9" s="3168"/>
      <c r="U9" s="3169"/>
    </row>
    <row r="10" spans="2:21" hidden="1" outlineLevel="1"/>
    <row r="11" spans="2:21" ht="12.75" hidden="1" customHeight="1" outlineLevel="1">
      <c r="B11" s="3154" t="s">
        <v>1617</v>
      </c>
      <c r="C11" s="3154"/>
      <c r="D11" s="3157" t="s">
        <v>1619</v>
      </c>
      <c r="E11" s="3157"/>
      <c r="F11" s="1151" t="s">
        <v>1616</v>
      </c>
      <c r="G11" s="1053" t="s">
        <v>1618</v>
      </c>
      <c r="H11" s="1044"/>
      <c r="I11" s="1107" t="s">
        <v>1557</v>
      </c>
      <c r="J11" s="1108" t="s">
        <v>1266</v>
      </c>
      <c r="K11" s="1109" t="s">
        <v>224</v>
      </c>
      <c r="L11" s="1109" t="s">
        <v>1558</v>
      </c>
      <c r="M11" s="1738" t="s">
        <v>366</v>
      </c>
      <c r="N11" s="1108" t="s">
        <v>1559</v>
      </c>
      <c r="O11" s="1739" t="s">
        <v>1560</v>
      </c>
      <c r="P11" s="1739" t="s">
        <v>211</v>
      </c>
      <c r="Q11" s="1739" t="s">
        <v>1561</v>
      </c>
      <c r="R11" s="1739" t="s">
        <v>1562</v>
      </c>
      <c r="S11" s="1739" t="s">
        <v>267</v>
      </c>
      <c r="T11" s="1739" t="s">
        <v>1563</v>
      </c>
      <c r="U11" s="1740" t="s">
        <v>1564</v>
      </c>
    </row>
    <row r="12" spans="2:21" ht="12" hidden="1" customHeight="1" outlineLevel="1" collapsed="1">
      <c r="B12" s="3154" t="s">
        <v>1881</v>
      </c>
      <c r="C12" s="3154"/>
      <c r="D12" s="1051">
        <v>0</v>
      </c>
      <c r="E12" s="1051"/>
      <c r="F12" s="1051"/>
      <c r="G12" s="1051"/>
      <c r="I12" s="1706"/>
      <c r="J12" s="1707"/>
      <c r="K12" s="1734"/>
      <c r="L12" s="1707"/>
      <c r="M12" s="1709"/>
      <c r="N12" s="1707"/>
      <c r="O12" s="1735"/>
      <c r="P12" s="1736"/>
      <c r="Q12" s="1736"/>
      <c r="R12" s="1736"/>
      <c r="S12" s="1736"/>
      <c r="T12" s="1736"/>
      <c r="U12" s="1737"/>
    </row>
    <row r="13" spans="2:21" hidden="1" outlineLevel="2">
      <c r="B13" s="1152">
        <v>1</v>
      </c>
      <c r="C13" s="1152" t="str">
        <f>IF(ISNA(VLOOKUP(B13,$D$13:$E$71,2,FALSE)),"-",VLOOKUP(B13,$D$13:$E$71,2,FALSE))</f>
        <v>Agneaux à l'herbe, France, [B]</v>
      </c>
      <c r="D13" s="1051">
        <f>D12+IF(LEN(E13)&gt;0,1,0)</f>
        <v>1</v>
      </c>
      <c r="E13" s="1051" t="str">
        <f>IF(COUNTIF(E$11:E12,F13)&gt;0,"",F13)</f>
        <v>Agneaux à l'herbe, France, [B]</v>
      </c>
      <c r="F13" s="1051" t="str">
        <f>IF(I13&lt;&gt;"",I13&amp;IF(L13&lt;&gt;"",", "&amp;L13,"")&amp;IF(K13&lt;&gt;"",", "&amp;K13,""),"")</f>
        <v>Agneaux à l'herbe, France, [B]</v>
      </c>
      <c r="G13" s="1051" t="str">
        <f>IF(F13&lt;&gt;"",F13&amp;IF(J13&lt;&gt;"","; "&amp;J13,"")&amp;IF(N13&lt;&gt;"",", "&amp;N13,""),"")</f>
        <v>Agneaux à l'herbe, France, [B]; kgCO2e/animal.an, digestion et déjections</v>
      </c>
      <c r="I13" s="1100" t="s">
        <v>1853</v>
      </c>
      <c r="J13" s="1048" t="s">
        <v>1852</v>
      </c>
      <c r="K13" s="1192" t="s">
        <v>902</v>
      </c>
      <c r="L13" s="1048" t="s">
        <v>239</v>
      </c>
      <c r="M13" s="1101">
        <v>0.5</v>
      </c>
      <c r="N13" s="1048" t="s">
        <v>1879</v>
      </c>
      <c r="O13" s="1193">
        <v>74.965000000000003</v>
      </c>
      <c r="P13" s="1194">
        <v>0</v>
      </c>
      <c r="Q13" s="1194">
        <v>0</v>
      </c>
      <c r="R13" s="1194">
        <v>58.800000000000004</v>
      </c>
      <c r="S13" s="1194">
        <v>16.164999999999999</v>
      </c>
      <c r="T13" s="1194">
        <v>0</v>
      </c>
      <c r="U13" s="1195">
        <v>0</v>
      </c>
    </row>
    <row r="14" spans="2:21" hidden="1" outlineLevel="2">
      <c r="B14" s="1152">
        <v>2</v>
      </c>
      <c r="C14" s="1152" t="str">
        <f t="shared" ref="C14:C42" si="0">IF(ISNA(VLOOKUP(B14,$D$13:$E$71,2,FALSE)),"-",VLOOKUP(B14,$D$13:$E$71,2,FALSE))</f>
        <v>Agneaux de boucherie, France, [B]</v>
      </c>
      <c r="D14" s="1051">
        <f t="shared" ref="D14:D64" si="1">D13+IF(LEN(E14)&gt;0,1,0)</f>
        <v>2</v>
      </c>
      <c r="E14" s="1051" t="str">
        <f>IF(COUNTIF(E$11:E13,F14)&gt;0,"",F14)</f>
        <v>Agneaux de boucherie, France, [B]</v>
      </c>
      <c r="F14" s="1051" t="str">
        <f t="shared" ref="F14:F64" si="2">IF(I14&lt;&gt;"",I14&amp;IF(L14&lt;&gt;"",", "&amp;L14,"")&amp;IF(K14&lt;&gt;"",", "&amp;K14,""),"")</f>
        <v>Agneaux de boucherie, France, [B]</v>
      </c>
      <c r="G14" s="1051" t="str">
        <f t="shared" ref="G14:G64" si="3">IF(F14&lt;&gt;"",F14&amp;IF(J14&lt;&gt;"","; "&amp;J14,"")&amp;IF(N14&lt;&gt;"",", "&amp;N14,""),"")</f>
        <v>Agneaux de boucherie, France, [B]; kgCO2e/animal.an, digestion et déjections</v>
      </c>
      <c r="I14" s="1100" t="s">
        <v>1854</v>
      </c>
      <c r="J14" s="1048" t="s">
        <v>1852</v>
      </c>
      <c r="K14" s="1192" t="s">
        <v>902</v>
      </c>
      <c r="L14" s="1048" t="s">
        <v>239</v>
      </c>
      <c r="M14" s="1101">
        <v>0.5</v>
      </c>
      <c r="N14" s="1048" t="s">
        <v>1879</v>
      </c>
      <c r="O14" s="1193">
        <v>25.995000000000001</v>
      </c>
      <c r="P14" s="1194">
        <v>0</v>
      </c>
      <c r="Q14" s="1194">
        <v>0</v>
      </c>
      <c r="R14" s="1194">
        <v>25.2</v>
      </c>
      <c r="S14" s="1194">
        <v>0.79500000000000004</v>
      </c>
      <c r="T14" s="1194">
        <v>0</v>
      </c>
      <c r="U14" s="1195">
        <v>0</v>
      </c>
    </row>
    <row r="15" spans="2:21" hidden="1" outlineLevel="2">
      <c r="B15" s="1152">
        <v>3</v>
      </c>
      <c r="C15" s="1152" t="str">
        <f t="shared" si="0"/>
        <v>Agnelles, France, [B]</v>
      </c>
      <c r="D15" s="1051">
        <f t="shared" si="1"/>
        <v>3</v>
      </c>
      <c r="E15" s="1051" t="str">
        <f>IF(COUNTIF(E$11:E14,F15)&gt;0,"",F15)</f>
        <v>Agnelles, France, [B]</v>
      </c>
      <c r="F15" s="1051" t="str">
        <f t="shared" si="2"/>
        <v>Agnelles, France, [B]</v>
      </c>
      <c r="G15" s="1051" t="str">
        <f t="shared" si="3"/>
        <v>Agnelles, France, [B]; kgCO2e/animal.an, digestion et déjections</v>
      </c>
      <c r="I15" s="1100" t="s">
        <v>1855</v>
      </c>
      <c r="J15" s="1048" t="s">
        <v>1852</v>
      </c>
      <c r="K15" s="1192" t="s">
        <v>902</v>
      </c>
      <c r="L15" s="1048" t="s">
        <v>239</v>
      </c>
      <c r="M15" s="1101">
        <v>0.5</v>
      </c>
      <c r="N15" s="1048" t="s">
        <v>1879</v>
      </c>
      <c r="O15" s="1193">
        <v>286.21500000000003</v>
      </c>
      <c r="P15" s="1194">
        <v>0</v>
      </c>
      <c r="Q15" s="1194">
        <v>0</v>
      </c>
      <c r="R15" s="1194">
        <v>193.20000000000002</v>
      </c>
      <c r="S15" s="1194">
        <v>93.015000000000001</v>
      </c>
      <c r="T15" s="1194">
        <v>0</v>
      </c>
      <c r="U15" s="1195">
        <v>0</v>
      </c>
    </row>
    <row r="16" spans="2:21" hidden="1" outlineLevel="2">
      <c r="B16" s="1152">
        <v>4</v>
      </c>
      <c r="C16" s="1152" t="str">
        <f t="shared" si="0"/>
        <v>Béliers, France, [B]</v>
      </c>
      <c r="D16" s="1051">
        <f t="shared" si="1"/>
        <v>4</v>
      </c>
      <c r="E16" s="1051" t="str">
        <f>IF(COUNTIF(E$11:E15,F16)&gt;0,"",F16)</f>
        <v>Béliers, France, [B]</v>
      </c>
      <c r="F16" s="1051" t="str">
        <f t="shared" si="2"/>
        <v>Béliers, France, [B]</v>
      </c>
      <c r="G16" s="1051" t="str">
        <f t="shared" si="3"/>
        <v>Béliers, France, [B]; kgCO2e/animal.an, digestion et déjections</v>
      </c>
      <c r="I16" s="1100" t="s">
        <v>1856</v>
      </c>
      <c r="J16" s="1048" t="s">
        <v>1852</v>
      </c>
      <c r="K16" s="1192" t="s">
        <v>902</v>
      </c>
      <c r="L16" s="1048" t="s">
        <v>239</v>
      </c>
      <c r="M16" s="1101">
        <v>0.5</v>
      </c>
      <c r="N16" s="1048" t="s">
        <v>1879</v>
      </c>
      <c r="O16" s="1193">
        <v>603.04000000000008</v>
      </c>
      <c r="P16" s="1194">
        <v>0</v>
      </c>
      <c r="Q16" s="1194">
        <v>0</v>
      </c>
      <c r="R16" s="1194">
        <v>492.80000000000007</v>
      </c>
      <c r="S16" s="1194">
        <v>110.24</v>
      </c>
      <c r="T16" s="1194">
        <v>0</v>
      </c>
      <c r="U16" s="1195">
        <v>0</v>
      </c>
    </row>
    <row r="17" spans="2:21" hidden="1" outlineLevel="2">
      <c r="B17" s="1152">
        <v>5</v>
      </c>
      <c r="C17" s="1152" t="str">
        <f t="shared" si="0"/>
        <v>Bœuf, France, [B]</v>
      </c>
      <c r="D17" s="1051">
        <f t="shared" si="1"/>
        <v>5</v>
      </c>
      <c r="E17" s="1051" t="str">
        <f>IF(COUNTIF(E$11:E16,F17)&gt;0,"",F17)</f>
        <v>Bœuf, France, [B]</v>
      </c>
      <c r="F17" s="1051" t="str">
        <f t="shared" si="2"/>
        <v>Bœuf, France, [B]</v>
      </c>
      <c r="G17" s="1051" t="str">
        <f t="shared" si="3"/>
        <v>Bœuf, France, [B]; kgCO2e/animal.an, digestion et déjections</v>
      </c>
      <c r="I17" s="1100" t="s">
        <v>1857</v>
      </c>
      <c r="J17" s="1048" t="s">
        <v>1852</v>
      </c>
      <c r="K17" s="1192" t="s">
        <v>902</v>
      </c>
      <c r="L17" s="1048" t="s">
        <v>239</v>
      </c>
      <c r="M17" s="1101">
        <v>0.5</v>
      </c>
      <c r="N17" s="1048" t="s">
        <v>1879</v>
      </c>
      <c r="O17" s="1193">
        <v>2413.6</v>
      </c>
      <c r="P17" s="1194">
        <v>0</v>
      </c>
      <c r="Q17" s="1194">
        <v>0</v>
      </c>
      <c r="R17" s="1194">
        <v>2116.7999999999997</v>
      </c>
      <c r="S17" s="1194">
        <v>296.8</v>
      </c>
      <c r="T17" s="1194">
        <v>0</v>
      </c>
      <c r="U17" s="1195">
        <v>0</v>
      </c>
    </row>
    <row r="18" spans="2:21" hidden="1" outlineLevel="2">
      <c r="B18" s="1152">
        <v>6</v>
      </c>
      <c r="C18" s="1152" t="str">
        <f t="shared" si="0"/>
        <v>Boucs, France, [B]</v>
      </c>
      <c r="D18" s="1051">
        <f t="shared" si="1"/>
        <v>6</v>
      </c>
      <c r="E18" s="1051" t="str">
        <f>IF(COUNTIF(E$11:E17,F18)&gt;0,"",F18)</f>
        <v>Boucs, France, [B]</v>
      </c>
      <c r="F18" s="1051" t="str">
        <f t="shared" si="2"/>
        <v>Boucs, France, [B]</v>
      </c>
      <c r="G18" s="1051" t="str">
        <f t="shared" si="3"/>
        <v>Boucs, France, [B]; kgCO2e/animal.an, digestion et déjections</v>
      </c>
      <c r="I18" s="1100" t="s">
        <v>1858</v>
      </c>
      <c r="J18" s="1048" t="s">
        <v>1852</v>
      </c>
      <c r="K18" s="1192" t="s">
        <v>902</v>
      </c>
      <c r="L18" s="1048" t="s">
        <v>239</v>
      </c>
      <c r="M18" s="1101">
        <v>0.5</v>
      </c>
      <c r="N18" s="1048" t="s">
        <v>1879</v>
      </c>
      <c r="O18" s="1193">
        <v>703.755</v>
      </c>
      <c r="P18" s="1194">
        <v>0</v>
      </c>
      <c r="Q18" s="1194">
        <v>0</v>
      </c>
      <c r="R18" s="1194">
        <v>537.6</v>
      </c>
      <c r="S18" s="1194">
        <v>166.155</v>
      </c>
      <c r="T18" s="1194">
        <v>0</v>
      </c>
      <c r="U18" s="1195">
        <v>0</v>
      </c>
    </row>
    <row r="19" spans="2:21" hidden="1" outlineLevel="2">
      <c r="B19" s="1152">
        <v>7</v>
      </c>
      <c r="C19" s="1152" t="str">
        <f t="shared" si="0"/>
        <v>Brebis, France, [B]</v>
      </c>
      <c r="D19" s="1051">
        <f t="shared" si="1"/>
        <v>7</v>
      </c>
      <c r="E19" s="1051" t="str">
        <f>IF(COUNTIF(E$11:E18,F19)&gt;0,"",F19)</f>
        <v>Brebis, France, [B]</v>
      </c>
      <c r="F19" s="1051" t="str">
        <f t="shared" si="2"/>
        <v>Brebis, France, [B]</v>
      </c>
      <c r="G19" s="1051" t="str">
        <f t="shared" si="3"/>
        <v>Brebis, France, [B]; kgCO2e/animal.an, digestion et déjections</v>
      </c>
      <c r="I19" s="1100" t="s">
        <v>1859</v>
      </c>
      <c r="J19" s="1048" t="s">
        <v>1852</v>
      </c>
      <c r="K19" s="1192" t="s">
        <v>902</v>
      </c>
      <c r="L19" s="1048" t="s">
        <v>239</v>
      </c>
      <c r="M19" s="1101">
        <v>0.5</v>
      </c>
      <c r="N19" s="1048" t="s">
        <v>1879</v>
      </c>
      <c r="O19" s="1193">
        <v>629.005</v>
      </c>
      <c r="P19" s="1194">
        <v>0</v>
      </c>
      <c r="Q19" s="1194">
        <v>0</v>
      </c>
      <c r="R19" s="1194">
        <v>428.40000000000003</v>
      </c>
      <c r="S19" s="1194">
        <v>200.60499999999999</v>
      </c>
      <c r="T19" s="1194">
        <v>0</v>
      </c>
      <c r="U19" s="1195">
        <v>0</v>
      </c>
    </row>
    <row r="20" spans="2:21" hidden="1" outlineLevel="2">
      <c r="B20" s="1152">
        <v>8</v>
      </c>
      <c r="C20" s="1152" t="str">
        <f t="shared" si="0"/>
        <v>Broutards, veaux, France, [B]</v>
      </c>
      <c r="D20" s="1051">
        <f t="shared" si="1"/>
        <v>8</v>
      </c>
      <c r="E20" s="1051" t="str">
        <f>IF(COUNTIF(E$11:E19,F20)&gt;0,"",F20)</f>
        <v>Broutards, veaux, France, [B]</v>
      </c>
      <c r="F20" s="1051" t="str">
        <f t="shared" si="2"/>
        <v>Broutards, veaux, France, [B]</v>
      </c>
      <c r="G20" s="1051" t="str">
        <f t="shared" si="3"/>
        <v>Broutards, veaux, France, [B]; kgCO2e/animal.an, digestion et déjections</v>
      </c>
      <c r="I20" s="1100" t="s">
        <v>1860</v>
      </c>
      <c r="J20" s="1048" t="s">
        <v>1852</v>
      </c>
      <c r="K20" s="1192" t="s">
        <v>902</v>
      </c>
      <c r="L20" s="1048" t="s">
        <v>239</v>
      </c>
      <c r="M20" s="1101">
        <v>0.5</v>
      </c>
      <c r="N20" s="1048" t="s">
        <v>1879</v>
      </c>
      <c r="O20" s="1193">
        <v>904.40000000000009</v>
      </c>
      <c r="P20" s="1194">
        <v>0</v>
      </c>
      <c r="Q20" s="1194">
        <v>0</v>
      </c>
      <c r="R20" s="1194">
        <v>607.6</v>
      </c>
      <c r="S20" s="1194">
        <v>296.8</v>
      </c>
      <c r="T20" s="1194">
        <v>0</v>
      </c>
      <c r="U20" s="1195">
        <v>0</v>
      </c>
    </row>
    <row r="21" spans="2:21" hidden="1" outlineLevel="2">
      <c r="B21" s="1152">
        <v>9</v>
      </c>
      <c r="C21" s="1152" t="str">
        <f t="shared" si="0"/>
        <v>Canards, France, [B]</v>
      </c>
      <c r="D21" s="1051">
        <f t="shared" si="1"/>
        <v>9</v>
      </c>
      <c r="E21" s="1051" t="str">
        <f>IF(COUNTIF(E$11:E20,F21)&gt;0,"",F21)</f>
        <v>Canards, France, [B]</v>
      </c>
      <c r="F21" s="1051" t="str">
        <f t="shared" si="2"/>
        <v>Canards, France, [B]</v>
      </c>
      <c r="G21" s="1051" t="str">
        <f t="shared" si="3"/>
        <v>Canards, France, [B]; kgCO2e/animal.an, digestion et déjections</v>
      </c>
      <c r="I21" s="1100" t="s">
        <v>1861</v>
      </c>
      <c r="J21" s="1048" t="s">
        <v>1852</v>
      </c>
      <c r="K21" s="1192" t="s">
        <v>902</v>
      </c>
      <c r="L21" s="1048" t="s">
        <v>239</v>
      </c>
      <c r="M21" s="1101">
        <v>0.5</v>
      </c>
      <c r="N21" s="1048" t="s">
        <v>1879</v>
      </c>
      <c r="O21" s="1193">
        <v>23.725000000000001</v>
      </c>
      <c r="P21" s="1194">
        <v>0</v>
      </c>
      <c r="Q21" s="1194">
        <v>0</v>
      </c>
      <c r="R21" s="1194">
        <v>22.400000000000002</v>
      </c>
      <c r="S21" s="1194">
        <v>1.325</v>
      </c>
      <c r="T21" s="1194">
        <v>0</v>
      </c>
      <c r="U21" s="1195">
        <v>0</v>
      </c>
    </row>
    <row r="22" spans="2:21" hidden="1" outlineLevel="2">
      <c r="B22" s="1152">
        <v>10</v>
      </c>
      <c r="C22" s="1152" t="str">
        <f t="shared" si="0"/>
        <v>Chevaux de trait, France, [B]</v>
      </c>
      <c r="D22" s="1051">
        <f t="shared" si="1"/>
        <v>10</v>
      </c>
      <c r="E22" s="1051" t="str">
        <f>IF(COUNTIF(E$11:E21,F22)&gt;0,"",F22)</f>
        <v>Chevaux de trait, France, [B]</v>
      </c>
      <c r="F22" s="1051" t="str">
        <f t="shared" si="2"/>
        <v>Chevaux de trait, France, [B]</v>
      </c>
      <c r="G22" s="1051" t="str">
        <f t="shared" si="3"/>
        <v>Chevaux de trait, France, [B]; kgCO2e/animal.an, digestion et déjections</v>
      </c>
      <c r="I22" s="1100" t="s">
        <v>1862</v>
      </c>
      <c r="J22" s="1048" t="s">
        <v>1852</v>
      </c>
      <c r="K22" s="1192" t="s">
        <v>902</v>
      </c>
      <c r="L22" s="1048" t="s">
        <v>239</v>
      </c>
      <c r="M22" s="1101">
        <v>0.5</v>
      </c>
      <c r="N22" s="1048" t="s">
        <v>1879</v>
      </c>
      <c r="O22" s="1193">
        <v>1436.3999999999999</v>
      </c>
      <c r="P22" s="1194">
        <v>0</v>
      </c>
      <c r="Q22" s="1194">
        <v>0</v>
      </c>
      <c r="R22" s="1194">
        <v>1436.3999999999999</v>
      </c>
      <c r="S22" s="1194">
        <v>0</v>
      </c>
      <c r="T22" s="1194">
        <v>0</v>
      </c>
      <c r="U22" s="1195">
        <v>0</v>
      </c>
    </row>
    <row r="23" spans="2:21" hidden="1" outlineLevel="2">
      <c r="B23" s="1152">
        <v>11</v>
      </c>
      <c r="C23" s="1152" t="str">
        <f t="shared" si="0"/>
        <v>Chèvres, France, [B]</v>
      </c>
      <c r="D23" s="1051">
        <f t="shared" si="1"/>
        <v>11</v>
      </c>
      <c r="E23" s="1051" t="str">
        <f>IF(COUNTIF(E$11:E22,F23)&gt;0,"",F23)</f>
        <v>Chèvres, France, [B]</v>
      </c>
      <c r="F23" s="1051" t="str">
        <f t="shared" si="2"/>
        <v>Chèvres, France, [B]</v>
      </c>
      <c r="G23" s="1051" t="str">
        <f t="shared" si="3"/>
        <v>Chèvres, France, [B]; kgCO2e/animal.an, digestion et déjections</v>
      </c>
      <c r="I23" s="1100" t="s">
        <v>1863</v>
      </c>
      <c r="J23" s="1048" t="s">
        <v>1852</v>
      </c>
      <c r="K23" s="1192" t="s">
        <v>902</v>
      </c>
      <c r="L23" s="1048" t="s">
        <v>239</v>
      </c>
      <c r="M23" s="1101">
        <v>0.5</v>
      </c>
      <c r="N23" s="1048" t="s">
        <v>1879</v>
      </c>
      <c r="O23" s="1193">
        <v>1155.6149999999998</v>
      </c>
      <c r="P23" s="1194">
        <v>0</v>
      </c>
      <c r="Q23" s="1194">
        <v>0</v>
      </c>
      <c r="R23" s="1194">
        <v>988.39999999999986</v>
      </c>
      <c r="S23" s="1194">
        <v>167.215</v>
      </c>
      <c r="T23" s="1194">
        <v>0</v>
      </c>
      <c r="U23" s="1195">
        <v>0</v>
      </c>
    </row>
    <row r="24" spans="2:21" hidden="1" outlineLevel="2">
      <c r="B24" s="1152">
        <v>12</v>
      </c>
      <c r="C24" s="1152" t="str">
        <f t="shared" si="0"/>
        <v>Chevrettes, France, [B]</v>
      </c>
      <c r="D24" s="1051">
        <f t="shared" si="1"/>
        <v>12</v>
      </c>
      <c r="E24" s="1051" t="str">
        <f>IF(COUNTIF(E$11:E23,F24)&gt;0,"",F24)</f>
        <v>Chevrettes, France, [B]</v>
      </c>
      <c r="F24" s="1051" t="str">
        <f t="shared" si="2"/>
        <v>Chevrettes, France, [B]</v>
      </c>
      <c r="G24" s="1051" t="str">
        <f t="shared" si="3"/>
        <v>Chevrettes, France, [B]; kgCO2e/animal.an, digestion et déjections</v>
      </c>
      <c r="I24" s="1100" t="s">
        <v>1864</v>
      </c>
      <c r="J24" s="1048" t="s">
        <v>1852</v>
      </c>
      <c r="K24" s="1192" t="s">
        <v>902</v>
      </c>
      <c r="L24" s="1048" t="s">
        <v>239</v>
      </c>
      <c r="M24" s="1101">
        <v>0.5</v>
      </c>
      <c r="N24" s="1048" t="s">
        <v>1879</v>
      </c>
      <c r="O24" s="1193">
        <v>217.37</v>
      </c>
      <c r="P24" s="1194">
        <v>0</v>
      </c>
      <c r="Q24" s="1194">
        <v>0</v>
      </c>
      <c r="R24" s="1194">
        <v>159.6</v>
      </c>
      <c r="S24" s="1194">
        <v>57.77</v>
      </c>
      <c r="T24" s="1194">
        <v>0</v>
      </c>
      <c r="U24" s="1195">
        <v>0</v>
      </c>
    </row>
    <row r="25" spans="2:21" hidden="1" outlineLevel="2">
      <c r="B25" s="1152">
        <v>13</v>
      </c>
      <c r="C25" s="1152" t="str">
        <f t="shared" si="0"/>
        <v>Dindes, France, [B]</v>
      </c>
      <c r="D25" s="1051">
        <f t="shared" si="1"/>
        <v>13</v>
      </c>
      <c r="E25" s="1051" t="str">
        <f>IF(COUNTIF(E$11:E24,F25)&gt;0,"",F25)</f>
        <v>Dindes, France, [B]</v>
      </c>
      <c r="F25" s="1051" t="str">
        <f t="shared" si="2"/>
        <v>Dindes, France, [B]</v>
      </c>
      <c r="G25" s="1051" t="str">
        <f t="shared" si="3"/>
        <v>Dindes, France, [B]; kgCO2e/animal.an, digestion et déjections</v>
      </c>
      <c r="I25" s="1100" t="s">
        <v>1865</v>
      </c>
      <c r="J25" s="1048" t="s">
        <v>1852</v>
      </c>
      <c r="K25" s="1192" t="s">
        <v>902</v>
      </c>
      <c r="L25" s="1048" t="s">
        <v>239</v>
      </c>
      <c r="M25" s="1101">
        <v>0.5</v>
      </c>
      <c r="N25" s="1048" t="s">
        <v>1879</v>
      </c>
      <c r="O25" s="1193">
        <v>23.725000000000001</v>
      </c>
      <c r="P25" s="1194">
        <v>0</v>
      </c>
      <c r="Q25" s="1194">
        <v>0</v>
      </c>
      <c r="R25" s="1194">
        <v>22.400000000000002</v>
      </c>
      <c r="S25" s="1194">
        <v>1.325</v>
      </c>
      <c r="T25" s="1194">
        <v>0</v>
      </c>
      <c r="U25" s="1195">
        <v>0</v>
      </c>
    </row>
    <row r="26" spans="2:21" hidden="1" outlineLevel="2">
      <c r="B26" s="1152">
        <v>14</v>
      </c>
      <c r="C26" s="1152" t="str">
        <f t="shared" si="0"/>
        <v>Génisses, taurillons, France, [B]</v>
      </c>
      <c r="D26" s="1051">
        <f t="shared" si="1"/>
        <v>14</v>
      </c>
      <c r="E26" s="1051" t="str">
        <f>IF(COUNTIF(E$11:E25,F26)&gt;0,"",F26)</f>
        <v>Génisses, taurillons, France, [B]</v>
      </c>
      <c r="F26" s="1051" t="str">
        <f t="shared" si="2"/>
        <v>Génisses, taurillons, France, [B]</v>
      </c>
      <c r="G26" s="1051" t="str">
        <f t="shared" si="3"/>
        <v>Génisses, taurillons, France, [B]; kgCO2e/animal.an, digestion et déjections</v>
      </c>
      <c r="I26" s="1100" t="s">
        <v>1866</v>
      </c>
      <c r="J26" s="1048" t="s">
        <v>1852</v>
      </c>
      <c r="K26" s="1192" t="s">
        <v>902</v>
      </c>
      <c r="L26" s="1048" t="s">
        <v>239</v>
      </c>
      <c r="M26" s="1101">
        <v>0.5</v>
      </c>
      <c r="N26" s="1048" t="s">
        <v>1879</v>
      </c>
      <c r="O26" s="1193">
        <v>2150.4</v>
      </c>
      <c r="P26" s="1194">
        <v>0</v>
      </c>
      <c r="Q26" s="1194">
        <v>0</v>
      </c>
      <c r="R26" s="1194">
        <v>1853.6000000000001</v>
      </c>
      <c r="S26" s="1194">
        <v>296.8</v>
      </c>
      <c r="T26" s="1194">
        <v>0</v>
      </c>
      <c r="U26" s="1195">
        <v>0</v>
      </c>
    </row>
    <row r="27" spans="2:21" hidden="1" outlineLevel="2">
      <c r="B27" s="1152">
        <v>15</v>
      </c>
      <c r="C27" s="1152" t="str">
        <f t="shared" si="0"/>
        <v>Hongres, juments vides, France, [B]</v>
      </c>
      <c r="D27" s="1051">
        <f t="shared" si="1"/>
        <v>15</v>
      </c>
      <c r="E27" s="1051" t="str">
        <f>IF(COUNTIF(E$11:E26,F27)&gt;0,"",F27)</f>
        <v>Hongres, juments vides, France, [B]</v>
      </c>
      <c r="F27" s="1051" t="str">
        <f t="shared" si="2"/>
        <v>Hongres, juments vides, France, [B]</v>
      </c>
      <c r="G27" s="1051" t="str">
        <f t="shared" si="3"/>
        <v>Hongres, juments vides, France, [B]; kgCO2e/animal.an, digestion et déjections</v>
      </c>
      <c r="I27" s="1100" t="s">
        <v>1867</v>
      </c>
      <c r="J27" s="1048" t="s">
        <v>1852</v>
      </c>
      <c r="K27" s="1192" t="s">
        <v>902</v>
      </c>
      <c r="L27" s="1048" t="s">
        <v>239</v>
      </c>
      <c r="M27" s="1101">
        <v>0.5</v>
      </c>
      <c r="N27" s="1048" t="s">
        <v>1879</v>
      </c>
      <c r="O27" s="1193">
        <v>1436.3999999999999</v>
      </c>
      <c r="P27" s="1194">
        <v>0</v>
      </c>
      <c r="Q27" s="1194">
        <v>0</v>
      </c>
      <c r="R27" s="1194">
        <v>1436.3999999999999</v>
      </c>
      <c r="S27" s="1194">
        <v>0</v>
      </c>
      <c r="T27" s="1194">
        <v>0</v>
      </c>
      <c r="U27" s="1195">
        <v>0</v>
      </c>
    </row>
    <row r="28" spans="2:21" hidden="1" outlineLevel="2">
      <c r="B28" s="1152">
        <v>16</v>
      </c>
      <c r="C28" s="1152" t="str">
        <f t="shared" si="0"/>
        <v>Juments reproductrices, étalons, France, [B]</v>
      </c>
      <c r="D28" s="1051">
        <f t="shared" si="1"/>
        <v>16</v>
      </c>
      <c r="E28" s="1051" t="str">
        <f>IF(COUNTIF(E$11:E27,F28)&gt;0,"",F28)</f>
        <v>Juments reproductrices, étalons, France, [B]</v>
      </c>
      <c r="F28" s="1051" t="str">
        <f t="shared" si="2"/>
        <v>Juments reproductrices, étalons, France, [B]</v>
      </c>
      <c r="G28" s="1051" t="str">
        <f t="shared" si="3"/>
        <v>Juments reproductrices, étalons, France, [B]; kgCO2e/animal.an, digestion et déjections</v>
      </c>
      <c r="I28" s="1100" t="s">
        <v>1868</v>
      </c>
      <c r="J28" s="1048" t="s">
        <v>1852</v>
      </c>
      <c r="K28" s="1192" t="s">
        <v>902</v>
      </c>
      <c r="L28" s="1048" t="s">
        <v>239</v>
      </c>
      <c r="M28" s="1101">
        <v>0.5</v>
      </c>
      <c r="N28" s="1048" t="s">
        <v>1879</v>
      </c>
      <c r="O28" s="1193">
        <v>1512</v>
      </c>
      <c r="P28" s="1194">
        <v>0</v>
      </c>
      <c r="Q28" s="1194">
        <v>0</v>
      </c>
      <c r="R28" s="1194">
        <v>1512</v>
      </c>
      <c r="S28" s="1194">
        <v>0</v>
      </c>
      <c r="T28" s="1194">
        <v>0</v>
      </c>
      <c r="U28" s="1195">
        <v>0</v>
      </c>
    </row>
    <row r="29" spans="2:21" hidden="1" outlineLevel="2">
      <c r="B29" s="1152">
        <v>17</v>
      </c>
      <c r="C29" s="1152" t="str">
        <f t="shared" si="0"/>
        <v>Pintades fermières, France, [B]</v>
      </c>
      <c r="D29" s="1051">
        <f t="shared" si="1"/>
        <v>17</v>
      </c>
      <c r="E29" s="1051" t="str">
        <f>IF(COUNTIF(E$11:E28,F29)&gt;0,"",F29)</f>
        <v>Pintades fermières, France, [B]</v>
      </c>
      <c r="F29" s="1051" t="str">
        <f t="shared" si="2"/>
        <v>Pintades fermières, France, [B]</v>
      </c>
      <c r="G29" s="1051" t="str">
        <f t="shared" si="3"/>
        <v>Pintades fermières, France, [B]; kgCO2e/animal.an, digestion et déjections</v>
      </c>
      <c r="I29" s="1100" t="s">
        <v>1869</v>
      </c>
      <c r="J29" s="1048" t="s">
        <v>1852</v>
      </c>
      <c r="K29" s="1192" t="s">
        <v>902</v>
      </c>
      <c r="L29" s="1048" t="s">
        <v>239</v>
      </c>
      <c r="M29" s="1101">
        <v>0.5</v>
      </c>
      <c r="N29" s="1048" t="s">
        <v>1879</v>
      </c>
      <c r="O29" s="1193">
        <v>23.725000000000001</v>
      </c>
      <c r="P29" s="1194">
        <v>0</v>
      </c>
      <c r="Q29" s="1194">
        <v>0</v>
      </c>
      <c r="R29" s="1194">
        <v>22.400000000000002</v>
      </c>
      <c r="S29" s="1194">
        <v>1.325</v>
      </c>
      <c r="T29" s="1194">
        <v>0</v>
      </c>
      <c r="U29" s="1195">
        <v>0</v>
      </c>
    </row>
    <row r="30" spans="2:21" hidden="1" outlineLevel="2">
      <c r="B30" s="1152">
        <v>18</v>
      </c>
      <c r="C30" s="1152" t="str">
        <f t="shared" si="0"/>
        <v>Porcs à l'engrais, France, [B]</v>
      </c>
      <c r="D30" s="1051">
        <f t="shared" si="1"/>
        <v>18</v>
      </c>
      <c r="E30" s="1051" t="str">
        <f>IF(COUNTIF(E$11:E29,F30)&gt;0,"",F30)</f>
        <v>Porcs à l'engrais, France, [B]</v>
      </c>
      <c r="F30" s="1051" t="str">
        <f t="shared" si="2"/>
        <v>Porcs à l'engrais, France, [B]</v>
      </c>
      <c r="G30" s="1051" t="str">
        <f t="shared" si="3"/>
        <v>Porcs à l'engrais, France, [B]; kgCO2e/animal.an, digestion et déjections</v>
      </c>
      <c r="I30" s="1100" t="s">
        <v>1870</v>
      </c>
      <c r="J30" s="1048" t="s">
        <v>1852</v>
      </c>
      <c r="K30" s="1192" t="s">
        <v>902</v>
      </c>
      <c r="L30" s="1048" t="s">
        <v>239</v>
      </c>
      <c r="M30" s="1101">
        <v>0.5</v>
      </c>
      <c r="N30" s="1048" t="s">
        <v>1879</v>
      </c>
      <c r="O30" s="1193">
        <v>249.73999999999995</v>
      </c>
      <c r="P30" s="1194">
        <v>0</v>
      </c>
      <c r="Q30" s="1194">
        <v>0</v>
      </c>
      <c r="R30" s="1194">
        <v>229.59999999999997</v>
      </c>
      <c r="S30" s="1194">
        <v>20.14</v>
      </c>
      <c r="T30" s="1194">
        <v>0</v>
      </c>
      <c r="U30" s="1195">
        <v>0</v>
      </c>
    </row>
    <row r="31" spans="2:21" hidden="1" outlineLevel="2">
      <c r="B31" s="1152">
        <v>19</v>
      </c>
      <c r="C31" s="1152" t="str">
        <f t="shared" si="0"/>
        <v>Poulains, France, [B]</v>
      </c>
      <c r="D31" s="1051">
        <f t="shared" si="1"/>
        <v>19</v>
      </c>
      <c r="E31" s="1051" t="str">
        <f>IF(COUNTIF(E$11:E30,F31)&gt;0,"",F31)</f>
        <v>Poulains, France, [B]</v>
      </c>
      <c r="F31" s="1051" t="str">
        <f t="shared" si="2"/>
        <v>Poulains, France, [B]</v>
      </c>
      <c r="G31" s="1051" t="str">
        <f t="shared" si="3"/>
        <v>Poulains, France, [B]; kgCO2e/animal.an, digestion et déjections</v>
      </c>
      <c r="I31" s="1100" t="s">
        <v>1871</v>
      </c>
      <c r="J31" s="1048" t="s">
        <v>1852</v>
      </c>
      <c r="K31" s="1192" t="s">
        <v>902</v>
      </c>
      <c r="L31" s="1048" t="s">
        <v>239</v>
      </c>
      <c r="M31" s="1101">
        <v>0.5</v>
      </c>
      <c r="N31" s="1048" t="s">
        <v>1879</v>
      </c>
      <c r="O31" s="1193">
        <v>820.4</v>
      </c>
      <c r="P31" s="1194">
        <v>0</v>
      </c>
      <c r="Q31" s="1194">
        <v>0</v>
      </c>
      <c r="R31" s="1194">
        <v>820.4</v>
      </c>
      <c r="S31" s="1194">
        <v>0</v>
      </c>
      <c r="T31" s="1194">
        <v>0</v>
      </c>
      <c r="U31" s="1195">
        <v>0</v>
      </c>
    </row>
    <row r="32" spans="2:21" hidden="1" outlineLevel="2">
      <c r="B32" s="1152">
        <v>20</v>
      </c>
      <c r="C32" s="1152" t="str">
        <f t="shared" si="0"/>
        <v>Poules pondeuses, France, [B]</v>
      </c>
      <c r="D32" s="1051">
        <f t="shared" si="1"/>
        <v>20</v>
      </c>
      <c r="E32" s="1051" t="str">
        <f>IF(COUNTIF(E$11:E31,F32)&gt;0,"",F32)</f>
        <v>Poules pondeuses, France, [B]</v>
      </c>
      <c r="F32" s="1051" t="str">
        <f t="shared" si="2"/>
        <v>Poules pondeuses, France, [B]</v>
      </c>
      <c r="G32" s="1051" t="str">
        <f t="shared" si="3"/>
        <v>Poules pondeuses, France, [B]; kgCO2e/animal.an, digestion et déjections</v>
      </c>
      <c r="I32" s="1100" t="s">
        <v>1872</v>
      </c>
      <c r="J32" s="1048" t="s">
        <v>1852</v>
      </c>
      <c r="K32" s="1192" t="s">
        <v>902</v>
      </c>
      <c r="L32" s="1048" t="s">
        <v>239</v>
      </c>
      <c r="M32" s="1101">
        <v>0.5</v>
      </c>
      <c r="N32" s="1048" t="s">
        <v>1879</v>
      </c>
      <c r="O32" s="1193">
        <v>28.114999999999998</v>
      </c>
      <c r="P32" s="1194">
        <v>0</v>
      </c>
      <c r="Q32" s="1194">
        <v>0</v>
      </c>
      <c r="R32" s="1194">
        <v>25.2</v>
      </c>
      <c r="S32" s="1194">
        <v>2.915</v>
      </c>
      <c r="T32" s="1194">
        <v>0</v>
      </c>
      <c r="U32" s="1195">
        <v>0</v>
      </c>
    </row>
    <row r="33" spans="2:21" hidden="1" outlineLevel="2">
      <c r="B33" s="1152">
        <v>21</v>
      </c>
      <c r="C33" s="1152" t="str">
        <f t="shared" si="0"/>
        <v>Poulets fermiers, France, [B]</v>
      </c>
      <c r="D33" s="1051">
        <f t="shared" si="1"/>
        <v>21</v>
      </c>
      <c r="E33" s="1051" t="str">
        <f>IF(COUNTIF(E$11:E32,F33)&gt;0,"",F33)</f>
        <v>Poulets fermiers, France, [B]</v>
      </c>
      <c r="F33" s="1051" t="str">
        <f t="shared" si="2"/>
        <v>Poulets fermiers, France, [B]</v>
      </c>
      <c r="G33" s="1051" t="str">
        <f t="shared" si="3"/>
        <v>Poulets fermiers, France, [B]; kgCO2e/animal.an, digestion et déjections</v>
      </c>
      <c r="I33" s="1100" t="s">
        <v>1873</v>
      </c>
      <c r="J33" s="1048" t="s">
        <v>1852</v>
      </c>
      <c r="K33" s="1192" t="s">
        <v>902</v>
      </c>
      <c r="L33" s="1048" t="s">
        <v>239</v>
      </c>
      <c r="M33" s="1101">
        <v>0.5</v>
      </c>
      <c r="N33" s="1048" t="s">
        <v>1879</v>
      </c>
      <c r="O33" s="1193">
        <v>23.725000000000001</v>
      </c>
      <c r="P33" s="1194">
        <v>0</v>
      </c>
      <c r="Q33" s="1194">
        <v>0</v>
      </c>
      <c r="R33" s="1194">
        <v>22.400000000000002</v>
      </c>
      <c r="S33" s="1194">
        <v>1.325</v>
      </c>
      <c r="T33" s="1194">
        <v>0</v>
      </c>
      <c r="U33" s="1195">
        <v>0</v>
      </c>
    </row>
    <row r="34" spans="2:21" hidden="1" outlineLevel="2">
      <c r="B34" s="1152">
        <v>22</v>
      </c>
      <c r="C34" s="1152" t="str">
        <f t="shared" si="0"/>
        <v>Poulets industriels, France, [B]</v>
      </c>
      <c r="D34" s="1051">
        <f t="shared" si="1"/>
        <v>22</v>
      </c>
      <c r="E34" s="1051" t="str">
        <f>IF(COUNTIF(E$11:E33,F34)&gt;0,"",F34)</f>
        <v>Poulets industriels, France, [B]</v>
      </c>
      <c r="F34" s="1051" t="str">
        <f t="shared" si="2"/>
        <v>Poulets industriels, France, [B]</v>
      </c>
      <c r="G34" s="1051" t="str">
        <f t="shared" si="3"/>
        <v>Poulets industriels, France, [B]; kgCO2e/animal.an, digestion et déjections</v>
      </c>
      <c r="I34" s="1100" t="s">
        <v>1874</v>
      </c>
      <c r="J34" s="1048" t="s">
        <v>1852</v>
      </c>
      <c r="K34" s="1192" t="s">
        <v>902</v>
      </c>
      <c r="L34" s="1048" t="s">
        <v>239</v>
      </c>
      <c r="M34" s="1101">
        <v>0.5</v>
      </c>
      <c r="N34" s="1048" t="s">
        <v>1879</v>
      </c>
      <c r="O34" s="1193">
        <v>20.924999999999997</v>
      </c>
      <c r="P34" s="1194">
        <v>0</v>
      </c>
      <c r="Q34" s="1194">
        <v>0</v>
      </c>
      <c r="R34" s="1194">
        <v>19.599999999999998</v>
      </c>
      <c r="S34" s="1194">
        <v>1.325</v>
      </c>
      <c r="T34" s="1194">
        <v>0</v>
      </c>
      <c r="U34" s="1195">
        <v>0</v>
      </c>
    </row>
    <row r="35" spans="2:21" hidden="1" outlineLevel="2">
      <c r="B35" s="1152">
        <v>23</v>
      </c>
      <c r="C35" s="1152" t="str">
        <f t="shared" si="0"/>
        <v>Taureaux, France, [B]</v>
      </c>
      <c r="D35" s="1051">
        <f t="shared" si="1"/>
        <v>23</v>
      </c>
      <c r="E35" s="1051" t="str">
        <f>IF(COUNTIF(E$11:E34,F35)&gt;0,"",F35)</f>
        <v>Taureaux, France, [B]</v>
      </c>
      <c r="F35" s="1051" t="str">
        <f t="shared" si="2"/>
        <v>Taureaux, France, [B]</v>
      </c>
      <c r="G35" s="1051" t="str">
        <f t="shared" si="3"/>
        <v>Taureaux, France, [B]; kgCO2e/animal.an, digestion et déjections</v>
      </c>
      <c r="I35" s="1100" t="s">
        <v>1875</v>
      </c>
      <c r="J35" s="1048" t="s">
        <v>1852</v>
      </c>
      <c r="K35" s="1192" t="s">
        <v>902</v>
      </c>
      <c r="L35" s="1048" t="s">
        <v>239</v>
      </c>
      <c r="M35" s="1101">
        <v>0.5</v>
      </c>
      <c r="N35" s="1048" t="s">
        <v>1879</v>
      </c>
      <c r="O35" s="1193">
        <v>3340.4</v>
      </c>
      <c r="P35" s="1194">
        <v>0</v>
      </c>
      <c r="Q35" s="1194">
        <v>0</v>
      </c>
      <c r="R35" s="1194">
        <v>3043.6</v>
      </c>
      <c r="S35" s="1194">
        <v>296.8</v>
      </c>
      <c r="T35" s="1194">
        <v>0</v>
      </c>
      <c r="U35" s="1195">
        <v>0</v>
      </c>
    </row>
    <row r="36" spans="2:21" hidden="1" outlineLevel="2">
      <c r="B36" s="1152">
        <v>24</v>
      </c>
      <c r="C36" s="1152" t="str">
        <f t="shared" si="0"/>
        <v>Truies mères, France, [B]</v>
      </c>
      <c r="D36" s="1051">
        <f t="shared" si="1"/>
        <v>24</v>
      </c>
      <c r="E36" s="1051" t="str">
        <f>IF(COUNTIF(E$11:E35,F36)&gt;0,"",F36)</f>
        <v>Truies mères, France, [B]</v>
      </c>
      <c r="F36" s="1051" t="str">
        <f t="shared" si="2"/>
        <v>Truies mères, France, [B]</v>
      </c>
      <c r="G36" s="1051" t="str">
        <f t="shared" si="3"/>
        <v>Truies mères, France, [B]; kgCO2e/animal.an, digestion et déjections</v>
      </c>
      <c r="I36" s="1100" t="s">
        <v>1876</v>
      </c>
      <c r="J36" s="1048" t="s">
        <v>1852</v>
      </c>
      <c r="K36" s="1192" t="s">
        <v>902</v>
      </c>
      <c r="L36" s="1048" t="s">
        <v>239</v>
      </c>
      <c r="M36" s="1101">
        <v>0.5</v>
      </c>
      <c r="N36" s="1048" t="s">
        <v>1879</v>
      </c>
      <c r="O36" s="1193">
        <v>1365.91</v>
      </c>
      <c r="P36" s="1194">
        <v>0</v>
      </c>
      <c r="Q36" s="1194">
        <v>0</v>
      </c>
      <c r="R36" s="1194">
        <v>1288</v>
      </c>
      <c r="S36" s="1194">
        <v>77.91</v>
      </c>
      <c r="T36" s="1194">
        <v>0</v>
      </c>
      <c r="U36" s="1195">
        <v>0</v>
      </c>
    </row>
    <row r="37" spans="2:21" hidden="1" outlineLevel="2">
      <c r="B37" s="1152">
        <v>25</v>
      </c>
      <c r="C37" s="1152" t="str">
        <f t="shared" si="0"/>
        <v>Vaches allaitantes, France, [B]</v>
      </c>
      <c r="D37" s="1051">
        <f t="shared" si="1"/>
        <v>25</v>
      </c>
      <c r="E37" s="1051" t="str">
        <f>IF(COUNTIF(E$11:E36,F37)&gt;0,"",F37)</f>
        <v>Vaches allaitantes, France, [B]</v>
      </c>
      <c r="F37" s="1051" t="str">
        <f t="shared" si="2"/>
        <v>Vaches allaitantes, France, [B]</v>
      </c>
      <c r="G37" s="1051" t="str">
        <f t="shared" si="3"/>
        <v>Vaches allaitantes, France, [B]; kgCO2e/animal.an, digestion et déjections</v>
      </c>
      <c r="I37" s="1100" t="s">
        <v>1877</v>
      </c>
      <c r="J37" s="1048" t="s">
        <v>1852</v>
      </c>
      <c r="K37" s="1192" t="s">
        <v>902</v>
      </c>
      <c r="L37" s="1048" t="s">
        <v>239</v>
      </c>
      <c r="M37" s="1101">
        <v>0.5</v>
      </c>
      <c r="N37" s="1048" t="s">
        <v>1879</v>
      </c>
      <c r="O37" s="1193">
        <v>3379.55</v>
      </c>
      <c r="P37" s="1194">
        <v>0</v>
      </c>
      <c r="Q37" s="1194">
        <v>0</v>
      </c>
      <c r="R37" s="1194">
        <v>2587.2000000000003</v>
      </c>
      <c r="S37" s="1194">
        <v>792.35</v>
      </c>
      <c r="T37" s="1194">
        <v>0</v>
      </c>
      <c r="U37" s="1195">
        <v>0</v>
      </c>
    </row>
    <row r="38" spans="2:21" hidden="1" outlineLevel="2">
      <c r="B38" s="1152">
        <v>26</v>
      </c>
      <c r="C38" s="1152" t="str">
        <f t="shared" si="0"/>
        <v>Vaches laitières, France, [B]</v>
      </c>
      <c r="D38" s="1051">
        <f t="shared" si="1"/>
        <v>26</v>
      </c>
      <c r="E38" s="1051" t="str">
        <f>IF(COUNTIF(E$11:E37,F38)&gt;0,"",F38)</f>
        <v>Vaches laitières, France, [B]</v>
      </c>
      <c r="F38" s="1051" t="str">
        <f t="shared" si="2"/>
        <v>Vaches laitières, France, [B]</v>
      </c>
      <c r="G38" s="1051" t="str">
        <f t="shared" si="3"/>
        <v>Vaches laitières, France, [B]; kgCO2e/animal.an, digestion et déjections</v>
      </c>
      <c r="I38" s="1100" t="s">
        <v>1878</v>
      </c>
      <c r="J38" s="1048" t="s">
        <v>1852</v>
      </c>
      <c r="K38" s="1192" t="s">
        <v>902</v>
      </c>
      <c r="L38" s="1048" t="s">
        <v>239</v>
      </c>
      <c r="M38" s="1101">
        <v>0.5</v>
      </c>
      <c r="N38" s="1048" t="s">
        <v>1879</v>
      </c>
      <c r="O38" s="1193">
        <v>4853</v>
      </c>
      <c r="P38" s="1194">
        <v>0</v>
      </c>
      <c r="Q38" s="1194">
        <v>0</v>
      </c>
      <c r="R38" s="1194">
        <v>3973.2000000000003</v>
      </c>
      <c r="S38" s="1194">
        <v>879.8</v>
      </c>
      <c r="T38" s="1194">
        <v>0</v>
      </c>
      <c r="U38" s="1195">
        <v>0</v>
      </c>
    </row>
    <row r="39" spans="2:21" hidden="1" outlineLevel="2">
      <c r="B39" s="1152">
        <v>27</v>
      </c>
      <c r="C39" s="1152" t="str">
        <f t="shared" si="0"/>
        <v>-</v>
      </c>
      <c r="D39" s="1051">
        <f t="shared" si="1"/>
        <v>26</v>
      </c>
      <c r="E39" s="1051" t="str">
        <f>IF(COUNTIF(E$11:E38,F39)&gt;0,"",F39)</f>
        <v/>
      </c>
      <c r="F39" s="1051" t="str">
        <f t="shared" si="2"/>
        <v>Agneaux à l'herbe, France, [B]</v>
      </c>
      <c r="G39" s="1051" t="str">
        <f t="shared" si="3"/>
        <v>Agneaux à l'herbe, France, [B]; kgCO2e/animal.an, alimentation</v>
      </c>
      <c r="I39" s="1100" t="s">
        <v>1853</v>
      </c>
      <c r="J39" s="1048" t="s">
        <v>1852</v>
      </c>
      <c r="K39" s="1192" t="s">
        <v>902</v>
      </c>
      <c r="L39" s="1048" t="s">
        <v>239</v>
      </c>
      <c r="M39" s="1101">
        <v>0.5</v>
      </c>
      <c r="N39" s="1048" t="s">
        <v>1880</v>
      </c>
      <c r="O39" s="1193">
        <v>24.340113588000001</v>
      </c>
      <c r="P39" s="1194">
        <v>6.8255105509999998</v>
      </c>
      <c r="Q39" s="1194">
        <v>0</v>
      </c>
      <c r="R39" s="1194">
        <v>0.38975899199999997</v>
      </c>
      <c r="S39" s="1194">
        <v>17.124844045</v>
      </c>
      <c r="T39" s="1194">
        <v>0</v>
      </c>
      <c r="U39" s="1195">
        <v>0</v>
      </c>
    </row>
    <row r="40" spans="2:21" hidden="1" outlineLevel="2">
      <c r="B40" s="1152">
        <v>28</v>
      </c>
      <c r="C40" s="1152" t="str">
        <f t="shared" si="0"/>
        <v>-</v>
      </c>
      <c r="D40" s="1051">
        <f t="shared" si="1"/>
        <v>26</v>
      </c>
      <c r="E40" s="1051" t="str">
        <f>IF(COUNTIF(E$11:E39,F40)&gt;0,"",F40)</f>
        <v/>
      </c>
      <c r="F40" s="1051" t="str">
        <f t="shared" si="2"/>
        <v>Agneaux de boucherie, France, [B]</v>
      </c>
      <c r="G40" s="1051" t="str">
        <f t="shared" si="3"/>
        <v>Agneaux de boucherie, France, [B]; kgCO2e/animal.an, alimentation</v>
      </c>
      <c r="I40" s="1100" t="s">
        <v>1854</v>
      </c>
      <c r="J40" s="1048" t="s">
        <v>1852</v>
      </c>
      <c r="K40" s="1192" t="s">
        <v>902</v>
      </c>
      <c r="L40" s="1048" t="s">
        <v>239</v>
      </c>
      <c r="M40" s="1101">
        <v>0.5</v>
      </c>
      <c r="N40" s="1048" t="s">
        <v>1880</v>
      </c>
      <c r="O40" s="1193">
        <v>24.340113588000001</v>
      </c>
      <c r="P40" s="1194">
        <v>6.8255105509999998</v>
      </c>
      <c r="Q40" s="1194">
        <v>0</v>
      </c>
      <c r="R40" s="1194">
        <v>0.38975899199999997</v>
      </c>
      <c r="S40" s="1194">
        <v>17.124844045</v>
      </c>
      <c r="T40" s="1194">
        <v>0</v>
      </c>
      <c r="U40" s="1195">
        <v>0</v>
      </c>
    </row>
    <row r="41" spans="2:21" hidden="1" outlineLevel="2">
      <c r="B41" s="1152">
        <v>29</v>
      </c>
      <c r="C41" s="1152" t="str">
        <f t="shared" si="0"/>
        <v>-</v>
      </c>
      <c r="D41" s="1051">
        <f t="shared" si="1"/>
        <v>26</v>
      </c>
      <c r="E41" s="1051" t="str">
        <f>IF(COUNTIF(E$11:E40,F41)&gt;0,"",F41)</f>
        <v/>
      </c>
      <c r="F41" s="1051" t="str">
        <f t="shared" si="2"/>
        <v>Agnelles, France, [B]</v>
      </c>
      <c r="G41" s="1051" t="str">
        <f t="shared" si="3"/>
        <v>Agnelles, France, [B]; kgCO2e/animal.an, alimentation</v>
      </c>
      <c r="I41" s="1100" t="s">
        <v>1855</v>
      </c>
      <c r="J41" s="1048" t="s">
        <v>1852</v>
      </c>
      <c r="K41" s="1192" t="s">
        <v>902</v>
      </c>
      <c r="L41" s="1048" t="s">
        <v>239</v>
      </c>
      <c r="M41" s="1101">
        <v>0.5</v>
      </c>
      <c r="N41" s="1048" t="s">
        <v>1880</v>
      </c>
      <c r="O41" s="1193">
        <v>54.765255800000006</v>
      </c>
      <c r="P41" s="1194">
        <v>15.357398740000001</v>
      </c>
      <c r="Q41" s="1194">
        <v>0</v>
      </c>
      <c r="R41" s="1194">
        <v>0.87695776000000003</v>
      </c>
      <c r="S41" s="1194">
        <v>38.530899300000002</v>
      </c>
      <c r="T41" s="1194">
        <v>0</v>
      </c>
      <c r="U41" s="1195">
        <v>0</v>
      </c>
    </row>
    <row r="42" spans="2:21" hidden="1" outlineLevel="2">
      <c r="B42" s="1152">
        <v>30</v>
      </c>
      <c r="C42" s="1152" t="str">
        <f t="shared" si="0"/>
        <v>-</v>
      </c>
      <c r="D42" s="1051">
        <f t="shared" si="1"/>
        <v>26</v>
      </c>
      <c r="E42" s="1051" t="str">
        <f>IF(COUNTIF(E$11:E41,F42)&gt;0,"",F42)</f>
        <v/>
      </c>
      <c r="F42" s="1051" t="str">
        <f t="shared" si="2"/>
        <v>Béliers, France, [B]</v>
      </c>
      <c r="G42" s="1051" t="str">
        <f t="shared" si="3"/>
        <v>Béliers, France, [B]; kgCO2e/animal.an, alimentation</v>
      </c>
      <c r="I42" s="1100" t="s">
        <v>1856</v>
      </c>
      <c r="J42" s="1048" t="s">
        <v>1852</v>
      </c>
      <c r="K42" s="1192" t="s">
        <v>902</v>
      </c>
      <c r="L42" s="1048" t="s">
        <v>239</v>
      </c>
      <c r="M42" s="1101">
        <v>0.5</v>
      </c>
      <c r="N42" s="1048" t="s">
        <v>1880</v>
      </c>
      <c r="O42" s="1193">
        <v>91.275426345999989</v>
      </c>
      <c r="P42" s="1194">
        <v>25.59566457</v>
      </c>
      <c r="Q42" s="1194">
        <v>0</v>
      </c>
      <c r="R42" s="1194">
        <v>1.4615962759999999</v>
      </c>
      <c r="S42" s="1194">
        <v>64.218165499999998</v>
      </c>
      <c r="T42" s="1194">
        <v>0</v>
      </c>
      <c r="U42" s="1195">
        <v>0</v>
      </c>
    </row>
    <row r="43" spans="2:21" hidden="1" outlineLevel="2">
      <c r="D43" s="1051">
        <f t="shared" si="1"/>
        <v>26</v>
      </c>
      <c r="E43" s="1051" t="str">
        <f>IF(COUNTIF(E$11:E42,F43)&gt;0,"",F43)</f>
        <v/>
      </c>
      <c r="F43" s="1051" t="str">
        <f t="shared" si="2"/>
        <v>Bœuf, France, [B]</v>
      </c>
      <c r="G43" s="1051" t="str">
        <f t="shared" si="3"/>
        <v>Bœuf, France, [B]; kgCO2e/animal.an, alimentation</v>
      </c>
      <c r="I43" s="1100" t="s">
        <v>1857</v>
      </c>
      <c r="J43" s="1048" t="s">
        <v>1852</v>
      </c>
      <c r="K43" s="1192" t="s">
        <v>902</v>
      </c>
      <c r="L43" s="1048" t="s">
        <v>239</v>
      </c>
      <c r="M43" s="1101">
        <v>0.5</v>
      </c>
      <c r="N43" s="1048" t="s">
        <v>1880</v>
      </c>
      <c r="O43" s="1193">
        <v>1121.3047789990001</v>
      </c>
      <c r="P43" s="1194">
        <v>598.85053370000003</v>
      </c>
      <c r="Q43" s="1194">
        <v>0</v>
      </c>
      <c r="R43" s="1194">
        <v>12.997340244</v>
      </c>
      <c r="S43" s="1194">
        <v>509.45690505499999</v>
      </c>
      <c r="T43" s="1194">
        <v>0</v>
      </c>
      <c r="U43" s="1195">
        <v>0</v>
      </c>
    </row>
    <row r="44" spans="2:21" hidden="1" outlineLevel="2">
      <c r="D44" s="1051">
        <f t="shared" si="1"/>
        <v>26</v>
      </c>
      <c r="E44" s="1051" t="str">
        <f>IF(COUNTIF(E$11:E43,F44)&gt;0,"",F44)</f>
        <v/>
      </c>
      <c r="F44" s="1051" t="str">
        <f t="shared" si="2"/>
        <v>Boucs, France, [B]</v>
      </c>
      <c r="G44" s="1051" t="str">
        <f t="shared" si="3"/>
        <v>Boucs, France, [B]; kgCO2e/animal.an, alimentation</v>
      </c>
      <c r="I44" s="1100" t="s">
        <v>1858</v>
      </c>
      <c r="J44" s="1048" t="s">
        <v>1852</v>
      </c>
      <c r="K44" s="1192" t="s">
        <v>902</v>
      </c>
      <c r="L44" s="1048" t="s">
        <v>239</v>
      </c>
      <c r="M44" s="1101">
        <v>0.5</v>
      </c>
      <c r="N44" s="1048" t="s">
        <v>1880</v>
      </c>
      <c r="O44" s="1193">
        <v>103.445483267</v>
      </c>
      <c r="P44" s="1194">
        <v>29.008419839999998</v>
      </c>
      <c r="Q44" s="1194">
        <v>0</v>
      </c>
      <c r="R44" s="1194">
        <v>1.6564757720000001</v>
      </c>
      <c r="S44" s="1194">
        <v>72.780587655000005</v>
      </c>
      <c r="T44" s="1194">
        <v>0</v>
      </c>
      <c r="U44" s="1195">
        <v>0</v>
      </c>
    </row>
    <row r="45" spans="2:21" hidden="1" outlineLevel="2">
      <c r="D45" s="1051">
        <f t="shared" si="1"/>
        <v>26</v>
      </c>
      <c r="E45" s="1051" t="str">
        <f>IF(COUNTIF(E$11:E44,F45)&gt;0,"",F45)</f>
        <v/>
      </c>
      <c r="F45" s="1051" t="str">
        <f t="shared" si="2"/>
        <v>Brebis, France, [B]</v>
      </c>
      <c r="G45" s="1051" t="str">
        <f t="shared" si="3"/>
        <v>Brebis, France, [B]; kgCO2e/animal.an, alimentation</v>
      </c>
      <c r="I45" s="1100" t="s">
        <v>1859</v>
      </c>
      <c r="J45" s="1048" t="s">
        <v>1852</v>
      </c>
      <c r="K45" s="1192" t="s">
        <v>902</v>
      </c>
      <c r="L45" s="1048" t="s">
        <v>239</v>
      </c>
      <c r="M45" s="1101">
        <v>0.5</v>
      </c>
      <c r="N45" s="1048" t="s">
        <v>1880</v>
      </c>
      <c r="O45" s="1193">
        <v>91.275426345999989</v>
      </c>
      <c r="P45" s="1194">
        <v>25.59566457</v>
      </c>
      <c r="Q45" s="1194">
        <v>0</v>
      </c>
      <c r="R45" s="1194">
        <v>1.4615962759999999</v>
      </c>
      <c r="S45" s="1194">
        <v>64.218165499999998</v>
      </c>
      <c r="T45" s="1194">
        <v>0</v>
      </c>
      <c r="U45" s="1195">
        <v>0</v>
      </c>
    </row>
    <row r="46" spans="2:21" hidden="1" outlineLevel="2">
      <c r="D46" s="1051">
        <f t="shared" si="1"/>
        <v>26</v>
      </c>
      <c r="E46" s="1051" t="str">
        <f>IF(COUNTIF(E$11:E45,F46)&gt;0,"",F46)</f>
        <v/>
      </c>
      <c r="F46" s="1051" t="str">
        <f t="shared" si="2"/>
        <v>Broutards, veaux, France, [B]</v>
      </c>
      <c r="G46" s="1051" t="str">
        <f t="shared" si="3"/>
        <v>Broutards, veaux, France, [B]; kgCO2e/animal.an, alimentation</v>
      </c>
      <c r="I46" s="1100" t="s">
        <v>1860</v>
      </c>
      <c r="J46" s="1048" t="s">
        <v>1852</v>
      </c>
      <c r="K46" s="1192" t="s">
        <v>902</v>
      </c>
      <c r="L46" s="1048" t="s">
        <v>239</v>
      </c>
      <c r="M46" s="1101">
        <v>0.5</v>
      </c>
      <c r="N46" s="1048" t="s">
        <v>1880</v>
      </c>
      <c r="O46" s="1193">
        <v>224.26095566499998</v>
      </c>
      <c r="P46" s="1194">
        <v>119.7701067</v>
      </c>
      <c r="Q46" s="1194">
        <v>0</v>
      </c>
      <c r="R46" s="1194">
        <v>2.59946806</v>
      </c>
      <c r="S46" s="1194">
        <v>101.89138090499999</v>
      </c>
      <c r="T46" s="1194">
        <v>0</v>
      </c>
      <c r="U46" s="1195">
        <v>0</v>
      </c>
    </row>
    <row r="47" spans="2:21" hidden="1" outlineLevel="2">
      <c r="D47" s="1051">
        <f t="shared" si="1"/>
        <v>26</v>
      </c>
      <c r="E47" s="1051" t="str">
        <f>IF(COUNTIF(E$11:E46,F47)&gt;0,"",F47)</f>
        <v/>
      </c>
      <c r="F47" s="1051" t="str">
        <f t="shared" si="2"/>
        <v>Canards, France, [B]</v>
      </c>
      <c r="G47" s="1051" t="str">
        <f t="shared" si="3"/>
        <v>Canards, France, [B]; kgCO2e/animal.an, alimentation</v>
      </c>
      <c r="I47" s="1100" t="s">
        <v>1861</v>
      </c>
      <c r="J47" s="1048" t="s">
        <v>1852</v>
      </c>
      <c r="K47" s="1192" t="s">
        <v>902</v>
      </c>
      <c r="L47" s="1048" t="s">
        <v>239</v>
      </c>
      <c r="M47" s="1101">
        <v>0.5</v>
      </c>
      <c r="N47" s="1048" t="s">
        <v>1880</v>
      </c>
      <c r="O47" s="1193">
        <v>0.92729508100000002</v>
      </c>
      <c r="P47" s="1194">
        <v>0.375968411</v>
      </c>
      <c r="Q47" s="1194">
        <v>0</v>
      </c>
      <c r="R47" s="1194">
        <v>0</v>
      </c>
      <c r="S47" s="1194">
        <v>0.55132667000000002</v>
      </c>
      <c r="T47" s="1194">
        <v>0</v>
      </c>
      <c r="U47" s="1195">
        <v>0</v>
      </c>
    </row>
    <row r="48" spans="2:21" hidden="1" outlineLevel="2">
      <c r="D48" s="1051">
        <f t="shared" si="1"/>
        <v>26</v>
      </c>
      <c r="E48" s="1051" t="str">
        <f>IF(COUNTIF(E$11:E47,F48)&gt;0,"",F48)</f>
        <v/>
      </c>
      <c r="F48" s="1051" t="str">
        <f t="shared" si="2"/>
        <v>Chevaux de trait, France, [B]</v>
      </c>
      <c r="G48" s="1051" t="str">
        <f t="shared" si="3"/>
        <v>Chevaux de trait, France, [B]; kgCO2e/animal.an, alimentation</v>
      </c>
      <c r="I48" s="1100" t="s">
        <v>1862</v>
      </c>
      <c r="J48" s="1048" t="s">
        <v>1852</v>
      </c>
      <c r="K48" s="1192" t="s">
        <v>902</v>
      </c>
      <c r="L48" s="1048" t="s">
        <v>239</v>
      </c>
      <c r="M48" s="1101">
        <v>0.5</v>
      </c>
      <c r="N48" s="1048" t="s">
        <v>1880</v>
      </c>
      <c r="O48" s="1193">
        <v>1121.3047789990001</v>
      </c>
      <c r="P48" s="1194">
        <v>598.85053370000003</v>
      </c>
      <c r="Q48" s="1194">
        <v>0</v>
      </c>
      <c r="R48" s="1194">
        <v>12.997340244</v>
      </c>
      <c r="S48" s="1194">
        <v>509.45690505499999</v>
      </c>
      <c r="T48" s="1194">
        <v>0</v>
      </c>
      <c r="U48" s="1195">
        <v>0</v>
      </c>
    </row>
    <row r="49" spans="4:21" hidden="1" outlineLevel="2">
      <c r="D49" s="1051">
        <f t="shared" si="1"/>
        <v>26</v>
      </c>
      <c r="E49" s="1051" t="str">
        <f>IF(COUNTIF(E$11:E48,F49)&gt;0,"",F49)</f>
        <v/>
      </c>
      <c r="F49" s="1051" t="str">
        <f t="shared" si="2"/>
        <v>Chèvres, France, [B]</v>
      </c>
      <c r="G49" s="1051" t="str">
        <f t="shared" si="3"/>
        <v>Chèvres, France, [B]; kgCO2e/animal.an, alimentation</v>
      </c>
      <c r="I49" s="1100" t="s">
        <v>1863</v>
      </c>
      <c r="J49" s="1048" t="s">
        <v>1852</v>
      </c>
      <c r="K49" s="1192" t="s">
        <v>902</v>
      </c>
      <c r="L49" s="1048" t="s">
        <v>239</v>
      </c>
      <c r="M49" s="1101">
        <v>0.5</v>
      </c>
      <c r="N49" s="1048" t="s">
        <v>1880</v>
      </c>
      <c r="O49" s="1193">
        <v>103.445483267</v>
      </c>
      <c r="P49" s="1194">
        <v>29.008419839999998</v>
      </c>
      <c r="Q49" s="1194">
        <v>0</v>
      </c>
      <c r="R49" s="1194">
        <v>1.6564757720000001</v>
      </c>
      <c r="S49" s="1194">
        <v>72.780587655000005</v>
      </c>
      <c r="T49" s="1194">
        <v>0</v>
      </c>
      <c r="U49" s="1195">
        <v>0</v>
      </c>
    </row>
    <row r="50" spans="4:21" hidden="1" outlineLevel="2">
      <c r="D50" s="1051">
        <f t="shared" si="1"/>
        <v>26</v>
      </c>
      <c r="E50" s="1051" t="str">
        <f>IF(COUNTIF(E$11:E49,F50)&gt;0,"",F50)</f>
        <v/>
      </c>
      <c r="F50" s="1051" t="str">
        <f t="shared" si="2"/>
        <v>Chevrettes, France, [B]</v>
      </c>
      <c r="G50" s="1051" t="str">
        <f t="shared" si="3"/>
        <v>Chevrettes, France, [B]; kgCO2e/animal.an, alimentation</v>
      </c>
      <c r="I50" s="1100" t="s">
        <v>1864</v>
      </c>
      <c r="J50" s="1048" t="s">
        <v>1852</v>
      </c>
      <c r="K50" s="1192" t="s">
        <v>902</v>
      </c>
      <c r="L50" s="1048" t="s">
        <v>239</v>
      </c>
      <c r="M50" s="1101">
        <v>0.5</v>
      </c>
      <c r="N50" s="1048" t="s">
        <v>1880</v>
      </c>
      <c r="O50" s="1193">
        <v>54.765255800000006</v>
      </c>
      <c r="P50" s="1194">
        <v>15.357398740000001</v>
      </c>
      <c r="Q50" s="1194">
        <v>0</v>
      </c>
      <c r="R50" s="1194">
        <v>0.87695776000000003</v>
      </c>
      <c r="S50" s="1194">
        <v>38.530899300000002</v>
      </c>
      <c r="T50" s="1194">
        <v>0</v>
      </c>
      <c r="U50" s="1195">
        <v>0</v>
      </c>
    </row>
    <row r="51" spans="4:21" hidden="1" outlineLevel="2">
      <c r="D51" s="1051">
        <f t="shared" si="1"/>
        <v>26</v>
      </c>
      <c r="E51" s="1051" t="str">
        <f>IF(COUNTIF(E$11:E50,F51)&gt;0,"",F51)</f>
        <v/>
      </c>
      <c r="F51" s="1051" t="str">
        <f t="shared" si="2"/>
        <v>Dindes, France, [B]</v>
      </c>
      <c r="G51" s="1051" t="str">
        <f t="shared" si="3"/>
        <v>Dindes, France, [B]; kgCO2e/animal.an, alimentation</v>
      </c>
      <c r="I51" s="1100" t="s">
        <v>1865</v>
      </c>
      <c r="J51" s="1048" t="s">
        <v>1852</v>
      </c>
      <c r="K51" s="1192" t="s">
        <v>902</v>
      </c>
      <c r="L51" s="1048" t="s">
        <v>239</v>
      </c>
      <c r="M51" s="1101">
        <v>0.5</v>
      </c>
      <c r="N51" s="1048" t="s">
        <v>1880</v>
      </c>
      <c r="O51" s="1193">
        <v>0.72858918100000003</v>
      </c>
      <c r="P51" s="1194">
        <v>0.29540375099999999</v>
      </c>
      <c r="Q51" s="1194">
        <v>0</v>
      </c>
      <c r="R51" s="1194">
        <v>0</v>
      </c>
      <c r="S51" s="1194">
        <v>0.43318543000000004</v>
      </c>
      <c r="T51" s="1194">
        <v>0</v>
      </c>
      <c r="U51" s="1195">
        <v>0</v>
      </c>
    </row>
    <row r="52" spans="4:21" hidden="1" outlineLevel="2">
      <c r="D52" s="1051">
        <f t="shared" si="1"/>
        <v>26</v>
      </c>
      <c r="E52" s="1051" t="str">
        <f>IF(COUNTIF(E$11:E51,F52)&gt;0,"",F52)</f>
        <v/>
      </c>
      <c r="F52" s="1051" t="str">
        <f t="shared" si="2"/>
        <v>Génisses, taurillons, France, [B]</v>
      </c>
      <c r="G52" s="1051" t="str">
        <f t="shared" si="3"/>
        <v>Génisses, taurillons, France, [B]; kgCO2e/animal.an, alimentation</v>
      </c>
      <c r="I52" s="1100" t="s">
        <v>1866</v>
      </c>
      <c r="J52" s="1048" t="s">
        <v>1852</v>
      </c>
      <c r="K52" s="1192" t="s">
        <v>902</v>
      </c>
      <c r="L52" s="1048" t="s">
        <v>239</v>
      </c>
      <c r="M52" s="1101">
        <v>0.5</v>
      </c>
      <c r="N52" s="1048" t="s">
        <v>1880</v>
      </c>
      <c r="O52" s="1193">
        <v>1121.3047789990001</v>
      </c>
      <c r="P52" s="1194">
        <v>598.85053370000003</v>
      </c>
      <c r="Q52" s="1194">
        <v>0</v>
      </c>
      <c r="R52" s="1194">
        <v>12.997340244</v>
      </c>
      <c r="S52" s="1194">
        <v>509.45690505499999</v>
      </c>
      <c r="T52" s="1194">
        <v>0</v>
      </c>
      <c r="U52" s="1195">
        <v>0</v>
      </c>
    </row>
    <row r="53" spans="4:21" hidden="1" outlineLevel="2">
      <c r="D53" s="1051">
        <f t="shared" si="1"/>
        <v>26</v>
      </c>
      <c r="E53" s="1051" t="str">
        <f>IF(COUNTIF(E$11:E52,F53)&gt;0,"",F53)</f>
        <v/>
      </c>
      <c r="F53" s="1051" t="str">
        <f t="shared" si="2"/>
        <v>Hongres, juments vides, France, [B]</v>
      </c>
      <c r="G53" s="1051" t="str">
        <f t="shared" si="3"/>
        <v>Hongres, juments vides, France, [B]; kgCO2e/animal.an, alimentation</v>
      </c>
      <c r="I53" s="1100" t="s">
        <v>1867</v>
      </c>
      <c r="J53" s="1048" t="s">
        <v>1852</v>
      </c>
      <c r="K53" s="1192" t="s">
        <v>902</v>
      </c>
      <c r="L53" s="1048" t="s">
        <v>239</v>
      </c>
      <c r="M53" s="1101">
        <v>0.5</v>
      </c>
      <c r="N53" s="1048" t="s">
        <v>1880</v>
      </c>
      <c r="O53" s="1193">
        <v>1121.3047789990001</v>
      </c>
      <c r="P53" s="1194">
        <v>598.85053370000003</v>
      </c>
      <c r="Q53" s="1194">
        <v>0</v>
      </c>
      <c r="R53" s="1194">
        <v>12.997340244</v>
      </c>
      <c r="S53" s="1194">
        <v>509.45690505499999</v>
      </c>
      <c r="T53" s="1194">
        <v>0</v>
      </c>
      <c r="U53" s="1195">
        <v>0</v>
      </c>
    </row>
    <row r="54" spans="4:21" hidden="1" outlineLevel="2">
      <c r="D54" s="1051">
        <f t="shared" si="1"/>
        <v>26</v>
      </c>
      <c r="E54" s="1051" t="str">
        <f>IF(COUNTIF(E$11:E53,F54)&gt;0,"",F54)</f>
        <v/>
      </c>
      <c r="F54" s="1051" t="str">
        <f t="shared" si="2"/>
        <v>Juments reproductrices, étalons, France, [B]</v>
      </c>
      <c r="G54" s="1051" t="str">
        <f t="shared" si="3"/>
        <v>Juments reproductrices, étalons, France, [B]; kgCO2e/animal.an, alimentation</v>
      </c>
      <c r="I54" s="1100" t="s">
        <v>1868</v>
      </c>
      <c r="J54" s="1048" t="s">
        <v>1852</v>
      </c>
      <c r="K54" s="1192" t="s">
        <v>902</v>
      </c>
      <c r="L54" s="1048" t="s">
        <v>239</v>
      </c>
      <c r="M54" s="1101">
        <v>0.5</v>
      </c>
      <c r="N54" s="1048" t="s">
        <v>1880</v>
      </c>
      <c r="O54" s="1193">
        <v>1121.3047789990001</v>
      </c>
      <c r="P54" s="1194">
        <v>598.85053370000003</v>
      </c>
      <c r="Q54" s="1194">
        <v>0</v>
      </c>
      <c r="R54" s="1194">
        <v>12.997340244</v>
      </c>
      <c r="S54" s="1194">
        <v>509.45690505499999</v>
      </c>
      <c r="T54" s="1194">
        <v>0</v>
      </c>
      <c r="U54" s="1195">
        <v>0</v>
      </c>
    </row>
    <row r="55" spans="4:21" hidden="1" outlineLevel="2">
      <c r="D55" s="1051">
        <f t="shared" si="1"/>
        <v>26</v>
      </c>
      <c r="E55" s="1051" t="str">
        <f>IF(COUNTIF(E$11:E54,F55)&gt;0,"",F55)</f>
        <v/>
      </c>
      <c r="F55" s="1051" t="str">
        <f t="shared" si="2"/>
        <v>Pintades fermières, France, [B]</v>
      </c>
      <c r="G55" s="1051" t="str">
        <f t="shared" si="3"/>
        <v>Pintades fermières, France, [B]; kgCO2e/animal.an, alimentation</v>
      </c>
      <c r="I55" s="1100" t="s">
        <v>1869</v>
      </c>
      <c r="J55" s="1048" t="s">
        <v>1852</v>
      </c>
      <c r="K55" s="1192" t="s">
        <v>902</v>
      </c>
      <c r="L55" s="1048" t="s">
        <v>239</v>
      </c>
      <c r="M55" s="1101">
        <v>0.5</v>
      </c>
      <c r="N55" s="1048" t="s">
        <v>1880</v>
      </c>
      <c r="O55" s="1193">
        <v>1.2253544600000001</v>
      </c>
      <c r="P55" s="1194">
        <v>0.49681540000000002</v>
      </c>
      <c r="Q55" s="1194">
        <v>0</v>
      </c>
      <c r="R55" s="1194">
        <v>0</v>
      </c>
      <c r="S55" s="1194">
        <v>0.72853906000000002</v>
      </c>
      <c r="T55" s="1194">
        <v>0</v>
      </c>
      <c r="U55" s="1195">
        <v>0</v>
      </c>
    </row>
    <row r="56" spans="4:21" hidden="1" outlineLevel="2">
      <c r="D56" s="1051">
        <f t="shared" si="1"/>
        <v>26</v>
      </c>
      <c r="E56" s="1051" t="str">
        <f>IF(COUNTIF(E$11:E55,F56)&gt;0,"",F56)</f>
        <v/>
      </c>
      <c r="F56" s="1051" t="str">
        <f t="shared" si="2"/>
        <v>Porcs à l'engrais, France, [B]</v>
      </c>
      <c r="G56" s="1051" t="str">
        <f t="shared" si="3"/>
        <v>Porcs à l'engrais, France, [B]; kgCO2e/animal.an, alimentation</v>
      </c>
      <c r="I56" s="1100" t="s">
        <v>1870</v>
      </c>
      <c r="J56" s="1048" t="s">
        <v>1852</v>
      </c>
      <c r="K56" s="1192" t="s">
        <v>902</v>
      </c>
      <c r="L56" s="1048" t="s">
        <v>239</v>
      </c>
      <c r="M56" s="1101">
        <v>0.5</v>
      </c>
      <c r="N56" s="1048" t="s">
        <v>1880</v>
      </c>
      <c r="O56" s="1193">
        <v>1.0630777280000001</v>
      </c>
      <c r="P56" s="1194">
        <v>0.43102092800000003</v>
      </c>
      <c r="Q56" s="1194">
        <v>0</v>
      </c>
      <c r="R56" s="1194">
        <v>0</v>
      </c>
      <c r="S56" s="1194">
        <v>0.63205680000000009</v>
      </c>
      <c r="T56" s="1194">
        <v>0</v>
      </c>
      <c r="U56" s="1195">
        <v>0</v>
      </c>
    </row>
    <row r="57" spans="4:21" hidden="1" outlineLevel="2">
      <c r="D57" s="1051">
        <f t="shared" si="1"/>
        <v>26</v>
      </c>
      <c r="E57" s="1051" t="str">
        <f>IF(COUNTIF(E$11:E56,F57)&gt;0,"",F57)</f>
        <v/>
      </c>
      <c r="F57" s="1051" t="str">
        <f t="shared" si="2"/>
        <v>Poulains, France, [B]</v>
      </c>
      <c r="G57" s="1051" t="str">
        <f t="shared" si="3"/>
        <v>Poulains, France, [B]; kgCO2e/animal.an, alimentation</v>
      </c>
      <c r="I57" s="1100" t="s">
        <v>1871</v>
      </c>
      <c r="J57" s="1048" t="s">
        <v>1852</v>
      </c>
      <c r="K57" s="1192" t="s">
        <v>902</v>
      </c>
      <c r="L57" s="1048" t="s">
        <v>239</v>
      </c>
      <c r="M57" s="1101">
        <v>0.5</v>
      </c>
      <c r="N57" s="1048" t="s">
        <v>1880</v>
      </c>
      <c r="O57" s="1193">
        <v>373.76825978800002</v>
      </c>
      <c r="P57" s="1194">
        <v>199.61684460000001</v>
      </c>
      <c r="Q57" s="1194">
        <v>0</v>
      </c>
      <c r="R57" s="1194">
        <v>4.3324467479999997</v>
      </c>
      <c r="S57" s="1194">
        <v>169.81896843999999</v>
      </c>
      <c r="T57" s="1194">
        <v>0</v>
      </c>
      <c r="U57" s="1195">
        <v>0</v>
      </c>
    </row>
    <row r="58" spans="4:21" hidden="1" outlineLevel="2">
      <c r="D58" s="1051">
        <f t="shared" si="1"/>
        <v>26</v>
      </c>
      <c r="E58" s="1051" t="str">
        <f>IF(COUNTIF(E$11:E57,F58)&gt;0,"",F58)</f>
        <v/>
      </c>
      <c r="F58" s="1051" t="str">
        <f t="shared" si="2"/>
        <v>Poules pondeuses, France, [B]</v>
      </c>
      <c r="G58" s="1051" t="str">
        <f t="shared" si="3"/>
        <v>Poules pondeuses, France, [B]; kgCO2e/animal.an, alimentation</v>
      </c>
      <c r="I58" s="1100" t="s">
        <v>1872</v>
      </c>
      <c r="J58" s="1048" t="s">
        <v>1852</v>
      </c>
      <c r="K58" s="1192" t="s">
        <v>902</v>
      </c>
      <c r="L58" s="1048" t="s">
        <v>239</v>
      </c>
      <c r="M58" s="1101">
        <v>0.5</v>
      </c>
      <c r="N58" s="1048" t="s">
        <v>1880</v>
      </c>
      <c r="O58" s="1193">
        <v>0</v>
      </c>
      <c r="P58" s="1194">
        <v>0</v>
      </c>
      <c r="Q58" s="1194">
        <v>0</v>
      </c>
      <c r="R58" s="1194">
        <v>0</v>
      </c>
      <c r="S58" s="1194">
        <v>0</v>
      </c>
      <c r="T58" s="1194">
        <v>0</v>
      </c>
      <c r="U58" s="1195">
        <v>0</v>
      </c>
    </row>
    <row r="59" spans="4:21" hidden="1" outlineLevel="2">
      <c r="D59" s="1051">
        <f t="shared" si="1"/>
        <v>26</v>
      </c>
      <c r="E59" s="1051" t="str">
        <f>IF(COUNTIF(E$11:E58,F59)&gt;0,"",F59)</f>
        <v/>
      </c>
      <c r="F59" s="1051" t="str">
        <f t="shared" si="2"/>
        <v>Poulets fermiers, France, [B]</v>
      </c>
      <c r="G59" s="1051" t="str">
        <f t="shared" si="3"/>
        <v>Poulets fermiers, France, [B]; kgCO2e/animal.an, alimentation</v>
      </c>
      <c r="I59" s="1100" t="s">
        <v>1873</v>
      </c>
      <c r="J59" s="1048" t="s">
        <v>1852</v>
      </c>
      <c r="K59" s="1192" t="s">
        <v>902</v>
      </c>
      <c r="L59" s="1048" t="s">
        <v>239</v>
      </c>
      <c r="M59" s="1101">
        <v>0.5</v>
      </c>
      <c r="N59" s="1048" t="s">
        <v>1880</v>
      </c>
      <c r="O59" s="1193">
        <v>1.026648295</v>
      </c>
      <c r="P59" s="1194">
        <v>0.41625074000000001</v>
      </c>
      <c r="Q59" s="1194">
        <v>0</v>
      </c>
      <c r="R59" s="1194">
        <v>0</v>
      </c>
      <c r="S59" s="1194">
        <v>0.61039755500000004</v>
      </c>
      <c r="T59" s="1194">
        <v>0</v>
      </c>
      <c r="U59" s="1195">
        <v>0</v>
      </c>
    </row>
    <row r="60" spans="4:21" hidden="1" outlineLevel="2">
      <c r="D60" s="1051">
        <f t="shared" si="1"/>
        <v>26</v>
      </c>
      <c r="E60" s="1051" t="str">
        <f>IF(COUNTIF(E$11:E59,F60)&gt;0,"",F60)</f>
        <v/>
      </c>
      <c r="F60" s="1051" t="str">
        <f t="shared" si="2"/>
        <v>Poulets industriels, France, [B]</v>
      </c>
      <c r="G60" s="1051" t="str">
        <f t="shared" si="3"/>
        <v>Poulets industriels, France, [B]; kgCO2e/animal.an, alimentation</v>
      </c>
      <c r="I60" s="1100" t="s">
        <v>1874</v>
      </c>
      <c r="J60" s="1048" t="s">
        <v>1852</v>
      </c>
      <c r="K60" s="1192" t="s">
        <v>902</v>
      </c>
      <c r="L60" s="1048" t="s">
        <v>239</v>
      </c>
      <c r="M60" s="1101">
        <v>0.5</v>
      </c>
      <c r="N60" s="1048" t="s">
        <v>1880</v>
      </c>
      <c r="O60" s="1193">
        <v>0.62923596599999998</v>
      </c>
      <c r="P60" s="1194">
        <v>0.25512142100000001</v>
      </c>
      <c r="Q60" s="1194">
        <v>0</v>
      </c>
      <c r="R60" s="1194">
        <v>0</v>
      </c>
      <c r="S60" s="1194">
        <v>0.37411454499999997</v>
      </c>
      <c r="T60" s="1194">
        <v>0</v>
      </c>
      <c r="U60" s="1195">
        <v>0</v>
      </c>
    </row>
    <row r="61" spans="4:21" hidden="1" outlineLevel="2">
      <c r="D61" s="1051">
        <f t="shared" si="1"/>
        <v>26</v>
      </c>
      <c r="E61" s="1051" t="str">
        <f>IF(COUNTIF(E$11:E60,F61)&gt;0,"",F61)</f>
        <v/>
      </c>
      <c r="F61" s="1051" t="str">
        <f t="shared" si="2"/>
        <v>Taureaux, France, [B]</v>
      </c>
      <c r="G61" s="1051" t="str">
        <f t="shared" si="3"/>
        <v>Taureaux, France, [B]; kgCO2e/animal.an, alimentation</v>
      </c>
      <c r="I61" s="1100" t="s">
        <v>1875</v>
      </c>
      <c r="J61" s="1048" t="s">
        <v>1852</v>
      </c>
      <c r="K61" s="1192" t="s">
        <v>902</v>
      </c>
      <c r="L61" s="1048" t="s">
        <v>239</v>
      </c>
      <c r="M61" s="1101">
        <v>0.5</v>
      </c>
      <c r="N61" s="1048" t="s">
        <v>1880</v>
      </c>
      <c r="O61" s="1193">
        <v>1121.3047789990001</v>
      </c>
      <c r="P61" s="1194">
        <v>598.85053370000003</v>
      </c>
      <c r="Q61" s="1194">
        <v>0</v>
      </c>
      <c r="R61" s="1194">
        <v>12.997340244</v>
      </c>
      <c r="S61" s="1194">
        <v>509.45690505499999</v>
      </c>
      <c r="T61" s="1194">
        <v>0</v>
      </c>
      <c r="U61" s="1195">
        <v>0</v>
      </c>
    </row>
    <row r="62" spans="4:21" hidden="1" outlineLevel="2">
      <c r="D62" s="1051">
        <f t="shared" si="1"/>
        <v>26</v>
      </c>
      <c r="E62" s="1051" t="str">
        <f>IF(COUNTIF(E$11:E61,F62)&gt;0,"",F62)</f>
        <v/>
      </c>
      <c r="F62" s="1051" t="str">
        <f t="shared" si="2"/>
        <v>Truies mères, France, [B]</v>
      </c>
      <c r="G62" s="1051" t="str">
        <f t="shared" si="3"/>
        <v>Truies mères, France, [B]; kgCO2e/animal.an, alimentation</v>
      </c>
      <c r="I62" s="1100" t="s">
        <v>1876</v>
      </c>
      <c r="J62" s="1048" t="s">
        <v>1852</v>
      </c>
      <c r="K62" s="1192" t="s">
        <v>902</v>
      </c>
      <c r="L62" s="1048" t="s">
        <v>239</v>
      </c>
      <c r="M62" s="1101">
        <v>0.5</v>
      </c>
      <c r="N62" s="1048" t="s">
        <v>1880</v>
      </c>
      <c r="O62" s="1193">
        <v>0</v>
      </c>
      <c r="P62" s="1194">
        <v>0</v>
      </c>
      <c r="Q62" s="1194">
        <v>0</v>
      </c>
      <c r="R62" s="1194">
        <v>0</v>
      </c>
      <c r="S62" s="1194">
        <v>0</v>
      </c>
      <c r="T62" s="1194">
        <v>0</v>
      </c>
      <c r="U62" s="1195">
        <v>0</v>
      </c>
    </row>
    <row r="63" spans="4:21" hidden="1" outlineLevel="2">
      <c r="D63" s="1051">
        <f t="shared" si="1"/>
        <v>26</v>
      </c>
      <c r="E63" s="1051" t="str">
        <f>IF(COUNTIF(E$11:E62,F63)&gt;0,"",F63)</f>
        <v/>
      </c>
      <c r="F63" s="1051" t="str">
        <f t="shared" si="2"/>
        <v>Vaches allaitantes, France, [B]</v>
      </c>
      <c r="G63" s="1051" t="str">
        <f t="shared" si="3"/>
        <v>Vaches allaitantes, France, [B]; kgCO2e/animal.an, alimentation</v>
      </c>
      <c r="I63" s="1100" t="s">
        <v>1877</v>
      </c>
      <c r="J63" s="1048" t="s">
        <v>1852</v>
      </c>
      <c r="K63" s="1192" t="s">
        <v>902</v>
      </c>
      <c r="L63" s="1048" t="s">
        <v>239</v>
      </c>
      <c r="M63" s="1101">
        <v>0.5</v>
      </c>
      <c r="N63" s="1048" t="s">
        <v>1880</v>
      </c>
      <c r="O63" s="1193">
        <v>1196.0584309780002</v>
      </c>
      <c r="P63" s="1194">
        <v>638.77390270000001</v>
      </c>
      <c r="Q63" s="1194">
        <v>0</v>
      </c>
      <c r="R63" s="1194">
        <v>13.863829588</v>
      </c>
      <c r="S63" s="1194">
        <v>543.42069868999999</v>
      </c>
      <c r="T63" s="1194">
        <v>0</v>
      </c>
      <c r="U63" s="1195">
        <v>0</v>
      </c>
    </row>
    <row r="64" spans="4:21" hidden="1" outlineLevel="2">
      <c r="D64" s="1051">
        <f t="shared" si="1"/>
        <v>26</v>
      </c>
      <c r="E64" s="1051" t="str">
        <f>IF(COUNTIF(E$11:E63,F64)&gt;0,"",F64)</f>
        <v/>
      </c>
      <c r="F64" s="1051" t="str">
        <f t="shared" si="2"/>
        <v>Vaches laitières, France, [B]</v>
      </c>
      <c r="G64" s="1051" t="str">
        <f t="shared" si="3"/>
        <v>Vaches laitières, France, [B]; kgCO2e/animal.an, alimentation</v>
      </c>
      <c r="I64" s="1100" t="s">
        <v>1878</v>
      </c>
      <c r="J64" s="1048" t="s">
        <v>1852</v>
      </c>
      <c r="K64" s="1192" t="s">
        <v>902</v>
      </c>
      <c r="L64" s="1048" t="s">
        <v>239</v>
      </c>
      <c r="M64" s="1101">
        <v>0.5</v>
      </c>
      <c r="N64" s="1048" t="s">
        <v>1880</v>
      </c>
      <c r="O64" s="1193">
        <v>1196.0584309780002</v>
      </c>
      <c r="P64" s="1194">
        <v>638.77390270000001</v>
      </c>
      <c r="Q64" s="1194">
        <v>0</v>
      </c>
      <c r="R64" s="1194">
        <v>13.863829588</v>
      </c>
      <c r="S64" s="1194">
        <v>543.42069868999999</v>
      </c>
      <c r="T64" s="1194">
        <v>0</v>
      </c>
      <c r="U64" s="1195">
        <v>0</v>
      </c>
    </row>
    <row r="65" spans="2:21" hidden="1" outlineLevel="2">
      <c r="D65" s="1051">
        <f>D64+IF(LEN(E65)&gt;0,1,0)</f>
        <v>26</v>
      </c>
      <c r="E65" s="1051" t="str">
        <f>IF(COUNTIF(E$11:E64,F65)&gt;0,"",F65)</f>
        <v/>
      </c>
      <c r="F65" s="1051" t="str">
        <f>IF(I65&lt;&gt;"",I65&amp;IF(L65&lt;&gt;"",", "&amp;L65,"")&amp;IF(K65&lt;&gt;"",", "&amp;K65,""),"")</f>
        <v/>
      </c>
      <c r="G65" s="1051" t="str">
        <f>IF(F65&lt;&gt;"",F65&amp;IF(J65&lt;&gt;"","; "&amp;J65,"")&amp;IF(N65&lt;&gt;"",", "&amp;N65,""),"")</f>
        <v/>
      </c>
      <c r="I65" s="1100"/>
      <c r="J65" s="1048"/>
      <c r="K65" s="1192"/>
      <c r="L65" s="1048"/>
      <c r="M65" s="1101"/>
      <c r="N65" s="1048"/>
      <c r="O65" s="1193"/>
      <c r="P65" s="1194"/>
      <c r="Q65" s="1194"/>
      <c r="R65" s="1194"/>
      <c r="S65" s="1194"/>
      <c r="T65" s="1194"/>
      <c r="U65" s="1195"/>
    </row>
    <row r="66" spans="2:21" hidden="1" outlineLevel="2">
      <c r="D66" s="1051">
        <f>D65+IF(LEN(E66)&gt;0,1,0)</f>
        <v>26</v>
      </c>
      <c r="E66" s="1051" t="str">
        <f>IF(COUNTIF(E$11:E65,F66)&gt;0,"",F66)</f>
        <v/>
      </c>
      <c r="F66" s="1051" t="str">
        <f>IF(I66&lt;&gt;"",I66&amp;IF(L66&lt;&gt;"",", "&amp;L66,"")&amp;IF(K66&lt;&gt;"",", "&amp;K66,""),"")</f>
        <v/>
      </c>
      <c r="G66" s="1051" t="str">
        <f>IF(F66&lt;&gt;"",F66&amp;IF(J66&lt;&gt;"","; "&amp;J66,"")&amp;IF(N66&lt;&gt;"",", "&amp;N66,""),"")</f>
        <v/>
      </c>
      <c r="I66" s="1100"/>
      <c r="J66" s="1048"/>
      <c r="K66" s="1192"/>
      <c r="L66" s="1048"/>
      <c r="M66" s="1101"/>
      <c r="N66" s="1048"/>
      <c r="O66" s="1193"/>
      <c r="P66" s="1194"/>
      <c r="Q66" s="1194"/>
      <c r="R66" s="1194"/>
      <c r="S66" s="1194"/>
      <c r="T66" s="1194"/>
      <c r="U66" s="1195"/>
    </row>
    <row r="67" spans="2:21" hidden="1" outlineLevel="2">
      <c r="D67" s="1051">
        <f>D66+IF(LEN(E67)&gt;0,1,0)</f>
        <v>26</v>
      </c>
      <c r="E67" s="1051" t="str">
        <f>IF(COUNTIF(E$11:E66,F67)&gt;0,"",F67)</f>
        <v/>
      </c>
      <c r="F67" s="1051" t="str">
        <f>IF(I67&lt;&gt;"",I67&amp;IF(L67&lt;&gt;"",", "&amp;L67,"")&amp;IF(K67&lt;&gt;"",", "&amp;K67,""),"")</f>
        <v/>
      </c>
      <c r="G67" s="1051" t="str">
        <f>IF(F67&lt;&gt;"",F67&amp;IF(J67&lt;&gt;"","; "&amp;J67,"")&amp;IF(N67&lt;&gt;"",", "&amp;N67,""),"")</f>
        <v/>
      </c>
      <c r="I67" s="1100"/>
      <c r="J67" s="1048"/>
      <c r="K67" s="1192"/>
      <c r="L67" s="1048"/>
      <c r="M67" s="1101"/>
      <c r="N67" s="1048"/>
      <c r="O67" s="1193"/>
      <c r="P67" s="1194"/>
      <c r="Q67" s="1194"/>
      <c r="R67" s="1194"/>
      <c r="S67" s="1194"/>
      <c r="T67" s="1194"/>
      <c r="U67" s="1195"/>
    </row>
    <row r="68" spans="2:21" hidden="1" outlineLevel="2">
      <c r="D68" s="1051">
        <f>D67+IF(LEN(E68)&gt;0,1,0)</f>
        <v>26</v>
      </c>
      <c r="E68" s="1051" t="str">
        <f>IF(COUNTIF(E$11:E67,F68)&gt;0,"",F68)</f>
        <v/>
      </c>
      <c r="F68" s="1051" t="str">
        <f>IF(I68&lt;&gt;"",I68&amp;IF(L68&lt;&gt;"",", "&amp;L68,"")&amp;IF(K68&lt;&gt;"",", "&amp;K68,""),"")</f>
        <v/>
      </c>
      <c r="G68" s="1051" t="str">
        <f>IF(F68&lt;&gt;"",F68&amp;IF(J68&lt;&gt;"","; "&amp;J68,"")&amp;IF(N68&lt;&gt;"",", "&amp;N68,""),"")</f>
        <v/>
      </c>
      <c r="I68" s="1100"/>
      <c r="J68" s="1048"/>
      <c r="K68" s="1192"/>
      <c r="L68" s="1048"/>
      <c r="M68" s="1101"/>
      <c r="N68" s="1048"/>
      <c r="O68" s="1193"/>
      <c r="P68" s="1194"/>
      <c r="Q68" s="1194"/>
      <c r="R68" s="1194"/>
      <c r="S68" s="1194"/>
      <c r="T68" s="1194"/>
      <c r="U68" s="1195"/>
    </row>
    <row r="69" spans="2:21" hidden="1" outlineLevel="2">
      <c r="D69" s="1051">
        <f>D68+IF(LEN(E69)&gt;0,1,0)</f>
        <v>26</v>
      </c>
      <c r="E69" s="1051" t="str">
        <f>IF(COUNTIF(E$11:E68,F69)&gt;0,"",F69)</f>
        <v/>
      </c>
      <c r="F69" s="1051" t="str">
        <f>IF(I69&lt;&gt;"",I69&amp;IF(L69&lt;&gt;"",", "&amp;L69,"")&amp;IF(K69&lt;&gt;"",", "&amp;K69,""),"")</f>
        <v/>
      </c>
      <c r="G69" s="1051" t="str">
        <f>IF(F69&lt;&gt;"",F69&amp;IF(J69&lt;&gt;"","; "&amp;J69,"")&amp;IF(N69&lt;&gt;"",", "&amp;N69,""),"")</f>
        <v/>
      </c>
      <c r="I69" s="1100"/>
      <c r="J69" s="1048"/>
      <c r="K69" s="1192"/>
      <c r="L69" s="1048"/>
      <c r="M69" s="1101"/>
      <c r="N69" s="1048"/>
      <c r="O69" s="1193"/>
      <c r="P69" s="1194"/>
      <c r="Q69" s="1194"/>
      <c r="R69" s="1194"/>
      <c r="S69" s="1194"/>
      <c r="T69" s="1194"/>
      <c r="U69" s="1195"/>
    </row>
    <row r="70" spans="2:21" hidden="1" outlineLevel="1">
      <c r="I70" s="1711"/>
      <c r="J70" s="1712"/>
      <c r="K70" s="1726"/>
      <c r="L70" s="1712"/>
      <c r="M70" s="1713"/>
      <c r="N70" s="1712"/>
      <c r="O70" s="1727"/>
      <c r="P70" s="1728"/>
      <c r="Q70" s="1728"/>
      <c r="R70" s="1728"/>
      <c r="S70" s="1728"/>
      <c r="T70" s="1728"/>
      <c r="U70" s="1729"/>
    </row>
    <row r="71" spans="2:21" ht="12" hidden="1" customHeight="1" outlineLevel="1" collapsed="1">
      <c r="B71" s="3154" t="s">
        <v>197</v>
      </c>
      <c r="C71" s="3154"/>
      <c r="D71" s="1051">
        <v>0</v>
      </c>
      <c r="E71" s="1051"/>
      <c r="F71" s="1051"/>
      <c r="G71" s="1051"/>
      <c r="I71" s="1711"/>
      <c r="J71" s="1712"/>
      <c r="K71" s="1726"/>
      <c r="L71" s="1712"/>
      <c r="M71" s="1713"/>
      <c r="N71" s="1712"/>
      <c r="O71" s="1727"/>
      <c r="P71" s="1728"/>
      <c r="Q71" s="1728"/>
      <c r="R71" s="1728"/>
      <c r="S71" s="1728"/>
      <c r="T71" s="1728"/>
      <c r="U71" s="1729"/>
    </row>
    <row r="72" spans="2:21" hidden="1" outlineLevel="2">
      <c r="B72" s="1152">
        <v>1</v>
      </c>
      <c r="C72" s="1152" t="str">
        <f t="shared" ref="C72:C79" si="4">IF(ISNA(VLOOKUP(B72,$D$72:$E$83,2,FALSE)),"-",VLOOKUP(B72,$D$72:$E$83,2,FALSE))</f>
        <v>Déjections animales en pâture (Bovins, volaille, porcins), France, Base Carbone</v>
      </c>
      <c r="D72" s="1051">
        <f t="shared" ref="D72:D79" si="5">D71+IF(LEN(E72)&gt;0,1,0)</f>
        <v>1</v>
      </c>
      <c r="E72" s="1051" t="str">
        <f>IF(COUNTIF(E$71:E71,F72)&gt;0,"",F72)</f>
        <v>Déjections animales en pâture (Bovins, volaille, porcins), France, Base Carbone</v>
      </c>
      <c r="F72" s="1051" t="str">
        <f>IF(I72&lt;&gt;"",I72&amp;IF(L72&lt;&gt;"",", "&amp;L72,"")&amp;IF(K72&lt;&gt;"",", "&amp;K72,""),"")</f>
        <v>Déjections animales en pâture (Bovins, volaille, porcins), France, Base Carbone</v>
      </c>
      <c r="G72" s="1051" t="str">
        <f>IF(F72&lt;&gt;"",F72&amp;IF(J72&lt;&gt;"","; "&amp;J72,"")&amp;IF(N72&lt;&gt;"",", "&amp;N72,""),"")</f>
        <v>Déjections animales en pâture (Bovins, volaille, porcins), France, Base Carbone; kgCO2e/kg d'azote épandu</v>
      </c>
      <c r="I72" s="1100" t="s">
        <v>1896</v>
      </c>
      <c r="J72" s="1048" t="s">
        <v>1904</v>
      </c>
      <c r="K72" s="1192" t="s">
        <v>1567</v>
      </c>
      <c r="L72" s="1048" t="s">
        <v>239</v>
      </c>
      <c r="M72" s="1101">
        <v>4</v>
      </c>
      <c r="N72" s="1048"/>
      <c r="O72" s="1193">
        <v>10.1</v>
      </c>
      <c r="P72" s="1194">
        <v>0</v>
      </c>
      <c r="Q72" s="1194">
        <v>0</v>
      </c>
      <c r="R72" s="1194">
        <v>0</v>
      </c>
      <c r="S72" s="1194">
        <v>10.1</v>
      </c>
      <c r="T72" s="1194">
        <v>0</v>
      </c>
      <c r="U72" s="1195">
        <v>0</v>
      </c>
    </row>
    <row r="73" spans="2:21" hidden="1" outlineLevel="2">
      <c r="B73" s="1152">
        <v>2</v>
      </c>
      <c r="C73" s="1152" t="str">
        <f t="shared" si="4"/>
        <v>Déjections animales en pâture (Moutons et autres animaux), France, Base Carbone</v>
      </c>
      <c r="D73" s="1051">
        <f t="shared" si="5"/>
        <v>2</v>
      </c>
      <c r="E73" s="1051" t="str">
        <f>IF(COUNTIF(E$71:E72,F73)&gt;0,"",F73)</f>
        <v>Déjections animales en pâture (Moutons et autres animaux), France, Base Carbone</v>
      </c>
      <c r="F73" s="1051" t="str">
        <f t="shared" ref="F73:F82" si="6">IF(I73&lt;&gt;"",I73&amp;IF(L73&lt;&gt;"",", "&amp;L73,"")&amp;IF(K73&lt;&gt;"",", "&amp;K73,""),"")</f>
        <v>Déjections animales en pâture (Moutons et autres animaux), France, Base Carbone</v>
      </c>
      <c r="G73" s="1051" t="str">
        <f t="shared" ref="G73:G82" si="7">IF(F73&lt;&gt;"",F73&amp;IF(J73&lt;&gt;"","; "&amp;J73,"")&amp;IF(N73&lt;&gt;"",", "&amp;N73,""),"")</f>
        <v>Déjections animales en pâture (Moutons et autres animaux), France, Base Carbone; kgCO2e/kg d'azote épandu</v>
      </c>
      <c r="I73" s="1100" t="s">
        <v>1895</v>
      </c>
      <c r="J73" s="1048" t="s">
        <v>1904</v>
      </c>
      <c r="K73" s="1192" t="s">
        <v>1567</v>
      </c>
      <c r="L73" s="1048" t="s">
        <v>239</v>
      </c>
      <c r="M73" s="1101">
        <v>4</v>
      </c>
      <c r="N73" s="1048"/>
      <c r="O73" s="1193">
        <v>5.83</v>
      </c>
      <c r="P73" s="1194">
        <v>0</v>
      </c>
      <c r="Q73" s="1194">
        <v>0</v>
      </c>
      <c r="R73" s="1194">
        <v>0</v>
      </c>
      <c r="S73" s="1194">
        <v>5.83</v>
      </c>
      <c r="T73" s="1194">
        <v>0</v>
      </c>
      <c r="U73" s="1195">
        <v>0</v>
      </c>
    </row>
    <row r="74" spans="2:21" hidden="1" outlineLevel="2">
      <c r="B74" s="1152">
        <v>3</v>
      </c>
      <c r="C74" s="1152" t="str">
        <f t="shared" si="4"/>
        <v>Epandage d'engrais minéraux, France, Base Carbone</v>
      </c>
      <c r="D74" s="1051">
        <f t="shared" si="5"/>
        <v>3</v>
      </c>
      <c r="E74" s="1051" t="str">
        <f>IF(COUNTIF(E$71:E73,F74)&gt;0,"",F74)</f>
        <v>Epandage d'engrais minéraux, France, Base Carbone</v>
      </c>
      <c r="F74" s="1051" t="str">
        <f t="shared" si="6"/>
        <v>Epandage d'engrais minéraux, France, Base Carbone</v>
      </c>
      <c r="G74" s="1051" t="str">
        <f t="shared" si="7"/>
        <v>Epandage d'engrais minéraux, France, Base Carbone; kgCO2e/kg d'azote épandu</v>
      </c>
      <c r="I74" s="1100" t="s">
        <v>1890</v>
      </c>
      <c r="J74" s="1048" t="s">
        <v>1904</v>
      </c>
      <c r="K74" s="1192" t="s">
        <v>1567</v>
      </c>
      <c r="L74" s="1048" t="s">
        <v>239</v>
      </c>
      <c r="M74" s="1101">
        <v>4</v>
      </c>
      <c r="N74" s="1048"/>
      <c r="O74" s="1193">
        <v>5.57</v>
      </c>
      <c r="P74" s="1194">
        <v>0</v>
      </c>
      <c r="Q74" s="1194">
        <v>0</v>
      </c>
      <c r="R74" s="1194">
        <v>0</v>
      </c>
      <c r="S74" s="1194">
        <v>5.57</v>
      </c>
      <c r="T74" s="1194">
        <v>0</v>
      </c>
      <c r="U74" s="1195">
        <v>0</v>
      </c>
    </row>
    <row r="75" spans="2:21" hidden="1" outlineLevel="2">
      <c r="B75" s="1152">
        <v>4</v>
      </c>
      <c r="C75" s="1152" t="str">
        <f t="shared" si="4"/>
        <v>Epandage d'engrais organiques(déjections animales, végétaux, compost, boues de station d'épuration…), France, Base Carbone</v>
      </c>
      <c r="D75" s="1051">
        <f t="shared" si="5"/>
        <v>4</v>
      </c>
      <c r="E75" s="1051" t="str">
        <f>IF(COUNTIF(E$71:E74,F75)&gt;0,"",F75)</f>
        <v>Epandage d'engrais organiques(déjections animales, végétaux, compost, boues de station d'épuration…), France, Base Carbone</v>
      </c>
      <c r="F75" s="1051" t="str">
        <f t="shared" si="6"/>
        <v>Epandage d'engrais organiques(déjections animales, végétaux, compost, boues de station d'épuration…), France, Base Carbone</v>
      </c>
      <c r="G75" s="1051" t="str">
        <f t="shared" si="7"/>
        <v>Epandage d'engrais organiques(déjections animales, végétaux, compost, boues de station d'épuration…), France, Base Carbone; kgCO2e/kg d'azote épandu</v>
      </c>
      <c r="I75" s="1100" t="s">
        <v>1894</v>
      </c>
      <c r="J75" s="1048" t="s">
        <v>1904</v>
      </c>
      <c r="K75" s="1192" t="s">
        <v>1567</v>
      </c>
      <c r="L75" s="1048" t="s">
        <v>239</v>
      </c>
      <c r="M75" s="1101">
        <v>4</v>
      </c>
      <c r="N75" s="1048"/>
      <c r="O75" s="1193">
        <v>5.83</v>
      </c>
      <c r="P75" s="1194">
        <v>0</v>
      </c>
      <c r="Q75" s="1194">
        <v>0</v>
      </c>
      <c r="R75" s="1194">
        <v>0</v>
      </c>
      <c r="S75" s="1194">
        <v>5.83</v>
      </c>
      <c r="T75" s="1194">
        <v>0</v>
      </c>
      <c r="U75" s="1195">
        <v>0</v>
      </c>
    </row>
    <row r="76" spans="2:21" hidden="1" outlineLevel="2">
      <c r="B76" s="1152">
        <v>5</v>
      </c>
      <c r="C76" s="1152" t="str">
        <f t="shared" si="4"/>
        <v>Résidu de culture, France, Base Carbone</v>
      </c>
      <c r="D76" s="1051">
        <f t="shared" si="5"/>
        <v>5</v>
      </c>
      <c r="E76" s="1051" t="str">
        <f>IF(COUNTIF(E$71:E75,F76)&gt;0,"",F76)</f>
        <v>Résidu de culture, France, Base Carbone</v>
      </c>
      <c r="F76" s="1051" t="str">
        <f t="shared" si="6"/>
        <v>Résidu de culture, France, Base Carbone</v>
      </c>
      <c r="G76" s="1051" t="str">
        <f t="shared" si="7"/>
        <v>Résidu de culture, France, Base Carbone; kgCO2e/kg d'azote épandu</v>
      </c>
      <c r="I76" s="1100" t="s">
        <v>1891</v>
      </c>
      <c r="J76" s="1048" t="s">
        <v>1904</v>
      </c>
      <c r="K76" s="1192" t="s">
        <v>1567</v>
      </c>
      <c r="L76" s="1048" t="s">
        <v>239</v>
      </c>
      <c r="M76" s="1101">
        <v>4</v>
      </c>
      <c r="N76" s="1048"/>
      <c r="O76" s="1193">
        <v>5.04</v>
      </c>
      <c r="P76" s="1194">
        <v>0</v>
      </c>
      <c r="Q76" s="1194">
        <v>0</v>
      </c>
      <c r="R76" s="1194">
        <v>0</v>
      </c>
      <c r="S76" s="1194">
        <v>5.04</v>
      </c>
      <c r="T76" s="1194">
        <v>0</v>
      </c>
      <c r="U76" s="1195">
        <v>0</v>
      </c>
    </row>
    <row r="77" spans="2:21" hidden="1" outlineLevel="2">
      <c r="B77" s="1152">
        <v>6</v>
      </c>
      <c r="C77" s="1152" t="str">
        <f t="shared" si="4"/>
        <v>-</v>
      </c>
      <c r="D77" s="1051">
        <f t="shared" si="5"/>
        <v>5</v>
      </c>
      <c r="E77" s="1051" t="str">
        <f>IF(COUNTIF(E$71:E76,F77)&gt;0,"",F77)</f>
        <v/>
      </c>
      <c r="F77" s="1051" t="str">
        <f t="shared" si="6"/>
        <v/>
      </c>
      <c r="G77" s="1051" t="str">
        <f t="shared" si="7"/>
        <v/>
      </c>
      <c r="I77" s="1100"/>
      <c r="J77" s="1048"/>
      <c r="K77" s="1192"/>
      <c r="L77" s="1048"/>
      <c r="M77" s="1101"/>
      <c r="N77" s="1048"/>
      <c r="O77" s="1193"/>
      <c r="P77" s="1194"/>
      <c r="Q77" s="1194"/>
      <c r="R77" s="1194"/>
      <c r="S77" s="1194"/>
      <c r="T77" s="1194"/>
      <c r="U77" s="1195"/>
    </row>
    <row r="78" spans="2:21" hidden="1" outlineLevel="2">
      <c r="B78" s="1152">
        <v>7</v>
      </c>
      <c r="C78" s="1152" t="str">
        <f t="shared" si="4"/>
        <v>-</v>
      </c>
      <c r="D78" s="1051">
        <f t="shared" si="5"/>
        <v>5</v>
      </c>
      <c r="E78" s="1051" t="str">
        <f>IF(COUNTIF(E$71:E77,F78)&gt;0,"",F78)</f>
        <v/>
      </c>
      <c r="F78" s="1051" t="str">
        <f t="shared" si="6"/>
        <v/>
      </c>
      <c r="G78" s="1051" t="str">
        <f t="shared" si="7"/>
        <v/>
      </c>
      <c r="I78" s="1100"/>
      <c r="J78" s="1048"/>
      <c r="K78" s="1192"/>
      <c r="L78" s="1048"/>
      <c r="M78" s="1101"/>
      <c r="N78" s="1048"/>
      <c r="O78" s="1193"/>
      <c r="P78" s="1194"/>
      <c r="Q78" s="1194"/>
      <c r="R78" s="1194"/>
      <c r="S78" s="1194"/>
      <c r="T78" s="1194"/>
      <c r="U78" s="1195"/>
    </row>
    <row r="79" spans="2:21" hidden="1" outlineLevel="2">
      <c r="B79" s="1152">
        <v>8</v>
      </c>
      <c r="C79" s="1152" t="str">
        <f t="shared" si="4"/>
        <v>-</v>
      </c>
      <c r="D79" s="1051">
        <f t="shared" si="5"/>
        <v>5</v>
      </c>
      <c r="E79" s="1051" t="str">
        <f>IF(COUNTIF(E$71:E78,F79)&gt;0,"",F79)</f>
        <v/>
      </c>
      <c r="F79" s="1051" t="str">
        <f t="shared" si="6"/>
        <v/>
      </c>
      <c r="G79" s="1051" t="str">
        <f t="shared" si="7"/>
        <v/>
      </c>
      <c r="I79" s="1100"/>
      <c r="J79" s="1048"/>
      <c r="K79" s="1192"/>
      <c r="L79" s="1048"/>
      <c r="M79" s="1101"/>
      <c r="N79" s="1048"/>
      <c r="O79" s="1193"/>
      <c r="P79" s="1194"/>
      <c r="Q79" s="1194"/>
      <c r="R79" s="1194"/>
      <c r="S79" s="1194"/>
      <c r="T79" s="1194"/>
      <c r="U79" s="1195"/>
    </row>
    <row r="80" spans="2:21" hidden="1" outlineLevel="1">
      <c r="B80" s="1045"/>
      <c r="C80" s="1045"/>
      <c r="D80" s="1045"/>
      <c r="E80" s="1045"/>
      <c r="F80" t="str">
        <f t="shared" si="6"/>
        <v/>
      </c>
      <c r="G80" t="str">
        <f t="shared" si="7"/>
        <v/>
      </c>
      <c r="I80" s="1711"/>
      <c r="J80" s="1712"/>
      <c r="K80" s="1726"/>
      <c r="L80" s="1712"/>
      <c r="M80" s="1713"/>
      <c r="N80" s="1712"/>
      <c r="O80" s="1727"/>
      <c r="P80" s="1728"/>
      <c r="Q80" s="1728"/>
      <c r="R80" s="1728"/>
      <c r="S80" s="1728"/>
      <c r="T80" s="1728"/>
      <c r="U80" s="1729"/>
    </row>
    <row r="81" spans="2:21" hidden="1" outlineLevel="1">
      <c r="B81" s="1045"/>
      <c r="C81" s="1045"/>
      <c r="D81" s="1045"/>
      <c r="E81" s="1045"/>
      <c r="F81" s="1051" t="str">
        <f t="shared" si="6"/>
        <v>Drainage / gestion des sols, sols des cultures organiques tempérées et de prairies, France, Base Carbone</v>
      </c>
      <c r="G81" s="1051" t="str">
        <f t="shared" si="7"/>
        <v>Drainage / gestion des sols, sols des cultures organiques tempérées et de prairies, France, Base Carbone; kgCO2e/ha</v>
      </c>
      <c r="I81" s="1100" t="s">
        <v>1892</v>
      </c>
      <c r="J81" s="1048" t="s">
        <v>1897</v>
      </c>
      <c r="K81" s="1192" t="s">
        <v>1567</v>
      </c>
      <c r="L81" s="1048" t="s">
        <v>239</v>
      </c>
      <c r="M81" s="1101">
        <v>4</v>
      </c>
      <c r="N81" s="1048"/>
      <c r="O81" s="1193">
        <v>3450</v>
      </c>
      <c r="P81" s="1194">
        <v>0</v>
      </c>
      <c r="Q81" s="1194">
        <v>0</v>
      </c>
      <c r="R81" s="1194">
        <v>0</v>
      </c>
      <c r="S81" s="1194">
        <v>3450</v>
      </c>
      <c r="T81" s="1194">
        <v>0</v>
      </c>
      <c r="U81" s="1195">
        <v>0</v>
      </c>
    </row>
    <row r="82" spans="2:21" hidden="1" outlineLevel="1">
      <c r="B82" s="1045"/>
      <c r="C82" s="1045"/>
      <c r="D82" s="1045"/>
      <c r="E82" s="1045"/>
      <c r="F82" s="1051" t="str">
        <f t="shared" si="6"/>
        <v>Drainage / gestion des sols, sols des forêts organiques tempérées, France, Base Carbone</v>
      </c>
      <c r="G82" s="1051" t="str">
        <f t="shared" si="7"/>
        <v>Drainage / gestion des sols, sols des forêts organiques tempérées, France, Base Carbone; kgCO2e/ha</v>
      </c>
      <c r="I82" s="1103" t="s">
        <v>1893</v>
      </c>
      <c r="J82" s="1104" t="s">
        <v>1897</v>
      </c>
      <c r="K82" s="1196" t="s">
        <v>1567</v>
      </c>
      <c r="L82" s="1104" t="s">
        <v>239</v>
      </c>
      <c r="M82" s="1105">
        <v>4</v>
      </c>
      <c r="N82" s="1104"/>
      <c r="O82" s="1197">
        <v>239</v>
      </c>
      <c r="P82" s="1198">
        <v>0</v>
      </c>
      <c r="Q82" s="1198">
        <v>0</v>
      </c>
      <c r="R82" s="1198">
        <v>0</v>
      </c>
      <c r="S82" s="1198">
        <v>239</v>
      </c>
      <c r="T82" s="1198">
        <v>0</v>
      </c>
      <c r="U82" s="1199">
        <v>0</v>
      </c>
    </row>
    <row r="83" spans="2:21" hidden="1" outlineLevel="1"/>
    <row r="84" spans="2:21" ht="12.75" hidden="1" customHeight="1" outlineLevel="1">
      <c r="I84" s="2886" t="s">
        <v>1184</v>
      </c>
      <c r="J84" s="3192"/>
      <c r="K84" s="739">
        <f>1.33%*44/28</f>
        <v>2.0900000000000002E-2</v>
      </c>
    </row>
    <row r="85" spans="2:21"/>
    <row r="86" spans="2:21" ht="15.6" collapsed="1">
      <c r="I86" s="3167" t="s">
        <v>658</v>
      </c>
      <c r="J86" s="3168"/>
      <c r="K86" s="3168"/>
      <c r="L86" s="3168"/>
      <c r="M86" s="3168"/>
      <c r="N86" s="3168"/>
      <c r="O86" s="3168"/>
      <c r="P86" s="3168"/>
      <c r="Q86" s="3168"/>
      <c r="R86" s="3168"/>
      <c r="S86" s="3168"/>
      <c r="T86" s="3168"/>
      <c r="U86" s="3169"/>
    </row>
    <row r="87" spans="2:21" hidden="1" outlineLevel="1"/>
    <row r="88" spans="2:21" ht="12.75" hidden="1" customHeight="1" outlineLevel="1">
      <c r="B88" s="3154" t="s">
        <v>1617</v>
      </c>
      <c r="C88" s="3154"/>
      <c r="D88" s="3157" t="s">
        <v>1619</v>
      </c>
      <c r="E88" s="3157"/>
      <c r="F88" s="1151" t="s">
        <v>1616</v>
      </c>
      <c r="G88" s="1053" t="s">
        <v>1618</v>
      </c>
      <c r="H88" s="1044"/>
      <c r="I88" s="1038" t="s">
        <v>1557</v>
      </c>
      <c r="J88" s="1040" t="s">
        <v>1266</v>
      </c>
      <c r="K88" s="1043" t="s">
        <v>224</v>
      </c>
      <c r="L88" s="1043" t="s">
        <v>1558</v>
      </c>
      <c r="M88" s="1145" t="s">
        <v>366</v>
      </c>
      <c r="N88" s="1040" t="s">
        <v>1559</v>
      </c>
      <c r="O88" s="1147" t="s">
        <v>1560</v>
      </c>
      <c r="P88" s="1147" t="s">
        <v>211</v>
      </c>
      <c r="Q88" s="1147" t="s">
        <v>1561</v>
      </c>
      <c r="R88" s="1147" t="s">
        <v>1562</v>
      </c>
      <c r="S88" s="1147" t="s">
        <v>267</v>
      </c>
      <c r="T88" s="1147" t="s">
        <v>1563</v>
      </c>
      <c r="U88" s="1149" t="s">
        <v>1564</v>
      </c>
    </row>
    <row r="89" spans="2:21" hidden="1" outlineLevel="1">
      <c r="D89" s="1051"/>
      <c r="E89" s="1051" t="str">
        <f>IF(COUNTIF(E$71:E88,F89)&gt;0,"",F89)</f>
        <v>CO2f, Base Carbone</v>
      </c>
      <c r="F89" s="1051" t="str">
        <f>IF(I89&lt;&gt;"",I89&amp;IF(L89&lt;&gt;"",", "&amp;L89,"")&amp;IF(K89&lt;&gt;"",", "&amp;K89,""),"")</f>
        <v>CO2f, Base Carbone</v>
      </c>
      <c r="G89" s="1051" t="str">
        <f>IF(F89&lt;&gt;"",F89&amp;IF(J89&lt;&gt;"","; "&amp;J89,"")&amp;IF(N89&lt;&gt;"",", "&amp;N89,""),"")</f>
        <v>CO2f, Base Carbone; kgCO2e/kg</v>
      </c>
      <c r="I89" s="1096" t="s">
        <v>1929</v>
      </c>
      <c r="J89" s="1097" t="s">
        <v>1572</v>
      </c>
      <c r="K89" s="1190" t="s">
        <v>1567</v>
      </c>
      <c r="L89" s="1097"/>
      <c r="M89" s="1098">
        <v>0.3</v>
      </c>
      <c r="N89" s="1097"/>
      <c r="O89" s="1191">
        <v>1</v>
      </c>
      <c r="P89" s="1191">
        <v>1</v>
      </c>
      <c r="Q89" s="1191">
        <v>0</v>
      </c>
      <c r="R89" s="1191">
        <v>0</v>
      </c>
      <c r="S89" s="1191">
        <v>0</v>
      </c>
      <c r="T89" s="1191">
        <v>0</v>
      </c>
      <c r="U89" s="1724">
        <v>0</v>
      </c>
    </row>
    <row r="90" spans="2:21" hidden="1" outlineLevel="1">
      <c r="D90" s="1051"/>
      <c r="E90" s="1051" t="str">
        <f>IF(COUNTIF(E$71:E89,F90)&gt;0,"",F90)</f>
        <v>CH4b, Base Carbone</v>
      </c>
      <c r="F90" s="1051" t="str">
        <f>IF(I90&lt;&gt;"",I90&amp;IF(L90&lt;&gt;"",", "&amp;L90,"")&amp;IF(K90&lt;&gt;"",", "&amp;K90,""),"")</f>
        <v>CH4b, Base Carbone</v>
      </c>
      <c r="G90" s="1051" t="str">
        <f>IF(F90&lt;&gt;"",F90&amp;IF(J90&lt;&gt;"","; "&amp;J90,"")&amp;IF(N90&lt;&gt;"",", "&amp;N90,""),"")</f>
        <v>CH4b, Base Carbone; kgCO2e/kg</v>
      </c>
      <c r="I90" s="1100" t="s">
        <v>1562</v>
      </c>
      <c r="J90" s="1048" t="s">
        <v>1572</v>
      </c>
      <c r="K90" s="1192" t="s">
        <v>1567</v>
      </c>
      <c r="L90" s="1048"/>
      <c r="M90" s="1101">
        <v>0.3</v>
      </c>
      <c r="N90" s="1048"/>
      <c r="O90" s="1193">
        <v>28</v>
      </c>
      <c r="P90" s="1193">
        <v>0</v>
      </c>
      <c r="Q90" s="1193">
        <v>0</v>
      </c>
      <c r="R90" s="1193">
        <v>28</v>
      </c>
      <c r="S90" s="1193">
        <v>0</v>
      </c>
      <c r="T90" s="1193">
        <v>0</v>
      </c>
      <c r="U90" s="1725">
        <v>0</v>
      </c>
    </row>
    <row r="91" spans="2:21" hidden="1" outlineLevel="1">
      <c r="D91" s="1051"/>
      <c r="E91" s="1051" t="str">
        <f>IF(COUNTIF(E$71:E90,F91)&gt;0,"",F91)</f>
        <v>CH4f, Base Carbone</v>
      </c>
      <c r="F91" s="1051" t="str">
        <f>IF(I91&lt;&gt;"",I91&amp;IF(L91&lt;&gt;"",", "&amp;L91,"")&amp;IF(K91&lt;&gt;"",", "&amp;K91,""),"")</f>
        <v>CH4f, Base Carbone</v>
      </c>
      <c r="G91" s="1051" t="str">
        <f>IF(F91&lt;&gt;"",F91&amp;IF(J91&lt;&gt;"","; "&amp;J91,"")&amp;IF(N91&lt;&gt;"",", "&amp;N91,""),"")</f>
        <v>CH4f, Base Carbone; kgCO2e/kg</v>
      </c>
      <c r="I91" s="1100" t="s">
        <v>1561</v>
      </c>
      <c r="J91" s="1048" t="s">
        <v>1572</v>
      </c>
      <c r="K91" s="1192" t="s">
        <v>1567</v>
      </c>
      <c r="L91" s="1048"/>
      <c r="M91" s="1101">
        <v>0.3</v>
      </c>
      <c r="N91" s="1048"/>
      <c r="O91" s="1193">
        <v>30</v>
      </c>
      <c r="P91" s="1193">
        <v>0</v>
      </c>
      <c r="Q91" s="1193">
        <v>30</v>
      </c>
      <c r="R91" s="1193">
        <v>0</v>
      </c>
      <c r="S91" s="1193">
        <v>0</v>
      </c>
      <c r="T91" s="1193">
        <v>0</v>
      </c>
      <c r="U91" s="1725">
        <v>0</v>
      </c>
    </row>
    <row r="92" spans="2:21" hidden="1" outlineLevel="1">
      <c r="D92" s="1051"/>
      <c r="E92" s="1051" t="str">
        <f>IF(COUNTIF(E$71:E91,F92)&gt;0,"",F92)</f>
        <v>N2O, Base Carbone</v>
      </c>
      <c r="F92" s="1051" t="str">
        <f>IF(I92&lt;&gt;"",I92&amp;IF(L92&lt;&gt;"",", "&amp;L92,"")&amp;IF(K92&lt;&gt;"",", "&amp;K92,""),"")</f>
        <v>N2O, Base Carbone</v>
      </c>
      <c r="G92" s="1051" t="str">
        <f>IF(F92&lt;&gt;"",F92&amp;IF(J92&lt;&gt;"","; "&amp;J92,"")&amp;IF(N92&lt;&gt;"",", "&amp;N92,""),"")</f>
        <v>N2O, Base Carbone; kgCO2e/kg</v>
      </c>
      <c r="I92" s="1100" t="s">
        <v>267</v>
      </c>
      <c r="J92" s="1048" t="s">
        <v>1572</v>
      </c>
      <c r="K92" s="1192" t="s">
        <v>1567</v>
      </c>
      <c r="L92" s="1048"/>
      <c r="M92" s="1101">
        <v>0.3</v>
      </c>
      <c r="N92" s="1048"/>
      <c r="O92" s="1193">
        <v>265</v>
      </c>
      <c r="P92" s="1193">
        <v>0</v>
      </c>
      <c r="Q92" s="1193">
        <v>0</v>
      </c>
      <c r="R92" s="1193">
        <v>0</v>
      </c>
      <c r="S92" s="1193">
        <v>265</v>
      </c>
      <c r="T92" s="1193">
        <v>0</v>
      </c>
      <c r="U92" s="1725">
        <v>0</v>
      </c>
    </row>
    <row r="93" spans="2:21" hidden="1" outlineLevel="1">
      <c r="D93" s="1741"/>
      <c r="E93" s="1741"/>
      <c r="F93" s="1741"/>
      <c r="G93" s="1741"/>
      <c r="I93" s="1711"/>
      <c r="J93" s="1712"/>
      <c r="K93" s="1726"/>
      <c r="L93" s="1712"/>
      <c r="M93" s="1713"/>
      <c r="N93" s="1712"/>
      <c r="O93" s="1727"/>
      <c r="P93" s="1728"/>
      <c r="Q93" s="1728"/>
      <c r="R93" s="1728"/>
      <c r="S93" s="1727"/>
      <c r="T93" s="1728"/>
      <c r="U93" s="1729"/>
    </row>
    <row r="94" spans="2:21" ht="12" hidden="1" customHeight="1" outlineLevel="1" collapsed="1">
      <c r="B94" s="3154" t="s">
        <v>1972</v>
      </c>
      <c r="C94" s="3154"/>
      <c r="D94" s="1051">
        <v>0</v>
      </c>
      <c r="E94" s="1051"/>
      <c r="F94" s="1051"/>
      <c r="G94" s="1051"/>
      <c r="I94" s="1711"/>
      <c r="J94" s="1712"/>
      <c r="K94" s="1726"/>
      <c r="L94" s="1712"/>
      <c r="M94" s="1713"/>
      <c r="N94" s="1712"/>
      <c r="O94" s="1727"/>
      <c r="P94" s="1728"/>
      <c r="Q94" s="1728"/>
      <c r="R94" s="1728"/>
      <c r="S94" s="1728"/>
      <c r="T94" s="1727"/>
      <c r="U94" s="1729"/>
    </row>
    <row r="95" spans="2:21" hidden="1" outlineLevel="2">
      <c r="B95" s="1152">
        <v>1</v>
      </c>
      <c r="C95" s="1152" t="str">
        <f>IF(ISNA(VLOOKUP(B95,$D$94:$E$124,2,FALSE)),"-",VLOOKUP(B95,$D$94:$E$124,2,FALSE))</f>
        <v>NF3, Base Carbone</v>
      </c>
      <c r="D95" s="1051">
        <f>D94+IF(LEN(E95)&gt;0,1,0)</f>
        <v>1</v>
      </c>
      <c r="E95" s="1051" t="str">
        <f>IF(COUNTIF(E$71:E94,F95)&gt;0,"",F95)</f>
        <v>NF3, Base Carbone</v>
      </c>
      <c r="F95" s="1051" t="str">
        <f>IF(I95&lt;&gt;"",I95&amp;IF(L95&lt;&gt;"",", "&amp;L95,"")&amp;IF(K95&lt;&gt;"",", "&amp;K95,""),"")</f>
        <v>NF3, Base Carbone</v>
      </c>
      <c r="G95" s="1051" t="str">
        <f>IF(F95&lt;&gt;"",F95&amp;IF(J95&lt;&gt;"","; "&amp;J95,"")&amp;IF(N95&lt;&gt;"",", "&amp;N95,""),"")</f>
        <v>NF3, Base Carbone; kgCO2e/kg</v>
      </c>
      <c r="I95" s="1100" t="s">
        <v>1933</v>
      </c>
      <c r="J95" s="1048" t="s">
        <v>1572</v>
      </c>
      <c r="K95" s="1192" t="s">
        <v>1567</v>
      </c>
      <c r="L95" s="1048"/>
      <c r="M95" s="1101">
        <v>0.3</v>
      </c>
      <c r="N95" s="1048"/>
      <c r="O95" s="1192">
        <v>16100</v>
      </c>
      <c r="P95" s="1193">
        <v>0</v>
      </c>
      <c r="Q95" s="1193">
        <v>0</v>
      </c>
      <c r="R95" s="1193">
        <v>0</v>
      </c>
      <c r="S95" s="1193">
        <v>0</v>
      </c>
      <c r="T95" s="1192">
        <v>16100</v>
      </c>
      <c r="U95" s="1725">
        <v>0</v>
      </c>
    </row>
    <row r="96" spans="2:21" hidden="1" outlineLevel="2">
      <c r="B96" s="1152">
        <v>2</v>
      </c>
      <c r="C96" s="1152" t="str">
        <f t="shared" ref="C96:C124" si="8">IF(ISNA(VLOOKUP(B96,$D$94:$E$124,2,FALSE)),"-",VLOOKUP(B96,$D$94:$E$124,2,FALSE))</f>
        <v>R116, Base Carbone</v>
      </c>
      <c r="D96" s="1051">
        <f t="shared" ref="D96:D120" si="9">D95+IF(LEN(E96)&gt;0,1,0)</f>
        <v>2</v>
      </c>
      <c r="E96" s="1051" t="str">
        <f>IF(COUNTIF(E$71:E95,F96)&gt;0,"",F96)</f>
        <v>R116, Base Carbone</v>
      </c>
      <c r="F96" s="1051" t="str">
        <f t="shared" ref="F96:F120" si="10">IF(I96&lt;&gt;"",I96&amp;IF(L96&lt;&gt;"",", "&amp;L96,"")&amp;IF(K96&lt;&gt;"",", "&amp;K96,""),"")</f>
        <v>R116, Base Carbone</v>
      </c>
      <c r="G96" s="1051" t="str">
        <f t="shared" ref="G96:G120" si="11">IF(F96&lt;&gt;"",F96&amp;IF(J96&lt;&gt;"","; "&amp;J96,"")&amp;IF(N96&lt;&gt;"",", "&amp;N96,""),"")</f>
        <v>R116, Base Carbone; kgCO2e/kg</v>
      </c>
      <c r="I96" s="1100" t="s">
        <v>1938</v>
      </c>
      <c r="J96" s="1048" t="s">
        <v>1572</v>
      </c>
      <c r="K96" s="1192" t="s">
        <v>1567</v>
      </c>
      <c r="L96" s="1048"/>
      <c r="M96" s="1101">
        <v>0.3</v>
      </c>
      <c r="N96" s="1048"/>
      <c r="O96" s="1192">
        <v>11100</v>
      </c>
      <c r="P96" s="1193">
        <v>0</v>
      </c>
      <c r="Q96" s="1193">
        <v>0</v>
      </c>
      <c r="R96" s="1193">
        <v>0</v>
      </c>
      <c r="S96" s="1193">
        <v>0</v>
      </c>
      <c r="T96" s="1192">
        <v>11100</v>
      </c>
      <c r="U96" s="1725">
        <v>0</v>
      </c>
    </row>
    <row r="97" spans="2:21" hidden="1" outlineLevel="2">
      <c r="B97" s="1152">
        <v>3</v>
      </c>
      <c r="C97" s="1152" t="str">
        <f t="shared" si="8"/>
        <v>R125, Base Carbone</v>
      </c>
      <c r="D97" s="1051">
        <f t="shared" si="9"/>
        <v>3</v>
      </c>
      <c r="E97" s="1051" t="str">
        <f>IF(COUNTIF(E$71:E96,F97)&gt;0,"",F97)</f>
        <v>R125, Base Carbone</v>
      </c>
      <c r="F97" s="1051" t="str">
        <f t="shared" si="10"/>
        <v>R125, Base Carbone</v>
      </c>
      <c r="G97" s="1051" t="str">
        <f t="shared" si="11"/>
        <v>R125, Base Carbone; kgCO2e/kg</v>
      </c>
      <c r="I97" s="1100" t="s">
        <v>1945</v>
      </c>
      <c r="J97" s="1048" t="s">
        <v>1572</v>
      </c>
      <c r="K97" s="1192" t="s">
        <v>1567</v>
      </c>
      <c r="L97" s="1048"/>
      <c r="M97" s="1101">
        <v>0.3</v>
      </c>
      <c r="N97" s="1048"/>
      <c r="O97" s="1192">
        <v>3170</v>
      </c>
      <c r="P97" s="1193">
        <v>0</v>
      </c>
      <c r="Q97" s="1193">
        <v>0</v>
      </c>
      <c r="R97" s="1193">
        <v>0</v>
      </c>
      <c r="S97" s="1193">
        <v>0</v>
      </c>
      <c r="T97" s="1192">
        <v>3170</v>
      </c>
      <c r="U97" s="1725">
        <v>0</v>
      </c>
    </row>
    <row r="98" spans="2:21" hidden="1" outlineLevel="2">
      <c r="B98" s="1152">
        <v>4</v>
      </c>
      <c r="C98" s="1152" t="str">
        <f t="shared" si="8"/>
        <v>R134a, Base Carbone</v>
      </c>
      <c r="D98" s="1051">
        <f t="shared" si="9"/>
        <v>4</v>
      </c>
      <c r="E98" s="1051" t="str">
        <f>IF(COUNTIF(E$71:E97,F98)&gt;0,"",F98)</f>
        <v>R134a, Base Carbone</v>
      </c>
      <c r="F98" s="1051" t="str">
        <f t="shared" si="10"/>
        <v>R134a, Base Carbone</v>
      </c>
      <c r="G98" s="1051" t="str">
        <f t="shared" si="11"/>
        <v>R134a, Base Carbone; kgCO2e/kg</v>
      </c>
      <c r="I98" s="1100" t="s">
        <v>1948</v>
      </c>
      <c r="J98" s="1048" t="s">
        <v>1572</v>
      </c>
      <c r="K98" s="1192" t="s">
        <v>1567</v>
      </c>
      <c r="L98" s="1048"/>
      <c r="M98" s="1101">
        <v>0.3</v>
      </c>
      <c r="N98" s="1048"/>
      <c r="O98" s="1192">
        <v>1300</v>
      </c>
      <c r="P98" s="1193">
        <v>0</v>
      </c>
      <c r="Q98" s="1193">
        <v>0</v>
      </c>
      <c r="R98" s="1193">
        <v>0</v>
      </c>
      <c r="S98" s="1193">
        <v>0</v>
      </c>
      <c r="T98" s="1192">
        <v>1300</v>
      </c>
      <c r="U98" s="1725">
        <v>0</v>
      </c>
    </row>
    <row r="99" spans="2:21" hidden="1" outlineLevel="2">
      <c r="B99" s="1152">
        <v>5</v>
      </c>
      <c r="C99" s="1152" t="str">
        <f t="shared" si="8"/>
        <v>R14, Base Carbone</v>
      </c>
      <c r="D99" s="1051">
        <f t="shared" si="9"/>
        <v>5</v>
      </c>
      <c r="E99" s="1051" t="str">
        <f>IF(COUNTIF(E$71:E98,F99)&gt;0,"",F99)</f>
        <v>R14, Base Carbone</v>
      </c>
      <c r="F99" s="1051" t="str">
        <f t="shared" si="10"/>
        <v>R14, Base Carbone</v>
      </c>
      <c r="G99" s="1051" t="str">
        <f t="shared" si="11"/>
        <v>R14, Base Carbone; kgCO2e/kg</v>
      </c>
      <c r="I99" s="1100" t="s">
        <v>1949</v>
      </c>
      <c r="J99" s="1048" t="s">
        <v>1572</v>
      </c>
      <c r="K99" s="1192" t="s">
        <v>1567</v>
      </c>
      <c r="L99" s="1048"/>
      <c r="M99" s="1101">
        <v>0.3</v>
      </c>
      <c r="N99" s="1048"/>
      <c r="O99" s="1192">
        <v>6630</v>
      </c>
      <c r="P99" s="1193">
        <v>0</v>
      </c>
      <c r="Q99" s="1193">
        <v>0</v>
      </c>
      <c r="R99" s="1193">
        <v>0</v>
      </c>
      <c r="S99" s="1193">
        <v>0</v>
      </c>
      <c r="T99" s="1192">
        <v>6630</v>
      </c>
      <c r="U99" s="1725">
        <v>0</v>
      </c>
    </row>
    <row r="100" spans="2:21" hidden="1" outlineLevel="2">
      <c r="B100" s="1152">
        <v>6</v>
      </c>
      <c r="C100" s="1152" t="str">
        <f t="shared" si="8"/>
        <v>R143a, Base Carbone</v>
      </c>
      <c r="D100" s="1051">
        <f t="shared" si="9"/>
        <v>6</v>
      </c>
      <c r="E100" s="1051" t="str">
        <f>IF(COUNTIF(E$71:E99,F100)&gt;0,"",F100)</f>
        <v>R143a, Base Carbone</v>
      </c>
      <c r="F100" s="1051" t="str">
        <f t="shared" si="10"/>
        <v>R143a, Base Carbone</v>
      </c>
      <c r="G100" s="1051" t="str">
        <f t="shared" si="11"/>
        <v>R143a, Base Carbone; kgCO2e/kg</v>
      </c>
      <c r="I100" s="1100" t="s">
        <v>1952</v>
      </c>
      <c r="J100" s="1048" t="s">
        <v>1572</v>
      </c>
      <c r="K100" s="1192" t="s">
        <v>1567</v>
      </c>
      <c r="L100" s="1048"/>
      <c r="M100" s="1101">
        <v>0.3</v>
      </c>
      <c r="N100" s="1048"/>
      <c r="O100" s="1192">
        <v>4800</v>
      </c>
      <c r="P100" s="1193">
        <v>0</v>
      </c>
      <c r="Q100" s="1193">
        <v>0</v>
      </c>
      <c r="R100" s="1193">
        <v>0</v>
      </c>
      <c r="S100" s="1193">
        <v>0</v>
      </c>
      <c r="T100" s="1192">
        <v>4800</v>
      </c>
      <c r="U100" s="1725">
        <v>0</v>
      </c>
    </row>
    <row r="101" spans="2:21" hidden="1" outlineLevel="2">
      <c r="B101" s="1152">
        <v>7</v>
      </c>
      <c r="C101" s="1152" t="str">
        <f t="shared" si="8"/>
        <v>R152a, Base Carbone</v>
      </c>
      <c r="D101" s="1051">
        <f t="shared" si="9"/>
        <v>7</v>
      </c>
      <c r="E101" s="1051" t="str">
        <f>IF(COUNTIF(E$71:E100,F101)&gt;0,"",F101)</f>
        <v>R152a, Base Carbone</v>
      </c>
      <c r="F101" s="1051" t="str">
        <f t="shared" si="10"/>
        <v>R152a, Base Carbone</v>
      </c>
      <c r="G101" s="1051" t="str">
        <f t="shared" si="11"/>
        <v>R152a, Base Carbone; kgCO2e/kg</v>
      </c>
      <c r="I101" s="1100" t="s">
        <v>1953</v>
      </c>
      <c r="J101" s="1048" t="s">
        <v>1572</v>
      </c>
      <c r="K101" s="1192" t="s">
        <v>1567</v>
      </c>
      <c r="L101" s="1048"/>
      <c r="M101" s="1101">
        <v>0.3</v>
      </c>
      <c r="N101" s="1048"/>
      <c r="O101" s="1192">
        <v>138</v>
      </c>
      <c r="P101" s="1193">
        <v>0</v>
      </c>
      <c r="Q101" s="1193">
        <v>0</v>
      </c>
      <c r="R101" s="1193">
        <v>0</v>
      </c>
      <c r="S101" s="1193">
        <v>0</v>
      </c>
      <c r="T101" s="1192">
        <v>138</v>
      </c>
      <c r="U101" s="1725">
        <v>0</v>
      </c>
    </row>
    <row r="102" spans="2:21" hidden="1" outlineLevel="2">
      <c r="B102" s="1152">
        <v>8</v>
      </c>
      <c r="C102" s="1152" t="str">
        <f t="shared" si="8"/>
        <v>R218, Base Carbone</v>
      </c>
      <c r="D102" s="1051">
        <f t="shared" si="9"/>
        <v>8</v>
      </c>
      <c r="E102" s="1051" t="str">
        <f>IF(COUNTIF(E$71:E101,F102)&gt;0,"",F102)</f>
        <v>R218, Base Carbone</v>
      </c>
      <c r="F102" s="1051" t="str">
        <f t="shared" si="10"/>
        <v>R218, Base Carbone</v>
      </c>
      <c r="G102" s="1051" t="str">
        <f t="shared" si="11"/>
        <v>R218, Base Carbone; kgCO2e/kg</v>
      </c>
      <c r="I102" s="1100" t="s">
        <v>1955</v>
      </c>
      <c r="J102" s="1048" t="s">
        <v>1572</v>
      </c>
      <c r="K102" s="1192" t="s">
        <v>1567</v>
      </c>
      <c r="L102" s="1048"/>
      <c r="M102" s="1101">
        <v>0.3</v>
      </c>
      <c r="N102" s="1048"/>
      <c r="O102" s="1192">
        <v>8900</v>
      </c>
      <c r="P102" s="1193">
        <v>0</v>
      </c>
      <c r="Q102" s="1193">
        <v>0</v>
      </c>
      <c r="R102" s="1193">
        <v>0</v>
      </c>
      <c r="S102" s="1193">
        <v>0</v>
      </c>
      <c r="T102" s="1192">
        <v>8900</v>
      </c>
      <c r="U102" s="1725">
        <v>0</v>
      </c>
    </row>
    <row r="103" spans="2:21" hidden="1" outlineLevel="2">
      <c r="B103" s="1152">
        <v>9</v>
      </c>
      <c r="C103" s="1152" t="str">
        <f t="shared" si="8"/>
        <v>R227ea, Base Carbone</v>
      </c>
      <c r="D103" s="1051">
        <f t="shared" si="9"/>
        <v>9</v>
      </c>
      <c r="E103" s="1051" t="str">
        <f>IF(COUNTIF(E$71:E102,F103)&gt;0,"",F103)</f>
        <v>R227ea, Base Carbone</v>
      </c>
      <c r="F103" s="1051" t="str">
        <f t="shared" si="10"/>
        <v>R227ea, Base Carbone</v>
      </c>
      <c r="G103" s="1051" t="str">
        <f t="shared" si="11"/>
        <v>R227ea, Base Carbone; kgCO2e/kg</v>
      </c>
      <c r="I103" s="1100" t="s">
        <v>1959</v>
      </c>
      <c r="J103" s="1048" t="s">
        <v>1572</v>
      </c>
      <c r="K103" s="1192" t="s">
        <v>1567</v>
      </c>
      <c r="L103" s="1048"/>
      <c r="M103" s="1101">
        <v>0.3</v>
      </c>
      <c r="N103" s="1048"/>
      <c r="O103" s="1192">
        <v>2640</v>
      </c>
      <c r="P103" s="1193">
        <v>0</v>
      </c>
      <c r="Q103" s="1193">
        <v>0</v>
      </c>
      <c r="R103" s="1193">
        <v>0</v>
      </c>
      <c r="S103" s="1193">
        <v>0</v>
      </c>
      <c r="T103" s="1192">
        <v>2640</v>
      </c>
      <c r="U103" s="1725">
        <v>0</v>
      </c>
    </row>
    <row r="104" spans="2:21" hidden="1" outlineLevel="2">
      <c r="B104" s="1152">
        <v>10</v>
      </c>
      <c r="C104" s="1152" t="str">
        <f t="shared" si="8"/>
        <v>R23, Base Carbone</v>
      </c>
      <c r="D104" s="1051">
        <f t="shared" si="9"/>
        <v>10</v>
      </c>
      <c r="E104" s="1051" t="str">
        <f>IF(COUNTIF(E$71:E103,F104)&gt;0,"",F104)</f>
        <v>R23, Base Carbone</v>
      </c>
      <c r="F104" s="1051" t="str">
        <f t="shared" si="10"/>
        <v>R23, Base Carbone</v>
      </c>
      <c r="G104" s="1051" t="str">
        <f t="shared" si="11"/>
        <v>R23, Base Carbone; kgCO2e/kg</v>
      </c>
      <c r="I104" s="1100" t="s">
        <v>1960</v>
      </c>
      <c r="J104" s="1048" t="s">
        <v>1572</v>
      </c>
      <c r="K104" s="1192" t="s">
        <v>1567</v>
      </c>
      <c r="L104" s="1048"/>
      <c r="M104" s="1101">
        <v>0.3</v>
      </c>
      <c r="N104" s="1048"/>
      <c r="O104" s="1192">
        <v>12400</v>
      </c>
      <c r="P104" s="1193">
        <v>0</v>
      </c>
      <c r="Q104" s="1193">
        <v>0</v>
      </c>
      <c r="R104" s="1193">
        <v>0</v>
      </c>
      <c r="S104" s="1193">
        <v>0</v>
      </c>
      <c r="T104" s="1192">
        <v>12400</v>
      </c>
      <c r="U104" s="1725">
        <v>0</v>
      </c>
    </row>
    <row r="105" spans="2:21" hidden="1" outlineLevel="2">
      <c r="B105" s="1152">
        <v>11</v>
      </c>
      <c r="C105" s="1152" t="str">
        <f t="shared" si="8"/>
        <v>R318, Base Carbone</v>
      </c>
      <c r="D105" s="1051">
        <f t="shared" si="9"/>
        <v>11</v>
      </c>
      <c r="E105" s="1051" t="str">
        <f>IF(COUNTIF(E$71:E104,F105)&gt;0,"",F105)</f>
        <v>R318, Base Carbone</v>
      </c>
      <c r="F105" s="1051" t="str">
        <f t="shared" si="10"/>
        <v>R318, Base Carbone</v>
      </c>
      <c r="G105" s="1051" t="str">
        <f t="shared" si="11"/>
        <v>R318, Base Carbone; kgCO2e/kg</v>
      </c>
      <c r="I105" s="1100" t="s">
        <v>1961</v>
      </c>
      <c r="J105" s="1048" t="s">
        <v>1572</v>
      </c>
      <c r="K105" s="1192" t="s">
        <v>1567</v>
      </c>
      <c r="L105" s="1048"/>
      <c r="M105" s="1101">
        <v>0.3</v>
      </c>
      <c r="N105" s="1048"/>
      <c r="O105" s="1192">
        <v>9540</v>
      </c>
      <c r="P105" s="1193">
        <v>0</v>
      </c>
      <c r="Q105" s="1193">
        <v>0</v>
      </c>
      <c r="R105" s="1193">
        <v>0</v>
      </c>
      <c r="S105" s="1193">
        <v>0</v>
      </c>
      <c r="T105" s="1192">
        <v>9540</v>
      </c>
      <c r="U105" s="1725">
        <v>0</v>
      </c>
    </row>
    <row r="106" spans="2:21" hidden="1" outlineLevel="2">
      <c r="B106" s="1152">
        <v>12</v>
      </c>
      <c r="C106" s="1152" t="str">
        <f t="shared" si="8"/>
        <v>R32, Base Carbone</v>
      </c>
      <c r="D106" s="1051">
        <f t="shared" si="9"/>
        <v>12</v>
      </c>
      <c r="E106" s="1051" t="str">
        <f>IF(COUNTIF(E$71:E105,F106)&gt;0,"",F106)</f>
        <v>R32, Base Carbone</v>
      </c>
      <c r="F106" s="1051" t="str">
        <f t="shared" si="10"/>
        <v>R32, Base Carbone</v>
      </c>
      <c r="G106" s="1051" t="str">
        <f t="shared" si="11"/>
        <v>R32, Base Carbone; kgCO2e/kg</v>
      </c>
      <c r="I106" s="1100" t="s">
        <v>1962</v>
      </c>
      <c r="J106" s="1048" t="s">
        <v>1572</v>
      </c>
      <c r="K106" s="1192" t="s">
        <v>1567</v>
      </c>
      <c r="L106" s="1048"/>
      <c r="M106" s="1101">
        <v>0.3</v>
      </c>
      <c r="N106" s="1048"/>
      <c r="O106" s="1192">
        <v>677</v>
      </c>
      <c r="P106" s="1193">
        <v>0</v>
      </c>
      <c r="Q106" s="1193">
        <v>0</v>
      </c>
      <c r="R106" s="1193">
        <v>0</v>
      </c>
      <c r="S106" s="1193">
        <v>0</v>
      </c>
      <c r="T106" s="1192">
        <v>677</v>
      </c>
      <c r="U106" s="1725">
        <v>0</v>
      </c>
    </row>
    <row r="107" spans="2:21" hidden="1" outlineLevel="2">
      <c r="B107" s="1152">
        <v>13</v>
      </c>
      <c r="C107" s="1152" t="str">
        <f t="shared" si="8"/>
        <v>R404a, Base Carbone</v>
      </c>
      <c r="D107" s="1051">
        <f t="shared" si="9"/>
        <v>13</v>
      </c>
      <c r="E107" s="1051" t="str">
        <f>IF(COUNTIF(E$71:E106,F107)&gt;0,"",F107)</f>
        <v>R404a, Base Carbone</v>
      </c>
      <c r="F107" s="1051" t="str">
        <f t="shared" si="10"/>
        <v>R404a, Base Carbone</v>
      </c>
      <c r="G107" s="1051" t="str">
        <f t="shared" si="11"/>
        <v>R404a, Base Carbone; kgCO2e/kg</v>
      </c>
      <c r="I107" s="1100" t="s">
        <v>293</v>
      </c>
      <c r="J107" s="1048" t="s">
        <v>1572</v>
      </c>
      <c r="K107" s="1192" t="s">
        <v>1567</v>
      </c>
      <c r="L107" s="1048"/>
      <c r="M107" s="1101">
        <v>0.3</v>
      </c>
      <c r="N107" s="1048"/>
      <c r="O107" s="1192">
        <v>3940</v>
      </c>
      <c r="P107" s="1193">
        <v>0</v>
      </c>
      <c r="Q107" s="1193">
        <v>0</v>
      </c>
      <c r="R107" s="1193">
        <v>0</v>
      </c>
      <c r="S107" s="1193">
        <v>0</v>
      </c>
      <c r="T107" s="1192">
        <v>3940</v>
      </c>
      <c r="U107" s="1725">
        <v>0</v>
      </c>
    </row>
    <row r="108" spans="2:21" hidden="1" outlineLevel="2">
      <c r="B108" s="1152">
        <v>14</v>
      </c>
      <c r="C108" s="1152" t="str">
        <f t="shared" si="8"/>
        <v>R407a, Base Carbone</v>
      </c>
      <c r="D108" s="1051">
        <f t="shared" si="9"/>
        <v>14</v>
      </c>
      <c r="E108" s="1051" t="str">
        <f>IF(COUNTIF(E$71:E107,F108)&gt;0,"",F108)</f>
        <v>R407a, Base Carbone</v>
      </c>
      <c r="F108" s="1051" t="str">
        <f t="shared" si="10"/>
        <v>R407a, Base Carbone</v>
      </c>
      <c r="G108" s="1051" t="str">
        <f t="shared" si="11"/>
        <v>R407a, Base Carbone; kgCO2e/kg</v>
      </c>
      <c r="I108" s="1100" t="s">
        <v>835</v>
      </c>
      <c r="J108" s="1048" t="s">
        <v>1572</v>
      </c>
      <c r="K108" s="1192" t="s">
        <v>1567</v>
      </c>
      <c r="L108" s="1048"/>
      <c r="M108" s="1101">
        <v>0.3</v>
      </c>
      <c r="N108" s="1048"/>
      <c r="O108" s="1192">
        <v>1920</v>
      </c>
      <c r="P108" s="1193">
        <v>0</v>
      </c>
      <c r="Q108" s="1193">
        <v>0</v>
      </c>
      <c r="R108" s="1193">
        <v>0</v>
      </c>
      <c r="S108" s="1193">
        <v>0</v>
      </c>
      <c r="T108" s="1192">
        <v>1920</v>
      </c>
      <c r="U108" s="1725">
        <v>0</v>
      </c>
    </row>
    <row r="109" spans="2:21" hidden="1" outlineLevel="2">
      <c r="B109" s="1152">
        <v>15</v>
      </c>
      <c r="C109" s="1152" t="str">
        <f t="shared" si="8"/>
        <v>R407c, Base Carbone</v>
      </c>
      <c r="D109" s="1051">
        <f t="shared" si="9"/>
        <v>15</v>
      </c>
      <c r="E109" s="1051" t="str">
        <f>IF(COUNTIF(E$71:E108,F109)&gt;0,"",F109)</f>
        <v>R407c, Base Carbone</v>
      </c>
      <c r="F109" s="1051" t="str">
        <f t="shared" si="10"/>
        <v>R407c, Base Carbone</v>
      </c>
      <c r="G109" s="1051" t="str">
        <f t="shared" si="11"/>
        <v>R407c, Base Carbone; kgCO2e/kg</v>
      </c>
      <c r="I109" s="1100" t="s">
        <v>342</v>
      </c>
      <c r="J109" s="1048" t="s">
        <v>1572</v>
      </c>
      <c r="K109" s="1192" t="s">
        <v>1567</v>
      </c>
      <c r="L109" s="1048"/>
      <c r="M109" s="1101">
        <v>0.3</v>
      </c>
      <c r="N109" s="1048"/>
      <c r="O109" s="1192">
        <v>1620</v>
      </c>
      <c r="P109" s="1193">
        <v>0</v>
      </c>
      <c r="Q109" s="1193">
        <v>0</v>
      </c>
      <c r="R109" s="1193">
        <v>0</v>
      </c>
      <c r="S109" s="1193">
        <v>0</v>
      </c>
      <c r="T109" s="1192">
        <v>1620</v>
      </c>
      <c r="U109" s="1725">
        <v>0</v>
      </c>
    </row>
    <row r="110" spans="2:21" hidden="1" outlineLevel="2">
      <c r="B110" s="1152">
        <v>16</v>
      </c>
      <c r="C110" s="1152" t="str">
        <f t="shared" si="8"/>
        <v>R407f, Base Carbone</v>
      </c>
      <c r="D110" s="1051">
        <f t="shared" si="9"/>
        <v>16</v>
      </c>
      <c r="E110" s="1051" t="str">
        <f>IF(COUNTIF(E$71:E109,F110)&gt;0,"",F110)</f>
        <v>R407f, Base Carbone</v>
      </c>
      <c r="F110" s="1051" t="str">
        <f t="shared" si="10"/>
        <v>R407f, Base Carbone</v>
      </c>
      <c r="G110" s="1051" t="str">
        <f t="shared" si="11"/>
        <v>R407f, Base Carbone; kgCO2e/kg</v>
      </c>
      <c r="I110" s="1100" t="s">
        <v>836</v>
      </c>
      <c r="J110" s="1048" t="s">
        <v>1572</v>
      </c>
      <c r="K110" s="1192" t="s">
        <v>1567</v>
      </c>
      <c r="L110" s="1048"/>
      <c r="M110" s="1101">
        <v>0.3</v>
      </c>
      <c r="N110" s="1048"/>
      <c r="O110" s="1192">
        <v>1670</v>
      </c>
      <c r="P110" s="1193">
        <v>0</v>
      </c>
      <c r="Q110" s="1193">
        <v>0</v>
      </c>
      <c r="R110" s="1193">
        <v>0</v>
      </c>
      <c r="S110" s="1193">
        <v>0</v>
      </c>
      <c r="T110" s="1192">
        <v>1670</v>
      </c>
      <c r="U110" s="1725">
        <v>0</v>
      </c>
    </row>
    <row r="111" spans="2:21" hidden="1" outlineLevel="2">
      <c r="B111" s="1152">
        <v>17</v>
      </c>
      <c r="C111" s="1152" t="str">
        <f t="shared" si="8"/>
        <v>R410a, Base Carbone</v>
      </c>
      <c r="D111" s="1051">
        <f t="shared" si="9"/>
        <v>17</v>
      </c>
      <c r="E111" s="1051" t="str">
        <f>IF(COUNTIF(E$71:E110,F111)&gt;0,"",F111)</f>
        <v>R410a, Base Carbone</v>
      </c>
      <c r="F111" s="1051" t="str">
        <f t="shared" si="10"/>
        <v>R410a, Base Carbone</v>
      </c>
      <c r="G111" s="1051" t="str">
        <f t="shared" si="11"/>
        <v>R410a, Base Carbone; kgCO2e/kg</v>
      </c>
      <c r="I111" s="1100" t="s">
        <v>88</v>
      </c>
      <c r="J111" s="1048" t="s">
        <v>1572</v>
      </c>
      <c r="K111" s="1192" t="s">
        <v>1567</v>
      </c>
      <c r="L111" s="1048"/>
      <c r="M111" s="1101">
        <v>0.3</v>
      </c>
      <c r="N111" s="1048"/>
      <c r="O111" s="1192">
        <v>1920</v>
      </c>
      <c r="P111" s="1193">
        <v>0</v>
      </c>
      <c r="Q111" s="1193">
        <v>0</v>
      </c>
      <c r="R111" s="1193">
        <v>0</v>
      </c>
      <c r="S111" s="1193">
        <v>0</v>
      </c>
      <c r="T111" s="1192">
        <v>1920</v>
      </c>
      <c r="U111" s="1725">
        <v>0</v>
      </c>
    </row>
    <row r="112" spans="2:21" hidden="1" outlineLevel="2">
      <c r="B112" s="1152">
        <v>18</v>
      </c>
      <c r="C112" s="1152" t="str">
        <f t="shared" si="8"/>
        <v>R417a, Base Carbone</v>
      </c>
      <c r="D112" s="1051">
        <f t="shared" si="9"/>
        <v>18</v>
      </c>
      <c r="E112" s="1051" t="str">
        <f>IF(COUNTIF(E$71:E111,F112)&gt;0,"",F112)</f>
        <v>R417a, Base Carbone</v>
      </c>
      <c r="F112" s="1051" t="str">
        <f t="shared" si="10"/>
        <v>R417a, Base Carbone</v>
      </c>
      <c r="G112" s="1051" t="str">
        <f t="shared" si="11"/>
        <v>R417a, Base Carbone; kgCO2e/kg</v>
      </c>
      <c r="I112" s="1100" t="s">
        <v>837</v>
      </c>
      <c r="J112" s="1048" t="s">
        <v>1572</v>
      </c>
      <c r="K112" s="1192" t="s">
        <v>1567</v>
      </c>
      <c r="L112" s="1048"/>
      <c r="M112" s="1101">
        <v>0.3</v>
      </c>
      <c r="N112" s="1048"/>
      <c r="O112" s="1192">
        <v>2130</v>
      </c>
      <c r="P112" s="1193">
        <v>0</v>
      </c>
      <c r="Q112" s="1193">
        <v>0</v>
      </c>
      <c r="R112" s="1193">
        <v>0</v>
      </c>
      <c r="S112" s="1193">
        <v>0</v>
      </c>
      <c r="T112" s="1192">
        <v>2130</v>
      </c>
      <c r="U112" s="1725">
        <v>0</v>
      </c>
    </row>
    <row r="113" spans="2:21" hidden="1" outlineLevel="2">
      <c r="B113" s="1152">
        <v>19</v>
      </c>
      <c r="C113" s="1152" t="str">
        <f t="shared" si="8"/>
        <v>R422a, Base Carbone</v>
      </c>
      <c r="D113" s="1051">
        <f t="shared" si="9"/>
        <v>19</v>
      </c>
      <c r="E113" s="1051" t="str">
        <f>IF(COUNTIF(E$71:E112,F113)&gt;0,"",F113)</f>
        <v>R422a, Base Carbone</v>
      </c>
      <c r="F113" s="1051" t="str">
        <f t="shared" si="10"/>
        <v>R422a, Base Carbone</v>
      </c>
      <c r="G113" s="1051" t="str">
        <f t="shared" si="11"/>
        <v>R422a, Base Carbone; kgCO2e/kg</v>
      </c>
      <c r="I113" s="1100" t="s">
        <v>838</v>
      </c>
      <c r="J113" s="1048" t="s">
        <v>1572</v>
      </c>
      <c r="K113" s="1192" t="s">
        <v>1567</v>
      </c>
      <c r="L113" s="1048"/>
      <c r="M113" s="1101">
        <v>0.3</v>
      </c>
      <c r="N113" s="1048"/>
      <c r="O113" s="1192">
        <v>2840</v>
      </c>
      <c r="P113" s="1193">
        <v>0</v>
      </c>
      <c r="Q113" s="1193">
        <v>0</v>
      </c>
      <c r="R113" s="1193">
        <v>0</v>
      </c>
      <c r="S113" s="1193">
        <v>0</v>
      </c>
      <c r="T113" s="1192">
        <v>2840</v>
      </c>
      <c r="U113" s="1725">
        <v>0</v>
      </c>
    </row>
    <row r="114" spans="2:21" hidden="1" outlineLevel="2">
      <c r="B114" s="1152">
        <v>20</v>
      </c>
      <c r="C114" s="1152" t="str">
        <f t="shared" si="8"/>
        <v>R422d, Base Carbone</v>
      </c>
      <c r="D114" s="1051">
        <f t="shared" si="9"/>
        <v>20</v>
      </c>
      <c r="E114" s="1051" t="str">
        <f>IF(COUNTIF(E$71:E113,F114)&gt;0,"",F114)</f>
        <v>R422d, Base Carbone</v>
      </c>
      <c r="F114" s="1051" t="str">
        <f t="shared" si="10"/>
        <v>R422d, Base Carbone</v>
      </c>
      <c r="G114" s="1051" t="str">
        <f t="shared" si="11"/>
        <v>R422d, Base Carbone; kgCO2e/kg</v>
      </c>
      <c r="I114" s="1100" t="s">
        <v>839</v>
      </c>
      <c r="J114" s="1048" t="s">
        <v>1572</v>
      </c>
      <c r="K114" s="1192" t="s">
        <v>1567</v>
      </c>
      <c r="L114" s="1048"/>
      <c r="M114" s="1101">
        <v>0.3</v>
      </c>
      <c r="N114" s="1048"/>
      <c r="O114" s="1192">
        <v>2470</v>
      </c>
      <c r="P114" s="1193">
        <v>0</v>
      </c>
      <c r="Q114" s="1193">
        <v>0</v>
      </c>
      <c r="R114" s="1193">
        <v>0</v>
      </c>
      <c r="S114" s="1193">
        <v>0</v>
      </c>
      <c r="T114" s="1192">
        <v>2470</v>
      </c>
      <c r="U114" s="1725">
        <v>0</v>
      </c>
    </row>
    <row r="115" spans="2:21" hidden="1" outlineLevel="2">
      <c r="B115" s="1152">
        <v>21</v>
      </c>
      <c r="C115" s="1152" t="str">
        <f t="shared" si="8"/>
        <v>R427a, Base Carbone</v>
      </c>
      <c r="D115" s="1051">
        <f t="shared" si="9"/>
        <v>21</v>
      </c>
      <c r="E115" s="1051" t="str">
        <f>IF(COUNTIF(E$71:E114,F115)&gt;0,"",F115)</f>
        <v>R427a, Base Carbone</v>
      </c>
      <c r="F115" s="1051" t="str">
        <f t="shared" si="10"/>
        <v>R427a, Base Carbone</v>
      </c>
      <c r="G115" s="1051" t="str">
        <f t="shared" si="11"/>
        <v>R427a, Base Carbone; kgCO2e/kg</v>
      </c>
      <c r="I115" s="1100" t="s">
        <v>840</v>
      </c>
      <c r="J115" s="1048" t="s">
        <v>1572</v>
      </c>
      <c r="K115" s="1192" t="s">
        <v>1567</v>
      </c>
      <c r="L115" s="1048"/>
      <c r="M115" s="1101">
        <v>0.3</v>
      </c>
      <c r="N115" s="1048"/>
      <c r="O115" s="1192">
        <v>2020</v>
      </c>
      <c r="P115" s="1193">
        <v>0</v>
      </c>
      <c r="Q115" s="1193">
        <v>0</v>
      </c>
      <c r="R115" s="1193">
        <v>0</v>
      </c>
      <c r="S115" s="1193">
        <v>0</v>
      </c>
      <c r="T115" s="1192">
        <v>2020</v>
      </c>
      <c r="U115" s="1725">
        <v>0</v>
      </c>
    </row>
    <row r="116" spans="2:21" hidden="1" outlineLevel="2">
      <c r="B116" s="1152">
        <v>22</v>
      </c>
      <c r="C116" s="1152" t="str">
        <f t="shared" si="8"/>
        <v>R4310mee, Base Carbone</v>
      </c>
      <c r="D116" s="1051">
        <f t="shared" si="9"/>
        <v>22</v>
      </c>
      <c r="E116" s="1051" t="str">
        <f>IF(COUNTIF(E$71:E115,F116)&gt;0,"",F116)</f>
        <v>R4310mee, Base Carbone</v>
      </c>
      <c r="F116" s="1051" t="str">
        <f t="shared" si="10"/>
        <v>R4310mee, Base Carbone</v>
      </c>
      <c r="G116" s="1051" t="str">
        <f t="shared" si="11"/>
        <v>R4310mee, Base Carbone; kgCO2e/kg</v>
      </c>
      <c r="I116" s="1100" t="s">
        <v>1963</v>
      </c>
      <c r="J116" s="1048" t="s">
        <v>1572</v>
      </c>
      <c r="K116" s="1192" t="s">
        <v>1567</v>
      </c>
      <c r="L116" s="1048"/>
      <c r="M116" s="1101">
        <v>0.3</v>
      </c>
      <c r="N116" s="1048"/>
      <c r="O116" s="1192">
        <v>1650</v>
      </c>
      <c r="P116" s="1193">
        <v>0</v>
      </c>
      <c r="Q116" s="1193">
        <v>0</v>
      </c>
      <c r="R116" s="1193">
        <v>0</v>
      </c>
      <c r="S116" s="1193">
        <v>0</v>
      </c>
      <c r="T116" s="1192">
        <v>1650</v>
      </c>
      <c r="U116" s="1725">
        <v>0</v>
      </c>
    </row>
    <row r="117" spans="2:21" hidden="1" outlineLevel="2">
      <c r="B117" s="1152">
        <v>23</v>
      </c>
      <c r="C117" s="1152" t="str">
        <f t="shared" si="8"/>
        <v>R507, Base Carbone</v>
      </c>
      <c r="D117" s="1051">
        <f t="shared" si="9"/>
        <v>23</v>
      </c>
      <c r="E117" s="1051" t="str">
        <f>IF(COUNTIF(E$71:E116,F117)&gt;0,"",F117)</f>
        <v>R507, Base Carbone</v>
      </c>
      <c r="F117" s="1051" t="str">
        <f t="shared" si="10"/>
        <v>R507, Base Carbone</v>
      </c>
      <c r="G117" s="1051" t="str">
        <f t="shared" si="11"/>
        <v>R507, Base Carbone; kgCO2e/kg</v>
      </c>
      <c r="I117" s="1100" t="s">
        <v>200</v>
      </c>
      <c r="J117" s="1048" t="s">
        <v>1572</v>
      </c>
      <c r="K117" s="1192" t="s">
        <v>1567</v>
      </c>
      <c r="L117" s="1048"/>
      <c r="M117" s="1101">
        <v>0.3</v>
      </c>
      <c r="N117" s="1048"/>
      <c r="O117" s="1192">
        <v>3990</v>
      </c>
      <c r="P117" s="1193">
        <v>0</v>
      </c>
      <c r="Q117" s="1193">
        <v>0</v>
      </c>
      <c r="R117" s="1193">
        <v>0</v>
      </c>
      <c r="S117" s="1193">
        <v>0</v>
      </c>
      <c r="T117" s="1192">
        <v>3990</v>
      </c>
      <c r="U117" s="1725">
        <v>0</v>
      </c>
    </row>
    <row r="118" spans="2:21" hidden="1" outlineLevel="2">
      <c r="B118" s="1152">
        <v>24</v>
      </c>
      <c r="C118" s="1152" t="str">
        <f t="shared" si="8"/>
        <v>R507a, Base Carbone</v>
      </c>
      <c r="D118" s="1051">
        <f t="shared" si="9"/>
        <v>24</v>
      </c>
      <c r="E118" s="1051" t="str">
        <f>IF(COUNTIF(E$71:E117,F118)&gt;0,"",F118)</f>
        <v>R507a, Base Carbone</v>
      </c>
      <c r="F118" s="1051" t="str">
        <f t="shared" si="10"/>
        <v>R507a, Base Carbone</v>
      </c>
      <c r="G118" s="1051" t="str">
        <f t="shared" si="11"/>
        <v>R507a, Base Carbone; kgCO2e/kg</v>
      </c>
      <c r="I118" s="1100" t="s">
        <v>841</v>
      </c>
      <c r="J118" s="1048" t="s">
        <v>1572</v>
      </c>
      <c r="K118" s="1192" t="s">
        <v>1567</v>
      </c>
      <c r="L118" s="1048"/>
      <c r="M118" s="1101">
        <v>0.3</v>
      </c>
      <c r="N118" s="1048"/>
      <c r="O118" s="1192">
        <v>2240</v>
      </c>
      <c r="P118" s="1193">
        <v>0</v>
      </c>
      <c r="Q118" s="1193">
        <v>0</v>
      </c>
      <c r="R118" s="1193">
        <v>0</v>
      </c>
      <c r="S118" s="1193">
        <v>0</v>
      </c>
      <c r="T118" s="1192">
        <v>2240</v>
      </c>
      <c r="U118" s="1725">
        <v>0</v>
      </c>
    </row>
    <row r="119" spans="2:21" hidden="1" outlineLevel="2">
      <c r="B119" s="1152">
        <v>25</v>
      </c>
      <c r="C119" s="1152" t="str">
        <f t="shared" si="8"/>
        <v>R5114, Base Carbone</v>
      </c>
      <c r="D119" s="1051">
        <f t="shared" si="9"/>
        <v>25</v>
      </c>
      <c r="E119" s="1051" t="str">
        <f>IF(COUNTIF(E$71:E118,F119)&gt;0,"",F119)</f>
        <v>R5114, Base Carbone</v>
      </c>
      <c r="F119" s="1051" t="str">
        <f t="shared" si="10"/>
        <v>R5114, Base Carbone</v>
      </c>
      <c r="G119" s="1051" t="str">
        <f t="shared" si="11"/>
        <v>R5114, Base Carbone; kgCO2e/kg</v>
      </c>
      <c r="I119" s="1100" t="s">
        <v>1964</v>
      </c>
      <c r="J119" s="1048" t="s">
        <v>1572</v>
      </c>
      <c r="K119" s="1192" t="s">
        <v>1567</v>
      </c>
      <c r="L119" s="1048"/>
      <c r="M119" s="1101">
        <v>0.3</v>
      </c>
      <c r="N119" s="1048"/>
      <c r="O119" s="1192">
        <v>7910</v>
      </c>
      <c r="P119" s="1193">
        <v>0</v>
      </c>
      <c r="Q119" s="1193">
        <v>0</v>
      </c>
      <c r="R119" s="1193">
        <v>0</v>
      </c>
      <c r="S119" s="1193">
        <v>0</v>
      </c>
      <c r="T119" s="1192">
        <v>7910</v>
      </c>
      <c r="U119" s="1725">
        <v>0</v>
      </c>
    </row>
    <row r="120" spans="2:21" hidden="1" outlineLevel="2">
      <c r="B120" s="1152">
        <v>26</v>
      </c>
      <c r="C120" s="1152" t="str">
        <f t="shared" si="8"/>
        <v>SF6, Base Carbone</v>
      </c>
      <c r="D120" s="1051">
        <f t="shared" si="9"/>
        <v>26</v>
      </c>
      <c r="E120" s="1051" t="str">
        <f>IF(COUNTIF(E$71:E119,F120)&gt;0,"",F120)</f>
        <v>SF6, Base Carbone</v>
      </c>
      <c r="F120" s="1051" t="str">
        <f t="shared" si="10"/>
        <v>SF6, Base Carbone</v>
      </c>
      <c r="G120" s="1051" t="str">
        <f t="shared" si="11"/>
        <v>SF6, Base Carbone; kgCO2e/kg</v>
      </c>
      <c r="I120" s="1100" t="s">
        <v>1965</v>
      </c>
      <c r="J120" s="1048" t="s">
        <v>1572</v>
      </c>
      <c r="K120" s="1192" t="s">
        <v>1567</v>
      </c>
      <c r="L120" s="1048"/>
      <c r="M120" s="1101">
        <v>0.3</v>
      </c>
      <c r="N120" s="1048"/>
      <c r="O120" s="1192">
        <v>23500</v>
      </c>
      <c r="P120" s="1193">
        <v>0</v>
      </c>
      <c r="Q120" s="1193">
        <v>0</v>
      </c>
      <c r="R120" s="1193">
        <v>0</v>
      </c>
      <c r="S120" s="1193">
        <v>0</v>
      </c>
      <c r="T120" s="1192">
        <v>23500</v>
      </c>
      <c r="U120" s="1725">
        <v>0</v>
      </c>
    </row>
    <row r="121" spans="2:21" hidden="1" outlineLevel="2">
      <c r="B121" s="1152">
        <v>27</v>
      </c>
      <c r="C121" s="1152" t="str">
        <f t="shared" si="8"/>
        <v>-</v>
      </c>
      <c r="D121" s="1051">
        <f t="shared" ref="D121:D127" si="12">D120+IF(LEN(E121)&gt;0,1,0)</f>
        <v>26</v>
      </c>
      <c r="E121" s="1051" t="str">
        <f>IF(COUNTIF(E$71:E120,F121)&gt;0,"",F121)</f>
        <v/>
      </c>
      <c r="F121" s="1051" t="str">
        <f>IF(I121&lt;&gt;"",I121&amp;IF(L121&lt;&gt;"",", "&amp;L121,"")&amp;IF(K121&lt;&gt;"",", "&amp;K121,""),"")</f>
        <v/>
      </c>
      <c r="G121" s="1051" t="str">
        <f>IF(F121&lt;&gt;"",F121&amp;IF(J121&lt;&gt;"","; "&amp;J121,"")&amp;IF(N121&lt;&gt;"",", "&amp;N121,""),"")</f>
        <v/>
      </c>
      <c r="I121" s="1100"/>
      <c r="J121" s="1048"/>
      <c r="K121" s="1192"/>
      <c r="L121" s="1048"/>
      <c r="M121" s="1101"/>
      <c r="N121" s="1048"/>
      <c r="O121" s="1193"/>
      <c r="P121" s="1193"/>
      <c r="Q121" s="1193"/>
      <c r="R121" s="1193"/>
      <c r="S121" s="1193"/>
      <c r="T121" s="1193"/>
      <c r="U121" s="1725"/>
    </row>
    <row r="122" spans="2:21" hidden="1" outlineLevel="2">
      <c r="B122" s="1152">
        <v>28</v>
      </c>
      <c r="C122" s="1152" t="str">
        <f t="shared" si="8"/>
        <v>-</v>
      </c>
      <c r="D122" s="1051">
        <f t="shared" si="12"/>
        <v>26</v>
      </c>
      <c r="E122" s="1051" t="str">
        <f>IF(COUNTIF(E$71:E121,F122)&gt;0,"",F122)</f>
        <v/>
      </c>
      <c r="F122" s="1051" t="str">
        <f>IF(I122&lt;&gt;"",I122&amp;IF(L122&lt;&gt;"",", "&amp;L122,"")&amp;IF(K122&lt;&gt;"",", "&amp;K122,""),"")</f>
        <v/>
      </c>
      <c r="G122" s="1051" t="str">
        <f>IF(F122&lt;&gt;"",F122&amp;IF(J122&lt;&gt;"","; "&amp;J122,"")&amp;IF(N122&lt;&gt;"",", "&amp;N122,""),"")</f>
        <v/>
      </c>
      <c r="I122" s="1100"/>
      <c r="J122" s="1048"/>
      <c r="K122" s="1192"/>
      <c r="L122" s="1048"/>
      <c r="M122" s="1101"/>
      <c r="N122" s="1048"/>
      <c r="O122" s="1193"/>
      <c r="P122" s="1193"/>
      <c r="Q122" s="1193"/>
      <c r="R122" s="1193"/>
      <c r="S122" s="1193"/>
      <c r="T122" s="1193"/>
      <c r="U122" s="1725"/>
    </row>
    <row r="123" spans="2:21" hidden="1" outlineLevel="2">
      <c r="B123" s="1152">
        <v>29</v>
      </c>
      <c r="C123" s="1152" t="str">
        <f t="shared" si="8"/>
        <v>-</v>
      </c>
      <c r="D123" s="1051">
        <f t="shared" si="12"/>
        <v>26</v>
      </c>
      <c r="E123" s="1051" t="str">
        <f>IF(COUNTIF(E$71:E122,F123)&gt;0,"",F123)</f>
        <v/>
      </c>
      <c r="F123" s="1051" t="str">
        <f>IF(I123&lt;&gt;"",I123&amp;IF(L123&lt;&gt;"",", "&amp;L123,"")&amp;IF(K123&lt;&gt;"",", "&amp;K123,""),"")</f>
        <v/>
      </c>
      <c r="G123" s="1051" t="str">
        <f>IF(F123&lt;&gt;"",F123&amp;IF(J123&lt;&gt;"","; "&amp;J123,"")&amp;IF(N123&lt;&gt;"",", "&amp;N123,""),"")</f>
        <v/>
      </c>
      <c r="I123" s="1100"/>
      <c r="J123" s="1048"/>
      <c r="K123" s="1192"/>
      <c r="L123" s="1048"/>
      <c r="M123" s="1101"/>
      <c r="N123" s="1048"/>
      <c r="O123" s="1193"/>
      <c r="P123" s="1193"/>
      <c r="Q123" s="1193"/>
      <c r="R123" s="1193"/>
      <c r="S123" s="1193"/>
      <c r="T123" s="1193"/>
      <c r="U123" s="1725"/>
    </row>
    <row r="124" spans="2:21" hidden="1" outlineLevel="2">
      <c r="B124" s="1152">
        <v>30</v>
      </c>
      <c r="C124" s="1152" t="str">
        <f t="shared" si="8"/>
        <v>-</v>
      </c>
      <c r="D124" s="1051">
        <f t="shared" si="12"/>
        <v>26</v>
      </c>
      <c r="E124" s="1051" t="str">
        <f>IF(COUNTIF(E$71:E123,F124)&gt;0,"",F124)</f>
        <v/>
      </c>
      <c r="F124" s="1051" t="str">
        <f>IF(I124&lt;&gt;"",I124&amp;IF(L124&lt;&gt;"",", "&amp;L124,"")&amp;IF(K124&lt;&gt;"",", "&amp;K124,""),"")</f>
        <v/>
      </c>
      <c r="G124" s="1051" t="str">
        <f>IF(F124&lt;&gt;"",F124&amp;IF(J124&lt;&gt;"","; "&amp;J124,"")&amp;IF(N124&lt;&gt;"",", "&amp;N124,""),"")</f>
        <v/>
      </c>
      <c r="I124" s="1100"/>
      <c r="J124" s="1048"/>
      <c r="K124" s="1192"/>
      <c r="L124" s="1048"/>
      <c r="M124" s="1101"/>
      <c r="N124" s="1048"/>
      <c r="O124" s="1193"/>
      <c r="P124" s="1193"/>
      <c r="Q124" s="1193"/>
      <c r="R124" s="1193"/>
      <c r="S124" s="1193"/>
      <c r="T124" s="1193"/>
      <c r="U124" s="1725"/>
    </row>
    <row r="125" spans="2:21" hidden="1" outlineLevel="1">
      <c r="D125" s="1045"/>
      <c r="E125" s="1045"/>
      <c r="F125" s="1045"/>
      <c r="G125" s="1045"/>
      <c r="I125" s="1711"/>
      <c r="J125" s="1712"/>
      <c r="K125" s="1726"/>
      <c r="L125" s="1712"/>
      <c r="M125" s="1713"/>
      <c r="N125" s="1712"/>
      <c r="O125" s="1727"/>
      <c r="P125" s="1728"/>
      <c r="Q125" s="1728"/>
      <c r="R125" s="1728"/>
      <c r="S125" s="1728"/>
      <c r="T125" s="1727"/>
      <c r="U125" s="1729"/>
    </row>
    <row r="126" spans="2:21" ht="12" hidden="1" customHeight="1" outlineLevel="1" collapsed="1">
      <c r="B126" s="3154" t="s">
        <v>1973</v>
      </c>
      <c r="C126" s="3154"/>
      <c r="D126" s="1051">
        <v>0</v>
      </c>
      <c r="E126" s="1051" t="str">
        <f>IF(COUNTIF(E$71:E124,F126)&gt;0,"",F126)</f>
        <v/>
      </c>
      <c r="F126" s="1051" t="str">
        <f t="shared" ref="F126:F127" si="13">IF(I126&lt;&gt;"",I126&amp;IF(L126&lt;&gt;"",", "&amp;L126,"")&amp;IF(K126&lt;&gt;"",", "&amp;K126,""),"")</f>
        <v/>
      </c>
      <c r="G126" s="1051" t="str">
        <f t="shared" ref="G126:G127" si="14">IF(F126&lt;&gt;"",F126&amp;IF(J126&lt;&gt;"","; "&amp;J126,"")&amp;IF(N126&lt;&gt;"",", "&amp;N126,""),"")</f>
        <v/>
      </c>
      <c r="I126" s="1711"/>
      <c r="J126" s="1712"/>
      <c r="K126" s="1726"/>
      <c r="L126" s="1712"/>
      <c r="M126" s="1713"/>
      <c r="N126" s="1712"/>
      <c r="O126" s="1727"/>
      <c r="P126" s="1728"/>
      <c r="Q126" s="1728"/>
      <c r="R126" s="1728"/>
      <c r="S126" s="1728"/>
      <c r="T126" s="1727"/>
      <c r="U126" s="1729"/>
    </row>
    <row r="127" spans="2:21" hidden="1" outlineLevel="2">
      <c r="B127" s="1152">
        <v>1</v>
      </c>
      <c r="C127" s="1152" t="str">
        <f>IF(ISNA(VLOOKUP(B95,$D$127:$E$157,2,FALSE)),"-",VLOOKUP(B95,$D$127:$E$157,2,FALSE))</f>
        <v>bromure de méthyle, Base Carbone</v>
      </c>
      <c r="D127" s="1051">
        <f t="shared" si="12"/>
        <v>1</v>
      </c>
      <c r="E127" s="1051" t="str">
        <f>IF(COUNTIF(E$71:E126,F127)&gt;0,"",F127)</f>
        <v>bromure de méthyle, Base Carbone</v>
      </c>
      <c r="F127" s="1051" t="str">
        <f t="shared" si="13"/>
        <v>bromure de méthyle, Base Carbone</v>
      </c>
      <c r="G127" s="1051" t="str">
        <f t="shared" si="14"/>
        <v>bromure de méthyle, Base Carbone; kgCO2e/kg</v>
      </c>
      <c r="I127" s="1100" t="s">
        <v>1928</v>
      </c>
      <c r="J127" s="1048" t="s">
        <v>1572</v>
      </c>
      <c r="K127" s="1192" t="s">
        <v>1567</v>
      </c>
      <c r="L127" s="1048"/>
      <c r="M127" s="1101">
        <v>0.3</v>
      </c>
      <c r="N127" s="1048"/>
      <c r="O127" s="1048">
        <v>2</v>
      </c>
      <c r="P127" s="1194">
        <v>0</v>
      </c>
      <c r="Q127" s="1194">
        <v>0</v>
      </c>
      <c r="R127" s="1194">
        <v>0</v>
      </c>
      <c r="S127" s="1194">
        <v>0</v>
      </c>
      <c r="T127" s="1048">
        <v>2</v>
      </c>
      <c r="U127" s="1195">
        <v>0</v>
      </c>
    </row>
    <row r="128" spans="2:21" hidden="1" outlineLevel="2">
      <c r="B128" s="1152">
        <v>2</v>
      </c>
      <c r="C128" s="1152" t="str">
        <f t="shared" ref="C128:C157" si="15">IF(ISNA(VLOOKUP(B96,$D$127:$E$157,2,FALSE)),"-",VLOOKUP(B96,$D$127:$E$157,2,FALSE))</f>
        <v>Chloroforme de méthyle, Base Carbone</v>
      </c>
      <c r="D128" s="1051">
        <f t="shared" ref="D128:D157" si="16">D127+IF(LEN(E128)&gt;0,1,0)</f>
        <v>2</v>
      </c>
      <c r="E128" s="1051" t="str">
        <f>IF(COUNTIF(E$71:E127,F128)&gt;0,"",F128)</f>
        <v>Chloroforme de méthyle, Base Carbone</v>
      </c>
      <c r="F128" s="1051" t="str">
        <f t="shared" ref="F128:F157" si="17">IF(I128&lt;&gt;"",I128&amp;IF(L128&lt;&gt;"",", "&amp;L128,"")&amp;IF(K128&lt;&gt;"",", "&amp;K128,""),"")</f>
        <v>Chloroforme de méthyle, Base Carbone</v>
      </c>
      <c r="G128" s="1051" t="str">
        <f t="shared" ref="G128:G157" si="18">IF(F128&lt;&gt;"",F128&amp;IF(J128&lt;&gt;"","; "&amp;J128,"")&amp;IF(N128&lt;&gt;"",", "&amp;N128,""),"")</f>
        <v>Chloroforme de méthyle, Base Carbone; kgCO2e/kg</v>
      </c>
      <c r="I128" s="1100" t="s">
        <v>842</v>
      </c>
      <c r="J128" s="1048" t="s">
        <v>1572</v>
      </c>
      <c r="K128" s="1192" t="s">
        <v>1567</v>
      </c>
      <c r="L128" s="1048"/>
      <c r="M128" s="1101">
        <v>0.3</v>
      </c>
      <c r="N128" s="1048"/>
      <c r="O128" s="1048">
        <v>160</v>
      </c>
      <c r="P128" s="1194">
        <v>0</v>
      </c>
      <c r="Q128" s="1194">
        <v>0</v>
      </c>
      <c r="R128" s="1194">
        <v>0</v>
      </c>
      <c r="S128" s="1194">
        <v>0</v>
      </c>
      <c r="T128" s="1048">
        <v>160</v>
      </c>
      <c r="U128" s="1195">
        <v>0</v>
      </c>
    </row>
    <row r="129" spans="2:21" hidden="1" outlineLevel="2">
      <c r="B129" s="1152">
        <v>3</v>
      </c>
      <c r="C129" s="1152" t="str">
        <f t="shared" si="15"/>
        <v>Halon-1211  , Base Carbone</v>
      </c>
      <c r="D129" s="1051">
        <f t="shared" si="16"/>
        <v>3</v>
      </c>
      <c r="E129" s="1051" t="str">
        <f>IF(COUNTIF(E$71:E128,F129)&gt;0,"",F129)</f>
        <v>Halon-1211  , Base Carbone</v>
      </c>
      <c r="F129" s="1051" t="str">
        <f t="shared" si="17"/>
        <v>Halon-1211  , Base Carbone</v>
      </c>
      <c r="G129" s="1051" t="str">
        <f t="shared" si="18"/>
        <v>Halon-1211  , Base Carbone; kgCO2e/kg</v>
      </c>
      <c r="I129" s="1100" t="s">
        <v>1930</v>
      </c>
      <c r="J129" s="1048" t="s">
        <v>1572</v>
      </c>
      <c r="K129" s="1192" t="s">
        <v>1567</v>
      </c>
      <c r="L129" s="1048"/>
      <c r="M129" s="1101">
        <v>0.3</v>
      </c>
      <c r="N129" s="1048"/>
      <c r="O129" s="1048">
        <v>1750</v>
      </c>
      <c r="P129" s="1194">
        <v>0</v>
      </c>
      <c r="Q129" s="1194">
        <v>0</v>
      </c>
      <c r="R129" s="1194">
        <v>0</v>
      </c>
      <c r="S129" s="1194">
        <v>0</v>
      </c>
      <c r="T129" s="1048">
        <v>1750</v>
      </c>
      <c r="U129" s="1195">
        <v>0</v>
      </c>
    </row>
    <row r="130" spans="2:21" hidden="1" outlineLevel="2">
      <c r="B130" s="1152">
        <v>4</v>
      </c>
      <c r="C130" s="1152" t="str">
        <f t="shared" si="15"/>
        <v>Halon-1301  , Base Carbone</v>
      </c>
      <c r="D130" s="1051">
        <f t="shared" si="16"/>
        <v>4</v>
      </c>
      <c r="E130" s="1051" t="str">
        <f>IF(COUNTIF(E$71:E129,F130)&gt;0,"",F130)</f>
        <v>Halon-1301  , Base Carbone</v>
      </c>
      <c r="F130" s="1051" t="str">
        <f t="shared" si="17"/>
        <v>Halon-1301  , Base Carbone</v>
      </c>
      <c r="G130" s="1051" t="str">
        <f t="shared" si="18"/>
        <v>Halon-1301  , Base Carbone; kgCO2e/kg</v>
      </c>
      <c r="I130" s="1100" t="s">
        <v>1931</v>
      </c>
      <c r="J130" s="1048" t="s">
        <v>1572</v>
      </c>
      <c r="K130" s="1192" t="s">
        <v>1567</v>
      </c>
      <c r="L130" s="1048"/>
      <c r="M130" s="1101">
        <v>0.3</v>
      </c>
      <c r="N130" s="1048"/>
      <c r="O130" s="1048">
        <v>6290</v>
      </c>
      <c r="P130" s="1194">
        <v>0</v>
      </c>
      <c r="Q130" s="1194">
        <v>0</v>
      </c>
      <c r="R130" s="1194">
        <v>0</v>
      </c>
      <c r="S130" s="1194">
        <v>0</v>
      </c>
      <c r="T130" s="1048">
        <v>6290</v>
      </c>
      <c r="U130" s="1195">
        <v>0</v>
      </c>
    </row>
    <row r="131" spans="2:21" hidden="1" outlineLevel="2">
      <c r="B131" s="1152">
        <v>5</v>
      </c>
      <c r="C131" s="1152" t="str">
        <f t="shared" si="15"/>
        <v>Halon-2402  , Base Carbone</v>
      </c>
      <c r="D131" s="1051">
        <f t="shared" si="16"/>
        <v>5</v>
      </c>
      <c r="E131" s="1051" t="str">
        <f>IF(COUNTIF(E$71:E130,F131)&gt;0,"",F131)</f>
        <v>Halon-2402  , Base Carbone</v>
      </c>
      <c r="F131" s="1051" t="str">
        <f t="shared" si="17"/>
        <v>Halon-2402  , Base Carbone</v>
      </c>
      <c r="G131" s="1051" t="str">
        <f t="shared" si="18"/>
        <v>Halon-2402  , Base Carbone; kgCO2e/kg</v>
      </c>
      <c r="I131" s="1100" t="s">
        <v>1932</v>
      </c>
      <c r="J131" s="1048" t="s">
        <v>1572</v>
      </c>
      <c r="K131" s="1192" t="s">
        <v>1567</v>
      </c>
      <c r="L131" s="1048"/>
      <c r="M131" s="1101">
        <v>0.3</v>
      </c>
      <c r="N131" s="1048"/>
      <c r="O131" s="1048">
        <v>1470</v>
      </c>
      <c r="P131" s="1194">
        <v>0</v>
      </c>
      <c r="Q131" s="1194">
        <v>0</v>
      </c>
      <c r="R131" s="1194">
        <v>0</v>
      </c>
      <c r="S131" s="1194">
        <v>0</v>
      </c>
      <c r="T131" s="1048">
        <v>1470</v>
      </c>
      <c r="U131" s="1195">
        <v>0</v>
      </c>
    </row>
    <row r="132" spans="2:21" hidden="1" outlineLevel="2">
      <c r="B132" s="1152">
        <v>6</v>
      </c>
      <c r="C132" s="1152" t="str">
        <f t="shared" si="15"/>
        <v>R11, Base Carbone</v>
      </c>
      <c r="D132" s="1051">
        <f t="shared" si="16"/>
        <v>6</v>
      </c>
      <c r="E132" s="1051" t="str">
        <f>IF(COUNTIF(E$71:E131,F132)&gt;0,"",F132)</f>
        <v>R11, Base Carbone</v>
      </c>
      <c r="F132" s="1051" t="str">
        <f t="shared" si="17"/>
        <v>R11, Base Carbone</v>
      </c>
      <c r="G132" s="1051" t="str">
        <f t="shared" si="18"/>
        <v>R11, Base Carbone; kgCO2e/kg</v>
      </c>
      <c r="I132" s="1100" t="s">
        <v>1934</v>
      </c>
      <c r="J132" s="1048" t="s">
        <v>1572</v>
      </c>
      <c r="K132" s="1192" t="s">
        <v>1567</v>
      </c>
      <c r="L132" s="1048"/>
      <c r="M132" s="1101">
        <v>0.3</v>
      </c>
      <c r="N132" s="1048"/>
      <c r="O132" s="1048">
        <v>4660</v>
      </c>
      <c r="P132" s="1194">
        <v>0</v>
      </c>
      <c r="Q132" s="1194">
        <v>0</v>
      </c>
      <c r="R132" s="1194">
        <v>0</v>
      </c>
      <c r="S132" s="1194">
        <v>0</v>
      </c>
      <c r="T132" s="1048">
        <v>4660</v>
      </c>
      <c r="U132" s="1195">
        <v>0</v>
      </c>
    </row>
    <row r="133" spans="2:21" hidden="1" outlineLevel="2">
      <c r="B133" s="1152">
        <v>7</v>
      </c>
      <c r="C133" s="1152" t="str">
        <f t="shared" si="15"/>
        <v>R113, Base Carbone</v>
      </c>
      <c r="D133" s="1051">
        <f t="shared" si="16"/>
        <v>7</v>
      </c>
      <c r="E133" s="1051" t="str">
        <f>IF(COUNTIF(E$71:E132,F133)&gt;0,"",F133)</f>
        <v>R113, Base Carbone</v>
      </c>
      <c r="F133" s="1051" t="str">
        <f t="shared" si="17"/>
        <v>R113, Base Carbone</v>
      </c>
      <c r="G133" s="1051" t="str">
        <f t="shared" si="18"/>
        <v>R113, Base Carbone; kgCO2e/kg</v>
      </c>
      <c r="I133" s="1100" t="s">
        <v>1935</v>
      </c>
      <c r="J133" s="1048" t="s">
        <v>1572</v>
      </c>
      <c r="K133" s="1192" t="s">
        <v>1567</v>
      </c>
      <c r="L133" s="1048"/>
      <c r="M133" s="1101">
        <v>0.3</v>
      </c>
      <c r="N133" s="1048"/>
      <c r="O133" s="1048">
        <v>5820</v>
      </c>
      <c r="P133" s="1194">
        <v>0</v>
      </c>
      <c r="Q133" s="1194">
        <v>0</v>
      </c>
      <c r="R133" s="1194">
        <v>0</v>
      </c>
      <c r="S133" s="1194">
        <v>0</v>
      </c>
      <c r="T133" s="1048">
        <v>5820</v>
      </c>
      <c r="U133" s="1195">
        <v>0</v>
      </c>
    </row>
    <row r="134" spans="2:21" hidden="1" outlineLevel="2">
      <c r="B134" s="1152">
        <v>8</v>
      </c>
      <c r="C134" s="1152" t="str">
        <f t="shared" si="15"/>
        <v>R114, Base Carbone</v>
      </c>
      <c r="D134" s="1051">
        <f t="shared" si="16"/>
        <v>8</v>
      </c>
      <c r="E134" s="1051" t="str">
        <f>IF(COUNTIF(E$71:E133,F134)&gt;0,"",F134)</f>
        <v>R114, Base Carbone</v>
      </c>
      <c r="F134" s="1051" t="str">
        <f t="shared" si="17"/>
        <v>R114, Base Carbone</v>
      </c>
      <c r="G134" s="1051" t="str">
        <f t="shared" si="18"/>
        <v>R114, Base Carbone; kgCO2e/kg</v>
      </c>
      <c r="I134" s="1100" t="s">
        <v>1936</v>
      </c>
      <c r="J134" s="1048" t="s">
        <v>1572</v>
      </c>
      <c r="K134" s="1192" t="s">
        <v>1567</v>
      </c>
      <c r="L134" s="1048"/>
      <c r="M134" s="1101">
        <v>0.3</v>
      </c>
      <c r="N134" s="1048"/>
      <c r="O134" s="1048">
        <v>8590</v>
      </c>
      <c r="P134" s="1194">
        <v>0</v>
      </c>
      <c r="Q134" s="1194">
        <v>0</v>
      </c>
      <c r="R134" s="1194">
        <v>0</v>
      </c>
      <c r="S134" s="1194">
        <v>0</v>
      </c>
      <c r="T134" s="1048">
        <v>8590</v>
      </c>
      <c r="U134" s="1195">
        <v>0</v>
      </c>
    </row>
    <row r="135" spans="2:21" hidden="1" outlineLevel="2">
      <c r="B135" s="1152">
        <v>9</v>
      </c>
      <c r="C135" s="1152" t="str">
        <f t="shared" si="15"/>
        <v>R115, Base Carbone</v>
      </c>
      <c r="D135" s="1051">
        <f t="shared" si="16"/>
        <v>9</v>
      </c>
      <c r="E135" s="1051" t="str">
        <f>IF(COUNTIF(E$71:E134,F135)&gt;0,"",F135)</f>
        <v>R115, Base Carbone</v>
      </c>
      <c r="F135" s="1051" t="str">
        <f t="shared" si="17"/>
        <v>R115, Base Carbone</v>
      </c>
      <c r="G135" s="1051" t="str">
        <f t="shared" si="18"/>
        <v>R115, Base Carbone; kgCO2e/kg</v>
      </c>
      <c r="I135" s="1100" t="s">
        <v>1937</v>
      </c>
      <c r="J135" s="1048" t="s">
        <v>1572</v>
      </c>
      <c r="K135" s="1192" t="s">
        <v>1567</v>
      </c>
      <c r="L135" s="1048"/>
      <c r="M135" s="1101">
        <v>0.3</v>
      </c>
      <c r="N135" s="1048"/>
      <c r="O135" s="1048">
        <v>7670</v>
      </c>
      <c r="P135" s="1194">
        <v>0</v>
      </c>
      <c r="Q135" s="1194">
        <v>0</v>
      </c>
      <c r="R135" s="1194">
        <v>0</v>
      </c>
      <c r="S135" s="1194">
        <v>0</v>
      </c>
      <c r="T135" s="1048">
        <v>7670</v>
      </c>
      <c r="U135" s="1195">
        <v>0</v>
      </c>
    </row>
    <row r="136" spans="2:21" hidden="1" outlineLevel="2">
      <c r="B136" s="1152">
        <v>10</v>
      </c>
      <c r="C136" s="1152" t="str">
        <f t="shared" si="15"/>
        <v>R12, Base Carbone</v>
      </c>
      <c r="D136" s="1051">
        <f t="shared" si="16"/>
        <v>10</v>
      </c>
      <c r="E136" s="1051" t="str">
        <f>IF(COUNTIF(E$71:E135,F136)&gt;0,"",F136)</f>
        <v>R12, Base Carbone</v>
      </c>
      <c r="F136" s="1051" t="str">
        <f t="shared" si="17"/>
        <v>R12, Base Carbone</v>
      </c>
      <c r="G136" s="1051" t="str">
        <f t="shared" si="18"/>
        <v>R12, Base Carbone; kgCO2e/kg</v>
      </c>
      <c r="I136" s="1100" t="s">
        <v>1939</v>
      </c>
      <c r="J136" s="1048" t="s">
        <v>1572</v>
      </c>
      <c r="K136" s="1192" t="s">
        <v>1567</v>
      </c>
      <c r="L136" s="1048"/>
      <c r="M136" s="1101">
        <v>0.3</v>
      </c>
      <c r="N136" s="1048"/>
      <c r="O136" s="1048">
        <v>10200</v>
      </c>
      <c r="P136" s="1194">
        <v>0</v>
      </c>
      <c r="Q136" s="1194">
        <v>0</v>
      </c>
      <c r="R136" s="1194">
        <v>0</v>
      </c>
      <c r="S136" s="1194">
        <v>0</v>
      </c>
      <c r="T136" s="1048">
        <v>10200</v>
      </c>
      <c r="U136" s="1195">
        <v>0</v>
      </c>
    </row>
    <row r="137" spans="2:21" hidden="1" outlineLevel="2">
      <c r="B137" s="1152">
        <v>11</v>
      </c>
      <c r="C137" s="1152" t="str">
        <f t="shared" si="15"/>
        <v>R122, Base Carbone</v>
      </c>
      <c r="D137" s="1051">
        <f t="shared" si="16"/>
        <v>11</v>
      </c>
      <c r="E137" s="1051" t="str">
        <f>IF(COUNTIF(E$71:E136,F137)&gt;0,"",F137)</f>
        <v>R122, Base Carbone</v>
      </c>
      <c r="F137" s="1051" t="str">
        <f t="shared" si="17"/>
        <v>R122, Base Carbone</v>
      </c>
      <c r="G137" s="1051" t="str">
        <f t="shared" si="18"/>
        <v>R122, Base Carbone; kgCO2e/kg</v>
      </c>
      <c r="I137" s="1100" t="s">
        <v>1940</v>
      </c>
      <c r="J137" s="1048" t="s">
        <v>1572</v>
      </c>
      <c r="K137" s="1192" t="s">
        <v>1567</v>
      </c>
      <c r="L137" s="1048"/>
      <c r="M137" s="1101">
        <v>0.3</v>
      </c>
      <c r="N137" s="1048"/>
      <c r="O137" s="1048">
        <v>59</v>
      </c>
      <c r="P137" s="1194">
        <v>0</v>
      </c>
      <c r="Q137" s="1194">
        <v>0</v>
      </c>
      <c r="R137" s="1194">
        <v>0</v>
      </c>
      <c r="S137" s="1194">
        <v>0</v>
      </c>
      <c r="T137" s="1048">
        <v>59</v>
      </c>
      <c r="U137" s="1195">
        <v>0</v>
      </c>
    </row>
    <row r="138" spans="2:21" hidden="1" outlineLevel="2">
      <c r="B138" s="1152">
        <v>12</v>
      </c>
      <c r="C138" s="1152" t="str">
        <f t="shared" si="15"/>
        <v>R122a, Base Carbone</v>
      </c>
      <c r="D138" s="1051">
        <f t="shared" si="16"/>
        <v>12</v>
      </c>
      <c r="E138" s="1051" t="str">
        <f>IF(COUNTIF(E$71:E137,F138)&gt;0,"",F138)</f>
        <v>R122a, Base Carbone</v>
      </c>
      <c r="F138" s="1051" t="str">
        <f t="shared" si="17"/>
        <v>R122a, Base Carbone</v>
      </c>
      <c r="G138" s="1051" t="str">
        <f t="shared" si="18"/>
        <v>R122a, Base Carbone; kgCO2e/kg</v>
      </c>
      <c r="I138" s="1100" t="s">
        <v>1941</v>
      </c>
      <c r="J138" s="1048" t="s">
        <v>1572</v>
      </c>
      <c r="K138" s="1192" t="s">
        <v>1567</v>
      </c>
      <c r="L138" s="1048"/>
      <c r="M138" s="1101">
        <v>0.3</v>
      </c>
      <c r="N138" s="1048"/>
      <c r="O138" s="1048">
        <v>258</v>
      </c>
      <c r="P138" s="1194">
        <v>0</v>
      </c>
      <c r="Q138" s="1194">
        <v>0</v>
      </c>
      <c r="R138" s="1194">
        <v>0</v>
      </c>
      <c r="S138" s="1194">
        <v>0</v>
      </c>
      <c r="T138" s="1048">
        <v>258</v>
      </c>
      <c r="U138" s="1195">
        <v>0</v>
      </c>
    </row>
    <row r="139" spans="2:21" hidden="1" outlineLevel="2">
      <c r="B139" s="1152">
        <v>13</v>
      </c>
      <c r="C139" s="1152" t="str">
        <f t="shared" si="15"/>
        <v>R123, Base Carbone</v>
      </c>
      <c r="D139" s="1051">
        <f t="shared" si="16"/>
        <v>13</v>
      </c>
      <c r="E139" s="1051" t="str">
        <f>IF(COUNTIF(E$71:E138,F139)&gt;0,"",F139)</f>
        <v>R123, Base Carbone</v>
      </c>
      <c r="F139" s="1051" t="str">
        <f t="shared" si="17"/>
        <v>R123, Base Carbone</v>
      </c>
      <c r="G139" s="1051" t="str">
        <f t="shared" si="18"/>
        <v>R123, Base Carbone; kgCO2e/kg</v>
      </c>
      <c r="I139" s="1100" t="s">
        <v>1942</v>
      </c>
      <c r="J139" s="1048" t="s">
        <v>1572</v>
      </c>
      <c r="K139" s="1192" t="s">
        <v>1567</v>
      </c>
      <c r="L139" s="1048"/>
      <c r="M139" s="1101">
        <v>0.3</v>
      </c>
      <c r="N139" s="1048"/>
      <c r="O139" s="1048">
        <v>79</v>
      </c>
      <c r="P139" s="1194">
        <v>0</v>
      </c>
      <c r="Q139" s="1194">
        <v>0</v>
      </c>
      <c r="R139" s="1194">
        <v>0</v>
      </c>
      <c r="S139" s="1194">
        <v>0</v>
      </c>
      <c r="T139" s="1048">
        <v>79</v>
      </c>
      <c r="U139" s="1195">
        <v>0</v>
      </c>
    </row>
    <row r="140" spans="2:21" hidden="1" outlineLevel="2">
      <c r="B140" s="1152">
        <v>14</v>
      </c>
      <c r="C140" s="1152" t="str">
        <f t="shared" si="15"/>
        <v>R123a, Base Carbone</v>
      </c>
      <c r="D140" s="1051">
        <f t="shared" si="16"/>
        <v>14</v>
      </c>
      <c r="E140" s="1051" t="str">
        <f>IF(COUNTIF(E$71:E139,F140)&gt;0,"",F140)</f>
        <v>R123a, Base Carbone</v>
      </c>
      <c r="F140" s="1051" t="str">
        <f t="shared" si="17"/>
        <v>R123a, Base Carbone</v>
      </c>
      <c r="G140" s="1051" t="str">
        <f t="shared" si="18"/>
        <v>R123a, Base Carbone; kgCO2e/kg</v>
      </c>
      <c r="I140" s="1100" t="s">
        <v>1943</v>
      </c>
      <c r="J140" s="1048" t="s">
        <v>1572</v>
      </c>
      <c r="K140" s="1192" t="s">
        <v>1567</v>
      </c>
      <c r="L140" s="1048"/>
      <c r="M140" s="1101">
        <v>0.3</v>
      </c>
      <c r="N140" s="1048"/>
      <c r="O140" s="1048">
        <v>370</v>
      </c>
      <c r="P140" s="1194">
        <v>0</v>
      </c>
      <c r="Q140" s="1194">
        <v>0</v>
      </c>
      <c r="R140" s="1194">
        <v>0</v>
      </c>
      <c r="S140" s="1194">
        <v>0</v>
      </c>
      <c r="T140" s="1048">
        <v>370</v>
      </c>
      <c r="U140" s="1195">
        <v>0</v>
      </c>
    </row>
    <row r="141" spans="2:21" hidden="1" outlineLevel="2">
      <c r="B141" s="1152">
        <v>15</v>
      </c>
      <c r="C141" s="1152" t="str">
        <f t="shared" si="15"/>
        <v>R124, Base Carbone</v>
      </c>
      <c r="D141" s="1051">
        <f t="shared" si="16"/>
        <v>15</v>
      </c>
      <c r="E141" s="1051" t="str">
        <f>IF(COUNTIF(E$71:E140,F141)&gt;0,"",F141)</f>
        <v>R124, Base Carbone</v>
      </c>
      <c r="F141" s="1051" t="str">
        <f t="shared" si="17"/>
        <v>R124, Base Carbone</v>
      </c>
      <c r="G141" s="1051" t="str">
        <f t="shared" si="18"/>
        <v>R124, Base Carbone; kgCO2e/kg</v>
      </c>
      <c r="I141" s="1100" t="s">
        <v>1944</v>
      </c>
      <c r="J141" s="1048" t="s">
        <v>1572</v>
      </c>
      <c r="K141" s="1192" t="s">
        <v>1567</v>
      </c>
      <c r="L141" s="1048"/>
      <c r="M141" s="1101">
        <v>0.3</v>
      </c>
      <c r="N141" s="1048"/>
      <c r="O141" s="1048">
        <v>527</v>
      </c>
      <c r="P141" s="1194">
        <v>0</v>
      </c>
      <c r="Q141" s="1194">
        <v>0</v>
      </c>
      <c r="R141" s="1194">
        <v>0</v>
      </c>
      <c r="S141" s="1194">
        <v>0</v>
      </c>
      <c r="T141" s="1048">
        <v>527</v>
      </c>
      <c r="U141" s="1195">
        <v>0</v>
      </c>
    </row>
    <row r="142" spans="2:21" hidden="1" outlineLevel="2">
      <c r="B142" s="1152">
        <v>16</v>
      </c>
      <c r="C142" s="1152" t="str">
        <f t="shared" si="15"/>
        <v>R13, Base Carbone</v>
      </c>
      <c r="D142" s="1051">
        <f t="shared" si="16"/>
        <v>16</v>
      </c>
      <c r="E142" s="1051" t="str">
        <f>IF(COUNTIF(E$71:E141,F142)&gt;0,"",F142)</f>
        <v>R13, Base Carbone</v>
      </c>
      <c r="F142" s="1051" t="str">
        <f t="shared" si="17"/>
        <v>R13, Base Carbone</v>
      </c>
      <c r="G142" s="1051" t="str">
        <f t="shared" si="18"/>
        <v>R13, Base Carbone; kgCO2e/kg</v>
      </c>
      <c r="I142" s="1100" t="s">
        <v>1946</v>
      </c>
      <c r="J142" s="1048" t="s">
        <v>1572</v>
      </c>
      <c r="K142" s="1192" t="s">
        <v>1567</v>
      </c>
      <c r="L142" s="1048"/>
      <c r="M142" s="1101">
        <v>0.3</v>
      </c>
      <c r="N142" s="1048"/>
      <c r="O142" s="1048">
        <v>13900</v>
      </c>
      <c r="P142" s="1194">
        <v>0</v>
      </c>
      <c r="Q142" s="1194">
        <v>0</v>
      </c>
      <c r="R142" s="1194">
        <v>0</v>
      </c>
      <c r="S142" s="1194">
        <v>0</v>
      </c>
      <c r="T142" s="1048">
        <v>13900</v>
      </c>
      <c r="U142" s="1195">
        <v>0</v>
      </c>
    </row>
    <row r="143" spans="2:21" hidden="1" outlineLevel="2">
      <c r="B143" s="1152">
        <v>17</v>
      </c>
      <c r="C143" s="1152" t="str">
        <f t="shared" si="15"/>
        <v>R132c, Base Carbone</v>
      </c>
      <c r="D143" s="1051">
        <f t="shared" si="16"/>
        <v>17</v>
      </c>
      <c r="E143" s="1051" t="str">
        <f>IF(COUNTIF(E$71:E142,F143)&gt;0,"",F143)</f>
        <v>R132c, Base Carbone</v>
      </c>
      <c r="F143" s="1051" t="str">
        <f t="shared" si="17"/>
        <v>R132c, Base Carbone</v>
      </c>
      <c r="G143" s="1051" t="str">
        <f t="shared" si="18"/>
        <v>R132c, Base Carbone; kgCO2e/kg</v>
      </c>
      <c r="I143" s="1100" t="s">
        <v>1947</v>
      </c>
      <c r="J143" s="1048" t="s">
        <v>1572</v>
      </c>
      <c r="K143" s="1192" t="s">
        <v>1567</v>
      </c>
      <c r="L143" s="1048"/>
      <c r="M143" s="1101">
        <v>0.3</v>
      </c>
      <c r="N143" s="1048"/>
      <c r="O143" s="1048">
        <v>338</v>
      </c>
      <c r="P143" s="1194">
        <v>0</v>
      </c>
      <c r="Q143" s="1194">
        <v>0</v>
      </c>
      <c r="R143" s="1194">
        <v>0</v>
      </c>
      <c r="S143" s="1194">
        <v>0</v>
      </c>
      <c r="T143" s="1048">
        <v>338</v>
      </c>
      <c r="U143" s="1195">
        <v>0</v>
      </c>
    </row>
    <row r="144" spans="2:21" hidden="1" outlineLevel="2">
      <c r="B144" s="1152">
        <v>18</v>
      </c>
      <c r="C144" s="1152" t="str">
        <f t="shared" si="15"/>
        <v>R141b, Base Carbone</v>
      </c>
      <c r="D144" s="1051">
        <f t="shared" si="16"/>
        <v>18</v>
      </c>
      <c r="E144" s="1051" t="str">
        <f>IF(COUNTIF(E$71:E143,F144)&gt;0,"",F144)</f>
        <v>R141b, Base Carbone</v>
      </c>
      <c r="F144" s="1051" t="str">
        <f t="shared" si="17"/>
        <v>R141b, Base Carbone</v>
      </c>
      <c r="G144" s="1051" t="str">
        <f t="shared" si="18"/>
        <v>R141b, Base Carbone; kgCO2e/kg</v>
      </c>
      <c r="I144" s="1100" t="s">
        <v>1950</v>
      </c>
      <c r="J144" s="1048" t="s">
        <v>1572</v>
      </c>
      <c r="K144" s="1192" t="s">
        <v>1567</v>
      </c>
      <c r="L144" s="1048"/>
      <c r="M144" s="1101">
        <v>0.3</v>
      </c>
      <c r="N144" s="1048"/>
      <c r="O144" s="1048">
        <v>782</v>
      </c>
      <c r="P144" s="1194">
        <v>0</v>
      </c>
      <c r="Q144" s="1194">
        <v>0</v>
      </c>
      <c r="R144" s="1194">
        <v>0</v>
      </c>
      <c r="S144" s="1194">
        <v>0</v>
      </c>
      <c r="T144" s="1048">
        <v>782</v>
      </c>
      <c r="U144" s="1195">
        <v>0</v>
      </c>
    </row>
    <row r="145" spans="2:21" hidden="1" outlineLevel="2">
      <c r="B145" s="1152">
        <v>19</v>
      </c>
      <c r="C145" s="1152" t="str">
        <f t="shared" si="15"/>
        <v>R142b, Base Carbone</v>
      </c>
      <c r="D145" s="1051">
        <f t="shared" si="16"/>
        <v>19</v>
      </c>
      <c r="E145" s="1051" t="str">
        <f>IF(COUNTIF(E$71:E144,F145)&gt;0,"",F145)</f>
        <v>R142b, Base Carbone</v>
      </c>
      <c r="F145" s="1051" t="str">
        <f t="shared" si="17"/>
        <v>R142b, Base Carbone</v>
      </c>
      <c r="G145" s="1051" t="str">
        <f t="shared" si="18"/>
        <v>R142b, Base Carbone; kgCO2e/kg</v>
      </c>
      <c r="I145" s="1100" t="s">
        <v>1951</v>
      </c>
      <c r="J145" s="1048" t="s">
        <v>1572</v>
      </c>
      <c r="K145" s="1192" t="s">
        <v>1567</v>
      </c>
      <c r="L145" s="1048"/>
      <c r="M145" s="1101">
        <v>0.3</v>
      </c>
      <c r="N145" s="1048"/>
      <c r="O145" s="1048">
        <v>1980</v>
      </c>
      <c r="P145" s="1194">
        <v>0</v>
      </c>
      <c r="Q145" s="1194">
        <v>0</v>
      </c>
      <c r="R145" s="1194">
        <v>0</v>
      </c>
      <c r="S145" s="1194">
        <v>0</v>
      </c>
      <c r="T145" s="1048">
        <v>1980</v>
      </c>
      <c r="U145" s="1195">
        <v>0</v>
      </c>
    </row>
    <row r="146" spans="2:21" hidden="1" outlineLevel="2">
      <c r="B146" s="1152">
        <v>20</v>
      </c>
      <c r="C146" s="1152" t="str">
        <f t="shared" si="15"/>
        <v>R21, Base Carbone</v>
      </c>
      <c r="D146" s="1051">
        <f t="shared" si="16"/>
        <v>20</v>
      </c>
      <c r="E146" s="1051" t="str">
        <f>IF(COUNTIF(E$71:E145,F146)&gt;0,"",F146)</f>
        <v>R21, Base Carbone</v>
      </c>
      <c r="F146" s="1051" t="str">
        <f t="shared" si="17"/>
        <v>R21, Base Carbone</v>
      </c>
      <c r="G146" s="1051" t="str">
        <f t="shared" si="18"/>
        <v>R21, Base Carbone; kgCO2e/kg</v>
      </c>
      <c r="I146" s="1100" t="s">
        <v>1954</v>
      </c>
      <c r="J146" s="1048" t="s">
        <v>1572</v>
      </c>
      <c r="K146" s="1192" t="s">
        <v>1567</v>
      </c>
      <c r="L146" s="1048"/>
      <c r="M146" s="1101">
        <v>0.3</v>
      </c>
      <c r="N146" s="1048"/>
      <c r="O146" s="1048">
        <v>148</v>
      </c>
      <c r="P146" s="1194">
        <v>0</v>
      </c>
      <c r="Q146" s="1194">
        <v>0</v>
      </c>
      <c r="R146" s="1194">
        <v>0</v>
      </c>
      <c r="S146" s="1194">
        <v>0</v>
      </c>
      <c r="T146" s="1048">
        <v>148</v>
      </c>
      <c r="U146" s="1195">
        <v>0</v>
      </c>
    </row>
    <row r="147" spans="2:21" hidden="1" outlineLevel="2">
      <c r="B147" s="1152">
        <v>21</v>
      </c>
      <c r="C147" s="1152" t="str">
        <f t="shared" si="15"/>
        <v>R22, Base Carbone</v>
      </c>
      <c r="D147" s="1051">
        <f t="shared" si="16"/>
        <v>21</v>
      </c>
      <c r="E147" s="1051" t="str">
        <f>IF(COUNTIF(E$71:E146,F147)&gt;0,"",F147)</f>
        <v>R22, Base Carbone</v>
      </c>
      <c r="F147" s="1051" t="str">
        <f t="shared" si="17"/>
        <v>R22, Base Carbone</v>
      </c>
      <c r="G147" s="1051" t="str">
        <f t="shared" si="18"/>
        <v>R22, Base Carbone; kgCO2e/kg</v>
      </c>
      <c r="I147" s="1100" t="s">
        <v>1956</v>
      </c>
      <c r="J147" s="1048" t="s">
        <v>1572</v>
      </c>
      <c r="K147" s="1192" t="s">
        <v>1567</v>
      </c>
      <c r="L147" s="1048"/>
      <c r="M147" s="1101">
        <v>0.3</v>
      </c>
      <c r="N147" s="1048"/>
      <c r="O147" s="1048">
        <v>1760</v>
      </c>
      <c r="P147" s="1194">
        <v>0</v>
      </c>
      <c r="Q147" s="1194">
        <v>0</v>
      </c>
      <c r="R147" s="1194">
        <v>0</v>
      </c>
      <c r="S147" s="1194">
        <v>0</v>
      </c>
      <c r="T147" s="1048">
        <v>1760</v>
      </c>
      <c r="U147" s="1195">
        <v>0</v>
      </c>
    </row>
    <row r="148" spans="2:21" hidden="1" outlineLevel="2">
      <c r="B148" s="1152">
        <v>22</v>
      </c>
      <c r="C148" s="1152" t="str">
        <f t="shared" si="15"/>
        <v>R225ca, Base Carbone</v>
      </c>
      <c r="D148" s="1051">
        <f t="shared" si="16"/>
        <v>22</v>
      </c>
      <c r="E148" s="1051" t="str">
        <f>IF(COUNTIF(E$71:E147,F148)&gt;0,"",F148)</f>
        <v>R225ca, Base Carbone</v>
      </c>
      <c r="F148" s="1051" t="str">
        <f t="shared" si="17"/>
        <v>R225ca, Base Carbone</v>
      </c>
      <c r="G148" s="1051" t="str">
        <f t="shared" si="18"/>
        <v>R225ca, Base Carbone; kgCO2e/kg</v>
      </c>
      <c r="I148" s="1100" t="s">
        <v>1957</v>
      </c>
      <c r="J148" s="1048" t="s">
        <v>1572</v>
      </c>
      <c r="K148" s="1192" t="s">
        <v>1567</v>
      </c>
      <c r="L148" s="1048"/>
      <c r="M148" s="1101">
        <v>0.3</v>
      </c>
      <c r="N148" s="1048"/>
      <c r="O148" s="1048">
        <v>127</v>
      </c>
      <c r="P148" s="1194">
        <v>0</v>
      </c>
      <c r="Q148" s="1194">
        <v>0</v>
      </c>
      <c r="R148" s="1194">
        <v>0</v>
      </c>
      <c r="S148" s="1194">
        <v>0</v>
      </c>
      <c r="T148" s="1048">
        <v>127</v>
      </c>
      <c r="U148" s="1195">
        <v>0</v>
      </c>
    </row>
    <row r="149" spans="2:21" hidden="1" outlineLevel="2">
      <c r="B149" s="1152">
        <v>23</v>
      </c>
      <c r="C149" s="1152" t="str">
        <f t="shared" si="15"/>
        <v>R225cb, Base Carbone</v>
      </c>
      <c r="D149" s="1051">
        <f t="shared" si="16"/>
        <v>23</v>
      </c>
      <c r="E149" s="1051" t="str">
        <f>IF(COUNTIF(E$71:E148,F149)&gt;0,"",F149)</f>
        <v>R225cb, Base Carbone</v>
      </c>
      <c r="F149" s="1051" t="str">
        <f t="shared" si="17"/>
        <v>R225cb, Base Carbone</v>
      </c>
      <c r="G149" s="1051" t="str">
        <f t="shared" si="18"/>
        <v>R225cb, Base Carbone; kgCO2e/kg</v>
      </c>
      <c r="I149" s="1100" t="s">
        <v>1958</v>
      </c>
      <c r="J149" s="1048" t="s">
        <v>1572</v>
      </c>
      <c r="K149" s="1192" t="s">
        <v>1567</v>
      </c>
      <c r="L149" s="1048"/>
      <c r="M149" s="1101">
        <v>0.3</v>
      </c>
      <c r="N149" s="1048"/>
      <c r="O149" s="1048">
        <v>525</v>
      </c>
      <c r="P149" s="1194">
        <v>0</v>
      </c>
      <c r="Q149" s="1194">
        <v>0</v>
      </c>
      <c r="R149" s="1194">
        <v>0</v>
      </c>
      <c r="S149" s="1194">
        <v>0</v>
      </c>
      <c r="T149" s="1048">
        <v>525</v>
      </c>
      <c r="U149" s="1195">
        <v>0</v>
      </c>
    </row>
    <row r="150" spans="2:21" hidden="1" outlineLevel="2">
      <c r="B150" s="1152">
        <v>24</v>
      </c>
      <c r="C150" s="1152" t="str">
        <f t="shared" si="15"/>
        <v>R290, Base Carbone</v>
      </c>
      <c r="D150" s="1051">
        <f t="shared" si="16"/>
        <v>24</v>
      </c>
      <c r="E150" s="1051" t="str">
        <f>IF(COUNTIF(E$71:E149,F150)&gt;0,"",F150)</f>
        <v>R290, Base Carbone</v>
      </c>
      <c r="F150" s="1051" t="str">
        <f t="shared" si="17"/>
        <v>R290, Base Carbone</v>
      </c>
      <c r="G150" s="1051" t="str">
        <f t="shared" si="18"/>
        <v>R290, Base Carbone; kgCO2e/kg</v>
      </c>
      <c r="I150" s="1034" t="s">
        <v>3782</v>
      </c>
      <c r="J150" s="1119" t="s">
        <v>1572</v>
      </c>
      <c r="K150" s="2510" t="s">
        <v>1567</v>
      </c>
      <c r="L150" s="1119"/>
      <c r="M150" s="1136">
        <v>0.3</v>
      </c>
      <c r="N150" s="1119"/>
      <c r="O150" s="1119">
        <v>3</v>
      </c>
      <c r="P150" s="2515">
        <v>0</v>
      </c>
      <c r="Q150" s="2515">
        <v>0</v>
      </c>
      <c r="R150" s="2515">
        <v>0</v>
      </c>
      <c r="S150" s="2515">
        <v>0</v>
      </c>
      <c r="T150" s="2017">
        <v>3</v>
      </c>
      <c r="U150" s="2516">
        <v>0</v>
      </c>
    </row>
    <row r="151" spans="2:21" hidden="1" outlineLevel="2">
      <c r="B151" s="1152">
        <v>25</v>
      </c>
      <c r="C151" s="1152" t="str">
        <f t="shared" si="15"/>
        <v>R401a, Base Carbone</v>
      </c>
      <c r="D151" s="1051">
        <f t="shared" si="16"/>
        <v>25</v>
      </c>
      <c r="E151" s="1051" t="str">
        <f>IF(COUNTIF(E$71:E150,F151)&gt;0,"",F151)</f>
        <v>R401a, Base Carbone</v>
      </c>
      <c r="F151" s="1051" t="str">
        <f t="shared" si="17"/>
        <v>R401a, Base Carbone</v>
      </c>
      <c r="G151" s="1051" t="str">
        <f t="shared" si="18"/>
        <v>R401a, Base Carbone; kgCO2e/kg</v>
      </c>
      <c r="I151" s="1100" t="s">
        <v>843</v>
      </c>
      <c r="J151" s="1048" t="s">
        <v>1572</v>
      </c>
      <c r="K151" s="1192" t="s">
        <v>1567</v>
      </c>
      <c r="L151" s="1048"/>
      <c r="M151" s="1101">
        <v>0.3</v>
      </c>
      <c r="N151" s="1048"/>
      <c r="O151" s="1048">
        <v>1130</v>
      </c>
      <c r="P151" s="1194">
        <v>0</v>
      </c>
      <c r="Q151" s="1194">
        <v>0</v>
      </c>
      <c r="R151" s="1194">
        <v>0</v>
      </c>
      <c r="S151" s="1194">
        <v>0</v>
      </c>
      <c r="T151" s="1048">
        <v>1130</v>
      </c>
      <c r="U151" s="1195">
        <v>0</v>
      </c>
    </row>
    <row r="152" spans="2:21" hidden="1" outlineLevel="2">
      <c r="B152" s="1152">
        <v>26</v>
      </c>
      <c r="C152" s="1152" t="str">
        <f t="shared" si="15"/>
        <v>R408a, Base Carbone</v>
      </c>
      <c r="D152" s="1051">
        <f t="shared" si="16"/>
        <v>26</v>
      </c>
      <c r="E152" s="1051" t="str">
        <f>IF(COUNTIF(E$71:E151,F152)&gt;0,"",F152)</f>
        <v>R408a, Base Carbone</v>
      </c>
      <c r="F152" s="1051" t="str">
        <f t="shared" si="17"/>
        <v>R408a, Base Carbone</v>
      </c>
      <c r="G152" s="1051" t="str">
        <f t="shared" si="18"/>
        <v>R408a, Base Carbone; kgCO2e/kg</v>
      </c>
      <c r="I152" s="1100" t="s">
        <v>844</v>
      </c>
      <c r="J152" s="1048" t="s">
        <v>1572</v>
      </c>
      <c r="K152" s="1192" t="s">
        <v>1567</v>
      </c>
      <c r="L152" s="1048"/>
      <c r="M152" s="1101">
        <v>0.3</v>
      </c>
      <c r="N152" s="1048"/>
      <c r="O152" s="1048">
        <v>3260</v>
      </c>
      <c r="P152" s="1194">
        <v>0</v>
      </c>
      <c r="Q152" s="1194">
        <v>0</v>
      </c>
      <c r="R152" s="1194">
        <v>0</v>
      </c>
      <c r="S152" s="1194">
        <v>0</v>
      </c>
      <c r="T152" s="1048">
        <v>3260</v>
      </c>
      <c r="U152" s="1195">
        <v>0</v>
      </c>
    </row>
    <row r="153" spans="2:21" hidden="1" outlineLevel="2">
      <c r="B153" s="1152">
        <v>27</v>
      </c>
      <c r="C153" s="1152" t="str">
        <f t="shared" si="15"/>
        <v>R502, Base Carbone</v>
      </c>
      <c r="D153" s="1051">
        <f t="shared" si="16"/>
        <v>27</v>
      </c>
      <c r="E153" s="1051" t="str">
        <f>IF(COUNTIF(E$71:E152,F153)&gt;0,"",F153)</f>
        <v>R502, Base Carbone</v>
      </c>
      <c r="F153" s="1051" t="str">
        <f t="shared" si="17"/>
        <v>R502, Base Carbone</v>
      </c>
      <c r="G153" s="1051" t="str">
        <f t="shared" si="18"/>
        <v>R502, Base Carbone; kgCO2e/kg</v>
      </c>
      <c r="I153" s="1100" t="s">
        <v>845</v>
      </c>
      <c r="J153" s="1048" t="s">
        <v>1572</v>
      </c>
      <c r="K153" s="1192" t="s">
        <v>1567</v>
      </c>
      <c r="L153" s="1048"/>
      <c r="M153" s="1101">
        <v>0.3</v>
      </c>
      <c r="N153" s="1048"/>
      <c r="O153" s="1048">
        <v>4790</v>
      </c>
      <c r="P153" s="1194">
        <v>0</v>
      </c>
      <c r="Q153" s="1194">
        <v>0</v>
      </c>
      <c r="R153" s="1194">
        <v>0</v>
      </c>
      <c r="S153" s="1194">
        <v>0</v>
      </c>
      <c r="T153" s="1048">
        <v>4790</v>
      </c>
      <c r="U153" s="1195">
        <v>0</v>
      </c>
    </row>
    <row r="154" spans="2:21" hidden="1" outlineLevel="2">
      <c r="B154" s="1152">
        <v>28</v>
      </c>
      <c r="C154" s="1152" t="str">
        <f t="shared" si="15"/>
        <v>Tétrachlorométhane, Base Carbone</v>
      </c>
      <c r="D154" s="1051">
        <f t="shared" si="16"/>
        <v>28</v>
      </c>
      <c r="E154" s="1051" t="str">
        <f>IF(COUNTIF(E$71:E153,F154)&gt;0,"",F154)</f>
        <v>Tétrachlorométhane, Base Carbone</v>
      </c>
      <c r="F154" s="1051" t="str">
        <f t="shared" si="17"/>
        <v>Tétrachlorométhane, Base Carbone</v>
      </c>
      <c r="G154" s="1051" t="str">
        <f t="shared" si="18"/>
        <v>Tétrachlorométhane, Base Carbone; kgCO2e/kg</v>
      </c>
      <c r="I154" s="1100" t="s">
        <v>846</v>
      </c>
      <c r="J154" s="1048" t="s">
        <v>1572</v>
      </c>
      <c r="K154" s="1192" t="s">
        <v>1567</v>
      </c>
      <c r="L154" s="1048"/>
      <c r="M154" s="1101">
        <v>0.3</v>
      </c>
      <c r="N154" s="1048"/>
      <c r="O154" s="1048">
        <v>1730</v>
      </c>
      <c r="P154" s="1194">
        <v>0</v>
      </c>
      <c r="Q154" s="1194">
        <v>0</v>
      </c>
      <c r="R154" s="1194">
        <v>0</v>
      </c>
      <c r="S154" s="1194">
        <v>0</v>
      </c>
      <c r="T154" s="1048">
        <v>1730</v>
      </c>
      <c r="U154" s="1195">
        <v>0</v>
      </c>
    </row>
    <row r="155" spans="2:21" hidden="1" outlineLevel="2">
      <c r="B155" s="1152">
        <v>29</v>
      </c>
      <c r="C155" s="1152" t="str">
        <f t="shared" si="15"/>
        <v>-</v>
      </c>
      <c r="D155" s="1051">
        <f t="shared" si="16"/>
        <v>28</v>
      </c>
      <c r="E155" s="1051" t="str">
        <f>IF(COUNTIF(E$71:E154,F155)&gt;0,"",F155)</f>
        <v/>
      </c>
      <c r="F155" s="1051" t="str">
        <f t="shared" si="17"/>
        <v/>
      </c>
      <c r="G155" s="1051" t="str">
        <f t="shared" si="18"/>
        <v/>
      </c>
      <c r="I155" s="1100"/>
      <c r="J155" s="1048"/>
      <c r="K155" s="1192"/>
      <c r="L155" s="1048"/>
      <c r="M155" s="1101"/>
      <c r="N155" s="1048"/>
      <c r="O155" s="1193"/>
      <c r="P155" s="1194"/>
      <c r="Q155" s="1194"/>
      <c r="R155" s="1194"/>
      <c r="S155" s="1194"/>
      <c r="T155" s="1193"/>
      <c r="U155" s="1195"/>
    </row>
    <row r="156" spans="2:21" hidden="1" outlineLevel="2">
      <c r="B156" s="1152">
        <v>30</v>
      </c>
      <c r="C156" s="1152" t="str">
        <f t="shared" si="15"/>
        <v>-</v>
      </c>
      <c r="D156" s="1051">
        <f t="shared" si="16"/>
        <v>28</v>
      </c>
      <c r="E156" s="1051" t="str">
        <f>IF(COUNTIF(E$71:E155,F156)&gt;0,"",F156)</f>
        <v/>
      </c>
      <c r="F156" s="1051" t="str">
        <f t="shared" si="17"/>
        <v/>
      </c>
      <c r="G156" s="1051" t="str">
        <f t="shared" si="18"/>
        <v/>
      </c>
      <c r="I156" s="1100"/>
      <c r="J156" s="1048"/>
      <c r="K156" s="1192"/>
      <c r="L156" s="1048"/>
      <c r="M156" s="1101"/>
      <c r="N156" s="1048"/>
      <c r="O156" s="1193"/>
      <c r="P156" s="1194"/>
      <c r="Q156" s="1194"/>
      <c r="R156" s="1194"/>
      <c r="S156" s="1194"/>
      <c r="T156" s="1193"/>
      <c r="U156" s="1195"/>
    </row>
    <row r="157" spans="2:21" hidden="1" outlineLevel="2">
      <c r="B157" s="1152">
        <v>31</v>
      </c>
      <c r="C157" s="1152" t="str">
        <f t="shared" si="15"/>
        <v>-</v>
      </c>
      <c r="D157" s="1051">
        <f t="shared" si="16"/>
        <v>28</v>
      </c>
      <c r="E157" s="1051" t="str">
        <f>IF(COUNTIF(E$71:E156,F157)&gt;0,"",F157)</f>
        <v/>
      </c>
      <c r="F157" s="1051" t="str">
        <f t="shared" si="17"/>
        <v/>
      </c>
      <c r="G157" s="1051" t="str">
        <f t="shared" si="18"/>
        <v/>
      </c>
      <c r="I157" s="1100"/>
      <c r="J157" s="1048"/>
      <c r="K157" s="1192"/>
      <c r="L157" s="1048"/>
      <c r="M157" s="1101"/>
      <c r="N157" s="1048"/>
      <c r="O157" s="1193"/>
      <c r="P157" s="1194"/>
      <c r="Q157" s="1194"/>
      <c r="R157" s="1194"/>
      <c r="S157" s="1194"/>
      <c r="T157" s="1193"/>
      <c r="U157" s="1195"/>
    </row>
    <row r="158" spans="2:21" hidden="1" outlineLevel="1">
      <c r="I158" s="1715"/>
      <c r="J158" s="1716"/>
      <c r="K158" s="1730"/>
      <c r="L158" s="1716"/>
      <c r="M158" s="1717"/>
      <c r="N158" s="1716"/>
      <c r="O158" s="1731"/>
      <c r="P158" s="1732"/>
      <c r="Q158" s="1732"/>
      <c r="R158" s="1732"/>
      <c r="S158" s="1732"/>
      <c r="T158" s="1731"/>
      <c r="U158" s="1733"/>
    </row>
    <row r="159" spans="2:21">
      <c r="T159" s="1148"/>
    </row>
    <row r="160" spans="2:21" ht="15.6" collapsed="1">
      <c r="I160" s="2916" t="s">
        <v>821</v>
      </c>
      <c r="J160" s="2917"/>
      <c r="K160" s="2917"/>
      <c r="L160" s="2917"/>
      <c r="M160" s="2917"/>
      <c r="N160" s="2917"/>
      <c r="O160" s="2917"/>
      <c r="P160" s="2917"/>
      <c r="Q160" s="2917"/>
      <c r="R160" s="2917"/>
      <c r="S160" s="2917"/>
      <c r="T160" s="2917"/>
      <c r="U160" s="2918"/>
    </row>
    <row r="161" spans="9:21" ht="13.2" hidden="1" outlineLevel="1">
      <c r="I161" s="91"/>
      <c r="J161" s="91"/>
      <c r="K161" s="91"/>
      <c r="L161" s="91"/>
      <c r="M161" s="91"/>
      <c r="N161" s="91"/>
      <c r="O161" s="91"/>
      <c r="P161" s="91"/>
      <c r="Q161" s="91"/>
      <c r="R161" s="1083"/>
      <c r="S161"/>
      <c r="T161"/>
      <c r="U161"/>
    </row>
    <row r="162" spans="9:21" ht="12.75" hidden="1" customHeight="1" outlineLevel="1">
      <c r="I162" s="1675" t="s">
        <v>822</v>
      </c>
      <c r="J162" s="3173" t="s">
        <v>823</v>
      </c>
      <c r="K162" s="3174"/>
      <c r="L162" s="3173" t="s">
        <v>824</v>
      </c>
      <c r="M162" s="3174"/>
      <c r="N162" s="3173" t="s">
        <v>825</v>
      </c>
      <c r="O162" s="3174"/>
      <c r="P162" s="3175" t="s">
        <v>826</v>
      </c>
      <c r="Q162" s="3176"/>
      <c r="R162" s="3176"/>
      <c r="S162" s="3176"/>
      <c r="T162" s="3176"/>
      <c r="U162" s="3176"/>
    </row>
    <row r="163" spans="9:21" ht="12.75" hidden="1" customHeight="1" outlineLevel="1">
      <c r="I163" s="998" t="s">
        <v>1567</v>
      </c>
      <c r="J163" s="3182" t="s">
        <v>827</v>
      </c>
      <c r="K163" s="3183"/>
      <c r="L163" s="3177" t="s">
        <v>5127</v>
      </c>
      <c r="M163" s="3178"/>
      <c r="N163" s="3182" t="s">
        <v>828</v>
      </c>
      <c r="O163" s="3183"/>
      <c r="P163" s="3186" t="s">
        <v>901</v>
      </c>
      <c r="Q163" s="3187"/>
      <c r="R163" s="3187"/>
      <c r="S163" s="3187"/>
      <c r="T163" s="3187"/>
      <c r="U163" s="3188"/>
    </row>
    <row r="164" spans="9:21" ht="12.75" hidden="1" customHeight="1" outlineLevel="1">
      <c r="I164" s="998" t="s">
        <v>1784</v>
      </c>
      <c r="J164" s="3184"/>
      <c r="K164" s="3185"/>
      <c r="L164" s="3177" t="s">
        <v>1224</v>
      </c>
      <c r="M164" s="3178"/>
      <c r="N164" s="3184"/>
      <c r="O164" s="3185"/>
      <c r="P164" s="3189"/>
      <c r="Q164" s="3190"/>
      <c r="R164" s="3190"/>
      <c r="S164" s="3190"/>
      <c r="T164" s="3190"/>
      <c r="U164" s="3191"/>
    </row>
    <row r="165" spans="9:21" ht="12.75" hidden="1" customHeight="1" outlineLevel="1">
      <c r="I165" s="998" t="s">
        <v>829</v>
      </c>
      <c r="J165" s="3177" t="s">
        <v>829</v>
      </c>
      <c r="K165" s="3178"/>
      <c r="L165" s="3177" t="s">
        <v>850</v>
      </c>
      <c r="M165" s="3178"/>
      <c r="N165" s="3177" t="s">
        <v>851</v>
      </c>
      <c r="O165" s="3178"/>
      <c r="P165" s="3179" t="s">
        <v>830</v>
      </c>
      <c r="Q165" s="3180"/>
      <c r="R165" s="3180"/>
      <c r="S165" s="3180"/>
      <c r="T165" s="3180"/>
      <c r="U165" s="3181"/>
    </row>
    <row r="166" spans="9:21" ht="12.75" hidden="1" customHeight="1" outlineLevel="1">
      <c r="I166" s="998" t="s">
        <v>832</v>
      </c>
      <c r="J166" s="3177" t="s">
        <v>832</v>
      </c>
      <c r="K166" s="3178"/>
      <c r="L166" s="3177" t="s">
        <v>833</v>
      </c>
      <c r="M166" s="3178"/>
      <c r="N166" s="3177" t="s">
        <v>1553</v>
      </c>
      <c r="O166" s="3178"/>
      <c r="P166" s="3179" t="s">
        <v>834</v>
      </c>
      <c r="Q166" s="3180"/>
      <c r="R166" s="3180"/>
      <c r="S166" s="3180"/>
      <c r="T166" s="3180"/>
      <c r="U166" s="3181"/>
    </row>
    <row r="167" spans="9:21" ht="12.75" hidden="1" customHeight="1" outlineLevel="1">
      <c r="I167" s="998"/>
      <c r="J167" s="3177"/>
      <c r="K167" s="3178"/>
      <c r="L167" s="3177"/>
      <c r="M167" s="3178"/>
      <c r="N167" s="3177"/>
      <c r="O167" s="3178"/>
      <c r="P167" s="3179"/>
      <c r="Q167" s="3180"/>
      <c r="R167" s="3180"/>
      <c r="S167" s="3180"/>
      <c r="T167" s="3180"/>
      <c r="U167" s="3181"/>
    </row>
    <row r="168" spans="9:21" ht="12.75" hidden="1" customHeight="1" outlineLevel="1">
      <c r="I168" s="998"/>
      <c r="J168" s="3177"/>
      <c r="K168" s="3178"/>
      <c r="L168" s="3177"/>
      <c r="M168" s="3178"/>
      <c r="N168" s="3177"/>
      <c r="O168" s="3178"/>
      <c r="P168" s="3179"/>
      <c r="Q168" s="3180"/>
      <c r="R168" s="3180"/>
      <c r="S168" s="3180"/>
      <c r="T168" s="3180"/>
      <c r="U168" s="3181"/>
    </row>
    <row r="169" spans="9:21" ht="12.75" hidden="1" customHeight="1" outlineLevel="1">
      <c r="I169" s="998"/>
      <c r="J169" s="3177"/>
      <c r="K169" s="3178"/>
      <c r="L169" s="3177"/>
      <c r="M169" s="3178"/>
      <c r="N169" s="3177"/>
      <c r="O169" s="3178"/>
      <c r="P169" s="3179"/>
      <c r="Q169" s="3180"/>
      <c r="R169" s="3180"/>
      <c r="S169" s="3180"/>
      <c r="T169" s="3180"/>
      <c r="U169" s="3181"/>
    </row>
    <row r="170" spans="9:21" ht="12.75" hidden="1" customHeight="1" outlineLevel="1">
      <c r="I170" s="998"/>
      <c r="J170" s="3177"/>
      <c r="K170" s="3178"/>
      <c r="L170" s="3177"/>
      <c r="M170" s="3178"/>
      <c r="N170" s="3177"/>
      <c r="O170" s="3178"/>
      <c r="P170" s="3179"/>
      <c r="Q170" s="3180"/>
      <c r="R170" s="3180"/>
      <c r="S170" s="3180"/>
      <c r="T170" s="3180"/>
      <c r="U170" s="3181"/>
    </row>
    <row r="171" spans="9:21">
      <c r="K171"/>
      <c r="M171"/>
      <c r="O171"/>
      <c r="P171"/>
      <c r="Q171"/>
      <c r="R171" s="1083"/>
      <c r="S171"/>
      <c r="T171"/>
      <c r="U171"/>
    </row>
    <row r="172" spans="9:21">
      <c r="T172" s="1148"/>
    </row>
    <row r="173" spans="9:21">
      <c r="S173" s="1148"/>
    </row>
    <row r="174" spans="9:21">
      <c r="T174" s="1148"/>
    </row>
    <row r="175" spans="9:21">
      <c r="T175" s="1148"/>
    </row>
    <row r="176" spans="9:21">
      <c r="T176" s="1148"/>
    </row>
    <row r="177" spans="20:20">
      <c r="T177" s="1148"/>
    </row>
    <row r="178" spans="20:20">
      <c r="T178" s="1148"/>
    </row>
    <row r="179" spans="20:20">
      <c r="T179" s="1148"/>
    </row>
    <row r="180" spans="20:20">
      <c r="T180" s="1148"/>
    </row>
    <row r="181" spans="20:20">
      <c r="T181" s="1148"/>
    </row>
    <row r="182" spans="20:20" hidden="1">
      <c r="T182" s="1148"/>
    </row>
    <row r="183" spans="20:20" hidden="1">
      <c r="T183" s="1148"/>
    </row>
    <row r="184" spans="20:20" hidden="1">
      <c r="T184" s="1148"/>
    </row>
    <row r="185" spans="20:20" hidden="1">
      <c r="T185" s="1148"/>
    </row>
    <row r="186" spans="20:20" hidden="1">
      <c r="T186" s="1148"/>
    </row>
    <row r="187" spans="20:20" hidden="1">
      <c r="T187" s="1148"/>
    </row>
    <row r="188" spans="20:20" hidden="1">
      <c r="T188" s="1148"/>
    </row>
    <row r="189" spans="20:20" hidden="1">
      <c r="T189" s="1148"/>
    </row>
    <row r="190" spans="20:20" hidden="1">
      <c r="T190" s="1148"/>
    </row>
    <row r="191" spans="20:20" hidden="1">
      <c r="T191" s="1148"/>
    </row>
    <row r="192" spans="20:20" hidden="1">
      <c r="T192" s="1148"/>
    </row>
    <row r="193" spans="20:20" hidden="1">
      <c r="T193" s="1148"/>
    </row>
    <row r="194" spans="20:20" hidden="1">
      <c r="T194" s="1148"/>
    </row>
    <row r="195" spans="20:20" hidden="1">
      <c r="T195" s="1148"/>
    </row>
    <row r="196" spans="20:20" hidden="1">
      <c r="T196" s="1148"/>
    </row>
    <row r="197" spans="20:20" hidden="1">
      <c r="T197" s="1148"/>
    </row>
    <row r="198" spans="20:20" hidden="1">
      <c r="T198" s="1148"/>
    </row>
    <row r="199" spans="20:20" hidden="1">
      <c r="T199" s="1148"/>
    </row>
    <row r="200" spans="20:20" hidden="1">
      <c r="T200" s="1148"/>
    </row>
    <row r="201" spans="20:20" hidden="1">
      <c r="T201" s="1148"/>
    </row>
    <row r="202" spans="20:20" hidden="1">
      <c r="T202" s="1148"/>
    </row>
    <row r="203" spans="20:20" hidden="1">
      <c r="T203" s="1148"/>
    </row>
    <row r="204" spans="20:20" hidden="1">
      <c r="T204" s="1148"/>
    </row>
    <row r="205" spans="20:20" hidden="1">
      <c r="T205" s="1148"/>
    </row>
    <row r="206" spans="20:20" hidden="1">
      <c r="T206" s="1148"/>
    </row>
    <row r="207" spans="20:20" hidden="1">
      <c r="T207" s="1148"/>
    </row>
    <row r="208" spans="20:20" hidden="1">
      <c r="T208" s="1148"/>
    </row>
    <row r="209" spans="20:20" hidden="1">
      <c r="T209" s="1148"/>
    </row>
    <row r="210" spans="20:20" hidden="1">
      <c r="T210" s="1148"/>
    </row>
    <row r="211" spans="20:20" hidden="1">
      <c r="T211" s="1148"/>
    </row>
    <row r="212" spans="20:20" hidden="1">
      <c r="T212" s="1148"/>
    </row>
    <row r="213" spans="20:20" hidden="1">
      <c r="T213" s="1148"/>
    </row>
    <row r="214" spans="20:20" hidden="1">
      <c r="T214" s="1148"/>
    </row>
    <row r="215" spans="20:20" hidden="1">
      <c r="T215" s="1148"/>
    </row>
    <row r="216" spans="20:20" hidden="1">
      <c r="T216" s="1148"/>
    </row>
    <row r="217" spans="20:20" hidden="1">
      <c r="T217" s="1148"/>
    </row>
    <row r="218" spans="20:20" hidden="1">
      <c r="T218" s="1148"/>
    </row>
    <row r="219" spans="20:20" hidden="1">
      <c r="T219" s="1148"/>
    </row>
    <row r="220" spans="20:20" hidden="1">
      <c r="T220" s="1148"/>
    </row>
    <row r="221" spans="20:20" hidden="1">
      <c r="T221" s="1148"/>
    </row>
  </sheetData>
  <mergeCells count="51">
    <mergeCell ref="J169:K169"/>
    <mergeCell ref="L169:M169"/>
    <mergeCell ref="N169:O169"/>
    <mergeCell ref="P169:U169"/>
    <mergeCell ref="J170:K170"/>
    <mergeCell ref="L170:M170"/>
    <mergeCell ref="N170:O170"/>
    <mergeCell ref="P170:U170"/>
    <mergeCell ref="J167:K167"/>
    <mergeCell ref="L167:M167"/>
    <mergeCell ref="N167:O167"/>
    <mergeCell ref="P167:U167"/>
    <mergeCell ref="J168:K168"/>
    <mergeCell ref="L168:M168"/>
    <mergeCell ref="N168:O168"/>
    <mergeCell ref="P168:U168"/>
    <mergeCell ref="J165:K165"/>
    <mergeCell ref="L165:M165"/>
    <mergeCell ref="N165:O165"/>
    <mergeCell ref="P165:U165"/>
    <mergeCell ref="J166:K166"/>
    <mergeCell ref="L166:M166"/>
    <mergeCell ref="N166:O166"/>
    <mergeCell ref="P166:U166"/>
    <mergeCell ref="J162:K162"/>
    <mergeCell ref="L162:M162"/>
    <mergeCell ref="N162:O162"/>
    <mergeCell ref="P162:U162"/>
    <mergeCell ref="J163:K164"/>
    <mergeCell ref="L163:M163"/>
    <mergeCell ref="N163:O164"/>
    <mergeCell ref="P163:U164"/>
    <mergeCell ref="L164:M164"/>
    <mergeCell ref="I160:U160"/>
    <mergeCell ref="B126:C126"/>
    <mergeCell ref="I7:U7"/>
    <mergeCell ref="I9:U9"/>
    <mergeCell ref="B11:C11"/>
    <mergeCell ref="D11:E11"/>
    <mergeCell ref="B12:C12"/>
    <mergeCell ref="B88:C88"/>
    <mergeCell ref="D88:E88"/>
    <mergeCell ref="B94:C94"/>
    <mergeCell ref="B71:C71"/>
    <mergeCell ref="I84:J84"/>
    <mergeCell ref="I86:U86"/>
    <mergeCell ref="B5:C5"/>
    <mergeCell ref="B2:C2"/>
    <mergeCell ref="B3:C3"/>
    <mergeCell ref="B4:C4"/>
    <mergeCell ref="J2:U5"/>
  </mergeCells>
  <hyperlinks>
    <hyperlink ref="P165" r:id="rId1" xr:uid="{00000000-0004-0000-1700-000000000000}"/>
    <hyperlink ref="P166" r:id="rId2" xr:uid="{00000000-0004-0000-1700-000001000000}"/>
    <hyperlink ref="P163" r:id="rId3" xr:uid="{00000000-0004-0000-1700-000002000000}"/>
  </hyperlinks>
  <pageMargins left="0.7" right="0.7" top="0.75" bottom="0.75" header="0.3" footer="0.3"/>
  <pageSetup paperSize="9" orientation="portrait"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outlinePr summaryBelow="0" summaryRight="0"/>
  </sheetPr>
  <dimension ref="A1:W2183"/>
  <sheetViews>
    <sheetView showGridLines="0" zoomScale="90" zoomScaleNormal="90" workbookViewId="0"/>
  </sheetViews>
  <sheetFormatPr baseColWidth="10" defaultColWidth="0" defaultRowHeight="11.4" zeroHeight="1" outlineLevelRow="3" outlineLevelCol="1"/>
  <cols>
    <col min="1" max="1" width="1.75" customWidth="1"/>
    <col min="2" max="2" width="6.125" customWidth="1"/>
    <col min="3" max="3" width="32.125" customWidth="1" collapsed="1"/>
    <col min="4" max="4" width="3.375" hidden="1" customWidth="1" outlineLevel="1"/>
    <col min="5" max="6" width="11.375" hidden="1" customWidth="1" outlineLevel="1"/>
    <col min="7" max="7" width="134.375" hidden="1" customWidth="1" outlineLevel="1"/>
    <col min="8" max="8" width="1.75" customWidth="1"/>
    <col min="9" max="9" width="47.375" customWidth="1"/>
    <col min="10" max="10" width="21.75" customWidth="1"/>
    <col min="11" max="11" width="11.375" customWidth="1"/>
    <col min="12" max="12" width="17.375" bestFit="1" customWidth="1"/>
    <col min="13" max="13" width="11.375" customWidth="1"/>
    <col min="14" max="14" width="39.25" customWidth="1"/>
    <col min="15" max="21" width="11.375" customWidth="1"/>
    <col min="22" max="22" width="2.875" customWidth="1"/>
    <col min="23" max="23" width="0" hidden="1" customWidth="1"/>
    <col min="24" max="16384" width="11.375" hidden="1"/>
  </cols>
  <sheetData>
    <row r="1" spans="2:21">
      <c r="K1" s="1673"/>
      <c r="M1" s="1144"/>
      <c r="O1" s="1148"/>
      <c r="P1" s="1146"/>
      <c r="Q1" s="1146"/>
      <c r="R1" s="1146"/>
      <c r="S1" s="1146"/>
      <c r="T1" s="1146"/>
      <c r="U1" s="1146"/>
    </row>
    <row r="2" spans="2:21" ht="14.25" customHeight="1">
      <c r="B2" s="2761" t="s">
        <v>893</v>
      </c>
      <c r="C2" s="2762"/>
      <c r="J2" s="3158" t="s">
        <v>2474</v>
      </c>
      <c r="K2" s="3159"/>
      <c r="L2" s="3159"/>
      <c r="M2" s="3159"/>
      <c r="N2" s="3159"/>
      <c r="O2" s="3159"/>
      <c r="P2" s="3159"/>
      <c r="Q2" s="3159"/>
      <c r="R2" s="3159"/>
      <c r="S2" s="3159"/>
      <c r="T2" s="3159"/>
      <c r="U2" s="3160"/>
    </row>
    <row r="3" spans="2:21" ht="13.8">
      <c r="B3" s="2761" t="s">
        <v>899</v>
      </c>
      <c r="C3" s="2762"/>
      <c r="J3" s="3161"/>
      <c r="K3" s="3162"/>
      <c r="L3" s="3162"/>
      <c r="M3" s="3162"/>
      <c r="N3" s="3162"/>
      <c r="O3" s="3162"/>
      <c r="P3" s="3162"/>
      <c r="Q3" s="3162"/>
      <c r="R3" s="3162"/>
      <c r="S3" s="3162"/>
      <c r="T3" s="3162"/>
      <c r="U3" s="3163"/>
    </row>
    <row r="4" spans="2:21" ht="13.8">
      <c r="B4" s="2761" t="s">
        <v>898</v>
      </c>
      <c r="C4" s="2762"/>
      <c r="J4" s="3161"/>
      <c r="K4" s="3162"/>
      <c r="L4" s="3162"/>
      <c r="M4" s="3162"/>
      <c r="N4" s="3162"/>
      <c r="O4" s="3162"/>
      <c r="P4" s="3162"/>
      <c r="Q4" s="3162"/>
      <c r="R4" s="3162"/>
      <c r="S4" s="3162"/>
      <c r="T4" s="3162"/>
      <c r="U4" s="3163"/>
    </row>
    <row r="5" spans="2:21">
      <c r="J5" s="3164"/>
      <c r="K5" s="3165"/>
      <c r="L5" s="3165"/>
      <c r="M5" s="3165"/>
      <c r="N5" s="3165"/>
      <c r="O5" s="3165"/>
      <c r="P5" s="3165"/>
      <c r="Q5" s="3165"/>
      <c r="R5" s="3165"/>
      <c r="S5" s="3165"/>
      <c r="T5" s="3165"/>
      <c r="U5" s="3166"/>
    </row>
    <row r="6" spans="2:21">
      <c r="R6" s="1083"/>
    </row>
    <row r="7" spans="2:21" ht="15.6">
      <c r="I7" s="3170" t="s">
        <v>1982</v>
      </c>
      <c r="J7" s="3171"/>
      <c r="K7" s="3171"/>
      <c r="L7" s="3171"/>
      <c r="M7" s="3171"/>
      <c r="N7" s="3171"/>
      <c r="O7" s="3171"/>
      <c r="P7" s="3171"/>
      <c r="Q7" s="3171"/>
      <c r="R7" s="3171"/>
      <c r="S7" s="3171"/>
      <c r="T7" s="3171"/>
      <c r="U7" s="3172"/>
    </row>
    <row r="8" spans="2:21">
      <c r="R8" s="1083"/>
    </row>
    <row r="9" spans="2:21" ht="15.6" collapsed="1">
      <c r="I9" s="3167" t="s">
        <v>3</v>
      </c>
      <c r="J9" s="3168"/>
      <c r="K9" s="3168"/>
      <c r="L9" s="3168"/>
      <c r="M9" s="3168"/>
      <c r="N9" s="3168"/>
      <c r="O9" s="3168"/>
      <c r="P9" s="3168"/>
      <c r="Q9" s="3168"/>
      <c r="R9" s="3168"/>
      <c r="S9" s="3168"/>
      <c r="T9" s="3168"/>
      <c r="U9" s="3169"/>
    </row>
    <row r="10" spans="2:21" hidden="1" outlineLevel="1">
      <c r="R10" s="1083"/>
    </row>
    <row r="11" spans="2:21" ht="12.75" hidden="1" customHeight="1" outlineLevel="1">
      <c r="B11" s="3154" t="s">
        <v>1617</v>
      </c>
      <c r="C11" s="3154"/>
      <c r="D11" s="3157" t="s">
        <v>1619</v>
      </c>
      <c r="E11" s="3157"/>
      <c r="F11" s="1151" t="s">
        <v>1616</v>
      </c>
      <c r="G11" s="1053" t="s">
        <v>1618</v>
      </c>
      <c r="H11" s="1044"/>
      <c r="I11" s="1038" t="s">
        <v>1557</v>
      </c>
      <c r="J11" s="1040" t="s">
        <v>1266</v>
      </c>
      <c r="K11" s="1043" t="s">
        <v>224</v>
      </c>
      <c r="L11" s="1043" t="s">
        <v>1558</v>
      </c>
      <c r="M11" s="1039" t="s">
        <v>366</v>
      </c>
      <c r="N11" s="1040" t="s">
        <v>1559</v>
      </c>
      <c r="O11" s="1041" t="s">
        <v>1560</v>
      </c>
      <c r="P11" s="1043" t="s">
        <v>211</v>
      </c>
      <c r="Q11" s="1043" t="s">
        <v>1561</v>
      </c>
      <c r="R11" s="1041" t="s">
        <v>1562</v>
      </c>
      <c r="S11" s="1041" t="s">
        <v>267</v>
      </c>
      <c r="T11" s="1043" t="s">
        <v>1563</v>
      </c>
      <c r="U11" s="1042" t="s">
        <v>1564</v>
      </c>
    </row>
    <row r="12" spans="2:21" s="1045" customFormat="1" ht="12.75" hidden="1" customHeight="1" outlineLevel="1">
      <c r="B12" s="3156" t="s">
        <v>3</v>
      </c>
      <c r="C12" s="3156"/>
      <c r="D12" s="1051">
        <v>0</v>
      </c>
      <c r="E12" s="1051"/>
      <c r="F12" s="1051"/>
      <c r="G12" s="1054"/>
      <c r="H12" s="1046"/>
      <c r="I12" s="1688"/>
      <c r="J12" s="1689"/>
      <c r="K12" s="1690"/>
      <c r="L12" s="1690"/>
      <c r="M12" s="1691"/>
      <c r="N12" s="1689"/>
      <c r="O12" s="1692"/>
      <c r="P12" s="1690"/>
      <c r="Q12" s="1690"/>
      <c r="R12" s="1692"/>
      <c r="S12" s="1692"/>
      <c r="T12" s="1690"/>
      <c r="U12" s="1693"/>
    </row>
    <row r="13" spans="2:21" hidden="1" outlineLevel="1">
      <c r="B13" s="1050">
        <v>1</v>
      </c>
      <c r="C13" s="1050" t="str">
        <f>IF(ISNA(VLOOKUP(B13,$D$13:$E$29,2,FALSE)),"-",VLOOKUP(B13,$D$13:$E$29,2,FALSE))</f>
        <v>Acier ou fer blanc, France continentale, Base Carbone</v>
      </c>
      <c r="D13" s="1051">
        <f>D12+IF(LEN(E13)&gt;0,1,0)</f>
        <v>1</v>
      </c>
      <c r="E13" s="1051" t="str">
        <f>IF(COUNTIF(E$11:E12,F13)&gt;0,"",F13)</f>
        <v>Acier ou fer blanc, France continentale, Base Carbone</v>
      </c>
      <c r="F13" s="1051" t="str">
        <f>IF(I13&lt;&gt;"",I13&amp;IF(L13&lt;&gt;"",", "&amp;L13,"")&amp;IF(K13&lt;&gt;"",", "&amp;K13,""),"")</f>
        <v>Acier ou fer blanc, France continentale, Base Carbone</v>
      </c>
      <c r="G13" s="1055" t="str">
        <f>IF(F13&lt;&gt;"",F13&amp;IF(J13&lt;&gt;"","; "&amp;J13&amp;IF(N13&lt;&gt;""," "&amp;N13,),""),"")</f>
        <v>Acier ou fer blanc, France continentale, Base Carbone; kgCO2e/tonne neuf</v>
      </c>
      <c r="I13" s="1031" t="s">
        <v>1202</v>
      </c>
      <c r="J13" s="1032" t="s">
        <v>1585</v>
      </c>
      <c r="K13" s="1119" t="s">
        <v>1567</v>
      </c>
      <c r="L13" s="1032" t="s">
        <v>1571</v>
      </c>
      <c r="M13" s="1033">
        <v>0.1</v>
      </c>
      <c r="N13" s="1048" t="s">
        <v>657</v>
      </c>
      <c r="O13" s="1036">
        <v>2210</v>
      </c>
      <c r="P13" s="1036"/>
      <c r="Q13" s="1036"/>
      <c r="R13" s="1036"/>
      <c r="S13" s="1036"/>
      <c r="T13" s="1036"/>
      <c r="U13" s="1037"/>
    </row>
    <row r="14" spans="2:21" hidden="1" outlineLevel="1">
      <c r="B14" s="1050">
        <v>2</v>
      </c>
      <c r="C14" s="1050" t="str">
        <f t="shared" ref="C14:C29" si="0">IF(ISNA(VLOOKUP(B14,$D$13:$E$29,2,FALSE)),"-",VLOOKUP(B14,$D$13:$E$29,2,FALSE))</f>
        <v>Aluminium, France continentale, Base Carbone</v>
      </c>
      <c r="D14" s="1051">
        <f t="shared" ref="D14:D29" si="1">D13+IF(LEN(E14)&gt;0,1,0)</f>
        <v>1</v>
      </c>
      <c r="E14" s="1051" t="str">
        <f>IF(COUNTIF(E$11:E13,F14)&gt;0,"",F14)</f>
        <v/>
      </c>
      <c r="F14" s="1051" t="str">
        <f t="shared" ref="F14:F29" si="2">IF(I14&lt;&gt;"",I14&amp;IF(L14&lt;&gt;"",", "&amp;L14,"")&amp;IF(K14&lt;&gt;"",", "&amp;K14,""),"")</f>
        <v>Acier ou fer blanc, France continentale, Base Carbone</v>
      </c>
      <c r="G14" s="1055" t="str">
        <f t="shared" ref="G14:G29" si="3">IF(F14&lt;&gt;"",F14&amp;IF(J14&lt;&gt;"","; "&amp;J14&amp;IF(N14&lt;&gt;""," "&amp;N14,),""),"")</f>
        <v>Acier ou fer blanc, France continentale, Base Carbone; kgCO2e/tonne recyclé</v>
      </c>
      <c r="I14" s="1100" t="s">
        <v>1202</v>
      </c>
      <c r="J14" s="1048" t="s">
        <v>1585</v>
      </c>
      <c r="K14" s="1119" t="s">
        <v>1567</v>
      </c>
      <c r="L14" s="1048" t="s">
        <v>1571</v>
      </c>
      <c r="M14" s="1033">
        <v>0.1</v>
      </c>
      <c r="N14" s="1048" t="s">
        <v>120</v>
      </c>
      <c r="O14" s="1036">
        <v>938</v>
      </c>
      <c r="P14" s="1048"/>
      <c r="Q14" s="1048"/>
      <c r="R14" s="1048"/>
      <c r="S14" s="1048"/>
      <c r="T14" s="1048"/>
      <c r="U14" s="1102"/>
    </row>
    <row r="15" spans="2:21" hidden="1" outlineLevel="1">
      <c r="B15" s="1050">
        <v>3</v>
      </c>
      <c r="C15" s="1050" t="str">
        <f t="shared" si="0"/>
        <v>Cuivre, France continentale, Base Carbone</v>
      </c>
      <c r="D15" s="1051">
        <f t="shared" si="1"/>
        <v>2</v>
      </c>
      <c r="E15" s="1051" t="str">
        <f>IF(COUNTIF(E$11:E14,F15)&gt;0,"",F15)</f>
        <v>Aluminium, France continentale, Base Carbone</v>
      </c>
      <c r="F15" s="1051" t="str">
        <f t="shared" si="2"/>
        <v>Aluminium, France continentale, Base Carbone</v>
      </c>
      <c r="G15" s="1055" t="str">
        <f t="shared" si="3"/>
        <v>Aluminium, France continentale, Base Carbone; kgCO2e/tonne neuf</v>
      </c>
      <c r="I15" s="1100" t="s">
        <v>1203</v>
      </c>
      <c r="J15" s="1048" t="s">
        <v>1585</v>
      </c>
      <c r="K15" s="1119" t="s">
        <v>1567</v>
      </c>
      <c r="L15" s="1048" t="s">
        <v>1571</v>
      </c>
      <c r="M15" s="1033">
        <v>0.3</v>
      </c>
      <c r="N15" s="1048" t="s">
        <v>657</v>
      </c>
      <c r="O15" s="1036">
        <v>7800</v>
      </c>
      <c r="P15" s="1048"/>
      <c r="Q15" s="1048"/>
      <c r="R15" s="1048"/>
      <c r="S15" s="1048"/>
      <c r="T15" s="1048"/>
      <c r="U15" s="1102"/>
    </row>
    <row r="16" spans="2:21" hidden="1" outlineLevel="1">
      <c r="B16" s="1050">
        <v>4</v>
      </c>
      <c r="C16" s="1050" t="str">
        <f t="shared" si="0"/>
        <v>Nickel, France continentale, Base Carbone</v>
      </c>
      <c r="D16" s="1051">
        <f t="shared" si="1"/>
        <v>2</v>
      </c>
      <c r="E16" s="1051" t="str">
        <f>IF(COUNTIF(E$11:E15,F16)&gt;0,"",F16)</f>
        <v/>
      </c>
      <c r="F16" s="1051" t="str">
        <f t="shared" si="2"/>
        <v>Aluminium, France continentale, Base Carbone</v>
      </c>
      <c r="G16" s="1055" t="str">
        <f t="shared" si="3"/>
        <v>Aluminium, France continentale, Base Carbone; kgCO2e/tonne recyclé</v>
      </c>
      <c r="I16" s="1100" t="s">
        <v>1203</v>
      </c>
      <c r="J16" s="1048" t="s">
        <v>1585</v>
      </c>
      <c r="K16" s="1119" t="s">
        <v>1567</v>
      </c>
      <c r="L16" s="1048" t="s">
        <v>1571</v>
      </c>
      <c r="M16" s="1033">
        <v>0.3</v>
      </c>
      <c r="N16" s="1048" t="s">
        <v>120</v>
      </c>
      <c r="O16" s="1036">
        <v>562</v>
      </c>
      <c r="P16" s="1048"/>
      <c r="Q16" s="1048"/>
      <c r="R16" s="1048"/>
      <c r="S16" s="1048"/>
      <c r="T16" s="1048"/>
      <c r="U16" s="1102"/>
    </row>
    <row r="17" spans="2:21" hidden="1" outlineLevel="1">
      <c r="B17" s="1050">
        <v>5</v>
      </c>
      <c r="C17" s="1050" t="str">
        <f t="shared" si="0"/>
        <v>Plomb, France continentale, Base Carbone</v>
      </c>
      <c r="D17" s="1051">
        <f t="shared" si="1"/>
        <v>3</v>
      </c>
      <c r="E17" s="1051" t="str">
        <f>IF(COUNTIF(E$11:E16,F17)&gt;0,"",F17)</f>
        <v>Cuivre, France continentale, Base Carbone</v>
      </c>
      <c r="F17" s="1051" t="str">
        <f t="shared" si="2"/>
        <v>Cuivre, France continentale, Base Carbone</v>
      </c>
      <c r="G17" s="1055" t="str">
        <f t="shared" si="3"/>
        <v>Cuivre, France continentale, Base Carbone; kgCO2e/tonne neuf</v>
      </c>
      <c r="I17" s="1100" t="s">
        <v>1983</v>
      </c>
      <c r="J17" s="1048" t="s">
        <v>1585</v>
      </c>
      <c r="K17" s="1119" t="s">
        <v>1567</v>
      </c>
      <c r="L17" s="1048" t="s">
        <v>1571</v>
      </c>
      <c r="M17" s="1033">
        <v>0.5</v>
      </c>
      <c r="N17" s="1048" t="s">
        <v>657</v>
      </c>
      <c r="O17" s="1036">
        <v>1450</v>
      </c>
      <c r="P17" s="1048"/>
      <c r="Q17" s="1048"/>
      <c r="R17" s="1048"/>
      <c r="S17" s="1048"/>
      <c r="T17" s="1048"/>
      <c r="U17" s="1102"/>
    </row>
    <row r="18" spans="2:21" hidden="1" outlineLevel="1">
      <c r="B18" s="1050">
        <v>6</v>
      </c>
      <c r="C18" s="1050" t="str">
        <f t="shared" si="0"/>
        <v>Zinc, France continentale, Base Carbone</v>
      </c>
      <c r="D18" s="1051">
        <f t="shared" si="1"/>
        <v>3</v>
      </c>
      <c r="E18" s="1051" t="str">
        <f>IF(COUNTIF(E$11:E17,F18)&gt;0,"",F18)</f>
        <v/>
      </c>
      <c r="F18" s="1051" t="str">
        <f t="shared" si="2"/>
        <v>Cuivre, France continentale, Base Carbone</v>
      </c>
      <c r="G18" s="1055" t="str">
        <f t="shared" si="3"/>
        <v>Cuivre, France continentale, Base Carbone; kgCO2e/tonne recyclé</v>
      </c>
      <c r="I18" s="1100" t="s">
        <v>1983</v>
      </c>
      <c r="J18" s="1048" t="s">
        <v>1585</v>
      </c>
      <c r="K18" s="1119" t="s">
        <v>1567</v>
      </c>
      <c r="L18" s="1048" t="s">
        <v>1571</v>
      </c>
      <c r="M18" s="1033">
        <v>0.5</v>
      </c>
      <c r="N18" s="1048" t="s">
        <v>120</v>
      </c>
      <c r="O18" s="1036">
        <v>1300</v>
      </c>
      <c r="P18" s="1048"/>
      <c r="Q18" s="1048"/>
      <c r="R18" s="1048"/>
      <c r="S18" s="1048"/>
      <c r="T18" s="1048"/>
      <c r="U18" s="1102"/>
    </row>
    <row r="19" spans="2:21" hidden="1" outlineLevel="1">
      <c r="B19" s="1050">
        <v>7</v>
      </c>
      <c r="C19" s="1050" t="str">
        <f t="shared" si="0"/>
        <v>-</v>
      </c>
      <c r="D19" s="1051">
        <f t="shared" si="1"/>
        <v>4</v>
      </c>
      <c r="E19" s="1051" t="str">
        <f>IF(COUNTIF(E$11:E18,F19)&gt;0,"",F19)</f>
        <v>Nickel, France continentale, Base Carbone</v>
      </c>
      <c r="F19" s="1051" t="str">
        <f t="shared" si="2"/>
        <v>Nickel, France continentale, Base Carbone</v>
      </c>
      <c r="G19" s="1055" t="str">
        <f t="shared" si="3"/>
        <v>Nickel, France continentale, Base Carbone; kgCO2e/tonne neuf</v>
      </c>
      <c r="I19" s="1100" t="s">
        <v>1984</v>
      </c>
      <c r="J19" s="1048" t="s">
        <v>1585</v>
      </c>
      <c r="K19" s="1119" t="s">
        <v>1567</v>
      </c>
      <c r="L19" s="1048" t="s">
        <v>1571</v>
      </c>
      <c r="M19" s="1033">
        <v>0.2</v>
      </c>
      <c r="N19" s="1048" t="s">
        <v>657</v>
      </c>
      <c r="O19" s="1036">
        <v>9170</v>
      </c>
      <c r="P19" s="1048"/>
      <c r="Q19" s="1048"/>
      <c r="R19" s="1048"/>
      <c r="S19" s="1048"/>
      <c r="T19" s="1048"/>
      <c r="U19" s="1102"/>
    </row>
    <row r="20" spans="2:21" hidden="1" outlineLevel="1">
      <c r="B20" s="1050">
        <v>8</v>
      </c>
      <c r="C20" s="1050" t="str">
        <f t="shared" si="0"/>
        <v>-</v>
      </c>
      <c r="D20" s="1051">
        <f t="shared" si="1"/>
        <v>4</v>
      </c>
      <c r="E20" s="1051" t="str">
        <f>IF(COUNTIF(E$11:E19,F20)&gt;0,"",F20)</f>
        <v/>
      </c>
      <c r="F20" s="1051" t="str">
        <f t="shared" si="2"/>
        <v>Nickel, France continentale, Base Carbone</v>
      </c>
      <c r="G20" s="1055" t="str">
        <f t="shared" si="3"/>
        <v>Nickel, France continentale, Base Carbone; kgCO2e/tonne recyclé</v>
      </c>
      <c r="I20" s="1100" t="s">
        <v>1984</v>
      </c>
      <c r="J20" s="1048" t="s">
        <v>1585</v>
      </c>
      <c r="K20" s="1119" t="s">
        <v>1567</v>
      </c>
      <c r="L20" s="1048" t="s">
        <v>1571</v>
      </c>
      <c r="M20" s="1033">
        <v>0.2</v>
      </c>
      <c r="N20" s="1048" t="s">
        <v>120</v>
      </c>
      <c r="O20" s="1036">
        <v>9170</v>
      </c>
      <c r="P20" s="1048"/>
      <c r="Q20" s="1048"/>
      <c r="R20" s="1048"/>
      <c r="S20" s="1048"/>
      <c r="T20" s="1048"/>
      <c r="U20" s="1102"/>
    </row>
    <row r="21" spans="2:21" hidden="1" outlineLevel="1">
      <c r="B21" s="1050">
        <v>9</v>
      </c>
      <c r="C21" s="1050" t="str">
        <f t="shared" si="0"/>
        <v>-</v>
      </c>
      <c r="D21" s="1051">
        <f t="shared" si="1"/>
        <v>5</v>
      </c>
      <c r="E21" s="1051" t="str">
        <f>IF(COUNTIF(E$11:E20,F21)&gt;0,"",F21)</f>
        <v>Plomb, France continentale, Base Carbone</v>
      </c>
      <c r="F21" s="1051" t="str">
        <f t="shared" si="2"/>
        <v>Plomb, France continentale, Base Carbone</v>
      </c>
      <c r="G21" s="1055" t="str">
        <f t="shared" si="3"/>
        <v>Plomb, France continentale, Base Carbone; kgCO2e/tonne neuf</v>
      </c>
      <c r="I21" s="1100" t="s">
        <v>1985</v>
      </c>
      <c r="J21" s="1048" t="s">
        <v>1585</v>
      </c>
      <c r="K21" s="1119" t="s">
        <v>1567</v>
      </c>
      <c r="L21" s="1048" t="s">
        <v>1571</v>
      </c>
      <c r="M21" s="1033">
        <v>0.3</v>
      </c>
      <c r="N21" s="1048" t="s">
        <v>657</v>
      </c>
      <c r="O21" s="1036">
        <v>2090</v>
      </c>
      <c r="P21" s="1048"/>
      <c r="Q21" s="1048"/>
      <c r="R21" s="1048"/>
      <c r="S21" s="1048"/>
      <c r="T21" s="1048"/>
      <c r="U21" s="1102"/>
    </row>
    <row r="22" spans="2:21" hidden="1" outlineLevel="1">
      <c r="B22" s="1050">
        <v>10</v>
      </c>
      <c r="C22" s="1050" t="str">
        <f t="shared" si="0"/>
        <v>-</v>
      </c>
      <c r="D22" s="1051">
        <f t="shared" si="1"/>
        <v>5</v>
      </c>
      <c r="E22" s="1051" t="str">
        <f>IF(COUNTIF(E$11:E21,F22)&gt;0,"",F22)</f>
        <v/>
      </c>
      <c r="F22" s="1051" t="str">
        <f t="shared" si="2"/>
        <v>Plomb, France continentale, Base Carbone</v>
      </c>
      <c r="G22" s="1055" t="str">
        <f t="shared" si="3"/>
        <v>Plomb, France continentale, Base Carbone; kgCO2e/tonne recyclé</v>
      </c>
      <c r="I22" s="1100" t="s">
        <v>1985</v>
      </c>
      <c r="J22" s="1048" t="s">
        <v>1585</v>
      </c>
      <c r="K22" s="1119" t="s">
        <v>1567</v>
      </c>
      <c r="L22" s="1048" t="s">
        <v>1571</v>
      </c>
      <c r="M22" s="1033">
        <v>0.3</v>
      </c>
      <c r="N22" s="1048" t="s">
        <v>120</v>
      </c>
      <c r="O22" s="1036">
        <v>2090</v>
      </c>
      <c r="P22" s="1048"/>
      <c r="Q22" s="1048"/>
      <c r="R22" s="1048"/>
      <c r="S22" s="1048"/>
      <c r="T22" s="1048"/>
      <c r="U22" s="1102"/>
    </row>
    <row r="23" spans="2:21" hidden="1" outlineLevel="1">
      <c r="B23" s="1050">
        <v>11</v>
      </c>
      <c r="C23" s="1050" t="str">
        <f t="shared" si="0"/>
        <v>-</v>
      </c>
      <c r="D23" s="1051">
        <f t="shared" si="1"/>
        <v>6</v>
      </c>
      <c r="E23" s="1051" t="str">
        <f>IF(COUNTIF(E$11:E22,F23)&gt;0,"",F23)</f>
        <v>Zinc, France continentale, Base Carbone</v>
      </c>
      <c r="F23" s="1051" t="str">
        <f t="shared" si="2"/>
        <v>Zinc, France continentale, Base Carbone</v>
      </c>
      <c r="G23" s="1055" t="str">
        <f t="shared" si="3"/>
        <v>Zinc, France continentale, Base Carbone; kgCO2e/tonne neuf</v>
      </c>
      <c r="I23" s="1100" t="s">
        <v>1986</v>
      </c>
      <c r="J23" s="1048" t="s">
        <v>1585</v>
      </c>
      <c r="K23" s="1119" t="s">
        <v>1567</v>
      </c>
      <c r="L23" s="1048" t="s">
        <v>1571</v>
      </c>
      <c r="M23" s="1033">
        <v>0.3</v>
      </c>
      <c r="N23" s="1048" t="s">
        <v>657</v>
      </c>
      <c r="O23" s="1036">
        <v>2930</v>
      </c>
      <c r="P23" s="1048"/>
      <c r="Q23" s="1048"/>
      <c r="R23" s="1048"/>
      <c r="S23" s="1048"/>
      <c r="T23" s="1048"/>
      <c r="U23" s="1102"/>
    </row>
    <row r="24" spans="2:21" hidden="1" outlineLevel="1">
      <c r="B24" s="1050">
        <v>12</v>
      </c>
      <c r="C24" s="1050" t="str">
        <f t="shared" si="0"/>
        <v>-</v>
      </c>
      <c r="D24" s="1051">
        <f t="shared" si="1"/>
        <v>6</v>
      </c>
      <c r="E24" s="1051" t="str">
        <f>IF(COUNTIF(E$11:E23,F24)&gt;0,"",F24)</f>
        <v/>
      </c>
      <c r="F24" s="1051" t="str">
        <f t="shared" si="2"/>
        <v>Zinc, France continentale, Base Carbone</v>
      </c>
      <c r="G24" s="1055" t="str">
        <f t="shared" si="3"/>
        <v>Zinc, France continentale, Base Carbone; kgCO2e/tonne recyclé</v>
      </c>
      <c r="I24" s="1100" t="s">
        <v>1986</v>
      </c>
      <c r="J24" s="1048" t="s">
        <v>1585</v>
      </c>
      <c r="K24" s="1119" t="s">
        <v>1567</v>
      </c>
      <c r="L24" s="1048" t="s">
        <v>1571</v>
      </c>
      <c r="M24" s="1033">
        <v>0.3</v>
      </c>
      <c r="N24" s="1048" t="s">
        <v>120</v>
      </c>
      <c r="O24" s="1036">
        <v>2930</v>
      </c>
      <c r="P24" s="1048"/>
      <c r="Q24" s="1048"/>
      <c r="R24" s="1048"/>
      <c r="S24" s="1048"/>
      <c r="T24" s="1048"/>
      <c r="U24" s="1102"/>
    </row>
    <row r="25" spans="2:21" hidden="1" outlineLevel="1">
      <c r="B25" s="1050">
        <v>13</v>
      </c>
      <c r="C25" s="1050" t="str">
        <f t="shared" si="0"/>
        <v>-</v>
      </c>
      <c r="D25" s="1051">
        <f t="shared" si="1"/>
        <v>6</v>
      </c>
      <c r="E25" s="1051" t="str">
        <f>IF(COUNTIF(E$11:E24,F25)&gt;0,"",F25)</f>
        <v/>
      </c>
      <c r="F25" s="1051" t="str">
        <f t="shared" si="2"/>
        <v/>
      </c>
      <c r="G25" s="1055" t="str">
        <f t="shared" si="3"/>
        <v/>
      </c>
      <c r="I25" s="1100"/>
      <c r="J25" s="1048"/>
      <c r="K25" s="1048"/>
      <c r="L25" s="1048"/>
      <c r="M25" s="1048"/>
      <c r="N25" s="1048"/>
      <c r="O25" s="1048"/>
      <c r="P25" s="1048"/>
      <c r="Q25" s="1048"/>
      <c r="R25" s="1048"/>
      <c r="S25" s="1048"/>
      <c r="T25" s="1048"/>
      <c r="U25" s="1102"/>
    </row>
    <row r="26" spans="2:21" hidden="1" outlineLevel="1">
      <c r="B26" s="1050">
        <v>14</v>
      </c>
      <c r="C26" s="1050" t="str">
        <f t="shared" si="0"/>
        <v>-</v>
      </c>
      <c r="D26" s="1051">
        <f t="shared" si="1"/>
        <v>6</v>
      </c>
      <c r="E26" s="1051" t="str">
        <f>IF(COUNTIF(E$11:E25,F26)&gt;0,"",F26)</f>
        <v/>
      </c>
      <c r="F26" s="1051" t="str">
        <f t="shared" si="2"/>
        <v/>
      </c>
      <c r="G26" s="1055" t="str">
        <f t="shared" si="3"/>
        <v/>
      </c>
      <c r="I26" s="1100"/>
      <c r="J26" s="1048"/>
      <c r="K26" s="1048"/>
      <c r="L26" s="1048"/>
      <c r="M26" s="1048"/>
      <c r="N26" s="1048"/>
      <c r="O26" s="1048"/>
      <c r="P26" s="1048"/>
      <c r="Q26" s="1048"/>
      <c r="R26" s="1048"/>
      <c r="S26" s="1048"/>
      <c r="T26" s="1048"/>
      <c r="U26" s="1102"/>
    </row>
    <row r="27" spans="2:21" hidden="1" outlineLevel="1">
      <c r="B27" s="1050">
        <v>15</v>
      </c>
      <c r="C27" s="1050" t="str">
        <f t="shared" si="0"/>
        <v>-</v>
      </c>
      <c r="D27" s="1051">
        <f t="shared" si="1"/>
        <v>6</v>
      </c>
      <c r="E27" s="1051" t="str">
        <f>IF(COUNTIF(E$11:E26,F27)&gt;0,"",F27)</f>
        <v/>
      </c>
      <c r="F27" s="1051" t="str">
        <f t="shared" si="2"/>
        <v/>
      </c>
      <c r="G27" s="1055" t="str">
        <f t="shared" si="3"/>
        <v/>
      </c>
      <c r="I27" s="1100"/>
      <c r="J27" s="1048"/>
      <c r="K27" s="1048"/>
      <c r="L27" s="1048"/>
      <c r="M27" s="1048"/>
      <c r="N27" s="1048"/>
      <c r="O27" s="1048"/>
      <c r="P27" s="1048"/>
      <c r="Q27" s="1048"/>
      <c r="R27" s="1048"/>
      <c r="S27" s="1048"/>
      <c r="T27" s="1048"/>
      <c r="U27" s="1102"/>
    </row>
    <row r="28" spans="2:21" hidden="1" outlineLevel="1">
      <c r="B28" s="1050">
        <v>16</v>
      </c>
      <c r="C28" s="1050" t="str">
        <f t="shared" si="0"/>
        <v>-</v>
      </c>
      <c r="D28" s="1051">
        <f t="shared" si="1"/>
        <v>6</v>
      </c>
      <c r="E28" s="1051" t="str">
        <f>IF(COUNTIF(E$11:E27,F28)&gt;0,"",F28)</f>
        <v/>
      </c>
      <c r="F28" s="1051" t="str">
        <f t="shared" si="2"/>
        <v/>
      </c>
      <c r="G28" s="1055" t="str">
        <f t="shared" si="3"/>
        <v/>
      </c>
      <c r="I28" s="1100"/>
      <c r="J28" s="1048"/>
      <c r="K28" s="1048"/>
      <c r="L28" s="1048"/>
      <c r="M28" s="1048"/>
      <c r="N28" s="1048"/>
      <c r="O28" s="1048"/>
      <c r="P28" s="1048"/>
      <c r="Q28" s="1048"/>
      <c r="R28" s="1048"/>
      <c r="S28" s="1048"/>
      <c r="T28" s="1048"/>
      <c r="U28" s="1102"/>
    </row>
    <row r="29" spans="2:21" hidden="1" outlineLevel="1">
      <c r="B29" s="1050">
        <v>17</v>
      </c>
      <c r="C29" s="1050" t="str">
        <f t="shared" si="0"/>
        <v>-</v>
      </c>
      <c r="D29" s="1051">
        <f t="shared" si="1"/>
        <v>6</v>
      </c>
      <c r="E29" s="1051" t="str">
        <f>IF(COUNTIF(E$11:E28,F29)&gt;0,"",F29)</f>
        <v/>
      </c>
      <c r="F29" s="1051" t="str">
        <f t="shared" si="2"/>
        <v/>
      </c>
      <c r="G29" s="1055" t="str">
        <f t="shared" si="3"/>
        <v/>
      </c>
      <c r="I29" s="1103"/>
      <c r="J29" s="1104"/>
      <c r="K29" s="1104"/>
      <c r="L29" s="1104"/>
      <c r="M29" s="1104"/>
      <c r="N29" s="1104"/>
      <c r="O29" s="1104"/>
      <c r="P29" s="1104"/>
      <c r="Q29" s="1104"/>
      <c r="R29" s="1104"/>
      <c r="S29" s="1104"/>
      <c r="T29" s="1104"/>
      <c r="U29" s="1106"/>
    </row>
    <row r="30" spans="2:21"/>
    <row r="31" spans="2:21" ht="15.6" collapsed="1">
      <c r="I31" s="3167" t="s">
        <v>297</v>
      </c>
      <c r="J31" s="3168"/>
      <c r="K31" s="3168"/>
      <c r="L31" s="3168"/>
      <c r="M31" s="3168"/>
      <c r="N31" s="3168"/>
      <c r="O31" s="3168"/>
      <c r="P31" s="3168"/>
      <c r="Q31" s="3168"/>
      <c r="R31" s="3168"/>
      <c r="S31" s="3168"/>
      <c r="T31" s="3168"/>
      <c r="U31" s="3169"/>
    </row>
    <row r="32" spans="2:21" hidden="1" outlineLevel="1">
      <c r="R32" s="1083"/>
    </row>
    <row r="33" spans="2:23" ht="12.75" hidden="1" customHeight="1" outlineLevel="1">
      <c r="B33" s="3154" t="s">
        <v>1617</v>
      </c>
      <c r="C33" s="3154"/>
      <c r="D33" s="3157" t="s">
        <v>1619</v>
      </c>
      <c r="E33" s="3157"/>
      <c r="F33" s="1151" t="s">
        <v>1991</v>
      </c>
      <c r="G33" s="1053" t="s">
        <v>1992</v>
      </c>
      <c r="H33" s="1044"/>
      <c r="I33" s="1038" t="s">
        <v>1557</v>
      </c>
      <c r="J33" s="1040" t="s">
        <v>1266</v>
      </c>
      <c r="K33" s="1043" t="s">
        <v>224</v>
      </c>
      <c r="L33" s="1043" t="s">
        <v>1558</v>
      </c>
      <c r="M33" s="1039" t="s">
        <v>366</v>
      </c>
      <c r="N33" s="1040" t="s">
        <v>1559</v>
      </c>
      <c r="O33" s="1041" t="s">
        <v>1560</v>
      </c>
      <c r="P33" s="1043" t="s">
        <v>211</v>
      </c>
      <c r="Q33" s="1043" t="s">
        <v>1561</v>
      </c>
      <c r="R33" s="1041" t="s">
        <v>1562</v>
      </c>
      <c r="S33" s="1041" t="s">
        <v>267</v>
      </c>
      <c r="T33" s="1043" t="s">
        <v>1563</v>
      </c>
      <c r="U33" s="1042" t="s">
        <v>1564</v>
      </c>
    </row>
    <row r="34" spans="2:23" s="1045" customFormat="1" ht="12.75" hidden="1" customHeight="1" outlineLevel="1">
      <c r="B34" s="3156" t="s">
        <v>297</v>
      </c>
      <c r="C34" s="3156"/>
      <c r="D34" s="1051">
        <v>0</v>
      </c>
      <c r="E34" s="1051"/>
      <c r="F34" s="1051"/>
      <c r="G34" s="1054"/>
      <c r="H34" s="1046"/>
      <c r="I34" s="1688"/>
      <c r="J34" s="1689"/>
      <c r="K34" s="1690"/>
      <c r="L34" s="1690"/>
      <c r="M34" s="1691"/>
      <c r="N34" s="1689"/>
      <c r="O34" s="1692"/>
      <c r="P34" s="1690"/>
      <c r="Q34" s="1690"/>
      <c r="R34" s="1692"/>
      <c r="S34" s="1692"/>
      <c r="T34" s="1690"/>
      <c r="U34" s="1693"/>
    </row>
    <row r="35" spans="2:23" hidden="1" outlineLevel="1">
      <c r="B35" s="1050">
        <v>1</v>
      </c>
      <c r="C35" s="1050" t="str">
        <f t="shared" ref="C35:C49" si="4">IF(ISNA(VLOOKUP(B35,$D$34:$E$49,2,FALSE)),"-",VLOOKUP(B35,$D$34:$E$49,2,FALSE))</f>
        <v>Fibre de verre neuf, France continentale, Base Carbone</v>
      </c>
      <c r="D35" s="1051">
        <f t="shared" ref="D35:D41" si="5">D34+IF(LEN(E35)&gt;0,1,0)</f>
        <v>1</v>
      </c>
      <c r="E35" s="1051" t="str">
        <f>IF(COUNTIF(E$34:E34,F35)&gt;0,"",F35)</f>
        <v>Fibre de verre neuf, France continentale, Base Carbone</v>
      </c>
      <c r="F35" s="1051" t="str">
        <f>IF(I35&lt;&gt;"",I35&amp;IF(N35&lt;&gt;""," "&amp;N35,)&amp;IF(L35&lt;&gt;"",", "&amp;L35,"")&amp;IF(K35&lt;&gt;"",", "&amp;K35,""),"")</f>
        <v>Fibre de verre neuf, France continentale, Base Carbone</v>
      </c>
      <c r="G35" s="1055" t="str">
        <f>IF(F35&lt;&gt;"",F35&amp;IF(J35&lt;&gt;"","; "&amp;J35,""),"")</f>
        <v>Fibre de verre neuf, France continentale, Base Carbone; kgCO2e/kg</v>
      </c>
      <c r="I35" s="1100" t="s">
        <v>1987</v>
      </c>
      <c r="J35" s="1048" t="s">
        <v>1572</v>
      </c>
      <c r="K35" s="1119" t="s">
        <v>1567</v>
      </c>
      <c r="L35" s="1048" t="s">
        <v>1571</v>
      </c>
      <c r="M35" s="1033">
        <v>0.2</v>
      </c>
      <c r="N35" s="1048" t="s">
        <v>657</v>
      </c>
      <c r="O35" s="1978">
        <v>2.13</v>
      </c>
      <c r="P35" s="1981">
        <v>2.13</v>
      </c>
      <c r="Q35" s="1981">
        <v>0</v>
      </c>
      <c r="R35" s="1981">
        <v>0</v>
      </c>
      <c r="S35" s="1981">
        <v>0</v>
      </c>
      <c r="T35" s="1981">
        <v>0</v>
      </c>
      <c r="U35" s="2033">
        <v>0</v>
      </c>
    </row>
    <row r="36" spans="2:23" hidden="1" outlineLevel="1">
      <c r="B36" s="1050">
        <v>2</v>
      </c>
      <c r="C36" s="1050" t="str">
        <f t="shared" si="4"/>
        <v>Fibre de verre recyclé, France continentale, Base Carbone</v>
      </c>
      <c r="D36" s="1051">
        <f t="shared" si="5"/>
        <v>2</v>
      </c>
      <c r="E36" s="1051" t="str">
        <f>IF(COUNTIF(E$34:E35,F36)&gt;0,"",F36)</f>
        <v>Fibre de verre recyclé, France continentale, Base Carbone</v>
      </c>
      <c r="F36" s="1051" t="str">
        <f t="shared" ref="F36:F49" si="6">IF(I36&lt;&gt;"",I36&amp;IF(N36&lt;&gt;""," "&amp;N36,)&amp;IF(L36&lt;&gt;"",", "&amp;L36,"")&amp;IF(K36&lt;&gt;"",", "&amp;K36,""),"")</f>
        <v>Fibre de verre recyclé, France continentale, Base Carbone</v>
      </c>
      <c r="G36" s="1055" t="str">
        <f t="shared" ref="G36:G49" si="7">IF(F36&lt;&gt;"",F36&amp;IF(J36&lt;&gt;"","; "&amp;J36,""),"")</f>
        <v>Fibre de verre recyclé, France continentale, Base Carbone; kgCO2e/kg</v>
      </c>
      <c r="I36" s="1100" t="s">
        <v>1987</v>
      </c>
      <c r="J36" s="1048" t="s">
        <v>1572</v>
      </c>
      <c r="K36" s="1119" t="s">
        <v>1567</v>
      </c>
      <c r="L36" s="1048" t="s">
        <v>1571</v>
      </c>
      <c r="M36" s="1033">
        <v>0.2</v>
      </c>
      <c r="N36" s="1048" t="s">
        <v>120</v>
      </c>
      <c r="O36" s="1048">
        <v>2.13</v>
      </c>
      <c r="P36" s="1233">
        <v>2.13</v>
      </c>
      <c r="Q36" s="1981">
        <v>0</v>
      </c>
      <c r="R36" s="1981">
        <v>0</v>
      </c>
      <c r="S36" s="1981">
        <v>0</v>
      </c>
      <c r="T36" s="1981">
        <v>0</v>
      </c>
      <c r="U36" s="2033">
        <v>0</v>
      </c>
    </row>
    <row r="37" spans="2:23" hidden="1" outlineLevel="1">
      <c r="B37" s="1050">
        <v>3</v>
      </c>
      <c r="C37" s="1050" t="str">
        <f t="shared" si="4"/>
        <v>Verre neuf, France continentale, Base Carbone</v>
      </c>
      <c r="D37" s="1051">
        <f t="shared" si="5"/>
        <v>3</v>
      </c>
      <c r="E37" s="1051" t="str">
        <f>IF(COUNTIF(E$34:E36,F37)&gt;0,"",F37)</f>
        <v>Verre neuf, France continentale, Base Carbone</v>
      </c>
      <c r="F37" s="1051" t="str">
        <f t="shared" si="6"/>
        <v>Verre neuf, France continentale, Base Carbone</v>
      </c>
      <c r="G37" s="1055" t="str">
        <f t="shared" si="7"/>
        <v>Verre neuf, France continentale, Base Carbone; kgCO2e/kg</v>
      </c>
      <c r="I37" s="2018" t="s">
        <v>297</v>
      </c>
      <c r="J37" s="2017" t="s">
        <v>1572</v>
      </c>
      <c r="K37" s="1119" t="s">
        <v>1567</v>
      </c>
      <c r="L37" s="1135" t="s">
        <v>1571</v>
      </c>
      <c r="M37" s="1033">
        <v>0.5</v>
      </c>
      <c r="N37" s="1135" t="s">
        <v>657</v>
      </c>
      <c r="O37" s="1135">
        <v>0.92300000000000004</v>
      </c>
      <c r="P37" s="2017">
        <f>O37</f>
        <v>0.92300000000000004</v>
      </c>
      <c r="Q37" s="1981">
        <v>0</v>
      </c>
      <c r="R37" s="1981">
        <v>0</v>
      </c>
      <c r="S37" s="1981">
        <v>0</v>
      </c>
      <c r="T37" s="1981">
        <v>0</v>
      </c>
      <c r="U37" s="2042">
        <v>0</v>
      </c>
    </row>
    <row r="38" spans="2:23" hidden="1" outlineLevel="1">
      <c r="B38" s="1050">
        <v>4</v>
      </c>
      <c r="C38" s="1050" t="str">
        <f t="shared" si="4"/>
        <v>Verre recyclé, France continentale, Base Carbone</v>
      </c>
      <c r="D38" s="1051">
        <f t="shared" si="5"/>
        <v>4</v>
      </c>
      <c r="E38" s="1051" t="str">
        <f>IF(COUNTIF(E$34:E37,F38)&gt;0,"",F38)</f>
        <v>Verre recyclé, France continentale, Base Carbone</v>
      </c>
      <c r="F38" s="1051" t="str">
        <f t="shared" si="6"/>
        <v>Verre recyclé, France continentale, Base Carbone</v>
      </c>
      <c r="G38" s="1055" t="str">
        <f t="shared" si="7"/>
        <v>Verre recyclé, France continentale, Base Carbone; kgCO2e/kg</v>
      </c>
      <c r="I38" s="2018" t="s">
        <v>297</v>
      </c>
      <c r="J38" s="2017" t="s">
        <v>1572</v>
      </c>
      <c r="K38" s="1119" t="s">
        <v>1567</v>
      </c>
      <c r="L38" s="1135" t="s">
        <v>1571</v>
      </c>
      <c r="M38" s="1033">
        <v>0.5</v>
      </c>
      <c r="N38" s="1135" t="s">
        <v>120</v>
      </c>
      <c r="O38" s="1135">
        <v>0.40899999999999997</v>
      </c>
      <c r="P38" s="2017">
        <f>O38</f>
        <v>0.40899999999999997</v>
      </c>
      <c r="Q38" s="1981">
        <v>0</v>
      </c>
      <c r="R38" s="1981">
        <v>0</v>
      </c>
      <c r="S38" s="1981">
        <v>0</v>
      </c>
      <c r="T38" s="1981">
        <v>0</v>
      </c>
      <c r="U38" s="2042">
        <v>0</v>
      </c>
      <c r="W38" t="s">
        <v>2384</v>
      </c>
    </row>
    <row r="39" spans="2:23" hidden="1" outlineLevel="1">
      <c r="B39" s="1050">
        <v>5</v>
      </c>
      <c r="C39" s="1050" t="str">
        <f t="shared" si="4"/>
        <v>Verre technique (optique et électronique), France continentale, Base Carbone</v>
      </c>
      <c r="D39" s="1051">
        <f t="shared" si="5"/>
        <v>5</v>
      </c>
      <c r="E39" s="1051" t="str">
        <f>IF(COUNTIF(E$34:E38,F39)&gt;0,"",F39)</f>
        <v>Verre technique (optique et électronique), France continentale, Base Carbone</v>
      </c>
      <c r="F39" s="1051" t="str">
        <f t="shared" si="6"/>
        <v>Verre technique (optique et électronique), France continentale, Base Carbone</v>
      </c>
      <c r="G39" s="1055" t="str">
        <f t="shared" si="7"/>
        <v>Verre technique (optique et électronique), France continentale, Base Carbone; kgCO2e/kg</v>
      </c>
      <c r="I39" s="1100" t="s">
        <v>297</v>
      </c>
      <c r="J39" s="1048" t="s">
        <v>1572</v>
      </c>
      <c r="K39" s="1119" t="s">
        <v>1567</v>
      </c>
      <c r="L39" s="1048" t="s">
        <v>1571</v>
      </c>
      <c r="M39" s="1033">
        <v>0.2</v>
      </c>
      <c r="N39" s="1048" t="s">
        <v>1988</v>
      </c>
      <c r="O39" s="1048">
        <v>3.67</v>
      </c>
      <c r="P39" s="1233">
        <v>3.67</v>
      </c>
      <c r="Q39" s="1981">
        <v>0</v>
      </c>
      <c r="R39" s="1981">
        <v>0</v>
      </c>
      <c r="S39" s="1981">
        <v>0</v>
      </c>
      <c r="T39" s="1981">
        <v>0</v>
      </c>
      <c r="U39" s="2033">
        <v>0</v>
      </c>
    </row>
    <row r="40" spans="2:23" hidden="1" outlineLevel="1">
      <c r="B40" s="1050">
        <v>6</v>
      </c>
      <c r="C40" s="1050" t="str">
        <f t="shared" si="4"/>
        <v>Verre technique (optique et électronique) recyclé, France continentale, Base Carbone</v>
      </c>
      <c r="D40" s="1051">
        <f t="shared" si="5"/>
        <v>6</v>
      </c>
      <c r="E40" s="1051" t="str">
        <f>IF(COUNTIF(E$34:E39,F40)&gt;0,"",F40)</f>
        <v>Verre technique (optique et électronique) recyclé, France continentale, Base Carbone</v>
      </c>
      <c r="F40" s="1051" t="str">
        <f t="shared" si="6"/>
        <v>Verre technique (optique et électronique) recyclé, France continentale, Base Carbone</v>
      </c>
      <c r="G40" s="1055" t="str">
        <f t="shared" si="7"/>
        <v>Verre technique (optique et électronique) recyclé, France continentale, Base Carbone; kgCO2e/kg</v>
      </c>
      <c r="I40" s="1100" t="s">
        <v>297</v>
      </c>
      <c r="J40" s="1048" t="s">
        <v>1572</v>
      </c>
      <c r="K40" s="1119" t="s">
        <v>1567</v>
      </c>
      <c r="L40" s="1048" t="s">
        <v>1571</v>
      </c>
      <c r="M40" s="1033">
        <v>0.2</v>
      </c>
      <c r="N40" s="1048" t="s">
        <v>2558</v>
      </c>
      <c r="O40" s="1048">
        <v>3.67</v>
      </c>
      <c r="P40" s="1233">
        <v>3.67</v>
      </c>
      <c r="Q40" s="1981">
        <v>0</v>
      </c>
      <c r="R40" s="1981">
        <v>0</v>
      </c>
      <c r="S40" s="1981">
        <v>0</v>
      </c>
      <c r="T40" s="1981">
        <v>0</v>
      </c>
      <c r="U40" s="2034">
        <v>0</v>
      </c>
    </row>
    <row r="41" spans="2:23" hidden="1" outlineLevel="1">
      <c r="B41" s="1050">
        <v>7</v>
      </c>
      <c r="C41" s="1050" t="str">
        <f t="shared" si="4"/>
        <v>Verre plat à motifs, Europe, Base Carbone</v>
      </c>
      <c r="D41" s="1051">
        <f t="shared" si="5"/>
        <v>7</v>
      </c>
      <c r="E41" s="1051" t="str">
        <f>IF(COUNTIF(E$34:E40,F41)&gt;0,"",F41)</f>
        <v>Verre plat à motifs, Europe, Base Carbone</v>
      </c>
      <c r="F41" s="1051" t="str">
        <f t="shared" si="6"/>
        <v>Verre plat à motifs, Europe, Base Carbone</v>
      </c>
      <c r="G41" s="1055" t="str">
        <f t="shared" si="7"/>
        <v>Verre plat à motifs, Europe, Base Carbone; kgCO2e/kg</v>
      </c>
      <c r="I41" s="1100" t="s">
        <v>1204</v>
      </c>
      <c r="J41" s="1048" t="s">
        <v>1572</v>
      </c>
      <c r="K41" s="1119" t="s">
        <v>1567</v>
      </c>
      <c r="L41" s="1048" t="s">
        <v>1568</v>
      </c>
      <c r="M41" s="1033">
        <v>0.2</v>
      </c>
      <c r="N41" s="1048"/>
      <c r="O41" s="1048">
        <v>1.18</v>
      </c>
      <c r="P41" s="1048">
        <v>1.1000000000000001</v>
      </c>
      <c r="Q41" s="1048">
        <v>7.1800000000000003E-2</v>
      </c>
      <c r="R41" s="1048">
        <v>0</v>
      </c>
      <c r="S41" s="1048">
        <v>3.6600000000000001E-3</v>
      </c>
      <c r="T41" s="1048">
        <v>2.8100000000000002E-6</v>
      </c>
      <c r="U41" s="1189">
        <v>-2.9500000000000001E-4</v>
      </c>
    </row>
    <row r="42" spans="2:23" hidden="1" outlineLevel="1">
      <c r="B42" s="1050">
        <v>8</v>
      </c>
      <c r="C42" s="1050" t="str">
        <f t="shared" si="4"/>
        <v>Verre plat au plomb / cristal, Europe, Base Carbone</v>
      </c>
      <c r="D42" s="1051">
        <f t="shared" ref="D42:D49" si="8">D41+IF(LEN(E42)&gt;0,1,0)</f>
        <v>8</v>
      </c>
      <c r="E42" s="1051" t="str">
        <f>IF(COUNTIF(E$34:E41,F42)&gt;0,"",F42)</f>
        <v>Verre plat au plomb / cristal, Europe, Base Carbone</v>
      </c>
      <c r="F42" s="1051" t="str">
        <f t="shared" si="6"/>
        <v>Verre plat au plomb / cristal, Europe, Base Carbone</v>
      </c>
      <c r="G42" s="1055" t="str">
        <f t="shared" si="7"/>
        <v>Verre plat au plomb / cristal, Europe, Base Carbone; kgCO2e/kg</v>
      </c>
      <c r="I42" s="1100" t="s">
        <v>1205</v>
      </c>
      <c r="J42" s="1048" t="s">
        <v>1572</v>
      </c>
      <c r="K42" s="1119" t="s">
        <v>1567</v>
      </c>
      <c r="L42" s="1048" t="s">
        <v>1568</v>
      </c>
      <c r="M42" s="1033">
        <v>0.2</v>
      </c>
      <c r="N42" s="1048"/>
      <c r="O42" s="1048">
        <v>1.86</v>
      </c>
      <c r="P42" s="1048">
        <v>1.74</v>
      </c>
      <c r="Q42" s="1048">
        <v>0.113</v>
      </c>
      <c r="R42" s="1048">
        <v>0</v>
      </c>
      <c r="S42" s="1048">
        <v>9.0399999999999994E-3</v>
      </c>
      <c r="T42" s="1048">
        <v>3.8800000000000001E-5</v>
      </c>
      <c r="U42" s="1102">
        <v>5.5E-2</v>
      </c>
    </row>
    <row r="43" spans="2:23" hidden="1" outlineLevel="1">
      <c r="B43" s="1050">
        <v>9</v>
      </c>
      <c r="C43" s="1050" t="str">
        <f t="shared" si="4"/>
        <v>Verre plat courbé, Europe, Base Carbone</v>
      </c>
      <c r="D43" s="1051">
        <f t="shared" si="8"/>
        <v>9</v>
      </c>
      <c r="E43" s="1051" t="str">
        <f>IF(COUNTIF(E$34:E42,F43)&gt;0,"",F43)</f>
        <v>Verre plat courbé, Europe, Base Carbone</v>
      </c>
      <c r="F43" s="1051" t="str">
        <f t="shared" si="6"/>
        <v>Verre plat courbé, Europe, Base Carbone</v>
      </c>
      <c r="G43" s="1055" t="str">
        <f t="shared" si="7"/>
        <v>Verre plat courbé, Europe, Base Carbone; kgCO2e/kg</v>
      </c>
      <c r="I43" s="1100" t="s">
        <v>1206</v>
      </c>
      <c r="J43" s="1048" t="s">
        <v>1572</v>
      </c>
      <c r="K43" s="1119" t="s">
        <v>1567</v>
      </c>
      <c r="L43" s="1048" t="s">
        <v>1568</v>
      </c>
      <c r="M43" s="1033">
        <v>0.2</v>
      </c>
      <c r="N43" s="1048"/>
      <c r="O43" s="1048">
        <v>2.41</v>
      </c>
      <c r="P43" s="1048">
        <v>2.2599999999999998</v>
      </c>
      <c r="Q43" s="1048">
        <v>0.13700000000000001</v>
      </c>
      <c r="R43" s="1048">
        <v>0</v>
      </c>
      <c r="S43" s="1048">
        <v>8.0000000000000002E-3</v>
      </c>
      <c r="T43" s="1048">
        <v>5.5699999999999999E-5</v>
      </c>
      <c r="U43" s="1189">
        <v>2.6800000000000001E-3</v>
      </c>
    </row>
    <row r="44" spans="2:23" hidden="1" outlineLevel="1">
      <c r="B44" s="1050">
        <v>10</v>
      </c>
      <c r="C44" s="1050" t="str">
        <f t="shared" si="4"/>
        <v>Verre plat de sécurité laminé, Europe, Base Carbone</v>
      </c>
      <c r="D44" s="1051">
        <f t="shared" si="8"/>
        <v>10</v>
      </c>
      <c r="E44" s="1051" t="str">
        <f>IF(COUNTIF(E$34:E43,F44)&gt;0,"",F44)</f>
        <v>Verre plat de sécurité laminé, Europe, Base Carbone</v>
      </c>
      <c r="F44" s="1051" t="str">
        <f t="shared" si="6"/>
        <v>Verre plat de sécurité laminé, Europe, Base Carbone</v>
      </c>
      <c r="G44" s="1055" t="str">
        <f t="shared" si="7"/>
        <v>Verre plat de sécurité laminé, Europe, Base Carbone; kgCO2e/kg</v>
      </c>
      <c r="I44" s="1100" t="s">
        <v>1207</v>
      </c>
      <c r="J44" s="1048" t="s">
        <v>1572</v>
      </c>
      <c r="K44" s="1119" t="s">
        <v>1567</v>
      </c>
      <c r="L44" s="1048" t="s">
        <v>1568</v>
      </c>
      <c r="M44" s="1033">
        <v>0.2</v>
      </c>
      <c r="N44" s="1048"/>
      <c r="O44" s="1048">
        <v>3.52</v>
      </c>
      <c r="P44" s="1048">
        <v>3.28</v>
      </c>
      <c r="Q44" s="1048">
        <v>0.216</v>
      </c>
      <c r="R44" s="1048">
        <v>0</v>
      </c>
      <c r="S44" s="1048">
        <v>2.76E-2</v>
      </c>
      <c r="T44" s="1048">
        <v>2.02E-5</v>
      </c>
      <c r="U44" s="1102">
        <v>-6.8000000000000005E-2</v>
      </c>
    </row>
    <row r="45" spans="2:23" hidden="1" outlineLevel="1">
      <c r="B45" s="1050">
        <v>11</v>
      </c>
      <c r="C45" s="1050" t="str">
        <f t="shared" si="4"/>
        <v>Verre plat flotté, Europe, Base Carbone</v>
      </c>
      <c r="D45" s="1051">
        <f t="shared" si="8"/>
        <v>11</v>
      </c>
      <c r="E45" s="1051" t="str">
        <f>IF(COUNTIF(E$34:E44,F45)&gt;0,"",F45)</f>
        <v>Verre plat flotté, Europe, Base Carbone</v>
      </c>
      <c r="F45" s="1051" t="str">
        <f t="shared" si="6"/>
        <v>Verre plat flotté, Europe, Base Carbone</v>
      </c>
      <c r="G45" s="1055" t="str">
        <f t="shared" si="7"/>
        <v>Verre plat flotté, Europe, Base Carbone; kgCO2e/kg</v>
      </c>
      <c r="I45" s="1100" t="s">
        <v>1208</v>
      </c>
      <c r="J45" s="1048" t="s">
        <v>1572</v>
      </c>
      <c r="K45" s="1119" t="s">
        <v>1567</v>
      </c>
      <c r="L45" s="1048" t="s">
        <v>1568</v>
      </c>
      <c r="M45" s="1033">
        <v>0.2</v>
      </c>
      <c r="N45" s="1048"/>
      <c r="O45" s="1048">
        <v>1.26</v>
      </c>
      <c r="P45" s="1048">
        <v>1.19</v>
      </c>
      <c r="Q45" s="1048">
        <v>7.0999999999999994E-2</v>
      </c>
      <c r="R45" s="1048">
        <v>0</v>
      </c>
      <c r="S45" s="1048">
        <v>2.3500000000000001E-3</v>
      </c>
      <c r="T45" s="1048">
        <v>3.7799999999999998E-6</v>
      </c>
      <c r="U45" s="1189">
        <v>4.2500000000000003E-3</v>
      </c>
    </row>
    <row r="46" spans="2:23" hidden="1" outlineLevel="1">
      <c r="B46" s="1050">
        <v>12</v>
      </c>
      <c r="C46" s="1050" t="str">
        <f t="shared" si="4"/>
        <v>-</v>
      </c>
      <c r="D46" s="1051">
        <f t="shared" si="8"/>
        <v>11</v>
      </c>
      <c r="E46" s="1051" t="str">
        <f>IF(COUNTIF(E$34:E45,F46)&gt;0,"",F46)</f>
        <v/>
      </c>
      <c r="F46" s="1051" t="str">
        <f t="shared" si="6"/>
        <v/>
      </c>
      <c r="G46" s="1055" t="str">
        <f t="shared" si="7"/>
        <v/>
      </c>
      <c r="I46" s="1100"/>
      <c r="J46" s="1048"/>
      <c r="K46" s="1119"/>
      <c r="L46" s="1048"/>
      <c r="M46" s="1033"/>
      <c r="N46" s="1048"/>
      <c r="O46" s="1048"/>
      <c r="P46" s="1048"/>
      <c r="Q46" s="1048"/>
      <c r="R46" s="1048"/>
      <c r="S46" s="1048"/>
      <c r="T46" s="1048"/>
      <c r="U46" s="1189"/>
    </row>
    <row r="47" spans="2:23" hidden="1" outlineLevel="1">
      <c r="B47" s="1050">
        <v>13</v>
      </c>
      <c r="C47" s="1050" t="str">
        <f t="shared" si="4"/>
        <v>-</v>
      </c>
      <c r="D47" s="1051">
        <f t="shared" si="8"/>
        <v>11</v>
      </c>
      <c r="E47" s="1051" t="str">
        <f>IF(COUNTIF(E$34:E46,F47)&gt;0,"",F47)</f>
        <v/>
      </c>
      <c r="F47" s="1051" t="str">
        <f t="shared" si="6"/>
        <v/>
      </c>
      <c r="G47" s="1055" t="str">
        <f t="shared" si="7"/>
        <v/>
      </c>
      <c r="I47" s="1100"/>
      <c r="J47" s="1048"/>
      <c r="K47" s="1119"/>
      <c r="L47" s="1048"/>
      <c r="M47" s="1033"/>
      <c r="N47" s="1048"/>
      <c r="O47" s="1048"/>
      <c r="P47" s="1048"/>
      <c r="Q47" s="1048"/>
      <c r="R47" s="1048"/>
      <c r="S47" s="1048"/>
      <c r="T47" s="1048"/>
      <c r="U47" s="1102"/>
    </row>
    <row r="48" spans="2:23" hidden="1" outlineLevel="1">
      <c r="B48" s="1050">
        <v>14</v>
      </c>
      <c r="C48" s="1050" t="str">
        <f t="shared" si="4"/>
        <v>-</v>
      </c>
      <c r="D48" s="1051">
        <f t="shared" si="8"/>
        <v>11</v>
      </c>
      <c r="E48" s="1051" t="str">
        <f>IF(COUNTIF(E$34:E47,F48)&gt;0,"",F48)</f>
        <v/>
      </c>
      <c r="F48" s="1051" t="str">
        <f t="shared" si="6"/>
        <v/>
      </c>
      <c r="G48" s="1055" t="str">
        <f t="shared" si="7"/>
        <v/>
      </c>
      <c r="I48" s="1100"/>
      <c r="J48" s="1048"/>
      <c r="K48" s="1119"/>
      <c r="L48" s="1048"/>
      <c r="M48" s="1033"/>
      <c r="N48" s="1048"/>
      <c r="O48" s="1048"/>
      <c r="P48" s="1048"/>
      <c r="Q48" s="1048"/>
      <c r="R48" s="1048"/>
      <c r="S48" s="1048"/>
      <c r="T48" s="1048"/>
      <c r="U48" s="1102"/>
    </row>
    <row r="49" spans="2:21" hidden="1" outlineLevel="1">
      <c r="B49" s="1050">
        <v>15</v>
      </c>
      <c r="C49" s="1050" t="str">
        <f t="shared" si="4"/>
        <v>-</v>
      </c>
      <c r="D49" s="1051">
        <f t="shared" si="8"/>
        <v>11</v>
      </c>
      <c r="E49" s="1051" t="str">
        <f>IF(COUNTIF(E$34:E48,F49)&gt;0,"",F49)</f>
        <v/>
      </c>
      <c r="F49" s="1051" t="str">
        <f t="shared" si="6"/>
        <v/>
      </c>
      <c r="G49" s="1055" t="str">
        <f t="shared" si="7"/>
        <v/>
      </c>
      <c r="I49" s="1103"/>
      <c r="J49" s="1104"/>
      <c r="K49" s="1104"/>
      <c r="L49" s="1104"/>
      <c r="M49" s="1104"/>
      <c r="N49" s="1104"/>
      <c r="O49" s="1104"/>
      <c r="P49" s="1104"/>
      <c r="Q49" s="1104"/>
      <c r="R49" s="1104"/>
      <c r="S49" s="1104"/>
      <c r="T49" s="1104"/>
      <c r="U49" s="1106"/>
    </row>
    <row r="50" spans="2:21">
      <c r="K50" s="1119"/>
      <c r="M50" s="1033"/>
    </row>
    <row r="51" spans="2:21" ht="15.6" collapsed="1">
      <c r="I51" s="3167" t="s">
        <v>1219</v>
      </c>
      <c r="J51" s="3168"/>
      <c r="K51" s="3168"/>
      <c r="L51" s="3168"/>
      <c r="M51" s="3168"/>
      <c r="N51" s="3168"/>
      <c r="O51" s="3168"/>
      <c r="P51" s="3168"/>
      <c r="Q51" s="3168"/>
      <c r="R51" s="3168"/>
      <c r="S51" s="3168"/>
      <c r="T51" s="3168"/>
      <c r="U51" s="3169"/>
    </row>
    <row r="52" spans="2:21" hidden="1" outlineLevel="1">
      <c r="R52" s="1083"/>
    </row>
    <row r="53" spans="2:21" ht="12.75" hidden="1" customHeight="1" outlineLevel="1">
      <c r="B53" s="3154" t="s">
        <v>1617</v>
      </c>
      <c r="C53" s="3154"/>
      <c r="D53" s="3157" t="s">
        <v>1619</v>
      </c>
      <c r="E53" s="3157"/>
      <c r="F53" s="1151" t="s">
        <v>1616</v>
      </c>
      <c r="G53" s="1053" t="s">
        <v>1618</v>
      </c>
      <c r="H53" s="1044"/>
      <c r="I53" s="1038" t="s">
        <v>1557</v>
      </c>
      <c r="J53" s="1040" t="s">
        <v>1266</v>
      </c>
      <c r="K53" s="1043" t="s">
        <v>224</v>
      </c>
      <c r="L53" s="1043" t="s">
        <v>1558</v>
      </c>
      <c r="M53" s="1039" t="s">
        <v>366</v>
      </c>
      <c r="N53" s="1040" t="s">
        <v>1559</v>
      </c>
      <c r="O53" s="1985" t="s">
        <v>1560</v>
      </c>
      <c r="P53" s="1043" t="s">
        <v>211</v>
      </c>
      <c r="Q53" s="1043" t="s">
        <v>1561</v>
      </c>
      <c r="R53" s="1041" t="s">
        <v>1562</v>
      </c>
      <c r="S53" s="1041" t="s">
        <v>267</v>
      </c>
      <c r="T53" s="1043" t="s">
        <v>1563</v>
      </c>
      <c r="U53" s="1042" t="s">
        <v>1564</v>
      </c>
    </row>
    <row r="54" spans="2:21" s="1045" customFormat="1" ht="12.75" hidden="1" customHeight="1" outlineLevel="1">
      <c r="B54" s="3156" t="s">
        <v>1219</v>
      </c>
      <c r="C54" s="3156"/>
      <c r="D54" s="1051">
        <v>0</v>
      </c>
      <c r="E54" s="1051"/>
      <c r="F54" s="1051"/>
      <c r="G54" s="1054"/>
      <c r="H54" s="1046"/>
      <c r="I54" s="1688"/>
      <c r="J54" s="1689"/>
      <c r="K54" s="1690"/>
      <c r="L54" s="1690"/>
      <c r="M54" s="1691"/>
      <c r="N54" s="1689"/>
      <c r="O54" s="1692"/>
      <c r="P54" s="1690"/>
      <c r="Q54" s="1690"/>
      <c r="R54" s="1692"/>
      <c r="S54" s="1692"/>
      <c r="T54" s="1690"/>
      <c r="U54" s="1693"/>
    </row>
    <row r="55" spans="2:21" hidden="1" outlineLevel="1">
      <c r="B55" s="1050">
        <v>1</v>
      </c>
      <c r="C55" s="1050" t="str">
        <f t="shared" ref="C55:C69" si="9">IF(ISNA(VLOOKUP(B55,$D$54:$E$76,2,FALSE)),"-",VLOOKUP(B55,$D$54:$E$76,2,FALSE))</f>
        <v>Films plastiques PET (pas recyclable), France continentale, Base Carbone</v>
      </c>
      <c r="D55" s="1051">
        <f>D54+IF(LEN(E55)&gt;0,1,0)</f>
        <v>1</v>
      </c>
      <c r="E55" s="1051" t="str">
        <f>IF(COUNTIF(E$54:E54,F55)&gt;0,"",F55)</f>
        <v>Films plastiques PET (pas recyclable), France continentale, Base Carbone</v>
      </c>
      <c r="F55" s="1051" t="str">
        <f>IF(I55&lt;&gt;"",I55&amp;IF(L55&lt;&gt;"",", "&amp;L55,"")&amp;IF(K55&lt;&gt;"",", "&amp;K55,""),"")</f>
        <v>Films plastiques PET (pas recyclable), France continentale, Base Carbone</v>
      </c>
      <c r="G55" s="1055" t="str">
        <f>IF(F55&lt;&gt;"",F55&amp;IF(J55&lt;&gt;"","; "&amp;J55&amp;IF(N55&lt;&gt;""," "&amp;N55,),""),"")</f>
        <v>Films plastiques PET (pas recyclable), France continentale, Base Carbone; kgCO2e/tonne neuf</v>
      </c>
      <c r="I55" s="1100" t="s">
        <v>1989</v>
      </c>
      <c r="J55" s="1048" t="s">
        <v>1585</v>
      </c>
      <c r="K55" s="1119" t="s">
        <v>1567</v>
      </c>
      <c r="L55" s="1048" t="s">
        <v>1571</v>
      </c>
      <c r="M55" s="1033">
        <v>0.2</v>
      </c>
      <c r="N55" s="1048" t="s">
        <v>657</v>
      </c>
      <c r="O55" s="1983">
        <v>5500</v>
      </c>
      <c r="P55" s="1036"/>
      <c r="Q55" s="1036"/>
      <c r="R55" s="1036"/>
      <c r="S55" s="1036"/>
      <c r="T55" s="1036"/>
      <c r="U55" s="1102"/>
    </row>
    <row r="56" spans="2:21" hidden="1" outlineLevel="1">
      <c r="B56" s="1050">
        <v>2</v>
      </c>
      <c r="C56" s="1050" t="str">
        <f t="shared" si="9"/>
        <v>Nylon, France continentale, Base Carbone</v>
      </c>
      <c r="D56" s="1051">
        <f t="shared" ref="D56:D69" si="10">D55+IF(LEN(E56)&gt;0,1,0)</f>
        <v>1</v>
      </c>
      <c r="E56" s="1051" t="str">
        <f>IF(COUNTIF(E$54:E55,F56)&gt;0,"",F56)</f>
        <v/>
      </c>
      <c r="F56" s="1051" t="str">
        <f t="shared" ref="F56:F69" si="11">IF(I56&lt;&gt;"",I56&amp;IF(L56&lt;&gt;"",", "&amp;L56,"")&amp;IF(K56&lt;&gt;"",", "&amp;K56,""),"")</f>
        <v>Films plastiques PET (pas recyclable), France continentale, Base Carbone</v>
      </c>
      <c r="G56" s="1055" t="str">
        <f t="shared" ref="G56:G69" si="12">IF(F56&lt;&gt;"",F56&amp;IF(J56&lt;&gt;"","; "&amp;J56&amp;IF(N56&lt;&gt;""," "&amp;N56,),""),"")</f>
        <v>Films plastiques PET (pas recyclable), France continentale, Base Carbone; kgCO2e/tonne recyclé</v>
      </c>
      <c r="I56" s="1100" t="s">
        <v>1989</v>
      </c>
      <c r="J56" s="1048" t="s">
        <v>1585</v>
      </c>
      <c r="K56" s="1119" t="s">
        <v>1567</v>
      </c>
      <c r="L56" s="1048" t="s">
        <v>1571</v>
      </c>
      <c r="M56" s="1033">
        <v>0.2</v>
      </c>
      <c r="N56" s="1048" t="s">
        <v>120</v>
      </c>
      <c r="O56" s="1984">
        <v>5500</v>
      </c>
      <c r="P56" s="1036"/>
      <c r="Q56" s="1048"/>
      <c r="R56" s="1048"/>
      <c r="S56" s="1048"/>
      <c r="T56" s="1048"/>
      <c r="U56" s="1102"/>
    </row>
    <row r="57" spans="2:21" hidden="1" outlineLevel="1">
      <c r="B57" s="1050">
        <v>3</v>
      </c>
      <c r="C57" s="1050" t="str">
        <f t="shared" si="9"/>
        <v>Plastique (moyenne), France continentale, Base Carbone</v>
      </c>
      <c r="D57" s="1051">
        <f t="shared" si="10"/>
        <v>2</v>
      </c>
      <c r="E57" s="1051" t="str">
        <f>IF(COUNTIF(E$54:E56,F57)&gt;0,"",F57)</f>
        <v>Nylon, France continentale, Base Carbone</v>
      </c>
      <c r="F57" s="1051" t="str">
        <f t="shared" si="11"/>
        <v>Nylon, France continentale, Base Carbone</v>
      </c>
      <c r="G57" s="1055" t="str">
        <f t="shared" si="12"/>
        <v>Nylon, France continentale, Base Carbone; kgCO2e/tonne neuf</v>
      </c>
      <c r="I57" s="1100" t="s">
        <v>1209</v>
      </c>
      <c r="J57" s="1048" t="s">
        <v>1585</v>
      </c>
      <c r="K57" s="1119" t="s">
        <v>1567</v>
      </c>
      <c r="L57" s="1048" t="s">
        <v>1571</v>
      </c>
      <c r="M57" s="1033">
        <v>0.25</v>
      </c>
      <c r="N57" s="1135" t="s">
        <v>657</v>
      </c>
      <c r="O57" s="1984">
        <v>7630</v>
      </c>
      <c r="P57" s="1048"/>
      <c r="Q57" s="1048"/>
      <c r="R57" s="1048"/>
      <c r="S57" s="1048"/>
      <c r="T57" s="1048"/>
      <c r="U57" s="1102"/>
    </row>
    <row r="58" spans="2:21" hidden="1" outlineLevel="1">
      <c r="B58" s="1050">
        <v>4</v>
      </c>
      <c r="C58" s="1050" t="str">
        <f t="shared" si="9"/>
        <v>Plastique (PEBD), France continentale, Base Carbone</v>
      </c>
      <c r="D58" s="1051">
        <f t="shared" si="10"/>
        <v>3</v>
      </c>
      <c r="E58" s="1051" t="str">
        <f>IF(COUNTIF(E$54:E57,F58)&gt;0,"",F58)</f>
        <v>Plastique (moyenne), France continentale, Base Carbone</v>
      </c>
      <c r="F58" s="1051" t="str">
        <f t="shared" si="11"/>
        <v>Plastique (moyenne), France continentale, Base Carbone</v>
      </c>
      <c r="G58" s="1055" t="str">
        <f t="shared" si="12"/>
        <v>Plastique (moyenne), France continentale, Base Carbone; kgCO2e/tonne neuf</v>
      </c>
      <c r="I58" s="1100" t="s">
        <v>2168</v>
      </c>
      <c r="J58" s="1048" t="s">
        <v>1585</v>
      </c>
      <c r="K58" s="1119" t="s">
        <v>1567</v>
      </c>
      <c r="L58" s="1048" t="s">
        <v>1571</v>
      </c>
      <c r="M58" s="1033">
        <v>0.2</v>
      </c>
      <c r="N58" s="1048" t="s">
        <v>657</v>
      </c>
      <c r="O58" s="1984">
        <v>2383</v>
      </c>
      <c r="P58" s="1036"/>
      <c r="Q58" s="1048"/>
      <c r="R58" s="1048"/>
      <c r="S58" s="1048"/>
      <c r="T58" s="1048"/>
      <c r="U58" s="1102"/>
    </row>
    <row r="59" spans="2:21" hidden="1" outlineLevel="1">
      <c r="B59" s="1050">
        <v>5</v>
      </c>
      <c r="C59" s="1050" t="str">
        <f t="shared" si="9"/>
        <v>Plastique (PEHD), France continentale, Base Carbone</v>
      </c>
      <c r="D59" s="1051">
        <f t="shared" si="10"/>
        <v>3</v>
      </c>
      <c r="E59" s="1051" t="str">
        <f>IF(COUNTIF(E$54:E58,F59)&gt;0,"",F59)</f>
        <v/>
      </c>
      <c r="F59" s="1051" t="str">
        <f t="shared" si="11"/>
        <v>Plastique (moyenne), France continentale, Base Carbone</v>
      </c>
      <c r="G59" s="1055" t="str">
        <f t="shared" si="12"/>
        <v>Plastique (moyenne), France continentale, Base Carbone; kgCO2e/tonne recyclé</v>
      </c>
      <c r="I59" s="1100" t="s">
        <v>2168</v>
      </c>
      <c r="J59" s="1048" t="s">
        <v>1585</v>
      </c>
      <c r="K59" s="1119" t="s">
        <v>1567</v>
      </c>
      <c r="L59" s="1048" t="s">
        <v>1571</v>
      </c>
      <c r="M59" s="1033">
        <v>0.2</v>
      </c>
      <c r="N59" s="1048" t="s">
        <v>120</v>
      </c>
      <c r="O59" s="1984">
        <v>202</v>
      </c>
      <c r="P59" s="1036"/>
      <c r="Q59" s="1048"/>
      <c r="R59" s="1048"/>
      <c r="S59" s="1048"/>
      <c r="T59" s="1048"/>
      <c r="U59" s="1102"/>
    </row>
    <row r="60" spans="2:21" hidden="1" outlineLevel="1">
      <c r="B60" s="1050">
        <v>6</v>
      </c>
      <c r="C60" s="1050" t="str">
        <f t="shared" si="9"/>
        <v>Plastique (PET), France continentale, Base Carbone</v>
      </c>
      <c r="D60" s="1051">
        <f t="shared" si="10"/>
        <v>4</v>
      </c>
      <c r="E60" s="1051" t="str">
        <f>IF(COUNTIF(E$54:E59,F60)&gt;0,"",F60)</f>
        <v>Plastique (PEBD), France continentale, Base Carbone</v>
      </c>
      <c r="F60" s="1051" t="str">
        <f t="shared" si="11"/>
        <v>Plastique (PEBD), France continentale, Base Carbone</v>
      </c>
      <c r="G60" s="1055" t="str">
        <f t="shared" si="12"/>
        <v>Plastique (PEBD), France continentale, Base Carbone; kgCO2e/tonne neuf</v>
      </c>
      <c r="I60" s="1100" t="s">
        <v>2169</v>
      </c>
      <c r="J60" s="1048" t="s">
        <v>1585</v>
      </c>
      <c r="K60" s="1119" t="s">
        <v>1567</v>
      </c>
      <c r="L60" s="1048" t="s">
        <v>1571</v>
      </c>
      <c r="M60" s="1033">
        <v>0.2</v>
      </c>
      <c r="N60" s="1048" t="s">
        <v>657</v>
      </c>
      <c r="O60" s="1984">
        <v>2090</v>
      </c>
      <c r="P60" s="1036"/>
      <c r="Q60" s="1048"/>
      <c r="R60" s="1048"/>
      <c r="S60" s="1048"/>
      <c r="T60" s="1048"/>
      <c r="U60" s="1102"/>
    </row>
    <row r="61" spans="2:21" hidden="1" outlineLevel="1">
      <c r="B61" s="1050">
        <v>7</v>
      </c>
      <c r="C61" s="1050" t="str">
        <f t="shared" si="9"/>
        <v>Plastique (PS), France continentale, Base Carbone</v>
      </c>
      <c r="D61" s="1051">
        <f t="shared" si="10"/>
        <v>4</v>
      </c>
      <c r="E61" s="1051" t="str">
        <f>IF(COUNTIF(E$54:E60,F61)&gt;0,"",F61)</f>
        <v/>
      </c>
      <c r="F61" s="1051" t="str">
        <f t="shared" si="11"/>
        <v>Plastique (PEBD), France continentale, Base Carbone</v>
      </c>
      <c r="G61" s="1055" t="str">
        <f t="shared" si="12"/>
        <v>Plastique (PEBD), France continentale, Base Carbone; kgCO2e/tonne recyclé</v>
      </c>
      <c r="I61" s="1100" t="s">
        <v>2169</v>
      </c>
      <c r="J61" s="1048" t="s">
        <v>1585</v>
      </c>
      <c r="K61" s="1119" t="s">
        <v>1567</v>
      </c>
      <c r="L61" s="1048" t="s">
        <v>1571</v>
      </c>
      <c r="M61" s="1033">
        <v>0.2</v>
      </c>
      <c r="N61" s="1048" t="s">
        <v>120</v>
      </c>
      <c r="O61" s="1984">
        <v>202</v>
      </c>
      <c r="P61" s="1036"/>
      <c r="Q61" s="1048"/>
      <c r="R61" s="1048"/>
      <c r="S61" s="1048"/>
      <c r="T61" s="1048"/>
      <c r="U61" s="1102"/>
    </row>
    <row r="62" spans="2:21" hidden="1" outlineLevel="1">
      <c r="B62" s="1050">
        <v>8</v>
      </c>
      <c r="C62" s="1050" t="str">
        <f t="shared" si="9"/>
        <v>Plastique (PVC), France continentale, Base Carbone</v>
      </c>
      <c r="D62" s="1051">
        <f t="shared" si="10"/>
        <v>5</v>
      </c>
      <c r="E62" s="1051" t="str">
        <f>IF(COUNTIF(E$54:E61,F62)&gt;0,"",F62)</f>
        <v>Plastique (PEHD), France continentale, Base Carbone</v>
      </c>
      <c r="F62" s="1051" t="str">
        <f t="shared" si="11"/>
        <v>Plastique (PEHD), France continentale, Base Carbone</v>
      </c>
      <c r="G62" s="1055" t="str">
        <f t="shared" si="12"/>
        <v>Plastique (PEHD), France continentale, Base Carbone; kgCO2e/tonne neuf</v>
      </c>
      <c r="I62" s="1100" t="s">
        <v>2170</v>
      </c>
      <c r="J62" s="1048" t="s">
        <v>1585</v>
      </c>
      <c r="K62" s="1119" t="s">
        <v>1567</v>
      </c>
      <c r="L62" s="1048" t="s">
        <v>1571</v>
      </c>
      <c r="M62" s="1033">
        <v>0.2</v>
      </c>
      <c r="N62" s="1048" t="s">
        <v>657</v>
      </c>
      <c r="O62" s="1984">
        <v>1920</v>
      </c>
      <c r="P62" s="1036"/>
      <c r="Q62" s="1048"/>
      <c r="R62" s="1048"/>
      <c r="S62" s="1048"/>
      <c r="T62" s="1048"/>
      <c r="U62" s="1102"/>
    </row>
    <row r="63" spans="2:21" hidden="1" outlineLevel="1">
      <c r="B63" s="1050">
        <v>9</v>
      </c>
      <c r="C63" s="1050" t="str">
        <f t="shared" si="9"/>
        <v>Polymères de propylène (PP), France continentale, Base Carbone</v>
      </c>
      <c r="D63" s="1051">
        <f t="shared" si="10"/>
        <v>5</v>
      </c>
      <c r="E63" s="1051" t="str">
        <f>IF(COUNTIF(E$54:E62,F63)&gt;0,"",F63)</f>
        <v/>
      </c>
      <c r="F63" s="1051" t="str">
        <f t="shared" si="11"/>
        <v>Plastique (PEHD), France continentale, Base Carbone</v>
      </c>
      <c r="G63" s="1055" t="str">
        <f t="shared" si="12"/>
        <v>Plastique (PEHD), France continentale, Base Carbone; kgCO2e/tonne recyclé</v>
      </c>
      <c r="I63" s="1100" t="s">
        <v>2170</v>
      </c>
      <c r="J63" s="1048" t="s">
        <v>1585</v>
      </c>
      <c r="K63" s="1119" t="s">
        <v>1567</v>
      </c>
      <c r="L63" s="1048" t="s">
        <v>1571</v>
      </c>
      <c r="M63" s="1033">
        <v>0.2</v>
      </c>
      <c r="N63" s="1048" t="s">
        <v>120</v>
      </c>
      <c r="O63" s="1984">
        <v>202</v>
      </c>
      <c r="P63" s="1036"/>
      <c r="Q63" s="1048"/>
      <c r="R63" s="1048"/>
      <c r="S63" s="1048"/>
      <c r="T63" s="1048"/>
      <c r="U63" s="1102"/>
    </row>
    <row r="64" spans="2:21" hidden="1" outlineLevel="1">
      <c r="B64" s="1050">
        <v>10</v>
      </c>
      <c r="C64" s="1050" t="str">
        <f t="shared" si="9"/>
        <v>-</v>
      </c>
      <c r="D64" s="1051">
        <f t="shared" si="10"/>
        <v>6</v>
      </c>
      <c r="E64" s="1051" t="str">
        <f>IF(COUNTIF(E$54:E63,F64)&gt;0,"",F64)</f>
        <v>Plastique (PET), France continentale, Base Carbone</v>
      </c>
      <c r="F64" s="1051" t="str">
        <f t="shared" si="11"/>
        <v>Plastique (PET), France continentale, Base Carbone</v>
      </c>
      <c r="G64" s="1055" t="str">
        <f t="shared" si="12"/>
        <v>Plastique (PET), France continentale, Base Carbone; kgCO2e/tonne neuf</v>
      </c>
      <c r="I64" s="1100" t="s">
        <v>2171</v>
      </c>
      <c r="J64" s="1048" t="s">
        <v>1585</v>
      </c>
      <c r="K64" s="1119" t="s">
        <v>1567</v>
      </c>
      <c r="L64" s="1048" t="s">
        <v>1571</v>
      </c>
      <c r="M64" s="1033">
        <v>0.2</v>
      </c>
      <c r="N64" s="1048" t="s">
        <v>657</v>
      </c>
      <c r="O64" s="1984">
        <v>3270</v>
      </c>
      <c r="P64" s="1036"/>
      <c r="Q64" s="1048"/>
      <c r="R64" s="1048"/>
      <c r="S64" s="1048"/>
      <c r="T64" s="1048"/>
      <c r="U64" s="1102"/>
    </row>
    <row r="65" spans="2:21" hidden="1" outlineLevel="1">
      <c r="B65" s="1050">
        <v>11</v>
      </c>
      <c r="C65" s="1050" t="str">
        <f t="shared" si="9"/>
        <v>-</v>
      </c>
      <c r="D65" s="1051">
        <f t="shared" si="10"/>
        <v>6</v>
      </c>
      <c r="E65" s="1051" t="str">
        <f>IF(COUNTIF(E$54:E64,F65)&gt;0,"",F65)</f>
        <v/>
      </c>
      <c r="F65" s="1051" t="str">
        <f t="shared" si="11"/>
        <v>Plastique (PET), France continentale, Base Carbone</v>
      </c>
      <c r="G65" s="1055" t="str">
        <f t="shared" si="12"/>
        <v>Plastique (PET), France continentale, Base Carbone; kgCO2e/tonne recyclé</v>
      </c>
      <c r="I65" s="1100" t="s">
        <v>2171</v>
      </c>
      <c r="J65" s="1048" t="s">
        <v>1585</v>
      </c>
      <c r="K65" s="1119" t="s">
        <v>1567</v>
      </c>
      <c r="L65" s="1048" t="s">
        <v>1571</v>
      </c>
      <c r="M65" s="1033">
        <v>0.2</v>
      </c>
      <c r="N65" s="1048" t="s">
        <v>120</v>
      </c>
      <c r="O65" s="1984">
        <v>202</v>
      </c>
      <c r="P65" s="1036"/>
      <c r="Q65" s="1048"/>
      <c r="R65" s="1048"/>
      <c r="S65" s="1048"/>
      <c r="T65" s="1048"/>
      <c r="U65" s="1102"/>
    </row>
    <row r="66" spans="2:21" hidden="1" outlineLevel="1">
      <c r="B66" s="1050">
        <v>12</v>
      </c>
      <c r="C66" s="1050" t="str">
        <f t="shared" si="9"/>
        <v>-</v>
      </c>
      <c r="D66" s="1051">
        <f t="shared" si="10"/>
        <v>7</v>
      </c>
      <c r="E66" s="1051" t="str">
        <f>IF(COUNTIF(E$54:E65,F66)&gt;0,"",F66)</f>
        <v>Plastique (PS), France continentale, Base Carbone</v>
      </c>
      <c r="F66" s="1051" t="str">
        <f t="shared" si="11"/>
        <v>Plastique (PS), France continentale, Base Carbone</v>
      </c>
      <c r="G66" s="1055" t="str">
        <f t="shared" si="12"/>
        <v>Plastique (PS), France continentale, Base Carbone; kgCO2e/tonne neuf</v>
      </c>
      <c r="I66" s="1100" t="s">
        <v>2172</v>
      </c>
      <c r="J66" s="1048" t="s">
        <v>1585</v>
      </c>
      <c r="K66" s="1119" t="s">
        <v>1567</v>
      </c>
      <c r="L66" s="1048" t="s">
        <v>1571</v>
      </c>
      <c r="M66" s="1033">
        <v>0.2</v>
      </c>
      <c r="N66" s="1048" t="s">
        <v>657</v>
      </c>
      <c r="O66" s="1984">
        <v>2830</v>
      </c>
      <c r="P66" s="1036"/>
      <c r="Q66" s="1048"/>
      <c r="R66" s="1048"/>
      <c r="S66" s="1048"/>
      <c r="T66" s="1048"/>
      <c r="U66" s="1102"/>
    </row>
    <row r="67" spans="2:21" hidden="1" outlineLevel="1">
      <c r="B67" s="1050">
        <v>13</v>
      </c>
      <c r="C67" s="1050" t="str">
        <f t="shared" si="9"/>
        <v>-</v>
      </c>
      <c r="D67" s="1051">
        <f t="shared" si="10"/>
        <v>7</v>
      </c>
      <c r="E67" s="1051" t="str">
        <f>IF(COUNTIF(E$54:E66,F67)&gt;0,"",F67)</f>
        <v/>
      </c>
      <c r="F67" s="1051" t="str">
        <f t="shared" si="11"/>
        <v>Plastique (PS), France continentale, Base Carbone</v>
      </c>
      <c r="G67" s="1055" t="str">
        <f t="shared" si="12"/>
        <v>Plastique (PS), France continentale, Base Carbone; kgCO2e/tonne recyclé</v>
      </c>
      <c r="I67" s="1100" t="s">
        <v>2172</v>
      </c>
      <c r="J67" s="1048" t="s">
        <v>1585</v>
      </c>
      <c r="K67" s="1119" t="s">
        <v>1567</v>
      </c>
      <c r="L67" s="1048" t="s">
        <v>1571</v>
      </c>
      <c r="M67" s="1033">
        <v>0.2</v>
      </c>
      <c r="N67" s="1048" t="s">
        <v>120</v>
      </c>
      <c r="O67" s="1984">
        <v>2830</v>
      </c>
      <c r="P67" s="1036"/>
      <c r="Q67" s="1048"/>
      <c r="R67" s="1048"/>
      <c r="S67" s="1048"/>
      <c r="T67" s="1048"/>
      <c r="U67" s="1102"/>
    </row>
    <row r="68" spans="2:21" hidden="1" outlineLevel="1">
      <c r="B68" s="1050">
        <v>14</v>
      </c>
      <c r="C68" s="1050" t="str">
        <f t="shared" si="9"/>
        <v>-</v>
      </c>
      <c r="D68" s="1051">
        <f t="shared" si="10"/>
        <v>8</v>
      </c>
      <c r="E68" s="1051" t="str">
        <f>IF(COUNTIF(E$54:E67,F68)&gt;0,"",F68)</f>
        <v>Plastique (PVC), France continentale, Base Carbone</v>
      </c>
      <c r="F68" s="1051" t="str">
        <f t="shared" si="11"/>
        <v>Plastique (PVC), France continentale, Base Carbone</v>
      </c>
      <c r="G68" s="1055" t="str">
        <f t="shared" si="12"/>
        <v>Plastique (PVC), France continentale, Base Carbone; kgCO2e/tonne neuf</v>
      </c>
      <c r="I68" s="1100" t="s">
        <v>2173</v>
      </c>
      <c r="J68" s="1048" t="s">
        <v>1585</v>
      </c>
      <c r="K68" s="1119" t="s">
        <v>1567</v>
      </c>
      <c r="L68" s="1048" t="s">
        <v>1571</v>
      </c>
      <c r="M68" s="1033">
        <v>0.2</v>
      </c>
      <c r="N68" s="1048" t="s">
        <v>657</v>
      </c>
      <c r="O68" s="1984">
        <v>1870</v>
      </c>
      <c r="P68" s="1036"/>
      <c r="Q68" s="1048"/>
      <c r="R68" s="1048"/>
      <c r="S68" s="1048"/>
      <c r="T68" s="1048"/>
      <c r="U68" s="1102"/>
    </row>
    <row r="69" spans="2:21" hidden="1" outlineLevel="1">
      <c r="B69" s="1050">
        <v>15</v>
      </c>
      <c r="C69" s="1050" t="str">
        <f t="shared" si="9"/>
        <v>-</v>
      </c>
      <c r="D69" s="1051">
        <f t="shared" si="10"/>
        <v>8</v>
      </c>
      <c r="E69" s="1051" t="str">
        <f>IF(COUNTIF(E$54:E68,F69)&gt;0,"",F69)</f>
        <v/>
      </c>
      <c r="F69" s="1051" t="str">
        <f t="shared" si="11"/>
        <v>Plastique (PVC), France continentale, Base Carbone</v>
      </c>
      <c r="G69" s="1055" t="str">
        <f t="shared" si="12"/>
        <v>Plastique (PVC), France continentale, Base Carbone; kgCO2e/tonne recyclé</v>
      </c>
      <c r="I69" s="1100" t="s">
        <v>2173</v>
      </c>
      <c r="J69" s="1048" t="s">
        <v>1585</v>
      </c>
      <c r="K69" s="1119" t="s">
        <v>1567</v>
      </c>
      <c r="L69" s="1048" t="s">
        <v>1571</v>
      </c>
      <c r="M69" s="1033">
        <v>0.2</v>
      </c>
      <c r="N69" s="1048" t="s">
        <v>120</v>
      </c>
      <c r="O69" s="1984">
        <v>403</v>
      </c>
      <c r="P69" s="1036"/>
      <c r="Q69" s="1048"/>
      <c r="R69" s="1048"/>
      <c r="S69" s="1048"/>
      <c r="T69" s="1048"/>
      <c r="U69" s="1102"/>
    </row>
    <row r="70" spans="2:21" hidden="1" outlineLevel="1">
      <c r="B70" s="1050">
        <v>16</v>
      </c>
      <c r="C70" s="1050" t="str">
        <f t="shared" ref="C70:C76" si="13">IF(ISNA(VLOOKUP(B70,$D$54:$E$76,2,FALSE)),"-",VLOOKUP(B70,$D$54:$E$76,2,FALSE))</f>
        <v>-</v>
      </c>
      <c r="D70" s="1051">
        <f t="shared" ref="D70:D76" si="14">D69+IF(LEN(E70)&gt;0,1,0)</f>
        <v>9</v>
      </c>
      <c r="E70" s="1051" t="str">
        <f>IF(COUNTIF(E$54:E69,F70)&gt;0,"",F70)</f>
        <v>Polymères de propylène (PP), France continentale, Base Carbone</v>
      </c>
      <c r="F70" s="1051" t="str">
        <f t="shared" ref="F70:F76" si="15">IF(I70&lt;&gt;"",I70&amp;IF(L70&lt;&gt;"",", "&amp;L70,"")&amp;IF(K70&lt;&gt;"",", "&amp;K70,""),"")</f>
        <v>Polymères de propylène (PP), France continentale, Base Carbone</v>
      </c>
      <c r="G70" s="1055" t="str">
        <f t="shared" ref="G70:G76" si="16">IF(F70&lt;&gt;"",F70&amp;IF(J70&lt;&gt;"","; "&amp;J70&amp;IF(N70&lt;&gt;""," "&amp;N70,),""),"")</f>
        <v>Polymères de propylène (PP), France continentale, Base Carbone; kgCO2e/tonne neuf</v>
      </c>
      <c r="I70" s="2018" t="s">
        <v>3694</v>
      </c>
      <c r="J70" s="1135" t="s">
        <v>1585</v>
      </c>
      <c r="K70" s="1119" t="s">
        <v>1567</v>
      </c>
      <c r="L70" s="1119" t="s">
        <v>1571</v>
      </c>
      <c r="M70" s="1033">
        <v>1</v>
      </c>
      <c r="N70" s="2017" t="s">
        <v>657</v>
      </c>
      <c r="O70" s="2303">
        <v>2000</v>
      </c>
      <c r="P70" s="1036"/>
      <c r="Q70" s="1135"/>
      <c r="R70" s="1135"/>
      <c r="S70" s="1135"/>
      <c r="T70" s="1135"/>
      <c r="U70" s="2041"/>
    </row>
    <row r="71" spans="2:21" hidden="1" outlineLevel="1">
      <c r="B71" s="1050">
        <v>17</v>
      </c>
      <c r="C71" s="1050" t="str">
        <f t="shared" si="13"/>
        <v>-</v>
      </c>
      <c r="D71" s="1051">
        <f t="shared" si="14"/>
        <v>9</v>
      </c>
      <c r="E71" s="1051" t="str">
        <f>IF(COUNTIF(E$54:E70,F71)&gt;0,"",F71)</f>
        <v/>
      </c>
      <c r="F71" s="1051" t="str">
        <f t="shared" si="15"/>
        <v/>
      </c>
      <c r="G71" s="1055" t="str">
        <f t="shared" si="16"/>
        <v/>
      </c>
      <c r="I71" s="1100"/>
      <c r="J71" s="1048"/>
      <c r="K71" s="1119"/>
      <c r="L71" s="1048"/>
      <c r="M71" s="1033"/>
      <c r="N71" s="1048"/>
      <c r="O71" s="1048"/>
      <c r="P71" s="1036"/>
      <c r="Q71" s="1048"/>
      <c r="R71" s="1048"/>
      <c r="S71" s="1048"/>
      <c r="T71" s="1048"/>
      <c r="U71" s="1102"/>
    </row>
    <row r="72" spans="2:21" hidden="1" outlineLevel="1">
      <c r="B72" s="1050">
        <v>18</v>
      </c>
      <c r="C72" s="1050" t="str">
        <f t="shared" si="13"/>
        <v>-</v>
      </c>
      <c r="D72" s="1051">
        <f t="shared" si="14"/>
        <v>9</v>
      </c>
      <c r="E72" s="1051" t="str">
        <f>IF(COUNTIF(E$54:E71,F72)&gt;0,"",F72)</f>
        <v/>
      </c>
      <c r="F72" s="1051" t="str">
        <f t="shared" si="15"/>
        <v/>
      </c>
      <c r="G72" s="1055" t="str">
        <f t="shared" si="16"/>
        <v/>
      </c>
      <c r="I72" s="1100"/>
      <c r="J72" s="1048"/>
      <c r="K72" s="1119"/>
      <c r="L72" s="1048"/>
      <c r="M72" s="1033"/>
      <c r="N72" s="1048"/>
      <c r="O72" s="1048"/>
      <c r="P72" s="1036"/>
      <c r="Q72" s="1048"/>
      <c r="R72" s="1048"/>
      <c r="S72" s="1048"/>
      <c r="T72" s="1048"/>
      <c r="U72" s="1102"/>
    </row>
    <row r="73" spans="2:21" hidden="1" outlineLevel="1">
      <c r="B73" s="1050">
        <v>19</v>
      </c>
      <c r="C73" s="1050" t="str">
        <f t="shared" si="13"/>
        <v>-</v>
      </c>
      <c r="D73" s="1051">
        <f t="shared" si="14"/>
        <v>9</v>
      </c>
      <c r="E73" s="1051" t="str">
        <f>IF(COUNTIF(E$54:E72,F73)&gt;0,"",F73)</f>
        <v/>
      </c>
      <c r="F73" s="1051" t="str">
        <f t="shared" si="15"/>
        <v/>
      </c>
      <c r="G73" s="1055" t="str">
        <f t="shared" si="16"/>
        <v/>
      </c>
      <c r="I73" s="1100"/>
      <c r="J73" s="1048"/>
      <c r="K73" s="1119"/>
      <c r="L73" s="1048"/>
      <c r="M73" s="1033"/>
      <c r="N73" s="1048"/>
      <c r="O73" s="1048"/>
      <c r="P73" s="1036"/>
      <c r="Q73" s="1048"/>
      <c r="R73" s="1048"/>
      <c r="S73" s="1048"/>
      <c r="T73" s="1048"/>
      <c r="U73" s="1102"/>
    </row>
    <row r="74" spans="2:21" hidden="1" outlineLevel="1">
      <c r="B74" s="1050">
        <v>20</v>
      </c>
      <c r="C74" s="1050" t="str">
        <f t="shared" si="13"/>
        <v>-</v>
      </c>
      <c r="D74" s="1051">
        <f t="shared" si="14"/>
        <v>9</v>
      </c>
      <c r="E74" s="1051" t="str">
        <f>IF(COUNTIF(E$54:E73,F74)&gt;0,"",F74)</f>
        <v/>
      </c>
      <c r="F74" s="1051" t="str">
        <f t="shared" si="15"/>
        <v/>
      </c>
      <c r="G74" s="1055" t="str">
        <f t="shared" si="16"/>
        <v/>
      </c>
      <c r="I74" s="1100"/>
      <c r="J74" s="1048"/>
      <c r="K74" s="1119"/>
      <c r="L74" s="1048"/>
      <c r="M74" s="1033"/>
      <c r="N74" s="1048"/>
      <c r="O74" s="1048"/>
      <c r="P74" s="1036"/>
      <c r="Q74" s="1048"/>
      <c r="R74" s="1048"/>
      <c r="S74" s="1048"/>
      <c r="T74" s="1048"/>
      <c r="U74" s="1102"/>
    </row>
    <row r="75" spans="2:21" hidden="1" outlineLevel="1">
      <c r="B75" s="1050">
        <v>21</v>
      </c>
      <c r="C75" s="1050" t="str">
        <f t="shared" si="13"/>
        <v>-</v>
      </c>
      <c r="D75" s="1051">
        <f t="shared" si="14"/>
        <v>9</v>
      </c>
      <c r="E75" s="1051" t="str">
        <f>IF(COUNTIF(E$54:E74,F75)&gt;0,"",F75)</f>
        <v/>
      </c>
      <c r="F75" s="1051" t="str">
        <f t="shared" si="15"/>
        <v/>
      </c>
      <c r="G75" s="1055" t="str">
        <f t="shared" si="16"/>
        <v/>
      </c>
      <c r="I75" s="1100"/>
      <c r="J75" s="1048"/>
      <c r="K75" s="1119"/>
      <c r="L75" s="1048"/>
      <c r="M75" s="1033"/>
      <c r="N75" s="1048"/>
      <c r="O75" s="1048"/>
      <c r="P75" s="1036"/>
      <c r="Q75" s="1048"/>
      <c r="R75" s="1048"/>
      <c r="S75" s="1048"/>
      <c r="T75" s="1048"/>
      <c r="U75" s="1102"/>
    </row>
    <row r="76" spans="2:21" hidden="1" outlineLevel="1">
      <c r="B76" s="1050">
        <v>22</v>
      </c>
      <c r="C76" s="1050" t="str">
        <f t="shared" si="13"/>
        <v>-</v>
      </c>
      <c r="D76" s="1051">
        <f t="shared" si="14"/>
        <v>9</v>
      </c>
      <c r="E76" s="1051" t="str">
        <f>IF(COUNTIF(E$54:E75,F76)&gt;0,"",F76)</f>
        <v/>
      </c>
      <c r="F76" s="1051" t="str">
        <f t="shared" si="15"/>
        <v/>
      </c>
      <c r="G76" s="1055" t="str">
        <f t="shared" si="16"/>
        <v/>
      </c>
      <c r="I76" s="1103"/>
      <c r="J76" s="1104"/>
      <c r="K76" s="1095"/>
      <c r="L76" s="1104"/>
      <c r="M76" s="1155"/>
      <c r="N76" s="1104"/>
      <c r="O76" s="1104"/>
      <c r="P76" s="1156"/>
      <c r="Q76" s="1104"/>
      <c r="R76" s="1104"/>
      <c r="S76" s="1104"/>
      <c r="T76" s="1104"/>
      <c r="U76" s="1106"/>
    </row>
    <row r="77" spans="2:21"/>
    <row r="78" spans="2:21" ht="15.6" collapsed="1">
      <c r="I78" s="3194" t="s">
        <v>2522</v>
      </c>
      <c r="J78" s="3195"/>
      <c r="K78" s="3195"/>
      <c r="L78" s="3195"/>
      <c r="M78" s="3195"/>
      <c r="N78" s="3195"/>
      <c r="O78" s="3195"/>
      <c r="P78" s="3195"/>
      <c r="Q78" s="3195"/>
      <c r="R78" s="3195"/>
      <c r="S78" s="3195"/>
      <c r="T78" s="3195"/>
      <c r="U78" s="3196"/>
    </row>
    <row r="79" spans="2:21" ht="13.2" hidden="1" outlineLevel="1">
      <c r="H79" s="1044"/>
      <c r="I79" s="1038" t="s">
        <v>1557</v>
      </c>
      <c r="J79" s="1040" t="s">
        <v>1266</v>
      </c>
      <c r="K79" s="1043" t="s">
        <v>224</v>
      </c>
      <c r="L79" s="1043" t="s">
        <v>1558</v>
      </c>
      <c r="M79" s="1039" t="s">
        <v>366</v>
      </c>
      <c r="N79" s="1040" t="s">
        <v>1559</v>
      </c>
      <c r="O79" s="1041" t="s">
        <v>1560</v>
      </c>
      <c r="P79" s="1043" t="s">
        <v>211</v>
      </c>
      <c r="Q79" s="1043" t="s">
        <v>1561</v>
      </c>
      <c r="R79" s="1041" t="s">
        <v>1562</v>
      </c>
      <c r="S79" s="1041" t="s">
        <v>267</v>
      </c>
      <c r="T79" s="1043" t="s">
        <v>1563</v>
      </c>
      <c r="U79" s="1042" t="s">
        <v>1564</v>
      </c>
    </row>
    <row r="80" spans="2:21" s="1045" customFormat="1" ht="13.2" hidden="1" outlineLevel="1">
      <c r="B80"/>
      <c r="C80"/>
      <c r="D80"/>
      <c r="E80"/>
      <c r="F80"/>
      <c r="G80"/>
      <c r="H80" s="1046"/>
      <c r="I80" s="1688"/>
      <c r="J80" s="1689"/>
      <c r="K80" s="1690"/>
      <c r="L80" s="1690"/>
      <c r="M80" s="1691"/>
      <c r="N80" s="1689"/>
      <c r="O80" s="1692"/>
      <c r="P80" s="1690"/>
      <c r="Q80" s="1690"/>
      <c r="R80" s="1692"/>
      <c r="S80" s="1692"/>
      <c r="T80" s="1690"/>
      <c r="U80" s="1693"/>
    </row>
    <row r="81" spans="9:21" hidden="1" outlineLevel="1">
      <c r="I81" s="1100" t="s">
        <v>2168</v>
      </c>
      <c r="J81" s="1048" t="s">
        <v>1585</v>
      </c>
      <c r="K81" s="1119" t="s">
        <v>1567</v>
      </c>
      <c r="L81" s="1048" t="s">
        <v>1571</v>
      </c>
      <c r="M81" s="1033">
        <f>SQRT(SUMSQ(0.2,0.2))</f>
        <v>0.28284271247461906</v>
      </c>
      <c r="N81" s="1048" t="s">
        <v>2523</v>
      </c>
      <c r="O81" s="1036">
        <f>VLOOKUP(I81&amp;", France continentale, Base Carbone; kgCO2e/tonne neuf",$G$55:$O$69,9,FALSE)-VLOOKUP(I81&amp;", France continentale, Base Carbone; kgCO2e/tonne recyclé",$G$55:$O$69,9,FALSE)</f>
        <v>2181</v>
      </c>
      <c r="P81" s="1036"/>
      <c r="Q81" s="1036"/>
      <c r="R81" s="1036"/>
      <c r="S81" s="1036"/>
      <c r="T81" s="1036"/>
      <c r="U81" s="1102"/>
    </row>
    <row r="82" spans="9:21" hidden="1" outlineLevel="1">
      <c r="I82" s="1100" t="s">
        <v>2169</v>
      </c>
      <c r="J82" s="1048" t="s">
        <v>1585</v>
      </c>
      <c r="K82" s="1119" t="s">
        <v>1567</v>
      </c>
      <c r="L82" s="1048" t="s">
        <v>1571</v>
      </c>
      <c r="M82" s="1033">
        <f t="shared" ref="M82:M85" si="17">SQRT(SUMSQ(0.2,0.2))</f>
        <v>0.28284271247461906</v>
      </c>
      <c r="N82" s="1048" t="s">
        <v>2523</v>
      </c>
      <c r="O82" s="1036">
        <f t="shared" ref="O82:O86" si="18">VLOOKUP(I82&amp;", France continentale, Base Carbone; kgCO2e/tonne neuf",$G$55:$O$69,9,FALSE)-VLOOKUP(I82&amp;", France continentale, Base Carbone; kgCO2e/tonne recyclé",$G$55:$O$69,9,FALSE)</f>
        <v>1888</v>
      </c>
      <c r="P82" s="1036"/>
      <c r="Q82" s="1036"/>
      <c r="R82" s="1036"/>
      <c r="S82" s="1036"/>
      <c r="T82" s="1036"/>
      <c r="U82" s="1102"/>
    </row>
    <row r="83" spans="9:21" hidden="1" outlineLevel="1">
      <c r="I83" s="1100" t="s">
        <v>2170</v>
      </c>
      <c r="J83" s="1048" t="s">
        <v>1585</v>
      </c>
      <c r="K83" s="1119" t="s">
        <v>1567</v>
      </c>
      <c r="L83" s="1048" t="s">
        <v>1571</v>
      </c>
      <c r="M83" s="1033">
        <f t="shared" si="17"/>
        <v>0.28284271247461906</v>
      </c>
      <c r="N83" s="1048" t="s">
        <v>2523</v>
      </c>
      <c r="O83" s="1036">
        <f t="shared" si="18"/>
        <v>1718</v>
      </c>
      <c r="P83" s="1036"/>
      <c r="Q83" s="1036"/>
      <c r="R83" s="1036"/>
      <c r="S83" s="1036"/>
      <c r="T83" s="1036"/>
      <c r="U83" s="1102"/>
    </row>
    <row r="84" spans="9:21" hidden="1" outlineLevel="1">
      <c r="I84" s="1100" t="s">
        <v>2171</v>
      </c>
      <c r="J84" s="1048" t="s">
        <v>1585</v>
      </c>
      <c r="K84" s="1119" t="s">
        <v>1567</v>
      </c>
      <c r="L84" s="1048" t="s">
        <v>1571</v>
      </c>
      <c r="M84" s="1033">
        <f t="shared" si="17"/>
        <v>0.28284271247461906</v>
      </c>
      <c r="N84" s="1048" t="s">
        <v>2523</v>
      </c>
      <c r="O84" s="1036">
        <f t="shared" si="18"/>
        <v>3068</v>
      </c>
      <c r="P84" s="1036"/>
      <c r="Q84" s="1036"/>
      <c r="R84" s="1036"/>
      <c r="S84" s="1036"/>
      <c r="T84" s="1036"/>
      <c r="U84" s="1102"/>
    </row>
    <row r="85" spans="9:21" hidden="1" outlineLevel="1">
      <c r="I85" s="1100" t="s">
        <v>2172</v>
      </c>
      <c r="J85" s="1048" t="s">
        <v>1585</v>
      </c>
      <c r="K85" s="1119" t="s">
        <v>1567</v>
      </c>
      <c r="L85" s="1048" t="s">
        <v>1571</v>
      </c>
      <c r="M85" s="1033">
        <f t="shared" si="17"/>
        <v>0.28284271247461906</v>
      </c>
      <c r="N85" s="1048" t="s">
        <v>2523</v>
      </c>
      <c r="O85" s="1036">
        <f t="shared" si="18"/>
        <v>0</v>
      </c>
      <c r="P85" s="1036"/>
      <c r="Q85" s="1036"/>
      <c r="R85" s="1036"/>
      <c r="S85" s="1036"/>
      <c r="T85" s="1036"/>
      <c r="U85" s="1102"/>
    </row>
    <row r="86" spans="9:21" hidden="1" outlineLevel="1">
      <c r="I86" s="1100" t="s">
        <v>2173</v>
      </c>
      <c r="J86" s="1048" t="s">
        <v>1585</v>
      </c>
      <c r="K86" s="1119" t="s">
        <v>1567</v>
      </c>
      <c r="L86" s="1048" t="s">
        <v>1571</v>
      </c>
      <c r="M86" s="1033">
        <f>SQRT(SUMSQ(0.2,0.2))</f>
        <v>0.28284271247461906</v>
      </c>
      <c r="N86" s="1048" t="s">
        <v>2523</v>
      </c>
      <c r="O86" s="1036">
        <f t="shared" si="18"/>
        <v>1467</v>
      </c>
      <c r="P86" s="1036"/>
      <c r="Q86" s="1036"/>
      <c r="R86" s="1036"/>
      <c r="S86" s="1036"/>
      <c r="T86" s="1036"/>
      <c r="U86" s="1102"/>
    </row>
    <row r="87" spans="9:21" hidden="1" outlineLevel="1">
      <c r="I87" s="1100" t="s">
        <v>1202</v>
      </c>
      <c r="J87" s="1048" t="s">
        <v>1585</v>
      </c>
      <c r="K87" s="1119" t="s">
        <v>1567</v>
      </c>
      <c r="L87" s="1048" t="s">
        <v>1571</v>
      </c>
      <c r="M87" s="1033">
        <f>SQRT(SUMSQ(0.1,0.1))</f>
        <v>0.14142135623730953</v>
      </c>
      <c r="N87" s="1048" t="s">
        <v>2523</v>
      </c>
      <c r="O87" s="1036">
        <f>VLOOKUP(I87&amp;", France continentale, Base Carbone; kgCO2e/tonne neuf",$G$13:$O$27,9,FALSE)-VLOOKUP(I87&amp;", France continentale, Base Carbone; kgCO2e/tonne recyclé",$G$13:$O$27,9,FALSE)</f>
        <v>1272</v>
      </c>
      <c r="P87" s="1036"/>
      <c r="Q87" s="1036"/>
      <c r="R87" s="1036"/>
      <c r="S87" s="1036"/>
      <c r="T87" s="1036"/>
      <c r="U87" s="1102"/>
    </row>
    <row r="88" spans="9:21" hidden="1" outlineLevel="1">
      <c r="I88" s="1100" t="s">
        <v>1203</v>
      </c>
      <c r="J88" s="1048" t="s">
        <v>1585</v>
      </c>
      <c r="K88" s="1119" t="s">
        <v>1567</v>
      </c>
      <c r="L88" s="1048" t="s">
        <v>1571</v>
      </c>
      <c r="M88" s="1033">
        <f>SQRT(SUMSQ(0.3,0.3))</f>
        <v>0.42426406871192851</v>
      </c>
      <c r="N88" s="1048" t="s">
        <v>2523</v>
      </c>
      <c r="O88" s="1036">
        <f t="shared" ref="O88:O91" si="19">VLOOKUP(I88&amp;", France continentale, Base Carbone; kgCO2e/tonne neuf",$G$13:$O$27,9,FALSE)-VLOOKUP(I88&amp;", France continentale, Base Carbone; kgCO2e/tonne recyclé",$G$13:$O$27,9,FALSE)</f>
        <v>7238</v>
      </c>
      <c r="P88" s="1036"/>
      <c r="Q88" s="1036"/>
      <c r="R88" s="1036"/>
      <c r="S88" s="1036"/>
      <c r="T88" s="1036"/>
      <c r="U88" s="1102"/>
    </row>
    <row r="89" spans="9:21" hidden="1" outlineLevel="1">
      <c r="I89" s="1100" t="s">
        <v>1983</v>
      </c>
      <c r="J89" s="1048" t="s">
        <v>1585</v>
      </c>
      <c r="K89" s="1119" t="s">
        <v>1567</v>
      </c>
      <c r="L89" s="1048" t="s">
        <v>1571</v>
      </c>
      <c r="M89" s="1033">
        <f>SQRT(SUMSQ(0.5,0.5))</f>
        <v>0.70710678118654757</v>
      </c>
      <c r="N89" s="1048" t="s">
        <v>2523</v>
      </c>
      <c r="O89" s="1036">
        <f t="shared" si="19"/>
        <v>150</v>
      </c>
      <c r="P89" s="1036"/>
      <c r="Q89" s="1036"/>
      <c r="R89" s="1036"/>
      <c r="S89" s="1036"/>
      <c r="T89" s="1036"/>
      <c r="U89" s="1102"/>
    </row>
    <row r="90" spans="9:21" hidden="1" outlineLevel="1">
      <c r="I90" s="1100" t="s">
        <v>1984</v>
      </c>
      <c r="J90" s="1048" t="s">
        <v>1585</v>
      </c>
      <c r="K90" s="1119" t="s">
        <v>1567</v>
      </c>
      <c r="L90" s="1048" t="s">
        <v>1571</v>
      </c>
      <c r="M90" s="1033">
        <f t="shared" ref="M90" si="20">SQRT(SUMSQ(0.2,0.2))</f>
        <v>0.28284271247461906</v>
      </c>
      <c r="N90" s="1048" t="s">
        <v>2523</v>
      </c>
      <c r="O90" s="1036">
        <f t="shared" si="19"/>
        <v>0</v>
      </c>
      <c r="P90" s="1036"/>
      <c r="Q90" s="1036"/>
      <c r="R90" s="1036"/>
      <c r="S90" s="1036"/>
      <c r="T90" s="1036"/>
      <c r="U90" s="1102"/>
    </row>
    <row r="91" spans="9:21" hidden="1" outlineLevel="1">
      <c r="I91" s="1100" t="s">
        <v>1985</v>
      </c>
      <c r="J91" s="1048" t="s">
        <v>1585</v>
      </c>
      <c r="K91" s="1119" t="s">
        <v>1567</v>
      </c>
      <c r="L91" s="1048" t="s">
        <v>1571</v>
      </c>
      <c r="M91" s="1033">
        <f>SQRT(SUMSQ(0.3,0.3))</f>
        <v>0.42426406871192851</v>
      </c>
      <c r="N91" s="1048" t="s">
        <v>2523</v>
      </c>
      <c r="O91" s="1036">
        <f t="shared" si="19"/>
        <v>0</v>
      </c>
      <c r="P91" s="1036"/>
      <c r="Q91" s="1036"/>
      <c r="R91" s="1036"/>
      <c r="S91" s="1036"/>
      <c r="T91" s="1036"/>
      <c r="U91" s="1102"/>
    </row>
    <row r="92" spans="9:21" hidden="1" outlineLevel="1">
      <c r="I92" s="1100" t="s">
        <v>1986</v>
      </c>
      <c r="J92" s="1048" t="s">
        <v>1585</v>
      </c>
      <c r="K92" s="1119" t="s">
        <v>1567</v>
      </c>
      <c r="L92" s="1048" t="s">
        <v>1571</v>
      </c>
      <c r="M92" s="1033">
        <f>SQRT(SUMSQ(0.3,0.3))</f>
        <v>0.42426406871192851</v>
      </c>
      <c r="N92" s="1048" t="s">
        <v>2523</v>
      </c>
      <c r="O92" s="1036">
        <f>VLOOKUP(I92&amp;", France continentale, Base Carbone; kgCO2e/tonne neuf",$G$13:$O$27,9,FALSE)-VLOOKUP(I92&amp;", France continentale, Base Carbone; kgCO2e/tonne recyclé",$G$13:$O$27,9,FALSE)</f>
        <v>0</v>
      </c>
      <c r="P92" s="1036"/>
      <c r="Q92" s="1036"/>
      <c r="R92" s="1036"/>
      <c r="S92" s="1036"/>
      <c r="T92" s="1036"/>
      <c r="U92" s="1102"/>
    </row>
    <row r="93" spans="9:21" hidden="1" outlineLevel="1">
      <c r="I93" s="2018" t="s">
        <v>297</v>
      </c>
      <c r="J93" s="1135" t="s">
        <v>1585</v>
      </c>
      <c r="K93" s="1119" t="s">
        <v>1567</v>
      </c>
      <c r="L93" s="1135" t="s">
        <v>1571</v>
      </c>
      <c r="M93" s="1033">
        <f>SQRT(SUMSQ(0.5,0.5))</f>
        <v>0.70710678118654757</v>
      </c>
      <c r="N93" s="1135" t="s">
        <v>2523</v>
      </c>
      <c r="O93" s="1036">
        <f>(O37-O38)*1000</f>
        <v>514</v>
      </c>
      <c r="P93" s="1036"/>
      <c r="Q93" s="1036"/>
      <c r="R93" s="1036"/>
      <c r="S93" s="1036"/>
      <c r="T93" s="1036"/>
      <c r="U93" s="1102"/>
    </row>
    <row r="94" spans="9:21" hidden="1" outlineLevel="1">
      <c r="I94" s="2018" t="s">
        <v>367</v>
      </c>
      <c r="J94" s="1135" t="s">
        <v>1585</v>
      </c>
      <c r="K94" s="1119" t="s">
        <v>1567</v>
      </c>
      <c r="L94" s="1135" t="s">
        <v>1571</v>
      </c>
      <c r="M94" s="1033">
        <f>SQRT(SUMSQ(0.2,0.2))</f>
        <v>0.28284271247461906</v>
      </c>
      <c r="N94" s="1135" t="s">
        <v>2523</v>
      </c>
      <c r="O94" s="1036">
        <f>O107-O108</f>
        <v>-20</v>
      </c>
      <c r="P94" s="1036"/>
      <c r="Q94" s="1036"/>
      <c r="R94" s="1036"/>
      <c r="S94" s="1036"/>
      <c r="T94" s="1036"/>
      <c r="U94" s="1102"/>
    </row>
    <row r="95" spans="9:21" hidden="1" outlineLevel="1">
      <c r="I95" s="2018" t="s">
        <v>1210</v>
      </c>
      <c r="J95" s="1135" t="s">
        <v>1585</v>
      </c>
      <c r="K95" s="1119" t="s">
        <v>1567</v>
      </c>
      <c r="L95" s="1135" t="s">
        <v>1571</v>
      </c>
      <c r="M95" s="1033">
        <f>SQRT(SUMSQ(0.2,0.2))</f>
        <v>0.28284271247461906</v>
      </c>
      <c r="N95" s="1135" t="s">
        <v>2523</v>
      </c>
      <c r="O95" s="1036">
        <f>(VLOOKUP(I95&amp;" neuf, France continentale, Base Carbone; kgCO2e/tonne",$G$102:$O$115,9,FALSE)-VLOOKUP(I95&amp;" recyclé, France continentale, Base Carbone; kgCO2e/tonne",$G$102:$O$115,9,FALSE))</f>
        <v>-280</v>
      </c>
      <c r="P95" s="1036"/>
      <c r="Q95" s="1036"/>
      <c r="R95" s="1036"/>
      <c r="S95" s="1036"/>
      <c r="T95" s="1036"/>
      <c r="U95" s="1102"/>
    </row>
    <row r="96" spans="9:21" hidden="1" outlineLevel="1">
      <c r="I96" s="1103"/>
      <c r="J96" s="1104"/>
      <c r="K96" s="1095"/>
      <c r="L96" s="1104"/>
      <c r="M96" s="1155"/>
      <c r="N96" s="1104"/>
      <c r="O96" s="1104"/>
      <c r="P96" s="1156"/>
      <c r="Q96" s="1104"/>
      <c r="R96" s="1104"/>
      <c r="S96" s="1104"/>
      <c r="T96" s="1104"/>
      <c r="U96" s="1106"/>
    </row>
    <row r="97" spans="2:21"/>
    <row r="98" spans="2:21" ht="15.6" collapsed="1">
      <c r="I98" s="3167" t="s">
        <v>1997</v>
      </c>
      <c r="J98" s="3168"/>
      <c r="K98" s="3168"/>
      <c r="L98" s="3168"/>
      <c r="M98" s="3168"/>
      <c r="N98" s="3168"/>
      <c r="O98" s="3168"/>
      <c r="P98" s="3168"/>
      <c r="Q98" s="3168"/>
      <c r="R98" s="3168"/>
      <c r="S98" s="3168"/>
      <c r="T98" s="3168"/>
      <c r="U98" s="3169"/>
    </row>
    <row r="99" spans="2:21" hidden="1" outlineLevel="1">
      <c r="R99" s="1083"/>
    </row>
    <row r="100" spans="2:21" ht="12.75" hidden="1" customHeight="1" outlineLevel="1">
      <c r="B100" s="3154" t="s">
        <v>1617</v>
      </c>
      <c r="C100" s="3154"/>
      <c r="D100" s="3157" t="s">
        <v>1619</v>
      </c>
      <c r="E100" s="3157"/>
      <c r="F100" s="1151" t="s">
        <v>1991</v>
      </c>
      <c r="G100" s="1053" t="s">
        <v>1992</v>
      </c>
      <c r="H100" s="1044"/>
      <c r="I100" s="1038" t="s">
        <v>1557</v>
      </c>
      <c r="J100" s="1040" t="s">
        <v>1266</v>
      </c>
      <c r="K100" s="1043" t="s">
        <v>224</v>
      </c>
      <c r="L100" s="1043" t="s">
        <v>1558</v>
      </c>
      <c r="M100" s="1039" t="s">
        <v>366</v>
      </c>
      <c r="N100" s="1040" t="s">
        <v>1559</v>
      </c>
      <c r="O100" s="1041" t="s">
        <v>1560</v>
      </c>
      <c r="P100" s="1043" t="s">
        <v>211</v>
      </c>
      <c r="Q100" s="1043" t="s">
        <v>1561</v>
      </c>
      <c r="R100" s="1041" t="s">
        <v>1562</v>
      </c>
      <c r="S100" s="1041" t="s">
        <v>267</v>
      </c>
      <c r="T100" s="1043" t="s">
        <v>1563</v>
      </c>
      <c r="U100" s="1042" t="s">
        <v>1564</v>
      </c>
    </row>
    <row r="101" spans="2:21" s="1045" customFormat="1" ht="12.75" hidden="1" customHeight="1" outlineLevel="1">
      <c r="B101" s="3156" t="s">
        <v>2013</v>
      </c>
      <c r="C101" s="3156"/>
      <c r="D101" s="1051">
        <v>0</v>
      </c>
      <c r="E101" s="1051"/>
      <c r="F101" s="1051"/>
      <c r="G101" s="1054"/>
      <c r="H101" s="1046"/>
      <c r="I101" s="1688"/>
      <c r="J101" s="1689"/>
      <c r="K101" s="1690"/>
      <c r="L101" s="1690"/>
      <c r="M101" s="1691"/>
      <c r="N101" s="1689"/>
      <c r="O101" s="1692"/>
      <c r="P101" s="1690"/>
      <c r="Q101" s="1690"/>
      <c r="R101" s="1692"/>
      <c r="S101" s="1692"/>
      <c r="T101" s="1690"/>
      <c r="U101" s="1693"/>
    </row>
    <row r="102" spans="2:21" hidden="1" outlineLevel="1">
      <c r="B102" s="1050">
        <v>1</v>
      </c>
      <c r="C102" s="1050" t="str">
        <f>IF(ISNA(VLOOKUP(B102,$D$101:$E$115,2,FALSE)),"-",VLOOKUP(B102,$D$101:$E$115,2,FALSE))</f>
        <v>Carton neuf, France continentale, Base Carbone</v>
      </c>
      <c r="D102" s="1051">
        <f>D101+IF(LEN(E102)&gt;0,1,0)</f>
        <v>1</v>
      </c>
      <c r="E102" s="1051" t="str">
        <f>IF(COUNTIF(E$101:E101,F102)&gt;0,"",F102)</f>
        <v>Carton neuf, France continentale, Base Carbone</v>
      </c>
      <c r="F102" s="1051" t="str">
        <f>IF(I102&lt;&gt;"",I102&amp;IF(N102&lt;&gt;""," "&amp;N102,)&amp;IF(L102&lt;&gt;"",", "&amp;L102,"")&amp;IF(K102&lt;&gt;"",", "&amp;K102,""),"")</f>
        <v>Carton neuf, France continentale, Base Carbone</v>
      </c>
      <c r="G102" s="1055" t="str">
        <f>IF(F102&lt;&gt;"",F102&amp;IF(J102&lt;&gt;"","; "&amp;J102,""),"")</f>
        <v>Carton neuf, France continentale, Base Carbone; kgCO2e/tonne</v>
      </c>
      <c r="I102" s="2018" t="s">
        <v>1210</v>
      </c>
      <c r="J102" s="1135" t="s">
        <v>1585</v>
      </c>
      <c r="K102" s="1119" t="s">
        <v>1567</v>
      </c>
      <c r="L102" s="1135" t="s">
        <v>1571</v>
      </c>
      <c r="M102" s="1033">
        <v>0.2</v>
      </c>
      <c r="N102" s="1135" t="s">
        <v>657</v>
      </c>
      <c r="O102" s="1978">
        <v>390</v>
      </c>
      <c r="P102" s="1036"/>
      <c r="Q102" s="1036"/>
      <c r="R102" s="1036"/>
      <c r="S102" s="1036"/>
      <c r="T102" s="1036"/>
      <c r="U102" s="1102"/>
    </row>
    <row r="103" spans="2:21" hidden="1" outlineLevel="1">
      <c r="B103" s="1050">
        <v>2</v>
      </c>
      <c r="C103" s="1050" t="str">
        <f t="shared" ref="C103:C115" si="21">IF(ISNA(VLOOKUP(B103,$D$101:$E$115,2,FALSE)),"-",VLOOKUP(B103,$D$101:$E$115,2,FALSE))</f>
        <v>Carton recyclé, France continentale, Base Carbone</v>
      </c>
      <c r="D103" s="1051">
        <f t="shared" ref="D103:D115" si="22">D102+IF(LEN(E103)&gt;0,1,0)</f>
        <v>2</v>
      </c>
      <c r="E103" s="1051" t="str">
        <f>IF(COUNTIF(E$101:E102,F103)&gt;0,"",F103)</f>
        <v>Carton recyclé, France continentale, Base Carbone</v>
      </c>
      <c r="F103" s="1051" t="str">
        <f t="shared" ref="F103:F115" si="23">IF(I103&lt;&gt;"",I103&amp;IF(N103&lt;&gt;""," "&amp;N103,)&amp;IF(L103&lt;&gt;"",", "&amp;L103,"")&amp;IF(K103&lt;&gt;"",", "&amp;K103,""),"")</f>
        <v>Carton recyclé, France continentale, Base Carbone</v>
      </c>
      <c r="G103" s="1055" t="str">
        <f t="shared" ref="G103:G115" si="24">IF(F103&lt;&gt;"",F103&amp;IF(J103&lt;&gt;"","; "&amp;J103,""),"")</f>
        <v>Carton recyclé, France continentale, Base Carbone; kgCO2e/tonne</v>
      </c>
      <c r="I103" s="2018" t="s">
        <v>1210</v>
      </c>
      <c r="J103" s="1135" t="s">
        <v>1585</v>
      </c>
      <c r="K103" s="1119" t="s">
        <v>1567</v>
      </c>
      <c r="L103" s="1135" t="s">
        <v>1571</v>
      </c>
      <c r="M103" s="1033">
        <v>0.2</v>
      </c>
      <c r="N103" s="1135" t="s">
        <v>120</v>
      </c>
      <c r="O103" s="1135">
        <v>670</v>
      </c>
      <c r="P103" s="1036"/>
      <c r="Q103" s="1048"/>
      <c r="R103" s="1048"/>
      <c r="S103" s="1048"/>
      <c r="T103" s="1048"/>
      <c r="U103" s="1102"/>
    </row>
    <row r="104" spans="2:21" hidden="1" outlineLevel="1">
      <c r="B104" s="1050">
        <v>3</v>
      </c>
      <c r="C104" s="1050" t="str">
        <f t="shared" si="21"/>
        <v>Etiquettes papier imprimé, France continentale, Base Carbone</v>
      </c>
      <c r="D104" s="1051">
        <f t="shared" si="22"/>
        <v>3</v>
      </c>
      <c r="E104" s="1051" t="str">
        <f>IF(COUNTIF(E$101:E103,F104)&gt;0,"",F104)</f>
        <v>Etiquettes papier imprimé, France continentale, Base Carbone</v>
      </c>
      <c r="F104" s="1051" t="str">
        <f t="shared" si="23"/>
        <v>Etiquettes papier imprimé, France continentale, Base Carbone</v>
      </c>
      <c r="G104" s="1055" t="str">
        <f t="shared" si="24"/>
        <v>Etiquettes papier imprimé, France continentale, Base Carbone; kgCO2e/tonne</v>
      </c>
      <c r="I104" s="2018" t="s">
        <v>3769</v>
      </c>
      <c r="J104" s="1135" t="s">
        <v>1585</v>
      </c>
      <c r="K104" s="1119" t="s">
        <v>1567</v>
      </c>
      <c r="L104" s="1119" t="s">
        <v>1571</v>
      </c>
      <c r="M104" s="1033">
        <v>0.5</v>
      </c>
      <c r="N104" s="1135"/>
      <c r="O104" s="1135">
        <v>2930</v>
      </c>
      <c r="P104" s="1036"/>
      <c r="Q104" s="1135"/>
      <c r="R104" s="1135"/>
      <c r="S104" s="1135"/>
      <c r="T104" s="1135"/>
      <c r="U104" s="2041"/>
    </row>
    <row r="105" spans="2:21" hidden="1" outlineLevel="1">
      <c r="B105" s="1050">
        <v>4</v>
      </c>
      <c r="C105" s="1050" t="str">
        <f t="shared" si="21"/>
        <v>Livre de 300 g, France continentale, Base Carbone</v>
      </c>
      <c r="D105" s="1051">
        <f t="shared" si="22"/>
        <v>4</v>
      </c>
      <c r="E105" s="1051" t="str">
        <f>IF(COUNTIF(E$101:E104,F105)&gt;0,"",F105)</f>
        <v>Livre de 300 g, France continentale, Base Carbone</v>
      </c>
      <c r="F105" s="1051" t="str">
        <f t="shared" si="23"/>
        <v>Livre de 300 g, France continentale, Base Carbone</v>
      </c>
      <c r="G105" s="1055" t="str">
        <f t="shared" si="24"/>
        <v>Livre de 300 g, France continentale, Base Carbone; kgCO2e/livre</v>
      </c>
      <c r="I105" s="2018" t="s">
        <v>3770</v>
      </c>
      <c r="J105" s="1135" t="s">
        <v>3771</v>
      </c>
      <c r="K105" s="1119" t="s">
        <v>1567</v>
      </c>
      <c r="L105" s="1119" t="s">
        <v>1571</v>
      </c>
      <c r="M105" s="1033">
        <v>0.45</v>
      </c>
      <c r="N105" s="1135"/>
      <c r="O105" s="1135">
        <v>1.1000000000000001</v>
      </c>
      <c r="P105" s="1036"/>
      <c r="Q105" s="1135"/>
      <c r="R105" s="1135"/>
      <c r="S105" s="1135"/>
      <c r="T105" s="1135"/>
      <c r="U105" s="2041"/>
    </row>
    <row r="106" spans="2:21" hidden="1" outlineLevel="1">
      <c r="B106" s="1050">
        <v>5</v>
      </c>
      <c r="C106" s="1050" t="str">
        <f t="shared" si="21"/>
        <v>Papier Moyen, Hors utilisation et fin de vie, France continentale, Base Carbone</v>
      </c>
      <c r="D106" s="1051">
        <f t="shared" si="22"/>
        <v>5</v>
      </c>
      <c r="E106" s="1051" t="str">
        <f>IF(COUNTIF(E$101:E105,F106)&gt;0,"",F106)</f>
        <v>Papier Moyen, Hors utilisation et fin de vie, France continentale, Base Carbone</v>
      </c>
      <c r="F106" s="1051" t="str">
        <f t="shared" si="23"/>
        <v>Papier Moyen, Hors utilisation et fin de vie, France continentale, Base Carbone</v>
      </c>
      <c r="G106" s="1055" t="str">
        <f t="shared" si="24"/>
        <v>Papier Moyen, Hors utilisation et fin de vie, France continentale, Base Carbone; kgCO2e/tonne</v>
      </c>
      <c r="I106" s="2018" t="s">
        <v>367</v>
      </c>
      <c r="J106" s="2017" t="s">
        <v>1585</v>
      </c>
      <c r="K106" s="1119" t="s">
        <v>1567</v>
      </c>
      <c r="L106" s="1135" t="s">
        <v>1571</v>
      </c>
      <c r="M106" s="1033">
        <v>0.2</v>
      </c>
      <c r="N106" s="1135" t="s">
        <v>1995</v>
      </c>
      <c r="O106" s="2017">
        <v>919</v>
      </c>
      <c r="P106" s="1036"/>
      <c r="Q106" s="1048"/>
      <c r="R106" s="1048"/>
      <c r="S106" s="1048"/>
      <c r="T106" s="1048"/>
      <c r="U106" s="1102"/>
    </row>
    <row r="107" spans="2:21" hidden="1" outlineLevel="1">
      <c r="B107" s="1050">
        <v>6</v>
      </c>
      <c r="C107" s="1050" t="str">
        <f t="shared" si="21"/>
        <v>Pâte à papier (moyen) neuf, France continentale, Base Carbone</v>
      </c>
      <c r="D107" s="1051">
        <f t="shared" si="22"/>
        <v>6</v>
      </c>
      <c r="E107" s="1051" t="str">
        <f>IF(COUNTIF(E$101:E106,F107)&gt;0,"",F107)</f>
        <v>Pâte à papier (moyen) neuf, France continentale, Base Carbone</v>
      </c>
      <c r="F107" s="1051" t="str">
        <f t="shared" si="23"/>
        <v>Pâte à papier (moyen) neuf, France continentale, Base Carbone</v>
      </c>
      <c r="G107" s="1055" t="str">
        <f t="shared" si="24"/>
        <v>Pâte à papier (moyen) neuf, France continentale, Base Carbone; kgCO2e/tonne</v>
      </c>
      <c r="I107" s="2018" t="s">
        <v>3095</v>
      </c>
      <c r="J107" s="1135" t="s">
        <v>1585</v>
      </c>
      <c r="K107" s="1119" t="s">
        <v>1567</v>
      </c>
      <c r="L107" s="1135" t="s">
        <v>1571</v>
      </c>
      <c r="M107" s="1033">
        <v>0.2</v>
      </c>
      <c r="N107" s="1135" t="s">
        <v>657</v>
      </c>
      <c r="O107" s="1135">
        <v>297</v>
      </c>
      <c r="P107" s="1036"/>
      <c r="Q107" s="1048"/>
      <c r="R107" s="1048"/>
      <c r="S107" s="1048"/>
      <c r="T107" s="1048"/>
      <c r="U107" s="1102"/>
    </row>
    <row r="108" spans="2:21" hidden="1" outlineLevel="1">
      <c r="B108" s="1050">
        <v>7</v>
      </c>
      <c r="C108" s="1050" t="str">
        <f t="shared" si="21"/>
        <v>Pâte à papier (moyen) recyclé, France continentale, Base Carbone</v>
      </c>
      <c r="D108" s="1051">
        <f t="shared" si="22"/>
        <v>7</v>
      </c>
      <c r="E108" s="1051" t="str">
        <f>IF(COUNTIF(E$101:E107,F108)&gt;0,"",F108)</f>
        <v>Pâte à papier (moyen) recyclé, France continentale, Base Carbone</v>
      </c>
      <c r="F108" s="1051" t="str">
        <f t="shared" si="23"/>
        <v>Pâte à papier (moyen) recyclé, France continentale, Base Carbone</v>
      </c>
      <c r="G108" s="1055" t="str">
        <f t="shared" si="24"/>
        <v>Pâte à papier (moyen) recyclé, France continentale, Base Carbone; kgCO2e/tonne</v>
      </c>
      <c r="I108" s="2018" t="s">
        <v>3095</v>
      </c>
      <c r="J108" s="1135" t="s">
        <v>1585</v>
      </c>
      <c r="K108" s="1119" t="s">
        <v>1567</v>
      </c>
      <c r="L108" s="1135" t="s">
        <v>1571</v>
      </c>
      <c r="M108" s="1033">
        <v>0.2</v>
      </c>
      <c r="N108" s="1135" t="s">
        <v>120</v>
      </c>
      <c r="O108" s="1135">
        <v>317</v>
      </c>
      <c r="P108" s="1036"/>
      <c r="Q108" s="1048"/>
      <c r="R108" s="1048"/>
      <c r="S108" s="1048"/>
      <c r="T108" s="1048"/>
      <c r="U108" s="1102"/>
    </row>
    <row r="109" spans="2:21" hidden="1" outlineLevel="1">
      <c r="B109" s="1050">
        <v>8</v>
      </c>
      <c r="C109" s="1050" t="str">
        <f t="shared" si="21"/>
        <v>Ramette de papier blanc 80g/m² A4, Hors utilisation et fin de vie, France continentale, Base Carbone</v>
      </c>
      <c r="D109" s="1051">
        <f t="shared" si="22"/>
        <v>8</v>
      </c>
      <c r="E109" s="1051" t="str">
        <f>IF(COUNTIF(E$101:E108,F109)&gt;0,"",F109)</f>
        <v>Ramette de papier blanc 80g/m² A4, Hors utilisation et fin de vie, France continentale, Base Carbone</v>
      </c>
      <c r="F109" s="1051" t="str">
        <f t="shared" si="23"/>
        <v>Ramette de papier blanc 80g/m² A4, Hors utilisation et fin de vie, France continentale, Base Carbone</v>
      </c>
      <c r="G109" s="1055" t="str">
        <f t="shared" si="24"/>
        <v>Ramette de papier blanc 80g/m² A4, Hors utilisation et fin de vie, France continentale, Base Carbone; kgCO2e/unité</v>
      </c>
      <c r="I109" s="1100" t="s">
        <v>1993</v>
      </c>
      <c r="J109" s="1048" t="s">
        <v>1994</v>
      </c>
      <c r="K109" s="1119" t="s">
        <v>1567</v>
      </c>
      <c r="L109" s="1048" t="s">
        <v>1571</v>
      </c>
      <c r="M109" s="1033">
        <v>0.2</v>
      </c>
      <c r="N109" s="1048" t="s">
        <v>1996</v>
      </c>
      <c r="O109" s="1048">
        <v>2.29</v>
      </c>
      <c r="P109" s="1036"/>
      <c r="Q109" s="1048"/>
      <c r="R109" s="1048"/>
      <c r="S109" s="1048"/>
      <c r="T109" s="1048"/>
      <c r="U109" s="1102"/>
    </row>
    <row r="110" spans="2:21" hidden="1" outlineLevel="1">
      <c r="B110" s="1050">
        <v>9</v>
      </c>
      <c r="C110" s="1050" t="str">
        <f t="shared" si="21"/>
        <v>-</v>
      </c>
      <c r="D110" s="1051">
        <f t="shared" si="22"/>
        <v>8</v>
      </c>
      <c r="E110" s="1051" t="str">
        <f>IF(COUNTIF(E$101:E109,F110)&gt;0,"",F110)</f>
        <v/>
      </c>
      <c r="F110" s="1051" t="str">
        <f t="shared" si="23"/>
        <v/>
      </c>
      <c r="G110" s="1055" t="str">
        <f t="shared" si="24"/>
        <v/>
      </c>
      <c r="I110" s="2018"/>
      <c r="J110" s="1135"/>
      <c r="K110" s="1119"/>
      <c r="L110" s="1135"/>
      <c r="M110" s="1033"/>
      <c r="N110" s="1135"/>
      <c r="O110" s="1135"/>
      <c r="P110" s="1036"/>
      <c r="Q110" s="1048"/>
      <c r="R110" s="1048"/>
      <c r="S110" s="1048"/>
      <c r="T110" s="1048"/>
      <c r="U110" s="1102"/>
    </row>
    <row r="111" spans="2:21" hidden="1" outlineLevel="1">
      <c r="B111" s="1050">
        <v>10</v>
      </c>
      <c r="C111" s="1050" t="str">
        <f t="shared" si="21"/>
        <v>-</v>
      </c>
      <c r="D111" s="1051">
        <f t="shared" si="22"/>
        <v>8</v>
      </c>
      <c r="E111" s="1051" t="str">
        <f>IF(COUNTIF(E$101:E110,F111)&gt;0,"",F111)</f>
        <v/>
      </c>
      <c r="F111" s="1051" t="str">
        <f t="shared" si="23"/>
        <v/>
      </c>
      <c r="G111" s="1055" t="str">
        <f t="shared" si="24"/>
        <v/>
      </c>
      <c r="I111" s="2018"/>
      <c r="J111" s="1135"/>
      <c r="K111" s="1119"/>
      <c r="L111" s="1135"/>
      <c r="M111" s="1033"/>
      <c r="N111" s="1135"/>
      <c r="O111" s="1135"/>
      <c r="P111" s="1036"/>
      <c r="Q111" s="1048"/>
      <c r="R111" s="1048"/>
      <c r="S111" s="1048"/>
      <c r="T111" s="1048"/>
      <c r="U111" s="1102"/>
    </row>
    <row r="112" spans="2:21" hidden="1" outlineLevel="1">
      <c r="B112" s="1050">
        <v>11</v>
      </c>
      <c r="C112" s="1050" t="str">
        <f t="shared" si="21"/>
        <v>-</v>
      </c>
      <c r="D112" s="1051">
        <f t="shared" si="22"/>
        <v>8</v>
      </c>
      <c r="E112" s="1051" t="str">
        <f>IF(COUNTIF(E$101:E111,F112)&gt;0,"",F112)</f>
        <v/>
      </c>
      <c r="F112" s="1051" t="str">
        <f t="shared" si="23"/>
        <v/>
      </c>
      <c r="G112" s="1055" t="str">
        <f t="shared" si="24"/>
        <v/>
      </c>
      <c r="I112" s="1100"/>
      <c r="J112" s="1048"/>
      <c r="K112" s="1048"/>
      <c r="L112" s="1048"/>
      <c r="M112" s="1033"/>
      <c r="N112" s="1048"/>
      <c r="O112" s="1048"/>
      <c r="P112" s="1048"/>
      <c r="Q112" s="1048"/>
      <c r="R112" s="1048"/>
      <c r="S112" s="1048"/>
      <c r="T112" s="1048"/>
      <c r="U112" s="1102"/>
    </row>
    <row r="113" spans="2:21" hidden="1" outlineLevel="1">
      <c r="B113" s="1050">
        <v>12</v>
      </c>
      <c r="C113" s="1050" t="str">
        <f t="shared" si="21"/>
        <v>-</v>
      </c>
      <c r="D113" s="1051">
        <f t="shared" si="22"/>
        <v>8</v>
      </c>
      <c r="E113" s="1051" t="str">
        <f>IF(COUNTIF(E$101:E112,F113)&gt;0,"",F113)</f>
        <v/>
      </c>
      <c r="F113" s="1051" t="str">
        <f t="shared" si="23"/>
        <v/>
      </c>
      <c r="G113" s="1055" t="str">
        <f t="shared" si="24"/>
        <v/>
      </c>
      <c r="I113" s="1100"/>
      <c r="J113" s="1048"/>
      <c r="K113" s="1048"/>
      <c r="L113" s="1048"/>
      <c r="M113" s="1048"/>
      <c r="N113" s="1048"/>
      <c r="O113" s="1048"/>
      <c r="P113" s="1048"/>
      <c r="Q113" s="1048"/>
      <c r="R113" s="1048"/>
      <c r="S113" s="1048"/>
      <c r="T113" s="1048"/>
      <c r="U113" s="1102"/>
    </row>
    <row r="114" spans="2:21" hidden="1" outlineLevel="1">
      <c r="B114" s="1050">
        <v>13</v>
      </c>
      <c r="C114" s="1050" t="str">
        <f t="shared" si="21"/>
        <v>-</v>
      </c>
      <c r="D114" s="1051">
        <f t="shared" si="22"/>
        <v>8</v>
      </c>
      <c r="E114" s="1051" t="str">
        <f>IF(COUNTIF(E$101:E113,F114)&gt;0,"",F114)</f>
        <v/>
      </c>
      <c r="F114" s="1051" t="str">
        <f t="shared" si="23"/>
        <v/>
      </c>
      <c r="G114" s="1055" t="str">
        <f t="shared" si="24"/>
        <v/>
      </c>
      <c r="I114" s="1100"/>
      <c r="J114" s="1048"/>
      <c r="K114" s="1048"/>
      <c r="L114" s="1048"/>
      <c r="M114" s="1048"/>
      <c r="N114" s="1048"/>
      <c r="O114" s="1048"/>
      <c r="P114" s="1048"/>
      <c r="Q114" s="1048"/>
      <c r="R114" s="1048"/>
      <c r="S114" s="1048"/>
      <c r="T114" s="1048"/>
      <c r="U114" s="1102"/>
    </row>
    <row r="115" spans="2:21" hidden="1" outlineLevel="1">
      <c r="B115" s="1050">
        <v>14</v>
      </c>
      <c r="C115" s="1050" t="str">
        <f t="shared" si="21"/>
        <v>-</v>
      </c>
      <c r="D115" s="1051">
        <f t="shared" si="22"/>
        <v>8</v>
      </c>
      <c r="E115" s="1051" t="str">
        <f>IF(COUNTIF(E$101:E114,F115)&gt;0,"",F115)</f>
        <v/>
      </c>
      <c r="F115" s="1051" t="str">
        <f t="shared" si="23"/>
        <v/>
      </c>
      <c r="G115" s="1055" t="str">
        <f t="shared" si="24"/>
        <v/>
      </c>
      <c r="I115" s="1103"/>
      <c r="J115" s="1104"/>
      <c r="K115" s="1104"/>
      <c r="L115" s="1104"/>
      <c r="M115" s="1104"/>
      <c r="N115" s="1104"/>
      <c r="O115" s="1104"/>
      <c r="P115" s="1104"/>
      <c r="Q115" s="1104"/>
      <c r="R115" s="1104"/>
      <c r="S115" s="1104"/>
      <c r="T115" s="1104"/>
      <c r="U115" s="1106"/>
    </row>
    <row r="116" spans="2:21"/>
    <row r="117" spans="2:21" ht="15.6" collapsed="1">
      <c r="I117" s="3167" t="s">
        <v>208</v>
      </c>
      <c r="J117" s="3168"/>
      <c r="K117" s="3168"/>
      <c r="L117" s="3168"/>
      <c r="M117" s="3168"/>
      <c r="N117" s="3168"/>
      <c r="O117" s="3168"/>
      <c r="P117" s="3168"/>
      <c r="Q117" s="3168"/>
      <c r="R117" s="3168"/>
      <c r="S117" s="3168"/>
      <c r="T117" s="3168"/>
      <c r="U117" s="3169"/>
    </row>
    <row r="118" spans="2:21" hidden="1" outlineLevel="1">
      <c r="R118" s="1083"/>
    </row>
    <row r="119" spans="2:21" ht="12.75" hidden="1" customHeight="1" outlineLevel="1">
      <c r="B119" s="3154" t="s">
        <v>1617</v>
      </c>
      <c r="C119" s="3154"/>
      <c r="D119" s="3157" t="s">
        <v>1619</v>
      </c>
      <c r="E119" s="3157"/>
      <c r="F119" s="1151" t="s">
        <v>1991</v>
      </c>
      <c r="G119" s="1053" t="s">
        <v>1992</v>
      </c>
      <c r="H119" s="1044"/>
      <c r="I119" s="1038" t="s">
        <v>1557</v>
      </c>
      <c r="J119" s="1040" t="s">
        <v>1266</v>
      </c>
      <c r="K119" s="1043" t="s">
        <v>224</v>
      </c>
      <c r="L119" s="1043" t="s">
        <v>1558</v>
      </c>
      <c r="M119" s="1039" t="s">
        <v>366</v>
      </c>
      <c r="N119" s="1040" t="s">
        <v>1559</v>
      </c>
      <c r="O119" s="1041" t="s">
        <v>1560</v>
      </c>
      <c r="P119" s="1043" t="s">
        <v>211</v>
      </c>
      <c r="Q119" s="1043" t="s">
        <v>1561</v>
      </c>
      <c r="R119" s="1041" t="s">
        <v>1562</v>
      </c>
      <c r="S119" s="1041" t="s">
        <v>267</v>
      </c>
      <c r="T119" s="1043" t="s">
        <v>1563</v>
      </c>
      <c r="U119" s="1042" t="s">
        <v>1564</v>
      </c>
    </row>
    <row r="120" spans="2:21" s="1045" customFormat="1" ht="12.75" hidden="1" customHeight="1" outlineLevel="1">
      <c r="B120" s="3156" t="s">
        <v>2012</v>
      </c>
      <c r="C120" s="3156"/>
      <c r="D120" s="1051">
        <v>0</v>
      </c>
      <c r="E120" s="1051"/>
      <c r="F120" s="1051"/>
      <c r="G120" s="1054"/>
      <c r="H120" s="1046"/>
      <c r="I120" s="1688"/>
      <c r="J120" s="1689"/>
      <c r="K120" s="1690"/>
      <c r="L120" s="1690"/>
      <c r="M120" s="1691"/>
      <c r="N120" s="1689"/>
      <c r="O120" s="1692"/>
      <c r="P120" s="1690"/>
      <c r="Q120" s="1690"/>
      <c r="R120" s="1692"/>
      <c r="S120" s="1692"/>
      <c r="T120" s="1690"/>
      <c r="U120" s="1693"/>
    </row>
    <row r="121" spans="2:21" hidden="1" outlineLevel="1">
      <c r="B121" s="1050">
        <v>1</v>
      </c>
      <c r="C121" s="1050" t="str">
        <f>IF(ISNA(VLOOKUP(B121,$D$120:$E$163,2,FALSE)),"-",VLOOKUP(B121,$D$120:$E$163,2,FALSE))</f>
        <v>Canalisations PVC, France continentale, Base Carbone</v>
      </c>
      <c r="D121" s="1051">
        <f>D120+IF(LEN(E121)&gt;0,1,0)</f>
        <v>1</v>
      </c>
      <c r="E121" s="1051" t="str">
        <f>IF(COUNTIF(E$120:E120,F121)&gt;0,"",F121)</f>
        <v>Canalisations PVC, France continentale, Base Carbone</v>
      </c>
      <c r="F121" s="1051" t="str">
        <f>IF(I121&lt;&gt;"",I121&amp;IF(N121&lt;&gt;""," "&amp;N121,)&amp;IF(L121&lt;&gt;"",", "&amp;L121,"")&amp;IF(K121&lt;&gt;"",", "&amp;K121,""),"")</f>
        <v>Canalisations PVC, France continentale, Base Carbone</v>
      </c>
      <c r="G121" s="1055" t="str">
        <f>IF(F121&lt;&gt;"",F121&amp;IF(J121&lt;&gt;"","; "&amp;J121,""),"")</f>
        <v>Canalisations PVC, France continentale, Base Carbone; kgCO2e/mL</v>
      </c>
      <c r="I121" s="1100" t="s">
        <v>1211</v>
      </c>
      <c r="J121" s="1048" t="s">
        <v>2004</v>
      </c>
      <c r="K121" s="1119" t="s">
        <v>1567</v>
      </c>
      <c r="L121" s="1048" t="s">
        <v>1571</v>
      </c>
      <c r="M121" s="1033">
        <v>0.1</v>
      </c>
      <c r="N121" s="1048"/>
      <c r="O121" s="1048">
        <v>2.4700000000000002</v>
      </c>
      <c r="P121" s="1036"/>
      <c r="Q121" s="1036"/>
      <c r="R121" s="1036"/>
      <c r="S121" s="1036"/>
      <c r="T121" s="1036"/>
      <c r="U121" s="1102"/>
    </row>
    <row r="122" spans="2:21" hidden="1" outlineLevel="1">
      <c r="B122" s="1050">
        <v>2</v>
      </c>
      <c r="C122" s="1050" t="str">
        <f t="shared" ref="C122:C163" si="25">IF(ISNA(VLOOKUP(B122,$D$120:$E$163,2,FALSE)),"-",VLOOKUP(B122,$D$120:$E$163,2,FALSE))</f>
        <v>Complexe de doublage d'isol. Therm., France continentale, Base Carbone</v>
      </c>
      <c r="D122" s="1051">
        <f t="shared" ref="D122:D163" si="26">D121+IF(LEN(E122)&gt;0,1,0)</f>
        <v>2</v>
      </c>
      <c r="E122" s="1051" t="str">
        <f>IF(COUNTIF(E$120:E121,F122)&gt;0,"",F122)</f>
        <v>Complexe de doublage d'isol. Therm., France continentale, Base Carbone</v>
      </c>
      <c r="F122" s="1051" t="str">
        <f t="shared" ref="F122:F163" si="27">IF(I122&lt;&gt;"",I122&amp;IF(N122&lt;&gt;""," "&amp;N122,)&amp;IF(L122&lt;&gt;"",", "&amp;L122,"")&amp;IF(K122&lt;&gt;"",", "&amp;K122,""),"")</f>
        <v>Complexe de doublage d'isol. Therm., France continentale, Base Carbone</v>
      </c>
      <c r="G122" s="1055" t="str">
        <f t="shared" ref="G122:G163" si="28">IF(F122&lt;&gt;"",F122&amp;IF(J122&lt;&gt;"","; "&amp;J122,""),"")</f>
        <v>Complexe de doublage d'isol. Therm., France continentale, Base Carbone; kgCO2e/m² de paroi</v>
      </c>
      <c r="I122" s="1100" t="s">
        <v>1213</v>
      </c>
      <c r="J122" s="1048" t="s">
        <v>2005</v>
      </c>
      <c r="K122" s="1119" t="s">
        <v>1567</v>
      </c>
      <c r="L122" s="1048" t="s">
        <v>1571</v>
      </c>
      <c r="M122" s="1033">
        <v>0.1</v>
      </c>
      <c r="N122" s="1048"/>
      <c r="O122" s="1048">
        <v>5.79</v>
      </c>
      <c r="P122" s="1048"/>
      <c r="Q122" s="1048"/>
      <c r="R122" s="1048"/>
      <c r="S122" s="1048"/>
      <c r="T122" s="1048"/>
      <c r="U122" s="1102"/>
    </row>
    <row r="123" spans="2:21" hidden="1" outlineLevel="1">
      <c r="B123" s="1050">
        <v>3</v>
      </c>
      <c r="C123" s="1050" t="str">
        <f t="shared" si="25"/>
        <v>Monomur terre cuite, France continentale, Base Carbone</v>
      </c>
      <c r="D123" s="1051">
        <f t="shared" si="26"/>
        <v>3</v>
      </c>
      <c r="E123" s="1051" t="str">
        <f>IF(COUNTIF(E$120:E122,F123)&gt;0,"",F123)</f>
        <v>Monomur terre cuite, France continentale, Base Carbone</v>
      </c>
      <c r="F123" s="1051" t="str">
        <f t="shared" si="27"/>
        <v>Monomur terre cuite, France continentale, Base Carbone</v>
      </c>
      <c r="G123" s="1055" t="str">
        <f t="shared" si="28"/>
        <v>Monomur terre cuite, France continentale, Base Carbone; kgCO2e/m²</v>
      </c>
      <c r="I123" s="1100" t="s">
        <v>1214</v>
      </c>
      <c r="J123" s="1048" t="s">
        <v>2006</v>
      </c>
      <c r="K123" s="1119" t="s">
        <v>1567</v>
      </c>
      <c r="L123" s="1048" t="s">
        <v>1571</v>
      </c>
      <c r="M123" s="1033">
        <v>0.1</v>
      </c>
      <c r="N123" s="1048"/>
      <c r="O123" s="1048">
        <v>44.3</v>
      </c>
      <c r="P123" s="1048"/>
      <c r="Q123" s="1048"/>
      <c r="R123" s="1048"/>
      <c r="S123" s="1048"/>
      <c r="T123" s="1048"/>
      <c r="U123" s="1102"/>
    </row>
    <row r="124" spans="2:21" hidden="1" outlineLevel="1">
      <c r="B124" s="1050">
        <v>4</v>
      </c>
      <c r="C124" s="1050" t="str">
        <f t="shared" si="25"/>
        <v>Mur, bardage acier simple peau, France continentale, Base Carbone</v>
      </c>
      <c r="D124" s="1051">
        <f t="shared" si="26"/>
        <v>4</v>
      </c>
      <c r="E124" s="1051" t="str">
        <f>IF(COUNTIF(E$120:E123,F124)&gt;0,"",F124)</f>
        <v>Mur, bardage acier simple peau, France continentale, Base Carbone</v>
      </c>
      <c r="F124" s="1051" t="str">
        <f t="shared" si="27"/>
        <v>Mur, bardage acier simple peau, France continentale, Base Carbone</v>
      </c>
      <c r="G124" s="1055" t="str">
        <f t="shared" si="28"/>
        <v>Mur, bardage acier simple peau, France continentale, Base Carbone; kgCO2e/m² de paroi</v>
      </c>
      <c r="I124" s="1100" t="s">
        <v>1998</v>
      </c>
      <c r="J124" s="1048" t="s">
        <v>2005</v>
      </c>
      <c r="K124" s="1119" t="s">
        <v>1567</v>
      </c>
      <c r="L124" s="1048" t="s">
        <v>1571</v>
      </c>
      <c r="M124" s="1033">
        <v>0.1</v>
      </c>
      <c r="N124" s="1048" t="s">
        <v>2009</v>
      </c>
      <c r="O124" s="1048">
        <v>7.82</v>
      </c>
      <c r="P124" s="1048"/>
      <c r="Q124" s="1048"/>
      <c r="R124" s="1048"/>
      <c r="S124" s="1048"/>
      <c r="T124" s="1048"/>
      <c r="U124" s="1102"/>
    </row>
    <row r="125" spans="2:21" hidden="1" outlineLevel="1">
      <c r="B125" s="1050">
        <v>5</v>
      </c>
      <c r="C125" s="1050" t="str">
        <f t="shared" si="25"/>
        <v>Mur, béton maçonnerie de blocs en béton, France continentale, Base Carbone</v>
      </c>
      <c r="D125" s="1051">
        <f t="shared" si="26"/>
        <v>5</v>
      </c>
      <c r="E125" s="1051" t="str">
        <f>IF(COUNTIF(E$120:E124,F125)&gt;0,"",F125)</f>
        <v>Mur, béton maçonnerie de blocs en béton, France continentale, Base Carbone</v>
      </c>
      <c r="F125" s="1051" t="str">
        <f t="shared" si="27"/>
        <v>Mur, béton maçonnerie de blocs en béton, France continentale, Base Carbone</v>
      </c>
      <c r="G125" s="1055" t="str">
        <f t="shared" si="28"/>
        <v>Mur, béton maçonnerie de blocs en béton, France continentale, Base Carbone; kgCO2e/m²</v>
      </c>
      <c r="I125" s="1100" t="s">
        <v>1999</v>
      </c>
      <c r="J125" s="1048" t="s">
        <v>2006</v>
      </c>
      <c r="K125" s="1119" t="s">
        <v>1567</v>
      </c>
      <c r="L125" s="1048" t="s">
        <v>1571</v>
      </c>
      <c r="M125" s="1033">
        <v>0.1</v>
      </c>
      <c r="N125" s="1048" t="s">
        <v>2010</v>
      </c>
      <c r="O125" s="1048">
        <v>11.1</v>
      </c>
      <c r="P125" s="1048"/>
      <c r="Q125" s="1048"/>
      <c r="R125" s="1048"/>
      <c r="S125" s="1048"/>
      <c r="T125" s="1048"/>
      <c r="U125" s="1102"/>
    </row>
    <row r="126" spans="2:21" hidden="1" outlineLevel="1">
      <c r="B126" s="1050">
        <v>6</v>
      </c>
      <c r="C126" s="1050" t="str">
        <f t="shared" si="25"/>
        <v>Panneau de plafond suspendu, France continentale, Base Carbone</v>
      </c>
      <c r="D126" s="1051">
        <f t="shared" si="26"/>
        <v>6</v>
      </c>
      <c r="E126" s="1051" t="str">
        <f>IF(COUNTIF(E$120:E125,F126)&gt;0,"",F126)</f>
        <v>Panneau de plafond suspendu, France continentale, Base Carbone</v>
      </c>
      <c r="F126" s="1051" t="str">
        <f t="shared" si="27"/>
        <v>Panneau de plafond suspendu, France continentale, Base Carbone</v>
      </c>
      <c r="G126" s="1055" t="str">
        <f t="shared" si="28"/>
        <v>Panneau de plafond suspendu, France continentale, Base Carbone; kgCO2e/m²</v>
      </c>
      <c r="I126" s="1100" t="s">
        <v>2000</v>
      </c>
      <c r="J126" s="1048" t="s">
        <v>2006</v>
      </c>
      <c r="K126" s="1119" t="s">
        <v>1567</v>
      </c>
      <c r="L126" s="1048" t="s">
        <v>1571</v>
      </c>
      <c r="M126" s="1033">
        <v>0.1</v>
      </c>
      <c r="N126" s="1048"/>
      <c r="O126" s="1048">
        <v>3.95</v>
      </c>
      <c r="P126" s="1048"/>
      <c r="Q126" s="1048"/>
      <c r="R126" s="1048"/>
      <c r="S126" s="1048"/>
      <c r="T126" s="1048"/>
      <c r="U126" s="1102"/>
    </row>
    <row r="127" spans="2:21" hidden="1" outlineLevel="1">
      <c r="B127" s="1050">
        <v>7</v>
      </c>
      <c r="C127" s="1050" t="str">
        <f t="shared" si="25"/>
        <v>Poutrelle en béton, France continentale, Base Carbone</v>
      </c>
      <c r="D127" s="1051">
        <f t="shared" si="26"/>
        <v>7</v>
      </c>
      <c r="E127" s="1051" t="str">
        <f>IF(COUNTIF(E$120:E126,F127)&gt;0,"",F127)</f>
        <v>Poutrelle en béton, France continentale, Base Carbone</v>
      </c>
      <c r="F127" s="1051" t="str">
        <f t="shared" si="27"/>
        <v>Poutrelle en béton, France continentale, Base Carbone</v>
      </c>
      <c r="G127" s="1055" t="str">
        <f t="shared" si="28"/>
        <v>Poutrelle en béton, France continentale, Base Carbone; kgCO2e/mL</v>
      </c>
      <c r="I127" s="1100" t="s">
        <v>2001</v>
      </c>
      <c r="J127" s="1048" t="s">
        <v>2004</v>
      </c>
      <c r="K127" s="1119" t="s">
        <v>1567</v>
      </c>
      <c r="L127" s="1048" t="s">
        <v>1571</v>
      </c>
      <c r="M127" s="1033">
        <v>0.1</v>
      </c>
      <c r="N127" s="1048"/>
      <c r="O127" s="1048">
        <v>3.22</v>
      </c>
      <c r="P127" s="1048"/>
      <c r="Q127" s="1048"/>
      <c r="R127" s="1048"/>
      <c r="S127" s="1048"/>
      <c r="T127" s="1048"/>
      <c r="U127" s="1102"/>
    </row>
    <row r="128" spans="2:21" hidden="1" outlineLevel="1">
      <c r="B128" s="1050">
        <v>8</v>
      </c>
      <c r="C128" s="1050" t="str">
        <f t="shared" si="25"/>
        <v>Recyclage en place à chaud (REC), France continentale, Base Carbone</v>
      </c>
      <c r="D128" s="1051">
        <f t="shared" si="26"/>
        <v>8</v>
      </c>
      <c r="E128" s="1051" t="str">
        <f>IF(COUNTIF(E$120:E127,F128)&gt;0,"",F128)</f>
        <v>Recyclage en place à chaud (REC), France continentale, Base Carbone</v>
      </c>
      <c r="F128" s="1051" t="str">
        <f t="shared" si="27"/>
        <v>Recyclage en place à chaud (REC), France continentale, Base Carbone</v>
      </c>
      <c r="G128" s="1055" t="str">
        <f t="shared" si="28"/>
        <v>Recyclage en place à chaud (REC), France continentale, Base Carbone; kgCO2e/tonne</v>
      </c>
      <c r="I128" s="1100" t="s">
        <v>1216</v>
      </c>
      <c r="J128" s="1048" t="s">
        <v>1585</v>
      </c>
      <c r="K128" s="1119" t="s">
        <v>1567</v>
      </c>
      <c r="L128" s="1048" t="s">
        <v>1571</v>
      </c>
      <c r="M128" s="1033">
        <v>0.2</v>
      </c>
      <c r="N128" s="1048"/>
      <c r="O128" s="1048">
        <v>42</v>
      </c>
      <c r="P128" s="1048"/>
      <c r="Q128" s="1048"/>
      <c r="R128" s="1048"/>
      <c r="S128" s="1048"/>
      <c r="T128" s="1048"/>
      <c r="U128" s="1102"/>
    </row>
    <row r="129" spans="2:21" hidden="1" outlineLevel="1">
      <c r="B129" s="1050">
        <v>9</v>
      </c>
      <c r="C129" s="1050" t="str">
        <f t="shared" si="25"/>
        <v>Recyclage en place à l'émulsion, France continentale, Base Carbone</v>
      </c>
      <c r="D129" s="1051">
        <f t="shared" si="26"/>
        <v>9</v>
      </c>
      <c r="E129" s="1051" t="str">
        <f>IF(COUNTIF(E$120:E128,F129)&gt;0,"",F129)</f>
        <v>Recyclage en place à l'émulsion, France continentale, Base Carbone</v>
      </c>
      <c r="F129" s="1051" t="str">
        <f t="shared" si="27"/>
        <v>Recyclage en place à l'émulsion, France continentale, Base Carbone</v>
      </c>
      <c r="G129" s="1055" t="str">
        <f t="shared" si="28"/>
        <v>Recyclage en place à l'émulsion, France continentale, Base Carbone; kgCO2e/tonne</v>
      </c>
      <c r="I129" s="1100" t="s">
        <v>1217</v>
      </c>
      <c r="J129" s="1048" t="s">
        <v>1585</v>
      </c>
      <c r="K129" s="1119" t="s">
        <v>1567</v>
      </c>
      <c r="L129" s="1048" t="s">
        <v>1571</v>
      </c>
      <c r="M129" s="1033">
        <v>0.2</v>
      </c>
      <c r="N129" s="1048"/>
      <c r="O129" s="1048">
        <v>10.5</v>
      </c>
      <c r="P129" s="1048"/>
      <c r="Q129" s="1048"/>
      <c r="R129" s="1048"/>
      <c r="S129" s="1048"/>
      <c r="T129" s="1048"/>
      <c r="U129" s="1102"/>
    </row>
    <row r="130" spans="2:21" hidden="1" outlineLevel="1">
      <c r="B130" s="1050">
        <v>10</v>
      </c>
      <c r="C130" s="1050" t="str">
        <f t="shared" si="25"/>
        <v>Sol, carreaux de plâtre, France continentale, Base Carbone</v>
      </c>
      <c r="D130" s="1051">
        <f t="shared" si="26"/>
        <v>10</v>
      </c>
      <c r="E130" s="1051" t="str">
        <f>IF(COUNTIF(E$120:E129,F130)&gt;0,"",F130)</f>
        <v>Sol, carreaux de plâtre, France continentale, Base Carbone</v>
      </c>
      <c r="F130" s="1051" t="str">
        <f t="shared" si="27"/>
        <v>Sol, carreaux de plâtre, France continentale, Base Carbone</v>
      </c>
      <c r="G130" s="1055" t="str">
        <f t="shared" si="28"/>
        <v>Sol, carreaux de plâtre, France continentale, Base Carbone; kgCO2e/m² de paroi</v>
      </c>
      <c r="I130" s="1100" t="s">
        <v>2002</v>
      </c>
      <c r="J130" s="1048" t="s">
        <v>2005</v>
      </c>
      <c r="K130" s="1119" t="s">
        <v>1567</v>
      </c>
      <c r="L130" s="1048" t="s">
        <v>1571</v>
      </c>
      <c r="M130" s="1033">
        <v>0.1</v>
      </c>
      <c r="N130" s="1048"/>
      <c r="O130" s="1048">
        <v>15.3</v>
      </c>
      <c r="P130" s="1048"/>
      <c r="Q130" s="1048"/>
      <c r="R130" s="1048"/>
      <c r="S130" s="1048"/>
      <c r="T130" s="1048"/>
      <c r="U130" s="1102"/>
    </row>
    <row r="131" spans="2:21" hidden="1" outlineLevel="1">
      <c r="B131" s="1050">
        <v>11</v>
      </c>
      <c r="C131" s="1050" t="str">
        <f t="shared" si="25"/>
        <v>Sol, revêtement PVC homogène, France continentale, Base Carbone</v>
      </c>
      <c r="D131" s="1051">
        <f t="shared" si="26"/>
        <v>11</v>
      </c>
      <c r="E131" s="1051" t="str">
        <f>IF(COUNTIF(E$120:E130,F131)&gt;0,"",F131)</f>
        <v>Sol, revêtement PVC homogène, France continentale, Base Carbone</v>
      </c>
      <c r="F131" s="1051" t="str">
        <f t="shared" si="27"/>
        <v>Sol, revêtement PVC homogène, France continentale, Base Carbone</v>
      </c>
      <c r="G131" s="1055" t="str">
        <f t="shared" si="28"/>
        <v>Sol, revêtement PVC homogène, France continentale, Base Carbone; kgCO2e/m² de sol</v>
      </c>
      <c r="I131" s="1100" t="s">
        <v>2003</v>
      </c>
      <c r="J131" s="1048" t="s">
        <v>2007</v>
      </c>
      <c r="K131" s="1119" t="s">
        <v>1567</v>
      </c>
      <c r="L131" s="1048" t="s">
        <v>1571</v>
      </c>
      <c r="M131" s="1033">
        <v>0.1</v>
      </c>
      <c r="N131" s="1048"/>
      <c r="O131" s="1048">
        <v>5.55</v>
      </c>
      <c r="P131" s="1048"/>
      <c r="Q131" s="1048"/>
      <c r="R131" s="1048"/>
      <c r="S131" s="1048"/>
      <c r="T131" s="1048"/>
      <c r="U131" s="1102"/>
    </row>
    <row r="132" spans="2:21" hidden="1" outlineLevel="1">
      <c r="B132" s="1050">
        <v>12</v>
      </c>
      <c r="C132" s="1050" t="str">
        <f t="shared" si="25"/>
        <v>Tuile béton, France continentale, Base Carbone</v>
      </c>
      <c r="D132" s="1051">
        <f t="shared" si="26"/>
        <v>12</v>
      </c>
      <c r="E132" s="1051" t="str">
        <f>IF(COUNTIF(E$120:E131,F132)&gt;0,"",F132)</f>
        <v>Tuile béton, France continentale, Base Carbone</v>
      </c>
      <c r="F132" s="1051" t="str">
        <f t="shared" si="27"/>
        <v>Tuile béton, France continentale, Base Carbone</v>
      </c>
      <c r="G132" s="1055" t="str">
        <f t="shared" si="28"/>
        <v>Tuile béton, France continentale, Base Carbone; kgCO2e/m² de toiture</v>
      </c>
      <c r="I132" s="1100" t="s">
        <v>1215</v>
      </c>
      <c r="J132" s="1048" t="s">
        <v>2008</v>
      </c>
      <c r="K132" s="1119" t="s">
        <v>1567</v>
      </c>
      <c r="L132" s="1048" t="s">
        <v>1571</v>
      </c>
      <c r="M132" s="1033">
        <v>0.1</v>
      </c>
      <c r="N132" s="1048"/>
      <c r="O132" s="1048">
        <v>9.6999999999999993</v>
      </c>
      <c r="P132" s="1048"/>
      <c r="Q132" s="1048"/>
      <c r="R132" s="1048"/>
      <c r="S132" s="1048"/>
      <c r="T132" s="1048"/>
      <c r="U132" s="1102"/>
    </row>
    <row r="133" spans="2:21" hidden="1" outlineLevel="1">
      <c r="B133" s="1050">
        <v>13</v>
      </c>
      <c r="C133" s="1050" t="str">
        <f t="shared" si="25"/>
        <v>Béton C25/30CEM II, France continentale, Base Carbone</v>
      </c>
      <c r="D133" s="1051">
        <f t="shared" si="26"/>
        <v>13</v>
      </c>
      <c r="E133" s="1051" t="str">
        <f>IF(COUNTIF(E$120:E132,F133)&gt;0,"",F133)</f>
        <v>Béton C25/30CEM II, France continentale, Base Carbone</v>
      </c>
      <c r="F133" s="1051" t="str">
        <f t="shared" si="27"/>
        <v>Béton C25/30CEM II, France continentale, Base Carbone</v>
      </c>
      <c r="G133" s="1055" t="str">
        <f t="shared" si="28"/>
        <v>Béton C25/30CEM II, France continentale, Base Carbone; kgCO2e/tonne</v>
      </c>
      <c r="I133" s="2018" t="s">
        <v>3293</v>
      </c>
      <c r="J133" s="1135" t="s">
        <v>1585</v>
      </c>
      <c r="K133" s="1119" t="s">
        <v>1567</v>
      </c>
      <c r="L133" s="1119" t="s">
        <v>1571</v>
      </c>
      <c r="M133" s="1033">
        <v>0.2</v>
      </c>
      <c r="N133" s="1119" t="s">
        <v>3768</v>
      </c>
      <c r="O133" s="1135">
        <v>88</v>
      </c>
      <c r="P133" s="1135"/>
      <c r="Q133" s="1135"/>
      <c r="R133" s="1135"/>
      <c r="S133" s="1135"/>
      <c r="T133" s="1135"/>
      <c r="U133" s="2041"/>
    </row>
    <row r="134" spans="2:21" hidden="1" outlineLevel="1">
      <c r="B134" s="1050">
        <v>14</v>
      </c>
      <c r="C134" s="1050" t="str">
        <f t="shared" si="25"/>
        <v>Béton armé, France continentale, Base Carbone</v>
      </c>
      <c r="D134" s="1051">
        <f t="shared" si="26"/>
        <v>14</v>
      </c>
      <c r="E134" s="1051" t="str">
        <f>IF(COUNTIF(E$120:E133,F134)&gt;0,"",F134)</f>
        <v>Béton armé, France continentale, Base Carbone</v>
      </c>
      <c r="F134" s="1051" t="str">
        <f t="shared" si="27"/>
        <v>Béton armé, France continentale, Base Carbone</v>
      </c>
      <c r="G134" s="1055" t="str">
        <f t="shared" si="28"/>
        <v>Béton armé, France continentale, Base Carbone; kgCO2e/tonne</v>
      </c>
      <c r="I134" s="1100" t="s">
        <v>906</v>
      </c>
      <c r="J134" s="1048" t="s">
        <v>1585</v>
      </c>
      <c r="K134" s="1119" t="s">
        <v>1567</v>
      </c>
      <c r="L134" s="1048" t="s">
        <v>1571</v>
      </c>
      <c r="M134" s="1033">
        <v>0.2</v>
      </c>
      <c r="N134" s="1048"/>
      <c r="O134" s="1048">
        <v>155</v>
      </c>
      <c r="P134" s="1048"/>
      <c r="Q134" s="1048"/>
      <c r="R134" s="1048"/>
      <c r="S134" s="1048"/>
      <c r="T134" s="1048"/>
      <c r="U134" s="1102"/>
    </row>
    <row r="135" spans="2:21" hidden="1" outlineLevel="1">
      <c r="B135" s="1050">
        <v>15</v>
      </c>
      <c r="C135" s="1050" t="str">
        <f t="shared" si="25"/>
        <v>Béton armé continu routier, France continentale, Base Carbone</v>
      </c>
      <c r="D135" s="1051">
        <f t="shared" si="26"/>
        <v>15</v>
      </c>
      <c r="E135" s="1051" t="str">
        <f>IF(COUNTIF(E$120:E134,F135)&gt;0,"",F135)</f>
        <v>Béton armé continu routier, France continentale, Base Carbone</v>
      </c>
      <c r="F135" s="1051" t="str">
        <f t="shared" si="27"/>
        <v>Béton armé continu routier, France continentale, Base Carbone</v>
      </c>
      <c r="G135" s="1055" t="str">
        <f t="shared" si="28"/>
        <v>Béton armé continu routier, France continentale, Base Carbone; kgCO2e/tonne</v>
      </c>
      <c r="I135" s="1100" t="s">
        <v>2039</v>
      </c>
      <c r="J135" s="1048" t="s">
        <v>1585</v>
      </c>
      <c r="K135" s="1119" t="s">
        <v>1567</v>
      </c>
      <c r="L135" s="1048" t="s">
        <v>1571</v>
      </c>
      <c r="M135" s="1033">
        <v>0.2</v>
      </c>
      <c r="N135" s="1048" t="s">
        <v>2050</v>
      </c>
      <c r="O135" s="1048">
        <v>200</v>
      </c>
      <c r="P135" s="1048"/>
      <c r="Q135" s="1048"/>
      <c r="R135" s="1048"/>
      <c r="S135" s="1048"/>
      <c r="T135" s="1048"/>
      <c r="U135" s="1102"/>
    </row>
    <row r="136" spans="2:21" hidden="1" outlineLevel="1">
      <c r="B136" s="1050">
        <v>16</v>
      </c>
      <c r="C136" s="1050" t="str">
        <f t="shared" si="25"/>
        <v>Béton de ciment routier, France continentale, Base Carbone</v>
      </c>
      <c r="D136" s="1051">
        <f t="shared" si="26"/>
        <v>16</v>
      </c>
      <c r="E136" s="1051" t="str">
        <f>IF(COUNTIF(E$120:E135,F136)&gt;0,"",F136)</f>
        <v>Béton de ciment routier, France continentale, Base Carbone</v>
      </c>
      <c r="F136" s="1051" t="str">
        <f t="shared" si="27"/>
        <v>Béton de ciment routier, France continentale, Base Carbone</v>
      </c>
      <c r="G136" s="1055" t="str">
        <f t="shared" si="28"/>
        <v>Béton de ciment routier, France continentale, Base Carbone; kgCO2e/tonne</v>
      </c>
      <c r="I136" s="1100" t="s">
        <v>2040</v>
      </c>
      <c r="J136" s="1048" t="s">
        <v>1585</v>
      </c>
      <c r="K136" s="1119" t="s">
        <v>1567</v>
      </c>
      <c r="L136" s="1048" t="s">
        <v>1571</v>
      </c>
      <c r="M136" s="1033">
        <v>0.2</v>
      </c>
      <c r="N136" s="1048" t="s">
        <v>2050</v>
      </c>
      <c r="O136" s="1048">
        <v>134</v>
      </c>
      <c r="P136" s="1048"/>
      <c r="Q136" s="1048"/>
      <c r="R136" s="1048"/>
      <c r="S136" s="1048"/>
      <c r="T136" s="1048"/>
      <c r="U136" s="1102"/>
    </row>
    <row r="137" spans="2:21" hidden="1" outlineLevel="1">
      <c r="B137" s="1050">
        <v>17</v>
      </c>
      <c r="C137" s="1050" t="str">
        <f t="shared" si="25"/>
        <v>Chaux, France continentale, Base Carbone</v>
      </c>
      <c r="D137" s="1051">
        <f t="shared" si="26"/>
        <v>17</v>
      </c>
      <c r="E137" s="1051" t="str">
        <f>IF(COUNTIF(E$120:E136,F137)&gt;0,"",F137)</f>
        <v>Chaux, France continentale, Base Carbone</v>
      </c>
      <c r="F137" s="1051" t="str">
        <f t="shared" si="27"/>
        <v>Chaux, France continentale, Base Carbone</v>
      </c>
      <c r="G137" s="1055" t="str">
        <f t="shared" si="28"/>
        <v>Chaux, France continentale, Base Carbone; kgCO2e/tonne</v>
      </c>
      <c r="I137" s="1100" t="s">
        <v>2041</v>
      </c>
      <c r="J137" s="1048" t="s">
        <v>1585</v>
      </c>
      <c r="K137" s="1119" t="s">
        <v>1567</v>
      </c>
      <c r="L137" s="1048" t="s">
        <v>1571</v>
      </c>
      <c r="M137" s="1033">
        <v>0.2</v>
      </c>
      <c r="N137" s="1048"/>
      <c r="O137" s="1048">
        <v>1040</v>
      </c>
      <c r="P137" s="1048"/>
      <c r="Q137" s="1048"/>
      <c r="R137" s="1048"/>
      <c r="S137" s="1048"/>
      <c r="T137" s="1048"/>
      <c r="U137" s="1102"/>
    </row>
    <row r="138" spans="2:21" hidden="1" outlineLevel="1">
      <c r="B138" s="1050">
        <v>18</v>
      </c>
      <c r="C138" s="1050" t="str">
        <f t="shared" si="25"/>
        <v>Ciment Portland, France continentale, Base Carbone</v>
      </c>
      <c r="D138" s="1051">
        <f t="shared" si="26"/>
        <v>18</v>
      </c>
      <c r="E138" s="1051" t="str">
        <f>IF(COUNTIF(E$120:E137,F138)&gt;0,"",F138)</f>
        <v>Ciment Portland, France continentale, Base Carbone</v>
      </c>
      <c r="F138" s="1051" t="str">
        <f t="shared" si="27"/>
        <v>Ciment Portland, France continentale, Base Carbone</v>
      </c>
      <c r="G138" s="1055" t="str">
        <f t="shared" si="28"/>
        <v>Ciment Portland, France continentale, Base Carbone; kgCO2e/tonne</v>
      </c>
      <c r="I138" s="1100" t="s">
        <v>1212</v>
      </c>
      <c r="J138" s="1048" t="s">
        <v>1585</v>
      </c>
      <c r="K138" s="1119" t="s">
        <v>1567</v>
      </c>
      <c r="L138" s="1048" t="s">
        <v>1571</v>
      </c>
      <c r="M138" s="1033">
        <v>0.2</v>
      </c>
      <c r="N138" s="1048"/>
      <c r="O138" s="1048">
        <v>866</v>
      </c>
      <c r="P138" s="1048"/>
      <c r="Q138" s="1048"/>
      <c r="R138" s="1048"/>
      <c r="S138" s="1048"/>
      <c r="T138" s="1048"/>
      <c r="U138" s="1102"/>
    </row>
    <row r="139" spans="2:21" hidden="1" outlineLevel="1">
      <c r="B139" s="1050">
        <v>19</v>
      </c>
      <c r="C139" s="1050" t="str">
        <f t="shared" si="25"/>
        <v>Enrobé à module élevé, France continentale, Base Carbone</v>
      </c>
      <c r="D139" s="1051">
        <f t="shared" si="26"/>
        <v>19</v>
      </c>
      <c r="E139" s="1051" t="str">
        <f>IF(COUNTIF(E$120:E138,F139)&gt;0,"",F139)</f>
        <v>Enrobé à module élevé, France continentale, Base Carbone</v>
      </c>
      <c r="F139" s="1051" t="str">
        <f t="shared" si="27"/>
        <v>Enrobé à module élevé, France continentale, Base Carbone</v>
      </c>
      <c r="G139" s="1055" t="str">
        <f t="shared" si="28"/>
        <v>Enrobé à module élevé, France continentale, Base Carbone; kgCO2e/tonne</v>
      </c>
      <c r="I139" s="1100" t="s">
        <v>2042</v>
      </c>
      <c r="J139" s="1048" t="s">
        <v>1585</v>
      </c>
      <c r="K139" s="1119" t="s">
        <v>1567</v>
      </c>
      <c r="L139" s="1048" t="s">
        <v>1571</v>
      </c>
      <c r="M139" s="1033">
        <v>0.2</v>
      </c>
      <c r="N139" s="1048" t="s">
        <v>2051</v>
      </c>
      <c r="O139" s="1048">
        <v>55.1</v>
      </c>
      <c r="P139" s="1048"/>
      <c r="Q139" s="1048"/>
      <c r="R139" s="1048"/>
      <c r="S139" s="1048"/>
      <c r="T139" s="1048"/>
      <c r="U139" s="1102"/>
    </row>
    <row r="140" spans="2:21" hidden="1" outlineLevel="1">
      <c r="B140" s="1050">
        <v>20</v>
      </c>
      <c r="C140" s="1050" t="str">
        <f t="shared" si="25"/>
        <v>Enrobé tiède, France continentale, Base Carbone</v>
      </c>
      <c r="D140" s="1051">
        <f t="shared" si="26"/>
        <v>20</v>
      </c>
      <c r="E140" s="1051" t="str">
        <f>IF(COUNTIF(E$120:E139,F140)&gt;0,"",F140)</f>
        <v>Enrobé tiède, France continentale, Base Carbone</v>
      </c>
      <c r="F140" s="1051" t="str">
        <f t="shared" si="27"/>
        <v>Enrobé tiède, France continentale, Base Carbone</v>
      </c>
      <c r="G140" s="1055" t="str">
        <f t="shared" si="28"/>
        <v>Enrobé tiède, France continentale, Base Carbone; kgCO2e/tonne</v>
      </c>
      <c r="I140" s="1100" t="s">
        <v>2042</v>
      </c>
      <c r="J140" s="1048" t="s">
        <v>1585</v>
      </c>
      <c r="K140" s="1119" t="s">
        <v>1567</v>
      </c>
      <c r="L140" s="1048" t="s">
        <v>1571</v>
      </c>
      <c r="M140" s="1033">
        <v>0.2</v>
      </c>
      <c r="N140" s="1048" t="s">
        <v>2052</v>
      </c>
      <c r="O140" s="1048">
        <v>52.8</v>
      </c>
      <c r="P140" s="1048"/>
      <c r="Q140" s="1048"/>
      <c r="R140" s="1048"/>
      <c r="S140" s="1048"/>
      <c r="T140" s="1048"/>
      <c r="U140" s="1102"/>
    </row>
    <row r="141" spans="2:21" hidden="1" outlineLevel="1">
      <c r="B141" s="1050">
        <v>21</v>
      </c>
      <c r="C141" s="1050" t="str">
        <f t="shared" si="25"/>
        <v>Enrobés bitumineux, France continentale, Base Carbone</v>
      </c>
      <c r="D141" s="1051">
        <f t="shared" si="26"/>
        <v>21</v>
      </c>
      <c r="E141" s="1051" t="str">
        <f>IF(COUNTIF(E$120:E140,F141)&gt;0,"",F141)</f>
        <v>Enrobés bitumineux, France continentale, Base Carbone</v>
      </c>
      <c r="F141" s="1051" t="str">
        <f t="shared" si="27"/>
        <v>Enrobés bitumineux, France continentale, Base Carbone</v>
      </c>
      <c r="G141" s="1055" t="str">
        <f t="shared" si="28"/>
        <v>Enrobés bitumineux, France continentale, Base Carbone; kgCO2e/tonne</v>
      </c>
      <c r="I141" s="1100" t="s">
        <v>2043</v>
      </c>
      <c r="J141" s="1048" t="s">
        <v>1585</v>
      </c>
      <c r="K141" s="1119" t="s">
        <v>1567</v>
      </c>
      <c r="L141" s="1048" t="s">
        <v>1571</v>
      </c>
      <c r="M141" s="1033">
        <v>0.2</v>
      </c>
      <c r="N141" s="1048"/>
      <c r="O141" s="1048">
        <v>53.3</v>
      </c>
      <c r="P141" s="1048"/>
      <c r="Q141" s="1048"/>
      <c r="R141" s="1048"/>
      <c r="S141" s="1048"/>
      <c r="T141" s="1048"/>
      <c r="U141" s="1102"/>
    </row>
    <row r="142" spans="2:21" hidden="1" outlineLevel="1">
      <c r="B142" s="1050">
        <v>22</v>
      </c>
      <c r="C142" s="1050" t="str">
        <f t="shared" si="25"/>
        <v>Enrobés bitumineux à froid, France continentale, Base Carbone</v>
      </c>
      <c r="D142" s="1051">
        <f t="shared" si="26"/>
        <v>22</v>
      </c>
      <c r="E142" s="1051" t="str">
        <f>IF(COUNTIF(E$120:E141,F142)&gt;0,"",F142)</f>
        <v>Enrobés bitumineux à froid, France continentale, Base Carbone</v>
      </c>
      <c r="F142" s="1051" t="str">
        <f t="shared" si="27"/>
        <v>Enrobés bitumineux à froid, France continentale, Base Carbone</v>
      </c>
      <c r="G142" s="1055" t="str">
        <f t="shared" si="28"/>
        <v>Enrobés bitumineux à froid, France continentale, Base Carbone; kgCO2e/tonne</v>
      </c>
      <c r="I142" s="1100" t="s">
        <v>2043</v>
      </c>
      <c r="J142" s="1048" t="s">
        <v>1585</v>
      </c>
      <c r="K142" s="1119" t="s">
        <v>1567</v>
      </c>
      <c r="L142" s="1048" t="s">
        <v>1571</v>
      </c>
      <c r="M142" s="1033">
        <v>0.2</v>
      </c>
      <c r="N142" s="1048" t="s">
        <v>2053</v>
      </c>
      <c r="O142" s="1048">
        <v>36.200000000000003</v>
      </c>
      <c r="P142" s="1048"/>
      <c r="Q142" s="1048"/>
      <c r="R142" s="1048"/>
      <c r="S142" s="1048"/>
      <c r="T142" s="1048"/>
      <c r="U142" s="1102"/>
    </row>
    <row r="143" spans="2:21" hidden="1" outlineLevel="1">
      <c r="B143" s="1050">
        <v>23</v>
      </c>
      <c r="C143" s="1050" t="str">
        <f t="shared" si="25"/>
        <v>Enrobés bitumineux avec 10% REC, France continentale, Base Carbone</v>
      </c>
      <c r="D143" s="1051">
        <f t="shared" si="26"/>
        <v>23</v>
      </c>
      <c r="E143" s="1051" t="str">
        <f>IF(COUNTIF(E$120:E142,F143)&gt;0,"",F143)</f>
        <v>Enrobés bitumineux avec 10% REC, France continentale, Base Carbone</v>
      </c>
      <c r="F143" s="1051" t="str">
        <f t="shared" si="27"/>
        <v>Enrobés bitumineux avec 10% REC, France continentale, Base Carbone</v>
      </c>
      <c r="G143" s="1055" t="str">
        <f t="shared" si="28"/>
        <v>Enrobés bitumineux avec 10% REC, France continentale, Base Carbone; kgCO2e/tonne</v>
      </c>
      <c r="I143" s="1100" t="s">
        <v>2043</v>
      </c>
      <c r="J143" s="1048" t="s">
        <v>1585</v>
      </c>
      <c r="K143" s="1119" t="s">
        <v>1567</v>
      </c>
      <c r="L143" s="1048" t="s">
        <v>1571</v>
      </c>
      <c r="M143" s="1033">
        <v>0.2</v>
      </c>
      <c r="N143" s="1048" t="s">
        <v>2054</v>
      </c>
      <c r="O143" s="1048">
        <v>51.1</v>
      </c>
      <c r="P143" s="1048"/>
      <c r="Q143" s="1048"/>
      <c r="R143" s="1048"/>
      <c r="S143" s="1048"/>
      <c r="T143" s="1048"/>
      <c r="U143" s="1102"/>
    </row>
    <row r="144" spans="2:21" hidden="1" outlineLevel="1">
      <c r="B144" s="1050">
        <v>24</v>
      </c>
      <c r="C144" s="1050" t="str">
        <f t="shared" si="25"/>
        <v>Enrobés bitumineux avec 20% REC, France continentale, Base Carbone</v>
      </c>
      <c r="D144" s="1051">
        <f t="shared" si="26"/>
        <v>24</v>
      </c>
      <c r="E144" s="1051" t="str">
        <f>IF(COUNTIF(E$120:E143,F144)&gt;0,"",F144)</f>
        <v>Enrobés bitumineux avec 20% REC, France continentale, Base Carbone</v>
      </c>
      <c r="F144" s="1051" t="str">
        <f t="shared" si="27"/>
        <v>Enrobés bitumineux avec 20% REC, France continentale, Base Carbone</v>
      </c>
      <c r="G144" s="1055" t="str">
        <f t="shared" si="28"/>
        <v>Enrobés bitumineux avec 20% REC, France continentale, Base Carbone; kgCO2e/tonne</v>
      </c>
      <c r="I144" s="1100" t="s">
        <v>2043</v>
      </c>
      <c r="J144" s="1048" t="s">
        <v>1585</v>
      </c>
      <c r="K144" s="1119" t="s">
        <v>1567</v>
      </c>
      <c r="L144" s="1048" t="s">
        <v>1571</v>
      </c>
      <c r="M144" s="1033">
        <v>0.2</v>
      </c>
      <c r="N144" s="1048" t="s">
        <v>2055</v>
      </c>
      <c r="O144" s="1048">
        <v>43.7</v>
      </c>
      <c r="P144" s="1048"/>
      <c r="Q144" s="1048"/>
      <c r="R144" s="1048"/>
      <c r="S144" s="1048"/>
      <c r="T144" s="1048"/>
      <c r="U144" s="1102"/>
    </row>
    <row r="145" spans="2:21" hidden="1" outlineLevel="1">
      <c r="B145" s="1050">
        <v>25</v>
      </c>
      <c r="C145" s="1050" t="str">
        <f t="shared" si="25"/>
        <v>Enrobés bitumineux avec 30% REC, France continentale, Base Carbone</v>
      </c>
      <c r="D145" s="1051">
        <f t="shared" si="26"/>
        <v>25</v>
      </c>
      <c r="E145" s="1051" t="str">
        <f>IF(COUNTIF(E$120:E144,F145)&gt;0,"",F145)</f>
        <v>Enrobés bitumineux avec 30% REC, France continentale, Base Carbone</v>
      </c>
      <c r="F145" s="1051" t="str">
        <f t="shared" si="27"/>
        <v>Enrobés bitumineux avec 30% REC, France continentale, Base Carbone</v>
      </c>
      <c r="G145" s="1055" t="str">
        <f t="shared" si="28"/>
        <v>Enrobés bitumineux avec 30% REC, France continentale, Base Carbone; kgCO2e/tonne</v>
      </c>
      <c r="I145" s="1100" t="s">
        <v>2043</v>
      </c>
      <c r="J145" s="1048" t="s">
        <v>1585</v>
      </c>
      <c r="K145" s="1119" t="s">
        <v>1567</v>
      </c>
      <c r="L145" s="1048" t="s">
        <v>1571</v>
      </c>
      <c r="M145" s="1033">
        <v>0.2</v>
      </c>
      <c r="N145" s="1048" t="s">
        <v>2056</v>
      </c>
      <c r="O145" s="1048">
        <v>41.5</v>
      </c>
      <c r="P145" s="1048"/>
      <c r="Q145" s="1048"/>
      <c r="R145" s="1048"/>
      <c r="S145" s="1048"/>
      <c r="T145" s="1048"/>
      <c r="U145" s="1102"/>
    </row>
    <row r="146" spans="2:21" hidden="1" outlineLevel="1">
      <c r="B146" s="1050">
        <v>26</v>
      </c>
      <c r="C146" s="1050" t="str">
        <f t="shared" si="25"/>
        <v>Enrobés bitumineux avec 50% REC, France continentale, Base Carbone</v>
      </c>
      <c r="D146" s="1051">
        <f t="shared" si="26"/>
        <v>26</v>
      </c>
      <c r="E146" s="1051" t="str">
        <f>IF(COUNTIF(E$120:E145,F146)&gt;0,"",F146)</f>
        <v>Enrobés bitumineux avec 50% REC, France continentale, Base Carbone</v>
      </c>
      <c r="F146" s="1051" t="str">
        <f t="shared" si="27"/>
        <v>Enrobés bitumineux avec 50% REC, France continentale, Base Carbone</v>
      </c>
      <c r="G146" s="1055" t="str">
        <f t="shared" si="28"/>
        <v>Enrobés bitumineux avec 50% REC, France continentale, Base Carbone; kgCO2e/tonne</v>
      </c>
      <c r="I146" s="1100" t="s">
        <v>2043</v>
      </c>
      <c r="J146" s="1048" t="s">
        <v>1585</v>
      </c>
      <c r="K146" s="1119" t="s">
        <v>1567</v>
      </c>
      <c r="L146" s="1048" t="s">
        <v>1571</v>
      </c>
      <c r="M146" s="1033">
        <v>0.2</v>
      </c>
      <c r="N146" s="1048" t="s">
        <v>2057</v>
      </c>
      <c r="O146" s="1048">
        <v>36.9</v>
      </c>
      <c r="P146" s="1048"/>
      <c r="Q146" s="1048"/>
      <c r="R146" s="1048"/>
      <c r="S146" s="1048"/>
      <c r="T146" s="1048"/>
      <c r="U146" s="1102"/>
    </row>
    <row r="147" spans="2:21" hidden="1" outlineLevel="1">
      <c r="B147" s="1050">
        <v>27</v>
      </c>
      <c r="C147" s="1050" t="str">
        <f t="shared" si="25"/>
        <v>Granulat sortie carrière, France continentale, Base Carbone</v>
      </c>
      <c r="D147" s="1051">
        <f t="shared" si="26"/>
        <v>27</v>
      </c>
      <c r="E147" s="1051" t="str">
        <f>IF(COUNTIF(E$120:E146,F147)&gt;0,"",F147)</f>
        <v>Granulat sortie carrière, France continentale, Base Carbone</v>
      </c>
      <c r="F147" s="1051" t="str">
        <f t="shared" si="27"/>
        <v>Granulat sortie carrière, France continentale, Base Carbone</v>
      </c>
      <c r="G147" s="1055" t="str">
        <f t="shared" si="28"/>
        <v>Granulat sortie carrière, France continentale, Base Carbone; kgCO2e/tonne</v>
      </c>
      <c r="I147" s="2018" t="s">
        <v>3092</v>
      </c>
      <c r="J147" s="1135" t="s">
        <v>1585</v>
      </c>
      <c r="K147" s="1119" t="s">
        <v>1567</v>
      </c>
      <c r="L147" s="1135" t="s">
        <v>1571</v>
      </c>
      <c r="M147" s="1033">
        <v>0.5</v>
      </c>
      <c r="N147" s="1135" t="s">
        <v>3094</v>
      </c>
      <c r="O147" s="1135">
        <v>4</v>
      </c>
      <c r="P147" s="1048"/>
      <c r="Q147" s="1048"/>
      <c r="R147" s="1048"/>
      <c r="S147" s="1048"/>
      <c r="T147" s="1048"/>
      <c r="U147" s="1102"/>
    </row>
    <row r="148" spans="2:21" hidden="1" outlineLevel="1">
      <c r="B148" s="1050">
        <v>28</v>
      </c>
      <c r="C148" s="1050" t="str">
        <f t="shared" si="25"/>
        <v>Granulat (recyclé) sortie carrière, France continentale, Base Carbone</v>
      </c>
      <c r="D148" s="1051">
        <f t="shared" si="26"/>
        <v>28</v>
      </c>
      <c r="E148" s="1051" t="str">
        <f>IF(COUNTIF(E$120:E147,F148)&gt;0,"",F148)</f>
        <v>Granulat (recyclé) sortie carrière, France continentale, Base Carbone</v>
      </c>
      <c r="F148" s="1051" t="str">
        <f t="shared" si="27"/>
        <v>Granulat (recyclé) sortie carrière, France continentale, Base Carbone</v>
      </c>
      <c r="G148" s="1055" t="str">
        <f t="shared" si="28"/>
        <v>Granulat (recyclé) sortie carrière, France continentale, Base Carbone; kgCO2e/tonne</v>
      </c>
      <c r="I148" s="2018" t="s">
        <v>3093</v>
      </c>
      <c r="J148" s="1135" t="s">
        <v>1585</v>
      </c>
      <c r="K148" s="1119" t="s">
        <v>1567</v>
      </c>
      <c r="L148" s="1135" t="s">
        <v>1571</v>
      </c>
      <c r="M148" s="1033">
        <v>0.5</v>
      </c>
      <c r="N148" s="1135" t="s">
        <v>3094</v>
      </c>
      <c r="O148" s="1135">
        <v>3</v>
      </c>
      <c r="P148" s="1048"/>
      <c r="Q148" s="1048"/>
      <c r="R148" s="1048"/>
      <c r="S148" s="1048"/>
      <c r="T148" s="1048"/>
      <c r="U148" s="1102"/>
    </row>
    <row r="149" spans="2:21" hidden="1" outlineLevel="1">
      <c r="B149" s="1050">
        <v>29</v>
      </c>
      <c r="C149" s="1050" t="str">
        <f t="shared" si="25"/>
        <v>Grave, bitume 3, France continentale, Base Carbone</v>
      </c>
      <c r="D149" s="1051">
        <f t="shared" si="26"/>
        <v>29</v>
      </c>
      <c r="E149" s="1051" t="str">
        <f>IF(COUNTIF(E$120:E148,F149)&gt;0,"",F149)</f>
        <v>Grave, bitume 3, France continentale, Base Carbone</v>
      </c>
      <c r="F149" s="1051" t="str">
        <f t="shared" si="27"/>
        <v>Grave, bitume 3, France continentale, Base Carbone</v>
      </c>
      <c r="G149" s="1055" t="str">
        <f t="shared" si="28"/>
        <v>Grave, bitume 3, France continentale, Base Carbone; kgCO2e/tonne</v>
      </c>
      <c r="I149" s="1100" t="s">
        <v>2044</v>
      </c>
      <c r="J149" s="1048" t="s">
        <v>1585</v>
      </c>
      <c r="K149" s="1119" t="s">
        <v>1567</v>
      </c>
      <c r="L149" s="1048" t="s">
        <v>1571</v>
      </c>
      <c r="M149" s="1033">
        <v>0.2</v>
      </c>
      <c r="N149" s="1048"/>
      <c r="O149" s="1048">
        <v>46.5</v>
      </c>
      <c r="P149" s="1048"/>
      <c r="Q149" s="1048"/>
      <c r="R149" s="1048"/>
      <c r="S149" s="1048"/>
      <c r="T149" s="1048"/>
      <c r="U149" s="1102"/>
    </row>
    <row r="150" spans="2:21" hidden="1" outlineLevel="1">
      <c r="B150" s="1050">
        <v>30</v>
      </c>
      <c r="C150" s="1050" t="str">
        <f t="shared" si="25"/>
        <v>Grave, ciment préfissurée, France continentale, Base Carbone</v>
      </c>
      <c r="D150" s="1051">
        <f t="shared" si="26"/>
        <v>30</v>
      </c>
      <c r="E150" s="1051" t="str">
        <f>IF(COUNTIF(E$120:E149,F150)&gt;0,"",F150)</f>
        <v>Grave, ciment préfissurée, France continentale, Base Carbone</v>
      </c>
      <c r="F150" s="1051" t="str">
        <f t="shared" si="27"/>
        <v>Grave, ciment préfissurée, France continentale, Base Carbone</v>
      </c>
      <c r="G150" s="1055" t="str">
        <f t="shared" si="28"/>
        <v>Grave, ciment préfissurée, France continentale, Base Carbone; kgCO2e/tonne</v>
      </c>
      <c r="I150" s="1100" t="s">
        <v>2045</v>
      </c>
      <c r="J150" s="1048" t="s">
        <v>1585</v>
      </c>
      <c r="K150" s="1119" t="s">
        <v>1567</v>
      </c>
      <c r="L150" s="1048" t="s">
        <v>1571</v>
      </c>
      <c r="M150" s="1033">
        <v>0.2</v>
      </c>
      <c r="N150" s="1048"/>
      <c r="O150" s="1048">
        <v>51.6</v>
      </c>
      <c r="P150" s="1048"/>
      <c r="Q150" s="1048"/>
      <c r="R150" s="1048"/>
      <c r="S150" s="1048"/>
      <c r="T150" s="1048"/>
      <c r="U150" s="1102"/>
    </row>
    <row r="151" spans="2:21" hidden="1" outlineLevel="1">
      <c r="B151" s="1050">
        <v>31</v>
      </c>
      <c r="C151" s="1050" t="str">
        <f t="shared" si="25"/>
        <v>Grave, émulsion, France continentale, Base Carbone</v>
      </c>
      <c r="D151" s="1051">
        <f t="shared" si="26"/>
        <v>31</v>
      </c>
      <c r="E151" s="1051" t="str">
        <f>IF(COUNTIF(E$120:E150,F151)&gt;0,"",F151)</f>
        <v>Grave, émulsion, France continentale, Base Carbone</v>
      </c>
      <c r="F151" s="1051" t="str">
        <f t="shared" si="27"/>
        <v>Grave, émulsion, France continentale, Base Carbone</v>
      </c>
      <c r="G151" s="1055" t="str">
        <f t="shared" si="28"/>
        <v>Grave, émulsion, France continentale, Base Carbone; kgCO2e/tonne</v>
      </c>
      <c r="I151" s="1100" t="s">
        <v>2046</v>
      </c>
      <c r="J151" s="1048" t="s">
        <v>1585</v>
      </c>
      <c r="K151" s="1119" t="s">
        <v>1567</v>
      </c>
      <c r="L151" s="1048" t="s">
        <v>1571</v>
      </c>
      <c r="M151" s="1033">
        <v>0.2</v>
      </c>
      <c r="N151" s="1048"/>
      <c r="O151" s="1048">
        <v>30.2</v>
      </c>
      <c r="P151" s="1048"/>
      <c r="Q151" s="1048"/>
      <c r="R151" s="1048"/>
      <c r="S151" s="1048"/>
      <c r="T151" s="1048"/>
      <c r="U151" s="1102"/>
    </row>
    <row r="152" spans="2:21" hidden="1" outlineLevel="1">
      <c r="B152" s="1050">
        <v>32</v>
      </c>
      <c r="C152" s="1050" t="str">
        <f t="shared" si="25"/>
        <v>Grave, liant hydraulique, France continentale, Base Carbone</v>
      </c>
      <c r="D152" s="1051">
        <f t="shared" si="26"/>
        <v>32</v>
      </c>
      <c r="E152" s="1051" t="str">
        <f>IF(COUNTIF(E$120:E151,F152)&gt;0,"",F152)</f>
        <v>Grave, liant hydraulique, France continentale, Base Carbone</v>
      </c>
      <c r="F152" s="1051" t="str">
        <f t="shared" si="27"/>
        <v>Grave, liant hydraulique, France continentale, Base Carbone</v>
      </c>
      <c r="G152" s="1055" t="str">
        <f t="shared" si="28"/>
        <v>Grave, liant hydraulique, France continentale, Base Carbone; kgCO2e/tonne</v>
      </c>
      <c r="I152" s="1100" t="s">
        <v>2047</v>
      </c>
      <c r="J152" s="1048" t="s">
        <v>1585</v>
      </c>
      <c r="K152" s="1119" t="s">
        <v>1567</v>
      </c>
      <c r="L152" s="1048" t="s">
        <v>1571</v>
      </c>
      <c r="M152" s="1033">
        <v>0.2</v>
      </c>
      <c r="N152" s="1048"/>
      <c r="O152" s="1048">
        <v>20.6</v>
      </c>
      <c r="P152" s="1048"/>
      <c r="Q152" s="1048"/>
      <c r="R152" s="1048"/>
      <c r="S152" s="1048"/>
      <c r="T152" s="1048"/>
      <c r="U152" s="1102"/>
    </row>
    <row r="153" spans="2:21" hidden="1" outlineLevel="1">
      <c r="B153" s="1050">
        <v>33</v>
      </c>
      <c r="C153" s="1050" t="str">
        <f t="shared" si="25"/>
        <v>Grave, liant routier préfissurée, France continentale, Base Carbone</v>
      </c>
      <c r="D153" s="1051">
        <f t="shared" si="26"/>
        <v>33</v>
      </c>
      <c r="E153" s="1051" t="str">
        <f>IF(COUNTIF(E$120:E152,F153)&gt;0,"",F153)</f>
        <v>Grave, liant routier préfissurée, France continentale, Base Carbone</v>
      </c>
      <c r="F153" s="1051" t="str">
        <f t="shared" si="27"/>
        <v>Grave, liant routier préfissurée, France continentale, Base Carbone</v>
      </c>
      <c r="G153" s="1055" t="str">
        <f t="shared" si="28"/>
        <v>Grave, liant routier préfissurée, France continentale, Base Carbone; kgCO2e/tonne</v>
      </c>
      <c r="I153" s="1100" t="s">
        <v>2048</v>
      </c>
      <c r="J153" s="1048" t="s">
        <v>1585</v>
      </c>
      <c r="K153" s="1119" t="s">
        <v>1567</v>
      </c>
      <c r="L153" s="1048" t="s">
        <v>1571</v>
      </c>
      <c r="M153" s="1033">
        <v>0.2</v>
      </c>
      <c r="N153" s="1048"/>
      <c r="O153" s="1048">
        <v>21.6</v>
      </c>
      <c r="P153" s="1048"/>
      <c r="Q153" s="1048"/>
      <c r="R153" s="1048"/>
      <c r="S153" s="1048"/>
      <c r="T153" s="1048"/>
      <c r="U153" s="1102"/>
    </row>
    <row r="154" spans="2:21" hidden="1" outlineLevel="1">
      <c r="B154" s="1050">
        <v>34</v>
      </c>
      <c r="C154" s="1050" t="str">
        <f t="shared" si="25"/>
        <v>Grave, non traitée, France continentale, Base Carbone</v>
      </c>
      <c r="D154" s="1051">
        <f t="shared" si="26"/>
        <v>34</v>
      </c>
      <c r="E154" s="1051" t="str">
        <f>IF(COUNTIF(E$120:E153,F154)&gt;0,"",F154)</f>
        <v>Grave, non traitée, France continentale, Base Carbone</v>
      </c>
      <c r="F154" s="1051" t="str">
        <f t="shared" si="27"/>
        <v>Grave, non traitée, France continentale, Base Carbone</v>
      </c>
      <c r="G154" s="1055" t="str">
        <f t="shared" si="28"/>
        <v>Grave, non traitée, France continentale, Base Carbone; kgCO2e/tonne</v>
      </c>
      <c r="I154" s="1100" t="s">
        <v>2049</v>
      </c>
      <c r="J154" s="1048" t="s">
        <v>1585</v>
      </c>
      <c r="K154" s="1119" t="s">
        <v>1567</v>
      </c>
      <c r="L154" s="1048" t="s">
        <v>1571</v>
      </c>
      <c r="M154" s="1033">
        <v>0.2</v>
      </c>
      <c r="N154" s="1048"/>
      <c r="O154" s="1048">
        <v>14.5</v>
      </c>
      <c r="P154" s="1048"/>
      <c r="Q154" s="1048"/>
      <c r="R154" s="1048"/>
      <c r="S154" s="1048"/>
      <c r="T154" s="1048"/>
      <c r="U154" s="1102"/>
    </row>
    <row r="155" spans="2:21" hidden="1" outlineLevel="1">
      <c r="B155" s="1050">
        <v>35</v>
      </c>
      <c r="C155" s="1050" t="str">
        <f t="shared" si="25"/>
        <v>Glissière de sécurité pour voirie de type TC5, France continentale, Base Carbone</v>
      </c>
      <c r="D155" s="1051">
        <f t="shared" si="26"/>
        <v>35</v>
      </c>
      <c r="E155" s="1051" t="str">
        <f>IF(COUNTIF(E$120:E154,F155)&gt;0,"",F155)</f>
        <v>Glissière de sécurité pour voirie de type TC5, France continentale, Base Carbone</v>
      </c>
      <c r="F155" s="1051" t="str">
        <f t="shared" si="27"/>
        <v>Glissière de sécurité pour voirie de type TC5, France continentale, Base Carbone</v>
      </c>
      <c r="G155" s="1055" t="str">
        <f t="shared" si="28"/>
        <v>Glissière de sécurité pour voirie de type TC5, France continentale, Base Carbone; kgCO2e/m de route</v>
      </c>
      <c r="I155" s="1100" t="s">
        <v>2022</v>
      </c>
      <c r="J155" s="1135" t="s">
        <v>3636</v>
      </c>
      <c r="K155" s="1119" t="s">
        <v>1567</v>
      </c>
      <c r="L155" s="1135" t="s">
        <v>1571</v>
      </c>
      <c r="M155" s="1033">
        <v>0.15</v>
      </c>
      <c r="N155" s="1135" t="s">
        <v>2033</v>
      </c>
      <c r="O155" s="1135">
        <v>87.5</v>
      </c>
      <c r="P155" s="1048"/>
      <c r="Q155" s="1048"/>
      <c r="R155" s="1048"/>
      <c r="S155" s="1048"/>
      <c r="T155" s="1048"/>
      <c r="U155" s="1102"/>
    </row>
    <row r="156" spans="2:21" hidden="1" outlineLevel="1">
      <c r="B156" s="1050">
        <v>36</v>
      </c>
      <c r="C156" s="1050" t="str">
        <f t="shared" si="25"/>
        <v>Glissière de sécurité pour voirie de type TC6, France continentale, Base Carbone</v>
      </c>
      <c r="D156" s="1051">
        <f t="shared" si="26"/>
        <v>36</v>
      </c>
      <c r="E156" s="1051" t="str">
        <f>IF(COUNTIF(E$120:E155,F156)&gt;0,"",F156)</f>
        <v>Glissière de sécurité pour voirie de type TC6, France continentale, Base Carbone</v>
      </c>
      <c r="F156" s="1051" t="str">
        <f t="shared" si="27"/>
        <v>Glissière de sécurité pour voirie de type TC6, France continentale, Base Carbone</v>
      </c>
      <c r="G156" s="1055" t="str">
        <f t="shared" si="28"/>
        <v>Glissière de sécurité pour voirie de type TC6, France continentale, Base Carbone; kgCO2e/m de route</v>
      </c>
      <c r="I156" s="1100" t="s">
        <v>2022</v>
      </c>
      <c r="J156" s="1135" t="s">
        <v>3636</v>
      </c>
      <c r="K156" s="1119" t="s">
        <v>1567</v>
      </c>
      <c r="L156" s="1135" t="s">
        <v>1571</v>
      </c>
      <c r="M156" s="1033">
        <v>0.15</v>
      </c>
      <c r="N156" s="1135" t="s">
        <v>2034</v>
      </c>
      <c r="O156" s="1135">
        <v>280</v>
      </c>
      <c r="P156" s="1048"/>
      <c r="Q156" s="1048"/>
      <c r="R156" s="1048"/>
      <c r="S156" s="1048"/>
      <c r="T156" s="1048"/>
      <c r="U156" s="1102"/>
    </row>
    <row r="157" spans="2:21" hidden="1" outlineLevel="1">
      <c r="B157" s="1050">
        <v>37</v>
      </c>
      <c r="C157" s="1050" t="str">
        <f t="shared" si="25"/>
        <v>Glissière de sécurité pour voirie de type TC7, France continentale, Base Carbone</v>
      </c>
      <c r="D157" s="1051">
        <f t="shared" si="26"/>
        <v>37</v>
      </c>
      <c r="E157" s="1051" t="str">
        <f>IF(COUNTIF(E$120:E156,F157)&gt;0,"",F157)</f>
        <v>Glissière de sécurité pour voirie de type TC7, France continentale, Base Carbone</v>
      </c>
      <c r="F157" s="1051" t="str">
        <f t="shared" si="27"/>
        <v>Glissière de sécurité pour voirie de type TC7, France continentale, Base Carbone</v>
      </c>
      <c r="G157" s="1055" t="str">
        <f t="shared" si="28"/>
        <v>Glissière de sécurité pour voirie de type TC7, France continentale, Base Carbone; kgCO2e/m de route</v>
      </c>
      <c r="I157" s="1100" t="s">
        <v>2022</v>
      </c>
      <c r="J157" s="1135" t="s">
        <v>3636</v>
      </c>
      <c r="K157" s="1135" t="s">
        <v>1567</v>
      </c>
      <c r="L157" s="1135" t="s">
        <v>1571</v>
      </c>
      <c r="M157" s="1033">
        <v>0.15</v>
      </c>
      <c r="N157" s="1135" t="s">
        <v>2035</v>
      </c>
      <c r="O157" s="1135">
        <v>280</v>
      </c>
      <c r="P157" s="1048"/>
      <c r="Q157" s="1048"/>
      <c r="R157" s="1048"/>
      <c r="S157" s="1048"/>
      <c r="T157" s="1048"/>
      <c r="U157" s="1102"/>
    </row>
    <row r="158" spans="2:21" hidden="1" outlineLevel="1">
      <c r="B158" s="1050">
        <v>38</v>
      </c>
      <c r="C158" s="1050" t="str">
        <f t="shared" si="25"/>
        <v>-</v>
      </c>
      <c r="D158" s="1051">
        <f t="shared" si="26"/>
        <v>37</v>
      </c>
      <c r="E158" s="1051" t="str">
        <f>IF(COUNTIF(E$120:E157,F158)&gt;0,"",F158)</f>
        <v/>
      </c>
      <c r="F158" s="1051" t="str">
        <f t="shared" si="27"/>
        <v/>
      </c>
      <c r="G158" s="1055" t="str">
        <f t="shared" si="28"/>
        <v/>
      </c>
      <c r="I158" s="1100"/>
      <c r="J158" s="1048"/>
      <c r="K158" s="1048"/>
      <c r="L158" s="1048"/>
      <c r="M158" s="1033"/>
      <c r="N158" s="1048"/>
      <c r="O158" s="1048"/>
      <c r="P158" s="1048"/>
      <c r="Q158" s="1048"/>
      <c r="R158" s="1048"/>
      <c r="S158" s="1048"/>
      <c r="T158" s="1048"/>
      <c r="U158" s="1102"/>
    </row>
    <row r="159" spans="2:21" hidden="1" outlineLevel="1">
      <c r="B159" s="1050">
        <v>39</v>
      </c>
      <c r="C159" s="1050" t="str">
        <f t="shared" si="25"/>
        <v>-</v>
      </c>
      <c r="D159" s="1051">
        <f t="shared" si="26"/>
        <v>37</v>
      </c>
      <c r="E159" s="1051" t="str">
        <f>IF(COUNTIF(E$120:E158,F159)&gt;0,"",F159)</f>
        <v/>
      </c>
      <c r="F159" s="1051" t="str">
        <f t="shared" si="27"/>
        <v/>
      </c>
      <c r="G159" s="1055" t="str">
        <f t="shared" si="28"/>
        <v/>
      </c>
      <c r="I159" s="1100"/>
      <c r="J159" s="1048"/>
      <c r="K159" s="1119"/>
      <c r="L159" s="1048"/>
      <c r="M159" s="1033"/>
      <c r="N159" s="1048"/>
      <c r="O159" s="1048"/>
      <c r="P159" s="1048"/>
      <c r="Q159" s="1048"/>
      <c r="R159" s="1048"/>
      <c r="S159" s="1048"/>
      <c r="T159" s="1048"/>
      <c r="U159" s="1102"/>
    </row>
    <row r="160" spans="2:21" hidden="1" outlineLevel="1">
      <c r="B160" s="1050">
        <v>40</v>
      </c>
      <c r="C160" s="1050" t="str">
        <f t="shared" si="25"/>
        <v>-</v>
      </c>
      <c r="D160" s="1051">
        <f t="shared" si="26"/>
        <v>37</v>
      </c>
      <c r="E160" s="1051" t="str">
        <f>IF(COUNTIF(E$120:E159,F160)&gt;0,"",F160)</f>
        <v/>
      </c>
      <c r="F160" s="1051" t="str">
        <f t="shared" si="27"/>
        <v/>
      </c>
      <c r="G160" s="1055" t="str">
        <f t="shared" si="28"/>
        <v/>
      </c>
      <c r="I160" s="1100"/>
      <c r="J160" s="1048"/>
      <c r="K160" s="1119"/>
      <c r="L160" s="1048"/>
      <c r="M160" s="1033"/>
      <c r="N160" s="1048"/>
      <c r="O160" s="1048"/>
      <c r="P160" s="1048"/>
      <c r="Q160" s="1048"/>
      <c r="R160" s="1048"/>
      <c r="S160" s="1048"/>
      <c r="T160" s="1048"/>
      <c r="U160" s="1102"/>
    </row>
    <row r="161" spans="2:21" hidden="1" outlineLevel="1">
      <c r="B161" s="1050">
        <v>41</v>
      </c>
      <c r="C161" s="1050" t="str">
        <f t="shared" si="25"/>
        <v>-</v>
      </c>
      <c r="D161" s="1051">
        <f t="shared" si="26"/>
        <v>37</v>
      </c>
      <c r="E161" s="1051" t="str">
        <f>IF(COUNTIF(E$120:E160,F161)&gt;0,"",F161)</f>
        <v/>
      </c>
      <c r="F161" s="1051" t="str">
        <f t="shared" si="27"/>
        <v/>
      </c>
      <c r="G161" s="1055" t="str">
        <f t="shared" si="28"/>
        <v/>
      </c>
      <c r="I161" s="1100"/>
      <c r="J161" s="1048"/>
      <c r="K161" s="1119"/>
      <c r="L161" s="1048"/>
      <c r="M161" s="1033"/>
      <c r="N161" s="1048"/>
      <c r="O161" s="1048"/>
      <c r="P161" s="1048"/>
      <c r="Q161" s="1048"/>
      <c r="R161" s="1048"/>
      <c r="S161" s="1048"/>
      <c r="T161" s="1048"/>
      <c r="U161" s="1102"/>
    </row>
    <row r="162" spans="2:21" hidden="1" outlineLevel="1">
      <c r="B162" s="1050">
        <v>42</v>
      </c>
      <c r="C162" s="1050" t="str">
        <f t="shared" si="25"/>
        <v>-</v>
      </c>
      <c r="D162" s="1051">
        <f t="shared" si="26"/>
        <v>37</v>
      </c>
      <c r="E162" s="1051" t="str">
        <f>IF(COUNTIF(E$120:E161,F162)&gt;0,"",F162)</f>
        <v/>
      </c>
      <c r="F162" s="1051" t="str">
        <f t="shared" si="27"/>
        <v/>
      </c>
      <c r="G162" s="1055" t="str">
        <f t="shared" si="28"/>
        <v/>
      </c>
      <c r="I162" s="1100"/>
      <c r="J162" s="1048"/>
      <c r="K162" s="1119"/>
      <c r="L162" s="1048"/>
      <c r="M162" s="1033"/>
      <c r="N162" s="1048"/>
      <c r="O162" s="1048"/>
      <c r="P162" s="1048"/>
      <c r="Q162" s="1048"/>
      <c r="R162" s="1048"/>
      <c r="S162" s="1048"/>
      <c r="T162" s="1048"/>
      <c r="U162" s="1102"/>
    </row>
    <row r="163" spans="2:21" hidden="1" outlineLevel="1">
      <c r="B163" s="1050">
        <v>43</v>
      </c>
      <c r="C163" s="1050" t="str">
        <f t="shared" si="25"/>
        <v>-</v>
      </c>
      <c r="D163" s="1051">
        <f t="shared" si="26"/>
        <v>37</v>
      </c>
      <c r="E163" s="1051" t="str">
        <f>IF(COUNTIF(E$120:E162,F163)&gt;0,"",F163)</f>
        <v/>
      </c>
      <c r="F163" s="1051" t="str">
        <f t="shared" si="27"/>
        <v/>
      </c>
      <c r="G163" s="1055" t="str">
        <f t="shared" si="28"/>
        <v/>
      </c>
      <c r="I163" s="1103"/>
      <c r="J163" s="1104"/>
      <c r="K163" s="1095"/>
      <c r="L163" s="1104"/>
      <c r="M163" s="1155"/>
      <c r="N163" s="1104"/>
      <c r="O163" s="1104"/>
      <c r="P163" s="1104"/>
      <c r="Q163" s="1104"/>
      <c r="R163" s="1104"/>
      <c r="S163" s="1104"/>
      <c r="T163" s="1104"/>
      <c r="U163" s="1106"/>
    </row>
    <row r="164" spans="2:21" ht="12.75" customHeight="1"/>
    <row r="165" spans="2:21" ht="15.6" collapsed="1">
      <c r="I165" s="3167" t="s">
        <v>2027</v>
      </c>
      <c r="J165" s="3168"/>
      <c r="K165" s="3168"/>
      <c r="L165" s="3168"/>
      <c r="M165" s="3168"/>
      <c r="N165" s="3168"/>
      <c r="O165" s="3168"/>
      <c r="P165" s="3168"/>
      <c r="Q165" s="3168"/>
      <c r="R165" s="3168"/>
      <c r="S165" s="3168"/>
      <c r="T165" s="3168"/>
      <c r="U165" s="3169"/>
    </row>
    <row r="166" spans="2:21" hidden="1" outlineLevel="1">
      <c r="R166" s="1083"/>
    </row>
    <row r="167" spans="2:21" ht="12.75" hidden="1" customHeight="1" outlineLevel="1">
      <c r="B167" s="3154" t="s">
        <v>1617</v>
      </c>
      <c r="C167" s="3154"/>
      <c r="D167" s="3157" t="s">
        <v>1619</v>
      </c>
      <c r="E167" s="3157"/>
      <c r="F167" s="1151" t="s">
        <v>1991</v>
      </c>
      <c r="G167" s="1053" t="s">
        <v>1992</v>
      </c>
      <c r="H167" s="1044"/>
      <c r="I167" s="1038" t="s">
        <v>1557</v>
      </c>
      <c r="J167" s="1040" t="s">
        <v>1266</v>
      </c>
      <c r="K167" s="1043" t="s">
        <v>224</v>
      </c>
      <c r="L167" s="1043" t="s">
        <v>1558</v>
      </c>
      <c r="M167" s="1039" t="s">
        <v>366</v>
      </c>
      <c r="N167" s="1040" t="s">
        <v>1559</v>
      </c>
      <c r="O167" s="1041" t="s">
        <v>1560</v>
      </c>
      <c r="P167" s="1043" t="s">
        <v>211</v>
      </c>
      <c r="Q167" s="1043" t="s">
        <v>1561</v>
      </c>
      <c r="R167" s="1041" t="s">
        <v>1562</v>
      </c>
      <c r="S167" s="1041" t="s">
        <v>267</v>
      </c>
      <c r="T167" s="1043" t="s">
        <v>1563</v>
      </c>
      <c r="U167" s="1042" t="s">
        <v>1564</v>
      </c>
    </row>
    <row r="168" spans="2:21" s="1045" customFormat="1" ht="12.75" hidden="1" customHeight="1" outlineLevel="1">
      <c r="B168" s="3156" t="s">
        <v>2028</v>
      </c>
      <c r="C168" s="3156"/>
      <c r="D168" s="1051">
        <v>0</v>
      </c>
      <c r="E168" s="1051"/>
      <c r="F168" s="1051"/>
      <c r="G168" s="1054"/>
      <c r="H168" s="1046"/>
      <c r="I168" s="1688"/>
      <c r="J168" s="1689"/>
      <c r="K168" s="1690"/>
      <c r="L168" s="1690"/>
      <c r="M168" s="1691"/>
      <c r="N168" s="1689"/>
      <c r="O168" s="1692"/>
      <c r="P168" s="1690"/>
      <c r="Q168" s="1690"/>
      <c r="R168" s="1692"/>
      <c r="S168" s="1692"/>
      <c r="T168" s="1690"/>
      <c r="U168" s="1693"/>
    </row>
    <row r="169" spans="2:21" hidden="1" outlineLevel="1">
      <c r="B169" s="1050">
        <v>1</v>
      </c>
      <c r="C169" s="1050" t="str">
        <f>IF(ISNA(VLOOKUP(B169,$D$168:$E$211,2,FALSE)),"-",VLOOKUP(B169,$D$168:$E$211,2,FALSE))</f>
        <v>Bâtiment agricole structure en béton, France continentale, Base Carbone</v>
      </c>
      <c r="D169" s="1051">
        <f>D168+IF(LEN(E169)&gt;0,1,0)</f>
        <v>1</v>
      </c>
      <c r="E169" s="1051" t="str">
        <f>IF(COUNTIF(E$168:E168,F169)&gt;0,"",F169)</f>
        <v>Bâtiment agricole structure en béton, France continentale, Base Carbone</v>
      </c>
      <c r="F169" s="1051" t="str">
        <f>IF(I169&lt;&gt;"",I169&amp;IF(N169&lt;&gt;""," "&amp;N169,)&amp;IF(L169&lt;&gt;"",", "&amp;L169,"")&amp;IF(K169&lt;&gt;"",", "&amp;K169,""),"")</f>
        <v>Bâtiment agricole structure en béton, France continentale, Base Carbone</v>
      </c>
      <c r="G169" s="1055" t="str">
        <f>IF(F169&lt;&gt;"",F169&amp;IF(J169&lt;&gt;"","; "&amp;J169,""),"")</f>
        <v>Bâtiment agricole structure en béton, France continentale, Base Carbone; kgCO2e/m²</v>
      </c>
      <c r="I169" s="1100" t="s">
        <v>2014</v>
      </c>
      <c r="J169" s="1048" t="s">
        <v>2006</v>
      </c>
      <c r="K169" s="1119" t="s">
        <v>1567</v>
      </c>
      <c r="L169" s="1048" t="s">
        <v>1571</v>
      </c>
      <c r="M169" s="1033">
        <v>0.5</v>
      </c>
      <c r="N169" s="1048" t="s">
        <v>2031</v>
      </c>
      <c r="O169" s="1048">
        <v>656</v>
      </c>
      <c r="P169" s="1036"/>
      <c r="Q169" s="1036"/>
      <c r="R169" s="1036"/>
      <c r="S169" s="1036"/>
      <c r="T169" s="1036"/>
      <c r="U169" s="1102"/>
    </row>
    <row r="170" spans="2:21" hidden="1" outlineLevel="1">
      <c r="B170" s="1050">
        <v>2</v>
      </c>
      <c r="C170" s="1050" t="str">
        <f t="shared" ref="C170:C211" si="29">IF(ISNA(VLOOKUP(B170,$D$168:$E$211,2,FALSE)),"-",VLOOKUP(B170,$D$168:$E$211,2,FALSE))</f>
        <v>Bâtiment agricole structure métallique, France continentale, Base Carbone</v>
      </c>
      <c r="D170" s="1051">
        <f t="shared" ref="D170:D211" si="30">D169+IF(LEN(E170)&gt;0,1,0)</f>
        <v>2</v>
      </c>
      <c r="E170" s="1051" t="str">
        <f>IF(COUNTIF(E$168:E169,F170)&gt;0,"",F170)</f>
        <v>Bâtiment agricole structure métallique, France continentale, Base Carbone</v>
      </c>
      <c r="F170" s="1051" t="str">
        <f t="shared" ref="F170:F211" si="31">IF(I170&lt;&gt;"",I170&amp;IF(N170&lt;&gt;""," "&amp;N170,)&amp;IF(L170&lt;&gt;"",", "&amp;L170,"")&amp;IF(K170&lt;&gt;"",", "&amp;K170,""),"")</f>
        <v>Bâtiment agricole structure métallique, France continentale, Base Carbone</v>
      </c>
      <c r="G170" s="1055" t="str">
        <f t="shared" ref="G170:G211" si="32">IF(F170&lt;&gt;"",F170&amp;IF(J170&lt;&gt;"","; "&amp;J170,""),"")</f>
        <v>Bâtiment agricole structure métallique, France continentale, Base Carbone; kgCO2e/m²</v>
      </c>
      <c r="I170" s="1100" t="s">
        <v>2014</v>
      </c>
      <c r="J170" s="1048" t="s">
        <v>2006</v>
      </c>
      <c r="K170" s="1119" t="s">
        <v>1567</v>
      </c>
      <c r="L170" s="1048" t="s">
        <v>1571</v>
      </c>
      <c r="M170" s="1033">
        <v>0.5</v>
      </c>
      <c r="N170" s="1048" t="s">
        <v>2032</v>
      </c>
      <c r="O170" s="1048">
        <v>220</v>
      </c>
      <c r="P170" s="1048"/>
      <c r="Q170" s="1048"/>
      <c r="R170" s="1048"/>
      <c r="S170" s="1048"/>
      <c r="T170" s="1048"/>
      <c r="U170" s="1102"/>
    </row>
    <row r="171" spans="2:21" hidden="1" outlineLevel="1">
      <c r="B171" s="1050">
        <v>3</v>
      </c>
      <c r="C171" s="1050" t="str">
        <f t="shared" si="29"/>
        <v>Bâtiment industriel structure en béton, France continentale, Base Carbone</v>
      </c>
      <c r="D171" s="1051">
        <f t="shared" si="30"/>
        <v>3</v>
      </c>
      <c r="E171" s="1051" t="str">
        <f>IF(COUNTIF(E$168:E170,F171)&gt;0,"",F171)</f>
        <v>Bâtiment industriel structure en béton, France continentale, Base Carbone</v>
      </c>
      <c r="F171" s="1051" t="str">
        <f t="shared" si="31"/>
        <v>Bâtiment industriel structure en béton, France continentale, Base Carbone</v>
      </c>
      <c r="G171" s="1055" t="str">
        <f t="shared" si="32"/>
        <v>Bâtiment industriel structure en béton, France continentale, Base Carbone; kgCO2e/m²</v>
      </c>
      <c r="I171" s="1100" t="s">
        <v>2015</v>
      </c>
      <c r="J171" s="1048" t="s">
        <v>2006</v>
      </c>
      <c r="K171" s="1119" t="s">
        <v>1567</v>
      </c>
      <c r="L171" s="1048" t="s">
        <v>1571</v>
      </c>
      <c r="M171" s="1033">
        <v>0.5</v>
      </c>
      <c r="N171" s="1048" t="s">
        <v>2031</v>
      </c>
      <c r="O171" s="1048">
        <v>825</v>
      </c>
      <c r="P171" s="1048"/>
      <c r="Q171" s="1048"/>
      <c r="R171" s="1048"/>
      <c r="S171" s="1048"/>
      <c r="T171" s="1048"/>
      <c r="U171" s="1102"/>
    </row>
    <row r="172" spans="2:21" hidden="1" outlineLevel="1">
      <c r="B172" s="1050">
        <v>4</v>
      </c>
      <c r="C172" s="1050" t="str">
        <f t="shared" si="29"/>
        <v>Bâtiment industriel structure métallique, France continentale, Base Carbone</v>
      </c>
      <c r="D172" s="1051">
        <f t="shared" si="30"/>
        <v>4</v>
      </c>
      <c r="E172" s="1051" t="str">
        <f>IF(COUNTIF(E$168:E171,F172)&gt;0,"",F172)</f>
        <v>Bâtiment industriel structure métallique, France continentale, Base Carbone</v>
      </c>
      <c r="F172" s="1051" t="str">
        <f t="shared" si="31"/>
        <v>Bâtiment industriel structure métallique, France continentale, Base Carbone</v>
      </c>
      <c r="G172" s="1055" t="str">
        <f t="shared" si="32"/>
        <v>Bâtiment industriel structure métallique, France continentale, Base Carbone; kgCO2e/m²</v>
      </c>
      <c r="I172" s="1100" t="s">
        <v>2015</v>
      </c>
      <c r="J172" s="1048" t="s">
        <v>2006</v>
      </c>
      <c r="K172" s="1119" t="s">
        <v>1567</v>
      </c>
      <c r="L172" s="1048" t="s">
        <v>1571</v>
      </c>
      <c r="M172" s="1033">
        <v>0.5</v>
      </c>
      <c r="N172" s="1048" t="s">
        <v>2032</v>
      </c>
      <c r="O172" s="1048">
        <v>275</v>
      </c>
      <c r="P172" s="1048"/>
      <c r="Q172" s="1048"/>
      <c r="R172" s="1048"/>
      <c r="S172" s="1048"/>
      <c r="T172" s="1048"/>
      <c r="U172" s="1102"/>
    </row>
    <row r="173" spans="2:21" hidden="1" outlineLevel="1">
      <c r="B173" s="1050">
        <v>5</v>
      </c>
      <c r="C173" s="1050" t="str">
        <f t="shared" si="29"/>
        <v>Bâtiments de bureaux , France continentale, Base Carbone</v>
      </c>
      <c r="D173" s="1051">
        <f t="shared" si="30"/>
        <v>5</v>
      </c>
      <c r="E173" s="1051" t="str">
        <f>IF(COUNTIF(E$168:E172,F173)&gt;0,"",F173)</f>
        <v>Bâtiments de bureaux , France continentale, Base Carbone</v>
      </c>
      <c r="F173" s="1051" t="str">
        <f t="shared" si="31"/>
        <v>Bâtiments de bureaux , France continentale, Base Carbone</v>
      </c>
      <c r="G173" s="1055" t="str">
        <f t="shared" si="32"/>
        <v>Bâtiments de bureaux , France continentale, Base Carbone; kgCO2e/m² SHON</v>
      </c>
      <c r="I173" s="1100" t="s">
        <v>2016</v>
      </c>
      <c r="J173" s="1048" t="s">
        <v>2029</v>
      </c>
      <c r="K173" s="1119" t="s">
        <v>1567</v>
      </c>
      <c r="L173" s="1048" t="s">
        <v>1571</v>
      </c>
      <c r="M173" s="1033">
        <v>0.5</v>
      </c>
      <c r="N173" s="1048"/>
      <c r="O173" s="1048">
        <v>650</v>
      </c>
      <c r="P173" s="1048"/>
      <c r="Q173" s="1048"/>
      <c r="R173" s="1048"/>
      <c r="S173" s="1048"/>
      <c r="T173" s="1048"/>
      <c r="U173" s="1102"/>
    </row>
    <row r="174" spans="2:21" hidden="1" outlineLevel="1">
      <c r="B174" s="1050">
        <v>6</v>
      </c>
      <c r="C174" s="1050" t="str">
        <f t="shared" si="29"/>
        <v>Centre de loisir structure en béton, France continentale, Base Carbone</v>
      </c>
      <c r="D174" s="1051">
        <f t="shared" si="30"/>
        <v>6</v>
      </c>
      <c r="E174" s="1051" t="str">
        <f>IF(COUNTIF(E$168:E173,F174)&gt;0,"",F174)</f>
        <v>Centre de loisir structure en béton, France continentale, Base Carbone</v>
      </c>
      <c r="F174" s="1051" t="str">
        <f t="shared" si="31"/>
        <v>Centre de loisir structure en béton, France continentale, Base Carbone</v>
      </c>
      <c r="G174" s="1055" t="str">
        <f t="shared" si="32"/>
        <v>Centre de loisir structure en béton, France continentale, Base Carbone; kgCO2e/m²</v>
      </c>
      <c r="I174" s="1100" t="s">
        <v>2017</v>
      </c>
      <c r="J174" s="1048" t="s">
        <v>2006</v>
      </c>
      <c r="K174" s="1119" t="s">
        <v>1567</v>
      </c>
      <c r="L174" s="1048" t="s">
        <v>1571</v>
      </c>
      <c r="M174" s="1033">
        <v>0.5</v>
      </c>
      <c r="N174" s="1048" t="s">
        <v>2031</v>
      </c>
      <c r="O174" s="1048">
        <v>506</v>
      </c>
      <c r="P174" s="1048"/>
      <c r="Q174" s="1048"/>
      <c r="R174" s="1048"/>
      <c r="S174" s="1048"/>
      <c r="T174" s="1048"/>
      <c r="U174" s="1102"/>
    </row>
    <row r="175" spans="2:21" hidden="1" outlineLevel="1">
      <c r="B175" s="1050">
        <v>7</v>
      </c>
      <c r="C175" s="1050" t="str">
        <f t="shared" si="29"/>
        <v>Centre de loisir structure métallique, France continentale, Base Carbone</v>
      </c>
      <c r="D175" s="1051">
        <f t="shared" si="30"/>
        <v>7</v>
      </c>
      <c r="E175" s="1051" t="str">
        <f>IF(COUNTIF(E$168:E174,F175)&gt;0,"",F175)</f>
        <v>Centre de loisir structure métallique, France continentale, Base Carbone</v>
      </c>
      <c r="F175" s="1051" t="str">
        <f t="shared" si="31"/>
        <v>Centre de loisir structure métallique, France continentale, Base Carbone</v>
      </c>
      <c r="G175" s="1055" t="str">
        <f t="shared" si="32"/>
        <v>Centre de loisir structure métallique, France continentale, Base Carbone; kgCO2e/m²</v>
      </c>
      <c r="I175" s="1100" t="s">
        <v>2017</v>
      </c>
      <c r="J175" s="1048" t="s">
        <v>2006</v>
      </c>
      <c r="K175" s="1119" t="s">
        <v>1567</v>
      </c>
      <c r="L175" s="1048" t="s">
        <v>1571</v>
      </c>
      <c r="M175" s="1033">
        <v>0.5</v>
      </c>
      <c r="N175" s="1048" t="s">
        <v>2032</v>
      </c>
      <c r="O175" s="1048">
        <v>169</v>
      </c>
      <c r="P175" s="1048"/>
      <c r="Q175" s="1048"/>
      <c r="R175" s="1048"/>
      <c r="S175" s="1048"/>
      <c r="T175" s="1048"/>
      <c r="U175" s="1102"/>
    </row>
    <row r="176" spans="2:21" hidden="1" outlineLevel="1">
      <c r="B176" s="1050">
        <v>8</v>
      </c>
      <c r="C176" s="1050" t="str">
        <f t="shared" si="29"/>
        <v>Commerce structure en béton, France continentale, Base Carbone</v>
      </c>
      <c r="D176" s="1051">
        <f t="shared" si="30"/>
        <v>8</v>
      </c>
      <c r="E176" s="1051" t="str">
        <f>IF(COUNTIF(E$168:E175,F176)&gt;0,"",F176)</f>
        <v>Commerce structure en béton, France continentale, Base Carbone</v>
      </c>
      <c r="F176" s="1051" t="str">
        <f t="shared" si="31"/>
        <v>Commerce structure en béton, France continentale, Base Carbone</v>
      </c>
      <c r="G176" s="1055" t="str">
        <f t="shared" si="32"/>
        <v>Commerce structure en béton, France continentale, Base Carbone; kgCO2e/m²</v>
      </c>
      <c r="I176" s="1100" t="s">
        <v>2018</v>
      </c>
      <c r="J176" s="1048" t="s">
        <v>2006</v>
      </c>
      <c r="K176" s="1119" t="s">
        <v>1567</v>
      </c>
      <c r="L176" s="1048" t="s">
        <v>1571</v>
      </c>
      <c r="M176" s="1033">
        <v>0.5</v>
      </c>
      <c r="N176" s="1048" t="s">
        <v>2031</v>
      </c>
      <c r="O176" s="1048">
        <v>550</v>
      </c>
      <c r="P176" s="1048"/>
      <c r="Q176" s="1048"/>
      <c r="R176" s="1048"/>
      <c r="S176" s="1048"/>
      <c r="T176" s="1048"/>
      <c r="U176" s="1102"/>
    </row>
    <row r="177" spans="2:21" hidden="1" outlineLevel="1">
      <c r="B177" s="1050">
        <v>9</v>
      </c>
      <c r="C177" s="1050" t="str">
        <f t="shared" si="29"/>
        <v>Commerce structure métallique, France continentale, Base Carbone</v>
      </c>
      <c r="D177" s="1051">
        <f t="shared" si="30"/>
        <v>9</v>
      </c>
      <c r="E177" s="1051" t="str">
        <f>IF(COUNTIF(E$168:E176,F177)&gt;0,"",F177)</f>
        <v>Commerce structure métallique, France continentale, Base Carbone</v>
      </c>
      <c r="F177" s="1051" t="str">
        <f t="shared" si="31"/>
        <v>Commerce structure métallique, France continentale, Base Carbone</v>
      </c>
      <c r="G177" s="1055" t="str">
        <f t="shared" si="32"/>
        <v>Commerce structure métallique, France continentale, Base Carbone; kgCO2e/m²</v>
      </c>
      <c r="I177" s="1100" t="s">
        <v>2018</v>
      </c>
      <c r="J177" s="1048" t="s">
        <v>2006</v>
      </c>
      <c r="K177" s="1119" t="s">
        <v>1567</v>
      </c>
      <c r="L177" s="1048" t="s">
        <v>1571</v>
      </c>
      <c r="M177" s="1033">
        <v>0.5</v>
      </c>
      <c r="N177" s="1048" t="s">
        <v>2032</v>
      </c>
      <c r="O177" s="1048">
        <v>183</v>
      </c>
      <c r="P177" s="1048"/>
      <c r="Q177" s="1048"/>
      <c r="R177" s="1048"/>
      <c r="S177" s="1048"/>
      <c r="T177" s="1048"/>
      <c r="U177" s="1102"/>
    </row>
    <row r="178" spans="2:21" hidden="1" outlineLevel="1">
      <c r="B178" s="1050">
        <v>10</v>
      </c>
      <c r="C178" s="1050" t="str">
        <f t="shared" si="29"/>
        <v>Etablissement d'enseignement structure en béton, France continentale, Base Carbone</v>
      </c>
      <c r="D178" s="1051">
        <f t="shared" si="30"/>
        <v>10</v>
      </c>
      <c r="E178" s="1051" t="str">
        <f>IF(COUNTIF(E$168:E177,F178)&gt;0,"",F178)</f>
        <v>Etablissement d'enseignement structure en béton, France continentale, Base Carbone</v>
      </c>
      <c r="F178" s="1051" t="str">
        <f t="shared" si="31"/>
        <v>Etablissement d'enseignement structure en béton, France continentale, Base Carbone</v>
      </c>
      <c r="G178" s="1055" t="str">
        <f t="shared" si="32"/>
        <v>Etablissement d'enseignement structure en béton, France continentale, Base Carbone; kgCO2e/m²</v>
      </c>
      <c r="I178" s="1100" t="s">
        <v>2019</v>
      </c>
      <c r="J178" s="1048" t="s">
        <v>2006</v>
      </c>
      <c r="K178" s="1119" t="s">
        <v>1567</v>
      </c>
      <c r="L178" s="1048" t="s">
        <v>1571</v>
      </c>
      <c r="M178" s="1033">
        <v>0.5</v>
      </c>
      <c r="N178" s="1048" t="s">
        <v>2031</v>
      </c>
      <c r="O178" s="1048">
        <v>440</v>
      </c>
      <c r="P178" s="1048"/>
      <c r="Q178" s="1048"/>
      <c r="R178" s="1048"/>
      <c r="S178" s="1048"/>
      <c r="T178" s="1048"/>
      <c r="U178" s="1102"/>
    </row>
    <row r="179" spans="2:21" hidden="1" outlineLevel="1">
      <c r="B179" s="1050">
        <v>11</v>
      </c>
      <c r="C179" s="1050" t="str">
        <f t="shared" si="29"/>
        <v>Etablissement de santé structure en béton, France continentale, Base Carbone</v>
      </c>
      <c r="D179" s="1051">
        <f t="shared" si="30"/>
        <v>11</v>
      </c>
      <c r="E179" s="1051" t="str">
        <f>IF(COUNTIF(E$168:E178,F179)&gt;0,"",F179)</f>
        <v>Etablissement de santé structure en béton, France continentale, Base Carbone</v>
      </c>
      <c r="F179" s="1051" t="str">
        <f t="shared" si="31"/>
        <v>Etablissement de santé structure en béton, France continentale, Base Carbone</v>
      </c>
      <c r="G179" s="1055" t="str">
        <f t="shared" si="32"/>
        <v>Etablissement de santé structure en béton, France continentale, Base Carbone; kgCO2e/m²</v>
      </c>
      <c r="I179" s="1100" t="s">
        <v>2020</v>
      </c>
      <c r="J179" s="1048" t="s">
        <v>2006</v>
      </c>
      <c r="K179" s="1119" t="s">
        <v>1567</v>
      </c>
      <c r="L179" s="1048" t="s">
        <v>1571</v>
      </c>
      <c r="M179" s="1033">
        <v>0.5</v>
      </c>
      <c r="N179" s="1048" t="s">
        <v>2031</v>
      </c>
      <c r="O179" s="1048">
        <v>440</v>
      </c>
      <c r="P179" s="1048"/>
      <c r="Q179" s="1048"/>
      <c r="R179" s="1048"/>
      <c r="S179" s="1048"/>
      <c r="T179" s="1048"/>
      <c r="U179" s="1102"/>
    </row>
    <row r="180" spans="2:21" hidden="1" outlineLevel="1">
      <c r="B180" s="1050">
        <v>12</v>
      </c>
      <c r="C180" s="1050" t="str">
        <f t="shared" si="29"/>
        <v>Garage structure en béton, France continentale, Base Carbone</v>
      </c>
      <c r="D180" s="1051">
        <f t="shared" si="30"/>
        <v>12</v>
      </c>
      <c r="E180" s="1051" t="str">
        <f>IF(COUNTIF(E$168:E179,F180)&gt;0,"",F180)</f>
        <v>Garage structure en béton, France continentale, Base Carbone</v>
      </c>
      <c r="F180" s="1051" t="str">
        <f t="shared" si="31"/>
        <v>Garage structure en béton, France continentale, Base Carbone</v>
      </c>
      <c r="G180" s="1055" t="str">
        <f t="shared" si="32"/>
        <v>Garage structure en béton, France continentale, Base Carbone; kgCO2e/m²</v>
      </c>
      <c r="I180" s="1100" t="s">
        <v>2021</v>
      </c>
      <c r="J180" s="1048" t="s">
        <v>2006</v>
      </c>
      <c r="K180" s="1119" t="s">
        <v>1567</v>
      </c>
      <c r="L180" s="1048" t="s">
        <v>1571</v>
      </c>
      <c r="M180" s="1033">
        <v>0.5</v>
      </c>
      <c r="N180" s="1048" t="s">
        <v>2031</v>
      </c>
      <c r="O180" s="1048">
        <v>656</v>
      </c>
      <c r="P180" s="1048"/>
      <c r="Q180" s="1048"/>
      <c r="R180" s="1048"/>
      <c r="S180" s="1048"/>
      <c r="T180" s="1048"/>
      <c r="U180" s="1102"/>
    </row>
    <row r="181" spans="2:21" hidden="1" outlineLevel="1">
      <c r="B181" s="1050">
        <v>13</v>
      </c>
      <c r="C181" s="1050" t="str">
        <f t="shared" si="29"/>
        <v>Garage structure métallique, France continentale, Base Carbone</v>
      </c>
      <c r="D181" s="1051">
        <f t="shared" si="30"/>
        <v>13</v>
      </c>
      <c r="E181" s="1051" t="str">
        <f>IF(COUNTIF(E$168:E180,F181)&gt;0,"",F181)</f>
        <v>Garage structure métallique, France continentale, Base Carbone</v>
      </c>
      <c r="F181" s="1051" t="str">
        <f t="shared" si="31"/>
        <v>Garage structure métallique, France continentale, Base Carbone</v>
      </c>
      <c r="G181" s="1055" t="str">
        <f t="shared" si="32"/>
        <v>Garage structure métallique, France continentale, Base Carbone; kgCO2e/m²</v>
      </c>
      <c r="I181" s="1100" t="s">
        <v>2021</v>
      </c>
      <c r="J181" s="1048" t="s">
        <v>2006</v>
      </c>
      <c r="K181" s="1119" t="s">
        <v>1567</v>
      </c>
      <c r="L181" s="1048" t="s">
        <v>1571</v>
      </c>
      <c r="M181" s="1033">
        <v>0.5</v>
      </c>
      <c r="N181" s="1048" t="s">
        <v>2032</v>
      </c>
      <c r="O181" s="1048">
        <v>220</v>
      </c>
      <c r="P181" s="1048"/>
      <c r="Q181" s="1048"/>
      <c r="R181" s="1048"/>
      <c r="S181" s="1048"/>
      <c r="T181" s="1048"/>
      <c r="U181" s="1102"/>
    </row>
    <row r="182" spans="2:21" hidden="1" outlineLevel="1">
      <c r="B182" s="1050">
        <v>14</v>
      </c>
      <c r="C182" s="1050" t="str">
        <f t="shared" si="29"/>
        <v>Immeubles de logements collectifs (IC), France continentale, Base Carbone</v>
      </c>
      <c r="D182" s="1051">
        <f t="shared" si="30"/>
        <v>14</v>
      </c>
      <c r="E182" s="1051" t="str">
        <f>IF(COUNTIF(E$168:E181,F182)&gt;0,"",F182)</f>
        <v>Immeubles de logements collectifs (IC), France continentale, Base Carbone</v>
      </c>
      <c r="F182" s="1051" t="str">
        <f t="shared" si="31"/>
        <v>Immeubles de logements collectifs (IC), France continentale, Base Carbone</v>
      </c>
      <c r="G182" s="1055" t="str">
        <f t="shared" si="32"/>
        <v>Immeubles de logements collectifs (IC), France continentale, Base Carbone; kgCO2e/m² SHON</v>
      </c>
      <c r="I182" s="1100" t="s">
        <v>2023</v>
      </c>
      <c r="J182" s="1048" t="s">
        <v>2029</v>
      </c>
      <c r="K182" s="1119" t="s">
        <v>1567</v>
      </c>
      <c r="L182" s="1048" t="s">
        <v>1571</v>
      </c>
      <c r="M182" s="1033">
        <v>0.5</v>
      </c>
      <c r="N182" s="1048"/>
      <c r="O182" s="1048">
        <v>525</v>
      </c>
      <c r="P182" s="1048"/>
      <c r="Q182" s="1048"/>
      <c r="R182" s="1048"/>
      <c r="S182" s="1048"/>
      <c r="T182" s="1048"/>
      <c r="U182" s="1102"/>
    </row>
    <row r="183" spans="2:21" hidden="1" outlineLevel="1">
      <c r="B183" s="1050">
        <v>15</v>
      </c>
      <c r="C183" s="1050" t="str">
        <f t="shared" si="29"/>
        <v>Maison éco-construite « bois, paille, pierre, terre » Ardèche, France continentale, Base Carbone</v>
      </c>
      <c r="D183" s="1051">
        <f t="shared" si="30"/>
        <v>15</v>
      </c>
      <c r="E183" s="1051" t="str">
        <f>IF(COUNTIF(E$168:E182,F183)&gt;0,"",F183)</f>
        <v>Maison éco-construite « bois, paille, pierre, terre » Ardèche, France continentale, Base Carbone</v>
      </c>
      <c r="F183" s="1051" t="str">
        <f t="shared" si="31"/>
        <v>Maison éco-construite « bois, paille, pierre, terre » Ardèche, France continentale, Base Carbone</v>
      </c>
      <c r="G183" s="1055" t="str">
        <f t="shared" si="32"/>
        <v>Maison éco-construite « bois, paille, pierre, terre » Ardèche, France continentale, Base Carbone; kgCO2e/m² SHON</v>
      </c>
      <c r="I183" s="1100" t="s">
        <v>2024</v>
      </c>
      <c r="J183" s="1048" t="s">
        <v>2029</v>
      </c>
      <c r="K183" s="1119" t="s">
        <v>1567</v>
      </c>
      <c r="L183" s="1048" t="s">
        <v>1571</v>
      </c>
      <c r="M183" s="1033">
        <v>0.3</v>
      </c>
      <c r="N183" s="1048" t="s">
        <v>2038</v>
      </c>
      <c r="O183" s="1048">
        <v>144</v>
      </c>
      <c r="P183" s="1048">
        <v>144</v>
      </c>
      <c r="Q183" s="1048">
        <v>0</v>
      </c>
      <c r="R183" s="1048">
        <v>0</v>
      </c>
      <c r="S183" s="1048">
        <v>0</v>
      </c>
      <c r="T183" s="1048">
        <v>0</v>
      </c>
      <c r="U183" s="1102">
        <v>-456</v>
      </c>
    </row>
    <row r="184" spans="2:21" hidden="1" outlineLevel="1">
      <c r="B184" s="1050">
        <v>16</v>
      </c>
      <c r="C184" s="1050" t="str">
        <f t="shared" si="29"/>
        <v>Maisons individuelles (MI), France continentale, Base Carbone</v>
      </c>
      <c r="D184" s="1051">
        <f t="shared" si="30"/>
        <v>16</v>
      </c>
      <c r="E184" s="1051" t="str">
        <f>IF(COUNTIF(E$168:E183,F184)&gt;0,"",F184)</f>
        <v>Maisons individuelles (MI), France continentale, Base Carbone</v>
      </c>
      <c r="F184" s="1051" t="str">
        <f t="shared" si="31"/>
        <v>Maisons individuelles (MI), France continentale, Base Carbone</v>
      </c>
      <c r="G184" s="1055" t="str">
        <f t="shared" si="32"/>
        <v>Maisons individuelles (MI), France continentale, Base Carbone; kgCO2e/m² SHON</v>
      </c>
      <c r="I184" s="1100" t="s">
        <v>2025</v>
      </c>
      <c r="J184" s="1048" t="s">
        <v>2029</v>
      </c>
      <c r="K184" s="1119" t="s">
        <v>1567</v>
      </c>
      <c r="L184" s="1048" t="s">
        <v>1571</v>
      </c>
      <c r="M184" s="1033">
        <v>0.5</v>
      </c>
      <c r="N184" s="1048"/>
      <c r="O184" s="1048">
        <v>425</v>
      </c>
      <c r="P184" s="1048"/>
      <c r="Q184" s="1048"/>
      <c r="R184" s="1048"/>
      <c r="S184" s="1048"/>
      <c r="T184" s="1048"/>
      <c r="U184" s="1102"/>
    </row>
    <row r="185" spans="2:21" hidden="1" outlineLevel="1">
      <c r="B185" s="1050">
        <v>17</v>
      </c>
      <c r="C185" s="1050" t="str">
        <f t="shared" si="29"/>
        <v>Parking aire de repos d'autoroute, France continentale, Base Carbone</v>
      </c>
      <c r="D185" s="1051">
        <f t="shared" si="30"/>
        <v>17</v>
      </c>
      <c r="E185" s="1051" t="str">
        <f>IF(COUNTIF(E$168:E184,F185)&gt;0,"",F185)</f>
        <v>Parking aire de repos d'autoroute, France continentale, Base Carbone</v>
      </c>
      <c r="F185" s="1051" t="str">
        <f t="shared" si="31"/>
        <v>Parking aire de repos d'autoroute, France continentale, Base Carbone</v>
      </c>
      <c r="G185" s="1055" t="str">
        <f t="shared" si="32"/>
        <v>Parking aire de repos d'autoroute, France continentale, Base Carbone; kgCO2e/m²</v>
      </c>
      <c r="I185" s="1100" t="s">
        <v>2026</v>
      </c>
      <c r="J185" s="1048" t="s">
        <v>2006</v>
      </c>
      <c r="K185" s="1119" t="s">
        <v>1567</v>
      </c>
      <c r="L185" s="1048" t="s">
        <v>1571</v>
      </c>
      <c r="M185" s="1033">
        <v>0.15</v>
      </c>
      <c r="N185" s="1048" t="s">
        <v>2036</v>
      </c>
      <c r="O185" s="1048">
        <v>594</v>
      </c>
      <c r="P185" s="1048"/>
      <c r="Q185" s="1048"/>
      <c r="R185" s="1048"/>
      <c r="S185" s="1048"/>
      <c r="T185" s="1048"/>
      <c r="U185" s="1102"/>
    </row>
    <row r="186" spans="2:21" hidden="1" outlineLevel="1">
      <c r="B186" s="1050">
        <v>18</v>
      </c>
      <c r="C186" s="1050" t="str">
        <f t="shared" si="29"/>
        <v>Parking classique, France continentale, Base Carbone</v>
      </c>
      <c r="D186" s="1051">
        <f t="shared" si="30"/>
        <v>18</v>
      </c>
      <c r="E186" s="1051" t="str">
        <f>IF(COUNTIF(E$168:E185,F186)&gt;0,"",F186)</f>
        <v>Parking classique, France continentale, Base Carbone</v>
      </c>
      <c r="F186" s="1051" t="str">
        <f t="shared" si="31"/>
        <v>Parking classique, France continentale, Base Carbone</v>
      </c>
      <c r="G186" s="1055" t="str">
        <f t="shared" si="32"/>
        <v>Parking classique, France continentale, Base Carbone; kgCO2e/m²</v>
      </c>
      <c r="I186" s="1100" t="s">
        <v>2026</v>
      </c>
      <c r="J186" s="1048" t="s">
        <v>2006</v>
      </c>
      <c r="K186" s="1119" t="s">
        <v>1567</v>
      </c>
      <c r="L186" s="1048" t="s">
        <v>1571</v>
      </c>
      <c r="M186" s="1033">
        <v>0.15</v>
      </c>
      <c r="N186" s="1048" t="s">
        <v>2037</v>
      </c>
      <c r="O186" s="1048">
        <v>557</v>
      </c>
      <c r="P186" s="1048"/>
      <c r="Q186" s="1048"/>
      <c r="R186" s="1048"/>
      <c r="S186" s="1048"/>
      <c r="T186" s="1048"/>
      <c r="U186" s="1102"/>
    </row>
    <row r="187" spans="2:21" hidden="1" outlineLevel="1">
      <c r="B187" s="1050">
        <v>19</v>
      </c>
      <c r="C187" s="1050" t="str">
        <f t="shared" si="29"/>
        <v>Voirie de type TC1 - béton armé, France continentale, Base Carbone</v>
      </c>
      <c r="D187" s="1051">
        <f t="shared" si="30"/>
        <v>19</v>
      </c>
      <c r="E187" s="1051" t="str">
        <f>IF(COUNTIF(E$168:E186,F187)&gt;0,"",F187)</f>
        <v>Voirie de type TC1 - béton armé, France continentale, Base Carbone</v>
      </c>
      <c r="F187" s="1051" t="str">
        <f t="shared" si="31"/>
        <v>Voirie de type TC1 - béton armé, France continentale, Base Carbone</v>
      </c>
      <c r="G187" s="1055" t="str">
        <f t="shared" si="32"/>
        <v>Voirie de type TC1 - béton armé, France continentale, Base Carbone; kgCO2e/m²</v>
      </c>
      <c r="I187" s="2018" t="s">
        <v>2011</v>
      </c>
      <c r="J187" s="1135" t="s">
        <v>2006</v>
      </c>
      <c r="K187" s="1119" t="s">
        <v>1567</v>
      </c>
      <c r="L187" s="1135" t="s">
        <v>1571</v>
      </c>
      <c r="M187" s="1033">
        <v>0.15</v>
      </c>
      <c r="N187" s="1135" t="s">
        <v>3637</v>
      </c>
      <c r="O187" s="1135">
        <v>85</v>
      </c>
      <c r="P187" s="1048"/>
      <c r="Q187" s="1048"/>
      <c r="R187" s="1048"/>
      <c r="S187" s="1048"/>
      <c r="T187" s="1048"/>
      <c r="U187" s="1102"/>
    </row>
    <row r="188" spans="2:21" hidden="1" outlineLevel="1">
      <c r="B188" s="1050">
        <v>20</v>
      </c>
      <c r="C188" s="1050" t="str">
        <f t="shared" si="29"/>
        <v>Voirie de type TC1 - bitume, France continentale, Base Carbone</v>
      </c>
      <c r="D188" s="1051">
        <f t="shared" si="30"/>
        <v>20</v>
      </c>
      <c r="E188" s="1051" t="str">
        <f>IF(COUNTIF(E$168:E187,F188)&gt;0,"",F188)</f>
        <v>Voirie de type TC1 - bitume, France continentale, Base Carbone</v>
      </c>
      <c r="F188" s="1051" t="str">
        <f t="shared" si="31"/>
        <v>Voirie de type TC1 - bitume, France continentale, Base Carbone</v>
      </c>
      <c r="G188" s="1055" t="str">
        <f t="shared" si="32"/>
        <v>Voirie de type TC1 - bitume, France continentale, Base Carbone; kgCO2e/m²</v>
      </c>
      <c r="I188" s="2018" t="s">
        <v>2011</v>
      </c>
      <c r="J188" s="1135" t="s">
        <v>2006</v>
      </c>
      <c r="K188" s="1119" t="s">
        <v>1567</v>
      </c>
      <c r="L188" s="1119" t="s">
        <v>1571</v>
      </c>
      <c r="M188" s="1033">
        <v>0.15</v>
      </c>
      <c r="N188" s="1119" t="s">
        <v>3638</v>
      </c>
      <c r="O188" s="1135">
        <v>15</v>
      </c>
      <c r="P188" s="1048"/>
      <c r="Q188" s="1048"/>
      <c r="R188" s="1048"/>
      <c r="S188" s="1048"/>
      <c r="T188" s="1048"/>
      <c r="U188" s="1102"/>
    </row>
    <row r="189" spans="2:21" hidden="1" outlineLevel="1">
      <c r="B189" s="1050">
        <v>21</v>
      </c>
      <c r="C189" s="1050" t="str">
        <f t="shared" si="29"/>
        <v>Voirie de type TC1 - semi-rigide, France continentale, Base Carbone</v>
      </c>
      <c r="D189" s="1051">
        <f t="shared" si="30"/>
        <v>21</v>
      </c>
      <c r="E189" s="1051" t="str">
        <f>IF(COUNTIF(E$168:E188,F189)&gt;0,"",F189)</f>
        <v>Voirie de type TC1 - semi-rigide, France continentale, Base Carbone</v>
      </c>
      <c r="F189" s="1051" t="str">
        <f t="shared" si="31"/>
        <v>Voirie de type TC1 - semi-rigide, France continentale, Base Carbone</v>
      </c>
      <c r="G189" s="1055" t="str">
        <f t="shared" si="32"/>
        <v>Voirie de type TC1 - semi-rigide, France continentale, Base Carbone; kgCO2e/m²</v>
      </c>
      <c r="I189" s="2018" t="s">
        <v>2011</v>
      </c>
      <c r="J189" s="1135" t="s">
        <v>2006</v>
      </c>
      <c r="K189" s="1119" t="s">
        <v>1567</v>
      </c>
      <c r="L189" s="1119" t="s">
        <v>1571</v>
      </c>
      <c r="M189" s="1033">
        <v>0.15</v>
      </c>
      <c r="N189" s="1119" t="s">
        <v>3639</v>
      </c>
      <c r="O189" s="1135">
        <v>40</v>
      </c>
      <c r="P189" s="1048"/>
      <c r="Q189" s="1048"/>
      <c r="R189" s="1048"/>
      <c r="S189" s="1048"/>
      <c r="T189" s="1048"/>
      <c r="U189" s="1102"/>
    </row>
    <row r="190" spans="2:21" hidden="1" outlineLevel="1">
      <c r="B190" s="1050">
        <v>22</v>
      </c>
      <c r="C190" s="1050" t="str">
        <f t="shared" si="29"/>
        <v>Voirie de type TC2 - béton armé, France continentale, Base Carbone</v>
      </c>
      <c r="D190" s="1051">
        <f t="shared" si="30"/>
        <v>22</v>
      </c>
      <c r="E190" s="1051" t="str">
        <f>IF(COUNTIF(E$168:E189,F190)&gt;0,"",F190)</f>
        <v>Voirie de type TC2 - béton armé, France continentale, Base Carbone</v>
      </c>
      <c r="F190" s="1051" t="str">
        <f t="shared" si="31"/>
        <v>Voirie de type TC2 - béton armé, France continentale, Base Carbone</v>
      </c>
      <c r="G190" s="1055" t="str">
        <f t="shared" si="32"/>
        <v>Voirie de type TC2 - béton armé, France continentale, Base Carbone; kgCO2e/m²</v>
      </c>
      <c r="I190" s="2018" t="s">
        <v>2011</v>
      </c>
      <c r="J190" s="1135" t="s">
        <v>2006</v>
      </c>
      <c r="K190" s="1119" t="s">
        <v>1567</v>
      </c>
      <c r="L190" s="1135" t="s">
        <v>1571</v>
      </c>
      <c r="M190" s="1033">
        <v>0.15</v>
      </c>
      <c r="N190" s="1135" t="s">
        <v>3640</v>
      </c>
      <c r="O190" s="1135">
        <v>87</v>
      </c>
      <c r="P190" s="1048"/>
      <c r="Q190" s="1048"/>
      <c r="R190" s="1048"/>
      <c r="S190" s="1048"/>
      <c r="T190" s="1048"/>
      <c r="U190" s="1102"/>
    </row>
    <row r="191" spans="2:21" hidden="1" outlineLevel="1">
      <c r="B191" s="1050">
        <v>23</v>
      </c>
      <c r="C191" s="1050" t="str">
        <f t="shared" si="29"/>
        <v>Voirie de type TC2 - bitume, France continentale, Base Carbone</v>
      </c>
      <c r="D191" s="1051">
        <f t="shared" si="30"/>
        <v>23</v>
      </c>
      <c r="E191" s="1051" t="str">
        <f>IF(COUNTIF(E$168:E190,F191)&gt;0,"",F191)</f>
        <v>Voirie de type TC2 - bitume, France continentale, Base Carbone</v>
      </c>
      <c r="F191" s="1051" t="str">
        <f t="shared" si="31"/>
        <v>Voirie de type TC2 - bitume, France continentale, Base Carbone</v>
      </c>
      <c r="G191" s="1055" t="str">
        <f t="shared" si="32"/>
        <v>Voirie de type TC2 - bitume, France continentale, Base Carbone; kgCO2e/m²</v>
      </c>
      <c r="I191" s="2018" t="s">
        <v>2011</v>
      </c>
      <c r="J191" s="1135" t="s">
        <v>2006</v>
      </c>
      <c r="K191" s="1119" t="s">
        <v>1567</v>
      </c>
      <c r="L191" s="1119" t="s">
        <v>1571</v>
      </c>
      <c r="M191" s="1033">
        <v>0.15</v>
      </c>
      <c r="N191" s="1119" t="s">
        <v>3641</v>
      </c>
      <c r="O191" s="1135">
        <v>20</v>
      </c>
      <c r="P191" s="1048"/>
      <c r="Q191" s="1048"/>
      <c r="R191" s="1048"/>
      <c r="S191" s="1048"/>
      <c r="T191" s="1048"/>
      <c r="U191" s="1102"/>
    </row>
    <row r="192" spans="2:21" hidden="1" outlineLevel="1">
      <c r="B192" s="1050">
        <v>24</v>
      </c>
      <c r="C192" s="1050" t="str">
        <f t="shared" si="29"/>
        <v>Voirie de type TC2 - semi-rigide, France continentale, Base Carbone</v>
      </c>
      <c r="D192" s="1051">
        <f t="shared" si="30"/>
        <v>24</v>
      </c>
      <c r="E192" s="1051" t="str">
        <f>IF(COUNTIF(E$168:E191,F192)&gt;0,"",F192)</f>
        <v>Voirie de type TC2 - semi-rigide, France continentale, Base Carbone</v>
      </c>
      <c r="F192" s="1051" t="str">
        <f t="shared" si="31"/>
        <v>Voirie de type TC2 - semi-rigide, France continentale, Base Carbone</v>
      </c>
      <c r="G192" s="1055" t="str">
        <f t="shared" si="32"/>
        <v>Voirie de type TC2 - semi-rigide, France continentale, Base Carbone; kgCO2e/m²</v>
      </c>
      <c r="I192" s="2018" t="s">
        <v>2011</v>
      </c>
      <c r="J192" s="1135" t="s">
        <v>2006</v>
      </c>
      <c r="K192" s="1119" t="s">
        <v>1567</v>
      </c>
      <c r="L192" s="1119" t="s">
        <v>1571</v>
      </c>
      <c r="M192" s="1033">
        <v>0.15</v>
      </c>
      <c r="N192" s="1119" t="s">
        <v>3642</v>
      </c>
      <c r="O192" s="1135">
        <v>45</v>
      </c>
      <c r="P192" s="1048"/>
      <c r="Q192" s="1048"/>
      <c r="R192" s="1048"/>
      <c r="S192" s="1048"/>
      <c r="T192" s="1048"/>
      <c r="U192" s="1102"/>
    </row>
    <row r="193" spans="2:21" hidden="1" outlineLevel="1">
      <c r="B193" s="1050">
        <v>25</v>
      </c>
      <c r="C193" s="1050" t="str">
        <f t="shared" si="29"/>
        <v>Voirie de type TC3 - béton armé, France continentale, Base Carbone</v>
      </c>
      <c r="D193" s="1051">
        <f t="shared" si="30"/>
        <v>25</v>
      </c>
      <c r="E193" s="1051" t="str">
        <f>IF(COUNTIF(E$168:E192,F193)&gt;0,"",F193)</f>
        <v>Voirie de type TC3 - béton armé, France continentale, Base Carbone</v>
      </c>
      <c r="F193" s="1051" t="str">
        <f t="shared" si="31"/>
        <v>Voirie de type TC3 - béton armé, France continentale, Base Carbone</v>
      </c>
      <c r="G193" s="1055" t="str">
        <f t="shared" si="32"/>
        <v>Voirie de type TC3 - béton armé, France continentale, Base Carbone; kgCO2e/m²</v>
      </c>
      <c r="I193" s="2018" t="s">
        <v>2011</v>
      </c>
      <c r="J193" s="1135" t="s">
        <v>2006</v>
      </c>
      <c r="K193" s="1119" t="s">
        <v>1567</v>
      </c>
      <c r="L193" s="1135" t="s">
        <v>1571</v>
      </c>
      <c r="M193" s="1033">
        <v>0.15</v>
      </c>
      <c r="N193" s="1135" t="s">
        <v>3643</v>
      </c>
      <c r="O193" s="1135">
        <v>92</v>
      </c>
      <c r="P193" s="1048"/>
      <c r="Q193" s="1048"/>
      <c r="R193" s="1048"/>
      <c r="S193" s="1048"/>
      <c r="T193" s="1048"/>
      <c r="U193" s="1102"/>
    </row>
    <row r="194" spans="2:21" hidden="1" outlineLevel="1">
      <c r="B194" s="1050">
        <v>26</v>
      </c>
      <c r="C194" s="1050" t="str">
        <f t="shared" si="29"/>
        <v>Voirie de type TC3 - bitume, France continentale, Base Carbone</v>
      </c>
      <c r="D194" s="1051">
        <f t="shared" si="30"/>
        <v>26</v>
      </c>
      <c r="E194" s="1051" t="str">
        <f>IF(COUNTIF(E$168:E193,F194)&gt;0,"",F194)</f>
        <v>Voirie de type TC3 - bitume, France continentale, Base Carbone</v>
      </c>
      <c r="F194" s="1051" t="str">
        <f t="shared" si="31"/>
        <v>Voirie de type TC3 - bitume, France continentale, Base Carbone</v>
      </c>
      <c r="G194" s="1055" t="str">
        <f t="shared" si="32"/>
        <v>Voirie de type TC3 - bitume, France continentale, Base Carbone; kgCO2e/m²</v>
      </c>
      <c r="I194" s="2018" t="s">
        <v>2011</v>
      </c>
      <c r="J194" s="1135" t="s">
        <v>2006</v>
      </c>
      <c r="K194" s="1119" t="s">
        <v>1567</v>
      </c>
      <c r="L194" s="1119" t="s">
        <v>1571</v>
      </c>
      <c r="M194" s="1033">
        <v>0.15</v>
      </c>
      <c r="N194" s="1119" t="s">
        <v>3644</v>
      </c>
      <c r="O194" s="1135">
        <v>25</v>
      </c>
      <c r="P194" s="1048"/>
      <c r="Q194" s="1048"/>
      <c r="R194" s="1048"/>
      <c r="S194" s="1048"/>
      <c r="T194" s="1048"/>
      <c r="U194" s="1102"/>
    </row>
    <row r="195" spans="2:21" hidden="1" outlineLevel="1">
      <c r="B195" s="1050">
        <v>27</v>
      </c>
      <c r="C195" s="1050" t="str">
        <f t="shared" si="29"/>
        <v>Voirie de type TC3 - semi-rigide, France continentale, Base Carbone</v>
      </c>
      <c r="D195" s="1051">
        <f t="shared" si="30"/>
        <v>27</v>
      </c>
      <c r="E195" s="1051" t="str">
        <f>IF(COUNTIF(E$168:E194,F195)&gt;0,"",F195)</f>
        <v>Voirie de type TC3 - semi-rigide, France continentale, Base Carbone</v>
      </c>
      <c r="F195" s="1051" t="str">
        <f t="shared" si="31"/>
        <v>Voirie de type TC3 - semi-rigide, France continentale, Base Carbone</v>
      </c>
      <c r="G195" s="1055" t="str">
        <f t="shared" si="32"/>
        <v>Voirie de type TC3 - semi-rigide, France continentale, Base Carbone; kgCO2e/m²</v>
      </c>
      <c r="I195" s="2018" t="s">
        <v>2011</v>
      </c>
      <c r="J195" s="1135" t="s">
        <v>2006</v>
      </c>
      <c r="K195" s="1119" t="s">
        <v>1567</v>
      </c>
      <c r="L195" s="1119" t="s">
        <v>1571</v>
      </c>
      <c r="M195" s="1033">
        <v>0.15</v>
      </c>
      <c r="N195" s="1119" t="s">
        <v>3645</v>
      </c>
      <c r="O195" s="1135">
        <v>45</v>
      </c>
      <c r="P195" s="1048"/>
      <c r="Q195" s="1048"/>
      <c r="R195" s="1048"/>
      <c r="S195" s="1048"/>
      <c r="T195" s="1048"/>
      <c r="U195" s="1102"/>
    </row>
    <row r="196" spans="2:21" hidden="1" outlineLevel="1">
      <c r="B196" s="1050">
        <v>28</v>
      </c>
      <c r="C196" s="1050" t="str">
        <f t="shared" si="29"/>
        <v>Voirie de type TC4 - béton armé, France continentale, Base Carbone</v>
      </c>
      <c r="D196" s="1051">
        <f t="shared" si="30"/>
        <v>28</v>
      </c>
      <c r="E196" s="1051" t="str">
        <f>IF(COUNTIF(E$168:E195,F196)&gt;0,"",F196)</f>
        <v>Voirie de type TC4 - béton armé, France continentale, Base Carbone</v>
      </c>
      <c r="F196" s="1051" t="str">
        <f t="shared" si="31"/>
        <v>Voirie de type TC4 - béton armé, France continentale, Base Carbone</v>
      </c>
      <c r="G196" s="1055" t="str">
        <f t="shared" si="32"/>
        <v>Voirie de type TC4 - béton armé, France continentale, Base Carbone; kgCO2e/m²</v>
      </c>
      <c r="I196" s="2018" t="s">
        <v>2011</v>
      </c>
      <c r="J196" s="1135" t="s">
        <v>2006</v>
      </c>
      <c r="K196" s="1119" t="s">
        <v>1567</v>
      </c>
      <c r="L196" s="1135" t="s">
        <v>1571</v>
      </c>
      <c r="M196" s="1033">
        <v>0.15</v>
      </c>
      <c r="N196" s="1135" t="s">
        <v>3646</v>
      </c>
      <c r="O196" s="1135">
        <v>100</v>
      </c>
      <c r="P196" s="1048"/>
      <c r="Q196" s="1048"/>
      <c r="R196" s="1048"/>
      <c r="S196" s="1048"/>
      <c r="T196" s="1048"/>
      <c r="U196" s="1102"/>
    </row>
    <row r="197" spans="2:21" hidden="1" outlineLevel="1">
      <c r="B197" s="1050">
        <v>29</v>
      </c>
      <c r="C197" s="1050" t="str">
        <f t="shared" si="29"/>
        <v>Voirie de type TC4 - bitume, France continentale, Base Carbone</v>
      </c>
      <c r="D197" s="1051">
        <f t="shared" si="30"/>
        <v>29</v>
      </c>
      <c r="E197" s="1051" t="str">
        <f>IF(COUNTIF(E$168:E196,F197)&gt;0,"",F197)</f>
        <v>Voirie de type TC4 - bitume, France continentale, Base Carbone</v>
      </c>
      <c r="F197" s="1051" t="str">
        <f t="shared" si="31"/>
        <v>Voirie de type TC4 - bitume, France continentale, Base Carbone</v>
      </c>
      <c r="G197" s="1055" t="str">
        <f t="shared" si="32"/>
        <v>Voirie de type TC4 - bitume, France continentale, Base Carbone; kgCO2e/m²</v>
      </c>
      <c r="I197" s="2018" t="s">
        <v>2011</v>
      </c>
      <c r="J197" s="1135" t="s">
        <v>2006</v>
      </c>
      <c r="K197" s="1119" t="s">
        <v>1567</v>
      </c>
      <c r="L197" s="1119" t="s">
        <v>1571</v>
      </c>
      <c r="M197" s="1033">
        <v>0.15</v>
      </c>
      <c r="N197" s="1119" t="s">
        <v>3647</v>
      </c>
      <c r="O197" s="1135">
        <v>28</v>
      </c>
      <c r="P197" s="1048"/>
      <c r="Q197" s="1048"/>
      <c r="R197" s="1048"/>
      <c r="S197" s="1048"/>
      <c r="T197" s="1048"/>
      <c r="U197" s="1102"/>
    </row>
    <row r="198" spans="2:21" hidden="1" outlineLevel="1">
      <c r="B198" s="1050">
        <v>30</v>
      </c>
      <c r="C198" s="1050" t="str">
        <f t="shared" si="29"/>
        <v>Voirie de type TC4 - semi-rigide, France continentale, Base Carbone</v>
      </c>
      <c r="D198" s="1051">
        <f t="shared" si="30"/>
        <v>30</v>
      </c>
      <c r="E198" s="1051" t="str">
        <f>IF(COUNTIF(E$168:E197,F198)&gt;0,"",F198)</f>
        <v>Voirie de type TC4 - semi-rigide, France continentale, Base Carbone</v>
      </c>
      <c r="F198" s="1051" t="str">
        <f t="shared" si="31"/>
        <v>Voirie de type TC4 - semi-rigide, France continentale, Base Carbone</v>
      </c>
      <c r="G198" s="1055" t="str">
        <f t="shared" si="32"/>
        <v>Voirie de type TC4 - semi-rigide, France continentale, Base Carbone; kgCO2e/m²</v>
      </c>
      <c r="I198" s="2018" t="s">
        <v>2011</v>
      </c>
      <c r="J198" s="1135" t="s">
        <v>2006</v>
      </c>
      <c r="K198" s="1119" t="s">
        <v>1567</v>
      </c>
      <c r="L198" s="1119" t="s">
        <v>1571</v>
      </c>
      <c r="M198" s="1033">
        <v>0.15</v>
      </c>
      <c r="N198" s="1119" t="s">
        <v>3648</v>
      </c>
      <c r="O198" s="1135">
        <v>54</v>
      </c>
      <c r="P198" s="1048"/>
      <c r="Q198" s="1048"/>
      <c r="R198" s="1048"/>
      <c r="S198" s="1048"/>
      <c r="T198" s="1048"/>
      <c r="U198" s="1102"/>
    </row>
    <row r="199" spans="2:21" hidden="1" outlineLevel="1">
      <c r="B199" s="1050">
        <v>31</v>
      </c>
      <c r="C199" s="1050" t="str">
        <f t="shared" si="29"/>
        <v>Voirie de type TC5 - béton armé, France continentale, Base Carbone</v>
      </c>
      <c r="D199" s="1051">
        <f t="shared" si="30"/>
        <v>31</v>
      </c>
      <c r="E199" s="1051" t="str">
        <f>IF(COUNTIF(E$168:E198,F199)&gt;0,"",F199)</f>
        <v>Voirie de type TC5 - béton armé, France continentale, Base Carbone</v>
      </c>
      <c r="F199" s="1051" t="str">
        <f t="shared" si="31"/>
        <v>Voirie de type TC5 - béton armé, France continentale, Base Carbone</v>
      </c>
      <c r="G199" s="1055" t="str">
        <f t="shared" si="32"/>
        <v>Voirie de type TC5 - béton armé, France continentale, Base Carbone; kgCO2e/m²</v>
      </c>
      <c r="I199" s="2018" t="s">
        <v>2011</v>
      </c>
      <c r="J199" s="1135" t="s">
        <v>2006</v>
      </c>
      <c r="K199" s="1119" t="s">
        <v>1567</v>
      </c>
      <c r="L199" s="1135" t="s">
        <v>1571</v>
      </c>
      <c r="M199" s="1033">
        <v>0.15</v>
      </c>
      <c r="N199" s="1135" t="s">
        <v>3649</v>
      </c>
      <c r="O199" s="1135">
        <v>105</v>
      </c>
      <c r="P199" s="1048"/>
      <c r="Q199" s="1048"/>
      <c r="R199" s="1048"/>
      <c r="S199" s="1048"/>
      <c r="T199" s="1048"/>
      <c r="U199" s="1102"/>
    </row>
    <row r="200" spans="2:21" hidden="1" outlineLevel="1">
      <c r="B200" s="1050">
        <v>32</v>
      </c>
      <c r="C200" s="1050" t="str">
        <f t="shared" si="29"/>
        <v>Voirie de type TC5 - bitume, France continentale, Base Carbone</v>
      </c>
      <c r="D200" s="1051">
        <f t="shared" si="30"/>
        <v>32</v>
      </c>
      <c r="E200" s="1051" t="str">
        <f>IF(COUNTIF(E$168:E199,F200)&gt;0,"",F200)</f>
        <v>Voirie de type TC5 - bitume, France continentale, Base Carbone</v>
      </c>
      <c r="F200" s="1051" t="str">
        <f t="shared" si="31"/>
        <v>Voirie de type TC5 - bitume, France continentale, Base Carbone</v>
      </c>
      <c r="G200" s="1055" t="str">
        <f t="shared" si="32"/>
        <v>Voirie de type TC5 - bitume, France continentale, Base Carbone; kgCO2e/m²</v>
      </c>
      <c r="I200" s="2018" t="s">
        <v>2011</v>
      </c>
      <c r="J200" s="1135" t="s">
        <v>2006</v>
      </c>
      <c r="K200" s="1119" t="s">
        <v>1567</v>
      </c>
      <c r="L200" s="1119" t="s">
        <v>1571</v>
      </c>
      <c r="M200" s="1033">
        <v>0.15</v>
      </c>
      <c r="N200" s="1119" t="s">
        <v>3650</v>
      </c>
      <c r="O200" s="1135">
        <v>32</v>
      </c>
      <c r="P200" s="1048"/>
      <c r="Q200" s="1048"/>
      <c r="R200" s="1048"/>
      <c r="S200" s="1048"/>
      <c r="T200" s="1048"/>
      <c r="U200" s="1102"/>
    </row>
    <row r="201" spans="2:21" hidden="1" outlineLevel="1">
      <c r="B201" s="1050">
        <v>33</v>
      </c>
      <c r="C201" s="1050" t="str">
        <f t="shared" si="29"/>
        <v>Voirie de type TC5 - semi-rigide, France continentale, Base Carbone</v>
      </c>
      <c r="D201" s="1051">
        <f t="shared" si="30"/>
        <v>33</v>
      </c>
      <c r="E201" s="1051" t="str">
        <f>IF(COUNTIF(E$168:E200,F201)&gt;0,"",F201)</f>
        <v>Voirie de type TC5 - semi-rigide, France continentale, Base Carbone</v>
      </c>
      <c r="F201" s="1051" t="str">
        <f t="shared" si="31"/>
        <v>Voirie de type TC5 - semi-rigide, France continentale, Base Carbone</v>
      </c>
      <c r="G201" s="1055" t="str">
        <f t="shared" si="32"/>
        <v>Voirie de type TC5 - semi-rigide, France continentale, Base Carbone; kgCO2e/m²</v>
      </c>
      <c r="I201" s="2018" t="s">
        <v>2011</v>
      </c>
      <c r="J201" s="1135" t="s">
        <v>2006</v>
      </c>
      <c r="K201" s="1119" t="s">
        <v>1567</v>
      </c>
      <c r="L201" s="1119" t="s">
        <v>1571</v>
      </c>
      <c r="M201" s="1033">
        <v>0.15</v>
      </c>
      <c r="N201" s="1119" t="s">
        <v>3651</v>
      </c>
      <c r="O201" s="1135">
        <v>57</v>
      </c>
      <c r="P201" s="1048"/>
      <c r="Q201" s="1048"/>
      <c r="R201" s="1048"/>
      <c r="S201" s="1048"/>
      <c r="T201" s="1048"/>
      <c r="U201" s="1102"/>
    </row>
    <row r="202" spans="2:21" hidden="1" outlineLevel="1">
      <c r="B202" s="1050">
        <v>34</v>
      </c>
      <c r="C202" s="1050" t="str">
        <f t="shared" si="29"/>
        <v>Voirie de type TC6 - béton armé, France continentale, Base Carbone</v>
      </c>
      <c r="D202" s="1051">
        <f t="shared" si="30"/>
        <v>34</v>
      </c>
      <c r="E202" s="1051" t="str">
        <f>IF(COUNTIF(E$168:E201,F202)&gt;0,"",F202)</f>
        <v>Voirie de type TC6 - béton armé, France continentale, Base Carbone</v>
      </c>
      <c r="F202" s="1051" t="str">
        <f t="shared" si="31"/>
        <v>Voirie de type TC6 - béton armé, France continentale, Base Carbone</v>
      </c>
      <c r="G202" s="1055" t="str">
        <f t="shared" si="32"/>
        <v>Voirie de type TC6 - béton armé, France continentale, Base Carbone; kgCO2e/m²</v>
      </c>
      <c r="I202" s="2018" t="s">
        <v>2011</v>
      </c>
      <c r="J202" s="1135" t="s">
        <v>2006</v>
      </c>
      <c r="K202" s="1119" t="s">
        <v>1567</v>
      </c>
      <c r="L202" s="1135" t="s">
        <v>1571</v>
      </c>
      <c r="M202" s="1033">
        <v>0.15</v>
      </c>
      <c r="N202" s="1135" t="s">
        <v>3652</v>
      </c>
      <c r="O202" s="1135">
        <v>115</v>
      </c>
      <c r="P202" s="1048"/>
      <c r="Q202" s="1048"/>
      <c r="R202" s="1048"/>
      <c r="S202" s="1048"/>
      <c r="T202" s="1048"/>
      <c r="U202" s="1102"/>
    </row>
    <row r="203" spans="2:21" hidden="1" outlineLevel="1">
      <c r="B203" s="1050">
        <v>35</v>
      </c>
      <c r="C203" s="1050" t="str">
        <f t="shared" si="29"/>
        <v>Voirie de type TC6 - bitume, France continentale, Base Carbone</v>
      </c>
      <c r="D203" s="1051">
        <f t="shared" si="30"/>
        <v>35</v>
      </c>
      <c r="E203" s="1051" t="str">
        <f>IF(COUNTIF(E$168:E202,F203)&gt;0,"",F203)</f>
        <v>Voirie de type TC6 - bitume, France continentale, Base Carbone</v>
      </c>
      <c r="F203" s="1051" t="str">
        <f t="shared" si="31"/>
        <v>Voirie de type TC6 - bitume, France continentale, Base Carbone</v>
      </c>
      <c r="G203" s="1055" t="str">
        <f t="shared" si="32"/>
        <v>Voirie de type TC6 - bitume, France continentale, Base Carbone; kgCO2e/m²</v>
      </c>
      <c r="I203" s="2018" t="s">
        <v>2011</v>
      </c>
      <c r="J203" s="1135" t="s">
        <v>2006</v>
      </c>
      <c r="K203" s="1119" t="s">
        <v>1567</v>
      </c>
      <c r="L203" s="1119" t="s">
        <v>1571</v>
      </c>
      <c r="M203" s="1033">
        <v>0.15</v>
      </c>
      <c r="N203" s="1119" t="s">
        <v>3653</v>
      </c>
      <c r="O203" s="1135">
        <v>37</v>
      </c>
      <c r="P203" s="1048"/>
      <c r="Q203" s="1048"/>
      <c r="R203" s="1048"/>
      <c r="S203" s="1048"/>
      <c r="T203" s="1048"/>
      <c r="U203" s="1102"/>
    </row>
    <row r="204" spans="2:21" hidden="1" outlineLevel="1">
      <c r="B204" s="1050">
        <v>36</v>
      </c>
      <c r="C204" s="1050" t="str">
        <f t="shared" si="29"/>
        <v>Voirie de type TC6 - semi-rigide, France continentale, Base Carbone</v>
      </c>
      <c r="D204" s="1051">
        <f t="shared" si="30"/>
        <v>36</v>
      </c>
      <c r="E204" s="1051" t="str">
        <f>IF(COUNTIF(E$168:E203,F204)&gt;0,"",F204)</f>
        <v>Voirie de type TC6 - semi-rigide, France continentale, Base Carbone</v>
      </c>
      <c r="F204" s="1051" t="str">
        <f t="shared" si="31"/>
        <v>Voirie de type TC6 - semi-rigide, France continentale, Base Carbone</v>
      </c>
      <c r="G204" s="1055" t="str">
        <f t="shared" si="32"/>
        <v>Voirie de type TC6 - semi-rigide, France continentale, Base Carbone; kgCO2e/m²</v>
      </c>
      <c r="I204" s="2018" t="s">
        <v>2011</v>
      </c>
      <c r="J204" s="1135" t="s">
        <v>2006</v>
      </c>
      <c r="K204" s="1119" t="s">
        <v>1567</v>
      </c>
      <c r="L204" s="1119" t="s">
        <v>1571</v>
      </c>
      <c r="M204" s="1033">
        <v>0.15</v>
      </c>
      <c r="N204" s="1119" t="s">
        <v>3654</v>
      </c>
      <c r="O204" s="1135">
        <v>60</v>
      </c>
      <c r="P204" s="1048"/>
      <c r="Q204" s="1048"/>
      <c r="R204" s="1048"/>
      <c r="S204" s="1048"/>
      <c r="T204" s="1048"/>
      <c r="U204" s="1102"/>
    </row>
    <row r="205" spans="2:21" hidden="1" outlineLevel="1">
      <c r="B205" s="1050">
        <v>37</v>
      </c>
      <c r="C205" s="1050" t="str">
        <f t="shared" si="29"/>
        <v>Voirie de type TC7 - béton armé, France continentale, Base Carbone</v>
      </c>
      <c r="D205" s="1051">
        <f t="shared" si="30"/>
        <v>37</v>
      </c>
      <c r="E205" s="1051" t="str">
        <f>IF(COUNTIF(E$168:E204,F205)&gt;0,"",F205)</f>
        <v>Voirie de type TC7 - béton armé, France continentale, Base Carbone</v>
      </c>
      <c r="F205" s="1051" t="str">
        <f t="shared" si="31"/>
        <v>Voirie de type TC7 - béton armé, France continentale, Base Carbone</v>
      </c>
      <c r="G205" s="1055" t="str">
        <f t="shared" si="32"/>
        <v>Voirie de type TC7 - béton armé, France continentale, Base Carbone; kgCO2e/m²</v>
      </c>
      <c r="I205" s="2018" t="s">
        <v>2011</v>
      </c>
      <c r="J205" s="1135" t="s">
        <v>2006</v>
      </c>
      <c r="K205" s="1119" t="s">
        <v>1567</v>
      </c>
      <c r="L205" s="1135" t="s">
        <v>1571</v>
      </c>
      <c r="M205" s="1033">
        <v>0.15</v>
      </c>
      <c r="N205" s="1135" t="s">
        <v>3655</v>
      </c>
      <c r="O205" s="1135">
        <v>125</v>
      </c>
      <c r="P205" s="1048"/>
      <c r="Q205" s="1048"/>
      <c r="R205" s="1048"/>
      <c r="S205" s="1048"/>
      <c r="T205" s="1048"/>
      <c r="U205" s="1102"/>
    </row>
    <row r="206" spans="2:21" hidden="1" outlineLevel="1">
      <c r="B206" s="1050">
        <v>38</v>
      </c>
      <c r="C206" s="1050" t="str">
        <f t="shared" si="29"/>
        <v>Voirie de type TC7 - bitume, France continentale, Base Carbone</v>
      </c>
      <c r="D206" s="1051">
        <f t="shared" si="30"/>
        <v>38</v>
      </c>
      <c r="E206" s="1051" t="str">
        <f>IF(COUNTIF(E$168:E205,F206)&gt;0,"",F206)</f>
        <v>Voirie de type TC7 - bitume, France continentale, Base Carbone</v>
      </c>
      <c r="F206" s="1051" t="str">
        <f t="shared" si="31"/>
        <v>Voirie de type TC7 - bitume, France continentale, Base Carbone</v>
      </c>
      <c r="G206" s="1055" t="str">
        <f t="shared" si="32"/>
        <v>Voirie de type TC7 - bitume, France continentale, Base Carbone; kgCO2e/m²</v>
      </c>
      <c r="I206" s="2018" t="s">
        <v>2011</v>
      </c>
      <c r="J206" s="1135" t="s">
        <v>2006</v>
      </c>
      <c r="K206" s="1119" t="s">
        <v>1567</v>
      </c>
      <c r="L206" s="1119" t="s">
        <v>1571</v>
      </c>
      <c r="M206" s="1033">
        <v>0.15</v>
      </c>
      <c r="N206" s="1119" t="s">
        <v>3656</v>
      </c>
      <c r="O206" s="1135">
        <v>40</v>
      </c>
      <c r="P206" s="1048"/>
      <c r="Q206" s="1048"/>
      <c r="R206" s="1048"/>
      <c r="S206" s="1048"/>
      <c r="T206" s="1048"/>
      <c r="U206" s="1102"/>
    </row>
    <row r="207" spans="2:21" hidden="1" outlineLevel="1">
      <c r="B207" s="1050">
        <v>39</v>
      </c>
      <c r="C207" s="1050" t="str">
        <f t="shared" si="29"/>
        <v>Voirie de type TC7 - semi-rigide, France continentale, Base Carbone</v>
      </c>
      <c r="D207" s="1051">
        <f t="shared" si="30"/>
        <v>39</v>
      </c>
      <c r="E207" s="1051" t="str">
        <f>IF(COUNTIF(E$168:E206,F207)&gt;0,"",F207)</f>
        <v>Voirie de type TC7 - semi-rigide, France continentale, Base Carbone</v>
      </c>
      <c r="F207" s="1051" t="str">
        <f t="shared" si="31"/>
        <v>Voirie de type TC7 - semi-rigide, France continentale, Base Carbone</v>
      </c>
      <c r="G207" s="1055" t="str">
        <f t="shared" si="32"/>
        <v>Voirie de type TC7 - semi-rigide, France continentale, Base Carbone; kgCO2e/m²</v>
      </c>
      <c r="I207" s="2018" t="s">
        <v>2011</v>
      </c>
      <c r="J207" s="1135" t="s">
        <v>2006</v>
      </c>
      <c r="K207" s="1119" t="s">
        <v>1567</v>
      </c>
      <c r="L207" s="1119" t="s">
        <v>1571</v>
      </c>
      <c r="M207" s="1033">
        <v>0.15</v>
      </c>
      <c r="N207" s="1119" t="s">
        <v>3657</v>
      </c>
      <c r="O207" s="1135">
        <v>65</v>
      </c>
      <c r="P207" s="1048"/>
      <c r="Q207" s="1048"/>
      <c r="R207" s="1048"/>
      <c r="S207" s="1048"/>
      <c r="T207" s="1048"/>
      <c r="U207" s="1102"/>
    </row>
    <row r="208" spans="2:21" hidden="1" outlineLevel="1">
      <c r="B208" s="1050">
        <v>40</v>
      </c>
      <c r="C208" s="1050" t="str">
        <f t="shared" si="29"/>
        <v>-</v>
      </c>
      <c r="D208" s="1051">
        <f t="shared" si="30"/>
        <v>39</v>
      </c>
      <c r="E208" s="1051" t="str">
        <f>IF(COUNTIF(E$168:E207,F208)&gt;0,"",F208)</f>
        <v/>
      </c>
      <c r="F208" s="1051" t="str">
        <f t="shared" si="31"/>
        <v/>
      </c>
      <c r="G208" s="1055" t="str">
        <f t="shared" si="32"/>
        <v/>
      </c>
      <c r="I208" s="1100"/>
      <c r="J208" s="1048"/>
      <c r="K208" s="1119"/>
      <c r="L208" s="1048"/>
      <c r="M208" s="1033"/>
      <c r="N208" s="1048"/>
      <c r="O208" s="1048"/>
      <c r="P208" s="1048"/>
      <c r="Q208" s="1048"/>
      <c r="R208" s="1048"/>
      <c r="S208" s="1048"/>
      <c r="T208" s="1048"/>
      <c r="U208" s="1102"/>
    </row>
    <row r="209" spans="2:21" hidden="1" outlineLevel="1">
      <c r="B209" s="1050">
        <v>41</v>
      </c>
      <c r="C209" s="1050" t="str">
        <f t="shared" si="29"/>
        <v>-</v>
      </c>
      <c r="D209" s="1051">
        <f t="shared" si="30"/>
        <v>39</v>
      </c>
      <c r="E209" s="1051" t="str">
        <f>IF(COUNTIF(E$168:E208,F209)&gt;0,"",F209)</f>
        <v/>
      </c>
      <c r="F209" s="1051" t="str">
        <f t="shared" si="31"/>
        <v/>
      </c>
      <c r="G209" s="1055" t="str">
        <f t="shared" si="32"/>
        <v/>
      </c>
      <c r="I209" s="1100"/>
      <c r="J209" s="1048"/>
      <c r="K209" s="1119"/>
      <c r="L209" s="1048"/>
      <c r="M209" s="1033"/>
      <c r="N209" s="1048"/>
      <c r="O209" s="1048"/>
      <c r="P209" s="1048"/>
      <c r="Q209" s="1048"/>
      <c r="R209" s="1048"/>
      <c r="S209" s="1048"/>
      <c r="T209" s="1048"/>
      <c r="U209" s="1102"/>
    </row>
    <row r="210" spans="2:21" hidden="1" outlineLevel="1">
      <c r="B210" s="1050">
        <v>42</v>
      </c>
      <c r="C210" s="1050" t="str">
        <f t="shared" si="29"/>
        <v>-</v>
      </c>
      <c r="D210" s="1051">
        <f t="shared" si="30"/>
        <v>39</v>
      </c>
      <c r="E210" s="1051" t="str">
        <f>IF(COUNTIF(E$168:E209,F210)&gt;0,"",F210)</f>
        <v/>
      </c>
      <c r="F210" s="1051" t="str">
        <f t="shared" si="31"/>
        <v/>
      </c>
      <c r="G210" s="1055" t="str">
        <f t="shared" si="32"/>
        <v/>
      </c>
      <c r="I210" s="1100"/>
      <c r="J210" s="1048"/>
      <c r="K210" s="1119"/>
      <c r="L210" s="1048"/>
      <c r="M210" s="1033"/>
      <c r="N210" s="1048"/>
      <c r="O210" s="1048"/>
      <c r="P210" s="1048"/>
      <c r="Q210" s="1048"/>
      <c r="R210" s="1048"/>
      <c r="S210" s="1048"/>
      <c r="T210" s="1048"/>
      <c r="U210" s="1102"/>
    </row>
    <row r="211" spans="2:21" hidden="1" outlineLevel="1">
      <c r="B211" s="1050">
        <v>43</v>
      </c>
      <c r="C211" s="1050" t="str">
        <f t="shared" si="29"/>
        <v>-</v>
      </c>
      <c r="D211" s="1051">
        <f t="shared" si="30"/>
        <v>39</v>
      </c>
      <c r="E211" s="1051" t="str">
        <f>IF(COUNTIF(E$168:E210,F211)&gt;0,"",F211)</f>
        <v/>
      </c>
      <c r="F211" s="1051" t="str">
        <f t="shared" si="31"/>
        <v/>
      </c>
      <c r="G211" s="1055" t="str">
        <f t="shared" si="32"/>
        <v/>
      </c>
      <c r="I211" s="1103"/>
      <c r="J211" s="1104"/>
      <c r="K211" s="1095"/>
      <c r="L211" s="1104"/>
      <c r="M211" s="1155"/>
      <c r="N211" s="1104"/>
      <c r="O211" s="1104"/>
      <c r="P211" s="1104"/>
      <c r="Q211" s="1104"/>
      <c r="R211" s="1104"/>
      <c r="S211" s="1104"/>
      <c r="T211" s="1104"/>
      <c r="U211" s="1106"/>
    </row>
    <row r="212" spans="2:21"/>
    <row r="213" spans="2:21" ht="15.6" collapsed="1">
      <c r="I213" s="3167" t="s">
        <v>4082</v>
      </c>
      <c r="J213" s="3168"/>
      <c r="K213" s="3168"/>
      <c r="L213" s="3168"/>
      <c r="M213" s="3168"/>
      <c r="N213" s="3168"/>
      <c r="O213" s="3168"/>
      <c r="P213" s="3168"/>
      <c r="Q213" s="3168"/>
      <c r="R213" s="3168"/>
      <c r="S213" s="3168"/>
      <c r="T213" s="3168"/>
      <c r="U213" s="3169"/>
    </row>
    <row r="214" spans="2:21" hidden="1" outlineLevel="1">
      <c r="R214" s="1083"/>
    </row>
    <row r="215" spans="2:21" ht="12.75" hidden="1" customHeight="1" outlineLevel="1">
      <c r="B215" s="3154" t="s">
        <v>1617</v>
      </c>
      <c r="C215" s="3154"/>
      <c r="D215" s="3157" t="s">
        <v>1619</v>
      </c>
      <c r="E215" s="3157"/>
      <c r="F215" s="1151" t="s">
        <v>1991</v>
      </c>
      <c r="G215" s="1053" t="s">
        <v>1992</v>
      </c>
      <c r="H215" s="1044"/>
      <c r="I215" s="1038" t="s">
        <v>1557</v>
      </c>
      <c r="J215" s="1040" t="s">
        <v>1266</v>
      </c>
      <c r="K215" s="1043" t="s">
        <v>224</v>
      </c>
      <c r="L215" s="1043" t="s">
        <v>1558</v>
      </c>
      <c r="M215" s="1039" t="s">
        <v>366</v>
      </c>
      <c r="N215" s="1040" t="s">
        <v>1559</v>
      </c>
      <c r="O215" s="1041" t="s">
        <v>1560</v>
      </c>
      <c r="P215" s="1043" t="s">
        <v>211</v>
      </c>
      <c r="Q215" s="1043" t="s">
        <v>1561</v>
      </c>
      <c r="R215" s="1041" t="s">
        <v>1562</v>
      </c>
      <c r="S215" s="1041" t="s">
        <v>267</v>
      </c>
      <c r="T215" s="1043" t="s">
        <v>1563</v>
      </c>
      <c r="U215" s="1042" t="s">
        <v>1564</v>
      </c>
    </row>
    <row r="216" spans="2:21" s="1045" customFormat="1" ht="12.75" hidden="1" customHeight="1" outlineLevel="1" collapsed="1">
      <c r="B216" s="3156" t="s">
        <v>2118</v>
      </c>
      <c r="C216" s="3156"/>
      <c r="D216" s="1051">
        <v>0</v>
      </c>
      <c r="E216" s="1051"/>
      <c r="F216" s="1051"/>
      <c r="G216" s="1054"/>
      <c r="H216" s="1046"/>
      <c r="I216" s="1688"/>
      <c r="J216" s="1689"/>
      <c r="K216" s="1690"/>
      <c r="L216" s="1690"/>
      <c r="M216" s="1691"/>
      <c r="N216" s="1689"/>
      <c r="O216" s="1692"/>
      <c r="P216" s="1690"/>
      <c r="Q216" s="1690"/>
      <c r="R216" s="1692"/>
      <c r="S216" s="1692"/>
      <c r="T216" s="1690"/>
      <c r="U216" s="1693"/>
    </row>
    <row r="217" spans="2:21" hidden="1" outlineLevel="2">
      <c r="B217" s="1050">
        <v>1</v>
      </c>
      <c r="C217" s="1050" t="str">
        <f>IF(ISNA(VLOOKUP(B217,$D$216:$E$286,2,FALSE)),"-",VLOOKUP(B217,$D$216:$E$286,2,FALSE))</f>
        <v>Acide chlorhydrique, France continentale, Base Carbone</v>
      </c>
      <c r="D217" s="1051">
        <f>D216+IF(LEN(E217)&gt;0,1,0)</f>
        <v>1</v>
      </c>
      <c r="E217" s="1051" t="str">
        <f>IF(COUNTIF(E$216:E216,F217)&gt;0,"",F217)</f>
        <v>Acide chlorhydrique, France continentale, Base Carbone</v>
      </c>
      <c r="F217" s="1051" t="str">
        <f>IF(I217&lt;&gt;"",I217&amp;IF(N217&lt;&gt;""," "&amp;N217,)&amp;IF(L217&lt;&gt;"",", "&amp;L217,"")&amp;IF(K217&lt;&gt;"",", "&amp;K217,""),"")</f>
        <v>Acide chlorhydrique, France continentale, Base Carbone</v>
      </c>
      <c r="G217" s="1055" t="str">
        <f>IF(F217&lt;&gt;"",F217&amp;IF(J217&lt;&gt;"","; "&amp;J217,""),"")</f>
        <v>Acide chlorhydrique, France continentale, Base Carbone; kgCO2e/tonne</v>
      </c>
      <c r="I217" s="1100" t="s">
        <v>2058</v>
      </c>
      <c r="J217" s="1048" t="s">
        <v>1585</v>
      </c>
      <c r="K217" s="1119" t="s">
        <v>1567</v>
      </c>
      <c r="L217" s="1048" t="s">
        <v>1571</v>
      </c>
      <c r="M217" s="1033">
        <v>0.5</v>
      </c>
      <c r="N217" s="1048" t="s">
        <v>1990</v>
      </c>
      <c r="O217" s="1048">
        <v>1200</v>
      </c>
      <c r="P217" s="1048"/>
      <c r="Q217" s="1048"/>
      <c r="R217" s="1048"/>
      <c r="S217" s="1048"/>
      <c r="T217" s="1048"/>
      <c r="U217" s="1102"/>
    </row>
    <row r="218" spans="2:21" hidden="1" outlineLevel="2">
      <c r="B218" s="1050">
        <v>2</v>
      </c>
      <c r="C218" s="1050" t="str">
        <f t="shared" ref="C218:C281" si="33">IF(ISNA(VLOOKUP(B218,$D$216:$E$286,2,FALSE)),"-",VLOOKUP(B218,$D$216:$E$286,2,FALSE))</f>
        <v>Acide citrique, monohydrate, France continentale, Base Carbone</v>
      </c>
      <c r="D218" s="1051">
        <f t="shared" ref="D218:D281" si="34">D217+IF(LEN(E218)&gt;0,1,0)</f>
        <v>2</v>
      </c>
      <c r="E218" s="1051" t="str">
        <f>IF(COUNTIF(E$216:E217,F218)&gt;0,"",F218)</f>
        <v>Acide citrique, monohydrate, France continentale, Base Carbone</v>
      </c>
      <c r="F218" s="1051" t="str">
        <f t="shared" ref="F218:F281" si="35">IF(I218&lt;&gt;"",I218&amp;IF(N218&lt;&gt;""," "&amp;N218,)&amp;IF(L218&lt;&gt;"",", "&amp;L218,"")&amp;IF(K218&lt;&gt;"",", "&amp;K218,""),"")</f>
        <v>Acide citrique, monohydrate, France continentale, Base Carbone</v>
      </c>
      <c r="G218" s="1055" t="str">
        <f t="shared" ref="G218:G281" si="36">IF(F218&lt;&gt;"",F218&amp;IF(J218&lt;&gt;"","; "&amp;J218,""),"")</f>
        <v>Acide citrique, monohydrate, France continentale, Base Carbone; kgCO2e/tonne</v>
      </c>
      <c r="I218" s="2018" t="s">
        <v>3695</v>
      </c>
      <c r="J218" s="1135" t="s">
        <v>1585</v>
      </c>
      <c r="K218" s="1119" t="s">
        <v>1567</v>
      </c>
      <c r="L218" s="1119" t="s">
        <v>1571</v>
      </c>
      <c r="M218" s="1033">
        <v>0.5</v>
      </c>
      <c r="N218" s="1135"/>
      <c r="O218" s="1135">
        <v>3300</v>
      </c>
      <c r="P218" s="1135"/>
      <c r="Q218" s="1135"/>
      <c r="R218" s="1135"/>
      <c r="S218" s="1135"/>
      <c r="T218" s="1135"/>
      <c r="U218" s="2041"/>
    </row>
    <row r="219" spans="2:21" hidden="1" outlineLevel="2">
      <c r="B219" s="1050">
        <v>3</v>
      </c>
      <c r="C219" s="1050" t="str">
        <f t="shared" si="33"/>
        <v>Acide D,L tartrique, France continentale, Base Carbone</v>
      </c>
      <c r="D219" s="1051">
        <f t="shared" si="34"/>
        <v>3</v>
      </c>
      <c r="E219" s="1051" t="str">
        <f>IF(COUNTIF(E$216:E218,F219)&gt;0,"",F219)</f>
        <v>Acide D,L tartrique, France continentale, Base Carbone</v>
      </c>
      <c r="F219" s="1051" t="str">
        <f t="shared" si="35"/>
        <v>Acide D,L tartrique, France continentale, Base Carbone</v>
      </c>
      <c r="G219" s="1055" t="str">
        <f t="shared" si="36"/>
        <v>Acide D,L tartrique, France continentale, Base Carbone; kgCO2e/tonne</v>
      </c>
      <c r="I219" s="2018" t="s">
        <v>3696</v>
      </c>
      <c r="J219" s="1135" t="s">
        <v>1585</v>
      </c>
      <c r="K219" s="1119" t="s">
        <v>1567</v>
      </c>
      <c r="L219" s="1119" t="s">
        <v>1571</v>
      </c>
      <c r="M219" s="1033">
        <v>0.5</v>
      </c>
      <c r="N219" s="1135"/>
      <c r="O219" s="1135">
        <v>3300</v>
      </c>
      <c r="P219" s="1135"/>
      <c r="Q219" s="1135"/>
      <c r="R219" s="1135"/>
      <c r="S219" s="1135"/>
      <c r="T219" s="1135"/>
      <c r="U219" s="2041"/>
    </row>
    <row r="220" spans="2:21" hidden="1" outlineLevel="2">
      <c r="B220" s="1050">
        <v>4</v>
      </c>
      <c r="C220" s="1050" t="str">
        <f t="shared" si="33"/>
        <v>Acide nitrtique, France continentale, Base Carbone</v>
      </c>
      <c r="D220" s="1051">
        <f t="shared" si="34"/>
        <v>4</v>
      </c>
      <c r="E220" s="1051" t="str">
        <f>IF(COUNTIF(E$216:E219,F220)&gt;0,"",F220)</f>
        <v>Acide nitrtique, France continentale, Base Carbone</v>
      </c>
      <c r="F220" s="1051" t="str">
        <f t="shared" si="35"/>
        <v>Acide nitrtique, France continentale, Base Carbone</v>
      </c>
      <c r="G220" s="1055" t="str">
        <f t="shared" si="36"/>
        <v>Acide nitrtique, France continentale, Base Carbone; kgCO2e/tonne</v>
      </c>
      <c r="I220" s="2018" t="s">
        <v>3697</v>
      </c>
      <c r="J220" s="1135" t="s">
        <v>1585</v>
      </c>
      <c r="K220" s="1119" t="s">
        <v>1567</v>
      </c>
      <c r="L220" s="1119" t="s">
        <v>1571</v>
      </c>
      <c r="M220" s="1033">
        <v>1</v>
      </c>
      <c r="N220" s="1135"/>
      <c r="O220" s="1135">
        <v>3180</v>
      </c>
      <c r="P220" s="1135"/>
      <c r="Q220" s="1135"/>
      <c r="R220" s="1135"/>
      <c r="S220" s="1135"/>
      <c r="T220" s="1135"/>
      <c r="U220" s="2041"/>
    </row>
    <row r="221" spans="2:21" hidden="1" outlineLevel="2">
      <c r="B221" s="1050">
        <v>5</v>
      </c>
      <c r="C221" s="1050" t="str">
        <f t="shared" si="33"/>
        <v>Acide phosphorique, France continentale, Base Carbone</v>
      </c>
      <c r="D221" s="1051">
        <f t="shared" si="34"/>
        <v>5</v>
      </c>
      <c r="E221" s="1051" t="str">
        <f>IF(COUNTIF(E$216:E220,F221)&gt;0,"",F221)</f>
        <v>Acide phosphorique, France continentale, Base Carbone</v>
      </c>
      <c r="F221" s="1051" t="str">
        <f t="shared" si="35"/>
        <v>Acide phosphorique, France continentale, Base Carbone</v>
      </c>
      <c r="G221" s="1055" t="str">
        <f t="shared" si="36"/>
        <v>Acide phosphorique, France continentale, Base Carbone; kgCO2e/tonne</v>
      </c>
      <c r="I221" s="2018" t="s">
        <v>2059</v>
      </c>
      <c r="J221" s="1135" t="s">
        <v>1585</v>
      </c>
      <c r="K221" s="1119" t="s">
        <v>1567</v>
      </c>
      <c r="L221" s="1135" t="s">
        <v>1571</v>
      </c>
      <c r="M221" s="1033">
        <v>0.5</v>
      </c>
      <c r="N221" s="1135" t="s">
        <v>1990</v>
      </c>
      <c r="O221" s="1135">
        <v>1420</v>
      </c>
      <c r="P221" s="1135"/>
      <c r="Q221" s="1135"/>
      <c r="R221" s="1135"/>
      <c r="S221" s="1135"/>
      <c r="T221" s="1135"/>
      <c r="U221" s="2041"/>
    </row>
    <row r="222" spans="2:21" hidden="1" outlineLevel="2">
      <c r="B222" s="1050">
        <v>6</v>
      </c>
      <c r="C222" s="1050" t="str">
        <f t="shared" si="33"/>
        <v>Acide sorbique, France continentale, Base Carbone</v>
      </c>
      <c r="D222" s="1051">
        <f t="shared" si="34"/>
        <v>6</v>
      </c>
      <c r="E222" s="1051" t="str">
        <f>IF(COUNTIF(E$216:E221,F222)&gt;0,"",F222)</f>
        <v>Acide sorbique, France continentale, Base Carbone</v>
      </c>
      <c r="F222" s="1051" t="str">
        <f t="shared" si="35"/>
        <v>Acide sorbique, France continentale, Base Carbone</v>
      </c>
      <c r="G222" s="1055" t="str">
        <f t="shared" si="36"/>
        <v>Acide sorbique, France continentale, Base Carbone; kgCO2e/tonne</v>
      </c>
      <c r="I222" s="2018" t="s">
        <v>3698</v>
      </c>
      <c r="J222" s="1135" t="s">
        <v>1585</v>
      </c>
      <c r="K222" s="1119" t="s">
        <v>1567</v>
      </c>
      <c r="L222" s="1119" t="s">
        <v>1571</v>
      </c>
      <c r="M222" s="1033">
        <v>0.5</v>
      </c>
      <c r="N222" s="1135"/>
      <c r="O222" s="1135">
        <v>807</v>
      </c>
      <c r="P222" s="1135"/>
      <c r="Q222" s="1135"/>
      <c r="R222" s="1135"/>
      <c r="S222" s="1135"/>
      <c r="T222" s="1135"/>
      <c r="U222" s="2041"/>
    </row>
    <row r="223" spans="2:21" hidden="1" outlineLevel="2">
      <c r="B223" s="1050">
        <v>7</v>
      </c>
      <c r="C223" s="1050" t="str">
        <f t="shared" si="33"/>
        <v>Acide sulfurique, France continentale, Base Carbone</v>
      </c>
      <c r="D223" s="1051">
        <f t="shared" si="34"/>
        <v>7</v>
      </c>
      <c r="E223" s="1051" t="str">
        <f>IF(COUNTIF(E$216:E222,F223)&gt;0,"",F223)</f>
        <v>Acide sulfurique, France continentale, Base Carbone</v>
      </c>
      <c r="F223" s="1051" t="str">
        <f t="shared" si="35"/>
        <v>Acide sulfurique, France continentale, Base Carbone</v>
      </c>
      <c r="G223" s="1055" t="str">
        <f t="shared" si="36"/>
        <v>Acide sulfurique, France continentale, Base Carbone; kgCO2e/tonne</v>
      </c>
      <c r="I223" s="2018" t="s">
        <v>2060</v>
      </c>
      <c r="J223" s="1135" t="s">
        <v>1585</v>
      </c>
      <c r="K223" s="1119" t="s">
        <v>1567</v>
      </c>
      <c r="L223" s="1135" t="s">
        <v>1571</v>
      </c>
      <c r="M223" s="1033">
        <v>0.5</v>
      </c>
      <c r="N223" s="1135" t="s">
        <v>1990</v>
      </c>
      <c r="O223" s="1135">
        <v>148</v>
      </c>
      <c r="P223" s="1135"/>
      <c r="Q223" s="1135"/>
      <c r="R223" s="1135"/>
      <c r="S223" s="1135"/>
      <c r="T223" s="1135"/>
      <c r="U223" s="2041"/>
    </row>
    <row r="224" spans="2:21" hidden="1" outlineLevel="2">
      <c r="B224" s="1050">
        <v>8</v>
      </c>
      <c r="C224" s="1050" t="str">
        <f t="shared" si="33"/>
        <v>Adhésif Epoxy mélange, Monde, Base Carbone</v>
      </c>
      <c r="D224" s="1051">
        <f t="shared" si="34"/>
        <v>8</v>
      </c>
      <c r="E224" s="1051" t="str">
        <f>IF(COUNTIF(E$216:E223,F224)&gt;0,"",F224)</f>
        <v>Adhésif Epoxy mélange, Monde, Base Carbone</v>
      </c>
      <c r="F224" s="1051" t="str">
        <f t="shared" si="35"/>
        <v>Adhésif Epoxy mélange, Monde, Base Carbone</v>
      </c>
      <c r="G224" s="1055" t="str">
        <f t="shared" si="36"/>
        <v>Adhésif Epoxy mélange, Monde, Base Carbone; kgCO2e/kg</v>
      </c>
      <c r="I224" s="2018" t="s">
        <v>2061</v>
      </c>
      <c r="J224" s="1135" t="s">
        <v>1572</v>
      </c>
      <c r="K224" s="1119" t="s">
        <v>1567</v>
      </c>
      <c r="L224" s="1135" t="s">
        <v>2089</v>
      </c>
      <c r="M224" s="1033">
        <v>0.5</v>
      </c>
      <c r="N224" s="1135" t="s">
        <v>2091</v>
      </c>
      <c r="O224" s="1135">
        <v>6.9</v>
      </c>
      <c r="P224" s="1135">
        <v>6.4</v>
      </c>
      <c r="Q224" s="1135">
        <v>0.44500000000000001</v>
      </c>
      <c r="R224" s="1135">
        <v>0</v>
      </c>
      <c r="S224" s="1135">
        <v>5.1799999999999999E-2</v>
      </c>
      <c r="T224" s="1135">
        <v>3.6100000000000003E-5</v>
      </c>
      <c r="U224" s="2041">
        <v>0.109</v>
      </c>
    </row>
    <row r="225" spans="2:21" hidden="1" outlineLevel="2">
      <c r="B225" s="1050">
        <v>9</v>
      </c>
      <c r="C225" s="1050" t="str">
        <f t="shared" si="33"/>
        <v>Adhésif Epoxy simple à 2 composants, Monde, Base Carbone</v>
      </c>
      <c r="D225" s="1051">
        <f t="shared" si="34"/>
        <v>9</v>
      </c>
      <c r="E225" s="1051" t="str">
        <f>IF(COUNTIF(E$216:E224,F225)&gt;0,"",F225)</f>
        <v>Adhésif Epoxy simple à 2 composants, Monde, Base Carbone</v>
      </c>
      <c r="F225" s="1051" t="str">
        <f t="shared" si="35"/>
        <v>Adhésif Epoxy simple à 2 composants, Monde, Base Carbone</v>
      </c>
      <c r="G225" s="1055" t="str">
        <f t="shared" si="36"/>
        <v>Adhésif Epoxy simple à 2 composants, Monde, Base Carbone; kgCO2e/kg</v>
      </c>
      <c r="I225" s="2018" t="s">
        <v>2061</v>
      </c>
      <c r="J225" s="1135" t="s">
        <v>1572</v>
      </c>
      <c r="K225" s="1119" t="s">
        <v>1567</v>
      </c>
      <c r="L225" s="1135" t="s">
        <v>2089</v>
      </c>
      <c r="M225" s="1033">
        <v>0.5</v>
      </c>
      <c r="N225" s="1135" t="s">
        <v>2092</v>
      </c>
      <c r="O225" s="1135">
        <v>3.14</v>
      </c>
      <c r="P225" s="1135">
        <v>2.62</v>
      </c>
      <c r="Q225" s="1135">
        <v>0.371</v>
      </c>
      <c r="R225" s="1135">
        <v>0</v>
      </c>
      <c r="S225" s="1135">
        <v>3.1E-2</v>
      </c>
      <c r="T225" s="1135">
        <v>0.115</v>
      </c>
      <c r="U225" s="2041">
        <v>2.18E-2</v>
      </c>
    </row>
    <row r="226" spans="2:21" hidden="1" outlineLevel="2">
      <c r="B226" s="1050">
        <v>10</v>
      </c>
      <c r="C226" s="1050" t="str">
        <f t="shared" si="33"/>
        <v>Alcool, France continentale, Base Carbone</v>
      </c>
      <c r="D226" s="1051">
        <f t="shared" si="34"/>
        <v>10</v>
      </c>
      <c r="E226" s="1051" t="str">
        <f>IF(COUNTIF(E$216:E225,F226)&gt;0,"",F226)</f>
        <v>Alcool, France continentale, Base Carbone</v>
      </c>
      <c r="F226" s="1051" t="str">
        <f t="shared" si="35"/>
        <v>Alcool, France continentale, Base Carbone</v>
      </c>
      <c r="G226" s="1055" t="str">
        <f t="shared" si="36"/>
        <v>Alcool, France continentale, Base Carbone; kgCO2e/tonne</v>
      </c>
      <c r="I226" s="2018" t="s">
        <v>2062</v>
      </c>
      <c r="J226" s="1135" t="s">
        <v>1585</v>
      </c>
      <c r="K226" s="1119" t="s">
        <v>1567</v>
      </c>
      <c r="L226" s="1135" t="s">
        <v>1571</v>
      </c>
      <c r="M226" s="1033">
        <v>0.25</v>
      </c>
      <c r="N226" s="1135" t="s">
        <v>1990</v>
      </c>
      <c r="O226" s="1135">
        <v>1470</v>
      </c>
      <c r="P226" s="1135"/>
      <c r="Q226" s="1135"/>
      <c r="R226" s="1135"/>
      <c r="S226" s="1135"/>
      <c r="T226" s="1135"/>
      <c r="U226" s="2041"/>
    </row>
    <row r="227" spans="2:21" hidden="1" outlineLevel="2">
      <c r="B227" s="1050">
        <v>11</v>
      </c>
      <c r="C227" s="1050" t="str">
        <f t="shared" si="33"/>
        <v>Autres acides et sels d'acides, France continentale, Base Carbone</v>
      </c>
      <c r="D227" s="1051">
        <f t="shared" si="34"/>
        <v>11</v>
      </c>
      <c r="E227" s="1051" t="str">
        <f>IF(COUNTIF(E$216:E226,F227)&gt;0,"",F227)</f>
        <v>Autres acides et sels d'acides, France continentale, Base Carbone</v>
      </c>
      <c r="F227" s="1051" t="str">
        <f t="shared" si="35"/>
        <v>Autres acides et sels d'acides, France continentale, Base Carbone</v>
      </c>
      <c r="G227" s="1055" t="str">
        <f t="shared" si="36"/>
        <v>Autres acides et sels d'acides, France continentale, Base Carbone; kgCO2e/tonne</v>
      </c>
      <c r="I227" s="2018" t="s">
        <v>3699</v>
      </c>
      <c r="J227" s="1135" t="s">
        <v>1585</v>
      </c>
      <c r="K227" s="1119" t="s">
        <v>1567</v>
      </c>
      <c r="L227" s="1119" t="s">
        <v>1571</v>
      </c>
      <c r="M227" s="1033">
        <v>0.5</v>
      </c>
      <c r="N227" s="1135"/>
      <c r="O227" s="1135">
        <v>3300</v>
      </c>
      <c r="P227" s="1135"/>
      <c r="Q227" s="1135"/>
      <c r="R227" s="1135"/>
      <c r="S227" s="1135"/>
      <c r="T227" s="1135"/>
      <c r="U227" s="2041"/>
    </row>
    <row r="228" spans="2:21" hidden="1" outlineLevel="2">
      <c r="B228" s="1050">
        <v>12</v>
      </c>
      <c r="C228" s="1050" t="str">
        <f t="shared" si="33"/>
        <v>Ammoniaque anhydre, Europe, Base Carbone</v>
      </c>
      <c r="D228" s="1051">
        <f t="shared" si="34"/>
        <v>12</v>
      </c>
      <c r="E228" s="1051" t="str">
        <f>IF(COUNTIF(E$216:E227,F228)&gt;0,"",F228)</f>
        <v>Ammoniaque anhydre, Europe, Base Carbone</v>
      </c>
      <c r="F228" s="1051" t="str">
        <f t="shared" si="35"/>
        <v>Ammoniaque anhydre, Europe, Base Carbone</v>
      </c>
      <c r="G228" s="1055" t="str">
        <f t="shared" si="36"/>
        <v>Ammoniaque anhydre, Europe, Base Carbone; kgCO2e/tonne de N</v>
      </c>
      <c r="I228" s="2018" t="s">
        <v>2063</v>
      </c>
      <c r="J228" s="1135" t="s">
        <v>2085</v>
      </c>
      <c r="K228" s="1119" t="s">
        <v>1567</v>
      </c>
      <c r="L228" s="1135" t="s">
        <v>1568</v>
      </c>
      <c r="M228" s="1033">
        <v>0.3</v>
      </c>
      <c r="N228" s="1135" t="s">
        <v>1990</v>
      </c>
      <c r="O228" s="1135">
        <v>2980</v>
      </c>
      <c r="P228" s="1135">
        <v>2770</v>
      </c>
      <c r="Q228" s="1135">
        <v>210</v>
      </c>
      <c r="R228" s="1135">
        <v>0</v>
      </c>
      <c r="S228" s="1135">
        <v>2.65</v>
      </c>
      <c r="T228" s="1135">
        <v>0</v>
      </c>
      <c r="U228" s="2041">
        <v>0</v>
      </c>
    </row>
    <row r="229" spans="2:21" hidden="1" outlineLevel="2">
      <c r="B229" s="1050">
        <v>13</v>
      </c>
      <c r="C229" s="1050" t="str">
        <f t="shared" si="33"/>
        <v>Ammonitrate, Europe, Base Carbone</v>
      </c>
      <c r="D229" s="1051">
        <f t="shared" si="34"/>
        <v>13</v>
      </c>
      <c r="E229" s="1051" t="str">
        <f>IF(COUNTIF(E$216:E228,F229)&gt;0,"",F229)</f>
        <v>Ammonitrate, Europe, Base Carbone</v>
      </c>
      <c r="F229" s="1051" t="str">
        <f t="shared" si="35"/>
        <v>Ammonitrate, Europe, Base Carbone</v>
      </c>
      <c r="G229" s="1055" t="str">
        <f t="shared" si="36"/>
        <v>Ammonitrate, Europe, Base Carbone; kgCO2e/tonne de N</v>
      </c>
      <c r="I229" s="2018" t="s">
        <v>2064</v>
      </c>
      <c r="J229" s="1135" t="s">
        <v>2085</v>
      </c>
      <c r="K229" s="1119" t="s">
        <v>1567</v>
      </c>
      <c r="L229" s="1135" t="s">
        <v>1568</v>
      </c>
      <c r="M229" s="1033">
        <v>0.3</v>
      </c>
      <c r="N229" s="1135"/>
      <c r="O229" s="1135">
        <v>5870</v>
      </c>
      <c r="P229" s="1135">
        <v>2570</v>
      </c>
      <c r="Q229" s="1135">
        <v>210</v>
      </c>
      <c r="R229" s="1135">
        <v>0</v>
      </c>
      <c r="S229" s="1135">
        <v>3090</v>
      </c>
      <c r="T229" s="1135">
        <v>0</v>
      </c>
      <c r="U229" s="2041">
        <v>0</v>
      </c>
    </row>
    <row r="230" spans="2:21" hidden="1" outlineLevel="2">
      <c r="B230" s="1050">
        <v>14</v>
      </c>
      <c r="C230" s="1050" t="str">
        <f t="shared" si="33"/>
        <v>Ammonitrate  calcaire 30% (CAN), Europe, Base Carbone</v>
      </c>
      <c r="D230" s="1051">
        <f t="shared" si="34"/>
        <v>14</v>
      </c>
      <c r="E230" s="1051" t="str">
        <f>IF(COUNTIF(E$216:E229,F230)&gt;0,"",F230)</f>
        <v>Ammonitrate  calcaire 30% (CAN), Europe, Base Carbone</v>
      </c>
      <c r="F230" s="1051" t="str">
        <f t="shared" si="35"/>
        <v>Ammonitrate  calcaire 30% (CAN), Europe, Base Carbone</v>
      </c>
      <c r="G230" s="1055" t="str">
        <f t="shared" si="36"/>
        <v>Ammonitrate  calcaire 30% (CAN), Europe, Base Carbone; kgCO2e/tonne de N</v>
      </c>
      <c r="I230" s="2018" t="s">
        <v>2064</v>
      </c>
      <c r="J230" s="1135" t="s">
        <v>2085</v>
      </c>
      <c r="K230" s="1119" t="s">
        <v>1567</v>
      </c>
      <c r="L230" s="1135" t="s">
        <v>1568</v>
      </c>
      <c r="M230" s="1033">
        <v>0.3</v>
      </c>
      <c r="N230" s="1135" t="s">
        <v>2099</v>
      </c>
      <c r="O230" s="1135">
        <v>6100</v>
      </c>
      <c r="P230" s="1135">
        <v>2800</v>
      </c>
      <c r="Q230" s="1135">
        <v>210</v>
      </c>
      <c r="R230" s="1135">
        <v>0</v>
      </c>
      <c r="S230" s="1135">
        <v>3090</v>
      </c>
      <c r="T230" s="1135">
        <v>0</v>
      </c>
      <c r="U230" s="2041">
        <v>0</v>
      </c>
    </row>
    <row r="231" spans="2:21" hidden="1" outlineLevel="2">
      <c r="B231" s="1050">
        <v>15</v>
      </c>
      <c r="C231" s="1050" t="str">
        <f t="shared" si="33"/>
        <v>Banol, Outre-mer, Base Carbone</v>
      </c>
      <c r="D231" s="1051">
        <f t="shared" si="34"/>
        <v>15</v>
      </c>
      <c r="E231" s="1051" t="str">
        <f>IF(COUNTIF(E$216:E230,F231)&gt;0,"",F231)</f>
        <v>Banol, Outre-mer, Base Carbone</v>
      </c>
      <c r="F231" s="1051" t="str">
        <f t="shared" si="35"/>
        <v>Banol, Outre-mer, Base Carbone</v>
      </c>
      <c r="G231" s="1055" t="str">
        <f t="shared" si="36"/>
        <v>Banol, Outre-mer, Base Carbone; kgCO2e/kg de matière active</v>
      </c>
      <c r="I231" s="2018" t="s">
        <v>2065</v>
      </c>
      <c r="J231" s="1135" t="s">
        <v>2086</v>
      </c>
      <c r="K231" s="1119" t="s">
        <v>1567</v>
      </c>
      <c r="L231" s="1135" t="s">
        <v>2090</v>
      </c>
      <c r="M231" s="1033">
        <v>0.5</v>
      </c>
      <c r="N231" s="1135" t="s">
        <v>1990</v>
      </c>
      <c r="O231" s="1135">
        <v>9.1999999999999993</v>
      </c>
      <c r="P231" s="1135"/>
      <c r="Q231" s="1135"/>
      <c r="R231" s="1135"/>
      <c r="S231" s="1135"/>
      <c r="T231" s="1135"/>
      <c r="U231" s="2041"/>
    </row>
    <row r="232" spans="2:21" hidden="1" outlineLevel="2">
      <c r="B232" s="1050">
        <v>16</v>
      </c>
      <c r="C232" s="1050" t="str">
        <f t="shared" si="33"/>
        <v>Bentonite, kaolin, France continentale, Base Carbone</v>
      </c>
      <c r="D232" s="1051">
        <f t="shared" si="34"/>
        <v>16</v>
      </c>
      <c r="E232" s="1051" t="str">
        <f>IF(COUNTIF(E$216:E231,F232)&gt;0,"",F232)</f>
        <v>Bentonite, kaolin, France continentale, Base Carbone</v>
      </c>
      <c r="F232" s="1051" t="str">
        <f t="shared" si="35"/>
        <v>Bentonite, kaolin, France continentale, Base Carbone</v>
      </c>
      <c r="G232" s="1055" t="str">
        <f t="shared" si="36"/>
        <v>Bentonite, kaolin, France continentale, Base Carbone; kgCO2e/tonne</v>
      </c>
      <c r="I232" s="2018" t="s">
        <v>3700</v>
      </c>
      <c r="J232" s="1135" t="s">
        <v>1585</v>
      </c>
      <c r="K232" s="1119" t="s">
        <v>1567</v>
      </c>
      <c r="L232" s="1119" t="s">
        <v>1571</v>
      </c>
      <c r="M232" s="1033">
        <v>0.5</v>
      </c>
      <c r="N232" s="1135"/>
      <c r="O232" s="1135">
        <v>1100</v>
      </c>
      <c r="P232" s="1135"/>
      <c r="Q232" s="1135"/>
      <c r="R232" s="1135"/>
      <c r="S232" s="1135"/>
      <c r="T232" s="1135"/>
      <c r="U232" s="2041"/>
    </row>
    <row r="233" spans="2:21" hidden="1" outlineLevel="2">
      <c r="B233" s="1050">
        <v>17</v>
      </c>
      <c r="C233" s="1050" t="str">
        <f t="shared" si="33"/>
        <v>Bisulfite de potassium, France continentale, Base Carbone</v>
      </c>
      <c r="D233" s="1051">
        <f t="shared" si="34"/>
        <v>17</v>
      </c>
      <c r="E233" s="1051" t="str">
        <f>IF(COUNTIF(E$216:E232,F233)&gt;0,"",F233)</f>
        <v>Bisulfite de potassium, France continentale, Base Carbone</v>
      </c>
      <c r="F233" s="1051" t="str">
        <f t="shared" si="35"/>
        <v>Bisulfite de potassium, France continentale, Base Carbone</v>
      </c>
      <c r="G233" s="1055" t="str">
        <f t="shared" si="36"/>
        <v>Bisulfite de potassium, France continentale, Base Carbone; kgCO2e/tonne</v>
      </c>
      <c r="I233" s="2018" t="s">
        <v>3701</v>
      </c>
      <c r="J233" s="1135" t="s">
        <v>1585</v>
      </c>
      <c r="K233" s="1119" t="s">
        <v>1567</v>
      </c>
      <c r="L233" s="1119" t="s">
        <v>1571</v>
      </c>
      <c r="M233" s="1033">
        <v>0.5</v>
      </c>
      <c r="N233" s="1135"/>
      <c r="O233" s="1135">
        <v>1470</v>
      </c>
      <c r="P233" s="1135"/>
      <c r="Q233" s="1135"/>
      <c r="R233" s="1135"/>
      <c r="S233" s="1135"/>
      <c r="T233" s="1135"/>
      <c r="U233" s="2041"/>
    </row>
    <row r="234" spans="2:21" hidden="1" outlineLevel="2">
      <c r="B234" s="1050">
        <v>18</v>
      </c>
      <c r="C234" s="1050" t="str">
        <f t="shared" si="33"/>
        <v>Carbonate de calcium, France continentale, Base Carbone</v>
      </c>
      <c r="D234" s="1051">
        <f t="shared" si="34"/>
        <v>18</v>
      </c>
      <c r="E234" s="1051" t="str">
        <f>IF(COUNTIF(E$216:E233,F234)&gt;0,"",F234)</f>
        <v>Carbonate de calcium, France continentale, Base Carbone</v>
      </c>
      <c r="F234" s="1051" t="str">
        <f t="shared" si="35"/>
        <v>Carbonate de calcium, France continentale, Base Carbone</v>
      </c>
      <c r="G234" s="1055" t="str">
        <f t="shared" si="36"/>
        <v>Carbonate de calcium, France continentale, Base Carbone; kgCO2e/tonne</v>
      </c>
      <c r="I234" s="2018" t="s">
        <v>3702</v>
      </c>
      <c r="J234" s="1135" t="s">
        <v>1585</v>
      </c>
      <c r="K234" s="1119" t="s">
        <v>1567</v>
      </c>
      <c r="L234" s="1119" t="s">
        <v>1571</v>
      </c>
      <c r="M234" s="1033">
        <v>0.5</v>
      </c>
      <c r="N234" s="1135"/>
      <c r="O234" s="1135">
        <v>75</v>
      </c>
      <c r="P234" s="1135"/>
      <c r="Q234" s="1135"/>
      <c r="R234" s="1135"/>
      <c r="S234" s="1135"/>
      <c r="T234" s="1135"/>
      <c r="U234" s="2041"/>
    </row>
    <row r="235" spans="2:21" hidden="1" outlineLevel="2">
      <c r="B235" s="1050">
        <v>19</v>
      </c>
      <c r="C235" s="1050" t="str">
        <f t="shared" si="33"/>
        <v>Chlorure de potassium, Europe, Base Carbone</v>
      </c>
      <c r="D235" s="1051">
        <f t="shared" si="34"/>
        <v>19</v>
      </c>
      <c r="E235" s="1051" t="str">
        <f>IF(COUNTIF(E$216:E234,F235)&gt;0,"",F235)</f>
        <v>Chlorure de potassium, Europe, Base Carbone</v>
      </c>
      <c r="F235" s="1051" t="str">
        <f t="shared" si="35"/>
        <v>Chlorure de potassium, Europe, Base Carbone</v>
      </c>
      <c r="G235" s="1055" t="str">
        <f t="shared" si="36"/>
        <v>Chlorure de potassium, Europe, Base Carbone; kgCO2e/tonne de K2O</v>
      </c>
      <c r="I235" s="2018" t="s">
        <v>2066</v>
      </c>
      <c r="J235" s="1135" t="s">
        <v>2087</v>
      </c>
      <c r="K235" s="1119" t="s">
        <v>1567</v>
      </c>
      <c r="L235" s="1135" t="s">
        <v>1568</v>
      </c>
      <c r="M235" s="1033">
        <v>0.3</v>
      </c>
      <c r="N235" s="1135" t="s">
        <v>1990</v>
      </c>
      <c r="O235" s="1135">
        <v>451</v>
      </c>
      <c r="P235" s="1135">
        <v>421</v>
      </c>
      <c r="Q235" s="1135">
        <v>30</v>
      </c>
      <c r="R235" s="1135">
        <v>0</v>
      </c>
      <c r="S235" s="1135">
        <v>0</v>
      </c>
      <c r="T235" s="1135">
        <v>0</v>
      </c>
      <c r="U235" s="2041">
        <v>0</v>
      </c>
    </row>
    <row r="236" spans="2:21" hidden="1" outlineLevel="2">
      <c r="B236" s="1050">
        <v>20</v>
      </c>
      <c r="C236" s="1050" t="str">
        <f t="shared" si="33"/>
        <v>Dioxyde de carbone d'origine chimique, France continentale, Base Carbone</v>
      </c>
      <c r="D236" s="1051">
        <f t="shared" si="34"/>
        <v>20</v>
      </c>
      <c r="E236" s="1051" t="str">
        <f>IF(COUNTIF(E$216:E235,F236)&gt;0,"",F236)</f>
        <v>Dioxyde de carbone d'origine chimique, France continentale, Base Carbone</v>
      </c>
      <c r="F236" s="1051" t="str">
        <f t="shared" si="35"/>
        <v>Dioxyde de carbone d'origine chimique, France continentale, Base Carbone</v>
      </c>
      <c r="G236" s="1055" t="str">
        <f t="shared" si="36"/>
        <v>Dioxyde de carbone d'origine chimique, France continentale, Base Carbone; kgCO2e/tonne</v>
      </c>
      <c r="I236" s="2018" t="s">
        <v>3703</v>
      </c>
      <c r="J236" s="1135" t="s">
        <v>1585</v>
      </c>
      <c r="K236" s="1119" t="s">
        <v>1567</v>
      </c>
      <c r="L236" s="1119" t="s">
        <v>1571</v>
      </c>
      <c r="M236" s="1033">
        <v>1</v>
      </c>
      <c r="N236" s="1135"/>
      <c r="O236" s="1135">
        <v>818</v>
      </c>
      <c r="P236" s="1135"/>
      <c r="Q236" s="1135"/>
      <c r="R236" s="1135"/>
      <c r="S236" s="1135"/>
      <c r="T236" s="1135"/>
      <c r="U236" s="2041"/>
    </row>
    <row r="237" spans="2:21" hidden="1" outlineLevel="2">
      <c r="B237" s="1050">
        <v>21</v>
      </c>
      <c r="C237" s="1050" t="str">
        <f t="shared" si="33"/>
        <v>Dioxyde de soufre liquide, France continentale, Base Carbone</v>
      </c>
      <c r="D237" s="1051">
        <f t="shared" si="34"/>
        <v>21</v>
      </c>
      <c r="E237" s="1051" t="str">
        <f>IF(COUNTIF(E$216:E236,F237)&gt;0,"",F237)</f>
        <v>Dioxyde de soufre liquide, France continentale, Base Carbone</v>
      </c>
      <c r="F237" s="1051" t="str">
        <f t="shared" si="35"/>
        <v>Dioxyde de soufre liquide, France continentale, Base Carbone</v>
      </c>
      <c r="G237" s="1055" t="str">
        <f t="shared" si="36"/>
        <v>Dioxyde de soufre liquide, France continentale, Base Carbone; kgCO2e/tonne</v>
      </c>
      <c r="I237" s="2018" t="s">
        <v>3704</v>
      </c>
      <c r="J237" s="1135" t="s">
        <v>1585</v>
      </c>
      <c r="K237" s="1119" t="s">
        <v>1567</v>
      </c>
      <c r="L237" s="1119" t="s">
        <v>1571</v>
      </c>
      <c r="M237" s="1033">
        <v>1</v>
      </c>
      <c r="N237" s="1135"/>
      <c r="O237" s="1135">
        <v>440</v>
      </c>
      <c r="P237" s="1135"/>
      <c r="Q237" s="1135"/>
      <c r="R237" s="1135"/>
      <c r="S237" s="1135"/>
      <c r="T237" s="1135"/>
      <c r="U237" s="2041"/>
    </row>
    <row r="238" spans="2:21" hidden="1" outlineLevel="2">
      <c r="B238" s="1050">
        <v>22</v>
      </c>
      <c r="C238" s="1050" t="str">
        <f t="shared" si="33"/>
        <v>Engrais azoté moyen, Europe, Base Carbone</v>
      </c>
      <c r="D238" s="1051">
        <f t="shared" si="34"/>
        <v>22</v>
      </c>
      <c r="E238" s="1051" t="str">
        <f>IF(COUNTIF(E$216:E237,F238)&gt;0,"",F238)</f>
        <v>Engrais azoté moyen, Europe, Base Carbone</v>
      </c>
      <c r="F238" s="1051" t="str">
        <f t="shared" si="35"/>
        <v>Engrais azoté moyen, Europe, Base Carbone</v>
      </c>
      <c r="G238" s="1055" t="str">
        <f t="shared" si="36"/>
        <v>Engrais azoté moyen, Europe, Base Carbone; kgCO2e/tonne de N</v>
      </c>
      <c r="I238" s="1100" t="s">
        <v>2067</v>
      </c>
      <c r="J238" s="1048" t="s">
        <v>2085</v>
      </c>
      <c r="K238" s="1119" t="s">
        <v>1567</v>
      </c>
      <c r="L238" s="1048" t="s">
        <v>1568</v>
      </c>
      <c r="M238" s="1033">
        <v>0.3</v>
      </c>
      <c r="N238" s="1048" t="s">
        <v>2093</v>
      </c>
      <c r="O238" s="1048">
        <v>4800</v>
      </c>
      <c r="P238" s="1048">
        <v>3000</v>
      </c>
      <c r="Q238" s="1048">
        <v>210</v>
      </c>
      <c r="R238" s="1048">
        <v>0</v>
      </c>
      <c r="S238" s="1048">
        <v>1590</v>
      </c>
      <c r="T238" s="1048">
        <v>0</v>
      </c>
      <c r="U238" s="1102">
        <v>0</v>
      </c>
    </row>
    <row r="239" spans="2:21" hidden="1" outlineLevel="2">
      <c r="B239" s="1050">
        <v>23</v>
      </c>
      <c r="C239" s="1050" t="str">
        <f t="shared" si="33"/>
        <v>Engrais binaire NK part K2O, Europe, Base Carbone</v>
      </c>
      <c r="D239" s="1051">
        <f t="shared" si="34"/>
        <v>23</v>
      </c>
      <c r="E239" s="1051" t="str">
        <f>IF(COUNTIF(E$216:E238,F239)&gt;0,"",F239)</f>
        <v>Engrais binaire NK part K2O, Europe, Base Carbone</v>
      </c>
      <c r="F239" s="1051" t="str">
        <f t="shared" si="35"/>
        <v>Engrais binaire NK part K2O, Europe, Base Carbone</v>
      </c>
      <c r="G239" s="1055" t="str">
        <f t="shared" si="36"/>
        <v>Engrais binaire NK part K2O, Europe, Base Carbone; kgCO2e/tonne de K2O</v>
      </c>
      <c r="I239" s="1100" t="s">
        <v>2067</v>
      </c>
      <c r="J239" s="1048" t="s">
        <v>2087</v>
      </c>
      <c r="K239" s="1119" t="s">
        <v>1567</v>
      </c>
      <c r="L239" s="1048" t="s">
        <v>1568</v>
      </c>
      <c r="M239" s="1033">
        <v>0.3</v>
      </c>
      <c r="N239" s="1048" t="s">
        <v>2100</v>
      </c>
      <c r="O239" s="1048">
        <v>451</v>
      </c>
      <c r="P239" s="1048">
        <v>421</v>
      </c>
      <c r="Q239" s="1048">
        <v>30</v>
      </c>
      <c r="R239" s="1048">
        <v>0</v>
      </c>
      <c r="S239" s="1048">
        <v>0</v>
      </c>
      <c r="T239" s="1048">
        <v>0</v>
      </c>
      <c r="U239" s="1102">
        <v>0</v>
      </c>
    </row>
    <row r="240" spans="2:21" hidden="1" outlineLevel="2">
      <c r="B240" s="1050">
        <v>24</v>
      </c>
      <c r="C240" s="1050" t="str">
        <f t="shared" si="33"/>
        <v>Engrais binaire NK part N, Europe, Base Carbone</v>
      </c>
      <c r="D240" s="1051">
        <f t="shared" si="34"/>
        <v>24</v>
      </c>
      <c r="E240" s="1051" t="str">
        <f>IF(COUNTIF(E$216:E239,F240)&gt;0,"",F240)</f>
        <v>Engrais binaire NK part N, Europe, Base Carbone</v>
      </c>
      <c r="F240" s="1051" t="str">
        <f t="shared" si="35"/>
        <v>Engrais binaire NK part N, Europe, Base Carbone</v>
      </c>
      <c r="G240" s="1055" t="str">
        <f t="shared" si="36"/>
        <v>Engrais binaire NK part N, Europe, Base Carbone; kgCO2e/tonne de N</v>
      </c>
      <c r="I240" s="1100" t="s">
        <v>2067</v>
      </c>
      <c r="J240" s="1048" t="s">
        <v>2085</v>
      </c>
      <c r="K240" s="1119" t="s">
        <v>1567</v>
      </c>
      <c r="L240" s="1048" t="s">
        <v>1568</v>
      </c>
      <c r="M240" s="1033">
        <v>0.3</v>
      </c>
      <c r="N240" s="1048" t="s">
        <v>2101</v>
      </c>
      <c r="O240" s="1048">
        <v>2980</v>
      </c>
      <c r="P240" s="1048">
        <v>2770</v>
      </c>
      <c r="Q240" s="1048">
        <v>210</v>
      </c>
      <c r="R240" s="1048">
        <v>0</v>
      </c>
      <c r="S240" s="1048">
        <v>2.65</v>
      </c>
      <c r="T240" s="1048">
        <v>0</v>
      </c>
      <c r="U240" s="1102">
        <v>0</v>
      </c>
    </row>
    <row r="241" spans="2:21" hidden="1" outlineLevel="2">
      <c r="B241" s="1050">
        <v>25</v>
      </c>
      <c r="C241" s="1050" t="str">
        <f t="shared" si="33"/>
        <v>Engrais binaire NP, Europe, Base Carbone</v>
      </c>
      <c r="D241" s="1051">
        <f t="shared" si="34"/>
        <v>25</v>
      </c>
      <c r="E241" s="1051" t="str">
        <f>IF(COUNTIF(E$216:E240,F241)&gt;0,"",F241)</f>
        <v>Engrais binaire NP, Europe, Base Carbone</v>
      </c>
      <c r="F241" s="1051" t="str">
        <f t="shared" si="35"/>
        <v>Engrais binaire NP, Europe, Base Carbone</v>
      </c>
      <c r="G241" s="1055" t="str">
        <f t="shared" si="36"/>
        <v>Engrais binaire NP, Europe, Base Carbone; kgCO2e/tonne de N</v>
      </c>
      <c r="I241" s="1100" t="s">
        <v>2067</v>
      </c>
      <c r="J241" s="1048" t="s">
        <v>2085</v>
      </c>
      <c r="K241" s="1119" t="s">
        <v>1567</v>
      </c>
      <c r="L241" s="1048" t="s">
        <v>1568</v>
      </c>
      <c r="M241" s="1033">
        <v>0.3</v>
      </c>
      <c r="N241" s="1048" t="s">
        <v>2094</v>
      </c>
      <c r="O241" s="1048">
        <v>4330</v>
      </c>
      <c r="P241" s="1048">
        <v>4050</v>
      </c>
      <c r="Q241" s="1048">
        <v>270</v>
      </c>
      <c r="R241" s="1048">
        <v>0</v>
      </c>
      <c r="S241" s="1048">
        <v>5.3</v>
      </c>
      <c r="T241" s="1048">
        <v>0</v>
      </c>
      <c r="U241" s="1102">
        <v>0</v>
      </c>
    </row>
    <row r="242" spans="2:21" hidden="1" outlineLevel="2">
      <c r="B242" s="1050">
        <v>26</v>
      </c>
      <c r="C242" s="1050" t="str">
        <f t="shared" si="33"/>
        <v>Engrais binaire PK part K2O, Europe, Base Carbone</v>
      </c>
      <c r="D242" s="1051">
        <f t="shared" si="34"/>
        <v>26</v>
      </c>
      <c r="E242" s="1051" t="str">
        <f>IF(COUNTIF(E$216:E241,F242)&gt;0,"",F242)</f>
        <v>Engrais binaire PK part K2O, Europe, Base Carbone</v>
      </c>
      <c r="F242" s="1051" t="str">
        <f t="shared" si="35"/>
        <v>Engrais binaire PK part K2O, Europe, Base Carbone</v>
      </c>
      <c r="G242" s="1055" t="str">
        <f t="shared" si="36"/>
        <v>Engrais binaire PK part K2O, Europe, Base Carbone; kgCO2e/tonne de K2O</v>
      </c>
      <c r="I242" s="1100" t="s">
        <v>2067</v>
      </c>
      <c r="J242" s="1048" t="s">
        <v>2087</v>
      </c>
      <c r="K242" s="1119" t="s">
        <v>1567</v>
      </c>
      <c r="L242" s="1048" t="s">
        <v>1568</v>
      </c>
      <c r="M242" s="1033">
        <v>0.3</v>
      </c>
      <c r="N242" s="1048" t="s">
        <v>2102</v>
      </c>
      <c r="O242" s="1048">
        <v>451</v>
      </c>
      <c r="P242" s="1048">
        <v>421</v>
      </c>
      <c r="Q242" s="1048">
        <v>30</v>
      </c>
      <c r="R242" s="1048">
        <v>0</v>
      </c>
      <c r="S242" s="1048">
        <v>0</v>
      </c>
      <c r="T242" s="1048">
        <v>0</v>
      </c>
      <c r="U242" s="1102">
        <v>0</v>
      </c>
    </row>
    <row r="243" spans="2:21" hidden="1" outlineLevel="2">
      <c r="B243" s="1050">
        <v>27</v>
      </c>
      <c r="C243" s="1050" t="str">
        <f t="shared" si="33"/>
        <v>Engrais binaire PK part P2O5, Europe, Base Carbone</v>
      </c>
      <c r="D243" s="1051">
        <f t="shared" si="34"/>
        <v>27</v>
      </c>
      <c r="E243" s="1051" t="str">
        <f>IF(COUNTIF(E$216:E242,F243)&gt;0,"",F243)</f>
        <v>Engrais binaire PK part P2O5, Europe, Base Carbone</v>
      </c>
      <c r="F243" s="1051" t="str">
        <f t="shared" si="35"/>
        <v>Engrais binaire PK part P2O5, Europe, Base Carbone</v>
      </c>
      <c r="G243" s="1055" t="str">
        <f t="shared" si="36"/>
        <v>Engrais binaire PK part P2O5, Europe, Base Carbone; kgCO2e/tonne de P2O5</v>
      </c>
      <c r="I243" s="1100" t="s">
        <v>2067</v>
      </c>
      <c r="J243" s="1048" t="s">
        <v>2088</v>
      </c>
      <c r="K243" s="1119" t="s">
        <v>1567</v>
      </c>
      <c r="L243" s="1048" t="s">
        <v>1568</v>
      </c>
      <c r="M243" s="1033">
        <v>0.3</v>
      </c>
      <c r="N243" s="1048" t="s">
        <v>2103</v>
      </c>
      <c r="O243" s="1048">
        <v>581</v>
      </c>
      <c r="P243" s="1048">
        <v>548</v>
      </c>
      <c r="Q243" s="1048">
        <v>30</v>
      </c>
      <c r="R243" s="1048">
        <v>0</v>
      </c>
      <c r="S243" s="1048">
        <v>2.65</v>
      </c>
      <c r="T243" s="1048">
        <v>0</v>
      </c>
      <c r="U243" s="1102">
        <v>0</v>
      </c>
    </row>
    <row r="244" spans="2:21" hidden="1" outlineLevel="2">
      <c r="B244" s="1050">
        <v>28</v>
      </c>
      <c r="C244" s="1050" t="str">
        <f t="shared" si="33"/>
        <v>Engrais phosphaté moyen, Europe, Base Carbone</v>
      </c>
      <c r="D244" s="1051">
        <f t="shared" si="34"/>
        <v>28</v>
      </c>
      <c r="E244" s="1051" t="str">
        <f>IF(COUNTIF(E$216:E243,F244)&gt;0,"",F244)</f>
        <v>Engrais phosphaté moyen, Europe, Base Carbone</v>
      </c>
      <c r="F244" s="1051" t="str">
        <f t="shared" si="35"/>
        <v>Engrais phosphaté moyen, Europe, Base Carbone</v>
      </c>
      <c r="G244" s="1055" t="str">
        <f t="shared" si="36"/>
        <v>Engrais phosphaté moyen, Europe, Base Carbone; kgCO2e/tonne de P2O5</v>
      </c>
      <c r="I244" s="1100" t="s">
        <v>2067</v>
      </c>
      <c r="J244" s="1048" t="s">
        <v>2088</v>
      </c>
      <c r="K244" s="1119" t="s">
        <v>1567</v>
      </c>
      <c r="L244" s="1048" t="s">
        <v>1568</v>
      </c>
      <c r="M244" s="1033">
        <v>0.3</v>
      </c>
      <c r="N244" s="1048" t="s">
        <v>2095</v>
      </c>
      <c r="O244" s="1048">
        <v>581</v>
      </c>
      <c r="P244" s="1048">
        <v>548</v>
      </c>
      <c r="Q244" s="1048">
        <v>30</v>
      </c>
      <c r="R244" s="1048">
        <v>0</v>
      </c>
      <c r="S244" s="1048">
        <v>2.65</v>
      </c>
      <c r="T244" s="1048">
        <v>0</v>
      </c>
      <c r="U244" s="1102">
        <v>0</v>
      </c>
    </row>
    <row r="245" spans="2:21" hidden="1" outlineLevel="2">
      <c r="B245" s="1050">
        <v>29</v>
      </c>
      <c r="C245" s="1050" t="str">
        <f t="shared" si="33"/>
        <v>Engrais potassique moyen, Europe, Base Carbone</v>
      </c>
      <c r="D245" s="1051">
        <f t="shared" si="34"/>
        <v>29</v>
      </c>
      <c r="E245" s="1051" t="str">
        <f>IF(COUNTIF(E$216:E244,F245)&gt;0,"",F245)</f>
        <v>Engrais potassique moyen, Europe, Base Carbone</v>
      </c>
      <c r="F245" s="1051" t="str">
        <f t="shared" si="35"/>
        <v>Engrais potassique moyen, Europe, Base Carbone</v>
      </c>
      <c r="G245" s="1055" t="str">
        <f t="shared" si="36"/>
        <v>Engrais potassique moyen, Europe, Base Carbone; kgCO2e/tonne de K2O</v>
      </c>
      <c r="I245" s="1100" t="s">
        <v>2067</v>
      </c>
      <c r="J245" s="1048" t="s">
        <v>2087</v>
      </c>
      <c r="K245" s="1119" t="s">
        <v>1567</v>
      </c>
      <c r="L245" s="1048" t="s">
        <v>1568</v>
      </c>
      <c r="M245" s="1033">
        <v>0.3</v>
      </c>
      <c r="N245" s="1048" t="s">
        <v>2096</v>
      </c>
      <c r="O245" s="1048">
        <v>451</v>
      </c>
      <c r="P245" s="1048">
        <v>421</v>
      </c>
      <c r="Q245" s="1048">
        <v>30</v>
      </c>
      <c r="R245" s="1048">
        <v>0</v>
      </c>
      <c r="S245" s="1048">
        <v>0</v>
      </c>
      <c r="T245" s="1048">
        <v>0</v>
      </c>
      <c r="U245" s="1102">
        <v>0</v>
      </c>
    </row>
    <row r="246" spans="2:21" hidden="1" outlineLevel="2">
      <c r="B246" s="1050">
        <v>30</v>
      </c>
      <c r="C246" s="1050" t="str">
        <f t="shared" si="33"/>
        <v>Engrais ternaire part K2O, Europe, Base Carbone</v>
      </c>
      <c r="D246" s="1051">
        <f t="shared" si="34"/>
        <v>30</v>
      </c>
      <c r="E246" s="1051" t="str">
        <f>IF(COUNTIF(E$216:E245,F246)&gt;0,"",F246)</f>
        <v>Engrais ternaire part K2O, Europe, Base Carbone</v>
      </c>
      <c r="F246" s="1051" t="str">
        <f t="shared" si="35"/>
        <v>Engrais ternaire part K2O, Europe, Base Carbone</v>
      </c>
      <c r="G246" s="1055" t="str">
        <f t="shared" si="36"/>
        <v>Engrais ternaire part K2O, Europe, Base Carbone; kgCO2e/tonne de K2O</v>
      </c>
      <c r="I246" s="1100" t="s">
        <v>2067</v>
      </c>
      <c r="J246" s="1048" t="s">
        <v>2087</v>
      </c>
      <c r="K246" s="1119" t="s">
        <v>1567</v>
      </c>
      <c r="L246" s="1048" t="s">
        <v>1568</v>
      </c>
      <c r="M246" s="1033">
        <v>0.3</v>
      </c>
      <c r="N246" s="1048" t="s">
        <v>2104</v>
      </c>
      <c r="O246" s="1048">
        <v>470</v>
      </c>
      <c r="P246" s="1048">
        <v>440</v>
      </c>
      <c r="Q246" s="1048">
        <v>30</v>
      </c>
      <c r="R246" s="1048">
        <v>0</v>
      </c>
      <c r="S246" s="1048">
        <v>0</v>
      </c>
      <c r="T246" s="1048">
        <v>0</v>
      </c>
      <c r="U246" s="1102">
        <v>0</v>
      </c>
    </row>
    <row r="247" spans="2:21" hidden="1" outlineLevel="2">
      <c r="B247" s="1050">
        <v>31</v>
      </c>
      <c r="C247" s="1050" t="str">
        <f t="shared" si="33"/>
        <v>Engrais ternaire part N, Europe, Base Carbone</v>
      </c>
      <c r="D247" s="1051">
        <f t="shared" si="34"/>
        <v>31</v>
      </c>
      <c r="E247" s="1051" t="str">
        <f>IF(COUNTIF(E$216:E246,F247)&gt;0,"",F247)</f>
        <v>Engrais ternaire part N, Europe, Base Carbone</v>
      </c>
      <c r="F247" s="1051" t="str">
        <f t="shared" si="35"/>
        <v>Engrais ternaire part N, Europe, Base Carbone</v>
      </c>
      <c r="G247" s="1055" t="str">
        <f t="shared" si="36"/>
        <v>Engrais ternaire part N, Europe, Base Carbone; kgCO2e/tonne de N</v>
      </c>
      <c r="I247" s="1100" t="s">
        <v>2067</v>
      </c>
      <c r="J247" s="1048" t="s">
        <v>2085</v>
      </c>
      <c r="K247" s="1119" t="s">
        <v>1567</v>
      </c>
      <c r="L247" s="1048" t="s">
        <v>1568</v>
      </c>
      <c r="M247" s="1033">
        <v>0.3</v>
      </c>
      <c r="N247" s="1048" t="s">
        <v>2105</v>
      </c>
      <c r="O247" s="1048">
        <v>5030</v>
      </c>
      <c r="P247" s="1048">
        <v>2700</v>
      </c>
      <c r="Q247" s="1048">
        <v>210</v>
      </c>
      <c r="R247" s="1048">
        <v>0</v>
      </c>
      <c r="S247" s="1048">
        <v>2120</v>
      </c>
      <c r="T247" s="1048">
        <v>0</v>
      </c>
      <c r="U247" s="1102">
        <v>0</v>
      </c>
    </row>
    <row r="248" spans="2:21" hidden="1" outlineLevel="2">
      <c r="B248" s="1050">
        <v>32</v>
      </c>
      <c r="C248" s="1050" t="str">
        <f t="shared" si="33"/>
        <v>Engrais ternaire part P2O5, Europe, Base Carbone</v>
      </c>
      <c r="D248" s="1051">
        <f t="shared" si="34"/>
        <v>32</v>
      </c>
      <c r="E248" s="1051" t="str">
        <f>IF(COUNTIF(E$216:E247,F248)&gt;0,"",F248)</f>
        <v>Engrais ternaire part P2O5, Europe, Base Carbone</v>
      </c>
      <c r="F248" s="1051" t="str">
        <f t="shared" si="35"/>
        <v>Engrais ternaire part P2O5, Europe, Base Carbone</v>
      </c>
      <c r="G248" s="1055" t="str">
        <f t="shared" si="36"/>
        <v>Engrais ternaire part P2O5, Europe, Base Carbone; kgCO2e/tonne de P2O5</v>
      </c>
      <c r="I248" s="1100" t="s">
        <v>2067</v>
      </c>
      <c r="J248" s="1048" t="s">
        <v>2088</v>
      </c>
      <c r="K248" s="1119" t="s">
        <v>1567</v>
      </c>
      <c r="L248" s="1048" t="s">
        <v>1568</v>
      </c>
      <c r="M248" s="1033">
        <v>0.3</v>
      </c>
      <c r="N248" s="1048" t="s">
        <v>2106</v>
      </c>
      <c r="O248" s="1048">
        <v>467</v>
      </c>
      <c r="P248" s="1048">
        <v>437</v>
      </c>
      <c r="Q248" s="1048">
        <v>30</v>
      </c>
      <c r="R248" s="1048">
        <v>0</v>
      </c>
      <c r="S248" s="1048">
        <v>0</v>
      </c>
      <c r="T248" s="1048">
        <v>0</v>
      </c>
      <c r="U248" s="1102">
        <v>0</v>
      </c>
    </row>
    <row r="249" spans="2:21" hidden="1" outlineLevel="2">
      <c r="B249" s="1050">
        <v>33</v>
      </c>
      <c r="C249" s="1050" t="str">
        <f t="shared" si="33"/>
        <v>Ethanol rectifié d'origine viti-vinicole, France continentale, Base Carbone</v>
      </c>
      <c r="D249" s="1051">
        <f t="shared" si="34"/>
        <v>33</v>
      </c>
      <c r="E249" s="1051" t="str">
        <f>IF(COUNTIF(E$216:E248,F249)&gt;0,"",F249)</f>
        <v>Ethanol rectifié d'origine viti-vinicole, France continentale, Base Carbone</v>
      </c>
      <c r="F249" s="1051" t="str">
        <f t="shared" si="35"/>
        <v>Ethanol rectifié d'origine viti-vinicole, France continentale, Base Carbone</v>
      </c>
      <c r="G249" s="1055" t="str">
        <f t="shared" si="36"/>
        <v>Ethanol rectifié d'origine viti-vinicole, France continentale, Base Carbone; kgCO2e/tonne</v>
      </c>
      <c r="I249" s="2018" t="s">
        <v>3705</v>
      </c>
      <c r="J249" s="1135" t="s">
        <v>1585</v>
      </c>
      <c r="K249" s="1119" t="s">
        <v>1567</v>
      </c>
      <c r="L249" s="1119" t="s">
        <v>1571</v>
      </c>
      <c r="M249" s="1033">
        <v>0.5</v>
      </c>
      <c r="N249" s="1135"/>
      <c r="O249" s="1135">
        <v>1830</v>
      </c>
      <c r="P249" s="1135"/>
      <c r="Q249" s="1135"/>
      <c r="R249" s="1135"/>
      <c r="S249" s="1135"/>
      <c r="T249" s="1135"/>
      <c r="U249" s="2041"/>
    </row>
    <row r="250" spans="2:21" hidden="1" outlineLevel="2">
      <c r="B250" s="1050">
        <v>34</v>
      </c>
      <c r="C250" s="1050" t="str">
        <f t="shared" si="33"/>
        <v>Fongicide moyen, Europe, Base Carbone</v>
      </c>
      <c r="D250" s="1051">
        <f t="shared" si="34"/>
        <v>34</v>
      </c>
      <c r="E250" s="1051" t="str">
        <f>IF(COUNTIF(E$216:E249,F250)&gt;0,"",F250)</f>
        <v>Fongicide moyen, Europe, Base Carbone</v>
      </c>
      <c r="F250" s="1051" t="str">
        <f t="shared" si="35"/>
        <v>Fongicide moyen, Europe, Base Carbone</v>
      </c>
      <c r="G250" s="1055" t="str">
        <f t="shared" si="36"/>
        <v>Fongicide moyen, Europe, Base Carbone; kgCO2e/kg de matière active</v>
      </c>
      <c r="I250" s="2018" t="s">
        <v>2068</v>
      </c>
      <c r="J250" s="1135" t="s">
        <v>2086</v>
      </c>
      <c r="K250" s="1119" t="s">
        <v>1567</v>
      </c>
      <c r="L250" s="1135" t="s">
        <v>1568</v>
      </c>
      <c r="M250" s="1033">
        <v>0.5</v>
      </c>
      <c r="N250" s="1135" t="s">
        <v>1990</v>
      </c>
      <c r="O250" s="1135">
        <v>6.14</v>
      </c>
      <c r="P250" s="1135">
        <v>5.54</v>
      </c>
      <c r="Q250" s="1135">
        <v>0.55700000000000005</v>
      </c>
      <c r="R250" s="1135">
        <v>0</v>
      </c>
      <c r="S250" s="1135">
        <v>3.9800000000000002E-2</v>
      </c>
      <c r="T250" s="1135">
        <v>0</v>
      </c>
      <c r="U250" s="2041">
        <v>0</v>
      </c>
    </row>
    <row r="251" spans="2:21" hidden="1" outlineLevel="2">
      <c r="B251" s="1050">
        <v>35</v>
      </c>
      <c r="C251" s="1050" t="str">
        <f t="shared" si="33"/>
        <v>Fumier en tas, Europe, Base Carbone</v>
      </c>
      <c r="D251" s="1051">
        <f t="shared" si="34"/>
        <v>35</v>
      </c>
      <c r="E251" s="1051" t="str">
        <f>IF(COUNTIF(E$216:E250,F251)&gt;0,"",F251)</f>
        <v>Fumier en tas, Europe, Base Carbone</v>
      </c>
      <c r="F251" s="1051" t="str">
        <f t="shared" si="35"/>
        <v>Fumier en tas, Europe, Base Carbone</v>
      </c>
      <c r="G251" s="1055" t="str">
        <f t="shared" si="36"/>
        <v>Fumier en tas, Europe, Base Carbone; kgCO2e/tonne</v>
      </c>
      <c r="I251" s="2018" t="s">
        <v>2069</v>
      </c>
      <c r="J251" s="1135" t="s">
        <v>1585</v>
      </c>
      <c r="K251" s="1119" t="s">
        <v>1567</v>
      </c>
      <c r="L251" s="1135" t="s">
        <v>1568</v>
      </c>
      <c r="M251" s="1033">
        <v>0.3</v>
      </c>
      <c r="N251" s="1135" t="s">
        <v>1990</v>
      </c>
      <c r="O251" s="1135">
        <v>3.32</v>
      </c>
      <c r="P251" s="1135"/>
      <c r="Q251" s="1135"/>
      <c r="R251" s="1135"/>
      <c r="S251" s="1135"/>
      <c r="T251" s="1135"/>
      <c r="U251" s="2041"/>
    </row>
    <row r="252" spans="2:21" hidden="1" outlineLevel="2">
      <c r="B252" s="1050">
        <v>36</v>
      </c>
      <c r="C252" s="1050" t="str">
        <f t="shared" si="33"/>
        <v>Herbicide, Europe, Base Carbone</v>
      </c>
      <c r="D252" s="1051">
        <f t="shared" si="34"/>
        <v>36</v>
      </c>
      <c r="E252" s="1051" t="str">
        <f>IF(COUNTIF(E$216:E251,F252)&gt;0,"",F252)</f>
        <v>Herbicide, Europe, Base Carbone</v>
      </c>
      <c r="F252" s="1051" t="str">
        <f t="shared" si="35"/>
        <v>Herbicide, Europe, Base Carbone</v>
      </c>
      <c r="G252" s="1055" t="str">
        <f t="shared" si="36"/>
        <v>Herbicide, Europe, Base Carbone; kgCO2e/kg de matière active</v>
      </c>
      <c r="I252" s="2018" t="s">
        <v>2070</v>
      </c>
      <c r="J252" s="1135" t="s">
        <v>2086</v>
      </c>
      <c r="K252" s="1119" t="s">
        <v>1567</v>
      </c>
      <c r="L252" s="1135" t="s">
        <v>1568</v>
      </c>
      <c r="M252" s="1033">
        <v>0.5</v>
      </c>
      <c r="N252" s="1135" t="s">
        <v>1990</v>
      </c>
      <c r="O252" s="1135">
        <v>9.15</v>
      </c>
      <c r="P252" s="1135">
        <v>8.33</v>
      </c>
      <c r="Q252" s="1135">
        <v>0.76400000000000001</v>
      </c>
      <c r="R252" s="1135">
        <v>0</v>
      </c>
      <c r="S252" s="1135">
        <v>5.8299999999999998E-2</v>
      </c>
      <c r="T252" s="1135">
        <v>0</v>
      </c>
      <c r="U252" s="2041">
        <v>0</v>
      </c>
    </row>
    <row r="253" spans="2:21" hidden="1" outlineLevel="2">
      <c r="B253" s="1050">
        <v>37</v>
      </c>
      <c r="C253" s="1050" t="str">
        <f t="shared" si="33"/>
        <v>Hexane, France continentale, Base Carbone</v>
      </c>
      <c r="D253" s="1051">
        <f t="shared" si="34"/>
        <v>37</v>
      </c>
      <c r="E253" s="1051" t="str">
        <f>IF(COUNTIF(E$216:E252,F253)&gt;0,"",F253)</f>
        <v>Hexane, France continentale, Base Carbone</v>
      </c>
      <c r="F253" s="1051" t="str">
        <f t="shared" si="35"/>
        <v>Hexane, France continentale, Base Carbone</v>
      </c>
      <c r="G253" s="1055" t="str">
        <f t="shared" si="36"/>
        <v>Hexane, France continentale, Base Carbone; kgCO2e/tonne</v>
      </c>
      <c r="I253" s="2018" t="s">
        <v>2071</v>
      </c>
      <c r="J253" s="1135" t="s">
        <v>1585</v>
      </c>
      <c r="K253" s="1119" t="s">
        <v>1567</v>
      </c>
      <c r="L253" s="1135" t="s">
        <v>1571</v>
      </c>
      <c r="M253" s="1033">
        <v>0.5</v>
      </c>
      <c r="N253" s="1135" t="s">
        <v>1990</v>
      </c>
      <c r="O253" s="1135">
        <v>313</v>
      </c>
      <c r="P253" s="1135"/>
      <c r="Q253" s="1135"/>
      <c r="R253" s="1135"/>
      <c r="S253" s="1135"/>
      <c r="T253" s="1135"/>
      <c r="U253" s="2041"/>
    </row>
    <row r="254" spans="2:21" hidden="1" outlineLevel="2">
      <c r="B254" s="1050">
        <v>38</v>
      </c>
      <c r="C254" s="1050" t="str">
        <f t="shared" si="33"/>
        <v>Hypochlorite de sodium 15% (alcalin chloré), France continentale, Base Carbone</v>
      </c>
      <c r="D254" s="1051">
        <f t="shared" si="34"/>
        <v>38</v>
      </c>
      <c r="E254" s="1051" t="str">
        <f>IF(COUNTIF(E$216:E253,F254)&gt;0,"",F254)</f>
        <v>Hypochlorite de sodium 15% (alcalin chloré), France continentale, Base Carbone</v>
      </c>
      <c r="F254" s="1051" t="str">
        <f t="shared" si="35"/>
        <v>Hypochlorite de sodium 15% (alcalin chloré), France continentale, Base Carbone</v>
      </c>
      <c r="G254" s="1055" t="str">
        <f t="shared" si="36"/>
        <v>Hypochlorite de sodium 15% (alcalin chloré), France continentale, Base Carbone; kgCO2e/tonne</v>
      </c>
      <c r="I254" s="2018" t="s">
        <v>3706</v>
      </c>
      <c r="J254" s="1135" t="s">
        <v>1585</v>
      </c>
      <c r="K254" s="1119" t="s">
        <v>1567</v>
      </c>
      <c r="L254" s="1135" t="s">
        <v>1571</v>
      </c>
      <c r="M254" s="1033">
        <v>1</v>
      </c>
      <c r="N254" s="1135"/>
      <c r="O254" s="1135">
        <v>920</v>
      </c>
      <c r="P254" s="1135"/>
      <c r="Q254" s="1135"/>
      <c r="R254" s="1135"/>
      <c r="S254" s="1135"/>
      <c r="T254" s="1135"/>
      <c r="U254" s="2041"/>
    </row>
    <row r="255" spans="2:21" hidden="1" outlineLevel="2">
      <c r="B255" s="1050">
        <v>39</v>
      </c>
      <c r="C255" s="1050" t="str">
        <f t="shared" si="33"/>
        <v>Insecticide moyen, Europe, Base Carbone</v>
      </c>
      <c r="D255" s="1051">
        <f t="shared" si="34"/>
        <v>39</v>
      </c>
      <c r="E255" s="1051" t="str">
        <f>IF(COUNTIF(E$216:E254,F255)&gt;0,"",F255)</f>
        <v>Insecticide moyen, Europe, Base Carbone</v>
      </c>
      <c r="F255" s="1051" t="str">
        <f t="shared" si="35"/>
        <v>Insecticide moyen, Europe, Base Carbone</v>
      </c>
      <c r="G255" s="1055" t="str">
        <f t="shared" si="36"/>
        <v>Insecticide moyen, Europe, Base Carbone; kgCO2e/kg de matière active</v>
      </c>
      <c r="I255" s="2018" t="s">
        <v>2072</v>
      </c>
      <c r="J255" s="1135" t="s">
        <v>2086</v>
      </c>
      <c r="K255" s="1119" t="s">
        <v>1567</v>
      </c>
      <c r="L255" s="1135" t="s">
        <v>1568</v>
      </c>
      <c r="M255" s="1033">
        <v>0.5</v>
      </c>
      <c r="N255" s="1135" t="s">
        <v>1990</v>
      </c>
      <c r="O255" s="1135">
        <v>25.5</v>
      </c>
      <c r="P255" s="1135">
        <v>23.7</v>
      </c>
      <c r="Q255" s="1135">
        <v>1.63</v>
      </c>
      <c r="R255" s="1135">
        <v>0</v>
      </c>
      <c r="S255" s="1135">
        <v>0.16700000000000001</v>
      </c>
      <c r="T255" s="1135">
        <v>0</v>
      </c>
      <c r="U255" s="2041">
        <v>0</v>
      </c>
    </row>
    <row r="256" spans="2:21" hidden="1" outlineLevel="2">
      <c r="B256" s="1050">
        <v>40</v>
      </c>
      <c r="C256" s="1050" t="str">
        <f t="shared" si="33"/>
        <v>Kieselguhr, diatomites, perlites, France continentale, Base Carbone</v>
      </c>
      <c r="D256" s="1051">
        <f t="shared" si="34"/>
        <v>40</v>
      </c>
      <c r="E256" s="1051" t="str">
        <f>IF(COUNTIF(E$216:E255,F256)&gt;0,"",F256)</f>
        <v>Kieselguhr, diatomites, perlites, France continentale, Base Carbone</v>
      </c>
      <c r="F256" s="1051" t="str">
        <f t="shared" si="35"/>
        <v>Kieselguhr, diatomites, perlites, France continentale, Base Carbone</v>
      </c>
      <c r="G256" s="1055" t="str">
        <f t="shared" si="36"/>
        <v>Kieselguhr, diatomites, perlites, France continentale, Base Carbone; kgCO2e/tonne</v>
      </c>
      <c r="I256" s="2018" t="s">
        <v>3707</v>
      </c>
      <c r="J256" s="1135" t="s">
        <v>1585</v>
      </c>
      <c r="K256" s="1119" t="s">
        <v>1567</v>
      </c>
      <c r="L256" s="1119" t="s">
        <v>1571</v>
      </c>
      <c r="M256" s="1033">
        <v>0.5</v>
      </c>
      <c r="N256" s="1135"/>
      <c r="O256" s="1135">
        <v>1010</v>
      </c>
      <c r="P256" s="1135"/>
      <c r="Q256" s="1135"/>
      <c r="R256" s="1135"/>
      <c r="S256" s="1135"/>
      <c r="T256" s="1135"/>
      <c r="U256" s="2041"/>
    </row>
    <row r="257" spans="2:21" hidden="1" outlineLevel="2">
      <c r="B257" s="1050">
        <v>41</v>
      </c>
      <c r="C257" s="1050" t="str">
        <f t="shared" si="33"/>
        <v>Laque PU noire, Monde, Base Carbone</v>
      </c>
      <c r="D257" s="1051">
        <f t="shared" si="34"/>
        <v>41</v>
      </c>
      <c r="E257" s="1051" t="str">
        <f>IF(COUNTIF(E$216:E256,F257)&gt;0,"",F257)</f>
        <v>Laque PU noire, Monde, Base Carbone</v>
      </c>
      <c r="F257" s="1051" t="str">
        <f t="shared" si="35"/>
        <v>Laque PU noire, Monde, Base Carbone</v>
      </c>
      <c r="G257" s="1055" t="str">
        <f t="shared" si="36"/>
        <v>Laque PU noire, Monde, Base Carbone; kgCO2e/kg</v>
      </c>
      <c r="I257" s="2018" t="s">
        <v>2073</v>
      </c>
      <c r="J257" s="1135" t="s">
        <v>1572</v>
      </c>
      <c r="K257" s="1119" t="s">
        <v>1567</v>
      </c>
      <c r="L257" s="1135" t="s">
        <v>2089</v>
      </c>
      <c r="M257" s="1033">
        <v>0.5</v>
      </c>
      <c r="N257" s="1135" t="s">
        <v>2097</v>
      </c>
      <c r="O257" s="1135">
        <v>6.77</v>
      </c>
      <c r="P257" s="1135">
        <v>6.27</v>
      </c>
      <c r="Q257" s="1135">
        <v>0.42899999999999999</v>
      </c>
      <c r="R257" s="1135">
        <v>0</v>
      </c>
      <c r="S257" s="1135">
        <v>7.22E-2</v>
      </c>
      <c r="T257" s="1135">
        <v>3.65E-5</v>
      </c>
      <c r="U257" s="2041">
        <v>0.14199999999999999</v>
      </c>
    </row>
    <row r="258" spans="2:21" hidden="1" outlineLevel="2">
      <c r="B258" s="1050">
        <v>42</v>
      </c>
      <c r="C258" s="1050" t="str">
        <f t="shared" si="33"/>
        <v>Méthanol, France continentale, Base Carbone</v>
      </c>
      <c r="D258" s="1051">
        <f t="shared" si="34"/>
        <v>42</v>
      </c>
      <c r="E258" s="1051" t="str">
        <f>IF(COUNTIF(E$216:E257,F258)&gt;0,"",F258)</f>
        <v>Méthanol, France continentale, Base Carbone</v>
      </c>
      <c r="F258" s="1051" t="str">
        <f t="shared" si="35"/>
        <v>Méthanol, France continentale, Base Carbone</v>
      </c>
      <c r="G258" s="1055" t="str">
        <f t="shared" si="36"/>
        <v>Méthanol, France continentale, Base Carbone; kgCO2e/tonne</v>
      </c>
      <c r="I258" s="2018" t="s">
        <v>2074</v>
      </c>
      <c r="J258" s="1135" t="s">
        <v>1585</v>
      </c>
      <c r="K258" s="1119" t="s">
        <v>1567</v>
      </c>
      <c r="L258" s="1135" t="s">
        <v>1571</v>
      </c>
      <c r="M258" s="1033">
        <v>0.5</v>
      </c>
      <c r="N258" s="1135" t="s">
        <v>1990</v>
      </c>
      <c r="O258" s="1135">
        <v>521</v>
      </c>
      <c r="P258" s="1135"/>
      <c r="Q258" s="1135"/>
      <c r="R258" s="1135"/>
      <c r="S258" s="1135"/>
      <c r="T258" s="1135"/>
      <c r="U258" s="2041"/>
    </row>
    <row r="259" spans="2:21" hidden="1" outlineLevel="2">
      <c r="B259" s="1050">
        <v>43</v>
      </c>
      <c r="C259" s="1050" t="str">
        <f t="shared" si="33"/>
        <v>Micro-organismes et extraits (bactéries, levures, écorces de levures), France continentale, Base Carbone</v>
      </c>
      <c r="D259" s="1051">
        <f t="shared" si="34"/>
        <v>43</v>
      </c>
      <c r="E259" s="1051" t="str">
        <f>IF(COUNTIF(E$216:E258,F259)&gt;0,"",F259)</f>
        <v>Micro-organismes et extraits (bactéries, levures, écorces de levures), France continentale, Base Carbone</v>
      </c>
      <c r="F259" s="1051" t="str">
        <f t="shared" si="35"/>
        <v>Micro-organismes et extraits (bactéries, levures, écorces de levures), France continentale, Base Carbone</v>
      </c>
      <c r="G259" s="1055" t="str">
        <f t="shared" si="36"/>
        <v>Micro-organismes et extraits (bactéries, levures, écorces de levures), France continentale, Base Carbone; kgCO2e/tonne</v>
      </c>
      <c r="I259" s="2018" t="s">
        <v>3708</v>
      </c>
      <c r="J259" s="1135" t="s">
        <v>1585</v>
      </c>
      <c r="K259" s="1119" t="s">
        <v>1567</v>
      </c>
      <c r="L259" s="1119" t="s">
        <v>1571</v>
      </c>
      <c r="M259" s="1033">
        <v>0.5</v>
      </c>
      <c r="N259" s="1135"/>
      <c r="O259" s="1135">
        <v>2200</v>
      </c>
      <c r="P259" s="1135"/>
      <c r="Q259" s="1135"/>
      <c r="R259" s="1135"/>
      <c r="S259" s="1135"/>
      <c r="T259" s="1135"/>
      <c r="U259" s="2041"/>
    </row>
    <row r="260" spans="2:21" hidden="1" outlineLevel="2">
      <c r="B260" s="1050">
        <v>44</v>
      </c>
      <c r="C260" s="1050" t="str">
        <f t="shared" si="33"/>
        <v>Molluscides (methiocarbe), France continentale, Base Carbone</v>
      </c>
      <c r="D260" s="1051">
        <f t="shared" si="34"/>
        <v>44</v>
      </c>
      <c r="E260" s="1051" t="str">
        <f>IF(COUNTIF(E$216:E259,F260)&gt;0,"",F260)</f>
        <v>Molluscides (methiocarbe), France continentale, Base Carbone</v>
      </c>
      <c r="F260" s="1051" t="str">
        <f t="shared" si="35"/>
        <v>Molluscides (methiocarbe), France continentale, Base Carbone</v>
      </c>
      <c r="G260" s="1055" t="str">
        <f t="shared" si="36"/>
        <v>Molluscides (methiocarbe), France continentale, Base Carbone; kgCO2e/kg de matière active</v>
      </c>
      <c r="I260" s="2018" t="s">
        <v>2075</v>
      </c>
      <c r="J260" s="1135" t="s">
        <v>2086</v>
      </c>
      <c r="K260" s="1119" t="s">
        <v>1567</v>
      </c>
      <c r="L260" s="1135" t="s">
        <v>1571</v>
      </c>
      <c r="M260" s="1033">
        <v>0.5</v>
      </c>
      <c r="N260" s="1135" t="s">
        <v>1990</v>
      </c>
      <c r="O260" s="1135">
        <v>8.94</v>
      </c>
      <c r="P260" s="1135">
        <v>8.0299999999999994</v>
      </c>
      <c r="Q260" s="1135">
        <v>0.85499999999999998</v>
      </c>
      <c r="R260" s="1135">
        <v>0</v>
      </c>
      <c r="S260" s="1135">
        <v>5.8799999999999998E-2</v>
      </c>
      <c r="T260" s="1135">
        <v>0</v>
      </c>
      <c r="U260" s="2041">
        <v>0</v>
      </c>
    </row>
    <row r="261" spans="2:21" hidden="1" outlineLevel="2">
      <c r="B261" s="1050">
        <v>45</v>
      </c>
      <c r="C261" s="1050" t="str">
        <f t="shared" si="33"/>
        <v>Nitrate d'ammoniaque phosphate, Europe, Base Carbone</v>
      </c>
      <c r="D261" s="1051">
        <f t="shared" si="34"/>
        <v>45</v>
      </c>
      <c r="E261" s="1051" t="str">
        <f>IF(COUNTIF(E$216:E260,F261)&gt;0,"",F261)</f>
        <v>Nitrate d'ammoniaque phosphate, Europe, Base Carbone</v>
      </c>
      <c r="F261" s="1051" t="str">
        <f t="shared" si="35"/>
        <v>Nitrate d'ammoniaque phosphate, Europe, Base Carbone</v>
      </c>
      <c r="G261" s="1055" t="str">
        <f t="shared" si="36"/>
        <v>Nitrate d'ammoniaque phosphate, Europe, Base Carbone; kgCO2e/tonne de N</v>
      </c>
      <c r="I261" s="2018" t="s">
        <v>2076</v>
      </c>
      <c r="J261" s="1135" t="s">
        <v>2085</v>
      </c>
      <c r="K261" s="1119" t="s">
        <v>1567</v>
      </c>
      <c r="L261" s="1135" t="s">
        <v>1568</v>
      </c>
      <c r="M261" s="1033">
        <v>0.3</v>
      </c>
      <c r="N261" s="1135" t="s">
        <v>1990</v>
      </c>
      <c r="O261" s="1135">
        <v>1680</v>
      </c>
      <c r="P261" s="1135"/>
      <c r="Q261" s="1135"/>
      <c r="R261" s="1135"/>
      <c r="S261" s="1135"/>
      <c r="T261" s="1135"/>
      <c r="U261" s="2041"/>
    </row>
    <row r="262" spans="2:21" hidden="1" outlineLevel="2">
      <c r="B262" s="1050">
        <v>46</v>
      </c>
      <c r="C262" s="1050" t="str">
        <f t="shared" si="33"/>
        <v>Nitrate d'ammoniaque phosphate (ASP), Europe, Base Carbone</v>
      </c>
      <c r="D262" s="1051">
        <f t="shared" si="34"/>
        <v>46</v>
      </c>
      <c r="E262" s="1051" t="str">
        <f>IF(COUNTIF(E$216:E261,F262)&gt;0,"",F262)</f>
        <v>Nitrate d'ammoniaque phosphate (ASP), Europe, Base Carbone</v>
      </c>
      <c r="F262" s="1051" t="str">
        <f t="shared" si="35"/>
        <v>Nitrate d'ammoniaque phosphate (ASP), Europe, Base Carbone</v>
      </c>
      <c r="G262" s="1055" t="str">
        <f t="shared" si="36"/>
        <v>Nitrate d'ammoniaque phosphate (ASP), Europe, Base Carbone; kgCO2e/tonne de P2O5</v>
      </c>
      <c r="I262" s="2018" t="s">
        <v>2076</v>
      </c>
      <c r="J262" s="1135" t="s">
        <v>2088</v>
      </c>
      <c r="K262" s="1119" t="s">
        <v>1567</v>
      </c>
      <c r="L262" s="1135" t="s">
        <v>1568</v>
      </c>
      <c r="M262" s="1033">
        <v>0.3</v>
      </c>
      <c r="N262" s="1135" t="s">
        <v>2098</v>
      </c>
      <c r="O262" s="1135">
        <v>1750</v>
      </c>
      <c r="P262" s="1135"/>
      <c r="Q262" s="1135"/>
      <c r="R262" s="1135"/>
      <c r="S262" s="1135"/>
      <c r="T262" s="1135"/>
      <c r="U262" s="2041"/>
    </row>
    <row r="263" spans="2:21" hidden="1" outlineLevel="2">
      <c r="B263" s="1050">
        <v>47</v>
      </c>
      <c r="C263" s="1050" t="str">
        <f t="shared" si="33"/>
        <v>Produits de traitement de la vapeur d'eau, France continentale, Base Carbone</v>
      </c>
      <c r="D263" s="1051">
        <f t="shared" si="34"/>
        <v>47</v>
      </c>
      <c r="E263" s="1051" t="str">
        <f>IF(COUNTIF(E$216:E262,F263)&gt;0,"",F263)</f>
        <v>Produits de traitement de la vapeur d'eau, France continentale, Base Carbone</v>
      </c>
      <c r="F263" s="1051" t="str">
        <f t="shared" si="35"/>
        <v>Produits de traitement de la vapeur d'eau, France continentale, Base Carbone</v>
      </c>
      <c r="G263" s="1055" t="str">
        <f t="shared" si="36"/>
        <v>Produits de traitement de la vapeur d'eau, France continentale, Base Carbone; kgCO2e/tonne</v>
      </c>
      <c r="I263" s="2018" t="s">
        <v>3709</v>
      </c>
      <c r="J263" s="1135" t="s">
        <v>1585</v>
      </c>
      <c r="K263" s="1119" t="s">
        <v>1567</v>
      </c>
      <c r="L263" s="1119" t="s">
        <v>1571</v>
      </c>
      <c r="M263" s="1033">
        <v>0.5</v>
      </c>
      <c r="N263" s="1135"/>
      <c r="O263" s="1135">
        <v>3670</v>
      </c>
      <c r="P263" s="1135"/>
      <c r="Q263" s="1135"/>
      <c r="R263" s="1135"/>
      <c r="S263" s="1135"/>
      <c r="T263" s="1135"/>
      <c r="U263" s="2041"/>
    </row>
    <row r="264" spans="2:21" hidden="1" outlineLevel="2">
      <c r="B264" s="1050">
        <v>48</v>
      </c>
      <c r="C264" s="1050" t="str">
        <f t="shared" si="33"/>
        <v>Phytosanitaire moyen, Europe, Base Carbone</v>
      </c>
      <c r="D264" s="1051">
        <f t="shared" si="34"/>
        <v>48</v>
      </c>
      <c r="E264" s="1051" t="str">
        <f>IF(COUNTIF(E$216:E263,F264)&gt;0,"",F264)</f>
        <v>Phytosanitaire moyen, Europe, Base Carbone</v>
      </c>
      <c r="F264" s="1051" t="str">
        <f t="shared" si="35"/>
        <v>Phytosanitaire moyen, Europe, Base Carbone</v>
      </c>
      <c r="G264" s="1055" t="str">
        <f t="shared" si="36"/>
        <v>Phytosanitaire moyen, Europe, Base Carbone; kgCO2e/kg de matière active</v>
      </c>
      <c r="I264" s="2018" t="s">
        <v>2077</v>
      </c>
      <c r="J264" s="1135" t="s">
        <v>2086</v>
      </c>
      <c r="K264" s="1119" t="s">
        <v>1567</v>
      </c>
      <c r="L264" s="1135" t="s">
        <v>1568</v>
      </c>
      <c r="M264" s="1033">
        <v>0.5</v>
      </c>
      <c r="N264" s="1135" t="s">
        <v>1990</v>
      </c>
      <c r="O264" s="1135">
        <v>9.1999999999999993</v>
      </c>
      <c r="P264" s="1135"/>
      <c r="Q264" s="1135"/>
      <c r="R264" s="1135"/>
      <c r="S264" s="1135"/>
      <c r="T264" s="1135"/>
      <c r="U264" s="2041"/>
    </row>
    <row r="265" spans="2:21" hidden="1" outlineLevel="2">
      <c r="B265" s="1050">
        <v>49</v>
      </c>
      <c r="C265" s="1050" t="str">
        <f t="shared" si="33"/>
        <v>Régulateur de croissance, France continentale, Base Carbone</v>
      </c>
      <c r="D265" s="1051">
        <f t="shared" si="34"/>
        <v>49</v>
      </c>
      <c r="E265" s="1051" t="str">
        <f>IF(COUNTIF(E$216:E264,F265)&gt;0,"",F265)</f>
        <v>Régulateur de croissance, France continentale, Base Carbone</v>
      </c>
      <c r="F265" s="1051" t="str">
        <f t="shared" si="35"/>
        <v>Régulateur de croissance, France continentale, Base Carbone</v>
      </c>
      <c r="G265" s="1055" t="str">
        <f t="shared" si="36"/>
        <v>Régulateur de croissance, France continentale, Base Carbone; kgCO2e/kg de matière active</v>
      </c>
      <c r="I265" s="2018" t="s">
        <v>2078</v>
      </c>
      <c r="J265" s="1135" t="s">
        <v>2086</v>
      </c>
      <c r="K265" s="1119" t="s">
        <v>1567</v>
      </c>
      <c r="L265" s="1135" t="s">
        <v>1571</v>
      </c>
      <c r="M265" s="1033">
        <v>0.5</v>
      </c>
      <c r="N265" s="1135" t="s">
        <v>1990</v>
      </c>
      <c r="O265" s="1135">
        <v>8.64</v>
      </c>
      <c r="P265" s="1135">
        <v>7.86</v>
      </c>
      <c r="Q265" s="1135">
        <v>0.72299999999999998</v>
      </c>
      <c r="R265" s="1135">
        <v>0</v>
      </c>
      <c r="S265" s="1135">
        <v>5.57E-2</v>
      </c>
      <c r="T265" s="1135">
        <v>0</v>
      </c>
      <c r="U265" s="2041">
        <v>0</v>
      </c>
    </row>
    <row r="266" spans="2:21" hidden="1" outlineLevel="2">
      <c r="B266" s="1050">
        <v>50</v>
      </c>
      <c r="C266" s="1050" t="str">
        <f t="shared" si="33"/>
        <v>Saumure (chlorure de sodium) brine, France continentale, Base Carbone</v>
      </c>
      <c r="D266" s="1051">
        <f t="shared" si="34"/>
        <v>50</v>
      </c>
      <c r="E266" s="1051" t="str">
        <f>IF(COUNTIF(E$216:E265,F266)&gt;0,"",F266)</f>
        <v>Saumure (chlorure de sodium) brine, France continentale, Base Carbone</v>
      </c>
      <c r="F266" s="1051" t="str">
        <f t="shared" si="35"/>
        <v>Saumure (chlorure de sodium) brine, France continentale, Base Carbone</v>
      </c>
      <c r="G266" s="1055" t="str">
        <f t="shared" si="36"/>
        <v>Saumure (chlorure de sodium) brine, France continentale, Base Carbone; kgCO2e/tonne</v>
      </c>
      <c r="I266" s="2018" t="s">
        <v>3710</v>
      </c>
      <c r="J266" s="1135" t="s">
        <v>1585</v>
      </c>
      <c r="K266" s="1119" t="s">
        <v>1567</v>
      </c>
      <c r="L266" s="1119" t="s">
        <v>1571</v>
      </c>
      <c r="M266" s="1033">
        <v>1</v>
      </c>
      <c r="N266" s="1135" t="s">
        <v>3711</v>
      </c>
      <c r="O266" s="1135">
        <v>169</v>
      </c>
      <c r="P266" s="1135"/>
      <c r="Q266" s="1135"/>
      <c r="R266" s="1135"/>
      <c r="S266" s="1135"/>
      <c r="T266" s="1135"/>
      <c r="U266" s="2041"/>
    </row>
    <row r="267" spans="2:21" hidden="1" outlineLevel="2">
      <c r="B267" s="1050">
        <v>51</v>
      </c>
      <c r="C267" s="1050" t="str">
        <f t="shared" si="33"/>
        <v>Scories thomas, Europe, Base Carbone</v>
      </c>
      <c r="D267" s="1051">
        <f t="shared" si="34"/>
        <v>51</v>
      </c>
      <c r="E267" s="1051" t="str">
        <f>IF(COUNTIF(E$216:E266,F267)&gt;0,"",F267)</f>
        <v>Scories thomas, Europe, Base Carbone</v>
      </c>
      <c r="F267" s="1051" t="str">
        <f t="shared" si="35"/>
        <v>Scories thomas, Europe, Base Carbone</v>
      </c>
      <c r="G267" s="1055" t="str">
        <f t="shared" si="36"/>
        <v>Scories thomas, Europe, Base Carbone; kgCO2e/tonne de P2O5</v>
      </c>
      <c r="I267" s="2018" t="s">
        <v>2079</v>
      </c>
      <c r="J267" s="1135" t="s">
        <v>2088</v>
      </c>
      <c r="K267" s="1119" t="s">
        <v>1567</v>
      </c>
      <c r="L267" s="1135" t="s">
        <v>1568</v>
      </c>
      <c r="M267" s="1033">
        <v>0.3</v>
      </c>
      <c r="N267" s="1135" t="s">
        <v>1990</v>
      </c>
      <c r="O267" s="1135">
        <v>1170</v>
      </c>
      <c r="P267" s="1135"/>
      <c r="Q267" s="1135"/>
      <c r="R267" s="1135"/>
      <c r="S267" s="1135"/>
      <c r="T267" s="1135"/>
      <c r="U267" s="2041"/>
    </row>
    <row r="268" spans="2:21" hidden="1" outlineLevel="2">
      <c r="B268" s="1050">
        <v>52</v>
      </c>
      <c r="C268" s="1050" t="str">
        <f t="shared" si="33"/>
        <v>Solution azotée, Europe, Base Carbone</v>
      </c>
      <c r="D268" s="1051">
        <f t="shared" si="34"/>
        <v>52</v>
      </c>
      <c r="E268" s="1051" t="str">
        <f>IF(COUNTIF(E$216:E267,F268)&gt;0,"",F268)</f>
        <v>Solution azotée, Europe, Base Carbone</v>
      </c>
      <c r="F268" s="1051" t="str">
        <f t="shared" si="35"/>
        <v>Solution azotée, Europe, Base Carbone</v>
      </c>
      <c r="G268" s="1055" t="str">
        <f t="shared" si="36"/>
        <v>Solution azotée, Europe, Base Carbone; kgCO2e/tonne de N</v>
      </c>
      <c r="I268" s="2018" t="s">
        <v>2080</v>
      </c>
      <c r="J268" s="1135" t="s">
        <v>2085</v>
      </c>
      <c r="K268" s="1119" t="s">
        <v>1567</v>
      </c>
      <c r="L268" s="1135" t="s">
        <v>1568</v>
      </c>
      <c r="M268" s="1033">
        <v>0.3</v>
      </c>
      <c r="N268" s="1135" t="s">
        <v>1990</v>
      </c>
      <c r="O268" s="1135">
        <v>5020</v>
      </c>
      <c r="P268" s="1135">
        <v>3200</v>
      </c>
      <c r="Q268" s="1135">
        <v>240</v>
      </c>
      <c r="R268" s="1135">
        <v>0</v>
      </c>
      <c r="S268" s="1135">
        <v>1580</v>
      </c>
      <c r="T268" s="1135">
        <v>0</v>
      </c>
      <c r="U268" s="2041">
        <v>0</v>
      </c>
    </row>
    <row r="269" spans="2:21" hidden="1" outlineLevel="2">
      <c r="B269" s="1050">
        <v>53</v>
      </c>
      <c r="C269" s="1050" t="str">
        <f t="shared" si="33"/>
        <v>Soude 50%, France continentale, Base Carbone</v>
      </c>
      <c r="D269" s="1051">
        <f t="shared" si="34"/>
        <v>53</v>
      </c>
      <c r="E269" s="1051" t="str">
        <f>IF(COUNTIF(E$216:E268,F269)&gt;0,"",F269)</f>
        <v>Soude 50%, France continentale, Base Carbone</v>
      </c>
      <c r="F269" s="1051" t="str">
        <f t="shared" si="35"/>
        <v>Soude 50%, France continentale, Base Carbone</v>
      </c>
      <c r="G269" s="1055" t="str">
        <f t="shared" si="36"/>
        <v>Soude 50%, France continentale, Base Carbone; kgCO2e/tonne</v>
      </c>
      <c r="I269" s="2018" t="s">
        <v>2081</v>
      </c>
      <c r="J269" s="1135" t="s">
        <v>1585</v>
      </c>
      <c r="K269" s="1119" t="s">
        <v>1567</v>
      </c>
      <c r="L269" s="1135" t="s">
        <v>1571</v>
      </c>
      <c r="M269" s="1033">
        <v>0.5</v>
      </c>
      <c r="N269" s="1135" t="s">
        <v>1990</v>
      </c>
      <c r="O269" s="1135">
        <v>587</v>
      </c>
      <c r="P269" s="1135"/>
      <c r="Q269" s="1135"/>
      <c r="R269" s="1135"/>
      <c r="S269" s="1135"/>
      <c r="T269" s="1135"/>
      <c r="U269" s="2041"/>
    </row>
    <row r="270" spans="2:21" hidden="1" outlineLevel="2">
      <c r="B270" s="1050">
        <v>54</v>
      </c>
      <c r="C270" s="1050" t="str">
        <f t="shared" si="33"/>
        <v>Soude solide (poudre, granulés), France continentale, Base Carbone</v>
      </c>
      <c r="D270" s="1051">
        <f t="shared" si="34"/>
        <v>54</v>
      </c>
      <c r="E270" s="1051" t="str">
        <f>IF(COUNTIF(E$216:E269,F270)&gt;0,"",F270)</f>
        <v>Soude solide (poudre, granulés), France continentale, Base Carbone</v>
      </c>
      <c r="F270" s="1051" t="str">
        <f t="shared" si="35"/>
        <v>Soude solide (poudre, granulés), France continentale, Base Carbone</v>
      </c>
      <c r="G270" s="1055" t="str">
        <f t="shared" si="36"/>
        <v>Soude solide (poudre, granulés), France continentale, Base Carbone; kgCO2e/tonne</v>
      </c>
      <c r="I270" s="2018" t="s">
        <v>3712</v>
      </c>
      <c r="J270" s="1135" t="s">
        <v>1585</v>
      </c>
      <c r="K270" s="1119" t="s">
        <v>1567</v>
      </c>
      <c r="L270" s="1135" t="s">
        <v>1571</v>
      </c>
      <c r="M270" s="1033">
        <v>1</v>
      </c>
      <c r="N270" s="1135"/>
      <c r="O270" s="1135">
        <v>458</v>
      </c>
      <c r="P270" s="1135"/>
      <c r="Q270" s="1135"/>
      <c r="R270" s="1135"/>
      <c r="S270" s="1135"/>
      <c r="T270" s="1135"/>
      <c r="U270" s="2041"/>
    </row>
    <row r="271" spans="2:21" hidden="1" outlineLevel="2">
      <c r="B271" s="1050">
        <v>55</v>
      </c>
      <c r="C271" s="1050" t="str">
        <f t="shared" si="33"/>
        <v>Sulfate d'ammonium, France continentale, Base Carbone</v>
      </c>
      <c r="D271" s="1051">
        <f t="shared" si="34"/>
        <v>55</v>
      </c>
      <c r="E271" s="1051" t="str">
        <f>IF(COUNTIF(E$216:E270,F271)&gt;0,"",F271)</f>
        <v>Sulfate d'ammonium, France continentale, Base Carbone</v>
      </c>
      <c r="F271" s="1051" t="str">
        <f t="shared" si="35"/>
        <v>Sulfate d'ammonium, France continentale, Base Carbone</v>
      </c>
      <c r="G271" s="1055" t="str">
        <f t="shared" si="36"/>
        <v>Sulfate d'ammonium, France continentale, Base Carbone; kgCO2e/tonne</v>
      </c>
      <c r="I271" s="2018" t="s">
        <v>3713</v>
      </c>
      <c r="J271" s="1135" t="s">
        <v>1585</v>
      </c>
      <c r="K271" s="1119" t="s">
        <v>1567</v>
      </c>
      <c r="L271" s="1119" t="s">
        <v>1571</v>
      </c>
      <c r="M271" s="1033">
        <v>0.5</v>
      </c>
      <c r="N271" s="1135"/>
      <c r="O271" s="1135">
        <v>733</v>
      </c>
      <c r="P271" s="1135"/>
      <c r="Q271" s="1135"/>
      <c r="R271" s="1135"/>
      <c r="S271" s="1135"/>
      <c r="T271" s="1135"/>
      <c r="U271" s="2041"/>
    </row>
    <row r="272" spans="2:21" hidden="1" outlineLevel="2">
      <c r="B272" s="1050">
        <v>56</v>
      </c>
      <c r="C272" s="1050" t="str">
        <f t="shared" si="33"/>
        <v>Sulfate de sodium, France continentale, Base Carbone</v>
      </c>
      <c r="D272" s="1051">
        <f t="shared" si="34"/>
        <v>56</v>
      </c>
      <c r="E272" s="1051" t="str">
        <f>IF(COUNTIF(E$216:E271,F272)&gt;0,"",F272)</f>
        <v>Sulfate de sodium, France continentale, Base Carbone</v>
      </c>
      <c r="F272" s="1051" t="str">
        <f t="shared" si="35"/>
        <v>Sulfate de sodium, France continentale, Base Carbone</v>
      </c>
      <c r="G272" s="1055" t="str">
        <f t="shared" si="36"/>
        <v>Sulfate de sodium, France continentale, Base Carbone; kgCO2e/tonne</v>
      </c>
      <c r="I272" s="2018" t="s">
        <v>3714</v>
      </c>
      <c r="J272" s="1135" t="s">
        <v>1585</v>
      </c>
      <c r="K272" s="1119" t="s">
        <v>1567</v>
      </c>
      <c r="L272" s="1119" t="s">
        <v>1571</v>
      </c>
      <c r="M272" s="1033">
        <v>1</v>
      </c>
      <c r="N272" s="1135"/>
      <c r="O272" s="1135">
        <v>473</v>
      </c>
      <c r="P272" s="1135"/>
      <c r="Q272" s="1135"/>
      <c r="R272" s="1135"/>
      <c r="S272" s="1135"/>
      <c r="T272" s="1135"/>
      <c r="U272" s="2041"/>
    </row>
    <row r="273" spans="2:21" hidden="1" outlineLevel="2">
      <c r="B273" s="1050">
        <v>57</v>
      </c>
      <c r="C273" s="1050" t="str">
        <f t="shared" si="33"/>
        <v>Sulfochaux, France continentale, Base Carbone</v>
      </c>
      <c r="D273" s="1051">
        <f t="shared" si="34"/>
        <v>57</v>
      </c>
      <c r="E273" s="1051" t="str">
        <f>IF(COUNTIF(E$216:E272,F273)&gt;0,"",F273)</f>
        <v>Sulfochaux, France continentale, Base Carbone</v>
      </c>
      <c r="F273" s="1051" t="str">
        <f t="shared" si="35"/>
        <v>Sulfochaux, France continentale, Base Carbone</v>
      </c>
      <c r="G273" s="1055" t="str">
        <f t="shared" si="36"/>
        <v>Sulfochaux, France continentale, Base Carbone; kgCO2e/tonne</v>
      </c>
      <c r="I273" s="2018" t="s">
        <v>3715</v>
      </c>
      <c r="J273" s="1135" t="s">
        <v>1585</v>
      </c>
      <c r="K273" s="1119" t="s">
        <v>1567</v>
      </c>
      <c r="L273" s="1119" t="s">
        <v>1571</v>
      </c>
      <c r="M273" s="1033">
        <v>0.5</v>
      </c>
      <c r="N273" s="1135"/>
      <c r="O273" s="1135">
        <v>367</v>
      </c>
      <c r="P273" s="1135"/>
      <c r="Q273" s="1135"/>
      <c r="R273" s="1135"/>
      <c r="S273" s="1135"/>
      <c r="T273" s="1135"/>
      <c r="U273" s="2041"/>
    </row>
    <row r="274" spans="2:21" hidden="1" outlineLevel="2">
      <c r="B274" s="1050">
        <v>58</v>
      </c>
      <c r="C274" s="1050" t="str">
        <f t="shared" si="33"/>
        <v>Sulfosol, France continentale, Base Carbone</v>
      </c>
      <c r="D274" s="1051">
        <f t="shared" si="34"/>
        <v>58</v>
      </c>
      <c r="E274" s="1051" t="str">
        <f>IF(COUNTIF(E$216:E273,F274)&gt;0,"",F274)</f>
        <v>Sulfosol, France continentale, Base Carbone</v>
      </c>
      <c r="F274" s="1051" t="str">
        <f t="shared" si="35"/>
        <v>Sulfosol, France continentale, Base Carbone</v>
      </c>
      <c r="G274" s="1055" t="str">
        <f t="shared" si="36"/>
        <v>Sulfosol, France continentale, Base Carbone; kgCO2e/tonne</v>
      </c>
      <c r="I274" s="2018" t="s">
        <v>3716</v>
      </c>
      <c r="J274" s="1135" t="s">
        <v>1585</v>
      </c>
      <c r="K274" s="1119" t="s">
        <v>1567</v>
      </c>
      <c r="L274" s="1119" t="s">
        <v>1571</v>
      </c>
      <c r="M274" s="1033">
        <v>0.5</v>
      </c>
      <c r="N274" s="1135"/>
      <c r="O274" s="1135">
        <v>3670</v>
      </c>
      <c r="P274" s="1135"/>
      <c r="Q274" s="1135"/>
      <c r="R274" s="1135"/>
      <c r="S274" s="1135"/>
      <c r="T274" s="1135"/>
      <c r="U274" s="2041"/>
    </row>
    <row r="275" spans="2:21" hidden="1" outlineLevel="2">
      <c r="B275" s="1050">
        <v>59</v>
      </c>
      <c r="C275" s="1050" t="str">
        <f t="shared" si="33"/>
        <v>Tanins, France continentale, Base Carbone</v>
      </c>
      <c r="D275" s="1051">
        <f t="shared" si="34"/>
        <v>59</v>
      </c>
      <c r="E275" s="1051" t="str">
        <f>IF(COUNTIF(E$216:E274,F275)&gt;0,"",F275)</f>
        <v>Tanins, France continentale, Base Carbone</v>
      </c>
      <c r="F275" s="1051" t="str">
        <f t="shared" si="35"/>
        <v>Tanins, France continentale, Base Carbone</v>
      </c>
      <c r="G275" s="1055" t="str">
        <f t="shared" si="36"/>
        <v>Tanins, France continentale, Base Carbone; kgCO2e/tonne</v>
      </c>
      <c r="I275" s="2018" t="s">
        <v>3717</v>
      </c>
      <c r="J275" s="1135" t="s">
        <v>1585</v>
      </c>
      <c r="K275" s="1119" t="s">
        <v>1567</v>
      </c>
      <c r="L275" s="1119" t="s">
        <v>1571</v>
      </c>
      <c r="M275" s="1033">
        <v>0.5</v>
      </c>
      <c r="N275" s="1135"/>
      <c r="O275" s="1135">
        <v>2200</v>
      </c>
      <c r="P275" s="1135"/>
      <c r="Q275" s="1135"/>
      <c r="R275" s="1135"/>
      <c r="S275" s="1135"/>
      <c r="T275" s="1135"/>
      <c r="U275" s="2041"/>
    </row>
    <row r="276" spans="2:21" hidden="1" outlineLevel="2">
      <c r="B276" s="1050">
        <v>60</v>
      </c>
      <c r="C276" s="1050" t="str">
        <f t="shared" si="33"/>
        <v>Trisuperphosphate (TSP), Europe, Base Carbone</v>
      </c>
      <c r="D276" s="1051">
        <f t="shared" si="34"/>
        <v>60</v>
      </c>
      <c r="E276" s="1051" t="str">
        <f>IF(COUNTIF(E$216:E275,F276)&gt;0,"",F276)</f>
        <v>Trisuperphosphate (TSP), Europe, Base Carbone</v>
      </c>
      <c r="F276" s="1051" t="str">
        <f t="shared" si="35"/>
        <v>Trisuperphosphate (TSP), Europe, Base Carbone</v>
      </c>
      <c r="G276" s="1055" t="str">
        <f t="shared" si="36"/>
        <v>Trisuperphosphate (TSP), Europe, Base Carbone; kgCO2e/tonne de P2O5</v>
      </c>
      <c r="I276" s="1100" t="s">
        <v>2082</v>
      </c>
      <c r="J276" s="1048" t="s">
        <v>2088</v>
      </c>
      <c r="K276" s="1119" t="s">
        <v>1567</v>
      </c>
      <c r="L276" s="1048" t="s">
        <v>1568</v>
      </c>
      <c r="M276" s="1033">
        <v>0.3</v>
      </c>
      <c r="N276" s="1048" t="s">
        <v>1990</v>
      </c>
      <c r="O276" s="1048">
        <v>581</v>
      </c>
      <c r="P276" s="1048">
        <v>548</v>
      </c>
      <c r="Q276" s="1048">
        <v>30</v>
      </c>
      <c r="R276" s="1048">
        <v>0</v>
      </c>
      <c r="S276" s="1048">
        <v>2.65</v>
      </c>
      <c r="T276" s="1048">
        <v>0</v>
      </c>
      <c r="U276" s="1102">
        <v>0</v>
      </c>
    </row>
    <row r="277" spans="2:21" hidden="1" outlineLevel="2">
      <c r="B277" s="1050">
        <v>61</v>
      </c>
      <c r="C277" s="1050" t="str">
        <f t="shared" si="33"/>
        <v>Urée, Europe, Base Carbone</v>
      </c>
      <c r="D277" s="1051">
        <f t="shared" si="34"/>
        <v>61</v>
      </c>
      <c r="E277" s="1051" t="str">
        <f>IF(COUNTIF(E$216:E276,F277)&gt;0,"",F277)</f>
        <v>Urée, Europe, Base Carbone</v>
      </c>
      <c r="F277" s="1051" t="str">
        <f t="shared" si="35"/>
        <v>Urée, Europe, Base Carbone</v>
      </c>
      <c r="G277" s="1055" t="str">
        <f t="shared" si="36"/>
        <v>Urée, Europe, Base Carbone; kgCO2e/tonne de N</v>
      </c>
      <c r="I277" s="1100" t="s">
        <v>2083</v>
      </c>
      <c r="J277" s="1048" t="s">
        <v>2085</v>
      </c>
      <c r="K277" s="1119" t="s">
        <v>1567</v>
      </c>
      <c r="L277" s="1048" t="s">
        <v>1568</v>
      </c>
      <c r="M277" s="1033">
        <v>0.3</v>
      </c>
      <c r="N277" s="1048" t="s">
        <v>1990</v>
      </c>
      <c r="O277" s="1048">
        <v>3690</v>
      </c>
      <c r="P277" s="1048">
        <v>3450</v>
      </c>
      <c r="Q277" s="1048">
        <v>240</v>
      </c>
      <c r="R277" s="1048">
        <v>0</v>
      </c>
      <c r="S277" s="1048">
        <v>2.65</v>
      </c>
      <c r="T277" s="1048">
        <v>0</v>
      </c>
      <c r="U277" s="1102">
        <v>0</v>
      </c>
    </row>
    <row r="278" spans="2:21" hidden="1" outlineLevel="2">
      <c r="B278" s="1050">
        <v>62</v>
      </c>
      <c r="C278" s="1050" t="str">
        <f t="shared" si="33"/>
        <v>Vernis Acrylique, Monde, Base Carbone</v>
      </c>
      <c r="D278" s="1051">
        <f t="shared" si="34"/>
        <v>62</v>
      </c>
      <c r="E278" s="1051" t="str">
        <f>IF(COUNTIF(E$216:E277,F278)&gt;0,"",F278)</f>
        <v>Vernis Acrylique, Monde, Base Carbone</v>
      </c>
      <c r="F278" s="1051" t="str">
        <f t="shared" si="35"/>
        <v>Vernis Acrylique, Monde, Base Carbone</v>
      </c>
      <c r="G278" s="1055" t="str">
        <f t="shared" si="36"/>
        <v>Vernis Acrylique, Monde, Base Carbone; kgCO2e/kg</v>
      </c>
      <c r="I278" s="1100" t="s">
        <v>2084</v>
      </c>
      <c r="J278" s="1048" t="s">
        <v>1572</v>
      </c>
      <c r="K278" s="1119" t="s">
        <v>1567</v>
      </c>
      <c r="L278" s="1048" t="s">
        <v>2089</v>
      </c>
      <c r="M278" s="1033">
        <v>0.5</v>
      </c>
      <c r="N278" s="1048" t="s">
        <v>1990</v>
      </c>
      <c r="O278" s="1048">
        <v>1.51</v>
      </c>
      <c r="P278" s="1048">
        <v>1.37</v>
      </c>
      <c r="Q278" s="1048">
        <v>0.109</v>
      </c>
      <c r="R278" s="1048">
        <v>0</v>
      </c>
      <c r="S278" s="1048">
        <v>3.49E-2</v>
      </c>
      <c r="T278" s="1048">
        <v>1.1600000000000001E-5</v>
      </c>
      <c r="U278" s="1102">
        <v>-9.0799999999999995E-4</v>
      </c>
    </row>
    <row r="279" spans="2:21" hidden="1" outlineLevel="2">
      <c r="B279" s="1050">
        <v>63</v>
      </c>
      <c r="C279" s="1050" t="str">
        <f t="shared" si="33"/>
        <v>-</v>
      </c>
      <c r="D279" s="1051">
        <f t="shared" si="34"/>
        <v>62</v>
      </c>
      <c r="E279" s="1051" t="str">
        <f>IF(COUNTIF(E$216:E278,F279)&gt;0,"",F279)</f>
        <v/>
      </c>
      <c r="F279" s="1051" t="str">
        <f t="shared" si="35"/>
        <v/>
      </c>
      <c r="G279" s="1055" t="str">
        <f t="shared" si="36"/>
        <v/>
      </c>
      <c r="I279" s="1100"/>
      <c r="J279" s="1048"/>
      <c r="K279" s="1048"/>
      <c r="L279" s="1048"/>
      <c r="M279" s="1048"/>
      <c r="N279" s="1048"/>
      <c r="O279" s="1048"/>
      <c r="P279" s="1048"/>
      <c r="Q279" s="1048"/>
      <c r="R279" s="1048"/>
      <c r="S279" s="1048"/>
      <c r="T279" s="1048"/>
      <c r="U279" s="1102"/>
    </row>
    <row r="280" spans="2:21" hidden="1" outlineLevel="2">
      <c r="B280" s="1050">
        <v>64</v>
      </c>
      <c r="C280" s="1050" t="str">
        <f t="shared" si="33"/>
        <v>-</v>
      </c>
      <c r="D280" s="1051">
        <f t="shared" si="34"/>
        <v>62</v>
      </c>
      <c r="E280" s="1051" t="str">
        <f>IF(COUNTIF(E$216:E279,F280)&gt;0,"",F280)</f>
        <v/>
      </c>
      <c r="F280" s="1051" t="str">
        <f t="shared" si="35"/>
        <v/>
      </c>
      <c r="G280" s="1055" t="str">
        <f t="shared" si="36"/>
        <v/>
      </c>
      <c r="I280" s="1100"/>
      <c r="J280" s="1048"/>
      <c r="K280" s="1048"/>
      <c r="L280" s="1048"/>
      <c r="M280" s="1048"/>
      <c r="N280" s="1048"/>
      <c r="O280" s="1048"/>
      <c r="P280" s="1048"/>
      <c r="Q280" s="1048"/>
      <c r="R280" s="1048"/>
      <c r="S280" s="1048"/>
      <c r="T280" s="1048"/>
      <c r="U280" s="1102"/>
    </row>
    <row r="281" spans="2:21" hidden="1" outlineLevel="2">
      <c r="B281" s="1050">
        <v>65</v>
      </c>
      <c r="C281" s="1050" t="str">
        <f t="shared" si="33"/>
        <v>-</v>
      </c>
      <c r="D281" s="1051">
        <f t="shared" si="34"/>
        <v>62</v>
      </c>
      <c r="E281" s="1051" t="str">
        <f>IF(COUNTIF(E$216:E280,F281)&gt;0,"",F281)</f>
        <v/>
      </c>
      <c r="F281" s="1051" t="str">
        <f t="shared" si="35"/>
        <v/>
      </c>
      <c r="G281" s="1055" t="str">
        <f t="shared" si="36"/>
        <v/>
      </c>
      <c r="I281" s="1100"/>
      <c r="J281" s="1048"/>
      <c r="K281" s="1048"/>
      <c r="L281" s="1048"/>
      <c r="M281" s="1048"/>
      <c r="N281" s="1048"/>
      <c r="O281" s="1048"/>
      <c r="P281" s="1048"/>
      <c r="Q281" s="1048"/>
      <c r="R281" s="1048"/>
      <c r="S281" s="1048"/>
      <c r="T281" s="1048"/>
      <c r="U281" s="1102"/>
    </row>
    <row r="282" spans="2:21" hidden="1" outlineLevel="2">
      <c r="B282" s="1050">
        <v>66</v>
      </c>
      <c r="C282" s="1050" t="str">
        <f t="shared" ref="C282:C286" si="37">IF(ISNA(VLOOKUP(B282,$D$216:$E$286,2,FALSE)),"-",VLOOKUP(B282,$D$216:$E$286,2,FALSE))</f>
        <v>-</v>
      </c>
      <c r="D282" s="1051">
        <f t="shared" ref="D282:D286" si="38">D281+IF(LEN(E282)&gt;0,1,0)</f>
        <v>62</v>
      </c>
      <c r="E282" s="1051" t="str">
        <f>IF(COUNTIF(E$216:E281,F282)&gt;0,"",F282)</f>
        <v/>
      </c>
      <c r="F282" s="1051" t="str">
        <f t="shared" ref="F282:F286" si="39">IF(I282&lt;&gt;"",I282&amp;IF(N282&lt;&gt;""," "&amp;N282,)&amp;IF(L282&lt;&gt;"",", "&amp;L282,"")&amp;IF(K282&lt;&gt;"",", "&amp;K282,""),"")</f>
        <v/>
      </c>
      <c r="G282" s="1055" t="str">
        <f t="shared" ref="G282:G286" si="40">IF(F282&lt;&gt;"",F282&amp;IF(J282&lt;&gt;"","; "&amp;J282,""),"")</f>
        <v/>
      </c>
      <c r="I282" s="1100"/>
      <c r="J282" s="1048"/>
      <c r="K282" s="1048"/>
      <c r="L282" s="1048"/>
      <c r="M282" s="1048"/>
      <c r="N282" s="1048"/>
      <c r="O282" s="1048"/>
      <c r="P282" s="1048"/>
      <c r="Q282" s="1048"/>
      <c r="R282" s="1048"/>
      <c r="S282" s="1048"/>
      <c r="T282" s="1048"/>
      <c r="U282" s="1102"/>
    </row>
    <row r="283" spans="2:21" hidden="1" outlineLevel="2">
      <c r="B283" s="1050">
        <v>67</v>
      </c>
      <c r="C283" s="1050" t="str">
        <f t="shared" si="37"/>
        <v>-</v>
      </c>
      <c r="D283" s="1051">
        <f t="shared" si="38"/>
        <v>62</v>
      </c>
      <c r="E283" s="1051" t="str">
        <f>IF(COUNTIF(E$216:E282,F283)&gt;0,"",F283)</f>
        <v/>
      </c>
      <c r="F283" s="1051" t="str">
        <f t="shared" si="39"/>
        <v/>
      </c>
      <c r="G283" s="1055" t="str">
        <f t="shared" si="40"/>
        <v/>
      </c>
      <c r="I283" s="1100"/>
      <c r="J283" s="1048"/>
      <c r="K283" s="1048"/>
      <c r="L283" s="1048"/>
      <c r="M283" s="1048"/>
      <c r="N283" s="1048"/>
      <c r="O283" s="1048"/>
      <c r="P283" s="1048"/>
      <c r="Q283" s="1048"/>
      <c r="R283" s="1048"/>
      <c r="S283" s="1048"/>
      <c r="T283" s="1048"/>
      <c r="U283" s="1102"/>
    </row>
    <row r="284" spans="2:21" hidden="1" outlineLevel="2">
      <c r="B284" s="1050">
        <v>68</v>
      </c>
      <c r="C284" s="1050" t="str">
        <f t="shared" si="37"/>
        <v>-</v>
      </c>
      <c r="D284" s="1051">
        <f t="shared" si="38"/>
        <v>62</v>
      </c>
      <c r="E284" s="1051" t="str">
        <f>IF(COUNTIF(E$216:E283,F284)&gt;0,"",F284)</f>
        <v/>
      </c>
      <c r="F284" s="1051" t="str">
        <f t="shared" si="39"/>
        <v/>
      </c>
      <c r="G284" s="1055" t="str">
        <f t="shared" si="40"/>
        <v/>
      </c>
      <c r="I284" s="1100"/>
      <c r="J284" s="1048"/>
      <c r="K284" s="1048"/>
      <c r="L284" s="1048"/>
      <c r="M284" s="1048"/>
      <c r="N284" s="1048"/>
      <c r="O284" s="1048"/>
      <c r="P284" s="1048"/>
      <c r="Q284" s="1048"/>
      <c r="R284" s="1048"/>
      <c r="S284" s="1048"/>
      <c r="T284" s="1048"/>
      <c r="U284" s="1102"/>
    </row>
    <row r="285" spans="2:21" hidden="1" outlineLevel="2">
      <c r="B285" s="1050">
        <v>69</v>
      </c>
      <c r="C285" s="1050" t="str">
        <f t="shared" si="37"/>
        <v>-</v>
      </c>
      <c r="D285" s="1051">
        <f t="shared" si="38"/>
        <v>62</v>
      </c>
      <c r="E285" s="1051" t="str">
        <f>IF(COUNTIF(E$216:E284,F285)&gt;0,"",F285)</f>
        <v/>
      </c>
      <c r="F285" s="1051" t="str">
        <f t="shared" si="39"/>
        <v/>
      </c>
      <c r="G285" s="1055" t="str">
        <f t="shared" si="40"/>
        <v/>
      </c>
      <c r="I285" s="1100"/>
      <c r="J285" s="1048"/>
      <c r="K285" s="1048"/>
      <c r="L285" s="1048"/>
      <c r="M285" s="1048"/>
      <c r="N285" s="1048"/>
      <c r="O285" s="1048"/>
      <c r="P285" s="1048"/>
      <c r="Q285" s="1048"/>
      <c r="R285" s="1048"/>
      <c r="S285" s="1048"/>
      <c r="T285" s="1048"/>
      <c r="U285" s="1102"/>
    </row>
    <row r="286" spans="2:21" ht="13.2" hidden="1" outlineLevel="2">
      <c r="B286" s="1050">
        <v>70</v>
      </c>
      <c r="C286" s="1050" t="str">
        <f t="shared" si="37"/>
        <v>-</v>
      </c>
      <c r="D286" s="1051">
        <f t="shared" si="38"/>
        <v>62</v>
      </c>
      <c r="E286" s="1051" t="str">
        <f>IF(COUNTIF(E$216:E285,F286)&gt;0,"",F286)</f>
        <v/>
      </c>
      <c r="F286" s="1051" t="str">
        <f t="shared" si="39"/>
        <v/>
      </c>
      <c r="G286" s="1055" t="str">
        <f t="shared" si="40"/>
        <v/>
      </c>
      <c r="I286" s="2196"/>
      <c r="J286" s="2197"/>
      <c r="K286" s="2197"/>
      <c r="L286" s="2197"/>
      <c r="M286" s="2197"/>
      <c r="N286" s="2197"/>
      <c r="O286" s="2197"/>
      <c r="P286" s="2197"/>
      <c r="Q286" s="2197"/>
      <c r="R286" s="2197"/>
      <c r="S286" s="2197"/>
      <c r="T286" s="2197"/>
      <c r="U286" s="2198"/>
    </row>
    <row r="287" spans="2:21" ht="13.2" hidden="1" outlineLevel="1">
      <c r="F287" s="1045"/>
      <c r="G287" s="1135"/>
      <c r="I287" s="1746"/>
      <c r="J287" s="1742"/>
      <c r="K287" s="1742"/>
      <c r="L287" s="1742"/>
      <c r="M287" s="1742"/>
      <c r="N287" s="1742"/>
      <c r="O287" s="1742"/>
      <c r="P287" s="1742"/>
      <c r="Q287" s="1742"/>
      <c r="R287" s="1742"/>
      <c r="S287" s="1742"/>
      <c r="T287" s="1742"/>
      <c r="U287" s="2063"/>
    </row>
    <row r="288" spans="2:21" ht="13.2" hidden="1" outlineLevel="1" collapsed="1">
      <c r="B288" s="3156" t="s">
        <v>4083</v>
      </c>
      <c r="C288" s="3156"/>
      <c r="D288" s="1051">
        <v>0</v>
      </c>
      <c r="E288" s="1051"/>
      <c r="F288" s="1051"/>
      <c r="G288" s="1055"/>
      <c r="I288" s="1746"/>
      <c r="J288" s="1742"/>
      <c r="K288" s="1742"/>
      <c r="L288" s="1742"/>
      <c r="M288" s="1742"/>
      <c r="N288" s="1742"/>
      <c r="O288" s="1742"/>
      <c r="P288" s="1742"/>
      <c r="Q288" s="1742"/>
      <c r="R288" s="1742"/>
      <c r="S288" s="1742"/>
      <c r="T288" s="1742"/>
      <c r="U288" s="2063"/>
    </row>
    <row r="289" spans="2:21" hidden="1" outlineLevel="2">
      <c r="B289" s="2309">
        <v>1</v>
      </c>
      <c r="C289" s="2109" t="str">
        <f>IF(ISNA(VLOOKUP(B289,$D$288:$E$303,2,FALSE)),"-",VLOOKUP(B289,$D$288:$E$303,2,FALSE))</f>
        <v>Compression d'hydrogène à 200 bars France continentale, Base Carbone</v>
      </c>
      <c r="D289" s="1051">
        <f>D288+IF(LEN(E289)&gt;0,1,0)</f>
        <v>1</v>
      </c>
      <c r="E289" s="1051" t="str">
        <f>IF(COUNTIF(E$288:E288,F289)&gt;0,"",F289)</f>
        <v>Compression d'hydrogène à 200 bars France continentale, Base Carbone</v>
      </c>
      <c r="F289" s="1051" t="str">
        <f>IF(I289&lt;&gt;"",I289&amp;IF(L289&lt;&gt;""," "&amp;L289,)&amp;IF(K289&lt;&gt;"",", "&amp;K289,""),"")</f>
        <v>Compression d'hydrogène à 200 bars France continentale, Base Carbone</v>
      </c>
      <c r="G289" s="1055" t="str">
        <f t="shared" ref="G289" si="41">IF(F289&lt;&gt;"",F289&amp;IF(J289&lt;&gt;"","; "&amp;J289,""),"")</f>
        <v>Compression d'hydrogène à 200 bars France continentale, Base Carbone; kgCO2e/kgH2</v>
      </c>
      <c r="I289" s="2018" t="s">
        <v>4084</v>
      </c>
      <c r="J289" s="1135" t="s">
        <v>4085</v>
      </c>
      <c r="K289" s="1135" t="s">
        <v>1567</v>
      </c>
      <c r="L289" s="1135" t="s">
        <v>1571</v>
      </c>
      <c r="M289" s="2062">
        <v>0.3</v>
      </c>
      <c r="N289" s="1135" t="s">
        <v>411</v>
      </c>
      <c r="O289" s="1135">
        <v>0.1</v>
      </c>
      <c r="P289" s="2017">
        <v>0.1</v>
      </c>
      <c r="Q289" s="2017">
        <v>0</v>
      </c>
      <c r="R289" s="2017">
        <v>0</v>
      </c>
      <c r="S289" s="2017">
        <v>0</v>
      </c>
      <c r="T289" s="2017">
        <v>0</v>
      </c>
      <c r="U289" s="2042">
        <v>0</v>
      </c>
    </row>
    <row r="290" spans="2:21" hidden="1" outlineLevel="2">
      <c r="B290" s="2341">
        <v>2</v>
      </c>
      <c r="C290" s="2109" t="str">
        <f t="shared" ref="C290:C303" si="42">IF(ISNA(VLOOKUP(B290,$D$288:$E$303,2,FALSE)),"-",VLOOKUP(B290,$D$288:$E$303,2,FALSE))</f>
        <v>Hydrogène produit sur site - électrolyse mix EnR France continentale, Base Carbone</v>
      </c>
      <c r="D290" s="1051">
        <f t="shared" ref="D290:D303" si="43">D289+IF(LEN(E290)&gt;0,1,0)</f>
        <v>2</v>
      </c>
      <c r="E290" s="1051" t="str">
        <f>IF(COUNTIF(E$288:E289,F290)&gt;0,"",F290)</f>
        <v>Hydrogène produit sur site - électrolyse mix EnR France continentale, Base Carbone</v>
      </c>
      <c r="F290" s="1051" t="str">
        <f t="shared" ref="F290:F303" si="44">IF(I290&lt;&gt;"",I290&amp;IF(L290&lt;&gt;""," "&amp;L290,)&amp;IF(K290&lt;&gt;"",", "&amp;K290,""),"")</f>
        <v>Hydrogène produit sur site - électrolyse mix EnR France continentale, Base Carbone</v>
      </c>
      <c r="G290" s="1055" t="str">
        <f t="shared" ref="G290:G303" si="45">IF(F290&lt;&gt;"",F290&amp;IF(J290&lt;&gt;"","; "&amp;J290,""),"")</f>
        <v>Hydrogène produit sur site - électrolyse mix EnR France continentale, Base Carbone; kgCO2e/kgH2</v>
      </c>
      <c r="I290" s="2018" t="s">
        <v>4741</v>
      </c>
      <c r="J290" s="1135" t="s">
        <v>4085</v>
      </c>
      <c r="K290" s="1135" t="s">
        <v>1567</v>
      </c>
      <c r="L290" s="1135" t="s">
        <v>1571</v>
      </c>
      <c r="M290" s="2062">
        <v>0.3</v>
      </c>
      <c r="N290" s="1135" t="s">
        <v>411</v>
      </c>
      <c r="O290" s="1135">
        <v>1.59</v>
      </c>
      <c r="P290" s="2017">
        <v>1.59</v>
      </c>
      <c r="Q290" s="2017">
        <v>0</v>
      </c>
      <c r="R290" s="2017">
        <v>0</v>
      </c>
      <c r="S290" s="2017">
        <v>0</v>
      </c>
      <c r="T290" s="2017">
        <v>0</v>
      </c>
      <c r="U290" s="2042">
        <v>0</v>
      </c>
    </row>
    <row r="291" spans="2:21" hidden="1" outlineLevel="2">
      <c r="B291" s="2341">
        <v>3</v>
      </c>
      <c r="C291" s="2109" t="str">
        <f t="shared" si="42"/>
        <v>Hydrogène produit sur site - électrolyse mix France France continentale, Base Carbone</v>
      </c>
      <c r="D291" s="1051">
        <f t="shared" si="43"/>
        <v>3</v>
      </c>
      <c r="E291" s="1051" t="str">
        <f>IF(COUNTIF(E$288:E290,F291)&gt;0,"",F291)</f>
        <v>Hydrogène produit sur site - électrolyse mix France France continentale, Base Carbone</v>
      </c>
      <c r="F291" s="1051" t="str">
        <f t="shared" si="44"/>
        <v>Hydrogène produit sur site - électrolyse mix France France continentale, Base Carbone</v>
      </c>
      <c r="G291" s="1055" t="str">
        <f t="shared" si="45"/>
        <v>Hydrogène produit sur site - électrolyse mix France France continentale, Base Carbone; kgCO2e/kgH2</v>
      </c>
      <c r="I291" s="2018" t="s">
        <v>4742</v>
      </c>
      <c r="J291" s="1135" t="s">
        <v>4085</v>
      </c>
      <c r="K291" s="1135" t="s">
        <v>1567</v>
      </c>
      <c r="L291" s="1135" t="s">
        <v>1571</v>
      </c>
      <c r="M291" s="2062">
        <v>0.3</v>
      </c>
      <c r="N291" s="1135" t="s">
        <v>411</v>
      </c>
      <c r="O291" s="1135">
        <v>2.77</v>
      </c>
      <c r="P291" s="2017">
        <v>2.77</v>
      </c>
      <c r="Q291" s="2017">
        <v>0</v>
      </c>
      <c r="R291" s="2017">
        <v>0</v>
      </c>
      <c r="S291" s="2017">
        <v>0</v>
      </c>
      <c r="T291" s="2017">
        <v>0</v>
      </c>
      <c r="U291" s="2042">
        <v>0</v>
      </c>
    </row>
    <row r="292" spans="2:21" hidden="1" outlineLevel="2">
      <c r="B292" s="2341">
        <v>4</v>
      </c>
      <c r="C292" s="2109" t="str">
        <f t="shared" si="42"/>
        <v>Hydrogène produit sur site - électrolyse source éolien France continentale, Base Carbone</v>
      </c>
      <c r="D292" s="1051">
        <f t="shared" si="43"/>
        <v>4</v>
      </c>
      <c r="E292" s="1051" t="str">
        <f>IF(COUNTIF(E$288:E291,F292)&gt;0,"",F292)</f>
        <v>Hydrogène produit sur site - électrolyse source éolien France continentale, Base Carbone</v>
      </c>
      <c r="F292" s="1051" t="str">
        <f t="shared" si="44"/>
        <v>Hydrogène produit sur site - électrolyse source éolien France continentale, Base Carbone</v>
      </c>
      <c r="G292" s="1055" t="str">
        <f t="shared" si="45"/>
        <v>Hydrogène produit sur site - électrolyse source éolien France continentale, Base Carbone; kgCO2e/kgH3</v>
      </c>
      <c r="I292" s="2018" t="s">
        <v>4743</v>
      </c>
      <c r="J292" s="1135" t="s">
        <v>4746</v>
      </c>
      <c r="K292" s="1135" t="s">
        <v>1567</v>
      </c>
      <c r="L292" s="1135" t="s">
        <v>1571</v>
      </c>
      <c r="M292" s="2062">
        <v>0.3</v>
      </c>
      <c r="N292" s="1135" t="s">
        <v>411</v>
      </c>
      <c r="O292" s="1135">
        <v>0.7</v>
      </c>
      <c r="P292" s="2017">
        <v>0.7</v>
      </c>
      <c r="Q292" s="2017">
        <v>0</v>
      </c>
      <c r="R292" s="2017">
        <v>0</v>
      </c>
      <c r="S292" s="2017">
        <v>0</v>
      </c>
      <c r="T292" s="2017">
        <v>0</v>
      </c>
      <c r="U292" s="2042">
        <v>0</v>
      </c>
    </row>
    <row r="293" spans="2:21" hidden="1" outlineLevel="2">
      <c r="B293" s="2341">
        <v>5</v>
      </c>
      <c r="C293" s="2109" t="str">
        <f t="shared" si="42"/>
        <v>Hydrogène produit sur site - électrolyse source hydraulique France continentale, Base Carbone</v>
      </c>
      <c r="D293" s="1051">
        <f t="shared" si="43"/>
        <v>5</v>
      </c>
      <c r="E293" s="1051" t="str">
        <f>IF(COUNTIF(E$288:E292,F293)&gt;0,"",F293)</f>
        <v>Hydrogène produit sur site - électrolyse source hydraulique France continentale, Base Carbone</v>
      </c>
      <c r="F293" s="1051" t="str">
        <f t="shared" si="44"/>
        <v>Hydrogène produit sur site - électrolyse source hydraulique France continentale, Base Carbone</v>
      </c>
      <c r="G293" s="1055" t="str">
        <f t="shared" si="45"/>
        <v>Hydrogène produit sur site - électrolyse source hydraulique France continentale, Base Carbone; kgCO2e/kgH4</v>
      </c>
      <c r="I293" s="2018" t="s">
        <v>4744</v>
      </c>
      <c r="J293" s="1135" t="s">
        <v>4747</v>
      </c>
      <c r="K293" s="1135" t="s">
        <v>1567</v>
      </c>
      <c r="L293" s="1135" t="s">
        <v>1571</v>
      </c>
      <c r="M293" s="2062">
        <v>0.3</v>
      </c>
      <c r="N293" s="1135" t="s">
        <v>411</v>
      </c>
      <c r="O293" s="1135">
        <v>0.45</v>
      </c>
      <c r="P293" s="2017">
        <v>0.45</v>
      </c>
      <c r="Q293" s="2017">
        <v>0</v>
      </c>
      <c r="R293" s="2017">
        <v>0</v>
      </c>
      <c r="S293" s="2017">
        <v>0</v>
      </c>
      <c r="T293" s="2017">
        <v>0</v>
      </c>
      <c r="U293" s="2042">
        <v>0</v>
      </c>
    </row>
    <row r="294" spans="2:21" hidden="1" outlineLevel="2">
      <c r="B294" s="2341">
        <v>6</v>
      </c>
      <c r="C294" s="2109" t="str">
        <f t="shared" si="42"/>
        <v>Hydrogène produit sur site - électrolyse source phtovoltaïque France continentale, Base Carbone</v>
      </c>
      <c r="D294" s="1051">
        <f t="shared" si="43"/>
        <v>6</v>
      </c>
      <c r="E294" s="1051" t="str">
        <f>IF(COUNTIF(E$288:E293,F294)&gt;0,"",F294)</f>
        <v>Hydrogène produit sur site - électrolyse source phtovoltaïque France continentale, Base Carbone</v>
      </c>
      <c r="F294" s="1051" t="str">
        <f t="shared" si="44"/>
        <v>Hydrogène produit sur site - électrolyse source phtovoltaïque France continentale, Base Carbone</v>
      </c>
      <c r="G294" s="1055" t="str">
        <f t="shared" si="45"/>
        <v>Hydrogène produit sur site - électrolyse source phtovoltaïque France continentale, Base Carbone; kgCO2e/kgH5</v>
      </c>
      <c r="I294" s="2018" t="s">
        <v>4745</v>
      </c>
      <c r="J294" s="1135" t="s">
        <v>4748</v>
      </c>
      <c r="K294" s="1135" t="s">
        <v>1567</v>
      </c>
      <c r="L294" s="1135" t="s">
        <v>1571</v>
      </c>
      <c r="M294" s="2062">
        <v>0.3</v>
      </c>
      <c r="N294" s="1135" t="s">
        <v>411</v>
      </c>
      <c r="O294" s="1135">
        <v>2.58</v>
      </c>
      <c r="P294" s="2017">
        <v>2.58</v>
      </c>
      <c r="Q294" s="2017">
        <v>0</v>
      </c>
      <c r="R294" s="2017">
        <v>0</v>
      </c>
      <c r="S294" s="2017">
        <v>0</v>
      </c>
      <c r="T294" s="2017">
        <v>0</v>
      </c>
      <c r="U294" s="2042">
        <v>0</v>
      </c>
    </row>
    <row r="295" spans="2:21" hidden="1" outlineLevel="2">
      <c r="B295" s="2341">
        <v>7</v>
      </c>
      <c r="C295" s="2109" t="str">
        <f t="shared" si="42"/>
        <v>Hydrogène produit sur site - électrolyse UE Europe, Base Carbone</v>
      </c>
      <c r="D295" s="1051">
        <f t="shared" si="43"/>
        <v>7</v>
      </c>
      <c r="E295" s="1051" t="str">
        <f>IF(COUNTIF(E$288:E294,F295)&gt;0,"",F295)</f>
        <v>Hydrogène produit sur site - électrolyse UE Europe, Base Carbone</v>
      </c>
      <c r="F295" s="1051" t="str">
        <f t="shared" si="44"/>
        <v>Hydrogène produit sur site - électrolyse UE Europe, Base Carbone</v>
      </c>
      <c r="G295" s="1055" t="str">
        <f t="shared" si="45"/>
        <v>Hydrogène produit sur site - électrolyse UE Europe, Base Carbone; kgCO2e/kgH2</v>
      </c>
      <c r="I295" s="2018" t="s">
        <v>4086</v>
      </c>
      <c r="J295" s="1135" t="s">
        <v>4085</v>
      </c>
      <c r="K295" s="1135" t="s">
        <v>1567</v>
      </c>
      <c r="L295" s="1135" t="s">
        <v>1568</v>
      </c>
      <c r="M295" s="2062">
        <v>0.3</v>
      </c>
      <c r="N295" s="1135" t="s">
        <v>411</v>
      </c>
      <c r="O295" s="1135">
        <v>19.8</v>
      </c>
      <c r="P295" s="2017">
        <v>19.8</v>
      </c>
      <c r="Q295" s="2017">
        <v>0</v>
      </c>
      <c r="R295" s="2017">
        <v>0</v>
      </c>
      <c r="S295" s="2017">
        <v>0</v>
      </c>
      <c r="T295" s="2017">
        <v>0</v>
      </c>
      <c r="U295" s="2042">
        <v>0</v>
      </c>
    </row>
    <row r="296" spans="2:21" hidden="1" outlineLevel="2">
      <c r="B296" s="2341">
        <v>8</v>
      </c>
      <c r="C296" s="2109" t="str">
        <f t="shared" si="42"/>
        <v>Hydrogène produit sur site - vaporeformage de biométhane France continentale, Base Carbone</v>
      </c>
      <c r="D296" s="1051">
        <f t="shared" si="43"/>
        <v>8</v>
      </c>
      <c r="E296" s="1051" t="str">
        <f>IF(COUNTIF(E$288:E295,F296)&gt;0,"",F296)</f>
        <v>Hydrogène produit sur site - vaporeformage de biométhane France continentale, Base Carbone</v>
      </c>
      <c r="F296" s="1051" t="str">
        <f t="shared" si="44"/>
        <v>Hydrogène produit sur site - vaporeformage de biométhane France continentale, Base Carbone</v>
      </c>
      <c r="G296" s="1055" t="str">
        <f t="shared" si="45"/>
        <v>Hydrogène produit sur site - vaporeformage de biométhane France continentale, Base Carbone; kgCO2e/kgH2</v>
      </c>
      <c r="I296" s="2018" t="s">
        <v>4087</v>
      </c>
      <c r="J296" s="1135" t="s">
        <v>4085</v>
      </c>
      <c r="K296" s="1135" t="s">
        <v>1567</v>
      </c>
      <c r="L296" s="1135" t="s">
        <v>1571</v>
      </c>
      <c r="M296" s="2062">
        <v>0.3</v>
      </c>
      <c r="N296" s="1135" t="s">
        <v>411</v>
      </c>
      <c r="O296" s="1135">
        <v>2.13</v>
      </c>
      <c r="P296" s="2017">
        <v>2.13</v>
      </c>
      <c r="Q296" s="2017">
        <v>0</v>
      </c>
      <c r="R296" s="2017">
        <v>0</v>
      </c>
      <c r="S296" s="2017">
        <v>0</v>
      </c>
      <c r="T296" s="2017">
        <v>0</v>
      </c>
      <c r="U296" s="2042">
        <v>0</v>
      </c>
    </row>
    <row r="297" spans="2:21" hidden="1" outlineLevel="2">
      <c r="B297" s="2341">
        <v>9</v>
      </c>
      <c r="C297" s="2109" t="str">
        <f t="shared" si="42"/>
        <v>Hydrogène produit sur site - vaporeformage de gaz naturel France continentale, Base Carbone</v>
      </c>
      <c r="D297" s="1051">
        <f t="shared" si="43"/>
        <v>9</v>
      </c>
      <c r="E297" s="1051" t="str">
        <f>IF(COUNTIF(E$288:E296,F297)&gt;0,"",F297)</f>
        <v>Hydrogène produit sur site - vaporeformage de gaz naturel France continentale, Base Carbone</v>
      </c>
      <c r="F297" s="1051" t="str">
        <f t="shared" si="44"/>
        <v>Hydrogène produit sur site - vaporeformage de gaz naturel France continentale, Base Carbone</v>
      </c>
      <c r="G297" s="1055" t="str">
        <f t="shared" si="45"/>
        <v>Hydrogène produit sur site - vaporeformage de gaz naturel France continentale, Base Carbone; kgCO2e/kgH2</v>
      </c>
      <c r="I297" s="2018" t="s">
        <v>4088</v>
      </c>
      <c r="J297" s="1135" t="s">
        <v>4085</v>
      </c>
      <c r="K297" s="1135" t="s">
        <v>1567</v>
      </c>
      <c r="L297" s="1135" t="s">
        <v>1571</v>
      </c>
      <c r="M297" s="2062">
        <v>0.3</v>
      </c>
      <c r="N297" s="1135" t="s">
        <v>411</v>
      </c>
      <c r="O297" s="1135">
        <v>11.1</v>
      </c>
      <c r="P297" s="2017">
        <v>11.1</v>
      </c>
      <c r="Q297" s="2017">
        <v>0</v>
      </c>
      <c r="R297" s="2017">
        <v>0</v>
      </c>
      <c r="S297" s="2017">
        <v>0</v>
      </c>
      <c r="T297" s="2017">
        <v>0</v>
      </c>
      <c r="U297" s="2042">
        <v>0</v>
      </c>
    </row>
    <row r="298" spans="2:21" hidden="1" outlineLevel="2">
      <c r="B298" s="2341">
        <v>10</v>
      </c>
      <c r="C298" s="2109" t="str">
        <f t="shared" si="42"/>
        <v>Transport d'hydrogène à 200 bars France continentale, Base Carbone</v>
      </c>
      <c r="D298" s="1051">
        <f t="shared" si="43"/>
        <v>10</v>
      </c>
      <c r="E298" s="1051" t="str">
        <f>IF(COUNTIF(E$288:E297,F298)&gt;0,"",F298)</f>
        <v>Transport d'hydrogène à 200 bars France continentale, Base Carbone</v>
      </c>
      <c r="F298" s="1051" t="str">
        <f t="shared" si="44"/>
        <v>Transport d'hydrogène à 200 bars France continentale, Base Carbone</v>
      </c>
      <c r="G298" s="1055" t="str">
        <f t="shared" si="45"/>
        <v>Transport d'hydrogène à 200 bars France continentale, Base Carbone; kgCO2e/kgH2/100km</v>
      </c>
      <c r="I298" s="2018" t="s">
        <v>4089</v>
      </c>
      <c r="J298" s="1135" t="s">
        <v>4096</v>
      </c>
      <c r="K298" s="1135" t="s">
        <v>1567</v>
      </c>
      <c r="L298" s="1135" t="s">
        <v>1571</v>
      </c>
      <c r="M298" s="2062">
        <v>0.3</v>
      </c>
      <c r="N298" s="1135" t="s">
        <v>411</v>
      </c>
      <c r="O298" s="1135">
        <v>1.1200000000000001</v>
      </c>
      <c r="P298" s="2017">
        <v>1.1200000000000001</v>
      </c>
      <c r="Q298" s="2017">
        <v>0</v>
      </c>
      <c r="R298" s="2017">
        <v>0</v>
      </c>
      <c r="S298" s="2017">
        <v>0</v>
      </c>
      <c r="T298" s="2017">
        <v>0</v>
      </c>
      <c r="U298" s="2042">
        <v>0</v>
      </c>
    </row>
    <row r="299" spans="2:21" hidden="1" outlineLevel="2">
      <c r="B299" s="2341">
        <v>11</v>
      </c>
      <c r="C299" s="2109" t="str">
        <f t="shared" si="42"/>
        <v>-</v>
      </c>
      <c r="D299" s="1051">
        <f t="shared" si="43"/>
        <v>10</v>
      </c>
      <c r="E299" s="1051" t="str">
        <f>IF(COUNTIF(E$288:E298,F299)&gt;0,"",F299)</f>
        <v/>
      </c>
      <c r="F299" s="1051" t="str">
        <f t="shared" si="44"/>
        <v/>
      </c>
      <c r="G299" s="1055" t="str">
        <f t="shared" si="45"/>
        <v/>
      </c>
      <c r="I299" s="1100"/>
      <c r="J299" s="1048"/>
      <c r="K299" s="1048"/>
      <c r="L299" s="1048"/>
      <c r="M299" s="2310"/>
      <c r="N299" s="1048"/>
      <c r="O299" s="1048"/>
      <c r="P299" s="1048"/>
      <c r="Q299" s="1048"/>
      <c r="R299" s="1048"/>
      <c r="S299" s="1048"/>
      <c r="T299" s="1048"/>
      <c r="U299" s="1102"/>
    </row>
    <row r="300" spans="2:21" hidden="1" outlineLevel="2">
      <c r="B300" s="2341">
        <v>12</v>
      </c>
      <c r="C300" s="2109" t="str">
        <f t="shared" si="42"/>
        <v>-</v>
      </c>
      <c r="D300" s="1051">
        <f t="shared" si="43"/>
        <v>10</v>
      </c>
      <c r="E300" s="1051" t="str">
        <f>IF(COUNTIF(E$288:E299,F300)&gt;0,"",F300)</f>
        <v/>
      </c>
      <c r="F300" s="1051" t="str">
        <f t="shared" si="44"/>
        <v/>
      </c>
      <c r="G300" s="1055" t="str">
        <f t="shared" si="45"/>
        <v/>
      </c>
      <c r="I300" s="1100"/>
      <c r="J300" s="1048"/>
      <c r="K300" s="1048"/>
      <c r="L300" s="1048"/>
      <c r="M300" s="2310"/>
      <c r="N300" s="1048"/>
      <c r="O300" s="1048"/>
      <c r="P300" s="1048"/>
      <c r="Q300" s="1048"/>
      <c r="R300" s="1048"/>
      <c r="S300" s="1048"/>
      <c r="T300" s="1048"/>
      <c r="U300" s="1102"/>
    </row>
    <row r="301" spans="2:21" hidden="1" outlineLevel="2">
      <c r="B301" s="2341">
        <v>13</v>
      </c>
      <c r="C301" s="2109" t="str">
        <f t="shared" si="42"/>
        <v>-</v>
      </c>
      <c r="D301" s="1051">
        <f t="shared" si="43"/>
        <v>10</v>
      </c>
      <c r="E301" s="1051" t="str">
        <f>IF(COUNTIF(E$288:E300,F301)&gt;0,"",F301)</f>
        <v/>
      </c>
      <c r="F301" s="1051" t="str">
        <f t="shared" si="44"/>
        <v/>
      </c>
      <c r="G301" s="1055" t="str">
        <f t="shared" si="45"/>
        <v/>
      </c>
      <c r="I301" s="1100"/>
      <c r="J301" s="1048"/>
      <c r="K301" s="1048"/>
      <c r="L301" s="1048"/>
      <c r="M301" s="2310"/>
      <c r="N301" s="1048"/>
      <c r="O301" s="1048"/>
      <c r="P301" s="1048"/>
      <c r="Q301" s="1048"/>
      <c r="R301" s="1048"/>
      <c r="S301" s="1048"/>
      <c r="T301" s="1048"/>
      <c r="U301" s="1102"/>
    </row>
    <row r="302" spans="2:21" hidden="1" outlineLevel="2">
      <c r="B302" s="2341">
        <v>14</v>
      </c>
      <c r="C302" s="2109" t="str">
        <f t="shared" si="42"/>
        <v>-</v>
      </c>
      <c r="D302" s="1051">
        <f t="shared" si="43"/>
        <v>10</v>
      </c>
      <c r="E302" s="1051" t="str">
        <f>IF(COUNTIF(E$288:E301,F302)&gt;0,"",F302)</f>
        <v/>
      </c>
      <c r="F302" s="1051" t="str">
        <f t="shared" si="44"/>
        <v/>
      </c>
      <c r="G302" s="1055" t="str">
        <f t="shared" si="45"/>
        <v/>
      </c>
      <c r="I302" s="1100"/>
      <c r="J302" s="1048"/>
      <c r="K302" s="1048"/>
      <c r="L302" s="1048"/>
      <c r="M302" s="2310"/>
      <c r="N302" s="1048"/>
      <c r="O302" s="1048"/>
      <c r="P302" s="1048"/>
      <c r="Q302" s="1048"/>
      <c r="R302" s="1048"/>
      <c r="S302" s="1048"/>
      <c r="T302" s="1048"/>
      <c r="U302" s="1102"/>
    </row>
    <row r="303" spans="2:21" hidden="1" outlineLevel="2">
      <c r="B303" s="2341">
        <v>15</v>
      </c>
      <c r="C303" s="2109" t="str">
        <f t="shared" si="42"/>
        <v>-</v>
      </c>
      <c r="D303" s="1051">
        <f t="shared" si="43"/>
        <v>10</v>
      </c>
      <c r="E303" s="1051" t="str">
        <f>IF(COUNTIF(E$288:E302,F303)&gt;0,"",F303)</f>
        <v/>
      </c>
      <c r="F303" s="1051" t="str">
        <f t="shared" si="44"/>
        <v/>
      </c>
      <c r="G303" s="1055" t="str">
        <f t="shared" si="45"/>
        <v/>
      </c>
      <c r="I303" s="1100"/>
      <c r="J303" s="1048"/>
      <c r="K303" s="1048"/>
      <c r="L303" s="1048"/>
      <c r="M303" s="2310"/>
      <c r="N303" s="1048"/>
      <c r="O303" s="1048"/>
      <c r="P303" s="1048"/>
      <c r="Q303" s="1048"/>
      <c r="R303" s="1048"/>
      <c r="S303" s="1048"/>
      <c r="T303" s="1048"/>
      <c r="U303" s="1102"/>
    </row>
    <row r="304" spans="2:21" ht="13.2" hidden="1" outlineLevel="1">
      <c r="I304" s="1746"/>
      <c r="J304" s="1742"/>
      <c r="K304" s="1742"/>
      <c r="L304" s="1742"/>
      <c r="M304" s="1742"/>
      <c r="N304" s="1742"/>
      <c r="O304" s="1742"/>
      <c r="P304" s="1742"/>
      <c r="Q304" s="1742"/>
      <c r="R304" s="1742"/>
      <c r="S304" s="1742"/>
      <c r="T304" s="1742"/>
      <c r="U304" s="2063"/>
    </row>
    <row r="305" spans="2:21" ht="13.2" hidden="1" outlineLevel="1" collapsed="1">
      <c r="B305" s="3156" t="s">
        <v>4090</v>
      </c>
      <c r="C305" s="3156"/>
      <c r="D305" s="1051">
        <v>0</v>
      </c>
      <c r="E305" s="1051"/>
      <c r="F305" s="1051"/>
      <c r="G305" s="1055"/>
      <c r="I305" s="1746"/>
      <c r="J305" s="1742"/>
      <c r="K305" s="1742"/>
      <c r="L305" s="1742"/>
      <c r="M305" s="1742"/>
      <c r="N305" s="1742"/>
      <c r="O305" s="1742"/>
      <c r="P305" s="1742"/>
      <c r="Q305" s="1742"/>
      <c r="R305" s="1742"/>
      <c r="S305" s="1742"/>
      <c r="T305" s="1742"/>
      <c r="U305" s="2063"/>
    </row>
    <row r="306" spans="2:21" hidden="1" outlineLevel="2">
      <c r="B306" s="2309">
        <v>1</v>
      </c>
      <c r="C306" s="2109" t="str">
        <f>IF(ISNA(VLOOKUP(B306,$D$305:$E$339,2,FALSE)),"-",VLOOKUP(B306,$D$305:$E$339,2,FALSE))</f>
        <v>Hydrogène station - électrolyse mix EnR - transport exclus, France continentale, Base Carbone</v>
      </c>
      <c r="D306" s="1051">
        <f>D305+IF(LEN(E306)&gt;0,1,0)</f>
        <v>1</v>
      </c>
      <c r="E306" s="1051" t="str">
        <f>IF(COUNTIF(E$305:E305,F306)&gt;0,"",F306)</f>
        <v>Hydrogène station - électrolyse mix EnR - transport exclus, France continentale, Base Carbone</v>
      </c>
      <c r="F306" s="1051" t="str">
        <f>IF(I306&lt;&gt;"",I306&amp;IF(L306&lt;&gt;"",", "&amp;L306,"")&amp;IF(K306&lt;&gt;"",", "&amp;K306,""),"")</f>
        <v>Hydrogène station - électrolyse mix EnR - transport exclus, France continentale, Base Carbone</v>
      </c>
      <c r="G306" s="1055" t="str">
        <f>IF(F306&lt;&gt;"",F306&amp;IF(J306&lt;&gt;"","; "&amp;J306&amp;IF(N306&lt;&gt;"",", "&amp;N306,),""),"")</f>
        <v>Hydrogène station - électrolyse mix EnR - transport exclus, France continentale, Base Carbone; kgCO2e/kgH2, amont (production)</v>
      </c>
      <c r="I306" s="2018" t="s">
        <v>4749</v>
      </c>
      <c r="J306" s="1045" t="s">
        <v>4085</v>
      </c>
      <c r="K306" s="1045" t="s">
        <v>1567</v>
      </c>
      <c r="L306" s="1045" t="s">
        <v>1571</v>
      </c>
      <c r="M306" s="2215">
        <v>0.3</v>
      </c>
      <c r="N306" s="1045" t="s">
        <v>4091</v>
      </c>
      <c r="O306" s="1045">
        <v>1.69</v>
      </c>
      <c r="P306" s="2060">
        <v>1.69</v>
      </c>
      <c r="Q306" s="2060">
        <v>0</v>
      </c>
      <c r="R306" s="2060">
        <v>0</v>
      </c>
      <c r="S306" s="2060">
        <v>0</v>
      </c>
      <c r="T306" s="2060">
        <v>0</v>
      </c>
      <c r="U306" s="2042">
        <v>0</v>
      </c>
    </row>
    <row r="307" spans="2:21" hidden="1" outlineLevel="2">
      <c r="B307" s="2341">
        <v>2</v>
      </c>
      <c r="C307" s="2109" t="str">
        <f t="shared" ref="C307:C331" si="46">IF(ISNA(VLOOKUP(B307,$D$305:$E$339,2,FALSE)),"-",VLOOKUP(B307,$D$305:$E$339,2,FALSE))</f>
        <v>Hydrogène station - électrolyse mix France - transport exclus, France continentale, Base Carbone</v>
      </c>
      <c r="D307" s="1051">
        <f t="shared" ref="D307:D338" si="47">D306+IF(LEN(E307)&gt;0,1,0)</f>
        <v>1</v>
      </c>
      <c r="E307" s="1051" t="str">
        <f>IF(COUNTIF(E$305:E306,F307)&gt;0,"",F307)</f>
        <v/>
      </c>
      <c r="F307" s="1051" t="str">
        <f t="shared" ref="F307:F338" si="48">IF(I307&lt;&gt;"",I307&amp;IF(L307&lt;&gt;"",", "&amp;L307,"")&amp;IF(K307&lt;&gt;"",", "&amp;K307,""),"")</f>
        <v>Hydrogène station - électrolyse mix EnR - transport exclus, France continentale, Base Carbone</v>
      </c>
      <c r="G307" s="1055" t="str">
        <f t="shared" ref="G307:G338" si="49">IF(F307&lt;&gt;"",F307&amp;IF(J307&lt;&gt;"","; "&amp;J307&amp;IF(N307&lt;&gt;"",", "&amp;N307,),""),"")</f>
        <v>Hydrogène station - électrolyse mix EnR - transport exclus, France continentale, Base Carbone; kgCO2e/kgH2, amont (compression et station)</v>
      </c>
      <c r="I307" s="2018" t="s">
        <v>4749</v>
      </c>
      <c r="J307" s="1045" t="s">
        <v>4085</v>
      </c>
      <c r="K307" s="1045" t="s">
        <v>1567</v>
      </c>
      <c r="L307" s="1045" t="s">
        <v>1571</v>
      </c>
      <c r="M307" s="2215">
        <v>0.3</v>
      </c>
      <c r="N307" s="1045" t="s">
        <v>4092</v>
      </c>
      <c r="O307" s="1045">
        <v>0.24</v>
      </c>
      <c r="P307" s="2060">
        <v>0.24</v>
      </c>
      <c r="Q307" s="2060">
        <v>0</v>
      </c>
      <c r="R307" s="2060">
        <v>0</v>
      </c>
      <c r="S307" s="2060">
        <v>0</v>
      </c>
      <c r="T307" s="2060">
        <v>0</v>
      </c>
      <c r="U307" s="2042">
        <v>0</v>
      </c>
    </row>
    <row r="308" spans="2:21" hidden="1" outlineLevel="2">
      <c r="B308" s="2341">
        <v>3</v>
      </c>
      <c r="C308" s="2109" t="str">
        <f t="shared" si="46"/>
        <v>Hydrogène station - électrolyse source éolien - transport exclus, France continentale, Base Carbone</v>
      </c>
      <c r="D308" s="1051">
        <f t="shared" si="47"/>
        <v>1</v>
      </c>
      <c r="E308" s="1051" t="str">
        <f>IF(COUNTIF(E$305:E307,F308)&gt;0,"",F308)</f>
        <v/>
      </c>
      <c r="F308" s="1051" t="str">
        <f t="shared" si="48"/>
        <v>Hydrogène station - électrolyse mix EnR - transport exclus, France continentale, Base Carbone</v>
      </c>
      <c r="G308" s="1055" t="str">
        <f t="shared" si="49"/>
        <v>Hydrogène station - électrolyse mix EnR - transport exclus, France continentale, Base Carbone; kgCO2e/kgH2, combustion</v>
      </c>
      <c r="I308" s="2018" t="s">
        <v>4749</v>
      </c>
      <c r="J308" s="1045" t="s">
        <v>4085</v>
      </c>
      <c r="K308" s="1045" t="s">
        <v>1567</v>
      </c>
      <c r="L308" s="1045" t="s">
        <v>1571</v>
      </c>
      <c r="M308" s="2215">
        <v>0.3</v>
      </c>
      <c r="N308" s="1045" t="s">
        <v>257</v>
      </c>
      <c r="O308" s="1045">
        <v>0</v>
      </c>
      <c r="P308" s="2060">
        <v>0</v>
      </c>
      <c r="Q308" s="2060">
        <v>0</v>
      </c>
      <c r="R308" s="2060">
        <v>0</v>
      </c>
      <c r="S308" s="2060">
        <v>0</v>
      </c>
      <c r="T308" s="2060">
        <v>0</v>
      </c>
      <c r="U308" s="2042">
        <v>0</v>
      </c>
    </row>
    <row r="309" spans="2:21" hidden="1" outlineLevel="2">
      <c r="B309" s="2341">
        <v>4</v>
      </c>
      <c r="C309" s="2109" t="str">
        <f t="shared" si="46"/>
        <v>Hydrogène station - électrolyse source hydraulique - transport exclus, France continentale, Base Carbone</v>
      </c>
      <c r="D309" s="1051">
        <f t="shared" si="47"/>
        <v>2</v>
      </c>
      <c r="E309" s="1051" t="str">
        <f>IF(COUNTIF(E$305:E308,F309)&gt;0,"",F309)</f>
        <v>Hydrogène station - électrolyse mix France - transport exclus, France continentale, Base Carbone</v>
      </c>
      <c r="F309" s="1051" t="str">
        <f t="shared" si="48"/>
        <v>Hydrogène station - électrolyse mix France - transport exclus, France continentale, Base Carbone</v>
      </c>
      <c r="G309" s="1055" t="str">
        <f t="shared" si="49"/>
        <v>Hydrogène station - électrolyse mix France - transport exclus, France continentale, Base Carbone; kgCO2e/kgH2, amont (production)</v>
      </c>
      <c r="I309" s="2018" t="s">
        <v>4750</v>
      </c>
      <c r="J309" s="1045" t="s">
        <v>4085</v>
      </c>
      <c r="K309" s="1045" t="s">
        <v>1567</v>
      </c>
      <c r="L309" s="1045" t="s">
        <v>1571</v>
      </c>
      <c r="M309" s="2215">
        <v>0.3</v>
      </c>
      <c r="N309" s="1045" t="s">
        <v>4091</v>
      </c>
      <c r="O309" s="1045">
        <v>2.93</v>
      </c>
      <c r="P309" s="2060">
        <v>2.93</v>
      </c>
      <c r="Q309" s="2060">
        <v>0</v>
      </c>
      <c r="R309" s="2060">
        <v>0</v>
      </c>
      <c r="S309" s="2060">
        <v>0</v>
      </c>
      <c r="T309" s="2060">
        <v>0</v>
      </c>
      <c r="U309" s="2042">
        <v>0</v>
      </c>
    </row>
    <row r="310" spans="2:21" hidden="1" outlineLevel="2">
      <c r="B310" s="2341">
        <v>5</v>
      </c>
      <c r="C310" s="2109" t="str">
        <f t="shared" si="46"/>
        <v>Hydrogène station - électrolyse source photovoltaïque - transport exclus, France continentale, Base Carbone</v>
      </c>
      <c r="D310" s="1051">
        <f t="shared" si="47"/>
        <v>2</v>
      </c>
      <c r="E310" s="1051" t="str">
        <f>IF(COUNTIF(E$305:E309,F310)&gt;0,"",F310)</f>
        <v/>
      </c>
      <c r="F310" s="1051" t="str">
        <f t="shared" si="48"/>
        <v>Hydrogène station - électrolyse mix France - transport exclus, France continentale, Base Carbone</v>
      </c>
      <c r="G310" s="1055" t="str">
        <f t="shared" si="49"/>
        <v>Hydrogène station - électrolyse mix France - transport exclus, France continentale, Base Carbone; kgCO2e/kgH2, amont (compression et station)</v>
      </c>
      <c r="I310" s="2018" t="s">
        <v>4750</v>
      </c>
      <c r="J310" s="1045" t="s">
        <v>4085</v>
      </c>
      <c r="K310" s="1045" t="s">
        <v>1567</v>
      </c>
      <c r="L310" s="1045" t="s">
        <v>1571</v>
      </c>
      <c r="M310" s="2215">
        <v>0.3</v>
      </c>
      <c r="N310" s="1045" t="s">
        <v>4092</v>
      </c>
      <c r="O310" s="1045">
        <v>0.39</v>
      </c>
      <c r="P310" s="2060">
        <v>0.39</v>
      </c>
      <c r="Q310" s="2060">
        <v>0</v>
      </c>
      <c r="R310" s="2060">
        <v>0</v>
      </c>
      <c r="S310" s="2060">
        <v>0</v>
      </c>
      <c r="T310" s="2060">
        <v>0</v>
      </c>
      <c r="U310" s="2042">
        <v>0</v>
      </c>
    </row>
    <row r="311" spans="2:21" hidden="1" outlineLevel="2">
      <c r="B311" s="2341">
        <v>6</v>
      </c>
      <c r="C311" s="2109" t="str">
        <f t="shared" si="46"/>
        <v>Hydrogène station - électrolyse UE - transport exclus, France continentale, Base Carbone</v>
      </c>
      <c r="D311" s="1051">
        <f t="shared" si="47"/>
        <v>2</v>
      </c>
      <c r="E311" s="1051" t="str">
        <f>IF(COUNTIF(E$305:E310,F311)&gt;0,"",F311)</f>
        <v/>
      </c>
      <c r="F311" s="1051" t="str">
        <f t="shared" si="48"/>
        <v>Hydrogène station - électrolyse mix France - transport exclus, France continentale, Base Carbone</v>
      </c>
      <c r="G311" s="1055" t="str">
        <f t="shared" si="49"/>
        <v>Hydrogène station - électrolyse mix France - transport exclus, France continentale, Base Carbone; kgCO2e/kgH2, combustion</v>
      </c>
      <c r="I311" s="2018" t="s">
        <v>4750</v>
      </c>
      <c r="J311" s="1045" t="s">
        <v>4085</v>
      </c>
      <c r="K311" s="1045" t="s">
        <v>1567</v>
      </c>
      <c r="L311" s="1045" t="s">
        <v>1571</v>
      </c>
      <c r="M311" s="2215">
        <v>0.3</v>
      </c>
      <c r="N311" s="1045" t="s">
        <v>257</v>
      </c>
      <c r="O311" s="1045">
        <v>0</v>
      </c>
      <c r="P311" s="2060">
        <v>0</v>
      </c>
      <c r="Q311" s="2060">
        <v>0</v>
      </c>
      <c r="R311" s="2060">
        <v>0</v>
      </c>
      <c r="S311" s="2060">
        <v>0</v>
      </c>
      <c r="T311" s="2060">
        <v>0</v>
      </c>
      <c r="U311" s="2042">
        <v>0</v>
      </c>
    </row>
    <row r="312" spans="2:21" hidden="1" outlineLevel="2">
      <c r="B312" s="2341">
        <v>7</v>
      </c>
      <c r="C312" s="2109" t="str">
        <f t="shared" si="46"/>
        <v>Hydrogène station - vaporeformage de biométhane - transport exclus, France continentale, Base Carbone</v>
      </c>
      <c r="D312" s="1051">
        <f t="shared" si="47"/>
        <v>3</v>
      </c>
      <c r="E312" s="1051" t="str">
        <f>IF(COUNTIF(E$305:E311,F312)&gt;0,"",F312)</f>
        <v>Hydrogène station - électrolyse source éolien - transport exclus, France continentale, Base Carbone</v>
      </c>
      <c r="F312" s="1051" t="str">
        <f t="shared" si="48"/>
        <v>Hydrogène station - électrolyse source éolien - transport exclus, France continentale, Base Carbone</v>
      </c>
      <c r="G312" s="1055" t="str">
        <f t="shared" si="49"/>
        <v>Hydrogène station - électrolyse source éolien - transport exclus, France continentale, Base Carbone; kgCO2e/kgH2, amont (production)</v>
      </c>
      <c r="I312" s="2018" t="s">
        <v>4751</v>
      </c>
      <c r="J312" s="1045" t="s">
        <v>4085</v>
      </c>
      <c r="K312" s="1045" t="s">
        <v>1567</v>
      </c>
      <c r="L312" s="1045" t="s">
        <v>1571</v>
      </c>
      <c r="M312" s="2215">
        <v>0.3</v>
      </c>
      <c r="N312" s="1135" t="s">
        <v>4091</v>
      </c>
      <c r="O312" s="1045">
        <v>0.74</v>
      </c>
      <c r="P312" s="2060">
        <v>0.74</v>
      </c>
      <c r="Q312" s="2060">
        <v>0</v>
      </c>
      <c r="R312" s="2060">
        <v>0</v>
      </c>
      <c r="S312" s="2060">
        <v>0</v>
      </c>
      <c r="T312" s="2060">
        <v>0</v>
      </c>
      <c r="U312" s="2042">
        <v>0</v>
      </c>
    </row>
    <row r="313" spans="2:21" hidden="1" outlineLevel="2">
      <c r="B313" s="2341">
        <v>8</v>
      </c>
      <c r="C313" s="2109" t="str">
        <f t="shared" si="46"/>
        <v>Hydrogène station - vaporeformage de gaz naturel - transport exclus, France continentale, Base Carbone</v>
      </c>
      <c r="D313" s="1051">
        <f t="shared" si="47"/>
        <v>3</v>
      </c>
      <c r="E313" s="1051" t="str">
        <f>IF(COUNTIF(E$305:E312,F313)&gt;0,"",F313)</f>
        <v/>
      </c>
      <c r="F313" s="1051" t="str">
        <f t="shared" si="48"/>
        <v>Hydrogène station - électrolyse source éolien - transport exclus, France continentale, Base Carbone</v>
      </c>
      <c r="G313" s="1055" t="str">
        <f t="shared" si="49"/>
        <v>Hydrogène station - électrolyse source éolien - transport exclus, France continentale, Base Carbone; kgCO2e/kgH2, amont (compression et station)</v>
      </c>
      <c r="I313" s="2018" t="s">
        <v>4751</v>
      </c>
      <c r="J313" s="1045" t="s">
        <v>4085</v>
      </c>
      <c r="K313" s="1045" t="s">
        <v>1567</v>
      </c>
      <c r="L313" s="1045" t="s">
        <v>1571</v>
      </c>
      <c r="M313" s="2215">
        <v>0.3</v>
      </c>
      <c r="N313" s="1135" t="s">
        <v>4092</v>
      </c>
      <c r="O313" s="1045">
        <v>0.21</v>
      </c>
      <c r="P313" s="2060">
        <v>0.21</v>
      </c>
      <c r="Q313" s="2060">
        <v>0</v>
      </c>
      <c r="R313" s="2060">
        <v>0</v>
      </c>
      <c r="S313" s="2060">
        <v>0</v>
      </c>
      <c r="T313" s="2060">
        <v>0</v>
      </c>
      <c r="U313" s="2042">
        <v>0</v>
      </c>
    </row>
    <row r="314" spans="2:21" hidden="1" outlineLevel="2">
      <c r="B314" s="2341">
        <v>9</v>
      </c>
      <c r="C314" s="2109" t="str">
        <f t="shared" si="46"/>
        <v>Transport d'hydrogène à 200 bars, France continentale, Base Carbone</v>
      </c>
      <c r="D314" s="1051">
        <f t="shared" si="47"/>
        <v>3</v>
      </c>
      <c r="E314" s="1051" t="str">
        <f>IF(COUNTIF(E$305:E313,F314)&gt;0,"",F314)</f>
        <v/>
      </c>
      <c r="F314" s="1051" t="str">
        <f t="shared" si="48"/>
        <v>Hydrogène station - électrolyse source éolien - transport exclus, France continentale, Base Carbone</v>
      </c>
      <c r="G314" s="1055" t="str">
        <f t="shared" si="49"/>
        <v>Hydrogène station - électrolyse source éolien - transport exclus, France continentale, Base Carbone; kgCO2e/kgH2, combustion</v>
      </c>
      <c r="I314" s="2018" t="s">
        <v>4751</v>
      </c>
      <c r="J314" s="1045" t="s">
        <v>4085</v>
      </c>
      <c r="K314" s="1045" t="s">
        <v>1567</v>
      </c>
      <c r="L314" s="1045" t="s">
        <v>1571</v>
      </c>
      <c r="M314" s="2215">
        <v>0.3</v>
      </c>
      <c r="N314" s="1135" t="s">
        <v>257</v>
      </c>
      <c r="O314" s="1045">
        <v>0</v>
      </c>
      <c r="P314" s="2060">
        <v>0</v>
      </c>
      <c r="Q314" s="2060">
        <v>0</v>
      </c>
      <c r="R314" s="2060">
        <v>0</v>
      </c>
      <c r="S314" s="2060">
        <v>0</v>
      </c>
      <c r="T314" s="2060">
        <v>0</v>
      </c>
      <c r="U314" s="2042">
        <v>0</v>
      </c>
    </row>
    <row r="315" spans="2:21" hidden="1" outlineLevel="2">
      <c r="B315" s="2341">
        <v>10</v>
      </c>
      <c r="C315" s="2109" t="str">
        <f t="shared" si="46"/>
        <v>-</v>
      </c>
      <c r="D315" s="1051">
        <f t="shared" si="47"/>
        <v>4</v>
      </c>
      <c r="E315" s="1051" t="str">
        <f>IF(COUNTIF(E$305:E314,F315)&gt;0,"",F315)</f>
        <v>Hydrogène station - électrolyse source hydraulique - transport exclus, France continentale, Base Carbone</v>
      </c>
      <c r="F315" s="1051" t="str">
        <f t="shared" si="48"/>
        <v>Hydrogène station - électrolyse source hydraulique - transport exclus, France continentale, Base Carbone</v>
      </c>
      <c r="G315" s="1055" t="str">
        <f t="shared" si="49"/>
        <v>Hydrogène station - électrolyse source hydraulique - transport exclus, France continentale, Base Carbone; kgCO2e/kgH2, amont (production)</v>
      </c>
      <c r="I315" s="2018" t="s">
        <v>4752</v>
      </c>
      <c r="J315" s="1045" t="s">
        <v>4085</v>
      </c>
      <c r="K315" s="1045" t="s">
        <v>1567</v>
      </c>
      <c r="L315" s="1045" t="s">
        <v>1571</v>
      </c>
      <c r="M315" s="2215">
        <v>0.3</v>
      </c>
      <c r="N315" s="1135" t="s">
        <v>4091</v>
      </c>
      <c r="O315" s="1045">
        <v>0.48</v>
      </c>
      <c r="P315" s="2060">
        <v>0.48</v>
      </c>
      <c r="Q315" s="2060">
        <v>0</v>
      </c>
      <c r="R315" s="2060">
        <v>0</v>
      </c>
      <c r="S315" s="2060">
        <v>0</v>
      </c>
      <c r="T315" s="2060">
        <v>0</v>
      </c>
      <c r="U315" s="2042">
        <v>0</v>
      </c>
    </row>
    <row r="316" spans="2:21" hidden="1" outlineLevel="2">
      <c r="B316" s="2341">
        <v>11</v>
      </c>
      <c r="C316" s="2109" t="str">
        <f t="shared" si="46"/>
        <v>-</v>
      </c>
      <c r="D316" s="1051">
        <f t="shared" si="47"/>
        <v>4</v>
      </c>
      <c r="E316" s="1051" t="str">
        <f>IF(COUNTIF(E$305:E315,F316)&gt;0,"",F316)</f>
        <v/>
      </c>
      <c r="F316" s="1051" t="str">
        <f t="shared" si="48"/>
        <v>Hydrogène station - électrolyse source hydraulique - transport exclus, France continentale, Base Carbone</v>
      </c>
      <c r="G316" s="1055" t="str">
        <f t="shared" si="49"/>
        <v>Hydrogène station - électrolyse source hydraulique - transport exclus, France continentale, Base Carbone; kgCO2e/kgH2, amont (compression et station)</v>
      </c>
      <c r="I316" s="2018" t="s">
        <v>4752</v>
      </c>
      <c r="J316" s="1045" t="s">
        <v>4085</v>
      </c>
      <c r="K316" s="1045" t="s">
        <v>1567</v>
      </c>
      <c r="L316" s="1045" t="s">
        <v>1571</v>
      </c>
      <c r="M316" s="2215">
        <v>0.3</v>
      </c>
      <c r="N316" s="1135" t="s">
        <v>4092</v>
      </c>
      <c r="O316" s="1045">
        <v>0.11</v>
      </c>
      <c r="P316" s="2060">
        <v>0.11</v>
      </c>
      <c r="Q316" s="2060">
        <v>0</v>
      </c>
      <c r="R316" s="2060">
        <v>0</v>
      </c>
      <c r="S316" s="2060">
        <v>0</v>
      </c>
      <c r="T316" s="2060">
        <v>0</v>
      </c>
      <c r="U316" s="2042">
        <v>0</v>
      </c>
    </row>
    <row r="317" spans="2:21" hidden="1" outlineLevel="2">
      <c r="B317" s="2341">
        <v>12</v>
      </c>
      <c r="C317" s="2109" t="str">
        <f t="shared" si="46"/>
        <v>-</v>
      </c>
      <c r="D317" s="1051">
        <f t="shared" si="47"/>
        <v>4</v>
      </c>
      <c r="E317" s="1051" t="str">
        <f>IF(COUNTIF(E$305:E316,F317)&gt;0,"",F317)</f>
        <v/>
      </c>
      <c r="F317" s="1051" t="str">
        <f t="shared" si="48"/>
        <v>Hydrogène station - électrolyse source hydraulique - transport exclus, France continentale, Base Carbone</v>
      </c>
      <c r="G317" s="1055" t="str">
        <f t="shared" si="49"/>
        <v>Hydrogène station - électrolyse source hydraulique - transport exclus, France continentale, Base Carbone; kgCO2e/kgH2, combustion</v>
      </c>
      <c r="I317" s="2018" t="s">
        <v>4752</v>
      </c>
      <c r="J317" s="1045" t="s">
        <v>4085</v>
      </c>
      <c r="K317" s="1045" t="s">
        <v>1567</v>
      </c>
      <c r="L317" s="1045" t="s">
        <v>1571</v>
      </c>
      <c r="M317" s="2215">
        <v>0.3</v>
      </c>
      <c r="N317" s="1135" t="s">
        <v>257</v>
      </c>
      <c r="O317" s="1045">
        <v>0</v>
      </c>
      <c r="P317" s="2060">
        <v>0</v>
      </c>
      <c r="Q317" s="2060">
        <v>0</v>
      </c>
      <c r="R317" s="2060">
        <v>0</v>
      </c>
      <c r="S317" s="2060">
        <v>0</v>
      </c>
      <c r="T317" s="2060">
        <v>0</v>
      </c>
      <c r="U317" s="2042">
        <v>0</v>
      </c>
    </row>
    <row r="318" spans="2:21" hidden="1" outlineLevel="2">
      <c r="B318" s="2341">
        <v>13</v>
      </c>
      <c r="C318" s="2109" t="str">
        <f t="shared" si="46"/>
        <v>-</v>
      </c>
      <c r="D318" s="1051">
        <f t="shared" si="47"/>
        <v>5</v>
      </c>
      <c r="E318" s="1051" t="str">
        <f>IF(COUNTIF(E$305:E317,F318)&gt;0,"",F318)</f>
        <v>Hydrogène station - électrolyse source photovoltaïque - transport exclus, France continentale, Base Carbone</v>
      </c>
      <c r="F318" s="1051" t="str">
        <f t="shared" si="48"/>
        <v>Hydrogène station - électrolyse source photovoltaïque - transport exclus, France continentale, Base Carbone</v>
      </c>
      <c r="G318" s="1055" t="str">
        <f t="shared" si="49"/>
        <v>Hydrogène station - électrolyse source photovoltaïque - transport exclus, France continentale, Base Carbone; kgCO2e/kgH2, amont (production)</v>
      </c>
      <c r="I318" s="2018" t="s">
        <v>4753</v>
      </c>
      <c r="J318" s="1045" t="s">
        <v>4085</v>
      </c>
      <c r="K318" s="1045" t="s">
        <v>1567</v>
      </c>
      <c r="L318" s="1045" t="s">
        <v>1571</v>
      </c>
      <c r="M318" s="2215">
        <v>0.3</v>
      </c>
      <c r="N318" s="1135" t="s">
        <v>4091</v>
      </c>
      <c r="O318" s="1045">
        <v>2.73</v>
      </c>
      <c r="P318" s="2060">
        <v>2.73</v>
      </c>
      <c r="Q318" s="2060">
        <v>0</v>
      </c>
      <c r="R318" s="2060">
        <v>0</v>
      </c>
      <c r="S318" s="2060">
        <v>0</v>
      </c>
      <c r="T318" s="2060">
        <v>0</v>
      </c>
      <c r="U318" s="2042">
        <v>0</v>
      </c>
    </row>
    <row r="319" spans="2:21" hidden="1" outlineLevel="2">
      <c r="B319" s="2341">
        <v>14</v>
      </c>
      <c r="C319" s="2109" t="str">
        <f t="shared" si="46"/>
        <v>-</v>
      </c>
      <c r="D319" s="1051">
        <f t="shared" si="47"/>
        <v>5</v>
      </c>
      <c r="E319" s="1051" t="str">
        <f>IF(COUNTIF(E$305:E318,F319)&gt;0,"",F319)</f>
        <v/>
      </c>
      <c r="F319" s="1051" t="str">
        <f t="shared" si="48"/>
        <v>Hydrogène station - électrolyse source photovoltaïque - transport exclus, France continentale, Base Carbone</v>
      </c>
      <c r="G319" s="1055" t="str">
        <f t="shared" si="49"/>
        <v>Hydrogène station - électrolyse source photovoltaïque - transport exclus, France continentale, Base Carbone; kgCO2e/kgH2, amont (compression et station)</v>
      </c>
      <c r="I319" s="2018" t="s">
        <v>4753</v>
      </c>
      <c r="J319" s="1045" t="s">
        <v>4085</v>
      </c>
      <c r="K319" s="1045" t="s">
        <v>1567</v>
      </c>
      <c r="L319" s="1045" t="s">
        <v>1571</v>
      </c>
      <c r="M319" s="2215">
        <v>0.3</v>
      </c>
      <c r="N319" s="1135" t="s">
        <v>4092</v>
      </c>
      <c r="O319" s="1045">
        <v>0.49</v>
      </c>
      <c r="P319" s="2060">
        <v>0.49</v>
      </c>
      <c r="Q319" s="2060">
        <v>0</v>
      </c>
      <c r="R319" s="2060">
        <v>0</v>
      </c>
      <c r="S319" s="2060">
        <v>0</v>
      </c>
      <c r="T319" s="2060">
        <v>0</v>
      </c>
      <c r="U319" s="2042">
        <v>0</v>
      </c>
    </row>
    <row r="320" spans="2:21" hidden="1" outlineLevel="2">
      <c r="B320" s="2341">
        <v>15</v>
      </c>
      <c r="C320" s="2109" t="str">
        <f t="shared" si="46"/>
        <v>-</v>
      </c>
      <c r="D320" s="1051">
        <f t="shared" si="47"/>
        <v>5</v>
      </c>
      <c r="E320" s="1051" t="str">
        <f>IF(COUNTIF(E$305:E319,F320)&gt;0,"",F320)</f>
        <v/>
      </c>
      <c r="F320" s="1051" t="str">
        <f t="shared" si="48"/>
        <v>Hydrogène station - électrolyse source photovoltaïque - transport exclus, France continentale, Base Carbone</v>
      </c>
      <c r="G320" s="1055" t="str">
        <f t="shared" si="49"/>
        <v>Hydrogène station - électrolyse source photovoltaïque - transport exclus, France continentale, Base Carbone; kgCO2e/kgH2, combustion</v>
      </c>
      <c r="I320" s="2018" t="s">
        <v>4753</v>
      </c>
      <c r="J320" s="1045" t="s">
        <v>4085</v>
      </c>
      <c r="K320" s="1045" t="s">
        <v>1567</v>
      </c>
      <c r="L320" s="1045" t="s">
        <v>1571</v>
      </c>
      <c r="M320" s="2215">
        <v>0.3</v>
      </c>
      <c r="N320" s="1135" t="s">
        <v>257</v>
      </c>
      <c r="O320" s="1045">
        <v>0</v>
      </c>
      <c r="P320" s="2060">
        <v>0</v>
      </c>
      <c r="Q320" s="2060">
        <v>0</v>
      </c>
      <c r="R320" s="2060">
        <v>0</v>
      </c>
      <c r="S320" s="2060">
        <v>0</v>
      </c>
      <c r="T320" s="2060">
        <v>0</v>
      </c>
      <c r="U320" s="2042">
        <v>0</v>
      </c>
    </row>
    <row r="321" spans="2:21" hidden="1" outlineLevel="2">
      <c r="B321" s="2341">
        <v>16</v>
      </c>
      <c r="C321" s="2109" t="str">
        <f t="shared" si="46"/>
        <v>-</v>
      </c>
      <c r="D321" s="1051">
        <f t="shared" si="47"/>
        <v>6</v>
      </c>
      <c r="E321" s="1051" t="str">
        <f>IF(COUNTIF(E$305:E320,F321)&gt;0,"",F321)</f>
        <v>Hydrogène station - électrolyse UE - transport exclus, France continentale, Base Carbone</v>
      </c>
      <c r="F321" s="1051" t="str">
        <f t="shared" si="48"/>
        <v>Hydrogène station - électrolyse UE - transport exclus, France continentale, Base Carbone</v>
      </c>
      <c r="G321" s="1055" t="str">
        <f t="shared" si="49"/>
        <v>Hydrogène station - électrolyse UE - transport exclus, France continentale, Base Carbone; kgCO2e/kgH2, amont (production)</v>
      </c>
      <c r="I321" s="2018" t="s">
        <v>4093</v>
      </c>
      <c r="J321" s="1045" t="s">
        <v>4085</v>
      </c>
      <c r="K321" s="1045" t="s">
        <v>1567</v>
      </c>
      <c r="L321" s="1045" t="s">
        <v>1571</v>
      </c>
      <c r="M321" s="2215">
        <v>0.3</v>
      </c>
      <c r="N321" s="1045" t="s">
        <v>4091</v>
      </c>
      <c r="O321" s="1045">
        <v>20.9</v>
      </c>
      <c r="P321" s="2060">
        <v>20.9</v>
      </c>
      <c r="Q321" s="2060">
        <v>0</v>
      </c>
      <c r="R321" s="2060">
        <v>0</v>
      </c>
      <c r="S321" s="2060">
        <v>0</v>
      </c>
      <c r="T321" s="2060">
        <v>0</v>
      </c>
      <c r="U321" s="2042">
        <v>0</v>
      </c>
    </row>
    <row r="322" spans="2:21" hidden="1" outlineLevel="2">
      <c r="B322" s="2341">
        <v>17</v>
      </c>
      <c r="C322" s="2109" t="str">
        <f t="shared" si="46"/>
        <v>-</v>
      </c>
      <c r="D322" s="1051">
        <f t="shared" si="47"/>
        <v>6</v>
      </c>
      <c r="E322" s="1051" t="str">
        <f>IF(COUNTIF(E$305:E321,F322)&gt;0,"",F322)</f>
        <v/>
      </c>
      <c r="F322" s="1051" t="str">
        <f t="shared" si="48"/>
        <v>Hydrogène station - électrolyse UE - transport exclus, France continentale, Base Carbone</v>
      </c>
      <c r="G322" s="1055" t="str">
        <f t="shared" si="49"/>
        <v>Hydrogène station - électrolyse UE - transport exclus, France continentale, Base Carbone; kgCO2e/kgH2, amont (compression et station)</v>
      </c>
      <c r="I322" s="2018" t="s">
        <v>4093</v>
      </c>
      <c r="J322" s="1045" t="s">
        <v>4085</v>
      </c>
      <c r="K322" s="1045" t="s">
        <v>1567</v>
      </c>
      <c r="L322" s="1045" t="s">
        <v>1571</v>
      </c>
      <c r="M322" s="2215">
        <v>0.3</v>
      </c>
      <c r="N322" s="1045" t="s">
        <v>4092</v>
      </c>
      <c r="O322" s="1045">
        <v>2.36</v>
      </c>
      <c r="P322" s="2060">
        <v>2.36</v>
      </c>
      <c r="Q322" s="2060">
        <v>0</v>
      </c>
      <c r="R322" s="2060">
        <v>0</v>
      </c>
      <c r="S322" s="2060">
        <v>0</v>
      </c>
      <c r="T322" s="2060">
        <v>0</v>
      </c>
      <c r="U322" s="2042">
        <v>0</v>
      </c>
    </row>
    <row r="323" spans="2:21" hidden="1" outlineLevel="2">
      <c r="B323" s="2341">
        <v>18</v>
      </c>
      <c r="C323" s="2109" t="str">
        <f t="shared" si="46"/>
        <v>-</v>
      </c>
      <c r="D323" s="1051">
        <f t="shared" si="47"/>
        <v>6</v>
      </c>
      <c r="E323" s="1051" t="str">
        <f>IF(COUNTIF(E$305:E322,F323)&gt;0,"",F323)</f>
        <v/>
      </c>
      <c r="F323" s="1051" t="str">
        <f t="shared" si="48"/>
        <v>Hydrogène station - électrolyse UE - transport exclus, France continentale, Base Carbone</v>
      </c>
      <c r="G323" s="1055" t="str">
        <f t="shared" si="49"/>
        <v>Hydrogène station - électrolyse UE - transport exclus, France continentale, Base Carbone; kgCO2e/kgH2, combustion</v>
      </c>
      <c r="I323" s="2018" t="s">
        <v>4093</v>
      </c>
      <c r="J323" s="1045" t="s">
        <v>4085</v>
      </c>
      <c r="K323" s="1045" t="s">
        <v>1567</v>
      </c>
      <c r="L323" s="1045" t="s">
        <v>1571</v>
      </c>
      <c r="M323" s="2215">
        <v>0.3</v>
      </c>
      <c r="N323" s="1045" t="s">
        <v>257</v>
      </c>
      <c r="O323" s="1045">
        <v>0</v>
      </c>
      <c r="P323" s="2060">
        <v>0</v>
      </c>
      <c r="Q323" s="2060">
        <v>0</v>
      </c>
      <c r="R323" s="2060">
        <v>0</v>
      </c>
      <c r="S323" s="2060">
        <v>0</v>
      </c>
      <c r="T323" s="2060">
        <v>0</v>
      </c>
      <c r="U323" s="2042">
        <v>0</v>
      </c>
    </row>
    <row r="324" spans="2:21" hidden="1" outlineLevel="2">
      <c r="B324" s="2341">
        <v>19</v>
      </c>
      <c r="C324" s="2109" t="str">
        <f t="shared" si="46"/>
        <v>-</v>
      </c>
      <c r="D324" s="1051">
        <f t="shared" si="47"/>
        <v>7</v>
      </c>
      <c r="E324" s="1051" t="str">
        <f>IF(COUNTIF(E$305:E323,F324)&gt;0,"",F324)</f>
        <v>Hydrogène station - vaporeformage de biométhane - transport exclus, France continentale, Base Carbone</v>
      </c>
      <c r="F324" s="1051" t="str">
        <f t="shared" si="48"/>
        <v>Hydrogène station - vaporeformage de biométhane - transport exclus, France continentale, Base Carbone</v>
      </c>
      <c r="G324" s="1055" t="str">
        <f t="shared" si="49"/>
        <v>Hydrogène station - vaporeformage de biométhane - transport exclus, France continentale, Base Carbone; kgCO2e/kgH2, amont (production)</v>
      </c>
      <c r="I324" s="2018" t="s">
        <v>4094</v>
      </c>
      <c r="J324" s="1045" t="s">
        <v>4085</v>
      </c>
      <c r="K324" s="1045" t="s">
        <v>1567</v>
      </c>
      <c r="L324" s="1045" t="s">
        <v>1571</v>
      </c>
      <c r="M324" s="2215">
        <v>0.3</v>
      </c>
      <c r="N324" s="1045" t="s">
        <v>4091</v>
      </c>
      <c r="O324" s="1045">
        <v>2.25</v>
      </c>
      <c r="P324" s="2060">
        <v>2.25</v>
      </c>
      <c r="Q324" s="2060">
        <v>0</v>
      </c>
      <c r="R324" s="2060">
        <v>0</v>
      </c>
      <c r="S324" s="2060">
        <v>0</v>
      </c>
      <c r="T324" s="2060">
        <v>0</v>
      </c>
      <c r="U324" s="2042">
        <v>0</v>
      </c>
    </row>
    <row r="325" spans="2:21" hidden="1" outlineLevel="2">
      <c r="B325" s="2341">
        <v>20</v>
      </c>
      <c r="C325" s="2109" t="str">
        <f t="shared" si="46"/>
        <v>-</v>
      </c>
      <c r="D325" s="1051">
        <f t="shared" si="47"/>
        <v>7</v>
      </c>
      <c r="E325" s="1051" t="str">
        <f>IF(COUNTIF(E$305:E324,F325)&gt;0,"",F325)</f>
        <v/>
      </c>
      <c r="F325" s="1051" t="str">
        <f t="shared" si="48"/>
        <v>Hydrogène station - vaporeformage de biométhane - transport exclus, France continentale, Base Carbone</v>
      </c>
      <c r="G325" s="1055" t="str">
        <f t="shared" si="49"/>
        <v>Hydrogène station - vaporeformage de biométhane - transport exclus, France continentale, Base Carbone; kgCO2e/kgH2, amont (compression et station)</v>
      </c>
      <c r="I325" s="2018" t="s">
        <v>4094</v>
      </c>
      <c r="J325" s="1045" t="s">
        <v>4085</v>
      </c>
      <c r="K325" s="1045" t="s">
        <v>1567</v>
      </c>
      <c r="L325" s="1045" t="s">
        <v>1571</v>
      </c>
      <c r="M325" s="2215">
        <v>0.3</v>
      </c>
      <c r="N325" s="1045" t="s">
        <v>4092</v>
      </c>
      <c r="O325" s="1045">
        <v>0.34</v>
      </c>
      <c r="P325" s="2060">
        <v>0.34</v>
      </c>
      <c r="Q325" s="2060">
        <v>0</v>
      </c>
      <c r="R325" s="2060">
        <v>0</v>
      </c>
      <c r="S325" s="2060">
        <v>0</v>
      </c>
      <c r="T325" s="2060">
        <v>0</v>
      </c>
      <c r="U325" s="2042">
        <v>0</v>
      </c>
    </row>
    <row r="326" spans="2:21" hidden="1" outlineLevel="2">
      <c r="B326" s="2341">
        <v>21</v>
      </c>
      <c r="C326" s="2109" t="str">
        <f t="shared" si="46"/>
        <v>-</v>
      </c>
      <c r="D326" s="1051">
        <f t="shared" si="47"/>
        <v>7</v>
      </c>
      <c r="E326" s="1051" t="str">
        <f>IF(COUNTIF(E$305:E325,F326)&gt;0,"",F326)</f>
        <v/>
      </c>
      <c r="F326" s="1051" t="str">
        <f t="shared" si="48"/>
        <v>Hydrogène station - vaporeformage de biométhane - transport exclus, France continentale, Base Carbone</v>
      </c>
      <c r="G326" s="1055" t="str">
        <f t="shared" si="49"/>
        <v>Hydrogène station - vaporeformage de biométhane - transport exclus, France continentale, Base Carbone; kgCO2e/kgH2, combustion</v>
      </c>
      <c r="I326" s="2018" t="s">
        <v>4094</v>
      </c>
      <c r="J326" s="1045" t="s">
        <v>4085</v>
      </c>
      <c r="K326" s="1045" t="s">
        <v>1567</v>
      </c>
      <c r="L326" s="1045" t="s">
        <v>1571</v>
      </c>
      <c r="M326" s="2215">
        <v>0.3</v>
      </c>
      <c r="N326" s="1045" t="s">
        <v>257</v>
      </c>
      <c r="O326" s="1045">
        <v>0</v>
      </c>
      <c r="P326" s="2060">
        <v>0</v>
      </c>
      <c r="Q326" s="2060">
        <v>0</v>
      </c>
      <c r="R326" s="2060">
        <v>0</v>
      </c>
      <c r="S326" s="2060">
        <v>0</v>
      </c>
      <c r="T326" s="2060">
        <v>0</v>
      </c>
      <c r="U326" s="2042">
        <v>0</v>
      </c>
    </row>
    <row r="327" spans="2:21" hidden="1" outlineLevel="2">
      <c r="B327" s="2341">
        <v>22</v>
      </c>
      <c r="C327" s="2109" t="str">
        <f t="shared" si="46"/>
        <v>-</v>
      </c>
      <c r="D327" s="1051">
        <f t="shared" si="47"/>
        <v>8</v>
      </c>
      <c r="E327" s="1051" t="str">
        <f>IF(COUNTIF(E$305:E326,F327)&gt;0,"",F327)</f>
        <v>Hydrogène station - vaporeformage de gaz naturel - transport exclus, France continentale, Base Carbone</v>
      </c>
      <c r="F327" s="1051" t="str">
        <f t="shared" si="48"/>
        <v>Hydrogène station - vaporeformage de gaz naturel - transport exclus, France continentale, Base Carbone</v>
      </c>
      <c r="G327" s="1055" t="str">
        <f t="shared" si="49"/>
        <v>Hydrogène station - vaporeformage de gaz naturel - transport exclus, France continentale, Base Carbone; kgCO2e/kgH2, amont (production)</v>
      </c>
      <c r="I327" s="2018" t="s">
        <v>4095</v>
      </c>
      <c r="J327" s="1045" t="s">
        <v>4085</v>
      </c>
      <c r="K327" s="1045" t="s">
        <v>1567</v>
      </c>
      <c r="L327" s="1045" t="s">
        <v>1571</v>
      </c>
      <c r="M327" s="2215">
        <v>0.3</v>
      </c>
      <c r="N327" s="1045" t="s">
        <v>4091</v>
      </c>
      <c r="O327" s="1045">
        <v>11.8</v>
      </c>
      <c r="P327" s="2060">
        <v>11.8</v>
      </c>
      <c r="Q327" s="2060">
        <v>0</v>
      </c>
      <c r="R327" s="2060">
        <v>0</v>
      </c>
      <c r="S327" s="2060">
        <v>0</v>
      </c>
      <c r="T327" s="2060">
        <v>0</v>
      </c>
      <c r="U327" s="2042">
        <v>0</v>
      </c>
    </row>
    <row r="328" spans="2:21" hidden="1" outlineLevel="2">
      <c r="B328" s="2341">
        <v>23</v>
      </c>
      <c r="C328" s="2109" t="str">
        <f t="shared" si="46"/>
        <v>-</v>
      </c>
      <c r="D328" s="1051">
        <f t="shared" si="47"/>
        <v>8</v>
      </c>
      <c r="E328" s="1051" t="str">
        <f>IF(COUNTIF(E$305:E327,F328)&gt;0,"",F328)</f>
        <v/>
      </c>
      <c r="F328" s="1051" t="str">
        <f t="shared" si="48"/>
        <v>Hydrogène station - vaporeformage de gaz naturel - transport exclus, France continentale, Base Carbone</v>
      </c>
      <c r="G328" s="1055" t="str">
        <f t="shared" si="49"/>
        <v>Hydrogène station - vaporeformage de gaz naturel - transport exclus, France continentale, Base Carbone; kgCO2e/kgH2, amont (compression et station)</v>
      </c>
      <c r="I328" s="2018" t="s">
        <v>4095</v>
      </c>
      <c r="J328" s="1045" t="s">
        <v>4085</v>
      </c>
      <c r="K328" s="1045" t="s">
        <v>1567</v>
      </c>
      <c r="L328" s="1045" t="s">
        <v>1571</v>
      </c>
      <c r="M328" s="2215">
        <v>0.3</v>
      </c>
      <c r="N328" s="1045" t="s">
        <v>4092</v>
      </c>
      <c r="O328" s="1045">
        <v>0.34</v>
      </c>
      <c r="P328" s="2060">
        <v>0.34</v>
      </c>
      <c r="Q328" s="2060">
        <v>0</v>
      </c>
      <c r="R328" s="2060">
        <v>0</v>
      </c>
      <c r="S328" s="2060">
        <v>0</v>
      </c>
      <c r="T328" s="2060">
        <v>0</v>
      </c>
      <c r="U328" s="2042">
        <v>0</v>
      </c>
    </row>
    <row r="329" spans="2:21" hidden="1" outlineLevel="2">
      <c r="B329" s="2341">
        <v>24</v>
      </c>
      <c r="C329" s="2109" t="str">
        <f t="shared" si="46"/>
        <v>-</v>
      </c>
      <c r="D329" s="1051">
        <f t="shared" si="47"/>
        <v>8</v>
      </c>
      <c r="E329" s="1051" t="str">
        <f>IF(COUNTIF(E$305:E328,F329)&gt;0,"",F329)</f>
        <v/>
      </c>
      <c r="F329" s="1051" t="str">
        <f t="shared" si="48"/>
        <v>Hydrogène station - vaporeformage de gaz naturel - transport exclus, France continentale, Base Carbone</v>
      </c>
      <c r="G329" s="1055" t="str">
        <f t="shared" si="49"/>
        <v>Hydrogène station - vaporeformage de gaz naturel - transport exclus, France continentale, Base Carbone; kgCO2e/kgH2, combustion</v>
      </c>
      <c r="I329" s="2018" t="s">
        <v>4095</v>
      </c>
      <c r="J329" s="1045" t="s">
        <v>4085</v>
      </c>
      <c r="K329" s="1045" t="s">
        <v>1567</v>
      </c>
      <c r="L329" s="1045" t="s">
        <v>1571</v>
      </c>
      <c r="M329" s="2215">
        <v>0.3</v>
      </c>
      <c r="N329" s="1045" t="s">
        <v>257</v>
      </c>
      <c r="O329" s="1045">
        <v>0</v>
      </c>
      <c r="P329" s="2060">
        <v>0</v>
      </c>
      <c r="Q329" s="2060">
        <v>0</v>
      </c>
      <c r="R329" s="2060">
        <v>0</v>
      </c>
      <c r="S329" s="2060">
        <v>0</v>
      </c>
      <c r="T329" s="2060">
        <v>0</v>
      </c>
      <c r="U329" s="2042">
        <v>0</v>
      </c>
    </row>
    <row r="330" spans="2:21" hidden="1" outlineLevel="2">
      <c r="B330" s="2341">
        <v>25</v>
      </c>
      <c r="C330" s="2109" t="str">
        <f t="shared" si="46"/>
        <v>-</v>
      </c>
      <c r="D330" s="1051">
        <f t="shared" si="47"/>
        <v>9</v>
      </c>
      <c r="E330" s="1051" t="str">
        <f>IF(COUNTIF(E$305:E329,F330)&gt;0,"",F330)</f>
        <v>Transport d'hydrogène à 200 bars, France continentale, Base Carbone</v>
      </c>
      <c r="F330" s="1051" t="str">
        <f t="shared" si="48"/>
        <v>Transport d'hydrogène à 200 bars, France continentale, Base Carbone</v>
      </c>
      <c r="G330" s="1055" t="str">
        <f t="shared" si="49"/>
        <v>Transport d'hydrogène à 200 bars, France continentale, Base Carbone; kgCO2/kgH2/100km, amont (production)</v>
      </c>
      <c r="I330" s="2018" t="s">
        <v>4089</v>
      </c>
      <c r="J330" s="1045" t="s">
        <v>4097</v>
      </c>
      <c r="K330" s="1045" t="s">
        <v>1567</v>
      </c>
      <c r="L330" s="1045" t="s">
        <v>1571</v>
      </c>
      <c r="M330" s="2215">
        <v>0.3</v>
      </c>
      <c r="N330" s="1045" t="s">
        <v>4091</v>
      </c>
      <c r="O330" s="1045">
        <v>1.1200000000000001</v>
      </c>
      <c r="P330" s="2060">
        <v>1.1200000000000001</v>
      </c>
      <c r="Q330" s="2060">
        <v>0</v>
      </c>
      <c r="R330" s="2060">
        <v>0</v>
      </c>
      <c r="S330" s="2060">
        <v>0</v>
      </c>
      <c r="T330" s="2060">
        <v>0</v>
      </c>
      <c r="U330" s="2042">
        <v>0</v>
      </c>
    </row>
    <row r="331" spans="2:21" hidden="1" outlineLevel="2">
      <c r="B331" s="2341">
        <v>26</v>
      </c>
      <c r="C331" s="2109" t="str">
        <f t="shared" si="46"/>
        <v>-</v>
      </c>
      <c r="D331" s="1051">
        <f t="shared" si="47"/>
        <v>9</v>
      </c>
      <c r="E331" s="1051" t="str">
        <f>IF(COUNTIF(E$305:E330,F331)&gt;0,"",F331)</f>
        <v/>
      </c>
      <c r="F331" s="1051" t="str">
        <f t="shared" si="48"/>
        <v/>
      </c>
      <c r="G331" s="1055" t="str">
        <f t="shared" si="49"/>
        <v/>
      </c>
      <c r="I331" s="1100"/>
      <c r="J331" s="1048"/>
      <c r="K331" s="1048"/>
      <c r="L331" s="1048"/>
      <c r="M331" s="2310"/>
      <c r="N331" s="1048"/>
      <c r="O331" s="1048"/>
      <c r="P331" s="1048"/>
      <c r="Q331" s="1048"/>
      <c r="R331" s="1048"/>
      <c r="S331" s="1048"/>
      <c r="T331" s="1048"/>
      <c r="U331" s="1102"/>
    </row>
    <row r="332" spans="2:21" hidden="1" outlineLevel="2">
      <c r="B332" s="2045"/>
      <c r="C332" s="2313"/>
      <c r="D332" s="1051">
        <f t="shared" si="47"/>
        <v>9</v>
      </c>
      <c r="E332" s="1051" t="str">
        <f>IF(COUNTIF(E$305:E331,F332)&gt;0,"",F332)</f>
        <v/>
      </c>
      <c r="F332" s="1051" t="str">
        <f t="shared" si="48"/>
        <v/>
      </c>
      <c r="G332" s="1055" t="str">
        <f t="shared" si="49"/>
        <v/>
      </c>
      <c r="I332" s="1100"/>
      <c r="J332" s="1048"/>
      <c r="K332" s="1048"/>
      <c r="L332" s="1048"/>
      <c r="M332" s="2310"/>
      <c r="N332" s="1048"/>
      <c r="O332" s="1048"/>
      <c r="P332" s="1048"/>
      <c r="Q332" s="1048"/>
      <c r="R332" s="1048"/>
      <c r="S332" s="1048"/>
      <c r="T332" s="1048"/>
      <c r="U332" s="1102"/>
    </row>
    <row r="333" spans="2:21" hidden="1" outlineLevel="2">
      <c r="B333" s="2045"/>
      <c r="C333" s="2313"/>
      <c r="D333" s="1051">
        <f t="shared" si="47"/>
        <v>9</v>
      </c>
      <c r="E333" s="1051" t="str">
        <f>IF(COUNTIF(E$305:E332,F333)&gt;0,"",F333)</f>
        <v/>
      </c>
      <c r="F333" s="1051" t="str">
        <f t="shared" si="48"/>
        <v/>
      </c>
      <c r="G333" s="1055" t="str">
        <f t="shared" si="49"/>
        <v/>
      </c>
      <c r="I333" s="1100"/>
      <c r="J333" s="1048"/>
      <c r="K333" s="1048"/>
      <c r="L333" s="1048"/>
      <c r="M333" s="2310"/>
      <c r="N333" s="1048"/>
      <c r="O333" s="1048"/>
      <c r="P333" s="1048"/>
      <c r="Q333" s="1048"/>
      <c r="R333" s="1048"/>
      <c r="S333" s="1048"/>
      <c r="T333" s="1048"/>
      <c r="U333" s="1102"/>
    </row>
    <row r="334" spans="2:21" hidden="1" outlineLevel="2">
      <c r="B334" s="2045"/>
      <c r="C334" s="2313"/>
      <c r="D334" s="1051">
        <f t="shared" si="47"/>
        <v>9</v>
      </c>
      <c r="E334" s="1051" t="str">
        <f>IF(COUNTIF(E$305:E333,F334)&gt;0,"",F334)</f>
        <v/>
      </c>
      <c r="F334" s="1051" t="str">
        <f t="shared" si="48"/>
        <v/>
      </c>
      <c r="G334" s="1055" t="str">
        <f t="shared" si="49"/>
        <v/>
      </c>
      <c r="I334" s="1100"/>
      <c r="J334" s="1048"/>
      <c r="K334" s="1048"/>
      <c r="L334" s="1048"/>
      <c r="M334" s="2310"/>
      <c r="N334" s="1048"/>
      <c r="O334" s="1048"/>
      <c r="P334" s="1048"/>
      <c r="Q334" s="1048"/>
      <c r="R334" s="1048"/>
      <c r="S334" s="1048"/>
      <c r="T334" s="1048"/>
      <c r="U334" s="1102"/>
    </row>
    <row r="335" spans="2:21" hidden="1" outlineLevel="2">
      <c r="B335" s="2045"/>
      <c r="C335" s="2313"/>
      <c r="D335" s="1051">
        <f t="shared" si="47"/>
        <v>9</v>
      </c>
      <c r="E335" s="1051" t="str">
        <f>IF(COUNTIF(E$305:E334,F335)&gt;0,"",F335)</f>
        <v/>
      </c>
      <c r="F335" s="1051" t="str">
        <f t="shared" si="48"/>
        <v/>
      </c>
      <c r="G335" s="1055" t="str">
        <f t="shared" si="49"/>
        <v/>
      </c>
      <c r="I335" s="1100"/>
      <c r="J335" s="1048"/>
      <c r="K335" s="1048"/>
      <c r="L335" s="1048"/>
      <c r="M335" s="2310"/>
      <c r="N335" s="1048"/>
      <c r="O335" s="1048"/>
      <c r="P335" s="1048"/>
      <c r="Q335" s="1048"/>
      <c r="R335" s="1048"/>
      <c r="S335" s="1048"/>
      <c r="T335" s="1048"/>
      <c r="U335" s="1102"/>
    </row>
    <row r="336" spans="2:21" hidden="1" outlineLevel="2">
      <c r="B336" s="2045"/>
      <c r="C336" s="2313"/>
      <c r="D336" s="1051">
        <f t="shared" si="47"/>
        <v>9</v>
      </c>
      <c r="E336" s="1051" t="str">
        <f>IF(COUNTIF(E$305:E335,F336)&gt;0,"",F336)</f>
        <v/>
      </c>
      <c r="F336" s="1051" t="str">
        <f t="shared" si="48"/>
        <v/>
      </c>
      <c r="G336" s="1055" t="str">
        <f t="shared" si="49"/>
        <v/>
      </c>
      <c r="I336" s="1100"/>
      <c r="J336" s="1048"/>
      <c r="K336" s="1048"/>
      <c r="L336" s="1048"/>
      <c r="M336" s="2310"/>
      <c r="N336" s="1048"/>
      <c r="O336" s="1048"/>
      <c r="P336" s="1048"/>
      <c r="Q336" s="1048"/>
      <c r="R336" s="1048"/>
      <c r="S336" s="1048"/>
      <c r="T336" s="1048"/>
      <c r="U336" s="1102"/>
    </row>
    <row r="337" spans="1:21" hidden="1" outlineLevel="2">
      <c r="B337" s="2045"/>
      <c r="C337" s="2313"/>
      <c r="D337" s="1051">
        <f t="shared" si="47"/>
        <v>9</v>
      </c>
      <c r="E337" s="1051" t="str">
        <f>IF(COUNTIF(E$305:E336,F337)&gt;0,"",F337)</f>
        <v/>
      </c>
      <c r="F337" s="1051" t="str">
        <f t="shared" si="48"/>
        <v/>
      </c>
      <c r="G337" s="1055" t="str">
        <f t="shared" si="49"/>
        <v/>
      </c>
      <c r="I337" s="1100"/>
      <c r="J337" s="1048"/>
      <c r="K337" s="1048"/>
      <c r="L337" s="1048"/>
      <c r="M337" s="2310"/>
      <c r="N337" s="1048"/>
      <c r="O337" s="1048"/>
      <c r="P337" s="1048"/>
      <c r="Q337" s="1048"/>
      <c r="R337" s="1048"/>
      <c r="S337" s="1048"/>
      <c r="T337" s="1048"/>
      <c r="U337" s="1102"/>
    </row>
    <row r="338" spans="1:21" hidden="1" outlineLevel="2">
      <c r="B338" s="2045"/>
      <c r="C338" s="2313"/>
      <c r="D338" s="1051">
        <f t="shared" si="47"/>
        <v>9</v>
      </c>
      <c r="E338" s="1051" t="str">
        <f>IF(COUNTIF(E$305:E337,F338)&gt;0,"",F338)</f>
        <v/>
      </c>
      <c r="F338" s="1051" t="str">
        <f t="shared" si="48"/>
        <v/>
      </c>
      <c r="G338" s="1055" t="str">
        <f t="shared" si="49"/>
        <v/>
      </c>
      <c r="I338" s="1100"/>
      <c r="J338" s="1048"/>
      <c r="K338" s="1048"/>
      <c r="L338" s="1048"/>
      <c r="M338" s="2310"/>
      <c r="N338" s="1048"/>
      <c r="O338" s="1048"/>
      <c r="P338" s="1048"/>
      <c r="Q338" s="1048"/>
      <c r="R338" s="1048"/>
      <c r="S338" s="1048"/>
      <c r="T338" s="1048"/>
      <c r="U338" s="1102"/>
    </row>
    <row r="339" spans="1:21" ht="13.2" hidden="1" outlineLevel="1">
      <c r="B339" s="2045"/>
      <c r="C339" s="2313"/>
      <c r="D339" s="1045"/>
      <c r="E339" s="1045"/>
      <c r="F339" s="1045"/>
      <c r="G339" s="1135"/>
      <c r="I339" s="1765"/>
      <c r="J339" s="1766"/>
      <c r="K339" s="1766"/>
      <c r="L339" s="1766"/>
      <c r="M339" s="1766"/>
      <c r="N339" s="1766"/>
      <c r="O339" s="1766"/>
      <c r="P339" s="1766"/>
      <c r="Q339" s="1766"/>
      <c r="R339" s="1766"/>
      <c r="S339" s="1766"/>
      <c r="T339" s="1766"/>
      <c r="U339" s="2064"/>
    </row>
    <row r="340" spans="1:21" s="1135" customFormat="1" ht="13.2">
      <c r="A340"/>
      <c r="B340" s="2045"/>
      <c r="C340" s="2313"/>
      <c r="D340" s="1045"/>
      <c r="E340" s="1045"/>
      <c r="F340" s="1045"/>
      <c r="H340"/>
      <c r="I340" s="2197"/>
      <c r="J340" s="2197"/>
      <c r="K340" s="2197"/>
      <c r="L340" s="2197"/>
      <c r="M340" s="2197"/>
      <c r="N340" s="2197"/>
      <c r="O340" s="2197"/>
      <c r="P340" s="2197"/>
      <c r="Q340" s="2197"/>
      <c r="R340" s="2197"/>
      <c r="S340" s="2197"/>
      <c r="T340" s="2197"/>
      <c r="U340" s="2197"/>
    </row>
    <row r="341" spans="1:21" ht="15.6" collapsed="1">
      <c r="I341" s="3167" t="s">
        <v>879</v>
      </c>
      <c r="J341" s="3168"/>
      <c r="K341" s="3168"/>
      <c r="L341" s="3168"/>
      <c r="M341" s="3168"/>
      <c r="N341" s="3168"/>
      <c r="O341" s="3168"/>
      <c r="P341" s="3168"/>
      <c r="Q341" s="3168"/>
      <c r="R341" s="3168"/>
      <c r="S341" s="3168"/>
      <c r="T341" s="3168"/>
      <c r="U341" s="3169"/>
    </row>
    <row r="342" spans="1:21" hidden="1" outlineLevel="1">
      <c r="R342" s="1083"/>
    </row>
    <row r="343" spans="1:21" ht="12.75" hidden="1" customHeight="1" outlineLevel="1">
      <c r="B343" s="3154" t="s">
        <v>1617</v>
      </c>
      <c r="C343" s="3154"/>
      <c r="D343" s="3157" t="s">
        <v>1619</v>
      </c>
      <c r="E343" s="3157"/>
      <c r="F343" s="1151" t="s">
        <v>1991</v>
      </c>
      <c r="G343" s="1053" t="s">
        <v>1992</v>
      </c>
      <c r="H343" s="1044"/>
      <c r="I343" s="1107" t="s">
        <v>1557</v>
      </c>
      <c r="J343" s="1108" t="s">
        <v>1266</v>
      </c>
      <c r="K343" s="1109" t="s">
        <v>224</v>
      </c>
      <c r="L343" s="1109" t="s">
        <v>1558</v>
      </c>
      <c r="M343" s="1110" t="s">
        <v>366</v>
      </c>
      <c r="N343" s="1108" t="s">
        <v>1559</v>
      </c>
      <c r="O343" s="1111" t="s">
        <v>1560</v>
      </c>
      <c r="P343" s="1109" t="s">
        <v>211</v>
      </c>
      <c r="Q343" s="1109" t="s">
        <v>1561</v>
      </c>
      <c r="R343" s="1111" t="s">
        <v>1562</v>
      </c>
      <c r="S343" s="1111" t="s">
        <v>267</v>
      </c>
      <c r="T343" s="1109" t="s">
        <v>1563</v>
      </c>
      <c r="U343" s="1112" t="s">
        <v>1564</v>
      </c>
    </row>
    <row r="344" spans="1:21" s="1045" customFormat="1" ht="12.75" hidden="1" customHeight="1" outlineLevel="1" collapsed="1">
      <c r="B344" s="3156" t="s">
        <v>3726</v>
      </c>
      <c r="C344" s="3156"/>
      <c r="D344" s="1051">
        <v>0</v>
      </c>
      <c r="E344" s="1051"/>
      <c r="F344" s="1051"/>
      <c r="G344" s="1054"/>
      <c r="H344" s="1046"/>
      <c r="I344" s="1688"/>
      <c r="J344" s="1689"/>
      <c r="K344" s="1690"/>
      <c r="L344" s="1690"/>
      <c r="M344" s="1691"/>
      <c r="N344" s="1689"/>
      <c r="O344" s="1692"/>
      <c r="P344" s="1690"/>
      <c r="Q344" s="1690"/>
      <c r="R344" s="1692"/>
      <c r="S344" s="1692"/>
      <c r="T344" s="1690"/>
      <c r="U344" s="1693"/>
    </row>
    <row r="345" spans="1:21" hidden="1" outlineLevel="2">
      <c r="B345" s="1050">
        <v>1</v>
      </c>
      <c r="C345" s="1050" t="str">
        <f>IF(ISNA(VLOOKUP(B345,$D$344:$E$387,2,FALSE)),"-",VLOOKUP(B345,$D$344:$E$387,2,FALSE))</f>
        <v>Aimant AlNiCo, Monde, Base Carbone</v>
      </c>
      <c r="D345" s="1051">
        <f>D344+IF(LEN(E345)&gt;0,1,0)</f>
        <v>1</v>
      </c>
      <c r="E345" s="1051" t="str">
        <f>IF(COUNTIF(E$344:E344,F345)&gt;0,"",F345)</f>
        <v>Aimant AlNiCo, Monde, Base Carbone</v>
      </c>
      <c r="F345" s="1051" t="str">
        <f>IF(I345&lt;&gt;"",I345&amp;IF(L345&lt;&gt;"",", "&amp;L345,"")&amp;IF(K345&lt;&gt;"",", "&amp;K345,""),"")</f>
        <v>Aimant AlNiCo, Monde, Base Carbone</v>
      </c>
      <c r="G345" s="1055" t="str">
        <f>IF(F345&lt;&gt;"",F345&amp;IF(J345&lt;&gt;"","; "&amp;J345&amp;IF(N345&lt;&gt;"",", "&amp;N345,),""),"")</f>
        <v>Aimant AlNiCo, Monde, Base Carbone; kgCO2e/kg, Matières premières</v>
      </c>
      <c r="I345" s="1100" t="s">
        <v>4152</v>
      </c>
      <c r="J345" s="1048" t="s">
        <v>1572</v>
      </c>
      <c r="K345" s="1119" t="s">
        <v>1567</v>
      </c>
      <c r="L345" s="1048" t="s">
        <v>2089</v>
      </c>
      <c r="M345" s="1033">
        <v>0.5</v>
      </c>
      <c r="N345" s="2017" t="s">
        <v>3135</v>
      </c>
      <c r="O345" s="1048">
        <v>26</v>
      </c>
      <c r="P345" s="1048">
        <v>24.2</v>
      </c>
      <c r="Q345" s="1048">
        <v>1.47</v>
      </c>
      <c r="R345" s="1048">
        <v>0</v>
      </c>
      <c r="S345" s="1048">
        <v>0.24199999999999999</v>
      </c>
      <c r="T345" s="1048">
        <v>8.9099999999999999E-2</v>
      </c>
      <c r="U345" s="1102">
        <v>-3.6600000000000001E-2</v>
      </c>
    </row>
    <row r="346" spans="1:21" hidden="1" outlineLevel="2">
      <c r="B346" s="1050">
        <v>2</v>
      </c>
      <c r="C346" s="1050" t="str">
        <f t="shared" ref="C346:C365" si="50">IF(ISNA(VLOOKUP(B346,$D$344:$E$387,2,FALSE)),"-",VLOOKUP(B346,$D$344:$E$387,2,FALSE))</f>
        <v>Aimant NdFeB, Monde, Base Carbone</v>
      </c>
      <c r="D346" s="1051">
        <f t="shared" ref="D346:D387" si="51">D345+IF(LEN(E346)&gt;0,1,0)</f>
        <v>2</v>
      </c>
      <c r="E346" s="1051" t="str">
        <f>IF(COUNTIF(E$344:E345,F346)&gt;0,"",F346)</f>
        <v>Aimant NdFeB, Monde, Base Carbone</v>
      </c>
      <c r="F346" s="1051" t="str">
        <f t="shared" ref="F346:F387" si="52">IF(I346&lt;&gt;"",I346&amp;IF(L346&lt;&gt;"",", "&amp;L346,"")&amp;IF(K346&lt;&gt;"",", "&amp;K346,""),"")</f>
        <v>Aimant NdFeB, Monde, Base Carbone</v>
      </c>
      <c r="G346" s="1055" t="str">
        <f t="shared" ref="G346:G387" si="53">IF(F346&lt;&gt;"",F346&amp;IF(J346&lt;&gt;"","; "&amp;J346&amp;IF(N346&lt;&gt;"",", "&amp;N346,),""),"")</f>
        <v>Aimant NdFeB, Monde, Base Carbone; kgCO2e/kg, Matières premières</v>
      </c>
      <c r="I346" s="1100" t="s">
        <v>4153</v>
      </c>
      <c r="J346" s="1048" t="s">
        <v>1572</v>
      </c>
      <c r="K346" s="1119" t="s">
        <v>1567</v>
      </c>
      <c r="L346" s="1048" t="s">
        <v>2089</v>
      </c>
      <c r="M346" s="1033">
        <v>0.5</v>
      </c>
      <c r="N346" s="2017" t="s">
        <v>3135</v>
      </c>
      <c r="O346" s="1048">
        <v>33.5</v>
      </c>
      <c r="P346" s="1048">
        <v>30.7</v>
      </c>
      <c r="Q346" s="1048">
        <v>2.4300000000000002</v>
      </c>
      <c r="R346" s="1048">
        <v>0</v>
      </c>
      <c r="S346" s="1048">
        <v>0.34300000000000003</v>
      </c>
      <c r="T346" s="1048">
        <v>2.0100000000000001E-4</v>
      </c>
      <c r="U346" s="1102">
        <v>2.5600000000000001E-2</v>
      </c>
    </row>
    <row r="347" spans="1:21" hidden="1" outlineLevel="2">
      <c r="B347" s="1050">
        <v>3</v>
      </c>
      <c r="C347" s="1050" t="str">
        <f t="shared" si="50"/>
        <v>Câble électrique externe - alimentation générale, conducteur cuivre, isolation PE et gaine PVC, Monde, Base Carbone</v>
      </c>
      <c r="D347" s="1051">
        <f t="shared" si="51"/>
        <v>3</v>
      </c>
      <c r="E347" s="1051" t="str">
        <f>IF(COUNTIF(E$344:E346,F347)&gt;0,"",F347)</f>
        <v>Câble électrique externe - alimentation générale, conducteur cuivre, isolation PE et gaine PVC, Monde, Base Carbone</v>
      </c>
      <c r="F347" s="1051" t="str">
        <f t="shared" si="52"/>
        <v>Câble électrique externe - alimentation générale, conducteur cuivre, isolation PE et gaine PVC, Monde, Base Carbone</v>
      </c>
      <c r="G347" s="1055" t="str">
        <f t="shared" si="53"/>
        <v>Câble électrique externe - alimentation générale, conducteur cuivre, isolation PE et gaine PVC, Monde, Base Carbone; kgCO2e/m, Matières premières</v>
      </c>
      <c r="I347" s="1100" t="s">
        <v>4154</v>
      </c>
      <c r="J347" s="1048" t="s">
        <v>2030</v>
      </c>
      <c r="K347" s="1119" t="s">
        <v>1567</v>
      </c>
      <c r="L347" s="1048" t="s">
        <v>2089</v>
      </c>
      <c r="M347" s="1033">
        <v>0.5</v>
      </c>
      <c r="N347" s="2017" t="s">
        <v>3135</v>
      </c>
      <c r="O347" s="1048">
        <v>0.38</v>
      </c>
      <c r="P347" s="1048">
        <v>0.35</v>
      </c>
      <c r="Q347" s="1048">
        <v>2.3400000000000001E-2</v>
      </c>
      <c r="R347" s="1048">
        <v>0</v>
      </c>
      <c r="S347" s="1048">
        <v>5.7499999999999999E-3</v>
      </c>
      <c r="T347" s="1048">
        <v>8.2799999999999996E-4</v>
      </c>
      <c r="U347" s="1102">
        <v>0.35599999999999998</v>
      </c>
    </row>
    <row r="348" spans="1:21" hidden="1" outlineLevel="2">
      <c r="B348" s="1050">
        <v>4</v>
      </c>
      <c r="C348" s="1050" t="str">
        <f t="shared" si="50"/>
        <v>Câble électrique interne - signal, conducteur cuivre, isolation PE, Monde, Base Carbone</v>
      </c>
      <c r="D348" s="1051">
        <f t="shared" si="51"/>
        <v>4</v>
      </c>
      <c r="E348" s="1051" t="str">
        <f>IF(COUNTIF(E$344:E347,F348)&gt;0,"",F348)</f>
        <v>Câble électrique interne - signal, conducteur cuivre, isolation PE, Monde, Base Carbone</v>
      </c>
      <c r="F348" s="1051" t="str">
        <f t="shared" si="52"/>
        <v>Câble électrique interne - signal, conducteur cuivre, isolation PE, Monde, Base Carbone</v>
      </c>
      <c r="G348" s="1055" t="str">
        <f t="shared" si="53"/>
        <v>Câble électrique interne - signal, conducteur cuivre, isolation PE, Monde, Base Carbone; kgCO2e/m, Matières premières</v>
      </c>
      <c r="I348" s="1100" t="s">
        <v>4155</v>
      </c>
      <c r="J348" s="1048" t="s">
        <v>2030</v>
      </c>
      <c r="K348" s="1119" t="s">
        <v>1567</v>
      </c>
      <c r="L348" s="1048" t="s">
        <v>2089</v>
      </c>
      <c r="M348" s="1033">
        <v>0.5</v>
      </c>
      <c r="N348" s="2017" t="s">
        <v>3135</v>
      </c>
      <c r="O348" s="1048">
        <v>7.4200000000000002E-2</v>
      </c>
      <c r="P348" s="1048">
        <v>6.8099999999999994E-2</v>
      </c>
      <c r="Q348" s="1048">
        <v>4.4400000000000004E-3</v>
      </c>
      <c r="R348" s="1048">
        <v>0</v>
      </c>
      <c r="S348" s="1048">
        <v>1.08E-3</v>
      </c>
      <c r="T348" s="1048">
        <v>5.4699999999999996E-4</v>
      </c>
      <c r="U348" s="1102">
        <v>2.62E-5</v>
      </c>
    </row>
    <row r="349" spans="1:21" hidden="1" outlineLevel="2">
      <c r="B349" s="1050">
        <v>5</v>
      </c>
      <c r="C349" s="1050" t="str">
        <f t="shared" si="50"/>
        <v>Câble électrique interne, Monde, Base Carbone</v>
      </c>
      <c r="D349" s="1051">
        <f t="shared" si="51"/>
        <v>5</v>
      </c>
      <c r="E349" s="1051" t="str">
        <f>IF(COUNTIF(E$344:E348,F349)&gt;0,"",F349)</f>
        <v>Câble électrique interne, Monde, Base Carbone</v>
      </c>
      <c r="F349" s="1051" t="str">
        <f t="shared" si="52"/>
        <v>Câble électrique interne, Monde, Base Carbone</v>
      </c>
      <c r="G349" s="1055" t="str">
        <f t="shared" si="53"/>
        <v>Câble électrique interne, Monde, Base Carbone; kgCO2e/m, Matières premières</v>
      </c>
      <c r="I349" s="1100" t="s">
        <v>2107</v>
      </c>
      <c r="J349" s="1048" t="s">
        <v>2030</v>
      </c>
      <c r="K349" s="1119" t="s">
        <v>1567</v>
      </c>
      <c r="L349" s="1048" t="s">
        <v>2089</v>
      </c>
      <c r="M349" s="1033">
        <v>0.5</v>
      </c>
      <c r="N349" s="2017" t="s">
        <v>3135</v>
      </c>
      <c r="O349" s="1048">
        <v>2.1600000000000001E-2</v>
      </c>
      <c r="P349" s="1048">
        <v>1.9800000000000002E-2</v>
      </c>
      <c r="Q349" s="1048">
        <v>1.32E-3</v>
      </c>
      <c r="R349" s="1048">
        <v>0</v>
      </c>
      <c r="S349" s="1048">
        <v>2.92E-4</v>
      </c>
      <c r="T349" s="1048">
        <v>1.6899999999999999E-4</v>
      </c>
      <c r="U349" s="1102">
        <v>1.7799999999999999E-5</v>
      </c>
    </row>
    <row r="350" spans="1:21" hidden="1" outlineLevel="2">
      <c r="B350" s="1050">
        <v>6</v>
      </c>
      <c r="C350" s="1050" t="str">
        <f t="shared" si="50"/>
        <v>Groupe électrogène, Monde, Base Carbone</v>
      </c>
      <c r="D350" s="1051">
        <f t="shared" si="51"/>
        <v>6</v>
      </c>
      <c r="E350" s="1051" t="str">
        <f>IF(COUNTIF(E$344:E349,F350)&gt;0,"",F350)</f>
        <v>Groupe électrogène, Monde, Base Carbone</v>
      </c>
      <c r="F350" s="1051" t="str">
        <f t="shared" si="52"/>
        <v>Groupe électrogène, Monde, Base Carbone</v>
      </c>
      <c r="G350" s="1055" t="str">
        <f t="shared" si="53"/>
        <v>Groupe électrogène, Monde, Base Carbone; kgCO2e/kg, Matières premières</v>
      </c>
      <c r="I350" s="2018" t="s">
        <v>3722</v>
      </c>
      <c r="J350" s="1135" t="s">
        <v>1572</v>
      </c>
      <c r="K350" s="1119" t="s">
        <v>1567</v>
      </c>
      <c r="L350" s="1119" t="s">
        <v>2089</v>
      </c>
      <c r="M350" s="1033">
        <v>0.6</v>
      </c>
      <c r="N350" s="2017" t="s">
        <v>3135</v>
      </c>
      <c r="O350" s="1135">
        <v>1.83</v>
      </c>
      <c r="P350" s="2017">
        <v>1.83</v>
      </c>
      <c r="Q350" s="2017">
        <v>0</v>
      </c>
      <c r="R350" s="2017">
        <v>0</v>
      </c>
      <c r="S350" s="2017">
        <v>0</v>
      </c>
      <c r="T350" s="2017">
        <v>0</v>
      </c>
      <c r="U350" s="2042">
        <v>0</v>
      </c>
    </row>
    <row r="351" spans="1:21" hidden="1" outlineLevel="2">
      <c r="B351" s="1050">
        <v>7</v>
      </c>
      <c r="C351" s="1050" t="str">
        <f t="shared" si="50"/>
        <v>Moteur électrique, Monde, Base Carbone</v>
      </c>
      <c r="D351" s="1051">
        <f t="shared" si="51"/>
        <v>7</v>
      </c>
      <c r="E351" s="1051" t="str">
        <f>IF(COUNTIF(E$344:E350,F351)&gt;0,"",F351)</f>
        <v>Moteur électrique, Monde, Base Carbone</v>
      </c>
      <c r="F351" s="1051" t="str">
        <f t="shared" si="52"/>
        <v>Moteur électrique, Monde, Base Carbone</v>
      </c>
      <c r="G351" s="1055" t="str">
        <f t="shared" si="53"/>
        <v>Moteur électrique, Monde, Base Carbone; kgCO2e/kg, Matières premières</v>
      </c>
      <c r="I351" s="2018" t="s">
        <v>3723</v>
      </c>
      <c r="J351" s="1135" t="s">
        <v>1572</v>
      </c>
      <c r="K351" s="1119" t="s">
        <v>1567</v>
      </c>
      <c r="L351" s="1119" t="s">
        <v>2089</v>
      </c>
      <c r="M351" s="1033">
        <v>0.3</v>
      </c>
      <c r="N351" s="2017" t="s">
        <v>3135</v>
      </c>
      <c r="O351" s="1135">
        <v>2.93</v>
      </c>
      <c r="P351" s="2017">
        <v>2.93</v>
      </c>
      <c r="Q351" s="2017">
        <v>0</v>
      </c>
      <c r="R351" s="2017">
        <v>0</v>
      </c>
      <c r="S351" s="2017">
        <v>0</v>
      </c>
      <c r="T351" s="2017">
        <v>0</v>
      </c>
      <c r="U351" s="2042">
        <v>0</v>
      </c>
    </row>
    <row r="352" spans="1:21" hidden="1" outlineLevel="2">
      <c r="B352" s="1050">
        <v>8</v>
      </c>
      <c r="C352" s="1050" t="str">
        <f t="shared" si="50"/>
        <v>Perceuse-visseuse (sans fil), France continentale, Base Carbone</v>
      </c>
      <c r="D352" s="1051">
        <f t="shared" si="51"/>
        <v>8</v>
      </c>
      <c r="E352" s="1051" t="str">
        <f>IF(COUNTIF(E$344:E351,F352)&gt;0,"",F352)</f>
        <v>Perceuse-visseuse (sans fil), France continentale, Base Carbone</v>
      </c>
      <c r="F352" s="1051" t="str">
        <f t="shared" si="52"/>
        <v>Perceuse-visseuse (sans fil), France continentale, Base Carbone</v>
      </c>
      <c r="G352" s="1055" t="str">
        <f t="shared" si="53"/>
        <v>Perceuse-visseuse (sans fil), France continentale, Base Carbone; kgCO2e/unité, Matières premières</v>
      </c>
      <c r="I352" s="1100" t="s">
        <v>4146</v>
      </c>
      <c r="J352" s="1135" t="s">
        <v>1994</v>
      </c>
      <c r="K352" s="1119" t="s">
        <v>1567</v>
      </c>
      <c r="L352" s="1119" t="s">
        <v>1571</v>
      </c>
      <c r="M352" s="2061">
        <v>0.5</v>
      </c>
      <c r="N352" s="1119" t="s">
        <v>3135</v>
      </c>
      <c r="O352" s="1048">
        <v>15</v>
      </c>
      <c r="P352" s="1048">
        <v>15</v>
      </c>
      <c r="Q352" s="1048">
        <v>0</v>
      </c>
      <c r="R352" s="1048">
        <v>0</v>
      </c>
      <c r="S352" s="1048">
        <v>0</v>
      </c>
      <c r="T352" s="1048">
        <v>0</v>
      </c>
      <c r="U352" s="1102">
        <v>0</v>
      </c>
    </row>
    <row r="353" spans="2:21" hidden="1" outlineLevel="2">
      <c r="B353" s="1050">
        <v>9</v>
      </c>
      <c r="C353" s="1050" t="str">
        <f t="shared" si="50"/>
        <v>Pile alcaline  AAA 12g, Asie, Base Carbone</v>
      </c>
      <c r="D353" s="1051">
        <f t="shared" si="51"/>
        <v>8</v>
      </c>
      <c r="E353" s="1051" t="str">
        <f>IF(COUNTIF(E$344:E352,F353)&gt;0,"",F353)</f>
        <v/>
      </c>
      <c r="F353" s="1051" t="str">
        <f t="shared" si="52"/>
        <v>Perceuse-visseuse (sans fil), France continentale, Base Carbone</v>
      </c>
      <c r="G353" s="1055" t="str">
        <f t="shared" si="53"/>
        <v>Perceuse-visseuse (sans fil), France continentale, Base Carbone; kgCO2e/unité, Approvisonnement</v>
      </c>
      <c r="I353" s="1100" t="s">
        <v>4146</v>
      </c>
      <c r="J353" s="1135" t="s">
        <v>1994</v>
      </c>
      <c r="K353" s="1119" t="s">
        <v>1567</v>
      </c>
      <c r="L353" s="1119" t="s">
        <v>1571</v>
      </c>
      <c r="M353" s="2061">
        <v>0.5</v>
      </c>
      <c r="N353" s="1119" t="s">
        <v>4148</v>
      </c>
      <c r="O353" s="1048">
        <v>0.32700000000000001</v>
      </c>
      <c r="P353" s="1048">
        <v>0.32700000000000001</v>
      </c>
      <c r="Q353" s="1048">
        <v>0</v>
      </c>
      <c r="R353" s="1048">
        <v>0</v>
      </c>
      <c r="S353" s="1048">
        <v>0</v>
      </c>
      <c r="T353" s="1048">
        <v>0</v>
      </c>
      <c r="U353" s="1102">
        <v>0</v>
      </c>
    </row>
    <row r="354" spans="2:21" hidden="1" outlineLevel="2">
      <c r="B354" s="1050">
        <v>10</v>
      </c>
      <c r="C354" s="1050" t="str">
        <f t="shared" si="50"/>
        <v>Pile alcaline AA 23g, Asie, Base Carbone</v>
      </c>
      <c r="D354" s="1051">
        <f t="shared" si="51"/>
        <v>8</v>
      </c>
      <c r="E354" s="1051" t="str">
        <f>IF(COUNTIF(E$344:E353,F354)&gt;0,"",F354)</f>
        <v/>
      </c>
      <c r="F354" s="1051" t="str">
        <f t="shared" si="52"/>
        <v>Perceuse-visseuse (sans fil), France continentale, Base Carbone</v>
      </c>
      <c r="G354" s="1055" t="str">
        <f t="shared" si="53"/>
        <v>Perceuse-visseuse (sans fil), France continentale, Base Carbone; kgCO2e/unité, Mise en forme</v>
      </c>
      <c r="I354" s="1100" t="s">
        <v>4146</v>
      </c>
      <c r="J354" s="1135" t="s">
        <v>1994</v>
      </c>
      <c r="K354" s="1119" t="s">
        <v>1567</v>
      </c>
      <c r="L354" s="1119" t="s">
        <v>1571</v>
      </c>
      <c r="M354" s="2061">
        <v>0.5</v>
      </c>
      <c r="N354" s="1119" t="s">
        <v>3141</v>
      </c>
      <c r="O354" s="1048">
        <v>1.08</v>
      </c>
      <c r="P354" s="1048">
        <v>1.08</v>
      </c>
      <c r="Q354" s="1048">
        <v>0</v>
      </c>
      <c r="R354" s="1048">
        <v>0</v>
      </c>
      <c r="S354" s="1048">
        <v>0</v>
      </c>
      <c r="T354" s="1048">
        <v>0</v>
      </c>
      <c r="U354" s="1102">
        <v>0</v>
      </c>
    </row>
    <row r="355" spans="2:21" hidden="1" outlineLevel="2">
      <c r="B355" s="1050">
        <v>11</v>
      </c>
      <c r="C355" s="1050" t="str">
        <f t="shared" si="50"/>
        <v>Robot tondeuse (Lithium Ion 3.2 Ah), France continentale, Base Carbone</v>
      </c>
      <c r="D355" s="1051">
        <f t="shared" si="51"/>
        <v>8</v>
      </c>
      <c r="E355" s="1051" t="str">
        <f>IF(COUNTIF(E$344:E354,F355)&gt;0,"",F355)</f>
        <v/>
      </c>
      <c r="F355" s="1051" t="str">
        <f t="shared" si="52"/>
        <v>Perceuse-visseuse (sans fil), France continentale, Base Carbone</v>
      </c>
      <c r="G355" s="1055" t="str">
        <f t="shared" si="53"/>
        <v>Perceuse-visseuse (sans fil), France continentale, Base Carbone; kgCO2e/unité, Assemblage</v>
      </c>
      <c r="I355" s="1100" t="s">
        <v>4146</v>
      </c>
      <c r="J355" s="1135" t="s">
        <v>1994</v>
      </c>
      <c r="K355" s="1119" t="s">
        <v>1567</v>
      </c>
      <c r="L355" s="1119" t="s">
        <v>1571</v>
      </c>
      <c r="M355" s="2061">
        <v>0.5</v>
      </c>
      <c r="N355" s="1119" t="s">
        <v>3137</v>
      </c>
      <c r="O355" s="1048">
        <v>4.6500000000000004</v>
      </c>
      <c r="P355" s="1048">
        <v>4.6500000000000004</v>
      </c>
      <c r="Q355" s="1048">
        <v>0</v>
      </c>
      <c r="R355" s="1048">
        <v>0</v>
      </c>
      <c r="S355" s="1048">
        <v>0</v>
      </c>
      <c r="T355" s="1048">
        <v>0</v>
      </c>
      <c r="U355" s="1102">
        <v>-1.9E-2</v>
      </c>
    </row>
    <row r="356" spans="2:21" hidden="1" outlineLevel="2">
      <c r="B356" s="1050">
        <v>12</v>
      </c>
      <c r="C356" s="1050" t="str">
        <f t="shared" si="50"/>
        <v>Scie sauteuse 720 W, France continentale, Base Carbone</v>
      </c>
      <c r="D356" s="1051">
        <f t="shared" si="51"/>
        <v>8</v>
      </c>
      <c r="E356" s="1051" t="str">
        <f>IF(COUNTIF(E$344:E355,F356)&gt;0,"",F356)</f>
        <v/>
      </c>
      <c r="F356" s="1051" t="str">
        <f t="shared" si="52"/>
        <v>Perceuse-visseuse (sans fil), France continentale, Base Carbone</v>
      </c>
      <c r="G356" s="1055" t="str">
        <f t="shared" si="53"/>
        <v>Perceuse-visseuse (sans fil), France continentale, Base Carbone; kgCO2e/unité, Distribution</v>
      </c>
      <c r="I356" s="1100" t="s">
        <v>4146</v>
      </c>
      <c r="J356" s="1135" t="s">
        <v>1994</v>
      </c>
      <c r="K356" s="1119" t="s">
        <v>1567</v>
      </c>
      <c r="L356" s="1119" t="s">
        <v>1571</v>
      </c>
      <c r="M356" s="1033">
        <v>0.5</v>
      </c>
      <c r="N356" s="1119" t="s">
        <v>3138</v>
      </c>
      <c r="O356" s="1135">
        <v>2.44</v>
      </c>
      <c r="P356" s="1119">
        <v>2.44</v>
      </c>
      <c r="Q356" s="1119">
        <v>0</v>
      </c>
      <c r="R356" s="1119">
        <v>0</v>
      </c>
      <c r="S356" s="1119">
        <v>0</v>
      </c>
      <c r="T356" s="1119">
        <v>0</v>
      </c>
      <c r="U356" s="2065">
        <v>0</v>
      </c>
    </row>
    <row r="357" spans="2:21" hidden="1" outlineLevel="2">
      <c r="B357" s="1050">
        <v>13</v>
      </c>
      <c r="C357" s="1050" t="str">
        <f t="shared" si="50"/>
        <v>Tableau électrique, Monde, Base Carbone</v>
      </c>
      <c r="D357" s="1051">
        <f t="shared" si="51"/>
        <v>9</v>
      </c>
      <c r="E357" s="1051" t="str">
        <f>IF(COUNTIF(E$344:E356,F357)&gt;0,"",F357)</f>
        <v>Pile alcaline  AAA 12g, Asie, Base Carbone</v>
      </c>
      <c r="F357" s="1051" t="str">
        <f t="shared" si="52"/>
        <v>Pile alcaline  AAA 12g, Asie, Base Carbone</v>
      </c>
      <c r="G357" s="1055" t="str">
        <f t="shared" si="53"/>
        <v>Pile alcaline  AAA 12g, Asie, Base Carbone; kgCO2e/unité, Matières premières</v>
      </c>
      <c r="I357" s="2018" t="s">
        <v>4156</v>
      </c>
      <c r="J357" s="1135" t="s">
        <v>1994</v>
      </c>
      <c r="K357" s="1119" t="s">
        <v>1567</v>
      </c>
      <c r="L357" s="1135" t="s">
        <v>2112</v>
      </c>
      <c r="M357" s="1033">
        <v>0.5</v>
      </c>
      <c r="N357" s="2017" t="s">
        <v>3135</v>
      </c>
      <c r="O357" s="1135">
        <v>6.5299999999999997E-2</v>
      </c>
      <c r="P357" s="1135">
        <v>6.0900000000000003E-2</v>
      </c>
      <c r="Q357" s="1135">
        <v>3.63E-3</v>
      </c>
      <c r="R357" s="1135">
        <v>0</v>
      </c>
      <c r="S357" s="1135">
        <v>7.3399999999999995E-4</v>
      </c>
      <c r="T357" s="1135">
        <v>7.08E-6</v>
      </c>
      <c r="U357" s="2041">
        <v>5.5099999999999998E-5</v>
      </c>
    </row>
    <row r="358" spans="2:21" hidden="1" outlineLevel="2">
      <c r="B358" s="1050">
        <v>14</v>
      </c>
      <c r="C358" s="1050" t="str">
        <f t="shared" si="50"/>
        <v>Tondeuse électrique 1200W, France continentale, Base Carbone</v>
      </c>
      <c r="D358" s="1051">
        <f t="shared" si="51"/>
        <v>10</v>
      </c>
      <c r="E358" s="1051" t="str">
        <f>IF(COUNTIF(E$344:E357,F358)&gt;0,"",F358)</f>
        <v>Pile alcaline AA 23g, Asie, Base Carbone</v>
      </c>
      <c r="F358" s="1051" t="str">
        <f t="shared" si="52"/>
        <v>Pile alcaline AA 23g, Asie, Base Carbone</v>
      </c>
      <c r="G358" s="1055" t="str">
        <f t="shared" si="53"/>
        <v>Pile alcaline AA 23g, Asie, Base Carbone; kgCO2e/unité, Matières premières</v>
      </c>
      <c r="I358" s="2018" t="s">
        <v>4157</v>
      </c>
      <c r="J358" s="1135" t="s">
        <v>1994</v>
      </c>
      <c r="K358" s="1119" t="s">
        <v>1567</v>
      </c>
      <c r="L358" s="1135" t="s">
        <v>2112</v>
      </c>
      <c r="M358" s="1033">
        <v>0.5</v>
      </c>
      <c r="N358" s="2017" t="s">
        <v>3135</v>
      </c>
      <c r="O358" s="1135">
        <v>0.13700000000000001</v>
      </c>
      <c r="P358" s="1135">
        <v>0.128</v>
      </c>
      <c r="Q358" s="1135">
        <v>7.6400000000000001E-3</v>
      </c>
      <c r="R358" s="1135">
        <v>0</v>
      </c>
      <c r="S358" s="1135">
        <v>1.5399999999999999E-3</v>
      </c>
      <c r="T358" s="1135">
        <v>5.0499999999999998E-3</v>
      </c>
      <c r="U358" s="2041">
        <v>1.16E-4</v>
      </c>
    </row>
    <row r="359" spans="2:21" hidden="1" outlineLevel="2">
      <c r="B359" s="1050">
        <v>15</v>
      </c>
      <c r="C359" s="1050" t="str">
        <f t="shared" si="50"/>
        <v>Tondeuse thermique 190 cm³, France continentale, Base Carbone</v>
      </c>
      <c r="D359" s="1051">
        <f t="shared" si="51"/>
        <v>11</v>
      </c>
      <c r="E359" s="1051" t="str">
        <f>IF(COUNTIF(E$344:E358,F359)&gt;0,"",F359)</f>
        <v>Robot tondeuse (Lithium Ion 3.2 Ah), France continentale, Base Carbone</v>
      </c>
      <c r="F359" s="1051" t="str">
        <f t="shared" si="52"/>
        <v>Robot tondeuse (Lithium Ion 3.2 Ah), France continentale, Base Carbone</v>
      </c>
      <c r="G359" s="1055" t="str">
        <f t="shared" si="53"/>
        <v>Robot tondeuse (Lithium Ion 3.2 Ah), France continentale, Base Carbone; kgCO2e/unité, Matières premières</v>
      </c>
      <c r="I359" s="1100" t="s">
        <v>4147</v>
      </c>
      <c r="J359" s="1135" t="s">
        <v>1994</v>
      </c>
      <c r="K359" s="1119" t="s">
        <v>1567</v>
      </c>
      <c r="L359" s="1119" t="s">
        <v>1571</v>
      </c>
      <c r="M359" s="2043">
        <v>0.5</v>
      </c>
      <c r="N359" s="1119" t="s">
        <v>3135</v>
      </c>
      <c r="O359" s="1048">
        <v>78.599999999999994</v>
      </c>
      <c r="P359" s="1048">
        <v>78.599999999999994</v>
      </c>
      <c r="Q359" s="1048">
        <v>0</v>
      </c>
      <c r="R359" s="1048">
        <v>0</v>
      </c>
      <c r="S359" s="1048">
        <v>0</v>
      </c>
      <c r="T359" s="1048">
        <v>0</v>
      </c>
      <c r="U359" s="1102">
        <v>0</v>
      </c>
    </row>
    <row r="360" spans="2:21" hidden="1" outlineLevel="2">
      <c r="B360" s="1050">
        <v>16</v>
      </c>
      <c r="C360" s="1050" t="str">
        <f t="shared" si="50"/>
        <v>Variateur électrique, Monde, Base Carbone</v>
      </c>
      <c r="D360" s="1051">
        <f t="shared" si="51"/>
        <v>11</v>
      </c>
      <c r="E360" s="1051" t="str">
        <f>IF(COUNTIF(E$344:E359,F360)&gt;0,"",F360)</f>
        <v/>
      </c>
      <c r="F360" s="1051" t="str">
        <f t="shared" si="52"/>
        <v>Robot tondeuse (Lithium Ion 3.2 Ah), France continentale, Base Carbone</v>
      </c>
      <c r="G360" s="1055" t="str">
        <f t="shared" si="53"/>
        <v>Robot tondeuse (Lithium Ion 3.2 Ah), France continentale, Base Carbone; kgCO2e/unité, Approvisonnement</v>
      </c>
      <c r="I360" s="1100" t="s">
        <v>4147</v>
      </c>
      <c r="J360" s="1135" t="s">
        <v>1994</v>
      </c>
      <c r="K360" s="1119" t="s">
        <v>1567</v>
      </c>
      <c r="L360" s="1119" t="s">
        <v>1571</v>
      </c>
      <c r="M360" s="2061">
        <v>0.5</v>
      </c>
      <c r="N360" s="1119" t="s">
        <v>4148</v>
      </c>
      <c r="O360" s="1048">
        <v>2.2400000000000002</v>
      </c>
      <c r="P360" s="2330">
        <v>2.2400000000000002</v>
      </c>
      <c r="Q360" s="2330">
        <v>0</v>
      </c>
      <c r="R360" s="2330">
        <v>0</v>
      </c>
      <c r="S360" s="2330">
        <v>0</v>
      </c>
      <c r="T360" s="2330">
        <v>0</v>
      </c>
      <c r="U360" s="2331">
        <v>0</v>
      </c>
    </row>
    <row r="361" spans="2:21" hidden="1" outlineLevel="2">
      <c r="B361" s="1050">
        <v>17</v>
      </c>
      <c r="C361" s="1050" t="str">
        <f t="shared" si="50"/>
        <v>-</v>
      </c>
      <c r="D361" s="1051">
        <f t="shared" si="51"/>
        <v>11</v>
      </c>
      <c r="E361" s="1051" t="str">
        <f>IF(COUNTIF(E$344:E360,F361)&gt;0,"",F361)</f>
        <v/>
      </c>
      <c r="F361" s="1051" t="str">
        <f t="shared" si="52"/>
        <v>Robot tondeuse (Lithium Ion 3.2 Ah), France continentale, Base Carbone</v>
      </c>
      <c r="G361" s="1055" t="str">
        <f t="shared" si="53"/>
        <v>Robot tondeuse (Lithium Ion 3.2 Ah), France continentale, Base Carbone; kgCO2e/unité, Mise en forme</v>
      </c>
      <c r="I361" s="1100" t="s">
        <v>4147</v>
      </c>
      <c r="J361" s="1135" t="s">
        <v>1994</v>
      </c>
      <c r="K361" s="1119" t="s">
        <v>1567</v>
      </c>
      <c r="L361" s="1119" t="s">
        <v>1571</v>
      </c>
      <c r="M361" s="1033">
        <v>0.5</v>
      </c>
      <c r="N361" s="1119" t="s">
        <v>3141</v>
      </c>
      <c r="O361" s="1135">
        <v>9.52</v>
      </c>
      <c r="P361" s="1119">
        <v>9.52</v>
      </c>
      <c r="Q361" s="1119">
        <v>0</v>
      </c>
      <c r="R361" s="1119">
        <v>0</v>
      </c>
      <c r="S361" s="1119">
        <v>0</v>
      </c>
      <c r="T361" s="1119">
        <v>0</v>
      </c>
      <c r="U361" s="2065">
        <v>0</v>
      </c>
    </row>
    <row r="362" spans="2:21" hidden="1" outlineLevel="2">
      <c r="B362" s="1050">
        <v>18</v>
      </c>
      <c r="C362" s="1050" t="str">
        <f t="shared" si="50"/>
        <v>-</v>
      </c>
      <c r="D362" s="1051">
        <f t="shared" si="51"/>
        <v>11</v>
      </c>
      <c r="E362" s="1051" t="str">
        <f>IF(COUNTIF(E$344:E361,F362)&gt;0,"",F362)</f>
        <v/>
      </c>
      <c r="F362" s="1051" t="str">
        <f t="shared" si="52"/>
        <v>Robot tondeuse (Lithium Ion 3.2 Ah), France continentale, Base Carbone</v>
      </c>
      <c r="G362" s="1055" t="str">
        <f t="shared" si="53"/>
        <v>Robot tondeuse (Lithium Ion 3.2 Ah), France continentale, Base Carbone; kgCO2e/unité, Assemblage</v>
      </c>
      <c r="I362" s="1100" t="s">
        <v>4147</v>
      </c>
      <c r="J362" s="1135" t="s">
        <v>1994</v>
      </c>
      <c r="K362" s="1119" t="s">
        <v>1567</v>
      </c>
      <c r="L362" s="1119" t="s">
        <v>1571</v>
      </c>
      <c r="M362" s="1033">
        <v>0.5</v>
      </c>
      <c r="N362" s="1119" t="s">
        <v>3137</v>
      </c>
      <c r="O362" s="1135">
        <v>9.4</v>
      </c>
      <c r="P362" s="1119">
        <v>9.4</v>
      </c>
      <c r="Q362" s="1119">
        <v>0</v>
      </c>
      <c r="R362" s="1119">
        <v>0</v>
      </c>
      <c r="S362" s="1119">
        <v>0</v>
      </c>
      <c r="T362" s="1119">
        <v>0</v>
      </c>
      <c r="U362" s="2065">
        <v>-0.68600000000000005</v>
      </c>
    </row>
    <row r="363" spans="2:21" hidden="1" outlineLevel="2">
      <c r="B363" s="1050">
        <v>19</v>
      </c>
      <c r="C363" s="1050" t="str">
        <f t="shared" si="50"/>
        <v>-</v>
      </c>
      <c r="D363" s="1051">
        <f t="shared" si="51"/>
        <v>11</v>
      </c>
      <c r="E363" s="1051" t="str">
        <f>IF(COUNTIF(E$344:E362,F363)&gt;0,"",F363)</f>
        <v/>
      </c>
      <c r="F363" s="1051" t="str">
        <f t="shared" si="52"/>
        <v>Robot tondeuse (Lithium Ion 3.2 Ah), France continentale, Base Carbone</v>
      </c>
      <c r="G363" s="1055" t="str">
        <f t="shared" si="53"/>
        <v>Robot tondeuse (Lithium Ion 3.2 Ah), France continentale, Base Carbone; kgCO2e/unité, Distribution</v>
      </c>
      <c r="I363" s="1100" t="s">
        <v>4147</v>
      </c>
      <c r="J363" s="1135" t="s">
        <v>1994</v>
      </c>
      <c r="K363" s="1119" t="s">
        <v>1567</v>
      </c>
      <c r="L363" s="1119" t="s">
        <v>1571</v>
      </c>
      <c r="M363" s="1033">
        <v>0.5</v>
      </c>
      <c r="N363" s="1119" t="s">
        <v>3138</v>
      </c>
      <c r="O363" s="1135">
        <v>9.77</v>
      </c>
      <c r="P363" s="1119">
        <v>9.77</v>
      </c>
      <c r="Q363" s="1119">
        <v>0</v>
      </c>
      <c r="R363" s="1119">
        <v>0</v>
      </c>
      <c r="S363" s="1119">
        <v>0</v>
      </c>
      <c r="T363" s="1119">
        <v>0</v>
      </c>
      <c r="U363" s="2065">
        <v>0</v>
      </c>
    </row>
    <row r="364" spans="2:21" hidden="1" outlineLevel="2">
      <c r="B364" s="1050">
        <v>20</v>
      </c>
      <c r="C364" s="1050" t="str">
        <f t="shared" si="50"/>
        <v>-</v>
      </c>
      <c r="D364" s="1051">
        <f t="shared" si="51"/>
        <v>12</v>
      </c>
      <c r="E364" s="1051" t="str">
        <f>IF(COUNTIF(E$344:E363,F364)&gt;0,"",F364)</f>
        <v>Scie sauteuse 720 W, France continentale, Base Carbone</v>
      </c>
      <c r="F364" s="1051" t="str">
        <f t="shared" si="52"/>
        <v>Scie sauteuse 720 W, France continentale, Base Carbone</v>
      </c>
      <c r="G364" s="1055" t="str">
        <f t="shared" si="53"/>
        <v>Scie sauteuse 720 W, France continentale, Base Carbone; kgCO2e/unité, Matières premières</v>
      </c>
      <c r="I364" s="1100" t="s">
        <v>4149</v>
      </c>
      <c r="J364" s="1135" t="s">
        <v>1994</v>
      </c>
      <c r="K364" s="1119" t="s">
        <v>1567</v>
      </c>
      <c r="L364" s="1119" t="s">
        <v>1571</v>
      </c>
      <c r="M364" s="1033">
        <v>0.5</v>
      </c>
      <c r="N364" s="1119" t="s">
        <v>3135</v>
      </c>
      <c r="O364" s="1135">
        <v>18.3</v>
      </c>
      <c r="P364" s="1119">
        <v>18.3</v>
      </c>
      <c r="Q364" s="1119">
        <v>0</v>
      </c>
      <c r="R364" s="1119">
        <v>0</v>
      </c>
      <c r="S364" s="1119">
        <v>0</v>
      </c>
      <c r="T364" s="1119">
        <v>0</v>
      </c>
      <c r="U364" s="2065">
        <v>0</v>
      </c>
    </row>
    <row r="365" spans="2:21" hidden="1" outlineLevel="2">
      <c r="B365" s="1050">
        <v>21</v>
      </c>
      <c r="C365" s="1050" t="str">
        <f t="shared" si="50"/>
        <v>-</v>
      </c>
      <c r="D365" s="1051">
        <f t="shared" si="51"/>
        <v>12</v>
      </c>
      <c r="E365" s="1051" t="str">
        <f>IF(COUNTIF(E$344:E364,F365)&gt;0,"",F365)</f>
        <v/>
      </c>
      <c r="F365" s="1051" t="str">
        <f t="shared" si="52"/>
        <v>Scie sauteuse 720 W, France continentale, Base Carbone</v>
      </c>
      <c r="G365" s="1055" t="str">
        <f t="shared" si="53"/>
        <v>Scie sauteuse 720 W, France continentale, Base Carbone; kgCO2e/unité, Approvisonnement</v>
      </c>
      <c r="I365" s="1100" t="s">
        <v>4149</v>
      </c>
      <c r="J365" s="1135" t="s">
        <v>1994</v>
      </c>
      <c r="K365" s="1119" t="s">
        <v>1567</v>
      </c>
      <c r="L365" s="1119" t="s">
        <v>1571</v>
      </c>
      <c r="M365" s="1033">
        <v>0.5</v>
      </c>
      <c r="N365" s="1119" t="s">
        <v>4148</v>
      </c>
      <c r="O365" s="1135">
        <v>0.70399999999999996</v>
      </c>
      <c r="P365" s="1119">
        <v>0.70399999999999996</v>
      </c>
      <c r="Q365" s="1119">
        <v>0</v>
      </c>
      <c r="R365" s="1119">
        <v>0</v>
      </c>
      <c r="S365" s="1119">
        <v>0</v>
      </c>
      <c r="T365" s="1119">
        <v>0</v>
      </c>
      <c r="U365" s="2065">
        <v>0</v>
      </c>
    </row>
    <row r="366" spans="2:21" hidden="1" outlineLevel="2">
      <c r="B366" s="1050"/>
      <c r="C366" s="1050"/>
      <c r="D366" s="1051">
        <f t="shared" si="51"/>
        <v>12</v>
      </c>
      <c r="E366" s="1051" t="str">
        <f>IF(COUNTIF(E$344:E365,F366)&gt;0,"",F366)</f>
        <v/>
      </c>
      <c r="F366" s="1051" t="str">
        <f t="shared" si="52"/>
        <v>Scie sauteuse 720 W, France continentale, Base Carbone</v>
      </c>
      <c r="G366" s="1055" t="str">
        <f t="shared" si="53"/>
        <v>Scie sauteuse 720 W, France continentale, Base Carbone; kgCO2e/unité, Mise en forme</v>
      </c>
      <c r="I366" s="1100" t="s">
        <v>4149</v>
      </c>
      <c r="J366" s="1135" t="s">
        <v>1994</v>
      </c>
      <c r="K366" s="1119" t="s">
        <v>1567</v>
      </c>
      <c r="L366" s="1119" t="s">
        <v>1571</v>
      </c>
      <c r="M366" s="1033">
        <v>0.5</v>
      </c>
      <c r="N366" s="1119" t="s">
        <v>3141</v>
      </c>
      <c r="O366" s="1135">
        <v>2.7</v>
      </c>
      <c r="P366" s="1119">
        <v>2.7</v>
      </c>
      <c r="Q366" s="1119">
        <v>0</v>
      </c>
      <c r="R366" s="1119">
        <v>0</v>
      </c>
      <c r="S366" s="1119">
        <v>0</v>
      </c>
      <c r="T366" s="1119">
        <v>0</v>
      </c>
      <c r="U366" s="2065">
        <v>0</v>
      </c>
    </row>
    <row r="367" spans="2:21" hidden="1" outlineLevel="2">
      <c r="B367" s="1050"/>
      <c r="C367" s="1050"/>
      <c r="D367" s="1051">
        <f t="shared" si="51"/>
        <v>12</v>
      </c>
      <c r="E367" s="1051" t="str">
        <f>IF(COUNTIF(E$344:E366,F367)&gt;0,"",F367)</f>
        <v/>
      </c>
      <c r="F367" s="1051" t="str">
        <f t="shared" si="52"/>
        <v>Scie sauteuse 720 W, France continentale, Base Carbone</v>
      </c>
      <c r="G367" s="1055" t="str">
        <f t="shared" si="53"/>
        <v>Scie sauteuse 720 W, France continentale, Base Carbone; kgCO2e/unité, Assemblage</v>
      </c>
      <c r="I367" s="1100" t="s">
        <v>4149</v>
      </c>
      <c r="J367" s="1135" t="s">
        <v>1994</v>
      </c>
      <c r="K367" s="1119" t="s">
        <v>1567</v>
      </c>
      <c r="L367" s="1119" t="s">
        <v>1571</v>
      </c>
      <c r="M367" s="1033">
        <v>0.5</v>
      </c>
      <c r="N367" s="1119" t="s">
        <v>3137</v>
      </c>
      <c r="O367" s="1135">
        <v>4.88</v>
      </c>
      <c r="P367" s="1119">
        <v>4.88</v>
      </c>
      <c r="Q367" s="1119">
        <v>0</v>
      </c>
      <c r="R367" s="1119">
        <v>0</v>
      </c>
      <c r="S367" s="1119">
        <v>0</v>
      </c>
      <c r="T367" s="1119">
        <v>0</v>
      </c>
      <c r="U367" s="2065">
        <v>-1.9E-2</v>
      </c>
    </row>
    <row r="368" spans="2:21" hidden="1" outlineLevel="2">
      <c r="B368" s="1050"/>
      <c r="C368" s="1050"/>
      <c r="D368" s="1051">
        <f t="shared" si="51"/>
        <v>12</v>
      </c>
      <c r="E368" s="1051" t="str">
        <f>IF(COUNTIF(E$344:E367,F368)&gt;0,"",F368)</f>
        <v/>
      </c>
      <c r="F368" s="1051" t="str">
        <f t="shared" si="52"/>
        <v>Scie sauteuse 720 W, France continentale, Base Carbone</v>
      </c>
      <c r="G368" s="1055" t="str">
        <f t="shared" si="53"/>
        <v>Scie sauteuse 720 W, France continentale, Base Carbone; kgCO2e/unité, Distribution</v>
      </c>
      <c r="I368" s="1100" t="s">
        <v>4149</v>
      </c>
      <c r="J368" s="1135" t="s">
        <v>1994</v>
      </c>
      <c r="K368" s="1119" t="s">
        <v>1567</v>
      </c>
      <c r="L368" s="1119" t="s">
        <v>1571</v>
      </c>
      <c r="M368" s="1033">
        <v>0.5</v>
      </c>
      <c r="N368" s="1119" t="s">
        <v>3138</v>
      </c>
      <c r="O368" s="1135">
        <v>5.1100000000000003</v>
      </c>
      <c r="P368" s="1119">
        <v>5.1100000000000003</v>
      </c>
      <c r="Q368" s="1119">
        <v>0</v>
      </c>
      <c r="R368" s="1119">
        <v>0</v>
      </c>
      <c r="S368" s="1119">
        <v>0</v>
      </c>
      <c r="T368" s="1119">
        <v>0</v>
      </c>
      <c r="U368" s="2065">
        <v>0</v>
      </c>
    </row>
    <row r="369" spans="2:21" hidden="1" outlineLevel="2">
      <c r="B369" s="1050"/>
      <c r="C369" s="1050"/>
      <c r="D369" s="1051">
        <f t="shared" si="51"/>
        <v>13</v>
      </c>
      <c r="E369" s="1051" t="str">
        <f>IF(COUNTIF(E$344:E368,F369)&gt;0,"",F369)</f>
        <v>Tableau électrique, Monde, Base Carbone</v>
      </c>
      <c r="F369" s="1051" t="str">
        <f t="shared" si="52"/>
        <v>Tableau électrique, Monde, Base Carbone</v>
      </c>
      <c r="G369" s="1055" t="str">
        <f t="shared" si="53"/>
        <v>Tableau électrique, Monde, Base Carbone; kgCO2e/unité, Matières premières</v>
      </c>
      <c r="I369" s="2018" t="s">
        <v>3724</v>
      </c>
      <c r="J369" s="1135" t="s">
        <v>1994</v>
      </c>
      <c r="K369" s="1119" t="s">
        <v>1567</v>
      </c>
      <c r="L369" s="1119" t="s">
        <v>2089</v>
      </c>
      <c r="M369" s="1033">
        <v>0.6</v>
      </c>
      <c r="N369" s="2017" t="s">
        <v>3135</v>
      </c>
      <c r="O369" s="1135">
        <v>680</v>
      </c>
      <c r="P369" s="2017">
        <v>680</v>
      </c>
      <c r="Q369" s="2017">
        <v>0</v>
      </c>
      <c r="R369" s="2017">
        <v>0</v>
      </c>
      <c r="S369" s="2017">
        <v>0</v>
      </c>
      <c r="T369" s="2017">
        <v>0</v>
      </c>
      <c r="U369" s="2042">
        <v>0</v>
      </c>
    </row>
    <row r="370" spans="2:21" hidden="1" outlineLevel="2">
      <c r="B370" s="1050"/>
      <c r="C370" s="1050"/>
      <c r="D370" s="1051">
        <f t="shared" si="51"/>
        <v>14</v>
      </c>
      <c r="E370" s="1051" t="str">
        <f>IF(COUNTIF(E$344:E369,F370)&gt;0,"",F370)</f>
        <v>Tondeuse électrique 1200W, France continentale, Base Carbone</v>
      </c>
      <c r="F370" s="1051" t="str">
        <f t="shared" si="52"/>
        <v>Tondeuse électrique 1200W, France continentale, Base Carbone</v>
      </c>
      <c r="G370" s="1055" t="str">
        <f t="shared" si="53"/>
        <v>Tondeuse électrique 1200W, France continentale, Base Carbone; kgCO2e/unité, Matières premières</v>
      </c>
      <c r="I370" s="1100" t="s">
        <v>4150</v>
      </c>
      <c r="J370" s="1135" t="s">
        <v>1994</v>
      </c>
      <c r="K370" s="1119" t="s">
        <v>1567</v>
      </c>
      <c r="L370" s="1119" t="s">
        <v>1571</v>
      </c>
      <c r="M370" s="2188">
        <v>0.5</v>
      </c>
      <c r="N370" s="1119" t="s">
        <v>3135</v>
      </c>
      <c r="O370">
        <v>44.1</v>
      </c>
      <c r="P370" s="2332">
        <v>44.1</v>
      </c>
      <c r="Q370" s="2332">
        <v>0</v>
      </c>
      <c r="R370" s="2332">
        <v>0</v>
      </c>
      <c r="S370" s="2332">
        <v>0</v>
      </c>
      <c r="T370" s="2332">
        <v>0</v>
      </c>
      <c r="U370" s="2331">
        <v>0</v>
      </c>
    </row>
    <row r="371" spans="2:21" hidden="1" outlineLevel="2">
      <c r="B371" s="1050"/>
      <c r="C371" s="1050"/>
      <c r="D371" s="1051">
        <f t="shared" si="51"/>
        <v>14</v>
      </c>
      <c r="E371" s="1051" t="str">
        <f>IF(COUNTIF(E$344:E370,F371)&gt;0,"",F371)</f>
        <v/>
      </c>
      <c r="F371" s="1051" t="str">
        <f t="shared" si="52"/>
        <v>Tondeuse électrique 1200W, France continentale, Base Carbone</v>
      </c>
      <c r="G371" s="1055" t="str">
        <f t="shared" si="53"/>
        <v>Tondeuse électrique 1200W, France continentale, Base Carbone; kgCO2e/unité, Approvisonnement</v>
      </c>
      <c r="I371" s="1100" t="s">
        <v>4150</v>
      </c>
      <c r="J371" s="1135" t="s">
        <v>1994</v>
      </c>
      <c r="K371" s="1119" t="s">
        <v>1567</v>
      </c>
      <c r="L371" s="1119" t="s">
        <v>1571</v>
      </c>
      <c r="M371" s="1033">
        <v>0.5</v>
      </c>
      <c r="N371" s="1119" t="s">
        <v>4148</v>
      </c>
      <c r="O371" s="1135">
        <v>2.13</v>
      </c>
      <c r="P371" s="1119">
        <v>2.13</v>
      </c>
      <c r="Q371" s="1119">
        <v>0</v>
      </c>
      <c r="R371" s="1119">
        <v>0</v>
      </c>
      <c r="S371" s="1119">
        <v>0</v>
      </c>
      <c r="T371" s="1119">
        <v>0</v>
      </c>
      <c r="U371" s="2065">
        <v>0</v>
      </c>
    </row>
    <row r="372" spans="2:21" hidden="1" outlineLevel="2">
      <c r="B372" s="1050"/>
      <c r="C372" s="1050"/>
      <c r="D372" s="1051">
        <f t="shared" si="51"/>
        <v>14</v>
      </c>
      <c r="E372" s="1051" t="str">
        <f>IF(COUNTIF(E$344:E371,F372)&gt;0,"",F372)</f>
        <v/>
      </c>
      <c r="F372" s="1051" t="str">
        <f t="shared" si="52"/>
        <v>Tondeuse électrique 1200W, France continentale, Base Carbone</v>
      </c>
      <c r="G372" s="1055" t="str">
        <f t="shared" si="53"/>
        <v>Tondeuse électrique 1200W, France continentale, Base Carbone; kgCO2e/unité, Mise en forme</v>
      </c>
      <c r="I372" s="1100" t="s">
        <v>4150</v>
      </c>
      <c r="J372" s="1135" t="s">
        <v>1994</v>
      </c>
      <c r="K372" s="1119" t="s">
        <v>1567</v>
      </c>
      <c r="L372" s="1119" t="s">
        <v>1571</v>
      </c>
      <c r="M372" s="1033">
        <v>0.5</v>
      </c>
      <c r="N372" s="1119" t="s">
        <v>3141</v>
      </c>
      <c r="O372" s="1135">
        <v>4.26</v>
      </c>
      <c r="P372" s="1119">
        <v>4.26</v>
      </c>
      <c r="Q372" s="1119">
        <v>0</v>
      </c>
      <c r="R372" s="1119">
        <v>0</v>
      </c>
      <c r="S372" s="1119">
        <v>0</v>
      </c>
      <c r="T372" s="1119">
        <v>0</v>
      </c>
      <c r="U372" s="2065">
        <v>0</v>
      </c>
    </row>
    <row r="373" spans="2:21" hidden="1" outlineLevel="2">
      <c r="B373" s="1050"/>
      <c r="C373" s="1050"/>
      <c r="D373" s="1051">
        <f t="shared" si="51"/>
        <v>14</v>
      </c>
      <c r="E373" s="1051" t="str">
        <f>IF(COUNTIF(E$344:E372,F373)&gt;0,"",F373)</f>
        <v/>
      </c>
      <c r="F373" s="1051" t="str">
        <f t="shared" si="52"/>
        <v>Tondeuse électrique 1200W, France continentale, Base Carbone</v>
      </c>
      <c r="G373" s="1055" t="str">
        <f t="shared" si="53"/>
        <v>Tondeuse électrique 1200W, France continentale, Base Carbone; kgCO2e/unité, Assemblage</v>
      </c>
      <c r="I373" s="1100" t="s">
        <v>4150</v>
      </c>
      <c r="J373" s="1135" t="s">
        <v>1994</v>
      </c>
      <c r="K373" s="1119" t="s">
        <v>1567</v>
      </c>
      <c r="L373" s="1119" t="s">
        <v>1571</v>
      </c>
      <c r="M373" s="1033">
        <v>0.5</v>
      </c>
      <c r="N373" s="1119" t="s">
        <v>3137</v>
      </c>
      <c r="O373" s="1135">
        <v>9.4</v>
      </c>
      <c r="P373" s="1119">
        <v>9.4</v>
      </c>
      <c r="Q373" s="1119">
        <v>0</v>
      </c>
      <c r="R373" s="1119">
        <v>0</v>
      </c>
      <c r="S373" s="1119">
        <v>0</v>
      </c>
      <c r="T373" s="1119">
        <v>0</v>
      </c>
      <c r="U373" s="2065">
        <v>-0.67</v>
      </c>
    </row>
    <row r="374" spans="2:21" hidden="1" outlineLevel="2">
      <c r="B374" s="1050"/>
      <c r="C374" s="1050"/>
      <c r="D374" s="1051">
        <f t="shared" si="51"/>
        <v>14</v>
      </c>
      <c r="E374" s="1051" t="str">
        <f>IF(COUNTIF(E$344:E373,F374)&gt;0,"",F374)</f>
        <v/>
      </c>
      <c r="F374" s="1051" t="str">
        <f t="shared" si="52"/>
        <v>Tondeuse électrique 1200W, France continentale, Base Carbone</v>
      </c>
      <c r="G374" s="1055" t="str">
        <f t="shared" si="53"/>
        <v>Tondeuse électrique 1200W, France continentale, Base Carbone; kgCO2e/unité, Distribution</v>
      </c>
      <c r="I374" s="1100" t="s">
        <v>4150</v>
      </c>
      <c r="J374" s="1135" t="s">
        <v>1994</v>
      </c>
      <c r="K374" s="1119" t="s">
        <v>1567</v>
      </c>
      <c r="L374" s="1119" t="s">
        <v>1571</v>
      </c>
      <c r="M374" s="1033">
        <v>0.5</v>
      </c>
      <c r="N374" s="1119" t="s">
        <v>3138</v>
      </c>
      <c r="O374" s="1135">
        <v>10.199999999999999</v>
      </c>
      <c r="P374" s="1119">
        <v>10.199999999999999</v>
      </c>
      <c r="Q374" s="1119">
        <v>0</v>
      </c>
      <c r="R374" s="1119">
        <v>0</v>
      </c>
      <c r="S374" s="1119">
        <v>0</v>
      </c>
      <c r="T374" s="1119">
        <v>0</v>
      </c>
      <c r="U374" s="2065">
        <v>0</v>
      </c>
    </row>
    <row r="375" spans="2:21" hidden="1" outlineLevel="2">
      <c r="B375" s="1050"/>
      <c r="C375" s="1050"/>
      <c r="D375" s="1051">
        <f t="shared" si="51"/>
        <v>15</v>
      </c>
      <c r="E375" s="1051" t="str">
        <f>IF(COUNTIF(E$344:E374,F375)&gt;0,"",F375)</f>
        <v>Tondeuse thermique 190 cm³, France continentale, Base Carbone</v>
      </c>
      <c r="F375" s="1051" t="str">
        <f t="shared" si="52"/>
        <v>Tondeuse thermique 190 cm³, France continentale, Base Carbone</v>
      </c>
      <c r="G375" s="1055" t="str">
        <f t="shared" si="53"/>
        <v>Tondeuse thermique 190 cm³, France continentale, Base Carbone; kgCO2e/unité, Matières premières</v>
      </c>
      <c r="I375" s="2018" t="s">
        <v>4151</v>
      </c>
      <c r="J375" s="1135" t="s">
        <v>1994</v>
      </c>
      <c r="K375" s="1119" t="s">
        <v>1567</v>
      </c>
      <c r="L375" s="1119" t="s">
        <v>1571</v>
      </c>
      <c r="M375" s="1033">
        <v>0.5</v>
      </c>
      <c r="N375" s="1119" t="s">
        <v>3135</v>
      </c>
      <c r="O375" s="1119">
        <v>137</v>
      </c>
      <c r="P375" s="1119">
        <v>137</v>
      </c>
      <c r="Q375" s="1119">
        <v>0</v>
      </c>
      <c r="R375" s="1119">
        <v>0</v>
      </c>
      <c r="S375" s="1119">
        <v>0</v>
      </c>
      <c r="T375" s="1119">
        <v>0</v>
      </c>
      <c r="U375" s="2065">
        <v>0</v>
      </c>
    </row>
    <row r="376" spans="2:21" hidden="1" outlineLevel="2">
      <c r="B376" s="1050"/>
      <c r="C376" s="1050"/>
      <c r="D376" s="1051">
        <f t="shared" si="51"/>
        <v>15</v>
      </c>
      <c r="E376" s="1051" t="str">
        <f>IF(COUNTIF(E$344:E375,F376)&gt;0,"",F376)</f>
        <v/>
      </c>
      <c r="F376" s="1051" t="str">
        <f t="shared" si="52"/>
        <v>Tondeuse thermique 190 cm³, France continentale, Base Carbone</v>
      </c>
      <c r="G376" s="1055" t="str">
        <f t="shared" si="53"/>
        <v>Tondeuse thermique 190 cm³, France continentale, Base Carbone; kgCO2e/unité, Approvisonnement</v>
      </c>
      <c r="I376" s="2018" t="s">
        <v>4151</v>
      </c>
      <c r="J376" s="1135" t="s">
        <v>1994</v>
      </c>
      <c r="K376" s="1119" t="s">
        <v>1567</v>
      </c>
      <c r="L376" s="1119" t="s">
        <v>1571</v>
      </c>
      <c r="M376" s="1033">
        <v>0.5</v>
      </c>
      <c r="N376" s="1119" t="s">
        <v>4148</v>
      </c>
      <c r="O376" s="1119">
        <v>6.37</v>
      </c>
      <c r="P376" s="1119">
        <v>6.37</v>
      </c>
      <c r="Q376" s="1119">
        <v>0</v>
      </c>
      <c r="R376" s="1119">
        <v>0</v>
      </c>
      <c r="S376" s="1119">
        <v>0</v>
      </c>
      <c r="T376" s="1119">
        <v>0</v>
      </c>
      <c r="U376" s="2065">
        <v>0</v>
      </c>
    </row>
    <row r="377" spans="2:21" hidden="1" outlineLevel="2">
      <c r="B377" s="1050"/>
      <c r="C377" s="1050"/>
      <c r="D377" s="1051">
        <f t="shared" si="51"/>
        <v>15</v>
      </c>
      <c r="E377" s="1051" t="str">
        <f>IF(COUNTIF(E$344:E376,F377)&gt;0,"",F377)</f>
        <v/>
      </c>
      <c r="F377" s="1051" t="str">
        <f t="shared" si="52"/>
        <v>Tondeuse thermique 190 cm³, France continentale, Base Carbone</v>
      </c>
      <c r="G377" s="1055" t="str">
        <f t="shared" si="53"/>
        <v>Tondeuse thermique 190 cm³, France continentale, Base Carbone; kgCO2e/unité, Mise en forme</v>
      </c>
      <c r="I377" s="2018" t="s">
        <v>4151</v>
      </c>
      <c r="J377" s="1135" t="s">
        <v>1994</v>
      </c>
      <c r="K377" s="1119" t="s">
        <v>1567</v>
      </c>
      <c r="L377" s="1119" t="s">
        <v>1571</v>
      </c>
      <c r="M377" s="1033">
        <v>0.5</v>
      </c>
      <c r="N377" s="1119" t="s">
        <v>3141</v>
      </c>
      <c r="O377" s="1119">
        <v>9.68</v>
      </c>
      <c r="P377" s="1119">
        <v>9.68</v>
      </c>
      <c r="Q377" s="1119">
        <v>0</v>
      </c>
      <c r="R377" s="1119">
        <v>0</v>
      </c>
      <c r="S377" s="1119">
        <v>0</v>
      </c>
      <c r="T377" s="1119">
        <v>0</v>
      </c>
      <c r="U377" s="2065">
        <v>0</v>
      </c>
    </row>
    <row r="378" spans="2:21" hidden="1" outlineLevel="2">
      <c r="B378" s="1050"/>
      <c r="C378" s="1050"/>
      <c r="D378" s="1051">
        <f t="shared" si="51"/>
        <v>15</v>
      </c>
      <c r="E378" s="1051" t="str">
        <f>IF(COUNTIF(E$344:E377,F378)&gt;0,"",F378)</f>
        <v/>
      </c>
      <c r="F378" s="1051" t="str">
        <f t="shared" si="52"/>
        <v>Tondeuse thermique 190 cm³, France continentale, Base Carbone</v>
      </c>
      <c r="G378" s="1055" t="str">
        <f t="shared" si="53"/>
        <v>Tondeuse thermique 190 cm³, France continentale, Base Carbone; kgCO2e/unité, Assemblage</v>
      </c>
      <c r="I378" s="2018" t="s">
        <v>4151</v>
      </c>
      <c r="J378" s="1135" t="s">
        <v>1994</v>
      </c>
      <c r="K378" s="1119" t="s">
        <v>1567</v>
      </c>
      <c r="L378" s="1119" t="s">
        <v>1571</v>
      </c>
      <c r="M378" s="1033">
        <v>0.5</v>
      </c>
      <c r="N378" s="1119" t="s">
        <v>3137</v>
      </c>
      <c r="O378" s="1119">
        <v>1.56</v>
      </c>
      <c r="P378" s="1119">
        <v>1.56</v>
      </c>
      <c r="Q378" s="1119">
        <v>0</v>
      </c>
      <c r="R378" s="1119">
        <v>0</v>
      </c>
      <c r="S378" s="1119">
        <v>0</v>
      </c>
      <c r="T378" s="1119">
        <v>0</v>
      </c>
      <c r="U378" s="2065">
        <v>-2.4500000000000002</v>
      </c>
    </row>
    <row r="379" spans="2:21" hidden="1" outlineLevel="2">
      <c r="B379" s="1050"/>
      <c r="C379" s="1050"/>
      <c r="D379" s="1051">
        <f t="shared" si="51"/>
        <v>15</v>
      </c>
      <c r="E379" s="1051" t="str">
        <f>IF(COUNTIF(E$344:E378,F379)&gt;0,"",F379)</f>
        <v/>
      </c>
      <c r="F379" s="1051" t="str">
        <f t="shared" si="52"/>
        <v>Tondeuse thermique 190 cm³, France continentale, Base Carbone</v>
      </c>
      <c r="G379" s="1055" t="str">
        <f t="shared" si="53"/>
        <v>Tondeuse thermique 190 cm³, France continentale, Base Carbone; kgCO2e/unité, Distribution</v>
      </c>
      <c r="I379" s="2018" t="s">
        <v>4151</v>
      </c>
      <c r="J379" s="1135" t="s">
        <v>1994</v>
      </c>
      <c r="K379" s="1119" t="s">
        <v>1567</v>
      </c>
      <c r="L379" s="1119" t="s">
        <v>1571</v>
      </c>
      <c r="M379" s="1033">
        <v>0.5</v>
      </c>
      <c r="N379" s="1119" t="s">
        <v>3138</v>
      </c>
      <c r="O379" s="1119">
        <v>53.9</v>
      </c>
      <c r="P379" s="1119">
        <v>53.9</v>
      </c>
      <c r="Q379" s="1119">
        <v>0</v>
      </c>
      <c r="R379" s="1119">
        <v>0</v>
      </c>
      <c r="S379" s="1119">
        <v>0</v>
      </c>
      <c r="T379" s="1119">
        <v>0</v>
      </c>
      <c r="U379" s="2065">
        <v>0</v>
      </c>
    </row>
    <row r="380" spans="2:21" hidden="1" outlineLevel="2">
      <c r="B380" s="1050"/>
      <c r="C380" s="1050"/>
      <c r="D380" s="1051">
        <f t="shared" si="51"/>
        <v>16</v>
      </c>
      <c r="E380" s="1051" t="str">
        <f>IF(COUNTIF(E$344:E379,F380)&gt;0,"",F380)</f>
        <v>Variateur électrique, Monde, Base Carbone</v>
      </c>
      <c r="F380" s="1051" t="str">
        <f t="shared" si="52"/>
        <v>Variateur électrique, Monde, Base Carbone</v>
      </c>
      <c r="G380" s="1055" t="str">
        <f t="shared" si="53"/>
        <v>Variateur électrique, Monde, Base Carbone; kgCO2e/tonne, Matières premières</v>
      </c>
      <c r="I380" s="2018" t="s">
        <v>3725</v>
      </c>
      <c r="J380" s="1135" t="s">
        <v>1585</v>
      </c>
      <c r="K380" s="1119" t="s">
        <v>1567</v>
      </c>
      <c r="L380" s="1119" t="s">
        <v>2089</v>
      </c>
      <c r="M380" s="1033">
        <v>0.3</v>
      </c>
      <c r="N380" s="1119" t="s">
        <v>3135</v>
      </c>
      <c r="O380" s="1135">
        <v>36837</v>
      </c>
      <c r="P380" s="2017">
        <v>0</v>
      </c>
      <c r="Q380" s="2017">
        <v>0</v>
      </c>
      <c r="R380" s="2017">
        <v>0</v>
      </c>
      <c r="S380" s="2017">
        <v>0</v>
      </c>
      <c r="T380" s="2017">
        <v>0</v>
      </c>
      <c r="U380" s="2042">
        <v>0</v>
      </c>
    </row>
    <row r="381" spans="2:21" hidden="1" outlineLevel="2">
      <c r="B381" s="1050"/>
      <c r="C381" s="1050"/>
      <c r="D381" s="1051">
        <f t="shared" si="51"/>
        <v>16</v>
      </c>
      <c r="E381" s="1051" t="str">
        <f>IF(COUNTIF(E$344:E380,F381)&gt;0,"",F381)</f>
        <v/>
      </c>
      <c r="F381" s="1051" t="str">
        <f t="shared" si="52"/>
        <v/>
      </c>
      <c r="G381" s="1055" t="str">
        <f t="shared" si="53"/>
        <v/>
      </c>
      <c r="I381" s="2018"/>
      <c r="J381" s="1135"/>
      <c r="K381" s="1119"/>
      <c r="L381" s="1119"/>
      <c r="M381" s="1033"/>
      <c r="N381" s="1135"/>
      <c r="O381" s="1135"/>
      <c r="P381" s="2017"/>
      <c r="Q381" s="2017"/>
      <c r="R381" s="2017"/>
      <c r="S381" s="2017"/>
      <c r="T381" s="2017"/>
      <c r="U381" s="2042"/>
    </row>
    <row r="382" spans="2:21" hidden="1" outlineLevel="2">
      <c r="B382" s="1050"/>
      <c r="C382" s="1050"/>
      <c r="D382" s="1051">
        <f t="shared" si="51"/>
        <v>16</v>
      </c>
      <c r="E382" s="1051" t="str">
        <f>IF(COUNTIF(E$344:E381,F382)&gt;0,"",F382)</f>
        <v/>
      </c>
      <c r="F382" s="1051" t="str">
        <f t="shared" si="52"/>
        <v/>
      </c>
      <c r="G382" s="1055" t="str">
        <f t="shared" si="53"/>
        <v/>
      </c>
      <c r="I382" s="1100"/>
      <c r="J382" s="1048"/>
      <c r="K382" s="1119"/>
      <c r="L382" s="1048"/>
      <c r="M382" s="1033"/>
      <c r="N382" s="1048"/>
      <c r="O382" s="1048"/>
      <c r="P382" s="1048"/>
      <c r="Q382" s="1048"/>
      <c r="R382" s="1048"/>
      <c r="S382" s="1048"/>
      <c r="T382" s="1048"/>
      <c r="U382" s="1102"/>
    </row>
    <row r="383" spans="2:21" hidden="1" outlineLevel="2">
      <c r="B383" s="1050"/>
      <c r="C383" s="1050"/>
      <c r="D383" s="1051">
        <f t="shared" si="51"/>
        <v>16</v>
      </c>
      <c r="E383" s="1051" t="str">
        <f>IF(COUNTIF(E$344:E382,F383)&gt;0,"",F383)</f>
        <v/>
      </c>
      <c r="F383" s="1051" t="str">
        <f t="shared" si="52"/>
        <v/>
      </c>
      <c r="G383" s="1055" t="str">
        <f t="shared" si="53"/>
        <v/>
      </c>
      <c r="I383" s="1100"/>
      <c r="U383" s="1102"/>
    </row>
    <row r="384" spans="2:21" hidden="1" outlineLevel="2">
      <c r="B384" s="1050"/>
      <c r="C384" s="1050"/>
      <c r="D384" s="1051">
        <f t="shared" si="51"/>
        <v>16</v>
      </c>
      <c r="E384" s="1051" t="str">
        <f>IF(COUNTIF(E$344:E383,F384)&gt;0,"",F384)</f>
        <v/>
      </c>
      <c r="F384" s="1051" t="str">
        <f t="shared" si="52"/>
        <v/>
      </c>
      <c r="G384" s="1055" t="str">
        <f t="shared" si="53"/>
        <v/>
      </c>
      <c r="I384" s="1100"/>
      <c r="J384" s="1048"/>
      <c r="K384" s="1119"/>
      <c r="L384" s="1048"/>
      <c r="M384" s="1033"/>
      <c r="N384" s="1048"/>
      <c r="O384" s="1048"/>
      <c r="P384" s="1048"/>
      <c r="Q384" s="1048"/>
      <c r="R384" s="1048"/>
      <c r="S384" s="1048"/>
      <c r="T384" s="1048"/>
      <c r="U384" s="1102"/>
    </row>
    <row r="385" spans="2:21" ht="13.2" hidden="1" outlineLevel="2">
      <c r="B385" s="1050"/>
      <c r="C385" s="1050"/>
      <c r="D385" s="1051">
        <f t="shared" si="51"/>
        <v>16</v>
      </c>
      <c r="E385" s="1051" t="str">
        <f>IF(COUNTIF(E$344:E384,F385)&gt;0,"",F385)</f>
        <v/>
      </c>
      <c r="F385" s="1051" t="str">
        <f t="shared" si="52"/>
        <v/>
      </c>
      <c r="G385" s="1055" t="str">
        <f t="shared" si="53"/>
        <v/>
      </c>
      <c r="I385" s="2196"/>
      <c r="J385" s="2197"/>
      <c r="K385" s="2197"/>
      <c r="L385" s="2197"/>
      <c r="M385" s="2197"/>
      <c r="N385" s="2197"/>
      <c r="O385" s="2197"/>
      <c r="P385" s="2197"/>
      <c r="Q385" s="2197"/>
      <c r="R385" s="2197"/>
      <c r="S385" s="2197"/>
      <c r="T385" s="2197"/>
      <c r="U385" s="2198"/>
    </row>
    <row r="386" spans="2:21" ht="13.2" hidden="1" outlineLevel="2">
      <c r="B386" s="1050"/>
      <c r="C386" s="1050"/>
      <c r="D386" s="1051">
        <f t="shared" si="51"/>
        <v>16</v>
      </c>
      <c r="E386" s="1051" t="str">
        <f>IF(COUNTIF(E$344:E385,F386)&gt;0,"",F386)</f>
        <v/>
      </c>
      <c r="F386" s="1051" t="str">
        <f t="shared" si="52"/>
        <v/>
      </c>
      <c r="G386" s="1055" t="str">
        <f t="shared" si="53"/>
        <v/>
      </c>
      <c r="I386" s="2196"/>
      <c r="J386" s="2197"/>
      <c r="K386" s="2197"/>
      <c r="L386" s="2197"/>
      <c r="M386" s="2197"/>
      <c r="N386" s="2197"/>
      <c r="O386" s="2197"/>
      <c r="P386" s="2197"/>
      <c r="Q386" s="2197"/>
      <c r="R386" s="2197"/>
      <c r="S386" s="2197"/>
      <c r="T386" s="2197"/>
      <c r="U386" s="2198"/>
    </row>
    <row r="387" spans="2:21" ht="13.2" hidden="1" outlineLevel="2">
      <c r="B387" s="1050"/>
      <c r="C387" s="1050"/>
      <c r="D387" s="1051">
        <f t="shared" si="51"/>
        <v>16</v>
      </c>
      <c r="E387" s="1051" t="str">
        <f>IF(COUNTIF(E$344:E386,F387)&gt;0,"",F387)</f>
        <v/>
      </c>
      <c r="F387" s="1051" t="str">
        <f t="shared" si="52"/>
        <v/>
      </c>
      <c r="G387" s="1055" t="str">
        <f t="shared" si="53"/>
        <v/>
      </c>
      <c r="I387" s="2196"/>
      <c r="J387" s="2197"/>
      <c r="K387" s="2197"/>
      <c r="L387" s="2197"/>
      <c r="M387" s="2197"/>
      <c r="N387" s="2197"/>
      <c r="O387" s="2197"/>
      <c r="P387" s="2197"/>
      <c r="Q387" s="2197"/>
      <c r="R387" s="2197"/>
      <c r="S387" s="2197"/>
      <c r="T387" s="2197"/>
      <c r="U387" s="2198"/>
    </row>
    <row r="388" spans="2:21" ht="13.2" hidden="1" outlineLevel="1">
      <c r="C388" s="1045"/>
      <c r="D388" s="1045"/>
      <c r="E388" s="1045"/>
      <c r="F388" s="1045"/>
      <c r="G388" s="1135"/>
      <c r="I388" s="1746"/>
      <c r="J388" s="1742"/>
      <c r="K388" s="1742"/>
      <c r="L388" s="1742"/>
      <c r="M388" s="1742"/>
      <c r="N388" s="1742"/>
      <c r="O388" s="1742"/>
      <c r="P388" s="1742"/>
      <c r="Q388" s="1742"/>
      <c r="R388" s="1742"/>
      <c r="S388" s="1742"/>
      <c r="T388" s="1742"/>
      <c r="U388" s="2063"/>
    </row>
    <row r="389" spans="2:21" ht="12.75" hidden="1" customHeight="1" outlineLevel="1" collapsed="1">
      <c r="B389" s="3156" t="s">
        <v>3727</v>
      </c>
      <c r="C389" s="3156"/>
      <c r="D389" s="1051">
        <v>0</v>
      </c>
      <c r="E389" s="1051"/>
      <c r="F389" s="1051"/>
      <c r="G389" s="1055"/>
      <c r="I389" s="1746"/>
      <c r="J389" s="1742"/>
      <c r="K389" s="1742"/>
      <c r="L389" s="1742"/>
      <c r="M389" s="1742"/>
      <c r="N389" s="1742"/>
      <c r="O389" s="1742"/>
      <c r="P389" s="1742"/>
      <c r="Q389" s="1742"/>
      <c r="R389" s="1742"/>
      <c r="S389" s="1742"/>
      <c r="T389" s="1742"/>
      <c r="U389" s="2063"/>
    </row>
    <row r="390" spans="2:21" hidden="1" outlineLevel="2">
      <c r="B390" s="2195">
        <v>1</v>
      </c>
      <c r="C390" s="2109" t="str">
        <f>IF(ISNA(VLOOKUP(B390,$D$389:$E$401,2,FALSE)),"-",VLOOKUP(B390,$D$389:$E$401,2,FALSE))</f>
        <v>Cartouche jet d'encre noir et blanc re-conditionnée, Monde, Base Carbone</v>
      </c>
      <c r="D390" s="1051">
        <f t="shared" ref="D390" si="54">D389+IF(LEN(E390)&gt;0,1,0)</f>
        <v>1</v>
      </c>
      <c r="E390" s="1051" t="str">
        <f>IF(COUNTIF(E$389:E389,F390)&gt;0,"",F390)</f>
        <v>Cartouche jet d'encre noir et blanc re-conditionnée, Monde, Base Carbone</v>
      </c>
      <c r="F390" s="1051" t="str">
        <f>IF(I390&lt;&gt;"",I390&amp;IF(N390&lt;&gt;""," "&amp;N390,)&amp;IF(L390&lt;&gt;"",", "&amp;L390,"")&amp;IF(K390&lt;&gt;"",", "&amp;K390,""),"")</f>
        <v>Cartouche jet d'encre noir et blanc re-conditionnée, Monde, Base Carbone</v>
      </c>
      <c r="G390" s="1055" t="str">
        <f>IF(F390&lt;&gt;"",F390&amp;IF(J390&lt;&gt;"","; "&amp;J390,""),"")</f>
        <v>Cartouche jet d'encre noir et blanc re-conditionnée, Monde, Base Carbone; kgCO2e/100 feuilles A4</v>
      </c>
      <c r="I390" s="2018" t="s">
        <v>3728</v>
      </c>
      <c r="J390" s="1045" t="s">
        <v>3733</v>
      </c>
      <c r="K390" s="1045" t="s">
        <v>1567</v>
      </c>
      <c r="L390" s="1045" t="s">
        <v>2089</v>
      </c>
      <c r="M390" s="2215">
        <v>1</v>
      </c>
      <c r="N390" s="1045"/>
      <c r="O390" s="1045">
        <v>4.2000000000000003E-2</v>
      </c>
      <c r="P390" s="1045"/>
      <c r="Q390" s="1045"/>
      <c r="R390" s="1045"/>
      <c r="S390" s="1045"/>
      <c r="T390" s="1045"/>
      <c r="U390" s="2041"/>
    </row>
    <row r="391" spans="2:21" hidden="1" outlineLevel="2">
      <c r="B391" s="2195">
        <v>2</v>
      </c>
      <c r="C391" s="2109" t="str">
        <f t="shared" ref="C391:C401" si="55">IF(ISNA(VLOOKUP(B391,$D$389:$E$401,2,FALSE)),"-",VLOOKUP(B391,$D$389:$E$401,2,FALSE))</f>
        <v>Cartouche toner couleur (CMY) re-conditionnée, Monde, Base Carbone</v>
      </c>
      <c r="D391" s="1051">
        <f t="shared" ref="D391:D401" si="56">D390+IF(LEN(E391)&gt;0,1,0)</f>
        <v>2</v>
      </c>
      <c r="E391" s="1051" t="str">
        <f>IF(COUNTIF(E$389:E390,F391)&gt;0,"",F391)</f>
        <v>Cartouche toner couleur (CMY) re-conditionnée, Monde, Base Carbone</v>
      </c>
      <c r="F391" s="1051" t="str">
        <f t="shared" ref="F391:F401" si="57">IF(I391&lt;&gt;"",I391&amp;IF(N391&lt;&gt;""," "&amp;N391,)&amp;IF(L391&lt;&gt;"",", "&amp;L391,"")&amp;IF(K391&lt;&gt;"",", "&amp;K391,""),"")</f>
        <v>Cartouche toner couleur (CMY) re-conditionnée, Monde, Base Carbone</v>
      </c>
      <c r="G391" s="1055" t="str">
        <f t="shared" ref="G391:G401" si="58">IF(F391&lt;&gt;"",F391&amp;IF(J391&lt;&gt;"","; "&amp;J391,""),"")</f>
        <v>Cartouche toner couleur (CMY) re-conditionnée, Monde, Base Carbone; kgCO2e/100 feuilles A4</v>
      </c>
      <c r="I391" s="2018" t="s">
        <v>3729</v>
      </c>
      <c r="J391" s="1045" t="s">
        <v>3733</v>
      </c>
      <c r="K391" s="1045" t="s">
        <v>1567</v>
      </c>
      <c r="L391" s="1045" t="s">
        <v>2089</v>
      </c>
      <c r="M391" s="2215">
        <v>1</v>
      </c>
      <c r="N391" s="1045"/>
      <c r="O391" s="1045">
        <v>0.2</v>
      </c>
      <c r="P391" s="1045"/>
      <c r="Q391" s="1045"/>
      <c r="R391" s="1045"/>
      <c r="S391" s="1045"/>
      <c r="T391" s="1045"/>
      <c r="U391" s="2041"/>
    </row>
    <row r="392" spans="2:21" ht="13.2" hidden="1" outlineLevel="2">
      <c r="B392" s="2195">
        <v>3</v>
      </c>
      <c r="C392" s="2109" t="str">
        <f t="shared" si="55"/>
        <v>Cartouche toner noir et blanc re-conditionnée, Monde, Base Carbone</v>
      </c>
      <c r="D392" s="1051">
        <f t="shared" si="56"/>
        <v>3</v>
      </c>
      <c r="E392" s="1051" t="str">
        <f>IF(COUNTIF(E$389:E391,F392)&gt;0,"",F392)</f>
        <v>Cartouche toner noir et blanc re-conditionnée, Monde, Base Carbone</v>
      </c>
      <c r="F392" s="1051" t="str">
        <f t="shared" si="57"/>
        <v>Cartouche toner noir et blanc re-conditionnée, Monde, Base Carbone</v>
      </c>
      <c r="G392" s="1055" t="str">
        <f t="shared" si="58"/>
        <v>Cartouche toner noir et blanc re-conditionnée, Monde, Base Carbone; kgCO2e/100 feuilles A4</v>
      </c>
      <c r="I392" s="2216" t="s">
        <v>3730</v>
      </c>
      <c r="J392" s="1045" t="s">
        <v>3733</v>
      </c>
      <c r="K392" s="1045" t="s">
        <v>1567</v>
      </c>
      <c r="L392" s="1045" t="s">
        <v>2089</v>
      </c>
      <c r="M392" s="2043">
        <v>1</v>
      </c>
      <c r="N392" s="2197"/>
      <c r="O392" s="2217">
        <v>0.23</v>
      </c>
      <c r="P392" s="2197"/>
      <c r="Q392" s="2197"/>
      <c r="R392" s="2197"/>
      <c r="S392" s="2197"/>
      <c r="T392" s="2197"/>
      <c r="U392" s="2198"/>
    </row>
    <row r="393" spans="2:21" ht="13.2" hidden="1" outlineLevel="2">
      <c r="B393" s="2195">
        <v>4</v>
      </c>
      <c r="C393" s="2109" t="str">
        <f t="shared" si="55"/>
        <v>Encre couleur impression offset, France continentale, Base Carbone</v>
      </c>
      <c r="D393" s="1051">
        <f t="shared" si="56"/>
        <v>4</v>
      </c>
      <c r="E393" s="1051" t="str">
        <f>IF(COUNTIF(E$389:E392,F393)&gt;0,"",F393)</f>
        <v>Encre couleur impression offset, France continentale, Base Carbone</v>
      </c>
      <c r="F393" s="1051" t="str">
        <f t="shared" si="57"/>
        <v>Encre couleur impression offset, France continentale, Base Carbone</v>
      </c>
      <c r="G393" s="1055" t="str">
        <f t="shared" si="58"/>
        <v>Encre couleur impression offset, France continentale, Base Carbone; kgCO2e/tonne</v>
      </c>
      <c r="I393" s="2218" t="s">
        <v>3731</v>
      </c>
      <c r="J393" s="2219" t="s">
        <v>1585</v>
      </c>
      <c r="K393" s="1045" t="s">
        <v>1567</v>
      </c>
      <c r="L393" s="1135" t="s">
        <v>1571</v>
      </c>
      <c r="M393" s="2043">
        <v>1</v>
      </c>
      <c r="N393" s="2197"/>
      <c r="O393" s="2217">
        <v>1870</v>
      </c>
      <c r="P393" s="2197"/>
      <c r="Q393" s="2197"/>
      <c r="R393" s="2197"/>
      <c r="S393" s="2197"/>
      <c r="T393" s="2197"/>
      <c r="U393" s="2198"/>
    </row>
    <row r="394" spans="2:21" ht="13.2" hidden="1" outlineLevel="2">
      <c r="B394" s="2195">
        <v>5</v>
      </c>
      <c r="C394" s="2109" t="str">
        <f t="shared" si="55"/>
        <v>Encre d'imprimerie en solution toluène, France continentale, Base Carbone</v>
      </c>
      <c r="D394" s="1051">
        <f t="shared" si="56"/>
        <v>5</v>
      </c>
      <c r="E394" s="1051" t="str">
        <f>IF(COUNTIF(E$389:E393,F394)&gt;0,"",F394)</f>
        <v>Encre d'imprimerie en solution toluène, France continentale, Base Carbone</v>
      </c>
      <c r="F394" s="1051" t="str">
        <f t="shared" si="57"/>
        <v>Encre d'imprimerie en solution toluène, France continentale, Base Carbone</v>
      </c>
      <c r="G394" s="1055" t="str">
        <f t="shared" si="58"/>
        <v>Encre d'imprimerie en solution toluène, France continentale, Base Carbone; kgCO2e/tonne</v>
      </c>
      <c r="I394" s="2218" t="s">
        <v>3732</v>
      </c>
      <c r="J394" s="2219" t="s">
        <v>1585</v>
      </c>
      <c r="K394" s="1045" t="s">
        <v>1567</v>
      </c>
      <c r="L394" s="1135" t="s">
        <v>1571</v>
      </c>
      <c r="M394" s="2043">
        <v>1</v>
      </c>
      <c r="N394" s="2197"/>
      <c r="O394" s="2217">
        <v>2750</v>
      </c>
      <c r="P394" s="2197"/>
      <c r="Q394" s="2197"/>
      <c r="R394" s="2197"/>
      <c r="S394" s="2197"/>
      <c r="T394" s="2197"/>
      <c r="U394" s="2198"/>
    </row>
    <row r="395" spans="2:21" hidden="1" outlineLevel="2">
      <c r="B395" s="2195">
        <v>6</v>
      </c>
      <c r="C395" s="2109" t="str">
        <f t="shared" si="55"/>
        <v>Consommables bureautiques, France continentale, Base Carbone</v>
      </c>
      <c r="D395" s="1051">
        <f t="shared" si="56"/>
        <v>6</v>
      </c>
      <c r="E395" s="1051" t="str">
        <f>IF(COUNTIF(E$389:E394,F395)&gt;0,"",F395)</f>
        <v>Consommables bureautiques, France continentale, Base Carbone</v>
      </c>
      <c r="F395" s="1051" t="str">
        <f t="shared" si="57"/>
        <v>Consommables bureautiques, France continentale, Base Carbone</v>
      </c>
      <c r="G395" s="1055" t="str">
        <f t="shared" si="58"/>
        <v>Consommables bureautiques, France continentale, Base Carbone; kgCO2e/euro dépensé</v>
      </c>
      <c r="I395" s="2018" t="s">
        <v>2108</v>
      </c>
      <c r="J395" s="1135" t="s">
        <v>2110</v>
      </c>
      <c r="K395" s="1045" t="s">
        <v>1567</v>
      </c>
      <c r="L395" s="1135" t="s">
        <v>1571</v>
      </c>
      <c r="M395" s="1033">
        <v>0.5</v>
      </c>
      <c r="N395" s="1135"/>
      <c r="O395" s="1135">
        <v>0.91700000000000004</v>
      </c>
      <c r="P395" s="1135"/>
      <c r="Q395" s="1135"/>
      <c r="R395" s="1135"/>
      <c r="S395" s="1135"/>
      <c r="T395" s="1135"/>
      <c r="U395" s="2041"/>
    </row>
    <row r="396" spans="2:21" hidden="1" outlineLevel="2">
      <c r="B396" s="2195">
        <v>7</v>
      </c>
      <c r="C396" s="2109" t="str">
        <f t="shared" si="55"/>
        <v>Petites fournitures, France continentale, Base Carbone</v>
      </c>
      <c r="D396" s="1051">
        <f t="shared" si="56"/>
        <v>7</v>
      </c>
      <c r="E396" s="1051" t="str">
        <f>IF(COUNTIF(E$389:E395,F396)&gt;0,"",F396)</f>
        <v>Petites fournitures, France continentale, Base Carbone</v>
      </c>
      <c r="F396" s="1051" t="str">
        <f t="shared" si="57"/>
        <v>Petites fournitures, France continentale, Base Carbone</v>
      </c>
      <c r="G396" s="1055" t="str">
        <f t="shared" si="58"/>
        <v>Petites fournitures, France continentale, Base Carbone; kgCO2e/euro dépensé</v>
      </c>
      <c r="I396" s="2018" t="s">
        <v>2109</v>
      </c>
      <c r="J396" s="1135" t="s">
        <v>2110</v>
      </c>
      <c r="K396" s="1045" t="s">
        <v>1567</v>
      </c>
      <c r="L396" s="1135" t="s">
        <v>1571</v>
      </c>
      <c r="M396" s="1033">
        <v>0.5</v>
      </c>
      <c r="N396" s="1135"/>
      <c r="O396" s="1135">
        <v>0.36699999999999999</v>
      </c>
      <c r="P396" s="1135"/>
      <c r="Q396" s="1135"/>
      <c r="R396" s="1135"/>
      <c r="S396" s="1135"/>
      <c r="T396" s="1135"/>
      <c r="U396" s="2041"/>
    </row>
    <row r="397" spans="2:21" hidden="1" outlineLevel="2">
      <c r="B397" s="2195">
        <v>8</v>
      </c>
      <c r="C397" s="2109" t="str">
        <f t="shared" si="55"/>
        <v>-</v>
      </c>
      <c r="D397" s="1051">
        <f t="shared" si="56"/>
        <v>7</v>
      </c>
      <c r="E397" s="1051" t="str">
        <f>IF(COUNTIF(E$389:E396,F397)&gt;0,"",F397)</f>
        <v/>
      </c>
      <c r="F397" s="1051" t="str">
        <f t="shared" si="57"/>
        <v/>
      </c>
      <c r="G397" s="1055" t="str">
        <f t="shared" si="58"/>
        <v/>
      </c>
      <c r="I397" s="2018"/>
      <c r="J397" s="1135"/>
      <c r="K397" s="1045"/>
      <c r="L397" s="1135"/>
      <c r="M397" s="1033"/>
      <c r="N397" s="1135"/>
      <c r="O397" s="1135"/>
      <c r="P397" s="1135"/>
      <c r="Q397" s="1135"/>
      <c r="R397" s="1135"/>
      <c r="S397" s="1135"/>
      <c r="T397" s="1135"/>
      <c r="U397" s="2041"/>
    </row>
    <row r="398" spans="2:21" hidden="1" outlineLevel="2">
      <c r="B398" s="2195">
        <v>9</v>
      </c>
      <c r="C398" s="2109" t="str">
        <f t="shared" si="55"/>
        <v>-</v>
      </c>
      <c r="D398" s="1051">
        <f t="shared" si="56"/>
        <v>7</v>
      </c>
      <c r="E398" s="1051" t="str">
        <f>IF(COUNTIF(E$389:E397,F398)&gt;0,"",F398)</f>
        <v/>
      </c>
      <c r="F398" s="1051" t="str">
        <f t="shared" si="57"/>
        <v/>
      </c>
      <c r="G398" s="1055" t="str">
        <f t="shared" si="58"/>
        <v/>
      </c>
      <c r="I398" s="2018"/>
      <c r="J398" s="1135"/>
      <c r="K398" s="1045"/>
      <c r="L398" s="1135"/>
      <c r="M398" s="1033"/>
      <c r="N398" s="1135"/>
      <c r="O398" s="1135"/>
      <c r="P398" s="1135"/>
      <c r="Q398" s="1135"/>
      <c r="R398" s="1135"/>
      <c r="S398" s="1135"/>
      <c r="T398" s="1135"/>
      <c r="U398" s="2041"/>
    </row>
    <row r="399" spans="2:21" hidden="1" outlineLevel="2">
      <c r="B399" s="2195">
        <v>10</v>
      </c>
      <c r="C399" s="2109" t="str">
        <f t="shared" si="55"/>
        <v>-</v>
      </c>
      <c r="D399" s="1051">
        <f t="shared" si="56"/>
        <v>7</v>
      </c>
      <c r="E399" s="1051" t="str">
        <f>IF(COUNTIF(E$389:E398,F399)&gt;0,"",F399)</f>
        <v/>
      </c>
      <c r="F399" s="1051" t="str">
        <f t="shared" si="57"/>
        <v/>
      </c>
      <c r="G399" s="1055" t="str">
        <f t="shared" si="58"/>
        <v/>
      </c>
      <c r="I399" s="2018"/>
      <c r="J399" s="1135"/>
      <c r="K399" s="1045"/>
      <c r="L399" s="1135"/>
      <c r="M399" s="1033"/>
      <c r="N399" s="1135"/>
      <c r="O399" s="1135"/>
      <c r="P399" s="1135"/>
      <c r="Q399" s="1135"/>
      <c r="R399" s="1135"/>
      <c r="S399" s="1135"/>
      <c r="T399" s="1135"/>
      <c r="U399" s="2041"/>
    </row>
    <row r="400" spans="2:21" hidden="1" outlineLevel="2">
      <c r="B400" s="2195">
        <v>11</v>
      </c>
      <c r="C400" s="2109" t="str">
        <f t="shared" si="55"/>
        <v>-</v>
      </c>
      <c r="D400" s="1051">
        <f t="shared" si="56"/>
        <v>7</v>
      </c>
      <c r="E400" s="1051" t="str">
        <f>IF(COUNTIF(E$389:E399,F400)&gt;0,"",F400)</f>
        <v/>
      </c>
      <c r="F400" s="1051" t="str">
        <f t="shared" si="57"/>
        <v/>
      </c>
      <c r="G400" s="1055" t="str">
        <f t="shared" si="58"/>
        <v/>
      </c>
      <c r="I400" s="2018"/>
      <c r="J400" s="1135"/>
      <c r="K400" s="1045"/>
      <c r="L400" s="1135"/>
      <c r="M400" s="1033"/>
      <c r="N400" s="1135"/>
      <c r="O400" s="1135"/>
      <c r="P400" s="1135"/>
      <c r="Q400" s="1135"/>
      <c r="R400" s="1135"/>
      <c r="S400" s="1135"/>
      <c r="T400" s="1135"/>
      <c r="U400" s="2041"/>
    </row>
    <row r="401" spans="2:22" hidden="1" outlineLevel="2">
      <c r="B401" s="2195">
        <v>12</v>
      </c>
      <c r="C401" s="2109" t="str">
        <f t="shared" si="55"/>
        <v>-</v>
      </c>
      <c r="D401" s="1051">
        <f t="shared" si="56"/>
        <v>7</v>
      </c>
      <c r="E401" s="1051" t="str">
        <f>IF(COUNTIF(E$389:E400,F401)&gt;0,"",F401)</f>
        <v/>
      </c>
      <c r="F401" s="1051" t="str">
        <f t="shared" si="57"/>
        <v/>
      </c>
      <c r="G401" s="1055" t="str">
        <f t="shared" si="58"/>
        <v/>
      </c>
      <c r="I401" s="2018"/>
      <c r="J401" s="1135"/>
      <c r="K401" s="1045"/>
      <c r="L401" s="1135"/>
      <c r="M401" s="1033"/>
      <c r="N401" s="1135"/>
      <c r="O401" s="1135"/>
      <c r="P401" s="1135"/>
      <c r="Q401" s="1135"/>
      <c r="R401" s="1135"/>
      <c r="S401" s="1135"/>
      <c r="T401" s="1135"/>
      <c r="U401" s="2041"/>
    </row>
    <row r="402" spans="2:22" hidden="1" outlineLevel="1">
      <c r="I402" s="1711"/>
      <c r="J402" s="1712"/>
      <c r="K402" s="2214"/>
      <c r="L402" s="1712"/>
      <c r="M402" s="1696"/>
      <c r="N402" s="1712"/>
      <c r="O402" s="1712"/>
      <c r="P402" s="1712"/>
      <c r="Q402" s="1712"/>
      <c r="R402" s="1712"/>
      <c r="S402" s="1712"/>
      <c r="T402" s="1712"/>
      <c r="U402" s="1714"/>
    </row>
    <row r="403" spans="2:22" ht="12.75" hidden="1" customHeight="1" outlineLevel="1" collapsed="1">
      <c r="B403" s="3156" t="s">
        <v>121</v>
      </c>
      <c r="C403" s="3156"/>
      <c r="D403" s="1051">
        <v>0</v>
      </c>
      <c r="E403" s="1051"/>
      <c r="F403" s="1051"/>
      <c r="G403" s="1055"/>
      <c r="I403" s="1746"/>
      <c r="J403" s="1742"/>
      <c r="K403" s="1742"/>
      <c r="L403" s="1742"/>
      <c r="M403" s="1742"/>
      <c r="N403" s="1742"/>
      <c r="O403" s="1742"/>
      <c r="P403" s="1742"/>
      <c r="Q403" s="1742"/>
      <c r="R403" s="1742"/>
      <c r="S403" s="1742"/>
      <c r="T403" s="1742"/>
      <c r="U403" s="2063"/>
    </row>
    <row r="404" spans="2:22" hidden="1" outlineLevel="2">
      <c r="B404" s="2059">
        <v>1</v>
      </c>
      <c r="C404" s="1050" t="str">
        <f>IF(ISNA(VLOOKUP(B404,$D$403:$E$408,2,FALSE)),"-",VLOOKUP(B404,$D$403:$E$408,2,FALSE))</f>
        <v xml:space="preserve">Bois courte durée de vie (ameublement…),France continentale ,Base Carbone </v>
      </c>
      <c r="D404" s="1051">
        <f>D403+IF(LEN(E404)&gt;0,1,0)</f>
        <v>1</v>
      </c>
      <c r="E404" s="1051" t="str">
        <f>IF(COUNTIF(E$403:E403,F404)&gt;0,"",F404)</f>
        <v xml:space="preserve">Bois courte durée de vie (ameublement…),France continentale ,Base Carbone </v>
      </c>
      <c r="F404" s="1051" t="str">
        <f>IF(I404&lt;&gt;"",I404&amp;IF(N404&lt;&gt;""," "&amp;N404,)&amp;IF(L404&lt;&gt;"",","&amp;L404,"")&amp;IF(K404&lt;&gt;"",","&amp;K404,""),"")</f>
        <v xml:space="preserve">Bois courte durée de vie (ameublement…),France continentale ,Base Carbone </v>
      </c>
      <c r="G404" s="1055" t="str">
        <f>IF(F404&lt;&gt;"",F404&amp;IF(J404&lt;&gt;"","; "&amp;J404,""),"")</f>
        <v xml:space="preserve">Bois courte durée de vie (ameublement…),France continentale ,Base Carbone ; kgCO2e/tonne </v>
      </c>
      <c r="I404" s="1100" t="s">
        <v>3130</v>
      </c>
      <c r="J404" s="1048" t="s">
        <v>3131</v>
      </c>
      <c r="K404" s="1048" t="s">
        <v>3132</v>
      </c>
      <c r="L404" s="1048" t="s">
        <v>3133</v>
      </c>
      <c r="M404" s="2061">
        <v>0.5</v>
      </c>
      <c r="N404" s="1048"/>
      <c r="O404" s="1048">
        <v>36.700000000000003</v>
      </c>
      <c r="P404" s="1048">
        <v>36.700000000000003</v>
      </c>
      <c r="Q404" s="1048">
        <v>0</v>
      </c>
      <c r="R404" s="1048">
        <v>0</v>
      </c>
      <c r="S404" s="1048">
        <v>0</v>
      </c>
      <c r="T404" s="1048">
        <v>0</v>
      </c>
      <c r="U404" s="1102">
        <v>0</v>
      </c>
    </row>
    <row r="405" spans="2:22" hidden="1" outlineLevel="2">
      <c r="B405" s="2059">
        <v>2</v>
      </c>
      <c r="C405" s="1050" t="str">
        <f t="shared" ref="C405:C408" si="59">IF(ISNA(VLOOKUP(B405,$D$403:$E$408,2,FALSE)),"-",VLOOKUP(B405,$D$403:$E$408,2,FALSE))</f>
        <v xml:space="preserve">Bois d'œuvre (construction),France continentale ,Base Carbone </v>
      </c>
      <c r="D405" s="1051">
        <f t="shared" ref="D405:D408" si="60">D404+IF(LEN(E405)&gt;0,1,0)</f>
        <v>2</v>
      </c>
      <c r="E405" s="1051" t="str">
        <f>IF(COUNTIF(E$403:E404,F405)&gt;0,"",F405)</f>
        <v xml:space="preserve">Bois d'œuvre (construction),France continentale ,Base Carbone </v>
      </c>
      <c r="F405" s="1051" t="str">
        <f t="shared" ref="F405:F408" si="61">IF(I405&lt;&gt;"",I405&amp;IF(N405&lt;&gt;""," "&amp;N405,)&amp;IF(L405&lt;&gt;"",","&amp;L405,"")&amp;IF(K405&lt;&gt;"",","&amp;K405,""),"")</f>
        <v xml:space="preserve">Bois d'œuvre (construction),France continentale ,Base Carbone </v>
      </c>
      <c r="G405" s="1055" t="str">
        <f t="shared" ref="G405:G408" si="62">IF(F405&lt;&gt;"",F405&amp;IF(J405&lt;&gt;"","; "&amp;J405,""),"")</f>
        <v xml:space="preserve">Bois d'œuvre (construction),France continentale ,Base Carbone ; kgCO2e/tonne </v>
      </c>
      <c r="I405" s="1100" t="s">
        <v>3134</v>
      </c>
      <c r="J405" s="1048" t="s">
        <v>3131</v>
      </c>
      <c r="K405" s="1048" t="s">
        <v>3132</v>
      </c>
      <c r="L405" s="1048" t="s">
        <v>3133</v>
      </c>
      <c r="M405" s="2061">
        <v>0.2</v>
      </c>
      <c r="N405" s="1048"/>
      <c r="O405" s="1048">
        <v>36.700000000000003</v>
      </c>
      <c r="P405" s="1048">
        <v>36.700000000000003</v>
      </c>
      <c r="Q405" s="1048">
        <v>0</v>
      </c>
      <c r="R405" s="1048">
        <v>0</v>
      </c>
      <c r="S405" s="1048">
        <v>0</v>
      </c>
      <c r="T405" s="1048">
        <v>0</v>
      </c>
      <c r="U405" s="1102">
        <v>-1833</v>
      </c>
    </row>
    <row r="406" spans="2:22" hidden="1" outlineLevel="2">
      <c r="B406" s="2059">
        <v>3</v>
      </c>
      <c r="C406" s="1050" t="str">
        <f t="shared" si="59"/>
        <v>-</v>
      </c>
      <c r="D406" s="1051">
        <f t="shared" si="60"/>
        <v>2</v>
      </c>
      <c r="E406" s="1051" t="str">
        <f>IF(COUNTIF(E$403:E405,F406)&gt;0,"",F406)</f>
        <v/>
      </c>
      <c r="F406" s="1051" t="str">
        <f t="shared" si="61"/>
        <v/>
      </c>
      <c r="G406" s="1055" t="str">
        <f t="shared" si="62"/>
        <v/>
      </c>
      <c r="I406" s="1100"/>
      <c r="J406" s="1048"/>
      <c r="K406" s="1048"/>
      <c r="L406" s="1048"/>
      <c r="M406" s="2061"/>
      <c r="N406" s="1048"/>
      <c r="O406" s="1048"/>
      <c r="P406" s="1048"/>
      <c r="Q406" s="1048"/>
      <c r="R406" s="1048"/>
      <c r="S406" s="1048"/>
      <c r="T406" s="1048"/>
      <c r="U406" s="1102"/>
    </row>
    <row r="407" spans="2:22" hidden="1" outlineLevel="2">
      <c r="B407" s="2059">
        <v>4</v>
      </c>
      <c r="C407" s="1050" t="str">
        <f t="shared" si="59"/>
        <v>-</v>
      </c>
      <c r="D407" s="1051">
        <f t="shared" si="60"/>
        <v>2</v>
      </c>
      <c r="E407" s="1051" t="str">
        <f>IF(COUNTIF(E$403:E406,F407)&gt;0,"",F407)</f>
        <v/>
      </c>
      <c r="F407" s="1051" t="str">
        <f t="shared" si="61"/>
        <v/>
      </c>
      <c r="G407" s="1055" t="str">
        <f t="shared" si="62"/>
        <v/>
      </c>
      <c r="I407" s="1100"/>
      <c r="J407" s="1048"/>
      <c r="K407" s="1048"/>
      <c r="L407" s="1048"/>
      <c r="M407" s="2061"/>
      <c r="N407" s="1048"/>
      <c r="O407" s="1048"/>
      <c r="P407" s="1048"/>
      <c r="Q407" s="1048"/>
      <c r="R407" s="1048"/>
      <c r="S407" s="1048"/>
      <c r="T407" s="1048"/>
      <c r="U407" s="1102"/>
    </row>
    <row r="408" spans="2:22" hidden="1" outlineLevel="2">
      <c r="B408" s="2059">
        <v>5</v>
      </c>
      <c r="C408" s="1050" t="str">
        <f t="shared" si="59"/>
        <v>-</v>
      </c>
      <c r="D408" s="1051">
        <f t="shared" si="60"/>
        <v>2</v>
      </c>
      <c r="E408" s="1051" t="str">
        <f>IF(COUNTIF(E$403:E407,F408)&gt;0,"",F408)</f>
        <v/>
      </c>
      <c r="F408" s="1051" t="str">
        <f t="shared" si="61"/>
        <v/>
      </c>
      <c r="G408" s="1055" t="str">
        <f t="shared" si="62"/>
        <v/>
      </c>
      <c r="I408" s="1100"/>
      <c r="J408" s="1048"/>
      <c r="K408" s="1048"/>
      <c r="L408" s="1048"/>
      <c r="M408" s="1048"/>
      <c r="N408" s="1048"/>
      <c r="O408" s="1048"/>
      <c r="P408" s="1048"/>
      <c r="Q408" s="1048"/>
      <c r="R408" s="1048"/>
      <c r="S408" s="1048"/>
      <c r="T408" s="1048"/>
      <c r="U408" s="1102"/>
    </row>
    <row r="409" spans="2:22" ht="13.2" hidden="1" outlineLevel="2">
      <c r="I409" s="1746"/>
      <c r="J409" s="1742"/>
      <c r="K409" s="1742"/>
      <c r="L409" s="1742"/>
      <c r="M409" s="1742"/>
      <c r="N409" s="1742"/>
      <c r="O409" s="1742"/>
      <c r="P409" s="1742"/>
      <c r="Q409" s="1742"/>
      <c r="R409" s="1742"/>
      <c r="S409" s="1742"/>
      <c r="T409" s="1742"/>
      <c r="U409" s="2063"/>
    </row>
    <row r="410" spans="2:22" ht="13.2" hidden="1" outlineLevel="1">
      <c r="I410" s="1746"/>
      <c r="J410" s="1742"/>
      <c r="K410" s="1742"/>
      <c r="L410" s="1742"/>
      <c r="M410" s="1742"/>
      <c r="N410" s="1742"/>
      <c r="O410" s="1742"/>
      <c r="P410" s="1742"/>
      <c r="Q410" s="1742"/>
      <c r="R410" s="1742"/>
      <c r="S410" s="1742"/>
      <c r="T410" s="1742"/>
      <c r="U410" s="2063"/>
    </row>
    <row r="411" spans="2:22" ht="12.75" hidden="1" customHeight="1" outlineLevel="1" collapsed="1">
      <c r="B411" s="3156" t="s">
        <v>3129</v>
      </c>
      <c r="C411" s="3156"/>
      <c r="D411" s="1051">
        <v>0</v>
      </c>
      <c r="E411" s="1051"/>
      <c r="F411" s="1051"/>
      <c r="G411" s="1055"/>
      <c r="I411" s="1746"/>
      <c r="J411" s="1742"/>
      <c r="K411" s="1742"/>
      <c r="L411" s="1742"/>
      <c r="M411" s="1742"/>
      <c r="N411" s="1742"/>
      <c r="O411" s="1742"/>
      <c r="P411" s="1742"/>
      <c r="Q411" s="1742"/>
      <c r="R411" s="1742"/>
      <c r="S411" s="1742"/>
      <c r="T411" s="1742"/>
      <c r="U411" s="2063"/>
    </row>
    <row r="412" spans="2:22" hidden="1" outlineLevel="2">
      <c r="B412" s="2059">
        <v>1</v>
      </c>
      <c r="C412" s="1050" t="str">
        <f>IF(ISNA(VLOOKUP(B412,$D$412:$E$622,2,FALSE)),"-",VLOOKUP(B412,$D$412:$E$622,2,FALSE))</f>
        <v>Appareil à raclettes 6-8p, France continentale, Base Carbone</v>
      </c>
      <c r="D412" s="1051">
        <f>D411+IF(LEN(E412)&gt;0,1,0)</f>
        <v>1</v>
      </c>
      <c r="E412" s="1051" t="str">
        <f>IF(COUNTIF(E$411:E411,F412)&gt;0,"",F412)</f>
        <v>Appareil à raclettes 6-8p, France continentale, Base Carbone</v>
      </c>
      <c r="F412" s="1051" t="str">
        <f>IF(I412&lt;&gt;"",I412&amp;IF(L412&lt;&gt;"",", "&amp;L412,"")&amp;IF(K412&lt;&gt;"",", "&amp;K412,""),"")</f>
        <v>Appareil à raclettes 6-8p, France continentale, Base Carbone</v>
      </c>
      <c r="G412" s="1055" t="str">
        <f>IF(F412&lt;&gt;"",F412&amp;IF(J412&lt;&gt;"","; "&amp;J412&amp;IF(N412&lt;&gt;"",", "&amp;N412,),""),"")</f>
        <v>Appareil à raclettes 6-8p, France continentale, Base Carbone; kgCO2e/unité, Matières premières</v>
      </c>
      <c r="I412" s="2018" t="s">
        <v>4131</v>
      </c>
      <c r="J412" s="1135" t="s">
        <v>1994</v>
      </c>
      <c r="K412" s="1135" t="s">
        <v>1567</v>
      </c>
      <c r="L412" s="1135" t="s">
        <v>1571</v>
      </c>
      <c r="M412" s="2062">
        <v>0.5</v>
      </c>
      <c r="N412" s="1135" t="s">
        <v>3135</v>
      </c>
      <c r="O412" s="1135">
        <v>10</v>
      </c>
      <c r="P412" s="1135">
        <v>10</v>
      </c>
      <c r="Q412" s="1119">
        <v>0</v>
      </c>
      <c r="R412" s="1119">
        <v>0</v>
      </c>
      <c r="S412" s="1119">
        <v>0</v>
      </c>
      <c r="T412" s="1119">
        <v>0</v>
      </c>
      <c r="U412" s="2065">
        <v>0</v>
      </c>
    </row>
    <row r="413" spans="2:22" hidden="1" outlineLevel="2">
      <c r="B413" s="2059">
        <v>2</v>
      </c>
      <c r="C413" s="1050" t="str">
        <f t="shared" ref="C413:C461" si="63">IF(ISNA(VLOOKUP(B413,$D$412:$E$622,2,FALSE)),"-",VLOOKUP(B413,$D$412:$E$622,2,FALSE))</f>
        <v>Aspirateur ménager avec sac, France continentale, Base Carbone</v>
      </c>
      <c r="D413" s="1051">
        <f t="shared" ref="D413:D476" si="64">D412+IF(LEN(E413)&gt;0,1,0)</f>
        <v>1</v>
      </c>
      <c r="E413" s="1051" t="str">
        <f>IF(COUNTIF(E$411:E412,F413)&gt;0,"",F413)</f>
        <v/>
      </c>
      <c r="F413" s="1051" t="str">
        <f t="shared" ref="F413:F476" si="65">IF(I413&lt;&gt;"",I413&amp;IF(L413&lt;&gt;"",", "&amp;L413,"")&amp;IF(K413&lt;&gt;"",", "&amp;K413,""),"")</f>
        <v>Appareil à raclettes 6-8p, France continentale, Base Carbone</v>
      </c>
      <c r="G413" s="1055" t="str">
        <f t="shared" ref="G413:G476" si="66">IF(F413&lt;&gt;"",F413&amp;IF(J413&lt;&gt;"","; "&amp;J413&amp;IF(N413&lt;&gt;"",", "&amp;N413,),""),"")</f>
        <v>Appareil à raclettes 6-8p, France continentale, Base Carbone; kgCO2e/unité, Approvisionnement</v>
      </c>
      <c r="I413" s="2018" t="s">
        <v>4131</v>
      </c>
      <c r="J413" s="1135" t="s">
        <v>1994</v>
      </c>
      <c r="K413" s="1135" t="s">
        <v>1567</v>
      </c>
      <c r="L413" s="1135" t="s">
        <v>1571</v>
      </c>
      <c r="M413" s="2062">
        <v>0.5</v>
      </c>
      <c r="N413" s="1135" t="s">
        <v>3136</v>
      </c>
      <c r="O413" s="1135">
        <v>0.39500000000000002</v>
      </c>
      <c r="P413" s="1135">
        <v>0.39500000000000002</v>
      </c>
      <c r="Q413" s="1119">
        <v>0</v>
      </c>
      <c r="R413" s="1119">
        <v>0</v>
      </c>
      <c r="S413" s="1119">
        <v>0</v>
      </c>
      <c r="T413" s="1119">
        <v>0</v>
      </c>
      <c r="U413" s="2065">
        <v>0</v>
      </c>
    </row>
    <row r="414" spans="2:22" hidden="1" outlineLevel="2">
      <c r="B414" s="2059">
        <v>3</v>
      </c>
      <c r="C414" s="1050" t="str">
        <f t="shared" si="63"/>
        <v>Aspirateur ménager sans sac, France continentale, Base Carbone</v>
      </c>
      <c r="D414" s="1051">
        <f t="shared" si="64"/>
        <v>1</v>
      </c>
      <c r="E414" s="1051" t="str">
        <f>IF(COUNTIF(E$411:E413,F414)&gt;0,"",F414)</f>
        <v/>
      </c>
      <c r="F414" s="1051" t="str">
        <f t="shared" si="65"/>
        <v>Appareil à raclettes 6-8p, France continentale, Base Carbone</v>
      </c>
      <c r="G414" s="1055" t="str">
        <f t="shared" si="66"/>
        <v>Appareil à raclettes 6-8p, France continentale, Base Carbone; kgCO2e/unité, Mise en forme</v>
      </c>
      <c r="I414" s="2018" t="s">
        <v>4131</v>
      </c>
      <c r="J414" s="1135" t="s">
        <v>1994</v>
      </c>
      <c r="K414" s="1135" t="s">
        <v>1567</v>
      </c>
      <c r="L414" s="1135" t="s">
        <v>1571</v>
      </c>
      <c r="M414" s="2062">
        <v>0.5</v>
      </c>
      <c r="N414" s="1135" t="s">
        <v>3141</v>
      </c>
      <c r="O414" s="1135">
        <v>0.64100000000000001</v>
      </c>
      <c r="P414" s="1135">
        <v>0.64100000000000001</v>
      </c>
      <c r="Q414" s="1119">
        <v>0</v>
      </c>
      <c r="R414" s="1119">
        <v>0</v>
      </c>
      <c r="S414" s="1119">
        <v>0</v>
      </c>
      <c r="T414" s="1119">
        <v>0</v>
      </c>
      <c r="U414" s="2065">
        <v>0</v>
      </c>
      <c r="V414" s="1979"/>
    </row>
    <row r="415" spans="2:22" hidden="1" outlineLevel="2">
      <c r="B415" s="2059">
        <v>4</v>
      </c>
      <c r="C415" s="1050" t="str">
        <f t="shared" si="63"/>
        <v>Aspirateur professionnel à traineaux, France continentale, Base Carbone</v>
      </c>
      <c r="D415" s="1051">
        <f t="shared" si="64"/>
        <v>1</v>
      </c>
      <c r="E415" s="1051" t="str">
        <f>IF(COUNTIF(E$411:E414,F415)&gt;0,"",F415)</f>
        <v/>
      </c>
      <c r="F415" s="1051" t="str">
        <f t="shared" si="65"/>
        <v>Appareil à raclettes 6-8p, France continentale, Base Carbone</v>
      </c>
      <c r="G415" s="1055" t="str">
        <f t="shared" si="66"/>
        <v>Appareil à raclettes 6-8p, France continentale, Base Carbone; kgCO2e/unité, Assemblage</v>
      </c>
      <c r="I415" s="2018" t="s">
        <v>4131</v>
      </c>
      <c r="J415" s="1135" t="s">
        <v>1994</v>
      </c>
      <c r="K415" s="1135" t="s">
        <v>1567</v>
      </c>
      <c r="L415" s="1135" t="s">
        <v>1571</v>
      </c>
      <c r="M415" s="2062">
        <v>0.5</v>
      </c>
      <c r="N415" s="1135" t="s">
        <v>3137</v>
      </c>
      <c r="O415" s="1135">
        <v>4.0199999999999996</v>
      </c>
      <c r="P415" s="1135">
        <v>4.0199999999999996</v>
      </c>
      <c r="Q415" s="1119">
        <v>0</v>
      </c>
      <c r="R415" s="1119">
        <v>0</v>
      </c>
      <c r="S415" s="1119">
        <v>0</v>
      </c>
      <c r="T415" s="1119">
        <v>0</v>
      </c>
      <c r="U415" s="2065">
        <v>-0.26700000000000002</v>
      </c>
      <c r="V415" s="1979"/>
    </row>
    <row r="416" spans="2:22" hidden="1" outlineLevel="2">
      <c r="B416" s="2059">
        <v>5</v>
      </c>
      <c r="C416" s="1050" t="str">
        <f t="shared" si="63"/>
        <v>Ballon électrique chauffe-eau 200L, France continentale, Base Carbone</v>
      </c>
      <c r="D416" s="1051">
        <f t="shared" si="64"/>
        <v>1</v>
      </c>
      <c r="E416" s="1051" t="str">
        <f>IF(COUNTIF(E$411:E415,F416)&gt;0,"",F416)</f>
        <v/>
      </c>
      <c r="F416" s="1051" t="str">
        <f t="shared" si="65"/>
        <v>Appareil à raclettes 6-8p, France continentale, Base Carbone</v>
      </c>
      <c r="G416" s="1055" t="str">
        <f t="shared" si="66"/>
        <v>Appareil à raclettes 6-8p, France continentale, Base Carbone; kgCO2e/unité, Distribution</v>
      </c>
      <c r="I416" s="2018" t="s">
        <v>4131</v>
      </c>
      <c r="J416" s="1135" t="s">
        <v>1994</v>
      </c>
      <c r="K416" s="1135" t="s">
        <v>1567</v>
      </c>
      <c r="L416" s="1135" t="s">
        <v>1571</v>
      </c>
      <c r="M416" s="2062">
        <v>0.5</v>
      </c>
      <c r="N416" s="1135" t="s">
        <v>3138</v>
      </c>
      <c r="O416" s="1135">
        <v>1.71</v>
      </c>
      <c r="P416" s="1135">
        <v>1.71</v>
      </c>
      <c r="Q416" s="1119">
        <v>0</v>
      </c>
      <c r="R416" s="1119">
        <v>0</v>
      </c>
      <c r="S416" s="1119">
        <v>0</v>
      </c>
      <c r="T416" s="1119">
        <v>0</v>
      </c>
      <c r="U416" s="2065">
        <v>0</v>
      </c>
      <c r="V416" s="1979"/>
    </row>
    <row r="417" spans="2:22" hidden="1" outlineLevel="2">
      <c r="B417" s="2059">
        <v>6</v>
      </c>
      <c r="C417" s="1050" t="str">
        <f t="shared" si="63"/>
        <v>Bouilloire, France continentale, Base Carbone</v>
      </c>
      <c r="D417" s="1051">
        <f t="shared" si="64"/>
        <v>2</v>
      </c>
      <c r="E417" s="1051" t="str">
        <f>IF(COUNTIF(E$411:E416,F417)&gt;0,"",F417)</f>
        <v>Aspirateur ménager avec sac, France continentale, Base Carbone</v>
      </c>
      <c r="F417" s="1051" t="str">
        <f t="shared" si="65"/>
        <v>Aspirateur ménager avec sac, France continentale, Base Carbone</v>
      </c>
      <c r="G417" s="1055" t="str">
        <f t="shared" si="66"/>
        <v>Aspirateur ménager avec sac, France continentale, Base Carbone; kgCO2e/unité, Matières premières</v>
      </c>
      <c r="I417" s="2018" t="s">
        <v>3139</v>
      </c>
      <c r="J417" s="1135" t="s">
        <v>1994</v>
      </c>
      <c r="K417" s="1135" t="s">
        <v>1567</v>
      </c>
      <c r="L417" s="1135" t="s">
        <v>1571</v>
      </c>
      <c r="M417" s="2062">
        <v>0.3</v>
      </c>
      <c r="N417" s="1135" t="s">
        <v>3135</v>
      </c>
      <c r="O417" s="1135">
        <v>20.2</v>
      </c>
      <c r="P417" s="2017">
        <v>20.2</v>
      </c>
      <c r="Q417" s="2017">
        <v>0</v>
      </c>
      <c r="R417" s="2017">
        <v>0</v>
      </c>
      <c r="S417" s="2017">
        <v>0</v>
      </c>
      <c r="T417" s="2017">
        <v>0</v>
      </c>
      <c r="U417" s="2042">
        <v>0</v>
      </c>
      <c r="V417" s="1979"/>
    </row>
    <row r="418" spans="2:22" hidden="1" outlineLevel="2">
      <c r="B418" s="2059">
        <v>7</v>
      </c>
      <c r="C418" s="1050" t="str">
        <f t="shared" si="63"/>
        <v>Climatisateur mobile, France continentale, Base Carbone</v>
      </c>
      <c r="D418" s="1051">
        <f t="shared" si="64"/>
        <v>2</v>
      </c>
      <c r="E418" s="1051" t="str">
        <f>IF(COUNTIF(E$411:E417,F418)&gt;0,"",F418)</f>
        <v/>
      </c>
      <c r="F418" s="1051" t="str">
        <f t="shared" si="65"/>
        <v>Aspirateur ménager avec sac, France continentale, Base Carbone</v>
      </c>
      <c r="G418" s="1055" t="str">
        <f t="shared" si="66"/>
        <v>Aspirateur ménager avec sac, France continentale, Base Carbone; kgCO2e/unité, Approvisionnement</v>
      </c>
      <c r="I418" s="2018" t="s">
        <v>3139</v>
      </c>
      <c r="J418" s="1135" t="s">
        <v>1994</v>
      </c>
      <c r="K418" s="1135" t="s">
        <v>1567</v>
      </c>
      <c r="L418" s="1135" t="s">
        <v>1571</v>
      </c>
      <c r="M418" s="2062">
        <v>0.3</v>
      </c>
      <c r="N418" s="1135" t="s">
        <v>3136</v>
      </c>
      <c r="O418" s="1135">
        <v>2.4300000000000002</v>
      </c>
      <c r="P418" s="2017">
        <v>2.4300000000000002</v>
      </c>
      <c r="Q418" s="2017">
        <v>0</v>
      </c>
      <c r="R418" s="2017">
        <v>0</v>
      </c>
      <c r="S418" s="2017">
        <v>0</v>
      </c>
      <c r="T418" s="2017">
        <v>0</v>
      </c>
      <c r="U418" s="2042">
        <v>0</v>
      </c>
    </row>
    <row r="419" spans="2:22" hidden="1" outlineLevel="2">
      <c r="B419" s="2059">
        <v>8</v>
      </c>
      <c r="C419" s="1050" t="str">
        <f t="shared" si="63"/>
        <v>Congélateur armoire 205l, France continentale, Base Carbone</v>
      </c>
      <c r="D419" s="1051">
        <f t="shared" si="64"/>
        <v>2</v>
      </c>
      <c r="E419" s="1051" t="str">
        <f>IF(COUNTIF(E$411:E418,F419)&gt;0,"",F419)</f>
        <v/>
      </c>
      <c r="F419" s="1051" t="str">
        <f t="shared" si="65"/>
        <v>Aspirateur ménager avec sac, France continentale, Base Carbone</v>
      </c>
      <c r="G419" s="1055" t="str">
        <f t="shared" si="66"/>
        <v>Aspirateur ménager avec sac, France continentale, Base Carbone; kgCO2e/unité, Mise en forme</v>
      </c>
      <c r="I419" s="2018" t="s">
        <v>3139</v>
      </c>
      <c r="J419" s="1135" t="s">
        <v>1994</v>
      </c>
      <c r="K419" s="1135" t="s">
        <v>1567</v>
      </c>
      <c r="L419" s="1135" t="s">
        <v>1571</v>
      </c>
      <c r="M419" s="2062">
        <v>0.3</v>
      </c>
      <c r="N419" s="1135" t="s">
        <v>3141</v>
      </c>
      <c r="O419" s="1135">
        <v>7.23</v>
      </c>
      <c r="P419" s="2017">
        <v>7.23</v>
      </c>
      <c r="Q419" s="2017">
        <v>0</v>
      </c>
      <c r="R419" s="2017">
        <v>0</v>
      </c>
      <c r="S419" s="2017">
        <v>0</v>
      </c>
      <c r="T419" s="2017">
        <v>0</v>
      </c>
      <c r="U419" s="2042">
        <v>0</v>
      </c>
    </row>
    <row r="420" spans="2:22" hidden="1" outlineLevel="2">
      <c r="B420" s="2059">
        <v>9</v>
      </c>
      <c r="C420" s="1050" t="str">
        <f t="shared" si="63"/>
        <v>Congélateur coffre 261l, France continentale, Base Carbone</v>
      </c>
      <c r="D420" s="1051">
        <f t="shared" si="64"/>
        <v>2</v>
      </c>
      <c r="E420" s="1051" t="str">
        <f>IF(COUNTIF(E$411:E419,F420)&gt;0,"",F420)</f>
        <v/>
      </c>
      <c r="F420" s="1051" t="str">
        <f t="shared" si="65"/>
        <v>Aspirateur ménager avec sac, France continentale, Base Carbone</v>
      </c>
      <c r="G420" s="1055" t="str">
        <f t="shared" si="66"/>
        <v>Aspirateur ménager avec sac, France continentale, Base Carbone; kgCO2e/unité, Assemblage</v>
      </c>
      <c r="I420" s="2018" t="s">
        <v>3139</v>
      </c>
      <c r="J420" s="1135" t="s">
        <v>1994</v>
      </c>
      <c r="K420" s="1135" t="s">
        <v>1567</v>
      </c>
      <c r="L420" s="1135" t="s">
        <v>1571</v>
      </c>
      <c r="M420" s="2062">
        <v>0.3</v>
      </c>
      <c r="N420" s="1135" t="s">
        <v>3137</v>
      </c>
      <c r="O420" s="1135">
        <v>8.83</v>
      </c>
      <c r="P420" s="2017">
        <v>8.83</v>
      </c>
      <c r="Q420" s="2017">
        <v>0</v>
      </c>
      <c r="R420" s="2017">
        <v>0</v>
      </c>
      <c r="S420" s="2017">
        <v>0</v>
      </c>
      <c r="T420" s="2017">
        <v>0</v>
      </c>
      <c r="U420" s="2042">
        <v>0</v>
      </c>
    </row>
    <row r="421" spans="2:22" hidden="1" outlineLevel="2">
      <c r="B421" s="2059">
        <v>10</v>
      </c>
      <c r="C421" s="1050" t="str">
        <f t="shared" si="63"/>
        <v>Four électrique encastrable , France continentale, Base Carbone</v>
      </c>
      <c r="D421" s="1051">
        <f t="shared" si="64"/>
        <v>2</v>
      </c>
      <c r="E421" s="1051" t="str">
        <f>IF(COUNTIF(E$411:E420,F421)&gt;0,"",F421)</f>
        <v/>
      </c>
      <c r="F421" s="1051" t="str">
        <f t="shared" si="65"/>
        <v>Aspirateur ménager avec sac, France continentale, Base Carbone</v>
      </c>
      <c r="G421" s="1055" t="str">
        <f t="shared" si="66"/>
        <v>Aspirateur ménager avec sac, France continentale, Base Carbone; kgCO2e/unité, Distribution</v>
      </c>
      <c r="I421" s="2018" t="s">
        <v>3139</v>
      </c>
      <c r="J421" s="1135" t="s">
        <v>1994</v>
      </c>
      <c r="K421" s="1135" t="s">
        <v>1567</v>
      </c>
      <c r="L421" s="1135" t="s">
        <v>1571</v>
      </c>
      <c r="M421" s="2062">
        <v>0.3</v>
      </c>
      <c r="N421" s="1135" t="s">
        <v>3138</v>
      </c>
      <c r="O421" s="1135">
        <v>8.6199999999999992</v>
      </c>
      <c r="P421" s="2017">
        <v>8.6199999999999992</v>
      </c>
      <c r="Q421" s="2017">
        <v>0</v>
      </c>
      <c r="R421" s="2017">
        <v>0</v>
      </c>
      <c r="S421" s="2017">
        <v>0</v>
      </c>
      <c r="T421" s="2017">
        <v>0</v>
      </c>
      <c r="U421" s="2042">
        <v>0</v>
      </c>
    </row>
    <row r="422" spans="2:22" hidden="1" outlineLevel="2">
      <c r="B422" s="2059">
        <v>11</v>
      </c>
      <c r="C422" s="1050" t="str">
        <f t="shared" si="63"/>
        <v>Four professionnel vapeur combi électrique , France continentale, Base Carbone</v>
      </c>
      <c r="D422" s="1051">
        <f t="shared" si="64"/>
        <v>3</v>
      </c>
      <c r="E422" s="1051" t="str">
        <f>IF(COUNTIF(E$411:E421,F422)&gt;0,"",F422)</f>
        <v>Aspirateur ménager sans sac, France continentale, Base Carbone</v>
      </c>
      <c r="F422" s="1051" t="str">
        <f t="shared" si="65"/>
        <v>Aspirateur ménager sans sac, France continentale, Base Carbone</v>
      </c>
      <c r="G422" s="1055" t="str">
        <f t="shared" si="66"/>
        <v>Aspirateur ménager sans sac, France continentale, Base Carbone; kgCO2e/unité, Matières premières</v>
      </c>
      <c r="I422" s="2018" t="s">
        <v>3140</v>
      </c>
      <c r="J422" s="1135" t="s">
        <v>1994</v>
      </c>
      <c r="K422" s="1135" t="s">
        <v>1567</v>
      </c>
      <c r="L422" s="1135" t="s">
        <v>1571</v>
      </c>
      <c r="M422" s="2062">
        <v>0.3</v>
      </c>
      <c r="N422" s="1135" t="s">
        <v>3135</v>
      </c>
      <c r="O422" s="1135">
        <v>22.9</v>
      </c>
      <c r="P422" s="2017">
        <v>22.9</v>
      </c>
      <c r="Q422" s="2017">
        <v>0</v>
      </c>
      <c r="R422" s="2017">
        <v>0</v>
      </c>
      <c r="S422" s="2017">
        <v>0</v>
      </c>
      <c r="T422" s="2017">
        <v>0</v>
      </c>
      <c r="U422" s="2042">
        <v>0</v>
      </c>
    </row>
    <row r="423" spans="2:22" hidden="1" outlineLevel="2">
      <c r="B423" s="2059">
        <v>12</v>
      </c>
      <c r="C423" s="1050" t="str">
        <f t="shared" si="63"/>
        <v>Gazinière, France continentale, Base Carbone</v>
      </c>
      <c r="D423" s="1051">
        <f t="shared" si="64"/>
        <v>3</v>
      </c>
      <c r="E423" s="1051" t="str">
        <f>IF(COUNTIF(E$411:E422,F423)&gt;0,"",F423)</f>
        <v/>
      </c>
      <c r="F423" s="1051" t="str">
        <f t="shared" si="65"/>
        <v>Aspirateur ménager sans sac, France continentale, Base Carbone</v>
      </c>
      <c r="G423" s="1055" t="str">
        <f t="shared" si="66"/>
        <v>Aspirateur ménager sans sac, France continentale, Base Carbone; kgCO2e/unité, Approvisionnement</v>
      </c>
      <c r="I423" s="2018" t="s">
        <v>3140</v>
      </c>
      <c r="J423" s="1135" t="s">
        <v>1994</v>
      </c>
      <c r="K423" s="1135" t="s">
        <v>1567</v>
      </c>
      <c r="L423" s="1135" t="s">
        <v>1571</v>
      </c>
      <c r="M423" s="2062">
        <v>0.3</v>
      </c>
      <c r="N423" s="1135" t="s">
        <v>3136</v>
      </c>
      <c r="O423" s="1135">
        <v>2.78</v>
      </c>
      <c r="P423" s="2017">
        <v>2.78</v>
      </c>
      <c r="Q423" s="2017">
        <v>0</v>
      </c>
      <c r="R423" s="2017">
        <v>0</v>
      </c>
      <c r="S423" s="2017">
        <v>0</v>
      </c>
      <c r="T423" s="2017">
        <v>0</v>
      </c>
      <c r="U423" s="2042">
        <v>0</v>
      </c>
    </row>
    <row r="424" spans="2:22" hidden="1" outlineLevel="2">
      <c r="B424" s="2059">
        <v>13</v>
      </c>
      <c r="C424" s="1050" t="str">
        <f t="shared" si="63"/>
        <v>Hotte décorative à extraction, France continentale, Base Carbone</v>
      </c>
      <c r="D424" s="1051">
        <f t="shared" si="64"/>
        <v>3</v>
      </c>
      <c r="E424" s="1051" t="str">
        <f>IF(COUNTIF(E$411:E423,F424)&gt;0,"",F424)</f>
        <v/>
      </c>
      <c r="F424" s="1051" t="str">
        <f t="shared" si="65"/>
        <v>Aspirateur ménager sans sac, France continentale, Base Carbone</v>
      </c>
      <c r="G424" s="1055" t="str">
        <f t="shared" si="66"/>
        <v>Aspirateur ménager sans sac, France continentale, Base Carbone; kgCO2e/unité, Mise en forme</v>
      </c>
      <c r="I424" s="2018" t="s">
        <v>3140</v>
      </c>
      <c r="J424" s="1135" t="s">
        <v>1994</v>
      </c>
      <c r="K424" s="1135" t="s">
        <v>1567</v>
      </c>
      <c r="L424" s="1135" t="s">
        <v>1571</v>
      </c>
      <c r="M424" s="2062">
        <v>0.3</v>
      </c>
      <c r="N424" s="1135" t="s">
        <v>3141</v>
      </c>
      <c r="O424" s="1135">
        <v>8.07</v>
      </c>
      <c r="P424" s="2017">
        <v>8.07</v>
      </c>
      <c r="Q424" s="2017">
        <v>0</v>
      </c>
      <c r="R424" s="2017">
        <v>0</v>
      </c>
      <c r="S424" s="2017">
        <v>0</v>
      </c>
      <c r="T424" s="2017">
        <v>0</v>
      </c>
      <c r="U424" s="2042">
        <v>0</v>
      </c>
    </row>
    <row r="425" spans="2:22" hidden="1" outlineLevel="2">
      <c r="B425" s="2059">
        <v>14</v>
      </c>
      <c r="C425" s="1050" t="str">
        <f t="shared" si="63"/>
        <v>Hotte visière à recyclage d'air, France continentale, Base Carbone</v>
      </c>
      <c r="D425" s="1051">
        <f t="shared" si="64"/>
        <v>3</v>
      </c>
      <c r="E425" s="1051" t="str">
        <f>IF(COUNTIF(E$411:E424,F425)&gt;0,"",F425)</f>
        <v/>
      </c>
      <c r="F425" s="1051" t="str">
        <f t="shared" si="65"/>
        <v>Aspirateur ménager sans sac, France continentale, Base Carbone</v>
      </c>
      <c r="G425" s="1055" t="str">
        <f t="shared" si="66"/>
        <v>Aspirateur ménager sans sac, France continentale, Base Carbone; kgCO2e/unité, Assemblage</v>
      </c>
      <c r="I425" s="2018" t="s">
        <v>3140</v>
      </c>
      <c r="J425" s="1135" t="s">
        <v>1994</v>
      </c>
      <c r="K425" s="1135" t="s">
        <v>1567</v>
      </c>
      <c r="L425" s="1135" t="s">
        <v>1571</v>
      </c>
      <c r="M425" s="2062">
        <v>0.3</v>
      </c>
      <c r="N425" s="1135" t="s">
        <v>3137</v>
      </c>
      <c r="O425" s="1135">
        <v>8.83</v>
      </c>
      <c r="P425" s="2017">
        <v>8.83</v>
      </c>
      <c r="Q425" s="2017">
        <v>0</v>
      </c>
      <c r="R425" s="2017">
        <v>0</v>
      </c>
      <c r="S425" s="2017">
        <v>0</v>
      </c>
      <c r="T425" s="2017">
        <v>0</v>
      </c>
      <c r="U425" s="2042">
        <v>0</v>
      </c>
    </row>
    <row r="426" spans="2:22" hidden="1" outlineLevel="2">
      <c r="B426" s="2059">
        <v>15</v>
      </c>
      <c r="C426" s="1050" t="str">
        <f t="shared" si="63"/>
        <v>Lave-linge capacité 5kg, France continentale, Base Carbone</v>
      </c>
      <c r="D426" s="1051">
        <f t="shared" si="64"/>
        <v>3</v>
      </c>
      <c r="E426" s="1051" t="str">
        <f>IF(COUNTIF(E$411:E425,F426)&gt;0,"",F426)</f>
        <v/>
      </c>
      <c r="F426" s="1051" t="str">
        <f t="shared" si="65"/>
        <v>Aspirateur ménager sans sac, France continentale, Base Carbone</v>
      </c>
      <c r="G426" s="1055" t="str">
        <f t="shared" si="66"/>
        <v>Aspirateur ménager sans sac, France continentale, Base Carbone; kgCO2e/unité, Distribution</v>
      </c>
      <c r="I426" s="2018" t="s">
        <v>3140</v>
      </c>
      <c r="J426" s="1135" t="s">
        <v>1994</v>
      </c>
      <c r="K426" s="1135" t="s">
        <v>1567</v>
      </c>
      <c r="L426" s="1135" t="s">
        <v>1571</v>
      </c>
      <c r="M426" s="2062">
        <v>0.3</v>
      </c>
      <c r="N426" s="1135" t="s">
        <v>3138</v>
      </c>
      <c r="O426" s="1135">
        <v>9.83</v>
      </c>
      <c r="P426" s="2017">
        <v>9.83</v>
      </c>
      <c r="Q426" s="2017">
        <v>0</v>
      </c>
      <c r="R426" s="2017">
        <v>0</v>
      </c>
      <c r="S426" s="2017">
        <v>0</v>
      </c>
      <c r="T426" s="2017">
        <v>0</v>
      </c>
      <c r="U426" s="2042">
        <v>0</v>
      </c>
    </row>
    <row r="427" spans="2:22" hidden="1" outlineLevel="2">
      <c r="B427" s="2059">
        <v>16</v>
      </c>
      <c r="C427" s="1050" t="str">
        <f t="shared" si="63"/>
        <v>Lave-linge capacité 7kg, France continentale, Base Carbone</v>
      </c>
      <c r="D427" s="1051">
        <f t="shared" si="64"/>
        <v>4</v>
      </c>
      <c r="E427" s="1051" t="str">
        <f>IF(COUNTIF(E$411:E426,F427)&gt;0,"",F427)</f>
        <v>Aspirateur professionnel à traineaux, France continentale, Base Carbone</v>
      </c>
      <c r="F427" s="1051" t="str">
        <f t="shared" si="65"/>
        <v>Aspirateur professionnel à traineaux, France continentale, Base Carbone</v>
      </c>
      <c r="G427" s="1055" t="str">
        <f t="shared" si="66"/>
        <v>Aspirateur professionnel à traineaux, France continentale, Base Carbone; kgCO2e/unité, Matières premières</v>
      </c>
      <c r="I427" s="2018" t="s">
        <v>3142</v>
      </c>
      <c r="J427" s="1135" t="s">
        <v>1994</v>
      </c>
      <c r="K427" s="1135" t="s">
        <v>1567</v>
      </c>
      <c r="L427" s="1135" t="s">
        <v>1571</v>
      </c>
      <c r="M427" s="2062">
        <v>0.3</v>
      </c>
      <c r="N427" s="1135" t="s">
        <v>3135</v>
      </c>
      <c r="O427" s="1135">
        <v>40.1</v>
      </c>
      <c r="P427" s="2017">
        <v>40.1</v>
      </c>
      <c r="Q427" s="2017">
        <v>0</v>
      </c>
      <c r="R427" s="2017">
        <v>0</v>
      </c>
      <c r="S427" s="2017">
        <v>0</v>
      </c>
      <c r="T427" s="2017">
        <v>0</v>
      </c>
      <c r="U427" s="2042">
        <v>0</v>
      </c>
    </row>
    <row r="428" spans="2:22" hidden="1" outlineLevel="2">
      <c r="B428" s="2059">
        <v>17</v>
      </c>
      <c r="C428" s="1050" t="str">
        <f t="shared" si="63"/>
        <v>Lave-vaisselle compact 9 couverts, France continentale, Base Carbone</v>
      </c>
      <c r="D428" s="1051">
        <f t="shared" si="64"/>
        <v>4</v>
      </c>
      <c r="E428" s="1051" t="str">
        <f>IF(COUNTIF(E$411:E427,F428)&gt;0,"",F428)</f>
        <v/>
      </c>
      <c r="F428" s="1051" t="str">
        <f t="shared" si="65"/>
        <v>Aspirateur professionnel à traineaux, France continentale, Base Carbone</v>
      </c>
      <c r="G428" s="1055" t="str">
        <f t="shared" si="66"/>
        <v>Aspirateur professionnel à traineaux, France continentale, Base Carbone; kgCO2e/unité, Approvisionnement</v>
      </c>
      <c r="I428" s="2018" t="s">
        <v>3142</v>
      </c>
      <c r="J428" s="1135" t="s">
        <v>1994</v>
      </c>
      <c r="K428" s="1135" t="s">
        <v>1567</v>
      </c>
      <c r="L428" s="1135" t="s">
        <v>1571</v>
      </c>
      <c r="M428" s="2062">
        <v>0.3</v>
      </c>
      <c r="N428" s="1135" t="s">
        <v>3136</v>
      </c>
      <c r="O428" s="1135">
        <v>4.4400000000000004</v>
      </c>
      <c r="P428" s="2017">
        <v>4.4400000000000004</v>
      </c>
      <c r="Q428" s="2017">
        <v>0</v>
      </c>
      <c r="R428" s="2017">
        <v>0</v>
      </c>
      <c r="S428" s="2017">
        <v>0</v>
      </c>
      <c r="T428" s="2017">
        <v>0</v>
      </c>
      <c r="U428" s="2042">
        <v>0</v>
      </c>
    </row>
    <row r="429" spans="2:22" hidden="1" outlineLevel="2">
      <c r="B429" s="2059">
        <v>18</v>
      </c>
      <c r="C429" s="1050" t="str">
        <f t="shared" si="63"/>
        <v>Lave-vaisselle professionnel , France continentale, Base Carbone</v>
      </c>
      <c r="D429" s="1051">
        <f t="shared" si="64"/>
        <v>4</v>
      </c>
      <c r="E429" s="1051" t="str">
        <f>IF(COUNTIF(E$411:E428,F429)&gt;0,"",F429)</f>
        <v/>
      </c>
      <c r="F429" s="1051" t="str">
        <f t="shared" si="65"/>
        <v>Aspirateur professionnel à traineaux, France continentale, Base Carbone</v>
      </c>
      <c r="G429" s="1055" t="str">
        <f t="shared" si="66"/>
        <v>Aspirateur professionnel à traineaux, France continentale, Base Carbone; kgCO2e/unité, Mise en forme</v>
      </c>
      <c r="I429" s="2018" t="s">
        <v>3142</v>
      </c>
      <c r="J429" s="1135" t="s">
        <v>1994</v>
      </c>
      <c r="K429" s="1135" t="s">
        <v>1567</v>
      </c>
      <c r="L429" s="1135" t="s">
        <v>1571</v>
      </c>
      <c r="M429" s="2062">
        <v>0.3</v>
      </c>
      <c r="N429" s="1135" t="s">
        <v>3141</v>
      </c>
      <c r="O429" s="1135">
        <v>14.1</v>
      </c>
      <c r="P429" s="2017">
        <v>14.1</v>
      </c>
      <c r="Q429" s="2017">
        <v>0</v>
      </c>
      <c r="R429" s="2017">
        <v>0</v>
      </c>
      <c r="S429" s="2017">
        <v>0</v>
      </c>
      <c r="T429" s="2017">
        <v>0</v>
      </c>
      <c r="U429" s="2042">
        <v>0</v>
      </c>
    </row>
    <row r="430" spans="2:22" hidden="1" outlineLevel="2">
      <c r="B430" s="2059">
        <v>19</v>
      </c>
      <c r="C430" s="1050" t="str">
        <f t="shared" si="63"/>
        <v>Lave-vaisselle standard 12 couverts , France continentale, Base Carbone</v>
      </c>
      <c r="D430" s="1051">
        <f t="shared" si="64"/>
        <v>4</v>
      </c>
      <c r="E430" s="1051" t="str">
        <f>IF(COUNTIF(E$411:E429,F430)&gt;0,"",F430)</f>
        <v/>
      </c>
      <c r="F430" s="1051" t="str">
        <f t="shared" si="65"/>
        <v>Aspirateur professionnel à traineaux, France continentale, Base Carbone</v>
      </c>
      <c r="G430" s="1055" t="str">
        <f t="shared" si="66"/>
        <v>Aspirateur professionnel à traineaux, France continentale, Base Carbone; kgCO2e/unité, Assemblage</v>
      </c>
      <c r="I430" s="2018" t="s">
        <v>3142</v>
      </c>
      <c r="J430" s="1135" t="s">
        <v>1994</v>
      </c>
      <c r="K430" s="1135" t="s">
        <v>1567</v>
      </c>
      <c r="L430" s="1135" t="s">
        <v>1571</v>
      </c>
      <c r="M430" s="2062">
        <v>0.3</v>
      </c>
      <c r="N430" s="1135" t="s">
        <v>3137</v>
      </c>
      <c r="O430" s="1135">
        <v>8.83</v>
      </c>
      <c r="P430" s="2017">
        <v>8.83</v>
      </c>
      <c r="Q430" s="2017">
        <v>0</v>
      </c>
      <c r="R430" s="2017">
        <v>0</v>
      </c>
      <c r="S430" s="2017">
        <v>0</v>
      </c>
      <c r="T430" s="2017">
        <v>0</v>
      </c>
      <c r="U430" s="2042">
        <v>0</v>
      </c>
    </row>
    <row r="431" spans="2:22" hidden="1" outlineLevel="2">
      <c r="B431" s="2059">
        <v>20</v>
      </c>
      <c r="C431" s="1050" t="str">
        <f t="shared" si="63"/>
        <v>Machine à café - dosette, France continentale, Base Carbone</v>
      </c>
      <c r="D431" s="1051">
        <f t="shared" si="64"/>
        <v>4</v>
      </c>
      <c r="E431" s="1051" t="str">
        <f>IF(COUNTIF(E$411:E430,F431)&gt;0,"",F431)</f>
        <v/>
      </c>
      <c r="F431" s="1051" t="str">
        <f t="shared" si="65"/>
        <v>Aspirateur professionnel à traineaux, France continentale, Base Carbone</v>
      </c>
      <c r="G431" s="1055" t="str">
        <f t="shared" si="66"/>
        <v>Aspirateur professionnel à traineaux, France continentale, Base Carbone; kgCO2e/unité, Distribution</v>
      </c>
      <c r="I431" s="2018" t="s">
        <v>3142</v>
      </c>
      <c r="J431" s="1135" t="s">
        <v>1994</v>
      </c>
      <c r="K431" s="1135" t="s">
        <v>1567</v>
      </c>
      <c r="L431" s="1135" t="s">
        <v>1571</v>
      </c>
      <c r="M431" s="2062">
        <v>0.3</v>
      </c>
      <c r="N431" s="1135" t="s">
        <v>3138</v>
      </c>
      <c r="O431" s="1135">
        <v>15.5</v>
      </c>
      <c r="P431" s="2017">
        <v>15.5</v>
      </c>
      <c r="Q431" s="2017">
        <v>0</v>
      </c>
      <c r="R431" s="2017">
        <v>0</v>
      </c>
      <c r="S431" s="2017">
        <v>0</v>
      </c>
      <c r="T431" s="2017">
        <v>0</v>
      </c>
      <c r="U431" s="2042">
        <v>0</v>
      </c>
    </row>
    <row r="432" spans="2:22" hidden="1" outlineLevel="2">
      <c r="B432" s="2059">
        <v>21</v>
      </c>
      <c r="C432" s="1050" t="str">
        <f t="shared" si="63"/>
        <v>Machine à café - expresso, France continentale, Base Carbone</v>
      </c>
      <c r="D432" s="1051">
        <f t="shared" si="64"/>
        <v>5</v>
      </c>
      <c r="E432" s="1051" t="str">
        <f>IF(COUNTIF(E$411:E431,F432)&gt;0,"",F432)</f>
        <v>Ballon électrique chauffe-eau 200L, France continentale, Base Carbone</v>
      </c>
      <c r="F432" s="1051" t="str">
        <f t="shared" si="65"/>
        <v>Ballon électrique chauffe-eau 200L, France continentale, Base Carbone</v>
      </c>
      <c r="G432" s="1055" t="str">
        <f t="shared" si="66"/>
        <v>Ballon électrique chauffe-eau 200L, France continentale, Base Carbone; kgCO2e/unité, Matières premières</v>
      </c>
      <c r="I432" s="2018" t="s">
        <v>4132</v>
      </c>
      <c r="J432" s="1135" t="s">
        <v>1994</v>
      </c>
      <c r="K432" s="1135" t="s">
        <v>1567</v>
      </c>
      <c r="L432" s="1135" t="s">
        <v>1571</v>
      </c>
      <c r="M432" s="2062">
        <v>0.5</v>
      </c>
      <c r="N432" s="1135" t="s">
        <v>3135</v>
      </c>
      <c r="O432" s="1135">
        <v>112</v>
      </c>
      <c r="P432" s="1119">
        <v>112</v>
      </c>
      <c r="Q432" s="1119">
        <v>0</v>
      </c>
      <c r="R432" s="1119">
        <v>0</v>
      </c>
      <c r="S432" s="1119">
        <v>0</v>
      </c>
      <c r="T432" s="1119">
        <v>0</v>
      </c>
      <c r="U432" s="2065">
        <v>0</v>
      </c>
    </row>
    <row r="433" spans="2:21" hidden="1" outlineLevel="2">
      <c r="B433" s="2059">
        <v>22</v>
      </c>
      <c r="C433" s="1050" t="str">
        <f t="shared" si="63"/>
        <v>Machine à café - filtre, France continentale, Base Carbone</v>
      </c>
      <c r="D433" s="1051">
        <f t="shared" si="64"/>
        <v>5</v>
      </c>
      <c r="E433" s="1051" t="str">
        <f>IF(COUNTIF(E$411:E432,F433)&gt;0,"",F433)</f>
        <v/>
      </c>
      <c r="F433" s="1051" t="str">
        <f t="shared" si="65"/>
        <v>Ballon électrique chauffe-eau 200L, France continentale, Base Carbone</v>
      </c>
      <c r="G433" s="1055" t="str">
        <f t="shared" si="66"/>
        <v>Ballon électrique chauffe-eau 200L, France continentale, Base Carbone; kgCO2e/unité, Approvisionnement</v>
      </c>
      <c r="I433" s="2018" t="s">
        <v>4132</v>
      </c>
      <c r="J433" s="1135" t="s">
        <v>1994</v>
      </c>
      <c r="K433" s="1135" t="s">
        <v>1567</v>
      </c>
      <c r="L433" s="1135" t="s">
        <v>1571</v>
      </c>
      <c r="M433" s="2062">
        <v>0.5</v>
      </c>
      <c r="N433" s="1135" t="s">
        <v>3136</v>
      </c>
      <c r="O433" s="1135">
        <v>5.54</v>
      </c>
      <c r="P433" s="1119">
        <v>5.54</v>
      </c>
      <c r="Q433" s="1119">
        <v>0</v>
      </c>
      <c r="R433" s="1119">
        <v>0</v>
      </c>
      <c r="S433" s="1119">
        <v>0</v>
      </c>
      <c r="T433" s="1119">
        <v>0</v>
      </c>
      <c r="U433" s="2065">
        <v>0</v>
      </c>
    </row>
    <row r="434" spans="2:21" hidden="1" outlineLevel="2">
      <c r="B434" s="2059">
        <v>23</v>
      </c>
      <c r="C434" s="1050" t="str">
        <f t="shared" si="63"/>
        <v>Machine à pain, France continentale, Base Carbone</v>
      </c>
      <c r="D434" s="1051">
        <f t="shared" si="64"/>
        <v>5</v>
      </c>
      <c r="E434" s="1051" t="str">
        <f>IF(COUNTIF(E$411:E433,F434)&gt;0,"",F434)</f>
        <v/>
      </c>
      <c r="F434" s="1051" t="str">
        <f t="shared" si="65"/>
        <v>Ballon électrique chauffe-eau 200L, France continentale, Base Carbone</v>
      </c>
      <c r="G434" s="1055" t="str">
        <f t="shared" si="66"/>
        <v>Ballon électrique chauffe-eau 200L, France continentale, Base Carbone; kgCO2e/unité, Mise en forme</v>
      </c>
      <c r="I434" s="2018" t="s">
        <v>4132</v>
      </c>
      <c r="J434" s="1135" t="s">
        <v>1994</v>
      </c>
      <c r="K434" s="1135" t="s">
        <v>1567</v>
      </c>
      <c r="L434" s="1135" t="s">
        <v>1571</v>
      </c>
      <c r="M434" s="2062">
        <v>0.5</v>
      </c>
      <c r="N434" s="1135" t="s">
        <v>3141</v>
      </c>
      <c r="O434" s="1135">
        <v>6.79</v>
      </c>
      <c r="P434" s="1119">
        <v>6.79</v>
      </c>
      <c r="Q434" s="1119">
        <v>0</v>
      </c>
      <c r="R434" s="1119">
        <v>0</v>
      </c>
      <c r="S434" s="1119">
        <v>0</v>
      </c>
      <c r="T434" s="1119">
        <v>0</v>
      </c>
      <c r="U434" s="2065">
        <v>0</v>
      </c>
    </row>
    <row r="435" spans="2:21" hidden="1" outlineLevel="2">
      <c r="B435" s="2059">
        <v>24</v>
      </c>
      <c r="C435" s="1050" t="str">
        <f t="shared" si="63"/>
        <v>Micro-onde, France continentale, Base Carbone</v>
      </c>
      <c r="D435" s="1051">
        <f t="shared" si="64"/>
        <v>5</v>
      </c>
      <c r="E435" s="1051" t="str">
        <f>IF(COUNTIF(E$411:E434,F435)&gt;0,"",F435)</f>
        <v/>
      </c>
      <c r="F435" s="1051" t="str">
        <f t="shared" si="65"/>
        <v>Ballon électrique chauffe-eau 200L, France continentale, Base Carbone</v>
      </c>
      <c r="G435" s="1055" t="str">
        <f t="shared" si="66"/>
        <v>Ballon électrique chauffe-eau 200L, France continentale, Base Carbone; kgCO2e/unité, Assemblage</v>
      </c>
      <c r="I435" s="2018" t="s">
        <v>4132</v>
      </c>
      <c r="J435" s="1135" t="s">
        <v>1994</v>
      </c>
      <c r="K435" s="1135" t="s">
        <v>1567</v>
      </c>
      <c r="L435" s="1135" t="s">
        <v>1571</v>
      </c>
      <c r="M435" s="2062">
        <v>0.5</v>
      </c>
      <c r="N435" s="1135" t="s">
        <v>3137</v>
      </c>
      <c r="O435" s="1135">
        <v>9.6</v>
      </c>
      <c r="P435" s="1119">
        <v>9.6</v>
      </c>
      <c r="Q435" s="1119">
        <v>0</v>
      </c>
      <c r="R435" s="1119">
        <v>0</v>
      </c>
      <c r="S435" s="1119">
        <v>0</v>
      </c>
      <c r="T435" s="1119">
        <v>0</v>
      </c>
      <c r="U435" s="2065">
        <v>-0.89</v>
      </c>
    </row>
    <row r="436" spans="2:21" hidden="1" outlineLevel="2">
      <c r="B436" s="2059">
        <v>25</v>
      </c>
      <c r="C436" s="1050" t="str">
        <f t="shared" si="63"/>
        <v>Mini-four électrique , France continentale, Base Carbone</v>
      </c>
      <c r="D436" s="1051">
        <f t="shared" si="64"/>
        <v>5</v>
      </c>
      <c r="E436" s="1051" t="str">
        <f>IF(COUNTIF(E$411:E435,F436)&gt;0,"",F436)</f>
        <v/>
      </c>
      <c r="F436" s="1051" t="str">
        <f t="shared" si="65"/>
        <v>Ballon électrique chauffe-eau 200L, France continentale, Base Carbone</v>
      </c>
      <c r="G436" s="1055" t="str">
        <f t="shared" si="66"/>
        <v>Ballon électrique chauffe-eau 200L, France continentale, Base Carbone; kgCO2e/unité, Distribution</v>
      </c>
      <c r="I436" s="2018" t="s">
        <v>4132</v>
      </c>
      <c r="J436" s="1135" t="s">
        <v>1994</v>
      </c>
      <c r="K436" s="1135" t="s">
        <v>1567</v>
      </c>
      <c r="L436" s="1135" t="s">
        <v>1571</v>
      </c>
      <c r="M436" s="2062">
        <v>0.5</v>
      </c>
      <c r="N436" s="1135" t="s">
        <v>3138</v>
      </c>
      <c r="O436" s="1135">
        <v>25.7</v>
      </c>
      <c r="P436" s="1119">
        <v>25.7</v>
      </c>
      <c r="Q436" s="1119">
        <v>0</v>
      </c>
      <c r="R436" s="1119">
        <v>0</v>
      </c>
      <c r="S436" s="1119">
        <v>0</v>
      </c>
      <c r="T436" s="1119">
        <v>0</v>
      </c>
      <c r="U436" s="2065">
        <v>0</v>
      </c>
    </row>
    <row r="437" spans="2:21" hidden="1" outlineLevel="2">
      <c r="B437" s="2059">
        <v>26</v>
      </c>
      <c r="C437" s="1050" t="str">
        <f t="shared" si="63"/>
        <v>Plaques de cuisson à induction 9000W, France continentale, Base Carbone</v>
      </c>
      <c r="D437" s="1051">
        <f t="shared" si="64"/>
        <v>6</v>
      </c>
      <c r="E437" s="1051" t="str">
        <f>IF(COUNTIF(E$411:E436,F437)&gt;0,"",F437)</f>
        <v>Bouilloire, France continentale, Base Carbone</v>
      </c>
      <c r="F437" s="1051" t="str">
        <f t="shared" si="65"/>
        <v>Bouilloire, France continentale, Base Carbone</v>
      </c>
      <c r="G437" s="1055" t="str">
        <f t="shared" si="66"/>
        <v>Bouilloire, France continentale, Base Carbone; kgCO2e/unité, Matières premières</v>
      </c>
      <c r="I437" s="2018" t="s">
        <v>4133</v>
      </c>
      <c r="J437" s="1135" t="s">
        <v>1994</v>
      </c>
      <c r="K437" s="1135" t="s">
        <v>1567</v>
      </c>
      <c r="L437" s="1135" t="s">
        <v>1571</v>
      </c>
      <c r="M437" s="2062">
        <v>0.5</v>
      </c>
      <c r="N437" s="1135" t="s">
        <v>3135</v>
      </c>
      <c r="O437" s="1135">
        <v>3.93</v>
      </c>
      <c r="P437" s="1135">
        <v>3.93</v>
      </c>
      <c r="Q437" s="1119">
        <v>0</v>
      </c>
      <c r="R437" s="1119">
        <v>0</v>
      </c>
      <c r="S437" s="1119">
        <v>0</v>
      </c>
      <c r="T437" s="1119">
        <v>0</v>
      </c>
      <c r="U437" s="2065">
        <v>0</v>
      </c>
    </row>
    <row r="438" spans="2:21" hidden="1" outlineLevel="2">
      <c r="B438" s="2059">
        <v>27</v>
      </c>
      <c r="C438" s="1050" t="str">
        <f t="shared" si="63"/>
        <v>Plaques de cuisson au gaz 9000W, France continentale, Base Carbone</v>
      </c>
      <c r="D438" s="1051">
        <f t="shared" si="64"/>
        <v>6</v>
      </c>
      <c r="E438" s="1051" t="str">
        <f>IF(COUNTIF(E$411:E437,F438)&gt;0,"",F438)</f>
        <v/>
      </c>
      <c r="F438" s="1051" t="str">
        <f t="shared" si="65"/>
        <v>Bouilloire, France continentale, Base Carbone</v>
      </c>
      <c r="G438" s="1055" t="str">
        <f t="shared" si="66"/>
        <v>Bouilloire, France continentale, Base Carbone; kgCO2e/unité, Approvisionnement</v>
      </c>
      <c r="I438" s="2018" t="s">
        <v>4133</v>
      </c>
      <c r="J438" s="1135" t="s">
        <v>1994</v>
      </c>
      <c r="K438" s="1135" t="s">
        <v>1567</v>
      </c>
      <c r="L438" s="1135" t="s">
        <v>1571</v>
      </c>
      <c r="M438" s="2062">
        <v>0.5</v>
      </c>
      <c r="N438" s="1135" t="s">
        <v>3136</v>
      </c>
      <c r="O438" s="1135">
        <v>0.23699999999999999</v>
      </c>
      <c r="P438" s="1135">
        <v>0.23699999999999999</v>
      </c>
      <c r="Q438" s="1119">
        <v>0</v>
      </c>
      <c r="R438" s="1119">
        <v>0</v>
      </c>
      <c r="S438" s="1119">
        <v>0</v>
      </c>
      <c r="T438" s="1119">
        <v>0</v>
      </c>
      <c r="U438" s="2065">
        <v>0</v>
      </c>
    </row>
    <row r="439" spans="2:21" hidden="1" outlineLevel="2">
      <c r="B439" s="2059">
        <v>28</v>
      </c>
      <c r="C439" s="1050" t="str">
        <f t="shared" si="63"/>
        <v>Plaques de cuisson vitrocéramique 9000W, France continentale, Base Carbone</v>
      </c>
      <c r="D439" s="1051">
        <f t="shared" si="64"/>
        <v>6</v>
      </c>
      <c r="E439" s="1051" t="str">
        <f>IF(COUNTIF(E$411:E438,F439)&gt;0,"",F439)</f>
        <v/>
      </c>
      <c r="F439" s="1051" t="str">
        <f t="shared" si="65"/>
        <v>Bouilloire, France continentale, Base Carbone</v>
      </c>
      <c r="G439" s="1055" t="str">
        <f t="shared" si="66"/>
        <v>Bouilloire, France continentale, Base Carbone; kgCO2e/unité, Mise en forme</v>
      </c>
      <c r="I439" s="2018" t="s">
        <v>4133</v>
      </c>
      <c r="J439" s="1135" t="s">
        <v>1994</v>
      </c>
      <c r="K439" s="1135" t="s">
        <v>1567</v>
      </c>
      <c r="L439" s="1135" t="s">
        <v>1571</v>
      </c>
      <c r="M439" s="2062">
        <v>0.5</v>
      </c>
      <c r="N439" s="1135" t="s">
        <v>3141</v>
      </c>
      <c r="O439" s="1135">
        <v>0.59</v>
      </c>
      <c r="P439" s="1135">
        <v>0.59</v>
      </c>
      <c r="Q439" s="1119">
        <v>0</v>
      </c>
      <c r="R439" s="1119">
        <v>0</v>
      </c>
      <c r="S439" s="1119">
        <v>0</v>
      </c>
      <c r="T439" s="1119">
        <v>0</v>
      </c>
      <c r="U439" s="2065">
        <v>0</v>
      </c>
    </row>
    <row r="440" spans="2:21" hidden="1" outlineLevel="2">
      <c r="B440" s="2059">
        <v>29</v>
      </c>
      <c r="C440" s="1050" t="str">
        <f t="shared" si="63"/>
        <v>Radiateur électrique 1000W à inertie, France continentale, Base Carbone</v>
      </c>
      <c r="D440" s="1051">
        <f t="shared" si="64"/>
        <v>6</v>
      </c>
      <c r="E440" s="1051" t="str">
        <f>IF(COUNTIF(E$411:E439,F440)&gt;0,"",F440)</f>
        <v/>
      </c>
      <c r="F440" s="1051" t="str">
        <f t="shared" si="65"/>
        <v>Bouilloire, France continentale, Base Carbone</v>
      </c>
      <c r="G440" s="1055" t="str">
        <f t="shared" si="66"/>
        <v>Bouilloire, France continentale, Base Carbone; kgCO2e/unité, Assemblage</v>
      </c>
      <c r="I440" s="2018" t="s">
        <v>4133</v>
      </c>
      <c r="J440" s="1135" t="s">
        <v>1994</v>
      </c>
      <c r="K440" s="1135" t="s">
        <v>1567</v>
      </c>
      <c r="L440" s="1135" t="s">
        <v>1571</v>
      </c>
      <c r="M440" s="2062">
        <v>0.5</v>
      </c>
      <c r="N440" s="1135" t="s">
        <v>3137</v>
      </c>
      <c r="O440" s="1135">
        <v>4.0199999999999996</v>
      </c>
      <c r="P440" s="1135">
        <v>4.0199999999999996</v>
      </c>
      <c r="Q440" s="1119">
        <v>0</v>
      </c>
      <c r="R440" s="1119">
        <v>0</v>
      </c>
      <c r="S440" s="1119">
        <v>0</v>
      </c>
      <c r="T440" s="1119">
        <v>0</v>
      </c>
      <c r="U440" s="2065">
        <v>-0.16900000000000001</v>
      </c>
    </row>
    <row r="441" spans="2:21" hidden="1" outlineLevel="2">
      <c r="B441" s="2059">
        <v>30</v>
      </c>
      <c r="C441" s="1050" t="str">
        <f t="shared" si="63"/>
        <v>Radiateur électrique 1000W à rayonnement, France continentale, Base Carbone</v>
      </c>
      <c r="D441" s="1051">
        <f t="shared" si="64"/>
        <v>6</v>
      </c>
      <c r="E441" s="1051" t="str">
        <f>IF(COUNTIF(E$411:E440,F441)&gt;0,"",F441)</f>
        <v/>
      </c>
      <c r="F441" s="1051" t="str">
        <f t="shared" si="65"/>
        <v>Bouilloire, France continentale, Base Carbone</v>
      </c>
      <c r="G441" s="1055" t="str">
        <f t="shared" si="66"/>
        <v>Bouilloire, France continentale, Base Carbone; kgCO2e/unité, Distribution</v>
      </c>
      <c r="I441" s="2018" t="s">
        <v>4133</v>
      </c>
      <c r="J441" s="1135" t="s">
        <v>1994</v>
      </c>
      <c r="K441" s="1135" t="s">
        <v>1567</v>
      </c>
      <c r="L441" s="1135" t="s">
        <v>1571</v>
      </c>
      <c r="M441" s="2062">
        <v>0.5</v>
      </c>
      <c r="N441" s="1135" t="s">
        <v>3138</v>
      </c>
      <c r="O441" s="1135">
        <v>1.1299999999999999</v>
      </c>
      <c r="P441" s="1135">
        <v>1.1299999999999999</v>
      </c>
      <c r="Q441" s="1119">
        <v>0</v>
      </c>
      <c r="R441" s="1119">
        <v>0</v>
      </c>
      <c r="S441" s="1119">
        <v>0</v>
      </c>
      <c r="T441" s="1119">
        <v>0</v>
      </c>
      <c r="U441" s="2065">
        <v>0</v>
      </c>
    </row>
    <row r="442" spans="2:21" hidden="1" outlineLevel="2">
      <c r="B442" s="2059">
        <v>31</v>
      </c>
      <c r="C442" s="1050" t="str">
        <f t="shared" si="63"/>
        <v>Réfrigérateur combiné , France continentale, Base Carbone</v>
      </c>
      <c r="D442" s="1051">
        <f t="shared" si="64"/>
        <v>7</v>
      </c>
      <c r="E442" s="1051" t="str">
        <f>IF(COUNTIF(E$411:E441,F442)&gt;0,"",F442)</f>
        <v>Climatisateur mobile, France continentale, Base Carbone</v>
      </c>
      <c r="F442" s="1051" t="str">
        <f t="shared" si="65"/>
        <v>Climatisateur mobile, France continentale, Base Carbone</v>
      </c>
      <c r="G442" s="1055" t="str">
        <f t="shared" si="66"/>
        <v>Climatisateur mobile, France continentale, Base Carbone; kgCO2e/unité, Matières premières</v>
      </c>
      <c r="I442" s="2018" t="s">
        <v>4134</v>
      </c>
      <c r="J442" s="1135" t="s">
        <v>1994</v>
      </c>
      <c r="K442" s="1135" t="s">
        <v>1567</v>
      </c>
      <c r="L442" s="1135" t="s">
        <v>1571</v>
      </c>
      <c r="M442" s="2062">
        <v>0.5</v>
      </c>
      <c r="N442" s="1135" t="s">
        <v>3135</v>
      </c>
      <c r="O442" s="1135">
        <v>170</v>
      </c>
      <c r="P442" s="1135">
        <v>170</v>
      </c>
      <c r="Q442" s="1119">
        <v>0</v>
      </c>
      <c r="R442" s="1119">
        <v>0</v>
      </c>
      <c r="S442" s="1119">
        <v>0</v>
      </c>
      <c r="T442" s="1119">
        <v>0</v>
      </c>
      <c r="U442" s="2065">
        <v>0</v>
      </c>
    </row>
    <row r="443" spans="2:21" hidden="1" outlineLevel="2">
      <c r="B443" s="2059">
        <v>32</v>
      </c>
      <c r="C443" s="1050" t="str">
        <f t="shared" si="63"/>
        <v>Réfrigérateur mini-bar 33l, France continentale, Base Carbone</v>
      </c>
      <c r="D443" s="1051">
        <f t="shared" si="64"/>
        <v>7</v>
      </c>
      <c r="E443" s="1051" t="str">
        <f>IF(COUNTIF(E$411:E442,F443)&gt;0,"",F443)</f>
        <v/>
      </c>
      <c r="F443" s="1051" t="str">
        <f t="shared" si="65"/>
        <v>Climatisateur mobile, France continentale, Base Carbone</v>
      </c>
      <c r="G443" s="1055" t="str">
        <f t="shared" si="66"/>
        <v>Climatisateur mobile, France continentale, Base Carbone; kgCO2e/unité, Approvisionnement</v>
      </c>
      <c r="I443" s="2018" t="s">
        <v>4134</v>
      </c>
      <c r="J443" s="1135" t="s">
        <v>1994</v>
      </c>
      <c r="K443" s="1135" t="s">
        <v>1567</v>
      </c>
      <c r="L443" s="1135" t="s">
        <v>1571</v>
      </c>
      <c r="M443" s="2062">
        <v>0.5</v>
      </c>
      <c r="N443" s="1135" t="s">
        <v>3136</v>
      </c>
      <c r="O443" s="1135">
        <v>5.2</v>
      </c>
      <c r="P443" s="1135">
        <v>5.2</v>
      </c>
      <c r="Q443" s="1119">
        <v>0</v>
      </c>
      <c r="R443" s="1119">
        <v>0</v>
      </c>
      <c r="S443" s="1119">
        <v>0</v>
      </c>
      <c r="T443" s="1119">
        <v>0</v>
      </c>
      <c r="U443" s="2065">
        <v>0</v>
      </c>
    </row>
    <row r="444" spans="2:21" hidden="1" outlineLevel="2">
      <c r="B444" s="2059">
        <v>33</v>
      </c>
      <c r="C444" s="1050" t="str">
        <f t="shared" si="63"/>
        <v>Réfrigérateur 1 grande porte 250l, France continentale, Base Carbone</v>
      </c>
      <c r="D444" s="1051">
        <f t="shared" si="64"/>
        <v>7</v>
      </c>
      <c r="E444" s="1051" t="str">
        <f>IF(COUNTIF(E$411:E443,F444)&gt;0,"",F444)</f>
        <v/>
      </c>
      <c r="F444" s="1051" t="str">
        <f t="shared" si="65"/>
        <v>Climatisateur mobile, France continentale, Base Carbone</v>
      </c>
      <c r="G444" s="1055" t="str">
        <f t="shared" si="66"/>
        <v>Climatisateur mobile, France continentale, Base Carbone; kgCO2e/unité, Mise en forme</v>
      </c>
      <c r="I444" s="2018" t="s">
        <v>4134</v>
      </c>
      <c r="J444" s="1135" t="s">
        <v>1994</v>
      </c>
      <c r="K444" s="1135" t="s">
        <v>1567</v>
      </c>
      <c r="L444" s="1135" t="s">
        <v>1571</v>
      </c>
      <c r="M444" s="2062">
        <v>0.5</v>
      </c>
      <c r="N444" s="1135" t="s">
        <v>3141</v>
      </c>
      <c r="O444" s="1135">
        <v>18.7</v>
      </c>
      <c r="P444" s="1135">
        <v>18.7</v>
      </c>
      <c r="Q444" s="1119">
        <v>0</v>
      </c>
      <c r="R444" s="1119">
        <v>0</v>
      </c>
      <c r="S444" s="1119">
        <v>0</v>
      </c>
      <c r="T444" s="1119">
        <v>0</v>
      </c>
      <c r="U444" s="2065">
        <v>0</v>
      </c>
    </row>
    <row r="445" spans="2:21" hidden="1" outlineLevel="2">
      <c r="B445" s="2059">
        <v>34</v>
      </c>
      <c r="C445" s="1050" t="str">
        <f t="shared" si="63"/>
        <v>Robot multifonction , France continentale, Base Carbone</v>
      </c>
      <c r="D445" s="1051">
        <f t="shared" si="64"/>
        <v>7</v>
      </c>
      <c r="E445" s="1051" t="str">
        <f>IF(COUNTIF(E$411:E444,F445)&gt;0,"",F445)</f>
        <v/>
      </c>
      <c r="F445" s="1051" t="str">
        <f t="shared" si="65"/>
        <v>Climatisateur mobile, France continentale, Base Carbone</v>
      </c>
      <c r="G445" s="1055" t="str">
        <f t="shared" si="66"/>
        <v>Climatisateur mobile, France continentale, Base Carbone; kgCO2e/unité, Assemblage</v>
      </c>
      <c r="I445" s="2018" t="s">
        <v>4134</v>
      </c>
      <c r="J445" s="1135" t="s">
        <v>1994</v>
      </c>
      <c r="K445" s="1135" t="s">
        <v>1567</v>
      </c>
      <c r="L445" s="1135" t="s">
        <v>1571</v>
      </c>
      <c r="M445" s="2062">
        <v>0.5</v>
      </c>
      <c r="N445" s="1135" t="s">
        <v>3137</v>
      </c>
      <c r="O445" s="1135">
        <v>8</v>
      </c>
      <c r="P445" s="1135">
        <v>8</v>
      </c>
      <c r="Q445" s="1119">
        <v>0</v>
      </c>
      <c r="R445" s="1119">
        <v>0</v>
      </c>
      <c r="S445" s="1119">
        <v>0</v>
      </c>
      <c r="T445" s="1119">
        <v>0</v>
      </c>
      <c r="U445" s="2065">
        <v>-0.44500000000000001</v>
      </c>
    </row>
    <row r="446" spans="2:21" hidden="1" outlineLevel="2">
      <c r="B446" s="2059">
        <v>35</v>
      </c>
      <c r="C446" s="1050" t="str">
        <f t="shared" si="63"/>
        <v>Sèche-linge à évacuation - Capacité 6 kg, France continentale, Base Carbone</v>
      </c>
      <c r="D446" s="1051">
        <f t="shared" si="64"/>
        <v>7</v>
      </c>
      <c r="E446" s="1051" t="str">
        <f>IF(COUNTIF(E$411:E445,F446)&gt;0,"",F446)</f>
        <v/>
      </c>
      <c r="F446" s="1051" t="str">
        <f t="shared" si="65"/>
        <v>Climatisateur mobile, France continentale, Base Carbone</v>
      </c>
      <c r="G446" s="1055" t="str">
        <f t="shared" si="66"/>
        <v>Climatisateur mobile, France continentale, Base Carbone; kgCO2e/unité, Distribution</v>
      </c>
      <c r="I446" s="2018" t="s">
        <v>4134</v>
      </c>
      <c r="J446" s="1135" t="s">
        <v>1994</v>
      </c>
      <c r="K446" s="1135" t="s">
        <v>1567</v>
      </c>
      <c r="L446" s="1135" t="s">
        <v>1571</v>
      </c>
      <c r="M446" s="2062">
        <v>0.5</v>
      </c>
      <c r="N446" s="1135" t="s">
        <v>3138</v>
      </c>
      <c r="O446" s="1135">
        <v>37</v>
      </c>
      <c r="P446" s="1135">
        <v>37</v>
      </c>
      <c r="Q446" s="1119">
        <v>0</v>
      </c>
      <c r="R446" s="1119">
        <v>0</v>
      </c>
      <c r="S446" s="1119">
        <v>0</v>
      </c>
      <c r="T446" s="1119">
        <v>0</v>
      </c>
      <c r="U446" s="2065">
        <v>0</v>
      </c>
    </row>
    <row r="447" spans="2:21" hidden="1" outlineLevel="2">
      <c r="B447" s="2059">
        <v>36</v>
      </c>
      <c r="C447" s="1050" t="str">
        <f t="shared" si="63"/>
        <v>Sèche-linge à condensation - Capacité 6 kg, France continentale, Base Carbone</v>
      </c>
      <c r="D447" s="1051">
        <f t="shared" si="64"/>
        <v>8</v>
      </c>
      <c r="E447" s="1051" t="str">
        <f>IF(COUNTIF(E$411:E446,F447)&gt;0,"",F447)</f>
        <v>Congélateur armoire 205l, France continentale, Base Carbone</v>
      </c>
      <c r="F447" s="1051" t="str">
        <f t="shared" si="65"/>
        <v>Congélateur armoire 205l, France continentale, Base Carbone</v>
      </c>
      <c r="G447" s="1055" t="str">
        <f t="shared" si="66"/>
        <v>Congélateur armoire 205l, France continentale, Base Carbone; kgCO2e/unité, Matières premières</v>
      </c>
      <c r="I447" s="2018" t="s">
        <v>3143</v>
      </c>
      <c r="J447" s="1135" t="s">
        <v>1994</v>
      </c>
      <c r="K447" s="1135" t="s">
        <v>1567</v>
      </c>
      <c r="L447" s="1135" t="s">
        <v>1571</v>
      </c>
      <c r="M447" s="2062">
        <v>0.3</v>
      </c>
      <c r="N447" s="1135" t="s">
        <v>3135</v>
      </c>
      <c r="O447" s="1135">
        <v>211</v>
      </c>
      <c r="P447" s="2017">
        <v>211</v>
      </c>
      <c r="Q447" s="2017">
        <v>0</v>
      </c>
      <c r="R447" s="2017">
        <v>0</v>
      </c>
      <c r="S447" s="2017">
        <v>0</v>
      </c>
      <c r="T447" s="2017">
        <v>0</v>
      </c>
      <c r="U447" s="2042">
        <v>0</v>
      </c>
    </row>
    <row r="448" spans="2:21" hidden="1" outlineLevel="2">
      <c r="B448" s="2059">
        <v>37</v>
      </c>
      <c r="C448" s="1050" t="str">
        <f t="shared" si="63"/>
        <v>Sèche-linge à pompe à chaleur - Capacité 8kg, France continentale, Base Carbone</v>
      </c>
      <c r="D448" s="1051">
        <f t="shared" si="64"/>
        <v>8</v>
      </c>
      <c r="E448" s="1051" t="str">
        <f>IF(COUNTIF(E$411:E447,F448)&gt;0,"",F448)</f>
        <v/>
      </c>
      <c r="F448" s="1051" t="str">
        <f t="shared" si="65"/>
        <v>Congélateur armoire 205l, France continentale, Base Carbone</v>
      </c>
      <c r="G448" s="1055" t="str">
        <f t="shared" si="66"/>
        <v>Congélateur armoire 205l, France continentale, Base Carbone; kgCO2e/unité, Approvisionnement</v>
      </c>
      <c r="I448" s="2018" t="s">
        <v>3143</v>
      </c>
      <c r="J448" s="1135" t="s">
        <v>1994</v>
      </c>
      <c r="K448" s="1135" t="s">
        <v>1567</v>
      </c>
      <c r="L448" s="1135" t="s">
        <v>1571</v>
      </c>
      <c r="M448" s="2062">
        <v>0.3</v>
      </c>
      <c r="N448" s="1135" t="s">
        <v>3136</v>
      </c>
      <c r="O448" s="1135">
        <v>24.7</v>
      </c>
      <c r="P448" s="2017">
        <v>24.7</v>
      </c>
      <c r="Q448" s="2017">
        <v>0</v>
      </c>
      <c r="R448" s="2017">
        <v>0</v>
      </c>
      <c r="S448" s="2017">
        <v>0</v>
      </c>
      <c r="T448" s="2017">
        <v>0</v>
      </c>
      <c r="U448" s="2042">
        <v>0</v>
      </c>
    </row>
    <row r="449" spans="2:21" hidden="1" outlineLevel="2">
      <c r="B449" s="2059">
        <v>38</v>
      </c>
      <c r="C449" s="1050" t="str">
        <f t="shared" si="63"/>
        <v>Yaourtière 8 pots, France continentale, Base Carbone</v>
      </c>
      <c r="D449" s="1051">
        <f t="shared" si="64"/>
        <v>8</v>
      </c>
      <c r="E449" s="1051" t="str">
        <f>IF(COUNTIF(E$411:E448,F449)&gt;0,"",F449)</f>
        <v/>
      </c>
      <c r="F449" s="1051" t="str">
        <f t="shared" si="65"/>
        <v>Congélateur armoire 205l, France continentale, Base Carbone</v>
      </c>
      <c r="G449" s="1055" t="str">
        <f t="shared" si="66"/>
        <v>Congélateur armoire 205l, France continentale, Base Carbone; kgCO2e/unité, Mise en forme</v>
      </c>
      <c r="I449" s="2018" t="s">
        <v>3143</v>
      </c>
      <c r="J449" s="1135" t="s">
        <v>1994</v>
      </c>
      <c r="K449" s="1135" t="s">
        <v>1567</v>
      </c>
      <c r="L449" s="1135" t="s">
        <v>1571</v>
      </c>
      <c r="M449" s="2062">
        <v>0.3</v>
      </c>
      <c r="N449" s="1135" t="s">
        <v>3141</v>
      </c>
      <c r="O449" s="1135">
        <v>68</v>
      </c>
      <c r="P449" s="2017">
        <v>68</v>
      </c>
      <c r="Q449" s="2017">
        <v>0</v>
      </c>
      <c r="R449" s="2017">
        <v>0</v>
      </c>
      <c r="S449" s="2017">
        <v>0</v>
      </c>
      <c r="T449" s="2017">
        <v>0</v>
      </c>
      <c r="U449" s="2042">
        <v>0</v>
      </c>
    </row>
    <row r="450" spans="2:21" hidden="1" outlineLevel="2">
      <c r="B450" s="2059">
        <v>39</v>
      </c>
      <c r="C450" s="1050" t="str">
        <f t="shared" si="63"/>
        <v>-</v>
      </c>
      <c r="D450" s="1051">
        <f t="shared" si="64"/>
        <v>8</v>
      </c>
      <c r="E450" s="1051" t="str">
        <f>IF(COUNTIF(E$411:E449,F450)&gt;0,"",F450)</f>
        <v/>
      </c>
      <c r="F450" s="1051" t="str">
        <f t="shared" si="65"/>
        <v>Congélateur armoire 205l, France continentale, Base Carbone</v>
      </c>
      <c r="G450" s="1055" t="str">
        <f t="shared" si="66"/>
        <v>Congélateur armoire 205l, France continentale, Base Carbone; kgCO2e/unité, Assemblage</v>
      </c>
      <c r="I450" s="2018" t="s">
        <v>3143</v>
      </c>
      <c r="J450" s="1135" t="s">
        <v>1994</v>
      </c>
      <c r="K450" s="1135" t="s">
        <v>1567</v>
      </c>
      <c r="L450" s="1135" t="s">
        <v>1571</v>
      </c>
      <c r="M450" s="2062">
        <v>0.3</v>
      </c>
      <c r="N450" s="1135" t="s">
        <v>3137</v>
      </c>
      <c r="O450" s="1135">
        <v>28.3</v>
      </c>
      <c r="P450" s="2017">
        <v>28.3</v>
      </c>
      <c r="Q450" s="2017">
        <v>0</v>
      </c>
      <c r="R450" s="2017">
        <v>0</v>
      </c>
      <c r="S450" s="2017">
        <v>0</v>
      </c>
      <c r="T450" s="2017">
        <v>0</v>
      </c>
      <c r="U450" s="2042">
        <v>0</v>
      </c>
    </row>
    <row r="451" spans="2:21" hidden="1" outlineLevel="2">
      <c r="B451" s="2059">
        <v>40</v>
      </c>
      <c r="C451" s="1050" t="str">
        <f t="shared" si="63"/>
        <v>-</v>
      </c>
      <c r="D451" s="1051">
        <f t="shared" si="64"/>
        <v>8</v>
      </c>
      <c r="E451" s="1051" t="str">
        <f>IF(COUNTIF(E$411:E450,F451)&gt;0,"",F451)</f>
        <v/>
      </c>
      <c r="F451" s="1051" t="str">
        <f t="shared" si="65"/>
        <v>Congélateur armoire 205l, France continentale, Base Carbone</v>
      </c>
      <c r="G451" s="1055" t="str">
        <f t="shared" si="66"/>
        <v>Congélateur armoire 205l, France continentale, Base Carbone; kgCO2e/unité, Distribution</v>
      </c>
      <c r="I451" s="2018" t="s">
        <v>3143</v>
      </c>
      <c r="J451" s="1135" t="s">
        <v>1994</v>
      </c>
      <c r="K451" s="1135" t="s">
        <v>1567</v>
      </c>
      <c r="L451" s="1135" t="s">
        <v>1571</v>
      </c>
      <c r="M451" s="2062">
        <v>0.3</v>
      </c>
      <c r="N451" s="1135" t="s">
        <v>3138</v>
      </c>
      <c r="O451" s="1135">
        <v>83.6</v>
      </c>
      <c r="P451" s="2017">
        <v>83.6</v>
      </c>
      <c r="Q451" s="2017">
        <v>0</v>
      </c>
      <c r="R451" s="2017">
        <v>0</v>
      </c>
      <c r="S451" s="2017">
        <v>0</v>
      </c>
      <c r="T451" s="2017">
        <v>0</v>
      </c>
      <c r="U451" s="2042">
        <v>0</v>
      </c>
    </row>
    <row r="452" spans="2:21" hidden="1" outlineLevel="2">
      <c r="B452" s="2059">
        <v>41</v>
      </c>
      <c r="C452" s="1050" t="str">
        <f t="shared" si="63"/>
        <v>-</v>
      </c>
      <c r="D452" s="1051">
        <f t="shared" si="64"/>
        <v>9</v>
      </c>
      <c r="E452" s="1051" t="str">
        <f>IF(COUNTIF(E$411:E451,F452)&gt;0,"",F452)</f>
        <v>Congélateur coffre 261l, France continentale, Base Carbone</v>
      </c>
      <c r="F452" s="1051" t="str">
        <f t="shared" si="65"/>
        <v>Congélateur coffre 261l, France continentale, Base Carbone</v>
      </c>
      <c r="G452" s="1055" t="str">
        <f t="shared" si="66"/>
        <v>Congélateur coffre 261l, France continentale, Base Carbone; kgCO2e/unité, Matières premières</v>
      </c>
      <c r="I452" s="2018" t="s">
        <v>3144</v>
      </c>
      <c r="J452" s="1135" t="s">
        <v>1994</v>
      </c>
      <c r="K452" s="1135" t="s">
        <v>1567</v>
      </c>
      <c r="L452" s="1135" t="s">
        <v>1571</v>
      </c>
      <c r="M452" s="2062">
        <v>0.3</v>
      </c>
      <c r="N452" s="1135" t="s">
        <v>3135</v>
      </c>
      <c r="O452" s="1135">
        <v>167</v>
      </c>
      <c r="P452" s="2017">
        <v>167</v>
      </c>
      <c r="Q452" s="2017">
        <v>0</v>
      </c>
      <c r="R452" s="2017">
        <v>0</v>
      </c>
      <c r="S452" s="2017">
        <v>0</v>
      </c>
      <c r="T452" s="2017">
        <v>0</v>
      </c>
      <c r="U452" s="2042">
        <v>0</v>
      </c>
    </row>
    <row r="453" spans="2:21" hidden="1" outlineLevel="2">
      <c r="B453" s="2059">
        <v>42</v>
      </c>
      <c r="C453" s="1050" t="str">
        <f t="shared" si="63"/>
        <v>-</v>
      </c>
      <c r="D453" s="1051">
        <f t="shared" si="64"/>
        <v>9</v>
      </c>
      <c r="E453" s="1051" t="str">
        <f>IF(COUNTIF(E$411:E452,F453)&gt;0,"",F453)</f>
        <v/>
      </c>
      <c r="F453" s="1051" t="str">
        <f t="shared" si="65"/>
        <v>Congélateur coffre 261l, France continentale, Base Carbone</v>
      </c>
      <c r="G453" s="1055" t="str">
        <f t="shared" si="66"/>
        <v>Congélateur coffre 261l, France continentale, Base Carbone; kgCO2e/unité, Approvisionnement</v>
      </c>
      <c r="I453" s="2018" t="s">
        <v>3144</v>
      </c>
      <c r="J453" s="1135" t="s">
        <v>1994</v>
      </c>
      <c r="K453" s="1135" t="s">
        <v>1567</v>
      </c>
      <c r="L453" s="1135" t="s">
        <v>1571</v>
      </c>
      <c r="M453" s="2062">
        <v>0.3</v>
      </c>
      <c r="N453" s="1135" t="s">
        <v>3136</v>
      </c>
      <c r="O453" s="1135">
        <v>13</v>
      </c>
      <c r="P453" s="2017">
        <v>13</v>
      </c>
      <c r="Q453" s="2017">
        <v>0</v>
      </c>
      <c r="R453" s="2017">
        <v>0</v>
      </c>
      <c r="S453" s="2017">
        <v>0</v>
      </c>
      <c r="T453" s="2017">
        <v>0</v>
      </c>
      <c r="U453" s="2042">
        <v>0</v>
      </c>
    </row>
    <row r="454" spans="2:21" hidden="1" outlineLevel="2">
      <c r="B454" s="2059">
        <v>43</v>
      </c>
      <c r="C454" s="1050" t="str">
        <f t="shared" si="63"/>
        <v>-</v>
      </c>
      <c r="D454" s="1051">
        <f t="shared" si="64"/>
        <v>9</v>
      </c>
      <c r="E454" s="1051" t="str">
        <f>IF(COUNTIF(E$411:E453,F454)&gt;0,"",F454)</f>
        <v/>
      </c>
      <c r="F454" s="1051" t="str">
        <f t="shared" si="65"/>
        <v>Congélateur coffre 261l, France continentale, Base Carbone</v>
      </c>
      <c r="G454" s="1055" t="str">
        <f t="shared" si="66"/>
        <v>Congélateur coffre 261l, France continentale, Base Carbone; kgCO2e/unité, Mise en forme</v>
      </c>
      <c r="I454" s="2018" t="s">
        <v>3144</v>
      </c>
      <c r="J454" s="1135" t="s">
        <v>1994</v>
      </c>
      <c r="K454" s="1135" t="s">
        <v>1567</v>
      </c>
      <c r="L454" s="1135" t="s">
        <v>1571</v>
      </c>
      <c r="M454" s="2062">
        <v>0.3</v>
      </c>
      <c r="N454" s="1135" t="s">
        <v>3141</v>
      </c>
      <c r="O454" s="1135">
        <v>44.2</v>
      </c>
      <c r="P454" s="2017">
        <v>44.2</v>
      </c>
      <c r="Q454" s="2017">
        <v>0</v>
      </c>
      <c r="R454" s="2017">
        <v>0</v>
      </c>
      <c r="S454" s="2017">
        <v>0</v>
      </c>
      <c r="T454" s="2017">
        <v>0</v>
      </c>
      <c r="U454" s="2042">
        <v>0</v>
      </c>
    </row>
    <row r="455" spans="2:21" hidden="1" outlineLevel="2">
      <c r="B455" s="2059">
        <v>44</v>
      </c>
      <c r="C455" s="1050" t="str">
        <f t="shared" si="63"/>
        <v>-</v>
      </c>
      <c r="D455" s="1051">
        <f t="shared" si="64"/>
        <v>9</v>
      </c>
      <c r="E455" s="1051" t="str">
        <f>IF(COUNTIF(E$411:E454,F455)&gt;0,"",F455)</f>
        <v/>
      </c>
      <c r="F455" s="1051" t="str">
        <f t="shared" si="65"/>
        <v>Congélateur coffre 261l, France continentale, Base Carbone</v>
      </c>
      <c r="G455" s="1055" t="str">
        <f t="shared" si="66"/>
        <v>Congélateur coffre 261l, France continentale, Base Carbone; kgCO2e/unité, Assemblage</v>
      </c>
      <c r="I455" s="2018" t="s">
        <v>3144</v>
      </c>
      <c r="J455" s="1135" t="s">
        <v>1994</v>
      </c>
      <c r="K455" s="1135" t="s">
        <v>1567</v>
      </c>
      <c r="L455" s="1135" t="s">
        <v>1571</v>
      </c>
      <c r="M455" s="2062">
        <v>0.3</v>
      </c>
      <c r="N455" s="1135" t="s">
        <v>3137</v>
      </c>
      <c r="O455" s="1135">
        <v>19.600000000000001</v>
      </c>
      <c r="P455" s="2017">
        <v>19.600000000000001</v>
      </c>
      <c r="Q455" s="2017">
        <v>0</v>
      </c>
      <c r="R455" s="2017">
        <v>0</v>
      </c>
      <c r="S455" s="2017">
        <v>0</v>
      </c>
      <c r="T455" s="2017">
        <v>0</v>
      </c>
      <c r="U455" s="2042">
        <v>0</v>
      </c>
    </row>
    <row r="456" spans="2:21" hidden="1" outlineLevel="2">
      <c r="B456" s="2059">
        <v>45</v>
      </c>
      <c r="C456" s="1050" t="str">
        <f t="shared" si="63"/>
        <v>-</v>
      </c>
      <c r="D456" s="1051">
        <f t="shared" si="64"/>
        <v>9</v>
      </c>
      <c r="E456" s="1051" t="str">
        <f>IF(COUNTIF(E$411:E455,F456)&gt;0,"",F456)</f>
        <v/>
      </c>
      <c r="F456" s="1051" t="str">
        <f t="shared" si="65"/>
        <v>Congélateur coffre 261l, France continentale, Base Carbone</v>
      </c>
      <c r="G456" s="1055" t="str">
        <f t="shared" si="66"/>
        <v>Congélateur coffre 261l, France continentale, Base Carbone; kgCO2e/unité, Distribution</v>
      </c>
      <c r="I456" s="2018" t="s">
        <v>3144</v>
      </c>
      <c r="J456" s="1135" t="s">
        <v>1994</v>
      </c>
      <c r="K456" s="1135" t="s">
        <v>1567</v>
      </c>
      <c r="L456" s="1135" t="s">
        <v>1571</v>
      </c>
      <c r="M456" s="2062">
        <v>0.3</v>
      </c>
      <c r="N456" s="1135" t="s">
        <v>3138</v>
      </c>
      <c r="O456" s="1135">
        <v>57.6</v>
      </c>
      <c r="P456" s="2017">
        <v>57.6</v>
      </c>
      <c r="Q456" s="2017">
        <v>0</v>
      </c>
      <c r="R456" s="2017">
        <v>0</v>
      </c>
      <c r="S456" s="2017">
        <v>0</v>
      </c>
      <c r="T456" s="2017">
        <v>0</v>
      </c>
      <c r="U456" s="2042">
        <v>0</v>
      </c>
    </row>
    <row r="457" spans="2:21" hidden="1" outlineLevel="2">
      <c r="B457" s="2059">
        <v>46</v>
      </c>
      <c r="C457" s="1050" t="str">
        <f t="shared" si="63"/>
        <v>-</v>
      </c>
      <c r="D457" s="1051">
        <f t="shared" si="64"/>
        <v>10</v>
      </c>
      <c r="E457" s="1051" t="str">
        <f>IF(COUNTIF(E$411:E456,F457)&gt;0,"",F457)</f>
        <v>Four électrique encastrable , France continentale, Base Carbone</v>
      </c>
      <c r="F457" s="1051" t="str">
        <f t="shared" si="65"/>
        <v>Four électrique encastrable , France continentale, Base Carbone</v>
      </c>
      <c r="G457" s="1055" t="str">
        <f t="shared" si="66"/>
        <v>Four électrique encastrable , France continentale, Base Carbone; kgCO2e/unité, Matières premières</v>
      </c>
      <c r="I457" s="2018" t="s">
        <v>3145</v>
      </c>
      <c r="J457" s="1135" t="s">
        <v>1994</v>
      </c>
      <c r="K457" s="1135" t="s">
        <v>1567</v>
      </c>
      <c r="L457" s="1135" t="s">
        <v>1571</v>
      </c>
      <c r="M457" s="2062">
        <v>0.3</v>
      </c>
      <c r="N457" s="1135" t="s">
        <v>3135</v>
      </c>
      <c r="O457" s="1135">
        <v>133</v>
      </c>
      <c r="P457" s="2017">
        <v>133</v>
      </c>
      <c r="Q457" s="2017">
        <v>0</v>
      </c>
      <c r="R457" s="2017">
        <v>0</v>
      </c>
      <c r="S457" s="2017">
        <v>0</v>
      </c>
      <c r="T457" s="2017">
        <v>0</v>
      </c>
      <c r="U457" s="2042">
        <v>0</v>
      </c>
    </row>
    <row r="458" spans="2:21" hidden="1" outlineLevel="2">
      <c r="B458" s="2059">
        <v>47</v>
      </c>
      <c r="C458" s="1050" t="str">
        <f t="shared" si="63"/>
        <v>-</v>
      </c>
      <c r="D458" s="1051">
        <f t="shared" si="64"/>
        <v>10</v>
      </c>
      <c r="E458" s="1051" t="str">
        <f>IF(COUNTIF(E$411:E457,F458)&gt;0,"",F458)</f>
        <v/>
      </c>
      <c r="F458" s="1051" t="str">
        <f t="shared" si="65"/>
        <v>Four électrique encastrable , France continentale, Base Carbone</v>
      </c>
      <c r="G458" s="1055" t="str">
        <f t="shared" si="66"/>
        <v>Four électrique encastrable , France continentale, Base Carbone; kgCO2e/unité, Approvisionnement</v>
      </c>
      <c r="I458" s="2018" t="s">
        <v>3145</v>
      </c>
      <c r="J458" s="1135" t="s">
        <v>1994</v>
      </c>
      <c r="K458" s="1135" t="s">
        <v>1567</v>
      </c>
      <c r="L458" s="1135" t="s">
        <v>1571</v>
      </c>
      <c r="M458" s="2062">
        <v>0.3</v>
      </c>
      <c r="N458" s="1135" t="s">
        <v>3136</v>
      </c>
      <c r="O458" s="1135">
        <v>8.19</v>
      </c>
      <c r="P458" s="2017">
        <v>8.19</v>
      </c>
      <c r="Q458" s="2017">
        <v>0</v>
      </c>
      <c r="R458" s="2017">
        <v>0</v>
      </c>
      <c r="S458" s="2017">
        <v>0</v>
      </c>
      <c r="T458" s="2017">
        <v>0</v>
      </c>
      <c r="U458" s="2042">
        <v>0</v>
      </c>
    </row>
    <row r="459" spans="2:21" hidden="1" outlineLevel="2">
      <c r="B459" s="2059">
        <v>48</v>
      </c>
      <c r="C459" s="1050" t="str">
        <f t="shared" si="63"/>
        <v>-</v>
      </c>
      <c r="D459" s="1051">
        <f t="shared" si="64"/>
        <v>10</v>
      </c>
      <c r="E459" s="1051" t="str">
        <f>IF(COUNTIF(E$411:E458,F459)&gt;0,"",F459)</f>
        <v/>
      </c>
      <c r="F459" s="1051" t="str">
        <f t="shared" si="65"/>
        <v>Four électrique encastrable , France continentale, Base Carbone</v>
      </c>
      <c r="G459" s="1055" t="str">
        <f t="shared" si="66"/>
        <v>Four électrique encastrable , France continentale, Base Carbone; kgCO2e/unité, Mise en forme</v>
      </c>
      <c r="I459" s="2018" t="s">
        <v>3145</v>
      </c>
      <c r="J459" s="1135" t="s">
        <v>1994</v>
      </c>
      <c r="K459" s="1135" t="s">
        <v>1567</v>
      </c>
      <c r="L459" s="1135" t="s">
        <v>1571</v>
      </c>
      <c r="M459" s="2062">
        <v>0.3</v>
      </c>
      <c r="N459" s="1135" t="s">
        <v>3141</v>
      </c>
      <c r="O459" s="1135">
        <v>33.6</v>
      </c>
      <c r="P459" s="2017">
        <v>33.6</v>
      </c>
      <c r="Q459" s="2017">
        <v>0</v>
      </c>
      <c r="R459" s="2017">
        <v>0</v>
      </c>
      <c r="S459" s="2017">
        <v>0</v>
      </c>
      <c r="T459" s="2017">
        <v>0</v>
      </c>
      <c r="U459" s="2042">
        <v>0</v>
      </c>
    </row>
    <row r="460" spans="2:21" hidden="1" outlineLevel="2">
      <c r="B460" s="2059">
        <v>49</v>
      </c>
      <c r="C460" s="1050" t="str">
        <f t="shared" si="63"/>
        <v>-</v>
      </c>
      <c r="D460" s="1051">
        <f t="shared" si="64"/>
        <v>10</v>
      </c>
      <c r="E460" s="1051" t="str">
        <f>IF(COUNTIF(E$411:E459,F460)&gt;0,"",F460)</f>
        <v/>
      </c>
      <c r="F460" s="1051" t="str">
        <f t="shared" si="65"/>
        <v>Four électrique encastrable , France continentale, Base Carbone</v>
      </c>
      <c r="G460" s="1055" t="str">
        <f t="shared" si="66"/>
        <v>Four électrique encastrable , France continentale, Base Carbone; kgCO2e/unité, Assemblage</v>
      </c>
      <c r="I460" s="2018" t="s">
        <v>3145</v>
      </c>
      <c r="J460" s="1135" t="s">
        <v>1994</v>
      </c>
      <c r="K460" s="1135" t="s">
        <v>1567</v>
      </c>
      <c r="L460" s="1135" t="s">
        <v>1571</v>
      </c>
      <c r="M460" s="2062">
        <v>0.3</v>
      </c>
      <c r="N460" s="1135" t="s">
        <v>3137</v>
      </c>
      <c r="O460" s="1135">
        <v>12.9</v>
      </c>
      <c r="P460" s="2017">
        <v>12.9</v>
      </c>
      <c r="Q460" s="2017">
        <v>0</v>
      </c>
      <c r="R460" s="2017">
        <v>0</v>
      </c>
      <c r="S460" s="2017">
        <v>0</v>
      </c>
      <c r="T460" s="2017">
        <v>0</v>
      </c>
      <c r="U460" s="2042">
        <v>0</v>
      </c>
    </row>
    <row r="461" spans="2:21" hidden="1" outlineLevel="2">
      <c r="B461" s="2059">
        <v>50</v>
      </c>
      <c r="C461" s="1050" t="str">
        <f t="shared" si="63"/>
        <v>-</v>
      </c>
      <c r="D461" s="1051">
        <f t="shared" si="64"/>
        <v>10</v>
      </c>
      <c r="E461" s="1051" t="str">
        <f>IF(COUNTIF(E$411:E460,F461)&gt;0,"",F461)</f>
        <v/>
      </c>
      <c r="F461" s="1051" t="str">
        <f t="shared" si="65"/>
        <v>Four électrique encastrable , France continentale, Base Carbone</v>
      </c>
      <c r="G461" s="1055" t="str">
        <f t="shared" si="66"/>
        <v>Four électrique encastrable , France continentale, Base Carbone; kgCO2e/unité, Distribution</v>
      </c>
      <c r="I461" s="2018" t="s">
        <v>3145</v>
      </c>
      <c r="J461" s="1135" t="s">
        <v>1994</v>
      </c>
      <c r="K461" s="1135" t="s">
        <v>1567</v>
      </c>
      <c r="L461" s="1135" t="s">
        <v>1571</v>
      </c>
      <c r="M461" s="2062">
        <v>0.3</v>
      </c>
      <c r="N461" s="1135" t="s">
        <v>3138</v>
      </c>
      <c r="O461" s="1135">
        <v>29.9</v>
      </c>
      <c r="P461" s="2017">
        <v>29.9</v>
      </c>
      <c r="Q461" s="2017">
        <v>0</v>
      </c>
      <c r="R461" s="2017">
        <v>0</v>
      </c>
      <c r="S461" s="2017">
        <v>0</v>
      </c>
      <c r="T461" s="2017">
        <v>0</v>
      </c>
      <c r="U461" s="2042">
        <v>0</v>
      </c>
    </row>
    <row r="462" spans="2:21" hidden="1" outlineLevel="2">
      <c r="B462" s="1135"/>
      <c r="C462" s="1045"/>
      <c r="D462" s="1051">
        <f t="shared" si="64"/>
        <v>11</v>
      </c>
      <c r="E462" s="1051" t="str">
        <f>IF(COUNTIF(E$411:E461,F462)&gt;0,"",F462)</f>
        <v>Four professionnel vapeur combi électrique , France continentale, Base Carbone</v>
      </c>
      <c r="F462" s="1051" t="str">
        <f t="shared" si="65"/>
        <v>Four professionnel vapeur combi électrique , France continentale, Base Carbone</v>
      </c>
      <c r="G462" s="1055" t="str">
        <f t="shared" si="66"/>
        <v>Four professionnel vapeur combi électrique , France continentale, Base Carbone; kgCO2e/unité, Matières premières</v>
      </c>
      <c r="I462" s="2018" t="s">
        <v>3146</v>
      </c>
      <c r="J462" s="1135" t="s">
        <v>1994</v>
      </c>
      <c r="K462" s="1135" t="s">
        <v>1567</v>
      </c>
      <c r="L462" s="1135" t="s">
        <v>1571</v>
      </c>
      <c r="M462" s="2062">
        <v>0.3</v>
      </c>
      <c r="N462" s="1135" t="s">
        <v>3135</v>
      </c>
      <c r="O462" s="1135">
        <v>685</v>
      </c>
      <c r="P462" s="2017">
        <v>685</v>
      </c>
      <c r="Q462" s="2017">
        <v>0</v>
      </c>
      <c r="R462" s="2017">
        <v>0</v>
      </c>
      <c r="S462" s="2017">
        <v>0</v>
      </c>
      <c r="T462" s="2017">
        <v>0</v>
      </c>
      <c r="U462" s="2042">
        <v>0</v>
      </c>
    </row>
    <row r="463" spans="2:21" hidden="1" outlineLevel="2">
      <c r="B463" s="1135"/>
      <c r="C463" s="1045"/>
      <c r="D463" s="1051">
        <f t="shared" si="64"/>
        <v>11</v>
      </c>
      <c r="E463" s="1051" t="str">
        <f>IF(COUNTIF(E$411:E462,F463)&gt;0,"",F463)</f>
        <v/>
      </c>
      <c r="F463" s="1051" t="str">
        <f t="shared" si="65"/>
        <v>Four professionnel vapeur combi électrique , France continentale, Base Carbone</v>
      </c>
      <c r="G463" s="1055" t="str">
        <f t="shared" si="66"/>
        <v>Four professionnel vapeur combi électrique , France continentale, Base Carbone; kgCO2e/unité, Approvisionnement</v>
      </c>
      <c r="I463" s="2018" t="s">
        <v>3146</v>
      </c>
      <c r="J463" s="1135" t="s">
        <v>1994</v>
      </c>
      <c r="K463" s="1135" t="s">
        <v>1567</v>
      </c>
      <c r="L463" s="1135" t="s">
        <v>1571</v>
      </c>
      <c r="M463" s="2062">
        <v>0.3</v>
      </c>
      <c r="N463" s="1135" t="s">
        <v>3136</v>
      </c>
      <c r="O463" s="1135">
        <v>36.299999999999997</v>
      </c>
      <c r="P463" s="2017">
        <v>36.299999999999997</v>
      </c>
      <c r="Q463" s="2017">
        <v>0</v>
      </c>
      <c r="R463" s="2017">
        <v>0</v>
      </c>
      <c r="S463" s="2017">
        <v>0</v>
      </c>
      <c r="T463" s="2017">
        <v>0</v>
      </c>
      <c r="U463" s="2042">
        <v>0</v>
      </c>
    </row>
    <row r="464" spans="2:21" hidden="1" outlineLevel="2">
      <c r="B464" s="1135"/>
      <c r="C464" s="1045"/>
      <c r="D464" s="1051">
        <f t="shared" si="64"/>
        <v>11</v>
      </c>
      <c r="E464" s="1051" t="str">
        <f>IF(COUNTIF(E$411:E463,F464)&gt;0,"",F464)</f>
        <v/>
      </c>
      <c r="F464" s="1051" t="str">
        <f t="shared" si="65"/>
        <v>Four professionnel vapeur combi électrique , France continentale, Base Carbone</v>
      </c>
      <c r="G464" s="1055" t="str">
        <f t="shared" si="66"/>
        <v>Four professionnel vapeur combi électrique , France continentale, Base Carbone; kgCO2e/unité, Mise en forme</v>
      </c>
      <c r="I464" s="2018" t="s">
        <v>3146</v>
      </c>
      <c r="J464" s="1135" t="s">
        <v>1994</v>
      </c>
      <c r="K464" s="1135" t="s">
        <v>1567</v>
      </c>
      <c r="L464" s="1135" t="s">
        <v>1571</v>
      </c>
      <c r="M464" s="2062">
        <v>0.3</v>
      </c>
      <c r="N464" s="1135" t="s">
        <v>3141</v>
      </c>
      <c r="O464" s="1135">
        <v>0</v>
      </c>
      <c r="P464" s="2017">
        <v>0</v>
      </c>
      <c r="Q464" s="2017">
        <v>0</v>
      </c>
      <c r="R464" s="2017">
        <v>0</v>
      </c>
      <c r="S464" s="2017">
        <v>0</v>
      </c>
      <c r="T464" s="2017">
        <v>0</v>
      </c>
      <c r="U464" s="2042">
        <v>0</v>
      </c>
    </row>
    <row r="465" spans="2:21" hidden="1" outlineLevel="2">
      <c r="B465" s="1135"/>
      <c r="C465" s="1045"/>
      <c r="D465" s="1051">
        <f t="shared" si="64"/>
        <v>11</v>
      </c>
      <c r="E465" s="1051" t="str">
        <f>IF(COUNTIF(E$411:E464,F465)&gt;0,"",F465)</f>
        <v/>
      </c>
      <c r="F465" s="1051" t="str">
        <f t="shared" si="65"/>
        <v>Four professionnel vapeur combi électrique , France continentale, Base Carbone</v>
      </c>
      <c r="G465" s="1055" t="str">
        <f t="shared" si="66"/>
        <v>Four professionnel vapeur combi électrique , France continentale, Base Carbone; kgCO2e/unité, Assemblage</v>
      </c>
      <c r="I465" s="2018" t="s">
        <v>3146</v>
      </c>
      <c r="J465" s="1135" t="s">
        <v>1994</v>
      </c>
      <c r="K465" s="1135" t="s">
        <v>1567</v>
      </c>
      <c r="L465" s="1135" t="s">
        <v>1571</v>
      </c>
      <c r="M465" s="2062">
        <v>0.3</v>
      </c>
      <c r="N465" s="1135" t="s">
        <v>3137</v>
      </c>
      <c r="O465" s="1135">
        <v>12.9</v>
      </c>
      <c r="P465" s="2017">
        <v>12.9</v>
      </c>
      <c r="Q465" s="2017">
        <v>0</v>
      </c>
      <c r="R465" s="2017">
        <v>0</v>
      </c>
      <c r="S465" s="2017">
        <v>0</v>
      </c>
      <c r="T465" s="2017">
        <v>0</v>
      </c>
      <c r="U465" s="2042">
        <v>0</v>
      </c>
    </row>
    <row r="466" spans="2:21" hidden="1" outlineLevel="2">
      <c r="B466" s="1135"/>
      <c r="C466" s="1045"/>
      <c r="D466" s="1051">
        <f t="shared" si="64"/>
        <v>11</v>
      </c>
      <c r="E466" s="1051" t="str">
        <f>IF(COUNTIF(E$411:E465,F466)&gt;0,"",F466)</f>
        <v/>
      </c>
      <c r="F466" s="1051" t="str">
        <f t="shared" si="65"/>
        <v>Four professionnel vapeur combi électrique , France continentale, Base Carbone</v>
      </c>
      <c r="G466" s="1055" t="str">
        <f t="shared" si="66"/>
        <v>Four professionnel vapeur combi électrique , France continentale, Base Carbone; kgCO2e/unité, Distribution</v>
      </c>
      <c r="I466" s="2018" t="s">
        <v>3146</v>
      </c>
      <c r="J466" s="1135" t="s">
        <v>1994</v>
      </c>
      <c r="K466" s="1135" t="s">
        <v>1567</v>
      </c>
      <c r="L466" s="1135" t="s">
        <v>1571</v>
      </c>
      <c r="M466" s="2062">
        <v>0.3</v>
      </c>
      <c r="N466" s="1135" t="s">
        <v>3138</v>
      </c>
      <c r="O466" s="1135">
        <v>131</v>
      </c>
      <c r="P466" s="2017">
        <v>131</v>
      </c>
      <c r="Q466" s="2017">
        <v>0</v>
      </c>
      <c r="R466" s="2017">
        <v>0</v>
      </c>
      <c r="S466" s="2017">
        <v>0</v>
      </c>
      <c r="T466" s="2017">
        <v>0</v>
      </c>
      <c r="U466" s="2042">
        <v>0</v>
      </c>
    </row>
    <row r="467" spans="2:21" hidden="1" outlineLevel="2">
      <c r="B467" s="1135"/>
      <c r="C467" s="1045"/>
      <c r="D467" s="1051">
        <f t="shared" si="64"/>
        <v>12</v>
      </c>
      <c r="E467" s="1051" t="str">
        <f>IF(COUNTIF(E$411:E466,F467)&gt;0,"",F467)</f>
        <v>Gazinière, France continentale, Base Carbone</v>
      </c>
      <c r="F467" s="1051" t="str">
        <f t="shared" si="65"/>
        <v>Gazinière, France continentale, Base Carbone</v>
      </c>
      <c r="G467" s="1055" t="str">
        <f t="shared" si="66"/>
        <v>Gazinière, France continentale, Base Carbone; kgCO2e/unité, Matières premières</v>
      </c>
      <c r="I467" s="2018" t="s">
        <v>3147</v>
      </c>
      <c r="J467" s="1135" t="s">
        <v>1994</v>
      </c>
      <c r="K467" s="1135" t="s">
        <v>1567</v>
      </c>
      <c r="L467" s="1135" t="s">
        <v>1571</v>
      </c>
      <c r="M467" s="2062">
        <v>0.3</v>
      </c>
      <c r="N467" s="1135" t="s">
        <v>3135</v>
      </c>
      <c r="O467" s="1135">
        <v>83.5</v>
      </c>
      <c r="P467" s="2017">
        <v>83.5</v>
      </c>
      <c r="Q467" s="2017">
        <v>0</v>
      </c>
      <c r="R467" s="2017">
        <v>0</v>
      </c>
      <c r="S467" s="2017">
        <v>0</v>
      </c>
      <c r="T467" s="2017">
        <v>0</v>
      </c>
      <c r="U467" s="2042">
        <v>0</v>
      </c>
    </row>
    <row r="468" spans="2:21" hidden="1" outlineLevel="2">
      <c r="B468" s="1135"/>
      <c r="C468" s="1045"/>
      <c r="D468" s="1051">
        <f t="shared" si="64"/>
        <v>12</v>
      </c>
      <c r="E468" s="1051" t="str">
        <f>IF(COUNTIF(E$411:E467,F468)&gt;0,"",F468)</f>
        <v/>
      </c>
      <c r="F468" s="1051" t="str">
        <f t="shared" si="65"/>
        <v>Gazinière, France continentale, Base Carbone</v>
      </c>
      <c r="G468" s="1055" t="str">
        <f t="shared" si="66"/>
        <v>Gazinière, France continentale, Base Carbone; kgCO2e/unité, Approvisionnement</v>
      </c>
      <c r="I468" s="2018" t="s">
        <v>3147</v>
      </c>
      <c r="J468" s="1135" t="s">
        <v>1994</v>
      </c>
      <c r="K468" s="1135" t="s">
        <v>1567</v>
      </c>
      <c r="L468" s="1135" t="s">
        <v>1571</v>
      </c>
      <c r="M468" s="2062">
        <v>0.3</v>
      </c>
      <c r="N468" s="1135" t="s">
        <v>3136</v>
      </c>
      <c r="O468" s="1135">
        <v>8.41</v>
      </c>
      <c r="P468" s="2017">
        <v>8.41</v>
      </c>
      <c r="Q468" s="2017">
        <v>0</v>
      </c>
      <c r="R468" s="2017">
        <v>0</v>
      </c>
      <c r="S468" s="2017">
        <v>0</v>
      </c>
      <c r="T468" s="2017">
        <v>0</v>
      </c>
      <c r="U468" s="2042">
        <v>0</v>
      </c>
    </row>
    <row r="469" spans="2:21" hidden="1" outlineLevel="2">
      <c r="B469" s="1135"/>
      <c r="C469" s="1045"/>
      <c r="D469" s="1051">
        <f t="shared" si="64"/>
        <v>12</v>
      </c>
      <c r="E469" s="1051" t="str">
        <f>IF(COUNTIF(E$411:E468,F469)&gt;0,"",F469)</f>
        <v/>
      </c>
      <c r="F469" s="1051" t="str">
        <f t="shared" si="65"/>
        <v>Gazinière, France continentale, Base Carbone</v>
      </c>
      <c r="G469" s="1055" t="str">
        <f t="shared" si="66"/>
        <v>Gazinière, France continentale, Base Carbone; kgCO2e/unité, Mise en forme</v>
      </c>
      <c r="I469" s="2018" t="s">
        <v>3147</v>
      </c>
      <c r="J469" s="1135" t="s">
        <v>1994</v>
      </c>
      <c r="K469" s="1135" t="s">
        <v>1567</v>
      </c>
      <c r="L469" s="1135" t="s">
        <v>1571</v>
      </c>
      <c r="M469" s="2062">
        <v>0.3</v>
      </c>
      <c r="N469" s="1135" t="s">
        <v>3141</v>
      </c>
      <c r="O469" s="1135">
        <v>27.1</v>
      </c>
      <c r="P469" s="2017">
        <v>27.1</v>
      </c>
      <c r="Q469" s="2017">
        <v>0</v>
      </c>
      <c r="R469" s="2017">
        <v>0</v>
      </c>
      <c r="S469" s="2017">
        <v>0</v>
      </c>
      <c r="T469" s="2017">
        <v>0</v>
      </c>
      <c r="U469" s="2042">
        <v>0</v>
      </c>
    </row>
    <row r="470" spans="2:21" hidden="1" outlineLevel="2">
      <c r="B470" s="1135"/>
      <c r="C470" s="1045"/>
      <c r="D470" s="1051">
        <f t="shared" si="64"/>
        <v>12</v>
      </c>
      <c r="E470" s="1051" t="str">
        <f>IF(COUNTIF(E$411:E469,F470)&gt;0,"",F470)</f>
        <v/>
      </c>
      <c r="F470" s="1051" t="str">
        <f t="shared" si="65"/>
        <v>Gazinière, France continentale, Base Carbone</v>
      </c>
      <c r="G470" s="1055" t="str">
        <f t="shared" si="66"/>
        <v>Gazinière, France continentale, Base Carbone; kgCO2e/unité, Assemblage</v>
      </c>
      <c r="I470" s="2018" t="s">
        <v>3147</v>
      </c>
      <c r="J470" s="1135" t="s">
        <v>1994</v>
      </c>
      <c r="K470" s="1135" t="s">
        <v>1567</v>
      </c>
      <c r="L470" s="1135" t="s">
        <v>1571</v>
      </c>
      <c r="M470" s="2062">
        <v>0.3</v>
      </c>
      <c r="N470" s="1135" t="s">
        <v>3137</v>
      </c>
      <c r="O470" s="1135">
        <v>12.9</v>
      </c>
      <c r="P470" s="2017">
        <v>12.9</v>
      </c>
      <c r="Q470" s="2017">
        <v>0</v>
      </c>
      <c r="R470" s="2017">
        <v>0</v>
      </c>
      <c r="S470" s="2017">
        <v>0</v>
      </c>
      <c r="T470" s="2017">
        <v>0</v>
      </c>
      <c r="U470" s="2042">
        <v>0</v>
      </c>
    </row>
    <row r="471" spans="2:21" hidden="1" outlineLevel="2">
      <c r="B471" s="1135"/>
      <c r="C471" s="1045"/>
      <c r="D471" s="1051">
        <f t="shared" si="64"/>
        <v>12</v>
      </c>
      <c r="E471" s="1051" t="str">
        <f>IF(COUNTIF(E$411:E470,F471)&gt;0,"",F471)</f>
        <v/>
      </c>
      <c r="F471" s="1051" t="str">
        <f t="shared" si="65"/>
        <v>Gazinière, France continentale, Base Carbone</v>
      </c>
      <c r="G471" s="1055" t="str">
        <f t="shared" si="66"/>
        <v>Gazinière, France continentale, Base Carbone; kgCO2e/unité, Distribution</v>
      </c>
      <c r="I471" s="2018" t="s">
        <v>3147</v>
      </c>
      <c r="J471" s="1135" t="s">
        <v>1994</v>
      </c>
      <c r="K471" s="1135" t="s">
        <v>1567</v>
      </c>
      <c r="L471" s="1135" t="s">
        <v>1571</v>
      </c>
      <c r="M471" s="2062">
        <v>0.3</v>
      </c>
      <c r="N471" s="1135" t="s">
        <v>3138</v>
      </c>
      <c r="O471" s="1135">
        <v>31.3</v>
      </c>
      <c r="P471" s="2017">
        <v>31.3</v>
      </c>
      <c r="Q471" s="2017">
        <v>0</v>
      </c>
      <c r="R471" s="2017">
        <v>0</v>
      </c>
      <c r="S471" s="2017">
        <v>0</v>
      </c>
      <c r="T471" s="2017">
        <v>0</v>
      </c>
      <c r="U471" s="2042">
        <v>0</v>
      </c>
    </row>
    <row r="472" spans="2:21" hidden="1" outlineLevel="2">
      <c r="B472" s="1135"/>
      <c r="C472" s="1045"/>
      <c r="D472" s="1051">
        <f t="shared" si="64"/>
        <v>13</v>
      </c>
      <c r="E472" s="1051" t="str">
        <f>IF(COUNTIF(E$411:E471,F472)&gt;0,"",F472)</f>
        <v>Hotte décorative à extraction, France continentale, Base Carbone</v>
      </c>
      <c r="F472" s="1051" t="str">
        <f t="shared" si="65"/>
        <v>Hotte décorative à extraction, France continentale, Base Carbone</v>
      </c>
      <c r="G472" s="1055" t="str">
        <f t="shared" si="66"/>
        <v>Hotte décorative à extraction, France continentale, Base Carbone; kgCO2e/unité, Matières premières</v>
      </c>
      <c r="I472" s="2018" t="s">
        <v>4135</v>
      </c>
      <c r="J472" s="1135" t="s">
        <v>1994</v>
      </c>
      <c r="K472" s="1135" t="s">
        <v>1567</v>
      </c>
      <c r="L472" s="1135" t="s">
        <v>1571</v>
      </c>
      <c r="M472" s="2062">
        <v>0.5</v>
      </c>
      <c r="N472" s="1135" t="s">
        <v>3135</v>
      </c>
      <c r="O472" s="1135">
        <v>42</v>
      </c>
      <c r="P472" s="1119">
        <v>42</v>
      </c>
      <c r="Q472" s="1119">
        <v>0</v>
      </c>
      <c r="R472" s="1119">
        <v>0</v>
      </c>
      <c r="S472" s="1119">
        <v>0</v>
      </c>
      <c r="T472" s="1119">
        <v>0</v>
      </c>
      <c r="U472" s="2065">
        <v>0</v>
      </c>
    </row>
    <row r="473" spans="2:21" hidden="1" outlineLevel="2">
      <c r="B473" s="1135"/>
      <c r="C473" s="1045"/>
      <c r="D473" s="1051">
        <f t="shared" si="64"/>
        <v>13</v>
      </c>
      <c r="E473" s="1051" t="str">
        <f>IF(COUNTIF(E$411:E472,F473)&gt;0,"",F473)</f>
        <v/>
      </c>
      <c r="F473" s="1051" t="str">
        <f t="shared" si="65"/>
        <v>Hotte décorative à extraction, France continentale, Base Carbone</v>
      </c>
      <c r="G473" s="1055" t="str">
        <f t="shared" si="66"/>
        <v>Hotte décorative à extraction, France continentale, Base Carbone; kgCO2e/unité, Approvisionnement</v>
      </c>
      <c r="I473" s="2018" t="s">
        <v>4135</v>
      </c>
      <c r="J473" s="1135" t="s">
        <v>1994</v>
      </c>
      <c r="K473" s="1135" t="s">
        <v>1567</v>
      </c>
      <c r="L473" s="1135" t="s">
        <v>1571</v>
      </c>
      <c r="M473" s="2062">
        <v>0.5</v>
      </c>
      <c r="N473" s="1135" t="s">
        <v>3136</v>
      </c>
      <c r="O473" s="1135">
        <v>1.76</v>
      </c>
      <c r="P473" s="1119">
        <v>1.76</v>
      </c>
      <c r="Q473" s="1119">
        <v>0</v>
      </c>
      <c r="R473" s="1119">
        <v>0</v>
      </c>
      <c r="S473" s="1119">
        <v>0</v>
      </c>
      <c r="T473" s="1119">
        <v>0</v>
      </c>
      <c r="U473" s="2065">
        <v>0</v>
      </c>
    </row>
    <row r="474" spans="2:21" hidden="1" outlineLevel="2">
      <c r="B474" s="1135"/>
      <c r="C474" s="1045"/>
      <c r="D474" s="1051">
        <f t="shared" si="64"/>
        <v>13</v>
      </c>
      <c r="E474" s="1051" t="str">
        <f>IF(COUNTIF(E$411:E473,F474)&gt;0,"",F474)</f>
        <v/>
      </c>
      <c r="F474" s="1051" t="str">
        <f t="shared" si="65"/>
        <v>Hotte décorative à extraction, France continentale, Base Carbone</v>
      </c>
      <c r="G474" s="1055" t="str">
        <f t="shared" si="66"/>
        <v>Hotte décorative à extraction, France continentale, Base Carbone; kgCO2e/unité, Mise en forme</v>
      </c>
      <c r="I474" s="2018" t="s">
        <v>4135</v>
      </c>
      <c r="J474" s="1135" t="s">
        <v>1994</v>
      </c>
      <c r="K474" s="1135" t="s">
        <v>1567</v>
      </c>
      <c r="L474" s="1135" t="s">
        <v>1571</v>
      </c>
      <c r="M474" s="2062">
        <v>0.5</v>
      </c>
      <c r="N474" s="1135" t="s">
        <v>3141</v>
      </c>
      <c r="O474" s="1135">
        <v>3.01</v>
      </c>
      <c r="P474" s="1119">
        <v>3.01</v>
      </c>
      <c r="Q474" s="1119">
        <v>0</v>
      </c>
      <c r="R474" s="1119">
        <v>0</v>
      </c>
      <c r="S474" s="1119">
        <v>0</v>
      </c>
      <c r="T474" s="1119">
        <v>0</v>
      </c>
      <c r="U474" s="2065">
        <v>0</v>
      </c>
    </row>
    <row r="475" spans="2:21" hidden="1" outlineLevel="2">
      <c r="B475" s="1135"/>
      <c r="C475" s="1045"/>
      <c r="D475" s="1051">
        <f t="shared" si="64"/>
        <v>13</v>
      </c>
      <c r="E475" s="1051" t="str">
        <f>IF(COUNTIF(E$411:E474,F475)&gt;0,"",F475)</f>
        <v/>
      </c>
      <c r="F475" s="1051" t="str">
        <f t="shared" si="65"/>
        <v>Hotte décorative à extraction, France continentale, Base Carbone</v>
      </c>
      <c r="G475" s="1055" t="str">
        <f t="shared" si="66"/>
        <v>Hotte décorative à extraction, France continentale, Base Carbone; kgCO2e/unité, Assemblage</v>
      </c>
      <c r="I475" s="2018" t="s">
        <v>4135</v>
      </c>
      <c r="J475" s="1135" t="s">
        <v>1994</v>
      </c>
      <c r="K475" s="1135" t="s">
        <v>1567</v>
      </c>
      <c r="L475" s="1135" t="s">
        <v>1571</v>
      </c>
      <c r="M475" s="2062">
        <v>0.5</v>
      </c>
      <c r="N475" s="1135" t="s">
        <v>3137</v>
      </c>
      <c r="O475" s="1135">
        <v>8.36</v>
      </c>
      <c r="P475" s="1119">
        <v>8.36</v>
      </c>
      <c r="Q475" s="1119">
        <v>0</v>
      </c>
      <c r="R475" s="1119">
        <v>0</v>
      </c>
      <c r="S475" s="1119">
        <v>0</v>
      </c>
      <c r="T475" s="1119">
        <v>0</v>
      </c>
      <c r="U475" s="2065">
        <v>-0.35199999999999998</v>
      </c>
    </row>
    <row r="476" spans="2:21" hidden="1" outlineLevel="2">
      <c r="B476" s="1135"/>
      <c r="C476" s="1045"/>
      <c r="D476" s="1051">
        <f t="shared" si="64"/>
        <v>13</v>
      </c>
      <c r="E476" s="1051" t="str">
        <f>IF(COUNTIF(E$411:E475,F476)&gt;0,"",F476)</f>
        <v/>
      </c>
      <c r="F476" s="1051" t="str">
        <f t="shared" si="65"/>
        <v>Hotte décorative à extraction, France continentale, Base Carbone</v>
      </c>
      <c r="G476" s="1055" t="str">
        <f t="shared" si="66"/>
        <v>Hotte décorative à extraction, France continentale, Base Carbone; kgCO2e/unité, Distribution</v>
      </c>
      <c r="I476" s="2018" t="s">
        <v>4135</v>
      </c>
      <c r="J476" s="1135" t="s">
        <v>1994</v>
      </c>
      <c r="K476" s="1135" t="s">
        <v>1567</v>
      </c>
      <c r="L476" s="1135" t="s">
        <v>1571</v>
      </c>
      <c r="M476" s="2062">
        <v>0.5</v>
      </c>
      <c r="N476" s="1135" t="s">
        <v>3138</v>
      </c>
      <c r="O476" s="1135">
        <v>5.3</v>
      </c>
      <c r="P476" s="1119">
        <v>5.3</v>
      </c>
      <c r="Q476" s="1119">
        <v>0</v>
      </c>
      <c r="R476" s="1119">
        <v>0</v>
      </c>
      <c r="S476" s="1119">
        <v>0</v>
      </c>
      <c r="T476" s="1119">
        <v>0</v>
      </c>
      <c r="U476" s="2065">
        <v>0</v>
      </c>
    </row>
    <row r="477" spans="2:21" hidden="1" outlineLevel="2">
      <c r="B477" s="1135"/>
      <c r="C477" s="1045"/>
      <c r="D477" s="1051">
        <f t="shared" ref="D477:D540" si="67">D476+IF(LEN(E477)&gt;0,1,0)</f>
        <v>14</v>
      </c>
      <c r="E477" s="1051" t="str">
        <f>IF(COUNTIF(E$411:E476,F477)&gt;0,"",F477)</f>
        <v>Hotte visière à recyclage d'air, France continentale, Base Carbone</v>
      </c>
      <c r="F477" s="1051" t="str">
        <f t="shared" ref="F477:F540" si="68">IF(I477&lt;&gt;"",I477&amp;IF(L477&lt;&gt;"",", "&amp;L477,"")&amp;IF(K477&lt;&gt;"",", "&amp;K477,""),"")</f>
        <v>Hotte visière à recyclage d'air, France continentale, Base Carbone</v>
      </c>
      <c r="G477" s="1055" t="str">
        <f t="shared" ref="G477:G540" si="69">IF(F477&lt;&gt;"",F477&amp;IF(J477&lt;&gt;"","; "&amp;J477&amp;IF(N477&lt;&gt;"",", "&amp;N477,),""),"")</f>
        <v>Hotte visière à recyclage d'air, France continentale, Base Carbone; kgCO2e/unité, Matières premières</v>
      </c>
      <c r="I477" s="2018" t="s">
        <v>4136</v>
      </c>
      <c r="J477" s="1135" t="s">
        <v>1994</v>
      </c>
      <c r="K477" s="1135" t="s">
        <v>1567</v>
      </c>
      <c r="L477" s="1135" t="s">
        <v>1571</v>
      </c>
      <c r="M477" s="2062">
        <v>0.5</v>
      </c>
      <c r="N477" s="1135" t="s">
        <v>3135</v>
      </c>
      <c r="O477" s="1119">
        <v>16.5</v>
      </c>
      <c r="P477" s="1119">
        <v>16.5</v>
      </c>
      <c r="Q477" s="1119">
        <v>0</v>
      </c>
      <c r="R477" s="1119">
        <v>0</v>
      </c>
      <c r="S477" s="1119">
        <v>0</v>
      </c>
      <c r="T477" s="1119">
        <v>0</v>
      </c>
      <c r="U477" s="2065">
        <v>0</v>
      </c>
    </row>
    <row r="478" spans="2:21" hidden="1" outlineLevel="2">
      <c r="B478" s="1135"/>
      <c r="C478" s="1045"/>
      <c r="D478" s="1051">
        <f t="shared" si="67"/>
        <v>14</v>
      </c>
      <c r="E478" s="1051" t="str">
        <f>IF(COUNTIF(E$411:E477,F478)&gt;0,"",F478)</f>
        <v/>
      </c>
      <c r="F478" s="1051" t="str">
        <f t="shared" si="68"/>
        <v>Hotte visière à recyclage d'air, France continentale, Base Carbone</v>
      </c>
      <c r="G478" s="1055" t="str">
        <f t="shared" si="69"/>
        <v>Hotte visière à recyclage d'air, France continentale, Base Carbone; kgCO2e/unité, Approvisionnement</v>
      </c>
      <c r="I478" s="2018" t="s">
        <v>4136</v>
      </c>
      <c r="J478" s="1135" t="s">
        <v>1994</v>
      </c>
      <c r="K478" s="1135" t="s">
        <v>1567</v>
      </c>
      <c r="L478" s="1135" t="s">
        <v>1571</v>
      </c>
      <c r="M478" s="2062">
        <v>0.5</v>
      </c>
      <c r="N478" s="1135" t="s">
        <v>3136</v>
      </c>
      <c r="O478" s="1119">
        <v>1.06</v>
      </c>
      <c r="P478" s="1119">
        <v>1.06</v>
      </c>
      <c r="Q478" s="1119">
        <v>0</v>
      </c>
      <c r="R478" s="1119">
        <v>0</v>
      </c>
      <c r="S478" s="1119">
        <v>0</v>
      </c>
      <c r="T478" s="1119">
        <v>0</v>
      </c>
      <c r="U478" s="2065">
        <v>0</v>
      </c>
    </row>
    <row r="479" spans="2:21" hidden="1" outlineLevel="2">
      <c r="B479" s="1135"/>
      <c r="C479" s="1045"/>
      <c r="D479" s="1051">
        <f t="shared" si="67"/>
        <v>14</v>
      </c>
      <c r="E479" s="1051" t="str">
        <f>IF(COUNTIF(E$411:E478,F479)&gt;0,"",F479)</f>
        <v/>
      </c>
      <c r="F479" s="1051" t="str">
        <f t="shared" si="68"/>
        <v>Hotte visière à recyclage d'air, France continentale, Base Carbone</v>
      </c>
      <c r="G479" s="1055" t="str">
        <f t="shared" si="69"/>
        <v>Hotte visière à recyclage d'air, France continentale, Base Carbone; kgCO2e/unité, Mise en forme</v>
      </c>
      <c r="I479" s="2018" t="s">
        <v>4136</v>
      </c>
      <c r="J479" s="1135" t="s">
        <v>1994</v>
      </c>
      <c r="K479" s="1135" t="s">
        <v>1567</v>
      </c>
      <c r="L479" s="1135" t="s">
        <v>1571</v>
      </c>
      <c r="M479" s="2062">
        <v>0.5</v>
      </c>
      <c r="N479" s="1135" t="s">
        <v>3141</v>
      </c>
      <c r="O479" s="1119">
        <v>1.61</v>
      </c>
      <c r="P479" s="1119">
        <v>1.61</v>
      </c>
      <c r="Q479" s="1119">
        <v>0</v>
      </c>
      <c r="R479" s="1119">
        <v>0</v>
      </c>
      <c r="S479" s="1119">
        <v>0</v>
      </c>
      <c r="T479" s="1119">
        <v>0</v>
      </c>
      <c r="U479" s="2065">
        <v>0</v>
      </c>
    </row>
    <row r="480" spans="2:21" hidden="1" outlineLevel="2">
      <c r="B480" s="1135"/>
      <c r="C480" s="1045"/>
      <c r="D480" s="1051">
        <f t="shared" si="67"/>
        <v>14</v>
      </c>
      <c r="E480" s="1051" t="str">
        <f>IF(COUNTIF(E$411:E479,F480)&gt;0,"",F480)</f>
        <v/>
      </c>
      <c r="F480" s="1051" t="str">
        <f t="shared" si="68"/>
        <v>Hotte visière à recyclage d'air, France continentale, Base Carbone</v>
      </c>
      <c r="G480" s="1055" t="str">
        <f t="shared" si="69"/>
        <v>Hotte visière à recyclage d'air, France continentale, Base Carbone; kgCO2e/unité, Assemblage</v>
      </c>
      <c r="I480" s="2018" t="s">
        <v>4136</v>
      </c>
      <c r="J480" s="1135" t="s">
        <v>1994</v>
      </c>
      <c r="K480" s="1135" t="s">
        <v>1567</v>
      </c>
      <c r="L480" s="1135" t="s">
        <v>1571</v>
      </c>
      <c r="M480" s="2062">
        <v>0.5</v>
      </c>
      <c r="N480" s="1135" t="s">
        <v>3137</v>
      </c>
      <c r="O480" s="1119">
        <v>8.36</v>
      </c>
      <c r="P480" s="1119">
        <v>8.36</v>
      </c>
      <c r="Q480" s="1119">
        <v>0</v>
      </c>
      <c r="R480" s="1119">
        <v>0</v>
      </c>
      <c r="S480" s="1119">
        <v>0</v>
      </c>
      <c r="T480" s="1119">
        <v>0</v>
      </c>
      <c r="U480" s="2065">
        <v>-0.35199999999999998</v>
      </c>
    </row>
    <row r="481" spans="2:21" hidden="1" outlineLevel="2">
      <c r="B481" s="1135"/>
      <c r="C481" s="1045"/>
      <c r="D481" s="1051">
        <f t="shared" si="67"/>
        <v>14</v>
      </c>
      <c r="E481" s="1051" t="str">
        <f>IF(COUNTIF(E$411:E480,F481)&gt;0,"",F481)</f>
        <v/>
      </c>
      <c r="F481" s="1051" t="str">
        <f t="shared" si="68"/>
        <v>Hotte visière à recyclage d'air, France continentale, Base Carbone</v>
      </c>
      <c r="G481" s="1055" t="str">
        <f t="shared" si="69"/>
        <v>Hotte visière à recyclage d'air, France continentale, Base Carbone; kgCO2e/unité, Distribution</v>
      </c>
      <c r="I481" s="2018" t="s">
        <v>4136</v>
      </c>
      <c r="J481" s="1135" t="s">
        <v>1994</v>
      </c>
      <c r="K481" s="1135" t="s">
        <v>1567</v>
      </c>
      <c r="L481" s="1135" t="s">
        <v>1571</v>
      </c>
      <c r="M481" s="2062">
        <v>0.5</v>
      </c>
      <c r="N481" s="1135" t="s">
        <v>3138</v>
      </c>
      <c r="O481" s="1119">
        <v>3.49</v>
      </c>
      <c r="P481" s="1119">
        <v>3.49</v>
      </c>
      <c r="Q481" s="1119">
        <v>0</v>
      </c>
      <c r="R481" s="1119">
        <v>0</v>
      </c>
      <c r="S481" s="1119">
        <v>0</v>
      </c>
      <c r="T481" s="1119">
        <v>0</v>
      </c>
      <c r="U481" s="2065">
        <v>0</v>
      </c>
    </row>
    <row r="482" spans="2:21" hidden="1" outlineLevel="2">
      <c r="B482" s="1135"/>
      <c r="C482" s="1045"/>
      <c r="D482" s="1051">
        <f t="shared" si="67"/>
        <v>15</v>
      </c>
      <c r="E482" s="1051" t="str">
        <f>IF(COUNTIF(E$411:E481,F482)&gt;0,"",F482)</f>
        <v>Lave-linge capacité 5kg, France continentale, Base Carbone</v>
      </c>
      <c r="F482" s="1051" t="str">
        <f t="shared" si="68"/>
        <v>Lave-linge capacité 5kg, France continentale, Base Carbone</v>
      </c>
      <c r="G482" s="1055" t="str">
        <f t="shared" si="69"/>
        <v>Lave-linge capacité 5kg, France continentale, Base Carbone; kgCO2e/unité, Matières premières</v>
      </c>
      <c r="I482" s="2018" t="s">
        <v>3148</v>
      </c>
      <c r="J482" s="1135" t="s">
        <v>1994</v>
      </c>
      <c r="K482" s="1135" t="s">
        <v>1567</v>
      </c>
      <c r="L482" s="1135" t="s">
        <v>1571</v>
      </c>
      <c r="M482" s="2062">
        <v>0.3</v>
      </c>
      <c r="N482" s="1135" t="s">
        <v>3135</v>
      </c>
      <c r="O482" s="1135">
        <v>165</v>
      </c>
      <c r="P482" s="2017">
        <v>165</v>
      </c>
      <c r="Q482" s="2017">
        <v>0</v>
      </c>
      <c r="R482" s="2017">
        <v>0</v>
      </c>
      <c r="S482" s="2017">
        <v>0</v>
      </c>
      <c r="T482" s="2017">
        <v>0</v>
      </c>
      <c r="U482" s="2042">
        <v>0</v>
      </c>
    </row>
    <row r="483" spans="2:21" hidden="1" outlineLevel="2">
      <c r="B483" s="1135"/>
      <c r="C483" s="1045"/>
      <c r="D483" s="1051">
        <f t="shared" si="67"/>
        <v>15</v>
      </c>
      <c r="E483" s="1051" t="str">
        <f>IF(COUNTIF(E$411:E482,F483)&gt;0,"",F483)</f>
        <v/>
      </c>
      <c r="F483" s="1051" t="str">
        <f t="shared" si="68"/>
        <v>Lave-linge capacité 5kg, France continentale, Base Carbone</v>
      </c>
      <c r="G483" s="1055" t="str">
        <f t="shared" si="69"/>
        <v>Lave-linge capacité 5kg, France continentale, Base Carbone; kgCO2e/unité, Approvisionnement</v>
      </c>
      <c r="I483" s="2018" t="s">
        <v>3148</v>
      </c>
      <c r="J483" s="1135" t="s">
        <v>1994</v>
      </c>
      <c r="K483" s="1135" t="s">
        <v>1567</v>
      </c>
      <c r="L483" s="1135" t="s">
        <v>1571</v>
      </c>
      <c r="M483" s="2062">
        <v>0.3</v>
      </c>
      <c r="N483" s="1135" t="s">
        <v>3136</v>
      </c>
      <c r="O483" s="1135">
        <v>10.5</v>
      </c>
      <c r="P483" s="2017">
        <v>10.5</v>
      </c>
      <c r="Q483" s="2017">
        <v>0</v>
      </c>
      <c r="R483" s="2017">
        <v>0</v>
      </c>
      <c r="S483" s="2017">
        <v>0</v>
      </c>
      <c r="T483" s="2017">
        <v>0</v>
      </c>
      <c r="U483" s="2042">
        <v>0</v>
      </c>
    </row>
    <row r="484" spans="2:21" hidden="1" outlineLevel="2">
      <c r="B484" s="1135"/>
      <c r="C484" s="1045"/>
      <c r="D484" s="1051">
        <f t="shared" si="67"/>
        <v>15</v>
      </c>
      <c r="E484" s="1051" t="str">
        <f>IF(COUNTIF(E$411:E483,F484)&gt;0,"",F484)</f>
        <v/>
      </c>
      <c r="F484" s="1051" t="str">
        <f t="shared" si="68"/>
        <v>Lave-linge capacité 5kg, France continentale, Base Carbone</v>
      </c>
      <c r="G484" s="1055" t="str">
        <f t="shared" si="69"/>
        <v>Lave-linge capacité 5kg, France continentale, Base Carbone; kgCO2e/unité, Mise en forme</v>
      </c>
      <c r="I484" s="2018" t="s">
        <v>3148</v>
      </c>
      <c r="J484" s="1135" t="s">
        <v>1994</v>
      </c>
      <c r="K484" s="1135" t="s">
        <v>1567</v>
      </c>
      <c r="L484" s="1135" t="s">
        <v>1571</v>
      </c>
      <c r="M484" s="2062">
        <v>0.3</v>
      </c>
      <c r="N484" s="1135" t="s">
        <v>3141</v>
      </c>
      <c r="O484" s="1135">
        <v>49.1</v>
      </c>
      <c r="P484" s="2017">
        <v>49.1</v>
      </c>
      <c r="Q484" s="2017">
        <v>0</v>
      </c>
      <c r="R484" s="2017">
        <v>0</v>
      </c>
      <c r="S484" s="2017">
        <v>0</v>
      </c>
      <c r="T484" s="2017">
        <v>0</v>
      </c>
      <c r="U484" s="2042">
        <v>0</v>
      </c>
    </row>
    <row r="485" spans="2:21" hidden="1" outlineLevel="2">
      <c r="B485" s="1135"/>
      <c r="C485" s="1045"/>
      <c r="D485" s="1051">
        <f t="shared" si="67"/>
        <v>15</v>
      </c>
      <c r="E485" s="1051" t="str">
        <f>IF(COUNTIF(E$411:E484,F485)&gt;0,"",F485)</f>
        <v/>
      </c>
      <c r="F485" s="1051" t="str">
        <f t="shared" si="68"/>
        <v>Lave-linge capacité 5kg, France continentale, Base Carbone</v>
      </c>
      <c r="G485" s="1055" t="str">
        <f t="shared" si="69"/>
        <v>Lave-linge capacité 5kg, France continentale, Base Carbone; kgCO2e/unité, Assemblage</v>
      </c>
      <c r="I485" s="2018" t="s">
        <v>3148</v>
      </c>
      <c r="J485" s="1135" t="s">
        <v>1994</v>
      </c>
      <c r="K485" s="1135" t="s">
        <v>1567</v>
      </c>
      <c r="L485" s="1135" t="s">
        <v>1571</v>
      </c>
      <c r="M485" s="2062">
        <v>0.3</v>
      </c>
      <c r="N485" s="1135" t="s">
        <v>3137</v>
      </c>
      <c r="O485" s="1135">
        <v>24</v>
      </c>
      <c r="P485" s="2017">
        <v>24</v>
      </c>
      <c r="Q485" s="2017">
        <v>0</v>
      </c>
      <c r="R485" s="2017">
        <v>0</v>
      </c>
      <c r="S485" s="2017">
        <v>0</v>
      </c>
      <c r="T485" s="2017">
        <v>0</v>
      </c>
      <c r="U485" s="2042">
        <v>0</v>
      </c>
    </row>
    <row r="486" spans="2:21" hidden="1" outlineLevel="2">
      <c r="B486" s="1135"/>
      <c r="C486" s="1045"/>
      <c r="D486" s="1051">
        <f t="shared" si="67"/>
        <v>15</v>
      </c>
      <c r="E486" s="1051" t="str">
        <f>IF(COUNTIF(E$411:E485,F486)&gt;0,"",F486)</f>
        <v/>
      </c>
      <c r="F486" s="1051" t="str">
        <f t="shared" si="68"/>
        <v>Lave-linge capacité 5kg, France continentale, Base Carbone</v>
      </c>
      <c r="G486" s="1055" t="str">
        <f t="shared" si="69"/>
        <v>Lave-linge capacité 5kg, France continentale, Base Carbone; kgCO2e/unité, Distribution</v>
      </c>
      <c r="I486" s="2018" t="s">
        <v>3148</v>
      </c>
      <c r="J486" s="1135" t="s">
        <v>1994</v>
      </c>
      <c r="K486" s="1135" t="s">
        <v>1567</v>
      </c>
      <c r="L486" s="1135" t="s">
        <v>1571</v>
      </c>
      <c r="M486" s="2062">
        <v>0.3</v>
      </c>
      <c r="N486" s="1135" t="s">
        <v>3138</v>
      </c>
      <c r="O486" s="1135">
        <v>57.3</v>
      </c>
      <c r="P486" s="2017">
        <v>57.3</v>
      </c>
      <c r="Q486" s="2017">
        <v>0</v>
      </c>
      <c r="R486" s="2017">
        <v>0</v>
      </c>
      <c r="S486" s="2017">
        <v>0</v>
      </c>
      <c r="T486" s="2017">
        <v>0</v>
      </c>
      <c r="U486" s="2042">
        <v>0</v>
      </c>
    </row>
    <row r="487" spans="2:21" hidden="1" outlineLevel="2">
      <c r="B487" s="1135"/>
      <c r="C487" s="1045"/>
      <c r="D487" s="1051">
        <f t="shared" si="67"/>
        <v>16</v>
      </c>
      <c r="E487" s="1051" t="str">
        <f>IF(COUNTIF(E$411:E486,F487)&gt;0,"",F487)</f>
        <v>Lave-linge capacité 7kg, France continentale, Base Carbone</v>
      </c>
      <c r="F487" s="1051" t="str">
        <f t="shared" si="68"/>
        <v>Lave-linge capacité 7kg, France continentale, Base Carbone</v>
      </c>
      <c r="G487" s="1055" t="str">
        <f t="shared" si="69"/>
        <v>Lave-linge capacité 7kg, France continentale, Base Carbone; kgCO2e/unité, Matières premières</v>
      </c>
      <c r="I487" s="2018" t="s">
        <v>3149</v>
      </c>
      <c r="J487" s="1135" t="s">
        <v>1994</v>
      </c>
      <c r="K487" s="1135" t="s">
        <v>1567</v>
      </c>
      <c r="L487" s="1135" t="s">
        <v>1571</v>
      </c>
      <c r="M487" s="2062">
        <v>0.3</v>
      </c>
      <c r="N487" s="1135" t="s">
        <v>3135</v>
      </c>
      <c r="O487" s="1135">
        <v>191</v>
      </c>
      <c r="P487" s="2017">
        <v>191</v>
      </c>
      <c r="Q487" s="2017">
        <v>0</v>
      </c>
      <c r="R487" s="2017">
        <v>0</v>
      </c>
      <c r="S487" s="2017">
        <v>0</v>
      </c>
      <c r="T487" s="2017">
        <v>0</v>
      </c>
      <c r="U487" s="2042">
        <v>0</v>
      </c>
    </row>
    <row r="488" spans="2:21" hidden="1" outlineLevel="2">
      <c r="B488" s="1135"/>
      <c r="C488" s="1045"/>
      <c r="D488" s="1051">
        <f t="shared" si="67"/>
        <v>16</v>
      </c>
      <c r="E488" s="1051" t="str">
        <f>IF(COUNTIF(E$411:E487,F488)&gt;0,"",F488)</f>
        <v/>
      </c>
      <c r="F488" s="1051" t="str">
        <f t="shared" si="68"/>
        <v>Lave-linge capacité 7kg, France continentale, Base Carbone</v>
      </c>
      <c r="G488" s="1055" t="str">
        <f t="shared" si="69"/>
        <v>Lave-linge capacité 7kg, France continentale, Base Carbone; kgCO2e/unité, Approvisionnement</v>
      </c>
      <c r="I488" s="2018" t="s">
        <v>3149</v>
      </c>
      <c r="J488" s="1135" t="s">
        <v>1994</v>
      </c>
      <c r="K488" s="1135" t="s">
        <v>1567</v>
      </c>
      <c r="L488" s="1135" t="s">
        <v>1571</v>
      </c>
      <c r="M488" s="2062">
        <v>0.3</v>
      </c>
      <c r="N488" s="1135" t="s">
        <v>3136</v>
      </c>
      <c r="O488" s="1135">
        <v>12.2</v>
      </c>
      <c r="P488" s="2017">
        <v>12.2</v>
      </c>
      <c r="Q488" s="2017">
        <v>0</v>
      </c>
      <c r="R488" s="2017">
        <v>0</v>
      </c>
      <c r="S488" s="2017">
        <v>0</v>
      </c>
      <c r="T488" s="2017">
        <v>0</v>
      </c>
      <c r="U488" s="2042">
        <v>0</v>
      </c>
    </row>
    <row r="489" spans="2:21" hidden="1" outlineLevel="2">
      <c r="B489" s="1135"/>
      <c r="C489" s="1045"/>
      <c r="D489" s="1051">
        <f t="shared" si="67"/>
        <v>16</v>
      </c>
      <c r="E489" s="1051" t="str">
        <f>IF(COUNTIF(E$411:E488,F489)&gt;0,"",F489)</f>
        <v/>
      </c>
      <c r="F489" s="1051" t="str">
        <f t="shared" si="68"/>
        <v>Lave-linge capacité 7kg, France continentale, Base Carbone</v>
      </c>
      <c r="G489" s="1055" t="str">
        <f t="shared" si="69"/>
        <v>Lave-linge capacité 7kg, France continentale, Base Carbone; kgCO2e/unité, Mise en forme</v>
      </c>
      <c r="I489" s="2018" t="s">
        <v>3149</v>
      </c>
      <c r="J489" s="1135" t="s">
        <v>1994</v>
      </c>
      <c r="K489" s="1135" t="s">
        <v>1567</v>
      </c>
      <c r="L489" s="1135" t="s">
        <v>1571</v>
      </c>
      <c r="M489" s="2062">
        <v>0.3</v>
      </c>
      <c r="N489" s="1135" t="s">
        <v>3141</v>
      </c>
      <c r="O489" s="1135">
        <v>47.6</v>
      </c>
      <c r="P489" s="2017">
        <v>47.6</v>
      </c>
      <c r="Q489" s="2017">
        <v>0</v>
      </c>
      <c r="R489" s="2017">
        <v>0</v>
      </c>
      <c r="S489" s="2017">
        <v>0</v>
      </c>
      <c r="T489" s="2017">
        <v>0</v>
      </c>
      <c r="U489" s="2042">
        <v>0</v>
      </c>
    </row>
    <row r="490" spans="2:21" hidden="1" outlineLevel="2">
      <c r="B490" s="1135"/>
      <c r="C490" s="1045"/>
      <c r="D490" s="1051">
        <f t="shared" si="67"/>
        <v>16</v>
      </c>
      <c r="E490" s="1051" t="str">
        <f>IF(COUNTIF(E$411:E489,F490)&gt;0,"",F490)</f>
        <v/>
      </c>
      <c r="F490" s="1051" t="str">
        <f t="shared" si="68"/>
        <v>Lave-linge capacité 7kg, France continentale, Base Carbone</v>
      </c>
      <c r="G490" s="1055" t="str">
        <f t="shared" si="69"/>
        <v>Lave-linge capacité 7kg, France continentale, Base Carbone; kgCO2e/unité, Assemblage</v>
      </c>
      <c r="I490" s="2018" t="s">
        <v>3149</v>
      </c>
      <c r="J490" s="1135" t="s">
        <v>1994</v>
      </c>
      <c r="K490" s="1135" t="s">
        <v>1567</v>
      </c>
      <c r="L490" s="1135" t="s">
        <v>1571</v>
      </c>
      <c r="M490" s="2062">
        <v>0.3</v>
      </c>
      <c r="N490" s="1135" t="s">
        <v>3137</v>
      </c>
      <c r="O490" s="1135">
        <v>24</v>
      </c>
      <c r="P490" s="2017">
        <v>24</v>
      </c>
      <c r="Q490" s="2017">
        <v>0</v>
      </c>
      <c r="R490" s="2017">
        <v>0</v>
      </c>
      <c r="S490" s="2017">
        <v>0</v>
      </c>
      <c r="T490" s="2017">
        <v>0</v>
      </c>
      <c r="U490" s="2042">
        <v>0</v>
      </c>
    </row>
    <row r="491" spans="2:21" hidden="1" outlineLevel="2">
      <c r="B491" s="1135"/>
      <c r="C491" s="1045"/>
      <c r="D491" s="1051">
        <f t="shared" si="67"/>
        <v>16</v>
      </c>
      <c r="E491" s="1051" t="str">
        <f>IF(COUNTIF(E$411:E490,F491)&gt;0,"",F491)</f>
        <v/>
      </c>
      <c r="F491" s="1051" t="str">
        <f t="shared" si="68"/>
        <v>Lave-linge capacité 7kg, France continentale, Base Carbone</v>
      </c>
      <c r="G491" s="1055" t="str">
        <f t="shared" si="69"/>
        <v>Lave-linge capacité 7kg, France continentale, Base Carbone; kgCO2e/unité, Distribution</v>
      </c>
      <c r="I491" s="2018" t="s">
        <v>3149</v>
      </c>
      <c r="J491" s="1135" t="s">
        <v>1994</v>
      </c>
      <c r="K491" s="1135" t="s">
        <v>1567</v>
      </c>
      <c r="L491" s="1135" t="s">
        <v>1571</v>
      </c>
      <c r="M491" s="2062">
        <v>0.3</v>
      </c>
      <c r="N491" s="1135" t="s">
        <v>3138</v>
      </c>
      <c r="O491" s="1135">
        <v>66.3</v>
      </c>
      <c r="P491" s="2017">
        <v>66.3</v>
      </c>
      <c r="Q491" s="2017">
        <v>0</v>
      </c>
      <c r="R491" s="2017">
        <v>0</v>
      </c>
      <c r="S491" s="2017">
        <v>0</v>
      </c>
      <c r="T491" s="2017">
        <v>0</v>
      </c>
      <c r="U491" s="2042">
        <v>0</v>
      </c>
    </row>
    <row r="492" spans="2:21" hidden="1" outlineLevel="2">
      <c r="B492" s="1135"/>
      <c r="C492" s="1045"/>
      <c r="D492" s="1051">
        <f t="shared" si="67"/>
        <v>17</v>
      </c>
      <c r="E492" s="1051" t="str">
        <f>IF(COUNTIF(E$411:E491,F492)&gt;0,"",F492)</f>
        <v>Lave-vaisselle compact 9 couverts, France continentale, Base Carbone</v>
      </c>
      <c r="F492" s="1051" t="str">
        <f t="shared" si="68"/>
        <v>Lave-vaisselle compact 9 couverts, France continentale, Base Carbone</v>
      </c>
      <c r="G492" s="1055" t="str">
        <f t="shared" si="69"/>
        <v>Lave-vaisselle compact 9 couverts, France continentale, Base Carbone; kgCO2e/unité, Matières premières</v>
      </c>
      <c r="I492" s="2018" t="s">
        <v>3150</v>
      </c>
      <c r="J492" s="1135" t="s">
        <v>1994</v>
      </c>
      <c r="K492" s="1135" t="s">
        <v>1567</v>
      </c>
      <c r="L492" s="1135" t="s">
        <v>1571</v>
      </c>
      <c r="M492" s="2062">
        <v>0.3</v>
      </c>
      <c r="N492" s="1135" t="s">
        <v>3135</v>
      </c>
      <c r="O492" s="1135">
        <v>144</v>
      </c>
      <c r="P492" s="2017">
        <v>144</v>
      </c>
      <c r="Q492" s="2017">
        <v>0</v>
      </c>
      <c r="R492" s="2017">
        <v>0</v>
      </c>
      <c r="S492" s="2017">
        <v>0</v>
      </c>
      <c r="T492" s="2017">
        <v>0</v>
      </c>
      <c r="U492" s="2042">
        <v>0</v>
      </c>
    </row>
    <row r="493" spans="2:21" hidden="1" outlineLevel="2">
      <c r="B493" s="1135"/>
      <c r="C493" s="1045"/>
      <c r="D493" s="1051">
        <f t="shared" si="67"/>
        <v>17</v>
      </c>
      <c r="E493" s="1051" t="str">
        <f>IF(COUNTIF(E$411:E492,F493)&gt;0,"",F493)</f>
        <v/>
      </c>
      <c r="F493" s="1051" t="str">
        <f t="shared" si="68"/>
        <v>Lave-vaisselle compact 9 couverts, France continentale, Base Carbone</v>
      </c>
      <c r="G493" s="1055" t="str">
        <f t="shared" si="69"/>
        <v>Lave-vaisselle compact 9 couverts, France continentale, Base Carbone; kgCO2e/unité, Approvisionnement</v>
      </c>
      <c r="I493" s="2018" t="s">
        <v>3150</v>
      </c>
      <c r="J493" s="1135" t="s">
        <v>1994</v>
      </c>
      <c r="K493" s="1135" t="s">
        <v>1567</v>
      </c>
      <c r="L493" s="1135" t="s">
        <v>1571</v>
      </c>
      <c r="M493" s="2062">
        <v>0.3</v>
      </c>
      <c r="N493" s="1135" t="s">
        <v>3136</v>
      </c>
      <c r="O493" s="1135">
        <v>7.32</v>
      </c>
      <c r="P493" s="2017">
        <v>7.32</v>
      </c>
      <c r="Q493" s="2017">
        <v>0</v>
      </c>
      <c r="R493" s="2017">
        <v>0</v>
      </c>
      <c r="S493" s="2017">
        <v>0</v>
      </c>
      <c r="T493" s="2017">
        <v>0</v>
      </c>
      <c r="U493" s="2042">
        <v>0</v>
      </c>
    </row>
    <row r="494" spans="2:21" hidden="1" outlineLevel="2">
      <c r="B494" s="1135"/>
      <c r="C494" s="1045"/>
      <c r="D494" s="1051">
        <f t="shared" si="67"/>
        <v>17</v>
      </c>
      <c r="E494" s="1051" t="str">
        <f>IF(COUNTIF(E$411:E493,F494)&gt;0,"",F494)</f>
        <v/>
      </c>
      <c r="F494" s="1051" t="str">
        <f t="shared" si="68"/>
        <v>Lave-vaisselle compact 9 couverts, France continentale, Base Carbone</v>
      </c>
      <c r="G494" s="1055" t="str">
        <f t="shared" si="69"/>
        <v>Lave-vaisselle compact 9 couverts, France continentale, Base Carbone; kgCO2e/unité, Mise en forme</v>
      </c>
      <c r="I494" s="2018" t="s">
        <v>3150</v>
      </c>
      <c r="J494" s="1135" t="s">
        <v>1994</v>
      </c>
      <c r="K494" s="1135" t="s">
        <v>1567</v>
      </c>
      <c r="L494" s="1135" t="s">
        <v>1571</v>
      </c>
      <c r="M494" s="2062">
        <v>0.3</v>
      </c>
      <c r="N494" s="1135" t="s">
        <v>3141</v>
      </c>
      <c r="O494" s="1135">
        <v>30.3</v>
      </c>
      <c r="P494" s="2017">
        <v>30.3</v>
      </c>
      <c r="Q494" s="2017">
        <v>0</v>
      </c>
      <c r="R494" s="2017">
        <v>0</v>
      </c>
      <c r="S494" s="2017">
        <v>0</v>
      </c>
      <c r="T494" s="2017">
        <v>0</v>
      </c>
      <c r="U494" s="2042">
        <v>0</v>
      </c>
    </row>
    <row r="495" spans="2:21" hidden="1" outlineLevel="2">
      <c r="B495" s="1135"/>
      <c r="C495" s="1045"/>
      <c r="D495" s="1051">
        <f t="shared" si="67"/>
        <v>17</v>
      </c>
      <c r="E495" s="1051" t="str">
        <f>IF(COUNTIF(E$411:E494,F495)&gt;0,"",F495)</f>
        <v/>
      </c>
      <c r="F495" s="1051" t="str">
        <f t="shared" si="68"/>
        <v>Lave-vaisselle compact 9 couverts, France continentale, Base Carbone</v>
      </c>
      <c r="G495" s="1055" t="str">
        <f t="shared" si="69"/>
        <v>Lave-vaisselle compact 9 couverts, France continentale, Base Carbone; kgCO2e/unité, Assemblage</v>
      </c>
      <c r="I495" s="2018" t="s">
        <v>3150</v>
      </c>
      <c r="J495" s="1135" t="s">
        <v>1994</v>
      </c>
      <c r="K495" s="1135" t="s">
        <v>1567</v>
      </c>
      <c r="L495" s="1135" t="s">
        <v>1571</v>
      </c>
      <c r="M495" s="2062">
        <v>0.3</v>
      </c>
      <c r="N495" s="1135" t="s">
        <v>3137</v>
      </c>
      <c r="O495" s="1135">
        <v>12.2</v>
      </c>
      <c r="P495" s="2017">
        <v>12.2</v>
      </c>
      <c r="Q495" s="2017">
        <v>0</v>
      </c>
      <c r="R495" s="2017">
        <v>0</v>
      </c>
      <c r="S495" s="2017">
        <v>0</v>
      </c>
      <c r="T495" s="2017">
        <v>0</v>
      </c>
      <c r="U495" s="2042">
        <v>0</v>
      </c>
    </row>
    <row r="496" spans="2:21" hidden="1" outlineLevel="2">
      <c r="B496" s="1135"/>
      <c r="C496" s="1045"/>
      <c r="D496" s="1051">
        <f t="shared" si="67"/>
        <v>17</v>
      </c>
      <c r="E496" s="1051" t="str">
        <f>IF(COUNTIF(E$411:E495,F496)&gt;0,"",F496)</f>
        <v/>
      </c>
      <c r="F496" s="1051" t="str">
        <f t="shared" si="68"/>
        <v>Lave-vaisselle compact 9 couverts, France continentale, Base Carbone</v>
      </c>
      <c r="G496" s="1055" t="str">
        <f t="shared" si="69"/>
        <v>Lave-vaisselle compact 9 couverts, France continentale, Base Carbone; kgCO2e/unité, Distribution</v>
      </c>
      <c r="I496" s="2018" t="s">
        <v>3150</v>
      </c>
      <c r="J496" s="1135" t="s">
        <v>1994</v>
      </c>
      <c r="K496" s="1135" t="s">
        <v>1567</v>
      </c>
      <c r="L496" s="1135" t="s">
        <v>1571</v>
      </c>
      <c r="M496" s="2062">
        <v>0.3</v>
      </c>
      <c r="N496" s="1135" t="s">
        <v>3138</v>
      </c>
      <c r="O496" s="1135">
        <v>41.2</v>
      </c>
      <c r="P496" s="2017">
        <v>41.2</v>
      </c>
      <c r="Q496" s="2017">
        <v>0</v>
      </c>
      <c r="R496" s="2017">
        <v>0</v>
      </c>
      <c r="S496" s="2017">
        <v>0</v>
      </c>
      <c r="T496" s="2017">
        <v>0</v>
      </c>
      <c r="U496" s="2042">
        <v>0</v>
      </c>
    </row>
    <row r="497" spans="2:21" hidden="1" outlineLevel="2">
      <c r="B497" s="1135"/>
      <c r="C497" s="1045"/>
      <c r="D497" s="1051">
        <f t="shared" si="67"/>
        <v>18</v>
      </c>
      <c r="E497" s="1051" t="str">
        <f>IF(COUNTIF(E$411:E496,F497)&gt;0,"",F497)</f>
        <v>Lave-vaisselle professionnel , France continentale, Base Carbone</v>
      </c>
      <c r="F497" s="1051" t="str">
        <f t="shared" si="68"/>
        <v>Lave-vaisselle professionnel , France continentale, Base Carbone</v>
      </c>
      <c r="G497" s="1055" t="str">
        <f t="shared" si="69"/>
        <v>Lave-vaisselle professionnel , France continentale, Base Carbone; kgCO2e/unité, Matières premières</v>
      </c>
      <c r="I497" s="2018" t="s">
        <v>3151</v>
      </c>
      <c r="J497" s="1135" t="s">
        <v>1994</v>
      </c>
      <c r="K497" s="1135" t="s">
        <v>1567</v>
      </c>
      <c r="L497" s="1135" t="s">
        <v>1571</v>
      </c>
      <c r="M497" s="2062">
        <v>0.3</v>
      </c>
      <c r="N497" s="1135" t="s">
        <v>3135</v>
      </c>
      <c r="O497" s="1135">
        <v>577</v>
      </c>
      <c r="P497" s="2017">
        <v>577</v>
      </c>
      <c r="Q497" s="2017">
        <v>0</v>
      </c>
      <c r="R497" s="2017">
        <v>0</v>
      </c>
      <c r="S497" s="2017">
        <v>0</v>
      </c>
      <c r="T497" s="2017">
        <v>0</v>
      </c>
      <c r="U497" s="2042">
        <v>0</v>
      </c>
    </row>
    <row r="498" spans="2:21" hidden="1" outlineLevel="2">
      <c r="B498" s="1135"/>
      <c r="C498" s="1045"/>
      <c r="D498" s="1051">
        <f t="shared" si="67"/>
        <v>18</v>
      </c>
      <c r="E498" s="1051" t="str">
        <f>IF(COUNTIF(E$411:E497,F498)&gt;0,"",F498)</f>
        <v/>
      </c>
      <c r="F498" s="1051" t="str">
        <f t="shared" si="68"/>
        <v>Lave-vaisselle professionnel , France continentale, Base Carbone</v>
      </c>
      <c r="G498" s="1055" t="str">
        <f t="shared" si="69"/>
        <v>Lave-vaisselle professionnel , France continentale, Base Carbone; kgCO2e/unité, Approvisionnement</v>
      </c>
      <c r="I498" s="2018" t="s">
        <v>3151</v>
      </c>
      <c r="J498" s="1135" t="s">
        <v>1994</v>
      </c>
      <c r="K498" s="1135" t="s">
        <v>1567</v>
      </c>
      <c r="L498" s="1135" t="s">
        <v>1571</v>
      </c>
      <c r="M498" s="2062">
        <v>0.3</v>
      </c>
      <c r="N498" s="1135" t="s">
        <v>3136</v>
      </c>
      <c r="O498" s="1135">
        <v>35.700000000000003</v>
      </c>
      <c r="P498" s="2017">
        <v>35.700000000000003</v>
      </c>
      <c r="Q498" s="2017">
        <v>0</v>
      </c>
      <c r="R498" s="2017">
        <v>0</v>
      </c>
      <c r="S498" s="2017">
        <v>0</v>
      </c>
      <c r="T498" s="2017">
        <v>0</v>
      </c>
      <c r="U498" s="2042">
        <v>0</v>
      </c>
    </row>
    <row r="499" spans="2:21" hidden="1" outlineLevel="2">
      <c r="B499" s="1135"/>
      <c r="C499" s="1045"/>
      <c r="D499" s="1051">
        <f t="shared" si="67"/>
        <v>18</v>
      </c>
      <c r="E499" s="1051" t="str">
        <f>IF(COUNTIF(E$411:E498,F499)&gt;0,"",F499)</f>
        <v/>
      </c>
      <c r="F499" s="1051" t="str">
        <f t="shared" si="68"/>
        <v>Lave-vaisselle professionnel , France continentale, Base Carbone</v>
      </c>
      <c r="G499" s="1055" t="str">
        <f t="shared" si="69"/>
        <v>Lave-vaisselle professionnel , France continentale, Base Carbone; kgCO2e/unité, Mise en forme</v>
      </c>
      <c r="I499" s="2018" t="s">
        <v>3151</v>
      </c>
      <c r="J499" s="1135" t="s">
        <v>1994</v>
      </c>
      <c r="K499" s="1135" t="s">
        <v>1567</v>
      </c>
      <c r="L499" s="1135" t="s">
        <v>1571</v>
      </c>
      <c r="M499" s="2062">
        <v>0.3</v>
      </c>
      <c r="N499" s="1135" t="s">
        <v>3141</v>
      </c>
      <c r="O499" s="1135">
        <v>182</v>
      </c>
      <c r="P499" s="2017">
        <v>182</v>
      </c>
      <c r="Q499" s="2017">
        <v>0</v>
      </c>
      <c r="R499" s="2017">
        <v>0</v>
      </c>
      <c r="S499" s="2017">
        <v>0</v>
      </c>
      <c r="T499" s="2017">
        <v>0</v>
      </c>
      <c r="U499" s="2042">
        <v>0</v>
      </c>
    </row>
    <row r="500" spans="2:21" hidden="1" outlineLevel="2">
      <c r="B500" s="1135"/>
      <c r="C500" s="1045"/>
      <c r="D500" s="1051">
        <f t="shared" si="67"/>
        <v>18</v>
      </c>
      <c r="E500" s="1051" t="str">
        <f>IF(COUNTIF(E$411:E499,F500)&gt;0,"",F500)</f>
        <v/>
      </c>
      <c r="F500" s="1051" t="str">
        <f t="shared" si="68"/>
        <v>Lave-vaisselle professionnel , France continentale, Base Carbone</v>
      </c>
      <c r="G500" s="1055" t="str">
        <f t="shared" si="69"/>
        <v>Lave-vaisselle professionnel , France continentale, Base Carbone; kgCO2e/unité, Assemblage</v>
      </c>
      <c r="I500" s="2018" t="s">
        <v>3151</v>
      </c>
      <c r="J500" s="1135" t="s">
        <v>1994</v>
      </c>
      <c r="K500" s="1135" t="s">
        <v>1567</v>
      </c>
      <c r="L500" s="1135" t="s">
        <v>1571</v>
      </c>
      <c r="M500" s="2062">
        <v>0.3</v>
      </c>
      <c r="N500" s="1135" t="s">
        <v>3137</v>
      </c>
      <c r="O500" s="1135">
        <v>30.2</v>
      </c>
      <c r="P500" s="2017">
        <v>30.2</v>
      </c>
      <c r="Q500" s="2017">
        <v>0</v>
      </c>
      <c r="R500" s="2017">
        <v>0</v>
      </c>
      <c r="S500" s="2017">
        <v>0</v>
      </c>
      <c r="T500" s="2017">
        <v>0</v>
      </c>
      <c r="U500" s="2042">
        <v>0</v>
      </c>
    </row>
    <row r="501" spans="2:21" hidden="1" outlineLevel="2">
      <c r="B501" s="1135"/>
      <c r="C501" s="1045"/>
      <c r="D501" s="1051">
        <f t="shared" si="67"/>
        <v>18</v>
      </c>
      <c r="E501" s="1051" t="str">
        <f>IF(COUNTIF(E$411:E500,F501)&gt;0,"",F501)</f>
        <v/>
      </c>
      <c r="F501" s="1051" t="str">
        <f t="shared" si="68"/>
        <v>Lave-vaisselle professionnel , France continentale, Base Carbone</v>
      </c>
      <c r="G501" s="1055" t="str">
        <f t="shared" si="69"/>
        <v>Lave-vaisselle professionnel , France continentale, Base Carbone; kgCO2e/unité, Distribution</v>
      </c>
      <c r="I501" s="2018" t="s">
        <v>3151</v>
      </c>
      <c r="J501" s="1135" t="s">
        <v>1994</v>
      </c>
      <c r="K501" s="1135" t="s">
        <v>1567</v>
      </c>
      <c r="L501" s="1135" t="s">
        <v>1571</v>
      </c>
      <c r="M501" s="2062">
        <v>0.3</v>
      </c>
      <c r="N501" s="1135" t="s">
        <v>3138</v>
      </c>
      <c r="O501" s="1135">
        <v>137</v>
      </c>
      <c r="P501" s="2017">
        <v>137</v>
      </c>
      <c r="Q501" s="2017">
        <v>0</v>
      </c>
      <c r="R501" s="2017">
        <v>0</v>
      </c>
      <c r="S501" s="2017">
        <v>0</v>
      </c>
      <c r="T501" s="2017">
        <v>0</v>
      </c>
      <c r="U501" s="2042">
        <v>0</v>
      </c>
    </row>
    <row r="502" spans="2:21" hidden="1" outlineLevel="2">
      <c r="B502" s="1135"/>
      <c r="C502" s="1045"/>
      <c r="D502" s="1051">
        <f t="shared" si="67"/>
        <v>19</v>
      </c>
      <c r="E502" s="1051" t="str">
        <f>IF(COUNTIF(E$411:E501,F502)&gt;0,"",F502)</f>
        <v>Lave-vaisselle standard 12 couverts , France continentale, Base Carbone</v>
      </c>
      <c r="F502" s="1051" t="str">
        <f t="shared" si="68"/>
        <v>Lave-vaisselle standard 12 couverts , France continentale, Base Carbone</v>
      </c>
      <c r="G502" s="1055" t="str">
        <f t="shared" si="69"/>
        <v>Lave-vaisselle standard 12 couverts , France continentale, Base Carbone; kgCO2e/unité, Matières premières</v>
      </c>
      <c r="I502" s="2018" t="s">
        <v>3152</v>
      </c>
      <c r="J502" s="1135" t="s">
        <v>1994</v>
      </c>
      <c r="K502" s="1135" t="s">
        <v>1567</v>
      </c>
      <c r="L502" s="1135" t="s">
        <v>1571</v>
      </c>
      <c r="M502" s="2062">
        <v>0.3</v>
      </c>
      <c r="N502" s="1135" t="s">
        <v>3135</v>
      </c>
      <c r="O502" s="1135">
        <v>155</v>
      </c>
      <c r="P502" s="2017">
        <v>155</v>
      </c>
      <c r="Q502" s="2017">
        <v>0</v>
      </c>
      <c r="R502" s="2017">
        <v>0</v>
      </c>
      <c r="S502" s="2017">
        <v>0</v>
      </c>
      <c r="T502" s="2017">
        <v>0</v>
      </c>
      <c r="U502" s="2042">
        <v>0</v>
      </c>
    </row>
    <row r="503" spans="2:21" hidden="1" outlineLevel="2">
      <c r="B503" s="1135"/>
      <c r="C503" s="1045"/>
      <c r="D503" s="1051">
        <f t="shared" si="67"/>
        <v>19</v>
      </c>
      <c r="E503" s="1051" t="str">
        <f>IF(COUNTIF(E$411:E502,F503)&gt;0,"",F503)</f>
        <v/>
      </c>
      <c r="F503" s="1051" t="str">
        <f t="shared" si="68"/>
        <v>Lave-vaisselle standard 12 couverts , France continentale, Base Carbone</v>
      </c>
      <c r="G503" s="1055" t="str">
        <f t="shared" si="69"/>
        <v>Lave-vaisselle standard 12 couverts , France continentale, Base Carbone; kgCO2e/unité, Approvisionnement</v>
      </c>
      <c r="I503" s="2018" t="s">
        <v>3152</v>
      </c>
      <c r="J503" s="1135" t="s">
        <v>1994</v>
      </c>
      <c r="K503" s="1135" t="s">
        <v>1567</v>
      </c>
      <c r="L503" s="1135" t="s">
        <v>1571</v>
      </c>
      <c r="M503" s="2062">
        <v>0.3</v>
      </c>
      <c r="N503" s="1135" t="s">
        <v>3136</v>
      </c>
      <c r="O503" s="1135">
        <v>9.09</v>
      </c>
      <c r="P503" s="2017">
        <v>9.09</v>
      </c>
      <c r="Q503" s="2017">
        <v>0</v>
      </c>
      <c r="R503" s="2017">
        <v>0</v>
      </c>
      <c r="S503" s="2017">
        <v>0</v>
      </c>
      <c r="T503" s="2017">
        <v>0</v>
      </c>
      <c r="U503" s="2042">
        <v>0</v>
      </c>
    </row>
    <row r="504" spans="2:21" hidden="1" outlineLevel="2">
      <c r="B504" s="1135"/>
      <c r="C504" s="1045"/>
      <c r="D504" s="1051">
        <f t="shared" si="67"/>
        <v>19</v>
      </c>
      <c r="E504" s="1051" t="str">
        <f>IF(COUNTIF(E$411:E503,F504)&gt;0,"",F504)</f>
        <v/>
      </c>
      <c r="F504" s="1051" t="str">
        <f t="shared" si="68"/>
        <v>Lave-vaisselle standard 12 couverts , France continentale, Base Carbone</v>
      </c>
      <c r="G504" s="1055" t="str">
        <f t="shared" si="69"/>
        <v>Lave-vaisselle standard 12 couverts , France continentale, Base Carbone; kgCO2e/unité, Mise en forme</v>
      </c>
      <c r="I504" s="2018" t="s">
        <v>3152</v>
      </c>
      <c r="J504" s="1135" t="s">
        <v>1994</v>
      </c>
      <c r="K504" s="1135" t="s">
        <v>1567</v>
      </c>
      <c r="L504" s="1135" t="s">
        <v>1571</v>
      </c>
      <c r="M504" s="2062">
        <v>0.3</v>
      </c>
      <c r="N504" s="1135" t="s">
        <v>3141</v>
      </c>
      <c r="O504" s="1135">
        <v>40.1</v>
      </c>
      <c r="P504" s="2017">
        <v>40.1</v>
      </c>
      <c r="Q504" s="2017">
        <v>0</v>
      </c>
      <c r="R504" s="2017">
        <v>0</v>
      </c>
      <c r="S504" s="2017">
        <v>0</v>
      </c>
      <c r="T504" s="2017">
        <v>0</v>
      </c>
      <c r="U504" s="2042">
        <v>0</v>
      </c>
    </row>
    <row r="505" spans="2:21" hidden="1" outlineLevel="2">
      <c r="B505" s="1135"/>
      <c r="C505" s="1045"/>
      <c r="D505" s="1051">
        <f t="shared" si="67"/>
        <v>19</v>
      </c>
      <c r="E505" s="1051" t="str">
        <f>IF(COUNTIF(E$411:E504,F505)&gt;0,"",F505)</f>
        <v/>
      </c>
      <c r="F505" s="1051" t="str">
        <f t="shared" si="68"/>
        <v>Lave-vaisselle standard 12 couverts , France continentale, Base Carbone</v>
      </c>
      <c r="G505" s="1055" t="str">
        <f t="shared" si="69"/>
        <v>Lave-vaisselle standard 12 couverts , France continentale, Base Carbone; kgCO2e/unité, Assemblage</v>
      </c>
      <c r="I505" s="2018" t="s">
        <v>3152</v>
      </c>
      <c r="J505" s="1135" t="s">
        <v>1994</v>
      </c>
      <c r="K505" s="1135" t="s">
        <v>1567</v>
      </c>
      <c r="L505" s="1135" t="s">
        <v>1571</v>
      </c>
      <c r="M505" s="2062">
        <v>0.3</v>
      </c>
      <c r="N505" s="1135" t="s">
        <v>3137</v>
      </c>
      <c r="O505" s="1135">
        <v>15.7</v>
      </c>
      <c r="P505" s="2017">
        <v>15.7</v>
      </c>
      <c r="Q505" s="2017">
        <v>0</v>
      </c>
      <c r="R505" s="2017">
        <v>0</v>
      </c>
      <c r="S505" s="2017">
        <v>0</v>
      </c>
      <c r="T505" s="2017">
        <v>0</v>
      </c>
      <c r="U505" s="2042">
        <v>0</v>
      </c>
    </row>
    <row r="506" spans="2:21" hidden="1" outlineLevel="2">
      <c r="B506" s="1135"/>
      <c r="C506" s="1045"/>
      <c r="D506" s="1051">
        <f t="shared" si="67"/>
        <v>19</v>
      </c>
      <c r="E506" s="1051" t="str">
        <f>IF(COUNTIF(E$411:E505,F506)&gt;0,"",F506)</f>
        <v/>
      </c>
      <c r="F506" s="1051" t="str">
        <f t="shared" si="68"/>
        <v>Lave-vaisselle standard 12 couverts , France continentale, Base Carbone</v>
      </c>
      <c r="G506" s="1055" t="str">
        <f t="shared" si="69"/>
        <v>Lave-vaisselle standard 12 couverts , France continentale, Base Carbone; kgCO2e/unité, Distribution</v>
      </c>
      <c r="I506" s="2018" t="s">
        <v>3152</v>
      </c>
      <c r="J506" s="1135" t="s">
        <v>1994</v>
      </c>
      <c r="K506" s="1135" t="s">
        <v>1567</v>
      </c>
      <c r="L506" s="1135" t="s">
        <v>1571</v>
      </c>
      <c r="M506" s="2062">
        <v>0.3</v>
      </c>
      <c r="N506" s="1135" t="s">
        <v>3138</v>
      </c>
      <c r="O506" s="1135">
        <v>51.3</v>
      </c>
      <c r="P506" s="2017">
        <v>51.3</v>
      </c>
      <c r="Q506" s="2017">
        <v>0</v>
      </c>
      <c r="R506" s="2017">
        <v>0</v>
      </c>
      <c r="S506" s="2017">
        <v>0</v>
      </c>
      <c r="T506" s="2017">
        <v>0</v>
      </c>
      <c r="U506" s="2042">
        <v>0</v>
      </c>
    </row>
    <row r="507" spans="2:21" hidden="1" outlineLevel="2">
      <c r="B507" s="1135"/>
      <c r="C507" s="1045"/>
      <c r="D507" s="1051">
        <f t="shared" si="67"/>
        <v>20</v>
      </c>
      <c r="E507" s="1051" t="str">
        <f>IF(COUNTIF(E$411:E506,F507)&gt;0,"",F507)</f>
        <v>Machine à café - dosette, France continentale, Base Carbone</v>
      </c>
      <c r="F507" s="1051" t="str">
        <f t="shared" si="68"/>
        <v>Machine à café - dosette, France continentale, Base Carbone</v>
      </c>
      <c r="G507" s="1055" t="str">
        <f t="shared" si="69"/>
        <v>Machine à café - dosette, France continentale, Base Carbone; kgCO2e/unité, Matières premières</v>
      </c>
      <c r="I507" s="2018" t="s">
        <v>4137</v>
      </c>
      <c r="J507" s="1135" t="s">
        <v>1994</v>
      </c>
      <c r="K507" s="1135" t="s">
        <v>1567</v>
      </c>
      <c r="L507" s="1135" t="s">
        <v>1571</v>
      </c>
      <c r="M507" s="2062">
        <v>0.5</v>
      </c>
      <c r="N507" s="1135" t="s">
        <v>3135</v>
      </c>
      <c r="O507" s="1135">
        <v>8.4600000000000009</v>
      </c>
      <c r="P507" s="1119">
        <v>8.4600000000000009</v>
      </c>
      <c r="Q507" s="1119">
        <v>0</v>
      </c>
      <c r="R507" s="1119">
        <v>0</v>
      </c>
      <c r="S507" s="1119">
        <v>0</v>
      </c>
      <c r="T507" s="1119">
        <v>0</v>
      </c>
      <c r="U507" s="2065">
        <v>0</v>
      </c>
    </row>
    <row r="508" spans="2:21" hidden="1" outlineLevel="2">
      <c r="B508" s="1135"/>
      <c r="C508" s="1045"/>
      <c r="D508" s="1051">
        <f t="shared" si="67"/>
        <v>20</v>
      </c>
      <c r="E508" s="1051" t="str">
        <f>IF(COUNTIF(E$411:E507,F508)&gt;0,"",F508)</f>
        <v/>
      </c>
      <c r="F508" s="1051" t="str">
        <f t="shared" si="68"/>
        <v>Machine à café - dosette, France continentale, Base Carbone</v>
      </c>
      <c r="G508" s="1055" t="str">
        <f t="shared" si="69"/>
        <v>Machine à café - dosette, France continentale, Base Carbone; kgCO2e/unité, Approvisionnement</v>
      </c>
      <c r="I508" s="2018" t="s">
        <v>4137</v>
      </c>
      <c r="J508" s="1135" t="s">
        <v>1994</v>
      </c>
      <c r="K508" s="1135" t="s">
        <v>1567</v>
      </c>
      <c r="L508" s="1135" t="s">
        <v>1571</v>
      </c>
      <c r="M508" s="2062">
        <v>0.5</v>
      </c>
      <c r="N508" s="1135" t="s">
        <v>3136</v>
      </c>
      <c r="O508" s="1135">
        <v>0.39400000000000002</v>
      </c>
      <c r="P508" s="1119">
        <v>0.39400000000000002</v>
      </c>
      <c r="Q508" s="1119">
        <v>0</v>
      </c>
      <c r="R508" s="1119">
        <v>0</v>
      </c>
      <c r="S508" s="1119">
        <v>0</v>
      </c>
      <c r="T508" s="1119">
        <v>0</v>
      </c>
      <c r="U508" s="2065">
        <v>0</v>
      </c>
    </row>
    <row r="509" spans="2:21" hidden="1" outlineLevel="2">
      <c r="B509" s="1135"/>
      <c r="C509" s="1045"/>
      <c r="D509" s="1051">
        <f t="shared" si="67"/>
        <v>20</v>
      </c>
      <c r="E509" s="1051" t="str">
        <f>IF(COUNTIF(E$411:E508,F509)&gt;0,"",F509)</f>
        <v/>
      </c>
      <c r="F509" s="1051" t="str">
        <f t="shared" si="68"/>
        <v>Machine à café - dosette, France continentale, Base Carbone</v>
      </c>
      <c r="G509" s="1055" t="str">
        <f t="shared" si="69"/>
        <v>Machine à café - dosette, France continentale, Base Carbone; kgCO2e/unité, Mise en forme</v>
      </c>
      <c r="I509" s="2018" t="s">
        <v>4137</v>
      </c>
      <c r="J509" s="1135" t="s">
        <v>1994</v>
      </c>
      <c r="K509" s="1135" t="s">
        <v>1567</v>
      </c>
      <c r="L509" s="1135" t="s">
        <v>1571</v>
      </c>
      <c r="M509" s="2062">
        <v>0.5</v>
      </c>
      <c r="N509" s="1135" t="s">
        <v>3141</v>
      </c>
      <c r="O509" s="1135">
        <v>1.28</v>
      </c>
      <c r="P509" s="1119">
        <v>1.28</v>
      </c>
      <c r="Q509" s="1119">
        <v>0</v>
      </c>
      <c r="R509" s="1119">
        <v>0</v>
      </c>
      <c r="S509" s="1119">
        <v>0</v>
      </c>
      <c r="T509" s="1119">
        <v>0</v>
      </c>
      <c r="U509" s="2065">
        <v>0</v>
      </c>
    </row>
    <row r="510" spans="2:21" hidden="1" outlineLevel="2">
      <c r="B510" s="1135"/>
      <c r="C510" s="1045"/>
      <c r="D510" s="1051">
        <f t="shared" si="67"/>
        <v>20</v>
      </c>
      <c r="E510" s="1051" t="str">
        <f>IF(COUNTIF(E$411:E509,F510)&gt;0,"",F510)</f>
        <v/>
      </c>
      <c r="F510" s="1051" t="str">
        <f t="shared" si="68"/>
        <v>Machine à café - dosette, France continentale, Base Carbone</v>
      </c>
      <c r="G510" s="1055" t="str">
        <f t="shared" si="69"/>
        <v>Machine à café - dosette, France continentale, Base Carbone; kgCO2e/unité, Assemblage</v>
      </c>
      <c r="I510" s="2018" t="s">
        <v>4137</v>
      </c>
      <c r="J510" s="1135" t="s">
        <v>1994</v>
      </c>
      <c r="K510" s="1135" t="s">
        <v>1567</v>
      </c>
      <c r="L510" s="1135" t="s">
        <v>1571</v>
      </c>
      <c r="M510" s="2062">
        <v>0.5</v>
      </c>
      <c r="N510" s="1135" t="s">
        <v>3137</v>
      </c>
      <c r="O510" s="1135">
        <v>9.26</v>
      </c>
      <c r="P510" s="1119">
        <v>9.26</v>
      </c>
      <c r="Q510" s="1119">
        <v>0</v>
      </c>
      <c r="R510" s="1119">
        <v>0</v>
      </c>
      <c r="S510" s="1119">
        <v>0</v>
      </c>
      <c r="T510" s="1119">
        <v>0</v>
      </c>
      <c r="U510" s="2065">
        <v>-0.44500000000000001</v>
      </c>
    </row>
    <row r="511" spans="2:21" hidden="1" outlineLevel="2">
      <c r="B511" s="1135"/>
      <c r="C511" s="1045"/>
      <c r="D511" s="1051">
        <f t="shared" si="67"/>
        <v>20</v>
      </c>
      <c r="E511" s="1051" t="str">
        <f>IF(COUNTIF(E$411:E510,F511)&gt;0,"",F511)</f>
        <v/>
      </c>
      <c r="F511" s="1051" t="str">
        <f t="shared" si="68"/>
        <v>Machine à café - dosette, France continentale, Base Carbone</v>
      </c>
      <c r="G511" s="1055" t="str">
        <f t="shared" si="69"/>
        <v>Machine à café - dosette, France continentale, Base Carbone; kgCO2e/unité, Distribution</v>
      </c>
      <c r="I511" s="2018" t="s">
        <v>4137</v>
      </c>
      <c r="J511" s="1135" t="s">
        <v>1994</v>
      </c>
      <c r="K511" s="1135" t="s">
        <v>1567</v>
      </c>
      <c r="L511" s="1135" t="s">
        <v>1571</v>
      </c>
      <c r="M511" s="2062">
        <v>0.5</v>
      </c>
      <c r="N511" s="1135" t="s">
        <v>3138</v>
      </c>
      <c r="O511" s="1135">
        <v>3.06</v>
      </c>
      <c r="P511" s="1119">
        <v>3.06</v>
      </c>
      <c r="Q511" s="1119">
        <v>0</v>
      </c>
      <c r="R511" s="1119">
        <v>0</v>
      </c>
      <c r="S511" s="1119">
        <v>0</v>
      </c>
      <c r="T511" s="1119">
        <v>0</v>
      </c>
      <c r="U511" s="2065">
        <v>0</v>
      </c>
    </row>
    <row r="512" spans="2:21" hidden="1" outlineLevel="2">
      <c r="B512" s="1135"/>
      <c r="C512" s="1045"/>
      <c r="D512" s="1051">
        <f t="shared" si="67"/>
        <v>21</v>
      </c>
      <c r="E512" s="1051" t="str">
        <f>IF(COUNTIF(E$411:E511,F512)&gt;0,"",F512)</f>
        <v>Machine à café - expresso, France continentale, Base Carbone</v>
      </c>
      <c r="F512" s="1051" t="str">
        <f t="shared" si="68"/>
        <v>Machine à café - expresso, France continentale, Base Carbone</v>
      </c>
      <c r="G512" s="1055" t="str">
        <f t="shared" si="69"/>
        <v>Machine à café - expresso, France continentale, Base Carbone; kgCO2e/unité, Matières premières</v>
      </c>
      <c r="I512" s="2018" t="s">
        <v>4138</v>
      </c>
      <c r="J512" s="1135" t="s">
        <v>1994</v>
      </c>
      <c r="K512" s="1135" t="s">
        <v>1567</v>
      </c>
      <c r="L512" s="1135" t="s">
        <v>1571</v>
      </c>
      <c r="M512" s="2062">
        <v>0.5</v>
      </c>
      <c r="N512" s="1135" t="s">
        <v>3135</v>
      </c>
      <c r="O512" s="1135">
        <v>27.1</v>
      </c>
      <c r="P512" s="1119">
        <v>27.1</v>
      </c>
      <c r="Q512" s="1119">
        <v>0</v>
      </c>
      <c r="R512" s="1119">
        <v>0</v>
      </c>
      <c r="S512" s="1119">
        <v>0</v>
      </c>
      <c r="T512" s="1119">
        <v>0</v>
      </c>
      <c r="U512" s="2065">
        <v>0</v>
      </c>
    </row>
    <row r="513" spans="2:21" hidden="1" outlineLevel="2">
      <c r="B513" s="1135"/>
      <c r="C513" s="1045"/>
      <c r="D513" s="1051">
        <f t="shared" si="67"/>
        <v>21</v>
      </c>
      <c r="E513" s="1051" t="str">
        <f>IF(COUNTIF(E$411:E512,F513)&gt;0,"",F513)</f>
        <v/>
      </c>
      <c r="F513" s="1051" t="str">
        <f t="shared" si="68"/>
        <v>Machine à café - expresso, France continentale, Base Carbone</v>
      </c>
      <c r="G513" s="1055" t="str">
        <f t="shared" si="69"/>
        <v>Machine à café - expresso, France continentale, Base Carbone; kgCO2e/unité, Approvisionnement</v>
      </c>
      <c r="I513" s="2018" t="s">
        <v>4138</v>
      </c>
      <c r="J513" s="1135" t="s">
        <v>1994</v>
      </c>
      <c r="K513" s="1135" t="s">
        <v>1567</v>
      </c>
      <c r="L513" s="1135" t="s">
        <v>1571</v>
      </c>
      <c r="M513" s="2062">
        <v>0.5</v>
      </c>
      <c r="N513" s="1135" t="s">
        <v>3136</v>
      </c>
      <c r="O513" s="1135">
        <v>0.93700000000000006</v>
      </c>
      <c r="P513" s="1119">
        <v>0.93700000000000006</v>
      </c>
      <c r="Q513" s="1119">
        <v>0</v>
      </c>
      <c r="R513" s="1119">
        <v>0</v>
      </c>
      <c r="S513" s="1119">
        <v>0</v>
      </c>
      <c r="T513" s="1119">
        <v>0</v>
      </c>
      <c r="U513" s="2065">
        <v>0</v>
      </c>
    </row>
    <row r="514" spans="2:21" hidden="1" outlineLevel="2">
      <c r="B514" s="1135"/>
      <c r="C514" s="1045"/>
      <c r="D514" s="1051">
        <f t="shared" si="67"/>
        <v>21</v>
      </c>
      <c r="E514" s="1051" t="str">
        <f>IF(COUNTIF(E$411:E513,F514)&gt;0,"",F514)</f>
        <v/>
      </c>
      <c r="F514" s="1051" t="str">
        <f t="shared" si="68"/>
        <v>Machine à café - expresso, France continentale, Base Carbone</v>
      </c>
      <c r="G514" s="1055" t="str">
        <f t="shared" si="69"/>
        <v>Machine à café - expresso, France continentale, Base Carbone; kgCO2e/unité, Mise en forme</v>
      </c>
      <c r="I514" s="2018" t="s">
        <v>4138</v>
      </c>
      <c r="J514" s="1135" t="s">
        <v>1994</v>
      </c>
      <c r="K514" s="1135" t="s">
        <v>1567</v>
      </c>
      <c r="L514" s="1135" t="s">
        <v>1571</v>
      </c>
      <c r="M514" s="2062">
        <v>0.5</v>
      </c>
      <c r="N514" s="1135" t="s">
        <v>3141</v>
      </c>
      <c r="O514" s="1135">
        <v>3.21</v>
      </c>
      <c r="P514" s="1119">
        <v>3.21</v>
      </c>
      <c r="Q514" s="1119">
        <v>0</v>
      </c>
      <c r="R514" s="1119">
        <v>0</v>
      </c>
      <c r="S514" s="1119">
        <v>0</v>
      </c>
      <c r="T514" s="1119">
        <v>0</v>
      </c>
      <c r="U514" s="2065">
        <v>0</v>
      </c>
    </row>
    <row r="515" spans="2:21" hidden="1" outlineLevel="2">
      <c r="B515" s="1135"/>
      <c r="C515" s="1045"/>
      <c r="D515" s="1051">
        <f t="shared" si="67"/>
        <v>21</v>
      </c>
      <c r="E515" s="1051" t="str">
        <f>IF(COUNTIF(E$411:E514,F515)&gt;0,"",F515)</f>
        <v/>
      </c>
      <c r="F515" s="1051" t="str">
        <f t="shared" si="68"/>
        <v>Machine à café - expresso, France continentale, Base Carbone</v>
      </c>
      <c r="G515" s="1055" t="str">
        <f t="shared" si="69"/>
        <v>Machine à café - expresso, France continentale, Base Carbone; kgCO2e/unité, Assemblage</v>
      </c>
      <c r="I515" s="2018" t="s">
        <v>4138</v>
      </c>
      <c r="J515" s="1135" t="s">
        <v>1994</v>
      </c>
      <c r="K515" s="1135" t="s">
        <v>1567</v>
      </c>
      <c r="L515" s="1135" t="s">
        <v>1571</v>
      </c>
      <c r="M515" s="2062">
        <v>0.5</v>
      </c>
      <c r="N515" s="1135" t="s">
        <v>3137</v>
      </c>
      <c r="O515" s="1135">
        <v>9.26</v>
      </c>
      <c r="P515" s="1119">
        <v>9.26</v>
      </c>
      <c r="Q515" s="1119">
        <v>0</v>
      </c>
      <c r="R515" s="1119">
        <v>0</v>
      </c>
      <c r="S515" s="1119">
        <v>0</v>
      </c>
      <c r="T515" s="1119">
        <v>0</v>
      </c>
      <c r="U515" s="2065">
        <v>-0.44500000000000001</v>
      </c>
    </row>
    <row r="516" spans="2:21" hidden="1" outlineLevel="2">
      <c r="B516" s="1135"/>
      <c r="C516" s="1045"/>
      <c r="D516" s="1051">
        <f t="shared" si="67"/>
        <v>21</v>
      </c>
      <c r="E516" s="1051" t="str">
        <f>IF(COUNTIF(E$411:E515,F516)&gt;0,"",F516)</f>
        <v/>
      </c>
      <c r="F516" s="1051" t="str">
        <f t="shared" si="68"/>
        <v>Machine à café - expresso, France continentale, Base Carbone</v>
      </c>
      <c r="G516" s="1055" t="str">
        <f t="shared" si="69"/>
        <v>Machine à café - expresso, France continentale, Base Carbone; kgCO2e/unité, Distribution</v>
      </c>
      <c r="I516" s="2018" t="s">
        <v>4138</v>
      </c>
      <c r="J516" s="1135" t="s">
        <v>1994</v>
      </c>
      <c r="K516" s="1135" t="s">
        <v>1567</v>
      </c>
      <c r="L516" s="1135" t="s">
        <v>1571</v>
      </c>
      <c r="M516" s="2062">
        <v>0.5</v>
      </c>
      <c r="N516" s="1135" t="s">
        <v>3138</v>
      </c>
      <c r="O516" s="1135">
        <v>7.11</v>
      </c>
      <c r="P516" s="1119">
        <v>7.11</v>
      </c>
      <c r="Q516" s="1119">
        <v>0</v>
      </c>
      <c r="R516" s="1119">
        <v>0</v>
      </c>
      <c r="S516" s="1119">
        <v>0</v>
      </c>
      <c r="T516" s="1119">
        <v>0</v>
      </c>
      <c r="U516" s="2065">
        <v>0</v>
      </c>
    </row>
    <row r="517" spans="2:21" hidden="1" outlineLevel="2">
      <c r="B517" s="1135"/>
      <c r="C517" s="1045"/>
      <c r="D517" s="1051">
        <f t="shared" si="67"/>
        <v>22</v>
      </c>
      <c r="E517" s="1051" t="str">
        <f>IF(COUNTIF(E$411:E516,F517)&gt;0,"",F517)</f>
        <v>Machine à café - filtre, France continentale, Base Carbone</v>
      </c>
      <c r="F517" s="1051" t="str">
        <f t="shared" si="68"/>
        <v>Machine à café - filtre, France continentale, Base Carbone</v>
      </c>
      <c r="G517" s="1055" t="str">
        <f t="shared" si="69"/>
        <v>Machine à café - filtre, France continentale, Base Carbone; kgCO2e/unité, Matières premières</v>
      </c>
      <c r="I517" s="2018" t="s">
        <v>4139</v>
      </c>
      <c r="J517" s="1135" t="s">
        <v>1994</v>
      </c>
      <c r="K517" s="1135" t="s">
        <v>1567</v>
      </c>
      <c r="L517" s="1135" t="s">
        <v>1571</v>
      </c>
      <c r="M517" s="2062">
        <v>0.5</v>
      </c>
      <c r="N517" s="1135" t="s">
        <v>3135</v>
      </c>
      <c r="O517" s="1135">
        <v>16.7</v>
      </c>
      <c r="P517" s="1119">
        <v>16.7</v>
      </c>
      <c r="Q517" s="1119">
        <v>0</v>
      </c>
      <c r="R517" s="1119">
        <v>0</v>
      </c>
      <c r="S517" s="1119">
        <v>0</v>
      </c>
      <c r="T517" s="1119">
        <v>0</v>
      </c>
      <c r="U517" s="2065">
        <v>0</v>
      </c>
    </row>
    <row r="518" spans="2:21" hidden="1" outlineLevel="2">
      <c r="B518" s="1135"/>
      <c r="C518" s="1045"/>
      <c r="D518" s="1051">
        <f t="shared" si="67"/>
        <v>22</v>
      </c>
      <c r="E518" s="1051" t="str">
        <f>IF(COUNTIF(E$411:E517,F518)&gt;0,"",F518)</f>
        <v/>
      </c>
      <c r="F518" s="1051" t="str">
        <f t="shared" si="68"/>
        <v>Machine à café - filtre, France continentale, Base Carbone</v>
      </c>
      <c r="G518" s="1055" t="str">
        <f t="shared" si="69"/>
        <v>Machine à café - filtre, France continentale, Base Carbone; kgCO2e/unité, Approvisionnement</v>
      </c>
      <c r="I518" s="2018" t="s">
        <v>4139</v>
      </c>
      <c r="J518" s="1135" t="s">
        <v>1994</v>
      </c>
      <c r="K518" s="1135" t="s">
        <v>1567</v>
      </c>
      <c r="L518" s="1135" t="s">
        <v>1571</v>
      </c>
      <c r="M518" s="2062">
        <v>0.5</v>
      </c>
      <c r="N518" s="1135" t="s">
        <v>3136</v>
      </c>
      <c r="O518" s="1135">
        <v>0.5</v>
      </c>
      <c r="P518" s="1119">
        <v>0.5</v>
      </c>
      <c r="Q518" s="1119">
        <v>0</v>
      </c>
      <c r="R518" s="1119">
        <v>0</v>
      </c>
      <c r="S518" s="1119">
        <v>0</v>
      </c>
      <c r="T518" s="1119">
        <v>0</v>
      </c>
      <c r="U518" s="2065">
        <v>0</v>
      </c>
    </row>
    <row r="519" spans="2:21" hidden="1" outlineLevel="2">
      <c r="B519" s="1135"/>
      <c r="C519" s="1045"/>
      <c r="D519" s="1051">
        <f t="shared" si="67"/>
        <v>22</v>
      </c>
      <c r="E519" s="1051" t="str">
        <f>IF(COUNTIF(E$411:E518,F519)&gt;0,"",F519)</f>
        <v/>
      </c>
      <c r="F519" s="1051" t="str">
        <f t="shared" si="68"/>
        <v>Machine à café - filtre, France continentale, Base Carbone</v>
      </c>
      <c r="G519" s="1055" t="str">
        <f t="shared" si="69"/>
        <v>Machine à café - filtre, France continentale, Base Carbone; kgCO2e/unité, Mise en forme</v>
      </c>
      <c r="I519" s="2018" t="s">
        <v>4139</v>
      </c>
      <c r="J519" s="1135" t="s">
        <v>1994</v>
      </c>
      <c r="K519" s="1135" t="s">
        <v>1567</v>
      </c>
      <c r="L519" s="1135" t="s">
        <v>1571</v>
      </c>
      <c r="M519" s="2062">
        <v>0.5</v>
      </c>
      <c r="N519" s="1135" t="s">
        <v>3141</v>
      </c>
      <c r="O519" s="1135">
        <v>1.5</v>
      </c>
      <c r="P519" s="1119">
        <v>1.5</v>
      </c>
      <c r="Q519" s="1119">
        <v>0</v>
      </c>
      <c r="R519" s="1119">
        <v>0</v>
      </c>
      <c r="S519" s="1119">
        <v>0</v>
      </c>
      <c r="T519" s="1119">
        <v>0</v>
      </c>
      <c r="U519" s="2065">
        <v>0</v>
      </c>
    </row>
    <row r="520" spans="2:21" hidden="1" outlineLevel="2">
      <c r="B520" s="1135"/>
      <c r="C520" s="1045"/>
      <c r="D520" s="1051">
        <f t="shared" si="67"/>
        <v>22</v>
      </c>
      <c r="E520" s="1051" t="str">
        <f>IF(COUNTIF(E$411:E519,F520)&gt;0,"",F520)</f>
        <v/>
      </c>
      <c r="F520" s="1051" t="str">
        <f t="shared" si="68"/>
        <v>Machine à café - filtre, France continentale, Base Carbone</v>
      </c>
      <c r="G520" s="1055" t="str">
        <f t="shared" si="69"/>
        <v>Machine à café - filtre, France continentale, Base Carbone; kgCO2e/unité, Assemblage</v>
      </c>
      <c r="I520" s="2018" t="s">
        <v>4139</v>
      </c>
      <c r="J520" s="1135" t="s">
        <v>1994</v>
      </c>
      <c r="K520" s="1135" t="s">
        <v>1567</v>
      </c>
      <c r="L520" s="1135" t="s">
        <v>1571</v>
      </c>
      <c r="M520" s="2062">
        <v>0.5</v>
      </c>
      <c r="N520" s="1135" t="s">
        <v>3137</v>
      </c>
      <c r="O520" s="1135">
        <v>9.3000000000000007</v>
      </c>
      <c r="P520" s="1119">
        <v>9.3000000000000007</v>
      </c>
      <c r="Q520" s="1119">
        <v>0</v>
      </c>
      <c r="R520" s="1119">
        <v>0</v>
      </c>
      <c r="S520" s="1119">
        <v>0</v>
      </c>
      <c r="T520" s="1119">
        <v>0</v>
      </c>
      <c r="U520" s="2065">
        <v>-0.44700000000000001</v>
      </c>
    </row>
    <row r="521" spans="2:21" hidden="1" outlineLevel="2">
      <c r="B521" s="1135"/>
      <c r="C521" s="1045"/>
      <c r="D521" s="1051">
        <f t="shared" si="67"/>
        <v>22</v>
      </c>
      <c r="E521" s="1051" t="str">
        <f>IF(COUNTIF(E$411:E520,F521)&gt;0,"",F521)</f>
        <v/>
      </c>
      <c r="F521" s="1051" t="str">
        <f t="shared" si="68"/>
        <v>Machine à café - filtre, France continentale, Base Carbone</v>
      </c>
      <c r="G521" s="1055" t="str">
        <f t="shared" si="69"/>
        <v>Machine à café - filtre, France continentale, Base Carbone; kgCO2e/unité, Distribution</v>
      </c>
      <c r="I521" s="2018" t="s">
        <v>4139</v>
      </c>
      <c r="J521" s="1135" t="s">
        <v>1994</v>
      </c>
      <c r="K521" s="1135" t="s">
        <v>1567</v>
      </c>
      <c r="L521" s="1135" t="s">
        <v>1571</v>
      </c>
      <c r="M521" s="2062">
        <v>0.5</v>
      </c>
      <c r="N521" s="1135" t="s">
        <v>3138</v>
      </c>
      <c r="O521" s="1135">
        <v>3.9</v>
      </c>
      <c r="P521" s="1119">
        <v>3.9</v>
      </c>
      <c r="Q521" s="1119">
        <v>0</v>
      </c>
      <c r="R521" s="1119">
        <v>0</v>
      </c>
      <c r="S521" s="1119">
        <v>0</v>
      </c>
      <c r="T521" s="1119">
        <v>0</v>
      </c>
      <c r="U521" s="2065">
        <v>0</v>
      </c>
    </row>
    <row r="522" spans="2:21" hidden="1" outlineLevel="2">
      <c r="B522" s="1135"/>
      <c r="C522" s="1045"/>
      <c r="D522" s="1051">
        <f t="shared" si="67"/>
        <v>23</v>
      </c>
      <c r="E522" s="1051" t="str">
        <f>IF(COUNTIF(E$411:E521,F522)&gt;0,"",F522)</f>
        <v>Machine à pain, France continentale, Base Carbone</v>
      </c>
      <c r="F522" s="1051" t="str">
        <f t="shared" si="68"/>
        <v>Machine à pain, France continentale, Base Carbone</v>
      </c>
      <c r="G522" s="1055" t="str">
        <f t="shared" si="69"/>
        <v>Machine à pain, France continentale, Base Carbone; kgCO2e/unité, Matières premières</v>
      </c>
      <c r="I522" s="2018" t="s">
        <v>3153</v>
      </c>
      <c r="J522" s="1135" t="s">
        <v>1994</v>
      </c>
      <c r="K522" s="1135" t="s">
        <v>1567</v>
      </c>
      <c r="L522" s="1135" t="s">
        <v>1571</v>
      </c>
      <c r="M522" s="2062">
        <v>0.5</v>
      </c>
      <c r="N522" s="1135" t="s">
        <v>3135</v>
      </c>
      <c r="O522" s="1135">
        <v>31.4</v>
      </c>
      <c r="P522" s="2017">
        <v>31.4</v>
      </c>
      <c r="Q522" s="2017">
        <v>0</v>
      </c>
      <c r="R522" s="2017">
        <v>0</v>
      </c>
      <c r="S522" s="2017">
        <v>0</v>
      </c>
      <c r="T522" s="2017">
        <v>0</v>
      </c>
      <c r="U522" s="2042">
        <v>0</v>
      </c>
    </row>
    <row r="523" spans="2:21" hidden="1" outlineLevel="2">
      <c r="B523" s="1135"/>
      <c r="C523" s="1045"/>
      <c r="D523" s="1051">
        <f t="shared" si="67"/>
        <v>23</v>
      </c>
      <c r="E523" s="1051" t="str">
        <f>IF(COUNTIF(E$411:E522,F523)&gt;0,"",F523)</f>
        <v/>
      </c>
      <c r="F523" s="1051" t="str">
        <f t="shared" si="68"/>
        <v>Machine à pain, France continentale, Base Carbone</v>
      </c>
      <c r="G523" s="1055" t="str">
        <f t="shared" si="69"/>
        <v>Machine à pain, France continentale, Base Carbone; kgCO2e/unité, Approvisionnement</v>
      </c>
      <c r="I523" s="2018" t="s">
        <v>3153</v>
      </c>
      <c r="J523" s="1135" t="s">
        <v>1994</v>
      </c>
      <c r="K523" s="1135" t="s">
        <v>1567</v>
      </c>
      <c r="L523" s="1135" t="s">
        <v>1571</v>
      </c>
      <c r="M523" s="2062">
        <v>0.5</v>
      </c>
      <c r="N523" s="1135" t="s">
        <v>3136</v>
      </c>
      <c r="O523" s="1135">
        <v>1.33</v>
      </c>
      <c r="P523" s="2017">
        <v>1.33</v>
      </c>
      <c r="Q523" s="2017">
        <v>0</v>
      </c>
      <c r="R523" s="2017">
        <v>0</v>
      </c>
      <c r="S523" s="2017">
        <v>0</v>
      </c>
      <c r="T523" s="2017">
        <v>0</v>
      </c>
      <c r="U523" s="2042">
        <v>0</v>
      </c>
    </row>
    <row r="524" spans="2:21" hidden="1" outlineLevel="2">
      <c r="B524" s="1135"/>
      <c r="C524" s="1045"/>
      <c r="D524" s="1051">
        <f t="shared" si="67"/>
        <v>23</v>
      </c>
      <c r="E524" s="1051" t="str">
        <f>IF(COUNTIF(E$411:E523,F524)&gt;0,"",F524)</f>
        <v/>
      </c>
      <c r="F524" s="1051" t="str">
        <f t="shared" si="68"/>
        <v>Machine à pain, France continentale, Base Carbone</v>
      </c>
      <c r="G524" s="1055" t="str">
        <f t="shared" si="69"/>
        <v>Machine à pain, France continentale, Base Carbone; kgCO2e/unité, Mise en forme</v>
      </c>
      <c r="I524" s="2018" t="s">
        <v>3153</v>
      </c>
      <c r="J524" s="1135" t="s">
        <v>1994</v>
      </c>
      <c r="K524" s="1135" t="s">
        <v>1567</v>
      </c>
      <c r="L524" s="1135" t="s">
        <v>1571</v>
      </c>
      <c r="M524" s="2062">
        <v>0.5</v>
      </c>
      <c r="N524" s="1135" t="s">
        <v>3141</v>
      </c>
      <c r="O524" s="1135">
        <v>5.26</v>
      </c>
      <c r="P524" s="2017">
        <v>5.26</v>
      </c>
      <c r="Q524" s="2017">
        <v>0</v>
      </c>
      <c r="R524" s="2017">
        <v>0</v>
      </c>
      <c r="S524" s="2017">
        <v>0</v>
      </c>
      <c r="T524" s="2017">
        <v>0</v>
      </c>
      <c r="U524" s="2042">
        <v>0</v>
      </c>
    </row>
    <row r="525" spans="2:21" hidden="1" outlineLevel="2">
      <c r="B525" s="1135"/>
      <c r="C525" s="1045"/>
      <c r="D525" s="1051">
        <f t="shared" si="67"/>
        <v>23</v>
      </c>
      <c r="E525" s="1051" t="str">
        <f>IF(COUNTIF(E$411:E524,F525)&gt;0,"",F525)</f>
        <v/>
      </c>
      <c r="F525" s="1051" t="str">
        <f t="shared" si="68"/>
        <v>Machine à pain, France continentale, Base Carbone</v>
      </c>
      <c r="G525" s="1055" t="str">
        <f t="shared" si="69"/>
        <v>Machine à pain, France continentale, Base Carbone; kgCO2e/unité, Assemblage</v>
      </c>
      <c r="I525" s="2018" t="s">
        <v>3153</v>
      </c>
      <c r="J525" s="1135" t="s">
        <v>1994</v>
      </c>
      <c r="K525" s="1135" t="s">
        <v>1567</v>
      </c>
      <c r="L525" s="1135" t="s">
        <v>1571</v>
      </c>
      <c r="M525" s="2062">
        <v>0.5</v>
      </c>
      <c r="N525" s="1135" t="s">
        <v>3137</v>
      </c>
      <c r="O525" s="1135">
        <v>8</v>
      </c>
      <c r="P525" s="2017">
        <v>8</v>
      </c>
      <c r="Q525" s="2017">
        <v>0</v>
      </c>
      <c r="R525" s="2017">
        <v>0</v>
      </c>
      <c r="S525" s="2017">
        <v>0</v>
      </c>
      <c r="T525" s="2017">
        <v>0</v>
      </c>
      <c r="U525" s="2042">
        <v>0</v>
      </c>
    </row>
    <row r="526" spans="2:21" hidden="1" outlineLevel="2">
      <c r="B526" s="1135"/>
      <c r="C526" s="1045"/>
      <c r="D526" s="1051">
        <f t="shared" si="67"/>
        <v>23</v>
      </c>
      <c r="E526" s="1051" t="str">
        <f>IF(COUNTIF(E$411:E525,F526)&gt;0,"",F526)</f>
        <v/>
      </c>
      <c r="F526" s="1051" t="str">
        <f t="shared" si="68"/>
        <v>Machine à pain, France continentale, Base Carbone</v>
      </c>
      <c r="G526" s="1055" t="str">
        <f t="shared" si="69"/>
        <v>Machine à pain, France continentale, Base Carbone; kgCO2e/unité, Distribution</v>
      </c>
      <c r="I526" s="2018" t="s">
        <v>3153</v>
      </c>
      <c r="J526" s="1135" t="s">
        <v>1994</v>
      </c>
      <c r="K526" s="1135" t="s">
        <v>1567</v>
      </c>
      <c r="L526" s="1135" t="s">
        <v>1571</v>
      </c>
      <c r="M526" s="2062">
        <v>0.5</v>
      </c>
      <c r="N526" s="1135" t="s">
        <v>3138</v>
      </c>
      <c r="O526" s="1135">
        <v>7.11</v>
      </c>
      <c r="P526" s="2017">
        <v>7.11</v>
      </c>
      <c r="Q526" s="2017">
        <v>0</v>
      </c>
      <c r="R526" s="2017">
        <v>0</v>
      </c>
      <c r="S526" s="2017">
        <v>0</v>
      </c>
      <c r="T526" s="2017">
        <v>0</v>
      </c>
      <c r="U526" s="2042">
        <v>0</v>
      </c>
    </row>
    <row r="527" spans="2:21" hidden="1" outlineLevel="2">
      <c r="B527" s="1135"/>
      <c r="C527" s="1045"/>
      <c r="D527" s="1051">
        <f t="shared" si="67"/>
        <v>24</v>
      </c>
      <c r="E527" s="1051" t="str">
        <f>IF(COUNTIF(E$411:E526,F527)&gt;0,"",F527)</f>
        <v>Micro-onde, France continentale, Base Carbone</v>
      </c>
      <c r="F527" s="1051" t="str">
        <f t="shared" si="68"/>
        <v>Micro-onde, France continentale, Base Carbone</v>
      </c>
      <c r="G527" s="1055" t="str">
        <f t="shared" si="69"/>
        <v>Micro-onde, France continentale, Base Carbone; kgCO2e/unité, Matières premières</v>
      </c>
      <c r="I527" s="2018" t="s">
        <v>3154</v>
      </c>
      <c r="J527" s="1135" t="s">
        <v>1994</v>
      </c>
      <c r="K527" s="1135" t="s">
        <v>1567</v>
      </c>
      <c r="L527" s="1135" t="s">
        <v>1571</v>
      </c>
      <c r="M527" s="2062">
        <v>0.5</v>
      </c>
      <c r="N527" s="1135" t="s">
        <v>3135</v>
      </c>
      <c r="O527" s="1135">
        <v>58.6</v>
      </c>
      <c r="P527" s="2017">
        <v>58.6</v>
      </c>
      <c r="Q527" s="2017">
        <v>0</v>
      </c>
      <c r="R527" s="2017">
        <v>0</v>
      </c>
      <c r="S527" s="2017">
        <v>0</v>
      </c>
      <c r="T527" s="2017">
        <v>0</v>
      </c>
      <c r="U527" s="2042">
        <v>0</v>
      </c>
    </row>
    <row r="528" spans="2:21" hidden="1" outlineLevel="2">
      <c r="B528" s="1135"/>
      <c r="C528" s="1045"/>
      <c r="D528" s="1051">
        <f t="shared" si="67"/>
        <v>24</v>
      </c>
      <c r="E528" s="1051" t="str">
        <f>IF(COUNTIF(E$411:E527,F528)&gt;0,"",F528)</f>
        <v/>
      </c>
      <c r="F528" s="1051" t="str">
        <f t="shared" si="68"/>
        <v>Micro-onde, France continentale, Base Carbone</v>
      </c>
      <c r="G528" s="1055" t="str">
        <f t="shared" si="69"/>
        <v>Micro-onde, France continentale, Base Carbone; kgCO2e/unité, Approvisionnement</v>
      </c>
      <c r="I528" s="2018" t="s">
        <v>3154</v>
      </c>
      <c r="J528" s="1135" t="s">
        <v>1994</v>
      </c>
      <c r="K528" s="1135" t="s">
        <v>1567</v>
      </c>
      <c r="L528" s="1135" t="s">
        <v>1571</v>
      </c>
      <c r="M528" s="2062">
        <v>0.5</v>
      </c>
      <c r="N528" s="1135" t="s">
        <v>3136</v>
      </c>
      <c r="O528" s="1135">
        <v>3.43</v>
      </c>
      <c r="P528" s="2017">
        <v>3.43</v>
      </c>
      <c r="Q528" s="2017">
        <v>0</v>
      </c>
      <c r="R528" s="2017">
        <v>0</v>
      </c>
      <c r="S528" s="2017">
        <v>0</v>
      </c>
      <c r="T528" s="2017">
        <v>0</v>
      </c>
      <c r="U528" s="2042">
        <v>0</v>
      </c>
    </row>
    <row r="529" spans="2:21" hidden="1" outlineLevel="2">
      <c r="B529" s="1135"/>
      <c r="C529" s="1045"/>
      <c r="D529" s="1051">
        <f t="shared" si="67"/>
        <v>24</v>
      </c>
      <c r="E529" s="1051" t="str">
        <f>IF(COUNTIF(E$411:E528,F529)&gt;0,"",F529)</f>
        <v/>
      </c>
      <c r="F529" s="1051" t="str">
        <f t="shared" si="68"/>
        <v>Micro-onde, France continentale, Base Carbone</v>
      </c>
      <c r="G529" s="1055" t="str">
        <f t="shared" si="69"/>
        <v>Micro-onde, France continentale, Base Carbone; kgCO2e/unité, Mise en forme</v>
      </c>
      <c r="I529" s="2018" t="s">
        <v>3154</v>
      </c>
      <c r="J529" s="1135" t="s">
        <v>1994</v>
      </c>
      <c r="K529" s="1135" t="s">
        <v>1567</v>
      </c>
      <c r="L529" s="1135" t="s">
        <v>1571</v>
      </c>
      <c r="M529" s="2062">
        <v>0.5</v>
      </c>
      <c r="N529" s="1135" t="s">
        <v>3141</v>
      </c>
      <c r="O529" s="1135">
        <v>6.91</v>
      </c>
      <c r="P529" s="2017">
        <v>6.91</v>
      </c>
      <c r="Q529" s="2017">
        <v>0</v>
      </c>
      <c r="R529" s="2017">
        <v>0</v>
      </c>
      <c r="S529" s="2017">
        <v>0</v>
      </c>
      <c r="T529" s="2017">
        <v>0</v>
      </c>
      <c r="U529" s="2042">
        <v>0</v>
      </c>
    </row>
    <row r="530" spans="2:21" hidden="1" outlineLevel="2">
      <c r="B530" s="1135"/>
      <c r="C530" s="1045"/>
      <c r="D530" s="1051">
        <f t="shared" si="67"/>
        <v>24</v>
      </c>
      <c r="E530" s="1051" t="str">
        <f>IF(COUNTIF(E$411:E529,F530)&gt;0,"",F530)</f>
        <v/>
      </c>
      <c r="F530" s="1051" t="str">
        <f t="shared" si="68"/>
        <v>Micro-onde, France continentale, Base Carbone</v>
      </c>
      <c r="G530" s="1055" t="str">
        <f t="shared" si="69"/>
        <v>Micro-onde, France continentale, Base Carbone; kgCO2e/unité, Assemblage</v>
      </c>
      <c r="I530" s="2018" t="s">
        <v>3154</v>
      </c>
      <c r="J530" s="1135" t="s">
        <v>1994</v>
      </c>
      <c r="K530" s="1135" t="s">
        <v>1567</v>
      </c>
      <c r="L530" s="1135" t="s">
        <v>1571</v>
      </c>
      <c r="M530" s="2062">
        <v>0.5</v>
      </c>
      <c r="N530" s="1135" t="s">
        <v>3137</v>
      </c>
      <c r="O530" s="1135">
        <v>10.4</v>
      </c>
      <c r="P530" s="2017">
        <v>10.4</v>
      </c>
      <c r="Q530" s="2017">
        <v>0</v>
      </c>
      <c r="R530" s="2017">
        <v>0</v>
      </c>
      <c r="S530" s="2017">
        <v>0</v>
      </c>
      <c r="T530" s="2017">
        <v>0</v>
      </c>
      <c r="U530" s="2042">
        <v>0</v>
      </c>
    </row>
    <row r="531" spans="2:21" hidden="1" outlineLevel="2">
      <c r="B531" s="1135"/>
      <c r="C531" s="1045"/>
      <c r="D531" s="1051">
        <f t="shared" si="67"/>
        <v>24</v>
      </c>
      <c r="E531" s="1051" t="str">
        <f>IF(COUNTIF(E$411:E530,F531)&gt;0,"",F531)</f>
        <v/>
      </c>
      <c r="F531" s="1051" t="str">
        <f t="shared" si="68"/>
        <v>Micro-onde, France continentale, Base Carbone</v>
      </c>
      <c r="G531" s="1055" t="str">
        <f t="shared" si="69"/>
        <v>Micro-onde, France continentale, Base Carbone; kgCO2e/unité, Distribution</v>
      </c>
      <c r="I531" s="2018" t="s">
        <v>3154</v>
      </c>
      <c r="J531" s="1135" t="s">
        <v>1994</v>
      </c>
      <c r="K531" s="1135" t="s">
        <v>1567</v>
      </c>
      <c r="L531" s="1135" t="s">
        <v>1571</v>
      </c>
      <c r="M531" s="2062">
        <v>0.5</v>
      </c>
      <c r="N531" s="1135" t="s">
        <v>3138</v>
      </c>
      <c r="O531" s="1135">
        <v>19</v>
      </c>
      <c r="P531" s="2017">
        <v>19</v>
      </c>
      <c r="Q531" s="2017">
        <v>0</v>
      </c>
      <c r="R531" s="2017">
        <v>0</v>
      </c>
      <c r="S531" s="2017">
        <v>0</v>
      </c>
      <c r="T531" s="2017">
        <v>0</v>
      </c>
      <c r="U531" s="2042">
        <v>0</v>
      </c>
    </row>
    <row r="532" spans="2:21" hidden="1" outlineLevel="2">
      <c r="B532" s="1135"/>
      <c r="C532" s="1045"/>
      <c r="D532" s="1051">
        <f t="shared" si="67"/>
        <v>25</v>
      </c>
      <c r="E532" s="1051" t="str">
        <f>IF(COUNTIF(E$411:E531,F532)&gt;0,"",F532)</f>
        <v>Mini-four électrique , France continentale, Base Carbone</v>
      </c>
      <c r="F532" s="1051" t="str">
        <f t="shared" si="68"/>
        <v>Mini-four électrique , France continentale, Base Carbone</v>
      </c>
      <c r="G532" s="1055" t="str">
        <f t="shared" si="69"/>
        <v>Mini-four électrique , France continentale, Base Carbone; kgCO2e/unité, Matières premières</v>
      </c>
      <c r="I532" s="2018" t="s">
        <v>3155</v>
      </c>
      <c r="J532" s="1135" t="s">
        <v>1994</v>
      </c>
      <c r="K532" s="1135" t="s">
        <v>1567</v>
      </c>
      <c r="L532" s="1135" t="s">
        <v>1571</v>
      </c>
      <c r="M532" s="2062">
        <v>0.5</v>
      </c>
      <c r="N532" s="1135" t="s">
        <v>3135</v>
      </c>
      <c r="O532" s="1135">
        <v>50.5</v>
      </c>
      <c r="P532" s="2017">
        <v>50.5</v>
      </c>
      <c r="Q532" s="2017">
        <v>0</v>
      </c>
      <c r="R532" s="2017">
        <v>0</v>
      </c>
      <c r="S532" s="2017">
        <v>0</v>
      </c>
      <c r="T532" s="2017">
        <v>0</v>
      </c>
      <c r="U532" s="2042">
        <v>0</v>
      </c>
    </row>
    <row r="533" spans="2:21" hidden="1" outlineLevel="2">
      <c r="B533" s="1135"/>
      <c r="C533" s="1045"/>
      <c r="D533" s="1051">
        <f t="shared" si="67"/>
        <v>25</v>
      </c>
      <c r="E533" s="1051" t="str">
        <f>IF(COUNTIF(E$411:E532,F533)&gt;0,"",F533)</f>
        <v/>
      </c>
      <c r="F533" s="1051" t="str">
        <f t="shared" si="68"/>
        <v>Mini-four électrique , France continentale, Base Carbone</v>
      </c>
      <c r="G533" s="1055" t="str">
        <f t="shared" si="69"/>
        <v>Mini-four électrique , France continentale, Base Carbone; kgCO2e/unité, Approvisionnement</v>
      </c>
      <c r="I533" s="2018" t="s">
        <v>3155</v>
      </c>
      <c r="J533" s="1135" t="s">
        <v>1994</v>
      </c>
      <c r="K533" s="1135" t="s">
        <v>1567</v>
      </c>
      <c r="L533" s="1135" t="s">
        <v>1571</v>
      </c>
      <c r="M533" s="2062">
        <v>0.5</v>
      </c>
      <c r="N533" s="1135" t="s">
        <v>3136</v>
      </c>
      <c r="O533" s="1135">
        <v>3.12</v>
      </c>
      <c r="P533" s="2017">
        <v>3.12</v>
      </c>
      <c r="Q533" s="2017">
        <v>0</v>
      </c>
      <c r="R533" s="2017">
        <v>0</v>
      </c>
      <c r="S533" s="2017">
        <v>0</v>
      </c>
      <c r="T533" s="2017">
        <v>0</v>
      </c>
      <c r="U533" s="2042">
        <v>0</v>
      </c>
    </row>
    <row r="534" spans="2:21" hidden="1" outlineLevel="2">
      <c r="B534" s="1135"/>
      <c r="C534" s="1045"/>
      <c r="D534" s="1051">
        <f t="shared" si="67"/>
        <v>25</v>
      </c>
      <c r="E534" s="1051" t="str">
        <f>IF(COUNTIF(E$411:E533,F534)&gt;0,"",F534)</f>
        <v/>
      </c>
      <c r="F534" s="1051" t="str">
        <f t="shared" si="68"/>
        <v>Mini-four électrique , France continentale, Base Carbone</v>
      </c>
      <c r="G534" s="1055" t="str">
        <f t="shared" si="69"/>
        <v>Mini-four électrique , France continentale, Base Carbone; kgCO2e/unité, Mise en forme</v>
      </c>
      <c r="I534" s="2018" t="s">
        <v>3155</v>
      </c>
      <c r="J534" s="1135" t="s">
        <v>1994</v>
      </c>
      <c r="K534" s="1135" t="s">
        <v>1567</v>
      </c>
      <c r="L534" s="1135" t="s">
        <v>1571</v>
      </c>
      <c r="M534" s="2062">
        <v>0.5</v>
      </c>
      <c r="N534" s="1135" t="s">
        <v>3141</v>
      </c>
      <c r="O534" s="1135">
        <v>12.8</v>
      </c>
      <c r="P534" s="2017">
        <v>12.8</v>
      </c>
      <c r="Q534" s="2017">
        <v>0</v>
      </c>
      <c r="R534" s="2017">
        <v>0</v>
      </c>
      <c r="S534" s="2017">
        <v>0</v>
      </c>
      <c r="T534" s="2017">
        <v>0</v>
      </c>
      <c r="U534" s="2042">
        <v>0</v>
      </c>
    </row>
    <row r="535" spans="2:21" hidden="1" outlineLevel="2">
      <c r="B535" s="1135"/>
      <c r="C535" s="1045"/>
      <c r="D535" s="1051">
        <f t="shared" si="67"/>
        <v>25</v>
      </c>
      <c r="E535" s="1051" t="str">
        <f>IF(COUNTIF(E$411:E534,F535)&gt;0,"",F535)</f>
        <v/>
      </c>
      <c r="F535" s="1051" t="str">
        <f t="shared" si="68"/>
        <v>Mini-four électrique , France continentale, Base Carbone</v>
      </c>
      <c r="G535" s="1055" t="str">
        <f t="shared" si="69"/>
        <v>Mini-four électrique , France continentale, Base Carbone; kgCO2e/unité, Assemblage</v>
      </c>
      <c r="I535" s="2018" t="s">
        <v>3155</v>
      </c>
      <c r="J535" s="1135" t="s">
        <v>1994</v>
      </c>
      <c r="K535" s="1135" t="s">
        <v>1567</v>
      </c>
      <c r="L535" s="1135" t="s">
        <v>1571</v>
      </c>
      <c r="M535" s="2062">
        <v>0.5</v>
      </c>
      <c r="N535" s="1135" t="s">
        <v>3137</v>
      </c>
      <c r="O535" s="1135">
        <v>4.88</v>
      </c>
      <c r="P535" s="2017">
        <v>4.88</v>
      </c>
      <c r="Q535" s="2017">
        <v>0</v>
      </c>
      <c r="R535" s="2017">
        <v>0</v>
      </c>
      <c r="S535" s="2017">
        <v>0</v>
      </c>
      <c r="T535" s="2017">
        <v>0</v>
      </c>
      <c r="U535" s="2042">
        <v>0</v>
      </c>
    </row>
    <row r="536" spans="2:21" hidden="1" outlineLevel="2">
      <c r="B536" s="1135"/>
      <c r="C536" s="1045"/>
      <c r="D536" s="1051">
        <f t="shared" si="67"/>
        <v>25</v>
      </c>
      <c r="E536" s="1051" t="str">
        <f>IF(COUNTIF(E$411:E535,F536)&gt;0,"",F536)</f>
        <v/>
      </c>
      <c r="F536" s="1051" t="str">
        <f t="shared" si="68"/>
        <v>Mini-four électrique , France continentale, Base Carbone</v>
      </c>
      <c r="G536" s="1055" t="str">
        <f t="shared" si="69"/>
        <v>Mini-four électrique , France continentale, Base Carbone; kgCO2e/unité, Distribution</v>
      </c>
      <c r="I536" s="2018" t="s">
        <v>3155</v>
      </c>
      <c r="J536" s="1135" t="s">
        <v>1994</v>
      </c>
      <c r="K536" s="1135" t="s">
        <v>1567</v>
      </c>
      <c r="L536" s="1135" t="s">
        <v>1571</v>
      </c>
      <c r="M536" s="2062">
        <v>0.5</v>
      </c>
      <c r="N536" s="1135" t="s">
        <v>3138</v>
      </c>
      <c r="O536" s="1135">
        <v>11.4</v>
      </c>
      <c r="P536" s="1119">
        <v>11.4</v>
      </c>
      <c r="Q536" s="1119">
        <v>0</v>
      </c>
      <c r="R536" s="1119">
        <v>0</v>
      </c>
      <c r="S536" s="1119">
        <v>0</v>
      </c>
      <c r="T536" s="1119">
        <v>0</v>
      </c>
      <c r="U536" s="2065">
        <v>0</v>
      </c>
    </row>
    <row r="537" spans="2:21" hidden="1" outlineLevel="2">
      <c r="B537" s="1135"/>
      <c r="C537" s="1045"/>
      <c r="D537" s="1051">
        <f t="shared" si="67"/>
        <v>26</v>
      </c>
      <c r="E537" s="1051" t="str">
        <f>IF(COUNTIF(E$411:E536,F537)&gt;0,"",F537)</f>
        <v>Plaques de cuisson à induction 9000W, France continentale, Base Carbone</v>
      </c>
      <c r="F537" s="1051" t="str">
        <f t="shared" si="68"/>
        <v>Plaques de cuisson à induction 9000W, France continentale, Base Carbone</v>
      </c>
      <c r="G537" s="1055" t="str">
        <f t="shared" si="69"/>
        <v>Plaques de cuisson à induction 9000W, France continentale, Base Carbone; kgCO2e/unité, Matières premières</v>
      </c>
      <c r="I537" s="2018" t="s">
        <v>4140</v>
      </c>
      <c r="J537" s="1135" t="s">
        <v>1994</v>
      </c>
      <c r="K537" s="1135" t="s">
        <v>1567</v>
      </c>
      <c r="L537" s="1135" t="s">
        <v>1571</v>
      </c>
      <c r="M537" s="2062">
        <v>0.5</v>
      </c>
      <c r="N537" s="1135" t="s">
        <v>3135</v>
      </c>
      <c r="O537" s="1135">
        <v>63.9</v>
      </c>
      <c r="P537" s="1119">
        <v>63.9</v>
      </c>
      <c r="Q537" s="1119">
        <v>0</v>
      </c>
      <c r="R537" s="1119">
        <v>0</v>
      </c>
      <c r="S537" s="1119">
        <v>0</v>
      </c>
      <c r="T537" s="1119">
        <v>0</v>
      </c>
      <c r="U537" s="2065">
        <v>0</v>
      </c>
    </row>
    <row r="538" spans="2:21" hidden="1" outlineLevel="2">
      <c r="B538" s="1135"/>
      <c r="C538" s="1045"/>
      <c r="D538" s="1051">
        <f t="shared" si="67"/>
        <v>26</v>
      </c>
      <c r="E538" s="1051" t="str">
        <f>IF(COUNTIF(E$411:E537,F538)&gt;0,"",F538)</f>
        <v/>
      </c>
      <c r="F538" s="1051" t="str">
        <f t="shared" si="68"/>
        <v>Plaques de cuisson à induction 9000W, France continentale, Base Carbone</v>
      </c>
      <c r="G538" s="1055" t="str">
        <f t="shared" si="69"/>
        <v>Plaques de cuisson à induction 9000W, France continentale, Base Carbone; kgCO2e/unité, Approvisionnement</v>
      </c>
      <c r="I538" s="2018" t="s">
        <v>4140</v>
      </c>
      <c r="J538" s="1135" t="s">
        <v>1994</v>
      </c>
      <c r="K538" s="1135" t="s">
        <v>1567</v>
      </c>
      <c r="L538" s="1135" t="s">
        <v>1571</v>
      </c>
      <c r="M538" s="2062">
        <v>0.5</v>
      </c>
      <c r="N538" s="1135" t="s">
        <v>3136</v>
      </c>
      <c r="O538" s="1135">
        <v>2.17</v>
      </c>
      <c r="P538" s="1119">
        <v>2.17</v>
      </c>
      <c r="Q538" s="1119">
        <v>0</v>
      </c>
      <c r="R538" s="1119">
        <v>0</v>
      </c>
      <c r="S538" s="1119">
        <v>0</v>
      </c>
      <c r="T538" s="1119">
        <v>0</v>
      </c>
      <c r="U538" s="2065">
        <v>0</v>
      </c>
    </row>
    <row r="539" spans="2:21" hidden="1" outlineLevel="2">
      <c r="B539" s="1135"/>
      <c r="C539" s="1045"/>
      <c r="D539" s="1051">
        <f t="shared" si="67"/>
        <v>26</v>
      </c>
      <c r="E539" s="1051" t="str">
        <f>IF(COUNTIF(E$411:E538,F539)&gt;0,"",F539)</f>
        <v/>
      </c>
      <c r="F539" s="1051" t="str">
        <f t="shared" si="68"/>
        <v>Plaques de cuisson à induction 9000W, France continentale, Base Carbone</v>
      </c>
      <c r="G539" s="1055" t="str">
        <f t="shared" si="69"/>
        <v>Plaques de cuisson à induction 9000W, France continentale, Base Carbone; kgCO2e/unité, Mise en forme</v>
      </c>
      <c r="I539" s="2018" t="s">
        <v>4140</v>
      </c>
      <c r="J539" s="1135" t="s">
        <v>1994</v>
      </c>
      <c r="K539" s="1135" t="s">
        <v>1567</v>
      </c>
      <c r="L539" s="1135" t="s">
        <v>1571</v>
      </c>
      <c r="M539" s="2062">
        <v>0.5</v>
      </c>
      <c r="N539" s="1135" t="s">
        <v>3141</v>
      </c>
      <c r="O539" s="1135">
        <v>2.8</v>
      </c>
      <c r="P539" s="1119">
        <v>2.8</v>
      </c>
      <c r="Q539" s="1119">
        <v>0</v>
      </c>
      <c r="R539" s="1119">
        <v>0</v>
      </c>
      <c r="S539" s="1119">
        <v>0</v>
      </c>
      <c r="T539" s="1119">
        <v>0</v>
      </c>
      <c r="U539" s="2065">
        <v>0</v>
      </c>
    </row>
    <row r="540" spans="2:21" hidden="1" outlineLevel="2">
      <c r="B540" s="1135"/>
      <c r="C540" s="1045"/>
      <c r="D540" s="1051">
        <f t="shared" si="67"/>
        <v>26</v>
      </c>
      <c r="E540" s="1051" t="str">
        <f>IF(COUNTIF(E$411:E539,F540)&gt;0,"",F540)</f>
        <v/>
      </c>
      <c r="F540" s="1051" t="str">
        <f t="shared" si="68"/>
        <v>Plaques de cuisson à induction 9000W, France continentale, Base Carbone</v>
      </c>
      <c r="G540" s="1055" t="str">
        <f t="shared" si="69"/>
        <v>Plaques de cuisson à induction 9000W, France continentale, Base Carbone; kgCO2e/unité, Assemblage</v>
      </c>
      <c r="I540" s="2018" t="s">
        <v>4140</v>
      </c>
      <c r="J540" s="1135" t="s">
        <v>1994</v>
      </c>
      <c r="K540" s="1135" t="s">
        <v>1567</v>
      </c>
      <c r="L540" s="1135" t="s">
        <v>1571</v>
      </c>
      <c r="M540" s="2062">
        <v>0.5</v>
      </c>
      <c r="N540" s="1135" t="s">
        <v>3137</v>
      </c>
      <c r="O540" s="1135">
        <v>8.1300000000000008</v>
      </c>
      <c r="P540" s="1119">
        <v>8.1300000000000008</v>
      </c>
      <c r="Q540" s="1119">
        <v>0</v>
      </c>
      <c r="R540" s="1119">
        <v>0</v>
      </c>
      <c r="S540" s="1119">
        <v>0</v>
      </c>
      <c r="T540" s="1119">
        <v>0</v>
      </c>
      <c r="U540" s="2065">
        <v>-0.66700000000000004</v>
      </c>
    </row>
    <row r="541" spans="2:21" hidden="1" outlineLevel="2">
      <c r="B541" s="1135"/>
      <c r="C541" s="1045"/>
      <c r="D541" s="1051">
        <f t="shared" ref="D541:D604" si="70">D540+IF(LEN(E541)&gt;0,1,0)</f>
        <v>26</v>
      </c>
      <c r="E541" s="1051" t="str">
        <f>IF(COUNTIF(E$411:E540,F541)&gt;0,"",F541)</f>
        <v/>
      </c>
      <c r="F541" s="1051" t="str">
        <f t="shared" ref="F541:F604" si="71">IF(I541&lt;&gt;"",I541&amp;IF(L541&lt;&gt;"",", "&amp;L541,"")&amp;IF(K541&lt;&gt;"",", "&amp;K541,""),"")</f>
        <v>Plaques de cuisson à induction 9000W, France continentale, Base Carbone</v>
      </c>
      <c r="G541" s="1055" t="str">
        <f t="shared" ref="G541:G604" si="72">IF(F541&lt;&gt;"",F541&amp;IF(J541&lt;&gt;"","; "&amp;J541&amp;IF(N541&lt;&gt;"",", "&amp;N541,),""),"")</f>
        <v>Plaques de cuisson à induction 9000W, France continentale, Base Carbone; kgCO2e/unité, Distribution</v>
      </c>
      <c r="I541" s="2018" t="s">
        <v>4140</v>
      </c>
      <c r="J541" s="1135" t="s">
        <v>1994</v>
      </c>
      <c r="K541" s="1135" t="s">
        <v>1567</v>
      </c>
      <c r="L541" s="1135" t="s">
        <v>1571</v>
      </c>
      <c r="M541" s="2062">
        <v>0.5</v>
      </c>
      <c r="N541" s="1135" t="s">
        <v>3138</v>
      </c>
      <c r="O541" s="1135">
        <v>12.7</v>
      </c>
      <c r="P541" s="1119">
        <v>12.7</v>
      </c>
      <c r="Q541" s="1119">
        <v>0</v>
      </c>
      <c r="R541" s="1119">
        <v>0</v>
      </c>
      <c r="S541" s="1119">
        <v>0</v>
      </c>
      <c r="T541" s="1119">
        <v>0</v>
      </c>
      <c r="U541" s="2065">
        <v>0</v>
      </c>
    </row>
    <row r="542" spans="2:21" hidden="1" outlineLevel="2">
      <c r="B542" s="1135"/>
      <c r="C542" s="1045"/>
      <c r="D542" s="1051">
        <f t="shared" si="70"/>
        <v>27</v>
      </c>
      <c r="E542" s="1051" t="str">
        <f>IF(COUNTIF(E$411:E541,F542)&gt;0,"",F542)</f>
        <v>Plaques de cuisson au gaz 9000W, France continentale, Base Carbone</v>
      </c>
      <c r="F542" s="1051" t="str">
        <f t="shared" si="71"/>
        <v>Plaques de cuisson au gaz 9000W, France continentale, Base Carbone</v>
      </c>
      <c r="G542" s="1055" t="str">
        <f t="shared" si="72"/>
        <v>Plaques de cuisson au gaz 9000W, France continentale, Base Carbone; kgCO2e/unité, Matières premières</v>
      </c>
      <c r="I542" s="2018" t="s">
        <v>4141</v>
      </c>
      <c r="J542" s="1135" t="s">
        <v>1994</v>
      </c>
      <c r="K542" s="1135" t="s">
        <v>1567</v>
      </c>
      <c r="L542" s="1135" t="s">
        <v>1571</v>
      </c>
      <c r="M542" s="2062">
        <v>0.5</v>
      </c>
      <c r="N542" s="1135" t="s">
        <v>3135</v>
      </c>
      <c r="O542" s="1135">
        <v>29.4</v>
      </c>
      <c r="P542" s="1119">
        <v>29.4</v>
      </c>
      <c r="Q542" s="1119">
        <v>0</v>
      </c>
      <c r="R542" s="1119">
        <v>0</v>
      </c>
      <c r="S542" s="1119">
        <v>0</v>
      </c>
      <c r="T542" s="1119">
        <v>0</v>
      </c>
      <c r="U542" s="2065">
        <v>0</v>
      </c>
    </row>
    <row r="543" spans="2:21" hidden="1" outlineLevel="2">
      <c r="B543" s="1135"/>
      <c r="C543" s="1045"/>
      <c r="D543" s="1051">
        <f t="shared" si="70"/>
        <v>27</v>
      </c>
      <c r="E543" s="1051" t="str">
        <f>IF(COUNTIF(E$411:E542,F543)&gt;0,"",F543)</f>
        <v/>
      </c>
      <c r="F543" s="1051" t="str">
        <f t="shared" si="71"/>
        <v>Plaques de cuisson au gaz 9000W, France continentale, Base Carbone</v>
      </c>
      <c r="G543" s="1055" t="str">
        <f t="shared" si="72"/>
        <v>Plaques de cuisson au gaz 9000W, France continentale, Base Carbone; kgCO2e/unité, Approvisionnement</v>
      </c>
      <c r="I543" s="2018" t="s">
        <v>4141</v>
      </c>
      <c r="J543" s="1135" t="s">
        <v>1994</v>
      </c>
      <c r="K543" s="1135" t="s">
        <v>1567</v>
      </c>
      <c r="L543" s="1135" t="s">
        <v>1571</v>
      </c>
      <c r="M543" s="2062">
        <v>0.5</v>
      </c>
      <c r="N543" s="1135" t="s">
        <v>3136</v>
      </c>
      <c r="O543" s="1135">
        <v>1.45</v>
      </c>
      <c r="P543" s="1119">
        <v>1.45</v>
      </c>
      <c r="Q543" s="1119">
        <v>0</v>
      </c>
      <c r="R543" s="1119">
        <v>0</v>
      </c>
      <c r="S543" s="1119">
        <v>0</v>
      </c>
      <c r="T543" s="1119">
        <v>0</v>
      </c>
      <c r="U543" s="2065">
        <v>0</v>
      </c>
    </row>
    <row r="544" spans="2:21" hidden="1" outlineLevel="2">
      <c r="B544" s="1135"/>
      <c r="C544" s="1045"/>
      <c r="D544" s="1051">
        <f t="shared" si="70"/>
        <v>27</v>
      </c>
      <c r="E544" s="1051" t="str">
        <f>IF(COUNTIF(E$411:E543,F544)&gt;0,"",F544)</f>
        <v/>
      </c>
      <c r="F544" s="1051" t="str">
        <f t="shared" si="71"/>
        <v>Plaques de cuisson au gaz 9000W, France continentale, Base Carbone</v>
      </c>
      <c r="G544" s="1055" t="str">
        <f t="shared" si="72"/>
        <v>Plaques de cuisson au gaz 9000W, France continentale, Base Carbone; kgCO2e/unité, Mise en forme</v>
      </c>
      <c r="I544" s="2018" t="s">
        <v>4141</v>
      </c>
      <c r="J544" s="1135" t="s">
        <v>1994</v>
      </c>
      <c r="K544" s="1135" t="s">
        <v>1567</v>
      </c>
      <c r="L544" s="1135" t="s">
        <v>1571</v>
      </c>
      <c r="M544" s="2062">
        <v>0.5</v>
      </c>
      <c r="N544" s="1135" t="s">
        <v>3141</v>
      </c>
      <c r="O544" s="1135">
        <v>0.91200000000000003</v>
      </c>
      <c r="P544" s="1119">
        <v>0.91200000000000003</v>
      </c>
      <c r="Q544" s="1119">
        <v>0</v>
      </c>
      <c r="R544" s="1119">
        <v>0</v>
      </c>
      <c r="S544" s="1119">
        <v>0</v>
      </c>
      <c r="T544" s="1119">
        <v>0</v>
      </c>
      <c r="U544" s="2065">
        <v>0</v>
      </c>
    </row>
    <row r="545" spans="2:21" hidden="1" outlineLevel="2">
      <c r="B545" s="1135"/>
      <c r="C545" s="1045"/>
      <c r="D545" s="1051">
        <f t="shared" si="70"/>
        <v>27</v>
      </c>
      <c r="E545" s="1051" t="str">
        <f>IF(COUNTIF(E$411:E544,F545)&gt;0,"",F545)</f>
        <v/>
      </c>
      <c r="F545" s="1051" t="str">
        <f t="shared" si="71"/>
        <v>Plaques de cuisson au gaz 9000W, France continentale, Base Carbone</v>
      </c>
      <c r="G545" s="1055" t="str">
        <f t="shared" si="72"/>
        <v>Plaques de cuisson au gaz 9000W, France continentale, Base Carbone; kgCO2e/unité, Assemblage</v>
      </c>
      <c r="I545" s="2018" t="s">
        <v>4141</v>
      </c>
      <c r="J545" s="1135" t="s">
        <v>1994</v>
      </c>
      <c r="K545" s="1135" t="s">
        <v>1567</v>
      </c>
      <c r="L545" s="1135" t="s">
        <v>1571</v>
      </c>
      <c r="M545" s="2062">
        <v>0.5</v>
      </c>
      <c r="N545" s="1135" t="s">
        <v>3137</v>
      </c>
      <c r="O545" s="1135">
        <v>6.4</v>
      </c>
      <c r="P545" s="1119">
        <v>6.4</v>
      </c>
      <c r="Q545" s="1119">
        <v>0</v>
      </c>
      <c r="R545" s="1119">
        <v>0</v>
      </c>
      <c r="S545" s="1119">
        <v>0</v>
      </c>
      <c r="T545" s="1119">
        <v>0</v>
      </c>
      <c r="U545" s="2065">
        <v>-0.66700000000000004</v>
      </c>
    </row>
    <row r="546" spans="2:21" hidden="1" outlineLevel="2">
      <c r="B546" s="1135"/>
      <c r="C546" s="1045"/>
      <c r="D546" s="1051">
        <f t="shared" si="70"/>
        <v>27</v>
      </c>
      <c r="E546" s="1051" t="str">
        <f>IF(COUNTIF(E$411:E545,F546)&gt;0,"",F546)</f>
        <v/>
      </c>
      <c r="F546" s="1051" t="str">
        <f t="shared" si="71"/>
        <v>Plaques de cuisson au gaz 9000W, France continentale, Base Carbone</v>
      </c>
      <c r="G546" s="1055" t="str">
        <f t="shared" si="72"/>
        <v>Plaques de cuisson au gaz 9000W, France continentale, Base Carbone; kgCO2e/unité, Distribution</v>
      </c>
      <c r="I546" s="2018" t="s">
        <v>4141</v>
      </c>
      <c r="J546" s="1135" t="s">
        <v>1994</v>
      </c>
      <c r="K546" s="1135" t="s">
        <v>1567</v>
      </c>
      <c r="L546" s="1135" t="s">
        <v>1571</v>
      </c>
      <c r="M546" s="2062">
        <v>0.5</v>
      </c>
      <c r="N546" s="1135" t="s">
        <v>3138</v>
      </c>
      <c r="O546" s="1135">
        <v>5.26</v>
      </c>
      <c r="P546" s="1119">
        <v>5.26</v>
      </c>
      <c r="Q546" s="1119">
        <v>0</v>
      </c>
      <c r="R546" s="1119">
        <v>0</v>
      </c>
      <c r="S546" s="1119">
        <v>0</v>
      </c>
      <c r="T546" s="1119">
        <v>0</v>
      </c>
      <c r="U546" s="2065">
        <v>0</v>
      </c>
    </row>
    <row r="547" spans="2:21" hidden="1" outlineLevel="2">
      <c r="B547" s="1135"/>
      <c r="C547" s="1045"/>
      <c r="D547" s="1051">
        <f t="shared" si="70"/>
        <v>28</v>
      </c>
      <c r="E547" s="1051" t="str">
        <f>IF(COUNTIF(E$411:E546,F547)&gt;0,"",F547)</f>
        <v>Plaques de cuisson vitrocéramique 9000W, France continentale, Base Carbone</v>
      </c>
      <c r="F547" s="1051" t="str">
        <f t="shared" si="71"/>
        <v>Plaques de cuisson vitrocéramique 9000W, France continentale, Base Carbone</v>
      </c>
      <c r="G547" s="1055" t="str">
        <f t="shared" si="72"/>
        <v>Plaques de cuisson vitrocéramique 9000W, France continentale, Base Carbone; kgCO2e/unité, Matières premières</v>
      </c>
      <c r="I547" s="2018" t="s">
        <v>4142</v>
      </c>
      <c r="J547" s="1135" t="s">
        <v>1994</v>
      </c>
      <c r="K547" s="1135" t="s">
        <v>1567</v>
      </c>
      <c r="L547" s="1135" t="s">
        <v>1571</v>
      </c>
      <c r="M547" s="2062">
        <v>0.5</v>
      </c>
      <c r="N547" s="1135" t="s">
        <v>3135</v>
      </c>
      <c r="O547" s="1135">
        <v>45.2</v>
      </c>
      <c r="P547" s="1119">
        <v>45.2</v>
      </c>
      <c r="Q547" s="1119">
        <v>0</v>
      </c>
      <c r="R547" s="1119">
        <v>0</v>
      </c>
      <c r="S547" s="1119">
        <v>0</v>
      </c>
      <c r="T547" s="1119">
        <v>0</v>
      </c>
      <c r="U547" s="2065">
        <v>0</v>
      </c>
    </row>
    <row r="548" spans="2:21" hidden="1" outlineLevel="2">
      <c r="B548" s="1135"/>
      <c r="C548" s="1045"/>
      <c r="D548" s="1051">
        <f t="shared" si="70"/>
        <v>28</v>
      </c>
      <c r="E548" s="1051" t="str">
        <f>IF(COUNTIF(E$411:E547,F548)&gt;0,"",F548)</f>
        <v/>
      </c>
      <c r="F548" s="1051" t="str">
        <f t="shared" si="71"/>
        <v>Plaques de cuisson vitrocéramique 9000W, France continentale, Base Carbone</v>
      </c>
      <c r="G548" s="1055" t="str">
        <f t="shared" si="72"/>
        <v>Plaques de cuisson vitrocéramique 9000W, France continentale, Base Carbone; kgCO2e/unité, Approvisionnement</v>
      </c>
      <c r="I548" s="2018" t="s">
        <v>4142</v>
      </c>
      <c r="J548" s="1135" t="s">
        <v>1994</v>
      </c>
      <c r="K548" s="1135" t="s">
        <v>1567</v>
      </c>
      <c r="L548" s="1135" t="s">
        <v>1571</v>
      </c>
      <c r="M548" s="2062">
        <v>0.5</v>
      </c>
      <c r="N548" s="1135" t="s">
        <v>3136</v>
      </c>
      <c r="O548" s="1135">
        <v>1.63</v>
      </c>
      <c r="P548" s="1119">
        <v>1.63</v>
      </c>
      <c r="Q548" s="1119">
        <v>0</v>
      </c>
      <c r="R548" s="1119">
        <v>0</v>
      </c>
      <c r="S548" s="1119">
        <v>0</v>
      </c>
      <c r="T548" s="1119">
        <v>0</v>
      </c>
      <c r="U548" s="2065">
        <v>0</v>
      </c>
    </row>
    <row r="549" spans="2:21" hidden="1" outlineLevel="2">
      <c r="B549" s="1135"/>
      <c r="C549" s="1045"/>
      <c r="D549" s="1051">
        <f t="shared" si="70"/>
        <v>28</v>
      </c>
      <c r="E549" s="1051" t="str">
        <f>IF(COUNTIF(E$411:E548,F549)&gt;0,"",F549)</f>
        <v/>
      </c>
      <c r="F549" s="1051" t="str">
        <f t="shared" si="71"/>
        <v>Plaques de cuisson vitrocéramique 9000W, France continentale, Base Carbone</v>
      </c>
      <c r="G549" s="1055" t="str">
        <f t="shared" si="72"/>
        <v>Plaques de cuisson vitrocéramique 9000W, France continentale, Base Carbone; kgCO2e/unité, Mise en forme</v>
      </c>
      <c r="I549" s="2018" t="s">
        <v>4142</v>
      </c>
      <c r="J549" s="1135" t="s">
        <v>1994</v>
      </c>
      <c r="K549" s="1135" t="s">
        <v>1567</v>
      </c>
      <c r="L549" s="1135" t="s">
        <v>1571</v>
      </c>
      <c r="M549" s="2062">
        <v>0.5</v>
      </c>
      <c r="N549" s="1135" t="s">
        <v>3141</v>
      </c>
      <c r="O549" s="1135">
        <v>0.754</v>
      </c>
      <c r="P549" s="1119">
        <v>0.754</v>
      </c>
      <c r="Q549" s="1119">
        <v>0</v>
      </c>
      <c r="R549" s="1119">
        <v>0</v>
      </c>
      <c r="S549" s="1119">
        <v>0</v>
      </c>
      <c r="T549" s="1119">
        <v>0</v>
      </c>
      <c r="U549" s="2065">
        <v>0</v>
      </c>
    </row>
    <row r="550" spans="2:21" hidden="1" outlineLevel="2">
      <c r="B550" s="1135"/>
      <c r="C550" s="1045"/>
      <c r="D550" s="1051">
        <f t="shared" si="70"/>
        <v>28</v>
      </c>
      <c r="E550" s="1051" t="str">
        <f>IF(COUNTIF(E$411:E549,F550)&gt;0,"",F550)</f>
        <v/>
      </c>
      <c r="F550" s="1051" t="str">
        <f t="shared" si="71"/>
        <v>Plaques de cuisson vitrocéramique 9000W, France continentale, Base Carbone</v>
      </c>
      <c r="G550" s="1055" t="str">
        <f t="shared" si="72"/>
        <v>Plaques de cuisson vitrocéramique 9000W, France continentale, Base Carbone; kgCO2e/unité, Assemblage</v>
      </c>
      <c r="I550" s="2018" t="s">
        <v>4142</v>
      </c>
      <c r="J550" s="1135" t="s">
        <v>1994</v>
      </c>
      <c r="K550" s="1135" t="s">
        <v>1567</v>
      </c>
      <c r="L550" s="1135" t="s">
        <v>1571</v>
      </c>
      <c r="M550" s="2062">
        <v>0.5</v>
      </c>
      <c r="N550" s="1135" t="s">
        <v>3137</v>
      </c>
      <c r="O550" s="1135">
        <v>8.1300000000000008</v>
      </c>
      <c r="P550" s="1119">
        <v>8.1300000000000008</v>
      </c>
      <c r="Q550" s="1119">
        <v>0</v>
      </c>
      <c r="R550" s="1119">
        <v>0</v>
      </c>
      <c r="S550" s="1119">
        <v>0</v>
      </c>
      <c r="T550" s="1119">
        <v>0</v>
      </c>
      <c r="U550" s="2065">
        <v>-0.44500000000000001</v>
      </c>
    </row>
    <row r="551" spans="2:21" hidden="1" outlineLevel="2">
      <c r="B551" s="1135"/>
      <c r="C551" s="1045"/>
      <c r="D551" s="1051">
        <f t="shared" si="70"/>
        <v>28</v>
      </c>
      <c r="E551" s="1051" t="str">
        <f>IF(COUNTIF(E$411:E550,F551)&gt;0,"",F551)</f>
        <v/>
      </c>
      <c r="F551" s="1051" t="str">
        <f t="shared" si="71"/>
        <v>Plaques de cuisson vitrocéramique 9000W, France continentale, Base Carbone</v>
      </c>
      <c r="G551" s="1055" t="str">
        <f t="shared" si="72"/>
        <v>Plaques de cuisson vitrocéramique 9000W, France continentale, Base Carbone; kgCO2e/unité, Distribution</v>
      </c>
      <c r="I551" s="2018" t="s">
        <v>4142</v>
      </c>
      <c r="J551" s="1135" t="s">
        <v>1994</v>
      </c>
      <c r="K551" s="1135" t="s">
        <v>1567</v>
      </c>
      <c r="L551" s="1135" t="s">
        <v>1571</v>
      </c>
      <c r="M551" s="2062">
        <v>0.5</v>
      </c>
      <c r="N551" s="1135" t="s">
        <v>3138</v>
      </c>
      <c r="O551" s="1135">
        <v>9.6</v>
      </c>
      <c r="P551" s="1119">
        <v>9.6</v>
      </c>
      <c r="Q551" s="1119">
        <v>0</v>
      </c>
      <c r="R551" s="1119">
        <v>0</v>
      </c>
      <c r="S551" s="1119">
        <v>0</v>
      </c>
      <c r="T551" s="1119">
        <v>0</v>
      </c>
      <c r="U551" s="2065">
        <v>0</v>
      </c>
    </row>
    <row r="552" spans="2:21" hidden="1" outlineLevel="2">
      <c r="B552" s="1135"/>
      <c r="C552" s="1045"/>
      <c r="D552" s="1051">
        <f t="shared" si="70"/>
        <v>29</v>
      </c>
      <c r="E552" s="1051" t="str">
        <f>IF(COUNTIF(E$411:E551,F552)&gt;0,"",F552)</f>
        <v>Radiateur électrique 1000W à inertie, France continentale, Base Carbone</v>
      </c>
      <c r="F552" s="1051" t="str">
        <f t="shared" si="71"/>
        <v>Radiateur électrique 1000W à inertie, France continentale, Base Carbone</v>
      </c>
      <c r="G552" s="1055" t="str">
        <f t="shared" si="72"/>
        <v>Radiateur électrique 1000W à inertie, France continentale, Base Carbone; kgCO2e/unité, Matières premières</v>
      </c>
      <c r="I552" s="2018" t="s">
        <v>4143</v>
      </c>
      <c r="J552" s="1135" t="s">
        <v>1994</v>
      </c>
      <c r="K552" s="1135" t="s">
        <v>1567</v>
      </c>
      <c r="L552" s="1135" t="s">
        <v>1571</v>
      </c>
      <c r="M552" s="2062">
        <v>0.5</v>
      </c>
      <c r="N552" s="1135" t="s">
        <v>3135</v>
      </c>
      <c r="O552" s="1135">
        <v>68.2</v>
      </c>
      <c r="P552" s="1119">
        <v>68.2</v>
      </c>
      <c r="Q552" s="1119">
        <v>0</v>
      </c>
      <c r="R552" s="1119">
        <v>0</v>
      </c>
      <c r="S552" s="1119">
        <v>0</v>
      </c>
      <c r="T552" s="1119">
        <v>0</v>
      </c>
      <c r="U552" s="2065">
        <v>0</v>
      </c>
    </row>
    <row r="553" spans="2:21" hidden="1" outlineLevel="2">
      <c r="B553" s="1135"/>
      <c r="C553" s="1045"/>
      <c r="D553" s="1051">
        <f t="shared" si="70"/>
        <v>29</v>
      </c>
      <c r="E553" s="1051" t="str">
        <f>IF(COUNTIF(E$411:E552,F553)&gt;0,"",F553)</f>
        <v/>
      </c>
      <c r="F553" s="1051" t="str">
        <f t="shared" si="71"/>
        <v>Radiateur électrique 1000W à inertie, France continentale, Base Carbone</v>
      </c>
      <c r="G553" s="1055" t="str">
        <f t="shared" si="72"/>
        <v>Radiateur électrique 1000W à inertie, France continentale, Base Carbone; kgCO2e/unité, Approvisionnement</v>
      </c>
      <c r="I553" s="2018" t="s">
        <v>4143</v>
      </c>
      <c r="J553" s="1135" t="s">
        <v>1994</v>
      </c>
      <c r="K553" s="1135" t="s">
        <v>1567</v>
      </c>
      <c r="L553" s="1135" t="s">
        <v>1571</v>
      </c>
      <c r="M553" s="2062">
        <v>0.5</v>
      </c>
      <c r="N553" s="1135" t="s">
        <v>3136</v>
      </c>
      <c r="O553" s="1135">
        <v>2.66</v>
      </c>
      <c r="P553" s="1119">
        <v>2.66</v>
      </c>
      <c r="Q553" s="1119">
        <v>0</v>
      </c>
      <c r="R553" s="1119">
        <v>0</v>
      </c>
      <c r="S553" s="1119">
        <v>0</v>
      </c>
      <c r="T553" s="1119">
        <v>0</v>
      </c>
      <c r="U553" s="2065">
        <v>0</v>
      </c>
    </row>
    <row r="554" spans="2:21" hidden="1" outlineLevel="2">
      <c r="B554" s="1135"/>
      <c r="C554" s="1045"/>
      <c r="D554" s="1051">
        <f t="shared" si="70"/>
        <v>29</v>
      </c>
      <c r="E554" s="1051" t="str">
        <f>IF(COUNTIF(E$411:E553,F554)&gt;0,"",F554)</f>
        <v/>
      </c>
      <c r="F554" s="1051" t="str">
        <f t="shared" si="71"/>
        <v>Radiateur électrique 1000W à inertie, France continentale, Base Carbone</v>
      </c>
      <c r="G554" s="1055" t="str">
        <f t="shared" si="72"/>
        <v>Radiateur électrique 1000W à inertie, France continentale, Base Carbone; kgCO2e/unité, Mise en forme</v>
      </c>
      <c r="I554" s="2018" t="s">
        <v>4143</v>
      </c>
      <c r="J554" s="1135" t="s">
        <v>1994</v>
      </c>
      <c r="K554" s="1135" t="s">
        <v>1567</v>
      </c>
      <c r="L554" s="1135" t="s">
        <v>1571</v>
      </c>
      <c r="M554" s="2062">
        <v>0.5</v>
      </c>
      <c r="N554" s="1135" t="s">
        <v>3141</v>
      </c>
      <c r="O554" s="1135">
        <v>1.4</v>
      </c>
      <c r="P554" s="1119">
        <v>1.4</v>
      </c>
      <c r="Q554" s="1119">
        <v>0</v>
      </c>
      <c r="R554" s="1119">
        <v>0</v>
      </c>
      <c r="S554" s="1119">
        <v>0</v>
      </c>
      <c r="T554" s="1119">
        <v>0</v>
      </c>
      <c r="U554" s="2065">
        <v>0</v>
      </c>
    </row>
    <row r="555" spans="2:21" hidden="1" outlineLevel="2">
      <c r="B555" s="1135"/>
      <c r="C555" s="1045"/>
      <c r="D555" s="1051">
        <f t="shared" si="70"/>
        <v>29</v>
      </c>
      <c r="E555" s="1051" t="str">
        <f>IF(COUNTIF(E$411:E554,F555)&gt;0,"",F555)</f>
        <v/>
      </c>
      <c r="F555" s="1051" t="str">
        <f t="shared" si="71"/>
        <v>Radiateur électrique 1000W à inertie, France continentale, Base Carbone</v>
      </c>
      <c r="G555" s="1055" t="str">
        <f t="shared" si="72"/>
        <v>Radiateur électrique 1000W à inertie, France continentale, Base Carbone; kgCO2e/unité, Assemblage</v>
      </c>
      <c r="I555" s="2018" t="s">
        <v>4143</v>
      </c>
      <c r="J555" s="1135" t="s">
        <v>1994</v>
      </c>
      <c r="K555" s="1135" t="s">
        <v>1567</v>
      </c>
      <c r="L555" s="1135" t="s">
        <v>1571</v>
      </c>
      <c r="M555" s="2062">
        <v>0.5</v>
      </c>
      <c r="N555" s="1135" t="s">
        <v>3137</v>
      </c>
      <c r="O555" s="1135">
        <v>8.74</v>
      </c>
      <c r="P555" s="1119">
        <v>8.74</v>
      </c>
      <c r="Q555" s="1119">
        <v>0</v>
      </c>
      <c r="R555" s="1119">
        <v>0</v>
      </c>
      <c r="S555" s="1119">
        <v>0</v>
      </c>
      <c r="T555" s="1119">
        <v>0</v>
      </c>
      <c r="U555" s="2065">
        <v>-0.73499999999999999</v>
      </c>
    </row>
    <row r="556" spans="2:21" hidden="1" outlineLevel="2">
      <c r="B556" s="1135"/>
      <c r="C556" s="1045"/>
      <c r="D556" s="1051">
        <f t="shared" si="70"/>
        <v>29</v>
      </c>
      <c r="E556" s="1051" t="str">
        <f>IF(COUNTIF(E$411:E555,F556)&gt;0,"",F556)</f>
        <v/>
      </c>
      <c r="F556" s="1051" t="str">
        <f t="shared" si="71"/>
        <v>Radiateur électrique 1000W à inertie, France continentale, Base Carbone</v>
      </c>
      <c r="G556" s="1055" t="str">
        <f t="shared" si="72"/>
        <v>Radiateur électrique 1000W à inertie, France continentale, Base Carbone; kgCO2e/unité, Distribution</v>
      </c>
      <c r="I556" s="2018" t="s">
        <v>4143</v>
      </c>
      <c r="J556" s="1135" t="s">
        <v>1994</v>
      </c>
      <c r="K556" s="1135" t="s">
        <v>1567</v>
      </c>
      <c r="L556" s="1135" t="s">
        <v>1571</v>
      </c>
      <c r="M556" s="2062">
        <v>0.5</v>
      </c>
      <c r="N556" s="1135" t="s">
        <v>3138</v>
      </c>
      <c r="O556" s="1135">
        <v>13.2</v>
      </c>
      <c r="P556" s="1119">
        <v>13.2</v>
      </c>
      <c r="Q556" s="1119">
        <v>0</v>
      </c>
      <c r="R556" s="1119">
        <v>0</v>
      </c>
      <c r="S556" s="1119">
        <v>0</v>
      </c>
      <c r="T556" s="1119">
        <v>0</v>
      </c>
      <c r="U556" s="2065">
        <v>0</v>
      </c>
    </row>
    <row r="557" spans="2:21" hidden="1" outlineLevel="2">
      <c r="B557" s="1135"/>
      <c r="C557" s="1045"/>
      <c r="D557" s="1051">
        <f t="shared" si="70"/>
        <v>30</v>
      </c>
      <c r="E557" s="1051" t="str">
        <f>IF(COUNTIF(E$411:E556,F557)&gt;0,"",F557)</f>
        <v>Radiateur électrique 1000W à rayonnement, France continentale, Base Carbone</v>
      </c>
      <c r="F557" s="1051" t="str">
        <f t="shared" si="71"/>
        <v>Radiateur électrique 1000W à rayonnement, France continentale, Base Carbone</v>
      </c>
      <c r="G557" s="1055" t="str">
        <f t="shared" si="72"/>
        <v>Radiateur électrique 1000W à rayonnement, France continentale, Base Carbone; kgCO2e/unité, Matières premières</v>
      </c>
      <c r="I557" s="2018" t="s">
        <v>4144</v>
      </c>
      <c r="J557" s="1135" t="s">
        <v>1994</v>
      </c>
      <c r="K557" s="1135" t="s">
        <v>1567</v>
      </c>
      <c r="L557" s="1135" t="s">
        <v>1571</v>
      </c>
      <c r="M557" s="2062">
        <v>0.5</v>
      </c>
      <c r="N557" s="1135" t="s">
        <v>3135</v>
      </c>
      <c r="O557" s="1135">
        <v>22.5</v>
      </c>
      <c r="P557" s="1119">
        <v>22.5</v>
      </c>
      <c r="Q557" s="1119">
        <v>0</v>
      </c>
      <c r="R557" s="1119">
        <v>0</v>
      </c>
      <c r="S557" s="1119">
        <v>0</v>
      </c>
      <c r="T557" s="1119">
        <v>0</v>
      </c>
      <c r="U557" s="2065">
        <v>0</v>
      </c>
    </row>
    <row r="558" spans="2:21" hidden="1" outlineLevel="2">
      <c r="B558" s="1135"/>
      <c r="C558" s="1045"/>
      <c r="D558" s="1051">
        <f t="shared" si="70"/>
        <v>30</v>
      </c>
      <c r="E558" s="1051" t="str">
        <f>IF(COUNTIF(E$411:E557,F558)&gt;0,"",F558)</f>
        <v/>
      </c>
      <c r="F558" s="1051" t="str">
        <f t="shared" si="71"/>
        <v>Radiateur électrique 1000W à rayonnement, France continentale, Base Carbone</v>
      </c>
      <c r="G558" s="1055" t="str">
        <f t="shared" si="72"/>
        <v>Radiateur électrique 1000W à rayonnement, France continentale, Base Carbone; kgCO2e/unité, Approvisionnement</v>
      </c>
      <c r="I558" s="2018" t="s">
        <v>4144</v>
      </c>
      <c r="J558" s="1135" t="s">
        <v>1994</v>
      </c>
      <c r="K558" s="1135" t="s">
        <v>1567</v>
      </c>
      <c r="L558" s="1135" t="s">
        <v>1571</v>
      </c>
      <c r="M558" s="2062">
        <v>0.5</v>
      </c>
      <c r="N558" s="1135" t="s">
        <v>3136</v>
      </c>
      <c r="O558" s="1135">
        <v>0.95099999999999996</v>
      </c>
      <c r="P558" s="1119">
        <v>0.95099999999999996</v>
      </c>
      <c r="Q558" s="1119">
        <v>0</v>
      </c>
      <c r="R558" s="1119">
        <v>0</v>
      </c>
      <c r="S558" s="1119">
        <v>0</v>
      </c>
      <c r="T558" s="1119">
        <v>0</v>
      </c>
      <c r="U558" s="2065">
        <v>0</v>
      </c>
    </row>
    <row r="559" spans="2:21" hidden="1" outlineLevel="2">
      <c r="B559" s="1135"/>
      <c r="C559" s="1045"/>
      <c r="D559" s="1051">
        <f t="shared" si="70"/>
        <v>30</v>
      </c>
      <c r="E559" s="1051" t="str">
        <f>IF(COUNTIF(E$411:E558,F559)&gt;0,"",F559)</f>
        <v/>
      </c>
      <c r="F559" s="1051" t="str">
        <f t="shared" si="71"/>
        <v>Radiateur électrique 1000W à rayonnement, France continentale, Base Carbone</v>
      </c>
      <c r="G559" s="1055" t="str">
        <f t="shared" si="72"/>
        <v>Radiateur électrique 1000W à rayonnement, France continentale, Base Carbone; kgCO2e/unité, Mise en forme</v>
      </c>
      <c r="I559" s="2018" t="s">
        <v>4144</v>
      </c>
      <c r="J559" s="1135" t="s">
        <v>1994</v>
      </c>
      <c r="K559" s="1135" t="s">
        <v>1567</v>
      </c>
      <c r="L559" s="1135" t="s">
        <v>1571</v>
      </c>
      <c r="M559" s="2062">
        <v>0.5</v>
      </c>
      <c r="N559" s="1135" t="s">
        <v>3141</v>
      </c>
      <c r="O559" s="1135">
        <v>1.02</v>
      </c>
      <c r="P559" s="1119">
        <v>1.02</v>
      </c>
      <c r="Q559" s="1119">
        <v>0</v>
      </c>
      <c r="R559" s="1119">
        <v>0</v>
      </c>
      <c r="S559" s="1119">
        <v>0</v>
      </c>
      <c r="T559" s="1119">
        <v>0</v>
      </c>
      <c r="U559" s="2065">
        <v>0</v>
      </c>
    </row>
    <row r="560" spans="2:21" hidden="1" outlineLevel="2">
      <c r="B560" s="1135"/>
      <c r="C560" s="1045"/>
      <c r="D560" s="1051">
        <f t="shared" si="70"/>
        <v>30</v>
      </c>
      <c r="E560" s="1051" t="str">
        <f>IF(COUNTIF(E$411:E559,F560)&gt;0,"",F560)</f>
        <v/>
      </c>
      <c r="F560" s="1051" t="str">
        <f t="shared" si="71"/>
        <v>Radiateur électrique 1000W à rayonnement, France continentale, Base Carbone</v>
      </c>
      <c r="G560" s="1055" t="str">
        <f t="shared" si="72"/>
        <v>Radiateur électrique 1000W à rayonnement, France continentale, Base Carbone; kgCO2e/unité, Assemblage</v>
      </c>
      <c r="I560" s="2018" t="s">
        <v>4144</v>
      </c>
      <c r="J560" s="1135" t="s">
        <v>1994</v>
      </c>
      <c r="K560" s="1135" t="s">
        <v>1567</v>
      </c>
      <c r="L560" s="1135" t="s">
        <v>1571</v>
      </c>
      <c r="M560" s="2062">
        <v>0.5</v>
      </c>
      <c r="N560" s="1135" t="s">
        <v>3137</v>
      </c>
      <c r="O560" s="1135">
        <v>8.4600000000000009</v>
      </c>
      <c r="P560" s="1119">
        <v>8.4600000000000009</v>
      </c>
      <c r="Q560" s="1119">
        <v>0</v>
      </c>
      <c r="R560" s="1119">
        <v>0</v>
      </c>
      <c r="S560" s="1119">
        <v>0</v>
      </c>
      <c r="T560" s="1119">
        <v>0</v>
      </c>
      <c r="U560" s="2065">
        <v>-0.23499999999999999</v>
      </c>
    </row>
    <row r="561" spans="2:21" hidden="1" outlineLevel="2">
      <c r="B561" s="1135"/>
      <c r="C561" s="1045"/>
      <c r="D561" s="1051">
        <f t="shared" si="70"/>
        <v>30</v>
      </c>
      <c r="E561" s="1051" t="str">
        <f>IF(COUNTIF(E$411:E560,F561)&gt;0,"",F561)</f>
        <v/>
      </c>
      <c r="F561" s="1051" t="str">
        <f t="shared" si="71"/>
        <v>Radiateur électrique 1000W à rayonnement, France continentale, Base Carbone</v>
      </c>
      <c r="G561" s="1055" t="str">
        <f t="shared" si="72"/>
        <v>Radiateur électrique 1000W à rayonnement, France continentale, Base Carbone; kgCO2e/unité, Distribution</v>
      </c>
      <c r="I561" s="2018" t="s">
        <v>4144</v>
      </c>
      <c r="J561" s="1135" t="s">
        <v>1994</v>
      </c>
      <c r="K561" s="1135" t="s">
        <v>1567</v>
      </c>
      <c r="L561" s="1135" t="s">
        <v>1571</v>
      </c>
      <c r="M561" s="2062">
        <v>0.5</v>
      </c>
      <c r="N561" s="1135" t="s">
        <v>3138</v>
      </c>
      <c r="O561" s="1135">
        <v>4.6399999999999997</v>
      </c>
      <c r="P561" s="1119">
        <v>4.6399999999999997</v>
      </c>
      <c r="Q561" s="1119">
        <v>0</v>
      </c>
      <c r="R561" s="1119">
        <v>0</v>
      </c>
      <c r="S561" s="1119">
        <v>0</v>
      </c>
      <c r="T561" s="1119">
        <v>0</v>
      </c>
      <c r="U561" s="2065">
        <v>0</v>
      </c>
    </row>
    <row r="562" spans="2:21" hidden="1" outlineLevel="2">
      <c r="B562" s="1135"/>
      <c r="C562" s="1045"/>
      <c r="D562" s="1051">
        <f t="shared" si="70"/>
        <v>31</v>
      </c>
      <c r="E562" s="1051" t="str">
        <f>IF(COUNTIF(E$411:E561,F562)&gt;0,"",F562)</f>
        <v>Réfrigérateur combiné , France continentale, Base Carbone</v>
      </c>
      <c r="F562" s="1051" t="str">
        <f t="shared" si="71"/>
        <v>Réfrigérateur combiné , France continentale, Base Carbone</v>
      </c>
      <c r="G562" s="1055" t="str">
        <f t="shared" si="72"/>
        <v>Réfrigérateur combiné , France continentale, Base Carbone; kgCO2e/unité, Matières premières</v>
      </c>
      <c r="I562" s="2018" t="s">
        <v>3156</v>
      </c>
      <c r="J562" s="1135" t="s">
        <v>1994</v>
      </c>
      <c r="K562" s="1135" t="s">
        <v>1567</v>
      </c>
      <c r="L562" s="1135" t="s">
        <v>1571</v>
      </c>
      <c r="M562" s="2062">
        <v>0.3</v>
      </c>
      <c r="N562" s="1135" t="s">
        <v>3135</v>
      </c>
      <c r="O562" s="1135">
        <v>133</v>
      </c>
      <c r="P562" s="2017">
        <v>133</v>
      </c>
      <c r="Q562" s="2017">
        <v>0</v>
      </c>
      <c r="R562" s="2017">
        <v>0</v>
      </c>
      <c r="S562" s="2017">
        <v>0</v>
      </c>
      <c r="T562" s="2017">
        <v>0</v>
      </c>
      <c r="U562" s="2042">
        <v>0</v>
      </c>
    </row>
    <row r="563" spans="2:21" hidden="1" outlineLevel="2">
      <c r="B563" s="1135"/>
      <c r="C563" s="1045"/>
      <c r="D563" s="1051">
        <f t="shared" si="70"/>
        <v>31</v>
      </c>
      <c r="E563" s="1051" t="str">
        <f>IF(COUNTIF(E$411:E562,F563)&gt;0,"",F563)</f>
        <v/>
      </c>
      <c r="F563" s="1051" t="str">
        <f t="shared" si="71"/>
        <v>Réfrigérateur combiné , France continentale, Base Carbone</v>
      </c>
      <c r="G563" s="1055" t="str">
        <f t="shared" si="72"/>
        <v>Réfrigérateur combiné , France continentale, Base Carbone; kgCO2e/unité, Approvisionnement</v>
      </c>
      <c r="I563" s="2018" t="s">
        <v>3156</v>
      </c>
      <c r="J563" s="1135" t="s">
        <v>1994</v>
      </c>
      <c r="K563" s="1135" t="s">
        <v>1567</v>
      </c>
      <c r="L563" s="1135" t="s">
        <v>1571</v>
      </c>
      <c r="M563" s="2062">
        <v>0.3</v>
      </c>
      <c r="N563" s="1135" t="s">
        <v>3136</v>
      </c>
      <c r="O563" s="1135">
        <v>13.5</v>
      </c>
      <c r="P563" s="2017">
        <v>13.5</v>
      </c>
      <c r="Q563" s="2017">
        <v>0</v>
      </c>
      <c r="R563" s="2017">
        <v>0</v>
      </c>
      <c r="S563" s="2017">
        <v>0</v>
      </c>
      <c r="T563" s="2017">
        <v>0</v>
      </c>
      <c r="U563" s="2042">
        <v>0</v>
      </c>
    </row>
    <row r="564" spans="2:21" hidden="1" outlineLevel="2">
      <c r="B564" s="1135"/>
      <c r="C564" s="1045"/>
      <c r="D564" s="1051">
        <f t="shared" si="70"/>
        <v>31</v>
      </c>
      <c r="E564" s="1051" t="str">
        <f>IF(COUNTIF(E$411:E563,F564)&gt;0,"",F564)</f>
        <v/>
      </c>
      <c r="F564" s="1051" t="str">
        <f t="shared" si="71"/>
        <v>Réfrigérateur combiné , France continentale, Base Carbone</v>
      </c>
      <c r="G564" s="1055" t="str">
        <f t="shared" si="72"/>
        <v>Réfrigérateur combiné , France continentale, Base Carbone; kgCO2e/unité, Mise en forme</v>
      </c>
      <c r="I564" s="2018" t="s">
        <v>3156</v>
      </c>
      <c r="J564" s="1135" t="s">
        <v>1994</v>
      </c>
      <c r="K564" s="1135" t="s">
        <v>1567</v>
      </c>
      <c r="L564" s="1135" t="s">
        <v>1571</v>
      </c>
      <c r="M564" s="2062">
        <v>0.3</v>
      </c>
      <c r="N564" s="1135" t="s">
        <v>3141</v>
      </c>
      <c r="O564" s="1135">
        <v>28</v>
      </c>
      <c r="P564" s="2017">
        <v>28</v>
      </c>
      <c r="Q564" s="2017">
        <v>0</v>
      </c>
      <c r="R564" s="2017">
        <v>0</v>
      </c>
      <c r="S564" s="2017">
        <v>0</v>
      </c>
      <c r="T564" s="2017">
        <v>0</v>
      </c>
      <c r="U564" s="2042">
        <v>0</v>
      </c>
    </row>
    <row r="565" spans="2:21" hidden="1" outlineLevel="2">
      <c r="B565" s="1135"/>
      <c r="C565" s="1045"/>
      <c r="D565" s="1051">
        <f t="shared" si="70"/>
        <v>31</v>
      </c>
      <c r="E565" s="1051" t="str">
        <f>IF(COUNTIF(E$411:E564,F565)&gt;0,"",F565)</f>
        <v/>
      </c>
      <c r="F565" s="1051" t="str">
        <f t="shared" si="71"/>
        <v>Réfrigérateur combiné , France continentale, Base Carbone</v>
      </c>
      <c r="G565" s="1055" t="str">
        <f t="shared" si="72"/>
        <v>Réfrigérateur combiné , France continentale, Base Carbone; kgCO2e/unité, Assemblage</v>
      </c>
      <c r="I565" s="2018" t="s">
        <v>3156</v>
      </c>
      <c r="J565" s="1135" t="s">
        <v>1994</v>
      </c>
      <c r="K565" s="1135" t="s">
        <v>1567</v>
      </c>
      <c r="L565" s="1135" t="s">
        <v>1571</v>
      </c>
      <c r="M565" s="2062">
        <v>0.3</v>
      </c>
      <c r="N565" s="1135" t="s">
        <v>3137</v>
      </c>
      <c r="O565" s="1135">
        <v>22</v>
      </c>
      <c r="P565" s="2017">
        <v>22</v>
      </c>
      <c r="Q565" s="2017">
        <v>0</v>
      </c>
      <c r="R565" s="2017">
        <v>0</v>
      </c>
      <c r="S565" s="2017">
        <v>0</v>
      </c>
      <c r="T565" s="2017">
        <v>0</v>
      </c>
      <c r="U565" s="2042">
        <v>0</v>
      </c>
    </row>
    <row r="566" spans="2:21" hidden="1" outlineLevel="2">
      <c r="B566" s="1135"/>
      <c r="C566" s="1045"/>
      <c r="D566" s="1051">
        <f t="shared" si="70"/>
        <v>31</v>
      </c>
      <c r="E566" s="1051" t="str">
        <f>IF(COUNTIF(E$411:E565,F566)&gt;0,"",F566)</f>
        <v/>
      </c>
      <c r="F566" s="1051" t="str">
        <f t="shared" si="71"/>
        <v>Réfrigérateur combiné , France continentale, Base Carbone</v>
      </c>
      <c r="G566" s="1055" t="str">
        <f t="shared" si="72"/>
        <v>Réfrigérateur combiné , France continentale, Base Carbone; kgCO2e/unité, Distribution</v>
      </c>
      <c r="I566" s="2018" t="s">
        <v>3156</v>
      </c>
      <c r="J566" s="1135" t="s">
        <v>1994</v>
      </c>
      <c r="K566" s="1135" t="s">
        <v>1567</v>
      </c>
      <c r="L566" s="1135" t="s">
        <v>1571</v>
      </c>
      <c r="M566" s="2062">
        <v>0.3</v>
      </c>
      <c r="N566" s="1135" t="s">
        <v>3138</v>
      </c>
      <c r="O566" s="1135">
        <v>60.8</v>
      </c>
      <c r="P566" s="2017">
        <v>60.8</v>
      </c>
      <c r="Q566" s="2017">
        <v>0</v>
      </c>
      <c r="R566" s="2017">
        <v>0</v>
      </c>
      <c r="S566" s="2017">
        <v>0</v>
      </c>
      <c r="T566" s="2017">
        <v>0</v>
      </c>
      <c r="U566" s="2042">
        <v>0</v>
      </c>
    </row>
    <row r="567" spans="2:21" hidden="1" outlineLevel="2">
      <c r="B567" s="1135"/>
      <c r="C567" s="1045"/>
      <c r="D567" s="1051">
        <f t="shared" si="70"/>
        <v>32</v>
      </c>
      <c r="E567" s="1051" t="str">
        <f>IF(COUNTIF(E$411:E566,F567)&gt;0,"",F567)</f>
        <v>Réfrigérateur mini-bar 33l, France continentale, Base Carbone</v>
      </c>
      <c r="F567" s="1051" t="str">
        <f t="shared" si="71"/>
        <v>Réfrigérateur mini-bar 33l, France continentale, Base Carbone</v>
      </c>
      <c r="G567" s="1055" t="str">
        <f t="shared" si="72"/>
        <v>Réfrigérateur mini-bar 33l, France continentale, Base Carbone; kgCO2e/unité, Matières premières</v>
      </c>
      <c r="I567" s="2018" t="s">
        <v>3157</v>
      </c>
      <c r="J567" s="1135" t="s">
        <v>1994</v>
      </c>
      <c r="K567" s="1135" t="s">
        <v>1567</v>
      </c>
      <c r="L567" s="1135" t="s">
        <v>1571</v>
      </c>
      <c r="M567" s="2062">
        <v>0.3</v>
      </c>
      <c r="N567" s="1135" t="s">
        <v>3135</v>
      </c>
      <c r="O567" s="1135">
        <v>45.1</v>
      </c>
      <c r="P567" s="2017">
        <v>45.1</v>
      </c>
      <c r="Q567" s="2017">
        <v>0</v>
      </c>
      <c r="R567" s="2017">
        <v>0</v>
      </c>
      <c r="S567" s="2017">
        <v>0</v>
      </c>
      <c r="T567" s="2017">
        <v>0</v>
      </c>
      <c r="U567" s="2042">
        <v>0</v>
      </c>
    </row>
    <row r="568" spans="2:21" hidden="1" outlineLevel="2">
      <c r="B568" s="1135"/>
      <c r="C568" s="1045"/>
      <c r="D568" s="1051">
        <f t="shared" si="70"/>
        <v>32</v>
      </c>
      <c r="E568" s="1051" t="str">
        <f>IF(COUNTIF(E$411:E567,F568)&gt;0,"",F568)</f>
        <v/>
      </c>
      <c r="F568" s="1051" t="str">
        <f t="shared" si="71"/>
        <v>Réfrigérateur mini-bar 33l, France continentale, Base Carbone</v>
      </c>
      <c r="G568" s="1055" t="str">
        <f t="shared" si="72"/>
        <v>Réfrigérateur mini-bar 33l, France continentale, Base Carbone; kgCO2e/unité, Approvisionnement</v>
      </c>
      <c r="I568" s="2018" t="s">
        <v>3157</v>
      </c>
      <c r="J568" s="1135" t="s">
        <v>1994</v>
      </c>
      <c r="K568" s="1135" t="s">
        <v>1567</v>
      </c>
      <c r="L568" s="1135" t="s">
        <v>1571</v>
      </c>
      <c r="M568" s="2062">
        <v>0.3</v>
      </c>
      <c r="N568" s="1135" t="s">
        <v>3136</v>
      </c>
      <c r="O568" s="1135">
        <v>5.45</v>
      </c>
      <c r="P568" s="2017">
        <v>5.45</v>
      </c>
      <c r="Q568" s="2017">
        <v>0</v>
      </c>
      <c r="R568" s="2017">
        <v>0</v>
      </c>
      <c r="S568" s="2017">
        <v>0</v>
      </c>
      <c r="T568" s="2017">
        <v>0</v>
      </c>
      <c r="U568" s="2042">
        <v>0</v>
      </c>
    </row>
    <row r="569" spans="2:21" hidden="1" outlineLevel="2">
      <c r="B569" s="1135"/>
      <c r="C569" s="1045"/>
      <c r="D569" s="1051">
        <f t="shared" si="70"/>
        <v>32</v>
      </c>
      <c r="E569" s="1051" t="str">
        <f>IF(COUNTIF(E$411:E568,F569)&gt;0,"",F569)</f>
        <v/>
      </c>
      <c r="F569" s="1051" t="str">
        <f t="shared" si="71"/>
        <v>Réfrigérateur mini-bar 33l, France continentale, Base Carbone</v>
      </c>
      <c r="G569" s="1055" t="str">
        <f t="shared" si="72"/>
        <v>Réfrigérateur mini-bar 33l, France continentale, Base Carbone; kgCO2e/unité, Mise en forme</v>
      </c>
      <c r="I569" s="2018" t="s">
        <v>3157</v>
      </c>
      <c r="J569" s="1135" t="s">
        <v>1994</v>
      </c>
      <c r="K569" s="1135" t="s">
        <v>1567</v>
      </c>
      <c r="L569" s="1135" t="s">
        <v>1571</v>
      </c>
      <c r="M569" s="2062">
        <v>0.3</v>
      </c>
      <c r="N569" s="1135" t="s">
        <v>3141</v>
      </c>
      <c r="O569" s="1135">
        <v>10.5</v>
      </c>
      <c r="P569" s="2017">
        <v>10.5</v>
      </c>
      <c r="Q569" s="2017">
        <v>0</v>
      </c>
      <c r="R569" s="2017">
        <v>0</v>
      </c>
      <c r="S569" s="2017">
        <v>0</v>
      </c>
      <c r="T569" s="2017">
        <v>0</v>
      </c>
      <c r="U569" s="2042">
        <v>0</v>
      </c>
    </row>
    <row r="570" spans="2:21" hidden="1" outlineLevel="2">
      <c r="B570" s="1135"/>
      <c r="C570" s="1045"/>
      <c r="D570" s="1051">
        <f t="shared" si="70"/>
        <v>32</v>
      </c>
      <c r="E570" s="1051" t="str">
        <f>IF(COUNTIF(E$411:E569,F570)&gt;0,"",F570)</f>
        <v/>
      </c>
      <c r="F570" s="1051" t="str">
        <f t="shared" si="71"/>
        <v>Réfrigérateur mini-bar 33l, France continentale, Base Carbone</v>
      </c>
      <c r="G570" s="1055" t="str">
        <f t="shared" si="72"/>
        <v>Réfrigérateur mini-bar 33l, France continentale, Base Carbone; kgCO2e/unité, Assemblage</v>
      </c>
      <c r="I570" s="2018" t="s">
        <v>3157</v>
      </c>
      <c r="J570" s="1135" t="s">
        <v>1994</v>
      </c>
      <c r="K570" s="1135" t="s">
        <v>1567</v>
      </c>
      <c r="L570" s="1135" t="s">
        <v>1571</v>
      </c>
      <c r="M570" s="2062">
        <v>0.3</v>
      </c>
      <c r="N570" s="1135" t="s">
        <v>3137</v>
      </c>
      <c r="O570" s="1135">
        <v>8.1999999999999993</v>
      </c>
      <c r="P570" s="2017">
        <v>8.1999999999999993</v>
      </c>
      <c r="Q570" s="2017">
        <v>0</v>
      </c>
      <c r="R570" s="2017">
        <v>0</v>
      </c>
      <c r="S570" s="2017">
        <v>0</v>
      </c>
      <c r="T570" s="2017">
        <v>0</v>
      </c>
      <c r="U570" s="2042">
        <v>0</v>
      </c>
    </row>
    <row r="571" spans="2:21" hidden="1" outlineLevel="2">
      <c r="B571" s="1135"/>
      <c r="C571" s="1045"/>
      <c r="D571" s="1051">
        <f t="shared" si="70"/>
        <v>32</v>
      </c>
      <c r="E571" s="1051" t="str">
        <f>IF(COUNTIF(E$411:E570,F571)&gt;0,"",F571)</f>
        <v/>
      </c>
      <c r="F571" s="1051" t="str">
        <f t="shared" si="71"/>
        <v>Réfrigérateur mini-bar 33l, France continentale, Base Carbone</v>
      </c>
      <c r="G571" s="1055" t="str">
        <f t="shared" si="72"/>
        <v>Réfrigérateur mini-bar 33l, France continentale, Base Carbone; kgCO2e/unité, Distribution</v>
      </c>
      <c r="I571" s="2018" t="s">
        <v>3157</v>
      </c>
      <c r="J571" s="1135" t="s">
        <v>1994</v>
      </c>
      <c r="K571" s="1135" t="s">
        <v>1567</v>
      </c>
      <c r="L571" s="1135" t="s">
        <v>1571</v>
      </c>
      <c r="M571" s="2062">
        <v>0.3</v>
      </c>
      <c r="N571" s="1135" t="s">
        <v>3138</v>
      </c>
      <c r="O571" s="1135">
        <v>18.399999999999999</v>
      </c>
      <c r="P571" s="2017">
        <v>18.399999999999999</v>
      </c>
      <c r="Q571" s="2017">
        <v>0</v>
      </c>
      <c r="R571" s="2017">
        <v>0</v>
      </c>
      <c r="S571" s="2017">
        <v>0</v>
      </c>
      <c r="T571" s="2017">
        <v>0</v>
      </c>
      <c r="U571" s="2042">
        <v>0</v>
      </c>
    </row>
    <row r="572" spans="2:21" hidden="1" outlineLevel="2">
      <c r="B572" s="1135"/>
      <c r="C572" s="1045"/>
      <c r="D572" s="1051">
        <f t="shared" si="70"/>
        <v>33</v>
      </c>
      <c r="E572" s="1051" t="str">
        <f>IF(COUNTIF(E$411:E571,F572)&gt;0,"",F572)</f>
        <v>Réfrigérateur 1 grande porte 250l, France continentale, Base Carbone</v>
      </c>
      <c r="F572" s="1051" t="str">
        <f t="shared" si="71"/>
        <v>Réfrigérateur 1 grande porte 250l, France continentale, Base Carbone</v>
      </c>
      <c r="G572" s="1055" t="str">
        <f t="shared" si="72"/>
        <v>Réfrigérateur 1 grande porte 250l, France continentale, Base Carbone; kgCO2e/unité, Matières premières</v>
      </c>
      <c r="I572" s="2018" t="s">
        <v>3158</v>
      </c>
      <c r="J572" s="1135" t="s">
        <v>1994</v>
      </c>
      <c r="K572" s="1135" t="s">
        <v>1567</v>
      </c>
      <c r="L572" s="1135" t="s">
        <v>1571</v>
      </c>
      <c r="M572" s="2062">
        <v>0.3</v>
      </c>
      <c r="N572" s="1135" t="s">
        <v>3135</v>
      </c>
      <c r="O572" s="1135">
        <v>154</v>
      </c>
      <c r="P572" s="2017">
        <v>154</v>
      </c>
      <c r="Q572" s="2017">
        <v>0</v>
      </c>
      <c r="R572" s="2017">
        <v>0</v>
      </c>
      <c r="S572" s="2017">
        <v>0</v>
      </c>
      <c r="T572" s="2017">
        <v>0</v>
      </c>
      <c r="U572" s="2042">
        <v>0</v>
      </c>
    </row>
    <row r="573" spans="2:21" hidden="1" outlineLevel="2">
      <c r="B573" s="1135"/>
      <c r="C573" s="1045"/>
      <c r="D573" s="1051">
        <f t="shared" si="70"/>
        <v>33</v>
      </c>
      <c r="E573" s="1051" t="str">
        <f>IF(COUNTIF(E$411:E572,F573)&gt;0,"",F573)</f>
        <v/>
      </c>
      <c r="F573" s="1051" t="str">
        <f t="shared" si="71"/>
        <v>Réfrigérateur 1 grande porte 250l, France continentale, Base Carbone</v>
      </c>
      <c r="G573" s="1055" t="str">
        <f t="shared" si="72"/>
        <v>Réfrigérateur 1 grande porte 250l, France continentale, Base Carbone; kgCO2e/unité, Approvisionnement</v>
      </c>
      <c r="I573" s="2018" t="s">
        <v>3158</v>
      </c>
      <c r="J573" s="1135" t="s">
        <v>1994</v>
      </c>
      <c r="K573" s="1135" t="s">
        <v>1567</v>
      </c>
      <c r="L573" s="1135" t="s">
        <v>1571</v>
      </c>
      <c r="M573" s="2062">
        <v>0.3</v>
      </c>
      <c r="N573" s="1135" t="s">
        <v>3136</v>
      </c>
      <c r="O573" s="1135">
        <v>18.600000000000001</v>
      </c>
      <c r="P573" s="2017">
        <v>18.600000000000001</v>
      </c>
      <c r="Q573" s="2017">
        <v>0</v>
      </c>
      <c r="R573" s="2017">
        <v>0</v>
      </c>
      <c r="S573" s="2017">
        <v>0</v>
      </c>
      <c r="T573" s="2017">
        <v>0</v>
      </c>
      <c r="U573" s="2042">
        <v>0</v>
      </c>
    </row>
    <row r="574" spans="2:21" hidden="1" outlineLevel="2">
      <c r="B574" s="1135"/>
      <c r="C574" s="1045"/>
      <c r="D574" s="1051">
        <f t="shared" si="70"/>
        <v>33</v>
      </c>
      <c r="E574" s="1051" t="str">
        <f>IF(COUNTIF(E$411:E573,F574)&gt;0,"",F574)</f>
        <v/>
      </c>
      <c r="F574" s="1051" t="str">
        <f t="shared" si="71"/>
        <v>Réfrigérateur 1 grande porte 250l, France continentale, Base Carbone</v>
      </c>
      <c r="G574" s="1055" t="str">
        <f t="shared" si="72"/>
        <v>Réfrigérateur 1 grande porte 250l, France continentale, Base Carbone; kgCO2e/unité, Mise en forme</v>
      </c>
      <c r="I574" s="2018" t="s">
        <v>3158</v>
      </c>
      <c r="J574" s="1135" t="s">
        <v>1994</v>
      </c>
      <c r="K574" s="1135" t="s">
        <v>1567</v>
      </c>
      <c r="L574" s="1135" t="s">
        <v>1571</v>
      </c>
      <c r="M574" s="2062">
        <v>0.3</v>
      </c>
      <c r="N574" s="1135" t="s">
        <v>3141</v>
      </c>
      <c r="O574" s="1135">
        <v>36</v>
      </c>
      <c r="P574" s="2017">
        <v>36</v>
      </c>
      <c r="Q574" s="2017">
        <v>0</v>
      </c>
      <c r="R574" s="2017">
        <v>0</v>
      </c>
      <c r="S574" s="2017">
        <v>0</v>
      </c>
      <c r="T574" s="2017">
        <v>0</v>
      </c>
      <c r="U574" s="2042">
        <v>0</v>
      </c>
    </row>
    <row r="575" spans="2:21" hidden="1" outlineLevel="2">
      <c r="B575" s="1135"/>
      <c r="C575" s="1045"/>
      <c r="D575" s="1051">
        <f t="shared" si="70"/>
        <v>33</v>
      </c>
      <c r="E575" s="1051" t="str">
        <f>IF(COUNTIF(E$411:E574,F575)&gt;0,"",F575)</f>
        <v/>
      </c>
      <c r="F575" s="1051" t="str">
        <f t="shared" si="71"/>
        <v>Réfrigérateur 1 grande porte 250l, France continentale, Base Carbone</v>
      </c>
      <c r="G575" s="1055" t="str">
        <f t="shared" si="72"/>
        <v>Réfrigérateur 1 grande porte 250l, France continentale, Base Carbone; kgCO2e/unité, Assemblage</v>
      </c>
      <c r="I575" s="2018" t="s">
        <v>3158</v>
      </c>
      <c r="J575" s="1135" t="s">
        <v>1994</v>
      </c>
      <c r="K575" s="1135" t="s">
        <v>1567</v>
      </c>
      <c r="L575" s="1135" t="s">
        <v>1571</v>
      </c>
      <c r="M575" s="2062">
        <v>0.3</v>
      </c>
      <c r="N575" s="1135" t="s">
        <v>3137</v>
      </c>
      <c r="O575" s="1135">
        <v>28.1</v>
      </c>
      <c r="P575" s="2017">
        <v>28.1</v>
      </c>
      <c r="Q575" s="2017">
        <v>0</v>
      </c>
      <c r="R575" s="2017">
        <v>0</v>
      </c>
      <c r="S575" s="2017">
        <v>0</v>
      </c>
      <c r="T575" s="2017">
        <v>0</v>
      </c>
      <c r="U575" s="2042">
        <v>0</v>
      </c>
    </row>
    <row r="576" spans="2:21" hidden="1" outlineLevel="2">
      <c r="B576" s="1135"/>
      <c r="C576" s="1045"/>
      <c r="D576" s="1051">
        <f t="shared" si="70"/>
        <v>33</v>
      </c>
      <c r="E576" s="1051" t="str">
        <f>IF(COUNTIF(E$411:E575,F576)&gt;0,"",F576)</f>
        <v/>
      </c>
      <c r="F576" s="1051" t="str">
        <f t="shared" si="71"/>
        <v>Réfrigérateur 1 grande porte 250l, France continentale, Base Carbone</v>
      </c>
      <c r="G576" s="1055" t="str">
        <f t="shared" si="72"/>
        <v>Réfrigérateur 1 grande porte 250l, France continentale, Base Carbone; kgCO2e/unité, Distribution</v>
      </c>
      <c r="I576" s="2018" t="s">
        <v>3158</v>
      </c>
      <c r="J576" s="1135" t="s">
        <v>1994</v>
      </c>
      <c r="K576" s="1135" t="s">
        <v>1567</v>
      </c>
      <c r="L576" s="1135" t="s">
        <v>1571</v>
      </c>
      <c r="M576" s="2062">
        <v>0.3</v>
      </c>
      <c r="N576" s="1135" t="s">
        <v>3138</v>
      </c>
      <c r="O576" s="1135">
        <v>62.8</v>
      </c>
      <c r="P576" s="2017">
        <v>62.8</v>
      </c>
      <c r="Q576" s="2017">
        <v>0</v>
      </c>
      <c r="R576" s="2017">
        <v>0</v>
      </c>
      <c r="S576" s="2017">
        <v>0</v>
      </c>
      <c r="T576" s="2017">
        <v>0</v>
      </c>
      <c r="U576" s="2042">
        <v>0</v>
      </c>
    </row>
    <row r="577" spans="2:21" hidden="1" outlineLevel="2">
      <c r="B577" s="1135"/>
      <c r="C577" s="1045"/>
      <c r="D577" s="1051">
        <f t="shared" si="70"/>
        <v>34</v>
      </c>
      <c r="E577" s="1051" t="str">
        <f>IF(COUNTIF(E$411:E576,F577)&gt;0,"",F577)</f>
        <v>Robot multifonction , France continentale, Base Carbone</v>
      </c>
      <c r="F577" s="1051" t="str">
        <f t="shared" si="71"/>
        <v>Robot multifonction , France continentale, Base Carbone</v>
      </c>
      <c r="G577" s="1055" t="str">
        <f t="shared" si="72"/>
        <v>Robot multifonction , France continentale, Base Carbone; kgCO2e/unité, Matières premières</v>
      </c>
      <c r="I577" s="2018" t="s">
        <v>3159</v>
      </c>
      <c r="J577" s="1135" t="s">
        <v>1994</v>
      </c>
      <c r="K577" s="1135" t="s">
        <v>1567</v>
      </c>
      <c r="L577" s="1135" t="s">
        <v>1571</v>
      </c>
      <c r="M577" s="2062">
        <v>0.5</v>
      </c>
      <c r="N577" s="1135" t="s">
        <v>3135</v>
      </c>
      <c r="O577" s="1135">
        <v>22.5</v>
      </c>
      <c r="P577" s="2017">
        <v>22.5</v>
      </c>
      <c r="Q577" s="2017">
        <v>0</v>
      </c>
      <c r="R577" s="2017">
        <v>0</v>
      </c>
      <c r="S577" s="2017">
        <v>0</v>
      </c>
      <c r="T577" s="2017">
        <v>0</v>
      </c>
      <c r="U577" s="2042">
        <v>0</v>
      </c>
    </row>
    <row r="578" spans="2:21" hidden="1" outlineLevel="2">
      <c r="B578" s="1135"/>
      <c r="C578" s="1045"/>
      <c r="D578" s="1051">
        <f t="shared" si="70"/>
        <v>34</v>
      </c>
      <c r="E578" s="1051" t="str">
        <f>IF(COUNTIF(E$411:E577,F578)&gt;0,"",F578)</f>
        <v/>
      </c>
      <c r="F578" s="1051" t="str">
        <f t="shared" si="71"/>
        <v>Robot multifonction , France continentale, Base Carbone</v>
      </c>
      <c r="G578" s="1055" t="str">
        <f t="shared" si="72"/>
        <v>Robot multifonction , France continentale, Base Carbone; kgCO2e/unité, Approvisionnement</v>
      </c>
      <c r="I578" s="2018" t="s">
        <v>3159</v>
      </c>
      <c r="J578" s="1135" t="s">
        <v>1994</v>
      </c>
      <c r="K578" s="1135" t="s">
        <v>1567</v>
      </c>
      <c r="L578" s="1135" t="s">
        <v>1571</v>
      </c>
      <c r="M578" s="2062">
        <v>0.5</v>
      </c>
      <c r="N578" s="1135" t="s">
        <v>3136</v>
      </c>
      <c r="O578" s="1135">
        <v>1.1599999999999999</v>
      </c>
      <c r="P578" s="2017">
        <v>1.1599999999999999</v>
      </c>
      <c r="Q578" s="2017">
        <v>0</v>
      </c>
      <c r="R578" s="2017">
        <v>0</v>
      </c>
      <c r="S578" s="2017">
        <v>0</v>
      </c>
      <c r="T578" s="2017">
        <v>0</v>
      </c>
      <c r="U578" s="2042">
        <v>0</v>
      </c>
    </row>
    <row r="579" spans="2:21" hidden="1" outlineLevel="2">
      <c r="B579" s="1135"/>
      <c r="C579" s="1045"/>
      <c r="D579" s="1051">
        <f t="shared" si="70"/>
        <v>34</v>
      </c>
      <c r="E579" s="1051" t="str">
        <f>IF(COUNTIF(E$411:E578,F579)&gt;0,"",F579)</f>
        <v/>
      </c>
      <c r="F579" s="1051" t="str">
        <f t="shared" si="71"/>
        <v>Robot multifonction , France continentale, Base Carbone</v>
      </c>
      <c r="G579" s="1055" t="str">
        <f t="shared" si="72"/>
        <v>Robot multifonction , France continentale, Base Carbone; kgCO2e/unité, Mise en forme</v>
      </c>
      <c r="I579" s="2018" t="s">
        <v>3159</v>
      </c>
      <c r="J579" s="1135" t="s">
        <v>1994</v>
      </c>
      <c r="K579" s="1135" t="s">
        <v>1567</v>
      </c>
      <c r="L579" s="1135" t="s">
        <v>1571</v>
      </c>
      <c r="M579" s="2062">
        <v>0.5</v>
      </c>
      <c r="N579" s="1135" t="s">
        <v>3141</v>
      </c>
      <c r="O579" s="1135">
        <v>4.63</v>
      </c>
      <c r="P579" s="2017">
        <v>4.63</v>
      </c>
      <c r="Q579" s="2017">
        <v>0</v>
      </c>
      <c r="R579" s="2017">
        <v>0</v>
      </c>
      <c r="S579" s="2017">
        <v>0</v>
      </c>
      <c r="T579" s="2017">
        <v>0</v>
      </c>
      <c r="U579" s="2042">
        <v>0</v>
      </c>
    </row>
    <row r="580" spans="2:21" hidden="1" outlineLevel="2">
      <c r="B580" s="1135"/>
      <c r="C580" s="1045"/>
      <c r="D580" s="1051">
        <f t="shared" si="70"/>
        <v>34</v>
      </c>
      <c r="E580" s="1051" t="str">
        <f>IF(COUNTIF(E$411:E579,F580)&gt;0,"",F580)</f>
        <v/>
      </c>
      <c r="F580" s="1051" t="str">
        <f t="shared" si="71"/>
        <v>Robot multifonction , France continentale, Base Carbone</v>
      </c>
      <c r="G580" s="1055" t="str">
        <f t="shared" si="72"/>
        <v>Robot multifonction , France continentale, Base Carbone; kgCO2e/unité, Assemblage</v>
      </c>
      <c r="I580" s="2018" t="s">
        <v>3159</v>
      </c>
      <c r="J580" s="1135" t="s">
        <v>1994</v>
      </c>
      <c r="K580" s="1135" t="s">
        <v>1567</v>
      </c>
      <c r="L580" s="1135" t="s">
        <v>1571</v>
      </c>
      <c r="M580" s="2062">
        <v>0.5</v>
      </c>
      <c r="N580" s="1135" t="s">
        <v>3137</v>
      </c>
      <c r="O580" s="1135">
        <v>8</v>
      </c>
      <c r="P580" s="2017">
        <v>8</v>
      </c>
      <c r="Q580" s="2017">
        <v>0</v>
      </c>
      <c r="R580" s="2017">
        <v>0</v>
      </c>
      <c r="S580" s="2017">
        <v>0</v>
      </c>
      <c r="T580" s="2017">
        <v>0</v>
      </c>
      <c r="U580" s="2042">
        <v>0</v>
      </c>
    </row>
    <row r="581" spans="2:21" hidden="1" outlineLevel="2">
      <c r="B581" s="1135"/>
      <c r="C581" s="1045"/>
      <c r="D581" s="1051">
        <f t="shared" si="70"/>
        <v>34</v>
      </c>
      <c r="E581" s="1051" t="str">
        <f>IF(COUNTIF(E$411:E580,F581)&gt;0,"",F581)</f>
        <v/>
      </c>
      <c r="F581" s="1051" t="str">
        <f t="shared" si="71"/>
        <v>Robot multifonction , France continentale, Base Carbone</v>
      </c>
      <c r="G581" s="1055" t="str">
        <f t="shared" si="72"/>
        <v>Robot multifonction , France continentale, Base Carbone; kgCO2e/unité, Distribution</v>
      </c>
      <c r="I581" s="2018" t="s">
        <v>3159</v>
      </c>
      <c r="J581" s="1135" t="s">
        <v>1994</v>
      </c>
      <c r="K581" s="1135" t="s">
        <v>1567</v>
      </c>
      <c r="L581" s="1135" t="s">
        <v>1571</v>
      </c>
      <c r="M581" s="2062">
        <v>0.5</v>
      </c>
      <c r="N581" s="1135" t="s">
        <v>3138</v>
      </c>
      <c r="O581" s="1135">
        <v>5.0199999999999996</v>
      </c>
      <c r="P581" s="2017">
        <v>5.0199999999999996</v>
      </c>
      <c r="Q581" s="2017">
        <v>0</v>
      </c>
      <c r="R581" s="2017">
        <v>0</v>
      </c>
      <c r="S581" s="2017">
        <v>0</v>
      </c>
      <c r="T581" s="2017">
        <v>0</v>
      </c>
      <c r="U581" s="2042">
        <v>0</v>
      </c>
    </row>
    <row r="582" spans="2:21" hidden="1" outlineLevel="2">
      <c r="B582" s="1135"/>
      <c r="C582" s="1045"/>
      <c r="D582" s="1051">
        <f t="shared" si="70"/>
        <v>35</v>
      </c>
      <c r="E582" s="1051" t="str">
        <f>IF(COUNTIF(E$411:E581,F582)&gt;0,"",F582)</f>
        <v>Sèche-linge à évacuation - Capacité 6 kg, France continentale, Base Carbone</v>
      </c>
      <c r="F582" s="1051" t="str">
        <f t="shared" si="71"/>
        <v>Sèche-linge à évacuation - Capacité 6 kg, France continentale, Base Carbone</v>
      </c>
      <c r="G582" s="1055" t="str">
        <f t="shared" si="72"/>
        <v>Sèche-linge à évacuation - Capacité 6 kg, France continentale, Base Carbone; kgCO2e/unité, Matières premières</v>
      </c>
      <c r="I582" s="2018" t="s">
        <v>3160</v>
      </c>
      <c r="J582" s="1135" t="s">
        <v>1994</v>
      </c>
      <c r="K582" s="1135" t="s">
        <v>1567</v>
      </c>
      <c r="L582" s="1135" t="s">
        <v>1571</v>
      </c>
      <c r="M582" s="2062">
        <v>0.3</v>
      </c>
      <c r="N582" s="1135" t="s">
        <v>3135</v>
      </c>
      <c r="O582" s="1135">
        <v>167</v>
      </c>
      <c r="P582" s="2017">
        <v>167</v>
      </c>
      <c r="Q582" s="2017">
        <v>0</v>
      </c>
      <c r="R582" s="2017">
        <v>0</v>
      </c>
      <c r="S582" s="2017">
        <v>0</v>
      </c>
      <c r="T582" s="2017">
        <v>0</v>
      </c>
      <c r="U582" s="2042">
        <v>0</v>
      </c>
    </row>
    <row r="583" spans="2:21" hidden="1" outlineLevel="2">
      <c r="B583" s="1135"/>
      <c r="C583" s="1045"/>
      <c r="D583" s="1051">
        <f t="shared" si="70"/>
        <v>35</v>
      </c>
      <c r="E583" s="1051" t="str">
        <f>IF(COUNTIF(E$411:E582,F583)&gt;0,"",F583)</f>
        <v/>
      </c>
      <c r="F583" s="1051" t="str">
        <f t="shared" si="71"/>
        <v>Sèche-linge à évacuation - Capacité 6 kg, France continentale, Base Carbone</v>
      </c>
      <c r="G583" s="1055" t="str">
        <f t="shared" si="72"/>
        <v>Sèche-linge à évacuation - Capacité 6 kg, France continentale, Base Carbone; kgCO2e/unité, Approvisionnement</v>
      </c>
      <c r="I583" s="2018" t="s">
        <v>3160</v>
      </c>
      <c r="J583" s="1135" t="s">
        <v>1994</v>
      </c>
      <c r="K583" s="1135" t="s">
        <v>1567</v>
      </c>
      <c r="L583" s="1135" t="s">
        <v>1571</v>
      </c>
      <c r="M583" s="2062">
        <v>0.3</v>
      </c>
      <c r="N583" s="1135" t="s">
        <v>3136</v>
      </c>
      <c r="O583" s="1135">
        <v>9.5299999999999994</v>
      </c>
      <c r="P583" s="2017">
        <v>9.5299999999999994</v>
      </c>
      <c r="Q583" s="2017">
        <v>0</v>
      </c>
      <c r="R583" s="2017">
        <v>0</v>
      </c>
      <c r="S583" s="2017">
        <v>0</v>
      </c>
      <c r="T583" s="2017">
        <v>0</v>
      </c>
      <c r="U583" s="2042">
        <v>0</v>
      </c>
    </row>
    <row r="584" spans="2:21" hidden="1" outlineLevel="2">
      <c r="B584" s="1135"/>
      <c r="C584" s="1045"/>
      <c r="D584" s="1051">
        <f t="shared" si="70"/>
        <v>35</v>
      </c>
      <c r="E584" s="1051" t="str">
        <f>IF(COUNTIF(E$411:E583,F584)&gt;0,"",F584)</f>
        <v/>
      </c>
      <c r="F584" s="1051" t="str">
        <f t="shared" si="71"/>
        <v>Sèche-linge à évacuation - Capacité 6 kg, France continentale, Base Carbone</v>
      </c>
      <c r="G584" s="1055" t="str">
        <f t="shared" si="72"/>
        <v>Sèche-linge à évacuation - Capacité 6 kg, France continentale, Base Carbone; kgCO2e/unité, Mise en forme</v>
      </c>
      <c r="I584" s="2018" t="s">
        <v>3160</v>
      </c>
      <c r="J584" s="1135" t="s">
        <v>1994</v>
      </c>
      <c r="K584" s="1135" t="s">
        <v>1567</v>
      </c>
      <c r="L584" s="1135" t="s">
        <v>1571</v>
      </c>
      <c r="M584" s="2062">
        <v>0.3</v>
      </c>
      <c r="N584" s="1135" t="s">
        <v>3141</v>
      </c>
      <c r="O584" s="1135">
        <v>40.1</v>
      </c>
      <c r="P584" s="2017">
        <v>40.1</v>
      </c>
      <c r="Q584" s="2017">
        <v>0</v>
      </c>
      <c r="R584" s="2017">
        <v>0</v>
      </c>
      <c r="S584" s="2017">
        <v>0</v>
      </c>
      <c r="T584" s="2017">
        <v>0</v>
      </c>
      <c r="U584" s="2042">
        <v>0</v>
      </c>
    </row>
    <row r="585" spans="2:21" hidden="1" outlineLevel="2">
      <c r="B585" s="1135"/>
      <c r="C585" s="1045"/>
      <c r="D585" s="1051">
        <f t="shared" si="70"/>
        <v>35</v>
      </c>
      <c r="E585" s="1051" t="str">
        <f>IF(COUNTIF(E$411:E584,F585)&gt;0,"",F585)</f>
        <v/>
      </c>
      <c r="F585" s="1051" t="str">
        <f t="shared" si="71"/>
        <v>Sèche-linge à évacuation - Capacité 6 kg, France continentale, Base Carbone</v>
      </c>
      <c r="G585" s="1055" t="str">
        <f t="shared" si="72"/>
        <v>Sèche-linge à évacuation - Capacité 6 kg, France continentale, Base Carbone; kgCO2e/unité, Assemblage</v>
      </c>
      <c r="I585" s="2018" t="s">
        <v>3160</v>
      </c>
      <c r="J585" s="1135" t="s">
        <v>1994</v>
      </c>
      <c r="K585" s="1135" t="s">
        <v>1567</v>
      </c>
      <c r="L585" s="1135" t="s">
        <v>1571</v>
      </c>
      <c r="M585" s="2062">
        <v>0.3</v>
      </c>
      <c r="N585" s="1135" t="s">
        <v>3137</v>
      </c>
      <c r="O585" s="1135">
        <v>15.9</v>
      </c>
      <c r="P585" s="2017">
        <v>15.9</v>
      </c>
      <c r="Q585" s="2017">
        <v>0</v>
      </c>
      <c r="R585" s="2017">
        <v>0</v>
      </c>
      <c r="S585" s="2017">
        <v>0</v>
      </c>
      <c r="T585" s="2017">
        <v>0</v>
      </c>
      <c r="U585" s="2042">
        <v>0</v>
      </c>
    </row>
    <row r="586" spans="2:21" hidden="1" outlineLevel="2">
      <c r="B586" s="1135"/>
      <c r="C586" s="1045"/>
      <c r="D586" s="1051">
        <f t="shared" si="70"/>
        <v>35</v>
      </c>
      <c r="E586" s="1051" t="str">
        <f>IF(COUNTIF(E$411:E585,F586)&gt;0,"",F586)</f>
        <v/>
      </c>
      <c r="F586" s="1051" t="str">
        <f t="shared" si="71"/>
        <v>Sèche-linge à évacuation - Capacité 6 kg, France continentale, Base Carbone</v>
      </c>
      <c r="G586" s="1055" t="str">
        <f t="shared" si="72"/>
        <v>Sèche-linge à évacuation - Capacité 6 kg, France continentale, Base Carbone; kgCO2e/unité, Distribution</v>
      </c>
      <c r="I586" s="2018" t="s">
        <v>3160</v>
      </c>
      <c r="J586" s="1135" t="s">
        <v>1994</v>
      </c>
      <c r="K586" s="1135" t="s">
        <v>1567</v>
      </c>
      <c r="L586" s="1135" t="s">
        <v>1571</v>
      </c>
      <c r="M586" s="2062">
        <v>0.3</v>
      </c>
      <c r="N586" s="1135" t="s">
        <v>3138</v>
      </c>
      <c r="O586" s="1135">
        <v>33.700000000000003</v>
      </c>
      <c r="P586" s="2017">
        <v>33.700000000000003</v>
      </c>
      <c r="Q586" s="2017">
        <v>0</v>
      </c>
      <c r="R586" s="2017">
        <v>0</v>
      </c>
      <c r="S586" s="2017">
        <v>0</v>
      </c>
      <c r="T586" s="2017">
        <v>0</v>
      </c>
      <c r="U586" s="2042">
        <v>0</v>
      </c>
    </row>
    <row r="587" spans="2:21" hidden="1" outlineLevel="2">
      <c r="B587" s="1135"/>
      <c r="C587" s="1045"/>
      <c r="D587" s="1051">
        <f t="shared" si="70"/>
        <v>36</v>
      </c>
      <c r="E587" s="1051" t="str">
        <f>IF(COUNTIF(E$411:E586,F587)&gt;0,"",F587)</f>
        <v>Sèche-linge à condensation - Capacité 6 kg, France continentale, Base Carbone</v>
      </c>
      <c r="F587" s="1051" t="str">
        <f t="shared" si="71"/>
        <v>Sèche-linge à condensation - Capacité 6 kg, France continentale, Base Carbone</v>
      </c>
      <c r="G587" s="1055" t="str">
        <f t="shared" si="72"/>
        <v>Sèche-linge à condensation - Capacité 6 kg, France continentale, Base Carbone; kgCO2e/unité, Matières premières</v>
      </c>
      <c r="I587" s="2018" t="s">
        <v>3161</v>
      </c>
      <c r="J587" s="1135" t="s">
        <v>1994</v>
      </c>
      <c r="K587" s="1135" t="s">
        <v>1567</v>
      </c>
      <c r="L587" s="1135" t="s">
        <v>1571</v>
      </c>
      <c r="M587" s="2062">
        <v>0.3</v>
      </c>
      <c r="N587" s="1135" t="s">
        <v>3135</v>
      </c>
      <c r="O587" s="1135">
        <v>190</v>
      </c>
      <c r="P587" s="2017">
        <v>190</v>
      </c>
      <c r="Q587" s="2017">
        <v>0</v>
      </c>
      <c r="R587" s="2017">
        <v>0</v>
      </c>
      <c r="S587" s="2017">
        <v>0</v>
      </c>
      <c r="T587" s="2017">
        <v>0</v>
      </c>
      <c r="U587" s="2042">
        <v>0</v>
      </c>
    </row>
    <row r="588" spans="2:21" hidden="1" outlineLevel="2">
      <c r="B588" s="1135"/>
      <c r="C588" s="1045"/>
      <c r="D588" s="1051">
        <f t="shared" si="70"/>
        <v>36</v>
      </c>
      <c r="E588" s="1051" t="str">
        <f>IF(COUNTIF(E$411:E587,F588)&gt;0,"",F588)</f>
        <v/>
      </c>
      <c r="F588" s="1051" t="str">
        <f t="shared" si="71"/>
        <v>Sèche-linge à condensation - Capacité 6 kg, France continentale, Base Carbone</v>
      </c>
      <c r="G588" s="1055" t="str">
        <f t="shared" si="72"/>
        <v>Sèche-linge à condensation - Capacité 6 kg, France continentale, Base Carbone; kgCO2e/unité, Approvisionnement</v>
      </c>
      <c r="I588" s="2018" t="s">
        <v>3161</v>
      </c>
      <c r="J588" s="1135" t="s">
        <v>1994</v>
      </c>
      <c r="K588" s="1135" t="s">
        <v>1567</v>
      </c>
      <c r="L588" s="1135" t="s">
        <v>1571</v>
      </c>
      <c r="M588" s="2062">
        <v>0.3</v>
      </c>
      <c r="N588" s="1135" t="s">
        <v>3136</v>
      </c>
      <c r="O588" s="1135">
        <v>10.6</v>
      </c>
      <c r="P588" s="2017">
        <v>10.6</v>
      </c>
      <c r="Q588" s="2017">
        <v>0</v>
      </c>
      <c r="R588" s="2017">
        <v>0</v>
      </c>
      <c r="S588" s="2017">
        <v>0</v>
      </c>
      <c r="T588" s="2017">
        <v>0</v>
      </c>
      <c r="U588" s="2042">
        <v>0</v>
      </c>
    </row>
    <row r="589" spans="2:21" hidden="1" outlineLevel="2">
      <c r="B589" s="1135"/>
      <c r="C589" s="1045"/>
      <c r="D589" s="1051">
        <f t="shared" si="70"/>
        <v>36</v>
      </c>
      <c r="E589" s="1051" t="str">
        <f>IF(COUNTIF(E$411:E588,F589)&gt;0,"",F589)</f>
        <v/>
      </c>
      <c r="F589" s="1051" t="str">
        <f t="shared" si="71"/>
        <v>Sèche-linge à condensation - Capacité 6 kg, France continentale, Base Carbone</v>
      </c>
      <c r="G589" s="1055" t="str">
        <f t="shared" si="72"/>
        <v>Sèche-linge à condensation - Capacité 6 kg, France continentale, Base Carbone; kgCO2e/unité, Mise en forme</v>
      </c>
      <c r="I589" s="2018" t="s">
        <v>3161</v>
      </c>
      <c r="J589" s="1135" t="s">
        <v>1994</v>
      </c>
      <c r="K589" s="1135" t="s">
        <v>1567</v>
      </c>
      <c r="L589" s="1135" t="s">
        <v>1571</v>
      </c>
      <c r="M589" s="2062">
        <v>0.3</v>
      </c>
      <c r="N589" s="1135" t="s">
        <v>3141</v>
      </c>
      <c r="O589" s="1135">
        <v>43.8</v>
      </c>
      <c r="P589" s="2017">
        <v>43.8</v>
      </c>
      <c r="Q589" s="2017">
        <v>0</v>
      </c>
      <c r="R589" s="2017">
        <v>0</v>
      </c>
      <c r="S589" s="2017">
        <v>0</v>
      </c>
      <c r="T589" s="2017">
        <v>0</v>
      </c>
      <c r="U589" s="2042">
        <v>0</v>
      </c>
    </row>
    <row r="590" spans="2:21" hidden="1" outlineLevel="2">
      <c r="B590" s="1135"/>
      <c r="C590" s="1045"/>
      <c r="D590" s="1051">
        <f t="shared" si="70"/>
        <v>36</v>
      </c>
      <c r="E590" s="1051" t="str">
        <f>IF(COUNTIF(E$411:E589,F590)&gt;0,"",F590)</f>
        <v/>
      </c>
      <c r="F590" s="1051" t="str">
        <f t="shared" si="71"/>
        <v>Sèche-linge à condensation - Capacité 6 kg, France continentale, Base Carbone</v>
      </c>
      <c r="G590" s="1055" t="str">
        <f t="shared" si="72"/>
        <v>Sèche-linge à condensation - Capacité 6 kg, France continentale, Base Carbone; kgCO2e/unité, Assemblage</v>
      </c>
      <c r="I590" s="2018" t="s">
        <v>3161</v>
      </c>
      <c r="J590" s="1135" t="s">
        <v>1994</v>
      </c>
      <c r="K590" s="1135" t="s">
        <v>1567</v>
      </c>
      <c r="L590" s="1135" t="s">
        <v>1571</v>
      </c>
      <c r="M590" s="2062">
        <v>0.3</v>
      </c>
      <c r="N590" s="1135" t="s">
        <v>3137</v>
      </c>
      <c r="O590" s="1135">
        <v>15.9</v>
      </c>
      <c r="P590" s="2017">
        <v>15.9</v>
      </c>
      <c r="Q590" s="2017">
        <v>0</v>
      </c>
      <c r="R590" s="2017">
        <v>0</v>
      </c>
      <c r="S590" s="2017">
        <v>0</v>
      </c>
      <c r="T590" s="2017">
        <v>0</v>
      </c>
      <c r="U590" s="2042">
        <v>0</v>
      </c>
    </row>
    <row r="591" spans="2:21" hidden="1" outlineLevel="2">
      <c r="B591" s="1135"/>
      <c r="C591" s="1045"/>
      <c r="D591" s="1051">
        <f t="shared" si="70"/>
        <v>36</v>
      </c>
      <c r="E591" s="1051" t="str">
        <f>IF(COUNTIF(E$411:E590,F591)&gt;0,"",F591)</f>
        <v/>
      </c>
      <c r="F591" s="1051" t="str">
        <f t="shared" si="71"/>
        <v>Sèche-linge à condensation - Capacité 6 kg, France continentale, Base Carbone</v>
      </c>
      <c r="G591" s="1055" t="str">
        <f t="shared" si="72"/>
        <v>Sèche-linge à condensation - Capacité 6 kg, France continentale, Base Carbone; kgCO2e/unité, Distribution</v>
      </c>
      <c r="I591" s="2018" t="s">
        <v>3161</v>
      </c>
      <c r="J591" s="1135" t="s">
        <v>1994</v>
      </c>
      <c r="K591" s="1135" t="s">
        <v>1567</v>
      </c>
      <c r="L591" s="1135" t="s">
        <v>1571</v>
      </c>
      <c r="M591" s="2062">
        <v>0.3</v>
      </c>
      <c r="N591" s="1135" t="s">
        <v>3138</v>
      </c>
      <c r="O591" s="1135">
        <v>41.6</v>
      </c>
      <c r="P591" s="2017">
        <v>41.6</v>
      </c>
      <c r="Q591" s="2017">
        <v>0</v>
      </c>
      <c r="R591" s="2017">
        <v>0</v>
      </c>
      <c r="S591" s="2017">
        <v>0</v>
      </c>
      <c r="T591" s="2017">
        <v>0</v>
      </c>
      <c r="U591" s="2042">
        <v>0</v>
      </c>
    </row>
    <row r="592" spans="2:21" hidden="1" outlineLevel="2">
      <c r="B592" s="1135"/>
      <c r="C592" s="1045"/>
      <c r="D592" s="1051">
        <f t="shared" si="70"/>
        <v>37</v>
      </c>
      <c r="E592" s="1051" t="str">
        <f>IF(COUNTIF(E$411:E591,F592)&gt;0,"",F592)</f>
        <v>Sèche-linge à pompe à chaleur - Capacité 8kg, France continentale, Base Carbone</v>
      </c>
      <c r="F592" s="1051" t="str">
        <f t="shared" si="71"/>
        <v>Sèche-linge à pompe à chaleur - Capacité 8kg, France continentale, Base Carbone</v>
      </c>
      <c r="G592" s="1055" t="str">
        <f t="shared" si="72"/>
        <v>Sèche-linge à pompe à chaleur - Capacité 8kg, France continentale, Base Carbone; kgCO2e/unité, Matières premières</v>
      </c>
      <c r="I592" s="2018" t="s">
        <v>3162</v>
      </c>
      <c r="J592" s="1135" t="s">
        <v>1994</v>
      </c>
      <c r="K592" s="1135" t="s">
        <v>1567</v>
      </c>
      <c r="L592" s="1135" t="s">
        <v>1571</v>
      </c>
      <c r="M592" s="2062">
        <v>0.3</v>
      </c>
      <c r="N592" s="1135" t="s">
        <v>3135</v>
      </c>
      <c r="O592" s="1135">
        <v>190</v>
      </c>
      <c r="P592" s="2017">
        <v>190</v>
      </c>
      <c r="Q592" s="2017">
        <v>0</v>
      </c>
      <c r="R592" s="2017">
        <v>0</v>
      </c>
      <c r="S592" s="2017">
        <v>0</v>
      </c>
      <c r="T592" s="2017">
        <v>0</v>
      </c>
      <c r="U592" s="2042">
        <v>0</v>
      </c>
    </row>
    <row r="593" spans="2:21" hidden="1" outlineLevel="2">
      <c r="B593" s="1135"/>
      <c r="C593" s="1045"/>
      <c r="D593" s="1051">
        <f t="shared" si="70"/>
        <v>37</v>
      </c>
      <c r="E593" s="1051" t="str">
        <f>IF(COUNTIF(E$411:E592,F593)&gt;0,"",F593)</f>
        <v/>
      </c>
      <c r="F593" s="1051" t="str">
        <f t="shared" si="71"/>
        <v>Sèche-linge à pompe à chaleur - Capacité 8kg, France continentale, Base Carbone</v>
      </c>
      <c r="G593" s="1055" t="str">
        <f t="shared" si="72"/>
        <v>Sèche-linge à pompe à chaleur - Capacité 8kg, France continentale, Base Carbone; kgCO2e/unité, Approvisionnement</v>
      </c>
      <c r="I593" s="2018" t="s">
        <v>3162</v>
      </c>
      <c r="J593" s="1135" t="s">
        <v>1994</v>
      </c>
      <c r="K593" s="1135" t="s">
        <v>1567</v>
      </c>
      <c r="L593" s="1135" t="s">
        <v>1571</v>
      </c>
      <c r="M593" s="2062">
        <v>0.3</v>
      </c>
      <c r="N593" s="1135" t="s">
        <v>3136</v>
      </c>
      <c r="O593" s="1135">
        <v>10.6</v>
      </c>
      <c r="P593" s="2017">
        <v>10.6</v>
      </c>
      <c r="Q593" s="2017">
        <v>0</v>
      </c>
      <c r="R593" s="2017">
        <v>0</v>
      </c>
      <c r="S593" s="2017">
        <v>0</v>
      </c>
      <c r="T593" s="2017">
        <v>0</v>
      </c>
      <c r="U593" s="2042">
        <v>0</v>
      </c>
    </row>
    <row r="594" spans="2:21" hidden="1" outlineLevel="2">
      <c r="B594" s="1135"/>
      <c r="C594" s="1045"/>
      <c r="D594" s="1051">
        <f t="shared" si="70"/>
        <v>37</v>
      </c>
      <c r="E594" s="1051" t="str">
        <f>IF(COUNTIF(E$411:E593,F594)&gt;0,"",F594)</f>
        <v/>
      </c>
      <c r="F594" s="1051" t="str">
        <f t="shared" si="71"/>
        <v>Sèche-linge à pompe à chaleur - Capacité 8kg, France continentale, Base Carbone</v>
      </c>
      <c r="G594" s="1055" t="str">
        <f t="shared" si="72"/>
        <v>Sèche-linge à pompe à chaleur - Capacité 8kg, France continentale, Base Carbone; kgCO2e/unité, Mise en forme</v>
      </c>
      <c r="I594" s="2018" t="s">
        <v>3162</v>
      </c>
      <c r="J594" s="1135" t="s">
        <v>1994</v>
      </c>
      <c r="K594" s="1135" t="s">
        <v>1567</v>
      </c>
      <c r="L594" s="1135" t="s">
        <v>1571</v>
      </c>
      <c r="M594" s="2062">
        <v>0.3</v>
      </c>
      <c r="N594" s="1135" t="s">
        <v>3141</v>
      </c>
      <c r="O594" s="1135">
        <v>43.8</v>
      </c>
      <c r="P594" s="2017">
        <v>43.8</v>
      </c>
      <c r="Q594" s="2017">
        <v>0</v>
      </c>
      <c r="R594" s="2017">
        <v>0</v>
      </c>
      <c r="S594" s="2017">
        <v>0</v>
      </c>
      <c r="T594" s="2017">
        <v>0</v>
      </c>
      <c r="U594" s="2042">
        <v>0</v>
      </c>
    </row>
    <row r="595" spans="2:21" hidden="1" outlineLevel="2">
      <c r="B595" s="1135"/>
      <c r="C595" s="1045"/>
      <c r="D595" s="1051">
        <f t="shared" si="70"/>
        <v>37</v>
      </c>
      <c r="E595" s="1051" t="str">
        <f>IF(COUNTIF(E$411:E594,F595)&gt;0,"",F595)</f>
        <v/>
      </c>
      <c r="F595" s="1051" t="str">
        <f t="shared" si="71"/>
        <v>Sèche-linge à pompe à chaleur - Capacité 8kg, France continentale, Base Carbone</v>
      </c>
      <c r="G595" s="1055" t="str">
        <f t="shared" si="72"/>
        <v>Sèche-linge à pompe à chaleur - Capacité 8kg, France continentale, Base Carbone; kgCO2e/unité, Assemblage</v>
      </c>
      <c r="I595" s="2018" t="s">
        <v>3162</v>
      </c>
      <c r="J595" s="1135" t="s">
        <v>1994</v>
      </c>
      <c r="K595" s="1135" t="s">
        <v>1567</v>
      </c>
      <c r="L595" s="1135" t="s">
        <v>1571</v>
      </c>
      <c r="M595" s="2062">
        <v>0.3</v>
      </c>
      <c r="N595" s="1135" t="s">
        <v>3137</v>
      </c>
      <c r="O595" s="1135">
        <v>15.9</v>
      </c>
      <c r="P595" s="2017">
        <v>15.9</v>
      </c>
      <c r="Q595" s="2017">
        <v>0</v>
      </c>
      <c r="R595" s="2017">
        <v>0</v>
      </c>
      <c r="S595" s="2017">
        <v>0</v>
      </c>
      <c r="T595" s="2017">
        <v>0</v>
      </c>
      <c r="U595" s="2042">
        <v>0</v>
      </c>
    </row>
    <row r="596" spans="2:21" hidden="1" outlineLevel="2">
      <c r="B596" s="1135"/>
      <c r="C596" s="1045"/>
      <c r="D596" s="1051">
        <f t="shared" si="70"/>
        <v>37</v>
      </c>
      <c r="E596" s="1051" t="str">
        <f>IF(COUNTIF(E$411:E595,F596)&gt;0,"",F596)</f>
        <v/>
      </c>
      <c r="F596" s="1051" t="str">
        <f t="shared" si="71"/>
        <v>Sèche-linge à pompe à chaleur - Capacité 8kg, France continentale, Base Carbone</v>
      </c>
      <c r="G596" s="1055" t="str">
        <f t="shared" si="72"/>
        <v>Sèche-linge à pompe à chaleur - Capacité 8kg, France continentale, Base Carbone; kgCO2e/unité, Distribution</v>
      </c>
      <c r="I596" s="2018" t="s">
        <v>3162</v>
      </c>
      <c r="J596" s="1135" t="s">
        <v>1994</v>
      </c>
      <c r="K596" s="1135" t="s">
        <v>1567</v>
      </c>
      <c r="L596" s="1135" t="s">
        <v>1571</v>
      </c>
      <c r="M596" s="2062">
        <v>0.3</v>
      </c>
      <c r="N596" s="1135" t="s">
        <v>3138</v>
      </c>
      <c r="O596" s="1135">
        <v>41.6</v>
      </c>
      <c r="P596" s="2017">
        <v>41.6</v>
      </c>
      <c r="Q596" s="2017">
        <v>0</v>
      </c>
      <c r="R596" s="2017">
        <v>0</v>
      </c>
      <c r="S596" s="2017">
        <v>0</v>
      </c>
      <c r="T596" s="2017">
        <v>0</v>
      </c>
      <c r="U596" s="2042">
        <v>0</v>
      </c>
    </row>
    <row r="597" spans="2:21" hidden="1" outlineLevel="2">
      <c r="B597" s="1135"/>
      <c r="C597" s="1045"/>
      <c r="D597" s="1051">
        <f t="shared" si="70"/>
        <v>38</v>
      </c>
      <c r="E597" s="1051" t="str">
        <f>IF(COUNTIF(E$411:E596,F597)&gt;0,"",F597)</f>
        <v>Yaourtière 8 pots, France continentale, Base Carbone</v>
      </c>
      <c r="F597" s="1051" t="str">
        <f t="shared" si="71"/>
        <v>Yaourtière 8 pots, France continentale, Base Carbone</v>
      </c>
      <c r="G597" s="1055" t="str">
        <f t="shared" si="72"/>
        <v>Yaourtière 8 pots, France continentale, Base Carbone; kgCO2e/unité, Matières premières</v>
      </c>
      <c r="I597" s="2018" t="s">
        <v>3163</v>
      </c>
      <c r="J597" s="1135" t="s">
        <v>1994</v>
      </c>
      <c r="K597" s="1135" t="s">
        <v>1567</v>
      </c>
      <c r="L597" s="1135" t="s">
        <v>1571</v>
      </c>
      <c r="M597" s="2062">
        <v>0.5</v>
      </c>
      <c r="N597" s="1135" t="s">
        <v>3135</v>
      </c>
      <c r="O597" s="1135">
        <v>10.4</v>
      </c>
      <c r="P597" s="2017">
        <v>10.4</v>
      </c>
      <c r="Q597" s="2017">
        <v>0</v>
      </c>
      <c r="R597" s="2017">
        <v>0</v>
      </c>
      <c r="S597" s="2017">
        <v>0</v>
      </c>
      <c r="T597" s="2017">
        <v>0</v>
      </c>
      <c r="U597" s="2042">
        <v>0</v>
      </c>
    </row>
    <row r="598" spans="2:21" hidden="1" outlineLevel="2">
      <c r="B598" s="1135"/>
      <c r="C598" s="1045"/>
      <c r="D598" s="1051">
        <f t="shared" si="70"/>
        <v>38</v>
      </c>
      <c r="E598" s="1051" t="str">
        <f>IF(COUNTIF(E$411:E597,F598)&gt;0,"",F598)</f>
        <v/>
      </c>
      <c r="F598" s="1051" t="str">
        <f t="shared" si="71"/>
        <v>Yaourtière 8 pots, France continentale, Base Carbone</v>
      </c>
      <c r="G598" s="1055" t="str">
        <f t="shared" si="72"/>
        <v>Yaourtière 8 pots, France continentale, Base Carbone; kgCO2e/unité, Approvisionnement</v>
      </c>
      <c r="I598" s="2018" t="s">
        <v>3163</v>
      </c>
      <c r="J598" s="1135" t="s">
        <v>1994</v>
      </c>
      <c r="K598" s="1135" t="s">
        <v>1567</v>
      </c>
      <c r="L598" s="1135" t="s">
        <v>1571</v>
      </c>
      <c r="M598" s="2062">
        <v>0.5</v>
      </c>
      <c r="N598" s="1135" t="s">
        <v>3136</v>
      </c>
      <c r="O598" s="1135">
        <v>0.69399999999999995</v>
      </c>
      <c r="P598" s="2017">
        <v>0.69399999999999995</v>
      </c>
      <c r="Q598" s="2017">
        <v>0</v>
      </c>
      <c r="R598" s="2017">
        <v>0</v>
      </c>
      <c r="S598" s="2017">
        <v>0</v>
      </c>
      <c r="T598" s="2017">
        <v>0</v>
      </c>
      <c r="U598" s="2042">
        <v>0</v>
      </c>
    </row>
    <row r="599" spans="2:21" hidden="1" outlineLevel="2">
      <c r="B599" s="1135"/>
      <c r="C599" s="1045"/>
      <c r="D599" s="1051">
        <f t="shared" si="70"/>
        <v>38</v>
      </c>
      <c r="E599" s="1051" t="str">
        <f>IF(COUNTIF(E$411:E598,F599)&gt;0,"",F599)</f>
        <v/>
      </c>
      <c r="F599" s="1051" t="str">
        <f t="shared" si="71"/>
        <v>Yaourtière 8 pots, France continentale, Base Carbone</v>
      </c>
      <c r="G599" s="1055" t="str">
        <f t="shared" si="72"/>
        <v>Yaourtière 8 pots, France continentale, Base Carbone; kgCO2e/unité, Mise en forme</v>
      </c>
      <c r="I599" s="2018" t="s">
        <v>3163</v>
      </c>
      <c r="J599" s="1135" t="s">
        <v>1994</v>
      </c>
      <c r="K599" s="1135" t="s">
        <v>1567</v>
      </c>
      <c r="L599" s="1135" t="s">
        <v>1571</v>
      </c>
      <c r="M599" s="2062">
        <v>0.5</v>
      </c>
      <c r="N599" s="1135" t="s">
        <v>3141</v>
      </c>
      <c r="O599" s="1135">
        <v>1.41</v>
      </c>
      <c r="P599" s="2017">
        <v>1.41</v>
      </c>
      <c r="Q599" s="2017">
        <v>0</v>
      </c>
      <c r="R599" s="2017">
        <v>0</v>
      </c>
      <c r="S599" s="2017">
        <v>0</v>
      </c>
      <c r="T599" s="2017">
        <v>0</v>
      </c>
      <c r="U599" s="2042">
        <v>0</v>
      </c>
    </row>
    <row r="600" spans="2:21" hidden="1" outlineLevel="2">
      <c r="B600" s="1135"/>
      <c r="C600" s="1045"/>
      <c r="D600" s="1051">
        <f t="shared" si="70"/>
        <v>38</v>
      </c>
      <c r="E600" s="1051" t="str">
        <f>IF(COUNTIF(E$411:E599,F600)&gt;0,"",F600)</f>
        <v/>
      </c>
      <c r="F600" s="1051" t="str">
        <f t="shared" si="71"/>
        <v>Yaourtière 8 pots, France continentale, Base Carbone</v>
      </c>
      <c r="G600" s="1055" t="str">
        <f t="shared" si="72"/>
        <v>Yaourtière 8 pots, France continentale, Base Carbone; kgCO2e/unité, Assemblage</v>
      </c>
      <c r="I600" s="2018" t="s">
        <v>3163</v>
      </c>
      <c r="J600" s="1135" t="s">
        <v>1994</v>
      </c>
      <c r="K600" s="1135" t="s">
        <v>1567</v>
      </c>
      <c r="L600" s="1135" t="s">
        <v>1571</v>
      </c>
      <c r="M600" s="2062">
        <v>0.5</v>
      </c>
      <c r="N600" s="1135" t="s">
        <v>3137</v>
      </c>
      <c r="O600" s="1135">
        <v>6.15</v>
      </c>
      <c r="P600" s="2017">
        <v>6.15</v>
      </c>
      <c r="Q600" s="2017">
        <v>0</v>
      </c>
      <c r="R600" s="2017">
        <v>0</v>
      </c>
      <c r="S600" s="2017">
        <v>0</v>
      </c>
      <c r="T600" s="2017">
        <v>0</v>
      </c>
      <c r="U600" s="2042">
        <v>0</v>
      </c>
    </row>
    <row r="601" spans="2:21" hidden="1" outlineLevel="2">
      <c r="B601" s="1135"/>
      <c r="C601" s="1045"/>
      <c r="D601" s="1051">
        <f t="shared" si="70"/>
        <v>38</v>
      </c>
      <c r="E601" s="1051" t="str">
        <f>IF(COUNTIF(E$411:E600,F601)&gt;0,"",F601)</f>
        <v/>
      </c>
      <c r="F601" s="1051" t="str">
        <f t="shared" si="71"/>
        <v>Yaourtière 8 pots, France continentale, Base Carbone</v>
      </c>
      <c r="G601" s="1055" t="str">
        <f t="shared" si="72"/>
        <v>Yaourtière 8 pots, France continentale, Base Carbone; kgCO2e/unité, Distribution</v>
      </c>
      <c r="I601" s="2018" t="s">
        <v>3163</v>
      </c>
      <c r="J601" s="1135" t="s">
        <v>1994</v>
      </c>
      <c r="K601" s="1135" t="s">
        <v>1567</v>
      </c>
      <c r="L601" s="1135" t="s">
        <v>1571</v>
      </c>
      <c r="M601" s="2062">
        <v>0.5</v>
      </c>
      <c r="N601" s="1135" t="s">
        <v>3138</v>
      </c>
      <c r="O601" s="1135">
        <v>3.05</v>
      </c>
      <c r="P601" s="2017">
        <v>3.05</v>
      </c>
      <c r="Q601" s="2017">
        <v>0</v>
      </c>
      <c r="R601" s="2017">
        <v>0</v>
      </c>
      <c r="S601" s="2017">
        <v>0</v>
      </c>
      <c r="T601" s="2017">
        <v>0</v>
      </c>
      <c r="U601" s="2042">
        <v>0</v>
      </c>
    </row>
    <row r="602" spans="2:21" hidden="1" outlineLevel="2">
      <c r="B602" s="1135"/>
      <c r="C602" s="1045"/>
      <c r="D602" s="1051">
        <f t="shared" si="70"/>
        <v>38</v>
      </c>
      <c r="E602" s="1051" t="str">
        <f>IF(COUNTIF(E$411:E601,F602)&gt;0,"",F602)</f>
        <v/>
      </c>
      <c r="F602" s="1051" t="str">
        <f t="shared" si="71"/>
        <v/>
      </c>
      <c r="G602" s="1055" t="str">
        <f t="shared" si="72"/>
        <v/>
      </c>
      <c r="I602" s="2018"/>
      <c r="J602" s="1135"/>
      <c r="K602" s="1135"/>
      <c r="L602" s="1135"/>
      <c r="M602" s="2062"/>
      <c r="N602" s="1135"/>
      <c r="O602" s="1135"/>
      <c r="P602" s="2017"/>
      <c r="Q602" s="2017"/>
      <c r="R602" s="2017"/>
      <c r="S602" s="2017"/>
      <c r="T602" s="2017"/>
      <c r="U602" s="2042"/>
    </row>
    <row r="603" spans="2:21" hidden="1" outlineLevel="2">
      <c r="B603" s="1135"/>
      <c r="C603" s="1045"/>
      <c r="D603" s="1051">
        <f t="shared" si="70"/>
        <v>38</v>
      </c>
      <c r="E603" s="1051" t="str">
        <f>IF(COUNTIF(E$411:E602,F603)&gt;0,"",F603)</f>
        <v/>
      </c>
      <c r="F603" s="1051" t="str">
        <f t="shared" si="71"/>
        <v/>
      </c>
      <c r="G603" s="1055" t="str">
        <f t="shared" si="72"/>
        <v/>
      </c>
      <c r="I603" s="2018"/>
      <c r="J603" s="1135"/>
      <c r="K603" s="1135"/>
      <c r="L603" s="1135"/>
      <c r="M603" s="2062"/>
      <c r="N603" s="1135"/>
      <c r="O603" s="1135"/>
      <c r="P603" s="2017"/>
      <c r="Q603" s="2017"/>
      <c r="R603" s="2017"/>
      <c r="S603" s="2017"/>
      <c r="T603" s="2017"/>
      <c r="U603" s="2042"/>
    </row>
    <row r="604" spans="2:21" hidden="1" outlineLevel="2">
      <c r="B604" s="1135"/>
      <c r="C604" s="1045"/>
      <c r="D604" s="1051">
        <f t="shared" si="70"/>
        <v>38</v>
      </c>
      <c r="E604" s="1051" t="str">
        <f>IF(COUNTIF(E$411:E603,F604)&gt;0,"",F604)</f>
        <v/>
      </c>
      <c r="F604" s="1051" t="str">
        <f t="shared" si="71"/>
        <v/>
      </c>
      <c r="G604" s="1055" t="str">
        <f t="shared" si="72"/>
        <v/>
      </c>
      <c r="I604" s="2018"/>
      <c r="J604" s="1135"/>
      <c r="K604" s="1135"/>
      <c r="L604" s="1135"/>
      <c r="M604" s="2062"/>
      <c r="N604" s="1135"/>
      <c r="O604" s="1135"/>
      <c r="P604" s="2017"/>
      <c r="Q604" s="2017"/>
      <c r="R604" s="2017"/>
      <c r="S604" s="2017"/>
      <c r="T604" s="2017"/>
      <c r="U604" s="2042"/>
    </row>
    <row r="605" spans="2:21" hidden="1" outlineLevel="2">
      <c r="B605" s="1135"/>
      <c r="C605" s="1045"/>
      <c r="D605" s="1051">
        <f t="shared" ref="D605:D621" si="73">D604+IF(LEN(E605)&gt;0,1,0)</f>
        <v>38</v>
      </c>
      <c r="E605" s="1051" t="str">
        <f>IF(COUNTIF(E$411:E604,F605)&gt;0,"",F605)</f>
        <v/>
      </c>
      <c r="F605" s="1051" t="str">
        <f t="shared" ref="F605:F621" si="74">IF(I605&lt;&gt;"",I605&amp;IF(L605&lt;&gt;"",", "&amp;L605,"")&amp;IF(K605&lt;&gt;"",", "&amp;K605,""),"")</f>
        <v/>
      </c>
      <c r="G605" s="1055" t="str">
        <f t="shared" ref="G605:G621" si="75">IF(F605&lt;&gt;"",F605&amp;IF(J605&lt;&gt;"","; "&amp;J605&amp;IF(N605&lt;&gt;"",", "&amp;N605,),""),"")</f>
        <v/>
      </c>
      <c r="I605" s="2018"/>
      <c r="J605" s="1135"/>
      <c r="K605" s="1135"/>
      <c r="L605" s="1135"/>
      <c r="M605" s="2062"/>
      <c r="N605" s="1135"/>
      <c r="O605" s="1135"/>
      <c r="P605" s="2017"/>
      <c r="Q605" s="2017"/>
      <c r="R605" s="2017"/>
      <c r="S605" s="2017"/>
      <c r="T605" s="2017"/>
      <c r="U605" s="2042"/>
    </row>
    <row r="606" spans="2:21" hidden="1" outlineLevel="2">
      <c r="B606" s="1135"/>
      <c r="C606" s="1045"/>
      <c r="D606" s="1051">
        <f t="shared" si="73"/>
        <v>38</v>
      </c>
      <c r="E606" s="1051" t="str">
        <f>IF(COUNTIF(E$411:E605,F606)&gt;0,"",F606)</f>
        <v/>
      </c>
      <c r="F606" s="1051" t="str">
        <f t="shared" si="74"/>
        <v/>
      </c>
      <c r="G606" s="1055" t="str">
        <f t="shared" si="75"/>
        <v/>
      </c>
      <c r="I606" s="2018"/>
      <c r="J606" s="1135"/>
      <c r="K606" s="1135"/>
      <c r="L606" s="1135"/>
      <c r="M606" s="2062"/>
      <c r="N606" s="1135"/>
      <c r="O606" s="1135"/>
      <c r="P606" s="2017"/>
      <c r="Q606" s="2017"/>
      <c r="R606" s="2017"/>
      <c r="S606" s="2017"/>
      <c r="T606" s="2017"/>
      <c r="U606" s="2042"/>
    </row>
    <row r="607" spans="2:21" hidden="1" outlineLevel="2">
      <c r="B607" s="1135"/>
      <c r="C607" s="1045"/>
      <c r="D607" s="1051">
        <f t="shared" si="73"/>
        <v>38</v>
      </c>
      <c r="E607" s="1051" t="str">
        <f>IF(COUNTIF(E$411:E606,F607)&gt;0,"",F607)</f>
        <v/>
      </c>
      <c r="F607" s="1051" t="str">
        <f t="shared" si="74"/>
        <v/>
      </c>
      <c r="G607" s="1055" t="str">
        <f t="shared" si="75"/>
        <v/>
      </c>
      <c r="I607" s="2018"/>
      <c r="J607" s="1135"/>
      <c r="K607" s="1135"/>
      <c r="L607" s="1135"/>
      <c r="M607" s="2062"/>
      <c r="N607" s="1135"/>
      <c r="O607" s="1135"/>
      <c r="P607" s="2017"/>
      <c r="Q607" s="2017"/>
      <c r="R607" s="2017"/>
      <c r="S607" s="2017"/>
      <c r="T607" s="2017"/>
      <c r="U607" s="2042"/>
    </row>
    <row r="608" spans="2:21" hidden="1" outlineLevel="2">
      <c r="B608" s="1135"/>
      <c r="C608" s="1045"/>
      <c r="D608" s="1051">
        <f t="shared" si="73"/>
        <v>38</v>
      </c>
      <c r="E608" s="1051" t="str">
        <f>IF(COUNTIF(E$411:E607,F608)&gt;0,"",F608)</f>
        <v/>
      </c>
      <c r="F608" s="1051" t="str">
        <f t="shared" si="74"/>
        <v/>
      </c>
      <c r="G608" s="1055" t="str">
        <f t="shared" si="75"/>
        <v/>
      </c>
      <c r="I608" s="2018"/>
      <c r="J608" s="1135"/>
      <c r="K608" s="1135"/>
      <c r="L608" s="1135"/>
      <c r="M608" s="2062"/>
      <c r="N608" s="1135"/>
      <c r="O608" s="1135"/>
      <c r="P608" s="2017"/>
      <c r="Q608" s="2017"/>
      <c r="R608" s="2017"/>
      <c r="S608" s="2017"/>
      <c r="T608" s="2017"/>
      <c r="U608" s="2042"/>
    </row>
    <row r="609" spans="2:21" hidden="1" outlineLevel="2">
      <c r="B609" s="1135"/>
      <c r="C609" s="1045"/>
      <c r="D609" s="1051">
        <f t="shared" si="73"/>
        <v>38</v>
      </c>
      <c r="E609" s="1051" t="str">
        <f>IF(COUNTIF(E$411:E608,F609)&gt;0,"",F609)</f>
        <v/>
      </c>
      <c r="F609" s="1051" t="str">
        <f t="shared" si="74"/>
        <v/>
      </c>
      <c r="G609" s="1055" t="str">
        <f t="shared" si="75"/>
        <v/>
      </c>
      <c r="I609" s="2018"/>
      <c r="J609" s="1135"/>
      <c r="K609" s="1135"/>
      <c r="L609" s="1135"/>
      <c r="M609" s="2062"/>
      <c r="N609" s="1135"/>
      <c r="O609" s="1135"/>
      <c r="P609" s="2017"/>
      <c r="Q609" s="2017"/>
      <c r="R609" s="2017"/>
      <c r="S609" s="2017"/>
      <c r="T609" s="2017"/>
      <c r="U609" s="2042"/>
    </row>
    <row r="610" spans="2:21" hidden="1" outlineLevel="2">
      <c r="B610" s="1135"/>
      <c r="C610" s="1045"/>
      <c r="D610" s="1051">
        <f t="shared" si="73"/>
        <v>38</v>
      </c>
      <c r="E610" s="1051" t="str">
        <f>IF(COUNTIF(E$411:E609,F610)&gt;0,"",F610)</f>
        <v/>
      </c>
      <c r="F610" s="1051" t="str">
        <f t="shared" si="74"/>
        <v/>
      </c>
      <c r="G610" s="1055" t="str">
        <f t="shared" si="75"/>
        <v/>
      </c>
      <c r="I610" s="2018"/>
      <c r="J610" s="1135"/>
      <c r="K610" s="1135"/>
      <c r="L610" s="1135"/>
      <c r="M610" s="2062"/>
      <c r="N610" s="1135"/>
      <c r="O610" s="1135"/>
      <c r="P610" s="2017"/>
      <c r="Q610" s="2017"/>
      <c r="R610" s="2017"/>
      <c r="S610" s="2017"/>
      <c r="T610" s="2017"/>
      <c r="U610" s="2042"/>
    </row>
    <row r="611" spans="2:21" hidden="1" outlineLevel="2">
      <c r="B611" s="1135"/>
      <c r="C611" s="1045"/>
      <c r="D611" s="1051">
        <f t="shared" si="73"/>
        <v>38</v>
      </c>
      <c r="E611" s="1051" t="str">
        <f>IF(COUNTIF(E$411:E610,F611)&gt;0,"",F611)</f>
        <v/>
      </c>
      <c r="F611" s="1051" t="str">
        <f t="shared" si="74"/>
        <v/>
      </c>
      <c r="G611" s="1055" t="str">
        <f t="shared" si="75"/>
        <v/>
      </c>
      <c r="I611" s="2018"/>
      <c r="J611" s="1135"/>
      <c r="K611" s="1135"/>
      <c r="L611" s="1135"/>
      <c r="M611" s="2062"/>
      <c r="N611" s="1135"/>
      <c r="O611" s="1135"/>
      <c r="P611" s="2017"/>
      <c r="Q611" s="2017"/>
      <c r="R611" s="2017"/>
      <c r="S611" s="2017"/>
      <c r="T611" s="2017"/>
      <c r="U611" s="2042"/>
    </row>
    <row r="612" spans="2:21" hidden="1" outlineLevel="2">
      <c r="B612" s="1135"/>
      <c r="C612" s="1045"/>
      <c r="D612" s="1051">
        <f t="shared" si="73"/>
        <v>38</v>
      </c>
      <c r="E612" s="1051" t="str">
        <f>IF(COUNTIF(E$411:E611,F612)&gt;0,"",F612)</f>
        <v/>
      </c>
      <c r="F612" s="1051" t="str">
        <f t="shared" si="74"/>
        <v/>
      </c>
      <c r="G612" s="1055" t="str">
        <f t="shared" si="75"/>
        <v/>
      </c>
      <c r="I612" s="2018"/>
      <c r="J612" s="1135"/>
      <c r="K612" s="1135"/>
      <c r="L612" s="1135"/>
      <c r="M612" s="2062"/>
      <c r="N612" s="1135"/>
      <c r="O612" s="1135"/>
      <c r="P612" s="2017"/>
      <c r="Q612" s="2017"/>
      <c r="R612" s="2017"/>
      <c r="S612" s="2017"/>
      <c r="T612" s="2017"/>
      <c r="U612" s="2042"/>
    </row>
    <row r="613" spans="2:21" hidden="1" outlineLevel="2">
      <c r="B613" s="1135"/>
      <c r="C613" s="1045"/>
      <c r="D613" s="1051">
        <f t="shared" si="73"/>
        <v>38</v>
      </c>
      <c r="E613" s="1051" t="str">
        <f>IF(COUNTIF(E$411:E612,F613)&gt;0,"",F613)</f>
        <v/>
      </c>
      <c r="F613" s="1051" t="str">
        <f t="shared" si="74"/>
        <v/>
      </c>
      <c r="G613" s="1055" t="str">
        <f t="shared" si="75"/>
        <v/>
      </c>
      <c r="I613" s="2018"/>
      <c r="J613" s="1135"/>
      <c r="K613" s="1135"/>
      <c r="L613" s="1135"/>
      <c r="M613" s="2062"/>
      <c r="N613" s="1135"/>
      <c r="O613" s="1135"/>
      <c r="P613" s="2017"/>
      <c r="Q613" s="2017"/>
      <c r="R613" s="2017"/>
      <c r="S613" s="2017"/>
      <c r="T613" s="2017"/>
      <c r="U613" s="2042"/>
    </row>
    <row r="614" spans="2:21" hidden="1" outlineLevel="2">
      <c r="B614" s="1135"/>
      <c r="C614" s="1045"/>
      <c r="D614" s="1051">
        <f t="shared" si="73"/>
        <v>38</v>
      </c>
      <c r="E614" s="1051" t="str">
        <f>IF(COUNTIF(E$411:E613,F614)&gt;0,"",F614)</f>
        <v/>
      </c>
      <c r="F614" s="1051" t="str">
        <f t="shared" si="74"/>
        <v/>
      </c>
      <c r="G614" s="1055" t="str">
        <f t="shared" si="75"/>
        <v/>
      </c>
      <c r="I614" s="2018"/>
      <c r="J614" s="1135"/>
      <c r="K614" s="1135"/>
      <c r="L614" s="1135"/>
      <c r="M614" s="2062"/>
      <c r="N614" s="1135"/>
      <c r="O614" s="1135"/>
      <c r="P614" s="2017"/>
      <c r="Q614" s="2017"/>
      <c r="R614" s="2017"/>
      <c r="S614" s="2017"/>
      <c r="T614" s="2017"/>
      <c r="U614" s="2042"/>
    </row>
    <row r="615" spans="2:21" hidden="1" outlineLevel="2">
      <c r="B615" s="1135"/>
      <c r="C615" s="1045"/>
      <c r="D615" s="1051">
        <f t="shared" si="73"/>
        <v>38</v>
      </c>
      <c r="E615" s="1051" t="str">
        <f>IF(COUNTIF(E$411:E614,F615)&gt;0,"",F615)</f>
        <v/>
      </c>
      <c r="F615" s="1051" t="str">
        <f t="shared" si="74"/>
        <v/>
      </c>
      <c r="G615" s="1055" t="str">
        <f t="shared" si="75"/>
        <v/>
      </c>
      <c r="I615" s="2018"/>
      <c r="J615" s="1135"/>
      <c r="K615" s="1135"/>
      <c r="L615" s="1135"/>
      <c r="M615" s="2062"/>
      <c r="N615" s="1135"/>
      <c r="O615" s="1135"/>
      <c r="P615" s="2017"/>
      <c r="Q615" s="2017"/>
      <c r="R615" s="2017"/>
      <c r="S615" s="2017"/>
      <c r="T615" s="2017"/>
      <c r="U615" s="2042"/>
    </row>
    <row r="616" spans="2:21" hidden="1" outlineLevel="2">
      <c r="B616" s="1135"/>
      <c r="C616" s="1045"/>
      <c r="D616" s="1051">
        <f t="shared" si="73"/>
        <v>38</v>
      </c>
      <c r="E616" s="1051" t="str">
        <f>IF(COUNTIF(E$411:E615,F616)&gt;0,"",F616)</f>
        <v/>
      </c>
      <c r="F616" s="1051" t="str">
        <f t="shared" si="74"/>
        <v/>
      </c>
      <c r="G616" s="1055" t="str">
        <f t="shared" si="75"/>
        <v/>
      </c>
      <c r="I616" s="2018"/>
      <c r="J616" s="1135"/>
      <c r="K616" s="1135"/>
      <c r="L616" s="1135"/>
      <c r="M616" s="2062"/>
      <c r="N616" s="1135"/>
      <c r="O616" s="1135"/>
      <c r="P616" s="2017"/>
      <c r="Q616" s="2017"/>
      <c r="R616" s="2017"/>
      <c r="S616" s="2017"/>
      <c r="T616" s="2017"/>
      <c r="U616" s="2042"/>
    </row>
    <row r="617" spans="2:21" hidden="1" outlineLevel="2">
      <c r="B617" s="1135"/>
      <c r="C617" s="1045"/>
      <c r="D617" s="1051">
        <f t="shared" si="73"/>
        <v>38</v>
      </c>
      <c r="E617" s="1051" t="str">
        <f>IF(COUNTIF(E$411:E616,F617)&gt;0,"",F617)</f>
        <v/>
      </c>
      <c r="F617" s="1051" t="str">
        <f t="shared" si="74"/>
        <v/>
      </c>
      <c r="G617" s="1055" t="str">
        <f t="shared" si="75"/>
        <v/>
      </c>
      <c r="I617" s="2018"/>
      <c r="J617" s="1135"/>
      <c r="K617" s="1135"/>
      <c r="L617" s="1135"/>
      <c r="M617" s="2062"/>
      <c r="N617" s="1135"/>
      <c r="O617" s="1135"/>
      <c r="P617" s="2017"/>
      <c r="Q617" s="2017"/>
      <c r="R617" s="2017"/>
      <c r="S617" s="2017"/>
      <c r="T617" s="2017"/>
      <c r="U617" s="2042"/>
    </row>
    <row r="618" spans="2:21" hidden="1" outlineLevel="2">
      <c r="B618" s="1135"/>
      <c r="C618" s="1045"/>
      <c r="D618" s="1051">
        <f t="shared" si="73"/>
        <v>38</v>
      </c>
      <c r="E618" s="1051" t="str">
        <f>IF(COUNTIF(E$411:E617,F618)&gt;0,"",F618)</f>
        <v/>
      </c>
      <c r="F618" s="1051" t="str">
        <f t="shared" si="74"/>
        <v/>
      </c>
      <c r="G618" s="1055" t="str">
        <f t="shared" si="75"/>
        <v/>
      </c>
      <c r="I618" s="2018"/>
      <c r="J618" s="1135"/>
      <c r="K618" s="1135"/>
      <c r="L618" s="1135"/>
      <c r="M618" s="2062"/>
      <c r="N618" s="1135"/>
      <c r="O618" s="1135"/>
      <c r="P618" s="2017"/>
      <c r="Q618" s="2017"/>
      <c r="R618" s="2017"/>
      <c r="S618" s="2017"/>
      <c r="T618" s="2017"/>
      <c r="U618" s="2042"/>
    </row>
    <row r="619" spans="2:21" hidden="1" outlineLevel="2">
      <c r="B619" s="1135"/>
      <c r="C619" s="1045"/>
      <c r="D619" s="1051">
        <f t="shared" si="73"/>
        <v>38</v>
      </c>
      <c r="E619" s="1051" t="str">
        <f>IF(COUNTIF(E$411:E618,F619)&gt;0,"",F619)</f>
        <v/>
      </c>
      <c r="F619" s="1051" t="str">
        <f t="shared" si="74"/>
        <v/>
      </c>
      <c r="G619" s="1055" t="str">
        <f t="shared" si="75"/>
        <v/>
      </c>
      <c r="I619" s="2018"/>
      <c r="J619" s="1135"/>
      <c r="K619" s="1135"/>
      <c r="L619" s="1135"/>
      <c r="M619" s="2062"/>
      <c r="N619" s="1135"/>
      <c r="O619" s="1135"/>
      <c r="P619" s="2017"/>
      <c r="Q619" s="2017"/>
      <c r="R619" s="2017"/>
      <c r="S619" s="2017"/>
      <c r="T619" s="2017"/>
      <c r="U619" s="2042"/>
    </row>
    <row r="620" spans="2:21" hidden="1" outlineLevel="2">
      <c r="B620" s="1135"/>
      <c r="C620" s="1045"/>
      <c r="D620" s="1051">
        <f t="shared" si="73"/>
        <v>38</v>
      </c>
      <c r="E620" s="1051" t="str">
        <f>IF(COUNTIF(E$411:E619,F620)&gt;0,"",F620)</f>
        <v/>
      </c>
      <c r="F620" s="1051" t="str">
        <f t="shared" si="74"/>
        <v/>
      </c>
      <c r="G620" s="1055" t="str">
        <f t="shared" si="75"/>
        <v/>
      </c>
      <c r="I620" s="2018"/>
      <c r="J620" s="1135"/>
      <c r="K620" s="1135"/>
      <c r="L620" s="1135"/>
      <c r="M620" s="2062"/>
      <c r="N620" s="1135"/>
      <c r="O620" s="1135"/>
      <c r="P620" s="2017"/>
      <c r="Q620" s="2017"/>
      <c r="R620" s="2017"/>
      <c r="S620" s="2017"/>
      <c r="T620" s="2017"/>
      <c r="U620" s="2042"/>
    </row>
    <row r="621" spans="2:21" hidden="1" outlineLevel="2">
      <c r="B621" s="1135"/>
      <c r="C621" s="1045"/>
      <c r="D621" s="1051">
        <f t="shared" si="73"/>
        <v>38</v>
      </c>
      <c r="E621" s="1051" t="str">
        <f>IF(COUNTIF(E$411:E620,F621)&gt;0,"",F621)</f>
        <v/>
      </c>
      <c r="F621" s="1051" t="str">
        <f t="shared" si="74"/>
        <v/>
      </c>
      <c r="G621" s="1055" t="str">
        <f t="shared" si="75"/>
        <v/>
      </c>
      <c r="I621" s="2018"/>
      <c r="J621" s="1135"/>
      <c r="K621" s="1135"/>
      <c r="L621" s="1135"/>
      <c r="M621" s="2062"/>
      <c r="N621" s="1135"/>
      <c r="O621" s="1135"/>
      <c r="P621" s="2017"/>
      <c r="Q621" s="2017"/>
      <c r="R621" s="2017"/>
      <c r="S621" s="2017"/>
      <c r="T621" s="2017"/>
      <c r="U621" s="2042"/>
    </row>
    <row r="622" spans="2:21" ht="13.2" hidden="1" outlineLevel="2">
      <c r="B622" s="1135"/>
      <c r="C622" s="1045"/>
      <c r="D622" s="1045"/>
      <c r="E622" s="1045"/>
      <c r="F622" s="1045"/>
      <c r="G622" s="1135"/>
      <c r="I622" s="1746"/>
      <c r="J622" s="1742"/>
      <c r="K622" s="1742"/>
      <c r="L622" s="1742"/>
      <c r="M622" s="1742"/>
      <c r="N622" s="1742"/>
      <c r="O622" s="1742"/>
      <c r="P622" s="1742"/>
      <c r="Q622" s="1742"/>
      <c r="R622" s="1742"/>
      <c r="S622" s="1742"/>
      <c r="T622" s="1742"/>
      <c r="U622" s="2063"/>
    </row>
    <row r="623" spans="2:21" ht="13.2" hidden="1" outlineLevel="1">
      <c r="B623" s="1135"/>
      <c r="C623" s="1045"/>
      <c r="D623" s="1045"/>
      <c r="E623" s="1045"/>
      <c r="F623" s="1045"/>
      <c r="G623" s="1135"/>
      <c r="I623" s="1746"/>
      <c r="J623" s="1742"/>
      <c r="K623" s="1742"/>
      <c r="L623" s="1742"/>
      <c r="M623" s="1742"/>
      <c r="N623" s="1742"/>
      <c r="O623" s="1742"/>
      <c r="P623" s="1742"/>
      <c r="Q623" s="1742"/>
      <c r="R623" s="1742"/>
      <c r="S623" s="1742"/>
      <c r="T623" s="1742"/>
      <c r="U623" s="2063"/>
    </row>
    <row r="624" spans="2:21" ht="12.75" hidden="1" customHeight="1" outlineLevel="1" collapsed="1">
      <c r="B624" s="3197" t="s">
        <v>3164</v>
      </c>
      <c r="C624" s="3197"/>
      <c r="D624" s="1051">
        <v>0</v>
      </c>
      <c r="E624" s="1051"/>
      <c r="F624" s="1051"/>
      <c r="G624" s="1055"/>
      <c r="I624" s="1746"/>
      <c r="J624" s="1742"/>
      <c r="K624" s="1742"/>
      <c r="L624" s="1742"/>
      <c r="M624" s="1742"/>
      <c r="N624" s="1742"/>
      <c r="O624" s="1742"/>
      <c r="P624" s="1742"/>
      <c r="Q624" s="1742"/>
      <c r="R624" s="1742"/>
      <c r="S624" s="1742"/>
      <c r="T624" s="1742"/>
      <c r="U624" s="2063"/>
    </row>
    <row r="625" spans="2:21" hidden="1" outlineLevel="2">
      <c r="B625" s="2059">
        <v>1</v>
      </c>
      <c r="C625" s="1050" t="str">
        <f>IF(ISNA(VLOOKUP(B625,$D$624:$E$859,2,FALSE)),"-",VLOOKUP(B625,$D$624:$E$859,2,FALSE))</f>
        <v>Appareil photo compact, France continentale, Base Carbone</v>
      </c>
      <c r="D625" s="1051">
        <f>D624+IF(LEN(E625)&gt;0,1,0)</f>
        <v>1</v>
      </c>
      <c r="E625" s="1051" t="str">
        <f>IF(COUNTIF(E$624:E624,F625)&gt;0,"",F625)</f>
        <v>Appareil photo compact, France continentale, Base Carbone</v>
      </c>
      <c r="F625" s="1051" t="str">
        <f>IF(I625&lt;&gt;"",I625&amp;IF(L625&lt;&gt;"",", "&amp;L625,"")&amp;IF(K625&lt;&gt;"",", "&amp;K625,""),"")</f>
        <v>Appareil photo compact, France continentale, Base Carbone</v>
      </c>
      <c r="G625" s="1055" t="str">
        <f>IF(F625&lt;&gt;"",F625&amp;IF(J625&lt;&gt;"","; "&amp;J625&amp;IF(N625&lt;&gt;"",", "&amp;N625,),""),"")</f>
        <v>Appareil photo compact, France continentale, Base Carbone; kgCO2e/unité, Matières premières</v>
      </c>
      <c r="I625" s="2018" t="s">
        <v>3165</v>
      </c>
      <c r="J625" s="1135" t="s">
        <v>1994</v>
      </c>
      <c r="K625" s="1135" t="s">
        <v>1567</v>
      </c>
      <c r="L625" s="1135" t="s">
        <v>1571</v>
      </c>
      <c r="M625" s="2062">
        <v>0.5</v>
      </c>
      <c r="N625" s="1135" t="s">
        <v>3135</v>
      </c>
      <c r="O625" s="1135">
        <v>22.9</v>
      </c>
      <c r="P625" s="2017">
        <v>22.9</v>
      </c>
      <c r="Q625" s="2017">
        <v>0</v>
      </c>
      <c r="R625" s="2017">
        <v>0</v>
      </c>
      <c r="S625" s="2017">
        <v>0</v>
      </c>
      <c r="T625" s="2017">
        <v>0</v>
      </c>
      <c r="U625" s="2042">
        <v>0</v>
      </c>
    </row>
    <row r="626" spans="2:21" hidden="1" outlineLevel="2">
      <c r="B626" s="2059">
        <v>2</v>
      </c>
      <c r="C626" s="1050" t="str">
        <f t="shared" ref="C626:C684" si="76">IF(ISNA(VLOOKUP(B626,$D$624:$E$859,2,FALSE)),"-",VLOOKUP(B626,$D$624:$E$859,2,FALSE))</f>
        <v>Appareil photo hybride, France continentale, Base Carbone</v>
      </c>
      <c r="D626" s="1051">
        <f t="shared" ref="D626:D689" si="77">D625+IF(LEN(E626)&gt;0,1,0)</f>
        <v>1</v>
      </c>
      <c r="E626" s="1051" t="str">
        <f>IF(COUNTIF(E$624:E625,F626)&gt;0,"",F626)</f>
        <v/>
      </c>
      <c r="F626" s="1051" t="str">
        <f t="shared" ref="F626:F689" si="78">IF(I626&lt;&gt;"",I626&amp;IF(L626&lt;&gt;"",", "&amp;L626,"")&amp;IF(K626&lt;&gt;"",", "&amp;K626,""),"")</f>
        <v>Appareil photo compact, France continentale, Base Carbone</v>
      </c>
      <c r="G626" s="1055" t="str">
        <f t="shared" ref="G626:G689" si="79">IF(F626&lt;&gt;"",F626&amp;IF(J626&lt;&gt;"","; "&amp;J626&amp;IF(N626&lt;&gt;"",", "&amp;N626,),""),"")</f>
        <v>Appareil photo compact, France continentale, Base Carbone; kgCO2e/unité, Approvisionnement</v>
      </c>
      <c r="I626" s="2018" t="s">
        <v>3165</v>
      </c>
      <c r="J626" s="1135" t="s">
        <v>1994</v>
      </c>
      <c r="K626" s="1135" t="s">
        <v>1567</v>
      </c>
      <c r="L626" s="1135" t="s">
        <v>1571</v>
      </c>
      <c r="M626" s="2062">
        <v>0.5</v>
      </c>
      <c r="N626" s="1135" t="s">
        <v>3136</v>
      </c>
      <c r="O626" s="1135">
        <v>0.40400000000000003</v>
      </c>
      <c r="P626" s="2017">
        <v>0.40400000000000003</v>
      </c>
      <c r="Q626" s="2017">
        <v>0</v>
      </c>
      <c r="R626" s="2017">
        <v>0</v>
      </c>
      <c r="S626" s="2017">
        <v>0</v>
      </c>
      <c r="T626" s="2017">
        <v>0</v>
      </c>
      <c r="U626" s="2042">
        <v>0</v>
      </c>
    </row>
    <row r="627" spans="2:21" hidden="1" outlineLevel="2">
      <c r="B627" s="2059">
        <v>3</v>
      </c>
      <c r="C627" s="1050" t="str">
        <f t="shared" si="76"/>
        <v>Appareil photo reflex, France continentale, Base Carbone</v>
      </c>
      <c r="D627" s="1051">
        <f t="shared" si="77"/>
        <v>1</v>
      </c>
      <c r="E627" s="1051" t="str">
        <f>IF(COUNTIF(E$624:E626,F627)&gt;0,"",F627)</f>
        <v/>
      </c>
      <c r="F627" s="1051" t="str">
        <f t="shared" si="78"/>
        <v>Appareil photo compact, France continentale, Base Carbone</v>
      </c>
      <c r="G627" s="1055" t="str">
        <f t="shared" si="79"/>
        <v>Appareil photo compact, France continentale, Base Carbone; kgCO2e/unité, Mise en forme</v>
      </c>
      <c r="I627" s="2018" t="s">
        <v>3165</v>
      </c>
      <c r="J627" s="1135" t="s">
        <v>1994</v>
      </c>
      <c r="K627" s="1135" t="s">
        <v>1567</v>
      </c>
      <c r="L627" s="1135" t="s">
        <v>1571</v>
      </c>
      <c r="M627" s="2062">
        <v>0.5</v>
      </c>
      <c r="N627" s="1135" t="s">
        <v>3141</v>
      </c>
      <c r="O627" s="1135">
        <v>0.19500000000000001</v>
      </c>
      <c r="P627" s="2017">
        <v>0.19500000000000001</v>
      </c>
      <c r="Q627" s="2017">
        <v>0</v>
      </c>
      <c r="R627" s="2017">
        <v>0</v>
      </c>
      <c r="S627" s="2017">
        <v>0</v>
      </c>
      <c r="T627" s="2017">
        <v>0</v>
      </c>
      <c r="U627" s="2042">
        <v>0</v>
      </c>
    </row>
    <row r="628" spans="2:21" hidden="1" outlineLevel="2">
      <c r="B628" s="2059">
        <v>4</v>
      </c>
      <c r="C628" s="1050" t="str">
        <f t="shared" si="76"/>
        <v>Baies de disques, Monde, Base Carbone</v>
      </c>
      <c r="D628" s="1051">
        <f t="shared" si="77"/>
        <v>1</v>
      </c>
      <c r="E628" s="1051" t="str">
        <f>IF(COUNTIF(E$624:E627,F628)&gt;0,"",F628)</f>
        <v/>
      </c>
      <c r="F628" s="1051" t="str">
        <f t="shared" si="78"/>
        <v>Appareil photo compact, France continentale, Base Carbone</v>
      </c>
      <c r="G628" s="1055" t="str">
        <f t="shared" si="79"/>
        <v>Appareil photo compact, France continentale, Base Carbone; kgCO2e/unité, Assemblage</v>
      </c>
      <c r="I628" s="2018" t="s">
        <v>3165</v>
      </c>
      <c r="J628" s="1135" t="s">
        <v>1994</v>
      </c>
      <c r="K628" s="1135" t="s">
        <v>1567</v>
      </c>
      <c r="L628" s="1135" t="s">
        <v>1571</v>
      </c>
      <c r="M628" s="2062">
        <v>0.5</v>
      </c>
      <c r="N628" s="1135" t="s">
        <v>3137</v>
      </c>
      <c r="O628" s="1135">
        <v>0.17899999999999999</v>
      </c>
      <c r="P628" s="2017">
        <v>0.17899999999999999</v>
      </c>
      <c r="Q628" s="2017">
        <v>0</v>
      </c>
      <c r="R628" s="2017">
        <v>0</v>
      </c>
      <c r="S628" s="2017">
        <v>0</v>
      </c>
      <c r="T628" s="2017">
        <v>0</v>
      </c>
      <c r="U628" s="2042">
        <v>0</v>
      </c>
    </row>
    <row r="629" spans="2:21" hidden="1" outlineLevel="2">
      <c r="B629" s="2059">
        <v>5</v>
      </c>
      <c r="C629" s="1050" t="str">
        <f t="shared" si="76"/>
        <v>Baladeurs numériques non-tactiles, France continentale, Base Carbone</v>
      </c>
      <c r="D629" s="1051">
        <f t="shared" si="77"/>
        <v>1</v>
      </c>
      <c r="E629" s="1051" t="str">
        <f>IF(COUNTIF(E$624:E628,F629)&gt;0,"",F629)</f>
        <v/>
      </c>
      <c r="F629" s="1051" t="str">
        <f t="shared" si="78"/>
        <v>Appareil photo compact, France continentale, Base Carbone</v>
      </c>
      <c r="G629" s="1055" t="str">
        <f t="shared" si="79"/>
        <v>Appareil photo compact, France continentale, Base Carbone; kgCO2e/unité, Distribution</v>
      </c>
      <c r="I629" s="2018" t="s">
        <v>3165</v>
      </c>
      <c r="J629" s="1135" t="s">
        <v>1994</v>
      </c>
      <c r="K629" s="1135" t="s">
        <v>1567</v>
      </c>
      <c r="L629" s="1135" t="s">
        <v>1571</v>
      </c>
      <c r="M629" s="2062">
        <v>0.5</v>
      </c>
      <c r="N629" s="1135" t="s">
        <v>3138</v>
      </c>
      <c r="O629" s="1135">
        <v>0.747</v>
      </c>
      <c r="P629" s="2017">
        <v>0.747</v>
      </c>
      <c r="Q629" s="2017">
        <v>0</v>
      </c>
      <c r="R629" s="2017">
        <v>0</v>
      </c>
      <c r="S629" s="2017">
        <v>0</v>
      </c>
      <c r="T629" s="2017">
        <v>0</v>
      </c>
      <c r="U629" s="2042">
        <v>0</v>
      </c>
    </row>
    <row r="630" spans="2:21" hidden="1" outlineLevel="2">
      <c r="B630" s="2059">
        <v>6</v>
      </c>
      <c r="C630" s="1050" t="str">
        <f t="shared" si="76"/>
        <v>Baladeurs numériques tactiles, France continentale, Base Carbone</v>
      </c>
      <c r="D630" s="1051">
        <f t="shared" si="77"/>
        <v>2</v>
      </c>
      <c r="E630" s="1051" t="str">
        <f>IF(COUNTIF(E$624:E629,F630)&gt;0,"",F630)</f>
        <v>Appareil photo hybride, France continentale, Base Carbone</v>
      </c>
      <c r="F630" s="1051" t="str">
        <f t="shared" si="78"/>
        <v>Appareil photo hybride, France continentale, Base Carbone</v>
      </c>
      <c r="G630" s="1055" t="str">
        <f t="shared" si="79"/>
        <v>Appareil photo hybride, France continentale, Base Carbone; kgCO2e/unité, Matières premières</v>
      </c>
      <c r="I630" s="2018" t="s">
        <v>3166</v>
      </c>
      <c r="J630" s="1135" t="s">
        <v>1994</v>
      </c>
      <c r="K630" s="1135" t="s">
        <v>1567</v>
      </c>
      <c r="L630" s="1135" t="s">
        <v>1571</v>
      </c>
      <c r="M630" s="2062">
        <v>0.5</v>
      </c>
      <c r="N630" s="1135" t="s">
        <v>3135</v>
      </c>
      <c r="O630" s="1135">
        <v>25.5</v>
      </c>
      <c r="P630" s="2017">
        <v>25.5</v>
      </c>
      <c r="Q630" s="2017">
        <v>0</v>
      </c>
      <c r="R630" s="2017">
        <v>0</v>
      </c>
      <c r="S630" s="2017">
        <v>0</v>
      </c>
      <c r="T630" s="2017">
        <v>0</v>
      </c>
      <c r="U630" s="2042">
        <v>0</v>
      </c>
    </row>
    <row r="631" spans="2:21" hidden="1" outlineLevel="2">
      <c r="B631" s="2059">
        <v>7</v>
      </c>
      <c r="C631" s="1050" t="str">
        <f t="shared" si="76"/>
        <v>Barre de son, France continentale, Base Carbone</v>
      </c>
      <c r="D631" s="1051">
        <f t="shared" si="77"/>
        <v>2</v>
      </c>
      <c r="E631" s="1051" t="str">
        <f>IF(COUNTIF(E$624:E630,F631)&gt;0,"",F631)</f>
        <v/>
      </c>
      <c r="F631" s="1051" t="str">
        <f t="shared" si="78"/>
        <v>Appareil photo hybride, France continentale, Base Carbone</v>
      </c>
      <c r="G631" s="1055" t="str">
        <f t="shared" si="79"/>
        <v>Appareil photo hybride, France continentale, Base Carbone; kgCO2e/unité, Approvisionnement</v>
      </c>
      <c r="I631" s="2018" t="s">
        <v>3166</v>
      </c>
      <c r="J631" s="1135" t="s">
        <v>1994</v>
      </c>
      <c r="K631" s="1135" t="s">
        <v>1567</v>
      </c>
      <c r="L631" s="1135" t="s">
        <v>1571</v>
      </c>
      <c r="M631" s="2062">
        <v>0.5</v>
      </c>
      <c r="N631" s="1135" t="s">
        <v>3136</v>
      </c>
      <c r="O631" s="1135">
        <v>0.80600000000000005</v>
      </c>
      <c r="P631" s="2017">
        <v>0.80600000000000005</v>
      </c>
      <c r="Q631" s="2017">
        <v>0</v>
      </c>
      <c r="R631" s="2017">
        <v>0</v>
      </c>
      <c r="S631" s="2017">
        <v>0</v>
      </c>
      <c r="T631" s="2017">
        <v>0</v>
      </c>
      <c r="U631" s="2042">
        <v>0</v>
      </c>
    </row>
    <row r="632" spans="2:21" hidden="1" outlineLevel="2">
      <c r="B632" s="2059">
        <v>8</v>
      </c>
      <c r="C632" s="1050" t="str">
        <f t="shared" si="76"/>
        <v>Circuits imprimés - alimentation électrique, Asie, Base Carbone</v>
      </c>
      <c r="D632" s="1051">
        <f t="shared" si="77"/>
        <v>2</v>
      </c>
      <c r="E632" s="1051" t="str">
        <f>IF(COUNTIF(E$624:E631,F632)&gt;0,"",F632)</f>
        <v/>
      </c>
      <c r="F632" s="1051" t="str">
        <f t="shared" si="78"/>
        <v>Appareil photo hybride, France continentale, Base Carbone</v>
      </c>
      <c r="G632" s="1055" t="str">
        <f t="shared" si="79"/>
        <v>Appareil photo hybride, France continentale, Base Carbone; kgCO2e/unité, Mise en forme</v>
      </c>
      <c r="I632" s="2018" t="s">
        <v>3166</v>
      </c>
      <c r="J632" s="1135" t="s">
        <v>1994</v>
      </c>
      <c r="K632" s="1135" t="s">
        <v>1567</v>
      </c>
      <c r="L632" s="1135" t="s">
        <v>1571</v>
      </c>
      <c r="M632" s="2062">
        <v>0.5</v>
      </c>
      <c r="N632" s="1135" t="s">
        <v>3141</v>
      </c>
      <c r="O632" s="1135">
        <v>0.47399999999999998</v>
      </c>
      <c r="P632" s="2017">
        <v>0.47399999999999998</v>
      </c>
      <c r="Q632" s="2017">
        <v>0</v>
      </c>
      <c r="R632" s="2017">
        <v>0</v>
      </c>
      <c r="S632" s="2017">
        <v>0</v>
      </c>
      <c r="T632" s="2017">
        <v>0</v>
      </c>
      <c r="U632" s="2042">
        <v>0</v>
      </c>
    </row>
    <row r="633" spans="2:21" hidden="1" outlineLevel="2">
      <c r="B633" s="2059">
        <v>9</v>
      </c>
      <c r="C633" s="1050" t="str">
        <f t="shared" si="76"/>
        <v>Circuits imprimés - carte mère TV basique, Asie, Base Carbone</v>
      </c>
      <c r="D633" s="1051">
        <f t="shared" si="77"/>
        <v>2</v>
      </c>
      <c r="E633" s="1051" t="str">
        <f>IF(COUNTIF(E$624:E632,F633)&gt;0,"",F633)</f>
        <v/>
      </c>
      <c r="F633" s="1051" t="str">
        <f t="shared" si="78"/>
        <v>Appareil photo hybride, France continentale, Base Carbone</v>
      </c>
      <c r="G633" s="1055" t="str">
        <f t="shared" si="79"/>
        <v>Appareil photo hybride, France continentale, Base Carbone; kgCO2e/unité, Assemblage</v>
      </c>
      <c r="I633" s="2018" t="s">
        <v>3166</v>
      </c>
      <c r="J633" s="1135" t="s">
        <v>1994</v>
      </c>
      <c r="K633" s="1135" t="s">
        <v>1567</v>
      </c>
      <c r="L633" s="1135" t="s">
        <v>1571</v>
      </c>
      <c r="M633" s="2062">
        <v>0.5</v>
      </c>
      <c r="N633" s="1135" t="s">
        <v>3137</v>
      </c>
      <c r="O633" s="1135">
        <v>0.70099999999999996</v>
      </c>
      <c r="P633" s="2017">
        <v>0.70099999999999996</v>
      </c>
      <c r="Q633" s="2017">
        <v>0</v>
      </c>
      <c r="R633" s="2017">
        <v>0</v>
      </c>
      <c r="S633" s="2017">
        <v>0</v>
      </c>
      <c r="T633" s="2017">
        <v>0</v>
      </c>
      <c r="U633" s="2042">
        <v>0</v>
      </c>
    </row>
    <row r="634" spans="2:21" hidden="1" outlineLevel="2">
      <c r="B634" s="2059">
        <v>10</v>
      </c>
      <c r="C634" s="1050" t="str">
        <f t="shared" si="76"/>
        <v>Circuits imprimés - contrôleurs LCD et cartes mères TV connectées, Asie, Base Carbone</v>
      </c>
      <c r="D634" s="1051">
        <f t="shared" si="77"/>
        <v>2</v>
      </c>
      <c r="E634" s="1051" t="str">
        <f>IF(COUNTIF(E$624:E633,F634)&gt;0,"",F634)</f>
        <v/>
      </c>
      <c r="F634" s="1051" t="str">
        <f t="shared" si="78"/>
        <v>Appareil photo hybride, France continentale, Base Carbone</v>
      </c>
      <c r="G634" s="1055" t="str">
        <f t="shared" si="79"/>
        <v>Appareil photo hybride, France continentale, Base Carbone; kgCO2e/unité, Distribution</v>
      </c>
      <c r="I634" s="2018" t="s">
        <v>3166</v>
      </c>
      <c r="J634" s="1135" t="s">
        <v>1994</v>
      </c>
      <c r="K634" s="1135" t="s">
        <v>1567</v>
      </c>
      <c r="L634" s="1135" t="s">
        <v>1571</v>
      </c>
      <c r="M634" s="2062">
        <v>0.5</v>
      </c>
      <c r="N634" s="1135" t="s">
        <v>3138</v>
      </c>
      <c r="O634" s="1135">
        <v>1.48</v>
      </c>
      <c r="P634" s="2017">
        <v>1.48</v>
      </c>
      <c r="Q634" s="2017">
        <v>0</v>
      </c>
      <c r="R634" s="2017">
        <v>0</v>
      </c>
      <c r="S634" s="2017">
        <v>0</v>
      </c>
      <c r="T634" s="2017">
        <v>0</v>
      </c>
      <c r="U634" s="2042">
        <v>0</v>
      </c>
    </row>
    <row r="635" spans="2:21" hidden="1" outlineLevel="2">
      <c r="B635" s="2059">
        <v>11</v>
      </c>
      <c r="C635" s="1050" t="str">
        <f t="shared" si="76"/>
        <v>Cadran photo numérique, France continentale, Base Carbone</v>
      </c>
      <c r="D635" s="1051">
        <f t="shared" si="77"/>
        <v>3</v>
      </c>
      <c r="E635" s="1051" t="str">
        <f>IF(COUNTIF(E$624:E634,F635)&gt;0,"",F635)</f>
        <v>Appareil photo reflex, France continentale, Base Carbone</v>
      </c>
      <c r="F635" s="1051" t="str">
        <f t="shared" si="78"/>
        <v>Appareil photo reflex, France continentale, Base Carbone</v>
      </c>
      <c r="G635" s="1055" t="str">
        <f t="shared" si="79"/>
        <v>Appareil photo reflex, France continentale, Base Carbone; kgCO2e/unité, Matières premières</v>
      </c>
      <c r="I635" s="2018" t="s">
        <v>3167</v>
      </c>
      <c r="J635" s="1135" t="s">
        <v>1994</v>
      </c>
      <c r="K635" s="1135" t="s">
        <v>1567</v>
      </c>
      <c r="L635" s="1135" t="s">
        <v>1571</v>
      </c>
      <c r="M635" s="2062">
        <v>0.5</v>
      </c>
      <c r="N635" s="1135" t="s">
        <v>3135</v>
      </c>
      <c r="O635" s="1135">
        <v>26.5</v>
      </c>
      <c r="P635" s="2017">
        <v>26.5</v>
      </c>
      <c r="Q635" s="2017">
        <v>0</v>
      </c>
      <c r="R635" s="2017">
        <v>0</v>
      </c>
      <c r="S635" s="2017">
        <v>0</v>
      </c>
      <c r="T635" s="2017">
        <v>0</v>
      </c>
      <c r="U635" s="2042">
        <v>0</v>
      </c>
    </row>
    <row r="636" spans="2:21" hidden="1" outlineLevel="2">
      <c r="B636" s="2059">
        <v>12</v>
      </c>
      <c r="C636" s="1050" t="str">
        <f t="shared" si="76"/>
        <v>Console vidéo de salon, France continentale, Base Carbone</v>
      </c>
      <c r="D636" s="1051">
        <f t="shared" si="77"/>
        <v>3</v>
      </c>
      <c r="E636" s="1051" t="str">
        <f>IF(COUNTIF(E$624:E635,F636)&gt;0,"",F636)</f>
        <v/>
      </c>
      <c r="F636" s="1051" t="str">
        <f t="shared" si="78"/>
        <v>Appareil photo reflex, France continentale, Base Carbone</v>
      </c>
      <c r="G636" s="1055" t="str">
        <f t="shared" si="79"/>
        <v>Appareil photo reflex, France continentale, Base Carbone; kgCO2e/unité, Approvisionnement</v>
      </c>
      <c r="I636" s="2018" t="s">
        <v>3167</v>
      </c>
      <c r="J636" s="1135" t="s">
        <v>1994</v>
      </c>
      <c r="K636" s="1135" t="s">
        <v>1567</v>
      </c>
      <c r="L636" s="1135" t="s">
        <v>1571</v>
      </c>
      <c r="M636" s="2062">
        <v>0.5</v>
      </c>
      <c r="N636" s="1135" t="s">
        <v>3136</v>
      </c>
      <c r="O636" s="1135">
        <v>0.95499999999999996</v>
      </c>
      <c r="P636" s="2017">
        <v>0.95499999999999996</v>
      </c>
      <c r="Q636" s="2017">
        <v>0</v>
      </c>
      <c r="R636" s="2017">
        <v>0</v>
      </c>
      <c r="S636" s="2017">
        <v>0</v>
      </c>
      <c r="T636" s="2017">
        <v>0</v>
      </c>
      <c r="U636" s="2042">
        <v>0</v>
      </c>
    </row>
    <row r="637" spans="2:21" hidden="1" outlineLevel="2">
      <c r="B637" s="2059">
        <v>13</v>
      </c>
      <c r="C637" s="1050" t="str">
        <f t="shared" si="76"/>
        <v>Console vidéo portable, France continentale, Base Carbone</v>
      </c>
      <c r="D637" s="1051">
        <f t="shared" si="77"/>
        <v>3</v>
      </c>
      <c r="E637" s="1051" t="str">
        <f>IF(COUNTIF(E$624:E636,F637)&gt;0,"",F637)</f>
        <v/>
      </c>
      <c r="F637" s="1051" t="str">
        <f t="shared" si="78"/>
        <v>Appareil photo reflex, France continentale, Base Carbone</v>
      </c>
      <c r="G637" s="1055" t="str">
        <f t="shared" si="79"/>
        <v>Appareil photo reflex, France continentale, Base Carbone; kgCO2e/unité, Mise en forme</v>
      </c>
      <c r="I637" s="2018" t="s">
        <v>3167</v>
      </c>
      <c r="J637" s="1135" t="s">
        <v>1994</v>
      </c>
      <c r="K637" s="1135" t="s">
        <v>1567</v>
      </c>
      <c r="L637" s="1135" t="s">
        <v>1571</v>
      </c>
      <c r="M637" s="2062">
        <v>0.5</v>
      </c>
      <c r="N637" s="1135" t="s">
        <v>3141</v>
      </c>
      <c r="O637" s="1135">
        <v>0.53700000000000003</v>
      </c>
      <c r="P637" s="2017">
        <v>0.53700000000000003</v>
      </c>
      <c r="Q637" s="2017">
        <v>0</v>
      </c>
      <c r="R637" s="2017">
        <v>0</v>
      </c>
      <c r="S637" s="2017">
        <v>0</v>
      </c>
      <c r="T637" s="2017">
        <v>0</v>
      </c>
      <c r="U637" s="2042">
        <v>0</v>
      </c>
    </row>
    <row r="638" spans="2:21" hidden="1" outlineLevel="2">
      <c r="B638" s="2059">
        <v>14</v>
      </c>
      <c r="C638" s="1050" t="str">
        <f t="shared" si="76"/>
        <v>Décodeur , France continentale, Base Carbone</v>
      </c>
      <c r="D638" s="1051">
        <f t="shared" si="77"/>
        <v>3</v>
      </c>
      <c r="E638" s="1051" t="str">
        <f>IF(COUNTIF(E$624:E637,F638)&gt;0,"",F638)</f>
        <v/>
      </c>
      <c r="F638" s="1051" t="str">
        <f t="shared" si="78"/>
        <v>Appareil photo reflex, France continentale, Base Carbone</v>
      </c>
      <c r="G638" s="1055" t="str">
        <f t="shared" si="79"/>
        <v>Appareil photo reflex, France continentale, Base Carbone; kgCO2e/unité, Assemblage</v>
      </c>
      <c r="I638" s="2018" t="s">
        <v>3167</v>
      </c>
      <c r="J638" s="1135" t="s">
        <v>1994</v>
      </c>
      <c r="K638" s="1135" t="s">
        <v>1567</v>
      </c>
      <c r="L638" s="1135" t="s">
        <v>1571</v>
      </c>
      <c r="M638" s="2062">
        <v>0.5</v>
      </c>
      <c r="N638" s="1135" t="s">
        <v>3137</v>
      </c>
      <c r="O638" s="1135">
        <v>0.83</v>
      </c>
      <c r="P638" s="2017">
        <v>0.83</v>
      </c>
      <c r="Q638" s="2017">
        <v>0</v>
      </c>
      <c r="R638" s="2017">
        <v>0</v>
      </c>
      <c r="S638" s="2017">
        <v>0</v>
      </c>
      <c r="T638" s="2017">
        <v>0</v>
      </c>
      <c r="U638" s="2042">
        <v>0</v>
      </c>
    </row>
    <row r="639" spans="2:21" hidden="1" outlineLevel="2">
      <c r="B639" s="2059">
        <v>15</v>
      </c>
      <c r="C639" s="1050" t="str">
        <f t="shared" si="76"/>
        <v>DSL haut débit , France continentale, Base Carbone</v>
      </c>
      <c r="D639" s="1051">
        <f t="shared" si="77"/>
        <v>3</v>
      </c>
      <c r="E639" s="1051" t="str">
        <f>IF(COUNTIF(E$624:E638,F639)&gt;0,"",F639)</f>
        <v/>
      </c>
      <c r="F639" s="1051" t="str">
        <f t="shared" si="78"/>
        <v>Appareil photo reflex, France continentale, Base Carbone</v>
      </c>
      <c r="G639" s="1055" t="str">
        <f t="shared" si="79"/>
        <v>Appareil photo reflex, France continentale, Base Carbone; kgCO2e/unité, Distribution</v>
      </c>
      <c r="I639" s="2018" t="s">
        <v>3167</v>
      </c>
      <c r="J639" s="1135" t="s">
        <v>1994</v>
      </c>
      <c r="K639" s="1135" t="s">
        <v>1567</v>
      </c>
      <c r="L639" s="1135" t="s">
        <v>1571</v>
      </c>
      <c r="M639" s="2062">
        <v>0.5</v>
      </c>
      <c r="N639" s="1135" t="s">
        <v>3138</v>
      </c>
      <c r="O639" s="1135">
        <v>1.77</v>
      </c>
      <c r="P639" s="2017">
        <v>1.77</v>
      </c>
      <c r="Q639" s="2017">
        <v>0</v>
      </c>
      <c r="R639" s="2017">
        <v>0</v>
      </c>
      <c r="S639" s="2017">
        <v>0</v>
      </c>
      <c r="T639" s="2017">
        <v>0</v>
      </c>
      <c r="U639" s="2042">
        <v>0</v>
      </c>
    </row>
    <row r="640" spans="2:21" hidden="1" outlineLevel="2">
      <c r="B640" s="2059">
        <v>16</v>
      </c>
      <c r="C640" s="1050" t="str">
        <f t="shared" si="76"/>
        <v>Ecran 21,5 pouces, France continentale, Base Carbone</v>
      </c>
      <c r="D640" s="1051">
        <f t="shared" si="77"/>
        <v>4</v>
      </c>
      <c r="E640" s="1051" t="str">
        <f>IF(COUNTIF(E$624:E639,F640)&gt;0,"",F640)</f>
        <v>Baies de disques, Monde, Base Carbone</v>
      </c>
      <c r="F640" s="1051" t="str">
        <f t="shared" si="78"/>
        <v>Baies de disques, Monde, Base Carbone</v>
      </c>
      <c r="G640" s="1055" t="str">
        <f t="shared" si="79"/>
        <v>Baies de disques, Monde, Base Carbone; kgCO2e/unité, Matières premières</v>
      </c>
      <c r="I640" s="2018" t="s">
        <v>3718</v>
      </c>
      <c r="J640" s="1135" t="s">
        <v>1994</v>
      </c>
      <c r="K640" s="1135" t="s">
        <v>1567</v>
      </c>
      <c r="L640" s="1135" t="s">
        <v>2089</v>
      </c>
      <c r="M640" s="2062">
        <v>0.4</v>
      </c>
      <c r="N640" s="2017" t="s">
        <v>3135</v>
      </c>
      <c r="O640" s="1135">
        <v>15.5</v>
      </c>
      <c r="P640" s="2017">
        <v>15.5</v>
      </c>
      <c r="Q640" s="2017">
        <v>0</v>
      </c>
      <c r="R640" s="2017">
        <v>0</v>
      </c>
      <c r="S640" s="2017">
        <v>0</v>
      </c>
      <c r="T640" s="2017">
        <v>0</v>
      </c>
      <c r="U640" s="2042">
        <v>0</v>
      </c>
    </row>
    <row r="641" spans="2:21" hidden="1" outlineLevel="2">
      <c r="B641" s="2059">
        <v>17</v>
      </c>
      <c r="C641" s="1050" t="str">
        <f t="shared" si="76"/>
        <v>Ecran 23,8 pouces, France continentale, Base Carbone</v>
      </c>
      <c r="D641" s="1051">
        <f t="shared" si="77"/>
        <v>5</v>
      </c>
      <c r="E641" s="1051" t="str">
        <f>IF(COUNTIF(E$624:E640,F641)&gt;0,"",F641)</f>
        <v>Baladeurs numériques non-tactiles, France continentale, Base Carbone</v>
      </c>
      <c r="F641" s="1051" t="str">
        <f t="shared" si="78"/>
        <v>Baladeurs numériques non-tactiles, France continentale, Base Carbone</v>
      </c>
      <c r="G641" s="1055" t="str">
        <f t="shared" si="79"/>
        <v>Baladeurs numériques non-tactiles, France continentale, Base Carbone; kgCO2e/unité, Matières premières</v>
      </c>
      <c r="I641" s="2018" t="s">
        <v>3168</v>
      </c>
      <c r="J641" s="1135" t="s">
        <v>1994</v>
      </c>
      <c r="K641" s="1135" t="s">
        <v>1567</v>
      </c>
      <c r="L641" s="1135" t="s">
        <v>1571</v>
      </c>
      <c r="M641" s="2062">
        <v>0.5</v>
      </c>
      <c r="N641" s="1135" t="s">
        <v>3135</v>
      </c>
      <c r="O641" s="1135">
        <v>1.04</v>
      </c>
      <c r="P641" s="2017">
        <v>1.04</v>
      </c>
      <c r="Q641" s="2017">
        <v>0</v>
      </c>
      <c r="R641" s="2017">
        <v>0</v>
      </c>
      <c r="S641" s="2017">
        <v>0</v>
      </c>
      <c r="T641" s="2017">
        <v>0</v>
      </c>
      <c r="U641" s="2042">
        <v>0</v>
      </c>
    </row>
    <row r="642" spans="2:21" hidden="1" outlineLevel="2">
      <c r="B642" s="2059">
        <v>18</v>
      </c>
      <c r="C642" s="1050" t="str">
        <f t="shared" si="76"/>
        <v>Ecran publicitaire 2m², France continentale, Base Carbone</v>
      </c>
      <c r="D642" s="1051">
        <f t="shared" si="77"/>
        <v>5</v>
      </c>
      <c r="E642" s="1051" t="str">
        <f>IF(COUNTIF(E$624:E641,F642)&gt;0,"",F642)</f>
        <v/>
      </c>
      <c r="F642" s="1051" t="str">
        <f t="shared" si="78"/>
        <v>Baladeurs numériques non-tactiles, France continentale, Base Carbone</v>
      </c>
      <c r="G642" s="1055" t="str">
        <f t="shared" si="79"/>
        <v>Baladeurs numériques non-tactiles, France continentale, Base Carbone; kgCO2e/unité, Approvisionnement</v>
      </c>
      <c r="I642" s="2018" t="s">
        <v>3168</v>
      </c>
      <c r="J642" s="1135" t="s">
        <v>1994</v>
      </c>
      <c r="K642" s="1135" t="s">
        <v>1567</v>
      </c>
      <c r="L642" s="1135" t="s">
        <v>1571</v>
      </c>
      <c r="M642" s="2062">
        <v>0.5</v>
      </c>
      <c r="N642" s="1135" t="s">
        <v>3136</v>
      </c>
      <c r="O642" s="1135">
        <v>4.5499999999999999E-2</v>
      </c>
      <c r="P642" s="2017">
        <v>4.5499999999999999E-2</v>
      </c>
      <c r="Q642" s="2017">
        <v>0</v>
      </c>
      <c r="R642" s="2017">
        <v>0</v>
      </c>
      <c r="S642" s="2017">
        <v>0</v>
      </c>
      <c r="T642" s="2017">
        <v>0</v>
      </c>
      <c r="U642" s="2042">
        <v>0</v>
      </c>
    </row>
    <row r="643" spans="2:21" hidden="1" outlineLevel="2">
      <c r="B643" s="2059">
        <v>19</v>
      </c>
      <c r="C643" s="1050" t="str">
        <f t="shared" si="76"/>
        <v>Ecran publicitaire 2m² (sans casing), France continentale, Base Carbone</v>
      </c>
      <c r="D643" s="1051">
        <f t="shared" si="77"/>
        <v>5</v>
      </c>
      <c r="E643" s="1051" t="str">
        <f>IF(COUNTIF(E$624:E642,F643)&gt;0,"",F643)</f>
        <v/>
      </c>
      <c r="F643" s="1051" t="str">
        <f t="shared" si="78"/>
        <v>Baladeurs numériques non-tactiles, France continentale, Base Carbone</v>
      </c>
      <c r="G643" s="1055" t="str">
        <f t="shared" si="79"/>
        <v>Baladeurs numériques non-tactiles, France continentale, Base Carbone; kgCO2e/unité, Mise en forme</v>
      </c>
      <c r="I643" s="2018" t="s">
        <v>3168</v>
      </c>
      <c r="J643" s="1135" t="s">
        <v>1994</v>
      </c>
      <c r="K643" s="1135" t="s">
        <v>1567</v>
      </c>
      <c r="L643" s="1135" t="s">
        <v>1571</v>
      </c>
      <c r="M643" s="2062">
        <v>0.5</v>
      </c>
      <c r="N643" s="1135" t="s">
        <v>3141</v>
      </c>
      <c r="O643" s="1135">
        <v>4.6699999999999997E-3</v>
      </c>
      <c r="P643" s="2017">
        <v>4.6699999999999997E-3</v>
      </c>
      <c r="Q643" s="2017">
        <v>0</v>
      </c>
      <c r="R643" s="2017">
        <v>0</v>
      </c>
      <c r="S643" s="2017">
        <v>0</v>
      </c>
      <c r="T643" s="2017">
        <v>0</v>
      </c>
      <c r="U643" s="2042">
        <v>0</v>
      </c>
    </row>
    <row r="644" spans="2:21" hidden="1" outlineLevel="2">
      <c r="B644" s="2059">
        <v>20</v>
      </c>
      <c r="C644" s="1050" t="str">
        <f t="shared" si="76"/>
        <v>Enceinte active Bluetooth, France continentale, Base Carbone</v>
      </c>
      <c r="D644" s="1051">
        <f t="shared" si="77"/>
        <v>5</v>
      </c>
      <c r="E644" s="1051" t="str">
        <f>IF(COUNTIF(E$624:E643,F644)&gt;0,"",F644)</f>
        <v/>
      </c>
      <c r="F644" s="1051" t="str">
        <f t="shared" si="78"/>
        <v>Baladeurs numériques non-tactiles, France continentale, Base Carbone</v>
      </c>
      <c r="G644" s="1055" t="str">
        <f t="shared" si="79"/>
        <v>Baladeurs numériques non-tactiles, France continentale, Base Carbone; kgCO2e/unité, Assemblage</v>
      </c>
      <c r="I644" s="2018" t="s">
        <v>3168</v>
      </c>
      <c r="J644" s="1135" t="s">
        <v>1994</v>
      </c>
      <c r="K644" s="1135" t="s">
        <v>1567</v>
      </c>
      <c r="L644" s="1135" t="s">
        <v>1571</v>
      </c>
      <c r="M644" s="2062">
        <v>0.5</v>
      </c>
      <c r="N644" s="1135" t="s">
        <v>3137</v>
      </c>
      <c r="O644" s="1135">
        <v>0.13300000000000001</v>
      </c>
      <c r="P644" s="2017">
        <v>0.13300000000000001</v>
      </c>
      <c r="Q644" s="2017">
        <v>0</v>
      </c>
      <c r="R644" s="2017">
        <v>0</v>
      </c>
      <c r="S644" s="2017">
        <v>0</v>
      </c>
      <c r="T644" s="2017">
        <v>0</v>
      </c>
      <c r="U644" s="2042">
        <v>0</v>
      </c>
    </row>
    <row r="645" spans="2:21" hidden="1" outlineLevel="2">
      <c r="B645" s="2059">
        <v>21</v>
      </c>
      <c r="C645" s="1050" t="str">
        <f t="shared" si="76"/>
        <v>Enceinte à commande vocale, France continentale, Base Carbone</v>
      </c>
      <c r="D645" s="1051">
        <f t="shared" si="77"/>
        <v>5</v>
      </c>
      <c r="E645" s="1051" t="str">
        <f>IF(COUNTIF(E$624:E644,F645)&gt;0,"",F645)</f>
        <v/>
      </c>
      <c r="F645" s="1051" t="str">
        <f t="shared" si="78"/>
        <v>Baladeurs numériques non-tactiles, France continentale, Base Carbone</v>
      </c>
      <c r="G645" s="1055" t="str">
        <f t="shared" si="79"/>
        <v>Baladeurs numériques non-tactiles, France continentale, Base Carbone; kgCO2e/unité, Distribution</v>
      </c>
      <c r="I645" s="2018" t="s">
        <v>3168</v>
      </c>
      <c r="J645" s="1135" t="s">
        <v>1994</v>
      </c>
      <c r="K645" s="1135" t="s">
        <v>1567</v>
      </c>
      <c r="L645" s="1135" t="s">
        <v>1571</v>
      </c>
      <c r="M645" s="2062">
        <v>0.5</v>
      </c>
      <c r="N645" s="1135" t="s">
        <v>3138</v>
      </c>
      <c r="O645" s="1135">
        <v>0.76300000000000001</v>
      </c>
      <c r="P645" s="2017">
        <v>0.76300000000000001</v>
      </c>
      <c r="Q645" s="2017">
        <v>0</v>
      </c>
      <c r="R645" s="2017">
        <v>0</v>
      </c>
      <c r="S645" s="2017">
        <v>0</v>
      </c>
      <c r="T645" s="2017">
        <v>0</v>
      </c>
      <c r="U645" s="2042">
        <v>0</v>
      </c>
    </row>
    <row r="646" spans="2:21" hidden="1" outlineLevel="2">
      <c r="B646" s="2059">
        <v>22</v>
      </c>
      <c r="C646" s="1050" t="str">
        <f t="shared" si="76"/>
        <v>Home cinéma, France continentale, Base Carbone</v>
      </c>
      <c r="D646" s="1051">
        <f t="shared" si="77"/>
        <v>6</v>
      </c>
      <c r="E646" s="1051" t="str">
        <f>IF(COUNTIF(E$624:E645,F646)&gt;0,"",F646)</f>
        <v>Baladeurs numériques tactiles, France continentale, Base Carbone</v>
      </c>
      <c r="F646" s="1051" t="str">
        <f t="shared" si="78"/>
        <v>Baladeurs numériques tactiles, France continentale, Base Carbone</v>
      </c>
      <c r="G646" s="1055" t="str">
        <f t="shared" si="79"/>
        <v>Baladeurs numériques tactiles, France continentale, Base Carbone; kgCO2e/unité, Matières premières</v>
      </c>
      <c r="I646" s="2018" t="s">
        <v>3169</v>
      </c>
      <c r="J646" s="1135" t="s">
        <v>1994</v>
      </c>
      <c r="K646" s="1135" t="s">
        <v>1567</v>
      </c>
      <c r="L646" s="1135" t="s">
        <v>1571</v>
      </c>
      <c r="M646" s="2062">
        <v>0.5</v>
      </c>
      <c r="N646" s="1135" t="s">
        <v>3135</v>
      </c>
      <c r="O646" s="1135">
        <v>5.24</v>
      </c>
      <c r="P646" s="2017">
        <v>5.24</v>
      </c>
      <c r="Q646" s="2017">
        <v>0</v>
      </c>
      <c r="R646" s="2017">
        <v>0</v>
      </c>
      <c r="S646" s="2017">
        <v>0</v>
      </c>
      <c r="T646" s="2017">
        <v>0</v>
      </c>
      <c r="U646" s="2042">
        <v>0</v>
      </c>
    </row>
    <row r="647" spans="2:21" hidden="1" outlineLevel="2">
      <c r="B647" s="2059">
        <v>23</v>
      </c>
      <c r="C647" s="1050" t="str">
        <f t="shared" si="76"/>
        <v>Imprimante jet d'encre, France continentale, Base Carbone</v>
      </c>
      <c r="D647" s="1051">
        <f t="shared" si="77"/>
        <v>6</v>
      </c>
      <c r="E647" s="1051" t="str">
        <f>IF(COUNTIF(E$624:E646,F647)&gt;0,"",F647)</f>
        <v/>
      </c>
      <c r="F647" s="1051" t="str">
        <f t="shared" si="78"/>
        <v>Baladeurs numériques tactiles, France continentale, Base Carbone</v>
      </c>
      <c r="G647" s="1055" t="str">
        <f t="shared" si="79"/>
        <v>Baladeurs numériques tactiles, France continentale, Base Carbone; kgCO2e/unité, Approvisionnement</v>
      </c>
      <c r="I647" s="2018" t="s">
        <v>3169</v>
      </c>
      <c r="J647" s="1135" t="s">
        <v>1994</v>
      </c>
      <c r="K647" s="1135" t="s">
        <v>1567</v>
      </c>
      <c r="L647" s="1135" t="s">
        <v>1571</v>
      </c>
      <c r="M647" s="2062">
        <v>0.5</v>
      </c>
      <c r="N647" s="1135" t="s">
        <v>3136</v>
      </c>
      <c r="O647" s="1135">
        <v>9.9699999999999997E-2</v>
      </c>
      <c r="P647" s="2017">
        <v>9.9699999999999997E-2</v>
      </c>
      <c r="Q647" s="2017">
        <v>0</v>
      </c>
      <c r="R647" s="2017">
        <v>0</v>
      </c>
      <c r="S647" s="2017">
        <v>0</v>
      </c>
      <c r="T647" s="2017">
        <v>0</v>
      </c>
      <c r="U647" s="2042">
        <v>0</v>
      </c>
    </row>
    <row r="648" spans="2:21" hidden="1" outlineLevel="2">
      <c r="B648" s="2059">
        <v>24</v>
      </c>
      <c r="C648" s="1050" t="str">
        <f t="shared" si="76"/>
        <v>Imprimante laser, France continentale, Base Carbone</v>
      </c>
      <c r="D648" s="1051">
        <f t="shared" si="77"/>
        <v>6</v>
      </c>
      <c r="E648" s="1051" t="str">
        <f>IF(COUNTIF(E$624:E647,F648)&gt;0,"",F648)</f>
        <v/>
      </c>
      <c r="F648" s="1051" t="str">
        <f t="shared" si="78"/>
        <v>Baladeurs numériques tactiles, France continentale, Base Carbone</v>
      </c>
      <c r="G648" s="1055" t="str">
        <f t="shared" si="79"/>
        <v>Baladeurs numériques tactiles, France continentale, Base Carbone; kgCO2e/unité, Mise en forme</v>
      </c>
      <c r="I648" s="2018" t="s">
        <v>3169</v>
      </c>
      <c r="J648" s="1135" t="s">
        <v>1994</v>
      </c>
      <c r="K648" s="1135" t="s">
        <v>1567</v>
      </c>
      <c r="L648" s="1135" t="s">
        <v>1571</v>
      </c>
      <c r="M648" s="2062">
        <v>0.5</v>
      </c>
      <c r="N648" s="1135" t="s">
        <v>3141</v>
      </c>
      <c r="O648" s="1135">
        <v>1.6299999999999999E-2</v>
      </c>
      <c r="P648" s="2017">
        <v>1.6299999999999999E-2</v>
      </c>
      <c r="Q648" s="2017">
        <v>0</v>
      </c>
      <c r="R648" s="2017">
        <v>0</v>
      </c>
      <c r="S648" s="2017">
        <v>0</v>
      </c>
      <c r="T648" s="2017">
        <v>0</v>
      </c>
      <c r="U648" s="2042">
        <v>0</v>
      </c>
    </row>
    <row r="649" spans="2:21" hidden="1" outlineLevel="2">
      <c r="B649" s="2059">
        <v>25</v>
      </c>
      <c r="C649" s="1050" t="str">
        <f t="shared" si="76"/>
        <v>Imprimante multi-fonction, France continentale, Base Carbone</v>
      </c>
      <c r="D649" s="1051">
        <f t="shared" si="77"/>
        <v>6</v>
      </c>
      <c r="E649" s="1051" t="str">
        <f>IF(COUNTIF(E$624:E648,F649)&gt;0,"",F649)</f>
        <v/>
      </c>
      <c r="F649" s="1051" t="str">
        <f t="shared" si="78"/>
        <v>Baladeurs numériques tactiles, France continentale, Base Carbone</v>
      </c>
      <c r="G649" s="1055" t="str">
        <f t="shared" si="79"/>
        <v>Baladeurs numériques tactiles, France continentale, Base Carbone; kgCO2e/unité, Assemblage</v>
      </c>
      <c r="I649" s="2018" t="s">
        <v>3169</v>
      </c>
      <c r="J649" s="1135" t="s">
        <v>1994</v>
      </c>
      <c r="K649" s="1135" t="s">
        <v>1567</v>
      </c>
      <c r="L649" s="1135" t="s">
        <v>1571</v>
      </c>
      <c r="M649" s="2062">
        <v>0.5</v>
      </c>
      <c r="N649" s="1135" t="s">
        <v>3137</v>
      </c>
      <c r="O649" s="1135">
        <v>0.18099999999999999</v>
      </c>
      <c r="P649" s="2017">
        <v>0.18099999999999999</v>
      </c>
      <c r="Q649" s="2017">
        <v>0</v>
      </c>
      <c r="R649" s="2017">
        <v>0</v>
      </c>
      <c r="S649" s="2017">
        <v>0</v>
      </c>
      <c r="T649" s="2017">
        <v>0</v>
      </c>
      <c r="U649" s="2042">
        <v>0</v>
      </c>
    </row>
    <row r="650" spans="2:21" hidden="1" outlineLevel="2">
      <c r="B650" s="2059">
        <v>26</v>
      </c>
      <c r="C650" s="1050" t="str">
        <f t="shared" si="76"/>
        <v>Liseuse non-rétro-éclairée, France continentale, Base Carbone</v>
      </c>
      <c r="D650" s="1051">
        <f t="shared" si="77"/>
        <v>6</v>
      </c>
      <c r="E650" s="1051" t="str">
        <f>IF(COUNTIF(E$624:E649,F650)&gt;0,"",F650)</f>
        <v/>
      </c>
      <c r="F650" s="1051" t="str">
        <f t="shared" si="78"/>
        <v>Baladeurs numériques tactiles, France continentale, Base Carbone</v>
      </c>
      <c r="G650" s="1055" t="str">
        <f t="shared" si="79"/>
        <v>Baladeurs numériques tactiles, France continentale, Base Carbone; kgCO2e/unité, Distribution</v>
      </c>
      <c r="I650" s="2018" t="s">
        <v>3169</v>
      </c>
      <c r="J650" s="1135" t="s">
        <v>1994</v>
      </c>
      <c r="K650" s="1135" t="s">
        <v>1567</v>
      </c>
      <c r="L650" s="1135" t="s">
        <v>1571</v>
      </c>
      <c r="M650" s="2062">
        <v>0.5</v>
      </c>
      <c r="N650" s="1135" t="s">
        <v>3138</v>
      </c>
      <c r="O650" s="1135">
        <v>1.67</v>
      </c>
      <c r="P650" s="2017">
        <v>1.67</v>
      </c>
      <c r="Q650" s="2017">
        <v>0</v>
      </c>
      <c r="R650" s="2017">
        <v>0</v>
      </c>
      <c r="S650" s="2017">
        <v>0</v>
      </c>
      <c r="T650" s="2017">
        <v>0</v>
      </c>
      <c r="U650" s="2042">
        <v>0</v>
      </c>
    </row>
    <row r="651" spans="2:21" hidden="1" outlineLevel="2">
      <c r="B651" s="2059">
        <v>27</v>
      </c>
      <c r="C651" s="1050" t="str">
        <f t="shared" si="76"/>
        <v>Liseuse rétro-éclairée, France continentale, Base Carbone</v>
      </c>
      <c r="D651" s="1051">
        <f t="shared" si="77"/>
        <v>7</v>
      </c>
      <c r="E651" s="1051" t="str">
        <f>IF(COUNTIF(E$624:E650,F651)&gt;0,"",F651)</f>
        <v>Barre de son, France continentale, Base Carbone</v>
      </c>
      <c r="F651" s="1051" t="str">
        <f t="shared" si="78"/>
        <v>Barre de son, France continentale, Base Carbone</v>
      </c>
      <c r="G651" s="1055" t="str">
        <f t="shared" si="79"/>
        <v>Barre de son, France continentale, Base Carbone; kgCO2e/unité, Matières premières</v>
      </c>
      <c r="I651" s="2018" t="s">
        <v>3170</v>
      </c>
      <c r="J651" s="1135" t="s">
        <v>1994</v>
      </c>
      <c r="K651" s="1135" t="s">
        <v>1567</v>
      </c>
      <c r="L651" s="1135" t="s">
        <v>1571</v>
      </c>
      <c r="M651" s="2062">
        <v>0.3</v>
      </c>
      <c r="N651" s="1135" t="s">
        <v>3135</v>
      </c>
      <c r="O651" s="1135">
        <v>32.9</v>
      </c>
      <c r="P651" s="2017">
        <v>32.9</v>
      </c>
      <c r="Q651" s="2017">
        <v>0</v>
      </c>
      <c r="R651" s="2017">
        <v>0</v>
      </c>
      <c r="S651" s="2017">
        <v>0</v>
      </c>
      <c r="T651" s="2017">
        <v>0</v>
      </c>
      <c r="U651" s="2042">
        <v>0</v>
      </c>
    </row>
    <row r="652" spans="2:21" hidden="1" outlineLevel="2">
      <c r="B652" s="2059">
        <v>28</v>
      </c>
      <c r="C652" s="1050" t="str">
        <f t="shared" si="76"/>
        <v>Modem fibre, France continentale, Base Carbone</v>
      </c>
      <c r="D652" s="1051">
        <f t="shared" si="77"/>
        <v>7</v>
      </c>
      <c r="E652" s="1051" t="str">
        <f>IF(COUNTIF(E$624:E651,F652)&gt;0,"",F652)</f>
        <v/>
      </c>
      <c r="F652" s="1051" t="str">
        <f t="shared" si="78"/>
        <v>Barre de son, France continentale, Base Carbone</v>
      </c>
      <c r="G652" s="1055" t="str">
        <f t="shared" si="79"/>
        <v>Barre de son, France continentale, Base Carbone; kgCO2e/unité, Approvisionnement</v>
      </c>
      <c r="I652" s="2018" t="s">
        <v>3170</v>
      </c>
      <c r="J652" s="1135" t="s">
        <v>1994</v>
      </c>
      <c r="K652" s="1135" t="s">
        <v>1567</v>
      </c>
      <c r="L652" s="1135" t="s">
        <v>1571</v>
      </c>
      <c r="M652" s="2062">
        <v>0.3</v>
      </c>
      <c r="N652" s="1135" t="s">
        <v>3136</v>
      </c>
      <c r="O652" s="1135">
        <v>1.96</v>
      </c>
      <c r="P652" s="2017">
        <v>1.96</v>
      </c>
      <c r="Q652" s="2017">
        <v>0</v>
      </c>
      <c r="R652" s="2017">
        <v>0</v>
      </c>
      <c r="S652" s="2017">
        <v>0</v>
      </c>
      <c r="T652" s="2017">
        <v>0</v>
      </c>
      <c r="U652" s="2042">
        <v>0</v>
      </c>
    </row>
    <row r="653" spans="2:21" hidden="1" outlineLevel="2">
      <c r="B653" s="2059">
        <v>29</v>
      </c>
      <c r="C653" s="1050" t="str">
        <f t="shared" si="76"/>
        <v>Montre connectée, France continentale, Base Carbone</v>
      </c>
      <c r="D653" s="1051">
        <f t="shared" si="77"/>
        <v>7</v>
      </c>
      <c r="E653" s="1051" t="str">
        <f>IF(COUNTIF(E$624:E652,F653)&gt;0,"",F653)</f>
        <v/>
      </c>
      <c r="F653" s="1051" t="str">
        <f t="shared" si="78"/>
        <v>Barre de son, France continentale, Base Carbone</v>
      </c>
      <c r="G653" s="1055" t="str">
        <f t="shared" si="79"/>
        <v>Barre de son, France continentale, Base Carbone; kgCO2e/unité, Mise en forme</v>
      </c>
      <c r="I653" s="2018" t="s">
        <v>3170</v>
      </c>
      <c r="J653" s="1135" t="s">
        <v>1994</v>
      </c>
      <c r="K653" s="1135" t="s">
        <v>1567</v>
      </c>
      <c r="L653" s="1135" t="s">
        <v>1571</v>
      </c>
      <c r="M653" s="2062">
        <v>0.3</v>
      </c>
      <c r="N653" s="1135" t="s">
        <v>3141</v>
      </c>
      <c r="O653" s="1135">
        <v>0.95099999999999996</v>
      </c>
      <c r="P653" s="2017">
        <v>0.95099999999999996</v>
      </c>
      <c r="Q653" s="2017">
        <v>0</v>
      </c>
      <c r="R653" s="2017">
        <v>0</v>
      </c>
      <c r="S653" s="2017">
        <v>0</v>
      </c>
      <c r="T653" s="2017">
        <v>0</v>
      </c>
      <c r="U653" s="2042">
        <v>0</v>
      </c>
    </row>
    <row r="654" spans="2:21" hidden="1" outlineLevel="2">
      <c r="B654" s="2059">
        <v>30</v>
      </c>
      <c r="C654" s="1050" t="str">
        <f t="shared" si="76"/>
        <v>Ordinateur fixe - bureautique , France continentale, Base Carbone</v>
      </c>
      <c r="D654" s="1051">
        <f t="shared" si="77"/>
        <v>7</v>
      </c>
      <c r="E654" s="1051" t="str">
        <f>IF(COUNTIF(E$624:E653,F654)&gt;0,"",F654)</f>
        <v/>
      </c>
      <c r="F654" s="1051" t="str">
        <f t="shared" si="78"/>
        <v>Barre de son, France continentale, Base Carbone</v>
      </c>
      <c r="G654" s="1055" t="str">
        <f t="shared" si="79"/>
        <v>Barre de son, France continentale, Base Carbone; kgCO2e/unité, Assemblage</v>
      </c>
      <c r="I654" s="2018" t="s">
        <v>3170</v>
      </c>
      <c r="J654" s="1135" t="s">
        <v>1994</v>
      </c>
      <c r="K654" s="1135" t="s">
        <v>1567</v>
      </c>
      <c r="L654" s="1135" t="s">
        <v>1571</v>
      </c>
      <c r="M654" s="2062">
        <v>0.3</v>
      </c>
      <c r="N654" s="1135" t="s">
        <v>3137</v>
      </c>
      <c r="O654" s="1135">
        <v>0.92500000000000004</v>
      </c>
      <c r="P654" s="2017">
        <v>0.92500000000000004</v>
      </c>
      <c r="Q654" s="2017">
        <v>0</v>
      </c>
      <c r="R654" s="2017">
        <v>0</v>
      </c>
      <c r="S654" s="2017">
        <v>0</v>
      </c>
      <c r="T654" s="2017">
        <v>0</v>
      </c>
      <c r="U654" s="2042">
        <v>0</v>
      </c>
    </row>
    <row r="655" spans="2:21" hidden="1" outlineLevel="2">
      <c r="B655" s="2059">
        <v>31</v>
      </c>
      <c r="C655" s="1050" t="str">
        <f t="shared" si="76"/>
        <v>Ordinateur fixe - haute performance, France continentale, Base Carbone</v>
      </c>
      <c r="D655" s="1051">
        <f t="shared" si="77"/>
        <v>7</v>
      </c>
      <c r="E655" s="1051" t="str">
        <f>IF(COUNTIF(E$624:E654,F655)&gt;0,"",F655)</f>
        <v/>
      </c>
      <c r="F655" s="1051" t="str">
        <f t="shared" si="78"/>
        <v>Barre de son, France continentale, Base Carbone</v>
      </c>
      <c r="G655" s="1055" t="str">
        <f t="shared" si="79"/>
        <v>Barre de son, France continentale, Base Carbone; kgCO2e/unité, Distribution</v>
      </c>
      <c r="I655" s="2018" t="s">
        <v>3170</v>
      </c>
      <c r="J655" s="1135" t="s">
        <v>1994</v>
      </c>
      <c r="K655" s="1135" t="s">
        <v>1567</v>
      </c>
      <c r="L655" s="1135" t="s">
        <v>1571</v>
      </c>
      <c r="M655" s="2062">
        <v>0.3</v>
      </c>
      <c r="N655" s="1135" t="s">
        <v>3138</v>
      </c>
      <c r="O655" s="1135">
        <v>3.46</v>
      </c>
      <c r="P655" s="2017">
        <v>3.46</v>
      </c>
      <c r="Q655" s="2017">
        <v>0</v>
      </c>
      <c r="R655" s="2017">
        <v>0</v>
      </c>
      <c r="S655" s="2017">
        <v>0</v>
      </c>
      <c r="T655" s="2017">
        <v>0</v>
      </c>
      <c r="U655" s="2042">
        <v>0</v>
      </c>
    </row>
    <row r="656" spans="2:21" hidden="1" outlineLevel="2">
      <c r="B656" s="2059">
        <v>32</v>
      </c>
      <c r="C656" s="1050" t="str">
        <f t="shared" si="76"/>
        <v>Ordinateur portable , France continentale, Base Carbone</v>
      </c>
      <c r="D656" s="1051">
        <f t="shared" si="77"/>
        <v>8</v>
      </c>
      <c r="E656" s="1051" t="str">
        <f>IF(COUNTIF(E$624:E655,F656)&gt;0,"",F656)</f>
        <v>Circuits imprimés - alimentation électrique, Asie, Base Carbone</v>
      </c>
      <c r="F656" s="1051" t="str">
        <f t="shared" si="78"/>
        <v>Circuits imprimés - alimentation électrique, Asie, Base Carbone</v>
      </c>
      <c r="G656" s="1055" t="str">
        <f t="shared" si="79"/>
        <v>Circuits imprimés - alimentation électrique, Asie, Base Carbone; kgCO2e/m², Matières premières</v>
      </c>
      <c r="I656" s="2018" t="s">
        <v>3249</v>
      </c>
      <c r="J656" s="1135" t="s">
        <v>2006</v>
      </c>
      <c r="K656" s="1135" t="s">
        <v>1567</v>
      </c>
      <c r="L656" s="1135" t="s">
        <v>2112</v>
      </c>
      <c r="M656" s="2062">
        <v>0.5</v>
      </c>
      <c r="N656" s="2017" t="s">
        <v>3135</v>
      </c>
      <c r="O656" s="1135">
        <v>340</v>
      </c>
      <c r="P656" s="1119">
        <v>312</v>
      </c>
      <c r="Q656" s="1119">
        <v>21.1</v>
      </c>
      <c r="R656" s="1119">
        <v>0</v>
      </c>
      <c r="S656" s="1119">
        <v>4</v>
      </c>
      <c r="T656" s="1119">
        <v>3.21</v>
      </c>
      <c r="U656" s="2065">
        <v>10.199999999999999</v>
      </c>
    </row>
    <row r="657" spans="2:21" hidden="1" outlineLevel="2">
      <c r="B657" s="2059">
        <v>33</v>
      </c>
      <c r="C657" s="1050" t="str">
        <f t="shared" si="76"/>
        <v>Photocopieurs, Monde, Base Carbone</v>
      </c>
      <c r="D657" s="1051">
        <f t="shared" si="77"/>
        <v>9</v>
      </c>
      <c r="E657" s="1051" t="str">
        <f>IF(COUNTIF(E$624:E656,F657)&gt;0,"",F657)</f>
        <v>Circuits imprimés - carte mère TV basique, Asie, Base Carbone</v>
      </c>
      <c r="F657" s="1051" t="str">
        <f t="shared" si="78"/>
        <v>Circuits imprimés - carte mère TV basique, Asie, Base Carbone</v>
      </c>
      <c r="G657" s="1055" t="str">
        <f t="shared" si="79"/>
        <v>Circuits imprimés - carte mère TV basique, Asie, Base Carbone; kgCO2e/m², Matières premières</v>
      </c>
      <c r="I657" s="2018" t="s">
        <v>3250</v>
      </c>
      <c r="J657" s="1135" t="s">
        <v>2006</v>
      </c>
      <c r="K657" s="1135" t="s">
        <v>1567</v>
      </c>
      <c r="L657" s="1135" t="s">
        <v>2112</v>
      </c>
      <c r="M657" s="2062">
        <v>0.5</v>
      </c>
      <c r="N657" s="2017" t="s">
        <v>3135</v>
      </c>
      <c r="O657" s="1135">
        <v>433</v>
      </c>
      <c r="P657" s="1119">
        <v>398</v>
      </c>
      <c r="Q657" s="1119">
        <v>27.1</v>
      </c>
      <c r="R657" s="1119">
        <v>0</v>
      </c>
      <c r="S657" s="1119">
        <v>6.09</v>
      </c>
      <c r="T657" s="1119">
        <v>2.0299999999999998</v>
      </c>
      <c r="U657" s="2065">
        <v>13.2</v>
      </c>
    </row>
    <row r="658" spans="2:21" hidden="1" outlineLevel="2">
      <c r="B658" s="2059">
        <v>34</v>
      </c>
      <c r="C658" s="1050" t="str">
        <f t="shared" si="76"/>
        <v>Racks (baies ou cabinets), Monde, Base Carbone</v>
      </c>
      <c r="D658" s="1051">
        <f t="shared" si="77"/>
        <v>10</v>
      </c>
      <c r="E658" s="1051" t="str">
        <f>IF(COUNTIF(E$624:E657,F658)&gt;0,"",F658)</f>
        <v>Circuits imprimés - contrôleurs LCD et cartes mères TV connectées, Asie, Base Carbone</v>
      </c>
      <c r="F658" s="1051" t="str">
        <f t="shared" si="78"/>
        <v>Circuits imprimés - contrôleurs LCD et cartes mères TV connectées, Asie, Base Carbone</v>
      </c>
      <c r="G658" s="1055" t="str">
        <f t="shared" si="79"/>
        <v>Circuits imprimés - contrôleurs LCD et cartes mères TV connectées, Asie, Base Carbone; kgCO2e/m², Matières premières</v>
      </c>
      <c r="I658" s="2018" t="s">
        <v>3251</v>
      </c>
      <c r="J658" s="1135" t="s">
        <v>2006</v>
      </c>
      <c r="K658" s="1135" t="s">
        <v>1567</v>
      </c>
      <c r="L658" s="1135" t="s">
        <v>2112</v>
      </c>
      <c r="M658" s="2062">
        <v>0.5</v>
      </c>
      <c r="N658" s="2017" t="s">
        <v>3135</v>
      </c>
      <c r="O658" s="1135">
        <v>848</v>
      </c>
      <c r="P658" s="1119">
        <v>781</v>
      </c>
      <c r="Q658" s="1119">
        <v>53.1</v>
      </c>
      <c r="R658" s="1119">
        <v>0</v>
      </c>
      <c r="S658" s="1119">
        <v>8.44</v>
      </c>
      <c r="T658" s="1119">
        <v>5.0599999999999996</v>
      </c>
      <c r="U658" s="2065">
        <v>20.100000000000001</v>
      </c>
    </row>
    <row r="659" spans="2:21" hidden="1" outlineLevel="2">
      <c r="B659" s="2059">
        <v>35</v>
      </c>
      <c r="C659" s="1050" t="str">
        <f t="shared" si="76"/>
        <v>Serveurs informatiques, Monde, Base Carbone</v>
      </c>
      <c r="D659" s="1051">
        <f t="shared" si="77"/>
        <v>11</v>
      </c>
      <c r="E659" s="1051" t="str">
        <f>IF(COUNTIF(E$624:E658,F659)&gt;0,"",F659)</f>
        <v>Cadran photo numérique, France continentale, Base Carbone</v>
      </c>
      <c r="F659" s="1051" t="str">
        <f t="shared" si="78"/>
        <v>Cadran photo numérique, France continentale, Base Carbone</v>
      </c>
      <c r="G659" s="1055" t="str">
        <f t="shared" si="79"/>
        <v>Cadran photo numérique, France continentale, Base Carbone; kgCO2e/unité, Matières premières</v>
      </c>
      <c r="I659" s="2018" t="s">
        <v>3171</v>
      </c>
      <c r="J659" s="1135" t="s">
        <v>1994</v>
      </c>
      <c r="K659" s="1135" t="s">
        <v>1567</v>
      </c>
      <c r="L659" s="1135" t="s">
        <v>1571</v>
      </c>
      <c r="M659" s="2062">
        <v>0.5</v>
      </c>
      <c r="N659" s="1135" t="s">
        <v>3135</v>
      </c>
      <c r="O659" s="1135">
        <v>37.4</v>
      </c>
      <c r="P659" s="2017">
        <v>37.4</v>
      </c>
      <c r="Q659" s="2017">
        <v>0</v>
      </c>
      <c r="R659" s="2017">
        <v>0</v>
      </c>
      <c r="S659" s="2017">
        <v>0</v>
      </c>
      <c r="T659" s="2017">
        <v>0</v>
      </c>
      <c r="U659" s="2042">
        <v>0</v>
      </c>
    </row>
    <row r="660" spans="2:21" hidden="1" outlineLevel="2">
      <c r="B660" s="2059">
        <v>36</v>
      </c>
      <c r="C660" s="1050" t="str">
        <f t="shared" si="76"/>
        <v>Smartphone classique , France continentale, Base Carbone</v>
      </c>
      <c r="D660" s="1051">
        <f t="shared" si="77"/>
        <v>11</v>
      </c>
      <c r="E660" s="1051" t="str">
        <f>IF(COUNTIF(E$624:E659,F660)&gt;0,"",F660)</f>
        <v/>
      </c>
      <c r="F660" s="1051" t="str">
        <f t="shared" si="78"/>
        <v>Cadran photo numérique, France continentale, Base Carbone</v>
      </c>
      <c r="G660" s="1055" t="str">
        <f t="shared" si="79"/>
        <v>Cadran photo numérique, France continentale, Base Carbone; kgCO2e/unité, Approvisionnement</v>
      </c>
      <c r="I660" s="2018" t="s">
        <v>3171</v>
      </c>
      <c r="J660" s="1135" t="s">
        <v>1994</v>
      </c>
      <c r="K660" s="1135" t="s">
        <v>1567</v>
      </c>
      <c r="L660" s="1135" t="s">
        <v>1571</v>
      </c>
      <c r="M660" s="2062">
        <v>0.5</v>
      </c>
      <c r="N660" s="1135" t="s">
        <v>3136</v>
      </c>
      <c r="O660" s="1135">
        <v>0.71399999999999997</v>
      </c>
      <c r="P660" s="2017">
        <v>0.71399999999999997</v>
      </c>
      <c r="Q660" s="2017">
        <v>0</v>
      </c>
      <c r="R660" s="2017">
        <v>0</v>
      </c>
      <c r="S660" s="2017">
        <v>0</v>
      </c>
      <c r="T660" s="2017">
        <v>0</v>
      </c>
      <c r="U660" s="2042">
        <v>0</v>
      </c>
    </row>
    <row r="661" spans="2:21" hidden="1" outlineLevel="2">
      <c r="B661" s="2059">
        <v>37</v>
      </c>
      <c r="C661" s="1050" t="str">
        <f t="shared" si="76"/>
        <v>Smartphone 5 pouces, France continentale, Base Carbone</v>
      </c>
      <c r="D661" s="1051">
        <f t="shared" si="77"/>
        <v>11</v>
      </c>
      <c r="E661" s="1051" t="str">
        <f>IF(COUNTIF(E$624:E660,F661)&gt;0,"",F661)</f>
        <v/>
      </c>
      <c r="F661" s="1051" t="str">
        <f t="shared" si="78"/>
        <v>Cadran photo numérique, France continentale, Base Carbone</v>
      </c>
      <c r="G661" s="1055" t="str">
        <f t="shared" si="79"/>
        <v>Cadran photo numérique, France continentale, Base Carbone; kgCO2e/unité, Mise en forme</v>
      </c>
      <c r="I661" s="2018" t="s">
        <v>3171</v>
      </c>
      <c r="J661" s="1135" t="s">
        <v>1994</v>
      </c>
      <c r="K661" s="1135" t="s">
        <v>1567</v>
      </c>
      <c r="L661" s="1135" t="s">
        <v>1571</v>
      </c>
      <c r="M661" s="2062">
        <v>0.5</v>
      </c>
      <c r="N661" s="1135" t="s">
        <v>3141</v>
      </c>
      <c r="O661" s="1135">
        <v>0.157</v>
      </c>
      <c r="P661" s="2017">
        <v>0.157</v>
      </c>
      <c r="Q661" s="2017">
        <v>0</v>
      </c>
      <c r="R661" s="2017">
        <v>0</v>
      </c>
      <c r="S661" s="2017">
        <v>0</v>
      </c>
      <c r="T661" s="2017">
        <v>0</v>
      </c>
      <c r="U661" s="2042">
        <v>0</v>
      </c>
    </row>
    <row r="662" spans="2:21" hidden="1" outlineLevel="2">
      <c r="B662" s="2059">
        <v>38</v>
      </c>
      <c r="C662" s="1050" t="str">
        <f t="shared" si="76"/>
        <v>Smartphone de moins de 4,5 pouces , France continentale, Base Carbone</v>
      </c>
      <c r="D662" s="1051">
        <f t="shared" si="77"/>
        <v>11</v>
      </c>
      <c r="E662" s="1051" t="str">
        <f>IF(COUNTIF(E$624:E661,F662)&gt;0,"",F662)</f>
        <v/>
      </c>
      <c r="F662" s="1051" t="str">
        <f t="shared" si="78"/>
        <v>Cadran photo numérique, France continentale, Base Carbone</v>
      </c>
      <c r="G662" s="1055" t="str">
        <f t="shared" si="79"/>
        <v>Cadran photo numérique, France continentale, Base Carbone; kgCO2e/unité, Assemblage</v>
      </c>
      <c r="I662" s="2018" t="s">
        <v>3171</v>
      </c>
      <c r="J662" s="1135" t="s">
        <v>1994</v>
      </c>
      <c r="K662" s="1135" t="s">
        <v>1567</v>
      </c>
      <c r="L662" s="1135" t="s">
        <v>1571</v>
      </c>
      <c r="M662" s="2062">
        <v>0.5</v>
      </c>
      <c r="N662" s="1135" t="s">
        <v>3137</v>
      </c>
      <c r="O662" s="1135">
        <v>0.55700000000000005</v>
      </c>
      <c r="P662" s="2017">
        <v>0.55700000000000005</v>
      </c>
      <c r="Q662" s="2017">
        <v>0</v>
      </c>
      <c r="R662" s="2017">
        <v>0</v>
      </c>
      <c r="S662" s="2017">
        <v>0</v>
      </c>
      <c r="T662" s="2017">
        <v>0</v>
      </c>
      <c r="U662" s="2042">
        <v>0</v>
      </c>
    </row>
    <row r="663" spans="2:21" hidden="1" outlineLevel="2">
      <c r="B663" s="2059">
        <v>39</v>
      </c>
      <c r="C663" s="1050" t="str">
        <f t="shared" si="76"/>
        <v>Smartphone de plus de 5,5 pouces, France continentale, Base Carbone</v>
      </c>
      <c r="D663" s="1051">
        <f t="shared" si="77"/>
        <v>11</v>
      </c>
      <c r="E663" s="1051" t="str">
        <f>IF(COUNTIF(E$624:E662,F663)&gt;0,"",F663)</f>
        <v/>
      </c>
      <c r="F663" s="1051" t="str">
        <f t="shared" si="78"/>
        <v>Cadran photo numérique, France continentale, Base Carbone</v>
      </c>
      <c r="G663" s="1055" t="str">
        <f t="shared" si="79"/>
        <v>Cadran photo numérique, France continentale, Base Carbone; kgCO2e/unité, Distribution</v>
      </c>
      <c r="I663" s="2018" t="s">
        <v>3171</v>
      </c>
      <c r="J663" s="1135" t="s">
        <v>1994</v>
      </c>
      <c r="K663" s="1135" t="s">
        <v>1567</v>
      </c>
      <c r="L663" s="1135" t="s">
        <v>1571</v>
      </c>
      <c r="M663" s="2062">
        <v>0.5</v>
      </c>
      <c r="N663" s="1135" t="s">
        <v>3138</v>
      </c>
      <c r="O663" s="1135">
        <v>1.36</v>
      </c>
      <c r="P663" s="2017">
        <v>1.36</v>
      </c>
      <c r="Q663" s="2017">
        <v>0</v>
      </c>
      <c r="R663" s="2017">
        <v>0</v>
      </c>
      <c r="S663" s="2017">
        <v>0</v>
      </c>
      <c r="T663" s="2017">
        <v>0</v>
      </c>
      <c r="U663" s="2042">
        <v>0</v>
      </c>
    </row>
    <row r="664" spans="2:21" hidden="1" outlineLevel="2">
      <c r="B664" s="2059">
        <v>40</v>
      </c>
      <c r="C664" s="1050" t="str">
        <f t="shared" si="76"/>
        <v>Stéréo classique , France continentale, Base Carbone</v>
      </c>
      <c r="D664" s="1051">
        <f t="shared" si="77"/>
        <v>12</v>
      </c>
      <c r="E664" s="1051" t="str">
        <f>IF(COUNTIF(E$624:E663,F664)&gt;0,"",F664)</f>
        <v>Console vidéo de salon, France continentale, Base Carbone</v>
      </c>
      <c r="F664" s="1051" t="str">
        <f t="shared" si="78"/>
        <v>Console vidéo de salon, France continentale, Base Carbone</v>
      </c>
      <c r="G664" s="1055" t="str">
        <f t="shared" si="79"/>
        <v>Console vidéo de salon, France continentale, Base Carbone; kgCO2e/unité, Matières premières</v>
      </c>
      <c r="I664" s="2018" t="s">
        <v>3172</v>
      </c>
      <c r="J664" s="1135" t="s">
        <v>1994</v>
      </c>
      <c r="K664" s="1135" t="s">
        <v>1567</v>
      </c>
      <c r="L664" s="1135" t="s">
        <v>1571</v>
      </c>
      <c r="M664" s="2062">
        <v>0.5</v>
      </c>
      <c r="N664" s="1135" t="s">
        <v>3135</v>
      </c>
      <c r="O664" s="1135">
        <v>60.8</v>
      </c>
      <c r="P664" s="2017">
        <v>60.8</v>
      </c>
      <c r="Q664" s="2017">
        <v>0</v>
      </c>
      <c r="R664" s="2017">
        <v>0</v>
      </c>
      <c r="S664" s="2017">
        <v>0</v>
      </c>
      <c r="T664" s="2017">
        <v>0</v>
      </c>
      <c r="U664" s="2042">
        <v>0</v>
      </c>
    </row>
    <row r="665" spans="2:21" hidden="1" outlineLevel="2">
      <c r="B665" s="2059">
        <v>41</v>
      </c>
      <c r="C665" s="1050" t="str">
        <f t="shared" si="76"/>
        <v>Switch routeur firewall, Monde, Base Carbone</v>
      </c>
      <c r="D665" s="1051">
        <f t="shared" si="77"/>
        <v>12</v>
      </c>
      <c r="E665" s="1051" t="str">
        <f>IF(COUNTIF(E$624:E664,F665)&gt;0,"",F665)</f>
        <v/>
      </c>
      <c r="F665" s="1051" t="str">
        <f t="shared" si="78"/>
        <v>Console vidéo de salon, France continentale, Base Carbone</v>
      </c>
      <c r="G665" s="1055" t="str">
        <f t="shared" si="79"/>
        <v>Console vidéo de salon, France continentale, Base Carbone; kgCO2e/unité, Approvisionnement</v>
      </c>
      <c r="I665" s="2018" t="s">
        <v>3172</v>
      </c>
      <c r="J665" s="1135" t="s">
        <v>1994</v>
      </c>
      <c r="K665" s="1135" t="s">
        <v>1567</v>
      </c>
      <c r="L665" s="1135" t="s">
        <v>1571</v>
      </c>
      <c r="M665" s="2062">
        <v>0.5</v>
      </c>
      <c r="N665" s="1135" t="s">
        <v>3136</v>
      </c>
      <c r="O665" s="1135">
        <v>2.54</v>
      </c>
      <c r="P665" s="2017">
        <v>2.54</v>
      </c>
      <c r="Q665" s="2017">
        <v>0</v>
      </c>
      <c r="R665" s="2017">
        <v>0</v>
      </c>
      <c r="S665" s="2017">
        <v>0</v>
      </c>
      <c r="T665" s="2017">
        <v>0</v>
      </c>
      <c r="U665" s="2042">
        <v>0</v>
      </c>
    </row>
    <row r="666" spans="2:21" hidden="1" outlineLevel="2">
      <c r="B666" s="2059">
        <v>42</v>
      </c>
      <c r="C666" s="1050" t="str">
        <f t="shared" si="76"/>
        <v>Tablette classique - 9 à 11 pouces, France continentale, Base Carbone</v>
      </c>
      <c r="D666" s="1051">
        <f t="shared" si="77"/>
        <v>12</v>
      </c>
      <c r="E666" s="1051" t="str">
        <f>IF(COUNTIF(E$624:E665,F666)&gt;0,"",F666)</f>
        <v/>
      </c>
      <c r="F666" s="1051" t="str">
        <f t="shared" si="78"/>
        <v>Console vidéo de salon, France continentale, Base Carbone</v>
      </c>
      <c r="G666" s="1055" t="str">
        <f t="shared" si="79"/>
        <v>Console vidéo de salon, France continentale, Base Carbone; kgCO2e/unité, Mise en forme</v>
      </c>
      <c r="I666" s="2018" t="s">
        <v>3172</v>
      </c>
      <c r="J666" s="1135" t="s">
        <v>1994</v>
      </c>
      <c r="K666" s="1135" t="s">
        <v>1567</v>
      </c>
      <c r="L666" s="1135" t="s">
        <v>1571</v>
      </c>
      <c r="M666" s="2062">
        <v>0.5</v>
      </c>
      <c r="N666" s="1135" t="s">
        <v>3141</v>
      </c>
      <c r="O666" s="1135">
        <v>2.46</v>
      </c>
      <c r="P666" s="2017">
        <v>2.46</v>
      </c>
      <c r="Q666" s="2017">
        <v>0</v>
      </c>
      <c r="R666" s="2017">
        <v>0</v>
      </c>
      <c r="S666" s="2017">
        <v>0</v>
      </c>
      <c r="T666" s="2017">
        <v>0</v>
      </c>
      <c r="U666" s="2042">
        <v>0</v>
      </c>
    </row>
    <row r="667" spans="2:21" hidden="1" outlineLevel="2">
      <c r="B667" s="2059">
        <v>43</v>
      </c>
      <c r="C667" s="1050" t="str">
        <f t="shared" si="76"/>
        <v>Tablette détachable, France continentale, Base Carbone</v>
      </c>
      <c r="D667" s="1051">
        <f t="shared" si="77"/>
        <v>12</v>
      </c>
      <c r="E667" s="1051" t="str">
        <f>IF(COUNTIF(E$624:E666,F667)&gt;0,"",F667)</f>
        <v/>
      </c>
      <c r="F667" s="1051" t="str">
        <f t="shared" si="78"/>
        <v>Console vidéo de salon, France continentale, Base Carbone</v>
      </c>
      <c r="G667" s="1055" t="str">
        <f t="shared" si="79"/>
        <v>Console vidéo de salon, France continentale, Base Carbone; kgCO2e/unité, Assemblage</v>
      </c>
      <c r="I667" s="2018" t="s">
        <v>3172</v>
      </c>
      <c r="J667" s="1135" t="s">
        <v>1994</v>
      </c>
      <c r="K667" s="1135" t="s">
        <v>1567</v>
      </c>
      <c r="L667" s="1135" t="s">
        <v>1571</v>
      </c>
      <c r="M667" s="2062">
        <v>0.5</v>
      </c>
      <c r="N667" s="1135" t="s">
        <v>3137</v>
      </c>
      <c r="O667" s="1135">
        <v>3.21</v>
      </c>
      <c r="P667" s="2017">
        <v>3.21</v>
      </c>
      <c r="Q667" s="2017">
        <v>0</v>
      </c>
      <c r="R667" s="2017">
        <v>0</v>
      </c>
      <c r="S667" s="2017">
        <v>0</v>
      </c>
      <c r="T667" s="2017">
        <v>0</v>
      </c>
      <c r="U667" s="2042">
        <v>0</v>
      </c>
    </row>
    <row r="668" spans="2:21" hidden="1" outlineLevel="2">
      <c r="B668" s="2059">
        <v>44</v>
      </c>
      <c r="C668" s="1050" t="str">
        <f t="shared" si="76"/>
        <v>Tablette mini, France continentale, Base Carbone</v>
      </c>
      <c r="D668" s="1051">
        <f t="shared" si="77"/>
        <v>12</v>
      </c>
      <c r="E668" s="1051" t="str">
        <f>IF(COUNTIF(E$624:E667,F668)&gt;0,"",F668)</f>
        <v/>
      </c>
      <c r="F668" s="1051" t="str">
        <f t="shared" si="78"/>
        <v>Console vidéo de salon, France continentale, Base Carbone</v>
      </c>
      <c r="G668" s="1055" t="str">
        <f t="shared" si="79"/>
        <v>Console vidéo de salon, France continentale, Base Carbone; kgCO2e/unité, Distribution</v>
      </c>
      <c r="I668" s="2018" t="s">
        <v>3172</v>
      </c>
      <c r="J668" s="1135" t="s">
        <v>1994</v>
      </c>
      <c r="K668" s="1135" t="s">
        <v>1567</v>
      </c>
      <c r="L668" s="1135" t="s">
        <v>1571</v>
      </c>
      <c r="M668" s="2062">
        <v>0.5</v>
      </c>
      <c r="N668" s="1135" t="s">
        <v>3138</v>
      </c>
      <c r="O668" s="1135">
        <v>4.74</v>
      </c>
      <c r="P668" s="2017">
        <v>4.74</v>
      </c>
      <c r="Q668" s="2017">
        <v>0</v>
      </c>
      <c r="R668" s="2017">
        <v>0</v>
      </c>
      <c r="S668" s="2017">
        <v>0</v>
      </c>
      <c r="T668" s="2017">
        <v>0</v>
      </c>
      <c r="U668" s="2042">
        <v>0</v>
      </c>
    </row>
    <row r="669" spans="2:21" hidden="1" outlineLevel="2">
      <c r="B669" s="2059">
        <v>45</v>
      </c>
      <c r="C669" s="1050" t="str">
        <f t="shared" si="76"/>
        <v>Télécommande - télévision, universelle, sans piles, 80g, Asie, Base Carbone</v>
      </c>
      <c r="D669" s="1051">
        <f t="shared" si="77"/>
        <v>13</v>
      </c>
      <c r="E669" s="1051" t="str">
        <f>IF(COUNTIF(E$624:E668,F669)&gt;0,"",F669)</f>
        <v>Console vidéo portable, France continentale, Base Carbone</v>
      </c>
      <c r="F669" s="1051" t="str">
        <f t="shared" si="78"/>
        <v>Console vidéo portable, France continentale, Base Carbone</v>
      </c>
      <c r="G669" s="1055" t="str">
        <f t="shared" si="79"/>
        <v>Console vidéo portable, France continentale, Base Carbone; kgCO2e/unité, Matières premières</v>
      </c>
      <c r="I669" s="2018" t="s">
        <v>3173</v>
      </c>
      <c r="J669" s="1135" t="s">
        <v>1994</v>
      </c>
      <c r="K669" s="1135" t="s">
        <v>1567</v>
      </c>
      <c r="L669" s="1135" t="s">
        <v>1571</v>
      </c>
      <c r="M669" s="2062">
        <v>0.5</v>
      </c>
      <c r="N669" s="1135" t="s">
        <v>3135</v>
      </c>
      <c r="O669" s="1135">
        <v>21</v>
      </c>
      <c r="P669" s="2017">
        <v>21</v>
      </c>
      <c r="Q669" s="2017">
        <v>0</v>
      </c>
      <c r="R669" s="2017">
        <v>0</v>
      </c>
      <c r="S669" s="2017">
        <v>0</v>
      </c>
      <c r="T669" s="2017">
        <v>0</v>
      </c>
      <c r="U669" s="2042">
        <v>0</v>
      </c>
    </row>
    <row r="670" spans="2:21" hidden="1" outlineLevel="2">
      <c r="B670" s="2059">
        <v>46</v>
      </c>
      <c r="C670" s="1050" t="str">
        <f t="shared" si="76"/>
        <v>Télévision 30-40 pouces, France continentale, Base Carbone</v>
      </c>
      <c r="D670" s="1051">
        <f t="shared" si="77"/>
        <v>13</v>
      </c>
      <c r="E670" s="1051" t="str">
        <f>IF(COUNTIF(E$624:E669,F670)&gt;0,"",F670)</f>
        <v/>
      </c>
      <c r="F670" s="1051" t="str">
        <f t="shared" si="78"/>
        <v>Console vidéo portable, France continentale, Base Carbone</v>
      </c>
      <c r="G670" s="1055" t="str">
        <f t="shared" si="79"/>
        <v>Console vidéo portable, France continentale, Base Carbone; kgCO2e/unité, Approvisionnement</v>
      </c>
      <c r="I670" s="2018" t="s">
        <v>3173</v>
      </c>
      <c r="J670" s="1135" t="s">
        <v>1994</v>
      </c>
      <c r="K670" s="1135" t="s">
        <v>1567</v>
      </c>
      <c r="L670" s="1135" t="s">
        <v>1571</v>
      </c>
      <c r="M670" s="2062">
        <v>0.5</v>
      </c>
      <c r="N670" s="1135" t="s">
        <v>3136</v>
      </c>
      <c r="O670" s="1135">
        <v>0.52300000000000002</v>
      </c>
      <c r="P670" s="2017">
        <v>0.52300000000000002</v>
      </c>
      <c r="Q670" s="2017">
        <v>0</v>
      </c>
      <c r="R670" s="2017">
        <v>0</v>
      </c>
      <c r="S670" s="2017">
        <v>0</v>
      </c>
      <c r="T670" s="2017">
        <v>0</v>
      </c>
      <c r="U670" s="2042">
        <v>0</v>
      </c>
    </row>
    <row r="671" spans="2:21" hidden="1" outlineLevel="2">
      <c r="B671" s="2059">
        <v>47</v>
      </c>
      <c r="C671" s="1050" t="str">
        <f t="shared" si="76"/>
        <v>Télévision 40-49 pouces , France continentale, Base Carbone</v>
      </c>
      <c r="D671" s="1051">
        <f t="shared" si="77"/>
        <v>13</v>
      </c>
      <c r="E671" s="1051" t="str">
        <f>IF(COUNTIF(E$624:E670,F671)&gt;0,"",F671)</f>
        <v/>
      </c>
      <c r="F671" s="1051" t="str">
        <f t="shared" si="78"/>
        <v>Console vidéo portable, France continentale, Base Carbone</v>
      </c>
      <c r="G671" s="1055" t="str">
        <f t="shared" si="79"/>
        <v>Console vidéo portable, France continentale, Base Carbone; kgCO2e/unité, Mise en forme</v>
      </c>
      <c r="I671" s="2018" t="s">
        <v>3173</v>
      </c>
      <c r="J671" s="1135" t="s">
        <v>1994</v>
      </c>
      <c r="K671" s="1135" t="s">
        <v>1567</v>
      </c>
      <c r="L671" s="1135" t="s">
        <v>1571</v>
      </c>
      <c r="M671" s="2062">
        <v>0.5</v>
      </c>
      <c r="N671" s="1135" t="s">
        <v>3141</v>
      </c>
      <c r="O671" s="1135">
        <v>0.105</v>
      </c>
      <c r="P671" s="2017">
        <v>0.105</v>
      </c>
      <c r="Q671" s="2017">
        <v>0</v>
      </c>
      <c r="R671" s="2017">
        <v>0</v>
      </c>
      <c r="S671" s="2017">
        <v>0</v>
      </c>
      <c r="T671" s="2017">
        <v>0</v>
      </c>
      <c r="U671" s="2042">
        <v>0</v>
      </c>
    </row>
    <row r="672" spans="2:21" hidden="1" outlineLevel="2">
      <c r="B672" s="2059">
        <v>48</v>
      </c>
      <c r="C672" s="1050" t="str">
        <f t="shared" si="76"/>
        <v>Télévision 49 pouces , France continentale, Base Carbone</v>
      </c>
      <c r="D672" s="1051">
        <f t="shared" si="77"/>
        <v>13</v>
      </c>
      <c r="E672" s="1051" t="str">
        <f>IF(COUNTIF(E$624:E671,F672)&gt;0,"",F672)</f>
        <v/>
      </c>
      <c r="F672" s="1051" t="str">
        <f t="shared" si="78"/>
        <v>Console vidéo portable, France continentale, Base Carbone</v>
      </c>
      <c r="G672" s="1055" t="str">
        <f t="shared" si="79"/>
        <v>Console vidéo portable, France continentale, Base Carbone; kgCO2e/unité, Assemblage</v>
      </c>
      <c r="I672" s="2018" t="s">
        <v>3173</v>
      </c>
      <c r="J672" s="1135" t="s">
        <v>1994</v>
      </c>
      <c r="K672" s="1135" t="s">
        <v>1567</v>
      </c>
      <c r="L672" s="1135" t="s">
        <v>1571</v>
      </c>
      <c r="M672" s="2062">
        <v>0.5</v>
      </c>
      <c r="N672" s="1135" t="s">
        <v>3137</v>
      </c>
      <c r="O672" s="1135">
        <v>0.35899999999999999</v>
      </c>
      <c r="P672" s="2017">
        <v>0.35899999999999999</v>
      </c>
      <c r="Q672" s="2017">
        <v>0</v>
      </c>
      <c r="R672" s="2017">
        <v>0</v>
      </c>
      <c r="S672" s="2017">
        <v>0</v>
      </c>
      <c r="T672" s="2017">
        <v>0</v>
      </c>
      <c r="U672" s="2042">
        <v>0</v>
      </c>
    </row>
    <row r="673" spans="2:21" hidden="1" outlineLevel="2">
      <c r="B673" s="2059">
        <v>49</v>
      </c>
      <c r="C673" s="1050" t="str">
        <f t="shared" si="76"/>
        <v>Vidéo-projecteur, France continentale, Base Carbone</v>
      </c>
      <c r="D673" s="1051">
        <f t="shared" si="77"/>
        <v>13</v>
      </c>
      <c r="E673" s="1051" t="str">
        <f>IF(COUNTIF(E$624:E672,F673)&gt;0,"",F673)</f>
        <v/>
      </c>
      <c r="F673" s="1051" t="str">
        <f t="shared" si="78"/>
        <v>Console vidéo portable, France continentale, Base Carbone</v>
      </c>
      <c r="G673" s="1055" t="str">
        <f t="shared" si="79"/>
        <v>Console vidéo portable, France continentale, Base Carbone; kgCO2e/unité, Distribution</v>
      </c>
      <c r="I673" s="2018" t="s">
        <v>3173</v>
      </c>
      <c r="J673" s="1135" t="s">
        <v>1994</v>
      </c>
      <c r="K673" s="1135" t="s">
        <v>1567</v>
      </c>
      <c r="L673" s="1135" t="s">
        <v>1571</v>
      </c>
      <c r="M673" s="2062">
        <v>0.5</v>
      </c>
      <c r="N673" s="1135" t="s">
        <v>3138</v>
      </c>
      <c r="O673" s="1135">
        <v>8.81</v>
      </c>
      <c r="P673" s="2017">
        <v>8.81</v>
      </c>
      <c r="Q673" s="2017">
        <v>0</v>
      </c>
      <c r="R673" s="2017">
        <v>0</v>
      </c>
      <c r="S673" s="2017">
        <v>0</v>
      </c>
      <c r="T673" s="2017">
        <v>0</v>
      </c>
      <c r="U673" s="2042">
        <v>0</v>
      </c>
    </row>
    <row r="674" spans="2:21" hidden="1" outlineLevel="2">
      <c r="B674" s="2059">
        <v>50</v>
      </c>
      <c r="C674" s="1050" t="str">
        <f t="shared" si="76"/>
        <v>-</v>
      </c>
      <c r="D674" s="1051">
        <f t="shared" si="77"/>
        <v>14</v>
      </c>
      <c r="E674" s="1051" t="str">
        <f>IF(COUNTIF(E$624:E673,F674)&gt;0,"",F674)</f>
        <v>Décodeur , France continentale, Base Carbone</v>
      </c>
      <c r="F674" s="1051" t="str">
        <f t="shared" si="78"/>
        <v>Décodeur , France continentale, Base Carbone</v>
      </c>
      <c r="G674" s="1055" t="str">
        <f t="shared" si="79"/>
        <v>Décodeur , France continentale, Base Carbone; kgCO2e/unité, Matières premières</v>
      </c>
      <c r="I674" s="2018" t="s">
        <v>3174</v>
      </c>
      <c r="J674" s="1135" t="s">
        <v>1994</v>
      </c>
      <c r="K674" s="1135" t="s">
        <v>1567</v>
      </c>
      <c r="L674" s="1135" t="s">
        <v>1571</v>
      </c>
      <c r="M674" s="2062">
        <v>0.5</v>
      </c>
      <c r="N674" s="1135" t="s">
        <v>3135</v>
      </c>
      <c r="O674" s="1135">
        <v>52.2</v>
      </c>
      <c r="P674" s="2017">
        <v>52.2</v>
      </c>
      <c r="Q674" s="2017">
        <v>0</v>
      </c>
      <c r="R674" s="2017">
        <v>0</v>
      </c>
      <c r="S674" s="2017">
        <v>0</v>
      </c>
      <c r="T674" s="2017">
        <v>0</v>
      </c>
      <c r="U674" s="2042">
        <v>0</v>
      </c>
    </row>
    <row r="675" spans="2:21" hidden="1" outlineLevel="2">
      <c r="B675" s="2059">
        <v>51</v>
      </c>
      <c r="C675" s="1050" t="str">
        <f t="shared" si="76"/>
        <v>-</v>
      </c>
      <c r="D675" s="1051">
        <f t="shared" si="77"/>
        <v>14</v>
      </c>
      <c r="E675" s="1051" t="str">
        <f>IF(COUNTIF(E$624:E674,F675)&gt;0,"",F675)</f>
        <v/>
      </c>
      <c r="F675" s="1051" t="str">
        <f t="shared" si="78"/>
        <v>Décodeur , France continentale, Base Carbone</v>
      </c>
      <c r="G675" s="1055" t="str">
        <f t="shared" si="79"/>
        <v>Décodeur , France continentale, Base Carbone; kgCO2e/unité, Approvisionnement</v>
      </c>
      <c r="I675" s="2018" t="s">
        <v>3174</v>
      </c>
      <c r="J675" s="1135" t="s">
        <v>1994</v>
      </c>
      <c r="K675" s="1135" t="s">
        <v>1567</v>
      </c>
      <c r="L675" s="1135" t="s">
        <v>1571</v>
      </c>
      <c r="M675" s="2062">
        <v>0.5</v>
      </c>
      <c r="N675" s="1135" t="s">
        <v>3136</v>
      </c>
      <c r="O675" s="1135">
        <v>1.87</v>
      </c>
      <c r="P675" s="2017">
        <v>1.87</v>
      </c>
      <c r="Q675" s="2017">
        <v>0</v>
      </c>
      <c r="R675" s="2017">
        <v>0</v>
      </c>
      <c r="S675" s="2017">
        <v>0</v>
      </c>
      <c r="T675" s="2017">
        <v>0</v>
      </c>
      <c r="U675" s="2042">
        <v>0</v>
      </c>
    </row>
    <row r="676" spans="2:21" hidden="1" outlineLevel="2">
      <c r="B676" s="2059">
        <v>52</v>
      </c>
      <c r="C676" s="1050" t="str">
        <f t="shared" si="76"/>
        <v>-</v>
      </c>
      <c r="D676" s="1051">
        <f t="shared" si="77"/>
        <v>14</v>
      </c>
      <c r="E676" s="1051" t="str">
        <f>IF(COUNTIF(E$624:E675,F676)&gt;0,"",F676)</f>
        <v/>
      </c>
      <c r="F676" s="1051" t="str">
        <f t="shared" si="78"/>
        <v>Décodeur , France continentale, Base Carbone</v>
      </c>
      <c r="G676" s="1055" t="str">
        <f t="shared" si="79"/>
        <v>Décodeur , France continentale, Base Carbone; kgCO2e/unité, Mise en forme</v>
      </c>
      <c r="I676" s="2018" t="s">
        <v>3174</v>
      </c>
      <c r="J676" s="1135" t="s">
        <v>1994</v>
      </c>
      <c r="K676" s="1135" t="s">
        <v>1567</v>
      </c>
      <c r="L676" s="1135" t="s">
        <v>1571</v>
      </c>
      <c r="M676" s="2062">
        <v>0.5</v>
      </c>
      <c r="N676" s="1135" t="s">
        <v>3141</v>
      </c>
      <c r="O676" s="1135">
        <v>0.56999999999999995</v>
      </c>
      <c r="P676" s="2017">
        <v>0.56999999999999995</v>
      </c>
      <c r="Q676" s="2017">
        <v>0</v>
      </c>
      <c r="R676" s="2017">
        <v>0</v>
      </c>
      <c r="S676" s="2017">
        <v>0</v>
      </c>
      <c r="T676" s="2017">
        <v>0</v>
      </c>
      <c r="U676" s="2042">
        <v>0</v>
      </c>
    </row>
    <row r="677" spans="2:21" hidden="1" outlineLevel="2">
      <c r="B677" s="2059">
        <v>53</v>
      </c>
      <c r="C677" s="1050" t="str">
        <f t="shared" si="76"/>
        <v>-</v>
      </c>
      <c r="D677" s="1051">
        <f t="shared" si="77"/>
        <v>14</v>
      </c>
      <c r="E677" s="1051" t="str">
        <f>IF(COUNTIF(E$624:E676,F677)&gt;0,"",F677)</f>
        <v/>
      </c>
      <c r="F677" s="1051" t="str">
        <f t="shared" si="78"/>
        <v>Décodeur , France continentale, Base Carbone</v>
      </c>
      <c r="G677" s="1055" t="str">
        <f t="shared" si="79"/>
        <v>Décodeur , France continentale, Base Carbone; kgCO2e/unité, Assemblage</v>
      </c>
      <c r="I677" s="2018" t="s">
        <v>3174</v>
      </c>
      <c r="J677" s="1135" t="s">
        <v>1994</v>
      </c>
      <c r="K677" s="1135" t="s">
        <v>1567</v>
      </c>
      <c r="L677" s="1135" t="s">
        <v>1571</v>
      </c>
      <c r="M677" s="2062">
        <v>0.5</v>
      </c>
      <c r="N677" s="1135" t="s">
        <v>3137</v>
      </c>
      <c r="O677" s="1135">
        <v>2.67</v>
      </c>
      <c r="P677" s="2017">
        <v>2.67</v>
      </c>
      <c r="Q677" s="2017">
        <v>0</v>
      </c>
      <c r="R677" s="2017">
        <v>0</v>
      </c>
      <c r="S677" s="2017">
        <v>0</v>
      </c>
      <c r="T677" s="2017">
        <v>0</v>
      </c>
      <c r="U677" s="2042">
        <v>0</v>
      </c>
    </row>
    <row r="678" spans="2:21" hidden="1" outlineLevel="2">
      <c r="B678" s="2059">
        <v>54</v>
      </c>
      <c r="C678" s="1050" t="str">
        <f t="shared" si="76"/>
        <v>-</v>
      </c>
      <c r="D678" s="1051">
        <f t="shared" si="77"/>
        <v>14</v>
      </c>
      <c r="E678" s="1051" t="str">
        <f>IF(COUNTIF(E$624:E677,F678)&gt;0,"",F678)</f>
        <v/>
      </c>
      <c r="F678" s="1051" t="str">
        <f t="shared" si="78"/>
        <v>Décodeur , France continentale, Base Carbone</v>
      </c>
      <c r="G678" s="1055" t="str">
        <f t="shared" si="79"/>
        <v>Décodeur , France continentale, Base Carbone; kgCO2e/unité, Distribution</v>
      </c>
      <c r="I678" s="2018" t="s">
        <v>3174</v>
      </c>
      <c r="J678" s="1135" t="s">
        <v>1994</v>
      </c>
      <c r="K678" s="1135" t="s">
        <v>1567</v>
      </c>
      <c r="L678" s="1135" t="s">
        <v>1571</v>
      </c>
      <c r="M678" s="2062">
        <v>0.5</v>
      </c>
      <c r="N678" s="1135" t="s">
        <v>3138</v>
      </c>
      <c r="O678" s="1135">
        <v>3.56</v>
      </c>
      <c r="P678" s="2017">
        <v>3.56</v>
      </c>
      <c r="Q678" s="2017">
        <v>0</v>
      </c>
      <c r="R678" s="2017">
        <v>0</v>
      </c>
      <c r="S678" s="2017">
        <v>0</v>
      </c>
      <c r="T678" s="2017">
        <v>0</v>
      </c>
      <c r="U678" s="2042">
        <v>0</v>
      </c>
    </row>
    <row r="679" spans="2:21" hidden="1" outlineLevel="2">
      <c r="B679" s="2059">
        <v>55</v>
      </c>
      <c r="C679" s="1050" t="str">
        <f t="shared" si="76"/>
        <v>-</v>
      </c>
      <c r="D679" s="1051">
        <f t="shared" si="77"/>
        <v>15</v>
      </c>
      <c r="E679" s="1051" t="str">
        <f>IF(COUNTIF(E$624:E678,F679)&gt;0,"",F679)</f>
        <v>DSL haut débit , France continentale, Base Carbone</v>
      </c>
      <c r="F679" s="1051" t="str">
        <f t="shared" si="78"/>
        <v>DSL haut débit , France continentale, Base Carbone</v>
      </c>
      <c r="G679" s="1055" t="str">
        <f t="shared" si="79"/>
        <v>DSL haut débit , France continentale, Base Carbone; kgCO2e/unité, Matières premières</v>
      </c>
      <c r="I679" s="2018" t="s">
        <v>3175</v>
      </c>
      <c r="J679" s="1135" t="s">
        <v>1994</v>
      </c>
      <c r="K679" s="1135" t="s">
        <v>1567</v>
      </c>
      <c r="L679" s="1135" t="s">
        <v>1571</v>
      </c>
      <c r="M679" s="2062">
        <v>0.5</v>
      </c>
      <c r="N679" s="1135" t="s">
        <v>3135</v>
      </c>
      <c r="O679" s="1135">
        <v>55.2</v>
      </c>
      <c r="P679" s="2017">
        <v>55.2</v>
      </c>
      <c r="Q679" s="2017">
        <v>0</v>
      </c>
      <c r="R679" s="2017">
        <v>0</v>
      </c>
      <c r="S679" s="2017">
        <v>0</v>
      </c>
      <c r="T679" s="2017">
        <v>0</v>
      </c>
      <c r="U679" s="2042">
        <v>0</v>
      </c>
    </row>
    <row r="680" spans="2:21" hidden="1" outlineLevel="2">
      <c r="B680" s="2059">
        <v>56</v>
      </c>
      <c r="C680" s="1050" t="str">
        <f t="shared" si="76"/>
        <v>-</v>
      </c>
      <c r="D680" s="1051">
        <f t="shared" si="77"/>
        <v>15</v>
      </c>
      <c r="E680" s="1051" t="str">
        <f>IF(COUNTIF(E$624:E679,F680)&gt;0,"",F680)</f>
        <v/>
      </c>
      <c r="F680" s="1051" t="str">
        <f t="shared" si="78"/>
        <v>DSL haut débit , France continentale, Base Carbone</v>
      </c>
      <c r="G680" s="1055" t="str">
        <f t="shared" si="79"/>
        <v>DSL haut débit , France continentale, Base Carbone; kgCO2e/unité, Approvisionnement</v>
      </c>
      <c r="I680" s="2018" t="s">
        <v>3175</v>
      </c>
      <c r="J680" s="1135" t="s">
        <v>1994</v>
      </c>
      <c r="K680" s="1135" t="s">
        <v>1567</v>
      </c>
      <c r="L680" s="1135" t="s">
        <v>1571</v>
      </c>
      <c r="M680" s="2062">
        <v>0.5</v>
      </c>
      <c r="N680" s="1135" t="s">
        <v>3136</v>
      </c>
      <c r="O680" s="1135">
        <v>1.57</v>
      </c>
      <c r="P680" s="2017">
        <v>1.57</v>
      </c>
      <c r="Q680" s="2017">
        <v>0</v>
      </c>
      <c r="R680" s="2017">
        <v>0</v>
      </c>
      <c r="S680" s="2017">
        <v>0</v>
      </c>
      <c r="T680" s="2017">
        <v>0</v>
      </c>
      <c r="U680" s="2042">
        <v>0</v>
      </c>
    </row>
    <row r="681" spans="2:21" hidden="1" outlineLevel="2">
      <c r="B681" s="2059">
        <v>57</v>
      </c>
      <c r="C681" s="1050" t="str">
        <f t="shared" si="76"/>
        <v>-</v>
      </c>
      <c r="D681" s="1051">
        <f t="shared" si="77"/>
        <v>15</v>
      </c>
      <c r="E681" s="1051" t="str">
        <f>IF(COUNTIF(E$624:E680,F681)&gt;0,"",F681)</f>
        <v/>
      </c>
      <c r="F681" s="1051" t="str">
        <f t="shared" si="78"/>
        <v>DSL haut débit , France continentale, Base Carbone</v>
      </c>
      <c r="G681" s="1055" t="str">
        <f t="shared" si="79"/>
        <v>DSL haut débit , France continentale, Base Carbone; kgCO2e/unité, Mise en forme</v>
      </c>
      <c r="I681" s="2018" t="s">
        <v>3175</v>
      </c>
      <c r="J681" s="1135" t="s">
        <v>1994</v>
      </c>
      <c r="K681" s="1135" t="s">
        <v>1567</v>
      </c>
      <c r="L681" s="1135" t="s">
        <v>1571</v>
      </c>
      <c r="M681" s="2062">
        <v>0.5</v>
      </c>
      <c r="N681" s="1135" t="s">
        <v>3141</v>
      </c>
      <c r="O681" s="1135">
        <v>1</v>
      </c>
      <c r="P681" s="2017">
        <v>1</v>
      </c>
      <c r="Q681" s="2017">
        <v>0</v>
      </c>
      <c r="R681" s="2017">
        <v>0</v>
      </c>
      <c r="S681" s="2017">
        <v>0</v>
      </c>
      <c r="T681" s="2017">
        <v>0</v>
      </c>
      <c r="U681" s="2042">
        <v>0</v>
      </c>
    </row>
    <row r="682" spans="2:21" hidden="1" outlineLevel="2">
      <c r="B682" s="2059">
        <v>58</v>
      </c>
      <c r="C682" s="1050" t="str">
        <f t="shared" si="76"/>
        <v>-</v>
      </c>
      <c r="D682" s="1051">
        <f t="shared" si="77"/>
        <v>15</v>
      </c>
      <c r="E682" s="1051" t="str">
        <f>IF(COUNTIF(E$624:E681,F682)&gt;0,"",F682)</f>
        <v/>
      </c>
      <c r="F682" s="1051" t="str">
        <f t="shared" si="78"/>
        <v>DSL haut débit , France continentale, Base Carbone</v>
      </c>
      <c r="G682" s="1055" t="str">
        <f t="shared" si="79"/>
        <v>DSL haut débit , France continentale, Base Carbone; kgCO2e/unité, Assemblage</v>
      </c>
      <c r="I682" s="2018" t="s">
        <v>3175</v>
      </c>
      <c r="J682" s="1135" t="s">
        <v>1994</v>
      </c>
      <c r="K682" s="1135" t="s">
        <v>1567</v>
      </c>
      <c r="L682" s="1135" t="s">
        <v>1571</v>
      </c>
      <c r="M682" s="2062">
        <v>0.5</v>
      </c>
      <c r="N682" s="1135" t="s">
        <v>3137</v>
      </c>
      <c r="O682" s="1135">
        <v>0.49099999999999999</v>
      </c>
      <c r="P682" s="2017">
        <v>0.49099999999999999</v>
      </c>
      <c r="Q682" s="2017">
        <v>0</v>
      </c>
      <c r="R682" s="2017">
        <v>0</v>
      </c>
      <c r="S682" s="2017">
        <v>0</v>
      </c>
      <c r="T682" s="2017">
        <v>0</v>
      </c>
      <c r="U682" s="2042">
        <v>0</v>
      </c>
    </row>
    <row r="683" spans="2:21" hidden="1" outlineLevel="2">
      <c r="B683" s="2059">
        <v>59</v>
      </c>
      <c r="C683" s="1050" t="str">
        <f t="shared" si="76"/>
        <v>-</v>
      </c>
      <c r="D683" s="1051">
        <f t="shared" si="77"/>
        <v>15</v>
      </c>
      <c r="E683" s="1051" t="str">
        <f>IF(COUNTIF(E$624:E682,F683)&gt;0,"",F683)</f>
        <v/>
      </c>
      <c r="F683" s="1051" t="str">
        <f t="shared" si="78"/>
        <v>DSL haut débit , France continentale, Base Carbone</v>
      </c>
      <c r="G683" s="1055" t="str">
        <f t="shared" si="79"/>
        <v>DSL haut débit , France continentale, Base Carbone; kgCO2e/unité, Distribution</v>
      </c>
      <c r="I683" s="2018" t="s">
        <v>3175</v>
      </c>
      <c r="J683" s="1135" t="s">
        <v>1994</v>
      </c>
      <c r="K683" s="1135" t="s">
        <v>1567</v>
      </c>
      <c r="L683" s="1135" t="s">
        <v>1571</v>
      </c>
      <c r="M683" s="2062">
        <v>0.5</v>
      </c>
      <c r="N683" s="1135" t="s">
        <v>3138</v>
      </c>
      <c r="O683" s="1135">
        <v>2.96</v>
      </c>
      <c r="P683" s="2017">
        <v>2.96</v>
      </c>
      <c r="Q683" s="2017">
        <v>0</v>
      </c>
      <c r="R683" s="2017">
        <v>0</v>
      </c>
      <c r="S683" s="2017">
        <v>0</v>
      </c>
      <c r="T683" s="2017">
        <v>0</v>
      </c>
      <c r="U683" s="2042">
        <v>0</v>
      </c>
    </row>
    <row r="684" spans="2:21" hidden="1" outlineLevel="2">
      <c r="B684" s="2059">
        <v>60</v>
      </c>
      <c r="C684" s="1050" t="str">
        <f t="shared" si="76"/>
        <v>-</v>
      </c>
      <c r="D684" s="1051">
        <f t="shared" si="77"/>
        <v>16</v>
      </c>
      <c r="E684" s="1051" t="str">
        <f>IF(COUNTIF(E$624:E683,F684)&gt;0,"",F684)</f>
        <v>Ecran 21,5 pouces, France continentale, Base Carbone</v>
      </c>
      <c r="F684" s="1051" t="str">
        <f t="shared" si="78"/>
        <v>Ecran 21,5 pouces, France continentale, Base Carbone</v>
      </c>
      <c r="G684" s="1055" t="str">
        <f t="shared" si="79"/>
        <v>Ecran 21,5 pouces, France continentale, Base Carbone; kgCO2e/unité, Matières premières</v>
      </c>
      <c r="I684" s="2018" t="s">
        <v>3176</v>
      </c>
      <c r="J684" s="1135" t="s">
        <v>1994</v>
      </c>
      <c r="K684" s="1135" t="s">
        <v>1567</v>
      </c>
      <c r="L684" s="1135" t="s">
        <v>1571</v>
      </c>
      <c r="M684" s="2062">
        <v>0.5</v>
      </c>
      <c r="N684" s="1135" t="s">
        <v>3135</v>
      </c>
      <c r="O684" s="1135">
        <v>205</v>
      </c>
      <c r="P684" s="2017">
        <v>205</v>
      </c>
      <c r="Q684" s="2017">
        <v>0</v>
      </c>
      <c r="R684" s="2017">
        <v>0</v>
      </c>
      <c r="S684" s="2017">
        <v>0</v>
      </c>
      <c r="T684" s="2017">
        <v>0</v>
      </c>
      <c r="U684" s="2042">
        <v>0</v>
      </c>
    </row>
    <row r="685" spans="2:21" hidden="1" outlineLevel="2">
      <c r="B685" s="1135"/>
      <c r="C685" s="1045"/>
      <c r="D685" s="1051">
        <f t="shared" si="77"/>
        <v>16</v>
      </c>
      <c r="E685" s="1051" t="str">
        <f>IF(COUNTIF(E$624:E684,F685)&gt;0,"",F685)</f>
        <v/>
      </c>
      <c r="F685" s="1051" t="str">
        <f t="shared" si="78"/>
        <v>Ecran 21,5 pouces, France continentale, Base Carbone</v>
      </c>
      <c r="G685" s="1055" t="str">
        <f t="shared" si="79"/>
        <v>Ecran 21,5 pouces, France continentale, Base Carbone; kgCO2e/unité, Approvisionnement</v>
      </c>
      <c r="I685" s="2018" t="s">
        <v>3176</v>
      </c>
      <c r="J685" s="1135" t="s">
        <v>1994</v>
      </c>
      <c r="K685" s="1135" t="s">
        <v>1567</v>
      </c>
      <c r="L685" s="1135" t="s">
        <v>1571</v>
      </c>
      <c r="M685" s="2062">
        <v>0.5</v>
      </c>
      <c r="N685" s="1135" t="s">
        <v>3136</v>
      </c>
      <c r="O685" s="1135">
        <v>4.26</v>
      </c>
      <c r="P685" s="2017">
        <v>4.26</v>
      </c>
      <c r="Q685" s="2017">
        <v>0</v>
      </c>
      <c r="R685" s="2017">
        <v>0</v>
      </c>
      <c r="S685" s="2017">
        <v>0</v>
      </c>
      <c r="T685" s="2017">
        <v>0</v>
      </c>
      <c r="U685" s="2042">
        <v>0</v>
      </c>
    </row>
    <row r="686" spans="2:21" hidden="1" outlineLevel="2">
      <c r="B686" s="1135"/>
      <c r="C686" s="1045"/>
      <c r="D686" s="1051">
        <f t="shared" si="77"/>
        <v>16</v>
      </c>
      <c r="E686" s="1051" t="str">
        <f>IF(COUNTIF(E$624:E685,F686)&gt;0,"",F686)</f>
        <v/>
      </c>
      <c r="F686" s="1051" t="str">
        <f t="shared" si="78"/>
        <v>Ecran 21,5 pouces, France continentale, Base Carbone</v>
      </c>
      <c r="G686" s="1055" t="str">
        <f t="shared" si="79"/>
        <v>Ecran 21,5 pouces, France continentale, Base Carbone; kgCO2e/unité, Mise en forme</v>
      </c>
      <c r="I686" s="2018" t="s">
        <v>3176</v>
      </c>
      <c r="J686" s="1135" t="s">
        <v>1994</v>
      </c>
      <c r="K686" s="1135" t="s">
        <v>1567</v>
      </c>
      <c r="L686" s="1135" t="s">
        <v>1571</v>
      </c>
      <c r="M686" s="2062">
        <v>0.5</v>
      </c>
      <c r="N686" s="1135" t="s">
        <v>3141</v>
      </c>
      <c r="O686" s="1135">
        <v>1.9</v>
      </c>
      <c r="P686" s="2017">
        <v>1.9</v>
      </c>
      <c r="Q686" s="2017">
        <v>0</v>
      </c>
      <c r="R686" s="2017">
        <v>0</v>
      </c>
      <c r="S686" s="2017">
        <v>0</v>
      </c>
      <c r="T686" s="2017">
        <v>0</v>
      </c>
      <c r="U686" s="2042">
        <v>0</v>
      </c>
    </row>
    <row r="687" spans="2:21" hidden="1" outlineLevel="2">
      <c r="B687" s="1135"/>
      <c r="C687" s="1045"/>
      <c r="D687" s="1051">
        <f t="shared" si="77"/>
        <v>16</v>
      </c>
      <c r="E687" s="1051" t="str">
        <f>IF(COUNTIF(E$624:E686,F687)&gt;0,"",F687)</f>
        <v/>
      </c>
      <c r="F687" s="1051" t="str">
        <f t="shared" si="78"/>
        <v>Ecran 21,5 pouces, France continentale, Base Carbone</v>
      </c>
      <c r="G687" s="1055" t="str">
        <f t="shared" si="79"/>
        <v>Ecran 21,5 pouces, France continentale, Base Carbone; kgCO2e/unité, Assemblage</v>
      </c>
      <c r="I687" s="2018" t="s">
        <v>3176</v>
      </c>
      <c r="J687" s="1135" t="s">
        <v>1994</v>
      </c>
      <c r="K687" s="1135" t="s">
        <v>1567</v>
      </c>
      <c r="L687" s="1135" t="s">
        <v>1571</v>
      </c>
      <c r="M687" s="2062">
        <v>0.5</v>
      </c>
      <c r="N687" s="1135" t="s">
        <v>3137</v>
      </c>
      <c r="O687" s="1135">
        <v>2.17</v>
      </c>
      <c r="P687" s="2017">
        <v>2.17</v>
      </c>
      <c r="Q687" s="2017">
        <v>0</v>
      </c>
      <c r="R687" s="2017">
        <v>0</v>
      </c>
      <c r="S687" s="2017">
        <v>0</v>
      </c>
      <c r="T687" s="2017">
        <v>0</v>
      </c>
      <c r="U687" s="2042">
        <v>0</v>
      </c>
    </row>
    <row r="688" spans="2:21" hidden="1" outlineLevel="2">
      <c r="B688" s="1135"/>
      <c r="C688" s="1045"/>
      <c r="D688" s="1051">
        <f t="shared" si="77"/>
        <v>16</v>
      </c>
      <c r="E688" s="1051" t="str">
        <f>IF(COUNTIF(E$624:E687,F688)&gt;0,"",F688)</f>
        <v/>
      </c>
      <c r="F688" s="1051" t="str">
        <f t="shared" si="78"/>
        <v>Ecran 21,5 pouces, France continentale, Base Carbone</v>
      </c>
      <c r="G688" s="1055" t="str">
        <f t="shared" si="79"/>
        <v>Ecran 21,5 pouces, France continentale, Base Carbone; kgCO2e/unité, Distribution</v>
      </c>
      <c r="I688" s="2018" t="s">
        <v>3176</v>
      </c>
      <c r="J688" s="1135" t="s">
        <v>1994</v>
      </c>
      <c r="K688" s="1135" t="s">
        <v>1567</v>
      </c>
      <c r="L688" s="1135" t="s">
        <v>1571</v>
      </c>
      <c r="M688" s="2062">
        <v>0.5</v>
      </c>
      <c r="N688" s="1135" t="s">
        <v>3138</v>
      </c>
      <c r="O688" s="1135">
        <v>7.98</v>
      </c>
      <c r="P688" s="2017">
        <v>7.98</v>
      </c>
      <c r="Q688" s="2017">
        <v>0</v>
      </c>
      <c r="R688" s="2017">
        <v>0</v>
      </c>
      <c r="S688" s="2017">
        <v>0</v>
      </c>
      <c r="T688" s="2017">
        <v>0</v>
      </c>
      <c r="U688" s="2042">
        <v>0</v>
      </c>
    </row>
    <row r="689" spans="2:21" hidden="1" outlineLevel="2">
      <c r="B689" s="1135"/>
      <c r="C689" s="1045"/>
      <c r="D689" s="1051">
        <f t="shared" si="77"/>
        <v>17</v>
      </c>
      <c r="E689" s="1051" t="str">
        <f>IF(COUNTIF(E$624:E688,F689)&gt;0,"",F689)</f>
        <v>Ecran 23,8 pouces, France continentale, Base Carbone</v>
      </c>
      <c r="F689" s="1051" t="str">
        <f t="shared" si="78"/>
        <v>Ecran 23,8 pouces, France continentale, Base Carbone</v>
      </c>
      <c r="G689" s="1055" t="str">
        <f t="shared" si="79"/>
        <v>Ecran 23,8 pouces, France continentale, Base Carbone; kgCO2e/unité, Matières premières</v>
      </c>
      <c r="I689" s="2018" t="s">
        <v>3177</v>
      </c>
      <c r="J689" s="1135" t="s">
        <v>1994</v>
      </c>
      <c r="K689" s="1135" t="s">
        <v>1567</v>
      </c>
      <c r="L689" s="1135" t="s">
        <v>1571</v>
      </c>
      <c r="M689" s="2062">
        <v>0.5</v>
      </c>
      <c r="N689" s="1135" t="s">
        <v>3135</v>
      </c>
      <c r="O689" s="1135">
        <v>229</v>
      </c>
      <c r="P689" s="2017">
        <v>229</v>
      </c>
      <c r="Q689" s="2017">
        <v>0</v>
      </c>
      <c r="R689" s="2017">
        <v>0</v>
      </c>
      <c r="S689" s="2017">
        <v>0</v>
      </c>
      <c r="T689" s="2017">
        <v>0</v>
      </c>
      <c r="U689" s="2042">
        <v>0</v>
      </c>
    </row>
    <row r="690" spans="2:21" hidden="1" outlineLevel="2">
      <c r="B690" s="1135"/>
      <c r="C690" s="1045"/>
      <c r="D690" s="1051">
        <f t="shared" ref="D690:D753" si="80">D689+IF(LEN(E690)&gt;0,1,0)</f>
        <v>17</v>
      </c>
      <c r="E690" s="1051" t="str">
        <f>IF(COUNTIF(E$624:E689,F690)&gt;0,"",F690)</f>
        <v/>
      </c>
      <c r="F690" s="1051" t="str">
        <f t="shared" ref="F690:F753" si="81">IF(I690&lt;&gt;"",I690&amp;IF(L690&lt;&gt;"",", "&amp;L690,"")&amp;IF(K690&lt;&gt;"",", "&amp;K690,""),"")</f>
        <v>Ecran 23,8 pouces, France continentale, Base Carbone</v>
      </c>
      <c r="G690" s="1055" t="str">
        <f t="shared" ref="G690:G753" si="82">IF(F690&lt;&gt;"",F690&amp;IF(J690&lt;&gt;"","; "&amp;J690&amp;IF(N690&lt;&gt;"",", "&amp;N690,),""),"")</f>
        <v>Ecran 23,8 pouces, France continentale, Base Carbone; kgCO2e/unité, Approvisionnement</v>
      </c>
      <c r="I690" s="2018" t="s">
        <v>3177</v>
      </c>
      <c r="J690" s="1135" t="s">
        <v>1994</v>
      </c>
      <c r="K690" s="1135" t="s">
        <v>1567</v>
      </c>
      <c r="L690" s="1135" t="s">
        <v>1571</v>
      </c>
      <c r="M690" s="2062">
        <v>0.5</v>
      </c>
      <c r="N690" s="1135" t="s">
        <v>3136</v>
      </c>
      <c r="O690" s="1135">
        <v>4.9400000000000004</v>
      </c>
      <c r="P690" s="2017">
        <v>4.9400000000000004</v>
      </c>
      <c r="Q690" s="2017">
        <v>0</v>
      </c>
      <c r="R690" s="2017">
        <v>0</v>
      </c>
      <c r="S690" s="2017">
        <v>0</v>
      </c>
      <c r="T690" s="2017">
        <v>0</v>
      </c>
      <c r="U690" s="2042">
        <v>0</v>
      </c>
    </row>
    <row r="691" spans="2:21" hidden="1" outlineLevel="2">
      <c r="B691" s="1135"/>
      <c r="C691" s="1045"/>
      <c r="D691" s="1051">
        <f t="shared" si="80"/>
        <v>17</v>
      </c>
      <c r="E691" s="1051" t="str">
        <f>IF(COUNTIF(E$624:E690,F691)&gt;0,"",F691)</f>
        <v/>
      </c>
      <c r="F691" s="1051" t="str">
        <f t="shared" si="81"/>
        <v>Ecran 23,8 pouces, France continentale, Base Carbone</v>
      </c>
      <c r="G691" s="1055" t="str">
        <f t="shared" si="82"/>
        <v>Ecran 23,8 pouces, France continentale, Base Carbone; kgCO2e/unité, Mise en forme</v>
      </c>
      <c r="I691" s="2018" t="s">
        <v>3177</v>
      </c>
      <c r="J691" s="1135" t="s">
        <v>1994</v>
      </c>
      <c r="K691" s="1135" t="s">
        <v>1567</v>
      </c>
      <c r="L691" s="1135" t="s">
        <v>1571</v>
      </c>
      <c r="M691" s="2062">
        <v>0.5</v>
      </c>
      <c r="N691" s="1135" t="s">
        <v>3141</v>
      </c>
      <c r="O691" s="1135">
        <v>2.5499999999999998</v>
      </c>
      <c r="P691" s="2017">
        <v>2.5499999999999998</v>
      </c>
      <c r="Q691" s="2017">
        <v>0</v>
      </c>
      <c r="R691" s="2017">
        <v>0</v>
      </c>
      <c r="S691" s="2017">
        <v>0</v>
      </c>
      <c r="T691" s="2017">
        <v>0</v>
      </c>
      <c r="U691" s="2042">
        <v>0</v>
      </c>
    </row>
    <row r="692" spans="2:21" hidden="1" outlineLevel="2">
      <c r="B692" s="1135"/>
      <c r="C692" s="1045"/>
      <c r="D692" s="1051">
        <f t="shared" si="80"/>
        <v>17</v>
      </c>
      <c r="E692" s="1051" t="str">
        <f>IF(COUNTIF(E$624:E691,F692)&gt;0,"",F692)</f>
        <v/>
      </c>
      <c r="F692" s="1051" t="str">
        <f t="shared" si="81"/>
        <v>Ecran 23,8 pouces, France continentale, Base Carbone</v>
      </c>
      <c r="G692" s="1055" t="str">
        <f t="shared" si="82"/>
        <v>Ecran 23,8 pouces, France continentale, Base Carbone; kgCO2e/unité, Assemblage</v>
      </c>
      <c r="I692" s="2018" t="s">
        <v>3177</v>
      </c>
      <c r="J692" s="1135" t="s">
        <v>1994</v>
      </c>
      <c r="K692" s="1135" t="s">
        <v>1567</v>
      </c>
      <c r="L692" s="1135" t="s">
        <v>1571</v>
      </c>
      <c r="M692" s="2062">
        <v>0.5</v>
      </c>
      <c r="N692" s="1135" t="s">
        <v>3137</v>
      </c>
      <c r="O692" s="1135">
        <v>2.48</v>
      </c>
      <c r="P692" s="2017">
        <v>2.48</v>
      </c>
      <c r="Q692" s="2017">
        <v>0</v>
      </c>
      <c r="R692" s="2017">
        <v>0</v>
      </c>
      <c r="S692" s="2017">
        <v>0</v>
      </c>
      <c r="T692" s="2017">
        <v>0</v>
      </c>
      <c r="U692" s="2042">
        <v>0</v>
      </c>
    </row>
    <row r="693" spans="2:21" hidden="1" outlineLevel="2">
      <c r="B693" s="1135"/>
      <c r="C693" s="1045"/>
      <c r="D693" s="1051">
        <f t="shared" si="80"/>
        <v>17</v>
      </c>
      <c r="E693" s="1051" t="str">
        <f>IF(COUNTIF(E$624:E692,F693)&gt;0,"",F693)</f>
        <v/>
      </c>
      <c r="F693" s="1051" t="str">
        <f t="shared" si="81"/>
        <v>Ecran 23,8 pouces, France continentale, Base Carbone</v>
      </c>
      <c r="G693" s="1055" t="str">
        <f t="shared" si="82"/>
        <v>Ecran 23,8 pouces, France continentale, Base Carbone; kgCO2e/unité, Distribution</v>
      </c>
      <c r="I693" s="2018" t="s">
        <v>3177</v>
      </c>
      <c r="J693" s="1135" t="s">
        <v>1994</v>
      </c>
      <c r="K693" s="1135" t="s">
        <v>1567</v>
      </c>
      <c r="L693" s="1135" t="s">
        <v>1571</v>
      </c>
      <c r="M693" s="2062">
        <v>0.5</v>
      </c>
      <c r="N693" s="1135" t="s">
        <v>3138</v>
      </c>
      <c r="O693" s="1135">
        <v>9.2100000000000009</v>
      </c>
      <c r="P693" s="2017">
        <v>9.2100000000000009</v>
      </c>
      <c r="Q693" s="2017">
        <v>0</v>
      </c>
      <c r="R693" s="2017">
        <v>0</v>
      </c>
      <c r="S693" s="2017">
        <v>0</v>
      </c>
      <c r="T693" s="2017">
        <v>0</v>
      </c>
      <c r="U693" s="2042">
        <v>0</v>
      </c>
    </row>
    <row r="694" spans="2:21" hidden="1" outlineLevel="2">
      <c r="B694" s="1135"/>
      <c r="C694" s="1045"/>
      <c r="D694" s="1051">
        <f t="shared" si="80"/>
        <v>18</v>
      </c>
      <c r="E694" s="1051" t="str">
        <f>IF(COUNTIF(E$624:E693,F694)&gt;0,"",F694)</f>
        <v>Ecran publicitaire 2m², France continentale, Base Carbone</v>
      </c>
      <c r="F694" s="1051" t="str">
        <f t="shared" si="81"/>
        <v>Ecran publicitaire 2m², France continentale, Base Carbone</v>
      </c>
      <c r="G694" s="1055" t="str">
        <f t="shared" si="82"/>
        <v>Ecran publicitaire 2m², France continentale, Base Carbone; kgCO2e/unité, Matières premières</v>
      </c>
      <c r="I694" s="2018" t="s">
        <v>4764</v>
      </c>
      <c r="J694" s="1135" t="s">
        <v>1994</v>
      </c>
      <c r="K694" s="1135" t="s">
        <v>1567</v>
      </c>
      <c r="L694" s="1135" t="s">
        <v>1571</v>
      </c>
      <c r="M694" s="2062">
        <v>0.5</v>
      </c>
      <c r="N694" s="1135" t="s">
        <v>3135</v>
      </c>
      <c r="O694" s="1135">
        <v>1199</v>
      </c>
      <c r="P694" s="1119">
        <v>1199</v>
      </c>
      <c r="Q694" s="2017">
        <v>0</v>
      </c>
      <c r="R694" s="2017">
        <v>0</v>
      </c>
      <c r="S694" s="2017">
        <v>0</v>
      </c>
      <c r="T694" s="2017">
        <v>0</v>
      </c>
      <c r="U694" s="2042">
        <v>0</v>
      </c>
    </row>
    <row r="695" spans="2:21" hidden="1" outlineLevel="2">
      <c r="B695" s="1135"/>
      <c r="C695" s="1045"/>
      <c r="D695" s="1051">
        <f t="shared" si="80"/>
        <v>18</v>
      </c>
      <c r="E695" s="1051" t="str">
        <f>IF(COUNTIF(E$624:E694,F695)&gt;0,"",F695)</f>
        <v/>
      </c>
      <c r="F695" s="1051" t="str">
        <f t="shared" si="81"/>
        <v>Ecran publicitaire 2m², France continentale, Base Carbone</v>
      </c>
      <c r="G695" s="1055" t="str">
        <f t="shared" si="82"/>
        <v>Ecran publicitaire 2m², France continentale, Base Carbone; kgCO2e/unité, Approvisionnement</v>
      </c>
      <c r="I695" s="2018" t="s">
        <v>4764</v>
      </c>
      <c r="J695" s="1135" t="s">
        <v>1994</v>
      </c>
      <c r="K695" s="1135" t="s">
        <v>1567</v>
      </c>
      <c r="L695" s="1135" t="s">
        <v>1571</v>
      </c>
      <c r="M695" s="2062">
        <v>0.5</v>
      </c>
      <c r="N695" s="1135" t="s">
        <v>3136</v>
      </c>
      <c r="O695" s="1135">
        <v>47.4</v>
      </c>
      <c r="P695" s="1119">
        <v>47.4</v>
      </c>
      <c r="Q695" s="2017">
        <v>0</v>
      </c>
      <c r="R695" s="2017">
        <v>0</v>
      </c>
      <c r="S695" s="2017">
        <v>0</v>
      </c>
      <c r="T695" s="2017">
        <v>0</v>
      </c>
      <c r="U695" s="2042">
        <v>0</v>
      </c>
    </row>
    <row r="696" spans="2:21" hidden="1" outlineLevel="2">
      <c r="B696" s="1135"/>
      <c r="C696" s="1045"/>
      <c r="D696" s="1051">
        <f t="shared" si="80"/>
        <v>18</v>
      </c>
      <c r="E696" s="1051" t="str">
        <f>IF(COUNTIF(E$624:E695,F696)&gt;0,"",F696)</f>
        <v/>
      </c>
      <c r="F696" s="1051" t="str">
        <f t="shared" si="81"/>
        <v>Ecran publicitaire 2m², France continentale, Base Carbone</v>
      </c>
      <c r="G696" s="1055" t="str">
        <f t="shared" si="82"/>
        <v>Ecran publicitaire 2m², France continentale, Base Carbone; kgCO2e/unité, Mise en forme</v>
      </c>
      <c r="I696" s="2018" t="s">
        <v>4764</v>
      </c>
      <c r="J696" s="1135" t="s">
        <v>1994</v>
      </c>
      <c r="K696" s="1135" t="s">
        <v>1567</v>
      </c>
      <c r="L696" s="1135" t="s">
        <v>1571</v>
      </c>
      <c r="M696" s="2062">
        <v>0.5</v>
      </c>
      <c r="N696" s="1135" t="s">
        <v>3141</v>
      </c>
      <c r="O696" s="1135">
        <v>21.5</v>
      </c>
      <c r="P696" s="1119">
        <v>21.5</v>
      </c>
      <c r="Q696" s="2017">
        <v>0</v>
      </c>
      <c r="R696" s="2017">
        <v>0</v>
      </c>
      <c r="S696" s="2017">
        <v>0</v>
      </c>
      <c r="T696" s="2017">
        <v>0</v>
      </c>
      <c r="U696" s="2042">
        <v>0</v>
      </c>
    </row>
    <row r="697" spans="2:21" hidden="1" outlineLevel="2">
      <c r="B697" s="1135"/>
      <c r="C697" s="1045"/>
      <c r="D697" s="1051">
        <f t="shared" si="80"/>
        <v>18</v>
      </c>
      <c r="E697" s="1051" t="str">
        <f>IF(COUNTIF(E$624:E696,F697)&gt;0,"",F697)</f>
        <v/>
      </c>
      <c r="F697" s="1051" t="str">
        <f t="shared" si="81"/>
        <v>Ecran publicitaire 2m², France continentale, Base Carbone</v>
      </c>
      <c r="G697" s="1055" t="str">
        <f t="shared" si="82"/>
        <v>Ecran publicitaire 2m², France continentale, Base Carbone; kgCO2e/unité, Assemblage</v>
      </c>
      <c r="I697" s="2018" t="s">
        <v>4764</v>
      </c>
      <c r="J697" s="1135" t="s">
        <v>1994</v>
      </c>
      <c r="K697" s="1135" t="s">
        <v>1567</v>
      </c>
      <c r="L697" s="1135" t="s">
        <v>1571</v>
      </c>
      <c r="M697" s="2062">
        <v>0.5</v>
      </c>
      <c r="N697" s="1135" t="s">
        <v>3137</v>
      </c>
      <c r="O697" s="1135">
        <v>9.33</v>
      </c>
      <c r="P697" s="1119">
        <v>9.33</v>
      </c>
      <c r="Q697" s="2017">
        <v>0</v>
      </c>
      <c r="R697" s="2017">
        <v>0</v>
      </c>
      <c r="S697" s="2017">
        <v>0</v>
      </c>
      <c r="T697" s="2017">
        <v>0</v>
      </c>
      <c r="U697" s="2042">
        <v>0</v>
      </c>
    </row>
    <row r="698" spans="2:21" hidden="1" outlineLevel="2">
      <c r="B698" s="1135"/>
      <c r="C698" s="1045"/>
      <c r="D698" s="1051">
        <f t="shared" si="80"/>
        <v>18</v>
      </c>
      <c r="E698" s="1051" t="str">
        <f>IF(COUNTIF(E$624:E697,F698)&gt;0,"",F698)</f>
        <v/>
      </c>
      <c r="F698" s="1051" t="str">
        <f t="shared" si="81"/>
        <v>Ecran publicitaire 2m², France continentale, Base Carbone</v>
      </c>
      <c r="G698" s="1055" t="str">
        <f t="shared" si="82"/>
        <v>Ecran publicitaire 2m², France continentale, Base Carbone; kgCO2e/unité, Distribution</v>
      </c>
      <c r="I698" s="2018" t="s">
        <v>4764</v>
      </c>
      <c r="J698" s="1135" t="s">
        <v>1994</v>
      </c>
      <c r="K698" s="1135" t="s">
        <v>1567</v>
      </c>
      <c r="L698" s="1135" t="s">
        <v>1571</v>
      </c>
      <c r="M698" s="2062">
        <v>0.5</v>
      </c>
      <c r="N698" s="1135" t="s">
        <v>3138</v>
      </c>
      <c r="O698" s="1135">
        <v>44.4</v>
      </c>
      <c r="P698" s="1119">
        <v>44.4</v>
      </c>
      <c r="Q698" s="2017">
        <v>0</v>
      </c>
      <c r="R698" s="2017">
        <v>0</v>
      </c>
      <c r="S698" s="2017">
        <v>0</v>
      </c>
      <c r="T698" s="2017">
        <v>0</v>
      </c>
      <c r="U698" s="2042">
        <v>0</v>
      </c>
    </row>
    <row r="699" spans="2:21" hidden="1" outlineLevel="2">
      <c r="B699" s="1135"/>
      <c r="C699" s="1045"/>
      <c r="D699" s="1051">
        <f t="shared" si="80"/>
        <v>19</v>
      </c>
      <c r="E699" s="1051" t="str">
        <f>IF(COUNTIF(E$624:E698,F699)&gt;0,"",F699)</f>
        <v>Ecran publicitaire 2m² (sans casing), France continentale, Base Carbone</v>
      </c>
      <c r="F699" s="1051" t="str">
        <f t="shared" si="81"/>
        <v>Ecran publicitaire 2m² (sans casing), France continentale, Base Carbone</v>
      </c>
      <c r="G699" s="1055" t="str">
        <f t="shared" si="82"/>
        <v>Ecran publicitaire 2m² (sans casing), France continentale, Base Carbone; kgCO2e/unité, Matières premières</v>
      </c>
      <c r="I699" s="2018" t="s">
        <v>4765</v>
      </c>
      <c r="J699" s="1135" t="s">
        <v>1994</v>
      </c>
      <c r="K699" s="1135" t="s">
        <v>1567</v>
      </c>
      <c r="L699" s="1135" t="s">
        <v>1571</v>
      </c>
      <c r="M699" s="2062">
        <v>0.5</v>
      </c>
      <c r="N699" s="1135" t="s">
        <v>3135</v>
      </c>
      <c r="O699" s="1135">
        <v>994</v>
      </c>
      <c r="P699" s="1119">
        <v>994</v>
      </c>
      <c r="Q699" s="2017">
        <v>0</v>
      </c>
      <c r="R699" s="2017">
        <v>0</v>
      </c>
      <c r="S699" s="2017">
        <v>0</v>
      </c>
      <c r="T699" s="2017">
        <v>0</v>
      </c>
      <c r="U699" s="2042">
        <v>0</v>
      </c>
    </row>
    <row r="700" spans="2:21" hidden="1" outlineLevel="2">
      <c r="B700" s="1135"/>
      <c r="C700" s="1045"/>
      <c r="D700" s="1051">
        <f t="shared" si="80"/>
        <v>19</v>
      </c>
      <c r="E700" s="1051" t="str">
        <f>IF(COUNTIF(E$624:E699,F700)&gt;0,"",F700)</f>
        <v/>
      </c>
      <c r="F700" s="1051" t="str">
        <f t="shared" si="81"/>
        <v>Ecran publicitaire 2m² (sans casing), France continentale, Base Carbone</v>
      </c>
      <c r="G700" s="1055" t="str">
        <f t="shared" si="82"/>
        <v>Ecran publicitaire 2m² (sans casing), France continentale, Base Carbone; kgCO2e/unité, Approvisionnement</v>
      </c>
      <c r="I700" s="2018" t="s">
        <v>4765</v>
      </c>
      <c r="J700" s="1135" t="s">
        <v>1994</v>
      </c>
      <c r="K700" s="1135" t="s">
        <v>1567</v>
      </c>
      <c r="L700" s="1135" t="s">
        <v>1571</v>
      </c>
      <c r="M700" s="2062">
        <v>0.5</v>
      </c>
      <c r="N700" s="1135" t="s">
        <v>3136</v>
      </c>
      <c r="O700" s="1135">
        <v>32.6</v>
      </c>
      <c r="P700" s="1119">
        <v>32.6</v>
      </c>
      <c r="Q700" s="2017">
        <v>0</v>
      </c>
      <c r="R700" s="2017">
        <v>0</v>
      </c>
      <c r="S700" s="2017">
        <v>0</v>
      </c>
      <c r="T700" s="2017">
        <v>0</v>
      </c>
      <c r="U700" s="2042">
        <v>0</v>
      </c>
    </row>
    <row r="701" spans="2:21" hidden="1" outlineLevel="2">
      <c r="B701" s="1135"/>
      <c r="C701" s="1045"/>
      <c r="D701" s="1051">
        <f t="shared" si="80"/>
        <v>19</v>
      </c>
      <c r="E701" s="1051" t="str">
        <f>IF(COUNTIF(E$624:E700,F701)&gt;0,"",F701)</f>
        <v/>
      </c>
      <c r="F701" s="1051" t="str">
        <f t="shared" si="81"/>
        <v>Ecran publicitaire 2m² (sans casing), France continentale, Base Carbone</v>
      </c>
      <c r="G701" s="1055" t="str">
        <f t="shared" si="82"/>
        <v>Ecran publicitaire 2m² (sans casing), France continentale, Base Carbone; kgCO2e/unité, Mise en forme</v>
      </c>
      <c r="I701" s="2018" t="s">
        <v>4765</v>
      </c>
      <c r="J701" s="1135" t="s">
        <v>1994</v>
      </c>
      <c r="K701" s="1135" t="s">
        <v>1567</v>
      </c>
      <c r="L701" s="1135" t="s">
        <v>1571</v>
      </c>
      <c r="M701" s="2062">
        <v>0.5</v>
      </c>
      <c r="N701" s="1135" t="s">
        <v>3141</v>
      </c>
      <c r="O701" s="1135">
        <v>17.2</v>
      </c>
      <c r="P701" s="1119">
        <v>17.2</v>
      </c>
      <c r="Q701" s="2017">
        <v>0</v>
      </c>
      <c r="R701" s="2017">
        <v>0</v>
      </c>
      <c r="S701" s="2017">
        <v>0</v>
      </c>
      <c r="T701" s="2017">
        <v>0</v>
      </c>
      <c r="U701" s="2042">
        <v>0</v>
      </c>
    </row>
    <row r="702" spans="2:21" hidden="1" outlineLevel="2">
      <c r="B702" s="1135"/>
      <c r="C702" s="1045"/>
      <c r="D702" s="1051">
        <f t="shared" si="80"/>
        <v>19</v>
      </c>
      <c r="E702" s="1051" t="str">
        <f>IF(COUNTIF(E$624:E701,F702)&gt;0,"",F702)</f>
        <v/>
      </c>
      <c r="F702" s="1051" t="str">
        <f t="shared" si="81"/>
        <v>Ecran publicitaire 2m² (sans casing), France continentale, Base Carbone</v>
      </c>
      <c r="G702" s="1055" t="str">
        <f t="shared" si="82"/>
        <v>Ecran publicitaire 2m² (sans casing), France continentale, Base Carbone; kgCO2e/unité, Assemblage</v>
      </c>
      <c r="I702" s="2018" t="s">
        <v>4765</v>
      </c>
      <c r="J702" s="1135" t="s">
        <v>1994</v>
      </c>
      <c r="K702" s="1135" t="s">
        <v>1567</v>
      </c>
      <c r="L702" s="1135" t="s">
        <v>1571</v>
      </c>
      <c r="M702" s="2062">
        <v>0.5</v>
      </c>
      <c r="N702" s="1135" t="s">
        <v>3137</v>
      </c>
      <c r="O702" s="1135">
        <v>9.33</v>
      </c>
      <c r="P702" s="1119">
        <v>9.33</v>
      </c>
      <c r="Q702" s="2017">
        <v>0</v>
      </c>
      <c r="R702" s="2017">
        <v>0</v>
      </c>
      <c r="S702" s="2017">
        <v>0</v>
      </c>
      <c r="T702" s="2017">
        <v>0</v>
      </c>
      <c r="U702" s="2042">
        <v>0</v>
      </c>
    </row>
    <row r="703" spans="2:21" hidden="1" outlineLevel="2">
      <c r="B703" s="1135"/>
      <c r="C703" s="1045"/>
      <c r="D703" s="1051">
        <f t="shared" si="80"/>
        <v>19</v>
      </c>
      <c r="E703" s="1051" t="str">
        <f>IF(COUNTIF(E$624:E702,F703)&gt;0,"",F703)</f>
        <v/>
      </c>
      <c r="F703" s="1051" t="str">
        <f t="shared" si="81"/>
        <v>Ecran publicitaire 2m² (sans casing), France continentale, Base Carbone</v>
      </c>
      <c r="G703" s="1055" t="str">
        <f t="shared" si="82"/>
        <v>Ecran publicitaire 2m² (sans casing), France continentale, Base Carbone; kgCO2e/unité, Distribution</v>
      </c>
      <c r="I703" s="2018" t="s">
        <v>4765</v>
      </c>
      <c r="J703" s="1135" t="s">
        <v>1994</v>
      </c>
      <c r="K703" s="1135" t="s">
        <v>1567</v>
      </c>
      <c r="L703" s="1135" t="s">
        <v>1571</v>
      </c>
      <c r="M703" s="2062">
        <v>0.5</v>
      </c>
      <c r="N703" s="1135" t="s">
        <v>3138</v>
      </c>
      <c r="O703" s="1135">
        <v>30.2</v>
      </c>
      <c r="P703" s="1119">
        <v>30.2</v>
      </c>
      <c r="Q703" s="2017">
        <v>0</v>
      </c>
      <c r="R703" s="2017">
        <v>0</v>
      </c>
      <c r="S703" s="2017">
        <v>0</v>
      </c>
      <c r="T703" s="2017">
        <v>0</v>
      </c>
      <c r="U703" s="2042">
        <v>0</v>
      </c>
    </row>
    <row r="704" spans="2:21" hidden="1" outlineLevel="2">
      <c r="B704" s="1135"/>
      <c r="C704" s="1045"/>
      <c r="D704" s="1051">
        <f t="shared" si="80"/>
        <v>20</v>
      </c>
      <c r="E704" s="1051" t="str">
        <f>IF(COUNTIF(E$624:E703,F704)&gt;0,"",F704)</f>
        <v>Enceinte active Bluetooth, France continentale, Base Carbone</v>
      </c>
      <c r="F704" s="1051" t="str">
        <f t="shared" si="81"/>
        <v>Enceinte active Bluetooth, France continentale, Base Carbone</v>
      </c>
      <c r="G704" s="1055" t="str">
        <f t="shared" si="82"/>
        <v>Enceinte active Bluetooth, France continentale, Base Carbone; kgCO2e/unité, Matières premières</v>
      </c>
      <c r="I704" s="2018" t="s">
        <v>3178</v>
      </c>
      <c r="J704" s="1135" t="s">
        <v>1994</v>
      </c>
      <c r="K704" s="1135" t="s">
        <v>1567</v>
      </c>
      <c r="L704" s="1135" t="s">
        <v>1571</v>
      </c>
      <c r="M704" s="2062">
        <v>0.5</v>
      </c>
      <c r="N704" s="1135" t="s">
        <v>3135</v>
      </c>
      <c r="O704" s="1135">
        <v>7.43</v>
      </c>
      <c r="P704" s="2017">
        <v>7.43</v>
      </c>
      <c r="Q704" s="2017">
        <v>0</v>
      </c>
      <c r="R704" s="2017">
        <v>0</v>
      </c>
      <c r="S704" s="2017">
        <v>0</v>
      </c>
      <c r="T704" s="2017">
        <v>0</v>
      </c>
      <c r="U704" s="2042">
        <v>0</v>
      </c>
    </row>
    <row r="705" spans="2:21" hidden="1" outlineLevel="2">
      <c r="B705" s="1135"/>
      <c r="C705" s="1045"/>
      <c r="D705" s="1051">
        <f t="shared" si="80"/>
        <v>20</v>
      </c>
      <c r="E705" s="1051" t="str">
        <f>IF(COUNTIF(E$624:E704,F705)&gt;0,"",F705)</f>
        <v/>
      </c>
      <c r="F705" s="1051" t="str">
        <f t="shared" si="81"/>
        <v>Enceinte active Bluetooth, France continentale, Base Carbone</v>
      </c>
      <c r="G705" s="1055" t="str">
        <f t="shared" si="82"/>
        <v>Enceinte active Bluetooth, France continentale, Base Carbone; kgCO2e/unité, Approvisionnement</v>
      </c>
      <c r="I705" s="2018" t="s">
        <v>3178</v>
      </c>
      <c r="J705" s="1135" t="s">
        <v>1994</v>
      </c>
      <c r="K705" s="1135" t="s">
        <v>1567</v>
      </c>
      <c r="L705" s="1135" t="s">
        <v>1571</v>
      </c>
      <c r="M705" s="2062">
        <v>0.5</v>
      </c>
      <c r="N705" s="1135" t="s">
        <v>3136</v>
      </c>
      <c r="O705" s="1135">
        <v>0.33700000000000002</v>
      </c>
      <c r="P705" s="2017">
        <v>0.33700000000000002</v>
      </c>
      <c r="Q705" s="2017">
        <v>0</v>
      </c>
      <c r="R705" s="2017">
        <v>0</v>
      </c>
      <c r="S705" s="2017">
        <v>0</v>
      </c>
      <c r="T705" s="2017">
        <v>0</v>
      </c>
      <c r="U705" s="2042">
        <v>0</v>
      </c>
    </row>
    <row r="706" spans="2:21" hidden="1" outlineLevel="2">
      <c r="B706" s="1135"/>
      <c r="C706" s="1045"/>
      <c r="D706" s="1051">
        <f t="shared" si="80"/>
        <v>20</v>
      </c>
      <c r="E706" s="1051" t="str">
        <f>IF(COUNTIF(E$624:E705,F706)&gt;0,"",F706)</f>
        <v/>
      </c>
      <c r="F706" s="1051" t="str">
        <f t="shared" si="81"/>
        <v>Enceinte active Bluetooth, France continentale, Base Carbone</v>
      </c>
      <c r="G706" s="1055" t="str">
        <f t="shared" si="82"/>
        <v>Enceinte active Bluetooth, France continentale, Base Carbone; kgCO2e/unité, Mise en forme</v>
      </c>
      <c r="I706" s="2018" t="s">
        <v>3178</v>
      </c>
      <c r="J706" s="1135" t="s">
        <v>1994</v>
      </c>
      <c r="K706" s="1135" t="s">
        <v>1567</v>
      </c>
      <c r="L706" s="1135" t="s">
        <v>1571</v>
      </c>
      <c r="M706" s="2062">
        <v>0.5</v>
      </c>
      <c r="N706" s="1135" t="s">
        <v>3141</v>
      </c>
      <c r="O706" s="1135">
        <v>0.161</v>
      </c>
      <c r="P706" s="2017">
        <v>0.161</v>
      </c>
      <c r="Q706" s="2017">
        <v>0</v>
      </c>
      <c r="R706" s="2017">
        <v>0</v>
      </c>
      <c r="S706" s="2017">
        <v>0</v>
      </c>
      <c r="T706" s="2017">
        <v>0</v>
      </c>
      <c r="U706" s="2042">
        <v>0</v>
      </c>
    </row>
    <row r="707" spans="2:21" hidden="1" outlineLevel="2">
      <c r="B707" s="1135"/>
      <c r="C707" s="1045"/>
      <c r="D707" s="1051">
        <f t="shared" si="80"/>
        <v>20</v>
      </c>
      <c r="E707" s="1051" t="str">
        <f>IF(COUNTIF(E$624:E706,F707)&gt;0,"",F707)</f>
        <v/>
      </c>
      <c r="F707" s="1051" t="str">
        <f t="shared" si="81"/>
        <v>Enceinte active Bluetooth, France continentale, Base Carbone</v>
      </c>
      <c r="G707" s="1055" t="str">
        <f t="shared" si="82"/>
        <v>Enceinte active Bluetooth, France continentale, Base Carbone; kgCO2e/unité, Assemblage</v>
      </c>
      <c r="I707" s="2018" t="s">
        <v>3178</v>
      </c>
      <c r="J707" s="1135" t="s">
        <v>1994</v>
      </c>
      <c r="K707" s="1135" t="s">
        <v>1567</v>
      </c>
      <c r="L707" s="1135" t="s">
        <v>1571</v>
      </c>
      <c r="M707" s="2062">
        <v>0.5</v>
      </c>
      <c r="N707" s="1135" t="s">
        <v>3137</v>
      </c>
      <c r="O707" s="1135">
        <v>0.41299999999999998</v>
      </c>
      <c r="P707" s="2017">
        <v>0.41299999999999998</v>
      </c>
      <c r="Q707" s="2017">
        <v>0</v>
      </c>
      <c r="R707" s="2017">
        <v>0</v>
      </c>
      <c r="S707" s="2017">
        <v>0</v>
      </c>
      <c r="T707" s="2017">
        <v>0</v>
      </c>
      <c r="U707" s="2042">
        <v>0</v>
      </c>
    </row>
    <row r="708" spans="2:21" hidden="1" outlineLevel="2">
      <c r="B708" s="1135"/>
      <c r="C708" s="1045"/>
      <c r="D708" s="1051">
        <f t="shared" si="80"/>
        <v>20</v>
      </c>
      <c r="E708" s="1051" t="str">
        <f>IF(COUNTIF(E$624:E707,F708)&gt;0,"",F708)</f>
        <v/>
      </c>
      <c r="F708" s="1051" t="str">
        <f t="shared" si="81"/>
        <v>Enceinte active Bluetooth, France continentale, Base Carbone</v>
      </c>
      <c r="G708" s="1055" t="str">
        <f t="shared" si="82"/>
        <v>Enceinte active Bluetooth, France continentale, Base Carbone; kgCO2e/unité, Distribution</v>
      </c>
      <c r="I708" s="2018" t="s">
        <v>3178</v>
      </c>
      <c r="J708" s="1135" t="s">
        <v>1994</v>
      </c>
      <c r="K708" s="1135" t="s">
        <v>1567</v>
      </c>
      <c r="L708" s="1135" t="s">
        <v>1571</v>
      </c>
      <c r="M708" s="2062">
        <v>0.5</v>
      </c>
      <c r="N708" s="1135" t="s">
        <v>3138</v>
      </c>
      <c r="O708" s="1135">
        <v>0.63900000000000001</v>
      </c>
      <c r="P708" s="2017">
        <v>0.63900000000000001</v>
      </c>
      <c r="Q708" s="2017">
        <v>0</v>
      </c>
      <c r="R708" s="2017">
        <v>0</v>
      </c>
      <c r="S708" s="2017">
        <v>0</v>
      </c>
      <c r="T708" s="2017">
        <v>0</v>
      </c>
      <c r="U708" s="2042">
        <v>0</v>
      </c>
    </row>
    <row r="709" spans="2:21" hidden="1" outlineLevel="2">
      <c r="B709" s="1135"/>
      <c r="C709" s="1045"/>
      <c r="D709" s="1051">
        <f t="shared" si="80"/>
        <v>21</v>
      </c>
      <c r="E709" s="1051" t="str">
        <f>IF(COUNTIF(E$624:E708,F709)&gt;0,"",F709)</f>
        <v>Enceinte à commande vocale, France continentale, Base Carbone</v>
      </c>
      <c r="F709" s="1051" t="str">
        <f t="shared" si="81"/>
        <v>Enceinte à commande vocale, France continentale, Base Carbone</v>
      </c>
      <c r="G709" s="1055" t="str">
        <f t="shared" si="82"/>
        <v>Enceinte à commande vocale, France continentale, Base Carbone; kgCO2e/unité, Matières premières</v>
      </c>
      <c r="I709" s="2018" t="s">
        <v>4127</v>
      </c>
      <c r="J709" s="1135" t="s">
        <v>1994</v>
      </c>
      <c r="K709" s="1135" t="s">
        <v>1567</v>
      </c>
      <c r="L709" s="1135" t="s">
        <v>1571</v>
      </c>
      <c r="M709" s="2062">
        <v>0.5</v>
      </c>
      <c r="N709" s="1135" t="s">
        <v>3135</v>
      </c>
      <c r="O709" s="1135">
        <v>12.2</v>
      </c>
      <c r="P709" s="1119">
        <v>12.2</v>
      </c>
      <c r="Q709" s="2017">
        <v>0</v>
      </c>
      <c r="R709" s="2017">
        <v>0</v>
      </c>
      <c r="S709" s="2017">
        <v>0</v>
      </c>
      <c r="T709" s="2017">
        <v>0</v>
      </c>
      <c r="U709" s="2042">
        <v>0</v>
      </c>
    </row>
    <row r="710" spans="2:21" hidden="1" outlineLevel="2">
      <c r="B710" s="1135"/>
      <c r="C710" s="1045"/>
      <c r="D710" s="1051">
        <f t="shared" si="80"/>
        <v>21</v>
      </c>
      <c r="E710" s="1051" t="str">
        <f>IF(COUNTIF(E$624:E709,F710)&gt;0,"",F710)</f>
        <v/>
      </c>
      <c r="F710" s="1051" t="str">
        <f t="shared" si="81"/>
        <v>Enceinte à commande vocale, France continentale, Base Carbone</v>
      </c>
      <c r="G710" s="1055" t="str">
        <f t="shared" si="82"/>
        <v>Enceinte à commande vocale, France continentale, Base Carbone; kgCO2e/unité, Approvisionnement</v>
      </c>
      <c r="I710" s="2018" t="s">
        <v>4127</v>
      </c>
      <c r="J710" s="1135" t="s">
        <v>1994</v>
      </c>
      <c r="K710" s="1135" t="s">
        <v>1567</v>
      </c>
      <c r="L710" s="1135" t="s">
        <v>1571</v>
      </c>
      <c r="M710" s="2062">
        <v>0.5</v>
      </c>
      <c r="N710" s="1135" t="s">
        <v>3136</v>
      </c>
      <c r="O710" s="1135">
        <v>0.31900000000000001</v>
      </c>
      <c r="P710" s="1119">
        <v>0.31900000000000001</v>
      </c>
      <c r="Q710" s="2017">
        <v>0</v>
      </c>
      <c r="R710" s="2017">
        <v>0</v>
      </c>
      <c r="S710" s="2017">
        <v>0</v>
      </c>
      <c r="T710" s="2017">
        <v>0</v>
      </c>
      <c r="U710" s="2042">
        <v>0</v>
      </c>
    </row>
    <row r="711" spans="2:21" hidden="1" outlineLevel="2">
      <c r="B711" s="1135"/>
      <c r="C711" s="1045"/>
      <c r="D711" s="1051">
        <f t="shared" si="80"/>
        <v>21</v>
      </c>
      <c r="E711" s="1051" t="str">
        <f>IF(COUNTIF(E$624:E710,F711)&gt;0,"",F711)</f>
        <v/>
      </c>
      <c r="F711" s="1051" t="str">
        <f t="shared" si="81"/>
        <v>Enceinte à commande vocale, France continentale, Base Carbone</v>
      </c>
      <c r="G711" s="1055" t="str">
        <f t="shared" si="82"/>
        <v>Enceinte à commande vocale, France continentale, Base Carbone; kgCO2e/unité, Mise en forme</v>
      </c>
      <c r="I711" s="2018" t="s">
        <v>4127</v>
      </c>
      <c r="J711" s="1135" t="s">
        <v>1994</v>
      </c>
      <c r="K711" s="1135" t="s">
        <v>1567</v>
      </c>
      <c r="L711" s="1135" t="s">
        <v>1571</v>
      </c>
      <c r="M711" s="2062">
        <v>0.5</v>
      </c>
      <c r="N711" s="1135" t="s">
        <v>3141</v>
      </c>
      <c r="O711" s="1135">
        <v>0.34200000000000003</v>
      </c>
      <c r="P711" s="1119">
        <v>0.34200000000000003</v>
      </c>
      <c r="Q711" s="2017">
        <v>0</v>
      </c>
      <c r="R711" s="2017">
        <v>0</v>
      </c>
      <c r="S711" s="2017">
        <v>0</v>
      </c>
      <c r="T711" s="2017">
        <v>0</v>
      </c>
      <c r="U711" s="2042">
        <v>0</v>
      </c>
    </row>
    <row r="712" spans="2:21" hidden="1" outlineLevel="2">
      <c r="B712" s="1135"/>
      <c r="C712" s="1045"/>
      <c r="D712" s="1051">
        <f t="shared" si="80"/>
        <v>21</v>
      </c>
      <c r="E712" s="1051" t="str">
        <f>IF(COUNTIF(E$624:E711,F712)&gt;0,"",F712)</f>
        <v/>
      </c>
      <c r="F712" s="1051" t="str">
        <f t="shared" si="81"/>
        <v>Enceinte à commande vocale, France continentale, Base Carbone</v>
      </c>
      <c r="G712" s="1055" t="str">
        <f t="shared" si="82"/>
        <v>Enceinte à commande vocale, France continentale, Base Carbone; kgCO2e/unité, Assemblage</v>
      </c>
      <c r="I712" s="2018" t="s">
        <v>4127</v>
      </c>
      <c r="J712" s="1135" t="s">
        <v>1994</v>
      </c>
      <c r="K712" s="1135" t="s">
        <v>1567</v>
      </c>
      <c r="L712" s="1135" t="s">
        <v>1571</v>
      </c>
      <c r="M712" s="2062">
        <v>0.5</v>
      </c>
      <c r="N712" s="1135" t="s">
        <v>3137</v>
      </c>
      <c r="O712" s="1135">
        <v>2.27</v>
      </c>
      <c r="P712" s="1119">
        <v>2.27</v>
      </c>
      <c r="Q712" s="2017">
        <v>0</v>
      </c>
      <c r="R712" s="2017">
        <v>0</v>
      </c>
      <c r="S712" s="2017">
        <v>0</v>
      </c>
      <c r="T712" s="2017">
        <v>0</v>
      </c>
      <c r="U712" s="2042">
        <v>0</v>
      </c>
    </row>
    <row r="713" spans="2:21" hidden="1" outlineLevel="2">
      <c r="B713" s="1135"/>
      <c r="C713" s="1045"/>
      <c r="D713" s="1051">
        <f t="shared" si="80"/>
        <v>21</v>
      </c>
      <c r="E713" s="1051" t="str">
        <f>IF(COUNTIF(E$624:E712,F713)&gt;0,"",F713)</f>
        <v/>
      </c>
      <c r="F713" s="1051" t="str">
        <f t="shared" si="81"/>
        <v>Enceinte à commande vocale, France continentale, Base Carbone</v>
      </c>
      <c r="G713" s="1055" t="str">
        <f t="shared" si="82"/>
        <v>Enceinte à commande vocale, France continentale, Base Carbone; kgCO2e/unité, Distribution</v>
      </c>
      <c r="I713" s="2018" t="s">
        <v>4127</v>
      </c>
      <c r="J713" s="1135" t="s">
        <v>1994</v>
      </c>
      <c r="K713" s="1135" t="s">
        <v>1567</v>
      </c>
      <c r="L713" s="1135" t="s">
        <v>1571</v>
      </c>
      <c r="M713" s="2062">
        <v>0.5</v>
      </c>
      <c r="N713" s="1135" t="s">
        <v>3138</v>
      </c>
      <c r="O713" s="1135">
        <v>15.6</v>
      </c>
      <c r="P713" s="1119">
        <v>15.6</v>
      </c>
      <c r="Q713" s="2017">
        <v>0</v>
      </c>
      <c r="R713" s="2017">
        <v>0</v>
      </c>
      <c r="S713" s="2017">
        <v>0</v>
      </c>
      <c r="T713" s="2017">
        <v>0</v>
      </c>
      <c r="U713" s="2042">
        <v>0</v>
      </c>
    </row>
    <row r="714" spans="2:21" hidden="1" outlineLevel="2">
      <c r="B714" s="1135"/>
      <c r="C714" s="1045"/>
      <c r="D714" s="1051">
        <f t="shared" si="80"/>
        <v>22</v>
      </c>
      <c r="E714" s="1051" t="str">
        <f>IF(COUNTIF(E$624:E713,F714)&gt;0,"",F714)</f>
        <v>Home cinéma, France continentale, Base Carbone</v>
      </c>
      <c r="F714" s="1051" t="str">
        <f t="shared" si="81"/>
        <v>Home cinéma, France continentale, Base Carbone</v>
      </c>
      <c r="G714" s="1055" t="str">
        <f t="shared" si="82"/>
        <v>Home cinéma, France continentale, Base Carbone; kgCO2e/unité, Matières premières</v>
      </c>
      <c r="I714" s="2018" t="s">
        <v>3179</v>
      </c>
      <c r="J714" s="1135" t="s">
        <v>1994</v>
      </c>
      <c r="K714" s="1135" t="s">
        <v>1567</v>
      </c>
      <c r="L714" s="1135" t="s">
        <v>1571</v>
      </c>
      <c r="M714" s="2062">
        <v>0.5</v>
      </c>
      <c r="N714" s="1135" t="s">
        <v>3135</v>
      </c>
      <c r="O714" s="1135">
        <v>88.7</v>
      </c>
      <c r="P714" s="2017">
        <v>88.7</v>
      </c>
      <c r="Q714" s="2017">
        <v>0</v>
      </c>
      <c r="R714" s="2017">
        <v>0</v>
      </c>
      <c r="S714" s="2017">
        <v>0</v>
      </c>
      <c r="T714" s="2017">
        <v>0</v>
      </c>
      <c r="U714" s="2042">
        <v>0</v>
      </c>
    </row>
    <row r="715" spans="2:21" hidden="1" outlineLevel="2">
      <c r="B715" s="1135"/>
      <c r="C715" s="1045"/>
      <c r="D715" s="1051">
        <f t="shared" si="80"/>
        <v>22</v>
      </c>
      <c r="E715" s="1051" t="str">
        <f>IF(COUNTIF(E$624:E714,F715)&gt;0,"",F715)</f>
        <v/>
      </c>
      <c r="F715" s="1051" t="str">
        <f t="shared" si="81"/>
        <v>Home cinéma, France continentale, Base Carbone</v>
      </c>
      <c r="G715" s="1055" t="str">
        <f t="shared" si="82"/>
        <v>Home cinéma, France continentale, Base Carbone; kgCO2e/unité, Approvisionnement</v>
      </c>
      <c r="I715" s="2018" t="s">
        <v>3179</v>
      </c>
      <c r="J715" s="1135" t="s">
        <v>1994</v>
      </c>
      <c r="K715" s="1135" t="s">
        <v>1567</v>
      </c>
      <c r="L715" s="1135" t="s">
        <v>1571</v>
      </c>
      <c r="M715" s="2062">
        <v>0.5</v>
      </c>
      <c r="N715" s="1135" t="s">
        <v>3136</v>
      </c>
      <c r="O715" s="1135">
        <v>11</v>
      </c>
      <c r="P715" s="2017">
        <v>11</v>
      </c>
      <c r="Q715" s="2017">
        <v>0</v>
      </c>
      <c r="R715" s="2017">
        <v>0</v>
      </c>
      <c r="S715" s="2017">
        <v>0</v>
      </c>
      <c r="T715" s="2017">
        <v>0</v>
      </c>
      <c r="U715" s="2042">
        <v>0</v>
      </c>
    </row>
    <row r="716" spans="2:21" hidden="1" outlineLevel="2">
      <c r="B716" s="1135"/>
      <c r="C716" s="1045"/>
      <c r="D716" s="1051">
        <f t="shared" si="80"/>
        <v>22</v>
      </c>
      <c r="E716" s="1051" t="str">
        <f>IF(COUNTIF(E$624:E715,F716)&gt;0,"",F716)</f>
        <v/>
      </c>
      <c r="F716" s="1051" t="str">
        <f t="shared" si="81"/>
        <v>Home cinéma, France continentale, Base Carbone</v>
      </c>
      <c r="G716" s="1055" t="str">
        <f t="shared" si="82"/>
        <v>Home cinéma, France continentale, Base Carbone; kgCO2e/unité, Mise en forme</v>
      </c>
      <c r="I716" s="2018" t="s">
        <v>3179</v>
      </c>
      <c r="J716" s="1135" t="s">
        <v>1994</v>
      </c>
      <c r="K716" s="1135" t="s">
        <v>1567</v>
      </c>
      <c r="L716" s="1135" t="s">
        <v>1571</v>
      </c>
      <c r="M716" s="2062">
        <v>0.5</v>
      </c>
      <c r="N716" s="1135" t="s">
        <v>3141</v>
      </c>
      <c r="O716" s="1135">
        <v>5.97</v>
      </c>
      <c r="P716" s="2017">
        <v>5.97</v>
      </c>
      <c r="Q716" s="2017">
        <v>0</v>
      </c>
      <c r="R716" s="2017">
        <v>0</v>
      </c>
      <c r="S716" s="2017">
        <v>0</v>
      </c>
      <c r="T716" s="2017">
        <v>0</v>
      </c>
      <c r="U716" s="2042">
        <v>0</v>
      </c>
    </row>
    <row r="717" spans="2:21" hidden="1" outlineLevel="2">
      <c r="B717" s="1135"/>
      <c r="C717" s="1045"/>
      <c r="D717" s="1051">
        <f t="shared" si="80"/>
        <v>22</v>
      </c>
      <c r="E717" s="1051" t="str">
        <f>IF(COUNTIF(E$624:E716,F717)&gt;0,"",F717)</f>
        <v/>
      </c>
      <c r="F717" s="1051" t="str">
        <f t="shared" si="81"/>
        <v>Home cinéma, France continentale, Base Carbone</v>
      </c>
      <c r="G717" s="1055" t="str">
        <f t="shared" si="82"/>
        <v>Home cinéma, France continentale, Base Carbone; kgCO2e/unité, Assemblage</v>
      </c>
      <c r="I717" s="2018" t="s">
        <v>3179</v>
      </c>
      <c r="J717" s="1135" t="s">
        <v>1994</v>
      </c>
      <c r="K717" s="1135" t="s">
        <v>1567</v>
      </c>
      <c r="L717" s="1135" t="s">
        <v>1571</v>
      </c>
      <c r="M717" s="2062">
        <v>0.5</v>
      </c>
      <c r="N717" s="1135" t="s">
        <v>3137</v>
      </c>
      <c r="O717" s="1135">
        <v>5.88</v>
      </c>
      <c r="P717" s="2017">
        <v>5.88</v>
      </c>
      <c r="Q717" s="2017">
        <v>0</v>
      </c>
      <c r="R717" s="2017">
        <v>0</v>
      </c>
      <c r="S717" s="2017">
        <v>0</v>
      </c>
      <c r="T717" s="2017">
        <v>0</v>
      </c>
      <c r="U717" s="2042">
        <v>0</v>
      </c>
    </row>
    <row r="718" spans="2:21" hidden="1" outlineLevel="2">
      <c r="B718" s="1135"/>
      <c r="C718" s="1045"/>
      <c r="D718" s="1051">
        <f t="shared" si="80"/>
        <v>22</v>
      </c>
      <c r="E718" s="1051" t="str">
        <f>IF(COUNTIF(E$624:E717,F718)&gt;0,"",F718)</f>
        <v/>
      </c>
      <c r="F718" s="1051" t="str">
        <f t="shared" si="81"/>
        <v>Home cinéma, France continentale, Base Carbone</v>
      </c>
      <c r="G718" s="1055" t="str">
        <f t="shared" si="82"/>
        <v>Home cinéma, France continentale, Base Carbone; kgCO2e/unité, Distribution</v>
      </c>
      <c r="I718" s="2018" t="s">
        <v>3179</v>
      </c>
      <c r="J718" s="1135" t="s">
        <v>1994</v>
      </c>
      <c r="K718" s="1135" t="s">
        <v>1567</v>
      </c>
      <c r="L718" s="1135" t="s">
        <v>1571</v>
      </c>
      <c r="M718" s="2062">
        <v>0.5</v>
      </c>
      <c r="N718" s="1135" t="s">
        <v>3138</v>
      </c>
      <c r="O718" s="1135">
        <v>21.1</v>
      </c>
      <c r="P718" s="2017">
        <v>21.1</v>
      </c>
      <c r="Q718" s="2017">
        <v>0</v>
      </c>
      <c r="R718" s="2017">
        <v>0</v>
      </c>
      <c r="S718" s="2017">
        <v>0</v>
      </c>
      <c r="T718" s="2017">
        <v>0</v>
      </c>
      <c r="U718" s="2042">
        <v>0</v>
      </c>
    </row>
    <row r="719" spans="2:21" hidden="1" outlineLevel="2">
      <c r="B719" s="1135"/>
      <c r="C719" s="1045"/>
      <c r="D719" s="1051">
        <f t="shared" si="80"/>
        <v>23</v>
      </c>
      <c r="E719" s="1051" t="str">
        <f>IF(COUNTIF(E$624:E718,F719)&gt;0,"",F719)</f>
        <v>Imprimante jet d'encre, France continentale, Base Carbone</v>
      </c>
      <c r="F719" s="1051" t="str">
        <f t="shared" si="81"/>
        <v>Imprimante jet d'encre, France continentale, Base Carbone</v>
      </c>
      <c r="G719" s="1055" t="str">
        <f t="shared" si="82"/>
        <v>Imprimante jet d'encre, France continentale, Base Carbone; kgCO2e/unité, Matières premières</v>
      </c>
      <c r="I719" s="2018" t="s">
        <v>3180</v>
      </c>
      <c r="J719" s="1135" t="s">
        <v>1994</v>
      </c>
      <c r="K719" s="1135" t="s">
        <v>1567</v>
      </c>
      <c r="L719" s="1135" t="s">
        <v>1571</v>
      </c>
      <c r="M719" s="2062">
        <v>0.5</v>
      </c>
      <c r="N719" s="1135" t="s">
        <v>3135</v>
      </c>
      <c r="O719" s="1135">
        <v>61.2</v>
      </c>
      <c r="P719" s="2017">
        <v>61.2</v>
      </c>
      <c r="Q719" s="2017">
        <v>0</v>
      </c>
      <c r="R719" s="2017">
        <v>0</v>
      </c>
      <c r="S719" s="2017">
        <v>0</v>
      </c>
      <c r="T719" s="2017">
        <v>0</v>
      </c>
      <c r="U719" s="2042">
        <v>0</v>
      </c>
    </row>
    <row r="720" spans="2:21" hidden="1" outlineLevel="2">
      <c r="B720" s="1135"/>
      <c r="C720" s="1045"/>
      <c r="D720" s="1051">
        <f t="shared" si="80"/>
        <v>23</v>
      </c>
      <c r="E720" s="1051" t="str">
        <f>IF(COUNTIF(E$624:E719,F720)&gt;0,"",F720)</f>
        <v/>
      </c>
      <c r="F720" s="1051" t="str">
        <f t="shared" si="81"/>
        <v>Imprimante jet d'encre, France continentale, Base Carbone</v>
      </c>
      <c r="G720" s="1055" t="str">
        <f t="shared" si="82"/>
        <v>Imprimante jet d'encre, France continentale, Base Carbone; kgCO2e/unité, Approvisionnement</v>
      </c>
      <c r="I720" s="2018" t="s">
        <v>3180</v>
      </c>
      <c r="J720" s="1135" t="s">
        <v>1994</v>
      </c>
      <c r="K720" s="1135" t="s">
        <v>1567</v>
      </c>
      <c r="L720" s="1135" t="s">
        <v>1571</v>
      </c>
      <c r="M720" s="2062">
        <v>0.5</v>
      </c>
      <c r="N720" s="1135" t="s">
        <v>3136</v>
      </c>
      <c r="O720" s="1135">
        <v>6.44</v>
      </c>
      <c r="P720" s="2017">
        <v>6.44</v>
      </c>
      <c r="Q720" s="2017">
        <v>0</v>
      </c>
      <c r="R720" s="2017">
        <v>0</v>
      </c>
      <c r="S720" s="2017">
        <v>0</v>
      </c>
      <c r="T720" s="2017">
        <v>0</v>
      </c>
      <c r="U720" s="2042">
        <v>0</v>
      </c>
    </row>
    <row r="721" spans="2:21" hidden="1" outlineLevel="2">
      <c r="B721" s="1135"/>
      <c r="C721" s="1045"/>
      <c r="D721" s="1051">
        <f t="shared" si="80"/>
        <v>23</v>
      </c>
      <c r="E721" s="1051" t="str">
        <f>IF(COUNTIF(E$624:E720,F721)&gt;0,"",F721)</f>
        <v/>
      </c>
      <c r="F721" s="1051" t="str">
        <f t="shared" si="81"/>
        <v>Imprimante jet d'encre, France continentale, Base Carbone</v>
      </c>
      <c r="G721" s="1055" t="str">
        <f t="shared" si="82"/>
        <v>Imprimante jet d'encre, France continentale, Base Carbone; kgCO2e/unité, Mise en forme</v>
      </c>
      <c r="I721" s="2018" t="s">
        <v>3180</v>
      </c>
      <c r="J721" s="1135" t="s">
        <v>1994</v>
      </c>
      <c r="K721" s="1135" t="s">
        <v>1567</v>
      </c>
      <c r="L721" s="1135" t="s">
        <v>1571</v>
      </c>
      <c r="M721" s="2062">
        <v>0.5</v>
      </c>
      <c r="N721" s="1135" t="s">
        <v>3141</v>
      </c>
      <c r="O721" s="1135">
        <v>5.24</v>
      </c>
      <c r="P721" s="2017">
        <v>5.24</v>
      </c>
      <c r="Q721" s="2017">
        <v>0</v>
      </c>
      <c r="R721" s="2017">
        <v>0</v>
      </c>
      <c r="S721" s="2017">
        <v>0</v>
      </c>
      <c r="T721" s="2017">
        <v>0</v>
      </c>
      <c r="U721" s="2042">
        <v>0</v>
      </c>
    </row>
    <row r="722" spans="2:21" hidden="1" outlineLevel="2">
      <c r="B722" s="1135"/>
      <c r="C722" s="1045"/>
      <c r="D722" s="1051">
        <f t="shared" si="80"/>
        <v>23</v>
      </c>
      <c r="E722" s="1051" t="str">
        <f>IF(COUNTIF(E$624:E721,F722)&gt;0,"",F722)</f>
        <v/>
      </c>
      <c r="F722" s="1051" t="str">
        <f t="shared" si="81"/>
        <v>Imprimante jet d'encre, France continentale, Base Carbone</v>
      </c>
      <c r="G722" s="1055" t="str">
        <f t="shared" si="82"/>
        <v>Imprimante jet d'encre, France continentale, Base Carbone; kgCO2e/unité, Assemblage</v>
      </c>
      <c r="I722" s="2018" t="s">
        <v>3180</v>
      </c>
      <c r="J722" s="1135" t="s">
        <v>1994</v>
      </c>
      <c r="K722" s="1135" t="s">
        <v>1567</v>
      </c>
      <c r="L722" s="1135" t="s">
        <v>1571</v>
      </c>
      <c r="M722" s="2062">
        <v>0.5</v>
      </c>
      <c r="N722" s="1135" t="s">
        <v>3137</v>
      </c>
      <c r="O722" s="1135">
        <v>3.11</v>
      </c>
      <c r="P722" s="2017">
        <v>3.11</v>
      </c>
      <c r="Q722" s="2017">
        <v>0</v>
      </c>
      <c r="R722" s="2017">
        <v>0</v>
      </c>
      <c r="S722" s="2017">
        <v>0</v>
      </c>
      <c r="T722" s="2017">
        <v>0</v>
      </c>
      <c r="U722" s="2042">
        <v>0</v>
      </c>
    </row>
    <row r="723" spans="2:21" hidden="1" outlineLevel="2">
      <c r="B723" s="1135"/>
      <c r="C723" s="1045"/>
      <c r="D723" s="1051">
        <f t="shared" si="80"/>
        <v>23</v>
      </c>
      <c r="E723" s="1051" t="str">
        <f>IF(COUNTIF(E$624:E722,F723)&gt;0,"",F723)</f>
        <v/>
      </c>
      <c r="F723" s="1051" t="str">
        <f t="shared" si="81"/>
        <v>Imprimante jet d'encre, France continentale, Base Carbone</v>
      </c>
      <c r="G723" s="1055" t="str">
        <f t="shared" si="82"/>
        <v>Imprimante jet d'encre, France continentale, Base Carbone; kgCO2e/unité, Distribution</v>
      </c>
      <c r="I723" s="2018" t="s">
        <v>3180</v>
      </c>
      <c r="J723" s="1135" t="s">
        <v>1994</v>
      </c>
      <c r="K723" s="1135" t="s">
        <v>1567</v>
      </c>
      <c r="L723" s="1135" t="s">
        <v>1571</v>
      </c>
      <c r="M723" s="2062">
        <v>0.5</v>
      </c>
      <c r="N723" s="1135" t="s">
        <v>3138</v>
      </c>
      <c r="O723" s="1135">
        <v>12.2</v>
      </c>
      <c r="P723" s="2017">
        <v>12.2</v>
      </c>
      <c r="Q723" s="2017">
        <v>0</v>
      </c>
      <c r="R723" s="2017">
        <v>0</v>
      </c>
      <c r="S723" s="2017">
        <v>0</v>
      </c>
      <c r="T723" s="2017">
        <v>0</v>
      </c>
      <c r="U723" s="2042">
        <v>0</v>
      </c>
    </row>
    <row r="724" spans="2:21" hidden="1" outlineLevel="2">
      <c r="B724" s="1135"/>
      <c r="C724" s="1045"/>
      <c r="D724" s="1051">
        <f t="shared" si="80"/>
        <v>24</v>
      </c>
      <c r="E724" s="1051" t="str">
        <f>IF(COUNTIF(E$624:E723,F724)&gt;0,"",F724)</f>
        <v>Imprimante laser, France continentale, Base Carbone</v>
      </c>
      <c r="F724" s="1051" t="str">
        <f t="shared" si="81"/>
        <v>Imprimante laser, France continentale, Base Carbone</v>
      </c>
      <c r="G724" s="1055" t="str">
        <f t="shared" si="82"/>
        <v>Imprimante laser, France continentale, Base Carbone; kgCO2e/unité, Matières premières</v>
      </c>
      <c r="I724" s="2018" t="s">
        <v>3181</v>
      </c>
      <c r="J724" s="1135" t="s">
        <v>1994</v>
      </c>
      <c r="K724" s="1135" t="s">
        <v>1567</v>
      </c>
      <c r="L724" s="1135" t="s">
        <v>1571</v>
      </c>
      <c r="M724" s="2062">
        <v>0.5</v>
      </c>
      <c r="N724" s="1135" t="s">
        <v>3135</v>
      </c>
      <c r="O724" s="1135">
        <v>139</v>
      </c>
      <c r="P724" s="2017">
        <v>139</v>
      </c>
      <c r="Q724" s="2017">
        <v>0</v>
      </c>
      <c r="R724" s="2017">
        <v>0</v>
      </c>
      <c r="S724" s="2017">
        <v>0</v>
      </c>
      <c r="T724" s="2017">
        <v>0</v>
      </c>
      <c r="U724" s="2042">
        <v>0</v>
      </c>
    </row>
    <row r="725" spans="2:21" hidden="1" outlineLevel="2">
      <c r="B725" s="1135"/>
      <c r="C725" s="1045"/>
      <c r="D725" s="1051">
        <f t="shared" si="80"/>
        <v>24</v>
      </c>
      <c r="E725" s="1051" t="str">
        <f>IF(COUNTIF(E$624:E724,F725)&gt;0,"",F725)</f>
        <v/>
      </c>
      <c r="F725" s="1051" t="str">
        <f t="shared" si="81"/>
        <v>Imprimante laser, France continentale, Base Carbone</v>
      </c>
      <c r="G725" s="1055" t="str">
        <f t="shared" si="82"/>
        <v>Imprimante laser, France continentale, Base Carbone; kgCO2e/unité, Approvisionnement</v>
      </c>
      <c r="I725" s="2018" t="s">
        <v>3181</v>
      </c>
      <c r="J725" s="1135" t="s">
        <v>1994</v>
      </c>
      <c r="K725" s="1135" t="s">
        <v>1567</v>
      </c>
      <c r="L725" s="1135" t="s">
        <v>1571</v>
      </c>
      <c r="M725" s="2062">
        <v>0.5</v>
      </c>
      <c r="N725" s="1135" t="s">
        <v>3136</v>
      </c>
      <c r="O725" s="1135">
        <v>13.3</v>
      </c>
      <c r="P725" s="2017">
        <v>13.3</v>
      </c>
      <c r="Q725" s="2017">
        <v>0</v>
      </c>
      <c r="R725" s="2017">
        <v>0</v>
      </c>
      <c r="S725" s="2017">
        <v>0</v>
      </c>
      <c r="T725" s="2017">
        <v>0</v>
      </c>
      <c r="U725" s="2042">
        <v>0</v>
      </c>
    </row>
    <row r="726" spans="2:21" hidden="1" outlineLevel="2">
      <c r="B726" s="1135"/>
      <c r="C726" s="1045"/>
      <c r="D726" s="1051">
        <f t="shared" si="80"/>
        <v>24</v>
      </c>
      <c r="E726" s="1051" t="str">
        <f>IF(COUNTIF(E$624:E725,F726)&gt;0,"",F726)</f>
        <v/>
      </c>
      <c r="F726" s="1051" t="str">
        <f t="shared" si="81"/>
        <v>Imprimante laser, France continentale, Base Carbone</v>
      </c>
      <c r="G726" s="1055" t="str">
        <f t="shared" si="82"/>
        <v>Imprimante laser, France continentale, Base Carbone; kgCO2e/unité, Mise en forme</v>
      </c>
      <c r="I726" s="2018" t="s">
        <v>3181</v>
      </c>
      <c r="J726" s="1135" t="s">
        <v>1994</v>
      </c>
      <c r="K726" s="1135" t="s">
        <v>1567</v>
      </c>
      <c r="L726" s="1135" t="s">
        <v>1571</v>
      </c>
      <c r="M726" s="2062">
        <v>0.5</v>
      </c>
      <c r="N726" s="1135" t="s">
        <v>3141</v>
      </c>
      <c r="O726" s="1135">
        <v>13.9</v>
      </c>
      <c r="P726" s="2017">
        <v>13.9</v>
      </c>
      <c r="Q726" s="2017">
        <v>0</v>
      </c>
      <c r="R726" s="2017">
        <v>0</v>
      </c>
      <c r="S726" s="2017">
        <v>0</v>
      </c>
      <c r="T726" s="2017">
        <v>0</v>
      </c>
      <c r="U726" s="2042">
        <v>0</v>
      </c>
    </row>
    <row r="727" spans="2:21" hidden="1" outlineLevel="2">
      <c r="B727" s="1135"/>
      <c r="C727" s="1045"/>
      <c r="D727" s="1051">
        <f t="shared" si="80"/>
        <v>24</v>
      </c>
      <c r="E727" s="1051" t="str">
        <f>IF(COUNTIF(E$624:E726,F727)&gt;0,"",F727)</f>
        <v/>
      </c>
      <c r="F727" s="1051" t="str">
        <f t="shared" si="81"/>
        <v>Imprimante laser, France continentale, Base Carbone</v>
      </c>
      <c r="G727" s="1055" t="str">
        <f t="shared" si="82"/>
        <v>Imprimante laser, France continentale, Base Carbone; kgCO2e/unité, Assemblage</v>
      </c>
      <c r="I727" s="2018" t="s">
        <v>3181</v>
      </c>
      <c r="J727" s="1135" t="s">
        <v>1994</v>
      </c>
      <c r="K727" s="1135" t="s">
        <v>1567</v>
      </c>
      <c r="L727" s="1135" t="s">
        <v>1571</v>
      </c>
      <c r="M727" s="2062">
        <v>0.5</v>
      </c>
      <c r="N727" s="1135" t="s">
        <v>3137</v>
      </c>
      <c r="O727" s="1135">
        <v>6.22</v>
      </c>
      <c r="P727" s="2017">
        <v>6.22</v>
      </c>
      <c r="Q727" s="2017">
        <v>0</v>
      </c>
      <c r="R727" s="2017">
        <v>0</v>
      </c>
      <c r="S727" s="2017">
        <v>0</v>
      </c>
      <c r="T727" s="2017">
        <v>0</v>
      </c>
      <c r="U727" s="2042">
        <v>0</v>
      </c>
    </row>
    <row r="728" spans="2:21" hidden="1" outlineLevel="2">
      <c r="B728" s="1135"/>
      <c r="C728" s="1045"/>
      <c r="D728" s="1051">
        <f t="shared" si="80"/>
        <v>24</v>
      </c>
      <c r="E728" s="1051" t="str">
        <f>IF(COUNTIF(E$624:E727,F728)&gt;0,"",F728)</f>
        <v/>
      </c>
      <c r="F728" s="1051" t="str">
        <f t="shared" si="81"/>
        <v>Imprimante laser, France continentale, Base Carbone</v>
      </c>
      <c r="G728" s="1055" t="str">
        <f t="shared" si="82"/>
        <v>Imprimante laser, France continentale, Base Carbone; kgCO2e/unité, Distribution</v>
      </c>
      <c r="I728" s="2018" t="s">
        <v>3181</v>
      </c>
      <c r="J728" s="1135" t="s">
        <v>1994</v>
      </c>
      <c r="K728" s="1135" t="s">
        <v>1567</v>
      </c>
      <c r="L728" s="1135" t="s">
        <v>1571</v>
      </c>
      <c r="M728" s="2062">
        <v>0.5</v>
      </c>
      <c r="N728" s="1135" t="s">
        <v>3138</v>
      </c>
      <c r="O728" s="1135">
        <v>24.3</v>
      </c>
      <c r="P728" s="2017">
        <v>24.3</v>
      </c>
      <c r="Q728" s="2017">
        <v>0</v>
      </c>
      <c r="R728" s="2017">
        <v>0</v>
      </c>
      <c r="S728" s="2017">
        <v>0</v>
      </c>
      <c r="T728" s="2017">
        <v>0</v>
      </c>
      <c r="U728" s="2042">
        <v>0</v>
      </c>
    </row>
    <row r="729" spans="2:21" hidden="1" outlineLevel="2">
      <c r="B729" s="1135"/>
      <c r="C729" s="1045"/>
      <c r="D729" s="1051">
        <f t="shared" si="80"/>
        <v>25</v>
      </c>
      <c r="E729" s="1051" t="str">
        <f>IF(COUNTIF(E$624:E728,F729)&gt;0,"",F729)</f>
        <v>Imprimante multi-fonction, France continentale, Base Carbone</v>
      </c>
      <c r="F729" s="1051" t="str">
        <f t="shared" si="81"/>
        <v>Imprimante multi-fonction, France continentale, Base Carbone</v>
      </c>
      <c r="G729" s="1055" t="str">
        <f t="shared" si="82"/>
        <v>Imprimante multi-fonction, France continentale, Base Carbone; kgCO2e/unité, Matières premières</v>
      </c>
      <c r="I729" s="2018" t="s">
        <v>3182</v>
      </c>
      <c r="J729" s="1135" t="s">
        <v>1994</v>
      </c>
      <c r="K729" s="1135" t="s">
        <v>1567</v>
      </c>
      <c r="L729" s="1135" t="s">
        <v>1571</v>
      </c>
      <c r="M729" s="2062">
        <v>0.5</v>
      </c>
      <c r="N729" s="1135" t="s">
        <v>3135</v>
      </c>
      <c r="O729" s="1135">
        <v>66.900000000000006</v>
      </c>
      <c r="P729" s="2017">
        <v>66.900000000000006</v>
      </c>
      <c r="Q729" s="2017">
        <v>0</v>
      </c>
      <c r="R729" s="2017">
        <v>0</v>
      </c>
      <c r="S729" s="2017">
        <v>0</v>
      </c>
      <c r="T729" s="2017">
        <v>0</v>
      </c>
      <c r="U729" s="2042">
        <v>0</v>
      </c>
    </row>
    <row r="730" spans="2:21" hidden="1" outlineLevel="2">
      <c r="B730" s="1135"/>
      <c r="C730" s="1045"/>
      <c r="D730" s="1051">
        <f t="shared" si="80"/>
        <v>25</v>
      </c>
      <c r="E730" s="1051" t="str">
        <f>IF(COUNTIF(E$624:E729,F730)&gt;0,"",F730)</f>
        <v/>
      </c>
      <c r="F730" s="1051" t="str">
        <f t="shared" si="81"/>
        <v>Imprimante multi-fonction, France continentale, Base Carbone</v>
      </c>
      <c r="G730" s="1055" t="str">
        <f t="shared" si="82"/>
        <v>Imprimante multi-fonction, France continentale, Base Carbone; kgCO2e/unité, Approvisionnement</v>
      </c>
      <c r="I730" s="2018" t="s">
        <v>3182</v>
      </c>
      <c r="J730" s="1135" t="s">
        <v>1994</v>
      </c>
      <c r="K730" s="1135" t="s">
        <v>1567</v>
      </c>
      <c r="L730" s="1135" t="s">
        <v>1571</v>
      </c>
      <c r="M730" s="2062">
        <v>0.5</v>
      </c>
      <c r="N730" s="1135" t="s">
        <v>3136</v>
      </c>
      <c r="O730" s="1135">
        <v>4.95</v>
      </c>
      <c r="P730" s="2017">
        <v>4.95</v>
      </c>
      <c r="Q730" s="2017">
        <v>0</v>
      </c>
      <c r="R730" s="2017">
        <v>0</v>
      </c>
      <c r="S730" s="2017">
        <v>0</v>
      </c>
      <c r="T730" s="2017">
        <v>0</v>
      </c>
      <c r="U730" s="2042">
        <v>0</v>
      </c>
    </row>
    <row r="731" spans="2:21" hidden="1" outlineLevel="2">
      <c r="B731" s="1135"/>
      <c r="C731" s="1045"/>
      <c r="D731" s="1051">
        <f t="shared" si="80"/>
        <v>25</v>
      </c>
      <c r="E731" s="1051" t="str">
        <f>IF(COUNTIF(E$624:E730,F731)&gt;0,"",F731)</f>
        <v/>
      </c>
      <c r="F731" s="1051" t="str">
        <f t="shared" si="81"/>
        <v>Imprimante multi-fonction, France continentale, Base Carbone</v>
      </c>
      <c r="G731" s="1055" t="str">
        <f t="shared" si="82"/>
        <v>Imprimante multi-fonction, France continentale, Base Carbone; kgCO2e/unité, Mise en forme</v>
      </c>
      <c r="I731" s="2018" t="s">
        <v>3182</v>
      </c>
      <c r="J731" s="1135" t="s">
        <v>1994</v>
      </c>
      <c r="K731" s="1135" t="s">
        <v>1567</v>
      </c>
      <c r="L731" s="1135" t="s">
        <v>1571</v>
      </c>
      <c r="M731" s="2062">
        <v>0.5</v>
      </c>
      <c r="N731" s="1135" t="s">
        <v>3141</v>
      </c>
      <c r="O731" s="1135">
        <v>4.4400000000000004</v>
      </c>
      <c r="P731" s="2017">
        <v>4.4400000000000004</v>
      </c>
      <c r="Q731" s="2017">
        <v>0</v>
      </c>
      <c r="R731" s="2017">
        <v>0</v>
      </c>
      <c r="S731" s="2017">
        <v>0</v>
      </c>
      <c r="T731" s="2017">
        <v>0</v>
      </c>
      <c r="U731" s="2042">
        <v>0</v>
      </c>
    </row>
    <row r="732" spans="2:21" hidden="1" outlineLevel="2">
      <c r="B732" s="1135"/>
      <c r="C732" s="1045"/>
      <c r="D732" s="1051">
        <f t="shared" si="80"/>
        <v>25</v>
      </c>
      <c r="E732" s="1051" t="str">
        <f>IF(COUNTIF(E$624:E731,F732)&gt;0,"",F732)</f>
        <v/>
      </c>
      <c r="F732" s="1051" t="str">
        <f t="shared" si="81"/>
        <v>Imprimante multi-fonction, France continentale, Base Carbone</v>
      </c>
      <c r="G732" s="1055" t="str">
        <f t="shared" si="82"/>
        <v>Imprimante multi-fonction, France continentale, Base Carbone; kgCO2e/unité, Assemblage</v>
      </c>
      <c r="I732" s="2018" t="s">
        <v>3182</v>
      </c>
      <c r="J732" s="1135" t="s">
        <v>1994</v>
      </c>
      <c r="K732" s="1135" t="s">
        <v>1567</v>
      </c>
      <c r="L732" s="1135" t="s">
        <v>1571</v>
      </c>
      <c r="M732" s="2062">
        <v>0.5</v>
      </c>
      <c r="N732" s="1135" t="s">
        <v>3137</v>
      </c>
      <c r="O732" s="1135">
        <v>2.31</v>
      </c>
      <c r="P732" s="2017">
        <v>2.31</v>
      </c>
      <c r="Q732" s="2017">
        <v>0</v>
      </c>
      <c r="R732" s="2017">
        <v>0</v>
      </c>
      <c r="S732" s="2017">
        <v>0</v>
      </c>
      <c r="T732" s="2017">
        <v>0</v>
      </c>
      <c r="U732" s="2042">
        <v>0</v>
      </c>
    </row>
    <row r="733" spans="2:21" hidden="1" outlineLevel="2">
      <c r="B733" s="1135"/>
      <c r="C733" s="1045"/>
      <c r="D733" s="1051">
        <f t="shared" si="80"/>
        <v>25</v>
      </c>
      <c r="E733" s="1051" t="str">
        <f>IF(COUNTIF(E$624:E732,F733)&gt;0,"",F733)</f>
        <v/>
      </c>
      <c r="F733" s="1051" t="str">
        <f t="shared" si="81"/>
        <v>Imprimante multi-fonction, France continentale, Base Carbone</v>
      </c>
      <c r="G733" s="1055" t="str">
        <f t="shared" si="82"/>
        <v>Imprimante multi-fonction, France continentale, Base Carbone; kgCO2e/unité, Distribution</v>
      </c>
      <c r="I733" s="2018" t="s">
        <v>3182</v>
      </c>
      <c r="J733" s="1135" t="s">
        <v>1994</v>
      </c>
      <c r="K733" s="1135" t="s">
        <v>1567</v>
      </c>
      <c r="L733" s="1135" t="s">
        <v>1571</v>
      </c>
      <c r="M733" s="2062">
        <v>0.5</v>
      </c>
      <c r="N733" s="1135" t="s">
        <v>3138</v>
      </c>
      <c r="O733" s="1135">
        <v>9.24</v>
      </c>
      <c r="P733" s="2017">
        <v>9.24</v>
      </c>
      <c r="Q733" s="2017">
        <v>0</v>
      </c>
      <c r="R733" s="2017">
        <v>0</v>
      </c>
      <c r="S733" s="2017">
        <v>0</v>
      </c>
      <c r="T733" s="2017">
        <v>0</v>
      </c>
      <c r="U733" s="2042">
        <v>0</v>
      </c>
    </row>
    <row r="734" spans="2:21" hidden="1" outlineLevel="2">
      <c r="B734" s="1135"/>
      <c r="C734" s="1045"/>
      <c r="D734" s="1051">
        <f t="shared" si="80"/>
        <v>26</v>
      </c>
      <c r="E734" s="1051" t="str">
        <f>IF(COUNTIF(E$624:E733,F734)&gt;0,"",F734)</f>
        <v>Liseuse non-rétro-éclairée, France continentale, Base Carbone</v>
      </c>
      <c r="F734" s="1051" t="str">
        <f t="shared" si="81"/>
        <v>Liseuse non-rétro-éclairée, France continentale, Base Carbone</v>
      </c>
      <c r="G734" s="1055" t="str">
        <f t="shared" si="82"/>
        <v>Liseuse non-rétro-éclairée, France continentale, Base Carbone; kgCO2e/unité, Matières premières</v>
      </c>
      <c r="I734" s="2018" t="s">
        <v>3183</v>
      </c>
      <c r="J734" s="1135" t="s">
        <v>1994</v>
      </c>
      <c r="K734" s="1135" t="s">
        <v>1567</v>
      </c>
      <c r="L734" s="1135" t="s">
        <v>1571</v>
      </c>
      <c r="M734" s="2062">
        <v>0.5</v>
      </c>
      <c r="N734" s="1135" t="s">
        <v>3135</v>
      </c>
      <c r="O734" s="1135">
        <v>28.6</v>
      </c>
      <c r="P734" s="2017">
        <v>28.6</v>
      </c>
      <c r="Q734" s="2017">
        <v>0</v>
      </c>
      <c r="R734" s="2017">
        <v>0</v>
      </c>
      <c r="S734" s="2017">
        <v>0</v>
      </c>
      <c r="T734" s="2017">
        <v>0</v>
      </c>
      <c r="U734" s="2042">
        <v>0</v>
      </c>
    </row>
    <row r="735" spans="2:21" hidden="1" outlineLevel="2">
      <c r="B735" s="1135"/>
      <c r="C735" s="1045"/>
      <c r="D735" s="1051">
        <f t="shared" si="80"/>
        <v>26</v>
      </c>
      <c r="E735" s="1051" t="str">
        <f>IF(COUNTIF(E$624:E734,F735)&gt;0,"",F735)</f>
        <v/>
      </c>
      <c r="F735" s="1051" t="str">
        <f t="shared" si="81"/>
        <v>Liseuse non-rétro-éclairée, France continentale, Base Carbone</v>
      </c>
      <c r="G735" s="1055" t="str">
        <f t="shared" si="82"/>
        <v>Liseuse non-rétro-éclairée, France continentale, Base Carbone; kgCO2e/unité, Approvisionnement</v>
      </c>
      <c r="I735" s="2018" t="s">
        <v>3183</v>
      </c>
      <c r="J735" s="1135" t="s">
        <v>1994</v>
      </c>
      <c r="K735" s="1135" t="s">
        <v>1567</v>
      </c>
      <c r="L735" s="1135" t="s">
        <v>1571</v>
      </c>
      <c r="M735" s="2062">
        <v>0.5</v>
      </c>
      <c r="N735" s="1135" t="s">
        <v>3136</v>
      </c>
      <c r="O735" s="1135">
        <v>0.51700000000000002</v>
      </c>
      <c r="P735" s="2017">
        <v>0.51700000000000002</v>
      </c>
      <c r="Q735" s="2017">
        <v>0</v>
      </c>
      <c r="R735" s="2017">
        <v>0</v>
      </c>
      <c r="S735" s="2017">
        <v>0</v>
      </c>
      <c r="T735" s="2017">
        <v>0</v>
      </c>
      <c r="U735" s="2042">
        <v>0</v>
      </c>
    </row>
    <row r="736" spans="2:21" hidden="1" outlineLevel="2">
      <c r="B736" s="1135"/>
      <c r="C736" s="1045"/>
      <c r="D736" s="1051">
        <f t="shared" si="80"/>
        <v>26</v>
      </c>
      <c r="E736" s="1051" t="str">
        <f>IF(COUNTIF(E$624:E735,F736)&gt;0,"",F736)</f>
        <v/>
      </c>
      <c r="F736" s="1051" t="str">
        <f t="shared" si="81"/>
        <v>Liseuse non-rétro-éclairée, France continentale, Base Carbone</v>
      </c>
      <c r="G736" s="1055" t="str">
        <f t="shared" si="82"/>
        <v>Liseuse non-rétro-éclairée, France continentale, Base Carbone; kgCO2e/unité, Mise en forme</v>
      </c>
      <c r="I736" s="2018" t="s">
        <v>3183</v>
      </c>
      <c r="J736" s="1135" t="s">
        <v>1994</v>
      </c>
      <c r="K736" s="1135" t="s">
        <v>1567</v>
      </c>
      <c r="L736" s="1135" t="s">
        <v>1571</v>
      </c>
      <c r="M736" s="2062">
        <v>0.5</v>
      </c>
      <c r="N736" s="1135" t="s">
        <v>3141</v>
      </c>
      <c r="O736" s="1135">
        <v>3.5400000000000001E-2</v>
      </c>
      <c r="P736" s="2017">
        <v>3.5400000000000001E-2</v>
      </c>
      <c r="Q736" s="2017">
        <v>0</v>
      </c>
      <c r="R736" s="2017">
        <v>0</v>
      </c>
      <c r="S736" s="2017">
        <v>0</v>
      </c>
      <c r="T736" s="2017">
        <v>0</v>
      </c>
      <c r="U736" s="2042">
        <v>0</v>
      </c>
    </row>
    <row r="737" spans="2:21" hidden="1" outlineLevel="2">
      <c r="B737" s="1135"/>
      <c r="C737" s="1045"/>
      <c r="D737" s="1051">
        <f t="shared" si="80"/>
        <v>26</v>
      </c>
      <c r="E737" s="1051" t="str">
        <f>IF(COUNTIF(E$624:E736,F737)&gt;0,"",F737)</f>
        <v/>
      </c>
      <c r="F737" s="1051" t="str">
        <f t="shared" si="81"/>
        <v>Liseuse non-rétro-éclairée, France continentale, Base Carbone</v>
      </c>
      <c r="G737" s="1055" t="str">
        <f t="shared" si="82"/>
        <v>Liseuse non-rétro-éclairée, France continentale, Base Carbone; kgCO2e/unité, Assemblage</v>
      </c>
      <c r="I737" s="2018" t="s">
        <v>3183</v>
      </c>
      <c r="J737" s="1135" t="s">
        <v>1994</v>
      </c>
      <c r="K737" s="1135" t="s">
        <v>1567</v>
      </c>
      <c r="L737" s="1135" t="s">
        <v>1571</v>
      </c>
      <c r="M737" s="2062">
        <v>0.5</v>
      </c>
      <c r="N737" s="1135" t="s">
        <v>3137</v>
      </c>
      <c r="O737" s="1135">
        <v>0.35099999999999998</v>
      </c>
      <c r="P737" s="2017">
        <v>0.35099999999999998</v>
      </c>
      <c r="Q737" s="2017">
        <v>0</v>
      </c>
      <c r="R737" s="2017">
        <v>0</v>
      </c>
      <c r="S737" s="2017">
        <v>0</v>
      </c>
      <c r="T737" s="2017">
        <v>0</v>
      </c>
      <c r="U737" s="2042">
        <v>0</v>
      </c>
    </row>
    <row r="738" spans="2:21" hidden="1" outlineLevel="2">
      <c r="B738" s="1135"/>
      <c r="C738" s="1045"/>
      <c r="D738" s="1051">
        <f t="shared" si="80"/>
        <v>26</v>
      </c>
      <c r="E738" s="1051" t="str">
        <f>IF(COUNTIF(E$624:E737,F738)&gt;0,"",F738)</f>
        <v/>
      </c>
      <c r="F738" s="1051" t="str">
        <f t="shared" si="81"/>
        <v>Liseuse non-rétro-éclairée, France continentale, Base Carbone</v>
      </c>
      <c r="G738" s="1055" t="str">
        <f t="shared" si="82"/>
        <v>Liseuse non-rétro-éclairée, France continentale, Base Carbone; kgCO2e/unité, Distribution</v>
      </c>
      <c r="I738" s="2018" t="s">
        <v>3183</v>
      </c>
      <c r="J738" s="1135" t="s">
        <v>1994</v>
      </c>
      <c r="K738" s="1135" t="s">
        <v>1567</v>
      </c>
      <c r="L738" s="1135" t="s">
        <v>1571</v>
      </c>
      <c r="M738" s="2062">
        <v>0.5</v>
      </c>
      <c r="N738" s="1135" t="s">
        <v>3138</v>
      </c>
      <c r="O738" s="1135">
        <v>8.7200000000000006</v>
      </c>
      <c r="P738" s="2017">
        <v>8.7200000000000006</v>
      </c>
      <c r="Q738" s="2017">
        <v>0</v>
      </c>
      <c r="R738" s="2017">
        <v>0</v>
      </c>
      <c r="S738" s="2017">
        <v>0</v>
      </c>
      <c r="T738" s="2017">
        <v>0</v>
      </c>
      <c r="U738" s="2042">
        <v>0</v>
      </c>
    </row>
    <row r="739" spans="2:21" hidden="1" outlineLevel="2">
      <c r="B739" s="1135"/>
      <c r="C739" s="1045"/>
      <c r="D739" s="1051">
        <f t="shared" si="80"/>
        <v>27</v>
      </c>
      <c r="E739" s="1051" t="str">
        <f>IF(COUNTIF(E$624:E738,F739)&gt;0,"",F739)</f>
        <v>Liseuse rétro-éclairée, France continentale, Base Carbone</v>
      </c>
      <c r="F739" s="1051" t="str">
        <f t="shared" si="81"/>
        <v>Liseuse rétro-éclairée, France continentale, Base Carbone</v>
      </c>
      <c r="G739" s="1055" t="str">
        <f t="shared" si="82"/>
        <v>Liseuse rétro-éclairée, France continentale, Base Carbone; kgCO2e/unité, Matières premières</v>
      </c>
      <c r="I739" s="2018" t="s">
        <v>3184</v>
      </c>
      <c r="J739" s="1135" t="s">
        <v>1994</v>
      </c>
      <c r="K739" s="1135" t="s">
        <v>1567</v>
      </c>
      <c r="L739" s="1135" t="s">
        <v>1571</v>
      </c>
      <c r="M739" s="2062">
        <v>0.5</v>
      </c>
      <c r="N739" s="1135" t="s">
        <v>3135</v>
      </c>
      <c r="O739" s="1135">
        <v>35.1</v>
      </c>
      <c r="P739" s="2017">
        <v>35.1</v>
      </c>
      <c r="Q739" s="2017">
        <v>0</v>
      </c>
      <c r="R739" s="2017">
        <v>0</v>
      </c>
      <c r="S739" s="2017">
        <v>0</v>
      </c>
      <c r="T739" s="2017">
        <v>0</v>
      </c>
      <c r="U739" s="2042">
        <v>0</v>
      </c>
    </row>
    <row r="740" spans="2:21" hidden="1" outlineLevel="2">
      <c r="B740" s="1135"/>
      <c r="C740" s="1045"/>
      <c r="D740" s="1051">
        <f t="shared" si="80"/>
        <v>27</v>
      </c>
      <c r="E740" s="1051" t="str">
        <f>IF(COUNTIF(E$624:E739,F740)&gt;0,"",F740)</f>
        <v/>
      </c>
      <c r="F740" s="1051" t="str">
        <f t="shared" si="81"/>
        <v>Liseuse rétro-éclairée, France continentale, Base Carbone</v>
      </c>
      <c r="G740" s="1055" t="str">
        <f t="shared" si="82"/>
        <v>Liseuse rétro-éclairée, France continentale, Base Carbone; kgCO2e/unité, Approvisionnement</v>
      </c>
      <c r="I740" s="2018" t="s">
        <v>3184</v>
      </c>
      <c r="J740" s="1135" t="s">
        <v>1994</v>
      </c>
      <c r="K740" s="1135" t="s">
        <v>1567</v>
      </c>
      <c r="L740" s="1135" t="s">
        <v>1571</v>
      </c>
      <c r="M740" s="2062">
        <v>0.5</v>
      </c>
      <c r="N740" s="1135" t="s">
        <v>3136</v>
      </c>
      <c r="O740" s="1135">
        <v>0.52700000000000002</v>
      </c>
      <c r="P740" s="2017">
        <v>0.52700000000000002</v>
      </c>
      <c r="Q740" s="2017">
        <v>0</v>
      </c>
      <c r="R740" s="2017">
        <v>0</v>
      </c>
      <c r="S740" s="2017">
        <v>0</v>
      </c>
      <c r="T740" s="2017">
        <v>0</v>
      </c>
      <c r="U740" s="2042">
        <v>0</v>
      </c>
    </row>
    <row r="741" spans="2:21" hidden="1" outlineLevel="2">
      <c r="B741" s="1135"/>
      <c r="C741" s="1045"/>
      <c r="D741" s="1051">
        <f t="shared" si="80"/>
        <v>27</v>
      </c>
      <c r="E741" s="1051" t="str">
        <f>IF(COUNTIF(E$624:E740,F741)&gt;0,"",F741)</f>
        <v/>
      </c>
      <c r="F741" s="1051" t="str">
        <f t="shared" si="81"/>
        <v>Liseuse rétro-éclairée, France continentale, Base Carbone</v>
      </c>
      <c r="G741" s="1055" t="str">
        <f t="shared" si="82"/>
        <v>Liseuse rétro-éclairée, France continentale, Base Carbone; kgCO2e/unité, Mise en forme</v>
      </c>
      <c r="I741" s="2018" t="s">
        <v>3184</v>
      </c>
      <c r="J741" s="1135" t="s">
        <v>1994</v>
      </c>
      <c r="K741" s="1135" t="s">
        <v>1567</v>
      </c>
      <c r="L741" s="1135" t="s">
        <v>1571</v>
      </c>
      <c r="M741" s="2062">
        <v>0.5</v>
      </c>
      <c r="N741" s="1135" t="s">
        <v>3141</v>
      </c>
      <c r="O741" s="1135">
        <v>3.5400000000000001E-2</v>
      </c>
      <c r="P741" s="2017">
        <v>3.5400000000000001E-2</v>
      </c>
      <c r="Q741" s="2017">
        <v>0</v>
      </c>
      <c r="R741" s="2017">
        <v>0</v>
      </c>
      <c r="S741" s="2017">
        <v>0</v>
      </c>
      <c r="T741" s="2017">
        <v>0</v>
      </c>
      <c r="U741" s="2042">
        <v>0</v>
      </c>
    </row>
    <row r="742" spans="2:21" hidden="1" outlineLevel="2">
      <c r="B742" s="1135"/>
      <c r="C742" s="1045"/>
      <c r="D742" s="1051">
        <f t="shared" si="80"/>
        <v>27</v>
      </c>
      <c r="E742" s="1051" t="str">
        <f>IF(COUNTIF(E$624:E741,F742)&gt;0,"",F742)</f>
        <v/>
      </c>
      <c r="F742" s="1051" t="str">
        <f t="shared" si="81"/>
        <v>Liseuse rétro-éclairée, France continentale, Base Carbone</v>
      </c>
      <c r="G742" s="1055" t="str">
        <f t="shared" si="82"/>
        <v>Liseuse rétro-éclairée, France continentale, Base Carbone; kgCO2e/unité, Assemblage</v>
      </c>
      <c r="I742" s="2018" t="s">
        <v>3184</v>
      </c>
      <c r="J742" s="1135" t="s">
        <v>1994</v>
      </c>
      <c r="K742" s="1135" t="s">
        <v>1567</v>
      </c>
      <c r="L742" s="1135" t="s">
        <v>1571</v>
      </c>
      <c r="M742" s="2062">
        <v>0.5</v>
      </c>
      <c r="N742" s="1135" t="s">
        <v>3137</v>
      </c>
      <c r="O742" s="1135">
        <v>0.36699999999999999</v>
      </c>
      <c r="P742" s="2017">
        <v>0.36699999999999999</v>
      </c>
      <c r="Q742" s="2017">
        <v>0</v>
      </c>
      <c r="R742" s="2017">
        <v>0</v>
      </c>
      <c r="S742" s="2017">
        <v>0</v>
      </c>
      <c r="T742" s="2017">
        <v>0</v>
      </c>
      <c r="U742" s="2042">
        <v>0</v>
      </c>
    </row>
    <row r="743" spans="2:21" hidden="1" outlineLevel="2">
      <c r="B743" s="1135"/>
      <c r="C743" s="1045"/>
      <c r="D743" s="1051">
        <f t="shared" si="80"/>
        <v>27</v>
      </c>
      <c r="E743" s="1051" t="str">
        <f>IF(COUNTIF(E$624:E742,F743)&gt;0,"",F743)</f>
        <v/>
      </c>
      <c r="F743" s="1051" t="str">
        <f t="shared" si="81"/>
        <v>Liseuse rétro-éclairée, France continentale, Base Carbone</v>
      </c>
      <c r="G743" s="1055" t="str">
        <f t="shared" si="82"/>
        <v>Liseuse rétro-éclairée, France continentale, Base Carbone; kgCO2e/unité, Distribution</v>
      </c>
      <c r="I743" s="2018" t="s">
        <v>3184</v>
      </c>
      <c r="J743" s="1135" t="s">
        <v>1994</v>
      </c>
      <c r="K743" s="1135" t="s">
        <v>1567</v>
      </c>
      <c r="L743" s="1135" t="s">
        <v>1571</v>
      </c>
      <c r="M743" s="2062">
        <v>0.5</v>
      </c>
      <c r="N743" s="1135" t="s">
        <v>3138</v>
      </c>
      <c r="O743" s="1135">
        <v>8.8800000000000008</v>
      </c>
      <c r="P743" s="2017">
        <v>8.8800000000000008</v>
      </c>
      <c r="Q743" s="2017">
        <v>0</v>
      </c>
      <c r="R743" s="2017">
        <v>0</v>
      </c>
      <c r="S743" s="2017">
        <v>0</v>
      </c>
      <c r="T743" s="2017">
        <v>0</v>
      </c>
      <c r="U743" s="2042">
        <v>0</v>
      </c>
    </row>
    <row r="744" spans="2:21" hidden="1" outlineLevel="2">
      <c r="B744" s="1135"/>
      <c r="C744" s="1045"/>
      <c r="D744" s="1051">
        <f t="shared" si="80"/>
        <v>28</v>
      </c>
      <c r="E744" s="1051" t="str">
        <f>IF(COUNTIF(E$624:E743,F744)&gt;0,"",F744)</f>
        <v>Modem fibre, France continentale, Base Carbone</v>
      </c>
      <c r="F744" s="1051" t="str">
        <f t="shared" si="81"/>
        <v>Modem fibre, France continentale, Base Carbone</v>
      </c>
      <c r="G744" s="1055" t="str">
        <f t="shared" si="82"/>
        <v>Modem fibre, France continentale, Base Carbone; kgCO2e/unité, Matières premières</v>
      </c>
      <c r="I744" s="2018" t="s">
        <v>3200</v>
      </c>
      <c r="J744" s="1135" t="s">
        <v>1994</v>
      </c>
      <c r="K744" s="1135" t="s">
        <v>1567</v>
      </c>
      <c r="L744" s="1135" t="s">
        <v>1571</v>
      </c>
      <c r="M744" s="2062">
        <v>0.5</v>
      </c>
      <c r="N744" s="1135" t="s">
        <v>3135</v>
      </c>
      <c r="O744" s="1135">
        <v>74.7</v>
      </c>
      <c r="P744" s="2017">
        <v>74.7</v>
      </c>
      <c r="Q744" s="2017">
        <v>0</v>
      </c>
      <c r="R744" s="2017">
        <v>0</v>
      </c>
      <c r="S744" s="2017">
        <v>0</v>
      </c>
      <c r="T744" s="2017">
        <v>0</v>
      </c>
      <c r="U744" s="2042">
        <v>0</v>
      </c>
    </row>
    <row r="745" spans="2:21" hidden="1" outlineLevel="2">
      <c r="B745" s="1135"/>
      <c r="C745" s="1045"/>
      <c r="D745" s="1051">
        <f t="shared" si="80"/>
        <v>28</v>
      </c>
      <c r="E745" s="1051" t="str">
        <f>IF(COUNTIF(E$624:E744,F745)&gt;0,"",F745)</f>
        <v/>
      </c>
      <c r="F745" s="1051" t="str">
        <f t="shared" si="81"/>
        <v>Modem fibre, France continentale, Base Carbone</v>
      </c>
      <c r="G745" s="1055" t="str">
        <f t="shared" si="82"/>
        <v>Modem fibre, France continentale, Base Carbone; kgCO2e/unité, Approvisionnement</v>
      </c>
      <c r="I745" s="2018" t="s">
        <v>3200</v>
      </c>
      <c r="J745" s="1135" t="s">
        <v>1994</v>
      </c>
      <c r="K745" s="1135" t="s">
        <v>1567</v>
      </c>
      <c r="L745" s="1135" t="s">
        <v>1571</v>
      </c>
      <c r="M745" s="2062">
        <v>0.5</v>
      </c>
      <c r="N745" s="1135" t="s">
        <v>3136</v>
      </c>
      <c r="O745" s="1135">
        <v>2.1</v>
      </c>
      <c r="P745" s="2017">
        <v>2.1</v>
      </c>
      <c r="Q745" s="2017">
        <v>0</v>
      </c>
      <c r="R745" s="2017">
        <v>0</v>
      </c>
      <c r="S745" s="2017">
        <v>0</v>
      </c>
      <c r="T745" s="2017">
        <v>0</v>
      </c>
      <c r="U745" s="2042">
        <v>0</v>
      </c>
    </row>
    <row r="746" spans="2:21" hidden="1" outlineLevel="2">
      <c r="B746" s="1135"/>
      <c r="C746" s="1045"/>
      <c r="D746" s="1051">
        <f t="shared" si="80"/>
        <v>28</v>
      </c>
      <c r="E746" s="1051" t="str">
        <f>IF(COUNTIF(E$624:E745,F746)&gt;0,"",F746)</f>
        <v/>
      </c>
      <c r="F746" s="1051" t="str">
        <f t="shared" si="81"/>
        <v>Modem fibre, France continentale, Base Carbone</v>
      </c>
      <c r="G746" s="1055" t="str">
        <f t="shared" si="82"/>
        <v>Modem fibre, France continentale, Base Carbone; kgCO2e/unité, Mise en forme</v>
      </c>
      <c r="I746" s="2018" t="s">
        <v>3200</v>
      </c>
      <c r="J746" s="1135" t="s">
        <v>1994</v>
      </c>
      <c r="K746" s="1135" t="s">
        <v>1567</v>
      </c>
      <c r="L746" s="1135" t="s">
        <v>1571</v>
      </c>
      <c r="M746" s="2062">
        <v>0.5</v>
      </c>
      <c r="N746" s="1135" t="s">
        <v>3141</v>
      </c>
      <c r="O746" s="1135">
        <v>1.49</v>
      </c>
      <c r="P746" s="2017">
        <v>1.49</v>
      </c>
      <c r="Q746" s="2017">
        <v>0</v>
      </c>
      <c r="R746" s="2017">
        <v>0</v>
      </c>
      <c r="S746" s="2017">
        <v>0</v>
      </c>
      <c r="T746" s="2017">
        <v>0</v>
      </c>
      <c r="U746" s="2042">
        <v>0</v>
      </c>
    </row>
    <row r="747" spans="2:21" hidden="1" outlineLevel="2">
      <c r="B747" s="1135"/>
      <c r="C747" s="1045"/>
      <c r="D747" s="1051">
        <f t="shared" si="80"/>
        <v>28</v>
      </c>
      <c r="E747" s="1051" t="str">
        <f>IF(COUNTIF(E$624:E746,F747)&gt;0,"",F747)</f>
        <v/>
      </c>
      <c r="F747" s="1051" t="str">
        <f t="shared" si="81"/>
        <v>Modem fibre, France continentale, Base Carbone</v>
      </c>
      <c r="G747" s="1055" t="str">
        <f t="shared" si="82"/>
        <v>Modem fibre, France continentale, Base Carbone; kgCO2e/unité, Assemblage</v>
      </c>
      <c r="I747" s="2018" t="s">
        <v>3200</v>
      </c>
      <c r="J747" s="1135" t="s">
        <v>1994</v>
      </c>
      <c r="K747" s="1135" t="s">
        <v>1567</v>
      </c>
      <c r="L747" s="1135" t="s">
        <v>1571</v>
      </c>
      <c r="M747" s="2062">
        <v>0.5</v>
      </c>
      <c r="N747" s="1135" t="s">
        <v>3137</v>
      </c>
      <c r="O747" s="1135">
        <v>0.69599999999999995</v>
      </c>
      <c r="P747" s="2017">
        <v>0.69599999999999995</v>
      </c>
      <c r="Q747" s="2017">
        <v>0</v>
      </c>
      <c r="R747" s="2017">
        <v>0</v>
      </c>
      <c r="S747" s="2017">
        <v>0</v>
      </c>
      <c r="T747" s="2017">
        <v>0</v>
      </c>
      <c r="U747" s="2042">
        <v>0</v>
      </c>
    </row>
    <row r="748" spans="2:21" hidden="1" outlineLevel="2">
      <c r="B748" s="1135"/>
      <c r="C748" s="1045"/>
      <c r="D748" s="1051">
        <f t="shared" si="80"/>
        <v>28</v>
      </c>
      <c r="E748" s="1051" t="str">
        <f>IF(COUNTIF(E$624:E747,F748)&gt;0,"",F748)</f>
        <v/>
      </c>
      <c r="F748" s="1051" t="str">
        <f t="shared" si="81"/>
        <v>Modem fibre, France continentale, Base Carbone</v>
      </c>
      <c r="G748" s="1055" t="str">
        <f t="shared" si="82"/>
        <v>Modem fibre, France continentale, Base Carbone; kgCO2e/unité, Distribution</v>
      </c>
      <c r="I748" s="2018" t="s">
        <v>3200</v>
      </c>
      <c r="J748" s="1135" t="s">
        <v>1994</v>
      </c>
      <c r="K748" s="1135" t="s">
        <v>1567</v>
      </c>
      <c r="L748" s="1135" t="s">
        <v>1571</v>
      </c>
      <c r="M748" s="2062">
        <v>0.5</v>
      </c>
      <c r="N748" s="1135" t="s">
        <v>3138</v>
      </c>
      <c r="O748" s="1135">
        <v>3.93</v>
      </c>
      <c r="P748" s="2017">
        <v>3.93</v>
      </c>
      <c r="Q748" s="2017">
        <v>0</v>
      </c>
      <c r="R748" s="2017">
        <v>0</v>
      </c>
      <c r="S748" s="2017">
        <v>0</v>
      </c>
      <c r="T748" s="2017">
        <v>0</v>
      </c>
      <c r="U748" s="2042">
        <v>0</v>
      </c>
    </row>
    <row r="749" spans="2:21" hidden="1" outlineLevel="2">
      <c r="B749" s="1135"/>
      <c r="C749" s="1045"/>
      <c r="D749" s="1051">
        <f t="shared" si="80"/>
        <v>29</v>
      </c>
      <c r="E749" s="1051" t="str">
        <f>IF(COUNTIF(E$624:E748,F749)&gt;0,"",F749)</f>
        <v>Montre connectée, France continentale, Base Carbone</v>
      </c>
      <c r="F749" s="1051" t="str">
        <f t="shared" si="81"/>
        <v>Montre connectée, France continentale, Base Carbone</v>
      </c>
      <c r="G749" s="1055" t="str">
        <f t="shared" si="82"/>
        <v>Montre connectée, France continentale, Base Carbone; kgCO2e/unité, Matières premières</v>
      </c>
      <c r="I749" s="2018" t="s">
        <v>3185</v>
      </c>
      <c r="J749" s="1135" t="s">
        <v>1994</v>
      </c>
      <c r="K749" s="1135" t="s">
        <v>1567</v>
      </c>
      <c r="L749" s="1135" t="s">
        <v>1571</v>
      </c>
      <c r="M749" s="2062">
        <v>0.5</v>
      </c>
      <c r="N749" s="1135" t="s">
        <v>3135</v>
      </c>
      <c r="O749" s="1135">
        <v>3.71</v>
      </c>
      <c r="P749" s="2017">
        <v>3.71</v>
      </c>
      <c r="Q749" s="2017">
        <v>0</v>
      </c>
      <c r="R749" s="2017">
        <v>0</v>
      </c>
      <c r="S749" s="2017">
        <v>0</v>
      </c>
      <c r="T749" s="2017">
        <v>0</v>
      </c>
      <c r="U749" s="2042">
        <v>0</v>
      </c>
    </row>
    <row r="750" spans="2:21" hidden="1" outlineLevel="2">
      <c r="B750" s="1135"/>
      <c r="C750" s="1045"/>
      <c r="D750" s="1051">
        <f t="shared" si="80"/>
        <v>29</v>
      </c>
      <c r="E750" s="1051" t="str">
        <f>IF(COUNTIF(E$624:E749,F750)&gt;0,"",F750)</f>
        <v/>
      </c>
      <c r="F750" s="1051" t="str">
        <f t="shared" si="81"/>
        <v>Montre connectée, France continentale, Base Carbone</v>
      </c>
      <c r="G750" s="1055" t="str">
        <f t="shared" si="82"/>
        <v>Montre connectée, France continentale, Base Carbone; kgCO2e/unité, Approvisionnement</v>
      </c>
      <c r="I750" s="2018" t="s">
        <v>3185</v>
      </c>
      <c r="J750" s="1135" t="s">
        <v>1994</v>
      </c>
      <c r="K750" s="1135" t="s">
        <v>1567</v>
      </c>
      <c r="L750" s="1135" t="s">
        <v>1571</v>
      </c>
      <c r="M750" s="2062">
        <v>0.5</v>
      </c>
      <c r="N750" s="1135" t="s">
        <v>3136</v>
      </c>
      <c r="O750" s="1135">
        <v>0.314</v>
      </c>
      <c r="P750" s="2017">
        <v>0.314</v>
      </c>
      <c r="Q750" s="2017">
        <v>0</v>
      </c>
      <c r="R750" s="2017">
        <v>0</v>
      </c>
      <c r="S750" s="2017">
        <v>0</v>
      </c>
      <c r="T750" s="2017">
        <v>0</v>
      </c>
      <c r="U750" s="2042">
        <v>0</v>
      </c>
    </row>
    <row r="751" spans="2:21" hidden="1" outlineLevel="2">
      <c r="B751" s="1135"/>
      <c r="C751" s="1045"/>
      <c r="D751" s="1051">
        <f t="shared" si="80"/>
        <v>29</v>
      </c>
      <c r="E751" s="1051" t="str">
        <f>IF(COUNTIF(E$624:E750,F751)&gt;0,"",F751)</f>
        <v/>
      </c>
      <c r="F751" s="1051" t="str">
        <f t="shared" si="81"/>
        <v>Montre connectée, France continentale, Base Carbone</v>
      </c>
      <c r="G751" s="1055" t="str">
        <f t="shared" si="82"/>
        <v>Montre connectée, France continentale, Base Carbone; kgCO2e/unité, Mise en forme</v>
      </c>
      <c r="I751" s="2018" t="s">
        <v>3185</v>
      </c>
      <c r="J751" s="1135" t="s">
        <v>1994</v>
      </c>
      <c r="K751" s="1135" t="s">
        <v>1567</v>
      </c>
      <c r="L751" s="1135" t="s">
        <v>1571</v>
      </c>
      <c r="M751" s="2062">
        <v>0.5</v>
      </c>
      <c r="N751" s="1135" t="s">
        <v>3141</v>
      </c>
      <c r="O751" s="1135">
        <v>2.0899999999999998E-2</v>
      </c>
      <c r="P751" s="2017">
        <v>2.0899999999999998E-2</v>
      </c>
      <c r="Q751" s="2017">
        <v>0</v>
      </c>
      <c r="R751" s="2017">
        <v>0</v>
      </c>
      <c r="S751" s="2017">
        <v>0</v>
      </c>
      <c r="T751" s="2017">
        <v>0</v>
      </c>
      <c r="U751" s="2042">
        <v>0</v>
      </c>
    </row>
    <row r="752" spans="2:21" hidden="1" outlineLevel="2">
      <c r="B752" s="1135"/>
      <c r="C752" s="1045"/>
      <c r="D752" s="1051">
        <f t="shared" si="80"/>
        <v>29</v>
      </c>
      <c r="E752" s="1051" t="str">
        <f>IF(COUNTIF(E$624:E751,F752)&gt;0,"",F752)</f>
        <v/>
      </c>
      <c r="F752" s="1051" t="str">
        <f t="shared" si="81"/>
        <v>Montre connectée, France continentale, Base Carbone</v>
      </c>
      <c r="G752" s="1055" t="str">
        <f t="shared" si="82"/>
        <v>Montre connectée, France continentale, Base Carbone; kgCO2e/unité, Assemblage</v>
      </c>
      <c r="I752" s="2018" t="s">
        <v>3185</v>
      </c>
      <c r="J752" s="1135" t="s">
        <v>1994</v>
      </c>
      <c r="K752" s="1135" t="s">
        <v>1567</v>
      </c>
      <c r="L752" s="1135" t="s">
        <v>1571</v>
      </c>
      <c r="M752" s="2062">
        <v>0.5</v>
      </c>
      <c r="N752" s="1135" t="s">
        <v>3137</v>
      </c>
      <c r="O752" s="1135">
        <v>0.38300000000000001</v>
      </c>
      <c r="P752" s="2017">
        <v>0.38300000000000001</v>
      </c>
      <c r="Q752" s="2017">
        <v>0</v>
      </c>
      <c r="R752" s="2017">
        <v>0</v>
      </c>
      <c r="S752" s="2017">
        <v>0</v>
      </c>
      <c r="T752" s="2017">
        <v>0</v>
      </c>
      <c r="U752" s="2042">
        <v>0</v>
      </c>
    </row>
    <row r="753" spans="2:21" hidden="1" outlineLevel="2">
      <c r="B753" s="1135"/>
      <c r="C753" s="1045"/>
      <c r="D753" s="1051">
        <f t="shared" si="80"/>
        <v>29</v>
      </c>
      <c r="E753" s="1051" t="str">
        <f>IF(COUNTIF(E$624:E752,F753)&gt;0,"",F753)</f>
        <v/>
      </c>
      <c r="F753" s="1051" t="str">
        <f t="shared" si="81"/>
        <v>Montre connectée, France continentale, Base Carbone</v>
      </c>
      <c r="G753" s="1055" t="str">
        <f t="shared" si="82"/>
        <v>Montre connectée, France continentale, Base Carbone; kgCO2e/unité, Distribution</v>
      </c>
      <c r="I753" s="2018" t="s">
        <v>3185</v>
      </c>
      <c r="J753" s="1135" t="s">
        <v>1994</v>
      </c>
      <c r="K753" s="1135" t="s">
        <v>1567</v>
      </c>
      <c r="L753" s="1135" t="s">
        <v>1571</v>
      </c>
      <c r="M753" s="2062">
        <v>0.5</v>
      </c>
      <c r="N753" s="1135" t="s">
        <v>3138</v>
      </c>
      <c r="O753" s="1135">
        <v>5.3</v>
      </c>
      <c r="P753" s="2017">
        <v>5.3</v>
      </c>
      <c r="Q753" s="2017">
        <v>0</v>
      </c>
      <c r="R753" s="2017">
        <v>0</v>
      </c>
      <c r="S753" s="2017">
        <v>0</v>
      </c>
      <c r="T753" s="2017">
        <v>0</v>
      </c>
      <c r="U753" s="2042">
        <v>0</v>
      </c>
    </row>
    <row r="754" spans="2:21" hidden="1" outlineLevel="2">
      <c r="B754" s="1135"/>
      <c r="C754" s="1045"/>
      <c r="D754" s="1051">
        <f t="shared" ref="D754:D817" si="83">D753+IF(LEN(E754)&gt;0,1,0)</f>
        <v>30</v>
      </c>
      <c r="E754" s="1051" t="str">
        <f>IF(COUNTIF(E$624:E753,F754)&gt;0,"",F754)</f>
        <v>Ordinateur fixe - bureautique , France continentale, Base Carbone</v>
      </c>
      <c r="F754" s="1051" t="str">
        <f t="shared" ref="F754:F817" si="84">IF(I754&lt;&gt;"",I754&amp;IF(L754&lt;&gt;"",", "&amp;L754,"")&amp;IF(K754&lt;&gt;"",", "&amp;K754,""),"")</f>
        <v>Ordinateur fixe - bureautique , France continentale, Base Carbone</v>
      </c>
      <c r="G754" s="1055" t="str">
        <f t="shared" ref="G754:G817" si="85">IF(F754&lt;&gt;"",F754&amp;IF(J754&lt;&gt;"","; "&amp;J754&amp;IF(N754&lt;&gt;"",", "&amp;N754,),""),"")</f>
        <v>Ordinateur fixe - bureautique , France continentale, Base Carbone; kgCO2e/unité, Matières premières</v>
      </c>
      <c r="I754" s="2018" t="s">
        <v>3186</v>
      </c>
      <c r="J754" s="1135" t="s">
        <v>1994</v>
      </c>
      <c r="K754" s="1135" t="s">
        <v>1567</v>
      </c>
      <c r="L754" s="1135" t="s">
        <v>1571</v>
      </c>
      <c r="M754" s="2062">
        <v>0.5</v>
      </c>
      <c r="N754" s="1135" t="s">
        <v>3135</v>
      </c>
      <c r="O754" s="1135">
        <v>82.9</v>
      </c>
      <c r="P754" s="2017">
        <v>82.9</v>
      </c>
      <c r="Q754" s="2017">
        <v>0</v>
      </c>
      <c r="R754" s="2017">
        <v>0</v>
      </c>
      <c r="S754" s="2017">
        <v>0</v>
      </c>
      <c r="T754" s="2017">
        <v>0</v>
      </c>
      <c r="U754" s="2042">
        <v>0</v>
      </c>
    </row>
    <row r="755" spans="2:21" hidden="1" outlineLevel="2">
      <c r="B755" s="1135"/>
      <c r="C755" s="1045"/>
      <c r="D755" s="1051">
        <f t="shared" si="83"/>
        <v>30</v>
      </c>
      <c r="E755" s="1051" t="str">
        <f>IF(COUNTIF(E$624:E754,F755)&gt;0,"",F755)</f>
        <v/>
      </c>
      <c r="F755" s="1051" t="str">
        <f t="shared" si="84"/>
        <v>Ordinateur fixe - bureautique , France continentale, Base Carbone</v>
      </c>
      <c r="G755" s="1055" t="str">
        <f t="shared" si="85"/>
        <v>Ordinateur fixe - bureautique , France continentale, Base Carbone; kgCO2e/unité, Approvisionnement</v>
      </c>
      <c r="I755" s="2018" t="s">
        <v>3186</v>
      </c>
      <c r="J755" s="1135" t="s">
        <v>1994</v>
      </c>
      <c r="K755" s="1135" t="s">
        <v>1567</v>
      </c>
      <c r="L755" s="1135" t="s">
        <v>1571</v>
      </c>
      <c r="M755" s="2062">
        <v>0.5</v>
      </c>
      <c r="N755" s="1135" t="s">
        <v>3136</v>
      </c>
      <c r="O755" s="1135">
        <v>4.75</v>
      </c>
      <c r="P755" s="2017">
        <v>4.75</v>
      </c>
      <c r="Q755" s="2017">
        <v>0</v>
      </c>
      <c r="R755" s="2017">
        <v>0</v>
      </c>
      <c r="S755" s="2017">
        <v>0</v>
      </c>
      <c r="T755" s="2017">
        <v>0</v>
      </c>
      <c r="U755" s="2042">
        <v>0</v>
      </c>
    </row>
    <row r="756" spans="2:21" hidden="1" outlineLevel="2">
      <c r="B756" s="1135"/>
      <c r="C756" s="1045"/>
      <c r="D756" s="1051">
        <f t="shared" si="83"/>
        <v>30</v>
      </c>
      <c r="E756" s="1051" t="str">
        <f>IF(COUNTIF(E$624:E755,F756)&gt;0,"",F756)</f>
        <v/>
      </c>
      <c r="F756" s="1051" t="str">
        <f t="shared" si="84"/>
        <v>Ordinateur fixe - bureautique , France continentale, Base Carbone</v>
      </c>
      <c r="G756" s="1055" t="str">
        <f t="shared" si="85"/>
        <v>Ordinateur fixe - bureautique , France continentale, Base Carbone; kgCO2e/unité, Mise en forme</v>
      </c>
      <c r="I756" s="2018" t="s">
        <v>3186</v>
      </c>
      <c r="J756" s="1135" t="s">
        <v>1994</v>
      </c>
      <c r="K756" s="1135" t="s">
        <v>1567</v>
      </c>
      <c r="L756" s="1135" t="s">
        <v>1571</v>
      </c>
      <c r="M756" s="2062">
        <v>0.5</v>
      </c>
      <c r="N756" s="1135" t="s">
        <v>3141</v>
      </c>
      <c r="O756" s="1135">
        <v>4.1900000000000004</v>
      </c>
      <c r="P756" s="2017">
        <v>4.1900000000000004</v>
      </c>
      <c r="Q756" s="2017">
        <v>0</v>
      </c>
      <c r="R756" s="2017">
        <v>0</v>
      </c>
      <c r="S756" s="2017">
        <v>0</v>
      </c>
      <c r="T756" s="2017">
        <v>0</v>
      </c>
      <c r="U756" s="2042">
        <v>0</v>
      </c>
    </row>
    <row r="757" spans="2:21" hidden="1" outlineLevel="2">
      <c r="B757" s="1135"/>
      <c r="C757" s="1045"/>
      <c r="D757" s="1051">
        <f t="shared" si="83"/>
        <v>30</v>
      </c>
      <c r="E757" s="1051" t="str">
        <f>IF(COUNTIF(E$624:E756,F757)&gt;0,"",F757)</f>
        <v/>
      </c>
      <c r="F757" s="1051" t="str">
        <f t="shared" si="84"/>
        <v>Ordinateur fixe - bureautique , France continentale, Base Carbone</v>
      </c>
      <c r="G757" s="1055" t="str">
        <f t="shared" si="85"/>
        <v>Ordinateur fixe - bureautique , France continentale, Base Carbone; kgCO2e/unité, Assemblage</v>
      </c>
      <c r="I757" s="2018" t="s">
        <v>3186</v>
      </c>
      <c r="J757" s="1135" t="s">
        <v>1994</v>
      </c>
      <c r="K757" s="1135" t="s">
        <v>1567</v>
      </c>
      <c r="L757" s="1135" t="s">
        <v>1571</v>
      </c>
      <c r="M757" s="2062">
        <v>0.5</v>
      </c>
      <c r="N757" s="1135" t="s">
        <v>3137</v>
      </c>
      <c r="O757" s="1135">
        <v>1.76</v>
      </c>
      <c r="P757" s="2017">
        <v>1.76</v>
      </c>
      <c r="Q757" s="2017">
        <v>0</v>
      </c>
      <c r="R757" s="2017">
        <v>0</v>
      </c>
      <c r="S757" s="2017">
        <v>0</v>
      </c>
      <c r="T757" s="2017">
        <v>0</v>
      </c>
      <c r="U757" s="2042">
        <v>0</v>
      </c>
    </row>
    <row r="758" spans="2:21" hidden="1" outlineLevel="2">
      <c r="B758" s="1135"/>
      <c r="C758" s="1045"/>
      <c r="D758" s="1051">
        <f t="shared" si="83"/>
        <v>30</v>
      </c>
      <c r="E758" s="1051" t="str">
        <f>IF(COUNTIF(E$624:E757,F758)&gt;0,"",F758)</f>
        <v/>
      </c>
      <c r="F758" s="1051" t="str">
        <f t="shared" si="84"/>
        <v>Ordinateur fixe - bureautique , France continentale, Base Carbone</v>
      </c>
      <c r="G758" s="1055" t="str">
        <f t="shared" si="85"/>
        <v>Ordinateur fixe - bureautique , France continentale, Base Carbone; kgCO2e/unité, Distribution</v>
      </c>
      <c r="I758" s="2018" t="s">
        <v>3186</v>
      </c>
      <c r="J758" s="1135" t="s">
        <v>1994</v>
      </c>
      <c r="K758" s="1135" t="s">
        <v>1567</v>
      </c>
      <c r="L758" s="1135" t="s">
        <v>1571</v>
      </c>
      <c r="M758" s="2062">
        <v>0.5</v>
      </c>
      <c r="N758" s="1135" t="s">
        <v>3138</v>
      </c>
      <c r="O758" s="1135">
        <v>75.400000000000006</v>
      </c>
      <c r="P758" s="2017">
        <v>75.400000000000006</v>
      </c>
      <c r="Q758" s="2017">
        <v>0</v>
      </c>
      <c r="R758" s="2017">
        <v>0</v>
      </c>
      <c r="S758" s="2017">
        <v>0</v>
      </c>
      <c r="T758" s="2017">
        <v>0</v>
      </c>
      <c r="U758" s="2042">
        <v>0</v>
      </c>
    </row>
    <row r="759" spans="2:21" hidden="1" outlineLevel="2">
      <c r="B759" s="1135"/>
      <c r="C759" s="1045"/>
      <c r="D759" s="1051">
        <f t="shared" si="83"/>
        <v>31</v>
      </c>
      <c r="E759" s="1051" t="str">
        <f>IF(COUNTIF(E$624:E758,F759)&gt;0,"",F759)</f>
        <v>Ordinateur fixe - haute performance, France continentale, Base Carbone</v>
      </c>
      <c r="F759" s="1051" t="str">
        <f t="shared" si="84"/>
        <v>Ordinateur fixe - haute performance, France continentale, Base Carbone</v>
      </c>
      <c r="G759" s="1055" t="str">
        <f t="shared" si="85"/>
        <v>Ordinateur fixe - haute performance, France continentale, Base Carbone; kgCO2e/unité, Matières premières</v>
      </c>
      <c r="I759" s="2018" t="s">
        <v>3187</v>
      </c>
      <c r="J759" s="1135" t="s">
        <v>1994</v>
      </c>
      <c r="K759" s="1135" t="s">
        <v>1567</v>
      </c>
      <c r="L759" s="1135" t="s">
        <v>1571</v>
      </c>
      <c r="M759" s="2062">
        <v>0.5</v>
      </c>
      <c r="N759" s="1135" t="s">
        <v>3135</v>
      </c>
      <c r="O759" s="1135">
        <v>153</v>
      </c>
      <c r="P759" s="2017">
        <v>153</v>
      </c>
      <c r="Q759" s="2017">
        <v>0</v>
      </c>
      <c r="R759" s="2017">
        <v>0</v>
      </c>
      <c r="S759" s="2017">
        <v>0</v>
      </c>
      <c r="T759" s="2017">
        <v>0</v>
      </c>
      <c r="U759" s="2042">
        <v>0</v>
      </c>
    </row>
    <row r="760" spans="2:21" hidden="1" outlineLevel="2">
      <c r="B760" s="1135"/>
      <c r="C760" s="1045"/>
      <c r="D760" s="1051">
        <f t="shared" si="83"/>
        <v>31</v>
      </c>
      <c r="E760" s="1051" t="str">
        <f>IF(COUNTIF(E$624:E759,F760)&gt;0,"",F760)</f>
        <v/>
      </c>
      <c r="F760" s="1051" t="str">
        <f t="shared" si="84"/>
        <v>Ordinateur fixe - haute performance, France continentale, Base Carbone</v>
      </c>
      <c r="G760" s="1055" t="str">
        <f t="shared" si="85"/>
        <v>Ordinateur fixe - haute performance, France continentale, Base Carbone; kgCO2e/unité, Approvisionnement</v>
      </c>
      <c r="I760" s="2018" t="s">
        <v>3187</v>
      </c>
      <c r="J760" s="1135" t="s">
        <v>1994</v>
      </c>
      <c r="K760" s="1135" t="s">
        <v>1567</v>
      </c>
      <c r="L760" s="1135" t="s">
        <v>1571</v>
      </c>
      <c r="M760" s="2062">
        <v>0.5</v>
      </c>
      <c r="N760" s="1135" t="s">
        <v>3136</v>
      </c>
      <c r="O760" s="1135">
        <v>7.95</v>
      </c>
      <c r="P760" s="2017">
        <v>7.95</v>
      </c>
      <c r="Q760" s="2017">
        <v>0</v>
      </c>
      <c r="R760" s="2017">
        <v>0</v>
      </c>
      <c r="S760" s="2017">
        <v>0</v>
      </c>
      <c r="T760" s="2017">
        <v>0</v>
      </c>
      <c r="U760" s="2042">
        <v>0</v>
      </c>
    </row>
    <row r="761" spans="2:21" hidden="1" outlineLevel="2">
      <c r="B761" s="1135"/>
      <c r="C761" s="1045"/>
      <c r="D761" s="1051">
        <f t="shared" si="83"/>
        <v>31</v>
      </c>
      <c r="E761" s="1051" t="str">
        <f>IF(COUNTIF(E$624:E760,F761)&gt;0,"",F761)</f>
        <v/>
      </c>
      <c r="F761" s="1051" t="str">
        <f t="shared" si="84"/>
        <v>Ordinateur fixe - haute performance, France continentale, Base Carbone</v>
      </c>
      <c r="G761" s="1055" t="str">
        <f t="shared" si="85"/>
        <v>Ordinateur fixe - haute performance, France continentale, Base Carbone; kgCO2e/unité, Mise en forme</v>
      </c>
      <c r="I761" s="2018" t="s">
        <v>3187</v>
      </c>
      <c r="J761" s="1135" t="s">
        <v>1994</v>
      </c>
      <c r="K761" s="1135" t="s">
        <v>1567</v>
      </c>
      <c r="L761" s="1135" t="s">
        <v>1571</v>
      </c>
      <c r="M761" s="2062">
        <v>0.5</v>
      </c>
      <c r="N761" s="1135" t="s">
        <v>3141</v>
      </c>
      <c r="O761" s="1135">
        <v>7.36</v>
      </c>
      <c r="P761" s="2017">
        <v>7.36</v>
      </c>
      <c r="Q761" s="2017">
        <v>0</v>
      </c>
      <c r="R761" s="2017">
        <v>0</v>
      </c>
      <c r="S761" s="2017">
        <v>0</v>
      </c>
      <c r="T761" s="2017">
        <v>0</v>
      </c>
      <c r="U761" s="2042">
        <v>0</v>
      </c>
    </row>
    <row r="762" spans="2:21" hidden="1" outlineLevel="2">
      <c r="B762" s="1135"/>
      <c r="C762" s="1045"/>
      <c r="D762" s="1051">
        <f t="shared" si="83"/>
        <v>31</v>
      </c>
      <c r="E762" s="1051" t="str">
        <f>IF(COUNTIF(E$624:E761,F762)&gt;0,"",F762)</f>
        <v/>
      </c>
      <c r="F762" s="1051" t="str">
        <f t="shared" si="84"/>
        <v>Ordinateur fixe - haute performance, France continentale, Base Carbone</v>
      </c>
      <c r="G762" s="1055" t="str">
        <f t="shared" si="85"/>
        <v>Ordinateur fixe - haute performance, France continentale, Base Carbone; kgCO2e/unité, Assemblage</v>
      </c>
      <c r="I762" s="2018" t="s">
        <v>3187</v>
      </c>
      <c r="J762" s="1135" t="s">
        <v>1994</v>
      </c>
      <c r="K762" s="1135" t="s">
        <v>1567</v>
      </c>
      <c r="L762" s="1135" t="s">
        <v>1571</v>
      </c>
      <c r="M762" s="2062">
        <v>0.5</v>
      </c>
      <c r="N762" s="1135" t="s">
        <v>3137</v>
      </c>
      <c r="O762" s="1135">
        <v>2.9</v>
      </c>
      <c r="P762" s="2017">
        <v>2.9</v>
      </c>
      <c r="Q762" s="2017">
        <v>0</v>
      </c>
      <c r="R762" s="2017">
        <v>0</v>
      </c>
      <c r="S762" s="2017">
        <v>0</v>
      </c>
      <c r="T762" s="2017">
        <v>0</v>
      </c>
      <c r="U762" s="2042">
        <v>0</v>
      </c>
    </row>
    <row r="763" spans="2:21" hidden="1" outlineLevel="2">
      <c r="B763" s="1135"/>
      <c r="C763" s="1045"/>
      <c r="D763" s="1051">
        <f t="shared" si="83"/>
        <v>31</v>
      </c>
      <c r="E763" s="1051" t="str">
        <f>IF(COUNTIF(E$624:E762,F763)&gt;0,"",F763)</f>
        <v/>
      </c>
      <c r="F763" s="1051" t="str">
        <f t="shared" si="84"/>
        <v>Ordinateur fixe - haute performance, France continentale, Base Carbone</v>
      </c>
      <c r="G763" s="1055" t="str">
        <f t="shared" si="85"/>
        <v>Ordinateur fixe - haute performance, France continentale, Base Carbone; kgCO2e/unité, Distribution</v>
      </c>
      <c r="I763" s="2018" t="s">
        <v>3187</v>
      </c>
      <c r="J763" s="1135" t="s">
        <v>1994</v>
      </c>
      <c r="K763" s="1135" t="s">
        <v>1567</v>
      </c>
      <c r="L763" s="1135" t="s">
        <v>1571</v>
      </c>
      <c r="M763" s="2062">
        <v>0.5</v>
      </c>
      <c r="N763" s="1135" t="s">
        <v>3138</v>
      </c>
      <c r="O763" s="1135">
        <v>124</v>
      </c>
      <c r="P763" s="2017">
        <v>124</v>
      </c>
      <c r="Q763" s="2017">
        <v>0</v>
      </c>
      <c r="R763" s="2017">
        <v>0</v>
      </c>
      <c r="S763" s="2017">
        <v>0</v>
      </c>
      <c r="T763" s="2017">
        <v>0</v>
      </c>
      <c r="U763" s="2042">
        <v>0</v>
      </c>
    </row>
    <row r="764" spans="2:21" hidden="1" outlineLevel="2">
      <c r="B764" s="1135"/>
      <c r="C764" s="1045"/>
      <c r="D764" s="1051">
        <f t="shared" si="83"/>
        <v>32</v>
      </c>
      <c r="E764" s="1051" t="str">
        <f>IF(COUNTIF(E$624:E763,F764)&gt;0,"",F764)</f>
        <v>Ordinateur portable , France continentale, Base Carbone</v>
      </c>
      <c r="F764" s="1051" t="str">
        <f t="shared" si="84"/>
        <v>Ordinateur portable , France continentale, Base Carbone</v>
      </c>
      <c r="G764" s="1055" t="str">
        <f t="shared" si="85"/>
        <v>Ordinateur portable , France continentale, Base Carbone; kgCO2e/unité, Matières premières</v>
      </c>
      <c r="I764" s="2018" t="s">
        <v>3188</v>
      </c>
      <c r="J764" s="1135" t="s">
        <v>1994</v>
      </c>
      <c r="K764" s="1135" t="s">
        <v>1567</v>
      </c>
      <c r="L764" s="1135" t="s">
        <v>1571</v>
      </c>
      <c r="M764" s="2062">
        <v>0.5</v>
      </c>
      <c r="N764" s="1135" t="s">
        <v>3135</v>
      </c>
      <c r="O764" s="1135">
        <v>120</v>
      </c>
      <c r="P764" s="2017">
        <v>120</v>
      </c>
      <c r="Q764" s="2017">
        <v>0</v>
      </c>
      <c r="R764" s="2017">
        <v>0</v>
      </c>
      <c r="S764" s="2017">
        <v>0</v>
      </c>
      <c r="T764" s="2017">
        <v>0</v>
      </c>
      <c r="U764" s="2042">
        <v>0</v>
      </c>
    </row>
    <row r="765" spans="2:21" hidden="1" outlineLevel="2">
      <c r="B765" s="1135"/>
      <c r="C765" s="1045"/>
      <c r="D765" s="1051">
        <f t="shared" si="83"/>
        <v>32</v>
      </c>
      <c r="E765" s="1051" t="str">
        <f>IF(COUNTIF(E$624:E764,F765)&gt;0,"",F765)</f>
        <v/>
      </c>
      <c r="F765" s="1051" t="str">
        <f t="shared" si="84"/>
        <v>Ordinateur portable , France continentale, Base Carbone</v>
      </c>
      <c r="G765" s="1055" t="str">
        <f t="shared" si="85"/>
        <v>Ordinateur portable , France continentale, Base Carbone; kgCO2e/unité, Approvisionnement</v>
      </c>
      <c r="I765" s="2018" t="s">
        <v>3188</v>
      </c>
      <c r="J765" s="1135" t="s">
        <v>1994</v>
      </c>
      <c r="K765" s="1135" t="s">
        <v>1567</v>
      </c>
      <c r="L765" s="1135" t="s">
        <v>1571</v>
      </c>
      <c r="M765" s="2062">
        <v>0.5</v>
      </c>
      <c r="N765" s="1135" t="s">
        <v>3136</v>
      </c>
      <c r="O765" s="1135">
        <v>1.89</v>
      </c>
      <c r="P765" s="2017">
        <v>1.89</v>
      </c>
      <c r="Q765" s="2017">
        <v>0</v>
      </c>
      <c r="R765" s="2017">
        <v>0</v>
      </c>
      <c r="S765" s="2017">
        <v>0</v>
      </c>
      <c r="T765" s="2017">
        <v>0</v>
      </c>
      <c r="U765" s="2042">
        <v>0</v>
      </c>
    </row>
    <row r="766" spans="2:21" hidden="1" outlineLevel="2">
      <c r="B766" s="1135"/>
      <c r="C766" s="1045"/>
      <c r="D766" s="1051">
        <f t="shared" si="83"/>
        <v>32</v>
      </c>
      <c r="E766" s="1051" t="str">
        <f>IF(COUNTIF(E$624:E765,F766)&gt;0,"",F766)</f>
        <v/>
      </c>
      <c r="F766" s="1051" t="str">
        <f t="shared" si="84"/>
        <v>Ordinateur portable , France continentale, Base Carbone</v>
      </c>
      <c r="G766" s="1055" t="str">
        <f t="shared" si="85"/>
        <v>Ordinateur portable , France continentale, Base Carbone; kgCO2e/unité, Mise en forme</v>
      </c>
      <c r="I766" s="2018" t="s">
        <v>3188</v>
      </c>
      <c r="J766" s="1135" t="s">
        <v>1994</v>
      </c>
      <c r="K766" s="1135" t="s">
        <v>1567</v>
      </c>
      <c r="L766" s="1135" t="s">
        <v>1571</v>
      </c>
      <c r="M766" s="2062">
        <v>0.5</v>
      </c>
      <c r="N766" s="1135" t="s">
        <v>3141</v>
      </c>
      <c r="O766" s="1135">
        <v>0.75</v>
      </c>
      <c r="P766" s="2017">
        <v>0.75</v>
      </c>
      <c r="Q766" s="2017">
        <v>0</v>
      </c>
      <c r="R766" s="2017">
        <v>0</v>
      </c>
      <c r="S766" s="2017">
        <v>0</v>
      </c>
      <c r="T766" s="2017">
        <v>0</v>
      </c>
      <c r="U766" s="2042">
        <v>0</v>
      </c>
    </row>
    <row r="767" spans="2:21" hidden="1" outlineLevel="2">
      <c r="B767" s="1135"/>
      <c r="C767" s="1045"/>
      <c r="D767" s="1051">
        <f t="shared" si="83"/>
        <v>32</v>
      </c>
      <c r="E767" s="1051" t="str">
        <f>IF(COUNTIF(E$624:E766,F767)&gt;0,"",F767)</f>
        <v/>
      </c>
      <c r="F767" s="1051" t="str">
        <f t="shared" si="84"/>
        <v>Ordinateur portable , France continentale, Base Carbone</v>
      </c>
      <c r="G767" s="1055" t="str">
        <f t="shared" si="85"/>
        <v>Ordinateur portable , France continentale, Base Carbone; kgCO2e/unité, Assemblage</v>
      </c>
      <c r="I767" s="2018" t="s">
        <v>3188</v>
      </c>
      <c r="J767" s="1135" t="s">
        <v>1994</v>
      </c>
      <c r="K767" s="1135" t="s">
        <v>1567</v>
      </c>
      <c r="L767" s="1135" t="s">
        <v>1571</v>
      </c>
      <c r="M767" s="2062">
        <v>0.5</v>
      </c>
      <c r="N767" s="1135" t="s">
        <v>3137</v>
      </c>
      <c r="O767" s="1135">
        <v>1.9</v>
      </c>
      <c r="P767" s="2017">
        <v>1.9</v>
      </c>
      <c r="Q767" s="2017">
        <v>0</v>
      </c>
      <c r="R767" s="2017">
        <v>0</v>
      </c>
      <c r="S767" s="2017">
        <v>0</v>
      </c>
      <c r="T767" s="2017">
        <v>0</v>
      </c>
      <c r="U767" s="2042">
        <v>0</v>
      </c>
    </row>
    <row r="768" spans="2:21" hidden="1" outlineLevel="2">
      <c r="B768" s="1135"/>
      <c r="C768" s="1045"/>
      <c r="D768" s="1051">
        <f t="shared" si="83"/>
        <v>32</v>
      </c>
      <c r="E768" s="1051" t="str">
        <f>IF(COUNTIF(E$624:E767,F768)&gt;0,"",F768)</f>
        <v/>
      </c>
      <c r="F768" s="1051" t="str">
        <f t="shared" si="84"/>
        <v>Ordinateur portable , France continentale, Base Carbone</v>
      </c>
      <c r="G768" s="1055" t="str">
        <f t="shared" si="85"/>
        <v>Ordinateur portable , France continentale, Base Carbone; kgCO2e/unité, Distribution</v>
      </c>
      <c r="I768" s="2018" t="s">
        <v>3188</v>
      </c>
      <c r="J768" s="1135" t="s">
        <v>1994</v>
      </c>
      <c r="K768" s="1135" t="s">
        <v>1567</v>
      </c>
      <c r="L768" s="1135" t="s">
        <v>1571</v>
      </c>
      <c r="M768" s="2062">
        <v>0.5</v>
      </c>
      <c r="N768" s="1135" t="s">
        <v>3138</v>
      </c>
      <c r="O768" s="1135">
        <v>31.7</v>
      </c>
      <c r="P768" s="2017">
        <v>31.7</v>
      </c>
      <c r="Q768" s="2017">
        <v>0</v>
      </c>
      <c r="R768" s="2017">
        <v>0</v>
      </c>
      <c r="S768" s="2017">
        <v>0</v>
      </c>
      <c r="T768" s="2017">
        <v>0</v>
      </c>
      <c r="U768" s="2042">
        <v>0</v>
      </c>
    </row>
    <row r="769" spans="2:21" hidden="1" outlineLevel="2">
      <c r="B769" s="1135"/>
      <c r="C769" s="1045"/>
      <c r="D769" s="1051">
        <f t="shared" si="83"/>
        <v>33</v>
      </c>
      <c r="E769" s="1051" t="str">
        <f>IF(COUNTIF(E$624:E768,F769)&gt;0,"",F769)</f>
        <v>Photocopieurs, Monde, Base Carbone</v>
      </c>
      <c r="F769" s="1051" t="str">
        <f t="shared" si="84"/>
        <v>Photocopieurs, Monde, Base Carbone</v>
      </c>
      <c r="G769" s="1055" t="str">
        <f t="shared" si="85"/>
        <v>Photocopieurs, Monde, Base Carbone; kgCO2e/unité, Matières premières</v>
      </c>
      <c r="I769" s="2018" t="s">
        <v>3690</v>
      </c>
      <c r="J769" s="1135" t="s">
        <v>1994</v>
      </c>
      <c r="K769" s="1135" t="s">
        <v>1567</v>
      </c>
      <c r="L769" s="1135" t="s">
        <v>2089</v>
      </c>
      <c r="M769" s="2062">
        <v>0.5</v>
      </c>
      <c r="N769" s="2017" t="s">
        <v>3135</v>
      </c>
      <c r="O769" s="1135">
        <v>2935</v>
      </c>
      <c r="P769" s="2017">
        <v>2935</v>
      </c>
      <c r="Q769" s="2017">
        <v>0</v>
      </c>
      <c r="R769" s="2017">
        <v>0</v>
      </c>
      <c r="S769" s="2017">
        <v>0</v>
      </c>
      <c r="T769" s="2017">
        <v>0</v>
      </c>
      <c r="U769" s="2042">
        <v>0</v>
      </c>
    </row>
    <row r="770" spans="2:21" hidden="1" outlineLevel="2">
      <c r="B770" s="1135"/>
      <c r="C770" s="1045"/>
      <c r="D770" s="1051">
        <f t="shared" si="83"/>
        <v>34</v>
      </c>
      <c r="E770" s="1051" t="str">
        <f>IF(COUNTIF(E$624:E769,F770)&gt;0,"",F770)</f>
        <v>Racks (baies ou cabinets), Monde, Base Carbone</v>
      </c>
      <c r="F770" s="1051" t="str">
        <f t="shared" si="84"/>
        <v>Racks (baies ou cabinets), Monde, Base Carbone</v>
      </c>
      <c r="G770" s="1055" t="str">
        <f t="shared" si="85"/>
        <v>Racks (baies ou cabinets), Monde, Base Carbone; kgCO2e/unité, Matières premières</v>
      </c>
      <c r="I770" s="2018" t="s">
        <v>3719</v>
      </c>
      <c r="J770" s="1135" t="s">
        <v>1994</v>
      </c>
      <c r="K770" s="1135" t="s">
        <v>1567</v>
      </c>
      <c r="L770" s="1135" t="s">
        <v>2089</v>
      </c>
      <c r="M770" s="2062">
        <v>0.3</v>
      </c>
      <c r="N770" s="2017" t="s">
        <v>3135</v>
      </c>
      <c r="O770" s="1135">
        <v>500</v>
      </c>
      <c r="P770" s="2017">
        <v>500</v>
      </c>
      <c r="Q770" s="2017">
        <v>0</v>
      </c>
      <c r="R770" s="2017">
        <v>0</v>
      </c>
      <c r="S770" s="2017">
        <v>0</v>
      </c>
      <c r="T770" s="2017">
        <v>0</v>
      </c>
      <c r="U770" s="2042">
        <v>0</v>
      </c>
    </row>
    <row r="771" spans="2:21" hidden="1" outlineLevel="2">
      <c r="B771" s="1135"/>
      <c r="C771" s="1045"/>
      <c r="D771" s="1051">
        <f t="shared" si="83"/>
        <v>35</v>
      </c>
      <c r="E771" s="1051" t="str">
        <f>IF(COUNTIF(E$624:E770,F771)&gt;0,"",F771)</f>
        <v>Serveurs informatiques, Monde, Base Carbone</v>
      </c>
      <c r="F771" s="1051" t="str">
        <f t="shared" si="84"/>
        <v>Serveurs informatiques, Monde, Base Carbone</v>
      </c>
      <c r="G771" s="1055" t="str">
        <f t="shared" si="85"/>
        <v>Serveurs informatiques, Monde, Base Carbone; kgCO2e/unité, Matières premières</v>
      </c>
      <c r="I771" s="2018" t="s">
        <v>3720</v>
      </c>
      <c r="J771" s="1135" t="s">
        <v>1994</v>
      </c>
      <c r="K771" s="1135" t="s">
        <v>1567</v>
      </c>
      <c r="L771" s="1135" t="s">
        <v>2089</v>
      </c>
      <c r="M771" s="2062">
        <v>0.8</v>
      </c>
      <c r="N771" s="2017" t="s">
        <v>3135</v>
      </c>
      <c r="O771" s="1135">
        <v>600</v>
      </c>
      <c r="P771" s="2017">
        <v>600</v>
      </c>
      <c r="Q771" s="2017">
        <v>0</v>
      </c>
      <c r="R771" s="2017">
        <v>0</v>
      </c>
      <c r="S771" s="2017">
        <v>0</v>
      </c>
      <c r="T771" s="2017">
        <v>0</v>
      </c>
      <c r="U771" s="2042">
        <v>0</v>
      </c>
    </row>
    <row r="772" spans="2:21" hidden="1" outlineLevel="2">
      <c r="B772" s="1135"/>
      <c r="C772" s="1045"/>
      <c r="D772" s="1051">
        <f t="shared" si="83"/>
        <v>36</v>
      </c>
      <c r="E772" s="1051" t="str">
        <f>IF(COUNTIF(E$624:E771,F772)&gt;0,"",F772)</f>
        <v>Smartphone classique , France continentale, Base Carbone</v>
      </c>
      <c r="F772" s="1051" t="str">
        <f t="shared" si="84"/>
        <v>Smartphone classique , France continentale, Base Carbone</v>
      </c>
      <c r="G772" s="1055" t="str">
        <f t="shared" si="85"/>
        <v>Smartphone classique , France continentale, Base Carbone; kgCO2e/unité, Matières premières</v>
      </c>
      <c r="I772" s="2018" t="s">
        <v>3189</v>
      </c>
      <c r="J772" s="1135" t="s">
        <v>1994</v>
      </c>
      <c r="K772" s="1135" t="s">
        <v>1567</v>
      </c>
      <c r="L772" s="1135" t="s">
        <v>1571</v>
      </c>
      <c r="M772" s="2062">
        <v>0.5</v>
      </c>
      <c r="N772" s="1135" t="s">
        <v>3135</v>
      </c>
      <c r="O772" s="1135">
        <v>13.7</v>
      </c>
      <c r="P772" s="2017">
        <v>13.7</v>
      </c>
      <c r="Q772" s="2017">
        <v>0</v>
      </c>
      <c r="R772" s="2017">
        <v>0</v>
      </c>
      <c r="S772" s="2017">
        <v>0</v>
      </c>
      <c r="T772" s="2017">
        <v>0</v>
      </c>
      <c r="U772" s="2042">
        <v>0</v>
      </c>
    </row>
    <row r="773" spans="2:21" hidden="1" outlineLevel="2">
      <c r="B773" s="1135"/>
      <c r="C773" s="1045"/>
      <c r="D773" s="1051">
        <f t="shared" si="83"/>
        <v>36</v>
      </c>
      <c r="E773" s="1051" t="str">
        <f>IF(COUNTIF(E$624:E772,F773)&gt;0,"",F773)</f>
        <v/>
      </c>
      <c r="F773" s="1051" t="str">
        <f t="shared" si="84"/>
        <v>Smartphone classique , France continentale, Base Carbone</v>
      </c>
      <c r="G773" s="1055" t="str">
        <f t="shared" si="85"/>
        <v>Smartphone classique , France continentale, Base Carbone; kgCO2e/unité, Approvisionnement</v>
      </c>
      <c r="I773" s="2018" t="s">
        <v>3189</v>
      </c>
      <c r="J773" s="1135" t="s">
        <v>1994</v>
      </c>
      <c r="K773" s="1135" t="s">
        <v>1567</v>
      </c>
      <c r="L773" s="1135" t="s">
        <v>1571</v>
      </c>
      <c r="M773" s="2062">
        <v>0.5</v>
      </c>
      <c r="N773" s="1135" t="s">
        <v>3136</v>
      </c>
      <c r="O773" s="1135">
        <v>0.14499999999999999</v>
      </c>
      <c r="P773" s="2017">
        <v>0.14499999999999999</v>
      </c>
      <c r="Q773" s="2017">
        <v>0</v>
      </c>
      <c r="R773" s="2017">
        <v>0</v>
      </c>
      <c r="S773" s="2017">
        <v>0</v>
      </c>
      <c r="T773" s="2017">
        <v>0</v>
      </c>
      <c r="U773" s="2042">
        <v>0</v>
      </c>
    </row>
    <row r="774" spans="2:21" hidden="1" outlineLevel="2">
      <c r="B774" s="1135"/>
      <c r="C774" s="1045"/>
      <c r="D774" s="1051">
        <f t="shared" si="83"/>
        <v>36</v>
      </c>
      <c r="E774" s="1051" t="str">
        <f>IF(COUNTIF(E$624:E773,F774)&gt;0,"",F774)</f>
        <v/>
      </c>
      <c r="F774" s="1051" t="str">
        <f t="shared" si="84"/>
        <v>Smartphone classique , France continentale, Base Carbone</v>
      </c>
      <c r="G774" s="1055" t="str">
        <f t="shared" si="85"/>
        <v>Smartphone classique , France continentale, Base Carbone; kgCO2e/unité, Mise en forme</v>
      </c>
      <c r="I774" s="2018" t="s">
        <v>3189</v>
      </c>
      <c r="J774" s="1135" t="s">
        <v>1994</v>
      </c>
      <c r="K774" s="1135" t="s">
        <v>1567</v>
      </c>
      <c r="L774" s="1135" t="s">
        <v>1571</v>
      </c>
      <c r="M774" s="2062">
        <v>0.5</v>
      </c>
      <c r="N774" s="1135" t="s">
        <v>3141</v>
      </c>
      <c r="O774" s="1135">
        <v>6.3899999999999998E-2</v>
      </c>
      <c r="P774" s="2017">
        <v>6.3899999999999998E-2</v>
      </c>
      <c r="Q774" s="2017">
        <v>0</v>
      </c>
      <c r="R774" s="2017">
        <v>0</v>
      </c>
      <c r="S774" s="2017">
        <v>0</v>
      </c>
      <c r="T774" s="2017">
        <v>0</v>
      </c>
      <c r="U774" s="2042">
        <v>0</v>
      </c>
    </row>
    <row r="775" spans="2:21" hidden="1" outlineLevel="2">
      <c r="B775" s="1135"/>
      <c r="C775" s="1045"/>
      <c r="D775" s="1051">
        <f t="shared" si="83"/>
        <v>36</v>
      </c>
      <c r="E775" s="1051" t="str">
        <f>IF(COUNTIF(E$624:E774,F775)&gt;0,"",F775)</f>
        <v/>
      </c>
      <c r="F775" s="1051" t="str">
        <f t="shared" si="84"/>
        <v>Smartphone classique , France continentale, Base Carbone</v>
      </c>
      <c r="G775" s="1055" t="str">
        <f t="shared" si="85"/>
        <v>Smartphone classique , France continentale, Base Carbone; kgCO2e/unité, Assemblage</v>
      </c>
      <c r="I775" s="2018" t="s">
        <v>3189</v>
      </c>
      <c r="J775" s="1135" t="s">
        <v>1994</v>
      </c>
      <c r="K775" s="1135" t="s">
        <v>1567</v>
      </c>
      <c r="L775" s="1135" t="s">
        <v>1571</v>
      </c>
      <c r="M775" s="2062">
        <v>0.5</v>
      </c>
      <c r="N775" s="1135" t="s">
        <v>3137</v>
      </c>
      <c r="O775" s="1135">
        <v>0.17199999999999999</v>
      </c>
      <c r="P775" s="2017">
        <v>0.17199999999999999</v>
      </c>
      <c r="Q775" s="2017">
        <v>0</v>
      </c>
      <c r="R775" s="2017">
        <v>0</v>
      </c>
      <c r="S775" s="2017">
        <v>0</v>
      </c>
      <c r="T775" s="2017">
        <v>0</v>
      </c>
      <c r="U775" s="2042">
        <v>0</v>
      </c>
    </row>
    <row r="776" spans="2:21" hidden="1" outlineLevel="2">
      <c r="B776" s="1135"/>
      <c r="C776" s="1045"/>
      <c r="D776" s="1051">
        <f t="shared" si="83"/>
        <v>36</v>
      </c>
      <c r="E776" s="1051" t="str">
        <f>IF(COUNTIF(E$624:E775,F776)&gt;0,"",F776)</f>
        <v/>
      </c>
      <c r="F776" s="1051" t="str">
        <f t="shared" si="84"/>
        <v>Smartphone classique , France continentale, Base Carbone</v>
      </c>
      <c r="G776" s="1055" t="str">
        <f t="shared" si="85"/>
        <v>Smartphone classique , France continentale, Base Carbone; kgCO2e/unité, Distribution</v>
      </c>
      <c r="I776" s="2018" t="s">
        <v>3189</v>
      </c>
      <c r="J776" s="1135" t="s">
        <v>1994</v>
      </c>
      <c r="K776" s="1135" t="s">
        <v>1567</v>
      </c>
      <c r="L776" s="1135" t="s">
        <v>1571</v>
      </c>
      <c r="M776" s="2062">
        <v>0.5</v>
      </c>
      <c r="N776" s="1135" t="s">
        <v>3138</v>
      </c>
      <c r="O776" s="1135">
        <v>2.44</v>
      </c>
      <c r="P776" s="2017">
        <v>2.44</v>
      </c>
      <c r="Q776" s="2017">
        <v>0</v>
      </c>
      <c r="R776" s="2017">
        <v>0</v>
      </c>
      <c r="S776" s="2017">
        <v>0</v>
      </c>
      <c r="T776" s="2017">
        <v>0</v>
      </c>
      <c r="U776" s="2042">
        <v>0</v>
      </c>
    </row>
    <row r="777" spans="2:21" hidden="1" outlineLevel="2">
      <c r="B777" s="1135"/>
      <c r="C777" s="1045"/>
      <c r="D777" s="1051">
        <f t="shared" si="83"/>
        <v>37</v>
      </c>
      <c r="E777" s="1051" t="str">
        <f>IF(COUNTIF(E$624:E776,F777)&gt;0,"",F777)</f>
        <v>Smartphone 5 pouces, France continentale, Base Carbone</v>
      </c>
      <c r="F777" s="1051" t="str">
        <f t="shared" si="84"/>
        <v>Smartphone 5 pouces, France continentale, Base Carbone</v>
      </c>
      <c r="G777" s="1055" t="str">
        <f t="shared" si="85"/>
        <v>Smartphone 5 pouces, France continentale, Base Carbone; kgCO2e/unité, Matières premières</v>
      </c>
      <c r="I777" s="2018" t="s">
        <v>3190</v>
      </c>
      <c r="J777" s="1135" t="s">
        <v>1994</v>
      </c>
      <c r="K777" s="1135" t="s">
        <v>1567</v>
      </c>
      <c r="L777" s="1135" t="s">
        <v>1571</v>
      </c>
      <c r="M777" s="2062">
        <v>0.5</v>
      </c>
      <c r="N777" s="1135" t="s">
        <v>3135</v>
      </c>
      <c r="O777" s="1135">
        <v>26.5</v>
      </c>
      <c r="P777" s="2017">
        <v>26.5</v>
      </c>
      <c r="Q777" s="2017">
        <v>0</v>
      </c>
      <c r="R777" s="2017">
        <v>0</v>
      </c>
      <c r="S777" s="2017">
        <v>0</v>
      </c>
      <c r="T777" s="2017">
        <v>0</v>
      </c>
      <c r="U777" s="2042">
        <v>0</v>
      </c>
    </row>
    <row r="778" spans="2:21" hidden="1" outlineLevel="2">
      <c r="B778" s="1135"/>
      <c r="C778" s="1045"/>
      <c r="D778" s="1051">
        <f t="shared" si="83"/>
        <v>37</v>
      </c>
      <c r="E778" s="1051" t="str">
        <f>IF(COUNTIF(E$624:E777,F778)&gt;0,"",F778)</f>
        <v/>
      </c>
      <c r="F778" s="1051" t="str">
        <f t="shared" si="84"/>
        <v>Smartphone 5 pouces, France continentale, Base Carbone</v>
      </c>
      <c r="G778" s="1055" t="str">
        <f t="shared" si="85"/>
        <v>Smartphone 5 pouces, France continentale, Base Carbone; kgCO2e/unité, Approvisionnement</v>
      </c>
      <c r="I778" s="2018" t="s">
        <v>3190</v>
      </c>
      <c r="J778" s="1135" t="s">
        <v>1994</v>
      </c>
      <c r="K778" s="1135" t="s">
        <v>1567</v>
      </c>
      <c r="L778" s="1135" t="s">
        <v>1571</v>
      </c>
      <c r="M778" s="2062">
        <v>0.5</v>
      </c>
      <c r="N778" s="1135" t="s">
        <v>3136</v>
      </c>
      <c r="O778" s="1135">
        <v>0.75700000000000001</v>
      </c>
      <c r="P778" s="2017">
        <v>0.75700000000000001</v>
      </c>
      <c r="Q778" s="2017">
        <v>0</v>
      </c>
      <c r="R778" s="2017">
        <v>0</v>
      </c>
      <c r="S778" s="2017">
        <v>0</v>
      </c>
      <c r="T778" s="2017">
        <v>0</v>
      </c>
      <c r="U778" s="2042">
        <v>0</v>
      </c>
    </row>
    <row r="779" spans="2:21" hidden="1" outlineLevel="2">
      <c r="B779" s="1135"/>
      <c r="C779" s="1045"/>
      <c r="D779" s="1051">
        <f t="shared" si="83"/>
        <v>37</v>
      </c>
      <c r="E779" s="1051" t="str">
        <f>IF(COUNTIF(E$624:E778,F779)&gt;0,"",F779)</f>
        <v/>
      </c>
      <c r="F779" s="1051" t="str">
        <f t="shared" si="84"/>
        <v>Smartphone 5 pouces, France continentale, Base Carbone</v>
      </c>
      <c r="G779" s="1055" t="str">
        <f t="shared" si="85"/>
        <v>Smartphone 5 pouces, France continentale, Base Carbone; kgCO2e/unité, Mise en forme</v>
      </c>
      <c r="I779" s="2018" t="s">
        <v>3190</v>
      </c>
      <c r="J779" s="1135" t="s">
        <v>1994</v>
      </c>
      <c r="K779" s="1135" t="s">
        <v>1567</v>
      </c>
      <c r="L779" s="1135" t="s">
        <v>1571</v>
      </c>
      <c r="M779" s="2062">
        <v>0.5</v>
      </c>
      <c r="N779" s="1135" t="s">
        <v>3141</v>
      </c>
      <c r="O779" s="1135">
        <v>6.3299999999999995E-2</v>
      </c>
      <c r="P779" s="2017">
        <v>6.3299999999999995E-2</v>
      </c>
      <c r="Q779" s="2017">
        <v>0</v>
      </c>
      <c r="R779" s="2017">
        <v>0</v>
      </c>
      <c r="S779" s="2017">
        <v>0</v>
      </c>
      <c r="T779" s="2017">
        <v>0</v>
      </c>
      <c r="U779" s="2042">
        <v>0</v>
      </c>
    </row>
    <row r="780" spans="2:21" hidden="1" outlineLevel="2">
      <c r="B780" s="1135"/>
      <c r="C780" s="1045"/>
      <c r="D780" s="1051">
        <f t="shared" si="83"/>
        <v>37</v>
      </c>
      <c r="E780" s="1051" t="str">
        <f>IF(COUNTIF(E$624:E779,F780)&gt;0,"",F780)</f>
        <v/>
      </c>
      <c r="F780" s="1051" t="str">
        <f t="shared" si="84"/>
        <v>Smartphone 5 pouces, France continentale, Base Carbone</v>
      </c>
      <c r="G780" s="1055" t="str">
        <f t="shared" si="85"/>
        <v>Smartphone 5 pouces, France continentale, Base Carbone; kgCO2e/unité, Assemblage</v>
      </c>
      <c r="I780" s="2018" t="s">
        <v>3190</v>
      </c>
      <c r="J780" s="1135" t="s">
        <v>1994</v>
      </c>
      <c r="K780" s="1135" t="s">
        <v>1567</v>
      </c>
      <c r="L780" s="1135" t="s">
        <v>1571</v>
      </c>
      <c r="M780" s="2062">
        <v>0.5</v>
      </c>
      <c r="N780" s="1135" t="s">
        <v>3137</v>
      </c>
      <c r="O780" s="1135">
        <v>0.23599999999999999</v>
      </c>
      <c r="P780" s="2017">
        <v>0.23599999999999999</v>
      </c>
      <c r="Q780" s="2017">
        <v>0</v>
      </c>
      <c r="R780" s="2017">
        <v>0</v>
      </c>
      <c r="S780" s="2017">
        <v>0</v>
      </c>
      <c r="T780" s="2017">
        <v>0</v>
      </c>
      <c r="U780" s="2042">
        <v>0</v>
      </c>
    </row>
    <row r="781" spans="2:21" hidden="1" outlineLevel="2">
      <c r="B781" s="1135"/>
      <c r="C781" s="1045"/>
      <c r="D781" s="1051">
        <f t="shared" si="83"/>
        <v>37</v>
      </c>
      <c r="E781" s="1051" t="str">
        <f>IF(COUNTIF(E$624:E780,F781)&gt;0,"",F781)</f>
        <v/>
      </c>
      <c r="F781" s="1051" t="str">
        <f t="shared" si="84"/>
        <v>Smartphone 5 pouces, France continentale, Base Carbone</v>
      </c>
      <c r="G781" s="1055" t="str">
        <f t="shared" si="85"/>
        <v>Smartphone 5 pouces, France continentale, Base Carbone; kgCO2e/unité, Distribution</v>
      </c>
      <c r="I781" s="2018" t="s">
        <v>3190</v>
      </c>
      <c r="J781" s="1135" t="s">
        <v>1994</v>
      </c>
      <c r="K781" s="1135" t="s">
        <v>1567</v>
      </c>
      <c r="L781" s="1135" t="s">
        <v>1571</v>
      </c>
      <c r="M781" s="2062">
        <v>0.5</v>
      </c>
      <c r="N781" s="1135" t="s">
        <v>3138</v>
      </c>
      <c r="O781" s="1135">
        <v>5.27</v>
      </c>
      <c r="P781" s="2017">
        <v>5.27</v>
      </c>
      <c r="Q781" s="2017">
        <v>0</v>
      </c>
      <c r="R781" s="2017">
        <v>0</v>
      </c>
      <c r="S781" s="2017">
        <v>0</v>
      </c>
      <c r="T781" s="2017">
        <v>0</v>
      </c>
      <c r="U781" s="2042">
        <v>0</v>
      </c>
    </row>
    <row r="782" spans="2:21" hidden="1" outlineLevel="2">
      <c r="B782" s="1135"/>
      <c r="C782" s="1045"/>
      <c r="D782" s="1051">
        <f t="shared" si="83"/>
        <v>38</v>
      </c>
      <c r="E782" s="1051" t="str">
        <f>IF(COUNTIF(E$624:E781,F782)&gt;0,"",F782)</f>
        <v>Smartphone de moins de 4,5 pouces , France continentale, Base Carbone</v>
      </c>
      <c r="F782" s="1051" t="str">
        <f t="shared" si="84"/>
        <v>Smartphone de moins de 4,5 pouces , France continentale, Base Carbone</v>
      </c>
      <c r="G782" s="1055" t="str">
        <f t="shared" si="85"/>
        <v>Smartphone de moins de 4,5 pouces , France continentale, Base Carbone; kgCO2e/unité, Matières premières</v>
      </c>
      <c r="I782" s="2018" t="s">
        <v>3191</v>
      </c>
      <c r="J782" s="1135" t="s">
        <v>1994</v>
      </c>
      <c r="K782" s="1135" t="s">
        <v>1567</v>
      </c>
      <c r="L782" s="1135" t="s">
        <v>1571</v>
      </c>
      <c r="M782" s="2062">
        <v>0.5</v>
      </c>
      <c r="N782" s="1135" t="s">
        <v>3135</v>
      </c>
      <c r="O782" s="1135">
        <v>23.3</v>
      </c>
      <c r="P782" s="2017">
        <v>23.3</v>
      </c>
      <c r="Q782" s="2017">
        <v>0</v>
      </c>
      <c r="R782" s="2017">
        <v>0</v>
      </c>
      <c r="S782" s="2017">
        <v>0</v>
      </c>
      <c r="T782" s="2017">
        <v>0</v>
      </c>
      <c r="U782" s="2042">
        <v>0</v>
      </c>
    </row>
    <row r="783" spans="2:21" hidden="1" outlineLevel="2">
      <c r="B783" s="1135"/>
      <c r="C783" s="1045"/>
      <c r="D783" s="1051">
        <f t="shared" si="83"/>
        <v>38</v>
      </c>
      <c r="E783" s="1051" t="str">
        <f>IF(COUNTIF(E$624:E782,F783)&gt;0,"",F783)</f>
        <v/>
      </c>
      <c r="F783" s="1051" t="str">
        <f t="shared" si="84"/>
        <v>Smartphone de moins de 4,5 pouces , France continentale, Base Carbone</v>
      </c>
      <c r="G783" s="1055" t="str">
        <f t="shared" si="85"/>
        <v>Smartphone de moins de 4,5 pouces , France continentale, Base Carbone; kgCO2e/unité, Approvisionnement</v>
      </c>
      <c r="I783" s="2018" t="s">
        <v>3191</v>
      </c>
      <c r="J783" s="1135" t="s">
        <v>1994</v>
      </c>
      <c r="K783" s="1135" t="s">
        <v>1567</v>
      </c>
      <c r="L783" s="1135" t="s">
        <v>1571</v>
      </c>
      <c r="M783" s="2062">
        <v>0.5</v>
      </c>
      <c r="N783" s="1135" t="s">
        <v>3136</v>
      </c>
      <c r="O783" s="1135">
        <v>0.59099999999999997</v>
      </c>
      <c r="P783" s="2017">
        <v>0.59099999999999997</v>
      </c>
      <c r="Q783" s="2017">
        <v>0</v>
      </c>
      <c r="R783" s="2017">
        <v>0</v>
      </c>
      <c r="S783" s="2017">
        <v>0</v>
      </c>
      <c r="T783" s="2017">
        <v>0</v>
      </c>
      <c r="U783" s="2042">
        <v>0</v>
      </c>
    </row>
    <row r="784" spans="2:21" hidden="1" outlineLevel="2">
      <c r="B784" s="1135"/>
      <c r="C784" s="1045"/>
      <c r="D784" s="1051">
        <f t="shared" si="83"/>
        <v>38</v>
      </c>
      <c r="E784" s="1051" t="str">
        <f>IF(COUNTIF(E$624:E783,F784)&gt;0,"",F784)</f>
        <v/>
      </c>
      <c r="F784" s="1051" t="str">
        <f t="shared" si="84"/>
        <v>Smartphone de moins de 4,5 pouces , France continentale, Base Carbone</v>
      </c>
      <c r="G784" s="1055" t="str">
        <f t="shared" si="85"/>
        <v>Smartphone de moins de 4,5 pouces , France continentale, Base Carbone; kgCO2e/unité, Mise en forme</v>
      </c>
      <c r="I784" s="2018" t="s">
        <v>3191</v>
      </c>
      <c r="J784" s="1135" t="s">
        <v>1994</v>
      </c>
      <c r="K784" s="1135" t="s">
        <v>1567</v>
      </c>
      <c r="L784" s="1135" t="s">
        <v>1571</v>
      </c>
      <c r="M784" s="2062">
        <v>0.5</v>
      </c>
      <c r="N784" s="1135" t="s">
        <v>3141</v>
      </c>
      <c r="O784" s="1135">
        <v>6.3399999999999998E-2</v>
      </c>
      <c r="P784" s="2017">
        <v>6.3399999999999998E-2</v>
      </c>
      <c r="Q784" s="2017">
        <v>0</v>
      </c>
      <c r="R784" s="2017">
        <v>0</v>
      </c>
      <c r="S784" s="2017">
        <v>0</v>
      </c>
      <c r="T784" s="2017">
        <v>0</v>
      </c>
      <c r="U784" s="2042">
        <v>0</v>
      </c>
    </row>
    <row r="785" spans="2:21" hidden="1" outlineLevel="2">
      <c r="B785" s="1135"/>
      <c r="C785" s="1045"/>
      <c r="D785" s="1051">
        <f t="shared" si="83"/>
        <v>38</v>
      </c>
      <c r="E785" s="1051" t="str">
        <f>IF(COUNTIF(E$624:E784,F785)&gt;0,"",F785)</f>
        <v/>
      </c>
      <c r="F785" s="1051" t="str">
        <f t="shared" si="84"/>
        <v>Smartphone de moins de 4,5 pouces , France continentale, Base Carbone</v>
      </c>
      <c r="G785" s="1055" t="str">
        <f t="shared" si="85"/>
        <v>Smartphone de moins de 4,5 pouces , France continentale, Base Carbone; kgCO2e/unité, Assemblage</v>
      </c>
      <c r="I785" s="2018" t="s">
        <v>3191</v>
      </c>
      <c r="J785" s="1135" t="s">
        <v>1994</v>
      </c>
      <c r="K785" s="1135" t="s">
        <v>1567</v>
      </c>
      <c r="L785" s="1135" t="s">
        <v>1571</v>
      </c>
      <c r="M785" s="2062">
        <v>0.5</v>
      </c>
      <c r="N785" s="1135" t="s">
        <v>3137</v>
      </c>
      <c r="O785" s="1135">
        <v>0.249</v>
      </c>
      <c r="P785" s="2017">
        <v>0.249</v>
      </c>
      <c r="Q785" s="2017">
        <v>0</v>
      </c>
      <c r="R785" s="2017">
        <v>0</v>
      </c>
      <c r="S785" s="2017">
        <v>0</v>
      </c>
      <c r="T785" s="2017">
        <v>0</v>
      </c>
      <c r="U785" s="2042">
        <v>0</v>
      </c>
    </row>
    <row r="786" spans="2:21" hidden="1" outlineLevel="2">
      <c r="B786" s="1135"/>
      <c r="C786" s="1045"/>
      <c r="D786" s="1051">
        <f t="shared" si="83"/>
        <v>38</v>
      </c>
      <c r="E786" s="1051" t="str">
        <f>IF(COUNTIF(E$624:E785,F786)&gt;0,"",F786)</f>
        <v/>
      </c>
      <c r="F786" s="1051" t="str">
        <f t="shared" si="84"/>
        <v>Smartphone de moins de 4,5 pouces , France continentale, Base Carbone</v>
      </c>
      <c r="G786" s="1055" t="str">
        <f t="shared" si="85"/>
        <v>Smartphone de moins de 4,5 pouces , France continentale, Base Carbone; kgCO2e/unité, Distribution</v>
      </c>
      <c r="I786" s="2018" t="s">
        <v>3191</v>
      </c>
      <c r="J786" s="1135" t="s">
        <v>1994</v>
      </c>
      <c r="K786" s="1135" t="s">
        <v>1567</v>
      </c>
      <c r="L786" s="1135" t="s">
        <v>1571</v>
      </c>
      <c r="M786" s="2062">
        <v>0.5</v>
      </c>
      <c r="N786" s="1135" t="s">
        <v>3138</v>
      </c>
      <c r="O786" s="1135">
        <v>3.39</v>
      </c>
      <c r="P786" s="2017">
        <v>3.39</v>
      </c>
      <c r="Q786" s="2017">
        <v>0</v>
      </c>
      <c r="R786" s="2017">
        <v>0</v>
      </c>
      <c r="S786" s="2017">
        <v>0</v>
      </c>
      <c r="T786" s="2017">
        <v>0</v>
      </c>
      <c r="U786" s="2042">
        <v>0</v>
      </c>
    </row>
    <row r="787" spans="2:21" hidden="1" outlineLevel="2">
      <c r="B787" s="1135"/>
      <c r="C787" s="1045"/>
      <c r="D787" s="1051">
        <f t="shared" si="83"/>
        <v>39</v>
      </c>
      <c r="E787" s="1051" t="str">
        <f>IF(COUNTIF(E$624:E786,F787)&gt;0,"",F787)</f>
        <v>Smartphone de plus de 5,5 pouces, France continentale, Base Carbone</v>
      </c>
      <c r="F787" s="1051" t="str">
        <f t="shared" si="84"/>
        <v>Smartphone de plus de 5,5 pouces, France continentale, Base Carbone</v>
      </c>
      <c r="G787" s="1055" t="str">
        <f t="shared" si="85"/>
        <v>Smartphone de plus de 5,5 pouces, France continentale, Base Carbone; kgCO2e/unité, Matières premières</v>
      </c>
      <c r="I787" s="2018" t="s">
        <v>3192</v>
      </c>
      <c r="J787" s="1135" t="s">
        <v>1994</v>
      </c>
      <c r="K787" s="1135" t="s">
        <v>1567</v>
      </c>
      <c r="L787" s="1135" t="s">
        <v>1571</v>
      </c>
      <c r="M787" s="2062">
        <v>0.5</v>
      </c>
      <c r="N787" s="1135" t="s">
        <v>3135</v>
      </c>
      <c r="O787" s="1135">
        <v>31.9</v>
      </c>
      <c r="P787" s="2017">
        <v>31.9</v>
      </c>
      <c r="Q787" s="2017">
        <v>0</v>
      </c>
      <c r="R787" s="2017">
        <v>0</v>
      </c>
      <c r="S787" s="2017">
        <v>0</v>
      </c>
      <c r="T787" s="2017">
        <v>0</v>
      </c>
      <c r="U787" s="2042">
        <v>0</v>
      </c>
    </row>
    <row r="788" spans="2:21" hidden="1" outlineLevel="2">
      <c r="B788" s="1135"/>
      <c r="C788" s="1045"/>
      <c r="D788" s="1051">
        <f t="shared" si="83"/>
        <v>39</v>
      </c>
      <c r="E788" s="1051" t="str">
        <f>IF(COUNTIF(E$624:E787,F788)&gt;0,"",F788)</f>
        <v/>
      </c>
      <c r="F788" s="1051" t="str">
        <f t="shared" si="84"/>
        <v>Smartphone de plus de 5,5 pouces, France continentale, Base Carbone</v>
      </c>
      <c r="G788" s="1055" t="str">
        <f t="shared" si="85"/>
        <v>Smartphone de plus de 5,5 pouces, France continentale, Base Carbone; kgCO2e/unité, Approvisionnement</v>
      </c>
      <c r="I788" s="2018" t="s">
        <v>3192</v>
      </c>
      <c r="J788" s="1135" t="s">
        <v>1994</v>
      </c>
      <c r="K788" s="1135" t="s">
        <v>1567</v>
      </c>
      <c r="L788" s="1135" t="s">
        <v>1571</v>
      </c>
      <c r="M788" s="2062">
        <v>0.5</v>
      </c>
      <c r="N788" s="1135" t="s">
        <v>3136</v>
      </c>
      <c r="O788" s="1135">
        <v>0.84099999999999997</v>
      </c>
      <c r="P788" s="2017">
        <v>0.84099999999999997</v>
      </c>
      <c r="Q788" s="2017">
        <v>0</v>
      </c>
      <c r="R788" s="2017">
        <v>0</v>
      </c>
      <c r="S788" s="2017">
        <v>0</v>
      </c>
      <c r="T788" s="2017">
        <v>0</v>
      </c>
      <c r="U788" s="2042">
        <v>0</v>
      </c>
    </row>
    <row r="789" spans="2:21" hidden="1" outlineLevel="2">
      <c r="B789" s="1135"/>
      <c r="C789" s="1045"/>
      <c r="D789" s="1051">
        <f t="shared" si="83"/>
        <v>39</v>
      </c>
      <c r="E789" s="1051" t="str">
        <f>IF(COUNTIF(E$624:E788,F789)&gt;0,"",F789)</f>
        <v/>
      </c>
      <c r="F789" s="1051" t="str">
        <f t="shared" si="84"/>
        <v>Smartphone de plus de 5,5 pouces, France continentale, Base Carbone</v>
      </c>
      <c r="G789" s="1055" t="str">
        <f t="shared" si="85"/>
        <v>Smartphone de plus de 5,5 pouces, France continentale, Base Carbone; kgCO2e/unité, Mise en forme</v>
      </c>
      <c r="I789" s="2018" t="s">
        <v>3192</v>
      </c>
      <c r="J789" s="1135" t="s">
        <v>1994</v>
      </c>
      <c r="K789" s="1135" t="s">
        <v>1567</v>
      </c>
      <c r="L789" s="1135" t="s">
        <v>1571</v>
      </c>
      <c r="M789" s="2062">
        <v>0.5</v>
      </c>
      <c r="N789" s="1135" t="s">
        <v>3141</v>
      </c>
      <c r="O789" s="1135">
        <v>7.1400000000000005E-2</v>
      </c>
      <c r="P789" s="2017">
        <v>7.1400000000000005E-2</v>
      </c>
      <c r="Q789" s="2017">
        <v>0</v>
      </c>
      <c r="R789" s="2017">
        <v>0</v>
      </c>
      <c r="S789" s="2017">
        <v>0</v>
      </c>
      <c r="T789" s="2017">
        <v>0</v>
      </c>
      <c r="U789" s="2042">
        <v>0</v>
      </c>
    </row>
    <row r="790" spans="2:21" hidden="1" outlineLevel="2">
      <c r="B790" s="1135"/>
      <c r="C790" s="1045"/>
      <c r="D790" s="1051">
        <f t="shared" si="83"/>
        <v>39</v>
      </c>
      <c r="E790" s="1051" t="str">
        <f>IF(COUNTIF(E$624:E789,F790)&gt;0,"",F790)</f>
        <v/>
      </c>
      <c r="F790" s="1051" t="str">
        <f t="shared" si="84"/>
        <v>Smartphone de plus de 5,5 pouces, France continentale, Base Carbone</v>
      </c>
      <c r="G790" s="1055" t="str">
        <f t="shared" si="85"/>
        <v>Smartphone de plus de 5,5 pouces, France continentale, Base Carbone; kgCO2e/unité, Assemblage</v>
      </c>
      <c r="I790" s="2018" t="s">
        <v>3192</v>
      </c>
      <c r="J790" s="1135" t="s">
        <v>1994</v>
      </c>
      <c r="K790" s="1135" t="s">
        <v>1567</v>
      </c>
      <c r="L790" s="1135" t="s">
        <v>1571</v>
      </c>
      <c r="M790" s="2062">
        <v>0.5</v>
      </c>
      <c r="N790" s="1135" t="s">
        <v>3137</v>
      </c>
      <c r="O790" s="1135">
        <v>0.25600000000000001</v>
      </c>
      <c r="P790" s="2017">
        <v>0.25600000000000001</v>
      </c>
      <c r="Q790" s="2017">
        <v>0</v>
      </c>
      <c r="R790" s="2017">
        <v>0</v>
      </c>
      <c r="S790" s="2017">
        <v>0</v>
      </c>
      <c r="T790" s="2017">
        <v>0</v>
      </c>
      <c r="U790" s="2042">
        <v>0</v>
      </c>
    </row>
    <row r="791" spans="2:21" hidden="1" outlineLevel="2">
      <c r="B791" s="1135"/>
      <c r="C791" s="1045"/>
      <c r="D791" s="1051">
        <f t="shared" si="83"/>
        <v>39</v>
      </c>
      <c r="E791" s="1051" t="str">
        <f>IF(COUNTIF(E$624:E790,F791)&gt;0,"",F791)</f>
        <v/>
      </c>
      <c r="F791" s="1051" t="str">
        <f t="shared" si="84"/>
        <v>Smartphone de plus de 5,5 pouces, France continentale, Base Carbone</v>
      </c>
      <c r="G791" s="1055" t="str">
        <f t="shared" si="85"/>
        <v>Smartphone de plus de 5,5 pouces, France continentale, Base Carbone; kgCO2e/unité, Distribution</v>
      </c>
      <c r="I791" s="2018" t="s">
        <v>3192</v>
      </c>
      <c r="J791" s="1135" t="s">
        <v>1994</v>
      </c>
      <c r="K791" s="1135" t="s">
        <v>1567</v>
      </c>
      <c r="L791" s="1135" t="s">
        <v>1571</v>
      </c>
      <c r="M791" s="2062">
        <v>0.5</v>
      </c>
      <c r="N791" s="1135" t="s">
        <v>3138</v>
      </c>
      <c r="O791" s="1135">
        <v>6</v>
      </c>
      <c r="P791" s="2017">
        <v>6</v>
      </c>
      <c r="Q791" s="2017">
        <v>0</v>
      </c>
      <c r="R791" s="2017">
        <v>0</v>
      </c>
      <c r="S791" s="2017">
        <v>0</v>
      </c>
      <c r="T791" s="2017">
        <v>0</v>
      </c>
      <c r="U791" s="2042">
        <v>0</v>
      </c>
    </row>
    <row r="792" spans="2:21" hidden="1" outlineLevel="2">
      <c r="B792" s="1135"/>
      <c r="C792" s="1045"/>
      <c r="D792" s="1051">
        <f t="shared" si="83"/>
        <v>40</v>
      </c>
      <c r="E792" s="1051" t="str">
        <f>IF(COUNTIF(E$624:E791,F792)&gt;0,"",F792)</f>
        <v>Stéréo classique , France continentale, Base Carbone</v>
      </c>
      <c r="F792" s="1051" t="str">
        <f t="shared" si="84"/>
        <v>Stéréo classique , France continentale, Base Carbone</v>
      </c>
      <c r="G792" s="1055" t="str">
        <f t="shared" si="85"/>
        <v>Stéréo classique , France continentale, Base Carbone; kgCO2e/unité, Matières premières</v>
      </c>
      <c r="I792" s="2018" t="s">
        <v>3193</v>
      </c>
      <c r="J792" s="1135" t="s">
        <v>1994</v>
      </c>
      <c r="K792" s="1135" t="s">
        <v>1567</v>
      </c>
      <c r="L792" s="1135" t="s">
        <v>1571</v>
      </c>
      <c r="M792" s="2062">
        <v>0.5</v>
      </c>
      <c r="N792" s="1135" t="s">
        <v>3135</v>
      </c>
      <c r="O792" s="1135">
        <v>82.7</v>
      </c>
      <c r="P792" s="2017">
        <v>82.7</v>
      </c>
      <c r="Q792" s="2017">
        <v>0</v>
      </c>
      <c r="R792" s="2017">
        <v>0</v>
      </c>
      <c r="S792" s="2017">
        <v>0</v>
      </c>
      <c r="T792" s="2017">
        <v>0</v>
      </c>
      <c r="U792" s="2042">
        <v>0</v>
      </c>
    </row>
    <row r="793" spans="2:21" hidden="1" outlineLevel="2">
      <c r="B793" s="1135"/>
      <c r="C793" s="1045"/>
      <c r="D793" s="1051">
        <f t="shared" si="83"/>
        <v>40</v>
      </c>
      <c r="E793" s="1051" t="str">
        <f>IF(COUNTIF(E$624:E792,F793)&gt;0,"",F793)</f>
        <v/>
      </c>
      <c r="F793" s="1051" t="str">
        <f t="shared" si="84"/>
        <v>Stéréo classique , France continentale, Base Carbone</v>
      </c>
      <c r="G793" s="1055" t="str">
        <f t="shared" si="85"/>
        <v>Stéréo classique , France continentale, Base Carbone; kgCO2e/unité, Approvisionnement</v>
      </c>
      <c r="I793" s="2018" t="s">
        <v>3193</v>
      </c>
      <c r="J793" s="1135" t="s">
        <v>1994</v>
      </c>
      <c r="K793" s="1135" t="s">
        <v>1567</v>
      </c>
      <c r="L793" s="1135" t="s">
        <v>1571</v>
      </c>
      <c r="M793" s="2062">
        <v>0.5</v>
      </c>
      <c r="N793" s="1135" t="s">
        <v>3136</v>
      </c>
      <c r="O793" s="1135">
        <v>10.199999999999999</v>
      </c>
      <c r="P793" s="2017">
        <v>10.199999999999999</v>
      </c>
      <c r="Q793" s="2017">
        <v>0</v>
      </c>
      <c r="R793" s="2017">
        <v>0</v>
      </c>
      <c r="S793" s="2017">
        <v>0</v>
      </c>
      <c r="T793" s="2017">
        <v>0</v>
      </c>
      <c r="U793" s="2042">
        <v>0</v>
      </c>
    </row>
    <row r="794" spans="2:21" hidden="1" outlineLevel="2">
      <c r="B794" s="1135"/>
      <c r="C794" s="1045"/>
      <c r="D794" s="1051">
        <f t="shared" si="83"/>
        <v>40</v>
      </c>
      <c r="E794" s="1051" t="str">
        <f>IF(COUNTIF(E$624:E793,F794)&gt;0,"",F794)</f>
        <v/>
      </c>
      <c r="F794" s="1051" t="str">
        <f t="shared" si="84"/>
        <v>Stéréo classique , France continentale, Base Carbone</v>
      </c>
      <c r="G794" s="1055" t="str">
        <f t="shared" si="85"/>
        <v>Stéréo classique , France continentale, Base Carbone; kgCO2e/unité, Mise en forme</v>
      </c>
      <c r="I794" s="2018" t="s">
        <v>3193</v>
      </c>
      <c r="J794" s="1135" t="s">
        <v>1994</v>
      </c>
      <c r="K794" s="1135" t="s">
        <v>1567</v>
      </c>
      <c r="L794" s="1135" t="s">
        <v>1571</v>
      </c>
      <c r="M794" s="2062">
        <v>0.5</v>
      </c>
      <c r="N794" s="1135" t="s">
        <v>3141</v>
      </c>
      <c r="O794" s="1135">
        <v>5.5</v>
      </c>
      <c r="P794" s="2017">
        <v>5.5</v>
      </c>
      <c r="Q794" s="2017">
        <v>0</v>
      </c>
      <c r="R794" s="2017">
        <v>0</v>
      </c>
      <c r="S794" s="2017">
        <v>0</v>
      </c>
      <c r="T794" s="2017">
        <v>0</v>
      </c>
      <c r="U794" s="2042">
        <v>0</v>
      </c>
    </row>
    <row r="795" spans="2:21" hidden="1" outlineLevel="2">
      <c r="B795" s="1135"/>
      <c r="C795" s="1045"/>
      <c r="D795" s="1051">
        <f t="shared" si="83"/>
        <v>40</v>
      </c>
      <c r="E795" s="1051" t="str">
        <f>IF(COUNTIF(E$624:E794,F795)&gt;0,"",F795)</f>
        <v/>
      </c>
      <c r="F795" s="1051" t="str">
        <f t="shared" si="84"/>
        <v>Stéréo classique , France continentale, Base Carbone</v>
      </c>
      <c r="G795" s="1055" t="str">
        <f t="shared" si="85"/>
        <v>Stéréo classique , France continentale, Base Carbone; kgCO2e/unité, Assemblage</v>
      </c>
      <c r="I795" s="2018" t="s">
        <v>3193</v>
      </c>
      <c r="J795" s="1135" t="s">
        <v>1994</v>
      </c>
      <c r="K795" s="1135" t="s">
        <v>1567</v>
      </c>
      <c r="L795" s="1135" t="s">
        <v>1571</v>
      </c>
      <c r="M795" s="2062">
        <v>0.5</v>
      </c>
      <c r="N795" s="1135" t="s">
        <v>3137</v>
      </c>
      <c r="O795" s="1135">
        <v>5.49</v>
      </c>
      <c r="P795" s="2017">
        <v>5.49</v>
      </c>
      <c r="Q795" s="2017">
        <v>0</v>
      </c>
      <c r="R795" s="2017">
        <v>0</v>
      </c>
      <c r="S795" s="2017">
        <v>0</v>
      </c>
      <c r="T795" s="2017">
        <v>0</v>
      </c>
      <c r="U795" s="2042">
        <v>0</v>
      </c>
    </row>
    <row r="796" spans="2:21" hidden="1" outlineLevel="2">
      <c r="B796" s="1135"/>
      <c r="C796" s="1045"/>
      <c r="D796" s="1051">
        <f t="shared" si="83"/>
        <v>40</v>
      </c>
      <c r="E796" s="1051" t="str">
        <f>IF(COUNTIF(E$624:E795,F796)&gt;0,"",F796)</f>
        <v/>
      </c>
      <c r="F796" s="1051" t="str">
        <f t="shared" si="84"/>
        <v>Stéréo classique , France continentale, Base Carbone</v>
      </c>
      <c r="G796" s="1055" t="str">
        <f t="shared" si="85"/>
        <v>Stéréo classique , France continentale, Base Carbone; kgCO2e/unité, Distribution</v>
      </c>
      <c r="I796" s="2018" t="s">
        <v>3193</v>
      </c>
      <c r="J796" s="1135" t="s">
        <v>1994</v>
      </c>
      <c r="K796" s="1135" t="s">
        <v>1567</v>
      </c>
      <c r="L796" s="1135" t="s">
        <v>1571</v>
      </c>
      <c r="M796" s="2062">
        <v>0.5</v>
      </c>
      <c r="N796" s="1135" t="s">
        <v>3138</v>
      </c>
      <c r="O796" s="1135">
        <v>19.399999999999999</v>
      </c>
      <c r="P796" s="2017">
        <v>19.399999999999999</v>
      </c>
      <c r="Q796" s="2017">
        <v>0</v>
      </c>
      <c r="R796" s="2017">
        <v>0</v>
      </c>
      <c r="S796" s="2017">
        <v>0</v>
      </c>
      <c r="T796" s="2017">
        <v>0</v>
      </c>
      <c r="U796" s="2042">
        <v>0</v>
      </c>
    </row>
    <row r="797" spans="2:21" hidden="1" outlineLevel="2">
      <c r="B797" s="1135"/>
      <c r="C797" s="1045"/>
      <c r="D797" s="1051">
        <f t="shared" si="83"/>
        <v>41</v>
      </c>
      <c r="E797" s="1051" t="str">
        <f>IF(COUNTIF(E$624:E796,F797)&gt;0,"",F797)</f>
        <v>Switch routeur firewall, Monde, Base Carbone</v>
      </c>
      <c r="F797" s="1051" t="str">
        <f t="shared" si="84"/>
        <v>Switch routeur firewall, Monde, Base Carbone</v>
      </c>
      <c r="G797" s="1055" t="str">
        <f t="shared" si="85"/>
        <v>Switch routeur firewall, Monde, Base Carbone; kgCO2e/kg, Matières premières</v>
      </c>
      <c r="I797" s="2018" t="s">
        <v>3721</v>
      </c>
      <c r="J797" s="1135" t="s">
        <v>1572</v>
      </c>
      <c r="K797" s="1135" t="s">
        <v>1567</v>
      </c>
      <c r="L797" s="1135" t="s">
        <v>2089</v>
      </c>
      <c r="M797" s="2062">
        <v>0.3</v>
      </c>
      <c r="N797" s="2017" t="s">
        <v>3135</v>
      </c>
      <c r="O797" s="1135">
        <v>80.7</v>
      </c>
      <c r="P797" s="2017">
        <v>80.7</v>
      </c>
      <c r="Q797" s="2017">
        <v>0</v>
      </c>
      <c r="R797" s="2017">
        <v>0</v>
      </c>
      <c r="S797" s="2017">
        <v>0</v>
      </c>
      <c r="T797" s="2017">
        <v>0</v>
      </c>
      <c r="U797" s="2042">
        <v>0</v>
      </c>
    </row>
    <row r="798" spans="2:21" hidden="1" outlineLevel="2">
      <c r="B798" s="1135"/>
      <c r="C798" s="1045"/>
      <c r="D798" s="1051">
        <f t="shared" si="83"/>
        <v>42</v>
      </c>
      <c r="E798" s="1051" t="str">
        <f>IF(COUNTIF(E$624:E797,F798)&gt;0,"",F798)</f>
        <v>Tablette classique - 9 à 11 pouces, France continentale, Base Carbone</v>
      </c>
      <c r="F798" s="1051" t="str">
        <f t="shared" si="84"/>
        <v>Tablette classique - 9 à 11 pouces, France continentale, Base Carbone</v>
      </c>
      <c r="G798" s="1055" t="str">
        <f t="shared" si="85"/>
        <v>Tablette classique - 9 à 11 pouces, France continentale, Base Carbone; kgCO2e/unité, Matières premières</v>
      </c>
      <c r="I798" s="2018" t="s">
        <v>3194</v>
      </c>
      <c r="J798" s="1135" t="s">
        <v>1994</v>
      </c>
      <c r="K798" s="1135" t="s">
        <v>1567</v>
      </c>
      <c r="L798" s="1135" t="s">
        <v>1571</v>
      </c>
      <c r="M798" s="2062">
        <v>0.5</v>
      </c>
      <c r="N798" s="1135" t="s">
        <v>3135</v>
      </c>
      <c r="O798" s="1135">
        <v>49</v>
      </c>
      <c r="P798" s="2017">
        <v>49</v>
      </c>
      <c r="Q798" s="2017">
        <v>0</v>
      </c>
      <c r="R798" s="2017">
        <v>0</v>
      </c>
      <c r="S798" s="2017">
        <v>0</v>
      </c>
      <c r="T798" s="2017">
        <v>0</v>
      </c>
      <c r="U798" s="2042">
        <v>0</v>
      </c>
    </row>
    <row r="799" spans="2:21" hidden="1" outlineLevel="2">
      <c r="B799" s="1135"/>
      <c r="C799" s="1045"/>
      <c r="D799" s="1051">
        <f t="shared" si="83"/>
        <v>42</v>
      </c>
      <c r="E799" s="1051" t="str">
        <f>IF(COUNTIF(E$624:E798,F799)&gt;0,"",F799)</f>
        <v/>
      </c>
      <c r="F799" s="1051" t="str">
        <f t="shared" si="84"/>
        <v>Tablette classique - 9 à 11 pouces, France continentale, Base Carbone</v>
      </c>
      <c r="G799" s="1055" t="str">
        <f t="shared" si="85"/>
        <v>Tablette classique - 9 à 11 pouces, France continentale, Base Carbone; kgCO2e/unité, Approvisionnement</v>
      </c>
      <c r="I799" s="2018" t="s">
        <v>3194</v>
      </c>
      <c r="J799" s="1135" t="s">
        <v>1994</v>
      </c>
      <c r="K799" s="1135" t="s">
        <v>1567</v>
      </c>
      <c r="L799" s="1135" t="s">
        <v>1571</v>
      </c>
      <c r="M799" s="2062">
        <v>0.5</v>
      </c>
      <c r="N799" s="1135" t="s">
        <v>3136</v>
      </c>
      <c r="O799" s="1135">
        <v>0.75800000000000001</v>
      </c>
      <c r="P799" s="2017">
        <v>0.75800000000000001</v>
      </c>
      <c r="Q799" s="2017">
        <v>0</v>
      </c>
      <c r="R799" s="2017">
        <v>0</v>
      </c>
      <c r="S799" s="2017">
        <v>0</v>
      </c>
      <c r="T799" s="2017">
        <v>0</v>
      </c>
      <c r="U799" s="2042">
        <v>0</v>
      </c>
    </row>
    <row r="800" spans="2:21" hidden="1" outlineLevel="2">
      <c r="B800" s="1135"/>
      <c r="C800" s="1045"/>
      <c r="D800" s="1051">
        <f t="shared" si="83"/>
        <v>42</v>
      </c>
      <c r="E800" s="1051" t="str">
        <f>IF(COUNTIF(E$624:E799,F800)&gt;0,"",F800)</f>
        <v/>
      </c>
      <c r="F800" s="1051" t="str">
        <f t="shared" si="84"/>
        <v>Tablette classique - 9 à 11 pouces, France continentale, Base Carbone</v>
      </c>
      <c r="G800" s="1055" t="str">
        <f t="shared" si="85"/>
        <v>Tablette classique - 9 à 11 pouces, France continentale, Base Carbone; kgCO2e/unité, Mise en forme</v>
      </c>
      <c r="I800" s="2018" t="s">
        <v>3194</v>
      </c>
      <c r="J800" s="1135" t="s">
        <v>1994</v>
      </c>
      <c r="K800" s="1135" t="s">
        <v>1567</v>
      </c>
      <c r="L800" s="1135" t="s">
        <v>1571</v>
      </c>
      <c r="M800" s="2062">
        <v>0.5</v>
      </c>
      <c r="N800" s="1135" t="s">
        <v>3141</v>
      </c>
      <c r="O800" s="1135">
        <v>0.122</v>
      </c>
      <c r="P800" s="2017">
        <v>0.122</v>
      </c>
      <c r="Q800" s="2017">
        <v>0</v>
      </c>
      <c r="R800" s="2017">
        <v>0</v>
      </c>
      <c r="S800" s="2017">
        <v>0</v>
      </c>
      <c r="T800" s="2017">
        <v>0</v>
      </c>
      <c r="U800" s="2042">
        <v>0</v>
      </c>
    </row>
    <row r="801" spans="2:21" hidden="1" outlineLevel="2">
      <c r="B801" s="1135"/>
      <c r="C801" s="1045"/>
      <c r="D801" s="1051">
        <f t="shared" si="83"/>
        <v>42</v>
      </c>
      <c r="E801" s="1051" t="str">
        <f>IF(COUNTIF(E$624:E800,F801)&gt;0,"",F801)</f>
        <v/>
      </c>
      <c r="F801" s="1051" t="str">
        <f t="shared" si="84"/>
        <v>Tablette classique - 9 à 11 pouces, France continentale, Base Carbone</v>
      </c>
      <c r="G801" s="1055" t="str">
        <f t="shared" si="85"/>
        <v>Tablette classique - 9 à 11 pouces, France continentale, Base Carbone; kgCO2e/unité, Assemblage</v>
      </c>
      <c r="I801" s="2018" t="s">
        <v>3194</v>
      </c>
      <c r="J801" s="1135" t="s">
        <v>1994</v>
      </c>
      <c r="K801" s="1135" t="s">
        <v>1567</v>
      </c>
      <c r="L801" s="1135" t="s">
        <v>1571</v>
      </c>
      <c r="M801" s="2062">
        <v>0.5</v>
      </c>
      <c r="N801" s="1135" t="s">
        <v>3137</v>
      </c>
      <c r="O801" s="1135">
        <v>0.50700000000000001</v>
      </c>
      <c r="P801" s="2017">
        <v>0.50700000000000001</v>
      </c>
      <c r="Q801" s="2017">
        <v>0</v>
      </c>
      <c r="R801" s="2017">
        <v>0</v>
      </c>
      <c r="S801" s="2017">
        <v>0</v>
      </c>
      <c r="T801" s="2017">
        <v>0</v>
      </c>
      <c r="U801" s="2042">
        <v>0</v>
      </c>
    </row>
    <row r="802" spans="2:21" hidden="1" outlineLevel="2">
      <c r="B802" s="1135"/>
      <c r="C802" s="1045"/>
      <c r="D802" s="1051">
        <f t="shared" si="83"/>
        <v>42</v>
      </c>
      <c r="E802" s="1051" t="str">
        <f>IF(COUNTIF(E$624:E801,F802)&gt;0,"",F802)</f>
        <v/>
      </c>
      <c r="F802" s="1051" t="str">
        <f t="shared" si="84"/>
        <v>Tablette classique - 9 à 11 pouces, France continentale, Base Carbone</v>
      </c>
      <c r="G802" s="1055" t="str">
        <f t="shared" si="85"/>
        <v>Tablette classique - 9 à 11 pouces, France continentale, Base Carbone; kgCO2e/unité, Distribution</v>
      </c>
      <c r="I802" s="2018" t="s">
        <v>3194</v>
      </c>
      <c r="J802" s="1135" t="s">
        <v>1994</v>
      </c>
      <c r="K802" s="1135" t="s">
        <v>1567</v>
      </c>
      <c r="L802" s="1135" t="s">
        <v>1571</v>
      </c>
      <c r="M802" s="2062">
        <v>0.5</v>
      </c>
      <c r="N802" s="1135" t="s">
        <v>3138</v>
      </c>
      <c r="O802" s="1135">
        <v>12.8</v>
      </c>
      <c r="P802" s="2017">
        <v>12.8</v>
      </c>
      <c r="Q802" s="2017">
        <v>0</v>
      </c>
      <c r="R802" s="2017">
        <v>0</v>
      </c>
      <c r="S802" s="2017">
        <v>0</v>
      </c>
      <c r="T802" s="2017">
        <v>0</v>
      </c>
      <c r="U802" s="2042">
        <v>0</v>
      </c>
    </row>
    <row r="803" spans="2:21" hidden="1" outlineLevel="2">
      <c r="B803" s="1135"/>
      <c r="C803" s="1045"/>
      <c r="D803" s="1051">
        <f t="shared" si="83"/>
        <v>43</v>
      </c>
      <c r="E803" s="1051" t="str">
        <f>IF(COUNTIF(E$624:E802,F803)&gt;0,"",F803)</f>
        <v>Tablette détachable, France continentale, Base Carbone</v>
      </c>
      <c r="F803" s="1051" t="str">
        <f t="shared" si="84"/>
        <v>Tablette détachable, France continentale, Base Carbone</v>
      </c>
      <c r="G803" s="1055" t="str">
        <f t="shared" si="85"/>
        <v>Tablette détachable, France continentale, Base Carbone; kgCO2e/unité, Matières premières</v>
      </c>
      <c r="I803" s="2018" t="s">
        <v>3195</v>
      </c>
      <c r="J803" s="1135" t="s">
        <v>1994</v>
      </c>
      <c r="K803" s="1135" t="s">
        <v>1567</v>
      </c>
      <c r="L803" s="1135" t="s">
        <v>1571</v>
      </c>
      <c r="M803" s="2062">
        <v>0.5</v>
      </c>
      <c r="N803" s="1135" t="s">
        <v>3135</v>
      </c>
      <c r="O803" s="1135">
        <v>61.9</v>
      </c>
      <c r="P803" s="2017">
        <v>61.9</v>
      </c>
      <c r="Q803" s="2017">
        <v>0</v>
      </c>
      <c r="R803" s="2017">
        <v>0</v>
      </c>
      <c r="S803" s="2017">
        <v>0</v>
      </c>
      <c r="T803" s="2017">
        <v>0</v>
      </c>
      <c r="U803" s="2042">
        <v>0</v>
      </c>
    </row>
    <row r="804" spans="2:21" hidden="1" outlineLevel="2">
      <c r="B804" s="1135"/>
      <c r="C804" s="1045"/>
      <c r="D804" s="1051">
        <f t="shared" si="83"/>
        <v>43</v>
      </c>
      <c r="E804" s="1051" t="str">
        <f>IF(COUNTIF(E$624:E803,F804)&gt;0,"",F804)</f>
        <v/>
      </c>
      <c r="F804" s="1051" t="str">
        <f t="shared" si="84"/>
        <v>Tablette détachable, France continentale, Base Carbone</v>
      </c>
      <c r="G804" s="1055" t="str">
        <f t="shared" si="85"/>
        <v>Tablette détachable, France continentale, Base Carbone; kgCO2e/unité, Approvisionnement</v>
      </c>
      <c r="I804" s="2018" t="s">
        <v>3195</v>
      </c>
      <c r="J804" s="1135" t="s">
        <v>1994</v>
      </c>
      <c r="K804" s="1135" t="s">
        <v>1567</v>
      </c>
      <c r="L804" s="1135" t="s">
        <v>1571</v>
      </c>
      <c r="M804" s="2062">
        <v>0.5</v>
      </c>
      <c r="N804" s="1135" t="s">
        <v>3136</v>
      </c>
      <c r="O804" s="1135">
        <v>1.07</v>
      </c>
      <c r="P804" s="2017">
        <v>1.07</v>
      </c>
      <c r="Q804" s="2017">
        <v>0</v>
      </c>
      <c r="R804" s="2017">
        <v>0</v>
      </c>
      <c r="S804" s="2017">
        <v>0</v>
      </c>
      <c r="T804" s="2017">
        <v>0</v>
      </c>
      <c r="U804" s="2042">
        <v>0</v>
      </c>
    </row>
    <row r="805" spans="2:21" hidden="1" outlineLevel="2">
      <c r="B805" s="1135"/>
      <c r="C805" s="1045"/>
      <c r="D805" s="1051">
        <f t="shared" si="83"/>
        <v>43</v>
      </c>
      <c r="E805" s="1051" t="str">
        <f>IF(COUNTIF(E$624:E804,F805)&gt;0,"",F805)</f>
        <v/>
      </c>
      <c r="F805" s="1051" t="str">
        <f t="shared" si="84"/>
        <v>Tablette détachable, France continentale, Base Carbone</v>
      </c>
      <c r="G805" s="1055" t="str">
        <f t="shared" si="85"/>
        <v>Tablette détachable, France continentale, Base Carbone; kgCO2e/unité, Mise en forme</v>
      </c>
      <c r="I805" s="2018" t="s">
        <v>3195</v>
      </c>
      <c r="J805" s="1135" t="s">
        <v>1994</v>
      </c>
      <c r="K805" s="1135" t="s">
        <v>1567</v>
      </c>
      <c r="L805" s="1135" t="s">
        <v>1571</v>
      </c>
      <c r="M805" s="2062">
        <v>0.5</v>
      </c>
      <c r="N805" s="1135" t="s">
        <v>3141</v>
      </c>
      <c r="O805" s="1135">
        <v>0.42599999999999999</v>
      </c>
      <c r="P805" s="2017">
        <v>0.42599999999999999</v>
      </c>
      <c r="Q805" s="2017">
        <v>0</v>
      </c>
      <c r="R805" s="2017">
        <v>0</v>
      </c>
      <c r="S805" s="2017">
        <v>0</v>
      </c>
      <c r="T805" s="2017">
        <v>0</v>
      </c>
      <c r="U805" s="2042">
        <v>0</v>
      </c>
    </row>
    <row r="806" spans="2:21" hidden="1" outlineLevel="2">
      <c r="B806" s="1135"/>
      <c r="C806" s="1045"/>
      <c r="D806" s="1051">
        <f t="shared" si="83"/>
        <v>43</v>
      </c>
      <c r="E806" s="1051" t="str">
        <f>IF(COUNTIF(E$624:E805,F806)&gt;0,"",F806)</f>
        <v/>
      </c>
      <c r="F806" s="1051" t="str">
        <f t="shared" si="84"/>
        <v>Tablette détachable, France continentale, Base Carbone</v>
      </c>
      <c r="G806" s="1055" t="str">
        <f t="shared" si="85"/>
        <v>Tablette détachable, France continentale, Base Carbone; kgCO2e/unité, Assemblage</v>
      </c>
      <c r="I806" s="2018" t="s">
        <v>3195</v>
      </c>
      <c r="J806" s="1135" t="s">
        <v>1994</v>
      </c>
      <c r="K806" s="1135" t="s">
        <v>1567</v>
      </c>
      <c r="L806" s="1135" t="s">
        <v>1571</v>
      </c>
      <c r="M806" s="2062">
        <v>0.5</v>
      </c>
      <c r="N806" s="1135" t="s">
        <v>3137</v>
      </c>
      <c r="O806" s="1135">
        <v>0.91600000000000004</v>
      </c>
      <c r="P806" s="2017">
        <v>0.91600000000000004</v>
      </c>
      <c r="Q806" s="2017">
        <v>0</v>
      </c>
      <c r="R806" s="2017">
        <v>0</v>
      </c>
      <c r="S806" s="2017">
        <v>0</v>
      </c>
      <c r="T806" s="2017">
        <v>0</v>
      </c>
      <c r="U806" s="2042">
        <v>0</v>
      </c>
    </row>
    <row r="807" spans="2:21" hidden="1" outlineLevel="2">
      <c r="B807" s="1135"/>
      <c r="C807" s="1045"/>
      <c r="D807" s="1051">
        <f t="shared" si="83"/>
        <v>43</v>
      </c>
      <c r="E807" s="1051" t="str">
        <f>IF(COUNTIF(E$624:E806,F807)&gt;0,"",F807)</f>
        <v/>
      </c>
      <c r="F807" s="1051" t="str">
        <f t="shared" si="84"/>
        <v>Tablette détachable, France continentale, Base Carbone</v>
      </c>
      <c r="G807" s="1055" t="str">
        <f t="shared" si="85"/>
        <v>Tablette détachable, France continentale, Base Carbone; kgCO2e/unité, Distribution</v>
      </c>
      <c r="I807" s="2018" t="s">
        <v>3195</v>
      </c>
      <c r="J807" s="1135" t="s">
        <v>1994</v>
      </c>
      <c r="K807" s="1135" t="s">
        <v>1567</v>
      </c>
      <c r="L807" s="1135" t="s">
        <v>1571</v>
      </c>
      <c r="M807" s="2062">
        <v>0.5</v>
      </c>
      <c r="N807" s="1135" t="s">
        <v>3138</v>
      </c>
      <c r="O807" s="1135">
        <v>17.899999999999999</v>
      </c>
      <c r="P807" s="2017">
        <v>17.899999999999999</v>
      </c>
      <c r="Q807" s="2017">
        <v>0</v>
      </c>
      <c r="R807" s="2017">
        <v>0</v>
      </c>
      <c r="S807" s="2017">
        <v>0</v>
      </c>
      <c r="T807" s="2017">
        <v>0</v>
      </c>
      <c r="U807" s="2042">
        <v>0</v>
      </c>
    </row>
    <row r="808" spans="2:21" hidden="1" outlineLevel="2">
      <c r="B808" s="1135"/>
      <c r="C808" s="1045"/>
      <c r="D808" s="1051">
        <f t="shared" si="83"/>
        <v>44</v>
      </c>
      <c r="E808" s="1051" t="str">
        <f>IF(COUNTIF(E$624:E807,F808)&gt;0,"",F808)</f>
        <v>Tablette mini, France continentale, Base Carbone</v>
      </c>
      <c r="F808" s="1051" t="str">
        <f t="shared" si="84"/>
        <v>Tablette mini, France continentale, Base Carbone</v>
      </c>
      <c r="G808" s="1055" t="str">
        <f t="shared" si="85"/>
        <v>Tablette mini, France continentale, Base Carbone; kgCO2e/unité, Matières premières</v>
      </c>
      <c r="I808" s="2018" t="s">
        <v>3196</v>
      </c>
      <c r="J808" s="1135" t="s">
        <v>1994</v>
      </c>
      <c r="K808" s="1135" t="s">
        <v>1567</v>
      </c>
      <c r="L808" s="1135" t="s">
        <v>1571</v>
      </c>
      <c r="M808" s="2062">
        <v>0.5</v>
      </c>
      <c r="N808" s="1135" t="s">
        <v>3135</v>
      </c>
      <c r="O808" s="1135">
        <v>30</v>
      </c>
      <c r="P808" s="2017">
        <v>30</v>
      </c>
      <c r="Q808" s="2017">
        <v>0</v>
      </c>
      <c r="R808" s="2017">
        <v>0</v>
      </c>
      <c r="S808" s="2017">
        <v>0</v>
      </c>
      <c r="T808" s="2017">
        <v>0</v>
      </c>
      <c r="U808" s="2042">
        <v>0</v>
      </c>
    </row>
    <row r="809" spans="2:21" hidden="1" outlineLevel="2">
      <c r="B809" s="1135"/>
      <c r="C809" s="1045"/>
      <c r="D809" s="1051">
        <f t="shared" si="83"/>
        <v>44</v>
      </c>
      <c r="E809" s="1051" t="str">
        <f>IF(COUNTIF(E$624:E808,F809)&gt;0,"",F809)</f>
        <v/>
      </c>
      <c r="F809" s="1051" t="str">
        <f t="shared" si="84"/>
        <v>Tablette mini, France continentale, Base Carbone</v>
      </c>
      <c r="G809" s="1055" t="str">
        <f t="shared" si="85"/>
        <v>Tablette mini, France continentale, Base Carbone; kgCO2e/unité, Approvisionnement</v>
      </c>
      <c r="I809" s="2018" t="s">
        <v>3196</v>
      </c>
      <c r="J809" s="1135" t="s">
        <v>1994</v>
      </c>
      <c r="K809" s="1135" t="s">
        <v>1567</v>
      </c>
      <c r="L809" s="1135" t="s">
        <v>1571</v>
      </c>
      <c r="M809" s="2062">
        <v>0.5</v>
      </c>
      <c r="N809" s="1135" t="s">
        <v>3136</v>
      </c>
      <c r="O809" s="1135">
        <v>0.59199999999999997</v>
      </c>
      <c r="P809" s="2017">
        <v>0.59199999999999997</v>
      </c>
      <c r="Q809" s="2017">
        <v>0</v>
      </c>
      <c r="R809" s="2017">
        <v>0</v>
      </c>
      <c r="S809" s="2017">
        <v>0</v>
      </c>
      <c r="T809" s="2017">
        <v>0</v>
      </c>
      <c r="U809" s="2042">
        <v>0</v>
      </c>
    </row>
    <row r="810" spans="2:21" hidden="1" outlineLevel="2">
      <c r="B810" s="1135"/>
      <c r="C810" s="1045"/>
      <c r="D810" s="1051">
        <f t="shared" si="83"/>
        <v>44</v>
      </c>
      <c r="E810" s="1051" t="str">
        <f>IF(COUNTIF(E$624:E809,F810)&gt;0,"",F810)</f>
        <v/>
      </c>
      <c r="F810" s="1051" t="str">
        <f t="shared" si="84"/>
        <v>Tablette mini, France continentale, Base Carbone</v>
      </c>
      <c r="G810" s="1055" t="str">
        <f t="shared" si="85"/>
        <v>Tablette mini, France continentale, Base Carbone; kgCO2e/unité, Mise en forme</v>
      </c>
      <c r="I810" s="2018" t="s">
        <v>3196</v>
      </c>
      <c r="J810" s="1135" t="s">
        <v>1994</v>
      </c>
      <c r="K810" s="1135" t="s">
        <v>1567</v>
      </c>
      <c r="L810" s="1135" t="s">
        <v>1571</v>
      </c>
      <c r="M810" s="2062">
        <v>0.5</v>
      </c>
      <c r="N810" s="1135" t="s">
        <v>3141</v>
      </c>
      <c r="O810" s="1135">
        <v>9.2799999999999994E-2</v>
      </c>
      <c r="P810" s="2017">
        <v>9.2799999999999994E-2</v>
      </c>
      <c r="Q810" s="2017">
        <v>0</v>
      </c>
      <c r="R810" s="2017">
        <v>0</v>
      </c>
      <c r="S810" s="2017">
        <v>0</v>
      </c>
      <c r="T810" s="2017">
        <v>0</v>
      </c>
      <c r="U810" s="2042">
        <v>0</v>
      </c>
    </row>
    <row r="811" spans="2:21" hidden="1" outlineLevel="2">
      <c r="B811" s="1135"/>
      <c r="C811" s="1045"/>
      <c r="D811" s="1051">
        <f t="shared" si="83"/>
        <v>44</v>
      </c>
      <c r="E811" s="1051" t="str">
        <f>IF(COUNTIF(E$624:E810,F811)&gt;0,"",F811)</f>
        <v/>
      </c>
      <c r="F811" s="1051" t="str">
        <f t="shared" si="84"/>
        <v>Tablette mini, France continentale, Base Carbone</v>
      </c>
      <c r="G811" s="1055" t="str">
        <f t="shared" si="85"/>
        <v>Tablette mini, France continentale, Base Carbone; kgCO2e/unité, Assemblage</v>
      </c>
      <c r="I811" s="2018" t="s">
        <v>3196</v>
      </c>
      <c r="J811" s="1135" t="s">
        <v>1994</v>
      </c>
      <c r="K811" s="1135" t="s">
        <v>1567</v>
      </c>
      <c r="L811" s="1135" t="s">
        <v>1571</v>
      </c>
      <c r="M811" s="2062">
        <v>0.5</v>
      </c>
      <c r="N811" s="1135" t="s">
        <v>3137</v>
      </c>
      <c r="O811" s="1135">
        <v>0.30099999999999999</v>
      </c>
      <c r="P811" s="2017">
        <v>0.30099999999999999</v>
      </c>
      <c r="Q811" s="2017">
        <v>0</v>
      </c>
      <c r="R811" s="2017">
        <v>0</v>
      </c>
      <c r="S811" s="2017">
        <v>0</v>
      </c>
      <c r="T811" s="2017">
        <v>0</v>
      </c>
      <c r="U811" s="2042">
        <v>0</v>
      </c>
    </row>
    <row r="812" spans="2:21" hidden="1" outlineLevel="2">
      <c r="B812" s="1135"/>
      <c r="C812" s="1045"/>
      <c r="D812" s="1051">
        <f t="shared" si="83"/>
        <v>44</v>
      </c>
      <c r="E812" s="1051" t="str">
        <f>IF(COUNTIF(E$624:E811,F812)&gt;0,"",F812)</f>
        <v/>
      </c>
      <c r="F812" s="1051" t="str">
        <f t="shared" si="84"/>
        <v>Tablette mini, France continentale, Base Carbone</v>
      </c>
      <c r="G812" s="1055" t="str">
        <f t="shared" si="85"/>
        <v>Tablette mini, France continentale, Base Carbone; kgCO2e/unité, Distribution</v>
      </c>
      <c r="I812" s="2018" t="s">
        <v>3196</v>
      </c>
      <c r="J812" s="1135" t="s">
        <v>1994</v>
      </c>
      <c r="K812" s="1135" t="s">
        <v>1567</v>
      </c>
      <c r="L812" s="1135" t="s">
        <v>1571</v>
      </c>
      <c r="M812" s="2062">
        <v>0.5</v>
      </c>
      <c r="N812" s="1135" t="s">
        <v>3138</v>
      </c>
      <c r="O812" s="1135">
        <v>9.99</v>
      </c>
      <c r="P812" s="2017">
        <v>9.99</v>
      </c>
      <c r="Q812" s="2017">
        <v>0</v>
      </c>
      <c r="R812" s="2017">
        <v>0</v>
      </c>
      <c r="S812" s="2017">
        <v>0</v>
      </c>
      <c r="T812" s="2017">
        <v>0</v>
      </c>
      <c r="U812" s="2042">
        <v>0</v>
      </c>
    </row>
    <row r="813" spans="2:21" hidden="1" outlineLevel="2">
      <c r="B813" s="1135"/>
      <c r="C813" s="1045"/>
      <c r="D813" s="1051">
        <f t="shared" si="83"/>
        <v>45</v>
      </c>
      <c r="E813" s="1051" t="str">
        <f>IF(COUNTIF(E$624:E812,F813)&gt;0,"",F813)</f>
        <v>Télécommande - télévision, universelle, sans piles, 80g, Asie, Base Carbone</v>
      </c>
      <c r="F813" s="1051" t="str">
        <f t="shared" si="84"/>
        <v>Télécommande - télévision, universelle, sans piles, 80g, Asie, Base Carbone</v>
      </c>
      <c r="G813" s="1055" t="str">
        <f t="shared" si="85"/>
        <v>Télécommande - télévision, universelle, sans piles, 80g, Asie, Base Carbone; kgCO2e/unité, Matières premières</v>
      </c>
      <c r="I813" s="2018" t="s">
        <v>3252</v>
      </c>
      <c r="J813" s="1135" t="s">
        <v>1994</v>
      </c>
      <c r="K813" s="1135" t="s">
        <v>1567</v>
      </c>
      <c r="L813" s="1135" t="s">
        <v>2112</v>
      </c>
      <c r="M813" s="2062">
        <v>0.5</v>
      </c>
      <c r="N813" s="2017" t="s">
        <v>3135</v>
      </c>
      <c r="O813" s="1135">
        <v>2.8</v>
      </c>
      <c r="P813" s="1119">
        <v>2.58</v>
      </c>
      <c r="Q813" s="1119">
        <v>0.188</v>
      </c>
      <c r="R813" s="1119">
        <v>0</v>
      </c>
      <c r="S813" s="1119">
        <v>2.7799999999999998E-2</v>
      </c>
      <c r="T813" s="1119">
        <v>5.0499999999999998E-3</v>
      </c>
      <c r="U813" s="2065">
        <v>2.72</v>
      </c>
    </row>
    <row r="814" spans="2:21" hidden="1" outlineLevel="2">
      <c r="B814" s="1135"/>
      <c r="C814" s="1045"/>
      <c r="D814" s="1051">
        <f t="shared" si="83"/>
        <v>46</v>
      </c>
      <c r="E814" s="1051" t="str">
        <f>IF(COUNTIF(E$624:E813,F814)&gt;0,"",F814)</f>
        <v>Télévision 30-40 pouces, France continentale, Base Carbone</v>
      </c>
      <c r="F814" s="1051" t="str">
        <f t="shared" si="84"/>
        <v>Télévision 30-40 pouces, France continentale, Base Carbone</v>
      </c>
      <c r="G814" s="1055" t="str">
        <f t="shared" si="85"/>
        <v>Télévision 30-40 pouces, France continentale, Base Carbone; kgCO2e/unité, Matières premières</v>
      </c>
      <c r="I814" s="2018" t="s">
        <v>3197</v>
      </c>
      <c r="J814" s="1135" t="s">
        <v>1994</v>
      </c>
      <c r="K814" s="1135" t="s">
        <v>1567</v>
      </c>
      <c r="L814" s="1135" t="s">
        <v>1571</v>
      </c>
      <c r="M814" s="2062">
        <v>0.5</v>
      </c>
      <c r="N814" s="1135" t="s">
        <v>3135</v>
      </c>
      <c r="O814" s="1135">
        <v>299</v>
      </c>
      <c r="P814" s="2017">
        <v>299</v>
      </c>
      <c r="Q814" s="2017">
        <v>0</v>
      </c>
      <c r="R814" s="2017">
        <v>0</v>
      </c>
      <c r="S814" s="2017">
        <v>0</v>
      </c>
      <c r="T814" s="2017">
        <v>0</v>
      </c>
      <c r="U814" s="2042">
        <v>0</v>
      </c>
    </row>
    <row r="815" spans="2:21" hidden="1" outlineLevel="2">
      <c r="B815" s="1135"/>
      <c r="C815" s="1045"/>
      <c r="D815" s="1051">
        <f t="shared" si="83"/>
        <v>46</v>
      </c>
      <c r="E815" s="1051" t="str">
        <f>IF(COUNTIF(E$624:E814,F815)&gt;0,"",F815)</f>
        <v/>
      </c>
      <c r="F815" s="1051" t="str">
        <f t="shared" si="84"/>
        <v>Télévision 30-40 pouces, France continentale, Base Carbone</v>
      </c>
      <c r="G815" s="1055" t="str">
        <f t="shared" si="85"/>
        <v>Télévision 30-40 pouces, France continentale, Base Carbone; kgCO2e/unité, Approvisionnement</v>
      </c>
      <c r="I815" s="2018" t="s">
        <v>3197</v>
      </c>
      <c r="J815" s="1135" t="s">
        <v>1994</v>
      </c>
      <c r="K815" s="1135" t="s">
        <v>1567</v>
      </c>
      <c r="L815" s="1135" t="s">
        <v>1571</v>
      </c>
      <c r="M815" s="2062">
        <v>0.5</v>
      </c>
      <c r="N815" s="1135" t="s">
        <v>3136</v>
      </c>
      <c r="O815" s="1135">
        <v>9.85</v>
      </c>
      <c r="P815" s="2017">
        <v>9.85</v>
      </c>
      <c r="Q815" s="2017">
        <v>0</v>
      </c>
      <c r="R815" s="2017">
        <v>0</v>
      </c>
      <c r="S815" s="2017">
        <v>0</v>
      </c>
      <c r="T815" s="2017">
        <v>0</v>
      </c>
      <c r="U815" s="2042">
        <v>0</v>
      </c>
    </row>
    <row r="816" spans="2:21" hidden="1" outlineLevel="2">
      <c r="B816" s="1135"/>
      <c r="C816" s="1045"/>
      <c r="D816" s="1051">
        <f t="shared" si="83"/>
        <v>46</v>
      </c>
      <c r="E816" s="1051" t="str">
        <f>IF(COUNTIF(E$624:E815,F816)&gt;0,"",F816)</f>
        <v/>
      </c>
      <c r="F816" s="1051" t="str">
        <f t="shared" si="84"/>
        <v>Télévision 30-40 pouces, France continentale, Base Carbone</v>
      </c>
      <c r="G816" s="1055" t="str">
        <f t="shared" si="85"/>
        <v>Télévision 30-40 pouces, France continentale, Base Carbone; kgCO2e/unité, Mise en forme</v>
      </c>
      <c r="I816" s="2018" t="s">
        <v>3197</v>
      </c>
      <c r="J816" s="1135" t="s">
        <v>1994</v>
      </c>
      <c r="K816" s="1135" t="s">
        <v>1567</v>
      </c>
      <c r="L816" s="1135" t="s">
        <v>1571</v>
      </c>
      <c r="M816" s="2062">
        <v>0.5</v>
      </c>
      <c r="N816" s="1135" t="s">
        <v>3141</v>
      </c>
      <c r="O816" s="1135">
        <v>6.04</v>
      </c>
      <c r="P816" s="2017">
        <v>6.04</v>
      </c>
      <c r="Q816" s="2017">
        <v>0</v>
      </c>
      <c r="R816" s="2017">
        <v>0</v>
      </c>
      <c r="S816" s="2017">
        <v>0</v>
      </c>
      <c r="T816" s="2017">
        <v>0</v>
      </c>
      <c r="U816" s="2042">
        <v>0</v>
      </c>
    </row>
    <row r="817" spans="2:21" hidden="1" outlineLevel="2">
      <c r="B817" s="1135"/>
      <c r="C817" s="1045"/>
      <c r="D817" s="1051">
        <f t="shared" si="83"/>
        <v>46</v>
      </c>
      <c r="E817" s="1051" t="str">
        <f>IF(COUNTIF(E$624:E816,F817)&gt;0,"",F817)</f>
        <v/>
      </c>
      <c r="F817" s="1051" t="str">
        <f t="shared" si="84"/>
        <v>Télévision 30-40 pouces, France continentale, Base Carbone</v>
      </c>
      <c r="G817" s="1055" t="str">
        <f t="shared" si="85"/>
        <v>Télévision 30-40 pouces, France continentale, Base Carbone; kgCO2e/unité, Assemblage</v>
      </c>
      <c r="I817" s="2018" t="s">
        <v>3197</v>
      </c>
      <c r="J817" s="1135" t="s">
        <v>1994</v>
      </c>
      <c r="K817" s="1135" t="s">
        <v>1567</v>
      </c>
      <c r="L817" s="1135" t="s">
        <v>1571</v>
      </c>
      <c r="M817" s="2062">
        <v>0.5</v>
      </c>
      <c r="N817" s="1135" t="s">
        <v>3137</v>
      </c>
      <c r="O817" s="1135">
        <v>4.95</v>
      </c>
      <c r="P817" s="2017">
        <v>4.95</v>
      </c>
      <c r="Q817" s="2017">
        <v>0</v>
      </c>
      <c r="R817" s="2017">
        <v>0</v>
      </c>
      <c r="S817" s="2017">
        <v>0</v>
      </c>
      <c r="T817" s="2017">
        <v>0</v>
      </c>
      <c r="U817" s="2042">
        <v>0</v>
      </c>
    </row>
    <row r="818" spans="2:21" hidden="1" outlineLevel="2">
      <c r="B818" s="1135"/>
      <c r="C818" s="1045"/>
      <c r="D818" s="1051">
        <f t="shared" ref="D818:D859" si="86">D817+IF(LEN(E818)&gt;0,1,0)</f>
        <v>46</v>
      </c>
      <c r="E818" s="1051" t="str">
        <f>IF(COUNTIF(E$624:E817,F818)&gt;0,"",F818)</f>
        <v/>
      </c>
      <c r="F818" s="1051" t="str">
        <f t="shared" ref="F818:F859" si="87">IF(I818&lt;&gt;"",I818&amp;IF(L818&lt;&gt;"",", "&amp;L818,"")&amp;IF(K818&lt;&gt;"",", "&amp;K818,""),"")</f>
        <v>Télévision 30-40 pouces, France continentale, Base Carbone</v>
      </c>
      <c r="G818" s="1055" t="str">
        <f t="shared" ref="G818:G859" si="88">IF(F818&lt;&gt;"",F818&amp;IF(J818&lt;&gt;"","; "&amp;J818&amp;IF(N818&lt;&gt;"",", "&amp;N818,),""),"")</f>
        <v>Télévision 30-40 pouces, France continentale, Base Carbone; kgCO2e/unité, Distribution</v>
      </c>
      <c r="I818" s="2018" t="s">
        <v>3197</v>
      </c>
      <c r="J818" s="1135" t="s">
        <v>1994</v>
      </c>
      <c r="K818" s="1135" t="s">
        <v>1567</v>
      </c>
      <c r="L818" s="1135" t="s">
        <v>1571</v>
      </c>
      <c r="M818" s="2062">
        <v>0.5</v>
      </c>
      <c r="N818" s="1135" t="s">
        <v>3138</v>
      </c>
      <c r="O818" s="1135">
        <v>20.2</v>
      </c>
      <c r="P818" s="2017">
        <v>20.2</v>
      </c>
      <c r="Q818" s="2017">
        <v>0</v>
      </c>
      <c r="R818" s="2017">
        <v>0</v>
      </c>
      <c r="S818" s="2017">
        <v>0</v>
      </c>
      <c r="T818" s="2017">
        <v>0</v>
      </c>
      <c r="U818" s="2042">
        <v>0</v>
      </c>
    </row>
    <row r="819" spans="2:21" hidden="1" outlineLevel="2">
      <c r="B819" s="1135"/>
      <c r="C819" s="1045"/>
      <c r="D819" s="1051">
        <f t="shared" si="86"/>
        <v>47</v>
      </c>
      <c r="E819" s="1051" t="str">
        <f>IF(COUNTIF(E$624:E818,F819)&gt;0,"",F819)</f>
        <v>Télévision 40-49 pouces , France continentale, Base Carbone</v>
      </c>
      <c r="F819" s="1051" t="str">
        <f t="shared" si="87"/>
        <v>Télévision 40-49 pouces , France continentale, Base Carbone</v>
      </c>
      <c r="G819" s="1055" t="str">
        <f t="shared" si="88"/>
        <v>Télévision 40-49 pouces , France continentale, Base Carbone; kgCO2e/unité, Matières premières</v>
      </c>
      <c r="I819" s="2018" t="s">
        <v>3198</v>
      </c>
      <c r="J819" s="1135" t="s">
        <v>1994</v>
      </c>
      <c r="K819" s="1135" t="s">
        <v>1567</v>
      </c>
      <c r="L819" s="1135" t="s">
        <v>1571</v>
      </c>
      <c r="M819" s="2062">
        <v>0.5</v>
      </c>
      <c r="N819" s="1135" t="s">
        <v>3135</v>
      </c>
      <c r="O819" s="1135">
        <v>334</v>
      </c>
      <c r="P819" s="2017">
        <v>334</v>
      </c>
      <c r="Q819" s="2017">
        <v>0</v>
      </c>
      <c r="R819" s="2017">
        <v>0</v>
      </c>
      <c r="S819" s="2017">
        <v>0</v>
      </c>
      <c r="T819" s="2017">
        <v>0</v>
      </c>
      <c r="U819" s="2042">
        <v>0</v>
      </c>
    </row>
    <row r="820" spans="2:21" hidden="1" outlineLevel="2">
      <c r="B820" s="1135"/>
      <c r="C820" s="1045"/>
      <c r="D820" s="1051">
        <f t="shared" si="86"/>
        <v>47</v>
      </c>
      <c r="E820" s="1051" t="str">
        <f>IF(COUNTIF(E$624:E819,F820)&gt;0,"",F820)</f>
        <v/>
      </c>
      <c r="F820" s="1051" t="str">
        <f t="shared" si="87"/>
        <v>Télévision 40-49 pouces , France continentale, Base Carbone</v>
      </c>
      <c r="G820" s="1055" t="str">
        <f t="shared" si="88"/>
        <v>Télévision 40-49 pouces , France continentale, Base Carbone; kgCO2e/unité, Approvisionnement</v>
      </c>
      <c r="I820" s="2018" t="s">
        <v>3198</v>
      </c>
      <c r="J820" s="1135" t="s">
        <v>1994</v>
      </c>
      <c r="K820" s="1135" t="s">
        <v>1567</v>
      </c>
      <c r="L820" s="1135" t="s">
        <v>1571</v>
      </c>
      <c r="M820" s="2062">
        <v>0.5</v>
      </c>
      <c r="N820" s="1135" t="s">
        <v>3136</v>
      </c>
      <c r="O820" s="1135">
        <v>9.2100000000000009</v>
      </c>
      <c r="P820" s="2017">
        <v>9.2100000000000009</v>
      </c>
      <c r="Q820" s="2017">
        <v>0</v>
      </c>
      <c r="R820" s="2017">
        <v>0</v>
      </c>
      <c r="S820" s="2017">
        <v>0</v>
      </c>
      <c r="T820" s="2017">
        <v>0</v>
      </c>
      <c r="U820" s="2042">
        <v>0</v>
      </c>
    </row>
    <row r="821" spans="2:21" hidden="1" outlineLevel="2">
      <c r="B821" s="1135"/>
      <c r="C821" s="1045"/>
      <c r="D821" s="1051">
        <f t="shared" si="86"/>
        <v>47</v>
      </c>
      <c r="E821" s="1051" t="str">
        <f>IF(COUNTIF(E$624:E820,F821)&gt;0,"",F821)</f>
        <v/>
      </c>
      <c r="F821" s="1051" t="str">
        <f t="shared" si="87"/>
        <v>Télévision 40-49 pouces , France continentale, Base Carbone</v>
      </c>
      <c r="G821" s="1055" t="str">
        <f t="shared" si="88"/>
        <v>Télévision 40-49 pouces , France continentale, Base Carbone; kgCO2e/unité, Mise en forme</v>
      </c>
      <c r="I821" s="2018" t="s">
        <v>3198</v>
      </c>
      <c r="J821" s="1135" t="s">
        <v>1994</v>
      </c>
      <c r="K821" s="1135" t="s">
        <v>1567</v>
      </c>
      <c r="L821" s="1135" t="s">
        <v>1571</v>
      </c>
      <c r="M821" s="2062">
        <v>0.5</v>
      </c>
      <c r="N821" s="1135" t="s">
        <v>3141</v>
      </c>
      <c r="O821" s="1135">
        <v>2.41</v>
      </c>
      <c r="P821" s="2017">
        <v>2.41</v>
      </c>
      <c r="Q821" s="2017">
        <v>0</v>
      </c>
      <c r="R821" s="2017">
        <v>0</v>
      </c>
      <c r="S821" s="2017">
        <v>0</v>
      </c>
      <c r="T821" s="2017">
        <v>0</v>
      </c>
      <c r="U821" s="2042">
        <v>0</v>
      </c>
    </row>
    <row r="822" spans="2:21" hidden="1" outlineLevel="2">
      <c r="B822" s="1135"/>
      <c r="C822" s="1045"/>
      <c r="D822" s="1051">
        <f t="shared" si="86"/>
        <v>47</v>
      </c>
      <c r="E822" s="1051" t="str">
        <f>IF(COUNTIF(E$624:E821,F822)&gt;0,"",F822)</f>
        <v/>
      </c>
      <c r="F822" s="1051" t="str">
        <f t="shared" si="87"/>
        <v>Télévision 40-49 pouces , France continentale, Base Carbone</v>
      </c>
      <c r="G822" s="1055" t="str">
        <f t="shared" si="88"/>
        <v>Télévision 40-49 pouces , France continentale, Base Carbone; kgCO2e/unité, Assemblage</v>
      </c>
      <c r="I822" s="2018" t="s">
        <v>3198</v>
      </c>
      <c r="J822" s="1135" t="s">
        <v>1994</v>
      </c>
      <c r="K822" s="1135" t="s">
        <v>1567</v>
      </c>
      <c r="L822" s="1135" t="s">
        <v>1571</v>
      </c>
      <c r="M822" s="2062">
        <v>0.5</v>
      </c>
      <c r="N822" s="1135" t="s">
        <v>3137</v>
      </c>
      <c r="O822" s="1135">
        <v>4.7699999999999996</v>
      </c>
      <c r="P822" s="2017">
        <v>4.7699999999999996</v>
      </c>
      <c r="Q822" s="2017">
        <v>0</v>
      </c>
      <c r="R822" s="2017">
        <v>0</v>
      </c>
      <c r="S822" s="2017">
        <v>0</v>
      </c>
      <c r="T822" s="2017">
        <v>0</v>
      </c>
      <c r="U822" s="2042">
        <v>0</v>
      </c>
    </row>
    <row r="823" spans="2:21" hidden="1" outlineLevel="2">
      <c r="B823" s="1135"/>
      <c r="C823" s="1045"/>
      <c r="D823" s="1051">
        <f t="shared" si="86"/>
        <v>47</v>
      </c>
      <c r="E823" s="1051" t="str">
        <f>IF(COUNTIF(E$624:E822,F823)&gt;0,"",F823)</f>
        <v/>
      </c>
      <c r="F823" s="1051" t="str">
        <f t="shared" si="87"/>
        <v>Télévision 40-49 pouces , France continentale, Base Carbone</v>
      </c>
      <c r="G823" s="1055" t="str">
        <f t="shared" si="88"/>
        <v>Télévision 40-49 pouces , France continentale, Base Carbone; kgCO2e/unité, Distribution</v>
      </c>
      <c r="I823" s="2018" t="s">
        <v>3198</v>
      </c>
      <c r="J823" s="1135" t="s">
        <v>1994</v>
      </c>
      <c r="K823" s="1135" t="s">
        <v>1567</v>
      </c>
      <c r="L823" s="1135" t="s">
        <v>1571</v>
      </c>
      <c r="M823" s="2062">
        <v>0.5</v>
      </c>
      <c r="N823" s="1135" t="s">
        <v>3138</v>
      </c>
      <c r="O823" s="1135">
        <v>21.3</v>
      </c>
      <c r="P823" s="2017">
        <v>21.3</v>
      </c>
      <c r="Q823" s="2017">
        <v>0</v>
      </c>
      <c r="R823" s="2017">
        <v>0</v>
      </c>
      <c r="S823" s="2017">
        <v>0</v>
      </c>
      <c r="T823" s="2017">
        <v>0</v>
      </c>
      <c r="U823" s="2042">
        <v>0</v>
      </c>
    </row>
    <row r="824" spans="2:21" hidden="1" outlineLevel="2">
      <c r="B824" s="1135"/>
      <c r="C824" s="1045"/>
      <c r="D824" s="1051">
        <f t="shared" si="86"/>
        <v>48</v>
      </c>
      <c r="E824" s="1051" t="str">
        <f>IF(COUNTIF(E$624:E823,F824)&gt;0,"",F824)</f>
        <v>Télévision 49 pouces , France continentale, Base Carbone</v>
      </c>
      <c r="F824" s="1051" t="str">
        <f t="shared" si="87"/>
        <v>Télévision 49 pouces , France continentale, Base Carbone</v>
      </c>
      <c r="G824" s="1055" t="str">
        <f t="shared" si="88"/>
        <v>Télévision 49 pouces , France continentale, Base Carbone; kgCO2e/unité, Matières premières</v>
      </c>
      <c r="I824" s="2018" t="s">
        <v>3199</v>
      </c>
      <c r="J824" s="1135" t="s">
        <v>1994</v>
      </c>
      <c r="K824" s="1135" t="s">
        <v>1567</v>
      </c>
      <c r="L824" s="1135" t="s">
        <v>1571</v>
      </c>
      <c r="M824" s="2062">
        <v>0.5</v>
      </c>
      <c r="N824" s="1135" t="s">
        <v>3135</v>
      </c>
      <c r="O824" s="1135">
        <v>446</v>
      </c>
      <c r="P824" s="2017">
        <v>446</v>
      </c>
      <c r="Q824" s="2017">
        <v>0</v>
      </c>
      <c r="R824" s="2017">
        <v>0</v>
      </c>
      <c r="S824" s="2017">
        <v>0</v>
      </c>
      <c r="T824" s="2017">
        <v>0</v>
      </c>
      <c r="U824" s="2042">
        <v>0</v>
      </c>
    </row>
    <row r="825" spans="2:21" hidden="1" outlineLevel="2">
      <c r="B825" s="1135"/>
      <c r="C825" s="1045"/>
      <c r="D825" s="1051">
        <f t="shared" si="86"/>
        <v>48</v>
      </c>
      <c r="E825" s="1051" t="str">
        <f>IF(COUNTIF(E$624:E824,F825)&gt;0,"",F825)</f>
        <v/>
      </c>
      <c r="F825" s="1051" t="str">
        <f t="shared" si="87"/>
        <v>Télévision 49 pouces , France continentale, Base Carbone</v>
      </c>
      <c r="G825" s="1055" t="str">
        <f t="shared" si="88"/>
        <v>Télévision 49 pouces , France continentale, Base Carbone; kgCO2e/unité, Approvisionnement</v>
      </c>
      <c r="I825" s="2018" t="s">
        <v>3199</v>
      </c>
      <c r="J825" s="1135" t="s">
        <v>1994</v>
      </c>
      <c r="K825" s="1135" t="s">
        <v>1567</v>
      </c>
      <c r="L825" s="1135" t="s">
        <v>1571</v>
      </c>
      <c r="M825" s="2062">
        <v>0.5</v>
      </c>
      <c r="N825" s="1135" t="s">
        <v>3136</v>
      </c>
      <c r="O825" s="1135">
        <v>12.9</v>
      </c>
      <c r="P825" s="2017">
        <v>12.9</v>
      </c>
      <c r="Q825" s="2017">
        <v>0</v>
      </c>
      <c r="R825" s="2017">
        <v>0</v>
      </c>
      <c r="S825" s="2017">
        <v>0</v>
      </c>
      <c r="T825" s="2017">
        <v>0</v>
      </c>
      <c r="U825" s="2042">
        <v>0</v>
      </c>
    </row>
    <row r="826" spans="2:21" hidden="1" outlineLevel="2">
      <c r="B826" s="1135"/>
      <c r="C826" s="1045"/>
      <c r="D826" s="1051">
        <f t="shared" si="86"/>
        <v>48</v>
      </c>
      <c r="E826" s="1051" t="str">
        <f>IF(COUNTIF(E$624:E825,F826)&gt;0,"",F826)</f>
        <v/>
      </c>
      <c r="F826" s="1051" t="str">
        <f t="shared" si="87"/>
        <v>Télévision 49 pouces , France continentale, Base Carbone</v>
      </c>
      <c r="G826" s="1055" t="str">
        <f t="shared" si="88"/>
        <v>Télévision 49 pouces , France continentale, Base Carbone; kgCO2e/unité, Mise en forme</v>
      </c>
      <c r="I826" s="2018" t="s">
        <v>3199</v>
      </c>
      <c r="J826" s="1135" t="s">
        <v>1994</v>
      </c>
      <c r="K826" s="1135" t="s">
        <v>1567</v>
      </c>
      <c r="L826" s="1135" t="s">
        <v>1571</v>
      </c>
      <c r="M826" s="2062">
        <v>0.5</v>
      </c>
      <c r="N826" s="1135" t="s">
        <v>3141</v>
      </c>
      <c r="O826" s="1135">
        <v>7.87</v>
      </c>
      <c r="P826" s="2017">
        <v>7.87</v>
      </c>
      <c r="Q826" s="2017">
        <v>0</v>
      </c>
      <c r="R826" s="2017">
        <v>0</v>
      </c>
      <c r="S826" s="2017">
        <v>0</v>
      </c>
      <c r="T826" s="2017">
        <v>0</v>
      </c>
      <c r="U826" s="2042">
        <v>0</v>
      </c>
    </row>
    <row r="827" spans="2:21" hidden="1" outlineLevel="2">
      <c r="B827" s="1135"/>
      <c r="C827" s="1045"/>
      <c r="D827" s="1051">
        <f t="shared" si="86"/>
        <v>48</v>
      </c>
      <c r="E827" s="1051" t="str">
        <f>IF(COUNTIF(E$624:E826,F827)&gt;0,"",F827)</f>
        <v/>
      </c>
      <c r="F827" s="1051" t="str">
        <f t="shared" si="87"/>
        <v>Télévision 49 pouces , France continentale, Base Carbone</v>
      </c>
      <c r="G827" s="1055" t="str">
        <f t="shared" si="88"/>
        <v>Télévision 49 pouces , France continentale, Base Carbone; kgCO2e/unité, Assemblage</v>
      </c>
      <c r="I827" s="2018" t="s">
        <v>3199</v>
      </c>
      <c r="J827" s="1135" t="s">
        <v>1994</v>
      </c>
      <c r="K827" s="1135" t="s">
        <v>1567</v>
      </c>
      <c r="L827" s="1135" t="s">
        <v>1571</v>
      </c>
      <c r="M827" s="2062">
        <v>0.5</v>
      </c>
      <c r="N827" s="1135" t="s">
        <v>3137</v>
      </c>
      <c r="O827" s="1135">
        <v>6.62</v>
      </c>
      <c r="P827" s="2017">
        <v>6.62</v>
      </c>
      <c r="Q827" s="2017">
        <v>0</v>
      </c>
      <c r="R827" s="2017">
        <v>0</v>
      </c>
      <c r="S827" s="2017">
        <v>0</v>
      </c>
      <c r="T827" s="2017">
        <v>0</v>
      </c>
      <c r="U827" s="2042">
        <v>0</v>
      </c>
    </row>
    <row r="828" spans="2:21" hidden="1" outlineLevel="2">
      <c r="B828" s="1135"/>
      <c r="C828" s="1045"/>
      <c r="D828" s="1051">
        <f t="shared" si="86"/>
        <v>48</v>
      </c>
      <c r="E828" s="1051" t="str">
        <f>IF(COUNTIF(E$624:E827,F828)&gt;0,"",F828)</f>
        <v/>
      </c>
      <c r="F828" s="1051" t="str">
        <f t="shared" si="87"/>
        <v>Télévision 49 pouces , France continentale, Base Carbone</v>
      </c>
      <c r="G828" s="1055" t="str">
        <f t="shared" si="88"/>
        <v>Télévision 49 pouces , France continentale, Base Carbone; kgCO2e/unité, Distribution</v>
      </c>
      <c r="I828" s="2018" t="s">
        <v>3199</v>
      </c>
      <c r="J828" s="1135" t="s">
        <v>1994</v>
      </c>
      <c r="K828" s="1135" t="s">
        <v>1567</v>
      </c>
      <c r="L828" s="1135" t="s">
        <v>1571</v>
      </c>
      <c r="M828" s="2062">
        <v>0.5</v>
      </c>
      <c r="N828" s="1135" t="s">
        <v>3138</v>
      </c>
      <c r="O828" s="1135">
        <v>27.3</v>
      </c>
      <c r="P828" s="2017">
        <v>27.3</v>
      </c>
      <c r="Q828" s="2017">
        <v>0</v>
      </c>
      <c r="R828" s="2017">
        <v>0</v>
      </c>
      <c r="S828" s="2017">
        <v>0</v>
      </c>
      <c r="T828" s="2017">
        <v>0</v>
      </c>
      <c r="U828" s="2042">
        <v>0</v>
      </c>
    </row>
    <row r="829" spans="2:21" hidden="1" outlineLevel="2">
      <c r="B829" s="1135"/>
      <c r="C829" s="1045"/>
      <c r="D829" s="1051">
        <f t="shared" si="86"/>
        <v>49</v>
      </c>
      <c r="E829" s="1051" t="str">
        <f>IF(COUNTIF(E$624:E828,F829)&gt;0,"",F829)</f>
        <v>Vidéo-projecteur, France continentale, Base Carbone</v>
      </c>
      <c r="F829" s="1051" t="str">
        <f t="shared" si="87"/>
        <v>Vidéo-projecteur, France continentale, Base Carbone</v>
      </c>
      <c r="G829" s="1055" t="str">
        <f t="shared" si="88"/>
        <v>Vidéo-projecteur, France continentale, Base Carbone; kgCO2e/unité, Matières premières</v>
      </c>
      <c r="I829" s="2018" t="s">
        <v>4126</v>
      </c>
      <c r="J829" s="1135" t="s">
        <v>1994</v>
      </c>
      <c r="K829" s="1135" t="s">
        <v>1567</v>
      </c>
      <c r="L829" s="1135" t="s">
        <v>1571</v>
      </c>
      <c r="M829" s="2062">
        <v>0.5</v>
      </c>
      <c r="N829" s="1119" t="s">
        <v>3135</v>
      </c>
      <c r="O829" s="1135">
        <v>127</v>
      </c>
      <c r="P829" s="1119">
        <v>127</v>
      </c>
      <c r="Q829" s="2017">
        <v>0</v>
      </c>
      <c r="R829" s="2017">
        <v>0</v>
      </c>
      <c r="S829" s="2017">
        <v>0</v>
      </c>
      <c r="T829" s="2017">
        <v>0</v>
      </c>
      <c r="U829" s="2042">
        <v>0</v>
      </c>
    </row>
    <row r="830" spans="2:21" hidden="1" outlineLevel="2">
      <c r="B830" s="1135"/>
      <c r="C830" s="1045"/>
      <c r="D830" s="1051">
        <f t="shared" si="86"/>
        <v>49</v>
      </c>
      <c r="E830" s="1051" t="str">
        <f>IF(COUNTIF(E$624:E829,F830)&gt;0,"",F830)</f>
        <v/>
      </c>
      <c r="F830" s="1051" t="str">
        <f t="shared" si="87"/>
        <v>Vidéo-projecteur, France continentale, Base Carbone</v>
      </c>
      <c r="G830" s="1055" t="str">
        <f t="shared" si="88"/>
        <v>Vidéo-projecteur, France continentale, Base Carbone; kgCO2e/unité, Approvisionnement</v>
      </c>
      <c r="I830" s="2018" t="s">
        <v>4126</v>
      </c>
      <c r="J830" s="1135" t="s">
        <v>1994</v>
      </c>
      <c r="K830" s="1135" t="s">
        <v>1567</v>
      </c>
      <c r="L830" s="1135" t="s">
        <v>1571</v>
      </c>
      <c r="M830" s="2062">
        <v>0.5</v>
      </c>
      <c r="N830" s="1119" t="s">
        <v>3136</v>
      </c>
      <c r="O830" s="1135">
        <v>0.7</v>
      </c>
      <c r="P830" s="1119">
        <v>0.7</v>
      </c>
      <c r="Q830" s="2017">
        <v>0</v>
      </c>
      <c r="R830" s="2017">
        <v>0</v>
      </c>
      <c r="S830" s="2017">
        <v>0</v>
      </c>
      <c r="T830" s="2017">
        <v>0</v>
      </c>
      <c r="U830" s="2042">
        <v>0</v>
      </c>
    </row>
    <row r="831" spans="2:21" hidden="1" outlineLevel="2">
      <c r="B831" s="1135"/>
      <c r="C831" s="1045"/>
      <c r="D831" s="1051">
        <f t="shared" si="86"/>
        <v>49</v>
      </c>
      <c r="E831" s="1051" t="str">
        <f>IF(COUNTIF(E$624:E830,F831)&gt;0,"",F831)</f>
        <v/>
      </c>
      <c r="F831" s="1051" t="str">
        <f t="shared" si="87"/>
        <v>Vidéo-projecteur, France continentale, Base Carbone</v>
      </c>
      <c r="G831" s="1055" t="str">
        <f t="shared" si="88"/>
        <v>Vidéo-projecteur, France continentale, Base Carbone; kgCO2e/unité, Mise en forme</v>
      </c>
      <c r="I831" s="2018" t="s">
        <v>4126</v>
      </c>
      <c r="J831" s="1135" t="s">
        <v>1994</v>
      </c>
      <c r="K831" s="1135" t="s">
        <v>1567</v>
      </c>
      <c r="L831" s="1135" t="s">
        <v>1571</v>
      </c>
      <c r="M831" s="2062">
        <v>0.5</v>
      </c>
      <c r="N831" s="1119" t="s">
        <v>3141</v>
      </c>
      <c r="O831" s="1135">
        <v>1.4</v>
      </c>
      <c r="P831" s="1119">
        <v>1.4</v>
      </c>
      <c r="Q831" s="2017">
        <v>0</v>
      </c>
      <c r="R831" s="2017">
        <v>0</v>
      </c>
      <c r="S831" s="2017">
        <v>0</v>
      </c>
      <c r="T831" s="2017">
        <v>0</v>
      </c>
      <c r="U831" s="2042">
        <v>0</v>
      </c>
    </row>
    <row r="832" spans="2:21" hidden="1" outlineLevel="2">
      <c r="B832" s="1135"/>
      <c r="C832" s="1045"/>
      <c r="D832" s="1051">
        <f t="shared" si="86"/>
        <v>49</v>
      </c>
      <c r="E832" s="1051" t="str">
        <f>IF(COUNTIF(E$624:E831,F832)&gt;0,"",F832)</f>
        <v/>
      </c>
      <c r="F832" s="1051" t="str">
        <f t="shared" si="87"/>
        <v>Vidéo-projecteur, France continentale, Base Carbone</v>
      </c>
      <c r="G832" s="1055" t="str">
        <f t="shared" si="88"/>
        <v>Vidéo-projecteur, France continentale, Base Carbone; kgCO2e/unité, Assemblage</v>
      </c>
      <c r="I832" s="2018" t="s">
        <v>4126</v>
      </c>
      <c r="J832" s="1135" t="s">
        <v>1994</v>
      </c>
      <c r="K832" s="1135" t="s">
        <v>1567</v>
      </c>
      <c r="L832" s="1135" t="s">
        <v>1571</v>
      </c>
      <c r="M832" s="2062">
        <v>0.5</v>
      </c>
      <c r="N832" s="1119" t="s">
        <v>3137</v>
      </c>
      <c r="O832" s="1135">
        <v>10.1</v>
      </c>
      <c r="P832" s="1119">
        <v>10.1</v>
      </c>
      <c r="Q832" s="2017">
        <v>0</v>
      </c>
      <c r="R832" s="2017">
        <v>0</v>
      </c>
      <c r="S832" s="2017">
        <v>0</v>
      </c>
      <c r="T832" s="2017">
        <v>0</v>
      </c>
      <c r="U832" s="2042">
        <v>0</v>
      </c>
    </row>
    <row r="833" spans="2:21" hidden="1" outlineLevel="2">
      <c r="B833" s="1135"/>
      <c r="C833" s="1045"/>
      <c r="D833" s="1051">
        <f t="shared" si="86"/>
        <v>49</v>
      </c>
      <c r="E833" s="1051" t="str">
        <f>IF(COUNTIF(E$624:E832,F833)&gt;0,"",F833)</f>
        <v/>
      </c>
      <c r="F833" s="1051" t="str">
        <f t="shared" si="87"/>
        <v>Vidéo-projecteur, France continentale, Base Carbone</v>
      </c>
      <c r="G833" s="1055" t="str">
        <f t="shared" si="88"/>
        <v>Vidéo-projecteur, France continentale, Base Carbone; kgCO2e/unité, Distribution</v>
      </c>
      <c r="I833" s="2018" t="s">
        <v>4126</v>
      </c>
      <c r="J833" s="1135" t="s">
        <v>1994</v>
      </c>
      <c r="K833" s="1135" t="s">
        <v>1567</v>
      </c>
      <c r="L833" s="1135" t="s">
        <v>1571</v>
      </c>
      <c r="M833" s="2062">
        <v>0.5</v>
      </c>
      <c r="N833" s="1119" t="s">
        <v>3138</v>
      </c>
      <c r="O833" s="1135">
        <v>6.1</v>
      </c>
      <c r="P833" s="1119">
        <v>6.1</v>
      </c>
      <c r="Q833" s="2017">
        <v>0</v>
      </c>
      <c r="R833" s="2017">
        <v>0</v>
      </c>
      <c r="S833" s="2017">
        <v>0</v>
      </c>
      <c r="T833" s="2017">
        <v>0</v>
      </c>
      <c r="U833" s="2042">
        <v>0</v>
      </c>
    </row>
    <row r="834" spans="2:21" hidden="1" outlineLevel="2">
      <c r="B834" s="1135"/>
      <c r="C834" s="1045"/>
      <c r="D834" s="1051">
        <f t="shared" si="86"/>
        <v>49</v>
      </c>
      <c r="E834" s="1051" t="str">
        <f>IF(COUNTIF(E$624:E833,F834)&gt;0,"",F834)</f>
        <v/>
      </c>
      <c r="F834" s="1051" t="str">
        <f t="shared" si="87"/>
        <v/>
      </c>
      <c r="G834" s="1055" t="str">
        <f t="shared" si="88"/>
        <v/>
      </c>
      <c r="I834" s="2018"/>
      <c r="J834" s="1135"/>
      <c r="K834" s="1135"/>
      <c r="L834" s="1135"/>
      <c r="M834" s="2062"/>
      <c r="N834" s="1135"/>
      <c r="O834" s="1135"/>
      <c r="P834" s="2017"/>
      <c r="Q834" s="2017"/>
      <c r="R834" s="2017"/>
      <c r="S834" s="2017"/>
      <c r="T834" s="2017"/>
      <c r="U834" s="2042"/>
    </row>
    <row r="835" spans="2:21" hidden="1" outlineLevel="2">
      <c r="B835" s="1135"/>
      <c r="C835" s="1045"/>
      <c r="D835" s="1051">
        <f t="shared" si="86"/>
        <v>49</v>
      </c>
      <c r="E835" s="1051" t="str">
        <f>IF(COUNTIF(E$624:E834,F835)&gt;0,"",F835)</f>
        <v/>
      </c>
      <c r="F835" s="1051" t="str">
        <f t="shared" si="87"/>
        <v/>
      </c>
      <c r="G835" s="1055" t="str">
        <f t="shared" si="88"/>
        <v/>
      </c>
      <c r="I835" s="2018"/>
      <c r="J835" s="1135"/>
      <c r="K835" s="1135"/>
      <c r="L835" s="1135"/>
      <c r="M835" s="2062"/>
      <c r="N835" s="1135"/>
      <c r="O835" s="1135"/>
      <c r="P835" s="2017"/>
      <c r="Q835" s="2017"/>
      <c r="R835" s="2017"/>
      <c r="S835" s="2017"/>
      <c r="T835" s="2017"/>
      <c r="U835" s="2042"/>
    </row>
    <row r="836" spans="2:21" hidden="1" outlineLevel="2">
      <c r="B836" s="1135"/>
      <c r="C836" s="1045"/>
      <c r="D836" s="1051">
        <f t="shared" si="86"/>
        <v>49</v>
      </c>
      <c r="E836" s="1051" t="str">
        <f>IF(COUNTIF(E$624:E835,F836)&gt;0,"",F836)</f>
        <v/>
      </c>
      <c r="F836" s="1051" t="str">
        <f t="shared" si="87"/>
        <v/>
      </c>
      <c r="G836" s="1055" t="str">
        <f t="shared" si="88"/>
        <v/>
      </c>
      <c r="I836" s="2018"/>
      <c r="J836" s="1135"/>
      <c r="K836" s="1135"/>
      <c r="L836" s="1135"/>
      <c r="M836" s="2062"/>
      <c r="N836" s="1135"/>
      <c r="O836" s="1135"/>
      <c r="P836" s="2017"/>
      <c r="Q836" s="2017"/>
      <c r="R836" s="2017"/>
      <c r="S836" s="2017"/>
      <c r="T836" s="2017"/>
      <c r="U836" s="2042"/>
    </row>
    <row r="837" spans="2:21" hidden="1" outlineLevel="2">
      <c r="B837" s="1135"/>
      <c r="C837" s="1045"/>
      <c r="D837" s="1051">
        <f t="shared" si="86"/>
        <v>49</v>
      </c>
      <c r="E837" s="1051" t="str">
        <f>IF(COUNTIF(E$624:E836,F837)&gt;0,"",F837)</f>
        <v/>
      </c>
      <c r="F837" s="1051" t="str">
        <f t="shared" si="87"/>
        <v/>
      </c>
      <c r="G837" s="1055" t="str">
        <f t="shared" si="88"/>
        <v/>
      </c>
      <c r="I837" s="2018"/>
      <c r="J837" s="1135"/>
      <c r="K837" s="1135"/>
      <c r="L837" s="1135"/>
      <c r="M837" s="2062"/>
      <c r="N837" s="1135"/>
      <c r="O837" s="1135"/>
      <c r="P837" s="2017"/>
      <c r="Q837" s="2017"/>
      <c r="R837" s="2017"/>
      <c r="S837" s="2017"/>
      <c r="T837" s="2017"/>
      <c r="U837" s="2042"/>
    </row>
    <row r="838" spans="2:21" hidden="1" outlineLevel="2">
      <c r="B838" s="1135"/>
      <c r="C838" s="1045"/>
      <c r="D838" s="1051">
        <f t="shared" si="86"/>
        <v>49</v>
      </c>
      <c r="E838" s="1051" t="str">
        <f>IF(COUNTIF(E$624:E837,F838)&gt;0,"",F838)</f>
        <v/>
      </c>
      <c r="F838" s="1051" t="str">
        <f t="shared" si="87"/>
        <v/>
      </c>
      <c r="G838" s="1055" t="str">
        <f t="shared" si="88"/>
        <v/>
      </c>
      <c r="I838" s="2018"/>
      <c r="J838" s="1135"/>
      <c r="K838" s="1135"/>
      <c r="L838" s="1135"/>
      <c r="M838" s="2062"/>
      <c r="N838" s="1135"/>
      <c r="O838" s="1135"/>
      <c r="P838" s="2017"/>
      <c r="Q838" s="2017"/>
      <c r="R838" s="2017"/>
      <c r="S838" s="2017"/>
      <c r="T838" s="2017"/>
      <c r="U838" s="2042"/>
    </row>
    <row r="839" spans="2:21" hidden="1" outlineLevel="2">
      <c r="B839" s="1135"/>
      <c r="C839" s="1045"/>
      <c r="D839" s="1051">
        <f t="shared" si="86"/>
        <v>49</v>
      </c>
      <c r="E839" s="1051" t="str">
        <f>IF(COUNTIF(E$624:E838,F839)&gt;0,"",F839)</f>
        <v/>
      </c>
      <c r="F839" s="1051" t="str">
        <f t="shared" si="87"/>
        <v/>
      </c>
      <c r="G839" s="1055" t="str">
        <f t="shared" si="88"/>
        <v/>
      </c>
      <c r="I839" s="2018"/>
      <c r="J839" s="1135"/>
      <c r="K839" s="1135"/>
      <c r="L839" s="1135"/>
      <c r="M839" s="2062"/>
      <c r="N839" s="1135"/>
      <c r="O839" s="1135"/>
      <c r="P839" s="2017"/>
      <c r="Q839" s="2017"/>
      <c r="R839" s="2017"/>
      <c r="S839" s="2017"/>
      <c r="T839" s="2017"/>
      <c r="U839" s="2042"/>
    </row>
    <row r="840" spans="2:21" hidden="1" outlineLevel="2">
      <c r="B840" s="1135"/>
      <c r="C840" s="1045"/>
      <c r="D840" s="1051">
        <f t="shared" si="86"/>
        <v>49</v>
      </c>
      <c r="E840" s="1051" t="str">
        <f>IF(COUNTIF(E$624:E839,F840)&gt;0,"",F840)</f>
        <v/>
      </c>
      <c r="F840" s="1051" t="str">
        <f t="shared" si="87"/>
        <v/>
      </c>
      <c r="G840" s="1055" t="str">
        <f t="shared" si="88"/>
        <v/>
      </c>
      <c r="I840" s="2018"/>
      <c r="J840" s="1135"/>
      <c r="K840" s="1135"/>
      <c r="L840" s="1135"/>
      <c r="M840" s="2062"/>
      <c r="N840" s="1135"/>
      <c r="O840" s="1135"/>
      <c r="P840" s="2017"/>
      <c r="Q840" s="2017"/>
      <c r="R840" s="2017"/>
      <c r="S840" s="2017"/>
      <c r="T840" s="2017"/>
      <c r="U840" s="2042"/>
    </row>
    <row r="841" spans="2:21" hidden="1" outlineLevel="2">
      <c r="B841" s="1135"/>
      <c r="C841" s="1045"/>
      <c r="D841" s="1051">
        <f t="shared" si="86"/>
        <v>49</v>
      </c>
      <c r="E841" s="1051" t="str">
        <f>IF(COUNTIF(E$624:E840,F841)&gt;0,"",F841)</f>
        <v/>
      </c>
      <c r="F841" s="1051" t="str">
        <f t="shared" si="87"/>
        <v/>
      </c>
      <c r="G841" s="1055" t="str">
        <f t="shared" si="88"/>
        <v/>
      </c>
      <c r="I841" s="2018"/>
      <c r="J841" s="1135"/>
      <c r="K841" s="1135"/>
      <c r="L841" s="1135"/>
      <c r="M841" s="2062"/>
      <c r="N841" s="1135"/>
      <c r="O841" s="1135"/>
      <c r="P841" s="2017"/>
      <c r="Q841" s="2017"/>
      <c r="R841" s="2017"/>
      <c r="S841" s="2017"/>
      <c r="T841" s="2017"/>
      <c r="U841" s="2042"/>
    </row>
    <row r="842" spans="2:21" hidden="1" outlineLevel="2">
      <c r="B842" s="1135"/>
      <c r="C842" s="1045"/>
      <c r="D842" s="1051">
        <f t="shared" si="86"/>
        <v>49</v>
      </c>
      <c r="E842" s="1051" t="str">
        <f>IF(COUNTIF(E$624:E841,F842)&gt;0,"",F842)</f>
        <v/>
      </c>
      <c r="F842" s="1051" t="str">
        <f t="shared" si="87"/>
        <v/>
      </c>
      <c r="G842" s="1055" t="str">
        <f t="shared" si="88"/>
        <v/>
      </c>
      <c r="I842" s="2018"/>
      <c r="J842" s="1135"/>
      <c r="K842" s="1135"/>
      <c r="L842" s="1135"/>
      <c r="M842" s="2062"/>
      <c r="N842" s="1135"/>
      <c r="O842" s="1135"/>
      <c r="P842" s="2017"/>
      <c r="Q842" s="2017"/>
      <c r="R842" s="2017"/>
      <c r="S842" s="2017"/>
      <c r="T842" s="2017"/>
      <c r="U842" s="2042"/>
    </row>
    <row r="843" spans="2:21" hidden="1" outlineLevel="2">
      <c r="B843" s="1135"/>
      <c r="C843" s="1045"/>
      <c r="D843" s="1051">
        <f t="shared" si="86"/>
        <v>49</v>
      </c>
      <c r="E843" s="1051" t="str">
        <f>IF(COUNTIF(E$624:E842,F843)&gt;0,"",F843)</f>
        <v/>
      </c>
      <c r="F843" s="1051" t="str">
        <f t="shared" si="87"/>
        <v/>
      </c>
      <c r="G843" s="1055" t="str">
        <f t="shared" si="88"/>
        <v/>
      </c>
      <c r="I843" s="2018"/>
      <c r="J843" s="1135"/>
      <c r="K843" s="1135"/>
      <c r="L843" s="1135"/>
      <c r="M843" s="2062"/>
      <c r="N843" s="1135"/>
      <c r="O843" s="1135"/>
      <c r="P843" s="2017"/>
      <c r="Q843" s="2017"/>
      <c r="R843" s="2017"/>
      <c r="S843" s="2017"/>
      <c r="T843" s="2017"/>
      <c r="U843" s="2042"/>
    </row>
    <row r="844" spans="2:21" hidden="1" outlineLevel="2">
      <c r="B844" s="1135"/>
      <c r="C844" s="1045"/>
      <c r="D844" s="1051">
        <f t="shared" si="86"/>
        <v>49</v>
      </c>
      <c r="E844" s="1051" t="str">
        <f>IF(COUNTIF(E$624:E843,F844)&gt;0,"",F844)</f>
        <v/>
      </c>
      <c r="F844" s="1051" t="str">
        <f t="shared" si="87"/>
        <v/>
      </c>
      <c r="G844" s="1055" t="str">
        <f t="shared" si="88"/>
        <v/>
      </c>
      <c r="I844" s="2018"/>
      <c r="J844" s="1135"/>
      <c r="K844" s="1135"/>
      <c r="L844" s="1135"/>
      <c r="M844" s="2062"/>
      <c r="N844" s="1135"/>
      <c r="O844" s="1135"/>
      <c r="P844" s="2017"/>
      <c r="Q844" s="2017"/>
      <c r="R844" s="2017"/>
      <c r="S844" s="2017"/>
      <c r="T844" s="2017"/>
      <c r="U844" s="2042"/>
    </row>
    <row r="845" spans="2:21" hidden="1" outlineLevel="2">
      <c r="B845" s="1135"/>
      <c r="C845" s="1045"/>
      <c r="D845" s="1051">
        <f t="shared" si="86"/>
        <v>49</v>
      </c>
      <c r="E845" s="1051" t="str">
        <f>IF(COUNTIF(E$624:E844,F845)&gt;0,"",F845)</f>
        <v/>
      </c>
      <c r="F845" s="1051" t="str">
        <f t="shared" si="87"/>
        <v/>
      </c>
      <c r="G845" s="1055" t="str">
        <f t="shared" si="88"/>
        <v/>
      </c>
      <c r="I845" s="2018"/>
      <c r="J845" s="1135"/>
      <c r="K845" s="1135"/>
      <c r="L845" s="1135"/>
      <c r="M845" s="2062"/>
      <c r="N845" s="1135"/>
      <c r="O845" s="1135"/>
      <c r="P845" s="2017"/>
      <c r="Q845" s="2017"/>
      <c r="R845" s="2017"/>
      <c r="S845" s="2017"/>
      <c r="T845" s="2017"/>
      <c r="U845" s="2042"/>
    </row>
    <row r="846" spans="2:21" hidden="1" outlineLevel="2">
      <c r="B846" s="1135"/>
      <c r="C846" s="1045"/>
      <c r="D846" s="1051">
        <f t="shared" si="86"/>
        <v>49</v>
      </c>
      <c r="E846" s="1051" t="str">
        <f>IF(COUNTIF(E$624:E845,F846)&gt;0,"",F846)</f>
        <v/>
      </c>
      <c r="F846" s="1051" t="str">
        <f t="shared" si="87"/>
        <v/>
      </c>
      <c r="G846" s="1055" t="str">
        <f t="shared" si="88"/>
        <v/>
      </c>
      <c r="I846" s="2018"/>
      <c r="J846" s="1135"/>
      <c r="K846" s="1135"/>
      <c r="L846" s="1135"/>
      <c r="M846" s="2062"/>
      <c r="N846" s="1135"/>
      <c r="O846" s="1135"/>
      <c r="P846" s="2017"/>
      <c r="Q846" s="2017"/>
      <c r="R846" s="2017"/>
      <c r="S846" s="2017"/>
      <c r="T846" s="2017"/>
      <c r="U846" s="2042"/>
    </row>
    <row r="847" spans="2:21" hidden="1" outlineLevel="2">
      <c r="B847" s="1135"/>
      <c r="C847" s="1045"/>
      <c r="D847" s="1051">
        <f t="shared" si="86"/>
        <v>49</v>
      </c>
      <c r="E847" s="1051" t="str">
        <f>IF(COUNTIF(E$624:E846,F847)&gt;0,"",F847)</f>
        <v/>
      </c>
      <c r="F847" s="1051" t="str">
        <f t="shared" si="87"/>
        <v/>
      </c>
      <c r="G847" s="1055" t="str">
        <f t="shared" si="88"/>
        <v/>
      </c>
      <c r="I847" s="2018"/>
      <c r="J847" s="1135"/>
      <c r="K847" s="1135"/>
      <c r="L847" s="1135"/>
      <c r="M847" s="2062"/>
      <c r="N847" s="1135"/>
      <c r="O847" s="1135"/>
      <c r="P847" s="2017"/>
      <c r="Q847" s="2017"/>
      <c r="R847" s="2017"/>
      <c r="S847" s="2017"/>
      <c r="T847" s="2017"/>
      <c r="U847" s="2042"/>
    </row>
    <row r="848" spans="2:21" hidden="1" outlineLevel="2">
      <c r="B848" s="1135"/>
      <c r="C848" s="1045"/>
      <c r="D848" s="1051">
        <f t="shared" si="86"/>
        <v>49</v>
      </c>
      <c r="E848" s="1051" t="str">
        <f>IF(COUNTIF(E$624:E847,F848)&gt;0,"",F848)</f>
        <v/>
      </c>
      <c r="F848" s="1051" t="str">
        <f t="shared" si="87"/>
        <v/>
      </c>
      <c r="G848" s="1055" t="str">
        <f t="shared" si="88"/>
        <v/>
      </c>
      <c r="I848" s="2018"/>
      <c r="J848" s="1135"/>
      <c r="K848" s="1135"/>
      <c r="L848" s="1135"/>
      <c r="M848" s="2062"/>
      <c r="N848" s="1135"/>
      <c r="O848" s="1135"/>
      <c r="P848" s="2017"/>
      <c r="Q848" s="2017"/>
      <c r="R848" s="2017"/>
      <c r="S848" s="2017"/>
      <c r="T848" s="2017"/>
      <c r="U848" s="2042"/>
    </row>
    <row r="849" spans="2:22" hidden="1" outlineLevel="2">
      <c r="B849" s="1135"/>
      <c r="C849" s="1045"/>
      <c r="D849" s="1051">
        <f t="shared" si="86"/>
        <v>49</v>
      </c>
      <c r="E849" s="1051" t="str">
        <f>IF(COUNTIF(E$624:E848,F849)&gt;0,"",F849)</f>
        <v/>
      </c>
      <c r="F849" s="1051" t="str">
        <f t="shared" si="87"/>
        <v/>
      </c>
      <c r="G849" s="1055" t="str">
        <f t="shared" si="88"/>
        <v/>
      </c>
      <c r="I849" s="2018"/>
      <c r="J849" s="1135"/>
      <c r="K849" s="1135"/>
      <c r="L849" s="1135"/>
      <c r="M849" s="2062"/>
      <c r="N849" s="1135"/>
      <c r="O849" s="1135"/>
      <c r="P849" s="2017"/>
      <c r="Q849" s="2017"/>
      <c r="R849" s="2017"/>
      <c r="S849" s="2017"/>
      <c r="T849" s="2017"/>
      <c r="U849" s="2042"/>
    </row>
    <row r="850" spans="2:22" hidden="1" outlineLevel="2">
      <c r="B850" s="1135"/>
      <c r="C850" s="1045"/>
      <c r="D850" s="1051">
        <f t="shared" si="86"/>
        <v>49</v>
      </c>
      <c r="E850" s="1051" t="str">
        <f>IF(COUNTIF(E$624:E849,F850)&gt;0,"",F850)</f>
        <v/>
      </c>
      <c r="F850" s="1051" t="str">
        <f t="shared" si="87"/>
        <v/>
      </c>
      <c r="G850" s="1055" t="str">
        <f t="shared" si="88"/>
        <v/>
      </c>
      <c r="I850" s="2018"/>
      <c r="J850" s="1135"/>
      <c r="K850" s="1135"/>
      <c r="L850" s="1135"/>
      <c r="M850" s="2062"/>
      <c r="N850" s="1135"/>
      <c r="O850" s="1135"/>
      <c r="P850" s="2017"/>
      <c r="Q850" s="2017"/>
      <c r="R850" s="2017"/>
      <c r="S850" s="2017"/>
      <c r="T850" s="2017"/>
      <c r="U850" s="2042"/>
    </row>
    <row r="851" spans="2:22" hidden="1" outlineLevel="2">
      <c r="B851" s="1135"/>
      <c r="C851" s="1045"/>
      <c r="D851" s="1051">
        <f t="shared" si="86"/>
        <v>49</v>
      </c>
      <c r="E851" s="1051" t="str">
        <f>IF(COUNTIF(E$624:E850,F851)&gt;0,"",F851)</f>
        <v/>
      </c>
      <c r="F851" s="1051" t="str">
        <f t="shared" si="87"/>
        <v/>
      </c>
      <c r="G851" s="1055" t="str">
        <f t="shared" si="88"/>
        <v/>
      </c>
      <c r="I851" s="2018"/>
      <c r="J851" s="1135"/>
      <c r="K851" s="1135"/>
      <c r="L851" s="1135"/>
      <c r="M851" s="2062"/>
      <c r="N851" s="1135"/>
      <c r="O851" s="1135"/>
      <c r="P851" s="2017"/>
      <c r="Q851" s="2017"/>
      <c r="R851" s="2017"/>
      <c r="S851" s="2017"/>
      <c r="T851" s="2017"/>
      <c r="U851" s="2042"/>
    </row>
    <row r="852" spans="2:22" hidden="1" outlineLevel="2">
      <c r="B852" s="1135"/>
      <c r="C852" s="1045"/>
      <c r="D852" s="1051">
        <f t="shared" si="86"/>
        <v>49</v>
      </c>
      <c r="E852" s="1051" t="str">
        <f>IF(COUNTIF(E$624:E851,F852)&gt;0,"",F852)</f>
        <v/>
      </c>
      <c r="F852" s="1051" t="str">
        <f t="shared" si="87"/>
        <v/>
      </c>
      <c r="G852" s="1055" t="str">
        <f t="shared" si="88"/>
        <v/>
      </c>
      <c r="I852" s="2018"/>
      <c r="J852" s="1135"/>
      <c r="K852" s="1135"/>
      <c r="L852" s="1135"/>
      <c r="M852" s="2062"/>
      <c r="N852" s="1135"/>
      <c r="O852" s="1135"/>
      <c r="P852" s="2017"/>
      <c r="Q852" s="2017"/>
      <c r="R852" s="2017"/>
      <c r="S852" s="2017"/>
      <c r="T852" s="2017"/>
      <c r="U852" s="2042"/>
    </row>
    <row r="853" spans="2:22" hidden="1" outlineLevel="2">
      <c r="B853" s="1135"/>
      <c r="C853" s="1045"/>
      <c r="D853" s="1051">
        <f t="shared" si="86"/>
        <v>49</v>
      </c>
      <c r="E853" s="1051" t="str">
        <f>IF(COUNTIF(E$624:E852,F853)&gt;0,"",F853)</f>
        <v/>
      </c>
      <c r="F853" s="1051" t="str">
        <f t="shared" si="87"/>
        <v/>
      </c>
      <c r="G853" s="1055" t="str">
        <f t="shared" si="88"/>
        <v/>
      </c>
      <c r="I853" s="2018"/>
      <c r="J853" s="1135"/>
      <c r="K853" s="1135"/>
      <c r="L853" s="1135"/>
      <c r="M853" s="2062"/>
      <c r="N853" s="1135"/>
      <c r="O853" s="1135"/>
      <c r="P853" s="2017"/>
      <c r="Q853" s="2017"/>
      <c r="R853" s="2017"/>
      <c r="S853" s="2017"/>
      <c r="T853" s="2017"/>
      <c r="U853" s="2042"/>
    </row>
    <row r="854" spans="2:22" hidden="1" outlineLevel="2">
      <c r="B854" s="1135"/>
      <c r="C854" s="1045"/>
      <c r="D854" s="1051">
        <f t="shared" si="86"/>
        <v>49</v>
      </c>
      <c r="E854" s="1051" t="str">
        <f>IF(COUNTIF(E$624:E853,F854)&gt;0,"",F854)</f>
        <v/>
      </c>
      <c r="F854" s="1051" t="str">
        <f t="shared" si="87"/>
        <v/>
      </c>
      <c r="G854" s="1055" t="str">
        <f t="shared" si="88"/>
        <v/>
      </c>
      <c r="I854" s="2018"/>
      <c r="J854" s="1135"/>
      <c r="K854" s="1135"/>
      <c r="L854" s="1135"/>
      <c r="M854" s="2062"/>
      <c r="N854" s="1135"/>
      <c r="O854" s="1135"/>
      <c r="P854" s="2017"/>
      <c r="Q854" s="2017"/>
      <c r="R854" s="2017"/>
      <c r="S854" s="2017"/>
      <c r="T854" s="2017"/>
      <c r="U854" s="2042"/>
    </row>
    <row r="855" spans="2:22" hidden="1" outlineLevel="2">
      <c r="B855" s="1135"/>
      <c r="C855" s="1045"/>
      <c r="D855" s="1051">
        <f t="shared" si="86"/>
        <v>49</v>
      </c>
      <c r="E855" s="1051" t="str">
        <f>IF(COUNTIF(E$624:E854,F855)&gt;0,"",F855)</f>
        <v/>
      </c>
      <c r="F855" s="1051" t="str">
        <f t="shared" si="87"/>
        <v/>
      </c>
      <c r="G855" s="1055" t="str">
        <f t="shared" si="88"/>
        <v/>
      </c>
      <c r="I855" s="2018"/>
      <c r="J855" s="1135"/>
      <c r="K855" s="1135"/>
      <c r="L855" s="1135"/>
      <c r="M855" s="2062"/>
      <c r="N855" s="1135"/>
      <c r="O855" s="1135"/>
      <c r="P855" s="2017"/>
      <c r="Q855" s="2017"/>
      <c r="R855" s="2017"/>
      <c r="S855" s="2017"/>
      <c r="T855" s="2017"/>
      <c r="U855" s="2042"/>
    </row>
    <row r="856" spans="2:22" hidden="1" outlineLevel="2">
      <c r="B856" s="1135"/>
      <c r="C856" s="1045"/>
      <c r="D856" s="1051">
        <f t="shared" si="86"/>
        <v>49</v>
      </c>
      <c r="E856" s="1051" t="str">
        <f>IF(COUNTIF(E$624:E855,F856)&gt;0,"",F856)</f>
        <v/>
      </c>
      <c r="F856" s="1051" t="str">
        <f t="shared" si="87"/>
        <v/>
      </c>
      <c r="G856" s="1055" t="str">
        <f t="shared" si="88"/>
        <v/>
      </c>
      <c r="I856" s="2018"/>
      <c r="J856" s="1135"/>
      <c r="K856" s="1135"/>
      <c r="L856" s="1135"/>
      <c r="M856" s="2062"/>
      <c r="N856" s="1135"/>
      <c r="O856" s="1135"/>
      <c r="P856" s="2017"/>
      <c r="Q856" s="2017"/>
      <c r="R856" s="2017"/>
      <c r="S856" s="2017"/>
      <c r="T856" s="2017"/>
      <c r="U856" s="2042"/>
    </row>
    <row r="857" spans="2:22" hidden="1" outlineLevel="2">
      <c r="B857" s="1135"/>
      <c r="C857" s="1045"/>
      <c r="D857" s="1051">
        <f t="shared" si="86"/>
        <v>49</v>
      </c>
      <c r="E857" s="1051" t="str">
        <f>IF(COUNTIF(E$624:E856,F857)&gt;0,"",F857)</f>
        <v/>
      </c>
      <c r="F857" s="1051" t="str">
        <f t="shared" si="87"/>
        <v/>
      </c>
      <c r="G857" s="1055" t="str">
        <f t="shared" si="88"/>
        <v/>
      </c>
      <c r="I857" s="2018"/>
      <c r="J857" s="1135"/>
      <c r="K857" s="1135"/>
      <c r="L857" s="1135"/>
      <c r="M857" s="2062"/>
      <c r="N857" s="1135"/>
      <c r="O857" s="1135"/>
      <c r="P857" s="2017"/>
      <c r="Q857" s="2017"/>
      <c r="R857" s="2017"/>
      <c r="S857" s="2017"/>
      <c r="T857" s="2017"/>
      <c r="U857" s="2042"/>
    </row>
    <row r="858" spans="2:22" hidden="1" outlineLevel="2">
      <c r="B858" s="1135"/>
      <c r="C858" s="1045"/>
      <c r="D858" s="1051">
        <f t="shared" si="86"/>
        <v>49</v>
      </c>
      <c r="E858" s="1051" t="str">
        <f>IF(COUNTIF(E$624:E857,F858)&gt;0,"",F858)</f>
        <v/>
      </c>
      <c r="F858" s="1051" t="str">
        <f t="shared" si="87"/>
        <v/>
      </c>
      <c r="G858" s="1055" t="str">
        <f t="shared" si="88"/>
        <v/>
      </c>
      <c r="I858" s="2018"/>
      <c r="J858" s="1135"/>
      <c r="K858" s="1135"/>
      <c r="L858" s="1135"/>
      <c r="M858" s="2062"/>
      <c r="N858" s="1135"/>
      <c r="O858" s="1135"/>
      <c r="P858" s="2017"/>
      <c r="Q858" s="2017"/>
      <c r="R858" s="2017"/>
      <c r="S858" s="2017"/>
      <c r="T858" s="2017"/>
      <c r="U858" s="2042"/>
    </row>
    <row r="859" spans="2:22" hidden="1" outlineLevel="2">
      <c r="B859" s="1135"/>
      <c r="C859" s="1045"/>
      <c r="D859" s="1051">
        <f t="shared" si="86"/>
        <v>49</v>
      </c>
      <c r="E859" s="1051" t="str">
        <f>IF(COUNTIF(E$624:E858,F859)&gt;0,"",F859)</f>
        <v/>
      </c>
      <c r="F859" s="1051" t="str">
        <f t="shared" si="87"/>
        <v/>
      </c>
      <c r="G859" s="1055" t="str">
        <f t="shared" si="88"/>
        <v/>
      </c>
      <c r="I859" s="2018"/>
      <c r="J859" s="1135"/>
      <c r="K859" s="1135"/>
      <c r="L859" s="1135"/>
      <c r="M859" s="2062"/>
      <c r="N859" s="1135"/>
      <c r="O859" s="1135"/>
      <c r="P859" s="2017"/>
      <c r="Q859" s="2017"/>
      <c r="R859" s="2017"/>
      <c r="S859" s="2017"/>
      <c r="T859" s="2017"/>
      <c r="U859" s="2042"/>
    </row>
    <row r="860" spans="2:22" ht="13.2" hidden="1" outlineLevel="1">
      <c r="B860" s="1135"/>
      <c r="C860" s="1045"/>
      <c r="D860" s="1045"/>
      <c r="E860" s="1045"/>
      <c r="F860" s="1045"/>
      <c r="G860" s="1135"/>
      <c r="I860" s="1746"/>
      <c r="J860" s="1742"/>
      <c r="K860" s="1742"/>
      <c r="L860" s="1742"/>
      <c r="M860" s="1742"/>
      <c r="N860" s="1742"/>
      <c r="O860" s="1742"/>
      <c r="P860" s="1742"/>
      <c r="Q860" s="1742"/>
      <c r="R860" s="1742"/>
      <c r="S860" s="1742"/>
      <c r="T860" s="1742"/>
      <c r="U860" s="2063"/>
    </row>
    <row r="861" spans="2:22" ht="12.75" hidden="1" customHeight="1" outlineLevel="1" collapsed="1">
      <c r="B861" s="3156" t="s">
        <v>3246</v>
      </c>
      <c r="C861" s="3156"/>
      <c r="D861" s="1051">
        <v>0</v>
      </c>
      <c r="E861" s="1051"/>
      <c r="F861" s="1051"/>
      <c r="G861" s="1051"/>
      <c r="I861" s="1746"/>
      <c r="J861" s="1742"/>
      <c r="K861" s="1742"/>
      <c r="L861" s="1742"/>
      <c r="M861" s="1742"/>
      <c r="N861" s="1742"/>
      <c r="O861" s="1742"/>
      <c r="P861" s="1742"/>
      <c r="Q861" s="1742"/>
      <c r="R861" s="1742"/>
      <c r="S861" s="1742"/>
      <c r="T861" s="1742"/>
      <c r="U861" s="2063"/>
    </row>
    <row r="862" spans="2:22" hidden="1" outlineLevel="2">
      <c r="B862" s="2059">
        <v>1</v>
      </c>
      <c r="C862" s="1050" t="str">
        <f>IF(ISNA(VLOOKUP(B862,$D$861:$E$890,2,FALSE)),"-",VLOOKUP(B862,$D$861:$E$890,2,FALSE))</f>
        <v>Chemise en coton, France continentale, Base Carbone</v>
      </c>
      <c r="D862" s="1051">
        <f>D861+IF(LEN(E862)&gt;0,1,0)</f>
        <v>1</v>
      </c>
      <c r="E862" s="1051" t="str">
        <f>IF(COUNTIF(E$861:E861,F862)&gt;0,"",F862)</f>
        <v>Chemise en coton, France continentale, Base Carbone</v>
      </c>
      <c r="F862" s="1051" t="str">
        <f>IF(I862&lt;&gt;"",I862&amp;IF(L862&lt;&gt;"",", "&amp;L862,"")&amp;IF(K862&lt;&gt;"",", "&amp;K862,""),"")</f>
        <v>Chemise en coton, France continentale, Base Carbone</v>
      </c>
      <c r="G862" s="1051" t="str">
        <f>IF(F862&lt;&gt;"",F862&amp;IF(J862&lt;&gt;"","; "&amp;J862&amp;IF(N862&lt;&gt;"",", "&amp;N862,),""),"")</f>
        <v>Chemise en coton, France continentale, Base Carbone; kgCO2e/unité, Matières premières</v>
      </c>
      <c r="I862" s="2018" t="s">
        <v>3201</v>
      </c>
      <c r="J862" s="1135" t="s">
        <v>1994</v>
      </c>
      <c r="K862" s="1135" t="s">
        <v>1567</v>
      </c>
      <c r="L862" s="1135" t="s">
        <v>1571</v>
      </c>
      <c r="M862" s="2062">
        <v>0.25</v>
      </c>
      <c r="N862" s="1135" t="s">
        <v>3135</v>
      </c>
      <c r="O862" s="1135">
        <v>2.4</v>
      </c>
      <c r="P862" s="2017">
        <v>2.4</v>
      </c>
      <c r="Q862" s="2017">
        <v>0</v>
      </c>
      <c r="R862" s="2017">
        <v>0</v>
      </c>
      <c r="S862" s="2017">
        <v>0</v>
      </c>
      <c r="T862" s="2017">
        <v>0</v>
      </c>
      <c r="U862" s="2042">
        <v>0</v>
      </c>
    </row>
    <row r="863" spans="2:22" hidden="1" outlineLevel="2">
      <c r="B863" s="2059">
        <v>2</v>
      </c>
      <c r="C863" s="1050" t="str">
        <f t="shared" ref="C863:C871" si="89">IF(ISNA(VLOOKUP(B863,$D$861:$E$890,2,FALSE)),"-",VLOOKUP(B863,$D$861:$E$890,2,FALSE))</f>
        <v>Jean en coton, France continentale, Base Carbone</v>
      </c>
      <c r="D863" s="1051">
        <f t="shared" ref="D863:D890" si="90">D862+IF(LEN(E863)&gt;0,1,0)</f>
        <v>1</v>
      </c>
      <c r="E863" s="1051" t="str">
        <f>IF(COUNTIF(E$861:E862,F863)&gt;0,"",F863)</f>
        <v/>
      </c>
      <c r="F863" s="1051" t="str">
        <f t="shared" ref="F863:F890" si="91">IF(I863&lt;&gt;"",I863&amp;IF(L863&lt;&gt;"",", "&amp;L863,"")&amp;IF(K863&lt;&gt;"",", "&amp;K863,""),"")</f>
        <v>Chemise en coton, France continentale, Base Carbone</v>
      </c>
      <c r="G863" s="1051" t="str">
        <f t="shared" ref="G863:G890" si="92">IF(F863&lt;&gt;"",F863&amp;IF(J863&lt;&gt;"","; "&amp;J863&amp;IF(N863&lt;&gt;"",", "&amp;N863,),""),"")</f>
        <v>Chemise en coton, France continentale, Base Carbone; kgCO2e/unité, Approvisionnement</v>
      </c>
      <c r="I863" s="2018" t="s">
        <v>3201</v>
      </c>
      <c r="J863" s="1135" t="s">
        <v>1994</v>
      </c>
      <c r="K863" s="1135" t="s">
        <v>1567</v>
      </c>
      <c r="L863" s="1135" t="s">
        <v>1571</v>
      </c>
      <c r="M863" s="2062">
        <v>0.25</v>
      </c>
      <c r="N863" s="1135" t="s">
        <v>3136</v>
      </c>
      <c r="O863" s="1135">
        <v>0.3</v>
      </c>
      <c r="P863" s="2017">
        <v>0.3</v>
      </c>
      <c r="Q863" s="2017">
        <v>0</v>
      </c>
      <c r="R863" s="2017">
        <v>0</v>
      </c>
      <c r="S863" s="2017">
        <v>0</v>
      </c>
      <c r="T863" s="2017">
        <v>0</v>
      </c>
      <c r="U863" s="2042">
        <v>0</v>
      </c>
      <c r="V863" s="2060"/>
    </row>
    <row r="864" spans="2:22" hidden="1" outlineLevel="2">
      <c r="B864" s="2059">
        <v>3</v>
      </c>
      <c r="C864" s="1050" t="str">
        <f t="shared" si="89"/>
        <v>Pull en coton recyclé, France continentale, Base Carbone</v>
      </c>
      <c r="D864" s="1051">
        <f t="shared" si="90"/>
        <v>1</v>
      </c>
      <c r="E864" s="1051" t="str">
        <f>IF(COUNTIF(E$861:E863,F864)&gt;0,"",F864)</f>
        <v/>
      </c>
      <c r="F864" s="1051" t="str">
        <f t="shared" si="91"/>
        <v>Chemise en coton, France continentale, Base Carbone</v>
      </c>
      <c r="G864" s="1051" t="str">
        <f t="shared" si="92"/>
        <v>Chemise en coton, France continentale, Base Carbone; kgCO2e/unité, Mise en forme</v>
      </c>
      <c r="I864" s="2018" t="s">
        <v>3201</v>
      </c>
      <c r="J864" s="1135" t="s">
        <v>1994</v>
      </c>
      <c r="K864" s="1135" t="s">
        <v>1567</v>
      </c>
      <c r="L864" s="1135" t="s">
        <v>1571</v>
      </c>
      <c r="M864" s="2062">
        <v>0.25</v>
      </c>
      <c r="N864" s="1135" t="s">
        <v>3141</v>
      </c>
      <c r="O864" s="1135">
        <v>6.5</v>
      </c>
      <c r="P864" s="2017">
        <v>6.5</v>
      </c>
      <c r="Q864" s="2017">
        <v>0</v>
      </c>
      <c r="R864" s="2017">
        <v>0</v>
      </c>
      <c r="S864" s="2017">
        <v>0</v>
      </c>
      <c r="T864" s="2017">
        <v>0</v>
      </c>
      <c r="U864" s="2042">
        <v>0</v>
      </c>
    </row>
    <row r="865" spans="2:21" hidden="1" outlineLevel="2">
      <c r="B865" s="2059">
        <v>4</v>
      </c>
      <c r="C865" s="1050" t="str">
        <f t="shared" si="89"/>
        <v>Robe en coton, France continentale, Base Carbone</v>
      </c>
      <c r="D865" s="1051">
        <f t="shared" si="90"/>
        <v>1</v>
      </c>
      <c r="E865" s="1051" t="str">
        <f>IF(COUNTIF(E$861:E864,F865)&gt;0,"",F865)</f>
        <v/>
      </c>
      <c r="F865" s="1051" t="str">
        <f t="shared" si="91"/>
        <v>Chemise en coton, France continentale, Base Carbone</v>
      </c>
      <c r="G865" s="1051" t="str">
        <f t="shared" si="92"/>
        <v>Chemise en coton, France continentale, Base Carbone; kgCO2e/unité, Assemblage</v>
      </c>
      <c r="I865" s="2018" t="s">
        <v>3201</v>
      </c>
      <c r="J865" s="1135" t="s">
        <v>1994</v>
      </c>
      <c r="K865" s="1135" t="s">
        <v>1567</v>
      </c>
      <c r="L865" s="1135" t="s">
        <v>1571</v>
      </c>
      <c r="M865" s="2062">
        <v>0.25</v>
      </c>
      <c r="N865" s="1135" t="s">
        <v>3137</v>
      </c>
      <c r="O865" s="1135">
        <v>0.8</v>
      </c>
      <c r="P865" s="2017">
        <v>0.8</v>
      </c>
      <c r="Q865" s="2017">
        <v>0</v>
      </c>
      <c r="R865" s="2017">
        <v>0</v>
      </c>
      <c r="S865" s="2017">
        <v>0</v>
      </c>
      <c r="T865" s="2017">
        <v>0</v>
      </c>
      <c r="U865" s="2042">
        <v>0</v>
      </c>
    </row>
    <row r="866" spans="2:21" hidden="1" outlineLevel="2">
      <c r="B866" s="2059">
        <v>5</v>
      </c>
      <c r="C866" s="1050" t="str">
        <f t="shared" si="89"/>
        <v>T-shirt en coton, France continentale, Base Carbone</v>
      </c>
      <c r="D866" s="1051">
        <f t="shared" si="90"/>
        <v>1</v>
      </c>
      <c r="E866" s="1051" t="str">
        <f>IF(COUNTIF(E$861:E865,F866)&gt;0,"",F866)</f>
        <v/>
      </c>
      <c r="F866" s="1051" t="str">
        <f t="shared" si="91"/>
        <v>Chemise en coton, France continentale, Base Carbone</v>
      </c>
      <c r="G866" s="1051" t="str">
        <f t="shared" si="92"/>
        <v>Chemise en coton, France continentale, Base Carbone; kgCO2e/unité, Distribution</v>
      </c>
      <c r="I866" s="2018" t="s">
        <v>3201</v>
      </c>
      <c r="J866" s="1135" t="s">
        <v>1994</v>
      </c>
      <c r="K866" s="1135" t="s">
        <v>1567</v>
      </c>
      <c r="L866" s="1135" t="s">
        <v>1571</v>
      </c>
      <c r="M866" s="2062">
        <v>0.25</v>
      </c>
      <c r="N866" s="1135" t="s">
        <v>3138</v>
      </c>
      <c r="O866" s="1135">
        <v>1.2</v>
      </c>
      <c r="P866" s="2017">
        <v>1.2</v>
      </c>
      <c r="Q866" s="2017">
        <v>0</v>
      </c>
      <c r="R866" s="2017">
        <v>0</v>
      </c>
      <c r="S866" s="2017">
        <v>0</v>
      </c>
      <c r="T866" s="2017">
        <v>0</v>
      </c>
      <c r="U866" s="2042">
        <v>0</v>
      </c>
    </row>
    <row r="867" spans="2:21" hidden="1" outlineLevel="2">
      <c r="B867" s="2059">
        <v>6</v>
      </c>
      <c r="C867" s="1050" t="str">
        <f t="shared" si="89"/>
        <v>-</v>
      </c>
      <c r="D867" s="1051">
        <f t="shared" si="90"/>
        <v>2</v>
      </c>
      <c r="E867" s="1051" t="str">
        <f>IF(COUNTIF(E$861:E866,F867)&gt;0,"",F867)</f>
        <v>Jean en coton, France continentale, Base Carbone</v>
      </c>
      <c r="F867" s="1051" t="str">
        <f t="shared" si="91"/>
        <v>Jean en coton, France continentale, Base Carbone</v>
      </c>
      <c r="G867" s="1051" t="str">
        <f t="shared" si="92"/>
        <v>Jean en coton, France continentale, Base Carbone; kgCO2e/unité, Matières premières</v>
      </c>
      <c r="I867" s="2018" t="s">
        <v>3202</v>
      </c>
      <c r="J867" s="1135" t="s">
        <v>1994</v>
      </c>
      <c r="K867" s="1135" t="s">
        <v>1567</v>
      </c>
      <c r="L867" s="1135" t="s">
        <v>1571</v>
      </c>
      <c r="M867" s="2062">
        <v>0.3</v>
      </c>
      <c r="N867" s="1135" t="s">
        <v>3135</v>
      </c>
      <c r="O867" s="1135">
        <v>6.7</v>
      </c>
      <c r="P867" s="2017">
        <v>6.7</v>
      </c>
      <c r="Q867" s="2017">
        <v>0</v>
      </c>
      <c r="R867" s="2017">
        <v>0</v>
      </c>
      <c r="S867" s="2017">
        <v>0</v>
      </c>
      <c r="T867" s="2017">
        <v>0</v>
      </c>
      <c r="U867" s="2042">
        <v>0</v>
      </c>
    </row>
    <row r="868" spans="2:21" hidden="1" outlineLevel="2">
      <c r="B868" s="2059">
        <v>7</v>
      </c>
      <c r="C868" s="1050" t="str">
        <f t="shared" si="89"/>
        <v>-</v>
      </c>
      <c r="D868" s="1051">
        <f t="shared" si="90"/>
        <v>2</v>
      </c>
      <c r="E868" s="1051" t="str">
        <f>IF(COUNTIF(E$861:E867,F868)&gt;0,"",F868)</f>
        <v/>
      </c>
      <c r="F868" s="1051" t="str">
        <f t="shared" si="91"/>
        <v>Jean en coton, France continentale, Base Carbone</v>
      </c>
      <c r="G868" s="1051" t="str">
        <f t="shared" si="92"/>
        <v>Jean en coton, France continentale, Base Carbone; kgCO2e/unité, Approvisionnement</v>
      </c>
      <c r="I868" s="2018" t="s">
        <v>3202</v>
      </c>
      <c r="J868" s="1135" t="s">
        <v>1994</v>
      </c>
      <c r="K868" s="1135" t="s">
        <v>1567</v>
      </c>
      <c r="L868" s="1135" t="s">
        <v>1571</v>
      </c>
      <c r="M868" s="2062">
        <v>0.3</v>
      </c>
      <c r="N868" s="1135" t="s">
        <v>3136</v>
      </c>
      <c r="O868" s="1135">
        <v>0.9</v>
      </c>
      <c r="P868" s="2017">
        <v>0.9</v>
      </c>
      <c r="Q868" s="2017">
        <v>0</v>
      </c>
      <c r="R868" s="2017">
        <v>0</v>
      </c>
      <c r="S868" s="2017">
        <v>0</v>
      </c>
      <c r="T868" s="2017">
        <v>0</v>
      </c>
      <c r="U868" s="2042">
        <v>0</v>
      </c>
    </row>
    <row r="869" spans="2:21" hidden="1" outlineLevel="2">
      <c r="B869" s="2059">
        <v>8</v>
      </c>
      <c r="C869" s="1050" t="str">
        <f t="shared" si="89"/>
        <v>-</v>
      </c>
      <c r="D869" s="1051">
        <f t="shared" si="90"/>
        <v>2</v>
      </c>
      <c r="E869" s="1051" t="str">
        <f>IF(COUNTIF(E$861:E868,F869)&gt;0,"",F869)</f>
        <v/>
      </c>
      <c r="F869" s="1051" t="str">
        <f t="shared" si="91"/>
        <v>Jean en coton, France continentale, Base Carbone</v>
      </c>
      <c r="G869" s="1051" t="str">
        <f t="shared" si="92"/>
        <v>Jean en coton, France continentale, Base Carbone; kgCO2e/unité, Mise en forme</v>
      </c>
      <c r="I869" s="2018" t="s">
        <v>3202</v>
      </c>
      <c r="J869" s="1135" t="s">
        <v>1994</v>
      </c>
      <c r="K869" s="1135" t="s">
        <v>1567</v>
      </c>
      <c r="L869" s="1135" t="s">
        <v>1571</v>
      </c>
      <c r="M869" s="2062">
        <v>0.3</v>
      </c>
      <c r="N869" s="1135" t="s">
        <v>3141</v>
      </c>
      <c r="O869" s="1135">
        <v>9.9</v>
      </c>
      <c r="P869" s="2017">
        <v>9.9</v>
      </c>
      <c r="Q869" s="2017">
        <v>0</v>
      </c>
      <c r="R869" s="2017">
        <v>0</v>
      </c>
      <c r="S869" s="2017">
        <v>0</v>
      </c>
      <c r="T869" s="2017">
        <v>0</v>
      </c>
      <c r="U869" s="2042">
        <v>0</v>
      </c>
    </row>
    <row r="870" spans="2:21" hidden="1" outlineLevel="2">
      <c r="B870" s="2059">
        <v>9</v>
      </c>
      <c r="C870" s="1050" t="str">
        <f t="shared" si="89"/>
        <v>-</v>
      </c>
      <c r="D870" s="1051">
        <f t="shared" si="90"/>
        <v>2</v>
      </c>
      <c r="E870" s="1051" t="str">
        <f>IF(COUNTIF(E$861:E869,F870)&gt;0,"",F870)</f>
        <v/>
      </c>
      <c r="F870" s="1051" t="str">
        <f t="shared" si="91"/>
        <v>Jean en coton, France continentale, Base Carbone</v>
      </c>
      <c r="G870" s="1051" t="str">
        <f t="shared" si="92"/>
        <v>Jean en coton, France continentale, Base Carbone; kgCO2e/unité, Assemblage</v>
      </c>
      <c r="I870" s="2018" t="s">
        <v>3202</v>
      </c>
      <c r="J870" s="1135" t="s">
        <v>1994</v>
      </c>
      <c r="K870" s="1135" t="s">
        <v>1567</v>
      </c>
      <c r="L870" s="1135" t="s">
        <v>1571</v>
      </c>
      <c r="M870" s="2062">
        <v>0.3</v>
      </c>
      <c r="N870" s="1135" t="s">
        <v>3137</v>
      </c>
      <c r="O870" s="1135">
        <v>2.2999999999999998</v>
      </c>
      <c r="P870" s="2017">
        <v>2.2999999999999998</v>
      </c>
      <c r="Q870" s="2017">
        <v>0</v>
      </c>
      <c r="R870" s="2017">
        <v>0</v>
      </c>
      <c r="S870" s="2017">
        <v>0</v>
      </c>
      <c r="T870" s="2017">
        <v>0</v>
      </c>
      <c r="U870" s="2042">
        <v>0</v>
      </c>
    </row>
    <row r="871" spans="2:21" hidden="1" outlineLevel="2">
      <c r="B871" s="2059">
        <v>10</v>
      </c>
      <c r="C871" s="1050" t="str">
        <f t="shared" si="89"/>
        <v>-</v>
      </c>
      <c r="D871" s="1051">
        <f t="shared" si="90"/>
        <v>2</v>
      </c>
      <c r="E871" s="1051" t="str">
        <f>IF(COUNTIF(E$861:E870,F871)&gt;0,"",F871)</f>
        <v/>
      </c>
      <c r="F871" s="1051" t="str">
        <f t="shared" si="91"/>
        <v>Jean en coton, France continentale, Base Carbone</v>
      </c>
      <c r="G871" s="1051" t="str">
        <f t="shared" si="92"/>
        <v>Jean en coton, France continentale, Base Carbone; kgCO2e/unité, Distribution</v>
      </c>
      <c r="I871" s="2018" t="s">
        <v>3202</v>
      </c>
      <c r="J871" s="1135" t="s">
        <v>1994</v>
      </c>
      <c r="K871" s="1135" t="s">
        <v>1567</v>
      </c>
      <c r="L871" s="1135" t="s">
        <v>1571</v>
      </c>
      <c r="M871" s="2062">
        <v>0.3</v>
      </c>
      <c r="N871" s="1135" t="s">
        <v>3138</v>
      </c>
      <c r="O871" s="1135">
        <v>3.4</v>
      </c>
      <c r="P871" s="2017">
        <v>3.4</v>
      </c>
      <c r="Q871" s="2017">
        <v>0</v>
      </c>
      <c r="R871" s="2017">
        <v>0</v>
      </c>
      <c r="S871" s="2017">
        <v>0</v>
      </c>
      <c r="T871" s="2017">
        <v>0</v>
      </c>
      <c r="U871" s="2042">
        <v>0</v>
      </c>
    </row>
    <row r="872" spans="2:21" hidden="1" outlineLevel="2">
      <c r="B872" s="1135"/>
      <c r="C872" s="1045"/>
      <c r="D872" s="1051">
        <f t="shared" si="90"/>
        <v>3</v>
      </c>
      <c r="E872" s="1051" t="str">
        <f>IF(COUNTIF(E$861:E871,F872)&gt;0,"",F872)</f>
        <v>Pull en coton recyclé, France continentale, Base Carbone</v>
      </c>
      <c r="F872" s="1051" t="str">
        <f t="shared" si="91"/>
        <v>Pull en coton recyclé, France continentale, Base Carbone</v>
      </c>
      <c r="G872" s="1051" t="str">
        <f t="shared" si="92"/>
        <v>Pull en coton recyclé, France continentale, Base Carbone; kgCO2e/unité, Matières premières</v>
      </c>
      <c r="I872" s="2018" t="s">
        <v>3203</v>
      </c>
      <c r="J872" s="1135" t="s">
        <v>1994</v>
      </c>
      <c r="K872" s="1135" t="s">
        <v>1567</v>
      </c>
      <c r="L872" s="1135" t="s">
        <v>1571</v>
      </c>
      <c r="M872" s="2062">
        <v>0.7</v>
      </c>
      <c r="N872" s="1135" t="s">
        <v>3135</v>
      </c>
      <c r="O872" s="1135">
        <v>0.9</v>
      </c>
      <c r="P872" s="2017">
        <v>0.9</v>
      </c>
      <c r="Q872" s="2017">
        <v>0</v>
      </c>
      <c r="R872" s="2017">
        <v>0</v>
      </c>
      <c r="S872" s="2017">
        <v>0</v>
      </c>
      <c r="T872" s="2017">
        <v>0</v>
      </c>
      <c r="U872" s="2042">
        <v>0</v>
      </c>
    </row>
    <row r="873" spans="2:21" hidden="1" outlineLevel="2">
      <c r="B873" s="1135"/>
      <c r="C873" s="1045"/>
      <c r="D873" s="1051">
        <f t="shared" si="90"/>
        <v>3</v>
      </c>
      <c r="E873" s="1051" t="str">
        <f>IF(COUNTIF(E$861:E872,F873)&gt;0,"",F873)</f>
        <v/>
      </c>
      <c r="F873" s="1051" t="str">
        <f t="shared" si="91"/>
        <v>Pull en coton recyclé, France continentale, Base Carbone</v>
      </c>
      <c r="G873" s="1051" t="str">
        <f t="shared" si="92"/>
        <v>Pull en coton recyclé, France continentale, Base Carbone; kgCO2e/unité, Approvisionnement</v>
      </c>
      <c r="I873" s="2018" t="s">
        <v>3203</v>
      </c>
      <c r="J873" s="1135" t="s">
        <v>1994</v>
      </c>
      <c r="K873" s="1135" t="s">
        <v>1567</v>
      </c>
      <c r="L873" s="1135" t="s">
        <v>1571</v>
      </c>
      <c r="M873" s="2062">
        <v>0.7</v>
      </c>
      <c r="N873" s="1135" t="s">
        <v>3136</v>
      </c>
      <c r="O873" s="1135">
        <v>0.5</v>
      </c>
      <c r="P873" s="2017">
        <v>0.5</v>
      </c>
      <c r="Q873" s="2017">
        <v>0</v>
      </c>
      <c r="R873" s="2017">
        <v>0</v>
      </c>
      <c r="S873" s="2017">
        <v>0</v>
      </c>
      <c r="T873" s="2017">
        <v>0</v>
      </c>
      <c r="U873" s="2042">
        <v>0</v>
      </c>
    </row>
    <row r="874" spans="2:21" hidden="1" outlineLevel="2">
      <c r="B874" s="1135"/>
      <c r="C874" s="1045"/>
      <c r="D874" s="1051">
        <f t="shared" si="90"/>
        <v>3</v>
      </c>
      <c r="E874" s="1051" t="str">
        <f>IF(COUNTIF(E$861:E873,F874)&gt;0,"",F874)</f>
        <v/>
      </c>
      <c r="F874" s="1051" t="str">
        <f t="shared" si="91"/>
        <v>Pull en coton recyclé, France continentale, Base Carbone</v>
      </c>
      <c r="G874" s="1051" t="str">
        <f t="shared" si="92"/>
        <v>Pull en coton recyclé, France continentale, Base Carbone; kgCO2e/unité, Mise en forme</v>
      </c>
      <c r="I874" s="2018" t="s">
        <v>3203</v>
      </c>
      <c r="J874" s="1135" t="s">
        <v>1994</v>
      </c>
      <c r="K874" s="1135" t="s">
        <v>1567</v>
      </c>
      <c r="L874" s="1135" t="s">
        <v>1571</v>
      </c>
      <c r="M874" s="2062">
        <v>0.7</v>
      </c>
      <c r="N874" s="1135" t="s">
        <v>3141</v>
      </c>
      <c r="O874" s="1135">
        <v>5.5</v>
      </c>
      <c r="P874" s="2017">
        <v>5.5</v>
      </c>
      <c r="Q874" s="2017">
        <v>0</v>
      </c>
      <c r="R874" s="2017">
        <v>0</v>
      </c>
      <c r="S874" s="2017">
        <v>0</v>
      </c>
      <c r="T874" s="2017">
        <v>0</v>
      </c>
      <c r="U874" s="2042">
        <v>0</v>
      </c>
    </row>
    <row r="875" spans="2:21" hidden="1" outlineLevel="2">
      <c r="B875" s="1135"/>
      <c r="C875" s="1045"/>
      <c r="D875" s="1051">
        <f t="shared" si="90"/>
        <v>3</v>
      </c>
      <c r="E875" s="1051" t="str">
        <f>IF(COUNTIF(E$861:E874,F875)&gt;0,"",F875)</f>
        <v/>
      </c>
      <c r="F875" s="1051" t="str">
        <f t="shared" si="91"/>
        <v>Pull en coton recyclé, France continentale, Base Carbone</v>
      </c>
      <c r="G875" s="1051" t="str">
        <f t="shared" si="92"/>
        <v>Pull en coton recyclé, France continentale, Base Carbone; kgCO2e/unité, Assemblage</v>
      </c>
      <c r="I875" s="2018" t="s">
        <v>3203</v>
      </c>
      <c r="J875" s="1135" t="s">
        <v>1994</v>
      </c>
      <c r="K875" s="1135" t="s">
        <v>1567</v>
      </c>
      <c r="L875" s="1135" t="s">
        <v>1571</v>
      </c>
      <c r="M875" s="2062">
        <v>0.7</v>
      </c>
      <c r="N875" s="1135" t="s">
        <v>3137</v>
      </c>
      <c r="O875" s="1135">
        <v>0.4</v>
      </c>
      <c r="P875" s="2017">
        <v>0.4</v>
      </c>
      <c r="Q875" s="2017">
        <v>0</v>
      </c>
      <c r="R875" s="2017">
        <v>0</v>
      </c>
      <c r="S875" s="2017">
        <v>0</v>
      </c>
      <c r="T875" s="2017">
        <v>0</v>
      </c>
      <c r="U875" s="2042">
        <v>0</v>
      </c>
    </row>
    <row r="876" spans="2:21" hidden="1" outlineLevel="2">
      <c r="B876" s="1135"/>
      <c r="C876" s="1045"/>
      <c r="D876" s="1051">
        <f t="shared" si="90"/>
        <v>3</v>
      </c>
      <c r="E876" s="1051" t="str">
        <f>IF(COUNTIF(E$861:E875,F876)&gt;0,"",F876)</f>
        <v/>
      </c>
      <c r="F876" s="1051" t="str">
        <f t="shared" si="91"/>
        <v>Pull en coton recyclé, France continentale, Base Carbone</v>
      </c>
      <c r="G876" s="1051" t="str">
        <f t="shared" si="92"/>
        <v>Pull en coton recyclé, France continentale, Base Carbone; kgCO2e/unité, Distribution</v>
      </c>
      <c r="I876" s="2018" t="s">
        <v>3203</v>
      </c>
      <c r="J876" s="1135" t="s">
        <v>1994</v>
      </c>
      <c r="K876" s="1135" t="s">
        <v>1567</v>
      </c>
      <c r="L876" s="1135" t="s">
        <v>1571</v>
      </c>
      <c r="M876" s="2062">
        <v>0.7</v>
      </c>
      <c r="N876" s="1135" t="s">
        <v>3138</v>
      </c>
      <c r="O876" s="1135">
        <v>0.8</v>
      </c>
      <c r="P876" s="2017">
        <v>0.8</v>
      </c>
      <c r="Q876" s="2017">
        <v>0</v>
      </c>
      <c r="R876" s="2017">
        <v>0</v>
      </c>
      <c r="S876" s="2017">
        <v>0</v>
      </c>
      <c r="T876" s="2017">
        <v>0</v>
      </c>
      <c r="U876" s="2042">
        <v>0</v>
      </c>
    </row>
    <row r="877" spans="2:21" hidden="1" outlineLevel="2">
      <c r="B877" s="1135"/>
      <c r="C877" s="1045"/>
      <c r="D877" s="1051">
        <f t="shared" si="90"/>
        <v>4</v>
      </c>
      <c r="E877" s="1051" t="str">
        <f>IF(COUNTIF(E$861:E876,F877)&gt;0,"",F877)</f>
        <v>Robe en coton, France continentale, Base Carbone</v>
      </c>
      <c r="F877" s="1051" t="str">
        <f t="shared" si="91"/>
        <v>Robe en coton, France continentale, Base Carbone</v>
      </c>
      <c r="G877" s="1051" t="str">
        <f t="shared" si="92"/>
        <v>Robe en coton, France continentale, Base Carbone; kgCO2e/unité, Matières premières</v>
      </c>
      <c r="I877" s="2018" t="s">
        <v>3204</v>
      </c>
      <c r="J877" s="1135" t="s">
        <v>1994</v>
      </c>
      <c r="K877" s="1135" t="s">
        <v>1567</v>
      </c>
      <c r="L877" s="1135" t="s">
        <v>1571</v>
      </c>
      <c r="M877" s="2062">
        <v>0.05</v>
      </c>
      <c r="N877" s="1135" t="s">
        <v>3135</v>
      </c>
      <c r="O877" s="1135">
        <v>14.1</v>
      </c>
      <c r="P877" s="2017">
        <v>14.1</v>
      </c>
      <c r="Q877" s="2017">
        <v>0</v>
      </c>
      <c r="R877" s="2017">
        <v>0</v>
      </c>
      <c r="S877" s="2017">
        <v>0</v>
      </c>
      <c r="T877" s="2017">
        <v>0</v>
      </c>
      <c r="U877" s="2042">
        <v>0</v>
      </c>
    </row>
    <row r="878" spans="2:21" hidden="1" outlineLevel="2">
      <c r="B878" s="1135"/>
      <c r="C878" s="1045"/>
      <c r="D878" s="1051">
        <f t="shared" si="90"/>
        <v>4</v>
      </c>
      <c r="E878" s="1051" t="str">
        <f>IF(COUNTIF(E$861:E877,F878)&gt;0,"",F878)</f>
        <v/>
      </c>
      <c r="F878" s="1051" t="str">
        <f t="shared" si="91"/>
        <v>Robe en coton, France continentale, Base Carbone</v>
      </c>
      <c r="G878" s="1051" t="str">
        <f t="shared" si="92"/>
        <v>Robe en coton, France continentale, Base Carbone; kgCO2e/unité, Approvisionnement</v>
      </c>
      <c r="I878" s="2018" t="s">
        <v>3204</v>
      </c>
      <c r="J878" s="1135" t="s">
        <v>1994</v>
      </c>
      <c r="K878" s="1135" t="s">
        <v>1567</v>
      </c>
      <c r="L878" s="1135" t="s">
        <v>1571</v>
      </c>
      <c r="M878" s="2062">
        <v>0.05</v>
      </c>
      <c r="N878" s="1135" t="s">
        <v>3136</v>
      </c>
      <c r="O878" s="1135">
        <v>1.8</v>
      </c>
      <c r="P878" s="2017">
        <v>1.8</v>
      </c>
      <c r="Q878" s="2017">
        <v>0</v>
      </c>
      <c r="R878" s="2017">
        <v>0</v>
      </c>
      <c r="S878" s="2017">
        <v>0</v>
      </c>
      <c r="T878" s="2017">
        <v>0</v>
      </c>
      <c r="U878" s="2042">
        <v>0</v>
      </c>
    </row>
    <row r="879" spans="2:21" hidden="1" outlineLevel="2">
      <c r="B879" s="1135"/>
      <c r="C879" s="1045"/>
      <c r="D879" s="1051">
        <f t="shared" si="90"/>
        <v>4</v>
      </c>
      <c r="E879" s="1051" t="str">
        <f>IF(COUNTIF(E$861:E878,F879)&gt;0,"",F879)</f>
        <v/>
      </c>
      <c r="F879" s="1051" t="str">
        <f t="shared" si="91"/>
        <v>Robe en coton, France continentale, Base Carbone</v>
      </c>
      <c r="G879" s="1051" t="str">
        <f t="shared" si="92"/>
        <v>Robe en coton, France continentale, Base Carbone; kgCO2e/unité, Mise en forme</v>
      </c>
      <c r="I879" s="2018" t="s">
        <v>3204</v>
      </c>
      <c r="J879" s="1135" t="s">
        <v>1994</v>
      </c>
      <c r="K879" s="1135" t="s">
        <v>1567</v>
      </c>
      <c r="L879" s="1135" t="s">
        <v>1571</v>
      </c>
      <c r="M879" s="2062">
        <v>0.05</v>
      </c>
      <c r="N879" s="1135" t="s">
        <v>3141</v>
      </c>
      <c r="O879" s="1135">
        <v>25.7</v>
      </c>
      <c r="P879" s="2017">
        <v>25.7</v>
      </c>
      <c r="Q879" s="2017">
        <v>0</v>
      </c>
      <c r="R879" s="2017">
        <v>0</v>
      </c>
      <c r="S879" s="2017">
        <v>0</v>
      </c>
      <c r="T879" s="2017">
        <v>0</v>
      </c>
      <c r="U879" s="2042">
        <v>0</v>
      </c>
    </row>
    <row r="880" spans="2:21" hidden="1" outlineLevel="2">
      <c r="B880" s="1135"/>
      <c r="C880" s="1045"/>
      <c r="D880" s="1051">
        <f t="shared" si="90"/>
        <v>4</v>
      </c>
      <c r="E880" s="1051" t="str">
        <f>IF(COUNTIF(E$861:E879,F880)&gt;0,"",F880)</f>
        <v/>
      </c>
      <c r="F880" s="1051" t="str">
        <f t="shared" si="91"/>
        <v>Robe en coton, France continentale, Base Carbone</v>
      </c>
      <c r="G880" s="1051" t="str">
        <f t="shared" si="92"/>
        <v>Robe en coton, France continentale, Base Carbone; kgCO2e/unité, Assemblage</v>
      </c>
      <c r="I880" s="2018" t="s">
        <v>3204</v>
      </c>
      <c r="J880" s="1135" t="s">
        <v>1994</v>
      </c>
      <c r="K880" s="1135" t="s">
        <v>1567</v>
      </c>
      <c r="L880" s="1135" t="s">
        <v>1571</v>
      </c>
      <c r="M880" s="2062">
        <v>0.05</v>
      </c>
      <c r="N880" s="1135" t="s">
        <v>3137</v>
      </c>
      <c r="O880" s="1135">
        <v>1</v>
      </c>
      <c r="P880" s="2017">
        <v>1</v>
      </c>
      <c r="Q880" s="2017">
        <v>0</v>
      </c>
      <c r="R880" s="2017">
        <v>0</v>
      </c>
      <c r="S880" s="2017">
        <v>0</v>
      </c>
      <c r="T880" s="2017">
        <v>0</v>
      </c>
      <c r="U880" s="2042">
        <v>0</v>
      </c>
    </row>
    <row r="881" spans="2:21" hidden="1" outlineLevel="2">
      <c r="B881" s="1135"/>
      <c r="C881" s="1045"/>
      <c r="D881" s="1051">
        <f t="shared" si="90"/>
        <v>4</v>
      </c>
      <c r="E881" s="1051" t="str">
        <f>IF(COUNTIF(E$861:E880,F881)&gt;0,"",F881)</f>
        <v/>
      </c>
      <c r="F881" s="1051" t="str">
        <f t="shared" si="91"/>
        <v>Robe en coton, France continentale, Base Carbone</v>
      </c>
      <c r="G881" s="1051" t="str">
        <f t="shared" si="92"/>
        <v>Robe en coton, France continentale, Base Carbone; kgCO2e/unité, Distribution</v>
      </c>
      <c r="I881" s="2018" t="s">
        <v>3204</v>
      </c>
      <c r="J881" s="1135" t="s">
        <v>1994</v>
      </c>
      <c r="K881" s="1135" t="s">
        <v>1567</v>
      </c>
      <c r="L881" s="1135" t="s">
        <v>1571</v>
      </c>
      <c r="M881" s="2062">
        <v>0.05</v>
      </c>
      <c r="N881" s="1135" t="s">
        <v>3138</v>
      </c>
      <c r="O881" s="1135">
        <v>7.2</v>
      </c>
      <c r="P881" s="2017">
        <v>7.2</v>
      </c>
      <c r="Q881" s="2017">
        <v>0</v>
      </c>
      <c r="R881" s="2017">
        <v>0</v>
      </c>
      <c r="S881" s="2017">
        <v>0</v>
      </c>
      <c r="T881" s="2017">
        <v>0</v>
      </c>
      <c r="U881" s="2042">
        <v>0</v>
      </c>
    </row>
    <row r="882" spans="2:21" hidden="1" outlineLevel="2">
      <c r="B882" s="1135"/>
      <c r="C882" s="1045"/>
      <c r="D882" s="1051">
        <f t="shared" si="90"/>
        <v>5</v>
      </c>
      <c r="E882" s="1051" t="str">
        <f>IF(COUNTIF(E$861:E881,F882)&gt;0,"",F882)</f>
        <v>T-shirt en coton, France continentale, Base Carbone</v>
      </c>
      <c r="F882" s="1051" t="str">
        <f t="shared" si="91"/>
        <v>T-shirt en coton, France continentale, Base Carbone</v>
      </c>
      <c r="G882" s="1051" t="str">
        <f t="shared" si="92"/>
        <v>T-shirt en coton, France continentale, Base Carbone; kgCO2e/unité, Matières premières</v>
      </c>
      <c r="I882" s="2018" t="s">
        <v>3205</v>
      </c>
      <c r="J882" s="1135" t="s">
        <v>1994</v>
      </c>
      <c r="K882" s="1135" t="s">
        <v>1567</v>
      </c>
      <c r="L882" s="1135" t="s">
        <v>1571</v>
      </c>
      <c r="M882" s="2062">
        <v>0.25</v>
      </c>
      <c r="N882" s="1135" t="s">
        <v>3135</v>
      </c>
      <c r="O882" s="1135">
        <v>1.7</v>
      </c>
      <c r="P882" s="2017">
        <v>1.7</v>
      </c>
      <c r="Q882" s="2017">
        <v>0</v>
      </c>
      <c r="R882" s="2017">
        <v>0</v>
      </c>
      <c r="S882" s="2017">
        <v>0</v>
      </c>
      <c r="T882" s="2017">
        <v>0</v>
      </c>
      <c r="U882" s="2042">
        <v>0</v>
      </c>
    </row>
    <row r="883" spans="2:21" hidden="1" outlineLevel="2">
      <c r="B883" s="1135"/>
      <c r="C883" s="1045"/>
      <c r="D883" s="1051">
        <f t="shared" si="90"/>
        <v>5</v>
      </c>
      <c r="E883" s="1051" t="str">
        <f>IF(COUNTIF(E$861:E882,F883)&gt;0,"",F883)</f>
        <v/>
      </c>
      <c r="F883" s="1051" t="str">
        <f t="shared" si="91"/>
        <v>T-shirt en coton, France continentale, Base Carbone</v>
      </c>
      <c r="G883" s="1051" t="str">
        <f t="shared" si="92"/>
        <v>T-shirt en coton, France continentale, Base Carbone; kgCO2e/unité, Approvisionnement</v>
      </c>
      <c r="I883" s="2018" t="s">
        <v>3205</v>
      </c>
      <c r="J883" s="1135" t="s">
        <v>1994</v>
      </c>
      <c r="K883" s="1135" t="s">
        <v>1567</v>
      </c>
      <c r="L883" s="1135" t="s">
        <v>1571</v>
      </c>
      <c r="M883" s="2062">
        <v>0.25</v>
      </c>
      <c r="N883" s="1135" t="s">
        <v>3136</v>
      </c>
      <c r="O883" s="1135">
        <v>0.2</v>
      </c>
      <c r="P883" s="2017">
        <v>0.2</v>
      </c>
      <c r="Q883" s="2017">
        <v>0</v>
      </c>
      <c r="R883" s="2017">
        <v>0</v>
      </c>
      <c r="S883" s="2017">
        <v>0</v>
      </c>
      <c r="T883" s="2017">
        <v>0</v>
      </c>
      <c r="U883" s="2042">
        <v>0</v>
      </c>
    </row>
    <row r="884" spans="2:21" hidden="1" outlineLevel="2">
      <c r="B884" s="1135"/>
      <c r="C884" s="1045"/>
      <c r="D884" s="1051">
        <f t="shared" si="90"/>
        <v>5</v>
      </c>
      <c r="E884" s="1051" t="str">
        <f>IF(COUNTIF(E$861:E883,F884)&gt;0,"",F884)</f>
        <v/>
      </c>
      <c r="F884" s="1051" t="str">
        <f t="shared" si="91"/>
        <v>T-shirt en coton, France continentale, Base Carbone</v>
      </c>
      <c r="G884" s="1051" t="str">
        <f t="shared" si="92"/>
        <v>T-shirt en coton, France continentale, Base Carbone; kgCO2e/unité, Mise en forme</v>
      </c>
      <c r="I884" s="2018" t="s">
        <v>3205</v>
      </c>
      <c r="J884" s="1135" t="s">
        <v>1994</v>
      </c>
      <c r="K884" s="1135" t="s">
        <v>1567</v>
      </c>
      <c r="L884" s="1135" t="s">
        <v>1571</v>
      </c>
      <c r="M884" s="2062">
        <v>0.25</v>
      </c>
      <c r="N884" s="1135" t="s">
        <v>3141</v>
      </c>
      <c r="O884" s="1135">
        <v>1.9</v>
      </c>
      <c r="P884" s="2017">
        <v>1.9</v>
      </c>
      <c r="Q884" s="2017">
        <v>0</v>
      </c>
      <c r="R884" s="2017">
        <v>0</v>
      </c>
      <c r="S884" s="2017">
        <v>0</v>
      </c>
      <c r="T884" s="2017">
        <v>0</v>
      </c>
      <c r="U884" s="2042">
        <v>0</v>
      </c>
    </row>
    <row r="885" spans="2:21" hidden="1" outlineLevel="2">
      <c r="B885" s="1135"/>
      <c r="C885" s="1045"/>
      <c r="D885" s="1051">
        <f t="shared" si="90"/>
        <v>5</v>
      </c>
      <c r="E885" s="1051" t="str">
        <f>IF(COUNTIF(E$861:E884,F885)&gt;0,"",F885)</f>
        <v/>
      </c>
      <c r="F885" s="1051" t="str">
        <f t="shared" si="91"/>
        <v>T-shirt en coton, France continentale, Base Carbone</v>
      </c>
      <c r="G885" s="1051" t="str">
        <f t="shared" si="92"/>
        <v>T-shirt en coton, France continentale, Base Carbone; kgCO2e/unité, Assemblage</v>
      </c>
      <c r="I885" s="2018" t="s">
        <v>3205</v>
      </c>
      <c r="J885" s="1135" t="s">
        <v>1994</v>
      </c>
      <c r="K885" s="1135" t="s">
        <v>1567</v>
      </c>
      <c r="L885" s="1135" t="s">
        <v>1571</v>
      </c>
      <c r="M885" s="2062">
        <v>0.25</v>
      </c>
      <c r="N885" s="1135" t="s">
        <v>3137</v>
      </c>
      <c r="O885" s="1135">
        <v>0.4</v>
      </c>
      <c r="P885" s="2017">
        <v>0.4</v>
      </c>
      <c r="Q885" s="2017">
        <v>0</v>
      </c>
      <c r="R885" s="2017">
        <v>0</v>
      </c>
      <c r="S885" s="2017">
        <v>0</v>
      </c>
      <c r="T885" s="2017">
        <v>0</v>
      </c>
      <c r="U885" s="2042">
        <v>0</v>
      </c>
    </row>
    <row r="886" spans="2:21" hidden="1" outlineLevel="2">
      <c r="B886" s="1135"/>
      <c r="C886" s="1045"/>
      <c r="D886" s="1051">
        <f t="shared" si="90"/>
        <v>5</v>
      </c>
      <c r="E886" s="1051" t="str">
        <f>IF(COUNTIF(E$861:E885,F886)&gt;0,"",F886)</f>
        <v/>
      </c>
      <c r="F886" s="1051" t="str">
        <f t="shared" si="91"/>
        <v>T-shirt en coton, France continentale, Base Carbone</v>
      </c>
      <c r="G886" s="1051" t="str">
        <f t="shared" si="92"/>
        <v>T-shirt en coton, France continentale, Base Carbone; kgCO2e/unité, Distribution</v>
      </c>
      <c r="I886" s="2018" t="s">
        <v>3205</v>
      </c>
      <c r="J886" s="1135" t="s">
        <v>1994</v>
      </c>
      <c r="K886" s="1135" t="s">
        <v>1567</v>
      </c>
      <c r="L886" s="1135" t="s">
        <v>1571</v>
      </c>
      <c r="M886" s="2062">
        <v>0.25</v>
      </c>
      <c r="N886" s="1135" t="s">
        <v>3138</v>
      </c>
      <c r="O886" s="1135">
        <v>1</v>
      </c>
      <c r="P886" s="2017">
        <v>1</v>
      </c>
      <c r="Q886" s="2017">
        <v>0</v>
      </c>
      <c r="R886" s="2017">
        <v>0</v>
      </c>
      <c r="S886" s="2017">
        <v>0</v>
      </c>
      <c r="T886" s="2017">
        <v>0</v>
      </c>
      <c r="U886" s="2042">
        <v>0</v>
      </c>
    </row>
    <row r="887" spans="2:21" hidden="1" outlineLevel="2">
      <c r="B887" s="1135"/>
      <c r="C887" s="1045"/>
      <c r="D887" s="1051">
        <f t="shared" si="90"/>
        <v>5</v>
      </c>
      <c r="E887" s="1051" t="str">
        <f>IF(COUNTIF(E$861:E886,F887)&gt;0,"",F887)</f>
        <v/>
      </c>
      <c r="F887" s="1051" t="str">
        <f t="shared" si="91"/>
        <v/>
      </c>
      <c r="G887" s="1051" t="str">
        <f t="shared" si="92"/>
        <v/>
      </c>
      <c r="I887" s="2018"/>
      <c r="J887" s="1135"/>
      <c r="K887" s="1135"/>
      <c r="L887" s="1135"/>
      <c r="M887" s="2062"/>
      <c r="N887" s="1135"/>
      <c r="O887" s="1135"/>
      <c r="P887" s="2017"/>
      <c r="Q887" s="2017"/>
      <c r="R887" s="2017"/>
      <c r="S887" s="2017"/>
      <c r="T887" s="2017"/>
      <c r="U887" s="2042"/>
    </row>
    <row r="888" spans="2:21" hidden="1" outlineLevel="2">
      <c r="B888" s="1135"/>
      <c r="C888" s="1045"/>
      <c r="D888" s="1051">
        <f t="shared" si="90"/>
        <v>5</v>
      </c>
      <c r="E888" s="1051" t="str">
        <f>IF(COUNTIF(E$861:E887,F888)&gt;0,"",F888)</f>
        <v/>
      </c>
      <c r="F888" s="1051" t="str">
        <f t="shared" si="91"/>
        <v/>
      </c>
      <c r="G888" s="1051" t="str">
        <f t="shared" si="92"/>
        <v/>
      </c>
      <c r="I888" s="2018"/>
      <c r="J888" s="1135"/>
      <c r="K888" s="1135"/>
      <c r="L888" s="1135"/>
      <c r="M888" s="2062"/>
      <c r="N888" s="1135"/>
      <c r="O888" s="1135"/>
      <c r="P888" s="2017"/>
      <c r="Q888" s="2017"/>
      <c r="R888" s="2017"/>
      <c r="S888" s="2017"/>
      <c r="T888" s="2017"/>
      <c r="U888" s="2042"/>
    </row>
    <row r="889" spans="2:21" hidden="1" outlineLevel="2">
      <c r="B889" s="1135"/>
      <c r="C889" s="1045"/>
      <c r="D889" s="1051">
        <f t="shared" si="90"/>
        <v>5</v>
      </c>
      <c r="E889" s="1051" t="str">
        <f>IF(COUNTIF(E$861:E888,F889)&gt;0,"",F889)</f>
        <v/>
      </c>
      <c r="F889" s="1051" t="str">
        <f t="shared" si="91"/>
        <v/>
      </c>
      <c r="G889" s="1051" t="str">
        <f t="shared" si="92"/>
        <v/>
      </c>
      <c r="I889" s="2018"/>
      <c r="J889" s="1135"/>
      <c r="K889" s="1135"/>
      <c r="L889" s="1135"/>
      <c r="M889" s="2062"/>
      <c r="N889" s="1135"/>
      <c r="O889" s="1135"/>
      <c r="P889" s="2017"/>
      <c r="Q889" s="2017"/>
      <c r="R889" s="2017"/>
      <c r="S889" s="2017"/>
      <c r="T889" s="2017"/>
      <c r="U889" s="2042"/>
    </row>
    <row r="890" spans="2:21" hidden="1" outlineLevel="2">
      <c r="B890" s="1135"/>
      <c r="C890" s="1045"/>
      <c r="D890" s="1051">
        <f t="shared" si="90"/>
        <v>5</v>
      </c>
      <c r="E890" s="1051" t="str">
        <f>IF(COUNTIF(E$861:E889,F890)&gt;0,"",F890)</f>
        <v/>
      </c>
      <c r="F890" s="1051" t="str">
        <f t="shared" si="91"/>
        <v/>
      </c>
      <c r="G890" s="1051" t="str">
        <f t="shared" si="92"/>
        <v/>
      </c>
      <c r="I890" s="2018"/>
      <c r="J890" s="1135"/>
      <c r="K890" s="1135"/>
      <c r="L890" s="1135"/>
      <c r="M890" s="2062"/>
      <c r="N890" s="1135"/>
      <c r="O890" s="1135"/>
      <c r="P890" s="2017"/>
      <c r="Q890" s="2017"/>
      <c r="R890" s="2017"/>
      <c r="S890" s="2017"/>
      <c r="T890" s="2017"/>
      <c r="U890" s="2042"/>
    </row>
    <row r="891" spans="2:21" ht="13.2" hidden="1" outlineLevel="1">
      <c r="B891" s="1135"/>
      <c r="C891" s="1045"/>
      <c r="D891" s="1045"/>
      <c r="E891" s="1045"/>
      <c r="F891" s="1045"/>
      <c r="G891" s="1135"/>
      <c r="I891" s="1746"/>
      <c r="J891" s="1742"/>
      <c r="K891" s="1742"/>
      <c r="L891" s="1742"/>
      <c r="M891" s="1742"/>
      <c r="N891" s="1742"/>
      <c r="O891" s="1742"/>
      <c r="P891" s="1742"/>
      <c r="Q891" s="1742"/>
      <c r="R891" s="1742"/>
      <c r="S891" s="1742"/>
      <c r="T891" s="1742"/>
      <c r="U891" s="2063"/>
    </row>
    <row r="892" spans="2:21" ht="12.75" hidden="1" customHeight="1" outlineLevel="1" collapsed="1">
      <c r="B892" s="3156" t="s">
        <v>3247</v>
      </c>
      <c r="C892" s="3156"/>
      <c r="D892" s="1051">
        <v>0</v>
      </c>
      <c r="E892" s="1051"/>
      <c r="F892" s="1051"/>
      <c r="G892" s="1051"/>
      <c r="I892" s="1746"/>
      <c r="J892" s="1742"/>
      <c r="K892" s="1742"/>
      <c r="L892" s="1742"/>
      <c r="M892" s="1742"/>
      <c r="N892" s="1742"/>
      <c r="O892" s="1742"/>
      <c r="P892" s="1742"/>
      <c r="Q892" s="1742"/>
      <c r="R892" s="1742"/>
      <c r="S892" s="1742"/>
      <c r="T892" s="1742"/>
      <c r="U892" s="2063"/>
    </row>
    <row r="893" spans="2:21" hidden="1" outlineLevel="2">
      <c r="B893" s="2059">
        <v>1</v>
      </c>
      <c r="C893" s="1050" t="str">
        <f>IF(ISNA(VLOOKUP(B893,$D$892:$E$913,2,FALSE)),"-",VLOOKUP(B893,$D$892:$E$913,2,FALSE))</f>
        <v>Chaussures en cuir, France continentale, Base Carbone</v>
      </c>
      <c r="D893" s="1051">
        <f>D892+IF(LEN(E893)&gt;0,1,0)</f>
        <v>1</v>
      </c>
      <c r="E893" s="1051" t="str">
        <f>IF(COUNTIF(E$892:E892,F893)&gt;0,"",F893)</f>
        <v>Chaussures en cuir, France continentale, Base Carbone</v>
      </c>
      <c r="F893" s="1051" t="str">
        <f>IF(I893&lt;&gt;"",I893&amp;IF(L893&lt;&gt;"",", "&amp;L893,"")&amp;IF(K893&lt;&gt;"",", "&amp;K893,""),"")</f>
        <v>Chaussures en cuir, France continentale, Base Carbone</v>
      </c>
      <c r="G893" s="1051" t="str">
        <f>IF(F893&lt;&gt;"",F893&amp;IF(J893&lt;&gt;"","; "&amp;J893&amp;IF(N893&lt;&gt;"",", "&amp;N893,),""),"")</f>
        <v>Chaussures en cuir, France continentale, Base Carbone; kgCO2e/unité, Matières premières</v>
      </c>
      <c r="I893" s="2018" t="s">
        <v>3206</v>
      </c>
      <c r="J893" s="1135" t="s">
        <v>1994</v>
      </c>
      <c r="K893" s="1135" t="s">
        <v>1567</v>
      </c>
      <c r="L893" s="1135" t="s">
        <v>1571</v>
      </c>
      <c r="M893" s="2062">
        <v>0.15</v>
      </c>
      <c r="N893" s="1135" t="s">
        <v>3135</v>
      </c>
      <c r="O893" s="1135">
        <v>3.1</v>
      </c>
      <c r="P893" s="2017">
        <v>3.1</v>
      </c>
      <c r="Q893" s="2017">
        <v>0</v>
      </c>
      <c r="R893" s="2017">
        <v>0</v>
      </c>
      <c r="S893" s="2017">
        <v>0</v>
      </c>
      <c r="T893" s="2017">
        <v>0</v>
      </c>
      <c r="U893" s="2042">
        <v>0</v>
      </c>
    </row>
    <row r="894" spans="2:21" hidden="1" outlineLevel="2">
      <c r="B894" s="2059">
        <v>2</v>
      </c>
      <c r="C894" s="1050" t="str">
        <f t="shared" ref="C894:C902" si="93">IF(ISNA(VLOOKUP(B894,$D$892:$E$913,2,FALSE)),"-",VLOOKUP(B894,$D$892:$E$913,2,FALSE))</f>
        <v>Finition post-tannage du cuir, Asie, Base Carbone</v>
      </c>
      <c r="D894" s="1051">
        <f t="shared" ref="D894:D913" si="94">D893+IF(LEN(E894)&gt;0,1,0)</f>
        <v>1</v>
      </c>
      <c r="E894" s="1051" t="str">
        <f>IF(COUNTIF(E$892:E893,F894)&gt;0,"",F894)</f>
        <v/>
      </c>
      <c r="F894" s="1051" t="str">
        <f t="shared" ref="F894:F913" si="95">IF(I894&lt;&gt;"",I894&amp;IF(L894&lt;&gt;"",", "&amp;L894,"")&amp;IF(K894&lt;&gt;"",", "&amp;K894,""),"")</f>
        <v>Chaussures en cuir, France continentale, Base Carbone</v>
      </c>
      <c r="G894" s="1051" t="str">
        <f t="shared" ref="G894:G913" si="96">IF(F894&lt;&gt;"",F894&amp;IF(J894&lt;&gt;"","; "&amp;J894&amp;IF(N894&lt;&gt;"",", "&amp;N894,),""),"")</f>
        <v>Chaussures en cuir, France continentale, Base Carbone; kgCO2e/unité, Approvisionnement</v>
      </c>
      <c r="I894" s="2018" t="s">
        <v>3206</v>
      </c>
      <c r="J894" s="1135" t="s">
        <v>1994</v>
      </c>
      <c r="K894" s="1135" t="s">
        <v>1567</v>
      </c>
      <c r="L894" s="1135" t="s">
        <v>1571</v>
      </c>
      <c r="M894" s="2062">
        <v>0.15</v>
      </c>
      <c r="N894" s="1135" t="s">
        <v>3136</v>
      </c>
      <c r="O894" s="1135">
        <v>0.4</v>
      </c>
      <c r="P894" s="2017">
        <v>0.4</v>
      </c>
      <c r="Q894" s="2017">
        <v>0</v>
      </c>
      <c r="R894" s="2017">
        <v>0</v>
      </c>
      <c r="S894" s="2017">
        <v>0</v>
      </c>
      <c r="T894" s="2017">
        <v>0</v>
      </c>
      <c r="U894" s="2042">
        <v>0</v>
      </c>
    </row>
    <row r="895" spans="2:21" hidden="1" outlineLevel="2">
      <c r="B895" s="2059">
        <v>3</v>
      </c>
      <c r="C895" s="1050" t="str">
        <f t="shared" si="93"/>
        <v>Laquage PU du cuir, Asie, Base Carbone</v>
      </c>
      <c r="D895" s="1051">
        <f t="shared" si="94"/>
        <v>1</v>
      </c>
      <c r="E895" s="1051" t="str">
        <f>IF(COUNTIF(E$892:E894,F895)&gt;0,"",F895)</f>
        <v/>
      </c>
      <c r="F895" s="1051" t="str">
        <f t="shared" si="95"/>
        <v>Chaussures en cuir, France continentale, Base Carbone</v>
      </c>
      <c r="G895" s="1051" t="str">
        <f t="shared" si="96"/>
        <v>Chaussures en cuir, France continentale, Base Carbone; kgCO2e/unité, Mise en forme</v>
      </c>
      <c r="I895" s="2018" t="s">
        <v>3206</v>
      </c>
      <c r="J895" s="1135" t="s">
        <v>1994</v>
      </c>
      <c r="K895" s="1135" t="s">
        <v>1567</v>
      </c>
      <c r="L895" s="1135" t="s">
        <v>1571</v>
      </c>
      <c r="M895" s="2062">
        <v>0.15</v>
      </c>
      <c r="N895" s="1135" t="s">
        <v>3141</v>
      </c>
      <c r="O895" s="1135">
        <v>0.5</v>
      </c>
      <c r="P895" s="2017">
        <v>0.5</v>
      </c>
      <c r="Q895" s="2017">
        <v>0</v>
      </c>
      <c r="R895" s="2017">
        <v>0</v>
      </c>
      <c r="S895" s="2017">
        <v>0</v>
      </c>
      <c r="T895" s="2017">
        <v>0</v>
      </c>
      <c r="U895" s="2042">
        <v>0</v>
      </c>
    </row>
    <row r="896" spans="2:21" hidden="1" outlineLevel="2">
      <c r="B896" s="2059">
        <v>4</v>
      </c>
      <c r="C896" s="1050" t="str">
        <f t="shared" si="93"/>
        <v>Laquage PU du cuir, Europe, Base Carbone</v>
      </c>
      <c r="D896" s="1051">
        <f t="shared" si="94"/>
        <v>1</v>
      </c>
      <c r="E896" s="1051" t="str">
        <f>IF(COUNTIF(E$892:E895,F896)&gt;0,"",F896)</f>
        <v/>
      </c>
      <c r="F896" s="1051" t="str">
        <f t="shared" si="95"/>
        <v>Chaussures en cuir, France continentale, Base Carbone</v>
      </c>
      <c r="G896" s="1051" t="str">
        <f t="shared" si="96"/>
        <v>Chaussures en cuir, France continentale, Base Carbone; kgCO2e/unité, Assemblage</v>
      </c>
      <c r="I896" s="2018" t="s">
        <v>3206</v>
      </c>
      <c r="J896" s="1135" t="s">
        <v>1994</v>
      </c>
      <c r="K896" s="1135" t="s">
        <v>1567</v>
      </c>
      <c r="L896" s="1135" t="s">
        <v>1571</v>
      </c>
      <c r="M896" s="2062">
        <v>0.15</v>
      </c>
      <c r="N896" s="1135" t="s">
        <v>3137</v>
      </c>
      <c r="O896" s="1135">
        <v>4.3</v>
      </c>
      <c r="P896" s="2017">
        <v>4.3</v>
      </c>
      <c r="Q896" s="2017">
        <v>0</v>
      </c>
      <c r="R896" s="2017">
        <v>0</v>
      </c>
      <c r="S896" s="2017">
        <v>0</v>
      </c>
      <c r="T896" s="2017">
        <v>0</v>
      </c>
      <c r="U896" s="2042">
        <v>0</v>
      </c>
    </row>
    <row r="897" spans="2:21" hidden="1" outlineLevel="2">
      <c r="B897" s="2059">
        <v>5</v>
      </c>
      <c r="C897" s="1050" t="str">
        <f t="shared" si="93"/>
        <v>Ponçage du cuir, Asie, Base Carbone</v>
      </c>
      <c r="D897" s="1051">
        <f t="shared" si="94"/>
        <v>1</v>
      </c>
      <c r="E897" s="1051" t="str">
        <f>IF(COUNTIF(E$892:E896,F897)&gt;0,"",F897)</f>
        <v/>
      </c>
      <c r="F897" s="1051" t="str">
        <f t="shared" si="95"/>
        <v>Chaussures en cuir, France continentale, Base Carbone</v>
      </c>
      <c r="G897" s="1051" t="str">
        <f t="shared" si="96"/>
        <v>Chaussures en cuir, France continentale, Base Carbone; kgCO2e/unité, Distribution</v>
      </c>
      <c r="I897" s="2018" t="s">
        <v>3206</v>
      </c>
      <c r="J897" s="1135" t="s">
        <v>1994</v>
      </c>
      <c r="K897" s="1135" t="s">
        <v>1567</v>
      </c>
      <c r="L897" s="1135" t="s">
        <v>1571</v>
      </c>
      <c r="M897" s="2062">
        <v>0.15</v>
      </c>
      <c r="N897" s="1135" t="s">
        <v>3138</v>
      </c>
      <c r="O897" s="1135">
        <v>5.0999999999999996</v>
      </c>
      <c r="P897" s="2017">
        <v>5.0999999999999996</v>
      </c>
      <c r="Q897" s="2017">
        <v>0</v>
      </c>
      <c r="R897" s="2017">
        <v>0</v>
      </c>
      <c r="S897" s="2017">
        <v>0</v>
      </c>
      <c r="T897" s="2017">
        <v>0</v>
      </c>
      <c r="U897" s="2042">
        <v>0</v>
      </c>
    </row>
    <row r="898" spans="2:21" hidden="1" outlineLevel="2">
      <c r="B898" s="2059">
        <v>6</v>
      </c>
      <c r="C898" s="1050" t="str">
        <f t="shared" si="93"/>
        <v>Ponçage du cuir, Europe, Base Carbone</v>
      </c>
      <c r="D898" s="1051">
        <f t="shared" si="94"/>
        <v>2</v>
      </c>
      <c r="E898" s="1051" t="str">
        <f>IF(COUNTIF(E$892:E897,F898)&gt;0,"",F898)</f>
        <v>Finition post-tannage du cuir, Asie, Base Carbone</v>
      </c>
      <c r="F898" s="1051" t="str">
        <f t="shared" si="95"/>
        <v>Finition post-tannage du cuir, Asie, Base Carbone</v>
      </c>
      <c r="G898" s="1051" t="str">
        <f t="shared" si="96"/>
        <v>Finition post-tannage du cuir, Asie, Base Carbone; kgCO2e/kg de cuir traité, Matières premières</v>
      </c>
      <c r="I898" s="2018" t="s">
        <v>2113</v>
      </c>
      <c r="J898" s="1135" t="s">
        <v>2117</v>
      </c>
      <c r="K898" s="1135" t="s">
        <v>1567</v>
      </c>
      <c r="L898" s="1135" t="s">
        <v>2112</v>
      </c>
      <c r="M898" s="2062">
        <v>0.5</v>
      </c>
      <c r="N898" s="2017" t="s">
        <v>3135</v>
      </c>
      <c r="O898" s="1135">
        <v>2.39</v>
      </c>
      <c r="P898" s="2017">
        <v>2.17</v>
      </c>
      <c r="Q898" s="2017">
        <v>0.14099999999999999</v>
      </c>
      <c r="R898" s="2017">
        <v>0</v>
      </c>
      <c r="S898" s="2017">
        <v>7.8100000000000003E-2</v>
      </c>
      <c r="T898" s="2017">
        <v>1.24E-5</v>
      </c>
      <c r="U898" s="2042">
        <v>-6.4099999999999999E-3</v>
      </c>
    </row>
    <row r="899" spans="2:21" hidden="1" outlineLevel="2">
      <c r="B899" s="2059">
        <v>7</v>
      </c>
      <c r="C899" s="1050" t="str">
        <f t="shared" si="93"/>
        <v>Veste en simili cuir , France continentale, Base Carbone</v>
      </c>
      <c r="D899" s="1051">
        <f t="shared" si="94"/>
        <v>3</v>
      </c>
      <c r="E899" s="1051" t="str">
        <f>IF(COUNTIF(E$892:E898,F899)&gt;0,"",F899)</f>
        <v>Laquage PU du cuir, Asie, Base Carbone</v>
      </c>
      <c r="F899" s="1051" t="str">
        <f t="shared" si="95"/>
        <v>Laquage PU du cuir, Asie, Base Carbone</v>
      </c>
      <c r="G899" s="1051" t="str">
        <f t="shared" si="96"/>
        <v>Laquage PU du cuir, Asie, Base Carbone; kgCO2e/kg de cuir traité, Matières premières</v>
      </c>
      <c r="I899" s="2018" t="s">
        <v>2114</v>
      </c>
      <c r="J899" s="1135" t="s">
        <v>2117</v>
      </c>
      <c r="K899" s="1135" t="s">
        <v>1567</v>
      </c>
      <c r="L899" s="1135" t="s">
        <v>2112</v>
      </c>
      <c r="M899" s="2062">
        <v>0.5</v>
      </c>
      <c r="N899" s="2017" t="s">
        <v>3135</v>
      </c>
      <c r="O899" s="1135">
        <v>1.88</v>
      </c>
      <c r="P899" s="2017">
        <v>1.75</v>
      </c>
      <c r="Q899" s="2017">
        <v>0.113</v>
      </c>
      <c r="R899" s="2017">
        <v>0</v>
      </c>
      <c r="S899" s="2017">
        <v>1.9699999999999999E-2</v>
      </c>
      <c r="T899" s="2017">
        <v>3.7900000000000001E-6</v>
      </c>
      <c r="U899" s="2042">
        <v>2.0199999999999999E-2</v>
      </c>
    </row>
    <row r="900" spans="2:21" hidden="1" outlineLevel="2">
      <c r="B900" s="2059">
        <v>8</v>
      </c>
      <c r="C900" s="1050" t="str">
        <f t="shared" si="93"/>
        <v>Tannage ''wet white'' du cuir, Asie, Base Carbone</v>
      </c>
      <c r="D900" s="1051">
        <f t="shared" si="94"/>
        <v>4</v>
      </c>
      <c r="E900" s="1051" t="str">
        <f>IF(COUNTIF(E$892:E899,F900)&gt;0,"",F900)</f>
        <v>Laquage PU du cuir, Europe, Base Carbone</v>
      </c>
      <c r="F900" s="1051" t="str">
        <f t="shared" si="95"/>
        <v>Laquage PU du cuir, Europe, Base Carbone</v>
      </c>
      <c r="G900" s="1051" t="str">
        <f t="shared" si="96"/>
        <v>Laquage PU du cuir, Europe, Base Carbone; kgCO2e/kg de cuir traité, Matières premières</v>
      </c>
      <c r="I900" s="2018" t="s">
        <v>2114</v>
      </c>
      <c r="J900" s="1135" t="s">
        <v>2117</v>
      </c>
      <c r="K900" s="1135" t="s">
        <v>1567</v>
      </c>
      <c r="L900" s="1135" t="s">
        <v>1568</v>
      </c>
      <c r="M900" s="2062">
        <v>0.5</v>
      </c>
      <c r="N900" s="2017" t="s">
        <v>3135</v>
      </c>
      <c r="O900" s="1135">
        <v>1.63</v>
      </c>
      <c r="P900" s="2017">
        <v>1.51</v>
      </c>
      <c r="Q900" s="2017">
        <v>9.9199999999999997E-2</v>
      </c>
      <c r="R900" s="2017">
        <v>0</v>
      </c>
      <c r="S900" s="2017">
        <v>1.6199999999999999E-2</v>
      </c>
      <c r="T900" s="2017">
        <v>8.7700000000000007E-6</v>
      </c>
      <c r="U900" s="2042">
        <v>1.95E-2</v>
      </c>
    </row>
    <row r="901" spans="2:21" hidden="1" outlineLevel="2">
      <c r="B901" s="2059">
        <v>9</v>
      </c>
      <c r="C901" s="1050" t="str">
        <f t="shared" si="93"/>
        <v>-</v>
      </c>
      <c r="D901" s="1051">
        <f t="shared" si="94"/>
        <v>5</v>
      </c>
      <c r="E901" s="1051" t="str">
        <f>IF(COUNTIF(E$892:E900,F901)&gt;0,"",F901)</f>
        <v>Ponçage du cuir, Asie, Base Carbone</v>
      </c>
      <c r="F901" s="1051" t="str">
        <f t="shared" si="95"/>
        <v>Ponçage du cuir, Asie, Base Carbone</v>
      </c>
      <c r="G901" s="1051" t="str">
        <f t="shared" si="96"/>
        <v>Ponçage du cuir, Asie, Base Carbone; kgCO2e/kg de cuir traité, Matières premières</v>
      </c>
      <c r="I901" s="2018" t="s">
        <v>2115</v>
      </c>
      <c r="J901" s="1135" t="s">
        <v>2117</v>
      </c>
      <c r="K901" s="1135" t="s">
        <v>1567</v>
      </c>
      <c r="L901" s="1135" t="s">
        <v>2112</v>
      </c>
      <c r="M901" s="2062">
        <v>0.5</v>
      </c>
      <c r="N901" s="2017" t="s">
        <v>3135</v>
      </c>
      <c r="O901" s="1135">
        <v>0.107</v>
      </c>
      <c r="P901" s="2017">
        <v>9.9400000000000002E-2</v>
      </c>
      <c r="Q901" s="2017">
        <v>6.45E-3</v>
      </c>
      <c r="R901" s="2017">
        <v>0</v>
      </c>
      <c r="S901" s="2017">
        <v>7.5000000000000002E-4</v>
      </c>
      <c r="T901" s="2017">
        <v>1.35E-6</v>
      </c>
      <c r="U901" s="2042">
        <v>1.52E-5</v>
      </c>
    </row>
    <row r="902" spans="2:21" hidden="1" outlineLevel="2">
      <c r="B902" s="2059">
        <v>10</v>
      </c>
      <c r="C902" s="1050" t="str">
        <f t="shared" si="93"/>
        <v>-</v>
      </c>
      <c r="D902" s="1051">
        <f t="shared" si="94"/>
        <v>6</v>
      </c>
      <c r="E902" s="1051" t="str">
        <f>IF(COUNTIF(E$892:E901,F902)&gt;0,"",F902)</f>
        <v>Ponçage du cuir, Europe, Base Carbone</v>
      </c>
      <c r="F902" s="1051" t="str">
        <f t="shared" si="95"/>
        <v>Ponçage du cuir, Europe, Base Carbone</v>
      </c>
      <c r="G902" s="1051" t="str">
        <f t="shared" si="96"/>
        <v>Ponçage du cuir, Europe, Base Carbone; kgCO2e/kg de cuir traité, Matières premières</v>
      </c>
      <c r="I902" s="2018" t="s">
        <v>2115</v>
      </c>
      <c r="J902" s="1135" t="s">
        <v>2117</v>
      </c>
      <c r="K902" s="1135" t="s">
        <v>1567</v>
      </c>
      <c r="L902" s="1135" t="s">
        <v>1568</v>
      </c>
      <c r="M902" s="2062">
        <v>0.5</v>
      </c>
      <c r="N902" s="2017" t="s">
        <v>3135</v>
      </c>
      <c r="O902" s="1135">
        <v>5.8999999999999997E-2</v>
      </c>
      <c r="P902" s="2017">
        <v>5.5300000000000002E-2</v>
      </c>
      <c r="Q902" s="2017">
        <v>3.3899999999999998E-3</v>
      </c>
      <c r="R902" s="2017">
        <v>0</v>
      </c>
      <c r="S902" s="2017">
        <v>2.92E-4</v>
      </c>
      <c r="T902" s="2017">
        <v>2.2699999999999999E-6</v>
      </c>
      <c r="U902" s="2042">
        <v>-1.15E-4</v>
      </c>
    </row>
    <row r="903" spans="2:21" hidden="1" outlineLevel="2">
      <c r="B903" s="1135"/>
      <c r="C903" s="1045"/>
      <c r="D903" s="1051">
        <f t="shared" si="94"/>
        <v>7</v>
      </c>
      <c r="E903" s="1051" t="str">
        <f>IF(COUNTIF(E$892:E902,F903)&gt;0,"",F903)</f>
        <v>Veste en simili cuir , France continentale, Base Carbone</v>
      </c>
      <c r="F903" s="1051" t="str">
        <f t="shared" si="95"/>
        <v>Veste en simili cuir , France continentale, Base Carbone</v>
      </c>
      <c r="G903" s="1051" t="str">
        <f t="shared" si="96"/>
        <v>Veste en simili cuir , France continentale, Base Carbone; kgCO2e/unité, Matières premières</v>
      </c>
      <c r="I903" s="2018" t="s">
        <v>3207</v>
      </c>
      <c r="J903" s="1135" t="s">
        <v>1994</v>
      </c>
      <c r="K903" s="1135" t="s">
        <v>1567</v>
      </c>
      <c r="L903" s="1135" t="s">
        <v>1571</v>
      </c>
      <c r="M903" s="2062">
        <v>0.6</v>
      </c>
      <c r="N903" s="1135" t="s">
        <v>3135</v>
      </c>
      <c r="O903" s="1135">
        <v>12.3</v>
      </c>
      <c r="P903" s="2017">
        <v>12.3</v>
      </c>
      <c r="Q903" s="2017">
        <v>0</v>
      </c>
      <c r="R903" s="2017">
        <v>0</v>
      </c>
      <c r="S903" s="2017">
        <v>0</v>
      </c>
      <c r="T903" s="2017">
        <v>0</v>
      </c>
      <c r="U903" s="2042">
        <v>0</v>
      </c>
    </row>
    <row r="904" spans="2:21" hidden="1" outlineLevel="2">
      <c r="B904" s="1135"/>
      <c r="C904" s="1045"/>
      <c r="D904" s="1051">
        <f t="shared" si="94"/>
        <v>7</v>
      </c>
      <c r="E904" s="1051" t="str">
        <f>IF(COUNTIF(E$892:E903,F904)&gt;0,"",F904)</f>
        <v/>
      </c>
      <c r="F904" s="1051" t="str">
        <f t="shared" si="95"/>
        <v>Veste en simili cuir , France continentale, Base Carbone</v>
      </c>
      <c r="G904" s="1051" t="str">
        <f t="shared" si="96"/>
        <v>Veste en simili cuir , France continentale, Base Carbone; kgCO2e/unité, Approvisionnement</v>
      </c>
      <c r="I904" s="2018" t="s">
        <v>3207</v>
      </c>
      <c r="J904" s="1135" t="s">
        <v>1994</v>
      </c>
      <c r="K904" s="1135" t="s">
        <v>1567</v>
      </c>
      <c r="L904" s="1135" t="s">
        <v>1571</v>
      </c>
      <c r="M904" s="2062">
        <v>0.6</v>
      </c>
      <c r="N904" s="1135" t="s">
        <v>3136</v>
      </c>
      <c r="O904" s="1135">
        <v>0.4</v>
      </c>
      <c r="P904" s="2017">
        <v>0.4</v>
      </c>
      <c r="Q904" s="2017">
        <v>0</v>
      </c>
      <c r="R904" s="2017">
        <v>0</v>
      </c>
      <c r="S904" s="2017">
        <v>0</v>
      </c>
      <c r="T904" s="2017">
        <v>0</v>
      </c>
      <c r="U904" s="2042">
        <v>0</v>
      </c>
    </row>
    <row r="905" spans="2:21" hidden="1" outlineLevel="2">
      <c r="B905" s="1135"/>
      <c r="C905" s="1045"/>
      <c r="D905" s="1051">
        <f t="shared" si="94"/>
        <v>7</v>
      </c>
      <c r="E905" s="1051" t="str">
        <f>IF(COUNTIF(E$892:E904,F905)&gt;0,"",F905)</f>
        <v/>
      </c>
      <c r="F905" s="1051" t="str">
        <f t="shared" si="95"/>
        <v>Veste en simili cuir , France continentale, Base Carbone</v>
      </c>
      <c r="G905" s="1051" t="str">
        <f t="shared" si="96"/>
        <v>Veste en simili cuir , France continentale, Base Carbone; kgCO2e/unité, Mise en forme</v>
      </c>
      <c r="I905" s="2018" t="s">
        <v>3207</v>
      </c>
      <c r="J905" s="1135" t="s">
        <v>1994</v>
      </c>
      <c r="K905" s="1135" t="s">
        <v>1567</v>
      </c>
      <c r="L905" s="1135" t="s">
        <v>1571</v>
      </c>
      <c r="M905" s="2062">
        <v>0.6</v>
      </c>
      <c r="N905" s="1135" t="s">
        <v>3141</v>
      </c>
      <c r="O905" s="1135">
        <v>6.5</v>
      </c>
      <c r="P905" s="2017">
        <v>6.5</v>
      </c>
      <c r="Q905" s="2017">
        <v>0</v>
      </c>
      <c r="R905" s="2017">
        <v>0</v>
      </c>
      <c r="S905" s="2017">
        <v>0</v>
      </c>
      <c r="T905" s="2017">
        <v>0</v>
      </c>
      <c r="U905" s="2042">
        <v>0</v>
      </c>
    </row>
    <row r="906" spans="2:21" hidden="1" outlineLevel="2">
      <c r="B906" s="1135"/>
      <c r="C906" s="1045"/>
      <c r="D906" s="1051">
        <f t="shared" si="94"/>
        <v>7</v>
      </c>
      <c r="E906" s="1051" t="str">
        <f>IF(COUNTIF(E$892:E905,F906)&gt;0,"",F906)</f>
        <v/>
      </c>
      <c r="F906" s="1051" t="str">
        <f t="shared" si="95"/>
        <v>Veste en simili cuir , France continentale, Base Carbone</v>
      </c>
      <c r="G906" s="1051" t="str">
        <f t="shared" si="96"/>
        <v>Veste en simili cuir , France continentale, Base Carbone; kgCO2e/unité, Assemblage</v>
      </c>
      <c r="I906" s="2018" t="s">
        <v>3207</v>
      </c>
      <c r="J906" s="1135" t="s">
        <v>1994</v>
      </c>
      <c r="K906" s="1135" t="s">
        <v>1567</v>
      </c>
      <c r="L906" s="1135" t="s">
        <v>1571</v>
      </c>
      <c r="M906" s="2062">
        <v>0.6</v>
      </c>
      <c r="N906" s="1135" t="s">
        <v>3137</v>
      </c>
      <c r="O906" s="1135">
        <v>1</v>
      </c>
      <c r="P906" s="2017">
        <v>1</v>
      </c>
      <c r="Q906" s="2017">
        <v>0</v>
      </c>
      <c r="R906" s="2017">
        <v>0</v>
      </c>
      <c r="S906" s="2017">
        <v>0</v>
      </c>
      <c r="T906" s="2017">
        <v>0</v>
      </c>
      <c r="U906" s="2042">
        <v>0</v>
      </c>
    </row>
    <row r="907" spans="2:21" hidden="1" outlineLevel="2">
      <c r="B907" s="1135"/>
      <c r="C907" s="1045"/>
      <c r="D907" s="1051">
        <f t="shared" si="94"/>
        <v>7</v>
      </c>
      <c r="E907" s="1051" t="str">
        <f>IF(COUNTIF(E$892:E906,F907)&gt;0,"",F907)</f>
        <v/>
      </c>
      <c r="F907" s="1051" t="str">
        <f t="shared" si="95"/>
        <v>Veste en simili cuir , France continentale, Base Carbone</v>
      </c>
      <c r="G907" s="1051" t="str">
        <f t="shared" si="96"/>
        <v>Veste en simili cuir , France continentale, Base Carbone; kgCO2e/unité, Distribution</v>
      </c>
      <c r="I907" s="2018" t="s">
        <v>3207</v>
      </c>
      <c r="J907" s="1135" t="s">
        <v>1994</v>
      </c>
      <c r="K907" s="1135" t="s">
        <v>1567</v>
      </c>
      <c r="L907" s="1135" t="s">
        <v>1571</v>
      </c>
      <c r="M907" s="2062">
        <v>0.6</v>
      </c>
      <c r="N907" s="1135" t="s">
        <v>3138</v>
      </c>
      <c r="O907" s="1135">
        <v>3.8</v>
      </c>
      <c r="P907" s="2017">
        <v>3.8</v>
      </c>
      <c r="Q907" s="2017">
        <v>0</v>
      </c>
      <c r="R907" s="2017">
        <v>0</v>
      </c>
      <c r="S907" s="2017">
        <v>0</v>
      </c>
      <c r="T907" s="2017">
        <v>0</v>
      </c>
      <c r="U907" s="2042">
        <v>0</v>
      </c>
    </row>
    <row r="908" spans="2:21" hidden="1" outlineLevel="2">
      <c r="B908" s="1135"/>
      <c r="C908" s="1045"/>
      <c r="D908" s="1051">
        <f t="shared" si="94"/>
        <v>8</v>
      </c>
      <c r="E908" s="1051" t="str">
        <f>IF(COUNTIF(E$892:E907,F908)&gt;0,"",F908)</f>
        <v>Tannage ''wet white'' du cuir, Asie, Base Carbone</v>
      </c>
      <c r="F908" s="1051" t="str">
        <f t="shared" si="95"/>
        <v>Tannage ''wet white'' du cuir, Asie, Base Carbone</v>
      </c>
      <c r="G908" s="1051" t="str">
        <f t="shared" si="96"/>
        <v>Tannage ''wet white'' du cuir, Asie, Base Carbone; kgCO2e/kg de cuir traité, Matières premières</v>
      </c>
      <c r="I908" s="2018" t="s">
        <v>2116</v>
      </c>
      <c r="J908" s="1135" t="s">
        <v>2117</v>
      </c>
      <c r="K908" s="1135" t="s">
        <v>1567</v>
      </c>
      <c r="L908" s="1135" t="s">
        <v>2112</v>
      </c>
      <c r="M908" s="2062">
        <v>0.5</v>
      </c>
      <c r="N908" s="2017" t="s">
        <v>3135</v>
      </c>
      <c r="O908" s="1135">
        <v>0.90600000000000003</v>
      </c>
      <c r="P908" s="2017">
        <v>0.81299999999999994</v>
      </c>
      <c r="Q908" s="2017">
        <v>4.4999999999999998E-2</v>
      </c>
      <c r="R908" s="2017">
        <v>0</v>
      </c>
      <c r="S908" s="2017">
        <v>4.7800000000000002E-2</v>
      </c>
      <c r="T908" s="2017">
        <v>6.1500000000000004E-6</v>
      </c>
      <c r="U908" s="2042">
        <v>7.9600000000000001E-3</v>
      </c>
    </row>
    <row r="909" spans="2:21" hidden="1" outlineLevel="2">
      <c r="B909" s="1135"/>
      <c r="C909" s="1045"/>
      <c r="D909" s="1051">
        <f t="shared" si="94"/>
        <v>8</v>
      </c>
      <c r="E909" s="1051" t="str">
        <f>IF(COUNTIF(E$892:E908,F909)&gt;0,"",F909)</f>
        <v/>
      </c>
      <c r="F909" s="1051" t="str">
        <f t="shared" si="95"/>
        <v/>
      </c>
      <c r="G909" s="1051" t="str">
        <f t="shared" si="96"/>
        <v/>
      </c>
      <c r="I909" s="2018"/>
      <c r="J909" s="1135"/>
      <c r="K909" s="1135"/>
      <c r="L909" s="1135"/>
      <c r="M909" s="2062"/>
      <c r="N909" s="1135"/>
      <c r="O909" s="1135"/>
      <c r="P909" s="2017"/>
      <c r="Q909" s="2017"/>
      <c r="R909" s="2017"/>
      <c r="S909" s="2017"/>
      <c r="T909" s="2017"/>
      <c r="U909" s="2042"/>
    </row>
    <row r="910" spans="2:21" hidden="1" outlineLevel="2">
      <c r="B910" s="1135"/>
      <c r="C910" s="1045"/>
      <c r="D910" s="1051">
        <f t="shared" si="94"/>
        <v>8</v>
      </c>
      <c r="E910" s="1051" t="str">
        <f>IF(COUNTIF(E$892:E909,F910)&gt;0,"",F910)</f>
        <v/>
      </c>
      <c r="F910" s="1051" t="str">
        <f t="shared" si="95"/>
        <v/>
      </c>
      <c r="G910" s="1051" t="str">
        <f t="shared" si="96"/>
        <v/>
      </c>
      <c r="I910" s="2018"/>
      <c r="J910" s="1135"/>
      <c r="K910" s="1135"/>
      <c r="L910" s="1135"/>
      <c r="M910" s="2062"/>
      <c r="N910" s="1135"/>
      <c r="O910" s="1135"/>
      <c r="P910" s="2017"/>
      <c r="Q910" s="2017"/>
      <c r="R910" s="2017"/>
      <c r="S910" s="2017"/>
      <c r="T910" s="2017"/>
      <c r="U910" s="2042"/>
    </row>
    <row r="911" spans="2:21" hidden="1" outlineLevel="2">
      <c r="B911" s="1135"/>
      <c r="C911" s="1045"/>
      <c r="D911" s="1051">
        <f t="shared" si="94"/>
        <v>8</v>
      </c>
      <c r="E911" s="1051" t="str">
        <f>IF(COUNTIF(E$892:E910,F911)&gt;0,"",F911)</f>
        <v/>
      </c>
      <c r="F911" s="1051" t="str">
        <f t="shared" si="95"/>
        <v/>
      </c>
      <c r="G911" s="1051" t="str">
        <f t="shared" si="96"/>
        <v/>
      </c>
      <c r="I911" s="2018"/>
      <c r="J911" s="1135"/>
      <c r="K911" s="1135"/>
      <c r="L911" s="1135"/>
      <c r="M911" s="2062"/>
      <c r="N911" s="1135"/>
      <c r="O911" s="1135"/>
      <c r="P911" s="2017"/>
      <c r="Q911" s="2017"/>
      <c r="R911" s="2017"/>
      <c r="S911" s="2017"/>
      <c r="T911" s="2017"/>
      <c r="U911" s="2042"/>
    </row>
    <row r="912" spans="2:21" hidden="1" outlineLevel="2">
      <c r="B912" s="1135"/>
      <c r="C912" s="1045"/>
      <c r="D912" s="1051">
        <f t="shared" si="94"/>
        <v>8</v>
      </c>
      <c r="E912" s="1051" t="str">
        <f>IF(COUNTIF(E$892:E911,F912)&gt;0,"",F912)</f>
        <v/>
      </c>
      <c r="F912" s="1051" t="str">
        <f t="shared" si="95"/>
        <v/>
      </c>
      <c r="G912" s="1051" t="str">
        <f t="shared" si="96"/>
        <v/>
      </c>
      <c r="I912" s="2018"/>
      <c r="J912" s="1135"/>
      <c r="K912" s="1135"/>
      <c r="L912" s="1135"/>
      <c r="M912" s="2062"/>
      <c r="N912" s="1135"/>
      <c r="O912" s="1135"/>
      <c r="P912" s="2017"/>
      <c r="Q912" s="2017"/>
      <c r="R912" s="2017"/>
      <c r="S912" s="2017"/>
      <c r="T912" s="2017"/>
      <c r="U912" s="2042"/>
    </row>
    <row r="913" spans="2:21" hidden="1" outlineLevel="2">
      <c r="B913" s="1135"/>
      <c r="C913" s="1045"/>
      <c r="D913" s="1051">
        <f t="shared" si="94"/>
        <v>8</v>
      </c>
      <c r="E913" s="1051" t="str">
        <f>IF(COUNTIF(E$892:E912,F913)&gt;0,"",F913)</f>
        <v/>
      </c>
      <c r="F913" s="1051" t="str">
        <f t="shared" si="95"/>
        <v/>
      </c>
      <c r="G913" s="1051" t="str">
        <f t="shared" si="96"/>
        <v/>
      </c>
      <c r="I913" s="2018"/>
      <c r="J913" s="1135"/>
      <c r="K913" s="1135"/>
      <c r="L913" s="1135"/>
      <c r="M913" s="2062"/>
      <c r="N913" s="1135"/>
      <c r="O913" s="1135"/>
      <c r="P913" s="2017"/>
      <c r="Q913" s="2017"/>
      <c r="R913" s="2017"/>
      <c r="S913" s="2017"/>
      <c r="T913" s="2017"/>
      <c r="U913" s="2042"/>
    </row>
    <row r="914" spans="2:21" ht="13.2" hidden="1" outlineLevel="1">
      <c r="B914" s="1135"/>
      <c r="C914" s="1045"/>
      <c r="D914" s="1045"/>
      <c r="E914" s="1045"/>
      <c r="F914" s="1045"/>
      <c r="G914" s="1045"/>
      <c r="I914" s="1746"/>
      <c r="J914" s="1742"/>
      <c r="K914" s="1742"/>
      <c r="L914" s="1742"/>
      <c r="M914" s="1742"/>
      <c r="N914" s="1742"/>
      <c r="O914" s="1742"/>
      <c r="P914" s="1742"/>
      <c r="Q914" s="1742"/>
      <c r="R914" s="1742"/>
      <c r="S914" s="1742"/>
      <c r="T914" s="1742"/>
      <c r="U914" s="2063"/>
    </row>
    <row r="915" spans="2:21" ht="12.75" hidden="1" customHeight="1" outlineLevel="1" collapsed="1">
      <c r="B915" s="3156" t="s">
        <v>3248</v>
      </c>
      <c r="C915" s="3156"/>
      <c r="D915" s="1051">
        <v>0</v>
      </c>
      <c r="E915" s="1051"/>
      <c r="F915" s="1051"/>
      <c r="G915" s="1051"/>
      <c r="I915" s="1746"/>
      <c r="J915" s="1742"/>
      <c r="K915" s="1742"/>
      <c r="L915" s="1742"/>
      <c r="M915" s="1742"/>
      <c r="N915" s="1742"/>
      <c r="O915" s="1742"/>
      <c r="P915" s="1742"/>
      <c r="Q915" s="1742"/>
      <c r="R915" s="1742"/>
      <c r="S915" s="1742"/>
      <c r="T915" s="1742"/>
      <c r="U915" s="2063"/>
    </row>
    <row r="916" spans="2:21" hidden="1" outlineLevel="2">
      <c r="B916" s="2059">
        <v>1</v>
      </c>
      <c r="C916" s="1050" t="str">
        <f>IF(ISNA(VLOOKUP(B916,$D$915:$E$951,2,FALSE)),"-",VLOOKUP(B916,$D$915:$E$951,2,FALSE))</f>
        <v>Chemise en viscose, France continentale, Base Carbone</v>
      </c>
      <c r="D916" s="1051">
        <f>D915+IF(LEN(E916)&gt;0,1,0)</f>
        <v>1</v>
      </c>
      <c r="E916" s="1051" t="str">
        <f>IF(COUNTIF(E915:E$915,F916)&gt;0,"",F916)</f>
        <v>Chemise en viscose, France continentale, Base Carbone</v>
      </c>
      <c r="F916" s="1051" t="str">
        <f>IF(I916&lt;&gt;"",I916&amp;IF(L916&lt;&gt;"",", "&amp;L916,"")&amp;IF(K916&lt;&gt;"",", "&amp;K916,""),"")</f>
        <v>Chemise en viscose, France continentale, Base Carbone</v>
      </c>
      <c r="G916" s="1051" t="str">
        <f>IF(F916&lt;&gt;"",F916&amp;IF(J916&lt;&gt;"","; "&amp;J916&amp;IF(N916&lt;&gt;"",", "&amp;N916,),""),"")</f>
        <v>Chemise en viscose, France continentale, Base Carbone; kgCO2e/unité, Matières premières</v>
      </c>
      <c r="I916" s="2018" t="s">
        <v>3208</v>
      </c>
      <c r="J916" s="1135" t="s">
        <v>1994</v>
      </c>
      <c r="K916" s="1135" t="s">
        <v>1567</v>
      </c>
      <c r="L916" s="1135" t="s">
        <v>1571</v>
      </c>
      <c r="M916" s="2062">
        <v>0.05</v>
      </c>
      <c r="N916" s="1135" t="s">
        <v>3135</v>
      </c>
      <c r="O916" s="1135">
        <v>1.7</v>
      </c>
      <c r="P916" s="2017">
        <v>1.7</v>
      </c>
      <c r="Q916" s="2017">
        <v>0</v>
      </c>
      <c r="R916" s="2017">
        <v>0</v>
      </c>
      <c r="S916" s="2017">
        <v>0</v>
      </c>
      <c r="T916" s="2017">
        <v>0</v>
      </c>
      <c r="U916" s="2042">
        <v>0</v>
      </c>
    </row>
    <row r="917" spans="2:21" hidden="1" outlineLevel="2">
      <c r="B917" s="2059">
        <v>2</v>
      </c>
      <c r="C917" s="1050" t="str">
        <f t="shared" ref="C917:C925" si="97">IF(ISNA(VLOOKUP(B917,$D$915:$E$951,2,FALSE)),"-",VLOOKUP(B917,$D$915:$E$951,2,FALSE))</f>
        <v>Polaire en PES recyclé, France continentale, Base Carbone</v>
      </c>
      <c r="D917" s="1051">
        <f t="shared" ref="D917:D951" si="98">D916+IF(LEN(E917)&gt;0,1,0)</f>
        <v>1</v>
      </c>
      <c r="E917" s="1051" t="str">
        <f>IF(COUNTIF(E$915:E916,F917)&gt;0,"",F917)</f>
        <v/>
      </c>
      <c r="F917" s="1051" t="str">
        <f t="shared" ref="F917:F951" si="99">IF(I917&lt;&gt;"",I917&amp;IF(L917&lt;&gt;"",", "&amp;L917,"")&amp;IF(K917&lt;&gt;"",", "&amp;K917,""),"")</f>
        <v>Chemise en viscose, France continentale, Base Carbone</v>
      </c>
      <c r="G917" s="1051" t="str">
        <f t="shared" ref="G917:G951" si="100">IF(F917&lt;&gt;"",F917&amp;IF(J917&lt;&gt;"","; "&amp;J917&amp;IF(N917&lt;&gt;"",", "&amp;N917,),""),"")</f>
        <v>Chemise en viscose, France continentale, Base Carbone; kgCO2e/unité, Approvisionnement</v>
      </c>
      <c r="I917" s="2018" t="s">
        <v>3208</v>
      </c>
      <c r="J917" s="1135" t="s">
        <v>1994</v>
      </c>
      <c r="K917" s="1135" t="s">
        <v>1567</v>
      </c>
      <c r="L917" s="1135" t="s">
        <v>1571</v>
      </c>
      <c r="M917" s="2062">
        <v>0.05</v>
      </c>
      <c r="N917" s="1135" t="s">
        <v>3136</v>
      </c>
      <c r="O917" s="1135">
        <v>0.3</v>
      </c>
      <c r="P917" s="2017">
        <v>0.3</v>
      </c>
      <c r="Q917" s="2017">
        <v>0</v>
      </c>
      <c r="R917" s="2017">
        <v>0</v>
      </c>
      <c r="S917" s="2017">
        <v>0</v>
      </c>
      <c r="T917" s="2017">
        <v>0</v>
      </c>
      <c r="U917" s="2042">
        <v>0</v>
      </c>
    </row>
    <row r="918" spans="2:21" hidden="1" outlineLevel="2">
      <c r="B918" s="2059">
        <v>3</v>
      </c>
      <c r="C918" s="1050" t="str">
        <f t="shared" si="97"/>
        <v>Pull en acrylique, France continentale, Base Carbone</v>
      </c>
      <c r="D918" s="1051">
        <f t="shared" si="98"/>
        <v>1</v>
      </c>
      <c r="E918" s="1051" t="str">
        <f>IF(COUNTIF(E$915:E917,F918)&gt;0,"",F918)</f>
        <v/>
      </c>
      <c r="F918" s="1051" t="str">
        <f t="shared" si="99"/>
        <v>Chemise en viscose, France continentale, Base Carbone</v>
      </c>
      <c r="G918" s="1051" t="str">
        <f t="shared" si="100"/>
        <v>Chemise en viscose, France continentale, Base Carbone; kgCO2e/unité, Mise en forme</v>
      </c>
      <c r="I918" s="2018" t="s">
        <v>3208</v>
      </c>
      <c r="J918" s="1135" t="s">
        <v>1994</v>
      </c>
      <c r="K918" s="1135" t="s">
        <v>1567</v>
      </c>
      <c r="L918" s="1135" t="s">
        <v>1571</v>
      </c>
      <c r="M918" s="2062">
        <v>0.05</v>
      </c>
      <c r="N918" s="1135" t="s">
        <v>3141</v>
      </c>
      <c r="O918" s="1135">
        <v>6.2</v>
      </c>
      <c r="P918" s="2017">
        <v>6.2</v>
      </c>
      <c r="Q918" s="2017">
        <v>0</v>
      </c>
      <c r="R918" s="2017">
        <v>0</v>
      </c>
      <c r="S918" s="2017">
        <v>0</v>
      </c>
      <c r="T918" s="2017">
        <v>0</v>
      </c>
      <c r="U918" s="2042">
        <v>0</v>
      </c>
    </row>
    <row r="919" spans="2:21" hidden="1" outlineLevel="2">
      <c r="B919" s="2059">
        <v>4</v>
      </c>
      <c r="C919" s="1050" t="str">
        <f t="shared" si="97"/>
        <v>Robe en polyester, France continentale, Base Carbone</v>
      </c>
      <c r="D919" s="1051">
        <f t="shared" si="98"/>
        <v>1</v>
      </c>
      <c r="E919" s="1051" t="str">
        <f>IF(COUNTIF(E$915:E918,F919)&gt;0,"",F919)</f>
        <v/>
      </c>
      <c r="F919" s="1051" t="str">
        <f t="shared" si="99"/>
        <v>Chemise en viscose, France continentale, Base Carbone</v>
      </c>
      <c r="G919" s="1051" t="str">
        <f t="shared" si="100"/>
        <v>Chemise en viscose, France continentale, Base Carbone; kgCO2e/unité, Assemblage</v>
      </c>
      <c r="I919" s="2018" t="s">
        <v>3208</v>
      </c>
      <c r="J919" s="1135" t="s">
        <v>1994</v>
      </c>
      <c r="K919" s="1135" t="s">
        <v>1567</v>
      </c>
      <c r="L919" s="1135" t="s">
        <v>1571</v>
      </c>
      <c r="M919" s="2062">
        <v>0.05</v>
      </c>
      <c r="N919" s="1135" t="s">
        <v>3137</v>
      </c>
      <c r="O919" s="1135">
        <v>0.8</v>
      </c>
      <c r="P919" s="2017">
        <v>0.8</v>
      </c>
      <c r="Q919" s="2017">
        <v>0</v>
      </c>
      <c r="R919" s="2017">
        <v>0</v>
      </c>
      <c r="S919" s="2017">
        <v>0</v>
      </c>
      <c r="T919" s="2017">
        <v>0</v>
      </c>
      <c r="U919" s="2042">
        <v>0</v>
      </c>
    </row>
    <row r="920" spans="2:21" hidden="1" outlineLevel="2">
      <c r="B920" s="2059">
        <v>5</v>
      </c>
      <c r="C920" s="1050" t="str">
        <f t="shared" si="97"/>
        <v>Robe en viscose, France continentale, Base Carbone</v>
      </c>
      <c r="D920" s="1051">
        <f t="shared" si="98"/>
        <v>1</v>
      </c>
      <c r="E920" s="1051" t="str">
        <f>IF(COUNTIF(E$915:E919,F920)&gt;0,"",F920)</f>
        <v/>
      </c>
      <c r="F920" s="1051" t="str">
        <f t="shared" si="99"/>
        <v>Chemise en viscose, France continentale, Base Carbone</v>
      </c>
      <c r="G920" s="1051" t="str">
        <f t="shared" si="100"/>
        <v>Chemise en viscose, France continentale, Base Carbone; kgCO2e/unité, Distribution</v>
      </c>
      <c r="I920" s="2018" t="s">
        <v>3208</v>
      </c>
      <c r="J920" s="1135" t="s">
        <v>1994</v>
      </c>
      <c r="K920" s="1135" t="s">
        <v>1567</v>
      </c>
      <c r="L920" s="1135" t="s">
        <v>1571</v>
      </c>
      <c r="M920" s="2062">
        <v>0.05</v>
      </c>
      <c r="N920" s="1135" t="s">
        <v>3138</v>
      </c>
      <c r="O920" s="1135">
        <v>1.2</v>
      </c>
      <c r="P920" s="2017">
        <v>1.2</v>
      </c>
      <c r="Q920" s="2017">
        <v>0</v>
      </c>
      <c r="R920" s="2017">
        <v>0</v>
      </c>
      <c r="S920" s="2017">
        <v>0</v>
      </c>
      <c r="T920" s="2017">
        <v>0</v>
      </c>
      <c r="U920" s="2042">
        <v>0</v>
      </c>
    </row>
    <row r="921" spans="2:21" hidden="1" outlineLevel="2">
      <c r="B921" s="2059">
        <v>6</v>
      </c>
      <c r="C921" s="1050" t="str">
        <f t="shared" si="97"/>
        <v>T-shirt en polyester, France continentale, Base Carbone</v>
      </c>
      <c r="D921" s="1051">
        <f t="shared" si="98"/>
        <v>2</v>
      </c>
      <c r="E921" s="1051" t="str">
        <f>IF(COUNTIF(E$915:E920,F921)&gt;0,"",F921)</f>
        <v>Polaire en PES recyclé, France continentale, Base Carbone</v>
      </c>
      <c r="F921" s="1051" t="str">
        <f t="shared" si="99"/>
        <v>Polaire en PES recyclé, France continentale, Base Carbone</v>
      </c>
      <c r="G921" s="1051" t="str">
        <f t="shared" si="100"/>
        <v>Polaire en PES recyclé, France continentale, Base Carbone; kgCO2e/unité, Matières premières</v>
      </c>
      <c r="I921" s="2018" t="s">
        <v>3209</v>
      </c>
      <c r="J921" s="1135" t="s">
        <v>1994</v>
      </c>
      <c r="K921" s="1135" t="s">
        <v>1567</v>
      </c>
      <c r="L921" s="1135" t="s">
        <v>1571</v>
      </c>
      <c r="M921" s="2062">
        <v>0.7</v>
      </c>
      <c r="N921" s="1135" t="s">
        <v>3135</v>
      </c>
      <c r="O921" s="1135">
        <v>7.9</v>
      </c>
      <c r="P921" s="2017">
        <v>7.9</v>
      </c>
      <c r="Q921" s="2017">
        <v>0</v>
      </c>
      <c r="R921" s="2017">
        <v>0</v>
      </c>
      <c r="S921" s="2017">
        <v>0</v>
      </c>
      <c r="T921" s="2017">
        <v>0</v>
      </c>
      <c r="U921" s="2042">
        <v>0</v>
      </c>
    </row>
    <row r="922" spans="2:21" hidden="1" outlineLevel="2">
      <c r="B922" s="2059">
        <v>7</v>
      </c>
      <c r="C922" s="1050" t="str">
        <f t="shared" si="97"/>
        <v>-</v>
      </c>
      <c r="D922" s="1051">
        <f t="shared" si="98"/>
        <v>2</v>
      </c>
      <c r="E922" s="1051" t="str">
        <f>IF(COUNTIF(E$915:E921,F922)&gt;0,"",F922)</f>
        <v/>
      </c>
      <c r="F922" s="1051" t="str">
        <f t="shared" si="99"/>
        <v>Polaire en PES recyclé, France continentale, Base Carbone</v>
      </c>
      <c r="G922" s="1051" t="str">
        <f t="shared" si="100"/>
        <v>Polaire en PES recyclé, France continentale, Base Carbone; kgCO2e/unité, Approvisionnement</v>
      </c>
      <c r="I922" s="2018" t="s">
        <v>3209</v>
      </c>
      <c r="J922" s="1135" t="s">
        <v>1994</v>
      </c>
      <c r="K922" s="1135" t="s">
        <v>1567</v>
      </c>
      <c r="L922" s="1135" t="s">
        <v>1571</v>
      </c>
      <c r="M922" s="2062">
        <v>0.7</v>
      </c>
      <c r="N922" s="1135" t="s">
        <v>3136</v>
      </c>
      <c r="O922" s="1135">
        <v>1.1000000000000001</v>
      </c>
      <c r="P922" s="2017">
        <v>1.1000000000000001</v>
      </c>
      <c r="Q922" s="2017">
        <v>0</v>
      </c>
      <c r="R922" s="2017">
        <v>0</v>
      </c>
      <c r="S922" s="2017">
        <v>0</v>
      </c>
      <c r="T922" s="2017">
        <v>0</v>
      </c>
      <c r="U922" s="2042">
        <v>0</v>
      </c>
    </row>
    <row r="923" spans="2:21" hidden="1" outlineLevel="2">
      <c r="B923" s="2059">
        <v>8</v>
      </c>
      <c r="C923" s="1050" t="str">
        <f t="shared" si="97"/>
        <v>-</v>
      </c>
      <c r="D923" s="1051">
        <f t="shared" si="98"/>
        <v>2</v>
      </c>
      <c r="E923" s="1051" t="str">
        <f>IF(COUNTIF(E$915:E922,F923)&gt;0,"",F923)</f>
        <v/>
      </c>
      <c r="F923" s="1051" t="str">
        <f t="shared" si="99"/>
        <v>Polaire en PES recyclé, France continentale, Base Carbone</v>
      </c>
      <c r="G923" s="1051" t="str">
        <f t="shared" si="100"/>
        <v>Polaire en PES recyclé, France continentale, Base Carbone; kgCO2e/unité, Mise en forme</v>
      </c>
      <c r="I923" s="2018" t="s">
        <v>3209</v>
      </c>
      <c r="J923" s="1135" t="s">
        <v>1994</v>
      </c>
      <c r="K923" s="1135" t="s">
        <v>1567</v>
      </c>
      <c r="L923" s="1135" t="s">
        <v>1571</v>
      </c>
      <c r="M923" s="2062">
        <v>0.7</v>
      </c>
      <c r="N923" s="1135" t="s">
        <v>3141</v>
      </c>
      <c r="O923" s="1135">
        <v>10.5</v>
      </c>
      <c r="P923" s="2017">
        <v>10.5</v>
      </c>
      <c r="Q923" s="2017">
        <v>0</v>
      </c>
      <c r="R923" s="2017">
        <v>0</v>
      </c>
      <c r="S923" s="2017">
        <v>0</v>
      </c>
      <c r="T923" s="2017">
        <v>0</v>
      </c>
      <c r="U923" s="2042">
        <v>0</v>
      </c>
    </row>
    <row r="924" spans="2:21" hidden="1" outlineLevel="2">
      <c r="B924" s="2059">
        <v>9</v>
      </c>
      <c r="C924" s="1050" t="str">
        <f t="shared" si="97"/>
        <v>-</v>
      </c>
      <c r="D924" s="1051">
        <f t="shared" si="98"/>
        <v>2</v>
      </c>
      <c r="E924" s="1051" t="str">
        <f>IF(COUNTIF(E$915:E923,F924)&gt;0,"",F924)</f>
        <v/>
      </c>
      <c r="F924" s="1051" t="str">
        <f t="shared" si="99"/>
        <v>Polaire en PES recyclé, France continentale, Base Carbone</v>
      </c>
      <c r="G924" s="1051" t="str">
        <f t="shared" si="100"/>
        <v>Polaire en PES recyclé, France continentale, Base Carbone; kgCO2e/unité, Assemblage</v>
      </c>
      <c r="I924" s="2018" t="s">
        <v>3209</v>
      </c>
      <c r="J924" s="1135" t="s">
        <v>1994</v>
      </c>
      <c r="K924" s="1135" t="s">
        <v>1567</v>
      </c>
      <c r="L924" s="1135" t="s">
        <v>1571</v>
      </c>
      <c r="M924" s="2062">
        <v>0.7</v>
      </c>
      <c r="N924" s="1135" t="s">
        <v>3137</v>
      </c>
      <c r="O924" s="1135">
        <v>0.6</v>
      </c>
      <c r="P924" s="2017">
        <v>0.6</v>
      </c>
      <c r="Q924" s="2017">
        <v>0</v>
      </c>
      <c r="R924" s="2017">
        <v>0</v>
      </c>
      <c r="S924" s="2017">
        <v>0</v>
      </c>
      <c r="T924" s="2017">
        <v>0</v>
      </c>
      <c r="U924" s="2042">
        <v>0</v>
      </c>
    </row>
    <row r="925" spans="2:21" hidden="1" outlineLevel="2">
      <c r="B925" s="2059">
        <v>10</v>
      </c>
      <c r="C925" s="1050" t="str">
        <f t="shared" si="97"/>
        <v>-</v>
      </c>
      <c r="D925" s="1051">
        <f t="shared" si="98"/>
        <v>2</v>
      </c>
      <c r="E925" s="1051" t="str">
        <f>IF(COUNTIF(E$915:E924,F925)&gt;0,"",F925)</f>
        <v/>
      </c>
      <c r="F925" s="1051" t="str">
        <f t="shared" si="99"/>
        <v>Polaire en PES recyclé, France continentale, Base Carbone</v>
      </c>
      <c r="G925" s="1051" t="str">
        <f t="shared" si="100"/>
        <v>Polaire en PES recyclé, France continentale, Base Carbone; kgCO2e/unité, Distribution</v>
      </c>
      <c r="I925" s="2018" t="s">
        <v>3209</v>
      </c>
      <c r="J925" s="1135" t="s">
        <v>1994</v>
      </c>
      <c r="K925" s="1135" t="s">
        <v>1567</v>
      </c>
      <c r="L925" s="1135" t="s">
        <v>1571</v>
      </c>
      <c r="M925" s="2062">
        <v>0.7</v>
      </c>
      <c r="N925" s="1135" t="s">
        <v>3138</v>
      </c>
      <c r="O925" s="1135">
        <v>3.7</v>
      </c>
      <c r="P925" s="2017">
        <v>3.7</v>
      </c>
      <c r="Q925" s="2017">
        <v>0</v>
      </c>
      <c r="R925" s="2017">
        <v>0</v>
      </c>
      <c r="S925" s="2017">
        <v>0</v>
      </c>
      <c r="T925" s="2017">
        <v>0</v>
      </c>
      <c r="U925" s="2042">
        <v>0</v>
      </c>
    </row>
    <row r="926" spans="2:21" hidden="1" outlineLevel="2">
      <c r="B926" s="1135"/>
      <c r="C926" s="1045"/>
      <c r="D926" s="1051">
        <f t="shared" si="98"/>
        <v>3</v>
      </c>
      <c r="E926" s="1051" t="str">
        <f>IF(COUNTIF(E$915:E925,F926)&gt;0,"",F926)</f>
        <v>Pull en acrylique, France continentale, Base Carbone</v>
      </c>
      <c r="F926" s="1051" t="str">
        <f t="shared" si="99"/>
        <v>Pull en acrylique, France continentale, Base Carbone</v>
      </c>
      <c r="G926" s="1051" t="str">
        <f t="shared" si="100"/>
        <v>Pull en acrylique, France continentale, Base Carbone; kgCO2e/unité, Matières premières</v>
      </c>
      <c r="I926" s="2018" t="s">
        <v>3210</v>
      </c>
      <c r="J926" s="1135" t="s">
        <v>1994</v>
      </c>
      <c r="K926" s="1135" t="s">
        <v>1567</v>
      </c>
      <c r="L926" s="1135" t="s">
        <v>1571</v>
      </c>
      <c r="M926" s="2062">
        <v>0.7</v>
      </c>
      <c r="N926" s="1135" t="s">
        <v>3135</v>
      </c>
      <c r="O926" s="1135">
        <v>13.9</v>
      </c>
      <c r="P926" s="2017">
        <v>13.9</v>
      </c>
      <c r="Q926" s="2017">
        <v>0</v>
      </c>
      <c r="R926" s="2017">
        <v>0</v>
      </c>
      <c r="S926" s="2017">
        <v>0</v>
      </c>
      <c r="T926" s="2017">
        <v>0</v>
      </c>
      <c r="U926" s="2042">
        <v>0</v>
      </c>
    </row>
    <row r="927" spans="2:21" hidden="1" outlineLevel="2">
      <c r="B927" s="1135"/>
      <c r="C927" s="1045"/>
      <c r="D927" s="1051">
        <f t="shared" si="98"/>
        <v>3</v>
      </c>
      <c r="E927" s="1051" t="str">
        <f>IF(COUNTIF(E$915:E926,F927)&gt;0,"",F927)</f>
        <v/>
      </c>
      <c r="F927" s="1051" t="str">
        <f t="shared" si="99"/>
        <v>Pull en acrylique, France continentale, Base Carbone</v>
      </c>
      <c r="G927" s="1051" t="str">
        <f t="shared" si="100"/>
        <v>Pull en acrylique, France continentale, Base Carbone; kgCO2e/unité, Approvisionnement</v>
      </c>
      <c r="I927" s="2018" t="s">
        <v>3210</v>
      </c>
      <c r="J927" s="1135" t="s">
        <v>1994</v>
      </c>
      <c r="K927" s="1135" t="s">
        <v>1567</v>
      </c>
      <c r="L927" s="1135" t="s">
        <v>1571</v>
      </c>
      <c r="M927" s="2062">
        <v>0.7</v>
      </c>
      <c r="N927" s="1135" t="s">
        <v>3136</v>
      </c>
      <c r="O927" s="1135">
        <v>0.7</v>
      </c>
      <c r="P927" s="2017">
        <v>0.7</v>
      </c>
      <c r="Q927" s="2017">
        <v>0</v>
      </c>
      <c r="R927" s="2017">
        <v>0</v>
      </c>
      <c r="S927" s="2017">
        <v>0</v>
      </c>
      <c r="T927" s="2017">
        <v>0</v>
      </c>
      <c r="U927" s="2042">
        <v>0</v>
      </c>
    </row>
    <row r="928" spans="2:21" hidden="1" outlineLevel="2">
      <c r="B928" s="1135"/>
      <c r="C928" s="1045"/>
      <c r="D928" s="1051">
        <f t="shared" si="98"/>
        <v>3</v>
      </c>
      <c r="E928" s="1051" t="str">
        <f>IF(COUNTIF(E$915:E927,F928)&gt;0,"",F928)</f>
        <v/>
      </c>
      <c r="F928" s="1051" t="str">
        <f t="shared" si="99"/>
        <v>Pull en acrylique, France continentale, Base Carbone</v>
      </c>
      <c r="G928" s="1051" t="str">
        <f t="shared" si="100"/>
        <v>Pull en acrylique, France continentale, Base Carbone; kgCO2e/unité, Mise en forme</v>
      </c>
      <c r="I928" s="2018" t="s">
        <v>3210</v>
      </c>
      <c r="J928" s="1135" t="s">
        <v>1994</v>
      </c>
      <c r="K928" s="1135" t="s">
        <v>1567</v>
      </c>
      <c r="L928" s="1135" t="s">
        <v>1571</v>
      </c>
      <c r="M928" s="2062">
        <v>0.7</v>
      </c>
      <c r="N928" s="1135" t="s">
        <v>3141</v>
      </c>
      <c r="O928" s="1135">
        <v>7.3</v>
      </c>
      <c r="P928" s="2017">
        <v>7.3</v>
      </c>
      <c r="Q928" s="2017">
        <v>0</v>
      </c>
      <c r="R928" s="2017">
        <v>0</v>
      </c>
      <c r="S928" s="2017">
        <v>0</v>
      </c>
      <c r="T928" s="2017">
        <v>0</v>
      </c>
      <c r="U928" s="2042">
        <v>0</v>
      </c>
    </row>
    <row r="929" spans="2:21" hidden="1" outlineLevel="2">
      <c r="B929" s="1135"/>
      <c r="C929" s="1045"/>
      <c r="D929" s="1051">
        <f t="shared" si="98"/>
        <v>3</v>
      </c>
      <c r="E929" s="1051" t="str">
        <f>IF(COUNTIF(E$915:E928,F929)&gt;0,"",F929)</f>
        <v/>
      </c>
      <c r="F929" s="1051" t="str">
        <f t="shared" si="99"/>
        <v>Pull en acrylique, France continentale, Base Carbone</v>
      </c>
      <c r="G929" s="1051" t="str">
        <f t="shared" si="100"/>
        <v>Pull en acrylique, France continentale, Base Carbone; kgCO2e/unité, Assemblage</v>
      </c>
      <c r="I929" s="2018" t="s">
        <v>3210</v>
      </c>
      <c r="J929" s="1135" t="s">
        <v>1994</v>
      </c>
      <c r="K929" s="1135" t="s">
        <v>1567</v>
      </c>
      <c r="L929" s="1135" t="s">
        <v>1571</v>
      </c>
      <c r="M929" s="2062">
        <v>0.7</v>
      </c>
      <c r="N929" s="1135" t="s">
        <v>3137</v>
      </c>
      <c r="O929" s="1135">
        <v>0.6</v>
      </c>
      <c r="P929" s="2017">
        <v>0.6</v>
      </c>
      <c r="Q929" s="2017">
        <v>0</v>
      </c>
      <c r="R929" s="2017">
        <v>0</v>
      </c>
      <c r="S929" s="2017">
        <v>0</v>
      </c>
      <c r="T929" s="2017">
        <v>0</v>
      </c>
      <c r="U929" s="2042">
        <v>0</v>
      </c>
    </row>
    <row r="930" spans="2:21" hidden="1" outlineLevel="2">
      <c r="B930" s="1135"/>
      <c r="C930" s="1045"/>
      <c r="D930" s="1051">
        <f t="shared" si="98"/>
        <v>3</v>
      </c>
      <c r="E930" s="1051" t="str">
        <f>IF(COUNTIF(E$915:E929,F930)&gt;0,"",F930)</f>
        <v/>
      </c>
      <c r="F930" s="1051" t="str">
        <f t="shared" si="99"/>
        <v>Pull en acrylique, France continentale, Base Carbone</v>
      </c>
      <c r="G930" s="1051" t="str">
        <f t="shared" si="100"/>
        <v>Pull en acrylique, France continentale, Base Carbone; kgCO2e/unité, Distribution</v>
      </c>
      <c r="I930" s="2018" t="s">
        <v>3210</v>
      </c>
      <c r="J930" s="1135" t="s">
        <v>1994</v>
      </c>
      <c r="K930" s="1135" t="s">
        <v>1567</v>
      </c>
      <c r="L930" s="1135" t="s">
        <v>1571</v>
      </c>
      <c r="M930" s="2062">
        <v>0.7</v>
      </c>
      <c r="N930" s="1135" t="s">
        <v>3138</v>
      </c>
      <c r="O930" s="1135">
        <v>3</v>
      </c>
      <c r="P930" s="2017">
        <v>3</v>
      </c>
      <c r="Q930" s="2017">
        <v>0</v>
      </c>
      <c r="R930" s="2017">
        <v>0</v>
      </c>
      <c r="S930" s="2017">
        <v>0</v>
      </c>
      <c r="T930" s="2017">
        <v>0</v>
      </c>
      <c r="U930" s="2042">
        <v>0</v>
      </c>
    </row>
    <row r="931" spans="2:21" hidden="1" outlineLevel="2">
      <c r="B931" s="1135"/>
      <c r="C931" s="1045"/>
      <c r="D931" s="1051">
        <f t="shared" si="98"/>
        <v>4</v>
      </c>
      <c r="E931" s="1051" t="str">
        <f>IF(COUNTIF(E$915:E930,F931)&gt;0,"",F931)</f>
        <v>Robe en polyester, France continentale, Base Carbone</v>
      </c>
      <c r="F931" s="1051" t="str">
        <f t="shared" si="99"/>
        <v>Robe en polyester, France continentale, Base Carbone</v>
      </c>
      <c r="G931" s="1051" t="str">
        <f t="shared" si="100"/>
        <v>Robe en polyester, France continentale, Base Carbone; kgCO2e/unité, Matières premières</v>
      </c>
      <c r="I931" s="2018" t="s">
        <v>3211</v>
      </c>
      <c r="J931" s="1135" t="s">
        <v>1994</v>
      </c>
      <c r="K931" s="1135" t="s">
        <v>1567</v>
      </c>
      <c r="L931" s="1135" t="s">
        <v>1571</v>
      </c>
      <c r="M931" s="2062">
        <v>0.05</v>
      </c>
      <c r="N931" s="1135" t="s">
        <v>3135</v>
      </c>
      <c r="O931" s="1135">
        <v>19.7</v>
      </c>
      <c r="P931" s="2017">
        <v>19.7</v>
      </c>
      <c r="Q931" s="2017">
        <v>0</v>
      </c>
      <c r="R931" s="2017">
        <v>0</v>
      </c>
      <c r="S931" s="2017">
        <v>0</v>
      </c>
      <c r="T931" s="2017">
        <v>0</v>
      </c>
      <c r="U931" s="2042">
        <v>0</v>
      </c>
    </row>
    <row r="932" spans="2:21" hidden="1" outlineLevel="2">
      <c r="B932" s="1135"/>
      <c r="C932" s="1045"/>
      <c r="D932" s="1051">
        <f t="shared" si="98"/>
        <v>4</v>
      </c>
      <c r="E932" s="1051" t="str">
        <f>IF(COUNTIF(E$915:E931,F932)&gt;0,"",F932)</f>
        <v/>
      </c>
      <c r="F932" s="1051" t="str">
        <f t="shared" si="99"/>
        <v>Robe en polyester, France continentale, Base Carbone</v>
      </c>
      <c r="G932" s="1051" t="str">
        <f t="shared" si="100"/>
        <v>Robe en polyester, France continentale, Base Carbone; kgCO2e/unité, Approvisionnement</v>
      </c>
      <c r="I932" s="2018" t="s">
        <v>3211</v>
      </c>
      <c r="J932" s="1135" t="s">
        <v>1994</v>
      </c>
      <c r="K932" s="1135" t="s">
        <v>1567</v>
      </c>
      <c r="L932" s="1135" t="s">
        <v>1571</v>
      </c>
      <c r="M932" s="2062">
        <v>0.05</v>
      </c>
      <c r="N932" s="1135" t="s">
        <v>3136</v>
      </c>
      <c r="O932" s="1135">
        <v>1.6</v>
      </c>
      <c r="P932" s="2017">
        <v>1.6</v>
      </c>
      <c r="Q932" s="2017">
        <v>0</v>
      </c>
      <c r="R932" s="2017">
        <v>0</v>
      </c>
      <c r="S932" s="2017">
        <v>0</v>
      </c>
      <c r="T932" s="2017">
        <v>0</v>
      </c>
      <c r="U932" s="2042">
        <v>0</v>
      </c>
    </row>
    <row r="933" spans="2:21" hidden="1" outlineLevel="2">
      <c r="B933" s="1135"/>
      <c r="C933" s="1045"/>
      <c r="D933" s="1051">
        <f t="shared" si="98"/>
        <v>4</v>
      </c>
      <c r="E933" s="1051" t="str">
        <f>IF(COUNTIF(E$915:E932,F933)&gt;0,"",F933)</f>
        <v/>
      </c>
      <c r="F933" s="1051" t="str">
        <f t="shared" si="99"/>
        <v>Robe en polyester, France continentale, Base Carbone</v>
      </c>
      <c r="G933" s="1051" t="str">
        <f t="shared" si="100"/>
        <v>Robe en polyester, France continentale, Base Carbone; kgCO2e/unité, Mise en forme</v>
      </c>
      <c r="I933" s="2018" t="s">
        <v>3211</v>
      </c>
      <c r="J933" s="1135" t="s">
        <v>1994</v>
      </c>
      <c r="K933" s="1135" t="s">
        <v>1567</v>
      </c>
      <c r="L933" s="1135" t="s">
        <v>1571</v>
      </c>
      <c r="M933" s="2062">
        <v>0.05</v>
      </c>
      <c r="N933" s="1135" t="s">
        <v>3141</v>
      </c>
      <c r="O933" s="1135">
        <v>23.1</v>
      </c>
      <c r="P933" s="2017">
        <v>23.1</v>
      </c>
      <c r="Q933" s="2017">
        <v>0</v>
      </c>
      <c r="R933" s="2017">
        <v>0</v>
      </c>
      <c r="S933" s="2017">
        <v>0</v>
      </c>
      <c r="T933" s="2017">
        <v>0</v>
      </c>
      <c r="U933" s="2042">
        <v>0</v>
      </c>
    </row>
    <row r="934" spans="2:21" hidden="1" outlineLevel="2">
      <c r="B934" s="1135"/>
      <c r="C934" s="1045"/>
      <c r="D934" s="1051">
        <f t="shared" si="98"/>
        <v>4</v>
      </c>
      <c r="E934" s="1051" t="str">
        <f>IF(COUNTIF(E$915:E933,F934)&gt;0,"",F934)</f>
        <v/>
      </c>
      <c r="F934" s="1051" t="str">
        <f t="shared" si="99"/>
        <v>Robe en polyester, France continentale, Base Carbone</v>
      </c>
      <c r="G934" s="1051" t="str">
        <f t="shared" si="100"/>
        <v>Robe en polyester, France continentale, Base Carbone; kgCO2e/unité, Assemblage</v>
      </c>
      <c r="I934" s="2018" t="s">
        <v>3211</v>
      </c>
      <c r="J934" s="1135" t="s">
        <v>1994</v>
      </c>
      <c r="K934" s="1135" t="s">
        <v>1567</v>
      </c>
      <c r="L934" s="1135" t="s">
        <v>1571</v>
      </c>
      <c r="M934" s="2062">
        <v>0.05</v>
      </c>
      <c r="N934" s="1135" t="s">
        <v>3137</v>
      </c>
      <c r="O934" s="1135">
        <v>1</v>
      </c>
      <c r="P934" s="2017">
        <v>1</v>
      </c>
      <c r="Q934" s="2017">
        <v>0</v>
      </c>
      <c r="R934" s="2017">
        <v>0</v>
      </c>
      <c r="S934" s="2017">
        <v>0</v>
      </c>
      <c r="T934" s="2017">
        <v>0</v>
      </c>
      <c r="U934" s="2042">
        <v>0</v>
      </c>
    </row>
    <row r="935" spans="2:21" hidden="1" outlineLevel="2">
      <c r="B935" s="1135"/>
      <c r="C935" s="1045"/>
      <c r="D935" s="1051">
        <f t="shared" si="98"/>
        <v>4</v>
      </c>
      <c r="E935" s="1051" t="str">
        <f>IF(COUNTIF(E$915:E934,F935)&gt;0,"",F935)</f>
        <v/>
      </c>
      <c r="F935" s="1051" t="str">
        <f t="shared" si="99"/>
        <v>Robe en polyester, France continentale, Base Carbone</v>
      </c>
      <c r="G935" s="1051" t="str">
        <f t="shared" si="100"/>
        <v>Robe en polyester, France continentale, Base Carbone; kgCO2e/unité, Distribution</v>
      </c>
      <c r="I935" s="2018" t="s">
        <v>3211</v>
      </c>
      <c r="J935" s="1135" t="s">
        <v>1994</v>
      </c>
      <c r="K935" s="1135" t="s">
        <v>1567</v>
      </c>
      <c r="L935" s="1135" t="s">
        <v>1571</v>
      </c>
      <c r="M935" s="2062">
        <v>0.05</v>
      </c>
      <c r="N935" s="1135" t="s">
        <v>3138</v>
      </c>
      <c r="O935" s="1135">
        <v>6.5</v>
      </c>
      <c r="P935" s="2017">
        <v>6.5</v>
      </c>
      <c r="Q935" s="2017">
        <v>0</v>
      </c>
      <c r="R935" s="2017">
        <v>0</v>
      </c>
      <c r="S935" s="2017">
        <v>0</v>
      </c>
      <c r="T935" s="2017">
        <v>0</v>
      </c>
      <c r="U935" s="2042">
        <v>0</v>
      </c>
    </row>
    <row r="936" spans="2:21" hidden="1" outlineLevel="2">
      <c r="B936" s="1135"/>
      <c r="C936" s="1045"/>
      <c r="D936" s="1051">
        <f t="shared" si="98"/>
        <v>5</v>
      </c>
      <c r="E936" s="1051" t="str">
        <f>IF(COUNTIF(E$915:E935,F936)&gt;0,"",F936)</f>
        <v>Robe en viscose, France continentale, Base Carbone</v>
      </c>
      <c r="F936" s="1051" t="str">
        <f t="shared" si="99"/>
        <v>Robe en viscose, France continentale, Base Carbone</v>
      </c>
      <c r="G936" s="1051" t="str">
        <f t="shared" si="100"/>
        <v>Robe en viscose, France continentale, Base Carbone; kgCO2e/unité, Matières premières</v>
      </c>
      <c r="I936" s="2018" t="s">
        <v>3212</v>
      </c>
      <c r="J936" s="1135" t="s">
        <v>1994</v>
      </c>
      <c r="K936" s="1135" t="s">
        <v>1567</v>
      </c>
      <c r="L936" s="1135" t="s">
        <v>1571</v>
      </c>
      <c r="M936" s="2062">
        <v>0.05</v>
      </c>
      <c r="N936" s="1135" t="s">
        <v>3135</v>
      </c>
      <c r="O936" s="1135">
        <v>10</v>
      </c>
      <c r="P936" s="2017">
        <v>10</v>
      </c>
      <c r="Q936" s="2017">
        <v>0</v>
      </c>
      <c r="R936" s="2017">
        <v>0</v>
      </c>
      <c r="S936" s="2017">
        <v>0</v>
      </c>
      <c r="T936" s="2017">
        <v>0</v>
      </c>
      <c r="U936" s="2042">
        <v>0</v>
      </c>
    </row>
    <row r="937" spans="2:21" hidden="1" outlineLevel="2">
      <c r="B937" s="1135"/>
      <c r="C937" s="1045"/>
      <c r="D937" s="1051">
        <f t="shared" si="98"/>
        <v>5</v>
      </c>
      <c r="E937" s="1051" t="str">
        <f>IF(COUNTIF(E$915:E936,F937)&gt;0,"",F937)</f>
        <v/>
      </c>
      <c r="F937" s="1051" t="str">
        <f t="shared" si="99"/>
        <v>Robe en viscose, France continentale, Base Carbone</v>
      </c>
      <c r="G937" s="1051" t="str">
        <f t="shared" si="100"/>
        <v>Robe en viscose, France continentale, Base Carbone; kgCO2e/unité, Approvisionnement</v>
      </c>
      <c r="I937" s="2018" t="s">
        <v>3212</v>
      </c>
      <c r="J937" s="1135" t="s">
        <v>1994</v>
      </c>
      <c r="K937" s="1135" t="s">
        <v>1567</v>
      </c>
      <c r="L937" s="1135" t="s">
        <v>1571</v>
      </c>
      <c r="M937" s="2062">
        <v>0.05</v>
      </c>
      <c r="N937" s="1135" t="s">
        <v>3136</v>
      </c>
      <c r="O937" s="1135">
        <v>1.7</v>
      </c>
      <c r="P937" s="2017">
        <v>1.7</v>
      </c>
      <c r="Q937" s="2017">
        <v>0</v>
      </c>
      <c r="R937" s="2017">
        <v>0</v>
      </c>
      <c r="S937" s="2017">
        <v>0</v>
      </c>
      <c r="T937" s="2017">
        <v>0</v>
      </c>
      <c r="U937" s="2042">
        <v>0</v>
      </c>
    </row>
    <row r="938" spans="2:21" hidden="1" outlineLevel="2">
      <c r="B938" s="1135"/>
      <c r="C938" s="1045"/>
      <c r="D938" s="1051">
        <f t="shared" si="98"/>
        <v>5</v>
      </c>
      <c r="E938" s="1051" t="str">
        <f>IF(COUNTIF(E$915:E937,F938)&gt;0,"",F938)</f>
        <v/>
      </c>
      <c r="F938" s="1051" t="str">
        <f t="shared" si="99"/>
        <v>Robe en viscose, France continentale, Base Carbone</v>
      </c>
      <c r="G938" s="1051" t="str">
        <f t="shared" si="100"/>
        <v>Robe en viscose, France continentale, Base Carbone; kgCO2e/unité, Mise en forme</v>
      </c>
      <c r="I938" s="2018" t="s">
        <v>3212</v>
      </c>
      <c r="J938" s="1135" t="s">
        <v>1994</v>
      </c>
      <c r="K938" s="1135" t="s">
        <v>1567</v>
      </c>
      <c r="L938" s="1135" t="s">
        <v>1571</v>
      </c>
      <c r="M938" s="2062">
        <v>0.05</v>
      </c>
      <c r="N938" s="1135" t="s">
        <v>3141</v>
      </c>
      <c r="O938" s="1135">
        <v>25.2</v>
      </c>
      <c r="P938" s="2017">
        <v>25.2</v>
      </c>
      <c r="Q938" s="2017">
        <v>0</v>
      </c>
      <c r="R938" s="2017">
        <v>0</v>
      </c>
      <c r="S938" s="2017">
        <v>0</v>
      </c>
      <c r="T938" s="2017">
        <v>0</v>
      </c>
      <c r="U938" s="2042">
        <v>0</v>
      </c>
    </row>
    <row r="939" spans="2:21" hidden="1" outlineLevel="2">
      <c r="B939" s="1135"/>
      <c r="C939" s="1045"/>
      <c r="D939" s="1051">
        <f t="shared" si="98"/>
        <v>5</v>
      </c>
      <c r="E939" s="1051" t="str">
        <f>IF(COUNTIF(E$915:E938,F939)&gt;0,"",F939)</f>
        <v/>
      </c>
      <c r="F939" s="1051" t="str">
        <f t="shared" si="99"/>
        <v>Robe en viscose, France continentale, Base Carbone</v>
      </c>
      <c r="G939" s="1051" t="str">
        <f t="shared" si="100"/>
        <v>Robe en viscose, France continentale, Base Carbone; kgCO2e/unité, Assemblage</v>
      </c>
      <c r="I939" s="2018" t="s">
        <v>3212</v>
      </c>
      <c r="J939" s="1135" t="s">
        <v>1994</v>
      </c>
      <c r="K939" s="1135" t="s">
        <v>1567</v>
      </c>
      <c r="L939" s="1135" t="s">
        <v>1571</v>
      </c>
      <c r="M939" s="2062">
        <v>0.05</v>
      </c>
      <c r="N939" s="1135" t="s">
        <v>3137</v>
      </c>
      <c r="O939" s="1135">
        <v>1</v>
      </c>
      <c r="P939" s="2017">
        <v>1</v>
      </c>
      <c r="Q939" s="2017">
        <v>0</v>
      </c>
      <c r="R939" s="2017">
        <v>0</v>
      </c>
      <c r="S939" s="2017">
        <v>0</v>
      </c>
      <c r="T939" s="2017">
        <v>0</v>
      </c>
      <c r="U939" s="2042">
        <v>0</v>
      </c>
    </row>
    <row r="940" spans="2:21" hidden="1" outlineLevel="2">
      <c r="B940" s="1135"/>
      <c r="C940" s="1045"/>
      <c r="D940" s="1051">
        <f t="shared" si="98"/>
        <v>5</v>
      </c>
      <c r="E940" s="1051" t="str">
        <f>IF(COUNTIF(E$915:E939,F940)&gt;0,"",F940)</f>
        <v/>
      </c>
      <c r="F940" s="1051" t="str">
        <f t="shared" si="99"/>
        <v>Robe en viscose, France continentale, Base Carbone</v>
      </c>
      <c r="G940" s="1051" t="str">
        <f t="shared" si="100"/>
        <v>Robe en viscose, France continentale, Base Carbone; kgCO2e/unité, Distribution</v>
      </c>
      <c r="I940" s="2018" t="s">
        <v>3212</v>
      </c>
      <c r="J940" s="1135" t="s">
        <v>1994</v>
      </c>
      <c r="K940" s="1135" t="s">
        <v>1567</v>
      </c>
      <c r="L940" s="1135" t="s">
        <v>1571</v>
      </c>
      <c r="M940" s="2062">
        <v>0.05</v>
      </c>
      <c r="N940" s="1135" t="s">
        <v>3138</v>
      </c>
      <c r="O940" s="1135">
        <v>7</v>
      </c>
      <c r="P940" s="2017">
        <v>7</v>
      </c>
      <c r="Q940" s="2017">
        <v>0</v>
      </c>
      <c r="R940" s="2017">
        <v>0</v>
      </c>
      <c r="S940" s="2017">
        <v>0</v>
      </c>
      <c r="T940" s="2017">
        <v>0</v>
      </c>
      <c r="U940" s="2042">
        <v>0</v>
      </c>
    </row>
    <row r="941" spans="2:21" hidden="1" outlineLevel="2">
      <c r="B941" s="1135"/>
      <c r="C941" s="1045"/>
      <c r="D941" s="1051">
        <f t="shared" si="98"/>
        <v>6</v>
      </c>
      <c r="E941" s="1051" t="str">
        <f>IF(COUNTIF(E$915:E940,F941)&gt;0,"",F941)</f>
        <v>T-shirt en polyester, France continentale, Base Carbone</v>
      </c>
      <c r="F941" s="1051" t="str">
        <f t="shared" si="99"/>
        <v>T-shirt en polyester, France continentale, Base Carbone</v>
      </c>
      <c r="G941" s="1051" t="str">
        <f t="shared" si="100"/>
        <v>T-shirt en polyester, France continentale, Base Carbone; kgCO2e/unité, Matières premières</v>
      </c>
      <c r="I941" s="2018" t="s">
        <v>3213</v>
      </c>
      <c r="J941" s="1135" t="s">
        <v>1994</v>
      </c>
      <c r="K941" s="1135" t="s">
        <v>1567</v>
      </c>
      <c r="L941" s="1135" t="s">
        <v>1571</v>
      </c>
      <c r="M941" s="2062">
        <v>0.25</v>
      </c>
      <c r="N941" s="1135" t="s">
        <v>3135</v>
      </c>
      <c r="O941" s="1135">
        <v>2.2999999999999998</v>
      </c>
      <c r="P941" s="2017">
        <v>2.2999999999999998</v>
      </c>
      <c r="Q941" s="2017">
        <v>0</v>
      </c>
      <c r="R941" s="2017">
        <v>0</v>
      </c>
      <c r="S941" s="2017">
        <v>0</v>
      </c>
      <c r="T941" s="2017">
        <v>0</v>
      </c>
      <c r="U941" s="2042">
        <v>0</v>
      </c>
    </row>
    <row r="942" spans="2:21" hidden="1" outlineLevel="2">
      <c r="B942" s="1135"/>
      <c r="C942" s="1045"/>
      <c r="D942" s="1051">
        <f t="shared" si="98"/>
        <v>6</v>
      </c>
      <c r="E942" s="1051" t="str">
        <f>IF(COUNTIF(E$915:E941,F942)&gt;0,"",F942)</f>
        <v/>
      </c>
      <c r="F942" s="1051" t="str">
        <f t="shared" si="99"/>
        <v>T-shirt en polyester, France continentale, Base Carbone</v>
      </c>
      <c r="G942" s="1051" t="str">
        <f t="shared" si="100"/>
        <v>T-shirt en polyester, France continentale, Base Carbone; kgCO2e/unité, Approvisionnement</v>
      </c>
      <c r="I942" s="2018" t="s">
        <v>3213</v>
      </c>
      <c r="J942" s="1135" t="s">
        <v>1994</v>
      </c>
      <c r="K942" s="1135" t="s">
        <v>1567</v>
      </c>
      <c r="L942" s="1135" t="s">
        <v>1571</v>
      </c>
      <c r="M942" s="2062">
        <v>0.25</v>
      </c>
      <c r="N942" s="1135" t="s">
        <v>3136</v>
      </c>
      <c r="O942" s="1135">
        <v>0.2</v>
      </c>
      <c r="P942" s="2017">
        <v>0.2</v>
      </c>
      <c r="Q942" s="2017">
        <v>0</v>
      </c>
      <c r="R942" s="2017">
        <v>0</v>
      </c>
      <c r="S942" s="2017">
        <v>0</v>
      </c>
      <c r="T942" s="2017">
        <v>0</v>
      </c>
      <c r="U942" s="2042">
        <v>0</v>
      </c>
    </row>
    <row r="943" spans="2:21" hidden="1" outlineLevel="2">
      <c r="B943" s="1135"/>
      <c r="C943" s="1045"/>
      <c r="D943" s="1051">
        <f t="shared" si="98"/>
        <v>6</v>
      </c>
      <c r="E943" s="1051" t="str">
        <f>IF(COUNTIF(E$915:E942,F943)&gt;0,"",F943)</f>
        <v/>
      </c>
      <c r="F943" s="1051" t="str">
        <f t="shared" si="99"/>
        <v>T-shirt en polyester, France continentale, Base Carbone</v>
      </c>
      <c r="G943" s="1051" t="str">
        <f t="shared" si="100"/>
        <v>T-shirt en polyester, France continentale, Base Carbone; kgCO2e/unité, Mise en forme</v>
      </c>
      <c r="I943" s="2018" t="s">
        <v>3213</v>
      </c>
      <c r="J943" s="1135" t="s">
        <v>1994</v>
      </c>
      <c r="K943" s="1135" t="s">
        <v>1567</v>
      </c>
      <c r="L943" s="1135" t="s">
        <v>1571</v>
      </c>
      <c r="M943" s="2062">
        <v>0.25</v>
      </c>
      <c r="N943" s="1135" t="s">
        <v>3141</v>
      </c>
      <c r="O943" s="1135">
        <v>1.7</v>
      </c>
      <c r="P943" s="2017">
        <v>1.7</v>
      </c>
      <c r="Q943" s="2017">
        <v>0</v>
      </c>
      <c r="R943" s="2017">
        <v>0</v>
      </c>
      <c r="S943" s="2017">
        <v>0</v>
      </c>
      <c r="T943" s="2017">
        <v>0</v>
      </c>
      <c r="U943" s="2042">
        <v>0</v>
      </c>
    </row>
    <row r="944" spans="2:21" hidden="1" outlineLevel="2">
      <c r="B944" s="1135"/>
      <c r="C944" s="1045"/>
      <c r="D944" s="1051">
        <f t="shared" si="98"/>
        <v>6</v>
      </c>
      <c r="E944" s="1051" t="str">
        <f>IF(COUNTIF(E$915:E943,F944)&gt;0,"",F944)</f>
        <v/>
      </c>
      <c r="F944" s="1051" t="str">
        <f t="shared" si="99"/>
        <v>T-shirt en polyester, France continentale, Base Carbone</v>
      </c>
      <c r="G944" s="1051" t="str">
        <f t="shared" si="100"/>
        <v>T-shirt en polyester, France continentale, Base Carbone; kgCO2e/unité, Assemblage</v>
      </c>
      <c r="I944" s="2018" t="s">
        <v>3213</v>
      </c>
      <c r="J944" s="1135" t="s">
        <v>1994</v>
      </c>
      <c r="K944" s="1135" t="s">
        <v>1567</v>
      </c>
      <c r="L944" s="1135" t="s">
        <v>1571</v>
      </c>
      <c r="M944" s="2062">
        <v>0.25</v>
      </c>
      <c r="N944" s="1135" t="s">
        <v>3137</v>
      </c>
      <c r="O944" s="1135">
        <v>0.4</v>
      </c>
      <c r="P944" s="2017">
        <v>0.4</v>
      </c>
      <c r="Q944" s="2017">
        <v>0</v>
      </c>
      <c r="R944" s="2017">
        <v>0</v>
      </c>
      <c r="S944" s="2017">
        <v>0</v>
      </c>
      <c r="T944" s="2017">
        <v>0</v>
      </c>
      <c r="U944" s="2042">
        <v>0</v>
      </c>
    </row>
    <row r="945" spans="2:21" hidden="1" outlineLevel="2">
      <c r="B945" s="1135"/>
      <c r="C945" s="1045"/>
      <c r="D945" s="1051">
        <f t="shared" si="98"/>
        <v>6</v>
      </c>
      <c r="E945" s="1051" t="str">
        <f>IF(COUNTIF(E$915:E944,F945)&gt;0,"",F945)</f>
        <v/>
      </c>
      <c r="F945" s="1051" t="str">
        <f t="shared" si="99"/>
        <v>T-shirt en polyester, France continentale, Base Carbone</v>
      </c>
      <c r="G945" s="1051" t="str">
        <f t="shared" si="100"/>
        <v>T-shirt en polyester, France continentale, Base Carbone; kgCO2e/unité, Distribution</v>
      </c>
      <c r="I945" s="2018" t="s">
        <v>3213</v>
      </c>
      <c r="J945" s="1135" t="s">
        <v>1994</v>
      </c>
      <c r="K945" s="1135" t="s">
        <v>1567</v>
      </c>
      <c r="L945" s="1135" t="s">
        <v>1571</v>
      </c>
      <c r="M945" s="2062">
        <v>0.25</v>
      </c>
      <c r="N945" s="1135" t="s">
        <v>3138</v>
      </c>
      <c r="O945" s="1135">
        <v>0.9</v>
      </c>
      <c r="P945" s="2017">
        <v>0.9</v>
      </c>
      <c r="Q945" s="2017">
        <v>0</v>
      </c>
      <c r="R945" s="2017">
        <v>0</v>
      </c>
      <c r="S945" s="2017">
        <v>0</v>
      </c>
      <c r="T945" s="2017">
        <v>0</v>
      </c>
      <c r="U945" s="2042">
        <v>0</v>
      </c>
    </row>
    <row r="946" spans="2:21" hidden="1" outlineLevel="2">
      <c r="B946" s="1135"/>
      <c r="C946" s="1045"/>
      <c r="D946" s="1051">
        <f t="shared" si="98"/>
        <v>6</v>
      </c>
      <c r="E946" s="1051" t="str">
        <f>IF(COUNTIF(E$915:E945,F946)&gt;0,"",F946)</f>
        <v/>
      </c>
      <c r="F946" s="1051" t="str">
        <f t="shared" si="99"/>
        <v/>
      </c>
      <c r="G946" s="1051" t="str">
        <f t="shared" si="100"/>
        <v/>
      </c>
      <c r="I946" s="1100"/>
      <c r="J946" s="1048"/>
      <c r="K946" s="1048"/>
      <c r="L946" s="1048"/>
      <c r="M946" s="1048"/>
      <c r="N946" s="1048"/>
      <c r="O946" s="1048"/>
      <c r="P946" s="1048"/>
      <c r="Q946" s="1048"/>
      <c r="R946" s="1048"/>
      <c r="S946" s="1048"/>
      <c r="T946" s="1048"/>
      <c r="U946" s="1102"/>
    </row>
    <row r="947" spans="2:21" hidden="1" outlineLevel="2">
      <c r="B947" s="1135"/>
      <c r="C947" s="1045"/>
      <c r="D947" s="1051">
        <f t="shared" si="98"/>
        <v>6</v>
      </c>
      <c r="E947" s="1051" t="str">
        <f>IF(COUNTIF(E$915:E946,F947)&gt;0,"",F947)</f>
        <v/>
      </c>
      <c r="F947" s="1051" t="str">
        <f t="shared" si="99"/>
        <v/>
      </c>
      <c r="G947" s="1051" t="str">
        <f t="shared" si="100"/>
        <v/>
      </c>
      <c r="I947" s="2018"/>
      <c r="J947" s="1135"/>
      <c r="K947" s="1135"/>
      <c r="L947" s="1135"/>
      <c r="M947" s="2062"/>
      <c r="N947" s="1135"/>
      <c r="O947" s="1135"/>
      <c r="P947" s="2017"/>
      <c r="Q947" s="2017"/>
      <c r="R947" s="2017"/>
      <c r="S947" s="2017"/>
      <c r="T947" s="2017"/>
      <c r="U947" s="2042"/>
    </row>
    <row r="948" spans="2:21" hidden="1" outlineLevel="2">
      <c r="B948" s="1135"/>
      <c r="C948" s="1045"/>
      <c r="D948" s="1051">
        <f t="shared" si="98"/>
        <v>6</v>
      </c>
      <c r="E948" s="1051" t="str">
        <f>IF(COUNTIF(E$915:E947,F948)&gt;0,"",F948)</f>
        <v/>
      </c>
      <c r="F948" s="1051" t="str">
        <f t="shared" si="99"/>
        <v/>
      </c>
      <c r="G948" s="1051" t="str">
        <f t="shared" si="100"/>
        <v/>
      </c>
      <c r="I948" s="2018"/>
      <c r="J948" s="1135"/>
      <c r="K948" s="1135"/>
      <c r="L948" s="1135"/>
      <c r="M948" s="2062"/>
      <c r="N948" s="1135"/>
      <c r="O948" s="1135"/>
      <c r="P948" s="2017"/>
      <c r="Q948" s="2017"/>
      <c r="R948" s="2017"/>
      <c r="S948" s="2017"/>
      <c r="T948" s="2017"/>
      <c r="U948" s="2042"/>
    </row>
    <row r="949" spans="2:21" hidden="1" outlineLevel="2">
      <c r="B949" s="1135"/>
      <c r="C949" s="1045"/>
      <c r="D949" s="1051">
        <f t="shared" si="98"/>
        <v>6</v>
      </c>
      <c r="E949" s="1051" t="str">
        <f>IF(COUNTIF(E$915:E948,F949)&gt;0,"",F949)</f>
        <v/>
      </c>
      <c r="F949" s="1051" t="str">
        <f t="shared" si="99"/>
        <v/>
      </c>
      <c r="G949" s="1051" t="str">
        <f t="shared" si="100"/>
        <v/>
      </c>
      <c r="I949" s="2018"/>
      <c r="J949" s="1135"/>
      <c r="K949" s="1135"/>
      <c r="L949" s="1135"/>
      <c r="M949" s="2062"/>
      <c r="N949" s="1135"/>
      <c r="O949" s="1135"/>
      <c r="P949" s="2017"/>
      <c r="Q949" s="2017"/>
      <c r="R949" s="2017"/>
      <c r="S949" s="2017"/>
      <c r="T949" s="2017"/>
      <c r="U949" s="2042"/>
    </row>
    <row r="950" spans="2:21" hidden="1" outlineLevel="2">
      <c r="B950" s="1135"/>
      <c r="C950" s="1045"/>
      <c r="D950" s="1051">
        <f t="shared" si="98"/>
        <v>6</v>
      </c>
      <c r="E950" s="1051" t="str">
        <f>IF(COUNTIF(E$915:E949,F950)&gt;0,"",F950)</f>
        <v/>
      </c>
      <c r="F950" s="1051" t="str">
        <f t="shared" si="99"/>
        <v/>
      </c>
      <c r="G950" s="1051" t="str">
        <f t="shared" si="100"/>
        <v/>
      </c>
      <c r="I950" s="2018"/>
      <c r="J950" s="1135"/>
      <c r="K950" s="1135"/>
      <c r="L950" s="1135"/>
      <c r="M950" s="2062"/>
      <c r="N950" s="1135"/>
      <c r="O950" s="1135"/>
      <c r="P950" s="2017"/>
      <c r="Q950" s="2017"/>
      <c r="R950" s="2017"/>
      <c r="S950" s="2017"/>
      <c r="T950" s="2017"/>
      <c r="U950" s="2042"/>
    </row>
    <row r="951" spans="2:21" hidden="1" outlineLevel="2">
      <c r="B951" s="1135"/>
      <c r="C951" s="1045"/>
      <c r="D951" s="1051">
        <f t="shared" si="98"/>
        <v>6</v>
      </c>
      <c r="E951" s="1051" t="str">
        <f>IF(COUNTIF(E$915:E950,F951)&gt;0,"",F951)</f>
        <v/>
      </c>
      <c r="F951" s="1051" t="str">
        <f t="shared" si="99"/>
        <v/>
      </c>
      <c r="G951" s="1051" t="str">
        <f t="shared" si="100"/>
        <v/>
      </c>
      <c r="I951" s="2018"/>
      <c r="J951" s="1135"/>
      <c r="K951" s="1135"/>
      <c r="L951" s="1135"/>
      <c r="M951" s="2062"/>
      <c r="N951" s="1135"/>
      <c r="O951" s="1135"/>
      <c r="P951" s="2017"/>
      <c r="Q951" s="2017"/>
      <c r="R951" s="2017"/>
      <c r="S951" s="2017"/>
      <c r="T951" s="2017"/>
      <c r="U951" s="2042"/>
    </row>
    <row r="952" spans="2:21" ht="13.2" hidden="1" outlineLevel="1">
      <c r="B952" s="1135"/>
      <c r="C952" s="1045"/>
      <c r="D952" s="1045"/>
      <c r="E952" s="1045"/>
      <c r="F952" s="1045"/>
      <c r="G952" s="1045"/>
      <c r="I952" s="1746"/>
      <c r="J952" s="1742"/>
      <c r="K952" s="1742"/>
      <c r="L952" s="1742"/>
      <c r="M952" s="1742"/>
      <c r="N952" s="1742"/>
      <c r="O952" s="1742"/>
      <c r="P952" s="1742"/>
      <c r="Q952" s="1742"/>
      <c r="R952" s="1742"/>
      <c r="S952" s="1742"/>
      <c r="T952" s="1742"/>
      <c r="U952" s="2063"/>
    </row>
    <row r="953" spans="2:21" ht="12.75" hidden="1" customHeight="1" outlineLevel="1" collapsed="1">
      <c r="B953" s="3156" t="s">
        <v>3245</v>
      </c>
      <c r="C953" s="3156"/>
      <c r="D953" s="1051">
        <f t="shared" ref="D953:D954" si="101">D952+IF(LEN(E953)&gt;0,1,0)</f>
        <v>0</v>
      </c>
      <c r="E953" s="1051" t="str">
        <f>IF(COUNTIF(E$915:E952,F953)&gt;0,"",F953)</f>
        <v/>
      </c>
      <c r="F953" s="1051" t="str">
        <f t="shared" ref="F953:F954" si="102">IF(I953&lt;&gt;"",I953&amp;IF(L953&lt;&gt;"",", "&amp;L953,"")&amp;IF(K953&lt;&gt;"",", "&amp;K953,""),"")</f>
        <v/>
      </c>
      <c r="G953" s="1051" t="str">
        <f t="shared" ref="G953:G954" si="103">IF(F953&lt;&gt;"",F953&amp;IF(J953&lt;&gt;"","; "&amp;J953&amp;IF(N953&lt;&gt;"",", "&amp;N953,),""),"")</f>
        <v/>
      </c>
      <c r="I953" s="1746"/>
      <c r="J953" s="1742"/>
      <c r="K953" s="1742"/>
      <c r="L953" s="1742"/>
      <c r="M953" s="1742"/>
      <c r="N953" s="1742"/>
      <c r="O953" s="1742"/>
      <c r="P953" s="1742"/>
      <c r="Q953" s="1742"/>
      <c r="R953" s="1742"/>
      <c r="S953" s="1742"/>
      <c r="T953" s="1742"/>
      <c r="U953" s="2063"/>
    </row>
    <row r="954" spans="2:21" hidden="1" outlineLevel="2">
      <c r="B954" s="2059">
        <v>1</v>
      </c>
      <c r="C954" s="1050" t="str">
        <f>IF(ISNA(VLOOKUP(B954,$D$953:$E$994,2,FALSE)),"-",VLOOKUP(B954,$D$953:$E$994,2,FALSE))</f>
        <v>Chaussures de sport , France continentale, Base Carbone</v>
      </c>
      <c r="D954" s="1051">
        <f t="shared" si="101"/>
        <v>1</v>
      </c>
      <c r="E954" s="1051" t="str">
        <f>IF(COUNTIF(E$953:E953,F954)&gt;0,"",F954)</f>
        <v>Chaussures de sport , France continentale, Base Carbone</v>
      </c>
      <c r="F954" s="1051" t="str">
        <f t="shared" si="102"/>
        <v>Chaussures de sport , France continentale, Base Carbone</v>
      </c>
      <c r="G954" s="1051" t="str">
        <f t="shared" si="103"/>
        <v>Chaussures de sport , France continentale, Base Carbone; kgCO2e/unité, Matières premières</v>
      </c>
      <c r="I954" s="2018" t="s">
        <v>3214</v>
      </c>
      <c r="J954" s="1135" t="s">
        <v>1994</v>
      </c>
      <c r="K954" s="1135" t="s">
        <v>1567</v>
      </c>
      <c r="L954" s="1135" t="s">
        <v>1571</v>
      </c>
      <c r="M954" s="2062">
        <v>0.15</v>
      </c>
      <c r="N954" s="1135" t="s">
        <v>3135</v>
      </c>
      <c r="O954" s="1135">
        <v>6.1</v>
      </c>
      <c r="P954" s="2017">
        <v>6.1</v>
      </c>
      <c r="Q954" s="2017">
        <v>0</v>
      </c>
      <c r="R954" s="2017">
        <v>0</v>
      </c>
      <c r="S954" s="2017">
        <v>0</v>
      </c>
      <c r="T954" s="2017">
        <v>0</v>
      </c>
      <c r="U954" s="2042">
        <v>0</v>
      </c>
    </row>
    <row r="955" spans="2:21" hidden="1" outlineLevel="2">
      <c r="B955" s="2059">
        <v>2</v>
      </c>
      <c r="C955" s="1050" t="str">
        <f t="shared" ref="C955:C963" si="104">IF(ISNA(VLOOKUP(B955,$D$953:$E$994,2,FALSE)),"-",VLOOKUP(B955,$D$953:$E$994,2,FALSE))</f>
        <v>Chaussures en tissu, France continentale, Base Carbone</v>
      </c>
      <c r="D955" s="1051">
        <f t="shared" ref="D955:D994" si="105">D954+IF(LEN(E955)&gt;0,1,0)</f>
        <v>1</v>
      </c>
      <c r="E955" s="1051" t="str">
        <f>IF(COUNTIF(E$953:E954,F955)&gt;0,"",F955)</f>
        <v/>
      </c>
      <c r="F955" s="1051" t="str">
        <f t="shared" ref="F955:F994" si="106">IF(I955&lt;&gt;"",I955&amp;IF(L955&lt;&gt;"",", "&amp;L955,"")&amp;IF(K955&lt;&gt;"",", "&amp;K955,""),"")</f>
        <v>Chaussures de sport , France continentale, Base Carbone</v>
      </c>
      <c r="G955" s="1051" t="str">
        <f t="shared" ref="G955:G994" si="107">IF(F955&lt;&gt;"",F955&amp;IF(J955&lt;&gt;"","; "&amp;J955&amp;IF(N955&lt;&gt;"",", "&amp;N955,),""),"")</f>
        <v>Chaussures de sport , France continentale, Base Carbone; kgCO2e/unité, Approvisionnement</v>
      </c>
      <c r="I955" s="2018" t="s">
        <v>3214</v>
      </c>
      <c r="J955" s="1135" t="s">
        <v>1994</v>
      </c>
      <c r="K955" s="1135" t="s">
        <v>1567</v>
      </c>
      <c r="L955" s="1135" t="s">
        <v>1571</v>
      </c>
      <c r="M955" s="2062">
        <v>0.15</v>
      </c>
      <c r="N955" s="1135" t="s">
        <v>3136</v>
      </c>
      <c r="O955" s="1135">
        <v>0.4</v>
      </c>
      <c r="P955" s="2017">
        <v>0.4</v>
      </c>
      <c r="Q955" s="2017">
        <v>0</v>
      </c>
      <c r="R955" s="2017">
        <v>0</v>
      </c>
      <c r="S955" s="2017">
        <v>0</v>
      </c>
      <c r="T955" s="2017">
        <v>0</v>
      </c>
      <c r="U955" s="2042">
        <v>0</v>
      </c>
    </row>
    <row r="956" spans="2:21" hidden="1" outlineLevel="2">
      <c r="B956" s="2059">
        <v>3</v>
      </c>
      <c r="C956" s="1050" t="str">
        <f t="shared" si="104"/>
        <v>Manteau composition moyenne , France continentale, Base Carbone</v>
      </c>
      <c r="D956" s="1051">
        <f t="shared" si="105"/>
        <v>1</v>
      </c>
      <c r="E956" s="1051" t="str">
        <f>IF(COUNTIF(E$953:E955,F956)&gt;0,"",F956)</f>
        <v/>
      </c>
      <c r="F956" s="1051" t="str">
        <f t="shared" si="106"/>
        <v>Chaussures de sport , France continentale, Base Carbone</v>
      </c>
      <c r="G956" s="1051" t="str">
        <f t="shared" si="107"/>
        <v>Chaussures de sport , France continentale, Base Carbone; kgCO2e/unité, Mise en forme</v>
      </c>
      <c r="I956" s="2018" t="s">
        <v>3214</v>
      </c>
      <c r="J956" s="1135" t="s">
        <v>1994</v>
      </c>
      <c r="K956" s="1135" t="s">
        <v>1567</v>
      </c>
      <c r="L956" s="1135" t="s">
        <v>1571</v>
      </c>
      <c r="M956" s="2062">
        <v>0.15</v>
      </c>
      <c r="N956" s="1135" t="s">
        <v>3141</v>
      </c>
      <c r="O956" s="1135">
        <v>2.9</v>
      </c>
      <c r="P956" s="2017">
        <v>2.9</v>
      </c>
      <c r="Q956" s="2017">
        <v>0</v>
      </c>
      <c r="R956" s="2017">
        <v>0</v>
      </c>
      <c r="S956" s="2017">
        <v>0</v>
      </c>
      <c r="T956" s="2017">
        <v>0</v>
      </c>
      <c r="U956" s="2042">
        <v>0</v>
      </c>
    </row>
    <row r="957" spans="2:21" hidden="1" outlineLevel="2">
      <c r="B957" s="2059">
        <v>4</v>
      </c>
      <c r="C957" s="1050" t="str">
        <f t="shared" si="104"/>
        <v>Polo, France continentale, Base Carbone</v>
      </c>
      <c r="D957" s="1051">
        <f t="shared" si="105"/>
        <v>1</v>
      </c>
      <c r="E957" s="1051" t="str">
        <f>IF(COUNTIF(E$953:E956,F957)&gt;0,"",F957)</f>
        <v/>
      </c>
      <c r="F957" s="1051" t="str">
        <f t="shared" si="106"/>
        <v>Chaussures de sport , France continentale, Base Carbone</v>
      </c>
      <c r="G957" s="1051" t="str">
        <f t="shared" si="107"/>
        <v>Chaussures de sport , France continentale, Base Carbone; kgCO2e/unité, Assemblage</v>
      </c>
      <c r="I957" s="2018" t="s">
        <v>3214</v>
      </c>
      <c r="J957" s="1135" t="s">
        <v>1994</v>
      </c>
      <c r="K957" s="1135" t="s">
        <v>1567</v>
      </c>
      <c r="L957" s="1135" t="s">
        <v>1571</v>
      </c>
      <c r="M957" s="2062">
        <v>0.15</v>
      </c>
      <c r="N957" s="1135" t="s">
        <v>3137</v>
      </c>
      <c r="O957" s="1135">
        <v>4.3</v>
      </c>
      <c r="P957" s="2017">
        <v>4.3</v>
      </c>
      <c r="Q957" s="2017">
        <v>0</v>
      </c>
      <c r="R957" s="2017">
        <v>0</v>
      </c>
      <c r="S957" s="2017">
        <v>0</v>
      </c>
      <c r="T957" s="2017">
        <v>0</v>
      </c>
      <c r="U957" s="2042">
        <v>0</v>
      </c>
    </row>
    <row r="958" spans="2:21" hidden="1" outlineLevel="2">
      <c r="B958" s="2059">
        <v>5</v>
      </c>
      <c r="C958" s="1050" t="str">
        <f t="shared" si="104"/>
        <v>Pull en laine, France continentale, Base Carbone</v>
      </c>
      <c r="D958" s="1051">
        <f t="shared" si="105"/>
        <v>1</v>
      </c>
      <c r="E958" s="1051" t="str">
        <f>IF(COUNTIF(E$953:E957,F958)&gt;0,"",F958)</f>
        <v/>
      </c>
      <c r="F958" s="1051" t="str">
        <f t="shared" si="106"/>
        <v>Chaussures de sport , France continentale, Base Carbone</v>
      </c>
      <c r="G958" s="1051" t="str">
        <f t="shared" si="107"/>
        <v>Chaussures de sport , France continentale, Base Carbone; kgCO2e/unité, Distribution</v>
      </c>
      <c r="I958" s="2018" t="s">
        <v>3214</v>
      </c>
      <c r="J958" s="1135" t="s">
        <v>1994</v>
      </c>
      <c r="K958" s="1135" t="s">
        <v>1567</v>
      </c>
      <c r="L958" s="1135" t="s">
        <v>1571</v>
      </c>
      <c r="M958" s="2062">
        <v>0.15</v>
      </c>
      <c r="N958" s="1135" t="s">
        <v>3138</v>
      </c>
      <c r="O958" s="1135">
        <v>5</v>
      </c>
      <c r="P958" s="2017">
        <v>5</v>
      </c>
      <c r="Q958" s="2017">
        <v>0</v>
      </c>
      <c r="R958" s="2017">
        <v>0</v>
      </c>
      <c r="S958" s="2017">
        <v>0</v>
      </c>
      <c r="T958" s="2017">
        <v>0</v>
      </c>
      <c r="U958" s="2042">
        <v>0</v>
      </c>
    </row>
    <row r="959" spans="2:21" hidden="1" outlineLevel="2">
      <c r="B959" s="2059">
        <v>6</v>
      </c>
      <c r="C959" s="1050" t="str">
        <f t="shared" si="104"/>
        <v>Sweat (CO), France continentale, Base Carbone</v>
      </c>
      <c r="D959" s="1051">
        <f t="shared" si="105"/>
        <v>2</v>
      </c>
      <c r="E959" s="1051" t="str">
        <f>IF(COUNTIF(E$953:E958,F959)&gt;0,"",F959)</f>
        <v>Chaussures en tissu, France continentale, Base Carbone</v>
      </c>
      <c r="F959" s="1051" t="str">
        <f t="shared" si="106"/>
        <v>Chaussures en tissu, France continentale, Base Carbone</v>
      </c>
      <c r="G959" s="1051" t="str">
        <f t="shared" si="107"/>
        <v>Chaussures en tissu, France continentale, Base Carbone; kgCO2e/unité, Matières premières</v>
      </c>
      <c r="I959" s="2018" t="s">
        <v>3215</v>
      </c>
      <c r="J959" s="1135" t="s">
        <v>1994</v>
      </c>
      <c r="K959" s="1135" t="s">
        <v>1567</v>
      </c>
      <c r="L959" s="1135" t="s">
        <v>1571</v>
      </c>
      <c r="M959" s="2062">
        <v>0.15</v>
      </c>
      <c r="N959" s="1135" t="s">
        <v>3135</v>
      </c>
      <c r="O959" s="1135">
        <v>4.8</v>
      </c>
      <c r="P959" s="2017">
        <v>4.8</v>
      </c>
      <c r="Q959" s="2017">
        <v>0</v>
      </c>
      <c r="R959" s="2017">
        <v>0</v>
      </c>
      <c r="S959" s="2017">
        <v>0</v>
      </c>
      <c r="T959" s="2017">
        <v>0</v>
      </c>
      <c r="U959" s="2042">
        <v>0</v>
      </c>
    </row>
    <row r="960" spans="2:21" hidden="1" outlineLevel="2">
      <c r="B960" s="2059">
        <v>7</v>
      </c>
      <c r="C960" s="1050" t="str">
        <f t="shared" si="104"/>
        <v>Veste imper-respirante (anorak), France continentale, Base Carbone</v>
      </c>
      <c r="D960" s="1051">
        <f t="shared" si="105"/>
        <v>2</v>
      </c>
      <c r="E960" s="1051" t="str">
        <f>IF(COUNTIF(E$953:E959,F960)&gt;0,"",F960)</f>
        <v/>
      </c>
      <c r="F960" s="1051" t="str">
        <f t="shared" si="106"/>
        <v>Chaussures en tissu, France continentale, Base Carbone</v>
      </c>
      <c r="G960" s="1051" t="str">
        <f t="shared" si="107"/>
        <v>Chaussures en tissu, France continentale, Base Carbone; kgCO2e/unité, Approvisionnement</v>
      </c>
      <c r="I960" s="2018" t="s">
        <v>3215</v>
      </c>
      <c r="J960" s="1135" t="s">
        <v>1994</v>
      </c>
      <c r="K960" s="1135" t="s">
        <v>1567</v>
      </c>
      <c r="L960" s="1135" t="s">
        <v>1571</v>
      </c>
      <c r="M960" s="2062">
        <v>0.15</v>
      </c>
      <c r="N960" s="1135" t="s">
        <v>3136</v>
      </c>
      <c r="O960" s="1135">
        <v>0.3</v>
      </c>
      <c r="P960" s="2017">
        <v>0.3</v>
      </c>
      <c r="Q960" s="2017">
        <v>0</v>
      </c>
      <c r="R960" s="2017">
        <v>0</v>
      </c>
      <c r="S960" s="2017">
        <v>0</v>
      </c>
      <c r="T960" s="2017">
        <v>0</v>
      </c>
      <c r="U960" s="2042">
        <v>0</v>
      </c>
    </row>
    <row r="961" spans="2:21" hidden="1" outlineLevel="2">
      <c r="B961" s="2059">
        <v>8</v>
      </c>
      <c r="C961" s="1050" t="str">
        <f t="shared" si="104"/>
        <v>-</v>
      </c>
      <c r="D961" s="1051">
        <f t="shared" si="105"/>
        <v>2</v>
      </c>
      <c r="E961" s="1051" t="str">
        <f>IF(COUNTIF(E$953:E960,F961)&gt;0,"",F961)</f>
        <v/>
      </c>
      <c r="F961" s="1051" t="str">
        <f t="shared" si="106"/>
        <v>Chaussures en tissu, France continentale, Base Carbone</v>
      </c>
      <c r="G961" s="1051" t="str">
        <f t="shared" si="107"/>
        <v>Chaussures en tissu, France continentale, Base Carbone; kgCO2e/unité, Mise en forme</v>
      </c>
      <c r="I961" s="2018" t="s">
        <v>3215</v>
      </c>
      <c r="J961" s="1135" t="s">
        <v>1994</v>
      </c>
      <c r="K961" s="1135" t="s">
        <v>1567</v>
      </c>
      <c r="L961" s="1135" t="s">
        <v>1571</v>
      </c>
      <c r="M961" s="2062">
        <v>0.15</v>
      </c>
      <c r="N961" s="1135" t="s">
        <v>3141</v>
      </c>
      <c r="O961" s="1135">
        <v>4</v>
      </c>
      <c r="P961" s="2017">
        <v>4</v>
      </c>
      <c r="Q961" s="2017">
        <v>0</v>
      </c>
      <c r="R961" s="2017">
        <v>0</v>
      </c>
      <c r="S961" s="2017">
        <v>0</v>
      </c>
      <c r="T961" s="2017">
        <v>0</v>
      </c>
      <c r="U961" s="2042">
        <v>0</v>
      </c>
    </row>
    <row r="962" spans="2:21" hidden="1" outlineLevel="2">
      <c r="B962" s="2059">
        <v>9</v>
      </c>
      <c r="C962" s="1050" t="str">
        <f t="shared" si="104"/>
        <v>-</v>
      </c>
      <c r="D962" s="1051">
        <f t="shared" si="105"/>
        <v>2</v>
      </c>
      <c r="E962" s="1051" t="str">
        <f>IF(COUNTIF(E$953:E961,F962)&gt;0,"",F962)</f>
        <v/>
      </c>
      <c r="F962" s="1051" t="str">
        <f t="shared" si="106"/>
        <v>Chaussures en tissu, France continentale, Base Carbone</v>
      </c>
      <c r="G962" s="1051" t="str">
        <f t="shared" si="107"/>
        <v>Chaussures en tissu, France continentale, Base Carbone; kgCO2e/unité, Assemblage</v>
      </c>
      <c r="I962" s="2018" t="s">
        <v>3215</v>
      </c>
      <c r="J962" s="1135" t="s">
        <v>1994</v>
      </c>
      <c r="K962" s="1135" t="s">
        <v>1567</v>
      </c>
      <c r="L962" s="1135" t="s">
        <v>1571</v>
      </c>
      <c r="M962" s="2062">
        <v>0.15</v>
      </c>
      <c r="N962" s="1135" t="s">
        <v>3137</v>
      </c>
      <c r="O962" s="1135">
        <v>4.3</v>
      </c>
      <c r="P962" s="2017">
        <v>4.3</v>
      </c>
      <c r="Q962" s="2017">
        <v>0</v>
      </c>
      <c r="R962" s="2017">
        <v>0</v>
      </c>
      <c r="S962" s="2017">
        <v>0</v>
      </c>
      <c r="T962" s="2017">
        <v>0</v>
      </c>
      <c r="U962" s="2042">
        <v>0</v>
      </c>
    </row>
    <row r="963" spans="2:21" hidden="1" outlineLevel="2">
      <c r="B963" s="2059">
        <v>10</v>
      </c>
      <c r="C963" s="1050" t="str">
        <f t="shared" si="104"/>
        <v>-</v>
      </c>
      <c r="D963" s="1051">
        <f t="shared" si="105"/>
        <v>2</v>
      </c>
      <c r="E963" s="1051" t="str">
        <f>IF(COUNTIF(E$953:E962,F963)&gt;0,"",F963)</f>
        <v/>
      </c>
      <c r="F963" s="1051" t="str">
        <f t="shared" si="106"/>
        <v>Chaussures en tissu, France continentale, Base Carbone</v>
      </c>
      <c r="G963" s="1051" t="str">
        <f t="shared" si="107"/>
        <v>Chaussures en tissu, France continentale, Base Carbone; kgCO2e/unité, Distribution</v>
      </c>
      <c r="I963" s="2018" t="s">
        <v>3215</v>
      </c>
      <c r="J963" s="1135" t="s">
        <v>1994</v>
      </c>
      <c r="K963" s="1135" t="s">
        <v>1567</v>
      </c>
      <c r="L963" s="1135" t="s">
        <v>1571</v>
      </c>
      <c r="M963" s="2062">
        <v>0.15</v>
      </c>
      <c r="N963" s="1135" t="s">
        <v>3138</v>
      </c>
      <c r="O963" s="1135">
        <v>3.9</v>
      </c>
      <c r="P963" s="2017">
        <v>3.9</v>
      </c>
      <c r="Q963" s="2017">
        <v>0</v>
      </c>
      <c r="R963" s="2017">
        <v>0</v>
      </c>
      <c r="S963" s="2017">
        <v>0</v>
      </c>
      <c r="T963" s="2017">
        <v>0</v>
      </c>
      <c r="U963" s="2042">
        <v>0</v>
      </c>
    </row>
    <row r="964" spans="2:21" hidden="1" outlineLevel="2">
      <c r="B964" s="1135"/>
      <c r="C964" s="1045"/>
      <c r="D964" s="1051">
        <f t="shared" si="105"/>
        <v>3</v>
      </c>
      <c r="E964" s="1051" t="str">
        <f>IF(COUNTIF(E$953:E963,F964)&gt;0,"",F964)</f>
        <v>Manteau composition moyenne , France continentale, Base Carbone</v>
      </c>
      <c r="F964" s="1051" t="str">
        <f t="shared" si="106"/>
        <v>Manteau composition moyenne , France continentale, Base Carbone</v>
      </c>
      <c r="G964" s="1051" t="str">
        <f t="shared" si="107"/>
        <v>Manteau composition moyenne , France continentale, Base Carbone; kgCO2e/unité, Matières premières</v>
      </c>
      <c r="I964" s="2018" t="s">
        <v>3216</v>
      </c>
      <c r="J964" s="1135" t="s">
        <v>1994</v>
      </c>
      <c r="K964" s="1135" t="s">
        <v>1567</v>
      </c>
      <c r="L964" s="1135" t="s">
        <v>1571</v>
      </c>
      <c r="M964" s="2062">
        <v>0.6</v>
      </c>
      <c r="N964" s="1135" t="s">
        <v>3135</v>
      </c>
      <c r="O964" s="1135">
        <v>44.5</v>
      </c>
      <c r="P964" s="2017">
        <v>44.5</v>
      </c>
      <c r="Q964" s="2017">
        <v>0</v>
      </c>
      <c r="R964" s="2017">
        <v>0</v>
      </c>
      <c r="S964" s="2017">
        <v>0</v>
      </c>
      <c r="T964" s="2017">
        <v>0</v>
      </c>
      <c r="U964" s="2042">
        <v>0</v>
      </c>
    </row>
    <row r="965" spans="2:21" hidden="1" outlineLevel="2">
      <c r="B965" s="1135"/>
      <c r="C965" s="1045"/>
      <c r="D965" s="1051">
        <f t="shared" si="105"/>
        <v>3</v>
      </c>
      <c r="E965" s="1051" t="str">
        <f>IF(COUNTIF(E$953:E964,F965)&gt;0,"",F965)</f>
        <v/>
      </c>
      <c r="F965" s="1051" t="str">
        <f t="shared" si="106"/>
        <v>Manteau composition moyenne , France continentale, Base Carbone</v>
      </c>
      <c r="G965" s="1051" t="str">
        <f t="shared" si="107"/>
        <v>Manteau composition moyenne , France continentale, Base Carbone; kgCO2e/unité, Approvisionnement</v>
      </c>
      <c r="I965" s="2018" t="s">
        <v>3216</v>
      </c>
      <c r="J965" s="1135" t="s">
        <v>1994</v>
      </c>
      <c r="K965" s="1135" t="s">
        <v>1567</v>
      </c>
      <c r="L965" s="1135" t="s">
        <v>1571</v>
      </c>
      <c r="M965" s="2062">
        <v>0.6</v>
      </c>
      <c r="N965" s="1135" t="s">
        <v>3136</v>
      </c>
      <c r="O965" s="1135">
        <v>2.1</v>
      </c>
      <c r="P965" s="2017">
        <v>2.1</v>
      </c>
      <c r="Q965" s="2017">
        <v>0</v>
      </c>
      <c r="R965" s="2017">
        <v>0</v>
      </c>
      <c r="S965" s="2017">
        <v>0</v>
      </c>
      <c r="T965" s="2017">
        <v>0</v>
      </c>
      <c r="U965" s="2042">
        <v>0</v>
      </c>
    </row>
    <row r="966" spans="2:21" hidden="1" outlineLevel="2">
      <c r="B966" s="1135"/>
      <c r="C966" s="1045"/>
      <c r="D966" s="1051">
        <f t="shared" si="105"/>
        <v>3</v>
      </c>
      <c r="E966" s="1051" t="str">
        <f>IF(COUNTIF(E$953:E965,F966)&gt;0,"",F966)</f>
        <v/>
      </c>
      <c r="F966" s="1051" t="str">
        <f t="shared" si="106"/>
        <v>Manteau composition moyenne , France continentale, Base Carbone</v>
      </c>
      <c r="G966" s="1051" t="str">
        <f t="shared" si="107"/>
        <v>Manteau composition moyenne , France continentale, Base Carbone; kgCO2e/unité, Mise en forme</v>
      </c>
      <c r="I966" s="2018" t="s">
        <v>3216</v>
      </c>
      <c r="J966" s="1135" t="s">
        <v>1994</v>
      </c>
      <c r="K966" s="1135" t="s">
        <v>1567</v>
      </c>
      <c r="L966" s="1135" t="s">
        <v>1571</v>
      </c>
      <c r="M966" s="2062">
        <v>0.6</v>
      </c>
      <c r="N966" s="1135" t="s">
        <v>3141</v>
      </c>
      <c r="O966" s="1135">
        <v>29.9</v>
      </c>
      <c r="P966" s="2017">
        <v>29.9</v>
      </c>
      <c r="Q966" s="2017">
        <v>0</v>
      </c>
      <c r="R966" s="2017">
        <v>0</v>
      </c>
      <c r="S966" s="2017">
        <v>0</v>
      </c>
      <c r="T966" s="2017">
        <v>0</v>
      </c>
      <c r="U966" s="2042">
        <v>0</v>
      </c>
    </row>
    <row r="967" spans="2:21" hidden="1" outlineLevel="2">
      <c r="B967" s="1135"/>
      <c r="C967" s="1045"/>
      <c r="D967" s="1051">
        <f t="shared" si="105"/>
        <v>3</v>
      </c>
      <c r="E967" s="1051" t="str">
        <f>IF(COUNTIF(E$953:E966,F967)&gt;0,"",F967)</f>
        <v/>
      </c>
      <c r="F967" s="1051" t="str">
        <f t="shared" si="106"/>
        <v>Manteau composition moyenne , France continentale, Base Carbone</v>
      </c>
      <c r="G967" s="1051" t="str">
        <f t="shared" si="107"/>
        <v>Manteau composition moyenne , France continentale, Base Carbone; kgCO2e/unité, Assemblage</v>
      </c>
      <c r="I967" s="2018" t="s">
        <v>3216</v>
      </c>
      <c r="J967" s="1135" t="s">
        <v>1994</v>
      </c>
      <c r="K967" s="1135" t="s">
        <v>1567</v>
      </c>
      <c r="L967" s="1135" t="s">
        <v>1571</v>
      </c>
      <c r="M967" s="2062">
        <v>0.6</v>
      </c>
      <c r="N967" s="1135" t="s">
        <v>3137</v>
      </c>
      <c r="O967" s="1135">
        <v>1</v>
      </c>
      <c r="P967" s="2017">
        <v>1</v>
      </c>
      <c r="Q967" s="2017">
        <v>0</v>
      </c>
      <c r="R967" s="2017">
        <v>0</v>
      </c>
      <c r="S967" s="2017">
        <v>0</v>
      </c>
      <c r="T967" s="2017">
        <v>0</v>
      </c>
      <c r="U967" s="2042">
        <v>0</v>
      </c>
    </row>
    <row r="968" spans="2:21" hidden="1" outlineLevel="2">
      <c r="B968" s="1135"/>
      <c r="C968" s="1045"/>
      <c r="D968" s="1051">
        <f t="shared" si="105"/>
        <v>3</v>
      </c>
      <c r="E968" s="1051" t="str">
        <f>IF(COUNTIF(E$953:E967,F968)&gt;0,"",F968)</f>
        <v/>
      </c>
      <c r="F968" s="1051" t="str">
        <f t="shared" si="106"/>
        <v>Manteau composition moyenne , France continentale, Base Carbone</v>
      </c>
      <c r="G968" s="1051" t="str">
        <f t="shared" si="107"/>
        <v>Manteau composition moyenne , France continentale, Base Carbone; kgCO2e/unité, Distribution</v>
      </c>
      <c r="I968" s="2018" t="s">
        <v>3216</v>
      </c>
      <c r="J968" s="1135" t="s">
        <v>1994</v>
      </c>
      <c r="K968" s="1135" t="s">
        <v>1567</v>
      </c>
      <c r="L968" s="1135" t="s">
        <v>1571</v>
      </c>
      <c r="M968" s="2062">
        <v>0.6</v>
      </c>
      <c r="N968" s="1135" t="s">
        <v>3138</v>
      </c>
      <c r="O968" s="1135">
        <v>8.3000000000000007</v>
      </c>
      <c r="P968" s="2017">
        <v>8.3000000000000007</v>
      </c>
      <c r="Q968" s="2017">
        <v>0</v>
      </c>
      <c r="R968" s="2017">
        <v>0</v>
      </c>
      <c r="S968" s="2017">
        <v>0</v>
      </c>
      <c r="T968" s="2017">
        <v>0</v>
      </c>
      <c r="U968" s="2042">
        <v>0</v>
      </c>
    </row>
    <row r="969" spans="2:21" hidden="1" outlineLevel="2">
      <c r="B969" s="1135"/>
      <c r="C969" s="1045"/>
      <c r="D969" s="1051">
        <f t="shared" si="105"/>
        <v>4</v>
      </c>
      <c r="E969" s="1051" t="str">
        <f>IF(COUNTIF(E$953:E968,F969)&gt;0,"",F969)</f>
        <v>Polo, France continentale, Base Carbone</v>
      </c>
      <c r="F969" s="1051" t="str">
        <f t="shared" si="106"/>
        <v>Polo, France continentale, Base Carbone</v>
      </c>
      <c r="G969" s="1051" t="str">
        <f t="shared" si="107"/>
        <v>Polo, France continentale, Base Carbone; kgCO2e/unité, Matières premières</v>
      </c>
      <c r="I969" s="2018" t="s">
        <v>3217</v>
      </c>
      <c r="J969" s="1135" t="s">
        <v>1994</v>
      </c>
      <c r="K969" s="1135" t="s">
        <v>1567</v>
      </c>
      <c r="L969" s="1135" t="s">
        <v>1571</v>
      </c>
      <c r="M969" s="2062">
        <v>0.7</v>
      </c>
      <c r="N969" s="1135" t="s">
        <v>3135</v>
      </c>
      <c r="O969" s="1135">
        <v>2.8</v>
      </c>
      <c r="P969" s="2017">
        <v>2.8</v>
      </c>
      <c r="Q969" s="2017">
        <v>0</v>
      </c>
      <c r="R969" s="2017">
        <v>0</v>
      </c>
      <c r="S969" s="2017">
        <v>0</v>
      </c>
      <c r="T969" s="2017">
        <v>0</v>
      </c>
      <c r="U969" s="2042">
        <v>0</v>
      </c>
    </row>
    <row r="970" spans="2:21" hidden="1" outlineLevel="2">
      <c r="B970" s="1135"/>
      <c r="C970" s="1045"/>
      <c r="D970" s="1051">
        <f t="shared" si="105"/>
        <v>4</v>
      </c>
      <c r="E970" s="1051" t="str">
        <f>IF(COUNTIF(E$953:E969,F970)&gt;0,"",F970)</f>
        <v/>
      </c>
      <c r="F970" s="1051" t="str">
        <f t="shared" si="106"/>
        <v>Polo, France continentale, Base Carbone</v>
      </c>
      <c r="G970" s="1051" t="str">
        <f t="shared" si="107"/>
        <v>Polo, France continentale, Base Carbone; kgCO2e/unité, Approvisionnement</v>
      </c>
      <c r="I970" s="2018" t="s">
        <v>3217</v>
      </c>
      <c r="J970" s="1135" t="s">
        <v>1994</v>
      </c>
      <c r="K970" s="1135" t="s">
        <v>1567</v>
      </c>
      <c r="L970" s="1135" t="s">
        <v>1571</v>
      </c>
      <c r="M970" s="2062">
        <v>0.7</v>
      </c>
      <c r="N970" s="1135" t="s">
        <v>3136</v>
      </c>
      <c r="O970" s="1135">
        <v>0.4</v>
      </c>
      <c r="P970" s="2017">
        <v>0.4</v>
      </c>
      <c r="Q970" s="2017">
        <v>0</v>
      </c>
      <c r="R970" s="2017">
        <v>0</v>
      </c>
      <c r="S970" s="2017">
        <v>0</v>
      </c>
      <c r="T970" s="2017">
        <v>0</v>
      </c>
      <c r="U970" s="2042">
        <v>0</v>
      </c>
    </row>
    <row r="971" spans="2:21" hidden="1" outlineLevel="2">
      <c r="B971" s="1135"/>
      <c r="C971" s="1045"/>
      <c r="D971" s="1051">
        <f t="shared" si="105"/>
        <v>4</v>
      </c>
      <c r="E971" s="1051" t="str">
        <f>IF(COUNTIF(E$953:E970,F971)&gt;0,"",F971)</f>
        <v/>
      </c>
      <c r="F971" s="1051" t="str">
        <f t="shared" si="106"/>
        <v>Polo, France continentale, Base Carbone</v>
      </c>
      <c r="G971" s="1051" t="str">
        <f t="shared" si="107"/>
        <v>Polo, France continentale, Base Carbone; kgCO2e/unité, Mise en forme</v>
      </c>
      <c r="I971" s="2018" t="s">
        <v>3217</v>
      </c>
      <c r="J971" s="1135" t="s">
        <v>1994</v>
      </c>
      <c r="K971" s="1135" t="s">
        <v>1567</v>
      </c>
      <c r="L971" s="1135" t="s">
        <v>1571</v>
      </c>
      <c r="M971" s="2062">
        <v>0.7</v>
      </c>
      <c r="N971" s="1135" t="s">
        <v>3141</v>
      </c>
      <c r="O971" s="1135">
        <v>3.1</v>
      </c>
      <c r="P971" s="2017">
        <v>3.1</v>
      </c>
      <c r="Q971" s="2017">
        <v>0</v>
      </c>
      <c r="R971" s="2017">
        <v>0</v>
      </c>
      <c r="S971" s="2017">
        <v>0</v>
      </c>
      <c r="T971" s="2017">
        <v>0</v>
      </c>
      <c r="U971" s="2042">
        <v>0</v>
      </c>
    </row>
    <row r="972" spans="2:21" hidden="1" outlineLevel="2">
      <c r="B972" s="1135"/>
      <c r="C972" s="1045"/>
      <c r="D972" s="1051">
        <f t="shared" si="105"/>
        <v>4</v>
      </c>
      <c r="E972" s="1051" t="str">
        <f>IF(COUNTIF(E$953:E971,F972)&gt;0,"",F972)</f>
        <v/>
      </c>
      <c r="F972" s="1051" t="str">
        <f t="shared" si="106"/>
        <v>Polo, France continentale, Base Carbone</v>
      </c>
      <c r="G972" s="1051" t="str">
        <f t="shared" si="107"/>
        <v>Polo, France continentale, Base Carbone; kgCO2e/unité, Assemblage</v>
      </c>
      <c r="I972" s="2018" t="s">
        <v>3217</v>
      </c>
      <c r="J972" s="1135" t="s">
        <v>1994</v>
      </c>
      <c r="K972" s="1135" t="s">
        <v>1567</v>
      </c>
      <c r="L972" s="1135" t="s">
        <v>1571</v>
      </c>
      <c r="M972" s="2062">
        <v>0.7</v>
      </c>
      <c r="N972" s="1135" t="s">
        <v>3137</v>
      </c>
      <c r="O972" s="1135">
        <v>0.4</v>
      </c>
      <c r="P972" s="2017">
        <v>0.4</v>
      </c>
      <c r="Q972" s="2017">
        <v>0</v>
      </c>
      <c r="R972" s="2017">
        <v>0</v>
      </c>
      <c r="S972" s="2017">
        <v>0</v>
      </c>
      <c r="T972" s="2017">
        <v>0</v>
      </c>
      <c r="U972" s="2042">
        <v>0</v>
      </c>
    </row>
    <row r="973" spans="2:21" hidden="1" outlineLevel="2">
      <c r="B973" s="1135"/>
      <c r="C973" s="1045"/>
      <c r="D973" s="1051">
        <f t="shared" si="105"/>
        <v>4</v>
      </c>
      <c r="E973" s="1051" t="str">
        <f>IF(COUNTIF(E$953:E972,F973)&gt;0,"",F973)</f>
        <v/>
      </c>
      <c r="F973" s="1051" t="str">
        <f t="shared" si="106"/>
        <v>Polo, France continentale, Base Carbone</v>
      </c>
      <c r="G973" s="1051" t="str">
        <f t="shared" si="107"/>
        <v>Polo, France continentale, Base Carbone; kgCO2e/unité, Distribution</v>
      </c>
      <c r="I973" s="2018" t="s">
        <v>3217</v>
      </c>
      <c r="J973" s="1135" t="s">
        <v>1994</v>
      </c>
      <c r="K973" s="1135" t="s">
        <v>1567</v>
      </c>
      <c r="L973" s="1135" t="s">
        <v>1571</v>
      </c>
      <c r="M973" s="2062">
        <v>0.7</v>
      </c>
      <c r="N973" s="1135" t="s">
        <v>3138</v>
      </c>
      <c r="O973" s="1135">
        <v>1.5</v>
      </c>
      <c r="P973" s="2017">
        <v>1.5</v>
      </c>
      <c r="Q973" s="2017">
        <v>0</v>
      </c>
      <c r="R973" s="2017">
        <v>0</v>
      </c>
      <c r="S973" s="2017">
        <v>0</v>
      </c>
      <c r="T973" s="2017">
        <v>0</v>
      </c>
      <c r="U973" s="2042">
        <v>0</v>
      </c>
    </row>
    <row r="974" spans="2:21" hidden="1" outlineLevel="2">
      <c r="B974" s="1135"/>
      <c r="C974" s="1045"/>
      <c r="D974" s="1051">
        <f t="shared" si="105"/>
        <v>5</v>
      </c>
      <c r="E974" s="1051" t="str">
        <f>IF(COUNTIF(E$953:E973,F974)&gt;0,"",F974)</f>
        <v>Pull en laine, France continentale, Base Carbone</v>
      </c>
      <c r="F974" s="1051" t="str">
        <f t="shared" si="106"/>
        <v>Pull en laine, France continentale, Base Carbone</v>
      </c>
      <c r="G974" s="1051" t="str">
        <f t="shared" si="107"/>
        <v>Pull en laine, France continentale, Base Carbone; kgCO2e/unité, Matières premières</v>
      </c>
      <c r="I974" s="2018" t="s">
        <v>3218</v>
      </c>
      <c r="J974" s="1135" t="s">
        <v>1994</v>
      </c>
      <c r="K974" s="1135" t="s">
        <v>1567</v>
      </c>
      <c r="L974" s="1135" t="s">
        <v>1571</v>
      </c>
      <c r="M974" s="2062">
        <v>0.7</v>
      </c>
      <c r="N974" s="1135" t="s">
        <v>3135</v>
      </c>
      <c r="O974" s="1135">
        <v>39.299999999999997</v>
      </c>
      <c r="P974" s="2017">
        <v>39.299999999999997</v>
      </c>
      <c r="Q974" s="2017">
        <v>0</v>
      </c>
      <c r="R974" s="2017">
        <v>0</v>
      </c>
      <c r="S974" s="2017">
        <v>0</v>
      </c>
      <c r="T974" s="2017">
        <v>0</v>
      </c>
      <c r="U974" s="2042">
        <v>0</v>
      </c>
    </row>
    <row r="975" spans="2:21" hidden="1" outlineLevel="2">
      <c r="B975" s="1135"/>
      <c r="C975" s="1045"/>
      <c r="D975" s="1051">
        <f t="shared" si="105"/>
        <v>5</v>
      </c>
      <c r="E975" s="1051" t="str">
        <f>IF(COUNTIF(E$953:E974,F975)&gt;0,"",F975)</f>
        <v/>
      </c>
      <c r="F975" s="1051" t="str">
        <f t="shared" si="106"/>
        <v>Pull en laine, France continentale, Base Carbone</v>
      </c>
      <c r="G975" s="1051" t="str">
        <f t="shared" si="107"/>
        <v>Pull en laine, France continentale, Base Carbone; kgCO2e/unité, Approvisionnement</v>
      </c>
      <c r="I975" s="2018" t="s">
        <v>3218</v>
      </c>
      <c r="J975" s="1135" t="s">
        <v>1994</v>
      </c>
      <c r="K975" s="1135" t="s">
        <v>1567</v>
      </c>
      <c r="L975" s="1135" t="s">
        <v>1571</v>
      </c>
      <c r="M975" s="2062">
        <v>0.7</v>
      </c>
      <c r="N975" s="1135" t="s">
        <v>3136</v>
      </c>
      <c r="O975" s="1135">
        <v>0.9</v>
      </c>
      <c r="P975" s="2017">
        <v>0.9</v>
      </c>
      <c r="Q975" s="2017">
        <v>0</v>
      </c>
      <c r="R975" s="2017">
        <v>0</v>
      </c>
      <c r="S975" s="2017">
        <v>0</v>
      </c>
      <c r="T975" s="2017">
        <v>0</v>
      </c>
      <c r="U975" s="2042">
        <v>0</v>
      </c>
    </row>
    <row r="976" spans="2:21" hidden="1" outlineLevel="2">
      <c r="B976" s="1135"/>
      <c r="C976" s="1045"/>
      <c r="D976" s="1051">
        <f t="shared" si="105"/>
        <v>5</v>
      </c>
      <c r="E976" s="1051" t="str">
        <f>IF(COUNTIF(E$953:E975,F976)&gt;0,"",F976)</f>
        <v/>
      </c>
      <c r="F976" s="1051" t="str">
        <f t="shared" si="106"/>
        <v>Pull en laine, France continentale, Base Carbone</v>
      </c>
      <c r="G976" s="1051" t="str">
        <f t="shared" si="107"/>
        <v>Pull en laine, France continentale, Base Carbone; kgCO2e/unité, Mise en forme</v>
      </c>
      <c r="I976" s="2018" t="s">
        <v>3218</v>
      </c>
      <c r="J976" s="1135" t="s">
        <v>1994</v>
      </c>
      <c r="K976" s="1135" t="s">
        <v>1567</v>
      </c>
      <c r="L976" s="1135" t="s">
        <v>1571</v>
      </c>
      <c r="M976" s="2062">
        <v>0.7</v>
      </c>
      <c r="N976" s="1135" t="s">
        <v>3141</v>
      </c>
      <c r="O976" s="1135">
        <v>8.6</v>
      </c>
      <c r="P976" s="2017">
        <v>8.6</v>
      </c>
      <c r="Q976" s="2017">
        <v>0</v>
      </c>
      <c r="R976" s="2017">
        <v>0</v>
      </c>
      <c r="S976" s="2017">
        <v>0</v>
      </c>
      <c r="T976" s="2017">
        <v>0</v>
      </c>
      <c r="U976" s="2042">
        <v>0</v>
      </c>
    </row>
    <row r="977" spans="2:21" hidden="1" outlineLevel="2">
      <c r="B977" s="1135"/>
      <c r="C977" s="1045"/>
      <c r="D977" s="1051">
        <f t="shared" si="105"/>
        <v>5</v>
      </c>
      <c r="E977" s="1051" t="str">
        <f>IF(COUNTIF(E$953:E976,F977)&gt;0,"",F977)</f>
        <v/>
      </c>
      <c r="F977" s="1051" t="str">
        <f t="shared" si="106"/>
        <v>Pull en laine, France continentale, Base Carbone</v>
      </c>
      <c r="G977" s="1051" t="str">
        <f t="shared" si="107"/>
        <v>Pull en laine, France continentale, Base Carbone; kgCO2e/unité, Assemblage</v>
      </c>
      <c r="I977" s="2018" t="s">
        <v>3218</v>
      </c>
      <c r="J977" s="1135" t="s">
        <v>1994</v>
      </c>
      <c r="K977" s="1135" t="s">
        <v>1567</v>
      </c>
      <c r="L977" s="1135" t="s">
        <v>1571</v>
      </c>
      <c r="M977" s="2062">
        <v>0.7</v>
      </c>
      <c r="N977" s="1135" t="s">
        <v>3137</v>
      </c>
      <c r="O977" s="1135">
        <v>0.6</v>
      </c>
      <c r="P977" s="2017">
        <v>0.6</v>
      </c>
      <c r="Q977" s="2017">
        <v>0</v>
      </c>
      <c r="R977" s="2017">
        <v>0</v>
      </c>
      <c r="S977" s="2017">
        <v>0</v>
      </c>
      <c r="T977" s="2017">
        <v>0</v>
      </c>
      <c r="U977" s="2042">
        <v>0</v>
      </c>
    </row>
    <row r="978" spans="2:21" hidden="1" outlineLevel="2">
      <c r="B978" s="1135"/>
      <c r="C978" s="1045"/>
      <c r="D978" s="1051">
        <f t="shared" si="105"/>
        <v>5</v>
      </c>
      <c r="E978" s="1051" t="str">
        <f>IF(COUNTIF(E$953:E977,F978)&gt;0,"",F978)</f>
        <v/>
      </c>
      <c r="F978" s="1051" t="str">
        <f t="shared" si="106"/>
        <v>Pull en laine, France continentale, Base Carbone</v>
      </c>
      <c r="G978" s="1051" t="str">
        <f t="shared" si="107"/>
        <v>Pull en laine, France continentale, Base Carbone; kgCO2e/unité, Distribution</v>
      </c>
      <c r="I978" s="2018" t="s">
        <v>3218</v>
      </c>
      <c r="J978" s="1135" t="s">
        <v>1994</v>
      </c>
      <c r="K978" s="1135" t="s">
        <v>1567</v>
      </c>
      <c r="L978" s="1135" t="s">
        <v>1571</v>
      </c>
      <c r="M978" s="2062">
        <v>0.7</v>
      </c>
      <c r="N978" s="1135" t="s">
        <v>3138</v>
      </c>
      <c r="O978" s="1135">
        <v>3.5</v>
      </c>
      <c r="P978" s="2017">
        <v>3.5</v>
      </c>
      <c r="Q978" s="2017">
        <v>0</v>
      </c>
      <c r="R978" s="2017">
        <v>0</v>
      </c>
      <c r="S978" s="2017">
        <v>0</v>
      </c>
      <c r="T978" s="2017">
        <v>0</v>
      </c>
      <c r="U978" s="2042">
        <v>0</v>
      </c>
    </row>
    <row r="979" spans="2:21" hidden="1" outlineLevel="2">
      <c r="B979" s="1135"/>
      <c r="C979" s="1045"/>
      <c r="D979" s="1051">
        <f t="shared" si="105"/>
        <v>6</v>
      </c>
      <c r="E979" s="1051" t="str">
        <f>IF(COUNTIF(E$953:E978,F979)&gt;0,"",F979)</f>
        <v>Sweat (CO), France continentale, Base Carbone</v>
      </c>
      <c r="F979" s="1051" t="str">
        <f t="shared" si="106"/>
        <v>Sweat (CO), France continentale, Base Carbone</v>
      </c>
      <c r="G979" s="1051" t="str">
        <f t="shared" si="107"/>
        <v>Sweat (CO), France continentale, Base Carbone; kgCO2e/unité, Matières premières</v>
      </c>
      <c r="I979" s="2018" t="s">
        <v>3219</v>
      </c>
      <c r="J979" s="1135" t="s">
        <v>1994</v>
      </c>
      <c r="K979" s="1135" t="s">
        <v>1567</v>
      </c>
      <c r="L979" s="1135" t="s">
        <v>1571</v>
      </c>
      <c r="M979" s="2062">
        <v>0.7</v>
      </c>
      <c r="N979" s="1135" t="s">
        <v>3135</v>
      </c>
      <c r="O979" s="1135">
        <v>9.8000000000000007</v>
      </c>
      <c r="P979" s="2017">
        <v>9.8000000000000007</v>
      </c>
      <c r="Q979" s="2017">
        <v>0</v>
      </c>
      <c r="R979" s="2017">
        <v>0</v>
      </c>
      <c r="S979" s="2017">
        <v>0</v>
      </c>
      <c r="T979" s="2017">
        <v>0</v>
      </c>
      <c r="U979" s="2042">
        <v>0</v>
      </c>
    </row>
    <row r="980" spans="2:21" hidden="1" outlineLevel="2">
      <c r="B980" s="1135"/>
      <c r="C980" s="1045"/>
      <c r="D980" s="1051">
        <f t="shared" si="105"/>
        <v>6</v>
      </c>
      <c r="E980" s="1051" t="str">
        <f>IF(COUNTIF(E$953:E979,F980)&gt;0,"",F980)</f>
        <v/>
      </c>
      <c r="F980" s="1051" t="str">
        <f t="shared" si="106"/>
        <v>Sweat (CO), France continentale, Base Carbone</v>
      </c>
      <c r="G980" s="1051" t="str">
        <f t="shared" si="107"/>
        <v>Sweat (CO), France continentale, Base Carbone; kgCO2e/unité, Approvisionnement</v>
      </c>
      <c r="I980" s="2018" t="s">
        <v>3219</v>
      </c>
      <c r="J980" s="1135" t="s">
        <v>1994</v>
      </c>
      <c r="K980" s="1135" t="s">
        <v>1567</v>
      </c>
      <c r="L980" s="1135" t="s">
        <v>1571</v>
      </c>
      <c r="M980" s="2062">
        <v>0.7</v>
      </c>
      <c r="N980" s="1135" t="s">
        <v>3136</v>
      </c>
      <c r="O980" s="1135">
        <v>1.2</v>
      </c>
      <c r="P980" s="2017">
        <v>1.2</v>
      </c>
      <c r="Q980" s="2017">
        <v>0</v>
      </c>
      <c r="R980" s="2017">
        <v>0</v>
      </c>
      <c r="S980" s="2017">
        <v>0</v>
      </c>
      <c r="T980" s="2017">
        <v>0</v>
      </c>
      <c r="U980" s="2042">
        <v>0</v>
      </c>
    </row>
    <row r="981" spans="2:21" hidden="1" outlineLevel="2">
      <c r="B981" s="1135"/>
      <c r="C981" s="1045"/>
      <c r="D981" s="1051">
        <f t="shared" si="105"/>
        <v>6</v>
      </c>
      <c r="E981" s="1051" t="str">
        <f>IF(COUNTIF(E$953:E980,F981)&gt;0,"",F981)</f>
        <v/>
      </c>
      <c r="F981" s="1051" t="str">
        <f t="shared" si="106"/>
        <v>Sweat (CO), France continentale, Base Carbone</v>
      </c>
      <c r="G981" s="1051" t="str">
        <f t="shared" si="107"/>
        <v>Sweat (CO), France continentale, Base Carbone; kgCO2e/unité, Mise en forme</v>
      </c>
      <c r="I981" s="2018" t="s">
        <v>3219</v>
      </c>
      <c r="J981" s="1135" t="s">
        <v>1994</v>
      </c>
      <c r="K981" s="1135" t="s">
        <v>1567</v>
      </c>
      <c r="L981" s="1135" t="s">
        <v>1571</v>
      </c>
      <c r="M981" s="2062">
        <v>0.7</v>
      </c>
      <c r="N981" s="1135" t="s">
        <v>3141</v>
      </c>
      <c r="O981" s="1135">
        <v>11.8</v>
      </c>
      <c r="P981" s="2017">
        <v>11.8</v>
      </c>
      <c r="Q981" s="2017">
        <v>0</v>
      </c>
      <c r="R981" s="2017">
        <v>0</v>
      </c>
      <c r="S981" s="2017">
        <v>0</v>
      </c>
      <c r="T981" s="2017">
        <v>0</v>
      </c>
      <c r="U981" s="2042">
        <v>0</v>
      </c>
    </row>
    <row r="982" spans="2:21" hidden="1" outlineLevel="2">
      <c r="B982" s="1135"/>
      <c r="C982" s="1045"/>
      <c r="D982" s="1051">
        <f t="shared" si="105"/>
        <v>6</v>
      </c>
      <c r="E982" s="1051" t="str">
        <f>IF(COUNTIF(E$953:E981,F982)&gt;0,"",F982)</f>
        <v/>
      </c>
      <c r="F982" s="1051" t="str">
        <f t="shared" si="106"/>
        <v>Sweat (CO), France continentale, Base Carbone</v>
      </c>
      <c r="G982" s="1051" t="str">
        <f t="shared" si="107"/>
        <v>Sweat (CO), France continentale, Base Carbone; kgCO2e/unité, Assemblage</v>
      </c>
      <c r="I982" s="2018" t="s">
        <v>3219</v>
      </c>
      <c r="J982" s="1135" t="s">
        <v>1994</v>
      </c>
      <c r="K982" s="1135" t="s">
        <v>1567</v>
      </c>
      <c r="L982" s="1135" t="s">
        <v>1571</v>
      </c>
      <c r="M982" s="2062">
        <v>0.7</v>
      </c>
      <c r="N982" s="1135" t="s">
        <v>3137</v>
      </c>
      <c r="O982" s="1135">
        <v>0.6</v>
      </c>
      <c r="P982" s="2017">
        <v>0.6</v>
      </c>
      <c r="Q982" s="2017">
        <v>0</v>
      </c>
      <c r="R982" s="2017">
        <v>0</v>
      </c>
      <c r="S982" s="2017">
        <v>0</v>
      </c>
      <c r="T982" s="2017">
        <v>0</v>
      </c>
      <c r="U982" s="2042">
        <v>0</v>
      </c>
    </row>
    <row r="983" spans="2:21" hidden="1" outlineLevel="2">
      <c r="B983" s="1135"/>
      <c r="C983" s="1045"/>
      <c r="D983" s="1051">
        <f t="shared" si="105"/>
        <v>6</v>
      </c>
      <c r="E983" s="1051" t="str">
        <f>IF(COUNTIF(E$953:E982,F983)&gt;0,"",F983)</f>
        <v/>
      </c>
      <c r="F983" s="1051" t="str">
        <f t="shared" si="106"/>
        <v>Sweat (CO), France continentale, Base Carbone</v>
      </c>
      <c r="G983" s="1051" t="str">
        <f t="shared" si="107"/>
        <v>Sweat (CO), France continentale, Base Carbone; kgCO2e/unité, Distribution</v>
      </c>
      <c r="I983" s="2018" t="s">
        <v>3219</v>
      </c>
      <c r="J983" s="1135" t="s">
        <v>1994</v>
      </c>
      <c r="K983" s="1135" t="s">
        <v>1567</v>
      </c>
      <c r="L983" s="1135" t="s">
        <v>1571</v>
      </c>
      <c r="M983" s="2062">
        <v>0.7</v>
      </c>
      <c r="N983" s="1135" t="s">
        <v>3138</v>
      </c>
      <c r="O983" s="1135">
        <v>4</v>
      </c>
      <c r="P983" s="2017">
        <v>4</v>
      </c>
      <c r="Q983" s="2017">
        <v>0</v>
      </c>
      <c r="R983" s="2017">
        <v>0</v>
      </c>
      <c r="S983" s="2017">
        <v>0</v>
      </c>
      <c r="T983" s="2017">
        <v>0</v>
      </c>
      <c r="U983" s="2042">
        <v>0</v>
      </c>
    </row>
    <row r="984" spans="2:21" hidden="1" outlineLevel="2">
      <c r="B984" s="1135"/>
      <c r="C984" s="1045"/>
      <c r="D984" s="1051">
        <f t="shared" si="105"/>
        <v>7</v>
      </c>
      <c r="E984" s="1051" t="str">
        <f>IF(COUNTIF(E$953:E983,F984)&gt;0,"",F984)</f>
        <v>Veste imper-respirante (anorak), France continentale, Base Carbone</v>
      </c>
      <c r="F984" s="1051" t="str">
        <f t="shared" si="106"/>
        <v>Veste imper-respirante (anorak), France continentale, Base Carbone</v>
      </c>
      <c r="G984" s="1051" t="str">
        <f t="shared" si="107"/>
        <v>Veste imper-respirante (anorak), France continentale, Base Carbone; kgCO2e/unité, Matières premières</v>
      </c>
      <c r="I984" s="2018" t="s">
        <v>3220</v>
      </c>
      <c r="J984" s="1135" t="s">
        <v>1994</v>
      </c>
      <c r="K984" s="1135" t="s">
        <v>1567</v>
      </c>
      <c r="L984" s="1135" t="s">
        <v>1571</v>
      </c>
      <c r="M984" s="2062">
        <v>0.6</v>
      </c>
      <c r="N984" s="1135" t="s">
        <v>3135</v>
      </c>
      <c r="O984" s="1135">
        <v>28.2</v>
      </c>
      <c r="P984" s="2017">
        <v>28.2</v>
      </c>
      <c r="Q984" s="2017">
        <v>0</v>
      </c>
      <c r="R984" s="2017">
        <v>0</v>
      </c>
      <c r="S984" s="2017">
        <v>0</v>
      </c>
      <c r="T984" s="2017">
        <v>0</v>
      </c>
      <c r="U984" s="2042">
        <v>0</v>
      </c>
    </row>
    <row r="985" spans="2:21" hidden="1" outlineLevel="2">
      <c r="B985" s="1135"/>
      <c r="C985" s="1045"/>
      <c r="D985" s="1051">
        <f t="shared" si="105"/>
        <v>7</v>
      </c>
      <c r="E985" s="1051" t="str">
        <f>IF(COUNTIF(E$953:E984,F985)&gt;0,"",F985)</f>
        <v/>
      </c>
      <c r="F985" s="1051" t="str">
        <f t="shared" si="106"/>
        <v>Veste imper-respirante (anorak), France continentale, Base Carbone</v>
      </c>
      <c r="G985" s="1051" t="str">
        <f t="shared" si="107"/>
        <v>Veste imper-respirante (anorak), France continentale, Base Carbone; kgCO2e/unité, Approvisionnement</v>
      </c>
      <c r="I985" s="2018" t="s">
        <v>3220</v>
      </c>
      <c r="J985" s="1135" t="s">
        <v>1994</v>
      </c>
      <c r="K985" s="1135" t="s">
        <v>1567</v>
      </c>
      <c r="L985" s="1135" t="s">
        <v>1571</v>
      </c>
      <c r="M985" s="2062">
        <v>0.6</v>
      </c>
      <c r="N985" s="1135" t="s">
        <v>3136</v>
      </c>
      <c r="O985" s="1135">
        <v>0.3</v>
      </c>
      <c r="P985" s="2017">
        <v>0.3</v>
      </c>
      <c r="Q985" s="2017">
        <v>0</v>
      </c>
      <c r="R985" s="2017">
        <v>0</v>
      </c>
      <c r="S985" s="2017">
        <v>0</v>
      </c>
      <c r="T985" s="2017">
        <v>0</v>
      </c>
      <c r="U985" s="2042">
        <v>0</v>
      </c>
    </row>
    <row r="986" spans="2:21" hidden="1" outlineLevel="2">
      <c r="B986" s="1135"/>
      <c r="C986" s="1045"/>
      <c r="D986" s="1051">
        <f t="shared" si="105"/>
        <v>7</v>
      </c>
      <c r="E986" s="1051" t="str">
        <f>IF(COUNTIF(E$953:E985,F986)&gt;0,"",F986)</f>
        <v/>
      </c>
      <c r="F986" s="1051" t="str">
        <f t="shared" si="106"/>
        <v>Veste imper-respirante (anorak), France continentale, Base Carbone</v>
      </c>
      <c r="G986" s="1051" t="str">
        <f t="shared" si="107"/>
        <v>Veste imper-respirante (anorak), France continentale, Base Carbone; kgCO2e/unité, Mise en forme</v>
      </c>
      <c r="I986" s="2018" t="s">
        <v>3220</v>
      </c>
      <c r="J986" s="1135" t="s">
        <v>1994</v>
      </c>
      <c r="K986" s="1135" t="s">
        <v>1567</v>
      </c>
      <c r="L986" s="1135" t="s">
        <v>1571</v>
      </c>
      <c r="M986" s="2062">
        <v>0.6</v>
      </c>
      <c r="N986" s="1135" t="s">
        <v>3141</v>
      </c>
      <c r="O986" s="1135">
        <v>6.3</v>
      </c>
      <c r="P986" s="2017">
        <v>6.3</v>
      </c>
      <c r="Q986" s="2017">
        <v>0</v>
      </c>
      <c r="R986" s="2017">
        <v>0</v>
      </c>
      <c r="S986" s="2017">
        <v>0</v>
      </c>
      <c r="T986" s="2017">
        <v>0</v>
      </c>
      <c r="U986" s="2042">
        <v>0</v>
      </c>
    </row>
    <row r="987" spans="2:21" hidden="1" outlineLevel="2">
      <c r="B987" s="1135"/>
      <c r="C987" s="1045"/>
      <c r="D987" s="1051">
        <f t="shared" si="105"/>
        <v>7</v>
      </c>
      <c r="E987" s="1051" t="str">
        <f>IF(COUNTIF(E$953:E986,F987)&gt;0,"",F987)</f>
        <v/>
      </c>
      <c r="F987" s="1051" t="str">
        <f t="shared" si="106"/>
        <v>Veste imper-respirante (anorak), France continentale, Base Carbone</v>
      </c>
      <c r="G987" s="1051" t="str">
        <f t="shared" si="107"/>
        <v>Veste imper-respirante (anorak), France continentale, Base Carbone; kgCO2e/unité, Assemblage</v>
      </c>
      <c r="I987" s="2018" t="s">
        <v>3220</v>
      </c>
      <c r="J987" s="1135" t="s">
        <v>1994</v>
      </c>
      <c r="K987" s="1135" t="s">
        <v>1567</v>
      </c>
      <c r="L987" s="1135" t="s">
        <v>1571</v>
      </c>
      <c r="M987" s="2062">
        <v>0.6</v>
      </c>
      <c r="N987" s="1135" t="s">
        <v>3137</v>
      </c>
      <c r="O987" s="1135">
        <v>1</v>
      </c>
      <c r="P987" s="2017">
        <v>1</v>
      </c>
      <c r="Q987" s="2017">
        <v>0</v>
      </c>
      <c r="R987" s="2017">
        <v>0</v>
      </c>
      <c r="S987" s="2017">
        <v>0</v>
      </c>
      <c r="T987" s="2017">
        <v>0</v>
      </c>
      <c r="U987" s="2042">
        <v>0</v>
      </c>
    </row>
    <row r="988" spans="2:21" hidden="1" outlineLevel="2">
      <c r="B988" s="1135"/>
      <c r="C988" s="1045"/>
      <c r="D988" s="1051">
        <f t="shared" si="105"/>
        <v>7</v>
      </c>
      <c r="E988" s="1051" t="str">
        <f>IF(COUNTIF(E$953:E987,F988)&gt;0,"",F988)</f>
        <v/>
      </c>
      <c r="F988" s="1051" t="str">
        <f t="shared" si="106"/>
        <v>Veste imper-respirante (anorak), France continentale, Base Carbone</v>
      </c>
      <c r="G988" s="1051" t="str">
        <f t="shared" si="107"/>
        <v>Veste imper-respirante (anorak), France continentale, Base Carbone; kgCO2e/unité, Distribution</v>
      </c>
      <c r="I988" s="2018" t="s">
        <v>3220</v>
      </c>
      <c r="J988" s="1135" t="s">
        <v>1994</v>
      </c>
      <c r="K988" s="1135" t="s">
        <v>1567</v>
      </c>
      <c r="L988" s="1135" t="s">
        <v>1571</v>
      </c>
      <c r="M988" s="2062">
        <v>0.6</v>
      </c>
      <c r="N988" s="1135" t="s">
        <v>3138</v>
      </c>
      <c r="O988" s="1135">
        <v>2.9</v>
      </c>
      <c r="P988" s="2017">
        <v>2.9</v>
      </c>
      <c r="Q988" s="2017">
        <v>0</v>
      </c>
      <c r="R988" s="2017">
        <v>0</v>
      </c>
      <c r="S988" s="2017">
        <v>0</v>
      </c>
      <c r="T988" s="2017">
        <v>0</v>
      </c>
      <c r="U988" s="2042">
        <v>0</v>
      </c>
    </row>
    <row r="989" spans="2:21" hidden="1" outlineLevel="2">
      <c r="B989" s="1135"/>
      <c r="C989" s="1045"/>
      <c r="D989" s="1051">
        <f t="shared" si="105"/>
        <v>7</v>
      </c>
      <c r="E989" s="1051" t="str">
        <f>IF(COUNTIF(E$953:E988,F989)&gt;0,"",F989)</f>
        <v/>
      </c>
      <c r="F989" s="1051" t="str">
        <f t="shared" si="106"/>
        <v/>
      </c>
      <c r="G989" s="1051" t="str">
        <f t="shared" si="107"/>
        <v/>
      </c>
      <c r="I989" s="2018"/>
      <c r="J989" s="1135"/>
      <c r="K989" s="1135"/>
      <c r="L989" s="1135"/>
      <c r="M989" s="2062"/>
      <c r="N989" s="1135"/>
      <c r="O989" s="1135"/>
      <c r="P989" s="2017"/>
      <c r="Q989" s="2017"/>
      <c r="R989" s="2017"/>
      <c r="S989" s="2017"/>
      <c r="T989" s="2017"/>
      <c r="U989" s="2042"/>
    </row>
    <row r="990" spans="2:21" hidden="1" outlineLevel="2">
      <c r="B990" s="1135"/>
      <c r="C990" s="1045"/>
      <c r="D990" s="1051">
        <f t="shared" si="105"/>
        <v>7</v>
      </c>
      <c r="E990" s="1051" t="str">
        <f>IF(COUNTIF(E$953:E989,F990)&gt;0,"",F990)</f>
        <v/>
      </c>
      <c r="F990" s="1051" t="str">
        <f t="shared" si="106"/>
        <v/>
      </c>
      <c r="G990" s="1051" t="str">
        <f t="shared" si="107"/>
        <v/>
      </c>
      <c r="I990" s="2018"/>
      <c r="J990" s="1135"/>
      <c r="K990" s="1135"/>
      <c r="L990" s="1135"/>
      <c r="M990" s="2062"/>
      <c r="N990" s="1135"/>
      <c r="O990" s="1135"/>
      <c r="P990" s="2017"/>
      <c r="Q990" s="2017"/>
      <c r="R990" s="2017"/>
      <c r="S990" s="2017"/>
      <c r="T990" s="2017"/>
      <c r="U990" s="2042"/>
    </row>
    <row r="991" spans="2:21" hidden="1" outlineLevel="2">
      <c r="B991" s="1135"/>
      <c r="C991" s="1045"/>
      <c r="D991" s="1051">
        <f t="shared" si="105"/>
        <v>7</v>
      </c>
      <c r="E991" s="1051" t="str">
        <f>IF(COUNTIF(E$953:E990,F991)&gt;0,"",F991)</f>
        <v/>
      </c>
      <c r="F991" s="1051" t="str">
        <f t="shared" si="106"/>
        <v/>
      </c>
      <c r="G991" s="1051" t="str">
        <f t="shared" si="107"/>
        <v/>
      </c>
      <c r="I991" s="2018"/>
      <c r="J991" s="1135"/>
      <c r="K991" s="1135"/>
      <c r="L991" s="1135"/>
      <c r="M991" s="2062"/>
      <c r="N991" s="1135"/>
      <c r="O991" s="1135"/>
      <c r="P991" s="2017"/>
      <c r="Q991" s="2017"/>
      <c r="R991" s="2017"/>
      <c r="S991" s="2017"/>
      <c r="T991" s="2017"/>
      <c r="U991" s="2042"/>
    </row>
    <row r="992" spans="2:21" hidden="1" outlineLevel="2">
      <c r="B992" s="1135"/>
      <c r="C992" s="1045"/>
      <c r="D992" s="1051">
        <f t="shared" si="105"/>
        <v>7</v>
      </c>
      <c r="E992" s="1051" t="str">
        <f>IF(COUNTIF(E$953:E991,F992)&gt;0,"",F992)</f>
        <v/>
      </c>
      <c r="F992" s="1051" t="str">
        <f t="shared" si="106"/>
        <v/>
      </c>
      <c r="G992" s="1051" t="str">
        <f t="shared" si="107"/>
        <v/>
      </c>
      <c r="I992" s="2018"/>
      <c r="J992" s="1135"/>
      <c r="K992" s="1135"/>
      <c r="L992" s="1135"/>
      <c r="M992" s="2062"/>
      <c r="N992" s="1135"/>
      <c r="O992" s="1135"/>
      <c r="P992" s="2017"/>
      <c r="Q992" s="2017"/>
      <c r="R992" s="2017"/>
      <c r="S992" s="2017"/>
      <c r="T992" s="2017"/>
      <c r="U992" s="2042"/>
    </row>
    <row r="993" spans="2:21" hidden="1" outlineLevel="2">
      <c r="B993" s="1135"/>
      <c r="C993" s="1045"/>
      <c r="D993" s="1051">
        <f t="shared" si="105"/>
        <v>7</v>
      </c>
      <c r="E993" s="1051" t="str">
        <f>IF(COUNTIF(E$953:E992,F993)&gt;0,"",F993)</f>
        <v/>
      </c>
      <c r="F993" s="1051" t="str">
        <f t="shared" si="106"/>
        <v/>
      </c>
      <c r="G993" s="1051" t="str">
        <f t="shared" si="107"/>
        <v/>
      </c>
      <c r="I993" s="2018"/>
      <c r="J993" s="1135"/>
      <c r="K993" s="1135"/>
      <c r="L993" s="1135"/>
      <c r="M993" s="2062"/>
      <c r="N993" s="1135"/>
      <c r="O993" s="1135"/>
      <c r="P993" s="2017"/>
      <c r="Q993" s="2017"/>
      <c r="R993" s="2017"/>
      <c r="S993" s="2017"/>
      <c r="T993" s="2017"/>
      <c r="U993" s="2042"/>
    </row>
    <row r="994" spans="2:21" hidden="1" outlineLevel="2">
      <c r="B994" s="1135"/>
      <c r="C994" s="1045"/>
      <c r="D994" s="1051">
        <f t="shared" si="105"/>
        <v>7</v>
      </c>
      <c r="E994" s="1051" t="str">
        <f>IF(COUNTIF(E$953:E993,F994)&gt;0,"",F994)</f>
        <v/>
      </c>
      <c r="F994" s="1051" t="str">
        <f t="shared" si="106"/>
        <v/>
      </c>
      <c r="G994" s="1051" t="str">
        <f t="shared" si="107"/>
        <v/>
      </c>
      <c r="I994" s="2018"/>
      <c r="J994" s="1135"/>
      <c r="K994" s="1135"/>
      <c r="L994" s="1135"/>
      <c r="M994" s="2062"/>
      <c r="N994" s="1135"/>
      <c r="O994" s="1135"/>
      <c r="P994" s="2017"/>
      <c r="Q994" s="2017"/>
      <c r="R994" s="2017"/>
      <c r="S994" s="2017"/>
      <c r="T994" s="2017"/>
      <c r="U994" s="2042"/>
    </row>
    <row r="995" spans="2:21" ht="13.2" hidden="1" outlineLevel="1">
      <c r="B995" s="1135"/>
      <c r="C995" s="1045"/>
      <c r="D995" s="1045"/>
      <c r="E995" s="1045"/>
      <c r="F995" s="1045"/>
      <c r="G995" s="1045"/>
      <c r="I995" s="1746"/>
      <c r="J995" s="1742"/>
      <c r="K995" s="1742"/>
      <c r="L995" s="1742"/>
      <c r="M995" s="1742"/>
      <c r="N995" s="1742"/>
      <c r="O995" s="1742"/>
      <c r="P995" s="1742"/>
      <c r="Q995" s="1742"/>
      <c r="R995" s="1742"/>
      <c r="S995" s="1742"/>
      <c r="T995" s="1742"/>
      <c r="U995" s="2063"/>
    </row>
    <row r="996" spans="2:21" ht="12.75" hidden="1" customHeight="1" outlineLevel="1" collapsed="1">
      <c r="B996" s="3156" t="s">
        <v>3221</v>
      </c>
      <c r="C996" s="3156"/>
      <c r="D996" s="1051">
        <v>0</v>
      </c>
      <c r="E996" s="1051"/>
      <c r="F996" s="1051"/>
      <c r="G996" s="1051"/>
      <c r="I996" s="1746"/>
      <c r="J996" s="1742"/>
      <c r="K996" s="1742"/>
      <c r="L996" s="1742"/>
      <c r="M996" s="1742"/>
      <c r="N996" s="1742"/>
      <c r="O996" s="1742"/>
      <c r="P996" s="1742"/>
      <c r="Q996" s="1742"/>
      <c r="R996" s="1742"/>
      <c r="S996" s="1742"/>
      <c r="T996" s="1742"/>
      <c r="U996" s="2063"/>
    </row>
    <row r="997" spans="2:21" hidden="1" outlineLevel="3">
      <c r="B997" s="2059">
        <v>1</v>
      </c>
      <c r="C997" s="1050" t="str">
        <f t="shared" ref="C997:C1005" si="108">IF(ISNA(VLOOKUP(B997,$D$996:$E$1028,2,FALSE)),"-",VLOOKUP(B997,$D$996:$E$1028,2,FALSE))</f>
        <v>Ballon de Basket-ball, France continentale, Base Carbone</v>
      </c>
      <c r="D997" s="1051">
        <f t="shared" ref="D997" si="109">D996+IF(LEN(E997)&gt;0,1,0)</f>
        <v>1</v>
      </c>
      <c r="E997" s="1051" t="str">
        <f>IF(COUNTIF(E$996:E996,F997)&gt;0,"",F997)</f>
        <v>Ballon de Basket-ball, France continentale, Base Carbone</v>
      </c>
      <c r="F997" s="1051" t="str">
        <f t="shared" ref="F997" si="110">IF(I997&lt;&gt;"",I997&amp;IF(L997&lt;&gt;"",", "&amp;L997,"")&amp;IF(K997&lt;&gt;"",", "&amp;K997,""),"")</f>
        <v>Ballon de Basket-ball, France continentale, Base Carbone</v>
      </c>
      <c r="G997" s="1051" t="str">
        <f t="shared" ref="G997" si="111">IF(F997&lt;&gt;"",F997&amp;IF(J997&lt;&gt;"","; "&amp;J997&amp;IF(N997&lt;&gt;"",", "&amp;N997,),""),"")</f>
        <v>Ballon de Basket-ball, France continentale, Base Carbone; kgCO2e/unité, Matières premières</v>
      </c>
      <c r="I997" s="2018" t="s">
        <v>3222</v>
      </c>
      <c r="J997" s="1135" t="s">
        <v>1994</v>
      </c>
      <c r="K997" s="1135" t="s">
        <v>1567</v>
      </c>
      <c r="L997" s="1135" t="s">
        <v>1571</v>
      </c>
      <c r="M997" s="2062">
        <v>0.3</v>
      </c>
      <c r="N997" s="1135" t="s">
        <v>3135</v>
      </c>
      <c r="O997" s="1135">
        <v>2.75</v>
      </c>
      <c r="P997" s="2017">
        <v>2.75</v>
      </c>
      <c r="Q997" s="2017">
        <v>0</v>
      </c>
      <c r="R997" s="2017">
        <v>0</v>
      </c>
      <c r="S997" s="2017">
        <v>0</v>
      </c>
      <c r="T997" s="2017">
        <v>0</v>
      </c>
      <c r="U997" s="2042">
        <v>0</v>
      </c>
    </row>
    <row r="998" spans="2:21" hidden="1" outlineLevel="3">
      <c r="B998" s="2059">
        <v>2</v>
      </c>
      <c r="C998" s="1050" t="str">
        <f t="shared" si="108"/>
        <v>Ballon de Football, France continentale, Base Carbone</v>
      </c>
      <c r="D998" s="1051">
        <f t="shared" ref="D998:D1028" si="112">D997+IF(LEN(E998)&gt;0,1,0)</f>
        <v>1</v>
      </c>
      <c r="E998" s="1051" t="str">
        <f>IF(COUNTIF(E$996:E997,F998)&gt;0,"",F998)</f>
        <v/>
      </c>
      <c r="F998" s="1051" t="str">
        <f t="shared" ref="F998:F1028" si="113">IF(I998&lt;&gt;"",I998&amp;IF(L998&lt;&gt;"",", "&amp;L998,"")&amp;IF(K998&lt;&gt;"",", "&amp;K998,""),"")</f>
        <v>Ballon de Basket-ball, France continentale, Base Carbone</v>
      </c>
      <c r="G998" s="1051" t="str">
        <f t="shared" ref="G998:G1028" si="114">IF(F998&lt;&gt;"",F998&amp;IF(J998&lt;&gt;"","; "&amp;J998&amp;IF(N998&lt;&gt;"",", "&amp;N998,),""),"")</f>
        <v>Ballon de Basket-ball, France continentale, Base Carbone; kgCO2e/unité, Approvisionnement</v>
      </c>
      <c r="I998" s="2018" t="s">
        <v>3222</v>
      </c>
      <c r="J998" s="1135" t="s">
        <v>1994</v>
      </c>
      <c r="K998" s="1135" t="s">
        <v>1567</v>
      </c>
      <c r="L998" s="1135" t="s">
        <v>1571</v>
      </c>
      <c r="M998" s="2062">
        <v>0.3</v>
      </c>
      <c r="N998" s="1135" t="s">
        <v>3136</v>
      </c>
      <c r="O998" s="1135">
        <v>0.08</v>
      </c>
      <c r="P998" s="2017">
        <v>0.08</v>
      </c>
      <c r="Q998" s="2017">
        <v>0</v>
      </c>
      <c r="R998" s="2017">
        <v>0</v>
      </c>
      <c r="S998" s="2017">
        <v>0</v>
      </c>
      <c r="T998" s="2017">
        <v>0</v>
      </c>
      <c r="U998" s="2042">
        <v>0</v>
      </c>
    </row>
    <row r="999" spans="2:21" hidden="1" outlineLevel="3">
      <c r="B999" s="2059">
        <v>3</v>
      </c>
      <c r="C999" s="1050" t="str">
        <f t="shared" si="108"/>
        <v>Ballon de Volley-ball, France continentale, Base Carbone</v>
      </c>
      <c r="D999" s="1051">
        <f t="shared" si="112"/>
        <v>1</v>
      </c>
      <c r="E999" s="1051" t="str">
        <f>IF(COUNTIF(E$996:E998,F999)&gt;0,"",F999)</f>
        <v/>
      </c>
      <c r="F999" s="1051" t="str">
        <f t="shared" si="113"/>
        <v>Ballon de Basket-ball, France continentale, Base Carbone</v>
      </c>
      <c r="G999" s="1051" t="str">
        <f t="shared" si="114"/>
        <v>Ballon de Basket-ball, France continentale, Base Carbone; kgCO2e/unité, Mise en forme</v>
      </c>
      <c r="I999" s="2018" t="s">
        <v>3222</v>
      </c>
      <c r="J999" s="1135" t="s">
        <v>1994</v>
      </c>
      <c r="K999" s="1135" t="s">
        <v>1567</v>
      </c>
      <c r="L999" s="1135" t="s">
        <v>1571</v>
      </c>
      <c r="M999" s="2062">
        <v>0.3</v>
      </c>
      <c r="N999" s="1135" t="s">
        <v>3141</v>
      </c>
      <c r="O999" s="1135">
        <v>0.46</v>
      </c>
      <c r="P999" s="2017">
        <v>0.46</v>
      </c>
      <c r="Q999" s="2017">
        <v>0</v>
      </c>
      <c r="R999" s="2017">
        <v>0</v>
      </c>
      <c r="S999" s="2017">
        <v>0</v>
      </c>
      <c r="T999" s="2017">
        <v>0</v>
      </c>
      <c r="U999" s="2042">
        <v>0</v>
      </c>
    </row>
    <row r="1000" spans="2:21" hidden="1" outlineLevel="3">
      <c r="B1000" s="2059">
        <v>4</v>
      </c>
      <c r="C1000" s="1050" t="str">
        <f t="shared" si="108"/>
        <v>Raquette de tennis, France continentale, Base Carbone</v>
      </c>
      <c r="D1000" s="1051">
        <f t="shared" si="112"/>
        <v>1</v>
      </c>
      <c r="E1000" s="1051" t="str">
        <f>IF(COUNTIF(E$996:E999,F1000)&gt;0,"",F1000)</f>
        <v/>
      </c>
      <c r="F1000" s="1051" t="str">
        <f t="shared" si="113"/>
        <v>Ballon de Basket-ball, France continentale, Base Carbone</v>
      </c>
      <c r="G1000" s="1051" t="str">
        <f t="shared" si="114"/>
        <v>Ballon de Basket-ball, France continentale, Base Carbone; kgCO2e/unité, Assemblage</v>
      </c>
      <c r="I1000" s="2018" t="s">
        <v>3222</v>
      </c>
      <c r="J1000" s="1135" t="s">
        <v>1994</v>
      </c>
      <c r="K1000" s="1135" t="s">
        <v>1567</v>
      </c>
      <c r="L1000" s="1135" t="s">
        <v>1571</v>
      </c>
      <c r="M1000" s="2062">
        <v>0.3</v>
      </c>
      <c r="N1000" s="1135" t="s">
        <v>3137</v>
      </c>
      <c r="O1000" s="1135">
        <v>0.35</v>
      </c>
      <c r="P1000" s="2017">
        <v>0.35</v>
      </c>
      <c r="Q1000" s="2017">
        <v>0</v>
      </c>
      <c r="R1000" s="2017">
        <v>0</v>
      </c>
      <c r="S1000" s="2017">
        <v>0</v>
      </c>
      <c r="T1000" s="2017">
        <v>0</v>
      </c>
      <c r="U1000" s="2042">
        <v>0</v>
      </c>
    </row>
    <row r="1001" spans="2:21" hidden="1" outlineLevel="3">
      <c r="B1001" s="2059">
        <v>5</v>
      </c>
      <c r="C1001" s="1050" t="str">
        <f t="shared" si="108"/>
        <v>Sac à dos écolier , France continentale, Base Carbone</v>
      </c>
      <c r="D1001" s="1051">
        <f t="shared" si="112"/>
        <v>1</v>
      </c>
      <c r="E1001" s="1051" t="str">
        <f>IF(COUNTIF(E$996:E1000,F1001)&gt;0,"",F1001)</f>
        <v/>
      </c>
      <c r="F1001" s="1051" t="str">
        <f t="shared" si="113"/>
        <v>Ballon de Basket-ball, France continentale, Base Carbone</v>
      </c>
      <c r="G1001" s="1051" t="str">
        <f t="shared" si="114"/>
        <v>Ballon de Basket-ball, France continentale, Base Carbone; kgCO2e/unité, Distribution</v>
      </c>
      <c r="I1001" s="2018" t="s">
        <v>3222</v>
      </c>
      <c r="J1001" s="1135" t="s">
        <v>1994</v>
      </c>
      <c r="K1001" s="1135" t="s">
        <v>1567</v>
      </c>
      <c r="L1001" s="1135" t="s">
        <v>1571</v>
      </c>
      <c r="M1001" s="2062">
        <v>0.3</v>
      </c>
      <c r="N1001" s="1135" t="s">
        <v>3138</v>
      </c>
      <c r="O1001" s="1135">
        <v>0.96</v>
      </c>
      <c r="P1001" s="2017">
        <v>0.96</v>
      </c>
      <c r="Q1001" s="2017">
        <v>0</v>
      </c>
      <c r="R1001" s="2017">
        <v>0</v>
      </c>
      <c r="S1001" s="2017">
        <v>0</v>
      </c>
      <c r="T1001" s="2017">
        <v>0</v>
      </c>
      <c r="U1001" s="2042">
        <v>0</v>
      </c>
    </row>
    <row r="1002" spans="2:21" hidden="1" outlineLevel="3">
      <c r="B1002" s="2059">
        <v>6</v>
      </c>
      <c r="C1002" s="1050" t="str">
        <f t="shared" si="108"/>
        <v>Sac à dos randonnée, France continentale, Base Carbone</v>
      </c>
      <c r="D1002" s="1051">
        <f t="shared" si="112"/>
        <v>2</v>
      </c>
      <c r="E1002" s="1051" t="str">
        <f>IF(COUNTIF(E$996:E1001,F1002)&gt;0,"",F1002)</f>
        <v>Ballon de Football, France continentale, Base Carbone</v>
      </c>
      <c r="F1002" s="1051" t="str">
        <f t="shared" si="113"/>
        <v>Ballon de Football, France continentale, Base Carbone</v>
      </c>
      <c r="G1002" s="1051" t="str">
        <f t="shared" si="114"/>
        <v>Ballon de Football, France continentale, Base Carbone; kgCO2e/unité, Matières premières</v>
      </c>
      <c r="I1002" s="2018" t="s">
        <v>3223</v>
      </c>
      <c r="J1002" s="1135" t="s">
        <v>1994</v>
      </c>
      <c r="K1002" s="1135" t="s">
        <v>1567</v>
      </c>
      <c r="L1002" s="1135" t="s">
        <v>1571</v>
      </c>
      <c r="M1002" s="2062">
        <v>0.3</v>
      </c>
      <c r="N1002" s="1135" t="s">
        <v>3135</v>
      </c>
      <c r="O1002" s="1135">
        <v>2.23</v>
      </c>
      <c r="P1002" s="2017">
        <v>2.23</v>
      </c>
      <c r="Q1002" s="2017">
        <v>0</v>
      </c>
      <c r="R1002" s="2017">
        <v>0</v>
      </c>
      <c r="S1002" s="2017">
        <v>0</v>
      </c>
      <c r="T1002" s="2017">
        <v>0</v>
      </c>
      <c r="U1002" s="2042">
        <v>0</v>
      </c>
    </row>
    <row r="1003" spans="2:21" hidden="1" outlineLevel="3">
      <c r="B1003" s="2059">
        <v>7</v>
      </c>
      <c r="C1003" s="1050" t="str">
        <f t="shared" si="108"/>
        <v>-</v>
      </c>
      <c r="D1003" s="1051">
        <f t="shared" si="112"/>
        <v>2</v>
      </c>
      <c r="E1003" s="1051" t="str">
        <f>IF(COUNTIF(E$996:E1002,F1003)&gt;0,"",F1003)</f>
        <v/>
      </c>
      <c r="F1003" s="1051" t="str">
        <f t="shared" si="113"/>
        <v>Ballon de Football, France continentale, Base Carbone</v>
      </c>
      <c r="G1003" s="1051" t="str">
        <f t="shared" si="114"/>
        <v>Ballon de Football, France continentale, Base Carbone; kgCO2e/unité, Approvisionnement</v>
      </c>
      <c r="I1003" s="2018" t="s">
        <v>3223</v>
      </c>
      <c r="J1003" s="1135" t="s">
        <v>1994</v>
      </c>
      <c r="K1003" s="1135" t="s">
        <v>1567</v>
      </c>
      <c r="L1003" s="1135" t="s">
        <v>1571</v>
      </c>
      <c r="M1003" s="2062">
        <v>0.3</v>
      </c>
      <c r="N1003" s="1135" t="s">
        <v>3136</v>
      </c>
      <c r="O1003" s="1135">
        <v>0.13</v>
      </c>
      <c r="P1003" s="2017">
        <v>0.13</v>
      </c>
      <c r="Q1003" s="2017">
        <v>0</v>
      </c>
      <c r="R1003" s="2017">
        <v>0</v>
      </c>
      <c r="S1003" s="2017">
        <v>0</v>
      </c>
      <c r="T1003" s="2017">
        <v>0</v>
      </c>
      <c r="U1003" s="2042">
        <v>0</v>
      </c>
    </row>
    <row r="1004" spans="2:21" hidden="1" outlineLevel="3">
      <c r="B1004" s="2059">
        <v>8</v>
      </c>
      <c r="C1004" s="1050" t="str">
        <f t="shared" si="108"/>
        <v>-</v>
      </c>
      <c r="D1004" s="1051">
        <f t="shared" si="112"/>
        <v>2</v>
      </c>
      <c r="E1004" s="1051" t="str">
        <f>IF(COUNTIF(E$996:E1003,F1004)&gt;0,"",F1004)</f>
        <v/>
      </c>
      <c r="F1004" s="1051" t="str">
        <f t="shared" si="113"/>
        <v>Ballon de Football, France continentale, Base Carbone</v>
      </c>
      <c r="G1004" s="1051" t="str">
        <f t="shared" si="114"/>
        <v>Ballon de Football, France continentale, Base Carbone; kgCO2e/unité, Mise en forme</v>
      </c>
      <c r="I1004" s="2018" t="s">
        <v>3223</v>
      </c>
      <c r="J1004" s="1135" t="s">
        <v>1994</v>
      </c>
      <c r="K1004" s="1135" t="s">
        <v>1567</v>
      </c>
      <c r="L1004" s="1135" t="s">
        <v>1571</v>
      </c>
      <c r="M1004" s="2062">
        <v>0.3</v>
      </c>
      <c r="N1004" s="1135" t="s">
        <v>3141</v>
      </c>
      <c r="O1004" s="1135">
        <v>0.86</v>
      </c>
      <c r="P1004" s="2017">
        <v>0.86</v>
      </c>
      <c r="Q1004" s="2017">
        <v>0</v>
      </c>
      <c r="R1004" s="2017">
        <v>0</v>
      </c>
      <c r="S1004" s="2017">
        <v>0</v>
      </c>
      <c r="T1004" s="2017">
        <v>0</v>
      </c>
      <c r="U1004" s="2042">
        <v>0</v>
      </c>
    </row>
    <row r="1005" spans="2:21" hidden="1" outlineLevel="3">
      <c r="B1005" s="2059">
        <v>9</v>
      </c>
      <c r="C1005" s="1050" t="str">
        <f t="shared" si="108"/>
        <v>-</v>
      </c>
      <c r="D1005" s="1051">
        <f t="shared" si="112"/>
        <v>2</v>
      </c>
      <c r="E1005" s="1051" t="str">
        <f>IF(COUNTIF(E$996:E1004,F1005)&gt;0,"",F1005)</f>
        <v/>
      </c>
      <c r="F1005" s="1051" t="str">
        <f t="shared" si="113"/>
        <v>Ballon de Football, France continentale, Base Carbone</v>
      </c>
      <c r="G1005" s="1051" t="str">
        <f t="shared" si="114"/>
        <v>Ballon de Football, France continentale, Base Carbone; kgCO2e/unité, Assemblage</v>
      </c>
      <c r="I1005" s="2018" t="s">
        <v>3223</v>
      </c>
      <c r="J1005" s="1135" t="s">
        <v>1994</v>
      </c>
      <c r="K1005" s="1135" t="s">
        <v>1567</v>
      </c>
      <c r="L1005" s="1135" t="s">
        <v>1571</v>
      </c>
      <c r="M1005" s="2062">
        <v>0.3</v>
      </c>
      <c r="N1005" s="1135" t="s">
        <v>3137</v>
      </c>
      <c r="O1005" s="1135">
        <v>0.18</v>
      </c>
      <c r="P1005" s="2017">
        <v>0.18</v>
      </c>
      <c r="Q1005" s="2017">
        <v>0</v>
      </c>
      <c r="R1005" s="2017">
        <v>0</v>
      </c>
      <c r="S1005" s="2017">
        <v>0</v>
      </c>
      <c r="T1005" s="2017">
        <v>0</v>
      </c>
      <c r="U1005" s="2042">
        <v>0</v>
      </c>
    </row>
    <row r="1006" spans="2:21" hidden="1" outlineLevel="3">
      <c r="B1006" s="1135"/>
      <c r="C1006" s="1045"/>
      <c r="D1006" s="1051">
        <f t="shared" si="112"/>
        <v>2</v>
      </c>
      <c r="E1006" s="1051" t="str">
        <f>IF(COUNTIF(E$996:E1005,F1006)&gt;0,"",F1006)</f>
        <v/>
      </c>
      <c r="F1006" s="1051" t="str">
        <f t="shared" si="113"/>
        <v>Ballon de Football, France continentale, Base Carbone</v>
      </c>
      <c r="G1006" s="1051" t="str">
        <f t="shared" si="114"/>
        <v>Ballon de Football, France continentale, Base Carbone; kgCO2e/unité, Distribution</v>
      </c>
      <c r="I1006" s="2018" t="s">
        <v>3223</v>
      </c>
      <c r="J1006" s="1135" t="s">
        <v>1994</v>
      </c>
      <c r="K1006" s="1135" t="s">
        <v>1567</v>
      </c>
      <c r="L1006" s="1135" t="s">
        <v>1571</v>
      </c>
      <c r="M1006" s="2062">
        <v>0.3</v>
      </c>
      <c r="N1006" s="1135" t="s">
        <v>3138</v>
      </c>
      <c r="O1006" s="1135">
        <v>0.72</v>
      </c>
      <c r="P1006" s="2017">
        <v>0.72</v>
      </c>
      <c r="Q1006" s="2017">
        <v>0</v>
      </c>
      <c r="R1006" s="2017">
        <v>0</v>
      </c>
      <c r="S1006" s="2017">
        <v>0</v>
      </c>
      <c r="T1006" s="2017">
        <v>0</v>
      </c>
      <c r="U1006" s="2042">
        <v>0</v>
      </c>
    </row>
    <row r="1007" spans="2:21" hidden="1" outlineLevel="3">
      <c r="B1007" s="1135"/>
      <c r="C1007" s="1045"/>
      <c r="D1007" s="1051">
        <f t="shared" si="112"/>
        <v>3</v>
      </c>
      <c r="E1007" s="1051" t="str">
        <f>IF(COUNTIF(E$996:E1006,F1007)&gt;0,"",F1007)</f>
        <v>Ballon de Volley-ball, France continentale, Base Carbone</v>
      </c>
      <c r="F1007" s="1051" t="str">
        <f t="shared" si="113"/>
        <v>Ballon de Volley-ball, France continentale, Base Carbone</v>
      </c>
      <c r="G1007" s="1051" t="str">
        <f t="shared" si="114"/>
        <v>Ballon de Volley-ball, France continentale, Base Carbone; kgCO2e/unité, Matières premières</v>
      </c>
      <c r="I1007" s="2018" t="s">
        <v>3224</v>
      </c>
      <c r="J1007" s="1135" t="s">
        <v>1994</v>
      </c>
      <c r="K1007" s="1135" t="s">
        <v>1567</v>
      </c>
      <c r="L1007" s="1135" t="s">
        <v>1571</v>
      </c>
      <c r="M1007" s="2062">
        <v>0.3</v>
      </c>
      <c r="N1007" s="1135" t="s">
        <v>3135</v>
      </c>
      <c r="O1007" s="1135">
        <v>1.22</v>
      </c>
      <c r="P1007" s="2017">
        <v>1.22</v>
      </c>
      <c r="Q1007" s="2017">
        <v>0</v>
      </c>
      <c r="R1007" s="2017">
        <v>0</v>
      </c>
      <c r="S1007" s="2017">
        <v>0</v>
      </c>
      <c r="T1007" s="2017">
        <v>0</v>
      </c>
      <c r="U1007" s="2042">
        <v>0</v>
      </c>
    </row>
    <row r="1008" spans="2:21" hidden="1" outlineLevel="3">
      <c r="B1008" s="1135"/>
      <c r="C1008" s="1045"/>
      <c r="D1008" s="1051">
        <f t="shared" si="112"/>
        <v>3</v>
      </c>
      <c r="E1008" s="1051" t="str">
        <f>IF(COUNTIF(E$996:E1007,F1008)&gt;0,"",F1008)</f>
        <v/>
      </c>
      <c r="F1008" s="1051" t="str">
        <f t="shared" si="113"/>
        <v>Ballon de Volley-ball, France continentale, Base Carbone</v>
      </c>
      <c r="G1008" s="1051" t="str">
        <f t="shared" si="114"/>
        <v>Ballon de Volley-ball, France continentale, Base Carbone; kgCO2e/unité, Approvisionnement</v>
      </c>
      <c r="I1008" s="2018" t="s">
        <v>3224</v>
      </c>
      <c r="J1008" s="1135" t="s">
        <v>1994</v>
      </c>
      <c r="K1008" s="1135" t="s">
        <v>1567</v>
      </c>
      <c r="L1008" s="1135" t="s">
        <v>1571</v>
      </c>
      <c r="M1008" s="2062">
        <v>0.3</v>
      </c>
      <c r="N1008" s="1135" t="s">
        <v>3136</v>
      </c>
      <c r="O1008" s="1135">
        <v>0.1</v>
      </c>
      <c r="P1008" s="2017">
        <v>0.1</v>
      </c>
      <c r="Q1008" s="2017">
        <v>0</v>
      </c>
      <c r="R1008" s="2017">
        <v>0</v>
      </c>
      <c r="S1008" s="2017">
        <v>0</v>
      </c>
      <c r="T1008" s="2017">
        <v>0</v>
      </c>
      <c r="U1008" s="2042">
        <v>0</v>
      </c>
    </row>
    <row r="1009" spans="2:21" hidden="1" outlineLevel="3">
      <c r="B1009" s="1135"/>
      <c r="C1009" s="1045"/>
      <c r="D1009" s="1051">
        <f t="shared" si="112"/>
        <v>3</v>
      </c>
      <c r="E1009" s="1051" t="str">
        <f>IF(COUNTIF(E$996:E1008,F1009)&gt;0,"",F1009)</f>
        <v/>
      </c>
      <c r="F1009" s="1051" t="str">
        <f t="shared" si="113"/>
        <v>Ballon de Volley-ball, France continentale, Base Carbone</v>
      </c>
      <c r="G1009" s="1051" t="str">
        <f t="shared" si="114"/>
        <v>Ballon de Volley-ball, France continentale, Base Carbone; kgCO2e/unité, Mise en forme</v>
      </c>
      <c r="I1009" s="2018" t="s">
        <v>3224</v>
      </c>
      <c r="J1009" s="1135" t="s">
        <v>1994</v>
      </c>
      <c r="K1009" s="1135" t="s">
        <v>1567</v>
      </c>
      <c r="L1009" s="1135" t="s">
        <v>1571</v>
      </c>
      <c r="M1009" s="2062">
        <v>0.3</v>
      </c>
      <c r="N1009" s="1135" t="s">
        <v>3141</v>
      </c>
      <c r="O1009" s="1135">
        <v>0.2</v>
      </c>
      <c r="P1009" s="2017">
        <v>0.2</v>
      </c>
      <c r="Q1009" s="2017">
        <v>0</v>
      </c>
      <c r="R1009" s="2017">
        <v>0</v>
      </c>
      <c r="S1009" s="2017">
        <v>0</v>
      </c>
      <c r="T1009" s="2017">
        <v>0</v>
      </c>
      <c r="U1009" s="2042">
        <v>0</v>
      </c>
    </row>
    <row r="1010" spans="2:21" hidden="1" outlineLevel="3">
      <c r="B1010" s="1135"/>
      <c r="C1010" s="1045"/>
      <c r="D1010" s="1051">
        <f t="shared" si="112"/>
        <v>3</v>
      </c>
      <c r="E1010" s="1051" t="str">
        <f>IF(COUNTIF(E$996:E1009,F1010)&gt;0,"",F1010)</f>
        <v/>
      </c>
      <c r="F1010" s="1051" t="str">
        <f t="shared" si="113"/>
        <v>Ballon de Volley-ball, France continentale, Base Carbone</v>
      </c>
      <c r="G1010" s="1051" t="str">
        <f t="shared" si="114"/>
        <v>Ballon de Volley-ball, France continentale, Base Carbone; kgCO2e/unité, Assemblage</v>
      </c>
      <c r="I1010" s="2018" t="s">
        <v>3224</v>
      </c>
      <c r="J1010" s="1135" t="s">
        <v>1994</v>
      </c>
      <c r="K1010" s="1135" t="s">
        <v>1567</v>
      </c>
      <c r="L1010" s="1135" t="s">
        <v>1571</v>
      </c>
      <c r="M1010" s="2062">
        <v>0.3</v>
      </c>
      <c r="N1010" s="1135" t="s">
        <v>3137</v>
      </c>
      <c r="O1010" s="1135">
        <v>0.34</v>
      </c>
      <c r="P1010" s="2017">
        <v>0.34</v>
      </c>
      <c r="Q1010" s="2017">
        <v>0</v>
      </c>
      <c r="R1010" s="2017">
        <v>0</v>
      </c>
      <c r="S1010" s="2017">
        <v>0</v>
      </c>
      <c r="T1010" s="2017">
        <v>0</v>
      </c>
      <c r="U1010" s="2042">
        <v>0</v>
      </c>
    </row>
    <row r="1011" spans="2:21" hidden="1" outlineLevel="3">
      <c r="B1011" s="1135"/>
      <c r="C1011" s="1045"/>
      <c r="D1011" s="1051">
        <f t="shared" si="112"/>
        <v>3</v>
      </c>
      <c r="E1011" s="1051" t="str">
        <f>IF(COUNTIF(E$996:E1010,F1011)&gt;0,"",F1011)</f>
        <v/>
      </c>
      <c r="F1011" s="1051" t="str">
        <f t="shared" si="113"/>
        <v>Ballon de Volley-ball, France continentale, Base Carbone</v>
      </c>
      <c r="G1011" s="1051" t="str">
        <f t="shared" si="114"/>
        <v>Ballon de Volley-ball, France continentale, Base Carbone; kgCO2e/unité, Distribution</v>
      </c>
      <c r="I1011" s="2018" t="s">
        <v>3224</v>
      </c>
      <c r="J1011" s="1135" t="s">
        <v>1994</v>
      </c>
      <c r="K1011" s="1135" t="s">
        <v>1567</v>
      </c>
      <c r="L1011" s="1135" t="s">
        <v>1571</v>
      </c>
      <c r="M1011" s="2062">
        <v>0.3</v>
      </c>
      <c r="N1011" s="1135" t="s">
        <v>3138</v>
      </c>
      <c r="O1011" s="1135">
        <v>0.39</v>
      </c>
      <c r="P1011" s="2017">
        <v>0.39</v>
      </c>
      <c r="Q1011" s="2017">
        <v>0</v>
      </c>
      <c r="R1011" s="2017">
        <v>0</v>
      </c>
      <c r="S1011" s="2017">
        <v>0</v>
      </c>
      <c r="T1011" s="2017">
        <v>0</v>
      </c>
      <c r="U1011" s="2042">
        <v>0</v>
      </c>
    </row>
    <row r="1012" spans="2:21" hidden="1" outlineLevel="3">
      <c r="B1012" s="1135"/>
      <c r="C1012" s="1045"/>
      <c r="D1012" s="1051">
        <f t="shared" si="112"/>
        <v>4</v>
      </c>
      <c r="E1012" s="1051" t="str">
        <f>IF(COUNTIF(E$996:E1011,F1012)&gt;0,"",F1012)</f>
        <v>Raquette de tennis, France continentale, Base Carbone</v>
      </c>
      <c r="F1012" s="1051" t="str">
        <f t="shared" si="113"/>
        <v>Raquette de tennis, France continentale, Base Carbone</v>
      </c>
      <c r="G1012" s="1051" t="str">
        <f t="shared" si="114"/>
        <v>Raquette de tennis, France continentale, Base Carbone; kgCO2e/unité, Matières premières</v>
      </c>
      <c r="I1012" s="2018" t="s">
        <v>3225</v>
      </c>
      <c r="J1012" s="1135" t="s">
        <v>1994</v>
      </c>
      <c r="K1012" s="1135" t="s">
        <v>1567</v>
      </c>
      <c r="L1012" s="1135" t="s">
        <v>1571</v>
      </c>
      <c r="M1012" s="2062">
        <v>0.4</v>
      </c>
      <c r="N1012" s="1135" t="s">
        <v>3135</v>
      </c>
      <c r="O1012" s="1135">
        <v>10.1</v>
      </c>
      <c r="P1012" s="2017">
        <v>10.1</v>
      </c>
      <c r="Q1012" s="2017">
        <v>0</v>
      </c>
      <c r="R1012" s="2017">
        <v>0</v>
      </c>
      <c r="S1012" s="2017">
        <v>0</v>
      </c>
      <c r="T1012" s="2017">
        <v>0</v>
      </c>
      <c r="U1012" s="2042">
        <v>0</v>
      </c>
    </row>
    <row r="1013" spans="2:21" hidden="1" outlineLevel="3">
      <c r="B1013" s="1135"/>
      <c r="C1013" s="1045"/>
      <c r="D1013" s="1051">
        <f t="shared" si="112"/>
        <v>4</v>
      </c>
      <c r="E1013" s="1051" t="str">
        <f>IF(COUNTIF(E$996:E1012,F1013)&gt;0,"",F1013)</f>
        <v/>
      </c>
      <c r="F1013" s="1051" t="str">
        <f t="shared" si="113"/>
        <v>Raquette de tennis, France continentale, Base Carbone</v>
      </c>
      <c r="G1013" s="1051" t="str">
        <f t="shared" si="114"/>
        <v>Raquette de tennis, France continentale, Base Carbone; kgCO2e/unité, Approvisionnement</v>
      </c>
      <c r="I1013" s="2018" t="s">
        <v>3225</v>
      </c>
      <c r="J1013" s="1135" t="s">
        <v>1994</v>
      </c>
      <c r="K1013" s="1135" t="s">
        <v>1567</v>
      </c>
      <c r="L1013" s="1135" t="s">
        <v>1571</v>
      </c>
      <c r="M1013" s="2062">
        <v>0.4</v>
      </c>
      <c r="N1013" s="1135" t="s">
        <v>3136</v>
      </c>
      <c r="O1013" s="1135">
        <v>0.41</v>
      </c>
      <c r="P1013" s="2017">
        <v>0.41</v>
      </c>
      <c r="Q1013" s="2017">
        <v>0</v>
      </c>
      <c r="R1013" s="2017">
        <v>0</v>
      </c>
      <c r="S1013" s="2017">
        <v>0</v>
      </c>
      <c r="T1013" s="2017">
        <v>0</v>
      </c>
      <c r="U1013" s="2042">
        <v>0</v>
      </c>
    </row>
    <row r="1014" spans="2:21" hidden="1" outlineLevel="3">
      <c r="B1014" s="1135"/>
      <c r="C1014" s="1045"/>
      <c r="D1014" s="1051">
        <f t="shared" si="112"/>
        <v>4</v>
      </c>
      <c r="E1014" s="1051" t="str">
        <f>IF(COUNTIF(E$996:E1013,F1014)&gt;0,"",F1014)</f>
        <v/>
      </c>
      <c r="F1014" s="1051" t="str">
        <f t="shared" si="113"/>
        <v>Raquette de tennis, France continentale, Base Carbone</v>
      </c>
      <c r="G1014" s="1051" t="str">
        <f t="shared" si="114"/>
        <v>Raquette de tennis, France continentale, Base Carbone; kgCO2e/unité, Mise en forme</v>
      </c>
      <c r="I1014" s="2018" t="s">
        <v>3225</v>
      </c>
      <c r="J1014" s="1135" t="s">
        <v>1994</v>
      </c>
      <c r="K1014" s="1135" t="s">
        <v>1567</v>
      </c>
      <c r="L1014" s="1135" t="s">
        <v>1571</v>
      </c>
      <c r="M1014" s="2062">
        <v>0.4</v>
      </c>
      <c r="N1014" s="1135" t="s">
        <v>3141</v>
      </c>
      <c r="O1014" s="1135">
        <v>3.55</v>
      </c>
      <c r="P1014" s="2017">
        <v>3.55</v>
      </c>
      <c r="Q1014" s="2017">
        <v>0</v>
      </c>
      <c r="R1014" s="2017">
        <v>0</v>
      </c>
      <c r="S1014" s="2017">
        <v>0</v>
      </c>
      <c r="T1014" s="2017">
        <v>0</v>
      </c>
      <c r="U1014" s="2042">
        <v>0</v>
      </c>
    </row>
    <row r="1015" spans="2:21" hidden="1" outlineLevel="3">
      <c r="B1015" s="1135"/>
      <c r="C1015" s="1045"/>
      <c r="D1015" s="1051">
        <f t="shared" si="112"/>
        <v>4</v>
      </c>
      <c r="E1015" s="1051" t="str">
        <f>IF(COUNTIF(E$996:E1014,F1015)&gt;0,"",F1015)</f>
        <v/>
      </c>
      <c r="F1015" s="1051" t="str">
        <f t="shared" si="113"/>
        <v>Raquette de tennis, France continentale, Base Carbone</v>
      </c>
      <c r="G1015" s="1051" t="str">
        <f t="shared" si="114"/>
        <v>Raquette de tennis, France continentale, Base Carbone; kgCO2e/unité, Assemblage</v>
      </c>
      <c r="I1015" s="2018" t="s">
        <v>3225</v>
      </c>
      <c r="J1015" s="1135" t="s">
        <v>1994</v>
      </c>
      <c r="K1015" s="1135" t="s">
        <v>1567</v>
      </c>
      <c r="L1015" s="1135" t="s">
        <v>1571</v>
      </c>
      <c r="M1015" s="2062">
        <v>0.4</v>
      </c>
      <c r="N1015" s="1135" t="s">
        <v>3137</v>
      </c>
      <c r="O1015" s="1135">
        <v>4.58</v>
      </c>
      <c r="P1015" s="2017">
        <v>4.58</v>
      </c>
      <c r="Q1015" s="2017">
        <v>0</v>
      </c>
      <c r="R1015" s="2017">
        <v>0</v>
      </c>
      <c r="S1015" s="2017">
        <v>0</v>
      </c>
      <c r="T1015" s="2017">
        <v>0</v>
      </c>
      <c r="U1015" s="2042">
        <v>0</v>
      </c>
    </row>
    <row r="1016" spans="2:21" hidden="1" outlineLevel="3">
      <c r="B1016" s="1135"/>
      <c r="C1016" s="1045"/>
      <c r="D1016" s="1051">
        <f t="shared" si="112"/>
        <v>4</v>
      </c>
      <c r="E1016" s="1051" t="str">
        <f>IF(COUNTIF(E$996:E1015,F1016)&gt;0,"",F1016)</f>
        <v/>
      </c>
      <c r="F1016" s="1051" t="str">
        <f t="shared" si="113"/>
        <v>Raquette de tennis, France continentale, Base Carbone</v>
      </c>
      <c r="G1016" s="1051" t="str">
        <f t="shared" si="114"/>
        <v>Raquette de tennis, France continentale, Base Carbone; kgCO2e/unité, Distribution</v>
      </c>
      <c r="I1016" s="2018" t="s">
        <v>3225</v>
      </c>
      <c r="J1016" s="1135" t="s">
        <v>1994</v>
      </c>
      <c r="K1016" s="1135" t="s">
        <v>1567</v>
      </c>
      <c r="L1016" s="1135" t="s">
        <v>1571</v>
      </c>
      <c r="M1016" s="2062">
        <v>0.4</v>
      </c>
      <c r="N1016" s="1135" t="s">
        <v>3138</v>
      </c>
      <c r="O1016" s="1135">
        <v>1.59</v>
      </c>
      <c r="P1016" s="2017">
        <v>1.59</v>
      </c>
      <c r="Q1016" s="2017">
        <v>0</v>
      </c>
      <c r="R1016" s="2017">
        <v>0</v>
      </c>
      <c r="S1016" s="2017">
        <v>0</v>
      </c>
      <c r="T1016" s="2017">
        <v>0</v>
      </c>
      <c r="U1016" s="2042">
        <v>0</v>
      </c>
    </row>
    <row r="1017" spans="2:21" hidden="1" outlineLevel="3">
      <c r="B1017" s="1135"/>
      <c r="C1017" s="1045"/>
      <c r="D1017" s="1051">
        <f t="shared" si="112"/>
        <v>5</v>
      </c>
      <c r="E1017" s="1051" t="str">
        <f>IF(COUNTIF(E$996:E1016,F1017)&gt;0,"",F1017)</f>
        <v>Sac à dos écolier , France continentale, Base Carbone</v>
      </c>
      <c r="F1017" s="1051" t="str">
        <f t="shared" si="113"/>
        <v>Sac à dos écolier , France continentale, Base Carbone</v>
      </c>
      <c r="G1017" s="1051" t="str">
        <f t="shared" si="114"/>
        <v>Sac à dos écolier , France continentale, Base Carbone; kgCO2e/unité, Matières premières</v>
      </c>
      <c r="I1017" s="2018" t="s">
        <v>3226</v>
      </c>
      <c r="J1017" s="1135" t="s">
        <v>1994</v>
      </c>
      <c r="K1017" s="1135" t="s">
        <v>1567</v>
      </c>
      <c r="L1017" s="1135" t="s">
        <v>1571</v>
      </c>
      <c r="M1017" s="2062">
        <v>0.6</v>
      </c>
      <c r="N1017" s="1135" t="s">
        <v>3135</v>
      </c>
      <c r="O1017" s="1135">
        <v>5.16</v>
      </c>
      <c r="P1017" s="2017">
        <v>5.16</v>
      </c>
      <c r="Q1017" s="2017">
        <v>0</v>
      </c>
      <c r="R1017" s="2017">
        <v>0</v>
      </c>
      <c r="S1017" s="2017">
        <v>0</v>
      </c>
      <c r="T1017" s="2017">
        <v>0</v>
      </c>
      <c r="U1017" s="2042">
        <v>0</v>
      </c>
    </row>
    <row r="1018" spans="2:21" hidden="1" outlineLevel="3">
      <c r="B1018" s="1135"/>
      <c r="C1018" s="1045"/>
      <c r="D1018" s="1051">
        <f t="shared" si="112"/>
        <v>5</v>
      </c>
      <c r="E1018" s="1051" t="str">
        <f>IF(COUNTIF(E$996:E1017,F1018)&gt;0,"",F1018)</f>
        <v/>
      </c>
      <c r="F1018" s="1051" t="str">
        <f t="shared" si="113"/>
        <v>Sac à dos écolier , France continentale, Base Carbone</v>
      </c>
      <c r="G1018" s="1051" t="str">
        <f t="shared" si="114"/>
        <v>Sac à dos écolier , France continentale, Base Carbone; kgCO2e/unité, Approvisionnement</v>
      </c>
      <c r="I1018" s="2018" t="s">
        <v>3226</v>
      </c>
      <c r="J1018" s="1135" t="s">
        <v>1994</v>
      </c>
      <c r="K1018" s="1135" t="s">
        <v>1567</v>
      </c>
      <c r="L1018" s="1135" t="s">
        <v>1571</v>
      </c>
      <c r="M1018" s="2062">
        <v>0.6</v>
      </c>
      <c r="N1018" s="1135" t="s">
        <v>3136</v>
      </c>
      <c r="O1018" s="1135">
        <v>0.08</v>
      </c>
      <c r="P1018" s="2017">
        <v>0.08</v>
      </c>
      <c r="Q1018" s="2017">
        <v>0</v>
      </c>
      <c r="R1018" s="2017">
        <v>0</v>
      </c>
      <c r="S1018" s="2017">
        <v>0</v>
      </c>
      <c r="T1018" s="2017">
        <v>0</v>
      </c>
      <c r="U1018" s="2042">
        <v>0</v>
      </c>
    </row>
    <row r="1019" spans="2:21" hidden="1" outlineLevel="3">
      <c r="B1019" s="1135"/>
      <c r="C1019" s="1045"/>
      <c r="D1019" s="1051">
        <f t="shared" si="112"/>
        <v>5</v>
      </c>
      <c r="E1019" s="1051" t="str">
        <f>IF(COUNTIF(E$996:E1018,F1019)&gt;0,"",F1019)</f>
        <v/>
      </c>
      <c r="F1019" s="1051" t="str">
        <f t="shared" si="113"/>
        <v>Sac à dos écolier , France continentale, Base Carbone</v>
      </c>
      <c r="G1019" s="1051" t="str">
        <f t="shared" si="114"/>
        <v>Sac à dos écolier , France continentale, Base Carbone; kgCO2e/unité, Mise en forme</v>
      </c>
      <c r="I1019" s="2018" t="s">
        <v>3226</v>
      </c>
      <c r="J1019" s="1135" t="s">
        <v>1994</v>
      </c>
      <c r="K1019" s="1135" t="s">
        <v>1567</v>
      </c>
      <c r="L1019" s="1135" t="s">
        <v>1571</v>
      </c>
      <c r="M1019" s="2062">
        <v>0.6</v>
      </c>
      <c r="N1019" s="1135" t="s">
        <v>3141</v>
      </c>
      <c r="O1019" s="1135">
        <v>0.45</v>
      </c>
      <c r="P1019" s="2017">
        <v>0.45</v>
      </c>
      <c r="Q1019" s="2017">
        <v>0</v>
      </c>
      <c r="R1019" s="2017">
        <v>0</v>
      </c>
      <c r="S1019" s="2017">
        <v>0</v>
      </c>
      <c r="T1019" s="2017">
        <v>0</v>
      </c>
      <c r="U1019" s="2042">
        <v>0</v>
      </c>
    </row>
    <row r="1020" spans="2:21" hidden="1" outlineLevel="3">
      <c r="B1020" s="1135"/>
      <c r="C1020" s="1045"/>
      <c r="D1020" s="1051">
        <f t="shared" si="112"/>
        <v>5</v>
      </c>
      <c r="E1020" s="1051" t="str">
        <f>IF(COUNTIF(E$996:E1019,F1020)&gt;0,"",F1020)</f>
        <v/>
      </c>
      <c r="F1020" s="1051" t="str">
        <f t="shared" si="113"/>
        <v>Sac à dos écolier , France continentale, Base Carbone</v>
      </c>
      <c r="G1020" s="1051" t="str">
        <f t="shared" si="114"/>
        <v>Sac à dos écolier , France continentale, Base Carbone; kgCO2e/unité, Assemblage</v>
      </c>
      <c r="I1020" s="2018" t="s">
        <v>3226</v>
      </c>
      <c r="J1020" s="1135" t="s">
        <v>1994</v>
      </c>
      <c r="K1020" s="1135" t="s">
        <v>1567</v>
      </c>
      <c r="L1020" s="1135" t="s">
        <v>1571</v>
      </c>
      <c r="M1020" s="2062">
        <v>0.6</v>
      </c>
      <c r="N1020" s="1135" t="s">
        <v>3137</v>
      </c>
      <c r="O1020" s="1135">
        <v>0.04</v>
      </c>
      <c r="P1020" s="2017">
        <v>0.04</v>
      </c>
      <c r="Q1020" s="2017">
        <v>0</v>
      </c>
      <c r="R1020" s="2017">
        <v>0</v>
      </c>
      <c r="S1020" s="2017">
        <v>0</v>
      </c>
      <c r="T1020" s="2017">
        <v>0</v>
      </c>
      <c r="U1020" s="2042">
        <v>0</v>
      </c>
    </row>
    <row r="1021" spans="2:21" hidden="1" outlineLevel="3">
      <c r="B1021" s="1135"/>
      <c r="C1021" s="1045"/>
      <c r="D1021" s="1051">
        <f t="shared" si="112"/>
        <v>5</v>
      </c>
      <c r="E1021" s="1051" t="str">
        <f>IF(COUNTIF(E$996:E1020,F1021)&gt;0,"",F1021)</f>
        <v/>
      </c>
      <c r="F1021" s="1051" t="str">
        <f t="shared" si="113"/>
        <v>Sac à dos écolier , France continentale, Base Carbone</v>
      </c>
      <c r="G1021" s="1051" t="str">
        <f t="shared" si="114"/>
        <v>Sac à dos écolier , France continentale, Base Carbone; kgCO2e/unité, Distribution</v>
      </c>
      <c r="I1021" s="2018" t="s">
        <v>3226</v>
      </c>
      <c r="J1021" s="1135" t="s">
        <v>1994</v>
      </c>
      <c r="K1021" s="1135" t="s">
        <v>1567</v>
      </c>
      <c r="L1021" s="1135" t="s">
        <v>1571</v>
      </c>
      <c r="M1021" s="2062">
        <v>0.6</v>
      </c>
      <c r="N1021" s="1135" t="s">
        <v>3138</v>
      </c>
      <c r="O1021" s="1135">
        <v>0.28000000000000003</v>
      </c>
      <c r="P1021" s="2017">
        <v>0.28000000000000003</v>
      </c>
      <c r="Q1021" s="2017">
        <v>0</v>
      </c>
      <c r="R1021" s="2017">
        <v>0</v>
      </c>
      <c r="S1021" s="2017">
        <v>0</v>
      </c>
      <c r="T1021" s="2017">
        <v>0</v>
      </c>
      <c r="U1021" s="2042">
        <v>0</v>
      </c>
    </row>
    <row r="1022" spans="2:21" hidden="1" outlineLevel="3">
      <c r="B1022" s="1135"/>
      <c r="C1022" s="1045"/>
      <c r="D1022" s="1051">
        <f t="shared" si="112"/>
        <v>6</v>
      </c>
      <c r="E1022" s="1051" t="str">
        <f>IF(COUNTIF(E$996:E1021,F1022)&gt;0,"",F1022)</f>
        <v>Sac à dos randonnée, France continentale, Base Carbone</v>
      </c>
      <c r="F1022" s="1051" t="str">
        <f t="shared" si="113"/>
        <v>Sac à dos randonnée, France continentale, Base Carbone</v>
      </c>
      <c r="G1022" s="1051" t="str">
        <f t="shared" si="114"/>
        <v>Sac à dos randonnée, France continentale, Base Carbone; kgCO2e/unité, Matières premières</v>
      </c>
      <c r="I1022" s="2018" t="s">
        <v>3287</v>
      </c>
      <c r="J1022" s="1135" t="s">
        <v>1994</v>
      </c>
      <c r="K1022" s="1135" t="s">
        <v>1567</v>
      </c>
      <c r="L1022" s="1135" t="s">
        <v>1571</v>
      </c>
      <c r="M1022" s="2062">
        <v>0.6</v>
      </c>
      <c r="N1022" s="1135" t="s">
        <v>3135</v>
      </c>
      <c r="O1022" s="1135">
        <v>5.16</v>
      </c>
      <c r="P1022" s="2017">
        <v>5.16</v>
      </c>
      <c r="Q1022" s="2017">
        <v>0</v>
      </c>
      <c r="R1022" s="2017">
        <v>0</v>
      </c>
      <c r="S1022" s="2017">
        <v>0</v>
      </c>
      <c r="T1022" s="2017">
        <v>0</v>
      </c>
      <c r="U1022" s="2042">
        <v>0</v>
      </c>
    </row>
    <row r="1023" spans="2:21" hidden="1" outlineLevel="3">
      <c r="B1023" s="1135"/>
      <c r="C1023" s="1045"/>
      <c r="D1023" s="1051">
        <f t="shared" si="112"/>
        <v>6</v>
      </c>
      <c r="E1023" s="1051" t="str">
        <f>IF(COUNTIF(E$996:E1022,F1023)&gt;0,"",F1023)</f>
        <v/>
      </c>
      <c r="F1023" s="1051" t="str">
        <f t="shared" si="113"/>
        <v>Sac à dos randonnée, France continentale, Base Carbone</v>
      </c>
      <c r="G1023" s="1051" t="str">
        <f t="shared" si="114"/>
        <v>Sac à dos randonnée, France continentale, Base Carbone; kgCO2e/unité, Approvisionnement</v>
      </c>
      <c r="I1023" s="2018" t="s">
        <v>3287</v>
      </c>
      <c r="J1023" s="1135" t="s">
        <v>1994</v>
      </c>
      <c r="K1023" s="1135" t="s">
        <v>1567</v>
      </c>
      <c r="L1023" s="1135" t="s">
        <v>1571</v>
      </c>
      <c r="M1023" s="2062">
        <v>0.6</v>
      </c>
      <c r="N1023" s="1135" t="s">
        <v>3136</v>
      </c>
      <c r="O1023" s="1135">
        <v>0.08</v>
      </c>
      <c r="P1023" s="2017">
        <v>0.08</v>
      </c>
      <c r="Q1023" s="2017">
        <v>0</v>
      </c>
      <c r="R1023" s="2017">
        <v>0</v>
      </c>
      <c r="S1023" s="2017">
        <v>0</v>
      </c>
      <c r="T1023" s="2017">
        <v>0</v>
      </c>
      <c r="U1023" s="2042">
        <v>0</v>
      </c>
    </row>
    <row r="1024" spans="2:21" hidden="1" outlineLevel="3">
      <c r="B1024" s="1135"/>
      <c r="C1024" s="1045"/>
      <c r="D1024" s="1051">
        <f t="shared" si="112"/>
        <v>6</v>
      </c>
      <c r="E1024" s="1051" t="str">
        <f>IF(COUNTIF(E$996:E1023,F1024)&gt;0,"",F1024)</f>
        <v/>
      </c>
      <c r="F1024" s="1051" t="str">
        <f t="shared" si="113"/>
        <v>Sac à dos randonnée, France continentale, Base Carbone</v>
      </c>
      <c r="G1024" s="1051" t="str">
        <f t="shared" si="114"/>
        <v>Sac à dos randonnée, France continentale, Base Carbone; kgCO2e/unité, Mise en forme</v>
      </c>
      <c r="I1024" s="2018" t="s">
        <v>3287</v>
      </c>
      <c r="J1024" s="1135" t="s">
        <v>1994</v>
      </c>
      <c r="K1024" s="1135" t="s">
        <v>1567</v>
      </c>
      <c r="L1024" s="1135" t="s">
        <v>1571</v>
      </c>
      <c r="M1024" s="2062">
        <v>0.6</v>
      </c>
      <c r="N1024" s="1135" t="s">
        <v>3141</v>
      </c>
      <c r="O1024" s="1135">
        <v>0.45</v>
      </c>
      <c r="P1024" s="2017">
        <v>0.45</v>
      </c>
      <c r="Q1024" s="2017">
        <v>0</v>
      </c>
      <c r="R1024" s="2017">
        <v>0</v>
      </c>
      <c r="S1024" s="2017">
        <v>0</v>
      </c>
      <c r="T1024" s="2017">
        <v>0</v>
      </c>
      <c r="U1024" s="2042">
        <v>0</v>
      </c>
    </row>
    <row r="1025" spans="1:21" hidden="1" outlineLevel="3">
      <c r="B1025" s="1135"/>
      <c r="C1025" s="1045"/>
      <c r="D1025" s="1051">
        <f t="shared" si="112"/>
        <v>6</v>
      </c>
      <c r="E1025" s="1051" t="str">
        <f>IF(COUNTIF(E$996:E1024,F1025)&gt;0,"",F1025)</f>
        <v/>
      </c>
      <c r="F1025" s="1051" t="str">
        <f t="shared" si="113"/>
        <v>Sac à dos randonnée, France continentale, Base Carbone</v>
      </c>
      <c r="G1025" s="1051" t="str">
        <f t="shared" si="114"/>
        <v>Sac à dos randonnée, France continentale, Base Carbone; kgCO2e/unité, Assemblage</v>
      </c>
      <c r="I1025" s="2018" t="s">
        <v>3287</v>
      </c>
      <c r="J1025" s="1135" t="s">
        <v>1994</v>
      </c>
      <c r="K1025" s="1135" t="s">
        <v>1567</v>
      </c>
      <c r="L1025" s="1135" t="s">
        <v>1571</v>
      </c>
      <c r="M1025" s="2062">
        <v>0.6</v>
      </c>
      <c r="N1025" s="1135" t="s">
        <v>3137</v>
      </c>
      <c r="O1025" s="1135">
        <v>0.04</v>
      </c>
      <c r="P1025" s="2017">
        <v>0.04</v>
      </c>
      <c r="Q1025" s="2017">
        <v>0</v>
      </c>
      <c r="R1025" s="2017">
        <v>0</v>
      </c>
      <c r="S1025" s="2017">
        <v>0</v>
      </c>
      <c r="T1025" s="2017">
        <v>0</v>
      </c>
      <c r="U1025" s="2042">
        <v>0</v>
      </c>
    </row>
    <row r="1026" spans="1:21" hidden="1" outlineLevel="3">
      <c r="B1026" s="1135"/>
      <c r="C1026" s="1045"/>
      <c r="D1026" s="1051">
        <f t="shared" si="112"/>
        <v>6</v>
      </c>
      <c r="E1026" s="1051" t="str">
        <f>IF(COUNTIF(E$996:E1025,F1026)&gt;0,"",F1026)</f>
        <v/>
      </c>
      <c r="F1026" s="1051" t="str">
        <f t="shared" si="113"/>
        <v>Sac à dos randonnée, France continentale, Base Carbone</v>
      </c>
      <c r="G1026" s="1051" t="str">
        <f t="shared" si="114"/>
        <v>Sac à dos randonnée, France continentale, Base Carbone; kgCO2e/unité, Distribution</v>
      </c>
      <c r="I1026" s="2018" t="s">
        <v>3287</v>
      </c>
      <c r="J1026" s="1135" t="s">
        <v>1994</v>
      </c>
      <c r="K1026" s="1135" t="s">
        <v>1567</v>
      </c>
      <c r="L1026" s="1135" t="s">
        <v>1571</v>
      </c>
      <c r="M1026" s="2062">
        <v>0.6</v>
      </c>
      <c r="N1026" s="1135" t="s">
        <v>3138</v>
      </c>
      <c r="O1026" s="1135">
        <v>0.28000000000000003</v>
      </c>
      <c r="P1026" s="2017">
        <v>0.28000000000000003</v>
      </c>
      <c r="Q1026" s="2017">
        <v>0</v>
      </c>
      <c r="R1026" s="2017">
        <v>0</v>
      </c>
      <c r="S1026" s="2017">
        <v>0</v>
      </c>
      <c r="T1026" s="2017">
        <v>0</v>
      </c>
      <c r="U1026" s="2042">
        <v>0</v>
      </c>
    </row>
    <row r="1027" spans="1:21" hidden="1" outlineLevel="3">
      <c r="B1027" s="1135"/>
      <c r="C1027" s="1045"/>
      <c r="D1027" s="1051">
        <f t="shared" si="112"/>
        <v>6</v>
      </c>
      <c r="E1027" s="1051" t="str">
        <f>IF(COUNTIF(E$996:E1026,F1027)&gt;0,"",F1027)</f>
        <v/>
      </c>
      <c r="F1027" s="1051" t="str">
        <f t="shared" si="113"/>
        <v/>
      </c>
      <c r="G1027" s="1051" t="str">
        <f t="shared" si="114"/>
        <v/>
      </c>
      <c r="I1027" s="2018"/>
      <c r="J1027" s="1135"/>
      <c r="K1027" s="1135"/>
      <c r="L1027" s="1135"/>
      <c r="M1027" s="2062"/>
      <c r="N1027" s="1135"/>
      <c r="O1027" s="1135"/>
      <c r="P1027" s="2017"/>
      <c r="Q1027" s="2017"/>
      <c r="R1027" s="2017"/>
      <c r="S1027" s="2017"/>
      <c r="T1027" s="2017"/>
      <c r="U1027" s="2042"/>
    </row>
    <row r="1028" spans="1:21" hidden="1" outlineLevel="3">
      <c r="B1028" s="1135"/>
      <c r="C1028" s="1045"/>
      <c r="D1028" s="1051">
        <f t="shared" si="112"/>
        <v>6</v>
      </c>
      <c r="E1028" s="1051" t="str">
        <f>IF(COUNTIF(E$996:E1027,F1028)&gt;0,"",F1028)</f>
        <v/>
      </c>
      <c r="F1028" s="1051" t="str">
        <f t="shared" si="113"/>
        <v/>
      </c>
      <c r="G1028" s="1051" t="str">
        <f t="shared" si="114"/>
        <v/>
      </c>
      <c r="I1028" s="2018"/>
      <c r="J1028" s="1135"/>
      <c r="K1028" s="1135"/>
      <c r="L1028" s="1135"/>
      <c r="M1028" s="2062"/>
      <c r="N1028" s="1135"/>
      <c r="O1028" s="1135"/>
      <c r="P1028" s="2017"/>
      <c r="Q1028" s="2017"/>
      <c r="R1028" s="2017"/>
      <c r="S1028" s="2017"/>
      <c r="T1028" s="2017"/>
      <c r="U1028" s="2042"/>
    </row>
    <row r="1029" spans="1:21" ht="13.2" hidden="1" outlineLevel="1">
      <c r="B1029" s="1135"/>
      <c r="C1029" s="1045"/>
      <c r="D1029" s="1045"/>
      <c r="E1029" s="1045"/>
      <c r="F1029" s="1045"/>
      <c r="G1029" s="1045"/>
      <c r="I1029" s="1746"/>
      <c r="J1029" s="1742"/>
      <c r="K1029" s="1742"/>
      <c r="L1029" s="1742"/>
      <c r="M1029" s="1742"/>
      <c r="N1029" s="1742"/>
      <c r="O1029" s="1742"/>
      <c r="P1029" s="1742"/>
      <c r="Q1029" s="1742"/>
      <c r="R1029" s="1742"/>
      <c r="S1029" s="1742"/>
      <c r="T1029" s="1742"/>
      <c r="U1029" s="2063"/>
    </row>
    <row r="1030" spans="1:21" ht="12.75" hidden="1" customHeight="1" outlineLevel="1" collapsed="1">
      <c r="B1030" s="3193" t="s">
        <v>1223</v>
      </c>
      <c r="C1030" s="3193"/>
      <c r="D1030" s="1051">
        <v>0</v>
      </c>
      <c r="E1030" s="1051"/>
      <c r="F1030" s="1051"/>
      <c r="G1030" s="1051"/>
      <c r="I1030" s="1746"/>
      <c r="J1030" s="1742"/>
      <c r="K1030" s="1742"/>
      <c r="L1030" s="1742"/>
      <c r="M1030" s="1742"/>
      <c r="N1030" s="1742"/>
      <c r="O1030" s="1742"/>
      <c r="P1030" s="1742"/>
      <c r="Q1030" s="1742"/>
      <c r="R1030" s="1742"/>
      <c r="S1030" s="1742"/>
      <c r="T1030" s="1742"/>
      <c r="U1030" s="2063"/>
    </row>
    <row r="1031" spans="1:21" s="1045" customFormat="1" hidden="1" outlineLevel="2">
      <c r="A1031"/>
      <c r="B1031" s="2059">
        <v>1</v>
      </c>
      <c r="C1031" s="1050" t="str">
        <f>IF(ISNA(VLOOKUP(B1031,$D$1030:$E$1130,2,FALSE)),"-",VLOOKUP(B1031,$D$1030:$E$1130,2,FALSE))</f>
        <v>Armoire représentative, France Continentale , Base Carbone</v>
      </c>
      <c r="D1031" s="1051">
        <f t="shared" ref="D1031" si="115">D1030+IF(LEN(E1031)&gt;0,1,0)</f>
        <v>1</v>
      </c>
      <c r="E1031" s="1051" t="str">
        <f>IF(COUNTIF(E1030:E$1030,F1031)&gt;0,"",F1031)</f>
        <v>Armoire représentative, France Continentale , Base Carbone</v>
      </c>
      <c r="F1031" s="1051" t="str">
        <f t="shared" ref="F1031" si="116">IF(I1031&lt;&gt;"",I1031&amp;IF(L1031&lt;&gt;"",", "&amp;L1031,"")&amp;IF(K1031&lt;&gt;"",", "&amp;K1031,""),"")</f>
        <v>Armoire représentative, France Continentale , Base Carbone</v>
      </c>
      <c r="G1031" s="1051" t="str">
        <f t="shared" ref="G1031" si="117">IF(F1031&lt;&gt;"",F1031&amp;IF(J1031&lt;&gt;"","; "&amp;J1031&amp;IF(N1031&lt;&gt;"",", "&amp;N1031,),""),"")</f>
        <v>Armoire représentative, France Continentale , Base Carbone; kgCO2e/unité, Matières premières</v>
      </c>
      <c r="H1031"/>
      <c r="I1031" s="2018" t="s">
        <v>3227</v>
      </c>
      <c r="J1031" s="1135" t="s">
        <v>1994</v>
      </c>
      <c r="K1031" s="1135" t="s">
        <v>1567</v>
      </c>
      <c r="L1031" s="1135" t="s">
        <v>3228</v>
      </c>
      <c r="M1031" s="2062">
        <v>0.2</v>
      </c>
      <c r="N1031" s="1135" t="s">
        <v>3135</v>
      </c>
      <c r="O1031" s="1135">
        <v>118</v>
      </c>
      <c r="P1031" s="2179">
        <v>118</v>
      </c>
      <c r="Q1031" s="2179">
        <v>0</v>
      </c>
      <c r="R1031" s="2179">
        <v>0</v>
      </c>
      <c r="S1031" s="2179">
        <v>0</v>
      </c>
      <c r="T1031" s="2179">
        <v>0</v>
      </c>
      <c r="U1031" s="2180">
        <v>-501</v>
      </c>
    </row>
    <row r="1032" spans="1:21" s="1045" customFormat="1" hidden="1" outlineLevel="2">
      <c r="A1032"/>
      <c r="B1032" s="2059">
        <v>2</v>
      </c>
      <c r="C1032" s="1050" t="str">
        <f t="shared" ref="C1032:C1052" si="118">IF(ISNA(VLOOKUP(B1032,$D$1030:$E$1130,2,FALSE)),"-",VLOOKUP(B1032,$D$1030:$E$1130,2,FALSE))</f>
        <v xml:space="preserve">Cadre de lit , France Continentale , Base Carbone </v>
      </c>
      <c r="D1032" s="1051">
        <f t="shared" ref="D1032:D1095" si="119">D1031+IF(LEN(E1032)&gt;0,1,0)</f>
        <v>1</v>
      </c>
      <c r="E1032" s="1051" t="str">
        <f>IF(COUNTIF(E$1030:E1031,F1032)&gt;0,"",F1032)</f>
        <v/>
      </c>
      <c r="F1032" s="1051" t="str">
        <f t="shared" ref="F1032:F1095" si="120">IF(I1032&lt;&gt;"",I1032&amp;IF(L1032&lt;&gt;"",", "&amp;L1032,"")&amp;IF(K1032&lt;&gt;"",", "&amp;K1032,""),"")</f>
        <v>Armoire représentative, France Continentale , Base Carbone</v>
      </c>
      <c r="G1032" s="1051" t="str">
        <f t="shared" ref="G1032:G1095" si="121">IF(F1032&lt;&gt;"",F1032&amp;IF(J1032&lt;&gt;"","; "&amp;J1032&amp;IF(N1032&lt;&gt;"",", "&amp;N1032,),""),"")</f>
        <v>Armoire représentative, France Continentale , Base Carbone; kgCO2e/unité, Approvisionnement</v>
      </c>
      <c r="H1032"/>
      <c r="I1032" s="2018" t="s">
        <v>3227</v>
      </c>
      <c r="J1032" s="1135" t="s">
        <v>1994</v>
      </c>
      <c r="K1032" s="1135" t="s">
        <v>1567</v>
      </c>
      <c r="L1032" s="1135" t="s">
        <v>3228</v>
      </c>
      <c r="M1032" s="2062">
        <v>0.2</v>
      </c>
      <c r="N1032" s="1135" t="s">
        <v>3136</v>
      </c>
      <c r="O1032" s="1135">
        <v>70.7</v>
      </c>
      <c r="P1032" s="2179">
        <v>70.7</v>
      </c>
      <c r="Q1032" s="2179">
        <v>0</v>
      </c>
      <c r="R1032" s="2179">
        <v>0</v>
      </c>
      <c r="S1032" s="2179">
        <v>0</v>
      </c>
      <c r="T1032" s="2179">
        <v>0</v>
      </c>
      <c r="U1032" s="2180">
        <v>0</v>
      </c>
    </row>
    <row r="1033" spans="1:21" s="1045" customFormat="1" hidden="1" outlineLevel="2">
      <c r="A1033"/>
      <c r="B1033" s="2059">
        <v>3</v>
      </c>
      <c r="C1033" s="1050" t="str">
        <f t="shared" si="118"/>
        <v>Canapé convertible , France Continentale , Base Carbone</v>
      </c>
      <c r="D1033" s="1051">
        <f t="shared" si="119"/>
        <v>1</v>
      </c>
      <c r="E1033" s="1051" t="str">
        <f>IF(COUNTIF(E$1030:E1032,F1033)&gt;0,"",F1033)</f>
        <v/>
      </c>
      <c r="F1033" s="1051" t="str">
        <f t="shared" si="120"/>
        <v>Armoire représentative, France Continentale , Base Carbone</v>
      </c>
      <c r="G1033" s="1051" t="str">
        <f t="shared" si="121"/>
        <v>Armoire représentative, France Continentale , Base Carbone; kgCO2e/unité, Mise en forme</v>
      </c>
      <c r="H1033"/>
      <c r="I1033" s="2018" t="s">
        <v>3227</v>
      </c>
      <c r="J1033" s="1135" t="s">
        <v>1994</v>
      </c>
      <c r="K1033" s="1135" t="s">
        <v>1567</v>
      </c>
      <c r="L1033" s="1135" t="s">
        <v>3228</v>
      </c>
      <c r="M1033" s="2062">
        <v>0.2</v>
      </c>
      <c r="N1033" s="1135" t="s">
        <v>3141</v>
      </c>
      <c r="O1033" s="1135">
        <v>2.1800000000000002</v>
      </c>
      <c r="P1033" s="2179">
        <v>2.1800000000000002</v>
      </c>
      <c r="Q1033" s="2179">
        <v>0</v>
      </c>
      <c r="R1033" s="2179">
        <v>0</v>
      </c>
      <c r="S1033" s="2179">
        <v>0</v>
      </c>
      <c r="T1033" s="2179">
        <v>0</v>
      </c>
      <c r="U1033" s="2180">
        <v>0</v>
      </c>
    </row>
    <row r="1034" spans="1:21" s="1045" customFormat="1" hidden="1" outlineLevel="2">
      <c r="A1034"/>
      <c r="B1034" s="2059">
        <v>4</v>
      </c>
      <c r="C1034" s="1050" t="str">
        <f t="shared" si="118"/>
        <v>Canapé cuir, France Continentale , Base Carbone</v>
      </c>
      <c r="D1034" s="1051">
        <f t="shared" si="119"/>
        <v>1</v>
      </c>
      <c r="E1034" s="1051" t="str">
        <f>IF(COUNTIF(E$1030:E1033,F1034)&gt;0,"",F1034)</f>
        <v/>
      </c>
      <c r="F1034" s="1051" t="str">
        <f t="shared" si="120"/>
        <v>Armoire représentative, France Continentale , Base Carbone</v>
      </c>
      <c r="G1034" s="1051" t="str">
        <f t="shared" si="121"/>
        <v>Armoire représentative, France Continentale , Base Carbone; kgCO2e/unité, Assemblage</v>
      </c>
      <c r="H1034"/>
      <c r="I1034" s="2018" t="s">
        <v>3227</v>
      </c>
      <c r="J1034" s="1135" t="s">
        <v>1994</v>
      </c>
      <c r="K1034" s="1135" t="s">
        <v>1567</v>
      </c>
      <c r="L1034" s="1135" t="s">
        <v>3228</v>
      </c>
      <c r="M1034" s="2062">
        <v>0.2</v>
      </c>
      <c r="N1034" s="1135" t="s">
        <v>3137</v>
      </c>
      <c r="O1034" s="1135">
        <v>256</v>
      </c>
      <c r="P1034" s="2179">
        <v>256</v>
      </c>
      <c r="Q1034" s="2179">
        <v>0</v>
      </c>
      <c r="R1034" s="2179">
        <v>0</v>
      </c>
      <c r="S1034" s="2179">
        <v>0</v>
      </c>
      <c r="T1034" s="2179">
        <v>0</v>
      </c>
      <c r="U1034" s="2180">
        <v>0</v>
      </c>
    </row>
    <row r="1035" spans="1:21" s="1045" customFormat="1" hidden="1" outlineLevel="2">
      <c r="A1035"/>
      <c r="B1035" s="2059">
        <v>5</v>
      </c>
      <c r="C1035" s="1050" t="str">
        <f t="shared" si="118"/>
        <v>Canapé textile, France Continentale , Base Carbone</v>
      </c>
      <c r="D1035" s="1051">
        <f t="shared" si="119"/>
        <v>1</v>
      </c>
      <c r="E1035" s="1051" t="str">
        <f>IF(COUNTIF(E$1030:E1034,F1035)&gt;0,"",F1035)</f>
        <v/>
      </c>
      <c r="F1035" s="1051" t="str">
        <f t="shared" si="120"/>
        <v>Armoire représentative, France Continentale , Base Carbone</v>
      </c>
      <c r="G1035" s="1051" t="str">
        <f t="shared" si="121"/>
        <v>Armoire représentative, France Continentale , Base Carbone; kgCO2e/unité, Distribution</v>
      </c>
      <c r="H1035"/>
      <c r="I1035" s="2018" t="s">
        <v>3227</v>
      </c>
      <c r="J1035" s="1135" t="s">
        <v>1994</v>
      </c>
      <c r="K1035" s="1135" t="s">
        <v>1567</v>
      </c>
      <c r="L1035" s="1135" t="s">
        <v>3228</v>
      </c>
      <c r="M1035" s="2062">
        <v>0.2</v>
      </c>
      <c r="N1035" s="1135" t="s">
        <v>3138</v>
      </c>
      <c r="O1035" s="1135">
        <v>460</v>
      </c>
      <c r="P1035" s="2179">
        <v>460</v>
      </c>
      <c r="Q1035" s="2179">
        <v>0</v>
      </c>
      <c r="R1035" s="2179">
        <v>0</v>
      </c>
      <c r="S1035" s="2179">
        <v>0</v>
      </c>
      <c r="T1035" s="2179">
        <v>0</v>
      </c>
      <c r="U1035" s="2180">
        <v>0</v>
      </c>
    </row>
    <row r="1036" spans="1:21" s="1045" customFormat="1" hidden="1" outlineLevel="2">
      <c r="A1036"/>
      <c r="B1036" s="2059">
        <v>6</v>
      </c>
      <c r="C1036" s="1050" t="str">
        <f t="shared" si="118"/>
        <v>Chaise bois, France Continentale , Base Carbone</v>
      </c>
      <c r="D1036" s="1051">
        <f t="shared" si="119"/>
        <v>2</v>
      </c>
      <c r="E1036" s="1051" t="str">
        <f>IF(COUNTIF(E$1030:E1035,F1036)&gt;0,"",F1036)</f>
        <v xml:space="preserve">Cadre de lit , France Continentale , Base Carbone </v>
      </c>
      <c r="F1036" s="1051" t="str">
        <f t="shared" si="120"/>
        <v xml:space="preserve">Cadre de lit , France Continentale , Base Carbone </v>
      </c>
      <c r="G1036" s="1051" t="str">
        <f t="shared" si="121"/>
        <v>Cadre de lit , France Continentale , Base Carbone ; kgCO2e/unité, Matières premières</v>
      </c>
      <c r="H1036"/>
      <c r="I1036" s="2018" t="s">
        <v>3229</v>
      </c>
      <c r="J1036" s="1135" t="s">
        <v>1994</v>
      </c>
      <c r="K1036" s="1135" t="s">
        <v>3132</v>
      </c>
      <c r="L1036" s="1135" t="s">
        <v>3228</v>
      </c>
      <c r="M1036" s="2062">
        <v>0.3</v>
      </c>
      <c r="N1036" s="1135" t="s">
        <v>3135</v>
      </c>
      <c r="O1036" s="1135">
        <v>44.6</v>
      </c>
      <c r="P1036" s="2179">
        <v>44.6</v>
      </c>
      <c r="Q1036" s="2179">
        <v>0</v>
      </c>
      <c r="R1036" s="2179">
        <v>0</v>
      </c>
      <c r="S1036" s="2179">
        <v>0</v>
      </c>
      <c r="T1036" s="2179">
        <v>0</v>
      </c>
      <c r="U1036" s="2180">
        <v>-53.9</v>
      </c>
    </row>
    <row r="1037" spans="1:21" s="1045" customFormat="1" hidden="1" outlineLevel="2">
      <c r="A1037"/>
      <c r="B1037" s="2059">
        <v>7</v>
      </c>
      <c r="C1037" s="1050" t="str">
        <f t="shared" si="118"/>
        <v>Chaise bois textile , France Continentale , Base Carbone</v>
      </c>
      <c r="D1037" s="1051">
        <f t="shared" si="119"/>
        <v>2</v>
      </c>
      <c r="E1037" s="1051" t="str">
        <f>IF(COUNTIF(E$1030:E1036,F1037)&gt;0,"",F1037)</f>
        <v/>
      </c>
      <c r="F1037" s="1051" t="str">
        <f t="shared" si="120"/>
        <v xml:space="preserve">Cadre de lit , France Continentale , Base Carbone </v>
      </c>
      <c r="G1037" s="1051" t="str">
        <f t="shared" si="121"/>
        <v>Cadre de lit , France Continentale , Base Carbone ; kgCO2e/unité, Approvisionnement</v>
      </c>
      <c r="H1037"/>
      <c r="I1037" s="2018" t="s">
        <v>3229</v>
      </c>
      <c r="J1037" s="1135" t="s">
        <v>1994</v>
      </c>
      <c r="K1037" s="1135" t="s">
        <v>3132</v>
      </c>
      <c r="L1037" s="1135" t="s">
        <v>3228</v>
      </c>
      <c r="M1037" s="2062">
        <v>0.3</v>
      </c>
      <c r="N1037" s="1135" t="s">
        <v>3136</v>
      </c>
      <c r="O1037" s="1135">
        <v>17.899999999999999</v>
      </c>
      <c r="P1037" s="2179">
        <v>17.899999999999999</v>
      </c>
      <c r="Q1037" s="2179">
        <v>0</v>
      </c>
      <c r="R1037" s="2179">
        <v>0</v>
      </c>
      <c r="S1037" s="2179">
        <v>0</v>
      </c>
      <c r="T1037" s="2179">
        <v>0</v>
      </c>
      <c r="U1037" s="2180">
        <v>0</v>
      </c>
    </row>
    <row r="1038" spans="1:21" s="1045" customFormat="1" hidden="1" outlineLevel="2">
      <c r="A1038"/>
      <c r="B1038" s="2059">
        <v>8</v>
      </c>
      <c r="C1038" s="1050" t="str">
        <f t="shared" si="118"/>
        <v>Chaise plastique, France Continentale , Base Carbone</v>
      </c>
      <c r="D1038" s="1051">
        <f t="shared" si="119"/>
        <v>2</v>
      </c>
      <c r="E1038" s="1051" t="str">
        <f>IF(COUNTIF(E$1030:E1037,F1038)&gt;0,"",F1038)</f>
        <v/>
      </c>
      <c r="F1038" s="1051" t="str">
        <f t="shared" si="120"/>
        <v xml:space="preserve">Cadre de lit , France Continentale , Base Carbone </v>
      </c>
      <c r="G1038" s="1051" t="str">
        <f t="shared" si="121"/>
        <v>Cadre de lit , France Continentale , Base Carbone ; kgCO2e/unité, Mise en forme</v>
      </c>
      <c r="H1038"/>
      <c r="I1038" s="2018" t="s">
        <v>3229</v>
      </c>
      <c r="J1038" s="1135" t="s">
        <v>1994</v>
      </c>
      <c r="K1038" s="1135" t="s">
        <v>3132</v>
      </c>
      <c r="L1038" s="1135" t="s">
        <v>3228</v>
      </c>
      <c r="M1038" s="2062">
        <v>0.3</v>
      </c>
      <c r="N1038" s="1135" t="s">
        <v>3141</v>
      </c>
      <c r="O1038" s="1135">
        <v>20.399999999999999</v>
      </c>
      <c r="P1038" s="2179">
        <v>20.399999999999999</v>
      </c>
      <c r="Q1038" s="2179">
        <v>0</v>
      </c>
      <c r="R1038" s="2179">
        <v>0</v>
      </c>
      <c r="S1038" s="2179">
        <v>0</v>
      </c>
      <c r="T1038" s="2179">
        <v>0</v>
      </c>
      <c r="U1038" s="2180">
        <v>0</v>
      </c>
    </row>
    <row r="1039" spans="1:21" s="1045" customFormat="1" hidden="1" outlineLevel="2">
      <c r="A1039"/>
      <c r="B1039" s="2059">
        <v>9</v>
      </c>
      <c r="C1039" s="1050" t="str">
        <f t="shared" si="118"/>
        <v>Matelas mousse, France Continentale , Base Carbone</v>
      </c>
      <c r="D1039" s="1051">
        <f t="shared" si="119"/>
        <v>2</v>
      </c>
      <c r="E1039" s="1051" t="str">
        <f>IF(COUNTIF(E$1030:E1038,F1039)&gt;0,"",F1039)</f>
        <v/>
      </c>
      <c r="F1039" s="1051" t="str">
        <f t="shared" si="120"/>
        <v xml:space="preserve">Cadre de lit , France Continentale , Base Carbone </v>
      </c>
      <c r="G1039" s="1051" t="str">
        <f t="shared" si="121"/>
        <v>Cadre de lit , France Continentale , Base Carbone ; kgCO2e/unité, Assemblage</v>
      </c>
      <c r="H1039"/>
      <c r="I1039" s="2018" t="s">
        <v>3229</v>
      </c>
      <c r="J1039" s="1135" t="s">
        <v>1994</v>
      </c>
      <c r="K1039" s="1135" t="s">
        <v>3132</v>
      </c>
      <c r="L1039" s="1135" t="s">
        <v>3228</v>
      </c>
      <c r="M1039" s="2062">
        <v>0.3</v>
      </c>
      <c r="N1039" s="1135" t="s">
        <v>3137</v>
      </c>
      <c r="O1039" s="1135">
        <v>9.8000000000000007</v>
      </c>
      <c r="P1039" s="2179">
        <v>9.8000000000000007</v>
      </c>
      <c r="Q1039" s="2179">
        <v>0</v>
      </c>
      <c r="R1039" s="2179">
        <v>0</v>
      </c>
      <c r="S1039" s="2179">
        <v>0</v>
      </c>
      <c r="T1039" s="2179">
        <v>0</v>
      </c>
      <c r="U1039" s="2180">
        <v>0</v>
      </c>
    </row>
    <row r="1040" spans="1:21" s="1045" customFormat="1" hidden="1" outlineLevel="2">
      <c r="A1040"/>
      <c r="B1040" s="2059">
        <v>10</v>
      </c>
      <c r="C1040" s="1050" t="str">
        <f t="shared" si="118"/>
        <v>Matelas ressorts, France Continentale , Base Carbone</v>
      </c>
      <c r="D1040" s="1051">
        <f t="shared" si="119"/>
        <v>2</v>
      </c>
      <c r="E1040" s="1051" t="str">
        <f>IF(COUNTIF(E$1030:E1039,F1040)&gt;0,"",F1040)</f>
        <v/>
      </c>
      <c r="F1040" s="1051" t="str">
        <f t="shared" si="120"/>
        <v xml:space="preserve">Cadre de lit , France Continentale , Base Carbone </v>
      </c>
      <c r="G1040" s="1051" t="str">
        <f t="shared" si="121"/>
        <v>Cadre de lit , France Continentale , Base Carbone ; kgCO2e/unité, Distribution</v>
      </c>
      <c r="H1040"/>
      <c r="I1040" s="2018" t="s">
        <v>3229</v>
      </c>
      <c r="J1040" s="1135" t="s">
        <v>1994</v>
      </c>
      <c r="K1040" s="1135" t="s">
        <v>3132</v>
      </c>
      <c r="L1040" s="1135" t="s">
        <v>3228</v>
      </c>
      <c r="M1040" s="2062">
        <v>0.3</v>
      </c>
      <c r="N1040" s="1135" t="s">
        <v>3138</v>
      </c>
      <c r="O1040" s="1135">
        <v>22.5</v>
      </c>
      <c r="P1040" s="2179">
        <v>22.5</v>
      </c>
      <c r="Q1040" s="2179">
        <v>0</v>
      </c>
      <c r="R1040" s="2179">
        <v>0</v>
      </c>
      <c r="S1040" s="2179">
        <v>0</v>
      </c>
      <c r="T1040" s="2179">
        <v>0</v>
      </c>
      <c r="U1040" s="2180">
        <v>0</v>
      </c>
    </row>
    <row r="1041" spans="1:21" s="1045" customFormat="1" hidden="1" outlineLevel="2">
      <c r="A1041"/>
      <c r="B1041" s="2059">
        <v>11</v>
      </c>
      <c r="C1041" s="1050" t="str">
        <f t="shared" si="118"/>
        <v>Salon de jardin - bois, France Continentale , Base Carbone</v>
      </c>
      <c r="D1041" s="1051">
        <f t="shared" si="119"/>
        <v>3</v>
      </c>
      <c r="E1041" s="1051" t="str">
        <f>IF(COUNTIF(E$1030:E1040,F1041)&gt;0,"",F1041)</f>
        <v>Canapé convertible , France Continentale , Base Carbone</v>
      </c>
      <c r="F1041" s="1051" t="str">
        <f t="shared" si="120"/>
        <v>Canapé convertible , France Continentale , Base Carbone</v>
      </c>
      <c r="G1041" s="1051" t="str">
        <f t="shared" si="121"/>
        <v>Canapé convertible , France Continentale , Base Carbone; kgCO2e/unité, Matières premières</v>
      </c>
      <c r="H1041"/>
      <c r="I1041" s="2018" t="s">
        <v>3230</v>
      </c>
      <c r="J1041" s="1135" t="s">
        <v>1994</v>
      </c>
      <c r="K1041" s="1135" t="s">
        <v>1567</v>
      </c>
      <c r="L1041" s="1135" t="s">
        <v>3228</v>
      </c>
      <c r="M1041" s="2062">
        <v>0.15</v>
      </c>
      <c r="N1041" s="1135" t="s">
        <v>3135</v>
      </c>
      <c r="O1041" s="1135">
        <v>119</v>
      </c>
      <c r="P1041" s="2179">
        <v>119</v>
      </c>
      <c r="Q1041" s="2179">
        <v>0</v>
      </c>
      <c r="R1041" s="2179">
        <v>0</v>
      </c>
      <c r="S1041" s="2179">
        <v>0</v>
      </c>
      <c r="T1041" s="2179">
        <v>0</v>
      </c>
      <c r="U1041" s="2180">
        <v>-20</v>
      </c>
    </row>
    <row r="1042" spans="1:21" s="1045" customFormat="1" hidden="1" outlineLevel="2">
      <c r="A1042"/>
      <c r="B1042" s="2059">
        <v>12</v>
      </c>
      <c r="C1042" s="1050" t="str">
        <f t="shared" si="118"/>
        <v>Salon de jardin - métal, France Continentale , Base Carbone</v>
      </c>
      <c r="D1042" s="1051">
        <f t="shared" si="119"/>
        <v>3</v>
      </c>
      <c r="E1042" s="1051" t="str">
        <f>IF(COUNTIF(E$1030:E1041,F1042)&gt;0,"",F1042)</f>
        <v/>
      </c>
      <c r="F1042" s="1051" t="str">
        <f t="shared" si="120"/>
        <v>Canapé convertible , France Continentale , Base Carbone</v>
      </c>
      <c r="G1042" s="1051" t="str">
        <f t="shared" si="121"/>
        <v>Canapé convertible , France Continentale , Base Carbone; kgCO2e/unité, Approvisionnement</v>
      </c>
      <c r="H1042"/>
      <c r="I1042" s="2018" t="s">
        <v>3230</v>
      </c>
      <c r="J1042" s="1135" t="s">
        <v>1994</v>
      </c>
      <c r="K1042" s="1135" t="s">
        <v>1567</v>
      </c>
      <c r="L1042" s="1135" t="s">
        <v>3228</v>
      </c>
      <c r="M1042" s="2062">
        <v>0.15</v>
      </c>
      <c r="N1042" s="1135" t="s">
        <v>3136</v>
      </c>
      <c r="O1042" s="1135">
        <v>16.3</v>
      </c>
      <c r="P1042" s="2179">
        <v>16.3</v>
      </c>
      <c r="Q1042" s="2179">
        <v>0</v>
      </c>
      <c r="R1042" s="2179">
        <v>0</v>
      </c>
      <c r="S1042" s="2179">
        <v>0</v>
      </c>
      <c r="T1042" s="2179">
        <v>0</v>
      </c>
      <c r="U1042" s="2180">
        <v>0</v>
      </c>
    </row>
    <row r="1043" spans="1:21" s="1045" customFormat="1" hidden="1" outlineLevel="2">
      <c r="A1043"/>
      <c r="B1043" s="2059">
        <v>13</v>
      </c>
      <c r="C1043" s="1050" t="str">
        <f t="shared" si="118"/>
        <v>Salon de jardin résine tressée, France Continentale , Base Carbone</v>
      </c>
      <c r="D1043" s="1051">
        <f t="shared" si="119"/>
        <v>3</v>
      </c>
      <c r="E1043" s="1051" t="str">
        <f>IF(COUNTIF(E$1030:E1042,F1043)&gt;0,"",F1043)</f>
        <v/>
      </c>
      <c r="F1043" s="1051" t="str">
        <f t="shared" si="120"/>
        <v>Canapé convertible , France Continentale , Base Carbone</v>
      </c>
      <c r="G1043" s="1051" t="str">
        <f t="shared" si="121"/>
        <v>Canapé convertible , France Continentale , Base Carbone; kgCO2e/unité, Mise en forme</v>
      </c>
      <c r="H1043"/>
      <c r="I1043" s="2018" t="s">
        <v>3230</v>
      </c>
      <c r="J1043" s="1135" t="s">
        <v>1994</v>
      </c>
      <c r="K1043" s="1135" t="s">
        <v>1567</v>
      </c>
      <c r="L1043" s="1135" t="s">
        <v>3228</v>
      </c>
      <c r="M1043" s="2062">
        <v>0.15</v>
      </c>
      <c r="N1043" s="1135" t="s">
        <v>3141</v>
      </c>
      <c r="O1043" s="1135">
        <v>11.2</v>
      </c>
      <c r="P1043" s="2179">
        <v>11.2</v>
      </c>
      <c r="Q1043" s="2179">
        <v>0</v>
      </c>
      <c r="R1043" s="2179">
        <v>0</v>
      </c>
      <c r="S1043" s="2179">
        <v>0</v>
      </c>
      <c r="T1043" s="2179">
        <v>0</v>
      </c>
      <c r="U1043" s="2180">
        <v>0</v>
      </c>
    </row>
    <row r="1044" spans="1:21" s="1045" customFormat="1" hidden="1" outlineLevel="2">
      <c r="A1044"/>
      <c r="B1044" s="2059">
        <v>14</v>
      </c>
      <c r="C1044" s="1050" t="str">
        <f t="shared" si="118"/>
        <v>Sommier à lattes fixes , France Continentale , Base Carbone</v>
      </c>
      <c r="D1044" s="1051">
        <f t="shared" si="119"/>
        <v>3</v>
      </c>
      <c r="E1044" s="1051" t="str">
        <f>IF(COUNTIF(E$1030:E1043,F1044)&gt;0,"",F1044)</f>
        <v/>
      </c>
      <c r="F1044" s="1051" t="str">
        <f t="shared" si="120"/>
        <v>Canapé convertible , France Continentale , Base Carbone</v>
      </c>
      <c r="G1044" s="1051" t="str">
        <f t="shared" si="121"/>
        <v>Canapé convertible , France Continentale , Base Carbone; kgCO2e/unité, Assemblage</v>
      </c>
      <c r="H1044"/>
      <c r="I1044" s="2018" t="s">
        <v>3230</v>
      </c>
      <c r="J1044" s="1135" t="s">
        <v>1994</v>
      </c>
      <c r="K1044" s="1135" t="s">
        <v>1567</v>
      </c>
      <c r="L1044" s="1135" t="s">
        <v>3228</v>
      </c>
      <c r="M1044" s="2062">
        <v>0.15</v>
      </c>
      <c r="N1044" s="1135" t="s">
        <v>3137</v>
      </c>
      <c r="O1044" s="1135">
        <v>22.3</v>
      </c>
      <c r="P1044" s="2179">
        <v>22.3</v>
      </c>
      <c r="Q1044" s="2179">
        <v>0</v>
      </c>
      <c r="R1044" s="2179">
        <v>0</v>
      </c>
      <c r="S1044" s="2179">
        <v>0</v>
      </c>
      <c r="T1044" s="2179">
        <v>0</v>
      </c>
      <c r="U1044" s="2180">
        <v>0</v>
      </c>
    </row>
    <row r="1045" spans="1:21" s="1045" customFormat="1" hidden="1" outlineLevel="2">
      <c r="A1045"/>
      <c r="B1045" s="2059">
        <v>15</v>
      </c>
      <c r="C1045" s="1050" t="str">
        <f t="shared" si="118"/>
        <v>Sommier tapissier, France Continentale , Base Carbone</v>
      </c>
      <c r="D1045" s="1051">
        <f t="shared" si="119"/>
        <v>3</v>
      </c>
      <c r="E1045" s="1051" t="str">
        <f>IF(COUNTIF(E$1030:E1044,F1045)&gt;0,"",F1045)</f>
        <v/>
      </c>
      <c r="F1045" s="1051" t="str">
        <f t="shared" si="120"/>
        <v>Canapé convertible , France Continentale , Base Carbone</v>
      </c>
      <c r="G1045" s="1051" t="str">
        <f t="shared" si="121"/>
        <v>Canapé convertible , France Continentale , Base Carbone; kgCO2e/unité, Distribution</v>
      </c>
      <c r="H1045"/>
      <c r="I1045" s="2018" t="s">
        <v>3230</v>
      </c>
      <c r="J1045" s="1135" t="s">
        <v>1994</v>
      </c>
      <c r="K1045" s="1135" t="s">
        <v>1567</v>
      </c>
      <c r="L1045" s="1135" t="s">
        <v>3228</v>
      </c>
      <c r="M1045" s="2062">
        <v>0.15</v>
      </c>
      <c r="N1045" s="1135" t="s">
        <v>3138</v>
      </c>
      <c r="O1045" s="1135">
        <v>28.7</v>
      </c>
      <c r="P1045" s="2179">
        <v>28.7</v>
      </c>
      <c r="Q1045" s="2179">
        <v>0</v>
      </c>
      <c r="R1045" s="2179">
        <v>0</v>
      </c>
      <c r="S1045" s="2179">
        <v>0</v>
      </c>
      <c r="T1045" s="2179">
        <v>0</v>
      </c>
      <c r="U1045" s="2180">
        <v>0</v>
      </c>
    </row>
    <row r="1046" spans="1:21" s="1045" customFormat="1" hidden="1" outlineLevel="2">
      <c r="A1046"/>
      <c r="B1046" s="2059">
        <v>16</v>
      </c>
      <c r="C1046" s="1050" t="str">
        <f t="shared" si="118"/>
        <v>Table - bois massif, France Continentale , Base Carbone</v>
      </c>
      <c r="D1046" s="1051">
        <f t="shared" si="119"/>
        <v>4</v>
      </c>
      <c r="E1046" s="1051" t="str">
        <f>IF(COUNTIF(E$1030:E1045,F1046)&gt;0,"",F1046)</f>
        <v>Canapé cuir, France Continentale , Base Carbone</v>
      </c>
      <c r="F1046" s="1051" t="str">
        <f t="shared" si="120"/>
        <v>Canapé cuir, France Continentale , Base Carbone</v>
      </c>
      <c r="G1046" s="1051" t="str">
        <f t="shared" si="121"/>
        <v>Canapé cuir, France Continentale , Base Carbone; kgCO2e/unité, Matières premières</v>
      </c>
      <c r="H1046"/>
      <c r="I1046" s="2018" t="s">
        <v>3231</v>
      </c>
      <c r="J1046" s="1135" t="s">
        <v>1994</v>
      </c>
      <c r="K1046" s="1135" t="s">
        <v>1567</v>
      </c>
      <c r="L1046" s="1135" t="s">
        <v>3228</v>
      </c>
      <c r="M1046" s="2062">
        <v>0.15</v>
      </c>
      <c r="N1046" s="1135" t="s">
        <v>3135</v>
      </c>
      <c r="O1046" s="1135">
        <v>83.7</v>
      </c>
      <c r="P1046" s="2179">
        <v>83.7</v>
      </c>
      <c r="Q1046" s="2179">
        <v>0</v>
      </c>
      <c r="R1046" s="2179">
        <v>0</v>
      </c>
      <c r="S1046" s="2179">
        <v>0</v>
      </c>
      <c r="T1046" s="2179">
        <v>0</v>
      </c>
      <c r="U1046" s="2180">
        <v>-28</v>
      </c>
    </row>
    <row r="1047" spans="1:21" s="1045" customFormat="1" hidden="1" outlineLevel="2">
      <c r="A1047"/>
      <c r="B1047" s="2059">
        <v>17</v>
      </c>
      <c r="C1047" s="1050" t="str">
        <f t="shared" si="118"/>
        <v>Table représentative, France Continentale , Base Carbone</v>
      </c>
      <c r="D1047" s="1051">
        <f t="shared" si="119"/>
        <v>4</v>
      </c>
      <c r="E1047" s="1051" t="str">
        <f>IF(COUNTIF(E$1030:E1046,F1047)&gt;0,"",F1047)</f>
        <v/>
      </c>
      <c r="F1047" s="1051" t="str">
        <f t="shared" si="120"/>
        <v>Canapé cuir, France Continentale , Base Carbone</v>
      </c>
      <c r="G1047" s="1051" t="str">
        <f t="shared" si="121"/>
        <v>Canapé cuir, France Continentale , Base Carbone; kgCO2e/unité, Approvisionnement</v>
      </c>
      <c r="H1047"/>
      <c r="I1047" s="2018" t="s">
        <v>3231</v>
      </c>
      <c r="J1047" s="1135" t="s">
        <v>1994</v>
      </c>
      <c r="K1047" s="1135" t="s">
        <v>1567</v>
      </c>
      <c r="L1047" s="1135" t="s">
        <v>3228</v>
      </c>
      <c r="M1047" s="2062">
        <v>0.15</v>
      </c>
      <c r="N1047" s="1135" t="s">
        <v>3136</v>
      </c>
      <c r="O1047" s="1135">
        <v>23.5</v>
      </c>
      <c r="P1047" s="2179">
        <v>23.5</v>
      </c>
      <c r="Q1047" s="2179">
        <v>0</v>
      </c>
      <c r="R1047" s="2179">
        <v>0</v>
      </c>
      <c r="S1047" s="2179">
        <v>0</v>
      </c>
      <c r="T1047" s="2179">
        <v>0</v>
      </c>
      <c r="U1047" s="2180">
        <v>0</v>
      </c>
    </row>
    <row r="1048" spans="1:21" s="1045" customFormat="1" hidden="1" outlineLevel="2">
      <c r="A1048"/>
      <c r="B1048" s="2059">
        <v>18</v>
      </c>
      <c r="C1048" s="1050" t="str">
        <f t="shared" si="118"/>
        <v>-</v>
      </c>
      <c r="D1048" s="1051">
        <f t="shared" si="119"/>
        <v>4</v>
      </c>
      <c r="E1048" s="1051" t="str">
        <f>IF(COUNTIF(E$1030:E1047,F1048)&gt;0,"",F1048)</f>
        <v/>
      </c>
      <c r="F1048" s="1051" t="str">
        <f t="shared" si="120"/>
        <v>Canapé cuir, France Continentale , Base Carbone</v>
      </c>
      <c r="G1048" s="1051" t="str">
        <f t="shared" si="121"/>
        <v>Canapé cuir, France Continentale , Base Carbone; kgCO2e/unité, Mise en forme</v>
      </c>
      <c r="H1048"/>
      <c r="I1048" s="2018" t="s">
        <v>3231</v>
      </c>
      <c r="J1048" s="1135" t="s">
        <v>1994</v>
      </c>
      <c r="K1048" s="1135" t="s">
        <v>1567</v>
      </c>
      <c r="L1048" s="1135" t="s">
        <v>3228</v>
      </c>
      <c r="M1048" s="2062">
        <v>0.15</v>
      </c>
      <c r="N1048" s="1135" t="s">
        <v>3141</v>
      </c>
      <c r="O1048" s="1135">
        <v>4.3499999999999996</v>
      </c>
      <c r="P1048" s="2179">
        <v>4.3499999999999996</v>
      </c>
      <c r="Q1048" s="2179">
        <v>0</v>
      </c>
      <c r="R1048" s="2179">
        <v>0</v>
      </c>
      <c r="S1048" s="2179">
        <v>0</v>
      </c>
      <c r="T1048" s="2179">
        <v>0</v>
      </c>
      <c r="U1048" s="2180">
        <v>0</v>
      </c>
    </row>
    <row r="1049" spans="1:21" s="1045" customFormat="1" hidden="1" outlineLevel="2">
      <c r="A1049"/>
      <c r="B1049" s="2059">
        <v>19</v>
      </c>
      <c r="C1049" s="1050" t="str">
        <f t="shared" si="118"/>
        <v>-</v>
      </c>
      <c r="D1049" s="1051">
        <f t="shared" si="119"/>
        <v>4</v>
      </c>
      <c r="E1049" s="1051" t="str">
        <f>IF(COUNTIF(E$1030:E1048,F1049)&gt;0,"",F1049)</f>
        <v/>
      </c>
      <c r="F1049" s="1051" t="str">
        <f t="shared" si="120"/>
        <v>Canapé cuir, France Continentale , Base Carbone</v>
      </c>
      <c r="G1049" s="1051" t="str">
        <f t="shared" si="121"/>
        <v>Canapé cuir, France Continentale , Base Carbone; kgCO2e/unité, Assemblage</v>
      </c>
      <c r="H1049"/>
      <c r="I1049" s="2018" t="s">
        <v>3231</v>
      </c>
      <c r="J1049" s="1135" t="s">
        <v>1994</v>
      </c>
      <c r="K1049" s="1135" t="s">
        <v>1567</v>
      </c>
      <c r="L1049" s="1135" t="s">
        <v>3228</v>
      </c>
      <c r="M1049" s="2062">
        <v>0.15</v>
      </c>
      <c r="N1049" s="1135" t="s">
        <v>3137</v>
      </c>
      <c r="O1049" s="1135">
        <v>12.9</v>
      </c>
      <c r="P1049" s="2179">
        <v>12.9</v>
      </c>
      <c r="Q1049" s="2179">
        <v>0</v>
      </c>
      <c r="R1049" s="2179">
        <v>0</v>
      </c>
      <c r="S1049" s="2179">
        <v>0</v>
      </c>
      <c r="T1049" s="2179">
        <v>0</v>
      </c>
      <c r="U1049" s="2180">
        <v>0</v>
      </c>
    </row>
    <row r="1050" spans="1:21" s="1045" customFormat="1" hidden="1" outlineLevel="2">
      <c r="A1050"/>
      <c r="B1050" s="2059">
        <v>20</v>
      </c>
      <c r="C1050" s="1050" t="str">
        <f t="shared" si="118"/>
        <v>-</v>
      </c>
      <c r="D1050" s="1051">
        <f t="shared" si="119"/>
        <v>4</v>
      </c>
      <c r="E1050" s="1051" t="str">
        <f>IF(COUNTIF(E$1030:E1049,F1050)&gt;0,"",F1050)</f>
        <v/>
      </c>
      <c r="F1050" s="1051" t="str">
        <f t="shared" si="120"/>
        <v>Canapé cuir, France Continentale , Base Carbone</v>
      </c>
      <c r="G1050" s="1051" t="str">
        <f t="shared" si="121"/>
        <v>Canapé cuir, France Continentale , Base Carbone; kgCO2e/unité, Distribution</v>
      </c>
      <c r="H1050"/>
      <c r="I1050" s="2018" t="s">
        <v>3231</v>
      </c>
      <c r="J1050" s="1135" t="s">
        <v>1994</v>
      </c>
      <c r="K1050" s="1135" t="s">
        <v>1567</v>
      </c>
      <c r="L1050" s="1135" t="s">
        <v>3228</v>
      </c>
      <c r="M1050" s="2062">
        <v>0.15</v>
      </c>
      <c r="N1050" s="1135" t="s">
        <v>3138</v>
      </c>
      <c r="O1050" s="1135">
        <v>58</v>
      </c>
      <c r="P1050" s="2179">
        <v>58</v>
      </c>
      <c r="Q1050" s="2179">
        <v>0</v>
      </c>
      <c r="R1050" s="2179">
        <v>0</v>
      </c>
      <c r="S1050" s="2179">
        <v>0</v>
      </c>
      <c r="T1050" s="2179">
        <v>0</v>
      </c>
      <c r="U1050" s="2180">
        <v>0</v>
      </c>
    </row>
    <row r="1051" spans="1:21" s="1045" customFormat="1" hidden="1" outlineLevel="2">
      <c r="A1051"/>
      <c r="B1051" s="2059">
        <v>21</v>
      </c>
      <c r="C1051" s="1050" t="str">
        <f t="shared" si="118"/>
        <v>-</v>
      </c>
      <c r="D1051" s="1051">
        <f t="shared" si="119"/>
        <v>5</v>
      </c>
      <c r="E1051" s="1051" t="str">
        <f>IF(COUNTIF(E$1030:E1050,F1051)&gt;0,"",F1051)</f>
        <v>Canapé textile, France Continentale , Base Carbone</v>
      </c>
      <c r="F1051" s="1051" t="str">
        <f t="shared" si="120"/>
        <v>Canapé textile, France Continentale , Base Carbone</v>
      </c>
      <c r="G1051" s="1051" t="str">
        <f t="shared" si="121"/>
        <v>Canapé textile, France Continentale , Base Carbone; kgCO2e/unité, Matières premières</v>
      </c>
      <c r="H1051"/>
      <c r="I1051" s="2018" t="s">
        <v>3232</v>
      </c>
      <c r="J1051" s="1135" t="s">
        <v>1994</v>
      </c>
      <c r="K1051" s="1135" t="s">
        <v>1567</v>
      </c>
      <c r="L1051" s="1135" t="s">
        <v>3228</v>
      </c>
      <c r="M1051" s="2062">
        <v>0.15</v>
      </c>
      <c r="N1051" s="1135" t="s">
        <v>3135</v>
      </c>
      <c r="O1051" s="1135">
        <v>99.5</v>
      </c>
      <c r="P1051" s="2179">
        <v>99.5</v>
      </c>
      <c r="Q1051" s="2179">
        <v>0</v>
      </c>
      <c r="R1051" s="2179">
        <v>0</v>
      </c>
      <c r="S1051" s="2179">
        <v>0</v>
      </c>
      <c r="T1051" s="2179">
        <v>0</v>
      </c>
      <c r="U1051" s="2180">
        <v>0</v>
      </c>
    </row>
    <row r="1052" spans="1:21" s="1045" customFormat="1" hidden="1" outlineLevel="2">
      <c r="A1052"/>
      <c r="B1052" s="2059">
        <v>22</v>
      </c>
      <c r="C1052" s="1050" t="str">
        <f t="shared" si="118"/>
        <v>-</v>
      </c>
      <c r="D1052" s="1051">
        <f t="shared" si="119"/>
        <v>5</v>
      </c>
      <c r="E1052" s="1051" t="str">
        <f>IF(COUNTIF(E$1030:E1051,F1052)&gt;0,"",F1052)</f>
        <v/>
      </c>
      <c r="F1052" s="1051" t="str">
        <f t="shared" si="120"/>
        <v>Canapé textile, France Continentale , Base Carbone</v>
      </c>
      <c r="G1052" s="1051" t="str">
        <f t="shared" si="121"/>
        <v>Canapé textile, France Continentale , Base Carbone; kgCO2e/unité, Approvisionnement</v>
      </c>
      <c r="H1052"/>
      <c r="I1052" s="2018" t="s">
        <v>3232</v>
      </c>
      <c r="J1052" s="1135" t="s">
        <v>1994</v>
      </c>
      <c r="K1052" s="1135" t="s">
        <v>1567</v>
      </c>
      <c r="L1052" s="1135" t="s">
        <v>3228</v>
      </c>
      <c r="M1052" s="2062">
        <v>0.15</v>
      </c>
      <c r="N1052" s="1135" t="s">
        <v>3136</v>
      </c>
      <c r="O1052" s="1135">
        <v>16.7</v>
      </c>
      <c r="P1052" s="2179">
        <v>16.7</v>
      </c>
      <c r="Q1052" s="2179">
        <v>0</v>
      </c>
      <c r="R1052" s="2179">
        <v>0</v>
      </c>
      <c r="S1052" s="2179">
        <v>0</v>
      </c>
      <c r="T1052" s="2179">
        <v>0</v>
      </c>
      <c r="U1052" s="2180">
        <v>-38.700000000000003</v>
      </c>
    </row>
    <row r="1053" spans="1:21" s="1045" customFormat="1" hidden="1" outlineLevel="2">
      <c r="A1053"/>
      <c r="B1053" s="1135"/>
      <c r="D1053" s="1051">
        <f t="shared" si="119"/>
        <v>5</v>
      </c>
      <c r="E1053" s="1051" t="str">
        <f>IF(COUNTIF(E$1030:E1052,F1053)&gt;0,"",F1053)</f>
        <v/>
      </c>
      <c r="F1053" s="1051" t="str">
        <f t="shared" si="120"/>
        <v>Canapé textile, France Continentale , Base Carbone</v>
      </c>
      <c r="G1053" s="1051" t="str">
        <f t="shared" si="121"/>
        <v>Canapé textile, France Continentale , Base Carbone; kgCO2e/unité, Mise en forme</v>
      </c>
      <c r="H1053"/>
      <c r="I1053" s="2018" t="s">
        <v>3232</v>
      </c>
      <c r="J1053" s="1135" t="s">
        <v>1994</v>
      </c>
      <c r="K1053" s="1135" t="s">
        <v>1567</v>
      </c>
      <c r="L1053" s="1135" t="s">
        <v>3228</v>
      </c>
      <c r="M1053" s="2062">
        <v>0.15</v>
      </c>
      <c r="N1053" s="1135" t="s">
        <v>3141</v>
      </c>
      <c r="O1053" s="1135">
        <v>13.5</v>
      </c>
      <c r="P1053" s="2179">
        <v>13.5</v>
      </c>
      <c r="Q1053" s="2179">
        <v>0</v>
      </c>
      <c r="R1053" s="2179">
        <v>0</v>
      </c>
      <c r="S1053" s="2179">
        <v>0</v>
      </c>
      <c r="T1053" s="2179">
        <v>0</v>
      </c>
      <c r="U1053" s="2180">
        <v>0</v>
      </c>
    </row>
    <row r="1054" spans="1:21" s="1045" customFormat="1" hidden="1" outlineLevel="2">
      <c r="A1054"/>
      <c r="B1054" s="1135"/>
      <c r="D1054" s="1051">
        <f t="shared" si="119"/>
        <v>5</v>
      </c>
      <c r="E1054" s="1051" t="str">
        <f>IF(COUNTIF(E$1030:E1053,F1054)&gt;0,"",F1054)</f>
        <v/>
      </c>
      <c r="F1054" s="1051" t="str">
        <f t="shared" si="120"/>
        <v>Canapé textile, France Continentale , Base Carbone</v>
      </c>
      <c r="G1054" s="1051" t="str">
        <f t="shared" si="121"/>
        <v>Canapé textile, France Continentale , Base Carbone; kgCO2e/unité, Assemblage</v>
      </c>
      <c r="H1054"/>
      <c r="I1054" s="2018" t="s">
        <v>3232</v>
      </c>
      <c r="J1054" s="1135" t="s">
        <v>1994</v>
      </c>
      <c r="K1054" s="1135" t="s">
        <v>1567</v>
      </c>
      <c r="L1054" s="1135" t="s">
        <v>3228</v>
      </c>
      <c r="M1054" s="2062">
        <v>0.15</v>
      </c>
      <c r="N1054" s="1135" t="s">
        <v>3137</v>
      </c>
      <c r="O1054" s="1135">
        <v>13.1</v>
      </c>
      <c r="P1054" s="2179">
        <v>13.1</v>
      </c>
      <c r="Q1054" s="2179">
        <v>0</v>
      </c>
      <c r="R1054" s="2179">
        <v>0</v>
      </c>
      <c r="S1054" s="2179">
        <v>0</v>
      </c>
      <c r="T1054" s="2179">
        <v>0</v>
      </c>
      <c r="U1054" s="2180">
        <v>0</v>
      </c>
    </row>
    <row r="1055" spans="1:21" s="1045" customFormat="1" hidden="1" outlineLevel="2">
      <c r="A1055"/>
      <c r="B1055" s="1135"/>
      <c r="D1055" s="1051">
        <f t="shared" si="119"/>
        <v>5</v>
      </c>
      <c r="E1055" s="1051" t="str">
        <f>IF(COUNTIF(E$1030:E1054,F1055)&gt;0,"",F1055)</f>
        <v/>
      </c>
      <c r="F1055" s="1051" t="str">
        <f t="shared" si="120"/>
        <v>Canapé textile, France Continentale , Base Carbone</v>
      </c>
      <c r="G1055" s="1051" t="str">
        <f t="shared" si="121"/>
        <v>Canapé textile, France Continentale , Base Carbone; kgCO2e/unité, Distribution</v>
      </c>
      <c r="H1055"/>
      <c r="I1055" s="2018" t="s">
        <v>3232</v>
      </c>
      <c r="J1055" s="1135" t="s">
        <v>1994</v>
      </c>
      <c r="K1055" s="1135" t="s">
        <v>1567</v>
      </c>
      <c r="L1055" s="1135" t="s">
        <v>3228</v>
      </c>
      <c r="M1055" s="2062">
        <v>0.15</v>
      </c>
      <c r="N1055" s="1135" t="s">
        <v>3138</v>
      </c>
      <c r="O1055" s="1135">
        <v>36.299999999999997</v>
      </c>
      <c r="P1055" s="2179">
        <v>36.299999999999997</v>
      </c>
      <c r="Q1055" s="2179">
        <v>0</v>
      </c>
      <c r="R1055" s="2179">
        <v>0</v>
      </c>
      <c r="S1055" s="2179">
        <v>0</v>
      </c>
      <c r="T1055" s="2179">
        <v>0</v>
      </c>
      <c r="U1055" s="2180">
        <v>0</v>
      </c>
    </row>
    <row r="1056" spans="1:21" s="1045" customFormat="1" hidden="1" outlineLevel="2">
      <c r="A1056"/>
      <c r="B1056" s="1135"/>
      <c r="D1056" s="1051">
        <f t="shared" si="119"/>
        <v>6</v>
      </c>
      <c r="E1056" s="1051" t="str">
        <f>IF(COUNTIF(E$1030:E1055,F1056)&gt;0,"",F1056)</f>
        <v>Chaise bois, France Continentale , Base Carbone</v>
      </c>
      <c r="F1056" s="1051" t="str">
        <f t="shared" si="120"/>
        <v>Chaise bois, France Continentale , Base Carbone</v>
      </c>
      <c r="G1056" s="1051" t="str">
        <f t="shared" si="121"/>
        <v>Chaise bois, France Continentale , Base Carbone; kgCO2e/unité, Matières premières</v>
      </c>
      <c r="H1056"/>
      <c r="I1056" s="2018" t="s">
        <v>3233</v>
      </c>
      <c r="J1056" s="1135" t="s">
        <v>1994</v>
      </c>
      <c r="K1056" s="1135" t="s">
        <v>1567</v>
      </c>
      <c r="L1056" s="1135" t="s">
        <v>3228</v>
      </c>
      <c r="M1056" s="2062">
        <v>0.1</v>
      </c>
      <c r="N1056" s="1135" t="s">
        <v>3135</v>
      </c>
      <c r="O1056" s="1135">
        <v>4.92</v>
      </c>
      <c r="P1056" s="2179">
        <v>4.92</v>
      </c>
      <c r="Q1056" s="2179">
        <v>0</v>
      </c>
      <c r="R1056" s="2179">
        <v>0</v>
      </c>
      <c r="S1056" s="2179">
        <v>0</v>
      </c>
      <c r="T1056" s="2179">
        <v>0</v>
      </c>
      <c r="U1056" s="2180">
        <v>-6.76</v>
      </c>
    </row>
    <row r="1057" spans="1:21" s="1045" customFormat="1" hidden="1" outlineLevel="2">
      <c r="A1057"/>
      <c r="B1057" s="1135"/>
      <c r="D1057" s="1051">
        <f t="shared" si="119"/>
        <v>6</v>
      </c>
      <c r="E1057" s="1051" t="str">
        <f>IF(COUNTIF(E$1030:E1056,F1057)&gt;0,"",F1057)</f>
        <v/>
      </c>
      <c r="F1057" s="1051" t="str">
        <f t="shared" si="120"/>
        <v>Chaise bois, France Continentale , Base Carbone</v>
      </c>
      <c r="G1057" s="1051" t="str">
        <f t="shared" si="121"/>
        <v>Chaise bois, France Continentale , Base Carbone; kgCO2e/unité, Approvisionnement</v>
      </c>
      <c r="H1057"/>
      <c r="I1057" s="2018" t="s">
        <v>3233</v>
      </c>
      <c r="J1057" s="1135" t="s">
        <v>1994</v>
      </c>
      <c r="K1057" s="1135" t="s">
        <v>1567</v>
      </c>
      <c r="L1057" s="1135" t="s">
        <v>3228</v>
      </c>
      <c r="M1057" s="2062">
        <v>0.1</v>
      </c>
      <c r="N1057" s="1135" t="s">
        <v>3136</v>
      </c>
      <c r="O1057" s="1135">
        <v>1.78</v>
      </c>
      <c r="P1057" s="2179">
        <v>1.78</v>
      </c>
      <c r="Q1057" s="2179">
        <v>0</v>
      </c>
      <c r="R1057" s="2179">
        <v>0</v>
      </c>
      <c r="S1057" s="2179">
        <v>0</v>
      </c>
      <c r="T1057" s="2179">
        <v>0</v>
      </c>
      <c r="U1057" s="2180">
        <v>0</v>
      </c>
    </row>
    <row r="1058" spans="1:21" s="1045" customFormat="1" hidden="1" outlineLevel="2">
      <c r="A1058"/>
      <c r="B1058" s="1135"/>
      <c r="D1058" s="1051">
        <f t="shared" si="119"/>
        <v>6</v>
      </c>
      <c r="E1058" s="1051" t="str">
        <f>IF(COUNTIF(E$1030:E1057,F1058)&gt;0,"",F1058)</f>
        <v/>
      </c>
      <c r="F1058" s="1051" t="str">
        <f t="shared" si="120"/>
        <v>Chaise bois, France Continentale , Base Carbone</v>
      </c>
      <c r="G1058" s="1051" t="str">
        <f t="shared" si="121"/>
        <v>Chaise bois, France Continentale , Base Carbone; kgCO2e/unité, Mise en forme</v>
      </c>
      <c r="H1058"/>
      <c r="I1058" s="2018" t="s">
        <v>3233</v>
      </c>
      <c r="J1058" s="1135" t="s">
        <v>1994</v>
      </c>
      <c r="K1058" s="1135" t="s">
        <v>1567</v>
      </c>
      <c r="L1058" s="1135" t="s">
        <v>3228</v>
      </c>
      <c r="M1058" s="2062">
        <v>0.1</v>
      </c>
      <c r="N1058" s="1135" t="s">
        <v>3141</v>
      </c>
      <c r="O1058" s="1135">
        <v>0.05</v>
      </c>
      <c r="P1058" s="2179">
        <v>0.05</v>
      </c>
      <c r="Q1058" s="2179">
        <v>0</v>
      </c>
      <c r="R1058" s="2179">
        <v>0</v>
      </c>
      <c r="S1058" s="2179">
        <v>0</v>
      </c>
      <c r="T1058" s="2179">
        <v>0</v>
      </c>
      <c r="U1058" s="2180">
        <v>0</v>
      </c>
    </row>
    <row r="1059" spans="1:21" s="1045" customFormat="1" hidden="1" outlineLevel="2">
      <c r="A1059"/>
      <c r="B1059" s="1135"/>
      <c r="D1059" s="1051">
        <f t="shared" si="119"/>
        <v>6</v>
      </c>
      <c r="E1059" s="1051" t="str">
        <f>IF(COUNTIF(E$1030:E1058,F1059)&gt;0,"",F1059)</f>
        <v/>
      </c>
      <c r="F1059" s="1051" t="str">
        <f t="shared" si="120"/>
        <v>Chaise bois, France Continentale , Base Carbone</v>
      </c>
      <c r="G1059" s="1051" t="str">
        <f t="shared" si="121"/>
        <v>Chaise bois, France Continentale , Base Carbone; kgCO2e/unité, Assemblage</v>
      </c>
      <c r="H1059"/>
      <c r="I1059" s="2018" t="s">
        <v>3233</v>
      </c>
      <c r="J1059" s="1135" t="s">
        <v>1994</v>
      </c>
      <c r="K1059" s="1135" t="s">
        <v>1567</v>
      </c>
      <c r="L1059" s="1135" t="s">
        <v>3228</v>
      </c>
      <c r="M1059" s="2062">
        <v>0.1</v>
      </c>
      <c r="N1059" s="1135" t="s">
        <v>3137</v>
      </c>
      <c r="O1059" s="1135">
        <v>5</v>
      </c>
      <c r="P1059" s="2179">
        <v>5</v>
      </c>
      <c r="Q1059" s="2179">
        <v>0</v>
      </c>
      <c r="R1059" s="2179">
        <v>0</v>
      </c>
      <c r="S1059" s="2179">
        <v>0</v>
      </c>
      <c r="T1059" s="2179">
        <v>0</v>
      </c>
      <c r="U1059" s="2180">
        <v>0</v>
      </c>
    </row>
    <row r="1060" spans="1:21" s="1045" customFormat="1" hidden="1" outlineLevel="2">
      <c r="A1060"/>
      <c r="B1060" s="1135"/>
      <c r="D1060" s="1051">
        <f t="shared" si="119"/>
        <v>6</v>
      </c>
      <c r="E1060" s="1051" t="str">
        <f>IF(COUNTIF(E$1030:E1059,F1060)&gt;0,"",F1060)</f>
        <v/>
      </c>
      <c r="F1060" s="1051" t="str">
        <f t="shared" si="120"/>
        <v>Chaise bois, France Continentale , Base Carbone</v>
      </c>
      <c r="G1060" s="1051" t="str">
        <f t="shared" si="121"/>
        <v>Chaise bois, France Continentale , Base Carbone; kgCO2e/unité, Distribution</v>
      </c>
      <c r="H1060"/>
      <c r="I1060" s="2018" t="s">
        <v>3233</v>
      </c>
      <c r="J1060" s="1135" t="s">
        <v>1994</v>
      </c>
      <c r="K1060" s="1135" t="s">
        <v>1567</v>
      </c>
      <c r="L1060" s="1135" t="s">
        <v>3228</v>
      </c>
      <c r="M1060" s="2062">
        <v>0.1</v>
      </c>
      <c r="N1060" s="1135" t="s">
        <v>3138</v>
      </c>
      <c r="O1060" s="1135">
        <v>6.88</v>
      </c>
      <c r="P1060" s="2179">
        <v>6.88</v>
      </c>
      <c r="Q1060" s="2179">
        <v>0</v>
      </c>
      <c r="R1060" s="2179">
        <v>0</v>
      </c>
      <c r="S1060" s="2179">
        <v>0</v>
      </c>
      <c r="T1060" s="2179">
        <v>0</v>
      </c>
      <c r="U1060" s="2180">
        <v>-8.93</v>
      </c>
    </row>
    <row r="1061" spans="1:21" s="1045" customFormat="1" hidden="1" outlineLevel="2">
      <c r="A1061"/>
      <c r="B1061" s="1135"/>
      <c r="D1061" s="1051">
        <f t="shared" si="119"/>
        <v>7</v>
      </c>
      <c r="E1061" s="1051" t="str">
        <f>IF(COUNTIF(E$1030:E1060,F1061)&gt;0,"",F1061)</f>
        <v>Chaise bois textile , France Continentale , Base Carbone</v>
      </c>
      <c r="F1061" s="1051" t="str">
        <f t="shared" si="120"/>
        <v>Chaise bois textile , France Continentale , Base Carbone</v>
      </c>
      <c r="G1061" s="1051" t="str">
        <f t="shared" si="121"/>
        <v>Chaise bois textile , France Continentale , Base Carbone; kgCO2e/unité, Matières premières</v>
      </c>
      <c r="H1061"/>
      <c r="I1061" s="2018" t="s">
        <v>3234</v>
      </c>
      <c r="J1061" s="1135" t="s">
        <v>1994</v>
      </c>
      <c r="K1061" s="1135" t="s">
        <v>1567</v>
      </c>
      <c r="L1061" s="1135" t="s">
        <v>3228</v>
      </c>
      <c r="M1061" s="2062">
        <v>0.1</v>
      </c>
      <c r="N1061" s="1135" t="s">
        <v>3135</v>
      </c>
      <c r="O1061" s="1135">
        <v>9.48</v>
      </c>
      <c r="P1061" s="2179">
        <v>9.48</v>
      </c>
      <c r="Q1061" s="2179">
        <v>0</v>
      </c>
      <c r="R1061" s="2179">
        <v>0</v>
      </c>
      <c r="S1061" s="2179">
        <v>0</v>
      </c>
      <c r="T1061" s="2179">
        <v>0</v>
      </c>
      <c r="U1061" s="2180">
        <v>0</v>
      </c>
    </row>
    <row r="1062" spans="1:21" s="1045" customFormat="1" hidden="1" outlineLevel="2">
      <c r="A1062"/>
      <c r="B1062" s="1135"/>
      <c r="D1062" s="1051">
        <f t="shared" si="119"/>
        <v>7</v>
      </c>
      <c r="E1062" s="1051" t="str">
        <f>IF(COUNTIF(E$1030:E1061,F1062)&gt;0,"",F1062)</f>
        <v/>
      </c>
      <c r="F1062" s="1051" t="str">
        <f t="shared" si="120"/>
        <v>Chaise bois textile , France Continentale , Base Carbone</v>
      </c>
      <c r="G1062" s="1051" t="str">
        <f t="shared" si="121"/>
        <v>Chaise bois textile , France Continentale , Base Carbone; kgCO2e/unité, Approvisionnement</v>
      </c>
      <c r="H1062"/>
      <c r="I1062" s="2018" t="s">
        <v>3234</v>
      </c>
      <c r="J1062" s="1135" t="s">
        <v>1994</v>
      </c>
      <c r="K1062" s="1135" t="s">
        <v>1567</v>
      </c>
      <c r="L1062" s="1135" t="s">
        <v>3228</v>
      </c>
      <c r="M1062" s="2062">
        <v>0.1</v>
      </c>
      <c r="N1062" s="1135" t="s">
        <v>3136</v>
      </c>
      <c r="O1062" s="1135">
        <v>1.39</v>
      </c>
      <c r="P1062" s="2179">
        <v>1.39</v>
      </c>
      <c r="Q1062" s="2179">
        <v>0</v>
      </c>
      <c r="R1062" s="2179">
        <v>0</v>
      </c>
      <c r="S1062" s="2179">
        <v>0</v>
      </c>
      <c r="T1062" s="2179">
        <v>0</v>
      </c>
      <c r="U1062" s="2180">
        <v>0</v>
      </c>
    </row>
    <row r="1063" spans="1:21" s="1045" customFormat="1" hidden="1" outlineLevel="2">
      <c r="A1063"/>
      <c r="B1063" s="1135"/>
      <c r="D1063" s="1051">
        <f t="shared" si="119"/>
        <v>7</v>
      </c>
      <c r="E1063" s="1051" t="str">
        <f>IF(COUNTIF(E$1030:E1062,F1063)&gt;0,"",F1063)</f>
        <v/>
      </c>
      <c r="F1063" s="1051" t="str">
        <f t="shared" si="120"/>
        <v>Chaise bois textile , France Continentale , Base Carbone</v>
      </c>
      <c r="G1063" s="1051" t="str">
        <f t="shared" si="121"/>
        <v>Chaise bois textile , France Continentale , Base Carbone; kgCO2e/unité, Mise en forme</v>
      </c>
      <c r="H1063"/>
      <c r="I1063" s="2018" t="s">
        <v>3234</v>
      </c>
      <c r="J1063" s="1135" t="s">
        <v>1994</v>
      </c>
      <c r="K1063" s="1135" t="s">
        <v>1567</v>
      </c>
      <c r="L1063" s="1135" t="s">
        <v>3228</v>
      </c>
      <c r="M1063" s="2062">
        <v>0.1</v>
      </c>
      <c r="N1063" s="1135" t="s">
        <v>3141</v>
      </c>
      <c r="O1063" s="1135">
        <v>0.54</v>
      </c>
      <c r="P1063" s="2179">
        <v>0.54</v>
      </c>
      <c r="Q1063" s="2179">
        <v>0</v>
      </c>
      <c r="R1063" s="2179">
        <v>0</v>
      </c>
      <c r="S1063" s="2179">
        <v>0</v>
      </c>
      <c r="T1063" s="2179">
        <v>0</v>
      </c>
      <c r="U1063" s="2180">
        <v>0</v>
      </c>
    </row>
    <row r="1064" spans="1:21" s="1045" customFormat="1" hidden="1" outlineLevel="2">
      <c r="A1064"/>
      <c r="B1064" s="1135"/>
      <c r="D1064" s="1051">
        <f t="shared" si="119"/>
        <v>7</v>
      </c>
      <c r="E1064" s="1051" t="str">
        <f>IF(COUNTIF(E$1030:E1063,F1064)&gt;0,"",F1064)</f>
        <v/>
      </c>
      <c r="F1064" s="1051" t="str">
        <f t="shared" si="120"/>
        <v>Chaise bois textile , France Continentale , Base Carbone</v>
      </c>
      <c r="G1064" s="1051" t="str">
        <f t="shared" si="121"/>
        <v>Chaise bois textile , France Continentale , Base Carbone; kgCO2e/unité, Assemblage</v>
      </c>
      <c r="H1064"/>
      <c r="I1064" s="2018" t="s">
        <v>3234</v>
      </c>
      <c r="J1064" s="1135" t="s">
        <v>1994</v>
      </c>
      <c r="K1064" s="1135" t="s">
        <v>1567</v>
      </c>
      <c r="L1064" s="1135" t="s">
        <v>3228</v>
      </c>
      <c r="M1064" s="2062">
        <v>0.1</v>
      </c>
      <c r="N1064" s="1135" t="s">
        <v>3137</v>
      </c>
      <c r="O1064" s="1135">
        <v>5.36</v>
      </c>
      <c r="P1064" s="2179">
        <v>5.36</v>
      </c>
      <c r="Q1064" s="2179">
        <v>0</v>
      </c>
      <c r="R1064" s="2179">
        <v>0</v>
      </c>
      <c r="S1064" s="2179">
        <v>0</v>
      </c>
      <c r="T1064" s="2179">
        <v>0</v>
      </c>
      <c r="U1064" s="2180">
        <v>0</v>
      </c>
    </row>
    <row r="1065" spans="1:21" s="1045" customFormat="1" hidden="1" outlineLevel="2">
      <c r="A1065"/>
      <c r="B1065" s="1135"/>
      <c r="D1065" s="1051">
        <f t="shared" si="119"/>
        <v>7</v>
      </c>
      <c r="E1065" s="1051" t="str">
        <f>IF(COUNTIF(E$1030:E1064,F1065)&gt;0,"",F1065)</f>
        <v/>
      </c>
      <c r="F1065" s="1051" t="str">
        <f t="shared" si="120"/>
        <v>Chaise bois textile , France Continentale , Base Carbone</v>
      </c>
      <c r="G1065" s="1051" t="str">
        <f t="shared" si="121"/>
        <v>Chaise bois textile , France Continentale , Base Carbone; kgCO2e/unité, Distribution</v>
      </c>
      <c r="H1065"/>
      <c r="I1065" s="2018" t="s">
        <v>3234</v>
      </c>
      <c r="J1065" s="1135" t="s">
        <v>1994</v>
      </c>
      <c r="K1065" s="1135" t="s">
        <v>1567</v>
      </c>
      <c r="L1065" s="1135" t="s">
        <v>3228</v>
      </c>
      <c r="M1065" s="2062">
        <v>0.1</v>
      </c>
      <c r="N1065" s="1135" t="s">
        <v>3138</v>
      </c>
      <c r="O1065" s="1135">
        <v>8</v>
      </c>
      <c r="P1065" s="2179">
        <v>8</v>
      </c>
      <c r="Q1065" s="2179">
        <v>0</v>
      </c>
      <c r="R1065" s="2179">
        <v>0</v>
      </c>
      <c r="S1065" s="2179">
        <v>0</v>
      </c>
      <c r="T1065" s="2179">
        <v>0</v>
      </c>
      <c r="U1065" s="2180">
        <v>0</v>
      </c>
    </row>
    <row r="1066" spans="1:21" s="1045" customFormat="1" hidden="1" outlineLevel="2">
      <c r="A1066"/>
      <c r="B1066" s="1135"/>
      <c r="D1066" s="1051">
        <f t="shared" si="119"/>
        <v>8</v>
      </c>
      <c r="E1066" s="1051" t="str">
        <f>IF(COUNTIF(E$1030:E1065,F1066)&gt;0,"",F1066)</f>
        <v>Chaise plastique, France Continentale , Base Carbone</v>
      </c>
      <c r="F1066" s="1051" t="str">
        <f t="shared" si="120"/>
        <v>Chaise plastique, France Continentale , Base Carbone</v>
      </c>
      <c r="G1066" s="1051" t="str">
        <f t="shared" si="121"/>
        <v>Chaise plastique, France Continentale , Base Carbone; kgCO2e/unité, Matières premières</v>
      </c>
      <c r="H1066"/>
      <c r="I1066" s="2018" t="s">
        <v>3235</v>
      </c>
      <c r="J1066" s="1135" t="s">
        <v>1994</v>
      </c>
      <c r="K1066" s="1135" t="s">
        <v>1567</v>
      </c>
      <c r="L1066" s="1135" t="s">
        <v>3228</v>
      </c>
      <c r="M1066" s="2062">
        <v>0.1</v>
      </c>
      <c r="N1066" s="1135" t="s">
        <v>3135</v>
      </c>
      <c r="O1066" s="1135">
        <v>18.7</v>
      </c>
      <c r="P1066" s="2017">
        <v>18.7</v>
      </c>
      <c r="Q1066" s="2017">
        <v>0</v>
      </c>
      <c r="R1066" s="2017">
        <v>0</v>
      </c>
      <c r="S1066" s="2017">
        <v>0</v>
      </c>
      <c r="T1066" s="2017">
        <v>0</v>
      </c>
      <c r="U1066" s="2042">
        <v>0</v>
      </c>
    </row>
    <row r="1067" spans="1:21" s="1045" customFormat="1" hidden="1" outlineLevel="2">
      <c r="A1067"/>
      <c r="B1067" s="1135"/>
      <c r="D1067" s="1051">
        <f t="shared" si="119"/>
        <v>8</v>
      </c>
      <c r="E1067" s="1051" t="str">
        <f>IF(COUNTIF(E$1030:E1066,F1067)&gt;0,"",F1067)</f>
        <v/>
      </c>
      <c r="F1067" s="1051" t="str">
        <f t="shared" si="120"/>
        <v>Chaise plastique, France Continentale , Base Carbone</v>
      </c>
      <c r="G1067" s="1051" t="str">
        <f t="shared" si="121"/>
        <v>Chaise plastique, France Continentale , Base Carbone; kgCO2e/unité, Approvisionnement</v>
      </c>
      <c r="H1067"/>
      <c r="I1067" s="2018" t="s">
        <v>3235</v>
      </c>
      <c r="J1067" s="1135" t="s">
        <v>1994</v>
      </c>
      <c r="K1067" s="1135" t="s">
        <v>1567</v>
      </c>
      <c r="L1067" s="1135" t="s">
        <v>3228</v>
      </c>
      <c r="M1067" s="2062">
        <v>0.1</v>
      </c>
      <c r="N1067" s="1135" t="s">
        <v>3136</v>
      </c>
      <c r="O1067" s="1135">
        <v>1.06</v>
      </c>
      <c r="P1067" s="2017">
        <v>1.06</v>
      </c>
      <c r="Q1067" s="2017">
        <v>0</v>
      </c>
      <c r="R1067" s="2017">
        <v>0</v>
      </c>
      <c r="S1067" s="2017">
        <v>0</v>
      </c>
      <c r="T1067" s="2017">
        <v>0</v>
      </c>
      <c r="U1067" s="2042">
        <v>0</v>
      </c>
    </row>
    <row r="1068" spans="1:21" s="1045" customFormat="1" hidden="1" outlineLevel="2">
      <c r="A1068"/>
      <c r="B1068" s="1135"/>
      <c r="D1068" s="1051">
        <f t="shared" si="119"/>
        <v>8</v>
      </c>
      <c r="E1068" s="1051" t="str">
        <f>IF(COUNTIF(E$1030:E1067,F1068)&gt;0,"",F1068)</f>
        <v/>
      </c>
      <c r="F1068" s="1051" t="str">
        <f t="shared" si="120"/>
        <v>Chaise plastique, France Continentale , Base Carbone</v>
      </c>
      <c r="G1068" s="1051" t="str">
        <f t="shared" si="121"/>
        <v>Chaise plastique, France Continentale , Base Carbone; kgCO2e/unité, Mise en forme</v>
      </c>
      <c r="H1068"/>
      <c r="I1068" s="2018" t="s">
        <v>3235</v>
      </c>
      <c r="J1068" s="1135" t="s">
        <v>1994</v>
      </c>
      <c r="K1068" s="1135" t="s">
        <v>1567</v>
      </c>
      <c r="L1068" s="1135" t="s">
        <v>3228</v>
      </c>
      <c r="M1068" s="2062">
        <v>0.1</v>
      </c>
      <c r="N1068" s="1135" t="s">
        <v>3141</v>
      </c>
      <c r="O1068" s="1135">
        <v>5.5</v>
      </c>
      <c r="P1068" s="2017">
        <v>5.5</v>
      </c>
      <c r="Q1068" s="2017">
        <v>0</v>
      </c>
      <c r="R1068" s="2017">
        <v>0</v>
      </c>
      <c r="S1068" s="2017">
        <v>0</v>
      </c>
      <c r="T1068" s="2017">
        <v>0</v>
      </c>
      <c r="U1068" s="2042">
        <v>0</v>
      </c>
    </row>
    <row r="1069" spans="1:21" s="1045" customFormat="1" hidden="1" outlineLevel="2">
      <c r="A1069"/>
      <c r="B1069" s="1135"/>
      <c r="D1069" s="1051">
        <f t="shared" si="119"/>
        <v>8</v>
      </c>
      <c r="E1069" s="1051" t="str">
        <f>IF(COUNTIF(E$1030:E1068,F1069)&gt;0,"",F1069)</f>
        <v/>
      </c>
      <c r="F1069" s="1051" t="str">
        <f t="shared" si="120"/>
        <v>Chaise plastique, France Continentale , Base Carbone</v>
      </c>
      <c r="G1069" s="1051" t="str">
        <f t="shared" si="121"/>
        <v>Chaise plastique, France Continentale , Base Carbone; kgCO2e/unité, Assemblage</v>
      </c>
      <c r="H1069"/>
      <c r="I1069" s="2018" t="s">
        <v>3235</v>
      </c>
      <c r="J1069" s="1135" t="s">
        <v>1994</v>
      </c>
      <c r="K1069" s="1135" t="s">
        <v>1567</v>
      </c>
      <c r="L1069" s="1135" t="s">
        <v>3228</v>
      </c>
      <c r="M1069" s="2062">
        <v>0.1</v>
      </c>
      <c r="N1069" s="1135" t="s">
        <v>3137</v>
      </c>
      <c r="O1069" s="1135">
        <v>4.83</v>
      </c>
      <c r="P1069" s="2017">
        <v>4.83</v>
      </c>
      <c r="Q1069" s="2017">
        <v>0</v>
      </c>
      <c r="R1069" s="2017">
        <v>0</v>
      </c>
      <c r="S1069" s="2017">
        <v>0</v>
      </c>
      <c r="T1069" s="2017">
        <v>0</v>
      </c>
      <c r="U1069" s="2042">
        <v>0</v>
      </c>
    </row>
    <row r="1070" spans="1:21" s="1045" customFormat="1" hidden="1" outlineLevel="2">
      <c r="A1070"/>
      <c r="B1070" s="1135"/>
      <c r="D1070" s="1051">
        <f t="shared" si="119"/>
        <v>8</v>
      </c>
      <c r="E1070" s="1051" t="str">
        <f>IF(COUNTIF(E$1030:E1069,F1070)&gt;0,"",F1070)</f>
        <v/>
      </c>
      <c r="F1070" s="1051" t="str">
        <f t="shared" si="120"/>
        <v>Chaise plastique, France Continentale , Base Carbone</v>
      </c>
      <c r="G1070" s="1051" t="str">
        <f t="shared" si="121"/>
        <v>Chaise plastique, France Continentale , Base Carbone; kgCO2e/unité, Distribution</v>
      </c>
      <c r="H1070"/>
      <c r="I1070" s="2018" t="s">
        <v>3235</v>
      </c>
      <c r="J1070" s="1135" t="s">
        <v>1994</v>
      </c>
      <c r="K1070" s="1135" t="s">
        <v>1567</v>
      </c>
      <c r="L1070" s="1135" t="s">
        <v>3228</v>
      </c>
      <c r="M1070" s="2062">
        <v>0.1</v>
      </c>
      <c r="N1070" s="1135" t="s">
        <v>3138</v>
      </c>
      <c r="O1070" s="1135">
        <v>4.3</v>
      </c>
      <c r="P1070" s="2017">
        <v>4.3</v>
      </c>
      <c r="Q1070" s="2017">
        <v>0</v>
      </c>
      <c r="R1070" s="2017">
        <v>0</v>
      </c>
      <c r="S1070" s="2017">
        <v>0</v>
      </c>
      <c r="T1070" s="2017">
        <v>0</v>
      </c>
      <c r="U1070" s="2042">
        <v>0</v>
      </c>
    </row>
    <row r="1071" spans="1:21" s="1045" customFormat="1" hidden="1" outlineLevel="2">
      <c r="A1071"/>
      <c r="B1071" s="1135"/>
      <c r="D1071" s="1051">
        <f t="shared" si="119"/>
        <v>9</v>
      </c>
      <c r="E1071" s="1051" t="str">
        <f>IF(COUNTIF(E$1030:E1070,F1071)&gt;0,"",F1071)</f>
        <v>Matelas mousse, France Continentale , Base Carbone</v>
      </c>
      <c r="F1071" s="1051" t="str">
        <f t="shared" si="120"/>
        <v>Matelas mousse, France Continentale , Base Carbone</v>
      </c>
      <c r="G1071" s="1051" t="str">
        <f t="shared" si="121"/>
        <v>Matelas mousse, France Continentale , Base Carbone; kgCO2e/unité, Matières premières</v>
      </c>
      <c r="H1071"/>
      <c r="I1071" s="2018" t="s">
        <v>3236</v>
      </c>
      <c r="J1071" s="1135" t="s">
        <v>1994</v>
      </c>
      <c r="K1071" s="1135" t="s">
        <v>1567</v>
      </c>
      <c r="L1071" s="1135" t="s">
        <v>3228</v>
      </c>
      <c r="M1071" s="2062">
        <v>0.25</v>
      </c>
      <c r="N1071" s="1135" t="s">
        <v>3135</v>
      </c>
      <c r="O1071" s="1135">
        <v>242</v>
      </c>
      <c r="P1071" s="2179">
        <v>242</v>
      </c>
      <c r="Q1071" s="2179">
        <v>0</v>
      </c>
      <c r="R1071" s="2179">
        <v>0</v>
      </c>
      <c r="S1071" s="2179">
        <v>0</v>
      </c>
      <c r="T1071" s="2179">
        <v>0</v>
      </c>
      <c r="U1071" s="2065">
        <v>-12</v>
      </c>
    </row>
    <row r="1072" spans="1:21" s="1045" customFormat="1" hidden="1" outlineLevel="2">
      <c r="A1072"/>
      <c r="B1072" s="1135"/>
      <c r="D1072" s="1051">
        <f t="shared" si="119"/>
        <v>9</v>
      </c>
      <c r="E1072" s="1051" t="str">
        <f>IF(COUNTIF(E$1030:E1071,F1072)&gt;0,"",F1072)</f>
        <v/>
      </c>
      <c r="F1072" s="1051" t="str">
        <f t="shared" si="120"/>
        <v>Matelas mousse, France Continentale , Base Carbone</v>
      </c>
      <c r="G1072" s="1051" t="str">
        <f t="shared" si="121"/>
        <v>Matelas mousse, France Continentale , Base Carbone; kgCO2e/unité, Approvisionnement</v>
      </c>
      <c r="H1072"/>
      <c r="I1072" s="2018" t="s">
        <v>3236</v>
      </c>
      <c r="J1072" s="1135" t="s">
        <v>1994</v>
      </c>
      <c r="K1072" s="1135" t="s">
        <v>1567</v>
      </c>
      <c r="L1072" s="1135" t="s">
        <v>3228</v>
      </c>
      <c r="M1072" s="2062">
        <v>0.25</v>
      </c>
      <c r="N1072" s="1135" t="s">
        <v>3136</v>
      </c>
      <c r="O1072" s="1135">
        <v>8.58</v>
      </c>
      <c r="P1072" s="2179">
        <v>8.58</v>
      </c>
      <c r="Q1072" s="2179">
        <v>0</v>
      </c>
      <c r="R1072" s="2179">
        <v>0</v>
      </c>
      <c r="S1072" s="2179">
        <v>0</v>
      </c>
      <c r="T1072" s="2179">
        <v>0</v>
      </c>
      <c r="U1072" s="2180">
        <v>0</v>
      </c>
    </row>
    <row r="1073" spans="1:22" s="1045" customFormat="1" hidden="1" outlineLevel="2">
      <c r="A1073"/>
      <c r="B1073" s="1135"/>
      <c r="D1073" s="1051">
        <f t="shared" si="119"/>
        <v>9</v>
      </c>
      <c r="E1073" s="1051" t="str">
        <f>IF(COUNTIF(E$1030:E1072,F1073)&gt;0,"",F1073)</f>
        <v/>
      </c>
      <c r="F1073" s="1051" t="str">
        <f t="shared" si="120"/>
        <v>Matelas mousse, France Continentale , Base Carbone</v>
      </c>
      <c r="G1073" s="1051" t="str">
        <f t="shared" si="121"/>
        <v>Matelas mousse, France Continentale , Base Carbone; kgCO2e/unité, Mise en forme</v>
      </c>
      <c r="H1073"/>
      <c r="I1073" s="2018" t="s">
        <v>3236</v>
      </c>
      <c r="J1073" s="1135" t="s">
        <v>1994</v>
      </c>
      <c r="K1073" s="1135" t="s">
        <v>1567</v>
      </c>
      <c r="L1073" s="1135" t="s">
        <v>3228</v>
      </c>
      <c r="M1073" s="2062">
        <v>0.25</v>
      </c>
      <c r="N1073" s="1135" t="s">
        <v>3141</v>
      </c>
      <c r="O1073" s="1135">
        <v>17.899999999999999</v>
      </c>
      <c r="P1073" s="2179">
        <v>17.899999999999999</v>
      </c>
      <c r="Q1073" s="2179">
        <v>0</v>
      </c>
      <c r="R1073" s="2179">
        <v>0</v>
      </c>
      <c r="S1073" s="2179">
        <v>0</v>
      </c>
      <c r="T1073" s="2179">
        <v>0</v>
      </c>
      <c r="U1073" s="2180">
        <v>0</v>
      </c>
    </row>
    <row r="1074" spans="1:22" s="1045" customFormat="1" hidden="1" outlineLevel="2">
      <c r="A1074"/>
      <c r="B1074" s="1135"/>
      <c r="D1074" s="1051">
        <f t="shared" si="119"/>
        <v>9</v>
      </c>
      <c r="E1074" s="1051" t="str">
        <f>IF(COUNTIF(E$1030:E1073,F1074)&gt;0,"",F1074)</f>
        <v/>
      </c>
      <c r="F1074" s="1051" t="str">
        <f t="shared" si="120"/>
        <v>Matelas mousse, France Continentale , Base Carbone</v>
      </c>
      <c r="G1074" s="1051" t="str">
        <f t="shared" si="121"/>
        <v>Matelas mousse, France Continentale , Base Carbone; kgCO2e/unité, Assemblage</v>
      </c>
      <c r="H1074"/>
      <c r="I1074" s="2018" t="s">
        <v>3236</v>
      </c>
      <c r="J1074" s="1135" t="s">
        <v>1994</v>
      </c>
      <c r="K1074" s="1135" t="s">
        <v>1567</v>
      </c>
      <c r="L1074" s="1135" t="s">
        <v>3228</v>
      </c>
      <c r="M1074" s="2062">
        <v>0.25</v>
      </c>
      <c r="N1074" s="1135" t="s">
        <v>3137</v>
      </c>
      <c r="O1074" s="1135">
        <v>5.44</v>
      </c>
      <c r="P1074" s="2179">
        <v>5.44</v>
      </c>
      <c r="Q1074" s="2179">
        <v>0</v>
      </c>
      <c r="R1074" s="2179">
        <v>0</v>
      </c>
      <c r="S1074" s="2179">
        <v>0</v>
      </c>
      <c r="T1074" s="2179">
        <v>0</v>
      </c>
      <c r="U1074" s="2180">
        <v>0</v>
      </c>
    </row>
    <row r="1075" spans="1:22" s="1045" customFormat="1" hidden="1" outlineLevel="2">
      <c r="A1075"/>
      <c r="B1075" s="1135"/>
      <c r="D1075" s="1051">
        <f t="shared" si="119"/>
        <v>9</v>
      </c>
      <c r="E1075" s="1051" t="str">
        <f>IF(COUNTIF(E$1030:E1074,F1075)&gt;0,"",F1075)</f>
        <v/>
      </c>
      <c r="F1075" s="1051" t="str">
        <f t="shared" si="120"/>
        <v>Matelas mousse, France Continentale , Base Carbone</v>
      </c>
      <c r="G1075" s="1051" t="str">
        <f t="shared" si="121"/>
        <v>Matelas mousse, France Continentale , Base Carbone; kgCO2e/unité, Distribution</v>
      </c>
      <c r="H1075"/>
      <c r="I1075" s="2018" t="s">
        <v>3236</v>
      </c>
      <c r="J1075" s="1135" t="s">
        <v>1994</v>
      </c>
      <c r="K1075" s="1135" t="s">
        <v>1567</v>
      </c>
      <c r="L1075" s="1135" t="s">
        <v>3228</v>
      </c>
      <c r="M1075" s="2062">
        <v>0.25</v>
      </c>
      <c r="N1075" s="1135" t="s">
        <v>3138</v>
      </c>
      <c r="O1075" s="1135">
        <v>10.5</v>
      </c>
      <c r="P1075" s="2179">
        <v>10.5</v>
      </c>
      <c r="Q1075" s="2179">
        <v>0</v>
      </c>
      <c r="R1075" s="2179">
        <v>0</v>
      </c>
      <c r="S1075" s="2179">
        <v>0</v>
      </c>
      <c r="T1075" s="2179">
        <v>0</v>
      </c>
      <c r="U1075" s="2180">
        <v>0</v>
      </c>
    </row>
    <row r="1076" spans="1:22" s="1045" customFormat="1" hidden="1" outlineLevel="2">
      <c r="A1076"/>
      <c r="B1076" s="1135"/>
      <c r="D1076" s="1051">
        <f t="shared" si="119"/>
        <v>10</v>
      </c>
      <c r="E1076" s="1051" t="str">
        <f>IF(COUNTIF(E$1030:E1075,F1076)&gt;0,"",F1076)</f>
        <v>Matelas ressorts, France Continentale , Base Carbone</v>
      </c>
      <c r="F1076" s="1051" t="str">
        <f t="shared" si="120"/>
        <v>Matelas ressorts, France Continentale , Base Carbone</v>
      </c>
      <c r="G1076" s="1051" t="str">
        <f t="shared" si="121"/>
        <v>Matelas ressorts, France Continentale , Base Carbone; kgCO2e/unité, Matières premières</v>
      </c>
      <c r="H1076"/>
      <c r="I1076" s="2018" t="s">
        <v>3237</v>
      </c>
      <c r="J1076" s="1135" t="s">
        <v>1994</v>
      </c>
      <c r="K1076" s="1135" t="s">
        <v>1567</v>
      </c>
      <c r="L1076" s="1135" t="s">
        <v>3228</v>
      </c>
      <c r="M1076" s="2062">
        <v>0.25</v>
      </c>
      <c r="N1076" s="1135" t="s">
        <v>3135</v>
      </c>
      <c r="O1076" s="1135">
        <v>179</v>
      </c>
      <c r="P1076" s="2179">
        <v>179</v>
      </c>
      <c r="Q1076" s="2179">
        <v>0</v>
      </c>
      <c r="R1076" s="2179">
        <v>0</v>
      </c>
      <c r="S1076" s="2179">
        <v>0</v>
      </c>
      <c r="T1076" s="2179">
        <v>0</v>
      </c>
      <c r="U1076" s="2180">
        <v>-13.1</v>
      </c>
    </row>
    <row r="1077" spans="1:22" s="1045" customFormat="1" hidden="1" outlineLevel="2">
      <c r="A1077"/>
      <c r="B1077" s="1135"/>
      <c r="D1077" s="1051">
        <f t="shared" si="119"/>
        <v>10</v>
      </c>
      <c r="E1077" s="1051" t="str">
        <f>IF(COUNTIF(E$1030:E1076,F1077)&gt;0,"",F1077)</f>
        <v/>
      </c>
      <c r="F1077" s="1051" t="str">
        <f t="shared" si="120"/>
        <v>Matelas ressorts, France Continentale , Base Carbone</v>
      </c>
      <c r="G1077" s="1051" t="str">
        <f t="shared" si="121"/>
        <v>Matelas ressorts, France Continentale , Base Carbone; kgCO2e/unité, Approvisionnement</v>
      </c>
      <c r="H1077"/>
      <c r="I1077" s="2018" t="s">
        <v>3237</v>
      </c>
      <c r="J1077" s="1135" t="s">
        <v>1994</v>
      </c>
      <c r="K1077" s="1135" t="s">
        <v>1567</v>
      </c>
      <c r="L1077" s="1135" t="s">
        <v>3228</v>
      </c>
      <c r="M1077" s="2062">
        <v>0.25</v>
      </c>
      <c r="N1077" s="1135" t="s">
        <v>3136</v>
      </c>
      <c r="O1077" s="1135">
        <v>16.399999999999999</v>
      </c>
      <c r="P1077" s="2179">
        <v>16.399999999999999</v>
      </c>
      <c r="Q1077" s="2179">
        <v>0</v>
      </c>
      <c r="R1077" s="2179">
        <v>0</v>
      </c>
      <c r="S1077" s="2179">
        <v>0</v>
      </c>
      <c r="T1077" s="2179">
        <v>0</v>
      </c>
      <c r="U1077" s="2180">
        <v>0</v>
      </c>
    </row>
    <row r="1078" spans="1:22" s="1045" customFormat="1" hidden="1" outlineLevel="2">
      <c r="A1078"/>
      <c r="B1078" s="1135"/>
      <c r="D1078" s="1051">
        <f t="shared" si="119"/>
        <v>10</v>
      </c>
      <c r="E1078" s="1051" t="str">
        <f>IF(COUNTIF(E$1030:E1077,F1078)&gt;0,"",F1078)</f>
        <v/>
      </c>
      <c r="F1078" s="1051" t="str">
        <f t="shared" si="120"/>
        <v>Matelas ressorts, France Continentale , Base Carbone</v>
      </c>
      <c r="G1078" s="1051" t="str">
        <f t="shared" si="121"/>
        <v>Matelas ressorts, France Continentale , Base Carbone; kgCO2e/unité, Mise en forme</v>
      </c>
      <c r="H1078"/>
      <c r="I1078" s="2018" t="s">
        <v>3237</v>
      </c>
      <c r="J1078" s="1135" t="s">
        <v>1994</v>
      </c>
      <c r="K1078" s="1135" t="s">
        <v>1567</v>
      </c>
      <c r="L1078" s="1135" t="s">
        <v>3228</v>
      </c>
      <c r="M1078" s="2062">
        <v>0.25</v>
      </c>
      <c r="N1078" s="1135" t="s">
        <v>3141</v>
      </c>
      <c r="O1078" s="1135">
        <v>21.9</v>
      </c>
      <c r="P1078" s="2179">
        <v>21.9</v>
      </c>
      <c r="Q1078" s="2179">
        <v>0</v>
      </c>
      <c r="R1078" s="2179">
        <v>0</v>
      </c>
      <c r="S1078" s="2179">
        <v>0</v>
      </c>
      <c r="T1078" s="2179">
        <v>0</v>
      </c>
      <c r="U1078" s="2180">
        <v>0</v>
      </c>
    </row>
    <row r="1079" spans="1:22" s="1045" customFormat="1" hidden="1" outlineLevel="2">
      <c r="A1079"/>
      <c r="B1079" s="1135"/>
      <c r="D1079" s="1051">
        <f t="shared" si="119"/>
        <v>10</v>
      </c>
      <c r="E1079" s="1051" t="str">
        <f>IF(COUNTIF(E$1030:E1078,F1079)&gt;0,"",F1079)</f>
        <v/>
      </c>
      <c r="F1079" s="1051" t="str">
        <f t="shared" si="120"/>
        <v>Matelas ressorts, France Continentale , Base Carbone</v>
      </c>
      <c r="G1079" s="1051" t="str">
        <f t="shared" si="121"/>
        <v>Matelas ressorts, France Continentale , Base Carbone; kgCO2e/unité, Assemblage</v>
      </c>
      <c r="H1079"/>
      <c r="I1079" s="2018" t="s">
        <v>3237</v>
      </c>
      <c r="J1079" s="1135" t="s">
        <v>1994</v>
      </c>
      <c r="K1079" s="1135" t="s">
        <v>1567</v>
      </c>
      <c r="L1079" s="1135" t="s">
        <v>3228</v>
      </c>
      <c r="M1079" s="2062">
        <v>0.25</v>
      </c>
      <c r="N1079" s="1135" t="s">
        <v>3137</v>
      </c>
      <c r="O1079" s="1135">
        <v>5.73</v>
      </c>
      <c r="P1079" s="2179">
        <v>5.73</v>
      </c>
      <c r="Q1079" s="2179">
        <v>0</v>
      </c>
      <c r="R1079" s="2179">
        <v>0</v>
      </c>
      <c r="S1079" s="2179">
        <v>0</v>
      </c>
      <c r="T1079" s="2179">
        <v>0</v>
      </c>
      <c r="U1079" s="2180">
        <v>0</v>
      </c>
    </row>
    <row r="1080" spans="1:22" s="1045" customFormat="1" hidden="1" outlineLevel="2">
      <c r="A1080"/>
      <c r="B1080" s="1135"/>
      <c r="D1080" s="1051">
        <f t="shared" si="119"/>
        <v>10</v>
      </c>
      <c r="E1080" s="1051" t="str">
        <f>IF(COUNTIF(E$1030:E1079,F1080)&gt;0,"",F1080)</f>
        <v/>
      </c>
      <c r="F1080" s="1051" t="str">
        <f t="shared" si="120"/>
        <v>Matelas ressorts, France Continentale , Base Carbone</v>
      </c>
      <c r="G1080" s="1051" t="str">
        <f t="shared" si="121"/>
        <v>Matelas ressorts, France Continentale , Base Carbone; kgCO2e/unité, Distribution</v>
      </c>
      <c r="H1080"/>
      <c r="I1080" s="2018" t="s">
        <v>3237</v>
      </c>
      <c r="J1080" s="1135" t="s">
        <v>1994</v>
      </c>
      <c r="K1080" s="1135" t="s">
        <v>1567</v>
      </c>
      <c r="L1080" s="1135" t="s">
        <v>3228</v>
      </c>
      <c r="M1080" s="2062">
        <v>0.25</v>
      </c>
      <c r="N1080" s="1135" t="s">
        <v>3138</v>
      </c>
      <c r="O1080" s="1135">
        <v>8.74</v>
      </c>
      <c r="P1080" s="2179">
        <v>8.74</v>
      </c>
      <c r="Q1080" s="2179">
        <v>0</v>
      </c>
      <c r="R1080" s="2179">
        <v>0</v>
      </c>
      <c r="S1080" s="2179">
        <v>0</v>
      </c>
      <c r="T1080" s="2179">
        <v>0</v>
      </c>
      <c r="U1080" s="2180">
        <v>0</v>
      </c>
    </row>
    <row r="1081" spans="1:22" s="1045" customFormat="1" hidden="1" outlineLevel="2">
      <c r="A1081"/>
      <c r="B1081" s="1135"/>
      <c r="D1081" s="1051">
        <f t="shared" si="119"/>
        <v>11</v>
      </c>
      <c r="E1081" s="1051" t="str">
        <f>IF(COUNTIF(E$1030:E1080,F1081)&gt;0,"",F1081)</f>
        <v>Salon de jardin - bois, France Continentale , Base Carbone</v>
      </c>
      <c r="F1081" s="1051" t="str">
        <f t="shared" si="120"/>
        <v>Salon de jardin - bois, France Continentale , Base Carbone</v>
      </c>
      <c r="G1081" s="1051" t="str">
        <f t="shared" si="121"/>
        <v>Salon de jardin - bois, France Continentale , Base Carbone; kgCO2e/unité, Matières premières</v>
      </c>
      <c r="H1081"/>
      <c r="I1081" s="2018" t="s">
        <v>3238</v>
      </c>
      <c r="J1081" s="1135" t="s">
        <v>1994</v>
      </c>
      <c r="K1081" s="1135" t="s">
        <v>1567</v>
      </c>
      <c r="L1081" s="1135" t="s">
        <v>3228</v>
      </c>
      <c r="M1081" s="2062">
        <v>0.3</v>
      </c>
      <c r="N1081" s="1135" t="s">
        <v>3135</v>
      </c>
      <c r="O1081" s="1135">
        <v>31.6</v>
      </c>
      <c r="P1081" s="2017">
        <v>31.6</v>
      </c>
      <c r="Q1081" s="2017">
        <v>0</v>
      </c>
      <c r="R1081" s="2017">
        <v>0</v>
      </c>
      <c r="S1081" s="2017">
        <v>0</v>
      </c>
      <c r="T1081" s="2017">
        <v>0</v>
      </c>
      <c r="U1081" s="2042">
        <v>0</v>
      </c>
      <c r="V1081" s="2060"/>
    </row>
    <row r="1082" spans="1:22" s="1045" customFormat="1" hidden="1" outlineLevel="2">
      <c r="A1082"/>
      <c r="B1082" s="1135"/>
      <c r="D1082" s="1051">
        <f t="shared" si="119"/>
        <v>11</v>
      </c>
      <c r="E1082" s="1051" t="str">
        <f>IF(COUNTIF(E$1030:E1081,F1082)&gt;0,"",F1082)</f>
        <v/>
      </c>
      <c r="F1082" s="1051" t="str">
        <f t="shared" si="120"/>
        <v>Salon de jardin - bois, France Continentale , Base Carbone</v>
      </c>
      <c r="G1082" s="1051" t="str">
        <f t="shared" si="121"/>
        <v>Salon de jardin - bois, France Continentale , Base Carbone; kgCO2e/unité, Approvisionnement</v>
      </c>
      <c r="H1082"/>
      <c r="I1082" s="2018" t="s">
        <v>3238</v>
      </c>
      <c r="J1082" s="1135" t="s">
        <v>1994</v>
      </c>
      <c r="K1082" s="1135" t="s">
        <v>1567</v>
      </c>
      <c r="L1082" s="1135" t="s">
        <v>3228</v>
      </c>
      <c r="M1082" s="2062">
        <v>0.3</v>
      </c>
      <c r="N1082" s="1135" t="s">
        <v>3136</v>
      </c>
      <c r="O1082" s="1135">
        <v>3.3</v>
      </c>
      <c r="P1082" s="2017">
        <v>3.3</v>
      </c>
      <c r="Q1082" s="2017">
        <v>0</v>
      </c>
      <c r="R1082" s="2017">
        <v>0</v>
      </c>
      <c r="S1082" s="2017">
        <v>0</v>
      </c>
      <c r="T1082" s="2017">
        <v>0</v>
      </c>
      <c r="U1082" s="2042">
        <v>0</v>
      </c>
      <c r="V1082" s="2060"/>
    </row>
    <row r="1083" spans="1:22" s="1045" customFormat="1" hidden="1" outlineLevel="2">
      <c r="A1083"/>
      <c r="B1083" s="1135"/>
      <c r="D1083" s="1051">
        <f t="shared" si="119"/>
        <v>11</v>
      </c>
      <c r="E1083" s="1051" t="str">
        <f>IF(COUNTIF(E$1030:E1082,F1083)&gt;0,"",F1083)</f>
        <v/>
      </c>
      <c r="F1083" s="1051" t="str">
        <f t="shared" si="120"/>
        <v>Salon de jardin - bois, France Continentale , Base Carbone</v>
      </c>
      <c r="G1083" s="1051" t="str">
        <f t="shared" si="121"/>
        <v>Salon de jardin - bois, France Continentale , Base Carbone; kgCO2e/unité, Mise en forme</v>
      </c>
      <c r="H1083"/>
      <c r="I1083" s="2018" t="s">
        <v>3238</v>
      </c>
      <c r="J1083" s="1135" t="s">
        <v>1994</v>
      </c>
      <c r="K1083" s="1135" t="s">
        <v>1567</v>
      </c>
      <c r="L1083" s="1135" t="s">
        <v>3228</v>
      </c>
      <c r="M1083" s="2062">
        <v>0.3</v>
      </c>
      <c r="N1083" s="1135" t="s">
        <v>3141</v>
      </c>
      <c r="O1083" s="1135">
        <v>0.04</v>
      </c>
      <c r="P1083" s="2017">
        <v>0.04</v>
      </c>
      <c r="Q1083" s="2017">
        <v>0</v>
      </c>
      <c r="R1083" s="2017">
        <v>0</v>
      </c>
      <c r="S1083" s="2017">
        <v>0</v>
      </c>
      <c r="T1083" s="2017">
        <v>0</v>
      </c>
      <c r="U1083" s="2042">
        <v>0</v>
      </c>
      <c r="V1083" s="2060"/>
    </row>
    <row r="1084" spans="1:22" s="1045" customFormat="1" hidden="1" outlineLevel="2">
      <c r="A1084"/>
      <c r="B1084" s="1135"/>
      <c r="D1084" s="1051">
        <f t="shared" si="119"/>
        <v>11</v>
      </c>
      <c r="E1084" s="1051" t="str">
        <f>IF(COUNTIF(E$1030:E1083,F1084)&gt;0,"",F1084)</f>
        <v/>
      </c>
      <c r="F1084" s="1051" t="str">
        <f t="shared" si="120"/>
        <v>Salon de jardin - bois, France Continentale , Base Carbone</v>
      </c>
      <c r="G1084" s="1051" t="str">
        <f t="shared" si="121"/>
        <v>Salon de jardin - bois, France Continentale , Base Carbone; kgCO2e/unité, Assemblage</v>
      </c>
      <c r="H1084"/>
      <c r="I1084" s="2018" t="s">
        <v>3238</v>
      </c>
      <c r="J1084" s="1135" t="s">
        <v>1994</v>
      </c>
      <c r="K1084" s="1135" t="s">
        <v>1567</v>
      </c>
      <c r="L1084" s="1135" t="s">
        <v>3228</v>
      </c>
      <c r="M1084" s="2062">
        <v>0.3</v>
      </c>
      <c r="N1084" s="1135" t="s">
        <v>3137</v>
      </c>
      <c r="O1084" s="1135">
        <v>6.06</v>
      </c>
      <c r="P1084" s="2017">
        <v>6.06</v>
      </c>
      <c r="Q1084" s="2017">
        <v>0</v>
      </c>
      <c r="R1084" s="2017">
        <v>0</v>
      </c>
      <c r="S1084" s="2017">
        <v>0</v>
      </c>
      <c r="T1084" s="2017">
        <v>0</v>
      </c>
      <c r="U1084" s="2042">
        <v>0</v>
      </c>
      <c r="V1084" s="2060"/>
    </row>
    <row r="1085" spans="1:22" s="1045" customFormat="1" hidden="1" outlineLevel="2">
      <c r="A1085"/>
      <c r="B1085" s="1135"/>
      <c r="D1085" s="1051">
        <f t="shared" si="119"/>
        <v>11</v>
      </c>
      <c r="E1085" s="1051" t="str">
        <f>IF(COUNTIF(E$1030:E1084,F1085)&gt;0,"",F1085)</f>
        <v/>
      </c>
      <c r="F1085" s="1051" t="str">
        <f t="shared" si="120"/>
        <v>Salon de jardin - bois, France Continentale , Base Carbone</v>
      </c>
      <c r="G1085" s="1051" t="str">
        <f t="shared" si="121"/>
        <v>Salon de jardin - bois, France Continentale , Base Carbone; kgCO2e/unité, Distribution</v>
      </c>
      <c r="H1085"/>
      <c r="I1085" s="2018" t="s">
        <v>3238</v>
      </c>
      <c r="J1085" s="1135" t="s">
        <v>1994</v>
      </c>
      <c r="K1085" s="1135" t="s">
        <v>1567</v>
      </c>
      <c r="L1085" s="1135" t="s">
        <v>3228</v>
      </c>
      <c r="M1085" s="2062">
        <v>0.3</v>
      </c>
      <c r="N1085" s="1135" t="s">
        <v>3138</v>
      </c>
      <c r="O1085" s="1135">
        <v>28.2</v>
      </c>
      <c r="P1085" s="2017">
        <v>28.2</v>
      </c>
      <c r="Q1085" s="2017">
        <v>0</v>
      </c>
      <c r="R1085" s="2017">
        <v>0</v>
      </c>
      <c r="S1085" s="2017">
        <v>0</v>
      </c>
      <c r="T1085" s="2017">
        <v>0</v>
      </c>
      <c r="U1085" s="2042">
        <v>0</v>
      </c>
      <c r="V1085" s="2060"/>
    </row>
    <row r="1086" spans="1:22" s="1045" customFormat="1" hidden="1" outlineLevel="2">
      <c r="A1086"/>
      <c r="B1086" s="1135"/>
      <c r="D1086" s="1051">
        <f t="shared" si="119"/>
        <v>12</v>
      </c>
      <c r="E1086" s="1051" t="str">
        <f>IF(COUNTIF(E$1030:E1085,F1086)&gt;0,"",F1086)</f>
        <v>Salon de jardin - métal, France Continentale , Base Carbone</v>
      </c>
      <c r="F1086" s="1051" t="str">
        <f t="shared" si="120"/>
        <v>Salon de jardin - métal, France Continentale , Base Carbone</v>
      </c>
      <c r="G1086" s="1051" t="str">
        <f t="shared" si="121"/>
        <v>Salon de jardin - métal, France Continentale , Base Carbone; kgCO2e/unité, Matières premières</v>
      </c>
      <c r="H1086"/>
      <c r="I1086" s="2018" t="s">
        <v>3239</v>
      </c>
      <c r="J1086" s="1135" t="s">
        <v>1994</v>
      </c>
      <c r="K1086" s="1135" t="s">
        <v>1567</v>
      </c>
      <c r="L1086" s="1135" t="s">
        <v>3228</v>
      </c>
      <c r="M1086" s="2062">
        <v>0.3</v>
      </c>
      <c r="N1086" s="1135" t="s">
        <v>3135</v>
      </c>
      <c r="O1086" s="1135">
        <v>127</v>
      </c>
      <c r="P1086" s="2017">
        <v>127</v>
      </c>
      <c r="Q1086" s="2017">
        <v>0</v>
      </c>
      <c r="R1086" s="2017">
        <v>0</v>
      </c>
      <c r="S1086" s="2017">
        <v>0</v>
      </c>
      <c r="T1086" s="2017">
        <v>0</v>
      </c>
      <c r="U1086" s="2042">
        <v>0</v>
      </c>
    </row>
    <row r="1087" spans="1:22" s="1045" customFormat="1" hidden="1" outlineLevel="2">
      <c r="A1087"/>
      <c r="B1087" s="1135"/>
      <c r="D1087" s="1051">
        <f t="shared" si="119"/>
        <v>12</v>
      </c>
      <c r="E1087" s="1051" t="str">
        <f>IF(COUNTIF(E$1030:E1086,F1087)&gt;0,"",F1087)</f>
        <v/>
      </c>
      <c r="F1087" s="1051" t="str">
        <f t="shared" si="120"/>
        <v>Salon de jardin - métal, France Continentale , Base Carbone</v>
      </c>
      <c r="G1087" s="1051" t="str">
        <f t="shared" si="121"/>
        <v>Salon de jardin - métal, France Continentale , Base Carbone; kgCO2e/unité, Approvisionnement</v>
      </c>
      <c r="H1087"/>
      <c r="I1087" s="2018" t="s">
        <v>3239</v>
      </c>
      <c r="J1087" s="1135" t="s">
        <v>1994</v>
      </c>
      <c r="K1087" s="1135" t="s">
        <v>1567</v>
      </c>
      <c r="L1087" s="1135" t="s">
        <v>3228</v>
      </c>
      <c r="M1087" s="2062">
        <v>0.3</v>
      </c>
      <c r="N1087" s="1135" t="s">
        <v>3136</v>
      </c>
      <c r="O1087" s="1135">
        <v>7.74</v>
      </c>
      <c r="P1087" s="2017">
        <v>7.74</v>
      </c>
      <c r="Q1087" s="2017">
        <v>0</v>
      </c>
      <c r="R1087" s="2017">
        <v>0</v>
      </c>
      <c r="S1087" s="2017">
        <v>0</v>
      </c>
      <c r="T1087" s="2017">
        <v>0</v>
      </c>
      <c r="U1087" s="2042">
        <v>0</v>
      </c>
    </row>
    <row r="1088" spans="1:22" s="1045" customFormat="1" hidden="1" outlineLevel="2">
      <c r="A1088"/>
      <c r="B1088" s="1135"/>
      <c r="D1088" s="1051">
        <f t="shared" si="119"/>
        <v>12</v>
      </c>
      <c r="E1088" s="1051" t="str">
        <f>IF(COUNTIF(E$1030:E1087,F1088)&gt;0,"",F1088)</f>
        <v/>
      </c>
      <c r="F1088" s="1051" t="str">
        <f t="shared" si="120"/>
        <v>Salon de jardin - métal, France Continentale , Base Carbone</v>
      </c>
      <c r="G1088" s="1051" t="str">
        <f t="shared" si="121"/>
        <v>Salon de jardin - métal, France Continentale , Base Carbone; kgCO2e/unité, Mise en forme</v>
      </c>
      <c r="H1088"/>
      <c r="I1088" s="2018" t="s">
        <v>3239</v>
      </c>
      <c r="J1088" s="1135" t="s">
        <v>1994</v>
      </c>
      <c r="K1088" s="1135" t="s">
        <v>1567</v>
      </c>
      <c r="L1088" s="1135" t="s">
        <v>3228</v>
      </c>
      <c r="M1088" s="2062">
        <v>0.3</v>
      </c>
      <c r="N1088" s="1135" t="s">
        <v>3141</v>
      </c>
      <c r="O1088" s="1135">
        <v>40.6</v>
      </c>
      <c r="P1088" s="2017">
        <v>40.6</v>
      </c>
      <c r="Q1088" s="2017">
        <v>0</v>
      </c>
      <c r="R1088" s="2017">
        <v>0</v>
      </c>
      <c r="S1088" s="2017">
        <v>0</v>
      </c>
      <c r="T1088" s="2017">
        <v>0</v>
      </c>
      <c r="U1088" s="2042">
        <v>0</v>
      </c>
    </row>
    <row r="1089" spans="1:21" s="1045" customFormat="1" hidden="1" outlineLevel="2">
      <c r="A1089"/>
      <c r="B1089" s="1135"/>
      <c r="D1089" s="1051">
        <f t="shared" si="119"/>
        <v>12</v>
      </c>
      <c r="E1089" s="1051" t="str">
        <f>IF(COUNTIF(E$1030:E1088,F1089)&gt;0,"",F1089)</f>
        <v/>
      </c>
      <c r="F1089" s="1051" t="str">
        <f t="shared" si="120"/>
        <v>Salon de jardin - métal, France Continentale , Base Carbone</v>
      </c>
      <c r="G1089" s="1051" t="str">
        <f t="shared" si="121"/>
        <v>Salon de jardin - métal, France Continentale , Base Carbone; kgCO2e/unité, Assemblage</v>
      </c>
      <c r="H1089"/>
      <c r="I1089" s="2018" t="s">
        <v>3239</v>
      </c>
      <c r="J1089" s="1135" t="s">
        <v>1994</v>
      </c>
      <c r="K1089" s="1135" t="s">
        <v>1567</v>
      </c>
      <c r="L1089" s="1135" t="s">
        <v>3228</v>
      </c>
      <c r="M1089" s="2062">
        <v>0.3</v>
      </c>
      <c r="N1089" s="1135" t="s">
        <v>3137</v>
      </c>
      <c r="O1089" s="1135">
        <v>4.97</v>
      </c>
      <c r="P1089" s="2017">
        <v>4.97</v>
      </c>
      <c r="Q1089" s="2017">
        <v>0</v>
      </c>
      <c r="R1089" s="2017">
        <v>0</v>
      </c>
      <c r="S1089" s="2017">
        <v>0</v>
      </c>
      <c r="T1089" s="2017">
        <v>0</v>
      </c>
      <c r="U1089" s="2042">
        <v>0</v>
      </c>
    </row>
    <row r="1090" spans="1:21" s="1045" customFormat="1" hidden="1" outlineLevel="2">
      <c r="A1090"/>
      <c r="B1090" s="1135"/>
      <c r="D1090" s="1051">
        <f t="shared" si="119"/>
        <v>12</v>
      </c>
      <c r="E1090" s="1051" t="str">
        <f>IF(COUNTIF(E$1030:E1089,F1090)&gt;0,"",F1090)</f>
        <v/>
      </c>
      <c r="F1090" s="1051" t="str">
        <f t="shared" si="120"/>
        <v>Salon de jardin - métal, France Continentale , Base Carbone</v>
      </c>
      <c r="G1090" s="1051" t="str">
        <f t="shared" si="121"/>
        <v>Salon de jardin - métal, France Continentale , Base Carbone; kgCO2e/unité, Distribution</v>
      </c>
      <c r="H1090"/>
      <c r="I1090" s="2018" t="s">
        <v>3239</v>
      </c>
      <c r="J1090" s="1135" t="s">
        <v>1994</v>
      </c>
      <c r="K1090" s="1135" t="s">
        <v>1567</v>
      </c>
      <c r="L1090" s="1135" t="s">
        <v>3228</v>
      </c>
      <c r="M1090" s="2062">
        <v>0.3</v>
      </c>
      <c r="N1090" s="1135" t="s">
        <v>3138</v>
      </c>
      <c r="O1090" s="1135">
        <v>57.9</v>
      </c>
      <c r="P1090" s="2017">
        <v>57.9</v>
      </c>
      <c r="Q1090" s="2017">
        <v>0</v>
      </c>
      <c r="R1090" s="2017">
        <v>0</v>
      </c>
      <c r="S1090" s="2017">
        <v>0</v>
      </c>
      <c r="T1090" s="2017">
        <v>0</v>
      </c>
      <c r="U1090" s="2042">
        <v>0</v>
      </c>
    </row>
    <row r="1091" spans="1:21" s="1045" customFormat="1" hidden="1" outlineLevel="2">
      <c r="A1091"/>
      <c r="B1091" s="1135"/>
      <c r="D1091" s="1051">
        <f t="shared" si="119"/>
        <v>13</v>
      </c>
      <c r="E1091" s="1051" t="str">
        <f>IF(COUNTIF(E$1030:E1090,F1091)&gt;0,"",F1091)</f>
        <v>Salon de jardin résine tressée, France Continentale , Base Carbone</v>
      </c>
      <c r="F1091" s="1051" t="str">
        <f t="shared" si="120"/>
        <v>Salon de jardin résine tressée, France Continentale , Base Carbone</v>
      </c>
      <c r="G1091" s="1051" t="str">
        <f t="shared" si="121"/>
        <v>Salon de jardin résine tressée, France Continentale , Base Carbone; kgCO2e/unité, Matières premières</v>
      </c>
      <c r="H1091"/>
      <c r="I1091" s="2018" t="s">
        <v>3240</v>
      </c>
      <c r="J1091" s="1135" t="s">
        <v>1994</v>
      </c>
      <c r="K1091" s="1135" t="s">
        <v>1567</v>
      </c>
      <c r="L1091" s="1135" t="s">
        <v>3228</v>
      </c>
      <c r="M1091" s="2062">
        <v>0.3</v>
      </c>
      <c r="N1091" s="1135" t="s">
        <v>3135</v>
      </c>
      <c r="O1091" s="1135">
        <v>156</v>
      </c>
      <c r="P1091" s="2017">
        <v>156</v>
      </c>
      <c r="Q1091" s="2017">
        <v>0</v>
      </c>
      <c r="R1091" s="2017">
        <v>0</v>
      </c>
      <c r="S1091" s="2017">
        <v>0</v>
      </c>
      <c r="T1091" s="2017">
        <v>0</v>
      </c>
      <c r="U1091" s="2042">
        <v>0</v>
      </c>
    </row>
    <row r="1092" spans="1:21" s="1045" customFormat="1" hidden="1" outlineLevel="2">
      <c r="A1092"/>
      <c r="B1092" s="1135"/>
      <c r="D1092" s="1051">
        <f t="shared" si="119"/>
        <v>13</v>
      </c>
      <c r="E1092" s="1051" t="str">
        <f>IF(COUNTIF(E$1030:E1091,F1092)&gt;0,"",F1092)</f>
        <v/>
      </c>
      <c r="F1092" s="1051" t="str">
        <f t="shared" si="120"/>
        <v>Salon de jardin résine tressée, France Continentale , Base Carbone</v>
      </c>
      <c r="G1092" s="1051" t="str">
        <f t="shared" si="121"/>
        <v>Salon de jardin résine tressée, France Continentale , Base Carbone; kgCO2e/unité, Approvisionnement</v>
      </c>
      <c r="H1092"/>
      <c r="I1092" s="2018" t="s">
        <v>3240</v>
      </c>
      <c r="J1092" s="1135" t="s">
        <v>1994</v>
      </c>
      <c r="K1092" s="1135" t="s">
        <v>1567</v>
      </c>
      <c r="L1092" s="1135" t="s">
        <v>3228</v>
      </c>
      <c r="M1092" s="2062">
        <v>0.3</v>
      </c>
      <c r="N1092" s="1135" t="s">
        <v>3136</v>
      </c>
      <c r="O1092" s="1135">
        <v>17.3</v>
      </c>
      <c r="P1092" s="2017">
        <v>17.3</v>
      </c>
      <c r="Q1092" s="2017">
        <v>0</v>
      </c>
      <c r="R1092" s="2017">
        <v>0</v>
      </c>
      <c r="S1092" s="2017">
        <v>0</v>
      </c>
      <c r="T1092" s="2017">
        <v>0</v>
      </c>
      <c r="U1092" s="2042">
        <v>0</v>
      </c>
    </row>
    <row r="1093" spans="1:21" s="1045" customFormat="1" hidden="1" outlineLevel="2">
      <c r="A1093"/>
      <c r="B1093" s="1135"/>
      <c r="D1093" s="1051">
        <f t="shared" si="119"/>
        <v>13</v>
      </c>
      <c r="E1093" s="1051" t="str">
        <f>IF(COUNTIF(E$1030:E1092,F1093)&gt;0,"",F1093)</f>
        <v/>
      </c>
      <c r="F1093" s="1051" t="str">
        <f t="shared" si="120"/>
        <v>Salon de jardin résine tressée, France Continentale , Base Carbone</v>
      </c>
      <c r="G1093" s="1051" t="str">
        <f t="shared" si="121"/>
        <v>Salon de jardin résine tressée, France Continentale , Base Carbone; kgCO2e/unité, Mise en forme</v>
      </c>
      <c r="H1093"/>
      <c r="I1093" s="2018" t="s">
        <v>3240</v>
      </c>
      <c r="J1093" s="1135" t="s">
        <v>1994</v>
      </c>
      <c r="K1093" s="1135" t="s">
        <v>1567</v>
      </c>
      <c r="L1093" s="1135" t="s">
        <v>3228</v>
      </c>
      <c r="M1093" s="2062">
        <v>0.3</v>
      </c>
      <c r="N1093" s="1135" t="s">
        <v>3141</v>
      </c>
      <c r="O1093" s="1135">
        <v>15.9</v>
      </c>
      <c r="P1093" s="2017">
        <v>15.9</v>
      </c>
      <c r="Q1093" s="2017">
        <v>0</v>
      </c>
      <c r="R1093" s="2017">
        <v>0</v>
      </c>
      <c r="S1093" s="2017">
        <v>0</v>
      </c>
      <c r="T1093" s="2017">
        <v>0</v>
      </c>
      <c r="U1093" s="2042">
        <v>0</v>
      </c>
    </row>
    <row r="1094" spans="1:21" s="1045" customFormat="1" hidden="1" outlineLevel="2">
      <c r="A1094"/>
      <c r="B1094" s="1135"/>
      <c r="D1094" s="1051">
        <f t="shared" si="119"/>
        <v>13</v>
      </c>
      <c r="E1094" s="1051" t="str">
        <f>IF(COUNTIF(E$1030:E1093,F1094)&gt;0,"",F1094)</f>
        <v/>
      </c>
      <c r="F1094" s="1051" t="str">
        <f t="shared" si="120"/>
        <v>Salon de jardin résine tressée, France Continentale , Base Carbone</v>
      </c>
      <c r="G1094" s="1051" t="str">
        <f t="shared" si="121"/>
        <v>Salon de jardin résine tressée, France Continentale , Base Carbone; kgCO2e/unité, Assemblage</v>
      </c>
      <c r="H1094"/>
      <c r="I1094" s="2018" t="s">
        <v>3240</v>
      </c>
      <c r="J1094" s="1135" t="s">
        <v>1994</v>
      </c>
      <c r="K1094" s="1135" t="s">
        <v>1567</v>
      </c>
      <c r="L1094" s="1135" t="s">
        <v>3228</v>
      </c>
      <c r="M1094" s="2062">
        <v>0.3</v>
      </c>
      <c r="N1094" s="1135" t="s">
        <v>3137</v>
      </c>
      <c r="O1094" s="1135">
        <v>6.87</v>
      </c>
      <c r="P1094" s="2017">
        <v>6.87</v>
      </c>
      <c r="Q1094" s="2017">
        <v>0</v>
      </c>
      <c r="R1094" s="2017">
        <v>0</v>
      </c>
      <c r="S1094" s="2017">
        <v>0</v>
      </c>
      <c r="T1094" s="2017">
        <v>0</v>
      </c>
      <c r="U1094" s="2042">
        <v>0</v>
      </c>
    </row>
    <row r="1095" spans="1:21" s="1045" customFormat="1" hidden="1" outlineLevel="2">
      <c r="A1095"/>
      <c r="B1095" s="1135"/>
      <c r="D1095" s="1051">
        <f t="shared" si="119"/>
        <v>13</v>
      </c>
      <c r="E1095" s="1051" t="str">
        <f>IF(COUNTIF(E$1030:E1094,F1095)&gt;0,"",F1095)</f>
        <v/>
      </c>
      <c r="F1095" s="1051" t="str">
        <f t="shared" si="120"/>
        <v>Salon de jardin résine tressée, France Continentale , Base Carbone</v>
      </c>
      <c r="G1095" s="1051" t="str">
        <f t="shared" si="121"/>
        <v>Salon de jardin résine tressée, France Continentale , Base Carbone; kgCO2e/unité, Distribution</v>
      </c>
      <c r="H1095"/>
      <c r="I1095" s="2018" t="s">
        <v>3240</v>
      </c>
      <c r="J1095" s="1135" t="s">
        <v>1994</v>
      </c>
      <c r="K1095" s="1135" t="s">
        <v>1567</v>
      </c>
      <c r="L1095" s="1135" t="s">
        <v>3228</v>
      </c>
      <c r="M1095" s="2062">
        <v>0.3</v>
      </c>
      <c r="N1095" s="1135" t="s">
        <v>3138</v>
      </c>
      <c r="O1095" s="1135">
        <v>64.3</v>
      </c>
      <c r="P1095" s="2017">
        <v>64.3</v>
      </c>
      <c r="Q1095" s="2017">
        <v>0</v>
      </c>
      <c r="R1095" s="2017">
        <v>0</v>
      </c>
      <c r="S1095" s="2017">
        <v>0</v>
      </c>
      <c r="T1095" s="2017">
        <v>0</v>
      </c>
      <c r="U1095" s="2042">
        <v>0</v>
      </c>
    </row>
    <row r="1096" spans="1:21" s="1045" customFormat="1" hidden="1" outlineLevel="2">
      <c r="A1096"/>
      <c r="B1096" s="1135"/>
      <c r="D1096" s="1051">
        <f t="shared" ref="D1096:D1121" si="122">D1095+IF(LEN(E1096)&gt;0,1,0)</f>
        <v>14</v>
      </c>
      <c r="E1096" s="1051" t="str">
        <f>IF(COUNTIF(E$1030:E1095,F1096)&gt;0,"",F1096)</f>
        <v>Sommier à lattes fixes , France Continentale , Base Carbone</v>
      </c>
      <c r="F1096" s="1051" t="str">
        <f t="shared" ref="F1096:F1121" si="123">IF(I1096&lt;&gt;"",I1096&amp;IF(L1096&lt;&gt;"",", "&amp;L1096,"")&amp;IF(K1096&lt;&gt;"",", "&amp;K1096,""),"")</f>
        <v>Sommier à lattes fixes , France Continentale , Base Carbone</v>
      </c>
      <c r="G1096" s="1051" t="str">
        <f t="shared" ref="G1096:G1121" si="124">IF(F1096&lt;&gt;"",F1096&amp;IF(J1096&lt;&gt;"","; "&amp;J1096&amp;IF(N1096&lt;&gt;"",", "&amp;N1096,),""),"")</f>
        <v>Sommier à lattes fixes , France Continentale , Base Carbone; kgCO2e/unité, Matières premières</v>
      </c>
      <c r="H1096"/>
      <c r="I1096" s="2018" t="s">
        <v>3241</v>
      </c>
      <c r="J1096" s="1135" t="s">
        <v>1994</v>
      </c>
      <c r="K1096" s="1135" t="s">
        <v>1567</v>
      </c>
      <c r="L1096" s="1135" t="s">
        <v>3228</v>
      </c>
      <c r="M1096" s="2062">
        <v>0.3</v>
      </c>
      <c r="N1096" s="1135" t="s">
        <v>3135</v>
      </c>
      <c r="O1096" s="1135">
        <v>16.600000000000001</v>
      </c>
      <c r="P1096" s="1119">
        <v>16.600000000000001</v>
      </c>
      <c r="Q1096" s="1119">
        <v>0</v>
      </c>
      <c r="R1096" s="1119">
        <v>0</v>
      </c>
      <c r="S1096" s="1119">
        <v>0</v>
      </c>
      <c r="T1096" s="1119">
        <v>0</v>
      </c>
      <c r="U1096" s="2065">
        <v>-67.3</v>
      </c>
    </row>
    <row r="1097" spans="1:21" s="1045" customFormat="1" hidden="1" outlineLevel="2">
      <c r="A1097"/>
      <c r="B1097" s="1135"/>
      <c r="D1097" s="1051">
        <f t="shared" si="122"/>
        <v>14</v>
      </c>
      <c r="E1097" s="1051" t="str">
        <f>IF(COUNTIF(E$1030:E1096,F1097)&gt;0,"",F1097)</f>
        <v/>
      </c>
      <c r="F1097" s="1051" t="str">
        <f t="shared" si="123"/>
        <v>Sommier à lattes fixes , France Continentale , Base Carbone</v>
      </c>
      <c r="G1097" s="1051" t="str">
        <f t="shared" si="124"/>
        <v>Sommier à lattes fixes , France Continentale , Base Carbone; kgCO2e/unité, Approvisionnement</v>
      </c>
      <c r="H1097"/>
      <c r="I1097" s="2018" t="s">
        <v>3241</v>
      </c>
      <c r="J1097" s="1135" t="s">
        <v>1994</v>
      </c>
      <c r="K1097" s="1135" t="s">
        <v>1567</v>
      </c>
      <c r="L1097" s="1135" t="s">
        <v>3228</v>
      </c>
      <c r="M1097" s="2062">
        <v>0.3</v>
      </c>
      <c r="N1097" s="1135" t="s">
        <v>3136</v>
      </c>
      <c r="O1097" s="1135">
        <v>11.8</v>
      </c>
      <c r="P1097" s="1119">
        <v>11.8</v>
      </c>
      <c r="Q1097" s="1119">
        <v>0</v>
      </c>
      <c r="R1097" s="1119">
        <v>0</v>
      </c>
      <c r="S1097" s="1119">
        <v>0</v>
      </c>
      <c r="T1097" s="1119">
        <v>0</v>
      </c>
      <c r="U1097" s="2065">
        <v>0</v>
      </c>
    </row>
    <row r="1098" spans="1:21" s="1045" customFormat="1" hidden="1" outlineLevel="2">
      <c r="A1098"/>
      <c r="B1098" s="1135"/>
      <c r="D1098" s="1051">
        <f t="shared" si="122"/>
        <v>14</v>
      </c>
      <c r="E1098" s="1051" t="str">
        <f>IF(COUNTIF(E$1030:E1097,F1098)&gt;0,"",F1098)</f>
        <v/>
      </c>
      <c r="F1098" s="1051" t="str">
        <f t="shared" si="123"/>
        <v>Sommier à lattes fixes , France Continentale , Base Carbone</v>
      </c>
      <c r="G1098" s="1051" t="str">
        <f t="shared" si="124"/>
        <v>Sommier à lattes fixes , France Continentale , Base Carbone; kgCO2e/unité, Mise en forme</v>
      </c>
      <c r="H1098"/>
      <c r="I1098" s="2018" t="s">
        <v>3241</v>
      </c>
      <c r="J1098" s="1135" t="s">
        <v>1994</v>
      </c>
      <c r="K1098" s="1135" t="s">
        <v>1567</v>
      </c>
      <c r="L1098" s="1135" t="s">
        <v>3228</v>
      </c>
      <c r="M1098" s="2062">
        <v>0.3</v>
      </c>
      <c r="N1098" s="1135" t="s">
        <v>3141</v>
      </c>
      <c r="O1098" s="1135">
        <v>0.13</v>
      </c>
      <c r="P1098" s="1119">
        <v>0.13</v>
      </c>
      <c r="Q1098" s="1119">
        <v>0</v>
      </c>
      <c r="R1098" s="1119">
        <v>0</v>
      </c>
      <c r="S1098" s="1119">
        <v>0</v>
      </c>
      <c r="T1098" s="1119">
        <v>0</v>
      </c>
      <c r="U1098" s="2065">
        <v>0</v>
      </c>
    </row>
    <row r="1099" spans="1:21" s="1045" customFormat="1" hidden="1" outlineLevel="2">
      <c r="A1099"/>
      <c r="B1099" s="1135"/>
      <c r="D1099" s="1051">
        <f t="shared" si="122"/>
        <v>14</v>
      </c>
      <c r="E1099" s="1051" t="str">
        <f>IF(COUNTIF(E$1030:E1098,F1099)&gt;0,"",F1099)</f>
        <v/>
      </c>
      <c r="F1099" s="1051" t="str">
        <f t="shared" si="123"/>
        <v>Sommier à lattes fixes , France Continentale , Base Carbone</v>
      </c>
      <c r="G1099" s="1051" t="str">
        <f t="shared" si="124"/>
        <v>Sommier à lattes fixes , France Continentale , Base Carbone; kgCO2e/unité, Assemblage</v>
      </c>
      <c r="H1099"/>
      <c r="I1099" s="2018" t="s">
        <v>3241</v>
      </c>
      <c r="J1099" s="1135" t="s">
        <v>1994</v>
      </c>
      <c r="K1099" s="1135" t="s">
        <v>1567</v>
      </c>
      <c r="L1099" s="1135" t="s">
        <v>3228</v>
      </c>
      <c r="M1099" s="2062">
        <v>0.3</v>
      </c>
      <c r="N1099" s="1135" t="s">
        <v>3137</v>
      </c>
      <c r="O1099" s="1135">
        <v>3.96</v>
      </c>
      <c r="P1099" s="1119">
        <v>3.96</v>
      </c>
      <c r="Q1099" s="1119">
        <v>0</v>
      </c>
      <c r="R1099" s="1119">
        <v>0</v>
      </c>
      <c r="S1099" s="1119">
        <v>0</v>
      </c>
      <c r="T1099" s="1119">
        <v>0</v>
      </c>
      <c r="U1099" s="2065">
        <v>0</v>
      </c>
    </row>
    <row r="1100" spans="1:21" s="1045" customFormat="1" hidden="1" outlineLevel="2">
      <c r="A1100"/>
      <c r="B1100" s="1135"/>
      <c r="D1100" s="1051">
        <f t="shared" si="122"/>
        <v>14</v>
      </c>
      <c r="E1100" s="1051" t="str">
        <f>IF(COUNTIF(E$1030:E1099,F1100)&gt;0,"",F1100)</f>
        <v/>
      </c>
      <c r="F1100" s="1051" t="str">
        <f t="shared" si="123"/>
        <v>Sommier à lattes fixes , France Continentale , Base Carbone</v>
      </c>
      <c r="G1100" s="1051" t="str">
        <f t="shared" si="124"/>
        <v>Sommier à lattes fixes , France Continentale , Base Carbone; kgCO2e/unité, Distribution</v>
      </c>
      <c r="H1100"/>
      <c r="I1100" s="2018" t="s">
        <v>3241</v>
      </c>
      <c r="J1100" s="1135" t="s">
        <v>1994</v>
      </c>
      <c r="K1100" s="1135" t="s">
        <v>1567</v>
      </c>
      <c r="L1100" s="1135" t="s">
        <v>3228</v>
      </c>
      <c r="M1100" s="2062">
        <v>0.3</v>
      </c>
      <c r="N1100" s="1135" t="s">
        <v>3138</v>
      </c>
      <c r="O1100" s="1135">
        <v>11.7</v>
      </c>
      <c r="P1100" s="1119">
        <v>11.7</v>
      </c>
      <c r="Q1100" s="1119">
        <v>0</v>
      </c>
      <c r="R1100" s="1119">
        <v>0</v>
      </c>
      <c r="S1100" s="1119">
        <v>0</v>
      </c>
      <c r="T1100" s="1119">
        <v>0</v>
      </c>
      <c r="U1100" s="2065">
        <v>0</v>
      </c>
    </row>
    <row r="1101" spans="1:21" s="1045" customFormat="1" hidden="1" outlineLevel="2">
      <c r="A1101"/>
      <c r="B1101" s="1135"/>
      <c r="D1101" s="1051">
        <f t="shared" si="122"/>
        <v>15</v>
      </c>
      <c r="E1101" s="1051" t="str">
        <f>IF(COUNTIF(E$1030:E1100,F1101)&gt;0,"",F1101)</f>
        <v>Sommier tapissier, France Continentale , Base Carbone</v>
      </c>
      <c r="F1101" s="1051" t="str">
        <f t="shared" si="123"/>
        <v>Sommier tapissier, France Continentale , Base Carbone</v>
      </c>
      <c r="G1101" s="1051" t="str">
        <f t="shared" si="124"/>
        <v>Sommier tapissier, France Continentale , Base Carbone; kgCO2e/unité, Matières premières</v>
      </c>
      <c r="H1101"/>
      <c r="I1101" s="2018" t="s">
        <v>3242</v>
      </c>
      <c r="J1101" s="1135" t="s">
        <v>1994</v>
      </c>
      <c r="K1101" s="1135" t="s">
        <v>1567</v>
      </c>
      <c r="L1101" s="1135" t="s">
        <v>3228</v>
      </c>
      <c r="M1101" s="2062">
        <v>0.3</v>
      </c>
      <c r="N1101" s="1135" t="s">
        <v>3135</v>
      </c>
      <c r="O1101" s="1135">
        <v>68.099999999999994</v>
      </c>
      <c r="P1101" s="1119">
        <v>68.099999999999994</v>
      </c>
      <c r="Q1101" s="1119">
        <v>0</v>
      </c>
      <c r="R1101" s="1119">
        <v>0</v>
      </c>
      <c r="S1101" s="1119">
        <v>0</v>
      </c>
      <c r="T1101" s="1119">
        <v>0</v>
      </c>
      <c r="U1101" s="2065">
        <v>-36.9</v>
      </c>
    </row>
    <row r="1102" spans="1:21" s="1045" customFormat="1" hidden="1" outlineLevel="2">
      <c r="A1102"/>
      <c r="B1102" s="1135"/>
      <c r="D1102" s="1051">
        <f t="shared" si="122"/>
        <v>15</v>
      </c>
      <c r="E1102" s="1051" t="str">
        <f>IF(COUNTIF(E$1030:E1101,F1102)&gt;0,"",F1102)</f>
        <v/>
      </c>
      <c r="F1102" s="1051" t="str">
        <f t="shared" si="123"/>
        <v>Sommier tapissier, France Continentale , Base Carbone</v>
      </c>
      <c r="G1102" s="1051" t="str">
        <f t="shared" si="124"/>
        <v>Sommier tapissier, France Continentale , Base Carbone; kgCO2e/unité, Approvisionnement</v>
      </c>
      <c r="H1102"/>
      <c r="I1102" s="2018" t="s">
        <v>3242</v>
      </c>
      <c r="J1102" s="1135" t="s">
        <v>1994</v>
      </c>
      <c r="K1102" s="1135" t="s">
        <v>1567</v>
      </c>
      <c r="L1102" s="1135" t="s">
        <v>3228</v>
      </c>
      <c r="M1102" s="2062">
        <v>0.3</v>
      </c>
      <c r="N1102" s="1135" t="s">
        <v>3136</v>
      </c>
      <c r="O1102" s="1135">
        <v>8.14</v>
      </c>
      <c r="P1102" s="1119">
        <v>8.14</v>
      </c>
      <c r="Q1102" s="1119">
        <v>0</v>
      </c>
      <c r="R1102" s="1119">
        <v>0</v>
      </c>
      <c r="S1102" s="1119">
        <v>0</v>
      </c>
      <c r="T1102" s="1119">
        <v>0</v>
      </c>
      <c r="U1102" s="2065">
        <v>0</v>
      </c>
    </row>
    <row r="1103" spans="1:21" s="1045" customFormat="1" hidden="1" outlineLevel="2">
      <c r="A1103"/>
      <c r="B1103" s="1135"/>
      <c r="D1103" s="1051">
        <f t="shared" si="122"/>
        <v>15</v>
      </c>
      <c r="E1103" s="1051" t="str">
        <f>IF(COUNTIF(E$1030:E1102,F1103)&gt;0,"",F1103)</f>
        <v/>
      </c>
      <c r="F1103" s="1051" t="str">
        <f t="shared" si="123"/>
        <v>Sommier tapissier, France Continentale , Base Carbone</v>
      </c>
      <c r="G1103" s="1051" t="str">
        <f t="shared" si="124"/>
        <v>Sommier tapissier, France Continentale , Base Carbone; kgCO2e/unité, Mise en forme</v>
      </c>
      <c r="H1103"/>
      <c r="I1103" s="2018" t="s">
        <v>3242</v>
      </c>
      <c r="J1103" s="1135" t="s">
        <v>1994</v>
      </c>
      <c r="K1103" s="1135" t="s">
        <v>1567</v>
      </c>
      <c r="L1103" s="1135" t="s">
        <v>3228</v>
      </c>
      <c r="M1103" s="2062">
        <v>0.3</v>
      </c>
      <c r="N1103" s="1135" t="s">
        <v>3141</v>
      </c>
      <c r="O1103" s="1135">
        <v>15</v>
      </c>
      <c r="P1103" s="1119">
        <v>15</v>
      </c>
      <c r="Q1103" s="1119">
        <v>0</v>
      </c>
      <c r="R1103" s="1119">
        <v>0</v>
      </c>
      <c r="S1103" s="1119">
        <v>0</v>
      </c>
      <c r="T1103" s="1119">
        <v>0</v>
      </c>
      <c r="U1103" s="2065">
        <v>0</v>
      </c>
    </row>
    <row r="1104" spans="1:21" s="1045" customFormat="1" hidden="1" outlineLevel="2">
      <c r="A1104"/>
      <c r="B1104" s="1135"/>
      <c r="D1104" s="1051">
        <f t="shared" si="122"/>
        <v>15</v>
      </c>
      <c r="E1104" s="1051" t="str">
        <f>IF(COUNTIF(E$1030:E1103,F1104)&gt;0,"",F1104)</f>
        <v/>
      </c>
      <c r="F1104" s="1051" t="str">
        <f t="shared" si="123"/>
        <v>Sommier tapissier, France Continentale , Base Carbone</v>
      </c>
      <c r="G1104" s="1051" t="str">
        <f t="shared" si="124"/>
        <v>Sommier tapissier, France Continentale , Base Carbone; kgCO2e/unité, Assemblage</v>
      </c>
      <c r="H1104"/>
      <c r="I1104" s="2018" t="s">
        <v>3242</v>
      </c>
      <c r="J1104" s="1135" t="s">
        <v>1994</v>
      </c>
      <c r="K1104" s="1135" t="s">
        <v>1567</v>
      </c>
      <c r="L1104" s="1135" t="s">
        <v>3228</v>
      </c>
      <c r="M1104" s="2062">
        <v>0.3</v>
      </c>
      <c r="N1104" s="1135" t="s">
        <v>3137</v>
      </c>
      <c r="O1104" s="1135">
        <v>3.96</v>
      </c>
      <c r="P1104" s="1119">
        <v>3.96</v>
      </c>
      <c r="Q1104" s="1119">
        <v>0</v>
      </c>
      <c r="R1104" s="1119">
        <v>0</v>
      </c>
      <c r="S1104" s="1119">
        <v>0</v>
      </c>
      <c r="T1104" s="1119">
        <v>0</v>
      </c>
      <c r="U1104" s="2065">
        <v>0</v>
      </c>
    </row>
    <row r="1105" spans="1:21" s="1045" customFormat="1" hidden="1" outlineLevel="2">
      <c r="A1105"/>
      <c r="B1105" s="1135"/>
      <c r="D1105" s="1051">
        <f t="shared" si="122"/>
        <v>15</v>
      </c>
      <c r="E1105" s="1051" t="str">
        <f>IF(COUNTIF(E$1030:E1104,F1105)&gt;0,"",F1105)</f>
        <v/>
      </c>
      <c r="F1105" s="1051" t="str">
        <f t="shared" si="123"/>
        <v>Sommier tapissier, France Continentale , Base Carbone</v>
      </c>
      <c r="G1105" s="1051" t="str">
        <f t="shared" si="124"/>
        <v>Sommier tapissier, France Continentale , Base Carbone; kgCO2e/unité, Distribution</v>
      </c>
      <c r="H1105"/>
      <c r="I1105" s="2018" t="s">
        <v>3242</v>
      </c>
      <c r="J1105" s="1135" t="s">
        <v>1994</v>
      </c>
      <c r="K1105" s="1135" t="s">
        <v>1567</v>
      </c>
      <c r="L1105" s="1135" t="s">
        <v>3228</v>
      </c>
      <c r="M1105" s="2062">
        <v>0.3</v>
      </c>
      <c r="N1105" s="1135" t="s">
        <v>3138</v>
      </c>
      <c r="O1105" s="1135">
        <v>7.92</v>
      </c>
      <c r="P1105" s="1119">
        <v>7.92</v>
      </c>
      <c r="Q1105" s="1119">
        <v>0</v>
      </c>
      <c r="R1105" s="1119">
        <v>0</v>
      </c>
      <c r="S1105" s="1119">
        <v>0</v>
      </c>
      <c r="T1105" s="1119">
        <v>0</v>
      </c>
      <c r="U1105" s="2065">
        <v>0</v>
      </c>
    </row>
    <row r="1106" spans="1:21" s="1045" customFormat="1" hidden="1" outlineLevel="2">
      <c r="A1106"/>
      <c r="B1106" s="1135"/>
      <c r="D1106" s="1051">
        <f t="shared" si="122"/>
        <v>16</v>
      </c>
      <c r="E1106" s="1051" t="str">
        <f>IF(COUNTIF(E$1030:E1105,F1106)&gt;0,"",F1106)</f>
        <v>Table - bois massif, France Continentale , Base Carbone</v>
      </c>
      <c r="F1106" s="1051" t="str">
        <f t="shared" si="123"/>
        <v>Table - bois massif, France Continentale , Base Carbone</v>
      </c>
      <c r="G1106" s="1051" t="str">
        <f t="shared" si="124"/>
        <v>Table - bois massif, France Continentale , Base Carbone; kgCO2e/unité, Matières premières</v>
      </c>
      <c r="H1106"/>
      <c r="I1106" s="2018" t="s">
        <v>3243</v>
      </c>
      <c r="J1106" s="1135" t="s">
        <v>1994</v>
      </c>
      <c r="K1106" s="1135" t="s">
        <v>1567</v>
      </c>
      <c r="L1106" s="1135" t="s">
        <v>3228</v>
      </c>
      <c r="M1106" s="2062">
        <v>0.2</v>
      </c>
      <c r="N1106" s="1135" t="s">
        <v>3135</v>
      </c>
      <c r="O1106" s="1135">
        <v>23.6</v>
      </c>
      <c r="P1106" s="1119">
        <v>23.6</v>
      </c>
      <c r="Q1106" s="1119">
        <v>0</v>
      </c>
      <c r="R1106" s="1119">
        <v>0</v>
      </c>
      <c r="S1106" s="1119">
        <v>0</v>
      </c>
      <c r="T1106" s="1119">
        <v>0</v>
      </c>
      <c r="U1106" s="2065">
        <v>-34.4</v>
      </c>
    </row>
    <row r="1107" spans="1:21" s="1045" customFormat="1" hidden="1" outlineLevel="2">
      <c r="A1107"/>
      <c r="B1107" s="1135"/>
      <c r="D1107" s="1051">
        <f t="shared" si="122"/>
        <v>16</v>
      </c>
      <c r="E1107" s="1051" t="str">
        <f>IF(COUNTIF(E$1030:E1106,F1107)&gt;0,"",F1107)</f>
        <v/>
      </c>
      <c r="F1107" s="1051" t="str">
        <f t="shared" si="123"/>
        <v>Table - bois massif, France Continentale , Base Carbone</v>
      </c>
      <c r="G1107" s="1051" t="str">
        <f t="shared" si="124"/>
        <v>Table - bois massif, France Continentale , Base Carbone; kgCO2e/unité, Approvisionnement</v>
      </c>
      <c r="H1107"/>
      <c r="I1107" s="2018" t="s">
        <v>3243</v>
      </c>
      <c r="J1107" s="1135" t="s">
        <v>1994</v>
      </c>
      <c r="K1107" s="1135" t="s">
        <v>1567</v>
      </c>
      <c r="L1107" s="1135" t="s">
        <v>3228</v>
      </c>
      <c r="M1107" s="2062">
        <v>0.2</v>
      </c>
      <c r="N1107" s="1135" t="s">
        <v>3136</v>
      </c>
      <c r="O1107" s="1135">
        <v>9.39</v>
      </c>
      <c r="P1107" s="1119">
        <v>9.39</v>
      </c>
      <c r="Q1107" s="1119">
        <v>0</v>
      </c>
      <c r="R1107" s="1119">
        <v>0</v>
      </c>
      <c r="S1107" s="1119">
        <v>0</v>
      </c>
      <c r="T1107" s="1119">
        <v>0</v>
      </c>
      <c r="U1107" s="2065">
        <v>0</v>
      </c>
    </row>
    <row r="1108" spans="1:21" s="1045" customFormat="1" hidden="1" outlineLevel="2">
      <c r="A1108"/>
      <c r="B1108" s="1135"/>
      <c r="D1108" s="1051">
        <f t="shared" si="122"/>
        <v>16</v>
      </c>
      <c r="E1108" s="1051" t="str">
        <f>IF(COUNTIF(E$1030:E1107,F1108)&gt;0,"",F1108)</f>
        <v/>
      </c>
      <c r="F1108" s="1051" t="str">
        <f t="shared" si="123"/>
        <v>Table - bois massif, France Continentale , Base Carbone</v>
      </c>
      <c r="G1108" s="1051" t="str">
        <f t="shared" si="124"/>
        <v>Table - bois massif, France Continentale , Base Carbone; kgCO2e/unité, Mise en forme</v>
      </c>
      <c r="H1108"/>
      <c r="I1108" s="2018" t="s">
        <v>3243</v>
      </c>
      <c r="J1108" s="1135" t="s">
        <v>1994</v>
      </c>
      <c r="K1108" s="1135" t="s">
        <v>1567</v>
      </c>
      <c r="L1108" s="1135" t="s">
        <v>3228</v>
      </c>
      <c r="M1108" s="2062">
        <v>0.2</v>
      </c>
      <c r="N1108" s="1135" t="s">
        <v>3141</v>
      </c>
      <c r="O1108" s="1135">
        <v>0.13</v>
      </c>
      <c r="P1108" s="1119">
        <v>0.13</v>
      </c>
      <c r="Q1108" s="1119">
        <v>0</v>
      </c>
      <c r="R1108" s="1119">
        <v>0</v>
      </c>
      <c r="S1108" s="1119">
        <v>0</v>
      </c>
      <c r="T1108" s="1119">
        <v>0</v>
      </c>
      <c r="U1108" s="2065">
        <v>0</v>
      </c>
    </row>
    <row r="1109" spans="1:21" s="1045" customFormat="1" hidden="1" outlineLevel="2">
      <c r="A1109"/>
      <c r="B1109" s="1135"/>
      <c r="D1109" s="1051">
        <f t="shared" si="122"/>
        <v>16</v>
      </c>
      <c r="E1109" s="1051" t="str">
        <f>IF(COUNTIF(E$1030:E1108,F1109)&gt;0,"",F1109)</f>
        <v/>
      </c>
      <c r="F1109" s="1051" t="str">
        <f t="shared" si="123"/>
        <v>Table - bois massif, France Continentale , Base Carbone</v>
      </c>
      <c r="G1109" s="1051" t="str">
        <f t="shared" si="124"/>
        <v>Table - bois massif, France Continentale , Base Carbone; kgCO2e/unité, Assemblage</v>
      </c>
      <c r="H1109"/>
      <c r="I1109" s="2018" t="s">
        <v>3243</v>
      </c>
      <c r="J1109" s="1135" t="s">
        <v>1994</v>
      </c>
      <c r="K1109" s="1135" t="s">
        <v>1567</v>
      </c>
      <c r="L1109" s="1135" t="s">
        <v>3228</v>
      </c>
      <c r="M1109" s="2062">
        <v>0.2</v>
      </c>
      <c r="N1109" s="1135" t="s">
        <v>3137</v>
      </c>
      <c r="O1109" s="1135">
        <v>16.100000000000001</v>
      </c>
      <c r="P1109" s="1119">
        <v>16.100000000000001</v>
      </c>
      <c r="Q1109" s="1119">
        <v>0</v>
      </c>
      <c r="R1109" s="1119">
        <v>0</v>
      </c>
      <c r="S1109" s="1119">
        <v>0</v>
      </c>
      <c r="T1109" s="1119">
        <v>0</v>
      </c>
      <c r="U1109" s="2065">
        <v>0</v>
      </c>
    </row>
    <row r="1110" spans="1:21" s="1045" customFormat="1" hidden="1" outlineLevel="2">
      <c r="A1110"/>
      <c r="B1110" s="1135"/>
      <c r="D1110" s="1051">
        <f t="shared" si="122"/>
        <v>16</v>
      </c>
      <c r="E1110" s="1051" t="str">
        <f>IF(COUNTIF(E$1030:E1109,F1110)&gt;0,"",F1110)</f>
        <v/>
      </c>
      <c r="F1110" s="1051" t="str">
        <f t="shared" si="123"/>
        <v>Table - bois massif, France Continentale , Base Carbone</v>
      </c>
      <c r="G1110" s="1051" t="str">
        <f t="shared" si="124"/>
        <v>Table - bois massif, France Continentale , Base Carbone; kgCO2e/unité, Distribution</v>
      </c>
      <c r="H1110"/>
      <c r="I1110" s="2018" t="s">
        <v>3243</v>
      </c>
      <c r="J1110" s="1135" t="s">
        <v>1994</v>
      </c>
      <c r="K1110" s="1135" t="s">
        <v>1567</v>
      </c>
      <c r="L1110" s="1135" t="s">
        <v>3228</v>
      </c>
      <c r="M1110" s="2062">
        <v>0.2</v>
      </c>
      <c r="N1110" s="1135" t="s">
        <v>3138</v>
      </c>
      <c r="O1110" s="1135">
        <v>31</v>
      </c>
      <c r="P1110" s="1119">
        <v>31</v>
      </c>
      <c r="Q1110" s="1119">
        <v>0</v>
      </c>
      <c r="R1110" s="1119">
        <v>0</v>
      </c>
      <c r="S1110" s="1119">
        <v>0</v>
      </c>
      <c r="T1110" s="1119">
        <v>0</v>
      </c>
      <c r="U1110" s="2065">
        <v>0</v>
      </c>
    </row>
    <row r="1111" spans="1:21" s="1045" customFormat="1" hidden="1" outlineLevel="2">
      <c r="A1111"/>
      <c r="B1111" s="1135"/>
      <c r="D1111" s="1051">
        <f t="shared" si="122"/>
        <v>17</v>
      </c>
      <c r="E1111" s="1051" t="str">
        <f>IF(COUNTIF(E$1030:E1110,F1111)&gt;0,"",F1111)</f>
        <v>Table représentative, France Continentale , Base Carbone</v>
      </c>
      <c r="F1111" s="1051" t="str">
        <f t="shared" si="123"/>
        <v>Table représentative, France Continentale , Base Carbone</v>
      </c>
      <c r="G1111" s="1051" t="str">
        <f t="shared" si="124"/>
        <v>Table représentative, France Continentale , Base Carbone; kgCO2e/unité, Matières premières</v>
      </c>
      <c r="H1111"/>
      <c r="I1111" s="2018" t="s">
        <v>3244</v>
      </c>
      <c r="J1111" s="1135" t="s">
        <v>1994</v>
      </c>
      <c r="K1111" s="1135" t="s">
        <v>1567</v>
      </c>
      <c r="L1111" s="1135" t="s">
        <v>3228</v>
      </c>
      <c r="M1111" s="2062">
        <v>0.2</v>
      </c>
      <c r="N1111" s="1135" t="s">
        <v>3135</v>
      </c>
      <c r="O1111" s="1135">
        <v>16.100000000000001</v>
      </c>
      <c r="P1111" s="1119">
        <v>16.100000000000001</v>
      </c>
      <c r="Q1111" s="1119">
        <v>0</v>
      </c>
      <c r="R1111" s="1119">
        <v>0</v>
      </c>
      <c r="S1111" s="1119">
        <v>0</v>
      </c>
      <c r="T1111" s="1119">
        <v>0</v>
      </c>
      <c r="U1111" s="2065">
        <v>-21.7</v>
      </c>
    </row>
    <row r="1112" spans="1:21" s="1045" customFormat="1" hidden="1" outlineLevel="2">
      <c r="A1112"/>
      <c r="B1112" s="1135"/>
      <c r="D1112" s="1051">
        <f t="shared" si="122"/>
        <v>17</v>
      </c>
      <c r="E1112" s="1051" t="str">
        <f>IF(COUNTIF(E$1030:E1111,F1112)&gt;0,"",F1112)</f>
        <v/>
      </c>
      <c r="F1112" s="1051" t="str">
        <f t="shared" si="123"/>
        <v>Table représentative, France Continentale , Base Carbone</v>
      </c>
      <c r="G1112" s="1051" t="str">
        <f t="shared" si="124"/>
        <v>Table représentative, France Continentale , Base Carbone; kgCO2e/unité, Approvisionnement</v>
      </c>
      <c r="H1112"/>
      <c r="I1112" s="2018" t="s">
        <v>3244</v>
      </c>
      <c r="J1112" s="1135" t="s">
        <v>1994</v>
      </c>
      <c r="K1112" s="1135" t="s">
        <v>1567</v>
      </c>
      <c r="L1112" s="1135" t="s">
        <v>3228</v>
      </c>
      <c r="M1112" s="2062">
        <v>0.2</v>
      </c>
      <c r="N1112" s="1135" t="s">
        <v>3136</v>
      </c>
      <c r="O1112" s="1135">
        <v>6.34</v>
      </c>
      <c r="P1112" s="1119">
        <v>6.34</v>
      </c>
      <c r="Q1112" s="1119">
        <v>0</v>
      </c>
      <c r="R1112" s="1119">
        <v>0</v>
      </c>
      <c r="S1112" s="1119">
        <v>0</v>
      </c>
      <c r="T1112" s="1119">
        <v>0</v>
      </c>
      <c r="U1112" s="2065">
        <v>0</v>
      </c>
    </row>
    <row r="1113" spans="1:21" s="1045" customFormat="1" hidden="1" outlineLevel="2">
      <c r="A1113"/>
      <c r="B1113" s="1135"/>
      <c r="D1113" s="1051">
        <f t="shared" si="122"/>
        <v>17</v>
      </c>
      <c r="E1113" s="1051" t="str">
        <f>IF(COUNTIF(E$1030:E1112,F1113)&gt;0,"",F1113)</f>
        <v/>
      </c>
      <c r="F1113" s="1051" t="str">
        <f t="shared" si="123"/>
        <v>Table représentative, France Continentale , Base Carbone</v>
      </c>
      <c r="G1113" s="1051" t="str">
        <f t="shared" si="124"/>
        <v>Table représentative, France Continentale , Base Carbone; kgCO2e/unité, Mise en forme</v>
      </c>
      <c r="H1113"/>
      <c r="I1113" s="2018" t="s">
        <v>3244</v>
      </c>
      <c r="J1113" s="1135" t="s">
        <v>1994</v>
      </c>
      <c r="K1113" s="1135" t="s">
        <v>1567</v>
      </c>
      <c r="L1113" s="1135" t="s">
        <v>3228</v>
      </c>
      <c r="M1113" s="2062">
        <v>0.2</v>
      </c>
      <c r="N1113" s="1135" t="s">
        <v>3141</v>
      </c>
      <c r="O1113" s="1135">
        <v>0.18</v>
      </c>
      <c r="P1113" s="1119">
        <v>0.18</v>
      </c>
      <c r="Q1113" s="1119">
        <v>0</v>
      </c>
      <c r="R1113" s="1119">
        <v>0</v>
      </c>
      <c r="S1113" s="1119">
        <v>0</v>
      </c>
      <c r="T1113" s="1119">
        <v>0</v>
      </c>
      <c r="U1113" s="2065">
        <v>0</v>
      </c>
    </row>
    <row r="1114" spans="1:21" s="1045" customFormat="1" hidden="1" outlineLevel="2">
      <c r="A1114"/>
      <c r="B1114" s="1135"/>
      <c r="D1114" s="1051">
        <f t="shared" si="122"/>
        <v>17</v>
      </c>
      <c r="E1114" s="1051" t="str">
        <f>IF(COUNTIF(E$1030:E1113,F1114)&gt;0,"",F1114)</f>
        <v/>
      </c>
      <c r="F1114" s="1051" t="str">
        <f t="shared" si="123"/>
        <v>Table représentative, France Continentale , Base Carbone</v>
      </c>
      <c r="G1114" s="1051" t="str">
        <f t="shared" si="124"/>
        <v>Table représentative, France Continentale , Base Carbone; kgCO2e/unité, Assemblage</v>
      </c>
      <c r="H1114"/>
      <c r="I1114" s="2018" t="s">
        <v>3244</v>
      </c>
      <c r="J1114" s="1135" t="s">
        <v>1994</v>
      </c>
      <c r="K1114" s="1135" t="s">
        <v>1567</v>
      </c>
      <c r="L1114" s="1135" t="s">
        <v>3228</v>
      </c>
      <c r="M1114" s="2062">
        <v>0.2</v>
      </c>
      <c r="N1114" s="1135" t="s">
        <v>3137</v>
      </c>
      <c r="O1114" s="1135">
        <v>16.5</v>
      </c>
      <c r="P1114" s="1119">
        <v>16.5</v>
      </c>
      <c r="Q1114" s="1119">
        <v>0</v>
      </c>
      <c r="R1114" s="1119">
        <v>0</v>
      </c>
      <c r="S1114" s="1119">
        <v>0</v>
      </c>
      <c r="T1114" s="1119">
        <v>0</v>
      </c>
      <c r="U1114" s="2065">
        <v>0</v>
      </c>
    </row>
    <row r="1115" spans="1:21" s="1045" customFormat="1" hidden="1" outlineLevel="2">
      <c r="A1115"/>
      <c r="B1115" s="1135"/>
      <c r="D1115" s="1051">
        <f t="shared" si="122"/>
        <v>17</v>
      </c>
      <c r="E1115" s="1051" t="str">
        <f>IF(COUNTIF(E$1030:E1114,F1115)&gt;0,"",F1115)</f>
        <v/>
      </c>
      <c r="F1115" s="1051" t="str">
        <f t="shared" si="123"/>
        <v>Table représentative, France Continentale , Base Carbone</v>
      </c>
      <c r="G1115" s="1051" t="str">
        <f t="shared" si="124"/>
        <v>Table représentative, France Continentale , Base Carbone; kgCO2e/unité, Distribution</v>
      </c>
      <c r="H1115"/>
      <c r="I1115" s="2018" t="s">
        <v>3244</v>
      </c>
      <c r="J1115" s="1135" t="s">
        <v>1994</v>
      </c>
      <c r="K1115" s="1135" t="s">
        <v>1567</v>
      </c>
      <c r="L1115" s="1135" t="s">
        <v>3228</v>
      </c>
      <c r="M1115" s="2062">
        <v>0.2</v>
      </c>
      <c r="N1115" s="1135" t="s">
        <v>3138</v>
      </c>
      <c r="O1115" s="1135">
        <v>21</v>
      </c>
      <c r="P1115" s="1119">
        <v>21</v>
      </c>
      <c r="Q1115" s="1119">
        <v>0</v>
      </c>
      <c r="R1115" s="1119">
        <v>0</v>
      </c>
      <c r="S1115" s="1119">
        <v>0</v>
      </c>
      <c r="T1115" s="1119">
        <v>0</v>
      </c>
      <c r="U1115" s="2065">
        <v>0</v>
      </c>
    </row>
    <row r="1116" spans="1:21" hidden="1" outlineLevel="2">
      <c r="B1116" s="1135"/>
      <c r="C1116" s="1045"/>
      <c r="D1116" s="1051">
        <f t="shared" si="122"/>
        <v>17</v>
      </c>
      <c r="E1116" s="1051" t="str">
        <f>IF(COUNTIF(E$1030:E1115,F1116)&gt;0,"",F1116)</f>
        <v/>
      </c>
      <c r="F1116" s="1051" t="str">
        <f t="shared" si="123"/>
        <v/>
      </c>
      <c r="G1116" s="1051" t="str">
        <f t="shared" si="124"/>
        <v/>
      </c>
      <c r="I1116" s="2018"/>
      <c r="J1116" s="1135"/>
      <c r="K1116" s="1135"/>
      <c r="L1116" s="1135"/>
      <c r="M1116" s="2062"/>
      <c r="N1116" s="1135"/>
      <c r="O1116" s="1135"/>
      <c r="P1116" s="2017"/>
      <c r="Q1116" s="2017"/>
      <c r="R1116" s="2017"/>
      <c r="S1116" s="2017"/>
      <c r="T1116" s="2017"/>
      <c r="U1116" s="2042"/>
    </row>
    <row r="1117" spans="1:21" hidden="1" outlineLevel="2">
      <c r="B1117" s="1135"/>
      <c r="C1117" s="1045"/>
      <c r="D1117" s="1051">
        <f t="shared" si="122"/>
        <v>17</v>
      </c>
      <c r="E1117" s="1051" t="str">
        <f>IF(COUNTIF(E$1030:E1116,F1117)&gt;0,"",F1117)</f>
        <v/>
      </c>
      <c r="F1117" s="1051" t="str">
        <f t="shared" si="123"/>
        <v/>
      </c>
      <c r="G1117" s="1051" t="str">
        <f t="shared" si="124"/>
        <v/>
      </c>
      <c r="I1117" s="2018"/>
      <c r="J1117" s="1135"/>
      <c r="K1117" s="1135"/>
      <c r="L1117" s="1135"/>
      <c r="M1117" s="2062"/>
      <c r="N1117" s="1135"/>
      <c r="O1117" s="1135"/>
      <c r="P1117" s="2017"/>
      <c r="Q1117" s="2017"/>
      <c r="R1117" s="2017"/>
      <c r="S1117" s="2017"/>
      <c r="T1117" s="2017"/>
      <c r="U1117" s="2042"/>
    </row>
    <row r="1118" spans="1:21" hidden="1" outlineLevel="2">
      <c r="B1118" s="1135"/>
      <c r="C1118" s="1045"/>
      <c r="D1118" s="1051">
        <f t="shared" si="122"/>
        <v>17</v>
      </c>
      <c r="E1118" s="1051" t="str">
        <f>IF(COUNTIF(E$1030:E1117,F1118)&gt;0,"",F1118)</f>
        <v/>
      </c>
      <c r="F1118" s="1051" t="str">
        <f t="shared" si="123"/>
        <v/>
      </c>
      <c r="G1118" s="1051" t="str">
        <f t="shared" si="124"/>
        <v/>
      </c>
      <c r="I1118" s="2018"/>
      <c r="J1118" s="1135"/>
      <c r="K1118" s="1135"/>
      <c r="L1118" s="1135"/>
      <c r="M1118" s="2062"/>
      <c r="N1118" s="1135"/>
      <c r="O1118" s="1135"/>
      <c r="P1118" s="2017"/>
      <c r="Q1118" s="2017"/>
      <c r="R1118" s="2017"/>
      <c r="S1118" s="2017"/>
      <c r="T1118" s="2017"/>
      <c r="U1118" s="2042"/>
    </row>
    <row r="1119" spans="1:21" hidden="1" outlineLevel="2">
      <c r="B1119" s="1135"/>
      <c r="C1119" s="1045"/>
      <c r="D1119" s="1051">
        <f t="shared" si="122"/>
        <v>17</v>
      </c>
      <c r="E1119" s="1051" t="str">
        <f>IF(COUNTIF(E$1030:E1118,F1119)&gt;0,"",F1119)</f>
        <v/>
      </c>
      <c r="F1119" s="1051" t="str">
        <f t="shared" si="123"/>
        <v/>
      </c>
      <c r="G1119" s="1051" t="str">
        <f t="shared" si="124"/>
        <v/>
      </c>
      <c r="I1119" s="2018"/>
      <c r="J1119" s="1135"/>
      <c r="K1119" s="1135"/>
      <c r="L1119" s="1135"/>
      <c r="M1119" s="2062"/>
      <c r="N1119" s="1135"/>
      <c r="O1119" s="1135"/>
      <c r="P1119" s="2017"/>
      <c r="Q1119" s="2017"/>
      <c r="R1119" s="2017"/>
      <c r="S1119" s="2017"/>
      <c r="T1119" s="2017"/>
      <c r="U1119" s="2042"/>
    </row>
    <row r="1120" spans="1:21" hidden="1" outlineLevel="2">
      <c r="B1120" s="1135"/>
      <c r="C1120" s="1045"/>
      <c r="D1120" s="1051">
        <f t="shared" si="122"/>
        <v>17</v>
      </c>
      <c r="E1120" s="1051" t="str">
        <f>IF(COUNTIF(E$1030:E1119,F1120)&gt;0,"",F1120)</f>
        <v/>
      </c>
      <c r="F1120" s="1051" t="str">
        <f t="shared" si="123"/>
        <v/>
      </c>
      <c r="G1120" s="1051" t="str">
        <f t="shared" si="124"/>
        <v/>
      </c>
      <c r="I1120" s="2018"/>
      <c r="J1120" s="1135"/>
      <c r="K1120" s="1135"/>
      <c r="L1120" s="1135"/>
      <c r="M1120" s="2062"/>
      <c r="N1120" s="1135"/>
      <c r="O1120" s="1135"/>
      <c r="P1120" s="2017"/>
      <c r="Q1120" s="2017"/>
      <c r="R1120" s="2017"/>
      <c r="S1120" s="2017"/>
      <c r="T1120" s="2017"/>
      <c r="U1120" s="2042"/>
    </row>
    <row r="1121" spans="2:21" hidden="1" outlineLevel="2">
      <c r="B1121" s="1135"/>
      <c r="C1121" s="1045"/>
      <c r="D1121" s="1051">
        <f t="shared" si="122"/>
        <v>17</v>
      </c>
      <c r="E1121" s="1051" t="str">
        <f>IF(COUNTIF(E$1030:E1120,F1121)&gt;0,"",F1121)</f>
        <v/>
      </c>
      <c r="F1121" s="1051" t="str">
        <f t="shared" si="123"/>
        <v/>
      </c>
      <c r="G1121" s="1051" t="str">
        <f t="shared" si="124"/>
        <v/>
      </c>
      <c r="I1121" s="2018"/>
      <c r="J1121" s="1135"/>
      <c r="K1121" s="1135"/>
      <c r="L1121" s="1135"/>
      <c r="M1121" s="2062"/>
      <c r="N1121" s="1135"/>
      <c r="O1121" s="1135"/>
      <c r="P1121" s="2017"/>
      <c r="Q1121" s="2017"/>
      <c r="R1121" s="2017"/>
      <c r="S1121" s="2017"/>
      <c r="T1121" s="2017"/>
      <c r="U1121" s="2042"/>
    </row>
    <row r="1122" spans="2:21" hidden="1" outlineLevel="2">
      <c r="B1122" s="1135"/>
      <c r="C1122" s="1045"/>
      <c r="D1122" s="1051"/>
      <c r="E1122" s="1051"/>
      <c r="F1122" s="1051"/>
      <c r="G1122" s="1051"/>
      <c r="I1122" s="2018"/>
      <c r="J1122" s="1135"/>
      <c r="K1122" s="1135"/>
      <c r="L1122" s="1135"/>
      <c r="M1122" s="2062"/>
      <c r="N1122" s="1135"/>
      <c r="O1122" s="1135"/>
      <c r="P1122" s="2017"/>
      <c r="Q1122" s="2017"/>
      <c r="R1122" s="2017"/>
      <c r="S1122" s="2017"/>
      <c r="T1122" s="2017"/>
      <c r="U1122" s="2042"/>
    </row>
    <row r="1123" spans="2:21" hidden="1" outlineLevel="2">
      <c r="B1123" s="1135"/>
      <c r="C1123" s="1045"/>
      <c r="D1123" s="1051"/>
      <c r="E1123" s="1051"/>
      <c r="F1123" s="1051"/>
      <c r="G1123" s="1051"/>
      <c r="I1123" s="2018"/>
      <c r="J1123" s="1135"/>
      <c r="K1123" s="1135"/>
      <c r="L1123" s="1135"/>
      <c r="M1123" s="2062"/>
      <c r="N1123" s="1135"/>
      <c r="O1123" s="1135"/>
      <c r="P1123" s="2017"/>
      <c r="Q1123" s="2017"/>
      <c r="R1123" s="2017"/>
      <c r="S1123" s="2017"/>
      <c r="T1123" s="2017"/>
      <c r="U1123" s="2042"/>
    </row>
    <row r="1124" spans="2:21" hidden="1" outlineLevel="2">
      <c r="B1124" s="1135"/>
      <c r="C1124" s="1045"/>
      <c r="D1124" s="1051"/>
      <c r="E1124" s="1051"/>
      <c r="F1124" s="1051"/>
      <c r="G1124" s="1051"/>
      <c r="I1124" s="2018"/>
      <c r="J1124" s="1135"/>
      <c r="K1124" s="1135"/>
      <c r="L1124" s="1135"/>
      <c r="M1124" s="2062"/>
      <c r="N1124" s="1135"/>
      <c r="O1124" s="1135"/>
      <c r="P1124" s="2017"/>
      <c r="Q1124" s="2017"/>
      <c r="R1124" s="2017"/>
      <c r="S1124" s="2017"/>
      <c r="T1124" s="2017"/>
      <c r="U1124" s="2042"/>
    </row>
    <row r="1125" spans="2:21" hidden="1" outlineLevel="2">
      <c r="B1125" s="1135"/>
      <c r="C1125" s="1045"/>
      <c r="D1125" s="1051"/>
      <c r="E1125" s="1051"/>
      <c r="F1125" s="1051"/>
      <c r="G1125" s="1051"/>
      <c r="I1125" s="2018"/>
      <c r="J1125" s="1135"/>
      <c r="K1125" s="1135"/>
      <c r="L1125" s="1135"/>
      <c r="M1125" s="2062"/>
      <c r="N1125" s="1135"/>
      <c r="O1125" s="1135"/>
      <c r="P1125" s="2017"/>
      <c r="Q1125" s="2017"/>
      <c r="R1125" s="2017"/>
      <c r="S1125" s="2017"/>
      <c r="T1125" s="2017"/>
      <c r="U1125" s="2042"/>
    </row>
    <row r="1126" spans="2:21" hidden="1" outlineLevel="2">
      <c r="B1126" s="1135"/>
      <c r="C1126" s="1045"/>
      <c r="D1126" s="1051"/>
      <c r="E1126" s="1051"/>
      <c r="F1126" s="1051"/>
      <c r="G1126" s="1051"/>
      <c r="I1126" s="2018"/>
      <c r="J1126" s="1135"/>
      <c r="K1126" s="1135"/>
      <c r="L1126" s="1135"/>
      <c r="M1126" s="2062"/>
      <c r="N1126" s="1135"/>
      <c r="O1126" s="1135"/>
      <c r="P1126" s="2017"/>
      <c r="Q1126" s="2017"/>
      <c r="R1126" s="2017"/>
      <c r="S1126" s="2017"/>
      <c r="T1126" s="2017"/>
      <c r="U1126" s="2042"/>
    </row>
    <row r="1127" spans="2:21" hidden="1" outlineLevel="2">
      <c r="B1127" s="1135"/>
      <c r="C1127" s="1045"/>
      <c r="D1127" s="1051"/>
      <c r="E1127" s="1051"/>
      <c r="F1127" s="1051"/>
      <c r="G1127" s="1051"/>
      <c r="I1127" s="2018"/>
      <c r="J1127" s="1135"/>
      <c r="K1127" s="1135"/>
      <c r="L1127" s="1135"/>
      <c r="M1127" s="2062"/>
      <c r="N1127" s="1135"/>
      <c r="O1127" s="1135"/>
      <c r="P1127" s="2017"/>
      <c r="Q1127" s="2017"/>
      <c r="R1127" s="2017"/>
      <c r="S1127" s="2017"/>
      <c r="T1127" s="2017"/>
      <c r="U1127" s="2042"/>
    </row>
    <row r="1128" spans="2:21" hidden="1" outlineLevel="2">
      <c r="B1128" s="1135"/>
      <c r="C1128" s="1045"/>
      <c r="D1128" s="1051"/>
      <c r="E1128" s="1051"/>
      <c r="F1128" s="1051"/>
      <c r="G1128" s="1051"/>
      <c r="I1128" s="2018"/>
      <c r="J1128" s="1135"/>
      <c r="K1128" s="1135"/>
      <c r="L1128" s="1135"/>
      <c r="M1128" s="2062"/>
      <c r="N1128" s="1135"/>
      <c r="O1128" s="1135"/>
      <c r="P1128" s="2017"/>
      <c r="Q1128" s="2017"/>
      <c r="R1128" s="2017"/>
      <c r="S1128" s="2017"/>
      <c r="T1128" s="2017"/>
      <c r="U1128" s="2042"/>
    </row>
    <row r="1129" spans="2:21" hidden="1" outlineLevel="2">
      <c r="B1129" s="1135"/>
      <c r="C1129" s="1045"/>
      <c r="D1129" s="1051"/>
      <c r="E1129" s="1051"/>
      <c r="F1129" s="1051"/>
      <c r="G1129" s="1051"/>
      <c r="I1129" s="2018"/>
      <c r="J1129" s="1135"/>
      <c r="K1129" s="1135"/>
      <c r="L1129" s="1135"/>
      <c r="M1129" s="2062"/>
      <c r="N1129" s="1135"/>
      <c r="O1129" s="1135"/>
      <c r="P1129" s="2017"/>
      <c r="Q1129" s="2017"/>
      <c r="R1129" s="2017"/>
      <c r="S1129" s="2017"/>
      <c r="T1129" s="2017"/>
      <c r="U1129" s="2042"/>
    </row>
    <row r="1130" spans="2:21" ht="13.2" hidden="1" outlineLevel="1">
      <c r="B1130" s="1135"/>
      <c r="C1130" s="1045"/>
      <c r="D1130" s="1045"/>
      <c r="E1130" s="1045"/>
      <c r="F1130" s="1045"/>
      <c r="G1130" s="1045"/>
      <c r="I1130" s="1746"/>
      <c r="J1130" s="1742"/>
      <c r="K1130" s="1742"/>
      <c r="L1130" s="1742"/>
      <c r="M1130" s="1742"/>
      <c r="N1130" s="1742"/>
      <c r="O1130" s="1742"/>
      <c r="P1130" s="1742"/>
      <c r="Q1130" s="1742"/>
      <c r="R1130" s="1742"/>
      <c r="S1130" s="1742"/>
      <c r="T1130" s="1742"/>
      <c r="U1130" s="2063"/>
    </row>
    <row r="1131" spans="2:21" ht="12.75" hidden="1" customHeight="1" outlineLevel="1" collapsed="1">
      <c r="B1131" s="3193" t="s">
        <v>3996</v>
      </c>
      <c r="C1131" s="3193"/>
      <c r="D1131" s="1051">
        <v>0</v>
      </c>
      <c r="E1131" s="1051"/>
      <c r="F1131" s="1051"/>
      <c r="G1131" s="1051"/>
      <c r="I1131" s="1746"/>
      <c r="J1131" s="1742"/>
      <c r="K1131" s="1742"/>
      <c r="L1131" s="1742"/>
      <c r="M1131" s="1742"/>
      <c r="N1131" s="1742"/>
      <c r="O1131" s="1742"/>
      <c r="P1131" s="1742"/>
      <c r="Q1131" s="1742"/>
      <c r="R1131" s="1742"/>
      <c r="S1131" s="1742"/>
      <c r="T1131" s="1742"/>
      <c r="U1131" s="2063"/>
    </row>
    <row r="1132" spans="2:21" ht="13.2" hidden="1" outlineLevel="3">
      <c r="B1132" s="2059">
        <v>1</v>
      </c>
      <c r="C1132" s="1050" t="str">
        <f>IF(ISNA(VLOOKUP(B1132,$D$1131:$E$1162,2,FALSE)),"-",VLOOKUP(B1132,$D$1130:$E$1162,2,FALSE))</f>
        <v>Bouchon LA2R vin effervescent, France continentale, Base Carbone</v>
      </c>
      <c r="D1132" s="1051">
        <f>D1131+IF(LEN(E1132)&gt;0,1,0)</f>
        <v>1</v>
      </c>
      <c r="E1132" s="1051" t="str">
        <f>IF(COUNTIF(E$1131:E1131,F1132)&gt;0,"",F1132)</f>
        <v>Bouchon LA2R vin effervescent, France continentale, Base Carbone</v>
      </c>
      <c r="F1132" s="1051" t="str">
        <f>IF(I1132&lt;&gt;"",I1132&amp;IF(L1132&lt;&gt;"",", "&amp;L1132,"")&amp;IF(K1132&lt;&gt;"",", "&amp;K1132,""),"")</f>
        <v>Bouchon LA2R vin effervescent, France continentale, Base Carbone</v>
      </c>
      <c r="G1132" s="1051" t="str">
        <f>IF(F1132&lt;&gt;"",F1132&amp;IF(J1132&lt;&gt;"","; "&amp;J1132,""),"")</f>
        <v>Bouchon LA2R vin effervescent, France continentale, Base Carbone; kgCO2e/tonne</v>
      </c>
      <c r="I1132" s="2304" t="s">
        <v>3750</v>
      </c>
      <c r="J1132" s="14" t="s">
        <v>1585</v>
      </c>
      <c r="K1132" s="2305" t="s">
        <v>1567</v>
      </c>
      <c r="L1132" s="14" t="s">
        <v>1571</v>
      </c>
      <c r="M1132" s="2306">
        <v>0.5</v>
      </c>
      <c r="N1132" s="14" t="s">
        <v>3743</v>
      </c>
      <c r="O1132" s="14">
        <v>4770</v>
      </c>
      <c r="P1132" s="2200"/>
      <c r="Q1132" s="2200"/>
      <c r="R1132" s="2200"/>
      <c r="S1132" s="2200"/>
      <c r="T1132" s="2200"/>
      <c r="U1132" s="2201"/>
    </row>
    <row r="1133" spans="2:21" ht="13.2" hidden="1" outlineLevel="3">
      <c r="B1133" s="2059">
        <v>2</v>
      </c>
      <c r="C1133" s="1050" t="str">
        <f t="shared" ref="C1133:C1162" si="125">IF(ISNA(VLOOKUP(B1133,$D$1131:$E$1162,2,FALSE)),"-",VLOOKUP(B1133,$D$1130:$E$1162,2,FALSE))</f>
        <v>Bouchon liège aggloméré vin tranquille, France continentale, Base Carbone</v>
      </c>
      <c r="D1133" s="1051">
        <f t="shared" ref="D1133:D1162" si="126">D1132+IF(LEN(E1133)&gt;0,1,0)</f>
        <v>2</v>
      </c>
      <c r="E1133" s="1051" t="str">
        <f>IF(COUNTIF(E$1131:E1132,F1133)&gt;0,"",F1133)</f>
        <v>Bouchon liège aggloméré vin tranquille, France continentale, Base Carbone</v>
      </c>
      <c r="F1133" s="1051" t="str">
        <f t="shared" ref="F1133:F1162" si="127">IF(I1133&lt;&gt;"",I1133&amp;IF(L1133&lt;&gt;"",", "&amp;L1133,"")&amp;IF(K1133&lt;&gt;"",", "&amp;K1133,""),"")</f>
        <v>Bouchon liège aggloméré vin tranquille, France continentale, Base Carbone</v>
      </c>
      <c r="G1133" s="1051" t="str">
        <f t="shared" ref="G1133:G1162" si="128">IF(F1133&lt;&gt;"",F1133&amp;IF(J1133&lt;&gt;"","; "&amp;J1133,""),"")</f>
        <v>Bouchon liège aggloméré vin tranquille, France continentale, Base Carbone; kgCO2e/tonne</v>
      </c>
      <c r="I1133" s="2304" t="s">
        <v>3751</v>
      </c>
      <c r="J1133" s="14" t="s">
        <v>1585</v>
      </c>
      <c r="K1133" s="2305" t="s">
        <v>1567</v>
      </c>
      <c r="L1133" s="14" t="s">
        <v>1571</v>
      </c>
      <c r="M1133" s="2306">
        <v>0.5</v>
      </c>
      <c r="N1133" s="14" t="s">
        <v>3752</v>
      </c>
      <c r="O1133" s="14">
        <v>2200</v>
      </c>
      <c r="P1133" s="2200"/>
      <c r="Q1133" s="2200"/>
      <c r="R1133" s="2200"/>
      <c r="S1133" s="2200"/>
      <c r="T1133" s="2200"/>
      <c r="U1133" s="2201"/>
    </row>
    <row r="1134" spans="2:21" ht="13.2" hidden="1" outlineLevel="3">
      <c r="B1134" s="2059">
        <v>3</v>
      </c>
      <c r="C1134" s="1050" t="str">
        <f t="shared" si="125"/>
        <v>Bouchon liège naturel vin tranquille, France continentale, Base Carbone</v>
      </c>
      <c r="D1134" s="1051">
        <f t="shared" si="126"/>
        <v>3</v>
      </c>
      <c r="E1134" s="1051" t="str">
        <f>IF(COUNTIF(E$1131:E1133,F1134)&gt;0,"",F1134)</f>
        <v>Bouchon liège naturel vin tranquille, France continentale, Base Carbone</v>
      </c>
      <c r="F1134" s="1051" t="str">
        <f t="shared" si="127"/>
        <v>Bouchon liège naturel vin tranquille, France continentale, Base Carbone</v>
      </c>
      <c r="G1134" s="1051" t="str">
        <f t="shared" si="128"/>
        <v>Bouchon liège naturel vin tranquille, France continentale, Base Carbone; kgCO2e/tonne</v>
      </c>
      <c r="I1134" s="2304" t="s">
        <v>3755</v>
      </c>
      <c r="J1134" s="14" t="s">
        <v>1585</v>
      </c>
      <c r="K1134" s="2305" t="s">
        <v>1567</v>
      </c>
      <c r="L1134" s="14" t="s">
        <v>1571</v>
      </c>
      <c r="M1134" s="2306">
        <v>0.5</v>
      </c>
      <c r="N1134" s="14" t="s">
        <v>3744</v>
      </c>
      <c r="O1134" s="14">
        <v>2310</v>
      </c>
      <c r="P1134" s="2200"/>
      <c r="Q1134" s="2200"/>
      <c r="R1134" s="2200"/>
      <c r="S1134" s="2200"/>
      <c r="T1134" s="2200"/>
      <c r="U1134" s="2201"/>
    </row>
    <row r="1135" spans="2:21" ht="13.2" hidden="1" outlineLevel="3">
      <c r="B1135" s="2059">
        <v>4</v>
      </c>
      <c r="C1135" s="1050" t="str">
        <f t="shared" si="125"/>
        <v>Bouchon liège technique vin effervescent, France continentale, Base Carbone</v>
      </c>
      <c r="D1135" s="1051">
        <f t="shared" si="126"/>
        <v>4</v>
      </c>
      <c r="E1135" s="1051" t="str">
        <f>IF(COUNTIF(E$1131:E1134,F1135)&gt;0,"",F1135)</f>
        <v>Bouchon liège technique vin effervescent, France continentale, Base Carbone</v>
      </c>
      <c r="F1135" s="1051" t="str">
        <f t="shared" si="127"/>
        <v>Bouchon liège technique vin effervescent, France continentale, Base Carbone</v>
      </c>
      <c r="G1135" s="1051" t="str">
        <f t="shared" si="128"/>
        <v>Bouchon liège technique vin effervescent, France continentale, Base Carbone; kgCO2e/tonne</v>
      </c>
      <c r="I1135" s="2304" t="s">
        <v>3756</v>
      </c>
      <c r="J1135" s="14" t="s">
        <v>1585</v>
      </c>
      <c r="K1135" s="2305" t="s">
        <v>1567</v>
      </c>
      <c r="L1135" s="14" t="s">
        <v>1571</v>
      </c>
      <c r="M1135" s="2306">
        <v>0.5</v>
      </c>
      <c r="N1135" s="14" t="s">
        <v>3743</v>
      </c>
      <c r="O1135" s="14">
        <v>4220</v>
      </c>
      <c r="P1135" s="2200"/>
      <c r="Q1135" s="2200"/>
      <c r="R1135" s="2200"/>
      <c r="S1135" s="2200"/>
      <c r="T1135" s="2200"/>
      <c r="U1135" s="2201"/>
    </row>
    <row r="1136" spans="2:21" ht="13.2" hidden="1" outlineLevel="3">
      <c r="B1136" s="2059">
        <v>5</v>
      </c>
      <c r="C1136" s="1050" t="str">
        <f t="shared" si="125"/>
        <v>Bouchon liège technique vin tranquille, France continentale, Base Carbone</v>
      </c>
      <c r="D1136" s="1051">
        <f t="shared" si="126"/>
        <v>5</v>
      </c>
      <c r="E1136" s="1051" t="str">
        <f>IF(COUNTIF(E$1131:E1135,F1136)&gt;0,"",F1136)</f>
        <v>Bouchon liège technique vin tranquille, France continentale, Base Carbone</v>
      </c>
      <c r="F1136" s="1051" t="str">
        <f t="shared" si="127"/>
        <v>Bouchon liège technique vin tranquille, France continentale, Base Carbone</v>
      </c>
      <c r="G1136" s="1051" t="str">
        <f t="shared" si="128"/>
        <v>Bouchon liège technique vin tranquille, France continentale, Base Carbone; kgCO2e/tonne</v>
      </c>
      <c r="I1136" s="2304" t="s">
        <v>3757</v>
      </c>
      <c r="J1136" s="14" t="s">
        <v>1585</v>
      </c>
      <c r="K1136" s="2305" t="s">
        <v>1567</v>
      </c>
      <c r="L1136" s="14" t="s">
        <v>1571</v>
      </c>
      <c r="M1136" s="2306">
        <v>0.5</v>
      </c>
      <c r="N1136" s="14" t="s">
        <v>3745</v>
      </c>
      <c r="O1136" s="14">
        <v>4030</v>
      </c>
      <c r="P1136" s="2200"/>
      <c r="Q1136" s="2200"/>
      <c r="R1136" s="2200"/>
      <c r="S1136" s="2200"/>
      <c r="T1136" s="2200"/>
      <c r="U1136" s="2201"/>
    </row>
    <row r="1137" spans="2:21" ht="13.2" hidden="1" outlineLevel="3">
      <c r="B1137" s="2059">
        <v>6</v>
      </c>
      <c r="C1137" s="1050" t="str">
        <f t="shared" si="125"/>
        <v>Bouchon synthétique PE co-extrudé, France continentale, Base Carbone</v>
      </c>
      <c r="D1137" s="1051">
        <f t="shared" si="126"/>
        <v>6</v>
      </c>
      <c r="E1137" s="1051" t="str">
        <f>IF(COUNTIF(E$1131:E1136,F1137)&gt;0,"",F1137)</f>
        <v>Bouchon synthétique PE co-extrudé, France continentale, Base Carbone</v>
      </c>
      <c r="F1137" s="1051" t="str">
        <f t="shared" si="127"/>
        <v>Bouchon synthétique PE co-extrudé, France continentale, Base Carbone</v>
      </c>
      <c r="G1137" s="1051" t="str">
        <f t="shared" si="128"/>
        <v>Bouchon synthétique PE co-extrudé, France continentale, Base Carbone; kgCO2e/tonne</v>
      </c>
      <c r="I1137" s="2304" t="s">
        <v>3758</v>
      </c>
      <c r="J1137" s="14" t="s">
        <v>1585</v>
      </c>
      <c r="K1137" s="2305" t="s">
        <v>1567</v>
      </c>
      <c r="L1137" s="14" t="s">
        <v>1571</v>
      </c>
      <c r="M1137" s="2306">
        <v>0.3</v>
      </c>
      <c r="N1137" s="14" t="s">
        <v>3746</v>
      </c>
      <c r="O1137" s="14">
        <v>2530</v>
      </c>
      <c r="P1137" s="2200"/>
      <c r="Q1137" s="2200"/>
      <c r="R1137" s="2200"/>
      <c r="S1137" s="2200"/>
      <c r="T1137" s="2200"/>
      <c r="U1137" s="2201"/>
    </row>
    <row r="1138" spans="2:21" ht="13.2" hidden="1" outlineLevel="3">
      <c r="B1138" s="2059">
        <v>7</v>
      </c>
      <c r="C1138" s="1050" t="str">
        <f t="shared" si="125"/>
        <v>Caisse bois, France continentale, Base Carbone</v>
      </c>
      <c r="D1138" s="1051">
        <f t="shared" si="126"/>
        <v>7</v>
      </c>
      <c r="E1138" s="1051" t="str">
        <f>IF(COUNTIF(E$1131:E1137,F1138)&gt;0,"",F1138)</f>
        <v>Caisse bois, France continentale, Base Carbone</v>
      </c>
      <c r="F1138" s="1051" t="str">
        <f t="shared" si="127"/>
        <v>Caisse bois, France continentale, Base Carbone</v>
      </c>
      <c r="G1138" s="1051" t="str">
        <f t="shared" si="128"/>
        <v>Caisse bois, France continentale, Base Carbone; kgCO2e/tonne</v>
      </c>
      <c r="I1138" s="2304" t="s">
        <v>3734</v>
      </c>
      <c r="J1138" s="14" t="s">
        <v>1585</v>
      </c>
      <c r="K1138" s="2305" t="s">
        <v>1567</v>
      </c>
      <c r="L1138" s="14" t="s">
        <v>1571</v>
      </c>
      <c r="M1138" s="2306">
        <v>1</v>
      </c>
      <c r="N1138" s="14"/>
      <c r="O1138" s="14">
        <v>700</v>
      </c>
      <c r="P1138" s="2200"/>
      <c r="Q1138" s="2200"/>
      <c r="R1138" s="2200"/>
      <c r="S1138" s="2200"/>
      <c r="T1138" s="2200"/>
      <c r="U1138" s="2201"/>
    </row>
    <row r="1139" spans="2:21" ht="13.2" hidden="1" outlineLevel="3">
      <c r="B1139" s="2059">
        <v>8</v>
      </c>
      <c r="C1139" s="1050" t="str">
        <f t="shared" si="125"/>
        <v>Capsule à vis (aluminium + joint PE / étain) moyenne, France continentale, Base Carbone</v>
      </c>
      <c r="D1139" s="1051">
        <f t="shared" si="126"/>
        <v>8</v>
      </c>
      <c r="E1139" s="1051" t="str">
        <f>IF(COUNTIF(E$1131:E1138,F1139)&gt;0,"",F1139)</f>
        <v>Capsule à vis (aluminium + joint PE / étain) moyenne, France continentale, Base Carbone</v>
      </c>
      <c r="F1139" s="1051" t="str">
        <f t="shared" si="127"/>
        <v>Capsule à vis (aluminium + joint PE / étain) moyenne, France continentale, Base Carbone</v>
      </c>
      <c r="G1139" s="1051" t="str">
        <f t="shared" si="128"/>
        <v>Capsule à vis (aluminium + joint PE / étain) moyenne, France continentale, Base Carbone; kgCO2e/tonne</v>
      </c>
      <c r="I1139" s="2304" t="s">
        <v>3759</v>
      </c>
      <c r="J1139" s="14" t="s">
        <v>1585</v>
      </c>
      <c r="K1139" s="2305" t="s">
        <v>1567</v>
      </c>
      <c r="L1139" s="14" t="s">
        <v>1571</v>
      </c>
      <c r="M1139" s="2306">
        <v>0.3</v>
      </c>
      <c r="N1139" s="14" t="s">
        <v>3747</v>
      </c>
      <c r="O1139" s="14">
        <v>7630</v>
      </c>
      <c r="P1139" s="2200"/>
      <c r="Q1139" s="2200"/>
      <c r="R1139" s="2200"/>
      <c r="S1139" s="2200"/>
      <c r="T1139" s="2200"/>
      <c r="U1139" s="2201"/>
    </row>
    <row r="1140" spans="2:21" ht="13.2" hidden="1" outlineLevel="3">
      <c r="B1140" s="2059">
        <v>9</v>
      </c>
      <c r="C1140" s="1050" t="str">
        <f t="shared" si="125"/>
        <v>Capsule à vis (aluminium 35% recyclage + joint PE / étain), France continentale, Base Carbone</v>
      </c>
      <c r="D1140" s="1051">
        <f t="shared" si="126"/>
        <v>9</v>
      </c>
      <c r="E1140" s="1051" t="str">
        <f>IF(COUNTIF(E$1131:E1139,F1140)&gt;0,"",F1140)</f>
        <v>Capsule à vis (aluminium 35% recyclage + joint PE / étain), France continentale, Base Carbone</v>
      </c>
      <c r="F1140" s="1051" t="str">
        <f t="shared" si="127"/>
        <v>Capsule à vis (aluminium 35% recyclage + joint PE / étain), France continentale, Base Carbone</v>
      </c>
      <c r="G1140" s="1051" t="str">
        <f t="shared" si="128"/>
        <v>Capsule à vis (aluminium 35% recyclage + joint PE / étain), France continentale, Base Carbone; kgCO2e/tonne</v>
      </c>
      <c r="I1140" s="2304" t="s">
        <v>3760</v>
      </c>
      <c r="J1140" s="14" t="s">
        <v>1585</v>
      </c>
      <c r="K1140" s="2305" t="s">
        <v>1567</v>
      </c>
      <c r="L1140" s="14" t="s">
        <v>1571</v>
      </c>
      <c r="M1140" s="2306">
        <v>0.3</v>
      </c>
      <c r="N1140" s="14" t="s">
        <v>3747</v>
      </c>
      <c r="O1140" s="14">
        <v>10600</v>
      </c>
      <c r="P1140" s="2200"/>
      <c r="Q1140" s="2200"/>
      <c r="R1140" s="2200"/>
      <c r="S1140" s="2200"/>
      <c r="T1140" s="2200"/>
      <c r="U1140" s="2201"/>
    </row>
    <row r="1141" spans="2:21" ht="13.2" hidden="1" outlineLevel="3">
      <c r="B1141" s="2059">
        <v>10</v>
      </c>
      <c r="C1141" s="1050" t="str">
        <f t="shared" si="125"/>
        <v>Capsule à vis (aluminium 75% recyclage + joint PE / étain), France continentale, Base Carbone</v>
      </c>
      <c r="D1141" s="1051">
        <f t="shared" si="126"/>
        <v>10</v>
      </c>
      <c r="E1141" s="1051" t="str">
        <f>IF(COUNTIF(E$1131:E1140,F1141)&gt;0,"",F1141)</f>
        <v>Capsule à vis (aluminium 75% recyclage + joint PE / étain), France continentale, Base Carbone</v>
      </c>
      <c r="F1141" s="1051" t="str">
        <f t="shared" si="127"/>
        <v>Capsule à vis (aluminium 75% recyclage + joint PE / étain), France continentale, Base Carbone</v>
      </c>
      <c r="G1141" s="1051" t="str">
        <f t="shared" si="128"/>
        <v>Capsule à vis (aluminium 75% recyclage + joint PE / étain), France continentale, Base Carbone; kgCO2e/tonne</v>
      </c>
      <c r="I1141" s="2304" t="s">
        <v>3761</v>
      </c>
      <c r="J1141" s="14" t="s">
        <v>1585</v>
      </c>
      <c r="K1141" s="2305" t="s">
        <v>1567</v>
      </c>
      <c r="L1141" s="14" t="s">
        <v>1571</v>
      </c>
      <c r="M1141" s="2306">
        <v>0.3</v>
      </c>
      <c r="N1141" s="14" t="s">
        <v>3747</v>
      </c>
      <c r="O1141" s="14">
        <v>7300</v>
      </c>
      <c r="P1141" s="2200"/>
      <c r="Q1141" s="2200"/>
      <c r="R1141" s="2200"/>
      <c r="S1141" s="2200"/>
      <c r="T1141" s="2200"/>
      <c r="U1141" s="2201"/>
    </row>
    <row r="1142" spans="2:21" ht="13.2" hidden="1" outlineLevel="3">
      <c r="B1142" s="2059">
        <v>11</v>
      </c>
      <c r="C1142" s="1050" t="str">
        <f t="shared" si="125"/>
        <v>Capsule surbouchage composite (aluminium 35% recyclage) vin effervescent, France continentale, Base Carbone</v>
      </c>
      <c r="D1142" s="1051">
        <f t="shared" si="126"/>
        <v>11</v>
      </c>
      <c r="E1142" s="1051" t="str">
        <f>IF(COUNTIF(E$1131:E1141,F1142)&gt;0,"",F1142)</f>
        <v>Capsule surbouchage composite (aluminium 35% recyclage) vin effervescent, France continentale, Base Carbone</v>
      </c>
      <c r="F1142" s="1051" t="str">
        <f t="shared" si="127"/>
        <v>Capsule surbouchage composite (aluminium 35% recyclage) vin effervescent, France continentale, Base Carbone</v>
      </c>
      <c r="G1142" s="1051" t="str">
        <f t="shared" si="128"/>
        <v>Capsule surbouchage composite (aluminium 35% recyclage) vin effervescent, France continentale, Base Carbone; kgCO2e/tonne</v>
      </c>
      <c r="I1142" s="2304" t="s">
        <v>3762</v>
      </c>
      <c r="J1142" s="14" t="s">
        <v>1585</v>
      </c>
      <c r="K1142" s="2305" t="s">
        <v>1567</v>
      </c>
      <c r="L1142" s="14" t="s">
        <v>1571</v>
      </c>
      <c r="M1142" s="2306">
        <v>0.4</v>
      </c>
      <c r="N1142" s="14" t="s">
        <v>3748</v>
      </c>
      <c r="O1142" s="14">
        <v>5680</v>
      </c>
      <c r="P1142" s="2200"/>
      <c r="Q1142" s="2200"/>
      <c r="R1142" s="2200"/>
      <c r="S1142" s="2200"/>
      <c r="T1142" s="2200"/>
      <c r="U1142" s="2201"/>
    </row>
    <row r="1143" spans="2:21" ht="13.2" hidden="1" outlineLevel="3">
      <c r="B1143" s="2059">
        <v>12</v>
      </c>
      <c r="C1143" s="1050" t="str">
        <f t="shared" si="125"/>
        <v>Capsule surbouchage composite (aluminium 35% recyclé / PEBD) vin tranquille, France continentale, Base Carbone</v>
      </c>
      <c r="D1143" s="1051">
        <f t="shared" si="126"/>
        <v>12</v>
      </c>
      <c r="E1143" s="1051" t="str">
        <f>IF(COUNTIF(E$1131:E1142,F1143)&gt;0,"",F1143)</f>
        <v>Capsule surbouchage composite (aluminium 35% recyclé / PEBD) vin tranquille, France continentale, Base Carbone</v>
      </c>
      <c r="F1143" s="1051" t="str">
        <f t="shared" si="127"/>
        <v>Capsule surbouchage composite (aluminium 35% recyclé / PEBD) vin tranquille, France continentale, Base Carbone</v>
      </c>
      <c r="G1143" s="1051" t="str">
        <f t="shared" si="128"/>
        <v>Capsule surbouchage composite (aluminium 35% recyclé / PEBD) vin tranquille, France continentale, Base Carbone; kgCO2e/tonne</v>
      </c>
      <c r="I1143" s="2304" t="s">
        <v>3763</v>
      </c>
      <c r="J1143" s="14" t="s">
        <v>1585</v>
      </c>
      <c r="K1143" s="2305" t="s">
        <v>1567</v>
      </c>
      <c r="L1143" s="14" t="s">
        <v>1571</v>
      </c>
      <c r="M1143" s="2306">
        <v>0.4</v>
      </c>
      <c r="N1143" s="14" t="s">
        <v>3749</v>
      </c>
      <c r="O1143" s="14">
        <v>7700</v>
      </c>
      <c r="P1143" s="2200"/>
      <c r="Q1143" s="2200"/>
      <c r="R1143" s="2200"/>
      <c r="S1143" s="2200"/>
      <c r="T1143" s="2200"/>
      <c r="U1143" s="2201"/>
    </row>
    <row r="1144" spans="2:21" ht="13.2" hidden="1" outlineLevel="3">
      <c r="B1144" s="2059">
        <v>13</v>
      </c>
      <c r="C1144" s="1050" t="str">
        <f t="shared" si="125"/>
        <v>Capsule surbouchage composite (aluminium 70% recyclage) vin effervescent, France continentale, Base Carbone</v>
      </c>
      <c r="D1144" s="1051">
        <f t="shared" si="126"/>
        <v>13</v>
      </c>
      <c r="E1144" s="1051" t="str">
        <f>IF(COUNTIF(E$1131:E1143,F1144)&gt;0,"",F1144)</f>
        <v>Capsule surbouchage composite (aluminium 70% recyclage) vin effervescent, France continentale, Base Carbone</v>
      </c>
      <c r="F1144" s="1051" t="str">
        <f t="shared" si="127"/>
        <v>Capsule surbouchage composite (aluminium 70% recyclage) vin effervescent, France continentale, Base Carbone</v>
      </c>
      <c r="G1144" s="1051" t="str">
        <f t="shared" si="128"/>
        <v>Capsule surbouchage composite (aluminium 70% recyclage) vin effervescent, France continentale, Base Carbone; kgCO2e/tonne</v>
      </c>
      <c r="I1144" s="2304" t="s">
        <v>3764</v>
      </c>
      <c r="J1144" s="14" t="s">
        <v>1585</v>
      </c>
      <c r="K1144" s="2305" t="s">
        <v>1567</v>
      </c>
      <c r="L1144" s="14" t="s">
        <v>1571</v>
      </c>
      <c r="M1144" s="2306">
        <v>0.4</v>
      </c>
      <c r="N1144" s="14" t="s">
        <v>3748</v>
      </c>
      <c r="O1144" s="14">
        <v>3300</v>
      </c>
      <c r="P1144" s="2200"/>
      <c r="Q1144" s="2200"/>
      <c r="R1144" s="2200"/>
      <c r="S1144" s="2200"/>
      <c r="T1144" s="2200"/>
      <c r="U1144" s="2201"/>
    </row>
    <row r="1145" spans="2:21" ht="13.2" hidden="1" outlineLevel="3">
      <c r="B1145" s="2059">
        <v>14</v>
      </c>
      <c r="C1145" s="1050" t="str">
        <f t="shared" si="125"/>
        <v>Capsule surbouchage composite (aluminium 70% recyclé / PEBD) vin tranquille, France continentale, Base Carbone</v>
      </c>
      <c r="D1145" s="1051">
        <f t="shared" si="126"/>
        <v>14</v>
      </c>
      <c r="E1145" s="1051" t="str">
        <f>IF(COUNTIF(E$1131:E1144,F1145)&gt;0,"",F1145)</f>
        <v>Capsule surbouchage composite (aluminium 70% recyclé / PEBD) vin tranquille, France continentale, Base Carbone</v>
      </c>
      <c r="F1145" s="1051" t="str">
        <f t="shared" si="127"/>
        <v>Capsule surbouchage composite (aluminium 70% recyclé / PEBD) vin tranquille, France continentale, Base Carbone</v>
      </c>
      <c r="G1145" s="1051" t="str">
        <f t="shared" si="128"/>
        <v>Capsule surbouchage composite (aluminium 70% recyclé / PEBD) vin tranquille, France continentale, Base Carbone; kgCO2e/tonne</v>
      </c>
      <c r="I1145" s="2304" t="s">
        <v>3765</v>
      </c>
      <c r="J1145" s="14" t="s">
        <v>1585</v>
      </c>
      <c r="K1145" s="2305" t="s">
        <v>1567</v>
      </c>
      <c r="L1145" s="14" t="s">
        <v>1571</v>
      </c>
      <c r="M1145" s="2306">
        <v>0.4</v>
      </c>
      <c r="N1145" s="14" t="s">
        <v>3749</v>
      </c>
      <c r="O1145" s="14">
        <v>4030</v>
      </c>
      <c r="P1145" s="2200"/>
      <c r="Q1145" s="2200"/>
      <c r="R1145" s="2200"/>
      <c r="S1145" s="2200"/>
      <c r="T1145" s="2200"/>
      <c r="U1145" s="2201"/>
    </row>
    <row r="1146" spans="2:21" ht="13.2" hidden="1" outlineLevel="3">
      <c r="B1146" s="2059">
        <v>15</v>
      </c>
      <c r="C1146" s="1050" t="str">
        <f t="shared" si="125"/>
        <v>Capsule surbouchage étain (FE étain), France continentale, Base Carbone</v>
      </c>
      <c r="D1146" s="1051">
        <f t="shared" si="126"/>
        <v>15</v>
      </c>
      <c r="E1146" s="1051" t="str">
        <f>IF(COUNTIF(E$1131:E1145,F1146)&gt;0,"",F1146)</f>
        <v>Capsule surbouchage étain (FE étain), France continentale, Base Carbone</v>
      </c>
      <c r="F1146" s="1051" t="str">
        <f t="shared" si="127"/>
        <v>Capsule surbouchage étain (FE étain), France continentale, Base Carbone</v>
      </c>
      <c r="G1146" s="1051" t="str">
        <f t="shared" si="128"/>
        <v>Capsule surbouchage étain (FE étain), France continentale, Base Carbone; kgCO2e/tonne</v>
      </c>
      <c r="I1146" s="2304" t="s">
        <v>3735</v>
      </c>
      <c r="J1146" s="14" t="s">
        <v>1585</v>
      </c>
      <c r="K1146" s="2305" t="s">
        <v>1567</v>
      </c>
      <c r="L1146" s="14" t="s">
        <v>1571</v>
      </c>
      <c r="M1146" s="2306">
        <v>1</v>
      </c>
      <c r="N1146" s="14"/>
      <c r="O1146" s="14">
        <v>17100</v>
      </c>
      <c r="P1146" s="2200"/>
      <c r="Q1146" s="2200"/>
      <c r="R1146" s="2200"/>
      <c r="S1146" s="2200"/>
      <c r="T1146" s="2200"/>
      <c r="U1146" s="2201"/>
    </row>
    <row r="1147" spans="2:21" ht="13.2" hidden="1" outlineLevel="3">
      <c r="B1147" s="2059">
        <v>16</v>
      </c>
      <c r="C1147" s="1050" t="str">
        <f t="shared" si="125"/>
        <v>Capsule surbouchage PVC extrudé vin tranquille, France continentale, Base Carbone</v>
      </c>
      <c r="D1147" s="1051">
        <f t="shared" si="126"/>
        <v>16</v>
      </c>
      <c r="E1147" s="1051" t="str">
        <f>IF(COUNTIF(E$1131:E1146,F1147)&gt;0,"",F1147)</f>
        <v>Capsule surbouchage PVC extrudé vin tranquille, France continentale, Base Carbone</v>
      </c>
      <c r="F1147" s="1051" t="str">
        <f t="shared" si="127"/>
        <v>Capsule surbouchage PVC extrudé vin tranquille, France continentale, Base Carbone</v>
      </c>
      <c r="G1147" s="1051" t="str">
        <f t="shared" si="128"/>
        <v>Capsule surbouchage PVC extrudé vin tranquille, France continentale, Base Carbone; kgCO2e/tonne</v>
      </c>
      <c r="I1147" s="2304" t="s">
        <v>3766</v>
      </c>
      <c r="J1147" s="14" t="s">
        <v>1585</v>
      </c>
      <c r="K1147" s="2305" t="s">
        <v>1567</v>
      </c>
      <c r="L1147" s="14" t="s">
        <v>1571</v>
      </c>
      <c r="M1147" s="2306">
        <v>0.25</v>
      </c>
      <c r="N1147" s="14" t="s">
        <v>3753</v>
      </c>
      <c r="O1147" s="14">
        <v>4400</v>
      </c>
      <c r="P1147" s="2200"/>
      <c r="Q1147" s="2200"/>
      <c r="R1147" s="2200"/>
      <c r="S1147" s="2200"/>
      <c r="T1147" s="2200"/>
      <c r="U1147" s="2201"/>
    </row>
    <row r="1148" spans="2:21" ht="13.2" hidden="1" outlineLevel="3">
      <c r="B1148" s="2059">
        <v>17</v>
      </c>
      <c r="C1148" s="1050" t="str">
        <f t="shared" si="125"/>
        <v>Colle amidon, France continentale, Base Carbone</v>
      </c>
      <c r="D1148" s="1051">
        <f t="shared" si="126"/>
        <v>17</v>
      </c>
      <c r="E1148" s="1051" t="str">
        <f>IF(COUNTIF(E$1131:E1147,F1148)&gt;0,"",F1148)</f>
        <v>Colle amidon, France continentale, Base Carbone</v>
      </c>
      <c r="F1148" s="1051" t="str">
        <f t="shared" si="127"/>
        <v>Colle amidon, France continentale, Base Carbone</v>
      </c>
      <c r="G1148" s="1051" t="str">
        <f t="shared" si="128"/>
        <v>Colle amidon, France continentale, Base Carbone; kgCO2e/tonne</v>
      </c>
      <c r="I1148" s="2304" t="s">
        <v>3736</v>
      </c>
      <c r="J1148" s="14" t="s">
        <v>1585</v>
      </c>
      <c r="K1148" s="2305" t="s">
        <v>1567</v>
      </c>
      <c r="L1148" s="14" t="s">
        <v>1571</v>
      </c>
      <c r="M1148" s="2306">
        <v>0.5</v>
      </c>
      <c r="N1148" s="14"/>
      <c r="O1148" s="14">
        <v>550</v>
      </c>
      <c r="P1148" s="2200"/>
      <c r="Q1148" s="2200"/>
      <c r="R1148" s="2200"/>
      <c r="S1148" s="2200"/>
      <c r="T1148" s="2200"/>
      <c r="U1148" s="2201"/>
    </row>
    <row r="1149" spans="2:21" ht="13.2" hidden="1" outlineLevel="3">
      <c r="B1149" s="2059">
        <v>18</v>
      </c>
      <c r="C1149" s="1050" t="str">
        <f t="shared" si="125"/>
        <v>Fil de palissage inox neuf 18/8, France continentale, Base Carbone</v>
      </c>
      <c r="D1149" s="1051">
        <f t="shared" si="126"/>
        <v>18</v>
      </c>
      <c r="E1149" s="1051" t="str">
        <f>IF(COUNTIF(E$1131:E1148,F1149)&gt;0,"",F1149)</f>
        <v>Fil de palissage inox neuf 18/8, France continentale, Base Carbone</v>
      </c>
      <c r="F1149" s="1051" t="str">
        <f t="shared" si="127"/>
        <v>Fil de palissage inox neuf 18/8, France continentale, Base Carbone</v>
      </c>
      <c r="G1149" s="1051" t="str">
        <f t="shared" si="128"/>
        <v>Fil de palissage inox neuf 18/8, France continentale, Base Carbone; kgCO2e/tonne</v>
      </c>
      <c r="I1149" s="2304" t="s">
        <v>3737</v>
      </c>
      <c r="J1149" s="14" t="s">
        <v>1585</v>
      </c>
      <c r="K1149" s="2305" t="s">
        <v>1567</v>
      </c>
      <c r="L1149" s="14" t="s">
        <v>1571</v>
      </c>
      <c r="M1149" s="2306">
        <v>1</v>
      </c>
      <c r="N1149" s="14"/>
      <c r="O1149" s="14">
        <v>5250</v>
      </c>
      <c r="P1149" s="2200"/>
      <c r="Q1149" s="2200"/>
      <c r="R1149" s="2200"/>
      <c r="S1149" s="2200"/>
      <c r="T1149" s="2200"/>
      <c r="U1149" s="2201"/>
    </row>
    <row r="1150" spans="2:21" ht="13.2" hidden="1" outlineLevel="3">
      <c r="B1150" s="2059">
        <v>19</v>
      </c>
      <c r="C1150" s="1050" t="str">
        <f t="shared" si="125"/>
        <v>Fil de palissage inox recyclé 18/9, France continentale, Base Carbone</v>
      </c>
      <c r="D1150" s="1051">
        <f t="shared" si="126"/>
        <v>19</v>
      </c>
      <c r="E1150" s="1051" t="str">
        <f>IF(COUNTIF(E$1131:E1149,F1150)&gt;0,"",F1150)</f>
        <v>Fil de palissage inox recyclé 18/9, France continentale, Base Carbone</v>
      </c>
      <c r="F1150" s="1051" t="str">
        <f t="shared" si="127"/>
        <v>Fil de palissage inox recyclé 18/9, France continentale, Base Carbone</v>
      </c>
      <c r="G1150" s="1051" t="str">
        <f t="shared" si="128"/>
        <v>Fil de palissage inox recyclé 18/9, France continentale, Base Carbone; kgCO2e/tonne</v>
      </c>
      <c r="I1150" s="2304" t="s">
        <v>3738</v>
      </c>
      <c r="J1150" s="14" t="s">
        <v>1585</v>
      </c>
      <c r="K1150" s="2305" t="s">
        <v>1567</v>
      </c>
      <c r="L1150" s="14" t="s">
        <v>1571</v>
      </c>
      <c r="M1150" s="2306">
        <v>1</v>
      </c>
      <c r="N1150" s="14"/>
      <c r="O1150" s="14">
        <v>4600</v>
      </c>
      <c r="P1150" s="2200"/>
      <c r="Q1150" s="2200"/>
      <c r="R1150" s="2200"/>
      <c r="S1150" s="2200"/>
      <c r="T1150" s="2200"/>
      <c r="U1150" s="2201"/>
    </row>
    <row r="1151" spans="2:21" ht="13.2" hidden="1" outlineLevel="3">
      <c r="B1151" s="2059">
        <v>20</v>
      </c>
      <c r="C1151" s="1050" t="str">
        <f t="shared" si="125"/>
        <v>Muselet, France continentale, Base Carbone</v>
      </c>
      <c r="D1151" s="1051">
        <f t="shared" si="126"/>
        <v>20</v>
      </c>
      <c r="E1151" s="1051" t="str">
        <f>IF(COUNTIF(E$1131:E1150,F1151)&gt;0,"",F1151)</f>
        <v>Muselet, France continentale, Base Carbone</v>
      </c>
      <c r="F1151" s="1051" t="str">
        <f t="shared" si="127"/>
        <v>Muselet, France continentale, Base Carbone</v>
      </c>
      <c r="G1151" s="1051" t="str">
        <f t="shared" si="128"/>
        <v>Muselet, France continentale, Base Carbone; kgCO2e/tonne</v>
      </c>
      <c r="I1151" s="2304" t="s">
        <v>3767</v>
      </c>
      <c r="J1151" s="14" t="s">
        <v>1585</v>
      </c>
      <c r="K1151" s="2305" t="s">
        <v>1567</v>
      </c>
      <c r="L1151" s="14" t="s">
        <v>1571</v>
      </c>
      <c r="M1151" s="2306">
        <v>0.4</v>
      </c>
      <c r="N1151" s="14" t="s">
        <v>3754</v>
      </c>
      <c r="O1151" s="14">
        <v>3850</v>
      </c>
      <c r="P1151" s="2200"/>
      <c r="Q1151" s="2200"/>
      <c r="R1151" s="2200"/>
      <c r="S1151" s="2200"/>
      <c r="T1151" s="2200"/>
      <c r="U1151" s="2201"/>
    </row>
    <row r="1152" spans="2:21" ht="13.2" hidden="1" outlineLevel="3">
      <c r="B1152" s="2059">
        <v>21</v>
      </c>
      <c r="C1152" s="1050" t="str">
        <f t="shared" si="125"/>
        <v>Pierre à chaud, France continentale, Base Carbone</v>
      </c>
      <c r="D1152" s="1051">
        <f t="shared" si="126"/>
        <v>21</v>
      </c>
      <c r="E1152" s="1051" t="str">
        <f>IF(COUNTIF(E$1131:E1151,F1152)&gt;0,"",F1152)</f>
        <v>Pierre à chaud, France continentale, Base Carbone</v>
      </c>
      <c r="F1152" s="1051" t="str">
        <f t="shared" si="127"/>
        <v>Pierre à chaud, France continentale, Base Carbone</v>
      </c>
      <c r="G1152" s="1051" t="str">
        <f t="shared" si="128"/>
        <v>Pierre à chaud, France continentale, Base Carbone; kgCO2e/tonne</v>
      </c>
      <c r="I1152" s="2304" t="s">
        <v>3739</v>
      </c>
      <c r="J1152" s="14" t="s">
        <v>1585</v>
      </c>
      <c r="K1152" s="2305" t="s">
        <v>1567</v>
      </c>
      <c r="L1152" s="14" t="s">
        <v>1571</v>
      </c>
      <c r="M1152" s="2306">
        <v>0.5</v>
      </c>
      <c r="N1152" s="14"/>
      <c r="O1152" s="14">
        <v>154</v>
      </c>
      <c r="P1152" s="2200"/>
      <c r="Q1152" s="2200"/>
      <c r="R1152" s="2200"/>
      <c r="S1152" s="2200"/>
      <c r="T1152" s="2200"/>
      <c r="U1152" s="2201"/>
    </row>
    <row r="1153" spans="2:21" ht="13.2" hidden="1" outlineLevel="3">
      <c r="B1153" s="2059">
        <v>22</v>
      </c>
      <c r="C1153" s="1050" t="str">
        <f t="shared" si="125"/>
        <v>Piquets acacia, France continentale, Base Carbone</v>
      </c>
      <c r="D1153" s="1051">
        <f t="shared" si="126"/>
        <v>22</v>
      </c>
      <c r="E1153" s="1051" t="str">
        <f>IF(COUNTIF(E$1131:E1152,F1153)&gt;0,"",F1153)</f>
        <v>Piquets acacia, France continentale, Base Carbone</v>
      </c>
      <c r="F1153" s="1051" t="str">
        <f t="shared" si="127"/>
        <v>Piquets acacia, France continentale, Base Carbone</v>
      </c>
      <c r="G1153" s="1051" t="str">
        <f t="shared" si="128"/>
        <v>Piquets acacia, France continentale, Base Carbone; kgCO2e/tonne</v>
      </c>
      <c r="I1153" s="2304" t="s">
        <v>3740</v>
      </c>
      <c r="J1153" s="14" t="s">
        <v>1585</v>
      </c>
      <c r="K1153" s="2305" t="s">
        <v>1567</v>
      </c>
      <c r="L1153" s="14" t="s">
        <v>1571</v>
      </c>
      <c r="M1153" s="2306">
        <v>1</v>
      </c>
      <c r="N1153" s="14"/>
      <c r="O1153" s="14">
        <v>14.7</v>
      </c>
      <c r="P1153" s="2200"/>
      <c r="Q1153" s="2200"/>
      <c r="R1153" s="2200"/>
      <c r="S1153" s="2200"/>
      <c r="T1153" s="2200"/>
      <c r="U1153" s="2201"/>
    </row>
    <row r="1154" spans="2:21" ht="13.2" hidden="1" outlineLevel="3">
      <c r="B1154" s="2059">
        <v>23</v>
      </c>
      <c r="C1154" s="1050" t="str">
        <f t="shared" si="125"/>
        <v>Piquets acier galvanisé (acier 40% recyclage), France continentale, Base Carbone</v>
      </c>
      <c r="D1154" s="1051">
        <f t="shared" si="126"/>
        <v>23</v>
      </c>
      <c r="E1154" s="1051" t="str">
        <f>IF(COUNTIF(E$1131:E1153,F1154)&gt;0,"",F1154)</f>
        <v>Piquets acier galvanisé (acier 40% recyclage), France continentale, Base Carbone</v>
      </c>
      <c r="F1154" s="1051" t="str">
        <f t="shared" si="127"/>
        <v>Piquets acier galvanisé (acier 40% recyclage), France continentale, Base Carbone</v>
      </c>
      <c r="G1154" s="1051" t="str">
        <f t="shared" si="128"/>
        <v>Piquets acier galvanisé (acier 40% recyclage), France continentale, Base Carbone; kgCO2e/tonne</v>
      </c>
      <c r="I1154" s="2304" t="s">
        <v>3741</v>
      </c>
      <c r="J1154" s="14" t="s">
        <v>1585</v>
      </c>
      <c r="K1154" s="2305" t="s">
        <v>1567</v>
      </c>
      <c r="L1154" s="14" t="s">
        <v>1571</v>
      </c>
      <c r="M1154" s="2306">
        <v>1</v>
      </c>
      <c r="N1154" s="14"/>
      <c r="O1154" s="14">
        <v>2710</v>
      </c>
      <c r="P1154" s="2200"/>
      <c r="Q1154" s="2200"/>
      <c r="R1154" s="2200"/>
      <c r="S1154" s="2200"/>
      <c r="T1154" s="2200"/>
      <c r="U1154" s="2201"/>
    </row>
    <row r="1155" spans="2:21" ht="13.2" hidden="1" outlineLevel="3">
      <c r="B1155" s="2059">
        <v>24</v>
      </c>
      <c r="C1155" s="1050" t="str">
        <f t="shared" si="125"/>
        <v>Piquets acier galvanisé, France continentale, Base Carbone</v>
      </c>
      <c r="D1155" s="1051">
        <f t="shared" si="126"/>
        <v>24</v>
      </c>
      <c r="E1155" s="1051" t="str">
        <f>IF(COUNTIF(E$1131:E1154,F1155)&gt;0,"",F1155)</f>
        <v>Piquets acier galvanisé, France continentale, Base Carbone</v>
      </c>
      <c r="F1155" s="1051" t="str">
        <f t="shared" si="127"/>
        <v>Piquets acier galvanisé, France continentale, Base Carbone</v>
      </c>
      <c r="G1155" s="1051" t="str">
        <f t="shared" si="128"/>
        <v>Piquets acier galvanisé, France continentale, Base Carbone; kgCO2e/tonne</v>
      </c>
      <c r="I1155" s="2304" t="s">
        <v>3742</v>
      </c>
      <c r="J1155" s="14" t="s">
        <v>1585</v>
      </c>
      <c r="K1155" s="2305" t="s">
        <v>1567</v>
      </c>
      <c r="L1155" s="14" t="s">
        <v>1571</v>
      </c>
      <c r="M1155" s="2306">
        <v>0.4</v>
      </c>
      <c r="N1155" s="14"/>
      <c r="O1155" s="14">
        <v>3670</v>
      </c>
      <c r="P1155" s="2200"/>
      <c r="Q1155" s="2200"/>
      <c r="R1155" s="2200"/>
      <c r="S1155" s="2200"/>
      <c r="T1155" s="2200"/>
      <c r="U1155" s="2201"/>
    </row>
    <row r="1156" spans="2:21" ht="13.2" hidden="1" outlineLevel="3">
      <c r="B1156" s="2059">
        <v>25</v>
      </c>
      <c r="C1156" s="1050" t="str">
        <f t="shared" si="125"/>
        <v>-</v>
      </c>
      <c r="D1156" s="1051">
        <f t="shared" si="126"/>
        <v>24</v>
      </c>
      <c r="E1156" s="1051" t="str">
        <f>IF(COUNTIF(E$1131:E1155,F1156)&gt;0,"",F1156)</f>
        <v/>
      </c>
      <c r="F1156" s="1051" t="str">
        <f t="shared" si="127"/>
        <v/>
      </c>
      <c r="G1156" s="1051" t="str">
        <f t="shared" si="128"/>
        <v/>
      </c>
      <c r="I1156" s="2304"/>
      <c r="J1156" s="14"/>
      <c r="K1156" s="14"/>
      <c r="L1156" s="14"/>
      <c r="M1156" s="14"/>
      <c r="N1156" s="14"/>
      <c r="O1156" s="14"/>
      <c r="P1156" s="2200"/>
      <c r="Q1156" s="2200"/>
      <c r="R1156" s="2200"/>
      <c r="S1156" s="2200"/>
      <c r="T1156" s="2200"/>
      <c r="U1156" s="2201"/>
    </row>
    <row r="1157" spans="2:21" ht="13.2" hidden="1" outlineLevel="3">
      <c r="B1157" s="2059">
        <v>26</v>
      </c>
      <c r="C1157" s="1050" t="str">
        <f t="shared" si="125"/>
        <v>-</v>
      </c>
      <c r="D1157" s="1051">
        <f t="shared" si="126"/>
        <v>24</v>
      </c>
      <c r="E1157" s="1051" t="str">
        <f>IF(COUNTIF(E$1131:E1156,F1157)&gt;0,"",F1157)</f>
        <v/>
      </c>
      <c r="F1157" s="1051" t="str">
        <f t="shared" si="127"/>
        <v/>
      </c>
      <c r="G1157" s="1051" t="str">
        <f t="shared" si="128"/>
        <v/>
      </c>
      <c r="I1157" s="2202"/>
      <c r="J1157" s="2200"/>
      <c r="K1157" s="2200"/>
      <c r="L1157" s="2200"/>
      <c r="M1157" s="2200"/>
      <c r="N1157" s="2200"/>
      <c r="O1157" s="2200"/>
      <c r="P1157" s="2200"/>
      <c r="Q1157" s="2200"/>
      <c r="R1157" s="2200"/>
      <c r="S1157" s="2200"/>
      <c r="T1157" s="2200"/>
      <c r="U1157" s="2201"/>
    </row>
    <row r="1158" spans="2:21" ht="13.2" hidden="1" outlineLevel="3">
      <c r="B1158" s="2059">
        <v>27</v>
      </c>
      <c r="C1158" s="1050" t="str">
        <f t="shared" si="125"/>
        <v>-</v>
      </c>
      <c r="D1158" s="1051">
        <f t="shared" si="126"/>
        <v>24</v>
      </c>
      <c r="E1158" s="1051" t="str">
        <f>IF(COUNTIF(E$1131:E1157,F1158)&gt;0,"",F1158)</f>
        <v/>
      </c>
      <c r="F1158" s="1051" t="str">
        <f t="shared" si="127"/>
        <v/>
      </c>
      <c r="G1158" s="1051" t="str">
        <f t="shared" si="128"/>
        <v/>
      </c>
      <c r="I1158" s="2202"/>
      <c r="J1158" s="2200"/>
      <c r="K1158" s="2200"/>
      <c r="L1158" s="2200"/>
      <c r="M1158" s="2200"/>
      <c r="N1158" s="2200"/>
      <c r="O1158" s="2200"/>
      <c r="P1158" s="2200"/>
      <c r="Q1158" s="2200"/>
      <c r="R1158" s="2200"/>
      <c r="S1158" s="2200"/>
      <c r="T1158" s="2200"/>
      <c r="U1158" s="2201"/>
    </row>
    <row r="1159" spans="2:21" ht="13.2" hidden="1" outlineLevel="3">
      <c r="B1159" s="2059">
        <v>28</v>
      </c>
      <c r="C1159" s="1050" t="str">
        <f t="shared" si="125"/>
        <v>-</v>
      </c>
      <c r="D1159" s="1051">
        <f t="shared" si="126"/>
        <v>24</v>
      </c>
      <c r="E1159" s="1051" t="str">
        <f>IF(COUNTIF(E$1131:E1158,F1159)&gt;0,"",F1159)</f>
        <v/>
      </c>
      <c r="F1159" s="1051" t="str">
        <f t="shared" si="127"/>
        <v/>
      </c>
      <c r="G1159" s="1051" t="str">
        <f t="shared" si="128"/>
        <v/>
      </c>
      <c r="I1159" s="2202"/>
      <c r="J1159" s="2200"/>
      <c r="K1159" s="2200"/>
      <c r="L1159" s="2200"/>
      <c r="M1159" s="2200"/>
      <c r="N1159" s="2200"/>
      <c r="O1159" s="2200"/>
      <c r="P1159" s="2200"/>
      <c r="Q1159" s="2200"/>
      <c r="R1159" s="2200"/>
      <c r="S1159" s="2200"/>
      <c r="T1159" s="2200"/>
      <c r="U1159" s="2201"/>
    </row>
    <row r="1160" spans="2:21" ht="13.2" hidden="1" outlineLevel="3">
      <c r="B1160" s="2059">
        <v>29</v>
      </c>
      <c r="C1160" s="1050" t="str">
        <f t="shared" si="125"/>
        <v>-</v>
      </c>
      <c r="D1160" s="1051">
        <f t="shared" si="126"/>
        <v>24</v>
      </c>
      <c r="E1160" s="1051" t="str">
        <f>IF(COUNTIF(E$1131:E1159,F1160)&gt;0,"",F1160)</f>
        <v/>
      </c>
      <c r="F1160" s="1051" t="str">
        <f t="shared" si="127"/>
        <v/>
      </c>
      <c r="G1160" s="1051" t="str">
        <f t="shared" si="128"/>
        <v/>
      </c>
      <c r="I1160" s="2202"/>
      <c r="J1160" s="2200"/>
      <c r="K1160" s="2200"/>
      <c r="L1160" s="2200"/>
      <c r="M1160" s="2200"/>
      <c r="N1160" s="2200"/>
      <c r="O1160" s="2200"/>
      <c r="P1160" s="2200"/>
      <c r="Q1160" s="2200"/>
      <c r="R1160" s="2200"/>
      <c r="S1160" s="2200"/>
      <c r="T1160" s="2200"/>
      <c r="U1160" s="2201"/>
    </row>
    <row r="1161" spans="2:21" ht="13.2" hidden="1" outlineLevel="3">
      <c r="B1161" s="2059">
        <v>30</v>
      </c>
      <c r="C1161" s="1050" t="str">
        <f t="shared" si="125"/>
        <v>-</v>
      </c>
      <c r="D1161" s="1051">
        <f t="shared" si="126"/>
        <v>24</v>
      </c>
      <c r="E1161" s="1051" t="str">
        <f>IF(COUNTIF(E$1131:E1160,F1161)&gt;0,"",F1161)</f>
        <v/>
      </c>
      <c r="F1161" s="1051" t="str">
        <f t="shared" si="127"/>
        <v/>
      </c>
      <c r="G1161" s="1051" t="str">
        <f t="shared" si="128"/>
        <v/>
      </c>
      <c r="I1161" s="2202"/>
      <c r="J1161" s="2200"/>
      <c r="K1161" s="2200"/>
      <c r="L1161" s="2200"/>
      <c r="M1161" s="2200"/>
      <c r="N1161" s="2200"/>
      <c r="O1161" s="2200"/>
      <c r="P1161" s="2200"/>
      <c r="Q1161" s="2200"/>
      <c r="R1161" s="2200"/>
      <c r="S1161" s="2200"/>
      <c r="T1161" s="2200"/>
      <c r="U1161" s="2201"/>
    </row>
    <row r="1162" spans="2:21" ht="13.2" hidden="1" outlineLevel="3">
      <c r="B1162" s="2059">
        <v>31</v>
      </c>
      <c r="C1162" s="1050" t="str">
        <f t="shared" si="125"/>
        <v>-</v>
      </c>
      <c r="D1162" s="1051">
        <f t="shared" si="126"/>
        <v>24</v>
      </c>
      <c r="E1162" s="1051" t="str">
        <f>IF(COUNTIF(E$1131:E1161,F1162)&gt;0,"",F1162)</f>
        <v/>
      </c>
      <c r="F1162" s="1051" t="str">
        <f t="shared" si="127"/>
        <v/>
      </c>
      <c r="G1162" s="1051" t="str">
        <f t="shared" si="128"/>
        <v/>
      </c>
      <c r="I1162" s="2202"/>
      <c r="J1162" s="2200"/>
      <c r="K1162" s="2200"/>
      <c r="L1162" s="2200"/>
      <c r="M1162" s="2200"/>
      <c r="N1162" s="2200"/>
      <c r="O1162" s="2200"/>
      <c r="P1162" s="2200"/>
      <c r="Q1162" s="2200"/>
      <c r="R1162" s="2200"/>
      <c r="S1162" s="2200"/>
      <c r="T1162" s="2200"/>
      <c r="U1162" s="2201"/>
    </row>
    <row r="1163" spans="2:21" ht="13.2" hidden="1" outlineLevel="1">
      <c r="B1163" s="1135"/>
      <c r="C1163" s="1045"/>
      <c r="D1163" s="1045"/>
      <c r="E1163" s="1045"/>
      <c r="F1163" s="1045"/>
      <c r="G1163" s="1045"/>
      <c r="I1163" s="1746"/>
      <c r="J1163" s="1742"/>
      <c r="K1163" s="1742"/>
      <c r="L1163" s="1742"/>
      <c r="M1163" s="1742"/>
      <c r="N1163" s="1742"/>
      <c r="O1163" s="1742"/>
      <c r="P1163" s="1742"/>
      <c r="Q1163" s="1742"/>
      <c r="R1163" s="1742"/>
      <c r="S1163" s="1742"/>
      <c r="T1163" s="1742"/>
      <c r="U1163" s="2063"/>
    </row>
    <row r="1164" spans="2:21" ht="13.2" hidden="1" outlineLevel="1" collapsed="1">
      <c r="B1164" s="3193" t="s">
        <v>4163</v>
      </c>
      <c r="C1164" s="3193"/>
      <c r="D1164" s="1051">
        <v>0</v>
      </c>
      <c r="E1164" s="1051"/>
      <c r="F1164" s="1051"/>
      <c r="G1164" s="1051"/>
      <c r="I1164" s="1746"/>
      <c r="J1164" s="1742"/>
      <c r="K1164" s="1742"/>
      <c r="L1164" s="1742"/>
      <c r="M1164" s="1742"/>
      <c r="N1164" s="1742"/>
      <c r="O1164" s="1742"/>
      <c r="P1164" s="1742"/>
      <c r="Q1164" s="1742"/>
      <c r="R1164" s="1742"/>
      <c r="S1164" s="1742"/>
      <c r="T1164" s="1742"/>
      <c r="U1164" s="2063"/>
    </row>
    <row r="1165" spans="2:21" ht="13.2" hidden="1" outlineLevel="2">
      <c r="B1165" s="2333">
        <v>1</v>
      </c>
      <c r="C1165" s="2333" t="str">
        <f>IF(ISNA(VLOOKUP(B1165,$D$1165:$E$1189,2,FALSE)),"-",VLOOKUP(B1165,$D$1165:$E$1189,2,FALSE))</f>
        <v>Hoverboard, France continentale, Base Carbone</v>
      </c>
      <c r="D1165" s="1051">
        <f>D1164+IF(LEN(E1165)&gt;0,1,0)</f>
        <v>1</v>
      </c>
      <c r="E1165" s="1051" t="str">
        <f>IF(COUNTIF(E1164:E$1164,F1165)&gt;0,"",F1165)</f>
        <v>Hoverboard, France continentale, Base Carbone</v>
      </c>
      <c r="F1165" s="1051" t="str">
        <f>IF(I1165&lt;&gt;"",I1165&amp;IF(L1165&lt;&gt;"",", "&amp;L1165,"")&amp;IF(K1165&lt;&gt;"",", "&amp;K1165,""),"")</f>
        <v>Hoverboard, France continentale, Base Carbone</v>
      </c>
      <c r="G1165" s="1051" t="str">
        <f>IF(F1165&lt;&gt;"",F1165&amp;IF(J1165&lt;&gt;"","; "&amp;J1165&amp;IF(N1165&lt;&gt;"",", "&amp;N1165,),""),"")</f>
        <v>Hoverboard, France continentale, Base Carbone; kgCO2e/unité, Matières premières</v>
      </c>
      <c r="I1165" s="2304" t="s">
        <v>4119</v>
      </c>
      <c r="J1165" s="14" t="s">
        <v>1994</v>
      </c>
      <c r="K1165" s="2305" t="s">
        <v>1567</v>
      </c>
      <c r="L1165" s="14" t="s">
        <v>1571</v>
      </c>
      <c r="M1165" s="2334">
        <v>0.5</v>
      </c>
      <c r="N1165" s="2305" t="s">
        <v>3135</v>
      </c>
      <c r="O1165" s="14">
        <v>66.400000000000006</v>
      </c>
      <c r="P1165" s="14">
        <v>66.400000000000006</v>
      </c>
      <c r="Q1165" s="14">
        <v>0</v>
      </c>
      <c r="R1165" s="14">
        <v>0</v>
      </c>
      <c r="S1165" s="14">
        <v>0</v>
      </c>
      <c r="T1165" s="14">
        <v>0</v>
      </c>
      <c r="U1165" s="2329">
        <v>0</v>
      </c>
    </row>
    <row r="1166" spans="2:21" ht="13.2" hidden="1" outlineLevel="2">
      <c r="B1166" s="2333">
        <v>2</v>
      </c>
      <c r="C1166" s="2333" t="str">
        <f t="shared" ref="C1166:C1175" si="129">IF(ISNA(VLOOKUP(B1166,$D$1165:$E$1189,2,FALSE)),"-",VLOOKUP(B1166,$D$1165:$E$1189,2,FALSE))</f>
        <v>Trottinette électrique, France continentale, Base Carbone</v>
      </c>
      <c r="D1166" s="1051">
        <f t="shared" ref="D1166:D1189" si="130">D1165+IF(LEN(E1166)&gt;0,1,0)</f>
        <v>1</v>
      </c>
      <c r="E1166" s="1051" t="str">
        <f>IF(COUNTIF(E$1164:E1165,F1166)&gt;0,"",F1166)</f>
        <v/>
      </c>
      <c r="F1166" s="1051" t="str">
        <f t="shared" ref="F1166:F1189" si="131">IF(I1166&lt;&gt;"",I1166&amp;IF(L1166&lt;&gt;"",", "&amp;L1166,"")&amp;IF(K1166&lt;&gt;"",", "&amp;K1166,""),"")</f>
        <v>Hoverboard, France continentale, Base Carbone</v>
      </c>
      <c r="G1166" s="1051" t="str">
        <f t="shared" ref="G1166:G1189" si="132">IF(F1166&lt;&gt;"",F1166&amp;IF(J1166&lt;&gt;"","; "&amp;J1166&amp;IF(N1166&lt;&gt;"",", "&amp;N1166,),""),"")</f>
        <v>Hoverboard, France continentale, Base Carbone; kgCO2e/unité, Approvisionnement</v>
      </c>
      <c r="I1166" s="2304" t="s">
        <v>4119</v>
      </c>
      <c r="J1166" s="14" t="s">
        <v>1994</v>
      </c>
      <c r="K1166" s="2305" t="s">
        <v>1567</v>
      </c>
      <c r="L1166" s="14" t="s">
        <v>1571</v>
      </c>
      <c r="M1166" s="2334">
        <v>0.5</v>
      </c>
      <c r="N1166" s="2305" t="s">
        <v>3136</v>
      </c>
      <c r="O1166" s="14">
        <v>1.59</v>
      </c>
      <c r="P1166" s="14">
        <v>1.59</v>
      </c>
      <c r="Q1166" s="14">
        <v>0</v>
      </c>
      <c r="R1166" s="14">
        <v>0</v>
      </c>
      <c r="S1166" s="14">
        <v>0</v>
      </c>
      <c r="T1166" s="14">
        <v>0</v>
      </c>
      <c r="U1166" s="2329">
        <v>0</v>
      </c>
    </row>
    <row r="1167" spans="2:21" ht="13.2" hidden="1" outlineLevel="2">
      <c r="B1167" s="2333">
        <v>3</v>
      </c>
      <c r="C1167" s="2333" t="str">
        <f t="shared" si="129"/>
        <v>Véhicule, France continentale, Base Carbone</v>
      </c>
      <c r="D1167" s="1051">
        <f t="shared" si="130"/>
        <v>1</v>
      </c>
      <c r="E1167" s="1051" t="str">
        <f>IF(COUNTIF(E$1164:E1166,F1167)&gt;0,"",F1167)</f>
        <v/>
      </c>
      <c r="F1167" s="1051" t="str">
        <f t="shared" si="131"/>
        <v>Hoverboard, France continentale, Base Carbone</v>
      </c>
      <c r="G1167" s="1051" t="str">
        <f t="shared" si="132"/>
        <v>Hoverboard, France continentale, Base Carbone; kgCO2e/unité, Mise en forme</v>
      </c>
      <c r="I1167" s="2304" t="s">
        <v>4119</v>
      </c>
      <c r="J1167" s="14" t="s">
        <v>1994</v>
      </c>
      <c r="K1167" s="2305" t="s">
        <v>1567</v>
      </c>
      <c r="L1167" s="14" t="s">
        <v>1571</v>
      </c>
      <c r="M1167" s="2334">
        <v>0.5</v>
      </c>
      <c r="N1167" s="2305" t="s">
        <v>3141</v>
      </c>
      <c r="O1167" s="14">
        <v>2.1</v>
      </c>
      <c r="P1167" s="14">
        <v>2.1</v>
      </c>
      <c r="Q1167" s="14">
        <v>0</v>
      </c>
      <c r="R1167" s="14">
        <v>0</v>
      </c>
      <c r="S1167" s="14">
        <v>0</v>
      </c>
      <c r="T1167" s="14">
        <v>0</v>
      </c>
      <c r="U1167" s="2329">
        <v>0</v>
      </c>
    </row>
    <row r="1168" spans="2:21" ht="13.2" hidden="1" outlineLevel="2">
      <c r="B1168" s="2333">
        <v>4</v>
      </c>
      <c r="C1168" s="2333" t="str">
        <f t="shared" si="129"/>
        <v>Vélo à assistance électrique, France continentale, Base Carbone</v>
      </c>
      <c r="D1168" s="1051">
        <f t="shared" si="130"/>
        <v>1</v>
      </c>
      <c r="E1168" s="1051" t="str">
        <f>IF(COUNTIF(E$1164:E1167,F1168)&gt;0,"",F1168)</f>
        <v/>
      </c>
      <c r="F1168" s="1051" t="str">
        <f t="shared" si="131"/>
        <v>Hoverboard, France continentale, Base Carbone</v>
      </c>
      <c r="G1168" s="1051" t="str">
        <f t="shared" si="132"/>
        <v>Hoverboard, France continentale, Base Carbone; kgCO2e/unité, Assemblage</v>
      </c>
      <c r="I1168" s="2304" t="s">
        <v>4119</v>
      </c>
      <c r="J1168" s="14" t="s">
        <v>1994</v>
      </c>
      <c r="K1168" s="2305" t="s">
        <v>1567</v>
      </c>
      <c r="L1168" s="14" t="s">
        <v>1571</v>
      </c>
      <c r="M1168" s="2334">
        <v>0.5</v>
      </c>
      <c r="N1168" s="2305" t="s">
        <v>3137</v>
      </c>
      <c r="O1168" s="14">
        <v>10.1</v>
      </c>
      <c r="P1168" s="14">
        <v>10.1</v>
      </c>
      <c r="Q1168" s="14">
        <v>0</v>
      </c>
      <c r="R1168" s="14">
        <v>0</v>
      </c>
      <c r="S1168" s="14">
        <v>0</v>
      </c>
      <c r="T1168" s="14">
        <v>0</v>
      </c>
      <c r="U1168" s="2329">
        <v>-0.222</v>
      </c>
    </row>
    <row r="1169" spans="2:21" ht="13.2" hidden="1" outlineLevel="2">
      <c r="B1169" s="2333">
        <v>5</v>
      </c>
      <c r="C1169" s="2333" t="str">
        <f t="shared" si="129"/>
        <v>-</v>
      </c>
      <c r="D1169" s="1051">
        <f t="shared" si="130"/>
        <v>1</v>
      </c>
      <c r="E1169" s="1051" t="str">
        <f>IF(COUNTIF(E$1164:E1168,F1169)&gt;0,"",F1169)</f>
        <v/>
      </c>
      <c r="F1169" s="1051" t="str">
        <f t="shared" si="131"/>
        <v>Hoverboard, France continentale, Base Carbone</v>
      </c>
      <c r="G1169" s="1051" t="str">
        <f t="shared" si="132"/>
        <v>Hoverboard, France continentale, Base Carbone; kgCO2e/unité, Distribution</v>
      </c>
      <c r="I1169" s="2304" t="s">
        <v>4119</v>
      </c>
      <c r="J1169" s="14" t="s">
        <v>1994</v>
      </c>
      <c r="K1169" s="2305" t="s">
        <v>1567</v>
      </c>
      <c r="L1169" s="14" t="s">
        <v>1571</v>
      </c>
      <c r="M1169" s="2334">
        <v>0.5</v>
      </c>
      <c r="N1169" s="2305" t="s">
        <v>3138</v>
      </c>
      <c r="O1169" s="14">
        <v>12</v>
      </c>
      <c r="P1169" s="14">
        <v>12</v>
      </c>
      <c r="Q1169" s="14">
        <v>0</v>
      </c>
      <c r="R1169" s="14">
        <v>0</v>
      </c>
      <c r="S1169" s="14">
        <v>0</v>
      </c>
      <c r="T1169" s="14">
        <v>0</v>
      </c>
      <c r="U1169" s="2329">
        <v>0</v>
      </c>
    </row>
    <row r="1170" spans="2:21" ht="13.2" hidden="1" outlineLevel="2">
      <c r="B1170" s="2333">
        <v>6</v>
      </c>
      <c r="C1170" s="2333" t="str">
        <f t="shared" si="129"/>
        <v>-</v>
      </c>
      <c r="D1170" s="1051">
        <f t="shared" si="130"/>
        <v>2</v>
      </c>
      <c r="E1170" s="1051" t="str">
        <f>IF(COUNTIF(E$1164:E1169,F1170)&gt;0,"",F1170)</f>
        <v>Trottinette électrique, France continentale, Base Carbone</v>
      </c>
      <c r="F1170" s="1051" t="str">
        <f t="shared" si="131"/>
        <v>Trottinette électrique, France continentale, Base Carbone</v>
      </c>
      <c r="G1170" s="1051" t="str">
        <f t="shared" si="132"/>
        <v>Trottinette électrique, France continentale, Base Carbone; kgCO2e/unité, Matières premières</v>
      </c>
      <c r="I1170" s="2304" t="s">
        <v>4164</v>
      </c>
      <c r="J1170" s="14" t="s">
        <v>1994</v>
      </c>
      <c r="K1170" s="2305" t="s">
        <v>1567</v>
      </c>
      <c r="L1170" s="14" t="s">
        <v>1571</v>
      </c>
      <c r="M1170" s="2334">
        <v>0.5</v>
      </c>
      <c r="N1170" s="2305" t="s">
        <v>3135</v>
      </c>
      <c r="O1170" s="14">
        <v>70.7</v>
      </c>
      <c r="P1170" s="14">
        <v>70.7</v>
      </c>
      <c r="Q1170" s="14">
        <v>0</v>
      </c>
      <c r="R1170" s="14">
        <v>0</v>
      </c>
      <c r="S1170" s="14">
        <v>0</v>
      </c>
      <c r="T1170" s="14">
        <v>0</v>
      </c>
      <c r="U1170" s="2329">
        <v>0</v>
      </c>
    </row>
    <row r="1171" spans="2:21" ht="13.2" hidden="1" outlineLevel="2">
      <c r="B1171" s="2333">
        <v>7</v>
      </c>
      <c r="C1171" s="2333" t="str">
        <f t="shared" si="129"/>
        <v>-</v>
      </c>
      <c r="D1171" s="1051">
        <f t="shared" si="130"/>
        <v>2</v>
      </c>
      <c r="E1171" s="1051" t="str">
        <f>IF(COUNTIF(E$1164:E1170,F1171)&gt;0,"",F1171)</f>
        <v/>
      </c>
      <c r="F1171" s="1051" t="str">
        <f t="shared" si="131"/>
        <v>Trottinette électrique, France continentale, Base Carbone</v>
      </c>
      <c r="G1171" s="1051" t="str">
        <f t="shared" si="132"/>
        <v>Trottinette électrique, France continentale, Base Carbone; kgCO2e/unité, Approvisionnement</v>
      </c>
      <c r="I1171" s="2304" t="s">
        <v>4164</v>
      </c>
      <c r="J1171" s="14" t="s">
        <v>1994</v>
      </c>
      <c r="K1171" s="2305" t="s">
        <v>1567</v>
      </c>
      <c r="L1171" s="14" t="s">
        <v>1571</v>
      </c>
      <c r="M1171" s="2334">
        <v>0.5</v>
      </c>
      <c r="N1171" s="2305" t="s">
        <v>3136</v>
      </c>
      <c r="O1171" s="14">
        <v>1.64</v>
      </c>
      <c r="P1171" s="14">
        <v>1.64</v>
      </c>
      <c r="Q1171" s="14">
        <v>0</v>
      </c>
      <c r="R1171" s="14">
        <v>0</v>
      </c>
      <c r="S1171" s="14">
        <v>0</v>
      </c>
      <c r="T1171" s="14">
        <v>0</v>
      </c>
      <c r="U1171" s="2329">
        <v>0</v>
      </c>
    </row>
    <row r="1172" spans="2:21" ht="13.2" hidden="1" outlineLevel="2">
      <c r="B1172" s="2333">
        <v>8</v>
      </c>
      <c r="C1172" s="2333" t="str">
        <f t="shared" si="129"/>
        <v>-</v>
      </c>
      <c r="D1172" s="1051">
        <f t="shared" si="130"/>
        <v>2</v>
      </c>
      <c r="E1172" s="1051" t="str">
        <f>IF(COUNTIF(E$1164:E1171,F1172)&gt;0,"",F1172)</f>
        <v/>
      </c>
      <c r="F1172" s="1051" t="str">
        <f t="shared" si="131"/>
        <v>Trottinette électrique, France continentale, Base Carbone</v>
      </c>
      <c r="G1172" s="1051" t="str">
        <f t="shared" si="132"/>
        <v>Trottinette électrique, France continentale, Base Carbone; kgCO2e/unité, Mise en forme</v>
      </c>
      <c r="I1172" s="2304" t="s">
        <v>4164</v>
      </c>
      <c r="J1172" s="14" t="s">
        <v>1994</v>
      </c>
      <c r="K1172" s="2305" t="s">
        <v>1567</v>
      </c>
      <c r="L1172" s="14" t="s">
        <v>1571</v>
      </c>
      <c r="M1172" s="2334">
        <v>0.5</v>
      </c>
      <c r="N1172" s="2305" t="s">
        <v>3141</v>
      </c>
      <c r="O1172" s="14">
        <v>2.12</v>
      </c>
      <c r="P1172" s="14">
        <v>2.12</v>
      </c>
      <c r="Q1172" s="14">
        <v>0</v>
      </c>
      <c r="R1172" s="14">
        <v>0</v>
      </c>
      <c r="S1172" s="14">
        <v>0</v>
      </c>
      <c r="T1172" s="14">
        <v>0</v>
      </c>
      <c r="U1172" s="2329">
        <v>0</v>
      </c>
    </row>
    <row r="1173" spans="2:21" ht="13.2" hidden="1" outlineLevel="2">
      <c r="B1173" s="2333">
        <v>9</v>
      </c>
      <c r="C1173" s="2333" t="str">
        <f t="shared" si="129"/>
        <v>-</v>
      </c>
      <c r="D1173" s="1051">
        <f t="shared" si="130"/>
        <v>2</v>
      </c>
      <c r="E1173" s="1051" t="str">
        <f>IF(COUNTIF(E$1164:E1172,F1173)&gt;0,"",F1173)</f>
        <v/>
      </c>
      <c r="F1173" s="1051" t="str">
        <f t="shared" si="131"/>
        <v>Trottinette électrique, France continentale, Base Carbone</v>
      </c>
      <c r="G1173" s="1051" t="str">
        <f t="shared" si="132"/>
        <v>Trottinette électrique, France continentale, Base Carbone; kgCO2e/unité, Assemblage</v>
      </c>
      <c r="I1173" s="2304" t="s">
        <v>4164</v>
      </c>
      <c r="J1173" s="14" t="s">
        <v>1994</v>
      </c>
      <c r="K1173" s="2305" t="s">
        <v>1567</v>
      </c>
      <c r="L1173" s="14" t="s">
        <v>1571</v>
      </c>
      <c r="M1173" s="2334">
        <v>0.5</v>
      </c>
      <c r="N1173" s="2305" t="s">
        <v>3137</v>
      </c>
      <c r="O1173" s="14">
        <v>5.09</v>
      </c>
      <c r="P1173" s="14">
        <v>5.09</v>
      </c>
      <c r="Q1173" s="14">
        <v>0</v>
      </c>
      <c r="R1173" s="14">
        <v>0</v>
      </c>
      <c r="S1173" s="14">
        <v>0</v>
      </c>
      <c r="T1173" s="14">
        <v>0</v>
      </c>
      <c r="U1173" s="2329">
        <v>-0.222</v>
      </c>
    </row>
    <row r="1174" spans="2:21" ht="13.2" hidden="1" outlineLevel="2">
      <c r="B1174" s="2333">
        <v>10</v>
      </c>
      <c r="C1174" s="2333" t="str">
        <f t="shared" si="129"/>
        <v>-</v>
      </c>
      <c r="D1174" s="1051">
        <f t="shared" si="130"/>
        <v>2</v>
      </c>
      <c r="E1174" s="1051" t="str">
        <f>IF(COUNTIF(E$1164:E1173,F1174)&gt;0,"",F1174)</f>
        <v/>
      </c>
      <c r="F1174" s="1051" t="str">
        <f t="shared" si="131"/>
        <v>Trottinette électrique, France continentale, Base Carbone</v>
      </c>
      <c r="G1174" s="1051" t="str">
        <f t="shared" si="132"/>
        <v>Trottinette électrique, France continentale, Base Carbone; kgCO2e/unité, Distribution</v>
      </c>
      <c r="I1174" s="2304" t="s">
        <v>4164</v>
      </c>
      <c r="J1174" s="14" t="s">
        <v>1994</v>
      </c>
      <c r="K1174" s="2305" t="s">
        <v>1567</v>
      </c>
      <c r="L1174" s="14" t="s">
        <v>1571</v>
      </c>
      <c r="M1174" s="2334">
        <v>0.5</v>
      </c>
      <c r="N1174" s="2305" t="s">
        <v>3138</v>
      </c>
      <c r="O1174" s="14">
        <v>12.4</v>
      </c>
      <c r="P1174" s="14">
        <v>12.4</v>
      </c>
      <c r="Q1174" s="14">
        <v>0</v>
      </c>
      <c r="R1174" s="14">
        <v>0</v>
      </c>
      <c r="S1174" s="14">
        <v>0</v>
      </c>
      <c r="T1174" s="14">
        <v>0</v>
      </c>
      <c r="U1174" s="2329">
        <v>0</v>
      </c>
    </row>
    <row r="1175" spans="2:21" ht="13.2" hidden="1" outlineLevel="2">
      <c r="B1175" s="2333">
        <v>11</v>
      </c>
      <c r="C1175" s="2333" t="str">
        <f t="shared" si="129"/>
        <v>-</v>
      </c>
      <c r="D1175" s="1051">
        <f t="shared" si="130"/>
        <v>3</v>
      </c>
      <c r="E1175" s="1051" t="str">
        <f>IF(COUNTIF(E$1164:E1174,F1175)&gt;0,"",F1175)</f>
        <v>Véhicule, France continentale, Base Carbone</v>
      </c>
      <c r="F1175" s="1051" t="str">
        <f t="shared" si="131"/>
        <v>Véhicule, France continentale, Base Carbone</v>
      </c>
      <c r="G1175" s="1051" t="str">
        <f t="shared" si="132"/>
        <v>Véhicule, France continentale, Base Carbone; kgCO2e/tonne, Matières premières</v>
      </c>
      <c r="I1175" s="2304" t="s">
        <v>4165</v>
      </c>
      <c r="J1175" s="14" t="s">
        <v>1585</v>
      </c>
      <c r="K1175" s="2305" t="s">
        <v>1567</v>
      </c>
      <c r="L1175" s="14" t="s">
        <v>1571</v>
      </c>
      <c r="M1175" s="2334">
        <v>0.5</v>
      </c>
      <c r="N1175" s="2335" t="s">
        <v>3135</v>
      </c>
      <c r="O1175" s="14">
        <v>5500</v>
      </c>
      <c r="P1175" s="2336">
        <v>5500</v>
      </c>
      <c r="Q1175" s="2336">
        <v>0</v>
      </c>
      <c r="R1175" s="2336">
        <v>0</v>
      </c>
      <c r="S1175" s="2336">
        <v>0</v>
      </c>
      <c r="T1175" s="2336">
        <v>0</v>
      </c>
      <c r="U1175" s="2337">
        <v>0</v>
      </c>
    </row>
    <row r="1176" spans="2:21" ht="13.2" hidden="1" outlineLevel="2">
      <c r="B1176" s="2059"/>
      <c r="C1176" s="1050"/>
      <c r="D1176" s="1051">
        <f t="shared" si="130"/>
        <v>4</v>
      </c>
      <c r="E1176" s="1051" t="str">
        <f>IF(COUNTIF(E$1164:E1175,F1176)&gt;0,"",F1176)</f>
        <v>Vélo à assistance électrique, France continentale, Base Carbone</v>
      </c>
      <c r="F1176" s="1051" t="str">
        <f t="shared" si="131"/>
        <v>Vélo à assistance électrique, France continentale, Base Carbone</v>
      </c>
      <c r="G1176" s="1051" t="str">
        <f t="shared" si="132"/>
        <v>Vélo à assistance électrique, France continentale, Base Carbone; kgCO2e/unité, Matières premières</v>
      </c>
      <c r="I1176" s="2304" t="s">
        <v>4118</v>
      </c>
      <c r="J1176" s="14" t="s">
        <v>1994</v>
      </c>
      <c r="K1176" s="2305" t="s">
        <v>1567</v>
      </c>
      <c r="L1176" s="14" t="s">
        <v>1571</v>
      </c>
      <c r="M1176" s="2334">
        <v>0.5</v>
      </c>
      <c r="N1176" s="2305" t="s">
        <v>3135</v>
      </c>
      <c r="O1176" s="14">
        <v>213</v>
      </c>
      <c r="P1176" s="14">
        <v>213</v>
      </c>
      <c r="Q1176" s="14">
        <v>0</v>
      </c>
      <c r="R1176" s="14">
        <v>0</v>
      </c>
      <c r="S1176" s="14">
        <v>0</v>
      </c>
      <c r="T1176" s="14">
        <v>0</v>
      </c>
      <c r="U1176" s="2329">
        <v>0</v>
      </c>
    </row>
    <row r="1177" spans="2:21" ht="13.2" hidden="1" outlineLevel="2">
      <c r="B1177" s="2059"/>
      <c r="C1177" s="1050"/>
      <c r="D1177" s="1051">
        <f t="shared" si="130"/>
        <v>4</v>
      </c>
      <c r="E1177" s="1051" t="str">
        <f>IF(COUNTIF(E$1164:E1176,F1177)&gt;0,"",F1177)</f>
        <v/>
      </c>
      <c r="F1177" s="1051" t="str">
        <f t="shared" si="131"/>
        <v>Vélo à assistance électrique, France continentale, Base Carbone</v>
      </c>
      <c r="G1177" s="1051" t="str">
        <f t="shared" si="132"/>
        <v>Vélo à assistance électrique, France continentale, Base Carbone; kgCO2e/unité, Approvisionnement</v>
      </c>
      <c r="I1177" s="2304" t="s">
        <v>4118</v>
      </c>
      <c r="J1177" s="14" t="s">
        <v>1994</v>
      </c>
      <c r="K1177" s="2305" t="s">
        <v>1567</v>
      </c>
      <c r="L1177" s="14" t="s">
        <v>1571</v>
      </c>
      <c r="M1177" s="2334">
        <v>0.5</v>
      </c>
      <c r="N1177" s="2305" t="s">
        <v>3136</v>
      </c>
      <c r="O1177" s="14">
        <v>28.6</v>
      </c>
      <c r="P1177" s="14">
        <v>28.6</v>
      </c>
      <c r="Q1177" s="14">
        <v>0</v>
      </c>
      <c r="R1177" s="14">
        <v>0</v>
      </c>
      <c r="S1177" s="14">
        <v>0</v>
      </c>
      <c r="T1177" s="14">
        <v>0</v>
      </c>
      <c r="U1177" s="2329">
        <v>0</v>
      </c>
    </row>
    <row r="1178" spans="2:21" ht="13.2" hidden="1" outlineLevel="2">
      <c r="B1178" s="2059"/>
      <c r="C1178" s="1050"/>
      <c r="D1178" s="1051">
        <f t="shared" si="130"/>
        <v>4</v>
      </c>
      <c r="E1178" s="1051" t="str">
        <f>IF(COUNTIF(E$1164:E1177,F1178)&gt;0,"",F1178)</f>
        <v/>
      </c>
      <c r="F1178" s="1051" t="str">
        <f t="shared" si="131"/>
        <v>Vélo à assistance électrique, France continentale, Base Carbone</v>
      </c>
      <c r="G1178" s="1051" t="str">
        <f t="shared" si="132"/>
        <v>Vélo à assistance électrique, France continentale, Base Carbone; kgCO2e/unité, Mise en forme</v>
      </c>
      <c r="I1178" s="2304" t="s">
        <v>4118</v>
      </c>
      <c r="J1178" s="14" t="s">
        <v>1994</v>
      </c>
      <c r="K1178" s="2305" t="s">
        <v>1567</v>
      </c>
      <c r="L1178" s="14" t="s">
        <v>1571</v>
      </c>
      <c r="M1178" s="2334">
        <v>0.5</v>
      </c>
      <c r="N1178" s="2305" t="s">
        <v>3141</v>
      </c>
      <c r="O1178" s="14">
        <v>4.88</v>
      </c>
      <c r="P1178" s="14">
        <v>4.88</v>
      </c>
      <c r="Q1178" s="14">
        <v>0</v>
      </c>
      <c r="R1178" s="14">
        <v>0</v>
      </c>
      <c r="S1178" s="14">
        <v>0</v>
      </c>
      <c r="T1178" s="14">
        <v>0</v>
      </c>
      <c r="U1178" s="2329">
        <v>0</v>
      </c>
    </row>
    <row r="1179" spans="2:21" ht="13.2" hidden="1" outlineLevel="2">
      <c r="B1179" s="2059"/>
      <c r="C1179" s="1050"/>
      <c r="D1179" s="1051">
        <f t="shared" si="130"/>
        <v>4</v>
      </c>
      <c r="E1179" s="1051" t="str">
        <f>IF(COUNTIF(E$1164:E1178,F1179)&gt;0,"",F1179)</f>
        <v/>
      </c>
      <c r="F1179" s="1051" t="str">
        <f t="shared" si="131"/>
        <v>Vélo à assistance électrique, France continentale, Base Carbone</v>
      </c>
      <c r="G1179" s="1051" t="str">
        <f t="shared" si="132"/>
        <v>Vélo à assistance électrique, France continentale, Base Carbone; kgCO2e/unité, Assemblage</v>
      </c>
      <c r="I1179" s="2304" t="s">
        <v>4118</v>
      </c>
      <c r="J1179" s="14" t="s">
        <v>1994</v>
      </c>
      <c r="K1179" s="2305" t="s">
        <v>1567</v>
      </c>
      <c r="L1179" s="14" t="s">
        <v>1571</v>
      </c>
      <c r="M1179" s="2334">
        <v>0.5</v>
      </c>
      <c r="N1179" s="2305" t="s">
        <v>3137</v>
      </c>
      <c r="O1179" s="14">
        <v>2.99</v>
      </c>
      <c r="P1179" s="14">
        <v>2.99</v>
      </c>
      <c r="Q1179" s="14">
        <v>0</v>
      </c>
      <c r="R1179" s="14">
        <v>0</v>
      </c>
      <c r="S1179" s="14">
        <v>0</v>
      </c>
      <c r="T1179" s="14">
        <v>0</v>
      </c>
      <c r="U1179" s="2329">
        <v>-0.14799999999999999</v>
      </c>
    </row>
    <row r="1180" spans="2:21" ht="13.2" hidden="1" outlineLevel="2">
      <c r="B1180" s="3193"/>
      <c r="C1180" s="3193"/>
      <c r="D1180" s="1051">
        <f t="shared" si="130"/>
        <v>4</v>
      </c>
      <c r="E1180" s="1051" t="str">
        <f>IF(COUNTIF(E$1164:E1179,F1180)&gt;0,"",F1180)</f>
        <v/>
      </c>
      <c r="F1180" s="1051" t="str">
        <f t="shared" si="131"/>
        <v>Vélo à assistance électrique, France continentale, Base Carbone</v>
      </c>
      <c r="G1180" s="1051" t="str">
        <f t="shared" si="132"/>
        <v>Vélo à assistance électrique, France continentale, Base Carbone; kgCO2e/unité, Distribution</v>
      </c>
      <c r="I1180" s="2304" t="s">
        <v>4118</v>
      </c>
      <c r="J1180" s="14" t="s">
        <v>1994</v>
      </c>
      <c r="K1180" s="2305" t="s">
        <v>1567</v>
      </c>
      <c r="L1180" s="14" t="s">
        <v>1571</v>
      </c>
      <c r="M1180" s="2334">
        <v>0.5</v>
      </c>
      <c r="N1180" s="2305" t="s">
        <v>3138</v>
      </c>
      <c r="O1180" s="14">
        <v>11.9</v>
      </c>
      <c r="P1180" s="14">
        <v>11.9</v>
      </c>
      <c r="Q1180" s="14">
        <v>0</v>
      </c>
      <c r="R1180" s="14">
        <v>0</v>
      </c>
      <c r="S1180" s="14">
        <v>0</v>
      </c>
      <c r="T1180" s="14">
        <v>0</v>
      </c>
      <c r="U1180" s="2329">
        <v>0</v>
      </c>
    </row>
    <row r="1181" spans="2:21" ht="13.2" hidden="1" outlineLevel="2">
      <c r="B1181" s="2059"/>
      <c r="C1181" s="1050"/>
      <c r="D1181" s="1051">
        <f t="shared" si="130"/>
        <v>4</v>
      </c>
      <c r="E1181" s="1051" t="str">
        <f>IF(COUNTIF(E$1164:E1180,F1181)&gt;0,"",F1181)</f>
        <v/>
      </c>
      <c r="F1181" s="1051" t="str">
        <f t="shared" si="131"/>
        <v/>
      </c>
      <c r="G1181" s="1051" t="str">
        <f t="shared" si="132"/>
        <v/>
      </c>
      <c r="I1181" s="2328"/>
      <c r="J1181" s="14"/>
      <c r="K1181" s="14"/>
      <c r="L1181" s="14"/>
      <c r="M1181" s="14"/>
      <c r="N1181" s="14"/>
      <c r="O1181" s="14"/>
      <c r="P1181" s="14"/>
      <c r="Q1181" s="14"/>
      <c r="R1181" s="14"/>
      <c r="S1181" s="14"/>
      <c r="T1181" s="14"/>
      <c r="U1181" s="2329"/>
    </row>
    <row r="1182" spans="2:21" ht="13.2" hidden="1" outlineLevel="2">
      <c r="B1182" s="2059"/>
      <c r="C1182" s="1050"/>
      <c r="D1182" s="1051">
        <f t="shared" si="130"/>
        <v>4</v>
      </c>
      <c r="E1182" s="1051" t="str">
        <f>IF(COUNTIF(E$1164:E1181,F1182)&gt;0,"",F1182)</f>
        <v/>
      </c>
      <c r="F1182" s="1051" t="str">
        <f t="shared" si="131"/>
        <v/>
      </c>
      <c r="G1182" s="1051" t="str">
        <f t="shared" si="132"/>
        <v/>
      </c>
      <c r="I1182" s="2328"/>
      <c r="J1182" s="14"/>
      <c r="K1182" s="14"/>
      <c r="L1182" s="14"/>
      <c r="M1182" s="14"/>
      <c r="N1182" s="14"/>
      <c r="O1182" s="14"/>
      <c r="P1182" s="14"/>
      <c r="Q1182" s="14"/>
      <c r="R1182" s="14"/>
      <c r="S1182" s="14"/>
      <c r="T1182" s="14"/>
      <c r="U1182" s="2329"/>
    </row>
    <row r="1183" spans="2:21" ht="13.2" hidden="1" outlineLevel="2">
      <c r="B1183" s="2059"/>
      <c r="C1183" s="1050"/>
      <c r="D1183" s="1051">
        <f t="shared" si="130"/>
        <v>4</v>
      </c>
      <c r="E1183" s="1051" t="str">
        <f>IF(COUNTIF(E$1164:E1182,F1183)&gt;0,"",F1183)</f>
        <v/>
      </c>
      <c r="F1183" s="1051" t="str">
        <f t="shared" si="131"/>
        <v/>
      </c>
      <c r="G1183" s="1051" t="str">
        <f t="shared" si="132"/>
        <v/>
      </c>
      <c r="I1183" s="2328"/>
      <c r="J1183" s="14"/>
      <c r="K1183" s="14"/>
      <c r="L1183" s="14"/>
      <c r="M1183" s="14"/>
      <c r="N1183" s="14"/>
      <c r="O1183" s="14"/>
      <c r="P1183" s="14"/>
      <c r="Q1183" s="14"/>
      <c r="R1183" s="14"/>
      <c r="S1183" s="14"/>
      <c r="T1183" s="14"/>
      <c r="U1183" s="2329"/>
    </row>
    <row r="1184" spans="2:21" ht="13.2" hidden="1" outlineLevel="2">
      <c r="B1184" s="2059"/>
      <c r="C1184" s="1050"/>
      <c r="D1184" s="1051">
        <f t="shared" si="130"/>
        <v>4</v>
      </c>
      <c r="E1184" s="1051" t="str">
        <f>IF(COUNTIF(E$1164:E1183,F1184)&gt;0,"",F1184)</f>
        <v/>
      </c>
      <c r="F1184" s="1051" t="str">
        <f t="shared" si="131"/>
        <v/>
      </c>
      <c r="G1184" s="1051" t="str">
        <f t="shared" si="132"/>
        <v/>
      </c>
      <c r="I1184" s="2328"/>
      <c r="J1184" s="14"/>
      <c r="K1184" s="14"/>
      <c r="L1184" s="14"/>
      <c r="M1184" s="14"/>
      <c r="N1184" s="14"/>
      <c r="O1184" s="14"/>
      <c r="P1184" s="14"/>
      <c r="Q1184" s="14"/>
      <c r="R1184" s="14"/>
      <c r="S1184" s="14"/>
      <c r="T1184" s="14"/>
      <c r="U1184" s="2329"/>
    </row>
    <row r="1185" spans="2:21" ht="13.2" hidden="1" outlineLevel="2">
      <c r="B1185" s="2059"/>
      <c r="C1185" s="1050"/>
      <c r="D1185" s="1051">
        <f t="shared" si="130"/>
        <v>4</v>
      </c>
      <c r="E1185" s="1051" t="str">
        <f>IF(COUNTIF(E$1164:E1184,F1185)&gt;0,"",F1185)</f>
        <v/>
      </c>
      <c r="F1185" s="1051" t="str">
        <f t="shared" si="131"/>
        <v/>
      </c>
      <c r="G1185" s="1051" t="str">
        <f t="shared" si="132"/>
        <v/>
      </c>
      <c r="I1185" s="2328"/>
      <c r="J1185" s="14"/>
      <c r="K1185" s="14"/>
      <c r="L1185" s="14"/>
      <c r="M1185" s="14"/>
      <c r="N1185" s="14"/>
      <c r="O1185" s="14"/>
      <c r="P1185" s="14"/>
      <c r="Q1185" s="14"/>
      <c r="R1185" s="14"/>
      <c r="S1185" s="14"/>
      <c r="T1185" s="14"/>
      <c r="U1185" s="2329"/>
    </row>
    <row r="1186" spans="2:21" ht="13.2" hidden="1" outlineLevel="2">
      <c r="B1186" s="2059"/>
      <c r="C1186" s="1050"/>
      <c r="D1186" s="1051">
        <f t="shared" si="130"/>
        <v>4</v>
      </c>
      <c r="E1186" s="1051" t="str">
        <f>IF(COUNTIF(E$1164:E1185,F1186)&gt;0,"",F1186)</f>
        <v/>
      </c>
      <c r="F1186" s="1051" t="str">
        <f t="shared" si="131"/>
        <v/>
      </c>
      <c r="G1186" s="1051" t="str">
        <f t="shared" si="132"/>
        <v/>
      </c>
      <c r="I1186" s="2328"/>
      <c r="J1186" s="14"/>
      <c r="K1186" s="14"/>
      <c r="L1186" s="14"/>
      <c r="M1186" s="14"/>
      <c r="N1186" s="14"/>
      <c r="O1186" s="14"/>
      <c r="P1186" s="14"/>
      <c r="Q1186" s="14"/>
      <c r="R1186" s="14"/>
      <c r="S1186" s="14"/>
      <c r="T1186" s="14"/>
      <c r="U1186" s="2329"/>
    </row>
    <row r="1187" spans="2:21" ht="13.2" hidden="1" outlineLevel="2">
      <c r="B1187" s="2059"/>
      <c r="C1187" s="1050"/>
      <c r="D1187" s="1051">
        <f t="shared" si="130"/>
        <v>4</v>
      </c>
      <c r="E1187" s="1051" t="str">
        <f>IF(COUNTIF(E$1164:E1186,F1187)&gt;0,"",F1187)</f>
        <v/>
      </c>
      <c r="F1187" s="1051" t="str">
        <f t="shared" si="131"/>
        <v/>
      </c>
      <c r="G1187" s="1051" t="str">
        <f t="shared" si="132"/>
        <v/>
      </c>
      <c r="I1187" s="2328"/>
      <c r="J1187" s="14"/>
      <c r="K1187" s="14"/>
      <c r="L1187" s="14"/>
      <c r="M1187" s="14"/>
      <c r="N1187" s="14"/>
      <c r="O1187" s="14"/>
      <c r="P1187" s="14"/>
      <c r="Q1187" s="14"/>
      <c r="R1187" s="14"/>
      <c r="S1187" s="14"/>
      <c r="T1187" s="14"/>
      <c r="U1187" s="2329"/>
    </row>
    <row r="1188" spans="2:21" ht="13.2" hidden="1" outlineLevel="2">
      <c r="B1188" s="2059"/>
      <c r="C1188" s="1050"/>
      <c r="D1188" s="1051">
        <f t="shared" si="130"/>
        <v>4</v>
      </c>
      <c r="E1188" s="1051" t="str">
        <f>IF(COUNTIF(E$1164:E1187,F1188)&gt;0,"",F1188)</f>
        <v/>
      </c>
      <c r="F1188" s="1051" t="str">
        <f t="shared" si="131"/>
        <v/>
      </c>
      <c r="G1188" s="1051" t="str">
        <f t="shared" si="132"/>
        <v/>
      </c>
      <c r="I1188" s="2328"/>
      <c r="J1188" s="14"/>
      <c r="K1188" s="14"/>
      <c r="L1188" s="14"/>
      <c r="M1188" s="14"/>
      <c r="N1188" s="14"/>
      <c r="O1188" s="14"/>
      <c r="P1188" s="14"/>
      <c r="Q1188" s="14"/>
      <c r="R1188" s="14"/>
      <c r="S1188" s="14"/>
      <c r="T1188" s="14"/>
      <c r="U1188" s="2329"/>
    </row>
    <row r="1189" spans="2:21" ht="13.2" hidden="1" outlineLevel="2">
      <c r="B1189" s="2059"/>
      <c r="C1189" s="1050"/>
      <c r="D1189" s="1051">
        <f t="shared" si="130"/>
        <v>4</v>
      </c>
      <c r="E1189" s="1051" t="str">
        <f>IF(COUNTIF(E$1164:E1188,F1189)&gt;0,"",F1189)</f>
        <v/>
      </c>
      <c r="F1189" s="1051" t="str">
        <f t="shared" si="131"/>
        <v/>
      </c>
      <c r="G1189" s="1051" t="str">
        <f t="shared" si="132"/>
        <v/>
      </c>
      <c r="I1189" s="2328"/>
      <c r="J1189" s="14"/>
      <c r="K1189" s="14"/>
      <c r="L1189" s="14"/>
      <c r="M1189" s="14"/>
      <c r="N1189" s="14"/>
      <c r="O1189" s="14"/>
      <c r="P1189" s="14"/>
      <c r="Q1189" s="14"/>
      <c r="R1189" s="14"/>
      <c r="S1189" s="14"/>
      <c r="T1189" s="14"/>
      <c r="U1189" s="2329"/>
    </row>
    <row r="1190" spans="2:21" ht="13.2" hidden="1" outlineLevel="1">
      <c r="B1190" s="1135"/>
      <c r="C1190" s="1045"/>
      <c r="D1190" s="1045"/>
      <c r="E1190" s="1045"/>
      <c r="F1190" s="1045"/>
      <c r="G1190" s="1045"/>
      <c r="I1190" s="1746"/>
      <c r="J1190" s="1742"/>
      <c r="K1190" s="1742"/>
      <c r="L1190" s="1742"/>
      <c r="M1190" s="1742"/>
      <c r="N1190" s="1742"/>
      <c r="O1190" s="1742"/>
      <c r="P1190" s="1742"/>
      <c r="Q1190" s="1742"/>
      <c r="R1190" s="1742"/>
      <c r="S1190" s="1742"/>
      <c r="T1190" s="1742"/>
      <c r="U1190" s="2063"/>
    </row>
    <row r="1191" spans="2:21" ht="12.75" hidden="1" customHeight="1" outlineLevel="1" collapsed="1">
      <c r="B1191" s="3193" t="s">
        <v>3773</v>
      </c>
      <c r="C1191" s="3193"/>
      <c r="D1191" s="1051">
        <v>0</v>
      </c>
      <c r="E1191" s="1051"/>
      <c r="F1191" s="1051"/>
      <c r="G1191" s="1051"/>
      <c r="I1191" s="1746"/>
      <c r="J1191" s="1742"/>
      <c r="K1191" s="1742"/>
      <c r="L1191" s="1742"/>
      <c r="M1191" s="1742"/>
      <c r="N1191" s="1742"/>
      <c r="O1191" s="1742"/>
      <c r="P1191" s="1742"/>
      <c r="Q1191" s="1742"/>
      <c r="R1191" s="1742"/>
      <c r="S1191" s="1742"/>
      <c r="T1191" s="1742"/>
      <c r="U1191" s="2063"/>
    </row>
    <row r="1192" spans="2:21" hidden="1" outlineLevel="2">
      <c r="B1192" s="2059">
        <v>1</v>
      </c>
      <c r="C1192" s="1050" t="str">
        <f>IF(ISNA(VLOOKUP(B1192,$D$1192:$E$1205,2,FALSE)),"-",VLOOKUP(B1192,$D$1192:$E$1205,2,FALSE))</f>
        <v>1 achat sur le web, Monde, Base Carbone</v>
      </c>
      <c r="D1192" s="1051">
        <f>D1191+IF(LEN(E1192)&gt;0,1,0)</f>
        <v>1</v>
      </c>
      <c r="E1192" s="1051" t="str">
        <f>IF(COUNTIF(E$1191:E1191,F1192)&gt;0,"",F1192)</f>
        <v>1 achat sur le web, Monde, Base Carbone</v>
      </c>
      <c r="F1192" s="1051" t="str">
        <f t="shared" ref="F1192" si="133">IF(I1192&lt;&gt;"",I1192&amp;IF(L1192&lt;&gt;"",", "&amp;L1192,"")&amp;IF(K1192&lt;&gt;"",", "&amp;K1192,""),"")</f>
        <v>1 achat sur le web, Monde, Base Carbone</v>
      </c>
      <c r="G1192" s="1051" t="str">
        <f t="shared" ref="G1192" si="134">IF(F1192&lt;&gt;"",F1192&amp;IF(J1192&lt;&gt;"","; "&amp;J1192&amp;IF(N1192&lt;&gt;"",", "&amp;N1192,),""),"")</f>
        <v>1 achat sur le web, Monde, Base Carbone; kgCO2e/unité</v>
      </c>
      <c r="I1192" s="2018" t="s">
        <v>3774</v>
      </c>
      <c r="J1192" s="1135" t="s">
        <v>1994</v>
      </c>
      <c r="K1192" s="1135" t="s">
        <v>1567</v>
      </c>
      <c r="L1192" s="1135" t="s">
        <v>2089</v>
      </c>
      <c r="M1192" s="2215">
        <v>1</v>
      </c>
      <c r="N1192" s="2046"/>
      <c r="O1192" s="2313">
        <v>7.5500000000000003E-3</v>
      </c>
      <c r="P1192" s="2347">
        <v>7.5500000000000003E-3</v>
      </c>
      <c r="Q1192" s="2017"/>
      <c r="R1192" s="2017"/>
      <c r="S1192" s="2017"/>
      <c r="T1192" s="2017"/>
      <c r="U1192" s="2042"/>
    </row>
    <row r="1193" spans="2:21" hidden="1" outlineLevel="2">
      <c r="B1193" s="2059">
        <v>2</v>
      </c>
      <c r="C1193" s="1050" t="str">
        <f t="shared" ref="C1193:C1205" si="135">IF(ISNA(VLOOKUP(B1193,$D$1192:$E$1205,2,FALSE)),"-",VLOOKUP(B1193,$D$1192:$E$1205,2,FALSE))</f>
        <v>1 mail, Monde, Base Carbone</v>
      </c>
      <c r="D1193" s="1051">
        <f t="shared" ref="D1193:D1205" si="136">D1192+IF(LEN(E1193)&gt;0,1,0)</f>
        <v>2</v>
      </c>
      <c r="E1193" s="1051" t="str">
        <f>IF(COUNTIF(E$1191:E1192,F1193)&gt;0,"",F1193)</f>
        <v>1 mail, Monde, Base Carbone</v>
      </c>
      <c r="F1193" s="1051" t="str">
        <f t="shared" ref="F1193:F1205" si="137">IF(I1193&lt;&gt;"",I1193&amp;IF(L1193&lt;&gt;"",", "&amp;L1193,"")&amp;IF(K1193&lt;&gt;"",", "&amp;K1193,""),"")</f>
        <v>1 mail, Monde, Base Carbone</v>
      </c>
      <c r="G1193" s="1051" t="str">
        <f t="shared" ref="G1193:G1205" si="138">IF(F1193&lt;&gt;"",F1193&amp;IF(J1193&lt;&gt;"","; "&amp;J1193&amp;IF(N1193&lt;&gt;"",", "&amp;N1193,),""),"")</f>
        <v>1 mail, Monde, Base Carbone; kgCO2e/unité</v>
      </c>
      <c r="I1193" s="2018" t="s">
        <v>3775</v>
      </c>
      <c r="J1193" s="1135" t="s">
        <v>1994</v>
      </c>
      <c r="K1193" s="1135" t="s">
        <v>1567</v>
      </c>
      <c r="L1193" s="1135" t="s">
        <v>2089</v>
      </c>
      <c r="M1193" s="2215">
        <v>1</v>
      </c>
      <c r="N1193" s="2046"/>
      <c r="O1193" s="2313">
        <v>4.0000000000000001E-3</v>
      </c>
      <c r="P1193" s="2347">
        <v>4.0000000000000001E-3</v>
      </c>
      <c r="Q1193" s="2017"/>
      <c r="R1193" s="2017"/>
      <c r="S1193" s="2017"/>
      <c r="T1193" s="2017"/>
      <c r="U1193" s="2042"/>
    </row>
    <row r="1194" spans="2:21" hidden="1" outlineLevel="2">
      <c r="B1194" s="2059">
        <v>3</v>
      </c>
      <c r="C1194" s="1050" t="str">
        <f t="shared" si="135"/>
        <v>1 mail avec pièce jointe, Monde, Base Carbone</v>
      </c>
      <c r="D1194" s="1051">
        <f t="shared" si="136"/>
        <v>3</v>
      </c>
      <c r="E1194" s="1051" t="str">
        <f>IF(COUNTIF(E$1191:E1193,F1194)&gt;0,"",F1194)</f>
        <v>1 mail avec pièce jointe, Monde, Base Carbone</v>
      </c>
      <c r="F1194" s="1051" t="str">
        <f t="shared" si="137"/>
        <v>1 mail avec pièce jointe, Monde, Base Carbone</v>
      </c>
      <c r="G1194" s="1051" t="str">
        <f t="shared" si="138"/>
        <v>1 mail avec pièce jointe, Monde, Base Carbone; kgCO2e/unité</v>
      </c>
      <c r="I1194" s="2018" t="s">
        <v>3776</v>
      </c>
      <c r="J1194" s="1135" t="s">
        <v>1994</v>
      </c>
      <c r="K1194" s="1135" t="s">
        <v>1567</v>
      </c>
      <c r="L1194" s="1135" t="s">
        <v>2089</v>
      </c>
      <c r="M1194" s="2215">
        <v>1</v>
      </c>
      <c r="N1194" s="2046"/>
      <c r="O1194" s="2313">
        <v>3.5000000000000003E-2</v>
      </c>
      <c r="P1194" s="2347">
        <v>3.5000000000000003E-2</v>
      </c>
      <c r="Q1194" s="2017"/>
      <c r="R1194" s="2017"/>
      <c r="S1194" s="2017"/>
      <c r="T1194" s="2017"/>
      <c r="U1194" s="2042"/>
    </row>
    <row r="1195" spans="2:21" hidden="1" outlineLevel="2">
      <c r="B1195" s="2059">
        <v>4</v>
      </c>
      <c r="C1195" s="1050" t="str">
        <f t="shared" si="135"/>
        <v>1 requête de navigation web, Monde, Base Carbone</v>
      </c>
      <c r="D1195" s="1051">
        <f t="shared" si="136"/>
        <v>4</v>
      </c>
      <c r="E1195" s="1051" t="str">
        <f>IF(COUNTIF(E$1191:E1194,F1195)&gt;0,"",F1195)</f>
        <v>1 requête de navigation web, Monde, Base Carbone</v>
      </c>
      <c r="F1195" s="1051" t="str">
        <f t="shared" si="137"/>
        <v>1 requête de navigation web, Monde, Base Carbone</v>
      </c>
      <c r="G1195" s="1051" t="str">
        <f t="shared" si="138"/>
        <v>1 requête de navigation web, Monde, Base Carbone; kgCO2e/unité</v>
      </c>
      <c r="I1195" s="2018" t="s">
        <v>3777</v>
      </c>
      <c r="J1195" s="1135" t="s">
        <v>1994</v>
      </c>
      <c r="K1195" s="1135" t="s">
        <v>1567</v>
      </c>
      <c r="L1195" s="1135" t="s">
        <v>2089</v>
      </c>
      <c r="M1195" s="2215">
        <v>1</v>
      </c>
      <c r="N1195" s="2046"/>
      <c r="O1195" s="2313">
        <v>1.01E-3</v>
      </c>
      <c r="P1195" s="2347">
        <v>1.01E-3</v>
      </c>
      <c r="Q1195" s="2017"/>
      <c r="R1195" s="2017"/>
      <c r="S1195" s="2017"/>
      <c r="T1195" s="2017"/>
      <c r="U1195" s="2042"/>
    </row>
    <row r="1196" spans="2:21" hidden="1" outlineLevel="2">
      <c r="B1196" s="2059">
        <v>5</v>
      </c>
      <c r="C1196" s="1050" t="str">
        <f t="shared" si="135"/>
        <v>1 requête internet, Monde, Base Carbone</v>
      </c>
      <c r="D1196" s="1051">
        <f t="shared" si="136"/>
        <v>5</v>
      </c>
      <c r="E1196" s="1051" t="str">
        <f>IF(COUNTIF(E$1191:E1195,F1196)&gt;0,"",F1196)</f>
        <v>1 requête internet, Monde, Base Carbone</v>
      </c>
      <c r="F1196" s="1051" t="str">
        <f t="shared" si="137"/>
        <v>1 requête internet, Monde, Base Carbone</v>
      </c>
      <c r="G1196" s="1051" t="str">
        <f t="shared" si="138"/>
        <v>1 requête internet, Monde, Base Carbone; kgCO2e/unité</v>
      </c>
      <c r="I1196" s="2018" t="s">
        <v>3778</v>
      </c>
      <c r="J1196" s="1135" t="s">
        <v>1994</v>
      </c>
      <c r="K1196" s="1135" t="s">
        <v>1567</v>
      </c>
      <c r="L1196" s="1135" t="s">
        <v>2089</v>
      </c>
      <c r="M1196" s="2215">
        <v>1</v>
      </c>
      <c r="N1196" s="2046"/>
      <c r="O1196" s="2313">
        <v>6.6499999999999997E-3</v>
      </c>
      <c r="P1196" s="2347">
        <v>6.6499999999999997E-3</v>
      </c>
      <c r="Q1196" s="2017"/>
      <c r="R1196" s="2017"/>
      <c r="S1196" s="2017"/>
      <c r="T1196" s="2017"/>
      <c r="U1196" s="2042"/>
    </row>
    <row r="1197" spans="2:21" hidden="1" outlineLevel="2">
      <c r="B1197" s="2059">
        <v>6</v>
      </c>
      <c r="C1197" s="1050" t="str">
        <f t="shared" si="135"/>
        <v>1 SPAM, Monde, Base Carbone</v>
      </c>
      <c r="D1197" s="1051">
        <f t="shared" si="136"/>
        <v>6</v>
      </c>
      <c r="E1197" s="1051" t="str">
        <f>IF(COUNTIF(E$1191:E1196,F1197)&gt;0,"",F1197)</f>
        <v>1 SPAM, Monde, Base Carbone</v>
      </c>
      <c r="F1197" s="1051" t="str">
        <f t="shared" si="137"/>
        <v>1 SPAM, Monde, Base Carbone</v>
      </c>
      <c r="G1197" s="1051" t="str">
        <f t="shared" si="138"/>
        <v>1 SPAM, Monde, Base Carbone; kgCO2e/unité</v>
      </c>
      <c r="I1197" s="2018" t="s">
        <v>3779</v>
      </c>
      <c r="J1197" s="1135" t="s">
        <v>1994</v>
      </c>
      <c r="K1197" s="1135" t="s">
        <v>1567</v>
      </c>
      <c r="L1197" s="1135" t="s">
        <v>2089</v>
      </c>
      <c r="M1197" s="2215">
        <v>1</v>
      </c>
      <c r="N1197" s="2046"/>
      <c r="O1197" s="2313">
        <v>3.0000000000000001E-5</v>
      </c>
      <c r="P1197" s="2347">
        <v>3.0000000000000001E-5</v>
      </c>
      <c r="Q1197" s="2017"/>
      <c r="R1197" s="2017"/>
      <c r="S1197" s="2017"/>
      <c r="T1197" s="2017"/>
      <c r="U1197" s="2042"/>
    </row>
    <row r="1198" spans="2:21" hidden="1" outlineLevel="2">
      <c r="B1198" s="2059">
        <v>7</v>
      </c>
      <c r="C1198" s="1050" t="str">
        <f t="shared" si="135"/>
        <v>1 transaction logiciel classique, Monde, Base Carbone</v>
      </c>
      <c r="D1198" s="1051">
        <f t="shared" si="136"/>
        <v>7</v>
      </c>
      <c r="E1198" s="1051" t="str">
        <f>IF(COUNTIF(E$1191:E1197,F1198)&gt;0,"",F1198)</f>
        <v>1 transaction logiciel classique, Monde, Base Carbone</v>
      </c>
      <c r="F1198" s="1051" t="str">
        <f t="shared" si="137"/>
        <v>1 transaction logiciel classique, Monde, Base Carbone</v>
      </c>
      <c r="G1198" s="1051" t="str">
        <f t="shared" si="138"/>
        <v>1 transaction logiciel classique, Monde, Base Carbone; kgCO2e/unité</v>
      </c>
      <c r="I1198" s="2018" t="s">
        <v>3780</v>
      </c>
      <c r="J1198" s="1135" t="s">
        <v>1994</v>
      </c>
      <c r="K1198" s="1135" t="s">
        <v>1567</v>
      </c>
      <c r="L1198" s="1135" t="s">
        <v>2089</v>
      </c>
      <c r="M1198" s="2215">
        <v>1</v>
      </c>
      <c r="N1198" s="2046"/>
      <c r="O1198" s="2313">
        <v>1.3500000000000001E-3</v>
      </c>
      <c r="P1198" s="2347">
        <v>1.3500000000000001E-3</v>
      </c>
      <c r="Q1198" s="2017"/>
      <c r="R1198" s="2017"/>
      <c r="S1198" s="2017"/>
      <c r="T1198" s="2017"/>
      <c r="U1198" s="2042"/>
    </row>
    <row r="1199" spans="2:21" hidden="1" outlineLevel="2">
      <c r="B1199" s="2059">
        <v>8</v>
      </c>
      <c r="C1199" s="1050" t="str">
        <f t="shared" si="135"/>
        <v>1 tweet, Monde, Base Carbone</v>
      </c>
      <c r="D1199" s="1051">
        <f t="shared" si="136"/>
        <v>8</v>
      </c>
      <c r="E1199" s="1051" t="str">
        <f>IF(COUNTIF(E$1191:E1198,F1199)&gt;0,"",F1199)</f>
        <v>1 tweet, Monde, Base Carbone</v>
      </c>
      <c r="F1199" s="1051" t="str">
        <f t="shared" si="137"/>
        <v>1 tweet, Monde, Base Carbone</v>
      </c>
      <c r="G1199" s="1051" t="str">
        <f t="shared" si="138"/>
        <v>1 tweet, Monde, Base Carbone; kgCO2e/unité</v>
      </c>
      <c r="I1199" s="2018" t="s">
        <v>3781</v>
      </c>
      <c r="J1199" s="1135" t="s">
        <v>1994</v>
      </c>
      <c r="K1199" s="1135" t="s">
        <v>1567</v>
      </c>
      <c r="L1199" s="1135" t="s">
        <v>2089</v>
      </c>
      <c r="M1199" s="2215">
        <v>1</v>
      </c>
      <c r="N1199" s="2046"/>
      <c r="O1199" s="2313">
        <v>2.0000000000000002E-5</v>
      </c>
      <c r="P1199" s="2347">
        <v>2.0000000000000002E-5</v>
      </c>
      <c r="Q1199" s="2017"/>
      <c r="R1199" s="2017"/>
      <c r="S1199" s="2017"/>
      <c r="T1199" s="2017"/>
      <c r="U1199" s="2042"/>
    </row>
    <row r="1200" spans="2:21" hidden="1" outlineLevel="2">
      <c r="B1200" s="2059">
        <v>9</v>
      </c>
      <c r="C1200" s="1050" t="str">
        <f t="shared" si="135"/>
        <v>-</v>
      </c>
      <c r="D1200" s="1051">
        <f t="shared" si="136"/>
        <v>8</v>
      </c>
      <c r="E1200" s="1051" t="str">
        <f>IF(COUNTIF(E$1191:E1199,F1200)&gt;0,"",F1200)</f>
        <v/>
      </c>
      <c r="F1200" s="1051" t="str">
        <f t="shared" si="137"/>
        <v/>
      </c>
      <c r="G1200" s="1051" t="str">
        <f t="shared" si="138"/>
        <v/>
      </c>
      <c r="I1200" s="2018"/>
      <c r="J1200" s="1135"/>
      <c r="K1200" s="1135"/>
      <c r="L1200" s="1135"/>
      <c r="M1200" s="2215"/>
      <c r="N1200" s="2046"/>
      <c r="O1200" s="1045"/>
      <c r="P1200" s="2017"/>
      <c r="Q1200" s="2017"/>
      <c r="R1200" s="2017"/>
      <c r="S1200" s="2017"/>
      <c r="T1200" s="2017"/>
      <c r="U1200" s="2042"/>
    </row>
    <row r="1201" spans="2:21" hidden="1" outlineLevel="2">
      <c r="B1201" s="2059">
        <v>10</v>
      </c>
      <c r="C1201" s="1050" t="str">
        <f t="shared" si="135"/>
        <v>-</v>
      </c>
      <c r="D1201" s="1051">
        <f t="shared" si="136"/>
        <v>8</v>
      </c>
      <c r="E1201" s="1051" t="str">
        <f>IF(COUNTIF(E$1191:E1200,F1201)&gt;0,"",F1201)</f>
        <v/>
      </c>
      <c r="F1201" s="1051" t="str">
        <f t="shared" si="137"/>
        <v/>
      </c>
      <c r="G1201" s="1051" t="str">
        <f t="shared" si="138"/>
        <v/>
      </c>
      <c r="I1201" s="2018"/>
      <c r="J1201" s="1135"/>
      <c r="K1201" s="1135"/>
      <c r="L1201" s="1135"/>
      <c r="M1201" s="2215"/>
      <c r="N1201" s="2046"/>
      <c r="O1201" s="1045"/>
      <c r="P1201" s="2017"/>
      <c r="Q1201" s="2017"/>
      <c r="R1201" s="2017"/>
      <c r="S1201" s="2017"/>
      <c r="T1201" s="2017"/>
      <c r="U1201" s="2042"/>
    </row>
    <row r="1202" spans="2:21" hidden="1" outlineLevel="2">
      <c r="B1202" s="2059">
        <v>11</v>
      </c>
      <c r="C1202" s="1050" t="str">
        <f t="shared" si="135"/>
        <v>-</v>
      </c>
      <c r="D1202" s="1051">
        <f t="shared" si="136"/>
        <v>8</v>
      </c>
      <c r="E1202" s="1051" t="str">
        <f>IF(COUNTIF(E$1191:E1201,F1202)&gt;0,"",F1202)</f>
        <v/>
      </c>
      <c r="F1202" s="1051" t="str">
        <f t="shared" si="137"/>
        <v/>
      </c>
      <c r="G1202" s="1051" t="str">
        <f t="shared" si="138"/>
        <v/>
      </c>
      <c r="I1202" s="2018"/>
      <c r="J1202" s="1135"/>
      <c r="K1202" s="1135"/>
      <c r="L1202" s="1135"/>
      <c r="M1202" s="2188"/>
      <c r="N1202" s="2046"/>
      <c r="P1202" s="2017"/>
      <c r="Q1202" s="2017"/>
      <c r="R1202" s="2017"/>
      <c r="S1202" s="2017"/>
      <c r="T1202" s="2017"/>
      <c r="U1202" s="2042"/>
    </row>
    <row r="1203" spans="2:21" hidden="1" outlineLevel="2">
      <c r="B1203" s="2059">
        <v>12</v>
      </c>
      <c r="C1203" s="1050" t="str">
        <f t="shared" si="135"/>
        <v>-</v>
      </c>
      <c r="D1203" s="1051">
        <f t="shared" si="136"/>
        <v>8</v>
      </c>
      <c r="E1203" s="1051" t="str">
        <f>IF(COUNTIF(E$1191:E1202,F1203)&gt;0,"",F1203)</f>
        <v/>
      </c>
      <c r="F1203" s="1051" t="str">
        <f t="shared" si="137"/>
        <v/>
      </c>
      <c r="G1203" s="1051" t="str">
        <f t="shared" si="138"/>
        <v/>
      </c>
      <c r="I1203" s="2018"/>
      <c r="J1203" s="1135"/>
      <c r="K1203" s="1135"/>
      <c r="L1203" s="1135"/>
      <c r="M1203" s="2188"/>
      <c r="N1203" s="2046"/>
      <c r="P1203" s="2017"/>
      <c r="Q1203" s="2017"/>
      <c r="R1203" s="2017"/>
      <c r="S1203" s="2017"/>
      <c r="T1203" s="2017"/>
      <c r="U1203" s="2042"/>
    </row>
    <row r="1204" spans="2:21" hidden="1" outlineLevel="2">
      <c r="B1204" s="2059">
        <v>13</v>
      </c>
      <c r="C1204" s="1050" t="str">
        <f t="shared" si="135"/>
        <v>-</v>
      </c>
      <c r="D1204" s="1051">
        <f t="shared" si="136"/>
        <v>8</v>
      </c>
      <c r="E1204" s="1051" t="str">
        <f>IF(COUNTIF(E$1191:E1203,F1204)&gt;0,"",F1204)</f>
        <v/>
      </c>
      <c r="F1204" s="1051" t="str">
        <f t="shared" si="137"/>
        <v/>
      </c>
      <c r="G1204" s="1051" t="str">
        <f t="shared" si="138"/>
        <v/>
      </c>
      <c r="I1204" s="2018"/>
      <c r="J1204" s="1135"/>
      <c r="K1204" s="1135"/>
      <c r="L1204" s="1135"/>
      <c r="M1204" s="2188"/>
      <c r="N1204" s="2046"/>
      <c r="P1204" s="2017"/>
      <c r="Q1204" s="2017"/>
      <c r="R1204" s="2017"/>
      <c r="S1204" s="2017"/>
      <c r="T1204" s="2017"/>
      <c r="U1204" s="2042"/>
    </row>
    <row r="1205" spans="2:21" hidden="1" outlineLevel="2">
      <c r="B1205" s="2059">
        <v>14</v>
      </c>
      <c r="C1205" s="1050" t="str">
        <f t="shared" si="135"/>
        <v>-</v>
      </c>
      <c r="D1205" s="1051">
        <f t="shared" si="136"/>
        <v>8</v>
      </c>
      <c r="E1205" s="1051" t="str">
        <f>IF(COUNTIF(E$1191:E1204,F1205)&gt;0,"",F1205)</f>
        <v/>
      </c>
      <c r="F1205" s="1051" t="str">
        <f t="shared" si="137"/>
        <v/>
      </c>
      <c r="G1205" s="1051" t="str">
        <f t="shared" si="138"/>
        <v/>
      </c>
      <c r="I1205" s="2018"/>
      <c r="J1205" s="1135"/>
      <c r="K1205" s="1135"/>
      <c r="L1205" s="1135"/>
      <c r="M1205" s="2188"/>
      <c r="N1205" s="2046"/>
      <c r="P1205" s="2017"/>
      <c r="Q1205" s="2017"/>
      <c r="R1205" s="2017"/>
      <c r="S1205" s="2017"/>
      <c r="T1205" s="2017"/>
      <c r="U1205" s="2042"/>
    </row>
    <row r="1206" spans="2:21" ht="13.2" hidden="1" outlineLevel="1">
      <c r="B1206" s="1135"/>
      <c r="C1206" s="1045"/>
      <c r="D1206" s="1045"/>
      <c r="E1206" s="1045"/>
      <c r="F1206" s="1045"/>
      <c r="G1206" s="1045"/>
      <c r="I1206" s="1746"/>
      <c r="J1206" s="1742"/>
      <c r="K1206" s="1742"/>
      <c r="L1206" s="1742"/>
      <c r="M1206" s="1742"/>
      <c r="N1206" s="1742"/>
      <c r="O1206" s="1742"/>
      <c r="P1206" s="1742"/>
      <c r="Q1206" s="1742"/>
      <c r="R1206" s="1742"/>
      <c r="S1206" s="1742"/>
      <c r="T1206" s="1742"/>
      <c r="U1206" s="2063"/>
    </row>
    <row r="1207" spans="2:21" ht="13.2" hidden="1" outlineLevel="1" collapsed="1">
      <c r="B1207" s="3193" t="s">
        <v>4768</v>
      </c>
      <c r="C1207" s="3193"/>
      <c r="D1207" s="1051">
        <v>0</v>
      </c>
      <c r="E1207" s="1051" t="str">
        <f>IF(COUNTIF(E$1131:E1200,F1207)&gt;0,"",F1207)</f>
        <v/>
      </c>
      <c r="F1207" s="1051" t="str">
        <f t="shared" ref="F1207:F1208" si="139">IF(I1207&lt;&gt;"",I1207&amp;IF(L1207&lt;&gt;"",", "&amp;L1207,"")&amp;IF(K1207&lt;&gt;"",", "&amp;K1207,""),"")</f>
        <v/>
      </c>
      <c r="G1207" s="1051" t="str">
        <f t="shared" ref="G1207:G1208" si="140">IF(F1207&lt;&gt;"",F1207&amp;IF(J1207&lt;&gt;"","; "&amp;J1207&amp;IF(N1207&lt;&gt;"",", "&amp;N1207,),""),"")</f>
        <v/>
      </c>
      <c r="I1207" s="1746"/>
      <c r="J1207" s="1742"/>
      <c r="K1207" s="1742"/>
      <c r="L1207" s="1742"/>
      <c r="M1207" s="1742"/>
      <c r="N1207" s="1742"/>
      <c r="O1207" s="1742"/>
      <c r="P1207" s="1742"/>
      <c r="Q1207" s="1742"/>
      <c r="R1207" s="1742"/>
      <c r="S1207" s="1742"/>
      <c r="T1207" s="1742"/>
      <c r="U1207" s="2063"/>
    </row>
    <row r="1208" spans="2:21" ht="15.6" hidden="1" outlineLevel="2">
      <c r="B1208" s="2059">
        <v>1</v>
      </c>
      <c r="C1208" s="1050" t="str">
        <f>IF(ISNA(VLOOKUP(B1208,$D$1207:$E$1213,2,FALSE)),"-",VLOOKUP(B1208,$D$1207:$E$1213,2,FALSE))</f>
        <v>Eau de réseau - hors infrastructure, France continentale, Base Carbone</v>
      </c>
      <c r="D1208" s="1051">
        <f t="shared" ref="D1208" si="141">D1207+IF(LEN(E1208)&gt;0,1,0)</f>
        <v>1</v>
      </c>
      <c r="E1208" s="1051" t="str">
        <f>IF(COUNTIF(E1207:E$1207,F1208)&gt;0,"",F1208)</f>
        <v>Eau de réseau - hors infrastructure, France continentale, Base Carbone</v>
      </c>
      <c r="F1208" s="1051" t="str">
        <f t="shared" si="139"/>
        <v>Eau de réseau - hors infrastructure, France continentale, Base Carbone</v>
      </c>
      <c r="G1208" s="1051" t="str">
        <f t="shared" si="140"/>
        <v>Eau de réseau - hors infrastructure, France continentale, Base Carbone; kgCO2e/m3</v>
      </c>
      <c r="I1208" s="2304" t="s">
        <v>4769</v>
      </c>
      <c r="J1208" s="2305" t="s">
        <v>4770</v>
      </c>
      <c r="K1208" s="2305" t="s">
        <v>1567</v>
      </c>
      <c r="L1208" s="2305" t="s">
        <v>1571</v>
      </c>
      <c r="M1208" s="2334">
        <v>0.11</v>
      </c>
      <c r="N1208" s="14"/>
      <c r="O1208" s="14">
        <v>0.13200000000000001</v>
      </c>
      <c r="P1208" s="2335">
        <v>0.13200000000000001</v>
      </c>
      <c r="Q1208" s="14"/>
      <c r="R1208" s="14"/>
      <c r="S1208" s="14"/>
      <c r="T1208" s="14"/>
      <c r="U1208" s="2461"/>
    </row>
    <row r="1209" spans="2:21" ht="13.2" hidden="1" outlineLevel="2">
      <c r="B1209" s="2059">
        <v>2</v>
      </c>
      <c r="C1209" s="1050" t="str">
        <f t="shared" ref="C1209:C1213" si="142">IF(ISNA(VLOOKUP(B1209,$D$1208:$E$1213,2,FALSE)),"-",VLOOKUP(B1209,$D$1208:$E$1213,2,FALSE))</f>
        <v>-</v>
      </c>
      <c r="D1209" s="1051">
        <f t="shared" ref="D1209:D1213" si="143">D1208+IF(LEN(E1209)&gt;0,1,0)</f>
        <v>1</v>
      </c>
      <c r="E1209" s="1051" t="str">
        <f>IF(COUNTIF(E$1207:E1208,F1209)&gt;0,"",F1209)</f>
        <v/>
      </c>
      <c r="F1209" s="1051" t="str">
        <f t="shared" ref="F1209:F1213" si="144">IF(I1209&lt;&gt;"",I1209&amp;IF(L1209&lt;&gt;"",", "&amp;L1209,"")&amp;IF(K1209&lt;&gt;"",", "&amp;K1209,""),"")</f>
        <v/>
      </c>
      <c r="G1209" s="1051" t="str">
        <f t="shared" ref="G1209:G1213" si="145">IF(F1209&lt;&gt;"",F1209&amp;IF(J1209&lt;&gt;"","; "&amp;J1209&amp;IF(N1209&lt;&gt;"",", "&amp;N1209,),""),"")</f>
        <v/>
      </c>
      <c r="I1209" s="2460"/>
      <c r="J1209" s="14"/>
      <c r="K1209" s="14"/>
      <c r="L1209" s="14"/>
      <c r="M1209" s="14"/>
      <c r="N1209" s="14"/>
      <c r="O1209" s="14"/>
      <c r="P1209" s="14"/>
      <c r="Q1209" s="14"/>
      <c r="R1209" s="14"/>
      <c r="S1209" s="14"/>
      <c r="T1209" s="14"/>
      <c r="U1209" s="2461"/>
    </row>
    <row r="1210" spans="2:21" ht="13.2" hidden="1" outlineLevel="2">
      <c r="B1210" s="2059">
        <v>3</v>
      </c>
      <c r="C1210" s="1050" t="str">
        <f t="shared" si="142"/>
        <v>-</v>
      </c>
      <c r="D1210" s="1051">
        <f t="shared" si="143"/>
        <v>1</v>
      </c>
      <c r="E1210" s="1051" t="str">
        <f>IF(COUNTIF(E$1207:E1209,F1210)&gt;0,"",F1210)</f>
        <v/>
      </c>
      <c r="F1210" s="1051" t="str">
        <f t="shared" si="144"/>
        <v/>
      </c>
      <c r="G1210" s="1051" t="str">
        <f t="shared" si="145"/>
        <v/>
      </c>
      <c r="I1210" s="2460"/>
      <c r="J1210" s="14"/>
      <c r="K1210" s="14"/>
      <c r="L1210" s="14"/>
      <c r="M1210" s="14"/>
      <c r="N1210" s="14"/>
      <c r="O1210" s="14"/>
      <c r="P1210" s="14"/>
      <c r="Q1210" s="14"/>
      <c r="R1210" s="14"/>
      <c r="S1210" s="14"/>
      <c r="T1210" s="14"/>
      <c r="U1210" s="2461"/>
    </row>
    <row r="1211" spans="2:21" ht="13.2" hidden="1" outlineLevel="2">
      <c r="B1211" s="2059">
        <v>4</v>
      </c>
      <c r="C1211" s="1050" t="str">
        <f t="shared" si="142"/>
        <v>-</v>
      </c>
      <c r="D1211" s="1051">
        <f t="shared" si="143"/>
        <v>1</v>
      </c>
      <c r="E1211" s="1051" t="str">
        <f>IF(COUNTIF(E$1207:E1210,F1211)&gt;0,"",F1211)</f>
        <v/>
      </c>
      <c r="F1211" s="1051" t="str">
        <f t="shared" si="144"/>
        <v/>
      </c>
      <c r="G1211" s="1051" t="str">
        <f t="shared" si="145"/>
        <v/>
      </c>
      <c r="I1211" s="2460"/>
      <c r="J1211" s="14"/>
      <c r="K1211" s="14"/>
      <c r="L1211" s="14"/>
      <c r="M1211" s="14"/>
      <c r="N1211" s="14"/>
      <c r="O1211" s="14"/>
      <c r="P1211" s="14"/>
      <c r="Q1211" s="14"/>
      <c r="R1211" s="14"/>
      <c r="S1211" s="14"/>
      <c r="T1211" s="14"/>
      <c r="U1211" s="2461"/>
    </row>
    <row r="1212" spans="2:21" ht="13.2" hidden="1" outlineLevel="2">
      <c r="B1212" s="2059">
        <v>5</v>
      </c>
      <c r="C1212" s="1050" t="str">
        <f t="shared" si="142"/>
        <v>-</v>
      </c>
      <c r="D1212" s="1051">
        <f t="shared" si="143"/>
        <v>1</v>
      </c>
      <c r="E1212" s="1051" t="str">
        <f>IF(COUNTIF(E$1207:E1211,F1212)&gt;0,"",F1212)</f>
        <v/>
      </c>
      <c r="F1212" s="1051" t="str">
        <f t="shared" si="144"/>
        <v/>
      </c>
      <c r="G1212" s="1051" t="str">
        <f t="shared" si="145"/>
        <v/>
      </c>
      <c r="I1212" s="2460"/>
      <c r="J1212" s="14"/>
      <c r="K1212" s="14"/>
      <c r="L1212" s="14"/>
      <c r="M1212" s="14"/>
      <c r="N1212" s="14"/>
      <c r="O1212" s="14"/>
      <c r="P1212" s="14"/>
      <c r="Q1212" s="14"/>
      <c r="R1212" s="14"/>
      <c r="S1212" s="14"/>
      <c r="T1212" s="14"/>
      <c r="U1212" s="2461"/>
    </row>
    <row r="1213" spans="2:21" ht="13.2" hidden="1" outlineLevel="2">
      <c r="B1213" s="2059">
        <v>6</v>
      </c>
      <c r="C1213" s="1050" t="str">
        <f t="shared" si="142"/>
        <v>-</v>
      </c>
      <c r="D1213" s="1051">
        <f t="shared" si="143"/>
        <v>1</v>
      </c>
      <c r="E1213" s="1051" t="str">
        <f>IF(COUNTIF(E$1207:E1212,F1213)&gt;0,"",F1213)</f>
        <v/>
      </c>
      <c r="F1213" s="1051" t="str">
        <f t="shared" si="144"/>
        <v/>
      </c>
      <c r="G1213" s="1051" t="str">
        <f t="shared" si="145"/>
        <v/>
      </c>
      <c r="I1213" s="2196"/>
      <c r="J1213" s="2197"/>
      <c r="K1213" s="2197"/>
      <c r="L1213" s="2197"/>
      <c r="M1213" s="2197"/>
      <c r="N1213" s="2197"/>
      <c r="O1213" s="2197"/>
      <c r="P1213" s="2197"/>
      <c r="Q1213" s="2197"/>
      <c r="R1213" s="2197"/>
      <c r="S1213" s="2197"/>
      <c r="T1213" s="2197"/>
      <c r="U1213" s="2198"/>
    </row>
    <row r="1214" spans="2:21" ht="13.2" hidden="1" outlineLevel="1">
      <c r="B1214" s="1135"/>
      <c r="C1214" s="1045"/>
      <c r="D1214" s="1045"/>
      <c r="E1214" s="1045"/>
      <c r="F1214" s="1045"/>
      <c r="G1214" s="1045"/>
      <c r="I1214" s="1746"/>
      <c r="J1214" s="1742"/>
      <c r="K1214" s="1742"/>
      <c r="L1214" s="1742"/>
      <c r="M1214" s="1742"/>
      <c r="N1214" s="1742"/>
      <c r="O1214" s="1742"/>
      <c r="P1214" s="1742"/>
      <c r="Q1214" s="1742"/>
      <c r="R1214" s="1742"/>
      <c r="S1214" s="1742"/>
      <c r="T1214" s="1742"/>
      <c r="U1214" s="2063"/>
    </row>
    <row r="1215" spans="2:21" ht="13.2" hidden="1" outlineLevel="1" collapsed="1">
      <c r="B1215" s="3193" t="s">
        <v>5105</v>
      </c>
      <c r="C1215" s="3193"/>
      <c r="D1215" s="1051">
        <f>D1206+IF(LEN(E1215)&gt;0,1,0)</f>
        <v>0</v>
      </c>
      <c r="E1215" s="1051" t="str">
        <f>IF(COUNTIF(E$1131:E1206,F1215)&gt;0,"",F1215)</f>
        <v/>
      </c>
      <c r="F1215" s="1051" t="str">
        <f t="shared" ref="F1215:F1216" si="146">IF(I1215&lt;&gt;"",I1215&amp;IF(L1215&lt;&gt;"",", "&amp;L1215,"")&amp;IF(K1215&lt;&gt;"",", "&amp;K1215,""),"")</f>
        <v/>
      </c>
      <c r="G1215" s="1051" t="str">
        <f t="shared" ref="G1215:G1216" si="147">IF(F1215&lt;&gt;"",F1215&amp;IF(J1215&lt;&gt;"","; "&amp;J1215&amp;IF(N1215&lt;&gt;"",", "&amp;N1215,),""),"")</f>
        <v/>
      </c>
      <c r="I1215" s="1746"/>
      <c r="J1215" s="1742"/>
      <c r="K1215" s="1742"/>
      <c r="L1215" s="1742"/>
      <c r="M1215" s="1742"/>
      <c r="N1215" s="1742"/>
      <c r="O1215" s="1742"/>
      <c r="P1215" s="1742"/>
      <c r="Q1215" s="1742"/>
      <c r="R1215" s="1742"/>
      <c r="S1215" s="1742"/>
      <c r="T1215" s="1742"/>
      <c r="U1215" s="2063"/>
    </row>
    <row r="1216" spans="2:21" ht="13.2" hidden="1" outlineLevel="2">
      <c r="B1216" s="2059">
        <v>1</v>
      </c>
      <c r="C1216" s="1050" t="str">
        <f>IF(ISNA(VLOOKUP(B1216,$D$1216:$E$1223,2,FALSE)),"-",VLOOKUP(B1216,$D$1216:$E$1223,2,FALSE))</f>
        <v>Tourbe horticole Blonde, France continentale, Base Carbone</v>
      </c>
      <c r="D1216" s="1051">
        <f t="shared" ref="D1216" si="148">D1215+IF(LEN(E1216)&gt;0,1,0)</f>
        <v>1</v>
      </c>
      <c r="E1216" s="1051" t="str">
        <f>IF(COUNTIF(E1215:E$1215,F1216)&gt;0,"",F1216)</f>
        <v>Tourbe horticole Blonde, France continentale, Base Carbone</v>
      </c>
      <c r="F1216" s="1051" t="str">
        <f t="shared" si="146"/>
        <v>Tourbe horticole Blonde, France continentale, Base Carbone</v>
      </c>
      <c r="G1216" s="1051" t="str">
        <f t="shared" si="147"/>
        <v>Tourbe horticole Blonde, France continentale, Base Carbone; kgCO2e/tonne</v>
      </c>
      <c r="I1216" s="2468" t="s">
        <v>5106</v>
      </c>
      <c r="J1216" s="2305" t="s">
        <v>1585</v>
      </c>
      <c r="K1216" s="2305" t="s">
        <v>1567</v>
      </c>
      <c r="L1216" s="2305" t="s">
        <v>1571</v>
      </c>
      <c r="M1216" s="2334">
        <v>0.2</v>
      </c>
      <c r="N1216" s="14"/>
      <c r="O1216" s="14">
        <v>115</v>
      </c>
      <c r="P1216" s="2336">
        <v>115</v>
      </c>
      <c r="Q1216" s="14"/>
      <c r="R1216" s="14"/>
      <c r="S1216" s="14"/>
      <c r="T1216" s="14"/>
      <c r="U1216" s="2346"/>
    </row>
    <row r="1217" spans="2:21" ht="13.2" hidden="1" outlineLevel="2">
      <c r="B1217" s="2059">
        <v>2</v>
      </c>
      <c r="C1217" s="1050" t="str">
        <f t="shared" ref="C1217:C1222" si="149">IF(ISNA(VLOOKUP(B1217,$D$1216:$E$1223,2,FALSE)),"-",VLOOKUP(B1217,$D$1216:$E$1223,2,FALSE))</f>
        <v>Tourbe horticole Brune, France continentale, Base Carbone</v>
      </c>
      <c r="D1217" s="1051">
        <f t="shared" ref="D1217:D1221" si="150">D1216+IF(LEN(E1217)&gt;0,1,0)</f>
        <v>2</v>
      </c>
      <c r="E1217" s="1051" t="str">
        <f>IF(COUNTIF(E$1215:E1216,F1217)&gt;0,"",F1217)</f>
        <v>Tourbe horticole Brune, France continentale, Base Carbone</v>
      </c>
      <c r="F1217" s="1051" t="str">
        <f t="shared" ref="F1217:F1221" si="151">IF(I1217&lt;&gt;"",I1217&amp;IF(L1217&lt;&gt;"",", "&amp;L1217,"")&amp;IF(K1217&lt;&gt;"",", "&amp;K1217,""),"")</f>
        <v>Tourbe horticole Brune, France continentale, Base Carbone</v>
      </c>
      <c r="G1217" s="1051" t="str">
        <f t="shared" ref="G1217:G1221" si="152">IF(F1217&lt;&gt;"",F1217&amp;IF(J1217&lt;&gt;"","; "&amp;J1217&amp;IF(N1217&lt;&gt;"",", "&amp;N1217,),""),"")</f>
        <v>Tourbe horticole Brune, France continentale, Base Carbone; kgCO2e/tonne</v>
      </c>
      <c r="I1217" s="2468" t="s">
        <v>5107</v>
      </c>
      <c r="J1217" s="2305" t="s">
        <v>1585</v>
      </c>
      <c r="K1217" s="2305" t="s">
        <v>1567</v>
      </c>
      <c r="L1217" s="2305" t="s">
        <v>1571</v>
      </c>
      <c r="M1217" s="2334">
        <v>0.2</v>
      </c>
      <c r="N1217" s="14"/>
      <c r="O1217" s="14">
        <v>373</v>
      </c>
      <c r="P1217" s="2336">
        <v>373</v>
      </c>
      <c r="Q1217" s="14"/>
      <c r="R1217" s="14"/>
      <c r="S1217" s="14"/>
      <c r="T1217" s="14"/>
      <c r="U1217" s="2346"/>
    </row>
    <row r="1218" spans="2:21" ht="13.2" hidden="1" outlineLevel="2">
      <c r="B1218" s="2059">
        <v>3</v>
      </c>
      <c r="C1218" s="1050" t="str">
        <f t="shared" si="149"/>
        <v>Tourbe horticole Noire, France continentale, Base Carbone</v>
      </c>
      <c r="D1218" s="1051">
        <f t="shared" si="150"/>
        <v>3</v>
      </c>
      <c r="E1218" s="1051" t="str">
        <f>IF(COUNTIF(E$1215:E1217,F1218)&gt;0,"",F1218)</f>
        <v>Tourbe horticole Noire, France continentale, Base Carbone</v>
      </c>
      <c r="F1218" s="1051" t="str">
        <f t="shared" si="151"/>
        <v>Tourbe horticole Noire, France continentale, Base Carbone</v>
      </c>
      <c r="G1218" s="1051" t="str">
        <f t="shared" si="152"/>
        <v>Tourbe horticole Noire, France continentale, Base Carbone; kgCO2e/tonne</v>
      </c>
      <c r="I1218" s="2468" t="s">
        <v>5108</v>
      </c>
      <c r="J1218" s="2305" t="s">
        <v>1585</v>
      </c>
      <c r="K1218" s="2305" t="s">
        <v>1567</v>
      </c>
      <c r="L1218" s="2305" t="s">
        <v>1571</v>
      </c>
      <c r="M1218" s="2334">
        <v>0.2</v>
      </c>
      <c r="N1218" s="14"/>
      <c r="O1218" s="14">
        <v>630</v>
      </c>
      <c r="P1218" s="2336">
        <v>630</v>
      </c>
      <c r="Q1218" s="14"/>
      <c r="R1218" s="14"/>
      <c r="S1218" s="14"/>
      <c r="T1218" s="14"/>
      <c r="U1218" s="2346"/>
    </row>
    <row r="1219" spans="2:21" ht="13.2" hidden="1" outlineLevel="2">
      <c r="B1219" s="2059">
        <v>4</v>
      </c>
      <c r="C1219" s="1050" t="str">
        <f t="shared" si="149"/>
        <v>-</v>
      </c>
      <c r="D1219" s="1051">
        <f t="shared" si="150"/>
        <v>3</v>
      </c>
      <c r="E1219" s="1051" t="str">
        <f>IF(COUNTIF(E$1215:E1218,F1219)&gt;0,"",F1219)</f>
        <v/>
      </c>
      <c r="F1219" s="1051" t="str">
        <f t="shared" si="151"/>
        <v/>
      </c>
      <c r="G1219" s="1051" t="str">
        <f t="shared" si="152"/>
        <v/>
      </c>
      <c r="I1219" s="2345"/>
      <c r="J1219" s="14"/>
      <c r="K1219" s="14"/>
      <c r="L1219" s="14"/>
      <c r="M1219" s="14"/>
      <c r="N1219" s="14"/>
      <c r="O1219" s="14"/>
      <c r="P1219" s="14"/>
      <c r="Q1219" s="14"/>
      <c r="R1219" s="14"/>
      <c r="S1219" s="14"/>
      <c r="T1219" s="14"/>
      <c r="U1219" s="2346"/>
    </row>
    <row r="1220" spans="2:21" ht="13.2" hidden="1" outlineLevel="2">
      <c r="B1220" s="2059">
        <v>5</v>
      </c>
      <c r="C1220" s="1050" t="str">
        <f t="shared" si="149"/>
        <v>-</v>
      </c>
      <c r="D1220" s="1051">
        <f t="shared" si="150"/>
        <v>3</v>
      </c>
      <c r="E1220" s="1051" t="str">
        <f>IF(COUNTIF(E$1215:E1219,F1220)&gt;0,"",F1220)</f>
        <v/>
      </c>
      <c r="F1220" s="1051" t="str">
        <f t="shared" si="151"/>
        <v/>
      </c>
      <c r="G1220" s="1051" t="str">
        <f t="shared" si="152"/>
        <v/>
      </c>
      <c r="I1220" s="2460"/>
      <c r="J1220" s="14"/>
      <c r="K1220" s="14"/>
      <c r="L1220" s="14"/>
      <c r="M1220" s="14"/>
      <c r="N1220" s="14"/>
      <c r="O1220" s="14"/>
      <c r="P1220" s="14"/>
      <c r="Q1220" s="14"/>
      <c r="R1220" s="14"/>
      <c r="S1220" s="14"/>
      <c r="T1220" s="14"/>
      <c r="U1220" s="2461"/>
    </row>
    <row r="1221" spans="2:21" ht="13.2" hidden="1" outlineLevel="2">
      <c r="B1221" s="2059">
        <v>6</v>
      </c>
      <c r="C1221" s="1050" t="str">
        <f t="shared" si="149"/>
        <v>-</v>
      </c>
      <c r="D1221" s="1051">
        <f t="shared" si="150"/>
        <v>3</v>
      </c>
      <c r="E1221" s="1051" t="str">
        <f>IF(COUNTIF(E$1215:E1220,F1221)&gt;0,"",F1221)</f>
        <v/>
      </c>
      <c r="F1221" s="1051" t="str">
        <f t="shared" si="151"/>
        <v/>
      </c>
      <c r="G1221" s="1051" t="str">
        <f t="shared" si="152"/>
        <v/>
      </c>
      <c r="I1221" s="2460"/>
      <c r="J1221" s="14"/>
      <c r="K1221" s="14"/>
      <c r="L1221" s="14"/>
      <c r="M1221" s="14"/>
      <c r="N1221" s="14"/>
      <c r="O1221" s="14"/>
      <c r="P1221" s="14"/>
      <c r="Q1221" s="14"/>
      <c r="R1221" s="14"/>
      <c r="S1221" s="14"/>
      <c r="T1221" s="14"/>
      <c r="U1221" s="2461"/>
    </row>
    <row r="1222" spans="2:21" ht="13.2" hidden="1" outlineLevel="2">
      <c r="B1222" s="2059">
        <v>7</v>
      </c>
      <c r="C1222" s="1050" t="str">
        <f t="shared" si="149"/>
        <v>-</v>
      </c>
      <c r="D1222" s="1051"/>
      <c r="E1222" s="1051"/>
      <c r="F1222" s="1051"/>
      <c r="G1222" s="1051"/>
      <c r="I1222" s="2460"/>
      <c r="J1222" s="14"/>
      <c r="K1222" s="14"/>
      <c r="L1222" s="14"/>
      <c r="M1222" s="14"/>
      <c r="N1222" s="14"/>
      <c r="O1222" s="14"/>
      <c r="P1222" s="14"/>
      <c r="Q1222" s="14"/>
      <c r="R1222" s="14"/>
      <c r="S1222" s="14"/>
      <c r="T1222" s="14"/>
      <c r="U1222" s="2461"/>
    </row>
    <row r="1223" spans="2:21" ht="13.2" hidden="1" outlineLevel="1">
      <c r="B1223" s="1135"/>
      <c r="C1223" s="1045"/>
      <c r="D1223" s="1045"/>
      <c r="E1223" s="1045"/>
      <c r="F1223" s="1045"/>
      <c r="G1223" s="1045"/>
      <c r="I1223" s="1765"/>
      <c r="J1223" s="1766"/>
      <c r="K1223" s="1766"/>
      <c r="L1223" s="1766"/>
      <c r="M1223" s="1766"/>
      <c r="N1223" s="1766"/>
      <c r="O1223" s="1766"/>
      <c r="P1223" s="1766"/>
      <c r="Q1223" s="1766"/>
      <c r="R1223" s="1766"/>
      <c r="S1223" s="1766"/>
      <c r="T1223" s="1766"/>
      <c r="U1223" s="2064"/>
    </row>
    <row r="1224" spans="2:21"/>
    <row r="1225" spans="2:21" ht="15.6" collapsed="1">
      <c r="I1225" s="3167" t="s">
        <v>39</v>
      </c>
      <c r="J1225" s="3168"/>
      <c r="K1225" s="3168"/>
      <c r="L1225" s="3168"/>
      <c r="M1225" s="3168"/>
      <c r="N1225" s="3168"/>
      <c r="O1225" s="3168"/>
      <c r="P1225" s="3168"/>
      <c r="Q1225" s="3168"/>
      <c r="R1225" s="3168"/>
      <c r="S1225" s="3168"/>
      <c r="T1225" s="3168"/>
      <c r="U1225" s="3169"/>
    </row>
    <row r="1226" spans="2:21" hidden="1" outlineLevel="1">
      <c r="R1226" s="1083"/>
    </row>
    <row r="1227" spans="2:21" ht="12.75" hidden="1" customHeight="1" outlineLevel="1">
      <c r="B1227" s="3154" t="s">
        <v>1617</v>
      </c>
      <c r="C1227" s="3154"/>
      <c r="D1227" s="3157" t="s">
        <v>1619</v>
      </c>
      <c r="E1227" s="3157"/>
      <c r="F1227" s="1151" t="s">
        <v>1991</v>
      </c>
      <c r="G1227" s="1053" t="s">
        <v>1992</v>
      </c>
      <c r="H1227" s="1044"/>
      <c r="I1227" s="1038" t="s">
        <v>1557</v>
      </c>
      <c r="J1227" s="1040" t="s">
        <v>1266</v>
      </c>
      <c r="K1227" s="1043" t="s">
        <v>224</v>
      </c>
      <c r="L1227" s="1043" t="s">
        <v>1558</v>
      </c>
      <c r="M1227" s="1039" t="s">
        <v>366</v>
      </c>
      <c r="N1227" s="1040" t="s">
        <v>1559</v>
      </c>
      <c r="O1227" s="1041" t="s">
        <v>1560</v>
      </c>
      <c r="P1227" s="1043" t="s">
        <v>211</v>
      </c>
      <c r="Q1227" s="1043" t="s">
        <v>1561</v>
      </c>
      <c r="R1227" s="1041" t="s">
        <v>1562</v>
      </c>
      <c r="S1227" s="1041" t="s">
        <v>267</v>
      </c>
      <c r="T1227" s="1043" t="s">
        <v>1563</v>
      </c>
      <c r="U1227" s="1042" t="s">
        <v>1564</v>
      </c>
    </row>
    <row r="1228" spans="2:21" s="1045" customFormat="1" ht="12.75" hidden="1" customHeight="1" outlineLevel="1">
      <c r="B1228" s="3156" t="s">
        <v>39</v>
      </c>
      <c r="C1228" s="3156"/>
      <c r="D1228" s="1051">
        <v>0</v>
      </c>
      <c r="E1228" s="1051"/>
      <c r="F1228" s="1051"/>
      <c r="G1228" s="1054"/>
      <c r="H1228" s="1046"/>
      <c r="I1228" s="1688"/>
      <c r="J1228" s="1689"/>
      <c r="K1228" s="1690"/>
      <c r="L1228" s="1690"/>
      <c r="M1228" s="1691"/>
      <c r="N1228" s="1689"/>
      <c r="O1228" s="1692"/>
      <c r="P1228" s="1690"/>
      <c r="Q1228" s="1690"/>
      <c r="R1228" s="1692"/>
      <c r="S1228" s="1692"/>
      <c r="T1228" s="1690"/>
      <c r="U1228" s="1693"/>
    </row>
    <row r="1229" spans="2:21" hidden="1" outlineLevel="1">
      <c r="B1229" s="1050">
        <v>1</v>
      </c>
      <c r="C1229" s="1050" t="str">
        <f>IF(ISNA(VLOOKUP(B1229,$D$1228:$E$1268,2,FALSE)),"-",VLOOKUP(B1229,$D$1228:$E$1268,2,FALSE))</f>
        <v>Action sociale, France continentale, Base Carbone</v>
      </c>
      <c r="D1229" s="1051">
        <f>D1228+IF(LEN(E1229)&gt;0,1,0)</f>
        <v>1</v>
      </c>
      <c r="E1229" s="1051" t="str">
        <f>IF(COUNTIF(E$1228:E1228,F1229)&gt;0,"",F1229)</f>
        <v>Action sociale, France continentale, Base Carbone</v>
      </c>
      <c r="F1229" s="1051" t="str">
        <f>IF(I1229&lt;&gt;"",I1229&amp;IF(N1229&lt;&gt;""," "&amp;N1229,)&amp;IF(L1229&lt;&gt;"",", "&amp;L1229,"")&amp;IF(K1229&lt;&gt;"",", "&amp;K1229,""),"")</f>
        <v>Action sociale, France continentale, Base Carbone</v>
      </c>
      <c r="G1229" s="1055" t="str">
        <f>IF(F1229&lt;&gt;"",F1229&amp;IF(J1229&lt;&gt;"","; "&amp;J1229,""),"")</f>
        <v>Action sociale, France continentale, Base Carbone; kgCO2e/keuro</v>
      </c>
      <c r="I1229" s="1100" t="s">
        <v>1225</v>
      </c>
      <c r="J1229" s="1048" t="s">
        <v>2111</v>
      </c>
      <c r="K1229" s="1119" t="s">
        <v>1567</v>
      </c>
      <c r="L1229" s="1048" t="s">
        <v>1571</v>
      </c>
      <c r="M1229" s="1033">
        <v>0.8</v>
      </c>
      <c r="N1229" s="1048"/>
      <c r="O1229" s="1048">
        <v>100</v>
      </c>
      <c r="P1229" s="1048"/>
      <c r="Q1229" s="1048"/>
      <c r="R1229" s="1048"/>
      <c r="S1229" s="1048"/>
      <c r="T1229" s="1048"/>
      <c r="U1229" s="1102"/>
    </row>
    <row r="1230" spans="2:21" hidden="1" outlineLevel="1">
      <c r="B1230" s="1050">
        <v>2</v>
      </c>
      <c r="C1230" s="1050" t="str">
        <f t="shared" ref="C1230:C1268" si="153">IF(ISNA(VLOOKUP(B1230,$D$1228:$E$1268,2,FALSE)),"-",VLOOKUP(B1230,$D$1228:$E$1268,2,FALSE))</f>
        <v>Activités créatives, artistiques, culturelles, bibliothèques, et organisation de jeux de hasard et d, France continentale, Base Carbone</v>
      </c>
      <c r="D1230" s="1051">
        <f t="shared" ref="D1230:D1268" si="154">D1229+IF(LEN(E1230)&gt;0,1,0)</f>
        <v>2</v>
      </c>
      <c r="E1230" s="1051" t="str">
        <f>IF(COUNTIF(E$1228:E1229,F1230)&gt;0,"",F1230)</f>
        <v>Activités créatives, artistiques, culturelles, bibliothèques, et organisation de jeux de hasard et d, France continentale, Base Carbone</v>
      </c>
      <c r="F1230" s="1051" t="str">
        <f t="shared" ref="F1230:F1268" si="155">IF(I1230&lt;&gt;"",I1230&amp;IF(N1230&lt;&gt;""," "&amp;N1230,)&amp;IF(L1230&lt;&gt;"",", "&amp;L1230,"")&amp;IF(K1230&lt;&gt;"",", "&amp;K1230,""),"")</f>
        <v>Activités créatives, artistiques, culturelles, bibliothèques, et organisation de jeux de hasard et d, France continentale, Base Carbone</v>
      </c>
      <c r="G1230" s="1055" t="str">
        <f t="shared" ref="G1230:G1268" si="156">IF(F1230&lt;&gt;"",F1230&amp;IF(J1230&lt;&gt;"","; "&amp;J1230,""),"")</f>
        <v>Activités créatives, artistiques, culturelles, bibliothèques, et organisation de jeux de hasard et d, France continentale, Base Carbone; kgCO2e/keuro</v>
      </c>
      <c r="I1230" s="1100" t="s">
        <v>1226</v>
      </c>
      <c r="J1230" s="1048" t="s">
        <v>2111</v>
      </c>
      <c r="K1230" s="1119" t="s">
        <v>1567</v>
      </c>
      <c r="L1230" s="1048" t="s">
        <v>1571</v>
      </c>
      <c r="M1230" s="1033">
        <v>0.8</v>
      </c>
      <c r="N1230" s="1048"/>
      <c r="O1230" s="1048">
        <v>210</v>
      </c>
      <c r="P1230" s="1048"/>
      <c r="Q1230" s="1048"/>
      <c r="R1230" s="1048"/>
      <c r="S1230" s="1048"/>
      <c r="T1230" s="1048"/>
      <c r="U1230" s="1102"/>
    </row>
    <row r="1231" spans="2:21" hidden="1" outlineLevel="1">
      <c r="B1231" s="1050">
        <v>3</v>
      </c>
      <c r="C1231" s="1050" t="str">
        <f t="shared" si="153"/>
        <v>Activités des organisations associatives, France continentale, Base Carbone</v>
      </c>
      <c r="D1231" s="1051">
        <f t="shared" si="154"/>
        <v>3</v>
      </c>
      <c r="E1231" s="1051" t="str">
        <f>IF(COUNTIF(E$1228:E1230,F1231)&gt;0,"",F1231)</f>
        <v>Activités des organisations associatives, France continentale, Base Carbone</v>
      </c>
      <c r="F1231" s="1051" t="str">
        <f t="shared" si="155"/>
        <v>Activités des organisations associatives, France continentale, Base Carbone</v>
      </c>
      <c r="G1231" s="1055" t="str">
        <f t="shared" si="156"/>
        <v>Activités des organisations associatives, France continentale, Base Carbone; kgCO2e/keuro</v>
      </c>
      <c r="I1231" s="1100" t="s">
        <v>1227</v>
      </c>
      <c r="J1231" s="1048" t="s">
        <v>2111</v>
      </c>
      <c r="K1231" s="1119" t="s">
        <v>1567</v>
      </c>
      <c r="L1231" s="1048" t="s">
        <v>1571</v>
      </c>
      <c r="M1231" s="1033">
        <v>0.8</v>
      </c>
      <c r="N1231" s="1048"/>
      <c r="O1231" s="1048">
        <v>220</v>
      </c>
      <c r="P1231" s="1048"/>
      <c r="Q1231" s="1048"/>
      <c r="R1231" s="1048"/>
      <c r="S1231" s="1048"/>
      <c r="T1231" s="1048"/>
      <c r="U1231" s="1102"/>
    </row>
    <row r="1232" spans="2:21" hidden="1" outlineLevel="1">
      <c r="B1232" s="1050">
        <v>4</v>
      </c>
      <c r="C1232" s="1050" t="str">
        <f t="shared" si="153"/>
        <v>Activités pour la santé humaine, France continentale, Base Carbone</v>
      </c>
      <c r="D1232" s="1051">
        <f t="shared" si="154"/>
        <v>4</v>
      </c>
      <c r="E1232" s="1051" t="str">
        <f>IF(COUNTIF(E$1228:E1231,F1232)&gt;0,"",F1232)</f>
        <v>Activités pour la santé humaine, France continentale, Base Carbone</v>
      </c>
      <c r="F1232" s="1051" t="str">
        <f t="shared" si="155"/>
        <v>Activités pour la santé humaine, France continentale, Base Carbone</v>
      </c>
      <c r="G1232" s="1055" t="str">
        <f t="shared" si="156"/>
        <v>Activités pour la santé humaine, France continentale, Base Carbone; kgCO2e/keuro</v>
      </c>
      <c r="I1232" s="1100" t="s">
        <v>1228</v>
      </c>
      <c r="J1232" s="1048" t="s">
        <v>2111</v>
      </c>
      <c r="K1232" s="1119" t="s">
        <v>1567</v>
      </c>
      <c r="L1232" s="1048" t="s">
        <v>1571</v>
      </c>
      <c r="M1232" s="1033">
        <v>0.8</v>
      </c>
      <c r="N1232" s="1048"/>
      <c r="O1232" s="1048">
        <v>120</v>
      </c>
      <c r="P1232" s="1048"/>
      <c r="Q1232" s="1048"/>
      <c r="R1232" s="1048"/>
      <c r="S1232" s="1048"/>
      <c r="T1232" s="1048"/>
      <c r="U1232" s="1102"/>
    </row>
    <row r="1233" spans="2:21" hidden="1" outlineLevel="1">
      <c r="B1233" s="1050">
        <v>5</v>
      </c>
      <c r="C1233" s="1050" t="str">
        <f t="shared" si="153"/>
        <v>Activités sportives, récréatives et de loisirs, France continentale, Base Carbone</v>
      </c>
      <c r="D1233" s="1051">
        <f t="shared" si="154"/>
        <v>5</v>
      </c>
      <c r="E1233" s="1051" t="str">
        <f>IF(COUNTIF(E$1228:E1232,F1233)&gt;0,"",F1233)</f>
        <v>Activités sportives, récréatives et de loisirs, France continentale, Base Carbone</v>
      </c>
      <c r="F1233" s="1051" t="str">
        <f t="shared" si="155"/>
        <v>Activités sportives, récréatives et de loisirs, France continentale, Base Carbone</v>
      </c>
      <c r="G1233" s="1055" t="str">
        <f t="shared" si="156"/>
        <v>Activités sportives, récréatives et de loisirs, France continentale, Base Carbone; kgCO2e/keuro</v>
      </c>
      <c r="I1233" s="1100" t="s">
        <v>1229</v>
      </c>
      <c r="J1233" s="1048" t="s">
        <v>2111</v>
      </c>
      <c r="K1233" s="1119" t="s">
        <v>1567</v>
      </c>
      <c r="L1233" s="1048" t="s">
        <v>1571</v>
      </c>
      <c r="M1233" s="1033">
        <v>0.8</v>
      </c>
      <c r="N1233" s="1048"/>
      <c r="O1233" s="1048">
        <v>270</v>
      </c>
      <c r="P1233" s="1048"/>
      <c r="Q1233" s="1048"/>
      <c r="R1233" s="1048"/>
      <c r="S1233" s="1048"/>
      <c r="T1233" s="1048"/>
      <c r="U1233" s="1102"/>
    </row>
    <row r="1234" spans="2:21" hidden="1" outlineLevel="1">
      <c r="B1234" s="1050">
        <v>6</v>
      </c>
      <c r="C1234" s="1050" t="str">
        <f t="shared" si="153"/>
        <v>Administration publiques et défense, sécurité sociale obligatoire, France continentale, Base Carbone</v>
      </c>
      <c r="D1234" s="1051">
        <f t="shared" si="154"/>
        <v>6</v>
      </c>
      <c r="E1234" s="1051" t="str">
        <f>IF(COUNTIF(E$1228:E1233,F1234)&gt;0,"",F1234)</f>
        <v>Administration publiques et défense, sécurité sociale obligatoire, France continentale, Base Carbone</v>
      </c>
      <c r="F1234" s="1051" t="str">
        <f t="shared" si="155"/>
        <v>Administration publiques et défense, sécurité sociale obligatoire, France continentale, Base Carbone</v>
      </c>
      <c r="G1234" s="1055" t="str">
        <f t="shared" si="156"/>
        <v>Administration publiques et défense, sécurité sociale obligatoire, France continentale, Base Carbone; kgCO2e/keuro</v>
      </c>
      <c r="I1234" s="1100" t="s">
        <v>1230</v>
      </c>
      <c r="J1234" s="1048" t="s">
        <v>2111</v>
      </c>
      <c r="K1234" s="1119" t="s">
        <v>1567</v>
      </c>
      <c r="L1234" s="1048" t="s">
        <v>1571</v>
      </c>
      <c r="M1234" s="1033">
        <v>0.8</v>
      </c>
      <c r="N1234" s="1048"/>
      <c r="O1234" s="1048">
        <v>160</v>
      </c>
      <c r="P1234" s="1048"/>
      <c r="Q1234" s="1048"/>
      <c r="R1234" s="1048"/>
      <c r="S1234" s="1048"/>
      <c r="T1234" s="1048"/>
      <c r="U1234" s="1102"/>
    </row>
    <row r="1235" spans="2:21" hidden="1" outlineLevel="1">
      <c r="B1235" s="1050">
        <v>7</v>
      </c>
      <c r="C1235" s="1050" t="str">
        <f t="shared" si="153"/>
        <v>Assurance, services bancaires, conseil et honoraires, France continentale, Base Carbone</v>
      </c>
      <c r="D1235" s="1051">
        <f t="shared" si="154"/>
        <v>7</v>
      </c>
      <c r="E1235" s="1051" t="str">
        <f>IF(COUNTIF(E$1228:E1234,F1235)&gt;0,"",F1235)</f>
        <v>Assurance, services bancaires, conseil et honoraires, France continentale, Base Carbone</v>
      </c>
      <c r="F1235" s="1051" t="str">
        <f t="shared" si="155"/>
        <v>Assurance, services bancaires, conseil et honoraires, France continentale, Base Carbone</v>
      </c>
      <c r="G1235" s="1055" t="str">
        <f t="shared" si="156"/>
        <v>Assurance, services bancaires, conseil et honoraires, France continentale, Base Carbone; kgCO2e/keuro</v>
      </c>
      <c r="I1235" s="1100" t="s">
        <v>1231</v>
      </c>
      <c r="J1235" s="1048" t="s">
        <v>2111</v>
      </c>
      <c r="K1235" s="1119" t="s">
        <v>1567</v>
      </c>
      <c r="L1235" s="1048" t="s">
        <v>1571</v>
      </c>
      <c r="M1235" s="1033">
        <v>0.8</v>
      </c>
      <c r="N1235" s="1048"/>
      <c r="O1235" s="1048">
        <v>110</v>
      </c>
      <c r="P1235" s="1048"/>
      <c r="Q1235" s="1048"/>
      <c r="R1235" s="1048"/>
      <c r="S1235" s="1048"/>
      <c r="T1235" s="1048"/>
      <c r="U1235" s="1102"/>
    </row>
    <row r="1236" spans="2:21" hidden="1" outlineLevel="1">
      <c r="B1236" s="1050">
        <v>8</v>
      </c>
      <c r="C1236" s="1050" t="str">
        <f t="shared" si="153"/>
        <v>Bois et article en bois, France continentale, Base Carbone</v>
      </c>
      <c r="D1236" s="1051">
        <f t="shared" si="154"/>
        <v>8</v>
      </c>
      <c r="E1236" s="1051" t="str">
        <f>IF(COUNTIF(E$1228:E1235,F1236)&gt;0,"",F1236)</f>
        <v>Bois et article en bois, France continentale, Base Carbone</v>
      </c>
      <c r="F1236" s="1051" t="str">
        <f t="shared" si="155"/>
        <v>Bois et article en bois, France continentale, Base Carbone</v>
      </c>
      <c r="G1236" s="1055" t="str">
        <f t="shared" si="156"/>
        <v>Bois et article en bois, France continentale, Base Carbone; kgCO2e/keuro</v>
      </c>
      <c r="I1236" s="1100" t="s">
        <v>1232</v>
      </c>
      <c r="J1236" s="1048" t="s">
        <v>2111</v>
      </c>
      <c r="K1236" s="1119" t="s">
        <v>1567</v>
      </c>
      <c r="L1236" s="1048" t="s">
        <v>1571</v>
      </c>
      <c r="M1236" s="1033">
        <v>0.8</v>
      </c>
      <c r="N1236" s="1048"/>
      <c r="O1236" s="1048">
        <v>500</v>
      </c>
      <c r="P1236" s="1048"/>
      <c r="Q1236" s="1048"/>
      <c r="R1236" s="1048"/>
      <c r="S1236" s="1048"/>
      <c r="T1236" s="1048"/>
      <c r="U1236" s="1102"/>
    </row>
    <row r="1237" spans="2:21" hidden="1" outlineLevel="1">
      <c r="B1237" s="1050">
        <v>9</v>
      </c>
      <c r="C1237" s="1050" t="str">
        <f t="shared" si="153"/>
        <v>Construction, France continentale, Base Carbone</v>
      </c>
      <c r="D1237" s="1051">
        <f t="shared" si="154"/>
        <v>9</v>
      </c>
      <c r="E1237" s="1051" t="str">
        <f>IF(COUNTIF(E$1228:E1236,F1237)&gt;0,"",F1237)</f>
        <v>Construction, France continentale, Base Carbone</v>
      </c>
      <c r="F1237" s="1051" t="str">
        <f t="shared" si="155"/>
        <v>Construction, France continentale, Base Carbone</v>
      </c>
      <c r="G1237" s="1055" t="str">
        <f t="shared" si="156"/>
        <v>Construction, France continentale, Base Carbone; kgCO2e/keuro</v>
      </c>
      <c r="I1237" s="1100" t="s">
        <v>548</v>
      </c>
      <c r="J1237" s="1048" t="s">
        <v>2111</v>
      </c>
      <c r="K1237" s="1119" t="s">
        <v>1567</v>
      </c>
      <c r="L1237" s="1048" t="s">
        <v>1571</v>
      </c>
      <c r="M1237" s="1033">
        <v>0.8</v>
      </c>
      <c r="N1237" s="1048"/>
      <c r="O1237" s="1048">
        <v>360</v>
      </c>
      <c r="P1237" s="1048"/>
      <c r="Q1237" s="1048"/>
      <c r="R1237" s="1048"/>
      <c r="S1237" s="1048"/>
      <c r="T1237" s="1048"/>
      <c r="U1237" s="1102"/>
    </row>
    <row r="1238" spans="2:21" hidden="1" outlineLevel="1">
      <c r="B1238" s="1050">
        <v>10</v>
      </c>
      <c r="C1238" s="1050" t="str">
        <f t="shared" si="153"/>
        <v>Courrier, France continentale, Base Carbone</v>
      </c>
      <c r="D1238" s="1051">
        <f t="shared" si="154"/>
        <v>10</v>
      </c>
      <c r="E1238" s="1051" t="str">
        <f>IF(COUNTIF(E$1228:E1237,F1238)&gt;0,"",F1238)</f>
        <v>Courrier, France continentale, Base Carbone</v>
      </c>
      <c r="F1238" s="1051" t="str">
        <f t="shared" si="155"/>
        <v>Courrier, France continentale, Base Carbone</v>
      </c>
      <c r="G1238" s="1055" t="str">
        <f t="shared" si="156"/>
        <v>Courrier, France continentale, Base Carbone; kgCO2e/keuro</v>
      </c>
      <c r="I1238" s="1100" t="s">
        <v>1233</v>
      </c>
      <c r="J1238" s="1048" t="s">
        <v>2111</v>
      </c>
      <c r="K1238" s="1119" t="s">
        <v>1567</v>
      </c>
      <c r="L1238" s="1048" t="s">
        <v>1571</v>
      </c>
      <c r="M1238" s="1033">
        <v>0.8</v>
      </c>
      <c r="N1238" s="1048"/>
      <c r="O1238" s="1048">
        <v>130</v>
      </c>
      <c r="P1238" s="1048"/>
      <c r="Q1238" s="1048"/>
      <c r="R1238" s="1048"/>
      <c r="S1238" s="1048"/>
      <c r="T1238" s="1048"/>
      <c r="U1238" s="1102"/>
    </row>
    <row r="1239" spans="2:21" hidden="1" outlineLevel="1">
      <c r="B1239" s="1050">
        <v>11</v>
      </c>
      <c r="C1239" s="1050" t="str">
        <f t="shared" si="153"/>
        <v>Édition (livres, journaux, revues, etc.), France continentale, Base Carbone</v>
      </c>
      <c r="D1239" s="1051">
        <f t="shared" si="154"/>
        <v>11</v>
      </c>
      <c r="E1239" s="1051" t="str">
        <f>IF(COUNTIF(E$1228:E1238,F1239)&gt;0,"",F1239)</f>
        <v>Édition (livres, journaux, revues, etc.), France continentale, Base Carbone</v>
      </c>
      <c r="F1239" s="1051" t="str">
        <f t="shared" si="155"/>
        <v>Édition (livres, journaux, revues, etc.), France continentale, Base Carbone</v>
      </c>
      <c r="G1239" s="1055" t="str">
        <f t="shared" si="156"/>
        <v>Édition (livres, journaux, revues, etc.), France continentale, Base Carbone; kgCO2e/keuro</v>
      </c>
      <c r="I1239" s="1100" t="s">
        <v>1234</v>
      </c>
      <c r="J1239" s="1048" t="s">
        <v>2111</v>
      </c>
      <c r="K1239" s="1119" t="s">
        <v>1567</v>
      </c>
      <c r="L1239" s="1048" t="s">
        <v>1571</v>
      </c>
      <c r="M1239" s="1033">
        <v>0.8</v>
      </c>
      <c r="N1239" s="1048"/>
      <c r="O1239" s="1048">
        <v>280</v>
      </c>
      <c r="P1239" s="1048"/>
      <c r="Q1239" s="1048"/>
      <c r="R1239" s="1048"/>
      <c r="S1239" s="1048"/>
      <c r="T1239" s="1048"/>
      <c r="U1239" s="1102"/>
    </row>
    <row r="1240" spans="2:21" hidden="1" outlineLevel="1">
      <c r="B1240" s="1050">
        <v>12</v>
      </c>
      <c r="C1240" s="1050" t="str">
        <f t="shared" si="153"/>
        <v>Enseignement, France continentale, Base Carbone</v>
      </c>
      <c r="D1240" s="1051">
        <f t="shared" si="154"/>
        <v>12</v>
      </c>
      <c r="E1240" s="1051" t="str">
        <f>IF(COUNTIF(E$1228:E1239,F1240)&gt;0,"",F1240)</f>
        <v>Enseignement, France continentale, Base Carbone</v>
      </c>
      <c r="F1240" s="1051" t="str">
        <f t="shared" si="155"/>
        <v>Enseignement, France continentale, Base Carbone</v>
      </c>
      <c r="G1240" s="1055" t="str">
        <f t="shared" si="156"/>
        <v>Enseignement, France continentale, Base Carbone; kgCO2e/keuro</v>
      </c>
      <c r="I1240" s="1100" t="s">
        <v>1235</v>
      </c>
      <c r="J1240" s="1048" t="s">
        <v>2111</v>
      </c>
      <c r="K1240" s="1119" t="s">
        <v>1567</v>
      </c>
      <c r="L1240" s="1048" t="s">
        <v>1571</v>
      </c>
      <c r="M1240" s="1033">
        <v>0.8</v>
      </c>
      <c r="N1240" s="1048"/>
      <c r="O1240" s="1048">
        <v>120</v>
      </c>
      <c r="P1240" s="1048"/>
      <c r="Q1240" s="1048"/>
      <c r="R1240" s="1048"/>
      <c r="S1240" s="1048"/>
      <c r="T1240" s="1048"/>
      <c r="U1240" s="1102"/>
    </row>
    <row r="1241" spans="2:21" hidden="1" outlineLevel="1">
      <c r="B1241" s="1050">
        <v>13</v>
      </c>
      <c r="C1241" s="1050" t="str">
        <f t="shared" si="153"/>
        <v>Entreposage et services auxiliaires des transports, France continentale, Base Carbone</v>
      </c>
      <c r="D1241" s="1051">
        <f t="shared" si="154"/>
        <v>13</v>
      </c>
      <c r="E1241" s="1051" t="str">
        <f>IF(COUNTIF(E$1228:E1240,F1241)&gt;0,"",F1241)</f>
        <v>Entreposage et services auxiliaires des transports, France continentale, Base Carbone</v>
      </c>
      <c r="F1241" s="1051" t="str">
        <f t="shared" si="155"/>
        <v>Entreposage et services auxiliaires des transports, France continentale, Base Carbone</v>
      </c>
      <c r="G1241" s="1055" t="str">
        <f t="shared" si="156"/>
        <v>Entreposage et services auxiliaires des transports, France continentale, Base Carbone; kgCO2e/keuro</v>
      </c>
      <c r="I1241" s="1100" t="s">
        <v>1236</v>
      </c>
      <c r="J1241" s="1048" t="s">
        <v>2111</v>
      </c>
      <c r="K1241" s="1119" t="s">
        <v>1567</v>
      </c>
      <c r="L1241" s="1048" t="s">
        <v>1571</v>
      </c>
      <c r="M1241" s="1033">
        <v>0.8</v>
      </c>
      <c r="N1241" s="1048"/>
      <c r="O1241" s="1048">
        <v>170</v>
      </c>
      <c r="P1241" s="1048"/>
      <c r="Q1241" s="1048"/>
      <c r="R1241" s="1048"/>
      <c r="S1241" s="1048"/>
      <c r="T1241" s="1048"/>
      <c r="U1241" s="1102"/>
    </row>
    <row r="1242" spans="2:21" hidden="1" outlineLevel="1">
      <c r="B1242" s="1050">
        <v>14</v>
      </c>
      <c r="C1242" s="1050" t="str">
        <f t="shared" si="153"/>
        <v>Films, enregistrement sonores, télévision et radio, France continentale, Base Carbone</v>
      </c>
      <c r="D1242" s="1051">
        <f t="shared" si="154"/>
        <v>14</v>
      </c>
      <c r="E1242" s="1051" t="str">
        <f>IF(COUNTIF(E$1228:E1241,F1242)&gt;0,"",F1242)</f>
        <v>Films, enregistrement sonores, télévision et radio, France continentale, Base Carbone</v>
      </c>
      <c r="F1242" s="1051" t="str">
        <f t="shared" si="155"/>
        <v>Films, enregistrement sonores, télévision et radio, France continentale, Base Carbone</v>
      </c>
      <c r="G1242" s="1055" t="str">
        <f t="shared" si="156"/>
        <v>Films, enregistrement sonores, télévision et radio, France continentale, Base Carbone; kgCO2e/keuro</v>
      </c>
      <c r="I1242" s="1100" t="s">
        <v>1237</v>
      </c>
      <c r="J1242" s="1048" t="s">
        <v>2111</v>
      </c>
      <c r="K1242" s="1119" t="s">
        <v>1567</v>
      </c>
      <c r="L1242" s="1048" t="s">
        <v>1571</v>
      </c>
      <c r="M1242" s="1033">
        <v>0.8</v>
      </c>
      <c r="N1242" s="1048"/>
      <c r="O1242" s="1048">
        <v>310</v>
      </c>
      <c r="P1242" s="1048"/>
      <c r="Q1242" s="1048"/>
      <c r="R1242" s="1048"/>
      <c r="S1242" s="1048"/>
      <c r="T1242" s="1048"/>
      <c r="U1242" s="1102"/>
    </row>
    <row r="1243" spans="2:21" hidden="1" outlineLevel="1">
      <c r="B1243" s="1050">
        <v>15</v>
      </c>
      <c r="C1243" s="1050" t="str">
        <f t="shared" si="153"/>
        <v>Hébergement et restauration, France continentale, Base Carbone</v>
      </c>
      <c r="D1243" s="1051">
        <f t="shared" si="154"/>
        <v>15</v>
      </c>
      <c r="E1243" s="1051" t="str">
        <f>IF(COUNTIF(E$1228:E1242,F1243)&gt;0,"",F1243)</f>
        <v>Hébergement et restauration, France continentale, Base Carbone</v>
      </c>
      <c r="F1243" s="1051" t="str">
        <f t="shared" si="155"/>
        <v>Hébergement et restauration, France continentale, Base Carbone</v>
      </c>
      <c r="G1243" s="1055" t="str">
        <f t="shared" si="156"/>
        <v>Hébergement et restauration, France continentale, Base Carbone; kgCO2e/keuro</v>
      </c>
      <c r="I1243" s="1100" t="s">
        <v>1238</v>
      </c>
      <c r="J1243" s="1048" t="s">
        <v>2111</v>
      </c>
      <c r="K1243" s="1119" t="s">
        <v>1567</v>
      </c>
      <c r="L1243" s="1048" t="s">
        <v>1571</v>
      </c>
      <c r="M1243" s="1033">
        <v>0.8</v>
      </c>
      <c r="N1243" s="1048"/>
      <c r="O1243" s="1048">
        <v>320</v>
      </c>
      <c r="P1243" s="1048"/>
      <c r="Q1243" s="1048"/>
      <c r="R1243" s="1048"/>
      <c r="S1243" s="1048"/>
      <c r="T1243" s="1048"/>
      <c r="U1243" s="1102"/>
    </row>
    <row r="1244" spans="2:21" hidden="1" outlineLevel="1">
      <c r="B1244" s="1050">
        <v>16</v>
      </c>
      <c r="C1244" s="1050" t="str">
        <f t="shared" si="153"/>
        <v>Machines et équipements, France continentale, Base Carbone</v>
      </c>
      <c r="D1244" s="1051">
        <f t="shared" si="154"/>
        <v>16</v>
      </c>
      <c r="E1244" s="1051" t="str">
        <f>IF(COUNTIF(E$1228:E1243,F1244)&gt;0,"",F1244)</f>
        <v>Machines et équipements, France continentale, Base Carbone</v>
      </c>
      <c r="F1244" s="1051" t="str">
        <f t="shared" si="155"/>
        <v>Machines et équipements, France continentale, Base Carbone</v>
      </c>
      <c r="G1244" s="1055" t="str">
        <f t="shared" si="156"/>
        <v>Machines et équipements, France continentale, Base Carbone; kgCO2e/keuro</v>
      </c>
      <c r="I1244" s="1100" t="s">
        <v>1239</v>
      </c>
      <c r="J1244" s="1048" t="s">
        <v>2111</v>
      </c>
      <c r="K1244" s="1119" t="s">
        <v>1567</v>
      </c>
      <c r="L1244" s="1048" t="s">
        <v>1571</v>
      </c>
      <c r="M1244" s="1033">
        <v>0.8</v>
      </c>
      <c r="N1244" s="1048"/>
      <c r="O1244" s="1048">
        <v>700</v>
      </c>
      <c r="P1244" s="1048"/>
      <c r="Q1244" s="1048"/>
      <c r="R1244" s="1048"/>
      <c r="S1244" s="1048"/>
      <c r="T1244" s="1048"/>
      <c r="U1244" s="1102"/>
    </row>
    <row r="1245" spans="2:21" hidden="1" outlineLevel="1">
      <c r="B1245" s="1050">
        <v>17</v>
      </c>
      <c r="C1245" s="1050" t="str">
        <f t="shared" si="153"/>
        <v>Matériel de transport, France continentale, Base Carbone</v>
      </c>
      <c r="D1245" s="1051">
        <f t="shared" si="154"/>
        <v>17</v>
      </c>
      <c r="E1245" s="1051" t="str">
        <f>IF(COUNTIF(E$1228:E1244,F1245)&gt;0,"",F1245)</f>
        <v>Matériel de transport, France continentale, Base Carbone</v>
      </c>
      <c r="F1245" s="1051" t="str">
        <f t="shared" si="155"/>
        <v>Matériel de transport, France continentale, Base Carbone</v>
      </c>
      <c r="G1245" s="1055" t="str">
        <f t="shared" si="156"/>
        <v>Matériel de transport, France continentale, Base Carbone; kgCO2e/keuro</v>
      </c>
      <c r="I1245" s="1100" t="s">
        <v>1240</v>
      </c>
      <c r="J1245" s="1048" t="s">
        <v>2111</v>
      </c>
      <c r="K1245" s="1119" t="s">
        <v>1567</v>
      </c>
      <c r="L1245" s="1048" t="s">
        <v>1571</v>
      </c>
      <c r="M1245" s="1033">
        <v>0.8</v>
      </c>
      <c r="N1245" s="1048"/>
      <c r="O1245" s="1048">
        <v>700</v>
      </c>
      <c r="P1245" s="1048"/>
      <c r="Q1245" s="1048"/>
      <c r="R1245" s="1048"/>
      <c r="S1245" s="1048"/>
      <c r="T1245" s="1048"/>
      <c r="U1245" s="1102"/>
    </row>
    <row r="1246" spans="2:21" hidden="1" outlineLevel="1">
      <c r="B1246" s="1050">
        <v>18</v>
      </c>
      <c r="C1246" s="1050" t="str">
        <f t="shared" si="153"/>
        <v>Métaux (aluminium, cuivre, acier, etc.), France continentale, Base Carbone</v>
      </c>
      <c r="D1246" s="1051">
        <f t="shared" si="154"/>
        <v>18</v>
      </c>
      <c r="E1246" s="1051" t="str">
        <f>IF(COUNTIF(E$1228:E1245,F1246)&gt;0,"",F1246)</f>
        <v>Métaux (aluminium, cuivre, acier, etc.), France continentale, Base Carbone</v>
      </c>
      <c r="F1246" s="1051" t="str">
        <f t="shared" si="155"/>
        <v>Métaux (aluminium, cuivre, acier, etc.), France continentale, Base Carbone</v>
      </c>
      <c r="G1246" s="1055" t="str">
        <f t="shared" si="156"/>
        <v>Métaux (aluminium, cuivre, acier, etc.), France continentale, Base Carbone; kgCO2e/keuro</v>
      </c>
      <c r="I1246" s="1100" t="s">
        <v>1241</v>
      </c>
      <c r="J1246" s="1048" t="s">
        <v>2111</v>
      </c>
      <c r="K1246" s="1119" t="s">
        <v>1567</v>
      </c>
      <c r="L1246" s="1048" t="s">
        <v>1571</v>
      </c>
      <c r="M1246" s="1033">
        <v>0.8</v>
      </c>
      <c r="N1246" s="1048"/>
      <c r="O1246" s="1048">
        <v>1700</v>
      </c>
      <c r="P1246" s="1048"/>
      <c r="Q1246" s="1048"/>
      <c r="R1246" s="1048"/>
      <c r="S1246" s="1048"/>
      <c r="T1246" s="1048"/>
      <c r="U1246" s="1102"/>
    </row>
    <row r="1247" spans="2:21" hidden="1" outlineLevel="1">
      <c r="B1247" s="1050">
        <v>19</v>
      </c>
      <c r="C1247" s="1050" t="str">
        <f t="shared" si="153"/>
        <v>Meubles et autres biens manufacturés, France continentale, Base Carbone</v>
      </c>
      <c r="D1247" s="1051">
        <f t="shared" si="154"/>
        <v>19</v>
      </c>
      <c r="E1247" s="1051" t="str">
        <f>IF(COUNTIF(E$1228:E1246,F1247)&gt;0,"",F1247)</f>
        <v>Meubles et autres biens manufacturés, France continentale, Base Carbone</v>
      </c>
      <c r="F1247" s="1051" t="str">
        <f t="shared" si="155"/>
        <v>Meubles et autres biens manufacturés, France continentale, Base Carbone</v>
      </c>
      <c r="G1247" s="1055" t="str">
        <f t="shared" si="156"/>
        <v>Meubles et autres biens manufacturés, France continentale, Base Carbone; kgCO2e/keuro</v>
      </c>
      <c r="I1247" s="1100" t="s">
        <v>1242</v>
      </c>
      <c r="J1247" s="1048" t="s">
        <v>2111</v>
      </c>
      <c r="K1247" s="1119" t="s">
        <v>1567</v>
      </c>
      <c r="L1247" s="1048" t="s">
        <v>1571</v>
      </c>
      <c r="M1247" s="1033">
        <v>0.8</v>
      </c>
      <c r="N1247" s="1048"/>
      <c r="O1247" s="1048">
        <v>600</v>
      </c>
      <c r="P1247" s="1048"/>
      <c r="Q1247" s="1048"/>
      <c r="R1247" s="1048"/>
      <c r="S1247" s="1048"/>
      <c r="T1247" s="1048"/>
      <c r="U1247" s="1102"/>
    </row>
    <row r="1248" spans="2:21" hidden="1" outlineLevel="1">
      <c r="B1248" s="1050">
        <v>20</v>
      </c>
      <c r="C1248" s="1050" t="str">
        <f t="shared" si="153"/>
        <v>Papier et carton, France continentale, Base Carbone</v>
      </c>
      <c r="D1248" s="1051">
        <f t="shared" si="154"/>
        <v>20</v>
      </c>
      <c r="E1248" s="1051" t="str">
        <f>IF(COUNTIF(E$1228:E1247,F1248)&gt;0,"",F1248)</f>
        <v>Papier et carton, France continentale, Base Carbone</v>
      </c>
      <c r="F1248" s="1051" t="str">
        <f t="shared" si="155"/>
        <v>Papier et carton, France continentale, Base Carbone</v>
      </c>
      <c r="G1248" s="1055" t="str">
        <f t="shared" si="156"/>
        <v>Papier et carton, France continentale, Base Carbone; kgCO2e/keuro</v>
      </c>
      <c r="I1248" s="1100" t="s">
        <v>1243</v>
      </c>
      <c r="J1248" s="1048" t="s">
        <v>2111</v>
      </c>
      <c r="K1248" s="1119" t="s">
        <v>1567</v>
      </c>
      <c r="L1248" s="1048" t="s">
        <v>1571</v>
      </c>
      <c r="M1248" s="1033">
        <v>0.8</v>
      </c>
      <c r="N1248" s="1048"/>
      <c r="O1248" s="1048">
        <v>900</v>
      </c>
      <c r="P1248" s="1048"/>
      <c r="Q1248" s="1048"/>
      <c r="R1248" s="1048"/>
      <c r="S1248" s="1048"/>
      <c r="T1248" s="1048"/>
      <c r="U1248" s="1102"/>
    </row>
    <row r="1249" spans="2:21" hidden="1" outlineLevel="1">
      <c r="B1249" s="1050">
        <v>21</v>
      </c>
      <c r="C1249" s="1050" t="str">
        <f t="shared" si="153"/>
        <v>Plastiques et caoutchouc, France continentale, Base Carbone</v>
      </c>
      <c r="D1249" s="1051">
        <f t="shared" si="154"/>
        <v>21</v>
      </c>
      <c r="E1249" s="1051" t="str">
        <f>IF(COUNTIF(E$1228:E1248,F1249)&gt;0,"",F1249)</f>
        <v>Plastiques et caoutchouc, France continentale, Base Carbone</v>
      </c>
      <c r="F1249" s="1051" t="str">
        <f t="shared" si="155"/>
        <v>Plastiques et caoutchouc, France continentale, Base Carbone</v>
      </c>
      <c r="G1249" s="1055" t="str">
        <f t="shared" si="156"/>
        <v>Plastiques et caoutchouc, France continentale, Base Carbone; kgCO2e/keuro</v>
      </c>
      <c r="I1249" s="1100" t="s">
        <v>1244</v>
      </c>
      <c r="J1249" s="1048" t="s">
        <v>2111</v>
      </c>
      <c r="K1249" s="1119" t="s">
        <v>1567</v>
      </c>
      <c r="L1249" s="1048" t="s">
        <v>1571</v>
      </c>
      <c r="M1249" s="1033">
        <v>0.8</v>
      </c>
      <c r="N1249" s="1048"/>
      <c r="O1249" s="1048">
        <v>800</v>
      </c>
      <c r="P1249" s="1048"/>
      <c r="Q1249" s="1048"/>
      <c r="R1249" s="1048"/>
      <c r="S1249" s="1048"/>
      <c r="T1249" s="1048"/>
      <c r="U1249" s="1102"/>
    </row>
    <row r="1250" spans="2:21" hidden="1" outlineLevel="1">
      <c r="B1250" s="1050">
        <v>22</v>
      </c>
      <c r="C1250" s="1050" t="str">
        <f t="shared" si="153"/>
        <v>Produit agro-alimentaires transformés, France continentale, Base Carbone</v>
      </c>
      <c r="D1250" s="1051">
        <f t="shared" si="154"/>
        <v>22</v>
      </c>
      <c r="E1250" s="1051" t="str">
        <f>IF(COUNTIF(E$1228:E1249,F1250)&gt;0,"",F1250)</f>
        <v>Produit agro-alimentaires transformés, France continentale, Base Carbone</v>
      </c>
      <c r="F1250" s="1051" t="str">
        <f t="shared" si="155"/>
        <v>Produit agro-alimentaires transformés, France continentale, Base Carbone</v>
      </c>
      <c r="G1250" s="1055" t="str">
        <f t="shared" si="156"/>
        <v>Produit agro-alimentaires transformés, France continentale, Base Carbone; kgCO2e/keuro</v>
      </c>
      <c r="I1250" s="1100" t="s">
        <v>1245</v>
      </c>
      <c r="J1250" s="1048" t="s">
        <v>2111</v>
      </c>
      <c r="K1250" s="1119" t="s">
        <v>1567</v>
      </c>
      <c r="L1250" s="1048" t="s">
        <v>1571</v>
      </c>
      <c r="M1250" s="1033">
        <v>0.8</v>
      </c>
      <c r="N1250" s="1048"/>
      <c r="O1250" s="1048">
        <v>1000</v>
      </c>
      <c r="P1250" s="1048"/>
      <c r="Q1250" s="1048"/>
      <c r="R1250" s="1048"/>
      <c r="S1250" s="1048"/>
      <c r="T1250" s="1048"/>
      <c r="U1250" s="1102"/>
    </row>
    <row r="1251" spans="2:21" hidden="1" outlineLevel="1">
      <c r="B1251" s="1050">
        <v>23</v>
      </c>
      <c r="C1251" s="1050" t="str">
        <f t="shared" si="153"/>
        <v>Produit minéraux (ciment, verre, etc.), France continentale, Base Carbone</v>
      </c>
      <c r="D1251" s="1051">
        <f t="shared" si="154"/>
        <v>23</v>
      </c>
      <c r="E1251" s="1051" t="str">
        <f>IF(COUNTIF(E$1228:E1250,F1251)&gt;0,"",F1251)</f>
        <v>Produit minéraux (ciment, verre, etc.), France continentale, Base Carbone</v>
      </c>
      <c r="F1251" s="1051" t="str">
        <f t="shared" si="155"/>
        <v>Produit minéraux (ciment, verre, etc.), France continentale, Base Carbone</v>
      </c>
      <c r="G1251" s="1055" t="str">
        <f t="shared" si="156"/>
        <v>Produit minéraux (ciment, verre, etc.), France continentale, Base Carbone; kgCO2e/keuro</v>
      </c>
      <c r="I1251" s="1100" t="s">
        <v>1246</v>
      </c>
      <c r="J1251" s="1048" t="s">
        <v>2111</v>
      </c>
      <c r="K1251" s="1119" t="s">
        <v>1567</v>
      </c>
      <c r="L1251" s="1048" t="s">
        <v>1571</v>
      </c>
      <c r="M1251" s="1033">
        <v>0.8</v>
      </c>
      <c r="N1251" s="1048"/>
      <c r="O1251" s="1048">
        <v>1800</v>
      </c>
      <c r="P1251" s="1048"/>
      <c r="Q1251" s="1048"/>
      <c r="R1251" s="1048"/>
      <c r="S1251" s="1048"/>
      <c r="T1251" s="1048"/>
      <c r="U1251" s="1102"/>
    </row>
    <row r="1252" spans="2:21" hidden="1" outlineLevel="1">
      <c r="B1252" s="1050">
        <v>24</v>
      </c>
      <c r="C1252" s="1050" t="str">
        <f t="shared" si="153"/>
        <v>Produits agricoles et de la mer, France continentale, Base Carbone</v>
      </c>
      <c r="D1252" s="1051">
        <f t="shared" si="154"/>
        <v>24</v>
      </c>
      <c r="E1252" s="1051" t="str">
        <f>IF(COUNTIF(E$1228:E1251,F1252)&gt;0,"",F1252)</f>
        <v>Produits agricoles et de la mer, France continentale, Base Carbone</v>
      </c>
      <c r="F1252" s="1051" t="str">
        <f t="shared" si="155"/>
        <v>Produits agricoles et de la mer, France continentale, Base Carbone</v>
      </c>
      <c r="G1252" s="1055" t="str">
        <f t="shared" si="156"/>
        <v>Produits agricoles et de la mer, France continentale, Base Carbone; kgCO2e/keuro</v>
      </c>
      <c r="I1252" s="1100" t="s">
        <v>1247</v>
      </c>
      <c r="J1252" s="1048" t="s">
        <v>2111</v>
      </c>
      <c r="K1252" s="1119" t="s">
        <v>1567</v>
      </c>
      <c r="L1252" s="1048" t="s">
        <v>1571</v>
      </c>
      <c r="M1252" s="1033">
        <v>0.8</v>
      </c>
      <c r="N1252" s="1048"/>
      <c r="O1252" s="1048">
        <v>2300</v>
      </c>
      <c r="P1252" s="1048"/>
      <c r="Q1252" s="1048"/>
      <c r="R1252" s="1048"/>
      <c r="S1252" s="1048"/>
      <c r="T1252" s="1048"/>
      <c r="U1252" s="1102"/>
    </row>
    <row r="1253" spans="2:21" hidden="1" outlineLevel="1">
      <c r="B1253" s="1050">
        <v>25</v>
      </c>
      <c r="C1253" s="1050" t="str">
        <f t="shared" si="153"/>
        <v>Produits chimiques, France continentale, Base Carbone</v>
      </c>
      <c r="D1253" s="1051">
        <f t="shared" si="154"/>
        <v>25</v>
      </c>
      <c r="E1253" s="1051" t="str">
        <f>IF(COUNTIF(E$1228:E1252,F1253)&gt;0,"",F1253)</f>
        <v>Produits chimiques, France continentale, Base Carbone</v>
      </c>
      <c r="F1253" s="1051" t="str">
        <f t="shared" si="155"/>
        <v>Produits chimiques, France continentale, Base Carbone</v>
      </c>
      <c r="G1253" s="1055" t="str">
        <f t="shared" si="156"/>
        <v>Produits chimiques, France continentale, Base Carbone; kgCO2e/keuro</v>
      </c>
      <c r="I1253" s="1100" t="s">
        <v>9</v>
      </c>
      <c r="J1253" s="1048" t="s">
        <v>2111</v>
      </c>
      <c r="K1253" s="1119" t="s">
        <v>1567</v>
      </c>
      <c r="L1253" s="1048" t="s">
        <v>1571</v>
      </c>
      <c r="M1253" s="1033">
        <v>0.8</v>
      </c>
      <c r="N1253" s="1048"/>
      <c r="O1253" s="1048">
        <v>1600</v>
      </c>
      <c r="P1253" s="1048"/>
      <c r="Q1253" s="1048"/>
      <c r="R1253" s="1048"/>
      <c r="S1253" s="1048"/>
      <c r="T1253" s="1048"/>
      <c r="U1253" s="1102"/>
    </row>
    <row r="1254" spans="2:21" hidden="1" outlineLevel="1">
      <c r="B1254" s="1050">
        <v>26</v>
      </c>
      <c r="C1254" s="1050" t="str">
        <f t="shared" si="153"/>
        <v>Produits informatiques, électroniques et optiques, France continentale, Base Carbone</v>
      </c>
      <c r="D1254" s="1051">
        <f t="shared" si="154"/>
        <v>26</v>
      </c>
      <c r="E1254" s="1051" t="str">
        <f>IF(COUNTIF(E$1228:E1253,F1254)&gt;0,"",F1254)</f>
        <v>Produits informatiques, électroniques et optiques, France continentale, Base Carbone</v>
      </c>
      <c r="F1254" s="1051" t="str">
        <f t="shared" si="155"/>
        <v>Produits informatiques, électroniques et optiques, France continentale, Base Carbone</v>
      </c>
      <c r="G1254" s="1055" t="str">
        <f t="shared" si="156"/>
        <v>Produits informatiques, électroniques et optiques, France continentale, Base Carbone; kgCO2e/keuro</v>
      </c>
      <c r="I1254" s="1100" t="s">
        <v>1248</v>
      </c>
      <c r="J1254" s="1048" t="s">
        <v>2111</v>
      </c>
      <c r="K1254" s="1119" t="s">
        <v>1567</v>
      </c>
      <c r="L1254" s="1048" t="s">
        <v>1571</v>
      </c>
      <c r="M1254" s="1033">
        <v>0.8</v>
      </c>
      <c r="N1254" s="1048"/>
      <c r="O1254" s="1048">
        <v>400</v>
      </c>
      <c r="P1254" s="1048"/>
      <c r="Q1254" s="1048"/>
      <c r="R1254" s="1048"/>
      <c r="S1254" s="1048"/>
      <c r="T1254" s="1048"/>
      <c r="U1254" s="1102"/>
    </row>
    <row r="1255" spans="2:21" hidden="1" outlineLevel="1">
      <c r="B1255" s="1050">
        <v>27</v>
      </c>
      <c r="C1255" s="1050" t="str">
        <f t="shared" si="153"/>
        <v>Produits métalliques, sauf machines et équipements, France continentale, Base Carbone</v>
      </c>
      <c r="D1255" s="1051">
        <f t="shared" si="154"/>
        <v>27</v>
      </c>
      <c r="E1255" s="1051" t="str">
        <f>IF(COUNTIF(E$1228:E1254,F1255)&gt;0,"",F1255)</f>
        <v>Produits métalliques, sauf machines et équipements, France continentale, Base Carbone</v>
      </c>
      <c r="F1255" s="1051" t="str">
        <f t="shared" si="155"/>
        <v>Produits métalliques, sauf machines et équipements, France continentale, Base Carbone</v>
      </c>
      <c r="G1255" s="1055" t="str">
        <f t="shared" si="156"/>
        <v>Produits métalliques, sauf machines et équipements, France continentale, Base Carbone; kgCO2e/keuro</v>
      </c>
      <c r="I1255" s="1100" t="s">
        <v>1249</v>
      </c>
      <c r="J1255" s="1048" t="s">
        <v>2111</v>
      </c>
      <c r="K1255" s="1119" t="s">
        <v>1567</v>
      </c>
      <c r="L1255" s="1048" t="s">
        <v>1571</v>
      </c>
      <c r="M1255" s="1033">
        <v>0.8</v>
      </c>
      <c r="N1255" s="1048"/>
      <c r="O1255" s="1048">
        <v>600</v>
      </c>
      <c r="P1255" s="1048"/>
      <c r="Q1255" s="1048"/>
      <c r="R1255" s="1048"/>
      <c r="S1255" s="1048"/>
      <c r="T1255" s="1048"/>
      <c r="U1255" s="1102"/>
    </row>
    <row r="1256" spans="2:21" hidden="1" outlineLevel="1">
      <c r="B1256" s="1050">
        <v>28</v>
      </c>
      <c r="C1256" s="1050" t="str">
        <f t="shared" si="153"/>
        <v>Produits pharmaceutiques, France continentale, Base Carbone</v>
      </c>
      <c r="D1256" s="1051">
        <f t="shared" si="154"/>
        <v>28</v>
      </c>
      <c r="E1256" s="1051" t="str">
        <f>IF(COUNTIF(E$1228:E1255,F1256)&gt;0,"",F1256)</f>
        <v>Produits pharmaceutiques, France continentale, Base Carbone</v>
      </c>
      <c r="F1256" s="1051" t="str">
        <f t="shared" si="155"/>
        <v>Produits pharmaceutiques, France continentale, Base Carbone</v>
      </c>
      <c r="G1256" s="1055" t="str">
        <f t="shared" si="156"/>
        <v>Produits pharmaceutiques, France continentale, Base Carbone; kgCO2e/keuro</v>
      </c>
      <c r="I1256" s="1100" t="s">
        <v>1250</v>
      </c>
      <c r="J1256" s="1048" t="s">
        <v>2111</v>
      </c>
      <c r="K1256" s="1119" t="s">
        <v>1567</v>
      </c>
      <c r="L1256" s="1048" t="s">
        <v>1571</v>
      </c>
      <c r="M1256" s="1033">
        <v>0.8</v>
      </c>
      <c r="N1256" s="1048"/>
      <c r="O1256" s="1048">
        <v>500</v>
      </c>
      <c r="P1256" s="1048"/>
      <c r="Q1256" s="1048"/>
      <c r="R1256" s="1048"/>
      <c r="S1256" s="1048"/>
      <c r="T1256" s="1048"/>
      <c r="U1256" s="1102"/>
    </row>
    <row r="1257" spans="2:21" hidden="1" outlineLevel="1">
      <c r="B1257" s="1050">
        <v>29</v>
      </c>
      <c r="C1257" s="1050" t="str">
        <f t="shared" si="153"/>
        <v>Recherche et développement, France continentale, Base Carbone</v>
      </c>
      <c r="D1257" s="1051">
        <f t="shared" si="154"/>
        <v>29</v>
      </c>
      <c r="E1257" s="1051" t="str">
        <f>IF(COUNTIF(E$1228:E1256,F1257)&gt;0,"",F1257)</f>
        <v>Recherche et développement, France continentale, Base Carbone</v>
      </c>
      <c r="F1257" s="1051" t="str">
        <f t="shared" si="155"/>
        <v>Recherche et développement, France continentale, Base Carbone</v>
      </c>
      <c r="G1257" s="1055" t="str">
        <f t="shared" si="156"/>
        <v>Recherche et développement, France continentale, Base Carbone; kgCO2e/keuro</v>
      </c>
      <c r="I1257" s="1100" t="s">
        <v>1251</v>
      </c>
      <c r="J1257" s="1048" t="s">
        <v>2111</v>
      </c>
      <c r="K1257" s="1119" t="s">
        <v>1567</v>
      </c>
      <c r="L1257" s="1048" t="s">
        <v>1571</v>
      </c>
      <c r="M1257" s="1033">
        <v>0.8</v>
      </c>
      <c r="N1257" s="1048"/>
      <c r="O1257" s="1048">
        <v>250</v>
      </c>
      <c r="P1257" s="1048"/>
      <c r="Q1257" s="1048"/>
      <c r="R1257" s="1048"/>
      <c r="S1257" s="1048"/>
      <c r="T1257" s="1048"/>
      <c r="U1257" s="1102"/>
    </row>
    <row r="1258" spans="2:21" hidden="1" outlineLevel="1">
      <c r="B1258" s="1050">
        <v>30</v>
      </c>
      <c r="C1258" s="1050" t="str">
        <f t="shared" si="153"/>
        <v>Réparation et installation de machines et d'équipements, France continentale, Base Carbone</v>
      </c>
      <c r="D1258" s="1051">
        <f t="shared" si="154"/>
        <v>30</v>
      </c>
      <c r="E1258" s="1051" t="str">
        <f>IF(COUNTIF(E$1228:E1257,F1258)&gt;0,"",F1258)</f>
        <v>Réparation et installation de machines et d'équipements, France continentale, Base Carbone</v>
      </c>
      <c r="F1258" s="1051" t="str">
        <f t="shared" si="155"/>
        <v>Réparation et installation de machines et d'équipements, France continentale, Base Carbone</v>
      </c>
      <c r="G1258" s="1055" t="str">
        <f t="shared" si="156"/>
        <v>Réparation et installation de machines et d'équipements, France continentale, Base Carbone; kgCO2e/keuro</v>
      </c>
      <c r="I1258" s="1100" t="s">
        <v>1252</v>
      </c>
      <c r="J1258" s="1048" t="s">
        <v>2111</v>
      </c>
      <c r="K1258" s="1119" t="s">
        <v>1567</v>
      </c>
      <c r="L1258" s="1048" t="s">
        <v>1571</v>
      </c>
      <c r="M1258" s="1033">
        <v>0.8</v>
      </c>
      <c r="N1258" s="1048"/>
      <c r="O1258" s="1048">
        <v>390</v>
      </c>
      <c r="P1258" s="1048"/>
      <c r="Q1258" s="1048"/>
      <c r="R1258" s="1048"/>
      <c r="S1258" s="1048"/>
      <c r="T1258" s="1048"/>
      <c r="U1258" s="1102"/>
    </row>
    <row r="1259" spans="2:21" hidden="1" outlineLevel="1">
      <c r="B1259" s="1050">
        <v>31</v>
      </c>
      <c r="C1259" s="1050" t="str">
        <f t="shared" si="153"/>
        <v>Services (imprimerie, publicité, architecture et ingénierie, maintenance multi-technique des bâtimen, France continentale, Base Carbone</v>
      </c>
      <c r="D1259" s="1051">
        <f t="shared" si="154"/>
        <v>31</v>
      </c>
      <c r="E1259" s="1051" t="str">
        <f>IF(COUNTIF(E$1228:E1258,F1259)&gt;0,"",F1259)</f>
        <v>Services (imprimerie, publicité, architecture et ingénierie, maintenance multi-technique des bâtimen, France continentale, Base Carbone</v>
      </c>
      <c r="F1259" s="1051" t="str">
        <f t="shared" si="155"/>
        <v>Services (imprimerie, publicité, architecture et ingénierie, maintenance multi-technique des bâtimen, France continentale, Base Carbone</v>
      </c>
      <c r="G1259" s="1055" t="str">
        <f t="shared" si="156"/>
        <v>Services (imprimerie, publicité, architecture et ingénierie, maintenance multi-technique des bâtimen, France continentale, Base Carbone; kgCO2e/keuro</v>
      </c>
      <c r="I1259" s="1100" t="s">
        <v>1253</v>
      </c>
      <c r="J1259" s="1048" t="s">
        <v>2111</v>
      </c>
      <c r="K1259" s="1119" t="s">
        <v>1567</v>
      </c>
      <c r="L1259" s="1048" t="s">
        <v>1571</v>
      </c>
      <c r="M1259" s="1033">
        <v>0.8</v>
      </c>
      <c r="N1259" s="1048"/>
      <c r="O1259" s="1048">
        <v>170</v>
      </c>
      <c r="P1259" s="1048"/>
      <c r="Q1259" s="1048"/>
      <c r="R1259" s="1048"/>
      <c r="S1259" s="1048"/>
      <c r="T1259" s="1048"/>
      <c r="U1259" s="1102"/>
    </row>
    <row r="1260" spans="2:21" hidden="1" outlineLevel="1">
      <c r="B1260" s="1050">
        <v>32</v>
      </c>
      <c r="C1260" s="1050" t="str">
        <f t="shared" si="153"/>
        <v>Télécommunications, France continentale, Base Carbone</v>
      </c>
      <c r="D1260" s="1051">
        <f t="shared" si="154"/>
        <v>32</v>
      </c>
      <c r="E1260" s="1051" t="str">
        <f>IF(COUNTIF(E$1228:E1259,F1260)&gt;0,"",F1260)</f>
        <v>Télécommunications, France continentale, Base Carbone</v>
      </c>
      <c r="F1260" s="1051" t="str">
        <f t="shared" si="155"/>
        <v>Télécommunications, France continentale, Base Carbone</v>
      </c>
      <c r="G1260" s="1055" t="str">
        <f t="shared" si="156"/>
        <v>Télécommunications, France continentale, Base Carbone; kgCO2e/keuro</v>
      </c>
      <c r="I1260" s="1100" t="s">
        <v>1254</v>
      </c>
      <c r="J1260" s="1048" t="s">
        <v>2111</v>
      </c>
      <c r="K1260" s="1119" t="s">
        <v>1567</v>
      </c>
      <c r="L1260" s="1048" t="s">
        <v>1571</v>
      </c>
      <c r="M1260" s="1033">
        <v>0.8</v>
      </c>
      <c r="N1260" s="1048"/>
      <c r="O1260" s="1048">
        <v>170</v>
      </c>
      <c r="P1260" s="1048"/>
      <c r="Q1260" s="1048"/>
      <c r="R1260" s="1048"/>
      <c r="S1260" s="1048"/>
      <c r="T1260" s="1048"/>
      <c r="U1260" s="1102"/>
    </row>
    <row r="1261" spans="2:21" hidden="1" outlineLevel="1">
      <c r="B1261" s="1050">
        <v>33</v>
      </c>
      <c r="C1261" s="1050" t="str">
        <f t="shared" si="153"/>
        <v>Textile et habillement, France continentale, Base Carbone</v>
      </c>
      <c r="D1261" s="1051">
        <f t="shared" si="154"/>
        <v>33</v>
      </c>
      <c r="E1261" s="1051" t="str">
        <f>IF(COUNTIF(E$1228:E1260,F1261)&gt;0,"",F1261)</f>
        <v>Textile et habillement, France continentale, Base Carbone</v>
      </c>
      <c r="F1261" s="1051" t="str">
        <f t="shared" si="155"/>
        <v>Textile et habillement, France continentale, Base Carbone</v>
      </c>
      <c r="G1261" s="1055" t="str">
        <f t="shared" si="156"/>
        <v>Textile et habillement, France continentale, Base Carbone; kgCO2e/keuro</v>
      </c>
      <c r="I1261" s="1100" t="s">
        <v>1255</v>
      </c>
      <c r="J1261" s="1048" t="s">
        <v>2111</v>
      </c>
      <c r="K1261" s="1119" t="s">
        <v>1567</v>
      </c>
      <c r="L1261" s="1048" t="s">
        <v>1571</v>
      </c>
      <c r="M1261" s="1033">
        <v>0.8</v>
      </c>
      <c r="N1261" s="1048"/>
      <c r="O1261" s="1048">
        <v>600</v>
      </c>
      <c r="P1261" s="1048"/>
      <c r="Q1261" s="1048"/>
      <c r="R1261" s="1048"/>
      <c r="S1261" s="1048"/>
      <c r="T1261" s="1048"/>
      <c r="U1261" s="1102"/>
    </row>
    <row r="1262" spans="2:21" hidden="1" outlineLevel="1">
      <c r="B1262" s="1050">
        <v>34</v>
      </c>
      <c r="C1262" s="1050" t="str">
        <f t="shared" si="153"/>
        <v>Transport aérien, France continentale, Base Carbone</v>
      </c>
      <c r="D1262" s="1051">
        <f t="shared" si="154"/>
        <v>34</v>
      </c>
      <c r="E1262" s="1051" t="str">
        <f>IF(COUNTIF(E$1228:E1261,F1262)&gt;0,"",F1262)</f>
        <v>Transport aérien, France continentale, Base Carbone</v>
      </c>
      <c r="F1262" s="1051" t="str">
        <f t="shared" si="155"/>
        <v>Transport aérien, France continentale, Base Carbone</v>
      </c>
      <c r="G1262" s="1055" t="str">
        <f t="shared" si="156"/>
        <v>Transport aérien, France continentale, Base Carbone; kgCO2e/keuro</v>
      </c>
      <c r="I1262" s="1100" t="s">
        <v>1256</v>
      </c>
      <c r="J1262" s="1048" t="s">
        <v>2111</v>
      </c>
      <c r="K1262" s="1119" t="s">
        <v>1567</v>
      </c>
      <c r="L1262" s="1048" t="s">
        <v>1571</v>
      </c>
      <c r="M1262" s="1033">
        <v>0.8</v>
      </c>
      <c r="N1262" s="1048"/>
      <c r="O1262" s="1048">
        <v>1190</v>
      </c>
      <c r="P1262" s="1048"/>
      <c r="Q1262" s="1048"/>
      <c r="R1262" s="1048"/>
      <c r="S1262" s="1048"/>
      <c r="T1262" s="1048"/>
      <c r="U1262" s="1102"/>
    </row>
    <row r="1263" spans="2:21" hidden="1" outlineLevel="1">
      <c r="B1263" s="1050">
        <v>35</v>
      </c>
      <c r="C1263" s="1050" t="str">
        <f t="shared" si="153"/>
        <v>Transport fluvial et maritime, France continentale, Base Carbone</v>
      </c>
      <c r="D1263" s="1051">
        <f t="shared" si="154"/>
        <v>35</v>
      </c>
      <c r="E1263" s="1051" t="str">
        <f>IF(COUNTIF(E$1228:E1262,F1263)&gt;0,"",F1263)</f>
        <v>Transport fluvial et maritime, France continentale, Base Carbone</v>
      </c>
      <c r="F1263" s="1051" t="str">
        <f t="shared" si="155"/>
        <v>Transport fluvial et maritime, France continentale, Base Carbone</v>
      </c>
      <c r="G1263" s="1055" t="str">
        <f t="shared" si="156"/>
        <v>Transport fluvial et maritime, France continentale, Base Carbone; kgCO2e/keuro</v>
      </c>
      <c r="I1263" s="1100" t="s">
        <v>1257</v>
      </c>
      <c r="J1263" s="1048" t="s">
        <v>2111</v>
      </c>
      <c r="K1263" s="1119" t="s">
        <v>1567</v>
      </c>
      <c r="L1263" s="1048" t="s">
        <v>1571</v>
      </c>
      <c r="M1263" s="1033">
        <v>0.8</v>
      </c>
      <c r="N1263" s="1048"/>
      <c r="O1263" s="1048">
        <v>590</v>
      </c>
      <c r="P1263" s="1048"/>
      <c r="Q1263" s="1048"/>
      <c r="R1263" s="1048"/>
      <c r="S1263" s="1048"/>
      <c r="T1263" s="1048"/>
      <c r="U1263" s="1102"/>
    </row>
    <row r="1264" spans="2:21" hidden="1" outlineLevel="1">
      <c r="B1264" s="1050">
        <v>36</v>
      </c>
      <c r="C1264" s="1050" t="str">
        <f t="shared" si="153"/>
        <v>Transport terrestre, France continentale, Base Carbone</v>
      </c>
      <c r="D1264" s="1051">
        <f t="shared" si="154"/>
        <v>36</v>
      </c>
      <c r="E1264" s="1051" t="str">
        <f>IF(COUNTIF(E$1228:E1263,F1264)&gt;0,"",F1264)</f>
        <v>Transport terrestre, France continentale, Base Carbone</v>
      </c>
      <c r="F1264" s="1051" t="str">
        <f t="shared" si="155"/>
        <v>Transport terrestre, France continentale, Base Carbone</v>
      </c>
      <c r="G1264" s="1055" t="str">
        <f t="shared" si="156"/>
        <v>Transport terrestre, France continentale, Base Carbone; kgCO2e/keuro</v>
      </c>
      <c r="I1264" s="1100" t="s">
        <v>1258</v>
      </c>
      <c r="J1264" s="1048" t="s">
        <v>2111</v>
      </c>
      <c r="K1264" s="1119" t="s">
        <v>1567</v>
      </c>
      <c r="L1264" s="1048" t="s">
        <v>1571</v>
      </c>
      <c r="M1264" s="1033">
        <v>0.8</v>
      </c>
      <c r="N1264" s="1048"/>
      <c r="O1264" s="1048">
        <v>560</v>
      </c>
      <c r="P1264" s="1048"/>
      <c r="Q1264" s="1048"/>
      <c r="R1264" s="1048"/>
      <c r="S1264" s="1048"/>
      <c r="T1264" s="1048"/>
      <c r="U1264" s="1102"/>
    </row>
    <row r="1265" spans="2:21" hidden="1" outlineLevel="1">
      <c r="B1265" s="1050">
        <v>37</v>
      </c>
      <c r="C1265" s="1050" t="str">
        <f t="shared" si="153"/>
        <v>Maintenance multitechnique, France continentale, Base Carbone</v>
      </c>
      <c r="D1265" s="1051">
        <f t="shared" si="154"/>
        <v>37</v>
      </c>
      <c r="E1265" s="1051" t="str">
        <f>IF(COUNTIF(E$1228:E1264,F1265)&gt;0,"",F1265)</f>
        <v>Maintenance multitechnique, France continentale, Base Carbone</v>
      </c>
      <c r="F1265" s="1051" t="str">
        <f t="shared" si="155"/>
        <v>Maintenance multitechnique, France continentale, Base Carbone</v>
      </c>
      <c r="G1265" s="1055" t="str">
        <f t="shared" si="156"/>
        <v>Maintenance multitechnique, France continentale, Base Carbone; kgCO2e/keuro</v>
      </c>
      <c r="I1265" s="2018" t="s">
        <v>3772</v>
      </c>
      <c r="J1265" s="1135" t="s">
        <v>2111</v>
      </c>
      <c r="K1265" s="1119" t="s">
        <v>1567</v>
      </c>
      <c r="L1265" s="1135" t="s">
        <v>1571</v>
      </c>
      <c r="M1265" s="2062">
        <v>0.33</v>
      </c>
      <c r="N1265" s="1135"/>
      <c r="O1265" s="1135">
        <v>215</v>
      </c>
      <c r="P1265" s="1135"/>
      <c r="Q1265" s="1135"/>
      <c r="R1265" s="1135"/>
      <c r="S1265" s="1135"/>
      <c r="T1265" s="1135"/>
      <c r="U1265" s="2041"/>
    </row>
    <row r="1266" spans="2:21" hidden="1" outlineLevel="1">
      <c r="B1266" s="1050">
        <v>38</v>
      </c>
      <c r="C1266" s="1050" t="str">
        <f t="shared" si="153"/>
        <v>-</v>
      </c>
      <c r="D1266" s="1051">
        <f t="shared" si="154"/>
        <v>37</v>
      </c>
      <c r="E1266" s="1051" t="str">
        <f>IF(COUNTIF(E$1228:E1265,F1266)&gt;0,"",F1266)</f>
        <v/>
      </c>
      <c r="F1266" s="1051" t="str">
        <f t="shared" si="155"/>
        <v/>
      </c>
      <c r="G1266" s="1055" t="str">
        <f t="shared" si="156"/>
        <v/>
      </c>
      <c r="I1266" s="1100"/>
      <c r="J1266" s="1048"/>
      <c r="K1266" s="1048"/>
      <c r="L1266" s="1048"/>
      <c r="M1266" s="1048"/>
      <c r="N1266" s="1048"/>
      <c r="O1266" s="1048"/>
      <c r="P1266" s="1048"/>
      <c r="Q1266" s="1048"/>
      <c r="R1266" s="1048"/>
      <c r="S1266" s="1048"/>
      <c r="T1266" s="1048"/>
      <c r="U1266" s="1102"/>
    </row>
    <row r="1267" spans="2:21" hidden="1" outlineLevel="1">
      <c r="B1267" s="1050">
        <v>39</v>
      </c>
      <c r="C1267" s="1050" t="str">
        <f t="shared" si="153"/>
        <v>-</v>
      </c>
      <c r="D1267" s="1051">
        <f t="shared" si="154"/>
        <v>37</v>
      </c>
      <c r="E1267" s="1051" t="str">
        <f>IF(COUNTIF(E$1228:E1266,F1267)&gt;0,"",F1267)</f>
        <v/>
      </c>
      <c r="F1267" s="1051" t="str">
        <f t="shared" si="155"/>
        <v/>
      </c>
      <c r="G1267" s="1055" t="str">
        <f t="shared" si="156"/>
        <v/>
      </c>
      <c r="I1267" s="1100"/>
      <c r="J1267" s="1048"/>
      <c r="K1267" s="1048"/>
      <c r="L1267" s="1048"/>
      <c r="M1267" s="1048"/>
      <c r="N1267" s="1048"/>
      <c r="O1267" s="1048"/>
      <c r="P1267" s="1048"/>
      <c r="Q1267" s="1048"/>
      <c r="R1267" s="1048"/>
      <c r="S1267" s="1048"/>
      <c r="T1267" s="1048"/>
      <c r="U1267" s="1102"/>
    </row>
    <row r="1268" spans="2:21" hidden="1" outlineLevel="1">
      <c r="B1268" s="1050">
        <v>40</v>
      </c>
      <c r="C1268" s="1050" t="str">
        <f t="shared" si="153"/>
        <v>-</v>
      </c>
      <c r="D1268" s="1051">
        <f t="shared" si="154"/>
        <v>37</v>
      </c>
      <c r="E1268" s="1051" t="str">
        <f>IF(COUNTIF(E$1228:E1267,F1268)&gt;0,"",F1268)</f>
        <v/>
      </c>
      <c r="F1268" s="1051" t="str">
        <f t="shared" si="155"/>
        <v/>
      </c>
      <c r="G1268" s="1055" t="str">
        <f t="shared" si="156"/>
        <v/>
      </c>
      <c r="I1268" s="1103"/>
      <c r="J1268" s="1104"/>
      <c r="K1268" s="1104"/>
      <c r="L1268" s="1104"/>
      <c r="M1268" s="1104"/>
      <c r="N1268" s="1104"/>
      <c r="O1268" s="1104"/>
      <c r="P1268" s="1104"/>
      <c r="Q1268" s="1104"/>
      <c r="R1268" s="1104"/>
      <c r="S1268" s="1104"/>
      <c r="T1268" s="1104"/>
      <c r="U1268" s="1106"/>
    </row>
    <row r="1269" spans="2:21"/>
    <row r="1270" spans="2:21" ht="15.6" collapsed="1">
      <c r="I1270" s="3167" t="s">
        <v>2119</v>
      </c>
      <c r="J1270" s="3168"/>
      <c r="K1270" s="3168"/>
      <c r="L1270" s="3168"/>
      <c r="M1270" s="3168"/>
      <c r="N1270" s="3168"/>
      <c r="O1270" s="3168"/>
      <c r="P1270" s="3168"/>
      <c r="Q1270" s="3168"/>
      <c r="R1270" s="3168"/>
      <c r="S1270" s="3168"/>
      <c r="T1270" s="3168"/>
      <c r="U1270" s="3169"/>
    </row>
    <row r="1271" spans="2:21" hidden="1" outlineLevel="1">
      <c r="R1271" s="1083"/>
    </row>
    <row r="1272" spans="2:21" ht="12.75" hidden="1" customHeight="1" outlineLevel="1">
      <c r="B1272" s="3154" t="s">
        <v>1617</v>
      </c>
      <c r="C1272" s="3154"/>
      <c r="D1272" s="3157" t="s">
        <v>1619</v>
      </c>
      <c r="E1272" s="3157"/>
      <c r="F1272" s="1151" t="s">
        <v>1991</v>
      </c>
      <c r="G1272" s="1053" t="s">
        <v>1992</v>
      </c>
      <c r="H1272" s="1044"/>
      <c r="I1272" s="1107" t="s">
        <v>1557</v>
      </c>
      <c r="J1272" s="1108" t="s">
        <v>1266</v>
      </c>
      <c r="K1272" s="1109" t="s">
        <v>224</v>
      </c>
      <c r="L1272" s="1109" t="s">
        <v>1558</v>
      </c>
      <c r="M1272" s="1110" t="s">
        <v>366</v>
      </c>
      <c r="N1272" s="1108" t="s">
        <v>1559</v>
      </c>
      <c r="O1272" s="1111" t="s">
        <v>1560</v>
      </c>
      <c r="P1272" s="1109" t="s">
        <v>211</v>
      </c>
      <c r="Q1272" s="1109" t="s">
        <v>1561</v>
      </c>
      <c r="R1272" s="1111" t="s">
        <v>1562</v>
      </c>
      <c r="S1272" s="1111" t="s">
        <v>267</v>
      </c>
      <c r="T1272" s="1109" t="s">
        <v>1563</v>
      </c>
      <c r="U1272" s="1112" t="s">
        <v>1564</v>
      </c>
    </row>
    <row r="1273" spans="2:21" s="1045" customFormat="1" ht="12.75" hidden="1" customHeight="1" outlineLevel="1" collapsed="1">
      <c r="B1273" s="3156" t="s">
        <v>2120</v>
      </c>
      <c r="C1273" s="3156"/>
      <c r="D1273" s="1051">
        <v>0</v>
      </c>
      <c r="E1273" s="1051"/>
      <c r="F1273" s="1051"/>
      <c r="G1273" s="1054"/>
      <c r="H1273" s="1046"/>
      <c r="I1273" s="1688"/>
      <c r="J1273" s="1689"/>
      <c r="K1273" s="1690"/>
      <c r="L1273" s="1690"/>
      <c r="M1273" s="1691"/>
      <c r="N1273" s="1689"/>
      <c r="O1273" s="1692"/>
      <c r="P1273" s="1690"/>
      <c r="Q1273" s="1690"/>
      <c r="R1273" s="1692"/>
      <c r="S1273" s="1692"/>
      <c r="T1273" s="1690"/>
      <c r="U1273" s="1693"/>
    </row>
    <row r="1274" spans="2:21" hidden="1" outlineLevel="2">
      <c r="B1274" s="1050">
        <v>1</v>
      </c>
      <c r="C1274" s="1050" t="str">
        <f t="shared" ref="C1274:C1305" si="157">IF(ISNA(VLOOKUP(B1274,$D$1273:$E$1361,2,FALSE)),"-",VLOOKUP(B1274,$D$1273:$E$1361,2,FALSE))</f>
        <v>Alcool pur, France continentale, Base Carbone</v>
      </c>
      <c r="D1274" s="1051">
        <f>D1273+IF(LEN(E1274)&gt;0,1,0)</f>
        <v>1</v>
      </c>
      <c r="E1274" s="1051" t="str">
        <f>IF(COUNTIF(E$1273:E1273,F1274)&gt;0,"",F1274)</f>
        <v>Alcool pur, France continentale, Base Carbone</v>
      </c>
      <c r="F1274" s="1051" t="str">
        <f>IF(I1274&lt;&gt;"",I1274&amp;IF(N1274&lt;&gt;""," "&amp;N1274,)&amp;IF(L1274&lt;&gt;"",", "&amp;L1274,"")&amp;IF(K1274&lt;&gt;"",", "&amp;K1274,""),"")</f>
        <v>Alcool pur, France continentale, Base Carbone</v>
      </c>
      <c r="G1274" s="1055" t="str">
        <f>IF(F1274&lt;&gt;"",F1274&amp;IF(J1274&lt;&gt;"","; "&amp;J1274,""),"")</f>
        <v>Alcool pur, France continentale, Base Carbone; kgCO2e/kg de produit</v>
      </c>
      <c r="I1274" s="2018" t="s">
        <v>4273</v>
      </c>
      <c r="J1274" s="1135" t="s">
        <v>4654</v>
      </c>
      <c r="K1274" s="1119" t="s">
        <v>1567</v>
      </c>
      <c r="L1274" s="1135" t="s">
        <v>1571</v>
      </c>
      <c r="M1274" s="2038">
        <v>0.5</v>
      </c>
      <c r="N1274" s="1135"/>
      <c r="O1274" s="2340">
        <v>1.1499999999999999</v>
      </c>
      <c r="P1274" s="2350">
        <v>1.1499999999999999</v>
      </c>
      <c r="Q1274" s="1135"/>
      <c r="R1274" s="1135"/>
      <c r="S1274" s="1135"/>
      <c r="T1274" s="1135"/>
      <c r="U1274" s="2041"/>
    </row>
    <row r="1275" spans="2:21" hidden="1" outlineLevel="2">
      <c r="B1275" s="1050">
        <v>2</v>
      </c>
      <c r="C1275" s="1050" t="str">
        <f t="shared" si="157"/>
        <v>Apéritif à base de vin ou vermouth, France continentale, Base Carbone</v>
      </c>
      <c r="D1275" s="1051">
        <f>D1274+IF(LEN(E1275)&gt;0,1,0)</f>
        <v>2</v>
      </c>
      <c r="E1275" s="1051" t="str">
        <f>IF(COUNTIF(E$1273:E1274,F1275)&gt;0,"",F1275)</f>
        <v>Apéritif à base de vin ou vermouth, France continentale, Base Carbone</v>
      </c>
      <c r="F1275" s="1051" t="str">
        <f t="shared" ref="F1275:F1325" si="158">IF(I1275&lt;&gt;"",I1275&amp;IF(N1275&lt;&gt;""," "&amp;N1275,)&amp;IF(L1275&lt;&gt;"",", "&amp;L1275,"")&amp;IF(K1275&lt;&gt;"",", "&amp;K1275,""),"")</f>
        <v>Apéritif à base de vin ou vermouth, France continentale, Base Carbone</v>
      </c>
      <c r="G1275" s="1055" t="str">
        <f t="shared" ref="G1275:G1325" si="159">IF(F1275&lt;&gt;"",F1275&amp;IF(J1275&lt;&gt;"","; "&amp;J1275,""),"")</f>
        <v>Apéritif à base de vin ou vermouth, France continentale, Base Carbone; kgCO2e/kg de produit</v>
      </c>
      <c r="I1275" s="2018" t="s">
        <v>4274</v>
      </c>
      <c r="J1275" s="1135" t="s">
        <v>4654</v>
      </c>
      <c r="K1275" s="1119" t="s">
        <v>1567</v>
      </c>
      <c r="L1275" s="1135" t="s">
        <v>1571</v>
      </c>
      <c r="M1275" s="2038">
        <v>0.5</v>
      </c>
      <c r="N1275" s="1135"/>
      <c r="O1275" s="2340">
        <v>1.0505230000000001</v>
      </c>
      <c r="P1275" s="2350">
        <v>1.0505230000000001</v>
      </c>
      <c r="Q1275" s="1135"/>
      <c r="R1275" s="1135"/>
      <c r="S1275" s="1135"/>
      <c r="T1275" s="1135"/>
      <c r="U1275" s="2041"/>
    </row>
    <row r="1276" spans="2:21" hidden="1" outlineLevel="2">
      <c r="B1276" s="1050">
        <v>3</v>
      </c>
      <c r="C1276" s="1050" t="str">
        <f t="shared" si="157"/>
        <v>Bière "coeur de marché" (4-5° alcool), France continentale, Base Carbone</v>
      </c>
      <c r="D1276" s="1051">
        <f t="shared" ref="D1276:D1325" si="160">D1275+IF(LEN(E1276)&gt;0,1,0)</f>
        <v>3</v>
      </c>
      <c r="E1276" s="1051" t="str">
        <f>IF(COUNTIF(E$1273:E1275,F1276)&gt;0,"",F1276)</f>
        <v>Bière "coeur de marché" (4-5° alcool), France continentale, Base Carbone</v>
      </c>
      <c r="F1276" s="1051" t="str">
        <f t="shared" si="158"/>
        <v>Bière "coeur de marché" (4-5° alcool), France continentale, Base Carbone</v>
      </c>
      <c r="G1276" s="1055" t="str">
        <f t="shared" si="159"/>
        <v>Bière "coeur de marché" (4-5° alcool), France continentale, Base Carbone; kgCO2e/kg de produit</v>
      </c>
      <c r="I1276" s="2018" t="s">
        <v>4296</v>
      </c>
      <c r="J1276" s="1135" t="s">
        <v>4654</v>
      </c>
      <c r="K1276" s="1119" t="s">
        <v>1567</v>
      </c>
      <c r="L1276" s="1135" t="s">
        <v>1571</v>
      </c>
      <c r="M1276" s="2038">
        <v>0.5</v>
      </c>
      <c r="N1276" s="1135"/>
      <c r="O1276" s="2340">
        <v>1.0944464</v>
      </c>
      <c r="P1276" s="2350">
        <v>1.0944464</v>
      </c>
      <c r="Q1276" s="1135"/>
      <c r="R1276" s="1135"/>
      <c r="S1276" s="1135"/>
      <c r="T1276" s="1135"/>
      <c r="U1276" s="2041"/>
    </row>
    <row r="1277" spans="2:21" hidden="1" outlineLevel="2">
      <c r="B1277" s="1050">
        <v>4</v>
      </c>
      <c r="C1277" s="1050" t="str">
        <f t="shared" si="157"/>
        <v>Boisson à base d'avoine, nature, France continentale, Base Carbone</v>
      </c>
      <c r="D1277" s="1051">
        <f t="shared" si="160"/>
        <v>4</v>
      </c>
      <c r="E1277" s="1051" t="str">
        <f>IF(COUNTIF(E$1273:E1276,F1277)&gt;0,"",F1277)</f>
        <v>Boisson à base d'avoine, nature, France continentale, Base Carbone</v>
      </c>
      <c r="F1277" s="1051" t="str">
        <f t="shared" si="158"/>
        <v>Boisson à base d'avoine, nature, France continentale, Base Carbone</v>
      </c>
      <c r="G1277" s="1055" t="str">
        <f t="shared" si="159"/>
        <v>Boisson à base d'avoine, nature, France continentale, Base Carbone; kgCO2e/kg de produit</v>
      </c>
      <c r="I1277" s="2018" t="s">
        <v>4297</v>
      </c>
      <c r="J1277" s="1135" t="s">
        <v>4654</v>
      </c>
      <c r="K1277" s="1119" t="s">
        <v>1567</v>
      </c>
      <c r="L1277" s="1135" t="s">
        <v>1571</v>
      </c>
      <c r="M1277" s="2038">
        <v>0.5</v>
      </c>
      <c r="N1277" s="1135"/>
      <c r="O1277" s="2340">
        <v>0.36399999999999999</v>
      </c>
      <c r="P1277" s="2350">
        <v>0.36</v>
      </c>
      <c r="Q1277" s="1135"/>
      <c r="R1277" s="1135"/>
      <c r="S1277" s="1135"/>
      <c r="T1277" s="1135"/>
      <c r="U1277" s="2041"/>
    </row>
    <row r="1278" spans="2:21" hidden="1" outlineLevel="2">
      <c r="B1278" s="1050">
        <v>5</v>
      </c>
      <c r="C1278" s="1050" t="str">
        <f t="shared" si="157"/>
        <v>Boisson à base de riz, nature, France continentale, Base Carbone</v>
      </c>
      <c r="D1278" s="1051">
        <f t="shared" si="160"/>
        <v>5</v>
      </c>
      <c r="E1278" s="1051" t="str">
        <f>IF(COUNTIF(E$1273:E1277,F1278)&gt;0,"",F1278)</f>
        <v>Boisson à base de riz, nature, France continentale, Base Carbone</v>
      </c>
      <c r="F1278" s="1051" t="str">
        <f t="shared" si="158"/>
        <v>Boisson à base de riz, nature, France continentale, Base Carbone</v>
      </c>
      <c r="G1278" s="1055" t="str">
        <f t="shared" si="159"/>
        <v>Boisson à base de riz, nature, France continentale, Base Carbone; kgCO2e/kg de produit</v>
      </c>
      <c r="I1278" s="2018" t="s">
        <v>4298</v>
      </c>
      <c r="J1278" s="1135" t="s">
        <v>4654</v>
      </c>
      <c r="K1278" s="1119" t="s">
        <v>1567</v>
      </c>
      <c r="L1278" s="1135" t="s">
        <v>1571</v>
      </c>
      <c r="M1278" s="2038">
        <v>0.5</v>
      </c>
      <c r="N1278" s="1135"/>
      <c r="O1278" s="2340">
        <v>1.0757049999999999</v>
      </c>
      <c r="P1278" s="2350">
        <v>1.0757049999999999</v>
      </c>
      <c r="Q1278" s="1135"/>
      <c r="R1278" s="1135"/>
      <c r="S1278" s="1135"/>
      <c r="T1278" s="1135"/>
      <c r="U1278" s="2041"/>
    </row>
    <row r="1279" spans="2:21" hidden="1" outlineLevel="2">
      <c r="B1279" s="1050">
        <v>6</v>
      </c>
      <c r="C1279" s="1050" t="str">
        <f t="shared" si="157"/>
        <v>Boisson à l'amande, France continentale, Base Carbone</v>
      </c>
      <c r="D1279" s="1051">
        <f t="shared" si="160"/>
        <v>6</v>
      </c>
      <c r="E1279" s="1051" t="str">
        <f>IF(COUNTIF(E$1273:E1278,F1279)&gt;0,"",F1279)</f>
        <v>Boisson à l'amande, France continentale, Base Carbone</v>
      </c>
      <c r="F1279" s="1051" t="str">
        <f t="shared" si="158"/>
        <v>Boisson à l'amande, France continentale, Base Carbone</v>
      </c>
      <c r="G1279" s="1055" t="str">
        <f t="shared" si="159"/>
        <v>Boisson à l'amande, France continentale, Base Carbone; kgCO2e/kg de produit</v>
      </c>
      <c r="I1279" s="2018" t="s">
        <v>4275</v>
      </c>
      <c r="J1279" s="1135" t="s">
        <v>4654</v>
      </c>
      <c r="K1279" s="1119" t="s">
        <v>1567</v>
      </c>
      <c r="L1279" s="1135" t="s">
        <v>1571</v>
      </c>
      <c r="M1279" s="2038">
        <v>0.5</v>
      </c>
      <c r="N1279" s="1135"/>
      <c r="O1279" s="2340">
        <v>1.0757049999999999</v>
      </c>
      <c r="P1279" s="2350">
        <v>1.0757049999999999</v>
      </c>
      <c r="Q1279" s="1135"/>
      <c r="R1279" s="1135"/>
      <c r="S1279" s="1135"/>
      <c r="T1279" s="1135"/>
      <c r="U1279" s="2041"/>
    </row>
    <row r="1280" spans="2:21" hidden="1" outlineLevel="2">
      <c r="B1280" s="1050">
        <v>7</v>
      </c>
      <c r="C1280" s="1050" t="str">
        <f t="shared" si="157"/>
        <v>Boisson à l'eau minérale ou de source, aromatisée, sucrée, France continentale, Base Carbone</v>
      </c>
      <c r="D1280" s="1051">
        <f t="shared" si="160"/>
        <v>7</v>
      </c>
      <c r="E1280" s="1051" t="str">
        <f>IF(COUNTIF(E$1273:E1279,F1280)&gt;0,"",F1280)</f>
        <v>Boisson à l'eau minérale ou de source, aromatisée, sucrée, France continentale, Base Carbone</v>
      </c>
      <c r="F1280" s="1051" t="str">
        <f t="shared" si="158"/>
        <v>Boisson à l'eau minérale ou de source, aromatisée, sucrée, France continentale, Base Carbone</v>
      </c>
      <c r="G1280" s="1055" t="str">
        <f t="shared" si="159"/>
        <v>Boisson à l'eau minérale ou de source, aromatisée, sucrée, France continentale, Base Carbone; kgCO2e/kg de produit</v>
      </c>
      <c r="I1280" s="2018" t="s">
        <v>4299</v>
      </c>
      <c r="J1280" s="1135" t="s">
        <v>4654</v>
      </c>
      <c r="K1280" s="1119" t="s">
        <v>1567</v>
      </c>
      <c r="L1280" s="1135" t="s">
        <v>1571</v>
      </c>
      <c r="M1280" s="2038">
        <v>0.5</v>
      </c>
      <c r="N1280" s="1135"/>
      <c r="O1280" s="2340">
        <v>0.40200000000000002</v>
      </c>
      <c r="P1280" s="2350">
        <v>0.40200000000000002</v>
      </c>
      <c r="Q1280" s="1135"/>
      <c r="R1280" s="1135"/>
      <c r="S1280" s="1135"/>
      <c r="T1280" s="1135"/>
      <c r="U1280" s="2041"/>
    </row>
    <row r="1281" spans="2:21" hidden="1" outlineLevel="2">
      <c r="B1281" s="1050">
        <v>8</v>
      </c>
      <c r="C1281" s="1050" t="str">
        <f t="shared" si="157"/>
        <v>Boisson au jus de fruit et au lait, France continentale, Base Carbone</v>
      </c>
      <c r="D1281" s="1051">
        <f t="shared" si="160"/>
        <v>8</v>
      </c>
      <c r="E1281" s="1051" t="str">
        <f>IF(COUNTIF(E$1273:E1280,F1281)&gt;0,"",F1281)</f>
        <v>Boisson au jus de fruit et au lait, France continentale, Base Carbone</v>
      </c>
      <c r="F1281" s="1051" t="str">
        <f t="shared" si="158"/>
        <v>Boisson au jus de fruit et au lait, France continentale, Base Carbone</v>
      </c>
      <c r="G1281" s="1055" t="str">
        <f t="shared" si="159"/>
        <v>Boisson au jus de fruit et au lait, France continentale, Base Carbone; kgCO2e/kg de produit</v>
      </c>
      <c r="I1281" s="2018" t="s">
        <v>4276</v>
      </c>
      <c r="J1281" s="1135" t="s">
        <v>4654</v>
      </c>
      <c r="K1281" s="1119" t="s">
        <v>1567</v>
      </c>
      <c r="L1281" s="1135" t="s">
        <v>1571</v>
      </c>
      <c r="M1281" s="2038">
        <v>0.5</v>
      </c>
      <c r="N1281" s="1135"/>
      <c r="O1281" s="2340">
        <v>0.85099999999999998</v>
      </c>
      <c r="P1281" s="2350">
        <v>0.85099999999999998</v>
      </c>
      <c r="Q1281" s="1135"/>
      <c r="R1281" s="1135"/>
      <c r="S1281" s="1135"/>
      <c r="T1281" s="1135"/>
      <c r="U1281" s="2041"/>
    </row>
    <row r="1282" spans="2:21" hidden="1" outlineLevel="2">
      <c r="B1282" s="1050">
        <v>9</v>
      </c>
      <c r="C1282" s="1050" t="str">
        <f t="shared" si="157"/>
        <v>Boisson au soja, nature, France continentale, Base Carbone</v>
      </c>
      <c r="D1282" s="1051">
        <f t="shared" si="160"/>
        <v>9</v>
      </c>
      <c r="E1282" s="1051" t="str">
        <f>IF(COUNTIF(E$1273:E1281,F1282)&gt;0,"",F1282)</f>
        <v>Boisson au soja, nature, France continentale, Base Carbone</v>
      </c>
      <c r="F1282" s="1051" t="str">
        <f t="shared" si="158"/>
        <v>Boisson au soja, nature, France continentale, Base Carbone</v>
      </c>
      <c r="G1282" s="1055" t="str">
        <f t="shared" si="159"/>
        <v>Boisson au soja, nature, France continentale, Base Carbone; kgCO2e/kg de produit</v>
      </c>
      <c r="I1282" s="2018" t="s">
        <v>4300</v>
      </c>
      <c r="J1282" s="1135" t="s">
        <v>4654</v>
      </c>
      <c r="K1282" s="1119" t="s">
        <v>1567</v>
      </c>
      <c r="L1282" s="1135" t="s">
        <v>1571</v>
      </c>
      <c r="M1282" s="2038">
        <v>0.5</v>
      </c>
      <c r="N1282" s="1135"/>
      <c r="O1282" s="2340">
        <v>0.41699999999999998</v>
      </c>
      <c r="P1282" s="2350">
        <v>0.41699999999999998</v>
      </c>
      <c r="Q1282" s="1135"/>
      <c r="R1282" s="1135"/>
      <c r="S1282" s="1135"/>
      <c r="T1282" s="1135"/>
      <c r="U1282" s="2041"/>
    </row>
    <row r="1283" spans="2:21" hidden="1" outlineLevel="2">
      <c r="B1283" s="1050">
        <v>10</v>
      </c>
      <c r="C1283" s="1050" t="str">
        <f t="shared" si="157"/>
        <v>Boisson au thé, aromatisée, sucrée, France continentale, Base Carbone</v>
      </c>
      <c r="D1283" s="1051">
        <f t="shared" si="160"/>
        <v>10</v>
      </c>
      <c r="E1283" s="1051" t="str">
        <f>IF(COUNTIF(E$1273:E1282,F1283)&gt;0,"",F1283)</f>
        <v>Boisson au thé, aromatisée, sucrée, France continentale, Base Carbone</v>
      </c>
      <c r="F1283" s="1051" t="str">
        <f t="shared" si="158"/>
        <v>Boisson au thé, aromatisée, sucrée, France continentale, Base Carbone</v>
      </c>
      <c r="G1283" s="1055" t="str">
        <f t="shared" si="159"/>
        <v>Boisson au thé, aromatisée, sucrée, France continentale, Base Carbone; kgCO2e/kg de produit</v>
      </c>
      <c r="I1283" s="2018" t="s">
        <v>4301</v>
      </c>
      <c r="J1283" s="1135" t="s">
        <v>4654</v>
      </c>
      <c r="K1283" s="1119" t="s">
        <v>1567</v>
      </c>
      <c r="L1283" s="1135" t="s">
        <v>1571</v>
      </c>
      <c r="M1283" s="2038">
        <v>0.5</v>
      </c>
      <c r="N1283" s="1135"/>
      <c r="O1283" s="2340">
        <v>0.61199999999999999</v>
      </c>
      <c r="P1283" s="2350">
        <v>0.61199999999999999</v>
      </c>
      <c r="Q1283" s="1135"/>
      <c r="R1283" s="1135"/>
      <c r="S1283" s="1135"/>
      <c r="T1283" s="1135"/>
      <c r="U1283" s="2041"/>
    </row>
    <row r="1284" spans="2:21" hidden="1" outlineLevel="2">
      <c r="B1284" s="1050">
        <v>11</v>
      </c>
      <c r="C1284" s="1050" t="str">
        <f t="shared" si="157"/>
        <v>Boisson cacaotée ou au chocolat, instantanée, sucrée, prête à boire (reconstituée avec du lait demi-écrémé standard), France continentale, Base Carbone</v>
      </c>
      <c r="D1284" s="1051">
        <f t="shared" si="160"/>
        <v>11</v>
      </c>
      <c r="E1284" s="1051" t="str">
        <f>IF(COUNTIF(E$1273:E1283,F1284)&gt;0,"",F1284)</f>
        <v>Boisson cacaotée ou au chocolat, instantanée, sucrée, prête à boire (reconstituée avec du lait demi-écrémé standard), France continentale, Base Carbone</v>
      </c>
      <c r="F1284" s="1051" t="str">
        <f t="shared" si="158"/>
        <v>Boisson cacaotée ou au chocolat, instantanée, sucrée, prête à boire (reconstituée avec du lait demi-écrémé standard), France continentale, Base Carbone</v>
      </c>
      <c r="G1284" s="1055" t="str">
        <f t="shared" si="159"/>
        <v>Boisson cacaotée ou au chocolat, instantanée, sucrée, prête à boire (reconstituée avec du lait demi-écrémé standard), France continentale, Base Carbone; kgCO2e/kg de produit</v>
      </c>
      <c r="I1284" s="2018" t="s">
        <v>4302</v>
      </c>
      <c r="J1284" s="1135" t="s">
        <v>4654</v>
      </c>
      <c r="K1284" s="1119" t="s">
        <v>1567</v>
      </c>
      <c r="L1284" s="1135" t="s">
        <v>1571</v>
      </c>
      <c r="M1284" s="2038">
        <v>0.5</v>
      </c>
      <c r="N1284" s="1135"/>
      <c r="O1284" s="2340">
        <v>1.5443846999999999</v>
      </c>
      <c r="P1284" s="2350">
        <v>1.5443846999999999</v>
      </c>
      <c r="Q1284" s="1135"/>
      <c r="R1284" s="1135"/>
      <c r="S1284" s="1135"/>
      <c r="T1284" s="1135"/>
      <c r="U1284" s="2041"/>
    </row>
    <row r="1285" spans="2:21" hidden="1" outlineLevel="2">
      <c r="B1285" s="1050">
        <v>12</v>
      </c>
      <c r="C1285" s="1050" t="str">
        <f t="shared" si="157"/>
        <v>Boisson énergisante, non sucrée, avec édulcorants, France continentale, Base Carbone</v>
      </c>
      <c r="D1285" s="1051">
        <f t="shared" si="160"/>
        <v>12</v>
      </c>
      <c r="E1285" s="1051" t="str">
        <f>IF(COUNTIF(E$1273:E1284,F1285)&gt;0,"",F1285)</f>
        <v>Boisson énergisante, non sucrée, avec édulcorants, France continentale, Base Carbone</v>
      </c>
      <c r="F1285" s="1051" t="str">
        <f t="shared" si="158"/>
        <v>Boisson énergisante, non sucrée, avec édulcorants, France continentale, Base Carbone</v>
      </c>
      <c r="G1285" s="1055" t="str">
        <f t="shared" si="159"/>
        <v>Boisson énergisante, non sucrée, avec édulcorants, France continentale, Base Carbone; kgCO2e/kg de produit</v>
      </c>
      <c r="I1285" s="2018" t="s">
        <v>4303</v>
      </c>
      <c r="J1285" s="1135" t="s">
        <v>4654</v>
      </c>
      <c r="K1285" s="1119" t="s">
        <v>1567</v>
      </c>
      <c r="L1285" s="1135" t="s">
        <v>1571</v>
      </c>
      <c r="M1285" s="2038">
        <v>0.5</v>
      </c>
      <c r="N1285" s="1135"/>
      <c r="O1285" s="2340">
        <v>0.51040286999999995</v>
      </c>
      <c r="P1285" s="2350">
        <v>0.51040286999999995</v>
      </c>
      <c r="Q1285" s="1135"/>
      <c r="R1285" s="1135"/>
      <c r="S1285" s="1135"/>
      <c r="T1285" s="1135"/>
      <c r="U1285" s="2041"/>
    </row>
    <row r="1286" spans="2:21" hidden="1" outlineLevel="2">
      <c r="B1286" s="1050">
        <v>13</v>
      </c>
      <c r="C1286" s="1050" t="str">
        <f t="shared" si="157"/>
        <v>Boisson gazeuse aux fruits (à moins de 10% de jus), sucrée, France continentale, Base Carbone</v>
      </c>
      <c r="D1286" s="1051">
        <f t="shared" si="160"/>
        <v>13</v>
      </c>
      <c r="E1286" s="1051" t="str">
        <f>IF(COUNTIF(E$1273:E1285,F1286)&gt;0,"",F1286)</f>
        <v>Boisson gazeuse aux fruits (à moins de 10% de jus), sucrée, France continentale, Base Carbone</v>
      </c>
      <c r="F1286" s="1051" t="str">
        <f t="shared" si="158"/>
        <v>Boisson gazeuse aux fruits (à moins de 10% de jus), sucrée, France continentale, Base Carbone</v>
      </c>
      <c r="G1286" s="1055" t="str">
        <f t="shared" si="159"/>
        <v>Boisson gazeuse aux fruits (à moins de 10% de jus), sucrée, France continentale, Base Carbone; kgCO2e/kg de produit</v>
      </c>
      <c r="I1286" s="2018" t="s">
        <v>4304</v>
      </c>
      <c r="J1286" s="1135" t="s">
        <v>4654</v>
      </c>
      <c r="K1286" s="1119" t="s">
        <v>1567</v>
      </c>
      <c r="L1286" s="1135" t="s">
        <v>1571</v>
      </c>
      <c r="M1286" s="2038">
        <v>0.5</v>
      </c>
      <c r="N1286" s="1135"/>
      <c r="O1286" s="2340">
        <v>0.45116476999999999</v>
      </c>
      <c r="P1286" s="2350">
        <v>0.45116476999999999</v>
      </c>
      <c r="Q1286" s="1135"/>
      <c r="R1286" s="1135"/>
      <c r="S1286" s="1135"/>
      <c r="T1286" s="1135"/>
      <c r="U1286" s="2041"/>
    </row>
    <row r="1287" spans="2:21" hidden="1" outlineLevel="2">
      <c r="B1287" s="1050">
        <v>14</v>
      </c>
      <c r="C1287" s="1050" t="str">
        <f t="shared" si="157"/>
        <v>Boisson gazeuse, sans jus de fruit, à teneur réduite en sucres, France continentale, Base Carbone</v>
      </c>
      <c r="D1287" s="1051">
        <f t="shared" si="160"/>
        <v>14</v>
      </c>
      <c r="E1287" s="1051" t="str">
        <f>IF(COUNTIF(E$1273:E1286,F1287)&gt;0,"",F1287)</f>
        <v>Boisson gazeuse, sans jus de fruit, à teneur réduite en sucres, France continentale, Base Carbone</v>
      </c>
      <c r="F1287" s="1051" t="str">
        <f t="shared" si="158"/>
        <v>Boisson gazeuse, sans jus de fruit, à teneur réduite en sucres, France continentale, Base Carbone</v>
      </c>
      <c r="G1287" s="1055" t="str">
        <f t="shared" si="159"/>
        <v>Boisson gazeuse, sans jus de fruit, à teneur réduite en sucres, France continentale, Base Carbone; kgCO2e/kg de produit</v>
      </c>
      <c r="I1287" s="2018" t="s">
        <v>4305</v>
      </c>
      <c r="J1287" s="1135" t="s">
        <v>4654</v>
      </c>
      <c r="K1287" s="1119" t="s">
        <v>1567</v>
      </c>
      <c r="L1287" s="1135" t="s">
        <v>1571</v>
      </c>
      <c r="M1287" s="2038">
        <v>0.5</v>
      </c>
      <c r="N1287" s="1135"/>
      <c r="O1287" s="2340">
        <v>0.57199999999999995</v>
      </c>
      <c r="P1287" s="2350">
        <v>0.57199999999999995</v>
      </c>
      <c r="Q1287" s="1135"/>
      <c r="R1287" s="1135"/>
      <c r="S1287" s="1135"/>
      <c r="T1287" s="1135"/>
      <c r="U1287" s="2041"/>
    </row>
    <row r="1288" spans="2:21" hidden="1" outlineLevel="2">
      <c r="B1288" s="1050">
        <v>15</v>
      </c>
      <c r="C1288" s="1050" t="str">
        <f t="shared" si="157"/>
        <v>Boisson lactée aromatisée à la fraise, sucrée, au lait partiellement écrémé, enrichie à la vitamine D, France continentale, Base Carbone</v>
      </c>
      <c r="D1288" s="1051">
        <f t="shared" si="160"/>
        <v>15</v>
      </c>
      <c r="E1288" s="1051" t="str">
        <f>IF(COUNTIF(E$1273:E1287,F1288)&gt;0,"",F1288)</f>
        <v>Boisson lactée aromatisée à la fraise, sucrée, au lait partiellement écrémé, enrichie à la vitamine D, France continentale, Base Carbone</v>
      </c>
      <c r="F1288" s="1051" t="str">
        <f t="shared" si="158"/>
        <v>Boisson lactée aromatisée à la fraise, sucrée, au lait partiellement écrémé, enrichie à la vitamine D, France continentale, Base Carbone</v>
      </c>
      <c r="G1288" s="1055" t="str">
        <f t="shared" si="159"/>
        <v>Boisson lactée aromatisée à la fraise, sucrée, au lait partiellement écrémé, enrichie à la vitamine D, France continentale, Base Carbone; kgCO2e/kg de produit</v>
      </c>
      <c r="I1288" s="2018" t="s">
        <v>4306</v>
      </c>
      <c r="J1288" s="1135" t="s">
        <v>4654</v>
      </c>
      <c r="K1288" s="1119" t="s">
        <v>1567</v>
      </c>
      <c r="L1288" s="1135" t="s">
        <v>1571</v>
      </c>
      <c r="M1288" s="2038">
        <v>0.5</v>
      </c>
      <c r="N1288" s="1135"/>
      <c r="O1288" s="2340">
        <v>1.6426240000000001</v>
      </c>
      <c r="P1288" s="2350">
        <v>1.6426240000000001</v>
      </c>
      <c r="Q1288" s="1135"/>
      <c r="R1288" s="1135"/>
      <c r="S1288" s="1135"/>
      <c r="T1288" s="1135"/>
      <c r="U1288" s="2041"/>
    </row>
    <row r="1289" spans="2:21" hidden="1" outlineLevel="2">
      <c r="B1289" s="1050">
        <v>16</v>
      </c>
      <c r="C1289" s="1050" t="str">
        <f t="shared" si="157"/>
        <v>Boisson plate aux fruits (10 à 50% de jus), à teneur réduite en sucres, France continentale, Base Carbone</v>
      </c>
      <c r="D1289" s="1051">
        <f t="shared" si="160"/>
        <v>16</v>
      </c>
      <c r="E1289" s="1051" t="str">
        <f>IF(COUNTIF(E$1273:E1288,F1289)&gt;0,"",F1289)</f>
        <v>Boisson plate aux fruits (10 à 50% de jus), à teneur réduite en sucres, France continentale, Base Carbone</v>
      </c>
      <c r="F1289" s="1051" t="str">
        <f t="shared" si="158"/>
        <v>Boisson plate aux fruits (10 à 50% de jus), à teneur réduite en sucres, France continentale, Base Carbone</v>
      </c>
      <c r="G1289" s="1055" t="str">
        <f t="shared" si="159"/>
        <v>Boisson plate aux fruits (10 à 50% de jus), à teneur réduite en sucres, France continentale, Base Carbone; kgCO2e/kg de produit</v>
      </c>
      <c r="I1289" s="2018" t="s">
        <v>4307</v>
      </c>
      <c r="J1289" s="1135" t="s">
        <v>4654</v>
      </c>
      <c r="K1289" s="1119" t="s">
        <v>1567</v>
      </c>
      <c r="L1289" s="1135" t="s">
        <v>1571</v>
      </c>
      <c r="M1289" s="2038">
        <v>0.5</v>
      </c>
      <c r="N1289" s="1135"/>
      <c r="O1289" s="2340">
        <v>0.60899999999999999</v>
      </c>
      <c r="P1289" s="2350">
        <v>0.60899999999999999</v>
      </c>
      <c r="Q1289" s="1135"/>
      <c r="R1289" s="1135"/>
      <c r="S1289" s="1135"/>
      <c r="T1289" s="1135"/>
      <c r="U1289" s="2041"/>
    </row>
    <row r="1290" spans="2:21" hidden="1" outlineLevel="2">
      <c r="B1290" s="1050">
        <v>17</v>
      </c>
      <c r="C1290" s="1050" t="str">
        <f t="shared" si="157"/>
        <v>Boisson préparée à partir de sirop à diluer type menthe, fraise, etc, sucré, dilué dans l'eau, France continentale, Base Carbone</v>
      </c>
      <c r="D1290" s="1051">
        <f t="shared" si="160"/>
        <v>17</v>
      </c>
      <c r="E1290" s="1051" t="str">
        <f>IF(COUNTIF(E$1273:E1289,F1290)&gt;0,"",F1290)</f>
        <v>Boisson préparée à partir de sirop à diluer type menthe, fraise, etc, sucré, dilué dans l'eau, France continentale, Base Carbone</v>
      </c>
      <c r="F1290" s="1051" t="str">
        <f t="shared" si="158"/>
        <v>Boisson préparée à partir de sirop à diluer type menthe, fraise, etc, sucré, dilué dans l'eau, France continentale, Base Carbone</v>
      </c>
      <c r="G1290" s="1055" t="str">
        <f t="shared" si="159"/>
        <v>Boisson préparée à partir de sirop à diluer type menthe, fraise, etc, sucré, dilué dans l'eau, France continentale, Base Carbone; kgCO2e/kg de produit</v>
      </c>
      <c r="I1290" s="2018" t="s">
        <v>4308</v>
      </c>
      <c r="J1290" s="1135" t="s">
        <v>4654</v>
      </c>
      <c r="K1290" s="1119" t="s">
        <v>1567</v>
      </c>
      <c r="L1290" s="1135" t="s">
        <v>1571</v>
      </c>
      <c r="M1290" s="2038">
        <v>0.5</v>
      </c>
      <c r="N1290" s="1135"/>
      <c r="O1290" s="2340">
        <v>0.113</v>
      </c>
      <c r="P1290" s="2350">
        <v>0.113</v>
      </c>
      <c r="Q1290" s="1135"/>
      <c r="R1290" s="1135"/>
      <c r="S1290" s="1135"/>
      <c r="T1290" s="1135"/>
      <c r="U1290" s="2041"/>
    </row>
    <row r="1291" spans="2:21" hidden="1" outlineLevel="2">
      <c r="B1291" s="1050">
        <v>18</v>
      </c>
      <c r="C1291" s="1050" t="str">
        <f t="shared" si="157"/>
        <v>Cacao, non sucré, poudre soluble, France continentale, Base Carbone</v>
      </c>
      <c r="D1291" s="1051">
        <f t="shared" si="160"/>
        <v>18</v>
      </c>
      <c r="E1291" s="1051" t="str">
        <f>IF(COUNTIF(E$1273:E1290,F1291)&gt;0,"",F1291)</f>
        <v>Cacao, non sucré, poudre soluble, France continentale, Base Carbone</v>
      </c>
      <c r="F1291" s="1051" t="str">
        <f t="shared" si="158"/>
        <v>Cacao, non sucré, poudre soluble, France continentale, Base Carbone</v>
      </c>
      <c r="G1291" s="1055" t="str">
        <f t="shared" si="159"/>
        <v>Cacao, non sucré, poudre soluble, France continentale, Base Carbone; kgCO2e/kg de produit</v>
      </c>
      <c r="I1291" s="2018" t="s">
        <v>4309</v>
      </c>
      <c r="J1291" s="1135" t="s">
        <v>4654</v>
      </c>
      <c r="K1291" s="1119" t="s">
        <v>1567</v>
      </c>
      <c r="L1291" s="1135" t="s">
        <v>1571</v>
      </c>
      <c r="M1291" s="2038">
        <v>0.5</v>
      </c>
      <c r="N1291" s="1135"/>
      <c r="O1291" s="2340">
        <v>26.4</v>
      </c>
      <c r="P1291" s="2350">
        <v>26.4</v>
      </c>
      <c r="Q1291" s="1135"/>
      <c r="R1291" s="1135"/>
      <c r="S1291" s="1135"/>
      <c r="T1291" s="1135"/>
      <c r="U1291" s="2041"/>
    </row>
    <row r="1292" spans="2:21" hidden="1" outlineLevel="2">
      <c r="B1292" s="1050">
        <v>19</v>
      </c>
      <c r="C1292" s="1050" t="str">
        <f t="shared" si="157"/>
        <v>Café au lait ou cappuccino au chocolat, poudre soluble, France continentale, Base Carbone</v>
      </c>
      <c r="D1292" s="1051">
        <f t="shared" si="160"/>
        <v>19</v>
      </c>
      <c r="E1292" s="1051" t="str">
        <f>IF(COUNTIF(E$1273:E1291,F1292)&gt;0,"",F1292)</f>
        <v>Café au lait ou cappuccino au chocolat, poudre soluble, France continentale, Base Carbone</v>
      </c>
      <c r="F1292" s="1051" t="str">
        <f t="shared" si="158"/>
        <v>Café au lait ou cappuccino au chocolat, poudre soluble, France continentale, Base Carbone</v>
      </c>
      <c r="G1292" s="1055" t="str">
        <f t="shared" si="159"/>
        <v>Café au lait ou cappuccino au chocolat, poudre soluble, France continentale, Base Carbone; kgCO2e/kg de produit</v>
      </c>
      <c r="I1292" s="2018" t="s">
        <v>4310</v>
      </c>
      <c r="J1292" s="1135" t="s">
        <v>4654</v>
      </c>
      <c r="K1292" s="1119" t="s">
        <v>1567</v>
      </c>
      <c r="L1292" s="1135" t="s">
        <v>1571</v>
      </c>
      <c r="M1292" s="2038">
        <v>0.5</v>
      </c>
      <c r="N1292" s="1135"/>
      <c r="O1292" s="2340">
        <v>8.64</v>
      </c>
      <c r="P1292" s="2350">
        <v>8.64</v>
      </c>
      <c r="Q1292" s="1135"/>
      <c r="R1292" s="1135"/>
      <c r="S1292" s="1135"/>
      <c r="T1292" s="1135"/>
      <c r="U1292" s="2041"/>
    </row>
    <row r="1293" spans="2:21" hidden="1" outlineLevel="2">
      <c r="B1293" s="1050">
        <v>20</v>
      </c>
      <c r="C1293" s="1050" t="str">
        <f t="shared" si="157"/>
        <v>Café au lait, café crème ou cappuccino, instantané ou non, non sucré, prêt à boire, France continentale, Base Carbone</v>
      </c>
      <c r="D1293" s="1051">
        <f t="shared" si="160"/>
        <v>20</v>
      </c>
      <c r="E1293" s="1051" t="str">
        <f>IF(COUNTIF(E$1273:E1292,F1293)&gt;0,"",F1293)</f>
        <v>Café au lait, café crème ou cappuccino, instantané ou non, non sucré, prêt à boire, France continentale, Base Carbone</v>
      </c>
      <c r="F1293" s="1051" t="str">
        <f t="shared" si="158"/>
        <v>Café au lait, café crème ou cappuccino, instantané ou non, non sucré, prêt à boire, France continentale, Base Carbone</v>
      </c>
      <c r="G1293" s="1055" t="str">
        <f t="shared" si="159"/>
        <v>Café au lait, café crème ou cappuccino, instantané ou non, non sucré, prêt à boire, France continentale, Base Carbone; kgCO2e/kg de produit</v>
      </c>
      <c r="I1293" s="2018" t="s">
        <v>4311</v>
      </c>
      <c r="J1293" s="1135" t="s">
        <v>4654</v>
      </c>
      <c r="K1293" s="1119" t="s">
        <v>1567</v>
      </c>
      <c r="L1293" s="1135" t="s">
        <v>1571</v>
      </c>
      <c r="M1293" s="2038">
        <v>0.5</v>
      </c>
      <c r="N1293" s="1135"/>
      <c r="O1293" s="2340">
        <v>0.51229075999999996</v>
      </c>
      <c r="P1293" s="2350">
        <v>0.51229075999999996</v>
      </c>
      <c r="Q1293" s="1135"/>
      <c r="R1293" s="1135"/>
      <c r="S1293" s="1135"/>
      <c r="T1293" s="1135"/>
      <c r="U1293" s="2041"/>
    </row>
    <row r="1294" spans="2:21" hidden="1" outlineLevel="2">
      <c r="B1294" s="1050">
        <v>21</v>
      </c>
      <c r="C1294" s="1050" t="str">
        <f t="shared" si="157"/>
        <v>Café décaféiné, instantané, non sucré, prêt à boire, France continentale, Base Carbone</v>
      </c>
      <c r="D1294" s="1051">
        <f t="shared" si="160"/>
        <v>21</v>
      </c>
      <c r="E1294" s="1051" t="str">
        <f>IF(COUNTIF(E$1273:E1293,F1294)&gt;0,"",F1294)</f>
        <v>Café décaféiné, instantané, non sucré, prêt à boire, France continentale, Base Carbone</v>
      </c>
      <c r="F1294" s="1051" t="str">
        <f t="shared" si="158"/>
        <v>Café décaféiné, instantané, non sucré, prêt à boire, France continentale, Base Carbone</v>
      </c>
      <c r="G1294" s="1055" t="str">
        <f t="shared" si="159"/>
        <v>Café décaféiné, instantané, non sucré, prêt à boire, France continentale, Base Carbone; kgCO2e/kg de produit</v>
      </c>
      <c r="I1294" s="2018" t="s">
        <v>4312</v>
      </c>
      <c r="J1294" s="1135" t="s">
        <v>4654</v>
      </c>
      <c r="K1294" s="1119" t="s">
        <v>1567</v>
      </c>
      <c r="L1294" s="1135" t="s">
        <v>1571</v>
      </c>
      <c r="M1294" s="2038">
        <v>0.5</v>
      </c>
      <c r="N1294" s="1135"/>
      <c r="O1294" s="2340">
        <v>1.5336253</v>
      </c>
      <c r="P1294" s="2350">
        <v>1.5336253</v>
      </c>
      <c r="Q1294" s="1135"/>
      <c r="R1294" s="1135"/>
      <c r="S1294" s="1135"/>
      <c r="T1294" s="1135"/>
      <c r="U1294" s="2041"/>
    </row>
    <row r="1295" spans="2:21" hidden="1" outlineLevel="2">
      <c r="B1295" s="1050">
        <v>22</v>
      </c>
      <c r="C1295" s="1050" t="str">
        <f t="shared" si="157"/>
        <v>Café décaféiné, non instantané, non sucré, prêt à boire, France continentale, Base Carbone</v>
      </c>
      <c r="D1295" s="1051">
        <f t="shared" si="160"/>
        <v>22</v>
      </c>
      <c r="E1295" s="1051" t="str">
        <f>IF(COUNTIF(E$1273:E1294,F1295)&gt;0,"",F1295)</f>
        <v>Café décaféiné, non instantané, non sucré, prêt à boire, France continentale, Base Carbone</v>
      </c>
      <c r="F1295" s="1051" t="str">
        <f t="shared" si="158"/>
        <v>Café décaféiné, non instantané, non sucré, prêt à boire, France continentale, Base Carbone</v>
      </c>
      <c r="G1295" s="1055" t="str">
        <f t="shared" si="159"/>
        <v>Café décaféiné, non instantané, non sucré, prêt à boire, France continentale, Base Carbone; kgCO2e/kg de produit</v>
      </c>
      <c r="I1295" s="2018" t="s">
        <v>4313</v>
      </c>
      <c r="J1295" s="1135" t="s">
        <v>4654</v>
      </c>
      <c r="K1295" s="1119" t="s">
        <v>1567</v>
      </c>
      <c r="L1295" s="1135" t="s">
        <v>1571</v>
      </c>
      <c r="M1295" s="2038">
        <v>0.5</v>
      </c>
      <c r="N1295" s="1135"/>
      <c r="O1295" s="2340">
        <v>0.60299999999999998</v>
      </c>
      <c r="P1295" s="2350">
        <v>0.60299999999999998</v>
      </c>
      <c r="Q1295" s="1135"/>
      <c r="R1295" s="1135"/>
      <c r="S1295" s="1135"/>
      <c r="T1295" s="1135"/>
      <c r="U1295" s="2041"/>
    </row>
    <row r="1296" spans="2:21" hidden="1" outlineLevel="2">
      <c r="B1296" s="1050">
        <v>23</v>
      </c>
      <c r="C1296" s="1050" t="str">
        <f t="shared" si="157"/>
        <v>Café expresso, non instantané, non sucré, prêt à boire, France continentale, Base Carbone</v>
      </c>
      <c r="D1296" s="1051">
        <f t="shared" si="160"/>
        <v>23</v>
      </c>
      <c r="E1296" s="1051" t="str">
        <f>IF(COUNTIF(E$1273:E1295,F1296)&gt;0,"",F1296)</f>
        <v>Café expresso, non instantané, non sucré, prêt à boire, France continentale, Base Carbone</v>
      </c>
      <c r="F1296" s="1051" t="str">
        <f t="shared" si="158"/>
        <v>Café expresso, non instantané, non sucré, prêt à boire, France continentale, Base Carbone</v>
      </c>
      <c r="G1296" s="1055" t="str">
        <f t="shared" si="159"/>
        <v>Café expresso, non instantané, non sucré, prêt à boire, France continentale, Base Carbone; kgCO2e/kg de produit</v>
      </c>
      <c r="I1296" s="2018" t="s">
        <v>4314</v>
      </c>
      <c r="J1296" s="1135" t="s">
        <v>4654</v>
      </c>
      <c r="K1296" s="1119" t="s">
        <v>1567</v>
      </c>
      <c r="L1296" s="1135" t="s">
        <v>1571</v>
      </c>
      <c r="M1296" s="2038">
        <v>0.5</v>
      </c>
      <c r="N1296" s="1135"/>
      <c r="O1296" s="2340">
        <v>0.55700000000000005</v>
      </c>
      <c r="P1296" s="2350">
        <v>0.55700000000000005</v>
      </c>
      <c r="Q1296" s="1135"/>
      <c r="R1296" s="1135"/>
      <c r="S1296" s="1135"/>
      <c r="T1296" s="1135"/>
      <c r="U1296" s="2041"/>
    </row>
    <row r="1297" spans="2:21" hidden="1" outlineLevel="2">
      <c r="B1297" s="1050">
        <v>24</v>
      </c>
      <c r="C1297" s="1050" t="str">
        <f t="shared" si="157"/>
        <v>Café, décaféiné, poudre soluble, France continentale, Base Carbone</v>
      </c>
      <c r="D1297" s="1051">
        <f t="shared" si="160"/>
        <v>24</v>
      </c>
      <c r="E1297" s="1051" t="str">
        <f>IF(COUNTIF(E$1273:E1296,F1297)&gt;0,"",F1297)</f>
        <v>Café, décaféiné, poudre soluble, France continentale, Base Carbone</v>
      </c>
      <c r="F1297" s="1051" t="str">
        <f t="shared" si="158"/>
        <v>Café, décaféiné, poudre soluble, France continentale, Base Carbone</v>
      </c>
      <c r="G1297" s="1055" t="str">
        <f t="shared" si="159"/>
        <v>Café, décaféiné, poudre soluble, France continentale, Base Carbone; kgCO2e/kg de produit</v>
      </c>
      <c r="I1297" s="2018" t="s">
        <v>4315</v>
      </c>
      <c r="J1297" s="1135" t="s">
        <v>4654</v>
      </c>
      <c r="K1297" s="1119" t="s">
        <v>1567</v>
      </c>
      <c r="L1297" s="1135" t="s">
        <v>1571</v>
      </c>
      <c r="M1297" s="2038">
        <v>0.5</v>
      </c>
      <c r="N1297" s="1135"/>
      <c r="O1297" s="2340">
        <v>26.2</v>
      </c>
      <c r="P1297" s="2350">
        <v>26.2</v>
      </c>
      <c r="Q1297" s="1135"/>
      <c r="R1297" s="1135"/>
      <c r="S1297" s="1135"/>
      <c r="T1297" s="1135"/>
      <c r="U1297" s="2041"/>
    </row>
    <row r="1298" spans="2:21" hidden="1" outlineLevel="2">
      <c r="B1298" s="1050">
        <v>25</v>
      </c>
      <c r="C1298" s="1050" t="str">
        <f t="shared" si="157"/>
        <v>Café, instantané, non sucré, prêt à boire, France continentale, Base Carbone</v>
      </c>
      <c r="D1298" s="1051">
        <f t="shared" si="160"/>
        <v>25</v>
      </c>
      <c r="E1298" s="1051" t="str">
        <f>IF(COUNTIF(E$1273:E1297,F1298)&gt;0,"",F1298)</f>
        <v>Café, instantané, non sucré, prêt à boire, France continentale, Base Carbone</v>
      </c>
      <c r="F1298" s="1051" t="str">
        <f t="shared" si="158"/>
        <v>Café, instantané, non sucré, prêt à boire, France continentale, Base Carbone</v>
      </c>
      <c r="G1298" s="1055" t="str">
        <f t="shared" si="159"/>
        <v>Café, instantané, non sucré, prêt à boire, France continentale, Base Carbone; kgCO2e/kg de produit</v>
      </c>
      <c r="I1298" s="2018" t="s">
        <v>4316</v>
      </c>
      <c r="J1298" s="1135" t="s">
        <v>4654</v>
      </c>
      <c r="K1298" s="1119" t="s">
        <v>1567</v>
      </c>
      <c r="L1298" s="1135" t="s">
        <v>1571</v>
      </c>
      <c r="M1298" s="2038">
        <v>0.5</v>
      </c>
      <c r="N1298" s="1135"/>
      <c r="O1298" s="2340">
        <v>1.44</v>
      </c>
      <c r="P1298" s="2350">
        <v>1.44</v>
      </c>
      <c r="Q1298" s="1135"/>
      <c r="R1298" s="1135"/>
      <c r="S1298" s="1135"/>
      <c r="T1298" s="1135"/>
      <c r="U1298" s="2041"/>
    </row>
    <row r="1299" spans="2:21" hidden="1" outlineLevel="2">
      <c r="B1299" s="1050">
        <v>26</v>
      </c>
      <c r="C1299" s="1050" t="str">
        <f t="shared" si="157"/>
        <v>Café, moulu, France continentale, Base Carbone</v>
      </c>
      <c r="D1299" s="1051">
        <f t="shared" si="160"/>
        <v>26</v>
      </c>
      <c r="E1299" s="1051" t="str">
        <f>IF(COUNTIF(E$1273:E1298,F1299)&gt;0,"",F1299)</f>
        <v>Café, moulu, France continentale, Base Carbone</v>
      </c>
      <c r="F1299" s="1051" t="str">
        <f t="shared" si="158"/>
        <v>Café, moulu, France continentale, Base Carbone</v>
      </c>
      <c r="G1299" s="1055" t="str">
        <f t="shared" si="159"/>
        <v>Café, moulu, France continentale, Base Carbone; kgCO2e/kg de produit</v>
      </c>
      <c r="I1299" s="2018" t="s">
        <v>4317</v>
      </c>
      <c r="J1299" s="1135" t="s">
        <v>4654</v>
      </c>
      <c r="K1299" s="1119" t="s">
        <v>1567</v>
      </c>
      <c r="L1299" s="1135" t="s">
        <v>1571</v>
      </c>
      <c r="M1299" s="2038">
        <v>0.5</v>
      </c>
      <c r="N1299" s="1135"/>
      <c r="O1299" s="2340">
        <v>9.4</v>
      </c>
      <c r="P1299" s="2350">
        <v>9.4</v>
      </c>
      <c r="Q1299" s="1135"/>
      <c r="R1299" s="1135"/>
      <c r="S1299" s="1135"/>
      <c r="T1299" s="1135"/>
      <c r="U1299" s="2041"/>
    </row>
    <row r="1300" spans="2:21" hidden="1" outlineLevel="2">
      <c r="B1300" s="1050">
        <v>27</v>
      </c>
      <c r="C1300" s="1050" t="str">
        <f t="shared" si="157"/>
        <v>Café, non instantané, non sucré, prêt à boire, France continentale, Base Carbone</v>
      </c>
      <c r="D1300" s="1051">
        <f t="shared" si="160"/>
        <v>27</v>
      </c>
      <c r="E1300" s="1051" t="str">
        <f>IF(COUNTIF(E$1273:E1299,F1300)&gt;0,"",F1300)</f>
        <v>Café, non instantané, non sucré, prêt à boire, France continentale, Base Carbone</v>
      </c>
      <c r="F1300" s="1051" t="str">
        <f t="shared" si="158"/>
        <v>Café, non instantané, non sucré, prêt à boire, France continentale, Base Carbone</v>
      </c>
      <c r="G1300" s="1055" t="str">
        <f t="shared" si="159"/>
        <v>Café, non instantané, non sucré, prêt à boire, France continentale, Base Carbone; kgCO2e/kg de produit</v>
      </c>
      <c r="I1300" s="2018" t="s">
        <v>4318</v>
      </c>
      <c r="J1300" s="1135" t="s">
        <v>4654</v>
      </c>
      <c r="K1300" s="1119" t="s">
        <v>1567</v>
      </c>
      <c r="L1300" s="1135" t="s">
        <v>1571</v>
      </c>
      <c r="M1300" s="2038">
        <v>0.5</v>
      </c>
      <c r="N1300" s="1135"/>
      <c r="O1300" s="2340">
        <v>0.56999999999999995</v>
      </c>
      <c r="P1300" s="2350">
        <v>0.56999999999999995</v>
      </c>
      <c r="Q1300" s="1135"/>
      <c r="R1300" s="1135"/>
      <c r="S1300" s="1135"/>
      <c r="T1300" s="1135"/>
      <c r="U1300" s="2041"/>
    </row>
    <row r="1301" spans="2:21" hidden="1" outlineLevel="2">
      <c r="B1301" s="1050">
        <v>28</v>
      </c>
      <c r="C1301" s="1050" t="str">
        <f t="shared" si="157"/>
        <v>Café, poudre soluble, France continentale, Base Carbone</v>
      </c>
      <c r="D1301" s="1051">
        <f t="shared" si="160"/>
        <v>28</v>
      </c>
      <c r="E1301" s="1051" t="str">
        <f>IF(COUNTIF(E$1273:E1300,F1301)&gt;0,"",F1301)</f>
        <v>Café, poudre soluble, France continentale, Base Carbone</v>
      </c>
      <c r="F1301" s="1051" t="str">
        <f t="shared" si="158"/>
        <v>Café, poudre soluble, France continentale, Base Carbone</v>
      </c>
      <c r="G1301" s="1055" t="str">
        <f t="shared" si="159"/>
        <v>Café, poudre soluble, France continentale, Base Carbone; kgCO2e/kg de produit</v>
      </c>
      <c r="I1301" s="2018" t="s">
        <v>4319</v>
      </c>
      <c r="J1301" s="1135" t="s">
        <v>4654</v>
      </c>
      <c r="K1301" s="1119" t="s">
        <v>1567</v>
      </c>
      <c r="L1301" s="1135" t="s">
        <v>1571</v>
      </c>
      <c r="M1301" s="2038">
        <v>0.5</v>
      </c>
      <c r="N1301" s="1135"/>
      <c r="O1301" s="2340">
        <v>24.5</v>
      </c>
      <c r="P1301" s="2350">
        <v>24.5</v>
      </c>
      <c r="Q1301" s="1135"/>
      <c r="R1301" s="1135"/>
      <c r="S1301" s="1135"/>
      <c r="T1301" s="1135"/>
      <c r="U1301" s="2041"/>
    </row>
    <row r="1302" spans="2:21" hidden="1" outlineLevel="2">
      <c r="B1302" s="1050">
        <v>29</v>
      </c>
      <c r="C1302" s="1050" t="str">
        <f t="shared" si="157"/>
        <v>Champagne, France continentale, Base Carbone</v>
      </c>
      <c r="D1302" s="1051">
        <f t="shared" si="160"/>
        <v>29</v>
      </c>
      <c r="E1302" s="1051" t="str">
        <f>IF(COUNTIF(E$1273:E1301,F1302)&gt;0,"",F1302)</f>
        <v>Champagne, France continentale, Base Carbone</v>
      </c>
      <c r="F1302" s="1051" t="str">
        <f t="shared" si="158"/>
        <v>Champagne, France continentale, Base Carbone</v>
      </c>
      <c r="G1302" s="1055" t="str">
        <f t="shared" si="159"/>
        <v>Champagne, France continentale, Base Carbone; kgCO2e/kg de produit</v>
      </c>
      <c r="I1302" s="2018" t="s">
        <v>4277</v>
      </c>
      <c r="J1302" s="1135" t="s">
        <v>4654</v>
      </c>
      <c r="K1302" s="1119" t="s">
        <v>1567</v>
      </c>
      <c r="L1302" s="1135" t="s">
        <v>1571</v>
      </c>
      <c r="M1302" s="2038">
        <v>0.5</v>
      </c>
      <c r="N1302" s="1135"/>
      <c r="O1302" s="2340">
        <v>1.1399999999999999</v>
      </c>
      <c r="P1302" s="2350">
        <v>1.1399999999999999</v>
      </c>
      <c r="Q1302" s="1135"/>
      <c r="R1302" s="1135"/>
      <c r="S1302" s="1135"/>
      <c r="T1302" s="1135"/>
      <c r="U1302" s="2041"/>
    </row>
    <row r="1303" spans="2:21" hidden="1" outlineLevel="2">
      <c r="B1303" s="1050">
        <v>30</v>
      </c>
      <c r="C1303" s="1050" t="str">
        <f t="shared" si="157"/>
        <v>Chicorée et café, instantané, non sucré, prête à boire (reconstituée avec du lait demi-écrémé standard), France continentale, Base Carbone</v>
      </c>
      <c r="D1303" s="1051">
        <f t="shared" si="160"/>
        <v>30</v>
      </c>
      <c r="E1303" s="1051" t="str">
        <f>IF(COUNTIF(E$1273:E1302,F1303)&gt;0,"",F1303)</f>
        <v>Chicorée et café, instantané, non sucré, prête à boire (reconstituée avec du lait demi-écrémé standard), France continentale, Base Carbone</v>
      </c>
      <c r="F1303" s="1051" t="str">
        <f t="shared" si="158"/>
        <v>Chicorée et café, instantané, non sucré, prête à boire (reconstituée avec du lait demi-écrémé standard), France continentale, Base Carbone</v>
      </c>
      <c r="G1303" s="1055" t="str">
        <f t="shared" si="159"/>
        <v>Chicorée et café, instantané, non sucré, prête à boire (reconstituée avec du lait demi-écrémé standard), France continentale, Base Carbone; kgCO2e/kg de produit</v>
      </c>
      <c r="I1303" s="2018" t="s">
        <v>4320</v>
      </c>
      <c r="J1303" s="1135" t="s">
        <v>4654</v>
      </c>
      <c r="K1303" s="1119" t="s">
        <v>1567</v>
      </c>
      <c r="L1303" s="1135" t="s">
        <v>1571</v>
      </c>
      <c r="M1303" s="2038">
        <v>0.5</v>
      </c>
      <c r="N1303" s="1135"/>
      <c r="O1303" s="2340">
        <v>2.4300000000000002</v>
      </c>
      <c r="P1303" s="2350">
        <v>2.4300000000000002</v>
      </c>
      <c r="Q1303" s="1135"/>
      <c r="R1303" s="1135"/>
      <c r="S1303" s="1135"/>
      <c r="T1303" s="1135"/>
      <c r="U1303" s="2041"/>
    </row>
    <row r="1304" spans="2:21" hidden="1" outlineLevel="2">
      <c r="B1304" s="1050">
        <v>31</v>
      </c>
      <c r="C1304" s="1050" t="str">
        <f t="shared" si="157"/>
        <v>Chicorée et café, poudre soluble, France continentale, Base Carbone</v>
      </c>
      <c r="D1304" s="1051">
        <f t="shared" si="160"/>
        <v>31</v>
      </c>
      <c r="E1304" s="1051" t="str">
        <f>IF(COUNTIF(E$1273:E1303,F1304)&gt;0,"",F1304)</f>
        <v>Chicorée et café, poudre soluble, France continentale, Base Carbone</v>
      </c>
      <c r="F1304" s="1051" t="str">
        <f t="shared" si="158"/>
        <v>Chicorée et café, poudre soluble, France continentale, Base Carbone</v>
      </c>
      <c r="G1304" s="1055" t="str">
        <f t="shared" si="159"/>
        <v>Chicorée et café, poudre soluble, France continentale, Base Carbone; kgCO2e/kg de produit</v>
      </c>
      <c r="I1304" s="2018" t="s">
        <v>4321</v>
      </c>
      <c r="J1304" s="1135" t="s">
        <v>4654</v>
      </c>
      <c r="K1304" s="1119" t="s">
        <v>1567</v>
      </c>
      <c r="L1304" s="1135" t="s">
        <v>1571</v>
      </c>
      <c r="M1304" s="2038">
        <v>0.5</v>
      </c>
      <c r="N1304" s="1135"/>
      <c r="O1304" s="2340">
        <v>12.9</v>
      </c>
      <c r="P1304" s="2350">
        <v>12</v>
      </c>
      <c r="Q1304" s="1135"/>
      <c r="R1304" s="1135"/>
      <c r="S1304" s="1135"/>
      <c r="T1304" s="1135"/>
      <c r="U1304" s="2041"/>
    </row>
    <row r="1305" spans="2:21" hidden="1" outlineLevel="2">
      <c r="B1305" s="1050">
        <v>32</v>
      </c>
      <c r="C1305" s="1050" t="str">
        <f t="shared" si="157"/>
        <v>Chicorée, instantanée, non sucrée, prête à boire (reconstituée avec du lait demi-écrémé standard), France continentale, Base Carbone</v>
      </c>
      <c r="D1305" s="1051">
        <f t="shared" si="160"/>
        <v>32</v>
      </c>
      <c r="E1305" s="1051" t="str">
        <f>IF(COUNTIF(E$1273:E1304,F1305)&gt;0,"",F1305)</f>
        <v>Chicorée, instantanée, non sucrée, prête à boire (reconstituée avec du lait demi-écrémé standard), France continentale, Base Carbone</v>
      </c>
      <c r="F1305" s="1051" t="str">
        <f t="shared" si="158"/>
        <v>Chicorée, instantanée, non sucrée, prête à boire (reconstituée avec du lait demi-écrémé standard), France continentale, Base Carbone</v>
      </c>
      <c r="G1305" s="1055" t="str">
        <f t="shared" si="159"/>
        <v>Chicorée, instantanée, non sucrée, prête à boire (reconstituée avec du lait demi-écrémé standard), France continentale, Base Carbone; kgCO2e/kg de produit</v>
      </c>
      <c r="I1305" s="2018" t="s">
        <v>4322</v>
      </c>
      <c r="J1305" s="1135" t="s">
        <v>4654</v>
      </c>
      <c r="K1305" s="1119" t="s">
        <v>1567</v>
      </c>
      <c r="L1305" s="1135" t="s">
        <v>1571</v>
      </c>
      <c r="M1305" s="2038">
        <v>0.5</v>
      </c>
      <c r="N1305" s="1135"/>
      <c r="O1305" s="2340">
        <v>1.59</v>
      </c>
      <c r="P1305" s="2350">
        <v>1.59</v>
      </c>
      <c r="Q1305" s="1135"/>
      <c r="R1305" s="1135"/>
      <c r="S1305" s="1135"/>
      <c r="T1305" s="1135"/>
      <c r="U1305" s="2041"/>
    </row>
    <row r="1306" spans="2:21" hidden="1" outlineLevel="2">
      <c r="B1306" s="1050">
        <v>33</v>
      </c>
      <c r="C1306" s="1050" t="str">
        <f t="shared" ref="C1306:C1325" si="161">IF(ISNA(VLOOKUP(B1306,$D$1273:$E$1361,2,FALSE)),"-",VLOOKUP(B1306,$D$1273:$E$1361,2,FALSE))</f>
        <v>Chicorée, poudre soluble, France continentale, Base Carbone</v>
      </c>
      <c r="D1306" s="1051">
        <f t="shared" si="160"/>
        <v>33</v>
      </c>
      <c r="E1306" s="1051" t="str">
        <f>IF(COUNTIF(E$1273:E1305,F1306)&gt;0,"",F1306)</f>
        <v>Chicorée, poudre soluble, France continentale, Base Carbone</v>
      </c>
      <c r="F1306" s="1051" t="str">
        <f t="shared" si="158"/>
        <v>Chicorée, poudre soluble, France continentale, Base Carbone</v>
      </c>
      <c r="G1306" s="1055" t="str">
        <f t="shared" si="159"/>
        <v>Chicorée, poudre soluble, France continentale, Base Carbone; kgCO2e/kg de produit</v>
      </c>
      <c r="I1306" s="2018" t="s">
        <v>4323</v>
      </c>
      <c r="J1306" s="1135" t="s">
        <v>4654</v>
      </c>
      <c r="K1306" s="1119" t="s">
        <v>1567</v>
      </c>
      <c r="L1306" s="1135" t="s">
        <v>1571</v>
      </c>
      <c r="M1306" s="2038">
        <v>0.5</v>
      </c>
      <c r="N1306" s="1135"/>
      <c r="O1306" s="2340">
        <v>4.91</v>
      </c>
      <c r="P1306" s="2350">
        <v>4.91</v>
      </c>
      <c r="Q1306" s="1135"/>
      <c r="R1306" s="1135"/>
      <c r="S1306" s="1135"/>
      <c r="T1306" s="1135"/>
      <c r="U1306" s="2041"/>
    </row>
    <row r="1307" spans="2:21" hidden="1" outlineLevel="2">
      <c r="B1307" s="1050">
        <v>34</v>
      </c>
      <c r="C1307" s="1050" t="str">
        <f t="shared" si="161"/>
        <v>Cidre aromatisé (framboise), France continentale, Base Carbone</v>
      </c>
      <c r="D1307" s="1051">
        <f t="shared" si="160"/>
        <v>34</v>
      </c>
      <c r="E1307" s="1051" t="str">
        <f>IF(COUNTIF(E$1273:E1306,F1307)&gt;0,"",F1307)</f>
        <v>Cidre aromatisé (framboise), France continentale, Base Carbone</v>
      </c>
      <c r="F1307" s="1051" t="str">
        <f t="shared" si="158"/>
        <v>Cidre aromatisé (framboise), France continentale, Base Carbone</v>
      </c>
      <c r="G1307" s="1055" t="str">
        <f t="shared" si="159"/>
        <v>Cidre aromatisé (framboise), France continentale, Base Carbone; kgCO2e/kg de produit</v>
      </c>
      <c r="I1307" s="2018" t="s">
        <v>4324</v>
      </c>
      <c r="J1307" s="1135" t="s">
        <v>4654</v>
      </c>
      <c r="K1307" s="1119" t="s">
        <v>1567</v>
      </c>
      <c r="L1307" s="1135" t="s">
        <v>1571</v>
      </c>
      <c r="M1307" s="2038">
        <v>0.5</v>
      </c>
      <c r="N1307" s="1135"/>
      <c r="O1307" s="2340">
        <v>0.98299999999999998</v>
      </c>
      <c r="P1307" s="2350">
        <v>0.98299999999999998</v>
      </c>
      <c r="Q1307" s="1135"/>
      <c r="R1307" s="1135"/>
      <c r="S1307" s="1135"/>
      <c r="T1307" s="1135"/>
      <c r="U1307" s="2041"/>
    </row>
    <row r="1308" spans="2:21" hidden="1" outlineLevel="2">
      <c r="B1308" s="1050">
        <v>35</v>
      </c>
      <c r="C1308" s="1050" t="str">
        <f t="shared" si="161"/>
        <v>Cidre traditionnel, France continentale, Base Carbone</v>
      </c>
      <c r="D1308" s="1051">
        <f t="shared" si="160"/>
        <v>35</v>
      </c>
      <c r="E1308" s="1051" t="str">
        <f>IF(COUNTIF(E$1273:E1307,F1308)&gt;0,"",F1308)</f>
        <v>Cidre traditionnel, France continentale, Base Carbone</v>
      </c>
      <c r="F1308" s="1051" t="str">
        <f t="shared" si="158"/>
        <v>Cidre traditionnel, France continentale, Base Carbone</v>
      </c>
      <c r="G1308" s="1055" t="str">
        <f t="shared" si="159"/>
        <v>Cidre traditionnel, France continentale, Base Carbone; kgCO2e/kg de produit</v>
      </c>
      <c r="I1308" s="2018" t="s">
        <v>4325</v>
      </c>
      <c r="J1308" s="1135" t="s">
        <v>4654</v>
      </c>
      <c r="K1308" s="1119" t="s">
        <v>1567</v>
      </c>
      <c r="L1308" s="1135" t="s">
        <v>1571</v>
      </c>
      <c r="M1308" s="2038">
        <v>0.5</v>
      </c>
      <c r="N1308" s="1135"/>
      <c r="O1308" s="2340">
        <v>0.93799999999999994</v>
      </c>
      <c r="P1308" s="2350">
        <v>0.93799999999999994</v>
      </c>
      <c r="Q1308" s="1135"/>
      <c r="R1308" s="1135"/>
      <c r="S1308" s="1135"/>
      <c r="T1308" s="1135"/>
      <c r="U1308" s="2041"/>
    </row>
    <row r="1309" spans="2:21" hidden="1" outlineLevel="2">
      <c r="B1309" s="1050">
        <v>36</v>
      </c>
      <c r="C1309" s="1050" t="str">
        <f t="shared" si="161"/>
        <v>Citron ou Lime, spécialité à diluer pour boissons, sans sucres ajoutés, France continentale, Base Carbone</v>
      </c>
      <c r="D1309" s="1051">
        <f t="shared" si="160"/>
        <v>36</v>
      </c>
      <c r="E1309" s="1051" t="str">
        <f>IF(COUNTIF(E$1273:E1308,F1309)&gt;0,"",F1309)</f>
        <v>Citron ou Lime, spécialité à diluer pour boissons, sans sucres ajoutés, France continentale, Base Carbone</v>
      </c>
      <c r="F1309" s="1051" t="str">
        <f t="shared" si="158"/>
        <v>Citron ou Lime, spécialité à diluer pour boissons, sans sucres ajoutés, France continentale, Base Carbone</v>
      </c>
      <c r="G1309" s="1055" t="str">
        <f t="shared" si="159"/>
        <v>Citron ou Lime, spécialité à diluer pour boissons, sans sucres ajoutés, France continentale, Base Carbone; kgCO2e/kg de produit</v>
      </c>
      <c r="I1309" s="2018" t="s">
        <v>4326</v>
      </c>
      <c r="J1309" s="1135" t="s">
        <v>4654</v>
      </c>
      <c r="K1309" s="1119" t="s">
        <v>1567</v>
      </c>
      <c r="L1309" s="1135" t="s">
        <v>1571</v>
      </c>
      <c r="M1309" s="2038">
        <v>0.5</v>
      </c>
      <c r="N1309" s="1135"/>
      <c r="O1309" s="2340">
        <v>0.93807969999999996</v>
      </c>
      <c r="P1309" s="2350">
        <v>0.93807969999999996</v>
      </c>
      <c r="Q1309" s="1135"/>
      <c r="R1309" s="1135"/>
      <c r="S1309" s="1135"/>
      <c r="T1309" s="1135"/>
      <c r="U1309" s="2041"/>
    </row>
    <row r="1310" spans="2:21" hidden="1" outlineLevel="2">
      <c r="B1310" s="1050">
        <v>37</v>
      </c>
      <c r="C1310" s="1050" t="str">
        <f t="shared" si="161"/>
        <v>Cocktail à base de rhum, France continentale, Base Carbone</v>
      </c>
      <c r="D1310" s="1051">
        <f t="shared" si="160"/>
        <v>37</v>
      </c>
      <c r="E1310" s="1051" t="str">
        <f>IF(COUNTIF(E$1273:E1309,F1310)&gt;0,"",F1310)</f>
        <v>Cocktail à base de rhum, France continentale, Base Carbone</v>
      </c>
      <c r="F1310" s="1051" t="str">
        <f t="shared" si="158"/>
        <v>Cocktail à base de rhum, France continentale, Base Carbone</v>
      </c>
      <c r="G1310" s="1055" t="str">
        <f t="shared" si="159"/>
        <v>Cocktail à base de rhum, France continentale, Base Carbone; kgCO2e/kg de produit</v>
      </c>
      <c r="I1310" s="2018" t="s">
        <v>4278</v>
      </c>
      <c r="J1310" s="1135" t="s">
        <v>4654</v>
      </c>
      <c r="K1310" s="1119" t="s">
        <v>1567</v>
      </c>
      <c r="L1310" s="1135" t="s">
        <v>1571</v>
      </c>
      <c r="M1310" s="2038">
        <v>0.5</v>
      </c>
      <c r="N1310" s="1135"/>
      <c r="O1310" s="2340">
        <v>0.97599999999999998</v>
      </c>
      <c r="P1310" s="2350">
        <v>0.97599999999999998</v>
      </c>
      <c r="Q1310" s="1135"/>
      <c r="R1310" s="1135"/>
      <c r="S1310" s="1135"/>
      <c r="T1310" s="1135"/>
      <c r="U1310" s="2041"/>
    </row>
    <row r="1311" spans="2:21" hidden="1" outlineLevel="2">
      <c r="B1311" s="1050">
        <v>38</v>
      </c>
      <c r="C1311" s="1050" t="str">
        <f t="shared" si="161"/>
        <v>Cocktail à base de whisky, France continentale, Base Carbone</v>
      </c>
      <c r="D1311" s="1051">
        <f t="shared" si="160"/>
        <v>38</v>
      </c>
      <c r="E1311" s="1051" t="str">
        <f>IF(COUNTIF(E$1273:E1310,F1311)&gt;0,"",F1311)</f>
        <v>Cocktail à base de whisky, France continentale, Base Carbone</v>
      </c>
      <c r="F1311" s="1051" t="str">
        <f t="shared" si="158"/>
        <v>Cocktail à base de whisky, France continentale, Base Carbone</v>
      </c>
      <c r="G1311" s="1055" t="str">
        <f t="shared" si="159"/>
        <v>Cocktail à base de whisky, France continentale, Base Carbone; kgCO2e/kg de produit</v>
      </c>
      <c r="I1311" s="2018" t="s">
        <v>4279</v>
      </c>
      <c r="J1311" s="1135" t="s">
        <v>4654</v>
      </c>
      <c r="K1311" s="1119" t="s">
        <v>1567</v>
      </c>
      <c r="L1311" s="1135" t="s">
        <v>1571</v>
      </c>
      <c r="M1311" s="2038">
        <v>0.5</v>
      </c>
      <c r="N1311" s="1135"/>
      <c r="O1311" s="2340">
        <v>0.91400000000000003</v>
      </c>
      <c r="P1311" s="2350">
        <v>0.91400000000000003</v>
      </c>
      <c r="Q1311" s="1135"/>
      <c r="R1311" s="1135"/>
      <c r="S1311" s="1135"/>
      <c r="T1311" s="1135"/>
      <c r="U1311" s="2041"/>
    </row>
    <row r="1312" spans="2:21" hidden="1" outlineLevel="2">
      <c r="B1312" s="1050">
        <v>39</v>
      </c>
      <c r="C1312" s="1050" t="str">
        <f t="shared" si="161"/>
        <v>Cocktail sans alcool (à base de jus de fruits et de sirop), France continentale, Base Carbone</v>
      </c>
      <c r="D1312" s="1051">
        <f t="shared" si="160"/>
        <v>39</v>
      </c>
      <c r="E1312" s="1051" t="str">
        <f>IF(COUNTIF(E$1273:E1311,F1312)&gt;0,"",F1312)</f>
        <v>Cocktail sans alcool (à base de jus de fruits et de sirop), France continentale, Base Carbone</v>
      </c>
      <c r="F1312" s="1051" t="str">
        <f t="shared" si="158"/>
        <v>Cocktail sans alcool (à base de jus de fruits et de sirop), France continentale, Base Carbone</v>
      </c>
      <c r="G1312" s="1055" t="str">
        <f t="shared" si="159"/>
        <v>Cocktail sans alcool (à base de jus de fruits et de sirop), France continentale, Base Carbone; kgCO2e/kg de produit</v>
      </c>
      <c r="I1312" s="2018" t="s">
        <v>4280</v>
      </c>
      <c r="J1312" s="1135" t="s">
        <v>4654</v>
      </c>
      <c r="K1312" s="1119" t="s">
        <v>1567</v>
      </c>
      <c r="L1312" s="1135" t="s">
        <v>1571</v>
      </c>
      <c r="M1312" s="2038">
        <v>0.5</v>
      </c>
      <c r="N1312" s="1135"/>
      <c r="O1312" s="2340">
        <v>0.95</v>
      </c>
      <c r="P1312" s="2350">
        <v>0.95</v>
      </c>
      <c r="Q1312" s="1135"/>
      <c r="R1312" s="1135"/>
      <c r="S1312" s="1135"/>
      <c r="T1312" s="1135"/>
      <c r="U1312" s="2041"/>
    </row>
    <row r="1313" spans="2:21" hidden="1" outlineLevel="2">
      <c r="B1313" s="1050">
        <v>40</v>
      </c>
      <c r="C1313" s="1050" t="str">
        <f t="shared" si="161"/>
        <v>Cocktail type punch, 16% alcool, France continentale, Base Carbone</v>
      </c>
      <c r="D1313" s="1051">
        <f t="shared" si="160"/>
        <v>40</v>
      </c>
      <c r="E1313" s="1051" t="str">
        <f>IF(COUNTIF(E$1273:E1312,F1313)&gt;0,"",F1313)</f>
        <v>Cocktail type punch, 16% alcool, France continentale, Base Carbone</v>
      </c>
      <c r="F1313" s="1051" t="str">
        <f t="shared" si="158"/>
        <v>Cocktail type punch, 16% alcool, France continentale, Base Carbone</v>
      </c>
      <c r="G1313" s="1055" t="str">
        <f t="shared" si="159"/>
        <v>Cocktail type punch, 16% alcool, France continentale, Base Carbone; kgCO2e/kg de produit</v>
      </c>
      <c r="I1313" s="2018" t="s">
        <v>4327</v>
      </c>
      <c r="J1313" s="1135" t="s">
        <v>4654</v>
      </c>
      <c r="K1313" s="1119" t="s">
        <v>1567</v>
      </c>
      <c r="L1313" s="1135" t="s">
        <v>1571</v>
      </c>
      <c r="M1313" s="2038">
        <v>0.5</v>
      </c>
      <c r="N1313" s="1135"/>
      <c r="O1313" s="2340">
        <v>1.08</v>
      </c>
      <c r="P1313" s="2350">
        <v>1.08</v>
      </c>
      <c r="Q1313" s="1135"/>
      <c r="R1313" s="1135"/>
      <c r="S1313" s="1135"/>
      <c r="T1313" s="1135"/>
      <c r="U1313" s="2041"/>
    </row>
    <row r="1314" spans="2:21" hidden="1" outlineLevel="2">
      <c r="B1314" s="1050">
        <v>41</v>
      </c>
      <c r="C1314" s="1050" t="str">
        <f t="shared" si="161"/>
        <v>Cola, non sucré, avec édulcorants, France continentale, Base Carbone</v>
      </c>
      <c r="D1314" s="1051">
        <f t="shared" si="160"/>
        <v>41</v>
      </c>
      <c r="E1314" s="1051" t="str">
        <f>IF(COUNTIF(E$1273:E1313,F1314)&gt;0,"",F1314)</f>
        <v>Cola, non sucré, avec édulcorants, France continentale, Base Carbone</v>
      </c>
      <c r="F1314" s="1051" t="str">
        <f t="shared" si="158"/>
        <v>Cola, non sucré, avec édulcorants, France continentale, Base Carbone</v>
      </c>
      <c r="G1314" s="1055" t="str">
        <f t="shared" si="159"/>
        <v>Cola, non sucré, avec édulcorants, France continentale, Base Carbone; kgCO2e/kg de produit</v>
      </c>
      <c r="I1314" s="2018" t="s">
        <v>4328</v>
      </c>
      <c r="J1314" s="1135" t="s">
        <v>4654</v>
      </c>
      <c r="K1314" s="1119" t="s">
        <v>1567</v>
      </c>
      <c r="L1314" s="1135" t="s">
        <v>1571</v>
      </c>
      <c r="M1314" s="2038">
        <v>0.5</v>
      </c>
      <c r="N1314" s="1135"/>
      <c r="O1314" s="2340">
        <v>0.57199999999999995</v>
      </c>
      <c r="P1314" s="2350">
        <v>0.57199999999999995</v>
      </c>
      <c r="Q1314" s="1135"/>
      <c r="R1314" s="1135"/>
      <c r="S1314" s="1135"/>
      <c r="T1314" s="1135"/>
      <c r="U1314" s="2041"/>
    </row>
    <row r="1315" spans="2:21" hidden="1" outlineLevel="2">
      <c r="B1315" s="1050">
        <v>42</v>
      </c>
      <c r="C1315" s="1050" t="str">
        <f t="shared" si="161"/>
        <v>Crème de cassis, France continentale, Base Carbone</v>
      </c>
      <c r="D1315" s="1051">
        <f t="shared" si="160"/>
        <v>42</v>
      </c>
      <c r="E1315" s="1051" t="str">
        <f>IF(COUNTIF(E$1273:E1314,F1315)&gt;0,"",F1315)</f>
        <v>Crème de cassis, France continentale, Base Carbone</v>
      </c>
      <c r="F1315" s="1051" t="str">
        <f t="shared" si="158"/>
        <v>Crème de cassis, France continentale, Base Carbone</v>
      </c>
      <c r="G1315" s="1055" t="str">
        <f t="shared" si="159"/>
        <v>Crème de cassis, France continentale, Base Carbone; kgCO2e/kg de produit</v>
      </c>
      <c r="I1315" s="2018" t="s">
        <v>4281</v>
      </c>
      <c r="J1315" s="1135" t="s">
        <v>4654</v>
      </c>
      <c r="K1315" s="1119" t="s">
        <v>1567</v>
      </c>
      <c r="L1315" s="1135" t="s">
        <v>1571</v>
      </c>
      <c r="M1315" s="2038">
        <v>0.5</v>
      </c>
      <c r="N1315" s="1135"/>
      <c r="O1315" s="2340">
        <v>1.47</v>
      </c>
      <c r="P1315" s="2350">
        <v>1.47</v>
      </c>
      <c r="Q1315" s="1135"/>
      <c r="R1315" s="1135"/>
      <c r="S1315" s="1135"/>
      <c r="T1315" s="1135"/>
      <c r="U1315" s="2041"/>
    </row>
    <row r="1316" spans="2:21" hidden="1" outlineLevel="2">
      <c r="B1316" s="1050">
        <v>43</v>
      </c>
      <c r="C1316" s="1050" t="str">
        <f t="shared" si="161"/>
        <v>Diabolo (limonade et sirop), France continentale, Base Carbone</v>
      </c>
      <c r="D1316" s="1051">
        <f t="shared" si="160"/>
        <v>43</v>
      </c>
      <c r="E1316" s="1051" t="str">
        <f>IF(COUNTIF(E$1273:E1315,F1316)&gt;0,"",F1316)</f>
        <v>Diabolo (limonade et sirop), France continentale, Base Carbone</v>
      </c>
      <c r="F1316" s="1051" t="str">
        <f t="shared" si="158"/>
        <v>Diabolo (limonade et sirop), France continentale, Base Carbone</v>
      </c>
      <c r="G1316" s="1055" t="str">
        <f t="shared" si="159"/>
        <v>Diabolo (limonade et sirop), France continentale, Base Carbone; kgCO2e/kg de produit</v>
      </c>
      <c r="I1316" s="2018" t="s">
        <v>4282</v>
      </c>
      <c r="J1316" s="1135" t="s">
        <v>4654</v>
      </c>
      <c r="K1316" s="1119" t="s">
        <v>1567</v>
      </c>
      <c r="L1316" s="1135" t="s">
        <v>1571</v>
      </c>
      <c r="M1316" s="2038">
        <v>0.5</v>
      </c>
      <c r="N1316" s="1135"/>
      <c r="O1316" s="2340">
        <v>0.61799999999999999</v>
      </c>
      <c r="P1316" s="2350">
        <v>0.61799999999999999</v>
      </c>
      <c r="Q1316" s="1135"/>
      <c r="R1316" s="1135"/>
      <c r="S1316" s="1135"/>
      <c r="T1316" s="1135"/>
      <c r="U1316" s="2041"/>
    </row>
    <row r="1317" spans="2:21" hidden="1" outlineLevel="2">
      <c r="B1317" s="1050">
        <v>44</v>
      </c>
      <c r="C1317" s="1050" t="str">
        <f t="shared" si="161"/>
        <v>Eau de source Cristaline, embouteillée, non gazeuse, France continentale, Base Carbone</v>
      </c>
      <c r="D1317" s="1051">
        <f t="shared" si="160"/>
        <v>44</v>
      </c>
      <c r="E1317" s="1051" t="str">
        <f>IF(COUNTIF(E$1273:E1316,F1317)&gt;0,"",F1317)</f>
        <v>Eau de source Cristaline, embouteillée, non gazeuse, France continentale, Base Carbone</v>
      </c>
      <c r="F1317" s="1051" t="str">
        <f t="shared" si="158"/>
        <v>Eau de source Cristaline, embouteillée, non gazeuse, France continentale, Base Carbone</v>
      </c>
      <c r="G1317" s="1055" t="str">
        <f t="shared" si="159"/>
        <v>Eau de source Cristaline, embouteillée, non gazeuse, France continentale, Base Carbone; kgCO2e/kg de produit</v>
      </c>
      <c r="I1317" s="2018" t="s">
        <v>4329</v>
      </c>
      <c r="J1317" s="1135" t="s">
        <v>4654</v>
      </c>
      <c r="K1317" s="1119" t="s">
        <v>1567</v>
      </c>
      <c r="L1317" s="1135" t="s">
        <v>1571</v>
      </c>
      <c r="M1317" s="2038">
        <v>0.5</v>
      </c>
      <c r="N1317" s="1135"/>
      <c r="O1317" s="2340">
        <v>0.28000000000000003</v>
      </c>
      <c r="P1317" s="2350">
        <v>0.28000000000000003</v>
      </c>
      <c r="Q1317" s="1135"/>
      <c r="R1317" s="1135"/>
      <c r="S1317" s="1135"/>
      <c r="T1317" s="1135"/>
      <c r="U1317" s="2041"/>
    </row>
    <row r="1318" spans="2:21" hidden="1" outlineLevel="2">
      <c r="B1318" s="1050">
        <v>45</v>
      </c>
      <c r="C1318" s="1050" t="str">
        <f t="shared" si="161"/>
        <v>Eau de vie, France continentale, Base Carbone</v>
      </c>
      <c r="D1318" s="1051">
        <f t="shared" si="160"/>
        <v>45</v>
      </c>
      <c r="E1318" s="1051" t="str">
        <f>IF(COUNTIF(E$1273:E1317,F1318)&gt;0,"",F1318)</f>
        <v>Eau de vie, France continentale, Base Carbone</v>
      </c>
      <c r="F1318" s="1051" t="str">
        <f t="shared" si="158"/>
        <v>Eau de vie, France continentale, Base Carbone</v>
      </c>
      <c r="G1318" s="1055" t="str">
        <f t="shared" si="159"/>
        <v>Eau de vie, France continentale, Base Carbone; kgCO2e/kg de produit</v>
      </c>
      <c r="I1318" s="2018" t="s">
        <v>4330</v>
      </c>
      <c r="J1318" s="1135" t="s">
        <v>4654</v>
      </c>
      <c r="K1318" s="1119" t="s">
        <v>1567</v>
      </c>
      <c r="L1318" s="1135" t="s">
        <v>1571</v>
      </c>
      <c r="M1318" s="2038">
        <v>0.5</v>
      </c>
      <c r="N1318" s="1135"/>
      <c r="O1318" s="2340">
        <v>1.1515943</v>
      </c>
      <c r="P1318" s="2350">
        <v>1.1515943</v>
      </c>
      <c r="Q1318" s="1135"/>
      <c r="R1318" s="1135"/>
      <c r="S1318" s="1135"/>
      <c r="T1318" s="1135"/>
      <c r="U1318" s="2041"/>
    </row>
    <row r="1319" spans="2:21" hidden="1" outlineLevel="2">
      <c r="B1319" s="1050">
        <v>46</v>
      </c>
      <c r="C1319" s="1050" t="str">
        <f t="shared" si="161"/>
        <v>Eau embouteillée de source, France continentale, Base Carbone</v>
      </c>
      <c r="D1319" s="1051">
        <f t="shared" si="160"/>
        <v>46</v>
      </c>
      <c r="E1319" s="1051" t="str">
        <f>IF(COUNTIF(E$1273:E1318,F1319)&gt;0,"",F1319)</f>
        <v>Eau embouteillée de source, France continentale, Base Carbone</v>
      </c>
      <c r="F1319" s="1051" t="str">
        <f t="shared" si="158"/>
        <v>Eau embouteillée de source, France continentale, Base Carbone</v>
      </c>
      <c r="G1319" s="1055" t="str">
        <f t="shared" si="159"/>
        <v>Eau embouteillée de source, France continentale, Base Carbone; kgCO2e/kg de produit</v>
      </c>
      <c r="I1319" s="2018" t="s">
        <v>4283</v>
      </c>
      <c r="J1319" s="1135" t="s">
        <v>4654</v>
      </c>
      <c r="K1319" s="1119" t="s">
        <v>1567</v>
      </c>
      <c r="L1319" s="1135" t="s">
        <v>1571</v>
      </c>
      <c r="M1319" s="2038">
        <v>0.5</v>
      </c>
      <c r="N1319" s="1135"/>
      <c r="O1319" s="2340">
        <v>0.45300000000000001</v>
      </c>
      <c r="P1319" s="2350">
        <v>0.45300000000000001</v>
      </c>
      <c r="Q1319" s="1135"/>
      <c r="R1319" s="1135"/>
      <c r="S1319" s="1135"/>
      <c r="T1319" s="1135"/>
      <c r="U1319" s="2041"/>
    </row>
    <row r="1320" spans="2:21" hidden="1" outlineLevel="2">
      <c r="B1320" s="1050">
        <v>47</v>
      </c>
      <c r="C1320" s="1050" t="str">
        <f t="shared" si="161"/>
        <v>Gin, France continentale, Base Carbone</v>
      </c>
      <c r="D1320" s="1051">
        <f t="shared" si="160"/>
        <v>47</v>
      </c>
      <c r="E1320" s="1051" t="str">
        <f>IF(COUNTIF(E$1273:E1319,F1320)&gt;0,"",F1320)</f>
        <v>Gin, France continentale, Base Carbone</v>
      </c>
      <c r="F1320" s="1051" t="str">
        <f t="shared" si="158"/>
        <v>Gin, France continentale, Base Carbone</v>
      </c>
      <c r="G1320" s="1055" t="str">
        <f t="shared" si="159"/>
        <v>Gin, France continentale, Base Carbone; kgCO2e/kg de produit</v>
      </c>
      <c r="I1320" s="2018" t="s">
        <v>4331</v>
      </c>
      <c r="J1320" s="1135" t="s">
        <v>4654</v>
      </c>
      <c r="K1320" s="1119" t="s">
        <v>1567</v>
      </c>
      <c r="L1320" s="1135" t="s">
        <v>1571</v>
      </c>
      <c r="M1320" s="2038">
        <v>0.5</v>
      </c>
      <c r="N1320" s="1135"/>
      <c r="O1320" s="2340">
        <v>1.1563935999999999</v>
      </c>
      <c r="P1320" s="2350">
        <v>1.1563935999999999</v>
      </c>
      <c r="Q1320" s="1135"/>
      <c r="R1320" s="1135"/>
      <c r="S1320" s="1135"/>
      <c r="T1320" s="1135"/>
      <c r="U1320" s="2041"/>
    </row>
    <row r="1321" spans="2:21" hidden="1" outlineLevel="2">
      <c r="B1321" s="1050">
        <v>48</v>
      </c>
      <c r="C1321" s="1050" t="str">
        <f t="shared" si="161"/>
        <v>Jus de pomme, pur jus, France continentale, Base Carbone</v>
      </c>
      <c r="D1321" s="1051">
        <f t="shared" si="160"/>
        <v>48</v>
      </c>
      <c r="E1321" s="1051" t="str">
        <f>IF(COUNTIF(E$1273:E1320,F1321)&gt;0,"",F1321)</f>
        <v>Jus de pomme, pur jus, France continentale, Base Carbone</v>
      </c>
      <c r="F1321" s="1051" t="str">
        <f t="shared" si="158"/>
        <v>Jus de pomme, pur jus, France continentale, Base Carbone</v>
      </c>
      <c r="G1321" s="1055" t="str">
        <f t="shared" si="159"/>
        <v>Jus de pomme, pur jus, France continentale, Base Carbone; kgCO2e/kg de produit</v>
      </c>
      <c r="I1321" s="2018" t="s">
        <v>4332</v>
      </c>
      <c r="J1321" s="1135" t="s">
        <v>4654</v>
      </c>
      <c r="K1321" s="1119" t="s">
        <v>1567</v>
      </c>
      <c r="L1321" s="1135" t="s">
        <v>1571</v>
      </c>
      <c r="M1321" s="2038">
        <v>0.5</v>
      </c>
      <c r="N1321" s="1135"/>
      <c r="O1321" s="2340">
        <v>0.41199999999999998</v>
      </c>
      <c r="P1321" s="2350">
        <v>0.41199999999999998</v>
      </c>
      <c r="Q1321" s="1135"/>
      <c r="R1321" s="1135"/>
      <c r="S1321" s="1135"/>
      <c r="T1321" s="1135"/>
      <c r="U1321" s="2041"/>
    </row>
    <row r="1322" spans="2:21" hidden="1" outlineLevel="2">
      <c r="B1322" s="1050">
        <v>49</v>
      </c>
      <c r="C1322" s="1050" t="str">
        <f t="shared" si="161"/>
        <v>Jus d'orange, maison, France continentale, Base Carbone</v>
      </c>
      <c r="D1322" s="1051">
        <f t="shared" si="160"/>
        <v>49</v>
      </c>
      <c r="E1322" s="1051" t="str">
        <f>IF(COUNTIF(E$1273:E1321,F1322)&gt;0,"",F1322)</f>
        <v>Jus d'orange, maison, France continentale, Base Carbone</v>
      </c>
      <c r="F1322" s="1051" t="str">
        <f t="shared" si="158"/>
        <v>Jus d'orange, maison, France continentale, Base Carbone</v>
      </c>
      <c r="G1322" s="1055" t="str">
        <f t="shared" si="159"/>
        <v>Jus d'orange, maison, France continentale, Base Carbone; kgCO2e/kg de produit</v>
      </c>
      <c r="I1322" s="2018" t="s">
        <v>4333</v>
      </c>
      <c r="J1322" s="1135" t="s">
        <v>4654</v>
      </c>
      <c r="K1322" s="1119" t="s">
        <v>1567</v>
      </c>
      <c r="L1322" s="1135" t="s">
        <v>1571</v>
      </c>
      <c r="M1322" s="2038">
        <v>0.5</v>
      </c>
      <c r="N1322" s="1135"/>
      <c r="O1322" s="2340">
        <v>1.03</v>
      </c>
      <c r="P1322" s="2350">
        <v>1.03</v>
      </c>
      <c r="Q1322" s="1135"/>
      <c r="R1322" s="1135"/>
      <c r="S1322" s="1135"/>
      <c r="T1322" s="1135"/>
      <c r="U1322" s="2041"/>
    </row>
    <row r="1323" spans="2:21" hidden="1" outlineLevel="2">
      <c r="B1323" s="1050">
        <v>50</v>
      </c>
      <c r="C1323" s="1050" t="str">
        <f t="shared" si="161"/>
        <v>Jus multifruit, pur jus, standard, France continentale, Base Carbone</v>
      </c>
      <c r="D1323" s="1051">
        <f t="shared" si="160"/>
        <v>50</v>
      </c>
      <c r="E1323" s="1051" t="str">
        <f>IF(COUNTIF(E$1273:E1322,F1323)&gt;0,"",F1323)</f>
        <v>Jus multifruit, pur jus, standard, France continentale, Base Carbone</v>
      </c>
      <c r="F1323" s="1051" t="str">
        <f t="shared" si="158"/>
        <v>Jus multifruit, pur jus, standard, France continentale, Base Carbone</v>
      </c>
      <c r="G1323" s="1055" t="str">
        <f t="shared" si="159"/>
        <v>Jus multifruit, pur jus, standard, France continentale, Base Carbone; kgCO2e/kg de produit</v>
      </c>
      <c r="I1323" s="2018" t="s">
        <v>4334</v>
      </c>
      <c r="J1323" s="1135" t="s">
        <v>4654</v>
      </c>
      <c r="K1323" s="1119" t="s">
        <v>1567</v>
      </c>
      <c r="L1323" s="1135" t="s">
        <v>1571</v>
      </c>
      <c r="M1323" s="2038">
        <v>0.5</v>
      </c>
      <c r="N1323" s="1135"/>
      <c r="O1323" s="2340">
        <v>0.80100000000000005</v>
      </c>
      <c r="P1323" s="2350">
        <v>0.80100000000000005</v>
      </c>
      <c r="Q1323" s="1135"/>
      <c r="R1323" s="1135"/>
      <c r="S1323" s="1135"/>
      <c r="T1323" s="1135"/>
      <c r="U1323" s="2041"/>
    </row>
    <row r="1324" spans="2:21" hidden="1" outlineLevel="2">
      <c r="B1324" s="1050">
        <v>51</v>
      </c>
      <c r="C1324" s="1050" t="str">
        <f t="shared" si="161"/>
        <v>Kir (au vin blanc), France continentale, Base Carbone</v>
      </c>
      <c r="D1324" s="1051">
        <f t="shared" si="160"/>
        <v>51</v>
      </c>
      <c r="E1324" s="1051" t="str">
        <f>IF(COUNTIF(E$1273:E1323,F1324)&gt;0,"",F1324)</f>
        <v>Kir (au vin blanc), France continentale, Base Carbone</v>
      </c>
      <c r="F1324" s="1051" t="str">
        <f t="shared" si="158"/>
        <v>Kir (au vin blanc), France continentale, Base Carbone</v>
      </c>
      <c r="G1324" s="1055" t="str">
        <f t="shared" si="159"/>
        <v>Kir (au vin blanc), France continentale, Base Carbone; kgCO2e/kg de produit</v>
      </c>
      <c r="I1324" s="2018" t="s">
        <v>4284</v>
      </c>
      <c r="J1324" s="1135" t="s">
        <v>4654</v>
      </c>
      <c r="K1324" s="1119" t="s">
        <v>1567</v>
      </c>
      <c r="L1324" s="1135" t="s">
        <v>1571</v>
      </c>
      <c r="M1324" s="2038">
        <v>0.5</v>
      </c>
      <c r="N1324" s="1135"/>
      <c r="O1324" s="2340">
        <v>1.24</v>
      </c>
      <c r="P1324" s="2350">
        <v>1.24</v>
      </c>
      <c r="Q1324" s="1135"/>
      <c r="R1324" s="1135"/>
      <c r="S1324" s="1135"/>
      <c r="T1324" s="1135"/>
      <c r="U1324" s="2041"/>
    </row>
    <row r="1325" spans="2:21" hidden="1" outlineLevel="2">
      <c r="B1325" s="1050">
        <v>52</v>
      </c>
      <c r="C1325" s="1050" t="str">
        <f t="shared" si="161"/>
        <v>Kir royal (au champagne), France continentale, Base Carbone</v>
      </c>
      <c r="D1325" s="1051">
        <f t="shared" si="160"/>
        <v>52</v>
      </c>
      <c r="E1325" s="1051" t="str">
        <f>IF(COUNTIF(E$1273:E1324,F1325)&gt;0,"",F1325)</f>
        <v>Kir royal (au champagne), France continentale, Base Carbone</v>
      </c>
      <c r="F1325" s="1051" t="str">
        <f t="shared" si="158"/>
        <v>Kir royal (au champagne), France continentale, Base Carbone</v>
      </c>
      <c r="G1325" s="1055" t="str">
        <f t="shared" si="159"/>
        <v>Kir royal (au champagne), France continentale, Base Carbone; kgCO2e/kg de produit</v>
      </c>
      <c r="I1325" s="2018" t="s">
        <v>4285</v>
      </c>
      <c r="J1325" s="1135" t="s">
        <v>4654</v>
      </c>
      <c r="K1325" s="1119" t="s">
        <v>1567</v>
      </c>
      <c r="L1325" s="1135" t="s">
        <v>1571</v>
      </c>
      <c r="M1325" s="2038">
        <v>0.5</v>
      </c>
      <c r="N1325" s="1135"/>
      <c r="O1325" s="2340">
        <v>1.25</v>
      </c>
      <c r="P1325" s="2350">
        <v>1.25</v>
      </c>
      <c r="Q1325" s="1135"/>
      <c r="R1325" s="1135"/>
      <c r="S1325" s="1135"/>
      <c r="T1325" s="1135"/>
      <c r="U1325" s="2041"/>
    </row>
    <row r="1326" spans="2:21" hidden="1" outlineLevel="2">
      <c r="B1326" s="1050">
        <v>53</v>
      </c>
      <c r="C1326" s="1050" t="str">
        <f t="shared" ref="C1326:C1361" si="162">IF(ISNA(VLOOKUP(B1326,$D$1273:$E$1361,2,FALSE)),"-",VLOOKUP(B1326,$D$1273:$E$1361,2,FALSE))</f>
        <v>Lait concentré sucré, entier, France continentale, Base Carbone</v>
      </c>
      <c r="D1326" s="1051">
        <f t="shared" ref="D1326:D1361" si="163">D1325+IF(LEN(E1326)&gt;0,1,0)</f>
        <v>53</v>
      </c>
      <c r="E1326" s="1051" t="str">
        <f>IF(COUNTIF(E$1273:E1325,F1326)&gt;0,"",F1326)</f>
        <v>Lait concentré sucré, entier, France continentale, Base Carbone</v>
      </c>
      <c r="F1326" s="1051" t="str">
        <f t="shared" ref="F1326:F1361" si="164">IF(I1326&lt;&gt;"",I1326&amp;IF(N1326&lt;&gt;""," "&amp;N1326,)&amp;IF(L1326&lt;&gt;"",", "&amp;L1326,"")&amp;IF(K1326&lt;&gt;"",", "&amp;K1326,""),"")</f>
        <v>Lait concentré sucré, entier, France continentale, Base Carbone</v>
      </c>
      <c r="G1326" s="1055" t="str">
        <f t="shared" ref="G1326:G1361" si="165">IF(F1326&lt;&gt;"",F1326&amp;IF(J1326&lt;&gt;"","; "&amp;J1326,""),"")</f>
        <v>Lait concentré sucré, entier, France continentale, Base Carbone; kgCO2e/kg de produit</v>
      </c>
      <c r="I1326" s="2018" t="s">
        <v>4473</v>
      </c>
      <c r="J1326" s="1135" t="s">
        <v>4654</v>
      </c>
      <c r="K1326" s="1119" t="s">
        <v>1567</v>
      </c>
      <c r="L1326" s="1135" t="s">
        <v>1571</v>
      </c>
      <c r="M1326" s="2038">
        <v>0.5</v>
      </c>
      <c r="N1326" s="1135"/>
      <c r="O1326" s="2340">
        <v>3.2805225</v>
      </c>
      <c r="P1326" s="2350">
        <v>3.2805225</v>
      </c>
      <c r="Q1326" s="1135"/>
      <c r="R1326" s="1135"/>
      <c r="S1326" s="1135"/>
      <c r="T1326" s="1135"/>
      <c r="U1326" s="2041"/>
    </row>
    <row r="1327" spans="2:21" hidden="1" outlineLevel="2">
      <c r="B1327" s="1050">
        <v>54</v>
      </c>
      <c r="C1327" s="1050" t="str">
        <f t="shared" si="162"/>
        <v>Lait de brebis, entier, France continentale, Base Carbone</v>
      </c>
      <c r="D1327" s="1051">
        <f t="shared" si="163"/>
        <v>54</v>
      </c>
      <c r="E1327" s="1051" t="str">
        <f>IF(COUNTIF(E$1273:E1326,F1327)&gt;0,"",F1327)</f>
        <v>Lait de brebis, entier, France continentale, Base Carbone</v>
      </c>
      <c r="F1327" s="1051" t="str">
        <f t="shared" si="164"/>
        <v>Lait de brebis, entier, France continentale, Base Carbone</v>
      </c>
      <c r="G1327" s="1055" t="str">
        <f t="shared" si="165"/>
        <v>Lait de brebis, entier, France continentale, Base Carbone; kgCO2e/kg de produit</v>
      </c>
      <c r="I1327" s="2018" t="s">
        <v>4474</v>
      </c>
      <c r="J1327" s="1135" t="s">
        <v>4654</v>
      </c>
      <c r="K1327" s="1119" t="s">
        <v>1567</v>
      </c>
      <c r="L1327" s="1135" t="s">
        <v>1571</v>
      </c>
      <c r="M1327" s="2038">
        <v>0.5</v>
      </c>
      <c r="N1327" s="1135"/>
      <c r="O1327" s="2340">
        <v>2.4163600999999999</v>
      </c>
      <c r="P1327" s="2350">
        <v>2.4163600999999999</v>
      </c>
      <c r="Q1327" s="1135"/>
      <c r="R1327" s="1135"/>
      <c r="S1327" s="1135"/>
      <c r="T1327" s="1135"/>
      <c r="U1327" s="2041"/>
    </row>
    <row r="1328" spans="2:21" hidden="1" outlineLevel="2">
      <c r="B1328" s="1050">
        <v>55</v>
      </c>
      <c r="C1328" s="1050" t="str">
        <f t="shared" si="162"/>
        <v>Lait de chèvre, demi-écrémé, UHT, France continentale, Base Carbone</v>
      </c>
      <c r="D1328" s="1051">
        <f t="shared" si="163"/>
        <v>55</v>
      </c>
      <c r="E1328" s="1051" t="str">
        <f>IF(COUNTIF(E$1273:E1327,F1328)&gt;0,"",F1328)</f>
        <v>Lait de chèvre, demi-écrémé, UHT, France continentale, Base Carbone</v>
      </c>
      <c r="F1328" s="1051" t="str">
        <f t="shared" si="164"/>
        <v>Lait de chèvre, demi-écrémé, UHT, France continentale, Base Carbone</v>
      </c>
      <c r="G1328" s="1055" t="str">
        <f t="shared" si="165"/>
        <v>Lait de chèvre, demi-écrémé, UHT, France continentale, Base Carbone; kgCO2e/kg de produit</v>
      </c>
      <c r="I1328" s="2018" t="s">
        <v>4475</v>
      </c>
      <c r="J1328" s="1135" t="s">
        <v>4654</v>
      </c>
      <c r="K1328" s="1119" t="s">
        <v>1567</v>
      </c>
      <c r="L1328" s="1135" t="s">
        <v>1571</v>
      </c>
      <c r="M1328" s="2038">
        <v>0.5</v>
      </c>
      <c r="N1328" s="1135"/>
      <c r="O1328" s="2340">
        <v>1.6277151000000001</v>
      </c>
      <c r="P1328" s="2350">
        <v>1.6277151000000001</v>
      </c>
      <c r="Q1328" s="1135"/>
      <c r="R1328" s="1135"/>
      <c r="S1328" s="1135"/>
      <c r="T1328" s="1135"/>
      <c r="U1328" s="2041"/>
    </row>
    <row r="1329" spans="2:21" hidden="1" outlineLevel="2">
      <c r="B1329" s="1050">
        <v>56</v>
      </c>
      <c r="C1329" s="1050" t="str">
        <f t="shared" si="162"/>
        <v>Lait demi-écrémé, UHT, France continentale, Base Carbone</v>
      </c>
      <c r="D1329" s="1051">
        <f t="shared" si="163"/>
        <v>56</v>
      </c>
      <c r="E1329" s="1051" t="str">
        <f>IF(COUNTIF(E$1273:E1328,F1329)&gt;0,"",F1329)</f>
        <v>Lait demi-écrémé, UHT, France continentale, Base Carbone</v>
      </c>
      <c r="F1329" s="1051" t="str">
        <f t="shared" si="164"/>
        <v>Lait demi-écrémé, UHT, France continentale, Base Carbone</v>
      </c>
      <c r="G1329" s="1055" t="str">
        <f t="shared" si="165"/>
        <v>Lait demi-écrémé, UHT, France continentale, Base Carbone; kgCO2e/kg de produit</v>
      </c>
      <c r="I1329" s="2018" t="s">
        <v>4476</v>
      </c>
      <c r="J1329" s="1135" t="s">
        <v>4654</v>
      </c>
      <c r="K1329" s="1119" t="s">
        <v>1567</v>
      </c>
      <c r="L1329" s="1135" t="s">
        <v>1571</v>
      </c>
      <c r="M1329" s="2038">
        <v>0.5</v>
      </c>
      <c r="N1329" s="1135"/>
      <c r="O1329" s="2340">
        <v>1.4865868</v>
      </c>
      <c r="P1329" s="2350">
        <v>1.4865868</v>
      </c>
      <c r="Q1329" s="1135"/>
      <c r="R1329" s="1135"/>
      <c r="S1329" s="1135"/>
      <c r="T1329" s="1135"/>
      <c r="U1329" s="2041"/>
    </row>
    <row r="1330" spans="2:21" hidden="1" outlineLevel="2">
      <c r="B1330" s="1050">
        <v>57</v>
      </c>
      <c r="C1330" s="1050" t="str">
        <f t="shared" si="162"/>
        <v>Lait écrémé, UHT, France continentale, Base Carbone</v>
      </c>
      <c r="D1330" s="1051">
        <f t="shared" si="163"/>
        <v>57</v>
      </c>
      <c r="E1330" s="1051" t="str">
        <f>IF(COUNTIF(E$1273:E1329,F1330)&gt;0,"",F1330)</f>
        <v>Lait écrémé, UHT, France continentale, Base Carbone</v>
      </c>
      <c r="F1330" s="1051" t="str">
        <f t="shared" si="164"/>
        <v>Lait écrémé, UHT, France continentale, Base Carbone</v>
      </c>
      <c r="G1330" s="1055" t="str">
        <f t="shared" si="165"/>
        <v>Lait écrémé, UHT, France continentale, Base Carbone; kgCO2e/kg de produit</v>
      </c>
      <c r="I1330" s="2018" t="s">
        <v>4477</v>
      </c>
      <c r="J1330" s="1135" t="s">
        <v>4654</v>
      </c>
      <c r="K1330" s="1119" t="s">
        <v>1567</v>
      </c>
      <c r="L1330" s="1135" t="s">
        <v>1571</v>
      </c>
      <c r="M1330" s="2038">
        <v>0.5</v>
      </c>
      <c r="N1330" s="1135"/>
      <c r="O1330" s="2340">
        <v>1.4865868</v>
      </c>
      <c r="P1330" s="2350">
        <v>1.4865868</v>
      </c>
      <c r="Q1330" s="1135"/>
      <c r="R1330" s="1135"/>
      <c r="S1330" s="1135"/>
      <c r="T1330" s="1135"/>
      <c r="U1330" s="2041"/>
    </row>
    <row r="1331" spans="2:21" hidden="1" outlineLevel="2">
      <c r="B1331" s="1050">
        <v>58</v>
      </c>
      <c r="C1331" s="1050" t="str">
        <f t="shared" si="162"/>
        <v>Lait entier, UHT, France continentale, Base Carbone</v>
      </c>
      <c r="D1331" s="1051">
        <f t="shared" si="163"/>
        <v>58</v>
      </c>
      <c r="E1331" s="1051" t="str">
        <f>IF(COUNTIF(E$1273:E1330,F1331)&gt;0,"",F1331)</f>
        <v>Lait entier, UHT, France continentale, Base Carbone</v>
      </c>
      <c r="F1331" s="1051" t="str">
        <f t="shared" si="164"/>
        <v>Lait entier, UHT, France continentale, Base Carbone</v>
      </c>
      <c r="G1331" s="1055" t="str">
        <f t="shared" si="165"/>
        <v>Lait entier, UHT, France continentale, Base Carbone; kgCO2e/kg de produit</v>
      </c>
      <c r="I1331" s="2018" t="s">
        <v>4478</v>
      </c>
      <c r="J1331" s="1135" t="s">
        <v>4654</v>
      </c>
      <c r="K1331" s="1119" t="s">
        <v>1567</v>
      </c>
      <c r="L1331" s="1135" t="s">
        <v>1571</v>
      </c>
      <c r="M1331" s="2038">
        <v>0.5</v>
      </c>
      <c r="N1331" s="1135"/>
      <c r="O1331" s="2340">
        <v>1.4865868</v>
      </c>
      <c r="P1331" s="2350">
        <v>1.4865868</v>
      </c>
      <c r="Q1331" s="1135"/>
      <c r="R1331" s="1135"/>
      <c r="S1331" s="1135"/>
      <c r="T1331" s="1135"/>
      <c r="U1331" s="2041"/>
    </row>
    <row r="1332" spans="2:21" hidden="1" outlineLevel="2">
      <c r="B1332" s="1050">
        <v>59</v>
      </c>
      <c r="C1332" s="1050" t="str">
        <f t="shared" si="162"/>
        <v>Lait de coco ou Crème de coco, France continentale, Base Carbone</v>
      </c>
      <c r="D1332" s="1051">
        <f t="shared" si="163"/>
        <v>59</v>
      </c>
      <c r="E1332" s="1051" t="str">
        <f>IF(COUNTIF(E$1273:E1331,F1332)&gt;0,"",F1332)</f>
        <v>Lait de coco ou Crème de coco, France continentale, Base Carbone</v>
      </c>
      <c r="F1332" s="1051" t="str">
        <f t="shared" si="164"/>
        <v>Lait de coco ou Crème de coco, France continentale, Base Carbone</v>
      </c>
      <c r="G1332" s="1055" t="str">
        <f t="shared" si="165"/>
        <v>Lait de coco ou Crème de coco, France continentale, Base Carbone; kgCO2e/kg de produit</v>
      </c>
      <c r="I1332" s="2018" t="s">
        <v>4286</v>
      </c>
      <c r="J1332" s="1135" t="s">
        <v>4654</v>
      </c>
      <c r="K1332" s="1119" t="s">
        <v>1567</v>
      </c>
      <c r="L1332" s="1135" t="s">
        <v>1571</v>
      </c>
      <c r="M1332" s="2038">
        <v>0.5</v>
      </c>
      <c r="N1332" s="1135"/>
      <c r="O1332" s="2340">
        <v>0.52002689000000002</v>
      </c>
      <c r="P1332" s="2350">
        <v>0.52002689000000002</v>
      </c>
      <c r="Q1332" s="1135"/>
      <c r="R1332" s="1135"/>
      <c r="S1332" s="1135"/>
      <c r="T1332" s="1135"/>
      <c r="U1332" s="2041"/>
    </row>
    <row r="1333" spans="2:21" hidden="1" outlineLevel="2">
      <c r="B1333" s="1050">
        <v>60</v>
      </c>
      <c r="C1333" s="1050" t="str">
        <f t="shared" si="162"/>
        <v>Limonade, sucrée, France continentale, Base Carbone</v>
      </c>
      <c r="D1333" s="1051">
        <f t="shared" si="163"/>
        <v>60</v>
      </c>
      <c r="E1333" s="1051" t="str">
        <f>IF(COUNTIF(E$1273:E1332,F1333)&gt;0,"",F1333)</f>
        <v>Limonade, sucrée, France continentale, Base Carbone</v>
      </c>
      <c r="F1333" s="1051" t="str">
        <f t="shared" si="164"/>
        <v>Limonade, sucrée, France continentale, Base Carbone</v>
      </c>
      <c r="G1333" s="1055" t="str">
        <f t="shared" si="165"/>
        <v>Limonade, sucrée, France continentale, Base Carbone; kgCO2e/kg de produit</v>
      </c>
      <c r="I1333" s="2018" t="s">
        <v>4335</v>
      </c>
      <c r="J1333" s="1135" t="s">
        <v>4654</v>
      </c>
      <c r="K1333" s="1119" t="s">
        <v>1567</v>
      </c>
      <c r="L1333" s="1135" t="s">
        <v>1571</v>
      </c>
      <c r="M1333" s="2038">
        <v>0.5</v>
      </c>
      <c r="N1333" s="1135"/>
      <c r="O1333" s="2340">
        <v>0.57218393000000001</v>
      </c>
      <c r="P1333" s="2350">
        <v>0.57218393000000001</v>
      </c>
      <c r="Q1333" s="1135"/>
      <c r="R1333" s="1135"/>
      <c r="S1333" s="1135"/>
      <c r="T1333" s="1135"/>
      <c r="U1333" s="2041"/>
    </row>
    <row r="1334" spans="2:21" hidden="1" outlineLevel="2">
      <c r="B1334" s="1050">
        <v>61</v>
      </c>
      <c r="C1334" s="1050" t="str">
        <f t="shared" si="162"/>
        <v>Liqueur, France continentale, Base Carbone</v>
      </c>
      <c r="D1334" s="1051">
        <f t="shared" si="163"/>
        <v>61</v>
      </c>
      <c r="E1334" s="1051" t="str">
        <f>IF(COUNTIF(E$1273:E1333,F1334)&gt;0,"",F1334)</f>
        <v>Liqueur, France continentale, Base Carbone</v>
      </c>
      <c r="F1334" s="1051" t="str">
        <f t="shared" si="164"/>
        <v>Liqueur, France continentale, Base Carbone</v>
      </c>
      <c r="G1334" s="1055" t="str">
        <f t="shared" si="165"/>
        <v>Liqueur, France continentale, Base Carbone; kgCO2e/kg de produit</v>
      </c>
      <c r="I1334" s="2018" t="s">
        <v>4287</v>
      </c>
      <c r="J1334" s="1135" t="s">
        <v>4654</v>
      </c>
      <c r="K1334" s="1119" t="s">
        <v>1567</v>
      </c>
      <c r="L1334" s="1135" t="s">
        <v>1571</v>
      </c>
      <c r="M1334" s="2038">
        <v>0.5</v>
      </c>
      <c r="N1334" s="1135"/>
      <c r="O1334" s="2340">
        <v>1.25</v>
      </c>
      <c r="P1334" s="2350">
        <v>1.25</v>
      </c>
      <c r="Q1334" s="1135"/>
      <c r="R1334" s="1135"/>
      <c r="S1334" s="1135"/>
      <c r="T1334" s="1135"/>
      <c r="U1334" s="2041"/>
    </row>
    <row r="1335" spans="2:21" hidden="1" outlineLevel="2">
      <c r="B1335" s="1050">
        <v>62</v>
      </c>
      <c r="C1335" s="1050" t="str">
        <f t="shared" si="162"/>
        <v>Marsala, France continentale, Base Carbone</v>
      </c>
      <c r="D1335" s="1051">
        <f t="shared" si="163"/>
        <v>62</v>
      </c>
      <c r="E1335" s="1051" t="str">
        <f>IF(COUNTIF(E$1273:E1334,F1335)&gt;0,"",F1335)</f>
        <v>Marsala, France continentale, Base Carbone</v>
      </c>
      <c r="F1335" s="1051" t="str">
        <f t="shared" si="164"/>
        <v>Marsala, France continentale, Base Carbone</v>
      </c>
      <c r="G1335" s="1055" t="str">
        <f t="shared" si="165"/>
        <v>Marsala, France continentale, Base Carbone; kgCO2e/kg de produit</v>
      </c>
      <c r="I1335" s="2018" t="s">
        <v>4288</v>
      </c>
      <c r="J1335" s="1135" t="s">
        <v>4654</v>
      </c>
      <c r="K1335" s="1119" t="s">
        <v>1567</v>
      </c>
      <c r="L1335" s="1135" t="s">
        <v>1571</v>
      </c>
      <c r="M1335" s="2038">
        <v>0.5</v>
      </c>
      <c r="N1335" s="1135"/>
      <c r="O1335" s="2340">
        <v>1.1299999999999999</v>
      </c>
      <c r="P1335" s="2350">
        <v>1.1299999999999999</v>
      </c>
      <c r="Q1335" s="1135"/>
      <c r="R1335" s="1135"/>
      <c r="S1335" s="1135"/>
      <c r="T1335" s="1135"/>
      <c r="U1335" s="2041"/>
    </row>
    <row r="1336" spans="2:21" hidden="1" outlineLevel="2">
      <c r="B1336" s="1050">
        <v>63</v>
      </c>
      <c r="C1336" s="1050" t="str">
        <f t="shared" si="162"/>
        <v>Nectar multifruit, standard, France continentale, Base Carbone</v>
      </c>
      <c r="D1336" s="1051">
        <f t="shared" si="163"/>
        <v>63</v>
      </c>
      <c r="E1336" s="1051" t="str">
        <f>IF(COUNTIF(E$1273:E1335,F1336)&gt;0,"",F1336)</f>
        <v>Nectar multifruit, standard, France continentale, Base Carbone</v>
      </c>
      <c r="F1336" s="1051" t="str">
        <f t="shared" si="164"/>
        <v>Nectar multifruit, standard, France continentale, Base Carbone</v>
      </c>
      <c r="G1336" s="1055" t="str">
        <f t="shared" si="165"/>
        <v>Nectar multifruit, standard, France continentale, Base Carbone; kgCO2e/kg de produit</v>
      </c>
      <c r="I1336" s="2018" t="s">
        <v>4336</v>
      </c>
      <c r="J1336" s="1135" t="s">
        <v>4654</v>
      </c>
      <c r="K1336" s="1119" t="s">
        <v>1567</v>
      </c>
      <c r="L1336" s="1135" t="s">
        <v>1571</v>
      </c>
      <c r="M1336" s="2038">
        <v>0.5</v>
      </c>
      <c r="N1336" s="1135"/>
      <c r="O1336" s="2340">
        <v>0.80100000000000005</v>
      </c>
      <c r="P1336" s="2350">
        <v>0.80100000000000005</v>
      </c>
      <c r="Q1336" s="1135"/>
      <c r="R1336" s="1135"/>
      <c r="S1336" s="1135"/>
      <c r="T1336" s="1135"/>
      <c r="U1336" s="2041"/>
    </row>
    <row r="1337" spans="2:21" hidden="1" outlineLevel="2">
      <c r="B1337" s="1050">
        <v>64</v>
      </c>
      <c r="C1337" s="1050" t="str">
        <f t="shared" si="162"/>
        <v>Panaché (limonade et bière), France continentale, Base Carbone</v>
      </c>
      <c r="D1337" s="1051">
        <f t="shared" si="163"/>
        <v>64</v>
      </c>
      <c r="E1337" s="1051" t="str">
        <f>IF(COUNTIF(E$1273:E1336,F1337)&gt;0,"",F1337)</f>
        <v>Panaché (limonade et bière), France continentale, Base Carbone</v>
      </c>
      <c r="F1337" s="1051" t="str">
        <f t="shared" si="164"/>
        <v>Panaché (limonade et bière), France continentale, Base Carbone</v>
      </c>
      <c r="G1337" s="1055" t="str">
        <f t="shared" si="165"/>
        <v>Panaché (limonade et bière), France continentale, Base Carbone; kgCO2e/kg de produit</v>
      </c>
      <c r="I1337" s="2018" t="s">
        <v>4337</v>
      </c>
      <c r="J1337" s="1135" t="s">
        <v>4654</v>
      </c>
      <c r="K1337" s="1119" t="s">
        <v>1567</v>
      </c>
      <c r="L1337" s="1135" t="s">
        <v>1571</v>
      </c>
      <c r="M1337" s="2038">
        <v>0.5</v>
      </c>
      <c r="N1337" s="1135"/>
      <c r="O1337" s="2340">
        <v>1.01</v>
      </c>
      <c r="P1337" s="2350">
        <v>1.01</v>
      </c>
      <c r="Q1337" s="1135"/>
      <c r="R1337" s="1135"/>
      <c r="S1337" s="1135"/>
      <c r="T1337" s="1135"/>
      <c r="U1337" s="2041"/>
    </row>
    <row r="1338" spans="2:21" hidden="1" outlineLevel="2">
      <c r="B1338" s="1050">
        <v>65</v>
      </c>
      <c r="C1338" s="1050" t="str">
        <f t="shared" si="162"/>
        <v>Pastis, France continentale, Base Carbone</v>
      </c>
      <c r="D1338" s="1051">
        <f t="shared" si="163"/>
        <v>65</v>
      </c>
      <c r="E1338" s="1051" t="str">
        <f>IF(COUNTIF(E$1273:E1337,F1338)&gt;0,"",F1338)</f>
        <v>Pastis, France continentale, Base Carbone</v>
      </c>
      <c r="F1338" s="1051" t="str">
        <f t="shared" si="164"/>
        <v>Pastis, France continentale, Base Carbone</v>
      </c>
      <c r="G1338" s="1055" t="str">
        <f t="shared" si="165"/>
        <v>Pastis, France continentale, Base Carbone; kgCO2e/kg de produit</v>
      </c>
      <c r="I1338" s="2018" t="s">
        <v>4289</v>
      </c>
      <c r="J1338" s="1135" t="s">
        <v>4654</v>
      </c>
      <c r="K1338" s="1119" t="s">
        <v>1567</v>
      </c>
      <c r="L1338" s="1135" t="s">
        <v>1571</v>
      </c>
      <c r="M1338" s="2038">
        <v>0.5</v>
      </c>
      <c r="N1338" s="1135"/>
      <c r="O1338" s="2340">
        <v>1.1599999999999999</v>
      </c>
      <c r="P1338" s="2350">
        <v>1.1599999999999999</v>
      </c>
      <c r="Q1338" s="1135"/>
      <c r="R1338" s="1135"/>
      <c r="S1338" s="1135"/>
      <c r="T1338" s="1135"/>
      <c r="U1338" s="2041"/>
    </row>
    <row r="1339" spans="2:21" hidden="1" outlineLevel="2">
      <c r="B1339" s="1050">
        <v>66</v>
      </c>
      <c r="C1339" s="1050" t="str">
        <f t="shared" si="162"/>
        <v>Pétillant de fruits, France continentale, Base Carbone</v>
      </c>
      <c r="D1339" s="1051">
        <f t="shared" si="163"/>
        <v>66</v>
      </c>
      <c r="E1339" s="1051" t="str">
        <f>IF(COUNTIF(E$1273:E1338,F1339)&gt;0,"",F1339)</f>
        <v>Pétillant de fruits, France continentale, Base Carbone</v>
      </c>
      <c r="F1339" s="1051" t="str">
        <f t="shared" si="164"/>
        <v>Pétillant de fruits, France continentale, Base Carbone</v>
      </c>
      <c r="G1339" s="1055" t="str">
        <f t="shared" si="165"/>
        <v>Pétillant de fruits, France continentale, Base Carbone; kgCO2e/kg de produit</v>
      </c>
      <c r="I1339" s="2018" t="s">
        <v>4290</v>
      </c>
      <c r="J1339" s="1135" t="s">
        <v>4654</v>
      </c>
      <c r="K1339" s="1119" t="s">
        <v>1567</v>
      </c>
      <c r="L1339" s="1135" t="s">
        <v>1571</v>
      </c>
      <c r="M1339" s="2038">
        <v>0.5</v>
      </c>
      <c r="N1339" s="1135"/>
      <c r="O1339" s="2340">
        <v>1.18</v>
      </c>
      <c r="P1339" s="2350">
        <v>1.18</v>
      </c>
      <c r="Q1339" s="1135"/>
      <c r="R1339" s="1135"/>
      <c r="S1339" s="1135"/>
      <c r="T1339" s="1135"/>
      <c r="U1339" s="2041"/>
    </row>
    <row r="1340" spans="2:21" hidden="1" outlineLevel="2">
      <c r="B1340" s="1050">
        <v>67</v>
      </c>
      <c r="C1340" s="1050" t="str">
        <f t="shared" si="162"/>
        <v>Poudre cacaotée ou au chocolat pour boisson, sucrée, France continentale, Base Carbone</v>
      </c>
      <c r="D1340" s="1051">
        <f t="shared" si="163"/>
        <v>67</v>
      </c>
      <c r="E1340" s="1051" t="str">
        <f>IF(COUNTIF(E$1273:E1339,F1340)&gt;0,"",F1340)</f>
        <v>Poudre cacaotée ou au chocolat pour boisson, sucrée, France continentale, Base Carbone</v>
      </c>
      <c r="F1340" s="1051" t="str">
        <f t="shared" si="164"/>
        <v>Poudre cacaotée ou au chocolat pour boisson, sucrée, France continentale, Base Carbone</v>
      </c>
      <c r="G1340" s="1055" t="str">
        <f t="shared" si="165"/>
        <v>Poudre cacaotée ou au chocolat pour boisson, sucrée, France continentale, Base Carbone; kgCO2e/kg de produit</v>
      </c>
      <c r="I1340" s="2018" t="s">
        <v>4338</v>
      </c>
      <c r="J1340" s="1135" t="s">
        <v>4654</v>
      </c>
      <c r="K1340" s="1119" t="s">
        <v>1567</v>
      </c>
      <c r="L1340" s="1135" t="s">
        <v>1571</v>
      </c>
      <c r="M1340" s="2038">
        <v>0.5</v>
      </c>
      <c r="N1340" s="1135"/>
      <c r="O1340" s="2340">
        <v>26.9</v>
      </c>
      <c r="P1340" s="2350">
        <v>26.9</v>
      </c>
      <c r="Q1340" s="1135"/>
      <c r="R1340" s="1135"/>
      <c r="S1340" s="1135"/>
      <c r="T1340" s="1135"/>
      <c r="U1340" s="2041"/>
    </row>
    <row r="1341" spans="2:21" hidden="1" outlineLevel="2">
      <c r="B1341" s="1050">
        <v>68</v>
      </c>
      <c r="C1341" s="1050" t="str">
        <f t="shared" si="162"/>
        <v>Rhum, France continentale, Base Carbone</v>
      </c>
      <c r="D1341" s="1051">
        <f t="shared" si="163"/>
        <v>68</v>
      </c>
      <c r="E1341" s="1051" t="str">
        <f>IF(COUNTIF(E$1273:E1340,F1341)&gt;0,"",F1341)</f>
        <v>Rhum, France continentale, Base Carbone</v>
      </c>
      <c r="F1341" s="1051" t="str">
        <f t="shared" si="164"/>
        <v>Rhum, France continentale, Base Carbone</v>
      </c>
      <c r="G1341" s="1055" t="str">
        <f t="shared" si="165"/>
        <v>Rhum, France continentale, Base Carbone; kgCO2e/kg de produit</v>
      </c>
      <c r="I1341" s="2018" t="s">
        <v>4339</v>
      </c>
      <c r="J1341" s="1135" t="s">
        <v>4654</v>
      </c>
      <c r="K1341" s="1119" t="s">
        <v>1567</v>
      </c>
      <c r="L1341" s="1135" t="s">
        <v>1571</v>
      </c>
      <c r="M1341" s="2038">
        <v>0.5</v>
      </c>
      <c r="N1341" s="1135"/>
      <c r="O1341" s="2340">
        <v>1.1563935999999999</v>
      </c>
      <c r="P1341" s="2350">
        <v>1.1563935999999999</v>
      </c>
      <c r="Q1341" s="1135"/>
      <c r="R1341" s="1135"/>
      <c r="S1341" s="1135"/>
      <c r="T1341" s="1135"/>
      <c r="U1341" s="2041"/>
    </row>
    <row r="1342" spans="2:21" hidden="1" outlineLevel="2">
      <c r="B1342" s="1050">
        <v>69</v>
      </c>
      <c r="C1342" s="1050" t="str">
        <f t="shared" si="162"/>
        <v>Saké ou Alcool de riz, France continentale, Base Carbone</v>
      </c>
      <c r="D1342" s="1051">
        <f t="shared" si="163"/>
        <v>69</v>
      </c>
      <c r="E1342" s="1051" t="str">
        <f>IF(COUNTIF(E$1273:E1341,F1342)&gt;0,"",F1342)</f>
        <v>Saké ou Alcool de riz, France continentale, Base Carbone</v>
      </c>
      <c r="F1342" s="1051" t="str">
        <f t="shared" si="164"/>
        <v>Saké ou Alcool de riz, France continentale, Base Carbone</v>
      </c>
      <c r="G1342" s="1055" t="str">
        <f t="shared" si="165"/>
        <v>Saké ou Alcool de riz, France continentale, Base Carbone; kgCO2e/kg de produit</v>
      </c>
      <c r="I1342" s="2018" t="s">
        <v>4291</v>
      </c>
      <c r="J1342" s="1135" t="s">
        <v>4654</v>
      </c>
      <c r="K1342" s="1119" t="s">
        <v>1567</v>
      </c>
      <c r="L1342" s="1135" t="s">
        <v>1571</v>
      </c>
      <c r="M1342" s="2038">
        <v>0.5</v>
      </c>
      <c r="N1342" s="1135"/>
      <c r="O1342" s="2340">
        <v>1.1599999999999999</v>
      </c>
      <c r="P1342" s="2350">
        <v>1.1599999999999999</v>
      </c>
      <c r="Q1342" s="1135"/>
      <c r="R1342" s="1135"/>
      <c r="S1342" s="1135"/>
      <c r="T1342" s="1135"/>
      <c r="U1342" s="2041"/>
    </row>
    <row r="1343" spans="2:21" hidden="1" outlineLevel="2">
      <c r="B1343" s="1050">
        <v>70</v>
      </c>
      <c r="C1343" s="1050" t="str">
        <f t="shared" si="162"/>
        <v>Sangria, France continentale, Base Carbone</v>
      </c>
      <c r="D1343" s="1051">
        <f t="shared" si="163"/>
        <v>70</v>
      </c>
      <c r="E1343" s="1051" t="str">
        <f>IF(COUNTIF(E$1273:E1342,F1343)&gt;0,"",F1343)</f>
        <v>Sangria, France continentale, Base Carbone</v>
      </c>
      <c r="F1343" s="1051" t="str">
        <f t="shared" si="164"/>
        <v>Sangria, France continentale, Base Carbone</v>
      </c>
      <c r="G1343" s="1055" t="str">
        <f t="shared" si="165"/>
        <v>Sangria, France continentale, Base Carbone; kgCO2e/kg de produit</v>
      </c>
      <c r="I1343" s="2018" t="s">
        <v>4292</v>
      </c>
      <c r="J1343" s="1135" t="s">
        <v>4654</v>
      </c>
      <c r="K1343" s="1119" t="s">
        <v>1567</v>
      </c>
      <c r="L1343" s="1135" t="s">
        <v>1571</v>
      </c>
      <c r="M1343" s="2038">
        <v>0.5</v>
      </c>
      <c r="N1343" s="1135"/>
      <c r="O1343" s="2340">
        <v>1.44</v>
      </c>
      <c r="P1343" s="2350">
        <v>1.44</v>
      </c>
      <c r="Q1343" s="1135"/>
      <c r="R1343" s="1135"/>
      <c r="S1343" s="1135"/>
      <c r="T1343" s="1135"/>
      <c r="U1343" s="2041"/>
    </row>
    <row r="1344" spans="2:21" hidden="1" outlineLevel="2">
      <c r="B1344" s="1050">
        <v>71</v>
      </c>
      <c r="C1344" s="1050" t="str">
        <f t="shared" si="162"/>
        <v>Sirop à diluer, sucré, France continentale, Base Carbone</v>
      </c>
      <c r="D1344" s="1051">
        <f t="shared" si="163"/>
        <v>71</v>
      </c>
      <c r="E1344" s="1051" t="str">
        <f>IF(COUNTIF(E$1273:E1343,F1344)&gt;0,"",F1344)</f>
        <v>Sirop à diluer, sucré, France continentale, Base Carbone</v>
      </c>
      <c r="F1344" s="1051" t="str">
        <f t="shared" si="164"/>
        <v>Sirop à diluer, sucré, France continentale, Base Carbone</v>
      </c>
      <c r="G1344" s="1055" t="str">
        <f t="shared" si="165"/>
        <v>Sirop à diluer, sucré, France continentale, Base Carbone; kgCO2e/kg de produit</v>
      </c>
      <c r="I1344" s="2018" t="s">
        <v>4340</v>
      </c>
      <c r="J1344" s="1135" t="s">
        <v>4654</v>
      </c>
      <c r="K1344" s="1119" t="s">
        <v>1567</v>
      </c>
      <c r="L1344" s="1135" t="s">
        <v>1571</v>
      </c>
      <c r="M1344" s="2038">
        <v>0.5</v>
      </c>
      <c r="N1344" s="1135"/>
      <c r="O1344" s="2340">
        <v>1.06</v>
      </c>
      <c r="P1344" s="2350">
        <v>1.06</v>
      </c>
      <c r="Q1344" s="1135"/>
      <c r="R1344" s="1135"/>
      <c r="S1344" s="1135"/>
      <c r="T1344" s="1135"/>
      <c r="U1344" s="2041"/>
    </row>
    <row r="1345" spans="2:21" hidden="1" outlineLevel="2">
      <c r="B1345" s="1050">
        <v>72</v>
      </c>
      <c r="C1345" s="1050" t="str">
        <f t="shared" si="162"/>
        <v>Smoothie, France continentale, Base Carbone</v>
      </c>
      <c r="D1345" s="1051">
        <f t="shared" si="163"/>
        <v>72</v>
      </c>
      <c r="E1345" s="1051" t="str">
        <f>IF(COUNTIF(E$1273:E1344,F1345)&gt;0,"",F1345)</f>
        <v>Smoothie, France continentale, Base Carbone</v>
      </c>
      <c r="F1345" s="1051" t="str">
        <f t="shared" si="164"/>
        <v>Smoothie, France continentale, Base Carbone</v>
      </c>
      <c r="G1345" s="1055" t="str">
        <f t="shared" si="165"/>
        <v>Smoothie, France continentale, Base Carbone; kgCO2e/kg de produit</v>
      </c>
      <c r="I1345" s="2018" t="s">
        <v>4293</v>
      </c>
      <c r="J1345" s="1135" t="s">
        <v>4654</v>
      </c>
      <c r="K1345" s="1119" t="s">
        <v>1567</v>
      </c>
      <c r="L1345" s="1135" t="s">
        <v>1571</v>
      </c>
      <c r="M1345" s="2038">
        <v>0.5</v>
      </c>
      <c r="N1345" s="1135"/>
      <c r="O1345" s="2340">
        <v>0.68300000000000005</v>
      </c>
      <c r="P1345" s="2350">
        <v>0.68300000000000005</v>
      </c>
      <c r="Q1345" s="1135"/>
      <c r="R1345" s="1135"/>
      <c r="S1345" s="1135"/>
      <c r="T1345" s="1135"/>
      <c r="U1345" s="2041"/>
    </row>
    <row r="1346" spans="2:21" hidden="1" outlineLevel="2">
      <c r="B1346" s="1050">
        <v>73</v>
      </c>
      <c r="C1346" s="1050" t="str">
        <f t="shared" si="162"/>
        <v>Thé infusé, non sucré, France continentale, Base Carbone</v>
      </c>
      <c r="D1346" s="1051">
        <f t="shared" si="163"/>
        <v>73</v>
      </c>
      <c r="E1346" s="1051" t="str">
        <f>IF(COUNTIF(E$1273:E1345,F1346)&gt;0,"",F1346)</f>
        <v>Thé infusé, non sucré, France continentale, Base Carbone</v>
      </c>
      <c r="F1346" s="1051" t="str">
        <f t="shared" si="164"/>
        <v>Thé infusé, non sucré, France continentale, Base Carbone</v>
      </c>
      <c r="G1346" s="1055" t="str">
        <f t="shared" si="165"/>
        <v>Thé infusé, non sucré, France continentale, Base Carbone; kgCO2e/kg de produit</v>
      </c>
      <c r="I1346" s="2018" t="s">
        <v>4341</v>
      </c>
      <c r="J1346" s="1135" t="s">
        <v>4654</v>
      </c>
      <c r="K1346" s="1119" t="s">
        <v>1567</v>
      </c>
      <c r="L1346" s="1135" t="s">
        <v>1571</v>
      </c>
      <c r="M1346" s="2038">
        <v>0.5</v>
      </c>
      <c r="N1346" s="1135"/>
      <c r="O1346" s="2340">
        <v>5.1400000000000001E-2</v>
      </c>
      <c r="P1346" s="2350">
        <v>5.1400000000000001E-2</v>
      </c>
      <c r="Q1346" s="1135"/>
      <c r="R1346" s="1135"/>
      <c r="S1346" s="1135"/>
      <c r="T1346" s="1135"/>
      <c r="U1346" s="2041"/>
    </row>
    <row r="1347" spans="2:21" hidden="1" outlineLevel="2">
      <c r="B1347" s="1050">
        <v>74</v>
      </c>
      <c r="C1347" s="1050" t="str">
        <f t="shared" si="162"/>
        <v>Tonic ou bitter, non sucré, avec édulcorants, France continentale, Base Carbone</v>
      </c>
      <c r="D1347" s="1051">
        <f t="shared" si="163"/>
        <v>74</v>
      </c>
      <c r="E1347" s="1051" t="str">
        <f>IF(COUNTIF(E$1273:E1346,F1347)&gt;0,"",F1347)</f>
        <v>Tonic ou bitter, non sucré, avec édulcorants, France continentale, Base Carbone</v>
      </c>
      <c r="F1347" s="1051" t="str">
        <f t="shared" si="164"/>
        <v>Tonic ou bitter, non sucré, avec édulcorants, France continentale, Base Carbone</v>
      </c>
      <c r="G1347" s="1055" t="str">
        <f t="shared" si="165"/>
        <v>Tonic ou bitter, non sucré, avec édulcorants, France continentale, Base Carbone; kgCO2e/kg de produit</v>
      </c>
      <c r="I1347" s="2018" t="s">
        <v>4342</v>
      </c>
      <c r="J1347" s="1135" t="s">
        <v>4654</v>
      </c>
      <c r="K1347" s="1119" t="s">
        <v>1567</v>
      </c>
      <c r="L1347" s="1135" t="s">
        <v>1571</v>
      </c>
      <c r="M1347" s="2038">
        <v>0.5</v>
      </c>
      <c r="N1347" s="1135"/>
      <c r="O1347" s="2340">
        <v>0.57199999999999995</v>
      </c>
      <c r="P1347" s="2350">
        <v>0.57199999999999995</v>
      </c>
      <c r="Q1347" s="1135"/>
      <c r="R1347" s="1135"/>
      <c r="S1347" s="1135"/>
      <c r="T1347" s="1135"/>
      <c r="U1347" s="2041"/>
    </row>
    <row r="1348" spans="2:21" hidden="1" outlineLevel="2">
      <c r="B1348" s="1050">
        <v>75</v>
      </c>
      <c r="C1348" s="1050" t="str">
        <f t="shared" si="162"/>
        <v>Vin blanc sec 11°, France continentale, Base Carbone</v>
      </c>
      <c r="D1348" s="1051">
        <f t="shared" si="163"/>
        <v>75</v>
      </c>
      <c r="E1348" s="1051" t="str">
        <f>IF(COUNTIF(E$1273:E1347,F1348)&gt;0,"",F1348)</f>
        <v>Vin blanc sec 11°, France continentale, Base Carbone</v>
      </c>
      <c r="F1348" s="1051" t="str">
        <f t="shared" si="164"/>
        <v>Vin blanc sec 11°, France continentale, Base Carbone</v>
      </c>
      <c r="G1348" s="1055" t="str">
        <f t="shared" si="165"/>
        <v>Vin blanc sec 11°, France continentale, Base Carbone; kgCO2e/kg de produit</v>
      </c>
      <c r="I1348" s="2018" t="s">
        <v>4343</v>
      </c>
      <c r="J1348" s="1135" t="s">
        <v>4654</v>
      </c>
      <c r="K1348" s="1119" t="s">
        <v>1567</v>
      </c>
      <c r="L1348" s="1135" t="s">
        <v>1571</v>
      </c>
      <c r="M1348" s="2038">
        <v>0.5</v>
      </c>
      <c r="N1348" s="1135"/>
      <c r="O1348" s="2340">
        <v>1.1399999999999999</v>
      </c>
      <c r="P1348" s="2350">
        <v>1.1399999999999999</v>
      </c>
      <c r="Q1348" s="1135"/>
      <c r="R1348" s="1135"/>
      <c r="S1348" s="1135"/>
      <c r="T1348" s="1135"/>
      <c r="U1348" s="2041"/>
    </row>
    <row r="1349" spans="2:21" hidden="1" outlineLevel="2">
      <c r="B1349" s="1050">
        <v>76</v>
      </c>
      <c r="C1349" s="1050" t="str">
        <f t="shared" si="162"/>
        <v>Vin doux, France continentale, Base Carbone</v>
      </c>
      <c r="D1349" s="1051">
        <f t="shared" si="163"/>
        <v>76</v>
      </c>
      <c r="E1349" s="1051" t="str">
        <f>IF(COUNTIF(E$1273:E1348,F1349)&gt;0,"",F1349)</f>
        <v>Vin doux, France continentale, Base Carbone</v>
      </c>
      <c r="F1349" s="1051" t="str">
        <f t="shared" si="164"/>
        <v>Vin doux, France continentale, Base Carbone</v>
      </c>
      <c r="G1349" s="1055" t="str">
        <f t="shared" si="165"/>
        <v>Vin doux, France continentale, Base Carbone; kgCO2e/kg de produit</v>
      </c>
      <c r="I1349" s="2018" t="s">
        <v>4294</v>
      </c>
      <c r="J1349" s="1135" t="s">
        <v>4654</v>
      </c>
      <c r="K1349" s="1119" t="s">
        <v>1567</v>
      </c>
      <c r="L1349" s="1135" t="s">
        <v>1571</v>
      </c>
      <c r="M1349" s="2038">
        <v>0.5</v>
      </c>
      <c r="N1349" s="1135"/>
      <c r="O1349" s="2340">
        <v>1.02</v>
      </c>
      <c r="P1349" s="2350">
        <v>1.02</v>
      </c>
      <c r="Q1349" s="1135"/>
      <c r="R1349" s="1135"/>
      <c r="S1349" s="1135"/>
      <c r="T1349" s="1135"/>
      <c r="U1349" s="2041"/>
    </row>
    <row r="1350" spans="2:21" hidden="1" outlineLevel="2">
      <c r="B1350" s="1050">
        <v>77</v>
      </c>
      <c r="C1350" s="1050" t="str">
        <f t="shared" si="162"/>
        <v>Vin rosé 11°, France continentale, Base Carbone</v>
      </c>
      <c r="D1350" s="1051">
        <f t="shared" si="163"/>
        <v>77</v>
      </c>
      <c r="E1350" s="1051" t="str">
        <f>IF(COUNTIF(E$1273:E1349,F1350)&gt;0,"",F1350)</f>
        <v>Vin rosé 11°, France continentale, Base Carbone</v>
      </c>
      <c r="F1350" s="1051" t="str">
        <f t="shared" si="164"/>
        <v>Vin rosé 11°, France continentale, Base Carbone</v>
      </c>
      <c r="G1350" s="1055" t="str">
        <f t="shared" si="165"/>
        <v>Vin rosé 11°, France continentale, Base Carbone; kgCO2e/kg de produit</v>
      </c>
      <c r="I1350" s="2018" t="s">
        <v>4295</v>
      </c>
      <c r="J1350" s="1135" t="s">
        <v>4654</v>
      </c>
      <c r="K1350" s="1119" t="s">
        <v>1567</v>
      </c>
      <c r="L1350" s="1135" t="s">
        <v>1571</v>
      </c>
      <c r="M1350" s="2038">
        <v>0.5</v>
      </c>
      <c r="N1350" s="1135"/>
      <c r="O1350" s="2340">
        <v>1.1100000000000001</v>
      </c>
      <c r="P1350" s="2350">
        <v>1.1100000000000001</v>
      </c>
      <c r="Q1350" s="1135"/>
      <c r="R1350" s="1135"/>
      <c r="S1350" s="1135"/>
      <c r="T1350" s="1135"/>
      <c r="U1350" s="2041"/>
    </row>
    <row r="1351" spans="2:21" hidden="1" outlineLevel="2">
      <c r="B1351" s="1050">
        <v>78</v>
      </c>
      <c r="C1351" s="1050" t="str">
        <f t="shared" si="162"/>
        <v>Vin rouge 10°, France continentale, Base Carbone</v>
      </c>
      <c r="D1351" s="1051">
        <f t="shared" si="163"/>
        <v>78</v>
      </c>
      <c r="E1351" s="1051" t="str">
        <f>IF(COUNTIF(E$1273:E1350,F1351)&gt;0,"",F1351)</f>
        <v>Vin rouge 10°, France continentale, Base Carbone</v>
      </c>
      <c r="F1351" s="1051" t="str">
        <f t="shared" si="164"/>
        <v>Vin rouge 10°, France continentale, Base Carbone</v>
      </c>
      <c r="G1351" s="1055" t="str">
        <f t="shared" si="165"/>
        <v>Vin rouge 10°, France continentale, Base Carbone; kgCO2e/kg de produit</v>
      </c>
      <c r="I1351" s="2018" t="s">
        <v>4344</v>
      </c>
      <c r="J1351" s="1135" t="s">
        <v>4654</v>
      </c>
      <c r="K1351" s="1119" t="s">
        <v>1567</v>
      </c>
      <c r="L1351" s="1135" t="s">
        <v>1571</v>
      </c>
      <c r="M1351" s="2038">
        <v>0.5</v>
      </c>
      <c r="N1351" s="1135"/>
      <c r="O1351" s="2340">
        <v>1.1264953</v>
      </c>
      <c r="P1351" s="2350">
        <v>1.1264953</v>
      </c>
      <c r="Q1351" s="1135"/>
      <c r="R1351" s="1135"/>
      <c r="S1351" s="1135"/>
      <c r="T1351" s="1135"/>
      <c r="U1351" s="2041"/>
    </row>
    <row r="1352" spans="2:21" hidden="1" outlineLevel="2">
      <c r="B1352" s="1050">
        <v>79</v>
      </c>
      <c r="C1352" s="1050" t="str">
        <f t="shared" si="162"/>
        <v>Vin rouge 11°, France continentale, Base Carbone</v>
      </c>
      <c r="D1352" s="1051">
        <f t="shared" si="163"/>
        <v>79</v>
      </c>
      <c r="E1352" s="1051" t="str">
        <f>IF(COUNTIF(E$1273:E1351,F1352)&gt;0,"",F1352)</f>
        <v>Vin rouge 11°, France continentale, Base Carbone</v>
      </c>
      <c r="F1352" s="1051" t="str">
        <f t="shared" si="164"/>
        <v>Vin rouge 11°, France continentale, Base Carbone</v>
      </c>
      <c r="G1352" s="1055" t="str">
        <f t="shared" si="165"/>
        <v>Vin rouge 11°, France continentale, Base Carbone; kgCO2e/kg de produit</v>
      </c>
      <c r="I1352" s="2018" t="s">
        <v>4345</v>
      </c>
      <c r="J1352" s="1135" t="s">
        <v>4654</v>
      </c>
      <c r="K1352" s="1119" t="s">
        <v>1567</v>
      </c>
      <c r="L1352" s="1135" t="s">
        <v>1571</v>
      </c>
      <c r="M1352" s="2038">
        <v>0.5</v>
      </c>
      <c r="N1352" s="1135"/>
      <c r="O1352" s="2340">
        <v>1.1264953</v>
      </c>
      <c r="P1352" s="2350">
        <v>1.1264953</v>
      </c>
      <c r="Q1352" s="1135"/>
      <c r="R1352" s="1135"/>
      <c r="S1352" s="1135"/>
      <c r="T1352" s="1135"/>
      <c r="U1352" s="2041"/>
    </row>
    <row r="1353" spans="2:21" hidden="1" outlineLevel="2">
      <c r="B1353" s="1050">
        <v>80</v>
      </c>
      <c r="C1353" s="1050" t="str">
        <f t="shared" si="162"/>
        <v>Vin rouge 12°, France continentale, Base Carbone</v>
      </c>
      <c r="D1353" s="1051">
        <f t="shared" si="163"/>
        <v>80</v>
      </c>
      <c r="E1353" s="1051" t="str">
        <f>IF(COUNTIF(E$1273:E1352,F1353)&gt;0,"",F1353)</f>
        <v>Vin rouge 12°, France continentale, Base Carbone</v>
      </c>
      <c r="F1353" s="1051" t="str">
        <f t="shared" si="164"/>
        <v>Vin rouge 12°, France continentale, Base Carbone</v>
      </c>
      <c r="G1353" s="1055" t="str">
        <f t="shared" si="165"/>
        <v>Vin rouge 12°, France continentale, Base Carbone; kgCO2e/kg de produit</v>
      </c>
      <c r="I1353" s="2018" t="s">
        <v>4346</v>
      </c>
      <c r="J1353" s="1135" t="s">
        <v>4654</v>
      </c>
      <c r="K1353" s="1119" t="s">
        <v>1567</v>
      </c>
      <c r="L1353" s="1135" t="s">
        <v>1571</v>
      </c>
      <c r="M1353" s="2038">
        <v>0.5</v>
      </c>
      <c r="N1353" s="1135"/>
      <c r="O1353" s="2340">
        <v>1.1264953</v>
      </c>
      <c r="P1353" s="2350">
        <v>1.1264953</v>
      </c>
      <c r="Q1353" s="1135"/>
      <c r="R1353" s="1135"/>
      <c r="S1353" s="1135"/>
      <c r="T1353" s="1135"/>
      <c r="U1353" s="2041"/>
    </row>
    <row r="1354" spans="2:21" hidden="1" outlineLevel="2">
      <c r="B1354" s="1050">
        <v>81</v>
      </c>
      <c r="C1354" s="1050" t="str">
        <f t="shared" si="162"/>
        <v>Vin rouge 13°, France continentale, Base Carbone</v>
      </c>
      <c r="D1354" s="1051">
        <f t="shared" si="163"/>
        <v>81</v>
      </c>
      <c r="E1354" s="1051" t="str">
        <f>IF(COUNTIF(E$1273:E1353,F1354)&gt;0,"",F1354)</f>
        <v>Vin rouge 13°, France continentale, Base Carbone</v>
      </c>
      <c r="F1354" s="1051" t="str">
        <f t="shared" si="164"/>
        <v>Vin rouge 13°, France continentale, Base Carbone</v>
      </c>
      <c r="G1354" s="1055" t="str">
        <f t="shared" si="165"/>
        <v>Vin rouge 13°, France continentale, Base Carbone; kgCO2e/kg de produit</v>
      </c>
      <c r="I1354" s="2018" t="s">
        <v>4347</v>
      </c>
      <c r="J1354" s="1135" t="s">
        <v>4654</v>
      </c>
      <c r="K1354" s="1119" t="s">
        <v>1567</v>
      </c>
      <c r="L1354" s="1135" t="s">
        <v>1571</v>
      </c>
      <c r="M1354" s="2038">
        <v>0.5</v>
      </c>
      <c r="N1354" s="1135"/>
      <c r="O1354" s="2340">
        <v>1.1264953</v>
      </c>
      <c r="P1354" s="2350">
        <v>1.1264953</v>
      </c>
      <c r="Q1354" s="1135"/>
      <c r="R1354" s="1135"/>
      <c r="S1354" s="1135"/>
      <c r="T1354" s="1135"/>
      <c r="U1354" s="2041"/>
    </row>
    <row r="1355" spans="2:21" hidden="1" outlineLevel="2">
      <c r="B1355" s="1050">
        <v>82</v>
      </c>
      <c r="C1355" s="1050" t="str">
        <f t="shared" si="162"/>
        <v>Vodka, France continentale, Base Carbone</v>
      </c>
      <c r="D1355" s="1051">
        <f t="shared" si="163"/>
        <v>82</v>
      </c>
      <c r="E1355" s="1051" t="str">
        <f>IF(COUNTIF(E$1273:E1354,F1355)&gt;0,"",F1355)</f>
        <v>Vodka, France continentale, Base Carbone</v>
      </c>
      <c r="F1355" s="1051" t="str">
        <f t="shared" si="164"/>
        <v>Vodka, France continentale, Base Carbone</v>
      </c>
      <c r="G1355" s="1055" t="str">
        <f t="shared" si="165"/>
        <v>Vodka, France continentale, Base Carbone; kgCO2e/kg de produit</v>
      </c>
      <c r="I1355" s="2018" t="s">
        <v>4348</v>
      </c>
      <c r="J1355" s="1135" t="s">
        <v>4654</v>
      </c>
      <c r="K1355" s="1119" t="s">
        <v>1567</v>
      </c>
      <c r="L1355" s="1135" t="s">
        <v>1571</v>
      </c>
      <c r="M1355" s="2038">
        <v>0.5</v>
      </c>
      <c r="N1355" s="1135"/>
      <c r="O1355" s="2340">
        <v>1.1563935999999999</v>
      </c>
      <c r="P1355" s="2350">
        <v>1.1563935999999999</v>
      </c>
      <c r="Q1355" s="1135"/>
      <c r="R1355" s="1135"/>
      <c r="S1355" s="1135"/>
      <c r="T1355" s="1135"/>
      <c r="U1355" s="2041"/>
    </row>
    <row r="1356" spans="2:21" hidden="1" outlineLevel="2">
      <c r="B1356" s="1050">
        <v>83</v>
      </c>
      <c r="C1356" s="1050" t="str">
        <f t="shared" si="162"/>
        <v>Whisky, France continentale, Base Carbone</v>
      </c>
      <c r="D1356" s="1051">
        <f t="shared" si="163"/>
        <v>83</v>
      </c>
      <c r="E1356" s="1051" t="str">
        <f>IF(COUNTIF(E$1273:E1355,F1356)&gt;0,"",F1356)</f>
        <v>Whisky, France continentale, Base Carbone</v>
      </c>
      <c r="F1356" s="1051" t="str">
        <f t="shared" si="164"/>
        <v>Whisky, France continentale, Base Carbone</v>
      </c>
      <c r="G1356" s="1055" t="str">
        <f t="shared" si="165"/>
        <v>Whisky, France continentale, Base Carbone; kgCO2e/kg de produit</v>
      </c>
      <c r="I1356" s="2018" t="s">
        <v>4349</v>
      </c>
      <c r="J1356" s="1135" t="s">
        <v>4654</v>
      </c>
      <c r="K1356" s="1119" t="s">
        <v>1567</v>
      </c>
      <c r="L1356" s="1135" t="s">
        <v>1571</v>
      </c>
      <c r="M1356" s="2038">
        <v>0.5</v>
      </c>
      <c r="N1356" s="1135"/>
      <c r="O1356" s="2340">
        <v>1.1563935999999999</v>
      </c>
      <c r="P1356" s="2350">
        <v>1.1563935999999999</v>
      </c>
      <c r="Q1356" s="1135"/>
      <c r="R1356" s="1135"/>
      <c r="S1356" s="1135"/>
      <c r="T1356" s="1135"/>
      <c r="U1356" s="2041"/>
    </row>
    <row r="1357" spans="2:21" hidden="1" outlineLevel="2">
      <c r="B1357" s="1050">
        <v>84</v>
      </c>
      <c r="C1357" s="1050" t="str">
        <f t="shared" si="162"/>
        <v>-</v>
      </c>
      <c r="D1357" s="1051">
        <f t="shared" si="163"/>
        <v>83</v>
      </c>
      <c r="E1357" s="1051" t="str">
        <f>IF(COUNTIF(E$1273:E1356,F1357)&gt;0,"",F1357)</f>
        <v/>
      </c>
      <c r="F1357" s="1051" t="str">
        <f t="shared" si="164"/>
        <v/>
      </c>
      <c r="G1357" s="1055" t="str">
        <f t="shared" si="165"/>
        <v/>
      </c>
      <c r="I1357" s="2018"/>
      <c r="J1357" s="1135"/>
      <c r="K1357" s="1135"/>
      <c r="L1357" s="1135"/>
      <c r="M1357" s="1135"/>
      <c r="N1357" s="1135"/>
      <c r="O1357" s="2340"/>
      <c r="P1357" s="2340"/>
      <c r="Q1357" s="1135"/>
      <c r="R1357" s="1135"/>
      <c r="S1357" s="1135"/>
      <c r="T1357" s="1135"/>
      <c r="U1357" s="2041"/>
    </row>
    <row r="1358" spans="2:21" hidden="1" outlineLevel="2">
      <c r="B1358" s="1050">
        <v>85</v>
      </c>
      <c r="C1358" s="1050" t="str">
        <f t="shared" si="162"/>
        <v>-</v>
      </c>
      <c r="D1358" s="1051">
        <f t="shared" si="163"/>
        <v>83</v>
      </c>
      <c r="E1358" s="1051" t="str">
        <f>IF(COUNTIF(E$1273:E1357,F1358)&gt;0,"",F1358)</f>
        <v/>
      </c>
      <c r="F1358" s="1051" t="str">
        <f t="shared" si="164"/>
        <v/>
      </c>
      <c r="G1358" s="1055" t="str">
        <f t="shared" si="165"/>
        <v/>
      </c>
      <c r="I1358" s="2018"/>
      <c r="J1358" s="1135"/>
      <c r="K1358" s="1135"/>
      <c r="L1358" s="1135"/>
      <c r="M1358" s="1135"/>
      <c r="N1358" s="1135"/>
      <c r="O1358" s="2340"/>
      <c r="P1358" s="2340"/>
      <c r="Q1358" s="1135"/>
      <c r="R1358" s="1135"/>
      <c r="S1358" s="1135"/>
      <c r="T1358" s="1135"/>
      <c r="U1358" s="2041"/>
    </row>
    <row r="1359" spans="2:21" hidden="1" outlineLevel="2">
      <c r="B1359" s="1050">
        <v>86</v>
      </c>
      <c r="C1359" s="1050" t="str">
        <f t="shared" si="162"/>
        <v>-</v>
      </c>
      <c r="D1359" s="1051">
        <f t="shared" si="163"/>
        <v>83</v>
      </c>
      <c r="E1359" s="1051" t="str">
        <f>IF(COUNTIF(E$1273:E1358,F1359)&gt;0,"",F1359)</f>
        <v/>
      </c>
      <c r="F1359" s="1051" t="str">
        <f t="shared" si="164"/>
        <v/>
      </c>
      <c r="G1359" s="1055" t="str">
        <f t="shared" si="165"/>
        <v/>
      </c>
      <c r="I1359" s="2018"/>
      <c r="J1359" s="1135"/>
      <c r="K1359" s="1135"/>
      <c r="L1359" s="1135"/>
      <c r="M1359" s="1135"/>
      <c r="N1359" s="1135"/>
      <c r="O1359" s="2340"/>
      <c r="P1359" s="2340"/>
      <c r="Q1359" s="1135"/>
      <c r="R1359" s="1135"/>
      <c r="S1359" s="1135"/>
      <c r="T1359" s="1135"/>
      <c r="U1359" s="2041"/>
    </row>
    <row r="1360" spans="2:21" hidden="1" outlineLevel="2">
      <c r="B1360" s="1050">
        <v>87</v>
      </c>
      <c r="C1360" s="1050" t="str">
        <f t="shared" si="162"/>
        <v>-</v>
      </c>
      <c r="D1360" s="1051">
        <f t="shared" si="163"/>
        <v>83</v>
      </c>
      <c r="E1360" s="1051" t="str">
        <f>IF(COUNTIF(E$1273:E1359,F1360)&gt;0,"",F1360)</f>
        <v/>
      </c>
      <c r="F1360" s="1051" t="str">
        <f t="shared" si="164"/>
        <v/>
      </c>
      <c r="G1360" s="1055" t="str">
        <f t="shared" si="165"/>
        <v/>
      </c>
      <c r="I1360" s="2018"/>
      <c r="J1360" s="1135"/>
      <c r="K1360" s="1135"/>
      <c r="L1360" s="1135"/>
      <c r="M1360" s="1135"/>
      <c r="N1360" s="1135"/>
      <c r="O1360" s="2340"/>
      <c r="P1360" s="2340"/>
      <c r="Q1360" s="1135"/>
      <c r="R1360" s="1135"/>
      <c r="S1360" s="1135"/>
      <c r="T1360" s="1135"/>
      <c r="U1360" s="2041"/>
    </row>
    <row r="1361" spans="2:21" hidden="1" outlineLevel="2">
      <c r="B1361" s="1050">
        <v>88</v>
      </c>
      <c r="C1361" s="1050" t="str">
        <f t="shared" si="162"/>
        <v>-</v>
      </c>
      <c r="D1361" s="1051">
        <f t="shared" si="163"/>
        <v>83</v>
      </c>
      <c r="E1361" s="1051" t="str">
        <f>IF(COUNTIF(E$1273:E1360,F1361)&gt;0,"",F1361)</f>
        <v/>
      </c>
      <c r="F1361" s="1051" t="str">
        <f t="shared" si="164"/>
        <v/>
      </c>
      <c r="G1361" s="1055" t="str">
        <f t="shared" si="165"/>
        <v/>
      </c>
      <c r="I1361" s="2018"/>
      <c r="J1361" s="1135"/>
      <c r="K1361" s="1135"/>
      <c r="L1361" s="1135"/>
      <c r="M1361" s="1135"/>
      <c r="N1361" s="1135"/>
      <c r="O1361" s="2340"/>
      <c r="P1361" s="2340"/>
      <c r="Q1361" s="1135"/>
      <c r="R1361" s="1135"/>
      <c r="S1361" s="1135"/>
      <c r="T1361" s="1135"/>
      <c r="U1361" s="2041"/>
    </row>
    <row r="1362" spans="2:21" hidden="1" outlineLevel="1">
      <c r="I1362" s="1711"/>
      <c r="J1362" s="1712"/>
      <c r="K1362" s="1712"/>
      <c r="L1362" s="1712"/>
      <c r="M1362" s="1712"/>
      <c r="N1362" s="1712"/>
      <c r="O1362" s="1712"/>
      <c r="P1362" s="1712"/>
      <c r="Q1362" s="1712"/>
      <c r="R1362" s="1712"/>
      <c r="S1362" s="1712"/>
      <c r="T1362" s="1712"/>
      <c r="U1362" s="1714"/>
    </row>
    <row r="1363" spans="2:21" s="1045" customFormat="1" ht="12.75" hidden="1" customHeight="1" outlineLevel="1" collapsed="1">
      <c r="B1363" s="3156" t="s">
        <v>4631</v>
      </c>
      <c r="C1363" s="3156"/>
      <c r="D1363" s="1051">
        <v>0</v>
      </c>
      <c r="E1363" s="1051"/>
      <c r="F1363" s="1051"/>
      <c r="G1363" s="1054"/>
      <c r="H1363" s="1046"/>
      <c r="I1363" s="1746"/>
      <c r="J1363" s="1742"/>
      <c r="K1363" s="1743"/>
      <c r="L1363" s="1743"/>
      <c r="M1363" s="1744"/>
      <c r="N1363" s="1742"/>
      <c r="O1363" s="1745"/>
      <c r="P1363" s="1743"/>
      <c r="Q1363" s="1743"/>
      <c r="R1363" s="1745"/>
      <c r="S1363" s="1745"/>
      <c r="T1363" s="1743"/>
      <c r="U1363" s="1747"/>
    </row>
    <row r="1364" spans="2:21" hidden="1" outlineLevel="2">
      <c r="B1364" s="1050">
        <v>1</v>
      </c>
      <c r="C1364" s="1050" t="str">
        <f t="shared" ref="C1364:C1393" si="166">IF(ISNA(VLOOKUP(B1364,$D$1363:$E$1393,2,FALSE)),"-",VLOOKUP(B1364,$D$1363:$E$1393,2,FALSE))</f>
        <v>Amarante, crue, France continentale, Base Carbone</v>
      </c>
      <c r="D1364" s="1051">
        <f>D1363+IF(LEN(E1364)&gt;0,1,0)</f>
        <v>1</v>
      </c>
      <c r="E1364" s="1051" t="str">
        <f>IF(COUNTIF(E$1363:E1363,F1364)&gt;0,"",F1364)</f>
        <v>Amarante, crue, France continentale, Base Carbone</v>
      </c>
      <c r="F1364" s="1051" t="str">
        <f>IF(I1364&lt;&gt;"",I1364&amp;IF(N1364&lt;&gt;""," "&amp;N1364,)&amp;IF(L1364&lt;&gt;"",", "&amp;L1364,"")&amp;IF(K1364&lt;&gt;"",", "&amp;K1364,""),"")</f>
        <v>Amarante, crue, France continentale, Base Carbone</v>
      </c>
      <c r="G1364" s="1055" t="str">
        <f>IF(F1364&lt;&gt;"",F1364&amp;IF(J1364&lt;&gt;"","; "&amp;J1364,""),"")</f>
        <v>Amarante, crue, France continentale, Base Carbone; kgCO2e/kg de produit</v>
      </c>
      <c r="I1364" s="2018" t="s">
        <v>4632</v>
      </c>
      <c r="J1364" s="1135" t="s">
        <v>4654</v>
      </c>
      <c r="K1364" s="1119" t="s">
        <v>1567</v>
      </c>
      <c r="L1364" s="1135" t="s">
        <v>1571</v>
      </c>
      <c r="M1364" s="2038">
        <v>0.5</v>
      </c>
      <c r="N1364" s="1135"/>
      <c r="O1364" s="2340">
        <v>0.82</v>
      </c>
      <c r="P1364" s="1135"/>
      <c r="Q1364" s="1135"/>
      <c r="R1364" s="1135"/>
      <c r="S1364" s="1135"/>
      <c r="T1364" s="1135"/>
      <c r="U1364" s="2041"/>
    </row>
    <row r="1365" spans="2:21" hidden="1" outlineLevel="2">
      <c r="B1365" s="1050">
        <v>2</v>
      </c>
      <c r="C1365" s="1050" t="str">
        <f t="shared" si="166"/>
        <v>Avoine, crue, France continentale, Base Carbone</v>
      </c>
      <c r="D1365" s="1051">
        <f t="shared" ref="D1365:D1393" si="167">D1364+IF(LEN(E1365)&gt;0,1,0)</f>
        <v>2</v>
      </c>
      <c r="E1365" s="1051" t="str">
        <f>IF(COUNTIF(E$1363:E1364,F1365)&gt;0,"",F1365)</f>
        <v>Avoine, crue, France continentale, Base Carbone</v>
      </c>
      <c r="F1365" s="1051" t="str">
        <f t="shared" ref="F1365:F1393" si="168">IF(I1365&lt;&gt;"",I1365&amp;IF(N1365&lt;&gt;""," "&amp;N1365,)&amp;IF(L1365&lt;&gt;"",", "&amp;L1365,"")&amp;IF(K1365&lt;&gt;"",", "&amp;K1365,""),"")</f>
        <v>Avoine, crue, France continentale, Base Carbone</v>
      </c>
      <c r="G1365" s="1055" t="str">
        <f t="shared" ref="G1365:G1393" si="169">IF(F1365&lt;&gt;"",F1365&amp;IF(J1365&lt;&gt;"","; "&amp;J1365,""),"")</f>
        <v>Avoine, crue, France continentale, Base Carbone; kgCO2e/kg de produit</v>
      </c>
      <c r="I1365" s="2018" t="s">
        <v>4633</v>
      </c>
      <c r="J1365" s="1135" t="s">
        <v>4654</v>
      </c>
      <c r="K1365" s="1119" t="s">
        <v>1567</v>
      </c>
      <c r="L1365" s="1135" t="s">
        <v>1571</v>
      </c>
      <c r="M1365" s="2038">
        <v>0.5</v>
      </c>
      <c r="N1365" s="1135"/>
      <c r="O1365" s="2340">
        <v>1.22</v>
      </c>
      <c r="P1365" s="1135"/>
      <c r="Q1365" s="1135"/>
      <c r="R1365" s="1135"/>
      <c r="S1365" s="1135"/>
      <c r="T1365" s="1135"/>
      <c r="U1365" s="2041"/>
    </row>
    <row r="1366" spans="2:21" hidden="1" outlineLevel="2">
      <c r="B1366" s="1050">
        <v>3</v>
      </c>
      <c r="C1366" s="1050" t="str">
        <f t="shared" si="166"/>
        <v>Blé dur précuit, entier, cru, France continentale, Base Carbone</v>
      </c>
      <c r="D1366" s="1051">
        <f t="shared" si="167"/>
        <v>3</v>
      </c>
      <c r="E1366" s="1051" t="str">
        <f>IF(COUNTIF(E$1363:E1365,F1366)&gt;0,"",F1366)</f>
        <v>Blé dur précuit, entier, cru, France continentale, Base Carbone</v>
      </c>
      <c r="F1366" s="1051" t="str">
        <f t="shared" si="168"/>
        <v>Blé dur précuit, entier, cru, France continentale, Base Carbone</v>
      </c>
      <c r="G1366" s="1055" t="str">
        <f t="shared" si="169"/>
        <v>Blé dur précuit, entier, cru, France continentale, Base Carbone; kgCO2e/kg de produit</v>
      </c>
      <c r="I1366" s="2018" t="s">
        <v>4634</v>
      </c>
      <c r="J1366" s="1135" t="s">
        <v>4654</v>
      </c>
      <c r="K1366" s="1119" t="s">
        <v>1567</v>
      </c>
      <c r="L1366" s="1135" t="s">
        <v>1571</v>
      </c>
      <c r="M1366" s="2038">
        <v>0.5</v>
      </c>
      <c r="N1366" s="1135"/>
      <c r="O1366" s="2340">
        <v>0.872</v>
      </c>
      <c r="P1366" s="1135"/>
      <c r="Q1366" s="1135"/>
      <c r="R1366" s="1135"/>
      <c r="S1366" s="1135"/>
      <c r="T1366" s="1135"/>
      <c r="U1366" s="2041"/>
    </row>
    <row r="1367" spans="2:21" hidden="1" outlineLevel="2">
      <c r="B1367" s="1050">
        <v>4</v>
      </c>
      <c r="C1367" s="1050" t="str">
        <f t="shared" si="166"/>
        <v>Boulgour de blé, cru, France continentale, Base Carbone</v>
      </c>
      <c r="D1367" s="1051">
        <f t="shared" si="167"/>
        <v>4</v>
      </c>
      <c r="E1367" s="1051" t="str">
        <f>IF(COUNTIF(E$1363:E1366,F1367)&gt;0,"",F1367)</f>
        <v>Boulgour de blé, cru, France continentale, Base Carbone</v>
      </c>
      <c r="F1367" s="1051" t="str">
        <f t="shared" si="168"/>
        <v>Boulgour de blé, cru, France continentale, Base Carbone</v>
      </c>
      <c r="G1367" s="1055" t="str">
        <f t="shared" si="169"/>
        <v>Boulgour de blé, cru, France continentale, Base Carbone; kgCO2e/kg de produit</v>
      </c>
      <c r="I1367" s="2018" t="s">
        <v>4635</v>
      </c>
      <c r="J1367" s="1135" t="s">
        <v>4654</v>
      </c>
      <c r="K1367" s="1119" t="s">
        <v>1567</v>
      </c>
      <c r="L1367" s="1135" t="s">
        <v>1571</v>
      </c>
      <c r="M1367" s="2038">
        <v>0.5</v>
      </c>
      <c r="N1367" s="1135"/>
      <c r="O1367" s="2340">
        <v>0.872</v>
      </c>
      <c r="P1367" s="1135"/>
      <c r="Q1367" s="1135"/>
      <c r="R1367" s="1135"/>
      <c r="S1367" s="1135"/>
      <c r="T1367" s="1135"/>
      <c r="U1367" s="2041"/>
    </row>
    <row r="1368" spans="2:21" hidden="1" outlineLevel="2">
      <c r="B1368" s="1050">
        <v>5</v>
      </c>
      <c r="C1368" s="1050" t="str">
        <f t="shared" si="166"/>
        <v>Couscous (semoule de blé dur roulée précuite à la vapeur), cuite, non salée, France continentale, Base Carbone</v>
      </c>
      <c r="D1368" s="1051">
        <f t="shared" si="167"/>
        <v>5</v>
      </c>
      <c r="E1368" s="1051" t="str">
        <f>IF(COUNTIF(E$1363:E1367,F1368)&gt;0,"",F1368)</f>
        <v>Couscous (semoule de blé dur roulée précuite à la vapeur), cuite, non salée, France continentale, Base Carbone</v>
      </c>
      <c r="F1368" s="1051" t="str">
        <f t="shared" si="168"/>
        <v>Couscous (semoule de blé dur roulée précuite à la vapeur), cuite, non salée, France continentale, Base Carbone</v>
      </c>
      <c r="G1368" s="1055" t="str">
        <f t="shared" si="169"/>
        <v>Couscous (semoule de blé dur roulée précuite à la vapeur), cuite, non salée, France continentale, Base Carbone; kgCO2e/kg de produit</v>
      </c>
      <c r="I1368" s="2018" t="s">
        <v>4636</v>
      </c>
      <c r="J1368" s="1135" t="s">
        <v>4654</v>
      </c>
      <c r="K1368" s="1119" t="s">
        <v>1567</v>
      </c>
      <c r="L1368" s="1135" t="s">
        <v>1571</v>
      </c>
      <c r="M1368" s="2038">
        <v>0.5</v>
      </c>
      <c r="N1368" s="1135"/>
      <c r="O1368" s="2340">
        <v>0.56000000000000005</v>
      </c>
      <c r="P1368" s="1135"/>
      <c r="Q1368" s="1135"/>
      <c r="R1368" s="1135"/>
      <c r="S1368" s="1135"/>
      <c r="T1368" s="1135"/>
      <c r="U1368" s="2041"/>
    </row>
    <row r="1369" spans="2:21" hidden="1" outlineLevel="2">
      <c r="B1369" s="1050">
        <v>6</v>
      </c>
      <c r="C1369" s="1050" t="str">
        <f t="shared" si="166"/>
        <v>Épeautre, cru, France continentale, Base Carbone</v>
      </c>
      <c r="D1369" s="1051">
        <f t="shared" si="167"/>
        <v>6</v>
      </c>
      <c r="E1369" s="1051" t="str">
        <f>IF(COUNTIF(E$1363:E1368,F1369)&gt;0,"",F1369)</f>
        <v>Épeautre, cru, France continentale, Base Carbone</v>
      </c>
      <c r="F1369" s="1051" t="str">
        <f t="shared" si="168"/>
        <v>Épeautre, cru, France continentale, Base Carbone</v>
      </c>
      <c r="G1369" s="1055" t="str">
        <f t="shared" si="169"/>
        <v>Épeautre, cru, France continentale, Base Carbone; kgCO2e/kg de produit</v>
      </c>
      <c r="I1369" s="2018" t="s">
        <v>4637</v>
      </c>
      <c r="J1369" s="1135" t="s">
        <v>4654</v>
      </c>
      <c r="K1369" s="1119" t="s">
        <v>1567</v>
      </c>
      <c r="L1369" s="1135" t="s">
        <v>1571</v>
      </c>
      <c r="M1369" s="2038">
        <v>0.5</v>
      </c>
      <c r="N1369" s="1135"/>
      <c r="O1369" s="2340">
        <v>0.872</v>
      </c>
      <c r="P1369" s="1135"/>
      <c r="Q1369" s="1135"/>
      <c r="R1369" s="1135"/>
      <c r="S1369" s="1135"/>
      <c r="T1369" s="1135"/>
      <c r="U1369" s="2041"/>
    </row>
    <row r="1370" spans="2:21" hidden="1" outlineLevel="2">
      <c r="B1370" s="1050">
        <v>7</v>
      </c>
      <c r="C1370" s="1050" t="str">
        <f t="shared" si="166"/>
        <v>Gnocchi à la semoule, cuit, France continentale, Base Carbone</v>
      </c>
      <c r="D1370" s="1051">
        <f t="shared" si="167"/>
        <v>7</v>
      </c>
      <c r="E1370" s="1051" t="str">
        <f>IF(COUNTIF(E$1363:E1369,F1370)&gt;0,"",F1370)</f>
        <v>Gnocchi à la semoule, cuit, France continentale, Base Carbone</v>
      </c>
      <c r="F1370" s="1051" t="str">
        <f t="shared" si="168"/>
        <v>Gnocchi à la semoule, cuit, France continentale, Base Carbone</v>
      </c>
      <c r="G1370" s="1055" t="str">
        <f t="shared" si="169"/>
        <v>Gnocchi à la semoule, cuit, France continentale, Base Carbone; kgCO2e/kg de produit</v>
      </c>
      <c r="I1370" s="2018" t="s">
        <v>4638</v>
      </c>
      <c r="J1370" s="1135" t="s">
        <v>4654</v>
      </c>
      <c r="K1370" s="1119" t="s">
        <v>1567</v>
      </c>
      <c r="L1370" s="1135" t="s">
        <v>1571</v>
      </c>
      <c r="M1370" s="2038">
        <v>0.5</v>
      </c>
      <c r="N1370" s="1135"/>
      <c r="O1370" s="2340">
        <v>0.8</v>
      </c>
      <c r="P1370" s="1135"/>
      <c r="Q1370" s="1135"/>
      <c r="R1370" s="1135"/>
      <c r="S1370" s="1135"/>
      <c r="T1370" s="1135"/>
      <c r="U1370" s="2041"/>
    </row>
    <row r="1371" spans="2:21" hidden="1" outlineLevel="2">
      <c r="B1371" s="1050">
        <v>8</v>
      </c>
      <c r="C1371" s="1050" t="str">
        <f t="shared" si="166"/>
        <v>Maïs entier, cru, France continentale, Base Carbone</v>
      </c>
      <c r="D1371" s="1051">
        <f t="shared" si="167"/>
        <v>8</v>
      </c>
      <c r="E1371" s="1051" t="str">
        <f>IF(COUNTIF(E$1363:E1370,F1371)&gt;0,"",F1371)</f>
        <v>Maïs entier, cru, France continentale, Base Carbone</v>
      </c>
      <c r="F1371" s="1051" t="str">
        <f t="shared" si="168"/>
        <v>Maïs entier, cru, France continentale, Base Carbone</v>
      </c>
      <c r="G1371" s="1055" t="str">
        <f t="shared" si="169"/>
        <v>Maïs entier, cru, France continentale, Base Carbone; kgCO2e/kg de produit</v>
      </c>
      <c r="I1371" s="2018" t="s">
        <v>4639</v>
      </c>
      <c r="J1371" s="1135" t="s">
        <v>4654</v>
      </c>
      <c r="K1371" s="1119" t="s">
        <v>1567</v>
      </c>
      <c r="L1371" s="1135" t="s">
        <v>1571</v>
      </c>
      <c r="M1371" s="2038">
        <v>0.5</v>
      </c>
      <c r="N1371" s="1135"/>
      <c r="O1371" s="2340">
        <v>0.626</v>
      </c>
      <c r="P1371" s="1135"/>
      <c r="Q1371" s="1135"/>
      <c r="R1371" s="1135"/>
      <c r="S1371" s="1135"/>
      <c r="T1371" s="1135"/>
      <c r="U1371" s="2041"/>
    </row>
    <row r="1372" spans="2:21" hidden="1" outlineLevel="2">
      <c r="B1372" s="1050">
        <v>9</v>
      </c>
      <c r="C1372" s="1050" t="str">
        <f t="shared" si="166"/>
        <v>Mélange de céréales et légumineuses, cru, France continentale, Base Carbone</v>
      </c>
      <c r="D1372" s="1051">
        <f t="shared" si="167"/>
        <v>9</v>
      </c>
      <c r="E1372" s="1051" t="str">
        <f>IF(COUNTIF(E$1363:E1371,F1372)&gt;0,"",F1372)</f>
        <v>Mélange de céréales et légumineuses, cru, France continentale, Base Carbone</v>
      </c>
      <c r="F1372" s="1051" t="str">
        <f t="shared" si="168"/>
        <v>Mélange de céréales et légumineuses, cru, France continentale, Base Carbone</v>
      </c>
      <c r="G1372" s="1055" t="str">
        <f t="shared" si="169"/>
        <v>Mélange de céréales et légumineuses, cru, France continentale, Base Carbone; kgCO2e/kg de produit</v>
      </c>
      <c r="I1372" s="2018" t="s">
        <v>4640</v>
      </c>
      <c r="J1372" s="1135" t="s">
        <v>4654</v>
      </c>
      <c r="K1372" s="1119" t="s">
        <v>1567</v>
      </c>
      <c r="L1372" s="1135" t="s">
        <v>1571</v>
      </c>
      <c r="M1372" s="2038">
        <v>0.5</v>
      </c>
      <c r="N1372" s="1135"/>
      <c r="O1372" s="2340">
        <v>0.68899999999999995</v>
      </c>
      <c r="P1372" s="1135"/>
      <c r="Q1372" s="1135"/>
      <c r="R1372" s="1135"/>
      <c r="S1372" s="1135"/>
      <c r="T1372" s="1135"/>
      <c r="U1372" s="2041"/>
    </row>
    <row r="1373" spans="2:21" hidden="1" outlineLevel="2">
      <c r="B1373" s="1050">
        <v>10</v>
      </c>
      <c r="C1373" s="1050" t="str">
        <f t="shared" si="166"/>
        <v>Mil, cuit, non salé, France continentale, Base Carbone</v>
      </c>
      <c r="D1373" s="1051">
        <f t="shared" si="167"/>
        <v>10</v>
      </c>
      <c r="E1373" s="1051" t="str">
        <f>IF(COUNTIF(E$1363:E1372,F1373)&gt;0,"",F1373)</f>
        <v>Mil, cuit, non salé, France continentale, Base Carbone</v>
      </c>
      <c r="F1373" s="1051" t="str">
        <f t="shared" si="168"/>
        <v>Mil, cuit, non salé, France continentale, Base Carbone</v>
      </c>
      <c r="G1373" s="1055" t="str">
        <f t="shared" si="169"/>
        <v>Mil, cuit, non salé, France continentale, Base Carbone; kgCO2e/kg de produit</v>
      </c>
      <c r="I1373" s="2018" t="s">
        <v>4641</v>
      </c>
      <c r="J1373" s="1135" t="s">
        <v>4654</v>
      </c>
      <c r="K1373" s="1119" t="s">
        <v>1567</v>
      </c>
      <c r="L1373" s="1135" t="s">
        <v>1571</v>
      </c>
      <c r="M1373" s="2038">
        <v>0.5</v>
      </c>
      <c r="N1373" s="1135"/>
      <c r="O1373" s="2340">
        <v>0.41799999999999998</v>
      </c>
      <c r="P1373" s="1135"/>
      <c r="Q1373" s="1135"/>
      <c r="R1373" s="1135"/>
      <c r="S1373" s="1135"/>
      <c r="T1373" s="1135"/>
      <c r="U1373" s="2041"/>
    </row>
    <row r="1374" spans="2:21" hidden="1" outlineLevel="2">
      <c r="B1374" s="1050">
        <v>11</v>
      </c>
      <c r="C1374" s="1050" t="str">
        <f t="shared" si="166"/>
        <v>Nouilles asiatiques aromatisées, déshydratées, France continentale, Base Carbone</v>
      </c>
      <c r="D1374" s="1051">
        <f t="shared" si="167"/>
        <v>11</v>
      </c>
      <c r="E1374" s="1051" t="str">
        <f>IF(COUNTIF(E$1363:E1373,F1374)&gt;0,"",F1374)</f>
        <v>Nouilles asiatiques aromatisées, déshydratées, France continentale, Base Carbone</v>
      </c>
      <c r="F1374" s="1051" t="str">
        <f t="shared" si="168"/>
        <v>Nouilles asiatiques aromatisées, déshydratées, France continentale, Base Carbone</v>
      </c>
      <c r="G1374" s="1055" t="str">
        <f t="shared" si="169"/>
        <v>Nouilles asiatiques aromatisées, déshydratées, France continentale, Base Carbone; kgCO2e/kg de produit</v>
      </c>
      <c r="I1374" s="2018" t="s">
        <v>4642</v>
      </c>
      <c r="J1374" s="1135" t="s">
        <v>4654</v>
      </c>
      <c r="K1374" s="1119" t="s">
        <v>1567</v>
      </c>
      <c r="L1374" s="1135" t="s">
        <v>1571</v>
      </c>
      <c r="M1374" s="2038">
        <v>0.5</v>
      </c>
      <c r="N1374" s="1135"/>
      <c r="O1374" s="2340">
        <v>16</v>
      </c>
      <c r="P1374" s="1135"/>
      <c r="Q1374" s="1135"/>
      <c r="R1374" s="1135"/>
      <c r="S1374" s="1135"/>
      <c r="T1374" s="1135"/>
      <c r="U1374" s="2041"/>
    </row>
    <row r="1375" spans="2:21" hidden="1" outlineLevel="2">
      <c r="B1375" s="1050">
        <v>12</v>
      </c>
      <c r="C1375" s="1050" t="str">
        <f t="shared" si="166"/>
        <v>Nouilles asiatiques cuites, aromatisées, France continentale, Base Carbone</v>
      </c>
      <c r="D1375" s="1051">
        <f t="shared" si="167"/>
        <v>12</v>
      </c>
      <c r="E1375" s="1051" t="str">
        <f>IF(COUNTIF(E$1363:E1374,F1375)&gt;0,"",F1375)</f>
        <v>Nouilles asiatiques cuites, aromatisées, France continentale, Base Carbone</v>
      </c>
      <c r="F1375" s="1051" t="str">
        <f t="shared" si="168"/>
        <v>Nouilles asiatiques cuites, aromatisées, France continentale, Base Carbone</v>
      </c>
      <c r="G1375" s="1055" t="str">
        <f t="shared" si="169"/>
        <v>Nouilles asiatiques cuites, aromatisées, France continentale, Base Carbone; kgCO2e/kg de produit</v>
      </c>
      <c r="I1375" s="2018" t="s">
        <v>4643</v>
      </c>
      <c r="J1375" s="1135" t="s">
        <v>4654</v>
      </c>
      <c r="K1375" s="1119" t="s">
        <v>1567</v>
      </c>
      <c r="L1375" s="1135" t="s">
        <v>1571</v>
      </c>
      <c r="M1375" s="2038">
        <v>0.5</v>
      </c>
      <c r="N1375" s="1135"/>
      <c r="O1375" s="2340">
        <v>1.17</v>
      </c>
      <c r="P1375" s="1135"/>
      <c r="Q1375" s="1135"/>
      <c r="R1375" s="1135"/>
      <c r="S1375" s="1135"/>
      <c r="T1375" s="1135"/>
      <c r="U1375" s="2041"/>
    </row>
    <row r="1376" spans="2:21" hidden="1" outlineLevel="2">
      <c r="B1376" s="1050">
        <v>13</v>
      </c>
      <c r="C1376" s="1050" t="str">
        <f t="shared" si="166"/>
        <v>Orge entière, crue, France continentale, Base Carbone</v>
      </c>
      <c r="D1376" s="1051">
        <f t="shared" si="167"/>
        <v>13</v>
      </c>
      <c r="E1376" s="1051" t="str">
        <f>IF(COUNTIF(E$1363:E1375,F1376)&gt;0,"",F1376)</f>
        <v>Orge entière, crue, France continentale, Base Carbone</v>
      </c>
      <c r="F1376" s="1051" t="str">
        <f t="shared" si="168"/>
        <v>Orge entière, crue, France continentale, Base Carbone</v>
      </c>
      <c r="G1376" s="1055" t="str">
        <f t="shared" si="169"/>
        <v>Orge entière, crue, France continentale, Base Carbone; kgCO2e/kg de produit</v>
      </c>
      <c r="I1376" s="2018" t="s">
        <v>4644</v>
      </c>
      <c r="J1376" s="1135" t="s">
        <v>4654</v>
      </c>
      <c r="K1376" s="1119" t="s">
        <v>1567</v>
      </c>
      <c r="L1376" s="1135" t="s">
        <v>1571</v>
      </c>
      <c r="M1376" s="2038">
        <v>0.5</v>
      </c>
      <c r="N1376" s="1135"/>
      <c r="O1376" s="2340">
        <v>0.88700000000000001</v>
      </c>
      <c r="P1376" s="1135"/>
      <c r="Q1376" s="1135"/>
      <c r="R1376" s="1135"/>
      <c r="S1376" s="1135"/>
      <c r="T1376" s="1135"/>
      <c r="U1376" s="2041"/>
    </row>
    <row r="1377" spans="2:21" hidden="1" outlineLevel="2">
      <c r="B1377" s="1050">
        <v>14</v>
      </c>
      <c r="C1377" s="1050" t="str">
        <f t="shared" si="166"/>
        <v>Pâtes sèches standard, cuites, non salées, France continentale, Base Carbone</v>
      </c>
      <c r="D1377" s="1051">
        <f t="shared" si="167"/>
        <v>14</v>
      </c>
      <c r="E1377" s="1051" t="str">
        <f>IF(COUNTIF(E$1363:E1376,F1377)&gt;0,"",F1377)</f>
        <v>Pâtes sèches standard, cuites, non salées, France continentale, Base Carbone</v>
      </c>
      <c r="F1377" s="1051" t="str">
        <f t="shared" si="168"/>
        <v>Pâtes sèches standard, cuites, non salées, France continentale, Base Carbone</v>
      </c>
      <c r="G1377" s="1055" t="str">
        <f t="shared" si="169"/>
        <v>Pâtes sèches standard, cuites, non salées, France continentale, Base Carbone; kgCO2e/kg de produit</v>
      </c>
      <c r="I1377" s="2018" t="s">
        <v>4645</v>
      </c>
      <c r="J1377" s="1135" t="s">
        <v>4654</v>
      </c>
      <c r="K1377" s="1119" t="s">
        <v>1567</v>
      </c>
      <c r="L1377" s="1135" t="s">
        <v>1571</v>
      </c>
      <c r="M1377" s="2038">
        <v>0.5</v>
      </c>
      <c r="N1377" s="1135"/>
      <c r="O1377" s="2340">
        <v>1.67</v>
      </c>
      <c r="P1377" s="1135"/>
      <c r="Q1377" s="1135"/>
      <c r="R1377" s="1135"/>
      <c r="S1377" s="1135"/>
      <c r="T1377" s="1135"/>
      <c r="U1377" s="2041"/>
    </row>
    <row r="1378" spans="2:21" hidden="1" outlineLevel="2">
      <c r="B1378" s="1050">
        <v>15</v>
      </c>
      <c r="C1378" s="1050" t="str">
        <f t="shared" si="166"/>
        <v>Polenta ou semoule de maïs, cuite, non salée, France continentale, Base Carbone</v>
      </c>
      <c r="D1378" s="1051">
        <f t="shared" si="167"/>
        <v>15</v>
      </c>
      <c r="E1378" s="1051" t="str">
        <f>IF(COUNTIF(E$1363:E1377,F1378)&gt;0,"",F1378)</f>
        <v>Polenta ou semoule de maïs, cuite, non salée, France continentale, Base Carbone</v>
      </c>
      <c r="F1378" s="1051" t="str">
        <f t="shared" si="168"/>
        <v>Polenta ou semoule de maïs, cuite, non salée, France continentale, Base Carbone</v>
      </c>
      <c r="G1378" s="1055" t="str">
        <f t="shared" si="169"/>
        <v>Polenta ou semoule de maïs, cuite, non salée, France continentale, Base Carbone; kgCO2e/kg de produit</v>
      </c>
      <c r="I1378" s="2018" t="s">
        <v>4646</v>
      </c>
      <c r="J1378" s="1135" t="s">
        <v>4654</v>
      </c>
      <c r="K1378" s="1119" t="s">
        <v>1567</v>
      </c>
      <c r="L1378" s="1135" t="s">
        <v>1571</v>
      </c>
      <c r="M1378" s="2038">
        <v>0.5</v>
      </c>
      <c r="N1378" s="1135"/>
      <c r="O1378" s="2340">
        <v>0.56000000000000005</v>
      </c>
      <c r="P1378" s="1135"/>
      <c r="Q1378" s="1135"/>
      <c r="R1378" s="1135"/>
      <c r="S1378" s="1135"/>
      <c r="T1378" s="1135"/>
      <c r="U1378" s="2041"/>
    </row>
    <row r="1379" spans="2:21" hidden="1" outlineLevel="2">
      <c r="B1379" s="1050">
        <v>16</v>
      </c>
      <c r="C1379" s="1050" t="str">
        <f t="shared" si="166"/>
        <v>Quinoa, bouilli/cuit à l'eau, non salé, France continentale, Base Carbone</v>
      </c>
      <c r="D1379" s="1051">
        <f t="shared" si="167"/>
        <v>16</v>
      </c>
      <c r="E1379" s="1051" t="str">
        <f>IF(COUNTIF(E$1363:E1378,F1379)&gt;0,"",F1379)</f>
        <v>Quinoa, bouilli/cuit à l'eau, non salé, France continentale, Base Carbone</v>
      </c>
      <c r="F1379" s="1051" t="str">
        <f t="shared" si="168"/>
        <v>Quinoa, bouilli/cuit à l'eau, non salé, France continentale, Base Carbone</v>
      </c>
      <c r="G1379" s="1055" t="str">
        <f t="shared" si="169"/>
        <v>Quinoa, bouilli/cuit à l'eau, non salé, France continentale, Base Carbone; kgCO2e/kg de produit</v>
      </c>
      <c r="I1379" s="2018" t="s">
        <v>4647</v>
      </c>
      <c r="J1379" s="1135" t="s">
        <v>4654</v>
      </c>
      <c r="K1379" s="1119" t="s">
        <v>1567</v>
      </c>
      <c r="L1379" s="1135" t="s">
        <v>1571</v>
      </c>
      <c r="M1379" s="2038">
        <v>0.5</v>
      </c>
      <c r="N1379" s="1135"/>
      <c r="O1379" s="2340">
        <v>0.67600000000000005</v>
      </c>
      <c r="P1379" s="1135"/>
      <c r="Q1379" s="1135"/>
      <c r="R1379" s="1135"/>
      <c r="S1379" s="1135"/>
      <c r="T1379" s="1135"/>
      <c r="U1379" s="2041"/>
    </row>
    <row r="1380" spans="2:21" hidden="1" outlineLevel="2">
      <c r="B1380" s="1050">
        <v>17</v>
      </c>
      <c r="C1380" s="1050" t="str">
        <f t="shared" si="166"/>
        <v>Riz blanc, cuit, non salé, France continentale, Base Carbone</v>
      </c>
      <c r="D1380" s="1051">
        <f t="shared" si="167"/>
        <v>17</v>
      </c>
      <c r="E1380" s="1051" t="str">
        <f>IF(COUNTIF(E$1363:E1379,F1380)&gt;0,"",F1380)</f>
        <v>Riz blanc, cuit, non salé, France continentale, Base Carbone</v>
      </c>
      <c r="F1380" s="1051" t="str">
        <f t="shared" si="168"/>
        <v>Riz blanc, cuit, non salé, France continentale, Base Carbone</v>
      </c>
      <c r="G1380" s="1055" t="str">
        <f t="shared" si="169"/>
        <v>Riz blanc, cuit, non salé, France continentale, Base Carbone; kgCO2e/kg de produit</v>
      </c>
      <c r="I1380" s="2018" t="s">
        <v>4648</v>
      </c>
      <c r="J1380" s="1135" t="s">
        <v>4654</v>
      </c>
      <c r="K1380" s="1119" t="s">
        <v>1567</v>
      </c>
      <c r="L1380" s="1135" t="s">
        <v>1571</v>
      </c>
      <c r="M1380" s="2038">
        <v>0.5</v>
      </c>
      <c r="N1380" s="1135"/>
      <c r="O1380" s="2340">
        <v>2.16</v>
      </c>
      <c r="P1380" s="1135"/>
      <c r="Q1380" s="1135"/>
      <c r="R1380" s="1135"/>
      <c r="S1380" s="1135"/>
      <c r="T1380" s="1135"/>
      <c r="U1380" s="2041"/>
    </row>
    <row r="1381" spans="2:21" hidden="1" outlineLevel="2">
      <c r="B1381" s="1050">
        <v>18</v>
      </c>
      <c r="C1381" s="1050" t="str">
        <f t="shared" si="166"/>
        <v>Sarrasin entier, cru, France continentale, Base Carbone</v>
      </c>
      <c r="D1381" s="1051">
        <f t="shared" si="167"/>
        <v>18</v>
      </c>
      <c r="E1381" s="1051" t="str">
        <f>IF(COUNTIF(E$1363:E1380,F1381)&gt;0,"",F1381)</f>
        <v>Sarrasin entier, cru, France continentale, Base Carbone</v>
      </c>
      <c r="F1381" s="1051" t="str">
        <f t="shared" si="168"/>
        <v>Sarrasin entier, cru, France continentale, Base Carbone</v>
      </c>
      <c r="G1381" s="1055" t="str">
        <f t="shared" si="169"/>
        <v>Sarrasin entier, cru, France continentale, Base Carbone; kgCO2e/kg de produit</v>
      </c>
      <c r="I1381" s="2018" t="s">
        <v>4649</v>
      </c>
      <c r="J1381" s="1135" t="s">
        <v>4654</v>
      </c>
      <c r="K1381" s="1119" t="s">
        <v>1567</v>
      </c>
      <c r="L1381" s="1135" t="s">
        <v>1571</v>
      </c>
      <c r="M1381" s="2038">
        <v>0.5</v>
      </c>
      <c r="N1381" s="1135"/>
      <c r="O1381" s="2340">
        <v>0.82</v>
      </c>
      <c r="P1381" s="1135"/>
      <c r="Q1381" s="1135"/>
      <c r="R1381" s="1135"/>
      <c r="S1381" s="1135"/>
      <c r="T1381" s="1135"/>
      <c r="U1381" s="2041"/>
    </row>
    <row r="1382" spans="2:21" hidden="1" outlineLevel="2">
      <c r="B1382" s="1050">
        <v>19</v>
      </c>
      <c r="C1382" s="1050" t="str">
        <f t="shared" si="166"/>
        <v>Seigle entier, cru, France continentale, Base Carbone</v>
      </c>
      <c r="D1382" s="1051">
        <f t="shared" si="167"/>
        <v>19</v>
      </c>
      <c r="E1382" s="1051" t="str">
        <f>IF(COUNTIF(E$1363:E1381,F1382)&gt;0,"",F1382)</f>
        <v>Seigle entier, cru, France continentale, Base Carbone</v>
      </c>
      <c r="F1382" s="1051" t="str">
        <f t="shared" si="168"/>
        <v>Seigle entier, cru, France continentale, Base Carbone</v>
      </c>
      <c r="G1382" s="1055" t="str">
        <f t="shared" si="169"/>
        <v>Seigle entier, cru, France continentale, Base Carbone; kgCO2e/kg de produit</v>
      </c>
      <c r="I1382" s="2018" t="s">
        <v>4650</v>
      </c>
      <c r="J1382" s="1135" t="s">
        <v>4654</v>
      </c>
      <c r="K1382" s="1119" t="s">
        <v>1567</v>
      </c>
      <c r="L1382" s="1135" t="s">
        <v>1571</v>
      </c>
      <c r="M1382" s="2038">
        <v>0.5</v>
      </c>
      <c r="N1382" s="1135"/>
      <c r="O1382" s="2340">
        <v>0.80100000000000005</v>
      </c>
      <c r="P1382" s="1135"/>
      <c r="Q1382" s="1135"/>
      <c r="R1382" s="1135"/>
      <c r="S1382" s="1135"/>
      <c r="T1382" s="1135"/>
      <c r="U1382" s="2041"/>
    </row>
    <row r="1383" spans="2:21" hidden="1" outlineLevel="2">
      <c r="B1383" s="1050">
        <v>20</v>
      </c>
      <c r="C1383" s="1050" t="str">
        <f t="shared" si="166"/>
        <v>Semoule de blé dur, crue, France continentale, Base Carbone</v>
      </c>
      <c r="D1383" s="1051">
        <f t="shared" si="167"/>
        <v>20</v>
      </c>
      <c r="E1383" s="1051" t="str">
        <f>IF(COUNTIF(E$1363:E1382,F1383)&gt;0,"",F1383)</f>
        <v>Semoule de blé dur, crue, France continentale, Base Carbone</v>
      </c>
      <c r="F1383" s="1051" t="str">
        <f t="shared" si="168"/>
        <v>Semoule de blé dur, crue, France continentale, Base Carbone</v>
      </c>
      <c r="G1383" s="1055" t="str">
        <f t="shared" si="169"/>
        <v>Semoule de blé dur, crue, France continentale, Base Carbone; kgCO2e/kg de produit</v>
      </c>
      <c r="I1383" s="2018" t="s">
        <v>4651</v>
      </c>
      <c r="J1383" s="1135" t="s">
        <v>4654</v>
      </c>
      <c r="K1383" s="1119" t="s">
        <v>1567</v>
      </c>
      <c r="L1383" s="1135" t="s">
        <v>1571</v>
      </c>
      <c r="M1383" s="2038">
        <v>0.5</v>
      </c>
      <c r="N1383" s="1135"/>
      <c r="O1383" s="2340">
        <v>1.32</v>
      </c>
      <c r="P1383" s="1135"/>
      <c r="Q1383" s="1135"/>
      <c r="R1383" s="1135"/>
      <c r="S1383" s="1135"/>
      <c r="T1383" s="1135"/>
      <c r="U1383" s="2041"/>
    </row>
    <row r="1384" spans="2:21" hidden="1" outlineLevel="2">
      <c r="B1384" s="1050">
        <v>21</v>
      </c>
      <c r="C1384" s="1050" t="str">
        <f t="shared" si="166"/>
        <v>Sorgho entier, cru, France continentale, Base Carbone</v>
      </c>
      <c r="D1384" s="1051">
        <f t="shared" si="167"/>
        <v>21</v>
      </c>
      <c r="E1384" s="1051" t="str">
        <f>IF(COUNTIF(E$1363:E1383,F1384)&gt;0,"",F1384)</f>
        <v>Sorgho entier, cru, France continentale, Base Carbone</v>
      </c>
      <c r="F1384" s="1051" t="str">
        <f t="shared" si="168"/>
        <v>Sorgho entier, cru, France continentale, Base Carbone</v>
      </c>
      <c r="G1384" s="1055" t="str">
        <f t="shared" si="169"/>
        <v>Sorgho entier, cru, France continentale, Base Carbone; kgCO2e/kg de produit</v>
      </c>
      <c r="I1384" s="2018" t="s">
        <v>4652</v>
      </c>
      <c r="J1384" s="1135" t="s">
        <v>4654</v>
      </c>
      <c r="K1384" s="1119" t="s">
        <v>1567</v>
      </c>
      <c r="L1384" s="1135" t="s">
        <v>1571</v>
      </c>
      <c r="M1384" s="2038">
        <v>0.5</v>
      </c>
      <c r="N1384" s="1135"/>
      <c r="O1384" s="2340">
        <v>0.73099999999999998</v>
      </c>
      <c r="P1384" s="1135"/>
      <c r="Q1384" s="1135"/>
      <c r="R1384" s="1135"/>
      <c r="S1384" s="1135"/>
      <c r="T1384" s="1135"/>
      <c r="U1384" s="2041"/>
    </row>
    <row r="1385" spans="2:21" hidden="1" outlineLevel="2">
      <c r="B1385" s="1050">
        <v>22</v>
      </c>
      <c r="C1385" s="1050" t="str">
        <f t="shared" si="166"/>
        <v>Vermicelle de riz, cuite, non salée, France continentale, Base Carbone</v>
      </c>
      <c r="D1385" s="1051">
        <f t="shared" si="167"/>
        <v>22</v>
      </c>
      <c r="E1385" s="1051" t="str">
        <f>IF(COUNTIF(E$1363:E1384,F1385)&gt;0,"",F1385)</f>
        <v>Vermicelle de riz, cuite, non salée, France continentale, Base Carbone</v>
      </c>
      <c r="F1385" s="1051" t="str">
        <f t="shared" si="168"/>
        <v>Vermicelle de riz, cuite, non salée, France continentale, Base Carbone</v>
      </c>
      <c r="G1385" s="1055" t="str">
        <f t="shared" si="169"/>
        <v>Vermicelle de riz, cuite, non salée, France continentale, Base Carbone; kgCO2e/kg de produit</v>
      </c>
      <c r="I1385" s="2018" t="s">
        <v>4653</v>
      </c>
      <c r="J1385" s="1135" t="s">
        <v>4654</v>
      </c>
      <c r="K1385" s="1119" t="s">
        <v>1567</v>
      </c>
      <c r="L1385" s="1135" t="s">
        <v>1571</v>
      </c>
      <c r="M1385" s="2038">
        <v>0.5</v>
      </c>
      <c r="N1385" s="1135"/>
      <c r="O1385" s="2340">
        <v>1.27</v>
      </c>
      <c r="P1385" s="1135"/>
      <c r="Q1385" s="1135"/>
      <c r="R1385" s="1135"/>
      <c r="S1385" s="1135"/>
      <c r="T1385" s="1135"/>
      <c r="U1385" s="2041"/>
    </row>
    <row r="1386" spans="2:21" hidden="1" outlineLevel="2">
      <c r="B1386" s="1050">
        <v>23</v>
      </c>
      <c r="C1386" s="1050" t="str">
        <f t="shared" si="166"/>
        <v>-</v>
      </c>
      <c r="D1386" s="1051">
        <f t="shared" si="167"/>
        <v>22</v>
      </c>
      <c r="E1386" s="1051" t="str">
        <f>IF(COUNTIF(E$1363:E1385,F1386)&gt;0,"",F1386)</f>
        <v/>
      </c>
      <c r="F1386" s="1051" t="str">
        <f t="shared" si="168"/>
        <v/>
      </c>
      <c r="G1386" s="1055" t="str">
        <f t="shared" si="169"/>
        <v/>
      </c>
      <c r="I1386" s="1100"/>
      <c r="J1386" s="1048"/>
      <c r="K1386" s="1119"/>
      <c r="L1386" s="1048"/>
      <c r="M1386" s="1033"/>
      <c r="N1386" s="1048"/>
      <c r="O1386" s="1048"/>
      <c r="P1386" s="1048"/>
      <c r="Q1386" s="1048"/>
      <c r="R1386" s="1048"/>
      <c r="S1386" s="1048"/>
      <c r="T1386" s="1048"/>
      <c r="U1386" s="1102"/>
    </row>
    <row r="1387" spans="2:21" hidden="1" outlineLevel="2">
      <c r="B1387" s="1050">
        <v>24</v>
      </c>
      <c r="C1387" s="1050" t="str">
        <f t="shared" si="166"/>
        <v>-</v>
      </c>
      <c r="D1387" s="1051">
        <f t="shared" si="167"/>
        <v>22</v>
      </c>
      <c r="E1387" s="1051" t="str">
        <f>IF(COUNTIF(E$1363:E1386,F1387)&gt;0,"",F1387)</f>
        <v/>
      </c>
      <c r="F1387" s="1051" t="str">
        <f t="shared" si="168"/>
        <v/>
      </c>
      <c r="G1387" s="1055" t="str">
        <f t="shared" si="169"/>
        <v/>
      </c>
      <c r="I1387" s="1100"/>
      <c r="J1387" s="1048"/>
      <c r="K1387" s="1119"/>
      <c r="L1387" s="1048"/>
      <c r="M1387" s="1033"/>
      <c r="N1387" s="1048"/>
      <c r="O1387" s="1048"/>
      <c r="P1387" s="1048"/>
      <c r="Q1387" s="1048"/>
      <c r="R1387" s="1048"/>
      <c r="S1387" s="1048"/>
      <c r="T1387" s="1048"/>
      <c r="U1387" s="1102"/>
    </row>
    <row r="1388" spans="2:21" hidden="1" outlineLevel="2">
      <c r="B1388" s="1050">
        <v>25</v>
      </c>
      <c r="C1388" s="1050" t="str">
        <f t="shared" si="166"/>
        <v>-</v>
      </c>
      <c r="D1388" s="1051">
        <f t="shared" si="167"/>
        <v>22</v>
      </c>
      <c r="E1388" s="1051" t="str">
        <f>IF(COUNTIF(E$1363:E1387,F1388)&gt;0,"",F1388)</f>
        <v/>
      </c>
      <c r="F1388" s="1051" t="str">
        <f t="shared" si="168"/>
        <v/>
      </c>
      <c r="G1388" s="1055" t="str">
        <f t="shared" si="169"/>
        <v/>
      </c>
      <c r="I1388" s="1100"/>
      <c r="J1388" s="1048"/>
      <c r="K1388" s="1119"/>
      <c r="L1388" s="1048"/>
      <c r="M1388" s="1033"/>
      <c r="N1388" s="1048"/>
      <c r="O1388" s="1048"/>
      <c r="P1388" s="1048"/>
      <c r="Q1388" s="1048"/>
      <c r="R1388" s="1048"/>
      <c r="S1388" s="1048"/>
      <c r="T1388" s="1048"/>
      <c r="U1388" s="1102"/>
    </row>
    <row r="1389" spans="2:21" hidden="1" outlineLevel="2">
      <c r="B1389" s="1050">
        <v>26</v>
      </c>
      <c r="C1389" s="1050" t="str">
        <f t="shared" si="166"/>
        <v>-</v>
      </c>
      <c r="D1389" s="1051">
        <f t="shared" si="167"/>
        <v>22</v>
      </c>
      <c r="E1389" s="1051" t="str">
        <f>IF(COUNTIF(E$1363:E1388,F1389)&gt;0,"",F1389)</f>
        <v/>
      </c>
      <c r="F1389" s="1051" t="str">
        <f t="shared" si="168"/>
        <v/>
      </c>
      <c r="G1389" s="1055" t="str">
        <f t="shared" si="169"/>
        <v/>
      </c>
      <c r="I1389" s="1100"/>
      <c r="J1389" s="1048"/>
      <c r="K1389" s="1119"/>
      <c r="L1389" s="1048"/>
      <c r="M1389" s="1033"/>
      <c r="N1389" s="1048"/>
      <c r="O1389" s="1048"/>
      <c r="P1389" s="1048"/>
      <c r="Q1389" s="1048"/>
      <c r="R1389" s="1048"/>
      <c r="S1389" s="1048"/>
      <c r="T1389" s="1048"/>
      <c r="U1389" s="1102"/>
    </row>
    <row r="1390" spans="2:21" hidden="1" outlineLevel="2">
      <c r="B1390" s="1050">
        <v>27</v>
      </c>
      <c r="C1390" s="1050" t="str">
        <f t="shared" si="166"/>
        <v>-</v>
      </c>
      <c r="D1390" s="1051">
        <f t="shared" si="167"/>
        <v>22</v>
      </c>
      <c r="E1390" s="1051" t="str">
        <f>IF(COUNTIF(E$1363:E1389,F1390)&gt;0,"",F1390)</f>
        <v/>
      </c>
      <c r="F1390" s="1051" t="str">
        <f t="shared" si="168"/>
        <v/>
      </c>
      <c r="G1390" s="1055" t="str">
        <f t="shared" si="169"/>
        <v/>
      </c>
      <c r="I1390" s="1100"/>
      <c r="J1390" s="1048"/>
      <c r="K1390" s="1119"/>
      <c r="L1390" s="1048"/>
      <c r="M1390" s="1033"/>
      <c r="N1390" s="1048"/>
      <c r="O1390" s="1048"/>
      <c r="P1390" s="1048"/>
      <c r="Q1390" s="1048"/>
      <c r="R1390" s="1048"/>
      <c r="S1390" s="1048"/>
      <c r="T1390" s="1048"/>
      <c r="U1390" s="1102"/>
    </row>
    <row r="1391" spans="2:21" hidden="1" outlineLevel="2">
      <c r="B1391" s="1050">
        <v>28</v>
      </c>
      <c r="C1391" s="1050" t="str">
        <f t="shared" si="166"/>
        <v>-</v>
      </c>
      <c r="D1391" s="1051">
        <f t="shared" si="167"/>
        <v>22</v>
      </c>
      <c r="E1391" s="1051" t="str">
        <f>IF(COUNTIF(E$1363:E1390,F1391)&gt;0,"",F1391)</f>
        <v/>
      </c>
      <c r="F1391" s="1051" t="str">
        <f t="shared" si="168"/>
        <v/>
      </c>
      <c r="G1391" s="1055" t="str">
        <f t="shared" si="169"/>
        <v/>
      </c>
      <c r="I1391" s="1100"/>
      <c r="J1391" s="1048"/>
      <c r="K1391" s="1119"/>
      <c r="L1391" s="1048"/>
      <c r="M1391" s="1033"/>
      <c r="N1391" s="1048"/>
      <c r="O1391" s="1048"/>
      <c r="P1391" s="1048"/>
      <c r="Q1391" s="1048"/>
      <c r="R1391" s="1048"/>
      <c r="S1391" s="1048"/>
      <c r="T1391" s="1048"/>
      <c r="U1391" s="1102"/>
    </row>
    <row r="1392" spans="2:21" hidden="1" outlineLevel="2">
      <c r="B1392" s="1050">
        <v>29</v>
      </c>
      <c r="C1392" s="1050" t="str">
        <f t="shared" si="166"/>
        <v>-</v>
      </c>
      <c r="D1392" s="1051">
        <f t="shared" si="167"/>
        <v>22</v>
      </c>
      <c r="E1392" s="1051" t="str">
        <f>IF(COUNTIF(E$1363:E1391,F1392)&gt;0,"",F1392)</f>
        <v/>
      </c>
      <c r="F1392" s="1051" t="str">
        <f t="shared" si="168"/>
        <v/>
      </c>
      <c r="G1392" s="1055" t="str">
        <f t="shared" si="169"/>
        <v/>
      </c>
      <c r="I1392" s="1100"/>
      <c r="J1392" s="1048"/>
      <c r="K1392" s="1119"/>
      <c r="L1392" s="1048"/>
      <c r="M1392" s="1033"/>
      <c r="N1392" s="1048"/>
      <c r="O1392" s="1048"/>
      <c r="P1392" s="1048"/>
      <c r="Q1392" s="1048"/>
      <c r="R1392" s="1048"/>
      <c r="S1392" s="1048"/>
      <c r="T1392" s="1048"/>
      <c r="U1392" s="1102"/>
    </row>
    <row r="1393" spans="2:21" hidden="1" outlineLevel="2">
      <c r="B1393" s="1050">
        <v>30</v>
      </c>
      <c r="C1393" s="1050" t="str">
        <f t="shared" si="166"/>
        <v>-</v>
      </c>
      <c r="D1393" s="1051">
        <f t="shared" si="167"/>
        <v>22</v>
      </c>
      <c r="E1393" s="1051" t="str">
        <f>IF(COUNTIF(E$1363:E1392,F1393)&gt;0,"",F1393)</f>
        <v/>
      </c>
      <c r="F1393" s="1051" t="str">
        <f t="shared" si="168"/>
        <v/>
      </c>
      <c r="G1393" s="1055" t="str">
        <f t="shared" si="169"/>
        <v/>
      </c>
      <c r="I1393" s="1100"/>
      <c r="J1393" s="1048"/>
      <c r="K1393" s="1119"/>
      <c r="L1393" s="1048"/>
      <c r="M1393" s="1033"/>
      <c r="N1393" s="1048"/>
      <c r="O1393" s="1048"/>
      <c r="P1393" s="1048"/>
      <c r="Q1393" s="1048"/>
      <c r="R1393" s="1048"/>
      <c r="S1393" s="1048"/>
      <c r="T1393" s="1048"/>
      <c r="U1393" s="1102"/>
    </row>
    <row r="1394" spans="2:21" hidden="1" outlineLevel="1">
      <c r="I1394" s="1711"/>
      <c r="J1394" s="1712"/>
      <c r="K1394" s="1712"/>
      <c r="L1394" s="1712"/>
      <c r="M1394" s="1712"/>
      <c r="N1394" s="1712"/>
      <c r="O1394" s="1712"/>
      <c r="P1394" s="1712"/>
      <c r="Q1394" s="1712"/>
      <c r="R1394" s="1712"/>
      <c r="S1394" s="1712"/>
      <c r="T1394" s="1712"/>
      <c r="U1394" s="1714"/>
    </row>
    <row r="1395" spans="2:21" s="1045" customFormat="1" ht="12.75" hidden="1" customHeight="1" outlineLevel="1" collapsed="1">
      <c r="B1395" s="3156" t="s">
        <v>4630</v>
      </c>
      <c r="C1395" s="3156"/>
      <c r="D1395" s="1051">
        <v>0</v>
      </c>
      <c r="E1395" s="1051"/>
      <c r="F1395" s="1051"/>
      <c r="G1395" s="1054"/>
      <c r="H1395" s="1046"/>
      <c r="I1395" s="1746"/>
      <c r="J1395" s="1742"/>
      <c r="K1395" s="1743"/>
      <c r="L1395" s="1743"/>
      <c r="M1395" s="1744"/>
      <c r="N1395" s="1742"/>
      <c r="O1395" s="1745"/>
      <c r="P1395" s="1743"/>
      <c r="Q1395" s="1743"/>
      <c r="R1395" s="1745"/>
      <c r="S1395" s="1745"/>
      <c r="T1395" s="1743"/>
      <c r="U1395" s="1747"/>
    </row>
    <row r="1396" spans="2:21" hidden="1" outlineLevel="2">
      <c r="B1396" s="1050">
        <v>1</v>
      </c>
      <c r="C1396" s="1050" t="str">
        <f>IF(ISNA(VLOOKUP(B1396,$D$1395:$E$1553,2,FALSE)),"-",VLOOKUP(B1396,$D$1395:$E$1553,2,FALSE))</f>
        <v>Abricot au sirop léger, appertisé, égoutté, France continentale, Base Carbone</v>
      </c>
      <c r="D1396" s="1051">
        <f>D1395+IF(LEN(E1396)&gt;0,1,0)</f>
        <v>1</v>
      </c>
      <c r="E1396" s="1051" t="str">
        <f>IF(COUNTIF(E$1395:E1395,F1396)&gt;0,"",F1396)</f>
        <v>Abricot au sirop léger, appertisé, égoutté, France continentale, Base Carbone</v>
      </c>
      <c r="F1396" s="1051" t="str">
        <f>IF(I1396&lt;&gt;"",I1396&amp;IF(N1396&lt;&gt;""," "&amp;N1396,)&amp;IF(L1396&lt;&gt;"",", "&amp;L1396,"")&amp;IF(K1396&lt;&gt;"",", "&amp;K1396,""),"")</f>
        <v>Abricot au sirop léger, appertisé, égoutté, France continentale, Base Carbone</v>
      </c>
      <c r="G1396" s="1055" t="str">
        <f>IF(F1396&lt;&gt;"",F1396&amp;IF(J1396&lt;&gt;"","; "&amp;J1396,""),"")</f>
        <v>Abricot au sirop léger, appertisé, égoutté, France continentale, Base Carbone; kgCO2e/kg de produit</v>
      </c>
      <c r="I1396" s="2018" t="s">
        <v>4479</v>
      </c>
      <c r="J1396" s="1135" t="s">
        <v>4654</v>
      </c>
      <c r="K1396" s="1119" t="s">
        <v>1567</v>
      </c>
      <c r="L1396" s="1135" t="s">
        <v>1571</v>
      </c>
      <c r="M1396" s="2038">
        <v>0.5</v>
      </c>
      <c r="N1396" s="1135"/>
      <c r="O1396" s="2340">
        <v>1.22</v>
      </c>
      <c r="P1396" s="1135"/>
      <c r="Q1396" s="1135"/>
      <c r="R1396" s="1135"/>
      <c r="S1396" s="1135"/>
      <c r="T1396" s="1135"/>
      <c r="U1396" s="2041"/>
    </row>
    <row r="1397" spans="2:21" hidden="1" outlineLevel="2">
      <c r="B1397" s="1050">
        <v>2</v>
      </c>
      <c r="C1397" s="1050" t="str">
        <f t="shared" ref="C1397:C1460" si="170">IF(ISNA(VLOOKUP(B1397,$D$1395:$E$1553,2,FALSE)),"-",VLOOKUP(B1397,$D$1395:$E$1553,2,FALSE))</f>
        <v>Amande (avec peau), France continentale, Base Carbone</v>
      </c>
      <c r="D1397" s="1051">
        <f t="shared" ref="D1397:D1460" si="171">D1396+IF(LEN(E1397)&gt;0,1,0)</f>
        <v>2</v>
      </c>
      <c r="E1397" s="1051" t="str">
        <f>IF(COUNTIF(E$1395:E1396,F1397)&gt;0,"",F1397)</f>
        <v>Amande (avec peau), France continentale, Base Carbone</v>
      </c>
      <c r="F1397" s="1051" t="str">
        <f t="shared" ref="F1397:F1460" si="172">IF(I1397&lt;&gt;"",I1397&amp;IF(N1397&lt;&gt;""," "&amp;N1397,)&amp;IF(L1397&lt;&gt;"",", "&amp;L1397,"")&amp;IF(K1397&lt;&gt;"",", "&amp;K1397,""),"")</f>
        <v>Amande (avec peau), France continentale, Base Carbone</v>
      </c>
      <c r="G1397" s="1055" t="str">
        <f t="shared" ref="G1397:G1460" si="173">IF(F1397&lt;&gt;"",F1397&amp;IF(J1397&lt;&gt;"","; "&amp;J1397,""),"")</f>
        <v>Amande (avec peau), France continentale, Base Carbone; kgCO2e/kg de produit</v>
      </c>
      <c r="I1397" s="2018" t="s">
        <v>4480</v>
      </c>
      <c r="J1397" s="1135" t="s">
        <v>4654</v>
      </c>
      <c r="K1397" s="1119" t="s">
        <v>1567</v>
      </c>
      <c r="L1397" s="1135" t="s">
        <v>1571</v>
      </c>
      <c r="M1397" s="2038">
        <v>0.5</v>
      </c>
      <c r="N1397" s="1135"/>
      <c r="O1397" s="2340">
        <v>5.76</v>
      </c>
      <c r="P1397" s="1135"/>
      <c r="Q1397" s="1135"/>
      <c r="R1397" s="1135"/>
      <c r="S1397" s="1135"/>
      <c r="T1397" s="1135"/>
      <c r="U1397" s="2041"/>
    </row>
    <row r="1398" spans="2:21" hidden="1" outlineLevel="2">
      <c r="B1398" s="1050">
        <v>3</v>
      </c>
      <c r="C1398" s="1050" t="str">
        <f t="shared" si="170"/>
        <v>Ananas au sirop et jus d'ananas, appertisé, égoutté, France continentale, Base Carbone</v>
      </c>
      <c r="D1398" s="1051">
        <f t="shared" si="171"/>
        <v>3</v>
      </c>
      <c r="E1398" s="1051" t="str">
        <f>IF(COUNTIF(E$1395:E1397,F1398)&gt;0,"",F1398)</f>
        <v>Ananas au sirop et jus d'ananas, appertisé, égoutté, France continentale, Base Carbone</v>
      </c>
      <c r="F1398" s="1051" t="str">
        <f t="shared" si="172"/>
        <v>Ananas au sirop et jus d'ananas, appertisé, égoutté, France continentale, Base Carbone</v>
      </c>
      <c r="G1398" s="1055" t="str">
        <f t="shared" si="173"/>
        <v>Ananas au sirop et jus d'ananas, appertisé, égoutté, France continentale, Base Carbone; kgCO2e/kg de produit</v>
      </c>
      <c r="I1398" s="2018" t="s">
        <v>4481</v>
      </c>
      <c r="J1398" s="1135" t="s">
        <v>4654</v>
      </c>
      <c r="K1398" s="1119" t="s">
        <v>1567</v>
      </c>
      <c r="L1398" s="1135" t="s">
        <v>1571</v>
      </c>
      <c r="M1398" s="2038">
        <v>0.5</v>
      </c>
      <c r="N1398" s="1135"/>
      <c r="O1398" s="2340">
        <v>1.52</v>
      </c>
      <c r="P1398" s="1135"/>
      <c r="Q1398" s="1135"/>
      <c r="R1398" s="1135"/>
      <c r="S1398" s="1135"/>
      <c r="T1398" s="1135"/>
      <c r="U1398" s="2041"/>
    </row>
    <row r="1399" spans="2:21" hidden="1" outlineLevel="2">
      <c r="B1399" s="1050">
        <v>4</v>
      </c>
      <c r="C1399" s="1050" t="str">
        <f t="shared" si="170"/>
        <v>Artichaut, cuit, France continentale, Base Carbone</v>
      </c>
      <c r="D1399" s="1051">
        <f t="shared" si="171"/>
        <v>4</v>
      </c>
      <c r="E1399" s="1051" t="str">
        <f>IF(COUNTIF(E$1395:E1398,F1399)&gt;0,"",F1399)</f>
        <v>Artichaut, cuit, France continentale, Base Carbone</v>
      </c>
      <c r="F1399" s="1051" t="str">
        <f t="shared" si="172"/>
        <v>Artichaut, cuit, France continentale, Base Carbone</v>
      </c>
      <c r="G1399" s="1055" t="str">
        <f t="shared" si="173"/>
        <v>Artichaut, cuit, France continentale, Base Carbone; kgCO2e/kg de produit</v>
      </c>
      <c r="I1399" s="2018" t="s">
        <v>4482</v>
      </c>
      <c r="J1399" s="1135" t="s">
        <v>4654</v>
      </c>
      <c r="K1399" s="1119" t="s">
        <v>1567</v>
      </c>
      <c r="L1399" s="1135" t="s">
        <v>1571</v>
      </c>
      <c r="M1399" s="2038">
        <v>0.5</v>
      </c>
      <c r="N1399" s="1135"/>
      <c r="O1399" s="2340">
        <v>3.01</v>
      </c>
      <c r="P1399" s="1135"/>
      <c r="Q1399" s="1135"/>
      <c r="R1399" s="1135"/>
      <c r="S1399" s="1135"/>
      <c r="T1399" s="1135"/>
      <c r="U1399" s="2041"/>
    </row>
    <row r="1400" spans="2:21" hidden="1" outlineLevel="2">
      <c r="B1400" s="1050">
        <v>5</v>
      </c>
      <c r="C1400" s="1050" t="str">
        <f t="shared" si="170"/>
        <v>Asperge, bouillie/cuite à l'eau, France continentale, Base Carbone</v>
      </c>
      <c r="D1400" s="1051">
        <f t="shared" si="171"/>
        <v>5</v>
      </c>
      <c r="E1400" s="1051" t="str">
        <f>IF(COUNTIF(E$1395:E1399,F1400)&gt;0,"",F1400)</f>
        <v>Asperge, bouillie/cuite à l'eau, France continentale, Base Carbone</v>
      </c>
      <c r="F1400" s="1051" t="str">
        <f t="shared" si="172"/>
        <v>Asperge, bouillie/cuite à l'eau, France continentale, Base Carbone</v>
      </c>
      <c r="G1400" s="1055" t="str">
        <f t="shared" si="173"/>
        <v>Asperge, bouillie/cuite à l'eau, France continentale, Base Carbone; kgCO2e/kg de produit</v>
      </c>
      <c r="I1400" s="2018" t="s">
        <v>4483</v>
      </c>
      <c r="J1400" s="1135" t="s">
        <v>4654</v>
      </c>
      <c r="K1400" s="1119" t="s">
        <v>1567</v>
      </c>
      <c r="L1400" s="1135" t="s">
        <v>1571</v>
      </c>
      <c r="M1400" s="2038">
        <v>0.5</v>
      </c>
      <c r="N1400" s="1135"/>
      <c r="O1400" s="2340">
        <v>2.25</v>
      </c>
      <c r="P1400" s="1135"/>
      <c r="Q1400" s="1135"/>
      <c r="R1400" s="1135"/>
      <c r="S1400" s="1135"/>
      <c r="T1400" s="1135"/>
      <c r="U1400" s="2041"/>
    </row>
    <row r="1401" spans="2:21" hidden="1" outlineLevel="2">
      <c r="B1401" s="1050">
        <v>6</v>
      </c>
      <c r="C1401" s="1050" t="str">
        <f t="shared" si="170"/>
        <v>Aubergine, cuite, France continentale, Base Carbone</v>
      </c>
      <c r="D1401" s="1051">
        <f t="shared" si="171"/>
        <v>6</v>
      </c>
      <c r="E1401" s="1051" t="str">
        <f>IF(COUNTIF(E$1395:E1400,F1401)&gt;0,"",F1401)</f>
        <v>Aubergine, cuite, France continentale, Base Carbone</v>
      </c>
      <c r="F1401" s="1051" t="str">
        <f t="shared" si="172"/>
        <v>Aubergine, cuite, France continentale, Base Carbone</v>
      </c>
      <c r="G1401" s="1055" t="str">
        <f t="shared" si="173"/>
        <v>Aubergine, cuite, France continentale, Base Carbone; kgCO2e/kg de produit</v>
      </c>
      <c r="I1401" s="2018" t="s">
        <v>4484</v>
      </c>
      <c r="J1401" s="1135" t="s">
        <v>4654</v>
      </c>
      <c r="K1401" s="1119" t="s">
        <v>1567</v>
      </c>
      <c r="L1401" s="1135" t="s">
        <v>1571</v>
      </c>
      <c r="M1401" s="2038">
        <v>0.5</v>
      </c>
      <c r="N1401" s="1135"/>
      <c r="O1401" s="2340">
        <v>6.72</v>
      </c>
      <c r="P1401" s="1135"/>
      <c r="Q1401" s="1135"/>
      <c r="R1401" s="1135"/>
      <c r="S1401" s="1135"/>
      <c r="T1401" s="1135"/>
      <c r="U1401" s="2041"/>
    </row>
    <row r="1402" spans="2:21" hidden="1" outlineLevel="2">
      <c r="B1402" s="1050">
        <v>7</v>
      </c>
      <c r="C1402" s="1050" t="str">
        <f t="shared" si="170"/>
        <v>Avocat, pulpe, cru, France continentale, Base Carbone</v>
      </c>
      <c r="D1402" s="1051">
        <f t="shared" si="171"/>
        <v>7</v>
      </c>
      <c r="E1402" s="1051" t="str">
        <f>IF(COUNTIF(E$1395:E1401,F1402)&gt;0,"",F1402)</f>
        <v>Avocat, pulpe, cru, France continentale, Base Carbone</v>
      </c>
      <c r="F1402" s="1051" t="str">
        <f t="shared" si="172"/>
        <v>Avocat, pulpe, cru, France continentale, Base Carbone</v>
      </c>
      <c r="G1402" s="1055" t="str">
        <f t="shared" si="173"/>
        <v>Avocat, pulpe, cru, France continentale, Base Carbone; kgCO2e/kg de produit</v>
      </c>
      <c r="I1402" s="2018" t="s">
        <v>4485</v>
      </c>
      <c r="J1402" s="1135" t="s">
        <v>4654</v>
      </c>
      <c r="K1402" s="1119" t="s">
        <v>1567</v>
      </c>
      <c r="L1402" s="1135" t="s">
        <v>1571</v>
      </c>
      <c r="M1402" s="2038">
        <v>0.5</v>
      </c>
      <c r="N1402" s="1135"/>
      <c r="O1402" s="2340">
        <v>2.75</v>
      </c>
      <c r="P1402" s="1135"/>
      <c r="Q1402" s="1135"/>
      <c r="R1402" s="1135"/>
      <c r="S1402" s="1135"/>
      <c r="T1402" s="1135"/>
      <c r="U1402" s="2041"/>
    </row>
    <row r="1403" spans="2:21" hidden="1" outlineLevel="2">
      <c r="B1403" s="1050">
        <v>8</v>
      </c>
      <c r="C1403" s="1050" t="str">
        <f t="shared" si="170"/>
        <v>Bambou, pousse, crue, France continentale, Base Carbone</v>
      </c>
      <c r="D1403" s="1051">
        <f t="shared" si="171"/>
        <v>8</v>
      </c>
      <c r="E1403" s="1051" t="str">
        <f>IF(COUNTIF(E$1395:E1402,F1403)&gt;0,"",F1403)</f>
        <v>Bambou, pousse, crue, France continentale, Base Carbone</v>
      </c>
      <c r="F1403" s="1051" t="str">
        <f t="shared" si="172"/>
        <v>Bambou, pousse, crue, France continentale, Base Carbone</v>
      </c>
      <c r="G1403" s="1055" t="str">
        <f t="shared" si="173"/>
        <v>Bambou, pousse, crue, France continentale, Base Carbone; kgCO2e/kg de produit</v>
      </c>
      <c r="I1403" s="2018" t="s">
        <v>4486</v>
      </c>
      <c r="J1403" s="1135" t="s">
        <v>4654</v>
      </c>
      <c r="K1403" s="1119" t="s">
        <v>1567</v>
      </c>
      <c r="L1403" s="1135" t="s">
        <v>1571</v>
      </c>
      <c r="M1403" s="2038">
        <v>0.5</v>
      </c>
      <c r="N1403" s="1135"/>
      <c r="O1403" s="2340">
        <v>1.37</v>
      </c>
      <c r="P1403" s="1135"/>
      <c r="Q1403" s="1135"/>
      <c r="R1403" s="1135"/>
      <c r="S1403" s="1135"/>
      <c r="T1403" s="1135"/>
      <c r="U1403" s="2041"/>
    </row>
    <row r="1404" spans="2:21" hidden="1" outlineLevel="2">
      <c r="B1404" s="1050">
        <v>9</v>
      </c>
      <c r="C1404" s="1050" t="str">
        <f t="shared" si="170"/>
        <v>Banane plantain, cuite, France continentale, Base Carbone</v>
      </c>
      <c r="D1404" s="1051">
        <f t="shared" si="171"/>
        <v>9</v>
      </c>
      <c r="E1404" s="1051" t="str">
        <f>IF(COUNTIF(E$1395:E1403,F1404)&gt;0,"",F1404)</f>
        <v>Banane plantain, cuite, France continentale, Base Carbone</v>
      </c>
      <c r="F1404" s="1051" t="str">
        <f t="shared" si="172"/>
        <v>Banane plantain, cuite, France continentale, Base Carbone</v>
      </c>
      <c r="G1404" s="1055" t="str">
        <f t="shared" si="173"/>
        <v>Banane plantain, cuite, France continentale, Base Carbone; kgCO2e/kg de produit</v>
      </c>
      <c r="I1404" s="2018" t="s">
        <v>4487</v>
      </c>
      <c r="J1404" s="1135" t="s">
        <v>4654</v>
      </c>
      <c r="K1404" s="1119" t="s">
        <v>1567</v>
      </c>
      <c r="L1404" s="1135" t="s">
        <v>1571</v>
      </c>
      <c r="M1404" s="2038">
        <v>0.5</v>
      </c>
      <c r="N1404" s="1135"/>
      <c r="O1404" s="2340">
        <v>1.87</v>
      </c>
      <c r="P1404" s="1135"/>
      <c r="Q1404" s="1135"/>
      <c r="R1404" s="1135"/>
      <c r="S1404" s="1135"/>
      <c r="T1404" s="1135"/>
      <c r="U1404" s="2041"/>
    </row>
    <row r="1405" spans="2:21" hidden="1" outlineLevel="2">
      <c r="B1405" s="1050">
        <v>10</v>
      </c>
      <c r="C1405" s="1050" t="str">
        <f t="shared" si="170"/>
        <v>Banane, pulpe, crue, France continentale, Base Carbone</v>
      </c>
      <c r="D1405" s="1051">
        <f t="shared" si="171"/>
        <v>10</v>
      </c>
      <c r="E1405" s="1051" t="str">
        <f>IF(COUNTIF(E$1395:E1404,F1405)&gt;0,"",F1405)</f>
        <v>Banane, pulpe, crue, France continentale, Base Carbone</v>
      </c>
      <c r="F1405" s="1051" t="str">
        <f t="shared" si="172"/>
        <v>Banane, pulpe, crue, France continentale, Base Carbone</v>
      </c>
      <c r="G1405" s="1055" t="str">
        <f t="shared" si="173"/>
        <v>Banane, pulpe, crue, France continentale, Base Carbone; kgCO2e/kg de produit</v>
      </c>
      <c r="I1405" s="2018" t="s">
        <v>4488</v>
      </c>
      <c r="J1405" s="1135" t="s">
        <v>4654</v>
      </c>
      <c r="K1405" s="1119" t="s">
        <v>1567</v>
      </c>
      <c r="L1405" s="1135" t="s">
        <v>1571</v>
      </c>
      <c r="M1405" s="2038">
        <v>0.5</v>
      </c>
      <c r="N1405" s="1135"/>
      <c r="O1405" s="2340">
        <v>1.86</v>
      </c>
      <c r="P1405" s="1135"/>
      <c r="Q1405" s="1135"/>
      <c r="R1405" s="1135"/>
      <c r="S1405" s="1135"/>
      <c r="T1405" s="1135"/>
      <c r="U1405" s="2041"/>
    </row>
    <row r="1406" spans="2:21" hidden="1" outlineLevel="2">
      <c r="B1406" s="1050">
        <v>11</v>
      </c>
      <c r="C1406" s="1050" t="str">
        <f t="shared" si="170"/>
        <v>Bette ou blette, cuite, France continentale, Base Carbone</v>
      </c>
      <c r="D1406" s="1051">
        <f t="shared" si="171"/>
        <v>11</v>
      </c>
      <c r="E1406" s="1051" t="str">
        <f>IF(COUNTIF(E$1395:E1405,F1406)&gt;0,"",F1406)</f>
        <v>Bette ou blette, cuite, France continentale, Base Carbone</v>
      </c>
      <c r="F1406" s="1051" t="str">
        <f t="shared" si="172"/>
        <v>Bette ou blette, cuite, France continentale, Base Carbone</v>
      </c>
      <c r="G1406" s="1055" t="str">
        <f t="shared" si="173"/>
        <v>Bette ou blette, cuite, France continentale, Base Carbone; kgCO2e/kg de produit</v>
      </c>
      <c r="I1406" s="2018" t="s">
        <v>4489</v>
      </c>
      <c r="J1406" s="1135" t="s">
        <v>4654</v>
      </c>
      <c r="K1406" s="1119" t="s">
        <v>1567</v>
      </c>
      <c r="L1406" s="1135" t="s">
        <v>1571</v>
      </c>
      <c r="M1406" s="2038">
        <v>0.5</v>
      </c>
      <c r="N1406" s="1135"/>
      <c r="O1406" s="2340">
        <v>1.2</v>
      </c>
      <c r="P1406" s="1135"/>
      <c r="Q1406" s="1135"/>
      <c r="R1406" s="1135"/>
      <c r="S1406" s="1135"/>
      <c r="T1406" s="1135"/>
      <c r="U1406" s="2041"/>
    </row>
    <row r="1407" spans="2:21" hidden="1" outlineLevel="2">
      <c r="B1407" s="1050">
        <v>12</v>
      </c>
      <c r="C1407" s="1050" t="str">
        <f t="shared" si="170"/>
        <v>Betterave rouge, cuite, France continentale, Base Carbone</v>
      </c>
      <c r="D1407" s="1051">
        <f t="shared" si="171"/>
        <v>12</v>
      </c>
      <c r="E1407" s="1051" t="str">
        <f>IF(COUNTIF(E$1395:E1406,F1407)&gt;0,"",F1407)</f>
        <v>Betterave rouge, cuite, France continentale, Base Carbone</v>
      </c>
      <c r="F1407" s="1051" t="str">
        <f t="shared" si="172"/>
        <v>Betterave rouge, cuite, France continentale, Base Carbone</v>
      </c>
      <c r="G1407" s="1055" t="str">
        <f t="shared" si="173"/>
        <v>Betterave rouge, cuite, France continentale, Base Carbone; kgCO2e/kg de produit</v>
      </c>
      <c r="I1407" s="2018" t="s">
        <v>4490</v>
      </c>
      <c r="J1407" s="1135" t="s">
        <v>4654</v>
      </c>
      <c r="K1407" s="1119" t="s">
        <v>1567</v>
      </c>
      <c r="L1407" s="1135" t="s">
        <v>1571</v>
      </c>
      <c r="M1407" s="2038">
        <v>0.5</v>
      </c>
      <c r="N1407" s="1135"/>
      <c r="O1407" s="2340">
        <v>0.872</v>
      </c>
      <c r="P1407" s="1135"/>
      <c r="Q1407" s="1135"/>
      <c r="R1407" s="1135"/>
      <c r="S1407" s="1135"/>
      <c r="T1407" s="1135"/>
      <c r="U1407" s="2041"/>
    </row>
    <row r="1408" spans="2:21" hidden="1" outlineLevel="2">
      <c r="B1408" s="1050">
        <v>13</v>
      </c>
      <c r="C1408" s="1050" t="str">
        <f t="shared" si="170"/>
        <v>Beurre de cacahuète ou Pâte d'arachide, France continentale, Base Carbone</v>
      </c>
      <c r="D1408" s="1051">
        <f t="shared" si="171"/>
        <v>13</v>
      </c>
      <c r="E1408" s="1051" t="str">
        <f>IF(COUNTIF(E$1395:E1407,F1408)&gt;0,"",F1408)</f>
        <v>Beurre de cacahuète ou Pâte d'arachide, France continentale, Base Carbone</v>
      </c>
      <c r="F1408" s="1051" t="str">
        <f t="shared" si="172"/>
        <v>Beurre de cacahuète ou Pâte d'arachide, France continentale, Base Carbone</v>
      </c>
      <c r="G1408" s="1055" t="str">
        <f t="shared" si="173"/>
        <v>Beurre de cacahuète ou Pâte d'arachide, France continentale, Base Carbone; kgCO2e/kg de produit</v>
      </c>
      <c r="I1408" s="2018" t="s">
        <v>4491</v>
      </c>
      <c r="J1408" s="1135" t="s">
        <v>4654</v>
      </c>
      <c r="K1408" s="1119" t="s">
        <v>1567</v>
      </c>
      <c r="L1408" s="1135" t="s">
        <v>1571</v>
      </c>
      <c r="M1408" s="2038">
        <v>0.5</v>
      </c>
      <c r="N1408" s="1135"/>
      <c r="O1408" s="2340">
        <v>3.3</v>
      </c>
      <c r="P1408" s="1135"/>
      <c r="Q1408" s="1135"/>
      <c r="R1408" s="1135"/>
      <c r="S1408" s="1135"/>
      <c r="T1408" s="1135"/>
      <c r="U1408" s="2041"/>
    </row>
    <row r="1409" spans="2:21" hidden="1" outlineLevel="2">
      <c r="B1409" s="1050">
        <v>14</v>
      </c>
      <c r="C1409" s="1050" t="str">
        <f t="shared" si="170"/>
        <v>Brocoli, cuit, France continentale, Base Carbone</v>
      </c>
      <c r="D1409" s="1051">
        <f t="shared" si="171"/>
        <v>14</v>
      </c>
      <c r="E1409" s="1051" t="str">
        <f>IF(COUNTIF(E$1395:E1408,F1409)&gt;0,"",F1409)</f>
        <v>Brocoli, cuit, France continentale, Base Carbone</v>
      </c>
      <c r="F1409" s="1051" t="str">
        <f t="shared" si="172"/>
        <v>Brocoli, cuit, France continentale, Base Carbone</v>
      </c>
      <c r="G1409" s="1055" t="str">
        <f t="shared" si="173"/>
        <v>Brocoli, cuit, France continentale, Base Carbone; kgCO2e/kg de produit</v>
      </c>
      <c r="I1409" s="2018" t="s">
        <v>4492</v>
      </c>
      <c r="J1409" s="1135" t="s">
        <v>4654</v>
      </c>
      <c r="K1409" s="1119" t="s">
        <v>1567</v>
      </c>
      <c r="L1409" s="1135" t="s">
        <v>1571</v>
      </c>
      <c r="M1409" s="2038">
        <v>0.5</v>
      </c>
      <c r="N1409" s="1135"/>
      <c r="O1409" s="2340">
        <v>1.33</v>
      </c>
      <c r="P1409" s="1135"/>
      <c r="Q1409" s="1135"/>
      <c r="R1409" s="1135"/>
      <c r="S1409" s="1135"/>
      <c r="T1409" s="1135"/>
      <c r="U1409" s="2041"/>
    </row>
    <row r="1410" spans="2:21" hidden="1" outlineLevel="2">
      <c r="B1410" s="1050">
        <v>15</v>
      </c>
      <c r="C1410" s="1050" t="str">
        <f t="shared" si="170"/>
        <v>Cacahuète ou Arachide, France continentale, Base Carbone</v>
      </c>
      <c r="D1410" s="1051">
        <f t="shared" si="171"/>
        <v>15</v>
      </c>
      <c r="E1410" s="1051" t="str">
        <f>IF(COUNTIF(E$1395:E1409,F1410)&gt;0,"",F1410)</f>
        <v>Cacahuète ou Arachide, France continentale, Base Carbone</v>
      </c>
      <c r="F1410" s="1051" t="str">
        <f t="shared" si="172"/>
        <v>Cacahuète ou Arachide, France continentale, Base Carbone</v>
      </c>
      <c r="G1410" s="1055" t="str">
        <f t="shared" si="173"/>
        <v>Cacahuète ou Arachide, France continentale, Base Carbone; kgCO2e/kg de produit</v>
      </c>
      <c r="I1410" s="2018" t="s">
        <v>4493</v>
      </c>
      <c r="J1410" s="1135" t="s">
        <v>4654</v>
      </c>
      <c r="K1410" s="1119" t="s">
        <v>1567</v>
      </c>
      <c r="L1410" s="1135" t="s">
        <v>1571</v>
      </c>
      <c r="M1410" s="2038">
        <v>0.5</v>
      </c>
      <c r="N1410" s="1135"/>
      <c r="O1410" s="2340">
        <v>4.68</v>
      </c>
      <c r="P1410" s="1135"/>
      <c r="Q1410" s="1135"/>
      <c r="R1410" s="1135"/>
      <c r="S1410" s="1135"/>
      <c r="T1410" s="1135"/>
      <c r="U1410" s="2041"/>
    </row>
    <row r="1411" spans="2:21" hidden="1" outlineLevel="2">
      <c r="B1411" s="1050">
        <v>16</v>
      </c>
      <c r="C1411" s="1050" t="str">
        <f t="shared" si="170"/>
        <v>Canneberge ou cranberry, crue, France continentale, Base Carbone</v>
      </c>
      <c r="D1411" s="1051">
        <f t="shared" si="171"/>
        <v>16</v>
      </c>
      <c r="E1411" s="1051" t="str">
        <f>IF(COUNTIF(E$1395:E1410,F1411)&gt;0,"",F1411)</f>
        <v>Canneberge ou cranberry, crue, France continentale, Base Carbone</v>
      </c>
      <c r="F1411" s="1051" t="str">
        <f t="shared" si="172"/>
        <v>Canneberge ou cranberry, crue, France continentale, Base Carbone</v>
      </c>
      <c r="G1411" s="1055" t="str">
        <f t="shared" si="173"/>
        <v>Canneberge ou cranberry, crue, France continentale, Base Carbone; kgCO2e/kg de produit</v>
      </c>
      <c r="I1411" s="2018" t="s">
        <v>4494</v>
      </c>
      <c r="J1411" s="1135" t="s">
        <v>4654</v>
      </c>
      <c r="K1411" s="1119" t="s">
        <v>1567</v>
      </c>
      <c r="L1411" s="1135" t="s">
        <v>1571</v>
      </c>
      <c r="M1411" s="2038">
        <v>0.5</v>
      </c>
      <c r="N1411" s="1135"/>
      <c r="O1411" s="2340">
        <v>1.1599999999999999</v>
      </c>
      <c r="P1411" s="1135"/>
      <c r="Q1411" s="1135"/>
      <c r="R1411" s="1135"/>
      <c r="S1411" s="1135"/>
      <c r="T1411" s="1135"/>
      <c r="U1411" s="2041"/>
    </row>
    <row r="1412" spans="2:21" hidden="1" outlineLevel="2">
      <c r="B1412" s="1050">
        <v>17</v>
      </c>
      <c r="C1412" s="1050" t="str">
        <f t="shared" si="170"/>
        <v>Carambole, pulpe, crue, France continentale, Base Carbone</v>
      </c>
      <c r="D1412" s="1051">
        <f t="shared" si="171"/>
        <v>17</v>
      </c>
      <c r="E1412" s="1051" t="str">
        <f>IF(COUNTIF(E$1395:E1411,F1412)&gt;0,"",F1412)</f>
        <v>Carambole, pulpe, crue, France continentale, Base Carbone</v>
      </c>
      <c r="F1412" s="1051" t="str">
        <f t="shared" si="172"/>
        <v>Carambole, pulpe, crue, France continentale, Base Carbone</v>
      </c>
      <c r="G1412" s="1055" t="str">
        <f t="shared" si="173"/>
        <v>Carambole, pulpe, crue, France continentale, Base Carbone; kgCO2e/kg de produit</v>
      </c>
      <c r="I1412" s="2018" t="s">
        <v>4495</v>
      </c>
      <c r="J1412" s="1135" t="s">
        <v>4654</v>
      </c>
      <c r="K1412" s="1119" t="s">
        <v>1567</v>
      </c>
      <c r="L1412" s="1135" t="s">
        <v>1571</v>
      </c>
      <c r="M1412" s="2038">
        <v>0.5</v>
      </c>
      <c r="N1412" s="1135"/>
      <c r="O1412" s="2340">
        <v>0.48</v>
      </c>
      <c r="P1412" s="1135"/>
      <c r="Q1412" s="1135"/>
      <c r="R1412" s="1135"/>
      <c r="S1412" s="1135"/>
      <c r="T1412" s="1135"/>
      <c r="U1412" s="2041"/>
    </row>
    <row r="1413" spans="2:21" hidden="1" outlineLevel="2">
      <c r="B1413" s="1050">
        <v>18</v>
      </c>
      <c r="C1413" s="1050" t="str">
        <f t="shared" si="170"/>
        <v>Carotte, cuite, France continentale, Base Carbone</v>
      </c>
      <c r="D1413" s="1051">
        <f t="shared" si="171"/>
        <v>18</v>
      </c>
      <c r="E1413" s="1051" t="str">
        <f>IF(COUNTIF(E$1395:E1412,F1413)&gt;0,"",F1413)</f>
        <v>Carotte, cuite, France continentale, Base Carbone</v>
      </c>
      <c r="F1413" s="1051" t="str">
        <f t="shared" si="172"/>
        <v>Carotte, cuite, France continentale, Base Carbone</v>
      </c>
      <c r="G1413" s="1055" t="str">
        <f t="shared" si="173"/>
        <v>Carotte, cuite, France continentale, Base Carbone; kgCO2e/kg de produit</v>
      </c>
      <c r="I1413" s="2018" t="s">
        <v>4496</v>
      </c>
      <c r="J1413" s="1135" t="s">
        <v>4654</v>
      </c>
      <c r="K1413" s="1119" t="s">
        <v>1567</v>
      </c>
      <c r="L1413" s="1135" t="s">
        <v>1571</v>
      </c>
      <c r="M1413" s="2038">
        <v>0.5</v>
      </c>
      <c r="N1413" s="1135"/>
      <c r="O1413" s="2340">
        <v>1.05</v>
      </c>
      <c r="P1413" s="1135"/>
      <c r="Q1413" s="1135"/>
      <c r="R1413" s="1135"/>
      <c r="S1413" s="1135"/>
      <c r="T1413" s="1135"/>
      <c r="U1413" s="2041"/>
    </row>
    <row r="1414" spans="2:21" hidden="1" outlineLevel="2">
      <c r="B1414" s="1050">
        <v>19</v>
      </c>
      <c r="C1414" s="1050" t="str">
        <f t="shared" si="170"/>
        <v>Cassis, cru, France continentale, Base Carbone</v>
      </c>
      <c r="D1414" s="1051">
        <f t="shared" si="171"/>
        <v>19</v>
      </c>
      <c r="E1414" s="1051" t="str">
        <f>IF(COUNTIF(E$1395:E1413,F1414)&gt;0,"",F1414)</f>
        <v>Cassis, cru, France continentale, Base Carbone</v>
      </c>
      <c r="F1414" s="1051" t="str">
        <f t="shared" si="172"/>
        <v>Cassis, cru, France continentale, Base Carbone</v>
      </c>
      <c r="G1414" s="1055" t="str">
        <f t="shared" si="173"/>
        <v>Cassis, cru, France continentale, Base Carbone; kgCO2e/kg de produit</v>
      </c>
      <c r="I1414" s="2018" t="s">
        <v>4497</v>
      </c>
      <c r="J1414" s="1135" t="s">
        <v>4654</v>
      </c>
      <c r="K1414" s="1119" t="s">
        <v>1567</v>
      </c>
      <c r="L1414" s="1135" t="s">
        <v>1571</v>
      </c>
      <c r="M1414" s="2038">
        <v>0.5</v>
      </c>
      <c r="N1414" s="1135"/>
      <c r="O1414" s="2340">
        <v>1.76</v>
      </c>
      <c r="P1414" s="1135"/>
      <c r="Q1414" s="1135"/>
      <c r="R1414" s="1135"/>
      <c r="S1414" s="1135"/>
      <c r="T1414" s="1135"/>
      <c r="U1414" s="2041"/>
    </row>
    <row r="1415" spans="2:21" hidden="1" outlineLevel="2">
      <c r="B1415" s="1050">
        <v>20</v>
      </c>
      <c r="C1415" s="1050" t="str">
        <f t="shared" si="170"/>
        <v>Céleri branche, cuit, France continentale, Base Carbone</v>
      </c>
      <c r="D1415" s="1051">
        <f t="shared" si="171"/>
        <v>20</v>
      </c>
      <c r="E1415" s="1051" t="str">
        <f>IF(COUNTIF(E$1395:E1414,F1415)&gt;0,"",F1415)</f>
        <v>Céleri branche, cuit, France continentale, Base Carbone</v>
      </c>
      <c r="F1415" s="1051" t="str">
        <f t="shared" si="172"/>
        <v>Céleri branche, cuit, France continentale, Base Carbone</v>
      </c>
      <c r="G1415" s="1055" t="str">
        <f t="shared" si="173"/>
        <v>Céleri branche, cuit, France continentale, Base Carbone; kgCO2e/kg de produit</v>
      </c>
      <c r="I1415" s="2018" t="s">
        <v>4498</v>
      </c>
      <c r="J1415" s="1135" t="s">
        <v>4654</v>
      </c>
      <c r="K1415" s="1119" t="s">
        <v>1567</v>
      </c>
      <c r="L1415" s="1135" t="s">
        <v>1571</v>
      </c>
      <c r="M1415" s="2038">
        <v>0.5</v>
      </c>
      <c r="N1415" s="1135"/>
      <c r="O1415" s="2340">
        <v>1.29</v>
      </c>
      <c r="P1415" s="1135"/>
      <c r="Q1415" s="1135"/>
      <c r="R1415" s="1135"/>
      <c r="S1415" s="1135"/>
      <c r="T1415" s="1135"/>
      <c r="U1415" s="2041"/>
    </row>
    <row r="1416" spans="2:21" hidden="1" outlineLevel="2">
      <c r="B1416" s="1050">
        <v>21</v>
      </c>
      <c r="C1416" s="1050" t="str">
        <f t="shared" si="170"/>
        <v>Céleri-rave, cuit, France continentale, Base Carbone</v>
      </c>
      <c r="D1416" s="1051">
        <f t="shared" si="171"/>
        <v>21</v>
      </c>
      <c r="E1416" s="1051" t="str">
        <f>IF(COUNTIF(E$1395:E1415,F1416)&gt;0,"",F1416)</f>
        <v>Céleri-rave, cuit, France continentale, Base Carbone</v>
      </c>
      <c r="F1416" s="1051" t="str">
        <f t="shared" si="172"/>
        <v>Céleri-rave, cuit, France continentale, Base Carbone</v>
      </c>
      <c r="G1416" s="1055" t="str">
        <f t="shared" si="173"/>
        <v>Céleri-rave, cuit, France continentale, Base Carbone; kgCO2e/kg de produit</v>
      </c>
      <c r="I1416" s="2018" t="s">
        <v>4499</v>
      </c>
      <c r="J1416" s="1135" t="s">
        <v>4654</v>
      </c>
      <c r="K1416" s="1119" t="s">
        <v>1567</v>
      </c>
      <c r="L1416" s="1135" t="s">
        <v>1571</v>
      </c>
      <c r="M1416" s="2038">
        <v>0.5</v>
      </c>
      <c r="N1416" s="1135"/>
      <c r="O1416" s="2340">
        <v>1.05</v>
      </c>
      <c r="P1416" s="1135"/>
      <c r="Q1416" s="1135"/>
      <c r="R1416" s="1135"/>
      <c r="S1416" s="1135"/>
      <c r="T1416" s="1135"/>
      <c r="U1416" s="2041"/>
    </row>
    <row r="1417" spans="2:21" hidden="1" outlineLevel="2">
      <c r="B1417" s="1050">
        <v>22</v>
      </c>
      <c r="C1417" s="1050" t="str">
        <f t="shared" si="170"/>
        <v>Cerise, dénoyautée, crue, France continentale, Base Carbone</v>
      </c>
      <c r="D1417" s="1051">
        <f t="shared" si="171"/>
        <v>22</v>
      </c>
      <c r="E1417" s="1051" t="str">
        <f>IF(COUNTIF(E$1395:E1416,F1417)&gt;0,"",F1417)</f>
        <v>Cerise, dénoyautée, crue, France continentale, Base Carbone</v>
      </c>
      <c r="F1417" s="1051" t="str">
        <f t="shared" si="172"/>
        <v>Cerise, dénoyautée, crue, France continentale, Base Carbone</v>
      </c>
      <c r="G1417" s="1055" t="str">
        <f t="shared" si="173"/>
        <v>Cerise, dénoyautée, crue, France continentale, Base Carbone; kgCO2e/kg de produit</v>
      </c>
      <c r="I1417" s="2018" t="s">
        <v>4500</v>
      </c>
      <c r="J1417" s="1135" t="s">
        <v>4654</v>
      </c>
      <c r="K1417" s="1119" t="s">
        <v>1567</v>
      </c>
      <c r="L1417" s="1135" t="s">
        <v>1571</v>
      </c>
      <c r="M1417" s="2038">
        <v>0.5</v>
      </c>
      <c r="N1417" s="1135"/>
      <c r="O1417" s="2340">
        <v>1.2707161</v>
      </c>
      <c r="P1417" s="1135"/>
      <c r="Q1417" s="1135"/>
      <c r="R1417" s="1135"/>
      <c r="S1417" s="1135"/>
      <c r="T1417" s="1135"/>
      <c r="U1417" s="2041"/>
    </row>
    <row r="1418" spans="2:21" hidden="1" outlineLevel="2">
      <c r="B1418" s="1050">
        <v>23</v>
      </c>
      <c r="C1418" s="1050" t="str">
        <f t="shared" si="170"/>
        <v>Champignon, morille, crue, France continentale, Base Carbone</v>
      </c>
      <c r="D1418" s="1051">
        <f t="shared" si="171"/>
        <v>23</v>
      </c>
      <c r="E1418" s="1051" t="str">
        <f>IF(COUNTIF(E$1395:E1417,F1418)&gt;0,"",F1418)</f>
        <v>Champignon, morille, crue, France continentale, Base Carbone</v>
      </c>
      <c r="F1418" s="1051" t="str">
        <f t="shared" si="172"/>
        <v>Champignon, morille, crue, France continentale, Base Carbone</v>
      </c>
      <c r="G1418" s="1055" t="str">
        <f t="shared" si="173"/>
        <v>Champignon, morille, crue, France continentale, Base Carbone; kgCO2e/kg de produit</v>
      </c>
      <c r="I1418" s="2018" t="s">
        <v>4501</v>
      </c>
      <c r="J1418" s="1135" t="s">
        <v>4654</v>
      </c>
      <c r="K1418" s="1119" t="s">
        <v>1567</v>
      </c>
      <c r="L1418" s="1135" t="s">
        <v>1571</v>
      </c>
      <c r="M1418" s="2038">
        <v>0.5</v>
      </c>
      <c r="N1418" s="1135"/>
      <c r="O1418" s="2340">
        <v>0.40200000000000002</v>
      </c>
      <c r="P1418" s="1135"/>
      <c r="Q1418" s="1135"/>
      <c r="R1418" s="1135"/>
      <c r="S1418" s="1135"/>
      <c r="T1418" s="1135"/>
      <c r="U1418" s="2041"/>
    </row>
    <row r="1419" spans="2:21" hidden="1" outlineLevel="2">
      <c r="B1419" s="1050">
        <v>24</v>
      </c>
      <c r="C1419" s="1050" t="str">
        <f t="shared" si="170"/>
        <v>Châtaigne, crue, France continentale, Base Carbone</v>
      </c>
      <c r="D1419" s="1051">
        <f t="shared" si="171"/>
        <v>24</v>
      </c>
      <c r="E1419" s="1051" t="str">
        <f>IF(COUNTIF(E$1395:E1418,F1419)&gt;0,"",F1419)</f>
        <v>Châtaigne, crue, France continentale, Base Carbone</v>
      </c>
      <c r="F1419" s="1051" t="str">
        <f t="shared" si="172"/>
        <v>Châtaigne, crue, France continentale, Base Carbone</v>
      </c>
      <c r="G1419" s="1055" t="str">
        <f t="shared" si="173"/>
        <v>Châtaigne, crue, France continentale, Base Carbone; kgCO2e/kg de produit</v>
      </c>
      <c r="I1419" s="2018" t="s">
        <v>4502</v>
      </c>
      <c r="J1419" s="1135" t="s">
        <v>4654</v>
      </c>
      <c r="K1419" s="1119" t="s">
        <v>1567</v>
      </c>
      <c r="L1419" s="1135" t="s">
        <v>1571</v>
      </c>
      <c r="M1419" s="2038">
        <v>0.5</v>
      </c>
      <c r="N1419" s="1135"/>
      <c r="O1419" s="2340">
        <v>1.63</v>
      </c>
      <c r="P1419" s="1135"/>
      <c r="Q1419" s="1135"/>
      <c r="R1419" s="1135"/>
      <c r="S1419" s="1135"/>
      <c r="T1419" s="1135"/>
      <c r="U1419" s="2041"/>
    </row>
    <row r="1420" spans="2:21" hidden="1" outlineLevel="2">
      <c r="B1420" s="1050">
        <v>25</v>
      </c>
      <c r="C1420" s="1050" t="str">
        <f t="shared" si="170"/>
        <v>Chia, graine, séchée, France continentale, Base Carbone</v>
      </c>
      <c r="D1420" s="1051">
        <f t="shared" si="171"/>
        <v>25</v>
      </c>
      <c r="E1420" s="1051" t="str">
        <f>IF(COUNTIF(E$1395:E1419,F1420)&gt;0,"",F1420)</f>
        <v>Chia, graine, séchée, France continentale, Base Carbone</v>
      </c>
      <c r="F1420" s="1051" t="str">
        <f t="shared" si="172"/>
        <v>Chia, graine, séchée, France continentale, Base Carbone</v>
      </c>
      <c r="G1420" s="1055" t="str">
        <f t="shared" si="173"/>
        <v>Chia, graine, séchée, France continentale, Base Carbone; kgCO2e/kg de produit</v>
      </c>
      <c r="I1420" s="2018" t="s">
        <v>4503</v>
      </c>
      <c r="J1420" s="1135" t="s">
        <v>4654</v>
      </c>
      <c r="K1420" s="1119" t="s">
        <v>1567</v>
      </c>
      <c r="L1420" s="1135" t="s">
        <v>1571</v>
      </c>
      <c r="M1420" s="2038">
        <v>0.5</v>
      </c>
      <c r="N1420" s="1135"/>
      <c r="O1420" s="2340">
        <v>3.75</v>
      </c>
      <c r="P1420" s="1135"/>
      <c r="Q1420" s="1135"/>
      <c r="R1420" s="1135"/>
      <c r="S1420" s="1135"/>
      <c r="T1420" s="1135"/>
      <c r="U1420" s="2041"/>
    </row>
    <row r="1421" spans="2:21" hidden="1" outlineLevel="2">
      <c r="B1421" s="1050">
        <v>26</v>
      </c>
      <c r="C1421" s="1050" t="str">
        <f t="shared" si="170"/>
        <v>Chicorée rouge, crue, France continentale, Base Carbone</v>
      </c>
      <c r="D1421" s="1051">
        <f t="shared" si="171"/>
        <v>26</v>
      </c>
      <c r="E1421" s="1051" t="str">
        <f>IF(COUNTIF(E$1395:E1420,F1421)&gt;0,"",F1421)</f>
        <v>Chicorée rouge, crue, France continentale, Base Carbone</v>
      </c>
      <c r="F1421" s="1051" t="str">
        <f t="shared" si="172"/>
        <v>Chicorée rouge, crue, France continentale, Base Carbone</v>
      </c>
      <c r="G1421" s="1055" t="str">
        <f t="shared" si="173"/>
        <v>Chicorée rouge, crue, France continentale, Base Carbone; kgCO2e/kg de produit</v>
      </c>
      <c r="I1421" s="2018" t="s">
        <v>4504</v>
      </c>
      <c r="J1421" s="1135" t="s">
        <v>4654</v>
      </c>
      <c r="K1421" s="1119" t="s">
        <v>1567</v>
      </c>
      <c r="L1421" s="1135" t="s">
        <v>1571</v>
      </c>
      <c r="M1421" s="2038">
        <v>0.5</v>
      </c>
      <c r="N1421" s="1135"/>
      <c r="O1421" s="2340">
        <v>0.88300000000000001</v>
      </c>
      <c r="P1421" s="1135"/>
      <c r="Q1421" s="1135"/>
      <c r="R1421" s="1135"/>
      <c r="S1421" s="1135"/>
      <c r="T1421" s="1135"/>
      <c r="U1421" s="2041"/>
    </row>
    <row r="1422" spans="2:21" hidden="1" outlineLevel="2">
      <c r="B1422" s="1050">
        <v>27</v>
      </c>
      <c r="C1422" s="1050" t="str">
        <f t="shared" si="170"/>
        <v>Chips de pommes de terre et assimilés, allégées en matière grasse, France continentale, Base Carbone</v>
      </c>
      <c r="D1422" s="1051">
        <f t="shared" si="171"/>
        <v>27</v>
      </c>
      <c r="E1422" s="1051" t="str">
        <f>IF(COUNTIF(E$1395:E1421,F1422)&gt;0,"",F1422)</f>
        <v>Chips de pommes de terre et assimilés, allégées en matière grasse, France continentale, Base Carbone</v>
      </c>
      <c r="F1422" s="1051" t="str">
        <f t="shared" si="172"/>
        <v>Chips de pommes de terre et assimilés, allégées en matière grasse, France continentale, Base Carbone</v>
      </c>
      <c r="G1422" s="1055" t="str">
        <f t="shared" si="173"/>
        <v>Chips de pommes de terre et assimilés, allégées en matière grasse, France continentale, Base Carbone; kgCO2e/kg de produit</v>
      </c>
      <c r="I1422" s="2018" t="s">
        <v>4505</v>
      </c>
      <c r="J1422" s="1135" t="s">
        <v>4654</v>
      </c>
      <c r="K1422" s="1119" t="s">
        <v>1567</v>
      </c>
      <c r="L1422" s="1135" t="s">
        <v>1571</v>
      </c>
      <c r="M1422" s="2038">
        <v>0.5</v>
      </c>
      <c r="N1422" s="1135"/>
      <c r="O1422" s="2340">
        <v>2.2400000000000002</v>
      </c>
      <c r="P1422" s="1135"/>
      <c r="Q1422" s="1135"/>
      <c r="R1422" s="1135"/>
      <c r="S1422" s="1135"/>
      <c r="T1422" s="1135"/>
      <c r="U1422" s="2041"/>
    </row>
    <row r="1423" spans="2:21" hidden="1" outlineLevel="2">
      <c r="B1423" s="1050">
        <v>28</v>
      </c>
      <c r="C1423" s="1050" t="str">
        <f t="shared" si="170"/>
        <v>Chou blanc, cru, France continentale, Base Carbone</v>
      </c>
      <c r="D1423" s="1051">
        <f t="shared" si="171"/>
        <v>28</v>
      </c>
      <c r="E1423" s="1051" t="str">
        <f>IF(COUNTIF(E$1395:E1422,F1423)&gt;0,"",F1423)</f>
        <v>Chou blanc, cru, France continentale, Base Carbone</v>
      </c>
      <c r="F1423" s="1051" t="str">
        <f t="shared" si="172"/>
        <v>Chou blanc, cru, France continentale, Base Carbone</v>
      </c>
      <c r="G1423" s="1055" t="str">
        <f t="shared" si="173"/>
        <v>Chou blanc, cru, France continentale, Base Carbone; kgCO2e/kg de produit</v>
      </c>
      <c r="I1423" s="2018" t="s">
        <v>4506</v>
      </c>
      <c r="J1423" s="1135" t="s">
        <v>4654</v>
      </c>
      <c r="K1423" s="1119" t="s">
        <v>1567</v>
      </c>
      <c r="L1423" s="1135" t="s">
        <v>1571</v>
      </c>
      <c r="M1423" s="2038">
        <v>0.5</v>
      </c>
      <c r="N1423" s="1135"/>
      <c r="O1423" s="2340">
        <v>1.06</v>
      </c>
      <c r="P1423" s="1135"/>
      <c r="Q1423" s="1135"/>
      <c r="R1423" s="1135"/>
      <c r="S1423" s="1135"/>
      <c r="T1423" s="1135"/>
      <c r="U1423" s="2041"/>
    </row>
    <row r="1424" spans="2:21" hidden="1" outlineLevel="2">
      <c r="B1424" s="1050">
        <v>29</v>
      </c>
      <c r="C1424" s="1050" t="str">
        <f t="shared" si="170"/>
        <v>Chou chinois (pak-choi ou pé-tsai), cuit, France continentale, Base Carbone</v>
      </c>
      <c r="D1424" s="1051">
        <f t="shared" si="171"/>
        <v>29</v>
      </c>
      <c r="E1424" s="1051" t="str">
        <f>IF(COUNTIF(E$1395:E1423,F1424)&gt;0,"",F1424)</f>
        <v>Chou chinois (pak-choi ou pé-tsai), cuit, France continentale, Base Carbone</v>
      </c>
      <c r="F1424" s="1051" t="str">
        <f t="shared" si="172"/>
        <v>Chou chinois (pak-choi ou pé-tsai), cuit, France continentale, Base Carbone</v>
      </c>
      <c r="G1424" s="1055" t="str">
        <f t="shared" si="173"/>
        <v>Chou chinois (pak-choi ou pé-tsai), cuit, France continentale, Base Carbone; kgCO2e/kg de produit</v>
      </c>
      <c r="I1424" s="2018" t="s">
        <v>4507</v>
      </c>
      <c r="J1424" s="1135" t="s">
        <v>4654</v>
      </c>
      <c r="K1424" s="1119" t="s">
        <v>1567</v>
      </c>
      <c r="L1424" s="1135" t="s">
        <v>1571</v>
      </c>
      <c r="M1424" s="2038">
        <v>0.5</v>
      </c>
      <c r="N1424" s="1135"/>
      <c r="O1424" s="2340">
        <v>2.06</v>
      </c>
      <c r="P1424" s="1135"/>
      <c r="Q1424" s="1135"/>
      <c r="R1424" s="1135"/>
      <c r="S1424" s="1135"/>
      <c r="T1424" s="1135"/>
      <c r="U1424" s="2041"/>
    </row>
    <row r="1425" spans="2:21" hidden="1" outlineLevel="2">
      <c r="B1425" s="1050">
        <v>30</v>
      </c>
      <c r="C1425" s="1050" t="str">
        <f t="shared" si="170"/>
        <v>Chou de Bruxelles, cuit, France continentale, Base Carbone</v>
      </c>
      <c r="D1425" s="1051">
        <f t="shared" si="171"/>
        <v>30</v>
      </c>
      <c r="E1425" s="1051" t="str">
        <f>IF(COUNTIF(E$1395:E1424,F1425)&gt;0,"",F1425)</f>
        <v>Chou de Bruxelles, cuit, France continentale, Base Carbone</v>
      </c>
      <c r="F1425" s="1051" t="str">
        <f t="shared" si="172"/>
        <v>Chou de Bruxelles, cuit, France continentale, Base Carbone</v>
      </c>
      <c r="G1425" s="1055" t="str">
        <f t="shared" si="173"/>
        <v>Chou de Bruxelles, cuit, France continentale, Base Carbone; kgCO2e/kg de produit</v>
      </c>
      <c r="I1425" s="2018" t="s">
        <v>4508</v>
      </c>
      <c r="J1425" s="1135" t="s">
        <v>4654</v>
      </c>
      <c r="K1425" s="1119" t="s">
        <v>1567</v>
      </c>
      <c r="L1425" s="1135" t="s">
        <v>1571</v>
      </c>
      <c r="M1425" s="2038">
        <v>0.5</v>
      </c>
      <c r="N1425" s="1135"/>
      <c r="O1425" s="2340">
        <v>1.1100000000000001</v>
      </c>
      <c r="P1425" s="1135"/>
      <c r="Q1425" s="1135"/>
      <c r="R1425" s="1135"/>
      <c r="S1425" s="1135"/>
      <c r="T1425" s="1135"/>
      <c r="U1425" s="2041"/>
    </row>
    <row r="1426" spans="2:21" hidden="1" outlineLevel="2">
      <c r="B1426" s="1050">
        <v>31</v>
      </c>
      <c r="C1426" s="1050" t="str">
        <f t="shared" si="170"/>
        <v>Chou frisé, cuit, France continentale, Base Carbone</v>
      </c>
      <c r="D1426" s="1051">
        <f t="shared" si="171"/>
        <v>31</v>
      </c>
      <c r="E1426" s="1051" t="str">
        <f>IF(COUNTIF(E$1395:E1425,F1426)&gt;0,"",F1426)</f>
        <v>Chou frisé, cuit, France continentale, Base Carbone</v>
      </c>
      <c r="F1426" s="1051" t="str">
        <f t="shared" si="172"/>
        <v>Chou frisé, cuit, France continentale, Base Carbone</v>
      </c>
      <c r="G1426" s="1055" t="str">
        <f t="shared" si="173"/>
        <v>Chou frisé, cuit, France continentale, Base Carbone; kgCO2e/kg de produit</v>
      </c>
      <c r="I1426" s="2018" t="s">
        <v>4509</v>
      </c>
      <c r="J1426" s="1135" t="s">
        <v>4654</v>
      </c>
      <c r="K1426" s="1119" t="s">
        <v>1567</v>
      </c>
      <c r="L1426" s="1135" t="s">
        <v>1571</v>
      </c>
      <c r="M1426" s="2038">
        <v>0.5</v>
      </c>
      <c r="N1426" s="1135"/>
      <c r="O1426" s="2340">
        <v>1.46</v>
      </c>
      <c r="P1426" s="1135"/>
      <c r="Q1426" s="1135"/>
      <c r="R1426" s="1135"/>
      <c r="S1426" s="1135"/>
      <c r="T1426" s="1135"/>
      <c r="U1426" s="2041"/>
    </row>
    <row r="1427" spans="2:21" hidden="1" outlineLevel="2">
      <c r="B1427" s="1050">
        <v>32</v>
      </c>
      <c r="C1427" s="1050" t="str">
        <f t="shared" si="170"/>
        <v>Chou romanesco ou brocoli à pomme, cru, France continentale, Base Carbone</v>
      </c>
      <c r="D1427" s="1051">
        <f t="shared" si="171"/>
        <v>32</v>
      </c>
      <c r="E1427" s="1051" t="str">
        <f>IF(COUNTIF(E$1395:E1426,F1427)&gt;0,"",F1427)</f>
        <v>Chou romanesco ou brocoli à pomme, cru, France continentale, Base Carbone</v>
      </c>
      <c r="F1427" s="1051" t="str">
        <f t="shared" si="172"/>
        <v>Chou romanesco ou brocoli à pomme, cru, France continentale, Base Carbone</v>
      </c>
      <c r="G1427" s="1055" t="str">
        <f t="shared" si="173"/>
        <v>Chou romanesco ou brocoli à pomme, cru, France continentale, Base Carbone; kgCO2e/kg de produit</v>
      </c>
      <c r="I1427" s="2018" t="s">
        <v>4510</v>
      </c>
      <c r="J1427" s="1135" t="s">
        <v>4654</v>
      </c>
      <c r="K1427" s="1119" t="s">
        <v>1567</v>
      </c>
      <c r="L1427" s="1135" t="s">
        <v>1571</v>
      </c>
      <c r="M1427" s="2038">
        <v>0.5</v>
      </c>
      <c r="N1427" s="1135"/>
      <c r="O1427" s="2340">
        <v>0.70299999999999996</v>
      </c>
      <c r="P1427" s="1135"/>
      <c r="Q1427" s="1135"/>
      <c r="R1427" s="1135"/>
      <c r="S1427" s="1135"/>
      <c r="T1427" s="1135"/>
      <c r="U1427" s="2041"/>
    </row>
    <row r="1428" spans="2:21" hidden="1" outlineLevel="2">
      <c r="B1428" s="1050">
        <v>33</v>
      </c>
      <c r="C1428" s="1050" t="str">
        <f t="shared" si="170"/>
        <v>Chou rouge, bouilli/cuit à l'eau, France continentale, Base Carbone</v>
      </c>
      <c r="D1428" s="1051">
        <f t="shared" si="171"/>
        <v>33</v>
      </c>
      <c r="E1428" s="1051" t="str">
        <f>IF(COUNTIF(E$1395:E1427,F1428)&gt;0,"",F1428)</f>
        <v>Chou rouge, bouilli/cuit à l'eau, France continentale, Base Carbone</v>
      </c>
      <c r="F1428" s="1051" t="str">
        <f t="shared" si="172"/>
        <v>Chou rouge, bouilli/cuit à l'eau, France continentale, Base Carbone</v>
      </c>
      <c r="G1428" s="1055" t="str">
        <f t="shared" si="173"/>
        <v>Chou rouge, bouilli/cuit à l'eau, France continentale, Base Carbone; kgCO2e/kg de produit</v>
      </c>
      <c r="I1428" s="2018" t="s">
        <v>4511</v>
      </c>
      <c r="J1428" s="1135" t="s">
        <v>4654</v>
      </c>
      <c r="K1428" s="1119" t="s">
        <v>1567</v>
      </c>
      <c r="L1428" s="1135" t="s">
        <v>1571</v>
      </c>
      <c r="M1428" s="2038">
        <v>0.5</v>
      </c>
      <c r="N1428" s="1135"/>
      <c r="O1428" s="2340">
        <v>2.06</v>
      </c>
      <c r="P1428" s="1135"/>
      <c r="Q1428" s="1135"/>
      <c r="R1428" s="1135"/>
      <c r="S1428" s="1135"/>
      <c r="T1428" s="1135"/>
      <c r="U1428" s="2041"/>
    </row>
    <row r="1429" spans="2:21" hidden="1" outlineLevel="2">
      <c r="B1429" s="1050">
        <v>34</v>
      </c>
      <c r="C1429" s="1050" t="str">
        <f t="shared" si="170"/>
        <v>Chou vert, cuit, France continentale, Base Carbone</v>
      </c>
      <c r="D1429" s="1051">
        <f t="shared" si="171"/>
        <v>34</v>
      </c>
      <c r="E1429" s="1051" t="str">
        <f>IF(COUNTIF(E$1395:E1428,F1429)&gt;0,"",F1429)</f>
        <v>Chou vert, cuit, France continentale, Base Carbone</v>
      </c>
      <c r="F1429" s="1051" t="str">
        <f t="shared" si="172"/>
        <v>Chou vert, cuit, France continentale, Base Carbone</v>
      </c>
      <c r="G1429" s="1055" t="str">
        <f t="shared" si="173"/>
        <v>Chou vert, cuit, France continentale, Base Carbone; kgCO2e/kg de produit</v>
      </c>
      <c r="I1429" s="2018" t="s">
        <v>4512</v>
      </c>
      <c r="J1429" s="1135" t="s">
        <v>4654</v>
      </c>
      <c r="K1429" s="1119" t="s">
        <v>1567</v>
      </c>
      <c r="L1429" s="1135" t="s">
        <v>1571</v>
      </c>
      <c r="M1429" s="2038">
        <v>0.5</v>
      </c>
      <c r="N1429" s="1135"/>
      <c r="O1429" s="2340">
        <v>2.06</v>
      </c>
      <c r="P1429" s="1135"/>
      <c r="Q1429" s="1135"/>
      <c r="R1429" s="1135"/>
      <c r="S1429" s="1135"/>
      <c r="T1429" s="1135"/>
      <c r="U1429" s="2041"/>
    </row>
    <row r="1430" spans="2:21" hidden="1" outlineLevel="2">
      <c r="B1430" s="1050">
        <v>35</v>
      </c>
      <c r="C1430" s="1050" t="str">
        <f t="shared" si="170"/>
        <v>Chou-fleur, cuit, France continentale, Base Carbone</v>
      </c>
      <c r="D1430" s="1051">
        <f t="shared" si="171"/>
        <v>35</v>
      </c>
      <c r="E1430" s="1051" t="str">
        <f>IF(COUNTIF(E$1395:E1429,F1430)&gt;0,"",F1430)</f>
        <v>Chou-fleur, cuit, France continentale, Base Carbone</v>
      </c>
      <c r="F1430" s="1051" t="str">
        <f t="shared" si="172"/>
        <v>Chou-fleur, cuit, France continentale, Base Carbone</v>
      </c>
      <c r="G1430" s="1055" t="str">
        <f t="shared" si="173"/>
        <v>Chou-fleur, cuit, France continentale, Base Carbone; kgCO2e/kg de produit</v>
      </c>
      <c r="I1430" s="2018" t="s">
        <v>4513</v>
      </c>
      <c r="J1430" s="1135" t="s">
        <v>4654</v>
      </c>
      <c r="K1430" s="1119" t="s">
        <v>1567</v>
      </c>
      <c r="L1430" s="1135" t="s">
        <v>1571</v>
      </c>
      <c r="M1430" s="2038">
        <v>0.5</v>
      </c>
      <c r="N1430" s="1135"/>
      <c r="O1430" s="2340">
        <v>1.1299999999999999</v>
      </c>
      <c r="P1430" s="1135"/>
      <c r="Q1430" s="1135"/>
      <c r="R1430" s="1135"/>
      <c r="S1430" s="1135"/>
      <c r="T1430" s="1135"/>
      <c r="U1430" s="2041"/>
    </row>
    <row r="1431" spans="2:21" hidden="1" outlineLevel="2">
      <c r="B1431" s="1050">
        <v>36</v>
      </c>
      <c r="C1431" s="1050" t="str">
        <f t="shared" si="170"/>
        <v>Chou-rave, bouilli/cuit à l'eau, France continentale, Base Carbone</v>
      </c>
      <c r="D1431" s="1051">
        <f t="shared" si="171"/>
        <v>36</v>
      </c>
      <c r="E1431" s="1051" t="str">
        <f>IF(COUNTIF(E$1395:E1430,F1431)&gt;0,"",F1431)</f>
        <v>Chou-rave, bouilli/cuit à l'eau, France continentale, Base Carbone</v>
      </c>
      <c r="F1431" s="1051" t="str">
        <f t="shared" si="172"/>
        <v>Chou-rave, bouilli/cuit à l'eau, France continentale, Base Carbone</v>
      </c>
      <c r="G1431" s="1055" t="str">
        <f t="shared" si="173"/>
        <v>Chou-rave, bouilli/cuit à l'eau, France continentale, Base Carbone; kgCO2e/kg de produit</v>
      </c>
      <c r="I1431" s="2018" t="s">
        <v>4514</v>
      </c>
      <c r="J1431" s="1135" t="s">
        <v>4654</v>
      </c>
      <c r="K1431" s="1119" t="s">
        <v>1567</v>
      </c>
      <c r="L1431" s="1135" t="s">
        <v>1571</v>
      </c>
      <c r="M1431" s="2038">
        <v>0.5</v>
      </c>
      <c r="N1431" s="1135"/>
      <c r="O1431" s="2340">
        <v>1.9</v>
      </c>
      <c r="P1431" s="1135"/>
      <c r="Q1431" s="1135"/>
      <c r="R1431" s="1135"/>
      <c r="S1431" s="1135"/>
      <c r="T1431" s="1135"/>
      <c r="U1431" s="2041"/>
    </row>
    <row r="1432" spans="2:21" hidden="1" outlineLevel="2">
      <c r="B1432" s="1050">
        <v>37</v>
      </c>
      <c r="C1432" s="1050" t="str">
        <f t="shared" si="170"/>
        <v>Citron, pulpe, cru, France continentale, Base Carbone</v>
      </c>
      <c r="D1432" s="1051">
        <f t="shared" si="171"/>
        <v>37</v>
      </c>
      <c r="E1432" s="1051" t="str">
        <f>IF(COUNTIF(E$1395:E1431,F1432)&gt;0,"",F1432)</f>
        <v>Citron, pulpe, cru, France continentale, Base Carbone</v>
      </c>
      <c r="F1432" s="1051" t="str">
        <f t="shared" si="172"/>
        <v>Citron, pulpe, cru, France continentale, Base Carbone</v>
      </c>
      <c r="G1432" s="1055" t="str">
        <f t="shared" si="173"/>
        <v>Citron, pulpe, cru, France continentale, Base Carbone; kgCO2e/kg de produit</v>
      </c>
      <c r="I1432" s="2018" t="s">
        <v>4515</v>
      </c>
      <c r="J1432" s="1135" t="s">
        <v>4654</v>
      </c>
      <c r="K1432" s="1119" t="s">
        <v>1567</v>
      </c>
      <c r="L1432" s="1135" t="s">
        <v>1571</v>
      </c>
      <c r="M1432" s="2038">
        <v>0.5</v>
      </c>
      <c r="N1432" s="1135"/>
      <c r="O1432" s="2340">
        <v>0.91100000000000003</v>
      </c>
      <c r="P1432" s="1135"/>
      <c r="Q1432" s="1135"/>
      <c r="R1432" s="1135"/>
      <c r="S1432" s="1135"/>
      <c r="T1432" s="1135"/>
      <c r="U1432" s="2041"/>
    </row>
    <row r="1433" spans="2:21" hidden="1" outlineLevel="2">
      <c r="B1433" s="1050">
        <v>38</v>
      </c>
      <c r="C1433" s="1050" t="str">
        <f t="shared" si="170"/>
        <v>Citrouille, pulpe, crue, France continentale, Base Carbone</v>
      </c>
      <c r="D1433" s="1051">
        <f t="shared" si="171"/>
        <v>38</v>
      </c>
      <c r="E1433" s="1051" t="str">
        <f>IF(COUNTIF(E$1395:E1432,F1433)&gt;0,"",F1433)</f>
        <v>Citrouille, pulpe, crue, France continentale, Base Carbone</v>
      </c>
      <c r="F1433" s="1051" t="str">
        <f t="shared" si="172"/>
        <v>Citrouille, pulpe, crue, France continentale, Base Carbone</v>
      </c>
      <c r="G1433" s="1055" t="str">
        <f t="shared" si="173"/>
        <v>Citrouille, pulpe, crue, France continentale, Base Carbone; kgCO2e/kg de produit</v>
      </c>
      <c r="I1433" s="2018" t="s">
        <v>4516</v>
      </c>
      <c r="J1433" s="1135" t="s">
        <v>4654</v>
      </c>
      <c r="K1433" s="1119" t="s">
        <v>1567</v>
      </c>
      <c r="L1433" s="1135" t="s">
        <v>1571</v>
      </c>
      <c r="M1433" s="2038">
        <v>0.5</v>
      </c>
      <c r="N1433" s="1135"/>
      <c r="O1433" s="2340">
        <v>0.54900000000000004</v>
      </c>
      <c r="P1433" s="1135"/>
      <c r="Q1433" s="1135"/>
      <c r="R1433" s="1135"/>
      <c r="S1433" s="1135"/>
      <c r="T1433" s="1135"/>
      <c r="U1433" s="2041"/>
    </row>
    <row r="1434" spans="2:21" hidden="1" outlineLevel="2">
      <c r="B1434" s="1050">
        <v>39</v>
      </c>
      <c r="C1434" s="1050" t="str">
        <f t="shared" si="170"/>
        <v>Clémentine, pulpe, crue, France continentale, Base Carbone</v>
      </c>
      <c r="D1434" s="1051">
        <f t="shared" si="171"/>
        <v>39</v>
      </c>
      <c r="E1434" s="1051" t="str">
        <f>IF(COUNTIF(E$1395:E1433,F1434)&gt;0,"",F1434)</f>
        <v>Clémentine, pulpe, crue, France continentale, Base Carbone</v>
      </c>
      <c r="F1434" s="1051" t="str">
        <f t="shared" si="172"/>
        <v>Clémentine, pulpe, crue, France continentale, Base Carbone</v>
      </c>
      <c r="G1434" s="1055" t="str">
        <f t="shared" si="173"/>
        <v>Clémentine, pulpe, crue, France continentale, Base Carbone; kgCO2e/kg de produit</v>
      </c>
      <c r="I1434" s="2018" t="s">
        <v>4517</v>
      </c>
      <c r="J1434" s="1135" t="s">
        <v>4654</v>
      </c>
      <c r="K1434" s="1119" t="s">
        <v>1567</v>
      </c>
      <c r="L1434" s="1135" t="s">
        <v>1571</v>
      </c>
      <c r="M1434" s="2038">
        <v>0.5</v>
      </c>
      <c r="N1434" s="1135"/>
      <c r="O1434" s="2340">
        <v>0.70799999999999996</v>
      </c>
      <c r="P1434" s="1135"/>
      <c r="Q1434" s="1135"/>
      <c r="R1434" s="1135"/>
      <c r="S1434" s="1135"/>
      <c r="T1434" s="1135"/>
      <c r="U1434" s="2041"/>
    </row>
    <row r="1435" spans="2:21" hidden="1" outlineLevel="2">
      <c r="B1435" s="1050">
        <v>40</v>
      </c>
      <c r="C1435" s="1050" t="str">
        <f t="shared" si="170"/>
        <v>Coeur de palmier, appertisé, égoutté, France continentale, Base Carbone</v>
      </c>
      <c r="D1435" s="1051">
        <f t="shared" si="171"/>
        <v>40</v>
      </c>
      <c r="E1435" s="1051" t="str">
        <f>IF(COUNTIF(E$1395:E1434,F1435)&gt;0,"",F1435)</f>
        <v>Coeur de palmier, appertisé, égoutté, France continentale, Base Carbone</v>
      </c>
      <c r="F1435" s="1051" t="str">
        <f t="shared" si="172"/>
        <v>Coeur de palmier, appertisé, égoutté, France continentale, Base Carbone</v>
      </c>
      <c r="G1435" s="1055" t="str">
        <f t="shared" si="173"/>
        <v>Coeur de palmier, appertisé, égoutté, France continentale, Base Carbone; kgCO2e/kg de produit</v>
      </c>
      <c r="I1435" s="2018" t="s">
        <v>4518</v>
      </c>
      <c r="J1435" s="1135" t="s">
        <v>4654</v>
      </c>
      <c r="K1435" s="1119" t="s">
        <v>1567</v>
      </c>
      <c r="L1435" s="1135" t="s">
        <v>1571</v>
      </c>
      <c r="M1435" s="2038">
        <v>0.5</v>
      </c>
      <c r="N1435" s="1135"/>
      <c r="O1435" s="2340">
        <v>2.29</v>
      </c>
      <c r="P1435" s="1135"/>
      <c r="Q1435" s="1135"/>
      <c r="R1435" s="1135"/>
      <c r="S1435" s="1135"/>
      <c r="T1435" s="1135"/>
      <c r="U1435" s="2041"/>
    </row>
    <row r="1436" spans="2:21" hidden="1" outlineLevel="2">
      <c r="B1436" s="1050">
        <v>41</v>
      </c>
      <c r="C1436" s="1050" t="str">
        <f t="shared" si="170"/>
        <v>Coing, cru, France continentale, Base Carbone</v>
      </c>
      <c r="D1436" s="1051">
        <f t="shared" si="171"/>
        <v>41</v>
      </c>
      <c r="E1436" s="1051" t="str">
        <f>IF(COUNTIF(E$1395:E1435,F1436)&gt;0,"",F1436)</f>
        <v>Coing, cru, France continentale, Base Carbone</v>
      </c>
      <c r="F1436" s="1051" t="str">
        <f t="shared" si="172"/>
        <v>Coing, cru, France continentale, Base Carbone</v>
      </c>
      <c r="G1436" s="1055" t="str">
        <f t="shared" si="173"/>
        <v>Coing, cru, France continentale, Base Carbone; kgCO2e/kg de produit</v>
      </c>
      <c r="I1436" s="2018" t="s">
        <v>4519</v>
      </c>
      <c r="J1436" s="1135" t="s">
        <v>4654</v>
      </c>
      <c r="K1436" s="1119" t="s">
        <v>1567</v>
      </c>
      <c r="L1436" s="1135" t="s">
        <v>1571</v>
      </c>
      <c r="M1436" s="2038">
        <v>0.5</v>
      </c>
      <c r="N1436" s="1135"/>
      <c r="O1436" s="2340">
        <v>0.48799999999999999</v>
      </c>
      <c r="P1436" s="1135"/>
      <c r="Q1436" s="1135"/>
      <c r="R1436" s="1135"/>
      <c r="S1436" s="1135"/>
      <c r="T1436" s="1135"/>
      <c r="U1436" s="2041"/>
    </row>
    <row r="1437" spans="2:21" hidden="1" outlineLevel="2">
      <c r="B1437" s="1050">
        <v>42</v>
      </c>
      <c r="C1437" s="1050" t="str">
        <f t="shared" si="170"/>
        <v>Compote, tout type de fruits, France continentale, Base Carbone</v>
      </c>
      <c r="D1437" s="1051">
        <f t="shared" si="171"/>
        <v>42</v>
      </c>
      <c r="E1437" s="1051" t="str">
        <f>IF(COUNTIF(E$1395:E1436,F1437)&gt;0,"",F1437)</f>
        <v>Compote, tout type de fruits, France continentale, Base Carbone</v>
      </c>
      <c r="F1437" s="1051" t="str">
        <f t="shared" si="172"/>
        <v>Compote, tout type de fruits, France continentale, Base Carbone</v>
      </c>
      <c r="G1437" s="1055" t="str">
        <f t="shared" si="173"/>
        <v>Compote, tout type de fruits, France continentale, Base Carbone; kgCO2e/kg de produit</v>
      </c>
      <c r="I1437" s="2018" t="s">
        <v>4520</v>
      </c>
      <c r="J1437" s="1135" t="s">
        <v>4654</v>
      </c>
      <c r="K1437" s="1119" t="s">
        <v>1567</v>
      </c>
      <c r="L1437" s="1135" t="s">
        <v>1571</v>
      </c>
      <c r="M1437" s="2038">
        <v>0.5</v>
      </c>
      <c r="N1437" s="1135"/>
      <c r="O1437" s="2340">
        <v>0.75</v>
      </c>
      <c r="P1437" s="1135"/>
      <c r="Q1437" s="1135"/>
      <c r="R1437" s="1135"/>
      <c r="S1437" s="1135"/>
      <c r="T1437" s="1135"/>
      <c r="U1437" s="2041"/>
    </row>
    <row r="1438" spans="2:21" hidden="1" outlineLevel="2">
      <c r="B1438" s="1050">
        <v>43</v>
      </c>
      <c r="C1438" s="1050" t="str">
        <f t="shared" si="170"/>
        <v>Concombre, pulpe, cru, France continentale, Base Carbone</v>
      </c>
      <c r="D1438" s="1051">
        <f t="shared" si="171"/>
        <v>43</v>
      </c>
      <c r="E1438" s="1051" t="str">
        <f>IF(COUNTIF(E$1395:E1437,F1438)&gt;0,"",F1438)</f>
        <v>Concombre, pulpe, cru, France continentale, Base Carbone</v>
      </c>
      <c r="F1438" s="1051" t="str">
        <f t="shared" si="172"/>
        <v>Concombre, pulpe, cru, France continentale, Base Carbone</v>
      </c>
      <c r="G1438" s="1055" t="str">
        <f t="shared" si="173"/>
        <v>Concombre, pulpe, cru, France continentale, Base Carbone; kgCO2e/kg de produit</v>
      </c>
      <c r="I1438" s="2018" t="s">
        <v>4521</v>
      </c>
      <c r="J1438" s="1135" t="s">
        <v>4654</v>
      </c>
      <c r="K1438" s="1119" t="s">
        <v>1567</v>
      </c>
      <c r="L1438" s="1135" t="s">
        <v>1571</v>
      </c>
      <c r="M1438" s="2038">
        <v>0.5</v>
      </c>
      <c r="N1438" s="1135"/>
      <c r="O1438" s="2340">
        <v>4.8600000000000003</v>
      </c>
      <c r="P1438" s="1135"/>
      <c r="Q1438" s="1135"/>
      <c r="R1438" s="1135"/>
      <c r="S1438" s="1135"/>
      <c r="T1438" s="1135"/>
      <c r="U1438" s="2041"/>
    </row>
    <row r="1439" spans="2:21" hidden="1" outlineLevel="2">
      <c r="B1439" s="1050">
        <v>44</v>
      </c>
      <c r="C1439" s="1050" t="str">
        <f t="shared" si="170"/>
        <v>Courgette, pulpe et peau, cuite, France continentale, Base Carbone</v>
      </c>
      <c r="D1439" s="1051">
        <f t="shared" si="171"/>
        <v>44</v>
      </c>
      <c r="E1439" s="1051" t="str">
        <f>IF(COUNTIF(E$1395:E1438,F1439)&gt;0,"",F1439)</f>
        <v>Courgette, pulpe et peau, cuite, France continentale, Base Carbone</v>
      </c>
      <c r="F1439" s="1051" t="str">
        <f t="shared" si="172"/>
        <v>Courgette, pulpe et peau, cuite, France continentale, Base Carbone</v>
      </c>
      <c r="G1439" s="1055" t="str">
        <f t="shared" si="173"/>
        <v>Courgette, pulpe et peau, cuite, France continentale, Base Carbone; kgCO2e/kg de produit</v>
      </c>
      <c r="I1439" s="2018" t="s">
        <v>4522</v>
      </c>
      <c r="J1439" s="1135" t="s">
        <v>4654</v>
      </c>
      <c r="K1439" s="1119" t="s">
        <v>1567</v>
      </c>
      <c r="L1439" s="1135" t="s">
        <v>1571</v>
      </c>
      <c r="M1439" s="2038">
        <v>0.5</v>
      </c>
      <c r="N1439" s="1135"/>
      <c r="O1439" s="2340">
        <v>0.99399999999999999</v>
      </c>
      <c r="P1439" s="1135"/>
      <c r="Q1439" s="1135"/>
      <c r="R1439" s="1135"/>
      <c r="S1439" s="1135"/>
      <c r="T1439" s="1135"/>
      <c r="U1439" s="2041"/>
    </row>
    <row r="1440" spans="2:21" hidden="1" outlineLevel="2">
      <c r="B1440" s="1050">
        <v>45</v>
      </c>
      <c r="C1440" s="1050" t="str">
        <f t="shared" si="170"/>
        <v>Crème de marrons, France continentale, Base Carbone</v>
      </c>
      <c r="D1440" s="1051">
        <f t="shared" si="171"/>
        <v>45</v>
      </c>
      <c r="E1440" s="1051" t="str">
        <f>IF(COUNTIF(E$1395:E1439,F1440)&gt;0,"",F1440)</f>
        <v>Crème de marrons, France continentale, Base Carbone</v>
      </c>
      <c r="F1440" s="1051" t="str">
        <f t="shared" si="172"/>
        <v>Crème de marrons, France continentale, Base Carbone</v>
      </c>
      <c r="G1440" s="1055" t="str">
        <f t="shared" si="173"/>
        <v>Crème de marrons, France continentale, Base Carbone; kgCO2e/kg de produit</v>
      </c>
      <c r="I1440" s="2018" t="s">
        <v>4523</v>
      </c>
      <c r="J1440" s="1135" t="s">
        <v>4654</v>
      </c>
      <c r="K1440" s="1119" t="s">
        <v>1567</v>
      </c>
      <c r="L1440" s="1135" t="s">
        <v>1571</v>
      </c>
      <c r="M1440" s="2038">
        <v>0.5</v>
      </c>
      <c r="N1440" s="1135"/>
      <c r="O1440" s="2340">
        <v>1.54</v>
      </c>
      <c r="P1440" s="1135"/>
      <c r="Q1440" s="1135"/>
      <c r="R1440" s="1135"/>
      <c r="S1440" s="1135"/>
      <c r="T1440" s="1135"/>
      <c r="U1440" s="2041"/>
    </row>
    <row r="1441" spans="2:21" hidden="1" outlineLevel="2">
      <c r="B1441" s="1050">
        <v>46</v>
      </c>
      <c r="C1441" s="1050" t="str">
        <f t="shared" si="170"/>
        <v>Cucurbitacées, graine, France continentale, Base Carbone</v>
      </c>
      <c r="D1441" s="1051">
        <f t="shared" si="171"/>
        <v>46</v>
      </c>
      <c r="E1441" s="1051" t="str">
        <f>IF(COUNTIF(E$1395:E1440,F1441)&gt;0,"",F1441)</f>
        <v>Cucurbitacées, graine, France continentale, Base Carbone</v>
      </c>
      <c r="F1441" s="1051" t="str">
        <f t="shared" si="172"/>
        <v>Cucurbitacées, graine, France continentale, Base Carbone</v>
      </c>
      <c r="G1441" s="1055" t="str">
        <f t="shared" si="173"/>
        <v>Cucurbitacées, graine, France continentale, Base Carbone; kgCO2e/kg de produit</v>
      </c>
      <c r="I1441" s="2018" t="s">
        <v>4524</v>
      </c>
      <c r="J1441" s="1135" t="s">
        <v>4654</v>
      </c>
      <c r="K1441" s="1119" t="s">
        <v>1567</v>
      </c>
      <c r="L1441" s="1135" t="s">
        <v>1571</v>
      </c>
      <c r="M1441" s="2038">
        <v>0.5</v>
      </c>
      <c r="N1441" s="1135"/>
      <c r="O1441" s="2340">
        <v>3.79</v>
      </c>
      <c r="P1441" s="1135"/>
      <c r="Q1441" s="1135"/>
      <c r="R1441" s="1135"/>
      <c r="S1441" s="1135"/>
      <c r="T1441" s="1135"/>
      <c r="U1441" s="2041"/>
    </row>
    <row r="1442" spans="2:21" hidden="1" outlineLevel="2">
      <c r="B1442" s="1050">
        <v>47</v>
      </c>
      <c r="C1442" s="1050" t="str">
        <f t="shared" si="170"/>
        <v>Datte, pulpe et peau, sèche, France continentale, Base Carbone</v>
      </c>
      <c r="D1442" s="1051">
        <f t="shared" si="171"/>
        <v>47</v>
      </c>
      <c r="E1442" s="1051" t="str">
        <f>IF(COUNTIF(E$1395:E1441,F1442)&gt;0,"",F1442)</f>
        <v>Datte, pulpe et peau, sèche, France continentale, Base Carbone</v>
      </c>
      <c r="F1442" s="1051" t="str">
        <f t="shared" si="172"/>
        <v>Datte, pulpe et peau, sèche, France continentale, Base Carbone</v>
      </c>
      <c r="G1442" s="1055" t="str">
        <f t="shared" si="173"/>
        <v>Datte, pulpe et peau, sèche, France continentale, Base Carbone; kgCO2e/kg de produit</v>
      </c>
      <c r="I1442" s="2018" t="s">
        <v>4525</v>
      </c>
      <c r="J1442" s="1135" t="s">
        <v>4654</v>
      </c>
      <c r="K1442" s="1119" t="s">
        <v>1567</v>
      </c>
      <c r="L1442" s="1135" t="s">
        <v>1571</v>
      </c>
      <c r="M1442" s="2038">
        <v>0.5</v>
      </c>
      <c r="N1442" s="1135"/>
      <c r="O1442" s="2340">
        <v>3.94</v>
      </c>
      <c r="P1442" s="1135"/>
      <c r="Q1442" s="1135"/>
      <c r="R1442" s="1135"/>
      <c r="S1442" s="1135"/>
      <c r="T1442" s="1135"/>
      <c r="U1442" s="2041"/>
    </row>
    <row r="1443" spans="2:21" hidden="1" outlineLevel="2">
      <c r="B1443" s="1050">
        <v>48</v>
      </c>
      <c r="C1443" s="1050" t="str">
        <f t="shared" si="170"/>
        <v>Dessert de fruits, tout type de fruits (en taux de sucres : compotes allégées en sucres &lt; desserts de fruits &lt; compotes allégée), France continentale, Base Carbone</v>
      </c>
      <c r="D1443" s="1051">
        <f t="shared" si="171"/>
        <v>48</v>
      </c>
      <c r="E1443" s="1051" t="str">
        <f>IF(COUNTIF(E$1395:E1442,F1443)&gt;0,"",F1443)</f>
        <v>Dessert de fruits, tout type de fruits (en taux de sucres : compotes allégées en sucres &lt; desserts de fruits &lt; compotes allégée), France continentale, Base Carbone</v>
      </c>
      <c r="F1443" s="1051" t="str">
        <f t="shared" si="172"/>
        <v>Dessert de fruits, tout type de fruits (en taux de sucres : compotes allégées en sucres &lt; desserts de fruits &lt; compotes allégée), France continentale, Base Carbone</v>
      </c>
      <c r="G1443" s="1055" t="str">
        <f t="shared" si="173"/>
        <v>Dessert de fruits, tout type de fruits (en taux de sucres : compotes allégées en sucres &lt; desserts de fruits &lt; compotes allégée), France continentale, Base Carbone; kgCO2e/kg de produit</v>
      </c>
      <c r="I1443" s="2018" t="s">
        <v>4526</v>
      </c>
      <c r="J1443" s="1135" t="s">
        <v>4654</v>
      </c>
      <c r="K1443" s="1119" t="s">
        <v>1567</v>
      </c>
      <c r="L1443" s="1135" t="s">
        <v>1571</v>
      </c>
      <c r="M1443" s="2038">
        <v>0.5</v>
      </c>
      <c r="N1443" s="1135"/>
      <c r="O1443" s="2340">
        <v>1.21</v>
      </c>
      <c r="P1443" s="1135"/>
      <c r="Q1443" s="1135"/>
      <c r="R1443" s="1135"/>
      <c r="S1443" s="1135"/>
      <c r="T1443" s="1135"/>
      <c r="U1443" s="2041"/>
    </row>
    <row r="1444" spans="2:21" hidden="1" outlineLevel="2">
      <c r="B1444" s="1050">
        <v>49</v>
      </c>
      <c r="C1444" s="1050" t="str">
        <f t="shared" si="170"/>
        <v>Échalote, cuite, France continentale, Base Carbone</v>
      </c>
      <c r="D1444" s="1051">
        <f t="shared" si="171"/>
        <v>49</v>
      </c>
      <c r="E1444" s="1051" t="str">
        <f>IF(COUNTIF(E$1395:E1443,F1444)&gt;0,"",F1444)</f>
        <v>Échalote, cuite, France continentale, Base Carbone</v>
      </c>
      <c r="F1444" s="1051" t="str">
        <f t="shared" si="172"/>
        <v>Échalote, cuite, France continentale, Base Carbone</v>
      </c>
      <c r="G1444" s="1055" t="str">
        <f t="shared" si="173"/>
        <v>Échalote, cuite, France continentale, Base Carbone; kgCO2e/kg de produit</v>
      </c>
      <c r="I1444" s="2018" t="s">
        <v>4527</v>
      </c>
      <c r="J1444" s="1135" t="s">
        <v>4654</v>
      </c>
      <c r="K1444" s="1119" t="s">
        <v>1567</v>
      </c>
      <c r="L1444" s="1135" t="s">
        <v>1571</v>
      </c>
      <c r="M1444" s="2038">
        <v>0.5</v>
      </c>
      <c r="N1444" s="1135"/>
      <c r="O1444" s="2340">
        <v>1.1299999999999999</v>
      </c>
      <c r="P1444" s="1135"/>
      <c r="Q1444" s="1135"/>
      <c r="R1444" s="1135"/>
      <c r="S1444" s="1135"/>
      <c r="T1444" s="1135"/>
      <c r="U1444" s="2041"/>
    </row>
    <row r="1445" spans="2:21" hidden="1" outlineLevel="2">
      <c r="B1445" s="1050">
        <v>50</v>
      </c>
      <c r="C1445" s="1050" t="str">
        <f t="shared" si="170"/>
        <v>Épinard, cuit, France continentale, Base Carbone</v>
      </c>
      <c r="D1445" s="1051">
        <f t="shared" si="171"/>
        <v>50</v>
      </c>
      <c r="E1445" s="1051" t="str">
        <f>IF(COUNTIF(E$1395:E1444,F1445)&gt;0,"",F1445)</f>
        <v>Épinard, cuit, France continentale, Base Carbone</v>
      </c>
      <c r="F1445" s="1051" t="str">
        <f t="shared" si="172"/>
        <v>Épinard, cuit, France continentale, Base Carbone</v>
      </c>
      <c r="G1445" s="1055" t="str">
        <f t="shared" si="173"/>
        <v>Épinard, cuit, France continentale, Base Carbone; kgCO2e/kg de produit</v>
      </c>
      <c r="I1445" s="2018" t="s">
        <v>4528</v>
      </c>
      <c r="J1445" s="1135" t="s">
        <v>4654</v>
      </c>
      <c r="K1445" s="1119" t="s">
        <v>1567</v>
      </c>
      <c r="L1445" s="1135" t="s">
        <v>1571</v>
      </c>
      <c r="M1445" s="2038">
        <v>0.5</v>
      </c>
      <c r="N1445" s="1135"/>
      <c r="O1445" s="2340">
        <v>0.91700000000000004</v>
      </c>
      <c r="P1445" s="1135"/>
      <c r="Q1445" s="1135"/>
      <c r="R1445" s="1135"/>
      <c r="S1445" s="1135"/>
      <c r="T1445" s="1135"/>
      <c r="U1445" s="2041"/>
    </row>
    <row r="1446" spans="2:21" hidden="1" outlineLevel="2">
      <c r="B1446" s="1050">
        <v>51</v>
      </c>
      <c r="C1446" s="1050" t="str">
        <f t="shared" si="170"/>
        <v>Farine de châtaigne, France continentale, Base Carbone</v>
      </c>
      <c r="D1446" s="1051">
        <f t="shared" si="171"/>
        <v>51</v>
      </c>
      <c r="E1446" s="1051" t="str">
        <f>IF(COUNTIF(E$1395:E1445,F1446)&gt;0,"",F1446)</f>
        <v>Farine de châtaigne, France continentale, Base Carbone</v>
      </c>
      <c r="F1446" s="1051" t="str">
        <f t="shared" si="172"/>
        <v>Farine de châtaigne, France continentale, Base Carbone</v>
      </c>
      <c r="G1446" s="1055" t="str">
        <f t="shared" si="173"/>
        <v>Farine de châtaigne, France continentale, Base Carbone; kgCO2e/kg de produit</v>
      </c>
      <c r="I1446" s="2018" t="s">
        <v>4529</v>
      </c>
      <c r="J1446" s="1135" t="s">
        <v>4654</v>
      </c>
      <c r="K1446" s="1119" t="s">
        <v>1567</v>
      </c>
      <c r="L1446" s="1135" t="s">
        <v>1571</v>
      </c>
      <c r="M1446" s="2038">
        <v>0.5</v>
      </c>
      <c r="N1446" s="1135"/>
      <c r="O1446" s="2340">
        <v>2.29</v>
      </c>
      <c r="P1446" s="1135"/>
      <c r="Q1446" s="1135"/>
      <c r="R1446" s="1135"/>
      <c r="S1446" s="1135"/>
      <c r="T1446" s="1135"/>
      <c r="U1446" s="2041"/>
    </row>
    <row r="1447" spans="2:21" hidden="1" outlineLevel="2">
      <c r="B1447" s="1050">
        <v>52</v>
      </c>
      <c r="C1447" s="1050" t="str">
        <f t="shared" si="170"/>
        <v>Fenouil, bouilli/cuit à l'eau, France continentale, Base Carbone</v>
      </c>
      <c r="D1447" s="1051">
        <f t="shared" si="171"/>
        <v>52</v>
      </c>
      <c r="E1447" s="1051" t="str">
        <f>IF(COUNTIF(E$1395:E1446,F1447)&gt;0,"",F1447)</f>
        <v>Fenouil, bouilli/cuit à l'eau, France continentale, Base Carbone</v>
      </c>
      <c r="F1447" s="1051" t="str">
        <f t="shared" si="172"/>
        <v>Fenouil, bouilli/cuit à l'eau, France continentale, Base Carbone</v>
      </c>
      <c r="G1447" s="1055" t="str">
        <f t="shared" si="173"/>
        <v>Fenouil, bouilli/cuit à l'eau, France continentale, Base Carbone; kgCO2e/kg de produit</v>
      </c>
      <c r="I1447" s="2018" t="s">
        <v>4530</v>
      </c>
      <c r="J1447" s="1135" t="s">
        <v>4654</v>
      </c>
      <c r="K1447" s="1119" t="s">
        <v>1567</v>
      </c>
      <c r="L1447" s="1135" t="s">
        <v>1571</v>
      </c>
      <c r="M1447" s="2038">
        <v>0.5</v>
      </c>
      <c r="N1447" s="1135"/>
      <c r="O1447" s="2340">
        <v>1.76</v>
      </c>
      <c r="P1447" s="1135"/>
      <c r="Q1447" s="1135"/>
      <c r="R1447" s="1135"/>
      <c r="S1447" s="1135"/>
      <c r="T1447" s="1135"/>
      <c r="U1447" s="2041"/>
    </row>
    <row r="1448" spans="2:21" hidden="1" outlineLevel="2">
      <c r="B1448" s="1050">
        <v>53</v>
      </c>
      <c r="C1448" s="1050" t="str">
        <f t="shared" si="170"/>
        <v>Fève à écosser, fraîche, France continentale, Base Carbone</v>
      </c>
      <c r="D1448" s="1051">
        <f t="shared" si="171"/>
        <v>53</v>
      </c>
      <c r="E1448" s="1051" t="str">
        <f>IF(COUNTIF(E$1395:E1447,F1448)&gt;0,"",F1448)</f>
        <v>Fève à écosser, fraîche, France continentale, Base Carbone</v>
      </c>
      <c r="F1448" s="1051" t="str">
        <f t="shared" si="172"/>
        <v>Fève à écosser, fraîche, France continentale, Base Carbone</v>
      </c>
      <c r="G1448" s="1055" t="str">
        <f t="shared" si="173"/>
        <v>Fève à écosser, fraîche, France continentale, Base Carbone; kgCO2e/kg de produit</v>
      </c>
      <c r="I1448" s="2018" t="s">
        <v>4531</v>
      </c>
      <c r="J1448" s="1135" t="s">
        <v>4654</v>
      </c>
      <c r="K1448" s="1119" t="s">
        <v>1567</v>
      </c>
      <c r="L1448" s="1135" t="s">
        <v>1571</v>
      </c>
      <c r="M1448" s="2038">
        <v>0.5</v>
      </c>
      <c r="N1448" s="1135"/>
      <c r="O1448" s="2340">
        <v>0.96899999999999997</v>
      </c>
      <c r="P1448" s="1135"/>
      <c r="Q1448" s="1135"/>
      <c r="R1448" s="1135"/>
      <c r="S1448" s="1135"/>
      <c r="T1448" s="1135"/>
      <c r="U1448" s="2041"/>
    </row>
    <row r="1449" spans="2:21" hidden="1" outlineLevel="2">
      <c r="B1449" s="1050">
        <v>54</v>
      </c>
      <c r="C1449" s="1050" t="str">
        <f t="shared" si="170"/>
        <v>Fève, cuite, France continentale, Base Carbone</v>
      </c>
      <c r="D1449" s="1051">
        <f t="shared" si="171"/>
        <v>54</v>
      </c>
      <c r="E1449" s="1051" t="str">
        <f>IF(COUNTIF(E$1395:E1448,F1449)&gt;0,"",F1449)</f>
        <v>Fève, cuite, France continentale, Base Carbone</v>
      </c>
      <c r="F1449" s="1051" t="str">
        <f t="shared" si="172"/>
        <v>Fève, cuite, France continentale, Base Carbone</v>
      </c>
      <c r="G1449" s="1055" t="str">
        <f t="shared" si="173"/>
        <v>Fève, cuite, France continentale, Base Carbone; kgCO2e/kg de produit</v>
      </c>
      <c r="I1449" s="2018" t="s">
        <v>4532</v>
      </c>
      <c r="J1449" s="1135" t="s">
        <v>4654</v>
      </c>
      <c r="K1449" s="1119" t="s">
        <v>1567</v>
      </c>
      <c r="L1449" s="1135" t="s">
        <v>1571</v>
      </c>
      <c r="M1449" s="2038">
        <v>0.5</v>
      </c>
      <c r="N1449" s="1135"/>
      <c r="O1449" s="2340">
        <v>0.442</v>
      </c>
      <c r="P1449" s="1135"/>
      <c r="Q1449" s="1135"/>
      <c r="R1449" s="1135"/>
      <c r="S1449" s="1135"/>
      <c r="T1449" s="1135"/>
      <c r="U1449" s="2041"/>
    </row>
    <row r="1450" spans="2:21" hidden="1" outlineLevel="2">
      <c r="B1450" s="1050">
        <v>55</v>
      </c>
      <c r="C1450" s="1050" t="str">
        <f t="shared" si="170"/>
        <v>Figue de Barbarie, pulpe et graines, crue, France continentale, Base Carbone</v>
      </c>
      <c r="D1450" s="1051">
        <f t="shared" si="171"/>
        <v>55</v>
      </c>
      <c r="E1450" s="1051" t="str">
        <f>IF(COUNTIF(E$1395:E1449,F1450)&gt;0,"",F1450)</f>
        <v>Figue de Barbarie, pulpe et graines, crue, France continentale, Base Carbone</v>
      </c>
      <c r="F1450" s="1051" t="str">
        <f t="shared" si="172"/>
        <v>Figue de Barbarie, pulpe et graines, crue, France continentale, Base Carbone</v>
      </c>
      <c r="G1450" s="1055" t="str">
        <f t="shared" si="173"/>
        <v>Figue de Barbarie, pulpe et graines, crue, France continentale, Base Carbone; kgCO2e/kg de produit</v>
      </c>
      <c r="I1450" s="2018" t="s">
        <v>4533</v>
      </c>
      <c r="J1450" s="1135" t="s">
        <v>4654</v>
      </c>
      <c r="K1450" s="1119" t="s">
        <v>1567</v>
      </c>
      <c r="L1450" s="1135" t="s">
        <v>1571</v>
      </c>
      <c r="M1450" s="2038">
        <v>0.5</v>
      </c>
      <c r="N1450" s="1135"/>
      <c r="O1450" s="2340">
        <v>0.253</v>
      </c>
      <c r="P1450" s="1135"/>
      <c r="Q1450" s="1135"/>
      <c r="R1450" s="1135"/>
      <c r="S1450" s="1135"/>
      <c r="T1450" s="1135"/>
      <c r="U1450" s="2041"/>
    </row>
    <row r="1451" spans="2:21" hidden="1" outlineLevel="2">
      <c r="B1451" s="1050">
        <v>56</v>
      </c>
      <c r="C1451" s="1050" t="str">
        <f t="shared" si="170"/>
        <v>Figue, crue, France continentale, Base Carbone</v>
      </c>
      <c r="D1451" s="1051">
        <f t="shared" si="171"/>
        <v>56</v>
      </c>
      <c r="E1451" s="1051" t="str">
        <f>IF(COUNTIF(E$1395:E1450,F1451)&gt;0,"",F1451)</f>
        <v>Figue, crue, France continentale, Base Carbone</v>
      </c>
      <c r="F1451" s="1051" t="str">
        <f t="shared" si="172"/>
        <v>Figue, crue, France continentale, Base Carbone</v>
      </c>
      <c r="G1451" s="1055" t="str">
        <f t="shared" si="173"/>
        <v>Figue, crue, France continentale, Base Carbone; kgCO2e/kg de produit</v>
      </c>
      <c r="I1451" s="2018" t="s">
        <v>4534</v>
      </c>
      <c r="J1451" s="1135" t="s">
        <v>4654</v>
      </c>
      <c r="K1451" s="1119" t="s">
        <v>1567</v>
      </c>
      <c r="L1451" s="1135" t="s">
        <v>1571</v>
      </c>
      <c r="M1451" s="2038">
        <v>0.5</v>
      </c>
      <c r="N1451" s="1135"/>
      <c r="O1451" s="2340">
        <v>0.57699999999999996</v>
      </c>
      <c r="P1451" s="1135"/>
      <c r="Q1451" s="1135"/>
      <c r="R1451" s="1135"/>
      <c r="S1451" s="1135"/>
      <c r="T1451" s="1135"/>
      <c r="U1451" s="2041"/>
    </row>
    <row r="1452" spans="2:21" hidden="1" outlineLevel="2">
      <c r="B1452" s="1050">
        <v>57</v>
      </c>
      <c r="C1452" s="1050" t="str">
        <f t="shared" si="170"/>
        <v>Figue, sèche, France continentale, Base Carbone</v>
      </c>
      <c r="D1452" s="1051">
        <f t="shared" si="171"/>
        <v>57</v>
      </c>
      <c r="E1452" s="1051" t="str">
        <f>IF(COUNTIF(E$1395:E1451,F1452)&gt;0,"",F1452)</f>
        <v>Figue, sèche, France continentale, Base Carbone</v>
      </c>
      <c r="F1452" s="1051" t="str">
        <f t="shared" si="172"/>
        <v>Figue, sèche, France continentale, Base Carbone</v>
      </c>
      <c r="G1452" s="1055" t="str">
        <f t="shared" si="173"/>
        <v>Figue, sèche, France continentale, Base Carbone; kgCO2e/kg de produit</v>
      </c>
      <c r="I1452" s="2018" t="s">
        <v>4535</v>
      </c>
      <c r="J1452" s="1135" t="s">
        <v>4654</v>
      </c>
      <c r="K1452" s="1119" t="s">
        <v>1567</v>
      </c>
      <c r="L1452" s="1135" t="s">
        <v>1571</v>
      </c>
      <c r="M1452" s="2038">
        <v>0.5</v>
      </c>
      <c r="N1452" s="1135"/>
      <c r="O1452" s="2340">
        <v>1.7</v>
      </c>
      <c r="P1452" s="1135"/>
      <c r="Q1452" s="1135"/>
      <c r="R1452" s="1135"/>
      <c r="S1452" s="1135"/>
      <c r="T1452" s="1135"/>
      <c r="U1452" s="2041"/>
    </row>
    <row r="1453" spans="2:21" hidden="1" outlineLevel="2">
      <c r="B1453" s="1050">
        <v>58</v>
      </c>
      <c r="C1453" s="1050" t="str">
        <f t="shared" si="170"/>
        <v>Fraise, crue, France continentale, Base Carbone</v>
      </c>
      <c r="D1453" s="1051">
        <f t="shared" si="171"/>
        <v>58</v>
      </c>
      <c r="E1453" s="1051" t="str">
        <f>IF(COUNTIF(E$1395:E1452,F1453)&gt;0,"",F1453)</f>
        <v>Fraise, crue, France continentale, Base Carbone</v>
      </c>
      <c r="F1453" s="1051" t="str">
        <f t="shared" si="172"/>
        <v>Fraise, crue, France continentale, Base Carbone</v>
      </c>
      <c r="G1453" s="1055" t="str">
        <f t="shared" si="173"/>
        <v>Fraise, crue, France continentale, Base Carbone; kgCO2e/kg de produit</v>
      </c>
      <c r="I1453" s="2018" t="s">
        <v>4536</v>
      </c>
      <c r="J1453" s="1135" t="s">
        <v>4654</v>
      </c>
      <c r="K1453" s="1119" t="s">
        <v>1567</v>
      </c>
      <c r="L1453" s="1135" t="s">
        <v>1571</v>
      </c>
      <c r="M1453" s="2038">
        <v>0.5</v>
      </c>
      <c r="N1453" s="1135"/>
      <c r="O1453" s="2340">
        <v>0.52500000000000002</v>
      </c>
      <c r="P1453" s="1135"/>
      <c r="Q1453" s="1135"/>
      <c r="R1453" s="1135"/>
      <c r="S1453" s="1135"/>
      <c r="T1453" s="1135"/>
      <c r="U1453" s="2041"/>
    </row>
    <row r="1454" spans="2:21" hidden="1" outlineLevel="2">
      <c r="B1454" s="1050">
        <v>59</v>
      </c>
      <c r="C1454" s="1050" t="str">
        <f t="shared" si="170"/>
        <v>Framboise, crue, France continentale, Base Carbone</v>
      </c>
      <c r="D1454" s="1051">
        <f t="shared" si="171"/>
        <v>59</v>
      </c>
      <c r="E1454" s="1051" t="str">
        <f>IF(COUNTIF(E$1395:E1453,F1454)&gt;0,"",F1454)</f>
        <v>Framboise, crue, France continentale, Base Carbone</v>
      </c>
      <c r="F1454" s="1051" t="str">
        <f t="shared" si="172"/>
        <v>Framboise, crue, France continentale, Base Carbone</v>
      </c>
      <c r="G1454" s="1055" t="str">
        <f t="shared" si="173"/>
        <v>Framboise, crue, France continentale, Base Carbone; kgCO2e/kg de produit</v>
      </c>
      <c r="I1454" s="2018" t="s">
        <v>4537</v>
      </c>
      <c r="J1454" s="1135" t="s">
        <v>4654</v>
      </c>
      <c r="K1454" s="1119" t="s">
        <v>1567</v>
      </c>
      <c r="L1454" s="1135" t="s">
        <v>1571</v>
      </c>
      <c r="M1454" s="2038">
        <v>0.5</v>
      </c>
      <c r="N1454" s="1135"/>
      <c r="O1454" s="2340">
        <v>0.90600000000000003</v>
      </c>
      <c r="P1454" s="1135"/>
      <c r="Q1454" s="1135"/>
      <c r="R1454" s="1135"/>
      <c r="S1454" s="1135"/>
      <c r="T1454" s="1135"/>
      <c r="U1454" s="2041"/>
    </row>
    <row r="1455" spans="2:21" hidden="1" outlineLevel="2">
      <c r="B1455" s="1050">
        <v>60</v>
      </c>
      <c r="C1455" s="1050" t="str">
        <f t="shared" si="170"/>
        <v>Frites de pommes de terre, surgelées, rôties/cuites au four, France continentale, Base Carbone</v>
      </c>
      <c r="D1455" s="1051">
        <f t="shared" si="171"/>
        <v>60</v>
      </c>
      <c r="E1455" s="1051" t="str">
        <f>IF(COUNTIF(E$1395:E1454,F1455)&gt;0,"",F1455)</f>
        <v>Frites de pommes de terre, surgelées, rôties/cuites au four, France continentale, Base Carbone</v>
      </c>
      <c r="F1455" s="1051" t="str">
        <f t="shared" si="172"/>
        <v>Frites de pommes de terre, surgelées, rôties/cuites au four, France continentale, Base Carbone</v>
      </c>
      <c r="G1455" s="1055" t="str">
        <f t="shared" si="173"/>
        <v>Frites de pommes de terre, surgelées, rôties/cuites au four, France continentale, Base Carbone; kgCO2e/kg de produit</v>
      </c>
      <c r="I1455" s="2018" t="s">
        <v>4538</v>
      </c>
      <c r="J1455" s="1135" t="s">
        <v>4654</v>
      </c>
      <c r="K1455" s="1119" t="s">
        <v>1567</v>
      </c>
      <c r="L1455" s="1135" t="s">
        <v>1571</v>
      </c>
      <c r="M1455" s="2038">
        <v>0.5</v>
      </c>
      <c r="N1455" s="1135"/>
      <c r="O1455" s="2340">
        <v>1.05</v>
      </c>
      <c r="P1455" s="1135"/>
      <c r="Q1455" s="1135"/>
      <c r="R1455" s="1135"/>
      <c r="S1455" s="1135"/>
      <c r="T1455" s="1135"/>
      <c r="U1455" s="2041"/>
    </row>
    <row r="1456" spans="2:21" hidden="1" outlineLevel="2">
      <c r="B1456" s="1050">
        <v>61</v>
      </c>
      <c r="C1456" s="1050" t="str">
        <f t="shared" si="170"/>
        <v>Fruit de la passion ou maracudja, pulpe et pépins, cru, France continentale, Base Carbone</v>
      </c>
      <c r="D1456" s="1051">
        <f t="shared" si="171"/>
        <v>61</v>
      </c>
      <c r="E1456" s="1051" t="str">
        <f>IF(COUNTIF(E$1395:E1455,F1456)&gt;0,"",F1456)</f>
        <v>Fruit de la passion ou maracudja, pulpe et pépins, cru, France continentale, Base Carbone</v>
      </c>
      <c r="F1456" s="1051" t="str">
        <f t="shared" si="172"/>
        <v>Fruit de la passion ou maracudja, pulpe et pépins, cru, France continentale, Base Carbone</v>
      </c>
      <c r="G1456" s="1055" t="str">
        <f t="shared" si="173"/>
        <v>Fruit de la passion ou maracudja, pulpe et pépins, cru, France continentale, Base Carbone; kgCO2e/kg de produit</v>
      </c>
      <c r="I1456" s="2018" t="s">
        <v>4539</v>
      </c>
      <c r="J1456" s="1135" t="s">
        <v>4654</v>
      </c>
      <c r="K1456" s="1119" t="s">
        <v>1567</v>
      </c>
      <c r="L1456" s="1135" t="s">
        <v>1571</v>
      </c>
      <c r="M1456" s="2038">
        <v>0.5</v>
      </c>
      <c r="N1456" s="1135"/>
      <c r="O1456" s="2340">
        <v>0.91400000000000003</v>
      </c>
      <c r="P1456" s="1135"/>
      <c r="Q1456" s="1135"/>
      <c r="R1456" s="1135"/>
      <c r="S1456" s="1135"/>
      <c r="T1456" s="1135"/>
      <c r="U1456" s="2041"/>
    </row>
    <row r="1457" spans="2:21" hidden="1" outlineLevel="2">
      <c r="B1457" s="1050">
        <v>62</v>
      </c>
      <c r="C1457" s="1050" t="str">
        <f t="shared" si="170"/>
        <v>Fruits rouges, crus (framboises, fraises, groseilles, cassis), France continentale, Base Carbone</v>
      </c>
      <c r="D1457" s="1051">
        <f t="shared" si="171"/>
        <v>62</v>
      </c>
      <c r="E1457" s="1051" t="str">
        <f>IF(COUNTIF(E$1395:E1456,F1457)&gt;0,"",F1457)</f>
        <v>Fruits rouges, crus (framboises, fraises, groseilles, cassis), France continentale, Base Carbone</v>
      </c>
      <c r="F1457" s="1051" t="str">
        <f t="shared" si="172"/>
        <v>Fruits rouges, crus (framboises, fraises, groseilles, cassis), France continentale, Base Carbone</v>
      </c>
      <c r="G1457" s="1055" t="str">
        <f t="shared" si="173"/>
        <v>Fruits rouges, crus (framboises, fraises, groseilles, cassis), France continentale, Base Carbone; kgCO2e/kg de produit</v>
      </c>
      <c r="I1457" s="2018" t="s">
        <v>4540</v>
      </c>
      <c r="J1457" s="1135" t="s">
        <v>4654</v>
      </c>
      <c r="K1457" s="1119" t="s">
        <v>1567</v>
      </c>
      <c r="L1457" s="1135" t="s">
        <v>1571</v>
      </c>
      <c r="M1457" s="2038">
        <v>0.5</v>
      </c>
      <c r="N1457" s="1135"/>
      <c r="O1457" s="2340">
        <v>0.90600000000000003</v>
      </c>
      <c r="P1457" s="1135"/>
      <c r="Q1457" s="1135"/>
      <c r="R1457" s="1135"/>
      <c r="S1457" s="1135"/>
      <c r="T1457" s="1135"/>
      <c r="U1457" s="2041"/>
    </row>
    <row r="1458" spans="2:21" hidden="1" outlineLevel="2">
      <c r="B1458" s="1050">
        <v>63</v>
      </c>
      <c r="C1458" s="1050" t="str">
        <f t="shared" si="170"/>
        <v>Gombo, fruit, cuit, France continentale, Base Carbone</v>
      </c>
      <c r="D1458" s="1051">
        <f t="shared" si="171"/>
        <v>63</v>
      </c>
      <c r="E1458" s="1051" t="str">
        <f>IF(COUNTIF(E$1395:E1457,F1458)&gt;0,"",F1458)</f>
        <v>Gombo, fruit, cuit, France continentale, Base Carbone</v>
      </c>
      <c r="F1458" s="1051" t="str">
        <f t="shared" si="172"/>
        <v>Gombo, fruit, cuit, France continentale, Base Carbone</v>
      </c>
      <c r="G1458" s="1055" t="str">
        <f t="shared" si="173"/>
        <v>Gombo, fruit, cuit, France continentale, Base Carbone; kgCO2e/kg de produit</v>
      </c>
      <c r="I1458" s="2018" t="s">
        <v>4541</v>
      </c>
      <c r="J1458" s="1135" t="s">
        <v>4654</v>
      </c>
      <c r="K1458" s="1119" t="s">
        <v>1567</v>
      </c>
      <c r="L1458" s="1135" t="s">
        <v>1571</v>
      </c>
      <c r="M1458" s="2038">
        <v>0.5</v>
      </c>
      <c r="N1458" s="1135"/>
      <c r="O1458" s="2340">
        <v>1.85</v>
      </c>
      <c r="P1458" s="1135"/>
      <c r="Q1458" s="1135"/>
      <c r="R1458" s="1135"/>
      <c r="S1458" s="1135"/>
      <c r="T1458" s="1135"/>
      <c r="U1458" s="2041"/>
    </row>
    <row r="1459" spans="2:21" hidden="1" outlineLevel="2">
      <c r="B1459" s="1050">
        <v>64</v>
      </c>
      <c r="C1459" s="1050" t="str">
        <f t="shared" si="170"/>
        <v>Goyave, pulpe, crue, France continentale, Base Carbone</v>
      </c>
      <c r="D1459" s="1051">
        <f t="shared" si="171"/>
        <v>64</v>
      </c>
      <c r="E1459" s="1051" t="str">
        <f>IF(COUNTIF(E$1395:E1458,F1459)&gt;0,"",F1459)</f>
        <v>Goyave, pulpe, crue, France continentale, Base Carbone</v>
      </c>
      <c r="F1459" s="1051" t="str">
        <f t="shared" si="172"/>
        <v>Goyave, pulpe, crue, France continentale, Base Carbone</v>
      </c>
      <c r="G1459" s="1055" t="str">
        <f t="shared" si="173"/>
        <v>Goyave, pulpe, crue, France continentale, Base Carbone; kgCO2e/kg de produit</v>
      </c>
      <c r="I1459" s="2018" t="s">
        <v>4542</v>
      </c>
      <c r="J1459" s="1135" t="s">
        <v>4654</v>
      </c>
      <c r="K1459" s="1119" t="s">
        <v>1567</v>
      </c>
      <c r="L1459" s="1135" t="s">
        <v>1571</v>
      </c>
      <c r="M1459" s="2038">
        <v>0.5</v>
      </c>
      <c r="N1459" s="1135"/>
      <c r="O1459" s="2340">
        <v>1.1599999999999999</v>
      </c>
      <c r="P1459" s="1135"/>
      <c r="Q1459" s="1135"/>
      <c r="R1459" s="1135"/>
      <c r="S1459" s="1135"/>
      <c r="T1459" s="1135"/>
      <c r="U1459" s="2041"/>
    </row>
    <row r="1460" spans="2:21" hidden="1" outlineLevel="2">
      <c r="B1460" s="1050">
        <v>65</v>
      </c>
      <c r="C1460" s="1050" t="str">
        <f t="shared" si="170"/>
        <v>Grenade, pulpe et pépins, crue, France continentale, Base Carbone</v>
      </c>
      <c r="D1460" s="1051">
        <f t="shared" si="171"/>
        <v>65</v>
      </c>
      <c r="E1460" s="1051" t="str">
        <f>IF(COUNTIF(E$1395:E1459,F1460)&gt;0,"",F1460)</f>
        <v>Grenade, pulpe et pépins, crue, France continentale, Base Carbone</v>
      </c>
      <c r="F1460" s="1051" t="str">
        <f t="shared" si="172"/>
        <v>Grenade, pulpe et pépins, crue, France continentale, Base Carbone</v>
      </c>
      <c r="G1460" s="1055" t="str">
        <f t="shared" si="173"/>
        <v>Grenade, pulpe et pépins, crue, France continentale, Base Carbone; kgCO2e/kg de produit</v>
      </c>
      <c r="I1460" s="2018" t="s">
        <v>4543</v>
      </c>
      <c r="J1460" s="1135" t="s">
        <v>4654</v>
      </c>
      <c r="K1460" s="1119" t="s">
        <v>1567</v>
      </c>
      <c r="L1460" s="1135" t="s">
        <v>1571</v>
      </c>
      <c r="M1460" s="2038">
        <v>0.5</v>
      </c>
      <c r="N1460" s="1135"/>
      <c r="O1460" s="2340">
        <v>0.42899999999999999</v>
      </c>
      <c r="P1460" s="1135"/>
      <c r="Q1460" s="1135"/>
      <c r="R1460" s="1135"/>
      <c r="S1460" s="1135"/>
      <c r="T1460" s="1135"/>
      <c r="U1460" s="2041"/>
    </row>
    <row r="1461" spans="2:21" hidden="1" outlineLevel="2">
      <c r="B1461" s="1050">
        <v>66</v>
      </c>
      <c r="C1461" s="1050" t="str">
        <f t="shared" ref="C1461:C1524" si="174">IF(ISNA(VLOOKUP(B1461,$D$1395:$E$1553,2,FALSE)),"-",VLOOKUP(B1461,$D$1395:$E$1553,2,FALSE))</f>
        <v>Griotte, crue, France continentale, Base Carbone</v>
      </c>
      <c r="D1461" s="1051">
        <f t="shared" ref="D1461:D1524" si="175">D1460+IF(LEN(E1461)&gt;0,1,0)</f>
        <v>66</v>
      </c>
      <c r="E1461" s="1051" t="str">
        <f>IF(COUNTIF(E$1395:E1460,F1461)&gt;0,"",F1461)</f>
        <v>Griotte, crue, France continentale, Base Carbone</v>
      </c>
      <c r="F1461" s="1051" t="str">
        <f t="shared" ref="F1461:F1524" si="176">IF(I1461&lt;&gt;"",I1461&amp;IF(N1461&lt;&gt;""," "&amp;N1461,)&amp;IF(L1461&lt;&gt;"",", "&amp;L1461,"")&amp;IF(K1461&lt;&gt;"",", "&amp;K1461,""),"")</f>
        <v>Griotte, crue, France continentale, Base Carbone</v>
      </c>
      <c r="G1461" s="1055" t="str">
        <f t="shared" ref="G1461:G1524" si="177">IF(F1461&lt;&gt;"",F1461&amp;IF(J1461&lt;&gt;"","; "&amp;J1461,""),"")</f>
        <v>Griotte, crue, France continentale, Base Carbone; kgCO2e/kg de produit</v>
      </c>
      <c r="I1461" s="2018" t="s">
        <v>4544</v>
      </c>
      <c r="J1461" s="1135" t="s">
        <v>4654</v>
      </c>
      <c r="K1461" s="1119" t="s">
        <v>1567</v>
      </c>
      <c r="L1461" s="1135" t="s">
        <v>1571</v>
      </c>
      <c r="M1461" s="2038">
        <v>0.5</v>
      </c>
      <c r="N1461" s="1135"/>
      <c r="O1461" s="2340">
        <v>0.90700000000000003</v>
      </c>
      <c r="P1461" s="1135"/>
      <c r="Q1461" s="1135"/>
      <c r="R1461" s="1135"/>
      <c r="S1461" s="1135"/>
      <c r="T1461" s="1135"/>
      <c r="U1461" s="2041"/>
    </row>
    <row r="1462" spans="2:21" hidden="1" outlineLevel="2">
      <c r="B1462" s="1050">
        <v>67</v>
      </c>
      <c r="C1462" s="1050" t="str">
        <f t="shared" si="174"/>
        <v>Groseille, crue, France continentale, Base Carbone</v>
      </c>
      <c r="D1462" s="1051">
        <f t="shared" si="175"/>
        <v>67</v>
      </c>
      <c r="E1462" s="1051" t="str">
        <f>IF(COUNTIF(E$1395:E1461,F1462)&gt;0,"",F1462)</f>
        <v>Groseille, crue, France continentale, Base Carbone</v>
      </c>
      <c r="F1462" s="1051" t="str">
        <f t="shared" si="176"/>
        <v>Groseille, crue, France continentale, Base Carbone</v>
      </c>
      <c r="G1462" s="1055" t="str">
        <f t="shared" si="177"/>
        <v>Groseille, crue, France continentale, Base Carbone; kgCO2e/kg de produit</v>
      </c>
      <c r="I1462" s="2018" t="s">
        <v>4545</v>
      </c>
      <c r="J1462" s="1135" t="s">
        <v>4654</v>
      </c>
      <c r="K1462" s="1119" t="s">
        <v>1567</v>
      </c>
      <c r="L1462" s="1135" t="s">
        <v>1571</v>
      </c>
      <c r="M1462" s="2038">
        <v>0.5</v>
      </c>
      <c r="N1462" s="1135"/>
      <c r="O1462" s="2340">
        <v>1.76</v>
      </c>
      <c r="P1462" s="1135"/>
      <c r="Q1462" s="1135"/>
      <c r="R1462" s="1135"/>
      <c r="S1462" s="1135"/>
      <c r="T1462" s="1135"/>
      <c r="U1462" s="2041"/>
    </row>
    <row r="1463" spans="2:21" hidden="1" outlineLevel="2">
      <c r="B1463" s="1050">
        <v>68</v>
      </c>
      <c r="C1463" s="1050" t="str">
        <f t="shared" si="174"/>
        <v>Haricot blanc, cuit, France continentale, Base Carbone</v>
      </c>
      <c r="D1463" s="1051">
        <f t="shared" si="175"/>
        <v>68</v>
      </c>
      <c r="E1463" s="1051" t="str">
        <f>IF(COUNTIF(E$1395:E1462,F1463)&gt;0,"",F1463)</f>
        <v>Haricot blanc, cuit, France continentale, Base Carbone</v>
      </c>
      <c r="F1463" s="1051" t="str">
        <f t="shared" si="176"/>
        <v>Haricot blanc, cuit, France continentale, Base Carbone</v>
      </c>
      <c r="G1463" s="1055" t="str">
        <f t="shared" si="177"/>
        <v>Haricot blanc, cuit, France continentale, Base Carbone; kgCO2e/kg de produit</v>
      </c>
      <c r="I1463" s="2018" t="s">
        <v>4546</v>
      </c>
      <c r="J1463" s="1135" t="s">
        <v>4654</v>
      </c>
      <c r="K1463" s="1119" t="s">
        <v>1567</v>
      </c>
      <c r="L1463" s="1135" t="s">
        <v>1571</v>
      </c>
      <c r="M1463" s="2038">
        <v>0.5</v>
      </c>
      <c r="N1463" s="1135"/>
      <c r="O1463" s="2340">
        <v>0.27900000000000003</v>
      </c>
      <c r="P1463" s="1135"/>
      <c r="Q1463" s="1135"/>
      <c r="R1463" s="1135"/>
      <c r="S1463" s="1135"/>
      <c r="T1463" s="1135"/>
      <c r="U1463" s="2041"/>
    </row>
    <row r="1464" spans="2:21" hidden="1" outlineLevel="2">
      <c r="B1464" s="1050">
        <v>69</v>
      </c>
      <c r="C1464" s="1050" t="str">
        <f t="shared" si="174"/>
        <v>Haricot vert, cuit, France continentale, Base Carbone</v>
      </c>
      <c r="D1464" s="1051">
        <f t="shared" si="175"/>
        <v>69</v>
      </c>
      <c r="E1464" s="1051" t="str">
        <f>IF(COUNTIF(E$1395:E1463,F1464)&gt;0,"",F1464)</f>
        <v>Haricot vert, cuit, France continentale, Base Carbone</v>
      </c>
      <c r="F1464" s="1051" t="str">
        <f t="shared" si="176"/>
        <v>Haricot vert, cuit, France continentale, Base Carbone</v>
      </c>
      <c r="G1464" s="1055" t="str">
        <f t="shared" si="177"/>
        <v>Haricot vert, cuit, France continentale, Base Carbone; kgCO2e/kg de produit</v>
      </c>
      <c r="I1464" s="2018" t="s">
        <v>4547</v>
      </c>
      <c r="J1464" s="1135" t="s">
        <v>4654</v>
      </c>
      <c r="K1464" s="1119" t="s">
        <v>1567</v>
      </c>
      <c r="L1464" s="1135" t="s">
        <v>1571</v>
      </c>
      <c r="M1464" s="2038">
        <v>0.5</v>
      </c>
      <c r="N1464" s="1135"/>
      <c r="O1464" s="2340">
        <v>1.19</v>
      </c>
      <c r="P1464" s="1135"/>
      <c r="Q1464" s="1135"/>
      <c r="R1464" s="1135"/>
      <c r="S1464" s="1135"/>
      <c r="T1464" s="1135"/>
      <c r="U1464" s="2041"/>
    </row>
    <row r="1465" spans="2:21" hidden="1" outlineLevel="2">
      <c r="B1465" s="1050">
        <v>70</v>
      </c>
      <c r="C1465" s="1050" t="str">
        <f t="shared" si="174"/>
        <v>Igname, épluchée, bouillie/cuite à l'eau, France continentale, Base Carbone</v>
      </c>
      <c r="D1465" s="1051">
        <f t="shared" si="175"/>
        <v>70</v>
      </c>
      <c r="E1465" s="1051" t="str">
        <f>IF(COUNTIF(E$1395:E1464,F1465)&gt;0,"",F1465)</f>
        <v>Igname, épluchée, bouillie/cuite à l'eau, France continentale, Base Carbone</v>
      </c>
      <c r="F1465" s="1051" t="str">
        <f t="shared" si="176"/>
        <v>Igname, épluchée, bouillie/cuite à l'eau, France continentale, Base Carbone</v>
      </c>
      <c r="G1465" s="1055" t="str">
        <f t="shared" si="177"/>
        <v>Igname, épluchée, bouillie/cuite à l'eau, France continentale, Base Carbone; kgCO2e/kg de produit</v>
      </c>
      <c r="I1465" s="2018" t="s">
        <v>4548</v>
      </c>
      <c r="J1465" s="1135" t="s">
        <v>4654</v>
      </c>
      <c r="K1465" s="1119" t="s">
        <v>1567</v>
      </c>
      <c r="L1465" s="1135" t="s">
        <v>1571</v>
      </c>
      <c r="M1465" s="2038">
        <v>0.5</v>
      </c>
      <c r="N1465" s="1135"/>
      <c r="O1465" s="2340">
        <v>1.03</v>
      </c>
      <c r="P1465" s="1135"/>
      <c r="Q1465" s="1135"/>
      <c r="R1465" s="1135"/>
      <c r="S1465" s="1135"/>
      <c r="T1465" s="1135"/>
      <c r="U1465" s="2041"/>
    </row>
    <row r="1466" spans="2:21" hidden="1" outlineLevel="2">
      <c r="B1466" s="1050">
        <v>71</v>
      </c>
      <c r="C1466" s="1050" t="str">
        <f t="shared" si="174"/>
        <v>Julienne ou brunoise de légumes, surgelée, crue, France continentale, Base Carbone</v>
      </c>
      <c r="D1466" s="1051">
        <f t="shared" si="175"/>
        <v>71</v>
      </c>
      <c r="E1466" s="1051" t="str">
        <f>IF(COUNTIF(E$1395:E1465,F1466)&gt;0,"",F1466)</f>
        <v>Julienne ou brunoise de légumes, surgelée, crue, France continentale, Base Carbone</v>
      </c>
      <c r="F1466" s="1051" t="str">
        <f t="shared" si="176"/>
        <v>Julienne ou brunoise de légumes, surgelée, crue, France continentale, Base Carbone</v>
      </c>
      <c r="G1466" s="1055" t="str">
        <f t="shared" si="177"/>
        <v>Julienne ou brunoise de légumes, surgelée, crue, France continentale, Base Carbone; kgCO2e/kg de produit</v>
      </c>
      <c r="I1466" s="2018" t="s">
        <v>4549</v>
      </c>
      <c r="J1466" s="1135" t="s">
        <v>4654</v>
      </c>
      <c r="K1466" s="1119" t="s">
        <v>1567</v>
      </c>
      <c r="L1466" s="1135" t="s">
        <v>1571</v>
      </c>
      <c r="M1466" s="2038">
        <v>0.5</v>
      </c>
      <c r="N1466" s="1135"/>
      <c r="O1466" s="2340">
        <v>0.64700000000000002</v>
      </c>
      <c r="P1466" s="1135"/>
      <c r="Q1466" s="1135"/>
      <c r="R1466" s="1135"/>
      <c r="S1466" s="1135"/>
      <c r="T1466" s="1135"/>
      <c r="U1466" s="2041"/>
    </row>
    <row r="1467" spans="2:21" hidden="1" outlineLevel="2">
      <c r="B1467" s="1050">
        <v>72</v>
      </c>
      <c r="C1467" s="1050" t="str">
        <f t="shared" si="174"/>
        <v>Kaki, pulpe, cru, France continentale, Base Carbone</v>
      </c>
      <c r="D1467" s="1051">
        <f t="shared" si="175"/>
        <v>72</v>
      </c>
      <c r="E1467" s="1051" t="str">
        <f>IF(COUNTIF(E$1395:E1466,F1467)&gt;0,"",F1467)</f>
        <v>Kaki, pulpe, cru, France continentale, Base Carbone</v>
      </c>
      <c r="F1467" s="1051" t="str">
        <f t="shared" si="176"/>
        <v>Kaki, pulpe, cru, France continentale, Base Carbone</v>
      </c>
      <c r="G1467" s="1055" t="str">
        <f t="shared" si="177"/>
        <v>Kaki, pulpe, cru, France continentale, Base Carbone; kgCO2e/kg de produit</v>
      </c>
      <c r="I1467" s="2018" t="s">
        <v>4550</v>
      </c>
      <c r="J1467" s="1135" t="s">
        <v>4654</v>
      </c>
      <c r="K1467" s="1119" t="s">
        <v>1567</v>
      </c>
      <c r="L1467" s="1135" t="s">
        <v>1571</v>
      </c>
      <c r="M1467" s="2038">
        <v>0.5</v>
      </c>
      <c r="N1467" s="1135"/>
      <c r="O1467" s="2340">
        <v>0.90600000000000003</v>
      </c>
      <c r="P1467" s="1135"/>
      <c r="Q1467" s="1135"/>
      <c r="R1467" s="1135"/>
      <c r="S1467" s="1135"/>
      <c r="T1467" s="1135"/>
      <c r="U1467" s="2041"/>
    </row>
    <row r="1468" spans="2:21" hidden="1" outlineLevel="2">
      <c r="B1468" s="1050">
        <v>73</v>
      </c>
      <c r="C1468" s="1050" t="str">
        <f t="shared" si="174"/>
        <v>Kiwi, pulpe et graines, cru, France continentale, Base Carbone</v>
      </c>
      <c r="D1468" s="1051">
        <f t="shared" si="175"/>
        <v>73</v>
      </c>
      <c r="E1468" s="1051" t="str">
        <f>IF(COUNTIF(E$1395:E1467,F1468)&gt;0,"",F1468)</f>
        <v>Kiwi, pulpe et graines, cru, France continentale, Base Carbone</v>
      </c>
      <c r="F1468" s="1051" t="str">
        <f t="shared" si="176"/>
        <v>Kiwi, pulpe et graines, cru, France continentale, Base Carbone</v>
      </c>
      <c r="G1468" s="1055" t="str">
        <f t="shared" si="177"/>
        <v>Kiwi, pulpe et graines, cru, France continentale, Base Carbone; kgCO2e/kg de produit</v>
      </c>
      <c r="I1468" s="2018" t="s">
        <v>4551</v>
      </c>
      <c r="J1468" s="1135" t="s">
        <v>4654</v>
      </c>
      <c r="K1468" s="1119" t="s">
        <v>1567</v>
      </c>
      <c r="L1468" s="1135" t="s">
        <v>1571</v>
      </c>
      <c r="M1468" s="2038">
        <v>0.5</v>
      </c>
      <c r="N1468" s="1135"/>
      <c r="O1468" s="2340">
        <v>0.92300000000000004</v>
      </c>
      <c r="P1468" s="1135"/>
      <c r="Q1468" s="1135"/>
      <c r="R1468" s="1135"/>
      <c r="S1468" s="1135"/>
      <c r="T1468" s="1135"/>
      <c r="U1468" s="2041"/>
    </row>
    <row r="1469" spans="2:21" hidden="1" outlineLevel="2">
      <c r="B1469" s="1050">
        <v>74</v>
      </c>
      <c r="C1469" s="1050" t="str">
        <f t="shared" si="174"/>
        <v>Kumquat, sans pépin, cru, France continentale, Base Carbone</v>
      </c>
      <c r="D1469" s="1051">
        <f t="shared" si="175"/>
        <v>74</v>
      </c>
      <c r="E1469" s="1051" t="str">
        <f>IF(COUNTIF(E$1395:E1468,F1469)&gt;0,"",F1469)</f>
        <v>Kumquat, sans pépin, cru, France continentale, Base Carbone</v>
      </c>
      <c r="F1469" s="1051" t="str">
        <f t="shared" si="176"/>
        <v>Kumquat, sans pépin, cru, France continentale, Base Carbone</v>
      </c>
      <c r="G1469" s="1055" t="str">
        <f t="shared" si="177"/>
        <v>Kumquat, sans pépin, cru, France continentale, Base Carbone; kgCO2e/kg de produit</v>
      </c>
      <c r="I1469" s="2018" t="s">
        <v>4552</v>
      </c>
      <c r="J1469" s="1135" t="s">
        <v>4654</v>
      </c>
      <c r="K1469" s="1119" t="s">
        <v>1567</v>
      </c>
      <c r="L1469" s="1135" t="s">
        <v>1571</v>
      </c>
      <c r="M1469" s="2038">
        <v>0.5</v>
      </c>
      <c r="N1469" s="1135"/>
      <c r="O1469" s="2340">
        <v>0.57599999999999996</v>
      </c>
      <c r="P1469" s="1135"/>
      <c r="Q1469" s="1135"/>
      <c r="R1469" s="1135"/>
      <c r="S1469" s="1135"/>
      <c r="T1469" s="1135"/>
      <c r="U1469" s="2041"/>
    </row>
    <row r="1470" spans="2:21" hidden="1" outlineLevel="2">
      <c r="B1470" s="1050">
        <v>75</v>
      </c>
      <c r="C1470" s="1050" t="str">
        <f t="shared" si="174"/>
        <v>Laitue, crue, France continentale, Base Carbone</v>
      </c>
      <c r="D1470" s="1051">
        <f t="shared" si="175"/>
        <v>75</v>
      </c>
      <c r="E1470" s="1051" t="str">
        <f>IF(COUNTIF(E$1395:E1469,F1470)&gt;0,"",F1470)</f>
        <v>Laitue, crue, France continentale, Base Carbone</v>
      </c>
      <c r="F1470" s="1051" t="str">
        <f t="shared" si="176"/>
        <v>Laitue, crue, France continentale, Base Carbone</v>
      </c>
      <c r="G1470" s="1055" t="str">
        <f t="shared" si="177"/>
        <v>Laitue, crue, France continentale, Base Carbone; kgCO2e/kg de produit</v>
      </c>
      <c r="I1470" s="2018" t="s">
        <v>4553</v>
      </c>
      <c r="J1470" s="1135" t="s">
        <v>4654</v>
      </c>
      <c r="K1470" s="1119" t="s">
        <v>1567</v>
      </c>
      <c r="L1470" s="1135" t="s">
        <v>1571</v>
      </c>
      <c r="M1470" s="2038">
        <v>0.5</v>
      </c>
      <c r="N1470" s="1135"/>
      <c r="O1470" s="2340">
        <v>0.86</v>
      </c>
      <c r="P1470" s="1135"/>
      <c r="Q1470" s="1135"/>
      <c r="R1470" s="1135"/>
      <c r="S1470" s="1135"/>
      <c r="T1470" s="1135"/>
      <c r="U1470" s="2041"/>
    </row>
    <row r="1471" spans="2:21" hidden="1" outlineLevel="2">
      <c r="B1471" s="1050">
        <v>76</v>
      </c>
      <c r="C1471" s="1050" t="str">
        <f t="shared" si="174"/>
        <v>Légumes (3-4 sortes en mélange), purée, France continentale, Base Carbone</v>
      </c>
      <c r="D1471" s="1051">
        <f t="shared" si="175"/>
        <v>76</v>
      </c>
      <c r="E1471" s="1051" t="str">
        <f>IF(COUNTIF(E$1395:E1470,F1471)&gt;0,"",F1471)</f>
        <v>Légumes (3-4 sortes en mélange), purée, France continentale, Base Carbone</v>
      </c>
      <c r="F1471" s="1051" t="str">
        <f t="shared" si="176"/>
        <v>Légumes (3-4 sortes en mélange), purée, France continentale, Base Carbone</v>
      </c>
      <c r="G1471" s="1055" t="str">
        <f t="shared" si="177"/>
        <v>Légumes (3-4 sortes en mélange), purée, France continentale, Base Carbone; kgCO2e/kg de produit</v>
      </c>
      <c r="I1471" s="2018" t="s">
        <v>4554</v>
      </c>
      <c r="J1471" s="1135" t="s">
        <v>4654</v>
      </c>
      <c r="K1471" s="1119" t="s">
        <v>1567</v>
      </c>
      <c r="L1471" s="1135" t="s">
        <v>1571</v>
      </c>
      <c r="M1471" s="2038">
        <v>0.5</v>
      </c>
      <c r="N1471" s="1135"/>
      <c r="O1471" s="2340">
        <v>1.21</v>
      </c>
      <c r="P1471" s="1135"/>
      <c r="Q1471" s="1135"/>
      <c r="R1471" s="1135"/>
      <c r="S1471" s="1135"/>
      <c r="T1471" s="1135"/>
      <c r="U1471" s="2041"/>
    </row>
    <row r="1472" spans="2:21" hidden="1" outlineLevel="2">
      <c r="B1472" s="1050">
        <v>77</v>
      </c>
      <c r="C1472" s="1050" t="str">
        <f t="shared" si="174"/>
        <v>Lentille, cuite, France continentale, Base Carbone</v>
      </c>
      <c r="D1472" s="1051">
        <f t="shared" si="175"/>
        <v>77</v>
      </c>
      <c r="E1472" s="1051" t="str">
        <f>IF(COUNTIF(E$1395:E1471,F1472)&gt;0,"",F1472)</f>
        <v>Lentille, cuite, France continentale, Base Carbone</v>
      </c>
      <c r="F1472" s="1051" t="str">
        <f t="shared" si="176"/>
        <v>Lentille, cuite, France continentale, Base Carbone</v>
      </c>
      <c r="G1472" s="1055" t="str">
        <f t="shared" si="177"/>
        <v>Lentille, cuite, France continentale, Base Carbone; kgCO2e/kg de produit</v>
      </c>
      <c r="I1472" s="2018" t="s">
        <v>4555</v>
      </c>
      <c r="J1472" s="1135" t="s">
        <v>4654</v>
      </c>
      <c r="K1472" s="1119" t="s">
        <v>1567</v>
      </c>
      <c r="L1472" s="1135" t="s">
        <v>1571</v>
      </c>
      <c r="M1472" s="2038">
        <v>0.5</v>
      </c>
      <c r="N1472" s="1135"/>
      <c r="O1472" s="2340">
        <v>0.32500000000000001</v>
      </c>
      <c r="P1472" s="1135"/>
      <c r="Q1472" s="1135"/>
      <c r="R1472" s="1135"/>
      <c r="S1472" s="1135"/>
      <c r="T1472" s="1135"/>
      <c r="U1472" s="2041"/>
    </row>
    <row r="1473" spans="2:21" hidden="1" outlineLevel="2">
      <c r="B1473" s="1050">
        <v>78</v>
      </c>
      <c r="C1473" s="1050" t="str">
        <f t="shared" si="174"/>
        <v>Lin, graine, France continentale, Base Carbone</v>
      </c>
      <c r="D1473" s="1051">
        <f t="shared" si="175"/>
        <v>78</v>
      </c>
      <c r="E1473" s="1051" t="str">
        <f>IF(COUNTIF(E$1395:E1472,F1473)&gt;0,"",F1473)</f>
        <v>Lin, graine, France continentale, Base Carbone</v>
      </c>
      <c r="F1473" s="1051" t="str">
        <f t="shared" si="176"/>
        <v>Lin, graine, France continentale, Base Carbone</v>
      </c>
      <c r="G1473" s="1055" t="str">
        <f t="shared" si="177"/>
        <v>Lin, graine, France continentale, Base Carbone; kgCO2e/kg de produit</v>
      </c>
      <c r="I1473" s="2018" t="s">
        <v>4556</v>
      </c>
      <c r="J1473" s="1135" t="s">
        <v>4654</v>
      </c>
      <c r="K1473" s="1119" t="s">
        <v>1567</v>
      </c>
      <c r="L1473" s="1135" t="s">
        <v>1571</v>
      </c>
      <c r="M1473" s="2038">
        <v>0.5</v>
      </c>
      <c r="N1473" s="1135"/>
      <c r="O1473" s="2340">
        <v>3.76</v>
      </c>
      <c r="P1473" s="1135"/>
      <c r="Q1473" s="1135"/>
      <c r="R1473" s="1135"/>
      <c r="S1473" s="1135"/>
      <c r="T1473" s="1135"/>
      <c r="U1473" s="2041"/>
    </row>
    <row r="1474" spans="2:21" hidden="1" outlineLevel="2">
      <c r="B1474" s="1050">
        <v>79</v>
      </c>
      <c r="C1474" s="1050" t="str">
        <f t="shared" si="174"/>
        <v>Litchi, pulpe, cru, France continentale, Base Carbone</v>
      </c>
      <c r="D1474" s="1051">
        <f t="shared" si="175"/>
        <v>79</v>
      </c>
      <c r="E1474" s="1051" t="str">
        <f>IF(COUNTIF(E$1395:E1473,F1474)&gt;0,"",F1474)</f>
        <v>Litchi, pulpe, cru, France continentale, Base Carbone</v>
      </c>
      <c r="F1474" s="1051" t="str">
        <f t="shared" si="176"/>
        <v>Litchi, pulpe, cru, France continentale, Base Carbone</v>
      </c>
      <c r="G1474" s="1055" t="str">
        <f t="shared" si="177"/>
        <v>Litchi, pulpe, cru, France continentale, Base Carbone; kgCO2e/kg de produit</v>
      </c>
      <c r="I1474" s="2018" t="s">
        <v>4557</v>
      </c>
      <c r="J1474" s="1135" t="s">
        <v>4654</v>
      </c>
      <c r="K1474" s="1119" t="s">
        <v>1567</v>
      </c>
      <c r="L1474" s="1135" t="s">
        <v>1571</v>
      </c>
      <c r="M1474" s="2038">
        <v>0.5</v>
      </c>
      <c r="N1474" s="1135"/>
      <c r="O1474" s="2340">
        <v>0.48</v>
      </c>
      <c r="P1474" s="1135"/>
      <c r="Q1474" s="1135"/>
      <c r="R1474" s="1135"/>
      <c r="S1474" s="1135"/>
      <c r="T1474" s="1135"/>
      <c r="U1474" s="2041"/>
    </row>
    <row r="1475" spans="2:21" hidden="1" outlineLevel="2">
      <c r="B1475" s="1050">
        <v>80</v>
      </c>
      <c r="C1475" s="1050" t="str">
        <f t="shared" si="174"/>
        <v>Lupin, graine crue, France continentale, Base Carbone</v>
      </c>
      <c r="D1475" s="1051">
        <f t="shared" si="175"/>
        <v>80</v>
      </c>
      <c r="E1475" s="1051" t="str">
        <f>IF(COUNTIF(E$1395:E1474,F1475)&gt;0,"",F1475)</f>
        <v>Lupin, graine crue, France continentale, Base Carbone</v>
      </c>
      <c r="F1475" s="1051" t="str">
        <f t="shared" si="176"/>
        <v>Lupin, graine crue, France continentale, Base Carbone</v>
      </c>
      <c r="G1475" s="1055" t="str">
        <f t="shared" si="177"/>
        <v>Lupin, graine crue, France continentale, Base Carbone; kgCO2e/kg de produit</v>
      </c>
      <c r="I1475" s="2018" t="s">
        <v>4558</v>
      </c>
      <c r="J1475" s="1135" t="s">
        <v>4654</v>
      </c>
      <c r="K1475" s="1119" t="s">
        <v>1567</v>
      </c>
      <c r="L1475" s="1135" t="s">
        <v>1571</v>
      </c>
      <c r="M1475" s="2038">
        <v>0.5</v>
      </c>
      <c r="N1475" s="1135"/>
      <c r="O1475" s="2340">
        <v>1.23</v>
      </c>
      <c r="P1475" s="1135"/>
      <c r="Q1475" s="1135"/>
      <c r="R1475" s="1135"/>
      <c r="S1475" s="1135"/>
      <c r="T1475" s="1135"/>
      <c r="U1475" s="2041"/>
    </row>
    <row r="1476" spans="2:21" hidden="1" outlineLevel="2">
      <c r="B1476" s="1050">
        <v>81</v>
      </c>
      <c r="C1476" s="1050" t="str">
        <f t="shared" si="174"/>
        <v>Luzerne, graine, France continentale, Base Carbone</v>
      </c>
      <c r="D1476" s="1051">
        <f t="shared" si="175"/>
        <v>81</v>
      </c>
      <c r="E1476" s="1051" t="str">
        <f>IF(COUNTIF(E$1395:E1475,F1476)&gt;0,"",F1476)</f>
        <v>Luzerne, graine, France continentale, Base Carbone</v>
      </c>
      <c r="F1476" s="1051" t="str">
        <f t="shared" si="176"/>
        <v>Luzerne, graine, France continentale, Base Carbone</v>
      </c>
      <c r="G1476" s="1055" t="str">
        <f t="shared" si="177"/>
        <v>Luzerne, graine, France continentale, Base Carbone; kgCO2e/kg de produit</v>
      </c>
      <c r="I1476" s="2018" t="s">
        <v>4559</v>
      </c>
      <c r="J1476" s="1135" t="s">
        <v>4654</v>
      </c>
      <c r="K1476" s="1119" t="s">
        <v>1567</v>
      </c>
      <c r="L1476" s="1135" t="s">
        <v>1571</v>
      </c>
      <c r="M1476" s="2038">
        <v>0.5</v>
      </c>
      <c r="N1476" s="1135"/>
      <c r="O1476" s="2340">
        <v>3.75</v>
      </c>
      <c r="P1476" s="1135"/>
      <c r="Q1476" s="1135"/>
      <c r="R1476" s="1135"/>
      <c r="S1476" s="1135"/>
      <c r="T1476" s="1135"/>
      <c r="U1476" s="2041"/>
    </row>
    <row r="1477" spans="2:21" hidden="1" outlineLevel="2">
      <c r="B1477" s="1050">
        <v>82</v>
      </c>
      <c r="C1477" s="1050" t="str">
        <f t="shared" si="174"/>
        <v>Macédoine de légumes, appertisée, égouttée, France continentale, Base Carbone</v>
      </c>
      <c r="D1477" s="1051">
        <f t="shared" si="175"/>
        <v>82</v>
      </c>
      <c r="E1477" s="1051" t="str">
        <f>IF(COUNTIF(E$1395:E1476,F1477)&gt;0,"",F1477)</f>
        <v>Macédoine de légumes, appertisée, égouttée, France continentale, Base Carbone</v>
      </c>
      <c r="F1477" s="1051" t="str">
        <f t="shared" si="176"/>
        <v>Macédoine de légumes, appertisée, égouttée, France continentale, Base Carbone</v>
      </c>
      <c r="G1477" s="1055" t="str">
        <f t="shared" si="177"/>
        <v>Macédoine de légumes, appertisée, égouttée, France continentale, Base Carbone; kgCO2e/kg de produit</v>
      </c>
      <c r="I1477" s="2018" t="s">
        <v>4560</v>
      </c>
      <c r="J1477" s="1135" t="s">
        <v>4654</v>
      </c>
      <c r="K1477" s="1119" t="s">
        <v>1567</v>
      </c>
      <c r="L1477" s="1135" t="s">
        <v>1571</v>
      </c>
      <c r="M1477" s="2038">
        <v>0.5</v>
      </c>
      <c r="N1477" s="1135"/>
      <c r="O1477" s="2340">
        <v>1.1200000000000001</v>
      </c>
      <c r="P1477" s="1135"/>
      <c r="Q1477" s="1135"/>
      <c r="R1477" s="1135"/>
      <c r="S1477" s="1135"/>
      <c r="T1477" s="1135"/>
      <c r="U1477" s="2041"/>
    </row>
    <row r="1478" spans="2:21" hidden="1" outlineLevel="2">
      <c r="B1478" s="1050">
        <v>83</v>
      </c>
      <c r="C1478" s="1050" t="str">
        <f t="shared" si="174"/>
        <v>Macédoine ou cocktail ou salade de fruits, au sirop, appertisé, non égoutté, France continentale, Base Carbone</v>
      </c>
      <c r="D1478" s="1051">
        <f t="shared" si="175"/>
        <v>83</v>
      </c>
      <c r="E1478" s="1051" t="str">
        <f>IF(COUNTIF(E$1395:E1477,F1478)&gt;0,"",F1478)</f>
        <v>Macédoine ou cocktail ou salade de fruits, au sirop, appertisé, non égoutté, France continentale, Base Carbone</v>
      </c>
      <c r="F1478" s="1051" t="str">
        <f t="shared" si="176"/>
        <v>Macédoine ou cocktail ou salade de fruits, au sirop, appertisé, non égoutté, France continentale, Base Carbone</v>
      </c>
      <c r="G1478" s="1055" t="str">
        <f t="shared" si="177"/>
        <v>Macédoine ou cocktail ou salade de fruits, au sirop, appertisé, non égoutté, France continentale, Base Carbone; kgCO2e/kg de produit</v>
      </c>
      <c r="I1478" s="2018" t="s">
        <v>4561</v>
      </c>
      <c r="J1478" s="1135" t="s">
        <v>4654</v>
      </c>
      <c r="K1478" s="1119" t="s">
        <v>1567</v>
      </c>
      <c r="L1478" s="1135" t="s">
        <v>1571</v>
      </c>
      <c r="M1478" s="2038">
        <v>0.5</v>
      </c>
      <c r="N1478" s="1135"/>
      <c r="O1478" s="2340">
        <v>0.69</v>
      </c>
      <c r="P1478" s="1135"/>
      <c r="Q1478" s="1135"/>
      <c r="R1478" s="1135"/>
      <c r="S1478" s="1135"/>
      <c r="T1478" s="1135"/>
      <c r="U1478" s="2041"/>
    </row>
    <row r="1479" spans="2:21" hidden="1" outlineLevel="2">
      <c r="B1479" s="1050">
        <v>84</v>
      </c>
      <c r="C1479" s="1050" t="str">
        <f t="shared" si="174"/>
        <v>Mâche, crue, France continentale, Base Carbone</v>
      </c>
      <c r="D1479" s="1051">
        <f t="shared" si="175"/>
        <v>84</v>
      </c>
      <c r="E1479" s="1051" t="str">
        <f>IF(COUNTIF(E$1395:E1478,F1479)&gt;0,"",F1479)</f>
        <v>Mâche, crue, France continentale, Base Carbone</v>
      </c>
      <c r="F1479" s="1051" t="str">
        <f t="shared" si="176"/>
        <v>Mâche, crue, France continentale, Base Carbone</v>
      </c>
      <c r="G1479" s="1055" t="str">
        <f t="shared" si="177"/>
        <v>Mâche, crue, France continentale, Base Carbone; kgCO2e/kg de produit</v>
      </c>
      <c r="I1479" s="2018" t="s">
        <v>4562</v>
      </c>
      <c r="J1479" s="1135" t="s">
        <v>4654</v>
      </c>
      <c r="K1479" s="1119" t="s">
        <v>1567</v>
      </c>
      <c r="L1479" s="1135" t="s">
        <v>1571</v>
      </c>
      <c r="M1479" s="2038">
        <v>0.5</v>
      </c>
      <c r="N1479" s="1135"/>
      <c r="O1479" s="2340">
        <v>0.88251447999999999</v>
      </c>
      <c r="P1479" s="1135"/>
      <c r="Q1479" s="1135"/>
      <c r="R1479" s="1135"/>
      <c r="S1479" s="1135"/>
      <c r="T1479" s="1135"/>
      <c r="U1479" s="2041"/>
    </row>
    <row r="1480" spans="2:21" hidden="1" outlineLevel="2">
      <c r="B1480" s="1050">
        <v>85</v>
      </c>
      <c r="C1480" s="1050" t="str">
        <f t="shared" si="174"/>
        <v>Maïs doux, en épis, cuit, France continentale, Base Carbone</v>
      </c>
      <c r="D1480" s="1051">
        <f t="shared" si="175"/>
        <v>85</v>
      </c>
      <c r="E1480" s="1051" t="str">
        <f>IF(COUNTIF(E$1395:E1479,F1480)&gt;0,"",F1480)</f>
        <v>Maïs doux, en épis, cuit, France continentale, Base Carbone</v>
      </c>
      <c r="F1480" s="1051" t="str">
        <f t="shared" si="176"/>
        <v>Maïs doux, en épis, cuit, France continentale, Base Carbone</v>
      </c>
      <c r="G1480" s="1055" t="str">
        <f t="shared" si="177"/>
        <v>Maïs doux, en épis, cuit, France continentale, Base Carbone; kgCO2e/kg de produit</v>
      </c>
      <c r="I1480" s="2018" t="s">
        <v>4563</v>
      </c>
      <c r="J1480" s="1135" t="s">
        <v>4654</v>
      </c>
      <c r="K1480" s="1119" t="s">
        <v>1567</v>
      </c>
      <c r="L1480" s="1135" t="s">
        <v>1571</v>
      </c>
      <c r="M1480" s="2038">
        <v>0.5</v>
      </c>
      <c r="N1480" s="1135"/>
      <c r="O1480" s="2340">
        <v>1.24</v>
      </c>
      <c r="P1480" s="1135"/>
      <c r="Q1480" s="1135"/>
      <c r="R1480" s="1135"/>
      <c r="S1480" s="1135"/>
      <c r="T1480" s="1135"/>
      <c r="U1480" s="2041"/>
    </row>
    <row r="1481" spans="2:21" hidden="1" outlineLevel="2">
      <c r="B1481" s="1050">
        <v>86</v>
      </c>
      <c r="C1481" s="1050" t="str">
        <f t="shared" si="174"/>
        <v>Mandarine, pulpe, crue, France continentale, Base Carbone</v>
      </c>
      <c r="D1481" s="1051">
        <f t="shared" si="175"/>
        <v>86</v>
      </c>
      <c r="E1481" s="1051" t="str">
        <f>IF(COUNTIF(E$1395:E1480,F1481)&gt;0,"",F1481)</f>
        <v>Mandarine, pulpe, crue, France continentale, Base Carbone</v>
      </c>
      <c r="F1481" s="1051" t="str">
        <f t="shared" si="176"/>
        <v>Mandarine, pulpe, crue, France continentale, Base Carbone</v>
      </c>
      <c r="G1481" s="1055" t="str">
        <f t="shared" si="177"/>
        <v>Mandarine, pulpe, crue, France continentale, Base Carbone; kgCO2e/kg de produit</v>
      </c>
      <c r="I1481" s="2018" t="s">
        <v>4564</v>
      </c>
      <c r="J1481" s="1135" t="s">
        <v>4654</v>
      </c>
      <c r="K1481" s="1119" t="s">
        <v>1567</v>
      </c>
      <c r="L1481" s="1135" t="s">
        <v>1571</v>
      </c>
      <c r="M1481" s="2038">
        <v>0.5</v>
      </c>
      <c r="N1481" s="1135"/>
      <c r="O1481" s="2340">
        <v>0.70799999999999996</v>
      </c>
      <c r="P1481" s="1135"/>
      <c r="Q1481" s="1135"/>
      <c r="R1481" s="1135"/>
      <c r="S1481" s="1135"/>
      <c r="T1481" s="1135"/>
      <c r="U1481" s="2041"/>
    </row>
    <row r="1482" spans="2:21" hidden="1" outlineLevel="2">
      <c r="B1482" s="1050">
        <v>87</v>
      </c>
      <c r="C1482" s="1050" t="str">
        <f t="shared" si="174"/>
        <v>Mangue importée par avion, pulpe, crue, France continentale, Base Carbone</v>
      </c>
      <c r="D1482" s="1051">
        <f t="shared" si="175"/>
        <v>87</v>
      </c>
      <c r="E1482" s="1051" t="str">
        <f>IF(COUNTIF(E$1395:E1481,F1482)&gt;0,"",F1482)</f>
        <v>Mangue importée par avion, pulpe, crue, France continentale, Base Carbone</v>
      </c>
      <c r="F1482" s="1051" t="str">
        <f t="shared" si="176"/>
        <v>Mangue importée par avion, pulpe, crue, France continentale, Base Carbone</v>
      </c>
      <c r="G1482" s="1055" t="str">
        <f t="shared" si="177"/>
        <v>Mangue importée par avion, pulpe, crue, France continentale, Base Carbone; kgCO2e/kg de produit</v>
      </c>
      <c r="I1482" s="2018" t="s">
        <v>4565</v>
      </c>
      <c r="J1482" s="1135" t="s">
        <v>4654</v>
      </c>
      <c r="K1482" s="1119" t="s">
        <v>1567</v>
      </c>
      <c r="L1482" s="1135" t="s">
        <v>1571</v>
      </c>
      <c r="M1482" s="2038">
        <v>0.5</v>
      </c>
      <c r="N1482" s="1135"/>
      <c r="O1482" s="2340">
        <v>14.9</v>
      </c>
      <c r="P1482" s="1135"/>
      <c r="Q1482" s="1135"/>
      <c r="R1482" s="1135"/>
      <c r="S1482" s="1135"/>
      <c r="T1482" s="1135"/>
      <c r="U1482" s="2041"/>
    </row>
    <row r="1483" spans="2:21" hidden="1" outlineLevel="2">
      <c r="B1483" s="1050">
        <v>88</v>
      </c>
      <c r="C1483" s="1050" t="str">
        <f t="shared" si="174"/>
        <v>Mangue importée par bateau, pulpe, crue, France continentale, Base Carbone</v>
      </c>
      <c r="D1483" s="1051">
        <f t="shared" si="175"/>
        <v>88</v>
      </c>
      <c r="E1483" s="1051" t="str">
        <f>IF(COUNTIF(E$1395:E1482,F1483)&gt;0,"",F1483)</f>
        <v>Mangue importée par bateau, pulpe, crue, France continentale, Base Carbone</v>
      </c>
      <c r="F1483" s="1051" t="str">
        <f t="shared" si="176"/>
        <v>Mangue importée par bateau, pulpe, crue, France continentale, Base Carbone</v>
      </c>
      <c r="G1483" s="1055" t="str">
        <f t="shared" si="177"/>
        <v>Mangue importée par bateau, pulpe, crue, France continentale, Base Carbone; kgCO2e/kg de produit</v>
      </c>
      <c r="I1483" s="2018" t="s">
        <v>4566</v>
      </c>
      <c r="J1483" s="1135" t="s">
        <v>4654</v>
      </c>
      <c r="K1483" s="1119" t="s">
        <v>1567</v>
      </c>
      <c r="L1483" s="1135" t="s">
        <v>1571</v>
      </c>
      <c r="M1483" s="2038">
        <v>0.5</v>
      </c>
      <c r="N1483" s="1135"/>
      <c r="O1483" s="2340">
        <v>0.65500000000000003</v>
      </c>
      <c r="P1483" s="1135"/>
      <c r="Q1483" s="1135"/>
      <c r="R1483" s="1135"/>
      <c r="S1483" s="1135"/>
      <c r="T1483" s="1135"/>
      <c r="U1483" s="2041"/>
    </row>
    <row r="1484" spans="2:21" hidden="1" outlineLevel="2">
      <c r="B1484" s="1050">
        <v>89</v>
      </c>
      <c r="C1484" s="1050" t="str">
        <f t="shared" si="174"/>
        <v>Manioc, racine cuite, France continentale, Base Carbone</v>
      </c>
      <c r="D1484" s="1051">
        <f t="shared" si="175"/>
        <v>89</v>
      </c>
      <c r="E1484" s="1051" t="str">
        <f>IF(COUNTIF(E$1395:E1483,F1484)&gt;0,"",F1484)</f>
        <v>Manioc, racine cuite, France continentale, Base Carbone</v>
      </c>
      <c r="F1484" s="1051" t="str">
        <f t="shared" si="176"/>
        <v>Manioc, racine cuite, France continentale, Base Carbone</v>
      </c>
      <c r="G1484" s="1055" t="str">
        <f t="shared" si="177"/>
        <v>Manioc, racine cuite, France continentale, Base Carbone; kgCO2e/kg de produit</v>
      </c>
      <c r="I1484" s="2018" t="s">
        <v>4567</v>
      </c>
      <c r="J1484" s="1135" t="s">
        <v>4654</v>
      </c>
      <c r="K1484" s="1119" t="s">
        <v>1567</v>
      </c>
      <c r="L1484" s="1135" t="s">
        <v>1571</v>
      </c>
      <c r="M1484" s="2038">
        <v>0.5</v>
      </c>
      <c r="N1484" s="1135"/>
      <c r="O1484" s="2340">
        <v>1.42</v>
      </c>
      <c r="P1484" s="1135"/>
      <c r="Q1484" s="1135"/>
      <c r="R1484" s="1135"/>
      <c r="S1484" s="1135"/>
      <c r="T1484" s="1135"/>
      <c r="U1484" s="2041"/>
    </row>
    <row r="1485" spans="2:21" hidden="1" outlineLevel="2">
      <c r="B1485" s="1050">
        <v>90</v>
      </c>
      <c r="C1485" s="1050" t="str">
        <f t="shared" si="174"/>
        <v>Mélange apéritif de graines (non salées) et fruits séchés, France continentale, Base Carbone</v>
      </c>
      <c r="D1485" s="1051">
        <f t="shared" si="175"/>
        <v>90</v>
      </c>
      <c r="E1485" s="1051" t="str">
        <f>IF(COUNTIF(E$1395:E1484,F1485)&gt;0,"",F1485)</f>
        <v>Mélange apéritif de graines (non salées) et fruits séchés, France continentale, Base Carbone</v>
      </c>
      <c r="F1485" s="1051" t="str">
        <f t="shared" si="176"/>
        <v>Mélange apéritif de graines (non salées) et fruits séchés, France continentale, Base Carbone</v>
      </c>
      <c r="G1485" s="1055" t="str">
        <f t="shared" si="177"/>
        <v>Mélange apéritif de graines (non salées) et fruits séchés, France continentale, Base Carbone; kgCO2e/kg de produit</v>
      </c>
      <c r="I1485" s="2018" t="s">
        <v>4568</v>
      </c>
      <c r="J1485" s="1135" t="s">
        <v>4654</v>
      </c>
      <c r="K1485" s="1119" t="s">
        <v>1567</v>
      </c>
      <c r="L1485" s="1135" t="s">
        <v>1571</v>
      </c>
      <c r="M1485" s="2038">
        <v>0.5</v>
      </c>
      <c r="N1485" s="1135"/>
      <c r="O1485" s="2340">
        <v>3.17</v>
      </c>
      <c r="P1485" s="1135"/>
      <c r="Q1485" s="1135"/>
      <c r="R1485" s="1135"/>
      <c r="S1485" s="1135"/>
      <c r="T1485" s="1135"/>
      <c r="U1485" s="2041"/>
    </row>
    <row r="1486" spans="2:21" hidden="1" outlineLevel="2">
      <c r="B1486" s="1050">
        <v>91</v>
      </c>
      <c r="C1486" s="1050" t="str">
        <f t="shared" si="174"/>
        <v>Melon cantaloup (par ex.: Charentais, de Cavaillon) pulpe, cru, France continentale, Base Carbone</v>
      </c>
      <c r="D1486" s="1051">
        <f t="shared" si="175"/>
        <v>91</v>
      </c>
      <c r="E1486" s="1051" t="str">
        <f>IF(COUNTIF(E$1395:E1485,F1486)&gt;0,"",F1486)</f>
        <v>Melon cantaloup (par ex.: Charentais, de Cavaillon) pulpe, cru, France continentale, Base Carbone</v>
      </c>
      <c r="F1486" s="1051" t="str">
        <f t="shared" si="176"/>
        <v>Melon cantaloup (par ex.: Charentais, de Cavaillon) pulpe, cru, France continentale, Base Carbone</v>
      </c>
      <c r="G1486" s="1055" t="str">
        <f t="shared" si="177"/>
        <v>Melon cantaloup (par ex.: Charentais, de Cavaillon) pulpe, cru, France continentale, Base Carbone; kgCO2e/kg de produit</v>
      </c>
      <c r="I1486" s="2018" t="s">
        <v>4569</v>
      </c>
      <c r="J1486" s="1135" t="s">
        <v>4654</v>
      </c>
      <c r="K1486" s="1119" t="s">
        <v>1567</v>
      </c>
      <c r="L1486" s="1135" t="s">
        <v>1571</v>
      </c>
      <c r="M1486" s="2038">
        <v>0.5</v>
      </c>
      <c r="N1486" s="1135"/>
      <c r="O1486" s="2340">
        <v>0.87227001999999998</v>
      </c>
      <c r="P1486" s="1135"/>
      <c r="Q1486" s="1135"/>
      <c r="R1486" s="1135"/>
      <c r="S1486" s="1135"/>
      <c r="T1486" s="1135"/>
      <c r="U1486" s="2041"/>
    </row>
    <row r="1487" spans="2:21" hidden="1" outlineLevel="2">
      <c r="B1487" s="1050">
        <v>92</v>
      </c>
      <c r="C1487" s="1050" t="str">
        <f t="shared" si="174"/>
        <v>Mesclun ou salade, mélange de jeunes pousses, France continentale, Base Carbone</v>
      </c>
      <c r="D1487" s="1051">
        <f t="shared" si="175"/>
        <v>92</v>
      </c>
      <c r="E1487" s="1051" t="str">
        <f>IF(COUNTIF(E$1395:E1486,F1487)&gt;0,"",F1487)</f>
        <v>Mesclun ou salade, mélange de jeunes pousses, France continentale, Base Carbone</v>
      </c>
      <c r="F1487" s="1051" t="str">
        <f t="shared" si="176"/>
        <v>Mesclun ou salade, mélange de jeunes pousses, France continentale, Base Carbone</v>
      </c>
      <c r="G1487" s="1055" t="str">
        <f t="shared" si="177"/>
        <v>Mesclun ou salade, mélange de jeunes pousses, France continentale, Base Carbone; kgCO2e/kg de produit</v>
      </c>
      <c r="I1487" s="2018" t="s">
        <v>4570</v>
      </c>
      <c r="J1487" s="1135" t="s">
        <v>4654</v>
      </c>
      <c r="K1487" s="1119" t="s">
        <v>1567</v>
      </c>
      <c r="L1487" s="1135" t="s">
        <v>1571</v>
      </c>
      <c r="M1487" s="2038">
        <v>0.5</v>
      </c>
      <c r="N1487" s="1135"/>
      <c r="O1487" s="2340">
        <v>1.1100000000000001</v>
      </c>
      <c r="P1487" s="1135"/>
      <c r="Q1487" s="1135"/>
      <c r="R1487" s="1135"/>
      <c r="S1487" s="1135"/>
      <c r="T1487" s="1135"/>
      <c r="U1487" s="2041"/>
    </row>
    <row r="1488" spans="2:21" hidden="1" outlineLevel="2">
      <c r="B1488" s="1050">
        <v>93</v>
      </c>
      <c r="C1488" s="1050" t="str">
        <f t="shared" si="174"/>
        <v>Mûre (de ronce), crue, France continentale, Base Carbone</v>
      </c>
      <c r="D1488" s="1051">
        <f t="shared" si="175"/>
        <v>93</v>
      </c>
      <c r="E1488" s="1051" t="str">
        <f>IF(COUNTIF(E$1395:E1487,F1488)&gt;0,"",F1488)</f>
        <v>Mûre (de ronce), crue, France continentale, Base Carbone</v>
      </c>
      <c r="F1488" s="1051" t="str">
        <f t="shared" si="176"/>
        <v>Mûre (de ronce), crue, France continentale, Base Carbone</v>
      </c>
      <c r="G1488" s="1055" t="str">
        <f t="shared" si="177"/>
        <v>Mûre (de ronce), crue, France continentale, Base Carbone; kgCO2e/kg de produit</v>
      </c>
      <c r="I1488" s="2018" t="s">
        <v>4571</v>
      </c>
      <c r="J1488" s="1135" t="s">
        <v>4654</v>
      </c>
      <c r="K1488" s="1119" t="s">
        <v>1567</v>
      </c>
      <c r="L1488" s="1135" t="s">
        <v>1571</v>
      </c>
      <c r="M1488" s="2038">
        <v>0.5</v>
      </c>
      <c r="N1488" s="1135"/>
      <c r="O1488" s="2340">
        <v>0.627</v>
      </c>
      <c r="P1488" s="1135"/>
      <c r="Q1488" s="1135"/>
      <c r="R1488" s="1135"/>
      <c r="S1488" s="1135"/>
      <c r="T1488" s="1135"/>
      <c r="U1488" s="2041"/>
    </row>
    <row r="1489" spans="2:21" hidden="1" outlineLevel="2">
      <c r="B1489" s="1050">
        <v>94</v>
      </c>
      <c r="C1489" s="1050" t="str">
        <f t="shared" si="174"/>
        <v>Myrtille, crue, France continentale, Base Carbone</v>
      </c>
      <c r="D1489" s="1051">
        <f t="shared" si="175"/>
        <v>94</v>
      </c>
      <c r="E1489" s="1051" t="str">
        <f>IF(COUNTIF(E$1395:E1488,F1489)&gt;0,"",F1489)</f>
        <v>Myrtille, crue, France continentale, Base Carbone</v>
      </c>
      <c r="F1489" s="1051" t="str">
        <f t="shared" si="176"/>
        <v>Myrtille, crue, France continentale, Base Carbone</v>
      </c>
      <c r="G1489" s="1055" t="str">
        <f t="shared" si="177"/>
        <v>Myrtille, crue, France continentale, Base Carbone; kgCO2e/kg de produit</v>
      </c>
      <c r="I1489" s="2018" t="s">
        <v>4572</v>
      </c>
      <c r="J1489" s="1135" t="s">
        <v>4654</v>
      </c>
      <c r="K1489" s="1119" t="s">
        <v>1567</v>
      </c>
      <c r="L1489" s="1135" t="s">
        <v>1571</v>
      </c>
      <c r="M1489" s="2038">
        <v>0.5</v>
      </c>
      <c r="N1489" s="1135"/>
      <c r="O1489" s="2340">
        <v>1.38</v>
      </c>
      <c r="P1489" s="1135"/>
      <c r="Q1489" s="1135"/>
      <c r="R1489" s="1135"/>
      <c r="S1489" s="1135"/>
      <c r="T1489" s="1135"/>
      <c r="U1489" s="2041"/>
    </row>
    <row r="1490" spans="2:21" hidden="1" outlineLevel="2">
      <c r="B1490" s="1050">
        <v>95</v>
      </c>
      <c r="C1490" s="1050" t="str">
        <f t="shared" si="174"/>
        <v>Navet, cuit, France continentale, Base Carbone</v>
      </c>
      <c r="D1490" s="1051">
        <f t="shared" si="175"/>
        <v>95</v>
      </c>
      <c r="E1490" s="1051" t="str">
        <f>IF(COUNTIF(E$1395:E1489,F1490)&gt;0,"",F1490)</f>
        <v>Navet, cuit, France continentale, Base Carbone</v>
      </c>
      <c r="F1490" s="1051" t="str">
        <f t="shared" si="176"/>
        <v>Navet, cuit, France continentale, Base Carbone</v>
      </c>
      <c r="G1490" s="1055" t="str">
        <f t="shared" si="177"/>
        <v>Navet, cuit, France continentale, Base Carbone; kgCO2e/kg de produit</v>
      </c>
      <c r="I1490" s="2018" t="s">
        <v>4573</v>
      </c>
      <c r="J1490" s="1135" t="s">
        <v>4654</v>
      </c>
      <c r="K1490" s="1119" t="s">
        <v>1567</v>
      </c>
      <c r="L1490" s="1135" t="s">
        <v>1571</v>
      </c>
      <c r="M1490" s="2038">
        <v>0.5</v>
      </c>
      <c r="N1490" s="1135"/>
      <c r="O1490" s="2340">
        <v>1.05</v>
      </c>
      <c r="P1490" s="1135"/>
      <c r="Q1490" s="1135"/>
      <c r="R1490" s="1135"/>
      <c r="S1490" s="1135"/>
      <c r="T1490" s="1135"/>
      <c r="U1490" s="2041"/>
    </row>
    <row r="1491" spans="2:21" hidden="1" outlineLevel="2">
      <c r="B1491" s="1050">
        <v>96</v>
      </c>
      <c r="C1491" s="1050" t="str">
        <f t="shared" si="174"/>
        <v>Nectarine ou brugnon, pulpe et peau, crue, France continentale, Base Carbone</v>
      </c>
      <c r="D1491" s="1051">
        <f t="shared" si="175"/>
        <v>96</v>
      </c>
      <c r="E1491" s="1051" t="str">
        <f>IF(COUNTIF(E$1395:E1490,F1491)&gt;0,"",F1491)</f>
        <v>Nectarine ou brugnon, pulpe et peau, crue, France continentale, Base Carbone</v>
      </c>
      <c r="F1491" s="1051" t="str">
        <f t="shared" si="176"/>
        <v>Nectarine ou brugnon, pulpe et peau, crue, France continentale, Base Carbone</v>
      </c>
      <c r="G1491" s="1055" t="str">
        <f t="shared" si="177"/>
        <v>Nectarine ou brugnon, pulpe et peau, crue, France continentale, Base Carbone; kgCO2e/kg de produit</v>
      </c>
      <c r="I1491" s="2018" t="s">
        <v>4574</v>
      </c>
      <c r="J1491" s="1135" t="s">
        <v>4654</v>
      </c>
      <c r="K1491" s="1119" t="s">
        <v>1567</v>
      </c>
      <c r="L1491" s="1135" t="s">
        <v>1571</v>
      </c>
      <c r="M1491" s="2038">
        <v>0.5</v>
      </c>
      <c r="N1491" s="1135"/>
      <c r="O1491" s="2340">
        <v>0.57199999999999995</v>
      </c>
      <c r="P1491" s="1135"/>
      <c r="Q1491" s="1135"/>
      <c r="R1491" s="1135"/>
      <c r="S1491" s="1135"/>
      <c r="T1491" s="1135"/>
      <c r="U1491" s="2041"/>
    </row>
    <row r="1492" spans="2:21" hidden="1" outlineLevel="2">
      <c r="B1492" s="1050">
        <v>97</v>
      </c>
      <c r="C1492" s="1050" t="str">
        <f t="shared" si="174"/>
        <v>Noisette, France continentale, Base Carbone</v>
      </c>
      <c r="D1492" s="1051">
        <f t="shared" si="175"/>
        <v>97</v>
      </c>
      <c r="E1492" s="1051" t="str">
        <f>IF(COUNTIF(E$1395:E1491,F1492)&gt;0,"",F1492)</f>
        <v>Noisette, France continentale, Base Carbone</v>
      </c>
      <c r="F1492" s="1051" t="str">
        <f t="shared" si="176"/>
        <v>Noisette, France continentale, Base Carbone</v>
      </c>
      <c r="G1492" s="1055" t="str">
        <f t="shared" si="177"/>
        <v>Noisette, France continentale, Base Carbone; kgCO2e/kg de produit</v>
      </c>
      <c r="I1492" s="2018" t="s">
        <v>4575</v>
      </c>
      <c r="J1492" s="1135" t="s">
        <v>4654</v>
      </c>
      <c r="K1492" s="1119" t="s">
        <v>1567</v>
      </c>
      <c r="L1492" s="1135" t="s">
        <v>1571</v>
      </c>
      <c r="M1492" s="2038">
        <v>0.5</v>
      </c>
      <c r="N1492" s="1135"/>
      <c r="O1492" s="2340">
        <v>4.51</v>
      </c>
      <c r="P1492" s="1135"/>
      <c r="Q1492" s="1135"/>
      <c r="R1492" s="1135"/>
      <c r="S1492" s="1135"/>
      <c r="T1492" s="1135"/>
      <c r="U1492" s="2041"/>
    </row>
    <row r="1493" spans="2:21" hidden="1" outlineLevel="2">
      <c r="B1493" s="1050">
        <v>98</v>
      </c>
      <c r="C1493" s="1050" t="str">
        <f t="shared" si="174"/>
        <v>Noix de cajou, grillée, salée, France continentale, Base Carbone</v>
      </c>
      <c r="D1493" s="1051">
        <f t="shared" si="175"/>
        <v>98</v>
      </c>
      <c r="E1493" s="1051" t="str">
        <f>IF(COUNTIF(E$1395:E1492,F1493)&gt;0,"",F1493)</f>
        <v>Noix de cajou, grillée, salée, France continentale, Base Carbone</v>
      </c>
      <c r="F1493" s="1051" t="str">
        <f t="shared" si="176"/>
        <v>Noix de cajou, grillée, salée, France continentale, Base Carbone</v>
      </c>
      <c r="G1493" s="1055" t="str">
        <f t="shared" si="177"/>
        <v>Noix de cajou, grillée, salée, France continentale, Base Carbone; kgCO2e/kg de produit</v>
      </c>
      <c r="I1493" s="2018" t="s">
        <v>4576</v>
      </c>
      <c r="J1493" s="1135" t="s">
        <v>4654</v>
      </c>
      <c r="K1493" s="1119" t="s">
        <v>1567</v>
      </c>
      <c r="L1493" s="1135" t="s">
        <v>1571</v>
      </c>
      <c r="M1493" s="2038">
        <v>0.5</v>
      </c>
      <c r="N1493" s="1135"/>
      <c r="O1493" s="2340">
        <v>8.4499999999999993</v>
      </c>
      <c r="P1493" s="1135"/>
      <c r="Q1493" s="1135"/>
      <c r="R1493" s="1135"/>
      <c r="S1493" s="1135"/>
      <c r="T1493" s="1135"/>
      <c r="U1493" s="2041"/>
    </row>
    <row r="1494" spans="2:21" hidden="1" outlineLevel="2">
      <c r="B1494" s="1050">
        <v>99</v>
      </c>
      <c r="C1494" s="1050" t="str">
        <f t="shared" si="174"/>
        <v>Noix de coco, amande, sèche, France continentale, Base Carbone</v>
      </c>
      <c r="D1494" s="1051">
        <f t="shared" si="175"/>
        <v>99</v>
      </c>
      <c r="E1494" s="1051" t="str">
        <f>IF(COUNTIF(E$1395:E1493,F1494)&gt;0,"",F1494)</f>
        <v>Noix de coco, amande, sèche, France continentale, Base Carbone</v>
      </c>
      <c r="F1494" s="1051" t="str">
        <f t="shared" si="176"/>
        <v>Noix de coco, amande, sèche, France continentale, Base Carbone</v>
      </c>
      <c r="G1494" s="1055" t="str">
        <f t="shared" si="177"/>
        <v>Noix de coco, amande, sèche, France continentale, Base Carbone; kgCO2e/kg de produit</v>
      </c>
      <c r="I1494" s="2018" t="s">
        <v>4577</v>
      </c>
      <c r="J1494" s="1135" t="s">
        <v>4654</v>
      </c>
      <c r="K1494" s="1119" t="s">
        <v>1567</v>
      </c>
      <c r="L1494" s="1135" t="s">
        <v>1571</v>
      </c>
      <c r="M1494" s="2038">
        <v>0.5</v>
      </c>
      <c r="N1494" s="1135"/>
      <c r="O1494" s="2340">
        <v>2.94</v>
      </c>
      <c r="P1494" s="1135"/>
      <c r="Q1494" s="1135"/>
      <c r="R1494" s="1135"/>
      <c r="S1494" s="1135"/>
      <c r="T1494" s="1135"/>
      <c r="U1494" s="2041"/>
    </row>
    <row r="1495" spans="2:21" hidden="1" outlineLevel="2">
      <c r="B1495" s="1050">
        <v>100</v>
      </c>
      <c r="C1495" s="1050" t="str">
        <f t="shared" si="174"/>
        <v>Noix de macadamia, France continentale, Base Carbone</v>
      </c>
      <c r="D1495" s="1051">
        <f t="shared" si="175"/>
        <v>100</v>
      </c>
      <c r="E1495" s="1051" t="str">
        <f>IF(COUNTIF(E$1395:E1494,F1495)&gt;0,"",F1495)</f>
        <v>Noix de macadamia, France continentale, Base Carbone</v>
      </c>
      <c r="F1495" s="1051" t="str">
        <f t="shared" si="176"/>
        <v>Noix de macadamia, France continentale, Base Carbone</v>
      </c>
      <c r="G1495" s="1055" t="str">
        <f t="shared" si="177"/>
        <v>Noix de macadamia, France continentale, Base Carbone; kgCO2e/kg de produit</v>
      </c>
      <c r="I1495" s="2018" t="s">
        <v>4578</v>
      </c>
      <c r="J1495" s="1135" t="s">
        <v>4654</v>
      </c>
      <c r="K1495" s="1119" t="s">
        <v>1567</v>
      </c>
      <c r="L1495" s="1135" t="s">
        <v>1571</v>
      </c>
      <c r="M1495" s="2038">
        <v>0.5</v>
      </c>
      <c r="N1495" s="1135"/>
      <c r="O1495" s="2340">
        <v>3.05</v>
      </c>
      <c r="P1495" s="1135"/>
      <c r="Q1495" s="1135"/>
      <c r="R1495" s="1135"/>
      <c r="S1495" s="1135"/>
      <c r="T1495" s="1135"/>
      <c r="U1495" s="2041"/>
    </row>
    <row r="1496" spans="2:21" hidden="1" outlineLevel="2">
      <c r="B1496" s="1050">
        <v>101</v>
      </c>
      <c r="C1496" s="1050" t="str">
        <f t="shared" si="174"/>
        <v>Noix de pécan, France continentale, Base Carbone</v>
      </c>
      <c r="D1496" s="1051">
        <f t="shared" si="175"/>
        <v>101</v>
      </c>
      <c r="E1496" s="1051" t="str">
        <f>IF(COUNTIF(E$1395:E1495,F1496)&gt;0,"",F1496)</f>
        <v>Noix de pécan, France continentale, Base Carbone</v>
      </c>
      <c r="F1496" s="1051" t="str">
        <f t="shared" si="176"/>
        <v>Noix de pécan, France continentale, Base Carbone</v>
      </c>
      <c r="G1496" s="1055" t="str">
        <f t="shared" si="177"/>
        <v>Noix de pécan, France continentale, Base Carbone; kgCO2e/kg de produit</v>
      </c>
      <c r="I1496" s="2018" t="s">
        <v>4579</v>
      </c>
      <c r="J1496" s="1135" t="s">
        <v>4654</v>
      </c>
      <c r="K1496" s="1119" t="s">
        <v>1567</v>
      </c>
      <c r="L1496" s="1135" t="s">
        <v>1571</v>
      </c>
      <c r="M1496" s="2038">
        <v>0.5</v>
      </c>
      <c r="N1496" s="1135"/>
      <c r="O1496" s="2340">
        <v>3.05</v>
      </c>
      <c r="P1496" s="1135"/>
      <c r="Q1496" s="1135"/>
      <c r="R1496" s="1135"/>
      <c r="S1496" s="1135"/>
      <c r="T1496" s="1135"/>
      <c r="U1496" s="2041"/>
    </row>
    <row r="1497" spans="2:21" hidden="1" outlineLevel="2">
      <c r="B1497" s="1050">
        <v>102</v>
      </c>
      <c r="C1497" s="1050" t="str">
        <f t="shared" si="174"/>
        <v>Noix du Brésil, France continentale, Base Carbone</v>
      </c>
      <c r="D1497" s="1051">
        <f t="shared" si="175"/>
        <v>102</v>
      </c>
      <c r="E1497" s="1051" t="str">
        <f>IF(COUNTIF(E$1395:E1496,F1497)&gt;0,"",F1497)</f>
        <v>Noix du Brésil, France continentale, Base Carbone</v>
      </c>
      <c r="F1497" s="1051" t="str">
        <f t="shared" si="176"/>
        <v>Noix du Brésil, France continentale, Base Carbone</v>
      </c>
      <c r="G1497" s="1055" t="str">
        <f t="shared" si="177"/>
        <v>Noix du Brésil, France continentale, Base Carbone; kgCO2e/kg de produit</v>
      </c>
      <c r="I1497" s="2018" t="s">
        <v>4580</v>
      </c>
      <c r="J1497" s="1135" t="s">
        <v>4654</v>
      </c>
      <c r="K1497" s="1119" t="s">
        <v>1567</v>
      </c>
      <c r="L1497" s="1135" t="s">
        <v>1571</v>
      </c>
      <c r="M1497" s="2038">
        <v>0.5</v>
      </c>
      <c r="N1497" s="1135"/>
      <c r="O1497" s="2340">
        <v>7.78</v>
      </c>
      <c r="P1497" s="1135"/>
      <c r="Q1497" s="1135"/>
      <c r="R1497" s="1135"/>
      <c r="S1497" s="1135"/>
      <c r="T1497" s="1135"/>
      <c r="U1497" s="2041"/>
    </row>
    <row r="1498" spans="2:21" hidden="1" outlineLevel="2">
      <c r="B1498" s="1050">
        <v>103</v>
      </c>
      <c r="C1498" s="1050" t="str">
        <f t="shared" si="174"/>
        <v>Noix, fraîche, France continentale, Base Carbone</v>
      </c>
      <c r="D1498" s="1051">
        <f t="shared" si="175"/>
        <v>103</v>
      </c>
      <c r="E1498" s="1051" t="str">
        <f>IF(COUNTIF(E$1395:E1497,F1498)&gt;0,"",F1498)</f>
        <v>Noix, fraîche, France continentale, Base Carbone</v>
      </c>
      <c r="F1498" s="1051" t="str">
        <f t="shared" si="176"/>
        <v>Noix, fraîche, France continentale, Base Carbone</v>
      </c>
      <c r="G1498" s="1055" t="str">
        <f t="shared" si="177"/>
        <v>Noix, fraîche, France continentale, Base Carbone; kgCO2e/kg de produit</v>
      </c>
      <c r="I1498" s="2018" t="s">
        <v>4581</v>
      </c>
      <c r="J1498" s="1135" t="s">
        <v>4654</v>
      </c>
      <c r="K1498" s="1119" t="s">
        <v>1567</v>
      </c>
      <c r="L1498" s="1135" t="s">
        <v>1571</v>
      </c>
      <c r="M1498" s="2038">
        <v>0.5</v>
      </c>
      <c r="N1498" s="1135"/>
      <c r="O1498" s="2340">
        <v>3.79</v>
      </c>
      <c r="P1498" s="1135"/>
      <c r="Q1498" s="1135"/>
      <c r="R1498" s="1135"/>
      <c r="S1498" s="1135"/>
      <c r="T1498" s="1135"/>
      <c r="U1498" s="2041"/>
    </row>
    <row r="1499" spans="2:21" hidden="1" outlineLevel="2">
      <c r="B1499" s="1050">
        <v>104</v>
      </c>
      <c r="C1499" s="1050" t="str">
        <f t="shared" si="174"/>
        <v>Oignon, cuit, France continentale, Base Carbone</v>
      </c>
      <c r="D1499" s="1051">
        <f t="shared" si="175"/>
        <v>104</v>
      </c>
      <c r="E1499" s="1051" t="str">
        <f>IF(COUNTIF(E$1395:E1498,F1499)&gt;0,"",F1499)</f>
        <v>Oignon, cuit, France continentale, Base Carbone</v>
      </c>
      <c r="F1499" s="1051" t="str">
        <f t="shared" si="176"/>
        <v>Oignon, cuit, France continentale, Base Carbone</v>
      </c>
      <c r="G1499" s="1055" t="str">
        <f t="shared" si="177"/>
        <v>Oignon, cuit, France continentale, Base Carbone; kgCO2e/kg de produit</v>
      </c>
      <c r="I1499" s="2018" t="s">
        <v>4582</v>
      </c>
      <c r="J1499" s="1135" t="s">
        <v>4654</v>
      </c>
      <c r="K1499" s="1119" t="s">
        <v>1567</v>
      </c>
      <c r="L1499" s="1135" t="s">
        <v>1571</v>
      </c>
      <c r="M1499" s="2038">
        <v>0.5</v>
      </c>
      <c r="N1499" s="1135"/>
      <c r="O1499" s="2340">
        <v>1.08</v>
      </c>
      <c r="P1499" s="1135"/>
      <c r="Q1499" s="1135"/>
      <c r="R1499" s="1135"/>
      <c r="S1499" s="1135"/>
      <c r="T1499" s="1135"/>
      <c r="U1499" s="2041"/>
    </row>
    <row r="1500" spans="2:21" hidden="1" outlineLevel="2">
      <c r="B1500" s="1050">
        <v>105</v>
      </c>
      <c r="C1500" s="1050" t="str">
        <f t="shared" si="174"/>
        <v>Orange, pulpe, crue, France continentale, Base Carbone</v>
      </c>
      <c r="D1500" s="1051">
        <f t="shared" si="175"/>
        <v>105</v>
      </c>
      <c r="E1500" s="1051" t="str">
        <f>IF(COUNTIF(E$1395:E1499,F1500)&gt;0,"",F1500)</f>
        <v>Orange, pulpe, crue, France continentale, Base Carbone</v>
      </c>
      <c r="F1500" s="1051" t="str">
        <f t="shared" si="176"/>
        <v>Orange, pulpe, crue, France continentale, Base Carbone</v>
      </c>
      <c r="G1500" s="1055" t="str">
        <f t="shared" si="177"/>
        <v>Orange, pulpe, crue, France continentale, Base Carbone; kgCO2e/kg de produit</v>
      </c>
      <c r="I1500" s="2018" t="s">
        <v>4583</v>
      </c>
      <c r="J1500" s="1135" t="s">
        <v>4654</v>
      </c>
      <c r="K1500" s="1119" t="s">
        <v>1567</v>
      </c>
      <c r="L1500" s="1135" t="s">
        <v>1571</v>
      </c>
      <c r="M1500" s="2038">
        <v>0.5</v>
      </c>
      <c r="N1500" s="1135"/>
      <c r="O1500" s="2340">
        <v>0.97</v>
      </c>
      <c r="P1500" s="1135"/>
      <c r="Q1500" s="1135"/>
      <c r="R1500" s="1135"/>
      <c r="S1500" s="1135"/>
      <c r="T1500" s="1135"/>
      <c r="U1500" s="2041"/>
    </row>
    <row r="1501" spans="2:21" hidden="1" outlineLevel="2">
      <c r="B1501" s="1050">
        <v>106</v>
      </c>
      <c r="C1501" s="1050" t="str">
        <f t="shared" si="174"/>
        <v>Oseille, crue, France continentale, Base Carbone</v>
      </c>
      <c r="D1501" s="1051">
        <f t="shared" si="175"/>
        <v>106</v>
      </c>
      <c r="E1501" s="1051" t="str">
        <f>IF(COUNTIF(E$1395:E1500,F1501)&gt;0,"",F1501)</f>
        <v>Oseille, crue, France continentale, Base Carbone</v>
      </c>
      <c r="F1501" s="1051" t="str">
        <f t="shared" si="176"/>
        <v>Oseille, crue, France continentale, Base Carbone</v>
      </c>
      <c r="G1501" s="1055" t="str">
        <f t="shared" si="177"/>
        <v>Oseille, crue, France continentale, Base Carbone; kgCO2e/kg de produit</v>
      </c>
      <c r="I1501" s="2018" t="s">
        <v>4584</v>
      </c>
      <c r="J1501" s="1135" t="s">
        <v>4654</v>
      </c>
      <c r="K1501" s="1119" t="s">
        <v>1567</v>
      </c>
      <c r="L1501" s="1135" t="s">
        <v>1571</v>
      </c>
      <c r="M1501" s="2038">
        <v>0.5</v>
      </c>
      <c r="N1501" s="1135"/>
      <c r="O1501" s="2340">
        <v>0.56200000000000006</v>
      </c>
      <c r="P1501" s="1135"/>
      <c r="Q1501" s="1135"/>
      <c r="R1501" s="1135"/>
      <c r="S1501" s="1135"/>
      <c r="T1501" s="1135"/>
      <c r="U1501" s="2041"/>
    </row>
    <row r="1502" spans="2:21" hidden="1" outlineLevel="2">
      <c r="B1502" s="1050">
        <v>107</v>
      </c>
      <c r="C1502" s="1050" t="str">
        <f t="shared" si="174"/>
        <v>Pamplemousse chinois, pulpe, cru, France continentale, Base Carbone</v>
      </c>
      <c r="D1502" s="1051">
        <f t="shared" si="175"/>
        <v>107</v>
      </c>
      <c r="E1502" s="1051" t="str">
        <f>IF(COUNTIF(E$1395:E1501,F1502)&gt;0,"",F1502)</f>
        <v>Pamplemousse chinois, pulpe, cru, France continentale, Base Carbone</v>
      </c>
      <c r="F1502" s="1051" t="str">
        <f t="shared" si="176"/>
        <v>Pamplemousse chinois, pulpe, cru, France continentale, Base Carbone</v>
      </c>
      <c r="G1502" s="1055" t="str">
        <f t="shared" si="177"/>
        <v>Pamplemousse chinois, pulpe, cru, France continentale, Base Carbone; kgCO2e/kg de produit</v>
      </c>
      <c r="I1502" s="2018" t="s">
        <v>4585</v>
      </c>
      <c r="J1502" s="1135" t="s">
        <v>4654</v>
      </c>
      <c r="K1502" s="1119" t="s">
        <v>1567</v>
      </c>
      <c r="L1502" s="1135" t="s">
        <v>1571</v>
      </c>
      <c r="M1502" s="2038">
        <v>0.5</v>
      </c>
      <c r="N1502" s="1135"/>
      <c r="O1502" s="2340">
        <v>0.58399999999999996</v>
      </c>
      <c r="P1502" s="1135"/>
      <c r="Q1502" s="1135"/>
      <c r="R1502" s="1135"/>
      <c r="S1502" s="1135"/>
      <c r="T1502" s="1135"/>
      <c r="U1502" s="2041"/>
    </row>
    <row r="1503" spans="2:21" hidden="1" outlineLevel="2">
      <c r="B1503" s="1050">
        <v>108</v>
      </c>
      <c r="C1503" s="1050" t="str">
        <f t="shared" si="174"/>
        <v>Panais, cuit, France continentale, Base Carbone</v>
      </c>
      <c r="D1503" s="1051">
        <f t="shared" si="175"/>
        <v>108</v>
      </c>
      <c r="E1503" s="1051" t="str">
        <f>IF(COUNTIF(E$1395:E1502,F1503)&gt;0,"",F1503)</f>
        <v>Panais, cuit, France continentale, Base Carbone</v>
      </c>
      <c r="F1503" s="1051" t="str">
        <f t="shared" si="176"/>
        <v>Panais, cuit, France continentale, Base Carbone</v>
      </c>
      <c r="G1503" s="1055" t="str">
        <f t="shared" si="177"/>
        <v>Panais, cuit, France continentale, Base Carbone; kgCO2e/kg de produit</v>
      </c>
      <c r="I1503" s="2018" t="s">
        <v>4586</v>
      </c>
      <c r="J1503" s="1135" t="s">
        <v>4654</v>
      </c>
      <c r="K1503" s="1119" t="s">
        <v>1567</v>
      </c>
      <c r="L1503" s="1135" t="s">
        <v>1571</v>
      </c>
      <c r="M1503" s="2038">
        <v>0.5</v>
      </c>
      <c r="N1503" s="1135"/>
      <c r="O1503" s="2340">
        <v>1.05</v>
      </c>
      <c r="P1503" s="1135"/>
      <c r="Q1503" s="1135"/>
      <c r="R1503" s="1135"/>
      <c r="S1503" s="1135"/>
      <c r="T1503" s="1135"/>
      <c r="U1503" s="2041"/>
    </row>
    <row r="1504" spans="2:21" hidden="1" outlineLevel="2">
      <c r="B1504" s="1050">
        <v>109</v>
      </c>
      <c r="C1504" s="1050" t="str">
        <f t="shared" si="174"/>
        <v>Papaye, pulpe, crue, France continentale, Base Carbone</v>
      </c>
      <c r="D1504" s="1051">
        <f t="shared" si="175"/>
        <v>109</v>
      </c>
      <c r="E1504" s="1051" t="str">
        <f>IF(COUNTIF(E$1395:E1503,F1504)&gt;0,"",F1504)</f>
        <v>Papaye, pulpe, crue, France continentale, Base Carbone</v>
      </c>
      <c r="F1504" s="1051" t="str">
        <f t="shared" si="176"/>
        <v>Papaye, pulpe, crue, France continentale, Base Carbone</v>
      </c>
      <c r="G1504" s="1055" t="str">
        <f t="shared" si="177"/>
        <v>Papaye, pulpe, crue, France continentale, Base Carbone; kgCO2e/kg de produit</v>
      </c>
      <c r="I1504" s="2018" t="s">
        <v>4587</v>
      </c>
      <c r="J1504" s="1135" t="s">
        <v>4654</v>
      </c>
      <c r="K1504" s="1119" t="s">
        <v>1567</v>
      </c>
      <c r="L1504" s="1135" t="s">
        <v>1571</v>
      </c>
      <c r="M1504" s="2038">
        <v>0.5</v>
      </c>
      <c r="N1504" s="1135"/>
      <c r="O1504" s="2340">
        <v>0.86399999999999999</v>
      </c>
      <c r="P1504" s="1135"/>
      <c r="Q1504" s="1135"/>
      <c r="R1504" s="1135"/>
      <c r="S1504" s="1135"/>
      <c r="T1504" s="1135"/>
      <c r="U1504" s="2041"/>
    </row>
    <row r="1505" spans="2:21" hidden="1" outlineLevel="2">
      <c r="B1505" s="1050">
        <v>110</v>
      </c>
      <c r="C1505" s="1050" t="str">
        <f t="shared" si="174"/>
        <v>Pastèque, pulpe, crue, France continentale, Base Carbone</v>
      </c>
      <c r="D1505" s="1051">
        <f t="shared" si="175"/>
        <v>110</v>
      </c>
      <c r="E1505" s="1051" t="str">
        <f>IF(COUNTIF(E$1395:E1504,F1505)&gt;0,"",F1505)</f>
        <v>Pastèque, pulpe, crue, France continentale, Base Carbone</v>
      </c>
      <c r="F1505" s="1051" t="str">
        <f t="shared" si="176"/>
        <v>Pastèque, pulpe, crue, France continentale, Base Carbone</v>
      </c>
      <c r="G1505" s="1055" t="str">
        <f t="shared" si="177"/>
        <v>Pastèque, pulpe, crue, France continentale, Base Carbone; kgCO2e/kg de produit</v>
      </c>
      <c r="I1505" s="2018" t="s">
        <v>4588</v>
      </c>
      <c r="J1505" s="1135" t="s">
        <v>4654</v>
      </c>
      <c r="K1505" s="1119" t="s">
        <v>1567</v>
      </c>
      <c r="L1505" s="1135" t="s">
        <v>1571</v>
      </c>
      <c r="M1505" s="2038">
        <v>0.5</v>
      </c>
      <c r="N1505" s="1135"/>
      <c r="O1505" s="2340">
        <v>0.58499999999999996</v>
      </c>
      <c r="P1505" s="1135"/>
      <c r="Q1505" s="1135"/>
      <c r="R1505" s="1135"/>
      <c r="S1505" s="1135"/>
      <c r="T1505" s="1135"/>
      <c r="U1505" s="2041"/>
    </row>
    <row r="1506" spans="2:21" hidden="1" outlineLevel="2">
      <c r="B1506" s="1050">
        <v>111</v>
      </c>
      <c r="C1506" s="1050" t="str">
        <f t="shared" si="174"/>
        <v>Patate douce, cuite, France continentale, Base Carbone</v>
      </c>
      <c r="D1506" s="1051">
        <f t="shared" si="175"/>
        <v>111</v>
      </c>
      <c r="E1506" s="1051" t="str">
        <f>IF(COUNTIF(E$1395:E1505,F1506)&gt;0,"",F1506)</f>
        <v>Patate douce, cuite, France continentale, Base Carbone</v>
      </c>
      <c r="F1506" s="1051" t="str">
        <f t="shared" si="176"/>
        <v>Patate douce, cuite, France continentale, Base Carbone</v>
      </c>
      <c r="G1506" s="1055" t="str">
        <f t="shared" si="177"/>
        <v>Patate douce, cuite, France continentale, Base Carbone; kgCO2e/kg de produit</v>
      </c>
      <c r="I1506" s="2018" t="s">
        <v>4589</v>
      </c>
      <c r="J1506" s="1135" t="s">
        <v>4654</v>
      </c>
      <c r="K1506" s="1119" t="s">
        <v>1567</v>
      </c>
      <c r="L1506" s="1135" t="s">
        <v>1571</v>
      </c>
      <c r="M1506" s="2038">
        <v>0.5</v>
      </c>
      <c r="N1506" s="1135"/>
      <c r="O1506" s="2340">
        <v>0.79600000000000004</v>
      </c>
      <c r="P1506" s="1135"/>
      <c r="Q1506" s="1135"/>
      <c r="R1506" s="1135"/>
      <c r="S1506" s="1135"/>
      <c r="T1506" s="1135"/>
      <c r="U1506" s="2041"/>
    </row>
    <row r="1507" spans="2:21" hidden="1" outlineLevel="2">
      <c r="B1507" s="1050">
        <v>112</v>
      </c>
      <c r="C1507" s="1050" t="str">
        <f t="shared" si="174"/>
        <v>Pêche au sirop léger, appertisée, non égouttée, France continentale, Base Carbone</v>
      </c>
      <c r="D1507" s="1051">
        <f t="shared" si="175"/>
        <v>112</v>
      </c>
      <c r="E1507" s="1051" t="str">
        <f>IF(COUNTIF(E$1395:E1506,F1507)&gt;0,"",F1507)</f>
        <v>Pêche au sirop léger, appertisée, non égouttée, France continentale, Base Carbone</v>
      </c>
      <c r="F1507" s="1051" t="str">
        <f t="shared" si="176"/>
        <v>Pêche au sirop léger, appertisée, non égouttée, France continentale, Base Carbone</v>
      </c>
      <c r="G1507" s="1055" t="str">
        <f t="shared" si="177"/>
        <v>Pêche au sirop léger, appertisée, non égouttée, France continentale, Base Carbone; kgCO2e/kg de produit</v>
      </c>
      <c r="I1507" s="2018" t="s">
        <v>4590</v>
      </c>
      <c r="J1507" s="1135" t="s">
        <v>4654</v>
      </c>
      <c r="K1507" s="1119" t="s">
        <v>1567</v>
      </c>
      <c r="L1507" s="1135" t="s">
        <v>1571</v>
      </c>
      <c r="M1507" s="2038">
        <v>0.5</v>
      </c>
      <c r="N1507" s="1135"/>
      <c r="O1507" s="2340">
        <v>0.8</v>
      </c>
      <c r="P1507" s="1135"/>
      <c r="Q1507" s="1135"/>
      <c r="R1507" s="1135"/>
      <c r="S1507" s="1135"/>
      <c r="T1507" s="1135"/>
      <c r="U1507" s="2041"/>
    </row>
    <row r="1508" spans="2:21" hidden="1" outlineLevel="2">
      <c r="B1508" s="1050">
        <v>113</v>
      </c>
      <c r="C1508" s="1050" t="str">
        <f t="shared" si="174"/>
        <v>Pêche, pulpe et peau, crue, France continentale, Base Carbone</v>
      </c>
      <c r="D1508" s="1051">
        <f t="shared" si="175"/>
        <v>113</v>
      </c>
      <c r="E1508" s="1051" t="str">
        <f>IF(COUNTIF(E$1395:E1507,F1508)&gt;0,"",F1508)</f>
        <v>Pêche, pulpe et peau, crue, France continentale, Base Carbone</v>
      </c>
      <c r="F1508" s="1051" t="str">
        <f t="shared" si="176"/>
        <v>Pêche, pulpe et peau, crue, France continentale, Base Carbone</v>
      </c>
      <c r="G1508" s="1055" t="str">
        <f t="shared" si="177"/>
        <v>Pêche, pulpe et peau, crue, France continentale, Base Carbone; kgCO2e/kg de produit</v>
      </c>
      <c r="I1508" s="2018" t="s">
        <v>4591</v>
      </c>
      <c r="J1508" s="1135" t="s">
        <v>4654</v>
      </c>
      <c r="K1508" s="1119" t="s">
        <v>1567</v>
      </c>
      <c r="L1508" s="1135" t="s">
        <v>1571</v>
      </c>
      <c r="M1508" s="2038">
        <v>0.5</v>
      </c>
      <c r="N1508" s="1135"/>
      <c r="O1508" s="2340">
        <v>1.1434819000000001</v>
      </c>
      <c r="P1508" s="1135"/>
      <c r="Q1508" s="1135"/>
      <c r="R1508" s="1135"/>
      <c r="S1508" s="1135"/>
      <c r="T1508" s="1135"/>
      <c r="U1508" s="2041"/>
    </row>
    <row r="1509" spans="2:21" hidden="1" outlineLevel="2">
      <c r="B1509" s="1050">
        <v>114</v>
      </c>
      <c r="C1509" s="1050" t="str">
        <f t="shared" si="174"/>
        <v>Petits pois, cuits, France continentale, Base Carbone</v>
      </c>
      <c r="D1509" s="1051">
        <f t="shared" si="175"/>
        <v>114</v>
      </c>
      <c r="E1509" s="1051" t="str">
        <f>IF(COUNTIF(E$1395:E1508,F1509)&gt;0,"",F1509)</f>
        <v>Petits pois, cuits, France continentale, Base Carbone</v>
      </c>
      <c r="F1509" s="1051" t="str">
        <f t="shared" si="176"/>
        <v>Petits pois, cuits, France continentale, Base Carbone</v>
      </c>
      <c r="G1509" s="1055" t="str">
        <f t="shared" si="177"/>
        <v>Petits pois, cuits, France continentale, Base Carbone; kgCO2e/kg de produit</v>
      </c>
      <c r="I1509" s="2018" t="s">
        <v>4592</v>
      </c>
      <c r="J1509" s="1135" t="s">
        <v>4654</v>
      </c>
      <c r="K1509" s="1119" t="s">
        <v>1567</v>
      </c>
      <c r="L1509" s="1135" t="s">
        <v>1571</v>
      </c>
      <c r="M1509" s="2038">
        <v>0.5</v>
      </c>
      <c r="N1509" s="1135"/>
      <c r="O1509" s="2340">
        <v>0.93799999999999994</v>
      </c>
      <c r="P1509" s="1135"/>
      <c r="Q1509" s="1135"/>
      <c r="R1509" s="1135"/>
      <c r="S1509" s="1135"/>
      <c r="T1509" s="1135"/>
      <c r="U1509" s="2041"/>
    </row>
    <row r="1510" spans="2:21" hidden="1" outlineLevel="2">
      <c r="B1510" s="1050">
        <v>115</v>
      </c>
      <c r="C1510" s="1050" t="str">
        <f t="shared" si="174"/>
        <v>Pignon de pin, France continentale, Base Carbone</v>
      </c>
      <c r="D1510" s="1051">
        <f t="shared" si="175"/>
        <v>115</v>
      </c>
      <c r="E1510" s="1051" t="str">
        <f>IF(COUNTIF(E$1395:E1509,F1510)&gt;0,"",F1510)</f>
        <v>Pignon de pin, France continentale, Base Carbone</v>
      </c>
      <c r="F1510" s="1051" t="str">
        <f t="shared" si="176"/>
        <v>Pignon de pin, France continentale, Base Carbone</v>
      </c>
      <c r="G1510" s="1055" t="str">
        <f t="shared" si="177"/>
        <v>Pignon de pin, France continentale, Base Carbone; kgCO2e/kg de produit</v>
      </c>
      <c r="I1510" s="2018" t="s">
        <v>4593</v>
      </c>
      <c r="J1510" s="1135" t="s">
        <v>4654</v>
      </c>
      <c r="K1510" s="1119" t="s">
        <v>1567</v>
      </c>
      <c r="L1510" s="1135" t="s">
        <v>1571</v>
      </c>
      <c r="M1510" s="2038">
        <v>0.5</v>
      </c>
      <c r="N1510" s="1135"/>
      <c r="O1510" s="2340">
        <v>4.68</v>
      </c>
      <c r="P1510" s="1135"/>
      <c r="Q1510" s="1135"/>
      <c r="R1510" s="1135"/>
      <c r="S1510" s="1135"/>
      <c r="T1510" s="1135"/>
      <c r="U1510" s="2041"/>
    </row>
    <row r="1511" spans="2:21" hidden="1" outlineLevel="2">
      <c r="B1511" s="1050">
        <v>116</v>
      </c>
      <c r="C1511" s="1050" t="str">
        <f t="shared" si="174"/>
        <v>Piment, cru, France continentale, Base Carbone</v>
      </c>
      <c r="D1511" s="1051">
        <f t="shared" si="175"/>
        <v>116</v>
      </c>
      <c r="E1511" s="1051" t="str">
        <f>IF(COUNTIF(E$1395:E1510,F1511)&gt;0,"",F1511)</f>
        <v>Piment, cru, France continentale, Base Carbone</v>
      </c>
      <c r="F1511" s="1051" t="str">
        <f t="shared" si="176"/>
        <v>Piment, cru, France continentale, Base Carbone</v>
      </c>
      <c r="G1511" s="1055" t="str">
        <f t="shared" si="177"/>
        <v>Piment, cru, France continentale, Base Carbone; kgCO2e/kg de produit</v>
      </c>
      <c r="I1511" s="2018" t="s">
        <v>4594</v>
      </c>
      <c r="J1511" s="1135" t="s">
        <v>4654</v>
      </c>
      <c r="K1511" s="1119" t="s">
        <v>1567</v>
      </c>
      <c r="L1511" s="1135" t="s">
        <v>1571</v>
      </c>
      <c r="M1511" s="2038">
        <v>0.5</v>
      </c>
      <c r="N1511" s="1135"/>
      <c r="O1511" s="2340">
        <v>3.81</v>
      </c>
      <c r="P1511" s="1135"/>
      <c r="Q1511" s="1135"/>
      <c r="R1511" s="1135"/>
      <c r="S1511" s="1135"/>
      <c r="T1511" s="1135"/>
      <c r="U1511" s="2041"/>
    </row>
    <row r="1512" spans="2:21" hidden="1" outlineLevel="2">
      <c r="B1512" s="1050">
        <v>117</v>
      </c>
      <c r="C1512" s="1050" t="str">
        <f t="shared" si="174"/>
        <v>Pissenlit, cru, France continentale, Base Carbone</v>
      </c>
      <c r="D1512" s="1051">
        <f t="shared" si="175"/>
        <v>117</v>
      </c>
      <c r="E1512" s="1051" t="str">
        <f>IF(COUNTIF(E$1395:E1511,F1512)&gt;0,"",F1512)</f>
        <v>Pissenlit, cru, France continentale, Base Carbone</v>
      </c>
      <c r="F1512" s="1051" t="str">
        <f t="shared" si="176"/>
        <v>Pissenlit, cru, France continentale, Base Carbone</v>
      </c>
      <c r="G1512" s="1055" t="str">
        <f t="shared" si="177"/>
        <v>Pissenlit, cru, France continentale, Base Carbone; kgCO2e/kg de produit</v>
      </c>
      <c r="I1512" s="2018" t="s">
        <v>4595</v>
      </c>
      <c r="J1512" s="1135" t="s">
        <v>4654</v>
      </c>
      <c r="K1512" s="1119" t="s">
        <v>1567</v>
      </c>
      <c r="L1512" s="1135" t="s">
        <v>1571</v>
      </c>
      <c r="M1512" s="2038">
        <v>0.5</v>
      </c>
      <c r="N1512" s="1135"/>
      <c r="O1512" s="2340">
        <v>0.87</v>
      </c>
      <c r="P1512" s="1135"/>
      <c r="Q1512" s="1135"/>
      <c r="R1512" s="1135"/>
      <c r="S1512" s="1135"/>
      <c r="T1512" s="1135"/>
      <c r="U1512" s="2041"/>
    </row>
    <row r="1513" spans="2:21" hidden="1" outlineLevel="2">
      <c r="B1513" s="1050">
        <v>118</v>
      </c>
      <c r="C1513" s="1050" t="str">
        <f t="shared" si="174"/>
        <v>Pistache, grillée, France continentale, Base Carbone</v>
      </c>
      <c r="D1513" s="1051">
        <f t="shared" si="175"/>
        <v>118</v>
      </c>
      <c r="E1513" s="1051" t="str">
        <f>IF(COUNTIF(E$1395:E1512,F1513)&gt;0,"",F1513)</f>
        <v>Pistache, grillée, France continentale, Base Carbone</v>
      </c>
      <c r="F1513" s="1051" t="str">
        <f t="shared" si="176"/>
        <v>Pistache, grillée, France continentale, Base Carbone</v>
      </c>
      <c r="G1513" s="1055" t="str">
        <f t="shared" si="177"/>
        <v>Pistache, grillée, France continentale, Base Carbone; kgCO2e/kg de produit</v>
      </c>
      <c r="I1513" s="2018" t="s">
        <v>4596</v>
      </c>
      <c r="J1513" s="1135" t="s">
        <v>4654</v>
      </c>
      <c r="K1513" s="1119" t="s">
        <v>1567</v>
      </c>
      <c r="L1513" s="1135" t="s">
        <v>1571</v>
      </c>
      <c r="M1513" s="2038">
        <v>0.5</v>
      </c>
      <c r="N1513" s="1135"/>
      <c r="O1513" s="2340">
        <v>7.94</v>
      </c>
      <c r="P1513" s="1135"/>
      <c r="Q1513" s="1135"/>
      <c r="R1513" s="1135"/>
      <c r="S1513" s="1135"/>
      <c r="T1513" s="1135"/>
      <c r="U1513" s="2041"/>
    </row>
    <row r="1514" spans="2:21" hidden="1" outlineLevel="2">
      <c r="B1514" s="1050">
        <v>119</v>
      </c>
      <c r="C1514" s="1050" t="str">
        <f t="shared" si="174"/>
        <v>Poire, pulpe, crue, France continentale, Base Carbone</v>
      </c>
      <c r="D1514" s="1051">
        <f t="shared" si="175"/>
        <v>119</v>
      </c>
      <c r="E1514" s="1051" t="str">
        <f>IF(COUNTIF(E$1395:E1513,F1514)&gt;0,"",F1514)</f>
        <v>Poire, pulpe, crue, France continentale, Base Carbone</v>
      </c>
      <c r="F1514" s="1051" t="str">
        <f t="shared" si="176"/>
        <v>Poire, pulpe, crue, France continentale, Base Carbone</v>
      </c>
      <c r="G1514" s="1055" t="str">
        <f t="shared" si="177"/>
        <v>Poire, pulpe, crue, France continentale, Base Carbone; kgCO2e/kg de produit</v>
      </c>
      <c r="I1514" s="2018" t="s">
        <v>4597</v>
      </c>
      <c r="J1514" s="1135" t="s">
        <v>4654</v>
      </c>
      <c r="K1514" s="1119" t="s">
        <v>1567</v>
      </c>
      <c r="L1514" s="1135" t="s">
        <v>1571</v>
      </c>
      <c r="M1514" s="2038">
        <v>0.5</v>
      </c>
      <c r="N1514" s="1135"/>
      <c r="O1514" s="2340">
        <v>0.25270851999999999</v>
      </c>
      <c r="P1514" s="1135"/>
      <c r="Q1514" s="1135"/>
      <c r="R1514" s="1135"/>
      <c r="S1514" s="1135"/>
      <c r="T1514" s="1135"/>
      <c r="U1514" s="2041"/>
    </row>
    <row r="1515" spans="2:21" hidden="1" outlineLevel="2">
      <c r="B1515" s="1050">
        <v>120</v>
      </c>
      <c r="C1515" s="1050" t="str">
        <f t="shared" si="174"/>
        <v>Poireau, cuit, France continentale, Base Carbone</v>
      </c>
      <c r="D1515" s="1051">
        <f t="shared" si="175"/>
        <v>120</v>
      </c>
      <c r="E1515" s="1051" t="str">
        <f>IF(COUNTIF(E$1395:E1514,F1515)&gt;0,"",F1515)</f>
        <v>Poireau, cuit, France continentale, Base Carbone</v>
      </c>
      <c r="F1515" s="1051" t="str">
        <f t="shared" si="176"/>
        <v>Poireau, cuit, France continentale, Base Carbone</v>
      </c>
      <c r="G1515" s="1055" t="str">
        <f t="shared" si="177"/>
        <v>Poireau, cuit, France continentale, Base Carbone; kgCO2e/kg de produit</v>
      </c>
      <c r="I1515" s="2018" t="s">
        <v>4598</v>
      </c>
      <c r="J1515" s="1135" t="s">
        <v>4654</v>
      </c>
      <c r="K1515" s="1119" t="s">
        <v>1567</v>
      </c>
      <c r="L1515" s="1135" t="s">
        <v>1571</v>
      </c>
      <c r="M1515" s="2038">
        <v>0.5</v>
      </c>
      <c r="N1515" s="1135"/>
      <c r="O1515" s="2340">
        <v>1.43</v>
      </c>
      <c r="P1515" s="1135"/>
      <c r="Q1515" s="1135"/>
      <c r="R1515" s="1135"/>
      <c r="S1515" s="1135"/>
      <c r="T1515" s="1135"/>
      <c r="U1515" s="2041"/>
    </row>
    <row r="1516" spans="2:21" hidden="1" outlineLevel="2">
      <c r="B1516" s="1050">
        <v>121</v>
      </c>
      <c r="C1516" s="1050" t="str">
        <f t="shared" si="174"/>
        <v>Pois cassé, cuit, France continentale, Base Carbone</v>
      </c>
      <c r="D1516" s="1051">
        <f t="shared" si="175"/>
        <v>121</v>
      </c>
      <c r="E1516" s="1051" t="str">
        <f>IF(COUNTIF(E$1395:E1515,F1516)&gt;0,"",F1516)</f>
        <v>Pois cassé, cuit, France continentale, Base Carbone</v>
      </c>
      <c r="F1516" s="1051" t="str">
        <f t="shared" si="176"/>
        <v>Pois cassé, cuit, France continentale, Base Carbone</v>
      </c>
      <c r="G1516" s="1055" t="str">
        <f t="shared" si="177"/>
        <v>Pois cassé, cuit, France continentale, Base Carbone; kgCO2e/kg de produit</v>
      </c>
      <c r="I1516" s="2018" t="s">
        <v>4599</v>
      </c>
      <c r="J1516" s="1135" t="s">
        <v>4654</v>
      </c>
      <c r="K1516" s="1119" t="s">
        <v>1567</v>
      </c>
      <c r="L1516" s="1135" t="s">
        <v>1571</v>
      </c>
      <c r="M1516" s="2038">
        <v>0.5</v>
      </c>
      <c r="N1516" s="1135"/>
      <c r="O1516" s="2340">
        <v>0.29899999999999999</v>
      </c>
      <c r="P1516" s="1135"/>
      <c r="Q1516" s="1135"/>
      <c r="R1516" s="1135"/>
      <c r="S1516" s="1135"/>
      <c r="T1516" s="1135"/>
      <c r="U1516" s="2041"/>
    </row>
    <row r="1517" spans="2:21" hidden="1" outlineLevel="2">
      <c r="B1517" s="1050">
        <v>122</v>
      </c>
      <c r="C1517" s="1050" t="str">
        <f t="shared" si="174"/>
        <v>Pois chiche, cuit, France continentale, Base Carbone</v>
      </c>
      <c r="D1517" s="1051">
        <f t="shared" si="175"/>
        <v>122</v>
      </c>
      <c r="E1517" s="1051" t="str">
        <f>IF(COUNTIF(E$1395:E1516,F1517)&gt;0,"",F1517)</f>
        <v>Pois chiche, cuit, France continentale, Base Carbone</v>
      </c>
      <c r="F1517" s="1051" t="str">
        <f t="shared" si="176"/>
        <v>Pois chiche, cuit, France continentale, Base Carbone</v>
      </c>
      <c r="G1517" s="1055" t="str">
        <f t="shared" si="177"/>
        <v>Pois chiche, cuit, France continentale, Base Carbone; kgCO2e/kg de produit</v>
      </c>
      <c r="I1517" s="2018" t="s">
        <v>4600</v>
      </c>
      <c r="J1517" s="1135" t="s">
        <v>4654</v>
      </c>
      <c r="K1517" s="1119" t="s">
        <v>1567</v>
      </c>
      <c r="L1517" s="1135" t="s">
        <v>1571</v>
      </c>
      <c r="M1517" s="2038">
        <v>0.5</v>
      </c>
      <c r="N1517" s="1135"/>
      <c r="O1517" s="2340">
        <v>0.83399999999999996</v>
      </c>
      <c r="P1517" s="1135"/>
      <c r="Q1517" s="1135"/>
      <c r="R1517" s="1135"/>
      <c r="S1517" s="1135"/>
      <c r="T1517" s="1135"/>
      <c r="U1517" s="2041"/>
    </row>
    <row r="1518" spans="2:21" hidden="1" outlineLevel="2">
      <c r="B1518" s="1050">
        <v>123</v>
      </c>
      <c r="C1518" s="1050" t="str">
        <f t="shared" si="174"/>
        <v>Poivron vert, cuit, France continentale, Base Carbone</v>
      </c>
      <c r="D1518" s="1051">
        <f t="shared" si="175"/>
        <v>123</v>
      </c>
      <c r="E1518" s="1051" t="str">
        <f>IF(COUNTIF(E$1395:E1517,F1518)&gt;0,"",F1518)</f>
        <v>Poivron vert, cuit, France continentale, Base Carbone</v>
      </c>
      <c r="F1518" s="1051" t="str">
        <f t="shared" si="176"/>
        <v>Poivron vert, cuit, France continentale, Base Carbone</v>
      </c>
      <c r="G1518" s="1055" t="str">
        <f t="shared" si="177"/>
        <v>Poivron vert, cuit, France continentale, Base Carbone; kgCO2e/kg de produit</v>
      </c>
      <c r="I1518" s="2018" t="s">
        <v>4601</v>
      </c>
      <c r="J1518" s="1135" t="s">
        <v>4654</v>
      </c>
      <c r="K1518" s="1119" t="s">
        <v>1567</v>
      </c>
      <c r="L1518" s="1135" t="s">
        <v>1571</v>
      </c>
      <c r="M1518" s="2038">
        <v>0.5</v>
      </c>
      <c r="N1518" s="1135"/>
      <c r="O1518" s="2340">
        <v>1.7182487</v>
      </c>
      <c r="P1518" s="1135"/>
      <c r="Q1518" s="1135"/>
      <c r="R1518" s="1135"/>
      <c r="S1518" s="1135"/>
      <c r="T1518" s="1135"/>
      <c r="U1518" s="2041"/>
    </row>
    <row r="1519" spans="2:21" hidden="1" outlineLevel="2">
      <c r="B1519" s="1050">
        <v>124</v>
      </c>
      <c r="C1519" s="1050" t="str">
        <f t="shared" si="174"/>
        <v>Pomelo (dit Pamplemousse), pulpe, cru, France continentale, Base Carbone</v>
      </c>
      <c r="D1519" s="1051">
        <f t="shared" si="175"/>
        <v>124</v>
      </c>
      <c r="E1519" s="1051" t="str">
        <f>IF(COUNTIF(E$1395:E1518,F1519)&gt;0,"",F1519)</f>
        <v>Pomelo (dit Pamplemousse), pulpe, cru, France continentale, Base Carbone</v>
      </c>
      <c r="F1519" s="1051" t="str">
        <f t="shared" si="176"/>
        <v>Pomelo (dit Pamplemousse), pulpe, cru, France continentale, Base Carbone</v>
      </c>
      <c r="G1519" s="1055" t="str">
        <f t="shared" si="177"/>
        <v>Pomelo (dit Pamplemousse), pulpe, cru, France continentale, Base Carbone; kgCO2e/kg de produit</v>
      </c>
      <c r="I1519" s="2018" t="s">
        <v>4602</v>
      </c>
      <c r="J1519" s="1135" t="s">
        <v>4654</v>
      </c>
      <c r="K1519" s="1119" t="s">
        <v>1567</v>
      </c>
      <c r="L1519" s="1135" t="s">
        <v>1571</v>
      </c>
      <c r="M1519" s="2038">
        <v>0.5</v>
      </c>
      <c r="N1519" s="1135"/>
      <c r="O1519" s="2340">
        <v>0.63300000000000001</v>
      </c>
      <c r="P1519" s="1135"/>
      <c r="Q1519" s="1135"/>
      <c r="R1519" s="1135"/>
      <c r="S1519" s="1135"/>
      <c r="T1519" s="1135"/>
      <c r="U1519" s="2041"/>
    </row>
    <row r="1520" spans="2:21" hidden="1" outlineLevel="2">
      <c r="B1520" s="1050">
        <v>125</v>
      </c>
      <c r="C1520" s="1050" t="str">
        <f t="shared" si="174"/>
        <v>Pomme de terre, rôtie/cuite au four, France continentale, Base Carbone</v>
      </c>
      <c r="D1520" s="1051">
        <f t="shared" si="175"/>
        <v>125</v>
      </c>
      <c r="E1520" s="1051" t="str">
        <f>IF(COUNTIF(E$1395:E1519,F1520)&gt;0,"",F1520)</f>
        <v>Pomme de terre, rôtie/cuite au four, France continentale, Base Carbone</v>
      </c>
      <c r="F1520" s="1051" t="str">
        <f t="shared" si="176"/>
        <v>Pomme de terre, rôtie/cuite au four, France continentale, Base Carbone</v>
      </c>
      <c r="G1520" s="1055" t="str">
        <f t="shared" si="177"/>
        <v>Pomme de terre, rôtie/cuite au four, France continentale, Base Carbone; kgCO2e/kg de produit</v>
      </c>
      <c r="I1520" s="2018" t="s">
        <v>4603</v>
      </c>
      <c r="J1520" s="1135" t="s">
        <v>4654</v>
      </c>
      <c r="K1520" s="1119" t="s">
        <v>1567</v>
      </c>
      <c r="L1520" s="1135" t="s">
        <v>1571</v>
      </c>
      <c r="M1520" s="2038">
        <v>0.5</v>
      </c>
      <c r="N1520" s="1135"/>
      <c r="O1520" s="2340">
        <v>0.63300000000000001</v>
      </c>
      <c r="P1520" s="1135"/>
      <c r="Q1520" s="1135"/>
      <c r="R1520" s="1135"/>
      <c r="S1520" s="1135"/>
      <c r="T1520" s="1135"/>
      <c r="U1520" s="2041"/>
    </row>
    <row r="1521" spans="2:21" hidden="1" outlineLevel="2">
      <c r="B1521" s="1050">
        <v>126</v>
      </c>
      <c r="C1521" s="1050" t="str">
        <f t="shared" si="174"/>
        <v>Pomme de terre, sans peau, crue, France continentale, Base Carbone</v>
      </c>
      <c r="D1521" s="1051">
        <f t="shared" si="175"/>
        <v>126</v>
      </c>
      <c r="E1521" s="1051" t="str">
        <f>IF(COUNTIF(E$1395:E1520,F1521)&gt;0,"",F1521)</f>
        <v>Pomme de terre, sans peau, crue, France continentale, Base Carbone</v>
      </c>
      <c r="F1521" s="1051" t="str">
        <f t="shared" si="176"/>
        <v>Pomme de terre, sans peau, crue, France continentale, Base Carbone</v>
      </c>
      <c r="G1521" s="1055" t="str">
        <f t="shared" si="177"/>
        <v>Pomme de terre, sans peau, crue, France continentale, Base Carbone; kgCO2e/kg de produit</v>
      </c>
      <c r="I1521" s="2018" t="s">
        <v>4604</v>
      </c>
      <c r="J1521" s="1135" t="s">
        <v>4654</v>
      </c>
      <c r="K1521" s="1119" t="s">
        <v>1567</v>
      </c>
      <c r="L1521" s="1135" t="s">
        <v>1571</v>
      </c>
      <c r="M1521" s="2038">
        <v>0.5</v>
      </c>
      <c r="N1521" s="1135"/>
      <c r="O1521" s="2340">
        <v>0.59904617999999998</v>
      </c>
      <c r="P1521" s="1135"/>
      <c r="Q1521" s="1135"/>
      <c r="R1521" s="1135"/>
      <c r="S1521" s="1135"/>
      <c r="T1521" s="1135"/>
      <c r="U1521" s="2041"/>
    </row>
    <row r="1522" spans="2:21" hidden="1" outlineLevel="2">
      <c r="B1522" s="1050">
        <v>127</v>
      </c>
      <c r="C1522" s="1050" t="str">
        <f t="shared" si="174"/>
        <v>Pomme, pulpe et peau, crue, France continentale, Base Carbone</v>
      </c>
      <c r="D1522" s="1051">
        <f t="shared" si="175"/>
        <v>127</v>
      </c>
      <c r="E1522" s="1051" t="str">
        <f>IF(COUNTIF(E$1395:E1521,F1522)&gt;0,"",F1522)</f>
        <v>Pomme, pulpe et peau, crue, France continentale, Base Carbone</v>
      </c>
      <c r="F1522" s="1051" t="str">
        <f t="shared" si="176"/>
        <v>Pomme, pulpe et peau, crue, France continentale, Base Carbone</v>
      </c>
      <c r="G1522" s="1055" t="str">
        <f t="shared" si="177"/>
        <v>Pomme, pulpe et peau, crue, France continentale, Base Carbone; kgCO2e/kg de produit</v>
      </c>
      <c r="I1522" s="2018" t="s">
        <v>4605</v>
      </c>
      <c r="J1522" s="1135" t="s">
        <v>4654</v>
      </c>
      <c r="K1522" s="1119" t="s">
        <v>1567</v>
      </c>
      <c r="L1522" s="1135" t="s">
        <v>1571</v>
      </c>
      <c r="M1522" s="2038">
        <v>0.5</v>
      </c>
      <c r="N1522" s="1135"/>
      <c r="O1522" s="2340">
        <v>0.28421235</v>
      </c>
      <c r="P1522" s="1135"/>
      <c r="Q1522" s="1135"/>
      <c r="R1522" s="1135"/>
      <c r="S1522" s="1135"/>
      <c r="T1522" s="1135"/>
      <c r="U1522" s="2041"/>
    </row>
    <row r="1523" spans="2:21" hidden="1" outlineLevel="2">
      <c r="B1523" s="1050">
        <v>128</v>
      </c>
      <c r="C1523" s="1050" t="str">
        <f t="shared" si="174"/>
        <v>Potiron, cuit, France continentale, Base Carbone</v>
      </c>
      <c r="D1523" s="1051">
        <f t="shared" si="175"/>
        <v>128</v>
      </c>
      <c r="E1523" s="1051" t="str">
        <f>IF(COUNTIF(E$1395:E1522,F1523)&gt;0,"",F1523)</f>
        <v>Potiron, cuit, France continentale, Base Carbone</v>
      </c>
      <c r="F1523" s="1051" t="str">
        <f t="shared" si="176"/>
        <v>Potiron, cuit, France continentale, Base Carbone</v>
      </c>
      <c r="G1523" s="1055" t="str">
        <f t="shared" si="177"/>
        <v>Potiron, cuit, France continentale, Base Carbone; kgCO2e/kg de produit</v>
      </c>
      <c r="I1523" s="2018" t="s">
        <v>4606</v>
      </c>
      <c r="J1523" s="1135" t="s">
        <v>4654</v>
      </c>
      <c r="K1523" s="1119" t="s">
        <v>1567</v>
      </c>
      <c r="L1523" s="1135" t="s">
        <v>1571</v>
      </c>
      <c r="M1523" s="2038">
        <v>0.5</v>
      </c>
      <c r="N1523" s="1135"/>
      <c r="O1523" s="2340">
        <v>1.27</v>
      </c>
      <c r="P1523" s="1135"/>
      <c r="Q1523" s="1135"/>
      <c r="R1523" s="1135"/>
      <c r="S1523" s="1135"/>
      <c r="T1523" s="1135"/>
      <c r="U1523" s="2041"/>
    </row>
    <row r="1524" spans="2:21" hidden="1" outlineLevel="2">
      <c r="B1524" s="1050">
        <v>129</v>
      </c>
      <c r="C1524" s="1050" t="str">
        <f t="shared" si="174"/>
        <v>Printanière de légumes, surgelée, crue (haricots verts, carottes, pomme de terre, petits pois, oignons), France continentale, Base Carbone</v>
      </c>
      <c r="D1524" s="1051">
        <f t="shared" si="175"/>
        <v>129</v>
      </c>
      <c r="E1524" s="1051" t="str">
        <f>IF(COUNTIF(E$1395:E1523,F1524)&gt;0,"",F1524)</f>
        <v>Printanière de légumes, surgelée, crue (haricots verts, carottes, pomme de terre, petits pois, oignons), France continentale, Base Carbone</v>
      </c>
      <c r="F1524" s="1051" t="str">
        <f t="shared" si="176"/>
        <v>Printanière de légumes, surgelée, crue (haricots verts, carottes, pomme de terre, petits pois, oignons), France continentale, Base Carbone</v>
      </c>
      <c r="G1524" s="1055" t="str">
        <f t="shared" si="177"/>
        <v>Printanière de légumes, surgelée, crue (haricots verts, carottes, pomme de terre, petits pois, oignons), France continentale, Base Carbone; kgCO2e/kg de produit</v>
      </c>
      <c r="I1524" s="2018" t="s">
        <v>4607</v>
      </c>
      <c r="J1524" s="1135" t="s">
        <v>4654</v>
      </c>
      <c r="K1524" s="1119" t="s">
        <v>1567</v>
      </c>
      <c r="L1524" s="1135" t="s">
        <v>1571</v>
      </c>
      <c r="M1524" s="2038">
        <v>0.5</v>
      </c>
      <c r="N1524" s="1135"/>
      <c r="O1524" s="2340">
        <v>0.71499999999999997</v>
      </c>
      <c r="P1524" s="1135"/>
      <c r="Q1524" s="1135"/>
      <c r="R1524" s="1135"/>
      <c r="S1524" s="1135"/>
      <c r="T1524" s="1135"/>
      <c r="U1524" s="2041"/>
    </row>
    <row r="1525" spans="2:21" hidden="1" outlineLevel="2">
      <c r="B1525" s="1050">
        <v>130</v>
      </c>
      <c r="C1525" s="1050" t="str">
        <f t="shared" ref="C1525:C1553" si="178">IF(ISNA(VLOOKUP(B1525,$D$1395:$E$1553,2,FALSE)),"-",VLOOKUP(B1525,$D$1395:$E$1553,2,FALSE))</f>
        <v>Prune, crue, France continentale, Base Carbone</v>
      </c>
      <c r="D1525" s="1051">
        <f t="shared" ref="D1525:D1553" si="179">D1524+IF(LEN(E1525)&gt;0,1,0)</f>
        <v>130</v>
      </c>
      <c r="E1525" s="1051" t="str">
        <f>IF(COUNTIF(E$1395:E1524,F1525)&gt;0,"",F1525)</f>
        <v>Prune, crue, France continentale, Base Carbone</v>
      </c>
      <c r="F1525" s="1051" t="str">
        <f t="shared" ref="F1525:F1553" si="180">IF(I1525&lt;&gt;"",I1525&amp;IF(N1525&lt;&gt;""," "&amp;N1525,)&amp;IF(L1525&lt;&gt;"",", "&amp;L1525,"")&amp;IF(K1525&lt;&gt;"",", "&amp;K1525,""),"")</f>
        <v>Prune, crue, France continentale, Base Carbone</v>
      </c>
      <c r="G1525" s="1055" t="str">
        <f t="shared" ref="G1525:G1553" si="181">IF(F1525&lt;&gt;"",F1525&amp;IF(J1525&lt;&gt;"","; "&amp;J1525,""),"")</f>
        <v>Prune, crue, France continentale, Base Carbone; kgCO2e/kg de produit</v>
      </c>
      <c r="I1525" s="2018" t="s">
        <v>4608</v>
      </c>
      <c r="J1525" s="1135" t="s">
        <v>4654</v>
      </c>
      <c r="K1525" s="1119" t="s">
        <v>1567</v>
      </c>
      <c r="L1525" s="1135" t="s">
        <v>1571</v>
      </c>
      <c r="M1525" s="2038">
        <v>0.5</v>
      </c>
      <c r="N1525" s="1135"/>
      <c r="O1525" s="2340">
        <v>0.90700000000000003</v>
      </c>
      <c r="P1525" s="1135"/>
      <c r="Q1525" s="1135"/>
      <c r="R1525" s="1135"/>
      <c r="S1525" s="1135"/>
      <c r="T1525" s="1135"/>
      <c r="U1525" s="2041"/>
    </row>
    <row r="1526" spans="2:21" hidden="1" outlineLevel="2">
      <c r="B1526" s="1050">
        <v>131</v>
      </c>
      <c r="C1526" s="1050" t="str">
        <f t="shared" si="178"/>
        <v>Pruneau, sec, France continentale, Base Carbone</v>
      </c>
      <c r="D1526" s="1051">
        <f t="shared" si="179"/>
        <v>131</v>
      </c>
      <c r="E1526" s="1051" t="str">
        <f>IF(COUNTIF(E$1395:E1525,F1526)&gt;0,"",F1526)</f>
        <v>Pruneau, sec, France continentale, Base Carbone</v>
      </c>
      <c r="F1526" s="1051" t="str">
        <f t="shared" si="180"/>
        <v>Pruneau, sec, France continentale, Base Carbone</v>
      </c>
      <c r="G1526" s="1055" t="str">
        <f t="shared" si="181"/>
        <v>Pruneau, sec, France continentale, Base Carbone; kgCO2e/kg de produit</v>
      </c>
      <c r="I1526" s="2018" t="s">
        <v>4609</v>
      </c>
      <c r="J1526" s="1135" t="s">
        <v>4654</v>
      </c>
      <c r="K1526" s="1119" t="s">
        <v>1567</v>
      </c>
      <c r="L1526" s="1135" t="s">
        <v>1571</v>
      </c>
      <c r="M1526" s="2038">
        <v>0.5</v>
      </c>
      <c r="N1526" s="1135"/>
      <c r="O1526" s="2340">
        <v>2.5299999999999998</v>
      </c>
      <c r="P1526" s="1135"/>
      <c r="Q1526" s="1135"/>
      <c r="R1526" s="1135"/>
      <c r="S1526" s="1135"/>
      <c r="T1526" s="1135"/>
      <c r="U1526" s="2041"/>
    </row>
    <row r="1527" spans="2:21" hidden="1" outlineLevel="2">
      <c r="B1527" s="1050">
        <v>132</v>
      </c>
      <c r="C1527" s="1050" t="str">
        <f t="shared" si="178"/>
        <v>Purée de fruits, tout type de fruits, type "compote sans sucres ajoutés", France continentale, Base Carbone</v>
      </c>
      <c r="D1527" s="1051">
        <f t="shared" si="179"/>
        <v>132</v>
      </c>
      <c r="E1527" s="1051" t="str">
        <f>IF(COUNTIF(E$1395:E1526,F1527)&gt;0,"",F1527)</f>
        <v>Purée de fruits, tout type de fruits, type "compote sans sucres ajoutés", France continentale, Base Carbone</v>
      </c>
      <c r="F1527" s="1051" t="str">
        <f t="shared" si="180"/>
        <v>Purée de fruits, tout type de fruits, type "compote sans sucres ajoutés", France continentale, Base Carbone</v>
      </c>
      <c r="G1527" s="1055" t="str">
        <f t="shared" si="181"/>
        <v>Purée de fruits, tout type de fruits, type "compote sans sucres ajoutés", France continentale, Base Carbone; kgCO2e/kg de produit</v>
      </c>
      <c r="I1527" s="2018" t="s">
        <v>4610</v>
      </c>
      <c r="J1527" s="1135" t="s">
        <v>4654</v>
      </c>
      <c r="K1527" s="1119" t="s">
        <v>1567</v>
      </c>
      <c r="L1527" s="1135" t="s">
        <v>1571</v>
      </c>
      <c r="M1527" s="2038">
        <v>0.5</v>
      </c>
      <c r="N1527" s="1135"/>
      <c r="O1527" s="2340">
        <v>0.75800000000000001</v>
      </c>
      <c r="P1527" s="1135"/>
      <c r="Q1527" s="1135"/>
      <c r="R1527" s="1135"/>
      <c r="S1527" s="1135"/>
      <c r="T1527" s="1135"/>
      <c r="U1527" s="2041"/>
    </row>
    <row r="1528" spans="2:21" hidden="1" outlineLevel="2">
      <c r="B1528" s="1050">
        <v>133</v>
      </c>
      <c r="C1528" s="1050" t="str">
        <f t="shared" si="178"/>
        <v>Radis noir, cru, France continentale, Base Carbone</v>
      </c>
      <c r="D1528" s="1051">
        <f t="shared" si="179"/>
        <v>133</v>
      </c>
      <c r="E1528" s="1051" t="str">
        <f>IF(COUNTIF(E$1395:E1527,F1528)&gt;0,"",F1528)</f>
        <v>Radis noir, cru, France continentale, Base Carbone</v>
      </c>
      <c r="F1528" s="1051" t="str">
        <f t="shared" si="180"/>
        <v>Radis noir, cru, France continentale, Base Carbone</v>
      </c>
      <c r="G1528" s="1055" t="str">
        <f t="shared" si="181"/>
        <v>Radis noir, cru, France continentale, Base Carbone; kgCO2e/kg de produit</v>
      </c>
      <c r="I1528" s="2018" t="s">
        <v>4611</v>
      </c>
      <c r="J1528" s="1135" t="s">
        <v>4654</v>
      </c>
      <c r="K1528" s="1119" t="s">
        <v>1567</v>
      </c>
      <c r="L1528" s="1135" t="s">
        <v>1571</v>
      </c>
      <c r="M1528" s="2038">
        <v>0.5</v>
      </c>
      <c r="N1528" s="1135"/>
      <c r="O1528" s="2340">
        <v>0.249</v>
      </c>
      <c r="P1528" s="1135"/>
      <c r="Q1528" s="1135"/>
      <c r="R1528" s="1135"/>
      <c r="S1528" s="1135"/>
      <c r="T1528" s="1135"/>
      <c r="U1528" s="2041"/>
    </row>
    <row r="1529" spans="2:21" hidden="1" outlineLevel="2">
      <c r="B1529" s="1050">
        <v>134</v>
      </c>
      <c r="C1529" s="1050" t="str">
        <f t="shared" si="178"/>
        <v>Raisin, cru, France continentale, Base Carbone</v>
      </c>
      <c r="D1529" s="1051">
        <f t="shared" si="179"/>
        <v>134</v>
      </c>
      <c r="E1529" s="1051" t="str">
        <f>IF(COUNTIF(E$1395:E1528,F1529)&gt;0,"",F1529)</f>
        <v>Raisin, cru, France continentale, Base Carbone</v>
      </c>
      <c r="F1529" s="1051" t="str">
        <f t="shared" si="180"/>
        <v>Raisin, cru, France continentale, Base Carbone</v>
      </c>
      <c r="G1529" s="1055" t="str">
        <f t="shared" si="181"/>
        <v>Raisin, cru, France continentale, Base Carbone; kgCO2e/kg de produit</v>
      </c>
      <c r="I1529" s="2018" t="s">
        <v>4612</v>
      </c>
      <c r="J1529" s="1135" t="s">
        <v>4654</v>
      </c>
      <c r="K1529" s="1119" t="s">
        <v>1567</v>
      </c>
      <c r="L1529" s="1135" t="s">
        <v>1571</v>
      </c>
      <c r="M1529" s="2038">
        <v>0.5</v>
      </c>
      <c r="N1529" s="1135"/>
      <c r="O1529" s="2340">
        <v>0.628</v>
      </c>
      <c r="P1529" s="1135"/>
      <c r="Q1529" s="1135"/>
      <c r="R1529" s="1135"/>
      <c r="S1529" s="1135"/>
      <c r="T1529" s="1135"/>
      <c r="U1529" s="2041"/>
    </row>
    <row r="1530" spans="2:21" hidden="1" outlineLevel="2">
      <c r="B1530" s="1050">
        <v>135</v>
      </c>
      <c r="C1530" s="1050" t="str">
        <f t="shared" si="178"/>
        <v>Rhubarbe, tige, cuite, sucrée, France continentale, Base Carbone</v>
      </c>
      <c r="D1530" s="1051">
        <f t="shared" si="179"/>
        <v>135</v>
      </c>
      <c r="E1530" s="1051" t="str">
        <f>IF(COUNTIF(E$1395:E1529,F1530)&gt;0,"",F1530)</f>
        <v>Rhubarbe, tige, cuite, sucrée, France continentale, Base Carbone</v>
      </c>
      <c r="F1530" s="1051" t="str">
        <f t="shared" si="180"/>
        <v>Rhubarbe, tige, cuite, sucrée, France continentale, Base Carbone</v>
      </c>
      <c r="G1530" s="1055" t="str">
        <f t="shared" si="181"/>
        <v>Rhubarbe, tige, cuite, sucrée, France continentale, Base Carbone; kgCO2e/kg de produit</v>
      </c>
      <c r="I1530" s="2018" t="s">
        <v>4613</v>
      </c>
      <c r="J1530" s="1135" t="s">
        <v>4654</v>
      </c>
      <c r="K1530" s="1119" t="s">
        <v>1567</v>
      </c>
      <c r="L1530" s="1135" t="s">
        <v>1571</v>
      </c>
      <c r="M1530" s="2038">
        <v>0.5</v>
      </c>
      <c r="N1530" s="1135"/>
      <c r="O1530" s="2340">
        <v>1.24</v>
      </c>
      <c r="P1530" s="1135"/>
      <c r="Q1530" s="1135"/>
      <c r="R1530" s="1135"/>
      <c r="S1530" s="1135"/>
      <c r="T1530" s="1135"/>
      <c r="U1530" s="2041"/>
    </row>
    <row r="1531" spans="2:21" hidden="1" outlineLevel="2">
      <c r="B1531" s="1050">
        <v>136</v>
      </c>
      <c r="C1531" s="1050" t="str">
        <f t="shared" si="178"/>
        <v>Roquette, crue, France continentale, Base Carbone</v>
      </c>
      <c r="D1531" s="1051">
        <f t="shared" si="179"/>
        <v>136</v>
      </c>
      <c r="E1531" s="1051" t="str">
        <f>IF(COUNTIF(E$1395:E1530,F1531)&gt;0,"",F1531)</f>
        <v>Roquette, crue, France continentale, Base Carbone</v>
      </c>
      <c r="F1531" s="1051" t="str">
        <f t="shared" si="180"/>
        <v>Roquette, crue, France continentale, Base Carbone</v>
      </c>
      <c r="G1531" s="1055" t="str">
        <f t="shared" si="181"/>
        <v>Roquette, crue, France continentale, Base Carbone; kgCO2e/kg de produit</v>
      </c>
      <c r="I1531" s="2018" t="s">
        <v>4614</v>
      </c>
      <c r="J1531" s="1135" t="s">
        <v>4654</v>
      </c>
      <c r="K1531" s="1119" t="s">
        <v>1567</v>
      </c>
      <c r="L1531" s="1135" t="s">
        <v>1571</v>
      </c>
      <c r="M1531" s="2038">
        <v>0.5</v>
      </c>
      <c r="N1531" s="1135"/>
      <c r="O1531" s="2340">
        <v>0.88300000000000001</v>
      </c>
      <c r="P1531" s="1135"/>
      <c r="Q1531" s="1135"/>
      <c r="R1531" s="1135"/>
      <c r="S1531" s="1135"/>
      <c r="T1531" s="1135"/>
      <c r="U1531" s="2041"/>
    </row>
    <row r="1532" spans="2:21" hidden="1" outlineLevel="2">
      <c r="B1532" s="1050">
        <v>137</v>
      </c>
      <c r="C1532" s="1050" t="str">
        <f t="shared" si="178"/>
        <v>Rostis ou Galette de pomme de terre, France continentale, Base Carbone</v>
      </c>
      <c r="D1532" s="1051">
        <f t="shared" si="179"/>
        <v>137</v>
      </c>
      <c r="E1532" s="1051" t="str">
        <f>IF(COUNTIF(E$1395:E1531,F1532)&gt;0,"",F1532)</f>
        <v>Rostis ou Galette de pomme de terre, France continentale, Base Carbone</v>
      </c>
      <c r="F1532" s="1051" t="str">
        <f t="shared" si="180"/>
        <v>Rostis ou Galette de pomme de terre, France continentale, Base Carbone</v>
      </c>
      <c r="G1532" s="1055" t="str">
        <f t="shared" si="181"/>
        <v>Rostis ou Galette de pomme de terre, France continentale, Base Carbone; kgCO2e/kg de produit</v>
      </c>
      <c r="I1532" s="2018" t="s">
        <v>4615</v>
      </c>
      <c r="J1532" s="1135" t="s">
        <v>4654</v>
      </c>
      <c r="K1532" s="1119" t="s">
        <v>1567</v>
      </c>
      <c r="L1532" s="1135" t="s">
        <v>1571</v>
      </c>
      <c r="M1532" s="2038">
        <v>0.5</v>
      </c>
      <c r="N1532" s="1135"/>
      <c r="O1532" s="2340">
        <v>1.03</v>
      </c>
      <c r="P1532" s="1135"/>
      <c r="Q1532" s="1135"/>
      <c r="R1532" s="1135"/>
      <c r="S1532" s="1135"/>
      <c r="T1532" s="1135"/>
      <c r="U1532" s="2041"/>
    </row>
    <row r="1533" spans="2:21" hidden="1" outlineLevel="2">
      <c r="B1533" s="1050">
        <v>138</v>
      </c>
      <c r="C1533" s="1050" t="str">
        <f t="shared" si="178"/>
        <v>Rutabaga, cuit, France continentale, Base Carbone</v>
      </c>
      <c r="D1533" s="1051">
        <f t="shared" si="179"/>
        <v>138</v>
      </c>
      <c r="E1533" s="1051" t="str">
        <f>IF(COUNTIF(E$1395:E1532,F1533)&gt;0,"",F1533)</f>
        <v>Rutabaga, cuit, France continentale, Base Carbone</v>
      </c>
      <c r="F1533" s="1051" t="str">
        <f t="shared" si="180"/>
        <v>Rutabaga, cuit, France continentale, Base Carbone</v>
      </c>
      <c r="G1533" s="1055" t="str">
        <f t="shared" si="181"/>
        <v>Rutabaga, cuit, France continentale, Base Carbone; kgCO2e/kg de produit</v>
      </c>
      <c r="I1533" s="2018" t="s">
        <v>4616</v>
      </c>
      <c r="J1533" s="1135" t="s">
        <v>4654</v>
      </c>
      <c r="K1533" s="1119" t="s">
        <v>1567</v>
      </c>
      <c r="L1533" s="1135" t="s">
        <v>1571</v>
      </c>
      <c r="M1533" s="2038">
        <v>0.5</v>
      </c>
      <c r="N1533" s="1135"/>
      <c r="O1533" s="2340">
        <v>1.05</v>
      </c>
      <c r="P1533" s="1135"/>
      <c r="Q1533" s="1135"/>
      <c r="R1533" s="1135"/>
      <c r="S1533" s="1135"/>
      <c r="T1533" s="1135"/>
      <c r="U1533" s="2041"/>
    </row>
    <row r="1534" spans="2:21" hidden="1" outlineLevel="2">
      <c r="B1534" s="1050">
        <v>139</v>
      </c>
      <c r="C1534" s="1050" t="str">
        <f t="shared" si="178"/>
        <v>Salade de fruits, crue, France continentale, Base Carbone</v>
      </c>
      <c r="D1534" s="1051">
        <f t="shared" si="179"/>
        <v>139</v>
      </c>
      <c r="E1534" s="1051" t="str">
        <f>IF(COUNTIF(E$1395:E1533,F1534)&gt;0,"",F1534)</f>
        <v>Salade de fruits, crue, France continentale, Base Carbone</v>
      </c>
      <c r="F1534" s="1051" t="str">
        <f t="shared" si="180"/>
        <v>Salade de fruits, crue, France continentale, Base Carbone</v>
      </c>
      <c r="G1534" s="1055" t="str">
        <f t="shared" si="181"/>
        <v>Salade de fruits, crue, France continentale, Base Carbone; kgCO2e/kg de produit</v>
      </c>
      <c r="I1534" s="2018" t="s">
        <v>4617</v>
      </c>
      <c r="J1534" s="1135" t="s">
        <v>4654</v>
      </c>
      <c r="K1534" s="1119" t="s">
        <v>1567</v>
      </c>
      <c r="L1534" s="1135" t="s">
        <v>1571</v>
      </c>
      <c r="M1534" s="2038">
        <v>0.5</v>
      </c>
      <c r="N1534" s="1135"/>
      <c r="O1534" s="2340">
        <v>1.07</v>
      </c>
      <c r="P1534" s="1135"/>
      <c r="Q1534" s="1135"/>
      <c r="R1534" s="1135"/>
      <c r="S1534" s="1135"/>
      <c r="T1534" s="1135"/>
      <c r="U1534" s="2041"/>
    </row>
    <row r="1535" spans="2:21" hidden="1" outlineLevel="2">
      <c r="B1535" s="1050">
        <v>140</v>
      </c>
      <c r="C1535" s="1050" t="str">
        <f t="shared" si="178"/>
        <v>Salade verte, crue, sans assaisonnement, France continentale, Base Carbone</v>
      </c>
      <c r="D1535" s="1051">
        <f t="shared" si="179"/>
        <v>140</v>
      </c>
      <c r="E1535" s="1051" t="str">
        <f>IF(COUNTIF(E$1395:E1534,F1535)&gt;0,"",F1535)</f>
        <v>Salade verte, crue, sans assaisonnement, France continentale, Base Carbone</v>
      </c>
      <c r="F1535" s="1051" t="str">
        <f t="shared" si="180"/>
        <v>Salade verte, crue, sans assaisonnement, France continentale, Base Carbone</v>
      </c>
      <c r="G1535" s="1055" t="str">
        <f t="shared" si="181"/>
        <v>Salade verte, crue, sans assaisonnement, France continentale, Base Carbone; kgCO2e/kg de produit</v>
      </c>
      <c r="I1535" s="2018" t="s">
        <v>4618</v>
      </c>
      <c r="J1535" s="1135" t="s">
        <v>4654</v>
      </c>
      <c r="K1535" s="1119" t="s">
        <v>1567</v>
      </c>
      <c r="L1535" s="1135" t="s">
        <v>1571</v>
      </c>
      <c r="M1535" s="2038">
        <v>0.5</v>
      </c>
      <c r="N1535" s="1135"/>
      <c r="O1535" s="2340">
        <v>0.88300000000000001</v>
      </c>
      <c r="P1535" s="1135"/>
      <c r="Q1535" s="1135"/>
      <c r="R1535" s="1135"/>
      <c r="S1535" s="1135"/>
      <c r="T1535" s="1135"/>
      <c r="U1535" s="2041"/>
    </row>
    <row r="1536" spans="2:21" hidden="1" outlineLevel="2">
      <c r="B1536" s="1050">
        <v>141</v>
      </c>
      <c r="C1536" s="1050" t="str">
        <f t="shared" si="178"/>
        <v>Scarole, crue, France continentale, Base Carbone</v>
      </c>
      <c r="D1536" s="1051">
        <f t="shared" si="179"/>
        <v>141</v>
      </c>
      <c r="E1536" s="1051" t="str">
        <f>IF(COUNTIF(E$1395:E1535,F1536)&gt;0,"",F1536)</f>
        <v>Scarole, crue, France continentale, Base Carbone</v>
      </c>
      <c r="F1536" s="1051" t="str">
        <f t="shared" si="180"/>
        <v>Scarole, crue, France continentale, Base Carbone</v>
      </c>
      <c r="G1536" s="1055" t="str">
        <f t="shared" si="181"/>
        <v>Scarole, crue, France continentale, Base Carbone; kgCO2e/kg de produit</v>
      </c>
      <c r="I1536" s="2018" t="s">
        <v>4619</v>
      </c>
      <c r="J1536" s="1135" t="s">
        <v>4654</v>
      </c>
      <c r="K1536" s="1119" t="s">
        <v>1567</v>
      </c>
      <c r="L1536" s="1135" t="s">
        <v>1571</v>
      </c>
      <c r="M1536" s="2038">
        <v>0.5</v>
      </c>
      <c r="N1536" s="1135"/>
      <c r="O1536" s="2340">
        <v>1.1100000000000001</v>
      </c>
      <c r="P1536" s="1135"/>
      <c r="Q1536" s="1135"/>
      <c r="R1536" s="1135"/>
      <c r="S1536" s="1135"/>
      <c r="T1536" s="1135"/>
      <c r="U1536" s="2041"/>
    </row>
    <row r="1537" spans="2:21" hidden="1" outlineLevel="2">
      <c r="B1537" s="1050">
        <v>142</v>
      </c>
      <c r="C1537" s="1050" t="str">
        <f t="shared" si="178"/>
        <v>Sésame, graine, France continentale, Base Carbone</v>
      </c>
      <c r="D1537" s="1051">
        <f t="shared" si="179"/>
        <v>142</v>
      </c>
      <c r="E1537" s="1051" t="str">
        <f>IF(COUNTIF(E$1395:E1536,F1537)&gt;0,"",F1537)</f>
        <v>Sésame, graine, France continentale, Base Carbone</v>
      </c>
      <c r="F1537" s="1051" t="str">
        <f t="shared" si="180"/>
        <v>Sésame, graine, France continentale, Base Carbone</v>
      </c>
      <c r="G1537" s="1055" t="str">
        <f t="shared" si="181"/>
        <v>Sésame, graine, France continentale, Base Carbone; kgCO2e/kg de produit</v>
      </c>
      <c r="I1537" s="2018" t="s">
        <v>4620</v>
      </c>
      <c r="J1537" s="1135" t="s">
        <v>4654</v>
      </c>
      <c r="K1537" s="1119" t="s">
        <v>1567</v>
      </c>
      <c r="L1537" s="1135" t="s">
        <v>1571</v>
      </c>
      <c r="M1537" s="2038">
        <v>0.5</v>
      </c>
      <c r="N1537" s="1135"/>
      <c r="O1537" s="2340">
        <v>6.06</v>
      </c>
      <c r="P1537" s="1135"/>
      <c r="Q1537" s="1135"/>
      <c r="R1537" s="1135"/>
      <c r="S1537" s="1135"/>
      <c r="T1537" s="1135"/>
      <c r="U1537" s="2041"/>
    </row>
    <row r="1538" spans="2:21" hidden="1" outlineLevel="2">
      <c r="B1538" s="1050">
        <v>143</v>
      </c>
      <c r="C1538" s="1050" t="str">
        <f t="shared" si="178"/>
        <v>Sureau, baie, crue, France continentale, Base Carbone</v>
      </c>
      <c r="D1538" s="1051">
        <f t="shared" si="179"/>
        <v>143</v>
      </c>
      <c r="E1538" s="1051" t="str">
        <f>IF(COUNTIF(E$1395:E1537,F1538)&gt;0,"",F1538)</f>
        <v>Sureau, baie, crue, France continentale, Base Carbone</v>
      </c>
      <c r="F1538" s="1051" t="str">
        <f t="shared" si="180"/>
        <v>Sureau, baie, crue, France continentale, Base Carbone</v>
      </c>
      <c r="G1538" s="1055" t="str">
        <f t="shared" si="181"/>
        <v>Sureau, baie, crue, France continentale, Base Carbone; kgCO2e/kg de produit</v>
      </c>
      <c r="I1538" s="2018" t="s">
        <v>4621</v>
      </c>
      <c r="J1538" s="1135" t="s">
        <v>4654</v>
      </c>
      <c r="K1538" s="1119" t="s">
        <v>1567</v>
      </c>
      <c r="L1538" s="1135" t="s">
        <v>1571</v>
      </c>
      <c r="M1538" s="2038">
        <v>0.5</v>
      </c>
      <c r="N1538" s="1135"/>
      <c r="O1538" s="2340">
        <v>0.84499999999999997</v>
      </c>
      <c r="P1538" s="1135"/>
      <c r="Q1538" s="1135"/>
      <c r="R1538" s="1135"/>
      <c r="S1538" s="1135"/>
      <c r="T1538" s="1135"/>
      <c r="U1538" s="2041"/>
    </row>
    <row r="1539" spans="2:21" hidden="1" outlineLevel="2">
      <c r="B1539" s="1050">
        <v>144</v>
      </c>
      <c r="C1539" s="1050" t="str">
        <f t="shared" si="178"/>
        <v>Tamarin, fruit immature, pulpe, cru, France continentale, Base Carbone</v>
      </c>
      <c r="D1539" s="1051">
        <f t="shared" si="179"/>
        <v>144</v>
      </c>
      <c r="E1539" s="1051" t="str">
        <f>IF(COUNTIF(E$1395:E1538,F1539)&gt;0,"",F1539)</f>
        <v>Tamarin, fruit immature, pulpe, cru, France continentale, Base Carbone</v>
      </c>
      <c r="F1539" s="1051" t="str">
        <f t="shared" si="180"/>
        <v>Tamarin, fruit immature, pulpe, cru, France continentale, Base Carbone</v>
      </c>
      <c r="G1539" s="1055" t="str">
        <f t="shared" si="181"/>
        <v>Tamarin, fruit immature, pulpe, cru, France continentale, Base Carbone; kgCO2e/kg de produit</v>
      </c>
      <c r="I1539" s="2018" t="s">
        <v>4622</v>
      </c>
      <c r="J1539" s="1135" t="s">
        <v>4654</v>
      </c>
      <c r="K1539" s="1119" t="s">
        <v>1567</v>
      </c>
      <c r="L1539" s="1135" t="s">
        <v>1571</v>
      </c>
      <c r="M1539" s="2038">
        <v>0.5</v>
      </c>
      <c r="N1539" s="1135"/>
      <c r="O1539" s="2340">
        <v>0.45800000000000002</v>
      </c>
      <c r="P1539" s="1135"/>
      <c r="Q1539" s="1135"/>
      <c r="R1539" s="1135"/>
      <c r="S1539" s="1135"/>
      <c r="T1539" s="1135"/>
      <c r="U1539" s="2041"/>
    </row>
    <row r="1540" spans="2:21" hidden="1" outlineLevel="2">
      <c r="B1540" s="1050">
        <v>145</v>
      </c>
      <c r="C1540" s="1050" t="str">
        <f t="shared" si="178"/>
        <v>Tapioca ou Perles du Japon, cru, France continentale, Base Carbone</v>
      </c>
      <c r="D1540" s="1051">
        <f t="shared" si="179"/>
        <v>145</v>
      </c>
      <c r="E1540" s="1051" t="str">
        <f>IF(COUNTIF(E$1395:E1539,F1540)&gt;0,"",F1540)</f>
        <v>Tapioca ou Perles du Japon, cru, France continentale, Base Carbone</v>
      </c>
      <c r="F1540" s="1051" t="str">
        <f t="shared" si="180"/>
        <v>Tapioca ou Perles du Japon, cru, France continentale, Base Carbone</v>
      </c>
      <c r="G1540" s="1055" t="str">
        <f t="shared" si="181"/>
        <v>Tapioca ou Perles du Japon, cru, France continentale, Base Carbone; kgCO2e/kg de produit</v>
      </c>
      <c r="I1540" s="2018" t="s">
        <v>4623</v>
      </c>
      <c r="J1540" s="1135" t="s">
        <v>4654</v>
      </c>
      <c r="K1540" s="1119" t="s">
        <v>1567</v>
      </c>
      <c r="L1540" s="1135" t="s">
        <v>1571</v>
      </c>
      <c r="M1540" s="2038">
        <v>0.5</v>
      </c>
      <c r="N1540" s="1135"/>
      <c r="O1540" s="2340">
        <v>1.0900000000000001</v>
      </c>
      <c r="P1540" s="1135"/>
      <c r="Q1540" s="1135"/>
      <c r="R1540" s="1135"/>
      <c r="S1540" s="1135"/>
      <c r="T1540" s="1135"/>
      <c r="U1540" s="2041"/>
    </row>
    <row r="1541" spans="2:21" hidden="1" outlineLevel="2">
      <c r="B1541" s="1050">
        <v>146</v>
      </c>
      <c r="C1541" s="1050" t="str">
        <f t="shared" si="178"/>
        <v>Taro, tubercule, cuit, France continentale, Base Carbone</v>
      </c>
      <c r="D1541" s="1051">
        <f t="shared" si="179"/>
        <v>146</v>
      </c>
      <c r="E1541" s="1051" t="str">
        <f>IF(COUNTIF(E$1395:E1540,F1541)&gt;0,"",F1541)</f>
        <v>Taro, tubercule, cuit, France continentale, Base Carbone</v>
      </c>
      <c r="F1541" s="1051" t="str">
        <f t="shared" si="180"/>
        <v>Taro, tubercule, cuit, France continentale, Base Carbone</v>
      </c>
      <c r="G1541" s="1055" t="str">
        <f t="shared" si="181"/>
        <v>Taro, tubercule, cuit, France continentale, Base Carbone; kgCO2e/kg de produit</v>
      </c>
      <c r="I1541" s="2018" t="s">
        <v>4624</v>
      </c>
      <c r="J1541" s="1135" t="s">
        <v>4654</v>
      </c>
      <c r="K1541" s="1119" t="s">
        <v>1567</v>
      </c>
      <c r="L1541" s="1135" t="s">
        <v>1571</v>
      </c>
      <c r="M1541" s="2038">
        <v>0.5</v>
      </c>
      <c r="N1541" s="1135"/>
      <c r="O1541" s="2340">
        <v>1.8</v>
      </c>
      <c r="P1541" s="1135"/>
      <c r="Q1541" s="1135"/>
      <c r="R1541" s="1135"/>
      <c r="S1541" s="1135"/>
      <c r="T1541" s="1135"/>
      <c r="U1541" s="2041"/>
    </row>
    <row r="1542" spans="2:21" hidden="1" outlineLevel="2">
      <c r="B1542" s="1050">
        <v>147</v>
      </c>
      <c r="C1542" s="1050" t="str">
        <f t="shared" si="178"/>
        <v>Tomate, crue, France continentale, Base Carbone</v>
      </c>
      <c r="D1542" s="1051">
        <f t="shared" si="179"/>
        <v>147</v>
      </c>
      <c r="E1542" s="1051" t="str">
        <f>IF(COUNTIF(E$1395:E1541,F1542)&gt;0,"",F1542)</f>
        <v>Tomate, crue, France continentale, Base Carbone</v>
      </c>
      <c r="F1542" s="1051" t="str">
        <f t="shared" si="180"/>
        <v>Tomate, crue, France continentale, Base Carbone</v>
      </c>
      <c r="G1542" s="1055" t="str">
        <f t="shared" si="181"/>
        <v>Tomate, crue, France continentale, Base Carbone; kgCO2e/kg de produit</v>
      </c>
      <c r="I1542" s="2018" t="s">
        <v>4625</v>
      </c>
      <c r="J1542" s="1135" t="s">
        <v>4654</v>
      </c>
      <c r="K1542" s="1119" t="s">
        <v>1567</v>
      </c>
      <c r="L1542" s="1135" t="s">
        <v>1571</v>
      </c>
      <c r="M1542" s="2038">
        <v>0.5</v>
      </c>
      <c r="N1542" s="1135"/>
      <c r="O1542" s="2340">
        <v>0.624</v>
      </c>
      <c r="P1542" s="1135"/>
      <c r="Q1542" s="1135"/>
      <c r="R1542" s="1135"/>
      <c r="S1542" s="1135"/>
      <c r="T1542" s="1135"/>
      <c r="U1542" s="2041"/>
    </row>
    <row r="1543" spans="2:21" hidden="1" outlineLevel="2">
      <c r="B1543" s="1050">
        <v>148</v>
      </c>
      <c r="C1543" s="1050" t="str">
        <f t="shared" si="178"/>
        <v>Tomate, pulpe et peau, bouillie/cuite à l'eau, France continentale, Base Carbone</v>
      </c>
      <c r="D1543" s="1051">
        <f t="shared" si="179"/>
        <v>148</v>
      </c>
      <c r="E1543" s="1051" t="str">
        <f>IF(COUNTIF(E$1395:E1542,F1543)&gt;0,"",F1543)</f>
        <v>Tomate, pulpe et peau, bouillie/cuite à l'eau, France continentale, Base Carbone</v>
      </c>
      <c r="F1543" s="1051" t="str">
        <f t="shared" si="180"/>
        <v>Tomate, pulpe et peau, bouillie/cuite à l'eau, France continentale, Base Carbone</v>
      </c>
      <c r="G1543" s="1055" t="str">
        <f t="shared" si="181"/>
        <v>Tomate, pulpe et peau, bouillie/cuite à l'eau, France continentale, Base Carbone; kgCO2e/kg de produit</v>
      </c>
      <c r="I1543" s="2018" t="s">
        <v>4626</v>
      </c>
      <c r="J1543" s="1135" t="s">
        <v>4654</v>
      </c>
      <c r="K1543" s="1119" t="s">
        <v>1567</v>
      </c>
      <c r="L1543" s="1135" t="s">
        <v>1571</v>
      </c>
      <c r="M1543" s="2038">
        <v>0.5</v>
      </c>
      <c r="N1543" s="1135"/>
      <c r="O1543" s="2340">
        <v>1.34</v>
      </c>
      <c r="P1543" s="1135"/>
      <c r="Q1543" s="1135"/>
      <c r="R1543" s="1135"/>
      <c r="S1543" s="1135"/>
      <c r="T1543" s="1135"/>
      <c r="U1543" s="2041"/>
    </row>
    <row r="1544" spans="2:21" hidden="1" outlineLevel="2">
      <c r="B1544" s="1050">
        <v>149</v>
      </c>
      <c r="C1544" s="1050" t="str">
        <f t="shared" si="178"/>
        <v>Tomate, séchée, France continentale, Base Carbone</v>
      </c>
      <c r="D1544" s="1051">
        <f t="shared" si="179"/>
        <v>149</v>
      </c>
      <c r="E1544" s="1051" t="str">
        <f>IF(COUNTIF(E$1395:E1543,F1544)&gt;0,"",F1544)</f>
        <v>Tomate, séchée, France continentale, Base Carbone</v>
      </c>
      <c r="F1544" s="1051" t="str">
        <f t="shared" si="180"/>
        <v>Tomate, séchée, France continentale, Base Carbone</v>
      </c>
      <c r="G1544" s="1055" t="str">
        <f t="shared" si="181"/>
        <v>Tomate, séchée, France continentale, Base Carbone; kgCO2e/kg de produit</v>
      </c>
      <c r="I1544" s="2018" t="s">
        <v>4627</v>
      </c>
      <c r="J1544" s="1135" t="s">
        <v>4654</v>
      </c>
      <c r="K1544" s="1119" t="s">
        <v>1567</v>
      </c>
      <c r="L1544" s="1135" t="s">
        <v>1571</v>
      </c>
      <c r="M1544" s="2038">
        <v>0.5</v>
      </c>
      <c r="N1544" s="1135"/>
      <c r="O1544" s="2340">
        <v>6.47</v>
      </c>
      <c r="P1544" s="1135"/>
      <c r="Q1544" s="1135"/>
      <c r="R1544" s="1135"/>
      <c r="S1544" s="1135"/>
      <c r="T1544" s="1135"/>
      <c r="U1544" s="2041"/>
    </row>
    <row r="1545" spans="2:21" hidden="1" outlineLevel="2">
      <c r="B1545" s="1050">
        <v>150</v>
      </c>
      <c r="C1545" s="1050" t="str">
        <f t="shared" si="178"/>
        <v>Topinambour, cuit, France continentale, Base Carbone</v>
      </c>
      <c r="D1545" s="1051">
        <f t="shared" si="179"/>
        <v>150</v>
      </c>
      <c r="E1545" s="1051" t="str">
        <f>IF(COUNTIF(E$1395:E1544,F1545)&gt;0,"",F1545)</f>
        <v>Topinambour, cuit, France continentale, Base Carbone</v>
      </c>
      <c r="F1545" s="1051" t="str">
        <f t="shared" si="180"/>
        <v>Topinambour, cuit, France continentale, Base Carbone</v>
      </c>
      <c r="G1545" s="1055" t="str">
        <f t="shared" si="181"/>
        <v>Topinambour, cuit, France continentale, Base Carbone; kgCO2e/kg de produit</v>
      </c>
      <c r="I1545" s="2018" t="s">
        <v>4628</v>
      </c>
      <c r="J1545" s="1135" t="s">
        <v>4654</v>
      </c>
      <c r="K1545" s="1119" t="s">
        <v>1567</v>
      </c>
      <c r="L1545" s="1135" t="s">
        <v>1571</v>
      </c>
      <c r="M1545" s="2038">
        <v>0.5</v>
      </c>
      <c r="N1545" s="1135"/>
      <c r="O1545" s="2340">
        <v>1.74</v>
      </c>
      <c r="P1545" s="1135"/>
      <c r="Q1545" s="1135"/>
      <c r="R1545" s="1135"/>
      <c r="S1545" s="1135"/>
      <c r="T1545" s="1135"/>
      <c r="U1545" s="2041"/>
    </row>
    <row r="1546" spans="2:21" hidden="1" outlineLevel="2">
      <c r="B1546" s="1050">
        <v>151</v>
      </c>
      <c r="C1546" s="1050" t="str">
        <f t="shared" si="178"/>
        <v>Tournesol, graine, France continentale, Base Carbone</v>
      </c>
      <c r="D1546" s="1051">
        <f t="shared" si="179"/>
        <v>151</v>
      </c>
      <c r="E1546" s="1051" t="str">
        <f>IF(COUNTIF(E$1395:E1545,F1546)&gt;0,"",F1546)</f>
        <v>Tournesol, graine, France continentale, Base Carbone</v>
      </c>
      <c r="F1546" s="1051" t="str">
        <f t="shared" si="180"/>
        <v>Tournesol, graine, France continentale, Base Carbone</v>
      </c>
      <c r="G1546" s="1055" t="str">
        <f t="shared" si="181"/>
        <v>Tournesol, graine, France continentale, Base Carbone; kgCO2e/kg de produit</v>
      </c>
      <c r="I1546" s="2018" t="s">
        <v>4629</v>
      </c>
      <c r="J1546" s="1135" t="s">
        <v>4654</v>
      </c>
      <c r="K1546" s="1119" t="s">
        <v>1567</v>
      </c>
      <c r="L1546" s="1135" t="s">
        <v>1571</v>
      </c>
      <c r="M1546" s="2038">
        <v>0.5</v>
      </c>
      <c r="N1546" s="1135"/>
      <c r="O1546" s="2340">
        <v>2.98</v>
      </c>
      <c r="P1546" s="1135"/>
      <c r="Q1546" s="1135"/>
      <c r="R1546" s="1135"/>
      <c r="S1546" s="1135"/>
      <c r="T1546" s="1135"/>
      <c r="U1546" s="2041"/>
    </row>
    <row r="1547" spans="2:21" hidden="1" outlineLevel="2">
      <c r="B1547" s="1050">
        <v>152</v>
      </c>
      <c r="C1547" s="1050" t="str">
        <f t="shared" si="178"/>
        <v>-</v>
      </c>
      <c r="D1547" s="1051">
        <f t="shared" si="179"/>
        <v>151</v>
      </c>
      <c r="E1547" s="1051" t="str">
        <f>IF(COUNTIF(E$1395:E1546,F1547)&gt;0,"",F1547)</f>
        <v/>
      </c>
      <c r="F1547" s="1051" t="str">
        <f t="shared" si="180"/>
        <v/>
      </c>
      <c r="G1547" s="1055" t="str">
        <f t="shared" si="181"/>
        <v/>
      </c>
      <c r="I1547" s="1100"/>
      <c r="J1547" s="1048"/>
      <c r="K1547" s="1048"/>
      <c r="L1547" s="1048"/>
      <c r="M1547" s="1048"/>
      <c r="N1547" s="1048"/>
      <c r="O1547" s="1048"/>
      <c r="P1547" s="1048"/>
      <c r="Q1547" s="1048"/>
      <c r="R1547" s="1048"/>
      <c r="S1547" s="1048"/>
      <c r="T1547" s="1048"/>
      <c r="U1547" s="1102"/>
    </row>
    <row r="1548" spans="2:21" hidden="1" outlineLevel="2">
      <c r="B1548" s="1050">
        <v>153</v>
      </c>
      <c r="C1548" s="1050" t="str">
        <f t="shared" si="178"/>
        <v>-</v>
      </c>
      <c r="D1548" s="1051">
        <f t="shared" si="179"/>
        <v>151</v>
      </c>
      <c r="E1548" s="1051" t="str">
        <f>IF(COUNTIF(E$1395:E1547,F1548)&gt;0,"",F1548)</f>
        <v/>
      </c>
      <c r="F1548" s="1051" t="str">
        <f t="shared" si="180"/>
        <v/>
      </c>
      <c r="G1548" s="1055" t="str">
        <f t="shared" si="181"/>
        <v/>
      </c>
      <c r="I1548" s="1100"/>
      <c r="J1548" s="1048"/>
      <c r="K1548" s="1048"/>
      <c r="L1548" s="1048"/>
      <c r="M1548" s="1048"/>
      <c r="N1548" s="1048"/>
      <c r="O1548" s="1048"/>
      <c r="P1548" s="1048"/>
      <c r="Q1548" s="1048"/>
      <c r="R1548" s="1048"/>
      <c r="S1548" s="1048"/>
      <c r="T1548" s="1048"/>
      <c r="U1548" s="1102"/>
    </row>
    <row r="1549" spans="2:21" hidden="1" outlineLevel="2">
      <c r="B1549" s="1050">
        <v>154</v>
      </c>
      <c r="C1549" s="1050" t="str">
        <f t="shared" si="178"/>
        <v>-</v>
      </c>
      <c r="D1549" s="1051">
        <f t="shared" si="179"/>
        <v>151</v>
      </c>
      <c r="E1549" s="1051" t="str">
        <f>IF(COUNTIF(E$1395:E1548,F1549)&gt;0,"",F1549)</f>
        <v/>
      </c>
      <c r="F1549" s="1051" t="str">
        <f t="shared" si="180"/>
        <v/>
      </c>
      <c r="G1549" s="1055" t="str">
        <f t="shared" si="181"/>
        <v/>
      </c>
      <c r="I1549" s="1100"/>
      <c r="J1549" s="1048"/>
      <c r="K1549" s="1048"/>
      <c r="L1549" s="1048"/>
      <c r="M1549" s="1048"/>
      <c r="N1549" s="1048"/>
      <c r="O1549" s="1048"/>
      <c r="P1549" s="1048"/>
      <c r="Q1549" s="1048"/>
      <c r="R1549" s="1048"/>
      <c r="S1549" s="1048"/>
      <c r="T1549" s="1048"/>
      <c r="U1549" s="1102"/>
    </row>
    <row r="1550" spans="2:21" hidden="1" outlineLevel="2">
      <c r="B1550" s="1050">
        <v>155</v>
      </c>
      <c r="C1550" s="1050" t="str">
        <f t="shared" si="178"/>
        <v>-</v>
      </c>
      <c r="D1550" s="1051">
        <f t="shared" si="179"/>
        <v>151</v>
      </c>
      <c r="E1550" s="1051" t="str">
        <f>IF(COUNTIF(E$1395:E1549,F1550)&gt;0,"",F1550)</f>
        <v/>
      </c>
      <c r="F1550" s="1051" t="str">
        <f t="shared" si="180"/>
        <v/>
      </c>
      <c r="G1550" s="1055" t="str">
        <f t="shared" si="181"/>
        <v/>
      </c>
      <c r="I1550" s="1100"/>
      <c r="J1550" s="1048"/>
      <c r="K1550" s="1048"/>
      <c r="L1550" s="1048"/>
      <c r="M1550" s="1048"/>
      <c r="N1550" s="1048"/>
      <c r="O1550" s="1048"/>
      <c r="P1550" s="1048"/>
      <c r="Q1550" s="1048"/>
      <c r="R1550" s="1048"/>
      <c r="S1550" s="1048"/>
      <c r="T1550" s="1048"/>
      <c r="U1550" s="1102"/>
    </row>
    <row r="1551" spans="2:21" hidden="1" outlineLevel="2">
      <c r="B1551" s="1050">
        <v>156</v>
      </c>
      <c r="C1551" s="1050" t="str">
        <f t="shared" si="178"/>
        <v>-</v>
      </c>
      <c r="D1551" s="1051">
        <f t="shared" si="179"/>
        <v>151</v>
      </c>
      <c r="E1551" s="1051" t="str">
        <f>IF(COUNTIF(E$1395:E1550,F1551)&gt;0,"",F1551)</f>
        <v/>
      </c>
      <c r="F1551" s="1051" t="str">
        <f t="shared" si="180"/>
        <v/>
      </c>
      <c r="G1551" s="1055" t="str">
        <f t="shared" si="181"/>
        <v/>
      </c>
      <c r="I1551" s="1100"/>
      <c r="J1551" s="1048"/>
      <c r="K1551" s="1048"/>
      <c r="L1551" s="1048"/>
      <c r="M1551" s="1048"/>
      <c r="N1551" s="1048"/>
      <c r="O1551" s="1048"/>
      <c r="P1551" s="1048"/>
      <c r="Q1551" s="1048"/>
      <c r="R1551" s="1048"/>
      <c r="S1551" s="1048"/>
      <c r="T1551" s="1048"/>
      <c r="U1551" s="1102"/>
    </row>
    <row r="1552" spans="2:21" hidden="1" outlineLevel="2">
      <c r="B1552" s="1050">
        <v>157</v>
      </c>
      <c r="C1552" s="1050" t="str">
        <f t="shared" si="178"/>
        <v>-</v>
      </c>
      <c r="D1552" s="1051">
        <f t="shared" si="179"/>
        <v>151</v>
      </c>
      <c r="E1552" s="1051" t="str">
        <f>IF(COUNTIF(E$1395:E1551,F1552)&gt;0,"",F1552)</f>
        <v/>
      </c>
      <c r="F1552" s="1051" t="str">
        <f t="shared" si="180"/>
        <v/>
      </c>
      <c r="G1552" s="1055" t="str">
        <f t="shared" si="181"/>
        <v/>
      </c>
      <c r="I1552" s="1100"/>
      <c r="J1552" s="1048"/>
      <c r="K1552" s="1048"/>
      <c r="L1552" s="1048"/>
      <c r="M1552" s="1048"/>
      <c r="N1552" s="1048"/>
      <c r="O1552" s="1048"/>
      <c r="P1552" s="1048"/>
      <c r="Q1552" s="1048"/>
      <c r="R1552" s="1048"/>
      <c r="S1552" s="1048"/>
      <c r="T1552" s="1048"/>
      <c r="U1552" s="1102"/>
    </row>
    <row r="1553" spans="2:21" hidden="1" outlineLevel="2">
      <c r="B1553" s="1050">
        <v>158</v>
      </c>
      <c r="C1553" s="1050" t="str">
        <f t="shared" si="178"/>
        <v>-</v>
      </c>
      <c r="D1553" s="1051">
        <f t="shared" si="179"/>
        <v>151</v>
      </c>
      <c r="E1553" s="1051" t="str">
        <f>IF(COUNTIF(E$1395:E1552,F1553)&gt;0,"",F1553)</f>
        <v/>
      </c>
      <c r="F1553" s="1051" t="str">
        <f t="shared" si="180"/>
        <v/>
      </c>
      <c r="G1553" s="1055" t="str">
        <f t="shared" si="181"/>
        <v/>
      </c>
      <c r="I1553" s="1100"/>
      <c r="J1553" s="1048"/>
      <c r="K1553" s="1048"/>
      <c r="L1553" s="1048"/>
      <c r="M1553" s="1048"/>
      <c r="N1553" s="1048"/>
      <c r="O1553" s="1048"/>
      <c r="P1553" s="1048"/>
      <c r="Q1553" s="1048"/>
      <c r="R1553" s="1048"/>
      <c r="S1553" s="1048"/>
      <c r="T1553" s="1048"/>
      <c r="U1553" s="1102"/>
    </row>
    <row r="1554" spans="2:21" hidden="1" outlineLevel="1">
      <c r="I1554" s="1711"/>
      <c r="J1554" s="1712"/>
      <c r="K1554" s="1712"/>
      <c r="L1554" s="1712"/>
      <c r="M1554" s="1712"/>
      <c r="N1554" s="1712"/>
      <c r="O1554" s="1712"/>
      <c r="P1554" s="1712"/>
      <c r="Q1554" s="1712"/>
      <c r="R1554" s="1712"/>
      <c r="S1554" s="1712"/>
      <c r="T1554" s="1712"/>
      <c r="U1554" s="1714"/>
    </row>
    <row r="1555" spans="2:21" s="1045" customFormat="1" ht="12.75" hidden="1" customHeight="1" outlineLevel="1" collapsed="1">
      <c r="B1555" s="3156" t="s">
        <v>4472</v>
      </c>
      <c r="C1555" s="3156"/>
      <c r="D1555" s="1051">
        <v>0</v>
      </c>
      <c r="E1555" s="1051"/>
      <c r="F1555" s="1051"/>
      <c r="G1555" s="1054"/>
      <c r="H1555" s="1046"/>
      <c r="I1555" s="1746"/>
      <c r="J1555" s="1742"/>
      <c r="K1555" s="1743"/>
      <c r="L1555" s="1743"/>
      <c r="M1555" s="1744"/>
      <c r="N1555" s="1742"/>
      <c r="O1555" s="1745"/>
      <c r="P1555" s="1743"/>
      <c r="Q1555" s="1743"/>
      <c r="R1555" s="1745"/>
      <c r="S1555" s="1745"/>
      <c r="T1555" s="1743"/>
      <c r="U1555" s="1747"/>
    </row>
    <row r="1556" spans="2:21" hidden="1" outlineLevel="2">
      <c r="B1556" s="1050">
        <v>1</v>
      </c>
      <c r="C1556" s="1050" t="str">
        <f t="shared" ref="C1556:C1587" si="182">IF(ISNA(VLOOKUP(B1556,$D$1555:$E$1698,2,FALSE)),"-",VLOOKUP(B1556,$D$1555:$E$1698,2,FALSE))</f>
        <v>Aligot (purée de pomme de terre à la tomme fraîche), France continentale, Base Carbone</v>
      </c>
      <c r="D1556" s="1051">
        <f>D1555+IF(LEN(E1556)&gt;0,1,0)</f>
        <v>1</v>
      </c>
      <c r="E1556" s="1051" t="str">
        <f>IF(COUNTIF(E$1555:E1555,F1556)&gt;0,"",F1556)</f>
        <v>Aligot (purée de pomme de terre à la tomme fraîche), France continentale, Base Carbone</v>
      </c>
      <c r="F1556" s="1051" t="str">
        <f>IF(I1556&lt;&gt;"",I1556&amp;IF(N1556&lt;&gt;""," "&amp;N1556,)&amp;IF(L1556&lt;&gt;"",", "&amp;L1556,"")&amp;IF(K1556&lt;&gt;"",", "&amp;K1556,""),"")</f>
        <v>Aligot (purée de pomme de terre à la tomme fraîche), France continentale, Base Carbone</v>
      </c>
      <c r="G1556" s="1055" t="str">
        <f>IF(F1556&lt;&gt;"",F1556&amp;IF(J1556&lt;&gt;"","; "&amp;J1556,""),"")</f>
        <v>Aligot (purée de pomme de terre à la tomme fraîche), France continentale, Base Carbone; kgCO2e/kg de produit</v>
      </c>
      <c r="I1556" s="2018" t="s">
        <v>4710</v>
      </c>
      <c r="J1556" s="1135" t="s">
        <v>4654</v>
      </c>
      <c r="K1556" s="1119" t="s">
        <v>1567</v>
      </c>
      <c r="L1556" s="1135" t="s">
        <v>1571</v>
      </c>
      <c r="M1556" s="2038">
        <v>0.5</v>
      </c>
      <c r="N1556" s="1135"/>
      <c r="O1556" s="2340">
        <v>4.05</v>
      </c>
      <c r="P1556" s="1135"/>
      <c r="Q1556" s="1135"/>
      <c r="R1556" s="1135"/>
      <c r="S1556" s="1135"/>
      <c r="T1556" s="1135"/>
      <c r="U1556" s="2041"/>
    </row>
    <row r="1557" spans="2:21" hidden="1" outlineLevel="2">
      <c r="B1557" s="1050">
        <v>2</v>
      </c>
      <c r="C1557" s="1050" t="str">
        <f t="shared" si="182"/>
        <v>Beignet de légumes, France continentale, Base Carbone</v>
      </c>
      <c r="D1557" s="1051">
        <f t="shared" ref="D1557:D1620" si="183">D1556+IF(LEN(E1557)&gt;0,1,0)</f>
        <v>2</v>
      </c>
      <c r="E1557" s="1051" t="str">
        <f>IF(COUNTIF(E$1555:E1556,F1557)&gt;0,"",F1557)</f>
        <v>Beignet de légumes, France continentale, Base Carbone</v>
      </c>
      <c r="F1557" s="1051" t="str">
        <f t="shared" ref="F1557:F1620" si="184">IF(I1557&lt;&gt;"",I1557&amp;IF(N1557&lt;&gt;""," "&amp;N1557,)&amp;IF(L1557&lt;&gt;"",", "&amp;L1557,"")&amp;IF(K1557&lt;&gt;"",", "&amp;K1557,""),"")</f>
        <v>Beignet de légumes, France continentale, Base Carbone</v>
      </c>
      <c r="G1557" s="1055" t="str">
        <f t="shared" ref="G1557:G1620" si="185">IF(F1557&lt;&gt;"",F1557&amp;IF(J1557&lt;&gt;"","; "&amp;J1557,""),"")</f>
        <v>Beignet de légumes, France continentale, Base Carbone; kgCO2e/kg de produit</v>
      </c>
      <c r="I1557" s="2018" t="s">
        <v>4711</v>
      </c>
      <c r="J1557" s="1135" t="s">
        <v>4654</v>
      </c>
      <c r="K1557" s="1119" t="s">
        <v>1567</v>
      </c>
      <c r="L1557" s="1135" t="s">
        <v>1571</v>
      </c>
      <c r="M1557" s="2038">
        <v>0.5</v>
      </c>
      <c r="N1557" s="1135"/>
      <c r="O1557" s="2340">
        <v>1.41</v>
      </c>
      <c r="P1557" s="1135"/>
      <c r="Q1557" s="1135"/>
      <c r="R1557" s="1135"/>
      <c r="S1557" s="1135"/>
      <c r="T1557" s="1135"/>
      <c r="U1557" s="2041"/>
    </row>
    <row r="1558" spans="2:21" hidden="1" outlineLevel="2">
      <c r="B1558" s="1050">
        <v>3</v>
      </c>
      <c r="C1558" s="1050" t="str">
        <f t="shared" si="182"/>
        <v>Beignet de viande, volaille ou poisson, fait maison, France continentale, Base Carbone</v>
      </c>
      <c r="D1558" s="1051">
        <f t="shared" si="183"/>
        <v>3</v>
      </c>
      <c r="E1558" s="1051" t="str">
        <f>IF(COUNTIF(E$1555:E1557,F1558)&gt;0,"",F1558)</f>
        <v>Beignet de viande, volaille ou poisson, fait maison, France continentale, Base Carbone</v>
      </c>
      <c r="F1558" s="1051" t="str">
        <f t="shared" si="184"/>
        <v>Beignet de viande, volaille ou poisson, fait maison, France continentale, Base Carbone</v>
      </c>
      <c r="G1558" s="1055" t="str">
        <f t="shared" si="185"/>
        <v>Beignet de viande, volaille ou poisson, fait maison, France continentale, Base Carbone; kgCO2e/kg de produit</v>
      </c>
      <c r="I1558" s="2018" t="s">
        <v>4712</v>
      </c>
      <c r="J1558" s="1135" t="s">
        <v>4654</v>
      </c>
      <c r="K1558" s="1119" t="s">
        <v>1567</v>
      </c>
      <c r="L1558" s="1135" t="s">
        <v>1571</v>
      </c>
      <c r="M1558" s="2038">
        <v>0.5</v>
      </c>
      <c r="N1558" s="1135"/>
      <c r="O1558" s="2340">
        <v>5.46</v>
      </c>
      <c r="P1558" s="1135"/>
      <c r="Q1558" s="1135"/>
      <c r="R1558" s="1135"/>
      <c r="S1558" s="1135"/>
      <c r="T1558" s="1135"/>
      <c r="U1558" s="2041"/>
    </row>
    <row r="1559" spans="2:21" hidden="1" outlineLevel="2">
      <c r="B1559" s="1050">
        <v>4</v>
      </c>
      <c r="C1559" s="1050" t="str">
        <f t="shared" si="182"/>
        <v>Blanquette de veau, France continentale, Base Carbone</v>
      </c>
      <c r="D1559" s="1051">
        <f t="shared" si="183"/>
        <v>4</v>
      </c>
      <c r="E1559" s="1051" t="str">
        <f>IF(COUNTIF(E$1555:E1558,F1559)&gt;0,"",F1559)</f>
        <v>Blanquette de veau, France continentale, Base Carbone</v>
      </c>
      <c r="F1559" s="1051" t="str">
        <f t="shared" si="184"/>
        <v>Blanquette de veau, France continentale, Base Carbone</v>
      </c>
      <c r="G1559" s="1055" t="str">
        <f t="shared" si="185"/>
        <v>Blanquette de veau, France continentale, Base Carbone; kgCO2e/kg de produit</v>
      </c>
      <c r="I1559" s="2018" t="s">
        <v>4713</v>
      </c>
      <c r="J1559" s="1135" t="s">
        <v>4654</v>
      </c>
      <c r="K1559" s="1119" t="s">
        <v>1567</v>
      </c>
      <c r="L1559" s="1135" t="s">
        <v>1571</v>
      </c>
      <c r="M1559" s="2038">
        <v>0.5</v>
      </c>
      <c r="N1559" s="1135"/>
      <c r="O1559" s="2340">
        <v>16.399999999999999</v>
      </c>
      <c r="P1559" s="1135"/>
      <c r="Q1559" s="1135"/>
      <c r="R1559" s="1135"/>
      <c r="S1559" s="1135"/>
      <c r="T1559" s="1135"/>
      <c r="U1559" s="2041"/>
    </row>
    <row r="1560" spans="2:21" hidden="1" outlineLevel="2">
      <c r="B1560" s="1050">
        <v>5</v>
      </c>
      <c r="C1560" s="1050" t="str">
        <f t="shared" si="182"/>
        <v>Blé dur précuit, grains entiers, cuisiné, à poêler, France continentale, Base Carbone</v>
      </c>
      <c r="D1560" s="1051">
        <f t="shared" si="183"/>
        <v>5</v>
      </c>
      <c r="E1560" s="1051" t="str">
        <f>IF(COUNTIF(E$1555:E1559,F1560)&gt;0,"",F1560)</f>
        <v>Blé dur précuit, grains entiers, cuisiné, à poêler, France continentale, Base Carbone</v>
      </c>
      <c r="F1560" s="1051" t="str">
        <f t="shared" si="184"/>
        <v>Blé dur précuit, grains entiers, cuisiné, à poêler, France continentale, Base Carbone</v>
      </c>
      <c r="G1560" s="1055" t="str">
        <f t="shared" si="185"/>
        <v>Blé dur précuit, grains entiers, cuisiné, à poêler, France continentale, Base Carbone; kgCO2e/kg de produit</v>
      </c>
      <c r="I1560" s="2018" t="s">
        <v>4714</v>
      </c>
      <c r="J1560" s="1135" t="s">
        <v>4654</v>
      </c>
      <c r="K1560" s="1119" t="s">
        <v>1567</v>
      </c>
      <c r="L1560" s="1135" t="s">
        <v>1571</v>
      </c>
      <c r="M1560" s="2038">
        <v>0.5</v>
      </c>
      <c r="N1560" s="1135"/>
      <c r="O1560" s="2340">
        <v>0.40500000000000003</v>
      </c>
      <c r="P1560" s="1135"/>
      <c r="Q1560" s="1135"/>
      <c r="R1560" s="1135"/>
      <c r="S1560" s="1135"/>
      <c r="T1560" s="1135"/>
      <c r="U1560" s="2041"/>
    </row>
    <row r="1561" spans="2:21" hidden="1" outlineLevel="2">
      <c r="B1561" s="1050">
        <v>6</v>
      </c>
      <c r="C1561" s="1050" t="str">
        <f t="shared" si="182"/>
        <v>Boeuf bourguignon, France continentale, Base Carbone</v>
      </c>
      <c r="D1561" s="1051">
        <f t="shared" si="183"/>
        <v>6</v>
      </c>
      <c r="E1561" s="1051" t="str">
        <f>IF(COUNTIF(E$1555:E1560,F1561)&gt;0,"",F1561)</f>
        <v>Boeuf bourguignon, France continentale, Base Carbone</v>
      </c>
      <c r="F1561" s="1051" t="str">
        <f t="shared" si="184"/>
        <v>Boeuf bourguignon, France continentale, Base Carbone</v>
      </c>
      <c r="G1561" s="1055" t="str">
        <f t="shared" si="185"/>
        <v>Boeuf bourguignon, France continentale, Base Carbone; kgCO2e/kg de produit</v>
      </c>
      <c r="I1561" s="2018" t="s">
        <v>4715</v>
      </c>
      <c r="J1561" s="1135" t="s">
        <v>4654</v>
      </c>
      <c r="K1561" s="1119" t="s">
        <v>1567</v>
      </c>
      <c r="L1561" s="1135" t="s">
        <v>1571</v>
      </c>
      <c r="M1561" s="2038">
        <v>0.5</v>
      </c>
      <c r="N1561" s="1135"/>
      <c r="O1561" s="2340">
        <v>28.2</v>
      </c>
      <c r="P1561" s="1135"/>
      <c r="Q1561" s="1135"/>
      <c r="R1561" s="1135"/>
      <c r="S1561" s="1135"/>
      <c r="T1561" s="1135"/>
      <c r="U1561" s="2041"/>
    </row>
    <row r="1562" spans="2:21" hidden="1" outlineLevel="2">
      <c r="B1562" s="1050">
        <v>7</v>
      </c>
      <c r="C1562" s="1050" t="str">
        <f t="shared" si="182"/>
        <v>Bouchée à la reine, à la viande/volaille/quenelle, France continentale, Base Carbone</v>
      </c>
      <c r="D1562" s="1051">
        <f t="shared" si="183"/>
        <v>7</v>
      </c>
      <c r="E1562" s="1051" t="str">
        <f>IF(COUNTIF(E$1555:E1561,F1562)&gt;0,"",F1562)</f>
        <v>Bouchée à la reine, à la viande/volaille/quenelle, France continentale, Base Carbone</v>
      </c>
      <c r="F1562" s="1051" t="str">
        <f t="shared" si="184"/>
        <v>Bouchée à la reine, à la viande/volaille/quenelle, France continentale, Base Carbone</v>
      </c>
      <c r="G1562" s="1055" t="str">
        <f t="shared" si="185"/>
        <v>Bouchée à la reine, à la viande/volaille/quenelle, France continentale, Base Carbone; kgCO2e/kg de produit</v>
      </c>
      <c r="I1562" s="2018" t="s">
        <v>4716</v>
      </c>
      <c r="J1562" s="1135" t="s">
        <v>4654</v>
      </c>
      <c r="K1562" s="1119" t="s">
        <v>1567</v>
      </c>
      <c r="L1562" s="1135" t="s">
        <v>1571</v>
      </c>
      <c r="M1562" s="2038">
        <v>0.5</v>
      </c>
      <c r="N1562" s="1135"/>
      <c r="O1562" s="2340">
        <v>7.72</v>
      </c>
      <c r="P1562" s="1135"/>
      <c r="Q1562" s="1135"/>
      <c r="R1562" s="1135"/>
      <c r="S1562" s="1135"/>
      <c r="T1562" s="1135"/>
      <c r="U1562" s="2041"/>
    </row>
    <row r="1563" spans="2:21" hidden="1" outlineLevel="2">
      <c r="B1563" s="1050">
        <v>8</v>
      </c>
      <c r="C1563" s="1050" t="str">
        <f t="shared" si="182"/>
        <v>Bouillon de légumes, déshydraté reconstitué, France continentale, Base Carbone</v>
      </c>
      <c r="D1563" s="1051">
        <f t="shared" si="183"/>
        <v>8</v>
      </c>
      <c r="E1563" s="1051" t="str">
        <f>IF(COUNTIF(E$1555:E1562,F1563)&gt;0,"",F1563)</f>
        <v>Bouillon de légumes, déshydraté reconstitué, France continentale, Base Carbone</v>
      </c>
      <c r="F1563" s="1051" t="str">
        <f t="shared" si="184"/>
        <v>Bouillon de légumes, déshydraté reconstitué, France continentale, Base Carbone</v>
      </c>
      <c r="G1563" s="1055" t="str">
        <f t="shared" si="185"/>
        <v>Bouillon de légumes, déshydraté reconstitué, France continentale, Base Carbone; kgCO2e/kg de produit</v>
      </c>
      <c r="I1563" s="2018" t="s">
        <v>4350</v>
      </c>
      <c r="J1563" s="1135" t="s">
        <v>4654</v>
      </c>
      <c r="K1563" s="1119" t="s">
        <v>1567</v>
      </c>
      <c r="L1563" s="1135" t="s">
        <v>1571</v>
      </c>
      <c r="M1563" s="2038">
        <v>0.5</v>
      </c>
      <c r="N1563" s="1135"/>
      <c r="O1563" s="2340">
        <v>0.32100000000000001</v>
      </c>
      <c r="P1563" s="1135"/>
      <c r="Q1563" s="1135"/>
      <c r="R1563" s="1135"/>
      <c r="S1563" s="1135"/>
      <c r="T1563" s="1135"/>
      <c r="U1563" s="2041"/>
    </row>
    <row r="1564" spans="2:21" hidden="1" outlineLevel="2">
      <c r="B1564" s="1050">
        <v>9</v>
      </c>
      <c r="C1564" s="1050" t="str">
        <f t="shared" si="182"/>
        <v>Boulettes au bœuf, à la sauce tomate, France continentale, Base Carbone</v>
      </c>
      <c r="D1564" s="1051">
        <f t="shared" si="183"/>
        <v>9</v>
      </c>
      <c r="E1564" s="1051" t="str">
        <f>IF(COUNTIF(E$1555:E1563,F1564)&gt;0,"",F1564)</f>
        <v>Boulettes au bœuf, à la sauce tomate, France continentale, Base Carbone</v>
      </c>
      <c r="F1564" s="1051" t="str">
        <f t="shared" si="184"/>
        <v>Boulettes au bœuf, à la sauce tomate, France continentale, Base Carbone</v>
      </c>
      <c r="G1564" s="1055" t="str">
        <f t="shared" si="185"/>
        <v>Boulettes au bœuf, à la sauce tomate, France continentale, Base Carbone; kgCO2e/kg de produit</v>
      </c>
      <c r="I1564" s="2018" t="s">
        <v>4351</v>
      </c>
      <c r="J1564" s="1135" t="s">
        <v>4654</v>
      </c>
      <c r="K1564" s="1119" t="s">
        <v>1567</v>
      </c>
      <c r="L1564" s="1135" t="s">
        <v>1571</v>
      </c>
      <c r="M1564" s="2038">
        <v>0.5</v>
      </c>
      <c r="N1564" s="1135"/>
      <c r="O1564" s="2340">
        <v>13.9</v>
      </c>
      <c r="P1564" s="1135"/>
      <c r="Q1564" s="1135"/>
      <c r="R1564" s="1135"/>
      <c r="S1564" s="1135"/>
      <c r="T1564" s="1135"/>
      <c r="U1564" s="2041"/>
    </row>
    <row r="1565" spans="2:21" hidden="1" outlineLevel="2">
      <c r="B1565" s="1050">
        <v>10</v>
      </c>
      <c r="C1565" s="1050" t="str">
        <f t="shared" si="182"/>
        <v>Brick garni (garniture : crevettes, légumes, volaille, viande, poisson, etc.), France continentale, Base Carbone</v>
      </c>
      <c r="D1565" s="1051">
        <f t="shared" si="183"/>
        <v>10</v>
      </c>
      <c r="E1565" s="1051" t="str">
        <f>IF(COUNTIF(E$1555:E1564,F1565)&gt;0,"",F1565)</f>
        <v>Brick garni (garniture : crevettes, légumes, volaille, viande, poisson, etc.), France continentale, Base Carbone</v>
      </c>
      <c r="F1565" s="1051" t="str">
        <f t="shared" si="184"/>
        <v>Brick garni (garniture : crevettes, légumes, volaille, viande, poisson, etc.), France continentale, Base Carbone</v>
      </c>
      <c r="G1565" s="1055" t="str">
        <f t="shared" si="185"/>
        <v>Brick garni (garniture : crevettes, légumes, volaille, viande, poisson, etc.), France continentale, Base Carbone; kgCO2e/kg de produit</v>
      </c>
      <c r="I1565" s="2018" t="s">
        <v>4352</v>
      </c>
      <c r="J1565" s="1135" t="s">
        <v>4654</v>
      </c>
      <c r="K1565" s="1119" t="s">
        <v>1567</v>
      </c>
      <c r="L1565" s="1135" t="s">
        <v>1571</v>
      </c>
      <c r="M1565" s="2038">
        <v>0.5</v>
      </c>
      <c r="N1565" s="1135"/>
      <c r="O1565" s="2340">
        <v>2.74</v>
      </c>
      <c r="P1565" s="1135"/>
      <c r="Q1565" s="1135"/>
      <c r="R1565" s="1135"/>
      <c r="S1565" s="1135"/>
      <c r="T1565" s="1135"/>
      <c r="U1565" s="2041"/>
    </row>
    <row r="1566" spans="2:21" hidden="1" outlineLevel="2">
      <c r="B1566" s="1050">
        <v>11</v>
      </c>
      <c r="C1566" s="1050" t="str">
        <f t="shared" si="182"/>
        <v>Brochette de poisson, France continentale, Base Carbone</v>
      </c>
      <c r="D1566" s="1051">
        <f t="shared" si="183"/>
        <v>11</v>
      </c>
      <c r="E1566" s="1051" t="str">
        <f>IF(COUNTIF(E$1555:E1565,F1566)&gt;0,"",F1566)</f>
        <v>Brochette de poisson, France continentale, Base Carbone</v>
      </c>
      <c r="F1566" s="1051" t="str">
        <f t="shared" si="184"/>
        <v>Brochette de poisson, France continentale, Base Carbone</v>
      </c>
      <c r="G1566" s="1055" t="str">
        <f t="shared" si="185"/>
        <v>Brochette de poisson, France continentale, Base Carbone; kgCO2e/kg de produit</v>
      </c>
      <c r="I1566" s="2018" t="s">
        <v>4353</v>
      </c>
      <c r="J1566" s="1135" t="s">
        <v>4654</v>
      </c>
      <c r="K1566" s="1119" t="s">
        <v>1567</v>
      </c>
      <c r="L1566" s="1135" t="s">
        <v>1571</v>
      </c>
      <c r="M1566" s="2038">
        <v>0.5</v>
      </c>
      <c r="N1566" s="1135"/>
      <c r="O1566" s="2340">
        <v>13.5</v>
      </c>
      <c r="P1566" s="1135"/>
      <c r="Q1566" s="1135"/>
      <c r="R1566" s="1135"/>
      <c r="S1566" s="1135"/>
      <c r="T1566" s="1135"/>
      <c r="U1566" s="2041"/>
    </row>
    <row r="1567" spans="2:21" hidden="1" outlineLevel="2">
      <c r="B1567" s="1050">
        <v>12</v>
      </c>
      <c r="C1567" s="1050" t="str">
        <f t="shared" si="182"/>
        <v>Burger au poisson, France continentale, Base Carbone</v>
      </c>
      <c r="D1567" s="1051">
        <f t="shared" si="183"/>
        <v>12</v>
      </c>
      <c r="E1567" s="1051" t="str">
        <f>IF(COUNTIF(E$1555:E1566,F1567)&gt;0,"",F1567)</f>
        <v>Burger au poisson, France continentale, Base Carbone</v>
      </c>
      <c r="F1567" s="1051" t="str">
        <f t="shared" si="184"/>
        <v>Burger au poisson, France continentale, Base Carbone</v>
      </c>
      <c r="G1567" s="1055" t="str">
        <f t="shared" si="185"/>
        <v>Burger au poisson, France continentale, Base Carbone; kgCO2e/kg de produit</v>
      </c>
      <c r="I1567" s="2018" t="s">
        <v>4354</v>
      </c>
      <c r="J1567" s="1135" t="s">
        <v>4654</v>
      </c>
      <c r="K1567" s="1119" t="s">
        <v>1567</v>
      </c>
      <c r="L1567" s="1135" t="s">
        <v>1571</v>
      </c>
      <c r="M1567" s="2038">
        <v>0.5</v>
      </c>
      <c r="N1567" s="1135"/>
      <c r="O1567" s="2340">
        <v>1.66</v>
      </c>
      <c r="P1567" s="1135"/>
      <c r="Q1567" s="1135"/>
      <c r="R1567" s="1135"/>
      <c r="S1567" s="1135"/>
      <c r="T1567" s="1135"/>
      <c r="U1567" s="2041"/>
    </row>
    <row r="1568" spans="2:21" hidden="1" outlineLevel="2">
      <c r="B1568" s="1050">
        <v>13</v>
      </c>
      <c r="C1568" s="1050" t="str">
        <f t="shared" si="182"/>
        <v>Burger au poulet, France continentale, Base Carbone</v>
      </c>
      <c r="D1568" s="1051">
        <f t="shared" si="183"/>
        <v>13</v>
      </c>
      <c r="E1568" s="1051" t="str">
        <f>IF(COUNTIF(E$1555:E1567,F1568)&gt;0,"",F1568)</f>
        <v>Burger au poulet, France continentale, Base Carbone</v>
      </c>
      <c r="F1568" s="1051" t="str">
        <f t="shared" si="184"/>
        <v>Burger au poulet, France continentale, Base Carbone</v>
      </c>
      <c r="G1568" s="1055" t="str">
        <f t="shared" si="185"/>
        <v>Burger au poulet, France continentale, Base Carbone; kgCO2e/kg de produit</v>
      </c>
      <c r="I1568" s="2018" t="s">
        <v>4355</v>
      </c>
      <c r="J1568" s="1135" t="s">
        <v>4654</v>
      </c>
      <c r="K1568" s="1119" t="s">
        <v>1567</v>
      </c>
      <c r="L1568" s="1135" t="s">
        <v>1571</v>
      </c>
      <c r="M1568" s="2038">
        <v>0.5</v>
      </c>
      <c r="N1568" s="1135"/>
      <c r="O1568" s="2340">
        <v>4.16</v>
      </c>
      <c r="P1568" s="1135"/>
      <c r="Q1568" s="1135"/>
      <c r="R1568" s="1135"/>
      <c r="S1568" s="1135"/>
      <c r="T1568" s="1135"/>
      <c r="U1568" s="2041"/>
    </row>
    <row r="1569" spans="2:21" hidden="1" outlineLevel="2">
      <c r="B1569" s="1050">
        <v>14</v>
      </c>
      <c r="C1569" s="1050" t="str">
        <f t="shared" si="182"/>
        <v>Burritos, France continentale, Base Carbone</v>
      </c>
      <c r="D1569" s="1051">
        <f t="shared" si="183"/>
        <v>14</v>
      </c>
      <c r="E1569" s="1051" t="str">
        <f>IF(COUNTIF(E$1555:E1568,F1569)&gt;0,"",F1569)</f>
        <v>Burritos, France continentale, Base Carbone</v>
      </c>
      <c r="F1569" s="1051" t="str">
        <f t="shared" si="184"/>
        <v>Burritos, France continentale, Base Carbone</v>
      </c>
      <c r="G1569" s="1055" t="str">
        <f t="shared" si="185"/>
        <v>Burritos, France continentale, Base Carbone; kgCO2e/kg de produit</v>
      </c>
      <c r="I1569" s="2018" t="s">
        <v>4356</v>
      </c>
      <c r="J1569" s="1135" t="s">
        <v>4654</v>
      </c>
      <c r="K1569" s="1119" t="s">
        <v>1567</v>
      </c>
      <c r="L1569" s="1135" t="s">
        <v>1571</v>
      </c>
      <c r="M1569" s="2038">
        <v>0.5</v>
      </c>
      <c r="N1569" s="1135"/>
      <c r="O1569" s="2340">
        <v>9.51</v>
      </c>
      <c r="P1569" s="1135"/>
      <c r="Q1569" s="1135"/>
      <c r="R1569" s="1135"/>
      <c r="S1569" s="1135"/>
      <c r="T1569" s="1135"/>
      <c r="U1569" s="2041"/>
    </row>
    <row r="1570" spans="2:21" hidden="1" outlineLevel="2">
      <c r="B1570" s="1050">
        <v>15</v>
      </c>
      <c r="C1570" s="1050" t="str">
        <f t="shared" si="182"/>
        <v>Cake salé (garniture : fromage, légumes, viande, poisson, volaille, etc.), France continentale, Base Carbone</v>
      </c>
      <c r="D1570" s="1051">
        <f t="shared" si="183"/>
        <v>15</v>
      </c>
      <c r="E1570" s="1051" t="str">
        <f>IF(COUNTIF(E$1555:E1569,F1570)&gt;0,"",F1570)</f>
        <v>Cake salé (garniture : fromage, légumes, viande, poisson, volaille, etc.), France continentale, Base Carbone</v>
      </c>
      <c r="F1570" s="1051" t="str">
        <f t="shared" si="184"/>
        <v>Cake salé (garniture : fromage, légumes, viande, poisson, volaille, etc.), France continentale, Base Carbone</v>
      </c>
      <c r="G1570" s="1055" t="str">
        <f t="shared" si="185"/>
        <v>Cake salé (garniture : fromage, légumes, viande, poisson, volaille, etc.), France continentale, Base Carbone; kgCO2e/kg de produit</v>
      </c>
      <c r="I1570" s="2018" t="s">
        <v>4357</v>
      </c>
      <c r="J1570" s="1135" t="s">
        <v>4654</v>
      </c>
      <c r="K1570" s="1119" t="s">
        <v>1567</v>
      </c>
      <c r="L1570" s="1135" t="s">
        <v>1571</v>
      </c>
      <c r="M1570" s="2038">
        <v>0.5</v>
      </c>
      <c r="N1570" s="1135"/>
      <c r="O1570" s="2340">
        <v>3.61</v>
      </c>
      <c r="P1570" s="1135"/>
      <c r="Q1570" s="1135"/>
      <c r="R1570" s="1135"/>
      <c r="S1570" s="1135"/>
      <c r="T1570" s="1135"/>
      <c r="U1570" s="2041"/>
    </row>
    <row r="1571" spans="2:21" hidden="1" outlineLevel="2">
      <c r="B1571" s="1050">
        <v>16</v>
      </c>
      <c r="C1571" s="1050" t="str">
        <f t="shared" si="182"/>
        <v>Canard en sauce (poivre vert, chasseur, etc.), France continentale, Base Carbone</v>
      </c>
      <c r="D1571" s="1051">
        <f t="shared" si="183"/>
        <v>16</v>
      </c>
      <c r="E1571" s="1051" t="str">
        <f>IF(COUNTIF(E$1555:E1570,F1571)&gt;0,"",F1571)</f>
        <v>Canard en sauce (poivre vert, chasseur, etc.), France continentale, Base Carbone</v>
      </c>
      <c r="F1571" s="1051" t="str">
        <f t="shared" si="184"/>
        <v>Canard en sauce (poivre vert, chasseur, etc.), France continentale, Base Carbone</v>
      </c>
      <c r="G1571" s="1055" t="str">
        <f t="shared" si="185"/>
        <v>Canard en sauce (poivre vert, chasseur, etc.), France continentale, Base Carbone; kgCO2e/kg de produit</v>
      </c>
      <c r="I1571" s="2018" t="s">
        <v>4358</v>
      </c>
      <c r="J1571" s="1135" t="s">
        <v>4654</v>
      </c>
      <c r="K1571" s="1119" t="s">
        <v>1567</v>
      </c>
      <c r="L1571" s="1135" t="s">
        <v>1571</v>
      </c>
      <c r="M1571" s="2038">
        <v>0.5</v>
      </c>
      <c r="N1571" s="1135"/>
      <c r="O1571" s="2340">
        <v>5.16</v>
      </c>
      <c r="P1571" s="1135"/>
      <c r="Q1571" s="1135"/>
      <c r="R1571" s="1135"/>
      <c r="S1571" s="1135"/>
      <c r="T1571" s="1135"/>
      <c r="U1571" s="2041"/>
    </row>
    <row r="1572" spans="2:21" hidden="1" outlineLevel="2">
      <c r="B1572" s="1050">
        <v>17</v>
      </c>
      <c r="C1572" s="1050" t="str">
        <f t="shared" si="182"/>
        <v>Cassoulet au porc, appertisé, France continentale, Base Carbone</v>
      </c>
      <c r="D1572" s="1051">
        <f t="shared" si="183"/>
        <v>17</v>
      </c>
      <c r="E1572" s="1051" t="str">
        <f>IF(COUNTIF(E$1555:E1571,F1572)&gt;0,"",F1572)</f>
        <v>Cassoulet au porc, appertisé, France continentale, Base Carbone</v>
      </c>
      <c r="F1572" s="1051" t="str">
        <f t="shared" si="184"/>
        <v>Cassoulet au porc, appertisé, France continentale, Base Carbone</v>
      </c>
      <c r="G1572" s="1055" t="str">
        <f t="shared" si="185"/>
        <v>Cassoulet au porc, appertisé, France continentale, Base Carbone; kgCO2e/kg de produit</v>
      </c>
      <c r="I1572" s="2018" t="s">
        <v>4359</v>
      </c>
      <c r="J1572" s="1135" t="s">
        <v>4654</v>
      </c>
      <c r="K1572" s="1119" t="s">
        <v>1567</v>
      </c>
      <c r="L1572" s="1135" t="s">
        <v>1571</v>
      </c>
      <c r="M1572" s="2038">
        <v>0.5</v>
      </c>
      <c r="N1572" s="1135"/>
      <c r="O1572" s="2340">
        <v>2.89</v>
      </c>
      <c r="P1572" s="1135"/>
      <c r="Q1572" s="1135"/>
      <c r="R1572" s="1135"/>
      <c r="S1572" s="1135"/>
      <c r="T1572" s="1135"/>
      <c r="U1572" s="2041"/>
    </row>
    <row r="1573" spans="2:21" hidden="1" outlineLevel="2">
      <c r="B1573" s="1050">
        <v>18</v>
      </c>
      <c r="C1573" s="1050" t="str">
        <f t="shared" si="182"/>
        <v>Céleri rémoulade, préemballé, France continentale, Base Carbone</v>
      </c>
      <c r="D1573" s="1051">
        <f t="shared" si="183"/>
        <v>18</v>
      </c>
      <c r="E1573" s="1051" t="str">
        <f>IF(COUNTIF(E$1555:E1572,F1573)&gt;0,"",F1573)</f>
        <v>Céleri rémoulade, préemballé, France continentale, Base Carbone</v>
      </c>
      <c r="F1573" s="1051" t="str">
        <f t="shared" si="184"/>
        <v>Céleri rémoulade, préemballé, France continentale, Base Carbone</v>
      </c>
      <c r="G1573" s="1055" t="str">
        <f t="shared" si="185"/>
        <v>Céleri rémoulade, préemballé, France continentale, Base Carbone; kgCO2e/kg de produit</v>
      </c>
      <c r="I1573" s="2018" t="s">
        <v>4360</v>
      </c>
      <c r="J1573" s="1135" t="s">
        <v>4654</v>
      </c>
      <c r="K1573" s="1119" t="s">
        <v>1567</v>
      </c>
      <c r="L1573" s="1135" t="s">
        <v>1571</v>
      </c>
      <c r="M1573" s="2038">
        <v>0.5</v>
      </c>
      <c r="N1573" s="1135"/>
      <c r="O1573" s="2340">
        <v>0.98099999999999998</v>
      </c>
      <c r="P1573" s="1135"/>
      <c r="Q1573" s="1135"/>
      <c r="R1573" s="1135"/>
      <c r="S1573" s="1135"/>
      <c r="T1573" s="1135"/>
      <c r="U1573" s="2041"/>
    </row>
    <row r="1574" spans="2:21" hidden="1" outlineLevel="2">
      <c r="B1574" s="1050">
        <v>19</v>
      </c>
      <c r="C1574" s="1050" t="str">
        <f t="shared" si="182"/>
        <v>Cheeseburger, provenant de fast food, France continentale, Base Carbone</v>
      </c>
      <c r="D1574" s="1051">
        <f t="shared" si="183"/>
        <v>19</v>
      </c>
      <c r="E1574" s="1051" t="str">
        <f>IF(COUNTIF(E$1555:E1573,F1574)&gt;0,"",F1574)</f>
        <v>Cheeseburger, provenant de fast food, France continentale, Base Carbone</v>
      </c>
      <c r="F1574" s="1051" t="str">
        <f t="shared" si="184"/>
        <v>Cheeseburger, provenant de fast food, France continentale, Base Carbone</v>
      </c>
      <c r="G1574" s="1055" t="str">
        <f t="shared" si="185"/>
        <v>Cheeseburger, provenant de fast food, France continentale, Base Carbone; kgCO2e/kg de produit</v>
      </c>
      <c r="I1574" s="2018" t="s">
        <v>4361</v>
      </c>
      <c r="J1574" s="1135" t="s">
        <v>4654</v>
      </c>
      <c r="K1574" s="1119" t="s">
        <v>1567</v>
      </c>
      <c r="L1574" s="1135" t="s">
        <v>1571</v>
      </c>
      <c r="M1574" s="2038">
        <v>0.5</v>
      </c>
      <c r="N1574" s="1135"/>
      <c r="O1574" s="2340">
        <v>21.3</v>
      </c>
      <c r="P1574" s="1135"/>
      <c r="Q1574" s="1135"/>
      <c r="R1574" s="1135"/>
      <c r="S1574" s="1135"/>
      <c r="T1574" s="1135"/>
      <c r="U1574" s="2041"/>
    </row>
    <row r="1575" spans="2:21" hidden="1" outlineLevel="2">
      <c r="B1575" s="1050">
        <v>20</v>
      </c>
      <c r="C1575" s="1050" t="str">
        <f t="shared" si="182"/>
        <v>Chili con carne, France continentale, Base Carbone</v>
      </c>
      <c r="D1575" s="1051">
        <f t="shared" si="183"/>
        <v>20</v>
      </c>
      <c r="E1575" s="1051" t="str">
        <f>IF(COUNTIF(E$1555:E1574,F1575)&gt;0,"",F1575)</f>
        <v>Chili con carne, France continentale, Base Carbone</v>
      </c>
      <c r="F1575" s="1051" t="str">
        <f t="shared" si="184"/>
        <v>Chili con carne, France continentale, Base Carbone</v>
      </c>
      <c r="G1575" s="1055" t="str">
        <f t="shared" si="185"/>
        <v>Chili con carne, France continentale, Base Carbone; kgCO2e/kg de produit</v>
      </c>
      <c r="I1575" s="2018" t="s">
        <v>1259</v>
      </c>
      <c r="J1575" s="1135" t="s">
        <v>4654</v>
      </c>
      <c r="K1575" s="1119" t="s">
        <v>1567</v>
      </c>
      <c r="L1575" s="1135" t="s">
        <v>1571</v>
      </c>
      <c r="M1575" s="2038">
        <v>0.5</v>
      </c>
      <c r="N1575" s="1135"/>
      <c r="O1575" s="2340">
        <v>22.4</v>
      </c>
      <c r="P1575" s="1135"/>
      <c r="Q1575" s="1135"/>
      <c r="R1575" s="1135"/>
      <c r="S1575" s="1135"/>
      <c r="T1575" s="1135"/>
      <c r="U1575" s="2041"/>
    </row>
    <row r="1576" spans="2:21" hidden="1" outlineLevel="2">
      <c r="B1576" s="1050">
        <v>21</v>
      </c>
      <c r="C1576" s="1050" t="str">
        <f t="shared" si="182"/>
        <v>Chou farci, France continentale, Base Carbone</v>
      </c>
      <c r="D1576" s="1051">
        <f t="shared" si="183"/>
        <v>21</v>
      </c>
      <c r="E1576" s="1051" t="str">
        <f>IF(COUNTIF(E$1555:E1575,F1576)&gt;0,"",F1576)</f>
        <v>Chou farci, France continentale, Base Carbone</v>
      </c>
      <c r="F1576" s="1051" t="str">
        <f t="shared" si="184"/>
        <v>Chou farci, France continentale, Base Carbone</v>
      </c>
      <c r="G1576" s="1055" t="str">
        <f t="shared" si="185"/>
        <v>Chou farci, France continentale, Base Carbone; kgCO2e/kg de produit</v>
      </c>
      <c r="I1576" s="2018" t="s">
        <v>4362</v>
      </c>
      <c r="J1576" s="1135" t="s">
        <v>4654</v>
      </c>
      <c r="K1576" s="1119" t="s">
        <v>1567</v>
      </c>
      <c r="L1576" s="1135" t="s">
        <v>1571</v>
      </c>
      <c r="M1576" s="2038">
        <v>0.5</v>
      </c>
      <c r="N1576" s="1135"/>
      <c r="O1576" s="2340">
        <v>4.34</v>
      </c>
      <c r="P1576" s="1135"/>
      <c r="Q1576" s="1135"/>
      <c r="R1576" s="1135"/>
      <c r="S1576" s="1135"/>
      <c r="T1576" s="1135"/>
      <c r="U1576" s="2041"/>
    </row>
    <row r="1577" spans="2:21" hidden="1" outlineLevel="2">
      <c r="B1577" s="1050">
        <v>22</v>
      </c>
      <c r="C1577" s="1050" t="str">
        <f t="shared" si="182"/>
        <v>Choucroute garnie, France continentale, Base Carbone</v>
      </c>
      <c r="D1577" s="1051">
        <f t="shared" si="183"/>
        <v>22</v>
      </c>
      <c r="E1577" s="1051" t="str">
        <f>IF(COUNTIF(E$1555:E1576,F1577)&gt;0,"",F1577)</f>
        <v>Choucroute garnie, France continentale, Base Carbone</v>
      </c>
      <c r="F1577" s="1051" t="str">
        <f t="shared" si="184"/>
        <v>Choucroute garnie, France continentale, Base Carbone</v>
      </c>
      <c r="G1577" s="1055" t="str">
        <f t="shared" si="185"/>
        <v>Choucroute garnie, France continentale, Base Carbone; kgCO2e/kg de produit</v>
      </c>
      <c r="I1577" s="2018" t="s">
        <v>4363</v>
      </c>
      <c r="J1577" s="1135" t="s">
        <v>4654</v>
      </c>
      <c r="K1577" s="1119" t="s">
        <v>1567</v>
      </c>
      <c r="L1577" s="1135" t="s">
        <v>1571</v>
      </c>
      <c r="M1577" s="2038">
        <v>0.5</v>
      </c>
      <c r="N1577" s="1135"/>
      <c r="O1577" s="2340">
        <v>2.2599999999999998</v>
      </c>
      <c r="P1577" s="1135"/>
      <c r="Q1577" s="1135"/>
      <c r="R1577" s="1135"/>
      <c r="S1577" s="1135"/>
      <c r="T1577" s="1135"/>
      <c r="U1577" s="2041"/>
    </row>
    <row r="1578" spans="2:21" hidden="1" outlineLevel="2">
      <c r="B1578" s="1050">
        <v>23</v>
      </c>
      <c r="C1578" s="1050" t="str">
        <f t="shared" si="182"/>
        <v>Choucroute, sans garniture, égouttée, France continentale, Base Carbone</v>
      </c>
      <c r="D1578" s="1051">
        <f t="shared" si="183"/>
        <v>23</v>
      </c>
      <c r="E1578" s="1051" t="str">
        <f>IF(COUNTIF(E$1555:E1577,F1578)&gt;0,"",F1578)</f>
        <v>Choucroute, sans garniture, égouttée, France continentale, Base Carbone</v>
      </c>
      <c r="F1578" s="1051" t="str">
        <f t="shared" si="184"/>
        <v>Choucroute, sans garniture, égouttée, France continentale, Base Carbone</v>
      </c>
      <c r="G1578" s="1055" t="str">
        <f t="shared" si="185"/>
        <v>Choucroute, sans garniture, égouttée, France continentale, Base Carbone; kgCO2e/kg de produit</v>
      </c>
      <c r="I1578" s="2018" t="s">
        <v>4364</v>
      </c>
      <c r="J1578" s="1135" t="s">
        <v>4654</v>
      </c>
      <c r="K1578" s="1119" t="s">
        <v>1567</v>
      </c>
      <c r="L1578" s="1135" t="s">
        <v>1571</v>
      </c>
      <c r="M1578" s="2038">
        <v>0.5</v>
      </c>
      <c r="N1578" s="1135"/>
      <c r="O1578" s="2340">
        <v>1.25</v>
      </c>
      <c r="P1578" s="1135"/>
      <c r="Q1578" s="1135"/>
      <c r="R1578" s="1135"/>
      <c r="S1578" s="1135"/>
      <c r="T1578" s="1135"/>
      <c r="U1578" s="2041"/>
    </row>
    <row r="1579" spans="2:21" hidden="1" outlineLevel="2">
      <c r="B1579" s="1050">
        <v>24</v>
      </c>
      <c r="C1579" s="1050" t="str">
        <f t="shared" si="182"/>
        <v>Coq au vin, France continentale, Base Carbone</v>
      </c>
      <c r="D1579" s="1051">
        <f t="shared" si="183"/>
        <v>24</v>
      </c>
      <c r="E1579" s="1051" t="str">
        <f>IF(COUNTIF(E$1555:E1578,F1579)&gt;0,"",F1579)</f>
        <v>Coq au vin, France continentale, Base Carbone</v>
      </c>
      <c r="F1579" s="1051" t="str">
        <f t="shared" si="184"/>
        <v>Coq au vin, France continentale, Base Carbone</v>
      </c>
      <c r="G1579" s="1055" t="str">
        <f t="shared" si="185"/>
        <v>Coq au vin, France continentale, Base Carbone; kgCO2e/kg de produit</v>
      </c>
      <c r="I1579" s="2018" t="s">
        <v>4365</v>
      </c>
      <c r="J1579" s="1135" t="s">
        <v>4654</v>
      </c>
      <c r="K1579" s="1119" t="s">
        <v>1567</v>
      </c>
      <c r="L1579" s="1135" t="s">
        <v>1571</v>
      </c>
      <c r="M1579" s="2038">
        <v>0.5</v>
      </c>
      <c r="N1579" s="1135"/>
      <c r="O1579" s="2340">
        <v>5.87</v>
      </c>
      <c r="P1579" s="1135"/>
      <c r="Q1579" s="1135"/>
      <c r="R1579" s="1135"/>
      <c r="S1579" s="1135"/>
      <c r="T1579" s="1135"/>
      <c r="U1579" s="2041"/>
    </row>
    <row r="1580" spans="2:21" hidden="1" outlineLevel="2">
      <c r="B1580" s="1050">
        <v>25</v>
      </c>
      <c r="C1580" s="1050" t="str">
        <f t="shared" si="182"/>
        <v>Couscous de légumes, France continentale, Base Carbone</v>
      </c>
      <c r="D1580" s="1051">
        <f t="shared" si="183"/>
        <v>25</v>
      </c>
      <c r="E1580" s="1051" t="str">
        <f>IF(COUNTIF(E$1555:E1579,F1580)&gt;0,"",F1580)</f>
        <v>Couscous de légumes, France continentale, Base Carbone</v>
      </c>
      <c r="F1580" s="1051" t="str">
        <f t="shared" si="184"/>
        <v>Couscous de légumes, France continentale, Base Carbone</v>
      </c>
      <c r="G1580" s="1055" t="str">
        <f t="shared" si="185"/>
        <v>Couscous de légumes, France continentale, Base Carbone; kgCO2e/kg de produit</v>
      </c>
      <c r="I1580" s="2018" t="s">
        <v>4366</v>
      </c>
      <c r="J1580" s="1135" t="s">
        <v>4654</v>
      </c>
      <c r="K1580" s="1119" t="s">
        <v>1567</v>
      </c>
      <c r="L1580" s="1135" t="s">
        <v>1571</v>
      </c>
      <c r="M1580" s="2038">
        <v>0.5</v>
      </c>
      <c r="N1580" s="1135"/>
      <c r="O1580" s="2340">
        <v>0.84199999999999997</v>
      </c>
      <c r="P1580" s="1135"/>
      <c r="Q1580" s="1135"/>
      <c r="R1580" s="1135"/>
      <c r="S1580" s="1135"/>
      <c r="T1580" s="1135"/>
      <c r="U1580" s="2041"/>
    </row>
    <row r="1581" spans="2:21" hidden="1" outlineLevel="2">
      <c r="B1581" s="1050">
        <v>26</v>
      </c>
      <c r="C1581" s="1050" t="str">
        <f t="shared" si="182"/>
        <v>Couscous royal (avec plusieurs viandes), France continentale, Base Carbone</v>
      </c>
      <c r="D1581" s="1051">
        <f t="shared" si="183"/>
        <v>26</v>
      </c>
      <c r="E1581" s="1051" t="str">
        <f>IF(COUNTIF(E$1555:E1580,F1581)&gt;0,"",F1581)</f>
        <v>Couscous royal (avec plusieurs viandes), France continentale, Base Carbone</v>
      </c>
      <c r="F1581" s="1051" t="str">
        <f t="shared" si="184"/>
        <v>Couscous royal (avec plusieurs viandes), France continentale, Base Carbone</v>
      </c>
      <c r="G1581" s="1055" t="str">
        <f t="shared" si="185"/>
        <v>Couscous royal (avec plusieurs viandes), France continentale, Base Carbone; kgCO2e/kg de produit</v>
      </c>
      <c r="I1581" s="2018" t="s">
        <v>4367</v>
      </c>
      <c r="J1581" s="1135" t="s">
        <v>4654</v>
      </c>
      <c r="K1581" s="1119" t="s">
        <v>1567</v>
      </c>
      <c r="L1581" s="1135" t="s">
        <v>1571</v>
      </c>
      <c r="M1581" s="2038">
        <v>0.5</v>
      </c>
      <c r="N1581" s="1135"/>
      <c r="O1581" s="2340">
        <v>3.84</v>
      </c>
      <c r="P1581" s="1135"/>
      <c r="Q1581" s="1135"/>
      <c r="R1581" s="1135"/>
      <c r="S1581" s="1135"/>
      <c r="T1581" s="1135"/>
      <c r="U1581" s="2041"/>
    </row>
    <row r="1582" spans="2:21" hidden="1" outlineLevel="2">
      <c r="B1582" s="1050">
        <v>27</v>
      </c>
      <c r="C1582" s="1050" t="str">
        <f t="shared" si="182"/>
        <v>Crêpe ou Galette complète (œuf, jambon, fromage), France continentale, Base Carbone</v>
      </c>
      <c r="D1582" s="1051">
        <f t="shared" si="183"/>
        <v>27</v>
      </c>
      <c r="E1582" s="1051" t="str">
        <f>IF(COUNTIF(E$1555:E1581,F1582)&gt;0,"",F1582)</f>
        <v>Crêpe ou Galette complète (œuf, jambon, fromage), France continentale, Base Carbone</v>
      </c>
      <c r="F1582" s="1051" t="str">
        <f t="shared" si="184"/>
        <v>Crêpe ou Galette complète (œuf, jambon, fromage), France continentale, Base Carbone</v>
      </c>
      <c r="G1582" s="1055" t="str">
        <f t="shared" si="185"/>
        <v>Crêpe ou Galette complète (œuf, jambon, fromage), France continentale, Base Carbone; kgCO2e/kg de produit</v>
      </c>
      <c r="I1582" s="2018" t="s">
        <v>4368</v>
      </c>
      <c r="J1582" s="1135" t="s">
        <v>4654</v>
      </c>
      <c r="K1582" s="1119" t="s">
        <v>1567</v>
      </c>
      <c r="L1582" s="1135" t="s">
        <v>1571</v>
      </c>
      <c r="M1582" s="2038">
        <v>0.5</v>
      </c>
      <c r="N1582" s="1135"/>
      <c r="O1582" s="2340">
        <v>3.1</v>
      </c>
      <c r="P1582" s="1135"/>
      <c r="Q1582" s="1135"/>
      <c r="R1582" s="1135"/>
      <c r="S1582" s="1135"/>
      <c r="T1582" s="1135"/>
      <c r="U1582" s="2041"/>
    </row>
    <row r="1583" spans="2:21" hidden="1" outlineLevel="2">
      <c r="B1583" s="1050">
        <v>28</v>
      </c>
      <c r="C1583" s="1050" t="str">
        <f t="shared" si="182"/>
        <v>Croissant au jambon fromage, France continentale, Base Carbone</v>
      </c>
      <c r="D1583" s="1051">
        <f t="shared" si="183"/>
        <v>28</v>
      </c>
      <c r="E1583" s="1051" t="str">
        <f>IF(COUNTIF(E$1555:E1582,F1583)&gt;0,"",F1583)</f>
        <v>Croissant au jambon fromage, France continentale, Base Carbone</v>
      </c>
      <c r="F1583" s="1051" t="str">
        <f t="shared" si="184"/>
        <v>Croissant au jambon fromage, France continentale, Base Carbone</v>
      </c>
      <c r="G1583" s="1055" t="str">
        <f t="shared" si="185"/>
        <v>Croissant au jambon fromage, France continentale, Base Carbone; kgCO2e/kg de produit</v>
      </c>
      <c r="I1583" s="2018" t="s">
        <v>4369</v>
      </c>
      <c r="J1583" s="1135" t="s">
        <v>4654</v>
      </c>
      <c r="K1583" s="1119" t="s">
        <v>1567</v>
      </c>
      <c r="L1583" s="1135" t="s">
        <v>1571</v>
      </c>
      <c r="M1583" s="2038">
        <v>0.5</v>
      </c>
      <c r="N1583" s="1135"/>
      <c r="O1583" s="2340">
        <v>3.97</v>
      </c>
      <c r="P1583" s="1135"/>
      <c r="Q1583" s="1135"/>
      <c r="R1583" s="1135"/>
      <c r="S1583" s="1135"/>
      <c r="T1583" s="1135"/>
      <c r="U1583" s="2041"/>
    </row>
    <row r="1584" spans="2:21" hidden="1" outlineLevel="2">
      <c r="B1584" s="1050">
        <v>29</v>
      </c>
      <c r="C1584" s="1050" t="str">
        <f t="shared" si="182"/>
        <v>Croque-monsieur, France continentale, Base Carbone</v>
      </c>
      <c r="D1584" s="1051">
        <f t="shared" si="183"/>
        <v>29</v>
      </c>
      <c r="E1584" s="1051" t="str">
        <f>IF(COUNTIF(E$1555:E1583,F1584)&gt;0,"",F1584)</f>
        <v>Croque-monsieur, France continentale, Base Carbone</v>
      </c>
      <c r="F1584" s="1051" t="str">
        <f t="shared" si="184"/>
        <v>Croque-monsieur, France continentale, Base Carbone</v>
      </c>
      <c r="G1584" s="1055" t="str">
        <f t="shared" si="185"/>
        <v>Croque-monsieur, France continentale, Base Carbone; kgCO2e/kg de produit</v>
      </c>
      <c r="I1584" s="2018" t="s">
        <v>4370</v>
      </c>
      <c r="J1584" s="1135" t="s">
        <v>4654</v>
      </c>
      <c r="K1584" s="1119" t="s">
        <v>1567</v>
      </c>
      <c r="L1584" s="1135" t="s">
        <v>1571</v>
      </c>
      <c r="M1584" s="2038">
        <v>0.5</v>
      </c>
      <c r="N1584" s="1135"/>
      <c r="O1584" s="2340">
        <v>4.78</v>
      </c>
      <c r="P1584" s="1135"/>
      <c r="Q1584" s="1135"/>
      <c r="R1584" s="1135"/>
      <c r="S1584" s="1135"/>
      <c r="T1584" s="1135"/>
      <c r="U1584" s="2041"/>
    </row>
    <row r="1585" spans="2:21" hidden="1" outlineLevel="2">
      <c r="B1585" s="1050">
        <v>30</v>
      </c>
      <c r="C1585" s="1050" t="str">
        <f t="shared" si="182"/>
        <v>Double cheeseburger, provenant de fast food, France continentale, Base Carbone</v>
      </c>
      <c r="D1585" s="1051">
        <f t="shared" si="183"/>
        <v>30</v>
      </c>
      <c r="E1585" s="1051" t="str">
        <f>IF(COUNTIF(E$1555:E1584,F1585)&gt;0,"",F1585)</f>
        <v>Double cheeseburger, provenant de fast food, France continentale, Base Carbone</v>
      </c>
      <c r="F1585" s="1051" t="str">
        <f t="shared" si="184"/>
        <v>Double cheeseburger, provenant de fast food, France continentale, Base Carbone</v>
      </c>
      <c r="G1585" s="1055" t="str">
        <f t="shared" si="185"/>
        <v>Double cheeseburger, provenant de fast food, France continentale, Base Carbone; kgCO2e/kg de produit</v>
      </c>
      <c r="I1585" s="2018" t="s">
        <v>4371</v>
      </c>
      <c r="J1585" s="1135" t="s">
        <v>4654</v>
      </c>
      <c r="K1585" s="1119" t="s">
        <v>1567</v>
      </c>
      <c r="L1585" s="1135" t="s">
        <v>1571</v>
      </c>
      <c r="M1585" s="2038">
        <v>0.5</v>
      </c>
      <c r="N1585" s="1135"/>
      <c r="O1585" s="2340">
        <v>15.7</v>
      </c>
      <c r="P1585" s="1135"/>
      <c r="Q1585" s="1135"/>
      <c r="R1585" s="1135"/>
      <c r="S1585" s="1135"/>
      <c r="T1585" s="1135"/>
      <c r="U1585" s="2041"/>
    </row>
    <row r="1586" spans="2:21" hidden="1" outlineLevel="2">
      <c r="B1586" s="1050">
        <v>31</v>
      </c>
      <c r="C1586" s="1050" t="str">
        <f t="shared" si="182"/>
        <v>Endive au jambon, France continentale, Base Carbone</v>
      </c>
      <c r="D1586" s="1051">
        <f t="shared" si="183"/>
        <v>31</v>
      </c>
      <c r="E1586" s="1051" t="str">
        <f>IF(COUNTIF(E$1555:E1585,F1586)&gt;0,"",F1586)</f>
        <v>Endive au jambon, France continentale, Base Carbone</v>
      </c>
      <c r="F1586" s="1051" t="str">
        <f t="shared" si="184"/>
        <v>Endive au jambon, France continentale, Base Carbone</v>
      </c>
      <c r="G1586" s="1055" t="str">
        <f t="shared" si="185"/>
        <v>Endive au jambon, France continentale, Base Carbone; kgCO2e/kg de produit</v>
      </c>
      <c r="I1586" s="2018" t="s">
        <v>4372</v>
      </c>
      <c r="J1586" s="1135" t="s">
        <v>4654</v>
      </c>
      <c r="K1586" s="1119" t="s">
        <v>1567</v>
      </c>
      <c r="L1586" s="1135" t="s">
        <v>1571</v>
      </c>
      <c r="M1586" s="2038">
        <v>0.5</v>
      </c>
      <c r="N1586" s="1135"/>
      <c r="O1586" s="2340">
        <v>3.45</v>
      </c>
      <c r="P1586" s="1135"/>
      <c r="Q1586" s="1135"/>
      <c r="R1586" s="1135"/>
      <c r="S1586" s="1135"/>
      <c r="T1586" s="1135"/>
      <c r="U1586" s="2041"/>
    </row>
    <row r="1587" spans="2:21" hidden="1" outlineLevel="2">
      <c r="B1587" s="1050">
        <v>32</v>
      </c>
      <c r="C1587" s="1050" t="str">
        <f t="shared" si="182"/>
        <v>Épinards à la crème, France continentale, Base Carbone</v>
      </c>
      <c r="D1587" s="1051">
        <f t="shared" si="183"/>
        <v>32</v>
      </c>
      <c r="E1587" s="1051" t="str">
        <f>IF(COUNTIF(E$1555:E1586,F1587)&gt;0,"",F1587)</f>
        <v>Épinards à la crème, France continentale, Base Carbone</v>
      </c>
      <c r="F1587" s="1051" t="str">
        <f t="shared" si="184"/>
        <v>Épinards à la crème, France continentale, Base Carbone</v>
      </c>
      <c r="G1587" s="1055" t="str">
        <f t="shared" si="185"/>
        <v>Épinards à la crème, France continentale, Base Carbone; kgCO2e/kg de produit</v>
      </c>
      <c r="I1587" s="2018" t="s">
        <v>4373</v>
      </c>
      <c r="J1587" s="1135" t="s">
        <v>4654</v>
      </c>
      <c r="K1587" s="1119" t="s">
        <v>1567</v>
      </c>
      <c r="L1587" s="1135" t="s">
        <v>1571</v>
      </c>
      <c r="M1587" s="2038">
        <v>0.5</v>
      </c>
      <c r="N1587" s="1135"/>
      <c r="O1587" s="2340">
        <v>3.37</v>
      </c>
      <c r="P1587" s="1135"/>
      <c r="Q1587" s="1135"/>
      <c r="R1587" s="1135"/>
      <c r="S1587" s="1135"/>
      <c r="T1587" s="1135"/>
      <c r="U1587" s="2041"/>
    </row>
    <row r="1588" spans="2:21" hidden="1" outlineLevel="2">
      <c r="B1588" s="1050">
        <v>33</v>
      </c>
      <c r="C1588" s="1050" t="str">
        <f t="shared" ref="C1588:C1619" si="186">IF(ISNA(VLOOKUP(B1588,$D$1555:$E$1698,2,FALSE)),"-",VLOOKUP(B1588,$D$1555:$E$1698,2,FALSE))</f>
        <v>Fajitas, France continentale, Base Carbone</v>
      </c>
      <c r="D1588" s="1051">
        <f t="shared" si="183"/>
        <v>33</v>
      </c>
      <c r="E1588" s="1051" t="str">
        <f>IF(COUNTIF(E$1555:E1587,F1588)&gt;0,"",F1588)</f>
        <v>Fajitas, France continentale, Base Carbone</v>
      </c>
      <c r="F1588" s="1051" t="str">
        <f t="shared" si="184"/>
        <v>Fajitas, France continentale, Base Carbone</v>
      </c>
      <c r="G1588" s="1055" t="str">
        <f t="shared" si="185"/>
        <v>Fajitas, France continentale, Base Carbone; kgCO2e/kg de produit</v>
      </c>
      <c r="I1588" s="2018" t="s">
        <v>4374</v>
      </c>
      <c r="J1588" s="1135" t="s">
        <v>4654</v>
      </c>
      <c r="K1588" s="1119" t="s">
        <v>1567</v>
      </c>
      <c r="L1588" s="1135" t="s">
        <v>1571</v>
      </c>
      <c r="M1588" s="2038">
        <v>0.5</v>
      </c>
      <c r="N1588" s="1135"/>
      <c r="O1588" s="2340">
        <v>1.98</v>
      </c>
      <c r="P1588" s="1135"/>
      <c r="Q1588" s="1135"/>
      <c r="R1588" s="1135"/>
      <c r="S1588" s="1135"/>
      <c r="T1588" s="1135"/>
      <c r="U1588" s="2041"/>
    </row>
    <row r="1589" spans="2:21" hidden="1" outlineLevel="2">
      <c r="B1589" s="1050">
        <v>34</v>
      </c>
      <c r="C1589" s="1050" t="str">
        <f t="shared" si="186"/>
        <v>Falafel ou Boulette de pois-chiche et/ou fève, frite, France continentale, Base Carbone</v>
      </c>
      <c r="D1589" s="1051">
        <f t="shared" si="183"/>
        <v>34</v>
      </c>
      <c r="E1589" s="1051" t="str">
        <f>IF(COUNTIF(E$1555:E1588,F1589)&gt;0,"",F1589)</f>
        <v>Falafel ou Boulette de pois-chiche et/ou fève, frite, France continentale, Base Carbone</v>
      </c>
      <c r="F1589" s="1051" t="str">
        <f t="shared" si="184"/>
        <v>Falafel ou Boulette de pois-chiche et/ou fève, frite, France continentale, Base Carbone</v>
      </c>
      <c r="G1589" s="1055" t="str">
        <f t="shared" si="185"/>
        <v>Falafel ou Boulette de pois-chiche et/ou fève, frite, France continentale, Base Carbone; kgCO2e/kg de produit</v>
      </c>
      <c r="I1589" s="2018" t="s">
        <v>4375</v>
      </c>
      <c r="J1589" s="1135" t="s">
        <v>4654</v>
      </c>
      <c r="K1589" s="1119" t="s">
        <v>1567</v>
      </c>
      <c r="L1589" s="1135" t="s">
        <v>1571</v>
      </c>
      <c r="M1589" s="2038">
        <v>0.5</v>
      </c>
      <c r="N1589" s="1135"/>
      <c r="O1589" s="2340">
        <v>0.85699999999999998</v>
      </c>
      <c r="P1589" s="1135"/>
      <c r="Q1589" s="1135"/>
      <c r="R1589" s="1135"/>
      <c r="S1589" s="1135"/>
      <c r="T1589" s="1135"/>
      <c r="U1589" s="2041"/>
    </row>
    <row r="1590" spans="2:21" hidden="1" outlineLevel="2">
      <c r="B1590" s="1050">
        <v>35</v>
      </c>
      <c r="C1590" s="1050" t="str">
        <f t="shared" si="186"/>
        <v>Feuilleté au poisson et / ou fruits de mer, France continentale, Base Carbone</v>
      </c>
      <c r="D1590" s="1051">
        <f t="shared" si="183"/>
        <v>35</v>
      </c>
      <c r="E1590" s="1051" t="str">
        <f>IF(COUNTIF(E$1555:E1589,F1590)&gt;0,"",F1590)</f>
        <v>Feuilleté au poisson et / ou fruits de mer, France continentale, Base Carbone</v>
      </c>
      <c r="F1590" s="1051" t="str">
        <f t="shared" si="184"/>
        <v>Feuilleté au poisson et / ou fruits de mer, France continentale, Base Carbone</v>
      </c>
      <c r="G1590" s="1055" t="str">
        <f t="shared" si="185"/>
        <v>Feuilleté au poisson et / ou fruits de mer, France continentale, Base Carbone; kgCO2e/kg de produit</v>
      </c>
      <c r="I1590" s="2018" t="s">
        <v>4376</v>
      </c>
      <c r="J1590" s="1135" t="s">
        <v>4654</v>
      </c>
      <c r="K1590" s="1119" t="s">
        <v>1567</v>
      </c>
      <c r="L1590" s="1135" t="s">
        <v>1571</v>
      </c>
      <c r="M1590" s="2038">
        <v>0.5</v>
      </c>
      <c r="N1590" s="1135"/>
      <c r="O1590" s="2340">
        <v>5.56</v>
      </c>
      <c r="P1590" s="1135"/>
      <c r="Q1590" s="1135"/>
      <c r="R1590" s="1135"/>
      <c r="S1590" s="1135"/>
      <c r="T1590" s="1135"/>
      <c r="U1590" s="2041"/>
    </row>
    <row r="1591" spans="2:21" hidden="1" outlineLevel="2">
      <c r="B1591" s="1050">
        <v>36</v>
      </c>
      <c r="C1591" s="1050" t="str">
        <f t="shared" si="186"/>
        <v>Feuilleté ou Friand à la viande, France continentale, Base Carbone</v>
      </c>
      <c r="D1591" s="1051">
        <f t="shared" si="183"/>
        <v>36</v>
      </c>
      <c r="E1591" s="1051" t="str">
        <f>IF(COUNTIF(E$1555:E1590,F1591)&gt;0,"",F1591)</f>
        <v>Feuilleté ou Friand à la viande, France continentale, Base Carbone</v>
      </c>
      <c r="F1591" s="1051" t="str">
        <f t="shared" si="184"/>
        <v>Feuilleté ou Friand à la viande, France continentale, Base Carbone</v>
      </c>
      <c r="G1591" s="1055" t="str">
        <f t="shared" si="185"/>
        <v>Feuilleté ou Friand à la viande, France continentale, Base Carbone; kgCO2e/kg de produit</v>
      </c>
      <c r="I1591" s="2018" t="s">
        <v>4377</v>
      </c>
      <c r="J1591" s="1135" t="s">
        <v>4654</v>
      </c>
      <c r="K1591" s="1119" t="s">
        <v>1567</v>
      </c>
      <c r="L1591" s="1135" t="s">
        <v>1571</v>
      </c>
      <c r="M1591" s="2038">
        <v>0.5</v>
      </c>
      <c r="N1591" s="1135"/>
      <c r="O1591" s="2340">
        <v>17</v>
      </c>
      <c r="P1591" s="1135"/>
      <c r="Q1591" s="1135"/>
      <c r="R1591" s="1135"/>
      <c r="S1591" s="1135"/>
      <c r="T1591" s="1135"/>
      <c r="U1591" s="2041"/>
    </row>
    <row r="1592" spans="2:21" hidden="1" outlineLevel="2">
      <c r="B1592" s="1050">
        <v>37</v>
      </c>
      <c r="C1592" s="1050" t="str">
        <f t="shared" si="186"/>
        <v>Feuilleté ou Friand au fromage, France continentale, Base Carbone</v>
      </c>
      <c r="D1592" s="1051">
        <f t="shared" si="183"/>
        <v>37</v>
      </c>
      <c r="E1592" s="1051" t="str">
        <f>IF(COUNTIF(E$1555:E1591,F1592)&gt;0,"",F1592)</f>
        <v>Feuilleté ou Friand au fromage, France continentale, Base Carbone</v>
      </c>
      <c r="F1592" s="1051" t="str">
        <f t="shared" si="184"/>
        <v>Feuilleté ou Friand au fromage, France continentale, Base Carbone</v>
      </c>
      <c r="G1592" s="1055" t="str">
        <f t="shared" si="185"/>
        <v>Feuilleté ou Friand au fromage, France continentale, Base Carbone; kgCO2e/kg de produit</v>
      </c>
      <c r="I1592" s="2018" t="s">
        <v>4378</v>
      </c>
      <c r="J1592" s="1135" t="s">
        <v>4654</v>
      </c>
      <c r="K1592" s="1119" t="s">
        <v>1567</v>
      </c>
      <c r="L1592" s="1135" t="s">
        <v>1571</v>
      </c>
      <c r="M1592" s="2038">
        <v>0.5</v>
      </c>
      <c r="N1592" s="1135"/>
      <c r="O1592" s="2340">
        <v>5.49</v>
      </c>
      <c r="P1592" s="1135"/>
      <c r="Q1592" s="1135"/>
      <c r="R1592" s="1135"/>
      <c r="S1592" s="1135"/>
      <c r="T1592" s="1135"/>
      <c r="U1592" s="2041"/>
    </row>
    <row r="1593" spans="2:21" hidden="1" outlineLevel="2">
      <c r="B1593" s="1050">
        <v>38</v>
      </c>
      <c r="C1593" s="1050" t="str">
        <f t="shared" si="186"/>
        <v>Ficelle picarde, France continentale, Base Carbone</v>
      </c>
      <c r="D1593" s="1051">
        <f t="shared" si="183"/>
        <v>38</v>
      </c>
      <c r="E1593" s="1051" t="str">
        <f>IF(COUNTIF(E$1555:E1592,F1593)&gt;0,"",F1593)</f>
        <v>Ficelle picarde, France continentale, Base Carbone</v>
      </c>
      <c r="F1593" s="1051" t="str">
        <f t="shared" si="184"/>
        <v>Ficelle picarde, France continentale, Base Carbone</v>
      </c>
      <c r="G1593" s="1055" t="str">
        <f t="shared" si="185"/>
        <v>Ficelle picarde, France continentale, Base Carbone; kgCO2e/kg de produit</v>
      </c>
      <c r="I1593" s="2018" t="s">
        <v>4379</v>
      </c>
      <c r="J1593" s="1135" t="s">
        <v>4654</v>
      </c>
      <c r="K1593" s="1119" t="s">
        <v>1567</v>
      </c>
      <c r="L1593" s="1135" t="s">
        <v>1571</v>
      </c>
      <c r="M1593" s="2038">
        <v>0.5</v>
      </c>
      <c r="N1593" s="1135"/>
      <c r="O1593" s="2340">
        <v>7.08</v>
      </c>
      <c r="P1593" s="1135"/>
      <c r="Q1593" s="1135"/>
      <c r="R1593" s="1135"/>
      <c r="S1593" s="1135"/>
      <c r="T1593" s="1135"/>
      <c r="U1593" s="2041"/>
    </row>
    <row r="1594" spans="2:21" hidden="1" outlineLevel="2">
      <c r="B1594" s="1050">
        <v>39</v>
      </c>
      <c r="C1594" s="1050" t="str">
        <f t="shared" si="186"/>
        <v>Flammenkueche ou Tarte flambée aux lardons, France continentale, Base Carbone</v>
      </c>
      <c r="D1594" s="1051">
        <f t="shared" si="183"/>
        <v>39</v>
      </c>
      <c r="E1594" s="1051" t="str">
        <f>IF(COUNTIF(E$1555:E1593,F1594)&gt;0,"",F1594)</f>
        <v>Flammenkueche ou Tarte flambée aux lardons, France continentale, Base Carbone</v>
      </c>
      <c r="F1594" s="1051" t="str">
        <f t="shared" si="184"/>
        <v>Flammenkueche ou Tarte flambée aux lardons, France continentale, Base Carbone</v>
      </c>
      <c r="G1594" s="1055" t="str">
        <f t="shared" si="185"/>
        <v>Flammenkueche ou Tarte flambée aux lardons, France continentale, Base Carbone; kgCO2e/kg de produit</v>
      </c>
      <c r="I1594" s="2018" t="s">
        <v>4380</v>
      </c>
      <c r="J1594" s="1135" t="s">
        <v>4654</v>
      </c>
      <c r="K1594" s="1119" t="s">
        <v>1567</v>
      </c>
      <c r="L1594" s="1135" t="s">
        <v>1571</v>
      </c>
      <c r="M1594" s="2038">
        <v>0.5</v>
      </c>
      <c r="N1594" s="1135"/>
      <c r="O1594" s="2340">
        <v>2.61</v>
      </c>
      <c r="P1594" s="1135"/>
      <c r="Q1594" s="1135"/>
      <c r="R1594" s="1135"/>
      <c r="S1594" s="1135"/>
      <c r="T1594" s="1135"/>
      <c r="U1594" s="2041"/>
    </row>
    <row r="1595" spans="2:21" hidden="1" outlineLevel="2">
      <c r="B1595" s="1050">
        <v>40</v>
      </c>
      <c r="C1595" s="1050" t="str">
        <f t="shared" si="186"/>
        <v>Flan de légumes, France continentale, Base Carbone</v>
      </c>
      <c r="D1595" s="1051">
        <f t="shared" si="183"/>
        <v>40</v>
      </c>
      <c r="E1595" s="1051" t="str">
        <f>IF(COUNTIF(E$1555:E1594,F1595)&gt;0,"",F1595)</f>
        <v>Flan de légumes, France continentale, Base Carbone</v>
      </c>
      <c r="F1595" s="1051" t="str">
        <f t="shared" si="184"/>
        <v>Flan de légumes, France continentale, Base Carbone</v>
      </c>
      <c r="G1595" s="1055" t="str">
        <f t="shared" si="185"/>
        <v>Flan de légumes, France continentale, Base Carbone; kgCO2e/kg de produit</v>
      </c>
      <c r="I1595" s="2018" t="s">
        <v>4381</v>
      </c>
      <c r="J1595" s="1135" t="s">
        <v>4654</v>
      </c>
      <c r="K1595" s="1119" t="s">
        <v>1567</v>
      </c>
      <c r="L1595" s="1135" t="s">
        <v>1571</v>
      </c>
      <c r="M1595" s="2038">
        <v>0.5</v>
      </c>
      <c r="N1595" s="1135"/>
      <c r="O1595" s="2340">
        <v>2.1</v>
      </c>
      <c r="P1595" s="1135"/>
      <c r="Q1595" s="1135"/>
      <c r="R1595" s="1135"/>
      <c r="S1595" s="1135"/>
      <c r="T1595" s="1135"/>
      <c r="U1595" s="2041"/>
    </row>
    <row r="1596" spans="2:21" hidden="1" outlineLevel="2">
      <c r="B1596" s="1050">
        <v>41</v>
      </c>
      <c r="C1596" s="1050" t="str">
        <f t="shared" si="186"/>
        <v>Focaccia, garnie, France continentale, Base Carbone</v>
      </c>
      <c r="D1596" s="1051">
        <f t="shared" si="183"/>
        <v>41</v>
      </c>
      <c r="E1596" s="1051" t="str">
        <f>IF(COUNTIF(E$1555:E1595,F1596)&gt;0,"",F1596)</f>
        <v>Focaccia, garnie, France continentale, Base Carbone</v>
      </c>
      <c r="F1596" s="1051" t="str">
        <f t="shared" si="184"/>
        <v>Focaccia, garnie, France continentale, Base Carbone</v>
      </c>
      <c r="G1596" s="1055" t="str">
        <f t="shared" si="185"/>
        <v>Focaccia, garnie, France continentale, Base Carbone; kgCO2e/kg de produit</v>
      </c>
      <c r="I1596" s="2018" t="s">
        <v>4382</v>
      </c>
      <c r="J1596" s="1135" t="s">
        <v>4654</v>
      </c>
      <c r="K1596" s="1119" t="s">
        <v>1567</v>
      </c>
      <c r="L1596" s="1135" t="s">
        <v>1571</v>
      </c>
      <c r="M1596" s="2038">
        <v>0.5</v>
      </c>
      <c r="N1596" s="1135"/>
      <c r="O1596" s="2340">
        <v>3.02</v>
      </c>
      <c r="P1596" s="1135"/>
      <c r="Q1596" s="1135"/>
      <c r="R1596" s="1135"/>
      <c r="S1596" s="1135"/>
      <c r="T1596" s="1135"/>
      <c r="U1596" s="2041"/>
    </row>
    <row r="1597" spans="2:21" hidden="1" outlineLevel="2">
      <c r="B1597" s="1050">
        <v>42</v>
      </c>
      <c r="C1597" s="1050" t="str">
        <f t="shared" si="186"/>
        <v>Fondue savoyarde (fromages, vin, pain), France continentale, Base Carbone</v>
      </c>
      <c r="D1597" s="1051">
        <f t="shared" si="183"/>
        <v>42</v>
      </c>
      <c r="E1597" s="1051" t="str">
        <f>IF(COUNTIF(E$1555:E1596,F1597)&gt;0,"",F1597)</f>
        <v>Fondue savoyarde (fromages, vin, pain), France continentale, Base Carbone</v>
      </c>
      <c r="F1597" s="1051" t="str">
        <f t="shared" si="184"/>
        <v>Fondue savoyarde (fromages, vin, pain), France continentale, Base Carbone</v>
      </c>
      <c r="G1597" s="1055" t="str">
        <f t="shared" si="185"/>
        <v>Fondue savoyarde (fromages, vin, pain), France continentale, Base Carbone; kgCO2e/kg de produit</v>
      </c>
      <c r="I1597" s="2018" t="s">
        <v>4383</v>
      </c>
      <c r="J1597" s="1135" t="s">
        <v>4654</v>
      </c>
      <c r="K1597" s="1119" t="s">
        <v>1567</v>
      </c>
      <c r="L1597" s="1135" t="s">
        <v>1571</v>
      </c>
      <c r="M1597" s="2038">
        <v>0.5</v>
      </c>
      <c r="N1597" s="1135"/>
      <c r="O1597" s="2340">
        <v>3.72</v>
      </c>
      <c r="P1597" s="1135"/>
      <c r="Q1597" s="1135"/>
      <c r="R1597" s="1135"/>
      <c r="S1597" s="1135"/>
      <c r="T1597" s="1135"/>
      <c r="U1597" s="2041"/>
    </row>
    <row r="1598" spans="2:21" hidden="1" outlineLevel="2">
      <c r="B1598" s="1050">
        <v>43</v>
      </c>
      <c r="C1598" s="1050" t="str">
        <f t="shared" si="186"/>
        <v>Fougasse, garnie, France continentale, Base Carbone</v>
      </c>
      <c r="D1598" s="1051">
        <f t="shared" si="183"/>
        <v>43</v>
      </c>
      <c r="E1598" s="1051" t="str">
        <f>IF(COUNTIF(E$1555:E1597,F1598)&gt;0,"",F1598)</f>
        <v>Fougasse, garnie, France continentale, Base Carbone</v>
      </c>
      <c r="F1598" s="1051" t="str">
        <f t="shared" si="184"/>
        <v>Fougasse, garnie, France continentale, Base Carbone</v>
      </c>
      <c r="G1598" s="1055" t="str">
        <f t="shared" si="185"/>
        <v>Fougasse, garnie, France continentale, Base Carbone; kgCO2e/kg de produit</v>
      </c>
      <c r="I1598" s="2018" t="s">
        <v>4384</v>
      </c>
      <c r="J1598" s="1135" t="s">
        <v>4654</v>
      </c>
      <c r="K1598" s="1119" t="s">
        <v>1567</v>
      </c>
      <c r="L1598" s="1135" t="s">
        <v>1571</v>
      </c>
      <c r="M1598" s="2038">
        <v>0.5</v>
      </c>
      <c r="N1598" s="1135"/>
      <c r="O1598" s="2340">
        <v>1.02</v>
      </c>
      <c r="P1598" s="1135"/>
      <c r="Q1598" s="1135"/>
      <c r="R1598" s="1135"/>
      <c r="S1598" s="1135"/>
      <c r="T1598" s="1135"/>
      <c r="U1598" s="2041"/>
    </row>
    <row r="1599" spans="2:21" hidden="1" outlineLevel="2">
      <c r="B1599" s="1050">
        <v>44</v>
      </c>
      <c r="C1599" s="1050" t="str">
        <f t="shared" si="186"/>
        <v>Fromage pané au jambon, France continentale, Base Carbone</v>
      </c>
      <c r="D1599" s="1051">
        <f t="shared" si="183"/>
        <v>44</v>
      </c>
      <c r="E1599" s="1051" t="str">
        <f>IF(COUNTIF(E$1555:E1598,F1599)&gt;0,"",F1599)</f>
        <v>Fromage pané au jambon, France continentale, Base Carbone</v>
      </c>
      <c r="F1599" s="1051" t="str">
        <f t="shared" si="184"/>
        <v>Fromage pané au jambon, France continentale, Base Carbone</v>
      </c>
      <c r="G1599" s="1055" t="str">
        <f t="shared" si="185"/>
        <v>Fromage pané au jambon, France continentale, Base Carbone; kgCO2e/kg de produit</v>
      </c>
      <c r="I1599" s="2018" t="s">
        <v>4385</v>
      </c>
      <c r="J1599" s="1135" t="s">
        <v>4654</v>
      </c>
      <c r="K1599" s="1119" t="s">
        <v>1567</v>
      </c>
      <c r="L1599" s="1135" t="s">
        <v>1571</v>
      </c>
      <c r="M1599" s="2038">
        <v>0.5</v>
      </c>
      <c r="N1599" s="1135"/>
      <c r="O1599" s="2340">
        <v>5.12</v>
      </c>
      <c r="P1599" s="1135"/>
      <c r="Q1599" s="1135"/>
      <c r="R1599" s="1135"/>
      <c r="S1599" s="1135"/>
      <c r="T1599" s="1135"/>
      <c r="U1599" s="2041"/>
    </row>
    <row r="1600" spans="2:21" hidden="1" outlineLevel="2">
      <c r="B1600" s="1050">
        <v>45</v>
      </c>
      <c r="C1600" s="1050" t="str">
        <f t="shared" si="186"/>
        <v>Gougère, France continentale, Base Carbone</v>
      </c>
      <c r="D1600" s="1051">
        <f t="shared" si="183"/>
        <v>45</v>
      </c>
      <c r="E1600" s="1051" t="str">
        <f>IF(COUNTIF(E$1555:E1599,F1600)&gt;0,"",F1600)</f>
        <v>Gougère, France continentale, Base Carbone</v>
      </c>
      <c r="F1600" s="1051" t="str">
        <f t="shared" si="184"/>
        <v>Gougère, France continentale, Base Carbone</v>
      </c>
      <c r="G1600" s="1055" t="str">
        <f t="shared" si="185"/>
        <v>Gougère, France continentale, Base Carbone; kgCO2e/kg de produit</v>
      </c>
      <c r="I1600" s="2018" t="s">
        <v>4386</v>
      </c>
      <c r="J1600" s="1135" t="s">
        <v>4654</v>
      </c>
      <c r="K1600" s="1119" t="s">
        <v>1567</v>
      </c>
      <c r="L1600" s="1135" t="s">
        <v>1571</v>
      </c>
      <c r="M1600" s="2038">
        <v>0.5</v>
      </c>
      <c r="N1600" s="1135"/>
      <c r="O1600" s="2340">
        <v>3.83</v>
      </c>
      <c r="P1600" s="1135"/>
      <c r="Q1600" s="1135"/>
      <c r="R1600" s="1135"/>
      <c r="S1600" s="1135"/>
      <c r="T1600" s="1135"/>
      <c r="U1600" s="2041"/>
    </row>
    <row r="1601" spans="2:21" hidden="1" outlineLevel="2">
      <c r="B1601" s="1050">
        <v>46</v>
      </c>
      <c r="C1601" s="1050" t="str">
        <f t="shared" si="186"/>
        <v>Gratin dauphinois, France continentale, Base Carbone</v>
      </c>
      <c r="D1601" s="1051">
        <f t="shared" si="183"/>
        <v>46</v>
      </c>
      <c r="E1601" s="1051" t="str">
        <f>IF(COUNTIF(E$1555:E1600,F1601)&gt;0,"",F1601)</f>
        <v>Gratin dauphinois, France continentale, Base Carbone</v>
      </c>
      <c r="F1601" s="1051" t="str">
        <f t="shared" si="184"/>
        <v>Gratin dauphinois, France continentale, Base Carbone</v>
      </c>
      <c r="G1601" s="1055" t="str">
        <f t="shared" si="185"/>
        <v>Gratin dauphinois, France continentale, Base Carbone; kgCO2e/kg de produit</v>
      </c>
      <c r="I1601" s="2018" t="s">
        <v>1260</v>
      </c>
      <c r="J1601" s="1135" t="s">
        <v>4654</v>
      </c>
      <c r="K1601" s="1119" t="s">
        <v>1567</v>
      </c>
      <c r="L1601" s="1135" t="s">
        <v>1571</v>
      </c>
      <c r="M1601" s="2038">
        <v>0.5</v>
      </c>
      <c r="N1601" s="1135"/>
      <c r="O1601" s="2340">
        <v>1.85</v>
      </c>
      <c r="P1601" s="1135"/>
      <c r="Q1601" s="1135"/>
      <c r="R1601" s="1135"/>
      <c r="S1601" s="1135"/>
      <c r="T1601" s="1135"/>
      <c r="U1601" s="2041"/>
    </row>
    <row r="1602" spans="2:21" hidden="1" outlineLevel="2">
      <c r="B1602" s="1050">
        <v>47</v>
      </c>
      <c r="C1602" s="1050" t="str">
        <f t="shared" si="186"/>
        <v>Gratin de légumes, France continentale, Base Carbone</v>
      </c>
      <c r="D1602" s="1051">
        <f t="shared" si="183"/>
        <v>47</v>
      </c>
      <c r="E1602" s="1051" t="str">
        <f>IF(COUNTIF(E$1555:E1601,F1602)&gt;0,"",F1602)</f>
        <v>Gratin de légumes, France continentale, Base Carbone</v>
      </c>
      <c r="F1602" s="1051" t="str">
        <f t="shared" si="184"/>
        <v>Gratin de légumes, France continentale, Base Carbone</v>
      </c>
      <c r="G1602" s="1055" t="str">
        <f t="shared" si="185"/>
        <v>Gratin de légumes, France continentale, Base Carbone; kgCO2e/kg de produit</v>
      </c>
      <c r="I1602" s="2018" t="s">
        <v>4387</v>
      </c>
      <c r="J1602" s="1135" t="s">
        <v>4654</v>
      </c>
      <c r="K1602" s="1119" t="s">
        <v>1567</v>
      </c>
      <c r="L1602" s="1135" t="s">
        <v>1571</v>
      </c>
      <c r="M1602" s="2038">
        <v>0.5</v>
      </c>
      <c r="N1602" s="1135"/>
      <c r="O1602" s="2340">
        <v>2.95</v>
      </c>
      <c r="P1602" s="1135"/>
      <c r="Q1602" s="1135"/>
      <c r="R1602" s="1135"/>
      <c r="S1602" s="1135"/>
      <c r="T1602" s="1135"/>
      <c r="U1602" s="2041"/>
    </row>
    <row r="1603" spans="2:21" hidden="1" outlineLevel="2">
      <c r="B1603" s="1050">
        <v>48</v>
      </c>
      <c r="C1603" s="1050" t="str">
        <f t="shared" si="186"/>
        <v>Gratin de pâtes, France continentale, Base Carbone</v>
      </c>
      <c r="D1603" s="1051">
        <f t="shared" si="183"/>
        <v>48</v>
      </c>
      <c r="E1603" s="1051" t="str">
        <f>IF(COUNTIF(E$1555:E1602,F1603)&gt;0,"",F1603)</f>
        <v>Gratin de pâtes, France continentale, Base Carbone</v>
      </c>
      <c r="F1603" s="1051" t="str">
        <f t="shared" si="184"/>
        <v>Gratin de pâtes, France continentale, Base Carbone</v>
      </c>
      <c r="G1603" s="1055" t="str">
        <f t="shared" si="185"/>
        <v>Gratin de pâtes, France continentale, Base Carbone; kgCO2e/kg de produit</v>
      </c>
      <c r="I1603" s="2018" t="s">
        <v>4388</v>
      </c>
      <c r="J1603" s="1135" t="s">
        <v>4654</v>
      </c>
      <c r="K1603" s="1119" t="s">
        <v>1567</v>
      </c>
      <c r="L1603" s="1135" t="s">
        <v>1571</v>
      </c>
      <c r="M1603" s="2038">
        <v>0.5</v>
      </c>
      <c r="N1603" s="1135"/>
      <c r="O1603" s="2340">
        <v>2.72</v>
      </c>
      <c r="P1603" s="1135"/>
      <c r="Q1603" s="1135"/>
      <c r="R1603" s="1135"/>
      <c r="S1603" s="1135"/>
      <c r="T1603" s="1135"/>
      <c r="U1603" s="2041"/>
    </row>
    <row r="1604" spans="2:21" hidden="1" outlineLevel="2">
      <c r="B1604" s="1050">
        <v>49</v>
      </c>
      <c r="C1604" s="1050" t="str">
        <f t="shared" si="186"/>
        <v>Gratin de poisson et purée ou brandade aux pommes de terre ou parmentier de poisson, France continentale, Base Carbone</v>
      </c>
      <c r="D1604" s="1051">
        <f t="shared" si="183"/>
        <v>49</v>
      </c>
      <c r="E1604" s="1051" t="str">
        <f>IF(COUNTIF(E$1555:E1603,F1604)&gt;0,"",F1604)</f>
        <v>Gratin de poisson et purée ou brandade aux pommes de terre ou parmentier de poisson, France continentale, Base Carbone</v>
      </c>
      <c r="F1604" s="1051" t="str">
        <f t="shared" si="184"/>
        <v>Gratin de poisson et purée ou brandade aux pommes de terre ou parmentier de poisson, France continentale, Base Carbone</v>
      </c>
      <c r="G1604" s="1055" t="str">
        <f t="shared" si="185"/>
        <v>Gratin de poisson et purée ou brandade aux pommes de terre ou parmentier de poisson, France continentale, Base Carbone; kgCO2e/kg de produit</v>
      </c>
      <c r="I1604" s="2018" t="s">
        <v>4389</v>
      </c>
      <c r="J1604" s="1135" t="s">
        <v>4654</v>
      </c>
      <c r="K1604" s="1119" t="s">
        <v>1567</v>
      </c>
      <c r="L1604" s="1135" t="s">
        <v>1571</v>
      </c>
      <c r="M1604" s="2038">
        <v>0.5</v>
      </c>
      <c r="N1604" s="1135"/>
      <c r="O1604" s="2340">
        <v>8.64</v>
      </c>
      <c r="P1604" s="1135"/>
      <c r="Q1604" s="1135"/>
      <c r="R1604" s="1135"/>
      <c r="S1604" s="1135"/>
      <c r="T1604" s="1135"/>
      <c r="U1604" s="2041"/>
    </row>
    <row r="1605" spans="2:21" hidden="1" outlineLevel="2">
      <c r="B1605" s="1050">
        <v>50</v>
      </c>
      <c r="C1605" s="1050" t="str">
        <f t="shared" si="186"/>
        <v>Hachis Parmentier à la viande, France continentale, Base Carbone</v>
      </c>
      <c r="D1605" s="1051">
        <f t="shared" si="183"/>
        <v>50</v>
      </c>
      <c r="E1605" s="1051" t="str">
        <f>IF(COUNTIF(E$1555:E1604,F1605)&gt;0,"",F1605)</f>
        <v>Hachis Parmentier à la viande, France continentale, Base Carbone</v>
      </c>
      <c r="F1605" s="1051" t="str">
        <f t="shared" si="184"/>
        <v>Hachis Parmentier à la viande, France continentale, Base Carbone</v>
      </c>
      <c r="G1605" s="1055" t="str">
        <f t="shared" si="185"/>
        <v>Hachis Parmentier à la viande, France continentale, Base Carbone; kgCO2e/kg de produit</v>
      </c>
      <c r="I1605" s="2018" t="s">
        <v>4390</v>
      </c>
      <c r="J1605" s="1135" t="s">
        <v>4654</v>
      </c>
      <c r="K1605" s="1119" t="s">
        <v>1567</v>
      </c>
      <c r="L1605" s="1135" t="s">
        <v>1571</v>
      </c>
      <c r="M1605" s="2038">
        <v>0.5</v>
      </c>
      <c r="N1605" s="1135"/>
      <c r="O1605" s="2340">
        <v>13.7</v>
      </c>
      <c r="P1605" s="1135"/>
      <c r="Q1605" s="1135"/>
      <c r="R1605" s="1135"/>
      <c r="S1605" s="1135"/>
      <c r="T1605" s="1135"/>
      <c r="U1605" s="2041"/>
    </row>
    <row r="1606" spans="2:21" hidden="1" outlineLevel="2">
      <c r="B1606" s="1050">
        <v>51</v>
      </c>
      <c r="C1606" s="1050" t="str">
        <f t="shared" si="186"/>
        <v>Hamburger, provenant de fast food, France continentale, Base Carbone</v>
      </c>
      <c r="D1606" s="1051">
        <f t="shared" si="183"/>
        <v>51</v>
      </c>
      <c r="E1606" s="1051" t="str">
        <f>IF(COUNTIF(E$1555:E1605,F1606)&gt;0,"",F1606)</f>
        <v>Hamburger, provenant de fast food, France continentale, Base Carbone</v>
      </c>
      <c r="F1606" s="1051" t="str">
        <f t="shared" si="184"/>
        <v>Hamburger, provenant de fast food, France continentale, Base Carbone</v>
      </c>
      <c r="G1606" s="1055" t="str">
        <f t="shared" si="185"/>
        <v>Hamburger, provenant de fast food, France continentale, Base Carbone; kgCO2e/kg de produit</v>
      </c>
      <c r="I1606" s="2018" t="s">
        <v>4391</v>
      </c>
      <c r="J1606" s="1135" t="s">
        <v>4654</v>
      </c>
      <c r="K1606" s="1119" t="s">
        <v>1567</v>
      </c>
      <c r="L1606" s="1135" t="s">
        <v>1571</v>
      </c>
      <c r="M1606" s="2038">
        <v>0.5</v>
      </c>
      <c r="N1606" s="1135"/>
      <c r="O1606" s="2340">
        <v>21.1</v>
      </c>
      <c r="P1606" s="1135"/>
      <c r="Q1606" s="1135"/>
      <c r="R1606" s="1135"/>
      <c r="S1606" s="1135"/>
      <c r="T1606" s="1135"/>
      <c r="U1606" s="2041"/>
    </row>
    <row r="1607" spans="2:21" hidden="1" outlineLevel="2">
      <c r="B1607" s="1050">
        <v>52</v>
      </c>
      <c r="C1607" s="1050" t="str">
        <f t="shared" si="186"/>
        <v>Haricots blancs à la sauce tomate, appertisés, France continentale, Base Carbone</v>
      </c>
      <c r="D1607" s="1051">
        <f t="shared" si="183"/>
        <v>52</v>
      </c>
      <c r="E1607" s="1051" t="str">
        <f>IF(COUNTIF(E$1555:E1606,F1607)&gt;0,"",F1607)</f>
        <v>Haricots blancs à la sauce tomate, appertisés, France continentale, Base Carbone</v>
      </c>
      <c r="F1607" s="1051" t="str">
        <f t="shared" si="184"/>
        <v>Haricots blancs à la sauce tomate, appertisés, France continentale, Base Carbone</v>
      </c>
      <c r="G1607" s="1055" t="str">
        <f t="shared" si="185"/>
        <v>Haricots blancs à la sauce tomate, appertisés, France continentale, Base Carbone; kgCO2e/kg de produit</v>
      </c>
      <c r="I1607" s="2018" t="s">
        <v>4392</v>
      </c>
      <c r="J1607" s="1135" t="s">
        <v>4654</v>
      </c>
      <c r="K1607" s="1119" t="s">
        <v>1567</v>
      </c>
      <c r="L1607" s="1135" t="s">
        <v>1571</v>
      </c>
      <c r="M1607" s="2038">
        <v>0.5</v>
      </c>
      <c r="N1607" s="1135"/>
      <c r="O1607" s="2340">
        <v>0.57099999999999995</v>
      </c>
      <c r="P1607" s="1135"/>
      <c r="Q1607" s="1135"/>
      <c r="R1607" s="1135"/>
      <c r="S1607" s="1135"/>
      <c r="T1607" s="1135"/>
      <c r="U1607" s="2041"/>
    </row>
    <row r="1608" spans="2:21" hidden="1" outlineLevel="2">
      <c r="B1608" s="1050">
        <v>53</v>
      </c>
      <c r="C1608" s="1050" t="str">
        <f t="shared" si="186"/>
        <v>Hot-dog, France continentale, Base Carbone</v>
      </c>
      <c r="D1608" s="1051">
        <f t="shared" si="183"/>
        <v>53</v>
      </c>
      <c r="E1608" s="1051" t="str">
        <f>IF(COUNTIF(E$1555:E1607,F1608)&gt;0,"",F1608)</f>
        <v>Hot-dog, France continentale, Base Carbone</v>
      </c>
      <c r="F1608" s="1051" t="str">
        <f t="shared" si="184"/>
        <v>Hot-dog, France continentale, Base Carbone</v>
      </c>
      <c r="G1608" s="1055" t="str">
        <f t="shared" si="185"/>
        <v>Hot-dog, France continentale, Base Carbone; kgCO2e/kg de produit</v>
      </c>
      <c r="I1608" s="2018" t="s">
        <v>4393</v>
      </c>
      <c r="J1608" s="1135" t="s">
        <v>4654</v>
      </c>
      <c r="K1608" s="1119" t="s">
        <v>1567</v>
      </c>
      <c r="L1608" s="1135" t="s">
        <v>1571</v>
      </c>
      <c r="M1608" s="2038">
        <v>0.5</v>
      </c>
      <c r="N1608" s="1135"/>
      <c r="O1608" s="2340">
        <v>8.2200000000000006</v>
      </c>
      <c r="P1608" s="1135"/>
      <c r="Q1608" s="1135"/>
      <c r="R1608" s="1135"/>
      <c r="S1608" s="1135"/>
      <c r="T1608" s="1135"/>
      <c r="U1608" s="2041"/>
    </row>
    <row r="1609" spans="2:21" hidden="1" outlineLevel="2">
      <c r="B1609" s="1050">
        <v>54</v>
      </c>
      <c r="C1609" s="1050" t="str">
        <f t="shared" si="186"/>
        <v>Lapin à la moutarde, France continentale, Base Carbone</v>
      </c>
      <c r="D1609" s="1051">
        <f t="shared" si="183"/>
        <v>54</v>
      </c>
      <c r="E1609" s="1051" t="str">
        <f>IF(COUNTIF(E$1555:E1608,F1609)&gt;0,"",F1609)</f>
        <v>Lapin à la moutarde, France continentale, Base Carbone</v>
      </c>
      <c r="F1609" s="1051" t="str">
        <f t="shared" si="184"/>
        <v>Lapin à la moutarde, France continentale, Base Carbone</v>
      </c>
      <c r="G1609" s="1055" t="str">
        <f t="shared" si="185"/>
        <v>Lapin à la moutarde, France continentale, Base Carbone; kgCO2e/kg de produit</v>
      </c>
      <c r="I1609" s="2018" t="s">
        <v>1261</v>
      </c>
      <c r="J1609" s="1135" t="s">
        <v>4654</v>
      </c>
      <c r="K1609" s="1119" t="s">
        <v>1567</v>
      </c>
      <c r="L1609" s="1135" t="s">
        <v>1571</v>
      </c>
      <c r="M1609" s="2038">
        <v>0.5</v>
      </c>
      <c r="N1609" s="1135"/>
      <c r="O1609" s="2340">
        <v>4.4400000000000004</v>
      </c>
      <c r="P1609" s="1135"/>
      <c r="Q1609" s="1135"/>
      <c r="R1609" s="1135"/>
      <c r="S1609" s="1135"/>
      <c r="T1609" s="1135"/>
      <c r="U1609" s="2041"/>
    </row>
    <row r="1610" spans="2:21" hidden="1" outlineLevel="2">
      <c r="B1610" s="1050">
        <v>55</v>
      </c>
      <c r="C1610" s="1050" t="str">
        <f t="shared" si="186"/>
        <v>Lasagnes ou canelloni aux légumes et au fromage de chèvre, cuits, France continentale, Base Carbone</v>
      </c>
      <c r="D1610" s="1051">
        <f t="shared" si="183"/>
        <v>55</v>
      </c>
      <c r="E1610" s="1051" t="str">
        <f>IF(COUNTIF(E$1555:E1609,F1610)&gt;0,"",F1610)</f>
        <v>Lasagnes ou canelloni aux légumes et au fromage de chèvre, cuits, France continentale, Base Carbone</v>
      </c>
      <c r="F1610" s="1051" t="str">
        <f t="shared" si="184"/>
        <v>Lasagnes ou canelloni aux légumes et au fromage de chèvre, cuits, France continentale, Base Carbone</v>
      </c>
      <c r="G1610" s="1055" t="str">
        <f t="shared" si="185"/>
        <v>Lasagnes ou canelloni aux légumes et au fromage de chèvre, cuits, France continentale, Base Carbone; kgCO2e/kg de produit</v>
      </c>
      <c r="I1610" s="2018" t="s">
        <v>4394</v>
      </c>
      <c r="J1610" s="1135" t="s">
        <v>4654</v>
      </c>
      <c r="K1610" s="1119" t="s">
        <v>1567</v>
      </c>
      <c r="L1610" s="1135" t="s">
        <v>1571</v>
      </c>
      <c r="M1610" s="2038">
        <v>0.5</v>
      </c>
      <c r="N1610" s="1135"/>
      <c r="O1610" s="2340">
        <v>2.57</v>
      </c>
      <c r="P1610" s="1135"/>
      <c r="Q1610" s="1135"/>
      <c r="R1610" s="1135"/>
      <c r="S1610" s="1135"/>
      <c r="T1610" s="1135"/>
      <c r="U1610" s="2041"/>
    </row>
    <row r="1611" spans="2:21" hidden="1" outlineLevel="2">
      <c r="B1611" s="1050">
        <v>56</v>
      </c>
      <c r="C1611" s="1050" t="str">
        <f t="shared" si="186"/>
        <v>Lasagnes ou cannelloni à la viande (bolognaise), France continentale, Base Carbone</v>
      </c>
      <c r="D1611" s="1051">
        <f t="shared" si="183"/>
        <v>56</v>
      </c>
      <c r="E1611" s="1051" t="str">
        <f>IF(COUNTIF(E$1555:E1610,F1611)&gt;0,"",F1611)</f>
        <v>Lasagnes ou cannelloni à la viande (bolognaise), France continentale, Base Carbone</v>
      </c>
      <c r="F1611" s="1051" t="str">
        <f t="shared" si="184"/>
        <v>Lasagnes ou cannelloni à la viande (bolognaise), France continentale, Base Carbone</v>
      </c>
      <c r="G1611" s="1055" t="str">
        <f t="shared" si="185"/>
        <v>Lasagnes ou cannelloni à la viande (bolognaise), France continentale, Base Carbone; kgCO2e/kg de produit</v>
      </c>
      <c r="I1611" s="2018" t="s">
        <v>4395</v>
      </c>
      <c r="J1611" s="1135" t="s">
        <v>4654</v>
      </c>
      <c r="K1611" s="1119" t="s">
        <v>1567</v>
      </c>
      <c r="L1611" s="1135" t="s">
        <v>1571</v>
      </c>
      <c r="M1611" s="2038">
        <v>0.5</v>
      </c>
      <c r="N1611" s="1135"/>
      <c r="O1611" s="2340">
        <v>5.87</v>
      </c>
      <c r="P1611" s="1135"/>
      <c r="Q1611" s="1135"/>
      <c r="R1611" s="1135"/>
      <c r="S1611" s="1135"/>
      <c r="T1611" s="1135"/>
      <c r="U1611" s="2041"/>
    </row>
    <row r="1612" spans="2:21" hidden="1" outlineLevel="2">
      <c r="B1612" s="1050">
        <v>57</v>
      </c>
      <c r="C1612" s="1050" t="str">
        <f t="shared" si="186"/>
        <v>Lasagnes ou cannelloni au fromage et aux épinards, France continentale, Base Carbone</v>
      </c>
      <c r="D1612" s="1051">
        <f t="shared" si="183"/>
        <v>57</v>
      </c>
      <c r="E1612" s="1051" t="str">
        <f>IF(COUNTIF(E$1555:E1611,F1612)&gt;0,"",F1612)</f>
        <v>Lasagnes ou cannelloni au fromage et aux épinards, France continentale, Base Carbone</v>
      </c>
      <c r="F1612" s="1051" t="str">
        <f t="shared" si="184"/>
        <v>Lasagnes ou cannelloni au fromage et aux épinards, France continentale, Base Carbone</v>
      </c>
      <c r="G1612" s="1055" t="str">
        <f t="shared" si="185"/>
        <v>Lasagnes ou cannelloni au fromage et aux épinards, France continentale, Base Carbone; kgCO2e/kg de produit</v>
      </c>
      <c r="I1612" s="2018" t="s">
        <v>4396</v>
      </c>
      <c r="J1612" s="1135" t="s">
        <v>4654</v>
      </c>
      <c r="K1612" s="1119" t="s">
        <v>1567</v>
      </c>
      <c r="L1612" s="1135" t="s">
        <v>1571</v>
      </c>
      <c r="M1612" s="2038">
        <v>0.5</v>
      </c>
      <c r="N1612" s="1135"/>
      <c r="O1612" s="2340">
        <v>3.19</v>
      </c>
      <c r="P1612" s="1135"/>
      <c r="Q1612" s="1135"/>
      <c r="R1612" s="1135"/>
      <c r="S1612" s="1135"/>
      <c r="T1612" s="1135"/>
      <c r="U1612" s="2041"/>
    </row>
    <row r="1613" spans="2:21" hidden="1" outlineLevel="2">
      <c r="B1613" s="1050">
        <v>58</v>
      </c>
      <c r="C1613" s="1050" t="str">
        <f t="shared" si="186"/>
        <v>Légumes farcis (sauf tomate), France continentale, Base Carbone</v>
      </c>
      <c r="D1613" s="1051">
        <f t="shared" si="183"/>
        <v>58</v>
      </c>
      <c r="E1613" s="1051" t="str">
        <f>IF(COUNTIF(E$1555:E1612,F1613)&gt;0,"",F1613)</f>
        <v>Légumes farcis (sauf tomate), France continentale, Base Carbone</v>
      </c>
      <c r="F1613" s="1051" t="str">
        <f t="shared" si="184"/>
        <v>Légumes farcis (sauf tomate), France continentale, Base Carbone</v>
      </c>
      <c r="G1613" s="1055" t="str">
        <f t="shared" si="185"/>
        <v>Légumes farcis (sauf tomate), France continentale, Base Carbone; kgCO2e/kg de produit</v>
      </c>
      <c r="I1613" s="2018" t="s">
        <v>4397</v>
      </c>
      <c r="J1613" s="1135" t="s">
        <v>4654</v>
      </c>
      <c r="K1613" s="1119" t="s">
        <v>1567</v>
      </c>
      <c r="L1613" s="1135" t="s">
        <v>1571</v>
      </c>
      <c r="M1613" s="2038">
        <v>0.5</v>
      </c>
      <c r="N1613" s="1135"/>
      <c r="O1613" s="2340">
        <v>4.12</v>
      </c>
      <c r="P1613" s="1135"/>
      <c r="Q1613" s="1135"/>
      <c r="R1613" s="1135"/>
      <c r="S1613" s="1135"/>
      <c r="T1613" s="1135"/>
      <c r="U1613" s="2041"/>
    </row>
    <row r="1614" spans="2:21" hidden="1" outlineLevel="2">
      <c r="B1614" s="1050">
        <v>59</v>
      </c>
      <c r="C1614" s="1050" t="str">
        <f t="shared" si="186"/>
        <v>Moules farcies (matière grasse, persillade…), crues, France continentale, Base Carbone</v>
      </c>
      <c r="D1614" s="1051">
        <f t="shared" si="183"/>
        <v>59</v>
      </c>
      <c r="E1614" s="1051" t="str">
        <f>IF(COUNTIF(E$1555:E1613,F1614)&gt;0,"",F1614)</f>
        <v>Moules farcies (matière grasse, persillade…), crues, France continentale, Base Carbone</v>
      </c>
      <c r="F1614" s="1051" t="str">
        <f t="shared" si="184"/>
        <v>Moules farcies (matière grasse, persillade…), crues, France continentale, Base Carbone</v>
      </c>
      <c r="G1614" s="1055" t="str">
        <f t="shared" si="185"/>
        <v>Moules farcies (matière grasse, persillade…), crues, France continentale, Base Carbone; kgCO2e/kg de produit</v>
      </c>
      <c r="I1614" s="2018" t="s">
        <v>4398</v>
      </c>
      <c r="J1614" s="1135" t="s">
        <v>4654</v>
      </c>
      <c r="K1614" s="1119" t="s">
        <v>1567</v>
      </c>
      <c r="L1614" s="1135" t="s">
        <v>1571</v>
      </c>
      <c r="M1614" s="2038">
        <v>0.5</v>
      </c>
      <c r="N1614" s="1135"/>
      <c r="O1614" s="2340">
        <v>2.91</v>
      </c>
      <c r="P1614" s="1135"/>
      <c r="Q1614" s="1135"/>
      <c r="R1614" s="1135"/>
      <c r="S1614" s="1135"/>
      <c r="T1614" s="1135"/>
      <c r="U1614" s="2041"/>
    </row>
    <row r="1615" spans="2:21" hidden="1" outlineLevel="2">
      <c r="B1615" s="1050">
        <v>60</v>
      </c>
      <c r="C1615" s="1050" t="str">
        <f t="shared" si="186"/>
        <v>Moules marinières (oignons et vin blanc), France continentale, Base Carbone</v>
      </c>
      <c r="D1615" s="1051">
        <f t="shared" si="183"/>
        <v>60</v>
      </c>
      <c r="E1615" s="1051" t="str">
        <f>IF(COUNTIF(E$1555:E1614,F1615)&gt;0,"",F1615)</f>
        <v>Moules marinières (oignons et vin blanc), France continentale, Base Carbone</v>
      </c>
      <c r="F1615" s="1051" t="str">
        <f t="shared" si="184"/>
        <v>Moules marinières (oignons et vin blanc), France continentale, Base Carbone</v>
      </c>
      <c r="G1615" s="1055" t="str">
        <f t="shared" si="185"/>
        <v>Moules marinières (oignons et vin blanc), France continentale, Base Carbone; kgCO2e/kg de produit</v>
      </c>
      <c r="I1615" s="2018" t="s">
        <v>4399</v>
      </c>
      <c r="J1615" s="1135" t="s">
        <v>4654</v>
      </c>
      <c r="K1615" s="1119" t="s">
        <v>1567</v>
      </c>
      <c r="L1615" s="1135" t="s">
        <v>1571</v>
      </c>
      <c r="M1615" s="2038">
        <v>0.5</v>
      </c>
      <c r="N1615" s="1135"/>
      <c r="O1615" s="2340">
        <v>2.91</v>
      </c>
      <c r="P1615" s="1135"/>
      <c r="Q1615" s="1135"/>
      <c r="R1615" s="1135"/>
      <c r="S1615" s="1135"/>
      <c r="T1615" s="1135"/>
      <c r="U1615" s="2041"/>
    </row>
    <row r="1616" spans="2:21" hidden="1" outlineLevel="2">
      <c r="B1616" s="1050">
        <v>61</v>
      </c>
      <c r="C1616" s="1050" t="str">
        <f t="shared" si="186"/>
        <v>Moussaka, France continentale, Base Carbone</v>
      </c>
      <c r="D1616" s="1051">
        <f t="shared" si="183"/>
        <v>61</v>
      </c>
      <c r="E1616" s="1051" t="str">
        <f>IF(COUNTIF(E$1555:E1615,F1616)&gt;0,"",F1616)</f>
        <v>Moussaka, France continentale, Base Carbone</v>
      </c>
      <c r="F1616" s="1051" t="str">
        <f t="shared" si="184"/>
        <v>Moussaka, France continentale, Base Carbone</v>
      </c>
      <c r="G1616" s="1055" t="str">
        <f t="shared" si="185"/>
        <v>Moussaka, France continentale, Base Carbone; kgCO2e/kg de produit</v>
      </c>
      <c r="I1616" s="2018" t="s">
        <v>4400</v>
      </c>
      <c r="J1616" s="1135" t="s">
        <v>4654</v>
      </c>
      <c r="K1616" s="1119" t="s">
        <v>1567</v>
      </c>
      <c r="L1616" s="1135" t="s">
        <v>1571</v>
      </c>
      <c r="M1616" s="2038">
        <v>0.5</v>
      </c>
      <c r="N1616" s="1135"/>
      <c r="O1616" s="2340">
        <v>29.2</v>
      </c>
      <c r="P1616" s="1135"/>
      <c r="Q1616" s="1135"/>
      <c r="R1616" s="1135"/>
      <c r="S1616" s="1135"/>
      <c r="T1616" s="1135"/>
      <c r="U1616" s="2041"/>
    </row>
    <row r="1617" spans="2:21" hidden="1" outlineLevel="2">
      <c r="B1617" s="1050">
        <v>62</v>
      </c>
      <c r="C1617" s="1050" t="str">
        <f t="shared" si="186"/>
        <v>Navarin d'agneau aux légumes, France continentale, Base Carbone</v>
      </c>
      <c r="D1617" s="1051">
        <f t="shared" si="183"/>
        <v>62</v>
      </c>
      <c r="E1617" s="1051" t="str">
        <f>IF(COUNTIF(E$1555:E1616,F1617)&gt;0,"",F1617)</f>
        <v>Navarin d'agneau aux légumes, France continentale, Base Carbone</v>
      </c>
      <c r="F1617" s="1051" t="str">
        <f t="shared" si="184"/>
        <v>Navarin d'agneau aux légumes, France continentale, Base Carbone</v>
      </c>
      <c r="G1617" s="1055" t="str">
        <f t="shared" si="185"/>
        <v>Navarin d'agneau aux légumes, France continentale, Base Carbone; kgCO2e/kg de produit</v>
      </c>
      <c r="I1617" s="2018" t="s">
        <v>4401</v>
      </c>
      <c r="J1617" s="1135" t="s">
        <v>4654</v>
      </c>
      <c r="K1617" s="1119" t="s">
        <v>1567</v>
      </c>
      <c r="L1617" s="1135" t="s">
        <v>1571</v>
      </c>
      <c r="M1617" s="2038">
        <v>0.5</v>
      </c>
      <c r="N1617" s="1135"/>
      <c r="O1617" s="2340">
        <v>31</v>
      </c>
      <c r="P1617" s="1135"/>
      <c r="Q1617" s="1135"/>
      <c r="R1617" s="1135"/>
      <c r="S1617" s="1135"/>
      <c r="T1617" s="1135"/>
      <c r="U1617" s="2041"/>
    </row>
    <row r="1618" spans="2:21" hidden="1" outlineLevel="2">
      <c r="B1618" s="1050">
        <v>63</v>
      </c>
      <c r="C1618" s="1050" t="str">
        <f t="shared" si="186"/>
        <v>Nem ou Pâté impérial, France continentale, Base Carbone</v>
      </c>
      <c r="D1618" s="1051">
        <f t="shared" si="183"/>
        <v>63</v>
      </c>
      <c r="E1618" s="1051" t="str">
        <f>IF(COUNTIF(E$1555:E1617,F1618)&gt;0,"",F1618)</f>
        <v>Nem ou Pâté impérial, France continentale, Base Carbone</v>
      </c>
      <c r="F1618" s="1051" t="str">
        <f t="shared" si="184"/>
        <v>Nem ou Pâté impérial, France continentale, Base Carbone</v>
      </c>
      <c r="G1618" s="1055" t="str">
        <f t="shared" si="185"/>
        <v>Nem ou Pâté impérial, France continentale, Base Carbone; kgCO2e/kg de produit</v>
      </c>
      <c r="I1618" s="2018" t="s">
        <v>4402</v>
      </c>
      <c r="J1618" s="1135" t="s">
        <v>4654</v>
      </c>
      <c r="K1618" s="1119" t="s">
        <v>1567</v>
      </c>
      <c r="L1618" s="1135" t="s">
        <v>1571</v>
      </c>
      <c r="M1618" s="2038">
        <v>0.5</v>
      </c>
      <c r="N1618" s="1135"/>
      <c r="O1618" s="2340">
        <v>2.57</v>
      </c>
      <c r="P1618" s="1135"/>
      <c r="Q1618" s="1135"/>
      <c r="R1618" s="1135"/>
      <c r="S1618" s="1135"/>
      <c r="T1618" s="1135"/>
      <c r="U1618" s="2041"/>
    </row>
    <row r="1619" spans="2:21" hidden="1" outlineLevel="2">
      <c r="B1619" s="1050">
        <v>64</v>
      </c>
      <c r="C1619" s="1050" t="str">
        <f t="shared" si="186"/>
        <v>Nouilles sautées/poêlées aux crevettes, France continentale, Base Carbone</v>
      </c>
      <c r="D1619" s="1051">
        <f t="shared" si="183"/>
        <v>64</v>
      </c>
      <c r="E1619" s="1051" t="str">
        <f>IF(COUNTIF(E$1555:E1618,F1619)&gt;0,"",F1619)</f>
        <v>Nouilles sautées/poêlées aux crevettes, France continentale, Base Carbone</v>
      </c>
      <c r="F1619" s="1051" t="str">
        <f t="shared" si="184"/>
        <v>Nouilles sautées/poêlées aux crevettes, France continentale, Base Carbone</v>
      </c>
      <c r="G1619" s="1055" t="str">
        <f t="shared" si="185"/>
        <v>Nouilles sautées/poêlées aux crevettes, France continentale, Base Carbone; kgCO2e/kg de produit</v>
      </c>
      <c r="I1619" s="2018" t="s">
        <v>4403</v>
      </c>
      <c r="J1619" s="1135" t="s">
        <v>4654</v>
      </c>
      <c r="K1619" s="1119" t="s">
        <v>1567</v>
      </c>
      <c r="L1619" s="1135" t="s">
        <v>1571</v>
      </c>
      <c r="M1619" s="2038">
        <v>0.5</v>
      </c>
      <c r="N1619" s="1135"/>
      <c r="O1619" s="2340">
        <v>1.7</v>
      </c>
      <c r="P1619" s="1135"/>
      <c r="Q1619" s="1135"/>
      <c r="R1619" s="1135"/>
      <c r="S1619" s="1135"/>
      <c r="T1619" s="1135"/>
      <c r="U1619" s="2041"/>
    </row>
    <row r="1620" spans="2:21" hidden="1" outlineLevel="2">
      <c r="B1620" s="1050">
        <v>65</v>
      </c>
      <c r="C1620" s="1050" t="str">
        <f t="shared" ref="C1620:C1651" si="187">IF(ISNA(VLOOKUP(B1620,$D$1555:$E$1698,2,FALSE)),"-",VLOOKUP(B1620,$D$1555:$E$1698,2,FALSE))</f>
        <v>Osso buco, France continentale, Base Carbone</v>
      </c>
      <c r="D1620" s="1051">
        <f t="shared" si="183"/>
        <v>65</v>
      </c>
      <c r="E1620" s="1051" t="str">
        <f>IF(COUNTIF(E$1555:E1619,F1620)&gt;0,"",F1620)</f>
        <v>Osso buco, France continentale, Base Carbone</v>
      </c>
      <c r="F1620" s="1051" t="str">
        <f t="shared" si="184"/>
        <v>Osso buco, France continentale, Base Carbone</v>
      </c>
      <c r="G1620" s="1055" t="str">
        <f t="shared" si="185"/>
        <v>Osso buco, France continentale, Base Carbone; kgCO2e/kg de produit</v>
      </c>
      <c r="I1620" s="2018" t="s">
        <v>4404</v>
      </c>
      <c r="J1620" s="1135" t="s">
        <v>4654</v>
      </c>
      <c r="K1620" s="1119" t="s">
        <v>1567</v>
      </c>
      <c r="L1620" s="1135" t="s">
        <v>1571</v>
      </c>
      <c r="M1620" s="2038">
        <v>0.5</v>
      </c>
      <c r="N1620" s="1135"/>
      <c r="O1620" s="2340">
        <v>14.4</v>
      </c>
      <c r="P1620" s="1135"/>
      <c r="Q1620" s="1135"/>
      <c r="R1620" s="1135"/>
      <c r="S1620" s="1135"/>
      <c r="T1620" s="1135"/>
      <c r="U1620" s="2041"/>
    </row>
    <row r="1621" spans="2:21" hidden="1" outlineLevel="2">
      <c r="B1621" s="1050">
        <v>66</v>
      </c>
      <c r="C1621" s="1050" t="str">
        <f t="shared" si="187"/>
        <v>Paëlla, France continentale, Base Carbone</v>
      </c>
      <c r="D1621" s="1051">
        <f t="shared" ref="D1621:D1684" si="188">D1620+IF(LEN(E1621)&gt;0,1,0)</f>
        <v>66</v>
      </c>
      <c r="E1621" s="1051" t="str">
        <f>IF(COUNTIF(E$1555:E1620,F1621)&gt;0,"",F1621)</f>
        <v>Paëlla, France continentale, Base Carbone</v>
      </c>
      <c r="F1621" s="1051" t="str">
        <f t="shared" ref="F1621:F1684" si="189">IF(I1621&lt;&gt;"",I1621&amp;IF(N1621&lt;&gt;""," "&amp;N1621,)&amp;IF(L1621&lt;&gt;"",", "&amp;L1621,"")&amp;IF(K1621&lt;&gt;"",", "&amp;K1621,""),"")</f>
        <v>Paëlla, France continentale, Base Carbone</v>
      </c>
      <c r="G1621" s="1055" t="str">
        <f t="shared" ref="G1621:G1684" si="190">IF(F1621&lt;&gt;"",F1621&amp;IF(J1621&lt;&gt;"","; "&amp;J1621,""),"")</f>
        <v>Paëlla, France continentale, Base Carbone; kgCO2e/kg de produit</v>
      </c>
      <c r="I1621" s="2018" t="s">
        <v>1262</v>
      </c>
      <c r="J1621" s="1135" t="s">
        <v>4654</v>
      </c>
      <c r="K1621" s="1119" t="s">
        <v>1567</v>
      </c>
      <c r="L1621" s="1135" t="s">
        <v>1571</v>
      </c>
      <c r="M1621" s="2038">
        <v>0.5</v>
      </c>
      <c r="N1621" s="1135"/>
      <c r="O1621" s="2340">
        <v>2.72</v>
      </c>
      <c r="P1621" s="1135"/>
      <c r="Q1621" s="1135"/>
      <c r="R1621" s="1135"/>
      <c r="S1621" s="1135"/>
      <c r="T1621" s="1135"/>
      <c r="U1621" s="2041"/>
    </row>
    <row r="1622" spans="2:21" hidden="1" outlineLevel="2">
      <c r="B1622" s="1050">
        <v>67</v>
      </c>
      <c r="C1622" s="1050" t="str">
        <f t="shared" si="187"/>
        <v>Palet ou galette de légumes, préfrit, surgelé, France continentale, Base Carbone</v>
      </c>
      <c r="D1622" s="1051">
        <f t="shared" si="188"/>
        <v>67</v>
      </c>
      <c r="E1622" s="1051" t="str">
        <f>IF(COUNTIF(E$1555:E1621,F1622)&gt;0,"",F1622)</f>
        <v>Palet ou galette de légumes, préfrit, surgelé, France continentale, Base Carbone</v>
      </c>
      <c r="F1622" s="1051" t="str">
        <f t="shared" si="189"/>
        <v>Palet ou galette de légumes, préfrit, surgelé, France continentale, Base Carbone</v>
      </c>
      <c r="G1622" s="1055" t="str">
        <f t="shared" si="190"/>
        <v>Palet ou galette de légumes, préfrit, surgelé, France continentale, Base Carbone; kgCO2e/kg de produit</v>
      </c>
      <c r="I1622" s="2018" t="s">
        <v>4405</v>
      </c>
      <c r="J1622" s="1135" t="s">
        <v>4654</v>
      </c>
      <c r="K1622" s="1119" t="s">
        <v>1567</v>
      </c>
      <c r="L1622" s="1135" t="s">
        <v>1571</v>
      </c>
      <c r="M1622" s="2038">
        <v>0.5</v>
      </c>
      <c r="N1622" s="1135"/>
      <c r="O1622" s="2340">
        <v>0.94</v>
      </c>
      <c r="P1622" s="1135"/>
      <c r="Q1622" s="1135"/>
      <c r="R1622" s="1135"/>
      <c r="S1622" s="1135"/>
      <c r="T1622" s="1135"/>
      <c r="U1622" s="2041"/>
    </row>
    <row r="1623" spans="2:21" hidden="1" outlineLevel="2">
      <c r="B1623" s="1050">
        <v>68</v>
      </c>
      <c r="C1623" s="1050" t="str">
        <f t="shared" si="187"/>
        <v>Pan bagnat, France continentale, Base Carbone</v>
      </c>
      <c r="D1623" s="1051">
        <f t="shared" si="188"/>
        <v>68</v>
      </c>
      <c r="E1623" s="1051" t="str">
        <f>IF(COUNTIF(E$1555:E1622,F1623)&gt;0,"",F1623)</f>
        <v>Pan bagnat, France continentale, Base Carbone</v>
      </c>
      <c r="F1623" s="1051" t="str">
        <f t="shared" si="189"/>
        <v>Pan bagnat, France continentale, Base Carbone</v>
      </c>
      <c r="G1623" s="1055" t="str">
        <f t="shared" si="190"/>
        <v>Pan bagnat, France continentale, Base Carbone; kgCO2e/kg de produit</v>
      </c>
      <c r="I1623" s="2018" t="s">
        <v>4406</v>
      </c>
      <c r="J1623" s="1135" t="s">
        <v>4654</v>
      </c>
      <c r="K1623" s="1119" t="s">
        <v>1567</v>
      </c>
      <c r="L1623" s="1135" t="s">
        <v>1571</v>
      </c>
      <c r="M1623" s="2038">
        <v>0.5</v>
      </c>
      <c r="N1623" s="1135"/>
      <c r="O1623" s="2340">
        <v>1.79</v>
      </c>
      <c r="P1623" s="1135"/>
      <c r="Q1623" s="1135"/>
      <c r="R1623" s="1135"/>
      <c r="S1623" s="1135"/>
      <c r="T1623" s="1135"/>
      <c r="U1623" s="2041"/>
    </row>
    <row r="1624" spans="2:21" hidden="1" outlineLevel="2">
      <c r="B1624" s="1050">
        <v>69</v>
      </c>
      <c r="C1624" s="1050" t="str">
        <f t="shared" si="187"/>
        <v>Parmentier de canard, France continentale, Base Carbone</v>
      </c>
      <c r="D1624" s="1051">
        <f t="shared" si="188"/>
        <v>69</v>
      </c>
      <c r="E1624" s="1051" t="str">
        <f>IF(COUNTIF(E$1555:E1623,F1624)&gt;0,"",F1624)</f>
        <v>Parmentier de canard, France continentale, Base Carbone</v>
      </c>
      <c r="F1624" s="1051" t="str">
        <f t="shared" si="189"/>
        <v>Parmentier de canard, France continentale, Base Carbone</v>
      </c>
      <c r="G1624" s="1055" t="str">
        <f t="shared" si="190"/>
        <v>Parmentier de canard, France continentale, Base Carbone; kgCO2e/kg de produit</v>
      </c>
      <c r="I1624" s="2018" t="s">
        <v>4407</v>
      </c>
      <c r="J1624" s="1135" t="s">
        <v>4654</v>
      </c>
      <c r="K1624" s="1119" t="s">
        <v>1567</v>
      </c>
      <c r="L1624" s="1135" t="s">
        <v>1571</v>
      </c>
      <c r="M1624" s="2038">
        <v>0.5</v>
      </c>
      <c r="N1624" s="1135"/>
      <c r="O1624" s="2340">
        <v>5.01</v>
      </c>
      <c r="P1624" s="1135"/>
      <c r="Q1624" s="1135"/>
      <c r="R1624" s="1135"/>
      <c r="S1624" s="1135"/>
      <c r="T1624" s="1135"/>
      <c r="U1624" s="2041"/>
    </row>
    <row r="1625" spans="2:21" hidden="1" outlineLevel="2">
      <c r="B1625" s="1050">
        <v>70</v>
      </c>
      <c r="C1625" s="1050" t="str">
        <f t="shared" si="187"/>
        <v>Pastilla au poulet, France continentale, Base Carbone</v>
      </c>
      <c r="D1625" s="1051">
        <f t="shared" si="188"/>
        <v>70</v>
      </c>
      <c r="E1625" s="1051" t="str">
        <f>IF(COUNTIF(E$1555:E1624,F1625)&gt;0,"",F1625)</f>
        <v>Pastilla au poulet, France continentale, Base Carbone</v>
      </c>
      <c r="F1625" s="1051" t="str">
        <f t="shared" si="189"/>
        <v>Pastilla au poulet, France continentale, Base Carbone</v>
      </c>
      <c r="G1625" s="1055" t="str">
        <f t="shared" si="190"/>
        <v>Pastilla au poulet, France continentale, Base Carbone; kgCO2e/kg de produit</v>
      </c>
      <c r="I1625" s="2018" t="s">
        <v>4408</v>
      </c>
      <c r="J1625" s="1135" t="s">
        <v>4654</v>
      </c>
      <c r="K1625" s="1119" t="s">
        <v>1567</v>
      </c>
      <c r="L1625" s="1135" t="s">
        <v>1571</v>
      </c>
      <c r="M1625" s="2038">
        <v>0.5</v>
      </c>
      <c r="N1625" s="1135"/>
      <c r="O1625" s="2340">
        <v>3.45</v>
      </c>
      <c r="P1625" s="1135"/>
      <c r="Q1625" s="1135"/>
      <c r="R1625" s="1135"/>
      <c r="S1625" s="1135"/>
      <c r="T1625" s="1135"/>
      <c r="U1625" s="2041"/>
    </row>
    <row r="1626" spans="2:21" hidden="1" outlineLevel="2">
      <c r="B1626" s="1050">
        <v>71</v>
      </c>
      <c r="C1626" s="1050" t="str">
        <f t="shared" si="187"/>
        <v>Pâtes à la bolognaise (spaghetti, tagliatelles…), France continentale, Base Carbone</v>
      </c>
      <c r="D1626" s="1051">
        <f t="shared" si="188"/>
        <v>71</v>
      </c>
      <c r="E1626" s="1051" t="str">
        <f>IF(COUNTIF(E$1555:E1625,F1626)&gt;0,"",F1626)</f>
        <v>Pâtes à la bolognaise (spaghetti, tagliatelles…), France continentale, Base Carbone</v>
      </c>
      <c r="F1626" s="1051" t="str">
        <f t="shared" si="189"/>
        <v>Pâtes à la bolognaise (spaghetti, tagliatelles…), France continentale, Base Carbone</v>
      </c>
      <c r="G1626" s="1055" t="str">
        <f t="shared" si="190"/>
        <v>Pâtes à la bolognaise (spaghetti, tagliatelles…), France continentale, Base Carbone; kgCO2e/kg de produit</v>
      </c>
      <c r="I1626" s="2018" t="s">
        <v>4409</v>
      </c>
      <c r="J1626" s="1135" t="s">
        <v>4654</v>
      </c>
      <c r="K1626" s="1119" t="s">
        <v>1567</v>
      </c>
      <c r="L1626" s="1135" t="s">
        <v>1571</v>
      </c>
      <c r="M1626" s="2038">
        <v>0.5</v>
      </c>
      <c r="N1626" s="1135"/>
      <c r="O1626" s="2340">
        <v>5.87</v>
      </c>
      <c r="P1626" s="1135"/>
      <c r="Q1626" s="1135"/>
      <c r="R1626" s="1135"/>
      <c r="S1626" s="1135"/>
      <c r="T1626" s="1135"/>
      <c r="U1626" s="2041"/>
    </row>
    <row r="1627" spans="2:21" hidden="1" outlineLevel="2">
      <c r="B1627" s="1050">
        <v>72</v>
      </c>
      <c r="C1627" s="1050" t="str">
        <f t="shared" si="187"/>
        <v>Pâtes à la carbonara (spaghetti, tagliatelles…), France continentale, Base Carbone</v>
      </c>
      <c r="D1627" s="1051">
        <f t="shared" si="188"/>
        <v>72</v>
      </c>
      <c r="E1627" s="1051" t="str">
        <f>IF(COUNTIF(E$1555:E1626,F1627)&gt;0,"",F1627)</f>
        <v>Pâtes à la carbonara (spaghetti, tagliatelles…), France continentale, Base Carbone</v>
      </c>
      <c r="F1627" s="1051" t="str">
        <f t="shared" si="189"/>
        <v>Pâtes à la carbonara (spaghetti, tagliatelles…), France continentale, Base Carbone</v>
      </c>
      <c r="G1627" s="1055" t="str">
        <f t="shared" si="190"/>
        <v>Pâtes à la carbonara (spaghetti, tagliatelles…), France continentale, Base Carbone; kgCO2e/kg de produit</v>
      </c>
      <c r="I1627" s="2018" t="s">
        <v>4410</v>
      </c>
      <c r="J1627" s="1135" t="s">
        <v>4654</v>
      </c>
      <c r="K1627" s="1119" t="s">
        <v>1567</v>
      </c>
      <c r="L1627" s="1135" t="s">
        <v>1571</v>
      </c>
      <c r="M1627" s="2038">
        <v>0.5</v>
      </c>
      <c r="N1627" s="1135"/>
      <c r="O1627" s="2340">
        <v>2.72</v>
      </c>
      <c r="P1627" s="1135"/>
      <c r="Q1627" s="1135"/>
      <c r="R1627" s="1135"/>
      <c r="S1627" s="1135"/>
      <c r="T1627" s="1135"/>
      <c r="U1627" s="2041"/>
    </row>
    <row r="1628" spans="2:21" hidden="1" outlineLevel="2">
      <c r="B1628" s="1050">
        <v>73</v>
      </c>
      <c r="C1628" s="1050" t="str">
        <f t="shared" si="187"/>
        <v>Pâtes fraîches farcies (ex : raviolis), à la viande (ex : bolognaise), cuites, France continentale, Base Carbone</v>
      </c>
      <c r="D1628" s="1051">
        <f t="shared" si="188"/>
        <v>73</v>
      </c>
      <c r="E1628" s="1051" t="str">
        <f>IF(COUNTIF(E$1555:E1627,F1628)&gt;0,"",F1628)</f>
        <v>Pâtes fraîches farcies (ex : raviolis), à la viande (ex : bolognaise), cuites, France continentale, Base Carbone</v>
      </c>
      <c r="F1628" s="1051" t="str">
        <f t="shared" si="189"/>
        <v>Pâtes fraîches farcies (ex : raviolis), à la viande (ex : bolognaise), cuites, France continentale, Base Carbone</v>
      </c>
      <c r="G1628" s="1055" t="str">
        <f t="shared" si="190"/>
        <v>Pâtes fraîches farcies (ex : raviolis), à la viande (ex : bolognaise), cuites, France continentale, Base Carbone; kgCO2e/kg de produit</v>
      </c>
      <c r="I1628" s="2018" t="s">
        <v>4411</v>
      </c>
      <c r="J1628" s="1135" t="s">
        <v>4654</v>
      </c>
      <c r="K1628" s="1119" t="s">
        <v>1567</v>
      </c>
      <c r="L1628" s="1135" t="s">
        <v>1571</v>
      </c>
      <c r="M1628" s="2038">
        <v>0.5</v>
      </c>
      <c r="N1628" s="1135"/>
      <c r="O1628" s="2340">
        <v>17.100000000000001</v>
      </c>
      <c r="P1628" s="1135"/>
      <c r="Q1628" s="1135"/>
      <c r="R1628" s="1135"/>
      <c r="S1628" s="1135"/>
      <c r="T1628" s="1135"/>
      <c r="U1628" s="2041"/>
    </row>
    <row r="1629" spans="2:21" hidden="1" outlineLevel="2">
      <c r="B1629" s="1050">
        <v>74</v>
      </c>
      <c r="C1629" s="1050" t="str">
        <f t="shared" si="187"/>
        <v>Pâtes fraîches farcies (ex : raviolis), au fromage et aux légumes, cuites, France continentale, Base Carbone</v>
      </c>
      <c r="D1629" s="1051">
        <f t="shared" si="188"/>
        <v>74</v>
      </c>
      <c r="E1629" s="1051" t="str">
        <f>IF(COUNTIF(E$1555:E1628,F1629)&gt;0,"",F1629)</f>
        <v>Pâtes fraîches farcies (ex : raviolis), au fromage et aux légumes, cuites, France continentale, Base Carbone</v>
      </c>
      <c r="F1629" s="1051" t="str">
        <f t="shared" si="189"/>
        <v>Pâtes fraîches farcies (ex : raviolis), au fromage et aux légumes, cuites, France continentale, Base Carbone</v>
      </c>
      <c r="G1629" s="1055" t="str">
        <f t="shared" si="190"/>
        <v>Pâtes fraîches farcies (ex : raviolis), au fromage et aux légumes, cuites, France continentale, Base Carbone; kgCO2e/kg de produit</v>
      </c>
      <c r="I1629" s="2018" t="s">
        <v>4412</v>
      </c>
      <c r="J1629" s="1135" t="s">
        <v>4654</v>
      </c>
      <c r="K1629" s="1119" t="s">
        <v>1567</v>
      </c>
      <c r="L1629" s="1135" t="s">
        <v>1571</v>
      </c>
      <c r="M1629" s="2038">
        <v>0.5</v>
      </c>
      <c r="N1629" s="1135"/>
      <c r="O1629" s="2340">
        <v>17.100000000000001</v>
      </c>
      <c r="P1629" s="1135"/>
      <c r="Q1629" s="1135"/>
      <c r="R1629" s="1135"/>
      <c r="S1629" s="1135"/>
      <c r="T1629" s="1135"/>
      <c r="U1629" s="2041"/>
    </row>
    <row r="1630" spans="2:21" hidden="1" outlineLevel="2">
      <c r="B1630" s="1050">
        <v>75</v>
      </c>
      <c r="C1630" s="1050" t="str">
        <f t="shared" si="187"/>
        <v>Pâtes fraîches farcies (ex : raviolis), aux légumes, cuites, France continentale, Base Carbone</v>
      </c>
      <c r="D1630" s="1051">
        <f t="shared" si="188"/>
        <v>75</v>
      </c>
      <c r="E1630" s="1051" t="str">
        <f>IF(COUNTIF(E$1555:E1629,F1630)&gt;0,"",F1630)</f>
        <v>Pâtes fraîches farcies (ex : raviolis), aux légumes, cuites, France continentale, Base Carbone</v>
      </c>
      <c r="F1630" s="1051" t="str">
        <f t="shared" si="189"/>
        <v>Pâtes fraîches farcies (ex : raviolis), aux légumes, cuites, France continentale, Base Carbone</v>
      </c>
      <c r="G1630" s="1055" t="str">
        <f t="shared" si="190"/>
        <v>Pâtes fraîches farcies (ex : raviolis), aux légumes, cuites, France continentale, Base Carbone; kgCO2e/kg de produit</v>
      </c>
      <c r="I1630" s="2018" t="s">
        <v>4413</v>
      </c>
      <c r="J1630" s="1135" t="s">
        <v>4654</v>
      </c>
      <c r="K1630" s="1119" t="s">
        <v>1567</v>
      </c>
      <c r="L1630" s="1135" t="s">
        <v>1571</v>
      </c>
      <c r="M1630" s="2038">
        <v>0.5</v>
      </c>
      <c r="N1630" s="1135"/>
      <c r="O1630" s="2340">
        <v>1.94</v>
      </c>
      <c r="P1630" s="1135"/>
      <c r="Q1630" s="1135"/>
      <c r="R1630" s="1135"/>
      <c r="S1630" s="1135"/>
      <c r="T1630" s="1135"/>
      <c r="U1630" s="2041"/>
    </row>
    <row r="1631" spans="2:21" hidden="1" outlineLevel="2">
      <c r="B1631" s="1050">
        <v>76</v>
      </c>
      <c r="C1631" s="1050" t="str">
        <f t="shared" si="187"/>
        <v>Paupiette de veau, France continentale, Base Carbone</v>
      </c>
      <c r="D1631" s="1051">
        <f t="shared" si="188"/>
        <v>76</v>
      </c>
      <c r="E1631" s="1051" t="str">
        <f>IF(COUNTIF(E$1555:E1630,F1631)&gt;0,"",F1631)</f>
        <v>Paupiette de veau, France continentale, Base Carbone</v>
      </c>
      <c r="F1631" s="1051" t="str">
        <f t="shared" si="189"/>
        <v>Paupiette de veau, France continentale, Base Carbone</v>
      </c>
      <c r="G1631" s="1055" t="str">
        <f t="shared" si="190"/>
        <v>Paupiette de veau, France continentale, Base Carbone; kgCO2e/kg de produit</v>
      </c>
      <c r="I1631" s="2018" t="s">
        <v>4414</v>
      </c>
      <c r="J1631" s="1135" t="s">
        <v>4654</v>
      </c>
      <c r="K1631" s="1119" t="s">
        <v>1567</v>
      </c>
      <c r="L1631" s="1135" t="s">
        <v>1571</v>
      </c>
      <c r="M1631" s="2038">
        <v>0.5</v>
      </c>
      <c r="N1631" s="1135"/>
      <c r="O1631" s="2340">
        <v>18.3</v>
      </c>
      <c r="P1631" s="1135"/>
      <c r="Q1631" s="1135"/>
      <c r="R1631" s="1135"/>
      <c r="S1631" s="1135"/>
      <c r="T1631" s="1135"/>
      <c r="U1631" s="2041"/>
    </row>
    <row r="1632" spans="2:21" hidden="1" outlineLevel="2">
      <c r="B1632" s="1050">
        <v>77</v>
      </c>
      <c r="C1632" s="1050" t="str">
        <f t="shared" si="187"/>
        <v>Paupiette de volaille, France continentale, Base Carbone</v>
      </c>
      <c r="D1632" s="1051">
        <f t="shared" si="188"/>
        <v>77</v>
      </c>
      <c r="E1632" s="1051" t="str">
        <f>IF(COUNTIF(E$1555:E1631,F1632)&gt;0,"",F1632)</f>
        <v>Paupiette de volaille, France continentale, Base Carbone</v>
      </c>
      <c r="F1632" s="1051" t="str">
        <f t="shared" si="189"/>
        <v>Paupiette de volaille, France continentale, Base Carbone</v>
      </c>
      <c r="G1632" s="1055" t="str">
        <f t="shared" si="190"/>
        <v>Paupiette de volaille, France continentale, Base Carbone; kgCO2e/kg de produit</v>
      </c>
      <c r="I1632" s="2018" t="s">
        <v>4415</v>
      </c>
      <c r="J1632" s="1135" t="s">
        <v>4654</v>
      </c>
      <c r="K1632" s="1119" t="s">
        <v>1567</v>
      </c>
      <c r="L1632" s="1135" t="s">
        <v>1571</v>
      </c>
      <c r="M1632" s="2038">
        <v>0.5</v>
      </c>
      <c r="N1632" s="1135"/>
      <c r="O1632" s="2340">
        <v>6.65</v>
      </c>
      <c r="P1632" s="1135"/>
      <c r="Q1632" s="1135"/>
      <c r="R1632" s="1135"/>
      <c r="S1632" s="1135"/>
      <c r="T1632" s="1135"/>
      <c r="U1632" s="2041"/>
    </row>
    <row r="1633" spans="2:21" hidden="1" outlineLevel="2">
      <c r="B1633" s="1050">
        <v>78</v>
      </c>
      <c r="C1633" s="1050" t="str">
        <f t="shared" si="187"/>
        <v>Petit salé ou saucisse aux lentilles, France continentale, Base Carbone</v>
      </c>
      <c r="D1633" s="1051">
        <f t="shared" si="188"/>
        <v>78</v>
      </c>
      <c r="E1633" s="1051" t="str">
        <f>IF(COUNTIF(E$1555:E1632,F1633)&gt;0,"",F1633)</f>
        <v>Petit salé ou saucisse aux lentilles, France continentale, Base Carbone</v>
      </c>
      <c r="F1633" s="1051" t="str">
        <f t="shared" si="189"/>
        <v>Petit salé ou saucisse aux lentilles, France continentale, Base Carbone</v>
      </c>
      <c r="G1633" s="1055" t="str">
        <f t="shared" si="190"/>
        <v>Petit salé ou saucisse aux lentilles, France continentale, Base Carbone; kgCO2e/kg de produit</v>
      </c>
      <c r="I1633" s="2018" t="s">
        <v>4416</v>
      </c>
      <c r="J1633" s="1135" t="s">
        <v>4654</v>
      </c>
      <c r="K1633" s="1119" t="s">
        <v>1567</v>
      </c>
      <c r="L1633" s="1135" t="s">
        <v>1571</v>
      </c>
      <c r="M1633" s="2038">
        <v>0.5</v>
      </c>
      <c r="N1633" s="1135"/>
      <c r="O1633" s="2340">
        <v>2.79</v>
      </c>
      <c r="P1633" s="1135"/>
      <c r="Q1633" s="1135"/>
      <c r="R1633" s="1135"/>
      <c r="S1633" s="1135"/>
      <c r="T1633" s="1135"/>
      <c r="U1633" s="2041"/>
    </row>
    <row r="1634" spans="2:21" hidden="1" outlineLevel="2">
      <c r="B1634" s="1050">
        <v>79</v>
      </c>
      <c r="C1634" s="1050" t="str">
        <f t="shared" si="187"/>
        <v>Piperade basquaise, France continentale, Base Carbone</v>
      </c>
      <c r="D1634" s="1051">
        <f t="shared" si="188"/>
        <v>79</v>
      </c>
      <c r="E1634" s="1051" t="str">
        <f>IF(COUNTIF(E$1555:E1633,F1634)&gt;0,"",F1634)</f>
        <v>Piperade basquaise, France continentale, Base Carbone</v>
      </c>
      <c r="F1634" s="1051" t="str">
        <f t="shared" si="189"/>
        <v>Piperade basquaise, France continentale, Base Carbone</v>
      </c>
      <c r="G1634" s="1055" t="str">
        <f t="shared" si="190"/>
        <v>Piperade basquaise, France continentale, Base Carbone; kgCO2e/kg de produit</v>
      </c>
      <c r="I1634" s="2018" t="s">
        <v>4417</v>
      </c>
      <c r="J1634" s="1135" t="s">
        <v>4654</v>
      </c>
      <c r="K1634" s="1119" t="s">
        <v>1567</v>
      </c>
      <c r="L1634" s="1135" t="s">
        <v>1571</v>
      </c>
      <c r="M1634" s="2038">
        <v>0.5</v>
      </c>
      <c r="N1634" s="1135"/>
      <c r="O1634" s="2340">
        <v>1.0900000000000001</v>
      </c>
      <c r="P1634" s="1135"/>
      <c r="Q1634" s="1135"/>
      <c r="R1634" s="1135"/>
      <c r="S1634" s="1135"/>
      <c r="T1634" s="1135"/>
      <c r="U1634" s="2041"/>
    </row>
    <row r="1635" spans="2:21" hidden="1" outlineLevel="2">
      <c r="B1635" s="1050">
        <v>80</v>
      </c>
      <c r="C1635" s="1050" t="str">
        <f t="shared" si="187"/>
        <v>Pissaladière, France continentale, Base Carbone</v>
      </c>
      <c r="D1635" s="1051">
        <f t="shared" si="188"/>
        <v>80</v>
      </c>
      <c r="E1635" s="1051" t="str">
        <f>IF(COUNTIF(E$1555:E1634,F1635)&gt;0,"",F1635)</f>
        <v>Pissaladière, France continentale, Base Carbone</v>
      </c>
      <c r="F1635" s="1051" t="str">
        <f t="shared" si="189"/>
        <v>Pissaladière, France continentale, Base Carbone</v>
      </c>
      <c r="G1635" s="1055" t="str">
        <f t="shared" si="190"/>
        <v>Pissaladière, France continentale, Base Carbone; kgCO2e/kg de produit</v>
      </c>
      <c r="I1635" s="2018" t="s">
        <v>4418</v>
      </c>
      <c r="J1635" s="1135" t="s">
        <v>4654</v>
      </c>
      <c r="K1635" s="1119" t="s">
        <v>1567</v>
      </c>
      <c r="L1635" s="1135" t="s">
        <v>1571</v>
      </c>
      <c r="M1635" s="2038">
        <v>0.5</v>
      </c>
      <c r="N1635" s="1135"/>
      <c r="O1635" s="2340">
        <v>2.39</v>
      </c>
      <c r="P1635" s="1135"/>
      <c r="Q1635" s="1135"/>
      <c r="R1635" s="1135"/>
      <c r="S1635" s="1135"/>
      <c r="T1635" s="1135"/>
      <c r="U1635" s="2041"/>
    </row>
    <row r="1636" spans="2:21" hidden="1" outlineLevel="2">
      <c r="B1636" s="1050">
        <v>81</v>
      </c>
      <c r="C1636" s="1050" t="str">
        <f t="shared" si="187"/>
        <v>Pizza 4 fromages, France continentale, Base Carbone</v>
      </c>
      <c r="D1636" s="1051">
        <f t="shared" si="188"/>
        <v>81</v>
      </c>
      <c r="E1636" s="1051" t="str">
        <f>IF(COUNTIF(E$1555:E1635,F1636)&gt;0,"",F1636)</f>
        <v>Pizza 4 fromages, France continentale, Base Carbone</v>
      </c>
      <c r="F1636" s="1051" t="str">
        <f t="shared" si="189"/>
        <v>Pizza 4 fromages, France continentale, Base Carbone</v>
      </c>
      <c r="G1636" s="1055" t="str">
        <f t="shared" si="190"/>
        <v>Pizza 4 fromages, France continentale, Base Carbone; kgCO2e/kg de produit</v>
      </c>
      <c r="I1636" s="2018" t="s">
        <v>4419</v>
      </c>
      <c r="J1636" s="1135" t="s">
        <v>4654</v>
      </c>
      <c r="K1636" s="1119" t="s">
        <v>1567</v>
      </c>
      <c r="L1636" s="1135" t="s">
        <v>1571</v>
      </c>
      <c r="M1636" s="2038">
        <v>0.5</v>
      </c>
      <c r="N1636" s="1135"/>
      <c r="O1636" s="2340">
        <v>3.53</v>
      </c>
      <c r="P1636" s="1135"/>
      <c r="Q1636" s="1135"/>
      <c r="R1636" s="1135"/>
      <c r="S1636" s="1135"/>
      <c r="T1636" s="1135"/>
      <c r="U1636" s="2041"/>
    </row>
    <row r="1637" spans="2:21" hidden="1" outlineLevel="2">
      <c r="B1637" s="1050">
        <v>82</v>
      </c>
      <c r="C1637" s="1050" t="str">
        <f t="shared" si="187"/>
        <v>Pizza à la viande, type bolognaise, France continentale, Base Carbone</v>
      </c>
      <c r="D1637" s="1051">
        <f t="shared" si="188"/>
        <v>82</v>
      </c>
      <c r="E1637" s="1051" t="str">
        <f>IF(COUNTIF(E$1555:E1636,F1637)&gt;0,"",F1637)</f>
        <v>Pizza à la viande, type bolognaise, France continentale, Base Carbone</v>
      </c>
      <c r="F1637" s="1051" t="str">
        <f t="shared" si="189"/>
        <v>Pizza à la viande, type bolognaise, France continentale, Base Carbone</v>
      </c>
      <c r="G1637" s="1055" t="str">
        <f t="shared" si="190"/>
        <v>Pizza à la viande, type bolognaise, France continentale, Base Carbone; kgCO2e/kg de produit</v>
      </c>
      <c r="I1637" s="2018" t="s">
        <v>4420</v>
      </c>
      <c r="J1637" s="1135" t="s">
        <v>4654</v>
      </c>
      <c r="K1637" s="1119" t="s">
        <v>1567</v>
      </c>
      <c r="L1637" s="1135" t="s">
        <v>1571</v>
      </c>
      <c r="M1637" s="2038">
        <v>0.5</v>
      </c>
      <c r="N1637" s="1135"/>
      <c r="O1637" s="2340">
        <v>8.6999999999999993</v>
      </c>
      <c r="P1637" s="1135"/>
      <c r="Q1637" s="1135"/>
      <c r="R1637" s="1135"/>
      <c r="S1637" s="1135"/>
      <c r="T1637" s="1135"/>
      <c r="U1637" s="2041"/>
    </row>
    <row r="1638" spans="2:21" hidden="1" outlineLevel="2">
      <c r="B1638" s="1050">
        <v>83</v>
      </c>
      <c r="C1638" s="1050" t="str">
        <f t="shared" si="187"/>
        <v>Pizza au chèvre et lardons, France continentale, Base Carbone</v>
      </c>
      <c r="D1638" s="1051">
        <f t="shared" si="188"/>
        <v>83</v>
      </c>
      <c r="E1638" s="1051" t="str">
        <f>IF(COUNTIF(E$1555:E1637,F1638)&gt;0,"",F1638)</f>
        <v>Pizza au chèvre et lardons, France continentale, Base Carbone</v>
      </c>
      <c r="F1638" s="1051" t="str">
        <f t="shared" si="189"/>
        <v>Pizza au chèvre et lardons, France continentale, Base Carbone</v>
      </c>
      <c r="G1638" s="1055" t="str">
        <f t="shared" si="190"/>
        <v>Pizza au chèvre et lardons, France continentale, Base Carbone; kgCO2e/kg de produit</v>
      </c>
      <c r="I1638" s="2018" t="s">
        <v>4421</v>
      </c>
      <c r="J1638" s="1135" t="s">
        <v>4654</v>
      </c>
      <c r="K1638" s="1119" t="s">
        <v>1567</v>
      </c>
      <c r="L1638" s="1135" t="s">
        <v>1571</v>
      </c>
      <c r="M1638" s="2038">
        <v>0.5</v>
      </c>
      <c r="N1638" s="1135"/>
      <c r="O1638" s="2340">
        <v>3.51</v>
      </c>
      <c r="P1638" s="1135"/>
      <c r="Q1638" s="1135"/>
      <c r="R1638" s="1135"/>
      <c r="S1638" s="1135"/>
      <c r="T1638" s="1135"/>
      <c r="U1638" s="2041"/>
    </row>
    <row r="1639" spans="2:21" hidden="1" outlineLevel="2">
      <c r="B1639" s="1050">
        <v>84</v>
      </c>
      <c r="C1639" s="1050" t="str">
        <f t="shared" si="187"/>
        <v>Pizza aux légumes ou Pizza 4 saisons, France continentale, Base Carbone</v>
      </c>
      <c r="D1639" s="1051">
        <f t="shared" si="188"/>
        <v>84</v>
      </c>
      <c r="E1639" s="1051" t="str">
        <f>IF(COUNTIF(E$1555:E1638,F1639)&gt;0,"",F1639)</f>
        <v>Pizza aux légumes ou Pizza 4 saisons, France continentale, Base Carbone</v>
      </c>
      <c r="F1639" s="1051" t="str">
        <f t="shared" si="189"/>
        <v>Pizza aux légumes ou Pizza 4 saisons, France continentale, Base Carbone</v>
      </c>
      <c r="G1639" s="1055" t="str">
        <f t="shared" si="190"/>
        <v>Pizza aux légumes ou Pizza 4 saisons, France continentale, Base Carbone; kgCO2e/kg de produit</v>
      </c>
      <c r="I1639" s="2018" t="s">
        <v>4422</v>
      </c>
      <c r="J1639" s="1135" t="s">
        <v>4654</v>
      </c>
      <c r="K1639" s="1119" t="s">
        <v>1567</v>
      </c>
      <c r="L1639" s="1135" t="s">
        <v>1571</v>
      </c>
      <c r="M1639" s="2038">
        <v>0.5</v>
      </c>
      <c r="N1639" s="1135"/>
      <c r="O1639" s="2340">
        <v>2.78</v>
      </c>
      <c r="P1639" s="1135"/>
      <c r="Q1639" s="1135"/>
      <c r="R1639" s="1135"/>
      <c r="S1639" s="1135"/>
      <c r="T1639" s="1135"/>
      <c r="U1639" s="2041"/>
    </row>
    <row r="1640" spans="2:21" hidden="1" outlineLevel="2">
      <c r="B1640" s="1050">
        <v>85</v>
      </c>
      <c r="C1640" s="1050" t="str">
        <f t="shared" si="187"/>
        <v>Poêlée de légumes assaisonnés à l'asiatiques ou wok de légumes, surgelée, crue, France continentale, Base Carbone</v>
      </c>
      <c r="D1640" s="1051">
        <f t="shared" si="188"/>
        <v>85</v>
      </c>
      <c r="E1640" s="1051" t="str">
        <f>IF(COUNTIF(E$1555:E1639,F1640)&gt;0,"",F1640)</f>
        <v>Poêlée de légumes assaisonnés à l'asiatiques ou wok de légumes, surgelée, crue, France continentale, Base Carbone</v>
      </c>
      <c r="F1640" s="1051" t="str">
        <f t="shared" si="189"/>
        <v>Poêlée de légumes assaisonnés à l'asiatiques ou wok de légumes, surgelée, crue, France continentale, Base Carbone</v>
      </c>
      <c r="G1640" s="1055" t="str">
        <f t="shared" si="190"/>
        <v>Poêlée de légumes assaisonnés à l'asiatiques ou wok de légumes, surgelée, crue, France continentale, Base Carbone; kgCO2e/kg de produit</v>
      </c>
      <c r="I1640" s="2018" t="s">
        <v>4423</v>
      </c>
      <c r="J1640" s="1135" t="s">
        <v>4654</v>
      </c>
      <c r="K1640" s="1119" t="s">
        <v>1567</v>
      </c>
      <c r="L1640" s="1135" t="s">
        <v>1571</v>
      </c>
      <c r="M1640" s="2038">
        <v>0.5</v>
      </c>
      <c r="N1640" s="1135"/>
      <c r="O1640" s="2340">
        <v>2.1800000000000002</v>
      </c>
      <c r="P1640" s="1135"/>
      <c r="Q1640" s="1135"/>
      <c r="R1640" s="1135"/>
      <c r="S1640" s="1135"/>
      <c r="T1640" s="1135"/>
      <c r="U1640" s="2041"/>
    </row>
    <row r="1641" spans="2:21" hidden="1" outlineLevel="2">
      <c r="B1641" s="1050">
        <v>86</v>
      </c>
      <c r="C1641" s="1050" t="str">
        <f t="shared" si="187"/>
        <v>Poisson blanc à la bordelaise, France continentale, Base Carbone</v>
      </c>
      <c r="D1641" s="1051">
        <f t="shared" si="188"/>
        <v>86</v>
      </c>
      <c r="E1641" s="1051" t="str">
        <f>IF(COUNTIF(E$1555:E1640,F1641)&gt;0,"",F1641)</f>
        <v>Poisson blanc à la bordelaise, France continentale, Base Carbone</v>
      </c>
      <c r="F1641" s="1051" t="str">
        <f t="shared" si="189"/>
        <v>Poisson blanc à la bordelaise, France continentale, Base Carbone</v>
      </c>
      <c r="G1641" s="1055" t="str">
        <f t="shared" si="190"/>
        <v>Poisson blanc à la bordelaise, France continentale, Base Carbone; kgCO2e/kg de produit</v>
      </c>
      <c r="I1641" s="2018" t="s">
        <v>4424</v>
      </c>
      <c r="J1641" s="1135" t="s">
        <v>4654</v>
      </c>
      <c r="K1641" s="1119" t="s">
        <v>1567</v>
      </c>
      <c r="L1641" s="1135" t="s">
        <v>1571</v>
      </c>
      <c r="M1641" s="2038">
        <v>0.5</v>
      </c>
      <c r="N1641" s="1135"/>
      <c r="O1641" s="2340">
        <v>7.73</v>
      </c>
      <c r="P1641" s="1135"/>
      <c r="Q1641" s="1135"/>
      <c r="R1641" s="1135"/>
      <c r="S1641" s="1135"/>
      <c r="T1641" s="1135"/>
      <c r="U1641" s="2041"/>
    </row>
    <row r="1642" spans="2:21" hidden="1" outlineLevel="2">
      <c r="B1642" s="1050">
        <v>87</v>
      </c>
      <c r="C1642" s="1050" t="str">
        <f t="shared" si="187"/>
        <v>Poisson blanc à la florentine (sauce aux épinards), France continentale, Base Carbone</v>
      </c>
      <c r="D1642" s="1051">
        <f t="shared" si="188"/>
        <v>87</v>
      </c>
      <c r="E1642" s="1051" t="str">
        <f>IF(COUNTIF(E$1555:E1641,F1642)&gt;0,"",F1642)</f>
        <v>Poisson blanc à la florentine (sauce aux épinards), France continentale, Base Carbone</v>
      </c>
      <c r="F1642" s="1051" t="str">
        <f t="shared" si="189"/>
        <v>Poisson blanc à la florentine (sauce aux épinards), France continentale, Base Carbone</v>
      </c>
      <c r="G1642" s="1055" t="str">
        <f t="shared" si="190"/>
        <v>Poisson blanc à la florentine (sauce aux épinards), France continentale, Base Carbone; kgCO2e/kg de produit</v>
      </c>
      <c r="I1642" s="2018" t="s">
        <v>4425</v>
      </c>
      <c r="J1642" s="1135" t="s">
        <v>4654</v>
      </c>
      <c r="K1642" s="1119" t="s">
        <v>1567</v>
      </c>
      <c r="L1642" s="1135" t="s">
        <v>1571</v>
      </c>
      <c r="M1642" s="2038">
        <v>0.5</v>
      </c>
      <c r="N1642" s="1135"/>
      <c r="O1642" s="2340">
        <v>8.75</v>
      </c>
      <c r="P1642" s="1135"/>
      <c r="Q1642" s="1135"/>
      <c r="R1642" s="1135"/>
      <c r="S1642" s="1135"/>
      <c r="T1642" s="1135"/>
      <c r="U1642" s="2041"/>
    </row>
    <row r="1643" spans="2:21" hidden="1" outlineLevel="2">
      <c r="B1643" s="1050">
        <v>88</v>
      </c>
      <c r="C1643" s="1050" t="str">
        <f t="shared" si="187"/>
        <v>Poisson en sauce, surgelé, France continentale, Base Carbone</v>
      </c>
      <c r="D1643" s="1051">
        <f t="shared" si="188"/>
        <v>88</v>
      </c>
      <c r="E1643" s="1051" t="str">
        <f>IF(COUNTIF(E$1555:E1642,F1643)&gt;0,"",F1643)</f>
        <v>Poisson en sauce, surgelé, France continentale, Base Carbone</v>
      </c>
      <c r="F1643" s="1051" t="str">
        <f t="shared" si="189"/>
        <v>Poisson en sauce, surgelé, France continentale, Base Carbone</v>
      </c>
      <c r="G1643" s="1055" t="str">
        <f t="shared" si="190"/>
        <v>Poisson en sauce, surgelé, France continentale, Base Carbone; kgCO2e/kg de produit</v>
      </c>
      <c r="I1643" s="2018" t="s">
        <v>4426</v>
      </c>
      <c r="J1643" s="1135" t="s">
        <v>4654</v>
      </c>
      <c r="K1643" s="1119" t="s">
        <v>1567</v>
      </c>
      <c r="L1643" s="1135" t="s">
        <v>1571</v>
      </c>
      <c r="M1643" s="2038">
        <v>0.5</v>
      </c>
      <c r="N1643" s="1135"/>
      <c r="O1643" s="2340">
        <v>8.4600000000000009</v>
      </c>
      <c r="P1643" s="1135"/>
      <c r="Q1643" s="1135"/>
      <c r="R1643" s="1135"/>
      <c r="S1643" s="1135"/>
      <c r="T1643" s="1135"/>
      <c r="U1643" s="2041"/>
    </row>
    <row r="1644" spans="2:21" hidden="1" outlineLevel="2">
      <c r="B1644" s="1050">
        <v>89</v>
      </c>
      <c r="C1644" s="1050" t="str">
        <f t="shared" si="187"/>
        <v>Porc au caramel, France continentale, Base Carbone</v>
      </c>
      <c r="D1644" s="1051">
        <f t="shared" si="188"/>
        <v>89</v>
      </c>
      <c r="E1644" s="1051" t="str">
        <f>IF(COUNTIF(E$1555:E1643,F1644)&gt;0,"",F1644)</f>
        <v>Porc au caramel, France continentale, Base Carbone</v>
      </c>
      <c r="F1644" s="1051" t="str">
        <f t="shared" si="189"/>
        <v>Porc au caramel, France continentale, Base Carbone</v>
      </c>
      <c r="G1644" s="1055" t="str">
        <f t="shared" si="190"/>
        <v>Porc au caramel, France continentale, Base Carbone; kgCO2e/kg de produit</v>
      </c>
      <c r="I1644" s="2018" t="s">
        <v>4427</v>
      </c>
      <c r="J1644" s="1135" t="s">
        <v>4654</v>
      </c>
      <c r="K1644" s="1119" t="s">
        <v>1567</v>
      </c>
      <c r="L1644" s="1135" t="s">
        <v>1571</v>
      </c>
      <c r="M1644" s="2038">
        <v>0.5</v>
      </c>
      <c r="N1644" s="1135"/>
      <c r="O1644" s="2340">
        <v>9.68</v>
      </c>
      <c r="P1644" s="1135"/>
      <c r="Q1644" s="1135"/>
      <c r="R1644" s="1135"/>
      <c r="S1644" s="1135"/>
      <c r="T1644" s="1135"/>
      <c r="U1644" s="2041"/>
    </row>
    <row r="1645" spans="2:21" hidden="1" outlineLevel="2">
      <c r="B1645" s="1050">
        <v>90</v>
      </c>
      <c r="C1645" s="1050" t="str">
        <f t="shared" si="187"/>
        <v>Pot-au-feu, France continentale, Base Carbone</v>
      </c>
      <c r="D1645" s="1051">
        <f t="shared" si="188"/>
        <v>90</v>
      </c>
      <c r="E1645" s="1051" t="str">
        <f>IF(COUNTIF(E$1555:E1644,F1645)&gt;0,"",F1645)</f>
        <v>Pot-au-feu, France continentale, Base Carbone</v>
      </c>
      <c r="F1645" s="1051" t="str">
        <f t="shared" si="189"/>
        <v>Pot-au-feu, France continentale, Base Carbone</v>
      </c>
      <c r="G1645" s="1055" t="str">
        <f t="shared" si="190"/>
        <v>Pot-au-feu, France continentale, Base Carbone; kgCO2e/kg de produit</v>
      </c>
      <c r="I1645" s="2018" t="s">
        <v>4428</v>
      </c>
      <c r="J1645" s="1135" t="s">
        <v>4654</v>
      </c>
      <c r="K1645" s="1119" t="s">
        <v>1567</v>
      </c>
      <c r="L1645" s="1135" t="s">
        <v>1571</v>
      </c>
      <c r="M1645" s="2038">
        <v>0.5</v>
      </c>
      <c r="N1645" s="1135"/>
      <c r="O1645" s="2340">
        <v>20.2</v>
      </c>
      <c r="P1645" s="1135"/>
      <c r="Q1645" s="1135"/>
      <c r="R1645" s="1135"/>
      <c r="S1645" s="1135"/>
      <c r="T1645" s="1135"/>
      <c r="U1645" s="2041"/>
    </row>
    <row r="1646" spans="2:21" hidden="1" outlineLevel="2">
      <c r="B1646" s="1050">
        <v>91</v>
      </c>
      <c r="C1646" s="1050" t="str">
        <f t="shared" si="187"/>
        <v>Potée auvergnate (chou et porc), France continentale, Base Carbone</v>
      </c>
      <c r="D1646" s="1051">
        <f t="shared" si="188"/>
        <v>91</v>
      </c>
      <c r="E1646" s="1051" t="str">
        <f>IF(COUNTIF(E$1555:E1645,F1646)&gt;0,"",F1646)</f>
        <v>Potée auvergnate (chou et porc), France continentale, Base Carbone</v>
      </c>
      <c r="F1646" s="1051" t="str">
        <f t="shared" si="189"/>
        <v>Potée auvergnate (chou et porc), France continentale, Base Carbone</v>
      </c>
      <c r="G1646" s="1055" t="str">
        <f t="shared" si="190"/>
        <v>Potée auvergnate (chou et porc), France continentale, Base Carbone; kgCO2e/kg de produit</v>
      </c>
      <c r="I1646" s="2018" t="s">
        <v>4429</v>
      </c>
      <c r="J1646" s="1135" t="s">
        <v>4654</v>
      </c>
      <c r="K1646" s="1119" t="s">
        <v>1567</v>
      </c>
      <c r="L1646" s="1135" t="s">
        <v>1571</v>
      </c>
      <c r="M1646" s="2038">
        <v>0.5</v>
      </c>
      <c r="N1646" s="1135"/>
      <c r="O1646" s="2340">
        <v>3.99</v>
      </c>
      <c r="P1646" s="1135"/>
      <c r="Q1646" s="1135"/>
      <c r="R1646" s="1135"/>
      <c r="S1646" s="1135"/>
      <c r="T1646" s="1135"/>
      <c r="U1646" s="2041"/>
    </row>
    <row r="1647" spans="2:21" hidden="1" outlineLevel="2">
      <c r="B1647" s="1050">
        <v>92</v>
      </c>
      <c r="C1647" s="1050" t="str">
        <f t="shared" si="187"/>
        <v>Poulet au curry et au lait de coco, France continentale, Base Carbone</v>
      </c>
      <c r="D1647" s="1051">
        <f t="shared" si="188"/>
        <v>92</v>
      </c>
      <c r="E1647" s="1051" t="str">
        <f>IF(COUNTIF(E$1555:E1646,F1647)&gt;0,"",F1647)</f>
        <v>Poulet au curry et au lait de coco, France continentale, Base Carbone</v>
      </c>
      <c r="F1647" s="1051" t="str">
        <f t="shared" si="189"/>
        <v>Poulet au curry et au lait de coco, France continentale, Base Carbone</v>
      </c>
      <c r="G1647" s="1055" t="str">
        <f t="shared" si="190"/>
        <v>Poulet au curry et au lait de coco, France continentale, Base Carbone; kgCO2e/kg de produit</v>
      </c>
      <c r="I1647" s="2018" t="s">
        <v>4430</v>
      </c>
      <c r="J1647" s="1135" t="s">
        <v>4654</v>
      </c>
      <c r="K1647" s="1119" t="s">
        <v>1567</v>
      </c>
      <c r="L1647" s="1135" t="s">
        <v>1571</v>
      </c>
      <c r="M1647" s="2038">
        <v>0.5</v>
      </c>
      <c r="N1647" s="1135"/>
      <c r="O1647" s="2340">
        <v>5.48</v>
      </c>
      <c r="P1647" s="1135"/>
      <c r="Q1647" s="1135"/>
      <c r="R1647" s="1135"/>
      <c r="S1647" s="1135"/>
      <c r="T1647" s="1135"/>
      <c r="U1647" s="2041"/>
    </row>
    <row r="1648" spans="2:21" hidden="1" outlineLevel="2">
      <c r="B1648" s="1050">
        <v>93</v>
      </c>
      <c r="C1648" s="1050" t="str">
        <f t="shared" si="187"/>
        <v>Poulet basquaise, France continentale, Base Carbone</v>
      </c>
      <c r="D1648" s="1051">
        <f t="shared" si="188"/>
        <v>93</v>
      </c>
      <c r="E1648" s="1051" t="str">
        <f>IF(COUNTIF(E$1555:E1647,F1648)&gt;0,"",F1648)</f>
        <v>Poulet basquaise, France continentale, Base Carbone</v>
      </c>
      <c r="F1648" s="1051" t="str">
        <f t="shared" si="189"/>
        <v>Poulet basquaise, France continentale, Base Carbone</v>
      </c>
      <c r="G1648" s="1055" t="str">
        <f t="shared" si="190"/>
        <v>Poulet basquaise, France continentale, Base Carbone; kgCO2e/kg de produit</v>
      </c>
      <c r="I1648" s="2018" t="s">
        <v>4431</v>
      </c>
      <c r="J1648" s="1135" t="s">
        <v>4654</v>
      </c>
      <c r="K1648" s="1119" t="s">
        <v>1567</v>
      </c>
      <c r="L1648" s="1135" t="s">
        <v>1571</v>
      </c>
      <c r="M1648" s="2038">
        <v>0.5</v>
      </c>
      <c r="N1648" s="1135"/>
      <c r="O1648" s="2340">
        <v>4.21</v>
      </c>
      <c r="P1648" s="1135"/>
      <c r="Q1648" s="1135"/>
      <c r="R1648" s="1135"/>
      <c r="S1648" s="1135"/>
      <c r="T1648" s="1135"/>
      <c r="U1648" s="2041"/>
    </row>
    <row r="1649" spans="2:21" hidden="1" outlineLevel="2">
      <c r="B1649" s="1050">
        <v>94</v>
      </c>
      <c r="C1649" s="1050" t="str">
        <f t="shared" si="187"/>
        <v>Quiche lorraine, France continentale, Base Carbone</v>
      </c>
      <c r="D1649" s="1051">
        <f t="shared" si="188"/>
        <v>94</v>
      </c>
      <c r="E1649" s="1051" t="str">
        <f>IF(COUNTIF(E$1555:E1648,F1649)&gt;0,"",F1649)</f>
        <v>Quiche lorraine, France continentale, Base Carbone</v>
      </c>
      <c r="F1649" s="1051" t="str">
        <f t="shared" si="189"/>
        <v>Quiche lorraine, France continentale, Base Carbone</v>
      </c>
      <c r="G1649" s="1055" t="str">
        <f t="shared" si="190"/>
        <v>Quiche lorraine, France continentale, Base Carbone; kgCO2e/kg de produit</v>
      </c>
      <c r="I1649" s="2018" t="s">
        <v>1264</v>
      </c>
      <c r="J1649" s="1135" t="s">
        <v>4654</v>
      </c>
      <c r="K1649" s="1119" t="s">
        <v>1567</v>
      </c>
      <c r="L1649" s="1135" t="s">
        <v>1571</v>
      </c>
      <c r="M1649" s="2038">
        <v>0.5</v>
      </c>
      <c r="N1649" s="1135"/>
      <c r="O1649" s="2340">
        <v>5.0199999999999996</v>
      </c>
      <c r="P1649" s="1135"/>
      <c r="Q1649" s="1135"/>
      <c r="R1649" s="1135"/>
      <c r="S1649" s="1135"/>
      <c r="T1649" s="1135"/>
      <c r="U1649" s="2041"/>
    </row>
    <row r="1650" spans="2:21" hidden="1" outlineLevel="2">
      <c r="B1650" s="1050">
        <v>95</v>
      </c>
      <c r="C1650" s="1050" t="str">
        <f t="shared" si="187"/>
        <v>Ratatouille cuisinée, France continentale, Base Carbone</v>
      </c>
      <c r="D1650" s="1051">
        <f t="shared" si="188"/>
        <v>95</v>
      </c>
      <c r="E1650" s="1051" t="str">
        <f>IF(COUNTIF(E$1555:E1649,F1650)&gt;0,"",F1650)</f>
        <v>Ratatouille cuisinée, France continentale, Base Carbone</v>
      </c>
      <c r="F1650" s="1051" t="str">
        <f t="shared" si="189"/>
        <v>Ratatouille cuisinée, France continentale, Base Carbone</v>
      </c>
      <c r="G1650" s="1055" t="str">
        <f t="shared" si="190"/>
        <v>Ratatouille cuisinée, France continentale, Base Carbone; kgCO2e/kg de produit</v>
      </c>
      <c r="I1650" s="2018" t="s">
        <v>4432</v>
      </c>
      <c r="J1650" s="1135" t="s">
        <v>4654</v>
      </c>
      <c r="K1650" s="1119" t="s">
        <v>1567</v>
      </c>
      <c r="L1650" s="1135" t="s">
        <v>1571</v>
      </c>
      <c r="M1650" s="2038">
        <v>0.5</v>
      </c>
      <c r="N1650" s="1135"/>
      <c r="O1650" s="2340">
        <v>1.9</v>
      </c>
      <c r="P1650" s="1135"/>
      <c r="Q1650" s="1135"/>
      <c r="R1650" s="1135"/>
      <c r="S1650" s="1135"/>
      <c r="T1650" s="1135"/>
      <c r="U1650" s="2041"/>
    </row>
    <row r="1651" spans="2:21" hidden="1" outlineLevel="2">
      <c r="B1651" s="1050">
        <v>96</v>
      </c>
      <c r="C1651" s="1050" t="str">
        <f t="shared" si="187"/>
        <v>Ravioli à la viande, sauce tomate, appertisé, France continentale, Base Carbone</v>
      </c>
      <c r="D1651" s="1051">
        <f t="shared" si="188"/>
        <v>96</v>
      </c>
      <c r="E1651" s="1051" t="str">
        <f>IF(COUNTIF(E$1555:E1650,F1651)&gt;0,"",F1651)</f>
        <v>Ravioli à la viande, sauce tomate, appertisé, France continentale, Base Carbone</v>
      </c>
      <c r="F1651" s="1051" t="str">
        <f t="shared" si="189"/>
        <v>Ravioli à la viande, sauce tomate, appertisé, France continentale, Base Carbone</v>
      </c>
      <c r="G1651" s="1055" t="str">
        <f t="shared" si="190"/>
        <v>Ravioli à la viande, sauce tomate, appertisé, France continentale, Base Carbone; kgCO2e/kg de produit</v>
      </c>
      <c r="I1651" s="2018" t="s">
        <v>4433</v>
      </c>
      <c r="J1651" s="1135" t="s">
        <v>4654</v>
      </c>
      <c r="K1651" s="1119" t="s">
        <v>1567</v>
      </c>
      <c r="L1651" s="1135" t="s">
        <v>1571</v>
      </c>
      <c r="M1651" s="2038">
        <v>0.5</v>
      </c>
      <c r="N1651" s="1135"/>
      <c r="O1651" s="2340">
        <v>17</v>
      </c>
      <c r="P1651" s="1135"/>
      <c r="Q1651" s="1135"/>
      <c r="R1651" s="1135"/>
      <c r="S1651" s="1135"/>
      <c r="T1651" s="1135"/>
      <c r="U1651" s="2041"/>
    </row>
    <row r="1652" spans="2:21" hidden="1" outlineLevel="2">
      <c r="B1652" s="1050">
        <v>97</v>
      </c>
      <c r="C1652" s="1050" t="str">
        <f t="shared" ref="C1652:C1683" si="191">IF(ISNA(VLOOKUP(B1652,$D$1555:$E$1698,2,FALSE)),"-",VLOOKUP(B1652,$D$1555:$E$1698,2,FALSE))</f>
        <v>Ravioli chinois à la vapeur à la crevette, cuit, France continentale, Base Carbone</v>
      </c>
      <c r="D1652" s="1051">
        <f t="shared" si="188"/>
        <v>97</v>
      </c>
      <c r="E1652" s="1051" t="str">
        <f>IF(COUNTIF(E$1555:E1651,F1652)&gt;0,"",F1652)</f>
        <v>Ravioli chinois à la vapeur à la crevette, cuit, France continentale, Base Carbone</v>
      </c>
      <c r="F1652" s="1051" t="str">
        <f t="shared" si="189"/>
        <v>Ravioli chinois à la vapeur à la crevette, cuit, France continentale, Base Carbone</v>
      </c>
      <c r="G1652" s="1055" t="str">
        <f t="shared" si="190"/>
        <v>Ravioli chinois à la vapeur à la crevette, cuit, France continentale, Base Carbone; kgCO2e/kg de produit</v>
      </c>
      <c r="I1652" s="2018" t="s">
        <v>4434</v>
      </c>
      <c r="J1652" s="1135" t="s">
        <v>4654</v>
      </c>
      <c r="K1652" s="1119" t="s">
        <v>1567</v>
      </c>
      <c r="L1652" s="1135" t="s">
        <v>1571</v>
      </c>
      <c r="M1652" s="2038">
        <v>0.5</v>
      </c>
      <c r="N1652" s="1135"/>
      <c r="O1652" s="2340">
        <v>2.69</v>
      </c>
      <c r="P1652" s="1135"/>
      <c r="Q1652" s="1135"/>
      <c r="R1652" s="1135"/>
      <c r="S1652" s="1135"/>
      <c r="T1652" s="1135"/>
      <c r="U1652" s="2041"/>
    </row>
    <row r="1653" spans="2:21" hidden="1" outlineLevel="2">
      <c r="B1653" s="1050">
        <v>98</v>
      </c>
      <c r="C1653" s="1050" t="str">
        <f t="shared" si="191"/>
        <v>Risotto, aux fromages, France continentale, Base Carbone</v>
      </c>
      <c r="D1653" s="1051">
        <f t="shared" si="188"/>
        <v>98</v>
      </c>
      <c r="E1653" s="1051" t="str">
        <f>IF(COUNTIF(E$1555:E1652,F1653)&gt;0,"",F1653)</f>
        <v>Risotto, aux fromages, France continentale, Base Carbone</v>
      </c>
      <c r="F1653" s="1051" t="str">
        <f t="shared" si="189"/>
        <v>Risotto, aux fromages, France continentale, Base Carbone</v>
      </c>
      <c r="G1653" s="1055" t="str">
        <f t="shared" si="190"/>
        <v>Risotto, aux fromages, France continentale, Base Carbone; kgCO2e/kg de produit</v>
      </c>
      <c r="I1653" s="2018" t="s">
        <v>4435</v>
      </c>
      <c r="J1653" s="1135" t="s">
        <v>4654</v>
      </c>
      <c r="K1653" s="1119" t="s">
        <v>1567</v>
      </c>
      <c r="L1653" s="1135" t="s">
        <v>1571</v>
      </c>
      <c r="M1653" s="2038">
        <v>0.5</v>
      </c>
      <c r="N1653" s="1135"/>
      <c r="O1653" s="2340">
        <v>1.01</v>
      </c>
      <c r="P1653" s="1135"/>
      <c r="Q1653" s="1135"/>
      <c r="R1653" s="1135"/>
      <c r="S1653" s="1135"/>
      <c r="T1653" s="1135"/>
      <c r="U1653" s="2041"/>
    </row>
    <row r="1654" spans="2:21" hidden="1" outlineLevel="2">
      <c r="B1654" s="1050">
        <v>99</v>
      </c>
      <c r="C1654" s="1050" t="str">
        <f t="shared" si="191"/>
        <v>Riste d'aubergines (aubergines, tomates, oignons), France continentale, Base Carbone</v>
      </c>
      <c r="D1654" s="1051">
        <f t="shared" si="188"/>
        <v>99</v>
      </c>
      <c r="E1654" s="1051" t="str">
        <f>IF(COUNTIF(E$1555:E1653,F1654)&gt;0,"",F1654)</f>
        <v>Riste d'aubergines (aubergines, tomates, oignons), France continentale, Base Carbone</v>
      </c>
      <c r="F1654" s="1051" t="str">
        <f t="shared" si="189"/>
        <v>Riste d'aubergines (aubergines, tomates, oignons), France continentale, Base Carbone</v>
      </c>
      <c r="G1654" s="1055" t="str">
        <f t="shared" si="190"/>
        <v>Riste d'aubergines (aubergines, tomates, oignons), France continentale, Base Carbone; kgCO2e/kg de produit</v>
      </c>
      <c r="I1654" s="2018" t="s">
        <v>4436</v>
      </c>
      <c r="J1654" s="1135" t="s">
        <v>4654</v>
      </c>
      <c r="K1654" s="1119" t="s">
        <v>1567</v>
      </c>
      <c r="L1654" s="1135" t="s">
        <v>1571</v>
      </c>
      <c r="M1654" s="2038">
        <v>0.5</v>
      </c>
      <c r="N1654" s="1135"/>
      <c r="O1654" s="2340">
        <v>1.9</v>
      </c>
      <c r="P1654" s="1135"/>
      <c r="Q1654" s="1135"/>
      <c r="R1654" s="1135"/>
      <c r="S1654" s="1135"/>
      <c r="T1654" s="1135"/>
      <c r="U1654" s="2041"/>
    </row>
    <row r="1655" spans="2:21" hidden="1" outlineLevel="2">
      <c r="B1655" s="1050">
        <v>100</v>
      </c>
      <c r="C1655" s="1050" t="str">
        <f t="shared" si="191"/>
        <v>Riz blanc, cuit, avec légumes et viande, France continentale, Base Carbone</v>
      </c>
      <c r="D1655" s="1051">
        <f t="shared" si="188"/>
        <v>100</v>
      </c>
      <c r="E1655" s="1051" t="str">
        <f>IF(COUNTIF(E$1555:E1654,F1655)&gt;0,"",F1655)</f>
        <v>Riz blanc, cuit, avec légumes et viande, France continentale, Base Carbone</v>
      </c>
      <c r="F1655" s="1051" t="str">
        <f t="shared" si="189"/>
        <v>Riz blanc, cuit, avec légumes et viande, France continentale, Base Carbone</v>
      </c>
      <c r="G1655" s="1055" t="str">
        <f t="shared" si="190"/>
        <v>Riz blanc, cuit, avec légumes et viande, France continentale, Base Carbone; kgCO2e/kg de produit</v>
      </c>
      <c r="I1655" s="2018" t="s">
        <v>4437</v>
      </c>
      <c r="J1655" s="1135" t="s">
        <v>4654</v>
      </c>
      <c r="K1655" s="1119" t="s">
        <v>1567</v>
      </c>
      <c r="L1655" s="1135" t="s">
        <v>1571</v>
      </c>
      <c r="M1655" s="2038">
        <v>0.5</v>
      </c>
      <c r="N1655" s="1135"/>
      <c r="O1655" s="2340">
        <v>2.2400000000000002</v>
      </c>
      <c r="P1655" s="1135"/>
      <c r="Q1655" s="1135"/>
      <c r="R1655" s="1135"/>
      <c r="S1655" s="1135"/>
      <c r="T1655" s="1135"/>
      <c r="U1655" s="2041"/>
    </row>
    <row r="1656" spans="2:21" hidden="1" outlineLevel="2">
      <c r="B1656" s="1050">
        <v>101</v>
      </c>
      <c r="C1656" s="1050" t="str">
        <f t="shared" si="191"/>
        <v>Riz cantonais, France continentale, Base Carbone</v>
      </c>
      <c r="D1656" s="1051">
        <f t="shared" si="188"/>
        <v>101</v>
      </c>
      <c r="E1656" s="1051" t="str">
        <f>IF(COUNTIF(E$1555:E1655,F1656)&gt;0,"",F1656)</f>
        <v>Riz cantonais, France continentale, Base Carbone</v>
      </c>
      <c r="F1656" s="1051" t="str">
        <f t="shared" si="189"/>
        <v>Riz cantonais, France continentale, Base Carbone</v>
      </c>
      <c r="G1656" s="1055" t="str">
        <f t="shared" si="190"/>
        <v>Riz cantonais, France continentale, Base Carbone; kgCO2e/kg de produit</v>
      </c>
      <c r="I1656" s="2018" t="s">
        <v>4438</v>
      </c>
      <c r="J1656" s="1135" t="s">
        <v>4654</v>
      </c>
      <c r="K1656" s="1119" t="s">
        <v>1567</v>
      </c>
      <c r="L1656" s="1135" t="s">
        <v>1571</v>
      </c>
      <c r="M1656" s="2038">
        <v>0.5</v>
      </c>
      <c r="N1656" s="1135"/>
      <c r="O1656" s="2340">
        <v>2.15</v>
      </c>
      <c r="P1656" s="1135"/>
      <c r="Q1656" s="1135"/>
      <c r="R1656" s="1135"/>
      <c r="S1656" s="1135"/>
      <c r="T1656" s="1135"/>
      <c r="U1656" s="2041"/>
    </row>
    <row r="1657" spans="2:21" hidden="1" outlineLevel="2">
      <c r="B1657" s="1050">
        <v>102</v>
      </c>
      <c r="C1657" s="1050" t="str">
        <f t="shared" si="191"/>
        <v>Rouleau de printemps, France continentale, Base Carbone</v>
      </c>
      <c r="D1657" s="1051">
        <f t="shared" si="188"/>
        <v>102</v>
      </c>
      <c r="E1657" s="1051" t="str">
        <f>IF(COUNTIF(E$1555:E1656,F1657)&gt;0,"",F1657)</f>
        <v>Rouleau de printemps, France continentale, Base Carbone</v>
      </c>
      <c r="F1657" s="1051" t="str">
        <f t="shared" si="189"/>
        <v>Rouleau de printemps, France continentale, Base Carbone</v>
      </c>
      <c r="G1657" s="1055" t="str">
        <f t="shared" si="190"/>
        <v>Rouleau de printemps, France continentale, Base Carbone; kgCO2e/kg de produit</v>
      </c>
      <c r="I1657" s="2018" t="s">
        <v>4439</v>
      </c>
      <c r="J1657" s="1135" t="s">
        <v>4654</v>
      </c>
      <c r="K1657" s="1119" t="s">
        <v>1567</v>
      </c>
      <c r="L1657" s="1135" t="s">
        <v>1571</v>
      </c>
      <c r="M1657" s="2038">
        <v>0.5</v>
      </c>
      <c r="N1657" s="1135"/>
      <c r="O1657" s="2340">
        <v>1.57</v>
      </c>
      <c r="P1657" s="1135"/>
      <c r="Q1657" s="1135"/>
      <c r="R1657" s="1135"/>
      <c r="S1657" s="1135"/>
      <c r="T1657" s="1135"/>
      <c r="U1657" s="2041"/>
    </row>
    <row r="1658" spans="2:21" hidden="1" outlineLevel="2">
      <c r="B1658" s="1050">
        <v>103</v>
      </c>
      <c r="C1658" s="1050" t="str">
        <f t="shared" si="191"/>
        <v>Salade César au poulet (salade verte, fromage, croûtos, sauce), France continentale, Base Carbone</v>
      </c>
      <c r="D1658" s="1051">
        <f t="shared" si="188"/>
        <v>103</v>
      </c>
      <c r="E1658" s="1051" t="str">
        <f>IF(COUNTIF(E$1555:E1657,F1658)&gt;0,"",F1658)</f>
        <v>Salade César au poulet (salade verte, fromage, croûtos, sauce), France continentale, Base Carbone</v>
      </c>
      <c r="F1658" s="1051" t="str">
        <f t="shared" si="189"/>
        <v>Salade César au poulet (salade verte, fromage, croûtos, sauce), France continentale, Base Carbone</v>
      </c>
      <c r="G1658" s="1055" t="str">
        <f t="shared" si="190"/>
        <v>Salade César au poulet (salade verte, fromage, croûtos, sauce), France continentale, Base Carbone; kgCO2e/kg de produit</v>
      </c>
      <c r="I1658" s="2018" t="s">
        <v>4440</v>
      </c>
      <c r="J1658" s="1135" t="s">
        <v>4654</v>
      </c>
      <c r="K1658" s="1119" t="s">
        <v>1567</v>
      </c>
      <c r="L1658" s="1135" t="s">
        <v>1571</v>
      </c>
      <c r="M1658" s="2038">
        <v>0.5</v>
      </c>
      <c r="N1658" s="1135"/>
      <c r="O1658" s="2340">
        <v>2.8123654</v>
      </c>
      <c r="P1658" s="1135"/>
      <c r="Q1658" s="1135"/>
      <c r="R1658" s="1135"/>
      <c r="S1658" s="1135"/>
      <c r="T1658" s="1135"/>
      <c r="U1658" s="2041"/>
    </row>
    <row r="1659" spans="2:21" hidden="1" outlineLevel="2">
      <c r="B1659" s="1050">
        <v>104</v>
      </c>
      <c r="C1659" s="1050" t="str">
        <f t="shared" si="191"/>
        <v>Salade composée avec viande ou poisson, appertisée, égouttée, France continentale, Base Carbone</v>
      </c>
      <c r="D1659" s="1051">
        <f t="shared" si="188"/>
        <v>104</v>
      </c>
      <c r="E1659" s="1051" t="str">
        <f>IF(COUNTIF(E$1555:E1658,F1659)&gt;0,"",F1659)</f>
        <v>Salade composée avec viande ou poisson, appertisée, égouttée, France continentale, Base Carbone</v>
      </c>
      <c r="F1659" s="1051" t="str">
        <f t="shared" si="189"/>
        <v>Salade composée avec viande ou poisson, appertisée, égouttée, France continentale, Base Carbone</v>
      </c>
      <c r="G1659" s="1055" t="str">
        <f t="shared" si="190"/>
        <v>Salade composée avec viande ou poisson, appertisée, égouttée, France continentale, Base Carbone; kgCO2e/kg de produit</v>
      </c>
      <c r="I1659" s="2018" t="s">
        <v>4441</v>
      </c>
      <c r="J1659" s="1135" t="s">
        <v>4654</v>
      </c>
      <c r="K1659" s="1119" t="s">
        <v>1567</v>
      </c>
      <c r="L1659" s="1135" t="s">
        <v>1571</v>
      </c>
      <c r="M1659" s="2038">
        <v>0.5</v>
      </c>
      <c r="N1659" s="1135"/>
      <c r="O1659" s="2340">
        <v>16.5</v>
      </c>
      <c r="P1659" s="1135"/>
      <c r="Q1659" s="1135"/>
      <c r="R1659" s="1135"/>
      <c r="S1659" s="1135"/>
      <c r="T1659" s="1135"/>
      <c r="U1659" s="2041"/>
    </row>
    <row r="1660" spans="2:21" hidden="1" outlineLevel="2">
      <c r="B1660" s="1050">
        <v>105</v>
      </c>
      <c r="C1660" s="1050" t="str">
        <f t="shared" si="191"/>
        <v>Salade de chou ou Coleslaw, avec sauce, préemballée, France continentale, Base Carbone</v>
      </c>
      <c r="D1660" s="1051">
        <f t="shared" si="188"/>
        <v>105</v>
      </c>
      <c r="E1660" s="1051" t="str">
        <f>IF(COUNTIF(E$1555:E1659,F1660)&gt;0,"",F1660)</f>
        <v>Salade de chou ou Coleslaw, avec sauce, préemballée, France continentale, Base Carbone</v>
      </c>
      <c r="F1660" s="1051" t="str">
        <f t="shared" si="189"/>
        <v>Salade de chou ou Coleslaw, avec sauce, préemballée, France continentale, Base Carbone</v>
      </c>
      <c r="G1660" s="1055" t="str">
        <f t="shared" si="190"/>
        <v>Salade de chou ou Coleslaw, avec sauce, préemballée, France continentale, Base Carbone; kgCO2e/kg de produit</v>
      </c>
      <c r="I1660" s="2018" t="s">
        <v>4442</v>
      </c>
      <c r="J1660" s="1135" t="s">
        <v>4654</v>
      </c>
      <c r="K1660" s="1119" t="s">
        <v>1567</v>
      </c>
      <c r="L1660" s="1135" t="s">
        <v>1571</v>
      </c>
      <c r="M1660" s="2038">
        <v>0.5</v>
      </c>
      <c r="N1660" s="1135"/>
      <c r="O1660" s="2340">
        <v>1.1200000000000001</v>
      </c>
      <c r="P1660" s="1135"/>
      <c r="Q1660" s="1135"/>
      <c r="R1660" s="1135"/>
      <c r="S1660" s="1135"/>
      <c r="T1660" s="1135"/>
      <c r="U1660" s="2041"/>
    </row>
    <row r="1661" spans="2:21" hidden="1" outlineLevel="2">
      <c r="B1661" s="1050">
        <v>106</v>
      </c>
      <c r="C1661" s="1050" t="str">
        <f t="shared" si="191"/>
        <v>Salade de pâtes, végétarienne, France continentale, Base Carbone</v>
      </c>
      <c r="D1661" s="1051">
        <f t="shared" si="188"/>
        <v>106</v>
      </c>
      <c r="E1661" s="1051" t="str">
        <f>IF(COUNTIF(E$1555:E1660,F1661)&gt;0,"",F1661)</f>
        <v>Salade de pâtes, végétarienne, France continentale, Base Carbone</v>
      </c>
      <c r="F1661" s="1051" t="str">
        <f t="shared" si="189"/>
        <v>Salade de pâtes, végétarienne, France continentale, Base Carbone</v>
      </c>
      <c r="G1661" s="1055" t="str">
        <f t="shared" si="190"/>
        <v>Salade de pâtes, végétarienne, France continentale, Base Carbone; kgCO2e/kg de produit</v>
      </c>
      <c r="I1661" s="2018" t="s">
        <v>4443</v>
      </c>
      <c r="J1661" s="1135" t="s">
        <v>4654</v>
      </c>
      <c r="K1661" s="1119" t="s">
        <v>1567</v>
      </c>
      <c r="L1661" s="1135" t="s">
        <v>1571</v>
      </c>
      <c r="M1661" s="2038">
        <v>0.5</v>
      </c>
      <c r="N1661" s="1135"/>
      <c r="O1661" s="2340">
        <v>2.12</v>
      </c>
      <c r="P1661" s="1135"/>
      <c r="Q1661" s="1135"/>
      <c r="R1661" s="1135"/>
      <c r="S1661" s="1135"/>
      <c r="T1661" s="1135"/>
      <c r="U1661" s="2041"/>
    </row>
    <row r="1662" spans="2:21" hidden="1" outlineLevel="2">
      <c r="B1662" s="1050">
        <v>107</v>
      </c>
      <c r="C1662" s="1050" t="str">
        <f t="shared" si="191"/>
        <v>Samossas ou Samoussas, France continentale, Base Carbone</v>
      </c>
      <c r="D1662" s="1051">
        <f t="shared" si="188"/>
        <v>107</v>
      </c>
      <c r="E1662" s="1051" t="str">
        <f>IF(COUNTIF(E$1555:E1661,F1662)&gt;0,"",F1662)</f>
        <v>Samossas ou Samoussas, France continentale, Base Carbone</v>
      </c>
      <c r="F1662" s="1051" t="str">
        <f t="shared" si="189"/>
        <v>Samossas ou Samoussas, France continentale, Base Carbone</v>
      </c>
      <c r="G1662" s="1055" t="str">
        <f t="shared" si="190"/>
        <v>Samossas ou Samoussas, France continentale, Base Carbone; kgCO2e/kg de produit</v>
      </c>
      <c r="I1662" s="2018" t="s">
        <v>4444</v>
      </c>
      <c r="J1662" s="1135" t="s">
        <v>4654</v>
      </c>
      <c r="K1662" s="1119" t="s">
        <v>1567</v>
      </c>
      <c r="L1662" s="1135" t="s">
        <v>1571</v>
      </c>
      <c r="M1662" s="2038">
        <v>0.5</v>
      </c>
      <c r="N1662" s="1135"/>
      <c r="O1662" s="2340">
        <v>28.7</v>
      </c>
      <c r="P1662" s="1135"/>
      <c r="Q1662" s="1135"/>
      <c r="R1662" s="1135"/>
      <c r="S1662" s="1135"/>
      <c r="T1662" s="1135"/>
      <c r="U1662" s="2041"/>
    </row>
    <row r="1663" spans="2:21" hidden="1" outlineLevel="2">
      <c r="B1663" s="1050">
        <v>108</v>
      </c>
      <c r="C1663" s="1050" t="str">
        <f t="shared" si="191"/>
        <v>Sandwich baguette, jambon, beurre, France continentale, Base Carbone</v>
      </c>
      <c r="D1663" s="1051">
        <f t="shared" si="188"/>
        <v>108</v>
      </c>
      <c r="E1663" s="1051" t="str">
        <f>IF(COUNTIF(E$1555:E1662,F1663)&gt;0,"",F1663)</f>
        <v>Sandwich baguette, jambon, beurre, France continentale, Base Carbone</v>
      </c>
      <c r="F1663" s="1051" t="str">
        <f t="shared" si="189"/>
        <v>Sandwich baguette, jambon, beurre, France continentale, Base Carbone</v>
      </c>
      <c r="G1663" s="1055" t="str">
        <f t="shared" si="190"/>
        <v>Sandwich baguette, jambon, beurre, France continentale, Base Carbone; kgCO2e/kg de produit</v>
      </c>
      <c r="I1663" s="2018" t="s">
        <v>4445</v>
      </c>
      <c r="J1663" s="1135" t="s">
        <v>4654</v>
      </c>
      <c r="K1663" s="1119" t="s">
        <v>1567</v>
      </c>
      <c r="L1663" s="1135" t="s">
        <v>1571</v>
      </c>
      <c r="M1663" s="2038">
        <v>0.5</v>
      </c>
      <c r="N1663" s="1135"/>
      <c r="O1663" s="2340">
        <v>4.7699999999999996</v>
      </c>
      <c r="P1663" s="1135"/>
      <c r="Q1663" s="1135"/>
      <c r="R1663" s="1135"/>
      <c r="S1663" s="1135"/>
      <c r="T1663" s="1135"/>
      <c r="U1663" s="2041"/>
    </row>
    <row r="1664" spans="2:21" hidden="1" outlineLevel="2">
      <c r="B1664" s="1050">
        <v>109</v>
      </c>
      <c r="C1664" s="1050" t="str">
        <f t="shared" si="191"/>
        <v>Sandwich baguette, merguez, ketchup moutarde, France continentale, Base Carbone</v>
      </c>
      <c r="D1664" s="1051">
        <f t="shared" si="188"/>
        <v>109</v>
      </c>
      <c r="E1664" s="1051" t="str">
        <f>IF(COUNTIF(E$1555:E1663,F1664)&gt;0,"",F1664)</f>
        <v>Sandwich baguette, merguez, ketchup moutarde, France continentale, Base Carbone</v>
      </c>
      <c r="F1664" s="1051" t="str">
        <f t="shared" si="189"/>
        <v>Sandwich baguette, merguez, ketchup moutarde, France continentale, Base Carbone</v>
      </c>
      <c r="G1664" s="1055" t="str">
        <f t="shared" si="190"/>
        <v>Sandwich baguette, merguez, ketchup moutarde, France continentale, Base Carbone; kgCO2e/kg de produit</v>
      </c>
      <c r="I1664" s="2018" t="s">
        <v>4446</v>
      </c>
      <c r="J1664" s="1135" t="s">
        <v>4654</v>
      </c>
      <c r="K1664" s="1119" t="s">
        <v>1567</v>
      </c>
      <c r="L1664" s="1135" t="s">
        <v>1571</v>
      </c>
      <c r="M1664" s="2038">
        <v>0.5</v>
      </c>
      <c r="N1664" s="1135"/>
      <c r="O1664" s="2340">
        <v>3.9</v>
      </c>
      <c r="P1664" s="1135"/>
      <c r="Q1664" s="1135"/>
      <c r="R1664" s="1135"/>
      <c r="S1664" s="1135"/>
      <c r="T1664" s="1135"/>
      <c r="U1664" s="2041"/>
    </row>
    <row r="1665" spans="2:21" hidden="1" outlineLevel="2">
      <c r="B1665" s="1050">
        <v>110</v>
      </c>
      <c r="C1665" s="1050" t="str">
        <f t="shared" si="191"/>
        <v>Sandwich baguette, oeuf, crudités (tomate, salade), mayonnaise, France continentale, Base Carbone</v>
      </c>
      <c r="D1665" s="1051">
        <f t="shared" si="188"/>
        <v>110</v>
      </c>
      <c r="E1665" s="1051" t="str">
        <f>IF(COUNTIF(E$1555:E1664,F1665)&gt;0,"",F1665)</f>
        <v>Sandwich baguette, oeuf, crudités (tomate, salade), mayonnaise, France continentale, Base Carbone</v>
      </c>
      <c r="F1665" s="1051" t="str">
        <f t="shared" si="189"/>
        <v>Sandwich baguette, oeuf, crudités (tomate, salade), mayonnaise, France continentale, Base Carbone</v>
      </c>
      <c r="G1665" s="1055" t="str">
        <f t="shared" si="190"/>
        <v>Sandwich baguette, oeuf, crudités (tomate, salade), mayonnaise, France continentale, Base Carbone; kgCO2e/kg de produit</v>
      </c>
      <c r="I1665" s="2018" t="s">
        <v>4447</v>
      </c>
      <c r="J1665" s="1135" t="s">
        <v>4654</v>
      </c>
      <c r="K1665" s="1119" t="s">
        <v>1567</v>
      </c>
      <c r="L1665" s="1135" t="s">
        <v>1571</v>
      </c>
      <c r="M1665" s="2038">
        <v>0.5</v>
      </c>
      <c r="N1665" s="1135"/>
      <c r="O1665" s="2340">
        <v>1.51</v>
      </c>
      <c r="P1665" s="1135"/>
      <c r="Q1665" s="1135"/>
      <c r="R1665" s="1135"/>
      <c r="S1665" s="1135"/>
      <c r="T1665" s="1135"/>
      <c r="U1665" s="2041"/>
    </row>
    <row r="1666" spans="2:21" hidden="1" outlineLevel="2">
      <c r="B1666" s="1050">
        <v>111</v>
      </c>
      <c r="C1666" s="1050" t="str">
        <f t="shared" si="191"/>
        <v>Sandwich baguette, poulet, crudités (tomate, salade), mayonnaise, France continentale, Base Carbone</v>
      </c>
      <c r="D1666" s="1051">
        <f t="shared" si="188"/>
        <v>111</v>
      </c>
      <c r="E1666" s="1051" t="str">
        <f>IF(COUNTIF(E$1555:E1665,F1666)&gt;0,"",F1666)</f>
        <v>Sandwich baguette, poulet, crudités (tomate, salade), mayonnaise, France continentale, Base Carbone</v>
      </c>
      <c r="F1666" s="1051" t="str">
        <f t="shared" si="189"/>
        <v>Sandwich baguette, poulet, crudités (tomate, salade), mayonnaise, France continentale, Base Carbone</v>
      </c>
      <c r="G1666" s="1055" t="str">
        <f t="shared" si="190"/>
        <v>Sandwich baguette, poulet, crudités (tomate, salade), mayonnaise, France continentale, Base Carbone; kgCO2e/kg de produit</v>
      </c>
      <c r="I1666" s="2018" t="s">
        <v>4448</v>
      </c>
      <c r="J1666" s="1135" t="s">
        <v>4654</v>
      </c>
      <c r="K1666" s="1119" t="s">
        <v>1567</v>
      </c>
      <c r="L1666" s="1135" t="s">
        <v>1571</v>
      </c>
      <c r="M1666" s="2038">
        <v>0.5</v>
      </c>
      <c r="N1666" s="1135"/>
      <c r="O1666" s="2340">
        <v>2.82</v>
      </c>
      <c r="P1666" s="1135"/>
      <c r="Q1666" s="1135"/>
      <c r="R1666" s="1135"/>
      <c r="S1666" s="1135"/>
      <c r="T1666" s="1135"/>
      <c r="U1666" s="2041"/>
    </row>
    <row r="1667" spans="2:21" hidden="1" outlineLevel="2">
      <c r="B1667" s="1050">
        <v>112</v>
      </c>
      <c r="C1667" s="1050" t="str">
        <f t="shared" si="191"/>
        <v>Sandwich baguette, saumon fumé, beurre, France continentale, Base Carbone</v>
      </c>
      <c r="D1667" s="1051">
        <f t="shared" si="188"/>
        <v>112</v>
      </c>
      <c r="E1667" s="1051" t="str">
        <f>IF(COUNTIF(E$1555:E1666,F1667)&gt;0,"",F1667)</f>
        <v>Sandwich baguette, saumon fumé, beurre, France continentale, Base Carbone</v>
      </c>
      <c r="F1667" s="1051" t="str">
        <f t="shared" si="189"/>
        <v>Sandwich baguette, saumon fumé, beurre, France continentale, Base Carbone</v>
      </c>
      <c r="G1667" s="1055" t="str">
        <f t="shared" si="190"/>
        <v>Sandwich baguette, saumon fumé, beurre, France continentale, Base Carbone; kgCO2e/kg de produit</v>
      </c>
      <c r="I1667" s="2018" t="s">
        <v>4449</v>
      </c>
      <c r="J1667" s="1135" t="s">
        <v>4654</v>
      </c>
      <c r="K1667" s="1119" t="s">
        <v>1567</v>
      </c>
      <c r="L1667" s="1135" t="s">
        <v>1571</v>
      </c>
      <c r="M1667" s="2038">
        <v>0.5</v>
      </c>
      <c r="N1667" s="1135"/>
      <c r="O1667" s="2340">
        <v>1.69</v>
      </c>
      <c r="P1667" s="1135"/>
      <c r="Q1667" s="1135"/>
      <c r="R1667" s="1135"/>
      <c r="S1667" s="1135"/>
      <c r="T1667" s="1135"/>
      <c r="U1667" s="2041"/>
    </row>
    <row r="1668" spans="2:21" hidden="1" outlineLevel="2">
      <c r="B1668" s="1050">
        <v>113</v>
      </c>
      <c r="C1668" s="1050" t="str">
        <f t="shared" si="191"/>
        <v>Sandwich baguette, thon, crudités (tomate, salade), mayonnaise, France continentale, Base Carbone</v>
      </c>
      <c r="D1668" s="1051">
        <f t="shared" si="188"/>
        <v>113</v>
      </c>
      <c r="E1668" s="1051" t="str">
        <f>IF(COUNTIF(E$1555:E1667,F1668)&gt;0,"",F1668)</f>
        <v>Sandwich baguette, thon, crudités (tomate, salade), mayonnaise, France continentale, Base Carbone</v>
      </c>
      <c r="F1668" s="1051" t="str">
        <f t="shared" si="189"/>
        <v>Sandwich baguette, thon, crudités (tomate, salade), mayonnaise, France continentale, Base Carbone</v>
      </c>
      <c r="G1668" s="1055" t="str">
        <f t="shared" si="190"/>
        <v>Sandwich baguette, thon, crudités (tomate, salade), mayonnaise, France continentale, Base Carbone; kgCO2e/kg de produit</v>
      </c>
      <c r="I1668" s="2018" t="s">
        <v>4450</v>
      </c>
      <c r="J1668" s="1135" t="s">
        <v>4654</v>
      </c>
      <c r="K1668" s="1119" t="s">
        <v>1567</v>
      </c>
      <c r="L1668" s="1135" t="s">
        <v>1571</v>
      </c>
      <c r="M1668" s="2038">
        <v>0.5</v>
      </c>
      <c r="N1668" s="1135"/>
      <c r="O1668" s="2340">
        <v>2.31</v>
      </c>
      <c r="P1668" s="1135"/>
      <c r="Q1668" s="1135"/>
      <c r="R1668" s="1135"/>
      <c r="S1668" s="1135"/>
      <c r="T1668" s="1135"/>
      <c r="U1668" s="2041"/>
    </row>
    <row r="1669" spans="2:21" hidden="1" outlineLevel="2">
      <c r="B1669" s="1050">
        <v>114</v>
      </c>
      <c r="C1669" s="1050" t="str">
        <f t="shared" si="191"/>
        <v>Sandwich grec ou Kebab, baguette, crudités, France continentale, Base Carbone</v>
      </c>
      <c r="D1669" s="1051">
        <f t="shared" si="188"/>
        <v>114</v>
      </c>
      <c r="E1669" s="1051" t="str">
        <f>IF(COUNTIF(E$1555:E1668,F1669)&gt;0,"",F1669)</f>
        <v>Sandwich grec ou Kebab, baguette, crudités, France continentale, Base Carbone</v>
      </c>
      <c r="F1669" s="1051" t="str">
        <f t="shared" si="189"/>
        <v>Sandwich grec ou Kebab, baguette, crudités, France continentale, Base Carbone</v>
      </c>
      <c r="G1669" s="1055" t="str">
        <f t="shared" si="190"/>
        <v>Sandwich grec ou Kebab, baguette, crudités, France continentale, Base Carbone; kgCO2e/kg de produit</v>
      </c>
      <c r="I1669" s="2018" t="s">
        <v>4451</v>
      </c>
      <c r="J1669" s="1135" t="s">
        <v>4654</v>
      </c>
      <c r="K1669" s="1119" t="s">
        <v>1567</v>
      </c>
      <c r="L1669" s="1135" t="s">
        <v>1571</v>
      </c>
      <c r="M1669" s="2038">
        <v>0.5</v>
      </c>
      <c r="N1669" s="1135"/>
      <c r="O1669" s="2340">
        <v>14.2</v>
      </c>
      <c r="P1669" s="1135"/>
      <c r="Q1669" s="1135"/>
      <c r="R1669" s="1135"/>
      <c r="S1669" s="1135"/>
      <c r="T1669" s="1135"/>
      <c r="U1669" s="2041"/>
    </row>
    <row r="1670" spans="2:21" hidden="1" outlineLevel="2">
      <c r="B1670" s="1050">
        <v>115</v>
      </c>
      <c r="C1670" s="1050" t="str">
        <f t="shared" si="191"/>
        <v>Sandwich pain de mie complet, thon, crudités, mayonnaise, France continentale, Base Carbone</v>
      </c>
      <c r="D1670" s="1051">
        <f t="shared" si="188"/>
        <v>115</v>
      </c>
      <c r="E1670" s="1051" t="str">
        <f>IF(COUNTIF(E$1555:E1669,F1670)&gt;0,"",F1670)</f>
        <v>Sandwich pain de mie complet, thon, crudités, mayonnaise, France continentale, Base Carbone</v>
      </c>
      <c r="F1670" s="1051" t="str">
        <f t="shared" si="189"/>
        <v>Sandwich pain de mie complet, thon, crudités, mayonnaise, France continentale, Base Carbone</v>
      </c>
      <c r="G1670" s="1055" t="str">
        <f t="shared" si="190"/>
        <v>Sandwich pain de mie complet, thon, crudités, mayonnaise, France continentale, Base Carbone; kgCO2e/kg de produit</v>
      </c>
      <c r="I1670" s="2018" t="s">
        <v>4452</v>
      </c>
      <c r="J1670" s="1135" t="s">
        <v>4654</v>
      </c>
      <c r="K1670" s="1119" t="s">
        <v>1567</v>
      </c>
      <c r="L1670" s="1135" t="s">
        <v>1571</v>
      </c>
      <c r="M1670" s="2038">
        <v>0.5</v>
      </c>
      <c r="N1670" s="1135"/>
      <c r="O1670" s="2340">
        <v>2.31</v>
      </c>
      <c r="P1670" s="1135"/>
      <c r="Q1670" s="1135"/>
      <c r="R1670" s="1135"/>
      <c r="S1670" s="1135"/>
      <c r="T1670" s="1135"/>
      <c r="U1670" s="2041"/>
    </row>
    <row r="1671" spans="2:21" hidden="1" outlineLevel="2">
      <c r="B1671" s="1050">
        <v>116</v>
      </c>
      <c r="C1671" s="1050" t="str">
        <f t="shared" si="191"/>
        <v>Sandwich pain de mie, garnitures diverses, France continentale, Base Carbone</v>
      </c>
      <c r="D1671" s="1051">
        <f t="shared" si="188"/>
        <v>116</v>
      </c>
      <c r="E1671" s="1051" t="str">
        <f>IF(COUNTIF(E$1555:E1670,F1671)&gt;0,"",F1671)</f>
        <v>Sandwich pain de mie, garnitures diverses, France continentale, Base Carbone</v>
      </c>
      <c r="F1671" s="1051" t="str">
        <f t="shared" si="189"/>
        <v>Sandwich pain de mie, garnitures diverses, France continentale, Base Carbone</v>
      </c>
      <c r="G1671" s="1055" t="str">
        <f t="shared" si="190"/>
        <v>Sandwich pain de mie, garnitures diverses, France continentale, Base Carbone; kgCO2e/kg de produit</v>
      </c>
      <c r="I1671" s="2018" t="s">
        <v>4453</v>
      </c>
      <c r="J1671" s="1135" t="s">
        <v>4654</v>
      </c>
      <c r="K1671" s="1119" t="s">
        <v>1567</v>
      </c>
      <c r="L1671" s="1135" t="s">
        <v>1571</v>
      </c>
      <c r="M1671" s="2038">
        <v>0.5</v>
      </c>
      <c r="N1671" s="1135"/>
      <c r="O1671" s="2340">
        <v>2.31</v>
      </c>
      <c r="P1671" s="1135"/>
      <c r="Q1671" s="1135"/>
      <c r="R1671" s="1135"/>
      <c r="S1671" s="1135"/>
      <c r="T1671" s="1135"/>
      <c r="U1671" s="2041"/>
    </row>
    <row r="1672" spans="2:21" hidden="1" outlineLevel="2">
      <c r="B1672" s="1050">
        <v>117</v>
      </c>
      <c r="C1672" s="1050" t="str">
        <f t="shared" si="191"/>
        <v>Sandwich panini, jambon cru, mozzarella, tomates, France continentale, Base Carbone</v>
      </c>
      <c r="D1672" s="1051">
        <f t="shared" si="188"/>
        <v>117</v>
      </c>
      <c r="E1672" s="1051" t="str">
        <f>IF(COUNTIF(E$1555:E1671,F1672)&gt;0,"",F1672)</f>
        <v>Sandwich panini, jambon cru, mozzarella, tomates, France continentale, Base Carbone</v>
      </c>
      <c r="F1672" s="1051" t="str">
        <f t="shared" si="189"/>
        <v>Sandwich panini, jambon cru, mozzarella, tomates, France continentale, Base Carbone</v>
      </c>
      <c r="G1672" s="1055" t="str">
        <f t="shared" si="190"/>
        <v>Sandwich panini, jambon cru, mozzarella, tomates, France continentale, Base Carbone; kgCO2e/kg de produit</v>
      </c>
      <c r="I1672" s="2018" t="s">
        <v>4454</v>
      </c>
      <c r="J1672" s="1135" t="s">
        <v>4654</v>
      </c>
      <c r="K1672" s="1119" t="s">
        <v>1567</v>
      </c>
      <c r="L1672" s="1135" t="s">
        <v>1571</v>
      </c>
      <c r="M1672" s="2038">
        <v>0.5</v>
      </c>
      <c r="N1672" s="1135"/>
      <c r="O1672" s="2340">
        <v>4.3099999999999996</v>
      </c>
      <c r="P1672" s="1135"/>
      <c r="Q1672" s="1135"/>
      <c r="R1672" s="1135"/>
      <c r="S1672" s="1135"/>
      <c r="T1672" s="1135"/>
      <c r="U1672" s="2041"/>
    </row>
    <row r="1673" spans="2:21" hidden="1" outlineLevel="2">
      <c r="B1673" s="1050">
        <v>118</v>
      </c>
      <c r="C1673" s="1050" t="str">
        <f t="shared" si="191"/>
        <v>Saumon à l'oseille, France continentale, Base Carbone</v>
      </c>
      <c r="D1673" s="1051">
        <f t="shared" si="188"/>
        <v>118</v>
      </c>
      <c r="E1673" s="1051" t="str">
        <f>IF(COUNTIF(E$1555:E1672,F1673)&gt;0,"",F1673)</f>
        <v>Saumon à l'oseille, France continentale, Base Carbone</v>
      </c>
      <c r="F1673" s="1051" t="str">
        <f t="shared" si="189"/>
        <v>Saumon à l'oseille, France continentale, Base Carbone</v>
      </c>
      <c r="G1673" s="1055" t="str">
        <f t="shared" si="190"/>
        <v>Saumon à l'oseille, France continentale, Base Carbone; kgCO2e/kg de produit</v>
      </c>
      <c r="I1673" s="2018" t="s">
        <v>4455</v>
      </c>
      <c r="J1673" s="1135" t="s">
        <v>4654</v>
      </c>
      <c r="K1673" s="1119" t="s">
        <v>1567</v>
      </c>
      <c r="L1673" s="1135" t="s">
        <v>1571</v>
      </c>
      <c r="M1673" s="2038">
        <v>0.5</v>
      </c>
      <c r="N1673" s="1135"/>
      <c r="O1673" s="2340">
        <v>5.03</v>
      </c>
      <c r="P1673" s="1135"/>
      <c r="Q1673" s="1135"/>
      <c r="R1673" s="1135"/>
      <c r="S1673" s="1135"/>
      <c r="T1673" s="1135"/>
      <c r="U1673" s="2041"/>
    </row>
    <row r="1674" spans="2:21" hidden="1" outlineLevel="2">
      <c r="B1674" s="1050">
        <v>119</v>
      </c>
      <c r="C1674" s="1050" t="str">
        <f t="shared" si="191"/>
        <v>Soufflé au fromage, France continentale, Base Carbone</v>
      </c>
      <c r="D1674" s="1051">
        <f t="shared" si="188"/>
        <v>119</v>
      </c>
      <c r="E1674" s="1051" t="str">
        <f>IF(COUNTIF(E$1555:E1673,F1674)&gt;0,"",F1674)</f>
        <v>Soufflé au fromage, France continentale, Base Carbone</v>
      </c>
      <c r="F1674" s="1051" t="str">
        <f t="shared" si="189"/>
        <v>Soufflé au fromage, France continentale, Base Carbone</v>
      </c>
      <c r="G1674" s="1055" t="str">
        <f t="shared" si="190"/>
        <v>Soufflé au fromage, France continentale, Base Carbone; kgCO2e/kg de produit</v>
      </c>
      <c r="I1674" s="2018" t="s">
        <v>4456</v>
      </c>
      <c r="J1674" s="1135" t="s">
        <v>4654</v>
      </c>
      <c r="K1674" s="1119" t="s">
        <v>1567</v>
      </c>
      <c r="L1674" s="1135" t="s">
        <v>1571</v>
      </c>
      <c r="M1674" s="2038">
        <v>0.5</v>
      </c>
      <c r="N1674" s="1135"/>
      <c r="O1674" s="2340">
        <v>2.81</v>
      </c>
      <c r="P1674" s="1135"/>
      <c r="Q1674" s="1135"/>
      <c r="R1674" s="1135"/>
      <c r="S1674" s="1135"/>
      <c r="T1674" s="1135"/>
      <c r="U1674" s="2041"/>
    </row>
    <row r="1675" spans="2:21" hidden="1" outlineLevel="2">
      <c r="B1675" s="1050">
        <v>120</v>
      </c>
      <c r="C1675" s="1050" t="str">
        <f t="shared" si="191"/>
        <v>Soupe aux légumes variés, préemballée à réchauffer, France continentale, Base Carbone</v>
      </c>
      <c r="D1675" s="1051">
        <f t="shared" si="188"/>
        <v>120</v>
      </c>
      <c r="E1675" s="1051" t="str">
        <f>IF(COUNTIF(E$1555:E1674,F1675)&gt;0,"",F1675)</f>
        <v>Soupe aux légumes variés, préemballée à réchauffer, France continentale, Base Carbone</v>
      </c>
      <c r="F1675" s="1051" t="str">
        <f t="shared" si="189"/>
        <v>Soupe aux légumes variés, préemballée à réchauffer, France continentale, Base Carbone</v>
      </c>
      <c r="G1675" s="1055" t="str">
        <f t="shared" si="190"/>
        <v>Soupe aux légumes variés, préemballée à réchauffer, France continentale, Base Carbone; kgCO2e/kg de produit</v>
      </c>
      <c r="I1675" s="2018" t="s">
        <v>4457</v>
      </c>
      <c r="J1675" s="1135" t="s">
        <v>4654</v>
      </c>
      <c r="K1675" s="1119" t="s">
        <v>1567</v>
      </c>
      <c r="L1675" s="1135" t="s">
        <v>1571</v>
      </c>
      <c r="M1675" s="2038">
        <v>0.5</v>
      </c>
      <c r="N1675" s="1135"/>
      <c r="O1675" s="2340">
        <v>0.498</v>
      </c>
      <c r="P1675" s="1135"/>
      <c r="Q1675" s="1135"/>
      <c r="R1675" s="1135"/>
      <c r="S1675" s="1135"/>
      <c r="T1675" s="1135"/>
      <c r="U1675" s="2041"/>
    </row>
    <row r="1676" spans="2:21" hidden="1" outlineLevel="2">
      <c r="B1676" s="1050">
        <v>121</v>
      </c>
      <c r="C1676" s="1050" t="str">
        <f t="shared" si="191"/>
        <v>Soupe de poissons et / ou crustacés, préemballée à réchauffer, France continentale, Base Carbone</v>
      </c>
      <c r="D1676" s="1051">
        <f t="shared" si="188"/>
        <v>121</v>
      </c>
      <c r="E1676" s="1051" t="str">
        <f>IF(COUNTIF(E$1555:E1675,F1676)&gt;0,"",F1676)</f>
        <v>Soupe de poissons et / ou crustacés, préemballée à réchauffer, France continentale, Base Carbone</v>
      </c>
      <c r="F1676" s="1051" t="str">
        <f t="shared" si="189"/>
        <v>Soupe de poissons et / ou crustacés, préemballée à réchauffer, France continentale, Base Carbone</v>
      </c>
      <c r="G1676" s="1055" t="str">
        <f t="shared" si="190"/>
        <v>Soupe de poissons et / ou crustacés, préemballée à réchauffer, France continentale, Base Carbone; kgCO2e/kg de produit</v>
      </c>
      <c r="I1676" s="2018" t="s">
        <v>4458</v>
      </c>
      <c r="J1676" s="1135" t="s">
        <v>4654</v>
      </c>
      <c r="K1676" s="1119" t="s">
        <v>1567</v>
      </c>
      <c r="L1676" s="1135" t="s">
        <v>1571</v>
      </c>
      <c r="M1676" s="2038">
        <v>0.5</v>
      </c>
      <c r="N1676" s="1135"/>
      <c r="O1676" s="2340">
        <v>6.9</v>
      </c>
      <c r="P1676" s="1135"/>
      <c r="Q1676" s="1135"/>
      <c r="R1676" s="1135"/>
      <c r="S1676" s="1135"/>
      <c r="T1676" s="1135"/>
      <c r="U1676" s="2041"/>
    </row>
    <row r="1677" spans="2:21" hidden="1" outlineLevel="2">
      <c r="B1677" s="1050">
        <v>122</v>
      </c>
      <c r="C1677" s="1050" t="str">
        <f t="shared" si="191"/>
        <v>Sushi ou Maki aux produits de la mer, France continentale, Base Carbone</v>
      </c>
      <c r="D1677" s="1051">
        <f t="shared" si="188"/>
        <v>122</v>
      </c>
      <c r="E1677" s="1051" t="str">
        <f>IF(COUNTIF(E$1555:E1676,F1677)&gt;0,"",F1677)</f>
        <v>Sushi ou Maki aux produits de la mer, France continentale, Base Carbone</v>
      </c>
      <c r="F1677" s="1051" t="str">
        <f t="shared" si="189"/>
        <v>Sushi ou Maki aux produits de la mer, France continentale, Base Carbone</v>
      </c>
      <c r="G1677" s="1055" t="str">
        <f t="shared" si="190"/>
        <v>Sushi ou Maki aux produits de la mer, France continentale, Base Carbone; kgCO2e/kg de produit</v>
      </c>
      <c r="I1677" s="2018" t="s">
        <v>4459</v>
      </c>
      <c r="J1677" s="1135" t="s">
        <v>4654</v>
      </c>
      <c r="K1677" s="1119" t="s">
        <v>1567</v>
      </c>
      <c r="L1677" s="1135" t="s">
        <v>1571</v>
      </c>
      <c r="M1677" s="2038">
        <v>0.5</v>
      </c>
      <c r="N1677" s="1135"/>
      <c r="O1677" s="2340">
        <v>2.64</v>
      </c>
      <c r="P1677" s="1135"/>
      <c r="Q1677" s="1135"/>
      <c r="R1677" s="1135"/>
      <c r="S1677" s="1135"/>
      <c r="T1677" s="1135"/>
      <c r="U1677" s="2041"/>
    </row>
    <row r="1678" spans="2:21" hidden="1" outlineLevel="2">
      <c r="B1678" s="1050">
        <v>123</v>
      </c>
      <c r="C1678" s="1050" t="str">
        <f t="shared" si="191"/>
        <v>Taboulé ou Salade de couscous, préemballé, France continentale, Base Carbone</v>
      </c>
      <c r="D1678" s="1051">
        <f t="shared" si="188"/>
        <v>123</v>
      </c>
      <c r="E1678" s="1051" t="str">
        <f>IF(COUNTIF(E$1555:E1677,F1678)&gt;0,"",F1678)</f>
        <v>Taboulé ou Salade de couscous, préemballé, France continentale, Base Carbone</v>
      </c>
      <c r="F1678" s="1051" t="str">
        <f t="shared" si="189"/>
        <v>Taboulé ou Salade de couscous, préemballé, France continentale, Base Carbone</v>
      </c>
      <c r="G1678" s="1055" t="str">
        <f t="shared" si="190"/>
        <v>Taboulé ou Salade de couscous, préemballé, France continentale, Base Carbone; kgCO2e/kg de produit</v>
      </c>
      <c r="I1678" s="2018" t="s">
        <v>4460</v>
      </c>
      <c r="J1678" s="1135" t="s">
        <v>4654</v>
      </c>
      <c r="K1678" s="1119" t="s">
        <v>1567</v>
      </c>
      <c r="L1678" s="1135" t="s">
        <v>1571</v>
      </c>
      <c r="M1678" s="2038">
        <v>0.5</v>
      </c>
      <c r="N1678" s="1135"/>
      <c r="O1678" s="2340">
        <v>0.90900000000000003</v>
      </c>
      <c r="P1678" s="1135"/>
      <c r="Q1678" s="1135"/>
      <c r="R1678" s="1135"/>
      <c r="S1678" s="1135"/>
      <c r="T1678" s="1135"/>
      <c r="U1678" s="2041"/>
    </row>
    <row r="1679" spans="2:21" hidden="1" outlineLevel="2">
      <c r="B1679" s="1050">
        <v>124</v>
      </c>
      <c r="C1679" s="1050" t="str">
        <f t="shared" si="191"/>
        <v>Tarte au saumon, France continentale, Base Carbone</v>
      </c>
      <c r="D1679" s="1051">
        <f t="shared" si="188"/>
        <v>124</v>
      </c>
      <c r="E1679" s="1051" t="str">
        <f>IF(COUNTIF(E$1555:E1678,F1679)&gt;0,"",F1679)</f>
        <v>Tarte au saumon, France continentale, Base Carbone</v>
      </c>
      <c r="F1679" s="1051" t="str">
        <f t="shared" si="189"/>
        <v>Tarte au saumon, France continentale, Base Carbone</v>
      </c>
      <c r="G1679" s="1055" t="str">
        <f t="shared" si="190"/>
        <v>Tarte au saumon, France continentale, Base Carbone; kgCO2e/kg de produit</v>
      </c>
      <c r="I1679" s="2018" t="s">
        <v>4461</v>
      </c>
      <c r="J1679" s="1135" t="s">
        <v>4654</v>
      </c>
      <c r="K1679" s="1119" t="s">
        <v>1567</v>
      </c>
      <c r="L1679" s="1135" t="s">
        <v>1571</v>
      </c>
      <c r="M1679" s="2038">
        <v>0.5</v>
      </c>
      <c r="N1679" s="1135"/>
      <c r="O1679" s="2340">
        <v>3.94</v>
      </c>
      <c r="P1679" s="1135"/>
      <c r="Q1679" s="1135"/>
      <c r="R1679" s="1135"/>
      <c r="S1679" s="1135"/>
      <c r="T1679" s="1135"/>
      <c r="U1679" s="2041"/>
    </row>
    <row r="1680" spans="2:21" hidden="1" outlineLevel="2">
      <c r="B1680" s="1050">
        <v>125</v>
      </c>
      <c r="C1680" s="1050" t="str">
        <f t="shared" si="191"/>
        <v>Tarte aux légumes, France continentale, Base Carbone</v>
      </c>
      <c r="D1680" s="1051">
        <f t="shared" si="188"/>
        <v>125</v>
      </c>
      <c r="E1680" s="1051" t="str">
        <f>IF(COUNTIF(E$1555:E1679,F1680)&gt;0,"",F1680)</f>
        <v>Tarte aux légumes, France continentale, Base Carbone</v>
      </c>
      <c r="F1680" s="1051" t="str">
        <f t="shared" si="189"/>
        <v>Tarte aux légumes, France continentale, Base Carbone</v>
      </c>
      <c r="G1680" s="1055" t="str">
        <f t="shared" si="190"/>
        <v>Tarte aux légumes, France continentale, Base Carbone; kgCO2e/kg de produit</v>
      </c>
      <c r="I1680" s="2018" t="s">
        <v>4462</v>
      </c>
      <c r="J1680" s="1135" t="s">
        <v>4654</v>
      </c>
      <c r="K1680" s="1119" t="s">
        <v>1567</v>
      </c>
      <c r="L1680" s="1135" t="s">
        <v>1571</v>
      </c>
      <c r="M1680" s="2038">
        <v>0.5</v>
      </c>
      <c r="N1680" s="1135"/>
      <c r="O1680" s="2340">
        <v>2.64</v>
      </c>
      <c r="P1680" s="1135"/>
      <c r="Q1680" s="1135"/>
      <c r="R1680" s="1135"/>
      <c r="S1680" s="1135"/>
      <c r="T1680" s="1135"/>
      <c r="U1680" s="2041"/>
    </row>
    <row r="1681" spans="2:21" hidden="1" outlineLevel="2">
      <c r="B1681" s="1050">
        <v>126</v>
      </c>
      <c r="C1681" s="1050" t="str">
        <f t="shared" si="191"/>
        <v>Tartiflette, France continentale, Base Carbone</v>
      </c>
      <c r="D1681" s="1051">
        <f t="shared" si="188"/>
        <v>126</v>
      </c>
      <c r="E1681" s="1051" t="str">
        <f>IF(COUNTIF(E$1555:E1680,F1681)&gt;0,"",F1681)</f>
        <v>Tartiflette, France continentale, Base Carbone</v>
      </c>
      <c r="F1681" s="1051" t="str">
        <f t="shared" si="189"/>
        <v>Tartiflette, France continentale, Base Carbone</v>
      </c>
      <c r="G1681" s="1055" t="str">
        <f t="shared" si="190"/>
        <v>Tartiflette, France continentale, Base Carbone; kgCO2e/kg de produit</v>
      </c>
      <c r="I1681" s="2018" t="s">
        <v>1265</v>
      </c>
      <c r="J1681" s="1135" t="s">
        <v>4654</v>
      </c>
      <c r="K1681" s="1119" t="s">
        <v>1567</v>
      </c>
      <c r="L1681" s="1135" t="s">
        <v>1571</v>
      </c>
      <c r="M1681" s="2038">
        <v>0.5</v>
      </c>
      <c r="N1681" s="1135"/>
      <c r="O1681" s="2340">
        <v>2.62</v>
      </c>
      <c r="P1681" s="1135"/>
      <c r="Q1681" s="1135"/>
      <c r="R1681" s="1135"/>
      <c r="S1681" s="1135"/>
      <c r="T1681" s="1135"/>
      <c r="U1681" s="2041"/>
    </row>
    <row r="1682" spans="2:21" hidden="1" outlineLevel="2">
      <c r="B1682" s="1050">
        <v>127</v>
      </c>
      <c r="C1682" s="1050" t="str">
        <f t="shared" si="191"/>
        <v>Terrine ou mousse de légumes, France continentale, Base Carbone</v>
      </c>
      <c r="D1682" s="1051">
        <f t="shared" si="188"/>
        <v>127</v>
      </c>
      <c r="E1682" s="1051" t="str">
        <f>IF(COUNTIF(E$1555:E1681,F1682)&gt;0,"",F1682)</f>
        <v>Terrine ou mousse de légumes, France continentale, Base Carbone</v>
      </c>
      <c r="F1682" s="1051" t="str">
        <f t="shared" si="189"/>
        <v>Terrine ou mousse de légumes, France continentale, Base Carbone</v>
      </c>
      <c r="G1682" s="1055" t="str">
        <f t="shared" si="190"/>
        <v>Terrine ou mousse de légumes, France continentale, Base Carbone; kgCO2e/kg de produit</v>
      </c>
      <c r="I1682" s="2018" t="s">
        <v>4463</v>
      </c>
      <c r="J1682" s="1135" t="s">
        <v>4654</v>
      </c>
      <c r="K1682" s="1119" t="s">
        <v>1567</v>
      </c>
      <c r="L1682" s="1135" t="s">
        <v>1571</v>
      </c>
      <c r="M1682" s="2038">
        <v>0.5</v>
      </c>
      <c r="N1682" s="1135"/>
      <c r="O1682" s="2340">
        <v>1.47</v>
      </c>
      <c r="P1682" s="1135"/>
      <c r="Q1682" s="1135"/>
      <c r="R1682" s="1135"/>
      <c r="S1682" s="1135"/>
      <c r="T1682" s="1135"/>
      <c r="U1682" s="2041"/>
    </row>
    <row r="1683" spans="2:21" hidden="1" outlineLevel="2">
      <c r="B1683" s="1050">
        <v>128</v>
      </c>
      <c r="C1683" s="1050" t="str">
        <f t="shared" si="191"/>
        <v>Toasts ou Canapés salés, garnitures diverses, France continentale, Base Carbone</v>
      </c>
      <c r="D1683" s="1051">
        <f t="shared" si="188"/>
        <v>128</v>
      </c>
      <c r="E1683" s="1051" t="str">
        <f>IF(COUNTIF(E$1555:E1682,F1683)&gt;0,"",F1683)</f>
        <v>Toasts ou Canapés salés, garnitures diverses, France continentale, Base Carbone</v>
      </c>
      <c r="F1683" s="1051" t="str">
        <f t="shared" si="189"/>
        <v>Toasts ou Canapés salés, garnitures diverses, France continentale, Base Carbone</v>
      </c>
      <c r="G1683" s="1055" t="str">
        <f t="shared" si="190"/>
        <v>Toasts ou Canapés salés, garnitures diverses, France continentale, Base Carbone; kgCO2e/kg de produit</v>
      </c>
      <c r="I1683" s="2018" t="s">
        <v>4464</v>
      </c>
      <c r="J1683" s="1135" t="s">
        <v>4654</v>
      </c>
      <c r="K1683" s="1119" t="s">
        <v>1567</v>
      </c>
      <c r="L1683" s="1135" t="s">
        <v>1571</v>
      </c>
      <c r="M1683" s="2038">
        <v>0.5</v>
      </c>
      <c r="N1683" s="1135"/>
      <c r="O1683" s="2340">
        <v>2.1800000000000002</v>
      </c>
      <c r="P1683" s="1135"/>
      <c r="Q1683" s="1135"/>
      <c r="R1683" s="1135"/>
      <c r="S1683" s="1135"/>
      <c r="T1683" s="1135"/>
      <c r="U1683" s="2041"/>
    </row>
    <row r="1684" spans="2:21" hidden="1" outlineLevel="2">
      <c r="B1684" s="1050">
        <v>129</v>
      </c>
      <c r="C1684" s="1050" t="str">
        <f t="shared" ref="C1684:C1698" si="192">IF(ISNA(VLOOKUP(B1684,$D$1555:$E$1698,2,FALSE)),"-",VLOOKUP(B1684,$D$1555:$E$1698,2,FALSE))</f>
        <v>Tofu, nature, France continentale, Base Carbone</v>
      </c>
      <c r="D1684" s="1051">
        <f t="shared" si="188"/>
        <v>129</v>
      </c>
      <c r="E1684" s="1051" t="str">
        <f>IF(COUNTIF(E$1555:E1683,F1684)&gt;0,"",F1684)</f>
        <v>Tofu, nature, France continentale, Base Carbone</v>
      </c>
      <c r="F1684" s="1051" t="str">
        <f t="shared" si="189"/>
        <v>Tofu, nature, France continentale, Base Carbone</v>
      </c>
      <c r="G1684" s="1055" t="str">
        <f t="shared" si="190"/>
        <v>Tofu, nature, France continentale, Base Carbone; kgCO2e/kg de produit</v>
      </c>
      <c r="I1684" s="2018" t="s">
        <v>4465</v>
      </c>
      <c r="J1684" s="1135" t="s">
        <v>4654</v>
      </c>
      <c r="K1684" s="1119" t="s">
        <v>1567</v>
      </c>
      <c r="L1684" s="1135" t="s">
        <v>1571</v>
      </c>
      <c r="M1684" s="2038">
        <v>0.5</v>
      </c>
      <c r="N1684" s="1135"/>
      <c r="O1684" s="2340">
        <v>0.67700000000000005</v>
      </c>
      <c r="P1684" s="1135"/>
      <c r="Q1684" s="1135"/>
      <c r="R1684" s="1135"/>
      <c r="S1684" s="1135"/>
      <c r="T1684" s="1135"/>
      <c r="U1684" s="2041"/>
    </row>
    <row r="1685" spans="2:21" hidden="1" outlineLevel="2">
      <c r="B1685" s="1050">
        <v>130</v>
      </c>
      <c r="C1685" s="1050" t="str">
        <f t="shared" si="192"/>
        <v>Tomate à la provençale, France continentale, Base Carbone</v>
      </c>
      <c r="D1685" s="1051">
        <f t="shared" ref="D1685:D1698" si="193">D1684+IF(LEN(E1685)&gt;0,1,0)</f>
        <v>130</v>
      </c>
      <c r="E1685" s="1051" t="str">
        <f>IF(COUNTIF(E$1555:E1684,F1685)&gt;0,"",F1685)</f>
        <v>Tomate à la provençale, France continentale, Base Carbone</v>
      </c>
      <c r="F1685" s="1051" t="str">
        <f t="shared" ref="F1685:F1698" si="194">IF(I1685&lt;&gt;"",I1685&amp;IF(N1685&lt;&gt;""," "&amp;N1685,)&amp;IF(L1685&lt;&gt;"",", "&amp;L1685,"")&amp;IF(K1685&lt;&gt;"",", "&amp;K1685,""),"")</f>
        <v>Tomate à la provençale, France continentale, Base Carbone</v>
      </c>
      <c r="G1685" s="1055" t="str">
        <f t="shared" ref="G1685:G1698" si="195">IF(F1685&lt;&gt;"",F1685&amp;IF(J1685&lt;&gt;"","; "&amp;J1685,""),"")</f>
        <v>Tomate à la provençale, France continentale, Base Carbone; kgCO2e/kg de produit</v>
      </c>
      <c r="I1685" s="2018" t="s">
        <v>4466</v>
      </c>
      <c r="J1685" s="1135" t="s">
        <v>4654</v>
      </c>
      <c r="K1685" s="1119" t="s">
        <v>1567</v>
      </c>
      <c r="L1685" s="1135" t="s">
        <v>1571</v>
      </c>
      <c r="M1685" s="2038">
        <v>0.5</v>
      </c>
      <c r="N1685" s="1135"/>
      <c r="O1685" s="2340">
        <v>1.1299999999999999</v>
      </c>
      <c r="P1685" s="1135"/>
      <c r="Q1685" s="1135"/>
      <c r="R1685" s="1135"/>
      <c r="S1685" s="1135"/>
      <c r="T1685" s="1135"/>
      <c r="U1685" s="2041"/>
    </row>
    <row r="1686" spans="2:21" hidden="1" outlineLevel="2">
      <c r="B1686" s="1050">
        <v>131</v>
      </c>
      <c r="C1686" s="1050" t="str">
        <f t="shared" si="192"/>
        <v>Tomate farcie, France continentale, Base Carbone</v>
      </c>
      <c r="D1686" s="1051">
        <f t="shared" si="193"/>
        <v>131</v>
      </c>
      <c r="E1686" s="1051" t="str">
        <f>IF(COUNTIF(E$1555:E1685,F1686)&gt;0,"",F1686)</f>
        <v>Tomate farcie, France continentale, Base Carbone</v>
      </c>
      <c r="F1686" s="1051" t="str">
        <f t="shared" si="194"/>
        <v>Tomate farcie, France continentale, Base Carbone</v>
      </c>
      <c r="G1686" s="1055" t="str">
        <f t="shared" si="195"/>
        <v>Tomate farcie, France continentale, Base Carbone; kgCO2e/kg de produit</v>
      </c>
      <c r="I1686" s="2018" t="s">
        <v>4467</v>
      </c>
      <c r="J1686" s="1135" t="s">
        <v>4654</v>
      </c>
      <c r="K1686" s="1119" t="s">
        <v>1567</v>
      </c>
      <c r="L1686" s="1135" t="s">
        <v>1571</v>
      </c>
      <c r="M1686" s="2038">
        <v>0.5</v>
      </c>
      <c r="N1686" s="1135"/>
      <c r="O1686" s="2340">
        <v>4.25</v>
      </c>
      <c r="P1686" s="1135"/>
      <c r="Q1686" s="1135"/>
      <c r="R1686" s="1135"/>
      <c r="S1686" s="1135"/>
      <c r="T1686" s="1135"/>
      <c r="U1686" s="2041"/>
    </row>
    <row r="1687" spans="2:21" hidden="1" outlineLevel="2">
      <c r="B1687" s="1050">
        <v>132</v>
      </c>
      <c r="C1687" s="1050" t="str">
        <f t="shared" si="192"/>
        <v>Tourte au riesling, France continentale, Base Carbone</v>
      </c>
      <c r="D1687" s="1051">
        <f t="shared" si="193"/>
        <v>132</v>
      </c>
      <c r="E1687" s="1051" t="str">
        <f>IF(COUNTIF(E$1555:E1686,F1687)&gt;0,"",F1687)</f>
        <v>Tourte au riesling, France continentale, Base Carbone</v>
      </c>
      <c r="F1687" s="1051" t="str">
        <f t="shared" si="194"/>
        <v>Tourte au riesling, France continentale, Base Carbone</v>
      </c>
      <c r="G1687" s="1055" t="str">
        <f t="shared" si="195"/>
        <v>Tourte au riesling, France continentale, Base Carbone; kgCO2e/kg de produit</v>
      </c>
      <c r="I1687" s="2018" t="s">
        <v>4468</v>
      </c>
      <c r="J1687" s="1135" t="s">
        <v>4654</v>
      </c>
      <c r="K1687" s="1119" t="s">
        <v>1567</v>
      </c>
      <c r="L1687" s="1135" t="s">
        <v>1571</v>
      </c>
      <c r="M1687" s="2038">
        <v>0.5</v>
      </c>
      <c r="N1687" s="1135"/>
      <c r="O1687" s="2340">
        <v>14.6</v>
      </c>
      <c r="P1687" s="1135"/>
      <c r="Q1687" s="1135"/>
      <c r="R1687" s="1135"/>
      <c r="S1687" s="1135"/>
      <c r="T1687" s="1135"/>
      <c r="U1687" s="2041"/>
    </row>
    <row r="1688" spans="2:21" hidden="1" outlineLevel="2">
      <c r="B1688" s="1050">
        <v>133</v>
      </c>
      <c r="C1688" s="1050" t="str">
        <f t="shared" si="192"/>
        <v>Tripes à la mode de Caen, France continentale, Base Carbone</v>
      </c>
      <c r="D1688" s="1051">
        <f t="shared" si="193"/>
        <v>133</v>
      </c>
      <c r="E1688" s="1051" t="str">
        <f>IF(COUNTIF(E$1555:E1687,F1688)&gt;0,"",F1688)</f>
        <v>Tripes à la mode de Caen, France continentale, Base Carbone</v>
      </c>
      <c r="F1688" s="1051" t="str">
        <f t="shared" si="194"/>
        <v>Tripes à la mode de Caen, France continentale, Base Carbone</v>
      </c>
      <c r="G1688" s="1055" t="str">
        <f t="shared" si="195"/>
        <v>Tripes à la mode de Caen, France continentale, Base Carbone; kgCO2e/kg de produit</v>
      </c>
      <c r="I1688" s="2018" t="s">
        <v>4469</v>
      </c>
      <c r="J1688" s="1135" t="s">
        <v>4654</v>
      </c>
      <c r="K1688" s="1119" t="s">
        <v>1567</v>
      </c>
      <c r="L1688" s="1135" t="s">
        <v>1571</v>
      </c>
      <c r="M1688" s="2038">
        <v>0.5</v>
      </c>
      <c r="N1688" s="1135"/>
      <c r="O1688" s="2340">
        <v>27.5</v>
      </c>
      <c r="P1688" s="1135"/>
      <c r="Q1688" s="1135"/>
      <c r="R1688" s="1135"/>
      <c r="S1688" s="1135"/>
      <c r="T1688" s="1135"/>
      <c r="U1688" s="2041"/>
    </row>
    <row r="1689" spans="2:21" hidden="1" outlineLevel="2">
      <c r="B1689" s="1050">
        <v>134</v>
      </c>
      <c r="C1689" s="1050" t="str">
        <f t="shared" si="192"/>
        <v>Tripes à la tomate ou à la provençale, France continentale, Base Carbone</v>
      </c>
      <c r="D1689" s="1051">
        <f t="shared" si="193"/>
        <v>134</v>
      </c>
      <c r="E1689" s="1051" t="str">
        <f>IF(COUNTIF(E$1555:E1688,F1689)&gt;0,"",F1689)</f>
        <v>Tripes à la tomate ou à la provençale, France continentale, Base Carbone</v>
      </c>
      <c r="F1689" s="1051" t="str">
        <f t="shared" si="194"/>
        <v>Tripes à la tomate ou à la provençale, France continentale, Base Carbone</v>
      </c>
      <c r="G1689" s="1055" t="str">
        <f t="shared" si="195"/>
        <v>Tripes à la tomate ou à la provençale, France continentale, Base Carbone; kgCO2e/kg de produit</v>
      </c>
      <c r="I1689" s="2018" t="s">
        <v>4470</v>
      </c>
      <c r="J1689" s="1135" t="s">
        <v>4654</v>
      </c>
      <c r="K1689" s="1119" t="s">
        <v>1567</v>
      </c>
      <c r="L1689" s="1135" t="s">
        <v>1571</v>
      </c>
      <c r="M1689" s="2038">
        <v>0.5</v>
      </c>
      <c r="N1689" s="1135"/>
      <c r="O1689" s="2340">
        <v>24.9</v>
      </c>
      <c r="P1689" s="1135"/>
      <c r="Q1689" s="1135"/>
      <c r="R1689" s="1135"/>
      <c r="S1689" s="1135"/>
      <c r="T1689" s="1135"/>
      <c r="U1689" s="2041"/>
    </row>
    <row r="1690" spans="2:21" hidden="1" outlineLevel="2">
      <c r="B1690" s="1050">
        <v>135</v>
      </c>
      <c r="C1690" s="1050" t="str">
        <f t="shared" si="192"/>
        <v>Yakitori (brochettes japonaises grillées en sauce), France continentale, Base Carbone</v>
      </c>
      <c r="D1690" s="1051">
        <f t="shared" si="193"/>
        <v>135</v>
      </c>
      <c r="E1690" s="1051" t="str">
        <f>IF(COUNTIF(E$1555:E1689,F1690)&gt;0,"",F1690)</f>
        <v>Yakitori (brochettes japonaises grillées en sauce), France continentale, Base Carbone</v>
      </c>
      <c r="F1690" s="1051" t="str">
        <f t="shared" si="194"/>
        <v>Yakitori (brochettes japonaises grillées en sauce), France continentale, Base Carbone</v>
      </c>
      <c r="G1690" s="1055" t="str">
        <f t="shared" si="195"/>
        <v>Yakitori (brochettes japonaises grillées en sauce), France continentale, Base Carbone; kgCO2e/kg de produit</v>
      </c>
      <c r="I1690" s="2018" t="s">
        <v>4471</v>
      </c>
      <c r="J1690" s="1135" t="s">
        <v>4654</v>
      </c>
      <c r="K1690" s="1119" t="s">
        <v>1567</v>
      </c>
      <c r="L1690" s="1135" t="s">
        <v>1571</v>
      </c>
      <c r="M1690" s="2038">
        <v>0.5</v>
      </c>
      <c r="N1690" s="1135"/>
      <c r="O1690" s="2340">
        <v>6.24</v>
      </c>
      <c r="P1690" s="1135"/>
      <c r="Q1690" s="1135"/>
      <c r="R1690" s="1135"/>
      <c r="S1690" s="1135"/>
      <c r="T1690" s="1135"/>
      <c r="U1690" s="2041"/>
    </row>
    <row r="1691" spans="2:21" hidden="1" outlineLevel="2">
      <c r="B1691" s="1050">
        <v>136</v>
      </c>
      <c r="C1691" s="1050" t="str">
        <f t="shared" si="192"/>
        <v>-</v>
      </c>
      <c r="D1691" s="1051">
        <f t="shared" si="193"/>
        <v>135</v>
      </c>
      <c r="E1691" s="1051" t="str">
        <f>IF(COUNTIF(E$1555:E1690,F1691)&gt;0,"",F1691)</f>
        <v/>
      </c>
      <c r="F1691" s="1051" t="str">
        <f t="shared" si="194"/>
        <v/>
      </c>
      <c r="G1691" s="1055" t="str">
        <f t="shared" si="195"/>
        <v/>
      </c>
      <c r="I1691" s="1100"/>
      <c r="J1691" s="1048"/>
      <c r="K1691" s="1048"/>
      <c r="L1691" s="1048"/>
      <c r="M1691" s="1048"/>
      <c r="N1691" s="1048"/>
      <c r="O1691" s="1048"/>
      <c r="P1691" s="1048"/>
      <c r="Q1691" s="1048"/>
      <c r="R1691" s="1048"/>
      <c r="S1691" s="1048"/>
      <c r="T1691" s="1048"/>
      <c r="U1691" s="1102"/>
    </row>
    <row r="1692" spans="2:21" hidden="1" outlineLevel="2">
      <c r="B1692" s="1050">
        <v>137</v>
      </c>
      <c r="C1692" s="1050" t="str">
        <f t="shared" si="192"/>
        <v>-</v>
      </c>
      <c r="D1692" s="1051">
        <f t="shared" si="193"/>
        <v>135</v>
      </c>
      <c r="E1692" s="1051" t="str">
        <f>IF(COUNTIF(E$1555:E1691,F1692)&gt;0,"",F1692)</f>
        <v/>
      </c>
      <c r="F1692" s="1051" t="str">
        <f t="shared" si="194"/>
        <v/>
      </c>
      <c r="G1692" s="1055" t="str">
        <f t="shared" si="195"/>
        <v/>
      </c>
      <c r="I1692" s="1100"/>
      <c r="J1692" s="1048"/>
      <c r="K1692" s="1048"/>
      <c r="L1692" s="1048"/>
      <c r="M1692" s="1048"/>
      <c r="N1692" s="1048"/>
      <c r="O1692" s="1048"/>
      <c r="P1692" s="1048"/>
      <c r="Q1692" s="1048"/>
      <c r="R1692" s="1048"/>
      <c r="S1692" s="1048"/>
      <c r="T1692" s="1048"/>
      <c r="U1692" s="1102"/>
    </row>
    <row r="1693" spans="2:21" hidden="1" outlineLevel="2">
      <c r="B1693" s="1050">
        <v>138</v>
      </c>
      <c r="C1693" s="1050" t="str">
        <f t="shared" si="192"/>
        <v>-</v>
      </c>
      <c r="D1693" s="1051">
        <f t="shared" si="193"/>
        <v>135</v>
      </c>
      <c r="E1693" s="1051" t="str">
        <f>IF(COUNTIF(E$1555:E1692,F1693)&gt;0,"",F1693)</f>
        <v/>
      </c>
      <c r="F1693" s="1051" t="str">
        <f t="shared" si="194"/>
        <v/>
      </c>
      <c r="G1693" s="1055" t="str">
        <f t="shared" si="195"/>
        <v/>
      </c>
      <c r="I1693" s="1100"/>
      <c r="J1693" s="1048"/>
      <c r="K1693" s="1048"/>
      <c r="L1693" s="1048"/>
      <c r="M1693" s="1048"/>
      <c r="N1693" s="1048"/>
      <c r="O1693" s="1048"/>
      <c r="P1693" s="1048"/>
      <c r="Q1693" s="1048"/>
      <c r="R1693" s="1048"/>
      <c r="S1693" s="1048"/>
      <c r="T1693" s="1048"/>
      <c r="U1693" s="1102"/>
    </row>
    <row r="1694" spans="2:21" hidden="1" outlineLevel="2">
      <c r="B1694" s="1050">
        <v>139</v>
      </c>
      <c r="C1694" s="1050" t="str">
        <f t="shared" si="192"/>
        <v>-</v>
      </c>
      <c r="D1694" s="1051">
        <f t="shared" si="193"/>
        <v>135</v>
      </c>
      <c r="E1694" s="1051" t="str">
        <f>IF(COUNTIF(E$1555:E1693,F1694)&gt;0,"",F1694)</f>
        <v/>
      </c>
      <c r="F1694" s="1051" t="str">
        <f t="shared" si="194"/>
        <v/>
      </c>
      <c r="G1694" s="1055" t="str">
        <f t="shared" si="195"/>
        <v/>
      </c>
      <c r="I1694" s="1100"/>
      <c r="J1694" s="1048"/>
      <c r="K1694" s="1048"/>
      <c r="L1694" s="1048"/>
      <c r="M1694" s="1048"/>
      <c r="N1694" s="1048"/>
      <c r="O1694" s="1048"/>
      <c r="P1694" s="1048"/>
      <c r="Q1694" s="1048"/>
      <c r="R1694" s="1048"/>
      <c r="S1694" s="1048"/>
      <c r="T1694" s="1048"/>
      <c r="U1694" s="1102"/>
    </row>
    <row r="1695" spans="2:21" hidden="1" outlineLevel="2">
      <c r="B1695" s="1050">
        <v>140</v>
      </c>
      <c r="C1695" s="1050" t="str">
        <f t="shared" si="192"/>
        <v>-</v>
      </c>
      <c r="D1695" s="1051">
        <f t="shared" si="193"/>
        <v>135</v>
      </c>
      <c r="E1695" s="1051" t="str">
        <f>IF(COUNTIF(E$1555:E1694,F1695)&gt;0,"",F1695)</f>
        <v/>
      </c>
      <c r="F1695" s="1051" t="str">
        <f t="shared" si="194"/>
        <v/>
      </c>
      <c r="G1695" s="1055" t="str">
        <f t="shared" si="195"/>
        <v/>
      </c>
      <c r="I1695" s="1100"/>
      <c r="J1695" s="1048"/>
      <c r="K1695" s="1048"/>
      <c r="L1695" s="1048"/>
      <c r="M1695" s="1048"/>
      <c r="N1695" s="1048"/>
      <c r="O1695" s="1048"/>
      <c r="P1695" s="1048"/>
      <c r="Q1695" s="1048"/>
      <c r="R1695" s="1048"/>
      <c r="S1695" s="1048"/>
      <c r="T1695" s="1048"/>
      <c r="U1695" s="1102"/>
    </row>
    <row r="1696" spans="2:21" hidden="1" outlineLevel="2">
      <c r="B1696" s="1050">
        <v>141</v>
      </c>
      <c r="C1696" s="1050" t="str">
        <f t="shared" si="192"/>
        <v>-</v>
      </c>
      <c r="D1696" s="1051">
        <f t="shared" si="193"/>
        <v>135</v>
      </c>
      <c r="E1696" s="1051" t="str">
        <f>IF(COUNTIF(E$1555:E1695,F1696)&gt;0,"",F1696)</f>
        <v/>
      </c>
      <c r="F1696" s="1051" t="str">
        <f t="shared" si="194"/>
        <v/>
      </c>
      <c r="G1696" s="1055" t="str">
        <f t="shared" si="195"/>
        <v/>
      </c>
      <c r="I1696" s="1100"/>
      <c r="J1696" s="1048"/>
      <c r="K1696" s="1048"/>
      <c r="L1696" s="1048"/>
      <c r="M1696" s="1048"/>
      <c r="N1696" s="1048"/>
      <c r="O1696" s="1048"/>
      <c r="P1696" s="1048"/>
      <c r="Q1696" s="1048"/>
      <c r="R1696" s="1048"/>
      <c r="S1696" s="1048"/>
      <c r="T1696" s="1048"/>
      <c r="U1696" s="1102"/>
    </row>
    <row r="1697" spans="2:21" hidden="1" outlineLevel="2">
      <c r="B1697" s="1050">
        <v>142</v>
      </c>
      <c r="C1697" s="1050" t="str">
        <f t="shared" si="192"/>
        <v>-</v>
      </c>
      <c r="D1697" s="1051">
        <f t="shared" si="193"/>
        <v>135</v>
      </c>
      <c r="E1697" s="1051" t="str">
        <f>IF(COUNTIF(E$1555:E1696,F1697)&gt;0,"",F1697)</f>
        <v/>
      </c>
      <c r="F1697" s="1051" t="str">
        <f t="shared" si="194"/>
        <v/>
      </c>
      <c r="G1697" s="1055" t="str">
        <f t="shared" si="195"/>
        <v/>
      </c>
      <c r="I1697" s="1100"/>
      <c r="J1697" s="1048"/>
      <c r="K1697" s="1048"/>
      <c r="L1697" s="1048"/>
      <c r="M1697" s="1048"/>
      <c r="N1697" s="1048"/>
      <c r="O1697" s="1048"/>
      <c r="P1697" s="1048"/>
      <c r="Q1697" s="1048"/>
      <c r="R1697" s="1048"/>
      <c r="S1697" s="1048"/>
      <c r="T1697" s="1048"/>
      <c r="U1697" s="1102"/>
    </row>
    <row r="1698" spans="2:21" hidden="1" outlineLevel="2">
      <c r="B1698" s="1050">
        <v>143</v>
      </c>
      <c r="C1698" s="1050" t="str">
        <f t="shared" si="192"/>
        <v>-</v>
      </c>
      <c r="D1698" s="1051">
        <f t="shared" si="193"/>
        <v>135</v>
      </c>
      <c r="E1698" s="1051" t="str">
        <f>IF(COUNTIF(E$1555:E1697,F1698)&gt;0,"",F1698)</f>
        <v/>
      </c>
      <c r="F1698" s="1051" t="str">
        <f t="shared" si="194"/>
        <v/>
      </c>
      <c r="G1698" s="1055" t="str">
        <f t="shared" si="195"/>
        <v/>
      </c>
      <c r="I1698" s="1100"/>
      <c r="J1698" s="1048"/>
      <c r="K1698" s="1048"/>
      <c r="L1698" s="1048"/>
      <c r="M1698" s="1048"/>
      <c r="N1698" s="1048"/>
      <c r="O1698" s="1048"/>
      <c r="P1698" s="1048"/>
      <c r="Q1698" s="1048"/>
      <c r="R1698" s="1048"/>
      <c r="S1698" s="1048"/>
      <c r="T1698" s="1048"/>
      <c r="U1698" s="1102"/>
    </row>
    <row r="1699" spans="2:21" hidden="1" outlineLevel="1">
      <c r="I1699" s="1711"/>
      <c r="J1699" s="1712"/>
      <c r="K1699" s="1712"/>
      <c r="L1699" s="1712"/>
      <c r="M1699" s="1712"/>
      <c r="N1699" s="1712"/>
      <c r="O1699" s="1712"/>
      <c r="P1699" s="1712"/>
      <c r="Q1699" s="1712"/>
      <c r="R1699" s="1712"/>
      <c r="S1699" s="1712"/>
      <c r="T1699" s="1712"/>
      <c r="U1699" s="1714"/>
    </row>
    <row r="1700" spans="2:21" s="1045" customFormat="1" ht="12.75" hidden="1" customHeight="1" outlineLevel="1" collapsed="1">
      <c r="B1700" s="3156" t="s">
        <v>2134</v>
      </c>
      <c r="C1700" s="3156"/>
      <c r="D1700" s="1051">
        <v>0</v>
      </c>
      <c r="E1700" s="1051"/>
      <c r="F1700" s="1051"/>
      <c r="G1700" s="1054"/>
      <c r="H1700" s="1046"/>
      <c r="I1700" s="1746"/>
      <c r="J1700" s="1742"/>
      <c r="K1700" s="1743"/>
      <c r="L1700" s="1743"/>
      <c r="M1700" s="1744"/>
      <c r="N1700" s="1742"/>
      <c r="O1700" s="1745"/>
      <c r="P1700" s="1743"/>
      <c r="Q1700" s="1743"/>
      <c r="R1700" s="1745"/>
      <c r="S1700" s="1745"/>
      <c r="T1700" s="1743"/>
      <c r="U1700" s="1747"/>
    </row>
    <row r="1701" spans="2:21" hidden="1" outlineLevel="2">
      <c r="B1701" s="1050">
        <v>1</v>
      </c>
      <c r="C1701" s="1050" t="str">
        <f t="shared" ref="C1701:C1728" si="196">IF(ISNA(VLOOKUP(B1701,$D$1700:$E$1736,2,FALSE)),"-",VLOOKUP(B1701,$D$1700:$E$1736,2,FALSE))</f>
        <v>Agneau conventionnel, panifiable, 15% d'humidité, France continentale, Base Carbone</v>
      </c>
      <c r="D1701" s="1051">
        <f>D1700+IF(LEN(E1701)&gt;0,1,0)</f>
        <v>1</v>
      </c>
      <c r="E1701" s="1051" t="str">
        <f>IF(COUNTIF(E$1700:E1700,F1701)&gt;0,"",F1701)</f>
        <v>Agneau conventionnel, panifiable, 15% d'humidité, France continentale, Base Carbone</v>
      </c>
      <c r="F1701" s="1051" t="str">
        <f>IF(I1701&lt;&gt;"",I1701&amp;IF(N1701&lt;&gt;""," "&amp;N1701,)&amp;IF(L1701&lt;&gt;"",", "&amp;L1701,"")&amp;IF(K1701&lt;&gt;"",", "&amp;K1701,""),"")</f>
        <v>Agneau conventionnel, panifiable, 15% d'humidité, France continentale, Base Carbone</v>
      </c>
      <c r="G1701" s="1055" t="str">
        <f>IF(F1701&lt;&gt;"",F1701&amp;IF(J1701&lt;&gt;"","; "&amp;J1701,""),"")</f>
        <v>Agneau conventionnel, panifiable, 15% d'humidité, France continentale, Base Carbone; kgCO2e/kg de poids vif</v>
      </c>
      <c r="I1701" s="2018" t="s">
        <v>4657</v>
      </c>
      <c r="J1701" s="1135" t="s">
        <v>2136</v>
      </c>
      <c r="K1701" s="1119" t="s">
        <v>1567</v>
      </c>
      <c r="L1701" s="1135" t="s">
        <v>1571</v>
      </c>
      <c r="M1701" s="2038">
        <v>0.5</v>
      </c>
      <c r="N1701" s="1135" t="s">
        <v>4171</v>
      </c>
      <c r="O1701" s="1135">
        <v>19.600000000000001</v>
      </c>
      <c r="P1701" s="1135"/>
      <c r="Q1701" s="1135"/>
      <c r="R1701" s="1135"/>
      <c r="S1701" s="1135"/>
      <c r="T1701" s="1135"/>
      <c r="U1701" s="2041"/>
    </row>
    <row r="1702" spans="2:21" hidden="1" outlineLevel="2">
      <c r="B1702" s="1050">
        <v>2</v>
      </c>
      <c r="C1702" s="1050" t="str">
        <f t="shared" si="196"/>
        <v>Boeuf conventionnel, fourrage intensif, France continentale, Base Carbone</v>
      </c>
      <c r="D1702" s="1051">
        <f t="shared" ref="D1702:D1736" si="197">D1701+IF(LEN(E1702)&gt;0,1,0)</f>
        <v>2</v>
      </c>
      <c r="E1702" s="1051" t="str">
        <f>IF(COUNTIF(E$1700:E1701,F1702)&gt;0,"",F1702)</f>
        <v>Boeuf conventionnel, fourrage intensif, France continentale, Base Carbone</v>
      </c>
      <c r="F1702" s="1051" t="str">
        <f t="shared" ref="F1702:F1736" si="198">IF(I1702&lt;&gt;"",I1702&amp;IF(N1702&lt;&gt;""," "&amp;N1702,)&amp;IF(L1702&lt;&gt;"",", "&amp;L1702,"")&amp;IF(K1702&lt;&gt;"",", "&amp;K1702,""),"")</f>
        <v>Boeuf conventionnel, fourrage intensif, France continentale, Base Carbone</v>
      </c>
      <c r="G1702" s="1055" t="str">
        <f t="shared" ref="G1702:G1736" si="199">IF(F1702&lt;&gt;"",F1702&amp;IF(J1702&lt;&gt;"","; "&amp;J1702,""),"")</f>
        <v>Boeuf conventionnel, fourrage intensif, France continentale, Base Carbone; kgCO2e/kg de poids vif</v>
      </c>
      <c r="I1702" s="2018" t="s">
        <v>4658</v>
      </c>
      <c r="J1702" s="1135" t="s">
        <v>2136</v>
      </c>
      <c r="K1702" s="1119" t="s">
        <v>1567</v>
      </c>
      <c r="L1702" s="1135" t="s">
        <v>1571</v>
      </c>
      <c r="M1702" s="2038">
        <v>0.5</v>
      </c>
      <c r="N1702" s="1135" t="s">
        <v>4172</v>
      </c>
      <c r="O1702" s="1135">
        <v>17</v>
      </c>
      <c r="P1702" s="1135"/>
      <c r="Q1702" s="1135"/>
      <c r="R1702" s="1135"/>
      <c r="S1702" s="1135"/>
      <c r="T1702" s="1135"/>
      <c r="U1702" s="2041"/>
    </row>
    <row r="1703" spans="2:21" hidden="1" outlineLevel="2">
      <c r="B1703" s="1050">
        <v>3</v>
      </c>
      <c r="C1703" s="1050" t="str">
        <f t="shared" si="196"/>
        <v>Brebis de réforme biologique, système n ° 2, France continentale, Base Carbone</v>
      </c>
      <c r="D1703" s="1051">
        <f t="shared" si="197"/>
        <v>3</v>
      </c>
      <c r="E1703" s="1051" t="str">
        <f>IF(COUNTIF(E$1700:E1702,F1703)&gt;0,"",F1703)</f>
        <v>Brebis de réforme biologique, système n ° 2, France continentale, Base Carbone</v>
      </c>
      <c r="F1703" s="1051" t="str">
        <f t="shared" si="198"/>
        <v>Brebis de réforme biologique, système n ° 2, France continentale, Base Carbone</v>
      </c>
      <c r="G1703" s="1055" t="str">
        <f t="shared" si="199"/>
        <v>Brebis de réforme biologique, système n ° 2, France continentale, Base Carbone; kgCO2e/kg de poids vif</v>
      </c>
      <c r="I1703" s="2018" t="s">
        <v>4659</v>
      </c>
      <c r="J1703" s="1135" t="s">
        <v>2136</v>
      </c>
      <c r="K1703" s="1119" t="s">
        <v>1567</v>
      </c>
      <c r="L1703" s="1135" t="s">
        <v>1571</v>
      </c>
      <c r="M1703" s="2038">
        <v>0.5</v>
      </c>
      <c r="N1703" s="1135" t="s">
        <v>4174</v>
      </c>
      <c r="O1703" s="1135">
        <v>20.7</v>
      </c>
      <c r="P1703" s="1135"/>
      <c r="Q1703" s="1135"/>
      <c r="R1703" s="1135"/>
      <c r="S1703" s="1135"/>
      <c r="T1703" s="1135"/>
      <c r="U1703" s="2041"/>
    </row>
    <row r="1704" spans="2:21" hidden="1" outlineLevel="2">
      <c r="B1704" s="1050">
        <v>4</v>
      </c>
      <c r="C1704" s="1050" t="str">
        <f t="shared" si="196"/>
        <v>Canard à rôtir conventionnel, France continentale, Base Carbone</v>
      </c>
      <c r="D1704" s="1051">
        <f t="shared" si="197"/>
        <v>4</v>
      </c>
      <c r="E1704" s="1051" t="str">
        <f>IF(COUNTIF(E$1700:E1703,F1704)&gt;0,"",F1704)</f>
        <v>Canard à rôtir conventionnel, France continentale, Base Carbone</v>
      </c>
      <c r="F1704" s="1051" t="str">
        <f t="shared" si="198"/>
        <v>Canard à rôtir conventionnel, France continentale, Base Carbone</v>
      </c>
      <c r="G1704" s="1055" t="str">
        <f t="shared" si="199"/>
        <v>Canard à rôtir conventionnel, France continentale, Base Carbone; kgCO2e/kg de poids vif</v>
      </c>
      <c r="I1704" s="2018" t="s">
        <v>4660</v>
      </c>
      <c r="J1704" s="1135" t="s">
        <v>2136</v>
      </c>
      <c r="K1704" s="1119" t="s">
        <v>1567</v>
      </c>
      <c r="L1704" s="1135" t="s">
        <v>1571</v>
      </c>
      <c r="M1704" s="2038">
        <v>0.5</v>
      </c>
      <c r="N1704" s="1135" t="s">
        <v>2139</v>
      </c>
      <c r="O1704" s="1135">
        <v>2.74</v>
      </c>
      <c r="P1704" s="1135"/>
      <c r="Q1704" s="1135"/>
      <c r="R1704" s="1135"/>
      <c r="S1704" s="1135"/>
      <c r="T1704" s="1135"/>
      <c r="U1704" s="2041"/>
    </row>
    <row r="1705" spans="2:21" hidden="1" outlineLevel="2">
      <c r="B1705" s="1050">
        <v>5</v>
      </c>
      <c r="C1705" s="1050" t="str">
        <f t="shared" si="196"/>
        <v>Canard Engraissement système conventionnel, montagne, nourri à l'herbe, France continentale, Base Carbone</v>
      </c>
      <c r="D1705" s="1051">
        <f t="shared" si="197"/>
        <v>5</v>
      </c>
      <c r="E1705" s="1051" t="str">
        <f>IF(COUNTIF(E$1700:E1704,F1705)&gt;0,"",F1705)</f>
        <v>Canard Engraissement système conventionnel, montagne, nourri à l'herbe, France continentale, Base Carbone</v>
      </c>
      <c r="F1705" s="1051" t="str">
        <f t="shared" si="198"/>
        <v>Canard Engraissement système conventionnel, montagne, nourri à l'herbe, France continentale, Base Carbone</v>
      </c>
      <c r="G1705" s="1055" t="str">
        <f t="shared" si="199"/>
        <v>Canard Engraissement système conventionnel, montagne, nourri à l'herbe, France continentale, Base Carbone; kgCO2e/kg de poids vif</v>
      </c>
      <c r="I1705" s="2018" t="s">
        <v>4661</v>
      </c>
      <c r="J1705" s="1135" t="s">
        <v>2136</v>
      </c>
      <c r="K1705" s="1119" t="s">
        <v>1567</v>
      </c>
      <c r="L1705" s="1135" t="s">
        <v>1571</v>
      </c>
      <c r="M1705" s="2038">
        <v>0.5</v>
      </c>
      <c r="N1705" s="1135" t="s">
        <v>4176</v>
      </c>
      <c r="O1705" s="1135">
        <v>3.34</v>
      </c>
      <c r="P1705" s="1135"/>
      <c r="Q1705" s="1135"/>
      <c r="R1705" s="1135"/>
      <c r="S1705" s="1135"/>
      <c r="T1705" s="1135"/>
      <c r="U1705" s="2041"/>
    </row>
    <row r="1706" spans="2:21" hidden="1" outlineLevel="2">
      <c r="B1706" s="1050">
        <v>6</v>
      </c>
      <c r="C1706" s="1050" t="str">
        <f t="shared" si="196"/>
        <v>Dinde système conventionnel, plaine, maïs ensilage olus de 30 %, France continentale, Base Carbone</v>
      </c>
      <c r="D1706" s="1051">
        <f t="shared" si="197"/>
        <v>6</v>
      </c>
      <c r="E1706" s="1051" t="str">
        <f>IF(COUNTIF(E$1700:E1705,F1706)&gt;0,"",F1706)</f>
        <v>Dinde système conventionnel, plaine, maïs ensilage olus de 30 %, France continentale, Base Carbone</v>
      </c>
      <c r="F1706" s="1051" t="str">
        <f t="shared" si="198"/>
        <v>Dinde système conventionnel, plaine, maïs ensilage olus de 30 %, France continentale, Base Carbone</v>
      </c>
      <c r="G1706" s="1055" t="str">
        <f t="shared" si="199"/>
        <v>Dinde système conventionnel, plaine, maïs ensilage olus de 30 %, France continentale, Base Carbone; kgCO2e/kg de poids vif</v>
      </c>
      <c r="I1706" s="2018" t="s">
        <v>4662</v>
      </c>
      <c r="J1706" s="1135" t="s">
        <v>2136</v>
      </c>
      <c r="K1706" s="1119" t="s">
        <v>1567</v>
      </c>
      <c r="L1706" s="1135" t="s">
        <v>1571</v>
      </c>
      <c r="M1706" s="2038">
        <v>0.5</v>
      </c>
      <c r="N1706" s="1135" t="s">
        <v>4678</v>
      </c>
      <c r="O1706" s="1135">
        <v>2.95</v>
      </c>
      <c r="P1706" s="1135"/>
      <c r="Q1706" s="1135"/>
      <c r="R1706" s="1135"/>
      <c r="S1706" s="1135"/>
      <c r="T1706" s="1135"/>
      <c r="U1706" s="2041"/>
    </row>
    <row r="1707" spans="2:21" hidden="1" outlineLevel="2">
      <c r="B1707" s="1050">
        <v>7</v>
      </c>
      <c r="C1707" s="1050" t="str">
        <f t="shared" si="196"/>
        <v>Génisse allaitante conventionnel, système Roquefort, France continentale, Base Carbone</v>
      </c>
      <c r="D1707" s="1051">
        <f t="shared" si="197"/>
        <v>7</v>
      </c>
      <c r="E1707" s="1051" t="str">
        <f>IF(COUNTIF(E$1700:E1706,F1707)&gt;0,"",F1707)</f>
        <v>Génisse allaitante conventionnel, système Roquefort, France continentale, Base Carbone</v>
      </c>
      <c r="F1707" s="1051" t="str">
        <f t="shared" si="198"/>
        <v>Génisse allaitante conventionnel, système Roquefort, France continentale, Base Carbone</v>
      </c>
      <c r="G1707" s="1055" t="str">
        <f t="shared" si="199"/>
        <v>Génisse allaitante conventionnel, système Roquefort, France continentale, Base Carbone; kgCO2e/kg de poids vif</v>
      </c>
      <c r="I1707" s="2018" t="s">
        <v>4663</v>
      </c>
      <c r="J1707" s="1135" t="s">
        <v>2136</v>
      </c>
      <c r="K1707" s="1119" t="s">
        <v>1567</v>
      </c>
      <c r="L1707" s="1135" t="s">
        <v>1571</v>
      </c>
      <c r="M1707" s="2038">
        <v>0.5</v>
      </c>
      <c r="N1707" s="1135" t="s">
        <v>2137</v>
      </c>
      <c r="O1707" s="1135">
        <v>21</v>
      </c>
      <c r="P1707" s="1135"/>
      <c r="Q1707" s="1135"/>
      <c r="R1707" s="1135"/>
      <c r="S1707" s="1135"/>
      <c r="T1707" s="1135"/>
      <c r="U1707" s="2041"/>
    </row>
    <row r="1708" spans="2:21" hidden="1" outlineLevel="2">
      <c r="B1708" s="1050">
        <v>8</v>
      </c>
      <c r="C1708" s="1050" t="str">
        <f t="shared" si="196"/>
        <v>Laine conventionnel, qualité protéique améliorée, 15% d'humidité, France continentale, Base Carbone</v>
      </c>
      <c r="D1708" s="1051">
        <f t="shared" si="197"/>
        <v>8</v>
      </c>
      <c r="E1708" s="1051" t="str">
        <f>IF(COUNTIF(E$1700:E1707,F1708)&gt;0,"",F1708)</f>
        <v>Laine conventionnel, qualité protéique améliorée, 15% d'humidité, France continentale, Base Carbone</v>
      </c>
      <c r="F1708" s="1051" t="str">
        <f t="shared" si="198"/>
        <v>Laine conventionnel, qualité protéique améliorée, 15% d'humidité, France continentale, Base Carbone</v>
      </c>
      <c r="G1708" s="1055" t="str">
        <f t="shared" si="199"/>
        <v>Laine conventionnel, qualité protéique améliorée, 15% d'humidité, France continentale, Base Carbone; kgCO2e/kg de poids vif</v>
      </c>
      <c r="I1708" s="2018" t="s">
        <v>4664</v>
      </c>
      <c r="J1708" s="1135" t="s">
        <v>2136</v>
      </c>
      <c r="K1708" s="1119" t="s">
        <v>1567</v>
      </c>
      <c r="L1708" s="1135" t="s">
        <v>1571</v>
      </c>
      <c r="M1708" s="2038">
        <v>0.5</v>
      </c>
      <c r="N1708" s="1135" t="s">
        <v>4679</v>
      </c>
      <c r="O1708" s="1135">
        <v>5.21</v>
      </c>
      <c r="P1708" s="1135"/>
      <c r="Q1708" s="1135"/>
      <c r="R1708" s="1135"/>
      <c r="S1708" s="1135"/>
      <c r="T1708" s="1135"/>
      <c r="U1708" s="2041"/>
    </row>
    <row r="1709" spans="2:21" hidden="1" outlineLevel="2">
      <c r="B1709" s="1050">
        <v>9</v>
      </c>
      <c r="C1709" s="1050" t="str">
        <f t="shared" si="196"/>
        <v>Lait biologique, moyenne nationale, France continentale, Base Carbone</v>
      </c>
      <c r="D1709" s="1051">
        <f t="shared" si="197"/>
        <v>9</v>
      </c>
      <c r="E1709" s="1051" t="str">
        <f>IF(COUNTIF(E$1700:E1708,F1709)&gt;0,"",F1709)</f>
        <v>Lait biologique, moyenne nationale, France continentale, Base Carbone</v>
      </c>
      <c r="F1709" s="1051" t="str">
        <f t="shared" si="198"/>
        <v>Lait biologique, moyenne nationale, France continentale, Base Carbone</v>
      </c>
      <c r="G1709" s="1055" t="str">
        <f t="shared" si="199"/>
        <v>Lait biologique, moyenne nationale, France continentale, Base Carbone; kgCO2e/kg de poids vif</v>
      </c>
      <c r="I1709" s="2018" t="s">
        <v>4665</v>
      </c>
      <c r="J1709" s="1135" t="s">
        <v>2136</v>
      </c>
      <c r="K1709" s="1119" t="s">
        <v>1567</v>
      </c>
      <c r="L1709" s="1135" t="s">
        <v>1571</v>
      </c>
      <c r="M1709" s="2038">
        <v>0.5</v>
      </c>
      <c r="N1709" s="1135" t="s">
        <v>4177</v>
      </c>
      <c r="O1709" s="1135">
        <v>1.1200000000000001</v>
      </c>
      <c r="P1709" s="1135"/>
      <c r="Q1709" s="1135"/>
      <c r="R1709" s="1135"/>
      <c r="S1709" s="1135"/>
      <c r="T1709" s="1135"/>
      <c r="U1709" s="2041"/>
    </row>
    <row r="1710" spans="2:21" hidden="1" outlineLevel="2">
      <c r="B1710" s="1050">
        <v>10</v>
      </c>
      <c r="C1710" s="1050" t="str">
        <f t="shared" si="196"/>
        <v>Lait de brebis conventionnel, système Roquefort, France continentale, Base Carbone</v>
      </c>
      <c r="D1710" s="1051">
        <f t="shared" si="197"/>
        <v>10</v>
      </c>
      <c r="E1710" s="1051" t="str">
        <f>IF(COUNTIF(E$1700:E1709,F1710)&gt;0,"",F1710)</f>
        <v>Lait de brebis conventionnel, système Roquefort, France continentale, Base Carbone</v>
      </c>
      <c r="F1710" s="1051" t="str">
        <f t="shared" si="198"/>
        <v>Lait de brebis conventionnel, système Roquefort, France continentale, Base Carbone</v>
      </c>
      <c r="G1710" s="1055" t="str">
        <f t="shared" si="199"/>
        <v>Lait de brebis conventionnel, système Roquefort, France continentale, Base Carbone; kgCO2e/kg de poids vif</v>
      </c>
      <c r="I1710" s="2018" t="s">
        <v>4666</v>
      </c>
      <c r="J1710" s="1135" t="s">
        <v>2136</v>
      </c>
      <c r="K1710" s="1119" t="s">
        <v>1567</v>
      </c>
      <c r="L1710" s="1135" t="s">
        <v>1571</v>
      </c>
      <c r="M1710" s="2038">
        <v>0.5</v>
      </c>
      <c r="N1710" s="1135" t="s">
        <v>2137</v>
      </c>
      <c r="O1710" s="1135">
        <v>2.09</v>
      </c>
      <c r="P1710" s="1135"/>
      <c r="Q1710" s="1135"/>
      <c r="R1710" s="1135"/>
      <c r="S1710" s="1135"/>
      <c r="T1710" s="1135"/>
      <c r="U1710" s="2041"/>
    </row>
    <row r="1711" spans="2:21" hidden="1" outlineLevel="2">
      <c r="B1711" s="1050">
        <v>11</v>
      </c>
      <c r="C1711" s="1050" t="str">
        <f t="shared" si="196"/>
        <v>Lait de chèvre conventionnel, production à l'intérieur, France continentale, Base Carbone</v>
      </c>
      <c r="D1711" s="1051">
        <f t="shared" si="197"/>
        <v>11</v>
      </c>
      <c r="E1711" s="1051" t="str">
        <f>IF(COUNTIF(E$1700:E1710,F1711)&gt;0,"",F1711)</f>
        <v>Lait de chèvre conventionnel, production à l'intérieur, France continentale, Base Carbone</v>
      </c>
      <c r="F1711" s="1051" t="str">
        <f t="shared" si="198"/>
        <v>Lait de chèvre conventionnel, production à l'intérieur, France continentale, Base Carbone</v>
      </c>
      <c r="G1711" s="1055" t="str">
        <f t="shared" si="199"/>
        <v>Lait de chèvre conventionnel, production à l'intérieur, France continentale, Base Carbone; kgCO2e/kg de poids vif</v>
      </c>
      <c r="I1711" s="2018" t="s">
        <v>4667</v>
      </c>
      <c r="J1711" s="1135" t="s">
        <v>2136</v>
      </c>
      <c r="K1711" s="1119" t="s">
        <v>1567</v>
      </c>
      <c r="L1711" s="1135" t="s">
        <v>1571</v>
      </c>
      <c r="M1711" s="2038">
        <v>0.5</v>
      </c>
      <c r="N1711" s="1135" t="s">
        <v>4178</v>
      </c>
      <c r="O1711" s="1135">
        <v>1.31</v>
      </c>
      <c r="P1711" s="1135"/>
      <c r="Q1711" s="1135"/>
      <c r="R1711" s="1135"/>
      <c r="S1711" s="1135"/>
      <c r="T1711" s="1135"/>
      <c r="U1711" s="2041"/>
    </row>
    <row r="1712" spans="2:21" hidden="1" outlineLevel="2">
      <c r="B1712" s="1050">
        <v>12</v>
      </c>
      <c r="C1712" s="1050" t="str">
        <f t="shared" si="196"/>
        <v>Lait de vache conventionnel, en cage, France continentale, Base Carbone</v>
      </c>
      <c r="D1712" s="1051">
        <f t="shared" si="197"/>
        <v>12</v>
      </c>
      <c r="E1712" s="1051" t="str">
        <f>IF(COUNTIF(E$1700:E1711,F1712)&gt;0,"",F1712)</f>
        <v>Lait de vache conventionnel, en cage, France continentale, Base Carbone</v>
      </c>
      <c r="F1712" s="1051" t="str">
        <f t="shared" si="198"/>
        <v>Lait de vache conventionnel, en cage, France continentale, Base Carbone</v>
      </c>
      <c r="G1712" s="1055" t="str">
        <f t="shared" si="199"/>
        <v>Lait de vache conventionnel, en cage, France continentale, Base Carbone; kgCO2e/kg de poids vif</v>
      </c>
      <c r="I1712" s="2018" t="s">
        <v>4668</v>
      </c>
      <c r="J1712" s="1135" t="s">
        <v>2136</v>
      </c>
      <c r="K1712" s="1119" t="s">
        <v>1567</v>
      </c>
      <c r="L1712" s="1135" t="s">
        <v>1571</v>
      </c>
      <c r="M1712" s="2038">
        <v>0.5</v>
      </c>
      <c r="N1712" s="1135" t="s">
        <v>2138</v>
      </c>
      <c r="O1712" s="1135">
        <v>1.18</v>
      </c>
      <c r="P1712" s="1135"/>
      <c r="Q1712" s="1135"/>
      <c r="R1712" s="1135"/>
      <c r="S1712" s="1135"/>
      <c r="T1712" s="1135"/>
      <c r="U1712" s="2041"/>
    </row>
    <row r="1713" spans="2:21" hidden="1" outlineLevel="2">
      <c r="B1713" s="1050">
        <v>13</v>
      </c>
      <c r="C1713" s="1050" t="str">
        <f t="shared" si="196"/>
        <v>Lapin conventionnel, 28% d'humidité, moyenne nationale, France continentale, Base Carbone</v>
      </c>
      <c r="D1713" s="1051">
        <f t="shared" si="197"/>
        <v>13</v>
      </c>
      <c r="E1713" s="1051" t="str">
        <f>IF(COUNTIF(E$1700:E1712,F1713)&gt;0,"",F1713)</f>
        <v>Lapin conventionnel, 28% d'humidité, moyenne nationale, France continentale, Base Carbone</v>
      </c>
      <c r="F1713" s="1051" t="str">
        <f t="shared" si="198"/>
        <v>Lapin conventionnel, 28% d'humidité, moyenne nationale, France continentale, Base Carbone</v>
      </c>
      <c r="G1713" s="1055" t="str">
        <f t="shared" si="199"/>
        <v>Lapin conventionnel, 28% d'humidité, moyenne nationale, France continentale, Base Carbone; kgCO2e/kg de poids vif</v>
      </c>
      <c r="I1713" s="2018" t="s">
        <v>4669</v>
      </c>
      <c r="J1713" s="1135" t="s">
        <v>2136</v>
      </c>
      <c r="K1713" s="1119" t="s">
        <v>1567</v>
      </c>
      <c r="L1713" s="1135" t="s">
        <v>1571</v>
      </c>
      <c r="M1713" s="2038">
        <v>0.5</v>
      </c>
      <c r="N1713" s="1135" t="s">
        <v>4179</v>
      </c>
      <c r="O1713" s="1135">
        <v>2.74</v>
      </c>
      <c r="P1713" s="1135"/>
      <c r="Q1713" s="1135"/>
      <c r="R1713" s="1135"/>
      <c r="S1713" s="1135"/>
      <c r="T1713" s="1135"/>
      <c r="U1713" s="2041"/>
    </row>
    <row r="1714" spans="2:21" hidden="1" outlineLevel="2">
      <c r="B1714" s="1050">
        <v>14</v>
      </c>
      <c r="C1714" s="1050" t="str">
        <f t="shared" si="196"/>
        <v>Oeuf Bleu Blanc Coeur, en plein air, France continentale, Base Carbone</v>
      </c>
      <c r="D1714" s="1051">
        <f t="shared" si="197"/>
        <v>14</v>
      </c>
      <c r="E1714" s="1051" t="str">
        <f>IF(COUNTIF(E$1700:E1713,F1714)&gt;0,"",F1714)</f>
        <v>Oeuf Bleu Blanc Coeur, en plein air, France continentale, Base Carbone</v>
      </c>
      <c r="F1714" s="1051" t="str">
        <f t="shared" si="198"/>
        <v>Oeuf Bleu Blanc Coeur, en plein air, France continentale, Base Carbone</v>
      </c>
      <c r="G1714" s="1055" t="str">
        <f t="shared" si="199"/>
        <v>Oeuf Bleu Blanc Coeur, en plein air, France continentale, Base Carbone; kgCO2e/kg de poids vif</v>
      </c>
      <c r="I1714" s="2018" t="s">
        <v>4670</v>
      </c>
      <c r="J1714" s="1135" t="s">
        <v>2136</v>
      </c>
      <c r="K1714" s="1119" t="s">
        <v>1567</v>
      </c>
      <c r="L1714" s="1135" t="s">
        <v>1571</v>
      </c>
      <c r="M1714" s="2038">
        <v>0.5</v>
      </c>
      <c r="N1714" s="1135" t="s">
        <v>4180</v>
      </c>
      <c r="O1714" s="1135">
        <v>1.68</v>
      </c>
      <c r="P1714" s="1135"/>
      <c r="Q1714" s="1135"/>
      <c r="R1714" s="1135"/>
      <c r="S1714" s="1135"/>
      <c r="T1714" s="1135"/>
      <c r="U1714" s="2041"/>
    </row>
    <row r="1715" spans="2:21" hidden="1" outlineLevel="2">
      <c r="B1715" s="1050">
        <v>15</v>
      </c>
      <c r="C1715" s="1050" t="str">
        <f t="shared" si="196"/>
        <v>Oeuf production conventionnelle, intérieur,  cage (règles 2012), France continentale, Base Carbone</v>
      </c>
      <c r="D1715" s="1051">
        <f t="shared" si="197"/>
        <v>15</v>
      </c>
      <c r="E1715" s="1051" t="str">
        <f>IF(COUNTIF(E$1700:E1714,F1715)&gt;0,"",F1715)</f>
        <v>Oeuf production conventionnelle, intérieur,  cage (règles 2012), France continentale, Base Carbone</v>
      </c>
      <c r="F1715" s="1051" t="str">
        <f t="shared" si="198"/>
        <v>Oeuf production conventionnelle, intérieur,  cage (règles 2012), France continentale, Base Carbone</v>
      </c>
      <c r="G1715" s="1055" t="str">
        <f t="shared" si="199"/>
        <v>Oeuf production conventionnelle, intérieur,  cage (règles 2012), France continentale, Base Carbone; kgCO2e/kg de poids vif</v>
      </c>
      <c r="I1715" s="2018" t="s">
        <v>4670</v>
      </c>
      <c r="J1715" s="1135" t="s">
        <v>2136</v>
      </c>
      <c r="K1715" s="1119" t="s">
        <v>1567</v>
      </c>
      <c r="L1715" s="1135" t="s">
        <v>1571</v>
      </c>
      <c r="M1715" s="2038">
        <v>0.5</v>
      </c>
      <c r="N1715" s="1135" t="s">
        <v>4680</v>
      </c>
      <c r="O1715" s="1135">
        <v>1.55</v>
      </c>
      <c r="P1715" s="1135"/>
      <c r="Q1715" s="1135"/>
      <c r="R1715" s="1135"/>
      <c r="S1715" s="1135"/>
      <c r="T1715" s="1135"/>
      <c r="U1715" s="2041"/>
    </row>
    <row r="1716" spans="2:21" hidden="1" outlineLevel="2">
      <c r="B1716" s="1050">
        <v>16</v>
      </c>
      <c r="C1716" s="1050" t="str">
        <f t="shared" si="196"/>
        <v>Oeuf système conventionnel, à l'intérieur, cage, France continentale, Base Carbone</v>
      </c>
      <c r="D1716" s="1051">
        <f t="shared" si="197"/>
        <v>16</v>
      </c>
      <c r="E1716" s="1051" t="str">
        <f>IF(COUNTIF(E$1700:E1715,F1716)&gt;0,"",F1716)</f>
        <v>Oeuf système conventionnel, à l'intérieur, cage, France continentale, Base Carbone</v>
      </c>
      <c r="F1716" s="1051" t="str">
        <f t="shared" si="198"/>
        <v>Oeuf système conventionnel, à l'intérieur, cage, France continentale, Base Carbone</v>
      </c>
      <c r="G1716" s="1055" t="str">
        <f t="shared" si="199"/>
        <v>Oeuf système conventionnel, à l'intérieur, cage, France continentale, Base Carbone; kgCO2e/kg de poids vif</v>
      </c>
      <c r="I1716" s="2018" t="s">
        <v>4670</v>
      </c>
      <c r="J1716" s="1135" t="s">
        <v>2136</v>
      </c>
      <c r="K1716" s="1119" t="s">
        <v>1567</v>
      </c>
      <c r="L1716" s="1135" t="s">
        <v>1571</v>
      </c>
      <c r="M1716" s="2038">
        <v>0.5</v>
      </c>
      <c r="N1716" s="1135" t="s">
        <v>4681</v>
      </c>
      <c r="O1716" s="1135">
        <v>1.49</v>
      </c>
      <c r="P1716" s="1135"/>
      <c r="Q1716" s="1135"/>
      <c r="R1716" s="1135"/>
      <c r="S1716" s="1135"/>
      <c r="T1716" s="1135"/>
      <c r="U1716" s="2041"/>
    </row>
    <row r="1717" spans="2:21" hidden="1" outlineLevel="2">
      <c r="B1717" s="1050">
        <v>17</v>
      </c>
      <c r="C1717" s="1050" t="str">
        <f t="shared" si="196"/>
        <v>Porc conventionnel, qualité déclassée, alimentation animale, France continentale, Base Carbone</v>
      </c>
      <c r="D1717" s="1051">
        <f t="shared" si="197"/>
        <v>17</v>
      </c>
      <c r="E1717" s="1051" t="str">
        <f>IF(COUNTIF(E$1700:E1716,F1717)&gt;0,"",F1717)</f>
        <v>Porc conventionnel, qualité déclassée, alimentation animale, France continentale, Base Carbone</v>
      </c>
      <c r="F1717" s="1051" t="str">
        <f t="shared" si="198"/>
        <v>Porc conventionnel, qualité déclassée, alimentation animale, France continentale, Base Carbone</v>
      </c>
      <c r="G1717" s="1055" t="str">
        <f t="shared" si="199"/>
        <v>Porc conventionnel, qualité déclassée, alimentation animale, France continentale, Base Carbone; kgCO2e/kg de poids vif</v>
      </c>
      <c r="I1717" s="2018" t="s">
        <v>4671</v>
      </c>
      <c r="J1717" s="1135" t="s">
        <v>2136</v>
      </c>
      <c r="K1717" s="1119" t="s">
        <v>1567</v>
      </c>
      <c r="L1717" s="1135" t="s">
        <v>1571</v>
      </c>
      <c r="M1717" s="2038">
        <v>0.5</v>
      </c>
      <c r="N1717" s="1135" t="s">
        <v>4682</v>
      </c>
      <c r="O1717" s="1135">
        <v>2.4700000000000002</v>
      </c>
      <c r="P1717" s="1135"/>
      <c r="Q1717" s="1135"/>
      <c r="R1717" s="1135"/>
      <c r="S1717" s="1135"/>
      <c r="T1717" s="1135"/>
      <c r="U1717" s="2041"/>
    </row>
    <row r="1718" spans="2:21" hidden="1" outlineLevel="2">
      <c r="B1718" s="1050">
        <v>18</v>
      </c>
      <c r="C1718" s="1050" t="str">
        <f t="shared" si="196"/>
        <v>Porcs engraissés biologique, système n ° 4, France continentale, Base Carbone</v>
      </c>
      <c r="D1718" s="1051">
        <f t="shared" si="197"/>
        <v>18</v>
      </c>
      <c r="E1718" s="1051" t="str">
        <f>IF(COUNTIF(E$1700:E1717,F1718)&gt;0,"",F1718)</f>
        <v>Porcs engraissés biologique, système n ° 4, France continentale, Base Carbone</v>
      </c>
      <c r="F1718" s="1051" t="str">
        <f t="shared" si="198"/>
        <v>Porcs engraissés biologique, système n ° 4, France continentale, Base Carbone</v>
      </c>
      <c r="G1718" s="1055" t="str">
        <f t="shared" si="199"/>
        <v>Porcs engraissés biologique, système n ° 4, France continentale, Base Carbone; kgCO2e/kg de poids vif</v>
      </c>
      <c r="I1718" s="2018" t="s">
        <v>4672</v>
      </c>
      <c r="J1718" s="1135" t="s">
        <v>2136</v>
      </c>
      <c r="K1718" s="1119" t="s">
        <v>1567</v>
      </c>
      <c r="L1718" s="1135" t="s">
        <v>1571</v>
      </c>
      <c r="M1718" s="2038">
        <v>0.5</v>
      </c>
      <c r="N1718" s="1135" t="s">
        <v>4175</v>
      </c>
      <c r="O1718" s="1135">
        <v>5.22</v>
      </c>
      <c r="P1718" s="1135"/>
      <c r="Q1718" s="1135"/>
      <c r="R1718" s="1135"/>
      <c r="S1718" s="1135"/>
      <c r="T1718" s="1135"/>
      <c r="U1718" s="2041"/>
    </row>
    <row r="1719" spans="2:21" hidden="1" outlineLevel="2">
      <c r="B1719" s="1050">
        <v>19</v>
      </c>
      <c r="C1719" s="1050" t="str">
        <f t="shared" si="196"/>
        <v>Poule de réforme biologique, système n ° 1, France continentale, Base Carbone</v>
      </c>
      <c r="D1719" s="1051">
        <f t="shared" si="197"/>
        <v>19</v>
      </c>
      <c r="E1719" s="1051" t="str">
        <f>IF(COUNTIF(E$1700:E1718,F1719)&gt;0,"",F1719)</f>
        <v>Poule de réforme biologique, système n ° 1, France continentale, Base Carbone</v>
      </c>
      <c r="F1719" s="1051" t="str">
        <f t="shared" si="198"/>
        <v>Poule de réforme biologique, système n ° 1, France continentale, Base Carbone</v>
      </c>
      <c r="G1719" s="1055" t="str">
        <f t="shared" si="199"/>
        <v>Poule de réforme biologique, système n ° 1, France continentale, Base Carbone; kgCO2e/kg de poids vif</v>
      </c>
      <c r="I1719" s="2018" t="s">
        <v>4673</v>
      </c>
      <c r="J1719" s="1135" t="s">
        <v>2136</v>
      </c>
      <c r="K1719" s="1119" t="s">
        <v>1567</v>
      </c>
      <c r="L1719" s="1135" t="s">
        <v>1571</v>
      </c>
      <c r="M1719" s="2038">
        <v>0.5</v>
      </c>
      <c r="N1719" s="1135" t="s">
        <v>4173</v>
      </c>
      <c r="O1719" s="1135">
        <v>9.15</v>
      </c>
      <c r="P1719" s="1135"/>
      <c r="Q1719" s="1135"/>
      <c r="R1719" s="1135"/>
      <c r="S1719" s="1135"/>
      <c r="T1719" s="1135"/>
      <c r="U1719" s="2041"/>
    </row>
    <row r="1720" spans="2:21" hidden="1" outlineLevel="2">
      <c r="B1720" s="1050">
        <v>20</v>
      </c>
      <c r="C1720" s="1050" t="str">
        <f t="shared" si="196"/>
        <v>Poulet moyenne nationale, sortie de ferme, France continentale, Base Carbone</v>
      </c>
      <c r="D1720" s="1051">
        <f t="shared" si="197"/>
        <v>20</v>
      </c>
      <c r="E1720" s="1051" t="str">
        <f>IF(COUNTIF(E$1700:E1719,F1720)&gt;0,"",F1720)</f>
        <v>Poulet moyenne nationale, sortie de ferme, France continentale, Base Carbone</v>
      </c>
      <c r="F1720" s="1051" t="str">
        <f t="shared" si="198"/>
        <v>Poulet moyenne nationale, sortie de ferme, France continentale, Base Carbone</v>
      </c>
      <c r="G1720" s="1055" t="str">
        <f t="shared" si="199"/>
        <v>Poulet moyenne nationale, sortie de ferme, France continentale, Base Carbone; kgCO2e/kg de poids vif</v>
      </c>
      <c r="I1720" s="2018" t="s">
        <v>4674</v>
      </c>
      <c r="J1720" s="1135" t="s">
        <v>2136</v>
      </c>
      <c r="K1720" s="1119" t="s">
        <v>1567</v>
      </c>
      <c r="L1720" s="1135" t="s">
        <v>1571</v>
      </c>
      <c r="M1720" s="2038">
        <v>0.5</v>
      </c>
      <c r="N1720" s="1135" t="s">
        <v>4754</v>
      </c>
      <c r="O1720" s="1135">
        <v>1.99</v>
      </c>
      <c r="P1720" s="1135"/>
      <c r="Q1720" s="1135"/>
      <c r="R1720" s="1135"/>
      <c r="S1720" s="1135"/>
      <c r="T1720" s="1135"/>
      <c r="U1720" s="2041"/>
    </row>
    <row r="1721" spans="2:21" hidden="1" outlineLevel="2">
      <c r="B1721" s="1050">
        <v>21</v>
      </c>
      <c r="C1721" s="1050" t="str">
        <f t="shared" si="196"/>
        <v>Truie de réforme de l'association de cultures, biologique, France continentale, Base Carbone</v>
      </c>
      <c r="D1721" s="1051">
        <f t="shared" si="197"/>
        <v>21</v>
      </c>
      <c r="E1721" s="1051" t="str">
        <f>IF(COUNTIF(E$1700:E1720,F1721)&gt;0,"",F1721)</f>
        <v>Truie de réforme de l'association de cultures, biologique, France continentale, Base Carbone</v>
      </c>
      <c r="F1721" s="1051" t="str">
        <f t="shared" si="198"/>
        <v>Truie de réforme de l'association de cultures, biologique, France continentale, Base Carbone</v>
      </c>
      <c r="G1721" s="1055" t="str">
        <f t="shared" si="199"/>
        <v>Truie de réforme de l'association de cultures, biologique, France continentale, Base Carbone; kgCO2e/kg de poids vif</v>
      </c>
      <c r="I1721" s="2018" t="s">
        <v>4675</v>
      </c>
      <c r="J1721" s="1135" t="s">
        <v>2136</v>
      </c>
      <c r="K1721" s="1119" t="s">
        <v>1567</v>
      </c>
      <c r="L1721" s="1135" t="s">
        <v>1571</v>
      </c>
      <c r="M1721" s="2038">
        <v>0.5</v>
      </c>
      <c r="N1721" s="1135" t="s">
        <v>4181</v>
      </c>
      <c r="O1721" s="1135">
        <v>13.1</v>
      </c>
      <c r="P1721" s="1135"/>
      <c r="Q1721" s="1135"/>
      <c r="R1721" s="1135"/>
      <c r="S1721" s="1135"/>
      <c r="T1721" s="1135"/>
      <c r="U1721" s="2041"/>
    </row>
    <row r="1722" spans="2:21" hidden="1" outlineLevel="2">
      <c r="B1722" s="1050">
        <v>22</v>
      </c>
      <c r="C1722" s="1050" t="str">
        <f t="shared" si="196"/>
        <v>Vache de réforme biologique, système n ° 2, France continentale, Base Carbone</v>
      </c>
      <c r="D1722" s="1051">
        <f t="shared" si="197"/>
        <v>22</v>
      </c>
      <c r="E1722" s="1051" t="str">
        <f>IF(COUNTIF(E$1700:E1721,F1722)&gt;0,"",F1722)</f>
        <v>Vache de réforme biologique, système n ° 2, France continentale, Base Carbone</v>
      </c>
      <c r="F1722" s="1051" t="str">
        <f t="shared" si="198"/>
        <v>Vache de réforme biologique, système n ° 2, France continentale, Base Carbone</v>
      </c>
      <c r="G1722" s="1055" t="str">
        <f t="shared" si="199"/>
        <v>Vache de réforme biologique, système n ° 2, France continentale, Base Carbone; kgCO2e/kg de poids vif</v>
      </c>
      <c r="I1722" s="2018" t="s">
        <v>4676</v>
      </c>
      <c r="J1722" s="1135" t="s">
        <v>2136</v>
      </c>
      <c r="K1722" s="1119" t="s">
        <v>1567</v>
      </c>
      <c r="L1722" s="1135" t="s">
        <v>1571</v>
      </c>
      <c r="M1722" s="2038">
        <v>0.5</v>
      </c>
      <c r="N1722" s="1135" t="s">
        <v>4174</v>
      </c>
      <c r="O1722" s="1135">
        <v>17.100000000000001</v>
      </c>
      <c r="P1722" s="1135"/>
      <c r="Q1722" s="1135"/>
      <c r="R1722" s="1135"/>
      <c r="S1722" s="1135"/>
      <c r="T1722" s="1135"/>
      <c r="U1722" s="2041"/>
    </row>
    <row r="1723" spans="2:21" hidden="1" outlineLevel="2">
      <c r="B1723" s="1050">
        <v>23</v>
      </c>
      <c r="C1723" s="1050" t="str">
        <f t="shared" si="196"/>
        <v>Veau biologique, système n ° 3, France continentale, Base Carbone</v>
      </c>
      <c r="D1723" s="1051">
        <f t="shared" si="197"/>
        <v>23</v>
      </c>
      <c r="E1723" s="1051" t="str">
        <f>IF(COUNTIF(E$1700:E1722,F1723)&gt;0,"",F1723)</f>
        <v>Veau biologique, système n ° 3, France continentale, Base Carbone</v>
      </c>
      <c r="F1723" s="1051" t="str">
        <f t="shared" si="198"/>
        <v>Veau biologique, système n ° 3, France continentale, Base Carbone</v>
      </c>
      <c r="G1723" s="1055" t="str">
        <f t="shared" si="199"/>
        <v>Veau biologique, système n ° 3, France continentale, Base Carbone; kgCO2e/kg de poids vif</v>
      </c>
      <c r="I1723" s="2018" t="s">
        <v>4677</v>
      </c>
      <c r="J1723" s="1135" t="s">
        <v>2136</v>
      </c>
      <c r="K1723" s="1119" t="s">
        <v>1567</v>
      </c>
      <c r="L1723" s="1135" t="s">
        <v>1571</v>
      </c>
      <c r="M1723" s="2038">
        <v>0.5</v>
      </c>
      <c r="N1723" s="1135" t="s">
        <v>4169</v>
      </c>
      <c r="O1723" s="1135">
        <v>12.3</v>
      </c>
      <c r="P1723" s="1135"/>
      <c r="Q1723" s="1135"/>
      <c r="R1723" s="1135"/>
      <c r="S1723" s="1135"/>
      <c r="T1723" s="1135"/>
      <c r="U1723" s="2041"/>
    </row>
    <row r="1724" spans="2:21" hidden="1" outlineLevel="2">
      <c r="B1724" s="1050">
        <v>24</v>
      </c>
      <c r="C1724" s="1050" t="str">
        <f t="shared" si="196"/>
        <v>-</v>
      </c>
      <c r="D1724" s="1051">
        <f t="shared" si="197"/>
        <v>23</v>
      </c>
      <c r="E1724" s="1051" t="str">
        <f>IF(COUNTIF(E$1700:E1723,F1724)&gt;0,"",F1724)</f>
        <v/>
      </c>
      <c r="F1724" s="1051" t="str">
        <f t="shared" si="198"/>
        <v/>
      </c>
      <c r="G1724" s="1055" t="str">
        <f t="shared" si="199"/>
        <v/>
      </c>
      <c r="I1724" s="2018"/>
      <c r="J1724" s="1135"/>
      <c r="K1724" s="1119"/>
      <c r="L1724" s="1135"/>
      <c r="M1724" s="2038"/>
      <c r="N1724" s="1135"/>
      <c r="O1724" s="1135"/>
      <c r="P1724" s="1135"/>
      <c r="Q1724" s="1135"/>
      <c r="R1724" s="1135"/>
      <c r="S1724" s="1135"/>
      <c r="T1724" s="1135"/>
      <c r="U1724" s="2041"/>
    </row>
    <row r="1725" spans="2:21" hidden="1" outlineLevel="2">
      <c r="B1725" s="1050">
        <v>25</v>
      </c>
      <c r="C1725" s="1050" t="str">
        <f t="shared" si="196"/>
        <v>-</v>
      </c>
      <c r="D1725" s="1051">
        <f t="shared" si="197"/>
        <v>23</v>
      </c>
      <c r="E1725" s="1051" t="str">
        <f>IF(COUNTIF(E$1700:E1724,F1725)&gt;0,"",F1725)</f>
        <v/>
      </c>
      <c r="F1725" s="1051" t="str">
        <f t="shared" si="198"/>
        <v/>
      </c>
      <c r="G1725" s="1055" t="str">
        <f t="shared" si="199"/>
        <v/>
      </c>
      <c r="I1725" s="2018"/>
      <c r="J1725" s="1135"/>
      <c r="K1725" s="1119"/>
      <c r="L1725" s="1135"/>
      <c r="M1725" s="2038"/>
      <c r="N1725" s="1135"/>
      <c r="O1725" s="1135"/>
      <c r="P1725" s="1135"/>
      <c r="Q1725" s="1135"/>
      <c r="R1725" s="1135"/>
      <c r="S1725" s="1135"/>
      <c r="T1725" s="1135"/>
      <c r="U1725" s="2041"/>
    </row>
    <row r="1726" spans="2:21" hidden="1" outlineLevel="2">
      <c r="B1726" s="1050">
        <v>26</v>
      </c>
      <c r="C1726" s="1050" t="str">
        <f t="shared" si="196"/>
        <v>-</v>
      </c>
      <c r="D1726" s="1051">
        <f t="shared" si="197"/>
        <v>23</v>
      </c>
      <c r="E1726" s="1051" t="str">
        <f>IF(COUNTIF(E$1700:E1725,F1726)&gt;0,"",F1726)</f>
        <v/>
      </c>
      <c r="F1726" s="1051" t="str">
        <f t="shared" si="198"/>
        <v/>
      </c>
      <c r="G1726" s="1055" t="str">
        <f t="shared" si="199"/>
        <v/>
      </c>
      <c r="I1726" s="2018"/>
      <c r="J1726" s="1135"/>
      <c r="K1726" s="1119"/>
      <c r="L1726" s="1135"/>
      <c r="M1726" s="2038"/>
      <c r="N1726" s="1135"/>
      <c r="O1726" s="1135"/>
      <c r="P1726" s="1135"/>
      <c r="Q1726" s="1135"/>
      <c r="R1726" s="1135"/>
      <c r="S1726" s="1135"/>
      <c r="T1726" s="1135"/>
      <c r="U1726" s="2041"/>
    </row>
    <row r="1727" spans="2:21" hidden="1" outlineLevel="2">
      <c r="B1727" s="1050">
        <v>27</v>
      </c>
      <c r="C1727" s="1050" t="str">
        <f t="shared" si="196"/>
        <v>-</v>
      </c>
      <c r="D1727" s="1051">
        <f t="shared" si="197"/>
        <v>23</v>
      </c>
      <c r="E1727" s="1051" t="str">
        <f>IF(COUNTIF(E$1700:E1726,F1727)&gt;0,"",F1727)</f>
        <v/>
      </c>
      <c r="F1727" s="1051" t="str">
        <f t="shared" si="198"/>
        <v/>
      </c>
      <c r="G1727" s="1055" t="str">
        <f t="shared" si="199"/>
        <v/>
      </c>
      <c r="I1727" s="2018"/>
      <c r="J1727" s="1135"/>
      <c r="K1727" s="1119"/>
      <c r="L1727" s="1135"/>
      <c r="M1727" s="2038"/>
      <c r="N1727" s="1135"/>
      <c r="O1727" s="1135"/>
      <c r="P1727" s="1135"/>
      <c r="Q1727" s="1135"/>
      <c r="R1727" s="1135"/>
      <c r="S1727" s="1135"/>
      <c r="T1727" s="1135"/>
      <c r="U1727" s="2041"/>
    </row>
    <row r="1728" spans="2:21" hidden="1" outlineLevel="2">
      <c r="B1728" s="1050">
        <v>28</v>
      </c>
      <c r="C1728" s="1050" t="str">
        <f t="shared" si="196"/>
        <v>-</v>
      </c>
      <c r="D1728" s="1051">
        <f t="shared" si="197"/>
        <v>23</v>
      </c>
      <c r="E1728" s="1051" t="str">
        <f>IF(COUNTIF(E$1700:E1727,F1728)&gt;0,"",F1728)</f>
        <v/>
      </c>
      <c r="F1728" s="1051" t="str">
        <f t="shared" si="198"/>
        <v/>
      </c>
      <c r="G1728" s="1055" t="str">
        <f t="shared" si="199"/>
        <v/>
      </c>
      <c r="I1728" s="2018"/>
      <c r="J1728" s="1135"/>
      <c r="K1728" s="1119"/>
      <c r="L1728" s="1135"/>
      <c r="M1728" s="2038"/>
      <c r="N1728" s="1135"/>
      <c r="O1728" s="1135"/>
      <c r="P1728" s="1135"/>
      <c r="Q1728" s="1135"/>
      <c r="R1728" s="1135"/>
      <c r="S1728" s="1135"/>
      <c r="T1728" s="1135"/>
      <c r="U1728" s="2041"/>
    </row>
    <row r="1729" spans="2:21" hidden="1" outlineLevel="2">
      <c r="B1729" s="1050"/>
      <c r="C1729" s="1050"/>
      <c r="D1729" s="1051">
        <f t="shared" si="197"/>
        <v>23</v>
      </c>
      <c r="E1729" s="1051" t="str">
        <f>IF(COUNTIF(E$1700:E1728,F1729)&gt;0,"",F1729)</f>
        <v/>
      </c>
      <c r="F1729" s="1051" t="str">
        <f t="shared" si="198"/>
        <v/>
      </c>
      <c r="G1729" s="1055" t="str">
        <f t="shared" si="199"/>
        <v/>
      </c>
      <c r="I1729" s="2018"/>
      <c r="J1729" s="1135"/>
      <c r="K1729" s="1119"/>
      <c r="L1729" s="1135"/>
      <c r="M1729" s="2038"/>
      <c r="N1729" s="1135"/>
      <c r="O1729" s="1135"/>
      <c r="P1729" s="1135"/>
      <c r="Q1729" s="1135"/>
      <c r="R1729" s="1135"/>
      <c r="S1729" s="1135"/>
      <c r="T1729" s="1135"/>
      <c r="U1729" s="2041"/>
    </row>
    <row r="1730" spans="2:21" hidden="1" outlineLevel="2">
      <c r="B1730" s="1050"/>
      <c r="C1730" s="1050"/>
      <c r="D1730" s="1051">
        <f t="shared" si="197"/>
        <v>23</v>
      </c>
      <c r="E1730" s="1051" t="str">
        <f>IF(COUNTIF(E$1700:E1729,F1730)&gt;0,"",F1730)</f>
        <v/>
      </c>
      <c r="F1730" s="1051" t="str">
        <f t="shared" si="198"/>
        <v/>
      </c>
      <c r="G1730" s="1055" t="str">
        <f t="shared" si="199"/>
        <v/>
      </c>
      <c r="I1730" s="2018"/>
      <c r="J1730" s="1135"/>
      <c r="K1730" s="1119"/>
      <c r="L1730" s="1135"/>
      <c r="M1730" s="2038"/>
      <c r="N1730" s="1135"/>
      <c r="O1730" s="1135"/>
      <c r="P1730" s="1135"/>
      <c r="Q1730" s="1135"/>
      <c r="R1730" s="1135"/>
      <c r="S1730" s="1135"/>
      <c r="T1730" s="1135"/>
      <c r="U1730" s="2041"/>
    </row>
    <row r="1731" spans="2:21" hidden="1" outlineLevel="2">
      <c r="B1731" s="1050"/>
      <c r="C1731" s="1050"/>
      <c r="D1731" s="1051">
        <f t="shared" si="197"/>
        <v>23</v>
      </c>
      <c r="E1731" s="1051" t="str">
        <f>IF(COUNTIF(E$1700:E1730,F1731)&gt;0,"",F1731)</f>
        <v/>
      </c>
      <c r="F1731" s="1051" t="str">
        <f t="shared" si="198"/>
        <v/>
      </c>
      <c r="G1731" s="1055" t="str">
        <f t="shared" si="199"/>
        <v/>
      </c>
      <c r="I1731" s="2018"/>
      <c r="J1731" s="1135"/>
      <c r="K1731" s="1119"/>
      <c r="L1731" s="1135"/>
      <c r="M1731" s="2038"/>
      <c r="N1731" s="1135"/>
      <c r="O1731" s="1135"/>
      <c r="P1731" s="1135"/>
      <c r="Q1731" s="1135"/>
      <c r="R1731" s="1135"/>
      <c r="S1731" s="1135"/>
      <c r="T1731" s="1135"/>
      <c r="U1731" s="2041"/>
    </row>
    <row r="1732" spans="2:21" hidden="1" outlineLevel="2">
      <c r="B1732" s="1050"/>
      <c r="C1732" s="1050"/>
      <c r="D1732" s="1051">
        <f t="shared" si="197"/>
        <v>23</v>
      </c>
      <c r="E1732" s="1051" t="str">
        <f>IF(COUNTIF(E$1700:E1731,F1732)&gt;0,"",F1732)</f>
        <v/>
      </c>
      <c r="F1732" s="1051" t="str">
        <f t="shared" si="198"/>
        <v/>
      </c>
      <c r="G1732" s="1055" t="str">
        <f t="shared" si="199"/>
        <v/>
      </c>
      <c r="I1732" s="2018"/>
      <c r="J1732" s="1135"/>
      <c r="K1732" s="1119"/>
      <c r="L1732" s="1135"/>
      <c r="M1732" s="2038"/>
      <c r="N1732" s="1135"/>
      <c r="O1732" s="1135"/>
      <c r="P1732" s="1135"/>
      <c r="Q1732" s="1135"/>
      <c r="R1732" s="1135"/>
      <c r="S1732" s="1135"/>
      <c r="T1732" s="1135"/>
      <c r="U1732" s="2041"/>
    </row>
    <row r="1733" spans="2:21" hidden="1" outlineLevel="2">
      <c r="B1733" s="1050"/>
      <c r="C1733" s="1050"/>
      <c r="D1733" s="1051">
        <f t="shared" si="197"/>
        <v>23</v>
      </c>
      <c r="E1733" s="1051" t="str">
        <f>IF(COUNTIF(E$1700:E1732,F1733)&gt;0,"",F1733)</f>
        <v/>
      </c>
      <c r="F1733" s="1051" t="str">
        <f t="shared" si="198"/>
        <v/>
      </c>
      <c r="G1733" s="1055" t="str">
        <f t="shared" si="199"/>
        <v/>
      </c>
      <c r="I1733" s="1100"/>
      <c r="J1733" s="1048"/>
      <c r="K1733" s="1119"/>
      <c r="L1733" s="1048"/>
      <c r="M1733" s="1033"/>
      <c r="N1733" s="1048"/>
      <c r="O1733" s="1048"/>
      <c r="P1733" s="1048"/>
      <c r="Q1733" s="1048"/>
      <c r="R1733" s="1048"/>
      <c r="S1733" s="1048"/>
      <c r="T1733" s="1048"/>
      <c r="U1733" s="1102"/>
    </row>
    <row r="1734" spans="2:21" hidden="1" outlineLevel="2">
      <c r="B1734" s="1050"/>
      <c r="C1734" s="1050"/>
      <c r="D1734" s="1051">
        <f t="shared" si="197"/>
        <v>23</v>
      </c>
      <c r="E1734" s="1051" t="str">
        <f>IF(COUNTIF(E$1700:E1733,F1734)&gt;0,"",F1734)</f>
        <v/>
      </c>
      <c r="F1734" s="1051" t="str">
        <f t="shared" si="198"/>
        <v/>
      </c>
      <c r="G1734" s="1055" t="str">
        <f t="shared" si="199"/>
        <v/>
      </c>
      <c r="I1734" s="1100"/>
      <c r="J1734" s="1048"/>
      <c r="K1734" s="1119"/>
      <c r="L1734" s="1048"/>
      <c r="M1734" s="1033"/>
      <c r="N1734" s="1048"/>
      <c r="O1734" s="1048"/>
      <c r="P1734" s="1048"/>
      <c r="Q1734" s="1048"/>
      <c r="R1734" s="1048"/>
      <c r="S1734" s="1048"/>
      <c r="T1734" s="1048"/>
      <c r="U1734" s="1102"/>
    </row>
    <row r="1735" spans="2:21" hidden="1" outlineLevel="2">
      <c r="B1735" s="1050"/>
      <c r="C1735" s="1050"/>
      <c r="D1735" s="1051">
        <f t="shared" si="197"/>
        <v>23</v>
      </c>
      <c r="E1735" s="1051" t="str">
        <f>IF(COUNTIF(E$1700:E1734,F1735)&gt;0,"",F1735)</f>
        <v/>
      </c>
      <c r="F1735" s="1051" t="str">
        <f t="shared" si="198"/>
        <v/>
      </c>
      <c r="G1735" s="1055" t="str">
        <f t="shared" si="199"/>
        <v/>
      </c>
      <c r="I1735" s="1100"/>
      <c r="J1735" s="1048"/>
      <c r="K1735" s="1119"/>
      <c r="L1735" s="1048"/>
      <c r="M1735" s="1033"/>
      <c r="N1735" s="1048"/>
      <c r="O1735" s="1048"/>
      <c r="P1735" s="1048"/>
      <c r="Q1735" s="1048"/>
      <c r="R1735" s="1048"/>
      <c r="S1735" s="1048"/>
      <c r="T1735" s="1048"/>
      <c r="U1735" s="1102"/>
    </row>
    <row r="1736" spans="2:21" hidden="1" outlineLevel="2">
      <c r="B1736" s="1050"/>
      <c r="C1736" s="1050"/>
      <c r="D1736" s="1051">
        <f t="shared" si="197"/>
        <v>23</v>
      </c>
      <c r="E1736" s="1051" t="str">
        <f>IF(COUNTIF(E$1700:E1735,F1736)&gt;0,"",F1736)</f>
        <v/>
      </c>
      <c r="F1736" s="1051" t="str">
        <f t="shared" si="198"/>
        <v/>
      </c>
      <c r="G1736" s="1055" t="str">
        <f t="shared" si="199"/>
        <v/>
      </c>
      <c r="I1736" s="1100"/>
      <c r="J1736" s="1048"/>
      <c r="K1736" s="1119"/>
      <c r="L1736" s="1048"/>
      <c r="M1736" s="1033"/>
      <c r="N1736" s="1048"/>
      <c r="O1736" s="1048"/>
      <c r="P1736" s="1048"/>
      <c r="Q1736" s="1048"/>
      <c r="R1736" s="1048"/>
      <c r="S1736" s="1048"/>
      <c r="T1736" s="1048"/>
      <c r="U1736" s="1102"/>
    </row>
    <row r="1737" spans="2:21" hidden="1" outlineLevel="1">
      <c r="I1737" s="1711"/>
      <c r="J1737" s="1712"/>
      <c r="K1737" s="1712"/>
      <c r="L1737" s="1712"/>
      <c r="M1737" s="1712"/>
      <c r="N1737" s="1712"/>
      <c r="O1737" s="1712"/>
      <c r="P1737" s="1712"/>
      <c r="Q1737" s="1712"/>
      <c r="R1737" s="1712"/>
      <c r="S1737" s="1712"/>
      <c r="T1737" s="1712"/>
      <c r="U1737" s="1714"/>
    </row>
    <row r="1738" spans="2:21" s="1045" customFormat="1" ht="12.75" hidden="1" customHeight="1" outlineLevel="1" collapsed="1">
      <c r="B1738" s="3156" t="s">
        <v>2198</v>
      </c>
      <c r="C1738" s="3156"/>
      <c r="D1738" s="1051">
        <v>0</v>
      </c>
      <c r="E1738" s="1051"/>
      <c r="F1738" s="1051"/>
      <c r="G1738" s="1054"/>
      <c r="H1738" s="1046"/>
      <c r="I1738" s="1746"/>
      <c r="J1738" s="1742"/>
      <c r="K1738" s="1743"/>
      <c r="L1738" s="1743"/>
      <c r="M1738" s="1744"/>
      <c r="N1738" s="1742"/>
      <c r="O1738" s="1745"/>
      <c r="P1738" s="1743"/>
      <c r="Q1738" s="1743"/>
      <c r="R1738" s="1745"/>
      <c r="S1738" s="1745"/>
      <c r="T1738" s="1743"/>
      <c r="U1738" s="1747"/>
    </row>
    <row r="1739" spans="2:21" hidden="1" outlineLevel="2">
      <c r="B1739" s="1050">
        <v>1</v>
      </c>
      <c r="C1739" s="1050" t="str">
        <f t="shared" ref="C1739:C1759" si="200">IF(ISNA(VLOOKUP(B1739,$D$1738:$E$1759,2,FALSE)),"-",VLOOKUP(B1739,$D$1738:$E$1759,2,FALSE))</f>
        <v>Albacore biologique, système n ° 1, France continentale, Base Carbone</v>
      </c>
      <c r="D1739" s="1051">
        <f>D1738+IF(LEN(E1739)&gt;0,1,0)</f>
        <v>1</v>
      </c>
      <c r="E1739" s="1051" t="str">
        <f>IF(COUNTIF(E$1738:E1738,F1739)&gt;0,"",F1739)</f>
        <v>Albacore biologique, système n ° 1, France continentale, Base Carbone</v>
      </c>
      <c r="F1739" s="1051" t="str">
        <f>IF(I1739&lt;&gt;"",I1739&amp;IF(N1739&lt;&gt;""," "&amp;N1739,)&amp;IF(L1739&lt;&gt;"",", "&amp;L1739,"")&amp;IF(K1739&lt;&gt;"",", "&amp;K1739,""),"")</f>
        <v>Albacore biologique, système n ° 1, France continentale, Base Carbone</v>
      </c>
      <c r="G1739" s="1055" t="str">
        <f>IF(F1739&lt;&gt;"",F1739&amp;IF(J1739&lt;&gt;"","; "&amp;J1739,""),"")</f>
        <v>Albacore biologique, système n ° 1, France continentale, Base Carbone; kgCO2e/kg de poids vif</v>
      </c>
      <c r="I1739" s="2018" t="s">
        <v>4655</v>
      </c>
      <c r="J1739" s="1135" t="s">
        <v>2136</v>
      </c>
      <c r="K1739" s="1119" t="s">
        <v>1567</v>
      </c>
      <c r="L1739" s="1135" t="s">
        <v>1571</v>
      </c>
      <c r="M1739" s="2038">
        <v>0.5</v>
      </c>
      <c r="N1739" s="1135" t="s">
        <v>4173</v>
      </c>
      <c r="O1739" s="1135">
        <v>4.25</v>
      </c>
      <c r="P1739" s="1135"/>
      <c r="Q1739" s="1135"/>
      <c r="R1739" s="1135"/>
      <c r="S1739" s="1135"/>
      <c r="T1739" s="1135"/>
      <c r="U1739" s="2041"/>
    </row>
    <row r="1740" spans="2:21" hidden="1" outlineLevel="2">
      <c r="B1740" s="1050">
        <v>2</v>
      </c>
      <c r="C1740" s="1050" t="str">
        <f t="shared" si="200"/>
        <v>Algue de l'association de cultures, biologique, système n ° 1, France continentale, Base Carbone</v>
      </c>
      <c r="D1740" s="1051">
        <f t="shared" ref="D1740:D1759" si="201">D1739+IF(LEN(E1740)&gt;0,1,0)</f>
        <v>2</v>
      </c>
      <c r="E1740" s="1051" t="str">
        <f>IF(COUNTIF(E$1738:E1739,F1740)&gt;0,"",F1740)</f>
        <v>Algue de l'association de cultures, biologique, système n ° 1, France continentale, Base Carbone</v>
      </c>
      <c r="F1740" s="1051" t="str">
        <f t="shared" ref="F1740:F1759" si="202">IF(I1740&lt;&gt;"",I1740&amp;IF(N1740&lt;&gt;""," "&amp;N1740,)&amp;IF(L1740&lt;&gt;"",", "&amp;L1740,"")&amp;IF(K1740&lt;&gt;"",", "&amp;K1740,""),"")</f>
        <v>Algue de l'association de cultures, biologique, système n ° 1, France continentale, Base Carbone</v>
      </c>
      <c r="G1740" s="1055" t="str">
        <f t="shared" ref="G1740:G1759" si="203">IF(F1740&lt;&gt;"",F1740&amp;IF(J1740&lt;&gt;"","; "&amp;J1740,""),"")</f>
        <v>Algue de l'association de cultures, biologique, système n ° 1, France continentale, Base Carbone; kgCO2e/kg de poids vif</v>
      </c>
      <c r="I1740" s="2018" t="s">
        <v>4656</v>
      </c>
      <c r="J1740" s="1135" t="s">
        <v>2136</v>
      </c>
      <c r="K1740" s="1119" t="s">
        <v>1567</v>
      </c>
      <c r="L1740" s="1135" t="s">
        <v>1571</v>
      </c>
      <c r="M1740" s="2038">
        <v>0.5</v>
      </c>
      <c r="N1740" s="1135" t="s">
        <v>4197</v>
      </c>
      <c r="O1740" s="1135">
        <v>0.106</v>
      </c>
      <c r="P1740" s="1135"/>
      <c r="Q1740" s="1135"/>
      <c r="R1740" s="1135"/>
      <c r="S1740" s="1135"/>
      <c r="T1740" s="1135"/>
      <c r="U1740" s="2041"/>
    </row>
    <row r="1741" spans="2:21" hidden="1" outlineLevel="2">
      <c r="B1741" s="1050">
        <v>3</v>
      </c>
      <c r="C1741" s="1050" t="str">
        <f t="shared" si="200"/>
        <v>Anchois européen biologique, système n ° 1, France continentale, Base Carbone</v>
      </c>
      <c r="D1741" s="1051">
        <f t="shared" si="201"/>
        <v>3</v>
      </c>
      <c r="E1741" s="1051" t="str">
        <f>IF(COUNTIF(E$1738:E1740,F1741)&gt;0,"",F1741)</f>
        <v>Anchois européen biologique, système n ° 1, France continentale, Base Carbone</v>
      </c>
      <c r="F1741" s="1051" t="str">
        <f t="shared" si="202"/>
        <v>Anchois européen biologique, système n ° 1, France continentale, Base Carbone</v>
      </c>
      <c r="G1741" s="1055" t="str">
        <f t="shared" si="203"/>
        <v>Anchois européen biologique, système n ° 1, France continentale, Base Carbone; kgCO2e/kg de poids vif</v>
      </c>
      <c r="I1741" s="2018" t="s">
        <v>4183</v>
      </c>
      <c r="J1741" s="1135" t="s">
        <v>2136</v>
      </c>
      <c r="K1741" s="1119" t="s">
        <v>1567</v>
      </c>
      <c r="L1741" s="1135" t="s">
        <v>1571</v>
      </c>
      <c r="M1741" s="2038">
        <v>0.5</v>
      </c>
      <c r="N1741" s="1135" t="s">
        <v>4173</v>
      </c>
      <c r="O1741" s="1135">
        <v>0.45</v>
      </c>
      <c r="P1741" s="1135"/>
      <c r="Q1741" s="1135"/>
      <c r="R1741" s="1135"/>
      <c r="S1741" s="1135"/>
      <c r="T1741" s="1135"/>
      <c r="U1741" s="2041"/>
    </row>
    <row r="1742" spans="2:21" hidden="1" outlineLevel="2">
      <c r="B1742" s="1050">
        <v>4</v>
      </c>
      <c r="C1742" s="1050" t="str">
        <f t="shared" si="200"/>
        <v>Bar ou daurade 200-500g, conventionnel, en cage, France continentale, Base Carbone</v>
      </c>
      <c r="D1742" s="1051">
        <f t="shared" si="201"/>
        <v>4</v>
      </c>
      <c r="E1742" s="1051" t="str">
        <f>IF(COUNTIF(E$1738:E1741,F1742)&gt;0,"",F1742)</f>
        <v>Bar ou daurade 200-500g, conventionnel, en cage, France continentale, Base Carbone</v>
      </c>
      <c r="F1742" s="1051" t="str">
        <f t="shared" si="202"/>
        <v>Bar ou daurade 200-500g, conventionnel, en cage, France continentale, Base Carbone</v>
      </c>
      <c r="G1742" s="1055" t="str">
        <f t="shared" si="203"/>
        <v>Bar ou daurade 200-500g, conventionnel, en cage, France continentale, Base Carbone; kgCO2e/kg de poids vif</v>
      </c>
      <c r="I1742" s="2018" t="s">
        <v>4184</v>
      </c>
      <c r="J1742" s="1135" t="s">
        <v>2136</v>
      </c>
      <c r="K1742" s="1119" t="s">
        <v>1567</v>
      </c>
      <c r="L1742" s="1135" t="s">
        <v>1571</v>
      </c>
      <c r="M1742" s="2038">
        <v>0.5</v>
      </c>
      <c r="N1742" s="1135" t="s">
        <v>4198</v>
      </c>
      <c r="O1742" s="1135">
        <v>4.49</v>
      </c>
      <c r="P1742" s="1135"/>
      <c r="Q1742" s="1135"/>
      <c r="R1742" s="1135"/>
      <c r="S1742" s="1135"/>
      <c r="T1742" s="1135"/>
      <c r="U1742" s="2041"/>
    </row>
    <row r="1743" spans="2:21" hidden="1" outlineLevel="2">
      <c r="B1743" s="1050">
        <v>5</v>
      </c>
      <c r="C1743" s="1050" t="str">
        <f t="shared" si="200"/>
        <v>Coquille Saint-Jacques 14 jours, biologique, France continentale, Base Carbone</v>
      </c>
      <c r="D1743" s="1051">
        <f t="shared" si="201"/>
        <v>5</v>
      </c>
      <c r="E1743" s="1051" t="str">
        <f>IF(COUNTIF(E$1738:E1742,F1743)&gt;0,"",F1743)</f>
        <v>Coquille Saint-Jacques 14 jours, biologique, France continentale, Base Carbone</v>
      </c>
      <c r="F1743" s="1051" t="str">
        <f t="shared" si="202"/>
        <v>Coquille Saint-Jacques 14 jours, biologique, France continentale, Base Carbone</v>
      </c>
      <c r="G1743" s="1055" t="str">
        <f t="shared" si="203"/>
        <v>Coquille Saint-Jacques 14 jours, biologique, France continentale, Base Carbone; kgCO2e/kg de poids vif</v>
      </c>
      <c r="I1743" s="2018" t="s">
        <v>4185</v>
      </c>
      <c r="J1743" s="1135" t="s">
        <v>2136</v>
      </c>
      <c r="K1743" s="1119" t="s">
        <v>1567</v>
      </c>
      <c r="L1743" s="1135" t="s">
        <v>1571</v>
      </c>
      <c r="M1743" s="2038">
        <v>0.5</v>
      </c>
      <c r="N1743" s="1135" t="s">
        <v>4199</v>
      </c>
      <c r="O1743" s="1135">
        <v>0.68200000000000005</v>
      </c>
      <c r="P1743" s="1135"/>
      <c r="Q1743" s="1135"/>
      <c r="R1743" s="1135"/>
      <c r="S1743" s="1135"/>
      <c r="T1743" s="1135"/>
      <c r="U1743" s="2041"/>
    </row>
    <row r="1744" spans="2:21" hidden="1" outlineLevel="2">
      <c r="B1744" s="1050">
        <v>6</v>
      </c>
      <c r="C1744" s="1050" t="str">
        <f t="shared" si="200"/>
        <v>Gadidae 14 jours, biologique, France continentale, Base Carbone</v>
      </c>
      <c r="D1744" s="1051">
        <f t="shared" si="201"/>
        <v>6</v>
      </c>
      <c r="E1744" s="1051" t="str">
        <f>IF(COUNTIF(E$1738:E1743,F1744)&gt;0,"",F1744)</f>
        <v>Gadidae 14 jours, biologique, France continentale, Base Carbone</v>
      </c>
      <c r="F1744" s="1051" t="str">
        <f t="shared" si="202"/>
        <v>Gadidae 14 jours, biologique, France continentale, Base Carbone</v>
      </c>
      <c r="G1744" s="1055" t="str">
        <f t="shared" si="203"/>
        <v>Gadidae 14 jours, biologique, France continentale, Base Carbone; kgCO2e/kg de poids vif</v>
      </c>
      <c r="I1744" s="2018" t="s">
        <v>4186</v>
      </c>
      <c r="J1744" s="1135" t="s">
        <v>2136</v>
      </c>
      <c r="K1744" s="1119" t="s">
        <v>1567</v>
      </c>
      <c r="L1744" s="1135" t="s">
        <v>1571</v>
      </c>
      <c r="M1744" s="2038">
        <v>0.5</v>
      </c>
      <c r="N1744" s="1135" t="s">
        <v>4199</v>
      </c>
      <c r="O1744" s="1135">
        <v>3.31</v>
      </c>
      <c r="P1744" s="1135"/>
      <c r="Q1744" s="1135"/>
      <c r="R1744" s="1135"/>
      <c r="S1744" s="1135"/>
      <c r="T1744" s="1135"/>
      <c r="U1744" s="2041"/>
    </row>
    <row r="1745" spans="2:21" hidden="1" outlineLevel="2">
      <c r="B1745" s="1050">
        <v>7</v>
      </c>
      <c r="C1745" s="1050" t="str">
        <f t="shared" si="200"/>
        <v>Grande truite conventionnel, production à l'intérieur, France continentale, Base Carbone</v>
      </c>
      <c r="D1745" s="1051">
        <f t="shared" si="201"/>
        <v>7</v>
      </c>
      <c r="E1745" s="1051" t="str">
        <f>IF(COUNTIF(E$1738:E1744,F1745)&gt;0,"",F1745)</f>
        <v>Grande truite conventionnel, production à l'intérieur, France continentale, Base Carbone</v>
      </c>
      <c r="F1745" s="1051" t="str">
        <f t="shared" si="202"/>
        <v>Grande truite conventionnel, production à l'intérieur, France continentale, Base Carbone</v>
      </c>
      <c r="G1745" s="1055" t="str">
        <f t="shared" si="203"/>
        <v>Grande truite conventionnel, production à l'intérieur, France continentale, Base Carbone; kgCO2e/kg de poids vif</v>
      </c>
      <c r="I1745" s="2018" t="s">
        <v>2135</v>
      </c>
      <c r="J1745" s="1135" t="s">
        <v>2136</v>
      </c>
      <c r="K1745" s="1119" t="s">
        <v>1567</v>
      </c>
      <c r="L1745" s="1135" t="s">
        <v>1571</v>
      </c>
      <c r="M1745" s="2038">
        <v>0.5</v>
      </c>
      <c r="N1745" s="1135" t="s">
        <v>4178</v>
      </c>
      <c r="O1745" s="1135">
        <v>2.15</v>
      </c>
      <c r="P1745" s="1135"/>
      <c r="Q1745" s="1135"/>
      <c r="R1745" s="1135"/>
      <c r="S1745" s="1135"/>
      <c r="T1745" s="1135"/>
      <c r="U1745" s="2041"/>
    </row>
    <row r="1746" spans="2:21" hidden="1" outlineLevel="2">
      <c r="B1746" s="1050">
        <v>8</v>
      </c>
      <c r="C1746" s="1050" t="str">
        <f t="shared" si="200"/>
        <v>Hareng de l'Atlantique 14 jours, biologique, France continentale, Base Carbone</v>
      </c>
      <c r="D1746" s="1051">
        <f t="shared" si="201"/>
        <v>8</v>
      </c>
      <c r="E1746" s="1051" t="str">
        <f>IF(COUNTIF(E$1738:E1745,F1746)&gt;0,"",F1746)</f>
        <v>Hareng de l'Atlantique 14 jours, biologique, France continentale, Base Carbone</v>
      </c>
      <c r="F1746" s="1051" t="str">
        <f t="shared" si="202"/>
        <v>Hareng de l'Atlantique 14 jours, biologique, France continentale, Base Carbone</v>
      </c>
      <c r="G1746" s="1055" t="str">
        <f t="shared" si="203"/>
        <v>Hareng de l'Atlantique 14 jours, biologique, France continentale, Base Carbone; kgCO2e/kg de poids vif</v>
      </c>
      <c r="I1746" s="2018" t="s">
        <v>4187</v>
      </c>
      <c r="J1746" s="1135" t="s">
        <v>2136</v>
      </c>
      <c r="K1746" s="1119" t="s">
        <v>1567</v>
      </c>
      <c r="L1746" s="1135" t="s">
        <v>1571</v>
      </c>
      <c r="M1746" s="2038">
        <v>0.5</v>
      </c>
      <c r="N1746" s="1135" t="s">
        <v>4199</v>
      </c>
      <c r="O1746" s="1135">
        <v>0.52800000000000002</v>
      </c>
      <c r="P1746" s="1135"/>
      <c r="Q1746" s="1135"/>
      <c r="R1746" s="1135"/>
      <c r="S1746" s="1135"/>
      <c r="T1746" s="1135"/>
      <c r="U1746" s="2041"/>
    </row>
    <row r="1747" spans="2:21" hidden="1" outlineLevel="2">
      <c r="B1747" s="1050">
        <v>9</v>
      </c>
      <c r="C1747" s="1050" t="str">
        <f t="shared" si="200"/>
        <v>Lieu noir 14 jours, biologique, France continentale, Base Carbone</v>
      </c>
      <c r="D1747" s="1051">
        <f t="shared" si="201"/>
        <v>9</v>
      </c>
      <c r="E1747" s="1051" t="str">
        <f>IF(COUNTIF(E$1738:E1746,F1747)&gt;0,"",F1747)</f>
        <v>Lieu noir 14 jours, biologique, France continentale, Base Carbone</v>
      </c>
      <c r="F1747" s="1051" t="str">
        <f t="shared" si="202"/>
        <v>Lieu noir 14 jours, biologique, France continentale, Base Carbone</v>
      </c>
      <c r="G1747" s="1055" t="str">
        <f t="shared" si="203"/>
        <v>Lieu noir 14 jours, biologique, France continentale, Base Carbone; kgCO2e/kg de poids vif</v>
      </c>
      <c r="I1747" s="2018" t="s">
        <v>4188</v>
      </c>
      <c r="J1747" s="1135" t="s">
        <v>2136</v>
      </c>
      <c r="K1747" s="1119" t="s">
        <v>1567</v>
      </c>
      <c r="L1747" s="1135" t="s">
        <v>1571</v>
      </c>
      <c r="M1747" s="2038">
        <v>0.5</v>
      </c>
      <c r="N1747" s="1135" t="s">
        <v>4199</v>
      </c>
      <c r="O1747" s="1135">
        <v>4.3</v>
      </c>
      <c r="P1747" s="1135"/>
      <c r="Q1747" s="1135"/>
      <c r="R1747" s="1135"/>
      <c r="S1747" s="1135"/>
      <c r="T1747" s="1135"/>
      <c r="U1747" s="2041"/>
    </row>
    <row r="1748" spans="2:21" hidden="1" outlineLevel="2">
      <c r="B1748" s="1050">
        <v>10</v>
      </c>
      <c r="C1748" s="1050" t="str">
        <f t="shared" si="200"/>
        <v>Listao biologique, système n ° 1, France continentale, Base Carbone</v>
      </c>
      <c r="D1748" s="1051">
        <f t="shared" si="201"/>
        <v>10</v>
      </c>
      <c r="E1748" s="1051" t="str">
        <f>IF(COUNTIF(E$1738:E1747,F1748)&gt;0,"",F1748)</f>
        <v>Listao biologique, système n ° 1, France continentale, Base Carbone</v>
      </c>
      <c r="F1748" s="1051" t="str">
        <f t="shared" si="202"/>
        <v>Listao biologique, système n ° 1, France continentale, Base Carbone</v>
      </c>
      <c r="G1748" s="1055" t="str">
        <f t="shared" si="203"/>
        <v>Listao biologique, système n ° 1, France continentale, Base Carbone; kgCO2e/kg de poids vif</v>
      </c>
      <c r="I1748" s="2018" t="s">
        <v>4189</v>
      </c>
      <c r="J1748" s="1135" t="s">
        <v>2136</v>
      </c>
      <c r="K1748" s="1119" t="s">
        <v>1567</v>
      </c>
      <c r="L1748" s="1135" t="s">
        <v>1571</v>
      </c>
      <c r="M1748" s="2038">
        <v>0.5</v>
      </c>
      <c r="N1748" s="1135" t="s">
        <v>4173</v>
      </c>
      <c r="O1748" s="1135">
        <v>1.91</v>
      </c>
      <c r="P1748" s="1135"/>
      <c r="Q1748" s="1135"/>
      <c r="R1748" s="1135"/>
      <c r="S1748" s="1135"/>
      <c r="T1748" s="1135"/>
      <c r="U1748" s="2041"/>
    </row>
    <row r="1749" spans="2:21" hidden="1" outlineLevel="2">
      <c r="B1749" s="1050">
        <v>11</v>
      </c>
      <c r="C1749" s="1050" t="str">
        <f t="shared" si="200"/>
        <v>Maquereau Atlantique biologique, système laitier de plaine, maïs ensilé 5 à 10%, France continentale, Base Carbone</v>
      </c>
      <c r="D1749" s="1051">
        <f t="shared" si="201"/>
        <v>11</v>
      </c>
      <c r="E1749" s="1051" t="str">
        <f>IF(COUNTIF(E$1738:E1748,F1749)&gt;0,"",F1749)</f>
        <v>Maquereau Atlantique biologique, système laitier de plaine, maïs ensilé 5 à 10%, France continentale, Base Carbone</v>
      </c>
      <c r="F1749" s="1051" t="str">
        <f t="shared" si="202"/>
        <v>Maquereau Atlantique biologique, système laitier de plaine, maïs ensilé 5 à 10%, France continentale, Base Carbone</v>
      </c>
      <c r="G1749" s="1055" t="str">
        <f t="shared" si="203"/>
        <v>Maquereau Atlantique biologique, système laitier de plaine, maïs ensilé 5 à 10%, France continentale, Base Carbone; kgCO2e/kg de poids vif</v>
      </c>
      <c r="I1749" s="2018" t="s">
        <v>4190</v>
      </c>
      <c r="J1749" s="1135" t="s">
        <v>2136</v>
      </c>
      <c r="K1749" s="1119" t="s">
        <v>1567</v>
      </c>
      <c r="L1749" s="1135" t="s">
        <v>1571</v>
      </c>
      <c r="M1749" s="2038">
        <v>0.5</v>
      </c>
      <c r="N1749" s="1135" t="s">
        <v>4182</v>
      </c>
      <c r="O1749" s="1135">
        <v>0.53700000000000003</v>
      </c>
      <c r="P1749" s="1135"/>
      <c r="Q1749" s="1135"/>
      <c r="R1749" s="1135"/>
      <c r="S1749" s="1135"/>
      <c r="T1749" s="1135"/>
      <c r="U1749" s="2041"/>
    </row>
    <row r="1750" spans="2:21" hidden="1" outlineLevel="2">
      <c r="B1750" s="1050">
        <v>12</v>
      </c>
      <c r="C1750" s="1050" t="str">
        <f t="shared" si="200"/>
        <v>Moules conventionnel, 28% d'humidité, alimentaion animale, moyenne nationale, France continentale, Base Carbone</v>
      </c>
      <c r="D1750" s="1051">
        <f t="shared" si="201"/>
        <v>12</v>
      </c>
      <c r="E1750" s="1051" t="str">
        <f>IF(COUNTIF(E$1738:E1749,F1750)&gt;0,"",F1750)</f>
        <v>Moules conventionnel, 28% d'humidité, alimentaion animale, moyenne nationale, France continentale, Base Carbone</v>
      </c>
      <c r="F1750" s="1051" t="str">
        <f t="shared" si="202"/>
        <v>Moules conventionnel, 28% d'humidité, alimentaion animale, moyenne nationale, France continentale, Base Carbone</v>
      </c>
      <c r="G1750" s="1055" t="str">
        <f t="shared" si="203"/>
        <v>Moules conventionnel, 28% d'humidité, alimentaion animale, moyenne nationale, France continentale, Base Carbone; kgCO2e/kg de poids vif</v>
      </c>
      <c r="I1750" s="2018" t="s">
        <v>4191</v>
      </c>
      <c r="J1750" s="1135" t="s">
        <v>2136</v>
      </c>
      <c r="K1750" s="1119" t="s">
        <v>1567</v>
      </c>
      <c r="L1750" s="1135" t="s">
        <v>1571</v>
      </c>
      <c r="M1750" s="2038">
        <v>0.5</v>
      </c>
      <c r="N1750" s="1135" t="s">
        <v>4200</v>
      </c>
      <c r="O1750" s="1135">
        <v>0.45600000000000002</v>
      </c>
      <c r="P1750" s="1135"/>
      <c r="Q1750" s="1135"/>
      <c r="R1750" s="1135"/>
      <c r="S1750" s="1135"/>
      <c r="T1750" s="1135"/>
      <c r="U1750" s="2041"/>
    </row>
    <row r="1751" spans="2:21" hidden="1" outlineLevel="2">
      <c r="B1751" s="1050">
        <v>13</v>
      </c>
      <c r="C1751" s="1050" t="str">
        <f t="shared" si="200"/>
        <v>Petite truite conventionnel, moyenne nationale, aliments pour animaux, France continentale, Base Carbone</v>
      </c>
      <c r="D1751" s="1051">
        <f t="shared" si="201"/>
        <v>13</v>
      </c>
      <c r="E1751" s="1051" t="str">
        <f>IF(COUNTIF(E$1738:E1750,F1751)&gt;0,"",F1751)</f>
        <v>Petite truite conventionnel, moyenne nationale, aliments pour animaux, France continentale, Base Carbone</v>
      </c>
      <c r="F1751" s="1051" t="str">
        <f t="shared" si="202"/>
        <v>Petite truite conventionnel, moyenne nationale, aliments pour animaux, France continentale, Base Carbone</v>
      </c>
      <c r="G1751" s="1055" t="str">
        <f t="shared" si="203"/>
        <v>Petite truite conventionnel, moyenne nationale, aliments pour animaux, France continentale, Base Carbone; kgCO2e/kg de poids vif</v>
      </c>
      <c r="I1751" s="2018" t="s">
        <v>4192</v>
      </c>
      <c r="J1751" s="1135" t="s">
        <v>2136</v>
      </c>
      <c r="K1751" s="1119" t="s">
        <v>1567</v>
      </c>
      <c r="L1751" s="1135" t="s">
        <v>1571</v>
      </c>
      <c r="M1751" s="2038">
        <v>0.5</v>
      </c>
      <c r="N1751" s="1135" t="s">
        <v>4170</v>
      </c>
      <c r="O1751" s="1135">
        <v>1.75</v>
      </c>
      <c r="P1751" s="1135"/>
      <c r="Q1751" s="1135"/>
      <c r="R1751" s="1135"/>
      <c r="S1751" s="1135"/>
      <c r="T1751" s="1135"/>
      <c r="U1751" s="2041"/>
    </row>
    <row r="1752" spans="2:21" hidden="1" outlineLevel="2">
      <c r="B1752" s="1050">
        <v>14</v>
      </c>
      <c r="C1752" s="1050" t="str">
        <f t="shared" si="200"/>
        <v>Sardine européenne biologique, système n ° 2, France continentale, Base Carbone</v>
      </c>
      <c r="D1752" s="1051">
        <f t="shared" si="201"/>
        <v>14</v>
      </c>
      <c r="E1752" s="1051" t="str">
        <f>IF(COUNTIF(E$1738:E1751,F1752)&gt;0,"",F1752)</f>
        <v>Sardine européenne biologique, système n ° 2, France continentale, Base Carbone</v>
      </c>
      <c r="F1752" s="1051" t="str">
        <f t="shared" si="202"/>
        <v>Sardine européenne biologique, système n ° 2, France continentale, Base Carbone</v>
      </c>
      <c r="G1752" s="1055" t="str">
        <f t="shared" si="203"/>
        <v>Sardine européenne biologique, système n ° 2, France continentale, Base Carbone; kgCO2e/kg de poids vif</v>
      </c>
      <c r="I1752" s="2018" t="s">
        <v>4193</v>
      </c>
      <c r="J1752" s="1135" t="s">
        <v>2136</v>
      </c>
      <c r="K1752" s="1119" t="s">
        <v>1567</v>
      </c>
      <c r="L1752" s="1135" t="s">
        <v>1571</v>
      </c>
      <c r="M1752" s="2038">
        <v>0.5</v>
      </c>
      <c r="N1752" s="1135" t="s">
        <v>4174</v>
      </c>
      <c r="O1752" s="1135">
        <v>0.34499999999999997</v>
      </c>
      <c r="P1752" s="1135"/>
      <c r="Q1752" s="1135"/>
      <c r="R1752" s="1135"/>
      <c r="S1752" s="1135"/>
      <c r="T1752" s="1135"/>
      <c r="U1752" s="2041"/>
    </row>
    <row r="1753" spans="2:21" hidden="1" outlineLevel="2">
      <c r="B1753" s="1050">
        <v>15</v>
      </c>
      <c r="C1753" s="1050" t="str">
        <f t="shared" si="200"/>
        <v>Sole commune biologique, système n ° 2, France continentale, Base Carbone</v>
      </c>
      <c r="D1753" s="1051">
        <f t="shared" si="201"/>
        <v>15</v>
      </c>
      <c r="E1753" s="1051" t="str">
        <f>IF(COUNTIF(E$1738:E1752,F1753)&gt;0,"",F1753)</f>
        <v>Sole commune biologique, système n ° 2, France continentale, Base Carbone</v>
      </c>
      <c r="F1753" s="1051" t="str">
        <f t="shared" si="202"/>
        <v>Sole commune biologique, système n ° 2, France continentale, Base Carbone</v>
      </c>
      <c r="G1753" s="1055" t="str">
        <f t="shared" si="203"/>
        <v>Sole commune biologique, système n ° 2, France continentale, Base Carbone; kgCO2e/kg de poids vif</v>
      </c>
      <c r="I1753" s="2018" t="s">
        <v>4194</v>
      </c>
      <c r="J1753" s="1135" t="s">
        <v>2136</v>
      </c>
      <c r="K1753" s="1119" t="s">
        <v>1567</v>
      </c>
      <c r="L1753" s="1135" t="s">
        <v>1571</v>
      </c>
      <c r="M1753" s="2038">
        <v>0.5</v>
      </c>
      <c r="N1753" s="1135" t="s">
        <v>4174</v>
      </c>
      <c r="O1753" s="1135">
        <v>2.17</v>
      </c>
      <c r="P1753" s="1135"/>
      <c r="Q1753" s="1135"/>
      <c r="R1753" s="1135"/>
      <c r="S1753" s="1135"/>
      <c r="T1753" s="1135"/>
      <c r="U1753" s="2041"/>
    </row>
    <row r="1754" spans="2:21" hidden="1" outlineLevel="2">
      <c r="B1754" s="1050">
        <v>16</v>
      </c>
      <c r="C1754" s="1050" t="str">
        <f t="shared" si="200"/>
        <v>Thon Albacore biologique, système n ° 2, France continentale, Base Carbone</v>
      </c>
      <c r="D1754" s="1051">
        <f t="shared" si="201"/>
        <v>16</v>
      </c>
      <c r="E1754" s="1051" t="str">
        <f>IF(COUNTIF(E$1738:E1753,F1754)&gt;0,"",F1754)</f>
        <v>Thon Albacore biologique, système n ° 2, France continentale, Base Carbone</v>
      </c>
      <c r="F1754" s="1051" t="str">
        <f t="shared" si="202"/>
        <v>Thon Albacore biologique, système n ° 2, France continentale, Base Carbone</v>
      </c>
      <c r="G1754" s="1055" t="str">
        <f t="shared" si="203"/>
        <v>Thon Albacore biologique, système n ° 2, France continentale, Base Carbone; kgCO2e/kg de poids vif</v>
      </c>
      <c r="I1754" s="2018" t="s">
        <v>4195</v>
      </c>
      <c r="J1754" s="1135" t="s">
        <v>2136</v>
      </c>
      <c r="K1754" s="1119" t="s">
        <v>1567</v>
      </c>
      <c r="L1754" s="1135" t="s">
        <v>1571</v>
      </c>
      <c r="M1754" s="2038">
        <v>0.5</v>
      </c>
      <c r="N1754" s="1135" t="s">
        <v>4174</v>
      </c>
      <c r="O1754" s="1135">
        <v>1.92</v>
      </c>
      <c r="P1754" s="1135"/>
      <c r="Q1754" s="1135"/>
      <c r="R1754" s="1135"/>
      <c r="S1754" s="1135"/>
      <c r="T1754" s="1135"/>
      <c r="U1754" s="2041"/>
    </row>
    <row r="1755" spans="2:21" hidden="1" outlineLevel="2">
      <c r="B1755" s="1050">
        <v>17</v>
      </c>
      <c r="C1755" s="1050" t="str">
        <f t="shared" si="200"/>
        <v>Thon rouge biologique, système n ° 2, France continentale, Base Carbone</v>
      </c>
      <c r="D1755" s="1051">
        <f t="shared" si="201"/>
        <v>17</v>
      </c>
      <c r="E1755" s="1051" t="str">
        <f>IF(COUNTIF(E$1738:E1754,F1755)&gt;0,"",F1755)</f>
        <v>Thon rouge biologique, système n ° 2, France continentale, Base Carbone</v>
      </c>
      <c r="F1755" s="1051" t="str">
        <f t="shared" si="202"/>
        <v>Thon rouge biologique, système n ° 2, France continentale, Base Carbone</v>
      </c>
      <c r="G1755" s="1055" t="str">
        <f t="shared" si="203"/>
        <v>Thon rouge biologique, système n ° 2, France continentale, Base Carbone; kgCO2e/kg de poids vif</v>
      </c>
      <c r="I1755" s="2018" t="s">
        <v>4196</v>
      </c>
      <c r="J1755" s="1135" t="s">
        <v>2136</v>
      </c>
      <c r="K1755" s="1119" t="s">
        <v>1567</v>
      </c>
      <c r="L1755" s="1135" t="s">
        <v>1571</v>
      </c>
      <c r="M1755" s="2038">
        <v>0.5</v>
      </c>
      <c r="N1755" s="1135" t="s">
        <v>4174</v>
      </c>
      <c r="O1755" s="1135">
        <v>1.81</v>
      </c>
      <c r="P1755" s="1135"/>
      <c r="Q1755" s="1135"/>
      <c r="R1755" s="1135"/>
      <c r="S1755" s="1135"/>
      <c r="T1755" s="1135"/>
      <c r="U1755" s="2041"/>
    </row>
    <row r="1756" spans="2:21" hidden="1" outlineLevel="2">
      <c r="B1756" s="1050">
        <v>18</v>
      </c>
      <c r="C1756" s="1050" t="str">
        <f t="shared" si="200"/>
        <v>-</v>
      </c>
      <c r="D1756" s="1051">
        <f t="shared" si="201"/>
        <v>17</v>
      </c>
      <c r="E1756" s="1051" t="str">
        <f>IF(COUNTIF(E$1738:E1755,F1756)&gt;0,"",F1756)</f>
        <v/>
      </c>
      <c r="F1756" s="1051" t="str">
        <f t="shared" si="202"/>
        <v/>
      </c>
      <c r="G1756" s="1055" t="str">
        <f t="shared" si="203"/>
        <v/>
      </c>
      <c r="I1756" s="2018"/>
      <c r="J1756" s="1135"/>
      <c r="K1756" s="1119"/>
      <c r="L1756" s="1135"/>
      <c r="M1756" s="2038"/>
      <c r="N1756" s="1135"/>
      <c r="O1756" s="1135"/>
      <c r="P1756" s="1135"/>
      <c r="Q1756" s="1135"/>
      <c r="R1756" s="1135"/>
      <c r="S1756" s="1135"/>
      <c r="T1756" s="1135"/>
      <c r="U1756" s="2041"/>
    </row>
    <row r="1757" spans="2:21" hidden="1" outlineLevel="2">
      <c r="B1757" s="1050">
        <v>19</v>
      </c>
      <c r="C1757" s="1050" t="str">
        <f t="shared" si="200"/>
        <v>-</v>
      </c>
      <c r="D1757" s="1051">
        <f t="shared" si="201"/>
        <v>17</v>
      </c>
      <c r="E1757" s="1051" t="str">
        <f>IF(COUNTIF(E$1738:E1756,F1757)&gt;0,"",F1757)</f>
        <v/>
      </c>
      <c r="F1757" s="1051" t="str">
        <f t="shared" si="202"/>
        <v/>
      </c>
      <c r="G1757" s="1055" t="str">
        <f t="shared" si="203"/>
        <v/>
      </c>
      <c r="I1757" s="1100"/>
      <c r="J1757" s="1048"/>
      <c r="K1757" s="1119"/>
      <c r="L1757" s="1048"/>
      <c r="M1757" s="1033"/>
      <c r="N1757" s="1048"/>
      <c r="O1757" s="1048"/>
      <c r="P1757" s="1048"/>
      <c r="Q1757" s="1048"/>
      <c r="R1757" s="1048"/>
      <c r="S1757" s="1048"/>
      <c r="T1757" s="1048"/>
      <c r="U1757" s="1102"/>
    </row>
    <row r="1758" spans="2:21" hidden="1" outlineLevel="2">
      <c r="B1758" s="1050">
        <v>20</v>
      </c>
      <c r="C1758" s="1050" t="str">
        <f t="shared" si="200"/>
        <v>-</v>
      </c>
      <c r="D1758" s="1051">
        <f t="shared" si="201"/>
        <v>17</v>
      </c>
      <c r="E1758" s="1051" t="str">
        <f>IF(COUNTIF(E$1738:E1757,F1758)&gt;0,"",F1758)</f>
        <v/>
      </c>
      <c r="F1758" s="1051" t="str">
        <f t="shared" si="202"/>
        <v/>
      </c>
      <c r="G1758" s="1055" t="str">
        <f t="shared" si="203"/>
        <v/>
      </c>
      <c r="I1758" s="1100"/>
      <c r="J1758" s="1048"/>
      <c r="K1758" s="1119"/>
      <c r="L1758" s="1048"/>
      <c r="M1758" s="1033"/>
      <c r="N1758" s="1048"/>
      <c r="O1758" s="1048"/>
      <c r="P1758" s="1048"/>
      <c r="Q1758" s="1048"/>
      <c r="R1758" s="1048"/>
      <c r="S1758" s="1048"/>
      <c r="T1758" s="1048"/>
      <c r="U1758" s="1102"/>
    </row>
    <row r="1759" spans="2:21" hidden="1" outlineLevel="2">
      <c r="B1759" s="1050">
        <v>21</v>
      </c>
      <c r="C1759" s="1050" t="str">
        <f t="shared" si="200"/>
        <v>-</v>
      </c>
      <c r="D1759" s="1051">
        <f t="shared" si="201"/>
        <v>17</v>
      </c>
      <c r="E1759" s="1051" t="str">
        <f>IF(COUNTIF(E$1738:E1758,F1759)&gt;0,"",F1759)</f>
        <v/>
      </c>
      <c r="F1759" s="1051" t="str">
        <f t="shared" si="202"/>
        <v/>
      </c>
      <c r="G1759" s="1055" t="str">
        <f t="shared" si="203"/>
        <v/>
      </c>
      <c r="I1759" s="1100"/>
      <c r="J1759" s="1048"/>
      <c r="K1759" s="1048"/>
      <c r="L1759" s="1048"/>
      <c r="M1759" s="1048"/>
      <c r="N1759" s="1048"/>
      <c r="O1759" s="1048"/>
      <c r="P1759" s="1048"/>
      <c r="Q1759" s="1048"/>
      <c r="R1759" s="1048"/>
      <c r="S1759" s="1048"/>
      <c r="T1759" s="1048"/>
      <c r="U1759" s="1102"/>
    </row>
    <row r="1760" spans="2:21" hidden="1" outlineLevel="1">
      <c r="I1760" s="1711"/>
      <c r="J1760" s="1712"/>
      <c r="K1760" s="1712"/>
      <c r="L1760" s="1712"/>
      <c r="M1760" s="1712"/>
      <c r="N1760" s="1712"/>
      <c r="O1760" s="1712"/>
      <c r="P1760" s="1712"/>
      <c r="Q1760" s="1712"/>
      <c r="R1760" s="1712"/>
      <c r="S1760" s="1712"/>
      <c r="T1760" s="1712"/>
      <c r="U1760" s="1714"/>
    </row>
    <row r="1761" spans="2:21" s="1045" customFormat="1" ht="12.75" hidden="1" customHeight="1" outlineLevel="1" collapsed="1">
      <c r="B1761" s="3156" t="s">
        <v>2140</v>
      </c>
      <c r="C1761" s="3156"/>
      <c r="D1761" s="1051">
        <v>0</v>
      </c>
      <c r="E1761" s="1051"/>
      <c r="F1761" s="1051"/>
      <c r="G1761" s="1054"/>
      <c r="H1761" s="1046"/>
      <c r="I1761" s="1746"/>
      <c r="J1761" s="1742"/>
      <c r="K1761" s="1743"/>
      <c r="L1761" s="1743"/>
      <c r="M1761" s="1744"/>
      <c r="N1761" s="1742"/>
      <c r="O1761" s="1745"/>
      <c r="P1761" s="1743"/>
      <c r="Q1761" s="1743"/>
      <c r="R1761" s="1745"/>
      <c r="S1761" s="1745"/>
      <c r="T1761" s="1743"/>
      <c r="U1761" s="1747"/>
    </row>
    <row r="1762" spans="2:21" hidden="1" outlineLevel="2">
      <c r="B1762" s="1050">
        <v>1</v>
      </c>
      <c r="C1762" s="1050" t="str">
        <f t="shared" ref="C1762:C1793" si="204">IF(ISNA(VLOOKUP(B1762,$D$1761:$E$1853,2,FALSE)),"-",VLOOKUP(B1762,$D$1761:$E$1853,2,FALSE))</f>
        <v>Ananas MedSea, palangre, moyenne, sur le site de production, France continentale, Pays de la Loire, Base Carbone</v>
      </c>
      <c r="D1762" s="1051">
        <f>D1761+IF(LEN(E1762)&gt;0,1,0)</f>
        <v>1</v>
      </c>
      <c r="E1762" s="1051" t="str">
        <f>IF(COUNTIF(E$1761:E1761,F1762)&gt;0,"",F1762)</f>
        <v>Ananas MedSea, palangre, moyenne, sur le site de production, France continentale, Pays de la Loire, Base Carbone</v>
      </c>
      <c r="F1762" s="1051" t="str">
        <f>IF(I1762&lt;&gt;"",I1762&amp;IF(N1762&lt;&gt;""," "&amp;N1762,)&amp;IF(L1762&lt;&gt;"",", "&amp;L1762,"")&amp;IF(K1762&lt;&gt;"",", "&amp;K1762,""),"")</f>
        <v>Ananas MedSea, palangre, moyenne, sur le site de production, France continentale, Pays de la Loire, Base Carbone</v>
      </c>
      <c r="G1762" s="1055" t="str">
        <f>IF(F1762&lt;&gt;"",F1762&amp;IF(J1762&lt;&gt;"","; "&amp;J1762,""),"")</f>
        <v>Ananas MedSea, palangre, moyenne, sur le site de production, France continentale, Pays de la Loire, Base Carbone; kgCO2e/kg</v>
      </c>
      <c r="I1762" s="2018" t="s">
        <v>2141</v>
      </c>
      <c r="J1762" s="1135" t="s">
        <v>1572</v>
      </c>
      <c r="K1762" s="1119" t="s">
        <v>1567</v>
      </c>
      <c r="L1762" s="1135" t="s">
        <v>2150</v>
      </c>
      <c r="M1762" s="2038">
        <v>0.5</v>
      </c>
      <c r="N1762" s="1135" t="s">
        <v>4228</v>
      </c>
      <c r="O1762" s="1135">
        <v>0.33400000000000002</v>
      </c>
      <c r="P1762" s="1135"/>
      <c r="Q1762" s="1135"/>
      <c r="R1762" s="1135"/>
      <c r="S1762" s="1135"/>
      <c r="T1762" s="1135"/>
      <c r="U1762" s="2041"/>
    </row>
    <row r="1763" spans="2:21" hidden="1" outlineLevel="2">
      <c r="B1763" s="1050">
        <v>2</v>
      </c>
      <c r="C1763" s="1050" t="str">
        <f t="shared" si="204"/>
        <v>Arbuste Potted prairie permanente, avec trèfle, région du Nord-Ouest, sortie de ferme, France continentale, Pays de la Loire, Base Carbone</v>
      </c>
      <c r="D1763" s="1051">
        <f t="shared" ref="D1763:D1826" si="205">D1762+IF(LEN(E1763)&gt;0,1,0)</f>
        <v>2</v>
      </c>
      <c r="E1763" s="1051" t="str">
        <f>IF(COUNTIF(E$1761:E1762,F1763)&gt;0,"",F1763)</f>
        <v>Arbuste Potted prairie permanente, avec trèfle, région du Nord-Ouest, sortie de ferme, France continentale, Pays de la Loire, Base Carbone</v>
      </c>
      <c r="F1763" s="1051" t="str">
        <f t="shared" ref="F1763:F1826" si="206">IF(I1763&lt;&gt;"",I1763&amp;IF(N1763&lt;&gt;""," "&amp;N1763,)&amp;IF(L1763&lt;&gt;"",", "&amp;L1763,"")&amp;IF(K1763&lt;&gt;"",", "&amp;K1763,""),"")</f>
        <v>Arbuste Potted prairie permanente, avec trèfle, région du Nord-Ouest, sortie de ferme, France continentale, Pays de la Loire, Base Carbone</v>
      </c>
      <c r="G1763" s="1055" t="str">
        <f t="shared" ref="G1763:G1826" si="207">IF(F1763&lt;&gt;"",F1763&amp;IF(J1763&lt;&gt;"","; "&amp;J1763,""),"")</f>
        <v>Arbuste Potted prairie permanente, avec trèfle, région du Nord-Ouest, sortie de ferme, France continentale, Pays de la Loire, Base Carbone; kgCO2e/kg</v>
      </c>
      <c r="I1763" s="2018" t="s">
        <v>4201</v>
      </c>
      <c r="J1763" s="1135" t="s">
        <v>1572</v>
      </c>
      <c r="K1763" s="1119" t="s">
        <v>1567</v>
      </c>
      <c r="L1763" s="1135" t="s">
        <v>2150</v>
      </c>
      <c r="M1763" s="2038">
        <v>0.5</v>
      </c>
      <c r="N1763" s="1135" t="s">
        <v>4229</v>
      </c>
      <c r="O1763" s="1135">
        <v>1</v>
      </c>
      <c r="P1763" s="1135"/>
      <c r="Q1763" s="1135"/>
      <c r="R1763" s="1135"/>
      <c r="S1763" s="1135"/>
      <c r="T1763" s="1135"/>
      <c r="U1763" s="2041"/>
    </row>
    <row r="1764" spans="2:21" hidden="1" outlineLevel="2">
      <c r="B1764" s="1050">
        <v>3</v>
      </c>
      <c r="C1764" s="1050" t="str">
        <f t="shared" si="204"/>
        <v>Avoine conventionnel, moyenne nationale, pour alimentation animale, sortie de ferme, France continentale, Base Carbone</v>
      </c>
      <c r="D1764" s="1051">
        <f t="shared" si="205"/>
        <v>3</v>
      </c>
      <c r="E1764" s="1051" t="str">
        <f>IF(COUNTIF(E$1761:E1763,F1764)&gt;0,"",F1764)</f>
        <v>Avoine conventionnel, moyenne nationale, pour alimentation animale, sortie de ferme, France continentale, Base Carbone</v>
      </c>
      <c r="F1764" s="1051" t="str">
        <f t="shared" si="206"/>
        <v>Avoine conventionnel, moyenne nationale, pour alimentation animale, sortie de ferme, France continentale, Base Carbone</v>
      </c>
      <c r="G1764" s="1055" t="str">
        <f t="shared" si="207"/>
        <v>Avoine conventionnel, moyenne nationale, pour alimentation animale, sortie de ferme, France continentale, Base Carbone; kgCO2e/kg</v>
      </c>
      <c r="I1764" s="2018" t="s">
        <v>4202</v>
      </c>
      <c r="J1764" s="1135" t="s">
        <v>1572</v>
      </c>
      <c r="K1764" s="1119" t="s">
        <v>1567</v>
      </c>
      <c r="L1764" s="1135" t="s">
        <v>1571</v>
      </c>
      <c r="M1764" s="2038">
        <v>0.5</v>
      </c>
      <c r="N1764" s="1135" t="s">
        <v>4230</v>
      </c>
      <c r="O1764" s="1135">
        <v>0.36799999999999999</v>
      </c>
      <c r="P1764" s="1135"/>
      <c r="Q1764" s="1135"/>
      <c r="R1764" s="1135"/>
      <c r="S1764" s="1135"/>
      <c r="T1764" s="1135"/>
      <c r="U1764" s="2041"/>
    </row>
    <row r="1765" spans="2:21" hidden="1" outlineLevel="2">
      <c r="B1765" s="1050">
        <v>4</v>
      </c>
      <c r="C1765" s="1050" t="str">
        <f t="shared" si="204"/>
        <v>Banane prairie permanente, sans trèfle, Auvergne, sortie de ferme, France continentale, Base Carbone</v>
      </c>
      <c r="D1765" s="1051">
        <f t="shared" si="205"/>
        <v>4</v>
      </c>
      <c r="E1765" s="1051" t="str">
        <f>IF(COUNTIF(E$1761:E1764,F1765)&gt;0,"",F1765)</f>
        <v>Banane prairie permanente, sans trèfle, Auvergne, sortie de ferme, France continentale, Base Carbone</v>
      </c>
      <c r="F1765" s="1051" t="str">
        <f t="shared" si="206"/>
        <v>Banane prairie permanente, sans trèfle, Auvergne, sortie de ferme, France continentale, Base Carbone</v>
      </c>
      <c r="G1765" s="1055" t="str">
        <f t="shared" si="207"/>
        <v>Banane prairie permanente, sans trèfle, Auvergne, sortie de ferme, France continentale, Base Carbone; kgCO2e/kg</v>
      </c>
      <c r="I1765" s="2018" t="s">
        <v>2121</v>
      </c>
      <c r="J1765" s="1135" t="s">
        <v>1572</v>
      </c>
      <c r="K1765" s="1119" t="s">
        <v>1567</v>
      </c>
      <c r="L1765" s="1135" t="s">
        <v>1571</v>
      </c>
      <c r="M1765" s="2038">
        <v>0.5</v>
      </c>
      <c r="N1765" s="1135" t="s">
        <v>4231</v>
      </c>
      <c r="O1765" s="1135">
        <v>0.22500000000000001</v>
      </c>
      <c r="P1765" s="1135"/>
      <c r="Q1765" s="1135"/>
      <c r="R1765" s="1135"/>
      <c r="S1765" s="1135"/>
      <c r="T1765" s="1135"/>
      <c r="U1765" s="2041"/>
    </row>
    <row r="1766" spans="2:21" hidden="1" outlineLevel="2">
      <c r="B1766" s="1050">
        <v>5</v>
      </c>
      <c r="C1766" s="1050" t="str">
        <f t="shared" si="204"/>
        <v>Betteraves de l'association de cultures, biologique, système n ° 2, sortie de ferme, France continentale, Base Carbone</v>
      </c>
      <c r="D1766" s="1051">
        <f t="shared" si="205"/>
        <v>5</v>
      </c>
      <c r="E1766" s="1051" t="str">
        <f>IF(COUNTIF(E$1761:E1765,F1766)&gt;0,"",F1766)</f>
        <v>Betteraves de l'association de cultures, biologique, système n ° 2, sortie de ferme, France continentale, Base Carbone</v>
      </c>
      <c r="F1766" s="1051" t="str">
        <f t="shared" si="206"/>
        <v>Betteraves de l'association de cultures, biologique, système n ° 2, sortie de ferme, France continentale, Base Carbone</v>
      </c>
      <c r="G1766" s="1055" t="str">
        <f t="shared" si="207"/>
        <v>Betteraves de l'association de cultures, biologique, système n ° 2, sortie de ferme, France continentale, Base Carbone; kgCO2e/kg</v>
      </c>
      <c r="I1766" s="2018" t="s">
        <v>4203</v>
      </c>
      <c r="J1766" s="1135" t="s">
        <v>1572</v>
      </c>
      <c r="K1766" s="1119" t="s">
        <v>1567</v>
      </c>
      <c r="L1766" s="1135" t="s">
        <v>1571</v>
      </c>
      <c r="M1766" s="2038">
        <v>0.5</v>
      </c>
      <c r="N1766" s="1135" t="s">
        <v>4232</v>
      </c>
      <c r="O1766" s="1135">
        <v>2.86E-2</v>
      </c>
      <c r="P1766" s="1135"/>
      <c r="Q1766" s="1135"/>
      <c r="R1766" s="1135"/>
      <c r="S1766" s="1135"/>
      <c r="T1766" s="1135"/>
      <c r="U1766" s="2041"/>
    </row>
    <row r="1767" spans="2:21" hidden="1" outlineLevel="2">
      <c r="B1767" s="1050">
        <v>6</v>
      </c>
      <c r="C1767" s="1050" t="str">
        <f t="shared" si="204"/>
        <v>Blé d'hiver biologique, système n°11, sortie de ferme, France continentale, Centre, Base Carbone</v>
      </c>
      <c r="D1767" s="1051">
        <f t="shared" si="205"/>
        <v>6</v>
      </c>
      <c r="E1767" s="1051" t="str">
        <f>IF(COUNTIF(E$1761:E1766,F1767)&gt;0,"",F1767)</f>
        <v>Blé d'hiver biologique, système n°11, sortie de ferme, France continentale, Centre, Base Carbone</v>
      </c>
      <c r="F1767" s="1051" t="str">
        <f t="shared" si="206"/>
        <v>Blé d'hiver biologique, système n°11, sortie de ferme, France continentale, Centre, Base Carbone</v>
      </c>
      <c r="G1767" s="1055" t="str">
        <f t="shared" si="207"/>
        <v>Blé d'hiver biologique, système n°11, sortie de ferme, France continentale, Centre, Base Carbone; kgCO2e/kg</v>
      </c>
      <c r="I1767" s="2018" t="s">
        <v>4204</v>
      </c>
      <c r="J1767" s="1135" t="s">
        <v>1572</v>
      </c>
      <c r="K1767" s="1119" t="s">
        <v>1567</v>
      </c>
      <c r="L1767" s="1135" t="s">
        <v>2151</v>
      </c>
      <c r="M1767" s="2038">
        <v>0.5</v>
      </c>
      <c r="N1767" s="1135" t="s">
        <v>4755</v>
      </c>
      <c r="O1767" s="1135">
        <v>0.44900000000000001</v>
      </c>
      <c r="P1767" s="1135"/>
      <c r="Q1767" s="1135"/>
      <c r="R1767" s="1135"/>
      <c r="S1767" s="1135"/>
      <c r="T1767" s="1135"/>
      <c r="U1767" s="2041"/>
    </row>
    <row r="1768" spans="2:21" hidden="1" outlineLevel="2">
      <c r="B1768" s="1050">
        <v>7</v>
      </c>
      <c r="C1768" s="1050" t="str">
        <f t="shared" si="204"/>
        <v>Blé de printemps biologique, système n ° 1, sortie de ferme, France continentale, Centre, Base Carbone</v>
      </c>
      <c r="D1768" s="1051">
        <f t="shared" si="205"/>
        <v>7</v>
      </c>
      <c r="E1768" s="1051" t="str">
        <f>IF(COUNTIF(E$1761:E1767,F1768)&gt;0,"",F1768)</f>
        <v>Blé de printemps biologique, système n ° 1, sortie de ferme, France continentale, Centre, Base Carbone</v>
      </c>
      <c r="F1768" s="1051" t="str">
        <f t="shared" si="206"/>
        <v>Blé de printemps biologique, système n ° 1, sortie de ferme, France continentale, Centre, Base Carbone</v>
      </c>
      <c r="G1768" s="1055" t="str">
        <f t="shared" si="207"/>
        <v>Blé de printemps biologique, système n ° 1, sortie de ferme, France continentale, Centre, Base Carbone; kgCO2e/kg</v>
      </c>
      <c r="I1768" s="2018" t="s">
        <v>4205</v>
      </c>
      <c r="J1768" s="1135" t="s">
        <v>1572</v>
      </c>
      <c r="K1768" s="1119" t="s">
        <v>1567</v>
      </c>
      <c r="L1768" s="1135" t="s">
        <v>2151</v>
      </c>
      <c r="M1768" s="2038">
        <v>0.5</v>
      </c>
      <c r="N1768" s="1135" t="s">
        <v>4233</v>
      </c>
      <c r="O1768" s="1135">
        <v>0.82199999999999995</v>
      </c>
      <c r="P1768" s="1135"/>
      <c r="Q1768" s="1135"/>
      <c r="R1768" s="1135"/>
      <c r="S1768" s="1135"/>
      <c r="T1768" s="1135"/>
      <c r="U1768" s="2041"/>
    </row>
    <row r="1769" spans="2:21" hidden="1" outlineLevel="2">
      <c r="B1769" s="1050">
        <v>8</v>
      </c>
      <c r="C1769" s="1050" t="str">
        <f t="shared" si="204"/>
        <v>Blé dur hors-sol, faible chauffé, lutte ravageur intégrée, sortie de ferme, France continentale, Base Carbone</v>
      </c>
      <c r="D1769" s="1051">
        <f t="shared" si="205"/>
        <v>8</v>
      </c>
      <c r="E1769" s="1051" t="str">
        <f>IF(COUNTIF(E$1761:E1768,F1769)&gt;0,"",F1769)</f>
        <v>Blé dur hors-sol, faible chauffé, lutte ravageur intégrée, sortie de ferme, France continentale, Base Carbone</v>
      </c>
      <c r="F1769" s="1051" t="str">
        <f t="shared" si="206"/>
        <v>Blé dur hors-sol, faible chauffé, lutte ravageur intégrée, sortie de ferme, France continentale, Base Carbone</v>
      </c>
      <c r="G1769" s="1055" t="str">
        <f t="shared" si="207"/>
        <v>Blé dur hors-sol, faible chauffé, lutte ravageur intégrée, sortie de ferme, France continentale, Base Carbone; kgCO2e/kg</v>
      </c>
      <c r="I1769" s="2018" t="s">
        <v>394</v>
      </c>
      <c r="J1769" s="1135" t="s">
        <v>1572</v>
      </c>
      <c r="K1769" s="1119" t="s">
        <v>1567</v>
      </c>
      <c r="L1769" s="1135" t="s">
        <v>1571</v>
      </c>
      <c r="M1769" s="2038">
        <v>0.5</v>
      </c>
      <c r="N1769" s="1135" t="s">
        <v>4234</v>
      </c>
      <c r="O1769" s="1135">
        <v>0.43099999999999999</v>
      </c>
      <c r="P1769" s="1135"/>
      <c r="Q1769" s="1135"/>
      <c r="R1769" s="1135"/>
      <c r="S1769" s="1135"/>
      <c r="T1769" s="1135"/>
      <c r="U1769" s="2041"/>
    </row>
    <row r="1770" spans="2:21" hidden="1" outlineLevel="2">
      <c r="B1770" s="1050">
        <v>9</v>
      </c>
      <c r="C1770" s="1050" t="str">
        <f t="shared" si="204"/>
        <v>Blé tendre conventionnel, mélange de variétés, moyenne nationale, sortie de ferme, France continentale, Base Carbone</v>
      </c>
      <c r="D1770" s="1051">
        <f t="shared" si="205"/>
        <v>9</v>
      </c>
      <c r="E1770" s="1051" t="str">
        <f>IF(COUNTIF(E$1761:E1769,F1770)&gt;0,"",F1770)</f>
        <v>Blé tendre conventionnel, mélange de variétés, moyenne nationale, sortie de ferme, France continentale, Base Carbone</v>
      </c>
      <c r="F1770" s="1051" t="str">
        <f t="shared" si="206"/>
        <v>Blé tendre conventionnel, mélange de variétés, moyenne nationale, sortie de ferme, France continentale, Base Carbone</v>
      </c>
      <c r="G1770" s="1055" t="str">
        <f t="shared" si="207"/>
        <v>Blé tendre conventionnel, mélange de variétés, moyenne nationale, sortie de ferme, France continentale, Base Carbone; kgCO2e/kg</v>
      </c>
      <c r="I1770" s="2018" t="s">
        <v>395</v>
      </c>
      <c r="J1770" s="1135" t="s">
        <v>1572</v>
      </c>
      <c r="K1770" s="1119" t="s">
        <v>1567</v>
      </c>
      <c r="L1770" s="1135" t="s">
        <v>1571</v>
      </c>
      <c r="M1770" s="2038">
        <v>0.5</v>
      </c>
      <c r="N1770" s="1135" t="s">
        <v>4235</v>
      </c>
      <c r="O1770" s="1135">
        <v>0.311</v>
      </c>
      <c r="P1770" s="1135"/>
      <c r="Q1770" s="1135"/>
      <c r="R1770" s="1135"/>
      <c r="S1770" s="1135"/>
      <c r="T1770" s="1135"/>
      <c r="U1770" s="2041"/>
    </row>
    <row r="1771" spans="2:21" hidden="1" outlineLevel="2">
      <c r="B1771" s="1050">
        <v>10</v>
      </c>
      <c r="C1771" s="1050" t="str">
        <f t="shared" si="204"/>
        <v>Cacao conventionnel, moyenne nationale, aliments pour animaux, au verger, Autre pays du monde, Brésil, Etat de Bahia, Base Carbone</v>
      </c>
      <c r="D1771" s="1051">
        <f t="shared" si="205"/>
        <v>10</v>
      </c>
      <c r="E1771" s="1051" t="str">
        <f>IF(COUNTIF(E$1761:E1770,F1771)&gt;0,"",F1771)</f>
        <v>Cacao conventionnel, moyenne nationale, aliments pour animaux, au verger, Autre pays du monde, Brésil, Etat de Bahia, Base Carbone</v>
      </c>
      <c r="F1771" s="1051" t="str">
        <f t="shared" si="206"/>
        <v>Cacao conventionnel, moyenne nationale, aliments pour animaux, au verger, Autre pays du monde, Brésil, Etat de Bahia, Base Carbone</v>
      </c>
      <c r="G1771" s="1055" t="str">
        <f t="shared" si="207"/>
        <v>Cacao conventionnel, moyenne nationale, aliments pour animaux, au verger, Autre pays du monde, Brésil, Etat de Bahia, Base Carbone; kgCO2e/kg</v>
      </c>
      <c r="I1771" s="2018" t="s">
        <v>2142</v>
      </c>
      <c r="J1771" s="1135" t="s">
        <v>1572</v>
      </c>
      <c r="K1771" s="1119" t="s">
        <v>1567</v>
      </c>
      <c r="L1771" s="1135" t="s">
        <v>2152</v>
      </c>
      <c r="M1771" s="2038">
        <v>0.5</v>
      </c>
      <c r="N1771" s="1135" t="s">
        <v>4236</v>
      </c>
      <c r="O1771" s="1135">
        <v>3.14</v>
      </c>
      <c r="P1771" s="1135"/>
      <c r="Q1771" s="1135"/>
      <c r="R1771" s="1135"/>
      <c r="S1771" s="1135"/>
      <c r="T1771" s="1135"/>
      <c r="U1771" s="2041"/>
    </row>
    <row r="1772" spans="2:21" hidden="1" outlineLevel="2">
      <c r="B1772" s="1050">
        <v>11</v>
      </c>
      <c r="C1772" s="1050" t="str">
        <f t="shared" si="204"/>
        <v>Carotte biologique, sortie de ferme, Autre pays du monde, Brésil, Etat de Minas Gerais, Base Carbone</v>
      </c>
      <c r="D1772" s="1051">
        <f t="shared" si="205"/>
        <v>11</v>
      </c>
      <c r="E1772" s="1051" t="str">
        <f>IF(COUNTIF(E$1761:E1771,F1772)&gt;0,"",F1772)</f>
        <v>Carotte biologique, sortie de ferme, Autre pays du monde, Brésil, Etat de Minas Gerais, Base Carbone</v>
      </c>
      <c r="F1772" s="1051" t="str">
        <f t="shared" si="206"/>
        <v>Carotte biologique, sortie de ferme, Autre pays du monde, Brésil, Etat de Minas Gerais, Base Carbone</v>
      </c>
      <c r="G1772" s="1055" t="str">
        <f t="shared" si="207"/>
        <v>Carotte biologique, sortie de ferme, Autre pays du monde, Brésil, Etat de Minas Gerais, Base Carbone; kgCO2e/kg</v>
      </c>
      <c r="I1772" s="2018" t="s">
        <v>2122</v>
      </c>
      <c r="J1772" s="1135" t="s">
        <v>1572</v>
      </c>
      <c r="K1772" s="1119" t="s">
        <v>1567</v>
      </c>
      <c r="L1772" s="1135" t="s">
        <v>2153</v>
      </c>
      <c r="M1772" s="2038">
        <v>0.5</v>
      </c>
      <c r="N1772" s="1135" t="s">
        <v>4237</v>
      </c>
      <c r="O1772" s="1135">
        <v>9.2100000000000001E-2</v>
      </c>
      <c r="P1772" s="1135"/>
      <c r="Q1772" s="1135"/>
      <c r="R1772" s="1135"/>
      <c r="S1772" s="1135"/>
      <c r="T1772" s="1135"/>
      <c r="U1772" s="2041"/>
    </row>
    <row r="1773" spans="2:21" hidden="1" outlineLevel="2">
      <c r="B1773" s="1050">
        <v>12</v>
      </c>
      <c r="C1773" s="1050" t="str">
        <f t="shared" si="204"/>
        <v>Carotte prairie permanente, biologique, système n ° 2, sortie de ferme, France continentale, Basse Normandie), Base Carbone</v>
      </c>
      <c r="D1773" s="1051">
        <f t="shared" si="205"/>
        <v>12</v>
      </c>
      <c r="E1773" s="1051" t="str">
        <f>IF(COUNTIF(E$1761:E1772,F1773)&gt;0,"",F1773)</f>
        <v>Carotte prairie permanente, biologique, système n ° 2, sortie de ferme, France continentale, Basse Normandie), Base Carbone</v>
      </c>
      <c r="F1773" s="1051" t="str">
        <f t="shared" si="206"/>
        <v>Carotte prairie permanente, biologique, système n ° 2, sortie de ferme, France continentale, Basse Normandie), Base Carbone</v>
      </c>
      <c r="G1773" s="1055" t="str">
        <f t="shared" si="207"/>
        <v>Carotte prairie permanente, biologique, système n ° 2, sortie de ferme, France continentale, Basse Normandie), Base Carbone; kgCO2e/kg</v>
      </c>
      <c r="I1773" s="2018" t="s">
        <v>2122</v>
      </c>
      <c r="J1773" s="1135" t="s">
        <v>1572</v>
      </c>
      <c r="K1773" s="1119" t="s">
        <v>1567</v>
      </c>
      <c r="L1773" s="1135" t="s">
        <v>2154</v>
      </c>
      <c r="M1773" s="2038">
        <v>0.5</v>
      </c>
      <c r="N1773" s="1135" t="s">
        <v>4238</v>
      </c>
      <c r="O1773" s="1135">
        <v>6.3100000000000003E-2</v>
      </c>
      <c r="P1773" s="1135"/>
      <c r="Q1773" s="1135"/>
      <c r="R1773" s="1135"/>
      <c r="S1773" s="1135"/>
      <c r="T1773" s="1135"/>
      <c r="U1773" s="2041"/>
    </row>
    <row r="1774" spans="2:21" hidden="1" outlineLevel="2">
      <c r="B1774" s="1050">
        <v>13</v>
      </c>
      <c r="C1774" s="1050" t="str">
        <f t="shared" si="204"/>
        <v>Cerise prairie permanente, sans trèfle, région du Nord-Ouest, au verger, France continentale, Basse Normandie, Base Carbone</v>
      </c>
      <c r="D1774" s="1051">
        <f t="shared" si="205"/>
        <v>13</v>
      </c>
      <c r="E1774" s="1051" t="str">
        <f>IF(COUNTIF(E$1761:E1773,F1774)&gt;0,"",F1774)</f>
        <v>Cerise prairie permanente, sans trèfle, région du Nord-Ouest, au verger, France continentale, Basse Normandie, Base Carbone</v>
      </c>
      <c r="F1774" s="1051" t="str">
        <f t="shared" si="206"/>
        <v>Cerise prairie permanente, sans trèfle, région du Nord-Ouest, au verger, France continentale, Basse Normandie, Base Carbone</v>
      </c>
      <c r="G1774" s="1055" t="str">
        <f t="shared" si="207"/>
        <v>Cerise prairie permanente, sans trèfle, région du Nord-Ouest, au verger, France continentale, Basse Normandie, Base Carbone; kgCO2e/kg</v>
      </c>
      <c r="I1774" s="2018" t="s">
        <v>2123</v>
      </c>
      <c r="J1774" s="1135" t="s">
        <v>1572</v>
      </c>
      <c r="K1774" s="1119" t="s">
        <v>1567</v>
      </c>
      <c r="L1774" s="1135" t="s">
        <v>2155</v>
      </c>
      <c r="M1774" s="2038">
        <v>0.5</v>
      </c>
      <c r="N1774" s="1135" t="s">
        <v>4239</v>
      </c>
      <c r="O1774" s="1135">
        <v>0.43</v>
      </c>
      <c r="P1774" s="1135"/>
      <c r="Q1774" s="1135"/>
      <c r="R1774" s="1135"/>
      <c r="S1774" s="1135"/>
      <c r="T1774" s="1135"/>
      <c r="U1774" s="2041"/>
    </row>
    <row r="1775" spans="2:21" hidden="1" outlineLevel="2">
      <c r="B1775" s="1050">
        <v>14</v>
      </c>
      <c r="C1775" s="1050" t="str">
        <f t="shared" si="204"/>
        <v>Chanvre fruit, avec déforestation sur des terres récemment transformé, pour alimentation animale, sortie de ferme, Autre pays du monde, Maroc (Region Souss), Base Carbone</v>
      </c>
      <c r="D1775" s="1051">
        <f t="shared" si="205"/>
        <v>14</v>
      </c>
      <c r="E1775" s="1051" t="str">
        <f>IF(COUNTIF(E$1761:E1774,F1775)&gt;0,"",F1775)</f>
        <v>Chanvre fruit, avec déforestation sur des terres récemment transformé, pour alimentation animale, sortie de ferme, Autre pays du monde, Maroc (Region Souss), Base Carbone</v>
      </c>
      <c r="F1775" s="1051" t="str">
        <f t="shared" si="206"/>
        <v>Chanvre fruit, avec déforestation sur des terres récemment transformé, pour alimentation animale, sortie de ferme, Autre pays du monde, Maroc (Region Souss), Base Carbone</v>
      </c>
      <c r="G1775" s="1055" t="str">
        <f t="shared" si="207"/>
        <v>Chanvre fruit, avec déforestation sur des terres récemment transformé, pour alimentation animale, sortie de ferme, Autre pays du monde, Maroc (Region Souss), Base Carbone; kgCO2e/kg</v>
      </c>
      <c r="I1775" s="2018" t="s">
        <v>4206</v>
      </c>
      <c r="J1775" s="1135" t="s">
        <v>1572</v>
      </c>
      <c r="K1775" s="1119" t="s">
        <v>1567</v>
      </c>
      <c r="L1775" s="1135" t="s">
        <v>2156</v>
      </c>
      <c r="M1775" s="2038">
        <v>0.5</v>
      </c>
      <c r="N1775" s="1135" t="s">
        <v>4240</v>
      </c>
      <c r="O1775" s="1135">
        <v>9.98E-2</v>
      </c>
      <c r="P1775" s="1135"/>
      <c r="Q1775" s="1135"/>
      <c r="R1775" s="1135"/>
      <c r="S1775" s="1135"/>
      <c r="T1775" s="1135"/>
      <c r="U1775" s="2041"/>
    </row>
    <row r="1776" spans="2:21" hidden="1" outlineLevel="2">
      <c r="B1776" s="1050">
        <v>15</v>
      </c>
      <c r="C1776" s="1050" t="str">
        <f t="shared" si="204"/>
        <v>Chou-fleur prairie permanente, biologique, système n ° 3, sortie de ferme, France continentale, Base Carbone</v>
      </c>
      <c r="D1776" s="1051">
        <f t="shared" si="205"/>
        <v>15</v>
      </c>
      <c r="E1776" s="1051" t="str">
        <f>IF(COUNTIF(E$1761:E1775,F1776)&gt;0,"",F1776)</f>
        <v>Chou-fleur prairie permanente, biologique, système n ° 3, sortie de ferme, France continentale, Base Carbone</v>
      </c>
      <c r="F1776" s="1051" t="str">
        <f t="shared" si="206"/>
        <v>Chou-fleur prairie permanente, biologique, système n ° 3, sortie de ferme, France continentale, Base Carbone</v>
      </c>
      <c r="G1776" s="1055" t="str">
        <f t="shared" si="207"/>
        <v>Chou-fleur prairie permanente, biologique, système n ° 3, sortie de ferme, France continentale, Base Carbone; kgCO2e/kg</v>
      </c>
      <c r="I1776" s="2018" t="s">
        <v>4207</v>
      </c>
      <c r="J1776" s="1135" t="s">
        <v>1572</v>
      </c>
      <c r="K1776" s="1119" t="s">
        <v>1567</v>
      </c>
      <c r="L1776" s="1135" t="s">
        <v>1571</v>
      </c>
      <c r="M1776" s="2038">
        <v>0.5</v>
      </c>
      <c r="N1776" s="1135" t="s">
        <v>4241</v>
      </c>
      <c r="O1776" s="1135">
        <v>0.26600000000000001</v>
      </c>
      <c r="P1776" s="1135"/>
      <c r="Q1776" s="1135"/>
      <c r="R1776" s="1135"/>
      <c r="S1776" s="1135"/>
      <c r="T1776" s="1135"/>
      <c r="U1776" s="2041"/>
    </row>
    <row r="1777" spans="2:21" hidden="1" outlineLevel="2">
      <c r="B1777" s="1050">
        <v>16</v>
      </c>
      <c r="C1777" s="1050" t="str">
        <f t="shared" si="204"/>
        <v>Clémentine prairie permanente, sans trèfle, région du Nord-Ouest, au verger, France continentale, Base Carbone</v>
      </c>
      <c r="D1777" s="1051">
        <f t="shared" si="205"/>
        <v>16</v>
      </c>
      <c r="E1777" s="1051" t="str">
        <f>IF(COUNTIF(E$1761:E1776,F1777)&gt;0,"",F1777)</f>
        <v>Clémentine prairie permanente, sans trèfle, région du Nord-Ouest, au verger, France continentale, Base Carbone</v>
      </c>
      <c r="F1777" s="1051" t="str">
        <f t="shared" si="206"/>
        <v>Clémentine prairie permanente, sans trèfle, région du Nord-Ouest, au verger, France continentale, Base Carbone</v>
      </c>
      <c r="G1777" s="1055" t="str">
        <f t="shared" si="207"/>
        <v>Clémentine prairie permanente, sans trèfle, région du Nord-Ouest, au verger, France continentale, Base Carbone; kgCO2e/kg</v>
      </c>
      <c r="I1777" s="2018" t="s">
        <v>4208</v>
      </c>
      <c r="J1777" s="1135" t="s">
        <v>1572</v>
      </c>
      <c r="K1777" s="1119" t="s">
        <v>1567</v>
      </c>
      <c r="L1777" s="1135" t="s">
        <v>1571</v>
      </c>
      <c r="M1777" s="2038">
        <v>0.5</v>
      </c>
      <c r="N1777" s="1135" t="s">
        <v>4239</v>
      </c>
      <c r="O1777" s="1135">
        <v>0.29199999999999998</v>
      </c>
      <c r="P1777" s="1135"/>
      <c r="Q1777" s="1135"/>
      <c r="R1777" s="1135"/>
      <c r="S1777" s="1135"/>
      <c r="T1777" s="1135"/>
      <c r="U1777" s="2041"/>
    </row>
    <row r="1778" spans="2:21" hidden="1" outlineLevel="2">
      <c r="B1778" s="1050">
        <v>17</v>
      </c>
      <c r="C1778" s="1050" t="str">
        <f t="shared" si="204"/>
        <v>Colza 14 jours, biologique, système n ° 5, sortie de ferme, France continentale, Base Carbone</v>
      </c>
      <c r="D1778" s="1051">
        <f t="shared" si="205"/>
        <v>17</v>
      </c>
      <c r="E1778" s="1051" t="str">
        <f>IF(COUNTIF(E$1761:E1777,F1778)&gt;0,"",F1778)</f>
        <v>Colza 14 jours, biologique, système n ° 5, sortie de ferme, France continentale, Base Carbone</v>
      </c>
      <c r="F1778" s="1051" t="str">
        <f t="shared" si="206"/>
        <v>Colza 14 jours, biologique, système n ° 5, sortie de ferme, France continentale, Base Carbone</v>
      </c>
      <c r="G1778" s="1055" t="str">
        <f t="shared" si="207"/>
        <v>Colza 14 jours, biologique, système n ° 5, sortie de ferme, France continentale, Base Carbone; kgCO2e/kg</v>
      </c>
      <c r="I1778" s="2018" t="s">
        <v>396</v>
      </c>
      <c r="J1778" s="1135" t="s">
        <v>1572</v>
      </c>
      <c r="K1778" s="1119" t="s">
        <v>1567</v>
      </c>
      <c r="L1778" s="1135" t="s">
        <v>1571</v>
      </c>
      <c r="M1778" s="2038">
        <v>0.5</v>
      </c>
      <c r="N1778" s="1135" t="s">
        <v>4242</v>
      </c>
      <c r="O1778" s="1135">
        <v>0.623</v>
      </c>
      <c r="P1778" s="1135"/>
      <c r="Q1778" s="1135"/>
      <c r="R1778" s="1135"/>
      <c r="S1778" s="1135"/>
      <c r="T1778" s="1135"/>
      <c r="U1778" s="2041"/>
    </row>
    <row r="1779" spans="2:21" hidden="1" outlineLevel="2">
      <c r="B1779" s="1050">
        <v>18</v>
      </c>
      <c r="C1779" s="1050" t="str">
        <f t="shared" si="204"/>
        <v>Colza d'hiver pâturage , biologique, sortie de ferme, France continentale, Centre, Base Carbone</v>
      </c>
      <c r="D1779" s="1051">
        <f t="shared" si="205"/>
        <v>18</v>
      </c>
      <c r="E1779" s="1051" t="str">
        <f>IF(COUNTIF(E$1761:E1778,F1779)&gt;0,"",F1779)</f>
        <v>Colza d'hiver pâturage , biologique, sortie de ferme, France continentale, Centre, Base Carbone</v>
      </c>
      <c r="F1779" s="1051" t="str">
        <f t="shared" si="206"/>
        <v>Colza d'hiver pâturage , biologique, sortie de ferme, France continentale, Centre, Base Carbone</v>
      </c>
      <c r="G1779" s="1055" t="str">
        <f t="shared" si="207"/>
        <v>Colza d'hiver pâturage , biologique, sortie de ferme, France continentale, Centre, Base Carbone; kgCO2e/kg</v>
      </c>
      <c r="I1779" s="2018" t="s">
        <v>4209</v>
      </c>
      <c r="J1779" s="1135" t="s">
        <v>1572</v>
      </c>
      <c r="K1779" s="1119" t="s">
        <v>1567</v>
      </c>
      <c r="L1779" s="1135" t="s">
        <v>2151</v>
      </c>
      <c r="M1779" s="2038">
        <v>0.5</v>
      </c>
      <c r="N1779" s="1135" t="s">
        <v>4243</v>
      </c>
      <c r="O1779" s="1135">
        <v>1.4</v>
      </c>
      <c r="P1779" s="1135"/>
      <c r="Q1779" s="1135"/>
      <c r="R1779" s="1135"/>
      <c r="S1779" s="1135"/>
      <c r="T1779" s="1135"/>
      <c r="U1779" s="2041"/>
    </row>
    <row r="1780" spans="2:21" hidden="1" outlineLevel="2">
      <c r="B1780" s="1050">
        <v>19</v>
      </c>
      <c r="C1780" s="1050" t="str">
        <f t="shared" si="204"/>
        <v>Courge printemps, sortie de ferme, France continentale, Région nord: Ile de France, Picardie, Normandie, Champagne Ardennes, Nord pas de Calais., Base Carbone</v>
      </c>
      <c r="D1780" s="1051">
        <f t="shared" si="205"/>
        <v>19</v>
      </c>
      <c r="E1780" s="1051" t="str">
        <f>IF(COUNTIF(E$1761:E1779,F1780)&gt;0,"",F1780)</f>
        <v>Courge printemps, sortie de ferme, France continentale, Région nord: Ile de France, Picardie, Normandie, Champagne Ardennes, Nord pas de Calais., Base Carbone</v>
      </c>
      <c r="F1780" s="1051" t="str">
        <f t="shared" si="206"/>
        <v>Courge printemps, sortie de ferme, France continentale, Région nord: Ile de France, Picardie, Normandie, Champagne Ardennes, Nord pas de Calais., Base Carbone</v>
      </c>
      <c r="G1780" s="1055" t="str">
        <f t="shared" si="207"/>
        <v>Courge printemps, sortie de ferme, France continentale, Région nord: Ile de France, Picardie, Normandie, Champagne Ardennes, Nord pas de Calais., Base Carbone; kgCO2e/kg</v>
      </c>
      <c r="I1780" s="2018" t="s">
        <v>4210</v>
      </c>
      <c r="J1780" s="1135" t="s">
        <v>1572</v>
      </c>
      <c r="K1780" s="1119" t="s">
        <v>1567</v>
      </c>
      <c r="L1780" s="1135" t="s">
        <v>2157</v>
      </c>
      <c r="M1780" s="2038">
        <v>0.5</v>
      </c>
      <c r="N1780" s="1135" t="s">
        <v>4244</v>
      </c>
      <c r="O1780" s="1135">
        <v>0.161</v>
      </c>
      <c r="P1780" s="1135"/>
      <c r="Q1780" s="1135"/>
      <c r="R1780" s="1135"/>
      <c r="S1780" s="1135"/>
      <c r="T1780" s="1135"/>
      <c r="U1780" s="2041"/>
    </row>
    <row r="1781" spans="2:21" hidden="1" outlineLevel="2">
      <c r="B1781" s="1050">
        <v>20</v>
      </c>
      <c r="C1781" s="1050" t="str">
        <f t="shared" si="204"/>
        <v>Courgette conventionnel, serre récente,  gaz naturel,  sans recyclage des drainages, sortie de ferme, France continentale, Région nord: Ile de France, Picardie, Normandie, Champagne Ardennes, Nord pas de Calais., Base Carbone</v>
      </c>
      <c r="D1781" s="1051">
        <f t="shared" si="205"/>
        <v>20</v>
      </c>
      <c r="E1781" s="1051" t="str">
        <f>IF(COUNTIF(E$1761:E1780,F1781)&gt;0,"",F1781)</f>
        <v>Courgette conventionnel, serre récente,  gaz naturel,  sans recyclage des drainages, sortie de ferme, France continentale, Région nord: Ile de France, Picardie, Normandie, Champagne Ardennes, Nord pas de Calais., Base Carbone</v>
      </c>
      <c r="F1781" s="1051" t="str">
        <f t="shared" si="206"/>
        <v>Courgette conventionnel, serre récente,  gaz naturel,  sans recyclage des drainages, sortie de ferme, France continentale, Région nord: Ile de France, Picardie, Normandie, Champagne Ardennes, Nord pas de Calais., Base Carbone</v>
      </c>
      <c r="G1781" s="1055" t="str">
        <f t="shared" si="207"/>
        <v>Courgette conventionnel, serre récente,  gaz naturel,  sans recyclage des drainages, sortie de ferme, France continentale, Région nord: Ile de France, Picardie, Normandie, Champagne Ardennes, Nord pas de Calais., Base Carbone; kgCO2e/kg</v>
      </c>
      <c r="I1781" s="2018" t="s">
        <v>2124</v>
      </c>
      <c r="J1781" s="1135" t="s">
        <v>1572</v>
      </c>
      <c r="K1781" s="1119" t="s">
        <v>1567</v>
      </c>
      <c r="L1781" s="1135" t="s">
        <v>2157</v>
      </c>
      <c r="M1781" s="2038">
        <v>0.5</v>
      </c>
      <c r="N1781" s="1135" t="s">
        <v>4245</v>
      </c>
      <c r="O1781" s="1135">
        <v>0.14699999999999999</v>
      </c>
      <c r="P1781" s="1135"/>
      <c r="Q1781" s="1135"/>
      <c r="R1781" s="1135"/>
      <c r="S1781" s="1135"/>
      <c r="T1781" s="1135"/>
      <c r="U1781" s="2041"/>
    </row>
    <row r="1782" spans="2:21" hidden="1" outlineLevel="2">
      <c r="B1782" s="1050">
        <v>21</v>
      </c>
      <c r="C1782" s="1050" t="str">
        <f t="shared" si="204"/>
        <v>Endive pâturage , biologique, système n ° 1, sortie de ferme, France continentale, Base Carbone</v>
      </c>
      <c r="D1782" s="1051">
        <f t="shared" si="205"/>
        <v>21</v>
      </c>
      <c r="E1782" s="1051" t="str">
        <f>IF(COUNTIF(E$1761:E1781,F1782)&gt;0,"",F1782)</f>
        <v>Endive pâturage , biologique, système n ° 1, sortie de ferme, France continentale, Base Carbone</v>
      </c>
      <c r="F1782" s="1051" t="str">
        <f t="shared" si="206"/>
        <v>Endive pâturage , biologique, système n ° 1, sortie de ferme, France continentale, Base Carbone</v>
      </c>
      <c r="G1782" s="1055" t="str">
        <f t="shared" si="207"/>
        <v>Endive pâturage , biologique, système n ° 1, sortie de ferme, France continentale, Base Carbone; kgCO2e/kg</v>
      </c>
      <c r="I1782" s="2018" t="s">
        <v>2125</v>
      </c>
      <c r="J1782" s="1135" t="s">
        <v>1572</v>
      </c>
      <c r="K1782" s="1119" t="s">
        <v>1567</v>
      </c>
      <c r="L1782" s="1135" t="s">
        <v>1571</v>
      </c>
      <c r="M1782" s="2038">
        <v>0.5</v>
      </c>
      <c r="N1782" s="1135" t="s">
        <v>4246</v>
      </c>
      <c r="O1782" s="1135">
        <v>0.35499999999999998</v>
      </c>
      <c r="P1782" s="1135"/>
      <c r="Q1782" s="1135"/>
      <c r="R1782" s="1135"/>
      <c r="S1782" s="1135"/>
      <c r="T1782" s="1135"/>
      <c r="U1782" s="2041"/>
    </row>
    <row r="1783" spans="2:21" hidden="1" outlineLevel="2">
      <c r="B1783" s="1050">
        <v>22</v>
      </c>
      <c r="C1783" s="1050" t="str">
        <f t="shared" si="204"/>
        <v>Féverole Mer Celtique, chalut de fond, moyenne, sortie de ferme, Autre pays du monde, Base Carbone</v>
      </c>
      <c r="D1783" s="1051">
        <f t="shared" si="205"/>
        <v>22</v>
      </c>
      <c r="E1783" s="1051" t="str">
        <f>IF(COUNTIF(E$1761:E1782,F1783)&gt;0,"",F1783)</f>
        <v>Féverole Mer Celtique, chalut de fond, moyenne, sortie de ferme, Autre pays du monde, Base Carbone</v>
      </c>
      <c r="F1783" s="1051" t="str">
        <f t="shared" si="206"/>
        <v>Féverole Mer Celtique, chalut de fond, moyenne, sortie de ferme, Autre pays du monde, Base Carbone</v>
      </c>
      <c r="G1783" s="1055" t="str">
        <f t="shared" si="207"/>
        <v>Féverole Mer Celtique, chalut de fond, moyenne, sortie de ferme, Autre pays du monde, Base Carbone; kgCO2e/kg</v>
      </c>
      <c r="I1783" s="2018" t="s">
        <v>2143</v>
      </c>
      <c r="J1783" s="1135" t="s">
        <v>1572</v>
      </c>
      <c r="K1783" s="1119" t="s">
        <v>1567</v>
      </c>
      <c r="L1783" s="1135" t="s">
        <v>2148</v>
      </c>
      <c r="M1783" s="2038">
        <v>0.5</v>
      </c>
      <c r="N1783" s="1135" t="s">
        <v>4247</v>
      </c>
      <c r="O1783" s="1135">
        <v>0.17799999999999999</v>
      </c>
      <c r="P1783" s="1135"/>
      <c r="Q1783" s="1135"/>
      <c r="R1783" s="1135"/>
      <c r="S1783" s="1135"/>
      <c r="T1783" s="1135"/>
      <c r="U1783" s="2041"/>
    </row>
    <row r="1784" spans="2:21" hidden="1" outlineLevel="2">
      <c r="B1784" s="1050">
        <v>23</v>
      </c>
      <c r="C1784" s="1050" t="str">
        <f t="shared" si="204"/>
        <v>Fibres de chanvre conventionnel, 15% d'humidité, pour alimentation animale, France continentale, Bretagne du Sud et Nord-Ouest, Base Carbone</v>
      </c>
      <c r="D1784" s="1051">
        <f t="shared" si="205"/>
        <v>23</v>
      </c>
      <c r="E1784" s="1051" t="str">
        <f>IF(COUNTIF(E$1761:E1783,F1784)&gt;0,"",F1784)</f>
        <v>Fibres de chanvre conventionnel, 15% d'humidité, pour alimentation animale, France continentale, Bretagne du Sud et Nord-Ouest, Base Carbone</v>
      </c>
      <c r="F1784" s="1051" t="str">
        <f t="shared" si="206"/>
        <v>Fibres de chanvre conventionnel, 15% d'humidité, pour alimentation animale, France continentale, Bretagne du Sud et Nord-Ouest, Base Carbone</v>
      </c>
      <c r="G1784" s="1055" t="str">
        <f t="shared" si="207"/>
        <v>Fibres de chanvre conventionnel, 15% d'humidité, pour alimentation animale, France continentale, Bretagne du Sud et Nord-Ouest, Base Carbone; kgCO2e/kg</v>
      </c>
      <c r="I1784" s="2018" t="s">
        <v>4211</v>
      </c>
      <c r="J1784" s="1135" t="s">
        <v>1572</v>
      </c>
      <c r="K1784" s="1119" t="s">
        <v>1567</v>
      </c>
      <c r="L1784" s="1135" t="s">
        <v>2158</v>
      </c>
      <c r="M1784" s="2038">
        <v>0.5</v>
      </c>
      <c r="N1784" s="1135" t="s">
        <v>4226</v>
      </c>
      <c r="O1784" s="1135">
        <v>0.29899999999999999</v>
      </c>
      <c r="P1784" s="1135"/>
      <c r="Q1784" s="1135"/>
      <c r="R1784" s="1135"/>
      <c r="S1784" s="1135"/>
      <c r="T1784" s="1135"/>
      <c r="U1784" s="2041"/>
    </row>
    <row r="1785" spans="2:21" hidden="1" outlineLevel="2">
      <c r="B1785" s="1050">
        <v>24</v>
      </c>
      <c r="C1785" s="1050" t="str">
        <f t="shared" si="204"/>
        <v>Fraise conventionnel, serre récente,  énergie fatale et gaz naturel,  avec recyclage des drainages, sortie de ferme, France continentale, Auvergne, Base Carbone</v>
      </c>
      <c r="D1785" s="1051">
        <f t="shared" si="205"/>
        <v>24</v>
      </c>
      <c r="E1785" s="1051" t="str">
        <f>IF(COUNTIF(E$1761:E1784,F1785)&gt;0,"",F1785)</f>
        <v>Fraise conventionnel, serre récente,  énergie fatale et gaz naturel,  avec recyclage des drainages, sortie de ferme, France continentale, Auvergne, Base Carbone</v>
      </c>
      <c r="F1785" s="1051" t="str">
        <f t="shared" si="206"/>
        <v>Fraise conventionnel, serre récente,  énergie fatale et gaz naturel,  avec recyclage des drainages, sortie de ferme, France continentale, Auvergne, Base Carbone</v>
      </c>
      <c r="G1785" s="1055" t="str">
        <f t="shared" si="207"/>
        <v>Fraise conventionnel, serre récente,  énergie fatale et gaz naturel,  avec recyclage des drainages, sortie de ferme, France continentale, Auvergne, Base Carbone; kgCO2e/kg</v>
      </c>
      <c r="I1785" s="2018" t="s">
        <v>4212</v>
      </c>
      <c r="J1785" s="1135" t="s">
        <v>1572</v>
      </c>
      <c r="K1785" s="1119" t="s">
        <v>1567</v>
      </c>
      <c r="L1785" s="1135" t="s">
        <v>2159</v>
      </c>
      <c r="M1785" s="2038">
        <v>0.5</v>
      </c>
      <c r="N1785" s="1135" t="s">
        <v>4248</v>
      </c>
      <c r="O1785" s="1135">
        <v>1.04</v>
      </c>
      <c r="P1785" s="1135"/>
      <c r="Q1785" s="1135"/>
      <c r="R1785" s="1135"/>
      <c r="S1785" s="1135"/>
      <c r="T1785" s="1135"/>
      <c r="U1785" s="2041"/>
    </row>
    <row r="1786" spans="2:21" hidden="1" outlineLevel="2">
      <c r="B1786" s="1050">
        <v>25</v>
      </c>
      <c r="C1786" s="1050" t="str">
        <f t="shared" si="204"/>
        <v>Grain de café (robusta) conventionnel, de saison, Aquitaine, au départ de l'exploitation, France continentale, Bretagne du Sud et Nord-Ouest, Base Carbone</v>
      </c>
      <c r="D1786" s="1051">
        <f t="shared" si="205"/>
        <v>25</v>
      </c>
      <c r="E1786" s="1051" t="str">
        <f>IF(COUNTIF(E$1761:E1785,F1786)&gt;0,"",F1786)</f>
        <v>Grain de café (robusta) conventionnel, de saison, Aquitaine, au départ de l'exploitation, France continentale, Bretagne du Sud et Nord-Ouest, Base Carbone</v>
      </c>
      <c r="F1786" s="1051" t="str">
        <f t="shared" si="206"/>
        <v>Grain de café (robusta) conventionnel, de saison, Aquitaine, au départ de l'exploitation, France continentale, Bretagne du Sud et Nord-Ouest, Base Carbone</v>
      </c>
      <c r="G1786" s="1055" t="str">
        <f t="shared" si="207"/>
        <v>Grain de café (robusta) conventionnel, de saison, Aquitaine, au départ de l'exploitation, France continentale, Bretagne du Sud et Nord-Ouest, Base Carbone; kgCO2e/kg</v>
      </c>
      <c r="I1786" s="2018" t="s">
        <v>4213</v>
      </c>
      <c r="J1786" s="1135" t="s">
        <v>1572</v>
      </c>
      <c r="K1786" s="1119" t="s">
        <v>1567</v>
      </c>
      <c r="L1786" s="1135" t="s">
        <v>2158</v>
      </c>
      <c r="M1786" s="2038">
        <v>0.5</v>
      </c>
      <c r="N1786" s="1135" t="s">
        <v>4249</v>
      </c>
      <c r="O1786" s="1135">
        <v>1.52</v>
      </c>
      <c r="P1786" s="1135"/>
      <c r="Q1786" s="1135"/>
      <c r="R1786" s="1135"/>
      <c r="S1786" s="1135"/>
      <c r="T1786" s="1135"/>
      <c r="U1786" s="2041"/>
    </row>
    <row r="1787" spans="2:21" hidden="1" outlineLevel="2">
      <c r="B1787" s="1050">
        <v>26</v>
      </c>
      <c r="C1787" s="1050" t="str">
        <f t="shared" si="204"/>
        <v>Graine de chanvre fruit, aliments pour animaux moyen, pour alimentation animale, sortie de ferme, France continentale, Bretagne du Sud et Nord-Ouest, Base Carbone</v>
      </c>
      <c r="D1787" s="1051">
        <f t="shared" si="205"/>
        <v>26</v>
      </c>
      <c r="E1787" s="1051" t="str">
        <f>IF(COUNTIF(E$1761:E1786,F1787)&gt;0,"",F1787)</f>
        <v>Graine de chanvre fruit, aliments pour animaux moyen, pour alimentation animale, sortie de ferme, France continentale, Bretagne du Sud et Nord-Ouest, Base Carbone</v>
      </c>
      <c r="F1787" s="1051" t="str">
        <f t="shared" si="206"/>
        <v>Graine de chanvre fruit, aliments pour animaux moyen, pour alimentation animale, sortie de ferme, France continentale, Bretagne du Sud et Nord-Ouest, Base Carbone</v>
      </c>
      <c r="G1787" s="1055" t="str">
        <f t="shared" si="207"/>
        <v>Graine de chanvre fruit, aliments pour animaux moyen, pour alimentation animale, sortie de ferme, France continentale, Bretagne du Sud et Nord-Ouest, Base Carbone; kgCO2e/kg</v>
      </c>
      <c r="I1787" s="2018" t="s">
        <v>4214</v>
      </c>
      <c r="J1787" s="1135" t="s">
        <v>1572</v>
      </c>
      <c r="K1787" s="1119" t="s">
        <v>1567</v>
      </c>
      <c r="L1787" s="1135" t="s">
        <v>2158</v>
      </c>
      <c r="M1787" s="2038">
        <v>0.5</v>
      </c>
      <c r="N1787" s="1135" t="s">
        <v>4250</v>
      </c>
      <c r="O1787" s="1135">
        <v>0.55500000000000005</v>
      </c>
      <c r="P1787" s="1135"/>
      <c r="Q1787" s="1135"/>
      <c r="R1787" s="1135"/>
      <c r="S1787" s="1135"/>
      <c r="T1787" s="1135"/>
      <c r="U1787" s="2041"/>
    </row>
    <row r="1788" spans="2:21" hidden="1" outlineLevel="2">
      <c r="B1788" s="1050">
        <v>27</v>
      </c>
      <c r="C1788" s="1050" t="str">
        <f t="shared" si="204"/>
        <v>Graine de tournesol 14 jours, biologique, système n ° 2, sortie de ferme, France continentale, Bretagne du Sud et Nord-Ouest, Base Carbone</v>
      </c>
      <c r="D1788" s="1051">
        <f t="shared" si="205"/>
        <v>27</v>
      </c>
      <c r="E1788" s="1051" t="str">
        <f>IF(COUNTIF(E$1761:E1787,F1788)&gt;0,"",F1788)</f>
        <v>Graine de tournesol 14 jours, biologique, système n ° 2, sortie de ferme, France continentale, Bretagne du Sud et Nord-Ouest, Base Carbone</v>
      </c>
      <c r="F1788" s="1051" t="str">
        <f t="shared" si="206"/>
        <v>Graine de tournesol 14 jours, biologique, système n ° 2, sortie de ferme, France continentale, Bretagne du Sud et Nord-Ouest, Base Carbone</v>
      </c>
      <c r="G1788" s="1055" t="str">
        <f t="shared" si="207"/>
        <v>Graine de tournesol 14 jours, biologique, système n ° 2, sortie de ferme, France continentale, Bretagne du Sud et Nord-Ouest, Base Carbone; kgCO2e/kg</v>
      </c>
      <c r="I1788" s="2018" t="s">
        <v>4215</v>
      </c>
      <c r="J1788" s="1135" t="s">
        <v>1572</v>
      </c>
      <c r="K1788" s="1119" t="s">
        <v>1567</v>
      </c>
      <c r="L1788" s="1135" t="s">
        <v>2158</v>
      </c>
      <c r="M1788" s="2038">
        <v>0.5</v>
      </c>
      <c r="N1788" s="1135" t="s">
        <v>4251</v>
      </c>
      <c r="O1788" s="1135">
        <v>0.43</v>
      </c>
      <c r="P1788" s="1135"/>
      <c r="Q1788" s="1135"/>
      <c r="R1788" s="1135"/>
      <c r="S1788" s="1135"/>
      <c r="T1788" s="1135"/>
      <c r="U1788" s="2041"/>
    </row>
    <row r="1789" spans="2:21" hidden="1" outlineLevel="2">
      <c r="B1789" s="1050">
        <v>28</v>
      </c>
      <c r="C1789" s="1050" t="str">
        <f t="shared" si="204"/>
        <v>Haricot français Mer du Nord, chalut de fond, moyenne, frais, sortie de ferme, France continentale, Auvergne, Base Carbone</v>
      </c>
      <c r="D1789" s="1051">
        <f t="shared" si="205"/>
        <v>28</v>
      </c>
      <c r="E1789" s="1051" t="str">
        <f>IF(COUNTIF(E$1761:E1788,F1789)&gt;0,"",F1789)</f>
        <v>Haricot français Mer du Nord, chalut de fond, moyenne, frais, sortie de ferme, France continentale, Auvergne, Base Carbone</v>
      </c>
      <c r="F1789" s="1051" t="str">
        <f t="shared" si="206"/>
        <v>Haricot français Mer du Nord, chalut de fond, moyenne, frais, sortie de ferme, France continentale, Auvergne, Base Carbone</v>
      </c>
      <c r="G1789" s="1055" t="str">
        <f t="shared" si="207"/>
        <v>Haricot français Mer du Nord, chalut de fond, moyenne, frais, sortie de ferme, France continentale, Auvergne, Base Carbone; kgCO2e/kg</v>
      </c>
      <c r="I1789" s="2018" t="s">
        <v>4216</v>
      </c>
      <c r="J1789" s="1135" t="s">
        <v>1572</v>
      </c>
      <c r="K1789" s="1119" t="s">
        <v>1567</v>
      </c>
      <c r="L1789" s="1135" t="s">
        <v>2159</v>
      </c>
      <c r="M1789" s="2038">
        <v>0.5</v>
      </c>
      <c r="N1789" s="1135" t="s">
        <v>4252</v>
      </c>
      <c r="O1789" s="1135">
        <v>0.58199999999999996</v>
      </c>
      <c r="P1789" s="1135"/>
      <c r="Q1789" s="1135"/>
      <c r="R1789" s="1135"/>
      <c r="S1789" s="1135"/>
      <c r="T1789" s="1135"/>
      <c r="U1789" s="2041"/>
    </row>
    <row r="1790" spans="2:21" hidden="1" outlineLevel="2">
      <c r="B1790" s="1050">
        <v>29</v>
      </c>
      <c r="C1790" s="1050" t="str">
        <f t="shared" si="204"/>
        <v>Laitue de saison, biologique, production de racines, sortie de ferme, France continentale, Bretagne du Sud et Nord-Ouest, Base Carbone</v>
      </c>
      <c r="D1790" s="1051">
        <f t="shared" si="205"/>
        <v>29</v>
      </c>
      <c r="E1790" s="1051" t="str">
        <f>IF(COUNTIF(E$1761:E1789,F1790)&gt;0,"",F1790)</f>
        <v>Laitue de saison, biologique, production de racines, sortie de ferme, France continentale, Bretagne du Sud et Nord-Ouest, Base Carbone</v>
      </c>
      <c r="F1790" s="1051" t="str">
        <f t="shared" si="206"/>
        <v>Laitue de saison, biologique, production de racines, sortie de ferme, France continentale, Bretagne du Sud et Nord-Ouest, Base Carbone</v>
      </c>
      <c r="G1790" s="1055" t="str">
        <f t="shared" si="207"/>
        <v>Laitue de saison, biologique, production de racines, sortie de ferme, France continentale, Bretagne du Sud et Nord-Ouest, Base Carbone; kgCO2e/kg</v>
      </c>
      <c r="I1790" s="2018" t="s">
        <v>4217</v>
      </c>
      <c r="J1790" s="1135" t="s">
        <v>1572</v>
      </c>
      <c r="K1790" s="1119" t="s">
        <v>1567</v>
      </c>
      <c r="L1790" s="1135" t="s">
        <v>2158</v>
      </c>
      <c r="M1790" s="2038">
        <v>0.5</v>
      </c>
      <c r="N1790" s="1135" t="s">
        <v>4253</v>
      </c>
      <c r="O1790" s="1135">
        <v>0.16500000000000001</v>
      </c>
      <c r="P1790" s="1135"/>
      <c r="Q1790" s="1135"/>
      <c r="R1790" s="1135"/>
      <c r="S1790" s="1135"/>
      <c r="T1790" s="1135"/>
      <c r="U1790" s="2041"/>
    </row>
    <row r="1791" spans="2:21" hidden="1" outlineLevel="2">
      <c r="B1791" s="1050">
        <v>30</v>
      </c>
      <c r="C1791" s="1050" t="str">
        <f t="shared" si="204"/>
        <v>Luzerne de l'association de cultures, biologique, système n ° 2, sortie de ferme, France continentale, Bretagne du Sud et Nord-Ouest, Base Carbone</v>
      </c>
      <c r="D1791" s="1051">
        <f t="shared" si="205"/>
        <v>30</v>
      </c>
      <c r="E1791" s="1051" t="str">
        <f>IF(COUNTIF(E$1761:E1790,F1791)&gt;0,"",F1791)</f>
        <v>Luzerne de l'association de cultures, biologique, système n ° 2, sortie de ferme, France continentale, Bretagne du Sud et Nord-Ouest, Base Carbone</v>
      </c>
      <c r="F1791" s="1051" t="str">
        <f t="shared" si="206"/>
        <v>Luzerne de l'association de cultures, biologique, système n ° 2, sortie de ferme, France continentale, Bretagne du Sud et Nord-Ouest, Base Carbone</v>
      </c>
      <c r="G1791" s="1055" t="str">
        <f t="shared" si="207"/>
        <v>Luzerne de l'association de cultures, biologique, système n ° 2, sortie de ferme, France continentale, Bretagne du Sud et Nord-Ouest, Base Carbone; kgCO2e/kg</v>
      </c>
      <c r="I1791" s="2018" t="s">
        <v>2144</v>
      </c>
      <c r="J1791" s="1135" t="s">
        <v>1572</v>
      </c>
      <c r="K1791" s="1119" t="s">
        <v>1567</v>
      </c>
      <c r="L1791" s="1135" t="s">
        <v>2158</v>
      </c>
      <c r="M1791" s="2038">
        <v>0.5</v>
      </c>
      <c r="N1791" s="1135" t="s">
        <v>4232</v>
      </c>
      <c r="O1791" s="1135">
        <v>0.186</v>
      </c>
      <c r="P1791" s="1135"/>
      <c r="Q1791" s="1135"/>
      <c r="R1791" s="1135"/>
      <c r="S1791" s="1135"/>
      <c r="T1791" s="1135"/>
      <c r="U1791" s="2041"/>
    </row>
    <row r="1792" spans="2:21" hidden="1" outlineLevel="2">
      <c r="B1792" s="1050">
        <v>31</v>
      </c>
      <c r="C1792" s="1050" t="str">
        <f t="shared" si="204"/>
        <v>Maïs ensilage biologique, sortie de ferme, France continentale, Auvergne, Base Carbone</v>
      </c>
      <c r="D1792" s="1051">
        <f t="shared" si="205"/>
        <v>31</v>
      </c>
      <c r="E1792" s="1051" t="str">
        <f>IF(COUNTIF(E$1761:E1791,F1792)&gt;0,"",F1792)</f>
        <v>Maïs ensilage biologique, sortie de ferme, France continentale, Auvergne, Base Carbone</v>
      </c>
      <c r="F1792" s="1051" t="str">
        <f t="shared" si="206"/>
        <v>Maïs ensilage biologique, sortie de ferme, France continentale, Auvergne, Base Carbone</v>
      </c>
      <c r="G1792" s="1055" t="str">
        <f t="shared" si="207"/>
        <v>Maïs ensilage biologique, sortie de ferme, France continentale, Auvergne, Base Carbone; kgCO2e/kg</v>
      </c>
      <c r="I1792" s="2018" t="s">
        <v>2145</v>
      </c>
      <c r="J1792" s="1135" t="s">
        <v>1572</v>
      </c>
      <c r="K1792" s="1119" t="s">
        <v>1567</v>
      </c>
      <c r="L1792" s="1135" t="s">
        <v>2159</v>
      </c>
      <c r="M1792" s="2038">
        <v>0.5</v>
      </c>
      <c r="N1792" s="1135" t="s">
        <v>4237</v>
      </c>
      <c r="O1792" s="1135">
        <v>0.13400000000000001</v>
      </c>
      <c r="P1792" s="1135"/>
      <c r="Q1792" s="1135"/>
      <c r="R1792" s="1135"/>
      <c r="S1792" s="1135"/>
      <c r="T1792" s="1135"/>
      <c r="U1792" s="2041"/>
    </row>
    <row r="1793" spans="2:21" hidden="1" outlineLevel="2">
      <c r="B1793" s="1050">
        <v>32</v>
      </c>
      <c r="C1793" s="1050" t="str">
        <f t="shared" si="204"/>
        <v>Maïs grain conventionnel, séchée, variétés traditionnelles, sortie de ferme, France continentale, Bretagne du Sud et Nord-Ouest, Base Carbone</v>
      </c>
      <c r="D1793" s="1051">
        <f t="shared" si="205"/>
        <v>32</v>
      </c>
      <c r="E1793" s="1051" t="str">
        <f>IF(COUNTIF(E$1761:E1792,F1793)&gt;0,"",F1793)</f>
        <v>Maïs grain conventionnel, séchée, variétés traditionnelles, sortie de ferme, France continentale, Bretagne du Sud et Nord-Ouest, Base Carbone</v>
      </c>
      <c r="F1793" s="1051" t="str">
        <f t="shared" si="206"/>
        <v>Maïs grain conventionnel, séchée, variétés traditionnelles, sortie de ferme, France continentale, Bretagne du Sud et Nord-Ouest, Base Carbone</v>
      </c>
      <c r="G1793" s="1055" t="str">
        <f t="shared" si="207"/>
        <v>Maïs grain conventionnel, séchée, variétés traditionnelles, sortie de ferme, France continentale, Bretagne du Sud et Nord-Ouest, Base Carbone; kgCO2e/kg</v>
      </c>
      <c r="I1793" s="2018" t="s">
        <v>398</v>
      </c>
      <c r="J1793" s="1135" t="s">
        <v>1572</v>
      </c>
      <c r="K1793" s="1119" t="s">
        <v>1567</v>
      </c>
      <c r="L1793" s="1135" t="s">
        <v>2158</v>
      </c>
      <c r="M1793" s="2038">
        <v>0.5</v>
      </c>
      <c r="N1793" s="1135" t="s">
        <v>4254</v>
      </c>
      <c r="O1793" s="1135">
        <v>0.25800000000000001</v>
      </c>
      <c r="P1793" s="1135"/>
      <c r="Q1793" s="1135"/>
      <c r="R1793" s="1135"/>
      <c r="S1793" s="1135"/>
      <c r="T1793" s="1135"/>
      <c r="U1793" s="2041"/>
    </row>
    <row r="1794" spans="2:21" hidden="1" outlineLevel="2">
      <c r="B1794" s="1050">
        <v>33</v>
      </c>
      <c r="C1794" s="1050" t="str">
        <f t="shared" ref="C1794:C1825" si="208">IF(ISNA(VLOOKUP(B1794,$D$1761:$E$1853,2,FALSE)),"-",VLOOKUP(B1794,$D$1761:$E$1853,2,FALSE))</f>
        <v>Mangue conventionnel, serre semi fermée,  énergie fatale et biomasse,  avec CO2 liquide, avec recyclage, au verger, France continentale, Bretagne du Sud et Nord-Ouest, Base Carbone</v>
      </c>
      <c r="D1794" s="1051">
        <f t="shared" si="205"/>
        <v>33</v>
      </c>
      <c r="E1794" s="1051" t="str">
        <f>IF(COUNTIF(E$1761:E1793,F1794)&gt;0,"",F1794)</f>
        <v>Mangue conventionnel, serre semi fermée,  énergie fatale et biomasse,  avec CO2 liquide, avec recyclage, au verger, France continentale, Bretagne du Sud et Nord-Ouest, Base Carbone</v>
      </c>
      <c r="F1794" s="1051" t="str">
        <f t="shared" si="206"/>
        <v>Mangue conventionnel, serre semi fermée,  énergie fatale et biomasse,  avec CO2 liquide, avec recyclage, au verger, France continentale, Bretagne du Sud et Nord-Ouest, Base Carbone</v>
      </c>
      <c r="G1794" s="1055" t="str">
        <f t="shared" si="207"/>
        <v>Mangue conventionnel, serre semi fermée,  énergie fatale et biomasse,  avec CO2 liquide, avec recyclage, au verger, France continentale, Bretagne du Sud et Nord-Ouest, Base Carbone; kgCO2e/kg</v>
      </c>
      <c r="I1794" s="2018" t="s">
        <v>2126</v>
      </c>
      <c r="J1794" s="1135" t="s">
        <v>1572</v>
      </c>
      <c r="K1794" s="1119" t="s">
        <v>1567</v>
      </c>
      <c r="L1794" s="1135" t="s">
        <v>2158</v>
      </c>
      <c r="M1794" s="2038">
        <v>0.5</v>
      </c>
      <c r="N1794" s="1135" t="s">
        <v>4255</v>
      </c>
      <c r="O1794" s="1135">
        <v>0.122</v>
      </c>
      <c r="P1794" s="1135"/>
      <c r="Q1794" s="1135"/>
      <c r="R1794" s="1135"/>
      <c r="S1794" s="1135"/>
      <c r="T1794" s="1135"/>
      <c r="U1794" s="2041"/>
    </row>
    <row r="1795" spans="2:21" hidden="1" outlineLevel="2">
      <c r="B1795" s="1050">
        <v>34</v>
      </c>
      <c r="C1795" s="1050" t="str">
        <f t="shared" si="208"/>
        <v>Melon biologique, sous serre, moyenne nationale, sortie de ferme, France continentale, Bretagne du Sud et Nord-Ouest, Base Carbone</v>
      </c>
      <c r="D1795" s="1051">
        <f t="shared" si="205"/>
        <v>34</v>
      </c>
      <c r="E1795" s="1051" t="str">
        <f>IF(COUNTIF(E$1761:E1794,F1795)&gt;0,"",F1795)</f>
        <v>Melon biologique, sous serre, moyenne nationale, sortie de ferme, France continentale, Bretagne du Sud et Nord-Ouest, Base Carbone</v>
      </c>
      <c r="F1795" s="1051" t="str">
        <f t="shared" si="206"/>
        <v>Melon biologique, sous serre, moyenne nationale, sortie de ferme, France continentale, Bretagne du Sud et Nord-Ouest, Base Carbone</v>
      </c>
      <c r="G1795" s="1055" t="str">
        <f t="shared" si="207"/>
        <v>Melon biologique, sous serre, moyenne nationale, sortie de ferme, France continentale, Bretagne du Sud et Nord-Ouest, Base Carbone; kgCO2e/kg</v>
      </c>
      <c r="I1795" s="2018" t="s">
        <v>2127</v>
      </c>
      <c r="J1795" s="1135" t="s">
        <v>1572</v>
      </c>
      <c r="K1795" s="1119" t="s">
        <v>1567</v>
      </c>
      <c r="L1795" s="1135" t="s">
        <v>2158</v>
      </c>
      <c r="M1795" s="2038">
        <v>0.5</v>
      </c>
      <c r="N1795" s="1135" t="s">
        <v>4256</v>
      </c>
      <c r="O1795" s="1135">
        <v>0.16700000000000001</v>
      </c>
      <c r="P1795" s="1135"/>
      <c r="Q1795" s="1135"/>
      <c r="R1795" s="1135"/>
      <c r="S1795" s="1135"/>
      <c r="T1795" s="1135"/>
      <c r="U1795" s="2041"/>
    </row>
    <row r="1796" spans="2:21" hidden="1" outlineLevel="2">
      <c r="B1796" s="1050">
        <v>35</v>
      </c>
      <c r="C1796" s="1050" t="str">
        <f t="shared" si="208"/>
        <v>Noix MedSea, Seine, moyenne, France continentale, Bretagne du Sud et Nord-Ouest, Base Carbone</v>
      </c>
      <c r="D1796" s="1051">
        <f t="shared" si="205"/>
        <v>35</v>
      </c>
      <c r="E1796" s="1051" t="str">
        <f>IF(COUNTIF(E$1761:E1795,F1796)&gt;0,"",F1796)</f>
        <v>Noix MedSea, Seine, moyenne, France continentale, Bretagne du Sud et Nord-Ouest, Base Carbone</v>
      </c>
      <c r="F1796" s="1051" t="str">
        <f t="shared" si="206"/>
        <v>Noix MedSea, Seine, moyenne, France continentale, Bretagne du Sud et Nord-Ouest, Base Carbone</v>
      </c>
      <c r="G1796" s="1055" t="str">
        <f t="shared" si="207"/>
        <v>Noix MedSea, Seine, moyenne, France continentale, Bretagne du Sud et Nord-Ouest, Base Carbone; kgCO2e/kg</v>
      </c>
      <c r="I1796" s="2018" t="s">
        <v>2128</v>
      </c>
      <c r="J1796" s="1135" t="s">
        <v>1572</v>
      </c>
      <c r="K1796" s="1119" t="s">
        <v>1567</v>
      </c>
      <c r="L1796" s="1135" t="s">
        <v>2158</v>
      </c>
      <c r="M1796" s="2038">
        <v>0.5</v>
      </c>
      <c r="N1796" s="1135" t="s">
        <v>4227</v>
      </c>
      <c r="O1796" s="1135">
        <v>1.23</v>
      </c>
      <c r="P1796" s="1135"/>
      <c r="Q1796" s="1135"/>
      <c r="R1796" s="1135"/>
      <c r="S1796" s="1135"/>
      <c r="T1796" s="1135"/>
      <c r="U1796" s="2041"/>
    </row>
    <row r="1797" spans="2:21" hidden="1" outlineLevel="2">
      <c r="B1797" s="1050">
        <v>36</v>
      </c>
      <c r="C1797" s="1050" t="str">
        <f t="shared" si="208"/>
        <v>Noix de coco pâturage d'été, biologique, système n ° 1, à l'entepôt régional, France continentale, Auvergne, Base Carbone</v>
      </c>
      <c r="D1797" s="1051">
        <f t="shared" si="205"/>
        <v>36</v>
      </c>
      <c r="E1797" s="1051" t="str">
        <f>IF(COUNTIF(E$1761:E1796,F1797)&gt;0,"",F1797)</f>
        <v>Noix de coco pâturage d'été, biologique, système n ° 1, à l'entepôt régional, France continentale, Auvergne, Base Carbone</v>
      </c>
      <c r="F1797" s="1051" t="str">
        <f t="shared" si="206"/>
        <v>Noix de coco pâturage d'été, biologique, système n ° 1, à l'entepôt régional, France continentale, Auvergne, Base Carbone</v>
      </c>
      <c r="G1797" s="1055" t="str">
        <f t="shared" si="207"/>
        <v>Noix de coco pâturage d'été, biologique, système n ° 1, à l'entepôt régional, France continentale, Auvergne, Base Carbone; kgCO2e/kg</v>
      </c>
      <c r="I1797" s="2018" t="s">
        <v>4218</v>
      </c>
      <c r="J1797" s="1135" t="s">
        <v>1572</v>
      </c>
      <c r="K1797" s="1119" t="s">
        <v>1567</v>
      </c>
      <c r="L1797" s="1135" t="s">
        <v>2159</v>
      </c>
      <c r="M1797" s="2038">
        <v>0.5</v>
      </c>
      <c r="N1797" s="1135" t="s">
        <v>4257</v>
      </c>
      <c r="O1797" s="1135">
        <v>0.34200000000000003</v>
      </c>
      <c r="P1797" s="1135"/>
      <c r="Q1797" s="1135"/>
      <c r="R1797" s="1135"/>
      <c r="S1797" s="1135"/>
      <c r="T1797" s="1135"/>
      <c r="U1797" s="2041"/>
    </row>
    <row r="1798" spans="2:21" hidden="1" outlineLevel="2">
      <c r="B1798" s="1050">
        <v>37</v>
      </c>
      <c r="C1798" s="1050" t="str">
        <f t="shared" si="208"/>
        <v>Oignon conventionnel, serre semi fermée,  énergie fatale et biomasse,  sans CO2 liquide, sortie de ferme, France continentale, Bretagne du Sud et Nord-Ouest, Base Carbone</v>
      </c>
      <c r="D1798" s="1051">
        <f t="shared" si="205"/>
        <v>37</v>
      </c>
      <c r="E1798" s="1051" t="str">
        <f>IF(COUNTIF(E$1761:E1797,F1798)&gt;0,"",F1798)</f>
        <v>Oignon conventionnel, serre semi fermée,  énergie fatale et biomasse,  sans CO2 liquide, sortie de ferme, France continentale, Bretagne du Sud et Nord-Ouest, Base Carbone</v>
      </c>
      <c r="F1798" s="1051" t="str">
        <f t="shared" si="206"/>
        <v>Oignon conventionnel, serre semi fermée,  énergie fatale et biomasse,  sans CO2 liquide, sortie de ferme, France continentale, Bretagne du Sud et Nord-Ouest, Base Carbone</v>
      </c>
      <c r="G1798" s="1055" t="str">
        <f t="shared" si="207"/>
        <v>Oignon conventionnel, serre semi fermée,  énergie fatale et biomasse,  sans CO2 liquide, sortie de ferme, France continentale, Bretagne du Sud et Nord-Ouest, Base Carbone; kgCO2e/kg</v>
      </c>
      <c r="I1798" s="2018" t="s">
        <v>4219</v>
      </c>
      <c r="J1798" s="1135" t="s">
        <v>1572</v>
      </c>
      <c r="K1798" s="1119" t="s">
        <v>1567</v>
      </c>
      <c r="L1798" s="1135" t="s">
        <v>2158</v>
      </c>
      <c r="M1798" s="2038">
        <v>0.5</v>
      </c>
      <c r="N1798" s="1135" t="s">
        <v>4258</v>
      </c>
      <c r="O1798" s="1135">
        <v>5.3900000000000003E-2</v>
      </c>
      <c r="P1798" s="1135"/>
      <c r="Q1798" s="1135"/>
      <c r="R1798" s="1135"/>
      <c r="S1798" s="1135"/>
      <c r="T1798" s="1135"/>
      <c r="U1798" s="2041"/>
    </row>
    <row r="1799" spans="2:21" hidden="1" outlineLevel="2">
      <c r="B1799" s="1050">
        <v>38</v>
      </c>
      <c r="C1799" s="1050" t="str">
        <f t="shared" si="208"/>
        <v>Pêche conventionnel, calibre intermédiaire, sous abri chauffé, au verger, France continentale, Bretagne du Sud et Nord-Ouest, Base Carbone</v>
      </c>
      <c r="D1799" s="1051">
        <f t="shared" si="205"/>
        <v>38</v>
      </c>
      <c r="E1799" s="1051" t="str">
        <f>IF(COUNTIF(E$1761:E1798,F1799)&gt;0,"",F1799)</f>
        <v>Pêche conventionnel, calibre intermédiaire, sous abri chauffé, au verger, France continentale, Bretagne du Sud et Nord-Ouest, Base Carbone</v>
      </c>
      <c r="F1799" s="1051" t="str">
        <f t="shared" si="206"/>
        <v>Pêche conventionnel, calibre intermédiaire, sous abri chauffé, au verger, France continentale, Bretagne du Sud et Nord-Ouest, Base Carbone</v>
      </c>
      <c r="G1799" s="1055" t="str">
        <f t="shared" si="207"/>
        <v>Pêche conventionnel, calibre intermédiaire, sous abri chauffé, au verger, France continentale, Bretagne du Sud et Nord-Ouest, Base Carbone; kgCO2e/kg</v>
      </c>
      <c r="I1799" s="2018" t="s">
        <v>2129</v>
      </c>
      <c r="J1799" s="1135" t="s">
        <v>1572</v>
      </c>
      <c r="K1799" s="1119" t="s">
        <v>1567</v>
      </c>
      <c r="L1799" s="1135" t="s">
        <v>2158</v>
      </c>
      <c r="M1799" s="2038">
        <v>0.5</v>
      </c>
      <c r="N1799" s="1135" t="s">
        <v>4259</v>
      </c>
      <c r="O1799" s="1135">
        <v>0.184</v>
      </c>
      <c r="P1799" s="1135"/>
      <c r="Q1799" s="1135"/>
      <c r="R1799" s="1135"/>
      <c r="S1799" s="1135"/>
      <c r="T1799" s="1135"/>
      <c r="U1799" s="2041"/>
    </row>
    <row r="1800" spans="2:21" hidden="1" outlineLevel="2">
      <c r="B1800" s="1050">
        <v>39</v>
      </c>
      <c r="C1800" s="1050" t="str">
        <f t="shared" si="208"/>
        <v>Poire NEA, chalut pélagique, moyenne, au verger, France continentale, Bretagne du Sud et Nord-Ouest, Base Carbone</v>
      </c>
      <c r="D1800" s="1051">
        <f t="shared" si="205"/>
        <v>39</v>
      </c>
      <c r="E1800" s="1051" t="str">
        <f>IF(COUNTIF(E$1761:E1799,F1800)&gt;0,"",F1800)</f>
        <v>Poire NEA, chalut pélagique, moyenne, au verger, France continentale, Bretagne du Sud et Nord-Ouest, Base Carbone</v>
      </c>
      <c r="F1800" s="1051" t="str">
        <f t="shared" si="206"/>
        <v>Poire NEA, chalut pélagique, moyenne, au verger, France continentale, Bretagne du Sud et Nord-Ouest, Base Carbone</v>
      </c>
      <c r="G1800" s="1055" t="str">
        <f t="shared" si="207"/>
        <v>Poire NEA, chalut pélagique, moyenne, au verger, France continentale, Bretagne du Sud et Nord-Ouest, Base Carbone; kgCO2e/kg</v>
      </c>
      <c r="I1800" s="2018" t="s">
        <v>2130</v>
      </c>
      <c r="J1800" s="1135" t="s">
        <v>1572</v>
      </c>
      <c r="K1800" s="1119" t="s">
        <v>1567</v>
      </c>
      <c r="L1800" s="1135" t="s">
        <v>2158</v>
      </c>
      <c r="M1800" s="2038">
        <v>0.5</v>
      </c>
      <c r="N1800" s="1135" t="s">
        <v>4260</v>
      </c>
      <c r="O1800" s="1135">
        <v>6.4899999999999999E-2</v>
      </c>
      <c r="P1800" s="1135"/>
      <c r="Q1800" s="1135"/>
      <c r="R1800" s="1135"/>
      <c r="S1800" s="1135"/>
      <c r="T1800" s="1135"/>
      <c r="U1800" s="2041"/>
    </row>
    <row r="1801" spans="2:21" hidden="1" outlineLevel="2">
      <c r="B1801" s="1050">
        <v>40</v>
      </c>
      <c r="C1801" s="1050" t="str">
        <f t="shared" si="208"/>
        <v>Poireau prairie temporaire, biologique, système n ° 3, sortie de ferme, France continentale, Champagne-Ardenne, Base Carbone</v>
      </c>
      <c r="D1801" s="1051">
        <f t="shared" si="205"/>
        <v>40</v>
      </c>
      <c r="E1801" s="1051" t="str">
        <f>IF(COUNTIF(E$1761:E1800,F1801)&gt;0,"",F1801)</f>
        <v>Poireau prairie temporaire, biologique, système n ° 3, sortie de ferme, France continentale, Champagne-Ardenne, Base Carbone</v>
      </c>
      <c r="F1801" s="1051" t="str">
        <f t="shared" si="206"/>
        <v>Poireau prairie temporaire, biologique, système n ° 3, sortie de ferme, France continentale, Champagne-Ardenne, Base Carbone</v>
      </c>
      <c r="G1801" s="1055" t="str">
        <f t="shared" si="207"/>
        <v>Poireau prairie temporaire, biologique, système n ° 3, sortie de ferme, France continentale, Champagne-Ardenne, Base Carbone; kgCO2e/kg</v>
      </c>
      <c r="I1801" s="2018" t="s">
        <v>2131</v>
      </c>
      <c r="J1801" s="1135" t="s">
        <v>1572</v>
      </c>
      <c r="K1801" s="1119" t="s">
        <v>1567</v>
      </c>
      <c r="L1801" s="1135" t="s">
        <v>2160</v>
      </c>
      <c r="M1801" s="2038">
        <v>0.5</v>
      </c>
      <c r="N1801" s="1135" t="s">
        <v>4261</v>
      </c>
      <c r="O1801" s="1135">
        <v>0.29099999999999998</v>
      </c>
      <c r="P1801" s="1135"/>
      <c r="Q1801" s="1135"/>
      <c r="R1801" s="1135"/>
      <c r="S1801" s="1135"/>
      <c r="T1801" s="1135"/>
      <c r="U1801" s="2041"/>
    </row>
    <row r="1802" spans="2:21" hidden="1" outlineLevel="2">
      <c r="B1802" s="1050">
        <v>41</v>
      </c>
      <c r="C1802" s="1050" t="str">
        <f t="shared" si="208"/>
        <v>Pois de l'association de cultures, biologique, sortie de ferme, France continentale, Champagne-Ardenne, Base Carbone</v>
      </c>
      <c r="D1802" s="1051">
        <f t="shared" si="205"/>
        <v>41</v>
      </c>
      <c r="E1802" s="1051" t="str">
        <f>IF(COUNTIF(E$1761:E1801,F1802)&gt;0,"",F1802)</f>
        <v>Pois de l'association de cultures, biologique, sortie de ferme, France continentale, Champagne-Ardenne, Base Carbone</v>
      </c>
      <c r="F1802" s="1051" t="str">
        <f t="shared" si="206"/>
        <v>Pois de l'association de cultures, biologique, sortie de ferme, France continentale, Champagne-Ardenne, Base Carbone</v>
      </c>
      <c r="G1802" s="1055" t="str">
        <f t="shared" si="207"/>
        <v>Pois de l'association de cultures, biologique, sortie de ferme, France continentale, Champagne-Ardenne, Base Carbone; kgCO2e/kg</v>
      </c>
      <c r="I1802" s="2018" t="s">
        <v>400</v>
      </c>
      <c r="J1802" s="1135" t="s">
        <v>1572</v>
      </c>
      <c r="K1802" s="1119" t="s">
        <v>1567</v>
      </c>
      <c r="L1802" s="1135" t="s">
        <v>2160</v>
      </c>
      <c r="M1802" s="2038">
        <v>0.5</v>
      </c>
      <c r="N1802" s="1135" t="s">
        <v>4262</v>
      </c>
      <c r="O1802" s="1135">
        <v>0.308</v>
      </c>
      <c r="P1802" s="1135"/>
      <c r="Q1802" s="1135"/>
      <c r="R1802" s="1135"/>
      <c r="S1802" s="1135"/>
      <c r="T1802" s="1135"/>
      <c r="U1802" s="2041"/>
    </row>
    <row r="1803" spans="2:21" hidden="1" outlineLevel="2">
      <c r="B1803" s="1050">
        <v>42</v>
      </c>
      <c r="C1803" s="1050" t="str">
        <f t="shared" si="208"/>
        <v>Pois chiche de l'association de cultures, biologique, sortie de ferme, France continentale, Champagne-Ardenne, Base Carbone</v>
      </c>
      <c r="D1803" s="1051">
        <f t="shared" si="205"/>
        <v>42</v>
      </c>
      <c r="E1803" s="1051" t="str">
        <f>IF(COUNTIF(E$1761:E1802,F1803)&gt;0,"",F1803)</f>
        <v>Pois chiche de l'association de cultures, biologique, sortie de ferme, France continentale, Champagne-Ardenne, Base Carbone</v>
      </c>
      <c r="F1803" s="1051" t="str">
        <f t="shared" si="206"/>
        <v>Pois chiche de l'association de cultures, biologique, sortie de ferme, France continentale, Champagne-Ardenne, Base Carbone</v>
      </c>
      <c r="G1803" s="1055" t="str">
        <f t="shared" si="207"/>
        <v>Pois chiche de l'association de cultures, biologique, sortie de ferme, France continentale, Champagne-Ardenne, Base Carbone; kgCO2e/kg</v>
      </c>
      <c r="I1803" s="2018" t="s">
        <v>4220</v>
      </c>
      <c r="J1803" s="1135" t="s">
        <v>1572</v>
      </c>
      <c r="K1803" s="1119" t="s">
        <v>1567</v>
      </c>
      <c r="L1803" s="1135" t="s">
        <v>2160</v>
      </c>
      <c r="M1803" s="2038">
        <v>0.5</v>
      </c>
      <c r="N1803" s="1135" t="s">
        <v>4262</v>
      </c>
      <c r="O1803" s="1135">
        <v>0.499</v>
      </c>
      <c r="P1803" s="1135"/>
      <c r="Q1803" s="1135"/>
      <c r="R1803" s="1135"/>
      <c r="S1803" s="1135"/>
      <c r="T1803" s="1135"/>
      <c r="U1803" s="2041"/>
    </row>
    <row r="1804" spans="2:21" hidden="1" outlineLevel="2">
      <c r="B1804" s="1050">
        <v>43</v>
      </c>
      <c r="C1804" s="1050" t="str">
        <f t="shared" si="208"/>
        <v>Pomme silo horizontal, prairie permanente, sans trèfle, Auvergne, au verger, France continentale, Base Carbone</v>
      </c>
      <c r="D1804" s="1051">
        <f t="shared" si="205"/>
        <v>43</v>
      </c>
      <c r="E1804" s="1051" t="str">
        <f>IF(COUNTIF(E$1761:E1803,F1804)&gt;0,"",F1804)</f>
        <v>Pomme silo horizontal, prairie permanente, sans trèfle, Auvergne, au verger, France continentale, Base Carbone</v>
      </c>
      <c r="F1804" s="1051" t="str">
        <f t="shared" si="206"/>
        <v>Pomme silo horizontal, prairie permanente, sans trèfle, Auvergne, au verger, France continentale, Base Carbone</v>
      </c>
      <c r="G1804" s="1055" t="str">
        <f t="shared" si="207"/>
        <v>Pomme silo horizontal, prairie permanente, sans trèfle, Auvergne, au verger, France continentale, Base Carbone; kgCO2e/kg</v>
      </c>
      <c r="I1804" s="2018" t="s">
        <v>1263</v>
      </c>
      <c r="J1804" s="1135" t="s">
        <v>1572</v>
      </c>
      <c r="K1804" s="1119" t="s">
        <v>1567</v>
      </c>
      <c r="L1804" s="1135" t="s">
        <v>1571</v>
      </c>
      <c r="M1804" s="2038">
        <v>0.5</v>
      </c>
      <c r="N1804" s="1135" t="s">
        <v>4263</v>
      </c>
      <c r="O1804" s="1135">
        <v>8.5900000000000004E-2</v>
      </c>
      <c r="P1804" s="1135"/>
      <c r="Q1804" s="1135"/>
      <c r="R1804" s="1135"/>
      <c r="S1804" s="1135"/>
      <c r="T1804" s="1135"/>
      <c r="U1804" s="2041"/>
    </row>
    <row r="1805" spans="2:21" hidden="1" outlineLevel="2">
      <c r="B1805" s="1050">
        <v>44</v>
      </c>
      <c r="C1805" s="1050" t="str">
        <f t="shared" si="208"/>
        <v>Pomme à cidre prairie permanente, avec trèfle, région du Nord-Ouest, au verger, France continentale, Base Carbone</v>
      </c>
      <c r="D1805" s="1051">
        <f t="shared" si="205"/>
        <v>44</v>
      </c>
      <c r="E1805" s="1051" t="str">
        <f>IF(COUNTIF(E$1761:E1804,F1805)&gt;0,"",F1805)</f>
        <v>Pomme à cidre prairie permanente, avec trèfle, région du Nord-Ouest, au verger, France continentale, Base Carbone</v>
      </c>
      <c r="F1805" s="1051" t="str">
        <f t="shared" si="206"/>
        <v>Pomme à cidre prairie permanente, avec trèfle, région du Nord-Ouest, au verger, France continentale, Base Carbone</v>
      </c>
      <c r="G1805" s="1055" t="str">
        <f t="shared" si="207"/>
        <v>Pomme à cidre prairie permanente, avec trèfle, région du Nord-Ouest, au verger, France continentale, Base Carbone; kgCO2e/kg</v>
      </c>
      <c r="I1805" s="2018" t="s">
        <v>2146</v>
      </c>
      <c r="J1805" s="1135" t="s">
        <v>1572</v>
      </c>
      <c r="K1805" s="1119" t="s">
        <v>1567</v>
      </c>
      <c r="L1805" s="1135" t="s">
        <v>1571</v>
      </c>
      <c r="M1805" s="2038">
        <v>0.5</v>
      </c>
      <c r="N1805" s="1135" t="s">
        <v>4264</v>
      </c>
      <c r="O1805" s="1135">
        <v>8.1699999999999995E-2</v>
      </c>
      <c r="P1805" s="1135"/>
      <c r="Q1805" s="1135"/>
      <c r="R1805" s="1135"/>
      <c r="S1805" s="1135"/>
      <c r="T1805" s="1135"/>
      <c r="U1805" s="2041"/>
    </row>
    <row r="1806" spans="2:21" hidden="1" outlineLevel="2">
      <c r="B1806" s="1050">
        <v>45</v>
      </c>
      <c r="C1806" s="1050" t="str">
        <f t="shared" si="208"/>
        <v>Pomme de terre fécule de l'association de cultures, biologique, système n ° 1, sortie de ferme, Autre pays du monde, Brésil, Val de San Francisco, Base Carbone</v>
      </c>
      <c r="D1806" s="1051">
        <f t="shared" si="205"/>
        <v>45</v>
      </c>
      <c r="E1806" s="1051" t="str">
        <f>IF(COUNTIF(E$1761:E1805,F1806)&gt;0,"",F1806)</f>
        <v>Pomme de terre fécule de l'association de cultures, biologique, système n ° 1, sortie de ferme, Autre pays du monde, Brésil, Val de San Francisco, Base Carbone</v>
      </c>
      <c r="F1806" s="1051" t="str">
        <f t="shared" si="206"/>
        <v>Pomme de terre fécule de l'association de cultures, biologique, système n ° 1, sortie de ferme, Autre pays du monde, Brésil, Val de San Francisco, Base Carbone</v>
      </c>
      <c r="G1806" s="1055" t="str">
        <f t="shared" si="207"/>
        <v>Pomme de terre fécule de l'association de cultures, biologique, système n ° 1, sortie de ferme, Autre pays du monde, Brésil, Val de San Francisco, Base Carbone; kgCO2e/kg</v>
      </c>
      <c r="I1806" s="2018" t="s">
        <v>2147</v>
      </c>
      <c r="J1806" s="1135" t="s">
        <v>1572</v>
      </c>
      <c r="K1806" s="1119" t="s">
        <v>1567</v>
      </c>
      <c r="L1806" s="1135" t="s">
        <v>2161</v>
      </c>
      <c r="M1806" s="2038">
        <v>0.5</v>
      </c>
      <c r="N1806" s="1135" t="s">
        <v>4265</v>
      </c>
      <c r="O1806" s="1135">
        <v>5.8500000000000003E-2</v>
      </c>
      <c r="P1806" s="1135"/>
      <c r="Q1806" s="1135"/>
      <c r="R1806" s="1135"/>
      <c r="S1806" s="1135"/>
      <c r="T1806" s="1135"/>
      <c r="U1806" s="2041"/>
    </row>
    <row r="1807" spans="2:21" hidden="1" outlineLevel="2">
      <c r="B1807" s="1050">
        <v>46</v>
      </c>
      <c r="C1807" s="1050" t="str">
        <f t="shared" si="208"/>
        <v>Pommes de terre de l'association de cultures, biologique, système n ° 4, sortie de ferme, France continentale, Base Carbone</v>
      </c>
      <c r="D1807" s="1051">
        <f t="shared" si="205"/>
        <v>46</v>
      </c>
      <c r="E1807" s="1051" t="str">
        <f>IF(COUNTIF(E$1761:E1806,F1807)&gt;0,"",F1807)</f>
        <v>Pommes de terre de l'association de cultures, biologique, système n ° 4, sortie de ferme, France continentale, Base Carbone</v>
      </c>
      <c r="F1807" s="1051" t="str">
        <f t="shared" si="206"/>
        <v>Pommes de terre de l'association de cultures, biologique, système n ° 4, sortie de ferme, France continentale, Base Carbone</v>
      </c>
      <c r="G1807" s="1055" t="str">
        <f t="shared" si="207"/>
        <v>Pommes de terre de l'association de cultures, biologique, système n ° 4, sortie de ferme, France continentale, Base Carbone; kgCO2e/kg</v>
      </c>
      <c r="I1807" s="2018" t="s">
        <v>4221</v>
      </c>
      <c r="J1807" s="1135" t="s">
        <v>1572</v>
      </c>
      <c r="K1807" s="1119" t="s">
        <v>1567</v>
      </c>
      <c r="L1807" s="1135" t="s">
        <v>1571</v>
      </c>
      <c r="M1807" s="2038">
        <v>0.5</v>
      </c>
      <c r="N1807" s="1135" t="s">
        <v>4266</v>
      </c>
      <c r="O1807" s="1135">
        <v>6.3100000000000003E-2</v>
      </c>
      <c r="P1807" s="1135"/>
      <c r="Q1807" s="1135"/>
      <c r="R1807" s="1135"/>
      <c r="S1807" s="1135"/>
      <c r="T1807" s="1135"/>
      <c r="U1807" s="2041"/>
    </row>
    <row r="1808" spans="2:21" hidden="1" outlineLevel="2">
      <c r="B1808" s="1050">
        <v>47</v>
      </c>
      <c r="C1808" s="1050" t="str">
        <f t="shared" si="208"/>
        <v>Raisin conventionnel, moyenne nationale, Aquitaine, au vignoble, France continentale, Base Carbone</v>
      </c>
      <c r="D1808" s="1051">
        <f t="shared" si="205"/>
        <v>47</v>
      </c>
      <c r="E1808" s="1051" t="str">
        <f>IF(COUNTIF(E$1761:E1807,F1808)&gt;0,"",F1808)</f>
        <v>Raisin conventionnel, moyenne nationale, Aquitaine, au vignoble, France continentale, Base Carbone</v>
      </c>
      <c r="F1808" s="1051" t="str">
        <f t="shared" si="206"/>
        <v>Raisin conventionnel, moyenne nationale, Aquitaine, au vignoble, France continentale, Base Carbone</v>
      </c>
      <c r="G1808" s="1055" t="str">
        <f t="shared" si="207"/>
        <v>Raisin conventionnel, moyenne nationale, Aquitaine, au vignoble, France continentale, Base Carbone; kgCO2e/kg</v>
      </c>
      <c r="I1808" s="2018" t="s">
        <v>2132</v>
      </c>
      <c r="J1808" s="1135" t="s">
        <v>1572</v>
      </c>
      <c r="K1808" s="1119" t="s">
        <v>1567</v>
      </c>
      <c r="L1808" s="1135" t="s">
        <v>1571</v>
      </c>
      <c r="M1808" s="2038">
        <v>0.5</v>
      </c>
      <c r="N1808" s="1135" t="s">
        <v>4267</v>
      </c>
      <c r="O1808" s="1135">
        <v>0.58299999999999996</v>
      </c>
      <c r="P1808" s="1135"/>
      <c r="Q1808" s="1135"/>
      <c r="R1808" s="1135"/>
      <c r="S1808" s="1135"/>
      <c r="T1808" s="1135"/>
      <c r="U1808" s="2041"/>
    </row>
    <row r="1809" spans="2:21" hidden="1" outlineLevel="2">
      <c r="B1809" s="1050">
        <v>48</v>
      </c>
      <c r="C1809" s="1050" t="str">
        <f t="shared" si="208"/>
        <v>riz Jasmine fruit, sans déforestation, pour alimentation animale, sortie de ferme, Outre-mer, Polynésie Française, Base Carbone</v>
      </c>
      <c r="D1809" s="1051">
        <f t="shared" si="205"/>
        <v>48</v>
      </c>
      <c r="E1809" s="1051" t="str">
        <f>IF(COUNTIF(E$1761:E1808,F1809)&gt;0,"",F1809)</f>
        <v>riz Jasmine fruit, sans déforestation, pour alimentation animale, sortie de ferme, Outre-mer, Polynésie Française, Base Carbone</v>
      </c>
      <c r="F1809" s="1051" t="str">
        <f t="shared" si="206"/>
        <v>riz Jasmine fruit, sans déforestation, pour alimentation animale, sortie de ferme, Outre-mer, Polynésie Française, Base Carbone</v>
      </c>
      <c r="G1809" s="1055" t="str">
        <f t="shared" si="207"/>
        <v>riz Jasmine fruit, sans déforestation, pour alimentation animale, sortie de ferme, Outre-mer, Polynésie Française, Base Carbone; kgCO2e/kg</v>
      </c>
      <c r="I1809" s="2018" t="s">
        <v>4222</v>
      </c>
      <c r="J1809" s="1135" t="s">
        <v>1572</v>
      </c>
      <c r="K1809" s="1119" t="s">
        <v>1567</v>
      </c>
      <c r="L1809" s="1135" t="s">
        <v>2149</v>
      </c>
      <c r="M1809" s="2038">
        <v>0.3</v>
      </c>
      <c r="N1809" s="1135" t="s">
        <v>4268</v>
      </c>
      <c r="O1809" s="1135">
        <v>4.34</v>
      </c>
      <c r="P1809" s="1135"/>
      <c r="Q1809" s="1135"/>
      <c r="R1809" s="1135"/>
      <c r="S1809" s="1135"/>
      <c r="T1809" s="1135"/>
      <c r="U1809" s="2041"/>
    </row>
    <row r="1810" spans="2:21" hidden="1" outlineLevel="2">
      <c r="B1810" s="1050">
        <v>49</v>
      </c>
      <c r="C1810" s="1050" t="str">
        <f t="shared" si="208"/>
        <v>Rose (fleur coupée) prairie permanente, sans trèfle, Auvergne, France continentale, Base Carbone</v>
      </c>
      <c r="D1810" s="1051">
        <f t="shared" si="205"/>
        <v>49</v>
      </c>
      <c r="E1810" s="1051" t="str">
        <f>IF(COUNTIF(E$1761:E1809,F1810)&gt;0,"",F1810)</f>
        <v>Rose (fleur coupée) prairie permanente, sans trèfle, Auvergne, France continentale, Base Carbone</v>
      </c>
      <c r="F1810" s="1051" t="str">
        <f t="shared" si="206"/>
        <v>Rose (fleur coupée) prairie permanente, sans trèfle, Auvergne, France continentale, Base Carbone</v>
      </c>
      <c r="G1810" s="1055" t="str">
        <f t="shared" si="207"/>
        <v>Rose (fleur coupée) prairie permanente, sans trèfle, Auvergne, France continentale, Base Carbone; kgCO2e/kg</v>
      </c>
      <c r="I1810" s="2018" t="s">
        <v>4223</v>
      </c>
      <c r="J1810" s="1135" t="s">
        <v>1572</v>
      </c>
      <c r="K1810" s="1119" t="s">
        <v>1567</v>
      </c>
      <c r="L1810" s="1135" t="s">
        <v>1571</v>
      </c>
      <c r="M1810" s="2038">
        <v>0.5</v>
      </c>
      <c r="N1810" s="1135" t="s">
        <v>2162</v>
      </c>
      <c r="O1810" s="1135">
        <v>0.79500000000000004</v>
      </c>
      <c r="P1810" s="1135"/>
      <c r="Q1810" s="1135"/>
      <c r="R1810" s="1135"/>
      <c r="S1810" s="1135"/>
      <c r="T1810" s="1135"/>
      <c r="U1810" s="2041"/>
    </row>
    <row r="1811" spans="2:21" hidden="1" outlineLevel="2">
      <c r="B1811" s="1050">
        <v>50</v>
      </c>
      <c r="C1811" s="1050" t="str">
        <f t="shared" si="208"/>
        <v>Soja biologique, Gers, sortie de ferme, France continentale, Base Carbone</v>
      </c>
      <c r="D1811" s="1051">
        <f t="shared" si="205"/>
        <v>50</v>
      </c>
      <c r="E1811" s="1051" t="str">
        <f>IF(COUNTIF(E$1761:E1810,F1811)&gt;0,"",F1811)</f>
        <v>Soja biologique, Gers, sortie de ferme, France continentale, Base Carbone</v>
      </c>
      <c r="F1811" s="1051" t="str">
        <f t="shared" si="206"/>
        <v>Soja biologique, Gers, sortie de ferme, France continentale, Base Carbone</v>
      </c>
      <c r="G1811" s="1055" t="str">
        <f t="shared" si="207"/>
        <v>Soja biologique, Gers, sortie de ferme, France continentale, Base Carbone; kgCO2e/kg</v>
      </c>
      <c r="I1811" s="2018" t="s">
        <v>4224</v>
      </c>
      <c r="J1811" s="1135" t="s">
        <v>1572</v>
      </c>
      <c r="K1811" s="1119" t="s">
        <v>1567</v>
      </c>
      <c r="L1811" s="1135" t="s">
        <v>1571</v>
      </c>
      <c r="M1811" s="2038">
        <v>0.5</v>
      </c>
      <c r="N1811" s="1135" t="s">
        <v>4269</v>
      </c>
      <c r="O1811" s="1135">
        <v>0.68799999999999994</v>
      </c>
      <c r="P1811" s="1135"/>
      <c r="Q1811" s="1135"/>
      <c r="R1811" s="1135"/>
      <c r="S1811" s="1135"/>
      <c r="T1811" s="1135"/>
      <c r="U1811" s="2041"/>
    </row>
    <row r="1812" spans="2:21" hidden="1" outlineLevel="2">
      <c r="B1812" s="1050">
        <v>51</v>
      </c>
      <c r="C1812" s="1050" t="str">
        <f t="shared" si="208"/>
        <v>Sorgho biologique, sortie de ferme, France continentale, Base Carbone</v>
      </c>
      <c r="D1812" s="1051">
        <f t="shared" si="205"/>
        <v>51</v>
      </c>
      <c r="E1812" s="1051" t="str">
        <f>IF(COUNTIF(E$1761:E1811,F1812)&gt;0,"",F1812)</f>
        <v>Sorgho biologique, sortie de ferme, France continentale, Base Carbone</v>
      </c>
      <c r="F1812" s="1051" t="str">
        <f t="shared" si="206"/>
        <v>Sorgho biologique, sortie de ferme, France continentale, Base Carbone</v>
      </c>
      <c r="G1812" s="1055" t="str">
        <f t="shared" si="207"/>
        <v>Sorgho biologique, sortie de ferme, France continentale, Base Carbone; kgCO2e/kg</v>
      </c>
      <c r="I1812" s="2018" t="s">
        <v>312</v>
      </c>
      <c r="J1812" s="1135" t="s">
        <v>1572</v>
      </c>
      <c r="K1812" s="1119" t="s">
        <v>1567</v>
      </c>
      <c r="L1812" s="1135" t="s">
        <v>1571</v>
      </c>
      <c r="M1812" s="2038">
        <v>0.5</v>
      </c>
      <c r="N1812" s="1135" t="s">
        <v>4237</v>
      </c>
      <c r="O1812" s="1135">
        <v>0.47399999999999998</v>
      </c>
      <c r="P1812" s="1135"/>
      <c r="Q1812" s="1135"/>
      <c r="R1812" s="1135"/>
      <c r="S1812" s="1135"/>
      <c r="T1812" s="1135"/>
      <c r="U1812" s="2041"/>
    </row>
    <row r="1813" spans="2:21" hidden="1" outlineLevel="2">
      <c r="B1813" s="1050">
        <v>52</v>
      </c>
      <c r="C1813" s="1050" t="str">
        <f t="shared" si="208"/>
        <v>Tomate MedSea, palangre, sortie de ferme, France continentale, Base Carbone</v>
      </c>
      <c r="D1813" s="1051">
        <f t="shared" si="205"/>
        <v>52</v>
      </c>
      <c r="E1813" s="1051" t="str">
        <f>IF(COUNTIF(E$1761:E1812,F1813)&gt;0,"",F1813)</f>
        <v>Tomate MedSea, palangre, sortie de ferme, France continentale, Base Carbone</v>
      </c>
      <c r="F1813" s="1051" t="str">
        <f t="shared" si="206"/>
        <v>Tomate MedSea, palangre, sortie de ferme, France continentale, Base Carbone</v>
      </c>
      <c r="G1813" s="1055" t="str">
        <f t="shared" si="207"/>
        <v>Tomate MedSea, palangre, sortie de ferme, France continentale, Base Carbone; kgCO2e/kg</v>
      </c>
      <c r="I1813" s="2018" t="s">
        <v>2133</v>
      </c>
      <c r="J1813" s="1135" t="s">
        <v>1572</v>
      </c>
      <c r="K1813" s="1119" t="s">
        <v>1567</v>
      </c>
      <c r="L1813" s="1135" t="s">
        <v>1571</v>
      </c>
      <c r="M1813" s="2038">
        <v>0.5</v>
      </c>
      <c r="N1813" s="1135" t="s">
        <v>4270</v>
      </c>
      <c r="O1813" s="1135">
        <v>2.36</v>
      </c>
      <c r="P1813" s="1135"/>
      <c r="Q1813" s="1135"/>
      <c r="R1813" s="1135"/>
      <c r="S1813" s="1135"/>
      <c r="T1813" s="1135"/>
      <c r="U1813" s="2041"/>
    </row>
    <row r="1814" spans="2:21" hidden="1" outlineLevel="2">
      <c r="B1814" s="1050">
        <v>53</v>
      </c>
      <c r="C1814" s="1050" t="str">
        <f t="shared" si="208"/>
        <v>Tournesol prairie permanente, biologique, sortie de ferme, France continentale, Base Carbone</v>
      </c>
      <c r="D1814" s="1051">
        <f t="shared" si="205"/>
        <v>53</v>
      </c>
      <c r="E1814" s="1051" t="str">
        <f>IF(COUNTIF(E$1761:E1813,F1814)&gt;0,"",F1814)</f>
        <v>Tournesol prairie permanente, biologique, sortie de ferme, France continentale, Base Carbone</v>
      </c>
      <c r="F1814" s="1051" t="str">
        <f t="shared" si="206"/>
        <v>Tournesol prairie permanente, biologique, sortie de ferme, France continentale, Base Carbone</v>
      </c>
      <c r="G1814" s="1055" t="str">
        <f t="shared" si="207"/>
        <v>Tournesol prairie permanente, biologique, sortie de ferme, France continentale, Base Carbone; kgCO2e/kg</v>
      </c>
      <c r="I1814" s="2018" t="s">
        <v>404</v>
      </c>
      <c r="J1814" s="1135" t="s">
        <v>1572</v>
      </c>
      <c r="K1814" s="1119" t="s">
        <v>1567</v>
      </c>
      <c r="L1814" s="1135" t="s">
        <v>1571</v>
      </c>
      <c r="M1814" s="2038">
        <v>0.5</v>
      </c>
      <c r="N1814" s="1135" t="s">
        <v>4271</v>
      </c>
      <c r="O1814" s="1135">
        <v>0.61</v>
      </c>
      <c r="P1814" s="1135"/>
      <c r="Q1814" s="1135"/>
      <c r="R1814" s="1135"/>
      <c r="S1814" s="1135"/>
      <c r="T1814" s="1135"/>
      <c r="U1814" s="2041"/>
    </row>
    <row r="1815" spans="2:21" hidden="1" outlineLevel="2">
      <c r="B1815" s="1050">
        <v>54</v>
      </c>
      <c r="C1815" s="1050" t="str">
        <f t="shared" si="208"/>
        <v>Raisin de cuve biologique, système n ° 4, sortie de ferme, France continentale, Bretagne du Sud et Nord-Ouest, Base Carbone</v>
      </c>
      <c r="D1815" s="1051">
        <f t="shared" si="205"/>
        <v>54</v>
      </c>
      <c r="E1815" s="1051" t="str">
        <f>IF(COUNTIF(E$1761:E1814,F1815)&gt;0,"",F1815)</f>
        <v>Raisin de cuve biologique, système n ° 4, sortie de ferme, France continentale, Bretagne du Sud et Nord-Ouest, Base Carbone</v>
      </c>
      <c r="F1815" s="1051" t="str">
        <f t="shared" si="206"/>
        <v>Raisin de cuve biologique, système n ° 4, sortie de ferme, France continentale, Bretagne du Sud et Nord-Ouest, Base Carbone</v>
      </c>
      <c r="G1815" s="1055" t="str">
        <f t="shared" si="207"/>
        <v>Raisin de cuve biologique, système n ° 4, sortie de ferme, France continentale, Bretagne du Sud et Nord-Ouest, Base Carbone; kgCO2e/kg</v>
      </c>
      <c r="I1815" s="2018" t="s">
        <v>4225</v>
      </c>
      <c r="J1815" s="1135" t="s">
        <v>1572</v>
      </c>
      <c r="K1815" s="1119" t="s">
        <v>1567</v>
      </c>
      <c r="L1815" s="1135" t="s">
        <v>2158</v>
      </c>
      <c r="M1815" s="2038">
        <v>0.5</v>
      </c>
      <c r="N1815" s="1135" t="s">
        <v>4272</v>
      </c>
      <c r="O1815" s="1135">
        <v>0.30599999999999999</v>
      </c>
      <c r="P1815" s="1135"/>
      <c r="Q1815" s="1135"/>
      <c r="R1815" s="1135"/>
      <c r="S1815" s="1135"/>
      <c r="T1815" s="1135"/>
      <c r="U1815" s="2041"/>
    </row>
    <row r="1816" spans="2:21" hidden="1" outlineLevel="2">
      <c r="B1816" s="1050">
        <v>55</v>
      </c>
      <c r="C1816" s="1050" t="str">
        <f t="shared" si="208"/>
        <v>-</v>
      </c>
      <c r="D1816" s="1051">
        <f t="shared" si="205"/>
        <v>54</v>
      </c>
      <c r="E1816" s="1051" t="str">
        <f>IF(COUNTIF(E$1761:E1815,F1816)&gt;0,"",F1816)</f>
        <v/>
      </c>
      <c r="F1816" s="1051" t="str">
        <f t="shared" si="206"/>
        <v/>
      </c>
      <c r="G1816" s="1055" t="str">
        <f t="shared" si="207"/>
        <v/>
      </c>
      <c r="I1816" s="1100"/>
      <c r="J1816" s="1048"/>
      <c r="K1816" s="1119"/>
      <c r="L1816" s="1048"/>
      <c r="M1816" s="2038"/>
      <c r="N1816" s="1048"/>
      <c r="O1816" s="1048"/>
      <c r="P1816" s="1048"/>
      <c r="Q1816" s="1048"/>
      <c r="R1816" s="1048"/>
      <c r="S1816" s="1048"/>
      <c r="T1816" s="1048"/>
      <c r="U1816" s="1102"/>
    </row>
    <row r="1817" spans="2:21" hidden="1" outlineLevel="2">
      <c r="B1817" s="1050">
        <v>56</v>
      </c>
      <c r="C1817" s="1050" t="str">
        <f t="shared" si="208"/>
        <v>-</v>
      </c>
      <c r="D1817" s="1051">
        <f t="shared" si="205"/>
        <v>54</v>
      </c>
      <c r="E1817" s="1051" t="str">
        <f>IF(COUNTIF(E$1761:E1816,F1817)&gt;0,"",F1817)</f>
        <v/>
      </c>
      <c r="F1817" s="1051" t="str">
        <f t="shared" si="206"/>
        <v/>
      </c>
      <c r="G1817" s="1055" t="str">
        <f t="shared" si="207"/>
        <v/>
      </c>
      <c r="I1817" s="1100"/>
      <c r="J1817" s="1048"/>
      <c r="K1817" s="1119"/>
      <c r="L1817" s="1048"/>
      <c r="M1817" s="2038"/>
      <c r="N1817" s="1048"/>
      <c r="O1817" s="1048"/>
      <c r="P1817" s="1048"/>
      <c r="Q1817" s="1048"/>
      <c r="R1817" s="1048"/>
      <c r="S1817" s="1048"/>
      <c r="T1817" s="1048"/>
      <c r="U1817" s="1102"/>
    </row>
    <row r="1818" spans="2:21" hidden="1" outlineLevel="2">
      <c r="B1818" s="1050">
        <v>57</v>
      </c>
      <c r="C1818" s="1050" t="str">
        <f t="shared" si="208"/>
        <v>-</v>
      </c>
      <c r="D1818" s="1051">
        <f t="shared" si="205"/>
        <v>54</v>
      </c>
      <c r="E1818" s="1051" t="str">
        <f>IF(COUNTIF(E$1761:E1817,F1818)&gt;0,"",F1818)</f>
        <v/>
      </c>
      <c r="F1818" s="1051" t="str">
        <f t="shared" si="206"/>
        <v/>
      </c>
      <c r="G1818" s="1055" t="str">
        <f t="shared" si="207"/>
        <v/>
      </c>
      <c r="I1818" s="1100"/>
      <c r="J1818" s="1048"/>
      <c r="K1818" s="1119"/>
      <c r="L1818" s="1048"/>
      <c r="M1818" s="2038"/>
      <c r="N1818" s="1048"/>
      <c r="O1818" s="1048"/>
      <c r="P1818" s="1048"/>
      <c r="Q1818" s="1048"/>
      <c r="R1818" s="1048"/>
      <c r="S1818" s="1048"/>
      <c r="T1818" s="1048"/>
      <c r="U1818" s="1102"/>
    </row>
    <row r="1819" spans="2:21" hidden="1" outlineLevel="2">
      <c r="B1819" s="1050">
        <v>58</v>
      </c>
      <c r="C1819" s="1050" t="str">
        <f t="shared" si="208"/>
        <v>-</v>
      </c>
      <c r="D1819" s="1051">
        <f t="shared" si="205"/>
        <v>54</v>
      </c>
      <c r="E1819" s="1051" t="str">
        <f>IF(COUNTIF(E$1761:E1818,F1819)&gt;0,"",F1819)</f>
        <v/>
      </c>
      <c r="F1819" s="1051" t="str">
        <f t="shared" si="206"/>
        <v/>
      </c>
      <c r="G1819" s="1055" t="str">
        <f t="shared" si="207"/>
        <v/>
      </c>
      <c r="I1819" s="1100"/>
      <c r="J1819" s="1048"/>
      <c r="K1819" s="1119"/>
      <c r="L1819" s="1048"/>
      <c r="M1819" s="2038"/>
      <c r="N1819" s="1048"/>
      <c r="O1819" s="1048"/>
      <c r="P1819" s="1048"/>
      <c r="Q1819" s="1048"/>
      <c r="R1819" s="1048"/>
      <c r="S1819" s="1048"/>
      <c r="T1819" s="1048"/>
      <c r="U1819" s="1102"/>
    </row>
    <row r="1820" spans="2:21" hidden="1" outlineLevel="2">
      <c r="B1820" s="1050">
        <v>59</v>
      </c>
      <c r="C1820" s="1050" t="str">
        <f t="shared" si="208"/>
        <v>-</v>
      </c>
      <c r="D1820" s="1051">
        <f t="shared" si="205"/>
        <v>54</v>
      </c>
      <c r="E1820" s="1051" t="str">
        <f>IF(COUNTIF(E$1761:E1819,F1820)&gt;0,"",F1820)</f>
        <v/>
      </c>
      <c r="F1820" s="1051" t="str">
        <f t="shared" si="206"/>
        <v/>
      </c>
      <c r="G1820" s="1055" t="str">
        <f t="shared" si="207"/>
        <v/>
      </c>
      <c r="I1820" s="1100"/>
      <c r="J1820" s="1048"/>
      <c r="K1820" s="1119"/>
      <c r="L1820" s="1048"/>
      <c r="M1820" s="2038"/>
      <c r="N1820" s="1048"/>
      <c r="O1820" s="1048"/>
      <c r="P1820" s="1048"/>
      <c r="Q1820" s="1048"/>
      <c r="R1820" s="1048"/>
      <c r="S1820" s="1048"/>
      <c r="T1820" s="1048"/>
      <c r="U1820" s="1102"/>
    </row>
    <row r="1821" spans="2:21" hidden="1" outlineLevel="2">
      <c r="B1821" s="1050">
        <v>60</v>
      </c>
      <c r="C1821" s="1050" t="str">
        <f t="shared" si="208"/>
        <v>-</v>
      </c>
      <c r="D1821" s="1051">
        <f t="shared" si="205"/>
        <v>54</v>
      </c>
      <c r="E1821" s="1051" t="str">
        <f>IF(COUNTIF(E$1761:E1820,F1821)&gt;0,"",F1821)</f>
        <v/>
      </c>
      <c r="F1821" s="1051" t="str">
        <f t="shared" si="206"/>
        <v/>
      </c>
      <c r="G1821" s="1055" t="str">
        <f t="shared" si="207"/>
        <v/>
      </c>
      <c r="I1821" s="1100"/>
      <c r="J1821" s="1048"/>
      <c r="K1821" s="1119"/>
      <c r="L1821" s="1048"/>
      <c r="M1821" s="2038"/>
      <c r="N1821" s="1048"/>
      <c r="O1821" s="1048"/>
      <c r="P1821" s="1048"/>
      <c r="Q1821" s="1048"/>
      <c r="R1821" s="1048"/>
      <c r="S1821" s="1048"/>
      <c r="T1821" s="1048"/>
      <c r="U1821" s="1102"/>
    </row>
    <row r="1822" spans="2:21" hidden="1" outlineLevel="2">
      <c r="B1822" s="1050">
        <v>61</v>
      </c>
      <c r="C1822" s="1050" t="str">
        <f t="shared" si="208"/>
        <v>-</v>
      </c>
      <c r="D1822" s="1051">
        <f t="shared" si="205"/>
        <v>54</v>
      </c>
      <c r="E1822" s="1051" t="str">
        <f>IF(COUNTIF(E$1761:E1821,F1822)&gt;0,"",F1822)</f>
        <v/>
      </c>
      <c r="F1822" s="1051" t="str">
        <f t="shared" si="206"/>
        <v/>
      </c>
      <c r="G1822" s="1055" t="str">
        <f t="shared" si="207"/>
        <v/>
      </c>
      <c r="I1822" s="1100"/>
      <c r="J1822" s="1048"/>
      <c r="K1822" s="1119"/>
      <c r="L1822" s="1048"/>
      <c r="M1822" s="2038"/>
      <c r="N1822" s="1048"/>
      <c r="O1822" s="1048"/>
      <c r="P1822" s="1048"/>
      <c r="Q1822" s="1048"/>
      <c r="R1822" s="1048"/>
      <c r="S1822" s="1048"/>
      <c r="T1822" s="1048"/>
      <c r="U1822" s="1102"/>
    </row>
    <row r="1823" spans="2:21" hidden="1" outlineLevel="2">
      <c r="B1823" s="1050">
        <v>62</v>
      </c>
      <c r="C1823" s="1050" t="str">
        <f t="shared" si="208"/>
        <v>-</v>
      </c>
      <c r="D1823" s="1051">
        <f t="shared" si="205"/>
        <v>54</v>
      </c>
      <c r="E1823" s="1051" t="str">
        <f>IF(COUNTIF(E$1761:E1822,F1823)&gt;0,"",F1823)</f>
        <v/>
      </c>
      <c r="F1823" s="1051" t="str">
        <f t="shared" si="206"/>
        <v/>
      </c>
      <c r="G1823" s="1055" t="str">
        <f t="shared" si="207"/>
        <v/>
      </c>
      <c r="I1823" s="1100"/>
      <c r="J1823" s="1048"/>
      <c r="K1823" s="1119"/>
      <c r="L1823" s="1048"/>
      <c r="M1823" s="2038"/>
      <c r="N1823" s="1048"/>
      <c r="O1823" s="1048"/>
      <c r="P1823" s="1048"/>
      <c r="Q1823" s="1048"/>
      <c r="R1823" s="1048"/>
      <c r="S1823" s="1048"/>
      <c r="T1823" s="1048"/>
      <c r="U1823" s="1102"/>
    </row>
    <row r="1824" spans="2:21" hidden="1" outlineLevel="2">
      <c r="B1824" s="1050">
        <v>63</v>
      </c>
      <c r="C1824" s="1050" t="str">
        <f t="shared" si="208"/>
        <v>-</v>
      </c>
      <c r="D1824" s="1051">
        <f t="shared" si="205"/>
        <v>54</v>
      </c>
      <c r="E1824" s="1051" t="str">
        <f>IF(COUNTIF(E$1761:E1823,F1824)&gt;0,"",F1824)</f>
        <v/>
      </c>
      <c r="F1824" s="1051" t="str">
        <f t="shared" si="206"/>
        <v/>
      </c>
      <c r="G1824" s="1055" t="str">
        <f t="shared" si="207"/>
        <v/>
      </c>
      <c r="I1824" s="1100"/>
      <c r="J1824" s="1048"/>
      <c r="K1824" s="1119"/>
      <c r="L1824" s="1048"/>
      <c r="M1824" s="2038"/>
      <c r="N1824" s="1048"/>
      <c r="O1824" s="1048"/>
      <c r="P1824" s="1048"/>
      <c r="Q1824" s="1048"/>
      <c r="R1824" s="1048"/>
      <c r="S1824" s="1048"/>
      <c r="T1824" s="1048"/>
      <c r="U1824" s="1102"/>
    </row>
    <row r="1825" spans="2:21" hidden="1" outlineLevel="2">
      <c r="B1825" s="1050">
        <v>64</v>
      </c>
      <c r="C1825" s="1050" t="str">
        <f t="shared" si="208"/>
        <v>-</v>
      </c>
      <c r="D1825" s="1051">
        <f t="shared" si="205"/>
        <v>54</v>
      </c>
      <c r="E1825" s="1051" t="str">
        <f>IF(COUNTIF(E$1761:E1824,F1825)&gt;0,"",F1825)</f>
        <v/>
      </c>
      <c r="F1825" s="1051" t="str">
        <f t="shared" si="206"/>
        <v/>
      </c>
      <c r="G1825" s="1055" t="str">
        <f t="shared" si="207"/>
        <v/>
      </c>
      <c r="I1825" s="1100"/>
      <c r="J1825" s="1048"/>
      <c r="K1825" s="1119"/>
      <c r="L1825" s="1048"/>
      <c r="M1825" s="2038"/>
      <c r="N1825" s="1048"/>
      <c r="O1825" s="1048"/>
      <c r="P1825" s="1048"/>
      <c r="Q1825" s="1048"/>
      <c r="R1825" s="1048"/>
      <c r="S1825" s="1048"/>
      <c r="T1825" s="1048"/>
      <c r="U1825" s="1102"/>
    </row>
    <row r="1826" spans="2:21" hidden="1" outlineLevel="2">
      <c r="B1826" s="1050"/>
      <c r="C1826" s="1050"/>
      <c r="D1826" s="1051">
        <f t="shared" si="205"/>
        <v>54</v>
      </c>
      <c r="E1826" s="1051" t="str">
        <f>IF(COUNTIF(E$1761:E1825,F1826)&gt;0,"",F1826)</f>
        <v/>
      </c>
      <c r="F1826" s="1051" t="str">
        <f t="shared" si="206"/>
        <v/>
      </c>
      <c r="G1826" s="1055" t="str">
        <f t="shared" si="207"/>
        <v/>
      </c>
      <c r="I1826" s="1100"/>
      <c r="J1826" s="1048"/>
      <c r="K1826" s="1119"/>
      <c r="L1826" s="1048"/>
      <c r="M1826" s="2038"/>
      <c r="N1826" s="1048"/>
      <c r="O1826" s="1048"/>
      <c r="P1826" s="1048"/>
      <c r="Q1826" s="1048"/>
      <c r="R1826" s="1048"/>
      <c r="S1826" s="1048"/>
      <c r="T1826" s="1048"/>
      <c r="U1826" s="1102"/>
    </row>
    <row r="1827" spans="2:21" hidden="1" outlineLevel="2">
      <c r="B1827" s="1050"/>
      <c r="C1827" s="1050"/>
      <c r="D1827" s="1051">
        <f t="shared" ref="D1827:D1853" si="209">D1826+IF(LEN(E1827)&gt;0,1,0)</f>
        <v>54</v>
      </c>
      <c r="E1827" s="1051" t="str">
        <f>IF(COUNTIF(E$1761:E1826,F1827)&gt;0,"",F1827)</f>
        <v/>
      </c>
      <c r="F1827" s="1051" t="str">
        <f t="shared" ref="F1827:F1853" si="210">IF(I1827&lt;&gt;"",I1827&amp;IF(N1827&lt;&gt;""," "&amp;N1827,)&amp;IF(L1827&lt;&gt;"",", "&amp;L1827,"")&amp;IF(K1827&lt;&gt;"",", "&amp;K1827,""),"")</f>
        <v/>
      </c>
      <c r="G1827" s="1055" t="str">
        <f t="shared" ref="G1827:G1853" si="211">IF(F1827&lt;&gt;"",F1827&amp;IF(J1827&lt;&gt;"","; "&amp;J1827,""),"")</f>
        <v/>
      </c>
      <c r="I1827" s="1100"/>
      <c r="J1827" s="1048"/>
      <c r="K1827" s="1119"/>
      <c r="L1827" s="1048"/>
      <c r="M1827" s="2038"/>
      <c r="N1827" s="1048"/>
      <c r="O1827" s="1048"/>
      <c r="P1827" s="1048"/>
      <c r="Q1827" s="1048"/>
      <c r="R1827" s="1048"/>
      <c r="S1827" s="1048"/>
      <c r="T1827" s="1048"/>
      <c r="U1827" s="1102"/>
    </row>
    <row r="1828" spans="2:21" hidden="1" outlineLevel="2">
      <c r="B1828" s="1050"/>
      <c r="C1828" s="1050"/>
      <c r="D1828" s="1051">
        <f t="shared" si="209"/>
        <v>54</v>
      </c>
      <c r="E1828" s="1051" t="str">
        <f>IF(COUNTIF(E$1761:E1827,F1828)&gt;0,"",F1828)</f>
        <v/>
      </c>
      <c r="F1828" s="1051" t="str">
        <f t="shared" si="210"/>
        <v/>
      </c>
      <c r="G1828" s="1055" t="str">
        <f t="shared" si="211"/>
        <v/>
      </c>
      <c r="I1828" s="1100"/>
      <c r="J1828" s="1048"/>
      <c r="K1828" s="1119"/>
      <c r="L1828" s="1048"/>
      <c r="M1828" s="2038"/>
      <c r="N1828" s="1048"/>
      <c r="O1828" s="1048"/>
      <c r="P1828" s="1048"/>
      <c r="Q1828" s="1048"/>
      <c r="R1828" s="1048"/>
      <c r="S1828" s="1048"/>
      <c r="T1828" s="1048"/>
      <c r="U1828" s="1102"/>
    </row>
    <row r="1829" spans="2:21" hidden="1" outlineLevel="2">
      <c r="B1829" s="1050"/>
      <c r="C1829" s="1050"/>
      <c r="D1829" s="1051">
        <f t="shared" si="209"/>
        <v>54</v>
      </c>
      <c r="E1829" s="1051" t="str">
        <f>IF(COUNTIF(E$1761:E1828,F1829)&gt;0,"",F1829)</f>
        <v/>
      </c>
      <c r="F1829" s="1051" t="str">
        <f t="shared" si="210"/>
        <v/>
      </c>
      <c r="G1829" s="1055" t="str">
        <f t="shared" si="211"/>
        <v/>
      </c>
      <c r="I1829" s="1100"/>
      <c r="J1829" s="1048"/>
      <c r="K1829" s="1119"/>
      <c r="L1829" s="1048"/>
      <c r="M1829" s="2038"/>
      <c r="N1829" s="1048"/>
      <c r="O1829" s="1048"/>
      <c r="P1829" s="1048"/>
      <c r="Q1829" s="1048"/>
      <c r="R1829" s="1048"/>
      <c r="S1829" s="1048"/>
      <c r="T1829" s="1048"/>
      <c r="U1829" s="1102"/>
    </row>
    <row r="1830" spans="2:21" hidden="1" outlineLevel="2">
      <c r="B1830" s="1050"/>
      <c r="C1830" s="1050"/>
      <c r="D1830" s="1051">
        <f t="shared" si="209"/>
        <v>54</v>
      </c>
      <c r="E1830" s="1051" t="str">
        <f>IF(COUNTIF(E$1761:E1829,F1830)&gt;0,"",F1830)</f>
        <v/>
      </c>
      <c r="F1830" s="1051" t="str">
        <f t="shared" si="210"/>
        <v/>
      </c>
      <c r="G1830" s="1055" t="str">
        <f t="shared" si="211"/>
        <v/>
      </c>
      <c r="I1830" s="1100"/>
      <c r="J1830" s="1048"/>
      <c r="K1830" s="1119"/>
      <c r="L1830" s="1048"/>
      <c r="M1830" s="2038"/>
      <c r="N1830" s="1048"/>
      <c r="O1830" s="1048"/>
      <c r="P1830" s="1048"/>
      <c r="Q1830" s="1048"/>
      <c r="R1830" s="1048"/>
      <c r="S1830" s="1048"/>
      <c r="T1830" s="1048"/>
      <c r="U1830" s="1102"/>
    </row>
    <row r="1831" spans="2:21" hidden="1" outlineLevel="2">
      <c r="B1831" s="1050"/>
      <c r="C1831" s="1050"/>
      <c r="D1831" s="1051">
        <f t="shared" si="209"/>
        <v>54</v>
      </c>
      <c r="E1831" s="1051" t="str">
        <f>IF(COUNTIF(E$1761:E1830,F1831)&gt;0,"",F1831)</f>
        <v/>
      </c>
      <c r="F1831" s="1051" t="str">
        <f t="shared" si="210"/>
        <v/>
      </c>
      <c r="G1831" s="1055" t="str">
        <f t="shared" si="211"/>
        <v/>
      </c>
      <c r="I1831" s="1100"/>
      <c r="J1831" s="1048"/>
      <c r="K1831" s="1119"/>
      <c r="L1831" s="1048"/>
      <c r="M1831" s="2038"/>
      <c r="N1831" s="1048"/>
      <c r="O1831" s="1048"/>
      <c r="P1831" s="1048"/>
      <c r="Q1831" s="1048"/>
      <c r="R1831" s="1048"/>
      <c r="S1831" s="1048"/>
      <c r="T1831" s="1048"/>
      <c r="U1831" s="1102"/>
    </row>
    <row r="1832" spans="2:21" hidden="1" outlineLevel="2">
      <c r="B1832" s="1050"/>
      <c r="C1832" s="1050"/>
      <c r="D1832" s="1051">
        <f t="shared" si="209"/>
        <v>54</v>
      </c>
      <c r="E1832" s="1051" t="str">
        <f>IF(COUNTIF(E$1761:E1831,F1832)&gt;0,"",F1832)</f>
        <v/>
      </c>
      <c r="F1832" s="1051" t="str">
        <f t="shared" si="210"/>
        <v/>
      </c>
      <c r="G1832" s="1055" t="str">
        <f t="shared" si="211"/>
        <v/>
      </c>
      <c r="I1832" s="1100"/>
      <c r="J1832" s="1048"/>
      <c r="K1832" s="1119"/>
      <c r="L1832" s="1048"/>
      <c r="M1832" s="2038"/>
      <c r="N1832" s="1048"/>
      <c r="O1832" s="1048"/>
      <c r="P1832" s="1048"/>
      <c r="Q1832" s="1048"/>
      <c r="R1832" s="1048"/>
      <c r="S1832" s="1048"/>
      <c r="T1832" s="1048"/>
      <c r="U1832" s="1102"/>
    </row>
    <row r="1833" spans="2:21" hidden="1" outlineLevel="2">
      <c r="B1833" s="1050"/>
      <c r="C1833" s="1050"/>
      <c r="D1833" s="1051">
        <f t="shared" si="209"/>
        <v>54</v>
      </c>
      <c r="E1833" s="1051" t="str">
        <f>IF(COUNTIF(E$1761:E1832,F1833)&gt;0,"",F1833)</f>
        <v/>
      </c>
      <c r="F1833" s="1051" t="str">
        <f t="shared" si="210"/>
        <v/>
      </c>
      <c r="G1833" s="1055" t="str">
        <f t="shared" si="211"/>
        <v/>
      </c>
      <c r="I1833" s="1100"/>
      <c r="J1833" s="1048"/>
      <c r="K1833" s="1119"/>
      <c r="L1833" s="1048"/>
      <c r="M1833" s="2038"/>
      <c r="N1833" s="1048"/>
      <c r="O1833" s="1048"/>
      <c r="P1833" s="1048"/>
      <c r="Q1833" s="1048"/>
      <c r="R1833" s="1048"/>
      <c r="S1833" s="1048"/>
      <c r="T1833" s="1048"/>
      <c r="U1833" s="1102"/>
    </row>
    <row r="1834" spans="2:21" hidden="1" outlineLevel="2">
      <c r="B1834" s="1050"/>
      <c r="C1834" s="1050"/>
      <c r="D1834" s="1051">
        <f t="shared" si="209"/>
        <v>54</v>
      </c>
      <c r="E1834" s="1051" t="str">
        <f>IF(COUNTIF(E$1761:E1833,F1834)&gt;0,"",F1834)</f>
        <v/>
      </c>
      <c r="F1834" s="1051" t="str">
        <f t="shared" si="210"/>
        <v/>
      </c>
      <c r="G1834" s="1055" t="str">
        <f t="shared" si="211"/>
        <v/>
      </c>
      <c r="I1834" s="1100"/>
      <c r="J1834" s="1048"/>
      <c r="K1834" s="1119"/>
      <c r="L1834" s="1048"/>
      <c r="M1834" s="2038"/>
      <c r="N1834" s="1048"/>
      <c r="O1834" s="1048"/>
      <c r="P1834" s="1048"/>
      <c r="Q1834" s="1048"/>
      <c r="R1834" s="1048"/>
      <c r="S1834" s="1048"/>
      <c r="T1834" s="1048"/>
      <c r="U1834" s="1102"/>
    </row>
    <row r="1835" spans="2:21" hidden="1" outlineLevel="2">
      <c r="B1835" s="1050"/>
      <c r="C1835" s="1050"/>
      <c r="D1835" s="1051">
        <f t="shared" si="209"/>
        <v>54</v>
      </c>
      <c r="E1835" s="1051" t="str">
        <f>IF(COUNTIF(E$1761:E1834,F1835)&gt;0,"",F1835)</f>
        <v/>
      </c>
      <c r="F1835" s="1051" t="str">
        <f t="shared" si="210"/>
        <v/>
      </c>
      <c r="G1835" s="1055" t="str">
        <f t="shared" si="211"/>
        <v/>
      </c>
      <c r="I1835" s="1100"/>
      <c r="J1835" s="1048"/>
      <c r="K1835" s="1119"/>
      <c r="L1835" s="1048"/>
      <c r="M1835" s="2038"/>
      <c r="N1835" s="1048"/>
      <c r="O1835" s="1048"/>
      <c r="P1835" s="1048"/>
      <c r="Q1835" s="1048"/>
      <c r="R1835" s="1048"/>
      <c r="S1835" s="1048"/>
      <c r="T1835" s="1048"/>
      <c r="U1835" s="1102"/>
    </row>
    <row r="1836" spans="2:21" hidden="1" outlineLevel="2">
      <c r="B1836" s="1050"/>
      <c r="C1836" s="1050"/>
      <c r="D1836" s="1051">
        <f t="shared" si="209"/>
        <v>54</v>
      </c>
      <c r="E1836" s="1051" t="str">
        <f>IF(COUNTIF(E$1761:E1835,F1836)&gt;0,"",F1836)</f>
        <v/>
      </c>
      <c r="F1836" s="1051" t="str">
        <f t="shared" si="210"/>
        <v/>
      </c>
      <c r="G1836" s="1055" t="str">
        <f t="shared" si="211"/>
        <v/>
      </c>
      <c r="I1836" s="1100"/>
      <c r="J1836" s="1048"/>
      <c r="K1836" s="1119"/>
      <c r="L1836" s="1048"/>
      <c r="M1836" s="2038"/>
      <c r="N1836" s="1048"/>
      <c r="O1836" s="1048"/>
      <c r="P1836" s="1048"/>
      <c r="Q1836" s="1048"/>
      <c r="R1836" s="1048"/>
      <c r="S1836" s="1048"/>
      <c r="T1836" s="1048"/>
      <c r="U1836" s="1102"/>
    </row>
    <row r="1837" spans="2:21" hidden="1" outlineLevel="2">
      <c r="B1837" s="1050"/>
      <c r="C1837" s="1050"/>
      <c r="D1837" s="1051">
        <f t="shared" si="209"/>
        <v>54</v>
      </c>
      <c r="E1837" s="1051" t="str">
        <f>IF(COUNTIF(E$1761:E1836,F1837)&gt;0,"",F1837)</f>
        <v/>
      </c>
      <c r="F1837" s="1051" t="str">
        <f t="shared" si="210"/>
        <v/>
      </c>
      <c r="G1837" s="1055" t="str">
        <f t="shared" si="211"/>
        <v/>
      </c>
      <c r="I1837" s="1100"/>
      <c r="J1837" s="1048"/>
      <c r="K1837" s="1119"/>
      <c r="L1837" s="1048"/>
      <c r="M1837" s="2038"/>
      <c r="N1837" s="1048"/>
      <c r="O1837" s="1048"/>
      <c r="P1837" s="1048"/>
      <c r="Q1837" s="1048"/>
      <c r="R1837" s="1048"/>
      <c r="S1837" s="1048"/>
      <c r="T1837" s="1048"/>
      <c r="U1837" s="1102"/>
    </row>
    <row r="1838" spans="2:21" hidden="1" outlineLevel="2">
      <c r="B1838" s="1050"/>
      <c r="C1838" s="1050"/>
      <c r="D1838" s="1051">
        <f t="shared" si="209"/>
        <v>54</v>
      </c>
      <c r="E1838" s="1051" t="str">
        <f>IF(COUNTIF(E$1761:E1837,F1838)&gt;0,"",F1838)</f>
        <v/>
      </c>
      <c r="F1838" s="1051" t="str">
        <f t="shared" si="210"/>
        <v/>
      </c>
      <c r="G1838" s="1055" t="str">
        <f t="shared" si="211"/>
        <v/>
      </c>
      <c r="I1838" s="1100"/>
      <c r="J1838" s="1048"/>
      <c r="K1838" s="1119"/>
      <c r="L1838" s="1048"/>
      <c r="M1838" s="2038"/>
      <c r="N1838" s="1048"/>
      <c r="O1838" s="1048"/>
      <c r="P1838" s="1048"/>
      <c r="Q1838" s="1048"/>
      <c r="R1838" s="1048"/>
      <c r="S1838" s="1048"/>
      <c r="T1838" s="1048"/>
      <c r="U1838" s="1102"/>
    </row>
    <row r="1839" spans="2:21" hidden="1" outlineLevel="2">
      <c r="B1839" s="1050"/>
      <c r="C1839" s="1050"/>
      <c r="D1839" s="1051">
        <f t="shared" si="209"/>
        <v>54</v>
      </c>
      <c r="E1839" s="1051" t="str">
        <f>IF(COUNTIF(E$1761:E1838,F1839)&gt;0,"",F1839)</f>
        <v/>
      </c>
      <c r="F1839" s="1051" t="str">
        <f t="shared" si="210"/>
        <v/>
      </c>
      <c r="G1839" s="1055" t="str">
        <f t="shared" si="211"/>
        <v/>
      </c>
      <c r="I1839" s="1100"/>
      <c r="J1839" s="1048"/>
      <c r="K1839" s="1119"/>
      <c r="L1839" s="1048"/>
      <c r="M1839" s="2038"/>
      <c r="N1839" s="1048"/>
      <c r="O1839" s="1048"/>
      <c r="P1839" s="1048"/>
      <c r="Q1839" s="1048"/>
      <c r="R1839" s="1048"/>
      <c r="S1839" s="1048"/>
      <c r="T1839" s="1048"/>
      <c r="U1839" s="1102"/>
    </row>
    <row r="1840" spans="2:21" hidden="1" outlineLevel="2">
      <c r="B1840" s="1050"/>
      <c r="C1840" s="1050"/>
      <c r="D1840" s="1051">
        <f t="shared" si="209"/>
        <v>54</v>
      </c>
      <c r="E1840" s="1051" t="str">
        <f>IF(COUNTIF(E$1761:E1839,F1840)&gt;0,"",F1840)</f>
        <v/>
      </c>
      <c r="F1840" s="1051" t="str">
        <f t="shared" si="210"/>
        <v/>
      </c>
      <c r="G1840" s="1055" t="str">
        <f t="shared" si="211"/>
        <v/>
      </c>
      <c r="I1840" s="1100"/>
      <c r="J1840" s="1048"/>
      <c r="K1840" s="1119"/>
      <c r="L1840" s="1048"/>
      <c r="M1840" s="2038"/>
      <c r="N1840" s="1048"/>
      <c r="O1840" s="1048"/>
      <c r="P1840" s="1048"/>
      <c r="Q1840" s="1048"/>
      <c r="R1840" s="1048"/>
      <c r="S1840" s="1048"/>
      <c r="T1840" s="1048"/>
      <c r="U1840" s="1102"/>
    </row>
    <row r="1841" spans="2:21" hidden="1" outlineLevel="2">
      <c r="B1841" s="1050"/>
      <c r="C1841" s="1050"/>
      <c r="D1841" s="1051">
        <f t="shared" si="209"/>
        <v>54</v>
      </c>
      <c r="E1841" s="1051" t="str">
        <f>IF(COUNTIF(E$1761:E1840,F1841)&gt;0,"",F1841)</f>
        <v/>
      </c>
      <c r="F1841" s="1051" t="str">
        <f t="shared" si="210"/>
        <v/>
      </c>
      <c r="G1841" s="1055" t="str">
        <f t="shared" si="211"/>
        <v/>
      </c>
      <c r="I1841" s="1100"/>
      <c r="J1841" s="1048"/>
      <c r="K1841" s="1119"/>
      <c r="L1841" s="1048"/>
      <c r="M1841" s="2038"/>
      <c r="N1841" s="1048"/>
      <c r="O1841" s="1048"/>
      <c r="P1841" s="1048"/>
      <c r="Q1841" s="1048"/>
      <c r="R1841" s="1048"/>
      <c r="S1841" s="1048"/>
      <c r="T1841" s="1048"/>
      <c r="U1841" s="1102"/>
    </row>
    <row r="1842" spans="2:21" hidden="1" outlineLevel="2">
      <c r="B1842" s="1050"/>
      <c r="C1842" s="1050"/>
      <c r="D1842" s="1051">
        <f t="shared" si="209"/>
        <v>54</v>
      </c>
      <c r="E1842" s="1051" t="str">
        <f>IF(COUNTIF(E$1761:E1841,F1842)&gt;0,"",F1842)</f>
        <v/>
      </c>
      <c r="F1842" s="1051" t="str">
        <f t="shared" si="210"/>
        <v/>
      </c>
      <c r="G1842" s="1055" t="str">
        <f t="shared" si="211"/>
        <v/>
      </c>
      <c r="I1842" s="1100"/>
      <c r="J1842" s="1048"/>
      <c r="K1842" s="1119"/>
      <c r="L1842" s="1048"/>
      <c r="M1842" s="2038"/>
      <c r="N1842" s="1048"/>
      <c r="O1842" s="1048"/>
      <c r="P1842" s="1048"/>
      <c r="Q1842" s="1048"/>
      <c r="R1842" s="1048"/>
      <c r="S1842" s="1048"/>
      <c r="T1842" s="1048"/>
      <c r="U1842" s="1102"/>
    </row>
    <row r="1843" spans="2:21" hidden="1" outlineLevel="2">
      <c r="B1843" s="1050"/>
      <c r="C1843" s="1050"/>
      <c r="D1843" s="1051">
        <f t="shared" si="209"/>
        <v>54</v>
      </c>
      <c r="E1843" s="1051" t="str">
        <f>IF(COUNTIF(E$1761:E1842,F1843)&gt;0,"",F1843)</f>
        <v/>
      </c>
      <c r="F1843" s="1051" t="str">
        <f t="shared" si="210"/>
        <v/>
      </c>
      <c r="G1843" s="1055" t="str">
        <f t="shared" si="211"/>
        <v/>
      </c>
      <c r="I1843" s="1100"/>
      <c r="J1843" s="1048"/>
      <c r="K1843" s="1119"/>
      <c r="L1843" s="1048"/>
      <c r="M1843" s="2038"/>
      <c r="N1843" s="1048"/>
      <c r="O1843" s="1048"/>
      <c r="P1843" s="1048"/>
      <c r="Q1843" s="1048"/>
      <c r="R1843" s="1048"/>
      <c r="S1843" s="1048"/>
      <c r="T1843" s="1048"/>
      <c r="U1843" s="1102"/>
    </row>
    <row r="1844" spans="2:21" hidden="1" outlineLevel="2">
      <c r="B1844" s="1050"/>
      <c r="C1844" s="1050"/>
      <c r="D1844" s="1051">
        <f t="shared" si="209"/>
        <v>54</v>
      </c>
      <c r="E1844" s="1051" t="str">
        <f>IF(COUNTIF(E$1761:E1843,F1844)&gt;0,"",F1844)</f>
        <v/>
      </c>
      <c r="F1844" s="1051" t="str">
        <f t="shared" si="210"/>
        <v/>
      </c>
      <c r="G1844" s="1055" t="str">
        <f t="shared" si="211"/>
        <v/>
      </c>
      <c r="I1844" s="1100"/>
      <c r="J1844" s="1048"/>
      <c r="K1844" s="1119"/>
      <c r="L1844" s="1048"/>
      <c r="M1844" s="2038"/>
      <c r="N1844" s="1048"/>
      <c r="O1844" s="1048"/>
      <c r="P1844" s="1048"/>
      <c r="Q1844" s="1048"/>
      <c r="R1844" s="1048"/>
      <c r="S1844" s="1048"/>
      <c r="T1844" s="1048"/>
      <c r="U1844" s="1102"/>
    </row>
    <row r="1845" spans="2:21" hidden="1" outlineLevel="2">
      <c r="B1845" s="1050"/>
      <c r="C1845" s="1050"/>
      <c r="D1845" s="1051">
        <f t="shared" si="209"/>
        <v>54</v>
      </c>
      <c r="E1845" s="1051" t="str">
        <f>IF(COUNTIF(E$1761:E1844,F1845)&gt;0,"",F1845)</f>
        <v/>
      </c>
      <c r="F1845" s="1051" t="str">
        <f t="shared" si="210"/>
        <v/>
      </c>
      <c r="G1845" s="1055" t="str">
        <f t="shared" si="211"/>
        <v/>
      </c>
      <c r="I1845" s="1100"/>
      <c r="J1845" s="1048"/>
      <c r="K1845" s="1119"/>
      <c r="L1845" s="1048"/>
      <c r="M1845" s="2038"/>
      <c r="N1845" s="1048"/>
      <c r="O1845" s="1048"/>
      <c r="P1845" s="1048"/>
      <c r="Q1845" s="1048"/>
      <c r="R1845" s="1048"/>
      <c r="S1845" s="1048"/>
      <c r="T1845" s="1048"/>
      <c r="U1845" s="1102"/>
    </row>
    <row r="1846" spans="2:21" hidden="1" outlineLevel="2">
      <c r="B1846" s="1050"/>
      <c r="C1846" s="1050"/>
      <c r="D1846" s="1051">
        <f t="shared" si="209"/>
        <v>54</v>
      </c>
      <c r="E1846" s="1051" t="str">
        <f>IF(COUNTIF(E$1761:E1845,F1846)&gt;0,"",F1846)</f>
        <v/>
      </c>
      <c r="F1846" s="1051" t="str">
        <f t="shared" si="210"/>
        <v/>
      </c>
      <c r="G1846" s="1055" t="str">
        <f t="shared" si="211"/>
        <v/>
      </c>
      <c r="I1846" s="1100"/>
      <c r="J1846" s="1048"/>
      <c r="K1846" s="1048"/>
      <c r="L1846" s="1048"/>
      <c r="M1846" s="1233"/>
      <c r="N1846" s="1048"/>
      <c r="O1846" s="1048"/>
      <c r="P1846" s="1048"/>
      <c r="Q1846" s="1048"/>
      <c r="R1846" s="1048"/>
      <c r="S1846" s="1048"/>
      <c r="T1846" s="1048"/>
      <c r="U1846" s="1102"/>
    </row>
    <row r="1847" spans="2:21" hidden="1" outlineLevel="2">
      <c r="B1847" s="1050"/>
      <c r="C1847" s="1050"/>
      <c r="D1847" s="1051">
        <f t="shared" si="209"/>
        <v>54</v>
      </c>
      <c r="E1847" s="1051" t="str">
        <f>IF(COUNTIF(E$1761:E1846,F1847)&gt;0,"",F1847)</f>
        <v/>
      </c>
      <c r="F1847" s="1051" t="str">
        <f t="shared" si="210"/>
        <v/>
      </c>
      <c r="G1847" s="1055" t="str">
        <f t="shared" si="211"/>
        <v/>
      </c>
      <c r="I1847" s="1100"/>
      <c r="J1847" s="1048"/>
      <c r="K1847" s="1048"/>
      <c r="L1847" s="1048"/>
      <c r="M1847" s="1233"/>
      <c r="N1847" s="1048"/>
      <c r="O1847" s="1048"/>
      <c r="P1847" s="1048"/>
      <c r="Q1847" s="1048"/>
      <c r="R1847" s="1048"/>
      <c r="S1847" s="1048"/>
      <c r="T1847" s="1048"/>
      <c r="U1847" s="1102"/>
    </row>
    <row r="1848" spans="2:21" hidden="1" outlineLevel="2">
      <c r="B1848" s="1050"/>
      <c r="C1848" s="1050"/>
      <c r="D1848" s="1051">
        <f t="shared" si="209"/>
        <v>54</v>
      </c>
      <c r="E1848" s="1051" t="str">
        <f>IF(COUNTIF(E$1761:E1847,F1848)&gt;0,"",F1848)</f>
        <v/>
      </c>
      <c r="F1848" s="1051" t="str">
        <f t="shared" si="210"/>
        <v/>
      </c>
      <c r="G1848" s="1055" t="str">
        <f t="shared" si="211"/>
        <v/>
      </c>
      <c r="I1848" s="1100"/>
      <c r="J1848" s="1048"/>
      <c r="K1848" s="1048"/>
      <c r="L1848" s="1048"/>
      <c r="M1848" s="1048"/>
      <c r="N1848" s="1048"/>
      <c r="O1848" s="1048"/>
      <c r="P1848" s="1048"/>
      <c r="Q1848" s="1048"/>
      <c r="R1848" s="1048"/>
      <c r="S1848" s="1048"/>
      <c r="T1848" s="1048"/>
      <c r="U1848" s="1102"/>
    </row>
    <row r="1849" spans="2:21" hidden="1" outlineLevel="2">
      <c r="B1849" s="1050"/>
      <c r="C1849" s="1050"/>
      <c r="D1849" s="1051">
        <f t="shared" si="209"/>
        <v>54</v>
      </c>
      <c r="E1849" s="1051" t="str">
        <f>IF(COUNTIF(E$1761:E1848,F1849)&gt;0,"",F1849)</f>
        <v/>
      </c>
      <c r="F1849" s="1051" t="str">
        <f t="shared" si="210"/>
        <v/>
      </c>
      <c r="G1849" s="1055" t="str">
        <f t="shared" si="211"/>
        <v/>
      </c>
      <c r="I1849" s="1100"/>
      <c r="J1849" s="1048"/>
      <c r="K1849" s="1048"/>
      <c r="L1849" s="1048"/>
      <c r="M1849" s="1048"/>
      <c r="N1849" s="1048"/>
      <c r="O1849" s="1048"/>
      <c r="P1849" s="1048"/>
      <c r="Q1849" s="1048"/>
      <c r="R1849" s="1048"/>
      <c r="S1849" s="1048"/>
      <c r="T1849" s="1048"/>
      <c r="U1849" s="1102"/>
    </row>
    <row r="1850" spans="2:21" hidden="1" outlineLevel="2">
      <c r="B1850" s="1050"/>
      <c r="C1850" s="1050"/>
      <c r="D1850" s="1051">
        <f t="shared" si="209"/>
        <v>54</v>
      </c>
      <c r="E1850" s="1051" t="str">
        <f>IF(COUNTIF(E$1761:E1849,F1850)&gt;0,"",F1850)</f>
        <v/>
      </c>
      <c r="F1850" s="1051" t="str">
        <f t="shared" si="210"/>
        <v/>
      </c>
      <c r="G1850" s="1055" t="str">
        <f t="shared" si="211"/>
        <v/>
      </c>
      <c r="I1850" s="1100"/>
      <c r="J1850" s="1048"/>
      <c r="K1850" s="1048"/>
      <c r="L1850" s="1048"/>
      <c r="M1850" s="1048"/>
      <c r="N1850" s="1048"/>
      <c r="O1850" s="1048"/>
      <c r="P1850" s="1048"/>
      <c r="Q1850" s="1048"/>
      <c r="R1850" s="1048"/>
      <c r="S1850" s="1048"/>
      <c r="T1850" s="1048"/>
      <c r="U1850" s="1102"/>
    </row>
    <row r="1851" spans="2:21" hidden="1" outlineLevel="2">
      <c r="B1851" s="1050"/>
      <c r="C1851" s="1050"/>
      <c r="D1851" s="1051">
        <f t="shared" si="209"/>
        <v>54</v>
      </c>
      <c r="E1851" s="1051" t="str">
        <f>IF(COUNTIF(E$1761:E1850,F1851)&gt;0,"",F1851)</f>
        <v/>
      </c>
      <c r="F1851" s="1051" t="str">
        <f t="shared" si="210"/>
        <v/>
      </c>
      <c r="G1851" s="1055" t="str">
        <f t="shared" si="211"/>
        <v/>
      </c>
      <c r="I1851" s="1100"/>
      <c r="J1851" s="1048"/>
      <c r="K1851" s="1048"/>
      <c r="L1851" s="1048"/>
      <c r="M1851" s="1048"/>
      <c r="N1851" s="1048"/>
      <c r="O1851" s="1048"/>
      <c r="P1851" s="1048"/>
      <c r="Q1851" s="1048"/>
      <c r="R1851" s="1048"/>
      <c r="S1851" s="1048"/>
      <c r="T1851" s="1048"/>
      <c r="U1851" s="1102"/>
    </row>
    <row r="1852" spans="2:21" hidden="1" outlineLevel="2">
      <c r="B1852" s="1050"/>
      <c r="C1852" s="1050"/>
      <c r="D1852" s="1051">
        <f t="shared" si="209"/>
        <v>54</v>
      </c>
      <c r="E1852" s="1051" t="str">
        <f>IF(COUNTIF(E$1761:E1851,F1852)&gt;0,"",F1852)</f>
        <v/>
      </c>
      <c r="F1852" s="1051" t="str">
        <f t="shared" si="210"/>
        <v/>
      </c>
      <c r="G1852" s="1055" t="str">
        <f t="shared" si="211"/>
        <v/>
      </c>
      <c r="I1852" s="1100"/>
      <c r="J1852" s="1048"/>
      <c r="K1852" s="1048"/>
      <c r="L1852" s="1048"/>
      <c r="M1852" s="1048"/>
      <c r="N1852" s="1048"/>
      <c r="O1852" s="1048"/>
      <c r="P1852" s="1048"/>
      <c r="Q1852" s="1048"/>
      <c r="R1852" s="1048"/>
      <c r="S1852" s="1048"/>
      <c r="T1852" s="1048"/>
      <c r="U1852" s="1102"/>
    </row>
    <row r="1853" spans="2:21" hidden="1" outlineLevel="2">
      <c r="B1853" s="1050"/>
      <c r="C1853" s="1050"/>
      <c r="D1853" s="1051">
        <f t="shared" si="209"/>
        <v>54</v>
      </c>
      <c r="E1853" s="1051" t="str">
        <f>IF(COUNTIF(E$1761:E1852,F1853)&gt;0,"",F1853)</f>
        <v/>
      </c>
      <c r="F1853" s="1051" t="str">
        <f t="shared" si="210"/>
        <v/>
      </c>
      <c r="G1853" s="1055" t="str">
        <f t="shared" si="211"/>
        <v/>
      </c>
      <c r="I1853" s="1100"/>
      <c r="J1853" s="1048"/>
      <c r="K1853" s="1048"/>
      <c r="L1853" s="1048"/>
      <c r="M1853" s="1048"/>
      <c r="N1853" s="1048"/>
      <c r="O1853" s="1048"/>
      <c r="P1853" s="1048"/>
      <c r="Q1853" s="1048"/>
      <c r="R1853" s="1048"/>
      <c r="S1853" s="1048"/>
      <c r="T1853" s="1048"/>
      <c r="U1853" s="1102"/>
    </row>
    <row r="1854" spans="2:21" hidden="1" outlineLevel="1">
      <c r="I1854" s="1711"/>
      <c r="J1854" s="1712"/>
      <c r="K1854" s="1712"/>
      <c r="L1854" s="1712"/>
      <c r="M1854" s="1712"/>
      <c r="N1854" s="1712"/>
      <c r="O1854" s="1712"/>
      <c r="P1854" s="1712"/>
      <c r="Q1854" s="1712"/>
      <c r="R1854" s="1712"/>
      <c r="S1854" s="1712"/>
      <c r="T1854" s="1712"/>
      <c r="U1854" s="1714"/>
    </row>
    <row r="1855" spans="2:21" s="1045" customFormat="1" ht="12.75" hidden="1" customHeight="1" outlineLevel="1" collapsed="1">
      <c r="B1855" s="3156" t="s">
        <v>2200</v>
      </c>
      <c r="C1855" s="3156"/>
      <c r="D1855" s="1051">
        <v>0</v>
      </c>
      <c r="E1855" s="1051"/>
      <c r="F1855" s="1051"/>
      <c r="G1855" s="1054"/>
      <c r="H1855" s="1046"/>
      <c r="I1855" s="1746"/>
      <c r="J1855" s="1742"/>
      <c r="K1855" s="1743"/>
      <c r="L1855" s="1743"/>
      <c r="M1855" s="1744"/>
      <c r="N1855" s="1742"/>
      <c r="O1855" s="1745"/>
      <c r="P1855" s="1743"/>
      <c r="Q1855" s="1743"/>
      <c r="R1855" s="1745"/>
      <c r="S1855" s="1745"/>
      <c r="T1855" s="1743"/>
      <c r="U1855" s="1747"/>
    </row>
    <row r="1856" spans="2:21" hidden="1" outlineLevel="2">
      <c r="B1856" s="1050">
        <v>1</v>
      </c>
      <c r="C1856" s="1050" t="str">
        <f t="shared" ref="C1856:C1872" si="212">IF(ISNA(VLOOKUP(B1856,$D$1855:$E$1872,2,FALSE)),"-",VLOOKUP(B1856,$D$1855:$E$1872,2,FALSE))</f>
        <v>Repas à dominante animale (avec boeuf), France continentale, Base Carbone</v>
      </c>
      <c r="D1856" s="1051">
        <f>D1855+IF(LEN(E1856)&gt;0,1,0)</f>
        <v>1</v>
      </c>
      <c r="E1856" s="1051" t="str">
        <f>IF(COUNTIF(E$1855:E1855,F1856)&gt;0,"",F1856)</f>
        <v>Repas à dominante animale (avec boeuf), France continentale, Base Carbone</v>
      </c>
      <c r="F1856" s="1051" t="str">
        <f>IF(I1856&lt;&gt;"",I1856&amp;IF(N1856&lt;&gt;""," "&amp;N1856,)&amp;IF(L1856&lt;&gt;"",", "&amp;L1856,"")&amp;IF(K1856&lt;&gt;"",", "&amp;K1856,""),"")</f>
        <v>Repas à dominante animale (avec boeuf), France continentale, Base Carbone</v>
      </c>
      <c r="G1856" s="1055" t="str">
        <f>IF(F1856&lt;&gt;"",F1856&amp;IF(J1856&lt;&gt;"","; "&amp;J1856,""),"")</f>
        <v>Repas à dominante animale (avec boeuf), France continentale, Base Carbone; kgCO2e/repas</v>
      </c>
      <c r="I1856" s="2018" t="s">
        <v>2200</v>
      </c>
      <c r="J1856" s="1135" t="s">
        <v>2209</v>
      </c>
      <c r="K1856" s="1119" t="s">
        <v>1567</v>
      </c>
      <c r="L1856" s="1135" t="s">
        <v>1571</v>
      </c>
      <c r="M1856" s="1033">
        <v>0.5</v>
      </c>
      <c r="N1856" s="1135" t="s">
        <v>2201</v>
      </c>
      <c r="O1856" s="1135">
        <v>7.26</v>
      </c>
      <c r="P1856" s="1135"/>
      <c r="Q1856" s="1135"/>
      <c r="R1856" s="1135"/>
      <c r="S1856" s="1135"/>
      <c r="T1856" s="1135"/>
      <c r="U1856" s="2041"/>
    </row>
    <row r="1857" spans="2:21" hidden="1" outlineLevel="2">
      <c r="B1857" s="1050">
        <v>2</v>
      </c>
      <c r="C1857" s="1050" t="str">
        <f t="shared" si="212"/>
        <v>Repas à dominante animale (avec poulet), France continentale, Base Carbone</v>
      </c>
      <c r="D1857" s="1051">
        <f t="shared" ref="D1857:D1872" si="213">D1856+IF(LEN(E1857)&gt;0,1,0)</f>
        <v>2</v>
      </c>
      <c r="E1857" s="1051" t="str">
        <f>IF(COUNTIF(E$1855:E1856,F1857)&gt;0,"",F1857)</f>
        <v>Repas à dominante animale (avec poulet), France continentale, Base Carbone</v>
      </c>
      <c r="F1857" s="1051" t="str">
        <f t="shared" ref="F1857:F1872" si="214">IF(I1857&lt;&gt;"",I1857&amp;IF(N1857&lt;&gt;""," "&amp;N1857,)&amp;IF(L1857&lt;&gt;"",", "&amp;L1857,"")&amp;IF(K1857&lt;&gt;"",", "&amp;K1857,""),"")</f>
        <v>Repas à dominante animale (avec poulet), France continentale, Base Carbone</v>
      </c>
      <c r="G1857" s="1055" t="str">
        <f t="shared" ref="G1857:G1872" si="215">IF(F1857&lt;&gt;"",F1857&amp;IF(J1857&lt;&gt;"","; "&amp;J1857,""),"")</f>
        <v>Repas à dominante animale (avec poulet), France continentale, Base Carbone; kgCO2e/repas</v>
      </c>
      <c r="I1857" s="2018" t="s">
        <v>2200</v>
      </c>
      <c r="J1857" s="1135" t="s">
        <v>2209</v>
      </c>
      <c r="K1857" s="1119" t="s">
        <v>1567</v>
      </c>
      <c r="L1857" s="1135" t="s">
        <v>1571</v>
      </c>
      <c r="M1857" s="1033">
        <v>0.5</v>
      </c>
      <c r="N1857" s="1135" t="s">
        <v>2202</v>
      </c>
      <c r="O1857" s="1135">
        <v>1.58</v>
      </c>
      <c r="P1857" s="1135"/>
      <c r="Q1857" s="1135"/>
      <c r="R1857" s="1135"/>
      <c r="S1857" s="1135"/>
      <c r="T1857" s="1135"/>
      <c r="U1857" s="2041"/>
    </row>
    <row r="1858" spans="2:21" hidden="1" outlineLevel="2">
      <c r="B1858" s="1050">
        <v>3</v>
      </c>
      <c r="C1858" s="1050" t="str">
        <f t="shared" si="212"/>
        <v>Repas à dominante végétale (avec boeuf), France continentale, Base Carbone</v>
      </c>
      <c r="D1858" s="1051">
        <f t="shared" si="213"/>
        <v>3</v>
      </c>
      <c r="E1858" s="1051" t="str">
        <f>IF(COUNTIF(E$1855:E1857,F1858)&gt;0,"",F1858)</f>
        <v>Repas à dominante végétale (avec boeuf), France continentale, Base Carbone</v>
      </c>
      <c r="F1858" s="1051" t="str">
        <f t="shared" si="214"/>
        <v>Repas à dominante végétale (avec boeuf), France continentale, Base Carbone</v>
      </c>
      <c r="G1858" s="1055" t="str">
        <f t="shared" si="215"/>
        <v>Repas à dominante végétale (avec boeuf), France continentale, Base Carbone; kgCO2e/repas</v>
      </c>
      <c r="I1858" s="2018" t="s">
        <v>2200</v>
      </c>
      <c r="J1858" s="1135" t="s">
        <v>2209</v>
      </c>
      <c r="K1858" s="1119" t="s">
        <v>1567</v>
      </c>
      <c r="L1858" s="1135" t="s">
        <v>1571</v>
      </c>
      <c r="M1858" s="1033">
        <v>0.5</v>
      </c>
      <c r="N1858" s="1135" t="s">
        <v>2203</v>
      </c>
      <c r="O1858" s="1135">
        <v>2.0099999999999998</v>
      </c>
      <c r="P1858" s="1135"/>
      <c r="Q1858" s="1135"/>
      <c r="R1858" s="1135"/>
      <c r="S1858" s="1135"/>
      <c r="T1858" s="1135"/>
      <c r="U1858" s="2041"/>
    </row>
    <row r="1859" spans="2:21" hidden="1" outlineLevel="2">
      <c r="B1859" s="1050">
        <v>4</v>
      </c>
      <c r="C1859" s="1050" t="str">
        <f t="shared" si="212"/>
        <v>Repas à dominante végétale (avec poulet), France continentale, Base Carbone</v>
      </c>
      <c r="D1859" s="1051">
        <f t="shared" si="213"/>
        <v>4</v>
      </c>
      <c r="E1859" s="1051" t="str">
        <f>IF(COUNTIF(E$1855:E1858,F1859)&gt;0,"",F1859)</f>
        <v>Repas à dominante végétale (avec poulet), France continentale, Base Carbone</v>
      </c>
      <c r="F1859" s="1051" t="str">
        <f t="shared" si="214"/>
        <v>Repas à dominante végétale (avec poulet), France continentale, Base Carbone</v>
      </c>
      <c r="G1859" s="1055" t="str">
        <f t="shared" si="215"/>
        <v>Repas à dominante végétale (avec poulet), France continentale, Base Carbone; kgCO2e/repas</v>
      </c>
      <c r="I1859" s="2018" t="s">
        <v>2200</v>
      </c>
      <c r="J1859" s="1135" t="s">
        <v>2209</v>
      </c>
      <c r="K1859" s="1119" t="s">
        <v>1567</v>
      </c>
      <c r="L1859" s="1135" t="s">
        <v>1571</v>
      </c>
      <c r="M1859" s="1033">
        <v>0.5</v>
      </c>
      <c r="N1859" s="1135" t="s">
        <v>2204</v>
      </c>
      <c r="O1859" s="1135">
        <v>0.8</v>
      </c>
      <c r="P1859" s="1135"/>
      <c r="Q1859" s="1135"/>
      <c r="R1859" s="1135"/>
      <c r="S1859" s="1135"/>
      <c r="T1859" s="1135"/>
      <c r="U1859" s="2041"/>
    </row>
    <row r="1860" spans="2:21" hidden="1" outlineLevel="2">
      <c r="B1860" s="1050">
        <v>5</v>
      </c>
      <c r="C1860" s="1050" t="str">
        <f t="shared" si="212"/>
        <v>Repas classique (avec boeuf), France continentale, Base Carbone</v>
      </c>
      <c r="D1860" s="1051">
        <f t="shared" si="213"/>
        <v>5</v>
      </c>
      <c r="E1860" s="1051" t="str">
        <f>IF(COUNTIF(E$1855:E1859,F1860)&gt;0,"",F1860)</f>
        <v>Repas classique (avec boeuf), France continentale, Base Carbone</v>
      </c>
      <c r="F1860" s="1051" t="str">
        <f t="shared" si="214"/>
        <v>Repas classique (avec boeuf), France continentale, Base Carbone</v>
      </c>
      <c r="G1860" s="1055" t="str">
        <f t="shared" si="215"/>
        <v>Repas classique (avec boeuf), France continentale, Base Carbone; kgCO2e/repas</v>
      </c>
      <c r="I1860" s="2018" t="s">
        <v>2200</v>
      </c>
      <c r="J1860" s="1135" t="s">
        <v>2209</v>
      </c>
      <c r="K1860" s="1119" t="s">
        <v>1567</v>
      </c>
      <c r="L1860" s="1135" t="s">
        <v>1571</v>
      </c>
      <c r="M1860" s="1033">
        <v>0.5</v>
      </c>
      <c r="N1860" s="1135" t="s">
        <v>2205</v>
      </c>
      <c r="O1860" s="1135">
        <v>6.29</v>
      </c>
      <c r="P1860" s="1135"/>
      <c r="Q1860" s="1135"/>
      <c r="R1860" s="1135"/>
      <c r="S1860" s="1135"/>
      <c r="T1860" s="1135"/>
      <c r="U1860" s="2041"/>
    </row>
    <row r="1861" spans="2:21" hidden="1" outlineLevel="2">
      <c r="B1861" s="1050">
        <v>6</v>
      </c>
      <c r="C1861" s="1050" t="str">
        <f t="shared" si="212"/>
        <v>Repas classique (avec poulet), France continentale, Base Carbone</v>
      </c>
      <c r="D1861" s="1051">
        <f t="shared" si="213"/>
        <v>6</v>
      </c>
      <c r="E1861" s="1051" t="str">
        <f>IF(COUNTIF(E$1855:E1860,F1861)&gt;0,"",F1861)</f>
        <v>Repas classique (avec poulet), France continentale, Base Carbone</v>
      </c>
      <c r="F1861" s="1051" t="str">
        <f t="shared" si="214"/>
        <v>Repas classique (avec poulet), France continentale, Base Carbone</v>
      </c>
      <c r="G1861" s="1055" t="str">
        <f t="shared" si="215"/>
        <v>Repas classique (avec poulet), France continentale, Base Carbone; kgCO2e/repas</v>
      </c>
      <c r="I1861" s="2018" t="s">
        <v>2200</v>
      </c>
      <c r="J1861" s="1135" t="s">
        <v>2209</v>
      </c>
      <c r="K1861" s="1119" t="s">
        <v>1567</v>
      </c>
      <c r="L1861" s="1135" t="s">
        <v>1571</v>
      </c>
      <c r="M1861" s="1033">
        <v>0.5</v>
      </c>
      <c r="N1861" s="1135" t="s">
        <v>2206</v>
      </c>
      <c r="O1861" s="1135">
        <v>1.35</v>
      </c>
      <c r="P1861" s="1135"/>
      <c r="Q1861" s="1135"/>
      <c r="R1861" s="1135"/>
      <c r="S1861" s="1135"/>
      <c r="T1861" s="1135"/>
      <c r="U1861" s="2041"/>
    </row>
    <row r="1862" spans="2:21" hidden="1" outlineLevel="2">
      <c r="B1862" s="1050">
        <v>7</v>
      </c>
      <c r="C1862" s="1050" t="str">
        <f t="shared" si="212"/>
        <v>Repas moyen, France continentale, Base Carbone</v>
      </c>
      <c r="D1862" s="1051">
        <f t="shared" si="213"/>
        <v>7</v>
      </c>
      <c r="E1862" s="1051" t="str">
        <f>IF(COUNTIF(E$1855:E1861,F1862)&gt;0,"",F1862)</f>
        <v>Repas moyen, France continentale, Base Carbone</v>
      </c>
      <c r="F1862" s="1051" t="str">
        <f t="shared" si="214"/>
        <v>Repas moyen, France continentale, Base Carbone</v>
      </c>
      <c r="G1862" s="1055" t="str">
        <f t="shared" si="215"/>
        <v>Repas moyen, France continentale, Base Carbone; kgCO2e/repas</v>
      </c>
      <c r="I1862" s="2018" t="s">
        <v>2200</v>
      </c>
      <c r="J1862" s="1135" t="s">
        <v>2209</v>
      </c>
      <c r="K1862" s="1119" t="s">
        <v>1567</v>
      </c>
      <c r="L1862" s="1135" t="s">
        <v>1571</v>
      </c>
      <c r="M1862" s="1033">
        <v>0.5</v>
      </c>
      <c r="N1862" s="1135" t="s">
        <v>2207</v>
      </c>
      <c r="O1862" s="1135">
        <v>2.04</v>
      </c>
      <c r="P1862" s="1135"/>
      <c r="Q1862" s="1135"/>
      <c r="R1862" s="1135"/>
      <c r="S1862" s="1135"/>
      <c r="T1862" s="1135"/>
      <c r="U1862" s="2041"/>
    </row>
    <row r="1863" spans="2:21" hidden="1" outlineLevel="2">
      <c r="B1863" s="1050">
        <v>8</v>
      </c>
      <c r="C1863" s="1050" t="str">
        <f t="shared" si="212"/>
        <v>Repas végétarien, France continentale, Base Carbone</v>
      </c>
      <c r="D1863" s="1051">
        <f t="shared" si="213"/>
        <v>8</v>
      </c>
      <c r="E1863" s="1051" t="str">
        <f>IF(COUNTIF(E$1855:E1862,F1863)&gt;0,"",F1863)</f>
        <v>Repas végétarien, France continentale, Base Carbone</v>
      </c>
      <c r="F1863" s="1051" t="str">
        <f t="shared" si="214"/>
        <v>Repas végétarien, France continentale, Base Carbone</v>
      </c>
      <c r="G1863" s="1055" t="str">
        <f t="shared" si="215"/>
        <v>Repas végétarien, France continentale, Base Carbone; kgCO2e/repas</v>
      </c>
      <c r="I1863" s="2018" t="s">
        <v>2200</v>
      </c>
      <c r="J1863" s="1135" t="s">
        <v>2209</v>
      </c>
      <c r="K1863" s="1119" t="s">
        <v>1567</v>
      </c>
      <c r="L1863" s="1135" t="s">
        <v>1571</v>
      </c>
      <c r="M1863" s="1033">
        <v>0.5</v>
      </c>
      <c r="N1863" s="1135" t="s">
        <v>2208</v>
      </c>
      <c r="O1863" s="1135">
        <v>0.51</v>
      </c>
      <c r="P1863" s="1135"/>
      <c r="Q1863" s="1135"/>
      <c r="R1863" s="1135"/>
      <c r="S1863" s="1135"/>
      <c r="T1863" s="1135"/>
      <c r="U1863" s="2041"/>
    </row>
    <row r="1864" spans="2:21" hidden="1" outlineLevel="2">
      <c r="B1864" s="1050">
        <v>9</v>
      </c>
      <c r="C1864" s="1050" t="str">
        <f t="shared" si="212"/>
        <v>Régime alimentaire "classique", France continentale, Base Carbone</v>
      </c>
      <c r="D1864" s="1051">
        <f t="shared" si="213"/>
        <v>8</v>
      </c>
      <c r="E1864" s="1051" t="str">
        <f>IF(COUNTIF(E$1855:E1863,F1864)&gt;0,"",F1864)</f>
        <v/>
      </c>
      <c r="F1864" s="1051" t="str">
        <f t="shared" si="214"/>
        <v/>
      </c>
      <c r="G1864" s="1055" t="str">
        <f t="shared" si="215"/>
        <v/>
      </c>
      <c r="I1864" s="2018"/>
      <c r="J1864" s="1135"/>
      <c r="K1864" s="1119"/>
      <c r="L1864" s="1135"/>
      <c r="M1864" s="1033"/>
      <c r="N1864" s="1135"/>
      <c r="O1864" s="1135"/>
      <c r="P1864" s="1135"/>
      <c r="Q1864" s="1135"/>
      <c r="R1864" s="1135"/>
      <c r="S1864" s="1135"/>
      <c r="T1864" s="1135"/>
      <c r="U1864" s="2041"/>
    </row>
    <row r="1865" spans="2:21" hidden="1" outlineLevel="2">
      <c r="B1865" s="1050">
        <v>10</v>
      </c>
      <c r="C1865" s="1050" t="str">
        <f t="shared" si="212"/>
        <v>Régime alimentaire "flexitarien", France continentale, Base Carbone</v>
      </c>
      <c r="D1865" s="1051">
        <f t="shared" si="213"/>
        <v>9</v>
      </c>
      <c r="E1865" s="1051" t="str">
        <f>IF(COUNTIF(E$1855:E1864,F1865)&gt;0,"",F1865)</f>
        <v>Régime alimentaire "classique", France continentale, Base Carbone</v>
      </c>
      <c r="F1865" s="1051" t="str">
        <f t="shared" si="214"/>
        <v>Régime alimentaire "classique", France continentale, Base Carbone</v>
      </c>
      <c r="G1865" s="1055" t="str">
        <f t="shared" si="215"/>
        <v>Régime alimentaire "classique", France continentale, Base Carbone; kgCO2e/personne.mois</v>
      </c>
      <c r="I1865" s="2018" t="s">
        <v>3089</v>
      </c>
      <c r="J1865" s="1135" t="s">
        <v>3088</v>
      </c>
      <c r="K1865" s="1119" t="s">
        <v>1567</v>
      </c>
      <c r="L1865" s="1119" t="s">
        <v>1571</v>
      </c>
      <c r="M1865" s="2043">
        <v>0.5</v>
      </c>
      <c r="N1865" s="1135"/>
      <c r="O1865" s="1135">
        <v>136</v>
      </c>
      <c r="P1865" s="1135"/>
      <c r="Q1865" s="1135"/>
      <c r="R1865" s="1135"/>
      <c r="S1865" s="1135"/>
      <c r="T1865" s="1135"/>
      <c r="U1865" s="2041"/>
    </row>
    <row r="1866" spans="2:21" hidden="1" outlineLevel="2">
      <c r="B1866" s="1050">
        <v>11</v>
      </c>
      <c r="C1866" s="1050" t="str">
        <f t="shared" si="212"/>
        <v>-</v>
      </c>
      <c r="D1866" s="1051">
        <f t="shared" si="213"/>
        <v>10</v>
      </c>
      <c r="E1866" s="1051" t="str">
        <f>IF(COUNTIF(E$1855:E1865,F1866)&gt;0,"",F1866)</f>
        <v>Régime alimentaire "flexitarien", France continentale, Base Carbone</v>
      </c>
      <c r="F1866" s="1051" t="str">
        <f t="shared" si="214"/>
        <v>Régime alimentaire "flexitarien", France continentale, Base Carbone</v>
      </c>
      <c r="G1866" s="1055" t="str">
        <f t="shared" si="215"/>
        <v>Régime alimentaire "flexitarien", France continentale, Base Carbone; kgCO2e/personne.mois</v>
      </c>
      <c r="I1866" s="2018" t="s">
        <v>3090</v>
      </c>
      <c r="J1866" s="1135" t="s">
        <v>3088</v>
      </c>
      <c r="K1866" s="1119" t="s">
        <v>1567</v>
      </c>
      <c r="L1866" s="1119" t="s">
        <v>1571</v>
      </c>
      <c r="M1866" s="2043">
        <v>0.5</v>
      </c>
      <c r="N1866" s="1135"/>
      <c r="O1866" s="1135">
        <v>85.7</v>
      </c>
      <c r="P1866" s="1135"/>
      <c r="Q1866" s="1135"/>
      <c r="R1866" s="1135"/>
      <c r="S1866" s="1135"/>
      <c r="T1866" s="1135"/>
      <c r="U1866" s="2041"/>
    </row>
    <row r="1867" spans="2:21" hidden="1" outlineLevel="2">
      <c r="B1867" s="1050">
        <v>12</v>
      </c>
      <c r="C1867" s="1050" t="str">
        <f t="shared" si="212"/>
        <v>-</v>
      </c>
      <c r="D1867" s="1051">
        <f t="shared" si="213"/>
        <v>10</v>
      </c>
      <c r="E1867" s="1051" t="str">
        <f>IF(COUNTIF(E$1855:E1866,F1867)&gt;0,"",F1867)</f>
        <v/>
      </c>
      <c r="F1867" s="1051" t="str">
        <f t="shared" si="214"/>
        <v/>
      </c>
      <c r="G1867" s="1055" t="str">
        <f t="shared" si="215"/>
        <v/>
      </c>
      <c r="I1867" s="1100"/>
      <c r="J1867" s="1048"/>
      <c r="K1867" s="1048"/>
      <c r="L1867" s="1048"/>
      <c r="M1867" s="1048"/>
      <c r="N1867" s="1048"/>
      <c r="O1867" s="1048"/>
      <c r="P1867" s="1048"/>
      <c r="Q1867" s="1048"/>
      <c r="R1867" s="1048"/>
      <c r="S1867" s="1048"/>
      <c r="T1867" s="1048"/>
      <c r="U1867" s="1102"/>
    </row>
    <row r="1868" spans="2:21" hidden="1" outlineLevel="2">
      <c r="B1868" s="1050">
        <v>13</v>
      </c>
      <c r="C1868" s="1050" t="str">
        <f t="shared" si="212"/>
        <v>-</v>
      </c>
      <c r="D1868" s="1051">
        <f t="shared" si="213"/>
        <v>10</v>
      </c>
      <c r="E1868" s="1051" t="str">
        <f>IF(COUNTIF(E$1855:E1867,F1868)&gt;0,"",F1868)</f>
        <v/>
      </c>
      <c r="F1868" s="1051" t="str">
        <f t="shared" si="214"/>
        <v/>
      </c>
      <c r="G1868" s="1055" t="str">
        <f t="shared" si="215"/>
        <v/>
      </c>
      <c r="I1868" s="1100"/>
      <c r="J1868" s="1048"/>
      <c r="K1868" s="1048"/>
      <c r="L1868" s="1048"/>
      <c r="M1868" s="1048"/>
      <c r="N1868" s="1048"/>
      <c r="O1868" s="1048"/>
      <c r="P1868" s="1048"/>
      <c r="Q1868" s="1048"/>
      <c r="R1868" s="1048"/>
      <c r="S1868" s="1048"/>
      <c r="T1868" s="1048"/>
      <c r="U1868" s="1102"/>
    </row>
    <row r="1869" spans="2:21" hidden="1" outlineLevel="2">
      <c r="B1869" s="1050">
        <v>14</v>
      </c>
      <c r="C1869" s="1050" t="str">
        <f t="shared" si="212"/>
        <v>-</v>
      </c>
      <c r="D1869" s="1051">
        <f t="shared" si="213"/>
        <v>10</v>
      </c>
      <c r="E1869" s="1051" t="str">
        <f>IF(COUNTIF(E$1855:E1868,F1869)&gt;0,"",F1869)</f>
        <v/>
      </c>
      <c r="F1869" s="1051" t="str">
        <f t="shared" si="214"/>
        <v/>
      </c>
      <c r="G1869" s="1055" t="str">
        <f t="shared" si="215"/>
        <v/>
      </c>
      <c r="I1869" s="1100"/>
      <c r="J1869" s="1048"/>
      <c r="K1869" s="1048"/>
      <c r="L1869" s="1048"/>
      <c r="M1869" s="1048"/>
      <c r="N1869" s="1048"/>
      <c r="O1869" s="1048"/>
      <c r="P1869" s="1048"/>
      <c r="Q1869" s="1048"/>
      <c r="R1869" s="1048"/>
      <c r="S1869" s="1048"/>
      <c r="T1869" s="1048"/>
      <c r="U1869" s="1102"/>
    </row>
    <row r="1870" spans="2:21" hidden="1" outlineLevel="2">
      <c r="B1870" s="1050">
        <v>15</v>
      </c>
      <c r="C1870" s="1050" t="str">
        <f t="shared" si="212"/>
        <v>-</v>
      </c>
      <c r="D1870" s="1051">
        <f t="shared" si="213"/>
        <v>10</v>
      </c>
      <c r="E1870" s="1051" t="str">
        <f>IF(COUNTIF(E$1855:E1869,F1870)&gt;0,"",F1870)</f>
        <v/>
      </c>
      <c r="F1870" s="1051" t="str">
        <f t="shared" si="214"/>
        <v/>
      </c>
      <c r="G1870" s="1055" t="str">
        <f t="shared" si="215"/>
        <v/>
      </c>
      <c r="I1870" s="1100"/>
      <c r="J1870" s="1048"/>
      <c r="K1870" s="1048"/>
      <c r="L1870" s="1048"/>
      <c r="M1870" s="1048"/>
      <c r="N1870" s="1048"/>
      <c r="O1870" s="1048"/>
      <c r="P1870" s="1048"/>
      <c r="Q1870" s="1048"/>
      <c r="R1870" s="1048"/>
      <c r="S1870" s="1048"/>
      <c r="T1870" s="1048"/>
      <c r="U1870" s="1102"/>
    </row>
    <row r="1871" spans="2:21" hidden="1" outlineLevel="2">
      <c r="B1871" s="1050">
        <v>16</v>
      </c>
      <c r="C1871" s="1050" t="str">
        <f t="shared" si="212"/>
        <v>-</v>
      </c>
      <c r="D1871" s="1051">
        <f t="shared" si="213"/>
        <v>10</v>
      </c>
      <c r="E1871" s="1051" t="str">
        <f>IF(COUNTIF(E$1855:E1870,F1871)&gt;0,"",F1871)</f>
        <v/>
      </c>
      <c r="F1871" s="1051" t="str">
        <f t="shared" si="214"/>
        <v/>
      </c>
      <c r="G1871" s="1055" t="str">
        <f t="shared" si="215"/>
        <v/>
      </c>
      <c r="I1871" s="1100"/>
      <c r="J1871" s="1048"/>
      <c r="K1871" s="1048"/>
      <c r="L1871" s="1048"/>
      <c r="M1871" s="1048"/>
      <c r="N1871" s="1048"/>
      <c r="O1871" s="1048"/>
      <c r="P1871" s="1048"/>
      <c r="Q1871" s="1048"/>
      <c r="R1871" s="1048"/>
      <c r="S1871" s="1048"/>
      <c r="T1871" s="1048"/>
      <c r="U1871" s="1102"/>
    </row>
    <row r="1872" spans="2:21" hidden="1" outlineLevel="2">
      <c r="B1872" s="1050">
        <v>17</v>
      </c>
      <c r="C1872" s="1050" t="str">
        <f t="shared" si="212"/>
        <v>-</v>
      </c>
      <c r="D1872" s="1051">
        <f t="shared" si="213"/>
        <v>10</v>
      </c>
      <c r="E1872" s="1051" t="str">
        <f>IF(COUNTIF(E$1855:E1871,F1872)&gt;0,"",F1872)</f>
        <v/>
      </c>
      <c r="F1872" s="1051" t="str">
        <f t="shared" si="214"/>
        <v/>
      </c>
      <c r="G1872" s="1055" t="str">
        <f t="shared" si="215"/>
        <v/>
      </c>
      <c r="I1872" s="1100"/>
      <c r="J1872" s="1048"/>
      <c r="K1872" s="1048"/>
      <c r="L1872" s="1048"/>
      <c r="M1872" s="1048"/>
      <c r="N1872" s="1048"/>
      <c r="O1872" s="1048"/>
      <c r="P1872" s="1048"/>
      <c r="Q1872" s="1048"/>
      <c r="R1872" s="1048"/>
      <c r="S1872" s="1048"/>
      <c r="T1872" s="1048"/>
      <c r="U1872" s="1102"/>
    </row>
    <row r="1873" spans="2:21" hidden="1" outlineLevel="1">
      <c r="I1873" s="1711"/>
      <c r="J1873" s="1712"/>
      <c r="K1873" s="1712"/>
      <c r="L1873" s="1712"/>
      <c r="M1873" s="1712"/>
      <c r="N1873" s="1712"/>
      <c r="O1873" s="1712"/>
      <c r="P1873" s="1712"/>
      <c r="Q1873" s="1712"/>
      <c r="R1873" s="1712"/>
      <c r="S1873" s="1712"/>
      <c r="T1873" s="1712"/>
      <c r="U1873" s="1714"/>
    </row>
    <row r="1874" spans="2:21" hidden="1" outlineLevel="1" collapsed="1">
      <c r="B1874" s="3156" t="s">
        <v>5069</v>
      </c>
      <c r="C1874" s="3156"/>
      <c r="D1874" s="1051">
        <v>0</v>
      </c>
      <c r="E1874" s="1051"/>
      <c r="F1874" s="1051"/>
      <c r="G1874" s="1054"/>
      <c r="I1874" s="1711"/>
      <c r="J1874" s="1712"/>
      <c r="K1874" s="1712"/>
      <c r="L1874" s="1712"/>
      <c r="M1874" s="1712"/>
      <c r="N1874" s="1712"/>
      <c r="O1874" s="1712"/>
      <c r="P1874" s="1712"/>
      <c r="Q1874" s="1712"/>
      <c r="R1874" s="1712"/>
      <c r="S1874" s="1712"/>
      <c r="T1874" s="1712"/>
      <c r="U1874" s="1714"/>
    </row>
    <row r="1875" spans="2:21" hidden="1" outlineLevel="2">
      <c r="B1875" s="1050">
        <v>1</v>
      </c>
      <c r="C1875" s="1050" t="str">
        <f>IF(ISNA(VLOOKUP(B1875,$D$1874:$E$1900,2,FALSE)),"-",VLOOKUP(B1875,$D$1874:$E$1900,2,FALSE))</f>
        <v>Blé dur, France continentale, Base Carbone</v>
      </c>
      <c r="D1875" s="1051">
        <f>D1874+IF(LEN(E1875)&gt;0,1,0)</f>
        <v>1</v>
      </c>
      <c r="E1875" s="1051" t="str">
        <f>IF(COUNTIF(E$1874:E1874,F1875)&gt;0,"",F1875)</f>
        <v>Blé dur, France continentale, Base Carbone</v>
      </c>
      <c r="F1875" s="1051" t="str">
        <f>IF(I1875&lt;&gt;"",I1875&amp;IF(N1875&lt;&gt;""," "&amp;N1875,)&amp;IF(L1875&lt;&gt;"",", "&amp;L1875,"")&amp;IF(K1875&lt;&gt;"",", "&amp;K1875,""),"")</f>
        <v>Blé dur, France continentale, Base Carbone</v>
      </c>
      <c r="G1875" s="1054" t="str">
        <f>IF(F1875&lt;&gt;"",F1875&amp;IF(J1875&lt;&gt;"","; "&amp;J1875,""),"")</f>
        <v>Blé dur, France continentale, Base Carbone; kgCO2e/Ha</v>
      </c>
      <c r="I1875" s="2018" t="s">
        <v>394</v>
      </c>
      <c r="J1875" s="1135" t="s">
        <v>5068</v>
      </c>
      <c r="K1875" s="1135" t="s">
        <v>1567</v>
      </c>
      <c r="L1875" s="1135" t="s">
        <v>1571</v>
      </c>
      <c r="M1875" s="2038">
        <v>0.5</v>
      </c>
      <c r="N1875" s="1135"/>
      <c r="O1875" s="1135">
        <v>2435</v>
      </c>
      <c r="P1875" s="1135"/>
      <c r="Q1875" s="1135"/>
      <c r="R1875" s="1135"/>
      <c r="S1875" s="1135"/>
      <c r="T1875" s="1135"/>
      <c r="U1875" s="2041"/>
    </row>
    <row r="1876" spans="2:21" hidden="1" outlineLevel="2">
      <c r="B1876" s="1050">
        <v>2</v>
      </c>
      <c r="C1876" s="1050" t="str">
        <f t="shared" ref="C1876:C1899" si="216">IF(ISNA(VLOOKUP(B1876,$D$1874:$E$1900,2,FALSE)),"-",VLOOKUP(B1876,$D$1874:$E$1900,2,FALSE))</f>
        <v>Blé tendre, France continentale, Base Carbone</v>
      </c>
      <c r="D1876" s="1051">
        <f t="shared" ref="D1876:D1899" si="217">D1875+IF(LEN(E1876)&gt;0,1,0)</f>
        <v>2</v>
      </c>
      <c r="E1876" s="1051" t="str">
        <f>IF(COUNTIF(E$1874:E1875,F1876)&gt;0,"",F1876)</f>
        <v>Blé tendre, France continentale, Base Carbone</v>
      </c>
      <c r="F1876" s="1051" t="str">
        <f t="shared" ref="F1876:F1899" si="218">IF(I1876&lt;&gt;"",I1876&amp;IF(N1876&lt;&gt;""," "&amp;N1876,)&amp;IF(L1876&lt;&gt;"",", "&amp;L1876,"")&amp;IF(K1876&lt;&gt;"",", "&amp;K1876,""),"")</f>
        <v>Blé tendre, France continentale, Base Carbone</v>
      </c>
      <c r="G1876" s="1054" t="str">
        <f t="shared" ref="G1876:G1899" si="219">IF(F1876&lt;&gt;"",F1876&amp;IF(J1876&lt;&gt;"","; "&amp;J1876,""),"")</f>
        <v>Blé tendre, France continentale, Base Carbone; kgCO2e/Ha</v>
      </c>
      <c r="I1876" s="2018" t="s">
        <v>395</v>
      </c>
      <c r="J1876" s="1135" t="s">
        <v>5068</v>
      </c>
      <c r="K1876" s="1135" t="s">
        <v>1567</v>
      </c>
      <c r="L1876" s="1135" t="s">
        <v>1571</v>
      </c>
      <c r="M1876" s="2038">
        <v>0.5</v>
      </c>
      <c r="N1876" s="1135"/>
      <c r="O1876" s="1135">
        <v>2402</v>
      </c>
      <c r="P1876" s="1135"/>
      <c r="Q1876" s="1135"/>
      <c r="R1876" s="1135"/>
      <c r="S1876" s="1135"/>
      <c r="T1876" s="1135"/>
      <c r="U1876" s="2041"/>
    </row>
    <row r="1877" spans="2:21" hidden="1" outlineLevel="2">
      <c r="B1877" s="1050">
        <v>3</v>
      </c>
      <c r="C1877" s="1050" t="str">
        <f t="shared" si="216"/>
        <v>Carotte, France continentale, Base Carbone</v>
      </c>
      <c r="D1877" s="1051">
        <f t="shared" si="217"/>
        <v>3</v>
      </c>
      <c r="E1877" s="1051" t="str">
        <f>IF(COUNTIF(E$1874:E1876,F1877)&gt;0,"",F1877)</f>
        <v>Carotte, France continentale, Base Carbone</v>
      </c>
      <c r="F1877" s="1051" t="str">
        <f t="shared" si="218"/>
        <v>Carotte, France continentale, Base Carbone</v>
      </c>
      <c r="G1877" s="1054" t="str">
        <f t="shared" si="219"/>
        <v>Carotte, France continentale, Base Carbone; kgCO2e/Ha</v>
      </c>
      <c r="I1877" s="2018" t="s">
        <v>2122</v>
      </c>
      <c r="J1877" s="1135" t="s">
        <v>5068</v>
      </c>
      <c r="K1877" s="1135" t="s">
        <v>1567</v>
      </c>
      <c r="L1877" s="1135" t="s">
        <v>1571</v>
      </c>
      <c r="M1877" s="2038">
        <v>0.5</v>
      </c>
      <c r="N1877" s="1135"/>
      <c r="O1877" s="1135">
        <v>4393</v>
      </c>
      <c r="P1877" s="1135"/>
      <c r="Q1877" s="1135"/>
      <c r="R1877" s="1135"/>
      <c r="S1877" s="1135"/>
      <c r="T1877" s="1135"/>
      <c r="U1877" s="2041"/>
    </row>
    <row r="1878" spans="2:21" hidden="1" outlineLevel="2">
      <c r="B1878" s="1050">
        <v>4</v>
      </c>
      <c r="C1878" s="1050" t="str">
        <f t="shared" si="216"/>
        <v>Chou-fleur, France continentale, Base Carbone</v>
      </c>
      <c r="D1878" s="1051">
        <f t="shared" si="217"/>
        <v>4</v>
      </c>
      <c r="E1878" s="1051" t="str">
        <f>IF(COUNTIF(E$1874:E1877,F1878)&gt;0,"",F1878)</f>
        <v>Chou-fleur, France continentale, Base Carbone</v>
      </c>
      <c r="F1878" s="1051" t="str">
        <f t="shared" si="218"/>
        <v>Chou-fleur, France continentale, Base Carbone</v>
      </c>
      <c r="G1878" s="1054" t="str">
        <f t="shared" si="219"/>
        <v>Chou-fleur, France continentale, Base Carbone; kgCO2e/Ha</v>
      </c>
      <c r="I1878" s="2018" t="s">
        <v>4207</v>
      </c>
      <c r="J1878" s="1135" t="s">
        <v>5068</v>
      </c>
      <c r="K1878" s="1135" t="s">
        <v>1567</v>
      </c>
      <c r="L1878" s="1135" t="s">
        <v>1571</v>
      </c>
      <c r="M1878" s="2038">
        <v>0.5</v>
      </c>
      <c r="N1878" s="1135"/>
      <c r="O1878" s="1135">
        <v>4933</v>
      </c>
      <c r="P1878" s="1135"/>
      <c r="Q1878" s="1135"/>
      <c r="R1878" s="1135"/>
      <c r="S1878" s="1135"/>
      <c r="T1878" s="1135"/>
      <c r="U1878" s="2041"/>
    </row>
    <row r="1879" spans="2:21" hidden="1" outlineLevel="2">
      <c r="B1879" s="1050">
        <v>5</v>
      </c>
      <c r="C1879" s="1050" t="str">
        <f t="shared" si="216"/>
        <v>Courgette, France continentale, Base Carbone</v>
      </c>
      <c r="D1879" s="1051">
        <f t="shared" si="217"/>
        <v>5</v>
      </c>
      <c r="E1879" s="1051" t="str">
        <f>IF(COUNTIF(E$1874:E1878,F1879)&gt;0,"",F1879)</f>
        <v>Courgette, France continentale, Base Carbone</v>
      </c>
      <c r="F1879" s="1051" t="str">
        <f t="shared" si="218"/>
        <v>Courgette, France continentale, Base Carbone</v>
      </c>
      <c r="G1879" s="1054" t="str">
        <f t="shared" si="219"/>
        <v>Courgette, France continentale, Base Carbone; kgCO2e/Ha</v>
      </c>
      <c r="I1879" s="2018" t="s">
        <v>2124</v>
      </c>
      <c r="J1879" s="1135" t="s">
        <v>5068</v>
      </c>
      <c r="K1879" s="1135" t="s">
        <v>1567</v>
      </c>
      <c r="L1879" s="1135" t="s">
        <v>1571</v>
      </c>
      <c r="M1879" s="2038">
        <v>0.5</v>
      </c>
      <c r="N1879" s="1135"/>
      <c r="O1879" s="1135">
        <v>9418</v>
      </c>
      <c r="P1879" s="1135"/>
      <c r="Q1879" s="1135"/>
      <c r="R1879" s="1135"/>
      <c r="S1879" s="1135"/>
      <c r="T1879" s="1135"/>
      <c r="U1879" s="2041"/>
    </row>
    <row r="1880" spans="2:21" hidden="1" outlineLevel="2">
      <c r="B1880" s="1050">
        <v>6</v>
      </c>
      <c r="C1880" s="1050" t="str">
        <f t="shared" si="216"/>
        <v>Fraises, France continentale, Base Carbone</v>
      </c>
      <c r="D1880" s="1051">
        <f t="shared" si="217"/>
        <v>6</v>
      </c>
      <c r="E1880" s="1051" t="str">
        <f>IF(COUNTIF(E$1874:E1879,F1880)&gt;0,"",F1880)</f>
        <v>Fraises, France continentale, Base Carbone</v>
      </c>
      <c r="F1880" s="1051" t="str">
        <f t="shared" si="218"/>
        <v>Fraises, France continentale, Base Carbone</v>
      </c>
      <c r="G1880" s="1054" t="str">
        <f t="shared" si="219"/>
        <v>Fraises, France continentale, Base Carbone; kgCO2e/Ha</v>
      </c>
      <c r="I1880" s="2018" t="s">
        <v>5058</v>
      </c>
      <c r="J1880" s="1135" t="s">
        <v>5068</v>
      </c>
      <c r="K1880" s="1135" t="s">
        <v>1567</v>
      </c>
      <c r="L1880" s="1135" t="s">
        <v>1571</v>
      </c>
      <c r="M1880" s="2038">
        <v>0.5</v>
      </c>
      <c r="N1880" s="1135"/>
      <c r="O1880" s="1135">
        <v>52039</v>
      </c>
      <c r="P1880" s="1135"/>
      <c r="Q1880" s="1135"/>
      <c r="R1880" s="1135"/>
      <c r="S1880" s="1135"/>
      <c r="T1880" s="1135"/>
      <c r="U1880" s="2041"/>
    </row>
    <row r="1881" spans="2:21" hidden="1" outlineLevel="2">
      <c r="B1881" s="1050">
        <v>7</v>
      </c>
      <c r="C1881" s="1050" t="str">
        <f t="shared" si="216"/>
        <v>Laitue, France continentale, Base Carbone</v>
      </c>
      <c r="D1881" s="1051">
        <f t="shared" si="217"/>
        <v>7</v>
      </c>
      <c r="E1881" s="1051" t="str">
        <f>IF(COUNTIF(E$1874:E1880,F1881)&gt;0,"",F1881)</f>
        <v>Laitue, France continentale, Base Carbone</v>
      </c>
      <c r="F1881" s="1051" t="str">
        <f t="shared" si="218"/>
        <v>Laitue, France continentale, Base Carbone</v>
      </c>
      <c r="G1881" s="1054" t="str">
        <f t="shared" si="219"/>
        <v>Laitue, France continentale, Base Carbone; kgCO2e/Ha</v>
      </c>
      <c r="I1881" s="2018" t="s">
        <v>4217</v>
      </c>
      <c r="J1881" s="1135" t="s">
        <v>5068</v>
      </c>
      <c r="K1881" s="1135" t="s">
        <v>1567</v>
      </c>
      <c r="L1881" s="1135" t="s">
        <v>1571</v>
      </c>
      <c r="M1881" s="2038">
        <v>0.5</v>
      </c>
      <c r="N1881" s="1135"/>
      <c r="O1881" s="1135">
        <v>9308</v>
      </c>
      <c r="P1881" s="1135"/>
      <c r="Q1881" s="1135"/>
      <c r="R1881" s="1135"/>
      <c r="S1881" s="1135"/>
      <c r="T1881" s="1135"/>
      <c r="U1881" s="2041"/>
    </row>
    <row r="1882" spans="2:21" hidden="1" outlineLevel="2">
      <c r="B1882" s="1050">
        <v>8</v>
      </c>
      <c r="C1882" s="1050" t="str">
        <f t="shared" si="216"/>
        <v>Melon, France continentale, Base Carbone</v>
      </c>
      <c r="D1882" s="1051">
        <f t="shared" si="217"/>
        <v>8</v>
      </c>
      <c r="E1882" s="1051" t="str">
        <f>IF(COUNTIF(E$1874:E1881,F1882)&gt;0,"",F1882)</f>
        <v>Melon, France continentale, Base Carbone</v>
      </c>
      <c r="F1882" s="1051" t="str">
        <f t="shared" si="218"/>
        <v>Melon, France continentale, Base Carbone</v>
      </c>
      <c r="G1882" s="1054" t="str">
        <f t="shared" si="219"/>
        <v>Melon, France continentale, Base Carbone; kgCO2e/Ha</v>
      </c>
      <c r="I1882" s="2018" t="s">
        <v>2127</v>
      </c>
      <c r="J1882" s="1135" t="s">
        <v>5068</v>
      </c>
      <c r="K1882" s="1135" t="s">
        <v>1567</v>
      </c>
      <c r="L1882" s="1135" t="s">
        <v>1571</v>
      </c>
      <c r="M1882" s="2038">
        <v>0.5</v>
      </c>
      <c r="N1882" s="1135"/>
      <c r="O1882" s="1135">
        <v>4454</v>
      </c>
      <c r="P1882" s="1135"/>
      <c r="Q1882" s="1135"/>
      <c r="R1882" s="1135"/>
      <c r="S1882" s="1135"/>
      <c r="T1882" s="1135"/>
      <c r="U1882" s="2041"/>
    </row>
    <row r="1883" spans="2:21" hidden="1" outlineLevel="2">
      <c r="B1883" s="1050">
        <v>9</v>
      </c>
      <c r="C1883" s="1050" t="str">
        <f t="shared" si="216"/>
        <v>Noix sèches en coque, France continentale, Base Carbone</v>
      </c>
      <c r="D1883" s="1051">
        <f t="shared" si="217"/>
        <v>9</v>
      </c>
      <c r="E1883" s="1051" t="str">
        <f>IF(COUNTIF(E$1874:E1882,F1883)&gt;0,"",F1883)</f>
        <v>Noix sèches en coque, France continentale, Base Carbone</v>
      </c>
      <c r="F1883" s="1051" t="str">
        <f t="shared" si="218"/>
        <v>Noix sèches en coque, France continentale, Base Carbone</v>
      </c>
      <c r="G1883" s="1054" t="str">
        <f t="shared" si="219"/>
        <v>Noix sèches en coque, France continentale, Base Carbone; kgCO2e/Ha</v>
      </c>
      <c r="I1883" s="2018" t="s">
        <v>5059</v>
      </c>
      <c r="J1883" s="1135" t="s">
        <v>5068</v>
      </c>
      <c r="K1883" s="1135" t="s">
        <v>1567</v>
      </c>
      <c r="L1883" s="1135" t="s">
        <v>1571</v>
      </c>
      <c r="M1883" s="2038">
        <v>0.5</v>
      </c>
      <c r="N1883" s="1135"/>
      <c r="O1883" s="1135">
        <v>139784</v>
      </c>
      <c r="P1883" s="1135"/>
      <c r="Q1883" s="1135"/>
      <c r="R1883" s="1135"/>
      <c r="S1883" s="1135"/>
      <c r="T1883" s="1135"/>
      <c r="U1883" s="2041"/>
    </row>
    <row r="1884" spans="2:21" hidden="1" outlineLevel="2">
      <c r="B1884" s="1050">
        <v>10</v>
      </c>
      <c r="C1884" s="1050" t="str">
        <f t="shared" si="216"/>
        <v>Oignon, France continentale, Base Carbone</v>
      </c>
      <c r="D1884" s="1051">
        <f t="shared" si="217"/>
        <v>10</v>
      </c>
      <c r="E1884" s="1051" t="str">
        <f>IF(COUNTIF(E$1874:E1883,F1884)&gt;0,"",F1884)</f>
        <v>Oignon, France continentale, Base Carbone</v>
      </c>
      <c r="F1884" s="1051" t="str">
        <f t="shared" si="218"/>
        <v>Oignon, France continentale, Base Carbone</v>
      </c>
      <c r="G1884" s="1054" t="str">
        <f t="shared" si="219"/>
        <v>Oignon, France continentale, Base Carbone; kgCO2e/Ha</v>
      </c>
      <c r="I1884" s="2018" t="s">
        <v>4219</v>
      </c>
      <c r="J1884" s="1135" t="s">
        <v>5068</v>
      </c>
      <c r="K1884" s="1135" t="s">
        <v>1567</v>
      </c>
      <c r="L1884" s="1135" t="s">
        <v>1571</v>
      </c>
      <c r="M1884" s="2038">
        <v>0.5</v>
      </c>
      <c r="N1884" s="1135"/>
      <c r="O1884" s="1135">
        <v>3271</v>
      </c>
      <c r="P1884" s="1135"/>
      <c r="Q1884" s="1135"/>
      <c r="R1884" s="1135"/>
      <c r="S1884" s="1135"/>
      <c r="T1884" s="1135"/>
      <c r="U1884" s="2041"/>
    </row>
    <row r="1885" spans="2:21" hidden="1" outlineLevel="2">
      <c r="B1885" s="1050">
        <v>11</v>
      </c>
      <c r="C1885" s="1050" t="str">
        <f t="shared" si="216"/>
        <v>Orge de brasserie, France continentale, Base Carbone</v>
      </c>
      <c r="D1885" s="1051">
        <f t="shared" si="217"/>
        <v>11</v>
      </c>
      <c r="E1885" s="1051" t="str">
        <f>IF(COUNTIF(E$1874:E1884,F1885)&gt;0,"",F1885)</f>
        <v>Orge de brasserie, France continentale, Base Carbone</v>
      </c>
      <c r="F1885" s="1051" t="str">
        <f t="shared" si="218"/>
        <v>Orge de brasserie, France continentale, Base Carbone</v>
      </c>
      <c r="G1885" s="1054" t="str">
        <f t="shared" si="219"/>
        <v>Orge de brasserie, France continentale, Base Carbone; kgCO2e/Ha</v>
      </c>
      <c r="I1885" s="2018" t="s">
        <v>5060</v>
      </c>
      <c r="J1885" s="1135" t="s">
        <v>5068</v>
      </c>
      <c r="K1885" s="1135" t="s">
        <v>1567</v>
      </c>
      <c r="L1885" s="1135" t="s">
        <v>1571</v>
      </c>
      <c r="M1885" s="2038">
        <v>0.5</v>
      </c>
      <c r="N1885" s="1135"/>
      <c r="O1885" s="1135">
        <v>2245</v>
      </c>
      <c r="P1885" s="1135"/>
      <c r="Q1885" s="1135"/>
      <c r="R1885" s="1135"/>
      <c r="S1885" s="1135"/>
      <c r="T1885" s="1135"/>
      <c r="U1885" s="2041"/>
    </row>
    <row r="1886" spans="2:21" hidden="1" outlineLevel="2">
      <c r="B1886" s="1050">
        <v>12</v>
      </c>
      <c r="C1886" s="1050" t="str">
        <f t="shared" si="216"/>
        <v>Orge fouragère, France continentale, Base Carbone</v>
      </c>
      <c r="D1886" s="1051">
        <f t="shared" si="217"/>
        <v>12</v>
      </c>
      <c r="E1886" s="1051" t="str">
        <f>IF(COUNTIF(E$1874:E1885,F1886)&gt;0,"",F1886)</f>
        <v>Orge fouragère, France continentale, Base Carbone</v>
      </c>
      <c r="F1886" s="1051" t="str">
        <f t="shared" si="218"/>
        <v>Orge fouragère, France continentale, Base Carbone</v>
      </c>
      <c r="G1886" s="1054" t="str">
        <f t="shared" si="219"/>
        <v>Orge fouragère, France continentale, Base Carbone; kgCO2e/Ha</v>
      </c>
      <c r="I1886" s="2018" t="s">
        <v>5061</v>
      </c>
      <c r="J1886" s="1135" t="s">
        <v>5068</v>
      </c>
      <c r="K1886" s="1135" t="s">
        <v>1567</v>
      </c>
      <c r="L1886" s="1135" t="s">
        <v>1571</v>
      </c>
      <c r="M1886" s="2038">
        <v>0.5</v>
      </c>
      <c r="N1886" s="1135"/>
      <c r="O1886" s="1135">
        <v>2342</v>
      </c>
      <c r="P1886" s="1135"/>
      <c r="Q1886" s="1135"/>
      <c r="R1886" s="1135"/>
      <c r="S1886" s="1135"/>
      <c r="T1886" s="1135"/>
      <c r="U1886" s="2041"/>
    </row>
    <row r="1887" spans="2:21" hidden="1" outlineLevel="2">
      <c r="B1887" s="1050">
        <v>13</v>
      </c>
      <c r="C1887" s="1050" t="str">
        <f t="shared" si="216"/>
        <v>Pêche et nectarine, France continentale, Base Carbone</v>
      </c>
      <c r="D1887" s="1051">
        <f t="shared" si="217"/>
        <v>13</v>
      </c>
      <c r="E1887" s="1051" t="str">
        <f>IF(COUNTIF(E$1874:E1886,F1887)&gt;0,"",F1887)</f>
        <v>Pêche et nectarine, France continentale, Base Carbone</v>
      </c>
      <c r="F1887" s="1051" t="str">
        <f t="shared" si="218"/>
        <v>Pêche et nectarine, France continentale, Base Carbone</v>
      </c>
      <c r="G1887" s="1054" t="str">
        <f t="shared" si="219"/>
        <v>Pêche et nectarine, France continentale, Base Carbone; kgCO2e/Ha</v>
      </c>
      <c r="I1887" s="2018" t="s">
        <v>5062</v>
      </c>
      <c r="J1887" s="1135" t="s">
        <v>5068</v>
      </c>
      <c r="K1887" s="1135" t="s">
        <v>1567</v>
      </c>
      <c r="L1887" s="1135" t="s">
        <v>1571</v>
      </c>
      <c r="M1887" s="2038">
        <v>0.5</v>
      </c>
      <c r="N1887" s="1135"/>
      <c r="O1887" s="1135">
        <v>61200</v>
      </c>
      <c r="P1887" s="1135"/>
      <c r="Q1887" s="1135"/>
      <c r="R1887" s="1135"/>
      <c r="S1887" s="1135"/>
      <c r="T1887" s="1135"/>
      <c r="U1887" s="2041"/>
    </row>
    <row r="1888" spans="2:21" hidden="1" outlineLevel="2">
      <c r="B1888" s="1050">
        <v>14</v>
      </c>
      <c r="C1888" s="1050" t="str">
        <f t="shared" si="216"/>
        <v>Poire, France continentale, Base Carbone</v>
      </c>
      <c r="D1888" s="1051">
        <f t="shared" si="217"/>
        <v>14</v>
      </c>
      <c r="E1888" s="1051" t="str">
        <f>IF(COUNTIF(E$1874:E1887,F1888)&gt;0,"",F1888)</f>
        <v>Poire, France continentale, Base Carbone</v>
      </c>
      <c r="F1888" s="1051" t="str">
        <f t="shared" si="218"/>
        <v>Poire, France continentale, Base Carbone</v>
      </c>
      <c r="G1888" s="1054" t="str">
        <f t="shared" si="219"/>
        <v>Poire, France continentale, Base Carbone; kgCO2e/Ha</v>
      </c>
      <c r="I1888" s="2018" t="s">
        <v>2130</v>
      </c>
      <c r="J1888" s="1135" t="s">
        <v>5068</v>
      </c>
      <c r="K1888" s="1135" t="s">
        <v>1567</v>
      </c>
      <c r="L1888" s="1135" t="s">
        <v>1571</v>
      </c>
      <c r="M1888" s="2038">
        <v>0.5</v>
      </c>
      <c r="N1888" s="1135"/>
      <c r="O1888" s="1135">
        <v>151896</v>
      </c>
      <c r="P1888" s="1135"/>
      <c r="Q1888" s="1135"/>
      <c r="R1888" s="1135"/>
      <c r="S1888" s="1135"/>
      <c r="T1888" s="1135"/>
      <c r="U1888" s="2041"/>
    </row>
    <row r="1889" spans="2:21" hidden="1" outlineLevel="2">
      <c r="B1889" s="1050">
        <v>15</v>
      </c>
      <c r="C1889" s="1050" t="str">
        <f t="shared" si="216"/>
        <v>Poireau, France continentale, Base Carbone</v>
      </c>
      <c r="D1889" s="1051">
        <f t="shared" si="217"/>
        <v>15</v>
      </c>
      <c r="E1889" s="1051" t="str">
        <f>IF(COUNTIF(E$1874:E1888,F1889)&gt;0,"",F1889)</f>
        <v>Poireau, France continentale, Base Carbone</v>
      </c>
      <c r="F1889" s="1051" t="str">
        <f t="shared" si="218"/>
        <v>Poireau, France continentale, Base Carbone</v>
      </c>
      <c r="G1889" s="1054" t="str">
        <f t="shared" si="219"/>
        <v>Poireau, France continentale, Base Carbone; kgCO2e/Ha</v>
      </c>
      <c r="I1889" s="2018" t="s">
        <v>2131</v>
      </c>
      <c r="J1889" s="1135" t="s">
        <v>5068</v>
      </c>
      <c r="K1889" s="1135" t="s">
        <v>1567</v>
      </c>
      <c r="L1889" s="1135" t="s">
        <v>1571</v>
      </c>
      <c r="M1889" s="2038">
        <v>0.5</v>
      </c>
      <c r="N1889" s="1135"/>
      <c r="O1889" s="1135">
        <v>11791</v>
      </c>
      <c r="P1889" s="1135"/>
      <c r="Q1889" s="1135"/>
      <c r="R1889" s="1135"/>
      <c r="S1889" s="1135"/>
      <c r="T1889" s="1135"/>
      <c r="U1889" s="2041"/>
    </row>
    <row r="1890" spans="2:21" hidden="1" outlineLevel="2">
      <c r="B1890" s="1050">
        <v>16</v>
      </c>
      <c r="C1890" s="1050" t="str">
        <f t="shared" si="216"/>
        <v>Pomme de terre, France continentale, Base Carbone</v>
      </c>
      <c r="D1890" s="1051">
        <f t="shared" si="217"/>
        <v>16</v>
      </c>
      <c r="E1890" s="1051" t="str">
        <f>IF(COUNTIF(E$1874:E1889,F1890)&gt;0,"",F1890)</f>
        <v>Pomme de terre, France continentale, Base Carbone</v>
      </c>
      <c r="F1890" s="1051" t="str">
        <f t="shared" si="218"/>
        <v>Pomme de terre, France continentale, Base Carbone</v>
      </c>
      <c r="G1890" s="1054" t="str">
        <f t="shared" si="219"/>
        <v>Pomme de terre, France continentale, Base Carbone; kgCO2e/Ha</v>
      </c>
      <c r="I1890" s="2018" t="s">
        <v>401</v>
      </c>
      <c r="J1890" s="1135" t="s">
        <v>5068</v>
      </c>
      <c r="K1890" s="1135" t="s">
        <v>1567</v>
      </c>
      <c r="L1890" s="1135" t="s">
        <v>1571</v>
      </c>
      <c r="M1890" s="2038">
        <v>0.5</v>
      </c>
      <c r="N1890" s="1135"/>
      <c r="O1890" s="1135">
        <v>3093</v>
      </c>
      <c r="P1890" s="1135"/>
      <c r="Q1890" s="1135"/>
      <c r="R1890" s="1135"/>
      <c r="S1890" s="1135"/>
      <c r="T1890" s="1135"/>
      <c r="U1890" s="2041"/>
    </row>
    <row r="1891" spans="2:21" hidden="1" outlineLevel="2">
      <c r="B1891" s="1050">
        <v>17</v>
      </c>
      <c r="C1891" s="1050" t="str">
        <f t="shared" si="216"/>
        <v>Pommes, France continentale, Base Carbone</v>
      </c>
      <c r="D1891" s="1051">
        <f t="shared" si="217"/>
        <v>17</v>
      </c>
      <c r="E1891" s="1051" t="str">
        <f>IF(COUNTIF(E$1874:E1890,F1891)&gt;0,"",F1891)</f>
        <v>Pommes, France continentale, Base Carbone</v>
      </c>
      <c r="F1891" s="1051" t="str">
        <f t="shared" si="218"/>
        <v>Pommes, France continentale, Base Carbone</v>
      </c>
      <c r="G1891" s="1054" t="str">
        <f t="shared" si="219"/>
        <v>Pommes, France continentale, Base Carbone; kgCO2e/Ha</v>
      </c>
      <c r="I1891" s="2018" t="s">
        <v>5063</v>
      </c>
      <c r="J1891" s="1135" t="s">
        <v>5068</v>
      </c>
      <c r="K1891" s="1135" t="s">
        <v>1567</v>
      </c>
      <c r="L1891" s="1135" t="s">
        <v>1571</v>
      </c>
      <c r="M1891" s="2038">
        <v>0.5</v>
      </c>
      <c r="N1891" s="1135"/>
      <c r="O1891" s="1135">
        <v>84198</v>
      </c>
      <c r="P1891" s="1135"/>
      <c r="Q1891" s="1135"/>
      <c r="R1891" s="1135"/>
      <c r="S1891" s="1135"/>
      <c r="T1891" s="1135"/>
      <c r="U1891" s="2041"/>
    </row>
    <row r="1892" spans="2:21" hidden="1" outlineLevel="2">
      <c r="B1892" s="1050">
        <v>18</v>
      </c>
      <c r="C1892" s="1050" t="str">
        <f t="shared" si="216"/>
        <v>Racines d'endive, France continentale, Base Carbone</v>
      </c>
      <c r="D1892" s="1051">
        <f t="shared" si="217"/>
        <v>18</v>
      </c>
      <c r="E1892" s="1051" t="str">
        <f>IF(COUNTIF(E$1874:E1891,F1892)&gt;0,"",F1892)</f>
        <v>Racines d'endive, France continentale, Base Carbone</v>
      </c>
      <c r="F1892" s="1051" t="str">
        <f t="shared" si="218"/>
        <v>Racines d'endive, France continentale, Base Carbone</v>
      </c>
      <c r="G1892" s="1054" t="str">
        <f t="shared" si="219"/>
        <v>Racines d'endive, France continentale, Base Carbone; kgCO2e/Ha</v>
      </c>
      <c r="I1892" s="2018" t="s">
        <v>5064</v>
      </c>
      <c r="J1892" s="1135" t="s">
        <v>5068</v>
      </c>
      <c r="K1892" s="1135" t="s">
        <v>1567</v>
      </c>
      <c r="L1892" s="1135" t="s">
        <v>1571</v>
      </c>
      <c r="M1892" s="2038">
        <v>0.5</v>
      </c>
      <c r="N1892" s="1135"/>
      <c r="O1892" s="1135">
        <v>2626</v>
      </c>
      <c r="P1892" s="1135"/>
      <c r="Q1892" s="1135"/>
      <c r="R1892" s="1135"/>
      <c r="S1892" s="1135"/>
      <c r="T1892" s="1135"/>
      <c r="U1892" s="2041"/>
    </row>
    <row r="1893" spans="2:21" hidden="1" outlineLevel="2">
      <c r="B1893" s="1050">
        <v>19</v>
      </c>
      <c r="C1893" s="1050" t="str">
        <f t="shared" si="216"/>
        <v>Tomates, France continentale, Base Carbone</v>
      </c>
      <c r="D1893" s="1051">
        <f t="shared" si="217"/>
        <v>19</v>
      </c>
      <c r="E1893" s="1051" t="str">
        <f>IF(COUNTIF(E$1874:E1892,F1893)&gt;0,"",F1893)</f>
        <v>Tomates, France continentale, Base Carbone</v>
      </c>
      <c r="F1893" s="1051" t="str">
        <f t="shared" si="218"/>
        <v>Tomates, France continentale, Base Carbone</v>
      </c>
      <c r="G1893" s="1054" t="str">
        <f t="shared" si="219"/>
        <v>Tomates, France continentale, Base Carbone; kgCO2e/Ha</v>
      </c>
      <c r="I1893" s="2018" t="s">
        <v>5065</v>
      </c>
      <c r="J1893" s="1135" t="s">
        <v>5068</v>
      </c>
      <c r="K1893" s="1135" t="s">
        <v>1567</v>
      </c>
      <c r="L1893" s="1135" t="s">
        <v>1571</v>
      </c>
      <c r="M1893" s="2038">
        <v>0.5</v>
      </c>
      <c r="N1893" s="1135"/>
      <c r="O1893" s="1135">
        <v>663383</v>
      </c>
      <c r="P1893" s="1135"/>
      <c r="Q1893" s="1135"/>
      <c r="R1893" s="1135"/>
      <c r="S1893" s="1135"/>
      <c r="T1893" s="1135"/>
      <c r="U1893" s="2041"/>
    </row>
    <row r="1894" spans="2:21" hidden="1" outlineLevel="2">
      <c r="B1894" s="1050">
        <v>20</v>
      </c>
      <c r="C1894" s="1050" t="str">
        <f t="shared" si="216"/>
        <v>Triticale conventionnel, France continentale, Base Carbone</v>
      </c>
      <c r="D1894" s="1051">
        <f t="shared" si="217"/>
        <v>20</v>
      </c>
      <c r="E1894" s="1051" t="str">
        <f>IF(COUNTIF(E$1874:E1893,F1894)&gt;0,"",F1894)</f>
        <v>Triticale conventionnel, France continentale, Base Carbone</v>
      </c>
      <c r="F1894" s="1051" t="str">
        <f t="shared" si="218"/>
        <v>Triticale conventionnel, France continentale, Base Carbone</v>
      </c>
      <c r="G1894" s="1054" t="str">
        <f t="shared" si="219"/>
        <v>Triticale conventionnel, France continentale, Base Carbone; kgCO2e/Ha</v>
      </c>
      <c r="I1894" s="2018" t="s">
        <v>5066</v>
      </c>
      <c r="J1894" s="1135" t="s">
        <v>5068</v>
      </c>
      <c r="K1894" s="1135" t="s">
        <v>1567</v>
      </c>
      <c r="L1894" s="1135" t="s">
        <v>1571</v>
      </c>
      <c r="M1894" s="2038">
        <v>0.5</v>
      </c>
      <c r="N1894" s="1135"/>
      <c r="O1894" s="1135">
        <v>1845</v>
      </c>
      <c r="P1894" s="1135"/>
      <c r="Q1894" s="1135"/>
      <c r="R1894" s="1135"/>
      <c r="S1894" s="1135"/>
      <c r="T1894" s="1135"/>
      <c r="U1894" s="2041"/>
    </row>
    <row r="1895" spans="2:21" hidden="1" outlineLevel="2">
      <c r="B1895" s="1050">
        <v>21</v>
      </c>
      <c r="C1895" s="1050" t="str">
        <f t="shared" si="216"/>
        <v>Vigne, France continentale, Base Carbone</v>
      </c>
      <c r="D1895" s="1051">
        <f t="shared" si="217"/>
        <v>21</v>
      </c>
      <c r="E1895" s="1051" t="str">
        <f>IF(COUNTIF(E$1874:E1894,F1895)&gt;0,"",F1895)</f>
        <v>Vigne, France continentale, Base Carbone</v>
      </c>
      <c r="F1895" s="1051" t="str">
        <f t="shared" si="218"/>
        <v>Vigne, France continentale, Base Carbone</v>
      </c>
      <c r="G1895" s="1054" t="str">
        <f t="shared" si="219"/>
        <v>Vigne, France continentale, Base Carbone; kgCO2e/Ha</v>
      </c>
      <c r="I1895" s="2018" t="s">
        <v>5067</v>
      </c>
      <c r="J1895" s="1135" t="s">
        <v>5068</v>
      </c>
      <c r="K1895" s="1135" t="s">
        <v>1567</v>
      </c>
      <c r="L1895" s="1135" t="s">
        <v>1571</v>
      </c>
      <c r="M1895" s="2038">
        <v>0.5</v>
      </c>
      <c r="N1895" s="1135"/>
      <c r="O1895" s="1135">
        <v>1346</v>
      </c>
      <c r="P1895" s="1135"/>
      <c r="Q1895" s="1135"/>
      <c r="R1895" s="1135"/>
      <c r="S1895" s="1135"/>
      <c r="T1895" s="1135"/>
      <c r="U1895" s="2041"/>
    </row>
    <row r="1896" spans="2:21" hidden="1" outlineLevel="2">
      <c r="B1896" s="1050">
        <v>22</v>
      </c>
      <c r="C1896" s="1050" t="str">
        <f t="shared" si="216"/>
        <v>-</v>
      </c>
      <c r="D1896" s="1051">
        <f t="shared" si="217"/>
        <v>21</v>
      </c>
      <c r="E1896" s="1051" t="str">
        <f>IF(COUNTIF(E$1874:E1895,F1896)&gt;0,"",F1896)</f>
        <v/>
      </c>
      <c r="F1896" s="1051" t="str">
        <f t="shared" si="218"/>
        <v/>
      </c>
      <c r="G1896" s="1054" t="str">
        <f t="shared" si="219"/>
        <v/>
      </c>
      <c r="I1896" s="2018"/>
      <c r="J1896" s="1135"/>
      <c r="K1896" s="1135"/>
      <c r="L1896" s="1135"/>
      <c r="M1896" s="1134"/>
      <c r="N1896" s="1135"/>
      <c r="O1896" s="1135"/>
      <c r="P1896" s="1135"/>
      <c r="Q1896" s="1135"/>
      <c r="R1896" s="1135"/>
      <c r="S1896" s="1135"/>
      <c r="T1896" s="1135"/>
      <c r="U1896" s="2041"/>
    </row>
    <row r="1897" spans="2:21" hidden="1" outlineLevel="2">
      <c r="B1897" s="1050">
        <v>23</v>
      </c>
      <c r="C1897" s="1050" t="str">
        <f t="shared" si="216"/>
        <v>-</v>
      </c>
      <c r="D1897" s="1051">
        <f t="shared" si="217"/>
        <v>21</v>
      </c>
      <c r="E1897" s="1051" t="str">
        <f>IF(COUNTIF(E$1874:E1896,F1897)&gt;0,"",F1897)</f>
        <v/>
      </c>
      <c r="F1897" s="1051" t="str">
        <f t="shared" si="218"/>
        <v/>
      </c>
      <c r="G1897" s="1054" t="str">
        <f t="shared" si="219"/>
        <v/>
      </c>
      <c r="I1897" s="2018"/>
      <c r="J1897" s="1135"/>
      <c r="K1897" s="1135"/>
      <c r="L1897" s="1135"/>
      <c r="M1897" s="1135"/>
      <c r="N1897" s="1135"/>
      <c r="O1897" s="1135"/>
      <c r="P1897" s="1135"/>
      <c r="Q1897" s="1135"/>
      <c r="R1897" s="1135"/>
      <c r="S1897" s="1135"/>
      <c r="T1897" s="1135"/>
      <c r="U1897" s="2041"/>
    </row>
    <row r="1898" spans="2:21" hidden="1" outlineLevel="2">
      <c r="B1898" s="1050">
        <v>24</v>
      </c>
      <c r="C1898" s="1050" t="str">
        <f t="shared" si="216"/>
        <v>-</v>
      </c>
      <c r="D1898" s="1051">
        <f t="shared" si="217"/>
        <v>21</v>
      </c>
      <c r="E1898" s="1051" t="str">
        <f>IF(COUNTIF(E$1874:E1897,F1898)&gt;0,"",F1898)</f>
        <v/>
      </c>
      <c r="F1898" s="1051" t="str">
        <f t="shared" si="218"/>
        <v/>
      </c>
      <c r="G1898" s="1054" t="str">
        <f t="shared" si="219"/>
        <v/>
      </c>
      <c r="I1898" s="2018"/>
      <c r="J1898" s="1135"/>
      <c r="K1898" s="1135"/>
      <c r="L1898" s="1135"/>
      <c r="M1898" s="1135"/>
      <c r="N1898" s="1135"/>
      <c r="O1898" s="1135"/>
      <c r="P1898" s="1135"/>
      <c r="Q1898" s="1135"/>
      <c r="R1898" s="1135"/>
      <c r="S1898" s="1135"/>
      <c r="T1898" s="1135"/>
      <c r="U1898" s="2041"/>
    </row>
    <row r="1899" spans="2:21" hidden="1" outlineLevel="2">
      <c r="B1899" s="1050">
        <v>25</v>
      </c>
      <c r="C1899" s="1050" t="str">
        <f t="shared" si="216"/>
        <v>-</v>
      </c>
      <c r="D1899" s="1051">
        <f t="shared" si="217"/>
        <v>21</v>
      </c>
      <c r="E1899" s="1051" t="str">
        <f>IF(COUNTIF(E$1874:E1898,F1899)&gt;0,"",F1899)</f>
        <v/>
      </c>
      <c r="F1899" s="1051" t="str">
        <f t="shared" si="218"/>
        <v/>
      </c>
      <c r="G1899" s="1054" t="str">
        <f t="shared" si="219"/>
        <v/>
      </c>
      <c r="I1899" s="2018"/>
      <c r="J1899" s="1135"/>
      <c r="K1899" s="1135"/>
      <c r="L1899" s="1135"/>
      <c r="M1899" s="1135"/>
      <c r="N1899" s="1135"/>
      <c r="O1899" s="1135"/>
      <c r="P1899" s="1135"/>
      <c r="Q1899" s="1135"/>
      <c r="R1899" s="1135"/>
      <c r="S1899" s="1135"/>
      <c r="T1899" s="1135"/>
      <c r="U1899" s="2041"/>
    </row>
    <row r="1900" spans="2:21" hidden="1" outlineLevel="1">
      <c r="B1900" s="1045"/>
      <c r="C1900" s="1045"/>
      <c r="D1900" s="1045"/>
      <c r="E1900" s="1045"/>
      <c r="F1900" s="1045"/>
      <c r="G1900" s="1046"/>
      <c r="I1900" s="1711"/>
      <c r="J1900" s="1712"/>
      <c r="K1900" s="1712"/>
      <c r="L1900" s="1712"/>
      <c r="M1900" s="1712"/>
      <c r="N1900" s="1712"/>
      <c r="O1900" s="1712"/>
      <c r="P1900" s="1712"/>
      <c r="Q1900" s="1712"/>
      <c r="R1900" s="1712"/>
      <c r="S1900" s="1712"/>
      <c r="T1900" s="1712"/>
      <c r="U1900" s="1714"/>
    </row>
    <row r="1901" spans="2:21" hidden="1" outlineLevel="1" collapsed="1">
      <c r="B1901" s="3156" t="s">
        <v>5082</v>
      </c>
      <c r="C1901" s="3156"/>
      <c r="D1901" s="1051">
        <f t="shared" ref="D1901" si="220">D1900+IF(LEN(E1901)&gt;0,1,0)</f>
        <v>0</v>
      </c>
      <c r="E1901" s="1051"/>
      <c r="F1901" s="1051"/>
      <c r="G1901" s="1054"/>
      <c r="I1901" s="1711"/>
      <c r="J1901" s="1712"/>
      <c r="K1901" s="1712"/>
      <c r="L1901" s="1712"/>
      <c r="M1901" s="1712"/>
      <c r="N1901" s="1712"/>
      <c r="O1901" s="1712"/>
      <c r="P1901" s="1712"/>
      <c r="Q1901" s="1712"/>
      <c r="R1901" s="1712"/>
      <c r="S1901" s="1712"/>
      <c r="T1901" s="1712"/>
      <c r="U1901" s="1714"/>
    </row>
    <row r="1902" spans="2:21" hidden="1" outlineLevel="2">
      <c r="B1902" s="1050">
        <v>1</v>
      </c>
      <c r="C1902" s="1050" t="str">
        <f>IF(ISNA(VLOOKUP(B1902,$D$1901:$E$1920,2,FALSE)),"-",VLOOKUP(B1902,$D$1901:$E$1920,2,FALSE))</f>
        <v>Arbuste potted - prairie permanente, avec trèfle, région du Nord-Ouest, France continentale, Base Carbone</v>
      </c>
      <c r="D1902" s="1051">
        <f t="shared" ref="D1902" si="221">D1901+IF(LEN(E1902)&gt;0,1,0)</f>
        <v>1</v>
      </c>
      <c r="E1902" s="1051" t="str">
        <f>IF(COUNTIF(E$1901:E1901,F1902)&gt;0,"",F1902)</f>
        <v>Arbuste potted - prairie permanente, avec trèfle, région du Nord-Ouest, France continentale, Base Carbone</v>
      </c>
      <c r="F1902" s="1051" t="str">
        <f t="shared" ref="F1902" si="222">IF(I1902&lt;&gt;"",I1902&amp;IF(N1902&lt;&gt;""," "&amp;N1902,)&amp;IF(L1902&lt;&gt;"",", "&amp;L1902,"")&amp;IF(K1902&lt;&gt;"",", "&amp;K1902,""),"")</f>
        <v>Arbuste potted - prairie permanente, avec trèfle, région du Nord-Ouest, France continentale, Base Carbone</v>
      </c>
      <c r="G1902" s="1054" t="str">
        <f t="shared" ref="G1902" si="223">IF(F1902&lt;&gt;"",F1902&amp;IF(J1902&lt;&gt;"","; "&amp;J1902,""),"")</f>
        <v>Arbuste potted - prairie permanente, avec trèfle, région du Nord-Ouest, France continentale, Base Carbone; kgCO2e/kg</v>
      </c>
      <c r="I1902" s="2018" t="s">
        <v>5083</v>
      </c>
      <c r="J1902" s="1135" t="s">
        <v>1572</v>
      </c>
      <c r="K1902" s="1135" t="s">
        <v>1567</v>
      </c>
      <c r="L1902" s="1135" t="s">
        <v>1571</v>
      </c>
      <c r="M1902" s="2517">
        <v>0.5</v>
      </c>
      <c r="N1902" s="1135"/>
      <c r="O1902" s="1135">
        <v>1</v>
      </c>
      <c r="P1902" s="1135"/>
      <c r="Q1902" s="1135"/>
      <c r="R1902" s="1135"/>
      <c r="S1902" s="1135"/>
      <c r="T1902" s="1135"/>
      <c r="U1902" s="2041"/>
    </row>
    <row r="1903" spans="2:21" hidden="1" outlineLevel="2">
      <c r="B1903" s="1050">
        <v>2</v>
      </c>
      <c r="C1903" s="1050" t="str">
        <f t="shared" ref="C1903:C1920" si="224">IF(ISNA(VLOOKUP(B1903,$D$1901:$E$1920,2,FALSE)),"-",VLOOKUP(B1903,$D$1901:$E$1920,2,FALSE))</f>
        <v>Rose (fleur coupée) - prairie permanente, sans trèfle, Auvergne, France continentale, Base Carbone</v>
      </c>
      <c r="D1903" s="1051">
        <f t="shared" ref="D1903:D1920" si="225">D1902+IF(LEN(E1903)&gt;0,1,0)</f>
        <v>2</v>
      </c>
      <c r="E1903" s="1051" t="str">
        <f>IF(COUNTIF(E$1874:E1902,F1903)&gt;0,"",F1903)</f>
        <v>Rose (fleur coupée) - prairie permanente, sans trèfle, Auvergne, France continentale, Base Carbone</v>
      </c>
      <c r="F1903" s="1051" t="str">
        <f t="shared" ref="F1903:F1920" si="226">IF(I1903&lt;&gt;"",I1903&amp;IF(N1903&lt;&gt;""," "&amp;N1903,)&amp;IF(L1903&lt;&gt;"",", "&amp;L1903,"")&amp;IF(K1903&lt;&gt;"",", "&amp;K1903,""),"")</f>
        <v>Rose (fleur coupée) - prairie permanente, sans trèfle, Auvergne, France continentale, Base Carbone</v>
      </c>
      <c r="G1903" s="1054" t="str">
        <f t="shared" ref="G1903:G1920" si="227">IF(F1903&lt;&gt;"",F1903&amp;IF(J1903&lt;&gt;"","; "&amp;J1903,""),"")</f>
        <v>Rose (fleur coupée) - prairie permanente, sans trèfle, Auvergne, France continentale, Base Carbone; kgCO2e/kg</v>
      </c>
      <c r="I1903" s="2018" t="s">
        <v>5084</v>
      </c>
      <c r="J1903" s="1135" t="s">
        <v>1572</v>
      </c>
      <c r="K1903" s="1135" t="s">
        <v>1567</v>
      </c>
      <c r="L1903" s="1135" t="s">
        <v>1571</v>
      </c>
      <c r="M1903" s="2517">
        <v>0.5</v>
      </c>
      <c r="N1903" s="1135"/>
      <c r="O1903" s="1135">
        <v>0.79500000000000004</v>
      </c>
      <c r="P1903" s="1135"/>
      <c r="Q1903" s="1135"/>
      <c r="R1903" s="1135"/>
      <c r="S1903" s="1135"/>
      <c r="T1903" s="1135"/>
      <c r="U1903" s="2041"/>
    </row>
    <row r="1904" spans="2:21" hidden="1" outlineLevel="2">
      <c r="B1904" s="1050">
        <v>3</v>
      </c>
      <c r="C1904" s="1050" t="str">
        <f t="shared" si="224"/>
        <v>Rose (fleur coupée) - prairie permanente, sans trèfle, région du Nord-Ouest, France continentale, Base Carbone</v>
      </c>
      <c r="D1904" s="1051">
        <f t="shared" si="225"/>
        <v>3</v>
      </c>
      <c r="E1904" s="1051" t="str">
        <f>IF(COUNTIF(E$1874:E1903,F1904)&gt;0,"",F1904)</f>
        <v>Rose (fleur coupée) - prairie permanente, sans trèfle, région du Nord-Ouest, France continentale, Base Carbone</v>
      </c>
      <c r="F1904" s="1051" t="str">
        <f t="shared" si="226"/>
        <v>Rose (fleur coupée) - prairie permanente, sans trèfle, région du Nord-Ouest, France continentale, Base Carbone</v>
      </c>
      <c r="G1904" s="1054" t="str">
        <f t="shared" si="227"/>
        <v>Rose (fleur coupée) - prairie permanente, sans trèfle, région du Nord-Ouest, France continentale, Base Carbone; kgCO2e/kg</v>
      </c>
      <c r="I1904" s="2018" t="s">
        <v>5085</v>
      </c>
      <c r="J1904" s="1135" t="s">
        <v>1572</v>
      </c>
      <c r="K1904" s="1135" t="s">
        <v>1567</v>
      </c>
      <c r="L1904" s="1135" t="s">
        <v>1571</v>
      </c>
      <c r="M1904" s="2517">
        <v>0.5</v>
      </c>
      <c r="N1904" s="1135"/>
      <c r="O1904" s="1135">
        <v>1.05</v>
      </c>
      <c r="P1904" s="1135"/>
      <c r="Q1904" s="1135"/>
      <c r="R1904" s="1135"/>
      <c r="S1904" s="1135"/>
      <c r="T1904" s="1135"/>
      <c r="U1904" s="2041"/>
    </row>
    <row r="1905" spans="2:21" hidden="1" outlineLevel="2">
      <c r="B1905" s="1050">
        <v>4</v>
      </c>
      <c r="C1905" s="1050" t="str">
        <f t="shared" si="224"/>
        <v>Rose (fleur coupée) - prairie temporaire, sans trèfle, région du Nord-Ouest, France continentale, Base Carbone</v>
      </c>
      <c r="D1905" s="1051">
        <f t="shared" si="225"/>
        <v>4</v>
      </c>
      <c r="E1905" s="1051" t="str">
        <f>IF(COUNTIF(E$1874:E1904,F1905)&gt;0,"",F1905)</f>
        <v>Rose (fleur coupée) - prairie temporaire, sans trèfle, région du Nord-Ouest, France continentale, Base Carbone</v>
      </c>
      <c r="F1905" s="1051" t="str">
        <f t="shared" si="226"/>
        <v>Rose (fleur coupée) - prairie temporaire, sans trèfle, région du Nord-Ouest, France continentale, Base Carbone</v>
      </c>
      <c r="G1905" s="1054" t="str">
        <f t="shared" si="227"/>
        <v>Rose (fleur coupée) - prairie temporaire, sans trèfle, région du Nord-Ouest, France continentale, Base Carbone; kgCO2e/kg</v>
      </c>
      <c r="I1905" s="2018" t="s">
        <v>5086</v>
      </c>
      <c r="J1905" s="1135" t="s">
        <v>1572</v>
      </c>
      <c r="K1905" s="1135" t="s">
        <v>1567</v>
      </c>
      <c r="L1905" s="1135" t="s">
        <v>1571</v>
      </c>
      <c r="M1905" s="2517">
        <v>0.5</v>
      </c>
      <c r="N1905" s="1135"/>
      <c r="O1905" s="1135">
        <v>0.47699999999999998</v>
      </c>
      <c r="P1905" s="1135"/>
      <c r="Q1905" s="1135"/>
      <c r="R1905" s="1135"/>
      <c r="S1905" s="1135"/>
      <c r="T1905" s="1135"/>
      <c r="U1905" s="2041"/>
    </row>
    <row r="1906" spans="2:21" hidden="1" outlineLevel="2">
      <c r="B1906" s="1050">
        <v>5</v>
      </c>
      <c r="C1906" s="1050" t="str">
        <f t="shared" si="224"/>
        <v>Basilic conventionnel Avril, France continentale, Base Carbone</v>
      </c>
      <c r="D1906" s="1051">
        <f t="shared" si="225"/>
        <v>5</v>
      </c>
      <c r="E1906" s="1051" t="str">
        <f>IF(COUNTIF(E$1874:E1905,F1906)&gt;0,"",F1906)</f>
        <v>Basilic conventionnel Avril, France continentale, Base Carbone</v>
      </c>
      <c r="F1906" s="1051" t="str">
        <f t="shared" si="226"/>
        <v>Basilic conventionnel Avril, France continentale, Base Carbone</v>
      </c>
      <c r="G1906" s="1054" t="str">
        <f t="shared" si="227"/>
        <v>Basilic conventionnel Avril, France continentale, Base Carbone; kgCO2e/plant</v>
      </c>
      <c r="I1906" s="2018" t="s">
        <v>5087</v>
      </c>
      <c r="J1906" s="1135" t="s">
        <v>5098</v>
      </c>
      <c r="K1906" s="1135" t="s">
        <v>1567</v>
      </c>
      <c r="L1906" s="1135" t="s">
        <v>1571</v>
      </c>
      <c r="M1906" s="2518">
        <v>0.3</v>
      </c>
      <c r="N1906" s="1135"/>
      <c r="O1906" s="1135">
        <v>0.3</v>
      </c>
      <c r="P1906" s="1135"/>
      <c r="Q1906" s="1135"/>
      <c r="R1906" s="1135"/>
      <c r="S1906" s="1135"/>
      <c r="T1906" s="1135"/>
      <c r="U1906" s="2041"/>
    </row>
    <row r="1907" spans="2:21" hidden="1" outlineLevel="2">
      <c r="B1907" s="1050">
        <v>6</v>
      </c>
      <c r="C1907" s="1050" t="str">
        <f t="shared" si="224"/>
        <v>Basilic conventionnel Mai, France continentale, Base Carbone</v>
      </c>
      <c r="D1907" s="1051">
        <f t="shared" si="225"/>
        <v>6</v>
      </c>
      <c r="E1907" s="1051" t="str">
        <f>IF(COUNTIF(E$1874:E1906,F1907)&gt;0,"",F1907)</f>
        <v>Basilic conventionnel Mai, France continentale, Base Carbone</v>
      </c>
      <c r="F1907" s="1051" t="str">
        <f t="shared" si="226"/>
        <v>Basilic conventionnel Mai, France continentale, Base Carbone</v>
      </c>
      <c r="G1907" s="1054" t="str">
        <f t="shared" si="227"/>
        <v>Basilic conventionnel Mai, France continentale, Base Carbone; kgCO2e/plant</v>
      </c>
      <c r="I1907" s="2018" t="s">
        <v>5088</v>
      </c>
      <c r="J1907" s="1135" t="s">
        <v>5098</v>
      </c>
      <c r="K1907" s="1135" t="s">
        <v>1567</v>
      </c>
      <c r="L1907" s="1135" t="s">
        <v>1571</v>
      </c>
      <c r="M1907" s="2518">
        <v>0.3</v>
      </c>
      <c r="N1907" s="1135"/>
      <c r="O1907" s="1135">
        <v>0.26</v>
      </c>
      <c r="P1907" s="1135"/>
      <c r="Q1907" s="1135"/>
      <c r="R1907" s="1135"/>
      <c r="S1907" s="1135"/>
      <c r="T1907" s="1135"/>
      <c r="U1907" s="2041"/>
    </row>
    <row r="1908" spans="2:21" hidden="1" outlineLevel="2">
      <c r="B1908" s="1050">
        <v>7</v>
      </c>
      <c r="C1908" s="1050" t="str">
        <f t="shared" si="224"/>
        <v>Basilic intrants durables Avril, France continentale, Base Carbone</v>
      </c>
      <c r="D1908" s="1051">
        <f t="shared" si="225"/>
        <v>7</v>
      </c>
      <c r="E1908" s="1051" t="str">
        <f>IF(COUNTIF(E$1874:E1907,F1908)&gt;0,"",F1908)</f>
        <v>Basilic intrants durables Avril, France continentale, Base Carbone</v>
      </c>
      <c r="F1908" s="1051" t="str">
        <f t="shared" si="226"/>
        <v>Basilic intrants durables Avril, France continentale, Base Carbone</v>
      </c>
      <c r="G1908" s="1054" t="str">
        <f t="shared" si="227"/>
        <v>Basilic intrants durables Avril, France continentale, Base Carbone; kgCO2e/plant</v>
      </c>
      <c r="I1908" s="2018" t="s">
        <v>5089</v>
      </c>
      <c r="J1908" s="1135" t="s">
        <v>5098</v>
      </c>
      <c r="K1908" s="1135" t="s">
        <v>1567</v>
      </c>
      <c r="L1908" s="1135" t="s">
        <v>1571</v>
      </c>
      <c r="M1908" s="2518">
        <v>0.3</v>
      </c>
      <c r="N1908" s="1135"/>
      <c r="O1908" s="1135">
        <v>0.2</v>
      </c>
      <c r="P1908" s="1135"/>
      <c r="Q1908" s="1135"/>
      <c r="R1908" s="1135"/>
      <c r="S1908" s="1135"/>
      <c r="T1908" s="1135"/>
      <c r="U1908" s="2041"/>
    </row>
    <row r="1909" spans="2:21" hidden="1" outlineLevel="2">
      <c r="B1909" s="1050">
        <v>8</v>
      </c>
      <c r="C1909" s="1050" t="str">
        <f t="shared" si="224"/>
        <v>Basilic intrants durables Mai, France continentale, Base Carbone</v>
      </c>
      <c r="D1909" s="1051">
        <f t="shared" si="225"/>
        <v>8</v>
      </c>
      <c r="E1909" s="1051" t="str">
        <f>IF(COUNTIF(E$1874:E1908,F1909)&gt;0,"",F1909)</f>
        <v>Basilic intrants durables Mai, France continentale, Base Carbone</v>
      </c>
      <c r="F1909" s="1051" t="str">
        <f t="shared" si="226"/>
        <v>Basilic intrants durables Mai, France continentale, Base Carbone</v>
      </c>
      <c r="G1909" s="1054" t="str">
        <f t="shared" si="227"/>
        <v>Basilic intrants durables Mai, France continentale, Base Carbone; kgCO2e/plant</v>
      </c>
      <c r="I1909" s="2018" t="s">
        <v>5090</v>
      </c>
      <c r="J1909" s="1135" t="s">
        <v>5098</v>
      </c>
      <c r="K1909" s="1135" t="s">
        <v>1567</v>
      </c>
      <c r="L1909" s="1135" t="s">
        <v>1571</v>
      </c>
      <c r="M1909" s="2518">
        <v>0.3</v>
      </c>
      <c r="N1909" s="1135"/>
      <c r="O1909" s="1135">
        <v>0.17</v>
      </c>
      <c r="P1909" s="1135"/>
      <c r="Q1909" s="1135"/>
      <c r="R1909" s="1135"/>
      <c r="S1909" s="1135"/>
      <c r="T1909" s="1135"/>
      <c r="U1909" s="2041"/>
    </row>
    <row r="1910" spans="2:21" hidden="1" outlineLevel="2">
      <c r="B1910" s="1050">
        <v>9</v>
      </c>
      <c r="C1910" s="1050" t="str">
        <f t="shared" si="224"/>
        <v>Dipladenia conventionnel, France continentale, Base Carbone</v>
      </c>
      <c r="D1910" s="1051">
        <f t="shared" si="225"/>
        <v>9</v>
      </c>
      <c r="E1910" s="1051" t="str">
        <f>IF(COUNTIF(E$1874:E1909,F1910)&gt;0,"",F1910)</f>
        <v>Dipladenia conventionnel, France continentale, Base Carbone</v>
      </c>
      <c r="F1910" s="1051" t="str">
        <f t="shared" si="226"/>
        <v>Dipladenia conventionnel, France continentale, Base Carbone</v>
      </c>
      <c r="G1910" s="1054" t="str">
        <f t="shared" si="227"/>
        <v>Dipladenia conventionnel, France continentale, Base Carbone; kgCO2e/plant</v>
      </c>
      <c r="I1910" s="2018" t="s">
        <v>5091</v>
      </c>
      <c r="J1910" s="1135" t="s">
        <v>5098</v>
      </c>
      <c r="K1910" s="1135" t="s">
        <v>1567</v>
      </c>
      <c r="L1910" s="1135" t="s">
        <v>1571</v>
      </c>
      <c r="M1910" s="2518">
        <v>0.3</v>
      </c>
      <c r="N1910" s="1135"/>
      <c r="O1910" s="1135">
        <v>1.19</v>
      </c>
      <c r="P1910" s="1135"/>
      <c r="Q1910" s="1135"/>
      <c r="R1910" s="1135"/>
      <c r="S1910" s="1135"/>
      <c r="T1910" s="1135"/>
      <c r="U1910" s="2041"/>
    </row>
    <row r="1911" spans="2:21" hidden="1" outlineLevel="2">
      <c r="B1911" s="1050">
        <v>10</v>
      </c>
      <c r="C1911" s="1050" t="str">
        <f t="shared" si="224"/>
        <v>Dipladenia serre bioclimatique, France continentale, Base Carbone</v>
      </c>
      <c r="D1911" s="1051">
        <f t="shared" si="225"/>
        <v>10</v>
      </c>
      <c r="E1911" s="1051" t="str">
        <f>IF(COUNTIF(E$1874:E1910,F1911)&gt;0,"",F1911)</f>
        <v>Dipladenia serre bioclimatique, France continentale, Base Carbone</v>
      </c>
      <c r="F1911" s="1051" t="str">
        <f t="shared" si="226"/>
        <v>Dipladenia serre bioclimatique, France continentale, Base Carbone</v>
      </c>
      <c r="G1911" s="1054" t="str">
        <f t="shared" si="227"/>
        <v>Dipladenia serre bioclimatique, France continentale, Base Carbone; kgCO2e/plant</v>
      </c>
      <c r="I1911" s="2018" t="s">
        <v>5092</v>
      </c>
      <c r="J1911" s="1135" t="s">
        <v>5098</v>
      </c>
      <c r="K1911" s="1135" t="s">
        <v>1567</v>
      </c>
      <c r="L1911" s="1135" t="s">
        <v>1571</v>
      </c>
      <c r="M1911" s="2518">
        <v>0.3</v>
      </c>
      <c r="N1911" s="1135"/>
      <c r="O1911" s="1135">
        <v>0.69</v>
      </c>
      <c r="P1911" s="1135"/>
      <c r="Q1911" s="1135"/>
      <c r="R1911" s="1135"/>
      <c r="S1911" s="1135"/>
      <c r="T1911" s="1135"/>
      <c r="U1911" s="2041"/>
    </row>
    <row r="1912" spans="2:21" hidden="1" outlineLevel="2">
      <c r="B1912" s="1050">
        <v>11</v>
      </c>
      <c r="C1912" s="1050" t="str">
        <f t="shared" si="224"/>
        <v>Pelargonium conventionnel, France continentale, Base Carbone</v>
      </c>
      <c r="D1912" s="1051">
        <f t="shared" si="225"/>
        <v>11</v>
      </c>
      <c r="E1912" s="1051" t="str">
        <f>IF(COUNTIF(E$1874:E1911,F1912)&gt;0,"",F1912)</f>
        <v>Pelargonium conventionnel, France continentale, Base Carbone</v>
      </c>
      <c r="F1912" s="1051" t="str">
        <f t="shared" si="226"/>
        <v>Pelargonium conventionnel, France continentale, Base Carbone</v>
      </c>
      <c r="G1912" s="1054" t="str">
        <f t="shared" si="227"/>
        <v>Pelargonium conventionnel, France continentale, Base Carbone; kgCO2e/plant</v>
      </c>
      <c r="I1912" s="2018" t="s">
        <v>5093</v>
      </c>
      <c r="J1912" s="1135" t="s">
        <v>5098</v>
      </c>
      <c r="K1912" s="1135" t="s">
        <v>1567</v>
      </c>
      <c r="L1912" s="1135" t="s">
        <v>1571</v>
      </c>
      <c r="M1912" s="2518">
        <v>0.3</v>
      </c>
      <c r="N1912" s="1135"/>
      <c r="O1912" s="1135">
        <v>0.38</v>
      </c>
      <c r="P1912" s="1135"/>
      <c r="Q1912" s="1135"/>
      <c r="R1912" s="1135"/>
      <c r="S1912" s="1135"/>
      <c r="T1912" s="1135"/>
      <c r="U1912" s="2041"/>
    </row>
    <row r="1913" spans="2:21" hidden="1" outlineLevel="2">
      <c r="B1913" s="1050">
        <v>12</v>
      </c>
      <c r="C1913" s="1050" t="str">
        <f t="shared" si="224"/>
        <v>Pelargonium intrants durables, France continentale, Base Carbone</v>
      </c>
      <c r="D1913" s="1051">
        <f t="shared" si="225"/>
        <v>12</v>
      </c>
      <c r="E1913" s="1051" t="str">
        <f>IF(COUNTIF(E$1874:E1912,F1913)&gt;0,"",F1913)</f>
        <v>Pelargonium intrants durables, France continentale, Base Carbone</v>
      </c>
      <c r="F1913" s="1051" t="str">
        <f t="shared" si="226"/>
        <v>Pelargonium intrants durables, France continentale, Base Carbone</v>
      </c>
      <c r="G1913" s="1054" t="str">
        <f t="shared" si="227"/>
        <v>Pelargonium intrants durables, France continentale, Base Carbone; kgCO2e/plant</v>
      </c>
      <c r="I1913" s="2018" t="s">
        <v>5094</v>
      </c>
      <c r="J1913" s="1135" t="s">
        <v>5098</v>
      </c>
      <c r="K1913" s="1135" t="s">
        <v>1567</v>
      </c>
      <c r="L1913" s="1135" t="s">
        <v>1571</v>
      </c>
      <c r="M1913" s="2518">
        <v>0.3</v>
      </c>
      <c r="N1913" s="1135"/>
      <c r="O1913" s="1135">
        <v>0.28000000000000003</v>
      </c>
      <c r="P1913" s="1135"/>
      <c r="Q1913" s="1135"/>
      <c r="R1913" s="1135"/>
      <c r="S1913" s="1135"/>
      <c r="T1913" s="1135"/>
      <c r="U1913" s="2041"/>
    </row>
    <row r="1914" spans="2:21" hidden="1" outlineLevel="2">
      <c r="B1914" s="1050">
        <v>13</v>
      </c>
      <c r="C1914" s="1050" t="str">
        <f t="shared" si="224"/>
        <v>Pelargonium serre froide, France continentale, Base Carbone</v>
      </c>
      <c r="D1914" s="1051">
        <f t="shared" si="225"/>
        <v>13</v>
      </c>
      <c r="E1914" s="1051" t="str">
        <f>IF(COUNTIF(E$1874:E1913,F1914)&gt;0,"",F1914)</f>
        <v>Pelargonium serre froide, France continentale, Base Carbone</v>
      </c>
      <c r="F1914" s="1051" t="str">
        <f t="shared" si="226"/>
        <v>Pelargonium serre froide, France continentale, Base Carbone</v>
      </c>
      <c r="G1914" s="1054" t="str">
        <f t="shared" si="227"/>
        <v>Pelargonium serre froide, France continentale, Base Carbone; kgCO2e/plant</v>
      </c>
      <c r="I1914" s="2018" t="s">
        <v>5095</v>
      </c>
      <c r="J1914" s="1135" t="s">
        <v>5098</v>
      </c>
      <c r="K1914" s="1135" t="s">
        <v>1567</v>
      </c>
      <c r="L1914" s="1135" t="s">
        <v>1571</v>
      </c>
      <c r="M1914" s="2518">
        <v>0.3</v>
      </c>
      <c r="N1914" s="1135"/>
      <c r="O1914" s="1135">
        <v>0.31</v>
      </c>
      <c r="P1914" s="1135"/>
      <c r="Q1914" s="1135"/>
      <c r="R1914" s="1135"/>
      <c r="S1914" s="1135"/>
      <c r="T1914" s="1135"/>
      <c r="U1914" s="2041"/>
    </row>
    <row r="1915" spans="2:21" hidden="1" outlineLevel="2">
      <c r="B1915" s="1050">
        <v>14</v>
      </c>
      <c r="C1915" s="1050" t="str">
        <f t="shared" si="224"/>
        <v>Pelargonium serre froide intrants durables, France continentale, Base Carbone</v>
      </c>
      <c r="D1915" s="1051">
        <f t="shared" si="225"/>
        <v>14</v>
      </c>
      <c r="E1915" s="1051" t="str">
        <f>IF(COUNTIF(E$1874:E1914,F1915)&gt;0,"",F1915)</f>
        <v>Pelargonium serre froide intrants durables, France continentale, Base Carbone</v>
      </c>
      <c r="F1915" s="1051" t="str">
        <f t="shared" si="226"/>
        <v>Pelargonium serre froide intrants durables, France continentale, Base Carbone</v>
      </c>
      <c r="G1915" s="1054" t="str">
        <f t="shared" si="227"/>
        <v>Pelargonium serre froide intrants durables, France continentale, Base Carbone; kgCO2e/plant</v>
      </c>
      <c r="I1915" s="2018" t="s">
        <v>5096</v>
      </c>
      <c r="J1915" s="1135" t="s">
        <v>5098</v>
      </c>
      <c r="K1915" s="1135" t="s">
        <v>1567</v>
      </c>
      <c r="L1915" s="1135" t="s">
        <v>1571</v>
      </c>
      <c r="M1915" s="2518">
        <v>0.3</v>
      </c>
      <c r="N1915" s="1135"/>
      <c r="O1915" s="1135">
        <v>0.22</v>
      </c>
      <c r="P1915" s="1135"/>
      <c r="Q1915" s="1135"/>
      <c r="R1915" s="1135"/>
      <c r="S1915" s="1135"/>
      <c r="T1915" s="1135"/>
      <c r="U1915" s="2041"/>
    </row>
    <row r="1916" spans="2:21" hidden="1" outlineLevel="2">
      <c r="B1916" s="1050">
        <v>15</v>
      </c>
      <c r="C1916" s="1050" t="str">
        <f t="shared" si="224"/>
        <v>Tomate conventionnel, France continentale, Base Carbone</v>
      </c>
      <c r="D1916" s="1051">
        <f t="shared" si="225"/>
        <v>15</v>
      </c>
      <c r="E1916" s="1051" t="str">
        <f>IF(COUNTIF(E$1874:E1915,F1916)&gt;0,"",F1916)</f>
        <v>Tomate conventionnel, France continentale, Base Carbone</v>
      </c>
      <c r="F1916" s="1051" t="str">
        <f t="shared" si="226"/>
        <v>Tomate conventionnel, France continentale, Base Carbone</v>
      </c>
      <c r="G1916" s="1054" t="str">
        <f t="shared" si="227"/>
        <v>Tomate conventionnel, France continentale, Base Carbone; kgCO2e/plant</v>
      </c>
      <c r="I1916" s="2018" t="s">
        <v>5097</v>
      </c>
      <c r="J1916" s="1135" t="s">
        <v>5098</v>
      </c>
      <c r="K1916" s="1135" t="s">
        <v>1567</v>
      </c>
      <c r="L1916" s="1135" t="s">
        <v>1571</v>
      </c>
      <c r="M1916" s="2518">
        <v>0.3</v>
      </c>
      <c r="N1916" s="1135"/>
      <c r="O1916" s="1135">
        <v>0.27</v>
      </c>
      <c r="P1916" s="1135"/>
      <c r="Q1916" s="1135"/>
      <c r="R1916" s="1135"/>
      <c r="S1916" s="1135"/>
      <c r="T1916" s="1135"/>
      <c r="U1916" s="2041"/>
    </row>
    <row r="1917" spans="2:21" hidden="1" outlineLevel="2">
      <c r="B1917" s="1050">
        <v>16</v>
      </c>
      <c r="C1917" s="1050" t="str">
        <f t="shared" si="224"/>
        <v>-</v>
      </c>
      <c r="D1917" s="1051">
        <f t="shared" si="225"/>
        <v>15</v>
      </c>
      <c r="E1917" s="1051" t="str">
        <f>IF(COUNTIF(E$1874:E1916,F1917)&gt;0,"",F1917)</f>
        <v/>
      </c>
      <c r="F1917" s="1051" t="str">
        <f t="shared" si="226"/>
        <v/>
      </c>
      <c r="G1917" s="1054" t="str">
        <f t="shared" si="227"/>
        <v/>
      </c>
      <c r="I1917" s="2018"/>
      <c r="J1917" s="1135"/>
      <c r="K1917" s="1135"/>
      <c r="L1917" s="1135"/>
      <c r="M1917" s="1135"/>
      <c r="N1917" s="1135"/>
      <c r="O1917" s="1135"/>
      <c r="P1917" s="1135"/>
      <c r="Q1917" s="1135"/>
      <c r="R1917" s="1135"/>
      <c r="S1917" s="1135"/>
      <c r="T1917" s="1135"/>
      <c r="U1917" s="2041"/>
    </row>
    <row r="1918" spans="2:21" hidden="1" outlineLevel="2">
      <c r="B1918" s="1050">
        <v>17</v>
      </c>
      <c r="C1918" s="1050" t="str">
        <f t="shared" si="224"/>
        <v>-</v>
      </c>
      <c r="D1918" s="1051">
        <f t="shared" si="225"/>
        <v>15</v>
      </c>
      <c r="E1918" s="1051" t="str">
        <f>IF(COUNTIF(E$1874:E1917,F1918)&gt;0,"",F1918)</f>
        <v/>
      </c>
      <c r="F1918" s="1051" t="str">
        <f t="shared" si="226"/>
        <v/>
      </c>
      <c r="G1918" s="1054" t="str">
        <f t="shared" si="227"/>
        <v/>
      </c>
      <c r="I1918" s="2018"/>
      <c r="J1918" s="1135"/>
      <c r="K1918" s="1135"/>
      <c r="L1918" s="1135"/>
      <c r="M1918" s="1135"/>
      <c r="N1918" s="1135"/>
      <c r="O1918" s="1135"/>
      <c r="P1918" s="1135"/>
      <c r="Q1918" s="1135"/>
      <c r="R1918" s="1135"/>
      <c r="S1918" s="1135"/>
      <c r="T1918" s="1135"/>
      <c r="U1918" s="2041"/>
    </row>
    <row r="1919" spans="2:21" hidden="1" outlineLevel="2">
      <c r="B1919" s="1050">
        <v>18</v>
      </c>
      <c r="C1919" s="1050" t="str">
        <f t="shared" si="224"/>
        <v>-</v>
      </c>
      <c r="D1919" s="1051">
        <f t="shared" si="225"/>
        <v>15</v>
      </c>
      <c r="E1919" s="1051" t="str">
        <f>IF(COUNTIF(E$1874:E1918,F1919)&gt;0,"",F1919)</f>
        <v/>
      </c>
      <c r="F1919" s="1051" t="str">
        <f t="shared" si="226"/>
        <v/>
      </c>
      <c r="G1919" s="1054" t="str">
        <f t="shared" si="227"/>
        <v/>
      </c>
      <c r="I1919" s="2018"/>
      <c r="J1919" s="1135"/>
      <c r="K1919" s="1135"/>
      <c r="L1919" s="1135"/>
      <c r="M1919" s="1135"/>
      <c r="N1919" s="1135"/>
      <c r="O1919" s="1135"/>
      <c r="P1919" s="1135"/>
      <c r="Q1919" s="1135"/>
      <c r="R1919" s="1135"/>
      <c r="S1919" s="1135"/>
      <c r="T1919" s="1135"/>
      <c r="U1919" s="2041"/>
    </row>
    <row r="1920" spans="2:21" hidden="1" outlineLevel="2">
      <c r="B1920" s="1050">
        <v>19</v>
      </c>
      <c r="C1920" s="1050" t="str">
        <f t="shared" si="224"/>
        <v>-</v>
      </c>
      <c r="D1920" s="1051">
        <f t="shared" si="225"/>
        <v>15</v>
      </c>
      <c r="E1920" s="1051" t="str">
        <f>IF(COUNTIF(E$1874:E1919,F1920)&gt;0,"",F1920)</f>
        <v/>
      </c>
      <c r="F1920" s="1051" t="str">
        <f t="shared" si="226"/>
        <v/>
      </c>
      <c r="G1920" s="1054" t="str">
        <f t="shared" si="227"/>
        <v/>
      </c>
      <c r="I1920" s="2018"/>
      <c r="J1920" s="1135"/>
      <c r="K1920" s="1135"/>
      <c r="L1920" s="1135"/>
      <c r="M1920" s="1135"/>
      <c r="N1920" s="1135"/>
      <c r="O1920" s="1135"/>
      <c r="P1920" s="1135"/>
      <c r="Q1920" s="1135"/>
      <c r="R1920" s="1135"/>
      <c r="S1920" s="1135"/>
      <c r="T1920" s="1135"/>
      <c r="U1920" s="2041"/>
    </row>
    <row r="1921" spans="2:21" hidden="1" outlineLevel="1">
      <c r="B1921" s="1045"/>
      <c r="C1921" s="1045"/>
      <c r="I1921" s="1715"/>
      <c r="J1921" s="1716"/>
      <c r="K1921" s="1716"/>
      <c r="L1921" s="1716"/>
      <c r="M1921" s="1716"/>
      <c r="N1921" s="1716"/>
      <c r="O1921" s="1716"/>
      <c r="P1921" s="1716"/>
      <c r="Q1921" s="1716"/>
      <c r="R1921" s="1716"/>
      <c r="S1921" s="1716"/>
      <c r="T1921" s="1716"/>
      <c r="U1921" s="1718"/>
    </row>
    <row r="1922" spans="2:21"/>
    <row r="1923" spans="2:21" ht="15.6" collapsed="1">
      <c r="I1923" s="2916" t="s">
        <v>821</v>
      </c>
      <c r="J1923" s="2917"/>
      <c r="K1923" s="2917"/>
      <c r="L1923" s="2917"/>
      <c r="M1923" s="2917"/>
      <c r="N1923" s="2917"/>
      <c r="O1923" s="2917"/>
      <c r="P1923" s="2917"/>
      <c r="Q1923" s="2917"/>
      <c r="R1923" s="2917"/>
      <c r="S1923" s="2917"/>
      <c r="T1923" s="2917"/>
      <c r="U1923" s="2918"/>
    </row>
    <row r="1924" spans="2:21" ht="13.2" hidden="1" outlineLevel="1">
      <c r="I1924" s="91"/>
      <c r="J1924" s="91"/>
      <c r="K1924" s="91"/>
      <c r="L1924" s="91"/>
      <c r="M1924" s="91"/>
      <c r="N1924" s="91"/>
      <c r="O1924" s="91"/>
      <c r="P1924" s="91"/>
      <c r="Q1924" s="91"/>
      <c r="R1924" s="1083"/>
    </row>
    <row r="1925" spans="2:21" ht="12.75" hidden="1" customHeight="1" outlineLevel="1">
      <c r="I1925" s="1675" t="s">
        <v>822</v>
      </c>
      <c r="J1925" s="3173" t="s">
        <v>823</v>
      </c>
      <c r="K1925" s="3174"/>
      <c r="L1925" s="3173" t="s">
        <v>824</v>
      </c>
      <c r="M1925" s="3174"/>
      <c r="N1925" s="3173" t="s">
        <v>825</v>
      </c>
      <c r="O1925" s="3174"/>
      <c r="P1925" s="3175" t="s">
        <v>826</v>
      </c>
      <c r="Q1925" s="3176"/>
      <c r="R1925" s="3176"/>
      <c r="S1925" s="3176"/>
      <c r="T1925" s="3176"/>
      <c r="U1925" s="3176"/>
    </row>
    <row r="1926" spans="2:21" ht="12.75" hidden="1" customHeight="1" outlineLevel="1">
      <c r="I1926" s="998" t="s">
        <v>1567</v>
      </c>
      <c r="J1926" s="3182" t="s">
        <v>827</v>
      </c>
      <c r="K1926" s="3183"/>
      <c r="L1926" s="3177" t="s">
        <v>5127</v>
      </c>
      <c r="M1926" s="3178"/>
      <c r="N1926" s="3182" t="s">
        <v>828</v>
      </c>
      <c r="O1926" s="3183"/>
      <c r="P1926" s="3186" t="s">
        <v>901</v>
      </c>
      <c r="Q1926" s="3187"/>
      <c r="R1926" s="3187"/>
      <c r="S1926" s="3187"/>
      <c r="T1926" s="3187"/>
      <c r="U1926" s="3188"/>
    </row>
    <row r="1927" spans="2:21" ht="12.75" hidden="1" customHeight="1" outlineLevel="1">
      <c r="I1927" s="998" t="s">
        <v>1784</v>
      </c>
      <c r="J1927" s="3184"/>
      <c r="K1927" s="3185"/>
      <c r="L1927" s="3177" t="s">
        <v>1224</v>
      </c>
      <c r="M1927" s="3178"/>
      <c r="N1927" s="3184"/>
      <c r="O1927" s="3185"/>
      <c r="P1927" s="3189"/>
      <c r="Q1927" s="3190"/>
      <c r="R1927" s="3190"/>
      <c r="S1927" s="3190"/>
      <c r="T1927" s="3190"/>
      <c r="U1927" s="3191"/>
    </row>
    <row r="1928" spans="2:21" ht="12.75" hidden="1" customHeight="1" outlineLevel="1">
      <c r="I1928" s="998" t="s">
        <v>829</v>
      </c>
      <c r="J1928" s="3177" t="s">
        <v>829</v>
      </c>
      <c r="K1928" s="3178"/>
      <c r="L1928" s="3177" t="s">
        <v>850</v>
      </c>
      <c r="M1928" s="3178"/>
      <c r="N1928" s="3177" t="s">
        <v>851</v>
      </c>
      <c r="O1928" s="3178"/>
      <c r="P1928" s="3179" t="s">
        <v>830</v>
      </c>
      <c r="Q1928" s="3180"/>
      <c r="R1928" s="3180"/>
      <c r="S1928" s="3180"/>
      <c r="T1928" s="3180"/>
      <c r="U1928" s="3181"/>
    </row>
    <row r="1929" spans="2:21" ht="12.75" hidden="1" customHeight="1" outlineLevel="1">
      <c r="I1929" s="998" t="s">
        <v>832</v>
      </c>
      <c r="J1929" s="3177" t="s">
        <v>832</v>
      </c>
      <c r="K1929" s="3178"/>
      <c r="L1929" s="3177" t="s">
        <v>833</v>
      </c>
      <c r="M1929" s="3178"/>
      <c r="N1929" s="3177" t="s">
        <v>1553</v>
      </c>
      <c r="O1929" s="3178"/>
      <c r="P1929" s="3179" t="s">
        <v>834</v>
      </c>
      <c r="Q1929" s="3180"/>
      <c r="R1929" s="3180"/>
      <c r="S1929" s="3180"/>
      <c r="T1929" s="3180"/>
      <c r="U1929" s="3181"/>
    </row>
    <row r="1930" spans="2:21" ht="12.75" hidden="1" customHeight="1" outlineLevel="1">
      <c r="I1930" s="998"/>
      <c r="J1930" s="3177"/>
      <c r="K1930" s="3178"/>
      <c r="L1930" s="3177"/>
      <c r="M1930" s="3178"/>
      <c r="N1930" s="3177"/>
      <c r="O1930" s="3178"/>
      <c r="P1930" s="3179"/>
      <c r="Q1930" s="3180"/>
      <c r="R1930" s="3180"/>
      <c r="S1930" s="3180"/>
      <c r="T1930" s="3180"/>
      <c r="U1930" s="3181"/>
    </row>
    <row r="1931" spans="2:21" ht="12.75" hidden="1" customHeight="1" outlineLevel="1">
      <c r="I1931" s="998"/>
      <c r="J1931" s="3177"/>
      <c r="K1931" s="3178"/>
      <c r="L1931" s="3177"/>
      <c r="M1931" s="3178"/>
      <c r="N1931" s="3177"/>
      <c r="O1931" s="3178"/>
      <c r="P1931" s="3179"/>
      <c r="Q1931" s="3180"/>
      <c r="R1931" s="3180"/>
      <c r="S1931" s="3180"/>
      <c r="T1931" s="3180"/>
      <c r="U1931" s="3181"/>
    </row>
    <row r="1932" spans="2:21" ht="12.75" hidden="1" customHeight="1" outlineLevel="1">
      <c r="I1932" s="998"/>
      <c r="J1932" s="3177"/>
      <c r="K1932" s="3178"/>
      <c r="L1932" s="3177"/>
      <c r="M1932" s="3178"/>
      <c r="N1932" s="3177"/>
      <c r="O1932" s="3178"/>
      <c r="P1932" s="3179"/>
      <c r="Q1932" s="3180"/>
      <c r="R1932" s="3180"/>
      <c r="S1932" s="3180"/>
      <c r="T1932" s="3180"/>
      <c r="U1932" s="3181"/>
    </row>
    <row r="1933" spans="2:21" ht="12.75" hidden="1" customHeight="1" outlineLevel="1">
      <c r="I1933" s="998"/>
      <c r="J1933" s="3177"/>
      <c r="K1933" s="3178"/>
      <c r="L1933" s="3177"/>
      <c r="M1933" s="3178"/>
      <c r="N1933" s="3177"/>
      <c r="O1933" s="3178"/>
      <c r="P1933" s="3179"/>
      <c r="Q1933" s="3180"/>
      <c r="R1933" s="3180"/>
      <c r="S1933" s="3180"/>
      <c r="T1933" s="3180"/>
      <c r="U1933" s="3181"/>
    </row>
    <row r="1934" spans="2:21">
      <c r="R1934" s="1083"/>
    </row>
    <row r="1935" spans="2:21"/>
    <row r="1936" spans="2:21"/>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sheetData>
  <mergeCells count="107">
    <mergeCell ref="N1928:O1928"/>
    <mergeCell ref="P1928:U1928"/>
    <mergeCell ref="J1929:K1929"/>
    <mergeCell ref="L1929:M1929"/>
    <mergeCell ref="N1929:O1929"/>
    <mergeCell ref="P1929:U1929"/>
    <mergeCell ref="J1928:K1928"/>
    <mergeCell ref="L1928:M1928"/>
    <mergeCell ref="P1926:U1927"/>
    <mergeCell ref="B1191:C1191"/>
    <mergeCell ref="J1926:K1927"/>
    <mergeCell ref="L1926:M1926"/>
    <mergeCell ref="N1926:O1927"/>
    <mergeCell ref="B1855:C1855"/>
    <mergeCell ref="B1395:C1395"/>
    <mergeCell ref="B1761:C1761"/>
    <mergeCell ref="B1227:C1227"/>
    <mergeCell ref="D1227:E1227"/>
    <mergeCell ref="B1228:C1228"/>
    <mergeCell ref="B1363:C1363"/>
    <mergeCell ref="B1272:C1272"/>
    <mergeCell ref="D1272:E1272"/>
    <mergeCell ref="B1273:C1273"/>
    <mergeCell ref="L1927:M1927"/>
    <mergeCell ref="B1874:C1874"/>
    <mergeCell ref="B1215:C1215"/>
    <mergeCell ref="B1901:C1901"/>
    <mergeCell ref="B1207:C1207"/>
    <mergeCell ref="N1933:O1933"/>
    <mergeCell ref="P1933:U1933"/>
    <mergeCell ref="J1930:K1930"/>
    <mergeCell ref="L1930:M1930"/>
    <mergeCell ref="N1930:O1930"/>
    <mergeCell ref="P1930:U1930"/>
    <mergeCell ref="J1931:K1931"/>
    <mergeCell ref="L1931:M1931"/>
    <mergeCell ref="N1931:O1931"/>
    <mergeCell ref="P1931:U1931"/>
    <mergeCell ref="J1932:K1932"/>
    <mergeCell ref="L1932:M1932"/>
    <mergeCell ref="N1932:O1932"/>
    <mergeCell ref="P1932:U1932"/>
    <mergeCell ref="J1933:K1933"/>
    <mergeCell ref="L1933:M1933"/>
    <mergeCell ref="B101:C101"/>
    <mergeCell ref="J1925:K1925"/>
    <mergeCell ref="L1925:M1925"/>
    <mergeCell ref="N1925:O1925"/>
    <mergeCell ref="P1925:U1925"/>
    <mergeCell ref="I1923:U1923"/>
    <mergeCell ref="B1555:C1555"/>
    <mergeCell ref="B1700:C1700"/>
    <mergeCell ref="B1738:C1738"/>
    <mergeCell ref="I213:U213"/>
    <mergeCell ref="I1270:U1270"/>
    <mergeCell ref="I341:U341"/>
    <mergeCell ref="B343:C343"/>
    <mergeCell ref="D343:E343"/>
    <mergeCell ref="B344:C344"/>
    <mergeCell ref="I1225:U1225"/>
    <mergeCell ref="B403:C403"/>
    <mergeCell ref="B411:C411"/>
    <mergeCell ref="B624:C624"/>
    <mergeCell ref="B892:C892"/>
    <mergeCell ref="B915:C915"/>
    <mergeCell ref="B953:C953"/>
    <mergeCell ref="B996:C996"/>
    <mergeCell ref="B1030:C1030"/>
    <mergeCell ref="J2:U5"/>
    <mergeCell ref="B3:C3"/>
    <mergeCell ref="B4:C4"/>
    <mergeCell ref="I7:U7"/>
    <mergeCell ref="I9:U9"/>
    <mergeCell ref="B2:C2"/>
    <mergeCell ref="I98:U98"/>
    <mergeCell ref="B100:C100"/>
    <mergeCell ref="D100:E100"/>
    <mergeCell ref="I31:U31"/>
    <mergeCell ref="B33:C33"/>
    <mergeCell ref="D33:E33"/>
    <mergeCell ref="B34:C34"/>
    <mergeCell ref="I51:U51"/>
    <mergeCell ref="I78:U78"/>
    <mergeCell ref="B53:C53"/>
    <mergeCell ref="D53:E53"/>
    <mergeCell ref="B54:C54"/>
    <mergeCell ref="B11:C11"/>
    <mergeCell ref="D11:E11"/>
    <mergeCell ref="B12:C12"/>
    <mergeCell ref="B1180:C1180"/>
    <mergeCell ref="B1164:C1164"/>
    <mergeCell ref="B861:C861"/>
    <mergeCell ref="B389:C389"/>
    <mergeCell ref="B1131:C1131"/>
    <mergeCell ref="B288:C288"/>
    <mergeCell ref="B305:C305"/>
    <mergeCell ref="I117:U117"/>
    <mergeCell ref="I165:U165"/>
    <mergeCell ref="D215:E215"/>
    <mergeCell ref="B216:C216"/>
    <mergeCell ref="B168:C168"/>
    <mergeCell ref="B119:C119"/>
    <mergeCell ref="D119:E119"/>
    <mergeCell ref="B120:C120"/>
    <mergeCell ref="B167:C167"/>
    <mergeCell ref="D167:E167"/>
    <mergeCell ref="B215:C215"/>
  </mergeCells>
  <phoneticPr fontId="11" type="noConversion"/>
  <hyperlinks>
    <hyperlink ref="P1928" r:id="rId1" xr:uid="{00000000-0004-0000-1800-000000000000}"/>
    <hyperlink ref="P1929" r:id="rId2" xr:uid="{00000000-0004-0000-1800-000001000000}"/>
    <hyperlink ref="P1926" r:id="rId3" xr:uid="{00000000-0004-0000-1800-000002000000}"/>
  </hyperlinks>
  <pageMargins left="0.7" right="0.7" top="0.75" bottom="0.75" header="0.3" footer="0.3"/>
  <pageSetup paperSize="9"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outlinePr summaryBelow="0" summaryRight="0"/>
  </sheetPr>
  <dimension ref="A1:V548"/>
  <sheetViews>
    <sheetView showGridLines="0" topLeftCell="A138" zoomScale="90" zoomScaleNormal="90" workbookViewId="0">
      <selection activeCell="I172" sqref="I172"/>
    </sheetView>
  </sheetViews>
  <sheetFormatPr baseColWidth="10" defaultColWidth="0" defaultRowHeight="11.4" zeroHeight="1" outlineLevelRow="2" outlineLevelCol="1"/>
  <cols>
    <col min="1" max="1" width="2.375" customWidth="1"/>
    <col min="2" max="2" width="3.25" customWidth="1"/>
    <col min="3" max="3" width="29.375" customWidth="1" collapsed="1"/>
    <col min="4" max="4" width="3.125" hidden="1" customWidth="1" outlineLevel="1"/>
    <col min="5" max="7" width="11.375" hidden="1" customWidth="1" outlineLevel="1"/>
    <col min="8" max="8" width="3" customWidth="1"/>
    <col min="9" max="9" width="40" customWidth="1"/>
    <col min="10" max="21" width="11.375" customWidth="1"/>
    <col min="22" max="22" width="2.25" customWidth="1"/>
    <col min="23" max="16384" width="11.375" hidden="1"/>
  </cols>
  <sheetData>
    <row r="1" spans="2:21">
      <c r="K1" s="1673"/>
      <c r="M1" s="1144"/>
      <c r="O1" s="1148"/>
      <c r="P1" s="1146"/>
      <c r="Q1" s="1146"/>
      <c r="R1" s="1146"/>
      <c r="S1" s="1146"/>
      <c r="T1" s="1146"/>
      <c r="U1" s="1146"/>
    </row>
    <row r="2" spans="2:21" ht="14.25" customHeight="1">
      <c r="B2" s="2761" t="s">
        <v>893</v>
      </c>
      <c r="C2" s="2762"/>
      <c r="J2" s="3158" t="s">
        <v>2474</v>
      </c>
      <c r="K2" s="3159"/>
      <c r="L2" s="3159"/>
      <c r="M2" s="3159"/>
      <c r="N2" s="3159"/>
      <c r="O2" s="3159"/>
      <c r="P2" s="3159"/>
      <c r="Q2" s="3159"/>
      <c r="R2" s="3159"/>
      <c r="S2" s="3159"/>
      <c r="T2" s="3159"/>
      <c r="U2" s="3160"/>
    </row>
    <row r="3" spans="2:21" ht="13.8">
      <c r="B3" s="2761" t="s">
        <v>186</v>
      </c>
      <c r="C3" s="2762"/>
      <c r="J3" s="3161"/>
      <c r="K3" s="3162"/>
      <c r="L3" s="3162"/>
      <c r="M3" s="3162"/>
      <c r="N3" s="3162"/>
      <c r="O3" s="3162"/>
      <c r="P3" s="3162"/>
      <c r="Q3" s="3162"/>
      <c r="R3" s="3162"/>
      <c r="S3" s="3162"/>
      <c r="T3" s="3162"/>
      <c r="U3" s="3163"/>
    </row>
    <row r="4" spans="2:21" ht="13.8">
      <c r="B4" s="2761" t="s">
        <v>346</v>
      </c>
      <c r="C4" s="2762"/>
      <c r="J4" s="3161"/>
      <c r="K4" s="3162"/>
      <c r="L4" s="3162"/>
      <c r="M4" s="3162"/>
      <c r="N4" s="3162"/>
      <c r="O4" s="3162"/>
      <c r="P4" s="3162"/>
      <c r="Q4" s="3162"/>
      <c r="R4" s="3162"/>
      <c r="S4" s="3162"/>
      <c r="T4" s="3162"/>
      <c r="U4" s="3163"/>
    </row>
    <row r="5" spans="2:21" ht="13.8">
      <c r="B5" s="2761" t="s">
        <v>265</v>
      </c>
      <c r="C5" s="2762"/>
      <c r="J5" s="3164"/>
      <c r="K5" s="3165"/>
      <c r="L5" s="3165"/>
      <c r="M5" s="3165"/>
      <c r="N5" s="3165"/>
      <c r="O5" s="3165"/>
      <c r="P5" s="3165"/>
      <c r="Q5" s="3165"/>
      <c r="R5" s="3165"/>
      <c r="S5" s="3165"/>
      <c r="T5" s="3165"/>
      <c r="U5" s="3166"/>
    </row>
    <row r="6" spans="2:21">
      <c r="R6" s="1083"/>
    </row>
    <row r="7" spans="2:21">
      <c r="R7" s="1083"/>
    </row>
    <row r="8" spans="2:21" ht="15.6">
      <c r="I8" s="3170" t="s">
        <v>2349</v>
      </c>
      <c r="J8" s="3171"/>
      <c r="K8" s="3171"/>
      <c r="L8" s="3171"/>
      <c r="M8" s="3171"/>
      <c r="N8" s="3171"/>
      <c r="O8" s="3171"/>
      <c r="P8" s="3171"/>
      <c r="Q8" s="3171"/>
      <c r="R8" s="3171"/>
      <c r="S8" s="3171"/>
      <c r="T8" s="3171"/>
      <c r="U8" s="3172"/>
    </row>
    <row r="9" spans="2:21">
      <c r="R9" s="1083"/>
    </row>
    <row r="10" spans="2:21" ht="15.6">
      <c r="I10" s="3167" t="s">
        <v>49</v>
      </c>
      <c r="J10" s="3168"/>
      <c r="K10" s="3168"/>
      <c r="L10" s="3168"/>
      <c r="M10" s="3168"/>
      <c r="N10" s="3168"/>
      <c r="O10" s="3168"/>
      <c r="P10" s="3168"/>
      <c r="Q10" s="3168"/>
      <c r="R10" s="3168"/>
      <c r="S10" s="3168"/>
      <c r="T10" s="3168"/>
      <c r="U10" s="3169"/>
    </row>
    <row r="11" spans="2:21" outlineLevel="1">
      <c r="R11" s="1083"/>
    </row>
    <row r="12" spans="2:21" ht="12.75" customHeight="1" outlineLevel="1">
      <c r="B12" s="3154" t="s">
        <v>1617</v>
      </c>
      <c r="C12" s="3154"/>
      <c r="D12" s="3157" t="s">
        <v>1619</v>
      </c>
      <c r="E12" s="3157"/>
      <c r="F12" s="1151" t="s">
        <v>1616</v>
      </c>
      <c r="G12" s="1053" t="s">
        <v>1618</v>
      </c>
      <c r="H12" s="1044"/>
      <c r="I12" s="1038" t="s">
        <v>1557</v>
      </c>
      <c r="J12" s="1040" t="s">
        <v>1266</v>
      </c>
      <c r="K12" s="1043" t="s">
        <v>224</v>
      </c>
      <c r="L12" s="1043" t="s">
        <v>1558</v>
      </c>
      <c r="M12" s="1039" t="s">
        <v>366</v>
      </c>
      <c r="N12" s="1040" t="s">
        <v>1559</v>
      </c>
      <c r="O12" s="1041" t="s">
        <v>1560</v>
      </c>
      <c r="P12" s="1043" t="s">
        <v>211</v>
      </c>
      <c r="Q12" s="1043" t="s">
        <v>1561</v>
      </c>
      <c r="R12" s="1041" t="s">
        <v>1562</v>
      </c>
      <c r="S12" s="1041" t="s">
        <v>267</v>
      </c>
      <c r="T12" s="1043" t="s">
        <v>1563</v>
      </c>
      <c r="U12" s="1042" t="s">
        <v>1564</v>
      </c>
    </row>
    <row r="13" spans="2:21" s="1045" customFormat="1" ht="12.75" customHeight="1" outlineLevel="1">
      <c r="B13" s="3156" t="s">
        <v>2355</v>
      </c>
      <c r="C13" s="3156"/>
      <c r="D13" s="1051">
        <v>0</v>
      </c>
      <c r="E13" s="1051"/>
      <c r="F13" s="1051"/>
      <c r="G13" s="1054"/>
      <c r="H13" s="1046"/>
      <c r="I13" s="1688"/>
      <c r="J13" s="1689"/>
      <c r="K13" s="1690"/>
      <c r="L13" s="1690"/>
      <c r="M13" s="1691"/>
      <c r="N13" s="1689"/>
      <c r="O13" s="1692"/>
      <c r="P13" s="1690"/>
      <c r="Q13" s="1690"/>
      <c r="R13" s="1692"/>
      <c r="S13" s="1692"/>
      <c r="T13" s="1690"/>
      <c r="U13" s="1693"/>
    </row>
    <row r="14" spans="2:21" outlineLevel="1">
      <c r="B14" s="1050">
        <v>1</v>
      </c>
      <c r="C14" s="1050" t="str">
        <f>IF(ISNA(VLOOKUP(B14,$D$14:$E$26,2,FALSE)),"-",VLOOKUP(B14,$D$14:$E$26,2,FALSE))</f>
        <v>DAS (Déchets d'Activités de Soins) - Incinération - Impacts, France continentale, Base Carbone</v>
      </c>
      <c r="D14" s="1051">
        <f>D13+IF(LEN(E14)&gt;0,1,0)</f>
        <v>1</v>
      </c>
      <c r="E14" s="1051" t="str">
        <f>IF(COUNTIF(E$13:E13,F14)&gt;0,"",F14)</f>
        <v>DAS (Déchets d'Activités de Soins) - Incinération - Impacts, France continentale, Base Carbone</v>
      </c>
      <c r="F14" s="1051" t="str">
        <f>IF(I14&lt;&gt;"",I14&amp;IF(L14&lt;&gt;"",", "&amp;L14,"")&amp;IF(K14&lt;&gt;"",", "&amp;K14,""),"")</f>
        <v>DAS (Déchets d'Activités de Soins) - Incinération - Impacts, France continentale, Base Carbone</v>
      </c>
      <c r="G14" s="1055" t="str">
        <f>IF(F14&lt;&gt;"",F14&amp;IF(J14&lt;&gt;"","; "&amp;J14&amp;IF(N14&lt;&gt;"",", "&amp;N14,),""),"")</f>
        <v>DAS (Déchets d'Activités de Soins) - Incinération - Impacts, France continentale, Base Carbone; kgCO2e/tonne</v>
      </c>
      <c r="I14" s="1031" t="s">
        <v>4814</v>
      </c>
      <c r="J14" s="1032" t="s">
        <v>1585</v>
      </c>
      <c r="K14" s="1119" t="s">
        <v>1567</v>
      </c>
      <c r="L14" s="1032" t="s">
        <v>1571</v>
      </c>
      <c r="M14" s="1033">
        <v>0.5</v>
      </c>
      <c r="N14" s="1048"/>
      <c r="O14" s="1036">
        <v>943</v>
      </c>
      <c r="P14" s="1980">
        <v>943</v>
      </c>
      <c r="Q14" s="1980">
        <v>0</v>
      </c>
      <c r="R14" s="1980">
        <v>0</v>
      </c>
      <c r="S14" s="1980">
        <v>0</v>
      </c>
      <c r="T14" s="1980">
        <v>0</v>
      </c>
      <c r="U14" s="2036">
        <v>0</v>
      </c>
    </row>
    <row r="15" spans="2:21" outlineLevel="1">
      <c r="B15" s="1050">
        <v>2</v>
      </c>
      <c r="C15" s="1050" t="str">
        <f>IF(ISNA(VLOOKUP(B15,$D$14:$E$26,2,FALSE)),"-",VLOOKUP(B15,$D$14:$E$26,2,FALSE))</f>
        <v>DIS (Déchets Industriels Spéciau) - Incinération - Impacts, France continentale, Base Carbone</v>
      </c>
      <c r="D15" s="1051">
        <f t="shared" ref="D15:D25" si="0">D14+IF(LEN(E15)&gt;0,1,0)</f>
        <v>2</v>
      </c>
      <c r="E15" s="1051" t="str">
        <f>IF(COUNTIF(E$13:E14,F15)&gt;0,"",F15)</f>
        <v>DIS (Déchets Industriels Spéciau) - Incinération - Impacts, France continentale, Base Carbone</v>
      </c>
      <c r="F15" s="1051" t="str">
        <f t="shared" ref="F15:F26" si="1">IF(I15&lt;&gt;"",I15&amp;IF(L15&lt;&gt;"",", "&amp;L15,"")&amp;IF(K15&lt;&gt;"",", "&amp;K15,""),"")</f>
        <v>DIS (Déchets Industriels Spéciau) - Incinération - Impacts, France continentale, Base Carbone</v>
      </c>
      <c r="G15" s="1055" t="str">
        <f t="shared" ref="G15:G26" si="2">IF(F15&lt;&gt;"",F15&amp;IF(J15&lt;&gt;"","; "&amp;J15&amp;IF(N15&lt;&gt;"",", "&amp;N15,),""),"")</f>
        <v>DIS (Déchets Industriels Spéciau) - Incinération - Impacts, France continentale, Base Carbone; kgCO2e/tonne</v>
      </c>
      <c r="I15" s="1100" t="s">
        <v>4815</v>
      </c>
      <c r="J15" s="1032" t="s">
        <v>1585</v>
      </c>
      <c r="K15" s="1119" t="s">
        <v>1567</v>
      </c>
      <c r="L15" s="1032" t="s">
        <v>1571</v>
      </c>
      <c r="M15" s="1033">
        <v>0.5</v>
      </c>
      <c r="N15" s="1048"/>
      <c r="O15" s="1036">
        <v>844</v>
      </c>
      <c r="P15" s="1980">
        <v>844</v>
      </c>
      <c r="Q15" s="1980">
        <v>0</v>
      </c>
      <c r="R15" s="1980">
        <v>0</v>
      </c>
      <c r="S15" s="1980">
        <v>0</v>
      </c>
      <c r="T15" s="1980">
        <v>0</v>
      </c>
      <c r="U15" s="2036">
        <v>0</v>
      </c>
    </row>
    <row r="16" spans="2:21" outlineLevel="1">
      <c r="B16" s="1050">
        <v>3</v>
      </c>
      <c r="C16" s="1050" t="str">
        <f>IF(ISNA(VLOOKUP(B16,$D$14:$E$26,2,FALSE)),"-",VLOOKUP(B16,$D$14:$E$26,2,FALSE))</f>
        <v>DIS (Déchets Industriels Spéciaux) - Stockage - Impacts, France continentale, Base Carbone</v>
      </c>
      <c r="D16" s="1051">
        <f t="shared" si="0"/>
        <v>3</v>
      </c>
      <c r="E16" s="1051" t="str">
        <f>IF(COUNTIF(E$13:E15,F16)&gt;0,"",F16)</f>
        <v>DIS (Déchets Industriels Spéciaux) - Stockage - Impacts, France continentale, Base Carbone</v>
      </c>
      <c r="F16" s="1051" t="str">
        <f t="shared" si="1"/>
        <v>DIS (Déchets Industriels Spéciaux) - Stockage - Impacts, France continentale, Base Carbone</v>
      </c>
      <c r="G16" s="1055" t="str">
        <f t="shared" si="2"/>
        <v>DIS (Déchets Industriels Spéciaux) - Stockage - Impacts, France continentale, Base Carbone; kgCO2e/tonne</v>
      </c>
      <c r="I16" s="1100" t="s">
        <v>4816</v>
      </c>
      <c r="J16" s="1032" t="s">
        <v>1585</v>
      </c>
      <c r="K16" s="1119" t="s">
        <v>1567</v>
      </c>
      <c r="L16" s="1032" t="s">
        <v>1571</v>
      </c>
      <c r="M16" s="1033">
        <v>0.5</v>
      </c>
      <c r="N16" s="1048"/>
      <c r="O16" s="1036">
        <v>128</v>
      </c>
      <c r="P16" s="1980">
        <v>128</v>
      </c>
      <c r="Q16" s="1980">
        <v>0</v>
      </c>
      <c r="R16" s="1980">
        <v>0</v>
      </c>
      <c r="S16" s="1980">
        <v>0</v>
      </c>
      <c r="T16" s="1980">
        <v>0</v>
      </c>
      <c r="U16" s="2036">
        <v>0</v>
      </c>
    </row>
    <row r="17" spans="2:21" outlineLevel="1">
      <c r="B17" s="1050">
        <v>4</v>
      </c>
      <c r="C17" s="1050" t="str">
        <f>IF(ISNA(VLOOKUP(B17,$D$14:$E$26,2,FALSE)),"-",VLOOKUP(B17,$D$14:$E$26,2,FALSE))</f>
        <v>-</v>
      </c>
      <c r="D17" s="1051">
        <f t="shared" si="0"/>
        <v>3</v>
      </c>
      <c r="E17" s="1051" t="str">
        <f>IF(COUNTIF(E$13:E16,F17)&gt;0,"",F17)</f>
        <v/>
      </c>
      <c r="F17" s="1051" t="str">
        <f t="shared" si="1"/>
        <v/>
      </c>
      <c r="G17" s="1055" t="str">
        <f t="shared" si="2"/>
        <v/>
      </c>
      <c r="I17" s="1100"/>
      <c r="J17" s="1048"/>
      <c r="K17" s="1119"/>
      <c r="L17" s="1032"/>
      <c r="M17" s="1033"/>
      <c r="N17" s="1048"/>
      <c r="O17" s="1036"/>
      <c r="P17" s="1036"/>
      <c r="Q17" s="1036"/>
      <c r="R17" s="1036"/>
      <c r="S17" s="1036"/>
      <c r="T17" s="1036"/>
      <c r="U17" s="1037"/>
    </row>
    <row r="18" spans="2:21" outlineLevel="1">
      <c r="B18" s="1050">
        <v>5</v>
      </c>
      <c r="C18" s="1050" t="str">
        <f>IF(ISNA(VLOOKUP(B18,$D$14:$E$26,2,FALSE)),"-",VLOOKUP(B18,$D$14:$E$26,2,FALSE))</f>
        <v>-</v>
      </c>
      <c r="D18" s="1051">
        <f t="shared" si="0"/>
        <v>3</v>
      </c>
      <c r="E18" s="1051" t="str">
        <f>IF(COUNTIF(E$13:E17,F18)&gt;0,"",F18)</f>
        <v/>
      </c>
      <c r="F18" s="1051" t="str">
        <f t="shared" si="1"/>
        <v/>
      </c>
      <c r="G18" s="1055" t="str">
        <f t="shared" si="2"/>
        <v/>
      </c>
      <c r="I18" s="1100"/>
      <c r="J18" s="1048"/>
      <c r="K18" s="1119"/>
      <c r="L18" s="1032"/>
      <c r="M18" s="1033"/>
      <c r="N18" s="1048"/>
      <c r="O18" s="1036"/>
      <c r="P18" s="1036"/>
      <c r="Q18" s="1036"/>
      <c r="R18" s="1036"/>
      <c r="S18" s="1036"/>
      <c r="T18" s="1036"/>
      <c r="U18" s="1037"/>
    </row>
    <row r="19" spans="2:21" outlineLevel="1">
      <c r="B19" s="1050"/>
      <c r="C19" s="1050"/>
      <c r="D19" s="1051">
        <f t="shared" si="0"/>
        <v>3</v>
      </c>
      <c r="E19" s="1051" t="str">
        <f>IF(COUNTIF(E$13:E18,F19)&gt;0,"",F19)</f>
        <v/>
      </c>
      <c r="F19" s="1051" t="str">
        <f t="shared" si="1"/>
        <v/>
      </c>
      <c r="G19" s="1055" t="str">
        <f t="shared" si="2"/>
        <v/>
      </c>
      <c r="I19" s="1100"/>
      <c r="J19" s="1048"/>
      <c r="K19" s="1119"/>
      <c r="L19" s="1032"/>
      <c r="M19" s="1033"/>
      <c r="N19" s="1048"/>
      <c r="O19" s="1036"/>
      <c r="P19" s="1036"/>
      <c r="Q19" s="1036"/>
      <c r="R19" s="1036"/>
      <c r="S19" s="1036"/>
      <c r="T19" s="1036"/>
      <c r="U19" s="1037"/>
    </row>
    <row r="20" spans="2:21" outlineLevel="1">
      <c r="B20" s="1050"/>
      <c r="C20" s="1050"/>
      <c r="D20" s="1051">
        <f t="shared" si="0"/>
        <v>3</v>
      </c>
      <c r="E20" s="1051" t="str">
        <f>IF(COUNTIF(E$13:E19,F20)&gt;0,"",F20)</f>
        <v/>
      </c>
      <c r="F20" s="1051" t="str">
        <f t="shared" si="1"/>
        <v/>
      </c>
      <c r="G20" s="1055" t="str">
        <f t="shared" si="2"/>
        <v/>
      </c>
      <c r="I20" s="1100"/>
      <c r="J20" s="1048"/>
      <c r="K20" s="1048"/>
      <c r="L20" s="1048"/>
      <c r="M20" s="1048"/>
      <c r="N20" s="1048"/>
      <c r="O20" s="1048"/>
      <c r="P20" s="1048"/>
      <c r="Q20" s="1048"/>
      <c r="R20" s="1048"/>
      <c r="S20" s="1048"/>
      <c r="T20" s="1048"/>
      <c r="U20" s="1102"/>
    </row>
    <row r="21" spans="2:21" outlineLevel="1">
      <c r="B21" s="1050"/>
      <c r="C21" s="1050"/>
      <c r="D21" s="1051">
        <f t="shared" si="0"/>
        <v>3</v>
      </c>
      <c r="E21" s="1051" t="str">
        <f>IF(COUNTIF(E$13:E20,F21)&gt;0,"",F21)</f>
        <v/>
      </c>
      <c r="F21" s="1051" t="str">
        <f t="shared" si="1"/>
        <v/>
      </c>
      <c r="G21" s="1055" t="str">
        <f t="shared" si="2"/>
        <v/>
      </c>
      <c r="I21" s="1100"/>
      <c r="J21" s="1048"/>
      <c r="K21" s="1048"/>
      <c r="L21" s="1048"/>
      <c r="M21" s="1048"/>
      <c r="N21" s="1048"/>
      <c r="O21" s="1048"/>
      <c r="P21" s="1048"/>
      <c r="Q21" s="1048"/>
      <c r="R21" s="1048"/>
      <c r="S21" s="1048"/>
      <c r="T21" s="1048"/>
      <c r="U21" s="1102"/>
    </row>
    <row r="22" spans="2:21" outlineLevel="1">
      <c r="B22" s="1050"/>
      <c r="C22" s="1050"/>
      <c r="D22" s="1051">
        <f t="shared" si="0"/>
        <v>3</v>
      </c>
      <c r="E22" s="1051" t="str">
        <f>IF(COUNTIF(E$13:E21,F22)&gt;0,"",F22)</f>
        <v/>
      </c>
      <c r="F22" s="1051" t="str">
        <f t="shared" si="1"/>
        <v/>
      </c>
      <c r="G22" s="1055" t="str">
        <f t="shared" si="2"/>
        <v/>
      </c>
      <c r="I22" s="1100"/>
      <c r="J22" s="1048"/>
      <c r="K22" s="1048"/>
      <c r="L22" s="1048"/>
      <c r="M22" s="1048"/>
      <c r="N22" s="1048"/>
      <c r="O22" s="1048"/>
      <c r="P22" s="1048"/>
      <c r="Q22" s="1048"/>
      <c r="R22" s="1048"/>
      <c r="S22" s="1048"/>
      <c r="T22" s="1048"/>
      <c r="U22" s="1102"/>
    </row>
    <row r="23" spans="2:21" outlineLevel="1">
      <c r="B23" s="1050"/>
      <c r="C23" s="1050"/>
      <c r="D23" s="1051">
        <f t="shared" si="0"/>
        <v>3</v>
      </c>
      <c r="E23" s="1051" t="str">
        <f>IF(COUNTIF(E$13:E22,F23)&gt;0,"",F23)</f>
        <v/>
      </c>
      <c r="F23" s="1051" t="str">
        <f t="shared" si="1"/>
        <v/>
      </c>
      <c r="G23" s="1055" t="str">
        <f t="shared" si="2"/>
        <v/>
      </c>
      <c r="I23" s="1100"/>
      <c r="J23" s="1048"/>
      <c r="K23" s="1048"/>
      <c r="L23" s="1048"/>
      <c r="M23" s="1048"/>
      <c r="N23" s="1048"/>
      <c r="O23" s="1048"/>
      <c r="P23" s="1048"/>
      <c r="Q23" s="1048"/>
      <c r="R23" s="1048"/>
      <c r="S23" s="1048"/>
      <c r="T23" s="1048"/>
      <c r="U23" s="1102"/>
    </row>
    <row r="24" spans="2:21" outlineLevel="1">
      <c r="B24" s="1050"/>
      <c r="C24" s="1050"/>
      <c r="D24" s="1051">
        <f t="shared" si="0"/>
        <v>3</v>
      </c>
      <c r="E24" s="1051" t="str">
        <f>IF(COUNTIF(E$13:E23,F24)&gt;0,"",F24)</f>
        <v/>
      </c>
      <c r="F24" s="1051" t="str">
        <f t="shared" si="1"/>
        <v/>
      </c>
      <c r="G24" s="1055" t="str">
        <f t="shared" si="2"/>
        <v/>
      </c>
      <c r="I24" s="1100"/>
      <c r="J24" s="1048"/>
      <c r="K24" s="1048"/>
      <c r="L24" s="1048"/>
      <c r="M24" s="1048"/>
      <c r="N24" s="1048"/>
      <c r="O24" s="1048"/>
      <c r="P24" s="1048"/>
      <c r="Q24" s="1048"/>
      <c r="R24" s="1048"/>
      <c r="S24" s="1048"/>
      <c r="T24" s="1048"/>
      <c r="U24" s="1102"/>
    </row>
    <row r="25" spans="2:21" outlineLevel="1">
      <c r="B25" s="1050"/>
      <c r="C25" s="1050"/>
      <c r="D25" s="1051">
        <f t="shared" si="0"/>
        <v>3</v>
      </c>
      <c r="E25" s="1051" t="str">
        <f>IF(COUNTIF(E$13:E24,F25)&gt;0,"",F25)</f>
        <v/>
      </c>
      <c r="F25" s="1051" t="str">
        <f t="shared" si="1"/>
        <v/>
      </c>
      <c r="G25" s="1055" t="str">
        <f t="shared" si="2"/>
        <v/>
      </c>
      <c r="I25" s="1100"/>
      <c r="J25" s="1048"/>
      <c r="K25" s="1048"/>
      <c r="L25" s="1048"/>
      <c r="M25" s="1048"/>
      <c r="N25" s="1048"/>
      <c r="O25" s="1048"/>
      <c r="P25" s="1048"/>
      <c r="Q25" s="1048"/>
      <c r="R25" s="1048"/>
      <c r="S25" s="1048"/>
      <c r="T25" s="1048"/>
      <c r="U25" s="1102"/>
    </row>
    <row r="26" spans="2:21" outlineLevel="1">
      <c r="B26" s="1050"/>
      <c r="C26" s="1050"/>
      <c r="D26" s="1051">
        <f>D25+IF(LEN(E26)&gt;0,1,0)</f>
        <v>3</v>
      </c>
      <c r="E26" s="1051" t="str">
        <f>IF(COUNTIF(E$13:E25,F26)&gt;0,"",F26)</f>
        <v/>
      </c>
      <c r="F26" s="1051" t="str">
        <f t="shared" si="1"/>
        <v/>
      </c>
      <c r="G26" s="1055" t="str">
        <f t="shared" si="2"/>
        <v/>
      </c>
      <c r="I26" s="1103"/>
      <c r="J26" s="1104"/>
      <c r="K26" s="1104"/>
      <c r="L26" s="1104"/>
      <c r="M26" s="1104"/>
      <c r="N26" s="1104"/>
      <c r="O26" s="1104"/>
      <c r="P26" s="1104"/>
      <c r="Q26" s="1104"/>
      <c r="R26" s="1104"/>
      <c r="S26" s="1104"/>
      <c r="T26" s="1104"/>
      <c r="U26" s="1106"/>
    </row>
    <row r="27" spans="2:21"/>
    <row r="28" spans="2:21" ht="15.6">
      <c r="I28" s="3167" t="s">
        <v>4946</v>
      </c>
      <c r="J28" s="3168"/>
      <c r="K28" s="3168"/>
      <c r="L28" s="3168"/>
      <c r="M28" s="3168"/>
      <c r="N28" s="3168"/>
      <c r="O28" s="3168"/>
      <c r="P28" s="3168"/>
      <c r="Q28" s="3168"/>
      <c r="R28" s="3168"/>
      <c r="S28" s="3168"/>
      <c r="T28" s="3168"/>
      <c r="U28" s="3169"/>
    </row>
    <row r="29" spans="2:21" outlineLevel="1">
      <c r="R29" s="1083"/>
    </row>
    <row r="30" spans="2:21" ht="12.75" customHeight="1" outlineLevel="1">
      <c r="B30" s="3154" t="s">
        <v>1617</v>
      </c>
      <c r="C30" s="3154"/>
      <c r="D30" s="3157" t="s">
        <v>1619</v>
      </c>
      <c r="E30" s="3157"/>
      <c r="F30" s="1151" t="s">
        <v>1616</v>
      </c>
      <c r="G30" s="1053" t="s">
        <v>1618</v>
      </c>
      <c r="H30" s="1044"/>
      <c r="I30" s="1038" t="s">
        <v>1557</v>
      </c>
      <c r="J30" s="1040" t="s">
        <v>1266</v>
      </c>
      <c r="K30" s="1043" t="s">
        <v>224</v>
      </c>
      <c r="L30" s="1043" t="s">
        <v>1558</v>
      </c>
      <c r="M30" s="1039" t="s">
        <v>366</v>
      </c>
      <c r="N30" s="1040" t="s">
        <v>1559</v>
      </c>
      <c r="O30" s="1041" t="s">
        <v>1560</v>
      </c>
      <c r="P30" s="1043" t="s">
        <v>211</v>
      </c>
      <c r="Q30" s="1043" t="s">
        <v>1561</v>
      </c>
      <c r="R30" s="1041" t="s">
        <v>1562</v>
      </c>
      <c r="S30" s="1041" t="s">
        <v>267</v>
      </c>
      <c r="T30" s="1043" t="s">
        <v>1563</v>
      </c>
      <c r="U30" s="1042" t="s">
        <v>1564</v>
      </c>
    </row>
    <row r="31" spans="2:21" s="1045" customFormat="1" ht="12.75" customHeight="1" outlineLevel="1" collapsed="1">
      <c r="B31" s="3156" t="s">
        <v>4889</v>
      </c>
      <c r="C31" s="3156"/>
      <c r="D31" s="1051">
        <v>0</v>
      </c>
      <c r="E31" s="1051"/>
      <c r="F31" s="1051"/>
      <c r="G31" s="1054"/>
      <c r="H31" s="1046"/>
      <c r="I31" s="1688"/>
      <c r="J31" s="1689"/>
      <c r="K31" s="1690"/>
      <c r="L31" s="1690"/>
      <c r="M31" s="1691"/>
      <c r="N31" s="1689"/>
      <c r="O31" s="1692"/>
      <c r="P31" s="1690"/>
      <c r="Q31" s="1690"/>
      <c r="R31" s="1692"/>
      <c r="S31" s="1692"/>
      <c r="T31" s="1690"/>
      <c r="U31" s="1693"/>
    </row>
    <row r="32" spans="2:21" hidden="1" outlineLevel="2">
      <c r="B32" s="1050">
        <v>1</v>
      </c>
      <c r="C32" s="1050" t="str">
        <f>IF(ISNA(VLOOKUP(B32,$D$32:$E$38,2,FALSE)),"-",VLOOKUP(B32,$D$32:$E$38,2,FALSE))</f>
        <v>Céramique et autres inertes - Incinération - Impacts, France continentale, Base Carbone</v>
      </c>
      <c r="D32" s="1051">
        <f>D31+IF(LEN(E32)&gt;0,1,0)</f>
        <v>1</v>
      </c>
      <c r="E32" s="1051" t="str">
        <f>IF(COUNTIF(E$31:E31,F32)&gt;0,"",F32)</f>
        <v>Céramique et autres inertes - Incinération - Impacts, France continentale, Base Carbone</v>
      </c>
      <c r="F32" s="1051" t="str">
        <f>IF(I32&lt;&gt;"",I32&amp;IF(L32&lt;&gt;"",", "&amp;L32,"")&amp;IF(K32&lt;&gt;"",", "&amp;K32,""),"")</f>
        <v>Céramique et autres inertes - Incinération - Impacts, France continentale, Base Carbone</v>
      </c>
      <c r="G32" s="1055" t="str">
        <f>IF(F32&lt;&gt;"",F32&amp;IF(J32&lt;&gt;"","; "&amp;J32&amp;IF(N32&lt;&gt;"",", "&amp;N32,),""),"")</f>
        <v>Céramique et autres inertes - Incinération - Impacts, France continentale, Base Carbone; kgCO2e/tonne</v>
      </c>
      <c r="I32" s="1031" t="s">
        <v>4817</v>
      </c>
      <c r="J32" s="1032" t="s">
        <v>1585</v>
      </c>
      <c r="K32" s="1119" t="s">
        <v>1567</v>
      </c>
      <c r="L32" s="1032" t="s">
        <v>1571</v>
      </c>
      <c r="M32" s="1033">
        <v>0.2</v>
      </c>
      <c r="N32" s="1135"/>
      <c r="O32" s="1036">
        <v>130</v>
      </c>
      <c r="P32" s="1980">
        <v>130</v>
      </c>
      <c r="Q32" s="1980">
        <v>0</v>
      </c>
      <c r="R32" s="1980">
        <v>0</v>
      </c>
      <c r="S32" s="1980">
        <v>0</v>
      </c>
      <c r="T32" s="1980">
        <v>0</v>
      </c>
      <c r="U32" s="2036">
        <v>0</v>
      </c>
    </row>
    <row r="33" spans="2:21" hidden="1" outlineLevel="2">
      <c r="B33" s="1050">
        <v>2</v>
      </c>
      <c r="C33" s="1050" t="str">
        <f t="shared" ref="C33:C38" si="3">IF(ISNA(VLOOKUP(B33,$D$32:$E$38,2,FALSE)),"-",VLOOKUP(B33,$D$32:$E$38,2,FALSE))</f>
        <v>Céramique et autres inertes - Stockage - Impacts, France continentale, Base Carbone</v>
      </c>
      <c r="D33" s="1051">
        <f t="shared" ref="D33:D38" si="4">D32+IF(LEN(E33)&gt;0,1,0)</f>
        <v>2</v>
      </c>
      <c r="E33" s="1051" t="str">
        <f>IF(COUNTIF(E$31:E32,F33)&gt;0,"",F33)</f>
        <v>Céramique et autres inertes - Stockage - Impacts, France continentale, Base Carbone</v>
      </c>
      <c r="F33" s="1051" t="str">
        <f t="shared" ref="F33:F38" si="5">IF(I33&lt;&gt;"",I33&amp;IF(L33&lt;&gt;"",", "&amp;L33,"")&amp;IF(K33&lt;&gt;"",", "&amp;K33,""),"")</f>
        <v>Céramique et autres inertes - Stockage - Impacts, France continentale, Base Carbone</v>
      </c>
      <c r="G33" s="1055" t="str">
        <f t="shared" ref="G33:G38" si="6">IF(F33&lt;&gt;"",F33&amp;IF(J33&lt;&gt;"","; "&amp;J33&amp;IF(N33&lt;&gt;"",", "&amp;N33,),""),"")</f>
        <v>Céramique et autres inertes - Stockage - Impacts, France continentale, Base Carbone; kgCO2e/tonne</v>
      </c>
      <c r="I33" s="1031" t="s">
        <v>4818</v>
      </c>
      <c r="J33" s="1032" t="s">
        <v>1585</v>
      </c>
      <c r="K33" s="1119" t="s">
        <v>1567</v>
      </c>
      <c r="L33" s="1032" t="s">
        <v>1571</v>
      </c>
      <c r="M33" s="1033">
        <v>0.2</v>
      </c>
      <c r="N33" s="1135"/>
      <c r="O33" s="1036">
        <v>102</v>
      </c>
      <c r="P33" s="1980">
        <v>102</v>
      </c>
      <c r="Q33" s="1980">
        <v>0</v>
      </c>
      <c r="R33" s="1980">
        <v>0</v>
      </c>
      <c r="S33" s="1980">
        <v>0</v>
      </c>
      <c r="T33" s="1980">
        <v>0</v>
      </c>
      <c r="U33" s="2036">
        <v>0</v>
      </c>
    </row>
    <row r="34" spans="2:21" hidden="1" outlineLevel="2">
      <c r="B34" s="1050">
        <v>3</v>
      </c>
      <c r="C34" s="1050" t="str">
        <f t="shared" si="3"/>
        <v>Céramique et autres inertes - Fin de vie moyenne filière - Impacts, France continentale, Base Carbone</v>
      </c>
      <c r="D34" s="1051">
        <f t="shared" si="4"/>
        <v>3</v>
      </c>
      <c r="E34" s="1051" t="str">
        <f>IF(COUNTIF(E$31:E33,F34)&gt;0,"",F34)</f>
        <v>Céramique et autres inertes - Fin de vie moyenne filière - Impacts, France continentale, Base Carbone</v>
      </c>
      <c r="F34" s="1051" t="str">
        <f t="shared" si="5"/>
        <v>Céramique et autres inertes - Fin de vie moyenne filière - Impacts, France continentale, Base Carbone</v>
      </c>
      <c r="G34" s="1055" t="str">
        <f t="shared" si="6"/>
        <v>Céramique et autres inertes - Fin de vie moyenne filière - Impacts, France continentale, Base Carbone; kgCO2e/tonne</v>
      </c>
      <c r="I34" s="1031" t="s">
        <v>4819</v>
      </c>
      <c r="J34" s="1032" t="s">
        <v>1585</v>
      </c>
      <c r="K34" s="1119" t="s">
        <v>1567</v>
      </c>
      <c r="L34" s="1032" t="s">
        <v>1571</v>
      </c>
      <c r="M34" s="1033">
        <v>0.2</v>
      </c>
      <c r="N34" s="1135"/>
      <c r="O34" s="1036">
        <v>41</v>
      </c>
      <c r="P34" s="1980">
        <v>41</v>
      </c>
      <c r="Q34" s="1980">
        <v>0</v>
      </c>
      <c r="R34" s="1980">
        <v>0</v>
      </c>
      <c r="S34" s="1980">
        <v>0</v>
      </c>
      <c r="T34" s="1980">
        <v>0</v>
      </c>
      <c r="U34" s="2036">
        <v>0</v>
      </c>
    </row>
    <row r="35" spans="2:21" hidden="1" outlineLevel="2">
      <c r="B35" s="1050">
        <v>4</v>
      </c>
      <c r="C35" s="1050" t="str">
        <f t="shared" si="3"/>
        <v>-</v>
      </c>
      <c r="D35" s="1051">
        <f t="shared" si="4"/>
        <v>3</v>
      </c>
      <c r="E35" s="1051" t="str">
        <f>IF(COUNTIF(E$31:E34,F35)&gt;0,"",F35)</f>
        <v/>
      </c>
      <c r="F35" s="1051" t="str">
        <f t="shared" si="5"/>
        <v/>
      </c>
      <c r="G35" s="1055" t="str">
        <f t="shared" si="6"/>
        <v/>
      </c>
      <c r="I35" s="1100"/>
      <c r="J35" s="1048"/>
      <c r="K35" s="1119"/>
      <c r="L35" s="1032"/>
      <c r="M35" s="1033"/>
      <c r="N35" s="1048"/>
      <c r="O35" s="1036"/>
      <c r="P35" s="1036"/>
      <c r="Q35" s="1036"/>
      <c r="R35" s="1036"/>
      <c r="S35" s="1036"/>
      <c r="T35" s="1036"/>
      <c r="U35" s="1037"/>
    </row>
    <row r="36" spans="2:21" hidden="1" outlineLevel="2">
      <c r="B36" s="1050">
        <v>5</v>
      </c>
      <c r="C36" s="1050" t="str">
        <f t="shared" si="3"/>
        <v>-</v>
      </c>
      <c r="D36" s="1051">
        <f t="shared" si="4"/>
        <v>3</v>
      </c>
      <c r="E36" s="1051" t="str">
        <f>IF(COUNTIF(E$31:E35,F36)&gt;0,"",F36)</f>
        <v/>
      </c>
      <c r="F36" s="1051" t="str">
        <f t="shared" si="5"/>
        <v/>
      </c>
      <c r="G36" s="1055" t="str">
        <f t="shared" si="6"/>
        <v/>
      </c>
      <c r="I36" s="1100"/>
      <c r="J36" s="1048"/>
      <c r="K36" s="1119"/>
      <c r="L36" s="1032"/>
      <c r="M36" s="1033"/>
      <c r="N36" s="1048"/>
      <c r="O36" s="1036"/>
      <c r="P36" s="1036"/>
      <c r="Q36" s="1036"/>
      <c r="R36" s="1036"/>
      <c r="S36" s="1036"/>
      <c r="T36" s="1036"/>
      <c r="U36" s="1037"/>
    </row>
    <row r="37" spans="2:21" hidden="1" outlineLevel="2">
      <c r="B37" s="1050">
        <v>6</v>
      </c>
      <c r="C37" s="1050" t="str">
        <f t="shared" si="3"/>
        <v>-</v>
      </c>
      <c r="D37" s="1051">
        <f t="shared" si="4"/>
        <v>3</v>
      </c>
      <c r="E37" s="1051" t="str">
        <f>IF(COUNTIF(E$31:E36,F37)&gt;0,"",F37)</f>
        <v/>
      </c>
      <c r="F37" s="1051" t="str">
        <f t="shared" si="5"/>
        <v/>
      </c>
      <c r="G37" s="1055" t="str">
        <f t="shared" si="6"/>
        <v/>
      </c>
      <c r="I37" s="1100"/>
      <c r="J37" s="1048"/>
      <c r="K37" s="1048"/>
      <c r="L37" s="1048"/>
      <c r="M37" s="1048"/>
      <c r="N37" s="1048"/>
      <c r="O37" s="1048"/>
      <c r="P37" s="1048"/>
      <c r="Q37" s="1048"/>
      <c r="R37" s="1048"/>
      <c r="S37" s="1048"/>
      <c r="T37" s="1048"/>
      <c r="U37" s="1102"/>
    </row>
    <row r="38" spans="2:21" hidden="1" outlineLevel="2">
      <c r="B38" s="1050">
        <v>7</v>
      </c>
      <c r="C38" s="1050" t="str">
        <f t="shared" si="3"/>
        <v>-</v>
      </c>
      <c r="D38" s="1051">
        <f t="shared" si="4"/>
        <v>3</v>
      </c>
      <c r="E38" s="1051" t="str">
        <f>IF(COUNTIF(E$31:E37,F38)&gt;0,"",F38)</f>
        <v/>
      </c>
      <c r="F38" s="1051" t="str">
        <f t="shared" si="5"/>
        <v/>
      </c>
      <c r="G38" s="1055" t="str">
        <f t="shared" si="6"/>
        <v/>
      </c>
      <c r="I38" s="1100"/>
      <c r="J38" s="1048"/>
      <c r="K38" s="1048"/>
      <c r="L38" s="1048"/>
      <c r="M38" s="1048"/>
      <c r="N38" s="1048"/>
      <c r="O38" s="1048"/>
      <c r="P38" s="1048"/>
      <c r="Q38" s="1048"/>
      <c r="R38" s="1048"/>
      <c r="S38" s="1048"/>
      <c r="T38" s="1048"/>
      <c r="U38" s="1102"/>
    </row>
    <row r="39" spans="2:21" s="1045" customFormat="1" ht="13.2" outlineLevel="1">
      <c r="G39" s="1135"/>
      <c r="I39" s="1746"/>
      <c r="J39" s="2358"/>
      <c r="K39" s="2358"/>
      <c r="L39" s="2358"/>
      <c r="M39" s="2358"/>
      <c r="N39" s="2358"/>
      <c r="O39" s="2358"/>
      <c r="P39" s="2358"/>
      <c r="Q39" s="2358"/>
      <c r="R39" s="2358"/>
      <c r="S39" s="2358"/>
      <c r="T39" s="2358"/>
      <c r="U39" s="2063"/>
    </row>
    <row r="40" spans="2:21" ht="13.2" outlineLevel="1" collapsed="1">
      <c r="B40" s="3156" t="s">
        <v>4890</v>
      </c>
      <c r="C40" s="3156"/>
      <c r="D40" s="1051">
        <v>0</v>
      </c>
      <c r="E40" s="1051"/>
      <c r="F40" s="1051"/>
      <c r="G40" s="1055"/>
      <c r="I40" s="1746"/>
      <c r="J40" s="2358"/>
      <c r="K40" s="2358"/>
      <c r="L40" s="2358"/>
      <c r="M40" s="2358"/>
      <c r="N40" s="2358"/>
      <c r="O40" s="2358"/>
      <c r="P40" s="2358"/>
      <c r="Q40" s="2358"/>
      <c r="R40" s="2358"/>
      <c r="S40" s="2358"/>
      <c r="T40" s="2358"/>
      <c r="U40" s="2063"/>
    </row>
    <row r="41" spans="2:21" hidden="1" outlineLevel="2">
      <c r="B41" s="1050">
        <v>1</v>
      </c>
      <c r="C41" s="1050" t="str">
        <f>IF(ISNA(VLOOKUP(B41,$D$40:$E$55,2,FALSE)),"-",VLOOKUP(B41,$D$40:$E$55,2,FALSE))</f>
        <v>Bois - Fin de vie moyenne filière - impacts, France continentale, Base Carbone</v>
      </c>
      <c r="D41" s="1051">
        <f>D40+IF(LEN(E41)&gt;0,1,0)</f>
        <v>1</v>
      </c>
      <c r="E41" s="1051" t="str">
        <f>IF(COUNTIF(E40:E$40,F41)&gt;0,"",F41)</f>
        <v>Bois - Fin de vie moyenne filière - impacts, France continentale, Base Carbone</v>
      </c>
      <c r="F41" s="1051" t="str">
        <f t="shared" ref="F41" si="7">IF(I41&lt;&gt;"",I41&amp;IF(L41&lt;&gt;"",", "&amp;L41,"")&amp;IF(K41&lt;&gt;"",", "&amp;K41,""),"")</f>
        <v>Bois - Fin de vie moyenne filière - impacts, France continentale, Base Carbone</v>
      </c>
      <c r="G41" s="1055" t="str">
        <f t="shared" ref="G41" si="8">IF(F41&lt;&gt;"",F41&amp;IF(J41&lt;&gt;"","; "&amp;J41&amp;IF(N41&lt;&gt;"",", "&amp;N41,),""),"")</f>
        <v>Bois - Fin de vie moyenne filière - impacts, France continentale, Base Carbone; kgCO2e/tonne</v>
      </c>
      <c r="I41" s="2018" t="s">
        <v>4820</v>
      </c>
      <c r="J41" s="1135" t="s">
        <v>1585</v>
      </c>
      <c r="K41" s="1135" t="s">
        <v>1567</v>
      </c>
      <c r="L41" s="1135" t="s">
        <v>1571</v>
      </c>
      <c r="M41" s="2062">
        <v>0.2</v>
      </c>
      <c r="N41" s="1135"/>
      <c r="O41" s="2046">
        <v>269</v>
      </c>
      <c r="P41" s="1980">
        <v>269</v>
      </c>
      <c r="Q41" s="1980">
        <v>0</v>
      </c>
      <c r="R41" s="1980">
        <v>0</v>
      </c>
      <c r="S41" s="1980">
        <v>0</v>
      </c>
      <c r="T41" s="1980">
        <v>0</v>
      </c>
      <c r="U41" s="2036">
        <v>0</v>
      </c>
    </row>
    <row r="42" spans="2:21" hidden="1" outlineLevel="2">
      <c r="B42" s="1050">
        <v>2</v>
      </c>
      <c r="C42" s="1050" t="str">
        <f t="shared" ref="C42:C55" si="9">IF(ISNA(VLOOKUP(B42,$D$40:$E$55,2,FALSE)),"-",VLOOKUP(B42,$D$40:$E$55,2,FALSE))</f>
        <v>Bois - Incinération - impacts, France continentale, Base Carbone</v>
      </c>
      <c r="D42" s="1051">
        <f t="shared" ref="D42:D54" si="10">D41+IF(LEN(E42)&gt;0,1,0)</f>
        <v>2</v>
      </c>
      <c r="E42" s="1051" t="str">
        <f>IF(COUNTIF(E$40:E41,F42)&gt;0,"",F42)</f>
        <v>Bois - Incinération - impacts, France continentale, Base Carbone</v>
      </c>
      <c r="F42" s="1051" t="str">
        <f t="shared" ref="F42:F65" si="11">IF(I42&lt;&gt;"",I42&amp;IF(L42&lt;&gt;"",", "&amp;L42,"")&amp;IF(K42&lt;&gt;"",", "&amp;K42,""),"")</f>
        <v>Bois - Incinération - impacts, France continentale, Base Carbone</v>
      </c>
      <c r="G42" s="1055" t="str">
        <f t="shared" ref="G42:G65" si="12">IF(F42&lt;&gt;"",F42&amp;IF(J42&lt;&gt;"","; "&amp;J42&amp;IF(N42&lt;&gt;"",", "&amp;N42,),""),"")</f>
        <v>Bois - Incinération - impacts, France continentale, Base Carbone; kgCO2e/tonne</v>
      </c>
      <c r="I42" s="2018" t="s">
        <v>4821</v>
      </c>
      <c r="J42" s="1135" t="s">
        <v>1585</v>
      </c>
      <c r="K42" s="1135" t="s">
        <v>1567</v>
      </c>
      <c r="L42" s="1135" t="s">
        <v>1571</v>
      </c>
      <c r="M42" s="2062">
        <v>0.2</v>
      </c>
      <c r="N42" s="1135"/>
      <c r="O42" s="2046">
        <v>69</v>
      </c>
      <c r="P42" s="1980">
        <v>69</v>
      </c>
      <c r="Q42" s="1980">
        <v>0</v>
      </c>
      <c r="R42" s="1980">
        <v>0</v>
      </c>
      <c r="S42" s="1980">
        <v>0</v>
      </c>
      <c r="T42" s="1980">
        <v>0</v>
      </c>
      <c r="U42" s="2036">
        <v>0</v>
      </c>
    </row>
    <row r="43" spans="2:21" hidden="1" outlineLevel="2">
      <c r="B43" s="1050">
        <v>3</v>
      </c>
      <c r="C43" s="1050" t="str">
        <f t="shared" si="9"/>
        <v>Bois - Stockage - impacts, France continentale, Base Carbone</v>
      </c>
      <c r="D43" s="1051">
        <f t="shared" si="10"/>
        <v>3</v>
      </c>
      <c r="E43" s="1051" t="str">
        <f>IF(COUNTIF(E$40:E42,F43)&gt;0,"",F43)</f>
        <v>Bois - Stockage - impacts, France continentale, Base Carbone</v>
      </c>
      <c r="F43" s="1051" t="str">
        <f t="shared" si="11"/>
        <v>Bois - Stockage - impacts, France continentale, Base Carbone</v>
      </c>
      <c r="G43" s="1055" t="str">
        <f t="shared" si="12"/>
        <v>Bois - Stockage - impacts, France continentale, Base Carbone; kgCO2e/tonne</v>
      </c>
      <c r="I43" s="2018" t="s">
        <v>4822</v>
      </c>
      <c r="J43" s="1135" t="s">
        <v>1585</v>
      </c>
      <c r="K43" s="1135" t="s">
        <v>1567</v>
      </c>
      <c r="L43" s="1135" t="s">
        <v>1571</v>
      </c>
      <c r="M43" s="2062">
        <v>0.2</v>
      </c>
      <c r="N43" s="1135"/>
      <c r="O43" s="2046">
        <v>714</v>
      </c>
      <c r="P43" s="1980">
        <v>714</v>
      </c>
      <c r="Q43" s="1980">
        <v>0</v>
      </c>
      <c r="R43" s="1980">
        <v>0</v>
      </c>
      <c r="S43" s="1980">
        <v>0</v>
      </c>
      <c r="T43" s="1980">
        <v>0</v>
      </c>
      <c r="U43" s="2036">
        <v>0</v>
      </c>
    </row>
    <row r="44" spans="2:21" hidden="1" outlineLevel="2">
      <c r="B44" s="1050">
        <v>4</v>
      </c>
      <c r="C44" s="1050" t="str">
        <f t="shared" si="9"/>
        <v>Carton - Fin de vie moyenne filière - impacts, France continentale, Base Carbone</v>
      </c>
      <c r="D44" s="1051">
        <f t="shared" si="10"/>
        <v>4</v>
      </c>
      <c r="E44" s="1051" t="str">
        <f>IF(COUNTIF(E$40:E43,F44)&gt;0,"",F44)</f>
        <v>Carton - Fin de vie moyenne filière - impacts, France continentale, Base Carbone</v>
      </c>
      <c r="F44" s="1051" t="str">
        <f t="shared" si="11"/>
        <v>Carton - Fin de vie moyenne filière - impacts, France continentale, Base Carbone</v>
      </c>
      <c r="G44" s="1055" t="str">
        <f t="shared" si="12"/>
        <v>Carton - Fin de vie moyenne filière - impacts, France continentale, Base Carbone; kgCO2e/tonne</v>
      </c>
      <c r="I44" s="2018" t="s">
        <v>4823</v>
      </c>
      <c r="J44" s="1135" t="s">
        <v>1585</v>
      </c>
      <c r="K44" s="1135" t="s">
        <v>1567</v>
      </c>
      <c r="L44" s="1135" t="s">
        <v>1571</v>
      </c>
      <c r="M44" s="2062">
        <v>0.2</v>
      </c>
      <c r="N44" s="1135"/>
      <c r="O44" s="2046">
        <v>737</v>
      </c>
      <c r="P44" s="1980">
        <v>737</v>
      </c>
      <c r="Q44" s="1980">
        <v>0</v>
      </c>
      <c r="R44" s="1980">
        <v>0</v>
      </c>
      <c r="S44" s="1980">
        <v>0</v>
      </c>
      <c r="T44" s="1980">
        <v>0</v>
      </c>
      <c r="U44" s="2036">
        <v>0</v>
      </c>
    </row>
    <row r="45" spans="2:21" hidden="1" outlineLevel="2">
      <c r="B45" s="1050">
        <v>5</v>
      </c>
      <c r="C45" s="1050" t="str">
        <f t="shared" si="9"/>
        <v>Carton - Incinération - Impacts, France continentale, Base Carbone</v>
      </c>
      <c r="D45" s="1051">
        <f t="shared" si="10"/>
        <v>5</v>
      </c>
      <c r="E45" s="1051" t="str">
        <f>IF(COUNTIF(E$40:E44,F45)&gt;0,"",F45)</f>
        <v>Carton - Incinération - Impacts, France continentale, Base Carbone</v>
      </c>
      <c r="F45" s="1051" t="str">
        <f t="shared" si="11"/>
        <v>Carton - Incinération - Impacts, France continentale, Base Carbone</v>
      </c>
      <c r="G45" s="1055" t="str">
        <f t="shared" si="12"/>
        <v>Carton - Incinération - Impacts, France continentale, Base Carbone; kgCO2e/tonne</v>
      </c>
      <c r="I45" s="2018" t="s">
        <v>4824</v>
      </c>
      <c r="J45" s="1135" t="s">
        <v>1585</v>
      </c>
      <c r="K45" s="1135" t="s">
        <v>1567</v>
      </c>
      <c r="L45" s="1135" t="s">
        <v>1571</v>
      </c>
      <c r="M45" s="2062">
        <v>0.2</v>
      </c>
      <c r="N45" s="1135"/>
      <c r="O45" s="2046">
        <v>120</v>
      </c>
      <c r="P45" s="1980">
        <v>120</v>
      </c>
      <c r="Q45" s="1980">
        <v>0</v>
      </c>
      <c r="R45" s="1980">
        <v>0</v>
      </c>
      <c r="S45" s="1980">
        <v>0</v>
      </c>
      <c r="T45" s="1980">
        <v>0</v>
      </c>
      <c r="U45" s="2036">
        <v>0</v>
      </c>
    </row>
    <row r="46" spans="2:21" hidden="1" outlineLevel="2">
      <c r="B46" s="1050">
        <v>6</v>
      </c>
      <c r="C46" s="1050" t="str">
        <f t="shared" si="9"/>
        <v>Carton - Recyclage - Impacts, France continentale, Base Carbone</v>
      </c>
      <c r="D46" s="1051">
        <f t="shared" si="10"/>
        <v>6</v>
      </c>
      <c r="E46" s="1051" t="str">
        <f>IF(COUNTIF(E$40:E45,F46)&gt;0,"",F46)</f>
        <v>Carton - Recyclage - Impacts, France continentale, Base Carbone</v>
      </c>
      <c r="F46" s="1051" t="str">
        <f t="shared" si="11"/>
        <v>Carton - Recyclage - Impacts, France continentale, Base Carbone</v>
      </c>
      <c r="G46" s="1055" t="str">
        <f t="shared" si="12"/>
        <v>Carton - Recyclage - Impacts, France continentale, Base Carbone; kgCO2e/tonne</v>
      </c>
      <c r="I46" s="2018" t="s">
        <v>4825</v>
      </c>
      <c r="J46" s="1135" t="s">
        <v>1585</v>
      </c>
      <c r="K46" s="1135" t="s">
        <v>1567</v>
      </c>
      <c r="L46" s="1135" t="s">
        <v>1571</v>
      </c>
      <c r="M46" s="2062">
        <v>0.2</v>
      </c>
      <c r="N46" s="1135"/>
      <c r="O46" s="2046">
        <v>992</v>
      </c>
      <c r="P46" s="1980">
        <v>992</v>
      </c>
      <c r="Q46" s="1980">
        <v>0</v>
      </c>
      <c r="R46" s="1980">
        <v>0</v>
      </c>
      <c r="S46" s="1980">
        <v>0</v>
      </c>
      <c r="T46" s="1980">
        <v>0</v>
      </c>
      <c r="U46" s="2036">
        <v>0</v>
      </c>
    </row>
    <row r="47" spans="2:21" hidden="1" outlineLevel="2">
      <c r="B47" s="1050">
        <v>7</v>
      </c>
      <c r="C47" s="1050" t="str">
        <f t="shared" si="9"/>
        <v>Carton - Stockage - Impacts, France continentale, Base Carbone</v>
      </c>
      <c r="D47" s="1051">
        <f t="shared" si="10"/>
        <v>7</v>
      </c>
      <c r="E47" s="1051" t="str">
        <f>IF(COUNTIF(E$40:E46,F47)&gt;0,"",F47)</f>
        <v>Carton - Stockage - Impacts, France continentale, Base Carbone</v>
      </c>
      <c r="F47" s="1051" t="str">
        <f t="shared" si="11"/>
        <v>Carton - Stockage - Impacts, France continentale, Base Carbone</v>
      </c>
      <c r="G47" s="1055" t="str">
        <f t="shared" si="12"/>
        <v>Carton - Stockage - Impacts, France continentale, Base Carbone; kgCO2e/tonne</v>
      </c>
      <c r="I47" s="2018" t="s">
        <v>4826</v>
      </c>
      <c r="J47" s="1135" t="s">
        <v>1585</v>
      </c>
      <c r="K47" s="1135" t="s">
        <v>1567</v>
      </c>
      <c r="L47" s="1135" t="s">
        <v>1571</v>
      </c>
      <c r="M47" s="2062">
        <v>0.2</v>
      </c>
      <c r="N47" s="1135"/>
      <c r="O47" s="2046">
        <v>950</v>
      </c>
      <c r="P47" s="1980">
        <v>950</v>
      </c>
      <c r="Q47" s="1980">
        <v>0</v>
      </c>
      <c r="R47" s="1980">
        <v>0</v>
      </c>
      <c r="S47" s="1980">
        <v>0</v>
      </c>
      <c r="T47" s="1980">
        <v>0</v>
      </c>
      <c r="U47" s="2036">
        <v>0</v>
      </c>
    </row>
    <row r="48" spans="2:21" hidden="1" outlineLevel="2">
      <c r="B48" s="1050">
        <v>8</v>
      </c>
      <c r="C48" s="1050" t="str">
        <f t="shared" si="9"/>
        <v>-</v>
      </c>
      <c r="D48" s="1051">
        <f t="shared" si="10"/>
        <v>7</v>
      </c>
      <c r="E48" s="1051" t="str">
        <f>IF(COUNTIF(E$40:E47,F48)&gt;0,"",F48)</f>
        <v/>
      </c>
      <c r="F48" s="1051" t="str">
        <f t="shared" si="11"/>
        <v/>
      </c>
      <c r="G48" s="1055" t="str">
        <f t="shared" si="12"/>
        <v/>
      </c>
      <c r="I48" s="1100"/>
      <c r="J48" s="1048"/>
      <c r="K48" s="1048"/>
      <c r="L48" s="1048"/>
      <c r="M48" s="2357"/>
      <c r="N48" s="1048"/>
      <c r="O48" s="2357"/>
      <c r="P48" s="2357"/>
      <c r="Q48" s="2357"/>
      <c r="R48" s="2357"/>
      <c r="S48" s="2357"/>
      <c r="T48" s="2357"/>
      <c r="U48" s="1764"/>
    </row>
    <row r="49" spans="2:21" hidden="1" outlineLevel="2">
      <c r="B49" s="1050">
        <v>9</v>
      </c>
      <c r="C49" s="1050" t="str">
        <f t="shared" si="9"/>
        <v>-</v>
      </c>
      <c r="D49" s="1051">
        <f t="shared" si="10"/>
        <v>7</v>
      </c>
      <c r="E49" s="1051" t="str">
        <f>IF(COUNTIF(E$40:E48,F49)&gt;0,"",F49)</f>
        <v/>
      </c>
      <c r="F49" s="1051" t="str">
        <f t="shared" si="11"/>
        <v/>
      </c>
      <c r="G49" s="1055" t="str">
        <f t="shared" si="12"/>
        <v/>
      </c>
      <c r="I49" s="1100"/>
      <c r="J49" s="1048"/>
      <c r="K49" s="1048"/>
      <c r="L49" s="1048"/>
      <c r="M49" s="2357"/>
      <c r="N49" s="1048"/>
      <c r="O49" s="2357"/>
      <c r="P49" s="2357"/>
      <c r="Q49" s="2357"/>
      <c r="R49" s="2357"/>
      <c r="S49" s="2357"/>
      <c r="T49" s="2357"/>
      <c r="U49" s="1764"/>
    </row>
    <row r="50" spans="2:21" hidden="1" outlineLevel="2">
      <c r="B50" s="1050">
        <v>10</v>
      </c>
      <c r="C50" s="1050" t="str">
        <f t="shared" si="9"/>
        <v>-</v>
      </c>
      <c r="D50" s="1051">
        <f t="shared" si="10"/>
        <v>7</v>
      </c>
      <c r="E50" s="1051" t="str">
        <f>IF(COUNTIF(E$40:E49,F50)&gt;0,"",F50)</f>
        <v/>
      </c>
      <c r="F50" s="1051" t="str">
        <f t="shared" si="11"/>
        <v/>
      </c>
      <c r="G50" s="1055" t="str">
        <f t="shared" si="12"/>
        <v/>
      </c>
      <c r="I50" s="1100"/>
      <c r="J50" s="1048"/>
      <c r="K50" s="1048"/>
      <c r="L50" s="1048"/>
      <c r="M50" s="2357"/>
      <c r="N50" s="1048"/>
      <c r="O50" s="2357"/>
      <c r="P50" s="2357"/>
      <c r="Q50" s="2357"/>
      <c r="R50" s="2357"/>
      <c r="S50" s="2357"/>
      <c r="T50" s="2357"/>
      <c r="U50" s="1764"/>
    </row>
    <row r="51" spans="2:21" hidden="1" outlineLevel="2">
      <c r="B51" s="1050">
        <v>11</v>
      </c>
      <c r="C51" s="1050" t="str">
        <f t="shared" si="9"/>
        <v>-</v>
      </c>
      <c r="D51" s="1051">
        <f t="shared" si="10"/>
        <v>7</v>
      </c>
      <c r="E51" s="1051" t="str">
        <f>IF(COUNTIF(E$40:E50,F51)&gt;0,"",F51)</f>
        <v/>
      </c>
      <c r="F51" s="1051" t="str">
        <f t="shared" si="11"/>
        <v/>
      </c>
      <c r="G51" s="1055" t="str">
        <f t="shared" si="12"/>
        <v/>
      </c>
      <c r="I51" s="1100"/>
      <c r="J51" s="1048"/>
      <c r="K51" s="1048"/>
      <c r="L51" s="1048"/>
      <c r="M51" s="2357"/>
      <c r="N51" s="1048"/>
      <c r="O51" s="2357"/>
      <c r="P51" s="2357"/>
      <c r="Q51" s="2357"/>
      <c r="R51" s="2357"/>
      <c r="S51" s="2357"/>
      <c r="T51" s="2357"/>
      <c r="U51" s="1764"/>
    </row>
    <row r="52" spans="2:21" hidden="1" outlineLevel="2">
      <c r="B52" s="1050">
        <v>12</v>
      </c>
      <c r="C52" s="1050" t="str">
        <f t="shared" si="9"/>
        <v>-</v>
      </c>
      <c r="D52" s="1051">
        <f t="shared" si="10"/>
        <v>7</v>
      </c>
      <c r="E52" s="1051" t="str">
        <f>IF(COUNTIF(E$40:E51,F52)&gt;0,"",F52)</f>
        <v/>
      </c>
      <c r="F52" s="1051" t="str">
        <f t="shared" si="11"/>
        <v/>
      </c>
      <c r="G52" s="1055" t="str">
        <f t="shared" si="12"/>
        <v/>
      </c>
      <c r="I52" s="1100"/>
      <c r="J52" s="1048"/>
      <c r="K52" s="1048"/>
      <c r="L52" s="1048"/>
      <c r="M52" s="2357"/>
      <c r="N52" s="1048"/>
      <c r="O52" s="2357"/>
      <c r="P52" s="2357"/>
      <c r="Q52" s="2357"/>
      <c r="R52" s="2357"/>
      <c r="S52" s="2357"/>
      <c r="T52" s="2357"/>
      <c r="U52" s="1764"/>
    </row>
    <row r="53" spans="2:21" hidden="1" outlineLevel="2">
      <c r="B53" s="1050">
        <v>13</v>
      </c>
      <c r="C53" s="1050" t="str">
        <f t="shared" si="9"/>
        <v>-</v>
      </c>
      <c r="D53" s="1051">
        <f t="shared" si="10"/>
        <v>7</v>
      </c>
      <c r="E53" s="1051" t="str">
        <f>IF(COUNTIF(E$40:E52,F53)&gt;0,"",F53)</f>
        <v/>
      </c>
      <c r="F53" s="1051" t="str">
        <f t="shared" si="11"/>
        <v/>
      </c>
      <c r="G53" s="1055" t="str">
        <f t="shared" si="12"/>
        <v/>
      </c>
      <c r="I53" s="1100"/>
      <c r="J53" s="1048"/>
      <c r="K53" s="1048"/>
      <c r="L53" s="1048"/>
      <c r="M53" s="2357"/>
      <c r="N53" s="1048"/>
      <c r="O53" s="2357"/>
      <c r="P53" s="2357"/>
      <c r="Q53" s="2357"/>
      <c r="R53" s="2357"/>
      <c r="S53" s="2357"/>
      <c r="T53" s="2357"/>
      <c r="U53" s="1764"/>
    </row>
    <row r="54" spans="2:21" hidden="1" outlineLevel="2">
      <c r="B54" s="1050">
        <v>14</v>
      </c>
      <c r="C54" s="1050" t="str">
        <f t="shared" si="9"/>
        <v>-</v>
      </c>
      <c r="D54" s="1051">
        <f t="shared" si="10"/>
        <v>7</v>
      </c>
      <c r="E54" s="1051" t="str">
        <f>IF(COUNTIF(E$40:E53,F54)&gt;0,"",F54)</f>
        <v/>
      </c>
      <c r="F54" s="1051" t="str">
        <f t="shared" si="11"/>
        <v/>
      </c>
      <c r="G54" s="1055" t="str">
        <f t="shared" si="12"/>
        <v/>
      </c>
      <c r="I54" s="1100"/>
      <c r="J54" s="1032"/>
      <c r="K54" s="1048"/>
      <c r="L54" s="1032"/>
      <c r="M54" s="1033"/>
      <c r="N54" s="1119"/>
      <c r="O54" s="2357"/>
      <c r="P54" s="2357"/>
      <c r="Q54" s="2357"/>
      <c r="R54" s="2357"/>
      <c r="S54" s="2357"/>
      <c r="T54" s="2357"/>
      <c r="U54" s="1764"/>
    </row>
    <row r="55" spans="2:21" hidden="1" outlineLevel="2">
      <c r="B55" s="1050">
        <v>15</v>
      </c>
      <c r="C55" s="1050" t="str">
        <f t="shared" si="9"/>
        <v>-</v>
      </c>
      <c r="D55" s="1051"/>
      <c r="E55" s="1051"/>
      <c r="F55" s="1051"/>
      <c r="G55" s="1055"/>
      <c r="I55" s="1100"/>
      <c r="J55" s="1032"/>
      <c r="K55" s="1048"/>
      <c r="L55" s="1032"/>
      <c r="M55" s="1033"/>
      <c r="N55" s="1119"/>
      <c r="O55" s="2550"/>
      <c r="P55" s="2550"/>
      <c r="Q55" s="2550"/>
      <c r="R55" s="2550"/>
      <c r="S55" s="2550"/>
      <c r="T55" s="2550"/>
      <c r="U55" s="1764"/>
    </row>
    <row r="56" spans="2:21" hidden="1" outlineLevel="2">
      <c r="B56" s="1045"/>
      <c r="C56" s="1045"/>
      <c r="D56" s="1051"/>
      <c r="E56" s="1051"/>
      <c r="F56" s="1051"/>
      <c r="G56" s="1055"/>
      <c r="I56" s="2551" t="s">
        <v>5137</v>
      </c>
      <c r="U56" s="1106"/>
    </row>
    <row r="57" spans="2:21" hidden="1" outlineLevel="2">
      <c r="B57" s="1045"/>
      <c r="C57" s="1045"/>
      <c r="D57" s="1051"/>
      <c r="E57" s="1051"/>
      <c r="F57" s="1051"/>
      <c r="G57" s="1055"/>
      <c r="I57" s="2552" t="s">
        <v>5141</v>
      </c>
      <c r="J57" s="2553" t="s">
        <v>1585</v>
      </c>
      <c r="K57" s="2554" t="s">
        <v>1567</v>
      </c>
      <c r="L57" s="2553" t="s">
        <v>1571</v>
      </c>
      <c r="M57" s="2555">
        <v>0.2</v>
      </c>
      <c r="N57" s="2554"/>
      <c r="O57" s="2556">
        <v>737</v>
      </c>
      <c r="P57" s="2556">
        <v>737</v>
      </c>
      <c r="Q57" s="2556">
        <v>0</v>
      </c>
      <c r="R57" s="2556">
        <v>0</v>
      </c>
      <c r="S57" s="2556">
        <v>0</v>
      </c>
      <c r="T57" s="2556">
        <v>0</v>
      </c>
      <c r="U57" s="2557">
        <v>0</v>
      </c>
    </row>
    <row r="58" spans="2:21" hidden="1" outlineLevel="2">
      <c r="B58" s="1045"/>
      <c r="C58" s="1045"/>
      <c r="D58" s="1051"/>
      <c r="E58" s="1051"/>
      <c r="F58" s="1051"/>
      <c r="G58" s="1055"/>
      <c r="I58" s="2563" t="s">
        <v>5142</v>
      </c>
      <c r="J58" s="2559" t="s">
        <v>1585</v>
      </c>
      <c r="K58" s="2558" t="s">
        <v>1567</v>
      </c>
      <c r="L58" s="2559" t="s">
        <v>1571</v>
      </c>
      <c r="M58" s="2560">
        <v>0.2</v>
      </c>
      <c r="N58" s="2558"/>
      <c r="O58" s="2561">
        <v>120</v>
      </c>
      <c r="P58" s="2561">
        <v>120</v>
      </c>
      <c r="Q58" s="2561">
        <v>0</v>
      </c>
      <c r="R58" s="2561">
        <v>0</v>
      </c>
      <c r="S58" s="2561">
        <v>0</v>
      </c>
      <c r="T58" s="2561">
        <v>0</v>
      </c>
      <c r="U58" s="2562">
        <v>0</v>
      </c>
    </row>
    <row r="59" spans="2:21" hidden="1" outlineLevel="2">
      <c r="B59" s="1045"/>
      <c r="C59" s="1045"/>
      <c r="D59" s="1051"/>
      <c r="E59" s="1051"/>
      <c r="F59" s="1051"/>
      <c r="G59" s="1055"/>
      <c r="I59" s="2563" t="s">
        <v>5143</v>
      </c>
      <c r="J59" s="2559" t="s">
        <v>1585</v>
      </c>
      <c r="K59" s="2558" t="s">
        <v>1567</v>
      </c>
      <c r="L59" s="2559" t="s">
        <v>1571</v>
      </c>
      <c r="M59" s="2560">
        <v>0.2</v>
      </c>
      <c r="N59" s="2558"/>
      <c r="O59" s="2561">
        <v>992</v>
      </c>
      <c r="P59" s="2561">
        <v>992</v>
      </c>
      <c r="Q59" s="2561">
        <v>0</v>
      </c>
      <c r="R59" s="2561">
        <v>0</v>
      </c>
      <c r="S59" s="2561">
        <v>0</v>
      </c>
      <c r="T59" s="2561">
        <v>0</v>
      </c>
      <c r="U59" s="2562">
        <v>0</v>
      </c>
    </row>
    <row r="60" spans="2:21" hidden="1" outlineLevel="2">
      <c r="B60" s="1045"/>
      <c r="C60" s="1045"/>
      <c r="D60" s="1051"/>
      <c r="E60" s="1051"/>
      <c r="F60" s="1051"/>
      <c r="G60" s="1055"/>
      <c r="I60" s="2563" t="s">
        <v>5144</v>
      </c>
      <c r="J60" s="2559" t="s">
        <v>1585</v>
      </c>
      <c r="K60" s="2558" t="s">
        <v>1567</v>
      </c>
      <c r="L60" s="2559" t="s">
        <v>1571</v>
      </c>
      <c r="M60" s="2564">
        <v>0.2</v>
      </c>
      <c r="N60" s="2558"/>
      <c r="O60" s="2561">
        <v>950</v>
      </c>
      <c r="P60" s="2561">
        <v>950</v>
      </c>
      <c r="Q60" s="2561">
        <v>0</v>
      </c>
      <c r="R60" s="2561">
        <v>0</v>
      </c>
      <c r="S60" s="2561">
        <v>0</v>
      </c>
      <c r="T60" s="2561">
        <v>0</v>
      </c>
      <c r="U60" s="2562">
        <v>0</v>
      </c>
    </row>
    <row r="61" spans="2:21" hidden="1" outlineLevel="2">
      <c r="B61" s="1045"/>
      <c r="C61" s="1045"/>
      <c r="D61" s="1051"/>
      <c r="E61" s="1051"/>
      <c r="F61" s="1051"/>
      <c r="G61" s="1055"/>
      <c r="I61" s="2567" t="s">
        <v>5145</v>
      </c>
      <c r="J61" s="2568" t="s">
        <v>1585</v>
      </c>
      <c r="K61" s="2568" t="s">
        <v>1567</v>
      </c>
      <c r="L61" s="2568" t="s">
        <v>1571</v>
      </c>
      <c r="M61" s="2569">
        <v>0.2</v>
      </c>
      <c r="N61" s="2558"/>
      <c r="O61" s="2565">
        <v>43.1</v>
      </c>
      <c r="P61" s="2565">
        <v>33.6</v>
      </c>
      <c r="Q61" s="2565">
        <v>9.48</v>
      </c>
      <c r="R61" s="2565">
        <v>0</v>
      </c>
      <c r="S61" s="2565">
        <v>7.4599999999999996E-3</v>
      </c>
      <c r="T61" s="2565">
        <v>0</v>
      </c>
      <c r="U61" s="2566">
        <v>345</v>
      </c>
    </row>
    <row r="62" spans="2:21" hidden="1" outlineLevel="2">
      <c r="B62" s="1045"/>
      <c r="C62" s="1045"/>
      <c r="D62" s="1051"/>
      <c r="E62" s="1051"/>
      <c r="F62" s="1051"/>
      <c r="G62" s="1055"/>
      <c r="I62" s="2567" t="s">
        <v>5146</v>
      </c>
      <c r="J62" s="2568" t="s">
        <v>1585</v>
      </c>
      <c r="K62" s="2568" t="s">
        <v>1567</v>
      </c>
      <c r="L62" s="2568" t="s">
        <v>1571</v>
      </c>
      <c r="M62" s="2569">
        <v>0.2</v>
      </c>
      <c r="N62" s="2558"/>
      <c r="O62" s="2565">
        <v>46.6</v>
      </c>
      <c r="P62" s="2565">
        <v>36</v>
      </c>
      <c r="Q62" s="2565">
        <v>0</v>
      </c>
      <c r="R62" s="2565">
        <v>0</v>
      </c>
      <c r="S62" s="2565">
        <v>10.6</v>
      </c>
      <c r="T62" s="2565">
        <v>0</v>
      </c>
      <c r="U62" s="2566">
        <v>1390</v>
      </c>
    </row>
    <row r="63" spans="2:21" hidden="1" outlineLevel="2">
      <c r="B63" s="1045"/>
      <c r="C63" s="1045"/>
      <c r="D63" s="1051"/>
      <c r="E63" s="1051"/>
      <c r="F63" s="1051"/>
      <c r="G63" s="1055"/>
      <c r="I63" s="2567" t="s">
        <v>5148</v>
      </c>
      <c r="J63" s="2568" t="s">
        <v>1585</v>
      </c>
      <c r="K63" s="2568" t="s">
        <v>1567</v>
      </c>
      <c r="L63" s="2568" t="s">
        <v>1571</v>
      </c>
      <c r="M63" s="2569">
        <v>0.2</v>
      </c>
      <c r="N63" s="2558"/>
      <c r="O63" s="2565">
        <v>33</v>
      </c>
      <c r="P63" s="2565">
        <v>33</v>
      </c>
      <c r="Q63" s="2565">
        <v>0</v>
      </c>
      <c r="R63" s="2565">
        <v>0</v>
      </c>
      <c r="S63" s="2565">
        <v>0</v>
      </c>
      <c r="T63" s="2565">
        <v>0</v>
      </c>
      <c r="U63" s="2566">
        <v>234</v>
      </c>
    </row>
    <row r="64" spans="2:21" hidden="1" outlineLevel="2">
      <c r="B64" s="1045"/>
      <c r="C64" s="1045"/>
      <c r="D64" s="1051"/>
      <c r="E64" s="1051"/>
      <c r="F64" s="1051"/>
      <c r="G64" s="1055"/>
      <c r="I64" s="2567" t="s">
        <v>5147</v>
      </c>
      <c r="J64" s="2568" t="s">
        <v>1585</v>
      </c>
      <c r="K64" s="2568" t="s">
        <v>1567</v>
      </c>
      <c r="L64" s="2568" t="s">
        <v>1571</v>
      </c>
      <c r="M64" s="2569">
        <v>0.2</v>
      </c>
      <c r="N64" s="2558"/>
      <c r="O64" s="2565">
        <v>1018</v>
      </c>
      <c r="P64" s="2565">
        <v>33</v>
      </c>
      <c r="Q64" s="2565">
        <v>985</v>
      </c>
      <c r="R64" s="2565">
        <v>0</v>
      </c>
      <c r="S64" s="2565">
        <v>0</v>
      </c>
      <c r="T64" s="2565">
        <v>0</v>
      </c>
      <c r="U64" s="2566">
        <v>578</v>
      </c>
    </row>
    <row r="65" spans="2:21" hidden="1" outlineLevel="2">
      <c r="B65" s="1045"/>
      <c r="C65" s="1045"/>
      <c r="D65" s="1051">
        <f>D54+IF(LEN(E65)&gt;0,1,0)</f>
        <v>8</v>
      </c>
      <c r="E65" s="1051" t="str">
        <f>IF(COUNTIF(E$40:E54,F65)&gt;0,"",F65)</f>
        <v>Papier, compost, France continentale, Base Carbone</v>
      </c>
      <c r="F65" s="1051" t="str">
        <f t="shared" si="11"/>
        <v>Papier, compost, France continentale, Base Carbone</v>
      </c>
      <c r="G65" s="1055" t="str">
        <f t="shared" si="12"/>
        <v>Papier, compost, France continentale, Base Carbone; kgCO2e/tonne</v>
      </c>
      <c r="I65" s="2567" t="s">
        <v>5150</v>
      </c>
      <c r="J65" s="2568" t="s">
        <v>1585</v>
      </c>
      <c r="K65" s="2568" t="s">
        <v>1567</v>
      </c>
      <c r="L65" s="2568" t="s">
        <v>1571</v>
      </c>
      <c r="M65" s="2569">
        <v>0.2</v>
      </c>
      <c r="N65" s="2558"/>
      <c r="O65" s="2565">
        <v>86.8</v>
      </c>
      <c r="P65" s="2565">
        <v>36</v>
      </c>
      <c r="Q65" s="2565">
        <v>8.07</v>
      </c>
      <c r="R65" s="2565">
        <v>0</v>
      </c>
      <c r="S65" s="2565">
        <v>42.7</v>
      </c>
      <c r="T65" s="2565">
        <v>0</v>
      </c>
      <c r="U65" s="2566">
        <v>540</v>
      </c>
    </row>
    <row r="66" spans="2:21" ht="13.2" outlineLevel="1">
      <c r="I66" s="1746"/>
      <c r="J66" s="2358"/>
      <c r="K66" s="2358"/>
      <c r="L66" s="2358"/>
      <c r="M66" s="2358"/>
      <c r="N66" s="2358"/>
      <c r="O66" s="2358"/>
      <c r="P66" s="2358"/>
      <c r="Q66" s="2358"/>
      <c r="R66" s="2358"/>
      <c r="S66" s="2358"/>
      <c r="T66" s="2358"/>
      <c r="U66" s="2063"/>
    </row>
    <row r="67" spans="2:21" ht="13.2" outlineLevel="1" collapsed="1">
      <c r="B67" s="3156" t="s">
        <v>4891</v>
      </c>
      <c r="C67" s="3156"/>
      <c r="D67" s="1051">
        <v>0</v>
      </c>
      <c r="E67" s="1051"/>
      <c r="F67" s="1051"/>
      <c r="G67" s="1055"/>
      <c r="I67" s="1746"/>
      <c r="J67" s="2358"/>
      <c r="K67" s="2358"/>
      <c r="L67" s="2358"/>
      <c r="M67" s="2358"/>
      <c r="N67" s="2358"/>
      <c r="O67" s="2358"/>
      <c r="P67" s="2358"/>
      <c r="Q67" s="2358"/>
      <c r="R67" s="2358"/>
      <c r="S67" s="2358"/>
      <c r="T67" s="2358"/>
      <c r="U67" s="2063"/>
    </row>
    <row r="68" spans="2:21" hidden="1" outlineLevel="2">
      <c r="B68" s="1050">
        <v>1</v>
      </c>
      <c r="C68" s="1050" t="str">
        <f>IF(ISNA(VLOOKUP(B68,$D$67:$E$79,2,FALSE)),"-",VLOOKUP(B68,$D$67:$E$79,2,FALSE))</f>
        <v>Acier - Incinération - Impacts, France continentale, Base Carbone</v>
      </c>
      <c r="D68" s="1051">
        <f>D67+IF(LEN(E68)&gt;0,1,0)</f>
        <v>1</v>
      </c>
      <c r="E68" s="1051" t="str">
        <f>IF(COUNTIF(E67:E$67,F68)&gt;0,"",F68)</f>
        <v>Acier - Incinération - Impacts, France continentale, Base Carbone</v>
      </c>
      <c r="F68" s="1051" t="str">
        <f>IF(I68&lt;&gt;"",I68&amp;IF(L68&lt;&gt;"",", "&amp;L68,"")&amp;IF(K68&lt;&gt;"",", "&amp;K68,""),"")</f>
        <v>Acier - Incinération - Impacts, France continentale, Base Carbone</v>
      </c>
      <c r="G68" s="1055" t="str">
        <f>IF(F68&lt;&gt;"",F68&amp;IF(J68&lt;&gt;"","; "&amp;J68&amp;IF(N68&lt;&gt;"",", "&amp;N68,),""),"")</f>
        <v>Acier - Incinération - Impacts, France continentale, Base Carbone; kgCO2e/tonne</v>
      </c>
      <c r="I68" s="2018" t="s">
        <v>4827</v>
      </c>
      <c r="J68" s="1135" t="s">
        <v>1585</v>
      </c>
      <c r="K68" s="1135" t="s">
        <v>1567</v>
      </c>
      <c r="L68" s="1135" t="s">
        <v>1571</v>
      </c>
      <c r="M68" s="2186">
        <v>0.2</v>
      </c>
      <c r="N68" s="1135"/>
      <c r="O68" s="2046">
        <v>135</v>
      </c>
      <c r="P68" s="1980">
        <v>135</v>
      </c>
      <c r="Q68" s="1980">
        <v>0</v>
      </c>
      <c r="R68" s="1980">
        <v>0</v>
      </c>
      <c r="S68" s="1980">
        <v>0</v>
      </c>
      <c r="T68" s="1980">
        <v>0</v>
      </c>
      <c r="U68" s="2036">
        <v>0</v>
      </c>
    </row>
    <row r="69" spans="2:21" hidden="1" outlineLevel="2">
      <c r="B69" s="1050">
        <v>2</v>
      </c>
      <c r="C69" s="1050" t="str">
        <f t="shared" ref="C69:C79" si="13">IF(ISNA(VLOOKUP(B69,$D$67:$E$79,2,FALSE)),"-",VLOOKUP(B69,$D$67:$E$79,2,FALSE))</f>
        <v>Acier - Stockage - Impacts, France continentale, Base Carbone</v>
      </c>
      <c r="D69" s="1051">
        <f t="shared" ref="D69:D79" si="14">D68+IF(LEN(E69)&gt;0,1,0)</f>
        <v>2</v>
      </c>
      <c r="E69" s="1051" t="str">
        <f>IF(COUNTIF(E$67:E68,F69)&gt;0,"",F69)</f>
        <v>Acier - Stockage - Impacts, France continentale, Base Carbone</v>
      </c>
      <c r="F69" s="1051" t="str">
        <f t="shared" ref="F69:F89" si="15">IF(I69&lt;&gt;"",I69&amp;IF(L69&lt;&gt;"",", "&amp;L69,"")&amp;IF(K69&lt;&gt;"",", "&amp;K69,""),"")</f>
        <v>Acier - Stockage - Impacts, France continentale, Base Carbone</v>
      </c>
      <c r="G69" s="1055" t="str">
        <f t="shared" ref="G69:G89" si="16">IF(F69&lt;&gt;"",F69&amp;IF(J69&lt;&gt;"","; "&amp;J69&amp;IF(N69&lt;&gt;"",", "&amp;N69,),""),"")</f>
        <v>Acier - Stockage - Impacts, France continentale, Base Carbone; kgCO2e/tonne</v>
      </c>
      <c r="I69" s="2018" t="s">
        <v>4828</v>
      </c>
      <c r="J69" s="1135" t="s">
        <v>1585</v>
      </c>
      <c r="K69" s="1135" t="s">
        <v>1567</v>
      </c>
      <c r="L69" s="1135" t="s">
        <v>1571</v>
      </c>
      <c r="M69" s="2062">
        <v>0.2</v>
      </c>
      <c r="N69" s="1135"/>
      <c r="O69" s="2046">
        <v>41</v>
      </c>
      <c r="P69" s="1980">
        <v>41</v>
      </c>
      <c r="Q69" s="1980">
        <v>0</v>
      </c>
      <c r="R69" s="1980">
        <v>0</v>
      </c>
      <c r="S69" s="1980">
        <v>0</v>
      </c>
      <c r="T69" s="1980">
        <v>0</v>
      </c>
      <c r="U69" s="2036">
        <v>0</v>
      </c>
    </row>
    <row r="70" spans="2:21" hidden="1" outlineLevel="2">
      <c r="B70" s="1050">
        <v>3</v>
      </c>
      <c r="C70" s="1050" t="str">
        <f t="shared" si="13"/>
        <v>Aluminium - Fin de vie moyenne filière - Impacts, France continentale, Base Carbone</v>
      </c>
      <c r="D70" s="1051">
        <f t="shared" si="14"/>
        <v>3</v>
      </c>
      <c r="E70" s="1051" t="str">
        <f>IF(COUNTIF(E$67:E69,F70)&gt;0,"",F70)</f>
        <v>Aluminium - Fin de vie moyenne filière - Impacts, France continentale, Base Carbone</v>
      </c>
      <c r="F70" s="1051" t="str">
        <f t="shared" si="15"/>
        <v>Aluminium - Fin de vie moyenne filière - Impacts, France continentale, Base Carbone</v>
      </c>
      <c r="G70" s="1055" t="str">
        <f t="shared" si="16"/>
        <v>Aluminium - Fin de vie moyenne filière - Impacts, France continentale, Base Carbone; kgCO2e/tonne</v>
      </c>
      <c r="I70" s="2018" t="s">
        <v>4829</v>
      </c>
      <c r="J70" s="1135" t="s">
        <v>1585</v>
      </c>
      <c r="K70" s="1135" t="s">
        <v>1567</v>
      </c>
      <c r="L70" s="1135" t="s">
        <v>1571</v>
      </c>
      <c r="M70" s="2062">
        <v>0.2</v>
      </c>
      <c r="N70" s="1135"/>
      <c r="O70" s="2046">
        <v>311</v>
      </c>
      <c r="P70" s="1980">
        <v>311</v>
      </c>
      <c r="Q70" s="1980">
        <v>0</v>
      </c>
      <c r="R70" s="1980">
        <v>0</v>
      </c>
      <c r="S70" s="1980">
        <v>0</v>
      </c>
      <c r="T70" s="1980">
        <v>0</v>
      </c>
      <c r="U70" s="2036">
        <v>0</v>
      </c>
    </row>
    <row r="71" spans="2:21" hidden="1" outlineLevel="2">
      <c r="B71" s="1050">
        <v>4</v>
      </c>
      <c r="C71" s="1050" t="str">
        <f t="shared" si="13"/>
        <v>Aluminium - Incinération - Impacts, France continentale, Base Carbone</v>
      </c>
      <c r="D71" s="1051">
        <f t="shared" si="14"/>
        <v>4</v>
      </c>
      <c r="E71" s="1051" t="str">
        <f>IF(COUNTIF(E$67:E70,F71)&gt;0,"",F71)</f>
        <v>Aluminium - Incinération - Impacts, France continentale, Base Carbone</v>
      </c>
      <c r="F71" s="1051" t="str">
        <f t="shared" si="15"/>
        <v>Aluminium - Incinération - Impacts, France continentale, Base Carbone</v>
      </c>
      <c r="G71" s="1055" t="str">
        <f t="shared" si="16"/>
        <v>Aluminium - Incinération - Impacts, France continentale, Base Carbone; kgCO2e/tonne</v>
      </c>
      <c r="I71" s="2018" t="s">
        <v>4830</v>
      </c>
      <c r="J71" s="1135" t="s">
        <v>1585</v>
      </c>
      <c r="K71" s="1135" t="s">
        <v>1567</v>
      </c>
      <c r="L71" s="1135" t="s">
        <v>1571</v>
      </c>
      <c r="M71" s="2062">
        <v>0.2</v>
      </c>
      <c r="N71" s="1135"/>
      <c r="O71" s="2046">
        <v>110</v>
      </c>
      <c r="P71" s="1980">
        <v>110</v>
      </c>
      <c r="Q71" s="1980">
        <v>0</v>
      </c>
      <c r="R71" s="1980">
        <v>0</v>
      </c>
      <c r="S71" s="1980">
        <v>0</v>
      </c>
      <c r="T71" s="1980">
        <v>0</v>
      </c>
      <c r="U71" s="2036">
        <v>0</v>
      </c>
    </row>
    <row r="72" spans="2:21" hidden="1" outlineLevel="2">
      <c r="B72" s="1050">
        <v>5</v>
      </c>
      <c r="C72" s="1050" t="str">
        <f t="shared" si="13"/>
        <v>Aluminium - Recyclage - Impacts, France continentale, Base Carbone</v>
      </c>
      <c r="D72" s="1051">
        <f t="shared" si="14"/>
        <v>5</v>
      </c>
      <c r="E72" s="1051" t="str">
        <f>IF(COUNTIF(E$67:E71,F72)&gt;0,"",F72)</f>
        <v>Aluminium - Recyclage - Impacts, France continentale, Base Carbone</v>
      </c>
      <c r="F72" s="1051" t="str">
        <f t="shared" si="15"/>
        <v>Aluminium - Recyclage - Impacts, France continentale, Base Carbone</v>
      </c>
      <c r="G72" s="1055" t="str">
        <f t="shared" si="16"/>
        <v>Aluminium - Recyclage - Impacts, France continentale, Base Carbone; kgCO2e/tonne</v>
      </c>
      <c r="I72" s="2018" t="s">
        <v>4831</v>
      </c>
      <c r="J72" s="1135" t="s">
        <v>1585</v>
      </c>
      <c r="K72" s="1135" t="s">
        <v>1567</v>
      </c>
      <c r="L72" s="1135" t="s">
        <v>1571</v>
      </c>
      <c r="M72" s="2062">
        <v>0.2</v>
      </c>
      <c r="N72" s="1135"/>
      <c r="O72" s="2046">
        <v>873</v>
      </c>
      <c r="P72" s="1980">
        <v>873</v>
      </c>
      <c r="Q72" s="1980">
        <v>0</v>
      </c>
      <c r="R72" s="1980">
        <v>0</v>
      </c>
      <c r="S72" s="1980">
        <v>0</v>
      </c>
      <c r="T72" s="1980">
        <v>0</v>
      </c>
      <c r="U72" s="2036">
        <v>0</v>
      </c>
    </row>
    <row r="73" spans="2:21" hidden="1" outlineLevel="2">
      <c r="B73" s="1050">
        <v>6</v>
      </c>
      <c r="C73" s="1050" t="str">
        <f t="shared" si="13"/>
        <v>Aluminium - Stockage - Impacts, France continentale, Base Carbone</v>
      </c>
      <c r="D73" s="1051">
        <f t="shared" si="14"/>
        <v>6</v>
      </c>
      <c r="E73" s="1051" t="str">
        <f>IF(COUNTIF(E$67:E72,F73)&gt;0,"",F73)</f>
        <v>Aluminium - Stockage - Impacts, France continentale, Base Carbone</v>
      </c>
      <c r="F73" s="1051" t="str">
        <f t="shared" si="15"/>
        <v>Aluminium - Stockage - Impacts, France continentale, Base Carbone</v>
      </c>
      <c r="G73" s="1055" t="str">
        <f t="shared" si="16"/>
        <v>Aluminium - Stockage - Impacts, France continentale, Base Carbone; kgCO2e/tonne</v>
      </c>
      <c r="I73" s="2018" t="s">
        <v>4832</v>
      </c>
      <c r="J73" s="1135" t="s">
        <v>1585</v>
      </c>
      <c r="K73" s="1135" t="s">
        <v>1567</v>
      </c>
      <c r="L73" s="1135" t="s">
        <v>1571</v>
      </c>
      <c r="M73" s="2062">
        <v>0.2</v>
      </c>
      <c r="N73" s="1135"/>
      <c r="O73" s="2046">
        <v>41</v>
      </c>
      <c r="P73" s="1980">
        <v>41</v>
      </c>
      <c r="Q73" s="1980">
        <v>0</v>
      </c>
      <c r="R73" s="1980">
        <v>0</v>
      </c>
      <c r="S73" s="1980">
        <v>0</v>
      </c>
      <c r="T73" s="1980">
        <v>0</v>
      </c>
      <c r="U73" s="2036">
        <v>0</v>
      </c>
    </row>
    <row r="74" spans="2:21" hidden="1" outlineLevel="2">
      <c r="B74" s="1050">
        <v>7</v>
      </c>
      <c r="C74" s="1050" t="str">
        <f t="shared" si="13"/>
        <v>-</v>
      </c>
      <c r="D74" s="1051">
        <f t="shared" si="14"/>
        <v>6</v>
      </c>
      <c r="E74" s="1051" t="str">
        <f>IF(COUNTIF(E$67:E73,F74)&gt;0,"",F74)</f>
        <v/>
      </c>
      <c r="F74" s="1051" t="str">
        <f t="shared" si="15"/>
        <v/>
      </c>
      <c r="G74" s="1055" t="str">
        <f t="shared" si="16"/>
        <v/>
      </c>
      <c r="I74" s="2018"/>
      <c r="J74" s="1135"/>
      <c r="K74" s="1135"/>
      <c r="L74" s="1135"/>
      <c r="M74" s="2046"/>
      <c r="N74" s="1135"/>
      <c r="O74" s="2046"/>
      <c r="P74" s="2046"/>
      <c r="Q74" s="2046"/>
      <c r="R74" s="2046"/>
      <c r="S74" s="2046"/>
      <c r="T74" s="2046"/>
      <c r="U74" s="2307"/>
    </row>
    <row r="75" spans="2:21" hidden="1" outlineLevel="2">
      <c r="B75" s="1050">
        <v>8</v>
      </c>
      <c r="C75" s="1050" t="str">
        <f t="shared" si="13"/>
        <v>-</v>
      </c>
      <c r="D75" s="1051">
        <f t="shared" si="14"/>
        <v>6</v>
      </c>
      <c r="E75" s="1051" t="str">
        <f>IF(COUNTIF(E$67:E74,F75)&gt;0,"",F75)</f>
        <v/>
      </c>
      <c r="F75" s="1051" t="str">
        <f t="shared" si="15"/>
        <v/>
      </c>
      <c r="G75" s="1055" t="str">
        <f t="shared" si="16"/>
        <v/>
      </c>
      <c r="I75" s="2018"/>
      <c r="J75" s="1135"/>
      <c r="K75" s="1135"/>
      <c r="L75" s="1135"/>
      <c r="M75" s="2046"/>
      <c r="N75" s="1135"/>
      <c r="O75" s="2046"/>
      <c r="P75" s="2046"/>
      <c r="Q75" s="2046"/>
      <c r="R75" s="2046"/>
      <c r="S75" s="2046"/>
      <c r="T75" s="2046"/>
      <c r="U75" s="2307"/>
    </row>
    <row r="76" spans="2:21" hidden="1" outlineLevel="2">
      <c r="B76" s="1050">
        <v>9</v>
      </c>
      <c r="C76" s="1050" t="str">
        <f t="shared" si="13"/>
        <v>-</v>
      </c>
      <c r="D76" s="1051">
        <f t="shared" si="14"/>
        <v>6</v>
      </c>
      <c r="E76" s="1051" t="str">
        <f>IF(COUNTIF(E$67:E75,F76)&gt;0,"",F76)</f>
        <v/>
      </c>
      <c r="F76" s="1051" t="str">
        <f t="shared" si="15"/>
        <v/>
      </c>
      <c r="G76" s="1055" t="str">
        <f t="shared" si="16"/>
        <v/>
      </c>
      <c r="I76" s="2018"/>
      <c r="J76" s="1135"/>
      <c r="K76" s="1135"/>
      <c r="L76" s="1135"/>
      <c r="M76" s="2046"/>
      <c r="N76" s="1135"/>
      <c r="O76" s="2046"/>
      <c r="P76" s="2046"/>
      <c r="Q76" s="2046"/>
      <c r="R76" s="2046"/>
      <c r="S76" s="2046"/>
      <c r="T76" s="2046"/>
      <c r="U76" s="2307"/>
    </row>
    <row r="77" spans="2:21" hidden="1" outlineLevel="2">
      <c r="B77" s="1050">
        <v>10</v>
      </c>
      <c r="C77" s="1050" t="str">
        <f t="shared" si="13"/>
        <v>-</v>
      </c>
      <c r="D77" s="1051">
        <f t="shared" si="14"/>
        <v>6</v>
      </c>
      <c r="E77" s="1051" t="str">
        <f>IF(COUNTIF(E$67:E76,F77)&gt;0,"",F77)</f>
        <v/>
      </c>
      <c r="F77" s="1051" t="str">
        <f t="shared" si="15"/>
        <v/>
      </c>
      <c r="G77" s="1055" t="str">
        <f t="shared" si="16"/>
        <v/>
      </c>
      <c r="I77" s="2018"/>
      <c r="J77" s="1135"/>
      <c r="K77" s="1135"/>
      <c r="L77" s="1135"/>
      <c r="M77" s="2046"/>
      <c r="N77" s="1135"/>
      <c r="O77" s="2046"/>
      <c r="P77" s="2046"/>
      <c r="Q77" s="2046"/>
      <c r="R77" s="2046"/>
      <c r="S77" s="2046"/>
      <c r="T77" s="2046"/>
      <c r="U77" s="2307"/>
    </row>
    <row r="78" spans="2:21" hidden="1" outlineLevel="2">
      <c r="B78" s="1050">
        <v>11</v>
      </c>
      <c r="C78" s="1050" t="str">
        <f t="shared" si="13"/>
        <v>-</v>
      </c>
      <c r="D78" s="1051">
        <f t="shared" si="14"/>
        <v>6</v>
      </c>
      <c r="E78" s="1051" t="str">
        <f>IF(COUNTIF(E$67:E77,F78)&gt;0,"",F78)</f>
        <v/>
      </c>
      <c r="F78" s="1051" t="str">
        <f t="shared" si="15"/>
        <v/>
      </c>
      <c r="G78" s="1055" t="str">
        <f t="shared" si="16"/>
        <v/>
      </c>
      <c r="I78" s="2018"/>
      <c r="J78" s="1135"/>
      <c r="K78" s="1135"/>
      <c r="L78" s="1135"/>
      <c r="M78" s="2046"/>
      <c r="N78" s="1135"/>
      <c r="O78" s="2046"/>
      <c r="P78" s="2046"/>
      <c r="Q78" s="2046"/>
      <c r="R78" s="2046"/>
      <c r="S78" s="2046"/>
      <c r="T78" s="2046"/>
      <c r="U78" s="2307"/>
    </row>
    <row r="79" spans="2:21" hidden="1" outlineLevel="2">
      <c r="B79" s="1050">
        <v>12</v>
      </c>
      <c r="C79" s="1050" t="str">
        <f t="shared" si="13"/>
        <v>-</v>
      </c>
      <c r="D79" s="1051">
        <f t="shared" si="14"/>
        <v>6</v>
      </c>
      <c r="E79" s="1051" t="str">
        <f>IF(COUNTIF(E$67:E78,F79)&gt;0,"",F79)</f>
        <v/>
      </c>
      <c r="F79" s="1051" t="str">
        <f t="shared" si="15"/>
        <v/>
      </c>
      <c r="G79" s="1055" t="str">
        <f t="shared" si="16"/>
        <v/>
      </c>
      <c r="I79" s="2018"/>
      <c r="J79" s="1135"/>
      <c r="K79" s="1135"/>
      <c r="L79" s="1135"/>
      <c r="M79" s="2046"/>
      <c r="N79" s="1135"/>
      <c r="O79" s="2046"/>
      <c r="P79" s="2046"/>
      <c r="Q79" s="2046"/>
      <c r="R79" s="2046"/>
      <c r="S79" s="2046"/>
      <c r="T79" s="2046"/>
      <c r="U79" s="2307"/>
    </row>
    <row r="80" spans="2:21" hidden="1" outlineLevel="2">
      <c r="B80" s="1045"/>
      <c r="C80" s="1045"/>
      <c r="D80" s="1051"/>
      <c r="E80" s="1051"/>
      <c r="F80" s="1051"/>
      <c r="G80" s="1055"/>
      <c r="I80" s="2018"/>
      <c r="J80" s="1135"/>
      <c r="K80" s="1135"/>
      <c r="L80" s="1135"/>
      <c r="M80" s="2046"/>
      <c r="N80" s="1135"/>
      <c r="O80" s="2046"/>
      <c r="P80" s="2046"/>
      <c r="Q80" s="2046"/>
      <c r="R80" s="2046"/>
      <c r="S80" s="2046"/>
      <c r="T80" s="2046"/>
      <c r="U80" s="2307"/>
    </row>
    <row r="81" spans="2:21" hidden="1" outlineLevel="2">
      <c r="B81" s="1045"/>
      <c r="C81" s="1045"/>
      <c r="D81" s="1051"/>
      <c r="E81" s="1051"/>
      <c r="F81" s="1051"/>
      <c r="G81" s="1055"/>
      <c r="I81" s="2551" t="s">
        <v>5137</v>
      </c>
      <c r="U81" s="1106"/>
    </row>
    <row r="82" spans="2:21" hidden="1" outlineLevel="2">
      <c r="B82" s="1045"/>
      <c r="C82" s="1045"/>
      <c r="D82" s="1051"/>
      <c r="E82" s="1051"/>
      <c r="F82" s="1051"/>
      <c r="G82" s="1055"/>
      <c r="I82" s="2552" t="s">
        <v>5151</v>
      </c>
      <c r="J82" s="2553" t="s">
        <v>1585</v>
      </c>
      <c r="K82" s="2554" t="s">
        <v>1567</v>
      </c>
      <c r="L82" s="2553" t="s">
        <v>1571</v>
      </c>
      <c r="M82" s="2555">
        <v>0.2</v>
      </c>
      <c r="N82" s="2554"/>
      <c r="O82" s="2556">
        <f t="shared" ref="O82:U87" si="17">O68</f>
        <v>135</v>
      </c>
      <c r="P82" s="2556">
        <f t="shared" si="17"/>
        <v>135</v>
      </c>
      <c r="Q82" s="2556">
        <f t="shared" si="17"/>
        <v>0</v>
      </c>
      <c r="R82" s="2556">
        <f t="shared" si="17"/>
        <v>0</v>
      </c>
      <c r="S82" s="2556">
        <f t="shared" si="17"/>
        <v>0</v>
      </c>
      <c r="T82" s="2556">
        <f t="shared" si="17"/>
        <v>0</v>
      </c>
      <c r="U82" s="2557">
        <f t="shared" si="17"/>
        <v>0</v>
      </c>
    </row>
    <row r="83" spans="2:21" hidden="1" outlineLevel="2">
      <c r="B83" s="1045"/>
      <c r="C83" s="1045"/>
      <c r="D83" s="1051"/>
      <c r="E83" s="1051"/>
      <c r="F83" s="1051"/>
      <c r="G83" s="1055"/>
      <c r="I83" s="2563" t="s">
        <v>5152</v>
      </c>
      <c r="J83" s="2559" t="s">
        <v>1585</v>
      </c>
      <c r="K83" s="2558" t="s">
        <v>1567</v>
      </c>
      <c r="L83" s="2559" t="s">
        <v>1571</v>
      </c>
      <c r="M83" s="2560">
        <v>0.2</v>
      </c>
      <c r="N83" s="2558"/>
      <c r="O83" s="2561">
        <f t="shared" si="17"/>
        <v>41</v>
      </c>
      <c r="P83" s="2561">
        <f t="shared" si="17"/>
        <v>41</v>
      </c>
      <c r="Q83" s="2561">
        <f t="shared" si="17"/>
        <v>0</v>
      </c>
      <c r="R83" s="2561">
        <f t="shared" si="17"/>
        <v>0</v>
      </c>
      <c r="S83" s="2561">
        <f t="shared" si="17"/>
        <v>0</v>
      </c>
      <c r="T83" s="2561">
        <f t="shared" si="17"/>
        <v>0</v>
      </c>
      <c r="U83" s="2562">
        <f t="shared" si="17"/>
        <v>0</v>
      </c>
    </row>
    <row r="84" spans="2:21" hidden="1" outlineLevel="2">
      <c r="B84" s="1045"/>
      <c r="C84" s="1045"/>
      <c r="D84" s="1051"/>
      <c r="E84" s="1051"/>
      <c r="F84" s="1051"/>
      <c r="G84" s="1055"/>
      <c r="I84" s="2563" t="s">
        <v>5153</v>
      </c>
      <c r="J84" s="2559" t="s">
        <v>1585</v>
      </c>
      <c r="K84" s="2558" t="s">
        <v>1567</v>
      </c>
      <c r="L84" s="2559" t="s">
        <v>1571</v>
      </c>
      <c r="M84" s="2560">
        <v>0.2</v>
      </c>
      <c r="N84" s="2558"/>
      <c r="O84" s="2561">
        <f t="shared" si="17"/>
        <v>311</v>
      </c>
      <c r="P84" s="2561">
        <f t="shared" si="17"/>
        <v>311</v>
      </c>
      <c r="Q84" s="2561">
        <f t="shared" si="17"/>
        <v>0</v>
      </c>
      <c r="R84" s="2561">
        <f t="shared" si="17"/>
        <v>0</v>
      </c>
      <c r="S84" s="2561">
        <f t="shared" si="17"/>
        <v>0</v>
      </c>
      <c r="T84" s="2561">
        <f t="shared" si="17"/>
        <v>0</v>
      </c>
      <c r="U84" s="2562">
        <f t="shared" si="17"/>
        <v>0</v>
      </c>
    </row>
    <row r="85" spans="2:21" hidden="1" outlineLevel="2">
      <c r="B85" s="1045"/>
      <c r="C85" s="1045"/>
      <c r="D85" s="1051"/>
      <c r="E85" s="1051"/>
      <c r="F85" s="1051"/>
      <c r="G85" s="1055"/>
      <c r="I85" s="2563" t="s">
        <v>5154</v>
      </c>
      <c r="J85" s="2559" t="s">
        <v>1585</v>
      </c>
      <c r="K85" s="2558" t="s">
        <v>1567</v>
      </c>
      <c r="L85" s="2559" t="s">
        <v>1571</v>
      </c>
      <c r="M85" s="2564">
        <v>0.2</v>
      </c>
      <c r="N85" s="2558"/>
      <c r="O85" s="2561">
        <f t="shared" si="17"/>
        <v>110</v>
      </c>
      <c r="P85" s="2561">
        <f t="shared" si="17"/>
        <v>110</v>
      </c>
      <c r="Q85" s="2561">
        <f t="shared" si="17"/>
        <v>0</v>
      </c>
      <c r="R85" s="2561">
        <f t="shared" si="17"/>
        <v>0</v>
      </c>
      <c r="S85" s="2561">
        <f t="shared" si="17"/>
        <v>0</v>
      </c>
      <c r="T85" s="2561">
        <f t="shared" si="17"/>
        <v>0</v>
      </c>
      <c r="U85" s="2562">
        <f t="shared" si="17"/>
        <v>0</v>
      </c>
    </row>
    <row r="86" spans="2:21" hidden="1" outlineLevel="2">
      <c r="B86" s="1045"/>
      <c r="C86" s="1045"/>
      <c r="D86" s="1051"/>
      <c r="E86" s="1051"/>
      <c r="F86" s="1051"/>
      <c r="G86" s="1055"/>
      <c r="I86" s="2574" t="s">
        <v>5155</v>
      </c>
      <c r="J86" s="2575" t="s">
        <v>1585</v>
      </c>
      <c r="K86" s="2575" t="s">
        <v>1567</v>
      </c>
      <c r="L86" s="2575" t="s">
        <v>1571</v>
      </c>
      <c r="M86" s="2576">
        <v>0.2</v>
      </c>
      <c r="N86" s="2558"/>
      <c r="O86" s="2577">
        <f t="shared" si="17"/>
        <v>873</v>
      </c>
      <c r="P86" s="2577">
        <f t="shared" si="17"/>
        <v>873</v>
      </c>
      <c r="Q86" s="2577">
        <f t="shared" si="17"/>
        <v>0</v>
      </c>
      <c r="R86" s="2577">
        <f t="shared" si="17"/>
        <v>0</v>
      </c>
      <c r="S86" s="2577">
        <f t="shared" si="17"/>
        <v>0</v>
      </c>
      <c r="T86" s="2577">
        <f t="shared" si="17"/>
        <v>0</v>
      </c>
      <c r="U86" s="2578">
        <f t="shared" si="17"/>
        <v>0</v>
      </c>
    </row>
    <row r="87" spans="2:21" hidden="1" outlineLevel="2">
      <c r="B87" s="1045"/>
      <c r="C87" s="1045"/>
      <c r="D87" s="1051"/>
      <c r="E87" s="1051"/>
      <c r="F87" s="1051"/>
      <c r="G87" s="1055"/>
      <c r="I87" s="2574" t="s">
        <v>5156</v>
      </c>
      <c r="J87" s="2575" t="s">
        <v>1585</v>
      </c>
      <c r="K87" s="2575" t="s">
        <v>1567</v>
      </c>
      <c r="L87" s="2575" t="s">
        <v>1571</v>
      </c>
      <c r="M87" s="2576">
        <v>0.2</v>
      </c>
      <c r="N87" s="2558"/>
      <c r="O87" s="2577">
        <f t="shared" si="17"/>
        <v>41</v>
      </c>
      <c r="P87" s="2577">
        <f t="shared" si="17"/>
        <v>41</v>
      </c>
      <c r="Q87" s="2577">
        <f t="shared" si="17"/>
        <v>0</v>
      </c>
      <c r="R87" s="2577">
        <f t="shared" si="17"/>
        <v>0</v>
      </c>
      <c r="S87" s="2577">
        <f t="shared" si="17"/>
        <v>0</v>
      </c>
      <c r="T87" s="2577">
        <f t="shared" si="17"/>
        <v>0</v>
      </c>
      <c r="U87" s="2578">
        <f t="shared" si="17"/>
        <v>0</v>
      </c>
    </row>
    <row r="88" spans="2:21" hidden="1" outlineLevel="2">
      <c r="B88" s="1045"/>
      <c r="C88" s="1045"/>
      <c r="D88" s="1051"/>
      <c r="E88" s="1051"/>
      <c r="F88" s="1051"/>
      <c r="G88" s="1055"/>
      <c r="I88" s="2567" t="s">
        <v>5157</v>
      </c>
      <c r="J88" s="2568" t="s">
        <v>1585</v>
      </c>
      <c r="K88" s="2568" t="s">
        <v>1567</v>
      </c>
      <c r="L88" s="2568" t="s">
        <v>1571</v>
      </c>
      <c r="M88" s="2569">
        <v>0.5</v>
      </c>
      <c r="N88" s="2558"/>
      <c r="O88" s="2565">
        <v>46.6</v>
      </c>
      <c r="P88" s="2565">
        <v>36</v>
      </c>
      <c r="Q88" s="2565">
        <v>0</v>
      </c>
      <c r="R88" s="2565">
        <v>0</v>
      </c>
      <c r="S88" s="2565">
        <v>10.6</v>
      </c>
      <c r="T88" s="2565">
        <v>0</v>
      </c>
      <c r="U88" s="2566">
        <v>0</v>
      </c>
    </row>
    <row r="89" spans="2:21" hidden="1" outlineLevel="2">
      <c r="B89" s="1045"/>
      <c r="C89" s="1045"/>
      <c r="D89" s="1051">
        <f>D79+IF(LEN(E89)&gt;0,1,0)</f>
        <v>7</v>
      </c>
      <c r="E89" s="1051" t="str">
        <f>IF(COUNTIF(E$67:E79,F89)&gt;0,"",F89)</f>
        <v>Autres métaux - stockage, France continentale, Base Carbone</v>
      </c>
      <c r="F89" s="1051" t="str">
        <f t="shared" si="15"/>
        <v>Autres métaux - stockage, France continentale, Base Carbone</v>
      </c>
      <c r="G89" s="1055" t="str">
        <f t="shared" si="16"/>
        <v>Autres métaux - stockage, France continentale, Base Carbone; kgCO2e/tonne</v>
      </c>
      <c r="I89" s="2567" t="s">
        <v>5158</v>
      </c>
      <c r="J89" s="2568" t="s">
        <v>1585</v>
      </c>
      <c r="K89" s="2568" t="s">
        <v>1567</v>
      </c>
      <c r="L89" s="2568" t="s">
        <v>1571</v>
      </c>
      <c r="M89" s="2569">
        <v>0.5</v>
      </c>
      <c r="N89" s="2558"/>
      <c r="O89" s="2565">
        <v>33</v>
      </c>
      <c r="P89" s="2565">
        <v>33</v>
      </c>
      <c r="Q89" s="2565">
        <v>0</v>
      </c>
      <c r="R89" s="2565">
        <v>0</v>
      </c>
      <c r="S89" s="2565">
        <v>0</v>
      </c>
      <c r="T89" s="2565">
        <v>0</v>
      </c>
      <c r="U89" s="2566">
        <v>0</v>
      </c>
    </row>
    <row r="90" spans="2:21" ht="13.2" outlineLevel="1">
      <c r="I90" s="1746"/>
      <c r="J90" s="2358"/>
      <c r="K90" s="2358"/>
      <c r="L90" s="2358"/>
      <c r="M90" s="2358"/>
      <c r="N90" s="2358"/>
      <c r="O90" s="2358"/>
      <c r="P90" s="2358"/>
      <c r="Q90" s="2358"/>
      <c r="R90" s="2358"/>
      <c r="S90" s="2358"/>
      <c r="T90" s="2358"/>
      <c r="U90" s="2063"/>
    </row>
    <row r="91" spans="2:21" ht="13.2" outlineLevel="1" collapsed="1">
      <c r="B91" s="3156" t="s">
        <v>4892</v>
      </c>
      <c r="C91" s="3156"/>
      <c r="D91" s="1051">
        <v>0</v>
      </c>
      <c r="E91" s="1051"/>
      <c r="F91" s="1051"/>
      <c r="G91" s="1055"/>
      <c r="I91" s="1746"/>
      <c r="J91" s="2358"/>
      <c r="K91" s="2358"/>
      <c r="L91" s="2358"/>
      <c r="M91" s="2358"/>
      <c r="N91" s="2358"/>
      <c r="O91" s="2358"/>
      <c r="P91" s="2358"/>
      <c r="Q91" s="2358"/>
      <c r="R91" s="2358"/>
      <c r="S91" s="2358"/>
      <c r="T91" s="2358"/>
      <c r="U91" s="2063"/>
    </row>
    <row r="92" spans="2:21" hidden="1" outlineLevel="2">
      <c r="B92" s="1050">
        <v>1</v>
      </c>
      <c r="C92" s="1050" t="str">
        <f>IF(ISNA(VLOOKUP(B92,$D$91:$E$104,2,FALSE)),"-",VLOOKUP(B92,$D$91:$E$104,2,FALSE))</f>
        <v>Verre - Fin de vie moyenne filière - Impacts, France continentale, Base Carbone</v>
      </c>
      <c r="D92" s="1051">
        <f>D91+IF(LEN(E92)&gt;0,1,0)</f>
        <v>1</v>
      </c>
      <c r="E92" s="1051" t="str">
        <f>IF(COUNTIF(E91:E$91,F92)&gt;0,"",F92)</f>
        <v>Verre - Fin de vie moyenne filière - Impacts, France continentale, Base Carbone</v>
      </c>
      <c r="F92" s="1051" t="str">
        <f>IF(I92&lt;&gt;"",I92&amp;IF(L92&lt;&gt;"",", "&amp;L92,"")&amp;IF(K92&lt;&gt;"",", "&amp;K92,""),"")</f>
        <v>Verre - Fin de vie moyenne filière - Impacts, France continentale, Base Carbone</v>
      </c>
      <c r="G92" s="1055" t="str">
        <f>IF(F92&lt;&gt;"",F92&amp;IF(J92&lt;&gt;"","; "&amp;J92&amp;IF(N92&lt;&gt;"",", "&amp;N92,),""),"")</f>
        <v>Verre - Fin de vie moyenne filière - Impacts, France continentale, Base Carbone; kgCO2e/tonne</v>
      </c>
      <c r="I92" s="2018" t="s">
        <v>4833</v>
      </c>
      <c r="J92" s="1135" t="s">
        <v>1585</v>
      </c>
      <c r="K92" s="1135" t="s">
        <v>1567</v>
      </c>
      <c r="L92" s="1135" t="s">
        <v>1571</v>
      </c>
      <c r="M92" s="2062">
        <v>0.2</v>
      </c>
      <c r="N92" s="1135"/>
      <c r="O92" s="2046">
        <v>496</v>
      </c>
      <c r="P92" s="1980">
        <v>496</v>
      </c>
      <c r="Q92" s="1980">
        <v>0</v>
      </c>
      <c r="R92" s="1980">
        <v>0</v>
      </c>
      <c r="S92" s="1980">
        <v>0</v>
      </c>
      <c r="T92" s="1980">
        <v>0</v>
      </c>
      <c r="U92" s="2036">
        <v>0</v>
      </c>
    </row>
    <row r="93" spans="2:21" hidden="1" outlineLevel="2">
      <c r="B93" s="1050">
        <v>2</v>
      </c>
      <c r="C93" s="1050" t="str">
        <f t="shared" ref="C93:C101" si="18">IF(ISNA(VLOOKUP(B93,$D$91:$E$104,2,FALSE)),"-",VLOOKUP(B93,$D$91:$E$104,2,FALSE))</f>
        <v>Verre - Incinération - Impacts, France continentale, Base Carbone</v>
      </c>
      <c r="D93" s="1051">
        <f t="shared" ref="D93:D110" si="19">D92+IF(LEN(E93)&gt;0,1,0)</f>
        <v>2</v>
      </c>
      <c r="E93" s="1051" t="str">
        <f>IF(COUNTIF(E$91:E92,F93)&gt;0,"",F93)</f>
        <v>Verre - Incinération - Impacts, France continentale, Base Carbone</v>
      </c>
      <c r="F93" s="1051" t="str">
        <f t="shared" ref="F93:F110" si="20">IF(I93&lt;&gt;"",I93&amp;IF(L93&lt;&gt;"",", "&amp;L93,"")&amp;IF(K93&lt;&gt;"",", "&amp;K93,""),"")</f>
        <v>Verre - Incinération - Impacts, France continentale, Base Carbone</v>
      </c>
      <c r="G93" s="1055" t="str">
        <f t="shared" ref="G93:G110" si="21">IF(F93&lt;&gt;"",F93&amp;IF(J93&lt;&gt;"","; "&amp;J93&amp;IF(N93&lt;&gt;"",", "&amp;N93,),""),"")</f>
        <v>Verre - Incinération - Impacts, France continentale, Base Carbone; kgCO2e/tonne</v>
      </c>
      <c r="I93" s="2018" t="s">
        <v>4834</v>
      </c>
      <c r="J93" s="1135" t="s">
        <v>1585</v>
      </c>
      <c r="K93" s="1135" t="s">
        <v>1567</v>
      </c>
      <c r="L93" s="1135" t="s">
        <v>1571</v>
      </c>
      <c r="M93" s="2062">
        <v>0.2</v>
      </c>
      <c r="N93" s="1135"/>
      <c r="O93" s="2046">
        <v>130</v>
      </c>
      <c r="P93" s="1980">
        <v>130</v>
      </c>
      <c r="Q93" s="1980">
        <v>0</v>
      </c>
      <c r="R93" s="1980">
        <v>0</v>
      </c>
      <c r="S93" s="1980">
        <v>0</v>
      </c>
      <c r="T93" s="1980">
        <v>0</v>
      </c>
      <c r="U93" s="2036">
        <v>0</v>
      </c>
    </row>
    <row r="94" spans="2:21" hidden="1" outlineLevel="2">
      <c r="B94" s="1050">
        <v>3</v>
      </c>
      <c r="C94" s="1050" t="str">
        <f t="shared" si="18"/>
        <v>Verre - Recyclage - Impacts, France continentale, Base Carbone</v>
      </c>
      <c r="D94" s="1051">
        <f t="shared" si="19"/>
        <v>3</v>
      </c>
      <c r="E94" s="1051" t="str">
        <f>IF(COUNTIF(E$91:E93,F94)&gt;0,"",F94)</f>
        <v>Verre - Recyclage - Impacts, France continentale, Base Carbone</v>
      </c>
      <c r="F94" s="1051" t="str">
        <f t="shared" si="20"/>
        <v>Verre - Recyclage - Impacts, France continentale, Base Carbone</v>
      </c>
      <c r="G94" s="1055" t="str">
        <f t="shared" si="21"/>
        <v>Verre - Recyclage - Impacts, France continentale, Base Carbone; kgCO2e/tonne</v>
      </c>
      <c r="I94" s="2018" t="s">
        <v>4835</v>
      </c>
      <c r="J94" s="1135" t="s">
        <v>1585</v>
      </c>
      <c r="K94" s="1135" t="s">
        <v>1567</v>
      </c>
      <c r="L94" s="1135" t="s">
        <v>1571</v>
      </c>
      <c r="M94" s="2062">
        <v>0.2</v>
      </c>
      <c r="N94" s="1135"/>
      <c r="O94" s="2046">
        <v>639</v>
      </c>
      <c r="P94" s="1980">
        <v>639</v>
      </c>
      <c r="Q94" s="1980">
        <v>0</v>
      </c>
      <c r="R94" s="1980">
        <v>0</v>
      </c>
      <c r="S94" s="1980">
        <v>0</v>
      </c>
      <c r="T94" s="1980">
        <v>0</v>
      </c>
      <c r="U94" s="2036">
        <v>0</v>
      </c>
    </row>
    <row r="95" spans="2:21" hidden="1" outlineLevel="2">
      <c r="B95" s="1050">
        <v>4</v>
      </c>
      <c r="C95" s="1050" t="str">
        <f t="shared" si="18"/>
        <v>Verre - Stockage - Impacts, France continentale, Base Carbone</v>
      </c>
      <c r="D95" s="1051">
        <f t="shared" si="19"/>
        <v>4</v>
      </c>
      <c r="E95" s="1051" t="str">
        <f>IF(COUNTIF(E$91:E94,F95)&gt;0,"",F95)</f>
        <v>Verre - Stockage - Impacts, France continentale, Base Carbone</v>
      </c>
      <c r="F95" s="1051" t="str">
        <f t="shared" si="20"/>
        <v>Verre - Stockage - Impacts, France continentale, Base Carbone</v>
      </c>
      <c r="G95" s="1055" t="str">
        <f t="shared" si="21"/>
        <v>Verre - Stockage - Impacts, France continentale, Base Carbone; kgCO2e/tonne</v>
      </c>
      <c r="I95" s="2018" t="s">
        <v>4836</v>
      </c>
      <c r="J95" s="1135" t="s">
        <v>1585</v>
      </c>
      <c r="K95" s="1135" t="s">
        <v>1567</v>
      </c>
      <c r="L95" s="1135" t="s">
        <v>1571</v>
      </c>
      <c r="M95" s="2062">
        <v>0.2</v>
      </c>
      <c r="N95" s="1135"/>
      <c r="O95" s="2046">
        <v>41</v>
      </c>
      <c r="P95" s="1980">
        <v>41</v>
      </c>
      <c r="Q95" s="1980">
        <v>0</v>
      </c>
      <c r="R95" s="1980">
        <v>0</v>
      </c>
      <c r="S95" s="1980">
        <v>0</v>
      </c>
      <c r="T95" s="1980">
        <v>0</v>
      </c>
      <c r="U95" s="2036">
        <v>0</v>
      </c>
    </row>
    <row r="96" spans="2:21" hidden="1" outlineLevel="2">
      <c r="B96" s="1050">
        <v>5</v>
      </c>
      <c r="C96" s="1050" t="str">
        <f t="shared" si="18"/>
        <v>-</v>
      </c>
      <c r="D96" s="1051">
        <f t="shared" si="19"/>
        <v>4</v>
      </c>
      <c r="E96" s="1051" t="str">
        <f>IF(COUNTIF(E$91:E95,F96)&gt;0,"",F96)</f>
        <v/>
      </c>
      <c r="F96" s="1051" t="str">
        <f t="shared" si="20"/>
        <v/>
      </c>
      <c r="G96" s="1055" t="str">
        <f t="shared" si="21"/>
        <v/>
      </c>
      <c r="I96" s="2018"/>
      <c r="J96" s="1135"/>
      <c r="K96" s="1135"/>
      <c r="L96" s="1135"/>
      <c r="M96" s="2046"/>
      <c r="N96" s="1135"/>
      <c r="O96" s="2046"/>
      <c r="P96" s="2046"/>
      <c r="Q96" s="2046"/>
      <c r="R96" s="2046"/>
      <c r="S96" s="2046"/>
      <c r="T96" s="2046"/>
      <c r="U96" s="2307"/>
    </row>
    <row r="97" spans="2:21" hidden="1" outlineLevel="2">
      <c r="B97" s="1050">
        <v>6</v>
      </c>
      <c r="C97" s="1050" t="str">
        <f t="shared" si="18"/>
        <v>-</v>
      </c>
      <c r="D97" s="1051">
        <f t="shared" si="19"/>
        <v>4</v>
      </c>
      <c r="E97" s="1051" t="str">
        <f>IF(COUNTIF(E$91:E96,F97)&gt;0,"",F97)</f>
        <v/>
      </c>
      <c r="F97" s="1051" t="str">
        <f t="shared" si="20"/>
        <v/>
      </c>
      <c r="G97" s="1055" t="str">
        <f t="shared" si="21"/>
        <v/>
      </c>
      <c r="I97" s="2018"/>
      <c r="J97" s="1135"/>
      <c r="K97" s="1135"/>
      <c r="L97" s="1135"/>
      <c r="M97" s="2046"/>
      <c r="N97" s="1135"/>
      <c r="O97" s="2046"/>
      <c r="P97" s="2046"/>
      <c r="Q97" s="2046"/>
      <c r="R97" s="2046"/>
      <c r="S97" s="2046"/>
      <c r="T97" s="2046"/>
      <c r="U97" s="2307"/>
    </row>
    <row r="98" spans="2:21" hidden="1" outlineLevel="2">
      <c r="B98" s="1050">
        <v>7</v>
      </c>
      <c r="C98" s="1050" t="str">
        <f t="shared" si="18"/>
        <v>-</v>
      </c>
      <c r="D98" s="1051">
        <f t="shared" si="19"/>
        <v>4</v>
      </c>
      <c r="E98" s="1051" t="str">
        <f>IF(COUNTIF(E$91:E97,F98)&gt;0,"",F98)</f>
        <v/>
      </c>
      <c r="F98" s="1051" t="str">
        <f t="shared" si="20"/>
        <v/>
      </c>
      <c r="G98" s="1055" t="str">
        <f t="shared" si="21"/>
        <v/>
      </c>
      <c r="I98" s="2018"/>
      <c r="J98" s="1135"/>
      <c r="K98" s="1135"/>
      <c r="L98" s="1135"/>
      <c r="M98" s="2046"/>
      <c r="N98" s="1135"/>
      <c r="O98" s="2046"/>
      <c r="P98" s="2046"/>
      <c r="Q98" s="2046"/>
      <c r="R98" s="2046"/>
      <c r="S98" s="2046"/>
      <c r="T98" s="2046"/>
      <c r="U98" s="2307"/>
    </row>
    <row r="99" spans="2:21" hidden="1" outlineLevel="2">
      <c r="B99" s="1050">
        <v>8</v>
      </c>
      <c r="C99" s="1050" t="str">
        <f t="shared" si="18"/>
        <v>-</v>
      </c>
      <c r="D99" s="1051">
        <f t="shared" si="19"/>
        <v>4</v>
      </c>
      <c r="E99" s="1051" t="str">
        <f>IF(COUNTIF(E$91:E98,F99)&gt;0,"",F99)</f>
        <v/>
      </c>
      <c r="F99" s="1051" t="str">
        <f t="shared" si="20"/>
        <v/>
      </c>
      <c r="G99" s="1055" t="str">
        <f t="shared" si="21"/>
        <v/>
      </c>
      <c r="I99" s="2018"/>
      <c r="J99" s="1135"/>
      <c r="K99" s="1135"/>
      <c r="L99" s="1135"/>
      <c r="M99" s="2046"/>
      <c r="N99" s="1135"/>
      <c r="O99" s="2046"/>
      <c r="P99" s="2046"/>
      <c r="Q99" s="2046"/>
      <c r="R99" s="2046"/>
      <c r="S99" s="2046"/>
      <c r="T99" s="2046"/>
      <c r="U99" s="2307"/>
    </row>
    <row r="100" spans="2:21" hidden="1" outlineLevel="2">
      <c r="B100" s="1050">
        <v>9</v>
      </c>
      <c r="C100" s="1050" t="str">
        <f t="shared" si="18"/>
        <v>-</v>
      </c>
      <c r="D100" s="1051">
        <f t="shared" si="19"/>
        <v>4</v>
      </c>
      <c r="E100" s="1051" t="str">
        <f>IF(COUNTIF(E$91:E99,F100)&gt;0,"",F100)</f>
        <v/>
      </c>
      <c r="F100" s="1051" t="str">
        <f t="shared" si="20"/>
        <v/>
      </c>
      <c r="G100" s="1055" t="str">
        <f t="shared" si="21"/>
        <v/>
      </c>
      <c r="I100" s="2018"/>
      <c r="J100" s="1135"/>
      <c r="K100" s="1135"/>
      <c r="L100" s="1135"/>
      <c r="M100" s="2046"/>
      <c r="N100" s="1135"/>
      <c r="O100" s="2046"/>
      <c r="P100" s="2046"/>
      <c r="Q100" s="2046"/>
      <c r="R100" s="2046"/>
      <c r="S100" s="2046"/>
      <c r="T100" s="2046"/>
      <c r="U100" s="2307"/>
    </row>
    <row r="101" spans="2:21" hidden="1" outlineLevel="2">
      <c r="B101" s="1050">
        <v>10</v>
      </c>
      <c r="C101" s="1050" t="str">
        <f t="shared" si="18"/>
        <v>-</v>
      </c>
      <c r="D101" s="1051">
        <f t="shared" si="19"/>
        <v>4</v>
      </c>
      <c r="E101" s="1051" t="str">
        <f>IF(COUNTIF(E$91:E100,F101)&gt;0,"",F101)</f>
        <v/>
      </c>
      <c r="F101" s="1051" t="str">
        <f t="shared" si="20"/>
        <v/>
      </c>
      <c r="G101" s="1055" t="str">
        <f t="shared" si="21"/>
        <v/>
      </c>
      <c r="I101" s="2018"/>
      <c r="J101" s="1135"/>
      <c r="K101" s="1135"/>
      <c r="L101" s="1135"/>
      <c r="M101" s="2046"/>
      <c r="N101" s="1135"/>
      <c r="O101" s="2046"/>
      <c r="P101" s="2046"/>
      <c r="Q101" s="2046"/>
      <c r="R101" s="2046"/>
      <c r="S101" s="2046"/>
      <c r="T101" s="2046"/>
      <c r="U101" s="2307"/>
    </row>
    <row r="102" spans="2:21" hidden="1" outlineLevel="2">
      <c r="B102" s="1045"/>
      <c r="C102" s="1045"/>
      <c r="D102" s="1051">
        <f t="shared" si="19"/>
        <v>4</v>
      </c>
      <c r="E102" s="1051" t="str">
        <f>IF(COUNTIF(E$91:E101,F102)&gt;0,"",F102)</f>
        <v/>
      </c>
      <c r="F102" s="1051" t="str">
        <f t="shared" si="20"/>
        <v/>
      </c>
      <c r="G102" s="1055" t="str">
        <f t="shared" si="21"/>
        <v/>
      </c>
      <c r="I102" s="2018"/>
      <c r="J102" s="1135"/>
      <c r="K102" s="1135"/>
      <c r="L102" s="1135"/>
      <c r="M102" s="2046"/>
      <c r="N102" s="1135"/>
      <c r="O102" s="2046"/>
      <c r="P102" s="2046"/>
      <c r="Q102" s="2046"/>
      <c r="R102" s="2046"/>
      <c r="S102" s="2046"/>
      <c r="T102" s="2046"/>
      <c r="U102" s="2307"/>
    </row>
    <row r="103" spans="2:21" hidden="1" outlineLevel="2">
      <c r="B103" s="1045"/>
      <c r="C103" s="1045"/>
      <c r="D103" s="1051"/>
      <c r="E103" s="1051"/>
      <c r="F103" s="1051"/>
      <c r="G103" s="1055"/>
      <c r="I103" s="2018"/>
      <c r="J103" s="1135"/>
      <c r="K103" s="1135"/>
      <c r="L103" s="1135"/>
      <c r="M103" s="2046"/>
      <c r="N103" s="1135"/>
      <c r="O103" s="2046"/>
      <c r="P103" s="2046"/>
      <c r="Q103" s="2046"/>
      <c r="R103" s="2046"/>
      <c r="S103" s="2046"/>
      <c r="T103" s="2046"/>
      <c r="U103" s="2307"/>
    </row>
    <row r="104" spans="2:21" hidden="1" outlineLevel="2">
      <c r="B104" s="1045"/>
      <c r="C104" s="1045"/>
      <c r="D104" s="1051"/>
      <c r="E104" s="1051"/>
      <c r="F104" s="1051"/>
      <c r="G104" s="1055"/>
      <c r="I104" s="2018"/>
      <c r="J104" s="1135"/>
      <c r="K104" s="1135"/>
      <c r="L104" s="1135"/>
      <c r="M104" s="2046"/>
      <c r="N104" s="1135"/>
      <c r="O104" s="2046"/>
      <c r="P104" s="2046"/>
      <c r="Q104" s="2046"/>
      <c r="R104" s="2046"/>
      <c r="S104" s="2046"/>
      <c r="T104" s="2046"/>
      <c r="U104" s="2307"/>
    </row>
    <row r="105" spans="2:21" hidden="1" outlineLevel="2">
      <c r="B105" s="1045"/>
      <c r="C105" s="1045"/>
      <c r="D105" s="1051"/>
      <c r="E105" s="1051"/>
      <c r="F105" s="1051"/>
      <c r="G105" s="1055"/>
      <c r="I105" s="2551" t="s">
        <v>5137</v>
      </c>
      <c r="U105" s="1106"/>
    </row>
    <row r="106" spans="2:21" hidden="1" outlineLevel="2">
      <c r="B106" s="1045"/>
      <c r="C106" s="1045"/>
      <c r="D106" s="1051"/>
      <c r="E106" s="1051"/>
      <c r="F106" s="1051"/>
      <c r="G106" s="1055"/>
      <c r="I106" s="2552" t="s">
        <v>5138</v>
      </c>
      <c r="J106" s="2553" t="s">
        <v>1585</v>
      </c>
      <c r="K106" s="2554" t="s">
        <v>1567</v>
      </c>
      <c r="L106" s="2553" t="s">
        <v>1571</v>
      </c>
      <c r="M106" s="2555">
        <v>0.2</v>
      </c>
      <c r="N106" s="2554"/>
      <c r="O106" s="2556">
        <v>496</v>
      </c>
      <c r="P106" s="2556">
        <v>496</v>
      </c>
      <c r="Q106" s="2556">
        <v>0</v>
      </c>
      <c r="R106" s="2556">
        <v>0</v>
      </c>
      <c r="S106" s="2556">
        <v>0</v>
      </c>
      <c r="T106" s="2556">
        <v>0</v>
      </c>
      <c r="U106" s="2557">
        <v>0</v>
      </c>
    </row>
    <row r="107" spans="2:21" hidden="1" outlineLevel="2">
      <c r="B107" s="1045"/>
      <c r="C107" s="1045"/>
      <c r="D107" s="1051"/>
      <c r="E107" s="1051"/>
      <c r="F107" s="1051"/>
      <c r="G107" s="1055"/>
      <c r="I107" s="2563" t="s">
        <v>2369</v>
      </c>
      <c r="J107" s="2559" t="s">
        <v>1585</v>
      </c>
      <c r="K107" s="2558" t="s">
        <v>1567</v>
      </c>
      <c r="L107" s="2559" t="s">
        <v>1571</v>
      </c>
      <c r="M107" s="2560">
        <v>0.2</v>
      </c>
      <c r="N107" s="2558"/>
      <c r="O107" s="2561">
        <v>130</v>
      </c>
      <c r="P107" s="2561">
        <v>130</v>
      </c>
      <c r="Q107" s="2561">
        <v>0</v>
      </c>
      <c r="R107" s="2561">
        <v>0</v>
      </c>
      <c r="S107" s="2561">
        <v>0</v>
      </c>
      <c r="T107" s="2561">
        <v>0</v>
      </c>
      <c r="U107" s="2562">
        <v>0</v>
      </c>
    </row>
    <row r="108" spans="2:21" hidden="1" outlineLevel="2">
      <c r="B108" s="1045"/>
      <c r="C108" s="1045"/>
      <c r="D108" s="1051"/>
      <c r="E108" s="1051"/>
      <c r="F108" s="1051"/>
      <c r="G108" s="1055"/>
      <c r="I108" s="2563" t="s">
        <v>5139</v>
      </c>
      <c r="J108" s="2559" t="s">
        <v>1585</v>
      </c>
      <c r="K108" s="2558" t="s">
        <v>1567</v>
      </c>
      <c r="L108" s="2559" t="s">
        <v>1571</v>
      </c>
      <c r="M108" s="2560">
        <v>0.2</v>
      </c>
      <c r="N108" s="2558"/>
      <c r="O108" s="2561">
        <v>639</v>
      </c>
      <c r="P108" s="2561">
        <v>639</v>
      </c>
      <c r="Q108" s="2561">
        <v>0</v>
      </c>
      <c r="R108" s="2561">
        <v>0</v>
      </c>
      <c r="S108" s="2561">
        <v>0</v>
      </c>
      <c r="T108" s="2561">
        <v>0</v>
      </c>
      <c r="U108" s="2562">
        <v>0</v>
      </c>
    </row>
    <row r="109" spans="2:21" hidden="1" outlineLevel="2">
      <c r="B109" s="1045"/>
      <c r="C109" s="1045"/>
      <c r="D109" s="1051">
        <f>D102+IF(LEN(E109)&gt;0,1,0)</f>
        <v>5</v>
      </c>
      <c r="E109" s="1051" t="str">
        <f>IF(COUNTIF(E$91:E102,F109)&gt;0,"",F109)</f>
        <v>stockage, France continentale, Base Carbone</v>
      </c>
      <c r="F109" s="1051" t="str">
        <f t="shared" si="20"/>
        <v>stockage, France continentale, Base Carbone</v>
      </c>
      <c r="G109" s="1055" t="str">
        <f t="shared" si="21"/>
        <v>stockage, France continentale, Base Carbone; kgCO2e/tonne</v>
      </c>
      <c r="I109" s="2563" t="s">
        <v>5140</v>
      </c>
      <c r="J109" s="2559" t="s">
        <v>1585</v>
      </c>
      <c r="K109" s="2558" t="s">
        <v>1567</v>
      </c>
      <c r="L109" s="2559" t="s">
        <v>1571</v>
      </c>
      <c r="M109" s="2564">
        <v>0.2</v>
      </c>
      <c r="N109" s="2558"/>
      <c r="O109" s="2561">
        <v>41</v>
      </c>
      <c r="P109" s="2561">
        <v>41</v>
      </c>
      <c r="Q109" s="2561">
        <v>0</v>
      </c>
      <c r="R109" s="2561">
        <v>0</v>
      </c>
      <c r="S109" s="2561">
        <v>0</v>
      </c>
      <c r="T109" s="2561">
        <v>0</v>
      </c>
      <c r="U109" s="2562">
        <v>0</v>
      </c>
    </row>
    <row r="110" spans="2:21" hidden="1" outlineLevel="2">
      <c r="B110" s="1045"/>
      <c r="C110" s="1045"/>
      <c r="D110" s="1051">
        <f t="shared" si="19"/>
        <v>5</v>
      </c>
      <c r="E110" s="1051" t="str">
        <f>IF(COUNTIF(E$91:E109,F110)&gt;0,"",F110)</f>
        <v/>
      </c>
      <c r="F110" s="1051" t="str">
        <f t="shared" si="20"/>
        <v/>
      </c>
      <c r="G110" s="1055" t="str">
        <f t="shared" si="21"/>
        <v/>
      </c>
      <c r="I110" s="2563"/>
      <c r="J110" s="2558"/>
      <c r="K110" s="2558"/>
      <c r="L110" s="2558"/>
      <c r="M110" s="2561"/>
      <c r="N110" s="2558"/>
      <c r="O110" s="2561"/>
      <c r="P110" s="2561"/>
      <c r="Q110" s="2561"/>
      <c r="R110" s="2561"/>
      <c r="S110" s="2561"/>
      <c r="T110" s="2561"/>
      <c r="U110" s="2562"/>
    </row>
    <row r="111" spans="2:21" ht="13.2" outlineLevel="1">
      <c r="I111" s="1746"/>
      <c r="J111" s="2358"/>
      <c r="K111" s="2358"/>
      <c r="L111" s="2358"/>
      <c r="M111" s="2358"/>
      <c r="N111" s="2358"/>
      <c r="O111" s="2358"/>
      <c r="P111" s="2358"/>
      <c r="Q111" s="2358"/>
      <c r="R111" s="2358"/>
      <c r="S111" s="2358"/>
      <c r="T111" s="2358"/>
      <c r="U111" s="2063"/>
    </row>
    <row r="112" spans="2:21" ht="13.2" outlineLevel="1">
      <c r="B112" s="3156" t="s">
        <v>4893</v>
      </c>
      <c r="C112" s="3156"/>
      <c r="D112" s="1051">
        <v>0</v>
      </c>
      <c r="E112" s="1051"/>
      <c r="F112" s="1051"/>
      <c r="G112" s="1055"/>
      <c r="I112" s="1746"/>
      <c r="J112" s="2358"/>
      <c r="K112" s="2358"/>
      <c r="L112" s="2358"/>
      <c r="M112" s="2358"/>
      <c r="N112" s="2358"/>
      <c r="O112" s="2358"/>
      <c r="P112" s="2358"/>
      <c r="Q112" s="2358"/>
      <c r="R112" s="2358"/>
      <c r="S112" s="2358"/>
      <c r="T112" s="2358"/>
      <c r="U112" s="2063"/>
    </row>
    <row r="113" spans="2:21" outlineLevel="2">
      <c r="B113" s="1050">
        <v>1</v>
      </c>
      <c r="C113" s="1050" t="str">
        <f>IF(ISNA(VLOOKUP(B113,$D$112:$E$169,2,FALSE)),"-",VLOOKUP(B113,$D$112:$E$169,2,FALSE))</f>
        <v>Autres plastiques et plastiques complexes - Fin de vie moyenne filière - Impacts, France continentale, Base Carbone</v>
      </c>
      <c r="D113" s="1051">
        <f>D112+IF(LEN(E113)&gt;0,1,0)</f>
        <v>1</v>
      </c>
      <c r="E113" s="1051" t="str">
        <f>IF(COUNTIF(E112:E$112,F113)&gt;0,"",F113)</f>
        <v>Autres plastiques et plastiques complexes - Fin de vie moyenne filière - Impacts, France continentale, Base Carbone</v>
      </c>
      <c r="F113" s="1051" t="str">
        <f>IF(I113&lt;&gt;"",I113&amp;IF(L113&lt;&gt;"",", "&amp;L113,"")&amp;IF(K113&lt;&gt;"",", "&amp;K113,""),"")</f>
        <v>Autres plastiques et plastiques complexes - Fin de vie moyenne filière - Impacts, France continentale, Base Carbone</v>
      </c>
      <c r="G113" s="1055" t="str">
        <f>IF(F113&lt;&gt;"",F113&amp;IF(J113&lt;&gt;"","; "&amp;J113&amp;IF(N113&lt;&gt;"",", "&amp;N113,),""),"")</f>
        <v>Autres plastiques et plastiques complexes - Fin de vie moyenne filière - Impacts, France continentale, Base Carbone; kgCO2e/tonne</v>
      </c>
      <c r="I113" s="2018" t="s">
        <v>4838</v>
      </c>
      <c r="J113" s="1135" t="s">
        <v>1585</v>
      </c>
      <c r="K113" s="1135" t="s">
        <v>1567</v>
      </c>
      <c r="L113" s="1135" t="s">
        <v>1571</v>
      </c>
      <c r="M113" s="2062">
        <v>0.2</v>
      </c>
      <c r="N113" s="1135"/>
      <c r="O113" s="2046">
        <v>1844</v>
      </c>
      <c r="P113" s="1980">
        <v>1844</v>
      </c>
      <c r="Q113" s="1980">
        <v>0</v>
      </c>
      <c r="R113" s="1980">
        <v>0</v>
      </c>
      <c r="S113" s="1980">
        <v>0</v>
      </c>
      <c r="T113" s="1980">
        <v>0</v>
      </c>
      <c r="U113" s="2036">
        <v>0</v>
      </c>
    </row>
    <row r="114" spans="2:21" outlineLevel="2">
      <c r="B114" s="1050">
        <v>2</v>
      </c>
      <c r="C114" s="1050" t="str">
        <f t="shared" ref="C114:C169" si="22">IF(ISNA(VLOOKUP(B114,$D$112:$E$169,2,FALSE)),"-",VLOOKUP(B114,$D$112:$E$169,2,FALSE))</f>
        <v>Autres plastiques et plastiques complexes - Incinération - Impacts, France continentale, Base Carbone</v>
      </c>
      <c r="D114" s="1051">
        <f t="shared" ref="D114:D169" si="23">D113+IF(LEN(E114)&gt;0,1,0)</f>
        <v>2</v>
      </c>
      <c r="E114" s="1051" t="str">
        <f>IF(COUNTIF(E$112:E113,F114)&gt;0,"",F114)</f>
        <v>Autres plastiques et plastiques complexes - Incinération - Impacts, France continentale, Base Carbone</v>
      </c>
      <c r="F114" s="1051" t="str">
        <f t="shared" ref="F114:F213" si="24">IF(I114&lt;&gt;"",I114&amp;IF(L114&lt;&gt;"",", "&amp;L114,"")&amp;IF(K114&lt;&gt;"",", "&amp;K114,""),"")</f>
        <v>Autres plastiques et plastiques complexes - Incinération - Impacts, France continentale, Base Carbone</v>
      </c>
      <c r="G114" s="1055" t="str">
        <f t="shared" ref="G114:G213" si="25">IF(F114&lt;&gt;"",F114&amp;IF(J114&lt;&gt;"","; "&amp;J114&amp;IF(N114&lt;&gt;"",", "&amp;N114,),""),"")</f>
        <v>Autres plastiques et plastiques complexes - Incinération - Impacts, France continentale, Base Carbone; kgCO2e/tonne</v>
      </c>
      <c r="I114" s="2018" t="s">
        <v>4837</v>
      </c>
      <c r="J114" s="1135" t="s">
        <v>1585</v>
      </c>
      <c r="K114" s="1135" t="s">
        <v>1567</v>
      </c>
      <c r="L114" s="1135" t="s">
        <v>1571</v>
      </c>
      <c r="M114" s="2062">
        <v>0.2</v>
      </c>
      <c r="N114" s="1135"/>
      <c r="O114" s="2046">
        <v>2655</v>
      </c>
      <c r="P114" s="1980">
        <v>2655</v>
      </c>
      <c r="Q114" s="1980">
        <v>0</v>
      </c>
      <c r="R114" s="1980">
        <v>0</v>
      </c>
      <c r="S114" s="1980">
        <v>0</v>
      </c>
      <c r="T114" s="1980">
        <v>0</v>
      </c>
      <c r="U114" s="2036">
        <v>0</v>
      </c>
    </row>
    <row r="115" spans="2:21" outlineLevel="2">
      <c r="B115" s="1050">
        <v>3</v>
      </c>
      <c r="C115" s="1050" t="str">
        <f t="shared" si="22"/>
        <v>Autres plastiques et plastiques complexes - Stockage - Impacts, France continentale, Base Carbone</v>
      </c>
      <c r="D115" s="1051">
        <f t="shared" si="23"/>
        <v>3</v>
      </c>
      <c r="E115" s="1051" t="str">
        <f>IF(COUNTIF(E$112:E114,F115)&gt;0,"",F115)</f>
        <v>Autres plastiques et plastiques complexes - Stockage - Impacts, France continentale, Base Carbone</v>
      </c>
      <c r="F115" s="1051" t="str">
        <f t="shared" si="24"/>
        <v>Autres plastiques et plastiques complexes - Stockage - Impacts, France continentale, Base Carbone</v>
      </c>
      <c r="G115" s="1055" t="str">
        <f t="shared" si="25"/>
        <v>Autres plastiques et plastiques complexes - Stockage - Impacts, France continentale, Base Carbone; kgCO2e/tonne</v>
      </c>
      <c r="I115" s="2018" t="s">
        <v>4839</v>
      </c>
      <c r="J115" s="1135" t="s">
        <v>1585</v>
      </c>
      <c r="K115" s="1135" t="s">
        <v>1567</v>
      </c>
      <c r="L115" s="1135" t="s">
        <v>1571</v>
      </c>
      <c r="M115" s="2062">
        <v>0.2</v>
      </c>
      <c r="N115" s="1135"/>
      <c r="O115" s="2046">
        <v>41</v>
      </c>
      <c r="P115" s="1980">
        <v>41</v>
      </c>
      <c r="Q115" s="1980">
        <v>0</v>
      </c>
      <c r="R115" s="1980">
        <v>0</v>
      </c>
      <c r="S115" s="1980">
        <v>0</v>
      </c>
      <c r="T115" s="1980">
        <v>0</v>
      </c>
      <c r="U115" s="2036">
        <v>0</v>
      </c>
    </row>
    <row r="116" spans="2:21" outlineLevel="2">
      <c r="B116" s="1050">
        <v>4</v>
      </c>
      <c r="C116" s="1050" t="str">
        <f t="shared" si="22"/>
        <v>Plastique biosourcé PE - Incinération - Impacts, France continentale, Base Carbone</v>
      </c>
      <c r="D116" s="1051">
        <f t="shared" si="23"/>
        <v>4</v>
      </c>
      <c r="E116" s="1051" t="str">
        <f>IF(COUNTIF(E$112:E115,F116)&gt;0,"",F116)</f>
        <v>Plastique biosourcé PE - Incinération - Impacts, France continentale, Base Carbone</v>
      </c>
      <c r="F116" s="1051" t="str">
        <f t="shared" si="24"/>
        <v>Plastique biosourcé PE - Incinération - Impacts, France continentale, Base Carbone</v>
      </c>
      <c r="G116" s="1055" t="str">
        <f t="shared" si="25"/>
        <v>Plastique biosourcé PE - Incinération - Impacts, France continentale, Base Carbone; kgCO2e/tonne</v>
      </c>
      <c r="I116" s="2018" t="s">
        <v>4840</v>
      </c>
      <c r="J116" s="1135" t="s">
        <v>1585</v>
      </c>
      <c r="K116" s="1135" t="s">
        <v>1567</v>
      </c>
      <c r="L116" s="1135" t="s">
        <v>1571</v>
      </c>
      <c r="M116" s="2062">
        <v>0.2</v>
      </c>
      <c r="N116" s="1135"/>
      <c r="O116" s="2046">
        <v>122</v>
      </c>
      <c r="P116" s="1980">
        <v>122</v>
      </c>
      <c r="Q116" s="1980">
        <v>0</v>
      </c>
      <c r="R116" s="1980">
        <v>0</v>
      </c>
      <c r="S116" s="1980">
        <v>0</v>
      </c>
      <c r="T116" s="1980">
        <v>0</v>
      </c>
      <c r="U116" s="2036">
        <v>0</v>
      </c>
    </row>
    <row r="117" spans="2:21" outlineLevel="2">
      <c r="B117" s="1050">
        <v>5</v>
      </c>
      <c r="C117" s="1050" t="str">
        <f t="shared" si="22"/>
        <v>Plastique biosourcé PE - Stockage - Impacts, France continentale, Base Carbone</v>
      </c>
      <c r="D117" s="1051">
        <f t="shared" si="23"/>
        <v>5</v>
      </c>
      <c r="E117" s="1051" t="str">
        <f>IF(COUNTIF(E$112:E116,F117)&gt;0,"",F117)</f>
        <v>Plastique biosourcé PE - Stockage - Impacts, France continentale, Base Carbone</v>
      </c>
      <c r="F117" s="1051" t="str">
        <f t="shared" si="24"/>
        <v>Plastique biosourcé PE - Stockage - Impacts, France continentale, Base Carbone</v>
      </c>
      <c r="G117" s="1055" t="str">
        <f t="shared" si="25"/>
        <v>Plastique biosourcé PE - Stockage - Impacts, France continentale, Base Carbone; kgCO2e/tonne</v>
      </c>
      <c r="I117" s="2018" t="s">
        <v>4841</v>
      </c>
      <c r="J117" s="1135" t="s">
        <v>1585</v>
      </c>
      <c r="K117" s="1135" t="s">
        <v>1567</v>
      </c>
      <c r="L117" s="1135" t="s">
        <v>1571</v>
      </c>
      <c r="M117" s="2062">
        <v>0.5</v>
      </c>
      <c r="N117" s="1135"/>
      <c r="O117" s="2046">
        <v>41</v>
      </c>
      <c r="P117" s="1980">
        <v>41</v>
      </c>
      <c r="Q117" s="1980">
        <v>0</v>
      </c>
      <c r="R117" s="1980">
        <v>0</v>
      </c>
      <c r="S117" s="1980">
        <v>0</v>
      </c>
      <c r="T117" s="1980">
        <v>0</v>
      </c>
      <c r="U117" s="2036">
        <v>0</v>
      </c>
    </row>
    <row r="118" spans="2:21" outlineLevel="2">
      <c r="B118" s="1050">
        <v>6</v>
      </c>
      <c r="C118" s="1050" t="str">
        <f t="shared" si="22"/>
        <v>Plastique biosourcé PET - Incinération - Impacts, France continentale, Base Carbone</v>
      </c>
      <c r="D118" s="1051">
        <f t="shared" si="23"/>
        <v>6</v>
      </c>
      <c r="E118" s="1051" t="str">
        <f>IF(COUNTIF(E$112:E117,F118)&gt;0,"",F118)</f>
        <v>Plastique biosourcé PET - Incinération - Impacts, France continentale, Base Carbone</v>
      </c>
      <c r="F118" s="1051" t="str">
        <f t="shared" si="24"/>
        <v>Plastique biosourcé PET - Incinération - Impacts, France continentale, Base Carbone</v>
      </c>
      <c r="G118" s="1055" t="str">
        <f t="shared" si="25"/>
        <v>Plastique biosourcé PET - Incinération - Impacts, France continentale, Base Carbone; kgCO2e/tonne</v>
      </c>
      <c r="I118" s="2018" t="s">
        <v>4842</v>
      </c>
      <c r="J118" s="1135" t="s">
        <v>1585</v>
      </c>
      <c r="K118" s="1135" t="s">
        <v>1567</v>
      </c>
      <c r="L118" s="1135" t="s">
        <v>1571</v>
      </c>
      <c r="M118" s="2062">
        <v>0.2</v>
      </c>
      <c r="N118" s="1135"/>
      <c r="O118" s="2046">
        <v>160</v>
      </c>
      <c r="P118" s="1980">
        <v>160</v>
      </c>
      <c r="Q118" s="1980">
        <v>0</v>
      </c>
      <c r="R118" s="1980">
        <v>0</v>
      </c>
      <c r="S118" s="1980">
        <v>0</v>
      </c>
      <c r="T118" s="1980">
        <v>0</v>
      </c>
      <c r="U118" s="2036">
        <v>0</v>
      </c>
    </row>
    <row r="119" spans="2:21" outlineLevel="2">
      <c r="B119" s="1050">
        <v>7</v>
      </c>
      <c r="C119" s="1050" t="str">
        <f t="shared" si="22"/>
        <v>Plastique biosourcé PET - Stockage - Impacts, France continentale, Base Carbone</v>
      </c>
      <c r="D119" s="1051">
        <f t="shared" si="23"/>
        <v>7</v>
      </c>
      <c r="E119" s="1051" t="str">
        <f>IF(COUNTIF(E$112:E118,F119)&gt;0,"",F119)</f>
        <v>Plastique biosourcé PET - Stockage - Impacts, France continentale, Base Carbone</v>
      </c>
      <c r="F119" s="1051" t="str">
        <f t="shared" si="24"/>
        <v>Plastique biosourcé PET - Stockage - Impacts, France continentale, Base Carbone</v>
      </c>
      <c r="G119" s="1055" t="str">
        <f t="shared" si="25"/>
        <v>Plastique biosourcé PET - Stockage - Impacts, France continentale, Base Carbone; kgCO2e/tonne</v>
      </c>
      <c r="I119" s="2018" t="s">
        <v>4843</v>
      </c>
      <c r="J119" s="1135" t="s">
        <v>1585</v>
      </c>
      <c r="K119" s="1135" t="s">
        <v>1567</v>
      </c>
      <c r="L119" s="1135" t="s">
        <v>1571</v>
      </c>
      <c r="M119" s="2062">
        <v>0.5</v>
      </c>
      <c r="N119" s="1135"/>
      <c r="O119" s="2046">
        <v>41</v>
      </c>
      <c r="P119" s="1980">
        <v>41</v>
      </c>
      <c r="Q119" s="1980">
        <v>0</v>
      </c>
      <c r="R119" s="1980">
        <v>0</v>
      </c>
      <c r="S119" s="1980">
        <v>0</v>
      </c>
      <c r="T119" s="1980">
        <v>0</v>
      </c>
      <c r="U119" s="2036">
        <v>0</v>
      </c>
    </row>
    <row r="120" spans="2:21" outlineLevel="2">
      <c r="B120" s="1050">
        <v>8</v>
      </c>
      <c r="C120" s="1050" t="str">
        <f t="shared" si="22"/>
        <v>Plastique biosourcé PP - Incinération - Impacts, France continentale, Base Carbone</v>
      </c>
      <c r="D120" s="1051">
        <f t="shared" si="23"/>
        <v>8</v>
      </c>
      <c r="E120" s="1051" t="str">
        <f>IF(COUNTIF(E$112:E119,F120)&gt;0,"",F120)</f>
        <v>Plastique biosourcé PP - Incinération - Impacts, France continentale, Base Carbone</v>
      </c>
      <c r="F120" s="1051" t="str">
        <f t="shared" si="24"/>
        <v>Plastique biosourcé PP - Incinération - Impacts, France continentale, Base Carbone</v>
      </c>
      <c r="G120" s="1055" t="str">
        <f t="shared" si="25"/>
        <v>Plastique biosourcé PP - Incinération - Impacts, France continentale, Base Carbone; kgCO2e/tonne</v>
      </c>
      <c r="I120" s="2018" t="s">
        <v>4844</v>
      </c>
      <c r="J120" s="1135" t="s">
        <v>1585</v>
      </c>
      <c r="K120" s="1135" t="s">
        <v>1567</v>
      </c>
      <c r="L120" s="1135" t="s">
        <v>1571</v>
      </c>
      <c r="M120" s="2062">
        <v>0.2</v>
      </c>
      <c r="N120" s="1135"/>
      <c r="O120" s="2046">
        <v>122</v>
      </c>
      <c r="P120" s="1980">
        <v>122</v>
      </c>
      <c r="Q120" s="1980">
        <v>0</v>
      </c>
      <c r="R120" s="1980">
        <v>0</v>
      </c>
      <c r="S120" s="1980">
        <v>0</v>
      </c>
      <c r="T120" s="1980">
        <v>0</v>
      </c>
      <c r="U120" s="2036">
        <v>0</v>
      </c>
    </row>
    <row r="121" spans="2:21" outlineLevel="2">
      <c r="B121" s="1050">
        <v>9</v>
      </c>
      <c r="C121" s="1050" t="str">
        <f t="shared" si="22"/>
        <v>Plastique biosourcé PP - Stockage - Impacts, France continentale, Base Carbone</v>
      </c>
      <c r="D121" s="1051">
        <f t="shared" si="23"/>
        <v>9</v>
      </c>
      <c r="E121" s="1051" t="str">
        <f>IF(COUNTIF(E$112:E120,F121)&gt;0,"",F121)</f>
        <v>Plastique biosourcé PP - Stockage - Impacts, France continentale, Base Carbone</v>
      </c>
      <c r="F121" s="1051" t="str">
        <f t="shared" si="24"/>
        <v>Plastique biosourcé PP - Stockage - Impacts, France continentale, Base Carbone</v>
      </c>
      <c r="G121" s="1055" t="str">
        <f t="shared" si="25"/>
        <v>Plastique biosourcé PP - Stockage - Impacts, France continentale, Base Carbone; kgCO2e/tonne</v>
      </c>
      <c r="I121" s="2018" t="s">
        <v>4845</v>
      </c>
      <c r="J121" s="1135" t="s">
        <v>1585</v>
      </c>
      <c r="K121" s="1135" t="s">
        <v>1567</v>
      </c>
      <c r="L121" s="1135" t="s">
        <v>1571</v>
      </c>
      <c r="M121" s="2062">
        <v>0.5</v>
      </c>
      <c r="N121" s="1135"/>
      <c r="O121" s="2046">
        <v>41</v>
      </c>
      <c r="P121" s="1980">
        <v>41</v>
      </c>
      <c r="Q121" s="1980">
        <v>0</v>
      </c>
      <c r="R121" s="1980">
        <v>0</v>
      </c>
      <c r="S121" s="1980">
        <v>0</v>
      </c>
      <c r="T121" s="1980">
        <v>0</v>
      </c>
      <c r="U121" s="2036">
        <v>0</v>
      </c>
    </row>
    <row r="122" spans="2:21" outlineLevel="2">
      <c r="B122" s="1050">
        <v>10</v>
      </c>
      <c r="C122" s="1050" t="str">
        <f t="shared" si="22"/>
        <v>Plastique pétrosourcé PE - Incinéartion - Impacts, France continentale, Base Carbone</v>
      </c>
      <c r="D122" s="1051">
        <f t="shared" si="23"/>
        <v>10</v>
      </c>
      <c r="E122" s="1051" t="str">
        <f>IF(COUNTIF(E$112:E121,F122)&gt;0,"",F122)</f>
        <v>Plastique pétrosourcé PE - Incinéartion - Impacts, France continentale, Base Carbone</v>
      </c>
      <c r="F122" s="1051" t="str">
        <f t="shared" si="24"/>
        <v>Plastique pétrosourcé PE - Incinéartion - Impacts, France continentale, Base Carbone</v>
      </c>
      <c r="G122" s="1055" t="str">
        <f t="shared" si="25"/>
        <v>Plastique pétrosourcé PE - Incinéartion - Impacts, France continentale, Base Carbone; kgCO2e/tonne</v>
      </c>
      <c r="I122" s="2018" t="s">
        <v>4846</v>
      </c>
      <c r="J122" s="1135" t="s">
        <v>1585</v>
      </c>
      <c r="K122" s="1135" t="s">
        <v>1567</v>
      </c>
      <c r="L122" s="1135" t="s">
        <v>1571</v>
      </c>
      <c r="M122" s="2062">
        <v>0.2</v>
      </c>
      <c r="N122" s="1135"/>
      <c r="O122" s="2046">
        <v>2769</v>
      </c>
      <c r="P122" s="1980">
        <v>2769</v>
      </c>
      <c r="Q122" s="1980">
        <v>0</v>
      </c>
      <c r="R122" s="1980">
        <v>0</v>
      </c>
      <c r="S122" s="1980">
        <v>0</v>
      </c>
      <c r="T122" s="1980">
        <v>0</v>
      </c>
      <c r="U122" s="2036">
        <v>0</v>
      </c>
    </row>
    <row r="123" spans="2:21" outlineLevel="2">
      <c r="B123" s="1050">
        <v>11</v>
      </c>
      <c r="C123" s="1050" t="str">
        <f t="shared" si="22"/>
        <v>Plastique pétrosourcé PE - Stockage - Impacts, France continentale, Base Carbone</v>
      </c>
      <c r="D123" s="1051">
        <f t="shared" si="23"/>
        <v>11</v>
      </c>
      <c r="E123" s="1051" t="str">
        <f>IF(COUNTIF(E$112:E122,F123)&gt;0,"",F123)</f>
        <v>Plastique pétrosourcé PE - Stockage - Impacts, France continentale, Base Carbone</v>
      </c>
      <c r="F123" s="1051" t="str">
        <f t="shared" si="24"/>
        <v>Plastique pétrosourcé PE - Stockage - Impacts, France continentale, Base Carbone</v>
      </c>
      <c r="G123" s="1055" t="str">
        <f t="shared" si="25"/>
        <v>Plastique pétrosourcé PE - Stockage - Impacts, France continentale, Base Carbone; kgCO2e/tonne</v>
      </c>
      <c r="I123" s="2018" t="s">
        <v>4847</v>
      </c>
      <c r="J123" s="1135" t="s">
        <v>1585</v>
      </c>
      <c r="K123" s="1135" t="s">
        <v>1567</v>
      </c>
      <c r="L123" s="1135" t="s">
        <v>1571</v>
      </c>
      <c r="M123" s="2062">
        <v>0.2</v>
      </c>
      <c r="N123" s="1135"/>
      <c r="O123" s="2046">
        <v>41</v>
      </c>
      <c r="P123" s="1980">
        <v>41</v>
      </c>
      <c r="Q123" s="1980">
        <v>0</v>
      </c>
      <c r="R123" s="1980">
        <v>0</v>
      </c>
      <c r="S123" s="1980">
        <v>0</v>
      </c>
      <c r="T123" s="1980">
        <v>0</v>
      </c>
      <c r="U123" s="2036">
        <v>0</v>
      </c>
    </row>
    <row r="124" spans="2:21" outlineLevel="2">
      <c r="B124" s="1050">
        <v>12</v>
      </c>
      <c r="C124" s="1050" t="str">
        <f t="shared" si="22"/>
        <v>Plastique pétrosourcé PET - Incinération - Impacts, France continentale, Base Carbone</v>
      </c>
      <c r="D124" s="1051">
        <f t="shared" si="23"/>
        <v>12</v>
      </c>
      <c r="E124" s="1051" t="str">
        <f>IF(COUNTIF(E$112:E123,F124)&gt;0,"",F124)</f>
        <v>Plastique pétrosourcé PET - Incinération - Impacts, France continentale, Base Carbone</v>
      </c>
      <c r="F124" s="1051" t="str">
        <f t="shared" si="24"/>
        <v>Plastique pétrosourcé PET - Incinération - Impacts, France continentale, Base Carbone</v>
      </c>
      <c r="G124" s="1055" t="str">
        <f t="shared" si="25"/>
        <v>Plastique pétrosourcé PET - Incinération - Impacts, France continentale, Base Carbone; kgCO2e/tonne</v>
      </c>
      <c r="I124" s="2018" t="s">
        <v>5174</v>
      </c>
      <c r="J124" s="1135" t="s">
        <v>1585</v>
      </c>
      <c r="K124" s="1135" t="s">
        <v>1567</v>
      </c>
      <c r="L124" s="1135" t="s">
        <v>1571</v>
      </c>
      <c r="M124" s="2062">
        <v>0.2</v>
      </c>
      <c r="N124" s="1135"/>
      <c r="O124" s="2046">
        <v>2139</v>
      </c>
      <c r="P124" s="1980">
        <v>2139</v>
      </c>
      <c r="Q124" s="1980">
        <v>0</v>
      </c>
      <c r="R124" s="1980">
        <v>0</v>
      </c>
      <c r="S124" s="1980">
        <v>0</v>
      </c>
      <c r="T124" s="1980">
        <v>0</v>
      </c>
      <c r="U124" s="2036">
        <v>0</v>
      </c>
    </row>
    <row r="125" spans="2:21" outlineLevel="2">
      <c r="B125" s="1050">
        <v>13</v>
      </c>
      <c r="C125" s="1050" t="str">
        <f t="shared" si="22"/>
        <v>Plastique pétrosourcé PET - Stockage - Impacts, France continentale, Base Carbone</v>
      </c>
      <c r="D125" s="1051">
        <f t="shared" si="23"/>
        <v>13</v>
      </c>
      <c r="E125" s="1051" t="str">
        <f>IF(COUNTIF(E$112:E124,F125)&gt;0,"",F125)</f>
        <v>Plastique pétrosourcé PET - Stockage - Impacts, France continentale, Base Carbone</v>
      </c>
      <c r="F125" s="1051" t="str">
        <f t="shared" si="24"/>
        <v>Plastique pétrosourcé PET - Stockage - Impacts, France continentale, Base Carbone</v>
      </c>
      <c r="G125" s="1055" t="str">
        <f t="shared" si="25"/>
        <v>Plastique pétrosourcé PET - Stockage - Impacts, France continentale, Base Carbone; kgCO2e/tonne</v>
      </c>
      <c r="I125" s="2018" t="s">
        <v>4848</v>
      </c>
      <c r="J125" s="1135" t="s">
        <v>1585</v>
      </c>
      <c r="K125" s="1135" t="s">
        <v>1567</v>
      </c>
      <c r="L125" s="1135" t="s">
        <v>1571</v>
      </c>
      <c r="M125" s="2062">
        <v>0.2</v>
      </c>
      <c r="N125" s="1135"/>
      <c r="O125" s="2046">
        <v>41</v>
      </c>
      <c r="P125" s="1980">
        <v>41</v>
      </c>
      <c r="Q125" s="1980">
        <v>0</v>
      </c>
      <c r="R125" s="1980">
        <v>0</v>
      </c>
      <c r="S125" s="1980">
        <v>0</v>
      </c>
      <c r="T125" s="1980">
        <v>0</v>
      </c>
      <c r="U125" s="2036">
        <v>0</v>
      </c>
    </row>
    <row r="126" spans="2:21" outlineLevel="2">
      <c r="B126" s="1050">
        <v>14</v>
      </c>
      <c r="C126" s="1050" t="str">
        <f t="shared" si="22"/>
        <v>Plastique pétrosourcé PP - Incinération - Impacts, France continentale, Base Carbone</v>
      </c>
      <c r="D126" s="1051">
        <f t="shared" si="23"/>
        <v>14</v>
      </c>
      <c r="E126" s="1051" t="str">
        <f>IF(COUNTIF(E$112:E125,F126)&gt;0,"",F126)</f>
        <v>Plastique pétrosourcé PP - Incinération - Impacts, France continentale, Base Carbone</v>
      </c>
      <c r="F126" s="1051" t="str">
        <f t="shared" si="24"/>
        <v>Plastique pétrosourcé PP - Incinération - Impacts, France continentale, Base Carbone</v>
      </c>
      <c r="G126" s="1055" t="str">
        <f t="shared" si="25"/>
        <v>Plastique pétrosourcé PP - Incinération - Impacts, France continentale, Base Carbone; kgCO2e/tonne</v>
      </c>
      <c r="I126" s="2018" t="s">
        <v>4850</v>
      </c>
      <c r="J126" s="1135" t="s">
        <v>1585</v>
      </c>
      <c r="K126" s="1135" t="s">
        <v>1567</v>
      </c>
      <c r="L126" s="1135" t="s">
        <v>1571</v>
      </c>
      <c r="M126" s="2062">
        <v>0.2</v>
      </c>
      <c r="N126" s="1135"/>
      <c r="O126" s="2046">
        <v>2769</v>
      </c>
      <c r="P126" s="1980">
        <v>2769</v>
      </c>
      <c r="Q126" s="1980">
        <v>0</v>
      </c>
      <c r="R126" s="1980">
        <v>0</v>
      </c>
      <c r="S126" s="1980">
        <v>0</v>
      </c>
      <c r="T126" s="1980">
        <v>0</v>
      </c>
      <c r="U126" s="2036">
        <v>0</v>
      </c>
    </row>
    <row r="127" spans="2:21" outlineLevel="2">
      <c r="B127" s="1050">
        <v>15</v>
      </c>
      <c r="C127" s="1050" t="str">
        <f t="shared" si="22"/>
        <v>Plastique pétrosourcé PP - Stockage - Impacts, France continentale, Base Carbone</v>
      </c>
      <c r="D127" s="1051">
        <f t="shared" si="23"/>
        <v>15</v>
      </c>
      <c r="E127" s="1051" t="str">
        <f>IF(COUNTIF(E$112:E126,F127)&gt;0,"",F127)</f>
        <v>Plastique pétrosourcé PP - Stockage - Impacts, France continentale, Base Carbone</v>
      </c>
      <c r="F127" s="1051" t="str">
        <f t="shared" si="24"/>
        <v>Plastique pétrosourcé PP - Stockage - Impacts, France continentale, Base Carbone</v>
      </c>
      <c r="G127" s="1055" t="str">
        <f t="shared" si="25"/>
        <v>Plastique pétrosourcé PP - Stockage - Impacts, France continentale, Base Carbone; kgCO2e/tonne</v>
      </c>
      <c r="I127" s="2018" t="s">
        <v>4849</v>
      </c>
      <c r="J127" s="1135" t="s">
        <v>1585</v>
      </c>
      <c r="K127" s="1135" t="s">
        <v>1567</v>
      </c>
      <c r="L127" s="1135" t="s">
        <v>1571</v>
      </c>
      <c r="M127" s="2062">
        <v>0.2</v>
      </c>
      <c r="N127" s="1135"/>
      <c r="O127" s="2046">
        <v>41</v>
      </c>
      <c r="P127" s="1980">
        <v>41</v>
      </c>
      <c r="Q127" s="1980">
        <v>0</v>
      </c>
      <c r="R127" s="1980">
        <v>0</v>
      </c>
      <c r="S127" s="1980">
        <v>0</v>
      </c>
      <c r="T127" s="1980">
        <v>0</v>
      </c>
      <c r="U127" s="2036">
        <v>0</v>
      </c>
    </row>
    <row r="128" spans="2:21" outlineLevel="2">
      <c r="B128" s="1050">
        <v>16</v>
      </c>
      <c r="C128" s="1050" t="str">
        <f t="shared" si="22"/>
        <v>Plastique rigide biosourcé PE autres emballages - Fin de vie moyenne filière - Impacts, France continentale, Base Carbone</v>
      </c>
      <c r="D128" s="1051">
        <f t="shared" si="23"/>
        <v>16</v>
      </c>
      <c r="E128" s="1051" t="str">
        <f>IF(COUNTIF(E$112:E127,F128)&gt;0,"",F128)</f>
        <v>Plastique rigide biosourcé PE autres emballages - Fin de vie moyenne filière - Impacts, France continentale, Base Carbone</v>
      </c>
      <c r="F128" s="1051" t="str">
        <f t="shared" si="24"/>
        <v>Plastique rigide biosourcé PE autres emballages - Fin de vie moyenne filière - Impacts, France continentale, Base Carbone</v>
      </c>
      <c r="G128" s="1055" t="str">
        <f t="shared" si="25"/>
        <v>Plastique rigide biosourcé PE autres emballages - Fin de vie moyenne filière - Impacts, France continentale, Base Carbone; kgCO2e/tonne</v>
      </c>
      <c r="I128" s="2018" t="s">
        <v>4851</v>
      </c>
      <c r="J128" s="1135" t="s">
        <v>1585</v>
      </c>
      <c r="K128" s="1135" t="s">
        <v>1567</v>
      </c>
      <c r="L128" s="1135" t="s">
        <v>1571</v>
      </c>
      <c r="M128" s="2062">
        <v>0.5</v>
      </c>
      <c r="N128" s="1135"/>
      <c r="O128" s="2046">
        <v>101</v>
      </c>
      <c r="P128" s="1980">
        <v>101</v>
      </c>
      <c r="Q128" s="1980">
        <v>0</v>
      </c>
      <c r="R128" s="1980">
        <v>0</v>
      </c>
      <c r="S128" s="1980">
        <v>0</v>
      </c>
      <c r="T128" s="1980">
        <v>0</v>
      </c>
      <c r="U128" s="2036">
        <v>0</v>
      </c>
    </row>
    <row r="129" spans="2:21" outlineLevel="2">
      <c r="B129" s="1050">
        <v>17</v>
      </c>
      <c r="C129" s="1050" t="str">
        <f t="shared" si="22"/>
        <v>Plastique rigide biosourcé PE bouteilles - Fin de vie moyenne filière - Impacts, France continentale, Base Carbone</v>
      </c>
      <c r="D129" s="1051">
        <f t="shared" si="23"/>
        <v>17</v>
      </c>
      <c r="E129" s="1051" t="str">
        <f>IF(COUNTIF(E$112:E128,F129)&gt;0,"",F129)</f>
        <v>Plastique rigide biosourcé PE bouteilles - Fin de vie moyenne filière - Impacts, France continentale, Base Carbone</v>
      </c>
      <c r="F129" s="1051" t="str">
        <f t="shared" si="24"/>
        <v>Plastique rigide biosourcé PE bouteilles - Fin de vie moyenne filière - Impacts, France continentale, Base Carbone</v>
      </c>
      <c r="G129" s="1055" t="str">
        <f t="shared" si="25"/>
        <v>Plastique rigide biosourcé PE bouteilles - Fin de vie moyenne filière - Impacts, France continentale, Base Carbone; kgCO2e/tonne</v>
      </c>
      <c r="I129" s="2018" t="s">
        <v>4852</v>
      </c>
      <c r="J129" s="1135" t="s">
        <v>1585</v>
      </c>
      <c r="K129" s="1135" t="s">
        <v>1567</v>
      </c>
      <c r="L129" s="1135" t="s">
        <v>1571</v>
      </c>
      <c r="M129" s="2062">
        <v>0.5</v>
      </c>
      <c r="N129" s="1135"/>
      <c r="O129" s="2046">
        <v>258</v>
      </c>
      <c r="P129" s="1980">
        <v>258</v>
      </c>
      <c r="Q129" s="1980">
        <v>0</v>
      </c>
      <c r="R129" s="1980">
        <v>0</v>
      </c>
      <c r="S129" s="1980">
        <v>0</v>
      </c>
      <c r="T129" s="1980">
        <v>0</v>
      </c>
      <c r="U129" s="2036">
        <v>0</v>
      </c>
    </row>
    <row r="130" spans="2:21" outlineLevel="2">
      <c r="B130" s="1050">
        <v>18</v>
      </c>
      <c r="C130" s="1050" t="str">
        <f t="shared" si="22"/>
        <v>Plastique rigide biosourcé PET autres emballages - Fin de vie moyenne filière - Impacts, France continentale, Base Carbone</v>
      </c>
      <c r="D130" s="1051">
        <f t="shared" si="23"/>
        <v>18</v>
      </c>
      <c r="E130" s="1051" t="str">
        <f>IF(COUNTIF(E$112:E129,F130)&gt;0,"",F130)</f>
        <v>Plastique rigide biosourcé PET autres emballages - Fin de vie moyenne filière - Impacts, France continentale, Base Carbone</v>
      </c>
      <c r="F130" s="1051" t="str">
        <f t="shared" si="24"/>
        <v>Plastique rigide biosourcé PET autres emballages - Fin de vie moyenne filière - Impacts, France continentale, Base Carbone</v>
      </c>
      <c r="G130" s="1055" t="str">
        <f t="shared" si="25"/>
        <v>Plastique rigide biosourcé PET autres emballages - Fin de vie moyenne filière - Impacts, France continentale, Base Carbone; kgCO2e/tonne</v>
      </c>
      <c r="I130" s="2018" t="s">
        <v>4853</v>
      </c>
      <c r="J130" s="1135" t="s">
        <v>1585</v>
      </c>
      <c r="K130" s="1135" t="s">
        <v>1567</v>
      </c>
      <c r="L130" s="1135" t="s">
        <v>1571</v>
      </c>
      <c r="M130" s="2062">
        <v>0.5</v>
      </c>
      <c r="N130" s="1135"/>
      <c r="O130" s="2046">
        <v>130</v>
      </c>
      <c r="P130" s="1980">
        <v>130</v>
      </c>
      <c r="Q130" s="1980">
        <v>0</v>
      </c>
      <c r="R130" s="1980">
        <v>0</v>
      </c>
      <c r="S130" s="1980">
        <v>0</v>
      </c>
      <c r="T130" s="1980">
        <v>0</v>
      </c>
      <c r="U130" s="2036">
        <v>0</v>
      </c>
    </row>
    <row r="131" spans="2:21" outlineLevel="2">
      <c r="B131" s="1050">
        <v>19</v>
      </c>
      <c r="C131" s="1050" t="str">
        <f t="shared" si="22"/>
        <v>Plastique rigide biosourcé PET bouteilles - Fin de vie moyenne filière - Impacts, France continentale, Base Carbone</v>
      </c>
      <c r="D131" s="1051">
        <f t="shared" si="23"/>
        <v>19</v>
      </c>
      <c r="E131" s="1051" t="str">
        <f>IF(COUNTIF(E$112:E130,F131)&gt;0,"",F131)</f>
        <v>Plastique rigide biosourcé PET bouteilles - Fin de vie moyenne filière - Impacts, France continentale, Base Carbone</v>
      </c>
      <c r="F131" s="1051" t="str">
        <f t="shared" si="24"/>
        <v>Plastique rigide biosourcé PET bouteilles - Fin de vie moyenne filière - Impacts, France continentale, Base Carbone</v>
      </c>
      <c r="G131" s="1055" t="str">
        <f t="shared" si="25"/>
        <v>Plastique rigide biosourcé PET bouteilles - Fin de vie moyenne filière - Impacts, France continentale, Base Carbone; kgCO2e/tonne</v>
      </c>
      <c r="I131" s="2018" t="s">
        <v>4854</v>
      </c>
      <c r="J131" s="1135" t="s">
        <v>1585</v>
      </c>
      <c r="K131" s="1135" t="s">
        <v>1567</v>
      </c>
      <c r="L131" s="1135" t="s">
        <v>1571</v>
      </c>
      <c r="M131" s="2062">
        <v>0.5</v>
      </c>
      <c r="N131" s="1135"/>
      <c r="O131" s="2046">
        <v>395</v>
      </c>
      <c r="P131" s="1980">
        <v>395</v>
      </c>
      <c r="Q131" s="1980">
        <v>0</v>
      </c>
      <c r="R131" s="1980">
        <v>0</v>
      </c>
      <c r="S131" s="1980">
        <v>0</v>
      </c>
      <c r="T131" s="1980">
        <v>0</v>
      </c>
      <c r="U131" s="2036">
        <v>0</v>
      </c>
    </row>
    <row r="132" spans="2:21" outlineLevel="2">
      <c r="B132" s="1050">
        <v>20</v>
      </c>
      <c r="C132" s="1050" t="str">
        <f t="shared" si="22"/>
        <v>Plastique rigide biosourcé PP autres emballages - Fin de vie moyenne filière - Impacts, France continentale, Base Carbone</v>
      </c>
      <c r="D132" s="1051">
        <f t="shared" si="23"/>
        <v>20</v>
      </c>
      <c r="E132" s="1051" t="str">
        <f>IF(COUNTIF(E$112:E131,F132)&gt;0,"",F132)</f>
        <v>Plastique rigide biosourcé PP autres emballages - Fin de vie moyenne filière - Impacts, France continentale, Base Carbone</v>
      </c>
      <c r="F132" s="1051" t="str">
        <f t="shared" si="24"/>
        <v>Plastique rigide biosourcé PP autres emballages - Fin de vie moyenne filière - Impacts, France continentale, Base Carbone</v>
      </c>
      <c r="G132" s="1055" t="str">
        <f t="shared" si="25"/>
        <v>Plastique rigide biosourcé PP autres emballages - Fin de vie moyenne filière - Impacts, France continentale, Base Carbone; kgCO2e/tonne</v>
      </c>
      <c r="I132" s="2018" t="s">
        <v>4855</v>
      </c>
      <c r="J132" s="1135" t="s">
        <v>1585</v>
      </c>
      <c r="K132" s="1135" t="s">
        <v>1567</v>
      </c>
      <c r="L132" s="1135" t="s">
        <v>1571</v>
      </c>
      <c r="M132" s="2062">
        <v>0.5</v>
      </c>
      <c r="N132" s="1135"/>
      <c r="O132" s="2046">
        <v>101</v>
      </c>
      <c r="P132" s="1980">
        <v>101</v>
      </c>
      <c r="Q132" s="1980">
        <v>0</v>
      </c>
      <c r="R132" s="1980">
        <v>0</v>
      </c>
      <c r="S132" s="1980">
        <v>0</v>
      </c>
      <c r="T132" s="1980">
        <v>0</v>
      </c>
      <c r="U132" s="2036">
        <v>0</v>
      </c>
    </row>
    <row r="133" spans="2:21" outlineLevel="2">
      <c r="B133" s="1050">
        <v>21</v>
      </c>
      <c r="C133" s="1050" t="str">
        <f t="shared" si="22"/>
        <v>Plastique rigide biosourcé PP bouteilles - Fin de vie moyenne filière - Impacts, France continentale, Base Carbone</v>
      </c>
      <c r="D133" s="1051">
        <f t="shared" si="23"/>
        <v>21</v>
      </c>
      <c r="E133" s="1051" t="str">
        <f>IF(COUNTIF(E$112:E132,F133)&gt;0,"",F133)</f>
        <v>Plastique rigide biosourcé PP bouteilles - Fin de vie moyenne filière - Impacts, France continentale, Base Carbone</v>
      </c>
      <c r="F133" s="1051" t="str">
        <f t="shared" si="24"/>
        <v>Plastique rigide biosourcé PP bouteilles - Fin de vie moyenne filière - Impacts, France continentale, Base Carbone</v>
      </c>
      <c r="G133" s="1055" t="str">
        <f t="shared" si="25"/>
        <v>Plastique rigide biosourcé PP bouteilles - Fin de vie moyenne filière - Impacts, France continentale, Base Carbone; kgCO2e/tonne</v>
      </c>
      <c r="I133" s="2018" t="s">
        <v>4856</v>
      </c>
      <c r="J133" s="1135" t="s">
        <v>1585</v>
      </c>
      <c r="K133" s="1135" t="s">
        <v>1567</v>
      </c>
      <c r="L133" s="1135" t="s">
        <v>1571</v>
      </c>
      <c r="M133" s="2062">
        <v>0.5</v>
      </c>
      <c r="N133" s="1135"/>
      <c r="O133" s="2046">
        <v>258</v>
      </c>
      <c r="P133" s="1980">
        <v>258</v>
      </c>
      <c r="Q133" s="1980">
        <v>0</v>
      </c>
      <c r="R133" s="1980">
        <v>0</v>
      </c>
      <c r="S133" s="1980">
        <v>0</v>
      </c>
      <c r="T133" s="1980">
        <v>0</v>
      </c>
      <c r="U133" s="2036">
        <v>0</v>
      </c>
    </row>
    <row r="134" spans="2:21" outlineLevel="2">
      <c r="B134" s="1050">
        <v>22</v>
      </c>
      <c r="C134" s="1050" t="str">
        <f t="shared" si="22"/>
        <v>Plastique rigide PE - Recyclage granulés - Impacts, France continentale, Base Carbone</v>
      </c>
      <c r="D134" s="1051">
        <f t="shared" si="23"/>
        <v>22</v>
      </c>
      <c r="E134" s="1051" t="str">
        <f>IF(COUNTIF(E$112:E133,F134)&gt;0,"",F134)</f>
        <v>Plastique rigide PE - Recyclage granulés - Impacts, France continentale, Base Carbone</v>
      </c>
      <c r="F134" s="1051" t="str">
        <f t="shared" si="24"/>
        <v>Plastique rigide PE - Recyclage granulés - Impacts, France continentale, Base Carbone</v>
      </c>
      <c r="G134" s="1055" t="str">
        <f t="shared" si="25"/>
        <v>Plastique rigide PE - Recyclage granulés - Impacts, France continentale, Base Carbone; kgCO2e/tonne</v>
      </c>
      <c r="I134" s="2018" t="s">
        <v>4857</v>
      </c>
      <c r="J134" s="1135" t="s">
        <v>1585</v>
      </c>
      <c r="K134" s="1135" t="s">
        <v>1567</v>
      </c>
      <c r="L134" s="1135" t="s">
        <v>1571</v>
      </c>
      <c r="M134" s="2062">
        <v>0.1</v>
      </c>
      <c r="N134" s="1135"/>
      <c r="O134" s="2046">
        <v>313</v>
      </c>
      <c r="P134" s="1980">
        <v>313</v>
      </c>
      <c r="Q134" s="1980">
        <v>0</v>
      </c>
      <c r="R134" s="1980">
        <v>0</v>
      </c>
      <c r="S134" s="1980">
        <v>0</v>
      </c>
      <c r="T134" s="1980">
        <v>0</v>
      </c>
      <c r="U134" s="2036">
        <v>0</v>
      </c>
    </row>
    <row r="135" spans="2:21" outlineLevel="2">
      <c r="B135" s="1050">
        <v>23</v>
      </c>
      <c r="C135" s="1050" t="str">
        <f t="shared" si="22"/>
        <v>Plastique rigide PE - Recyclage paillettes - Impacts, France continentale, Base Carbone</v>
      </c>
      <c r="D135" s="1051">
        <f t="shared" si="23"/>
        <v>23</v>
      </c>
      <c r="E135" s="1051" t="str">
        <f>IF(COUNTIF(E$112:E134,F135)&gt;0,"",F135)</f>
        <v>Plastique rigide PE - Recyclage paillettes - Impacts, France continentale, Base Carbone</v>
      </c>
      <c r="F135" s="1051" t="str">
        <f t="shared" si="24"/>
        <v>Plastique rigide PE - Recyclage paillettes - Impacts, France continentale, Base Carbone</v>
      </c>
      <c r="G135" s="1055" t="str">
        <f t="shared" si="25"/>
        <v>Plastique rigide PE - Recyclage paillettes - Impacts, France continentale, Base Carbone; kgCO2e/tonne</v>
      </c>
      <c r="I135" s="2018" t="s">
        <v>4858</v>
      </c>
      <c r="J135" s="1135" t="s">
        <v>1585</v>
      </c>
      <c r="K135" s="1135" t="s">
        <v>1567</v>
      </c>
      <c r="L135" s="1135" t="s">
        <v>1571</v>
      </c>
      <c r="M135" s="2062">
        <v>0.1</v>
      </c>
      <c r="N135" s="1135"/>
      <c r="O135" s="2046">
        <v>258</v>
      </c>
      <c r="P135" s="1980">
        <v>258</v>
      </c>
      <c r="Q135" s="1980">
        <v>0</v>
      </c>
      <c r="R135" s="1980">
        <v>0</v>
      </c>
      <c r="S135" s="1980">
        <v>0</v>
      </c>
      <c r="T135" s="1980">
        <v>0</v>
      </c>
      <c r="U135" s="2036">
        <v>0</v>
      </c>
    </row>
    <row r="136" spans="2:21" outlineLevel="2">
      <c r="B136" s="1050">
        <v>24</v>
      </c>
      <c r="C136" s="1050" t="str">
        <f t="shared" si="22"/>
        <v>Plastique rigide PE autres emballages - Recyclage - Impacts, France continentale, Base Carbone</v>
      </c>
      <c r="D136" s="1051">
        <f t="shared" si="23"/>
        <v>24</v>
      </c>
      <c r="E136" s="1051" t="str">
        <f>IF(COUNTIF(E$112:E135,F136)&gt;0,"",F136)</f>
        <v>Plastique rigide PE autres emballages - Recyclage - Impacts, France continentale, Base Carbone</v>
      </c>
      <c r="F136" s="1051" t="str">
        <f t="shared" si="24"/>
        <v>Plastique rigide PE autres emballages - Recyclage - Impacts, France continentale, Base Carbone</v>
      </c>
      <c r="G136" s="1055" t="str">
        <f t="shared" si="25"/>
        <v>Plastique rigide PE autres emballages - Recyclage - Impacts, France continentale, Base Carbone; kgCO2e/tonne</v>
      </c>
      <c r="I136" s="2018" t="s">
        <v>4859</v>
      </c>
      <c r="J136" s="1135" t="s">
        <v>1585</v>
      </c>
      <c r="K136" s="1135" t="s">
        <v>1567</v>
      </c>
      <c r="L136" s="1135" t="s">
        <v>1571</v>
      </c>
      <c r="M136" s="2062">
        <v>0.2</v>
      </c>
      <c r="N136" s="1135"/>
      <c r="O136" s="2046">
        <v>434</v>
      </c>
      <c r="P136" s="1980">
        <v>434</v>
      </c>
      <c r="Q136" s="1980">
        <v>0</v>
      </c>
      <c r="R136" s="1980">
        <v>0</v>
      </c>
      <c r="S136" s="1980">
        <v>0</v>
      </c>
      <c r="T136" s="1980">
        <v>0</v>
      </c>
      <c r="U136" s="2036">
        <v>0</v>
      </c>
    </row>
    <row r="137" spans="2:21" outlineLevel="2">
      <c r="B137" s="1050">
        <v>25</v>
      </c>
      <c r="C137" s="1050" t="str">
        <f t="shared" si="22"/>
        <v>Plastique rigide PE bouteilles - Recyclage - Impacts, France continentale, Base Carbone</v>
      </c>
      <c r="D137" s="1051">
        <f t="shared" si="23"/>
        <v>25</v>
      </c>
      <c r="E137" s="1051" t="str">
        <f>IF(COUNTIF(E$112:E136,F137)&gt;0,"",F137)</f>
        <v>Plastique rigide PE bouteilles - Recyclage - Impacts, France continentale, Base Carbone</v>
      </c>
      <c r="F137" s="1051" t="str">
        <f t="shared" si="24"/>
        <v>Plastique rigide PE bouteilles - Recyclage - Impacts, France continentale, Base Carbone</v>
      </c>
      <c r="G137" s="1055" t="str">
        <f t="shared" si="25"/>
        <v>Plastique rigide PE bouteilles - Recyclage - Impacts, France continentale, Base Carbone; kgCO2e/tonne</v>
      </c>
      <c r="I137" s="2018" t="s">
        <v>4860</v>
      </c>
      <c r="J137" s="1135" t="s">
        <v>1585</v>
      </c>
      <c r="K137" s="1135" t="s">
        <v>1567</v>
      </c>
      <c r="L137" s="1135" t="s">
        <v>1571</v>
      </c>
      <c r="M137" s="2062">
        <v>0.2</v>
      </c>
      <c r="N137" s="1135"/>
      <c r="O137" s="2046">
        <v>434</v>
      </c>
      <c r="P137" s="1980">
        <v>434</v>
      </c>
      <c r="Q137" s="1980">
        <v>0</v>
      </c>
      <c r="R137" s="1980">
        <v>0</v>
      </c>
      <c r="S137" s="1980">
        <v>0</v>
      </c>
      <c r="T137" s="1980">
        <v>0</v>
      </c>
      <c r="U137" s="2036">
        <v>0</v>
      </c>
    </row>
    <row r="138" spans="2:21" outlineLevel="2">
      <c r="B138" s="1050">
        <v>26</v>
      </c>
      <c r="C138" s="1050" t="str">
        <f t="shared" si="22"/>
        <v>Plastique rigide PET - Recyclage granulés - Impacts, France continentale, Base Carbone</v>
      </c>
      <c r="D138" s="1051">
        <f t="shared" si="23"/>
        <v>26</v>
      </c>
      <c r="E138" s="1051" t="str">
        <f>IF(COUNTIF(E$112:E137,F138)&gt;0,"",F138)</f>
        <v>Plastique rigide PET - Recyclage granulés - Impacts, France continentale, Base Carbone</v>
      </c>
      <c r="F138" s="1051" t="str">
        <f t="shared" si="24"/>
        <v>Plastique rigide PET - Recyclage granulés - Impacts, France continentale, Base Carbone</v>
      </c>
      <c r="G138" s="1055" t="str">
        <f t="shared" si="25"/>
        <v>Plastique rigide PET - Recyclage granulés - Impacts, France continentale, Base Carbone; kgCO2e/tonne</v>
      </c>
      <c r="I138" s="2018" t="s">
        <v>4861</v>
      </c>
      <c r="J138" s="1135" t="s">
        <v>1585</v>
      </c>
      <c r="K138" s="1135" t="s">
        <v>1567</v>
      </c>
      <c r="L138" s="1135" t="s">
        <v>1571</v>
      </c>
      <c r="M138" s="2062">
        <v>0.1</v>
      </c>
      <c r="N138" s="1135"/>
      <c r="O138" s="2046">
        <v>548</v>
      </c>
      <c r="P138" s="1980">
        <v>548</v>
      </c>
      <c r="Q138" s="1980">
        <v>0</v>
      </c>
      <c r="R138" s="1980">
        <v>0</v>
      </c>
      <c r="S138" s="1980">
        <v>0</v>
      </c>
      <c r="T138" s="1980">
        <v>0</v>
      </c>
      <c r="U138" s="2036">
        <v>0</v>
      </c>
    </row>
    <row r="139" spans="2:21" outlineLevel="2">
      <c r="B139" s="1050">
        <v>27</v>
      </c>
      <c r="C139" s="1050" t="str">
        <f t="shared" si="22"/>
        <v>Plastique rigide PET - Recyclage paillettes - Impacts, France continentale, Base Carbone</v>
      </c>
      <c r="D139" s="1051">
        <f t="shared" si="23"/>
        <v>27</v>
      </c>
      <c r="E139" s="1051" t="str">
        <f>IF(COUNTIF(E$112:E138,F139)&gt;0,"",F139)</f>
        <v>Plastique rigide PET - Recyclage paillettes - Impacts, France continentale, Base Carbone</v>
      </c>
      <c r="F139" s="1051" t="str">
        <f t="shared" si="24"/>
        <v>Plastique rigide PET - Recyclage paillettes - Impacts, France continentale, Base Carbone</v>
      </c>
      <c r="G139" s="1055" t="str">
        <f t="shared" si="25"/>
        <v>Plastique rigide PET - Recyclage paillettes - Impacts, France continentale, Base Carbone; kgCO2e/tonne</v>
      </c>
      <c r="I139" s="2018" t="s">
        <v>4862</v>
      </c>
      <c r="J139" s="1135" t="s">
        <v>1585</v>
      </c>
      <c r="K139" s="1135" t="s">
        <v>1567</v>
      </c>
      <c r="L139" s="1135" t="s">
        <v>1571</v>
      </c>
      <c r="M139" s="2062">
        <v>0.1</v>
      </c>
      <c r="N139" s="1135"/>
      <c r="O139" s="2046">
        <v>480</v>
      </c>
      <c r="P139" s="1980">
        <v>480</v>
      </c>
      <c r="Q139" s="1980">
        <v>0</v>
      </c>
      <c r="R139" s="1980">
        <v>0</v>
      </c>
      <c r="S139" s="1980">
        <v>0</v>
      </c>
      <c r="T139" s="1980">
        <v>0</v>
      </c>
      <c r="U139" s="2036">
        <v>0</v>
      </c>
    </row>
    <row r="140" spans="2:21" outlineLevel="2">
      <c r="B140" s="1050">
        <v>28</v>
      </c>
      <c r="C140" s="1050" t="str">
        <f t="shared" si="22"/>
        <v>Plastique rigide PET autres emballages - Recyclage - Impacts, France continentale, Base Carbone</v>
      </c>
      <c r="D140" s="1051">
        <f t="shared" si="23"/>
        <v>28</v>
      </c>
      <c r="E140" s="1051" t="str">
        <f>IF(COUNTIF(E$112:E139,F140)&gt;0,"",F140)</f>
        <v>Plastique rigide PET autres emballages - Recyclage - Impacts, France continentale, Base Carbone</v>
      </c>
      <c r="F140" s="1051" t="str">
        <f t="shared" si="24"/>
        <v>Plastique rigide PET autres emballages - Recyclage - Impacts, France continentale, Base Carbone</v>
      </c>
      <c r="G140" s="1055" t="str">
        <f t="shared" si="25"/>
        <v>Plastique rigide PET autres emballages - Recyclage - Impacts, France continentale, Base Carbone; kgCO2e/tonne</v>
      </c>
      <c r="I140" s="2018" t="s">
        <v>4863</v>
      </c>
      <c r="J140" s="1135" t="s">
        <v>1585</v>
      </c>
      <c r="K140" s="1135" t="s">
        <v>1567</v>
      </c>
      <c r="L140" s="1135" t="s">
        <v>1571</v>
      </c>
      <c r="M140" s="2062">
        <v>0.2</v>
      </c>
      <c r="N140" s="1135"/>
      <c r="O140" s="2046">
        <v>662</v>
      </c>
      <c r="P140" s="1980">
        <v>662</v>
      </c>
      <c r="Q140" s="1980">
        <v>0</v>
      </c>
      <c r="R140" s="1980">
        <v>0</v>
      </c>
      <c r="S140" s="1980">
        <v>0</v>
      </c>
      <c r="T140" s="1980">
        <v>0</v>
      </c>
      <c r="U140" s="2036">
        <v>0</v>
      </c>
    </row>
    <row r="141" spans="2:21" outlineLevel="2">
      <c r="B141" s="1050">
        <v>29</v>
      </c>
      <c r="C141" s="1050" t="str">
        <f t="shared" si="22"/>
        <v>Plastique rigide PET bouteilles - Recyclage - Impacts, France continentale, Base Carbone</v>
      </c>
      <c r="D141" s="1051">
        <f t="shared" si="23"/>
        <v>29</v>
      </c>
      <c r="E141" s="1051" t="str">
        <f>IF(COUNTIF(E$112:E140,F141)&gt;0,"",F141)</f>
        <v>Plastique rigide PET bouteilles - Recyclage - Impacts, France continentale, Base Carbone</v>
      </c>
      <c r="F141" s="1051" t="str">
        <f t="shared" si="24"/>
        <v>Plastique rigide PET bouteilles - Recyclage - Impacts, France continentale, Base Carbone</v>
      </c>
      <c r="G141" s="1055" t="str">
        <f t="shared" si="25"/>
        <v>Plastique rigide PET bouteilles - Recyclage - Impacts, France continentale, Base Carbone; kgCO2e/tonne</v>
      </c>
      <c r="I141" s="2018" t="s">
        <v>4864</v>
      </c>
      <c r="J141" s="1135" t="s">
        <v>1585</v>
      </c>
      <c r="K141" s="1135" t="s">
        <v>1567</v>
      </c>
      <c r="L141" s="1135" t="s">
        <v>1571</v>
      </c>
      <c r="M141" s="2062">
        <v>0.2</v>
      </c>
      <c r="N141" s="1135"/>
      <c r="O141" s="2046">
        <v>662</v>
      </c>
      <c r="P141" s="1980">
        <v>662</v>
      </c>
      <c r="Q141" s="1980">
        <v>0</v>
      </c>
      <c r="R141" s="1980">
        <v>0</v>
      </c>
      <c r="S141" s="1980">
        <v>0</v>
      </c>
      <c r="T141" s="1980">
        <v>0</v>
      </c>
      <c r="U141" s="2036">
        <v>0</v>
      </c>
    </row>
    <row r="142" spans="2:21" outlineLevel="2">
      <c r="B142" s="1050">
        <v>30</v>
      </c>
      <c r="C142" s="1050" t="str">
        <f t="shared" si="22"/>
        <v>Plastique rigide pétrosourcé PE autres emballages - Fin de vie moyenne filière - Impacts, France continentale, Base Carbone</v>
      </c>
      <c r="D142" s="1051">
        <f t="shared" si="23"/>
        <v>30</v>
      </c>
      <c r="E142" s="1051" t="str">
        <f>IF(COUNTIF(E$112:E141,F142)&gt;0,"",F142)</f>
        <v>Plastique rigide pétrosourcé PE autres emballages - Fin de vie moyenne filière - Impacts, France continentale, Base Carbone</v>
      </c>
      <c r="F142" s="1051" t="str">
        <f t="shared" si="24"/>
        <v>Plastique rigide pétrosourcé PE autres emballages - Fin de vie moyenne filière - Impacts, France continentale, Base Carbone</v>
      </c>
      <c r="G142" s="1055" t="str">
        <f t="shared" si="25"/>
        <v>Plastique rigide pétrosourcé PE autres emballages - Fin de vie moyenne filière - Impacts, France continentale, Base Carbone; kgCO2e/tonne</v>
      </c>
      <c r="I142" s="2018" t="s">
        <v>4865</v>
      </c>
      <c r="J142" s="1135" t="s">
        <v>1585</v>
      </c>
      <c r="K142" s="1135" t="s">
        <v>1567</v>
      </c>
      <c r="L142" s="1135" t="s">
        <v>1571</v>
      </c>
      <c r="M142" s="2062">
        <v>0.2</v>
      </c>
      <c r="N142" s="1135"/>
      <c r="O142" s="2046">
        <v>1906</v>
      </c>
      <c r="P142" s="1980">
        <v>1906</v>
      </c>
      <c r="Q142" s="1980">
        <v>0</v>
      </c>
      <c r="R142" s="1980">
        <v>0</v>
      </c>
      <c r="S142" s="1980">
        <v>0</v>
      </c>
      <c r="T142" s="1980">
        <v>0</v>
      </c>
      <c r="U142" s="2036">
        <v>0</v>
      </c>
    </row>
    <row r="143" spans="2:21" outlineLevel="2">
      <c r="B143" s="1050">
        <v>31</v>
      </c>
      <c r="C143" s="1050" t="str">
        <f t="shared" si="22"/>
        <v>Plastique rigide pétrosourcé PE bouteilles - Fin de vie moyenne filière - Impacts, France continentale, Base Carbone</v>
      </c>
      <c r="D143" s="1051">
        <f t="shared" si="23"/>
        <v>31</v>
      </c>
      <c r="E143" s="1051" t="str">
        <f>IF(COUNTIF(E$112:E142,F143)&gt;0,"",F143)</f>
        <v>Plastique rigide pétrosourcé PE bouteilles - Fin de vie moyenne filière - Impacts, France continentale, Base Carbone</v>
      </c>
      <c r="F143" s="1051" t="str">
        <f t="shared" si="24"/>
        <v>Plastique rigide pétrosourcé PE bouteilles - Fin de vie moyenne filière - Impacts, France continentale, Base Carbone</v>
      </c>
      <c r="G143" s="1055" t="str">
        <f t="shared" si="25"/>
        <v>Plastique rigide pétrosourcé PE bouteilles - Fin de vie moyenne filière - Impacts, France continentale, Base Carbone; kgCO2e/tonne</v>
      </c>
      <c r="I143" s="2018" t="s">
        <v>4866</v>
      </c>
      <c r="J143" s="1135" t="s">
        <v>1585</v>
      </c>
      <c r="K143" s="1135" t="s">
        <v>1567</v>
      </c>
      <c r="L143" s="1135" t="s">
        <v>1571</v>
      </c>
      <c r="M143" s="2062">
        <v>0.2</v>
      </c>
      <c r="N143" s="1135"/>
      <c r="O143" s="2046">
        <v>1210</v>
      </c>
      <c r="P143" s="1980">
        <v>1210</v>
      </c>
      <c r="Q143" s="1980">
        <v>0</v>
      </c>
      <c r="R143" s="1980">
        <v>0</v>
      </c>
      <c r="S143" s="1980">
        <v>0</v>
      </c>
      <c r="T143" s="1980">
        <v>0</v>
      </c>
      <c r="U143" s="2036">
        <v>0</v>
      </c>
    </row>
    <row r="144" spans="2:21" outlineLevel="2">
      <c r="B144" s="1050">
        <v>32</v>
      </c>
      <c r="C144" s="1050" t="str">
        <f t="shared" si="22"/>
        <v>Plastique rigide pétrosourcé PET autres emballages - Fin de vie moyenne filière - Impacts, France continentale, Base Carbone</v>
      </c>
      <c r="D144" s="1051">
        <f t="shared" si="23"/>
        <v>32</v>
      </c>
      <c r="E144" s="1051" t="str">
        <f>IF(COUNTIF(E$112:E143,F144)&gt;0,"",F144)</f>
        <v>Plastique rigide pétrosourcé PET autres emballages - Fin de vie moyenne filière - Impacts, France continentale, Base Carbone</v>
      </c>
      <c r="F144" s="1051" t="str">
        <f t="shared" si="24"/>
        <v>Plastique rigide pétrosourcé PET autres emballages - Fin de vie moyenne filière - Impacts, France continentale, Base Carbone</v>
      </c>
      <c r="G144" s="1055" t="str">
        <f t="shared" si="25"/>
        <v>Plastique rigide pétrosourcé PET autres emballages - Fin de vie moyenne filière - Impacts, France continentale, Base Carbone; kgCO2e/tonne</v>
      </c>
      <c r="I144" s="2018" t="s">
        <v>4867</v>
      </c>
      <c r="J144" s="1135" t="s">
        <v>1585</v>
      </c>
      <c r="K144" s="1135" t="s">
        <v>1567</v>
      </c>
      <c r="L144" s="1135" t="s">
        <v>1571</v>
      </c>
      <c r="M144" s="2062">
        <v>0.2</v>
      </c>
      <c r="N144" s="1135"/>
      <c r="O144" s="2046">
        <v>1479</v>
      </c>
      <c r="P144" s="1980">
        <v>1479</v>
      </c>
      <c r="Q144" s="1980">
        <v>0</v>
      </c>
      <c r="R144" s="1980">
        <v>0</v>
      </c>
      <c r="S144" s="1980">
        <v>0</v>
      </c>
      <c r="T144" s="1980">
        <v>0</v>
      </c>
      <c r="U144" s="2036">
        <v>0</v>
      </c>
    </row>
    <row r="145" spans="2:21" outlineLevel="2">
      <c r="B145" s="1050">
        <v>33</v>
      </c>
      <c r="C145" s="1050" t="str">
        <f t="shared" si="22"/>
        <v>Plastique rigide pétrosourcé PET bouteilles - Fin de vie moyenne filière - Impacts, France continentale, Base Carbone</v>
      </c>
      <c r="D145" s="1051">
        <f t="shared" si="23"/>
        <v>33</v>
      </c>
      <c r="E145" s="1051" t="str">
        <f>IF(COUNTIF(E$112:E144,F145)&gt;0,"",F145)</f>
        <v>Plastique rigide pétrosourcé PET bouteilles - Fin de vie moyenne filière - Impacts, France continentale, Base Carbone</v>
      </c>
      <c r="F145" s="1051" t="str">
        <f t="shared" si="24"/>
        <v>Plastique rigide pétrosourcé PET bouteilles - Fin de vie moyenne filière - Impacts, France continentale, Base Carbone</v>
      </c>
      <c r="G145" s="1055" t="str">
        <f t="shared" si="25"/>
        <v>Plastique rigide pétrosourcé PET bouteilles - Fin de vie moyenne filière - Impacts, France continentale, Base Carbone; kgCO2e/tonne</v>
      </c>
      <c r="I145" s="2018" t="s">
        <v>4868</v>
      </c>
      <c r="J145" s="1135" t="s">
        <v>1585</v>
      </c>
      <c r="K145" s="1135" t="s">
        <v>1567</v>
      </c>
      <c r="L145" s="1135" t="s">
        <v>1571</v>
      </c>
      <c r="M145" s="2062">
        <v>0.2</v>
      </c>
      <c r="N145" s="1135"/>
      <c r="O145" s="2046">
        <v>1106</v>
      </c>
      <c r="P145" s="1980">
        <v>1106</v>
      </c>
      <c r="Q145" s="1980">
        <v>0</v>
      </c>
      <c r="R145" s="1980">
        <v>0</v>
      </c>
      <c r="S145" s="1980">
        <v>0</v>
      </c>
      <c r="T145" s="1980">
        <v>0</v>
      </c>
      <c r="U145" s="2036">
        <v>0</v>
      </c>
    </row>
    <row r="146" spans="2:21" outlineLevel="2">
      <c r="B146" s="1050">
        <v>34</v>
      </c>
      <c r="C146" s="1050" t="str">
        <f t="shared" si="22"/>
        <v>Plastique rigide pétrosourcé PP autres emballages - Fin de vie moyenne filière - Impacts, France continentale, Base Carbone</v>
      </c>
      <c r="D146" s="1051">
        <f t="shared" si="23"/>
        <v>34</v>
      </c>
      <c r="E146" s="1051" t="str">
        <f>IF(COUNTIF(E$112:E145,F146)&gt;0,"",F146)</f>
        <v>Plastique rigide pétrosourcé PP autres emballages - Fin de vie moyenne filière - Impacts, France continentale, Base Carbone</v>
      </c>
      <c r="F146" s="1051" t="str">
        <f t="shared" si="24"/>
        <v>Plastique rigide pétrosourcé PP autres emballages - Fin de vie moyenne filière - Impacts, France continentale, Base Carbone</v>
      </c>
      <c r="G146" s="1055" t="str">
        <f t="shared" si="25"/>
        <v>Plastique rigide pétrosourcé PP autres emballages - Fin de vie moyenne filière - Impacts, France continentale, Base Carbone; kgCO2e/tonne</v>
      </c>
      <c r="I146" s="2018" t="s">
        <v>4869</v>
      </c>
      <c r="J146" s="1135" t="s">
        <v>1585</v>
      </c>
      <c r="K146" s="1135" t="s">
        <v>1567</v>
      </c>
      <c r="L146" s="1135" t="s">
        <v>1571</v>
      </c>
      <c r="M146" s="2062">
        <v>0.2</v>
      </c>
      <c r="N146" s="1135"/>
      <c r="O146" s="2046">
        <v>1906</v>
      </c>
      <c r="P146" s="1980">
        <v>1906</v>
      </c>
      <c r="Q146" s="1980">
        <v>0</v>
      </c>
      <c r="R146" s="1980">
        <v>0</v>
      </c>
      <c r="S146" s="1980">
        <v>0</v>
      </c>
      <c r="T146" s="1980">
        <v>0</v>
      </c>
      <c r="U146" s="2036">
        <v>0</v>
      </c>
    </row>
    <row r="147" spans="2:21" outlineLevel="2">
      <c r="B147" s="1050">
        <v>35</v>
      </c>
      <c r="C147" s="1050" t="str">
        <f t="shared" si="22"/>
        <v>Plastique rigide pétrosourcé PP bouteilles - Fin de vie moyenne filière - Impacts, France continentale, Base Carbone</v>
      </c>
      <c r="D147" s="1051">
        <f t="shared" si="23"/>
        <v>35</v>
      </c>
      <c r="E147" s="1051" t="str">
        <f>IF(COUNTIF(E$112:E146,F147)&gt;0,"",F147)</f>
        <v>Plastique rigide pétrosourcé PP bouteilles - Fin de vie moyenne filière - Impacts, France continentale, Base Carbone</v>
      </c>
      <c r="F147" s="1051" t="str">
        <f t="shared" si="24"/>
        <v>Plastique rigide pétrosourcé PP bouteilles - Fin de vie moyenne filière - Impacts, France continentale, Base Carbone</v>
      </c>
      <c r="G147" s="1055" t="str">
        <f t="shared" si="25"/>
        <v>Plastique rigide pétrosourcé PP bouteilles - Fin de vie moyenne filière - Impacts, France continentale, Base Carbone; kgCO2e/tonne</v>
      </c>
      <c r="I147" s="2018" t="s">
        <v>4870</v>
      </c>
      <c r="J147" s="1135" t="s">
        <v>1585</v>
      </c>
      <c r="K147" s="1135" t="s">
        <v>1567</v>
      </c>
      <c r="L147" s="1135" t="s">
        <v>1571</v>
      </c>
      <c r="M147" s="2062">
        <v>0.2</v>
      </c>
      <c r="N147" s="1135"/>
      <c r="O147" s="2046">
        <v>1210</v>
      </c>
      <c r="P147" s="1980">
        <v>1210</v>
      </c>
      <c r="Q147" s="1980">
        <v>0</v>
      </c>
      <c r="R147" s="1980">
        <v>0</v>
      </c>
      <c r="S147" s="1980">
        <v>0</v>
      </c>
      <c r="T147" s="1980">
        <v>0</v>
      </c>
      <c r="U147" s="2036">
        <v>0</v>
      </c>
    </row>
    <row r="148" spans="2:21" outlineLevel="2">
      <c r="B148" s="1050">
        <v>36</v>
      </c>
      <c r="C148" s="1050" t="str">
        <f t="shared" si="22"/>
        <v>Plastique rigide PP - Recyclage granulés - Impacts, France continentale, Base Carbone</v>
      </c>
      <c r="D148" s="1051">
        <f t="shared" si="23"/>
        <v>36</v>
      </c>
      <c r="E148" s="1051" t="str">
        <f>IF(COUNTIF(E$112:E147,F148)&gt;0,"",F148)</f>
        <v>Plastique rigide PP - Recyclage granulés - Impacts, France continentale, Base Carbone</v>
      </c>
      <c r="F148" s="1051" t="str">
        <f t="shared" si="24"/>
        <v>Plastique rigide PP - Recyclage granulés - Impacts, France continentale, Base Carbone</v>
      </c>
      <c r="G148" s="1055" t="str">
        <f t="shared" si="25"/>
        <v>Plastique rigide PP - Recyclage granulés - Impacts, France continentale, Base Carbone; kgCO2e/tonne</v>
      </c>
      <c r="I148" s="2018" t="s">
        <v>4871</v>
      </c>
      <c r="J148" s="1135" t="s">
        <v>1585</v>
      </c>
      <c r="K148" s="1135" t="s">
        <v>1567</v>
      </c>
      <c r="L148" s="1135" t="s">
        <v>1571</v>
      </c>
      <c r="M148" s="2513">
        <v>0.1</v>
      </c>
      <c r="N148" s="1135"/>
      <c r="O148" s="2046">
        <v>173</v>
      </c>
      <c r="P148" s="1980">
        <v>173</v>
      </c>
      <c r="Q148" s="1980">
        <v>0</v>
      </c>
      <c r="R148" s="1980">
        <v>0</v>
      </c>
      <c r="S148" s="1980">
        <v>0</v>
      </c>
      <c r="T148" s="1980">
        <v>0</v>
      </c>
      <c r="U148" s="2036">
        <v>0</v>
      </c>
    </row>
    <row r="149" spans="2:21" outlineLevel="2">
      <c r="B149" s="1050">
        <v>37</v>
      </c>
      <c r="C149" s="1050" t="str">
        <f t="shared" si="22"/>
        <v>Plastique rigide PP autres emballages - Recyclage - Impacts, France continentale, Base Carbone</v>
      </c>
      <c r="D149" s="1051">
        <f t="shared" si="23"/>
        <v>37</v>
      </c>
      <c r="E149" s="1051" t="str">
        <f>IF(COUNTIF(E$112:E148,F149)&gt;0,"",F149)</f>
        <v>Plastique rigide PP autres emballages - Recyclage - Impacts, France continentale, Base Carbone</v>
      </c>
      <c r="F149" s="1051" t="str">
        <f t="shared" si="24"/>
        <v>Plastique rigide PP autres emballages - Recyclage - Impacts, France continentale, Base Carbone</v>
      </c>
      <c r="G149" s="1055" t="str">
        <f t="shared" si="25"/>
        <v>Plastique rigide PP autres emballages - Recyclage - Impacts, France continentale, Base Carbone; kgCO2e/tonne</v>
      </c>
      <c r="I149" s="2018" t="s">
        <v>4872</v>
      </c>
      <c r="J149" s="1135" t="s">
        <v>1585</v>
      </c>
      <c r="K149" s="1135" t="s">
        <v>1567</v>
      </c>
      <c r="L149" s="1135" t="s">
        <v>1571</v>
      </c>
      <c r="M149" s="2519">
        <v>0.2</v>
      </c>
      <c r="N149" s="1135"/>
      <c r="O149" s="2046">
        <v>434</v>
      </c>
      <c r="P149" s="1980">
        <v>434</v>
      </c>
      <c r="Q149" s="1980">
        <v>0</v>
      </c>
      <c r="R149" s="1980">
        <v>0</v>
      </c>
      <c r="S149" s="1980">
        <v>0</v>
      </c>
      <c r="T149" s="1980">
        <v>0</v>
      </c>
      <c r="U149" s="2036">
        <v>0</v>
      </c>
    </row>
    <row r="150" spans="2:21" outlineLevel="2">
      <c r="B150" s="1050">
        <v>38</v>
      </c>
      <c r="C150" s="1050" t="str">
        <f t="shared" si="22"/>
        <v>Plastique rigide PP bouteilles - Recyclage - Impacts, France continentale, Base Carbone</v>
      </c>
      <c r="D150" s="1051">
        <f t="shared" si="23"/>
        <v>38</v>
      </c>
      <c r="E150" s="1051" t="str">
        <f>IF(COUNTIF(E$112:E149,F150)&gt;0,"",F150)</f>
        <v>Plastique rigide PP bouteilles - Recyclage - Impacts, France continentale, Base Carbone</v>
      </c>
      <c r="F150" s="1051" t="str">
        <f t="shared" si="24"/>
        <v>Plastique rigide PP bouteilles - Recyclage - Impacts, France continentale, Base Carbone</v>
      </c>
      <c r="G150" s="1055" t="str">
        <f t="shared" si="25"/>
        <v>Plastique rigide PP bouteilles - Recyclage - Impacts, France continentale, Base Carbone; kgCO2e/tonne</v>
      </c>
      <c r="I150" s="2018" t="s">
        <v>4873</v>
      </c>
      <c r="J150" s="1135" t="s">
        <v>1585</v>
      </c>
      <c r="K150" s="1135" t="s">
        <v>1567</v>
      </c>
      <c r="L150" s="1135" t="s">
        <v>1571</v>
      </c>
      <c r="M150" s="2519">
        <v>0.2</v>
      </c>
      <c r="N150" s="1135"/>
      <c r="O150" s="2046">
        <v>434</v>
      </c>
      <c r="P150" s="1980">
        <v>434</v>
      </c>
      <c r="Q150" s="1980">
        <v>0</v>
      </c>
      <c r="R150" s="1980">
        <v>0</v>
      </c>
      <c r="S150" s="1980">
        <v>0</v>
      </c>
      <c r="T150" s="1980">
        <v>0</v>
      </c>
      <c r="U150" s="2036">
        <v>0</v>
      </c>
    </row>
    <row r="151" spans="2:21" outlineLevel="2">
      <c r="B151" s="1050">
        <v>39</v>
      </c>
      <c r="C151" s="1050" t="str">
        <f t="shared" si="22"/>
        <v>Plastique rigide PS-PSE - Fin de vie moyenne filière - Impacts, France continentale, Base Carbone</v>
      </c>
      <c r="D151" s="1051">
        <f t="shared" si="23"/>
        <v>39</v>
      </c>
      <c r="E151" s="1051" t="str">
        <f>IF(COUNTIF(E$112:E150,F151)&gt;0,"",F151)</f>
        <v>Plastique rigide PS-PSE - Fin de vie moyenne filière - Impacts, France continentale, Base Carbone</v>
      </c>
      <c r="F151" s="1051" t="str">
        <f t="shared" si="24"/>
        <v>Plastique rigide PS-PSE - Fin de vie moyenne filière - Impacts, France continentale, Base Carbone</v>
      </c>
      <c r="G151" s="1055" t="str">
        <f t="shared" si="25"/>
        <v>Plastique rigide PS-PSE - Fin de vie moyenne filière - Impacts, France continentale, Base Carbone; kgCO2e/tonne</v>
      </c>
      <c r="I151" s="2018" t="s">
        <v>4874</v>
      </c>
      <c r="J151" s="1135" t="s">
        <v>1585</v>
      </c>
      <c r="K151" s="1135" t="s">
        <v>1567</v>
      </c>
      <c r="L151" s="1135" t="s">
        <v>1571</v>
      </c>
      <c r="M151" s="2519">
        <v>0.2</v>
      </c>
      <c r="N151" s="1135"/>
      <c r="O151" s="2046">
        <v>2060</v>
      </c>
      <c r="P151" s="1980">
        <v>2060</v>
      </c>
      <c r="Q151" s="1980">
        <v>0</v>
      </c>
      <c r="R151" s="1980">
        <v>0</v>
      </c>
      <c r="S151" s="1980">
        <v>0</v>
      </c>
      <c r="T151" s="1980">
        <v>0</v>
      </c>
      <c r="U151" s="2036">
        <v>0</v>
      </c>
    </row>
    <row r="152" spans="2:21" outlineLevel="2">
      <c r="B152" s="1050">
        <v>40</v>
      </c>
      <c r="C152" s="1050" t="str">
        <f t="shared" si="22"/>
        <v>Plastique rigide PS-PSE - Incinération - Impacts, France continentale, Base Carbone</v>
      </c>
      <c r="D152" s="1051">
        <f t="shared" si="23"/>
        <v>40</v>
      </c>
      <c r="E152" s="1051" t="str">
        <f>IF(COUNTIF(E$112:E151,F152)&gt;0,"",F152)</f>
        <v>Plastique rigide PS-PSE - Incinération - Impacts, France continentale, Base Carbone</v>
      </c>
      <c r="F152" s="1051" t="str">
        <f t="shared" si="24"/>
        <v>Plastique rigide PS-PSE - Incinération - Impacts, France continentale, Base Carbone</v>
      </c>
      <c r="G152" s="1055" t="str">
        <f t="shared" si="25"/>
        <v>Plastique rigide PS-PSE - Incinération - Impacts, France continentale, Base Carbone; kgCO2e/tonne</v>
      </c>
      <c r="I152" s="2018" t="s">
        <v>4875</v>
      </c>
      <c r="J152" s="1135" t="s">
        <v>1585</v>
      </c>
      <c r="K152" s="1135" t="s">
        <v>1567</v>
      </c>
      <c r="L152" s="1135" t="s">
        <v>1571</v>
      </c>
      <c r="M152" s="2519">
        <v>0.2</v>
      </c>
      <c r="N152" s="1135"/>
      <c r="O152" s="2046">
        <v>2967</v>
      </c>
      <c r="P152" s="1980">
        <v>2967</v>
      </c>
      <c r="Q152" s="1980">
        <v>0</v>
      </c>
      <c r="R152" s="1980">
        <v>0</v>
      </c>
      <c r="S152" s="1980">
        <v>0</v>
      </c>
      <c r="T152" s="1980">
        <v>0</v>
      </c>
      <c r="U152" s="2036">
        <v>0</v>
      </c>
    </row>
    <row r="153" spans="2:21" outlineLevel="2">
      <c r="B153" s="1050">
        <v>41</v>
      </c>
      <c r="C153" s="1050" t="str">
        <f t="shared" si="22"/>
        <v>Plastique rigide PS-PSE - Stockage - Impacts, France continentale, Base Carbone</v>
      </c>
      <c r="D153" s="1051">
        <f t="shared" si="23"/>
        <v>41</v>
      </c>
      <c r="E153" s="1051" t="str">
        <f>IF(COUNTIF(E$112:E152,F153)&gt;0,"",F153)</f>
        <v>Plastique rigide PS-PSE - Stockage - Impacts, France continentale, Base Carbone</v>
      </c>
      <c r="F153" s="1051" t="str">
        <f t="shared" si="24"/>
        <v>Plastique rigide PS-PSE - Stockage - Impacts, France continentale, Base Carbone</v>
      </c>
      <c r="G153" s="1055" t="str">
        <f t="shared" si="25"/>
        <v>Plastique rigide PS-PSE - Stockage - Impacts, France continentale, Base Carbone; kgCO2e/tonne</v>
      </c>
      <c r="I153" s="2018" t="s">
        <v>4876</v>
      </c>
      <c r="J153" s="1135" t="s">
        <v>1585</v>
      </c>
      <c r="K153" s="1135" t="s">
        <v>1567</v>
      </c>
      <c r="L153" s="1135" t="s">
        <v>1571</v>
      </c>
      <c r="M153" s="2519">
        <v>0.2</v>
      </c>
      <c r="N153" s="1135"/>
      <c r="O153" s="2046">
        <v>41</v>
      </c>
      <c r="P153" s="1980">
        <v>41</v>
      </c>
      <c r="Q153" s="1980">
        <v>0</v>
      </c>
      <c r="R153" s="1980">
        <v>0</v>
      </c>
      <c r="S153" s="1980">
        <v>0</v>
      </c>
      <c r="T153" s="1980">
        <v>0</v>
      </c>
      <c r="U153" s="2036">
        <v>0</v>
      </c>
    </row>
    <row r="154" spans="2:21" outlineLevel="2">
      <c r="B154" s="1050">
        <v>42</v>
      </c>
      <c r="C154" s="1050" t="str">
        <f t="shared" si="22"/>
        <v>Plastique rigide PVC - Fin de vie moyenne filière - Impacts, France continentale, Base Carbone</v>
      </c>
      <c r="D154" s="1051">
        <f t="shared" si="23"/>
        <v>42</v>
      </c>
      <c r="E154" s="1051" t="str">
        <f>IF(COUNTIF(E$112:E153,F154)&gt;0,"",F154)</f>
        <v>Plastique rigide PVC - Fin de vie moyenne filière - Impacts, France continentale, Base Carbone</v>
      </c>
      <c r="F154" s="1051" t="str">
        <f t="shared" si="24"/>
        <v>Plastique rigide PVC - Fin de vie moyenne filière - Impacts, France continentale, Base Carbone</v>
      </c>
      <c r="G154" s="1055" t="str">
        <f t="shared" si="25"/>
        <v>Plastique rigide PVC - Fin de vie moyenne filière - Impacts, France continentale, Base Carbone; kgCO2e/tonne</v>
      </c>
      <c r="I154" s="2018" t="s">
        <v>4877</v>
      </c>
      <c r="J154" s="1135" t="s">
        <v>1585</v>
      </c>
      <c r="K154" s="1135" t="s">
        <v>1567</v>
      </c>
      <c r="L154" s="1135" t="s">
        <v>1571</v>
      </c>
      <c r="M154" s="2519">
        <v>0.2</v>
      </c>
      <c r="N154" s="1135"/>
      <c r="O154" s="2046">
        <v>3296</v>
      </c>
      <c r="P154" s="1980">
        <v>3196</v>
      </c>
      <c r="Q154" s="1980">
        <v>0</v>
      </c>
      <c r="R154" s="1980">
        <v>0</v>
      </c>
      <c r="S154" s="1980">
        <v>0</v>
      </c>
      <c r="T154" s="1980">
        <v>0</v>
      </c>
      <c r="U154" s="2036">
        <v>0</v>
      </c>
    </row>
    <row r="155" spans="2:21" outlineLevel="2">
      <c r="B155" s="1050">
        <v>43</v>
      </c>
      <c r="C155" s="1050" t="str">
        <f t="shared" si="22"/>
        <v>Plastique rigide PVC - Incinération - Impacts, France continentale, Base Carbone</v>
      </c>
      <c r="D155" s="1051">
        <f t="shared" si="23"/>
        <v>43</v>
      </c>
      <c r="E155" s="1051" t="str">
        <f>IF(COUNTIF(E$112:E154,F155)&gt;0,"",F155)</f>
        <v>Plastique rigide PVC - Incinération - Impacts, France continentale, Base Carbone</v>
      </c>
      <c r="F155" s="1051" t="str">
        <f t="shared" si="24"/>
        <v>Plastique rigide PVC - Incinération - Impacts, France continentale, Base Carbone</v>
      </c>
      <c r="G155" s="1055" t="str">
        <f t="shared" si="25"/>
        <v>Plastique rigide PVC - Incinération - Impacts, France continentale, Base Carbone; kgCO2e/tonne</v>
      </c>
      <c r="I155" s="2018" t="s">
        <v>4878</v>
      </c>
      <c r="J155" s="1135" t="s">
        <v>1585</v>
      </c>
      <c r="K155" s="1135" t="s">
        <v>1567</v>
      </c>
      <c r="L155" s="1135" t="s">
        <v>1571</v>
      </c>
      <c r="M155" s="2519">
        <v>0.2</v>
      </c>
      <c r="N155" s="1135"/>
      <c r="O155" s="2046">
        <v>4613</v>
      </c>
      <c r="P155" s="1980">
        <v>4613</v>
      </c>
      <c r="Q155" s="1980">
        <v>0</v>
      </c>
      <c r="R155" s="1980">
        <v>0</v>
      </c>
      <c r="S155" s="1980">
        <v>0</v>
      </c>
      <c r="T155" s="1980">
        <v>0</v>
      </c>
      <c r="U155" s="2036">
        <v>0</v>
      </c>
    </row>
    <row r="156" spans="2:21" outlineLevel="2">
      <c r="B156" s="1050">
        <v>44</v>
      </c>
      <c r="C156" s="1050" t="str">
        <f t="shared" si="22"/>
        <v>Plastique rigide PVC - Stockage - Impacts, France continentale, Base Carbone</v>
      </c>
      <c r="D156" s="1051">
        <f t="shared" si="23"/>
        <v>44</v>
      </c>
      <c r="E156" s="1051" t="str">
        <f>IF(COUNTIF(E$112:E155,F156)&gt;0,"",F156)</f>
        <v>Plastique rigide PVC - Stockage - Impacts, France continentale, Base Carbone</v>
      </c>
      <c r="F156" s="1051" t="str">
        <f t="shared" si="24"/>
        <v>Plastique rigide PVC - Stockage - Impacts, France continentale, Base Carbone</v>
      </c>
      <c r="G156" s="1055" t="str">
        <f t="shared" si="25"/>
        <v>Plastique rigide PVC - Stockage - Impacts, France continentale, Base Carbone; kgCO2e/tonne</v>
      </c>
      <c r="I156" s="2018" t="s">
        <v>4879</v>
      </c>
      <c r="J156" s="1135" t="s">
        <v>1585</v>
      </c>
      <c r="K156" s="1135" t="s">
        <v>1567</v>
      </c>
      <c r="L156" s="1135" t="s">
        <v>1571</v>
      </c>
      <c r="M156" s="2519">
        <v>0.2</v>
      </c>
      <c r="N156" s="1135"/>
      <c r="O156" s="2046">
        <v>41</v>
      </c>
      <c r="P156" s="1980">
        <v>41</v>
      </c>
      <c r="Q156" s="1980">
        <v>0</v>
      </c>
      <c r="R156" s="1980">
        <v>0</v>
      </c>
      <c r="S156" s="1980">
        <v>0</v>
      </c>
      <c r="T156" s="1980">
        <v>0</v>
      </c>
      <c r="U156" s="2036">
        <v>0</v>
      </c>
    </row>
    <row r="157" spans="2:21" outlineLevel="2">
      <c r="B157" s="1050">
        <v>45</v>
      </c>
      <c r="C157" s="1050" t="str">
        <f t="shared" si="22"/>
        <v>Plastique souple PE - Recyclage - Impacts, France continentale, Base Carbone</v>
      </c>
      <c r="D157" s="1051">
        <f t="shared" si="23"/>
        <v>45</v>
      </c>
      <c r="E157" s="1051" t="str">
        <f>IF(COUNTIF(E$112:E156,F157)&gt;0,"",F157)</f>
        <v>Plastique souple PE - Recyclage - Impacts, France continentale, Base Carbone</v>
      </c>
      <c r="F157" s="1051" t="str">
        <f t="shared" si="24"/>
        <v>Plastique souple PE - Recyclage - Impacts, France continentale, Base Carbone</v>
      </c>
      <c r="G157" s="1055" t="str">
        <f t="shared" si="25"/>
        <v>Plastique souple PE - Recyclage - Impacts, France continentale, Base Carbone; kgCO2e/tonne</v>
      </c>
      <c r="I157" s="2018" t="s">
        <v>4880</v>
      </c>
      <c r="J157" s="1135" t="s">
        <v>1585</v>
      </c>
      <c r="K157" s="1135" t="s">
        <v>1567</v>
      </c>
      <c r="L157" s="1135" t="s">
        <v>1571</v>
      </c>
      <c r="M157" s="2519">
        <v>0.2</v>
      </c>
      <c r="N157" s="1135"/>
      <c r="O157" s="2046">
        <v>530</v>
      </c>
      <c r="P157" s="1980">
        <v>530</v>
      </c>
      <c r="Q157" s="1980">
        <v>0</v>
      </c>
      <c r="R157" s="1980">
        <v>0</v>
      </c>
      <c r="S157" s="1980">
        <v>0</v>
      </c>
      <c r="T157" s="1980">
        <v>0</v>
      </c>
      <c r="U157" s="2036">
        <v>0</v>
      </c>
    </row>
    <row r="158" spans="2:21" outlineLevel="2">
      <c r="B158" s="1050">
        <v>46</v>
      </c>
      <c r="C158" s="1050" t="str">
        <f t="shared" si="22"/>
        <v>Plastique souple PE - Recyclage granulés - Impacts, France continentale, Base Carbone</v>
      </c>
      <c r="D158" s="1051">
        <f t="shared" si="23"/>
        <v>46</v>
      </c>
      <c r="E158" s="1051" t="str">
        <f>IF(COUNTIF(E$112:E157,F158)&gt;0,"",F158)</f>
        <v>Plastique souple PE - Recyclage granulés - Impacts, France continentale, Base Carbone</v>
      </c>
      <c r="F158" s="1051" t="str">
        <f t="shared" si="24"/>
        <v>Plastique souple PE - Recyclage granulés - Impacts, France continentale, Base Carbone</v>
      </c>
      <c r="G158" s="1055" t="str">
        <f t="shared" si="25"/>
        <v>Plastique souple PE - Recyclage granulés - Impacts, France continentale, Base Carbone; kgCO2e/tonne</v>
      </c>
      <c r="I158" s="2018" t="s">
        <v>4881</v>
      </c>
      <c r="J158" s="1135" t="s">
        <v>1585</v>
      </c>
      <c r="K158" s="1135" t="s">
        <v>1567</v>
      </c>
      <c r="L158" s="1135" t="s">
        <v>1571</v>
      </c>
      <c r="M158" s="2519">
        <v>0.1</v>
      </c>
      <c r="N158" s="1135"/>
      <c r="O158" s="2046">
        <v>134</v>
      </c>
      <c r="P158" s="1980">
        <v>134</v>
      </c>
      <c r="Q158" s="1980">
        <v>0</v>
      </c>
      <c r="R158" s="1980">
        <v>0</v>
      </c>
      <c r="S158" s="1980">
        <v>0</v>
      </c>
      <c r="T158" s="1980">
        <v>0</v>
      </c>
      <c r="U158" s="2036">
        <v>0</v>
      </c>
    </row>
    <row r="159" spans="2:21" outlineLevel="2">
      <c r="B159" s="1050">
        <v>47</v>
      </c>
      <c r="C159" s="1050" t="str">
        <f t="shared" si="22"/>
        <v>Plastique souple PE biosourcé - Fin de vie moyenne filière - Impacts, France continentale, Base Carbone</v>
      </c>
      <c r="D159" s="1051">
        <f t="shared" si="23"/>
        <v>47</v>
      </c>
      <c r="E159" s="1051" t="str">
        <f>IF(COUNTIF(E$112:E158,F159)&gt;0,"",F159)</f>
        <v>Plastique souple PE biosourcé - Fin de vie moyenne filière - Impacts, France continentale, Base Carbone</v>
      </c>
      <c r="F159" s="1051" t="str">
        <f t="shared" si="24"/>
        <v>Plastique souple PE biosourcé - Fin de vie moyenne filière - Impacts, France continentale, Base Carbone</v>
      </c>
      <c r="G159" s="1055" t="str">
        <f t="shared" si="25"/>
        <v>Plastique souple PE biosourcé - Fin de vie moyenne filière - Impacts, France continentale, Base Carbone; kgCO2e/tonne</v>
      </c>
      <c r="I159" s="2018" t="s">
        <v>4882</v>
      </c>
      <c r="J159" s="1135" t="s">
        <v>1585</v>
      </c>
      <c r="K159" s="1135" t="s">
        <v>1567</v>
      </c>
      <c r="L159" s="1135" t="s">
        <v>1571</v>
      </c>
      <c r="M159" s="2062">
        <v>0.5</v>
      </c>
      <c r="N159" s="1135"/>
      <c r="O159" s="2046">
        <v>102</v>
      </c>
      <c r="P159" s="1980">
        <v>102</v>
      </c>
      <c r="Q159" s="1980">
        <v>0</v>
      </c>
      <c r="R159" s="1980">
        <v>0</v>
      </c>
      <c r="S159" s="1980">
        <v>0</v>
      </c>
      <c r="T159" s="1980">
        <v>0</v>
      </c>
      <c r="U159" s="2036">
        <v>0</v>
      </c>
    </row>
    <row r="160" spans="2:21" outlineLevel="2">
      <c r="B160" s="1050">
        <v>48</v>
      </c>
      <c r="C160" s="1050" t="str">
        <f t="shared" si="22"/>
        <v>Plastique souple PE pétrosourcé - Fin de vie moyenne filière - Impacts, France continentale, Base Carbone</v>
      </c>
      <c r="D160" s="1051">
        <f t="shared" si="23"/>
        <v>48</v>
      </c>
      <c r="E160" s="1051" t="str">
        <f>IF(COUNTIF(E$112:E159,F160)&gt;0,"",F160)</f>
        <v>Plastique souple PE pétrosourcé - Fin de vie moyenne filière - Impacts, France continentale, Base Carbone</v>
      </c>
      <c r="F160" s="1051" t="str">
        <f t="shared" si="24"/>
        <v>Plastique souple PE pétrosourcé - Fin de vie moyenne filière - Impacts, France continentale, Base Carbone</v>
      </c>
      <c r="G160" s="1055" t="str">
        <f t="shared" si="25"/>
        <v>Plastique souple PE pétrosourcé - Fin de vie moyenne filière - Impacts, France continentale, Base Carbone; kgCO2e/tonne</v>
      </c>
      <c r="I160" s="2018" t="s">
        <v>4883</v>
      </c>
      <c r="J160" s="1135" t="s">
        <v>1585</v>
      </c>
      <c r="K160" s="1135" t="s">
        <v>1567</v>
      </c>
      <c r="L160" s="1135" t="s">
        <v>1571</v>
      </c>
      <c r="M160" s="2062">
        <v>0.2</v>
      </c>
      <c r="N160" s="1135"/>
      <c r="O160" s="2046">
        <v>1907</v>
      </c>
      <c r="P160" s="1980">
        <v>1907</v>
      </c>
      <c r="Q160" s="1980">
        <v>0</v>
      </c>
      <c r="R160" s="1980">
        <v>0</v>
      </c>
      <c r="S160" s="1980">
        <v>0</v>
      </c>
      <c r="T160" s="1980">
        <v>0</v>
      </c>
      <c r="U160" s="2036">
        <v>0</v>
      </c>
    </row>
    <row r="161" spans="2:21" outlineLevel="2">
      <c r="B161" s="1050">
        <v>49</v>
      </c>
      <c r="C161" s="1050" t="str">
        <f t="shared" si="22"/>
        <v>Plastique souple PET biosourcé - Fin de vie moyenne filière - Impacts, France continentale, Base Carbone</v>
      </c>
      <c r="D161" s="1051">
        <f t="shared" si="23"/>
        <v>49</v>
      </c>
      <c r="E161" s="1051" t="str">
        <f>IF(COUNTIF(E$112:E160,F161)&gt;0,"",F161)</f>
        <v>Plastique souple PET biosourcé - Fin de vie moyenne filière - Impacts, France continentale, Base Carbone</v>
      </c>
      <c r="F161" s="1051" t="str">
        <f t="shared" si="24"/>
        <v>Plastique souple PET biosourcé - Fin de vie moyenne filière - Impacts, France continentale, Base Carbone</v>
      </c>
      <c r="G161" s="1055" t="str">
        <f t="shared" si="25"/>
        <v>Plastique souple PET biosourcé - Fin de vie moyenne filière - Impacts, France continentale, Base Carbone; kgCO2e/tonne</v>
      </c>
      <c r="I161" s="2018" t="s">
        <v>4884</v>
      </c>
      <c r="J161" s="1135" t="s">
        <v>1585</v>
      </c>
      <c r="K161" s="1135" t="s">
        <v>1567</v>
      </c>
      <c r="L161" s="1135" t="s">
        <v>1571</v>
      </c>
      <c r="M161" s="2062">
        <v>0.5</v>
      </c>
      <c r="N161" s="1135"/>
      <c r="O161" s="2046">
        <v>123</v>
      </c>
      <c r="P161" s="1980">
        <v>123</v>
      </c>
      <c r="Q161" s="1980">
        <v>0</v>
      </c>
      <c r="R161" s="1980">
        <v>0</v>
      </c>
      <c r="S161" s="1980">
        <v>0</v>
      </c>
      <c r="T161" s="1980">
        <v>0</v>
      </c>
      <c r="U161" s="2036">
        <v>0</v>
      </c>
    </row>
    <row r="162" spans="2:21" outlineLevel="2">
      <c r="B162" s="1050">
        <v>50</v>
      </c>
      <c r="C162" s="1050" t="str">
        <f t="shared" si="22"/>
        <v>Plastique souple PET pétrosourcé - Fin de vie moyenne filière - Impacts, France continentale, Base Carbone</v>
      </c>
      <c r="D162" s="1051">
        <f t="shared" si="23"/>
        <v>50</v>
      </c>
      <c r="E162" s="1051" t="str">
        <f>IF(COUNTIF(E$112:E161,F162)&gt;0,"",F162)</f>
        <v>Plastique souple PET pétrosourcé - Fin de vie moyenne filière - Impacts, France continentale, Base Carbone</v>
      </c>
      <c r="F162" s="1051" t="str">
        <f t="shared" si="24"/>
        <v>Plastique souple PET pétrosourcé - Fin de vie moyenne filière - Impacts, France continentale, Base Carbone</v>
      </c>
      <c r="G162" s="1055" t="str">
        <f t="shared" si="25"/>
        <v>Plastique souple PET pétrosourcé - Fin de vie moyenne filière - Impacts, France continentale, Base Carbone; kgCO2e/tonne</v>
      </c>
      <c r="I162" s="2018" t="s">
        <v>4885</v>
      </c>
      <c r="J162" s="1135" t="s">
        <v>1585</v>
      </c>
      <c r="K162" s="1135" t="s">
        <v>1567</v>
      </c>
      <c r="L162" s="1135" t="s">
        <v>1571</v>
      </c>
      <c r="M162" s="2062">
        <v>0.2</v>
      </c>
      <c r="N162" s="1135"/>
      <c r="O162" s="2046">
        <v>1649</v>
      </c>
      <c r="P162" s="1980">
        <v>1649</v>
      </c>
      <c r="Q162" s="1980">
        <v>0</v>
      </c>
      <c r="R162" s="1980">
        <v>0</v>
      </c>
      <c r="S162" s="1980">
        <v>0</v>
      </c>
      <c r="T162" s="1980">
        <v>0</v>
      </c>
      <c r="U162" s="2036">
        <v>0</v>
      </c>
    </row>
    <row r="163" spans="2:21" outlineLevel="2">
      <c r="B163" s="1050">
        <v>51</v>
      </c>
      <c r="C163" s="1050" t="str">
        <f t="shared" si="22"/>
        <v>Plastique souple PP biosourcé - Fin de vie moyenne filière - Impacts, France continentale, Base Carbone</v>
      </c>
      <c r="D163" s="1051">
        <f t="shared" si="23"/>
        <v>51</v>
      </c>
      <c r="E163" s="1051" t="str">
        <f>IF(COUNTIF(E$112:E162,F163)&gt;0,"",F163)</f>
        <v>Plastique souple PP biosourcé - Fin de vie moyenne filière - Impacts, France continentale, Base Carbone</v>
      </c>
      <c r="F163" s="1051" t="str">
        <f t="shared" si="24"/>
        <v>Plastique souple PP biosourcé - Fin de vie moyenne filière - Impacts, France continentale, Base Carbone</v>
      </c>
      <c r="G163" s="1055" t="str">
        <f t="shared" si="25"/>
        <v>Plastique souple PP biosourcé - Fin de vie moyenne filière - Impacts, France continentale, Base Carbone; kgCO2e/tonne</v>
      </c>
      <c r="I163" s="2018" t="s">
        <v>4886</v>
      </c>
      <c r="J163" s="1135" t="s">
        <v>1585</v>
      </c>
      <c r="K163" s="1135" t="s">
        <v>1567</v>
      </c>
      <c r="L163" s="1135" t="s">
        <v>1571</v>
      </c>
      <c r="M163" s="2062">
        <v>0.5</v>
      </c>
      <c r="N163" s="1135"/>
      <c r="O163" s="2046">
        <v>97</v>
      </c>
      <c r="P163" s="1980">
        <v>97</v>
      </c>
      <c r="Q163" s="1980">
        <v>0</v>
      </c>
      <c r="R163" s="1980">
        <v>0</v>
      </c>
      <c r="S163" s="1980">
        <v>0</v>
      </c>
      <c r="T163" s="1980">
        <v>0</v>
      </c>
      <c r="U163" s="2036">
        <v>0</v>
      </c>
    </row>
    <row r="164" spans="2:21" outlineLevel="2">
      <c r="B164" s="1050">
        <v>52</v>
      </c>
      <c r="C164" s="1050" t="str">
        <f t="shared" si="22"/>
        <v>Plastique souple PP pétrosourcé - Fin de vie moyenne filière - Impacts, France continentale, Base Carbone</v>
      </c>
      <c r="D164" s="1051">
        <f t="shared" si="23"/>
        <v>52</v>
      </c>
      <c r="E164" s="1051" t="str">
        <f>IF(COUNTIF(E$112:E163,F164)&gt;0,"",F164)</f>
        <v>Plastique souple PP pétrosourcé - Fin de vie moyenne filière - Impacts, France continentale, Base Carbone</v>
      </c>
      <c r="F164" s="1051" t="str">
        <f t="shared" si="24"/>
        <v>Plastique souple PP pétrosourcé - Fin de vie moyenne filière - Impacts, France continentale, Base Carbone</v>
      </c>
      <c r="G164" s="1055" t="str">
        <f t="shared" si="25"/>
        <v>Plastique souple PP pétrosourcé - Fin de vie moyenne filière - Impacts, France continentale, Base Carbone; kgCO2e/tonne</v>
      </c>
      <c r="I164" s="2018" t="s">
        <v>4887</v>
      </c>
      <c r="J164" s="1135" t="s">
        <v>1585</v>
      </c>
      <c r="K164" s="1135" t="s">
        <v>1567</v>
      </c>
      <c r="L164" s="1135" t="s">
        <v>1571</v>
      </c>
      <c r="M164" s="2062">
        <v>0.2</v>
      </c>
      <c r="N164" s="1135"/>
      <c r="O164" s="2046">
        <v>1923</v>
      </c>
      <c r="P164" s="1980">
        <v>1923</v>
      </c>
      <c r="Q164" s="1980">
        <v>0</v>
      </c>
      <c r="R164" s="1980">
        <v>0</v>
      </c>
      <c r="S164" s="1980">
        <v>0</v>
      </c>
      <c r="T164" s="1980">
        <v>0</v>
      </c>
      <c r="U164" s="2036">
        <v>0</v>
      </c>
    </row>
    <row r="165" spans="2:21" outlineLevel="2">
      <c r="B165" s="1050">
        <v>53</v>
      </c>
      <c r="C165" s="1050" t="str">
        <f t="shared" si="22"/>
        <v>-</v>
      </c>
      <c r="D165" s="1051">
        <f t="shared" si="23"/>
        <v>52</v>
      </c>
      <c r="E165" s="1051" t="str">
        <f>IF(COUNTIF(E$112:E164,F165)&gt;0,"",F165)</f>
        <v/>
      </c>
      <c r="F165" s="1051" t="str">
        <f t="shared" si="24"/>
        <v/>
      </c>
      <c r="G165" s="1055" t="str">
        <f t="shared" si="25"/>
        <v/>
      </c>
      <c r="I165" s="2018"/>
      <c r="J165" s="1135"/>
      <c r="K165" s="1135"/>
      <c r="L165" s="1135"/>
      <c r="M165" s="2062"/>
      <c r="N165" s="1135"/>
      <c r="O165" s="2046"/>
      <c r="P165" s="2046"/>
      <c r="Q165" s="2046"/>
      <c r="R165" s="2046"/>
      <c r="S165" s="2046"/>
      <c r="T165" s="2046"/>
      <c r="U165" s="2307"/>
    </row>
    <row r="166" spans="2:21" outlineLevel="2">
      <c r="B166" s="1050">
        <v>54</v>
      </c>
      <c r="C166" s="1050" t="str">
        <f t="shared" si="22"/>
        <v>-</v>
      </c>
      <c r="D166" s="1051">
        <f t="shared" si="23"/>
        <v>52</v>
      </c>
      <c r="E166" s="1051" t="str">
        <f>IF(COUNTIF(E$112:E165,F166)&gt;0,"",F166)</f>
        <v/>
      </c>
      <c r="F166" s="1051" t="str">
        <f t="shared" si="24"/>
        <v/>
      </c>
      <c r="G166" s="1055" t="str">
        <f t="shared" si="25"/>
        <v/>
      </c>
      <c r="I166" s="2018"/>
      <c r="J166" s="1135"/>
      <c r="K166" s="1135"/>
      <c r="L166" s="1135"/>
      <c r="M166" s="2062"/>
      <c r="N166" s="1135"/>
      <c r="O166" s="2046"/>
      <c r="P166" s="2046"/>
      <c r="Q166" s="2046"/>
      <c r="R166" s="2046"/>
      <c r="S166" s="2046"/>
      <c r="T166" s="2046"/>
      <c r="U166" s="2307"/>
    </row>
    <row r="167" spans="2:21" outlineLevel="2">
      <c r="B167" s="1050">
        <v>55</v>
      </c>
      <c r="C167" s="1050" t="str">
        <f t="shared" si="22"/>
        <v>-</v>
      </c>
      <c r="D167" s="1051">
        <f t="shared" si="23"/>
        <v>52</v>
      </c>
      <c r="E167" s="1051" t="str">
        <f>IF(COUNTIF(E$112:E166,F167)&gt;0,"",F167)</f>
        <v/>
      </c>
      <c r="F167" s="1051" t="str">
        <f t="shared" si="24"/>
        <v/>
      </c>
      <c r="G167" s="1055" t="str">
        <f t="shared" si="25"/>
        <v/>
      </c>
      <c r="I167" s="2018"/>
      <c r="J167" s="1135"/>
      <c r="K167" s="1135"/>
      <c r="L167" s="1135"/>
      <c r="M167" s="2062"/>
      <c r="N167" s="1135"/>
      <c r="O167" s="2046"/>
      <c r="P167" s="2046"/>
      <c r="Q167" s="2046"/>
      <c r="R167" s="2046"/>
      <c r="S167" s="2046"/>
      <c r="T167" s="2046"/>
      <c r="U167" s="2307"/>
    </row>
    <row r="168" spans="2:21" outlineLevel="2">
      <c r="B168" s="1050">
        <v>56</v>
      </c>
      <c r="C168" s="1050" t="str">
        <f t="shared" si="22"/>
        <v>-</v>
      </c>
      <c r="D168" s="1051">
        <f t="shared" si="23"/>
        <v>52</v>
      </c>
      <c r="E168" s="1051" t="str">
        <f>IF(COUNTIF(E$112:E167,F168)&gt;0,"",F168)</f>
        <v/>
      </c>
      <c r="F168" s="1051" t="str">
        <f t="shared" si="24"/>
        <v/>
      </c>
      <c r="G168" s="1055" t="str">
        <f t="shared" si="25"/>
        <v/>
      </c>
      <c r="I168" s="2018"/>
      <c r="J168" s="1135"/>
      <c r="K168" s="1135"/>
      <c r="L168" s="1135"/>
      <c r="M168" s="2062"/>
      <c r="N168" s="1135"/>
      <c r="O168" s="2046"/>
      <c r="P168" s="2046"/>
      <c r="Q168" s="2046"/>
      <c r="R168" s="2046"/>
      <c r="S168" s="2046"/>
      <c r="T168" s="2046"/>
      <c r="U168" s="2307"/>
    </row>
    <row r="169" spans="2:21" outlineLevel="2">
      <c r="B169" s="1050">
        <v>57</v>
      </c>
      <c r="C169" s="1050" t="str">
        <f t="shared" si="22"/>
        <v>-</v>
      </c>
      <c r="D169" s="1051">
        <f t="shared" si="23"/>
        <v>52</v>
      </c>
      <c r="E169" s="1051" t="str">
        <f>IF(COUNTIF(E$112:E168,F169)&gt;0,"",F169)</f>
        <v/>
      </c>
      <c r="F169" s="1051" t="str">
        <f t="shared" si="24"/>
        <v/>
      </c>
      <c r="G169" s="1055" t="str">
        <f t="shared" si="25"/>
        <v/>
      </c>
      <c r="I169" s="2018"/>
      <c r="J169" s="1135"/>
      <c r="K169" s="1135"/>
      <c r="L169" s="1135"/>
      <c r="M169" s="2062"/>
      <c r="N169" s="1135"/>
      <c r="O169" s="2046"/>
      <c r="P169" s="2046"/>
      <c r="Q169" s="2046"/>
      <c r="R169" s="2046"/>
      <c r="S169" s="2046"/>
      <c r="T169" s="2046"/>
      <c r="U169" s="2307"/>
    </row>
    <row r="170" spans="2:21" outlineLevel="2">
      <c r="B170" s="1045"/>
      <c r="C170" s="1045"/>
      <c r="D170" s="1051"/>
      <c r="E170" s="1051"/>
      <c r="F170" s="1051"/>
      <c r="G170" s="1055"/>
      <c r="I170" s="2018"/>
      <c r="J170" s="1135"/>
      <c r="K170" s="1135"/>
      <c r="L170" s="1135"/>
      <c r="M170" s="2062"/>
      <c r="N170" s="1135"/>
      <c r="O170" s="2046"/>
      <c r="P170" s="2046"/>
      <c r="Q170" s="2046"/>
      <c r="R170" s="2046"/>
      <c r="S170" s="2046"/>
      <c r="T170" s="2046"/>
      <c r="U170" s="2307"/>
    </row>
    <row r="171" spans="2:21" outlineLevel="2">
      <c r="B171" s="1045"/>
      <c r="C171" s="1045"/>
      <c r="D171" s="1051"/>
      <c r="E171" s="1051"/>
      <c r="F171" s="1051"/>
      <c r="G171" s="1055"/>
      <c r="I171" s="2551" t="s">
        <v>5137</v>
      </c>
      <c r="U171" s="1106"/>
    </row>
    <row r="172" spans="2:21" outlineLevel="2">
      <c r="B172" s="1045"/>
      <c r="C172" s="1045"/>
      <c r="D172" s="1051"/>
      <c r="E172" s="1051"/>
      <c r="F172" s="1051"/>
      <c r="G172" s="1055"/>
      <c r="I172" s="2563" t="s">
        <v>5172</v>
      </c>
      <c r="J172" s="2553" t="s">
        <v>1585</v>
      </c>
      <c r="K172" s="2554" t="s">
        <v>1567</v>
      </c>
      <c r="L172" s="2553" t="s">
        <v>1571</v>
      </c>
      <c r="M172" s="2555">
        <v>0.2</v>
      </c>
      <c r="N172" s="2554"/>
      <c r="O172" s="2556">
        <f t="shared" ref="O172:U174" si="26">O113</f>
        <v>1844</v>
      </c>
      <c r="P172" s="2556">
        <f t="shared" si="26"/>
        <v>1844</v>
      </c>
      <c r="Q172" s="2556">
        <f t="shared" si="26"/>
        <v>0</v>
      </c>
      <c r="R172" s="2556">
        <f t="shared" si="26"/>
        <v>0</v>
      </c>
      <c r="S172" s="2556">
        <f t="shared" si="26"/>
        <v>0</v>
      </c>
      <c r="T172" s="2556">
        <f t="shared" si="26"/>
        <v>0</v>
      </c>
      <c r="U172" s="2557">
        <f t="shared" si="26"/>
        <v>0</v>
      </c>
    </row>
    <row r="173" spans="2:21" outlineLevel="2">
      <c r="B173" s="1045"/>
      <c r="C173" s="1045"/>
      <c r="D173" s="1051"/>
      <c r="E173" s="1051"/>
      <c r="F173" s="1051"/>
      <c r="G173" s="1055"/>
      <c r="I173" s="2563" t="s">
        <v>5173</v>
      </c>
      <c r="J173" s="2559" t="s">
        <v>1585</v>
      </c>
      <c r="K173" s="2558" t="s">
        <v>1567</v>
      </c>
      <c r="L173" s="2559" t="s">
        <v>1571</v>
      </c>
      <c r="M173" s="2560">
        <v>0.2</v>
      </c>
      <c r="N173" s="2558"/>
      <c r="O173" s="2561">
        <f t="shared" si="26"/>
        <v>2655</v>
      </c>
      <c r="P173" s="2561">
        <f t="shared" si="26"/>
        <v>2655</v>
      </c>
      <c r="Q173" s="2561">
        <f t="shared" si="26"/>
        <v>0</v>
      </c>
      <c r="R173" s="2561">
        <f t="shared" si="26"/>
        <v>0</v>
      </c>
      <c r="S173" s="2561">
        <f t="shared" si="26"/>
        <v>0</v>
      </c>
      <c r="T173" s="2561">
        <f t="shared" si="26"/>
        <v>0</v>
      </c>
      <c r="U173" s="2562">
        <f t="shared" si="26"/>
        <v>0</v>
      </c>
    </row>
    <row r="174" spans="2:21" outlineLevel="2">
      <c r="B174" s="1045"/>
      <c r="C174" s="1045"/>
      <c r="D174" s="1051"/>
      <c r="E174" s="1051"/>
      <c r="F174" s="1051"/>
      <c r="G174" s="1055"/>
      <c r="I174" s="2563" t="s">
        <v>5203</v>
      </c>
      <c r="J174" s="2559" t="s">
        <v>1585</v>
      </c>
      <c r="K174" s="2558" t="s">
        <v>1567</v>
      </c>
      <c r="L174" s="2559" t="s">
        <v>1571</v>
      </c>
      <c r="M174" s="2560">
        <v>0.2</v>
      </c>
      <c r="N174" s="2558"/>
      <c r="O174" s="2561">
        <f t="shared" si="26"/>
        <v>41</v>
      </c>
      <c r="P174" s="2561">
        <f t="shared" si="26"/>
        <v>41</v>
      </c>
      <c r="Q174" s="2561">
        <f t="shared" si="26"/>
        <v>0</v>
      </c>
      <c r="R174" s="2561">
        <f t="shared" si="26"/>
        <v>0</v>
      </c>
      <c r="S174" s="2561">
        <f t="shared" si="26"/>
        <v>0</v>
      </c>
      <c r="T174" s="2561">
        <f t="shared" si="26"/>
        <v>0</v>
      </c>
      <c r="U174" s="2562">
        <f t="shared" si="26"/>
        <v>0</v>
      </c>
    </row>
    <row r="175" spans="2:21" outlineLevel="2">
      <c r="B175" s="1045"/>
      <c r="C175" s="1045"/>
      <c r="D175" s="1051"/>
      <c r="E175" s="1051"/>
      <c r="F175" s="1051"/>
      <c r="G175" s="1055"/>
      <c r="I175" s="2563" t="s">
        <v>5175</v>
      </c>
      <c r="J175" s="2559" t="s">
        <v>1585</v>
      </c>
      <c r="K175" s="2558" t="s">
        <v>1567</v>
      </c>
      <c r="L175" s="2559" t="s">
        <v>1571</v>
      </c>
      <c r="M175" s="2560">
        <v>0.2</v>
      </c>
      <c r="N175" s="2558"/>
      <c r="O175" s="2561">
        <v>122</v>
      </c>
      <c r="P175" s="2561">
        <v>122</v>
      </c>
      <c r="Q175" s="2561">
        <v>0</v>
      </c>
      <c r="R175" s="2561">
        <v>0</v>
      </c>
      <c r="S175" s="2561">
        <v>0</v>
      </c>
      <c r="T175" s="2561">
        <v>0</v>
      </c>
      <c r="U175" s="2562">
        <v>0</v>
      </c>
    </row>
    <row r="176" spans="2:21" outlineLevel="2">
      <c r="B176" s="1045"/>
      <c r="C176" s="1045"/>
      <c r="D176" s="1051"/>
      <c r="E176" s="1051"/>
      <c r="F176" s="1051"/>
      <c r="G176" s="1055"/>
      <c r="I176" s="2563" t="s">
        <v>5176</v>
      </c>
      <c r="J176" s="2559" t="s">
        <v>1585</v>
      </c>
      <c r="K176" s="2558" t="s">
        <v>1567</v>
      </c>
      <c r="L176" s="2559" t="s">
        <v>1571</v>
      </c>
      <c r="M176" s="2560">
        <v>0.2</v>
      </c>
      <c r="N176" s="2558"/>
      <c r="O176" s="2561">
        <v>160</v>
      </c>
      <c r="P176" s="2561">
        <v>160</v>
      </c>
      <c r="Q176" s="2561">
        <v>0</v>
      </c>
      <c r="R176" s="2561">
        <v>0</v>
      </c>
      <c r="S176" s="2561">
        <v>0</v>
      </c>
      <c r="T176" s="2561">
        <v>0</v>
      </c>
      <c r="U176" s="2562">
        <v>0</v>
      </c>
    </row>
    <row r="177" spans="2:21" outlineLevel="2">
      <c r="B177" s="1045"/>
      <c r="C177" s="1045"/>
      <c r="D177" s="1051"/>
      <c r="E177" s="1051"/>
      <c r="F177" s="1051"/>
      <c r="G177" s="1055"/>
      <c r="I177" s="2563" t="s">
        <v>5177</v>
      </c>
      <c r="J177" s="2559" t="s">
        <v>1585</v>
      </c>
      <c r="K177" s="2558" t="s">
        <v>1567</v>
      </c>
      <c r="L177" s="2559" t="s">
        <v>1571</v>
      </c>
      <c r="M177" s="2560">
        <v>0.2</v>
      </c>
      <c r="N177" s="2558"/>
      <c r="O177" s="2561">
        <v>2769</v>
      </c>
      <c r="P177" s="2561">
        <v>2769</v>
      </c>
      <c r="Q177" s="2561">
        <v>0</v>
      </c>
      <c r="R177" s="2561">
        <v>0</v>
      </c>
      <c r="S177" s="2561">
        <v>0</v>
      </c>
      <c r="T177" s="2561">
        <v>0</v>
      </c>
      <c r="U177" s="2562">
        <v>0</v>
      </c>
    </row>
    <row r="178" spans="2:21" outlineLevel="2">
      <c r="B178" s="1045"/>
      <c r="C178" s="1045"/>
      <c r="D178" s="1051"/>
      <c r="E178" s="1051"/>
      <c r="F178" s="1051"/>
      <c r="G178" s="1055"/>
      <c r="I178" s="2563" t="s">
        <v>5205</v>
      </c>
      <c r="J178" s="2559" t="s">
        <v>1585</v>
      </c>
      <c r="K178" s="2558" t="s">
        <v>1567</v>
      </c>
      <c r="L178" s="2559" t="s">
        <v>1571</v>
      </c>
      <c r="M178" s="2560">
        <v>0.2</v>
      </c>
      <c r="N178" s="2558"/>
      <c r="O178" s="2561">
        <v>2139</v>
      </c>
      <c r="P178" s="2561">
        <v>2139</v>
      </c>
      <c r="Q178" s="2561">
        <v>0</v>
      </c>
      <c r="R178" s="2561">
        <v>0</v>
      </c>
      <c r="S178" s="2561">
        <v>0</v>
      </c>
      <c r="T178" s="2561">
        <v>0</v>
      </c>
      <c r="U178" s="2562">
        <v>0</v>
      </c>
    </row>
    <row r="179" spans="2:21" outlineLevel="2">
      <c r="B179" s="1045"/>
      <c r="C179" s="1045"/>
      <c r="D179" s="1051"/>
      <c r="E179" s="1051"/>
      <c r="F179" s="1051"/>
      <c r="G179" s="1055"/>
      <c r="I179" s="2563" t="s">
        <v>5184</v>
      </c>
      <c r="J179" s="2559" t="s">
        <v>1585</v>
      </c>
      <c r="K179" s="2558" t="s">
        <v>1567</v>
      </c>
      <c r="L179" s="2559" t="s">
        <v>1571</v>
      </c>
      <c r="M179" s="2560">
        <v>0.5</v>
      </c>
      <c r="N179" s="2558"/>
      <c r="O179" s="2561">
        <v>101</v>
      </c>
      <c r="P179" s="2561">
        <v>101</v>
      </c>
      <c r="Q179" s="2561">
        <v>0</v>
      </c>
      <c r="R179" s="2561">
        <v>0</v>
      </c>
      <c r="S179" s="2561">
        <v>0</v>
      </c>
      <c r="T179" s="2561">
        <v>0</v>
      </c>
      <c r="U179" s="2562">
        <v>0</v>
      </c>
    </row>
    <row r="180" spans="2:21" outlineLevel="2">
      <c r="B180" s="1045"/>
      <c r="C180" s="1045"/>
      <c r="D180" s="1051"/>
      <c r="E180" s="1051"/>
      <c r="F180" s="1051"/>
      <c r="G180" s="1055"/>
      <c r="I180" s="2563" t="s">
        <v>5185</v>
      </c>
      <c r="J180" s="2559" t="s">
        <v>1585</v>
      </c>
      <c r="K180" s="2558" t="s">
        <v>1567</v>
      </c>
      <c r="L180" s="2559" t="s">
        <v>1571</v>
      </c>
      <c r="M180" s="2560">
        <v>0.5</v>
      </c>
      <c r="N180" s="2558"/>
      <c r="O180" s="2561">
        <v>258</v>
      </c>
      <c r="P180" s="2561">
        <v>258</v>
      </c>
      <c r="Q180" s="2561">
        <v>0</v>
      </c>
      <c r="R180" s="2561">
        <v>0</v>
      </c>
      <c r="S180" s="2561">
        <v>0</v>
      </c>
      <c r="T180" s="2561">
        <v>0</v>
      </c>
      <c r="U180" s="2562">
        <v>0</v>
      </c>
    </row>
    <row r="181" spans="2:21" outlineLevel="2">
      <c r="B181" s="1045"/>
      <c r="C181" s="1045"/>
      <c r="D181" s="1051"/>
      <c r="E181" s="1051"/>
      <c r="F181" s="1051"/>
      <c r="G181" s="1055"/>
      <c r="I181" s="2563" t="s">
        <v>5186</v>
      </c>
      <c r="J181" s="2559" t="s">
        <v>1585</v>
      </c>
      <c r="K181" s="2558" t="s">
        <v>1567</v>
      </c>
      <c r="L181" s="2559" t="s">
        <v>1571</v>
      </c>
      <c r="M181" s="2560">
        <v>0.5</v>
      </c>
      <c r="N181" s="2558"/>
      <c r="O181" s="2561">
        <v>130</v>
      </c>
      <c r="P181" s="2561">
        <v>130</v>
      </c>
      <c r="Q181" s="2561">
        <v>0</v>
      </c>
      <c r="R181" s="2561">
        <v>0</v>
      </c>
      <c r="S181" s="2561">
        <v>0</v>
      </c>
      <c r="T181" s="2561">
        <v>0</v>
      </c>
      <c r="U181" s="2562">
        <v>0</v>
      </c>
    </row>
    <row r="182" spans="2:21" outlineLevel="2">
      <c r="B182" s="1045"/>
      <c r="C182" s="1045"/>
      <c r="D182" s="1051"/>
      <c r="E182" s="1051"/>
      <c r="F182" s="1051"/>
      <c r="G182" s="1055"/>
      <c r="I182" s="2563" t="s">
        <v>5187</v>
      </c>
      <c r="J182" s="2559" t="s">
        <v>1585</v>
      </c>
      <c r="K182" s="2558" t="s">
        <v>1567</v>
      </c>
      <c r="L182" s="2559" t="s">
        <v>1571</v>
      </c>
      <c r="M182" s="2560">
        <v>0.5</v>
      </c>
      <c r="N182" s="2558"/>
      <c r="O182" s="2561">
        <v>395</v>
      </c>
      <c r="P182" s="2561">
        <v>395</v>
      </c>
      <c r="Q182" s="2561">
        <v>0</v>
      </c>
      <c r="R182" s="2561">
        <v>0</v>
      </c>
      <c r="S182" s="2561">
        <v>0</v>
      </c>
      <c r="T182" s="2561">
        <v>0</v>
      </c>
      <c r="U182" s="2562">
        <v>0</v>
      </c>
    </row>
    <row r="183" spans="2:21" outlineLevel="2">
      <c r="B183" s="1045"/>
      <c r="C183" s="1045"/>
      <c r="D183" s="1051"/>
      <c r="E183" s="1051"/>
      <c r="F183" s="1051"/>
      <c r="G183" s="1055"/>
      <c r="I183" s="2563" t="s">
        <v>5188</v>
      </c>
      <c r="J183" s="2559" t="s">
        <v>1585</v>
      </c>
      <c r="K183" s="2558" t="s">
        <v>1567</v>
      </c>
      <c r="L183" s="2559" t="s">
        <v>1571</v>
      </c>
      <c r="M183" s="2560">
        <v>0.1</v>
      </c>
      <c r="N183" s="2558"/>
      <c r="O183" s="2561">
        <v>313</v>
      </c>
      <c r="P183" s="2561">
        <v>313</v>
      </c>
      <c r="Q183" s="2561">
        <v>0</v>
      </c>
      <c r="R183" s="2561">
        <v>0</v>
      </c>
      <c r="S183" s="2561">
        <v>0</v>
      </c>
      <c r="T183" s="2561">
        <v>0</v>
      </c>
      <c r="U183" s="2562">
        <v>0</v>
      </c>
    </row>
    <row r="184" spans="2:21" outlineLevel="2">
      <c r="B184" s="1045"/>
      <c r="C184" s="1045"/>
      <c r="D184" s="1051"/>
      <c r="E184" s="1051"/>
      <c r="F184" s="1051"/>
      <c r="G184" s="1055"/>
      <c r="I184" s="2563" t="s">
        <v>5189</v>
      </c>
      <c r="J184" s="2559" t="s">
        <v>1585</v>
      </c>
      <c r="K184" s="2558" t="s">
        <v>1567</v>
      </c>
      <c r="L184" s="2559" t="s">
        <v>1571</v>
      </c>
      <c r="M184" s="2560">
        <v>0.1</v>
      </c>
      <c r="N184" s="2558"/>
      <c r="O184" s="2561">
        <v>258</v>
      </c>
      <c r="P184" s="2561">
        <v>258</v>
      </c>
      <c r="Q184" s="2561">
        <v>0</v>
      </c>
      <c r="R184" s="2561">
        <v>0</v>
      </c>
      <c r="S184" s="2561">
        <v>0</v>
      </c>
      <c r="T184" s="2561">
        <v>0</v>
      </c>
      <c r="U184" s="2562">
        <v>0</v>
      </c>
    </row>
    <row r="185" spans="2:21" outlineLevel="2">
      <c r="B185" s="1045"/>
      <c r="C185" s="1045"/>
      <c r="D185" s="1051"/>
      <c r="E185" s="1051"/>
      <c r="F185" s="1051"/>
      <c r="G185" s="1055"/>
      <c r="I185" s="2563" t="s">
        <v>5190</v>
      </c>
      <c r="J185" s="2559" t="s">
        <v>1585</v>
      </c>
      <c r="K185" s="2558" t="s">
        <v>1567</v>
      </c>
      <c r="L185" s="2559" t="s">
        <v>1571</v>
      </c>
      <c r="M185" s="2560">
        <v>0.2</v>
      </c>
      <c r="N185" s="2558"/>
      <c r="O185" s="2561">
        <v>434</v>
      </c>
      <c r="P185" s="2561">
        <v>434</v>
      </c>
      <c r="Q185" s="2561">
        <v>0</v>
      </c>
      <c r="R185" s="2561">
        <v>0</v>
      </c>
      <c r="S185" s="2561">
        <v>0</v>
      </c>
      <c r="T185" s="2561">
        <v>0</v>
      </c>
      <c r="U185" s="2562">
        <v>0</v>
      </c>
    </row>
    <row r="186" spans="2:21" outlineLevel="2">
      <c r="B186" s="1045"/>
      <c r="C186" s="1045"/>
      <c r="D186" s="1051"/>
      <c r="E186" s="1051"/>
      <c r="F186" s="1051"/>
      <c r="G186" s="1055"/>
      <c r="I186" s="2563" t="s">
        <v>5191</v>
      </c>
      <c r="J186" s="2559" t="s">
        <v>1585</v>
      </c>
      <c r="K186" s="2558" t="s">
        <v>1567</v>
      </c>
      <c r="L186" s="2559" t="s">
        <v>1571</v>
      </c>
      <c r="M186" s="2560">
        <v>0.2</v>
      </c>
      <c r="N186" s="2558"/>
      <c r="O186" s="2561">
        <v>434</v>
      </c>
      <c r="P186" s="2561">
        <v>434</v>
      </c>
      <c r="Q186" s="2561">
        <v>0</v>
      </c>
      <c r="R186" s="2561">
        <v>0</v>
      </c>
      <c r="S186" s="2561">
        <v>0</v>
      </c>
      <c r="T186" s="2561">
        <v>0</v>
      </c>
      <c r="U186" s="2562">
        <v>0</v>
      </c>
    </row>
    <row r="187" spans="2:21" outlineLevel="2">
      <c r="B187" s="1045"/>
      <c r="C187" s="1045"/>
      <c r="D187" s="1051"/>
      <c r="E187" s="1051"/>
      <c r="F187" s="1051"/>
      <c r="G187" s="1055"/>
      <c r="I187" s="2563" t="s">
        <v>5192</v>
      </c>
      <c r="J187" s="2559" t="s">
        <v>1585</v>
      </c>
      <c r="K187" s="2558" t="s">
        <v>1567</v>
      </c>
      <c r="L187" s="2559" t="s">
        <v>1571</v>
      </c>
      <c r="M187" s="2560">
        <v>0.1</v>
      </c>
      <c r="N187" s="2558"/>
      <c r="O187" s="2561">
        <v>548</v>
      </c>
      <c r="P187" s="2561">
        <v>548</v>
      </c>
      <c r="Q187" s="2561">
        <v>0</v>
      </c>
      <c r="R187" s="2561">
        <v>0</v>
      </c>
      <c r="S187" s="2561">
        <v>0</v>
      </c>
      <c r="T187" s="2561">
        <v>0</v>
      </c>
      <c r="U187" s="2562">
        <v>0</v>
      </c>
    </row>
    <row r="188" spans="2:21" outlineLevel="2">
      <c r="B188" s="1045"/>
      <c r="C188" s="1045"/>
      <c r="D188" s="1051"/>
      <c r="E188" s="1051"/>
      <c r="F188" s="1051"/>
      <c r="G188" s="1055"/>
      <c r="I188" s="2563" t="s">
        <v>5193</v>
      </c>
      <c r="J188" s="2559" t="s">
        <v>1585</v>
      </c>
      <c r="K188" s="2558" t="s">
        <v>1567</v>
      </c>
      <c r="L188" s="2559" t="s">
        <v>1571</v>
      </c>
      <c r="M188" s="2560">
        <v>0.1</v>
      </c>
      <c r="N188" s="2558"/>
      <c r="O188" s="2561">
        <v>480</v>
      </c>
      <c r="P188" s="2561">
        <v>480</v>
      </c>
      <c r="Q188" s="2561">
        <v>0</v>
      </c>
      <c r="R188" s="2561">
        <v>0</v>
      </c>
      <c r="S188" s="2561">
        <v>0</v>
      </c>
      <c r="T188" s="2561">
        <v>0</v>
      </c>
      <c r="U188" s="2562">
        <v>0</v>
      </c>
    </row>
    <row r="189" spans="2:21" outlineLevel="2">
      <c r="B189" s="1045"/>
      <c r="C189" s="1045"/>
      <c r="D189" s="1051"/>
      <c r="E189" s="1051"/>
      <c r="F189" s="1051"/>
      <c r="G189" s="1055"/>
      <c r="I189" s="2563" t="s">
        <v>5194</v>
      </c>
      <c r="J189" s="2559" t="s">
        <v>1585</v>
      </c>
      <c r="K189" s="2558" t="s">
        <v>1567</v>
      </c>
      <c r="L189" s="2559" t="s">
        <v>1571</v>
      </c>
      <c r="M189" s="2560">
        <v>0.2</v>
      </c>
      <c r="N189" s="2558"/>
      <c r="O189" s="2561">
        <v>662</v>
      </c>
      <c r="P189" s="2561">
        <v>662</v>
      </c>
      <c r="Q189" s="2561">
        <v>0</v>
      </c>
      <c r="R189" s="2561">
        <v>0</v>
      </c>
      <c r="S189" s="2561">
        <v>0</v>
      </c>
      <c r="T189" s="2561">
        <v>0</v>
      </c>
      <c r="U189" s="2562">
        <v>0</v>
      </c>
    </row>
    <row r="190" spans="2:21" outlineLevel="2">
      <c r="B190" s="1045"/>
      <c r="C190" s="1045"/>
      <c r="D190" s="1051"/>
      <c r="E190" s="1051"/>
      <c r="F190" s="1051"/>
      <c r="G190" s="1055"/>
      <c r="I190" s="2563" t="s">
        <v>5195</v>
      </c>
      <c r="J190" s="2559" t="s">
        <v>1585</v>
      </c>
      <c r="K190" s="2558" t="s">
        <v>1567</v>
      </c>
      <c r="L190" s="2559" t="s">
        <v>1571</v>
      </c>
      <c r="M190" s="2560">
        <v>0.2</v>
      </c>
      <c r="N190" s="2558"/>
      <c r="O190" s="2561">
        <v>662</v>
      </c>
      <c r="P190" s="2561">
        <v>662</v>
      </c>
      <c r="Q190" s="2561">
        <v>0</v>
      </c>
      <c r="R190" s="2561">
        <v>0</v>
      </c>
      <c r="S190" s="2561">
        <v>0</v>
      </c>
      <c r="T190" s="2561">
        <v>0</v>
      </c>
      <c r="U190" s="2562">
        <v>0</v>
      </c>
    </row>
    <row r="191" spans="2:21" outlineLevel="2">
      <c r="B191" s="1045"/>
      <c r="C191" s="1045"/>
      <c r="D191" s="1051"/>
      <c r="E191" s="1051"/>
      <c r="F191" s="1051"/>
      <c r="G191" s="1055"/>
      <c r="I191" s="2563" t="s">
        <v>5196</v>
      </c>
      <c r="J191" s="2559" t="s">
        <v>1585</v>
      </c>
      <c r="K191" s="2558" t="s">
        <v>1567</v>
      </c>
      <c r="L191" s="2559" t="s">
        <v>1571</v>
      </c>
      <c r="M191" s="2560">
        <v>0.2</v>
      </c>
      <c r="N191" s="2558"/>
      <c r="O191" s="2561">
        <v>1906</v>
      </c>
      <c r="P191" s="2561">
        <v>1906</v>
      </c>
      <c r="Q191" s="2561">
        <v>0</v>
      </c>
      <c r="R191" s="2561">
        <v>0</v>
      </c>
      <c r="S191" s="2561">
        <v>0</v>
      </c>
      <c r="T191" s="2561">
        <v>0</v>
      </c>
      <c r="U191" s="2562">
        <v>0</v>
      </c>
    </row>
    <row r="192" spans="2:21" outlineLevel="2">
      <c r="B192" s="1045"/>
      <c r="C192" s="1045"/>
      <c r="D192" s="1051"/>
      <c r="E192" s="1051"/>
      <c r="F192" s="1051"/>
      <c r="G192" s="1055"/>
      <c r="I192" s="2563" t="s">
        <v>5197</v>
      </c>
      <c r="J192" s="2559" t="s">
        <v>1585</v>
      </c>
      <c r="K192" s="2558" t="s">
        <v>1567</v>
      </c>
      <c r="L192" s="2559" t="s">
        <v>1571</v>
      </c>
      <c r="M192" s="2560">
        <v>0.2</v>
      </c>
      <c r="N192" s="2558"/>
      <c r="O192" s="2561">
        <v>1210</v>
      </c>
      <c r="P192" s="2561">
        <v>1210</v>
      </c>
      <c r="Q192" s="2561">
        <v>0</v>
      </c>
      <c r="R192" s="2561">
        <v>0</v>
      </c>
      <c r="S192" s="2561">
        <v>0</v>
      </c>
      <c r="T192" s="2561">
        <v>0</v>
      </c>
      <c r="U192" s="2562">
        <v>0</v>
      </c>
    </row>
    <row r="193" spans="2:21" outlineLevel="2">
      <c r="B193" s="1045"/>
      <c r="C193" s="1045"/>
      <c r="D193" s="1051"/>
      <c r="E193" s="1051"/>
      <c r="F193" s="1051"/>
      <c r="G193" s="1055"/>
      <c r="I193" s="2563" t="s">
        <v>5198</v>
      </c>
      <c r="J193" s="2559" t="s">
        <v>1585</v>
      </c>
      <c r="K193" s="2558" t="s">
        <v>1567</v>
      </c>
      <c r="L193" s="2559" t="s">
        <v>1571</v>
      </c>
      <c r="M193" s="2560">
        <v>0.2</v>
      </c>
      <c r="N193" s="2558"/>
      <c r="O193" s="2561">
        <v>1479</v>
      </c>
      <c r="P193" s="2561">
        <v>1479</v>
      </c>
      <c r="Q193" s="2561">
        <v>0</v>
      </c>
      <c r="R193" s="2561">
        <v>0</v>
      </c>
      <c r="S193" s="2561">
        <v>0</v>
      </c>
      <c r="T193" s="2561">
        <v>0</v>
      </c>
      <c r="U193" s="2562">
        <v>0</v>
      </c>
    </row>
    <row r="194" spans="2:21" outlineLevel="2">
      <c r="B194" s="1045"/>
      <c r="C194" s="1045"/>
      <c r="D194" s="1051"/>
      <c r="E194" s="1051"/>
      <c r="F194" s="1051"/>
      <c r="G194" s="1055"/>
      <c r="I194" s="2563" t="s">
        <v>5199</v>
      </c>
      <c r="J194" s="2559" t="s">
        <v>1585</v>
      </c>
      <c r="K194" s="2558" t="s">
        <v>1567</v>
      </c>
      <c r="L194" s="2559" t="s">
        <v>1571</v>
      </c>
      <c r="M194" s="2560">
        <v>0.2</v>
      </c>
      <c r="N194" s="2558"/>
      <c r="O194" s="2561">
        <v>1106</v>
      </c>
      <c r="P194" s="2561">
        <v>1106</v>
      </c>
      <c r="Q194" s="2561">
        <v>0</v>
      </c>
      <c r="R194" s="2561">
        <v>0</v>
      </c>
      <c r="S194" s="2561">
        <v>0</v>
      </c>
      <c r="T194" s="2561">
        <v>0</v>
      </c>
      <c r="U194" s="2562">
        <v>0</v>
      </c>
    </row>
    <row r="195" spans="2:21" outlineLevel="2">
      <c r="B195" s="1045"/>
      <c r="C195" s="1045"/>
      <c r="D195" s="1051"/>
      <c r="E195" s="1051"/>
      <c r="F195" s="1051"/>
      <c r="G195" s="1055"/>
      <c r="I195" s="2563" t="s">
        <v>5178</v>
      </c>
      <c r="J195" s="2559" t="s">
        <v>1585</v>
      </c>
      <c r="K195" s="2558" t="s">
        <v>1567</v>
      </c>
      <c r="L195" s="2559" t="s">
        <v>1571</v>
      </c>
      <c r="M195" s="2560">
        <v>0.2</v>
      </c>
      <c r="N195" s="2558"/>
      <c r="O195" s="2561">
        <v>530</v>
      </c>
      <c r="P195" s="2561">
        <v>530</v>
      </c>
      <c r="Q195" s="2561">
        <v>0</v>
      </c>
      <c r="R195" s="2561">
        <v>0</v>
      </c>
      <c r="S195" s="2561">
        <v>0</v>
      </c>
      <c r="T195" s="2561">
        <v>0</v>
      </c>
      <c r="U195" s="2562">
        <v>0</v>
      </c>
    </row>
    <row r="196" spans="2:21" outlineLevel="2">
      <c r="B196" s="1045"/>
      <c r="C196" s="1045"/>
      <c r="D196" s="1051"/>
      <c r="E196" s="1051"/>
      <c r="F196" s="1051"/>
      <c r="G196" s="1055"/>
      <c r="I196" s="2563" t="s">
        <v>5179</v>
      </c>
      <c r="J196" s="2559" t="s">
        <v>1585</v>
      </c>
      <c r="K196" s="2558" t="s">
        <v>1567</v>
      </c>
      <c r="L196" s="2559" t="s">
        <v>1571</v>
      </c>
      <c r="M196" s="2560">
        <v>0.1</v>
      </c>
      <c r="N196" s="2558"/>
      <c r="O196" s="2561">
        <v>134</v>
      </c>
      <c r="P196" s="2561">
        <v>134</v>
      </c>
      <c r="Q196" s="2561">
        <v>0</v>
      </c>
      <c r="R196" s="2561">
        <v>0</v>
      </c>
      <c r="S196" s="2561">
        <v>0</v>
      </c>
      <c r="T196" s="2561">
        <v>0</v>
      </c>
      <c r="U196" s="2562">
        <v>0</v>
      </c>
    </row>
    <row r="197" spans="2:21" outlineLevel="2">
      <c r="B197" s="1045"/>
      <c r="C197" s="1045"/>
      <c r="D197" s="1051"/>
      <c r="E197" s="1051"/>
      <c r="F197" s="1051"/>
      <c r="G197" s="1055"/>
      <c r="I197" s="2563" t="s">
        <v>5180</v>
      </c>
      <c r="J197" s="2559" t="s">
        <v>1585</v>
      </c>
      <c r="K197" s="2558" t="s">
        <v>1567</v>
      </c>
      <c r="L197" s="2559" t="s">
        <v>1571</v>
      </c>
      <c r="M197" s="2560">
        <v>0.5</v>
      </c>
      <c r="N197" s="2558"/>
      <c r="O197" s="2561">
        <v>102</v>
      </c>
      <c r="P197" s="2561">
        <v>102</v>
      </c>
      <c r="Q197" s="2561">
        <v>0</v>
      </c>
      <c r="R197" s="2561">
        <v>0</v>
      </c>
      <c r="S197" s="2561">
        <v>0</v>
      </c>
      <c r="T197" s="2561">
        <v>0</v>
      </c>
      <c r="U197" s="2562">
        <v>0</v>
      </c>
    </row>
    <row r="198" spans="2:21" outlineLevel="2">
      <c r="B198" s="1045"/>
      <c r="C198" s="1045"/>
      <c r="D198" s="1051"/>
      <c r="E198" s="1051"/>
      <c r="F198" s="1051"/>
      <c r="G198" s="1055"/>
      <c r="I198" s="2563" t="s">
        <v>5181</v>
      </c>
      <c r="J198" s="2559" t="s">
        <v>1585</v>
      </c>
      <c r="K198" s="2558" t="s">
        <v>1567</v>
      </c>
      <c r="L198" s="2559" t="s">
        <v>1571</v>
      </c>
      <c r="M198" s="2560">
        <v>0.2</v>
      </c>
      <c r="N198" s="2558"/>
      <c r="O198" s="2561">
        <v>1907</v>
      </c>
      <c r="P198" s="2561">
        <v>1907</v>
      </c>
      <c r="Q198" s="2561">
        <v>0</v>
      </c>
      <c r="R198" s="2561">
        <v>0</v>
      </c>
      <c r="S198" s="2561">
        <v>0</v>
      </c>
      <c r="T198" s="2561">
        <v>0</v>
      </c>
      <c r="U198" s="2562">
        <v>0</v>
      </c>
    </row>
    <row r="199" spans="2:21" outlineLevel="2">
      <c r="B199" s="1045"/>
      <c r="C199" s="1045"/>
      <c r="D199" s="1051"/>
      <c r="E199" s="1051"/>
      <c r="F199" s="1051"/>
      <c r="G199" s="1055"/>
      <c r="I199" s="2563" t="s">
        <v>5182</v>
      </c>
      <c r="J199" s="2559" t="s">
        <v>1585</v>
      </c>
      <c r="K199" s="2558" t="s">
        <v>1567</v>
      </c>
      <c r="L199" s="2559" t="s">
        <v>1571</v>
      </c>
      <c r="M199" s="2560">
        <v>0.5</v>
      </c>
      <c r="N199" s="2558"/>
      <c r="O199" s="2561">
        <v>123</v>
      </c>
      <c r="P199" s="2561">
        <v>123</v>
      </c>
      <c r="Q199" s="2561">
        <v>0</v>
      </c>
      <c r="R199" s="2561">
        <v>0</v>
      </c>
      <c r="S199" s="2561">
        <v>0</v>
      </c>
      <c r="T199" s="2561">
        <v>0</v>
      </c>
      <c r="U199" s="2562">
        <v>0</v>
      </c>
    </row>
    <row r="200" spans="2:21" outlineLevel="2">
      <c r="B200" s="1045"/>
      <c r="C200" s="1045"/>
      <c r="D200" s="1051"/>
      <c r="E200" s="1051"/>
      <c r="F200" s="1051"/>
      <c r="G200" s="1055"/>
      <c r="I200" s="2563" t="s">
        <v>5183</v>
      </c>
      <c r="J200" s="2559" t="s">
        <v>1585</v>
      </c>
      <c r="K200" s="2558" t="s">
        <v>1567</v>
      </c>
      <c r="L200" s="2559" t="s">
        <v>1571</v>
      </c>
      <c r="M200" s="2560">
        <v>0.2</v>
      </c>
      <c r="N200" s="2558"/>
      <c r="O200" s="2561">
        <v>1649</v>
      </c>
      <c r="P200" s="2561">
        <v>1649</v>
      </c>
      <c r="Q200" s="2561">
        <v>0</v>
      </c>
      <c r="R200" s="2561">
        <v>0</v>
      </c>
      <c r="S200" s="2561">
        <v>0</v>
      </c>
      <c r="T200" s="2561">
        <v>0</v>
      </c>
      <c r="U200" s="2562">
        <v>0</v>
      </c>
    </row>
    <row r="201" spans="2:21" outlineLevel="2">
      <c r="B201" s="1045"/>
      <c r="C201" s="1045"/>
      <c r="D201" s="1051"/>
      <c r="E201" s="1051"/>
      <c r="F201" s="1051"/>
      <c r="G201" s="1055"/>
      <c r="I201" s="2563" t="s">
        <v>5204</v>
      </c>
      <c r="J201" s="2559" t="s">
        <v>1585</v>
      </c>
      <c r="K201" s="2558" t="s">
        <v>1567</v>
      </c>
      <c r="L201" s="2559" t="s">
        <v>1571</v>
      </c>
      <c r="M201" s="2560">
        <v>0.2</v>
      </c>
      <c r="N201" s="2558"/>
      <c r="O201" s="2561">
        <v>2060</v>
      </c>
      <c r="P201" s="2561">
        <v>2060</v>
      </c>
      <c r="Q201" s="2561">
        <v>0</v>
      </c>
      <c r="R201" s="2561">
        <v>0</v>
      </c>
      <c r="S201" s="2561">
        <v>0</v>
      </c>
      <c r="T201" s="2561">
        <v>0</v>
      </c>
      <c r="U201" s="2562">
        <v>0</v>
      </c>
    </row>
    <row r="202" spans="2:21" outlineLevel="2">
      <c r="B202" s="1045"/>
      <c r="C202" s="1045"/>
      <c r="D202" s="1051"/>
      <c r="E202" s="1051"/>
      <c r="F202" s="1051"/>
      <c r="G202" s="1055"/>
      <c r="I202" s="2563" t="s">
        <v>5200</v>
      </c>
      <c r="J202" s="2559" t="s">
        <v>1585</v>
      </c>
      <c r="K202" s="2558" t="s">
        <v>1567</v>
      </c>
      <c r="L202" s="2559" t="s">
        <v>1571</v>
      </c>
      <c r="M202" s="2560">
        <v>0.2</v>
      </c>
      <c r="N202" s="2558"/>
      <c r="O202" s="2561">
        <v>2967</v>
      </c>
      <c r="P202" s="2561">
        <v>2967</v>
      </c>
      <c r="Q202" s="2561">
        <v>0</v>
      </c>
      <c r="R202" s="2561">
        <v>0</v>
      </c>
      <c r="S202" s="2561">
        <v>0</v>
      </c>
      <c r="T202" s="2561">
        <v>0</v>
      </c>
      <c r="U202" s="2562">
        <v>0</v>
      </c>
    </row>
    <row r="203" spans="2:21" outlineLevel="2">
      <c r="B203" s="1045"/>
      <c r="C203" s="1045"/>
      <c r="D203" s="1051"/>
      <c r="E203" s="1051"/>
      <c r="F203" s="1051"/>
      <c r="G203" s="1055"/>
      <c r="I203" s="2563" t="s">
        <v>5201</v>
      </c>
      <c r="J203" s="2559" t="s">
        <v>1585</v>
      </c>
      <c r="K203" s="2558" t="s">
        <v>1567</v>
      </c>
      <c r="L203" s="2559" t="s">
        <v>1571</v>
      </c>
      <c r="M203" s="2560">
        <v>0.2</v>
      </c>
      <c r="N203" s="2558"/>
      <c r="O203" s="2561">
        <v>3296</v>
      </c>
      <c r="P203" s="2561">
        <v>3196</v>
      </c>
      <c r="Q203" s="2561">
        <v>0</v>
      </c>
      <c r="R203" s="2561">
        <v>0</v>
      </c>
      <c r="S203" s="2561">
        <v>0</v>
      </c>
      <c r="T203" s="2561">
        <v>0</v>
      </c>
      <c r="U203" s="2562">
        <v>0</v>
      </c>
    </row>
    <row r="204" spans="2:21" outlineLevel="2">
      <c r="B204" s="1045"/>
      <c r="C204" s="1045"/>
      <c r="D204" s="1051"/>
      <c r="E204" s="1051"/>
      <c r="F204" s="1051"/>
      <c r="G204" s="1055"/>
      <c r="I204" s="2563" t="s">
        <v>5202</v>
      </c>
      <c r="J204" s="2559" t="s">
        <v>1585</v>
      </c>
      <c r="K204" s="2558" t="s">
        <v>1567</v>
      </c>
      <c r="L204" s="2559" t="s">
        <v>1571</v>
      </c>
      <c r="M204" s="2560">
        <v>0.2</v>
      </c>
      <c r="N204" s="2558"/>
      <c r="O204" s="2561">
        <v>4613</v>
      </c>
      <c r="P204" s="2561">
        <v>4613</v>
      </c>
      <c r="Q204" s="2561">
        <v>0</v>
      </c>
      <c r="R204" s="2561">
        <v>0</v>
      </c>
      <c r="S204" s="2561">
        <v>0</v>
      </c>
      <c r="T204" s="2561">
        <v>0</v>
      </c>
      <c r="U204" s="2562">
        <v>0</v>
      </c>
    </row>
    <row r="205" spans="2:21" outlineLevel="2">
      <c r="B205" s="1045"/>
      <c r="C205" s="1045"/>
      <c r="D205" s="1051"/>
      <c r="E205" s="1051"/>
      <c r="F205" s="1051"/>
      <c r="G205" s="1055"/>
      <c r="I205" s="2563"/>
      <c r="J205" s="2559"/>
      <c r="K205" s="2558"/>
      <c r="L205" s="2559"/>
      <c r="M205" s="2560"/>
      <c r="N205" s="2558"/>
      <c r="O205" s="2561"/>
      <c r="P205" s="2561"/>
      <c r="Q205" s="2561"/>
      <c r="R205" s="2561"/>
      <c r="S205" s="2561"/>
      <c r="T205" s="2561"/>
      <c r="U205" s="2562"/>
    </row>
    <row r="206" spans="2:21" outlineLevel="2">
      <c r="B206" s="1045"/>
      <c r="C206" s="1045"/>
      <c r="D206" s="1051"/>
      <c r="E206" s="1051"/>
      <c r="F206" s="1051"/>
      <c r="G206" s="1055"/>
      <c r="I206" s="2563"/>
      <c r="J206" s="2559"/>
      <c r="K206" s="2558"/>
      <c r="L206" s="2559"/>
      <c r="M206" s="2560"/>
      <c r="N206" s="2558"/>
      <c r="O206" s="2561"/>
      <c r="P206" s="2561"/>
      <c r="Q206" s="2561"/>
      <c r="R206" s="2561"/>
      <c r="S206" s="2561"/>
      <c r="T206" s="2561"/>
      <c r="U206" s="2562"/>
    </row>
    <row r="207" spans="2:21" outlineLevel="2">
      <c r="B207" s="1045"/>
      <c r="C207" s="1045"/>
      <c r="D207" s="1051"/>
      <c r="E207" s="1051"/>
      <c r="F207" s="1051"/>
      <c r="G207" s="1055"/>
      <c r="I207" s="2563"/>
      <c r="J207" s="2559"/>
      <c r="K207" s="2558"/>
      <c r="L207" s="2559"/>
      <c r="M207" s="2560"/>
      <c r="N207" s="2558"/>
      <c r="O207" s="2561"/>
      <c r="P207" s="2561"/>
      <c r="Q207" s="2561"/>
      <c r="R207" s="2561"/>
      <c r="S207" s="2561"/>
      <c r="T207" s="2561"/>
      <c r="U207" s="2562"/>
    </row>
    <row r="208" spans="2:21" outlineLevel="2">
      <c r="B208" s="1045"/>
      <c r="C208" s="1045"/>
      <c r="D208" s="1051"/>
      <c r="E208" s="1051"/>
      <c r="F208" s="1051"/>
      <c r="G208" s="1055"/>
      <c r="I208" s="2563"/>
      <c r="J208" s="2559"/>
      <c r="K208" s="2558"/>
      <c r="L208" s="2559"/>
      <c r="M208" s="2560"/>
      <c r="N208" s="2558"/>
      <c r="O208" s="2561"/>
      <c r="P208" s="2561"/>
      <c r="Q208" s="2561"/>
      <c r="R208" s="2561"/>
      <c r="S208" s="2561"/>
      <c r="T208" s="2561"/>
      <c r="U208" s="2562"/>
    </row>
    <row r="209" spans="2:21" outlineLevel="2">
      <c r="B209" s="1045"/>
      <c r="C209" s="1045"/>
      <c r="D209" s="1051"/>
      <c r="E209" s="1051"/>
      <c r="F209" s="1051"/>
      <c r="G209" s="1055"/>
      <c r="I209" s="2563"/>
      <c r="J209" s="2559"/>
      <c r="K209" s="2558"/>
      <c r="L209" s="2559"/>
      <c r="M209" s="2560"/>
      <c r="N209" s="2558"/>
      <c r="O209" s="2561"/>
      <c r="P209" s="2561"/>
      <c r="Q209" s="2561"/>
      <c r="R209" s="2561"/>
      <c r="S209" s="2561"/>
      <c r="T209" s="2561"/>
      <c r="U209" s="2562"/>
    </row>
    <row r="210" spans="2:21" outlineLevel="2">
      <c r="B210" s="1045"/>
      <c r="C210" s="1045"/>
      <c r="D210" s="1051"/>
      <c r="E210" s="1051"/>
      <c r="F210" s="1051"/>
      <c r="G210" s="1055"/>
      <c r="I210" s="2563"/>
      <c r="J210" s="2559"/>
      <c r="K210" s="2558"/>
      <c r="L210" s="2559"/>
      <c r="M210" s="2560"/>
      <c r="N210" s="2558"/>
      <c r="O210" s="2561"/>
      <c r="P210" s="2561"/>
      <c r="Q210" s="2561"/>
      <c r="R210" s="2561"/>
      <c r="S210" s="2561"/>
      <c r="T210" s="2561"/>
      <c r="U210" s="2562"/>
    </row>
    <row r="211" spans="2:21" outlineLevel="2">
      <c r="B211" s="1045"/>
      <c r="C211" s="1045"/>
      <c r="D211" s="1051"/>
      <c r="E211" s="1051"/>
      <c r="F211" s="1051"/>
      <c r="G211" s="1055"/>
      <c r="I211" s="2563"/>
      <c r="J211" s="2559"/>
      <c r="K211" s="2558"/>
      <c r="L211" s="2559"/>
      <c r="M211" s="2560"/>
      <c r="N211" s="2558"/>
      <c r="O211" s="2561"/>
      <c r="P211" s="2561"/>
      <c r="Q211" s="2561"/>
      <c r="R211" s="2561"/>
      <c r="S211" s="2561"/>
      <c r="T211" s="2561"/>
      <c r="U211" s="2562"/>
    </row>
    <row r="212" spans="2:21" outlineLevel="2">
      <c r="B212" s="1045"/>
      <c r="C212" s="1045"/>
      <c r="D212" s="1051"/>
      <c r="E212" s="1051"/>
      <c r="F212" s="1051"/>
      <c r="G212" s="1055"/>
      <c r="I212" s="2563"/>
      <c r="J212" s="2559"/>
      <c r="K212" s="2558"/>
      <c r="L212" s="2559"/>
      <c r="M212" s="2564"/>
      <c r="N212" s="2558"/>
      <c r="O212" s="2561"/>
      <c r="P212" s="2561"/>
      <c r="Q212" s="2561"/>
      <c r="R212" s="2561"/>
      <c r="S212" s="2561"/>
      <c r="T212" s="2561"/>
      <c r="U212" s="2562"/>
    </row>
    <row r="213" spans="2:21" outlineLevel="2">
      <c r="B213" s="1045"/>
      <c r="C213" s="1045"/>
      <c r="D213" s="1051">
        <f>D169+IF(LEN(E213)&gt;0,1,0)</f>
        <v>52</v>
      </c>
      <c r="E213" s="1051" t="str">
        <f>IF(COUNTIF(E$112:E169,F213)&gt;0,"",F213)</f>
        <v/>
      </c>
      <c r="F213" s="1051" t="str">
        <f t="shared" si="24"/>
        <v/>
      </c>
      <c r="G213" s="1055" t="str">
        <f t="shared" si="25"/>
        <v/>
      </c>
      <c r="I213" s="2563"/>
      <c r="J213" s="2558"/>
      <c r="K213" s="2558"/>
      <c r="L213" s="2558"/>
      <c r="M213" s="2561"/>
      <c r="N213" s="2558"/>
      <c r="O213" s="2561"/>
      <c r="P213" s="2561"/>
      <c r="Q213" s="2561"/>
      <c r="R213" s="2561"/>
      <c r="S213" s="2561"/>
      <c r="T213" s="2561"/>
      <c r="U213" s="2562"/>
    </row>
    <row r="214" spans="2:21" ht="13.2" outlineLevel="1">
      <c r="I214" s="1746"/>
      <c r="J214" s="2358"/>
      <c r="K214" s="2358"/>
      <c r="L214" s="2358"/>
      <c r="M214" s="2358"/>
      <c r="N214" s="2358"/>
      <c r="O214" s="2358"/>
      <c r="P214" s="2358"/>
      <c r="Q214" s="2358"/>
      <c r="R214" s="2358"/>
      <c r="S214" s="2358"/>
      <c r="T214" s="2358"/>
      <c r="U214" s="2063"/>
    </row>
    <row r="215" spans="2:21" ht="13.2" outlineLevel="1" collapsed="1">
      <c r="B215" s="3199" t="s">
        <v>4894</v>
      </c>
      <c r="C215" s="3199"/>
      <c r="D215" s="1051">
        <v>0</v>
      </c>
      <c r="E215" s="1051"/>
      <c r="F215" s="1051"/>
      <c r="G215" s="1055"/>
      <c r="I215" s="1746"/>
      <c r="J215" s="2358"/>
      <c r="K215" s="2358"/>
      <c r="L215" s="2358"/>
      <c r="M215" s="2358"/>
      <c r="N215" s="2358"/>
      <c r="O215" s="2358"/>
      <c r="P215" s="2358"/>
      <c r="Q215" s="2358"/>
      <c r="R215" s="2358"/>
      <c r="S215" s="2358"/>
      <c r="T215" s="2358"/>
      <c r="U215" s="2063"/>
    </row>
    <row r="216" spans="2:21" hidden="1" outlineLevel="2">
      <c r="B216" s="1050">
        <v>1</v>
      </c>
      <c r="C216" s="1050" t="str">
        <f>IF(ISNA(VLOOKUP(B216,$D$215:$E$229,2,FALSE)),"-",VLOOKUP(B216,$D$215:$E$229,2,FALSE))</f>
        <v>Souple PE - Recyclage granulés - Impacts, France continentale, Base Carbone</v>
      </c>
      <c r="D216" s="1051">
        <f>D215+IF(LEN(E216)&gt;0,1,0)</f>
        <v>1</v>
      </c>
      <c r="E216" s="1051" t="str">
        <f>IF(COUNTIF(E215:E$215,F216)&gt;0,"",F216)</f>
        <v>Souple PE - Recyclage granulés - Impacts, France continentale, Base Carbone</v>
      </c>
      <c r="F216" s="1051" t="str">
        <f>IF(I216&lt;&gt;"",I216&amp;IF(L216&lt;&gt;"",", "&amp;L216,"")&amp;IF(K216&lt;&gt;"",", "&amp;K216,""),"")</f>
        <v>Souple PE - Recyclage granulés - Impacts, France continentale, Base Carbone</v>
      </c>
      <c r="G216" s="1055" t="str">
        <f>IF(F216&lt;&gt;"",F216&amp;IF(J216&lt;&gt;"","; "&amp;J216&amp;IF(N216&lt;&gt;"",", "&amp;N216,),""),"")</f>
        <v>Souple PE - Recyclage granulés - Impacts, France continentale, Base Carbone; kgCO2e/tonne</v>
      </c>
      <c r="I216" s="2018" t="s">
        <v>4888</v>
      </c>
      <c r="J216" s="1135" t="s">
        <v>1585</v>
      </c>
      <c r="K216" s="1135" t="s">
        <v>1567</v>
      </c>
      <c r="L216" s="1135" t="s">
        <v>1571</v>
      </c>
      <c r="M216" s="2062">
        <v>0.1</v>
      </c>
      <c r="N216" s="1135"/>
      <c r="O216" s="2046">
        <v>134</v>
      </c>
      <c r="P216" s="1980">
        <v>134</v>
      </c>
      <c r="Q216" s="1980">
        <v>0</v>
      </c>
      <c r="R216" s="1980">
        <v>0</v>
      </c>
      <c r="S216" s="1980">
        <v>0</v>
      </c>
      <c r="T216" s="1980">
        <v>0</v>
      </c>
      <c r="U216" s="2036">
        <v>0</v>
      </c>
    </row>
    <row r="217" spans="2:21" hidden="1" outlineLevel="2">
      <c r="B217" s="1050">
        <v>2</v>
      </c>
      <c r="C217" s="1050" t="str">
        <f t="shared" ref="C217:C220" si="27">IF(ISNA(VLOOKUP(B217,$D$215:$E$229,2,FALSE)),"-",VLOOKUP(B217,$D$215:$E$229,2,FALSE))</f>
        <v>-</v>
      </c>
      <c r="D217" s="1051">
        <f t="shared" ref="D217:D228" si="28">D216+IF(LEN(E217)&gt;0,1,0)</f>
        <v>1</v>
      </c>
      <c r="E217" s="1051" t="str">
        <f>IF(COUNTIF(E$215:E216,F217)&gt;0,"",F217)</f>
        <v/>
      </c>
      <c r="F217" s="1051" t="str">
        <f t="shared" ref="F217:F228" si="29">IF(I217&lt;&gt;"",I217&amp;IF(L217&lt;&gt;"",", "&amp;L217,"")&amp;IF(K217&lt;&gt;"",", "&amp;K217,""),"")</f>
        <v/>
      </c>
      <c r="G217" s="1055" t="str">
        <f t="shared" ref="G217:G228" si="30">IF(F217&lt;&gt;"",F217&amp;IF(J217&lt;&gt;"","; "&amp;J217&amp;IF(N217&lt;&gt;"",", "&amp;N217,),""),"")</f>
        <v/>
      </c>
      <c r="I217" s="2018"/>
      <c r="J217" s="1135"/>
      <c r="K217" s="1135"/>
      <c r="L217" s="1135"/>
      <c r="M217" s="2046"/>
      <c r="N217" s="1135"/>
      <c r="O217" s="2046"/>
      <c r="P217" s="2046"/>
      <c r="Q217" s="2046"/>
      <c r="R217" s="2046"/>
      <c r="S217" s="2046"/>
      <c r="T217" s="2046"/>
      <c r="U217" s="2307"/>
    </row>
    <row r="218" spans="2:21" hidden="1" outlineLevel="2">
      <c r="B218" s="1050">
        <v>3</v>
      </c>
      <c r="C218" s="1050" t="str">
        <f t="shared" si="27"/>
        <v>-</v>
      </c>
      <c r="D218" s="1051">
        <f t="shared" si="28"/>
        <v>1</v>
      </c>
      <c r="E218" s="1051" t="str">
        <f>IF(COUNTIF(E$215:E217,F218)&gt;0,"",F218)</f>
        <v/>
      </c>
      <c r="F218" s="1051" t="str">
        <f t="shared" si="29"/>
        <v/>
      </c>
      <c r="G218" s="1055" t="str">
        <f t="shared" si="30"/>
        <v/>
      </c>
      <c r="I218" s="2018"/>
      <c r="J218" s="1135"/>
      <c r="K218" s="1135"/>
      <c r="L218" s="1135"/>
      <c r="M218" s="2046"/>
      <c r="N218" s="1135"/>
      <c r="O218" s="2046"/>
      <c r="P218" s="2046"/>
      <c r="Q218" s="2046"/>
      <c r="R218" s="2046"/>
      <c r="S218" s="2046"/>
      <c r="T218" s="2046"/>
      <c r="U218" s="2307"/>
    </row>
    <row r="219" spans="2:21" hidden="1" outlineLevel="2">
      <c r="B219" s="1050">
        <v>4</v>
      </c>
      <c r="C219" s="1050" t="str">
        <f t="shared" si="27"/>
        <v>-</v>
      </c>
      <c r="D219" s="1051">
        <f t="shared" si="28"/>
        <v>1</v>
      </c>
      <c r="E219" s="1051" t="str">
        <f>IF(COUNTIF(E$215:E218,F219)&gt;0,"",F219)</f>
        <v/>
      </c>
      <c r="F219" s="1051" t="str">
        <f t="shared" si="29"/>
        <v/>
      </c>
      <c r="G219" s="1055" t="str">
        <f t="shared" si="30"/>
        <v/>
      </c>
      <c r="I219" s="2018"/>
      <c r="J219" s="1135"/>
      <c r="K219" s="1135"/>
      <c r="L219" s="1135"/>
      <c r="M219" s="2046"/>
      <c r="N219" s="1135"/>
      <c r="O219" s="2046"/>
      <c r="P219" s="2046"/>
      <c r="Q219" s="2046"/>
      <c r="R219" s="2046"/>
      <c r="S219" s="2046"/>
      <c r="T219" s="2046"/>
      <c r="U219" s="2307"/>
    </row>
    <row r="220" spans="2:21" hidden="1" outlineLevel="2">
      <c r="B220" s="1050">
        <v>5</v>
      </c>
      <c r="C220" s="1050" t="str">
        <f t="shared" si="27"/>
        <v>-</v>
      </c>
      <c r="D220" s="1051">
        <f t="shared" si="28"/>
        <v>1</v>
      </c>
      <c r="E220" s="1051" t="str">
        <f>IF(COUNTIF(E$215:E219,F220)&gt;0,"",F220)</f>
        <v/>
      </c>
      <c r="F220" s="1051" t="str">
        <f t="shared" si="29"/>
        <v/>
      </c>
      <c r="G220" s="1055" t="str">
        <f t="shared" si="30"/>
        <v/>
      </c>
      <c r="I220" s="2018"/>
      <c r="J220" s="1135"/>
      <c r="K220" s="1135"/>
      <c r="L220" s="1135"/>
      <c r="M220" s="2046"/>
      <c r="N220" s="1135"/>
      <c r="O220" s="2046"/>
      <c r="P220" s="2046"/>
      <c r="Q220" s="2046"/>
      <c r="R220" s="2046"/>
      <c r="S220" s="2046"/>
      <c r="T220" s="2046"/>
      <c r="U220" s="2307"/>
    </row>
    <row r="221" spans="2:21" hidden="1" outlineLevel="2">
      <c r="B221" s="1050"/>
      <c r="C221" s="1050"/>
      <c r="D221" s="1051">
        <f t="shared" si="28"/>
        <v>1</v>
      </c>
      <c r="E221" s="1051" t="str">
        <f>IF(COUNTIF(E$215:E220,F221)&gt;0,"",F221)</f>
        <v/>
      </c>
      <c r="F221" s="1051" t="str">
        <f t="shared" si="29"/>
        <v/>
      </c>
      <c r="G221" s="1055" t="str">
        <f t="shared" si="30"/>
        <v/>
      </c>
      <c r="I221" s="2018"/>
      <c r="J221" s="1135"/>
      <c r="K221" s="1135"/>
      <c r="L221" s="1135"/>
      <c r="M221" s="2046"/>
      <c r="N221" s="1135"/>
      <c r="O221" s="2046"/>
      <c r="P221" s="2046"/>
      <c r="Q221" s="2046"/>
      <c r="R221" s="2046"/>
      <c r="S221" s="2046"/>
      <c r="T221" s="2046"/>
      <c r="U221" s="2307"/>
    </row>
    <row r="222" spans="2:21" hidden="1" outlineLevel="2">
      <c r="B222" s="1045"/>
      <c r="C222" s="1045"/>
      <c r="D222" s="1051">
        <f t="shared" si="28"/>
        <v>1</v>
      </c>
      <c r="E222" s="1051" t="str">
        <f>IF(COUNTIF(E$215:E221,F222)&gt;0,"",F222)</f>
        <v/>
      </c>
      <c r="F222" s="1051" t="str">
        <f t="shared" si="29"/>
        <v/>
      </c>
      <c r="G222" s="1055" t="str">
        <f t="shared" si="30"/>
        <v/>
      </c>
      <c r="I222" s="2018"/>
      <c r="J222" s="1135"/>
      <c r="K222" s="1135"/>
      <c r="L222" s="1135"/>
      <c r="M222" s="2046"/>
      <c r="N222" s="1135"/>
      <c r="O222" s="2046"/>
      <c r="P222" s="2046"/>
      <c r="Q222" s="2046"/>
      <c r="R222" s="2046"/>
      <c r="S222" s="2046"/>
      <c r="T222" s="2046"/>
      <c r="U222" s="2307"/>
    </row>
    <row r="223" spans="2:21" hidden="1" outlineLevel="2">
      <c r="B223" s="1045"/>
      <c r="C223" s="1045"/>
      <c r="D223" s="1051">
        <f t="shared" si="28"/>
        <v>1</v>
      </c>
      <c r="E223" s="1051" t="str">
        <f>IF(COUNTIF(E$215:E222,F223)&gt;0,"",F223)</f>
        <v/>
      </c>
      <c r="F223" s="1051" t="str">
        <f t="shared" si="29"/>
        <v/>
      </c>
      <c r="G223" s="1055" t="str">
        <f t="shared" si="30"/>
        <v/>
      </c>
      <c r="I223" s="2018"/>
      <c r="J223" s="1135"/>
      <c r="K223" s="1135"/>
      <c r="L223" s="1135"/>
      <c r="M223" s="2046"/>
      <c r="N223" s="1135"/>
      <c r="O223" s="2046"/>
      <c r="P223" s="2046"/>
      <c r="Q223" s="2046"/>
      <c r="R223" s="2046"/>
      <c r="S223" s="2046"/>
      <c r="T223" s="2046"/>
      <c r="U223" s="2307"/>
    </row>
    <row r="224" spans="2:21" hidden="1" outlineLevel="2">
      <c r="B224" s="1045"/>
      <c r="C224" s="1045"/>
      <c r="D224" s="1051">
        <f t="shared" si="28"/>
        <v>1</v>
      </c>
      <c r="E224" s="1051" t="str">
        <f>IF(COUNTIF(E$215:E223,F224)&gt;0,"",F224)</f>
        <v/>
      </c>
      <c r="F224" s="1051" t="str">
        <f t="shared" si="29"/>
        <v/>
      </c>
      <c r="G224" s="1055" t="str">
        <f t="shared" si="30"/>
        <v/>
      </c>
      <c r="I224" s="2018"/>
      <c r="J224" s="1135"/>
      <c r="K224" s="1135"/>
      <c r="L224" s="1135"/>
      <c r="M224" s="2046"/>
      <c r="N224" s="1135"/>
      <c r="O224" s="2046"/>
      <c r="P224" s="2046"/>
      <c r="Q224" s="2046"/>
      <c r="R224" s="2046"/>
      <c r="S224" s="2046"/>
      <c r="T224" s="2046"/>
      <c r="U224" s="2307"/>
    </row>
    <row r="225" spans="2:21" hidden="1" outlineLevel="2">
      <c r="B225" s="1045"/>
      <c r="C225" s="1045"/>
      <c r="D225" s="1051">
        <f t="shared" si="28"/>
        <v>1</v>
      </c>
      <c r="E225" s="1051" t="str">
        <f>IF(COUNTIF(E$215:E224,F225)&gt;0,"",F225)</f>
        <v/>
      </c>
      <c r="F225" s="1051" t="str">
        <f t="shared" si="29"/>
        <v/>
      </c>
      <c r="G225" s="1055" t="str">
        <f t="shared" si="30"/>
        <v/>
      </c>
      <c r="I225" s="2018"/>
      <c r="J225" s="1135"/>
      <c r="K225" s="1135"/>
      <c r="L225" s="1135"/>
      <c r="M225" s="2046"/>
      <c r="N225" s="1135"/>
      <c r="O225" s="2046"/>
      <c r="P225" s="2046"/>
      <c r="Q225" s="2046"/>
      <c r="R225" s="2046"/>
      <c r="S225" s="2046"/>
      <c r="T225" s="2046"/>
      <c r="U225" s="2307"/>
    </row>
    <row r="226" spans="2:21" hidden="1" outlineLevel="2">
      <c r="B226" s="1045"/>
      <c r="C226" s="1045"/>
      <c r="D226" s="1051">
        <f t="shared" si="28"/>
        <v>1</v>
      </c>
      <c r="E226" s="1051" t="str">
        <f>IF(COUNTIF(E$215:E225,F226)&gt;0,"",F226)</f>
        <v/>
      </c>
      <c r="F226" s="1051" t="str">
        <f t="shared" si="29"/>
        <v/>
      </c>
      <c r="G226" s="1055" t="str">
        <f t="shared" si="30"/>
        <v/>
      </c>
      <c r="I226" s="2018"/>
      <c r="J226" s="1135"/>
      <c r="K226" s="1135"/>
      <c r="L226" s="1135"/>
      <c r="M226" s="2046"/>
      <c r="N226" s="1135"/>
      <c r="O226" s="2046"/>
      <c r="P226" s="2046"/>
      <c r="Q226" s="2046"/>
      <c r="R226" s="2046"/>
      <c r="S226" s="2046"/>
      <c r="T226" s="2046"/>
      <c r="U226" s="2307"/>
    </row>
    <row r="227" spans="2:21" hidden="1" outlineLevel="2">
      <c r="B227" s="1045"/>
      <c r="C227" s="1045"/>
      <c r="D227" s="1051">
        <f t="shared" si="28"/>
        <v>1</v>
      </c>
      <c r="E227" s="1051" t="str">
        <f>IF(COUNTIF(E$215:E226,F227)&gt;0,"",F227)</f>
        <v/>
      </c>
      <c r="F227" s="1051" t="str">
        <f t="shared" si="29"/>
        <v/>
      </c>
      <c r="G227" s="1055" t="str">
        <f t="shared" si="30"/>
        <v/>
      </c>
      <c r="I227" s="2018"/>
      <c r="J227" s="1135"/>
      <c r="K227" s="1135"/>
      <c r="L227" s="1135"/>
      <c r="M227" s="2046"/>
      <c r="N227" s="1135"/>
      <c r="O227" s="2046"/>
      <c r="P227" s="2046"/>
      <c r="Q227" s="2046"/>
      <c r="R227" s="2046"/>
      <c r="S227" s="2046"/>
      <c r="T227" s="2046"/>
      <c r="U227" s="2307"/>
    </row>
    <row r="228" spans="2:21" hidden="1" outlineLevel="2">
      <c r="B228" s="1045"/>
      <c r="C228" s="1045"/>
      <c r="D228" s="1051">
        <f t="shared" si="28"/>
        <v>1</v>
      </c>
      <c r="E228" s="1051" t="str">
        <f>IF(COUNTIF(E$215:E227,F228)&gt;0,"",F228)</f>
        <v/>
      </c>
      <c r="F228" s="1051" t="str">
        <f t="shared" si="29"/>
        <v/>
      </c>
      <c r="G228" s="1055" t="str">
        <f t="shared" si="30"/>
        <v/>
      </c>
      <c r="I228" s="2018"/>
      <c r="J228" s="1135"/>
      <c r="K228" s="1135"/>
      <c r="L228" s="1135"/>
      <c r="M228" s="2046"/>
      <c r="N228" s="1135"/>
      <c r="O228" s="2046"/>
      <c r="P228" s="2046"/>
      <c r="Q228" s="2046"/>
      <c r="R228" s="2046"/>
      <c r="S228" s="2046"/>
      <c r="T228" s="2046"/>
      <c r="U228" s="2307"/>
    </row>
    <row r="229" spans="2:21" hidden="1" outlineLevel="2">
      <c r="B229" s="1045"/>
      <c r="C229" s="1045"/>
      <c r="D229" s="1045"/>
      <c r="E229" s="1045"/>
      <c r="F229" s="1045"/>
      <c r="G229" s="1135"/>
      <c r="I229" s="2018"/>
      <c r="J229" s="1135"/>
      <c r="K229" s="1135"/>
      <c r="L229" s="1135"/>
      <c r="M229" s="1135"/>
      <c r="N229" s="1135"/>
      <c r="O229" s="1135"/>
      <c r="P229" s="1135"/>
      <c r="Q229" s="1135"/>
      <c r="R229" s="1135"/>
      <c r="S229" s="1135"/>
      <c r="T229" s="1135"/>
      <c r="U229" s="2041"/>
    </row>
    <row r="230" spans="2:21" ht="13.2" outlineLevel="1">
      <c r="B230" s="1045"/>
      <c r="C230" s="1045"/>
      <c r="D230" s="1045"/>
      <c r="E230" s="1045"/>
      <c r="F230" s="1045"/>
      <c r="G230" s="1135"/>
      <c r="I230" s="1746"/>
      <c r="J230" s="2358"/>
      <c r="K230" s="2358"/>
      <c r="L230" s="2358"/>
      <c r="M230" s="2358"/>
      <c r="N230" s="2358"/>
      <c r="O230" s="2358"/>
      <c r="P230" s="2358"/>
      <c r="Q230" s="2358"/>
      <c r="R230" s="2358"/>
      <c r="S230" s="2358"/>
      <c r="T230" s="2358"/>
      <c r="U230" s="2063"/>
    </row>
    <row r="231" spans="2:21" ht="13.2" outlineLevel="1" collapsed="1">
      <c r="B231" s="3198" t="s">
        <v>4947</v>
      </c>
      <c r="C231" s="3198"/>
      <c r="D231" s="1051">
        <v>0</v>
      </c>
      <c r="E231" s="1051"/>
      <c r="F231" s="1051"/>
      <c r="G231" s="1055"/>
      <c r="I231" s="1746"/>
      <c r="J231" s="2358"/>
      <c r="K231" s="2358"/>
      <c r="L231" s="2358"/>
      <c r="M231" s="2358"/>
      <c r="N231" s="2358"/>
      <c r="O231" s="2358"/>
      <c r="P231" s="2358"/>
      <c r="Q231" s="2358"/>
      <c r="R231" s="2358"/>
      <c r="S231" s="2358"/>
      <c r="T231" s="2358"/>
      <c r="U231" s="2063"/>
    </row>
    <row r="232" spans="2:21" hidden="1" outlineLevel="2">
      <c r="B232" s="1050">
        <v>1</v>
      </c>
      <c r="C232" s="1050" t="str">
        <f>IF(ISNA(VLOOKUP(B232,$D$231:$E$246,2,FALSE)),"-",VLOOKUP(B232,$D$231:$E$246,2,FALSE))</f>
        <v>Plastique rigide PE - Recyclage granulés - Impacts, France continentale, Base Carbone</v>
      </c>
      <c r="D232" s="1051">
        <f>D231+IF(LEN(E232)&gt;0,1,0)</f>
        <v>1</v>
      </c>
      <c r="E232" s="1051" t="str">
        <f>IF(COUNTIF(E231:E$231,F232)&gt;0,"",F232)</f>
        <v>Plastique rigide PE - Recyclage granulés - Impacts, France continentale, Base Carbone</v>
      </c>
      <c r="F232" s="1051" t="str">
        <f>IF(I232&lt;&gt;"",I232&amp;IF(L232&lt;&gt;"",", "&amp;L232,"")&amp;IF(K232&lt;&gt;"",", "&amp;K232,""),"")</f>
        <v>Plastique rigide PE - Recyclage granulés - Impacts, France continentale, Base Carbone</v>
      </c>
      <c r="G232" s="1055" t="str">
        <f>IF(F232&lt;&gt;"",F232&amp;IF(J232&lt;&gt;"","; "&amp;J232&amp;IF(N232&lt;&gt;"",", "&amp;N232,),""),"")</f>
        <v>Plastique rigide PE - Recyclage granulés - Impacts, France continentale, Base Carbone; kgCO2e/tonne</v>
      </c>
      <c r="I232" s="2018" t="s">
        <v>4857</v>
      </c>
      <c r="J232" s="1135" t="s">
        <v>1585</v>
      </c>
      <c r="K232" s="1135" t="s">
        <v>1567</v>
      </c>
      <c r="L232" s="1135" t="s">
        <v>1571</v>
      </c>
      <c r="M232" s="2062">
        <v>0.1</v>
      </c>
      <c r="N232" s="1135"/>
      <c r="O232" s="1135">
        <v>313</v>
      </c>
      <c r="P232" s="2017">
        <v>313</v>
      </c>
      <c r="Q232" s="2017">
        <v>0</v>
      </c>
      <c r="R232" s="2017">
        <v>0</v>
      </c>
      <c r="S232" s="2017">
        <v>0</v>
      </c>
      <c r="T232" s="2017">
        <v>0</v>
      </c>
      <c r="U232" s="2042">
        <v>0</v>
      </c>
    </row>
    <row r="233" spans="2:21" hidden="1" outlineLevel="2">
      <c r="B233" s="1050">
        <v>2</v>
      </c>
      <c r="C233" s="1050" t="str">
        <f t="shared" ref="C233:C246" si="31">IF(ISNA(VLOOKUP(B233,$D$231:$E$246,2,FALSE)),"-",VLOOKUP(B233,$D$231:$E$246,2,FALSE))</f>
        <v>Plastique rigide PE - Recyclage paillettes - Impacts, France continentale, Base Carbone</v>
      </c>
      <c r="D233" s="1051">
        <f t="shared" ref="D233:D246" si="32">D232+IF(LEN(E233)&gt;0,1,0)</f>
        <v>2</v>
      </c>
      <c r="E233" s="1051" t="str">
        <f>IF(COUNTIF(E$231:E232,F233)&gt;0,"",F233)</f>
        <v>Plastique rigide PE - Recyclage paillettes - Impacts, France continentale, Base Carbone</v>
      </c>
      <c r="F233" s="1051" t="str">
        <f t="shared" ref="F233:F246" si="33">IF(I233&lt;&gt;"",I233&amp;IF(L233&lt;&gt;"",", "&amp;L233,"")&amp;IF(K233&lt;&gt;"",", "&amp;K233,""),"")</f>
        <v>Plastique rigide PE - Recyclage paillettes - Impacts, France continentale, Base Carbone</v>
      </c>
      <c r="G233" s="1055" t="str">
        <f t="shared" ref="G233:G246" si="34">IF(F233&lt;&gt;"",F233&amp;IF(J233&lt;&gt;"","; "&amp;J233&amp;IF(N233&lt;&gt;"",", "&amp;N233,),""),"")</f>
        <v>Plastique rigide PE - Recyclage paillettes - Impacts, France continentale, Base Carbone; kgCO2e/tonne</v>
      </c>
      <c r="I233" s="2018" t="s">
        <v>4858</v>
      </c>
      <c r="J233" s="1135" t="s">
        <v>1585</v>
      </c>
      <c r="K233" s="1135" t="s">
        <v>1567</v>
      </c>
      <c r="L233" s="1135" t="s">
        <v>1571</v>
      </c>
      <c r="M233" s="2062">
        <v>0.1</v>
      </c>
      <c r="N233" s="1135"/>
      <c r="O233" s="1135">
        <v>258</v>
      </c>
      <c r="P233" s="2017">
        <v>258</v>
      </c>
      <c r="Q233" s="2017">
        <v>0</v>
      </c>
      <c r="R233" s="2017">
        <v>0</v>
      </c>
      <c r="S233" s="2017">
        <v>0</v>
      </c>
      <c r="T233" s="2017">
        <v>0</v>
      </c>
      <c r="U233" s="2042">
        <v>0</v>
      </c>
    </row>
    <row r="234" spans="2:21" hidden="1" outlineLevel="2">
      <c r="B234" s="1050">
        <v>3</v>
      </c>
      <c r="C234" s="1050" t="str">
        <f t="shared" si="31"/>
        <v>Plastique rigide PET - Recyclage granulés - Impacts, France continentale, Base Carbone</v>
      </c>
      <c r="D234" s="1051">
        <f t="shared" si="32"/>
        <v>3</v>
      </c>
      <c r="E234" s="1051" t="str">
        <f>IF(COUNTIF(E$231:E233,F234)&gt;0,"",F234)</f>
        <v>Plastique rigide PET - Recyclage granulés - Impacts, France continentale, Base Carbone</v>
      </c>
      <c r="F234" s="1051" t="str">
        <f t="shared" si="33"/>
        <v>Plastique rigide PET - Recyclage granulés - Impacts, France continentale, Base Carbone</v>
      </c>
      <c r="G234" s="1055" t="str">
        <f t="shared" si="34"/>
        <v>Plastique rigide PET - Recyclage granulés - Impacts, France continentale, Base Carbone; kgCO2e/tonne</v>
      </c>
      <c r="I234" s="2018" t="s">
        <v>4861</v>
      </c>
      <c r="J234" s="1135" t="s">
        <v>1585</v>
      </c>
      <c r="K234" s="1135" t="s">
        <v>1567</v>
      </c>
      <c r="L234" s="1135" t="s">
        <v>1571</v>
      </c>
      <c r="M234" s="2062">
        <v>0.1</v>
      </c>
      <c r="N234" s="1135"/>
      <c r="O234" s="1135">
        <v>548</v>
      </c>
      <c r="P234" s="2017">
        <v>548</v>
      </c>
      <c r="Q234" s="2017">
        <v>0</v>
      </c>
      <c r="R234" s="2017">
        <v>0</v>
      </c>
      <c r="S234" s="2017">
        <v>0</v>
      </c>
      <c r="T234" s="2017">
        <v>0</v>
      </c>
      <c r="U234" s="2042">
        <v>0</v>
      </c>
    </row>
    <row r="235" spans="2:21" hidden="1" outlineLevel="2">
      <c r="B235" s="1050">
        <v>4</v>
      </c>
      <c r="C235" s="1050" t="str">
        <f t="shared" si="31"/>
        <v>Plastique rigide PET - Recyclage paillettes - Impacts, France continentale, Base Carbone</v>
      </c>
      <c r="D235" s="1051">
        <f t="shared" si="32"/>
        <v>4</v>
      </c>
      <c r="E235" s="1051" t="str">
        <f>IF(COUNTIF(E$231:E234,F235)&gt;0,"",F235)</f>
        <v>Plastique rigide PET - Recyclage paillettes - Impacts, France continentale, Base Carbone</v>
      </c>
      <c r="F235" s="1051" t="str">
        <f t="shared" si="33"/>
        <v>Plastique rigide PET - Recyclage paillettes - Impacts, France continentale, Base Carbone</v>
      </c>
      <c r="G235" s="1055" t="str">
        <f t="shared" si="34"/>
        <v>Plastique rigide PET - Recyclage paillettes - Impacts, France continentale, Base Carbone; kgCO2e/tonne</v>
      </c>
      <c r="I235" s="2018" t="s">
        <v>4862</v>
      </c>
      <c r="J235" s="1135" t="s">
        <v>1585</v>
      </c>
      <c r="K235" s="1135" t="s">
        <v>1567</v>
      </c>
      <c r="L235" s="1135" t="s">
        <v>1571</v>
      </c>
      <c r="M235" s="2062">
        <v>0.1</v>
      </c>
      <c r="N235" s="1135"/>
      <c r="O235" s="1135">
        <v>480</v>
      </c>
      <c r="P235" s="2017">
        <v>480</v>
      </c>
      <c r="Q235" s="2017">
        <v>0</v>
      </c>
      <c r="R235" s="2017">
        <v>0</v>
      </c>
      <c r="S235" s="2017">
        <v>0</v>
      </c>
      <c r="T235" s="2017">
        <v>0</v>
      </c>
      <c r="U235" s="2042">
        <v>0</v>
      </c>
    </row>
    <row r="236" spans="2:21" hidden="1" outlineLevel="2">
      <c r="B236" s="1050">
        <v>5</v>
      </c>
      <c r="C236" s="1050" t="str">
        <f t="shared" si="31"/>
        <v>Plastique rigide PP - Recyclage granulés - Impacts, France continentale, Base Carbone</v>
      </c>
      <c r="D236" s="1051">
        <f t="shared" si="32"/>
        <v>5</v>
      </c>
      <c r="E236" s="1051" t="str">
        <f>IF(COUNTIF(E$231:E235,F236)&gt;0,"",F236)</f>
        <v>Plastique rigide PP - Recyclage granulés - Impacts, France continentale, Base Carbone</v>
      </c>
      <c r="F236" s="1051" t="str">
        <f t="shared" si="33"/>
        <v>Plastique rigide PP - Recyclage granulés - Impacts, France continentale, Base Carbone</v>
      </c>
      <c r="G236" s="1055" t="str">
        <f t="shared" si="34"/>
        <v>Plastique rigide PP - Recyclage granulés - Impacts, France continentale, Base Carbone; kgCO2e/tonne</v>
      </c>
      <c r="I236" s="2018" t="s">
        <v>4871</v>
      </c>
      <c r="J236" s="1135" t="s">
        <v>1585</v>
      </c>
      <c r="K236" s="1135" t="s">
        <v>1567</v>
      </c>
      <c r="L236" s="1135" t="s">
        <v>1571</v>
      </c>
      <c r="M236" s="2062">
        <v>0.1</v>
      </c>
      <c r="N236" s="1135"/>
      <c r="O236" s="1135">
        <v>173</v>
      </c>
      <c r="P236" s="2017">
        <v>173</v>
      </c>
      <c r="Q236" s="2017">
        <v>0</v>
      </c>
      <c r="R236" s="2017">
        <v>0</v>
      </c>
      <c r="S236" s="2017">
        <v>0</v>
      </c>
      <c r="T236" s="2017">
        <v>0</v>
      </c>
      <c r="U236" s="2042">
        <v>0</v>
      </c>
    </row>
    <row r="237" spans="2:21" hidden="1" outlineLevel="2">
      <c r="B237" s="1050">
        <v>6</v>
      </c>
      <c r="C237" s="1050" t="str">
        <f t="shared" si="31"/>
        <v>Plastique rigide PS - Recyclage - Impacts, France continentale, Base Carbone</v>
      </c>
      <c r="D237" s="1051">
        <f t="shared" si="32"/>
        <v>6</v>
      </c>
      <c r="E237" s="1051" t="str">
        <f>IF(COUNTIF(E$231:E236,F237)&gt;0,"",F237)</f>
        <v>Plastique rigide PS - Recyclage - Impacts, France continentale, Base Carbone</v>
      </c>
      <c r="F237" s="1051" t="str">
        <f t="shared" si="33"/>
        <v>Plastique rigide PS - Recyclage - Impacts, France continentale, Base Carbone</v>
      </c>
      <c r="G237" s="1055" t="str">
        <f t="shared" si="34"/>
        <v>Plastique rigide PS - Recyclage - Impacts, France continentale, Base Carbone; kgCO2e/tonne</v>
      </c>
      <c r="I237" s="2018" t="s">
        <v>4948</v>
      </c>
      <c r="J237" s="1135" t="s">
        <v>1585</v>
      </c>
      <c r="K237" s="1135" t="s">
        <v>1567</v>
      </c>
      <c r="L237" s="1135" t="s">
        <v>1571</v>
      </c>
      <c r="M237" s="2062">
        <v>0.1</v>
      </c>
      <c r="N237" s="1135"/>
      <c r="O237" s="1135">
        <v>493</v>
      </c>
      <c r="P237" s="2017">
        <v>493</v>
      </c>
      <c r="Q237" s="2017">
        <v>0</v>
      </c>
      <c r="R237" s="2017">
        <v>0</v>
      </c>
      <c r="S237" s="2017">
        <v>0</v>
      </c>
      <c r="T237" s="2017">
        <v>0</v>
      </c>
      <c r="U237" s="2042">
        <v>0</v>
      </c>
    </row>
    <row r="238" spans="2:21" hidden="1" outlineLevel="2">
      <c r="B238" s="1050">
        <v>7</v>
      </c>
      <c r="C238" s="1050" t="str">
        <f t="shared" si="31"/>
        <v>Plastique rigide PVC - Recyclage - Impacts, France continentale, Base Carbone</v>
      </c>
      <c r="D238" s="1051">
        <f t="shared" si="32"/>
        <v>7</v>
      </c>
      <c r="E238" s="1051" t="str">
        <f>IF(COUNTIF(E$231:E237,F238)&gt;0,"",F238)</f>
        <v>Plastique rigide PVC - Recyclage - Impacts, France continentale, Base Carbone</v>
      </c>
      <c r="F238" s="1051" t="str">
        <f t="shared" si="33"/>
        <v>Plastique rigide PVC - Recyclage - Impacts, France continentale, Base Carbone</v>
      </c>
      <c r="G238" s="1055" t="str">
        <f t="shared" si="34"/>
        <v>Plastique rigide PVC - Recyclage - Impacts, France continentale, Base Carbone; kgCO2e/tonne</v>
      </c>
      <c r="I238" s="2018" t="s">
        <v>4916</v>
      </c>
      <c r="J238" s="1135" t="s">
        <v>1585</v>
      </c>
      <c r="K238" s="1135" t="s">
        <v>1567</v>
      </c>
      <c r="L238" s="1135" t="s">
        <v>1571</v>
      </c>
      <c r="M238" s="2062">
        <v>0.1</v>
      </c>
      <c r="N238" s="1135"/>
      <c r="O238" s="1135">
        <v>141</v>
      </c>
      <c r="P238" s="2017">
        <v>141</v>
      </c>
      <c r="Q238" s="2017">
        <v>0</v>
      </c>
      <c r="R238" s="2017">
        <v>0</v>
      </c>
      <c r="S238" s="2017">
        <v>0</v>
      </c>
      <c r="T238" s="2017">
        <v>0</v>
      </c>
      <c r="U238" s="2042">
        <v>0</v>
      </c>
    </row>
    <row r="239" spans="2:21" hidden="1" outlineLevel="2">
      <c r="B239" s="1050">
        <v>8</v>
      </c>
      <c r="C239" s="1050" t="str">
        <f t="shared" si="31"/>
        <v>Plastique souple PE - Recyclage granulés - Impacts, France continentale, Base Carbone</v>
      </c>
      <c r="D239" s="1051">
        <f t="shared" si="32"/>
        <v>8</v>
      </c>
      <c r="E239" s="1051" t="str">
        <f>IF(COUNTIF(E$231:E238,F239)&gt;0,"",F239)</f>
        <v>Plastique souple PE - Recyclage granulés - Impacts, France continentale, Base Carbone</v>
      </c>
      <c r="F239" s="1051" t="str">
        <f t="shared" si="33"/>
        <v>Plastique souple PE - Recyclage granulés - Impacts, France continentale, Base Carbone</v>
      </c>
      <c r="G239" s="1055" t="str">
        <f t="shared" si="34"/>
        <v>Plastique souple PE - Recyclage granulés - Impacts, France continentale, Base Carbone; kgCO2e/tonne</v>
      </c>
      <c r="I239" s="2018" t="s">
        <v>4881</v>
      </c>
      <c r="J239" s="1135" t="s">
        <v>1585</v>
      </c>
      <c r="K239" s="1135" t="s">
        <v>1567</v>
      </c>
      <c r="L239" s="1135" t="s">
        <v>1571</v>
      </c>
      <c r="M239" s="2062">
        <v>0.1</v>
      </c>
      <c r="N239" s="1135"/>
      <c r="O239" s="1135">
        <v>134</v>
      </c>
      <c r="P239" s="2017">
        <v>134</v>
      </c>
      <c r="Q239" s="2017">
        <v>0</v>
      </c>
      <c r="R239" s="2017">
        <v>0</v>
      </c>
      <c r="S239" s="2017">
        <v>0</v>
      </c>
      <c r="T239" s="2017">
        <v>0</v>
      </c>
      <c r="U239" s="2042">
        <v>0</v>
      </c>
    </row>
    <row r="240" spans="2:21" hidden="1" outlineLevel="2">
      <c r="B240" s="1050">
        <v>9</v>
      </c>
      <c r="C240" s="1050" t="str">
        <f t="shared" si="31"/>
        <v>Plastique souple PE, origine agricole - Recyclage granulés - Impacts, France continentale, Base Carbone</v>
      </c>
      <c r="D240" s="1051">
        <f t="shared" si="32"/>
        <v>9</v>
      </c>
      <c r="E240" s="1051" t="str">
        <f>IF(COUNTIF(E$231:E239,F240)&gt;0,"",F240)</f>
        <v>Plastique souple PE, origine agricole - Recyclage granulés - Impacts, France continentale, Base Carbone</v>
      </c>
      <c r="F240" s="1051" t="str">
        <f t="shared" si="33"/>
        <v>Plastique souple PE, origine agricole - Recyclage granulés - Impacts, France continentale, Base Carbone</v>
      </c>
      <c r="G240" s="1055" t="str">
        <f t="shared" si="34"/>
        <v>Plastique souple PE, origine agricole - Recyclage granulés - Impacts, France continentale, Base Carbone; kgCO2e/tonne</v>
      </c>
      <c r="I240" s="2018" t="s">
        <v>4949</v>
      </c>
      <c r="J240" s="1135" t="s">
        <v>1585</v>
      </c>
      <c r="K240" s="1135" t="s">
        <v>1567</v>
      </c>
      <c r="L240" s="1135" t="s">
        <v>1571</v>
      </c>
      <c r="M240" s="2062">
        <v>0.1</v>
      </c>
      <c r="N240" s="1135"/>
      <c r="O240" s="1135">
        <v>159</v>
      </c>
      <c r="P240" s="2017">
        <v>159</v>
      </c>
      <c r="Q240" s="2017">
        <v>0</v>
      </c>
      <c r="R240" s="2017">
        <v>0</v>
      </c>
      <c r="S240" s="2017">
        <v>0</v>
      </c>
      <c r="T240" s="2017">
        <v>0</v>
      </c>
      <c r="U240" s="2042">
        <v>0</v>
      </c>
    </row>
    <row r="241" spans="2:21" hidden="1" outlineLevel="2">
      <c r="B241" s="1050">
        <v>10</v>
      </c>
      <c r="C241" s="1050" t="str">
        <f t="shared" si="31"/>
        <v>-</v>
      </c>
      <c r="D241" s="1051">
        <f t="shared" si="32"/>
        <v>9</v>
      </c>
      <c r="E241" s="1051" t="str">
        <f>IF(COUNTIF(E$231:E240,F241)&gt;0,"",F241)</f>
        <v/>
      </c>
      <c r="F241" s="1051" t="str">
        <f t="shared" si="33"/>
        <v/>
      </c>
      <c r="G241" s="1055" t="str">
        <f t="shared" si="34"/>
        <v/>
      </c>
      <c r="I241" s="2018"/>
      <c r="J241" s="1135"/>
      <c r="K241" s="1135"/>
      <c r="L241" s="1135"/>
      <c r="M241" s="1135"/>
      <c r="N241" s="1135"/>
      <c r="O241" s="1135"/>
      <c r="P241" s="1135"/>
      <c r="Q241" s="1135"/>
      <c r="R241" s="1135"/>
      <c r="S241" s="1135"/>
      <c r="T241" s="1135"/>
      <c r="U241" s="2041"/>
    </row>
    <row r="242" spans="2:21" hidden="1" outlineLevel="2">
      <c r="B242" s="1050">
        <v>11</v>
      </c>
      <c r="C242" s="1050" t="str">
        <f t="shared" si="31"/>
        <v>-</v>
      </c>
      <c r="D242" s="1051">
        <f t="shared" si="32"/>
        <v>9</v>
      </c>
      <c r="E242" s="1051" t="str">
        <f>IF(COUNTIF(E$231:E241,F242)&gt;0,"",F242)</f>
        <v/>
      </c>
      <c r="F242" s="1051" t="str">
        <f t="shared" si="33"/>
        <v/>
      </c>
      <c r="G242" s="1055" t="str">
        <f t="shared" si="34"/>
        <v/>
      </c>
      <c r="I242" s="2018"/>
      <c r="J242" s="1135"/>
      <c r="K242" s="1135"/>
      <c r="L242" s="1135"/>
      <c r="M242" s="1135"/>
      <c r="N242" s="1135"/>
      <c r="O242" s="1135"/>
      <c r="P242" s="1135"/>
      <c r="Q242" s="1135"/>
      <c r="R242" s="1135"/>
      <c r="S242" s="1135"/>
      <c r="T242" s="1135"/>
      <c r="U242" s="2041"/>
    </row>
    <row r="243" spans="2:21" hidden="1" outlineLevel="2">
      <c r="B243" s="1050">
        <v>12</v>
      </c>
      <c r="C243" s="1050" t="str">
        <f t="shared" si="31"/>
        <v>-</v>
      </c>
      <c r="D243" s="1051">
        <f t="shared" si="32"/>
        <v>9</v>
      </c>
      <c r="E243" s="1051" t="str">
        <f>IF(COUNTIF(E$231:E242,F243)&gt;0,"",F243)</f>
        <v/>
      </c>
      <c r="F243" s="1051" t="str">
        <f t="shared" si="33"/>
        <v/>
      </c>
      <c r="G243" s="1055" t="str">
        <f t="shared" si="34"/>
        <v/>
      </c>
      <c r="I243" s="2018"/>
      <c r="J243" s="1135"/>
      <c r="K243" s="1135"/>
      <c r="L243" s="1135"/>
      <c r="M243" s="1135"/>
      <c r="N243" s="1135"/>
      <c r="O243" s="1135"/>
      <c r="P243" s="1135"/>
      <c r="Q243" s="1135"/>
      <c r="R243" s="1135"/>
      <c r="S243" s="1135"/>
      <c r="T243" s="1135"/>
      <c r="U243" s="2041"/>
    </row>
    <row r="244" spans="2:21" hidden="1" outlineLevel="2">
      <c r="B244" s="1050">
        <v>13</v>
      </c>
      <c r="C244" s="1050" t="str">
        <f t="shared" si="31"/>
        <v>-</v>
      </c>
      <c r="D244" s="1051">
        <f t="shared" si="32"/>
        <v>9</v>
      </c>
      <c r="E244" s="1051" t="str">
        <f>IF(COUNTIF(E$231:E243,F244)&gt;0,"",F244)</f>
        <v/>
      </c>
      <c r="F244" s="1051" t="str">
        <f t="shared" si="33"/>
        <v/>
      </c>
      <c r="G244" s="1055" t="str">
        <f t="shared" si="34"/>
        <v/>
      </c>
      <c r="I244" s="2018"/>
      <c r="J244" s="1135"/>
      <c r="K244" s="1135"/>
      <c r="L244" s="1135"/>
      <c r="M244" s="1135"/>
      <c r="N244" s="1135"/>
      <c r="O244" s="1135"/>
      <c r="P244" s="1135"/>
      <c r="Q244" s="1135"/>
      <c r="R244" s="1135"/>
      <c r="S244" s="1135"/>
      <c r="T244" s="1135"/>
      <c r="U244" s="2041"/>
    </row>
    <row r="245" spans="2:21" hidden="1" outlineLevel="2">
      <c r="B245" s="1050">
        <v>14</v>
      </c>
      <c r="C245" s="1050" t="str">
        <f t="shared" si="31"/>
        <v>-</v>
      </c>
      <c r="D245" s="1051">
        <f t="shared" si="32"/>
        <v>9</v>
      </c>
      <c r="E245" s="1051" t="str">
        <f>IF(COUNTIF(E$231:E244,F245)&gt;0,"",F245)</f>
        <v/>
      </c>
      <c r="F245" s="1051" t="str">
        <f t="shared" si="33"/>
        <v/>
      </c>
      <c r="G245" s="1055" t="str">
        <f t="shared" si="34"/>
        <v/>
      </c>
      <c r="I245" s="2018"/>
      <c r="J245" s="1135"/>
      <c r="K245" s="1135"/>
      <c r="L245" s="1135"/>
      <c r="M245" s="1135"/>
      <c r="N245" s="1135"/>
      <c r="O245" s="1135"/>
      <c r="P245" s="1135"/>
      <c r="Q245" s="1135"/>
      <c r="R245" s="1135"/>
      <c r="S245" s="1135"/>
      <c r="T245" s="1135"/>
      <c r="U245" s="2041"/>
    </row>
    <row r="246" spans="2:21" hidden="1" outlineLevel="2">
      <c r="B246" s="1050">
        <v>15</v>
      </c>
      <c r="C246" s="1050" t="str">
        <f t="shared" si="31"/>
        <v>-</v>
      </c>
      <c r="D246" s="1051">
        <f t="shared" si="32"/>
        <v>9</v>
      </c>
      <c r="E246" s="1051" t="str">
        <f>IF(COUNTIF(E$231:E245,F246)&gt;0,"",F246)</f>
        <v/>
      </c>
      <c r="F246" s="1051" t="str">
        <f t="shared" si="33"/>
        <v/>
      </c>
      <c r="G246" s="1055" t="str">
        <f t="shared" si="34"/>
        <v/>
      </c>
      <c r="I246" s="2018"/>
      <c r="J246" s="1135"/>
      <c r="K246" s="1135"/>
      <c r="L246" s="1135"/>
      <c r="M246" s="1135"/>
      <c r="N246" s="1135"/>
      <c r="O246" s="1135"/>
      <c r="P246" s="1135"/>
      <c r="Q246" s="1135"/>
      <c r="R246" s="1135"/>
      <c r="S246" s="1135"/>
      <c r="T246" s="1135"/>
      <c r="U246" s="2041"/>
    </row>
    <row r="247" spans="2:21" outlineLevel="1">
      <c r="B247" s="1045"/>
      <c r="C247" s="1045"/>
      <c r="D247" s="1045"/>
      <c r="E247" s="1045"/>
      <c r="F247" s="1045"/>
      <c r="G247" s="1135"/>
      <c r="I247" s="1715"/>
      <c r="J247" s="1716"/>
      <c r="K247" s="1716"/>
      <c r="L247" s="1716"/>
      <c r="M247" s="1716"/>
      <c r="N247" s="1716"/>
      <c r="O247" s="1716"/>
      <c r="P247" s="1716"/>
      <c r="Q247" s="1716"/>
      <c r="R247" s="1716"/>
      <c r="S247" s="1716"/>
      <c r="T247" s="1716"/>
      <c r="U247" s="1718"/>
    </row>
    <row r="248" spans="2:21"/>
    <row r="249" spans="2:21" ht="15.6" collapsed="1">
      <c r="I249" s="3167" t="s">
        <v>2351</v>
      </c>
      <c r="J249" s="3168"/>
      <c r="K249" s="3168"/>
      <c r="L249" s="3168"/>
      <c r="M249" s="3168"/>
      <c r="N249" s="3168"/>
      <c r="O249" s="3168"/>
      <c r="P249" s="3168"/>
      <c r="Q249" s="3168"/>
      <c r="R249" s="3168"/>
      <c r="S249" s="3168"/>
      <c r="T249" s="3168"/>
      <c r="U249" s="3169"/>
    </row>
    <row r="250" spans="2:21" hidden="1" outlineLevel="1">
      <c r="R250" s="1083"/>
    </row>
    <row r="251" spans="2:21" ht="12.75" hidden="1" customHeight="1" outlineLevel="1">
      <c r="B251" s="3154" t="s">
        <v>1617</v>
      </c>
      <c r="C251" s="3154"/>
      <c r="D251" s="3157" t="s">
        <v>1619</v>
      </c>
      <c r="E251" s="3157"/>
      <c r="F251" s="1151" t="s">
        <v>1616</v>
      </c>
      <c r="G251" s="1053" t="s">
        <v>1618</v>
      </c>
      <c r="H251" s="1044"/>
      <c r="I251" s="1038" t="s">
        <v>1557</v>
      </c>
      <c r="J251" s="1040" t="s">
        <v>1266</v>
      </c>
      <c r="K251" s="1043" t="s">
        <v>224</v>
      </c>
      <c r="L251" s="1043" t="s">
        <v>1558</v>
      </c>
      <c r="M251" s="1039" t="s">
        <v>366</v>
      </c>
      <c r="N251" s="1040" t="s">
        <v>1559</v>
      </c>
      <c r="O251" s="1041" t="s">
        <v>1560</v>
      </c>
      <c r="P251" s="1043" t="s">
        <v>211</v>
      </c>
      <c r="Q251" s="1043" t="s">
        <v>1561</v>
      </c>
      <c r="R251" s="1041" t="s">
        <v>1562</v>
      </c>
      <c r="S251" s="1041" t="s">
        <v>267</v>
      </c>
      <c r="T251" s="1043" t="s">
        <v>1563</v>
      </c>
      <c r="U251" s="1042" t="s">
        <v>1564</v>
      </c>
    </row>
    <row r="252" spans="2:21" s="1045" customFormat="1" ht="12.75" hidden="1" customHeight="1" outlineLevel="1">
      <c r="B252" s="3156" t="s">
        <v>2354</v>
      </c>
      <c r="C252" s="3156"/>
      <c r="D252" s="1051">
        <v>0</v>
      </c>
      <c r="E252" s="1051"/>
      <c r="F252" s="1051"/>
      <c r="G252" s="1054"/>
      <c r="H252" s="1046"/>
      <c r="I252" s="1688"/>
      <c r="J252" s="1689"/>
      <c r="K252" s="1690"/>
      <c r="L252" s="1690"/>
      <c r="M252" s="1691"/>
      <c r="N252" s="1689"/>
      <c r="O252" s="1692"/>
      <c r="P252" s="1690"/>
      <c r="Q252" s="1690"/>
      <c r="R252" s="1692"/>
      <c r="S252" s="1692"/>
      <c r="T252" s="1690"/>
      <c r="U252" s="1693"/>
    </row>
    <row r="253" spans="2:21" hidden="1" outlineLevel="1">
      <c r="B253" s="1050">
        <v>1</v>
      </c>
      <c r="C253" s="1050" t="str">
        <f t="shared" ref="C253:C268" si="35">IF(ISNA(VLOOKUP(B253,$D$252:$E$270,2,FALSE)),"-",VLOOKUP(B253,$D$252:$E$270,2,FALSE))</f>
        <v>Déchets de cuisine - Méthanisation - Impacts, France continentale, Base Carbone</v>
      </c>
      <c r="D253" s="1051">
        <f>D252+IF(LEN(E253)&gt;0,1,0)</f>
        <v>1</v>
      </c>
      <c r="E253" s="1051" t="str">
        <f>IF(COUNTIF(E$252:E252,F253)&gt;0,"",F253)</f>
        <v>Déchets de cuisine - Méthanisation - Impacts, France continentale, Base Carbone</v>
      </c>
      <c r="F253" s="1051" t="str">
        <f>IF(I253&lt;&gt;"",I253&amp;IF(L253&lt;&gt;"",", "&amp;L253,"")&amp;IF(K253&lt;&gt;"",", "&amp;K253,""),"")</f>
        <v>Déchets de cuisine - Méthanisation - Impacts, France continentale, Base Carbone</v>
      </c>
      <c r="G253" s="1055" t="str">
        <f>IF(F253&lt;&gt;"",F253&amp;IF(J253&lt;&gt;"","; "&amp;J253&amp;IF(N253&lt;&gt;"",", "&amp;N253,),""),"")</f>
        <v>Déchets de cuisine - Méthanisation - Impacts, France continentale, Base Carbone; kgCO2e/tonne</v>
      </c>
      <c r="I253" s="1031" t="s">
        <v>4897</v>
      </c>
      <c r="J253" s="1032" t="s">
        <v>1585</v>
      </c>
      <c r="K253" s="1119" t="s">
        <v>1567</v>
      </c>
      <c r="L253" s="1032" t="s">
        <v>1571</v>
      </c>
      <c r="M253" s="1033">
        <v>1</v>
      </c>
      <c r="N253" s="1135"/>
      <c r="O253" s="1036">
        <v>173</v>
      </c>
      <c r="P253" s="1036">
        <v>173</v>
      </c>
      <c r="Q253" s="1980">
        <v>0</v>
      </c>
      <c r="R253" s="1980">
        <v>0</v>
      </c>
      <c r="S253" s="1980">
        <v>0</v>
      </c>
      <c r="T253" s="1980">
        <v>0</v>
      </c>
      <c r="U253" s="2036">
        <v>0</v>
      </c>
    </row>
    <row r="254" spans="2:21" hidden="1" outlineLevel="1">
      <c r="B254" s="1050">
        <v>2</v>
      </c>
      <c r="C254" s="1050" t="str">
        <f t="shared" si="35"/>
        <v>Déchets de cuisine et déchets verts - Compostage domestique en bac - Impacts, France continentale, Base Carbone</v>
      </c>
      <c r="D254" s="1051">
        <f t="shared" ref="D254:D270" si="36">D253+IF(LEN(E254)&gt;0,1,0)</f>
        <v>2</v>
      </c>
      <c r="E254" s="1051" t="str">
        <f>IF(COUNTIF(E$252:E253,F254)&gt;0,"",F254)</f>
        <v>Déchets de cuisine et déchets verts - Compostage domestique en bac - Impacts, France continentale, Base Carbone</v>
      </c>
      <c r="F254" s="1051" t="str">
        <f t="shared" ref="F254:F270" si="37">IF(I254&lt;&gt;"",I254&amp;IF(L254&lt;&gt;"",", "&amp;L254,"")&amp;IF(K254&lt;&gt;"",", "&amp;K254,""),"")</f>
        <v>Déchets de cuisine et déchets verts - Compostage domestique en bac - Impacts, France continentale, Base Carbone</v>
      </c>
      <c r="G254" s="1055" t="str">
        <f t="shared" ref="G254:G270" si="38">IF(F254&lt;&gt;"",F254&amp;IF(J254&lt;&gt;"","; "&amp;J254&amp;IF(N254&lt;&gt;"",", "&amp;N254,),""),"")</f>
        <v>Déchets de cuisine et déchets verts - Compostage domestique en bac - Impacts, France continentale, Base Carbone; kgCO2e/tonne</v>
      </c>
      <c r="I254" s="1031" t="s">
        <v>4898</v>
      </c>
      <c r="J254" s="1135" t="s">
        <v>1585</v>
      </c>
      <c r="K254" s="1119" t="s">
        <v>1567</v>
      </c>
      <c r="L254" s="1032" t="s">
        <v>1571</v>
      </c>
      <c r="M254" s="1033">
        <v>1</v>
      </c>
      <c r="N254" s="1135"/>
      <c r="O254" s="1036">
        <v>9</v>
      </c>
      <c r="P254" s="1036">
        <v>9</v>
      </c>
      <c r="Q254" s="1980">
        <v>0</v>
      </c>
      <c r="R254" s="1980">
        <v>0</v>
      </c>
      <c r="S254" s="1980">
        <v>0</v>
      </c>
      <c r="T254" s="1980">
        <v>0</v>
      </c>
      <c r="U254" s="2036">
        <v>0</v>
      </c>
    </row>
    <row r="255" spans="2:21" hidden="1" outlineLevel="1">
      <c r="B255" s="1050">
        <v>3</v>
      </c>
      <c r="C255" s="1050" t="str">
        <f t="shared" si="35"/>
        <v>Déchets de cuisine et déchets verts - Compostage domestique en tas - Impacts, France continentale, Base Carbone</v>
      </c>
      <c r="D255" s="1051">
        <f t="shared" si="36"/>
        <v>3</v>
      </c>
      <c r="E255" s="1051" t="str">
        <f>IF(COUNTIF(E$252:E254,F255)&gt;0,"",F255)</f>
        <v>Déchets de cuisine et déchets verts - Compostage domestique en tas - Impacts, France continentale, Base Carbone</v>
      </c>
      <c r="F255" s="1051" t="str">
        <f t="shared" si="37"/>
        <v>Déchets de cuisine et déchets verts - Compostage domestique en tas - Impacts, France continentale, Base Carbone</v>
      </c>
      <c r="G255" s="1055" t="str">
        <f t="shared" si="38"/>
        <v>Déchets de cuisine et déchets verts - Compostage domestique en tas - Impacts, France continentale, Base Carbone; kgCO2e/tonne</v>
      </c>
      <c r="I255" s="1031" t="s">
        <v>4899</v>
      </c>
      <c r="J255" s="1135" t="s">
        <v>1585</v>
      </c>
      <c r="K255" s="1119" t="s">
        <v>1567</v>
      </c>
      <c r="L255" s="1135" t="s">
        <v>1571</v>
      </c>
      <c r="M255" s="1033">
        <v>1</v>
      </c>
      <c r="N255" s="1135"/>
      <c r="O255" s="1036">
        <v>28</v>
      </c>
      <c r="P255" s="1036">
        <v>28</v>
      </c>
      <c r="Q255" s="1980">
        <v>0</v>
      </c>
      <c r="R255" s="1980">
        <v>0</v>
      </c>
      <c r="S255" s="1980">
        <v>0</v>
      </c>
      <c r="T255" s="1980">
        <v>0</v>
      </c>
      <c r="U255" s="2036">
        <v>0</v>
      </c>
    </row>
    <row r="256" spans="2:21" hidden="1" outlineLevel="1">
      <c r="B256" s="1050">
        <v>4</v>
      </c>
      <c r="C256" s="1050" t="str">
        <f t="shared" si="35"/>
        <v>Déchets de cuisine et déchets verts - Compostage industriel - Impacts, France continentale, Base Carbone</v>
      </c>
      <c r="D256" s="1051">
        <f t="shared" si="36"/>
        <v>4</v>
      </c>
      <c r="E256" s="1051" t="str">
        <f>IF(COUNTIF(E$252:E255,F256)&gt;0,"",F256)</f>
        <v>Déchets de cuisine et déchets verts - Compostage industriel - Impacts, France continentale, Base Carbone</v>
      </c>
      <c r="F256" s="1051" t="str">
        <f t="shared" si="37"/>
        <v>Déchets de cuisine et déchets verts - Compostage industriel - Impacts, France continentale, Base Carbone</v>
      </c>
      <c r="G256" s="1055" t="str">
        <f t="shared" si="38"/>
        <v>Déchets de cuisine et déchets verts - Compostage industriel - Impacts, France continentale, Base Carbone; kgCO2e/tonne</v>
      </c>
      <c r="I256" s="1031" t="s">
        <v>4900</v>
      </c>
      <c r="J256" s="1135" t="s">
        <v>1585</v>
      </c>
      <c r="K256" s="1119" t="s">
        <v>1567</v>
      </c>
      <c r="L256" s="1135" t="s">
        <v>1571</v>
      </c>
      <c r="M256" s="1033">
        <v>0.5</v>
      </c>
      <c r="N256" s="1135"/>
      <c r="O256" s="1036">
        <v>140</v>
      </c>
      <c r="P256" s="1036">
        <v>140</v>
      </c>
      <c r="Q256" s="1980">
        <v>0</v>
      </c>
      <c r="R256" s="1980">
        <v>0</v>
      </c>
      <c r="S256" s="1980">
        <v>0</v>
      </c>
      <c r="T256" s="1980">
        <v>0</v>
      </c>
      <c r="U256" s="2036">
        <v>0</v>
      </c>
    </row>
    <row r="257" spans="2:21" hidden="1" outlineLevel="1">
      <c r="B257" s="1050">
        <v>5</v>
      </c>
      <c r="C257" s="1050" t="str">
        <f t="shared" si="35"/>
        <v>Déchets putrescibles - Incinération - Impacts, France continentale, Base Carbone</v>
      </c>
      <c r="D257" s="1051">
        <f t="shared" si="36"/>
        <v>5</v>
      </c>
      <c r="E257" s="1051" t="str">
        <f>IF(COUNTIF(E$252:E256,F257)&gt;0,"",F257)</f>
        <v>Déchets putrescibles - Incinération - Impacts, France continentale, Base Carbone</v>
      </c>
      <c r="F257" s="1051" t="str">
        <f t="shared" si="37"/>
        <v>Déchets putrescibles - Incinération - Impacts, France continentale, Base Carbone</v>
      </c>
      <c r="G257" s="1055" t="str">
        <f t="shared" si="38"/>
        <v>Déchets putrescibles - Incinération - Impacts, France continentale, Base Carbone; kgCO2e/tonne</v>
      </c>
      <c r="I257" s="1031" t="s">
        <v>4901</v>
      </c>
      <c r="J257" s="1135" t="s">
        <v>1585</v>
      </c>
      <c r="K257" s="1119" t="s">
        <v>1567</v>
      </c>
      <c r="L257" s="1135" t="s">
        <v>1571</v>
      </c>
      <c r="M257" s="1033">
        <v>0.5</v>
      </c>
      <c r="N257" s="1135"/>
      <c r="O257" s="1036">
        <v>45</v>
      </c>
      <c r="P257" s="1036">
        <v>45</v>
      </c>
      <c r="Q257" s="1980">
        <v>0</v>
      </c>
      <c r="R257" s="1980">
        <v>0</v>
      </c>
      <c r="S257" s="1980">
        <v>0</v>
      </c>
      <c r="T257" s="1980">
        <v>0</v>
      </c>
      <c r="U257" s="2036">
        <v>0</v>
      </c>
    </row>
    <row r="258" spans="2:21" hidden="1" outlineLevel="1">
      <c r="B258" s="1050">
        <v>6</v>
      </c>
      <c r="C258" s="1050" t="str">
        <f t="shared" si="35"/>
        <v>Déchets putrescibles - Stockage - Impacts, France continentale, Base Carbone</v>
      </c>
      <c r="D258" s="1051">
        <f t="shared" si="36"/>
        <v>6</v>
      </c>
      <c r="E258" s="1051" t="str">
        <f>IF(COUNTIF(E$252:E257,F258)&gt;0,"",F258)</f>
        <v>Déchets putrescibles - Stockage - Impacts, France continentale, Base Carbone</v>
      </c>
      <c r="F258" s="1051" t="str">
        <f t="shared" si="37"/>
        <v>Déchets putrescibles - Stockage - Impacts, France continentale, Base Carbone</v>
      </c>
      <c r="G258" s="1055" t="str">
        <f t="shared" si="38"/>
        <v>Déchets putrescibles - Stockage - Impacts, France continentale, Base Carbone; kgCO2e/tonne</v>
      </c>
      <c r="I258" s="1031" t="s">
        <v>4902</v>
      </c>
      <c r="J258" s="1135" t="s">
        <v>1585</v>
      </c>
      <c r="K258" s="1119" t="s">
        <v>1567</v>
      </c>
      <c r="L258" s="1135" t="s">
        <v>1571</v>
      </c>
      <c r="M258" s="1033">
        <v>0.5</v>
      </c>
      <c r="N258" s="1135"/>
      <c r="O258" s="1036">
        <v>692</v>
      </c>
      <c r="P258" s="1036">
        <v>692</v>
      </c>
      <c r="Q258" s="1980">
        <v>0</v>
      </c>
      <c r="R258" s="1980">
        <v>0</v>
      </c>
      <c r="S258" s="1980">
        <v>0</v>
      </c>
      <c r="T258" s="1980">
        <v>0</v>
      </c>
      <c r="U258" s="2036">
        <v>0</v>
      </c>
    </row>
    <row r="259" spans="2:21" hidden="1" outlineLevel="1">
      <c r="B259" s="1050">
        <v>7</v>
      </c>
      <c r="C259" s="1050" t="str">
        <f t="shared" si="35"/>
        <v>Déchets verts - Compostage domestique en tas - Impacts, France continentale, Base Carbone</v>
      </c>
      <c r="D259" s="1051">
        <f t="shared" si="36"/>
        <v>7</v>
      </c>
      <c r="E259" s="1051" t="str">
        <f>IF(COUNTIF(E$252:E258,F259)&gt;0,"",F259)</f>
        <v>Déchets verts - Compostage domestique en tas - Impacts, France continentale, Base Carbone</v>
      </c>
      <c r="F259" s="1051" t="str">
        <f t="shared" si="37"/>
        <v>Déchets verts - Compostage domestique en tas - Impacts, France continentale, Base Carbone</v>
      </c>
      <c r="G259" s="1055" t="str">
        <f t="shared" si="38"/>
        <v>Déchets verts - Compostage domestique en tas - Impacts, France continentale, Base Carbone; kgCO2e/tonne</v>
      </c>
      <c r="I259" s="1031" t="s">
        <v>4903</v>
      </c>
      <c r="J259" s="1135" t="s">
        <v>1585</v>
      </c>
      <c r="K259" s="1119" t="s">
        <v>1567</v>
      </c>
      <c r="L259" s="1135" t="s">
        <v>1571</v>
      </c>
      <c r="M259" s="1033">
        <v>1</v>
      </c>
      <c r="N259" s="1135"/>
      <c r="O259" s="1036">
        <v>20</v>
      </c>
      <c r="P259" s="1036">
        <v>20</v>
      </c>
      <c r="Q259" s="1980">
        <v>0</v>
      </c>
      <c r="R259" s="1980">
        <v>0</v>
      </c>
      <c r="S259" s="1980">
        <v>0</v>
      </c>
      <c r="T259" s="1980">
        <v>0</v>
      </c>
      <c r="U259" s="2036">
        <v>0</v>
      </c>
    </row>
    <row r="260" spans="2:21" hidden="1" outlineLevel="1">
      <c r="B260" s="1050">
        <v>8</v>
      </c>
      <c r="C260" s="1050" t="str">
        <f t="shared" si="35"/>
        <v>-</v>
      </c>
      <c r="D260" s="1051">
        <f t="shared" si="36"/>
        <v>7</v>
      </c>
      <c r="E260" s="1051" t="str">
        <f>IF(COUNTIF(E$252:E259,F260)&gt;0,"",F260)</f>
        <v/>
      </c>
      <c r="F260" s="1051" t="str">
        <f t="shared" si="37"/>
        <v/>
      </c>
      <c r="G260" s="1055" t="str">
        <f t="shared" si="38"/>
        <v/>
      </c>
      <c r="I260" s="1031"/>
      <c r="J260" s="1048"/>
      <c r="K260" s="1119"/>
      <c r="L260" s="1048"/>
      <c r="M260" s="1033"/>
      <c r="N260" s="1048"/>
      <c r="O260" s="1036"/>
      <c r="P260" s="1036"/>
      <c r="Q260" s="1036"/>
      <c r="R260" s="1036"/>
      <c r="S260" s="1036"/>
      <c r="T260" s="1036"/>
      <c r="U260" s="1037"/>
    </row>
    <row r="261" spans="2:21" hidden="1" outlineLevel="1">
      <c r="B261" s="1050">
        <v>9</v>
      </c>
      <c r="C261" s="1050" t="str">
        <f t="shared" si="35"/>
        <v>-</v>
      </c>
      <c r="D261" s="1051">
        <f t="shared" si="36"/>
        <v>7</v>
      </c>
      <c r="E261" s="1051" t="str">
        <f>IF(COUNTIF(E$252:E260,F261)&gt;0,"",F261)</f>
        <v/>
      </c>
      <c r="F261" s="1051" t="str">
        <f t="shared" si="37"/>
        <v/>
      </c>
      <c r="G261" s="1055" t="str">
        <f t="shared" si="38"/>
        <v/>
      </c>
      <c r="I261" s="1031"/>
      <c r="J261" s="1048"/>
      <c r="K261" s="1119"/>
      <c r="L261" s="1048"/>
      <c r="M261" s="1033"/>
      <c r="N261" s="1048"/>
      <c r="O261" s="1036"/>
      <c r="P261" s="1036"/>
      <c r="Q261" s="1036"/>
      <c r="R261" s="1036"/>
      <c r="S261" s="1036"/>
      <c r="T261" s="1036"/>
      <c r="U261" s="1037"/>
    </row>
    <row r="262" spans="2:21" hidden="1" outlineLevel="1">
      <c r="B262" s="1050">
        <v>10</v>
      </c>
      <c r="C262" s="1050" t="str">
        <f t="shared" si="35"/>
        <v>-</v>
      </c>
      <c r="D262" s="1051">
        <f t="shared" si="36"/>
        <v>7</v>
      </c>
      <c r="E262" s="1051" t="str">
        <f>IF(COUNTIF(E$252:E261,F262)&gt;0,"",F262)</f>
        <v/>
      </c>
      <c r="F262" s="1051" t="str">
        <f t="shared" si="37"/>
        <v/>
      </c>
      <c r="G262" s="1055" t="str">
        <f t="shared" si="38"/>
        <v/>
      </c>
      <c r="I262" s="1031"/>
      <c r="J262" s="1048"/>
      <c r="K262" s="1119"/>
      <c r="L262" s="1048"/>
      <c r="M262" s="1033"/>
      <c r="N262" s="1048"/>
      <c r="O262" s="1036"/>
      <c r="P262" s="1036"/>
      <c r="Q262" s="1036"/>
      <c r="R262" s="1036"/>
      <c r="S262" s="1036"/>
      <c r="T262" s="1036"/>
      <c r="U262" s="1037"/>
    </row>
    <row r="263" spans="2:21" hidden="1" outlineLevel="1">
      <c r="B263" s="1050">
        <v>11</v>
      </c>
      <c r="C263" s="1050" t="str">
        <f t="shared" si="35"/>
        <v>-</v>
      </c>
      <c r="D263" s="1051">
        <f t="shared" si="36"/>
        <v>7</v>
      </c>
      <c r="E263" s="1051" t="str">
        <f>IF(COUNTIF(E$252:E262,F263)&gt;0,"",F263)</f>
        <v/>
      </c>
      <c r="F263" s="1051" t="str">
        <f t="shared" si="37"/>
        <v/>
      </c>
      <c r="G263" s="1055" t="str">
        <f t="shared" si="38"/>
        <v/>
      </c>
      <c r="I263" s="1031"/>
      <c r="J263" s="1048"/>
      <c r="K263" s="1119"/>
      <c r="L263" s="1048"/>
      <c r="M263" s="1033"/>
      <c r="N263" s="1048"/>
      <c r="O263" s="1036"/>
      <c r="P263" s="1036"/>
      <c r="Q263" s="1036"/>
      <c r="R263" s="1036"/>
      <c r="S263" s="1036"/>
      <c r="T263" s="1036"/>
      <c r="U263" s="1037"/>
    </row>
    <row r="264" spans="2:21" hidden="1" outlineLevel="1">
      <c r="B264" s="1050">
        <v>12</v>
      </c>
      <c r="C264" s="1050" t="str">
        <f t="shared" si="35"/>
        <v>-</v>
      </c>
      <c r="D264" s="1051">
        <f t="shared" si="36"/>
        <v>7</v>
      </c>
      <c r="E264" s="1051" t="str">
        <f>IF(COUNTIF(E$252:E263,F264)&gt;0,"",F264)</f>
        <v/>
      </c>
      <c r="F264" s="1051" t="str">
        <f t="shared" si="37"/>
        <v/>
      </c>
      <c r="G264" s="1055" t="str">
        <f t="shared" si="38"/>
        <v/>
      </c>
      <c r="I264" s="1034"/>
      <c r="J264" s="1135"/>
      <c r="K264" s="1119"/>
      <c r="L264" s="1135"/>
      <c r="M264" s="1033"/>
      <c r="N264" s="1135"/>
      <c r="O264" s="1036"/>
      <c r="P264" s="1036"/>
      <c r="Q264" s="1036"/>
      <c r="R264" s="1036"/>
      <c r="S264" s="1036"/>
      <c r="T264" s="1036"/>
      <c r="U264" s="1037"/>
    </row>
    <row r="265" spans="2:21" hidden="1" outlineLevel="1">
      <c r="B265" s="1050">
        <v>13</v>
      </c>
      <c r="C265" s="1050" t="str">
        <f t="shared" si="35"/>
        <v>-</v>
      </c>
      <c r="D265" s="1051">
        <f t="shared" si="36"/>
        <v>7</v>
      </c>
      <c r="E265" s="1051" t="str">
        <f>IF(COUNTIF(E$252:E264,F265)&gt;0,"",F265)</f>
        <v/>
      </c>
      <c r="F265" s="1051" t="str">
        <f t="shared" si="37"/>
        <v/>
      </c>
      <c r="G265" s="1055" t="str">
        <f t="shared" si="38"/>
        <v/>
      </c>
      <c r="I265" s="1034"/>
      <c r="J265" s="1135"/>
      <c r="K265" s="1119"/>
      <c r="L265" s="1135"/>
      <c r="M265" s="1033"/>
      <c r="N265" s="1135"/>
      <c r="O265" s="1036"/>
      <c r="P265" s="1036"/>
      <c r="Q265" s="1036"/>
      <c r="R265" s="1036"/>
      <c r="S265" s="1036"/>
      <c r="T265" s="1036"/>
      <c r="U265" s="1037"/>
    </row>
    <row r="266" spans="2:21" hidden="1" outlineLevel="1">
      <c r="B266" s="1050">
        <v>14</v>
      </c>
      <c r="C266" s="1050" t="str">
        <f t="shared" si="35"/>
        <v>-</v>
      </c>
      <c r="D266" s="1051">
        <f t="shared" si="36"/>
        <v>7</v>
      </c>
      <c r="E266" s="1051" t="str">
        <f>IF(COUNTIF(E$252:E265,F266)&gt;0,"",F266)</f>
        <v/>
      </c>
      <c r="F266" s="1051" t="str">
        <f t="shared" si="37"/>
        <v/>
      </c>
      <c r="G266" s="1055" t="str">
        <f t="shared" si="38"/>
        <v/>
      </c>
      <c r="I266" s="1034"/>
      <c r="J266" s="1135"/>
      <c r="K266" s="1119"/>
      <c r="L266" s="1135"/>
      <c r="M266" s="1033"/>
      <c r="N266" s="1135"/>
      <c r="O266" s="1036"/>
      <c r="P266" s="1036"/>
      <c r="Q266" s="1036"/>
      <c r="R266" s="1036"/>
      <c r="S266" s="1036"/>
      <c r="T266" s="1036"/>
      <c r="U266" s="1037"/>
    </row>
    <row r="267" spans="2:21" hidden="1" outlineLevel="1">
      <c r="B267" s="1050">
        <v>15</v>
      </c>
      <c r="C267" s="1050" t="str">
        <f t="shared" si="35"/>
        <v>-</v>
      </c>
      <c r="D267" s="1051">
        <f t="shared" si="36"/>
        <v>7</v>
      </c>
      <c r="E267" s="1051" t="str">
        <f>IF(COUNTIF(E$252:E266,F267)&gt;0,"",F267)</f>
        <v/>
      </c>
      <c r="F267" s="1051" t="str">
        <f t="shared" si="37"/>
        <v/>
      </c>
      <c r="G267" s="1055" t="str">
        <f t="shared" si="38"/>
        <v/>
      </c>
      <c r="I267" s="1031"/>
      <c r="J267" s="1135"/>
      <c r="K267" s="1119"/>
      <c r="L267" s="1135"/>
      <c r="M267" s="1033"/>
      <c r="N267" s="1135"/>
      <c r="O267" s="1036"/>
      <c r="P267" s="1036"/>
      <c r="Q267" s="1036"/>
      <c r="R267" s="1036"/>
      <c r="S267" s="1036"/>
      <c r="T267" s="1036"/>
      <c r="U267" s="1037"/>
    </row>
    <row r="268" spans="2:21" hidden="1" outlineLevel="1">
      <c r="B268" s="1050">
        <v>16</v>
      </c>
      <c r="C268" s="1050" t="str">
        <f t="shared" si="35"/>
        <v>-</v>
      </c>
      <c r="D268" s="1051">
        <f t="shared" si="36"/>
        <v>7</v>
      </c>
      <c r="E268" s="1051" t="str">
        <f>IF(COUNTIF(E$252:E267,F268)&gt;0,"",F268)</f>
        <v/>
      </c>
      <c r="F268" s="1051" t="str">
        <f t="shared" si="37"/>
        <v/>
      </c>
      <c r="G268" s="1055" t="str">
        <f t="shared" si="38"/>
        <v/>
      </c>
      <c r="I268" s="1031"/>
      <c r="J268" s="1135"/>
      <c r="K268" s="1119"/>
      <c r="L268" s="1135"/>
      <c r="M268" s="1033"/>
      <c r="N268" s="1135"/>
      <c r="O268" s="1036"/>
      <c r="P268" s="1036"/>
      <c r="Q268" s="1036"/>
      <c r="R268" s="1036"/>
      <c r="S268" s="1036"/>
      <c r="T268" s="1036"/>
      <c r="U268" s="1037"/>
    </row>
    <row r="269" spans="2:21" hidden="1" outlineLevel="1">
      <c r="B269" s="1050"/>
      <c r="C269" s="1050"/>
      <c r="D269" s="1051">
        <f t="shared" si="36"/>
        <v>7</v>
      </c>
      <c r="E269" s="1051" t="str">
        <f>IF(COUNTIF(E$252:E268,F269)&gt;0,"",F269)</f>
        <v/>
      </c>
      <c r="F269" s="1051" t="str">
        <f t="shared" si="37"/>
        <v/>
      </c>
      <c r="G269" s="1055" t="str">
        <f t="shared" si="38"/>
        <v/>
      </c>
      <c r="I269" s="1031"/>
      <c r="J269" s="1135"/>
      <c r="K269" s="1119"/>
      <c r="L269" s="1135"/>
      <c r="M269" s="1033"/>
      <c r="N269" s="2044"/>
      <c r="O269" s="1036"/>
      <c r="P269" s="1036"/>
      <c r="Q269" s="1036"/>
      <c r="R269" s="1036"/>
      <c r="S269" s="1036"/>
      <c r="T269" s="1036"/>
      <c r="U269" s="1037"/>
    </row>
    <row r="270" spans="2:21" hidden="1" outlineLevel="1">
      <c r="B270" s="1050"/>
      <c r="C270" s="1050"/>
      <c r="D270" s="1051">
        <f t="shared" si="36"/>
        <v>7</v>
      </c>
      <c r="E270" s="1051" t="str">
        <f>IF(COUNTIF(E$252:E269,F270)&gt;0,"",F270)</f>
        <v/>
      </c>
      <c r="F270" s="1051" t="str">
        <f t="shared" si="37"/>
        <v/>
      </c>
      <c r="G270" s="1055" t="str">
        <f t="shared" si="38"/>
        <v/>
      </c>
      <c r="I270" s="1154"/>
      <c r="J270" s="2469"/>
      <c r="K270" s="1095"/>
      <c r="L270" s="2469"/>
      <c r="M270" s="1155"/>
      <c r="N270" s="2469"/>
      <c r="O270" s="1156"/>
      <c r="P270" s="1156"/>
      <c r="Q270" s="1156"/>
      <c r="R270" s="1156"/>
      <c r="S270" s="1156"/>
      <c r="T270" s="1156"/>
      <c r="U270" s="1157"/>
    </row>
    <row r="271" spans="2:21"/>
    <row r="272" spans="2:21" ht="15.6" collapsed="1">
      <c r="I272" s="3167" t="s">
        <v>4904</v>
      </c>
      <c r="J272" s="3168"/>
      <c r="K272" s="3168"/>
      <c r="L272" s="3168"/>
      <c r="M272" s="3168"/>
      <c r="N272" s="3168"/>
      <c r="O272" s="3168"/>
      <c r="P272" s="3168"/>
      <c r="Q272" s="3168"/>
      <c r="R272" s="3168"/>
      <c r="S272" s="3168"/>
      <c r="T272" s="3168"/>
      <c r="U272" s="3169"/>
    </row>
    <row r="273" spans="2:21" hidden="1" outlineLevel="1">
      <c r="R273" s="1083"/>
    </row>
    <row r="274" spans="2:21" ht="12.75" hidden="1" customHeight="1" outlineLevel="1">
      <c r="B274" s="3154" t="s">
        <v>1617</v>
      </c>
      <c r="C274" s="3154"/>
      <c r="D274" s="3157" t="s">
        <v>1619</v>
      </c>
      <c r="E274" s="3157"/>
      <c r="F274" s="1151" t="s">
        <v>1616</v>
      </c>
      <c r="G274" s="1053" t="s">
        <v>1618</v>
      </c>
      <c r="H274" s="1044"/>
      <c r="I274" s="1038" t="s">
        <v>1557</v>
      </c>
      <c r="J274" s="1040" t="s">
        <v>1266</v>
      </c>
      <c r="K274" s="1043" t="s">
        <v>224</v>
      </c>
      <c r="L274" s="1043" t="s">
        <v>1558</v>
      </c>
      <c r="M274" s="1039" t="s">
        <v>366</v>
      </c>
      <c r="N274" s="1040" t="s">
        <v>1559</v>
      </c>
      <c r="O274" s="1041" t="s">
        <v>1560</v>
      </c>
      <c r="P274" s="1043" t="s">
        <v>211</v>
      </c>
      <c r="Q274" s="1043" t="s">
        <v>1561</v>
      </c>
      <c r="R274" s="1041" t="s">
        <v>1562</v>
      </c>
      <c r="S274" s="1041" t="s">
        <v>267</v>
      </c>
      <c r="T274" s="1043" t="s">
        <v>1563</v>
      </c>
      <c r="U274" s="1042" t="s">
        <v>1564</v>
      </c>
    </row>
    <row r="275" spans="2:21" s="1045" customFormat="1" ht="12.75" hidden="1" customHeight="1" outlineLevel="1" collapsed="1">
      <c r="B275" s="3156" t="s">
        <v>4979</v>
      </c>
      <c r="C275" s="3156"/>
      <c r="D275" s="1051">
        <v>0</v>
      </c>
      <c r="E275" s="1051"/>
      <c r="F275" s="1051"/>
      <c r="G275" s="1054"/>
      <c r="H275" s="1046"/>
      <c r="I275" s="1688"/>
      <c r="J275" s="1689"/>
      <c r="K275" s="1690"/>
      <c r="L275" s="1690"/>
      <c r="M275" s="1691"/>
      <c r="N275" s="1689"/>
      <c r="O275" s="1692"/>
      <c r="P275" s="1690"/>
      <c r="Q275" s="1690"/>
      <c r="R275" s="1692"/>
      <c r="S275" s="1692"/>
      <c r="T275" s="1690"/>
      <c r="U275" s="1693"/>
    </row>
    <row r="276" spans="2:21" hidden="1" outlineLevel="2">
      <c r="B276" s="1050">
        <v>1</v>
      </c>
      <c r="C276" s="1050" t="str">
        <f t="shared" ref="C276:C281" si="39">IF(ISNA(VLOOKUP(B276,$D$275:$E$286,2,FALSE)),"-",VLOOKUP(B276,$D$275:$E$286,2,FALSE))</f>
        <v>Piles et batteries en mélange - Fin de vie moyenne - Impacts, France continentale, Base Carbone</v>
      </c>
      <c r="D276" s="1051">
        <f>D275+IF(LEN(E276)&gt;0,1,0)</f>
        <v>1</v>
      </c>
      <c r="E276" s="1051" t="str">
        <f>IF(COUNTIF(E$275:E275,F276)&gt;0,"",F276)</f>
        <v>Piles et batteries en mélange - Fin de vie moyenne - Impacts, France continentale, Base Carbone</v>
      </c>
      <c r="F276" s="1051" t="str">
        <f>IF(I276&lt;&gt;"",I276&amp;IF(L276&lt;&gt;"",", "&amp;L276,"")&amp;IF(K276&lt;&gt;"",", "&amp;K276,""),"")</f>
        <v>Piles et batteries en mélange - Fin de vie moyenne - Impacts, France continentale, Base Carbone</v>
      </c>
      <c r="G276" s="1055" t="str">
        <f>IF(F276&lt;&gt;"",F276&amp;IF(J276&lt;&gt;"","; "&amp;J276&amp;IF(N276&lt;&gt;"",", "&amp;N276,),""),"")</f>
        <v>Piles et batteries en mélange - Fin de vie moyenne - Impacts, France continentale, Base Carbone; kgCO2e/tonne</v>
      </c>
      <c r="I276" s="1034" t="s">
        <v>4906</v>
      </c>
      <c r="J276" s="1032" t="s">
        <v>1585</v>
      </c>
      <c r="K276" s="1119" t="s">
        <v>1567</v>
      </c>
      <c r="L276" s="1119" t="s">
        <v>1571</v>
      </c>
      <c r="M276" s="1033">
        <v>0.2</v>
      </c>
      <c r="N276" s="1135"/>
      <c r="O276" s="1036">
        <v>360</v>
      </c>
      <c r="P276" s="1980">
        <v>360</v>
      </c>
      <c r="Q276" s="1980">
        <v>0</v>
      </c>
      <c r="R276" s="1980">
        <v>0</v>
      </c>
      <c r="S276" s="1980">
        <v>0</v>
      </c>
      <c r="T276" s="1980">
        <v>0</v>
      </c>
      <c r="U276" s="2036">
        <v>0</v>
      </c>
    </row>
    <row r="277" spans="2:21" hidden="1" outlineLevel="2">
      <c r="B277" s="1050">
        <v>2</v>
      </c>
      <c r="C277" s="1050" t="str">
        <f t="shared" si="39"/>
        <v>-</v>
      </c>
      <c r="D277" s="1051">
        <f t="shared" ref="D277:D286" si="40">D276+IF(LEN(E277)&gt;0,1,0)</f>
        <v>1</v>
      </c>
      <c r="E277" s="1051" t="str">
        <f>IF(COUNTIF(E$275:E276,F277)&gt;0,"",F277)</f>
        <v/>
      </c>
      <c r="F277" s="1051" t="str">
        <f t="shared" ref="F277:F286" si="41">IF(I277&lt;&gt;"",I277&amp;IF(L277&lt;&gt;"",", "&amp;L277,"")&amp;IF(K277&lt;&gt;"",", "&amp;K277,""),"")</f>
        <v/>
      </c>
      <c r="G277" s="1055" t="str">
        <f t="shared" ref="G277:G286" si="42">IF(F277&lt;&gt;"",F277&amp;IF(J277&lt;&gt;"","; "&amp;J277&amp;IF(N277&lt;&gt;"",", "&amp;N277,),""),"")</f>
        <v/>
      </c>
      <c r="I277" s="1034"/>
      <c r="J277" s="1135"/>
      <c r="K277" s="1119"/>
      <c r="L277" s="1032"/>
      <c r="M277" s="1033"/>
      <c r="N277" s="1135"/>
      <c r="O277" s="1036"/>
      <c r="P277" s="1036"/>
      <c r="Q277" s="1036"/>
      <c r="R277" s="1036"/>
      <c r="S277" s="1036"/>
      <c r="T277" s="1036"/>
      <c r="U277" s="1037"/>
    </row>
    <row r="278" spans="2:21" hidden="1" outlineLevel="2">
      <c r="B278" s="1050">
        <v>3</v>
      </c>
      <c r="C278" s="1050" t="str">
        <f t="shared" si="39"/>
        <v>-</v>
      </c>
      <c r="D278" s="1051">
        <f t="shared" si="40"/>
        <v>1</v>
      </c>
      <c r="E278" s="1051" t="str">
        <f>IF(COUNTIF(E$275:E277,F278)&gt;0,"",F278)</f>
        <v/>
      </c>
      <c r="F278" s="1051" t="str">
        <f t="shared" si="41"/>
        <v/>
      </c>
      <c r="G278" s="1055" t="str">
        <f t="shared" si="42"/>
        <v/>
      </c>
      <c r="I278" s="2018"/>
      <c r="J278" s="1135"/>
      <c r="K278" s="1119"/>
      <c r="L278" s="1032"/>
      <c r="M278" s="1033"/>
      <c r="N278" s="1135"/>
      <c r="O278" s="1036"/>
      <c r="P278" s="1036"/>
      <c r="Q278" s="1036"/>
      <c r="R278" s="1036"/>
      <c r="S278" s="1036"/>
      <c r="T278" s="1036"/>
      <c r="U278" s="1037"/>
    </row>
    <row r="279" spans="2:21" hidden="1" outlineLevel="2">
      <c r="B279" s="1050">
        <v>4</v>
      </c>
      <c r="C279" s="1050" t="str">
        <f t="shared" si="39"/>
        <v>-</v>
      </c>
      <c r="D279" s="1051">
        <f t="shared" si="40"/>
        <v>1</v>
      </c>
      <c r="E279" s="1051" t="str">
        <f>IF(COUNTIF(E$275:E278,F279)&gt;0,"",F279)</f>
        <v/>
      </c>
      <c r="F279" s="1051" t="str">
        <f t="shared" si="41"/>
        <v/>
      </c>
      <c r="G279" s="1055" t="str">
        <f t="shared" si="42"/>
        <v/>
      </c>
      <c r="I279" s="2018"/>
      <c r="J279" s="1135"/>
      <c r="K279" s="1119"/>
      <c r="L279" s="1032"/>
      <c r="M279" s="1033"/>
      <c r="N279" s="1135"/>
      <c r="O279" s="1036"/>
      <c r="P279" s="1036"/>
      <c r="Q279" s="1036"/>
      <c r="R279" s="1036"/>
      <c r="S279" s="1036"/>
      <c r="T279" s="1036"/>
      <c r="U279" s="1037"/>
    </row>
    <row r="280" spans="2:21" hidden="1" outlineLevel="2">
      <c r="B280" s="1050">
        <v>5</v>
      </c>
      <c r="C280" s="1050" t="str">
        <f t="shared" si="39"/>
        <v>-</v>
      </c>
      <c r="D280" s="1051">
        <f t="shared" si="40"/>
        <v>1</v>
      </c>
      <c r="E280" s="1051" t="str">
        <f>IF(COUNTIF(E$275:E279,F280)&gt;0,"",F280)</f>
        <v/>
      </c>
      <c r="F280" s="1051" t="str">
        <f t="shared" si="41"/>
        <v/>
      </c>
      <c r="G280" s="1055" t="str">
        <f t="shared" si="42"/>
        <v/>
      </c>
      <c r="I280" s="2018"/>
      <c r="J280" s="1135"/>
      <c r="K280" s="1119"/>
      <c r="L280" s="1032"/>
      <c r="M280" s="1033"/>
      <c r="N280" s="1135"/>
      <c r="O280" s="1036"/>
      <c r="P280" s="1036"/>
      <c r="Q280" s="1036"/>
      <c r="R280" s="1036"/>
      <c r="S280" s="1036"/>
      <c r="T280" s="1036"/>
      <c r="U280" s="1037"/>
    </row>
    <row r="281" spans="2:21" hidden="1" outlineLevel="2">
      <c r="B281" s="1050">
        <v>6</v>
      </c>
      <c r="C281" s="1050" t="str">
        <f t="shared" si="39"/>
        <v>-</v>
      </c>
      <c r="D281" s="1051">
        <f t="shared" si="40"/>
        <v>1</v>
      </c>
      <c r="E281" s="1051" t="str">
        <f>IF(COUNTIF(E$275:E280,F281)&gt;0,"",F281)</f>
        <v/>
      </c>
      <c r="F281" s="1051" t="str">
        <f t="shared" si="41"/>
        <v/>
      </c>
      <c r="G281" s="1055" t="str">
        <f t="shared" si="42"/>
        <v/>
      </c>
      <c r="I281" s="2018"/>
      <c r="J281" s="1135"/>
      <c r="K281" s="1119"/>
      <c r="L281" s="1032"/>
      <c r="M281" s="1033"/>
      <c r="N281" s="1119"/>
      <c r="O281" s="2045"/>
      <c r="P281" s="2045"/>
      <c r="Q281" s="2045"/>
      <c r="R281" s="2045"/>
      <c r="S281" s="2045"/>
      <c r="T281" s="1036"/>
      <c r="U281" s="1037"/>
    </row>
    <row r="282" spans="2:21" hidden="1" outlineLevel="2">
      <c r="B282" s="1050"/>
      <c r="C282" s="1050"/>
      <c r="D282" s="1051">
        <f t="shared" si="40"/>
        <v>1</v>
      </c>
      <c r="E282" s="1051" t="str">
        <f>IF(COUNTIF(E$275:E281,F282)&gt;0,"",F282)</f>
        <v/>
      </c>
      <c r="F282" s="1051" t="str">
        <f t="shared" si="41"/>
        <v/>
      </c>
      <c r="G282" s="1055" t="str">
        <f t="shared" si="42"/>
        <v/>
      </c>
      <c r="I282" s="2018"/>
      <c r="J282" s="1135"/>
      <c r="K282" s="1119"/>
      <c r="L282" s="1032"/>
      <c r="M282" s="1033"/>
      <c r="N282" s="1135"/>
      <c r="O282" s="1036"/>
      <c r="P282" s="1036"/>
      <c r="Q282" s="1036"/>
      <c r="R282" s="1036"/>
      <c r="S282" s="1036"/>
      <c r="T282" s="1036"/>
      <c r="U282" s="1037"/>
    </row>
    <row r="283" spans="2:21" hidden="1" outlineLevel="2">
      <c r="B283" s="1050"/>
      <c r="C283" s="1050"/>
      <c r="D283" s="1051">
        <f t="shared" si="40"/>
        <v>1</v>
      </c>
      <c r="E283" s="1051" t="str">
        <f>IF(COUNTIF(E$275:E282,F283)&gt;0,"",F283)</f>
        <v/>
      </c>
      <c r="F283" s="1051" t="str">
        <f t="shared" si="41"/>
        <v/>
      </c>
      <c r="G283" s="1055" t="str">
        <f t="shared" si="42"/>
        <v/>
      </c>
      <c r="I283" s="2018"/>
      <c r="J283" s="1135"/>
      <c r="K283" s="1119"/>
      <c r="L283" s="1032"/>
      <c r="M283" s="1033"/>
      <c r="N283" s="1135"/>
      <c r="O283" s="1036"/>
      <c r="P283" s="1036"/>
      <c r="Q283" s="1036"/>
      <c r="R283" s="1036"/>
      <c r="S283" s="1036"/>
      <c r="T283" s="1036"/>
      <c r="U283" s="1037"/>
    </row>
    <row r="284" spans="2:21" hidden="1" outlineLevel="2">
      <c r="B284" s="1050"/>
      <c r="C284" s="1050"/>
      <c r="D284" s="1051">
        <f t="shared" si="40"/>
        <v>1</v>
      </c>
      <c r="E284" s="1051" t="str">
        <f>IF(COUNTIF(E$275:E283,F284)&gt;0,"",F284)</f>
        <v/>
      </c>
      <c r="F284" s="1051" t="str">
        <f t="shared" si="41"/>
        <v/>
      </c>
      <c r="G284" s="1055" t="str">
        <f t="shared" si="42"/>
        <v/>
      </c>
      <c r="I284" s="2018"/>
      <c r="J284" s="1135"/>
      <c r="K284" s="1119"/>
      <c r="L284" s="1032"/>
      <c r="M284" s="1033"/>
      <c r="N284" s="1135"/>
      <c r="O284" s="1036"/>
      <c r="P284" s="1036"/>
      <c r="Q284" s="1036"/>
      <c r="R284" s="1036"/>
      <c r="S284" s="1036"/>
      <c r="T284" s="1036"/>
      <c r="U284" s="1037"/>
    </row>
    <row r="285" spans="2:21" hidden="1" outlineLevel="2">
      <c r="B285" s="1050"/>
      <c r="C285" s="1050"/>
      <c r="D285" s="1051">
        <f t="shared" si="40"/>
        <v>1</v>
      </c>
      <c r="E285" s="1051" t="str">
        <f>IF(COUNTIF(E$275:E284,F285)&gt;0,"",F285)</f>
        <v/>
      </c>
      <c r="F285" s="1051" t="str">
        <f t="shared" si="41"/>
        <v/>
      </c>
      <c r="G285" s="1055" t="str">
        <f t="shared" si="42"/>
        <v/>
      </c>
      <c r="I285" s="2018"/>
      <c r="J285" s="1135"/>
      <c r="K285" s="1119"/>
      <c r="L285" s="1032"/>
      <c r="M285" s="1033"/>
      <c r="N285" s="1135"/>
      <c r="O285" s="1036"/>
      <c r="P285" s="1036"/>
      <c r="Q285" s="1036"/>
      <c r="R285" s="1036"/>
      <c r="S285" s="1036"/>
      <c r="T285" s="1036"/>
      <c r="U285" s="1037"/>
    </row>
    <row r="286" spans="2:21" hidden="1" outlineLevel="2">
      <c r="B286" s="1050"/>
      <c r="C286" s="1050"/>
      <c r="D286" s="1051">
        <f t="shared" si="40"/>
        <v>1</v>
      </c>
      <c r="E286" s="1051" t="str">
        <f>IF(COUNTIF(E$275:E285,F286)&gt;0,"",F286)</f>
        <v/>
      </c>
      <c r="F286" s="1051" t="str">
        <f t="shared" si="41"/>
        <v/>
      </c>
      <c r="G286" s="1055" t="str">
        <f t="shared" si="42"/>
        <v/>
      </c>
      <c r="I286" s="2018"/>
      <c r="J286" s="1135"/>
      <c r="K286" s="1119"/>
      <c r="L286" s="1032"/>
      <c r="M286" s="1033"/>
      <c r="N286" s="1135"/>
      <c r="O286" s="1036"/>
      <c r="P286" s="1036"/>
      <c r="Q286" s="1036"/>
      <c r="R286" s="1036"/>
      <c r="S286" s="1036"/>
      <c r="T286" s="1036"/>
      <c r="U286" s="1037"/>
    </row>
    <row r="287" spans="2:21" ht="13.2" hidden="1" outlineLevel="1">
      <c r="B287" s="1045"/>
      <c r="C287" s="1045"/>
      <c r="D287" s="1045"/>
      <c r="E287" s="1045"/>
      <c r="F287" s="1045"/>
      <c r="G287" s="1135"/>
      <c r="I287" s="1746"/>
      <c r="J287" s="2358"/>
      <c r="K287" s="2358"/>
      <c r="L287" s="2358"/>
      <c r="M287" s="2358"/>
      <c r="N287" s="2358"/>
      <c r="O287" s="2358"/>
      <c r="P287" s="2358"/>
      <c r="Q287" s="2358"/>
      <c r="R287" s="2358"/>
      <c r="S287" s="2358"/>
      <c r="T287" s="2358"/>
      <c r="U287" s="2063"/>
    </row>
    <row r="288" spans="2:21" ht="13.2" hidden="1" outlineLevel="1" collapsed="1">
      <c r="B288" s="3156" t="s">
        <v>4905</v>
      </c>
      <c r="C288" s="3156"/>
      <c r="D288" s="1051">
        <v>0</v>
      </c>
      <c r="E288" s="1051"/>
      <c r="F288" s="1051"/>
      <c r="G288" s="1055"/>
      <c r="I288" s="1746"/>
      <c r="J288" s="2358"/>
      <c r="K288" s="2358"/>
      <c r="L288" s="2358"/>
      <c r="M288" s="2358"/>
      <c r="N288" s="2358"/>
      <c r="O288" s="2358"/>
      <c r="P288" s="2358"/>
      <c r="Q288" s="2358"/>
      <c r="R288" s="2358"/>
      <c r="S288" s="2358"/>
      <c r="T288" s="2358"/>
      <c r="U288" s="2063"/>
    </row>
    <row r="289" spans="2:21" hidden="1" outlineLevel="2">
      <c r="B289" s="1050">
        <v>1</v>
      </c>
      <c r="C289" s="1050" t="str">
        <f>IF(ISNA(VLOOKUP(B289,$D$288:$E$313,2,FALSE)),"-",VLOOKUP(B289,$D$288:$E$313,2,FALSE))</f>
        <v>DEEE moyen (par défaut) - Fin de vie moyenne filière - Impacts, France continentale, Base Carbone</v>
      </c>
      <c r="D289" s="1051">
        <f>D288+IF(LEN(E289)&gt;0,1,0)</f>
        <v>1</v>
      </c>
      <c r="E289" s="1051" t="str">
        <f>IF(COUNTIF(E$275:E275,F289)&gt;0,"",F289)</f>
        <v>DEEE moyen (par défaut) - Fin de vie moyenne filière - Impacts, France continentale, Base Carbone</v>
      </c>
      <c r="F289" s="1051" t="str">
        <f>IF(I289&lt;&gt;"",I289&amp;IF(L289&lt;&gt;"",", "&amp;L289,"")&amp;IF(K289&lt;&gt;"",", "&amp;K289,""),"")</f>
        <v>DEEE moyen (par défaut) - Fin de vie moyenne filière - Impacts, France continentale, Base Carbone</v>
      </c>
      <c r="G289" s="1055" t="str">
        <f>IF(F289&lt;&gt;"",F289&amp;IF(J289&lt;&gt;"","; "&amp;J289&amp;IF(N289&lt;&gt;"",", "&amp;N289,),""),"")</f>
        <v>DEEE moyen (par défaut) - Fin de vie moyenne filière - Impacts, France continentale, Base Carbone; kgCO2e/tonne</v>
      </c>
      <c r="I289" s="2018" t="s">
        <v>4907</v>
      </c>
      <c r="J289" s="1135" t="s">
        <v>1585</v>
      </c>
      <c r="K289" s="1135" t="s">
        <v>1567</v>
      </c>
      <c r="L289" s="1135" t="s">
        <v>1571</v>
      </c>
      <c r="M289" s="2520">
        <v>1</v>
      </c>
      <c r="N289" s="1135"/>
      <c r="O289" s="2521">
        <v>1995</v>
      </c>
      <c r="P289" s="2017">
        <v>1995</v>
      </c>
      <c r="Q289" s="2017">
        <v>0</v>
      </c>
      <c r="R289" s="2017">
        <v>0</v>
      </c>
      <c r="S289" s="2017">
        <v>0</v>
      </c>
      <c r="T289" s="2017">
        <v>0</v>
      </c>
      <c r="U289" s="2042">
        <v>0</v>
      </c>
    </row>
    <row r="290" spans="2:21" hidden="1" outlineLevel="2">
      <c r="B290" s="1050">
        <v>2</v>
      </c>
      <c r="C290" s="1050" t="str">
        <f t="shared" ref="C290:C308" si="43">IF(ISNA(VLOOKUP(B290,$D$288:$E$313,2,FALSE)),"-",VLOOKUP(B290,$D$288:$E$313,2,FALSE))</f>
        <v>Ecrans Cathode Ray Trade - Fin de vie moyenne filière - Impacts, France continentale, Base Carbone</v>
      </c>
      <c r="D290" s="1051">
        <f t="shared" ref="D290:D313" si="44">D289+IF(LEN(E290)&gt;0,1,0)</f>
        <v>2</v>
      </c>
      <c r="E290" s="1051" t="str">
        <f>IF(COUNTIF(E$275:E276,F290)&gt;0,"",F290)</f>
        <v>Ecrans Cathode Ray Trade - Fin de vie moyenne filière - Impacts, France continentale, Base Carbone</v>
      </c>
      <c r="F290" s="1051" t="str">
        <f t="shared" ref="F290:F313" si="45">IF(I290&lt;&gt;"",I290&amp;IF(L290&lt;&gt;"",", "&amp;L290,"")&amp;IF(K290&lt;&gt;"",", "&amp;K290,""),"")</f>
        <v>Ecrans Cathode Ray Trade - Fin de vie moyenne filière - Impacts, France continentale, Base Carbone</v>
      </c>
      <c r="G290" s="1055" t="str">
        <f t="shared" ref="G290:G313" si="46">IF(F290&lt;&gt;"",F290&amp;IF(J290&lt;&gt;"","; "&amp;J290&amp;IF(N290&lt;&gt;"",", "&amp;N290,),""),"")</f>
        <v>Ecrans Cathode Ray Trade - Fin de vie moyenne filière - Impacts, France continentale, Base Carbone; kgCO2e/tonne</v>
      </c>
      <c r="I290" s="2018" t="s">
        <v>4909</v>
      </c>
      <c r="J290" s="1135" t="s">
        <v>1585</v>
      </c>
      <c r="K290" s="1135" t="s">
        <v>1567</v>
      </c>
      <c r="L290" s="1135" t="s">
        <v>1571</v>
      </c>
      <c r="M290" s="2520">
        <v>0.1</v>
      </c>
      <c r="N290" s="1135"/>
      <c r="O290" s="2521">
        <v>451</v>
      </c>
      <c r="P290" s="2017">
        <v>451</v>
      </c>
      <c r="Q290" s="2017">
        <v>0</v>
      </c>
      <c r="R290" s="2017">
        <v>0</v>
      </c>
      <c r="S290" s="2017">
        <v>0</v>
      </c>
      <c r="T290" s="2017">
        <v>0</v>
      </c>
      <c r="U290" s="2042">
        <v>0</v>
      </c>
    </row>
    <row r="291" spans="2:21" hidden="1" outlineLevel="2">
      <c r="B291" s="1050">
        <v>3</v>
      </c>
      <c r="C291" s="1050" t="str">
        <f t="shared" si="43"/>
        <v>Ecrans Plats - Fin de vie moyenne filière - Impacts, France continentale, Base Carbone</v>
      </c>
      <c r="D291" s="1051">
        <f t="shared" si="44"/>
        <v>3</v>
      </c>
      <c r="E291" s="1051" t="str">
        <f>IF(COUNTIF(E$275:E277,F291)&gt;0,"",F291)</f>
        <v>Ecrans Plats - Fin de vie moyenne filière - Impacts, France continentale, Base Carbone</v>
      </c>
      <c r="F291" s="1051" t="str">
        <f t="shared" si="45"/>
        <v>Ecrans Plats - Fin de vie moyenne filière - Impacts, France continentale, Base Carbone</v>
      </c>
      <c r="G291" s="1055" t="str">
        <f t="shared" si="46"/>
        <v>Ecrans Plats - Fin de vie moyenne filière - Impacts, France continentale, Base Carbone; kgCO2e/tonne</v>
      </c>
      <c r="I291" s="2018" t="s">
        <v>4908</v>
      </c>
      <c r="J291" s="1135" t="s">
        <v>1585</v>
      </c>
      <c r="K291" s="1135" t="s">
        <v>1567</v>
      </c>
      <c r="L291" s="1135" t="s">
        <v>1571</v>
      </c>
      <c r="M291" s="2520">
        <v>0.1</v>
      </c>
      <c r="N291" s="1135"/>
      <c r="O291" s="2521">
        <v>907</v>
      </c>
      <c r="P291" s="2017">
        <v>907</v>
      </c>
      <c r="Q291" s="2017">
        <v>0</v>
      </c>
      <c r="R291" s="2017">
        <v>0</v>
      </c>
      <c r="S291" s="2017">
        <v>0</v>
      </c>
      <c r="T291" s="2017">
        <v>0</v>
      </c>
      <c r="U291" s="2042">
        <v>0</v>
      </c>
    </row>
    <row r="292" spans="2:21" hidden="1" outlineLevel="2">
      <c r="B292" s="1050">
        <v>4</v>
      </c>
      <c r="C292" s="1050" t="str">
        <f t="shared" si="43"/>
        <v>GEMF (Gros électroménager froid) en fin de vie - Fin de vie moyenne filière, dont pertes amont - Impacts, France continentale, Base Carbone</v>
      </c>
      <c r="D292" s="1051">
        <f t="shared" si="44"/>
        <v>4</v>
      </c>
      <c r="E292" s="1051" t="str">
        <f>IF(COUNTIF(E$275:E278,F292)&gt;0,"",F292)</f>
        <v>GEMF (Gros électroménager froid) en fin de vie - Fin de vie moyenne filière, dont pertes amont - Impacts, France continentale, Base Carbone</v>
      </c>
      <c r="F292" s="1051" t="str">
        <f t="shared" si="45"/>
        <v>GEMF (Gros électroménager froid) en fin de vie - Fin de vie moyenne filière, dont pertes amont - Impacts, France continentale, Base Carbone</v>
      </c>
      <c r="G292" s="1055" t="str">
        <f t="shared" si="46"/>
        <v>GEMF (Gros électroménager froid) en fin de vie - Fin de vie moyenne filière, dont pertes amont - Impacts, France continentale, Base Carbone; kgCO2e/tonne</v>
      </c>
      <c r="I292" s="2018" t="s">
        <v>4911</v>
      </c>
      <c r="J292" s="1135" t="s">
        <v>1585</v>
      </c>
      <c r="K292" s="1135" t="s">
        <v>1567</v>
      </c>
      <c r="L292" s="1135" t="s">
        <v>1571</v>
      </c>
      <c r="M292" s="2520">
        <v>0.1</v>
      </c>
      <c r="N292" s="1135"/>
      <c r="O292" s="2521">
        <v>5064</v>
      </c>
      <c r="P292" s="2017">
        <v>5064</v>
      </c>
      <c r="Q292" s="2017">
        <v>0</v>
      </c>
      <c r="R292" s="2017">
        <v>0</v>
      </c>
      <c r="S292" s="2017">
        <v>0</v>
      </c>
      <c r="T292" s="2017">
        <v>0</v>
      </c>
      <c r="U292" s="2042">
        <v>0</v>
      </c>
    </row>
    <row r="293" spans="2:21" hidden="1" outlineLevel="2">
      <c r="B293" s="1050">
        <v>5</v>
      </c>
      <c r="C293" s="1050" t="str">
        <f t="shared" si="43"/>
        <v>GEMF (Gros électroménager froid) en fin de vie - Fin de vie moyenne filière, sans pertes amont - Impacts, France continentale, Base Carbone</v>
      </c>
      <c r="D293" s="1051">
        <f t="shared" si="44"/>
        <v>5</v>
      </c>
      <c r="E293" s="1051" t="str">
        <f>IF(COUNTIF(E$275:E279,F293)&gt;0,"",F293)</f>
        <v>GEMF (Gros électroménager froid) en fin de vie - Fin de vie moyenne filière, sans pertes amont - Impacts, France continentale, Base Carbone</v>
      </c>
      <c r="F293" s="1051" t="str">
        <f t="shared" si="45"/>
        <v>GEMF (Gros électroménager froid) en fin de vie - Fin de vie moyenne filière, sans pertes amont - Impacts, France continentale, Base Carbone</v>
      </c>
      <c r="G293" s="1055" t="str">
        <f t="shared" si="46"/>
        <v>GEMF (Gros électroménager froid) en fin de vie - Fin de vie moyenne filière, sans pertes amont - Impacts, France continentale, Base Carbone; kgCO2e/tonne</v>
      </c>
      <c r="I293" s="2018" t="s">
        <v>4912</v>
      </c>
      <c r="J293" s="1135" t="s">
        <v>1585</v>
      </c>
      <c r="K293" s="1135" t="s">
        <v>1567</v>
      </c>
      <c r="L293" s="1135" t="s">
        <v>1571</v>
      </c>
      <c r="M293" s="2520">
        <v>0.1</v>
      </c>
      <c r="N293" s="1135"/>
      <c r="O293" s="2521">
        <v>1852</v>
      </c>
      <c r="P293" s="2017">
        <v>1852</v>
      </c>
      <c r="Q293" s="2017">
        <v>0</v>
      </c>
      <c r="R293" s="2017">
        <v>0</v>
      </c>
      <c r="S293" s="2017">
        <v>0</v>
      </c>
      <c r="T293" s="2017">
        <v>0</v>
      </c>
      <c r="U293" s="2042">
        <v>0</v>
      </c>
    </row>
    <row r="294" spans="2:21" hidden="1" outlineLevel="2">
      <c r="B294" s="1050">
        <v>6</v>
      </c>
      <c r="C294" s="1050" t="str">
        <f t="shared" si="43"/>
        <v>GEMF (Gros électroménager froid) mis sur le marché - Fin de vie moyenne filière, dont pertes amont - Impacts, France continentale, Base Carbone</v>
      </c>
      <c r="D294" s="1051">
        <f t="shared" si="44"/>
        <v>6</v>
      </c>
      <c r="E294" s="1051" t="str">
        <f>IF(COUNTIF(E$275:E280,F294)&gt;0,"",F294)</f>
        <v>GEMF (Gros électroménager froid) mis sur le marché - Fin de vie moyenne filière, dont pertes amont - Impacts, France continentale, Base Carbone</v>
      </c>
      <c r="F294" s="1051" t="str">
        <f t="shared" si="45"/>
        <v>GEMF (Gros électroménager froid) mis sur le marché - Fin de vie moyenne filière, dont pertes amont - Impacts, France continentale, Base Carbone</v>
      </c>
      <c r="G294" s="1055" t="str">
        <f t="shared" si="46"/>
        <v>GEMF (Gros électroménager froid) mis sur le marché - Fin de vie moyenne filière, dont pertes amont - Impacts, France continentale, Base Carbone; kgCO2e/tonne</v>
      </c>
      <c r="I294" s="2018" t="s">
        <v>4913</v>
      </c>
      <c r="J294" s="1135" t="s">
        <v>1585</v>
      </c>
      <c r="K294" s="1135" t="s">
        <v>1567</v>
      </c>
      <c r="L294" s="1135" t="s">
        <v>1571</v>
      </c>
      <c r="M294" s="2520">
        <v>0.1</v>
      </c>
      <c r="N294" s="1135"/>
      <c r="O294" s="2521">
        <v>934</v>
      </c>
      <c r="P294" s="2017">
        <v>934</v>
      </c>
      <c r="Q294" s="2017">
        <v>0</v>
      </c>
      <c r="R294" s="2017">
        <v>0</v>
      </c>
      <c r="S294" s="2017">
        <v>0</v>
      </c>
      <c r="T294" s="2017">
        <v>0</v>
      </c>
      <c r="U294" s="2042">
        <v>0</v>
      </c>
    </row>
    <row r="295" spans="2:21" hidden="1" outlineLevel="2">
      <c r="B295" s="1050">
        <v>7</v>
      </c>
      <c r="C295" s="1050" t="str">
        <f t="shared" si="43"/>
        <v>GEMHF (Gros électroménager hors froid) - Fin de vie moyenne filière - Impacts, France continentale, Base Carbone</v>
      </c>
      <c r="D295" s="1051">
        <f t="shared" si="44"/>
        <v>7</v>
      </c>
      <c r="E295" s="1051" t="str">
        <f>IF(COUNTIF(E$275:E281,F295)&gt;0,"",F295)</f>
        <v>GEMHF (Gros électroménager hors froid) - Fin de vie moyenne filière - Impacts, France continentale, Base Carbone</v>
      </c>
      <c r="F295" s="1051" t="str">
        <f t="shared" si="45"/>
        <v>GEMHF (Gros électroménager hors froid) - Fin de vie moyenne filière - Impacts, France continentale, Base Carbone</v>
      </c>
      <c r="G295" s="1055" t="str">
        <f t="shared" si="46"/>
        <v>GEMHF (Gros électroménager hors froid) - Fin de vie moyenne filière - Impacts, France continentale, Base Carbone; kgCO2e/tonne</v>
      </c>
      <c r="I295" s="2018" t="s">
        <v>4910</v>
      </c>
      <c r="J295" s="1135" t="s">
        <v>1585</v>
      </c>
      <c r="K295" s="1135" t="s">
        <v>1567</v>
      </c>
      <c r="L295" s="1135" t="s">
        <v>1571</v>
      </c>
      <c r="M295" s="2520">
        <v>0.1</v>
      </c>
      <c r="N295" s="1135"/>
      <c r="O295" s="2521">
        <v>623</v>
      </c>
      <c r="P295" s="2017">
        <v>623</v>
      </c>
      <c r="Q295" s="2017">
        <v>0</v>
      </c>
      <c r="R295" s="2017">
        <v>0</v>
      </c>
      <c r="S295" s="2017">
        <v>0</v>
      </c>
      <c r="T295" s="2017">
        <v>0</v>
      </c>
      <c r="U295" s="2042">
        <v>0</v>
      </c>
    </row>
    <row r="296" spans="2:21" hidden="1" outlineLevel="2">
      <c r="B296" s="1050">
        <v>8</v>
      </c>
      <c r="C296" s="1050" t="str">
        <f t="shared" si="43"/>
        <v>PAM (petits appareils en mélange) - Fin de vie moyenne filière - Impacts, France continentale, Base Carbone</v>
      </c>
      <c r="D296" s="1051">
        <f t="shared" si="44"/>
        <v>8</v>
      </c>
      <c r="E296" s="1051" t="str">
        <f>IF(COUNTIF(E$275:E282,F296)&gt;0,"",F296)</f>
        <v>PAM (petits appareils en mélange) - Fin de vie moyenne filière - Impacts, France continentale, Base Carbone</v>
      </c>
      <c r="F296" s="1051" t="str">
        <f t="shared" si="45"/>
        <v>PAM (petits appareils en mélange) - Fin de vie moyenne filière - Impacts, France continentale, Base Carbone</v>
      </c>
      <c r="G296" s="1055" t="str">
        <f t="shared" si="46"/>
        <v>PAM (petits appareils en mélange) - Fin de vie moyenne filière - Impacts, France continentale, Base Carbone; kgCO2e/tonne</v>
      </c>
      <c r="I296" s="2018" t="s">
        <v>4914</v>
      </c>
      <c r="J296" s="1135" t="s">
        <v>1585</v>
      </c>
      <c r="K296" s="1135" t="s">
        <v>1567</v>
      </c>
      <c r="L296" s="1135" t="s">
        <v>1571</v>
      </c>
      <c r="M296" s="2520">
        <v>0.1</v>
      </c>
      <c r="N296" s="1135"/>
      <c r="O296" s="2521">
        <v>802</v>
      </c>
      <c r="P296" s="2017">
        <v>802</v>
      </c>
      <c r="Q296" s="2017">
        <v>0</v>
      </c>
      <c r="R296" s="2017">
        <v>0</v>
      </c>
      <c r="S296" s="2017">
        <v>0</v>
      </c>
      <c r="T296" s="2017">
        <v>0</v>
      </c>
      <c r="U296" s="2042">
        <v>0</v>
      </c>
    </row>
    <row r="297" spans="2:21" hidden="1" outlineLevel="2">
      <c r="B297" s="1050">
        <v>9</v>
      </c>
      <c r="C297" s="1050" t="str">
        <f t="shared" si="43"/>
        <v>Tubes et lampes - Fin de vie moyenne filière - Impacts, France continentale, Base Carbone</v>
      </c>
      <c r="D297" s="1051">
        <f t="shared" si="44"/>
        <v>9</v>
      </c>
      <c r="E297" s="1051" t="str">
        <f>IF(COUNTIF(E$275:E283,F297)&gt;0,"",F297)</f>
        <v>Tubes et lampes - Fin de vie moyenne filière - Impacts, France continentale, Base Carbone</v>
      </c>
      <c r="F297" s="1051" t="str">
        <f t="shared" si="45"/>
        <v>Tubes et lampes - Fin de vie moyenne filière - Impacts, France continentale, Base Carbone</v>
      </c>
      <c r="G297" s="1055" t="str">
        <f t="shared" si="46"/>
        <v>Tubes et lampes - Fin de vie moyenne filière - Impacts, France continentale, Base Carbone; kgCO2e/tonne</v>
      </c>
      <c r="I297" s="2018" t="s">
        <v>4915</v>
      </c>
      <c r="J297" s="1135" t="s">
        <v>1585</v>
      </c>
      <c r="K297" s="1135" t="s">
        <v>1567</v>
      </c>
      <c r="L297" s="1135" t="s">
        <v>1571</v>
      </c>
      <c r="M297" s="2520">
        <v>0.1</v>
      </c>
      <c r="N297" s="1135"/>
      <c r="O297" s="2521">
        <v>749</v>
      </c>
      <c r="P297" s="2017">
        <v>749</v>
      </c>
      <c r="Q297" s="2017">
        <v>0</v>
      </c>
      <c r="R297" s="2017">
        <v>0</v>
      </c>
      <c r="S297" s="2017">
        <v>0</v>
      </c>
      <c r="T297" s="2017">
        <v>0</v>
      </c>
      <c r="U297" s="2042">
        <v>0</v>
      </c>
    </row>
    <row r="298" spans="2:21" hidden="1" outlineLevel="2">
      <c r="B298" s="1050">
        <v>10</v>
      </c>
      <c r="C298" s="1050" t="str">
        <f t="shared" si="43"/>
        <v>-</v>
      </c>
      <c r="D298" s="1051">
        <f t="shared" si="44"/>
        <v>9</v>
      </c>
      <c r="E298" s="1051" t="str">
        <f>IF(COUNTIF(E$275:E284,F298)&gt;0,"",F298)</f>
        <v/>
      </c>
      <c r="F298" s="1051" t="str">
        <f t="shared" si="45"/>
        <v/>
      </c>
      <c r="G298" s="1055" t="str">
        <f t="shared" si="46"/>
        <v/>
      </c>
      <c r="I298" s="1100"/>
      <c r="J298" s="1048"/>
      <c r="K298" s="1048"/>
      <c r="L298" s="1048"/>
      <c r="M298" s="1048"/>
      <c r="N298" s="1048"/>
      <c r="O298" s="1048"/>
      <c r="P298" s="1048"/>
      <c r="Q298" s="1048"/>
      <c r="R298" s="1048"/>
      <c r="S298" s="1048"/>
      <c r="T298" s="1048"/>
      <c r="U298" s="1102"/>
    </row>
    <row r="299" spans="2:21" hidden="1" outlineLevel="2">
      <c r="B299" s="1050">
        <v>11</v>
      </c>
      <c r="C299" s="1050" t="str">
        <f t="shared" si="43"/>
        <v>-</v>
      </c>
      <c r="D299" s="1051">
        <f t="shared" si="44"/>
        <v>9</v>
      </c>
      <c r="E299" s="1051" t="str">
        <f>IF(COUNTIF(E$275:E285,F299)&gt;0,"",F299)</f>
        <v/>
      </c>
      <c r="F299" s="1051" t="str">
        <f t="shared" si="45"/>
        <v/>
      </c>
      <c r="G299" s="1055" t="str">
        <f t="shared" si="46"/>
        <v/>
      </c>
      <c r="I299" s="1100"/>
      <c r="J299" s="1048"/>
      <c r="K299" s="1048"/>
      <c r="L299" s="1048"/>
      <c r="M299" s="1048"/>
      <c r="N299" s="1048"/>
      <c r="O299" s="1048"/>
      <c r="P299" s="1048"/>
      <c r="Q299" s="1048"/>
      <c r="R299" s="1048"/>
      <c r="S299" s="1048"/>
      <c r="T299" s="1048"/>
      <c r="U299" s="1102"/>
    </row>
    <row r="300" spans="2:21" hidden="1" outlineLevel="2">
      <c r="B300" s="1050">
        <v>12</v>
      </c>
      <c r="C300" s="1050" t="str">
        <f t="shared" si="43"/>
        <v>-</v>
      </c>
      <c r="D300" s="1051">
        <f t="shared" si="44"/>
        <v>9</v>
      </c>
      <c r="E300" s="1051" t="str">
        <f>IF(COUNTIF(E$275:E286,F300)&gt;0,"",F300)</f>
        <v/>
      </c>
      <c r="F300" s="1051" t="str">
        <f t="shared" si="45"/>
        <v/>
      </c>
      <c r="G300" s="1055" t="str">
        <f t="shared" si="46"/>
        <v/>
      </c>
      <c r="I300" s="1100"/>
      <c r="J300" s="1048"/>
      <c r="K300" s="1048"/>
      <c r="L300" s="1048"/>
      <c r="M300" s="1048"/>
      <c r="N300" s="1048"/>
      <c r="O300" s="1048"/>
      <c r="P300" s="1048"/>
      <c r="Q300" s="1048"/>
      <c r="R300" s="1048"/>
      <c r="S300" s="1048"/>
      <c r="T300" s="1048"/>
      <c r="U300" s="1102"/>
    </row>
    <row r="301" spans="2:21" hidden="1" outlineLevel="2">
      <c r="B301" s="1050">
        <v>13</v>
      </c>
      <c r="C301" s="1050" t="str">
        <f t="shared" si="43"/>
        <v>-</v>
      </c>
      <c r="D301" s="1051">
        <f t="shared" si="44"/>
        <v>9</v>
      </c>
      <c r="E301" s="1051" t="str">
        <f>IF(COUNTIF(E$275:E286,F301)&gt;0,"",F301)</f>
        <v/>
      </c>
      <c r="F301" s="1051" t="str">
        <f t="shared" si="45"/>
        <v/>
      </c>
      <c r="G301" s="1055" t="str">
        <f t="shared" si="46"/>
        <v/>
      </c>
      <c r="I301" s="1100"/>
      <c r="J301" s="1048"/>
      <c r="K301" s="1048"/>
      <c r="L301" s="1048"/>
      <c r="M301" s="1048"/>
      <c r="N301" s="1048"/>
      <c r="O301" s="1048"/>
      <c r="P301" s="1048"/>
      <c r="Q301" s="1048"/>
      <c r="R301" s="1048"/>
      <c r="S301" s="1048"/>
      <c r="T301" s="1048"/>
      <c r="U301" s="1102"/>
    </row>
    <row r="302" spans="2:21" hidden="1" outlineLevel="2">
      <c r="B302" s="1050">
        <v>14</v>
      </c>
      <c r="C302" s="1050" t="str">
        <f t="shared" si="43"/>
        <v>-</v>
      </c>
      <c r="D302" s="1051">
        <f t="shared" si="44"/>
        <v>9</v>
      </c>
      <c r="E302" s="1051" t="str">
        <f>IF(COUNTIF(E$275:E286,F302)&gt;0,"",F302)</f>
        <v/>
      </c>
      <c r="F302" s="1051" t="str">
        <f t="shared" si="45"/>
        <v/>
      </c>
      <c r="G302" s="1055" t="str">
        <f t="shared" si="46"/>
        <v/>
      </c>
      <c r="I302" s="1100"/>
      <c r="J302" s="1048"/>
      <c r="K302" s="1048"/>
      <c r="L302" s="1048"/>
      <c r="M302" s="1048"/>
      <c r="N302" s="1048"/>
      <c r="O302" s="1048"/>
      <c r="P302" s="1048"/>
      <c r="Q302" s="1048"/>
      <c r="R302" s="1048"/>
      <c r="S302" s="1048"/>
      <c r="T302" s="1048"/>
      <c r="U302" s="1102"/>
    </row>
    <row r="303" spans="2:21" hidden="1" outlineLevel="2">
      <c r="B303" s="1050">
        <v>15</v>
      </c>
      <c r="C303" s="1050" t="str">
        <f t="shared" si="43"/>
        <v>-</v>
      </c>
      <c r="D303" s="1051">
        <f t="shared" si="44"/>
        <v>9</v>
      </c>
      <c r="E303" s="1051" t="str">
        <f>IF(COUNTIF(E$275:E286,F303)&gt;0,"",F303)</f>
        <v/>
      </c>
      <c r="F303" s="1051" t="str">
        <f t="shared" si="45"/>
        <v/>
      </c>
      <c r="G303" s="1055" t="str">
        <f t="shared" si="46"/>
        <v/>
      </c>
      <c r="I303" s="1100"/>
      <c r="J303" s="1048"/>
      <c r="K303" s="1048"/>
      <c r="L303" s="1048"/>
      <c r="M303" s="1048"/>
      <c r="N303" s="1048"/>
      <c r="O303" s="1048"/>
      <c r="P303" s="1048"/>
      <c r="Q303" s="1048"/>
      <c r="R303" s="1048"/>
      <c r="S303" s="1048"/>
      <c r="T303" s="1048"/>
      <c r="U303" s="1102"/>
    </row>
    <row r="304" spans="2:21" hidden="1" outlineLevel="2">
      <c r="B304" s="1050">
        <v>16</v>
      </c>
      <c r="C304" s="1050" t="str">
        <f t="shared" si="43"/>
        <v>-</v>
      </c>
      <c r="D304" s="1051">
        <f t="shared" si="44"/>
        <v>9</v>
      </c>
      <c r="E304" s="1051" t="str">
        <f>IF(COUNTIF(E$275:E286,F304)&gt;0,"",F304)</f>
        <v/>
      </c>
      <c r="F304" s="1051" t="str">
        <f t="shared" si="45"/>
        <v/>
      </c>
      <c r="G304" s="1055" t="str">
        <f t="shared" si="46"/>
        <v/>
      </c>
      <c r="I304" s="1100"/>
      <c r="J304" s="1048"/>
      <c r="K304" s="1048"/>
      <c r="L304" s="1048"/>
      <c r="M304" s="1048"/>
      <c r="N304" s="1048"/>
      <c r="O304" s="1048"/>
      <c r="P304" s="1048"/>
      <c r="Q304" s="1048"/>
      <c r="R304" s="1048"/>
      <c r="S304" s="1048"/>
      <c r="T304" s="1048"/>
      <c r="U304" s="1102"/>
    </row>
    <row r="305" spans="2:21" hidden="1" outlineLevel="2">
      <c r="B305" s="1050">
        <v>17</v>
      </c>
      <c r="C305" s="1050" t="str">
        <f t="shared" si="43"/>
        <v>-</v>
      </c>
      <c r="D305" s="1051">
        <f t="shared" si="44"/>
        <v>9</v>
      </c>
      <c r="E305" s="1051" t="str">
        <f>IF(COUNTIF(E$275:E286,F305)&gt;0,"",F305)</f>
        <v/>
      </c>
      <c r="F305" s="1051" t="str">
        <f t="shared" si="45"/>
        <v/>
      </c>
      <c r="G305" s="1055" t="str">
        <f t="shared" si="46"/>
        <v/>
      </c>
      <c r="I305" s="1100"/>
      <c r="J305" s="1048"/>
      <c r="K305" s="1048"/>
      <c r="L305" s="1048"/>
      <c r="M305" s="1048"/>
      <c r="N305" s="1048"/>
      <c r="O305" s="1048"/>
      <c r="P305" s="1048"/>
      <c r="Q305" s="1048"/>
      <c r="R305" s="1048"/>
      <c r="S305" s="1048"/>
      <c r="T305" s="1048"/>
      <c r="U305" s="1102"/>
    </row>
    <row r="306" spans="2:21" hidden="1" outlineLevel="2">
      <c r="B306" s="1050">
        <v>18</v>
      </c>
      <c r="C306" s="1050" t="str">
        <f t="shared" si="43"/>
        <v>-</v>
      </c>
      <c r="D306" s="1051">
        <f t="shared" si="44"/>
        <v>9</v>
      </c>
      <c r="E306" s="1051" t="str">
        <f>IF(COUNTIF(E$275:E286,F306)&gt;0,"",F306)</f>
        <v/>
      </c>
      <c r="F306" s="1051" t="str">
        <f t="shared" si="45"/>
        <v/>
      </c>
      <c r="G306" s="1055" t="str">
        <f t="shared" si="46"/>
        <v/>
      </c>
      <c r="I306" s="1100"/>
      <c r="J306" s="1048"/>
      <c r="K306" s="1048"/>
      <c r="L306" s="1048"/>
      <c r="M306" s="1048"/>
      <c r="N306" s="1048"/>
      <c r="O306" s="1048"/>
      <c r="P306" s="1048"/>
      <c r="Q306" s="1048"/>
      <c r="R306" s="1048"/>
      <c r="S306" s="1048"/>
      <c r="T306" s="1048"/>
      <c r="U306" s="1102"/>
    </row>
    <row r="307" spans="2:21" hidden="1" outlineLevel="2">
      <c r="B307" s="1050">
        <v>19</v>
      </c>
      <c r="C307" s="1050" t="str">
        <f t="shared" si="43"/>
        <v>-</v>
      </c>
      <c r="D307" s="1051">
        <f t="shared" si="44"/>
        <v>9</v>
      </c>
      <c r="E307" s="1051" t="str">
        <f>IF(COUNTIF(E$275:E286,F307)&gt;0,"",F307)</f>
        <v/>
      </c>
      <c r="F307" s="1051" t="str">
        <f t="shared" si="45"/>
        <v/>
      </c>
      <c r="G307" s="1055" t="str">
        <f t="shared" si="46"/>
        <v/>
      </c>
      <c r="I307" s="1100"/>
      <c r="J307" s="1048"/>
      <c r="K307" s="1048"/>
      <c r="L307" s="1048"/>
      <c r="M307" s="1048"/>
      <c r="N307" s="1048"/>
      <c r="O307" s="1048"/>
      <c r="P307" s="1048"/>
      <c r="Q307" s="1048"/>
      <c r="R307" s="1048"/>
      <c r="S307" s="1048"/>
      <c r="T307" s="1048"/>
      <c r="U307" s="1102"/>
    </row>
    <row r="308" spans="2:21" hidden="1" outlineLevel="2">
      <c r="B308" s="1050">
        <v>20</v>
      </c>
      <c r="C308" s="1050" t="str">
        <f t="shared" si="43"/>
        <v>-</v>
      </c>
      <c r="D308" s="1051">
        <f t="shared" si="44"/>
        <v>9</v>
      </c>
      <c r="E308" s="1051" t="str">
        <f>IF(COUNTIF(E$275:E286,F308)&gt;0,"",F308)</f>
        <v/>
      </c>
      <c r="F308" s="1051" t="str">
        <f t="shared" si="45"/>
        <v/>
      </c>
      <c r="G308" s="1055" t="str">
        <f t="shared" si="46"/>
        <v/>
      </c>
      <c r="I308" s="1100"/>
      <c r="J308" s="1048"/>
      <c r="K308" s="1048"/>
      <c r="L308" s="1048"/>
      <c r="M308" s="1048"/>
      <c r="N308" s="1048"/>
      <c r="O308" s="1048"/>
      <c r="P308" s="1048"/>
      <c r="Q308" s="1048"/>
      <c r="R308" s="1048"/>
      <c r="S308" s="1048"/>
      <c r="T308" s="1048"/>
      <c r="U308" s="1102"/>
    </row>
    <row r="309" spans="2:21" hidden="1" outlineLevel="2">
      <c r="B309" s="1045"/>
      <c r="C309" s="1045"/>
      <c r="D309" s="1051">
        <f t="shared" si="44"/>
        <v>9</v>
      </c>
      <c r="E309" s="1051" t="str">
        <f>IF(COUNTIF(E$275:E286,F309)&gt;0,"",F309)</f>
        <v/>
      </c>
      <c r="F309" s="1051" t="str">
        <f t="shared" si="45"/>
        <v/>
      </c>
      <c r="G309" s="1055" t="str">
        <f t="shared" si="46"/>
        <v/>
      </c>
      <c r="I309" s="1100"/>
      <c r="J309" s="1048"/>
      <c r="K309" s="1048"/>
      <c r="L309" s="1048"/>
      <c r="M309" s="1048"/>
      <c r="N309" s="1048"/>
      <c r="O309" s="1048"/>
      <c r="P309" s="1048"/>
      <c r="Q309" s="1048"/>
      <c r="R309" s="1048"/>
      <c r="S309" s="1048"/>
      <c r="T309" s="1048"/>
      <c r="U309" s="1102"/>
    </row>
    <row r="310" spans="2:21" hidden="1" outlineLevel="2">
      <c r="B310" s="1045"/>
      <c r="C310" s="1045"/>
      <c r="D310" s="1051">
        <f t="shared" si="44"/>
        <v>9</v>
      </c>
      <c r="E310" s="1051" t="str">
        <f>IF(COUNTIF(E$275:E286,F310)&gt;0,"",F310)</f>
        <v/>
      </c>
      <c r="F310" s="1051" t="str">
        <f t="shared" si="45"/>
        <v/>
      </c>
      <c r="G310" s="1055" t="str">
        <f t="shared" si="46"/>
        <v/>
      </c>
      <c r="I310" s="1100"/>
      <c r="J310" s="1048"/>
      <c r="K310" s="1048"/>
      <c r="L310" s="1048"/>
      <c r="M310" s="1048"/>
      <c r="N310" s="1048"/>
      <c r="O310" s="1048"/>
      <c r="P310" s="1048"/>
      <c r="Q310" s="1048"/>
      <c r="R310" s="1048"/>
      <c r="S310" s="1048"/>
      <c r="T310" s="1048"/>
      <c r="U310" s="1102"/>
    </row>
    <row r="311" spans="2:21" hidden="1" outlineLevel="2">
      <c r="B311" s="1045"/>
      <c r="C311" s="1045"/>
      <c r="D311" s="1051">
        <f t="shared" si="44"/>
        <v>9</v>
      </c>
      <c r="E311" s="1051" t="str">
        <f>IF(COUNTIF(E$275:E286,F311)&gt;0,"",F311)</f>
        <v/>
      </c>
      <c r="F311" s="1051" t="str">
        <f t="shared" si="45"/>
        <v/>
      </c>
      <c r="G311" s="1055" t="str">
        <f t="shared" si="46"/>
        <v/>
      </c>
      <c r="I311" s="1100"/>
      <c r="J311" s="1048"/>
      <c r="K311" s="1048"/>
      <c r="L311" s="1048"/>
      <c r="M311" s="1048"/>
      <c r="N311" s="1048"/>
      <c r="O311" s="1048"/>
      <c r="P311" s="1048"/>
      <c r="Q311" s="1048"/>
      <c r="R311" s="1048"/>
      <c r="S311" s="1048"/>
      <c r="T311" s="1048"/>
      <c r="U311" s="1102"/>
    </row>
    <row r="312" spans="2:21" hidden="1" outlineLevel="2">
      <c r="B312" s="1045"/>
      <c r="C312" s="1045"/>
      <c r="D312" s="1051">
        <f t="shared" si="44"/>
        <v>9</v>
      </c>
      <c r="E312" s="1051" t="str">
        <f>IF(COUNTIF(E$275:E287,F312)&gt;0,"",F312)</f>
        <v/>
      </c>
      <c r="F312" s="1051" t="str">
        <f t="shared" si="45"/>
        <v/>
      </c>
      <c r="G312" s="1055" t="str">
        <f t="shared" si="46"/>
        <v/>
      </c>
      <c r="I312" s="1100"/>
      <c r="J312" s="1048"/>
      <c r="K312" s="1048"/>
      <c r="L312" s="1048"/>
      <c r="M312" s="1048"/>
      <c r="N312" s="1048"/>
      <c r="O312" s="1048"/>
      <c r="P312" s="1048"/>
      <c r="Q312" s="1048"/>
      <c r="R312" s="1048"/>
      <c r="S312" s="1048"/>
      <c r="T312" s="1048"/>
      <c r="U312" s="1102"/>
    </row>
    <row r="313" spans="2:21" hidden="1" outlineLevel="2">
      <c r="B313" s="1045"/>
      <c r="C313" s="1045"/>
      <c r="D313" s="1051">
        <f t="shared" si="44"/>
        <v>9</v>
      </c>
      <c r="E313" s="1051" t="str">
        <f>IF(COUNTIF(E$275:E288,F313)&gt;0,"",F313)</f>
        <v/>
      </c>
      <c r="F313" s="1051" t="str">
        <f t="shared" si="45"/>
        <v/>
      </c>
      <c r="G313" s="1055" t="str">
        <f t="shared" si="46"/>
        <v/>
      </c>
      <c r="I313" s="1103"/>
      <c r="J313" s="1104"/>
      <c r="K313" s="1104"/>
      <c r="L313" s="1104"/>
      <c r="M313" s="1104"/>
      <c r="N313" s="1104"/>
      <c r="O313" s="1104"/>
      <c r="P313" s="1104"/>
      <c r="Q313" s="1104"/>
      <c r="R313" s="1104"/>
      <c r="S313" s="1104"/>
      <c r="T313" s="1104"/>
      <c r="U313" s="1106"/>
    </row>
    <row r="314" spans="2:21"/>
    <row r="315" spans="2:21" ht="15.6" collapsed="1">
      <c r="I315" s="3167" t="s">
        <v>3297</v>
      </c>
      <c r="J315" s="3168"/>
      <c r="K315" s="3168"/>
      <c r="L315" s="3168"/>
      <c r="M315" s="3168"/>
      <c r="N315" s="3168"/>
      <c r="O315" s="3168"/>
      <c r="P315" s="3168"/>
      <c r="Q315" s="3168"/>
      <c r="R315" s="3168"/>
      <c r="S315" s="3168"/>
      <c r="T315" s="3168"/>
      <c r="U315" s="3169"/>
    </row>
    <row r="316" spans="2:21" hidden="1" outlineLevel="1"/>
    <row r="317" spans="2:21" ht="12.75" hidden="1" customHeight="1" outlineLevel="1">
      <c r="B317" s="3154" t="s">
        <v>1617</v>
      </c>
      <c r="C317" s="3154"/>
      <c r="D317" s="3157" t="s">
        <v>1619</v>
      </c>
      <c r="E317" s="3157"/>
      <c r="F317" s="1151" t="s">
        <v>1616</v>
      </c>
      <c r="G317" s="1053" t="s">
        <v>1618</v>
      </c>
      <c r="H317" s="1044"/>
      <c r="I317" s="1038" t="s">
        <v>1557</v>
      </c>
      <c r="J317" s="1040" t="s">
        <v>1266</v>
      </c>
      <c r="K317" s="1043" t="s">
        <v>224</v>
      </c>
      <c r="L317" s="1043" t="s">
        <v>1558</v>
      </c>
      <c r="M317" s="1039" t="s">
        <v>366</v>
      </c>
      <c r="N317" s="1040" t="s">
        <v>1559</v>
      </c>
      <c r="O317" s="1041" t="s">
        <v>1560</v>
      </c>
      <c r="P317" s="1043" t="s">
        <v>211</v>
      </c>
      <c r="Q317" s="1043" t="s">
        <v>1561</v>
      </c>
      <c r="R317" s="1041" t="s">
        <v>1562</v>
      </c>
      <c r="S317" s="1041" t="s">
        <v>267</v>
      </c>
      <c r="T317" s="1043" t="s">
        <v>1563</v>
      </c>
      <c r="U317" s="1042" t="s">
        <v>1564</v>
      </c>
    </row>
    <row r="318" spans="2:21" ht="12.75" hidden="1" customHeight="1" outlineLevel="1" collapsed="1">
      <c r="B318" s="3156" t="s">
        <v>4917</v>
      </c>
      <c r="C318" s="3156"/>
      <c r="D318" s="1051">
        <v>0</v>
      </c>
      <c r="E318" s="1051"/>
      <c r="F318" s="1051"/>
      <c r="G318" s="1054"/>
      <c r="H318" s="1046"/>
      <c r="I318" s="1688"/>
      <c r="J318" s="1689"/>
      <c r="K318" s="1690"/>
      <c r="L318" s="1690"/>
      <c r="M318" s="1691"/>
      <c r="N318" s="1689"/>
      <c r="O318" s="1692"/>
      <c r="P318" s="1690"/>
      <c r="Q318" s="1690"/>
      <c r="R318" s="1692"/>
      <c r="S318" s="1692"/>
      <c r="T318" s="1690"/>
      <c r="U318" s="1693"/>
    </row>
    <row r="319" spans="2:21" hidden="1" outlineLevel="2">
      <c r="B319" s="2035">
        <v>1</v>
      </c>
      <c r="C319" s="2035" t="str">
        <f>IF(ISNA(VLOOKUP(B319,$D$318:$E$330,2,FALSE)),"-",VLOOKUP(B319,$D$318:$E$330,2,FALSE))</f>
        <v>Plastique rigide PE - Recyclage granulés - Impacts, France, Base Carbone</v>
      </c>
      <c r="D319" s="1051">
        <f>D318+IF(LEN(E319)&gt;0,1,0)</f>
        <v>1</v>
      </c>
      <c r="E319" s="1051" t="str">
        <f>IF(COUNTIF(E$318:E318,F319)&gt;0,"",F319)</f>
        <v>Plastique rigide PE - Recyclage granulés - Impacts, France, Base Carbone</v>
      </c>
      <c r="F319" s="1054" t="str">
        <f>IF(I319&lt;&gt;"",I319&amp;IF(L319&lt;&gt;"",", "&amp;L319,"")&amp;IF(K319&lt;&gt;"",", "&amp;K319,""),"")</f>
        <v>Plastique rigide PE - Recyclage granulés - Impacts, France, Base Carbone</v>
      </c>
      <c r="G319" s="1051" t="str">
        <f>IF(F319&lt;&gt;"",F319&amp;IF(J319&lt;&gt;"","; "&amp;J319&amp;IF(N319&lt;&gt;"",", "&amp;N319,),""),"")</f>
        <v>Plastique rigide PE - Recyclage granulés - Impacts, France, Base Carbone; kgCO2e/tonne</v>
      </c>
      <c r="I319" s="2018" t="s">
        <v>4857</v>
      </c>
      <c r="J319" s="1135" t="s">
        <v>1585</v>
      </c>
      <c r="K319" s="1135" t="s">
        <v>1567</v>
      </c>
      <c r="L319" s="1135" t="s">
        <v>239</v>
      </c>
      <c r="M319" s="1134">
        <v>0.1</v>
      </c>
      <c r="N319" s="1135"/>
      <c r="O319" s="1135">
        <v>313</v>
      </c>
      <c r="P319" s="2017">
        <v>313</v>
      </c>
      <c r="Q319" s="2017">
        <v>0</v>
      </c>
      <c r="R319" s="2017">
        <v>0</v>
      </c>
      <c r="S319" s="2017">
        <v>0</v>
      </c>
      <c r="T319" s="2017">
        <v>0</v>
      </c>
      <c r="U319" s="2042">
        <v>0</v>
      </c>
    </row>
    <row r="320" spans="2:21" hidden="1" outlineLevel="2">
      <c r="B320" s="2035">
        <v>2</v>
      </c>
      <c r="C320" s="2035" t="str">
        <f t="shared" ref="C320:C330" si="47">IF(ISNA(VLOOKUP(B320,$D$318:$E$330,2,FALSE)),"-",VLOOKUP(B320,$D$318:$E$330,2,FALSE))</f>
        <v>Plastique rigide PE - Recyclage paillettes - Impacts, France, Base Carbone</v>
      </c>
      <c r="D320" s="1051">
        <f t="shared" ref="D320:D330" si="48">D319+IF(LEN(E320)&gt;0,1,0)</f>
        <v>2</v>
      </c>
      <c r="E320" s="1051" t="str">
        <f>IF(COUNTIF(E$318:E319,F320)&gt;0,"",F320)</f>
        <v>Plastique rigide PE - Recyclage paillettes - Impacts, France, Base Carbone</v>
      </c>
      <c r="F320" s="1054" t="str">
        <f t="shared" ref="F320:F330" si="49">IF(I320&lt;&gt;"",I320&amp;IF(L320&lt;&gt;"",", "&amp;L320,"")&amp;IF(K320&lt;&gt;"",", "&amp;K320,""),"")</f>
        <v>Plastique rigide PE - Recyclage paillettes - Impacts, France, Base Carbone</v>
      </c>
      <c r="G320" s="1051" t="str">
        <f t="shared" ref="G320:G330" si="50">IF(F320&lt;&gt;"",F320&amp;IF(J320&lt;&gt;"","; "&amp;J320&amp;IF(N320&lt;&gt;"",", "&amp;N320,),""),"")</f>
        <v>Plastique rigide PE - Recyclage paillettes - Impacts, France, Base Carbone; kgCO2e/tonne</v>
      </c>
      <c r="I320" s="2018" t="s">
        <v>4858</v>
      </c>
      <c r="J320" s="1135" t="s">
        <v>1585</v>
      </c>
      <c r="K320" s="1135" t="s">
        <v>1567</v>
      </c>
      <c r="L320" s="1135" t="s">
        <v>239</v>
      </c>
      <c r="M320" s="1134">
        <v>0.1</v>
      </c>
      <c r="N320" s="1135"/>
      <c r="O320" s="1135">
        <v>258</v>
      </c>
      <c r="P320" s="2017">
        <v>258</v>
      </c>
      <c r="Q320" s="2017">
        <v>0</v>
      </c>
      <c r="R320" s="2017">
        <v>0</v>
      </c>
      <c r="S320" s="2017">
        <v>0</v>
      </c>
      <c r="T320" s="2017">
        <v>0</v>
      </c>
      <c r="U320" s="2042">
        <v>0</v>
      </c>
    </row>
    <row r="321" spans="2:21" hidden="1" outlineLevel="2">
      <c r="B321" s="2035">
        <v>3</v>
      </c>
      <c r="C321" s="2035" t="str">
        <f t="shared" si="47"/>
        <v>Plastique rigide PVC - Recyclage - Impacts, France, Base Carbone</v>
      </c>
      <c r="D321" s="1051">
        <f t="shared" si="48"/>
        <v>3</v>
      </c>
      <c r="E321" s="1051" t="str">
        <f>IF(COUNTIF(E$318:E320,F321)&gt;0,"",F321)</f>
        <v>Plastique rigide PVC - Recyclage - Impacts, France, Base Carbone</v>
      </c>
      <c r="F321" s="1054" t="str">
        <f t="shared" si="49"/>
        <v>Plastique rigide PVC - Recyclage - Impacts, France, Base Carbone</v>
      </c>
      <c r="G321" s="1051" t="str">
        <f t="shared" si="50"/>
        <v>Plastique rigide PVC - Recyclage - Impacts, France, Base Carbone; kgCO2e/tonne</v>
      </c>
      <c r="I321" s="2018" t="s">
        <v>4916</v>
      </c>
      <c r="J321" s="1135" t="s">
        <v>1585</v>
      </c>
      <c r="K321" s="1135" t="s">
        <v>1567</v>
      </c>
      <c r="L321" s="1135" t="s">
        <v>239</v>
      </c>
      <c r="M321" s="1134">
        <v>0.1</v>
      </c>
      <c r="N321" s="1135"/>
      <c r="O321" s="1135">
        <v>141</v>
      </c>
      <c r="P321" s="2017">
        <v>141</v>
      </c>
      <c r="Q321" s="2017">
        <v>0</v>
      </c>
      <c r="R321" s="2017">
        <v>0</v>
      </c>
      <c r="S321" s="2017">
        <v>0</v>
      </c>
      <c r="T321" s="2017">
        <v>0</v>
      </c>
      <c r="U321" s="2042">
        <v>0</v>
      </c>
    </row>
    <row r="322" spans="2:21" hidden="1" outlineLevel="2">
      <c r="B322" s="2035">
        <v>4</v>
      </c>
      <c r="C322" s="2035" t="str">
        <f t="shared" si="47"/>
        <v>-</v>
      </c>
      <c r="D322" s="1051">
        <f t="shared" si="48"/>
        <v>3</v>
      </c>
      <c r="E322" s="1051" t="str">
        <f>IF(COUNTIF(E$318:E321,F322)&gt;0,"",F322)</f>
        <v/>
      </c>
      <c r="F322" s="1054" t="str">
        <f t="shared" si="49"/>
        <v/>
      </c>
      <c r="G322" s="1051" t="str">
        <f t="shared" si="50"/>
        <v/>
      </c>
      <c r="I322" s="1100"/>
      <c r="J322" s="1048"/>
      <c r="K322" s="1048"/>
      <c r="L322" s="1048"/>
      <c r="M322" s="2146"/>
      <c r="N322" s="1048"/>
      <c r="O322" s="1048"/>
      <c r="P322" s="1048"/>
      <c r="Q322" s="1048"/>
      <c r="R322" s="1048"/>
      <c r="S322" s="1048"/>
      <c r="T322" s="1048"/>
      <c r="U322" s="1102"/>
    </row>
    <row r="323" spans="2:21" hidden="1" outlineLevel="2">
      <c r="B323" s="2035">
        <v>5</v>
      </c>
      <c r="C323" s="2035" t="str">
        <f t="shared" si="47"/>
        <v>-</v>
      </c>
      <c r="D323" s="1051">
        <f t="shared" si="48"/>
        <v>3</v>
      </c>
      <c r="E323" s="1051" t="str">
        <f>IF(COUNTIF(E$318:E322,F323)&gt;0,"",F323)</f>
        <v/>
      </c>
      <c r="F323" s="1054" t="str">
        <f t="shared" si="49"/>
        <v/>
      </c>
      <c r="G323" s="1051" t="str">
        <f t="shared" si="50"/>
        <v/>
      </c>
      <c r="I323" s="1100"/>
      <c r="J323" s="1048"/>
      <c r="K323" s="1048"/>
      <c r="L323" s="1048"/>
      <c r="M323" s="2146"/>
      <c r="N323" s="1048"/>
      <c r="O323" s="1048"/>
      <c r="P323" s="1048"/>
      <c r="Q323" s="1048"/>
      <c r="R323" s="1048"/>
      <c r="S323" s="1048"/>
      <c r="T323" s="1048"/>
      <c r="U323" s="1102"/>
    </row>
    <row r="324" spans="2:21" hidden="1" outlineLevel="2">
      <c r="B324" s="2035">
        <v>6</v>
      </c>
      <c r="C324" s="2035" t="str">
        <f t="shared" si="47"/>
        <v>-</v>
      </c>
      <c r="D324" s="1051">
        <f t="shared" si="48"/>
        <v>3</v>
      </c>
      <c r="E324" s="1051" t="str">
        <f>IF(COUNTIF(E$318:E323,F324)&gt;0,"",F324)</f>
        <v/>
      </c>
      <c r="F324" s="1054" t="str">
        <f t="shared" si="49"/>
        <v/>
      </c>
      <c r="G324" s="1051" t="str">
        <f t="shared" si="50"/>
        <v/>
      </c>
      <c r="I324" s="1100"/>
      <c r="J324" s="1048"/>
      <c r="K324" s="1048"/>
      <c r="L324" s="1048"/>
      <c r="M324" s="2146"/>
      <c r="N324" s="1048"/>
      <c r="O324" s="1048"/>
      <c r="P324" s="1048"/>
      <c r="Q324" s="1048"/>
      <c r="R324" s="1048"/>
      <c r="S324" s="1048"/>
      <c r="T324" s="1048"/>
      <c r="U324" s="1102"/>
    </row>
    <row r="325" spans="2:21" hidden="1" outlineLevel="2">
      <c r="B325" s="2035">
        <v>7</v>
      </c>
      <c r="C325" s="2035" t="str">
        <f t="shared" si="47"/>
        <v>-</v>
      </c>
      <c r="D325" s="1051">
        <f t="shared" si="48"/>
        <v>3</v>
      </c>
      <c r="E325" s="1051" t="str">
        <f>IF(COUNTIF(E$318:E324,F325)&gt;0,"",F325)</f>
        <v/>
      </c>
      <c r="F325" s="1054" t="str">
        <f t="shared" si="49"/>
        <v/>
      </c>
      <c r="G325" s="1051" t="str">
        <f t="shared" si="50"/>
        <v/>
      </c>
      <c r="I325" s="1100"/>
      <c r="J325" s="1048"/>
      <c r="K325" s="1048"/>
      <c r="L325" s="1048"/>
      <c r="M325" s="2146"/>
      <c r="N325" s="1048"/>
      <c r="O325" s="1048"/>
      <c r="P325" s="1048"/>
      <c r="Q325" s="1048"/>
      <c r="R325" s="1048"/>
      <c r="S325" s="1048"/>
      <c r="T325" s="1048"/>
      <c r="U325" s="1102"/>
    </row>
    <row r="326" spans="2:21" hidden="1" outlineLevel="2">
      <c r="B326" s="2035">
        <v>8</v>
      </c>
      <c r="C326" s="2035" t="str">
        <f t="shared" si="47"/>
        <v>-</v>
      </c>
      <c r="D326" s="1051">
        <f t="shared" si="48"/>
        <v>3</v>
      </c>
      <c r="E326" s="1051" t="str">
        <f>IF(COUNTIF(E$318:E325,F326)&gt;0,"",F326)</f>
        <v/>
      </c>
      <c r="F326" s="1054" t="str">
        <f t="shared" si="49"/>
        <v/>
      </c>
      <c r="G326" s="1051" t="str">
        <f t="shared" si="50"/>
        <v/>
      </c>
      <c r="I326" s="1100"/>
      <c r="J326" s="1048"/>
      <c r="K326" s="1048"/>
      <c r="L326" s="1048"/>
      <c r="M326" s="2146"/>
      <c r="N326" s="1048"/>
      <c r="O326" s="1048"/>
      <c r="P326" s="1048"/>
      <c r="Q326" s="1048"/>
      <c r="R326" s="1048"/>
      <c r="S326" s="1048"/>
      <c r="T326" s="1048"/>
      <c r="U326" s="1102"/>
    </row>
    <row r="327" spans="2:21" hidden="1" outlineLevel="2">
      <c r="B327" s="2035">
        <v>9</v>
      </c>
      <c r="C327" s="2035" t="str">
        <f t="shared" si="47"/>
        <v>-</v>
      </c>
      <c r="D327" s="1051">
        <f t="shared" si="48"/>
        <v>3</v>
      </c>
      <c r="E327" s="1051" t="str">
        <f>IF(COUNTIF(E$318:E326,F327)&gt;0,"",F327)</f>
        <v/>
      </c>
      <c r="F327" s="1054" t="str">
        <f t="shared" si="49"/>
        <v/>
      </c>
      <c r="G327" s="1051" t="str">
        <f t="shared" si="50"/>
        <v/>
      </c>
      <c r="I327" s="1100"/>
      <c r="J327" s="1048"/>
      <c r="K327" s="1048"/>
      <c r="L327" s="1048"/>
      <c r="M327" s="2146"/>
      <c r="N327" s="1048"/>
      <c r="O327" s="1048"/>
      <c r="P327" s="1048"/>
      <c r="Q327" s="1048"/>
      <c r="R327" s="1048"/>
      <c r="S327" s="1048"/>
      <c r="T327" s="1048"/>
      <c r="U327" s="1102"/>
    </row>
    <row r="328" spans="2:21" hidden="1" outlineLevel="2">
      <c r="B328" s="2035">
        <v>10</v>
      </c>
      <c r="C328" s="2035" t="str">
        <f t="shared" si="47"/>
        <v>-</v>
      </c>
      <c r="D328" s="1051">
        <f t="shared" si="48"/>
        <v>3</v>
      </c>
      <c r="E328" s="1051" t="str">
        <f>IF(COUNTIF(E$318:E327,F328)&gt;0,"",F328)</f>
        <v/>
      </c>
      <c r="F328" s="1054" t="str">
        <f t="shared" si="49"/>
        <v/>
      </c>
      <c r="G328" s="1051" t="str">
        <f t="shared" si="50"/>
        <v/>
      </c>
      <c r="I328" s="1100"/>
      <c r="J328" s="1048"/>
      <c r="K328" s="1048"/>
      <c r="L328" s="1048"/>
      <c r="M328" s="2146"/>
      <c r="N328" s="1048"/>
      <c r="O328" s="1048"/>
      <c r="P328" s="1048"/>
      <c r="Q328" s="1048"/>
      <c r="R328" s="1048"/>
      <c r="S328" s="1048"/>
      <c r="T328" s="1048"/>
      <c r="U328" s="1102"/>
    </row>
    <row r="329" spans="2:21" hidden="1" outlineLevel="2">
      <c r="B329" s="2035">
        <v>11</v>
      </c>
      <c r="C329" s="2035" t="str">
        <f t="shared" si="47"/>
        <v>-</v>
      </c>
      <c r="D329" s="1051">
        <f t="shared" si="48"/>
        <v>3</v>
      </c>
      <c r="E329" s="1051" t="str">
        <f>IF(COUNTIF(E$318:E328,F329)&gt;0,"",F329)</f>
        <v/>
      </c>
      <c r="F329" s="1054" t="str">
        <f t="shared" si="49"/>
        <v/>
      </c>
      <c r="G329" s="1051" t="str">
        <f t="shared" si="50"/>
        <v/>
      </c>
      <c r="I329" s="1100"/>
      <c r="J329" s="1048"/>
      <c r="K329" s="1048"/>
      <c r="L329" s="1048"/>
      <c r="M329" s="2146"/>
      <c r="N329" s="1048"/>
      <c r="O329" s="1048"/>
      <c r="P329" s="1048"/>
      <c r="Q329" s="1048"/>
      <c r="R329" s="1048"/>
      <c r="S329" s="1048"/>
      <c r="T329" s="1048"/>
      <c r="U329" s="1102"/>
    </row>
    <row r="330" spans="2:21" hidden="1" outlineLevel="2">
      <c r="B330" s="2035">
        <v>12</v>
      </c>
      <c r="C330" s="2035" t="str">
        <f t="shared" si="47"/>
        <v>-</v>
      </c>
      <c r="D330" s="1051">
        <f t="shared" si="48"/>
        <v>3</v>
      </c>
      <c r="E330" s="1051" t="str">
        <f>IF(COUNTIF(E$318:E329,F330)&gt;0,"",F330)</f>
        <v/>
      </c>
      <c r="F330" s="1054" t="str">
        <f t="shared" si="49"/>
        <v/>
      </c>
      <c r="G330" s="1051" t="str">
        <f t="shared" si="50"/>
        <v/>
      </c>
      <c r="I330" s="1100"/>
      <c r="J330" s="1048"/>
      <c r="K330" s="1048"/>
      <c r="L330" s="1048"/>
      <c r="M330" s="2146"/>
      <c r="N330" s="1048"/>
      <c r="O330" s="1048"/>
      <c r="P330" s="1048"/>
      <c r="Q330" s="1048"/>
      <c r="R330" s="1048"/>
      <c r="S330" s="1048"/>
      <c r="T330" s="1048"/>
      <c r="U330" s="1102"/>
    </row>
    <row r="331" spans="2:21" ht="13.2" hidden="1" outlineLevel="1">
      <c r="B331" s="2362"/>
      <c r="C331" s="2362"/>
      <c r="D331" s="1045"/>
      <c r="E331" s="1045"/>
      <c r="F331" s="1046"/>
      <c r="G331" s="1045"/>
      <c r="I331" s="1746"/>
      <c r="J331" s="2358"/>
      <c r="K331" s="2358"/>
      <c r="L331" s="2358"/>
      <c r="M331" s="2358"/>
      <c r="N331" s="2358"/>
      <c r="O331" s="2358"/>
      <c r="P331" s="2358"/>
      <c r="Q331" s="2358"/>
      <c r="R331" s="2358"/>
      <c r="S331" s="2358"/>
      <c r="T331" s="2358"/>
      <c r="U331" s="2063"/>
    </row>
    <row r="332" spans="2:21" ht="13.2" hidden="1" outlineLevel="1" collapsed="1">
      <c r="B332" s="3156" t="s">
        <v>4918</v>
      </c>
      <c r="C332" s="3156"/>
      <c r="D332" s="1051">
        <f t="shared" ref="D332:D352" si="51">D331+IF(LEN(E332)&gt;0,1,0)</f>
        <v>0</v>
      </c>
      <c r="E332" s="1051" t="str">
        <f>IF(COUNTIF(E$318:E331,F332)&gt;0,"",F332)</f>
        <v/>
      </c>
      <c r="F332" s="1054" t="str">
        <f t="shared" ref="F332:F352" si="52">IF(I332&lt;&gt;"",I332&amp;IF(L332&lt;&gt;"",", "&amp;L332,"")&amp;IF(K332&lt;&gt;"",", "&amp;K332,""),"")</f>
        <v/>
      </c>
      <c r="G332" s="1051" t="str">
        <f t="shared" ref="G332:G352" si="53">IF(F332&lt;&gt;"",F332&amp;IF(J332&lt;&gt;"","; "&amp;J332&amp;IF(N332&lt;&gt;"",", "&amp;N332,),""),"")</f>
        <v/>
      </c>
      <c r="I332" s="1746"/>
      <c r="J332" s="2358"/>
      <c r="K332" s="2358"/>
      <c r="L332" s="2358"/>
      <c r="M332" s="2358"/>
      <c r="N332" s="2358"/>
      <c r="O332" s="2358"/>
      <c r="P332" s="2358"/>
      <c r="Q332" s="2358"/>
      <c r="R332" s="2358"/>
      <c r="S332" s="2358"/>
      <c r="T332" s="2358"/>
      <c r="U332" s="2063"/>
    </row>
    <row r="333" spans="2:21" ht="12" hidden="1" customHeight="1" outlineLevel="2">
      <c r="B333" s="2359">
        <v>1</v>
      </c>
      <c r="C333" s="2109" t="str">
        <f t="shared" ref="C333:C343" si="54">IF(ISNA(VLOOKUP(B333,$D$332:$E$350,2,FALSE)),"-",VLOOKUP(B333,$D$332:$E$350,2,FALSE))</f>
        <v>Aluminium - Fin de vie moyenne - Impacts, France continentale, Base Carbone</v>
      </c>
      <c r="D333" s="1051">
        <f t="shared" si="51"/>
        <v>1</v>
      </c>
      <c r="E333" s="1051" t="str">
        <f>IF(COUNTIF(E$332:E332,F333)&gt;0,"",F333)</f>
        <v>Aluminium - Fin de vie moyenne - Impacts, France continentale, Base Carbone</v>
      </c>
      <c r="F333" s="1054" t="str">
        <f t="shared" si="52"/>
        <v>Aluminium - Fin de vie moyenne - Impacts, France continentale, Base Carbone</v>
      </c>
      <c r="G333" s="1051" t="str">
        <f t="shared" si="53"/>
        <v>Aluminium - Fin de vie moyenne - Impacts, France continentale, Base Carbone; kgCO2e/tonne</v>
      </c>
      <c r="I333" s="2018" t="s">
        <v>4920</v>
      </c>
      <c r="J333" s="1135" t="s">
        <v>1585</v>
      </c>
      <c r="K333" s="1135" t="s">
        <v>1567</v>
      </c>
      <c r="L333" s="1135" t="s">
        <v>1571</v>
      </c>
      <c r="M333" s="2522">
        <v>0.2</v>
      </c>
      <c r="N333" s="1135"/>
      <c r="O333" s="1135">
        <v>562</v>
      </c>
      <c r="P333" s="2017">
        <v>562</v>
      </c>
      <c r="Q333" s="2017">
        <v>0</v>
      </c>
      <c r="R333" s="2017">
        <v>0</v>
      </c>
      <c r="S333" s="2017">
        <v>0</v>
      </c>
      <c r="T333" s="2017">
        <v>0</v>
      </c>
      <c r="U333" s="2042">
        <v>0</v>
      </c>
    </row>
    <row r="334" spans="2:21" ht="12" hidden="1" customHeight="1" outlineLevel="2">
      <c r="B334" s="2503">
        <v>2</v>
      </c>
      <c r="C334" s="2109" t="str">
        <f t="shared" si="54"/>
        <v>Cuivre - Fin de vie moyenne - Impacts, France continentale, Base Carbone</v>
      </c>
      <c r="D334" s="1051">
        <f t="shared" ref="D334:D342" si="55">D333+IF(LEN(E334)&gt;0,1,0)</f>
        <v>2</v>
      </c>
      <c r="E334" s="1051" t="str">
        <f>IF(COUNTIF(E$332:E333,F334)&gt;0,"",F334)</f>
        <v>Cuivre - Fin de vie moyenne - Impacts, France continentale, Base Carbone</v>
      </c>
      <c r="F334" s="1054" t="str">
        <f t="shared" ref="F334:F342" si="56">IF(I334&lt;&gt;"",I334&amp;IF(L334&lt;&gt;"",", "&amp;L334,"")&amp;IF(K334&lt;&gt;"",", "&amp;K334,""),"")</f>
        <v>Cuivre - Fin de vie moyenne - Impacts, France continentale, Base Carbone</v>
      </c>
      <c r="G334" s="1051" t="str">
        <f t="shared" ref="G334:G342" si="57">IF(F334&lt;&gt;"",F334&amp;IF(J334&lt;&gt;"","; "&amp;J334&amp;IF(N334&lt;&gt;"",", "&amp;N334,),""),"")</f>
        <v>Cuivre - Fin de vie moyenne - Impacts, France continentale, Base Carbone; kgCO2e/tonne</v>
      </c>
      <c r="I334" s="2018" t="s">
        <v>4921</v>
      </c>
      <c r="J334" s="1135" t="s">
        <v>1585</v>
      </c>
      <c r="K334" s="1135" t="s">
        <v>1567</v>
      </c>
      <c r="L334" s="1135" t="s">
        <v>1571</v>
      </c>
      <c r="M334" s="2522">
        <v>0.2</v>
      </c>
      <c r="N334" s="1135"/>
      <c r="O334" s="1135">
        <v>1304</v>
      </c>
      <c r="P334" s="2017">
        <v>1304</v>
      </c>
      <c r="Q334" s="2017">
        <v>0</v>
      </c>
      <c r="R334" s="2017">
        <v>0</v>
      </c>
      <c r="S334" s="2017">
        <v>0</v>
      </c>
      <c r="T334" s="2017">
        <v>0</v>
      </c>
      <c r="U334" s="2042">
        <v>0</v>
      </c>
    </row>
    <row r="335" spans="2:21" ht="12" hidden="1" customHeight="1" outlineLevel="2">
      <c r="B335" s="2503">
        <v>3</v>
      </c>
      <c r="C335" s="2109" t="str">
        <f t="shared" si="54"/>
        <v>Métaux - Fin de vie hors recyclage - Impacts, France continentale, Base Carbone</v>
      </c>
      <c r="D335" s="1051">
        <f t="shared" si="55"/>
        <v>3</v>
      </c>
      <c r="E335" s="1051" t="str">
        <f>IF(COUNTIF(E$332:E334,F335)&gt;0,"",F335)</f>
        <v>Métaux - Fin de vie hors recyclage - Impacts, France continentale, Base Carbone</v>
      </c>
      <c r="F335" s="1054" t="str">
        <f t="shared" si="56"/>
        <v>Métaux - Fin de vie hors recyclage - Impacts, France continentale, Base Carbone</v>
      </c>
      <c r="G335" s="1051" t="str">
        <f t="shared" si="57"/>
        <v>Métaux - Fin de vie hors recyclage - Impacts, France continentale, Base Carbone; kgCO2e/tonne</v>
      </c>
      <c r="I335" s="2018" t="s">
        <v>4922</v>
      </c>
      <c r="J335" s="1135" t="s">
        <v>1585</v>
      </c>
      <c r="K335" s="1135" t="s">
        <v>1567</v>
      </c>
      <c r="L335" s="1135" t="s">
        <v>1571</v>
      </c>
      <c r="M335" s="2522">
        <v>0.2</v>
      </c>
      <c r="N335" s="1135"/>
      <c r="O335" s="1135">
        <v>8</v>
      </c>
      <c r="P335" s="2017">
        <v>8</v>
      </c>
      <c r="Q335" s="2017">
        <v>0</v>
      </c>
      <c r="R335" s="2017">
        <v>0</v>
      </c>
      <c r="S335" s="2017">
        <v>0</v>
      </c>
      <c r="T335" s="2017">
        <v>0</v>
      </c>
      <c r="U335" s="2042">
        <v>0</v>
      </c>
    </row>
    <row r="336" spans="2:21" ht="12" hidden="1" customHeight="1" outlineLevel="2">
      <c r="B336" s="2503">
        <v>4</v>
      </c>
      <c r="C336" s="2109" t="str">
        <f t="shared" si="54"/>
        <v>Métaux ferreux - Fin de vie moyenne - Impacts, France continentale, Base Carbone</v>
      </c>
      <c r="D336" s="1051">
        <f t="shared" si="55"/>
        <v>4</v>
      </c>
      <c r="E336" s="1051" t="str">
        <f>IF(COUNTIF(E$332:E335,F336)&gt;0,"",F336)</f>
        <v>Métaux ferreux - Fin de vie moyenne - Impacts, France continentale, Base Carbone</v>
      </c>
      <c r="F336" s="1054" t="str">
        <f t="shared" si="56"/>
        <v>Métaux ferreux - Fin de vie moyenne - Impacts, France continentale, Base Carbone</v>
      </c>
      <c r="G336" s="1051" t="str">
        <f t="shared" si="57"/>
        <v>Métaux ferreux - Fin de vie moyenne - Impacts, France continentale, Base Carbone; kgCO2e/tonne</v>
      </c>
      <c r="I336" s="2018" t="s">
        <v>4923</v>
      </c>
      <c r="J336" s="1135" t="s">
        <v>1585</v>
      </c>
      <c r="K336" s="1135" t="s">
        <v>1567</v>
      </c>
      <c r="L336" s="1135" t="s">
        <v>1571</v>
      </c>
      <c r="M336" s="2522">
        <v>0.2</v>
      </c>
      <c r="N336" s="1135"/>
      <c r="O336" s="1135">
        <v>938</v>
      </c>
      <c r="P336" s="2017">
        <v>938</v>
      </c>
      <c r="Q336" s="2017">
        <v>0</v>
      </c>
      <c r="R336" s="2017">
        <v>0</v>
      </c>
      <c r="S336" s="2017">
        <v>0</v>
      </c>
      <c r="T336" s="2017">
        <v>0</v>
      </c>
      <c r="U336" s="2042">
        <v>0</v>
      </c>
    </row>
    <row r="337" spans="2:21" ht="12" hidden="1" customHeight="1" outlineLevel="2">
      <c r="B337" s="2503">
        <v>5</v>
      </c>
      <c r="C337" s="2109" t="str">
        <f t="shared" si="54"/>
        <v>-</v>
      </c>
      <c r="D337" s="1051">
        <f t="shared" si="55"/>
        <v>4</v>
      </c>
      <c r="E337" s="1051" t="str">
        <f>IF(COUNTIF(E$332:E336,F337)&gt;0,"",F337)</f>
        <v/>
      </c>
      <c r="F337" s="1054" t="str">
        <f t="shared" si="56"/>
        <v/>
      </c>
      <c r="G337" s="1051" t="str">
        <f t="shared" si="57"/>
        <v/>
      </c>
      <c r="I337" s="1100"/>
      <c r="J337" s="1048"/>
      <c r="K337" s="1048"/>
      <c r="L337" s="1048"/>
      <c r="M337" s="2146"/>
      <c r="N337" s="1048"/>
      <c r="O337" s="1048"/>
      <c r="P337" s="1048"/>
      <c r="Q337" s="1048"/>
      <c r="R337" s="1048"/>
      <c r="S337" s="1048"/>
      <c r="T337" s="1048"/>
      <c r="U337" s="1102"/>
    </row>
    <row r="338" spans="2:21" hidden="1" outlineLevel="2">
      <c r="B338" s="2503">
        <v>6</v>
      </c>
      <c r="C338" s="2109" t="str">
        <f t="shared" si="54"/>
        <v>-</v>
      </c>
      <c r="D338" s="1051">
        <f t="shared" si="55"/>
        <v>4</v>
      </c>
      <c r="E338" s="1051" t="str">
        <f>IF(COUNTIF(E$332:E337,F338)&gt;0,"",F338)</f>
        <v/>
      </c>
      <c r="F338" s="1054" t="str">
        <f t="shared" si="56"/>
        <v/>
      </c>
      <c r="G338" s="1051" t="str">
        <f t="shared" si="57"/>
        <v/>
      </c>
      <c r="I338" s="1100"/>
      <c r="J338" s="1048"/>
      <c r="K338" s="1048"/>
      <c r="L338" s="1048"/>
      <c r="M338" s="2146"/>
      <c r="N338" s="1135"/>
      <c r="O338" s="1135"/>
      <c r="P338" s="1135"/>
      <c r="Q338" s="1135"/>
      <c r="R338" s="1135"/>
      <c r="S338" s="1135"/>
      <c r="T338" s="1135"/>
      <c r="U338" s="1102"/>
    </row>
    <row r="339" spans="2:21" hidden="1" outlineLevel="2">
      <c r="B339" s="2503">
        <v>7</v>
      </c>
      <c r="C339" s="2109" t="str">
        <f t="shared" si="54"/>
        <v>-</v>
      </c>
      <c r="D339" s="1051">
        <f t="shared" si="55"/>
        <v>4</v>
      </c>
      <c r="E339" s="1051" t="str">
        <f>IF(COUNTIF(E$332:E338,F339)&gt;0,"",F339)</f>
        <v/>
      </c>
      <c r="F339" s="1054" t="str">
        <f t="shared" si="56"/>
        <v/>
      </c>
      <c r="G339" s="1051" t="str">
        <f t="shared" si="57"/>
        <v/>
      </c>
      <c r="I339" s="1100"/>
      <c r="J339" s="1048"/>
      <c r="K339" s="1048"/>
      <c r="L339" s="1048"/>
      <c r="M339" s="2146"/>
      <c r="N339" s="1048"/>
      <c r="O339" s="1048"/>
      <c r="P339" s="1048"/>
      <c r="Q339" s="1048"/>
      <c r="R339" s="1048"/>
      <c r="S339" s="1048"/>
      <c r="T339" s="1048"/>
      <c r="U339" s="1102"/>
    </row>
    <row r="340" spans="2:21" hidden="1" outlineLevel="2">
      <c r="B340" s="2503">
        <v>8</v>
      </c>
      <c r="C340" s="2109" t="str">
        <f t="shared" si="54"/>
        <v>-</v>
      </c>
      <c r="D340" s="1051">
        <f t="shared" si="55"/>
        <v>4</v>
      </c>
      <c r="E340" s="1051" t="str">
        <f>IF(COUNTIF(E$332:E339,F340)&gt;0,"",F340)</f>
        <v/>
      </c>
      <c r="F340" s="1054" t="str">
        <f t="shared" si="56"/>
        <v/>
      </c>
      <c r="G340" s="1051" t="str">
        <f t="shared" si="57"/>
        <v/>
      </c>
      <c r="I340" s="1100"/>
      <c r="J340" s="1048"/>
      <c r="K340" s="1048"/>
      <c r="L340" s="1048"/>
      <c r="M340" s="2146"/>
      <c r="N340" s="1048"/>
      <c r="O340" s="1048"/>
      <c r="P340" s="1048"/>
      <c r="Q340" s="1048"/>
      <c r="R340" s="1048"/>
      <c r="S340" s="1048"/>
      <c r="T340" s="1048"/>
      <c r="U340" s="1102"/>
    </row>
    <row r="341" spans="2:21" hidden="1" outlineLevel="2">
      <c r="B341" s="2503">
        <v>9</v>
      </c>
      <c r="C341" s="2109" t="str">
        <f t="shared" si="54"/>
        <v>-</v>
      </c>
      <c r="D341" s="1051">
        <f t="shared" si="55"/>
        <v>4</v>
      </c>
      <c r="E341" s="1051" t="str">
        <f>IF(COUNTIF(E$332:E340,F341)&gt;0,"",F341)</f>
        <v/>
      </c>
      <c r="F341" s="1054" t="str">
        <f t="shared" si="56"/>
        <v/>
      </c>
      <c r="G341" s="1051" t="str">
        <f t="shared" si="57"/>
        <v/>
      </c>
      <c r="I341" s="1100"/>
      <c r="J341" s="1048"/>
      <c r="K341" s="1048"/>
      <c r="L341" s="1048"/>
      <c r="M341" s="2146"/>
      <c r="N341" s="1048"/>
      <c r="O341" s="1048"/>
      <c r="P341" s="1048"/>
      <c r="Q341" s="1048"/>
      <c r="R341" s="1048"/>
      <c r="S341" s="1048"/>
      <c r="T341" s="1048"/>
      <c r="U341" s="1102"/>
    </row>
    <row r="342" spans="2:21" hidden="1" outlineLevel="2">
      <c r="B342" s="2503">
        <v>10</v>
      </c>
      <c r="C342" s="2109" t="str">
        <f t="shared" si="54"/>
        <v>-</v>
      </c>
      <c r="D342" s="1051">
        <f t="shared" si="55"/>
        <v>4</v>
      </c>
      <c r="E342" s="1051" t="str">
        <f>IF(COUNTIF(E$332:E341,F342)&gt;0,"",F342)</f>
        <v/>
      </c>
      <c r="F342" s="1054" t="str">
        <f t="shared" si="56"/>
        <v/>
      </c>
      <c r="G342" s="1051" t="str">
        <f t="shared" si="57"/>
        <v/>
      </c>
      <c r="I342" s="1100"/>
      <c r="J342" s="1048"/>
      <c r="K342" s="1048"/>
      <c r="L342" s="1048"/>
      <c r="M342" s="2146"/>
      <c r="N342" s="1048"/>
      <c r="O342" s="1048"/>
      <c r="P342" s="1048"/>
      <c r="Q342" s="1048"/>
      <c r="R342" s="1048"/>
      <c r="S342" s="1048"/>
      <c r="T342" s="1048"/>
      <c r="U342" s="1102"/>
    </row>
    <row r="343" spans="2:21" hidden="1" outlineLevel="2">
      <c r="B343" s="2503">
        <v>11</v>
      </c>
      <c r="C343" s="2109" t="str">
        <f t="shared" si="54"/>
        <v>-</v>
      </c>
      <c r="D343" s="1051"/>
      <c r="E343" s="1051"/>
      <c r="F343" s="1054"/>
      <c r="G343" s="1051"/>
      <c r="I343" s="1100"/>
      <c r="J343" s="1048"/>
      <c r="K343" s="1048"/>
      <c r="L343" s="1048"/>
      <c r="M343" s="2146"/>
      <c r="N343" s="1048"/>
      <c r="O343" s="1048"/>
      <c r="P343" s="1048"/>
      <c r="Q343" s="1048"/>
      <c r="R343" s="1048"/>
      <c r="S343" s="1048"/>
      <c r="T343" s="1048"/>
      <c r="U343" s="1102"/>
    </row>
    <row r="344" spans="2:21" hidden="1" outlineLevel="2">
      <c r="B344" s="2503"/>
      <c r="C344" s="2109"/>
      <c r="D344" s="1051"/>
      <c r="E344" s="1051"/>
      <c r="F344" s="1054"/>
      <c r="G344" s="1051"/>
      <c r="I344" s="2018"/>
      <c r="J344" s="1135"/>
      <c r="K344" s="1135"/>
      <c r="L344" s="1135"/>
      <c r="M344" s="1135"/>
      <c r="N344" s="1135"/>
      <c r="O344" s="1135"/>
      <c r="P344" s="1135"/>
      <c r="Q344" s="1135"/>
      <c r="R344" s="1135"/>
      <c r="S344" s="1135"/>
      <c r="T344" s="1135"/>
      <c r="U344" s="2041"/>
    </row>
    <row r="345" spans="2:21" hidden="1" outlineLevel="2">
      <c r="B345" s="2503"/>
      <c r="C345" s="2109"/>
      <c r="D345" s="1051"/>
      <c r="E345" s="1051"/>
      <c r="F345" s="1054"/>
      <c r="G345" s="1051"/>
      <c r="I345" s="2018"/>
      <c r="J345" s="1135"/>
      <c r="K345" s="1135"/>
      <c r="L345" s="1135"/>
      <c r="M345" s="1134"/>
      <c r="N345" s="1135"/>
      <c r="O345" s="1135"/>
      <c r="P345" s="1135"/>
      <c r="Q345" s="1135"/>
      <c r="R345" s="1135"/>
      <c r="S345" s="1135"/>
      <c r="T345" s="1135"/>
      <c r="U345" s="2041"/>
    </row>
    <row r="346" spans="2:21" hidden="1" outlineLevel="2">
      <c r="B346" s="2503"/>
      <c r="C346" s="2109"/>
      <c r="D346" s="1051"/>
      <c r="E346" s="1051"/>
      <c r="F346" s="1054"/>
      <c r="G346" s="1051"/>
      <c r="I346" s="2018"/>
      <c r="J346" s="1135"/>
      <c r="K346" s="1135"/>
      <c r="L346" s="1135"/>
      <c r="M346" s="1134"/>
      <c r="N346" s="1135"/>
      <c r="O346" s="1135"/>
      <c r="P346" s="1135"/>
      <c r="Q346" s="1135"/>
      <c r="R346" s="1135"/>
      <c r="S346" s="1135"/>
      <c r="T346" s="1135"/>
      <c r="U346" s="2041"/>
    </row>
    <row r="347" spans="2:21" hidden="1" outlineLevel="2">
      <c r="B347" s="2503"/>
      <c r="C347" s="2109"/>
      <c r="D347" s="1051"/>
      <c r="E347" s="1051"/>
      <c r="F347" s="1054"/>
      <c r="G347" s="1051"/>
      <c r="I347" s="2018"/>
      <c r="J347" s="1135"/>
      <c r="K347" s="1135"/>
      <c r="L347" s="1135"/>
      <c r="M347" s="1134"/>
      <c r="N347" s="1135"/>
      <c r="O347" s="1135"/>
      <c r="P347" s="1135"/>
      <c r="Q347" s="1135"/>
      <c r="R347" s="1135"/>
      <c r="S347" s="1135"/>
      <c r="T347" s="1135"/>
      <c r="U347" s="2041"/>
    </row>
    <row r="348" spans="2:21" hidden="1" outlineLevel="2">
      <c r="B348" s="2503"/>
      <c r="C348" s="2109"/>
      <c r="D348" s="1051"/>
      <c r="E348" s="1051"/>
      <c r="F348" s="1054"/>
      <c r="G348" s="1051"/>
      <c r="I348" s="2018"/>
      <c r="J348" s="1135"/>
      <c r="K348" s="1135"/>
      <c r="L348" s="1135"/>
      <c r="M348" s="1134"/>
      <c r="N348" s="1135"/>
      <c r="O348" s="1135"/>
      <c r="P348" s="1135"/>
      <c r="Q348" s="1135"/>
      <c r="R348" s="1135"/>
      <c r="S348" s="1135"/>
      <c r="T348" s="1135"/>
      <c r="U348" s="2041"/>
    </row>
    <row r="349" spans="2:21" hidden="1" outlineLevel="2">
      <c r="B349" s="2503"/>
      <c r="C349" s="2109"/>
      <c r="D349" s="1051"/>
      <c r="E349" s="1051"/>
      <c r="F349" s="1054"/>
      <c r="G349" s="1051"/>
      <c r="I349" s="2018"/>
      <c r="J349" s="1135"/>
      <c r="K349" s="1135"/>
      <c r="L349" s="1135"/>
      <c r="M349" s="1134"/>
      <c r="N349" s="1135"/>
      <c r="O349" s="1135"/>
      <c r="P349" s="1135"/>
      <c r="Q349" s="1135"/>
      <c r="R349" s="1135"/>
      <c r="S349" s="1135"/>
      <c r="T349" s="1135"/>
      <c r="U349" s="2041"/>
    </row>
    <row r="350" spans="2:21" hidden="1" outlineLevel="2">
      <c r="B350" s="2359"/>
      <c r="C350" s="2109"/>
      <c r="D350" s="1051">
        <f>D342+IF(LEN(E350)&gt;0,1,0)</f>
        <v>4</v>
      </c>
      <c r="E350" s="1051" t="str">
        <f>IF(COUNTIF(E$332:E342,F350)&gt;0,"",F350)</f>
        <v/>
      </c>
      <c r="F350" s="1054" t="str">
        <f>IF(I347&lt;&gt;"",I347&amp;IF(L347&lt;&gt;"",", "&amp;L347,"")&amp;IF(K347&lt;&gt;"",", "&amp;K347,""),"")</f>
        <v/>
      </c>
      <c r="G350" s="1051" t="str">
        <f>IF(F350&lt;&gt;"",F350&amp;IF(J347&lt;&gt;"","; "&amp;J347&amp;IF(N347&lt;&gt;"",", "&amp;N347,),""),"")</f>
        <v/>
      </c>
      <c r="I350" s="1100"/>
      <c r="U350" s="1102"/>
    </row>
    <row r="351" spans="2:21" ht="13.2" hidden="1" outlineLevel="1">
      <c r="B351" s="2045"/>
      <c r="C351" s="2045"/>
      <c r="D351" s="1045"/>
      <c r="E351" s="1045"/>
      <c r="F351" s="1046"/>
      <c r="G351" s="1045"/>
      <c r="I351" s="1746"/>
      <c r="J351" s="2358"/>
      <c r="K351" s="2358"/>
      <c r="L351" s="2358"/>
      <c r="M351" s="2358"/>
      <c r="N351" s="2358"/>
      <c r="O351" s="2358"/>
      <c r="P351" s="2358"/>
      <c r="Q351" s="2358"/>
      <c r="R351" s="2358"/>
      <c r="S351" s="2358"/>
      <c r="T351" s="2358"/>
      <c r="U351" s="2063"/>
    </row>
    <row r="352" spans="2:21" ht="13.2" hidden="1" outlineLevel="1" collapsed="1">
      <c r="B352" s="3156" t="s">
        <v>4919</v>
      </c>
      <c r="C352" s="3156"/>
      <c r="D352" s="1051">
        <f t="shared" si="51"/>
        <v>0</v>
      </c>
      <c r="E352" s="1051" t="str">
        <f>IF(COUNTIF(E$318:E351,F352)&gt;0,"",F352)</f>
        <v/>
      </c>
      <c r="F352" s="1054" t="str">
        <f t="shared" si="52"/>
        <v/>
      </c>
      <c r="G352" s="1051" t="str">
        <f t="shared" si="53"/>
        <v/>
      </c>
      <c r="I352" s="1746"/>
      <c r="J352" s="2358"/>
      <c r="K352" s="2358"/>
      <c r="L352" s="2358"/>
      <c r="M352" s="2358"/>
      <c r="N352" s="2358"/>
      <c r="O352" s="2358"/>
      <c r="P352" s="2358"/>
      <c r="Q352" s="2358"/>
      <c r="R352" s="2358"/>
      <c r="S352" s="2358"/>
      <c r="T352" s="2358"/>
      <c r="U352" s="2063"/>
    </row>
    <row r="353" spans="2:21" hidden="1" outlineLevel="2">
      <c r="B353" s="2359">
        <v>1</v>
      </c>
      <c r="C353" s="2109" t="str">
        <f>IF(ISNA(VLOOKUP(B353,$D$353:$E$375,2,FALSE)),"-",VLOOKUP(B353,$D$353:$E$375,2,FALSE))</f>
        <v>Béton, briques, tuiles et céramiques - Fin de vie hors recyclage - Impacts, France continentale, Base Carbone</v>
      </c>
      <c r="D353" s="1051">
        <f>D352+IF(LEN(E353)&gt;0,1,0)</f>
        <v>1</v>
      </c>
      <c r="E353" s="1051" t="str">
        <f>IF(COUNTIF(E$352:E352,F353)&gt;0,"",F353)</f>
        <v>Béton, briques, tuiles et céramiques - Fin de vie hors recyclage - Impacts, France continentale, Base Carbone</v>
      </c>
      <c r="F353" s="1054" t="str">
        <f>IF(I353&lt;&gt;"",I353&amp;IF(L353&lt;&gt;"",", "&amp;L353,"")&amp;IF(K353&lt;&gt;"",", "&amp;K353,""),"")</f>
        <v>Béton, briques, tuiles et céramiques - Fin de vie hors recyclage - Impacts, France continentale, Base Carbone</v>
      </c>
      <c r="G353" s="1051" t="str">
        <f>IF(F353&lt;&gt;"",F353&amp;IF(J353&lt;&gt;"","; "&amp;J353&amp;IF(N353&lt;&gt;"",", "&amp;N353,),""),"")</f>
        <v>Béton, briques, tuiles et céramiques - Fin de vie hors recyclage - Impacts, France continentale, Base Carbone; kgCO2e/tonne</v>
      </c>
      <c r="I353" s="2018" t="s">
        <v>4924</v>
      </c>
      <c r="J353" s="1135" t="s">
        <v>1585</v>
      </c>
      <c r="K353" s="1135" t="s">
        <v>1567</v>
      </c>
      <c r="L353" s="1135" t="s">
        <v>1571</v>
      </c>
      <c r="M353" s="2517">
        <v>0.19</v>
      </c>
      <c r="N353" s="1135"/>
      <c r="O353" s="1135">
        <v>11</v>
      </c>
      <c r="P353" s="2017">
        <v>11</v>
      </c>
      <c r="Q353" s="2017">
        <v>0</v>
      </c>
      <c r="R353" s="2017">
        <v>0</v>
      </c>
      <c r="S353" s="2017">
        <v>0</v>
      </c>
      <c r="T353" s="2017">
        <v>0</v>
      </c>
      <c r="U353" s="2042">
        <v>0</v>
      </c>
    </row>
    <row r="354" spans="2:21" hidden="1" outlineLevel="2">
      <c r="B354" s="2359">
        <v>2</v>
      </c>
      <c r="C354" s="2109" t="str">
        <f t="shared" ref="C354:C375" si="58">IF(ISNA(VLOOKUP(B354,$D$353:$E$375,2,FALSE)),"-",VLOOKUP(B354,$D$353:$E$375,2,FALSE))</f>
        <v>Béton, briques, tuiles et céramiques - Fin de vie moyenne - Impacts, France continentale, Base Carbone</v>
      </c>
      <c r="D354" s="1051">
        <f t="shared" ref="D354:D375" si="59">D353+IF(LEN(E354)&gt;0,1,0)</f>
        <v>2</v>
      </c>
      <c r="E354" s="1051" t="str">
        <f>IF(COUNTIF(E$352:E353,F354)&gt;0,"",F354)</f>
        <v>Béton, briques, tuiles et céramiques - Fin de vie moyenne - Impacts, France continentale, Base Carbone</v>
      </c>
      <c r="F354" s="1054" t="str">
        <f t="shared" ref="F354:F375" si="60">IF(I354&lt;&gt;"",I354&amp;IF(L354&lt;&gt;"",", "&amp;L354,"")&amp;IF(K354&lt;&gt;"",", "&amp;K354,""),"")</f>
        <v>Béton, briques, tuiles et céramiques - Fin de vie moyenne - Impacts, France continentale, Base Carbone</v>
      </c>
      <c r="G354" s="1051" t="str">
        <f t="shared" ref="G354:G375" si="61">IF(F354&lt;&gt;"",F354&amp;IF(J354&lt;&gt;"","; "&amp;J354&amp;IF(N354&lt;&gt;"",", "&amp;N354,),""),"")</f>
        <v>Béton, briques, tuiles et céramiques - Fin de vie moyenne - Impacts, France continentale, Base Carbone; kgCO2e/tonne</v>
      </c>
      <c r="I354" s="2018" t="s">
        <v>4925</v>
      </c>
      <c r="J354" s="1135" t="s">
        <v>1585</v>
      </c>
      <c r="K354" s="1135" t="s">
        <v>1567</v>
      </c>
      <c r="L354" s="1135" t="s">
        <v>1571</v>
      </c>
      <c r="M354" s="1134">
        <v>0.19</v>
      </c>
      <c r="N354" s="1135"/>
      <c r="O354" s="1135">
        <v>26</v>
      </c>
      <c r="P354" s="2017">
        <v>26</v>
      </c>
      <c r="Q354" s="2017">
        <v>0</v>
      </c>
      <c r="R354" s="2017">
        <v>0</v>
      </c>
      <c r="S354" s="2017">
        <v>0</v>
      </c>
      <c r="T354" s="2017">
        <v>0</v>
      </c>
      <c r="U354" s="2042">
        <v>0</v>
      </c>
    </row>
    <row r="355" spans="2:21" hidden="1" outlineLevel="2">
      <c r="B355" s="2359">
        <v>3</v>
      </c>
      <c r="C355" s="2109" t="str">
        <f t="shared" si="58"/>
        <v>Bois de classe B - Fin de vie hors recyclage - Impacts, France continentale, Base Carbone</v>
      </c>
      <c r="D355" s="1051">
        <f t="shared" si="59"/>
        <v>3</v>
      </c>
      <c r="E355" s="1051" t="str">
        <f>IF(COUNTIF(E$352:E354,F355)&gt;0,"",F355)</f>
        <v>Bois de classe B - Fin de vie hors recyclage - Impacts, France continentale, Base Carbone</v>
      </c>
      <c r="F355" s="1054" t="str">
        <f t="shared" si="60"/>
        <v>Bois de classe B - Fin de vie hors recyclage - Impacts, France continentale, Base Carbone</v>
      </c>
      <c r="G355" s="1051" t="str">
        <f t="shared" si="61"/>
        <v>Bois de classe B - Fin de vie hors recyclage - Impacts, France continentale, Base Carbone; kgCO2e/tonne</v>
      </c>
      <c r="I355" s="2018" t="s">
        <v>4926</v>
      </c>
      <c r="J355" s="1135" t="s">
        <v>1585</v>
      </c>
      <c r="K355" s="1135" t="s">
        <v>1567</v>
      </c>
      <c r="L355" s="1135" t="s">
        <v>1571</v>
      </c>
      <c r="M355" s="2517">
        <v>0.2</v>
      </c>
      <c r="N355" s="1135"/>
      <c r="O355" s="1135">
        <v>23</v>
      </c>
      <c r="P355" s="2017">
        <v>23</v>
      </c>
      <c r="Q355" s="2017">
        <v>0</v>
      </c>
      <c r="R355" s="2017">
        <v>0</v>
      </c>
      <c r="S355" s="2017">
        <v>0</v>
      </c>
      <c r="T355" s="2017">
        <v>0</v>
      </c>
      <c r="U355" s="2042">
        <v>0</v>
      </c>
    </row>
    <row r="356" spans="2:21" hidden="1" outlineLevel="2">
      <c r="B356" s="2359">
        <v>4</v>
      </c>
      <c r="C356" s="2109" t="str">
        <f t="shared" si="58"/>
        <v>Bois de classe B - Fin de vie moyenne - Impacts, France continentale, Base Carbone</v>
      </c>
      <c r="D356" s="1051">
        <f t="shared" si="59"/>
        <v>4</v>
      </c>
      <c r="E356" s="1051" t="str">
        <f>IF(COUNTIF(E$352:E355,F356)&gt;0,"",F356)</f>
        <v>Bois de classe B - Fin de vie moyenne - Impacts, France continentale, Base Carbone</v>
      </c>
      <c r="F356" s="1054" t="str">
        <f t="shared" si="60"/>
        <v>Bois de classe B - Fin de vie moyenne - Impacts, France continentale, Base Carbone</v>
      </c>
      <c r="G356" s="1051" t="str">
        <f t="shared" si="61"/>
        <v>Bois de classe B - Fin de vie moyenne - Impacts, France continentale, Base Carbone; kgCO2e/tonne</v>
      </c>
      <c r="I356" s="2018" t="s">
        <v>4927</v>
      </c>
      <c r="J356" s="1135" t="s">
        <v>1585</v>
      </c>
      <c r="K356" s="1135" t="s">
        <v>1567</v>
      </c>
      <c r="L356" s="1135" t="s">
        <v>1571</v>
      </c>
      <c r="M356" s="1136">
        <v>0.2</v>
      </c>
      <c r="N356" s="1135"/>
      <c r="O356" s="1135">
        <v>122</v>
      </c>
      <c r="P356" s="2017">
        <v>122</v>
      </c>
      <c r="Q356" s="2017">
        <v>0</v>
      </c>
      <c r="R356" s="2017">
        <v>0</v>
      </c>
      <c r="S356" s="2017">
        <v>0</v>
      </c>
      <c r="T356" s="2017">
        <v>0</v>
      </c>
      <c r="U356" s="2042">
        <v>0</v>
      </c>
    </row>
    <row r="357" spans="2:21" hidden="1" outlineLevel="2">
      <c r="B357" s="2359">
        <v>5</v>
      </c>
      <c r="C357" s="2109" t="str">
        <f t="shared" si="58"/>
        <v>Déchets inertes en mélange (Gravats) - Fin de vie hors recyclage - Impacts, France continentale, Base Carbone</v>
      </c>
      <c r="D357" s="1051">
        <f t="shared" si="59"/>
        <v>5</v>
      </c>
      <c r="E357" s="1051" t="str">
        <f>IF(COUNTIF(E$352:E356,F357)&gt;0,"",F357)</f>
        <v>Déchets inertes en mélange (Gravats) - Fin de vie hors recyclage - Impacts, France continentale, Base Carbone</v>
      </c>
      <c r="F357" s="1054" t="str">
        <f t="shared" si="60"/>
        <v>Déchets inertes en mélange (Gravats) - Fin de vie hors recyclage - Impacts, France continentale, Base Carbone</v>
      </c>
      <c r="G357" s="1051" t="str">
        <f t="shared" si="61"/>
        <v>Déchets inertes en mélange (Gravats) - Fin de vie hors recyclage - Impacts, France continentale, Base Carbone; kgCO2e/tonne</v>
      </c>
      <c r="I357" s="2018" t="s">
        <v>4928</v>
      </c>
      <c r="J357" s="1135" t="s">
        <v>1585</v>
      </c>
      <c r="K357" s="1135" t="s">
        <v>1567</v>
      </c>
      <c r="L357" s="1135" t="s">
        <v>1571</v>
      </c>
      <c r="M357" s="2517">
        <v>0.26</v>
      </c>
      <c r="N357" s="1135"/>
      <c r="O357" s="1135">
        <v>9</v>
      </c>
      <c r="P357" s="2017">
        <v>9</v>
      </c>
      <c r="Q357" s="2017">
        <v>0</v>
      </c>
      <c r="R357" s="2017">
        <v>0</v>
      </c>
      <c r="S357" s="2017">
        <v>0</v>
      </c>
      <c r="T357" s="2017">
        <v>0</v>
      </c>
      <c r="U357" s="2042">
        <v>0</v>
      </c>
    </row>
    <row r="358" spans="2:21" hidden="1" outlineLevel="2">
      <c r="B358" s="2359">
        <v>6</v>
      </c>
      <c r="C358" s="2109" t="str">
        <f t="shared" si="58"/>
        <v>Déchets inertes en mélange (Gravats) - Fin de vie moyenne - Impacts, France continentale, Base Carbone</v>
      </c>
      <c r="D358" s="1051">
        <f t="shared" si="59"/>
        <v>6</v>
      </c>
      <c r="E358" s="1051" t="str">
        <f>IF(COUNTIF(E$352:E357,F358)&gt;0,"",F358)</f>
        <v>Déchets inertes en mélange (Gravats) - Fin de vie moyenne - Impacts, France continentale, Base Carbone</v>
      </c>
      <c r="F358" s="1054" t="str">
        <f t="shared" si="60"/>
        <v>Déchets inertes en mélange (Gravats) - Fin de vie moyenne - Impacts, France continentale, Base Carbone</v>
      </c>
      <c r="G358" s="1051" t="str">
        <f t="shared" si="61"/>
        <v>Déchets inertes en mélange (Gravats) - Fin de vie moyenne - Impacts, France continentale, Base Carbone; kgCO2e/tonne</v>
      </c>
      <c r="I358" s="2018" t="s">
        <v>4929</v>
      </c>
      <c r="J358" s="1135" t="s">
        <v>1585</v>
      </c>
      <c r="K358" s="1135" t="s">
        <v>1567</v>
      </c>
      <c r="L358" s="1135" t="s">
        <v>1571</v>
      </c>
      <c r="M358" s="1134">
        <v>0.26</v>
      </c>
      <c r="N358" s="1135"/>
      <c r="O358" s="1135">
        <v>13</v>
      </c>
      <c r="P358" s="2017">
        <v>13</v>
      </c>
      <c r="Q358" s="2017">
        <v>0</v>
      </c>
      <c r="R358" s="2017">
        <v>0</v>
      </c>
      <c r="S358" s="2017">
        <v>0</v>
      </c>
      <c r="T358" s="2017">
        <v>0</v>
      </c>
      <c r="U358" s="2042">
        <v>0</v>
      </c>
    </row>
    <row r="359" spans="2:21" hidden="1" outlineLevel="2">
      <c r="B359" s="2359">
        <v>7</v>
      </c>
      <c r="C359" s="2109" t="str">
        <f t="shared" si="58"/>
        <v>Déchets non dangereux en mélange (DIB) - Fin de vie hors recyclage - Impacts, France continentale, Base Carbone</v>
      </c>
      <c r="D359" s="1051">
        <f t="shared" si="59"/>
        <v>7</v>
      </c>
      <c r="E359" s="1051" t="str">
        <f>IF(COUNTIF(E$352:E358,F359)&gt;0,"",F359)</f>
        <v>Déchets non dangereux en mélange (DIB) - Fin de vie hors recyclage - Impacts, France continentale, Base Carbone</v>
      </c>
      <c r="F359" s="1054" t="str">
        <f t="shared" si="60"/>
        <v>Déchets non dangereux en mélange (DIB) - Fin de vie hors recyclage - Impacts, France continentale, Base Carbone</v>
      </c>
      <c r="G359" s="1051" t="str">
        <f t="shared" si="61"/>
        <v>Déchets non dangereux en mélange (DIB) - Fin de vie hors recyclage - Impacts, France continentale, Base Carbone; kgCO2e/tonne</v>
      </c>
      <c r="I359" s="2018" t="s">
        <v>4930</v>
      </c>
      <c r="J359" s="1135" t="s">
        <v>1585</v>
      </c>
      <c r="K359" s="1135" t="s">
        <v>1567</v>
      </c>
      <c r="L359" s="1135" t="s">
        <v>1571</v>
      </c>
      <c r="M359" s="2517">
        <v>0.3</v>
      </c>
      <c r="N359" s="1135"/>
      <c r="O359" s="1135">
        <v>23</v>
      </c>
      <c r="P359" s="2017">
        <v>23</v>
      </c>
      <c r="Q359" s="2017">
        <v>0</v>
      </c>
      <c r="R359" s="2017">
        <v>0</v>
      </c>
      <c r="S359" s="2017">
        <v>0</v>
      </c>
      <c r="T359" s="2017">
        <v>0</v>
      </c>
      <c r="U359" s="2042">
        <v>0</v>
      </c>
    </row>
    <row r="360" spans="2:21" hidden="1" outlineLevel="2">
      <c r="B360" s="2359">
        <v>8</v>
      </c>
      <c r="C360" s="2109" t="str">
        <f t="shared" si="58"/>
        <v>Déchets non dangereux en mélange (DIB) - Fin de vie moyenne - Impacts, France continentale, Base Carbone</v>
      </c>
      <c r="D360" s="1051">
        <f t="shared" si="59"/>
        <v>8</v>
      </c>
      <c r="E360" s="1051" t="str">
        <f>IF(COUNTIF(E$352:E359,F360)&gt;0,"",F360)</f>
        <v>Déchets non dangereux en mélange (DIB) - Fin de vie moyenne - Impacts, France continentale, Base Carbone</v>
      </c>
      <c r="F360" s="1054" t="str">
        <f t="shared" si="60"/>
        <v>Déchets non dangereux en mélange (DIB) - Fin de vie moyenne - Impacts, France continentale, Base Carbone</v>
      </c>
      <c r="G360" s="1051" t="str">
        <f t="shared" si="61"/>
        <v>Déchets non dangereux en mélange (DIB) - Fin de vie moyenne - Impacts, France continentale, Base Carbone; kgCO2e/tonne</v>
      </c>
      <c r="I360" s="2018" t="s">
        <v>4931</v>
      </c>
      <c r="J360" s="1135" t="s">
        <v>1585</v>
      </c>
      <c r="K360" s="1135" t="s">
        <v>1567</v>
      </c>
      <c r="L360" s="1135" t="s">
        <v>1571</v>
      </c>
      <c r="M360" s="1134">
        <v>0.3</v>
      </c>
      <c r="N360" s="1135"/>
      <c r="O360" s="1135">
        <v>87</v>
      </c>
      <c r="P360" s="2017">
        <v>87</v>
      </c>
      <c r="Q360" s="2017">
        <v>0</v>
      </c>
      <c r="R360" s="2017">
        <v>0</v>
      </c>
      <c r="S360" s="2017">
        <v>0</v>
      </c>
      <c r="T360" s="2017">
        <v>0</v>
      </c>
      <c r="U360" s="2042">
        <v>0</v>
      </c>
    </row>
    <row r="361" spans="2:21" hidden="1" outlineLevel="2">
      <c r="B361" s="2359">
        <v>9</v>
      </c>
      <c r="C361" s="2109" t="str">
        <f t="shared" si="58"/>
        <v>Plâtre et autres contenant du gypse - Fin de vie hors recyclage - Impacts, France continentale, Base Carbone</v>
      </c>
      <c r="D361" s="1051">
        <f t="shared" si="59"/>
        <v>9</v>
      </c>
      <c r="E361" s="1051" t="str">
        <f>IF(COUNTIF(E$352:E360,F361)&gt;0,"",F361)</f>
        <v>Plâtre et autres contenant du gypse - Fin de vie hors recyclage - Impacts, France continentale, Base Carbone</v>
      </c>
      <c r="F361" s="1054" t="str">
        <f t="shared" si="60"/>
        <v>Plâtre et autres contenant du gypse - Fin de vie hors recyclage - Impacts, France continentale, Base Carbone</v>
      </c>
      <c r="G361" s="1051" t="str">
        <f t="shared" si="61"/>
        <v>Plâtre et autres contenant du gypse - Fin de vie hors recyclage - Impacts, France continentale, Base Carbone; kgCO2e/tonne</v>
      </c>
      <c r="I361" s="2018" t="s">
        <v>4932</v>
      </c>
      <c r="J361" s="1135" t="s">
        <v>1585</v>
      </c>
      <c r="K361" s="1135" t="s">
        <v>1567</v>
      </c>
      <c r="L361" s="1135" t="s">
        <v>1571</v>
      </c>
      <c r="M361" s="2517">
        <v>0.12</v>
      </c>
      <c r="N361" s="1135"/>
      <c r="O361" s="1135">
        <v>65</v>
      </c>
      <c r="P361" s="2017">
        <v>65</v>
      </c>
      <c r="Q361" s="2017">
        <v>0</v>
      </c>
      <c r="R361" s="2017">
        <v>0</v>
      </c>
      <c r="S361" s="2017">
        <v>0</v>
      </c>
      <c r="T361" s="2017">
        <v>0</v>
      </c>
      <c r="U361" s="2042">
        <v>0</v>
      </c>
    </row>
    <row r="362" spans="2:21" hidden="1" outlineLevel="2">
      <c r="B362" s="2359">
        <v>10</v>
      </c>
      <c r="C362" s="2109" t="str">
        <f t="shared" si="58"/>
        <v>Plâtre et autres contenant du gypse - Fin de vie moyenne - Impacts, France continentale, Base Carbone</v>
      </c>
      <c r="D362" s="1051">
        <f t="shared" si="59"/>
        <v>10</v>
      </c>
      <c r="E362" s="1051" t="str">
        <f>IF(COUNTIF(E$352:E361,F362)&gt;0,"",F362)</f>
        <v>Plâtre et autres contenant du gypse - Fin de vie moyenne - Impacts, France continentale, Base Carbone</v>
      </c>
      <c r="F362" s="1054" t="str">
        <f t="shared" si="60"/>
        <v>Plâtre et autres contenant du gypse - Fin de vie moyenne - Impacts, France continentale, Base Carbone</v>
      </c>
      <c r="G362" s="1051" t="str">
        <f t="shared" si="61"/>
        <v>Plâtre et autres contenant du gypse - Fin de vie moyenne - Impacts, France continentale, Base Carbone; kgCO2e/tonne</v>
      </c>
      <c r="I362" s="2018" t="s">
        <v>4933</v>
      </c>
      <c r="J362" s="1135" t="s">
        <v>1585</v>
      </c>
      <c r="K362" s="1135" t="s">
        <v>1567</v>
      </c>
      <c r="L362" s="1135" t="s">
        <v>1571</v>
      </c>
      <c r="M362" s="1134">
        <v>0.12</v>
      </c>
      <c r="N362" s="1135"/>
      <c r="O362" s="1135">
        <v>52</v>
      </c>
      <c r="P362" s="2017">
        <v>52</v>
      </c>
      <c r="Q362" s="2017">
        <v>0</v>
      </c>
      <c r="R362" s="2017">
        <v>0</v>
      </c>
      <c r="S362" s="2017">
        <v>0</v>
      </c>
      <c r="T362" s="2017">
        <v>0</v>
      </c>
      <c r="U362" s="2042">
        <v>0</v>
      </c>
    </row>
    <row r="363" spans="2:21" hidden="1" outlineLevel="2">
      <c r="B363" s="2359">
        <v>11</v>
      </c>
      <c r="C363" s="2109" t="str">
        <f t="shared" si="58"/>
        <v>-</v>
      </c>
      <c r="D363" s="1051">
        <f t="shared" si="59"/>
        <v>10</v>
      </c>
      <c r="E363" s="1051" t="str">
        <f>IF(COUNTIF(E$352:E362,F363)&gt;0,"",F363)</f>
        <v/>
      </c>
      <c r="F363" s="1054" t="str">
        <f t="shared" si="60"/>
        <v/>
      </c>
      <c r="G363" s="1051" t="str">
        <f t="shared" si="61"/>
        <v/>
      </c>
      <c r="I363" s="1100"/>
      <c r="J363" s="1048"/>
      <c r="K363" s="1048"/>
      <c r="L363" s="1048"/>
      <c r="M363" s="1048"/>
      <c r="N363" s="1048"/>
      <c r="O363" s="1048"/>
      <c r="P363" s="1048"/>
      <c r="Q363" s="1048"/>
      <c r="R363" s="1048"/>
      <c r="S363" s="1048"/>
      <c r="T363" s="1048"/>
      <c r="U363" s="1102"/>
    </row>
    <row r="364" spans="2:21" hidden="1" outlineLevel="2">
      <c r="B364" s="2359">
        <v>12</v>
      </c>
      <c r="C364" s="2109" t="str">
        <f t="shared" si="58"/>
        <v>-</v>
      </c>
      <c r="D364" s="1051">
        <f t="shared" si="59"/>
        <v>10</v>
      </c>
      <c r="E364" s="1051" t="str">
        <f>IF(COUNTIF(E$352:E363,F364)&gt;0,"",F364)</f>
        <v/>
      </c>
      <c r="F364" s="1054" t="str">
        <f t="shared" si="60"/>
        <v/>
      </c>
      <c r="G364" s="1051" t="str">
        <f t="shared" si="61"/>
        <v/>
      </c>
      <c r="I364" s="1100"/>
      <c r="J364" s="1048"/>
      <c r="K364" s="1048"/>
      <c r="L364" s="1048"/>
      <c r="M364" s="1048"/>
      <c r="N364" s="1048"/>
      <c r="O364" s="1048"/>
      <c r="P364" s="1048"/>
      <c r="Q364" s="1048"/>
      <c r="R364" s="1048"/>
      <c r="S364" s="1048"/>
      <c r="T364" s="1048"/>
      <c r="U364" s="1102"/>
    </row>
    <row r="365" spans="2:21" hidden="1" outlineLevel="2">
      <c r="B365" s="2359">
        <v>13</v>
      </c>
      <c r="C365" s="2109" t="str">
        <f t="shared" si="58"/>
        <v>-</v>
      </c>
      <c r="D365" s="1051">
        <f t="shared" si="59"/>
        <v>10</v>
      </c>
      <c r="E365" s="1051" t="str">
        <f>IF(COUNTIF(E$352:E364,F365)&gt;0,"",F365)</f>
        <v/>
      </c>
      <c r="F365" s="1054" t="str">
        <f t="shared" si="60"/>
        <v/>
      </c>
      <c r="G365" s="1051" t="str">
        <f t="shared" si="61"/>
        <v/>
      </c>
      <c r="I365" s="1100"/>
      <c r="J365" s="1048"/>
      <c r="K365" s="1048"/>
      <c r="L365" s="1048"/>
      <c r="M365" s="1048"/>
      <c r="N365" s="1048"/>
      <c r="O365" s="1048"/>
      <c r="P365" s="1048"/>
      <c r="Q365" s="1048"/>
      <c r="R365" s="1048"/>
      <c r="S365" s="1048"/>
      <c r="T365" s="1048"/>
      <c r="U365" s="1102"/>
    </row>
    <row r="366" spans="2:21" hidden="1" outlineLevel="2">
      <c r="B366" s="2359">
        <v>14</v>
      </c>
      <c r="C366" s="2109" t="str">
        <f t="shared" si="58"/>
        <v>-</v>
      </c>
      <c r="D366" s="1051">
        <f t="shared" si="59"/>
        <v>10</v>
      </c>
      <c r="E366" s="1051" t="str">
        <f>IF(COUNTIF(E$352:E365,F366)&gt;0,"",F366)</f>
        <v/>
      </c>
      <c r="F366" s="1054" t="str">
        <f t="shared" si="60"/>
        <v/>
      </c>
      <c r="G366" s="1051" t="str">
        <f t="shared" si="61"/>
        <v/>
      </c>
      <c r="I366" s="1100"/>
      <c r="J366" s="1048"/>
      <c r="K366" s="1048"/>
      <c r="L366" s="1048"/>
      <c r="M366" s="1048"/>
      <c r="N366" s="1048"/>
      <c r="O366" s="1048"/>
      <c r="P366" s="1048"/>
      <c r="Q366" s="1048"/>
      <c r="R366" s="1048"/>
      <c r="S366" s="1048"/>
      <c r="T366" s="1048"/>
      <c r="U366" s="1102"/>
    </row>
    <row r="367" spans="2:21" hidden="1" outlineLevel="2">
      <c r="B367" s="2359">
        <v>15</v>
      </c>
      <c r="C367" s="2109" t="str">
        <f t="shared" si="58"/>
        <v>-</v>
      </c>
      <c r="D367" s="1051">
        <f t="shared" si="59"/>
        <v>10</v>
      </c>
      <c r="E367" s="1051" t="str">
        <f>IF(COUNTIF(E$352:E366,F367)&gt;0,"",F367)</f>
        <v/>
      </c>
      <c r="F367" s="1054" t="str">
        <f t="shared" si="60"/>
        <v/>
      </c>
      <c r="G367" s="1051" t="str">
        <f t="shared" si="61"/>
        <v/>
      </c>
      <c r="I367" s="1100"/>
      <c r="J367" s="1048"/>
      <c r="K367" s="1048"/>
      <c r="L367" s="1048"/>
      <c r="M367" s="1048"/>
      <c r="N367" s="1048"/>
      <c r="O367" s="1048"/>
      <c r="P367" s="1048"/>
      <c r="Q367" s="1048"/>
      <c r="R367" s="1048"/>
      <c r="S367" s="1048"/>
      <c r="T367" s="1048"/>
      <c r="U367" s="1102"/>
    </row>
    <row r="368" spans="2:21" hidden="1" outlineLevel="2">
      <c r="B368" s="2359">
        <v>16</v>
      </c>
      <c r="C368" s="2109" t="str">
        <f t="shared" si="58"/>
        <v>-</v>
      </c>
      <c r="D368" s="1051">
        <f t="shared" si="59"/>
        <v>10</v>
      </c>
      <c r="E368" s="1051" t="str">
        <f>IF(COUNTIF(E$352:E367,F368)&gt;0,"",F368)</f>
        <v/>
      </c>
      <c r="F368" s="1054" t="str">
        <f t="shared" si="60"/>
        <v/>
      </c>
      <c r="G368" s="1051" t="str">
        <f t="shared" si="61"/>
        <v/>
      </c>
      <c r="I368" s="1100"/>
      <c r="J368" s="1048"/>
      <c r="K368" s="1048"/>
      <c r="L368" s="1048"/>
      <c r="M368" s="1048"/>
      <c r="N368" s="1048"/>
      <c r="O368" s="1048"/>
      <c r="P368" s="1048"/>
      <c r="Q368" s="1048"/>
      <c r="R368" s="1048"/>
      <c r="S368" s="1048"/>
      <c r="T368" s="1048"/>
      <c r="U368" s="1102"/>
    </row>
    <row r="369" spans="2:21" hidden="1" outlineLevel="2">
      <c r="B369" s="2359">
        <v>17</v>
      </c>
      <c r="C369" s="2109" t="str">
        <f t="shared" si="58"/>
        <v>-</v>
      </c>
      <c r="D369" s="1051">
        <f t="shared" si="59"/>
        <v>10</v>
      </c>
      <c r="E369" s="1051" t="str">
        <f>IF(COUNTIF(E$352:E368,F369)&gt;0,"",F369)</f>
        <v/>
      </c>
      <c r="F369" s="1054" t="str">
        <f t="shared" si="60"/>
        <v/>
      </c>
      <c r="G369" s="1051" t="str">
        <f t="shared" si="61"/>
        <v/>
      </c>
      <c r="I369" s="1100"/>
      <c r="J369" s="1048"/>
      <c r="K369" s="1048"/>
      <c r="L369" s="1048"/>
      <c r="M369" s="1048"/>
      <c r="N369" s="1048"/>
      <c r="O369" s="1048"/>
      <c r="P369" s="1048"/>
      <c r="Q369" s="1048"/>
      <c r="R369" s="1048"/>
      <c r="S369" s="1048"/>
      <c r="T369" s="1048"/>
      <c r="U369" s="1102"/>
    </row>
    <row r="370" spans="2:21" hidden="1" outlineLevel="2">
      <c r="B370" s="2359">
        <v>18</v>
      </c>
      <c r="C370" s="2109" t="str">
        <f t="shared" si="58"/>
        <v>-</v>
      </c>
      <c r="D370" s="1051">
        <f t="shared" si="59"/>
        <v>10</v>
      </c>
      <c r="E370" s="1051" t="str">
        <f>IF(COUNTIF(E$352:E369,F370)&gt;0,"",F370)</f>
        <v/>
      </c>
      <c r="F370" s="1054" t="str">
        <f t="shared" si="60"/>
        <v/>
      </c>
      <c r="G370" s="1051" t="str">
        <f t="shared" si="61"/>
        <v/>
      </c>
      <c r="I370" s="1100"/>
      <c r="J370" s="1048"/>
      <c r="K370" s="1048"/>
      <c r="L370" s="1048"/>
      <c r="M370" s="1048"/>
      <c r="N370" s="1048"/>
      <c r="O370" s="1048"/>
      <c r="P370" s="1048"/>
      <c r="Q370" s="1048"/>
      <c r="R370" s="1048"/>
      <c r="S370" s="1048"/>
      <c r="T370" s="1048"/>
      <c r="U370" s="1102"/>
    </row>
    <row r="371" spans="2:21" hidden="1" outlineLevel="2">
      <c r="B371" s="2359">
        <v>19</v>
      </c>
      <c r="C371" s="2109" t="str">
        <f t="shared" si="58"/>
        <v>-</v>
      </c>
      <c r="D371" s="1051">
        <f t="shared" si="59"/>
        <v>10</v>
      </c>
      <c r="E371" s="1051" t="str">
        <f>IF(COUNTIF(E$352:E370,F371)&gt;0,"",F371)</f>
        <v/>
      </c>
      <c r="F371" s="1054" t="str">
        <f t="shared" si="60"/>
        <v/>
      </c>
      <c r="G371" s="1051" t="str">
        <f t="shared" si="61"/>
        <v/>
      </c>
      <c r="I371" s="1100"/>
      <c r="J371" s="1048"/>
      <c r="K371" s="1048"/>
      <c r="L371" s="1048"/>
      <c r="M371" s="1048"/>
      <c r="N371" s="1048"/>
      <c r="O371" s="1048"/>
      <c r="P371" s="1048"/>
      <c r="Q371" s="1048"/>
      <c r="R371" s="1048"/>
      <c r="S371" s="1048"/>
      <c r="T371" s="1048"/>
      <c r="U371" s="1102"/>
    </row>
    <row r="372" spans="2:21" hidden="1" outlineLevel="2">
      <c r="B372" s="2359">
        <v>20</v>
      </c>
      <c r="C372" s="2109" t="str">
        <f t="shared" si="58"/>
        <v>-</v>
      </c>
      <c r="D372" s="1051">
        <f t="shared" si="59"/>
        <v>10</v>
      </c>
      <c r="E372" s="1051" t="str">
        <f>IF(COUNTIF(E$352:E371,F372)&gt;0,"",F372)</f>
        <v/>
      </c>
      <c r="F372" s="1054" t="str">
        <f t="shared" si="60"/>
        <v/>
      </c>
      <c r="G372" s="1051" t="str">
        <f t="shared" si="61"/>
        <v/>
      </c>
      <c r="I372" s="1100"/>
      <c r="J372" s="1048"/>
      <c r="K372" s="1048"/>
      <c r="L372" s="1048"/>
      <c r="M372" s="1048"/>
      <c r="N372" s="1048"/>
      <c r="O372" s="1048"/>
      <c r="P372" s="1048"/>
      <c r="Q372" s="1048"/>
      <c r="R372" s="1048"/>
      <c r="S372" s="1048"/>
      <c r="T372" s="1048"/>
      <c r="U372" s="1102"/>
    </row>
    <row r="373" spans="2:21" hidden="1" outlineLevel="2">
      <c r="B373" s="2359">
        <v>21</v>
      </c>
      <c r="C373" s="2109" t="str">
        <f t="shared" si="58"/>
        <v>-</v>
      </c>
      <c r="D373" s="1051">
        <f t="shared" si="59"/>
        <v>10</v>
      </c>
      <c r="E373" s="1051" t="str">
        <f>IF(COUNTIF(E$352:E372,F373)&gt;0,"",F373)</f>
        <v/>
      </c>
      <c r="F373" s="1054" t="str">
        <f t="shared" si="60"/>
        <v/>
      </c>
      <c r="G373" s="1051" t="str">
        <f t="shared" si="61"/>
        <v/>
      </c>
      <c r="I373" s="1100"/>
      <c r="J373" s="1048"/>
      <c r="K373" s="1048"/>
      <c r="L373" s="1048"/>
      <c r="M373" s="1048"/>
      <c r="N373" s="1048"/>
      <c r="O373" s="1048"/>
      <c r="P373" s="1048"/>
      <c r="Q373" s="1048"/>
      <c r="R373" s="1048"/>
      <c r="S373" s="1048"/>
      <c r="T373" s="1048"/>
      <c r="U373" s="1102"/>
    </row>
    <row r="374" spans="2:21" hidden="1" outlineLevel="2">
      <c r="B374" s="2359">
        <v>22</v>
      </c>
      <c r="C374" s="2109" t="str">
        <f t="shared" si="58"/>
        <v>-</v>
      </c>
      <c r="D374" s="1051">
        <f t="shared" si="59"/>
        <v>10</v>
      </c>
      <c r="E374" s="1051" t="str">
        <f>IF(COUNTIF(E$352:E373,F374)&gt;0,"",F374)</f>
        <v/>
      </c>
      <c r="F374" s="1054" t="str">
        <f t="shared" si="60"/>
        <v/>
      </c>
      <c r="G374" s="1051" t="str">
        <f t="shared" si="61"/>
        <v/>
      </c>
      <c r="I374" s="1100"/>
      <c r="J374" s="1048"/>
      <c r="K374" s="1048"/>
      <c r="L374" s="1048"/>
      <c r="M374" s="1048"/>
      <c r="N374" s="1048"/>
      <c r="O374" s="1048"/>
      <c r="P374" s="1048"/>
      <c r="Q374" s="1048"/>
      <c r="R374" s="1048"/>
      <c r="S374" s="1048"/>
      <c r="T374" s="1048"/>
      <c r="U374" s="1102"/>
    </row>
    <row r="375" spans="2:21" hidden="1" outlineLevel="2">
      <c r="B375" s="2359">
        <v>23</v>
      </c>
      <c r="C375" s="2109" t="str">
        <f t="shared" si="58"/>
        <v>-</v>
      </c>
      <c r="D375" s="1051">
        <f t="shared" si="59"/>
        <v>10</v>
      </c>
      <c r="E375" s="1051" t="str">
        <f>IF(COUNTIF(E$352:E374,F375)&gt;0,"",F375)</f>
        <v/>
      </c>
      <c r="F375" s="1054" t="str">
        <f t="shared" si="60"/>
        <v/>
      </c>
      <c r="G375" s="1051" t="str">
        <f t="shared" si="61"/>
        <v/>
      </c>
      <c r="I375" s="1100"/>
      <c r="J375" s="1048"/>
      <c r="K375" s="1048"/>
      <c r="L375" s="1048"/>
      <c r="M375" s="1048"/>
      <c r="N375" s="1048"/>
      <c r="O375" s="1048"/>
      <c r="P375" s="1048"/>
      <c r="Q375" s="1048"/>
      <c r="R375" s="1048"/>
      <c r="S375" s="1048"/>
      <c r="T375" s="1048"/>
      <c r="U375" s="1102"/>
    </row>
    <row r="376" spans="2:21" ht="13.2" hidden="1" outlineLevel="1">
      <c r="B376" s="2045"/>
      <c r="C376" s="2045"/>
      <c r="D376" s="1045"/>
      <c r="E376" s="1045"/>
      <c r="F376" s="1046"/>
      <c r="G376" s="1045"/>
      <c r="I376" s="1765"/>
      <c r="J376" s="1766"/>
      <c r="K376" s="1766"/>
      <c r="L376" s="1766"/>
      <c r="M376" s="1766"/>
      <c r="N376" s="1766"/>
      <c r="O376" s="1766"/>
      <c r="P376" s="1766"/>
      <c r="Q376" s="1766"/>
      <c r="R376" s="1766"/>
      <c r="S376" s="1766"/>
      <c r="T376" s="1766"/>
      <c r="U376" s="2064"/>
    </row>
    <row r="377" spans="2:21"/>
    <row r="378" spans="2:21" ht="15.6" collapsed="1">
      <c r="I378" s="3167" t="s">
        <v>4935</v>
      </c>
      <c r="J378" s="3168"/>
      <c r="K378" s="3168"/>
      <c r="L378" s="3168"/>
      <c r="M378" s="3168"/>
      <c r="N378" s="3168"/>
      <c r="O378" s="3168"/>
      <c r="P378" s="3168"/>
      <c r="Q378" s="3168"/>
      <c r="R378" s="3168"/>
      <c r="S378" s="3168"/>
      <c r="T378" s="3168"/>
      <c r="U378" s="3169"/>
    </row>
    <row r="379" spans="2:21" hidden="1" outlineLevel="1">
      <c r="R379" s="1083"/>
    </row>
    <row r="380" spans="2:21" ht="12.75" hidden="1" customHeight="1" outlineLevel="1">
      <c r="B380" s="3154" t="s">
        <v>1617</v>
      </c>
      <c r="C380" s="3154"/>
      <c r="D380" s="3157" t="s">
        <v>1619</v>
      </c>
      <c r="E380" s="3157"/>
      <c r="F380" s="1151" t="s">
        <v>1616</v>
      </c>
      <c r="G380" s="1053" t="s">
        <v>1618</v>
      </c>
      <c r="H380" s="1044"/>
      <c r="I380" s="1038" t="s">
        <v>1557</v>
      </c>
      <c r="J380" s="1040" t="s">
        <v>1266</v>
      </c>
      <c r="K380" s="1043" t="s">
        <v>224</v>
      </c>
      <c r="L380" s="1043" t="s">
        <v>1558</v>
      </c>
      <c r="M380" s="1039" t="s">
        <v>366</v>
      </c>
      <c r="N380" s="1040" t="s">
        <v>1559</v>
      </c>
      <c r="O380" s="1041" t="s">
        <v>1560</v>
      </c>
      <c r="P380" s="1043" t="s">
        <v>211</v>
      </c>
      <c r="Q380" s="1043" t="s">
        <v>1561</v>
      </c>
      <c r="R380" s="1041" t="s">
        <v>1562</v>
      </c>
      <c r="S380" s="1041" t="s">
        <v>267</v>
      </c>
      <c r="T380" s="1043" t="s">
        <v>1563</v>
      </c>
      <c r="U380" s="1042" t="s">
        <v>1564</v>
      </c>
    </row>
    <row r="381" spans="2:21" s="1045" customFormat="1" ht="12.75" hidden="1" customHeight="1" outlineLevel="1" collapsed="1">
      <c r="B381" s="3156" t="s">
        <v>4934</v>
      </c>
      <c r="C381" s="3156"/>
      <c r="D381" s="1051">
        <v>0</v>
      </c>
      <c r="E381" s="1051"/>
      <c r="F381" s="1051"/>
      <c r="G381" s="1054"/>
      <c r="H381" s="1046"/>
      <c r="I381" s="1688"/>
      <c r="J381" s="1689"/>
      <c r="K381" s="1690"/>
      <c r="L381" s="1690"/>
      <c r="M381" s="1691"/>
      <c r="N381" s="1689"/>
      <c r="O381" s="1692"/>
      <c r="P381" s="1690"/>
      <c r="Q381" s="1690"/>
      <c r="R381" s="1692"/>
      <c r="S381" s="1692"/>
      <c r="T381" s="1690"/>
      <c r="U381" s="1693"/>
    </row>
    <row r="382" spans="2:21" hidden="1" outlineLevel="2">
      <c r="B382" s="1050">
        <v>1</v>
      </c>
      <c r="C382" s="1050" t="str">
        <f>IF(ISNA(VLOOKUP(B382,$D$381:$E$389,2,FALSE)),"-",VLOOKUP(B382,$D$381:$E$389,2,FALSE))</f>
        <v>DEA Bois - Fin de vie moyenne filière - Impacts, France continentale, Base Carbone</v>
      </c>
      <c r="D382" s="1051">
        <f>D381+IF(LEN(E382)&gt;0,1,0)</f>
        <v>1</v>
      </c>
      <c r="E382" s="1051" t="str">
        <f>IF(COUNTIF(E$381:E381,F382)&gt;0,"",F382)</f>
        <v>DEA Bois - Fin de vie moyenne filière - Impacts, France continentale, Base Carbone</v>
      </c>
      <c r="F382" s="1051" t="str">
        <f>IF(I382&lt;&gt;"",I382&amp;IF(L382&lt;&gt;"",", "&amp;L382,"")&amp;IF(K382&lt;&gt;"",", "&amp;K382,""),"")</f>
        <v>DEA Bois - Fin de vie moyenne filière - Impacts, France continentale, Base Carbone</v>
      </c>
      <c r="G382" s="1055" t="str">
        <f>IF(F382&lt;&gt;"",F382&amp;IF(J382&lt;&gt;"","; "&amp;J382&amp;IF(N382&lt;&gt;"",", "&amp;N382,),""),"")</f>
        <v>DEA Bois - Fin de vie moyenne filière - Impacts, France continentale, Base Carbone; kgCO2e/tonne</v>
      </c>
      <c r="I382" s="1034" t="s">
        <v>4936</v>
      </c>
      <c r="J382" s="1032" t="s">
        <v>1585</v>
      </c>
      <c r="K382" s="1119" t="s">
        <v>1567</v>
      </c>
      <c r="L382" s="1032" t="s">
        <v>1571</v>
      </c>
      <c r="M382" s="1033">
        <v>0.2</v>
      </c>
      <c r="N382" s="1135"/>
      <c r="O382" s="1036">
        <v>437</v>
      </c>
      <c r="P382" s="1980">
        <v>437</v>
      </c>
      <c r="Q382" s="1980">
        <v>0</v>
      </c>
      <c r="R382" s="1980">
        <v>0</v>
      </c>
      <c r="S382" s="1980">
        <v>0</v>
      </c>
      <c r="T382" s="1980">
        <v>0</v>
      </c>
      <c r="U382" s="2036">
        <v>0</v>
      </c>
    </row>
    <row r="383" spans="2:21" hidden="1" outlineLevel="2">
      <c r="B383" s="1050">
        <v>2</v>
      </c>
      <c r="C383" s="1050" t="str">
        <f t="shared" ref="C383:C389" si="62">IF(ISNA(VLOOKUP(B383,$D$381:$E$389,2,FALSE)),"-",VLOOKUP(B383,$D$381:$E$389,2,FALSE))</f>
        <v>DEA Literie - Fin de vie moyenne filière - Impacts, France continentale, Base Carbone</v>
      </c>
      <c r="D383" s="1051">
        <f t="shared" ref="D383:D392" si="63">D382+IF(LEN(E383)&gt;0,1,0)</f>
        <v>2</v>
      </c>
      <c r="E383" s="1051" t="str">
        <f>IF(COUNTIF(E$381:E382,F383)&gt;0,"",F383)</f>
        <v>DEA Literie - Fin de vie moyenne filière - Impacts, France continentale, Base Carbone</v>
      </c>
      <c r="F383" s="1051" t="str">
        <f t="shared" ref="F383:F392" si="64">IF(I383&lt;&gt;"",I383&amp;IF(L383&lt;&gt;"",", "&amp;L383,"")&amp;IF(K383&lt;&gt;"",", "&amp;K383,""),"")</f>
        <v>DEA Literie - Fin de vie moyenne filière - Impacts, France continentale, Base Carbone</v>
      </c>
      <c r="G383" s="1055" t="str">
        <f t="shared" ref="G383:G392" si="65">IF(F383&lt;&gt;"",F383&amp;IF(J383&lt;&gt;"","; "&amp;J383&amp;IF(N383&lt;&gt;"",", "&amp;N383,),""),"")</f>
        <v>DEA Literie - Fin de vie moyenne filière - Impacts, France continentale, Base Carbone; kgCO2e/tonne</v>
      </c>
      <c r="I383" s="1034" t="s">
        <v>4937</v>
      </c>
      <c r="J383" s="1135" t="s">
        <v>1585</v>
      </c>
      <c r="K383" s="1119" t="s">
        <v>1567</v>
      </c>
      <c r="L383" s="1032" t="s">
        <v>1571</v>
      </c>
      <c r="M383" s="1033">
        <v>0.5</v>
      </c>
      <c r="N383" s="1135"/>
      <c r="O383" s="1036">
        <v>661</v>
      </c>
      <c r="P383" s="1980">
        <v>661</v>
      </c>
      <c r="Q383" s="1980">
        <v>0</v>
      </c>
      <c r="R383" s="1980">
        <v>0</v>
      </c>
      <c r="S383" s="1980">
        <v>0</v>
      </c>
      <c r="T383" s="1980">
        <v>0</v>
      </c>
      <c r="U383" s="2036">
        <v>0</v>
      </c>
    </row>
    <row r="384" spans="2:21" hidden="1" outlineLevel="2">
      <c r="B384" s="1050">
        <v>3</v>
      </c>
      <c r="C384" s="1050" t="str">
        <f t="shared" si="62"/>
        <v>DEA Moyen - Fin de vie moyenne filière - Impacts, France continentale, Base Carbone</v>
      </c>
      <c r="D384" s="1051">
        <f t="shared" si="63"/>
        <v>3</v>
      </c>
      <c r="E384" s="1051" t="str">
        <f>IF(COUNTIF(E$381:E383,F384)&gt;0,"",F384)</f>
        <v>DEA Moyen - Fin de vie moyenne filière - Impacts, France continentale, Base Carbone</v>
      </c>
      <c r="F384" s="1051" t="str">
        <f t="shared" si="64"/>
        <v>DEA Moyen - Fin de vie moyenne filière - Impacts, France continentale, Base Carbone</v>
      </c>
      <c r="G384" s="1055" t="str">
        <f t="shared" si="65"/>
        <v>DEA Moyen - Fin de vie moyenne filière - Impacts, France continentale, Base Carbone; kgCO2e/tonne</v>
      </c>
      <c r="I384" s="2018" t="s">
        <v>4938</v>
      </c>
      <c r="J384" s="1135" t="s">
        <v>1585</v>
      </c>
      <c r="K384" s="1119" t="s">
        <v>1567</v>
      </c>
      <c r="L384" s="1032" t="s">
        <v>1571</v>
      </c>
      <c r="M384" s="1033">
        <v>0.2</v>
      </c>
      <c r="N384" s="1135"/>
      <c r="O384" s="1036">
        <v>531</v>
      </c>
      <c r="P384" s="1980">
        <v>531</v>
      </c>
      <c r="Q384" s="1980">
        <v>0</v>
      </c>
      <c r="R384" s="1980">
        <v>0</v>
      </c>
      <c r="S384" s="1980">
        <v>0</v>
      </c>
      <c r="T384" s="1980">
        <v>0</v>
      </c>
      <c r="U384" s="2036">
        <v>0</v>
      </c>
    </row>
    <row r="385" spans="2:21" hidden="1" outlineLevel="2">
      <c r="B385" s="1050">
        <v>4</v>
      </c>
      <c r="C385" s="1050" t="str">
        <f t="shared" si="62"/>
        <v>DEA Rembourrés - Fin de vie moyenne filière - Impacts, France continentale, Base Carbone</v>
      </c>
      <c r="D385" s="1051">
        <f t="shared" si="63"/>
        <v>4</v>
      </c>
      <c r="E385" s="1051" t="str">
        <f>IF(COUNTIF(E$381:E384,F385)&gt;0,"",F385)</f>
        <v>DEA Rembourrés - Fin de vie moyenne filière - Impacts, France continentale, Base Carbone</v>
      </c>
      <c r="F385" s="1051" t="str">
        <f t="shared" si="64"/>
        <v>DEA Rembourrés - Fin de vie moyenne filière - Impacts, France continentale, Base Carbone</v>
      </c>
      <c r="G385" s="1055" t="str">
        <f t="shared" si="65"/>
        <v>DEA Rembourrés - Fin de vie moyenne filière - Impacts, France continentale, Base Carbone; kgCO2e/tonne</v>
      </c>
      <c r="I385" s="2018" t="s">
        <v>4939</v>
      </c>
      <c r="J385" s="1135" t="s">
        <v>1585</v>
      </c>
      <c r="K385" s="1119" t="s">
        <v>1567</v>
      </c>
      <c r="L385" s="1032" t="s">
        <v>1571</v>
      </c>
      <c r="M385" s="1033">
        <v>1</v>
      </c>
      <c r="N385" s="1135"/>
      <c r="O385" s="1036">
        <v>780</v>
      </c>
      <c r="P385" s="1980">
        <v>780</v>
      </c>
      <c r="Q385" s="1980">
        <v>0</v>
      </c>
      <c r="R385" s="1980">
        <v>0</v>
      </c>
      <c r="S385" s="1980">
        <v>0</v>
      </c>
      <c r="T385" s="1980">
        <v>0</v>
      </c>
      <c r="U385" s="2036">
        <v>0</v>
      </c>
    </row>
    <row r="386" spans="2:21" hidden="1" outlineLevel="2">
      <c r="B386" s="1050">
        <v>5</v>
      </c>
      <c r="C386" s="1050" t="str">
        <f t="shared" si="62"/>
        <v>-</v>
      </c>
      <c r="D386" s="1051">
        <f t="shared" si="63"/>
        <v>4</v>
      </c>
      <c r="E386" s="1051" t="str">
        <f>IF(COUNTIF(E$381:E385,F386)&gt;0,"",F386)</f>
        <v/>
      </c>
      <c r="F386" s="1051" t="str">
        <f t="shared" si="64"/>
        <v/>
      </c>
      <c r="G386" s="1055" t="str">
        <f t="shared" si="65"/>
        <v/>
      </c>
      <c r="I386" s="1100"/>
      <c r="J386" s="1048"/>
      <c r="K386" s="1119"/>
      <c r="L386" s="1032"/>
      <c r="M386" s="1033"/>
      <c r="N386" s="1048"/>
      <c r="O386" s="1036"/>
      <c r="P386" s="1036"/>
      <c r="Q386" s="1036"/>
      <c r="R386" s="1036"/>
      <c r="S386" s="1036"/>
      <c r="T386" s="1036"/>
      <c r="U386" s="1037"/>
    </row>
    <row r="387" spans="2:21" hidden="1" outlineLevel="2">
      <c r="B387" s="1050">
        <v>6</v>
      </c>
      <c r="C387" s="1050" t="str">
        <f t="shared" si="62"/>
        <v>-</v>
      </c>
      <c r="D387" s="1051">
        <f t="shared" si="63"/>
        <v>4</v>
      </c>
      <c r="E387" s="1051" t="str">
        <f>IF(COUNTIF(E$381:E386,F387)&gt;0,"",F387)</f>
        <v/>
      </c>
      <c r="F387" s="1051" t="str">
        <f t="shared" si="64"/>
        <v/>
      </c>
      <c r="G387" s="1055" t="str">
        <f t="shared" si="65"/>
        <v/>
      </c>
      <c r="I387" s="1100"/>
      <c r="J387" s="1048"/>
      <c r="K387" s="1119"/>
      <c r="L387" s="1032"/>
      <c r="M387" s="1033"/>
      <c r="N387" s="1048"/>
      <c r="O387" s="1036"/>
      <c r="P387" s="1036"/>
      <c r="Q387" s="1036"/>
      <c r="R387" s="1036"/>
      <c r="S387" s="1036"/>
      <c r="T387" s="1036"/>
      <c r="U387" s="1037"/>
    </row>
    <row r="388" spans="2:21" hidden="1" outlineLevel="2">
      <c r="B388" s="1050">
        <v>7</v>
      </c>
      <c r="C388" s="1050" t="str">
        <f t="shared" si="62"/>
        <v>-</v>
      </c>
      <c r="D388" s="1051">
        <f t="shared" si="63"/>
        <v>4</v>
      </c>
      <c r="E388" s="1051" t="str">
        <f>IF(COUNTIF(E$381:E387,F388)&gt;0,"",F388)</f>
        <v/>
      </c>
      <c r="F388" s="1051" t="str">
        <f t="shared" si="64"/>
        <v/>
      </c>
      <c r="G388" s="1055" t="str">
        <f t="shared" si="65"/>
        <v/>
      </c>
      <c r="I388" s="1100"/>
      <c r="J388" s="1048"/>
      <c r="K388" s="1119"/>
      <c r="L388" s="1032"/>
      <c r="M388" s="1033"/>
      <c r="N388" s="1048"/>
      <c r="O388" s="1036"/>
      <c r="P388" s="1036"/>
      <c r="Q388" s="1036"/>
      <c r="R388" s="1036"/>
      <c r="S388" s="1036"/>
      <c r="T388" s="1036"/>
      <c r="U388" s="1037"/>
    </row>
    <row r="389" spans="2:21" hidden="1" outlineLevel="2">
      <c r="B389" s="1050">
        <v>8</v>
      </c>
      <c r="C389" s="1050" t="str">
        <f t="shared" si="62"/>
        <v>-</v>
      </c>
      <c r="D389" s="1051">
        <f t="shared" ref="D389" si="66">D388+IF(LEN(E389)&gt;0,1,0)</f>
        <v>4</v>
      </c>
      <c r="E389" s="1051" t="str">
        <f>IF(COUNTIF(E$381:E388,F389)&gt;0,"",F389)</f>
        <v/>
      </c>
      <c r="F389" s="1051" t="str">
        <f t="shared" ref="F389" si="67">IF(I389&lt;&gt;"",I389&amp;IF(L389&lt;&gt;"",", "&amp;L389,"")&amp;IF(K389&lt;&gt;"",", "&amp;K389,""),"")</f>
        <v/>
      </c>
      <c r="G389" s="1055" t="str">
        <f t="shared" ref="G389" si="68">IF(F389&lt;&gt;"",F389&amp;IF(J389&lt;&gt;"","; "&amp;J389&amp;IF(N389&lt;&gt;"",", "&amp;N389,),""),"")</f>
        <v/>
      </c>
      <c r="I389" s="1100"/>
      <c r="J389" s="1048"/>
      <c r="K389" s="1119"/>
      <c r="L389" s="1032"/>
      <c r="M389" s="1033"/>
      <c r="N389" s="1048"/>
      <c r="O389" s="1036"/>
      <c r="P389" s="1036"/>
      <c r="Q389" s="1036"/>
      <c r="R389" s="1036"/>
      <c r="S389" s="1036"/>
      <c r="T389" s="1036"/>
      <c r="U389" s="1037"/>
    </row>
    <row r="390" spans="2:21" ht="13.2" hidden="1" outlineLevel="1">
      <c r="B390" s="1045"/>
      <c r="C390" s="1045"/>
      <c r="D390" s="1045"/>
      <c r="E390" s="1045"/>
      <c r="F390" s="1045"/>
      <c r="G390" s="1135"/>
      <c r="I390" s="1746"/>
      <c r="J390" s="2358"/>
      <c r="K390" s="2358"/>
      <c r="L390" s="2358"/>
      <c r="M390" s="2358"/>
      <c r="N390" s="2358"/>
      <c r="O390" s="2358"/>
      <c r="P390" s="2358"/>
      <c r="Q390" s="2358"/>
      <c r="R390" s="2358"/>
      <c r="S390" s="2358"/>
      <c r="T390" s="2358"/>
      <c r="U390" s="2063"/>
    </row>
    <row r="391" spans="2:21" ht="13.2" hidden="1" outlineLevel="1" collapsed="1">
      <c r="B391" s="3156" t="s">
        <v>4940</v>
      </c>
      <c r="C391" s="3156"/>
      <c r="D391" s="1051">
        <f t="shared" si="63"/>
        <v>0</v>
      </c>
      <c r="E391" s="1051" t="str">
        <f>IF(COUNTIF(E$381:E390,F391)&gt;0,"",F391)</f>
        <v/>
      </c>
      <c r="F391" s="1051" t="str">
        <f t="shared" si="64"/>
        <v/>
      </c>
      <c r="G391" s="1055" t="str">
        <f t="shared" si="65"/>
        <v/>
      </c>
      <c r="I391" s="1746"/>
      <c r="J391" s="2358"/>
      <c r="K391" s="2358"/>
      <c r="L391" s="2358"/>
      <c r="M391" s="2358"/>
      <c r="N391" s="2358"/>
      <c r="O391" s="2358"/>
      <c r="P391" s="2358"/>
      <c r="Q391" s="2358"/>
      <c r="R391" s="2358"/>
      <c r="S391" s="2358"/>
      <c r="T391" s="2358"/>
      <c r="U391" s="2063"/>
    </row>
    <row r="392" spans="2:21" hidden="1" outlineLevel="2">
      <c r="B392" s="1050">
        <v>1</v>
      </c>
      <c r="C392" s="1050" t="str">
        <f>IF(ISNA(VLOOKUP(B392,$D$391:$E$399,2,FALSE)),"-",VLOOKUP(B392,$D$391:$E$399,2,FALSE))</f>
        <v>Textiles et linges de maison usagés - Fin de vie hors recyclage - Impacts, France continentale, Base Carbone</v>
      </c>
      <c r="D392" s="1051">
        <f t="shared" si="63"/>
        <v>1</v>
      </c>
      <c r="E392" s="1051" t="str">
        <f>IF(COUNTIF(E$391:E391,F392)&gt;0,"",F392)</f>
        <v>Textiles et linges de maison usagés - Fin de vie hors recyclage - Impacts, France continentale, Base Carbone</v>
      </c>
      <c r="F392" s="1051" t="str">
        <f t="shared" si="64"/>
        <v>Textiles et linges de maison usagés - Fin de vie hors recyclage - Impacts, France continentale, Base Carbone</v>
      </c>
      <c r="G392" s="1055" t="str">
        <f t="shared" si="65"/>
        <v>Textiles et linges de maison usagés - Fin de vie hors recyclage - Impacts, France continentale, Base Carbone; kgCO2e/tonne</v>
      </c>
      <c r="I392" s="2018" t="s">
        <v>4941</v>
      </c>
      <c r="J392" s="1135" t="s">
        <v>1585</v>
      </c>
      <c r="K392" s="1135" t="s">
        <v>1567</v>
      </c>
      <c r="L392" s="1135" t="s">
        <v>1571</v>
      </c>
      <c r="M392" s="2062">
        <v>0.5</v>
      </c>
      <c r="N392" s="1135"/>
      <c r="O392" s="2046">
        <v>1382</v>
      </c>
      <c r="P392" s="1980">
        <v>1382</v>
      </c>
      <c r="Q392" s="1980">
        <v>0</v>
      </c>
      <c r="R392" s="1980">
        <v>0</v>
      </c>
      <c r="S392" s="1980">
        <v>0</v>
      </c>
      <c r="T392" s="1980">
        <v>0</v>
      </c>
      <c r="U392" s="2036">
        <v>0</v>
      </c>
    </row>
    <row r="393" spans="2:21" hidden="1" outlineLevel="2">
      <c r="B393" s="1050">
        <v>2</v>
      </c>
      <c r="C393" s="1050" t="str">
        <f t="shared" ref="C393:C399" si="69">IF(ISNA(VLOOKUP(B393,$D$391:$E$399,2,FALSE)),"-",VLOOKUP(B393,$D$391:$E$399,2,FALSE))</f>
        <v>Textiles et linges de maison usagés - Fin de vie moyenne filière - Impacts, France continentale, Base Carbone</v>
      </c>
      <c r="D393" s="1051">
        <f t="shared" ref="D393:D399" si="70">D392+IF(LEN(E393)&gt;0,1,0)</f>
        <v>2</v>
      </c>
      <c r="E393" s="1051" t="str">
        <f>IF(COUNTIF(E$391:E392,F393)&gt;0,"",F393)</f>
        <v>Textiles et linges de maison usagés - Fin de vie moyenne filière - Impacts, France continentale, Base Carbone</v>
      </c>
      <c r="F393" s="1051" t="str">
        <f t="shared" ref="F393:F399" si="71">IF(I393&lt;&gt;"",I393&amp;IF(L393&lt;&gt;"",", "&amp;L393,"")&amp;IF(K393&lt;&gt;"",", "&amp;K393,""),"")</f>
        <v>Textiles et linges de maison usagés - Fin de vie moyenne filière - Impacts, France continentale, Base Carbone</v>
      </c>
      <c r="G393" s="1055" t="str">
        <f t="shared" ref="G393:G399" si="72">IF(F393&lt;&gt;"",F393&amp;IF(J393&lt;&gt;"","; "&amp;J393&amp;IF(N393&lt;&gt;"",", "&amp;N393,),""),"")</f>
        <v>Textiles et linges de maison usagés - Fin de vie moyenne filière - Impacts, France continentale, Base Carbone; kgCO2e/tonne</v>
      </c>
      <c r="I393" s="2018" t="s">
        <v>4942</v>
      </c>
      <c r="J393" s="1135" t="s">
        <v>1585</v>
      </c>
      <c r="K393" s="1135" t="s">
        <v>1567</v>
      </c>
      <c r="L393" s="1135" t="s">
        <v>1571</v>
      </c>
      <c r="M393" s="2062">
        <v>0.5</v>
      </c>
      <c r="N393" s="1135"/>
      <c r="O393" s="2046">
        <v>500</v>
      </c>
      <c r="P393" s="1980">
        <v>500</v>
      </c>
      <c r="Q393" s="1980">
        <v>0</v>
      </c>
      <c r="R393" s="1980">
        <v>0</v>
      </c>
      <c r="S393" s="1980">
        <v>0</v>
      </c>
      <c r="T393" s="1980">
        <v>0</v>
      </c>
      <c r="U393" s="2036">
        <v>0</v>
      </c>
    </row>
    <row r="394" spans="2:21" hidden="1" outlineLevel="2">
      <c r="B394" s="1050">
        <v>3</v>
      </c>
      <c r="C394" s="1050" t="str">
        <f t="shared" si="69"/>
        <v>-</v>
      </c>
      <c r="D394" s="1051">
        <f t="shared" si="70"/>
        <v>2</v>
      </c>
      <c r="E394" s="1051" t="str">
        <f>IF(COUNTIF(E$391:E393,F394)&gt;0,"",F394)</f>
        <v/>
      </c>
      <c r="F394" s="1051" t="str">
        <f t="shared" si="71"/>
        <v/>
      </c>
      <c r="G394" s="1055" t="str">
        <f t="shared" si="72"/>
        <v/>
      </c>
      <c r="I394" s="2367"/>
      <c r="J394" s="1048"/>
      <c r="K394" s="1048"/>
      <c r="L394" s="1048"/>
      <c r="M394" s="1048"/>
      <c r="N394" s="1048"/>
      <c r="O394" s="1048"/>
      <c r="P394" s="1048"/>
      <c r="Q394" s="1048"/>
      <c r="R394" s="1048"/>
      <c r="S394" s="1048"/>
      <c r="T394" s="1048"/>
      <c r="U394" s="1102"/>
    </row>
    <row r="395" spans="2:21" hidden="1" outlineLevel="2">
      <c r="B395" s="1050">
        <v>4</v>
      </c>
      <c r="C395" s="1050" t="str">
        <f t="shared" si="69"/>
        <v>-</v>
      </c>
      <c r="D395" s="1051">
        <f t="shared" si="70"/>
        <v>2</v>
      </c>
      <c r="E395" s="1051" t="str">
        <f>IF(COUNTIF(E$391:E394,F395)&gt;0,"",F395)</f>
        <v/>
      </c>
      <c r="F395" s="1051" t="str">
        <f t="shared" si="71"/>
        <v/>
      </c>
      <c r="G395" s="1055" t="str">
        <f t="shared" si="72"/>
        <v/>
      </c>
      <c r="I395" s="2367"/>
      <c r="J395" s="1048"/>
      <c r="K395" s="1048"/>
      <c r="L395" s="1048"/>
      <c r="M395" s="1048"/>
      <c r="N395" s="1048"/>
      <c r="O395" s="1048"/>
      <c r="P395" s="1048"/>
      <c r="Q395" s="1048"/>
      <c r="R395" s="1048"/>
      <c r="S395" s="1048"/>
      <c r="T395" s="1048"/>
      <c r="U395" s="1102"/>
    </row>
    <row r="396" spans="2:21" hidden="1" outlineLevel="2">
      <c r="B396" s="1050">
        <v>5</v>
      </c>
      <c r="C396" s="1050" t="str">
        <f t="shared" si="69"/>
        <v>-</v>
      </c>
      <c r="D396" s="1051">
        <f t="shared" si="70"/>
        <v>2</v>
      </c>
      <c r="E396" s="1051" t="str">
        <f>IF(COUNTIF(E$391:E395,F396)&gt;0,"",F396)</f>
        <v/>
      </c>
      <c r="F396" s="1051" t="str">
        <f t="shared" si="71"/>
        <v/>
      </c>
      <c r="G396" s="1055" t="str">
        <f t="shared" si="72"/>
        <v/>
      </c>
      <c r="I396" s="2367"/>
      <c r="J396" s="1048"/>
      <c r="K396" s="1048"/>
      <c r="L396" s="1048"/>
      <c r="M396" s="1048"/>
      <c r="N396" s="1048"/>
      <c r="O396" s="1048"/>
      <c r="P396" s="1048"/>
      <c r="Q396" s="1048"/>
      <c r="R396" s="1048"/>
      <c r="S396" s="1048"/>
      <c r="T396" s="1048"/>
      <c r="U396" s="1102"/>
    </row>
    <row r="397" spans="2:21" hidden="1" outlineLevel="2">
      <c r="B397" s="1050">
        <v>6</v>
      </c>
      <c r="C397" s="1050" t="str">
        <f t="shared" si="69"/>
        <v>-</v>
      </c>
      <c r="D397" s="1051">
        <f t="shared" si="70"/>
        <v>2</v>
      </c>
      <c r="E397" s="1051" t="str">
        <f>IF(COUNTIF(E$391:E396,F397)&gt;0,"",F397)</f>
        <v/>
      </c>
      <c r="F397" s="1051" t="str">
        <f t="shared" si="71"/>
        <v/>
      </c>
      <c r="G397" s="1055" t="str">
        <f t="shared" si="72"/>
        <v/>
      </c>
      <c r="I397" s="2367"/>
      <c r="J397" s="1048"/>
      <c r="K397" s="1048"/>
      <c r="L397" s="1048"/>
      <c r="M397" s="1048"/>
      <c r="N397" s="1048"/>
      <c r="O397" s="1048"/>
      <c r="P397" s="1048"/>
      <c r="Q397" s="1048"/>
      <c r="R397" s="1048"/>
      <c r="S397" s="1048"/>
      <c r="T397" s="1048"/>
      <c r="U397" s="1102"/>
    </row>
    <row r="398" spans="2:21" hidden="1" outlineLevel="2">
      <c r="B398" s="1050">
        <v>7</v>
      </c>
      <c r="C398" s="1050" t="str">
        <f t="shared" si="69"/>
        <v>-</v>
      </c>
      <c r="D398" s="1051">
        <f t="shared" si="70"/>
        <v>2</v>
      </c>
      <c r="E398" s="1051" t="str">
        <f>IF(COUNTIF(E$391:E397,F398)&gt;0,"",F398)</f>
        <v/>
      </c>
      <c r="F398" s="1051" t="str">
        <f t="shared" si="71"/>
        <v/>
      </c>
      <c r="G398" s="1055" t="str">
        <f t="shared" si="72"/>
        <v/>
      </c>
      <c r="I398" s="2367"/>
      <c r="J398" s="1048"/>
      <c r="K398" s="1048"/>
      <c r="L398" s="1048"/>
      <c r="M398" s="1048"/>
      <c r="N398" s="1048"/>
      <c r="O398" s="1048"/>
      <c r="P398" s="1048"/>
      <c r="Q398" s="1048"/>
      <c r="R398" s="1048"/>
      <c r="S398" s="1048"/>
      <c r="T398" s="1048"/>
      <c r="U398" s="1102"/>
    </row>
    <row r="399" spans="2:21" ht="13.2" hidden="1" outlineLevel="2">
      <c r="B399" s="1050">
        <v>8</v>
      </c>
      <c r="C399" s="1050" t="str">
        <f t="shared" si="69"/>
        <v>-</v>
      </c>
      <c r="D399" s="1051">
        <f t="shared" si="70"/>
        <v>2</v>
      </c>
      <c r="E399" s="1051" t="str">
        <f>IF(COUNTIF(E$391:E398,F399)&gt;0,"",F399)</f>
        <v/>
      </c>
      <c r="F399" s="1051" t="str">
        <f t="shared" si="71"/>
        <v/>
      </c>
      <c r="G399" s="1055" t="str">
        <f t="shared" si="72"/>
        <v/>
      </c>
      <c r="I399" s="2368"/>
      <c r="J399" s="2197"/>
      <c r="K399" s="2197"/>
      <c r="L399" s="2197"/>
      <c r="M399" s="2197"/>
      <c r="N399" s="2197"/>
      <c r="O399" s="2197"/>
      <c r="P399" s="2197"/>
      <c r="Q399" s="2197"/>
      <c r="R399" s="2197"/>
      <c r="S399" s="2197"/>
      <c r="T399" s="2197"/>
      <c r="U399" s="2198"/>
    </row>
    <row r="400" spans="2:21" ht="13.2" hidden="1" outlineLevel="1">
      <c r="B400" s="1045"/>
      <c r="C400" s="1045"/>
      <c r="D400" s="1045"/>
      <c r="E400" s="1045"/>
      <c r="F400" s="1045"/>
      <c r="G400" s="1135"/>
      <c r="I400" s="1746"/>
      <c r="J400" s="2358"/>
      <c r="K400" s="2358"/>
      <c r="L400" s="2358"/>
      <c r="M400" s="2358"/>
      <c r="N400" s="2358"/>
      <c r="O400" s="2358"/>
      <c r="P400" s="2358"/>
      <c r="Q400" s="2358"/>
      <c r="R400" s="2358"/>
      <c r="S400" s="2358"/>
      <c r="T400" s="2358"/>
      <c r="U400" s="2063"/>
    </row>
    <row r="401" spans="2:21" ht="13.2" hidden="1" outlineLevel="1" collapsed="1">
      <c r="B401" s="3156" t="s">
        <v>2353</v>
      </c>
      <c r="C401" s="3156"/>
      <c r="D401" s="1051">
        <v>0</v>
      </c>
      <c r="E401" s="1051"/>
      <c r="F401" s="1051"/>
      <c r="G401" s="1055"/>
      <c r="I401" s="1746"/>
      <c r="J401" s="2358"/>
      <c r="K401" s="2358"/>
      <c r="L401" s="2358"/>
      <c r="M401" s="2358"/>
      <c r="N401" s="2358"/>
      <c r="O401" s="2358"/>
      <c r="P401" s="2358"/>
      <c r="Q401" s="2358"/>
      <c r="R401" s="2358"/>
      <c r="S401" s="2358"/>
      <c r="T401" s="2358"/>
      <c r="U401" s="2063"/>
    </row>
    <row r="402" spans="2:21" ht="13.2" hidden="1" outlineLevel="2">
      <c r="B402" s="1050">
        <v>1</v>
      </c>
      <c r="C402" s="1050" t="str">
        <f>IF(ISNA(VLOOKUP(B402,$D$401:$E$411,2,FALSE)),"-",VLOOKUP(B402,$D$401:$E$411,2,FALSE))</f>
        <v>Ordures ménagères résiduelles - Fin de vie moyenne - Impacts, France continentale, Base Carbone</v>
      </c>
      <c r="D402" s="1051">
        <f>D401+IF(LEN(E402)&gt;0,1,0)</f>
        <v>1</v>
      </c>
      <c r="E402" s="1051" t="str">
        <f>IF(COUNTIF(E$401:E401,F402)&gt;0,"",F402)</f>
        <v>Ordures ménagères résiduelles - Fin de vie moyenne - Impacts, France continentale, Base Carbone</v>
      </c>
      <c r="F402" s="1051" t="str">
        <f>IF(I402&lt;&gt;"",I402&amp;IF(L402&lt;&gt;"",", "&amp;L402,"")&amp;IF(K402&lt;&gt;"",", "&amp;K402,""),"")</f>
        <v>Ordures ménagères résiduelles - Fin de vie moyenne - Impacts, France continentale, Base Carbone</v>
      </c>
      <c r="G402" s="1055" t="str">
        <f>IF(F402&lt;&gt;"",F402&amp;IF(J402&lt;&gt;"","; "&amp;J402&amp;IF(N402&lt;&gt;"",", "&amp;N402,),""),"")</f>
        <v>Ordures ménagères résiduelles - Fin de vie moyenne - Impacts, France continentale, Base Carbone; kgCO2e/tonne</v>
      </c>
      <c r="I402" s="2304" t="s">
        <v>4943</v>
      </c>
      <c r="J402" s="2305" t="s">
        <v>1585</v>
      </c>
      <c r="K402" s="2305" t="s">
        <v>1567</v>
      </c>
      <c r="L402" s="2305" t="s">
        <v>1571</v>
      </c>
      <c r="M402" s="2334">
        <v>0.5</v>
      </c>
      <c r="N402" s="14"/>
      <c r="O402" s="14">
        <v>386</v>
      </c>
      <c r="P402" s="2336">
        <v>386</v>
      </c>
      <c r="Q402" s="1980">
        <v>0</v>
      </c>
      <c r="R402" s="1980">
        <v>0</v>
      </c>
      <c r="S402" s="1980">
        <v>0</v>
      </c>
      <c r="T402" s="1980">
        <v>0</v>
      </c>
      <c r="U402" s="2036">
        <v>0</v>
      </c>
    </row>
    <row r="403" spans="2:21" ht="13.2" hidden="1" outlineLevel="2">
      <c r="B403" s="1050">
        <v>2</v>
      </c>
      <c r="C403" s="1050" t="str">
        <f t="shared" ref="C403:C411" si="73">IF(ISNA(VLOOKUP(B403,$D$401:$E$411,2,FALSE)),"-",VLOOKUP(B403,$D$401:$E$411,2,FALSE))</f>
        <v>Ordures ménagères résiduelles - Incinération - Impacts, France continentale, Base Carbone</v>
      </c>
      <c r="D403" s="1051">
        <f t="shared" ref="D403:D411" si="74">D402+IF(LEN(E403)&gt;0,1,0)</f>
        <v>2</v>
      </c>
      <c r="E403" s="1051" t="str">
        <f>IF(COUNTIF(E$401:E402,F403)&gt;0,"",F403)</f>
        <v>Ordures ménagères résiduelles - Incinération - Impacts, France continentale, Base Carbone</v>
      </c>
      <c r="F403" s="1051" t="str">
        <f t="shared" ref="F403:F411" si="75">IF(I403&lt;&gt;"",I403&amp;IF(L403&lt;&gt;"",", "&amp;L403,"")&amp;IF(K403&lt;&gt;"",", "&amp;K403,""),"")</f>
        <v>Ordures ménagères résiduelles - Incinération - Impacts, France continentale, Base Carbone</v>
      </c>
      <c r="G403" s="1055" t="str">
        <f t="shared" ref="G403:G411" si="76">IF(F403&lt;&gt;"",F403&amp;IF(J403&lt;&gt;"","; "&amp;J403&amp;IF(N403&lt;&gt;"",", "&amp;N403,),""),"")</f>
        <v>Ordures ménagères résiduelles - Incinération - Impacts, France continentale, Base Carbone; kgCO2e/tonne</v>
      </c>
      <c r="I403" s="2304" t="s">
        <v>4944</v>
      </c>
      <c r="J403" s="2305" t="s">
        <v>1585</v>
      </c>
      <c r="K403" s="2305" t="s">
        <v>1567</v>
      </c>
      <c r="L403" s="2305" t="s">
        <v>1571</v>
      </c>
      <c r="M403" s="2334">
        <v>0.2</v>
      </c>
      <c r="N403" s="14"/>
      <c r="O403" s="14">
        <v>374</v>
      </c>
      <c r="P403" s="2336">
        <v>374</v>
      </c>
      <c r="Q403" s="1980">
        <v>0</v>
      </c>
      <c r="R403" s="1980">
        <v>0</v>
      </c>
      <c r="S403" s="1980">
        <v>0</v>
      </c>
      <c r="T403" s="1980">
        <v>0</v>
      </c>
      <c r="U403" s="2036">
        <v>0</v>
      </c>
    </row>
    <row r="404" spans="2:21" ht="13.2" hidden="1" outlineLevel="2">
      <c r="B404" s="1050">
        <v>3</v>
      </c>
      <c r="C404" s="1050" t="str">
        <f t="shared" si="73"/>
        <v>Ordures ménagères résiduelles - Stockage - Impacts, France continentale, Base Carbone</v>
      </c>
      <c r="D404" s="1051">
        <f t="shared" si="74"/>
        <v>3</v>
      </c>
      <c r="E404" s="1051" t="str">
        <f>IF(COUNTIF(E$401:E403,F404)&gt;0,"",F404)</f>
        <v>Ordures ménagères résiduelles - Stockage - Impacts, France continentale, Base Carbone</v>
      </c>
      <c r="F404" s="1051" t="str">
        <f t="shared" si="75"/>
        <v>Ordures ménagères résiduelles - Stockage - Impacts, France continentale, Base Carbone</v>
      </c>
      <c r="G404" s="1055" t="str">
        <f t="shared" si="76"/>
        <v>Ordures ménagères résiduelles - Stockage - Impacts, France continentale, Base Carbone; kgCO2e/tonne</v>
      </c>
      <c r="I404" s="2304" t="s">
        <v>4945</v>
      </c>
      <c r="J404" s="2305" t="s">
        <v>1585</v>
      </c>
      <c r="K404" s="2305" t="s">
        <v>1567</v>
      </c>
      <c r="L404" s="2305" t="s">
        <v>1571</v>
      </c>
      <c r="M404" s="2334">
        <v>1</v>
      </c>
      <c r="N404" s="14"/>
      <c r="O404" s="14">
        <v>412</v>
      </c>
      <c r="P404" s="2336">
        <v>412</v>
      </c>
      <c r="Q404" s="1980">
        <v>0</v>
      </c>
      <c r="R404" s="1980">
        <v>0</v>
      </c>
      <c r="S404" s="1980">
        <v>0</v>
      </c>
      <c r="T404" s="1980">
        <v>0</v>
      </c>
      <c r="U404" s="2036">
        <v>0</v>
      </c>
    </row>
    <row r="405" spans="2:21" ht="13.2" hidden="1" outlineLevel="2">
      <c r="B405" s="1050">
        <v>4</v>
      </c>
      <c r="C405" s="1050" t="str">
        <f t="shared" si="73"/>
        <v>-</v>
      </c>
      <c r="D405" s="1051">
        <f t="shared" si="74"/>
        <v>3</v>
      </c>
      <c r="E405" s="1051" t="str">
        <f>IF(COUNTIF(E$401:E404,F405)&gt;0,"",F405)</f>
        <v/>
      </c>
      <c r="F405" s="1051" t="str">
        <f t="shared" si="75"/>
        <v/>
      </c>
      <c r="G405" s="1055" t="str">
        <f t="shared" si="76"/>
        <v/>
      </c>
      <c r="I405" s="2360"/>
      <c r="J405" s="14"/>
      <c r="K405" s="14"/>
      <c r="L405" s="14"/>
      <c r="M405" s="14"/>
      <c r="N405" s="14"/>
      <c r="O405" s="14"/>
      <c r="P405" s="14"/>
      <c r="Q405" s="14"/>
      <c r="R405" s="14"/>
      <c r="S405" s="14"/>
      <c r="T405" s="14"/>
      <c r="U405" s="2361"/>
    </row>
    <row r="406" spans="2:21" ht="13.2" hidden="1" outlineLevel="2">
      <c r="B406" s="1050">
        <v>5</v>
      </c>
      <c r="C406" s="1050" t="str">
        <f t="shared" si="73"/>
        <v>-</v>
      </c>
      <c r="D406" s="1051">
        <f t="shared" si="74"/>
        <v>3</v>
      </c>
      <c r="E406" s="1051" t="str">
        <f>IF(COUNTIF(E$401:E405,F406)&gt;0,"",F406)</f>
        <v/>
      </c>
      <c r="F406" s="1051" t="str">
        <f t="shared" si="75"/>
        <v/>
      </c>
      <c r="G406" s="1055" t="str">
        <f t="shared" si="76"/>
        <v/>
      </c>
      <c r="I406" s="2360"/>
      <c r="J406" s="14"/>
      <c r="K406" s="14"/>
      <c r="L406" s="14"/>
      <c r="M406" s="14"/>
      <c r="N406" s="14"/>
      <c r="O406" s="14"/>
      <c r="P406" s="14"/>
      <c r="Q406" s="14"/>
      <c r="R406" s="14"/>
      <c r="S406" s="14"/>
      <c r="T406" s="14"/>
      <c r="U406" s="2361"/>
    </row>
    <row r="407" spans="2:21" ht="13.2" hidden="1" outlineLevel="2">
      <c r="B407" s="1050">
        <v>6</v>
      </c>
      <c r="C407" s="1050" t="str">
        <f t="shared" si="73"/>
        <v>-</v>
      </c>
      <c r="D407" s="1051">
        <f t="shared" si="74"/>
        <v>3</v>
      </c>
      <c r="E407" s="1051" t="str">
        <f>IF(COUNTIF(E$401:E406,F407)&gt;0,"",F407)</f>
        <v/>
      </c>
      <c r="F407" s="1051" t="str">
        <f t="shared" si="75"/>
        <v/>
      </c>
      <c r="G407" s="1055" t="str">
        <f t="shared" si="76"/>
        <v/>
      </c>
      <c r="I407" s="2360"/>
      <c r="J407" s="14"/>
      <c r="K407" s="14"/>
      <c r="L407" s="14"/>
      <c r="M407" s="14"/>
      <c r="N407" s="14"/>
      <c r="O407" s="14"/>
      <c r="P407" s="14"/>
      <c r="Q407" s="14"/>
      <c r="R407" s="14"/>
      <c r="S407" s="14"/>
      <c r="T407" s="14"/>
      <c r="U407" s="2361"/>
    </row>
    <row r="408" spans="2:21" ht="13.2" hidden="1" outlineLevel="2">
      <c r="B408" s="1050">
        <v>7</v>
      </c>
      <c r="C408" s="1050" t="str">
        <f t="shared" si="73"/>
        <v>-</v>
      </c>
      <c r="D408" s="1051">
        <f t="shared" si="74"/>
        <v>3</v>
      </c>
      <c r="E408" s="1051" t="str">
        <f>IF(COUNTIF(E$401:E407,F408)&gt;0,"",F408)</f>
        <v/>
      </c>
      <c r="F408" s="1051" t="str">
        <f t="shared" si="75"/>
        <v/>
      </c>
      <c r="G408" s="1055" t="str">
        <f t="shared" si="76"/>
        <v/>
      </c>
      <c r="I408" s="2360"/>
      <c r="J408" s="14"/>
      <c r="K408" s="14"/>
      <c r="L408" s="14"/>
      <c r="M408" s="14"/>
      <c r="N408" s="14"/>
      <c r="O408" s="14"/>
      <c r="P408" s="14"/>
      <c r="Q408" s="14"/>
      <c r="R408" s="14"/>
      <c r="S408" s="14"/>
      <c r="T408" s="14"/>
      <c r="U408" s="2361"/>
    </row>
    <row r="409" spans="2:21" ht="13.2" hidden="1" outlineLevel="2">
      <c r="B409" s="1050">
        <v>8</v>
      </c>
      <c r="C409" s="1050" t="str">
        <f t="shared" si="73"/>
        <v>-</v>
      </c>
      <c r="D409" s="1051">
        <f t="shared" si="74"/>
        <v>3</v>
      </c>
      <c r="E409" s="1051" t="str">
        <f>IF(COUNTIF(E$401:E408,F409)&gt;0,"",F409)</f>
        <v/>
      </c>
      <c r="F409" s="1051" t="str">
        <f t="shared" si="75"/>
        <v/>
      </c>
      <c r="G409" s="1055" t="str">
        <f t="shared" si="76"/>
        <v/>
      </c>
      <c r="I409" s="2360"/>
      <c r="J409" s="14"/>
      <c r="K409" s="14"/>
      <c r="L409" s="14"/>
      <c r="M409" s="14"/>
      <c r="N409" s="14"/>
      <c r="O409" s="14"/>
      <c r="P409" s="14"/>
      <c r="Q409" s="14"/>
      <c r="R409" s="14"/>
      <c r="S409" s="14"/>
      <c r="T409" s="14"/>
      <c r="U409" s="2361"/>
    </row>
    <row r="410" spans="2:21" ht="13.2" hidden="1" outlineLevel="2">
      <c r="B410" s="1050">
        <v>9</v>
      </c>
      <c r="C410" s="1050" t="str">
        <f t="shared" si="73"/>
        <v>-</v>
      </c>
      <c r="D410" s="1051">
        <f t="shared" si="74"/>
        <v>3</v>
      </c>
      <c r="E410" s="1051" t="str">
        <f>IF(COUNTIF(E$401:E409,F410)&gt;0,"",F410)</f>
        <v/>
      </c>
      <c r="F410" s="1051" t="str">
        <f t="shared" si="75"/>
        <v/>
      </c>
      <c r="G410" s="1055" t="str">
        <f t="shared" si="76"/>
        <v/>
      </c>
      <c r="I410" s="2360"/>
      <c r="J410" s="14"/>
      <c r="K410" s="14"/>
      <c r="L410" s="14"/>
      <c r="M410" s="14"/>
      <c r="N410" s="14"/>
      <c r="O410" s="14"/>
      <c r="P410" s="14"/>
      <c r="Q410" s="14"/>
      <c r="R410" s="14"/>
      <c r="S410" s="14"/>
      <c r="T410" s="14"/>
      <c r="U410" s="2361"/>
    </row>
    <row r="411" spans="2:21" ht="13.2" hidden="1" outlineLevel="2">
      <c r="B411" s="1050">
        <v>10</v>
      </c>
      <c r="C411" s="1050" t="str">
        <f t="shared" si="73"/>
        <v>-</v>
      </c>
      <c r="D411" s="1051">
        <f t="shared" si="74"/>
        <v>3</v>
      </c>
      <c r="E411" s="1051" t="str">
        <f>IF(COUNTIF(E$401:E410,F411)&gt;0,"",F411)</f>
        <v/>
      </c>
      <c r="F411" s="1051" t="str">
        <f t="shared" si="75"/>
        <v/>
      </c>
      <c r="G411" s="1055" t="str">
        <f t="shared" si="76"/>
        <v/>
      </c>
      <c r="I411" s="2360"/>
      <c r="J411" s="14"/>
      <c r="K411" s="14"/>
      <c r="L411" s="14"/>
      <c r="M411" s="14"/>
      <c r="N411" s="14"/>
      <c r="O411" s="14"/>
      <c r="P411" s="14"/>
      <c r="Q411" s="14"/>
      <c r="R411" s="14"/>
      <c r="S411" s="14"/>
      <c r="T411" s="14"/>
      <c r="U411" s="2361"/>
    </row>
    <row r="412" spans="2:21" ht="13.2" hidden="1" outlineLevel="1">
      <c r="B412" s="1045"/>
      <c r="C412" s="1045"/>
      <c r="D412" s="1045"/>
      <c r="E412" s="1045"/>
      <c r="F412" s="1045"/>
      <c r="G412" s="1135"/>
      <c r="I412" s="1765"/>
      <c r="J412" s="1766"/>
      <c r="K412" s="1766"/>
      <c r="L412" s="1766"/>
      <c r="M412" s="1766"/>
      <c r="N412" s="1766"/>
      <c r="O412" s="1766"/>
      <c r="P412" s="1766"/>
      <c r="Q412" s="1766"/>
      <c r="R412" s="1766"/>
      <c r="S412" s="1766"/>
      <c r="T412" s="1766"/>
      <c r="U412" s="2064"/>
    </row>
    <row r="413" spans="2:21"/>
    <row r="414" spans="2:21" ht="15.6" collapsed="1">
      <c r="I414" s="3167" t="s">
        <v>310</v>
      </c>
      <c r="J414" s="3168"/>
      <c r="K414" s="3168"/>
      <c r="L414" s="3168"/>
      <c r="M414" s="3168"/>
      <c r="N414" s="3168"/>
      <c r="O414" s="3168"/>
      <c r="P414" s="3168"/>
      <c r="Q414" s="3168"/>
      <c r="R414" s="3168"/>
      <c r="S414" s="3168"/>
      <c r="T414" s="3168"/>
      <c r="U414" s="3169"/>
    </row>
    <row r="415" spans="2:21" hidden="1" outlineLevel="1">
      <c r="R415" s="1083"/>
    </row>
    <row r="416" spans="2:21" ht="12.75" hidden="1" customHeight="1" outlineLevel="1">
      <c r="B416" s="3154" t="s">
        <v>1617</v>
      </c>
      <c r="C416" s="3154"/>
      <c r="D416" s="3157" t="s">
        <v>1619</v>
      </c>
      <c r="E416" s="3157"/>
      <c r="F416" s="1151" t="s">
        <v>1616</v>
      </c>
      <c r="G416" s="1053" t="s">
        <v>1618</v>
      </c>
      <c r="H416" s="1044"/>
      <c r="I416" s="1038" t="s">
        <v>1557</v>
      </c>
      <c r="J416" s="1040" t="s">
        <v>1266</v>
      </c>
      <c r="K416" s="1043" t="s">
        <v>224</v>
      </c>
      <c r="L416" s="1043" t="s">
        <v>1558</v>
      </c>
      <c r="M416" s="1039" t="s">
        <v>366</v>
      </c>
      <c r="N416" s="1040" t="s">
        <v>1559</v>
      </c>
      <c r="O416" s="1041" t="s">
        <v>1560</v>
      </c>
      <c r="P416" s="1043" t="s">
        <v>211</v>
      </c>
      <c r="Q416" s="1043" t="s">
        <v>1561</v>
      </c>
      <c r="R416" s="1041" t="s">
        <v>1562</v>
      </c>
      <c r="S416" s="1041" t="s">
        <v>267</v>
      </c>
      <c r="T416" s="1043" t="s">
        <v>1563</v>
      </c>
      <c r="U416" s="1042" t="s">
        <v>1564</v>
      </c>
    </row>
    <row r="417" spans="2:21" s="1045" customFormat="1" ht="12.75" hidden="1" customHeight="1" outlineLevel="1">
      <c r="B417" s="3156" t="s">
        <v>2356</v>
      </c>
      <c r="C417" s="3156"/>
      <c r="D417" s="1051">
        <v>0</v>
      </c>
      <c r="E417" s="1051"/>
      <c r="F417" s="1051"/>
      <c r="G417" s="1054"/>
      <c r="H417" s="1046"/>
      <c r="I417" s="1688"/>
      <c r="J417" s="1689"/>
      <c r="K417" s="1690"/>
      <c r="L417" s="1690"/>
      <c r="M417" s="1691"/>
      <c r="N417" s="1689"/>
      <c r="O417" s="1692"/>
      <c r="P417" s="1690"/>
      <c r="Q417" s="1690"/>
      <c r="R417" s="1692"/>
      <c r="S417" s="1692"/>
      <c r="T417" s="1690"/>
      <c r="U417" s="1693"/>
    </row>
    <row r="418" spans="2:21" hidden="1" outlineLevel="1">
      <c r="B418" s="1050">
        <v>1</v>
      </c>
      <c r="C418" s="1050" t="str">
        <f>IF(ISNA(VLOOKUP(B418,$D$417:$E$428,2,FALSE)),"-",VLOOKUP(B418,$D$417:$E$428,2,FALSE))</f>
        <v>Traitement des eaux usées, France continentale, Base Carbone</v>
      </c>
      <c r="D418" s="1051">
        <f>D417+IF(LEN(E418)&gt;0,1,0)</f>
        <v>1</v>
      </c>
      <c r="E418" s="1051" t="str">
        <f>IF(COUNTIF(E417:E$417,F418)&gt;0,"",F418)</f>
        <v>Traitement des eaux usées, France continentale, Base Carbone</v>
      </c>
      <c r="F418" s="1051" t="str">
        <f>IF(I418&lt;&gt;"",I418&amp;IF(L418&lt;&gt;"",", "&amp;L418,"")&amp;IF(K418&lt;&gt;"",", "&amp;K418,""),"")</f>
        <v>Traitement des eaux usées, France continentale, Base Carbone</v>
      </c>
      <c r="G418" s="1055" t="str">
        <f>IF(F418&lt;&gt;"",F418&amp;IF(J418&lt;&gt;"","; "&amp;J418&amp;IF(N418&lt;&gt;"",", "&amp;N418,),""),"")</f>
        <v>Traitement des eaux usées, France continentale, Base Carbone; kgCO2e/m3, Energie</v>
      </c>
      <c r="I418" s="1031" t="s">
        <v>2357</v>
      </c>
      <c r="J418" s="1032" t="s">
        <v>2358</v>
      </c>
      <c r="K418" s="1119" t="s">
        <v>1567</v>
      </c>
      <c r="L418" s="1032" t="s">
        <v>1571</v>
      </c>
      <c r="M418" s="1033">
        <v>0.2</v>
      </c>
      <c r="N418" s="1048" t="s">
        <v>62</v>
      </c>
      <c r="O418" s="1036">
        <f>S430+S431</f>
        <v>7.5000000000000011E-2</v>
      </c>
      <c r="P418" s="1980">
        <f>O418</f>
        <v>7.5000000000000011E-2</v>
      </c>
      <c r="Q418" s="1980">
        <v>0</v>
      </c>
      <c r="R418" s="1980">
        <v>0</v>
      </c>
      <c r="S418" s="1980">
        <v>0</v>
      </c>
      <c r="T418" s="1980">
        <v>0</v>
      </c>
      <c r="U418" s="2036">
        <v>0</v>
      </c>
    </row>
    <row r="419" spans="2:21" hidden="1" outlineLevel="1">
      <c r="B419" s="1050">
        <v>2</v>
      </c>
      <c r="C419" s="1050" t="str">
        <f t="shared" ref="C419:C428" si="77">IF(ISNA(VLOOKUP(B419,$D$417:$E$428,2,FALSE)),"-",VLOOKUP(B419,$D$417:$E$428,2,FALSE))</f>
        <v>-</v>
      </c>
      <c r="D419" s="1051">
        <f t="shared" ref="D419:D428" si="78">D418+IF(LEN(E419)&gt;0,1,0)</f>
        <v>1</v>
      </c>
      <c r="E419" s="1051" t="str">
        <f>IF(COUNTIF(E$417:E418,F419)&gt;0,"",F419)</f>
        <v/>
      </c>
      <c r="F419" s="1051" t="str">
        <f t="shared" ref="F419:F428" si="79">IF(I419&lt;&gt;"",I419&amp;IF(L419&lt;&gt;"",", "&amp;L419,"")&amp;IF(K419&lt;&gt;"",", "&amp;K419,""),"")</f>
        <v>Traitement des eaux usées, France continentale, Base Carbone</v>
      </c>
      <c r="G419" s="1055" t="str">
        <f t="shared" ref="G419:G428" si="80">IF(F419&lt;&gt;"",F419&amp;IF(J419&lt;&gt;"","; "&amp;J419&amp;IF(N419&lt;&gt;"",", "&amp;N419,),""),"")</f>
        <v>Traitement des eaux usées, France continentale, Base Carbone; kgCO2e/m3, Transport</v>
      </c>
      <c r="I419" s="1100" t="s">
        <v>2357</v>
      </c>
      <c r="J419" s="1048" t="s">
        <v>2358</v>
      </c>
      <c r="K419" s="1119" t="s">
        <v>1567</v>
      </c>
      <c r="L419" s="1032" t="s">
        <v>1571</v>
      </c>
      <c r="M419" s="1033">
        <v>0.2</v>
      </c>
      <c r="N419" s="1048" t="s">
        <v>2359</v>
      </c>
      <c r="O419" s="1036">
        <f>S432</f>
        <v>3.2000000000000001E-2</v>
      </c>
      <c r="P419" s="1980">
        <f>O419</f>
        <v>3.2000000000000001E-2</v>
      </c>
      <c r="Q419" s="1980">
        <v>0</v>
      </c>
      <c r="R419" s="1980">
        <v>0</v>
      </c>
      <c r="S419" s="1980">
        <v>0</v>
      </c>
      <c r="T419" s="1980">
        <v>0</v>
      </c>
      <c r="U419" s="2036">
        <v>0</v>
      </c>
    </row>
    <row r="420" spans="2:21" hidden="1" outlineLevel="1">
      <c r="B420" s="1050">
        <v>3</v>
      </c>
      <c r="C420" s="1050" t="str">
        <f t="shared" si="77"/>
        <v>-</v>
      </c>
      <c r="D420" s="1051">
        <f t="shared" si="78"/>
        <v>1</v>
      </c>
      <c r="E420" s="1051" t="str">
        <f>IF(COUNTIF(E$417:E419,F420)&gt;0,"",F420)</f>
        <v/>
      </c>
      <c r="F420" s="1051" t="str">
        <f t="shared" si="79"/>
        <v>Traitement des eaux usées, France continentale, Base Carbone</v>
      </c>
      <c r="G420" s="1055" t="str">
        <f t="shared" si="80"/>
        <v>Traitement des eaux usées, France continentale, Base Carbone; kgCO2e/m3, Emissions fugitives</v>
      </c>
      <c r="I420" s="1100" t="s">
        <v>2357</v>
      </c>
      <c r="J420" s="1048" t="s">
        <v>2358</v>
      </c>
      <c r="K420" s="1119" t="s">
        <v>1567</v>
      </c>
      <c r="L420" s="1032" t="s">
        <v>1571</v>
      </c>
      <c r="M420" s="1033">
        <v>0.2</v>
      </c>
      <c r="N420" s="1048" t="s">
        <v>1764</v>
      </c>
      <c r="O420" s="1036">
        <f>S433+S434+S435+S436</f>
        <v>0.10200000000000001</v>
      </c>
      <c r="P420" s="1980">
        <v>0</v>
      </c>
      <c r="Q420" s="1980">
        <v>0</v>
      </c>
      <c r="R420" s="1980">
        <v>0</v>
      </c>
      <c r="S420" s="1980">
        <f>O420</f>
        <v>0.10200000000000001</v>
      </c>
      <c r="T420" s="1980">
        <v>0</v>
      </c>
      <c r="U420" s="2036">
        <v>0</v>
      </c>
    </row>
    <row r="421" spans="2:21" hidden="1" outlineLevel="1">
      <c r="B421" s="1050">
        <v>4</v>
      </c>
      <c r="C421" s="1050" t="str">
        <f t="shared" si="77"/>
        <v>-</v>
      </c>
      <c r="D421" s="1051">
        <f t="shared" si="78"/>
        <v>1</v>
      </c>
      <c r="E421" s="1051" t="str">
        <f>IF(COUNTIF(E$417:E420,F421)&gt;0,"",F421)</f>
        <v/>
      </c>
      <c r="F421" s="1051" t="str">
        <f t="shared" si="79"/>
        <v>Traitement des eaux usées, France continentale, Base Carbone</v>
      </c>
      <c r="G421" s="1055" t="str">
        <f t="shared" si="80"/>
        <v>Traitement des eaux usées, France continentale, Base Carbone; kgCO2e/m3, Intrants</v>
      </c>
      <c r="I421" s="1100" t="s">
        <v>2357</v>
      </c>
      <c r="J421" s="1048" t="s">
        <v>2358</v>
      </c>
      <c r="K421" s="1119" t="s">
        <v>1567</v>
      </c>
      <c r="L421" s="1032" t="s">
        <v>1571</v>
      </c>
      <c r="M421" s="1033">
        <v>0.2</v>
      </c>
      <c r="N421" s="1048" t="s">
        <v>17</v>
      </c>
      <c r="O421" s="1036">
        <f>S437</f>
        <v>5.2999999999999999E-2</v>
      </c>
      <c r="P421" s="1980">
        <f>O421</f>
        <v>5.2999999999999999E-2</v>
      </c>
      <c r="Q421" s="1980">
        <v>0</v>
      </c>
      <c r="R421" s="1980">
        <v>0</v>
      </c>
      <c r="S421" s="1980">
        <v>0</v>
      </c>
      <c r="T421" s="1980">
        <v>0</v>
      </c>
      <c r="U421" s="2036">
        <v>0</v>
      </c>
    </row>
    <row r="422" spans="2:21" hidden="1" outlineLevel="1">
      <c r="B422" s="1050">
        <v>5</v>
      </c>
      <c r="C422" s="1050" t="str">
        <f t="shared" si="77"/>
        <v>-</v>
      </c>
      <c r="D422" s="1051">
        <f t="shared" si="78"/>
        <v>1</v>
      </c>
      <c r="E422" s="1051" t="str">
        <f>IF(COUNTIF(E$417:E421,F422)&gt;0,"",F422)</f>
        <v/>
      </c>
      <c r="F422" s="1051" t="str">
        <f t="shared" si="79"/>
        <v/>
      </c>
      <c r="G422" s="1055" t="str">
        <f t="shared" si="80"/>
        <v/>
      </c>
      <c r="I422" s="1100"/>
      <c r="J422" s="1048"/>
      <c r="K422" s="1119"/>
      <c r="L422" s="1032"/>
      <c r="M422" s="1033"/>
      <c r="N422" s="1048"/>
      <c r="O422" s="1036"/>
      <c r="P422" s="1980"/>
      <c r="Q422" s="1036"/>
      <c r="R422" s="1036"/>
      <c r="S422" s="1036"/>
      <c r="T422" s="1036"/>
      <c r="U422" s="1037"/>
    </row>
    <row r="423" spans="2:21" ht="12" hidden="1" customHeight="1" outlineLevel="1">
      <c r="B423" s="1050">
        <v>6</v>
      </c>
      <c r="C423" s="1050" t="str">
        <f t="shared" si="77"/>
        <v>-</v>
      </c>
      <c r="D423" s="1051">
        <f t="shared" si="78"/>
        <v>1</v>
      </c>
      <c r="E423" s="1051" t="str">
        <f>IF(COUNTIF(E$417:E422,F423)&gt;0,"",F423)</f>
        <v/>
      </c>
      <c r="F423" s="1051" t="str">
        <f t="shared" si="79"/>
        <v/>
      </c>
      <c r="G423" s="1055" t="str">
        <f t="shared" si="80"/>
        <v/>
      </c>
      <c r="I423" s="1100"/>
      <c r="J423" s="1048"/>
      <c r="K423" s="1119"/>
      <c r="L423" s="1032"/>
      <c r="M423" s="1033"/>
      <c r="N423" s="1048"/>
      <c r="O423" s="1036"/>
      <c r="P423" s="1980"/>
      <c r="Q423" s="1036"/>
      <c r="R423" s="1036"/>
      <c r="S423" s="1036"/>
      <c r="T423" s="1036"/>
      <c r="U423" s="1037"/>
    </row>
    <row r="424" spans="2:21" ht="12" hidden="1" customHeight="1" outlineLevel="1">
      <c r="B424" s="1050">
        <v>7</v>
      </c>
      <c r="C424" s="1050" t="str">
        <f t="shared" si="77"/>
        <v>-</v>
      </c>
      <c r="D424" s="1051">
        <f t="shared" si="78"/>
        <v>1</v>
      </c>
      <c r="E424" s="1051" t="str">
        <f>IF(COUNTIF(E$417:E423,F424)&gt;0,"",F424)</f>
        <v/>
      </c>
      <c r="F424" s="1051" t="str">
        <f t="shared" si="79"/>
        <v/>
      </c>
      <c r="G424" s="1055" t="str">
        <f t="shared" si="80"/>
        <v/>
      </c>
      <c r="I424" s="1100"/>
      <c r="J424" s="1048"/>
      <c r="K424" s="1119"/>
      <c r="L424" s="1032"/>
      <c r="M424" s="1033"/>
      <c r="N424" s="1048"/>
      <c r="O424" s="1036"/>
      <c r="P424" s="1980"/>
      <c r="Q424" s="1036"/>
      <c r="R424" s="1036"/>
      <c r="S424" s="1036"/>
      <c r="T424" s="1036"/>
      <c r="U424" s="1037"/>
    </row>
    <row r="425" spans="2:21" hidden="1" outlineLevel="1">
      <c r="B425" s="1050">
        <v>8</v>
      </c>
      <c r="C425" s="1050" t="str">
        <f t="shared" si="77"/>
        <v>-</v>
      </c>
      <c r="D425" s="1051">
        <f t="shared" si="78"/>
        <v>1</v>
      </c>
      <c r="E425" s="1051" t="str">
        <f>IF(COUNTIF(E$417:E424,F425)&gt;0,"",F425)</f>
        <v/>
      </c>
      <c r="F425" s="1051" t="str">
        <f t="shared" si="79"/>
        <v/>
      </c>
      <c r="G425" s="1055" t="str">
        <f t="shared" si="80"/>
        <v/>
      </c>
      <c r="I425" s="2018"/>
      <c r="J425" s="1135"/>
      <c r="K425" s="1119"/>
      <c r="L425" s="1119"/>
      <c r="M425" s="1033"/>
      <c r="N425" s="1135"/>
      <c r="O425" s="2040"/>
      <c r="P425" s="1036"/>
      <c r="Q425" s="1036"/>
      <c r="R425" s="1036"/>
      <c r="S425" s="1980"/>
      <c r="T425" s="1036"/>
      <c r="U425" s="1037"/>
    </row>
    <row r="426" spans="2:21" hidden="1" outlineLevel="1">
      <c r="B426" s="1050">
        <v>9</v>
      </c>
      <c r="C426" s="1050" t="str">
        <f t="shared" si="77"/>
        <v>-</v>
      </c>
      <c r="D426" s="1051">
        <f t="shared" si="78"/>
        <v>1</v>
      </c>
      <c r="E426" s="1051" t="str">
        <f>IF(COUNTIF(E$417:E425,F426)&gt;0,"",F426)</f>
        <v/>
      </c>
      <c r="F426" s="1051" t="str">
        <f t="shared" si="79"/>
        <v/>
      </c>
      <c r="G426" s="1055" t="str">
        <f t="shared" si="80"/>
        <v/>
      </c>
      <c r="I426" s="2018"/>
      <c r="J426" s="1135"/>
      <c r="K426" s="1119"/>
      <c r="L426" s="1119"/>
      <c r="M426" s="1033"/>
      <c r="N426" s="1135"/>
      <c r="O426" s="1135"/>
      <c r="P426" s="1036"/>
      <c r="Q426" s="1036"/>
      <c r="R426" s="1980"/>
      <c r="S426" s="1036"/>
      <c r="T426" s="1036"/>
      <c r="U426" s="1037"/>
    </row>
    <row r="427" spans="2:21" hidden="1" outlineLevel="1">
      <c r="B427" s="1050">
        <v>10</v>
      </c>
      <c r="C427" s="1050" t="str">
        <f t="shared" si="77"/>
        <v>-</v>
      </c>
      <c r="D427" s="1051">
        <f t="shared" si="78"/>
        <v>1</v>
      </c>
      <c r="E427" s="1051" t="str">
        <f>IF(COUNTIF(E$417:E426,F427)&gt;0,"",F427)</f>
        <v/>
      </c>
      <c r="F427" s="1051" t="str">
        <f t="shared" si="79"/>
        <v/>
      </c>
      <c r="G427" s="1055" t="str">
        <f t="shared" si="80"/>
        <v/>
      </c>
      <c r="I427" s="1100"/>
      <c r="U427" s="1102"/>
    </row>
    <row r="428" spans="2:21" hidden="1" outlineLevel="1">
      <c r="B428" s="1050">
        <v>11</v>
      </c>
      <c r="C428" s="1050" t="str">
        <f t="shared" si="77"/>
        <v>-</v>
      </c>
      <c r="D428" s="1051">
        <f t="shared" si="78"/>
        <v>1</v>
      </c>
      <c r="E428" s="1051" t="str">
        <f>IF(COUNTIF(E$417:E427,F428)&gt;0,"",F428)</f>
        <v/>
      </c>
      <c r="F428" s="1051" t="str">
        <f t="shared" si="79"/>
        <v/>
      </c>
      <c r="G428" s="1055" t="str">
        <f t="shared" si="80"/>
        <v/>
      </c>
      <c r="I428" s="1103"/>
      <c r="J428" s="1104"/>
      <c r="K428" s="1104"/>
      <c r="L428" s="1104"/>
      <c r="M428" s="1104"/>
      <c r="N428" s="1104"/>
      <c r="O428" s="1104"/>
      <c r="P428" s="1104"/>
      <c r="Q428" s="1104"/>
      <c r="R428" s="1104"/>
      <c r="S428" s="1104"/>
      <c r="T428" s="1104"/>
      <c r="U428" s="1106"/>
    </row>
    <row r="429" spans="2:21" hidden="1" outlineLevel="1">
      <c r="S429" s="1748" t="s">
        <v>2358</v>
      </c>
    </row>
    <row r="430" spans="2:21" ht="12" hidden="1" customHeight="1" outlineLevel="1">
      <c r="J430" s="3203" t="s">
        <v>2479</v>
      </c>
      <c r="K430" s="3200" t="s">
        <v>62</v>
      </c>
      <c r="L430" s="3201"/>
      <c r="M430" s="3202"/>
      <c r="N430" s="3200" t="s">
        <v>2360</v>
      </c>
      <c r="O430" s="3201"/>
      <c r="P430" s="3201"/>
      <c r="Q430" s="3201"/>
      <c r="R430" s="3202"/>
      <c r="S430" s="1099">
        <v>1.7000000000000001E-2</v>
      </c>
    </row>
    <row r="431" spans="2:21" ht="12" hidden="1" customHeight="1" outlineLevel="1">
      <c r="J431" s="3204"/>
      <c r="K431" s="3200" t="s">
        <v>62</v>
      </c>
      <c r="L431" s="3201"/>
      <c r="M431" s="3202"/>
      <c r="N431" s="3200" t="s">
        <v>2361</v>
      </c>
      <c r="O431" s="3201"/>
      <c r="P431" s="3201"/>
      <c r="Q431" s="3201"/>
      <c r="R431" s="3202"/>
      <c r="S431" s="1102">
        <v>5.8000000000000003E-2</v>
      </c>
    </row>
    <row r="432" spans="2:21" ht="12" hidden="1" customHeight="1" outlineLevel="1">
      <c r="J432" s="3204"/>
      <c r="K432" s="3200" t="s">
        <v>2359</v>
      </c>
      <c r="L432" s="3201"/>
      <c r="M432" s="3202"/>
      <c r="N432" s="3200" t="s">
        <v>2362</v>
      </c>
      <c r="O432" s="3201"/>
      <c r="P432" s="3201"/>
      <c r="Q432" s="3201"/>
      <c r="R432" s="3202"/>
      <c r="S432" s="1102">
        <v>3.2000000000000001E-2</v>
      </c>
    </row>
    <row r="433" spans="9:21" ht="12" hidden="1" customHeight="1" outlineLevel="1">
      <c r="J433" s="3204"/>
      <c r="K433" s="3200" t="s">
        <v>1764</v>
      </c>
      <c r="L433" s="3201"/>
      <c r="M433" s="3202"/>
      <c r="N433" s="3200" t="s">
        <v>2363</v>
      </c>
      <c r="O433" s="3201"/>
      <c r="P433" s="3201"/>
      <c r="Q433" s="3201"/>
      <c r="R433" s="3202"/>
      <c r="S433" s="1102">
        <v>1.2E-2</v>
      </c>
    </row>
    <row r="434" spans="9:21" ht="12" hidden="1" customHeight="1" outlineLevel="1">
      <c r="J434" s="3204"/>
      <c r="K434" s="3200" t="s">
        <v>1764</v>
      </c>
      <c r="L434" s="3201"/>
      <c r="M434" s="3202"/>
      <c r="N434" s="3200" t="s">
        <v>2364</v>
      </c>
      <c r="O434" s="3201"/>
      <c r="P434" s="3201"/>
      <c r="Q434" s="3201"/>
      <c r="R434" s="3202"/>
      <c r="S434" s="1102">
        <v>5.8000000000000003E-2</v>
      </c>
    </row>
    <row r="435" spans="9:21" ht="12" hidden="1" customHeight="1" outlineLevel="1">
      <c r="J435" s="3204"/>
      <c r="K435" s="3200" t="s">
        <v>1764</v>
      </c>
      <c r="L435" s="3201"/>
      <c r="M435" s="3202"/>
      <c r="N435" s="3200" t="s">
        <v>2365</v>
      </c>
      <c r="O435" s="3201"/>
      <c r="P435" s="3201"/>
      <c r="Q435" s="3201"/>
      <c r="R435" s="3202"/>
      <c r="S435" s="1102">
        <v>2.8000000000000001E-2</v>
      </c>
    </row>
    <row r="436" spans="9:21" ht="12" hidden="1" customHeight="1" outlineLevel="1">
      <c r="J436" s="3204"/>
      <c r="K436" s="3200" t="s">
        <v>1764</v>
      </c>
      <c r="L436" s="3201"/>
      <c r="M436" s="3202"/>
      <c r="N436" s="3200" t="s">
        <v>2366</v>
      </c>
      <c r="O436" s="3201"/>
      <c r="P436" s="3201"/>
      <c r="Q436" s="3201"/>
      <c r="R436" s="3202"/>
      <c r="S436" s="1102">
        <v>4.0000000000000001E-3</v>
      </c>
    </row>
    <row r="437" spans="9:21" ht="12" hidden="1" customHeight="1" outlineLevel="1">
      <c r="J437" s="3205"/>
      <c r="K437" s="3200" t="s">
        <v>17</v>
      </c>
      <c r="L437" s="3201"/>
      <c r="M437" s="3202"/>
      <c r="N437" s="3200" t="s">
        <v>2367</v>
      </c>
      <c r="O437" s="3201"/>
      <c r="P437" s="3201"/>
      <c r="Q437" s="3201"/>
      <c r="R437" s="3202"/>
      <c r="S437" s="1106">
        <v>5.2999999999999999E-2</v>
      </c>
    </row>
    <row r="438" spans="9:21"/>
    <row r="439" spans="9:21" ht="15.6" collapsed="1">
      <c r="I439" s="2916" t="s">
        <v>821</v>
      </c>
      <c r="J439" s="2917"/>
      <c r="K439" s="2917"/>
      <c r="L439" s="2917"/>
      <c r="M439" s="2917"/>
      <c r="N439" s="2917"/>
      <c r="O439" s="2917"/>
      <c r="P439" s="2917"/>
      <c r="Q439" s="2917"/>
      <c r="R439" s="2917"/>
      <c r="S439" s="2917"/>
      <c r="T439" s="2917"/>
      <c r="U439" s="2918"/>
    </row>
    <row r="440" spans="9:21" ht="13.2" hidden="1" outlineLevel="1">
      <c r="I440" s="91"/>
      <c r="J440" s="91"/>
      <c r="K440" s="91"/>
      <c r="L440" s="91"/>
      <c r="M440" s="91"/>
      <c r="N440" s="91"/>
      <c r="O440" s="91"/>
      <c r="P440" s="91"/>
      <c r="Q440" s="91"/>
      <c r="R440" s="1083"/>
    </row>
    <row r="441" spans="9:21" ht="12.75" hidden="1" customHeight="1" outlineLevel="1">
      <c r="I441" s="1675" t="s">
        <v>822</v>
      </c>
      <c r="J441" s="3173" t="s">
        <v>823</v>
      </c>
      <c r="K441" s="3174"/>
      <c r="L441" s="3173" t="s">
        <v>824</v>
      </c>
      <c r="M441" s="3174"/>
      <c r="N441" s="3173" t="s">
        <v>825</v>
      </c>
      <c r="O441" s="3174"/>
      <c r="P441" s="3175" t="s">
        <v>826</v>
      </c>
      <c r="Q441" s="3176"/>
      <c r="R441" s="3176"/>
      <c r="S441" s="3176"/>
      <c r="T441" s="3176"/>
      <c r="U441" s="3176"/>
    </row>
    <row r="442" spans="9:21" ht="12.75" hidden="1" customHeight="1" outlineLevel="1">
      <c r="I442" s="998" t="s">
        <v>1567</v>
      </c>
      <c r="J442" s="3182" t="s">
        <v>827</v>
      </c>
      <c r="K442" s="3183"/>
      <c r="L442" s="3177" t="s">
        <v>5127</v>
      </c>
      <c r="M442" s="3178"/>
      <c r="N442" s="3182" t="s">
        <v>828</v>
      </c>
      <c r="O442" s="3183"/>
      <c r="P442" s="3186" t="s">
        <v>901</v>
      </c>
      <c r="Q442" s="3187"/>
      <c r="R442" s="3187"/>
      <c r="S442" s="3187"/>
      <c r="T442" s="3187"/>
      <c r="U442" s="3188"/>
    </row>
    <row r="443" spans="9:21" ht="12.75" hidden="1" customHeight="1" outlineLevel="1">
      <c r="I443" s="998" t="s">
        <v>1784</v>
      </c>
      <c r="J443" s="3184"/>
      <c r="K443" s="3185"/>
      <c r="L443" s="3177" t="s">
        <v>1224</v>
      </c>
      <c r="M443" s="3178"/>
      <c r="N443" s="3184"/>
      <c r="O443" s="3185"/>
      <c r="P443" s="3189"/>
      <c r="Q443" s="3190"/>
      <c r="R443" s="3190"/>
      <c r="S443" s="3190"/>
      <c r="T443" s="3190"/>
      <c r="U443" s="3191"/>
    </row>
    <row r="444" spans="9:21" ht="12.75" hidden="1" customHeight="1" outlineLevel="1">
      <c r="I444" s="998" t="s">
        <v>829</v>
      </c>
      <c r="J444" s="3177" t="s">
        <v>829</v>
      </c>
      <c r="K444" s="3178"/>
      <c r="L444" s="3177" t="s">
        <v>850</v>
      </c>
      <c r="M444" s="3178"/>
      <c r="N444" s="3177" t="s">
        <v>851</v>
      </c>
      <c r="O444" s="3178"/>
      <c r="P444" s="3179" t="s">
        <v>830</v>
      </c>
      <c r="Q444" s="3180"/>
      <c r="R444" s="3180"/>
      <c r="S444" s="3180"/>
      <c r="T444" s="3180"/>
      <c r="U444" s="3181"/>
    </row>
    <row r="445" spans="9:21" ht="12.75" hidden="1" customHeight="1" outlineLevel="1">
      <c r="I445" s="998" t="s">
        <v>832</v>
      </c>
      <c r="J445" s="3177" t="s">
        <v>832</v>
      </c>
      <c r="K445" s="3178"/>
      <c r="L445" s="3177" t="s">
        <v>833</v>
      </c>
      <c r="M445" s="3178"/>
      <c r="N445" s="3177" t="s">
        <v>1553</v>
      </c>
      <c r="O445" s="3178"/>
      <c r="P445" s="3179" t="s">
        <v>834</v>
      </c>
      <c r="Q445" s="3180"/>
      <c r="R445" s="3180"/>
      <c r="S445" s="3180"/>
      <c r="T445" s="3180"/>
      <c r="U445" s="3181"/>
    </row>
    <row r="446" spans="9:21" ht="12.75" hidden="1" customHeight="1" outlineLevel="1">
      <c r="I446" s="998"/>
      <c r="J446" s="3177"/>
      <c r="K446" s="3178"/>
      <c r="L446" s="3177"/>
      <c r="M446" s="3178"/>
      <c r="N446" s="3177"/>
      <c r="O446" s="3178"/>
      <c r="P446" s="3179"/>
      <c r="Q446" s="3180"/>
      <c r="R446" s="3180"/>
      <c r="S446" s="3180"/>
      <c r="T446" s="3180"/>
      <c r="U446" s="3181"/>
    </row>
    <row r="447" spans="9:21" ht="12.75" hidden="1" customHeight="1" outlineLevel="1">
      <c r="I447" s="998"/>
      <c r="J447" s="3177"/>
      <c r="K447" s="3178"/>
      <c r="L447" s="3177"/>
      <c r="M447" s="3178"/>
      <c r="N447" s="3177"/>
      <c r="O447" s="3178"/>
      <c r="P447" s="3179"/>
      <c r="Q447" s="3180"/>
      <c r="R447" s="3180"/>
      <c r="S447" s="3180"/>
      <c r="T447" s="3180"/>
      <c r="U447" s="3181"/>
    </row>
    <row r="448" spans="9:21" ht="12.75" hidden="1" customHeight="1" outlineLevel="1">
      <c r="I448" s="998"/>
      <c r="J448" s="3177"/>
      <c r="K448" s="3178"/>
      <c r="L448" s="3177"/>
      <c r="M448" s="3178"/>
      <c r="N448" s="3177"/>
      <c r="O448" s="3178"/>
      <c r="P448" s="3179"/>
      <c r="Q448" s="3180"/>
      <c r="R448" s="3180"/>
      <c r="S448" s="3180"/>
      <c r="T448" s="3180"/>
      <c r="U448" s="3181"/>
    </row>
    <row r="449" spans="9:21" ht="12.75" hidden="1" customHeight="1" outlineLevel="1">
      <c r="I449" s="998"/>
      <c r="J449" s="3177"/>
      <c r="K449" s="3178"/>
      <c r="L449" s="3177"/>
      <c r="M449" s="3178"/>
      <c r="N449" s="3177"/>
      <c r="O449" s="3178"/>
      <c r="P449" s="3179"/>
      <c r="Q449" s="3180"/>
      <c r="R449" s="3180"/>
      <c r="S449" s="3180"/>
      <c r="T449" s="3180"/>
      <c r="U449" s="3181"/>
    </row>
    <row r="450" spans="9:21">
      <c r="R450" s="1083"/>
    </row>
    <row r="451" spans="9:21"/>
    <row r="452" spans="9:21"/>
    <row r="453" spans="9:21"/>
    <row r="454" spans="9:21"/>
    <row r="455" spans="9:21"/>
    <row r="456" spans="9:21"/>
    <row r="457" spans="9:21"/>
    <row r="458" spans="9:21"/>
    <row r="459" spans="9:21"/>
    <row r="460" spans="9:21"/>
    <row r="461" spans="9:21"/>
    <row r="462" spans="9:21"/>
    <row r="463" spans="9:21"/>
    <row r="464" spans="9:21"/>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sheetData>
  <mergeCells count="96">
    <mergeCell ref="J447:K447"/>
    <mergeCell ref="L447:M447"/>
    <mergeCell ref="N447:O447"/>
    <mergeCell ref="P447:U447"/>
    <mergeCell ref="J446:K446"/>
    <mergeCell ref="L446:M446"/>
    <mergeCell ref="N446:O446"/>
    <mergeCell ref="P446:U446"/>
    <mergeCell ref="N448:O448"/>
    <mergeCell ref="P448:U448"/>
    <mergeCell ref="J449:K449"/>
    <mergeCell ref="L449:M449"/>
    <mergeCell ref="N449:O449"/>
    <mergeCell ref="P449:U449"/>
    <mergeCell ref="J448:K448"/>
    <mergeCell ref="L448:M448"/>
    <mergeCell ref="N444:O444"/>
    <mergeCell ref="P444:U444"/>
    <mergeCell ref="J445:K445"/>
    <mergeCell ref="L445:M445"/>
    <mergeCell ref="N445:O445"/>
    <mergeCell ref="P445:U445"/>
    <mergeCell ref="J444:K444"/>
    <mergeCell ref="L444:M444"/>
    <mergeCell ref="N441:O441"/>
    <mergeCell ref="P441:U441"/>
    <mergeCell ref="J442:K443"/>
    <mergeCell ref="L442:M442"/>
    <mergeCell ref="N442:O443"/>
    <mergeCell ref="P442:U443"/>
    <mergeCell ref="L443:M443"/>
    <mergeCell ref="J441:K441"/>
    <mergeCell ref="L441:M441"/>
    <mergeCell ref="B2:C2"/>
    <mergeCell ref="J2:U5"/>
    <mergeCell ref="B3:C3"/>
    <mergeCell ref="B4:C4"/>
    <mergeCell ref="I439:U439"/>
    <mergeCell ref="N437:R437"/>
    <mergeCell ref="K435:M435"/>
    <mergeCell ref="K436:M436"/>
    <mergeCell ref="K437:M437"/>
    <mergeCell ref="N430:R430"/>
    <mergeCell ref="N431:R431"/>
    <mergeCell ref="N432:R432"/>
    <mergeCell ref="N433:R433"/>
    <mergeCell ref="N434:R434"/>
    <mergeCell ref="N435:R435"/>
    <mergeCell ref="N436:R436"/>
    <mergeCell ref="K433:M433"/>
    <mergeCell ref="J430:J437"/>
    <mergeCell ref="B380:C380"/>
    <mergeCell ref="D380:E380"/>
    <mergeCell ref="B381:C381"/>
    <mergeCell ref="I414:U414"/>
    <mergeCell ref="B416:C416"/>
    <mergeCell ref="D416:E416"/>
    <mergeCell ref="K434:M434"/>
    <mergeCell ref="B417:C417"/>
    <mergeCell ref="K430:M430"/>
    <mergeCell ref="K431:M431"/>
    <mergeCell ref="K432:M432"/>
    <mergeCell ref="I378:U378"/>
    <mergeCell ref="B30:C30"/>
    <mergeCell ref="D30:E30"/>
    <mergeCell ref="B31:C31"/>
    <mergeCell ref="I249:U249"/>
    <mergeCell ref="B251:C251"/>
    <mergeCell ref="D251:E251"/>
    <mergeCell ref="B252:C252"/>
    <mergeCell ref="I272:U272"/>
    <mergeCell ref="B274:C274"/>
    <mergeCell ref="D274:E274"/>
    <mergeCell ref="B275:C275"/>
    <mergeCell ref="I315:U315"/>
    <mergeCell ref="B317:C317"/>
    <mergeCell ref="D317:E317"/>
    <mergeCell ref="B318:C318"/>
    <mergeCell ref="B5:C5"/>
    <mergeCell ref="I28:U28"/>
    <mergeCell ref="I8:U8"/>
    <mergeCell ref="I10:U10"/>
    <mergeCell ref="B12:C12"/>
    <mergeCell ref="D12:E12"/>
    <mergeCell ref="B13:C13"/>
    <mergeCell ref="B40:C40"/>
    <mergeCell ref="B67:C67"/>
    <mergeCell ref="B91:C91"/>
    <mergeCell ref="B112:C112"/>
    <mergeCell ref="B215:C215"/>
    <mergeCell ref="B288:C288"/>
    <mergeCell ref="B332:C332"/>
    <mergeCell ref="B391:C391"/>
    <mergeCell ref="B401:C401"/>
    <mergeCell ref="B231:C231"/>
    <mergeCell ref="B352:C352"/>
  </mergeCells>
  <hyperlinks>
    <hyperlink ref="P444" r:id="rId1" xr:uid="{00000000-0004-0000-1900-000000000000}"/>
    <hyperlink ref="P445" r:id="rId2" xr:uid="{00000000-0004-0000-1900-000001000000}"/>
    <hyperlink ref="P442" r:id="rId3" xr:uid="{00000000-0004-0000-1900-000002000000}"/>
  </hyperlinks>
  <pageMargins left="0.7" right="0.7" top="0.75" bottom="0.75"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V1000"/>
  <sheetViews>
    <sheetView showGridLines="0" zoomScale="90" zoomScaleNormal="90" workbookViewId="0"/>
  </sheetViews>
  <sheetFormatPr baseColWidth="10" defaultColWidth="0" defaultRowHeight="11.4" zeroHeight="1" outlineLevelRow="2" outlineLevelCol="1"/>
  <cols>
    <col min="1" max="1" width="2.125" customWidth="1"/>
    <col min="2" max="2" width="4" customWidth="1"/>
    <col min="3" max="3" width="20.125" customWidth="1" collapsed="1"/>
    <col min="4" max="5" width="11.375" hidden="1" customWidth="1" outlineLevel="1"/>
    <col min="6" max="6" width="20" hidden="1" customWidth="1" outlineLevel="1"/>
    <col min="7" max="7" width="29.125" hidden="1" customWidth="1" outlineLevel="1"/>
    <col min="8" max="8" width="2.25" customWidth="1"/>
    <col min="9" max="9" width="79.375" customWidth="1"/>
    <col min="10" max="21" width="11.375" customWidth="1"/>
    <col min="22" max="22" width="2.25" customWidth="1"/>
    <col min="23" max="16384" width="11.375" hidden="1"/>
  </cols>
  <sheetData>
    <row r="1" spans="2:21">
      <c r="K1" s="1673"/>
      <c r="M1" s="1144"/>
      <c r="O1" s="1148"/>
      <c r="P1" s="1146"/>
      <c r="Q1" s="1146"/>
      <c r="R1" s="1146"/>
      <c r="S1" s="1146"/>
      <c r="T1" s="1146"/>
      <c r="U1" s="1146"/>
    </row>
    <row r="2" spans="2:21" ht="14.25" customHeight="1">
      <c r="B2" s="2761" t="s">
        <v>893</v>
      </c>
      <c r="C2" s="2762"/>
      <c r="J2" s="3158" t="s">
        <v>2474</v>
      </c>
      <c r="K2" s="3159"/>
      <c r="L2" s="3159"/>
      <c r="M2" s="3159"/>
      <c r="N2" s="3159"/>
      <c r="O2" s="3159"/>
      <c r="P2" s="3159"/>
      <c r="Q2" s="3159"/>
      <c r="R2" s="3159"/>
      <c r="S2" s="3159"/>
      <c r="T2" s="3159"/>
      <c r="U2" s="3160"/>
    </row>
    <row r="3" spans="2:21" ht="13.8">
      <c r="B3" s="2761" t="s">
        <v>323</v>
      </c>
      <c r="C3" s="2762"/>
      <c r="J3" s="3161"/>
      <c r="K3" s="3162"/>
      <c r="L3" s="3162"/>
      <c r="M3" s="3162"/>
      <c r="N3" s="3162"/>
      <c r="O3" s="3162"/>
      <c r="P3" s="3162"/>
      <c r="Q3" s="3162"/>
      <c r="R3" s="3162"/>
      <c r="S3" s="3162"/>
      <c r="T3" s="3162"/>
      <c r="U3" s="3163"/>
    </row>
    <row r="4" spans="2:21">
      <c r="J4" s="3161"/>
      <c r="K4" s="3162"/>
      <c r="L4" s="3162"/>
      <c r="M4" s="3162"/>
      <c r="N4" s="3162"/>
      <c r="O4" s="3162"/>
      <c r="P4" s="3162"/>
      <c r="Q4" s="3162"/>
      <c r="R4" s="3162"/>
      <c r="S4" s="3162"/>
      <c r="T4" s="3162"/>
      <c r="U4" s="3163"/>
    </row>
    <row r="5" spans="2:21">
      <c r="J5" s="3164"/>
      <c r="K5" s="3165"/>
      <c r="L5" s="3165"/>
      <c r="M5" s="3165"/>
      <c r="N5" s="3165"/>
      <c r="O5" s="3165"/>
      <c r="P5" s="3165"/>
      <c r="Q5" s="3165"/>
      <c r="R5" s="3165"/>
      <c r="S5" s="3165"/>
      <c r="T5" s="3165"/>
      <c r="U5" s="3166"/>
    </row>
    <row r="6" spans="2:21">
      <c r="R6" s="1083"/>
    </row>
    <row r="7" spans="2:21">
      <c r="R7" s="1083"/>
    </row>
    <row r="8" spans="2:21" ht="15.6">
      <c r="I8" s="3170" t="s">
        <v>2323</v>
      </c>
      <c r="J8" s="3171"/>
      <c r="K8" s="3171"/>
      <c r="L8" s="3171"/>
      <c r="M8" s="3171"/>
      <c r="N8" s="3171"/>
      <c r="O8" s="3171"/>
      <c r="P8" s="3171"/>
      <c r="Q8" s="3171"/>
      <c r="R8" s="3171"/>
      <c r="S8" s="3171"/>
      <c r="T8" s="3171"/>
      <c r="U8" s="3172"/>
    </row>
    <row r="9" spans="2:21">
      <c r="R9" s="1083"/>
    </row>
    <row r="10" spans="2:21" ht="15.6" collapsed="1">
      <c r="I10" s="3167" t="s">
        <v>2325</v>
      </c>
      <c r="J10" s="3168"/>
      <c r="K10" s="3168"/>
      <c r="L10" s="3168"/>
      <c r="M10" s="3168"/>
      <c r="N10" s="3168"/>
      <c r="O10" s="3168"/>
      <c r="P10" s="3168"/>
      <c r="Q10" s="3168"/>
      <c r="R10" s="3168"/>
      <c r="S10" s="3168"/>
      <c r="T10" s="3168"/>
      <c r="U10" s="3169"/>
    </row>
    <row r="11" spans="2:21" hidden="1" outlineLevel="1">
      <c r="R11" s="1083"/>
    </row>
    <row r="12" spans="2:21" ht="12.75" hidden="1" customHeight="1" outlineLevel="1">
      <c r="B12" s="3154" t="s">
        <v>1617</v>
      </c>
      <c r="C12" s="3154"/>
      <c r="D12" s="3157" t="s">
        <v>1619</v>
      </c>
      <c r="E12" s="3157"/>
      <c r="F12" s="1151" t="s">
        <v>1616</v>
      </c>
      <c r="G12" s="1053" t="s">
        <v>1618</v>
      </c>
      <c r="H12" s="1044"/>
      <c r="I12" s="1038" t="s">
        <v>1557</v>
      </c>
      <c r="J12" s="1040" t="s">
        <v>1266</v>
      </c>
      <c r="K12" s="1043" t="s">
        <v>224</v>
      </c>
      <c r="L12" s="1043" t="s">
        <v>1558</v>
      </c>
      <c r="M12" s="1039" t="s">
        <v>366</v>
      </c>
      <c r="N12" s="1040" t="s">
        <v>1559</v>
      </c>
      <c r="O12" s="1041" t="s">
        <v>1560</v>
      </c>
      <c r="P12" s="1043" t="s">
        <v>211</v>
      </c>
      <c r="Q12" s="1043" t="s">
        <v>1561</v>
      </c>
      <c r="R12" s="1041" t="s">
        <v>1562</v>
      </c>
      <c r="S12" s="1041" t="s">
        <v>267</v>
      </c>
      <c r="T12" s="1043" t="s">
        <v>1563</v>
      </c>
      <c r="U12" s="1042" t="s">
        <v>1564</v>
      </c>
    </row>
    <row r="13" spans="2:21" s="1045" customFormat="1" ht="12.75" hidden="1" customHeight="1" outlineLevel="1">
      <c r="B13" s="3156" t="s">
        <v>2325</v>
      </c>
      <c r="C13" s="3156"/>
      <c r="D13" s="1051">
        <v>0</v>
      </c>
      <c r="E13" s="1051"/>
      <c r="F13" s="1051"/>
      <c r="G13" s="1054"/>
      <c r="H13" s="1046"/>
      <c r="I13" s="1688"/>
      <c r="J13" s="1689"/>
      <c r="K13" s="1690"/>
      <c r="L13" s="1690"/>
      <c r="M13" s="1691"/>
      <c r="N13" s="1689"/>
      <c r="O13" s="1692"/>
      <c r="P13" s="1690"/>
      <c r="Q13" s="1690"/>
      <c r="R13" s="1692"/>
      <c r="S13" s="1692"/>
      <c r="T13" s="1690"/>
      <c r="U13" s="1693"/>
    </row>
    <row r="14" spans="2:21" hidden="1" outlineLevel="1">
      <c r="B14" s="1050">
        <v>1</v>
      </c>
      <c r="C14" s="1050" t="str">
        <f>IF(ISNA(VLOOKUP(B14,$D$14:$E$127,2,FALSE)),"-",VLOOKUP(B14,$D$14:$E$127,2,FALSE))</f>
        <v>Articulé, 34 à 40 T, diesel routier, 7% de biodiesel, France continentale, Base Carbone</v>
      </c>
      <c r="D14" s="1051">
        <f>D13+IF(LEN(E14)&gt;0,1,0)</f>
        <v>1</v>
      </c>
      <c r="E14" s="1051" t="str">
        <f>IF(COUNTIF(E$13:E13,F14)&gt;0,"",F14)</f>
        <v>Articulé, 34 à 40 T, diesel routier, 7% de biodiesel, France continentale, Base Carbone</v>
      </c>
      <c r="F14" s="1051" t="str">
        <f>IF(I14&lt;&gt;"",I14&amp;IF(L14&lt;&gt;"",", "&amp;L14,"")&amp;IF(K14&lt;&gt;"",", "&amp;K14,""),"")</f>
        <v>Articulé, 34 à 40 T, diesel routier, 7% de biodiesel, France continentale, Base Carbone</v>
      </c>
      <c r="G14" s="1055" t="str">
        <f>IF(F14&lt;&gt;"",F14&amp;IF(J14&lt;&gt;"","; "&amp;J14&amp;IF(N14&lt;&gt;"",", "&amp;N14,),""),"")</f>
        <v>Articulé, 34 à 40 T, diesel routier, 7% de biodiesel, France continentale, Base Carbone; kgCO2e/tonne.km, Combustion</v>
      </c>
      <c r="I14" s="1034" t="s">
        <v>3783</v>
      </c>
      <c r="J14" s="1119" t="s">
        <v>2324</v>
      </c>
      <c r="K14" s="1119" t="s">
        <v>1567</v>
      </c>
      <c r="L14" s="1032" t="s">
        <v>1571</v>
      </c>
      <c r="M14" s="1033">
        <v>0.7</v>
      </c>
      <c r="N14" s="1135" t="s">
        <v>1569</v>
      </c>
      <c r="O14" s="1036">
        <v>6.3100000000000003E-2</v>
      </c>
      <c r="P14" s="1980">
        <v>6.3100000000000003E-2</v>
      </c>
      <c r="Q14" s="1980">
        <v>0</v>
      </c>
      <c r="R14" s="1980">
        <v>0</v>
      </c>
      <c r="S14" s="1980">
        <v>0</v>
      </c>
      <c r="T14" s="1980">
        <v>0</v>
      </c>
      <c r="U14" s="2036">
        <v>0</v>
      </c>
    </row>
    <row r="15" spans="2:21" hidden="1" outlineLevel="1">
      <c r="B15" s="1050">
        <v>2</v>
      </c>
      <c r="C15" s="1050" t="str">
        <f t="shared" ref="C15:C72" si="0">IF(ISNA(VLOOKUP(B15,$D$14:$E$127,2,FALSE)),"-",VLOOKUP(B15,$D$14:$E$127,2,FALSE))</f>
        <v>Articulé, 34 à 40 T, GNC, France continentale, Base Carbone</v>
      </c>
      <c r="D15" s="1051">
        <f t="shared" ref="D15:D78" si="1">D14+IF(LEN(E15)&gt;0,1,0)</f>
        <v>1</v>
      </c>
      <c r="E15" s="1051" t="str">
        <f>IF(COUNTIF(E$13:E14,F15)&gt;0,"",F15)</f>
        <v/>
      </c>
      <c r="F15" s="1051" t="str">
        <f t="shared" ref="F15:F78" si="2">IF(I15&lt;&gt;"",I15&amp;IF(L15&lt;&gt;"",", "&amp;L15,"")&amp;IF(K15&lt;&gt;"",", "&amp;K15,""),"")</f>
        <v>Articulé, 34 à 40 T, diesel routier, 7% de biodiesel, France continentale, Base Carbone</v>
      </c>
      <c r="G15" s="1055" t="str">
        <f t="shared" ref="G15:G78" si="3">IF(F15&lt;&gt;"",F15&amp;IF(J15&lt;&gt;"","; "&amp;J15&amp;IF(N15&lt;&gt;"",", "&amp;N15,),""),"")</f>
        <v>Articulé, 34 à 40 T, diesel routier, 7% de biodiesel, France continentale, Base Carbone; kgCO2e/tonne.km, Amont</v>
      </c>
      <c r="I15" s="1034" t="s">
        <v>3783</v>
      </c>
      <c r="J15" s="1119" t="s">
        <v>2324</v>
      </c>
      <c r="K15" s="1119" t="s">
        <v>1567</v>
      </c>
      <c r="L15" s="1135" t="s">
        <v>1571</v>
      </c>
      <c r="M15" s="1033">
        <v>0.7</v>
      </c>
      <c r="N15" s="1135" t="s">
        <v>1570</v>
      </c>
      <c r="O15" s="1036">
        <v>1.54E-2</v>
      </c>
      <c r="P15" s="1980">
        <v>1.54E-2</v>
      </c>
      <c r="Q15" s="1980">
        <v>0</v>
      </c>
      <c r="R15" s="1980">
        <v>0</v>
      </c>
      <c r="S15" s="1980">
        <v>0</v>
      </c>
      <c r="T15" s="1980">
        <v>0</v>
      </c>
      <c r="U15" s="2036">
        <v>0</v>
      </c>
    </row>
    <row r="16" spans="2:21" hidden="1" outlineLevel="1">
      <c r="B16" s="1050">
        <v>3</v>
      </c>
      <c r="C16" s="1050" t="str">
        <f t="shared" si="0"/>
        <v>Articulé, 34 à 40 T, GNL, France continentale, Base Carbone</v>
      </c>
      <c r="D16" s="1051">
        <f t="shared" si="1"/>
        <v>1</v>
      </c>
      <c r="E16" s="1051" t="str">
        <f>IF(COUNTIF(E$13:E15,F16)&gt;0,"",F16)</f>
        <v/>
      </c>
      <c r="F16" s="1051" t="str">
        <f t="shared" si="2"/>
        <v>Articulé, 34 à 40 T, diesel routier, 7% de biodiesel, France continentale, Base Carbone</v>
      </c>
      <c r="G16" s="1055" t="str">
        <f t="shared" si="3"/>
        <v>Articulé, 34 à 40 T, diesel routier, 7% de biodiesel, France continentale, Base Carbone; kgCO2e/tonne.km, Fabrication</v>
      </c>
      <c r="I16" s="1034" t="s">
        <v>3783</v>
      </c>
      <c r="J16" s="1119" t="s">
        <v>2324</v>
      </c>
      <c r="K16" s="1119" t="s">
        <v>1567</v>
      </c>
      <c r="L16" s="1135" t="s">
        <v>1571</v>
      </c>
      <c r="M16" s="1033">
        <v>0.7</v>
      </c>
      <c r="N16" s="1135" t="s">
        <v>332</v>
      </c>
      <c r="O16" s="1036">
        <v>3.8E-3</v>
      </c>
      <c r="P16" s="1980">
        <v>3.8E-3</v>
      </c>
      <c r="Q16" s="1980">
        <v>0</v>
      </c>
      <c r="R16" s="1980">
        <v>0</v>
      </c>
      <c r="S16" s="1980">
        <v>0</v>
      </c>
      <c r="T16" s="1980">
        <v>0</v>
      </c>
      <c r="U16" s="2036">
        <v>0</v>
      </c>
    </row>
    <row r="17" spans="2:21" hidden="1" outlineLevel="1">
      <c r="B17" s="1050">
        <v>4</v>
      </c>
      <c r="C17" s="1050" t="str">
        <f t="shared" si="0"/>
        <v>Articulé, 34 à 40 T, GNL, 20% bio, France continentale, Base Carbone</v>
      </c>
      <c r="D17" s="1051">
        <f t="shared" si="1"/>
        <v>2</v>
      </c>
      <c r="E17" s="1051" t="str">
        <f>IF(COUNTIF(E$13:E16,F17)&gt;0,"",F17)</f>
        <v>Articulé, 34 à 40 T, GNC, France continentale, Base Carbone</v>
      </c>
      <c r="F17" s="1051" t="str">
        <f t="shared" si="2"/>
        <v>Articulé, 34 à 40 T, GNC, France continentale, Base Carbone</v>
      </c>
      <c r="G17" s="1055" t="str">
        <f t="shared" si="3"/>
        <v>Articulé, 34 à 40 T, GNC, France continentale, Base Carbone; kgCO2e/tonne.km, Combustion</v>
      </c>
      <c r="I17" s="1034" t="s">
        <v>3784</v>
      </c>
      <c r="J17" s="1119" t="s">
        <v>2324</v>
      </c>
      <c r="K17" s="1119" t="s">
        <v>1567</v>
      </c>
      <c r="L17" s="1135" t="s">
        <v>1571</v>
      </c>
      <c r="M17" s="1033">
        <v>0.7</v>
      </c>
      <c r="N17" s="1135" t="s">
        <v>1569</v>
      </c>
      <c r="O17" s="1036">
        <v>6.6000000000000003E-2</v>
      </c>
      <c r="P17" s="1980">
        <v>6.6000000000000003E-2</v>
      </c>
      <c r="Q17" s="1980">
        <v>0</v>
      </c>
      <c r="R17" s="1980">
        <v>0</v>
      </c>
      <c r="S17" s="1980">
        <v>0</v>
      </c>
      <c r="T17" s="1980">
        <v>0</v>
      </c>
      <c r="U17" s="2036">
        <v>0</v>
      </c>
    </row>
    <row r="18" spans="2:21" hidden="1" outlineLevel="1">
      <c r="B18" s="1050">
        <v>5</v>
      </c>
      <c r="C18" s="1050" t="str">
        <f t="shared" si="0"/>
        <v>Articulé, 40 à 44 T, diesel routier, 7% biodiesel, France continentale, Base Carbone</v>
      </c>
      <c r="D18" s="1051">
        <f t="shared" si="1"/>
        <v>2</v>
      </c>
      <c r="E18" s="1051" t="str">
        <f>IF(COUNTIF(E$13:E17,F18)&gt;0,"",F18)</f>
        <v/>
      </c>
      <c r="F18" s="1051" t="str">
        <f t="shared" si="2"/>
        <v>Articulé, 34 à 40 T, GNC, France continentale, Base Carbone</v>
      </c>
      <c r="G18" s="1055" t="str">
        <f t="shared" si="3"/>
        <v>Articulé, 34 à 40 T, GNC, France continentale, Base Carbone; kgCO2e/tonne.km, Amont</v>
      </c>
      <c r="I18" s="1034" t="s">
        <v>3784</v>
      </c>
      <c r="J18" s="1119" t="s">
        <v>2324</v>
      </c>
      <c r="K18" s="1119" t="s">
        <v>1567</v>
      </c>
      <c r="L18" s="1135" t="s">
        <v>1571</v>
      </c>
      <c r="M18" s="1033">
        <v>0.7</v>
      </c>
      <c r="N18" s="1135" t="s">
        <v>1570</v>
      </c>
      <c r="O18" s="1036">
        <v>0.01</v>
      </c>
      <c r="P18" s="1980">
        <v>0.01</v>
      </c>
      <c r="Q18" s="1980">
        <v>0</v>
      </c>
      <c r="R18" s="1980">
        <v>0</v>
      </c>
      <c r="S18" s="1980">
        <v>0</v>
      </c>
      <c r="T18" s="1980">
        <v>0</v>
      </c>
      <c r="U18" s="2036">
        <v>0</v>
      </c>
    </row>
    <row r="19" spans="2:21" hidden="1" outlineLevel="1">
      <c r="B19" s="1050">
        <v>6</v>
      </c>
      <c r="C19" s="1050" t="str">
        <f t="shared" si="0"/>
        <v>Articulé, 44 à 60 T, diesel routier, 7% biodiesel, France continentale, Base Carbone</v>
      </c>
      <c r="D19" s="1051">
        <f t="shared" si="1"/>
        <v>2</v>
      </c>
      <c r="E19" s="1051" t="str">
        <f>IF(COUNTIF(E$13:E18,F19)&gt;0,"",F19)</f>
        <v/>
      </c>
      <c r="F19" s="1051" t="str">
        <f t="shared" si="2"/>
        <v>Articulé, 34 à 40 T, GNC, France continentale, Base Carbone</v>
      </c>
      <c r="G19" s="1055" t="str">
        <f t="shared" si="3"/>
        <v>Articulé, 34 à 40 T, GNC, France continentale, Base Carbone; kgCO2e/tonne.km, Fabrication</v>
      </c>
      <c r="I19" s="1034" t="s">
        <v>3784</v>
      </c>
      <c r="J19" s="1119" t="s">
        <v>2324</v>
      </c>
      <c r="K19" s="1119" t="s">
        <v>1567</v>
      </c>
      <c r="L19" s="1135" t="s">
        <v>1571</v>
      </c>
      <c r="M19" s="1033">
        <v>0.7</v>
      </c>
      <c r="N19" s="1135" t="s">
        <v>332</v>
      </c>
      <c r="O19" s="1036">
        <v>3.8E-3</v>
      </c>
      <c r="P19" s="1980">
        <v>3.8E-3</v>
      </c>
      <c r="Q19" s="1980">
        <v>0</v>
      </c>
      <c r="R19" s="1980">
        <v>0</v>
      </c>
      <c r="S19" s="1980">
        <v>0</v>
      </c>
      <c r="T19" s="1980">
        <v>0</v>
      </c>
      <c r="U19" s="2036">
        <v>0</v>
      </c>
    </row>
    <row r="20" spans="2:21" hidden="1" outlineLevel="1">
      <c r="B20" s="1050">
        <v>7</v>
      </c>
      <c r="C20" s="1050" t="str">
        <f t="shared" si="0"/>
        <v>Articulé, 60 à 72 T, diesel routier, 7% biodiesel, France continentale, Base Carbone</v>
      </c>
      <c r="D20" s="1051">
        <f t="shared" si="1"/>
        <v>3</v>
      </c>
      <c r="E20" s="1051" t="str">
        <f>IF(COUNTIF(E$13:E19,F20)&gt;0,"",F20)</f>
        <v>Articulé, 34 à 40 T, GNL, France continentale, Base Carbone</v>
      </c>
      <c r="F20" s="1051" t="str">
        <f t="shared" si="2"/>
        <v>Articulé, 34 à 40 T, GNL, France continentale, Base Carbone</v>
      </c>
      <c r="G20" s="1055" t="str">
        <f t="shared" si="3"/>
        <v>Articulé, 34 à 40 T, GNL, France continentale, Base Carbone; kgCO2e/tonne.km, Combustion</v>
      </c>
      <c r="I20" s="1034" t="s">
        <v>3785</v>
      </c>
      <c r="J20" s="1119" t="s">
        <v>2324</v>
      </c>
      <c r="K20" s="1119" t="s">
        <v>1567</v>
      </c>
      <c r="L20" s="1135" t="s">
        <v>1571</v>
      </c>
      <c r="M20" s="1033">
        <v>0.7</v>
      </c>
      <c r="N20" s="1135" t="s">
        <v>1569</v>
      </c>
      <c r="O20" s="1036">
        <v>6.5000000000000002E-2</v>
      </c>
      <c r="P20" s="1980">
        <v>6.5000000000000002E-2</v>
      </c>
      <c r="Q20" s="1980">
        <v>0</v>
      </c>
      <c r="R20" s="1980">
        <v>0</v>
      </c>
      <c r="S20" s="1980">
        <v>0</v>
      </c>
      <c r="T20" s="1980">
        <v>0</v>
      </c>
      <c r="U20" s="2036">
        <v>0</v>
      </c>
    </row>
    <row r="21" spans="2:21" hidden="1" outlineLevel="1">
      <c r="B21" s="1050">
        <v>8</v>
      </c>
      <c r="C21" s="1050" t="str">
        <f t="shared" si="0"/>
        <v>Articulé, 90 m3, France continentale, Base Carbone</v>
      </c>
      <c r="D21" s="1051">
        <f t="shared" si="1"/>
        <v>3</v>
      </c>
      <c r="E21" s="1051" t="str">
        <f>IF(COUNTIF(E$13:E20,F21)&gt;0,"",F21)</f>
        <v/>
      </c>
      <c r="F21" s="1051" t="str">
        <f t="shared" si="2"/>
        <v>Articulé, 34 à 40 T, GNL, France continentale, Base Carbone</v>
      </c>
      <c r="G21" s="1055" t="str">
        <f t="shared" si="3"/>
        <v>Articulé, 34 à 40 T, GNL, France continentale, Base Carbone; kgCO2e/tonne.km, Amont</v>
      </c>
      <c r="I21" s="1034" t="s">
        <v>3785</v>
      </c>
      <c r="J21" s="1119" t="s">
        <v>2324</v>
      </c>
      <c r="K21" s="1119" t="s">
        <v>1567</v>
      </c>
      <c r="L21" s="1135" t="s">
        <v>1571</v>
      </c>
      <c r="M21" s="1033">
        <v>0.7</v>
      </c>
      <c r="N21" s="1135" t="s">
        <v>1570</v>
      </c>
      <c r="O21" s="2046">
        <v>2.3E-2</v>
      </c>
      <c r="P21" s="1980">
        <v>2.3E-2</v>
      </c>
      <c r="Q21" s="1980">
        <v>0</v>
      </c>
      <c r="R21" s="1980">
        <v>0</v>
      </c>
      <c r="S21" s="1980">
        <v>0</v>
      </c>
      <c r="T21" s="1980">
        <v>0</v>
      </c>
      <c r="U21" s="2036">
        <v>0</v>
      </c>
    </row>
    <row r="22" spans="2:21" hidden="1" outlineLevel="1">
      <c r="B22" s="1050">
        <v>9</v>
      </c>
      <c r="C22" s="1050" t="str">
        <f t="shared" si="0"/>
        <v>Articulé, &lt;34 T, diesel routier, 7% biodiesel, France continentale, Base Carbone</v>
      </c>
      <c r="D22" s="1051">
        <f t="shared" si="1"/>
        <v>3</v>
      </c>
      <c r="E22" s="1051" t="str">
        <f>IF(COUNTIF(E$13:E21,F22)&gt;0,"",F22)</f>
        <v/>
      </c>
      <c r="F22" s="1051" t="str">
        <f t="shared" si="2"/>
        <v>Articulé, 34 à 40 T, GNL, France continentale, Base Carbone</v>
      </c>
      <c r="G22" s="1055" t="str">
        <f t="shared" si="3"/>
        <v>Articulé, 34 à 40 T, GNL, France continentale, Base Carbone; kgCO2e/tonne.km, Fabrication</v>
      </c>
      <c r="I22" s="1034" t="s">
        <v>3785</v>
      </c>
      <c r="J22" s="1119" t="s">
        <v>2324</v>
      </c>
      <c r="K22" s="1119" t="s">
        <v>1567</v>
      </c>
      <c r="L22" s="1135" t="s">
        <v>1571</v>
      </c>
      <c r="M22" s="1033">
        <v>0.7</v>
      </c>
      <c r="N22" s="1135" t="s">
        <v>332</v>
      </c>
      <c r="O22" s="2046">
        <v>3.8E-3</v>
      </c>
      <c r="P22" s="1980">
        <v>3.8E-3</v>
      </c>
      <c r="Q22" s="1980">
        <v>0</v>
      </c>
      <c r="R22" s="1980">
        <v>0</v>
      </c>
      <c r="S22" s="1980">
        <v>0</v>
      </c>
      <c r="T22" s="1980">
        <v>0</v>
      </c>
      <c r="U22" s="2036">
        <v>0</v>
      </c>
    </row>
    <row r="23" spans="2:21" hidden="1" outlineLevel="1">
      <c r="B23" s="1050">
        <v>10</v>
      </c>
      <c r="C23" s="1050" t="str">
        <f t="shared" si="0"/>
        <v>Camion porteur, 45 m3, France continentale, Base Carbone</v>
      </c>
      <c r="D23" s="1051">
        <f t="shared" si="1"/>
        <v>4</v>
      </c>
      <c r="E23" s="1051" t="str">
        <f>IF(COUNTIF(E$13:E22,F23)&gt;0,"",F23)</f>
        <v>Articulé, 34 à 40 T, GNL, 20% bio, France continentale, Base Carbone</v>
      </c>
      <c r="F23" s="1051" t="str">
        <f t="shared" si="2"/>
        <v>Articulé, 34 à 40 T, GNL, 20% bio, France continentale, Base Carbone</v>
      </c>
      <c r="G23" s="1055" t="str">
        <f t="shared" si="3"/>
        <v>Articulé, 34 à 40 T, GNL, 20% bio, France continentale, Base Carbone; kgCO2e/tonne.km, Combustion</v>
      </c>
      <c r="I23" s="1034" t="s">
        <v>3786</v>
      </c>
      <c r="J23" s="1119" t="s">
        <v>2324</v>
      </c>
      <c r="K23" s="1119" t="s">
        <v>1567</v>
      </c>
      <c r="L23" s="1135" t="s">
        <v>1571</v>
      </c>
      <c r="M23" s="1033">
        <v>0.7</v>
      </c>
      <c r="N23" s="1135" t="s">
        <v>1569</v>
      </c>
      <c r="O23" s="2046">
        <v>5.1999999999999998E-2</v>
      </c>
      <c r="P23" s="1980">
        <v>5.1999999999999998E-2</v>
      </c>
      <c r="Q23" s="1980">
        <v>0</v>
      </c>
      <c r="R23" s="1980">
        <v>0</v>
      </c>
      <c r="S23" s="1980">
        <v>0</v>
      </c>
      <c r="T23" s="1980">
        <v>0</v>
      </c>
      <c r="U23" s="2036">
        <v>0</v>
      </c>
    </row>
    <row r="24" spans="2:21" hidden="1" outlineLevel="1">
      <c r="B24" s="1050">
        <v>11</v>
      </c>
      <c r="C24" s="1050" t="str">
        <f t="shared" si="0"/>
        <v>Fourgon, 8 m3, France continentale, Base Carbone</v>
      </c>
      <c r="D24" s="1051">
        <f t="shared" si="1"/>
        <v>4</v>
      </c>
      <c r="E24" s="1051" t="str">
        <f>IF(COUNTIF(E$13:E23,F24)&gt;0,"",F24)</f>
        <v/>
      </c>
      <c r="F24" s="1051" t="str">
        <f t="shared" si="2"/>
        <v>Articulé, 34 à 40 T, GNL, 20% bio, France continentale, Base Carbone</v>
      </c>
      <c r="G24" s="1055" t="str">
        <f t="shared" si="3"/>
        <v>Articulé, 34 à 40 T, GNL, 20% bio, France continentale, Base Carbone; kgCO2e/tonne.km, Amont</v>
      </c>
      <c r="I24" s="1034" t="s">
        <v>3786</v>
      </c>
      <c r="J24" s="1119" t="s">
        <v>2324</v>
      </c>
      <c r="K24" s="1119" t="s">
        <v>1567</v>
      </c>
      <c r="L24" s="1135" t="s">
        <v>1571</v>
      </c>
      <c r="M24" s="1033">
        <v>0.7</v>
      </c>
      <c r="N24" s="1135" t="s">
        <v>1570</v>
      </c>
      <c r="O24" s="2046">
        <v>2.3E-2</v>
      </c>
      <c r="P24" s="1980">
        <v>2.3E-2</v>
      </c>
      <c r="Q24" s="1980">
        <v>0</v>
      </c>
      <c r="R24" s="1980">
        <v>0</v>
      </c>
      <c r="S24" s="1980">
        <v>0</v>
      </c>
      <c r="T24" s="1980">
        <v>0</v>
      </c>
      <c r="U24" s="2036">
        <v>0</v>
      </c>
    </row>
    <row r="25" spans="2:21" hidden="1" outlineLevel="1">
      <c r="B25" s="1050">
        <v>12</v>
      </c>
      <c r="C25" s="1050" t="str">
        <f t="shared" si="0"/>
        <v>Rigide, 12 à 20 T, diesel routier, 7% biodiesel, France continentale, Base Carbone</v>
      </c>
      <c r="D25" s="1051">
        <f t="shared" si="1"/>
        <v>4</v>
      </c>
      <c r="E25" s="1051" t="str">
        <f>IF(COUNTIF(E$13:E24,F25)&gt;0,"",F25)</f>
        <v/>
      </c>
      <c r="F25" s="1051" t="str">
        <f t="shared" si="2"/>
        <v>Articulé, 34 à 40 T, GNL, 20% bio, France continentale, Base Carbone</v>
      </c>
      <c r="G25" s="1055" t="str">
        <f t="shared" si="3"/>
        <v>Articulé, 34 à 40 T, GNL, 20% bio, France continentale, Base Carbone; kgCO2e/tonne.km, Fabrication</v>
      </c>
      <c r="I25" s="1034" t="s">
        <v>3786</v>
      </c>
      <c r="J25" s="1119" t="s">
        <v>2324</v>
      </c>
      <c r="K25" s="1119" t="s">
        <v>1567</v>
      </c>
      <c r="L25" s="1135" t="s">
        <v>1571</v>
      </c>
      <c r="M25" s="1033">
        <v>0.7</v>
      </c>
      <c r="N25" s="1135" t="s">
        <v>332</v>
      </c>
      <c r="O25" s="2046">
        <v>3.8E-3</v>
      </c>
      <c r="P25" s="1980">
        <v>3.8E-3</v>
      </c>
      <c r="Q25" s="1980">
        <v>0</v>
      </c>
      <c r="R25" s="1980">
        <v>0</v>
      </c>
      <c r="S25" s="1980">
        <v>0</v>
      </c>
      <c r="T25" s="1980">
        <v>0</v>
      </c>
      <c r="U25" s="2036">
        <v>0</v>
      </c>
    </row>
    <row r="26" spans="2:21" hidden="1" outlineLevel="1">
      <c r="B26" s="1050">
        <v>13</v>
      </c>
      <c r="C26" s="1050" t="str">
        <f t="shared" si="0"/>
        <v>Rigide, 12 à 20 T, GNC, France continentale, Base Carbone</v>
      </c>
      <c r="D26" s="1051">
        <f t="shared" si="1"/>
        <v>5</v>
      </c>
      <c r="E26" s="1051" t="str">
        <f>IF(COUNTIF(E$13:E25,F26)&gt;0,"",F26)</f>
        <v>Articulé, 40 à 44 T, diesel routier, 7% biodiesel, France continentale, Base Carbone</v>
      </c>
      <c r="F26" s="1051" t="str">
        <f t="shared" si="2"/>
        <v>Articulé, 40 à 44 T, diesel routier, 7% biodiesel, France continentale, Base Carbone</v>
      </c>
      <c r="G26" s="1055" t="str">
        <f t="shared" si="3"/>
        <v>Articulé, 40 à 44 T, diesel routier, 7% biodiesel, France continentale, Base Carbone; kgCO2e/tonne.km, Combustion</v>
      </c>
      <c r="I26" s="1034" t="s">
        <v>3787</v>
      </c>
      <c r="J26" s="1119" t="s">
        <v>2324</v>
      </c>
      <c r="K26" s="1119" t="s">
        <v>1567</v>
      </c>
      <c r="L26" s="1135" t="s">
        <v>1571</v>
      </c>
      <c r="M26" s="1033">
        <v>0.7</v>
      </c>
      <c r="N26" s="1135" t="s">
        <v>1569</v>
      </c>
      <c r="O26" s="2046">
        <v>5.4100000000000002E-2</v>
      </c>
      <c r="P26" s="1980">
        <v>5.4100000000000002E-2</v>
      </c>
      <c r="Q26" s="1980">
        <v>0</v>
      </c>
      <c r="R26" s="1980">
        <v>0</v>
      </c>
      <c r="S26" s="1980">
        <v>0</v>
      </c>
      <c r="T26" s="1980">
        <v>0</v>
      </c>
      <c r="U26" s="2036">
        <v>0</v>
      </c>
    </row>
    <row r="27" spans="2:21" hidden="1" outlineLevel="1">
      <c r="B27" s="1050">
        <v>14</v>
      </c>
      <c r="C27" s="1050" t="str">
        <f t="shared" si="0"/>
        <v>Rigide, 12 à 20 T, GNL, France continentale, Base Carbone</v>
      </c>
      <c r="D27" s="1051">
        <f t="shared" si="1"/>
        <v>5</v>
      </c>
      <c r="E27" s="1051" t="str">
        <f>IF(COUNTIF(E$13:E26,F27)&gt;0,"",F27)</f>
        <v/>
      </c>
      <c r="F27" s="1051" t="str">
        <f t="shared" si="2"/>
        <v>Articulé, 40 à 44 T, diesel routier, 7% biodiesel, France continentale, Base Carbone</v>
      </c>
      <c r="G27" s="1055" t="str">
        <f t="shared" si="3"/>
        <v>Articulé, 40 à 44 T, diesel routier, 7% biodiesel, France continentale, Base Carbone; kgCO2e/tonne.km, Amont</v>
      </c>
      <c r="I27" s="1034" t="s">
        <v>3787</v>
      </c>
      <c r="J27" s="1119" t="s">
        <v>2324</v>
      </c>
      <c r="K27" s="1119" t="s">
        <v>1567</v>
      </c>
      <c r="L27" s="1135" t="s">
        <v>1571</v>
      </c>
      <c r="M27" s="1033">
        <v>0.7</v>
      </c>
      <c r="N27" s="1135" t="s">
        <v>1570</v>
      </c>
      <c r="O27" s="2046">
        <v>1.32E-2</v>
      </c>
      <c r="P27" s="1980">
        <v>1.32E-2</v>
      </c>
      <c r="Q27" s="1980">
        <v>0</v>
      </c>
      <c r="R27" s="1980">
        <v>0</v>
      </c>
      <c r="S27" s="1980">
        <v>0</v>
      </c>
      <c r="T27" s="1980">
        <v>0</v>
      </c>
      <c r="U27" s="2036">
        <v>0</v>
      </c>
    </row>
    <row r="28" spans="2:21" hidden="1" outlineLevel="1">
      <c r="B28" s="1050">
        <v>15</v>
      </c>
      <c r="C28" s="1050" t="str">
        <f t="shared" si="0"/>
        <v>Rigide, 20 à 26 T, diesel routier, 7% biodiesel, France continentale, Base Carbone</v>
      </c>
      <c r="D28" s="1051">
        <f t="shared" si="1"/>
        <v>5</v>
      </c>
      <c r="E28" s="1051" t="str">
        <f>IF(COUNTIF(E$13:E27,F28)&gt;0,"",F28)</f>
        <v/>
      </c>
      <c r="F28" s="1051" t="str">
        <f t="shared" si="2"/>
        <v>Articulé, 40 à 44 T, diesel routier, 7% biodiesel, France continentale, Base Carbone</v>
      </c>
      <c r="G28" s="1055" t="str">
        <f t="shared" si="3"/>
        <v>Articulé, 40 à 44 T, diesel routier, 7% biodiesel, France continentale, Base Carbone; kgCO2e/tonne.km, Fabrication</v>
      </c>
      <c r="I28" s="1034" t="s">
        <v>3787</v>
      </c>
      <c r="J28" s="1119" t="s">
        <v>2324</v>
      </c>
      <c r="K28" s="1119" t="s">
        <v>1567</v>
      </c>
      <c r="L28" s="1135" t="s">
        <v>1571</v>
      </c>
      <c r="M28" s="1033">
        <v>0.7</v>
      </c>
      <c r="N28" s="1135" t="s">
        <v>332</v>
      </c>
      <c r="O28" s="2046">
        <v>3.8E-3</v>
      </c>
      <c r="P28" s="1980">
        <v>3.8E-3</v>
      </c>
      <c r="Q28" s="1980">
        <v>0</v>
      </c>
      <c r="R28" s="1980">
        <v>0</v>
      </c>
      <c r="S28" s="1980">
        <v>0</v>
      </c>
      <c r="T28" s="1980">
        <v>0</v>
      </c>
      <c r="U28" s="2036">
        <v>0</v>
      </c>
    </row>
    <row r="29" spans="2:21" hidden="1" outlineLevel="1">
      <c r="B29" s="1050">
        <v>16</v>
      </c>
      <c r="C29" s="1050" t="str">
        <f t="shared" si="0"/>
        <v>Rigide, 20 à 26 T, GNC, France continentale, Base Carbone</v>
      </c>
      <c r="D29" s="1051">
        <f t="shared" si="1"/>
        <v>6</v>
      </c>
      <c r="E29" s="1051" t="str">
        <f>IF(COUNTIF(E$13:E28,F29)&gt;0,"",F29)</f>
        <v>Articulé, 44 à 60 T, diesel routier, 7% biodiesel, France continentale, Base Carbone</v>
      </c>
      <c r="F29" s="1051" t="str">
        <f t="shared" si="2"/>
        <v>Articulé, 44 à 60 T, diesel routier, 7% biodiesel, France continentale, Base Carbone</v>
      </c>
      <c r="G29" s="1055" t="str">
        <f t="shared" si="3"/>
        <v>Articulé, 44 à 60 T, diesel routier, 7% biodiesel, France continentale, Base Carbone; kgCO2e/tonne.km, Combustion</v>
      </c>
      <c r="I29" s="1034" t="s">
        <v>3788</v>
      </c>
      <c r="J29" s="1119" t="s">
        <v>2324</v>
      </c>
      <c r="K29" s="1119" t="s">
        <v>1567</v>
      </c>
      <c r="L29" s="1135" t="s">
        <v>1571</v>
      </c>
      <c r="M29" s="1033">
        <v>0.7</v>
      </c>
      <c r="N29" s="1135" t="s">
        <v>1569</v>
      </c>
      <c r="O29" s="2046">
        <v>5.11E-2</v>
      </c>
      <c r="P29" s="1980">
        <v>5.11E-2</v>
      </c>
      <c r="Q29" s="1980">
        <v>0</v>
      </c>
      <c r="R29" s="1980">
        <v>0</v>
      </c>
      <c r="S29" s="1980">
        <v>0</v>
      </c>
      <c r="T29" s="1980">
        <v>0</v>
      </c>
      <c r="U29" s="2036">
        <v>0</v>
      </c>
    </row>
    <row r="30" spans="2:21" hidden="1" outlineLevel="1">
      <c r="B30" s="1050">
        <v>17</v>
      </c>
      <c r="C30" s="1050" t="str">
        <f t="shared" si="0"/>
        <v>Rigide, 20 à 26 T, GNL, France continentale, Base Carbone</v>
      </c>
      <c r="D30" s="1051">
        <f t="shared" si="1"/>
        <v>6</v>
      </c>
      <c r="E30" s="1051" t="str">
        <f>IF(COUNTIF(E$13:E29,F30)&gt;0,"",F30)</f>
        <v/>
      </c>
      <c r="F30" s="1051" t="str">
        <f t="shared" si="2"/>
        <v>Articulé, 44 à 60 T, diesel routier, 7% biodiesel, France continentale, Base Carbone</v>
      </c>
      <c r="G30" s="1055" t="str">
        <f t="shared" si="3"/>
        <v>Articulé, 44 à 60 T, diesel routier, 7% biodiesel, France continentale, Base Carbone; kgCO2e/tonne.km, Amont</v>
      </c>
      <c r="I30" s="1034" t="s">
        <v>3788</v>
      </c>
      <c r="J30" s="1119" t="s">
        <v>2324</v>
      </c>
      <c r="K30" s="1119" t="s">
        <v>1567</v>
      </c>
      <c r="L30" s="1135" t="s">
        <v>1571</v>
      </c>
      <c r="M30" s="1033">
        <v>0.7</v>
      </c>
      <c r="N30" s="1135" t="s">
        <v>1570</v>
      </c>
      <c r="O30" s="2046">
        <v>1.2500000000000001E-2</v>
      </c>
      <c r="P30" s="1980">
        <v>1.2500000000000001E-2</v>
      </c>
      <c r="Q30" s="1980">
        <v>0</v>
      </c>
      <c r="R30" s="1980">
        <v>0</v>
      </c>
      <c r="S30" s="1980">
        <v>0</v>
      </c>
      <c r="T30" s="1980">
        <v>0</v>
      </c>
      <c r="U30" s="2036">
        <v>0</v>
      </c>
    </row>
    <row r="31" spans="2:21" hidden="1" outlineLevel="1">
      <c r="B31" s="1050">
        <v>18</v>
      </c>
      <c r="C31" s="1050" t="str">
        <f t="shared" si="0"/>
        <v>Rigide, 26 à 32 T, diesel routier, 7% biodiesel, France continentale, Base Carbone</v>
      </c>
      <c r="D31" s="1051">
        <f t="shared" si="1"/>
        <v>6</v>
      </c>
      <c r="E31" s="1051" t="str">
        <f>IF(COUNTIF(E$13:E30,F31)&gt;0,"",F31)</f>
        <v/>
      </c>
      <c r="F31" s="1051" t="str">
        <f t="shared" si="2"/>
        <v>Articulé, 44 à 60 T, diesel routier, 7% biodiesel, France continentale, Base Carbone</v>
      </c>
      <c r="G31" s="1055" t="str">
        <f t="shared" si="3"/>
        <v>Articulé, 44 à 60 T, diesel routier, 7% biodiesel, France continentale, Base Carbone; kgCO2e/tonne.km, Fabrication</v>
      </c>
      <c r="I31" s="1034" t="s">
        <v>3788</v>
      </c>
      <c r="J31" s="1119" t="s">
        <v>2324</v>
      </c>
      <c r="K31" s="1119" t="s">
        <v>1567</v>
      </c>
      <c r="L31" s="1135" t="s">
        <v>1571</v>
      </c>
      <c r="M31" s="1033">
        <v>0.7</v>
      </c>
      <c r="N31" s="1135" t="s">
        <v>332</v>
      </c>
      <c r="O31" s="2046">
        <v>3.8999999999999998E-3</v>
      </c>
      <c r="P31" s="1980">
        <v>3.8999999999999998E-3</v>
      </c>
      <c r="Q31" s="1980">
        <v>0</v>
      </c>
      <c r="R31" s="1980">
        <v>0</v>
      </c>
      <c r="S31" s="1980">
        <v>0</v>
      </c>
      <c r="T31" s="1980">
        <v>0</v>
      </c>
      <c r="U31" s="2036">
        <v>0</v>
      </c>
    </row>
    <row r="32" spans="2:21" hidden="1" outlineLevel="1">
      <c r="B32" s="1050">
        <v>19</v>
      </c>
      <c r="C32" s="1050" t="str">
        <f t="shared" si="0"/>
        <v>Rigide, 3,5 à 7,5 T, diesel routier, 7% biodiesel, France continentale, Base Carbone</v>
      </c>
      <c r="D32" s="1051">
        <f t="shared" si="1"/>
        <v>7</v>
      </c>
      <c r="E32" s="1051" t="str">
        <f>IF(COUNTIF(E$13:E31,F32)&gt;0,"",F32)</f>
        <v>Articulé, 60 à 72 T, diesel routier, 7% biodiesel, France continentale, Base Carbone</v>
      </c>
      <c r="F32" s="1051" t="str">
        <f t="shared" si="2"/>
        <v>Articulé, 60 à 72 T, diesel routier, 7% biodiesel, France continentale, Base Carbone</v>
      </c>
      <c r="G32" s="1055" t="str">
        <f t="shared" si="3"/>
        <v>Articulé, 60 à 72 T, diesel routier, 7% biodiesel, France continentale, Base Carbone; kgCO2e/tonne.km, Combustion</v>
      </c>
      <c r="I32" s="1034" t="s">
        <v>3789</v>
      </c>
      <c r="J32" s="1119" t="s">
        <v>2324</v>
      </c>
      <c r="K32" s="1119" t="s">
        <v>1567</v>
      </c>
      <c r="L32" s="1135" t="s">
        <v>1571</v>
      </c>
      <c r="M32" s="1033">
        <v>0.7</v>
      </c>
      <c r="N32" s="1135" t="s">
        <v>1569</v>
      </c>
      <c r="O32" s="2046">
        <v>5.11E-2</v>
      </c>
      <c r="P32" s="1980">
        <v>5.11E-2</v>
      </c>
      <c r="Q32" s="1980">
        <v>0</v>
      </c>
      <c r="R32" s="1980">
        <v>0</v>
      </c>
      <c r="S32" s="1980">
        <v>0</v>
      </c>
      <c r="T32" s="1980">
        <v>0</v>
      </c>
      <c r="U32" s="2036">
        <v>0</v>
      </c>
    </row>
    <row r="33" spans="2:21" hidden="1" outlineLevel="1">
      <c r="B33" s="1050">
        <v>20</v>
      </c>
      <c r="C33" s="1050" t="str">
        <f t="shared" si="0"/>
        <v>Rigide, 3,5 à 7,5 T, électrique, France continentale, Base Carbone</v>
      </c>
      <c r="D33" s="1051">
        <f t="shared" si="1"/>
        <v>7</v>
      </c>
      <c r="E33" s="1051" t="str">
        <f>IF(COUNTIF(E$13:E32,F33)&gt;0,"",F33)</f>
        <v/>
      </c>
      <c r="F33" s="1051" t="str">
        <f t="shared" si="2"/>
        <v>Articulé, 60 à 72 T, diesel routier, 7% biodiesel, France continentale, Base Carbone</v>
      </c>
      <c r="G33" s="1055" t="str">
        <f t="shared" si="3"/>
        <v>Articulé, 60 à 72 T, diesel routier, 7% biodiesel, France continentale, Base Carbone; kgCO2e/tonne.km, Amont</v>
      </c>
      <c r="I33" s="1034" t="s">
        <v>3789</v>
      </c>
      <c r="J33" s="1119" t="s">
        <v>2324</v>
      </c>
      <c r="K33" s="1119" t="s">
        <v>1567</v>
      </c>
      <c r="L33" s="1135" t="s">
        <v>1571</v>
      </c>
      <c r="M33" s="2043">
        <v>0.7</v>
      </c>
      <c r="N33" s="1135" t="s">
        <v>1570</v>
      </c>
      <c r="O33" s="2046">
        <v>1.2500000000000001E-2</v>
      </c>
      <c r="P33" s="1980">
        <v>1.2500000000000001E-2</v>
      </c>
      <c r="Q33" s="1980">
        <v>0</v>
      </c>
      <c r="R33" s="1980">
        <v>0</v>
      </c>
      <c r="S33" s="1980">
        <v>0</v>
      </c>
      <c r="T33" s="1980">
        <v>0</v>
      </c>
      <c r="U33" s="2036">
        <v>0</v>
      </c>
    </row>
    <row r="34" spans="2:21" hidden="1" outlineLevel="1">
      <c r="B34" s="1050">
        <v>21</v>
      </c>
      <c r="C34" s="1050" t="str">
        <f t="shared" si="0"/>
        <v>Rigide, 3,5 à 7,5 T, GNC, France continentale, Base Carbone</v>
      </c>
      <c r="D34" s="1051">
        <f t="shared" si="1"/>
        <v>7</v>
      </c>
      <c r="E34" s="1051" t="str">
        <f>IF(COUNTIF(E$13:E33,F34)&gt;0,"",F34)</f>
        <v/>
      </c>
      <c r="F34" s="1051" t="str">
        <f t="shared" si="2"/>
        <v>Articulé, 60 à 72 T, diesel routier, 7% biodiesel, France continentale, Base Carbone</v>
      </c>
      <c r="G34" s="1055" t="str">
        <f t="shared" si="3"/>
        <v>Articulé, 60 à 72 T, diesel routier, 7% biodiesel, France continentale, Base Carbone; kgCO2e/tonne.km, Fabrication</v>
      </c>
      <c r="I34" s="1034" t="s">
        <v>3789</v>
      </c>
      <c r="J34" s="1119" t="s">
        <v>2324</v>
      </c>
      <c r="K34" s="1119" t="s">
        <v>1567</v>
      </c>
      <c r="L34" s="1135" t="s">
        <v>1571</v>
      </c>
      <c r="M34" s="2043">
        <v>0.7</v>
      </c>
      <c r="N34" s="1135" t="s">
        <v>332</v>
      </c>
      <c r="O34" s="2046">
        <v>4.0000000000000001E-3</v>
      </c>
      <c r="P34" s="1980">
        <v>4.0000000000000001E-3</v>
      </c>
      <c r="Q34" s="1980">
        <v>0</v>
      </c>
      <c r="R34" s="1980">
        <v>0</v>
      </c>
      <c r="S34" s="1980">
        <v>0</v>
      </c>
      <c r="T34" s="1980">
        <v>0</v>
      </c>
      <c r="U34" s="2036">
        <v>0</v>
      </c>
    </row>
    <row r="35" spans="2:21" hidden="1" outlineLevel="1">
      <c r="B35" s="1050">
        <v>22</v>
      </c>
      <c r="C35" s="1050" t="str">
        <f t="shared" si="0"/>
        <v>Rigide, 3,5 à 7,5 T, hybride parallèle, France continentale, Base Carbone</v>
      </c>
      <c r="D35" s="1051">
        <f t="shared" si="1"/>
        <v>8</v>
      </c>
      <c r="E35" s="1051" t="str">
        <f>IF(COUNTIF(E$13:E34,F35)&gt;0,"",F35)</f>
        <v>Articulé, 90 m3, France continentale, Base Carbone</v>
      </c>
      <c r="F35" s="1051" t="str">
        <f t="shared" si="2"/>
        <v>Articulé, 90 m3, France continentale, Base Carbone</v>
      </c>
      <c r="G35" s="1055" t="str">
        <f t="shared" si="3"/>
        <v>Articulé, 90 m3, France continentale, Base Carbone; kgCO2e/m3.km, Combustion</v>
      </c>
      <c r="I35" s="1034" t="s">
        <v>3790</v>
      </c>
      <c r="J35" s="1119" t="s">
        <v>5130</v>
      </c>
      <c r="K35" s="1119" t="s">
        <v>1567</v>
      </c>
      <c r="L35" s="1135" t="s">
        <v>1571</v>
      </c>
      <c r="M35" s="1033">
        <v>0.7</v>
      </c>
      <c r="N35" s="1135" t="s">
        <v>1569</v>
      </c>
      <c r="O35" s="2046">
        <v>2.7300000000000001E-2</v>
      </c>
      <c r="P35" s="2581">
        <v>2.7099999999999999E-2</v>
      </c>
      <c r="Q35" s="2581">
        <v>1.2E-5</v>
      </c>
      <c r="R35" s="2581">
        <v>0</v>
      </c>
      <c r="S35" s="2581">
        <v>2.12E-4</v>
      </c>
      <c r="T35" s="2581">
        <v>0</v>
      </c>
      <c r="U35" s="2582">
        <v>1.7700000000000001E-3</v>
      </c>
    </row>
    <row r="36" spans="2:21" hidden="1" outlineLevel="1">
      <c r="B36" s="1050">
        <v>23</v>
      </c>
      <c r="C36" s="1050" t="str">
        <f t="shared" si="0"/>
        <v>Rigide, 3,5 à 7,5 T, hybride série, France continentale, Base Carbone</v>
      </c>
      <c r="D36" s="1051">
        <f t="shared" si="1"/>
        <v>8</v>
      </c>
      <c r="E36" s="1051" t="str">
        <f>IF(COUNTIF(E$13:E35,F36)&gt;0,"",F36)</f>
        <v/>
      </c>
      <c r="F36" s="1051" t="str">
        <f t="shared" si="2"/>
        <v>Articulé, 90 m3, France continentale, Base Carbone</v>
      </c>
      <c r="G36" s="1055" t="str">
        <f t="shared" si="3"/>
        <v>Articulé, 90 m3, France continentale, Base Carbone; kgCO2e/m3.km, Amont</v>
      </c>
      <c r="I36" s="1034" t="s">
        <v>3790</v>
      </c>
      <c r="J36" s="1119" t="s">
        <v>5130</v>
      </c>
      <c r="K36" s="1119" t="s">
        <v>1567</v>
      </c>
      <c r="L36" s="1135" t="s">
        <v>1571</v>
      </c>
      <c r="M36" s="1033">
        <v>0.7</v>
      </c>
      <c r="N36" s="1135" t="s">
        <v>1570</v>
      </c>
      <c r="O36" s="2046">
        <v>6.6899999999999998E-3</v>
      </c>
      <c r="P36" s="2581">
        <v>6.28E-3</v>
      </c>
      <c r="Q36" s="2581">
        <v>6.3E-5</v>
      </c>
      <c r="R36" s="2581">
        <v>0</v>
      </c>
      <c r="S36" s="2581">
        <v>3.4499999999999998E-4</v>
      </c>
      <c r="T36" s="2581">
        <v>0</v>
      </c>
      <c r="U36" s="2177">
        <v>-1.7799999999999999E-3</v>
      </c>
    </row>
    <row r="37" spans="2:21" hidden="1" outlineLevel="1">
      <c r="B37" s="1050">
        <v>24</v>
      </c>
      <c r="C37" s="1050" t="str">
        <f t="shared" si="0"/>
        <v>Rigide, 7,5 à 12 T, diesel routier, 7% biodiesel, France continentale, Base Carbone</v>
      </c>
      <c r="D37" s="1051">
        <f t="shared" si="1"/>
        <v>8</v>
      </c>
      <c r="E37" s="1051" t="str">
        <f>IF(COUNTIF(E$13:E36,F37)&gt;0,"",F37)</f>
        <v/>
      </c>
      <c r="F37" s="1051" t="str">
        <f t="shared" si="2"/>
        <v>Articulé, 90 m3, France continentale, Base Carbone</v>
      </c>
      <c r="G37" s="1055" t="str">
        <f t="shared" si="3"/>
        <v>Articulé, 90 m3, France continentale, Base Carbone; kgCO2e/m3.km, Fabrication</v>
      </c>
      <c r="I37" s="1034" t="s">
        <v>3790</v>
      </c>
      <c r="J37" s="1119" t="s">
        <v>5130</v>
      </c>
      <c r="K37" s="1119" t="s">
        <v>1567</v>
      </c>
      <c r="L37" s="1135" t="s">
        <v>1571</v>
      </c>
      <c r="M37" s="1033">
        <v>0.7</v>
      </c>
      <c r="N37" s="1135" t="s">
        <v>332</v>
      </c>
      <c r="O37" s="2046">
        <v>6.9999999999999999E-4</v>
      </c>
      <c r="P37" s="2581">
        <v>6.9999999999999999E-4</v>
      </c>
      <c r="Q37" s="2581">
        <v>0</v>
      </c>
      <c r="R37" s="2581">
        <v>0</v>
      </c>
      <c r="S37" s="2581">
        <v>0</v>
      </c>
      <c r="T37" s="2581">
        <v>0</v>
      </c>
      <c r="U37" s="2177">
        <v>0</v>
      </c>
    </row>
    <row r="38" spans="2:21" hidden="1" outlineLevel="1">
      <c r="B38" s="1050">
        <v>25</v>
      </c>
      <c r="C38" s="1050" t="str">
        <f t="shared" si="0"/>
        <v>Rigide, 7,5 à 12 T, diesel routier, GNC, France continentale, Base Carbone</v>
      </c>
      <c r="D38" s="1051">
        <f t="shared" si="1"/>
        <v>9</v>
      </c>
      <c r="E38" s="1051" t="str">
        <f>IF(COUNTIF(E$13:E37,F38)&gt;0,"",F38)</f>
        <v>Articulé, &lt;34 T, diesel routier, 7% biodiesel, France continentale, Base Carbone</v>
      </c>
      <c r="F38" s="1051" t="str">
        <f t="shared" si="2"/>
        <v>Articulé, &lt;34 T, diesel routier, 7% biodiesel, France continentale, Base Carbone</v>
      </c>
      <c r="G38" s="1055" t="str">
        <f t="shared" si="3"/>
        <v>Articulé, &lt;34 T, diesel routier, 7% biodiesel, France continentale, Base Carbone; kgCO2e/tonne.km, Combustion</v>
      </c>
      <c r="I38" s="1034" t="s">
        <v>3791</v>
      </c>
      <c r="J38" s="1119" t="s">
        <v>2324</v>
      </c>
      <c r="K38" s="1119" t="s">
        <v>1567</v>
      </c>
      <c r="L38" s="1135" t="s">
        <v>1571</v>
      </c>
      <c r="M38" s="1033">
        <v>0.7</v>
      </c>
      <c r="N38" s="1135" t="s">
        <v>1569</v>
      </c>
      <c r="O38" s="2046">
        <v>6.4000000000000001E-2</v>
      </c>
      <c r="P38" s="1980">
        <v>6.4000000000000001E-2</v>
      </c>
      <c r="Q38" s="1980">
        <v>0</v>
      </c>
      <c r="R38" s="1980">
        <v>0</v>
      </c>
      <c r="S38" s="1980">
        <v>0</v>
      </c>
      <c r="T38" s="1980">
        <v>0</v>
      </c>
      <c r="U38" s="2036">
        <v>0</v>
      </c>
    </row>
    <row r="39" spans="2:21" hidden="1" outlineLevel="1">
      <c r="B39" s="1050">
        <v>26</v>
      </c>
      <c r="C39" s="1050" t="str">
        <f t="shared" si="0"/>
        <v>Utilitaire, &lt;3,5 T, hydrogène électrolyse décentralisée mix EnR, France continentale, Base Carbone</v>
      </c>
      <c r="D39" s="1051">
        <f t="shared" si="1"/>
        <v>9</v>
      </c>
      <c r="E39" s="1051" t="str">
        <f>IF(COUNTIF(E$13:E38,F39)&gt;0,"",F39)</f>
        <v/>
      </c>
      <c r="F39" s="1051" t="str">
        <f t="shared" si="2"/>
        <v>Articulé, &lt;34 T, diesel routier, 7% biodiesel, France continentale, Base Carbone</v>
      </c>
      <c r="G39" s="1055" t="str">
        <f t="shared" si="3"/>
        <v>Articulé, &lt;34 T, diesel routier, 7% biodiesel, France continentale, Base Carbone; kgCO2e/tonne.km, Amont</v>
      </c>
      <c r="I39" s="1034" t="s">
        <v>3791</v>
      </c>
      <c r="J39" s="1119" t="s">
        <v>2324</v>
      </c>
      <c r="K39" s="1119" t="s">
        <v>1567</v>
      </c>
      <c r="L39" s="1135" t="s">
        <v>1571</v>
      </c>
      <c r="M39" s="1033">
        <v>0.7</v>
      </c>
      <c r="N39" s="1135" t="s">
        <v>1570</v>
      </c>
      <c r="O39" s="2046">
        <v>1.7600000000000001E-2</v>
      </c>
      <c r="P39" s="1980">
        <v>1.7600000000000001E-2</v>
      </c>
      <c r="Q39" s="1980">
        <v>0</v>
      </c>
      <c r="R39" s="1980">
        <v>0</v>
      </c>
      <c r="S39" s="1980">
        <v>0</v>
      </c>
      <c r="T39" s="1980">
        <v>0</v>
      </c>
      <c r="U39" s="2036">
        <v>0</v>
      </c>
    </row>
    <row r="40" spans="2:21" hidden="1" outlineLevel="1">
      <c r="B40" s="1050">
        <v>27</v>
      </c>
      <c r="C40" s="1050" t="str">
        <f t="shared" si="0"/>
        <v>Utilitaire, &lt;3,5 T, hydrogène élecrolyse décentralisée mix France, France continentale, Base Carbone</v>
      </c>
      <c r="D40" s="1051">
        <f t="shared" si="1"/>
        <v>9</v>
      </c>
      <c r="E40" s="1051" t="str">
        <f>IF(COUNTIF(E$13:E39,F40)&gt;0,"",F40)</f>
        <v/>
      </c>
      <c r="F40" s="1051" t="str">
        <f t="shared" si="2"/>
        <v>Articulé, &lt;34 T, diesel routier, 7% biodiesel, France continentale, Base Carbone</v>
      </c>
      <c r="G40" s="1055" t="str">
        <f t="shared" si="3"/>
        <v>Articulé, &lt;34 T, diesel routier, 7% biodiesel, France continentale, Base Carbone; kgCO2e/tonne.km, Fabrication</v>
      </c>
      <c r="I40" s="1034" t="s">
        <v>3791</v>
      </c>
      <c r="J40" s="1119" t="s">
        <v>2324</v>
      </c>
      <c r="K40" s="1119" t="s">
        <v>1567</v>
      </c>
      <c r="L40" s="1135" t="s">
        <v>1571</v>
      </c>
      <c r="M40" s="1033">
        <v>0.7</v>
      </c>
      <c r="N40" s="1135" t="s">
        <v>332</v>
      </c>
      <c r="O40" s="2046">
        <v>3.7000000000000002E-3</v>
      </c>
      <c r="P40" s="1980">
        <v>3.7000000000000002E-3</v>
      </c>
      <c r="Q40" s="1980">
        <v>0</v>
      </c>
      <c r="R40" s="1980">
        <v>0</v>
      </c>
      <c r="S40" s="1980">
        <v>0</v>
      </c>
      <c r="T40" s="1980">
        <v>0</v>
      </c>
      <c r="U40" s="2036">
        <v>0</v>
      </c>
    </row>
    <row r="41" spans="2:21" hidden="1" outlineLevel="1">
      <c r="B41" s="1050">
        <v>28</v>
      </c>
      <c r="C41" s="1050" t="str">
        <f t="shared" si="0"/>
        <v>Utilitaire, &lt;3,5 T, hydrogène électrolyse décentralisée UE, Europe, Base Carbone</v>
      </c>
      <c r="D41" s="1051">
        <f t="shared" si="1"/>
        <v>10</v>
      </c>
      <c r="E41" s="1051" t="str">
        <f>IF(COUNTIF(E$13:E40,F41)&gt;0,"",F41)</f>
        <v>Camion porteur, 45 m3, France continentale, Base Carbone</v>
      </c>
      <c r="F41" s="1051" t="str">
        <f t="shared" si="2"/>
        <v>Camion porteur, 45 m3, France continentale, Base Carbone</v>
      </c>
      <c r="G41" s="1055" t="str">
        <f t="shared" si="3"/>
        <v>Camion porteur, 45 m3, France continentale, Base Carbone; kgCO2e/m3.km, Combustion</v>
      </c>
      <c r="I41" s="1034" t="s">
        <v>3792</v>
      </c>
      <c r="J41" s="1119" t="s">
        <v>5130</v>
      </c>
      <c r="K41" s="1119" t="s">
        <v>1567</v>
      </c>
      <c r="L41" s="1135" t="s">
        <v>1571</v>
      </c>
      <c r="M41" s="1033">
        <v>0.7</v>
      </c>
      <c r="N41" s="1135" t="s">
        <v>1569</v>
      </c>
      <c r="O41" s="2581">
        <v>4.2599999999999999E-2</v>
      </c>
      <c r="P41" s="2581">
        <v>4.2200000000000001E-2</v>
      </c>
      <c r="Q41" s="2581">
        <v>1.8E-5</v>
      </c>
      <c r="R41" s="2581">
        <v>0</v>
      </c>
      <c r="S41" s="2581">
        <v>3.4499999999999998E-4</v>
      </c>
      <c r="T41" s="2581">
        <v>0</v>
      </c>
      <c r="U41" s="2177">
        <v>2.7699999999999999E-3</v>
      </c>
    </row>
    <row r="42" spans="2:21" hidden="1" outlineLevel="1">
      <c r="B42" s="1050">
        <v>29</v>
      </c>
      <c r="C42" s="1050" t="str">
        <f t="shared" si="0"/>
        <v>Utilitaire, &lt;3,5 T, hydrogène SMR biométhane centralisé, France continentale, Base Carbone</v>
      </c>
      <c r="D42" s="1051">
        <f t="shared" si="1"/>
        <v>10</v>
      </c>
      <c r="E42" s="1051" t="str">
        <f>IF(COUNTIF(E$13:E41,F42)&gt;0,"",F42)</f>
        <v/>
      </c>
      <c r="F42" s="1051" t="str">
        <f t="shared" si="2"/>
        <v>Camion porteur, 45 m3, France continentale, Base Carbone</v>
      </c>
      <c r="G42" s="1055" t="str">
        <f t="shared" si="3"/>
        <v>Camion porteur, 45 m3, France continentale, Base Carbone; kgCO2e/m3.km, Amont</v>
      </c>
      <c r="I42" s="1034" t="s">
        <v>3792</v>
      </c>
      <c r="J42" s="1119" t="s">
        <v>5130</v>
      </c>
      <c r="K42" s="1119" t="s">
        <v>1567</v>
      </c>
      <c r="L42" s="1135" t="s">
        <v>1571</v>
      </c>
      <c r="M42" s="1033">
        <v>0.7</v>
      </c>
      <c r="N42" s="1135" t="s">
        <v>1570</v>
      </c>
      <c r="O42" s="2581">
        <v>1.04E-2</v>
      </c>
      <c r="P42" s="2581">
        <v>9.7599999999999996E-3</v>
      </c>
      <c r="Q42" s="2581">
        <v>9.6000000000000002E-5</v>
      </c>
      <c r="R42" s="2581">
        <v>0</v>
      </c>
      <c r="S42" s="2581">
        <v>5.5699999999999999E-4</v>
      </c>
      <c r="T42" s="2581">
        <v>0</v>
      </c>
      <c r="U42" s="2177">
        <v>-2.7699999999999999E-3</v>
      </c>
    </row>
    <row r="43" spans="2:21" hidden="1" outlineLevel="1">
      <c r="B43" s="1050">
        <v>30</v>
      </c>
      <c r="C43" s="1050" t="str">
        <f t="shared" si="0"/>
        <v>Utilitaire, &lt;3,5 T, hydrogène SMR gaz naturel centralisé, France continentale, Base Carbone</v>
      </c>
      <c r="D43" s="1051">
        <f t="shared" si="1"/>
        <v>10</v>
      </c>
      <c r="E43" s="1051" t="str">
        <f>IF(COUNTIF(E$13:E42,F43)&gt;0,"",F43)</f>
        <v/>
      </c>
      <c r="F43" s="1051" t="str">
        <f t="shared" si="2"/>
        <v>Camion porteur, 45 m3, France continentale, Base Carbone</v>
      </c>
      <c r="G43" s="1055" t="str">
        <f t="shared" si="3"/>
        <v>Camion porteur, 45 m3, France continentale, Base Carbone; kgCO2e/m3.km, Fabrication</v>
      </c>
      <c r="I43" s="1034" t="s">
        <v>3792</v>
      </c>
      <c r="J43" s="1119" t="s">
        <v>5130</v>
      </c>
      <c r="K43" s="1119" t="s">
        <v>1567</v>
      </c>
      <c r="L43" s="1135" t="s">
        <v>1571</v>
      </c>
      <c r="M43" s="1033">
        <v>0.7</v>
      </c>
      <c r="N43" s="1135" t="s">
        <v>332</v>
      </c>
      <c r="O43" s="2581">
        <v>1.2999999999999999E-3</v>
      </c>
      <c r="P43" s="2581">
        <v>1.2999999999999999E-3</v>
      </c>
      <c r="Q43" s="2581">
        <v>0</v>
      </c>
      <c r="R43" s="2581">
        <v>0</v>
      </c>
      <c r="S43" s="2581">
        <v>0</v>
      </c>
      <c r="T43" s="2581">
        <v>0</v>
      </c>
      <c r="U43" s="2177">
        <v>0</v>
      </c>
    </row>
    <row r="44" spans="2:21" hidden="1" outlineLevel="1">
      <c r="B44" s="1050">
        <v>31</v>
      </c>
      <c r="C44" s="1050" t="str">
        <f t="shared" si="0"/>
        <v>Véhicule utilitaire léger, &lt;3,5 T, diesel routier, 7% biodiesel, France continentale, Base Carbone</v>
      </c>
      <c r="D44" s="1051">
        <f t="shared" si="1"/>
        <v>11</v>
      </c>
      <c r="E44" s="1051" t="str">
        <f>IF(COUNTIF(E$13:E43,F44)&gt;0,"",F44)</f>
        <v>Fourgon, 8 m3, France continentale, Base Carbone</v>
      </c>
      <c r="F44" s="1051" t="str">
        <f t="shared" si="2"/>
        <v>Fourgon, 8 m3, France continentale, Base Carbone</v>
      </c>
      <c r="G44" s="1055" t="str">
        <f t="shared" si="3"/>
        <v>Fourgon, 8 m3, France continentale, Base Carbone; kgCO2e/tonne.km, Combustion</v>
      </c>
      <c r="I44" s="1034" t="s">
        <v>3793</v>
      </c>
      <c r="J44" s="1119" t="s">
        <v>2324</v>
      </c>
      <c r="K44" s="1119" t="s">
        <v>1567</v>
      </c>
      <c r="L44" s="1135" t="s">
        <v>1571</v>
      </c>
      <c r="M44" s="1033">
        <v>0.7</v>
      </c>
      <c r="N44" s="1135" t="s">
        <v>1569</v>
      </c>
      <c r="O44" s="2581">
        <v>0.14399999999999999</v>
      </c>
      <c r="P44" s="2581">
        <v>0.14099999999999999</v>
      </c>
      <c r="Q44" s="2581">
        <v>1.6999999999999999E-3</v>
      </c>
      <c r="R44" s="2581">
        <v>0</v>
      </c>
      <c r="S44" s="2581">
        <v>1.14E-3</v>
      </c>
      <c r="T44" s="2581">
        <v>0</v>
      </c>
      <c r="U44" s="2177">
        <v>9.2499999999999995E-3</v>
      </c>
    </row>
    <row r="45" spans="2:21" hidden="1" outlineLevel="1">
      <c r="B45" s="1050">
        <v>32</v>
      </c>
      <c r="C45" s="1050" t="str">
        <f t="shared" si="0"/>
        <v>Véhicule utilitaire léger, &lt;3,5 T, essence, France continentale, Base Carbone</v>
      </c>
      <c r="D45" s="1051">
        <f t="shared" si="1"/>
        <v>11</v>
      </c>
      <c r="E45" s="1051" t="str">
        <f>IF(COUNTIF(E$13:E44,F45)&gt;0,"",F45)</f>
        <v/>
      </c>
      <c r="F45" s="1051" t="str">
        <f t="shared" si="2"/>
        <v>Fourgon, 8 m3, France continentale, Base Carbone</v>
      </c>
      <c r="G45" s="1055" t="str">
        <f t="shared" si="3"/>
        <v>Fourgon, 8 m3, France continentale, Base Carbone; kgCO2e/tonne.km, Amont</v>
      </c>
      <c r="I45" s="1034" t="s">
        <v>3793</v>
      </c>
      <c r="J45" s="1119" t="s">
        <v>2324</v>
      </c>
      <c r="K45" s="1119" t="s">
        <v>1567</v>
      </c>
      <c r="L45" s="1135" t="s">
        <v>1571</v>
      </c>
      <c r="M45" s="1033">
        <v>0.7</v>
      </c>
      <c r="N45" s="1135" t="s">
        <v>1570</v>
      </c>
      <c r="O45" s="2046">
        <v>4.2200000000000001E-2</v>
      </c>
      <c r="P45" s="2581">
        <v>3.2599999999999997E-2</v>
      </c>
      <c r="Q45" s="2581">
        <v>9.7300000000000008E-3</v>
      </c>
      <c r="R45" s="2581">
        <v>0</v>
      </c>
      <c r="S45" s="2581">
        <v>1.83E-3</v>
      </c>
      <c r="T45" s="2581">
        <v>0</v>
      </c>
      <c r="U45" s="2177">
        <v>-9.2499999999999995E-3</v>
      </c>
    </row>
    <row r="46" spans="2:21" hidden="1" outlineLevel="1">
      <c r="B46" s="1050">
        <v>33</v>
      </c>
      <c r="C46" s="1050" t="str">
        <f t="shared" si="0"/>
        <v>Véhicule utilitaire léger, &lt;3,5 T, GNC, France continentale, Base Carbone</v>
      </c>
      <c r="D46" s="1051">
        <f t="shared" si="1"/>
        <v>11</v>
      </c>
      <c r="E46" s="1051" t="str">
        <f>IF(COUNTIF(E$13:E45,F46)&gt;0,"",F46)</f>
        <v/>
      </c>
      <c r="F46" s="1051" t="str">
        <f t="shared" si="2"/>
        <v>Fourgon, 8 m3, France continentale, Base Carbone</v>
      </c>
      <c r="G46" s="1055" t="str">
        <f t="shared" si="3"/>
        <v>Fourgon, 8 m3, France continentale, Base Carbone; kgCO2e/tonne.km, Fabrication</v>
      </c>
      <c r="I46" s="1034" t="s">
        <v>3793</v>
      </c>
      <c r="J46" s="1119" t="s">
        <v>2324</v>
      </c>
      <c r="K46" s="1119" t="s">
        <v>1567</v>
      </c>
      <c r="L46" s="1135" t="s">
        <v>1571</v>
      </c>
      <c r="M46" s="1033">
        <v>0.7</v>
      </c>
      <c r="N46" s="1135" t="s">
        <v>332</v>
      </c>
      <c r="O46" s="2046">
        <v>3.3E-3</v>
      </c>
      <c r="P46" s="2581">
        <v>3.3E-3</v>
      </c>
      <c r="Q46" s="2581">
        <v>0</v>
      </c>
      <c r="R46" s="2581">
        <v>0</v>
      </c>
      <c r="S46" s="2581">
        <v>0</v>
      </c>
      <c r="T46" s="2581">
        <v>0</v>
      </c>
      <c r="U46" s="2177">
        <v>0</v>
      </c>
    </row>
    <row r="47" spans="2:21" hidden="1" outlineLevel="1">
      <c r="B47" s="1050">
        <v>34</v>
      </c>
      <c r="C47" s="1050" t="str">
        <f t="shared" si="0"/>
        <v>Véhicule utilitaire léger, &lt;3,5 T, GPL, France continentale, Base Carbone</v>
      </c>
      <c r="D47" s="1051">
        <f t="shared" si="1"/>
        <v>12</v>
      </c>
      <c r="E47" s="1051" t="str">
        <f>IF(COUNTIF(E$13:E46,F47)&gt;0,"",F47)</f>
        <v>Rigide, 12 à 20 T, diesel routier, 7% biodiesel, France continentale, Base Carbone</v>
      </c>
      <c r="F47" s="1051" t="str">
        <f t="shared" si="2"/>
        <v>Rigide, 12 à 20 T, diesel routier, 7% biodiesel, France continentale, Base Carbone</v>
      </c>
      <c r="G47" s="1055" t="str">
        <f t="shared" si="3"/>
        <v>Rigide, 12 à 20 T, diesel routier, 7% biodiesel, France continentale, Base Carbone; kgCO2e/tonne.km, Combustion</v>
      </c>
      <c r="I47" s="1034" t="s">
        <v>3794</v>
      </c>
      <c r="J47" s="1119" t="s">
        <v>2324</v>
      </c>
      <c r="K47" s="1119" t="s">
        <v>1567</v>
      </c>
      <c r="L47" s="1135" t="s">
        <v>1571</v>
      </c>
      <c r="M47" s="1033">
        <v>0.7</v>
      </c>
      <c r="N47" s="1135" t="s">
        <v>1569</v>
      </c>
      <c r="O47" s="2046">
        <v>0.12</v>
      </c>
      <c r="P47" s="1980">
        <v>0.12</v>
      </c>
      <c r="Q47" s="1980">
        <v>0</v>
      </c>
      <c r="R47" s="1980">
        <v>0</v>
      </c>
      <c r="S47" s="1980">
        <v>0</v>
      </c>
      <c r="T47" s="1980">
        <v>0</v>
      </c>
      <c r="U47" s="2036">
        <v>0</v>
      </c>
    </row>
    <row r="48" spans="2:21" hidden="1" outlineLevel="1">
      <c r="B48" s="1050">
        <v>35</v>
      </c>
      <c r="C48" s="1050" t="str">
        <f t="shared" si="0"/>
        <v>-</v>
      </c>
      <c r="D48" s="1051">
        <f t="shared" si="1"/>
        <v>12</v>
      </c>
      <c r="E48" s="1051" t="str">
        <f>IF(COUNTIF(E$13:E47,F48)&gt;0,"",F48)</f>
        <v/>
      </c>
      <c r="F48" s="1051" t="str">
        <f t="shared" si="2"/>
        <v>Rigide, 12 à 20 T, diesel routier, 7% biodiesel, France continentale, Base Carbone</v>
      </c>
      <c r="G48" s="1055" t="str">
        <f t="shared" si="3"/>
        <v>Rigide, 12 à 20 T, diesel routier, 7% biodiesel, France continentale, Base Carbone; kgCO2e/tonne.km, Amont</v>
      </c>
      <c r="I48" s="1034" t="s">
        <v>3794</v>
      </c>
      <c r="J48" s="1119" t="s">
        <v>2324</v>
      </c>
      <c r="K48" s="1119" t="s">
        <v>1567</v>
      </c>
      <c r="L48" s="1135" t="s">
        <v>1571</v>
      </c>
      <c r="M48" s="1033">
        <v>0.7</v>
      </c>
      <c r="N48" s="1135" t="s">
        <v>1570</v>
      </c>
      <c r="O48" s="2046">
        <v>2.93E-2</v>
      </c>
      <c r="P48" s="1980">
        <v>2.93E-2</v>
      </c>
      <c r="Q48" s="1980">
        <v>0</v>
      </c>
      <c r="R48" s="1980">
        <v>0</v>
      </c>
      <c r="S48" s="1980">
        <v>0</v>
      </c>
      <c r="T48" s="1980">
        <v>0</v>
      </c>
      <c r="U48" s="2036">
        <v>0</v>
      </c>
    </row>
    <row r="49" spans="2:21" hidden="1" outlineLevel="1">
      <c r="B49" s="1050">
        <v>36</v>
      </c>
      <c r="C49" s="1050" t="str">
        <f t="shared" si="0"/>
        <v>-</v>
      </c>
      <c r="D49" s="1051">
        <f t="shared" si="1"/>
        <v>12</v>
      </c>
      <c r="E49" s="1051" t="str">
        <f>IF(COUNTIF(E$13:E48,F49)&gt;0,"",F49)</f>
        <v/>
      </c>
      <c r="F49" s="1051" t="str">
        <f t="shared" si="2"/>
        <v>Rigide, 12 à 20 T, diesel routier, 7% biodiesel, France continentale, Base Carbone</v>
      </c>
      <c r="G49" s="1055" t="str">
        <f t="shared" si="3"/>
        <v>Rigide, 12 à 20 T, diesel routier, 7% biodiesel, France continentale, Base Carbone; kgCO2e/tonne.km, Fabrication</v>
      </c>
      <c r="I49" s="1034" t="s">
        <v>3794</v>
      </c>
      <c r="J49" s="1119" t="s">
        <v>2324</v>
      </c>
      <c r="K49" s="1119" t="s">
        <v>1567</v>
      </c>
      <c r="L49" s="1135" t="s">
        <v>1571</v>
      </c>
      <c r="M49" s="1033">
        <v>0.7</v>
      </c>
      <c r="N49" s="1135" t="s">
        <v>332</v>
      </c>
      <c r="O49" s="2046">
        <v>1.0500000000000001E-2</v>
      </c>
      <c r="P49" s="1980">
        <v>1.0500000000000001E-2</v>
      </c>
      <c r="Q49" s="1980">
        <v>0</v>
      </c>
      <c r="R49" s="1980">
        <v>0</v>
      </c>
      <c r="S49" s="1980">
        <v>0</v>
      </c>
      <c r="T49" s="1980">
        <v>0</v>
      </c>
      <c r="U49" s="2036">
        <v>0</v>
      </c>
    </row>
    <row r="50" spans="2:21" hidden="1" outlineLevel="1">
      <c r="B50" s="1050">
        <v>37</v>
      </c>
      <c r="C50" s="1050" t="str">
        <f t="shared" si="0"/>
        <v>-</v>
      </c>
      <c r="D50" s="1051">
        <f t="shared" si="1"/>
        <v>13</v>
      </c>
      <c r="E50" s="1051" t="str">
        <f>IF(COUNTIF(E$13:E49,F50)&gt;0,"",F50)</f>
        <v>Rigide, 12 à 20 T, GNC, France continentale, Base Carbone</v>
      </c>
      <c r="F50" s="1051" t="str">
        <f t="shared" si="2"/>
        <v>Rigide, 12 à 20 T, GNC, France continentale, Base Carbone</v>
      </c>
      <c r="G50" s="1055" t="str">
        <f t="shared" si="3"/>
        <v>Rigide, 12 à 20 T, GNC, France continentale, Base Carbone; kgCO2e/tonne.km, Combustion</v>
      </c>
      <c r="I50" s="1034" t="s">
        <v>3795</v>
      </c>
      <c r="J50" s="1119" t="s">
        <v>2324</v>
      </c>
      <c r="K50" s="1119" t="s">
        <v>1567</v>
      </c>
      <c r="L50" s="1135" t="s">
        <v>1571</v>
      </c>
      <c r="M50" s="1033">
        <v>0.7</v>
      </c>
      <c r="N50" s="1135" t="s">
        <v>1569</v>
      </c>
      <c r="O50" s="2046">
        <v>0.13</v>
      </c>
      <c r="P50" s="1980">
        <v>0.13</v>
      </c>
      <c r="Q50" s="1980">
        <v>0</v>
      </c>
      <c r="R50" s="1980">
        <v>0</v>
      </c>
      <c r="S50" s="1980">
        <v>0</v>
      </c>
      <c r="T50" s="1980">
        <v>0</v>
      </c>
      <c r="U50" s="2036">
        <v>0</v>
      </c>
    </row>
    <row r="51" spans="2:21" hidden="1" outlineLevel="1">
      <c r="B51" s="1050">
        <v>38</v>
      </c>
      <c r="C51" s="1050" t="str">
        <f t="shared" si="0"/>
        <v>-</v>
      </c>
      <c r="D51" s="1051">
        <f t="shared" si="1"/>
        <v>13</v>
      </c>
      <c r="E51" s="1051" t="str">
        <f>IF(COUNTIF(E$13:E50,F51)&gt;0,"",F51)</f>
        <v/>
      </c>
      <c r="F51" s="1051" t="str">
        <f t="shared" si="2"/>
        <v>Rigide, 12 à 20 T, GNC, France continentale, Base Carbone</v>
      </c>
      <c r="G51" s="1055" t="str">
        <f t="shared" si="3"/>
        <v>Rigide, 12 à 20 T, GNC, France continentale, Base Carbone; kgCO2e/tonne.km, Amont</v>
      </c>
      <c r="I51" s="1034" t="s">
        <v>3795</v>
      </c>
      <c r="J51" s="1119" t="s">
        <v>2324</v>
      </c>
      <c r="K51" s="1119" t="s">
        <v>1567</v>
      </c>
      <c r="L51" s="1135" t="s">
        <v>1571</v>
      </c>
      <c r="M51" s="1033">
        <v>0.7</v>
      </c>
      <c r="N51" s="1135" t="s">
        <v>1570</v>
      </c>
      <c r="O51" s="2046">
        <v>1.4999999999999999E-2</v>
      </c>
      <c r="P51" s="1980">
        <v>1.4999999999999999E-2</v>
      </c>
      <c r="Q51" s="1980">
        <v>0</v>
      </c>
      <c r="R51" s="1980">
        <v>0</v>
      </c>
      <c r="S51" s="1980">
        <v>0</v>
      </c>
      <c r="T51" s="1980">
        <v>0</v>
      </c>
      <c r="U51" s="2036">
        <v>0</v>
      </c>
    </row>
    <row r="52" spans="2:21" hidden="1" outlineLevel="1">
      <c r="B52" s="1050">
        <v>39</v>
      </c>
      <c r="C52" s="1050" t="str">
        <f t="shared" si="0"/>
        <v>-</v>
      </c>
      <c r="D52" s="1051">
        <f t="shared" si="1"/>
        <v>13</v>
      </c>
      <c r="E52" s="1051" t="str">
        <f>IF(COUNTIF(E$13:E51,F52)&gt;0,"",F52)</f>
        <v/>
      </c>
      <c r="F52" s="1051" t="str">
        <f t="shared" si="2"/>
        <v>Rigide, 12 à 20 T, GNC, France continentale, Base Carbone</v>
      </c>
      <c r="G52" s="1055" t="str">
        <f t="shared" si="3"/>
        <v>Rigide, 12 à 20 T, GNC, France continentale, Base Carbone; kgCO2e/tonne.km, Fabrication</v>
      </c>
      <c r="I52" s="1034" t="s">
        <v>3795</v>
      </c>
      <c r="J52" s="1119" t="s">
        <v>2324</v>
      </c>
      <c r="K52" s="1119" t="s">
        <v>1567</v>
      </c>
      <c r="L52" s="1135" t="s">
        <v>1571</v>
      </c>
      <c r="M52" s="1033">
        <v>0.7</v>
      </c>
      <c r="N52" s="1135" t="s">
        <v>332</v>
      </c>
      <c r="O52" s="2046">
        <v>1.0500000000000001E-2</v>
      </c>
      <c r="P52" s="1980">
        <v>1.0500000000000001E-2</v>
      </c>
      <c r="Q52" s="1980">
        <v>0</v>
      </c>
      <c r="R52" s="1980">
        <v>0</v>
      </c>
      <c r="S52" s="1980">
        <v>0</v>
      </c>
      <c r="T52" s="1980">
        <v>0</v>
      </c>
      <c r="U52" s="2036">
        <v>0</v>
      </c>
    </row>
    <row r="53" spans="2:21" hidden="1" outlineLevel="1">
      <c r="B53" s="1050">
        <v>40</v>
      </c>
      <c r="C53" s="1050" t="str">
        <f t="shared" si="0"/>
        <v>-</v>
      </c>
      <c r="D53" s="1051">
        <f t="shared" si="1"/>
        <v>14</v>
      </c>
      <c r="E53" s="1051" t="str">
        <f>IF(COUNTIF(E$13:E52,F53)&gt;0,"",F53)</f>
        <v>Rigide, 12 à 20 T, GNL, France continentale, Base Carbone</v>
      </c>
      <c r="F53" s="1051" t="str">
        <f t="shared" si="2"/>
        <v>Rigide, 12 à 20 T, GNL, France continentale, Base Carbone</v>
      </c>
      <c r="G53" s="1055" t="str">
        <f t="shared" si="3"/>
        <v>Rigide, 12 à 20 T, GNL, France continentale, Base Carbone; kgCO2e/tonne.km, Combustion</v>
      </c>
      <c r="I53" s="1034" t="s">
        <v>3796</v>
      </c>
      <c r="J53" s="1119" t="s">
        <v>2324</v>
      </c>
      <c r="K53" s="1119" t="s">
        <v>1567</v>
      </c>
      <c r="L53" s="1135" t="s">
        <v>1571</v>
      </c>
      <c r="M53" s="1033">
        <v>0.7</v>
      </c>
      <c r="N53" s="1135" t="s">
        <v>1569</v>
      </c>
      <c r="O53" s="2046">
        <v>0.13</v>
      </c>
      <c r="P53" s="1980">
        <v>0.13</v>
      </c>
      <c r="Q53" s="1980">
        <v>0</v>
      </c>
      <c r="R53" s="1980">
        <v>0</v>
      </c>
      <c r="S53" s="1980">
        <v>0</v>
      </c>
      <c r="T53" s="1980">
        <v>0</v>
      </c>
      <c r="U53" s="2036">
        <v>0</v>
      </c>
    </row>
    <row r="54" spans="2:21" hidden="1" outlineLevel="1">
      <c r="B54" s="1050">
        <v>41</v>
      </c>
      <c r="C54" s="1050" t="str">
        <f t="shared" si="0"/>
        <v>-</v>
      </c>
      <c r="D54" s="1051">
        <f t="shared" si="1"/>
        <v>14</v>
      </c>
      <c r="E54" s="1051" t="str">
        <f>IF(COUNTIF(E$13:E53,F54)&gt;0,"",F54)</f>
        <v/>
      </c>
      <c r="F54" s="1051" t="str">
        <f t="shared" si="2"/>
        <v>Rigide, 12 à 20 T, GNL, France continentale, Base Carbone</v>
      </c>
      <c r="G54" s="1055" t="str">
        <f t="shared" si="3"/>
        <v>Rigide, 12 à 20 T, GNL, France continentale, Base Carbone; kgCO2e/tonne.km, Amont</v>
      </c>
      <c r="I54" s="1034" t="s">
        <v>3796</v>
      </c>
      <c r="J54" s="1119" t="s">
        <v>2324</v>
      </c>
      <c r="K54" s="1119" t="s">
        <v>1567</v>
      </c>
      <c r="L54" s="1135" t="s">
        <v>1571</v>
      </c>
      <c r="M54" s="2043">
        <v>0.7</v>
      </c>
      <c r="N54" s="1135" t="s">
        <v>1570</v>
      </c>
      <c r="O54" s="2046">
        <v>4.5999999999999999E-2</v>
      </c>
      <c r="P54" s="1980">
        <v>4.5999999999999999E-2</v>
      </c>
      <c r="Q54" s="1980">
        <v>0</v>
      </c>
      <c r="R54" s="1980">
        <v>0</v>
      </c>
      <c r="S54" s="1980">
        <v>0</v>
      </c>
      <c r="T54" s="1980">
        <v>0</v>
      </c>
      <c r="U54" s="2036">
        <v>0</v>
      </c>
    </row>
    <row r="55" spans="2:21" hidden="1" outlineLevel="1">
      <c r="B55" s="1050">
        <v>42</v>
      </c>
      <c r="C55" s="1050" t="str">
        <f t="shared" si="0"/>
        <v>-</v>
      </c>
      <c r="D55" s="1051">
        <f t="shared" si="1"/>
        <v>14</v>
      </c>
      <c r="E55" s="1051" t="str">
        <f>IF(COUNTIF(E$13:E54,F55)&gt;0,"",F55)</f>
        <v/>
      </c>
      <c r="F55" s="1051" t="str">
        <f t="shared" si="2"/>
        <v>Rigide, 12 à 20 T, GNL, France continentale, Base Carbone</v>
      </c>
      <c r="G55" s="1055" t="str">
        <f t="shared" si="3"/>
        <v>Rigide, 12 à 20 T, GNL, France continentale, Base Carbone; kgCO2e/tonne.km, Fabrication</v>
      </c>
      <c r="I55" s="1034" t="s">
        <v>3796</v>
      </c>
      <c r="J55" s="1119" t="s">
        <v>2324</v>
      </c>
      <c r="K55" s="1119" t="s">
        <v>1567</v>
      </c>
      <c r="L55" s="1135" t="s">
        <v>1571</v>
      </c>
      <c r="M55" s="2043">
        <v>0.7</v>
      </c>
      <c r="N55" s="1135" t="s">
        <v>332</v>
      </c>
      <c r="O55" s="2046">
        <v>1.0500000000000001E-2</v>
      </c>
      <c r="P55" s="1980">
        <v>1.0500000000000001E-2</v>
      </c>
      <c r="Q55" s="1980">
        <v>0</v>
      </c>
      <c r="R55" s="1980">
        <v>0</v>
      </c>
      <c r="S55" s="1980">
        <v>0</v>
      </c>
      <c r="T55" s="1980">
        <v>0</v>
      </c>
      <c r="U55" s="2036">
        <v>0</v>
      </c>
    </row>
    <row r="56" spans="2:21" hidden="1" outlineLevel="1">
      <c r="B56" s="1050">
        <v>43</v>
      </c>
      <c r="C56" s="1050" t="str">
        <f t="shared" si="0"/>
        <v>-</v>
      </c>
      <c r="D56" s="1051">
        <f t="shared" si="1"/>
        <v>15</v>
      </c>
      <c r="E56" s="1051" t="str">
        <f>IF(COUNTIF(E$13:E55,F56)&gt;0,"",F56)</f>
        <v>Rigide, 20 à 26 T, diesel routier, 7% biodiesel, France continentale, Base Carbone</v>
      </c>
      <c r="F56" s="1051" t="str">
        <f t="shared" si="2"/>
        <v>Rigide, 20 à 26 T, diesel routier, 7% biodiesel, France continentale, Base Carbone</v>
      </c>
      <c r="G56" s="1055" t="str">
        <f t="shared" si="3"/>
        <v>Rigide, 20 à 26 T, diesel routier, 7% biodiesel, France continentale, Base Carbone; kgCO2e/tonne.km, Combustion</v>
      </c>
      <c r="I56" s="1034" t="s">
        <v>3797</v>
      </c>
      <c r="J56" s="1119" t="s">
        <v>2324</v>
      </c>
      <c r="K56" s="1119" t="s">
        <v>1567</v>
      </c>
      <c r="L56" s="1135" t="s">
        <v>1571</v>
      </c>
      <c r="M56" s="1033">
        <v>0.7</v>
      </c>
      <c r="N56" s="1135" t="s">
        <v>1569</v>
      </c>
      <c r="O56" s="2046">
        <v>9.9099999999999994E-2</v>
      </c>
      <c r="P56" s="1980">
        <v>9.9099999999999994E-2</v>
      </c>
      <c r="Q56" s="1980">
        <v>0</v>
      </c>
      <c r="R56" s="1980">
        <v>0</v>
      </c>
      <c r="S56" s="1980">
        <v>0</v>
      </c>
      <c r="T56" s="1980">
        <v>0</v>
      </c>
      <c r="U56" s="2036">
        <v>0</v>
      </c>
    </row>
    <row r="57" spans="2:21" hidden="1" outlineLevel="1">
      <c r="B57" s="1050">
        <v>44</v>
      </c>
      <c r="C57" s="1050" t="str">
        <f t="shared" si="0"/>
        <v>-</v>
      </c>
      <c r="D57" s="1051">
        <f t="shared" si="1"/>
        <v>15</v>
      </c>
      <c r="E57" s="1051" t="str">
        <f>IF(COUNTIF(E$13:E56,F57)&gt;0,"",F57)</f>
        <v/>
      </c>
      <c r="F57" s="1051" t="str">
        <f t="shared" si="2"/>
        <v>Rigide, 20 à 26 T, diesel routier, 7% biodiesel, France continentale, Base Carbone</v>
      </c>
      <c r="G57" s="1055" t="str">
        <f t="shared" si="3"/>
        <v>Rigide, 20 à 26 T, diesel routier, 7% biodiesel, France continentale, Base Carbone; kgCO2e/tonne.km, Amont</v>
      </c>
      <c r="I57" s="1034" t="s">
        <v>3797</v>
      </c>
      <c r="J57" s="1119" t="s">
        <v>2324</v>
      </c>
      <c r="K57" s="1119" t="s">
        <v>1567</v>
      </c>
      <c r="L57" s="1135" t="s">
        <v>1571</v>
      </c>
      <c r="M57" s="1033">
        <v>0.7</v>
      </c>
      <c r="N57" s="1135" t="s">
        <v>1570</v>
      </c>
      <c r="O57" s="2046">
        <v>2.4199999999999999E-2</v>
      </c>
      <c r="P57" s="1980">
        <v>2.4199999999999999E-2</v>
      </c>
      <c r="Q57" s="1980">
        <v>0</v>
      </c>
      <c r="R57" s="1980">
        <v>0</v>
      </c>
      <c r="S57" s="1980">
        <v>0</v>
      </c>
      <c r="T57" s="1980">
        <v>0</v>
      </c>
      <c r="U57" s="2036">
        <v>0</v>
      </c>
    </row>
    <row r="58" spans="2:21" hidden="1" outlineLevel="1">
      <c r="B58" s="1050">
        <v>45</v>
      </c>
      <c r="C58" s="1050" t="str">
        <f t="shared" si="0"/>
        <v>-</v>
      </c>
      <c r="D58" s="1051">
        <f t="shared" si="1"/>
        <v>15</v>
      </c>
      <c r="E58" s="1051" t="str">
        <f>IF(COUNTIF(E$13:E57,F58)&gt;0,"",F58)</f>
        <v/>
      </c>
      <c r="F58" s="1051" t="str">
        <f t="shared" si="2"/>
        <v>Rigide, 20 à 26 T, diesel routier, 7% biodiesel, France continentale, Base Carbone</v>
      </c>
      <c r="G58" s="1055" t="str">
        <f t="shared" si="3"/>
        <v>Rigide, 20 à 26 T, diesel routier, 7% biodiesel, France continentale, Base Carbone; kgCO2e/tonne.km, Fabrication</v>
      </c>
      <c r="I58" s="1034" t="s">
        <v>3797</v>
      </c>
      <c r="J58" s="1119" t="s">
        <v>2324</v>
      </c>
      <c r="K58" s="1119" t="s">
        <v>1567</v>
      </c>
      <c r="L58" s="1135" t="s">
        <v>1571</v>
      </c>
      <c r="M58" s="1033">
        <v>0.7</v>
      </c>
      <c r="N58" s="1135" t="s">
        <v>332</v>
      </c>
      <c r="O58" s="2046">
        <v>1.1299999999999999E-2</v>
      </c>
      <c r="P58" s="1980">
        <v>1.1299999999999999E-2</v>
      </c>
      <c r="Q58" s="1980">
        <v>0</v>
      </c>
      <c r="R58" s="1980">
        <v>0</v>
      </c>
      <c r="S58" s="1980">
        <v>0</v>
      </c>
      <c r="T58" s="1980">
        <v>0</v>
      </c>
      <c r="U58" s="2036">
        <v>0</v>
      </c>
    </row>
    <row r="59" spans="2:21" hidden="1" outlineLevel="1">
      <c r="B59" s="1050">
        <v>46</v>
      </c>
      <c r="C59" s="1050" t="str">
        <f t="shared" si="0"/>
        <v>-</v>
      </c>
      <c r="D59" s="1051">
        <f t="shared" si="1"/>
        <v>16</v>
      </c>
      <c r="E59" s="1051" t="str">
        <f>IF(COUNTIF(E$13:E58,F59)&gt;0,"",F59)</f>
        <v>Rigide, 20 à 26 T, GNC, France continentale, Base Carbone</v>
      </c>
      <c r="F59" s="1051" t="str">
        <f t="shared" si="2"/>
        <v>Rigide, 20 à 26 T, GNC, France continentale, Base Carbone</v>
      </c>
      <c r="G59" s="1055" t="str">
        <f t="shared" si="3"/>
        <v>Rigide, 20 à 26 T, GNC, France continentale, Base Carbone; kgCO2e/tonne.km, Combustion</v>
      </c>
      <c r="I59" s="1034" t="s">
        <v>3798</v>
      </c>
      <c r="J59" s="1119" t="s">
        <v>2324</v>
      </c>
      <c r="K59" s="1119" t="s">
        <v>1567</v>
      </c>
      <c r="L59" s="1135" t="s">
        <v>1571</v>
      </c>
      <c r="M59" s="1033">
        <v>0.7</v>
      </c>
      <c r="N59" s="1135" t="s">
        <v>1569</v>
      </c>
      <c r="O59" s="2046">
        <v>0.12</v>
      </c>
      <c r="P59" s="1980">
        <v>0.12</v>
      </c>
      <c r="Q59" s="1980">
        <v>0</v>
      </c>
      <c r="R59" s="1980">
        <v>0</v>
      </c>
      <c r="S59" s="1980">
        <v>0</v>
      </c>
      <c r="T59" s="1980">
        <v>0</v>
      </c>
      <c r="U59" s="2036">
        <v>0</v>
      </c>
    </row>
    <row r="60" spans="2:21" hidden="1" outlineLevel="1">
      <c r="B60" s="1050">
        <v>47</v>
      </c>
      <c r="C60" s="1050" t="str">
        <f t="shared" si="0"/>
        <v>-</v>
      </c>
      <c r="D60" s="1051">
        <f t="shared" si="1"/>
        <v>16</v>
      </c>
      <c r="E60" s="1051" t="str">
        <f>IF(COUNTIF(E$13:E59,F60)&gt;0,"",F60)</f>
        <v/>
      </c>
      <c r="F60" s="1051" t="str">
        <f t="shared" si="2"/>
        <v>Rigide, 20 à 26 T, GNC, France continentale, Base Carbone</v>
      </c>
      <c r="G60" s="1055" t="str">
        <f t="shared" si="3"/>
        <v>Rigide, 20 à 26 T, GNC, France continentale, Base Carbone; kgCO2e/tonne.km, Amont</v>
      </c>
      <c r="I60" s="1034" t="s">
        <v>3798</v>
      </c>
      <c r="J60" s="1119" t="s">
        <v>2324</v>
      </c>
      <c r="K60" s="1119" t="s">
        <v>1567</v>
      </c>
      <c r="L60" s="1135" t="s">
        <v>1571</v>
      </c>
      <c r="M60" s="1033">
        <v>0.7</v>
      </c>
      <c r="N60" s="1135" t="s">
        <v>1570</v>
      </c>
      <c r="O60" s="2046">
        <v>1.4999999999999999E-2</v>
      </c>
      <c r="P60" s="1980">
        <v>1.4999999999999999E-2</v>
      </c>
      <c r="Q60" s="1980">
        <v>0</v>
      </c>
      <c r="R60" s="1980">
        <v>0</v>
      </c>
      <c r="S60" s="1980">
        <v>0</v>
      </c>
      <c r="T60" s="1980">
        <v>0</v>
      </c>
      <c r="U60" s="2036">
        <v>0</v>
      </c>
    </row>
    <row r="61" spans="2:21" hidden="1" outlineLevel="1">
      <c r="B61" s="1050">
        <v>48</v>
      </c>
      <c r="C61" s="1050" t="str">
        <f t="shared" si="0"/>
        <v>-</v>
      </c>
      <c r="D61" s="1051">
        <f t="shared" si="1"/>
        <v>16</v>
      </c>
      <c r="E61" s="1051" t="str">
        <f>IF(COUNTIF(E$13:E60,F61)&gt;0,"",F61)</f>
        <v/>
      </c>
      <c r="F61" s="1051" t="str">
        <f t="shared" si="2"/>
        <v>Rigide, 20 à 26 T, GNC, France continentale, Base Carbone</v>
      </c>
      <c r="G61" s="1055" t="str">
        <f t="shared" si="3"/>
        <v>Rigide, 20 à 26 T, GNC, France continentale, Base Carbone; kgCO2e/tonne.km, Fabrication</v>
      </c>
      <c r="I61" s="1034" t="s">
        <v>3798</v>
      </c>
      <c r="J61" s="1119" t="s">
        <v>2324</v>
      </c>
      <c r="K61" s="1119" t="s">
        <v>1567</v>
      </c>
      <c r="L61" s="1135" t="s">
        <v>1571</v>
      </c>
      <c r="M61" s="1033">
        <v>0.7</v>
      </c>
      <c r="N61" s="1135" t="s">
        <v>332</v>
      </c>
      <c r="O61" s="2046">
        <v>1.1299999999999999E-2</v>
      </c>
      <c r="P61" s="1980">
        <v>1.1299999999999999E-2</v>
      </c>
      <c r="Q61" s="1980">
        <v>0</v>
      </c>
      <c r="R61" s="1980">
        <v>0</v>
      </c>
      <c r="S61" s="1980">
        <v>0</v>
      </c>
      <c r="T61" s="1980">
        <v>0</v>
      </c>
      <c r="U61" s="2036">
        <v>0</v>
      </c>
    </row>
    <row r="62" spans="2:21" hidden="1" outlineLevel="1">
      <c r="B62" s="1050">
        <v>49</v>
      </c>
      <c r="C62" s="1050" t="str">
        <f t="shared" si="0"/>
        <v>-</v>
      </c>
      <c r="D62" s="1051">
        <f t="shared" si="1"/>
        <v>17</v>
      </c>
      <c r="E62" s="1051" t="str">
        <f>IF(COUNTIF(E$13:E61,F62)&gt;0,"",F62)</f>
        <v>Rigide, 20 à 26 T, GNL, France continentale, Base Carbone</v>
      </c>
      <c r="F62" s="1051" t="str">
        <f t="shared" si="2"/>
        <v>Rigide, 20 à 26 T, GNL, France continentale, Base Carbone</v>
      </c>
      <c r="G62" s="1055" t="str">
        <f t="shared" si="3"/>
        <v>Rigide, 20 à 26 T, GNL, France continentale, Base Carbone; kgCO2e/tonne.km, Combustion</v>
      </c>
      <c r="I62" s="1034" t="s">
        <v>3799</v>
      </c>
      <c r="J62" s="1119" t="s">
        <v>2324</v>
      </c>
      <c r="K62" s="1119" t="s">
        <v>1567</v>
      </c>
      <c r="L62" s="1135" t="s">
        <v>1571</v>
      </c>
      <c r="M62" s="1033">
        <v>0.7</v>
      </c>
      <c r="N62" s="1135" t="s">
        <v>1569</v>
      </c>
      <c r="O62" s="2046">
        <v>0.14000000000000001</v>
      </c>
      <c r="P62" s="1980">
        <v>0.14000000000000001</v>
      </c>
      <c r="Q62" s="1980">
        <v>0</v>
      </c>
      <c r="R62" s="1980">
        <v>0</v>
      </c>
      <c r="S62" s="1980">
        <v>0</v>
      </c>
      <c r="T62" s="1980">
        <v>0</v>
      </c>
      <c r="U62" s="2036">
        <v>0</v>
      </c>
    </row>
    <row r="63" spans="2:21" hidden="1" outlineLevel="1">
      <c r="B63" s="1050">
        <v>50</v>
      </c>
      <c r="C63" s="1050" t="str">
        <f t="shared" si="0"/>
        <v>-</v>
      </c>
      <c r="D63" s="1051">
        <f t="shared" si="1"/>
        <v>17</v>
      </c>
      <c r="E63" s="1051" t="str">
        <f>IF(COUNTIF(E$13:E62,F63)&gt;0,"",F63)</f>
        <v/>
      </c>
      <c r="F63" s="1051" t="str">
        <f t="shared" si="2"/>
        <v>Rigide, 20 à 26 T, GNL, France continentale, Base Carbone</v>
      </c>
      <c r="G63" s="1055" t="str">
        <f t="shared" si="3"/>
        <v>Rigide, 20 à 26 T, GNL, France continentale, Base Carbone; kgCO2e/tonne.km, Amont</v>
      </c>
      <c r="I63" s="1034" t="s">
        <v>3799</v>
      </c>
      <c r="J63" s="1119" t="s">
        <v>2324</v>
      </c>
      <c r="K63" s="1119" t="s">
        <v>1567</v>
      </c>
      <c r="L63" s="1135" t="s">
        <v>1571</v>
      </c>
      <c r="M63" s="1033">
        <v>0.7</v>
      </c>
      <c r="N63" s="1135" t="s">
        <v>1570</v>
      </c>
      <c r="O63" s="2046">
        <v>3.5999999999999997E-2</v>
      </c>
      <c r="P63" s="1980">
        <v>3.5999999999999997E-2</v>
      </c>
      <c r="Q63" s="1980">
        <v>0</v>
      </c>
      <c r="R63" s="1980">
        <v>0</v>
      </c>
      <c r="S63" s="1980">
        <v>0</v>
      </c>
      <c r="T63" s="1980">
        <v>0</v>
      </c>
      <c r="U63" s="2036">
        <v>0</v>
      </c>
    </row>
    <row r="64" spans="2:21" hidden="1" outlineLevel="1">
      <c r="B64" s="1050">
        <v>51</v>
      </c>
      <c r="C64" s="1050" t="str">
        <f t="shared" si="0"/>
        <v>-</v>
      </c>
      <c r="D64" s="1051">
        <f t="shared" si="1"/>
        <v>17</v>
      </c>
      <c r="E64" s="1051" t="str">
        <f>IF(COUNTIF(E$13:E63,F64)&gt;0,"",F64)</f>
        <v/>
      </c>
      <c r="F64" s="1051" t="str">
        <f t="shared" si="2"/>
        <v>Rigide, 20 à 26 T, GNL, France continentale, Base Carbone</v>
      </c>
      <c r="G64" s="1055" t="str">
        <f t="shared" si="3"/>
        <v>Rigide, 20 à 26 T, GNL, France continentale, Base Carbone; kgCO2e/tonne.km, Fabrication</v>
      </c>
      <c r="I64" s="1034" t="s">
        <v>3799</v>
      </c>
      <c r="J64" s="1119" t="s">
        <v>2324</v>
      </c>
      <c r="K64" s="1119" t="s">
        <v>1567</v>
      </c>
      <c r="L64" s="1135" t="s">
        <v>1571</v>
      </c>
      <c r="M64" s="1033">
        <v>0.7</v>
      </c>
      <c r="N64" s="1135" t="s">
        <v>332</v>
      </c>
      <c r="O64" s="2046">
        <v>1.1299999999999999E-2</v>
      </c>
      <c r="P64" s="1980">
        <v>1.1299999999999999E-2</v>
      </c>
      <c r="Q64" s="1980">
        <v>0</v>
      </c>
      <c r="R64" s="1980">
        <v>0</v>
      </c>
      <c r="S64" s="1980">
        <v>0</v>
      </c>
      <c r="T64" s="1980">
        <v>0</v>
      </c>
      <c r="U64" s="2036">
        <v>0</v>
      </c>
    </row>
    <row r="65" spans="2:21" hidden="1" outlineLevel="1">
      <c r="B65" s="1050">
        <v>52</v>
      </c>
      <c r="C65" s="1050" t="str">
        <f t="shared" si="0"/>
        <v>-</v>
      </c>
      <c r="D65" s="1051">
        <f t="shared" si="1"/>
        <v>18</v>
      </c>
      <c r="E65" s="1051" t="str">
        <f>IF(COUNTIF(E$13:E64,F65)&gt;0,"",F65)</f>
        <v>Rigide, 26 à 32 T, diesel routier, 7% biodiesel, France continentale, Base Carbone</v>
      </c>
      <c r="F65" s="1051" t="str">
        <f t="shared" si="2"/>
        <v>Rigide, 26 à 32 T, diesel routier, 7% biodiesel, France continentale, Base Carbone</v>
      </c>
      <c r="G65" s="1055" t="str">
        <f t="shared" si="3"/>
        <v>Rigide, 26 à 32 T, diesel routier, 7% biodiesel, France continentale, Base Carbone; kgCO2e/tonne.km, Combustion</v>
      </c>
      <c r="I65" s="1034" t="s">
        <v>3800</v>
      </c>
      <c r="J65" s="1119" t="s">
        <v>2324</v>
      </c>
      <c r="K65" s="1119" t="s">
        <v>1567</v>
      </c>
      <c r="L65" s="1135" t="s">
        <v>1571</v>
      </c>
      <c r="M65" s="1033">
        <v>0.7</v>
      </c>
      <c r="N65" s="1135" t="s">
        <v>1569</v>
      </c>
      <c r="O65" s="2046">
        <v>7.8100000000000003E-2</v>
      </c>
      <c r="P65" s="1980">
        <v>7.8100000000000003E-2</v>
      </c>
      <c r="Q65" s="1980">
        <v>0</v>
      </c>
      <c r="R65" s="1980">
        <v>0</v>
      </c>
      <c r="S65" s="1980">
        <v>0</v>
      </c>
      <c r="T65" s="1980">
        <v>0</v>
      </c>
      <c r="U65" s="2036">
        <v>0</v>
      </c>
    </row>
    <row r="66" spans="2:21" hidden="1" outlineLevel="1">
      <c r="B66" s="1050">
        <v>53</v>
      </c>
      <c r="C66" s="1050" t="str">
        <f t="shared" si="0"/>
        <v>-</v>
      </c>
      <c r="D66" s="1051">
        <f t="shared" si="1"/>
        <v>18</v>
      </c>
      <c r="E66" s="1051" t="str">
        <f>IF(COUNTIF(E$13:E65,F66)&gt;0,"",F66)</f>
        <v/>
      </c>
      <c r="F66" s="1051" t="str">
        <f t="shared" si="2"/>
        <v>Rigide, 26 à 32 T, diesel routier, 7% biodiesel, France continentale, Base Carbone</v>
      </c>
      <c r="G66" s="1055" t="str">
        <f t="shared" si="3"/>
        <v>Rigide, 26 à 32 T, diesel routier, 7% biodiesel, France continentale, Base Carbone; kgCO2e/tonne.km, Amont</v>
      </c>
      <c r="I66" s="1034" t="s">
        <v>3800</v>
      </c>
      <c r="J66" s="1119" t="s">
        <v>2324</v>
      </c>
      <c r="K66" s="1119" t="s">
        <v>1567</v>
      </c>
      <c r="L66" s="1135" t="s">
        <v>1571</v>
      </c>
      <c r="M66" s="1033">
        <v>0.7</v>
      </c>
      <c r="N66" s="1135" t="s">
        <v>1570</v>
      </c>
      <c r="O66" s="2046">
        <v>1.9099999999999999E-2</v>
      </c>
      <c r="P66" s="1980">
        <v>1.9099999999999999E-2</v>
      </c>
      <c r="Q66" s="1980">
        <v>0</v>
      </c>
      <c r="R66" s="1980">
        <v>0</v>
      </c>
      <c r="S66" s="1980">
        <v>0</v>
      </c>
      <c r="T66" s="1980">
        <v>0</v>
      </c>
      <c r="U66" s="2036">
        <v>0</v>
      </c>
    </row>
    <row r="67" spans="2:21" hidden="1" outlineLevel="1">
      <c r="B67" s="1050">
        <v>54</v>
      </c>
      <c r="C67" s="1050" t="str">
        <f t="shared" si="0"/>
        <v>-</v>
      </c>
      <c r="D67" s="1051">
        <f t="shared" si="1"/>
        <v>18</v>
      </c>
      <c r="E67" s="1051" t="str">
        <f>IF(COUNTIF(E$13:E66,F67)&gt;0,"",F67)</f>
        <v/>
      </c>
      <c r="F67" s="1051" t="str">
        <f t="shared" si="2"/>
        <v>Rigide, 26 à 32 T, diesel routier, 7% biodiesel, France continentale, Base Carbone</v>
      </c>
      <c r="G67" s="1055" t="str">
        <f t="shared" si="3"/>
        <v>Rigide, 26 à 32 T, diesel routier, 7% biodiesel, France continentale, Base Carbone; kgCO2e/tonne.km, Fabrication</v>
      </c>
      <c r="I67" s="1034" t="s">
        <v>3800</v>
      </c>
      <c r="J67" s="1119" t="s">
        <v>2324</v>
      </c>
      <c r="K67" s="1119" t="s">
        <v>1567</v>
      </c>
      <c r="L67" s="1135" t="s">
        <v>1571</v>
      </c>
      <c r="M67" s="1033">
        <v>0.7</v>
      </c>
      <c r="N67" s="1135" t="s">
        <v>332</v>
      </c>
      <c r="O67" s="2046">
        <v>8.0000000000000002E-3</v>
      </c>
      <c r="P67" s="1980">
        <v>8.0000000000000002E-3</v>
      </c>
      <c r="Q67" s="1980">
        <v>0</v>
      </c>
      <c r="R67" s="1980">
        <v>0</v>
      </c>
      <c r="S67" s="1980">
        <v>0</v>
      </c>
      <c r="T67" s="1980">
        <v>0</v>
      </c>
      <c r="U67" s="2036">
        <v>0</v>
      </c>
    </row>
    <row r="68" spans="2:21" hidden="1" outlineLevel="1">
      <c r="B68" s="1050">
        <v>55</v>
      </c>
      <c r="C68" s="1050" t="str">
        <f t="shared" si="0"/>
        <v>-</v>
      </c>
      <c r="D68" s="1051">
        <f t="shared" si="1"/>
        <v>19</v>
      </c>
      <c r="E68" s="1051" t="str">
        <f>IF(COUNTIF(E$13:E67,F68)&gt;0,"",F68)</f>
        <v>Rigide, 3,5 à 7,5 T, diesel routier, 7% biodiesel, France continentale, Base Carbone</v>
      </c>
      <c r="F68" s="1051" t="str">
        <f t="shared" si="2"/>
        <v>Rigide, 3,5 à 7,5 T, diesel routier, 7% biodiesel, France continentale, Base Carbone</v>
      </c>
      <c r="G68" s="1055" t="str">
        <f t="shared" si="3"/>
        <v>Rigide, 3,5 à 7,5 T, diesel routier, 7% biodiesel, France continentale, Base Carbone; kgCO2e/tonne.km, Combustion</v>
      </c>
      <c r="I68" s="1034" t="s">
        <v>3801</v>
      </c>
      <c r="J68" s="1119" t="s">
        <v>2324</v>
      </c>
      <c r="K68" s="1119" t="s">
        <v>1567</v>
      </c>
      <c r="L68" s="1135" t="s">
        <v>1571</v>
      </c>
      <c r="M68" s="1033">
        <v>0.7</v>
      </c>
      <c r="N68" s="1135" t="s">
        <v>1569</v>
      </c>
      <c r="O68" s="2046">
        <v>0.29399999999999998</v>
      </c>
      <c r="P68" s="1980">
        <v>0.29399999999999998</v>
      </c>
      <c r="Q68" s="1980">
        <v>0</v>
      </c>
      <c r="R68" s="1980">
        <v>0</v>
      </c>
      <c r="S68" s="1980">
        <v>0</v>
      </c>
      <c r="T68" s="1980">
        <v>0</v>
      </c>
      <c r="U68" s="2036">
        <v>0</v>
      </c>
    </row>
    <row r="69" spans="2:21" hidden="1" outlineLevel="1">
      <c r="B69" s="1050">
        <v>56</v>
      </c>
      <c r="C69" s="1050" t="str">
        <f t="shared" si="0"/>
        <v>-</v>
      </c>
      <c r="D69" s="1051">
        <f t="shared" si="1"/>
        <v>19</v>
      </c>
      <c r="E69" s="1051" t="str">
        <f>IF(COUNTIF(E$13:E68,F69)&gt;0,"",F69)</f>
        <v/>
      </c>
      <c r="F69" s="1051" t="str">
        <f t="shared" si="2"/>
        <v>Rigide, 3,5 à 7,5 T, diesel routier, 7% biodiesel, France continentale, Base Carbone</v>
      </c>
      <c r="G69" s="1055" t="str">
        <f t="shared" si="3"/>
        <v>Rigide, 3,5 à 7,5 T, diesel routier, 7% biodiesel, France continentale, Base Carbone; kgCO2e/tonne.km, Amont</v>
      </c>
      <c r="I69" s="1034" t="s">
        <v>3801</v>
      </c>
      <c r="J69" s="1119" t="s">
        <v>2324</v>
      </c>
      <c r="K69" s="1119" t="s">
        <v>1567</v>
      </c>
      <c r="L69" s="1135" t="s">
        <v>1571</v>
      </c>
      <c r="M69" s="1033">
        <v>0.7</v>
      </c>
      <c r="N69" s="1135" t="s">
        <v>1570</v>
      </c>
      <c r="O69" s="2046">
        <v>7.1900000000000006E-2</v>
      </c>
      <c r="P69" s="1980">
        <v>7.1900000000000006E-2</v>
      </c>
      <c r="Q69" s="1980">
        <v>0</v>
      </c>
      <c r="R69" s="1980">
        <v>0</v>
      </c>
      <c r="S69" s="1980">
        <v>0</v>
      </c>
      <c r="T69" s="1980">
        <v>0</v>
      </c>
      <c r="U69" s="2036">
        <v>0</v>
      </c>
    </row>
    <row r="70" spans="2:21" hidden="1" outlineLevel="1">
      <c r="B70" s="1050">
        <v>57</v>
      </c>
      <c r="C70" s="1050" t="str">
        <f t="shared" si="0"/>
        <v>-</v>
      </c>
      <c r="D70" s="1051">
        <f t="shared" si="1"/>
        <v>19</v>
      </c>
      <c r="E70" s="1051" t="str">
        <f>IF(COUNTIF(E$13:E69,F70)&gt;0,"",F70)</f>
        <v/>
      </c>
      <c r="F70" s="1051" t="str">
        <f t="shared" si="2"/>
        <v>Rigide, 3,5 à 7,5 T, diesel routier, 7% biodiesel, France continentale, Base Carbone</v>
      </c>
      <c r="G70" s="1055" t="str">
        <f t="shared" si="3"/>
        <v>Rigide, 3,5 à 7,5 T, diesel routier, 7% biodiesel, France continentale, Base Carbone; kgCO2e/tonne.km, Fabrication</v>
      </c>
      <c r="I70" s="1034" t="s">
        <v>3801</v>
      </c>
      <c r="J70" s="1119" t="s">
        <v>2324</v>
      </c>
      <c r="K70" s="1119" t="s">
        <v>1567</v>
      </c>
      <c r="L70" s="1135" t="s">
        <v>1571</v>
      </c>
      <c r="M70" s="1033">
        <v>0.7</v>
      </c>
      <c r="N70" s="1135" t="s">
        <v>332</v>
      </c>
      <c r="O70" s="2046">
        <v>1.1299999999999999E-2</v>
      </c>
      <c r="P70" s="1980">
        <v>1.1299999999999999E-2</v>
      </c>
      <c r="Q70" s="1980">
        <v>0</v>
      </c>
      <c r="R70" s="1980">
        <v>0</v>
      </c>
      <c r="S70" s="1980">
        <v>0</v>
      </c>
      <c r="T70" s="1980">
        <v>0</v>
      </c>
      <c r="U70" s="2036">
        <v>0</v>
      </c>
    </row>
    <row r="71" spans="2:21" hidden="1" outlineLevel="1">
      <c r="B71" s="1050">
        <v>58</v>
      </c>
      <c r="C71" s="1050" t="str">
        <f t="shared" si="0"/>
        <v>-</v>
      </c>
      <c r="D71" s="1051">
        <f t="shared" si="1"/>
        <v>20</v>
      </c>
      <c r="E71" s="1051" t="str">
        <f>IF(COUNTIF(E$13:E70,F71)&gt;0,"",F71)</f>
        <v>Rigide, 3,5 à 7,5 T, électrique, France continentale, Base Carbone</v>
      </c>
      <c r="F71" s="1051" t="str">
        <f t="shared" si="2"/>
        <v>Rigide, 3,5 à 7,5 T, électrique, France continentale, Base Carbone</v>
      </c>
      <c r="G71" s="1055" t="str">
        <f t="shared" si="3"/>
        <v>Rigide, 3,5 à 7,5 T, électrique, France continentale, Base Carbone; kgCO2e/tonne.km, Combustion</v>
      </c>
      <c r="I71" s="1034" t="s">
        <v>3802</v>
      </c>
      <c r="J71" s="1119" t="s">
        <v>2324</v>
      </c>
      <c r="K71" s="1119" t="s">
        <v>1567</v>
      </c>
      <c r="L71" s="1135" t="s">
        <v>1571</v>
      </c>
      <c r="M71" s="1033">
        <v>0.7</v>
      </c>
      <c r="N71" s="1135" t="s">
        <v>1569</v>
      </c>
      <c r="O71" s="2046">
        <v>0</v>
      </c>
      <c r="P71" s="1980">
        <v>0</v>
      </c>
      <c r="Q71" s="1980">
        <v>0</v>
      </c>
      <c r="R71" s="1980">
        <v>0</v>
      </c>
      <c r="S71" s="1980">
        <v>0</v>
      </c>
      <c r="T71" s="1980">
        <v>0</v>
      </c>
      <c r="U71" s="2036">
        <v>0</v>
      </c>
    </row>
    <row r="72" spans="2:21" hidden="1" outlineLevel="1">
      <c r="B72" s="1050">
        <v>59</v>
      </c>
      <c r="C72" s="1050" t="str">
        <f t="shared" si="0"/>
        <v>-</v>
      </c>
      <c r="D72" s="1051">
        <f t="shared" si="1"/>
        <v>20</v>
      </c>
      <c r="E72" s="1051" t="str">
        <f>IF(COUNTIF(E$13:E71,F72)&gt;0,"",F72)</f>
        <v/>
      </c>
      <c r="F72" s="1051" t="str">
        <f t="shared" si="2"/>
        <v>Rigide, 3,5 à 7,5 T, électrique, France continentale, Base Carbone</v>
      </c>
      <c r="G72" s="1055" t="str">
        <f t="shared" si="3"/>
        <v>Rigide, 3,5 à 7,5 T, électrique, France continentale, Base Carbone; kgCO2e/tonne.km, Amont</v>
      </c>
      <c r="I72" s="1034" t="s">
        <v>3802</v>
      </c>
      <c r="J72" s="1119" t="s">
        <v>2324</v>
      </c>
      <c r="K72" s="1119" t="s">
        <v>1567</v>
      </c>
      <c r="L72" s="1135" t="s">
        <v>1571</v>
      </c>
      <c r="M72" s="1033">
        <v>0.7</v>
      </c>
      <c r="N72" s="1135" t="s">
        <v>1570</v>
      </c>
      <c r="O72" s="2046">
        <v>4.6699999999999998E-2</v>
      </c>
      <c r="P72" s="1980">
        <v>4.6699999999999998E-2</v>
      </c>
      <c r="Q72" s="1980">
        <v>0</v>
      </c>
      <c r="R72" s="1980">
        <v>0</v>
      </c>
      <c r="S72" s="1980">
        <v>0</v>
      </c>
      <c r="T72" s="1980">
        <v>0</v>
      </c>
      <c r="U72" s="2036">
        <v>0</v>
      </c>
    </row>
    <row r="73" spans="2:21" hidden="1" outlineLevel="1">
      <c r="B73" s="1050"/>
      <c r="C73" s="1050"/>
      <c r="D73" s="1051">
        <f t="shared" si="1"/>
        <v>20</v>
      </c>
      <c r="E73" s="1051" t="str">
        <f>IF(COUNTIF(E$13:E72,F73)&gt;0,"",F73)</f>
        <v/>
      </c>
      <c r="F73" s="1051" t="str">
        <f t="shared" si="2"/>
        <v>Rigide, 3,5 à 7,5 T, électrique, France continentale, Base Carbone</v>
      </c>
      <c r="G73" s="1055" t="str">
        <f t="shared" si="3"/>
        <v>Rigide, 3,5 à 7,5 T, électrique, France continentale, Base Carbone; kgCO2e/tonne.km, Fabrication</v>
      </c>
      <c r="I73" s="1034" t="s">
        <v>3802</v>
      </c>
      <c r="J73" s="1119" t="s">
        <v>2324</v>
      </c>
      <c r="K73" s="1119" t="s">
        <v>1567</v>
      </c>
      <c r="L73" s="1135" t="s">
        <v>1571</v>
      </c>
      <c r="M73" s="1033">
        <v>0.7</v>
      </c>
      <c r="N73" s="1135" t="s">
        <v>332</v>
      </c>
      <c r="O73" s="2046">
        <v>1.1299999999999999E-2</v>
      </c>
      <c r="P73" s="1980">
        <v>1.1299999999999999E-2</v>
      </c>
      <c r="Q73" s="1980">
        <v>0</v>
      </c>
      <c r="R73" s="1980">
        <v>0</v>
      </c>
      <c r="S73" s="1980">
        <v>0</v>
      </c>
      <c r="T73" s="1980">
        <v>0</v>
      </c>
      <c r="U73" s="2036">
        <v>0</v>
      </c>
    </row>
    <row r="74" spans="2:21" hidden="1" outlineLevel="1">
      <c r="B74" s="1050"/>
      <c r="C74" s="1050"/>
      <c r="D74" s="1051">
        <f t="shared" si="1"/>
        <v>21</v>
      </c>
      <c r="E74" s="1051" t="str">
        <f>IF(COUNTIF(E$13:E73,F74)&gt;0,"",F74)</f>
        <v>Rigide, 3,5 à 7,5 T, GNC, France continentale, Base Carbone</v>
      </c>
      <c r="F74" s="1051" t="str">
        <f t="shared" si="2"/>
        <v>Rigide, 3,5 à 7,5 T, GNC, France continentale, Base Carbone</v>
      </c>
      <c r="G74" s="1055" t="str">
        <f t="shared" si="3"/>
        <v>Rigide, 3,5 à 7,5 T, GNC, France continentale, Base Carbone; kgCO2e/tonne.km, Combustion</v>
      </c>
      <c r="I74" s="1034" t="s">
        <v>3803</v>
      </c>
      <c r="J74" s="1119" t="s">
        <v>2324</v>
      </c>
      <c r="K74" s="1119" t="s">
        <v>1567</v>
      </c>
      <c r="L74" s="1135" t="s">
        <v>1571</v>
      </c>
      <c r="M74" s="1033">
        <v>0.7</v>
      </c>
      <c r="N74" s="1135" t="s">
        <v>1569</v>
      </c>
      <c r="O74" s="2046">
        <v>0.31</v>
      </c>
      <c r="P74" s="1980">
        <v>0.31</v>
      </c>
      <c r="Q74" s="1980">
        <v>0</v>
      </c>
      <c r="R74" s="1980">
        <v>0</v>
      </c>
      <c r="S74" s="1980">
        <v>0</v>
      </c>
      <c r="T74" s="1980">
        <v>0</v>
      </c>
      <c r="U74" s="2036">
        <v>0</v>
      </c>
    </row>
    <row r="75" spans="2:21" hidden="1" outlineLevel="1">
      <c r="B75" s="1050"/>
      <c r="C75" s="1050"/>
      <c r="D75" s="1051">
        <f t="shared" si="1"/>
        <v>21</v>
      </c>
      <c r="E75" s="1051" t="str">
        <f>IF(COUNTIF(E$13:E74,F75)&gt;0,"",F75)</f>
        <v/>
      </c>
      <c r="F75" s="1051" t="str">
        <f t="shared" si="2"/>
        <v>Rigide, 3,5 à 7,5 T, GNC, France continentale, Base Carbone</v>
      </c>
      <c r="G75" s="1055" t="str">
        <f t="shared" si="3"/>
        <v>Rigide, 3,5 à 7,5 T, GNC, France continentale, Base Carbone; kgCO2e/tonne.km, Amont</v>
      </c>
      <c r="I75" s="1034" t="s">
        <v>3803</v>
      </c>
      <c r="J75" s="1119" t="s">
        <v>2324</v>
      </c>
      <c r="K75" s="1119" t="s">
        <v>1567</v>
      </c>
      <c r="L75" s="1135" t="s">
        <v>1571</v>
      </c>
      <c r="M75" s="1033">
        <v>0.7</v>
      </c>
      <c r="N75" s="1135" t="s">
        <v>1570</v>
      </c>
      <c r="O75" s="2046">
        <v>4.4999999999999998E-2</v>
      </c>
      <c r="P75" s="1980">
        <v>4.4999999999999998E-2</v>
      </c>
      <c r="Q75" s="1980">
        <v>0</v>
      </c>
      <c r="R75" s="1980">
        <v>0</v>
      </c>
      <c r="S75" s="1980">
        <v>0</v>
      </c>
      <c r="T75" s="1980">
        <v>0</v>
      </c>
      <c r="U75" s="2036">
        <v>0</v>
      </c>
    </row>
    <row r="76" spans="2:21" hidden="1" outlineLevel="1">
      <c r="B76" s="1050"/>
      <c r="C76" s="1050"/>
      <c r="D76" s="1051">
        <f t="shared" si="1"/>
        <v>21</v>
      </c>
      <c r="E76" s="1051" t="str">
        <f>IF(COUNTIF(E$13:E75,F76)&gt;0,"",F76)</f>
        <v/>
      </c>
      <c r="F76" s="1051" t="str">
        <f t="shared" si="2"/>
        <v>Rigide, 3,5 à 7,5 T, GNC, France continentale, Base Carbone</v>
      </c>
      <c r="G76" s="1055" t="str">
        <f t="shared" si="3"/>
        <v>Rigide, 3,5 à 7,5 T, GNC, France continentale, Base Carbone; kgCO2e/tonne.km, Fabrication</v>
      </c>
      <c r="I76" s="1034" t="s">
        <v>3803</v>
      </c>
      <c r="J76" s="1119" t="s">
        <v>2324</v>
      </c>
      <c r="K76" s="1119" t="s">
        <v>1567</v>
      </c>
      <c r="L76" s="1135" t="s">
        <v>1571</v>
      </c>
      <c r="M76" s="1033">
        <v>0.7</v>
      </c>
      <c r="N76" s="1135" t="s">
        <v>332</v>
      </c>
      <c r="O76" s="2046">
        <v>1.1299999999999999E-2</v>
      </c>
      <c r="P76" s="1980">
        <v>1.1299999999999999E-2</v>
      </c>
      <c r="Q76" s="1980">
        <v>0</v>
      </c>
      <c r="R76" s="1980">
        <v>0</v>
      </c>
      <c r="S76" s="1980">
        <v>0</v>
      </c>
      <c r="T76" s="1980">
        <v>0</v>
      </c>
      <c r="U76" s="2036">
        <v>0</v>
      </c>
    </row>
    <row r="77" spans="2:21" hidden="1" outlineLevel="1">
      <c r="B77" s="1050"/>
      <c r="C77" s="1050"/>
      <c r="D77" s="1051">
        <f t="shared" si="1"/>
        <v>22</v>
      </c>
      <c r="E77" s="1051" t="str">
        <f>IF(COUNTIF(E$13:E76,F77)&gt;0,"",F77)</f>
        <v>Rigide, 3,5 à 7,5 T, hybride parallèle, France continentale, Base Carbone</v>
      </c>
      <c r="F77" s="1051" t="str">
        <f t="shared" si="2"/>
        <v>Rigide, 3,5 à 7,5 T, hybride parallèle, France continentale, Base Carbone</v>
      </c>
      <c r="G77" s="1055" t="str">
        <f t="shared" si="3"/>
        <v>Rigide, 3,5 à 7,5 T, hybride parallèle, France continentale, Base Carbone; kgCO2e/tonne.km, Combustion</v>
      </c>
      <c r="I77" s="1034" t="s">
        <v>3804</v>
      </c>
      <c r="J77" s="1119" t="s">
        <v>2324</v>
      </c>
      <c r="K77" s="1119" t="s">
        <v>1567</v>
      </c>
      <c r="L77" s="1135" t="s">
        <v>1571</v>
      </c>
      <c r="M77" s="1033">
        <v>0.7</v>
      </c>
      <c r="N77" s="1135" t="s">
        <v>1569</v>
      </c>
      <c r="O77" s="2046">
        <v>0.22</v>
      </c>
      <c r="P77" s="1980">
        <v>0.22</v>
      </c>
      <c r="Q77" s="1980">
        <v>0</v>
      </c>
      <c r="R77" s="1980">
        <v>0</v>
      </c>
      <c r="S77" s="1980">
        <v>0</v>
      </c>
      <c r="T77" s="1980">
        <v>0</v>
      </c>
      <c r="U77" s="2036">
        <v>0</v>
      </c>
    </row>
    <row r="78" spans="2:21" hidden="1" outlineLevel="1">
      <c r="B78" s="1050"/>
      <c r="C78" s="1050"/>
      <c r="D78" s="1051">
        <f t="shared" si="1"/>
        <v>22</v>
      </c>
      <c r="E78" s="1051" t="str">
        <f>IF(COUNTIF(E$13:E77,F78)&gt;0,"",F78)</f>
        <v/>
      </c>
      <c r="F78" s="1051" t="str">
        <f t="shared" si="2"/>
        <v>Rigide, 3,5 à 7,5 T, hybride parallèle, France continentale, Base Carbone</v>
      </c>
      <c r="G78" s="1055" t="str">
        <f t="shared" si="3"/>
        <v>Rigide, 3,5 à 7,5 T, hybride parallèle, France continentale, Base Carbone; kgCO2e/tonne.km, Amont</v>
      </c>
      <c r="I78" s="1034" t="s">
        <v>3804</v>
      </c>
      <c r="J78" s="1119" t="s">
        <v>2324</v>
      </c>
      <c r="K78" s="1119" t="s">
        <v>1567</v>
      </c>
      <c r="L78" s="1135" t="s">
        <v>1571</v>
      </c>
      <c r="M78" s="1033">
        <v>0.7</v>
      </c>
      <c r="N78" s="1135" t="s">
        <v>1570</v>
      </c>
      <c r="O78" s="2046">
        <v>4.36E-2</v>
      </c>
      <c r="P78" s="1980">
        <v>4.36E-2</v>
      </c>
      <c r="Q78" s="1980">
        <v>0</v>
      </c>
      <c r="R78" s="1980">
        <v>0</v>
      </c>
      <c r="S78" s="1980">
        <v>0</v>
      </c>
      <c r="T78" s="1980">
        <v>0</v>
      </c>
      <c r="U78" s="2036">
        <v>0</v>
      </c>
    </row>
    <row r="79" spans="2:21" hidden="1" outlineLevel="1">
      <c r="B79" s="1050"/>
      <c r="C79" s="1050"/>
      <c r="D79" s="1051">
        <f t="shared" ref="D79:D127" si="4">D78+IF(LEN(E79)&gt;0,1,0)</f>
        <v>22</v>
      </c>
      <c r="E79" s="1051" t="str">
        <f>IF(COUNTIF(E$13:E78,F79)&gt;0,"",F79)</f>
        <v/>
      </c>
      <c r="F79" s="1051" t="str">
        <f t="shared" ref="F79:F127" si="5">IF(I79&lt;&gt;"",I79&amp;IF(L79&lt;&gt;"",", "&amp;L79,"")&amp;IF(K79&lt;&gt;"",", "&amp;K79,""),"")</f>
        <v>Rigide, 3,5 à 7,5 T, hybride parallèle, France continentale, Base Carbone</v>
      </c>
      <c r="G79" s="1055" t="str">
        <f t="shared" ref="G79:G127" si="6">IF(F79&lt;&gt;"",F79&amp;IF(J79&lt;&gt;"","; "&amp;J79&amp;IF(N79&lt;&gt;"",", "&amp;N79,),""),"")</f>
        <v>Rigide, 3,5 à 7,5 T, hybride parallèle, France continentale, Base Carbone; kgCO2e/tonne.km, Fabrication</v>
      </c>
      <c r="I79" s="1034" t="s">
        <v>3804</v>
      </c>
      <c r="J79" s="1119" t="s">
        <v>2324</v>
      </c>
      <c r="K79" s="1119" t="s">
        <v>1567</v>
      </c>
      <c r="L79" s="1135" t="s">
        <v>1571</v>
      </c>
      <c r="M79" s="1033">
        <v>0.7</v>
      </c>
      <c r="N79" s="1135" t="s">
        <v>332</v>
      </c>
      <c r="O79" s="2046">
        <v>1.1299999999999999E-2</v>
      </c>
      <c r="P79" s="1980">
        <v>1.1299999999999999E-2</v>
      </c>
      <c r="Q79" s="1980">
        <v>0</v>
      </c>
      <c r="R79" s="1980">
        <v>0</v>
      </c>
      <c r="S79" s="1980">
        <v>0</v>
      </c>
      <c r="T79" s="1980">
        <v>0</v>
      </c>
      <c r="U79" s="2036">
        <v>0</v>
      </c>
    </row>
    <row r="80" spans="2:21" hidden="1" outlineLevel="1">
      <c r="B80" s="1050"/>
      <c r="C80" s="1050"/>
      <c r="D80" s="1051">
        <f t="shared" si="4"/>
        <v>23</v>
      </c>
      <c r="E80" s="1051" t="str">
        <f>IF(COUNTIF(E$13:E79,F80)&gt;0,"",F80)</f>
        <v>Rigide, 3,5 à 7,5 T, hybride série, France continentale, Base Carbone</v>
      </c>
      <c r="F80" s="1051" t="str">
        <f t="shared" si="5"/>
        <v>Rigide, 3,5 à 7,5 T, hybride série, France continentale, Base Carbone</v>
      </c>
      <c r="G80" s="1055" t="str">
        <f t="shared" si="6"/>
        <v>Rigide, 3,5 à 7,5 T, hybride série, France continentale, Base Carbone; kgCO2e/tonne.km, Combustion</v>
      </c>
      <c r="I80" s="1034" t="s">
        <v>3805</v>
      </c>
      <c r="J80" s="1119" t="s">
        <v>2324</v>
      </c>
      <c r="K80" s="1119" t="s">
        <v>1567</v>
      </c>
      <c r="L80" s="1135" t="s">
        <v>1571</v>
      </c>
      <c r="M80" s="1033">
        <v>0.7</v>
      </c>
      <c r="N80" s="1135" t="s">
        <v>1569</v>
      </c>
      <c r="O80" s="2046">
        <v>0.24</v>
      </c>
      <c r="P80" s="1980">
        <v>0.24</v>
      </c>
      <c r="Q80" s="1980">
        <v>0</v>
      </c>
      <c r="R80" s="1980">
        <v>0</v>
      </c>
      <c r="S80" s="1980">
        <v>0</v>
      </c>
      <c r="T80" s="1980">
        <v>0</v>
      </c>
      <c r="U80" s="2036">
        <v>0</v>
      </c>
    </row>
    <row r="81" spans="2:21" hidden="1" outlineLevel="1">
      <c r="B81" s="1050"/>
      <c r="C81" s="1050"/>
      <c r="D81" s="1051">
        <f t="shared" si="4"/>
        <v>23</v>
      </c>
      <c r="E81" s="1051" t="str">
        <f>IF(COUNTIF(E$13:E80,F81)&gt;0,"",F81)</f>
        <v/>
      </c>
      <c r="F81" s="1051" t="str">
        <f t="shared" si="5"/>
        <v>Rigide, 3,5 à 7,5 T, hybride série, France continentale, Base Carbone</v>
      </c>
      <c r="G81" s="1055" t="str">
        <f t="shared" si="6"/>
        <v>Rigide, 3,5 à 7,5 T, hybride série, France continentale, Base Carbone; kgCO2e/tonne.km, Amont</v>
      </c>
      <c r="I81" s="1034" t="s">
        <v>3805</v>
      </c>
      <c r="J81" s="1119" t="s">
        <v>2324</v>
      </c>
      <c r="K81" s="1119" t="s">
        <v>1567</v>
      </c>
      <c r="L81" s="1135" t="s">
        <v>1571</v>
      </c>
      <c r="M81" s="1033">
        <v>0.7</v>
      </c>
      <c r="N81" s="1135" t="s">
        <v>1570</v>
      </c>
      <c r="O81" s="2046">
        <v>4.7500000000000001E-2</v>
      </c>
      <c r="P81" s="1980">
        <v>4.7500000000000001E-2</v>
      </c>
      <c r="Q81" s="1980">
        <v>0</v>
      </c>
      <c r="R81" s="1980">
        <v>0</v>
      </c>
      <c r="S81" s="1980">
        <v>0</v>
      </c>
      <c r="T81" s="1980">
        <v>0</v>
      </c>
      <c r="U81" s="2036">
        <v>0</v>
      </c>
    </row>
    <row r="82" spans="2:21" hidden="1" outlineLevel="1">
      <c r="B82" s="1050"/>
      <c r="C82" s="1050"/>
      <c r="D82" s="1051">
        <f t="shared" si="4"/>
        <v>23</v>
      </c>
      <c r="E82" s="1051" t="str">
        <f>IF(COUNTIF(E$13:E81,F82)&gt;0,"",F82)</f>
        <v/>
      </c>
      <c r="F82" s="1051" t="str">
        <f t="shared" si="5"/>
        <v>Rigide, 3,5 à 7,5 T, hybride série, France continentale, Base Carbone</v>
      </c>
      <c r="G82" s="1055" t="str">
        <f t="shared" si="6"/>
        <v>Rigide, 3,5 à 7,5 T, hybride série, France continentale, Base Carbone; kgCO2e/tonne.km, Fabrication</v>
      </c>
      <c r="I82" s="1034" t="s">
        <v>3805</v>
      </c>
      <c r="J82" s="1119" t="s">
        <v>2324</v>
      </c>
      <c r="K82" s="1119" t="s">
        <v>1567</v>
      </c>
      <c r="L82" s="1135" t="s">
        <v>1571</v>
      </c>
      <c r="M82" s="1033">
        <v>0.7</v>
      </c>
      <c r="N82" s="1135" t="s">
        <v>332</v>
      </c>
      <c r="O82" s="2046">
        <v>1.1299999999999999E-2</v>
      </c>
      <c r="P82" s="1980">
        <v>1.1299999999999999E-2</v>
      </c>
      <c r="Q82" s="1980">
        <v>0</v>
      </c>
      <c r="R82" s="1980">
        <v>0</v>
      </c>
      <c r="S82" s="1980">
        <v>0</v>
      </c>
      <c r="T82" s="1980">
        <v>0</v>
      </c>
      <c r="U82" s="2036">
        <v>0</v>
      </c>
    </row>
    <row r="83" spans="2:21" hidden="1" outlineLevel="1">
      <c r="B83" s="1050"/>
      <c r="C83" s="1050"/>
      <c r="D83" s="1051">
        <f t="shared" si="4"/>
        <v>24</v>
      </c>
      <c r="E83" s="1051" t="str">
        <f>IF(COUNTIF(E$13:E82,F83)&gt;0,"",F83)</f>
        <v>Rigide, 7,5 à 12 T, diesel routier, 7% biodiesel, France continentale, Base Carbone</v>
      </c>
      <c r="F83" s="1051" t="str">
        <f t="shared" si="5"/>
        <v>Rigide, 7,5 à 12 T, diesel routier, 7% biodiesel, France continentale, Base Carbone</v>
      </c>
      <c r="G83" s="1055" t="str">
        <f t="shared" si="6"/>
        <v>Rigide, 7,5 à 12 T, diesel routier, 7% biodiesel, France continentale, Base Carbone; kgCO2e/tonne.km, Combustion</v>
      </c>
      <c r="I83" s="1034" t="s">
        <v>3806</v>
      </c>
      <c r="J83" s="1119" t="s">
        <v>2324</v>
      </c>
      <c r="K83" s="1119" t="s">
        <v>1567</v>
      </c>
      <c r="L83" s="1135" t="s">
        <v>1571</v>
      </c>
      <c r="M83" s="1033">
        <v>0.7</v>
      </c>
      <c r="N83" s="1135" t="s">
        <v>1569</v>
      </c>
      <c r="O83" s="2046">
        <v>0.186</v>
      </c>
      <c r="P83" s="1980">
        <v>0.186</v>
      </c>
      <c r="Q83" s="1980">
        <v>0</v>
      </c>
      <c r="R83" s="1980">
        <v>0</v>
      </c>
      <c r="S83" s="1980">
        <v>0</v>
      </c>
      <c r="T83" s="1980">
        <v>0</v>
      </c>
      <c r="U83" s="2036">
        <v>0</v>
      </c>
    </row>
    <row r="84" spans="2:21" hidden="1" outlineLevel="1">
      <c r="B84" s="1050"/>
      <c r="C84" s="1050"/>
      <c r="D84" s="1051">
        <f t="shared" si="4"/>
        <v>24</v>
      </c>
      <c r="E84" s="1051" t="str">
        <f>IF(COUNTIF(E$13:E83,F84)&gt;0,"",F84)</f>
        <v/>
      </c>
      <c r="F84" s="1051" t="str">
        <f t="shared" si="5"/>
        <v>Rigide, 7,5 à 12 T, diesel routier, 7% biodiesel, France continentale, Base Carbone</v>
      </c>
      <c r="G84" s="1055" t="str">
        <f t="shared" si="6"/>
        <v>Rigide, 7,5 à 12 T, diesel routier, 7% biodiesel, France continentale, Base Carbone; kgCO2e/tonne.km, Amont</v>
      </c>
      <c r="I84" s="1034" t="s">
        <v>3806</v>
      </c>
      <c r="J84" s="1119" t="s">
        <v>2324</v>
      </c>
      <c r="K84" s="1119" t="s">
        <v>1567</v>
      </c>
      <c r="L84" s="1135" t="s">
        <v>1571</v>
      </c>
      <c r="M84" s="1033">
        <v>0.7</v>
      </c>
      <c r="N84" s="1135" t="s">
        <v>1570</v>
      </c>
      <c r="O84" s="2046">
        <v>4.5499999999999999E-2</v>
      </c>
      <c r="P84" s="1980">
        <v>4.5499999999999999E-2</v>
      </c>
      <c r="Q84" s="1980">
        <v>0</v>
      </c>
      <c r="R84" s="1980">
        <v>0</v>
      </c>
      <c r="S84" s="1980">
        <v>0</v>
      </c>
      <c r="T84" s="1980">
        <v>0</v>
      </c>
      <c r="U84" s="2036">
        <v>0</v>
      </c>
    </row>
    <row r="85" spans="2:21" hidden="1" outlineLevel="1">
      <c r="B85" s="1050"/>
      <c r="C85" s="1050"/>
      <c r="D85" s="1051">
        <f t="shared" si="4"/>
        <v>24</v>
      </c>
      <c r="E85" s="1051" t="str">
        <f>IF(COUNTIF(E$13:E84,F85)&gt;0,"",F85)</f>
        <v/>
      </c>
      <c r="F85" s="1051" t="str">
        <f t="shared" si="5"/>
        <v>Rigide, 7,5 à 12 T, diesel routier, 7% biodiesel, France continentale, Base Carbone</v>
      </c>
      <c r="G85" s="1055" t="str">
        <f t="shared" si="6"/>
        <v>Rigide, 7,5 à 12 T, diesel routier, 7% biodiesel, France continentale, Base Carbone; kgCO2e/tonne.km, Fabrication</v>
      </c>
      <c r="I85" s="1034" t="s">
        <v>3806</v>
      </c>
      <c r="J85" s="1119" t="s">
        <v>2324</v>
      </c>
      <c r="K85" s="1119" t="s">
        <v>1567</v>
      </c>
      <c r="L85" s="1135" t="s">
        <v>1571</v>
      </c>
      <c r="M85" s="1033">
        <v>0.7</v>
      </c>
      <c r="N85" s="1135" t="s">
        <v>332</v>
      </c>
      <c r="O85" s="2046">
        <v>9.7000000000000003E-3</v>
      </c>
      <c r="P85" s="1980">
        <v>9.7000000000000003E-3</v>
      </c>
      <c r="Q85" s="1980">
        <v>0</v>
      </c>
      <c r="R85" s="1980">
        <v>0</v>
      </c>
      <c r="S85" s="1980">
        <v>0</v>
      </c>
      <c r="T85" s="1980">
        <v>0</v>
      </c>
      <c r="U85" s="2036">
        <v>0</v>
      </c>
    </row>
    <row r="86" spans="2:21" hidden="1" outlineLevel="1">
      <c r="B86" s="1050"/>
      <c r="C86" s="1050"/>
      <c r="D86" s="1051">
        <f t="shared" si="4"/>
        <v>25</v>
      </c>
      <c r="E86" s="1051" t="str">
        <f>IF(COUNTIF(E$13:E85,F86)&gt;0,"",F86)</f>
        <v>Rigide, 7,5 à 12 T, diesel routier, GNC, France continentale, Base Carbone</v>
      </c>
      <c r="F86" s="1051" t="str">
        <f t="shared" si="5"/>
        <v>Rigide, 7,5 à 12 T, diesel routier, GNC, France continentale, Base Carbone</v>
      </c>
      <c r="G86" s="1055" t="str">
        <f t="shared" si="6"/>
        <v>Rigide, 7,5 à 12 T, diesel routier, GNC, France continentale, Base Carbone; kgCO2e/tonne.km, Combustion</v>
      </c>
      <c r="I86" s="1034" t="s">
        <v>3807</v>
      </c>
      <c r="J86" s="1119" t="s">
        <v>2324</v>
      </c>
      <c r="K86" s="1119" t="s">
        <v>1567</v>
      </c>
      <c r="L86" s="1135" t="s">
        <v>1571</v>
      </c>
      <c r="M86" s="1033">
        <v>0.7</v>
      </c>
      <c r="N86" s="1135" t="s">
        <v>1569</v>
      </c>
      <c r="O86" s="2046">
        <v>0.19</v>
      </c>
      <c r="P86" s="1980">
        <v>0.19</v>
      </c>
      <c r="Q86" s="1980">
        <v>0</v>
      </c>
      <c r="R86" s="1980">
        <v>0</v>
      </c>
      <c r="S86" s="1980">
        <v>0</v>
      </c>
      <c r="T86" s="1980">
        <v>0</v>
      </c>
      <c r="U86" s="2036">
        <v>0</v>
      </c>
    </row>
    <row r="87" spans="2:21" hidden="1" outlineLevel="1">
      <c r="B87" s="1050"/>
      <c r="C87" s="1050"/>
      <c r="D87" s="1051">
        <f t="shared" si="4"/>
        <v>25</v>
      </c>
      <c r="E87" s="1051" t="str">
        <f>IF(COUNTIF(E$13:E86,F87)&gt;0,"",F87)</f>
        <v/>
      </c>
      <c r="F87" s="1051" t="str">
        <f t="shared" si="5"/>
        <v>Rigide, 7,5 à 12 T, diesel routier, GNC, France continentale, Base Carbone</v>
      </c>
      <c r="G87" s="1055" t="str">
        <f t="shared" si="6"/>
        <v>Rigide, 7,5 à 12 T, diesel routier, GNC, France continentale, Base Carbone; kgCO2e/tonne.km, Amont</v>
      </c>
      <c r="I87" s="1034" t="s">
        <v>3807</v>
      </c>
      <c r="J87" s="1119" t="s">
        <v>2324</v>
      </c>
      <c r="K87" s="1119" t="s">
        <v>1567</v>
      </c>
      <c r="L87" s="1135" t="s">
        <v>1571</v>
      </c>
      <c r="M87" s="1033">
        <v>0.7</v>
      </c>
      <c r="N87" s="1135" t="s">
        <v>1570</v>
      </c>
      <c r="O87" s="2046">
        <v>2.8000000000000001E-2</v>
      </c>
      <c r="P87" s="1980">
        <v>2.8000000000000001E-2</v>
      </c>
      <c r="Q87" s="1980">
        <v>0</v>
      </c>
      <c r="R87" s="1980">
        <v>0</v>
      </c>
      <c r="S87" s="1980">
        <v>0</v>
      </c>
      <c r="T87" s="1980">
        <v>0</v>
      </c>
      <c r="U87" s="2036">
        <v>0</v>
      </c>
    </row>
    <row r="88" spans="2:21" hidden="1" outlineLevel="1">
      <c r="B88" s="1050"/>
      <c r="C88" s="1050"/>
      <c r="D88" s="1051">
        <f t="shared" si="4"/>
        <v>25</v>
      </c>
      <c r="E88" s="1051" t="str">
        <f>IF(COUNTIF(E$13:E87,F88)&gt;0,"",F88)</f>
        <v/>
      </c>
      <c r="F88" s="1051" t="str">
        <f t="shared" si="5"/>
        <v>Rigide, 7,5 à 12 T, diesel routier, GNC, France continentale, Base Carbone</v>
      </c>
      <c r="G88" s="1055" t="str">
        <f t="shared" si="6"/>
        <v>Rigide, 7,5 à 12 T, diesel routier, GNC, France continentale, Base Carbone; kgCO2e/tonne.km, Fabrication</v>
      </c>
      <c r="I88" s="1034" t="s">
        <v>3807</v>
      </c>
      <c r="J88" s="1119" t="s">
        <v>2324</v>
      </c>
      <c r="K88" s="1119" t="s">
        <v>1567</v>
      </c>
      <c r="L88" s="1135" t="s">
        <v>1571</v>
      </c>
      <c r="M88" s="1033">
        <v>0.7</v>
      </c>
      <c r="N88" s="1135" t="s">
        <v>332</v>
      </c>
      <c r="O88" s="2046">
        <v>9.7000000000000003E-3</v>
      </c>
      <c r="P88" s="1980">
        <v>9.7000000000000003E-3</v>
      </c>
      <c r="Q88" s="1980">
        <v>0</v>
      </c>
      <c r="R88" s="1980">
        <v>0</v>
      </c>
      <c r="S88" s="1980">
        <v>0</v>
      </c>
      <c r="T88" s="1980">
        <v>0</v>
      </c>
      <c r="U88" s="2036">
        <v>0</v>
      </c>
    </row>
    <row r="89" spans="2:21" hidden="1" outlineLevel="1">
      <c r="B89" s="1050"/>
      <c r="C89" s="1050"/>
      <c r="D89" s="1051">
        <f t="shared" si="4"/>
        <v>26</v>
      </c>
      <c r="E89" s="1051" t="str">
        <f>IF(COUNTIF(E$13:E88,F89)&gt;0,"",F89)</f>
        <v>Utilitaire, &lt;3,5 T, hydrogène électrolyse décentralisée mix EnR, France continentale, Base Carbone</v>
      </c>
      <c r="F89" s="1051" t="str">
        <f t="shared" si="5"/>
        <v>Utilitaire, &lt;3,5 T, hydrogène électrolyse décentralisée mix EnR, France continentale, Base Carbone</v>
      </c>
      <c r="G89" s="1055" t="str">
        <f t="shared" si="6"/>
        <v>Utilitaire, &lt;3,5 T, hydrogène électrolyse décentralisée mix EnR, France continentale, Base Carbone; kgCO2e/km, Combustion</v>
      </c>
      <c r="I89" s="1034" t="s">
        <v>5132</v>
      </c>
      <c r="J89" s="1119" t="s">
        <v>2222</v>
      </c>
      <c r="K89" s="1119" t="s">
        <v>1567</v>
      </c>
      <c r="L89" s="1119" t="s">
        <v>1571</v>
      </c>
      <c r="M89" s="1033">
        <v>0.5</v>
      </c>
      <c r="N89" s="1119" t="s">
        <v>1569</v>
      </c>
      <c r="O89" s="2046">
        <v>0</v>
      </c>
      <c r="P89" s="1980">
        <v>0</v>
      </c>
      <c r="Q89" s="1980">
        <v>0</v>
      </c>
      <c r="R89" s="1980">
        <v>0</v>
      </c>
      <c r="S89" s="1980">
        <v>0</v>
      </c>
      <c r="T89" s="1980">
        <v>0</v>
      </c>
      <c r="U89" s="2036">
        <v>0</v>
      </c>
    </row>
    <row r="90" spans="2:21" hidden="1" outlineLevel="1">
      <c r="B90" s="1050"/>
      <c r="C90" s="1050"/>
      <c r="D90" s="1051">
        <f t="shared" si="4"/>
        <v>26</v>
      </c>
      <c r="E90" s="1051" t="str">
        <f>IF(COUNTIF(E$13:E89,F90)&gt;0,"",F90)</f>
        <v/>
      </c>
      <c r="F90" s="1051" t="str">
        <f t="shared" si="5"/>
        <v>Utilitaire, &lt;3,5 T, hydrogène électrolyse décentralisée mix EnR, France continentale, Base Carbone</v>
      </c>
      <c r="G90" s="1055" t="str">
        <f t="shared" si="6"/>
        <v>Utilitaire, &lt;3,5 T, hydrogène électrolyse décentralisée mix EnR, France continentale, Base Carbone; kgCO2e/km, Amont</v>
      </c>
      <c r="I90" s="1034" t="s">
        <v>5132</v>
      </c>
      <c r="J90" s="1119" t="s">
        <v>2222</v>
      </c>
      <c r="K90" s="1119" t="s">
        <v>1567</v>
      </c>
      <c r="L90" s="1119" t="s">
        <v>1571</v>
      </c>
      <c r="M90" s="1033">
        <v>0.5</v>
      </c>
      <c r="N90" s="1119" t="s">
        <v>1570</v>
      </c>
      <c r="O90" s="2046">
        <v>2.9000000000000001E-2</v>
      </c>
      <c r="P90" s="1980">
        <v>2.9000000000000001E-2</v>
      </c>
      <c r="Q90" s="1980">
        <v>0</v>
      </c>
      <c r="R90" s="1980">
        <v>0</v>
      </c>
      <c r="S90" s="1980">
        <v>0</v>
      </c>
      <c r="T90" s="1980">
        <v>0</v>
      </c>
      <c r="U90" s="2036">
        <v>0</v>
      </c>
    </row>
    <row r="91" spans="2:21" hidden="1" outlineLevel="1">
      <c r="B91" s="1050"/>
      <c r="C91" s="1050"/>
      <c r="D91" s="1051">
        <f t="shared" si="4"/>
        <v>26</v>
      </c>
      <c r="E91" s="1051" t="str">
        <f>IF(COUNTIF(E$13:E90,F91)&gt;0,"",F91)</f>
        <v/>
      </c>
      <c r="F91" s="1051" t="str">
        <f t="shared" si="5"/>
        <v>Utilitaire, &lt;3,5 T, hydrogène électrolyse décentralisée mix EnR, France continentale, Base Carbone</v>
      </c>
      <c r="G91" s="1055" t="str">
        <f t="shared" si="6"/>
        <v>Utilitaire, &lt;3,5 T, hydrogène électrolyse décentralisée mix EnR, France continentale, Base Carbone; kgCO2e/km, Fabrication</v>
      </c>
      <c r="I91" s="1034" t="s">
        <v>5132</v>
      </c>
      <c r="J91" s="1119" t="s">
        <v>2222</v>
      </c>
      <c r="K91" s="1119" t="s">
        <v>1567</v>
      </c>
      <c r="L91" s="1119" t="s">
        <v>1571</v>
      </c>
      <c r="M91" s="1033">
        <v>0.5</v>
      </c>
      <c r="N91" s="1119" t="s">
        <v>332</v>
      </c>
      <c r="O91" s="2046">
        <v>5.2999999999999999E-2</v>
      </c>
      <c r="P91" s="1980">
        <v>5.2999999999999999E-2</v>
      </c>
      <c r="Q91" s="1980">
        <v>0</v>
      </c>
      <c r="R91" s="1980">
        <v>0</v>
      </c>
      <c r="S91" s="1980">
        <v>0</v>
      </c>
      <c r="T91" s="1980">
        <v>0</v>
      </c>
      <c r="U91" s="2036">
        <v>0</v>
      </c>
    </row>
    <row r="92" spans="2:21" hidden="1" outlineLevel="1">
      <c r="B92" s="1050"/>
      <c r="C92" s="1050"/>
      <c r="D92" s="1051">
        <f t="shared" si="4"/>
        <v>27</v>
      </c>
      <c r="E92" s="1051" t="str">
        <f>IF(COUNTIF(E$13:E91,F92)&gt;0,"",F92)</f>
        <v>Utilitaire, &lt;3,5 T, hydrogène élecrolyse décentralisée mix France, France continentale, Base Carbone</v>
      </c>
      <c r="F92" s="1051" t="str">
        <f t="shared" si="5"/>
        <v>Utilitaire, &lt;3,5 T, hydrogène élecrolyse décentralisée mix France, France continentale, Base Carbone</v>
      </c>
      <c r="G92" s="1055" t="str">
        <f t="shared" si="6"/>
        <v>Utilitaire, &lt;3,5 T, hydrogène élecrolyse décentralisée mix France, France continentale, Base Carbone; kgCO2e/km, Combustion</v>
      </c>
      <c r="I92" s="1034" t="s">
        <v>5133</v>
      </c>
      <c r="J92" s="1119" t="s">
        <v>2222</v>
      </c>
      <c r="K92" s="1119" t="s">
        <v>1567</v>
      </c>
      <c r="L92" s="1119" t="s">
        <v>1571</v>
      </c>
      <c r="M92" s="1033">
        <v>0.5</v>
      </c>
      <c r="N92" s="1119" t="s">
        <v>1569</v>
      </c>
      <c r="O92" s="2046">
        <v>0</v>
      </c>
      <c r="P92" s="1980">
        <v>0</v>
      </c>
      <c r="Q92" s="1980">
        <v>0</v>
      </c>
      <c r="R92" s="1980">
        <v>0</v>
      </c>
      <c r="S92" s="1980">
        <v>0</v>
      </c>
      <c r="T92" s="1980">
        <v>0</v>
      </c>
      <c r="U92" s="2036">
        <v>0</v>
      </c>
    </row>
    <row r="93" spans="2:21" hidden="1" outlineLevel="1">
      <c r="B93" s="1050"/>
      <c r="C93" s="1050"/>
      <c r="D93" s="1051">
        <f t="shared" si="4"/>
        <v>27</v>
      </c>
      <c r="E93" s="1051" t="str">
        <f>IF(COUNTIF(E$13:E92,F93)&gt;0,"",F93)</f>
        <v/>
      </c>
      <c r="F93" s="1051" t="str">
        <f t="shared" si="5"/>
        <v>Utilitaire, &lt;3,5 T, hydrogène élecrolyse décentralisée mix France, France continentale, Base Carbone</v>
      </c>
      <c r="G93" s="1055" t="str">
        <f t="shared" si="6"/>
        <v>Utilitaire, &lt;3,5 T, hydrogène élecrolyse décentralisée mix France, France continentale, Base Carbone; kgCO2e/km, Amont</v>
      </c>
      <c r="I93" s="1034" t="s">
        <v>5133</v>
      </c>
      <c r="J93" s="1119" t="s">
        <v>2222</v>
      </c>
      <c r="K93" s="1119" t="s">
        <v>1567</v>
      </c>
      <c r="L93" s="1119" t="s">
        <v>1571</v>
      </c>
      <c r="M93" s="1033">
        <v>0.5</v>
      </c>
      <c r="N93" s="1119" t="s">
        <v>1570</v>
      </c>
      <c r="O93" s="2046">
        <v>3.7999999999999999E-2</v>
      </c>
      <c r="P93" s="1980">
        <v>3.7999999999999999E-2</v>
      </c>
      <c r="Q93" s="1980">
        <v>0</v>
      </c>
      <c r="R93" s="1980">
        <v>0</v>
      </c>
      <c r="S93" s="1980">
        <v>0</v>
      </c>
      <c r="T93" s="1980">
        <v>0</v>
      </c>
      <c r="U93" s="2036">
        <v>0</v>
      </c>
    </row>
    <row r="94" spans="2:21" hidden="1" outlineLevel="1">
      <c r="B94" s="1050"/>
      <c r="C94" s="1050"/>
      <c r="D94" s="1051">
        <f t="shared" si="4"/>
        <v>27</v>
      </c>
      <c r="E94" s="1051" t="str">
        <f>IF(COUNTIF(E$13:E93,F94)&gt;0,"",F94)</f>
        <v/>
      </c>
      <c r="F94" s="1051" t="str">
        <f t="shared" si="5"/>
        <v>Utilitaire, &lt;3,5 T, hydrogène élecrolyse décentralisée mix France, France continentale, Base Carbone</v>
      </c>
      <c r="G94" s="1055" t="str">
        <f t="shared" si="6"/>
        <v>Utilitaire, &lt;3,5 T, hydrogène élecrolyse décentralisée mix France, France continentale, Base Carbone; kgCO2e/km, Fabrication</v>
      </c>
      <c r="I94" s="1034" t="s">
        <v>5133</v>
      </c>
      <c r="J94" s="1119" t="s">
        <v>2222</v>
      </c>
      <c r="K94" s="1119" t="s">
        <v>1567</v>
      </c>
      <c r="L94" s="1119" t="s">
        <v>1571</v>
      </c>
      <c r="M94" s="1033">
        <v>0.5</v>
      </c>
      <c r="N94" s="1119" t="s">
        <v>332</v>
      </c>
      <c r="O94" s="2046">
        <v>5.2999999999999999E-2</v>
      </c>
      <c r="P94" s="1980">
        <v>5.2999999999999999E-2</v>
      </c>
      <c r="Q94" s="1980">
        <v>0</v>
      </c>
      <c r="R94" s="1980">
        <v>0</v>
      </c>
      <c r="S94" s="1980">
        <v>0</v>
      </c>
      <c r="T94" s="1980">
        <v>0</v>
      </c>
      <c r="U94" s="2036">
        <v>0</v>
      </c>
    </row>
    <row r="95" spans="2:21" hidden="1" outlineLevel="1">
      <c r="B95" s="1050"/>
      <c r="C95" s="1050"/>
      <c r="D95" s="1051">
        <f t="shared" si="4"/>
        <v>28</v>
      </c>
      <c r="E95" s="1051" t="str">
        <f>IF(COUNTIF(E$13:E94,F95)&gt;0,"",F95)</f>
        <v>Utilitaire, &lt;3,5 T, hydrogène électrolyse décentralisée UE, Europe, Base Carbone</v>
      </c>
      <c r="F95" s="1051" t="str">
        <f t="shared" si="5"/>
        <v>Utilitaire, &lt;3,5 T, hydrogène électrolyse décentralisée UE, Europe, Base Carbone</v>
      </c>
      <c r="G95" s="1055" t="str">
        <f t="shared" si="6"/>
        <v>Utilitaire, &lt;3,5 T, hydrogène électrolyse décentralisée UE, Europe, Base Carbone; kgCO2e/km, Combustion</v>
      </c>
      <c r="I95" s="1034" t="s">
        <v>4109</v>
      </c>
      <c r="J95" s="1119" t="s">
        <v>2222</v>
      </c>
      <c r="K95" s="1119" t="s">
        <v>1567</v>
      </c>
      <c r="L95" s="1119" t="s">
        <v>1568</v>
      </c>
      <c r="M95" s="1033">
        <v>0.7</v>
      </c>
      <c r="N95" s="1119" t="s">
        <v>1569</v>
      </c>
      <c r="O95" s="2046">
        <v>0</v>
      </c>
      <c r="P95" s="1980">
        <v>0</v>
      </c>
      <c r="Q95" s="1980">
        <v>0</v>
      </c>
      <c r="R95" s="1980">
        <v>0</v>
      </c>
      <c r="S95" s="1980">
        <v>0</v>
      </c>
      <c r="T95" s="1980">
        <v>0</v>
      </c>
      <c r="U95" s="2036">
        <v>0</v>
      </c>
    </row>
    <row r="96" spans="2:21" hidden="1" outlineLevel="1">
      <c r="B96" s="1050"/>
      <c r="C96" s="1050"/>
      <c r="D96" s="1051">
        <f t="shared" si="4"/>
        <v>28</v>
      </c>
      <c r="E96" s="1051" t="str">
        <f>IF(COUNTIF(E$13:E95,F96)&gt;0,"",F96)</f>
        <v/>
      </c>
      <c r="F96" s="1051" t="str">
        <f t="shared" si="5"/>
        <v>Utilitaire, &lt;3,5 T, hydrogène électrolyse décentralisée UE, Europe, Base Carbone</v>
      </c>
      <c r="G96" s="1055" t="str">
        <f t="shared" si="6"/>
        <v>Utilitaire, &lt;3,5 T, hydrogène électrolyse décentralisée UE, Europe, Base Carbone; kgCO2e/km, Amont</v>
      </c>
      <c r="I96" s="1034" t="s">
        <v>4109</v>
      </c>
      <c r="J96" s="1119" t="s">
        <v>2222</v>
      </c>
      <c r="K96" s="1119" t="s">
        <v>1567</v>
      </c>
      <c r="L96" s="1119" t="s">
        <v>1568</v>
      </c>
      <c r="M96" s="1033">
        <v>0.7</v>
      </c>
      <c r="N96" s="1119" t="s">
        <v>1570</v>
      </c>
      <c r="O96" s="2046">
        <v>0.25800000000000001</v>
      </c>
      <c r="P96" s="1980">
        <v>0.25800000000000001</v>
      </c>
      <c r="Q96" s="1980">
        <v>0</v>
      </c>
      <c r="R96" s="1980">
        <v>0</v>
      </c>
      <c r="S96" s="1980">
        <v>0</v>
      </c>
      <c r="T96" s="1980">
        <v>0</v>
      </c>
      <c r="U96" s="2036">
        <v>0</v>
      </c>
    </row>
    <row r="97" spans="2:21" hidden="1" outlineLevel="1">
      <c r="B97" s="1050"/>
      <c r="C97" s="1050"/>
      <c r="D97" s="1051">
        <f t="shared" si="4"/>
        <v>28</v>
      </c>
      <c r="E97" s="1051" t="str">
        <f>IF(COUNTIF(E$13:E96,F97)&gt;0,"",F97)</f>
        <v/>
      </c>
      <c r="F97" s="1051" t="str">
        <f t="shared" si="5"/>
        <v>Utilitaire, &lt;3,5 T, hydrogène électrolyse décentralisée UE, Europe, Base Carbone</v>
      </c>
      <c r="G97" s="1055" t="str">
        <f t="shared" si="6"/>
        <v>Utilitaire, &lt;3,5 T, hydrogène électrolyse décentralisée UE, Europe, Base Carbone; kgCO2e/km, Fabrication</v>
      </c>
      <c r="I97" s="1034" t="s">
        <v>4109</v>
      </c>
      <c r="J97" s="1119" t="s">
        <v>2222</v>
      </c>
      <c r="K97" s="1119" t="s">
        <v>1567</v>
      </c>
      <c r="L97" s="1119" t="s">
        <v>1568</v>
      </c>
      <c r="M97" s="1033">
        <v>0.7</v>
      </c>
      <c r="N97" s="1119" t="s">
        <v>332</v>
      </c>
      <c r="O97" s="2046">
        <v>5.2999999999999999E-2</v>
      </c>
      <c r="P97" s="1980">
        <v>5.2999999999999999E-2</v>
      </c>
      <c r="Q97" s="1980">
        <v>0</v>
      </c>
      <c r="R97" s="1980">
        <v>0</v>
      </c>
      <c r="S97" s="1980">
        <v>0</v>
      </c>
      <c r="T97" s="1980">
        <v>0</v>
      </c>
      <c r="U97" s="2036">
        <v>0</v>
      </c>
    </row>
    <row r="98" spans="2:21" hidden="1" outlineLevel="1">
      <c r="B98" s="1050"/>
      <c r="C98" s="1050"/>
      <c r="D98" s="1051">
        <f t="shared" si="4"/>
        <v>29</v>
      </c>
      <c r="E98" s="1051" t="str">
        <f>IF(COUNTIF(E$13:E97,F98)&gt;0,"",F98)</f>
        <v>Utilitaire, &lt;3,5 T, hydrogène SMR biométhane centralisé, France continentale, Base Carbone</v>
      </c>
      <c r="F98" s="1051" t="str">
        <f t="shared" si="5"/>
        <v>Utilitaire, &lt;3,5 T, hydrogène SMR biométhane centralisé, France continentale, Base Carbone</v>
      </c>
      <c r="G98" s="1055" t="str">
        <f t="shared" si="6"/>
        <v>Utilitaire, &lt;3,5 T, hydrogène SMR biométhane centralisé, France continentale, Base Carbone; kgCO2e/km, Combustion</v>
      </c>
      <c r="I98" s="1034" t="s">
        <v>4111</v>
      </c>
      <c r="J98" s="1119" t="s">
        <v>2222</v>
      </c>
      <c r="K98" s="1119" t="s">
        <v>1567</v>
      </c>
      <c r="L98" s="1119" t="s">
        <v>1571</v>
      </c>
      <c r="M98" s="1033">
        <v>0.5</v>
      </c>
      <c r="N98" s="1119" t="s">
        <v>1569</v>
      </c>
      <c r="O98" s="2046">
        <v>0</v>
      </c>
      <c r="P98" s="1980">
        <v>0</v>
      </c>
      <c r="Q98" s="1980">
        <v>0</v>
      </c>
      <c r="R98" s="1980">
        <v>0</v>
      </c>
      <c r="S98" s="1980">
        <v>0</v>
      </c>
      <c r="T98" s="1980">
        <v>0</v>
      </c>
      <c r="U98" s="2036">
        <v>0</v>
      </c>
    </row>
    <row r="99" spans="2:21" hidden="1" outlineLevel="1">
      <c r="B99" s="1050"/>
      <c r="C99" s="1050"/>
      <c r="D99" s="1051">
        <f t="shared" si="4"/>
        <v>29</v>
      </c>
      <c r="E99" s="1051" t="str">
        <f>IF(COUNTIF(E$13:E98,F99)&gt;0,"",F99)</f>
        <v/>
      </c>
      <c r="F99" s="1051" t="str">
        <f t="shared" si="5"/>
        <v>Utilitaire, &lt;3,5 T, hydrogène SMR biométhane centralisé, France continentale, Base Carbone</v>
      </c>
      <c r="G99" s="1055" t="str">
        <f t="shared" si="6"/>
        <v>Utilitaire, &lt;3,5 T, hydrogène SMR biométhane centralisé, France continentale, Base Carbone; kgCO2e/km, Amont</v>
      </c>
      <c r="I99" s="1034" t="s">
        <v>4111</v>
      </c>
      <c r="J99" s="1119" t="s">
        <v>2222</v>
      </c>
      <c r="K99" s="1119" t="s">
        <v>1567</v>
      </c>
      <c r="L99" s="1119" t="s">
        <v>1571</v>
      </c>
      <c r="M99" s="1033">
        <v>0.5</v>
      </c>
      <c r="N99" s="1119" t="s">
        <v>1570</v>
      </c>
      <c r="O99" s="2046">
        <v>8.5000000000000006E-2</v>
      </c>
      <c r="P99" s="1980">
        <v>8.5000000000000006E-2</v>
      </c>
      <c r="Q99" s="1980">
        <v>0</v>
      </c>
      <c r="R99" s="1980">
        <v>0</v>
      </c>
      <c r="S99" s="1980">
        <v>0</v>
      </c>
      <c r="T99" s="1980">
        <v>0</v>
      </c>
      <c r="U99" s="2036">
        <v>0</v>
      </c>
    </row>
    <row r="100" spans="2:21" hidden="1" outlineLevel="1">
      <c r="B100" s="1050"/>
      <c r="C100" s="1050"/>
      <c r="D100" s="1051">
        <f t="shared" si="4"/>
        <v>29</v>
      </c>
      <c r="E100" s="1051" t="str">
        <f>IF(COUNTIF(E$13:E99,F100)&gt;0,"",F100)</f>
        <v/>
      </c>
      <c r="F100" s="1051" t="str">
        <f t="shared" si="5"/>
        <v>Utilitaire, &lt;3,5 T, hydrogène SMR biométhane centralisé, France continentale, Base Carbone</v>
      </c>
      <c r="G100" s="1055" t="str">
        <f t="shared" si="6"/>
        <v>Utilitaire, &lt;3,5 T, hydrogène SMR biométhane centralisé, France continentale, Base Carbone; kgCO2e/km, Fabrication</v>
      </c>
      <c r="I100" s="1034" t="s">
        <v>4111</v>
      </c>
      <c r="J100" s="1119" t="s">
        <v>2222</v>
      </c>
      <c r="K100" s="1119" t="s">
        <v>1567</v>
      </c>
      <c r="L100" s="1119" t="s">
        <v>1571</v>
      </c>
      <c r="M100" s="1033">
        <v>0.5</v>
      </c>
      <c r="N100" s="1119" t="s">
        <v>332</v>
      </c>
      <c r="O100" s="2046">
        <v>5.2999999999999999E-2</v>
      </c>
      <c r="P100" s="1980">
        <v>5.2999999999999999E-2</v>
      </c>
      <c r="Q100" s="1980">
        <v>0</v>
      </c>
      <c r="R100" s="1980">
        <v>0</v>
      </c>
      <c r="S100" s="1980">
        <v>0</v>
      </c>
      <c r="T100" s="1980">
        <v>0</v>
      </c>
      <c r="U100" s="2036">
        <v>0</v>
      </c>
    </row>
    <row r="101" spans="2:21" hidden="1" outlineLevel="1">
      <c r="B101" s="1050"/>
      <c r="C101" s="1050"/>
      <c r="D101" s="1051">
        <f t="shared" si="4"/>
        <v>30</v>
      </c>
      <c r="E101" s="1051" t="str">
        <f>IF(COUNTIF(E$13:E100,F101)&gt;0,"",F101)</f>
        <v>Utilitaire, &lt;3,5 T, hydrogène SMR gaz naturel centralisé, France continentale, Base Carbone</v>
      </c>
      <c r="F101" s="1051" t="str">
        <f t="shared" si="5"/>
        <v>Utilitaire, &lt;3,5 T, hydrogène SMR gaz naturel centralisé, France continentale, Base Carbone</v>
      </c>
      <c r="G101" s="1055" t="str">
        <f t="shared" si="6"/>
        <v>Utilitaire, &lt;3,5 T, hydrogène SMR gaz naturel centralisé, France continentale, Base Carbone; kgCO2e/km, Combustion</v>
      </c>
      <c r="I101" s="1034" t="s">
        <v>4110</v>
      </c>
      <c r="J101" s="1119" t="s">
        <v>2222</v>
      </c>
      <c r="K101" s="1119" t="s">
        <v>1567</v>
      </c>
      <c r="L101" s="1119" t="s">
        <v>1571</v>
      </c>
      <c r="M101" s="1033">
        <v>0.5</v>
      </c>
      <c r="N101" s="1119" t="s">
        <v>1569</v>
      </c>
      <c r="O101" s="2046">
        <v>0</v>
      </c>
      <c r="P101" s="1980">
        <v>0</v>
      </c>
      <c r="Q101" s="1980">
        <v>0</v>
      </c>
      <c r="R101" s="1980">
        <v>0</v>
      </c>
      <c r="S101" s="1980">
        <v>0</v>
      </c>
      <c r="T101" s="1980">
        <v>0</v>
      </c>
      <c r="U101" s="2036">
        <v>0</v>
      </c>
    </row>
    <row r="102" spans="2:21" hidden="1" outlineLevel="1">
      <c r="B102" s="1050"/>
      <c r="C102" s="1050"/>
      <c r="D102" s="1051">
        <f t="shared" si="4"/>
        <v>30</v>
      </c>
      <c r="E102" s="1051" t="str">
        <f>IF(COUNTIF(E$13:E101,F102)&gt;0,"",F102)</f>
        <v/>
      </c>
      <c r="F102" s="1051" t="str">
        <f t="shared" si="5"/>
        <v>Utilitaire, &lt;3,5 T, hydrogène SMR gaz naturel centralisé, France continentale, Base Carbone</v>
      </c>
      <c r="G102" s="1055" t="str">
        <f t="shared" si="6"/>
        <v>Utilitaire, &lt;3,5 T, hydrogène SMR gaz naturel centralisé, France continentale, Base Carbone; kgCO2e/km, Amont</v>
      </c>
      <c r="I102" s="1034" t="s">
        <v>4110</v>
      </c>
      <c r="J102" s="1119" t="s">
        <v>2222</v>
      </c>
      <c r="K102" s="1119" t="s">
        <v>1567</v>
      </c>
      <c r="L102" s="1119" t="s">
        <v>1571</v>
      </c>
      <c r="M102" s="1033">
        <v>0.5</v>
      </c>
      <c r="N102" s="1119" t="s">
        <v>1570</v>
      </c>
      <c r="O102" s="2046">
        <v>1.8200000000000001E-2</v>
      </c>
      <c r="P102" s="1980">
        <v>1.8200000000000001E-2</v>
      </c>
      <c r="Q102" s="1980">
        <v>0</v>
      </c>
      <c r="R102" s="1980">
        <v>0</v>
      </c>
      <c r="S102" s="1980">
        <v>0</v>
      </c>
      <c r="T102" s="1980">
        <v>0</v>
      </c>
      <c r="U102" s="2036">
        <v>0</v>
      </c>
    </row>
    <row r="103" spans="2:21" hidden="1" outlineLevel="1">
      <c r="B103" s="1050"/>
      <c r="C103" s="1050"/>
      <c r="D103" s="1051">
        <f t="shared" si="4"/>
        <v>30</v>
      </c>
      <c r="E103" s="1051" t="str">
        <f>IF(COUNTIF(E$13:E102,F103)&gt;0,"",F103)</f>
        <v/>
      </c>
      <c r="F103" s="1051" t="str">
        <f t="shared" si="5"/>
        <v>Utilitaire, &lt;3,5 T, hydrogène SMR gaz naturel centralisé, France continentale, Base Carbone</v>
      </c>
      <c r="G103" s="1055" t="str">
        <f t="shared" si="6"/>
        <v>Utilitaire, &lt;3,5 T, hydrogène SMR gaz naturel centralisé, France continentale, Base Carbone; kgCO2e/km, Fabrication</v>
      </c>
      <c r="I103" s="1034" t="s">
        <v>4110</v>
      </c>
      <c r="J103" s="1119" t="s">
        <v>2222</v>
      </c>
      <c r="K103" s="1119" t="s">
        <v>1567</v>
      </c>
      <c r="L103" s="1119" t="s">
        <v>1571</v>
      </c>
      <c r="M103" s="1033">
        <v>0.5</v>
      </c>
      <c r="N103" s="1119" t="s">
        <v>332</v>
      </c>
      <c r="O103" s="2046">
        <v>5.2999999999999999E-2</v>
      </c>
      <c r="P103" s="1980">
        <v>5.2999999999999999E-2</v>
      </c>
      <c r="Q103" s="1980">
        <v>0</v>
      </c>
      <c r="R103" s="1980">
        <v>0</v>
      </c>
      <c r="S103" s="1980">
        <v>0</v>
      </c>
      <c r="T103" s="1980">
        <v>0</v>
      </c>
      <c r="U103" s="2036">
        <v>0</v>
      </c>
    </row>
    <row r="104" spans="2:21" hidden="1" outlineLevel="1">
      <c r="B104" s="1050"/>
      <c r="C104" s="1050"/>
      <c r="D104" s="1051">
        <f t="shared" si="4"/>
        <v>31</v>
      </c>
      <c r="E104" s="1051" t="str">
        <f>IF(COUNTIF(E$13:E103,F104)&gt;0,"",F104)</f>
        <v>Véhicule utilitaire léger, &lt;3,5 T, diesel routier, 7% biodiesel, France continentale, Base Carbone</v>
      </c>
      <c r="F104" s="1051" t="str">
        <f t="shared" si="5"/>
        <v>Véhicule utilitaire léger, &lt;3,5 T, diesel routier, 7% biodiesel, France continentale, Base Carbone</v>
      </c>
      <c r="G104" s="1055" t="str">
        <f t="shared" si="6"/>
        <v>Véhicule utilitaire léger, &lt;3,5 T, diesel routier, 7% biodiesel, France continentale, Base Carbone; kgCO2e/tonne.km, Combustion</v>
      </c>
      <c r="I104" s="1034" t="s">
        <v>3808</v>
      </c>
      <c r="J104" s="1119" t="s">
        <v>2324</v>
      </c>
      <c r="K104" s="1119" t="s">
        <v>1567</v>
      </c>
      <c r="L104" s="1135" t="s">
        <v>1571</v>
      </c>
      <c r="M104" s="1033">
        <v>0.7</v>
      </c>
      <c r="N104" s="1135" t="s">
        <v>1569</v>
      </c>
      <c r="O104" s="2046">
        <v>0.54100000000000004</v>
      </c>
      <c r="P104" s="1980">
        <v>0.54100000000000004</v>
      </c>
      <c r="Q104" s="1980">
        <v>0</v>
      </c>
      <c r="R104" s="1980">
        <v>0</v>
      </c>
      <c r="S104" s="1980">
        <v>0</v>
      </c>
      <c r="T104" s="1980">
        <v>0</v>
      </c>
      <c r="U104" s="2036">
        <v>0</v>
      </c>
    </row>
    <row r="105" spans="2:21" hidden="1" outlineLevel="1">
      <c r="B105" s="1050"/>
      <c r="C105" s="1050"/>
      <c r="D105" s="1051">
        <f t="shared" si="4"/>
        <v>31</v>
      </c>
      <c r="E105" s="1051" t="str">
        <f>IF(COUNTIF(E$13:E104,F105)&gt;0,"",F105)</f>
        <v/>
      </c>
      <c r="F105" s="1051" t="str">
        <f t="shared" si="5"/>
        <v>Véhicule utilitaire léger, &lt;3,5 T, diesel routier, 7% biodiesel, France continentale, Base Carbone</v>
      </c>
      <c r="G105" s="1055" t="str">
        <f t="shared" si="6"/>
        <v>Véhicule utilitaire léger, &lt;3,5 T, diesel routier, 7% biodiesel, France continentale, Base Carbone; kgCO2e/tonne.km, Amont</v>
      </c>
      <c r="I105" s="1034" t="s">
        <v>3808</v>
      </c>
      <c r="J105" s="1119" t="s">
        <v>2324</v>
      </c>
      <c r="K105" s="1119" t="s">
        <v>1567</v>
      </c>
      <c r="L105" s="1135" t="s">
        <v>1571</v>
      </c>
      <c r="M105" s="1033">
        <v>0.7</v>
      </c>
      <c r="N105" s="1135" t="s">
        <v>1570</v>
      </c>
      <c r="O105" s="2046">
        <v>0.13200000000000001</v>
      </c>
      <c r="P105" s="1980">
        <v>0.13200000000000001</v>
      </c>
      <c r="Q105" s="1980">
        <v>0</v>
      </c>
      <c r="R105" s="1980">
        <v>0</v>
      </c>
      <c r="S105" s="1980">
        <v>0</v>
      </c>
      <c r="T105" s="1980">
        <v>0</v>
      </c>
      <c r="U105" s="2036">
        <v>0</v>
      </c>
    </row>
    <row r="106" spans="2:21" hidden="1" outlineLevel="1">
      <c r="B106" s="1050"/>
      <c r="C106" s="1050"/>
      <c r="D106" s="1051">
        <f t="shared" si="4"/>
        <v>31</v>
      </c>
      <c r="E106" s="1051" t="str">
        <f>IF(COUNTIF(E$13:E105,F106)&gt;0,"",F106)</f>
        <v/>
      </c>
      <c r="F106" s="1051" t="str">
        <f t="shared" si="5"/>
        <v>Véhicule utilitaire léger, &lt;3,5 T, diesel routier, 7% biodiesel, France continentale, Base Carbone</v>
      </c>
      <c r="G106" s="1055" t="str">
        <f t="shared" si="6"/>
        <v>Véhicule utilitaire léger, &lt;3,5 T, diesel routier, 7% biodiesel, France continentale, Base Carbone; kgCO2e/tonne.km, Fabrication</v>
      </c>
      <c r="I106" s="1034" t="s">
        <v>3808</v>
      </c>
      <c r="J106" s="1119" t="s">
        <v>2324</v>
      </c>
      <c r="K106" s="1119" t="s">
        <v>1567</v>
      </c>
      <c r="L106" s="1135" t="s">
        <v>1571</v>
      </c>
      <c r="M106" s="1033">
        <v>0.7</v>
      </c>
      <c r="N106" s="1135" t="s">
        <v>332</v>
      </c>
      <c r="O106" s="2046">
        <v>0.153</v>
      </c>
      <c r="P106" s="1980">
        <v>0.153</v>
      </c>
      <c r="Q106" s="1980">
        <v>0</v>
      </c>
      <c r="R106" s="1980">
        <v>0</v>
      </c>
      <c r="S106" s="1980">
        <v>0</v>
      </c>
      <c r="T106" s="1980">
        <v>0</v>
      </c>
      <c r="U106" s="2036">
        <v>0</v>
      </c>
    </row>
    <row r="107" spans="2:21" hidden="1" outlineLevel="1">
      <c r="B107" s="1050"/>
      <c r="C107" s="1050"/>
      <c r="D107" s="1051">
        <f t="shared" si="4"/>
        <v>32</v>
      </c>
      <c r="E107" s="1051" t="str">
        <f>IF(COUNTIF(E$13:E106,F107)&gt;0,"",F107)</f>
        <v>Véhicule utilitaire léger, &lt;3,5 T, essence, France continentale, Base Carbone</v>
      </c>
      <c r="F107" s="1051" t="str">
        <f t="shared" si="5"/>
        <v>Véhicule utilitaire léger, &lt;3,5 T, essence, France continentale, Base Carbone</v>
      </c>
      <c r="G107" s="1055" t="str">
        <f t="shared" si="6"/>
        <v>Véhicule utilitaire léger, &lt;3,5 T, essence, France continentale, Base Carbone; kgCO2e/tonne.km, Combustion</v>
      </c>
      <c r="I107" s="1034" t="s">
        <v>3809</v>
      </c>
      <c r="J107" s="1119" t="s">
        <v>2324</v>
      </c>
      <c r="K107" s="1119" t="s">
        <v>1567</v>
      </c>
      <c r="L107" s="1135" t="s">
        <v>1571</v>
      </c>
      <c r="M107" s="1033">
        <v>0.7</v>
      </c>
      <c r="N107" s="1135" t="s">
        <v>1569</v>
      </c>
      <c r="O107" s="2046">
        <v>0.85</v>
      </c>
      <c r="P107" s="1980">
        <v>0.85</v>
      </c>
      <c r="Q107" s="1980">
        <v>0</v>
      </c>
      <c r="R107" s="1980">
        <v>0</v>
      </c>
      <c r="S107" s="1980">
        <v>0</v>
      </c>
      <c r="T107" s="1980">
        <v>0</v>
      </c>
      <c r="U107" s="2036">
        <v>0</v>
      </c>
    </row>
    <row r="108" spans="2:21" hidden="1" outlineLevel="1">
      <c r="B108" s="1050"/>
      <c r="C108" s="1050"/>
      <c r="D108" s="1051">
        <f t="shared" si="4"/>
        <v>32</v>
      </c>
      <c r="E108" s="1051" t="str">
        <f>IF(COUNTIF(E$13:E107,F108)&gt;0,"",F108)</f>
        <v/>
      </c>
      <c r="F108" s="1051" t="str">
        <f t="shared" si="5"/>
        <v>Véhicule utilitaire léger, &lt;3,5 T, essence, France continentale, Base Carbone</v>
      </c>
      <c r="G108" s="1055" t="str">
        <f t="shared" si="6"/>
        <v>Véhicule utilitaire léger, &lt;3,5 T, essence, France continentale, Base Carbone; kgCO2e/tonne.km, Amont</v>
      </c>
      <c r="I108" s="1034" t="s">
        <v>3809</v>
      </c>
      <c r="J108" s="1119" t="s">
        <v>2324</v>
      </c>
      <c r="K108" s="1119" t="s">
        <v>1567</v>
      </c>
      <c r="L108" s="1135" t="s">
        <v>1571</v>
      </c>
      <c r="M108" s="1033">
        <v>0.7</v>
      </c>
      <c r="N108" s="1135" t="s">
        <v>1570</v>
      </c>
      <c r="O108" s="2046">
        <v>0.16</v>
      </c>
      <c r="P108" s="1980">
        <v>0.16</v>
      </c>
      <c r="Q108" s="1980">
        <v>0</v>
      </c>
      <c r="R108" s="1980">
        <v>0</v>
      </c>
      <c r="S108" s="1980">
        <v>0</v>
      </c>
      <c r="T108" s="1980">
        <v>0</v>
      </c>
      <c r="U108" s="2036">
        <v>0</v>
      </c>
    </row>
    <row r="109" spans="2:21" hidden="1" outlineLevel="1">
      <c r="B109" s="1050"/>
      <c r="C109" s="1050"/>
      <c r="D109" s="1051">
        <f t="shared" si="4"/>
        <v>32</v>
      </c>
      <c r="E109" s="1051" t="str">
        <f>IF(COUNTIF(E$13:E108,F109)&gt;0,"",F109)</f>
        <v/>
      </c>
      <c r="F109" s="1051" t="str">
        <f t="shared" si="5"/>
        <v>Véhicule utilitaire léger, &lt;3,5 T, essence, France continentale, Base Carbone</v>
      </c>
      <c r="G109" s="1055" t="str">
        <f t="shared" si="6"/>
        <v>Véhicule utilitaire léger, &lt;3,5 T, essence, France continentale, Base Carbone; kgCO2e/tonne.km, Fabrication</v>
      </c>
      <c r="I109" s="1034" t="s">
        <v>3809</v>
      </c>
      <c r="J109" s="1119" t="s">
        <v>2324</v>
      </c>
      <c r="K109" s="1119" t="s">
        <v>1567</v>
      </c>
      <c r="L109" s="1135" t="s">
        <v>1571</v>
      </c>
      <c r="M109" s="1033">
        <v>0.7</v>
      </c>
      <c r="N109" s="1135" t="s">
        <v>332</v>
      </c>
      <c r="O109" s="2046">
        <v>0.153</v>
      </c>
      <c r="P109" s="1980">
        <v>0.153</v>
      </c>
      <c r="Q109" s="1980">
        <v>0</v>
      </c>
      <c r="R109" s="1980">
        <v>0</v>
      </c>
      <c r="S109" s="1980">
        <v>0</v>
      </c>
      <c r="T109" s="1980">
        <v>0</v>
      </c>
      <c r="U109" s="2036">
        <v>0</v>
      </c>
    </row>
    <row r="110" spans="2:21" hidden="1" outlineLevel="1">
      <c r="B110" s="1050"/>
      <c r="C110" s="1050"/>
      <c r="D110" s="1051">
        <f t="shared" si="4"/>
        <v>33</v>
      </c>
      <c r="E110" s="1051" t="str">
        <f>IF(COUNTIF(E$13:E109,F110)&gt;0,"",F110)</f>
        <v>Véhicule utilitaire léger, &lt;3,5 T, GNC, France continentale, Base Carbone</v>
      </c>
      <c r="F110" s="1051" t="str">
        <f t="shared" si="5"/>
        <v>Véhicule utilitaire léger, &lt;3,5 T, GNC, France continentale, Base Carbone</v>
      </c>
      <c r="G110" s="1055" t="str">
        <f t="shared" si="6"/>
        <v>Véhicule utilitaire léger, &lt;3,5 T, GNC, France continentale, Base Carbone; kgCO2e/tonne.km, Combustion</v>
      </c>
      <c r="I110" s="1034" t="s">
        <v>3810</v>
      </c>
      <c r="J110" s="1119" t="s">
        <v>2324</v>
      </c>
      <c r="K110" s="1119" t="s">
        <v>1567</v>
      </c>
      <c r="L110" s="1135" t="s">
        <v>1571</v>
      </c>
      <c r="M110" s="1033">
        <v>0.7</v>
      </c>
      <c r="N110" s="1135" t="s">
        <v>1569</v>
      </c>
      <c r="O110" s="2046">
        <v>0.54</v>
      </c>
      <c r="P110" s="1980">
        <v>0.54</v>
      </c>
      <c r="Q110" s="1980">
        <v>0</v>
      </c>
      <c r="R110" s="1980">
        <v>0</v>
      </c>
      <c r="S110" s="1980">
        <v>0</v>
      </c>
      <c r="T110" s="1980">
        <v>0</v>
      </c>
      <c r="U110" s="2036">
        <v>0</v>
      </c>
    </row>
    <row r="111" spans="2:21" hidden="1" outlineLevel="1">
      <c r="B111" s="1050"/>
      <c r="C111" s="1050"/>
      <c r="D111" s="1051">
        <f t="shared" si="4"/>
        <v>33</v>
      </c>
      <c r="E111" s="1051" t="str">
        <f>IF(COUNTIF(E$13:E110,F111)&gt;0,"",F111)</f>
        <v/>
      </c>
      <c r="F111" s="1051" t="str">
        <f t="shared" si="5"/>
        <v>Véhicule utilitaire léger, &lt;3,5 T, GNC, France continentale, Base Carbone</v>
      </c>
      <c r="G111" s="1055" t="str">
        <f t="shared" si="6"/>
        <v>Véhicule utilitaire léger, &lt;3,5 T, GNC, France continentale, Base Carbone; kgCO2e/tonne.km, Amont</v>
      </c>
      <c r="I111" s="1034" t="s">
        <v>3810</v>
      </c>
      <c r="J111" s="1119" t="s">
        <v>2324</v>
      </c>
      <c r="K111" s="1119" t="s">
        <v>1567</v>
      </c>
      <c r="L111" s="1135" t="s">
        <v>1571</v>
      </c>
      <c r="M111" s="1033">
        <v>0.7</v>
      </c>
      <c r="N111" s="1135" t="s">
        <v>1570</v>
      </c>
      <c r="O111" s="2046">
        <v>0.08</v>
      </c>
      <c r="P111" s="1980">
        <v>0.08</v>
      </c>
      <c r="Q111" s="1980">
        <v>0</v>
      </c>
      <c r="R111" s="1980">
        <v>0</v>
      </c>
      <c r="S111" s="1980">
        <v>0</v>
      </c>
      <c r="T111" s="1980">
        <v>0</v>
      </c>
      <c r="U111" s="2036">
        <v>0</v>
      </c>
    </row>
    <row r="112" spans="2:21" hidden="1" outlineLevel="1">
      <c r="B112" s="1050"/>
      <c r="C112" s="1050"/>
      <c r="D112" s="1051">
        <f t="shared" si="4"/>
        <v>33</v>
      </c>
      <c r="E112" s="1051" t="str">
        <f>IF(COUNTIF(E$13:E111,F112)&gt;0,"",F112)</f>
        <v/>
      </c>
      <c r="F112" s="1051" t="str">
        <f t="shared" si="5"/>
        <v>Véhicule utilitaire léger, &lt;3,5 T, GNC, France continentale, Base Carbone</v>
      </c>
      <c r="G112" s="1055" t="str">
        <f t="shared" si="6"/>
        <v>Véhicule utilitaire léger, &lt;3,5 T, GNC, France continentale, Base Carbone; kgCO2e/tonne.km, Fabrication</v>
      </c>
      <c r="I112" s="1034" t="s">
        <v>3810</v>
      </c>
      <c r="J112" s="1119" t="s">
        <v>2324</v>
      </c>
      <c r="K112" s="1119" t="s">
        <v>1567</v>
      </c>
      <c r="L112" s="1135" t="s">
        <v>1571</v>
      </c>
      <c r="M112" s="1033">
        <v>0.7</v>
      </c>
      <c r="N112" s="1135" t="s">
        <v>332</v>
      </c>
      <c r="O112" s="2046">
        <v>0.153</v>
      </c>
      <c r="P112" s="1980">
        <v>0.153</v>
      </c>
      <c r="Q112" s="1980">
        <v>0</v>
      </c>
      <c r="R112" s="1980">
        <v>0</v>
      </c>
      <c r="S112" s="1980">
        <v>0</v>
      </c>
      <c r="T112" s="1980">
        <v>0</v>
      </c>
      <c r="U112" s="2036">
        <v>0</v>
      </c>
    </row>
    <row r="113" spans="2:21" hidden="1" outlineLevel="1">
      <c r="B113" s="1050"/>
      <c r="C113" s="1050"/>
      <c r="D113" s="1051">
        <f t="shared" si="4"/>
        <v>34</v>
      </c>
      <c r="E113" s="1051" t="str">
        <f>IF(COUNTIF(E$13:E112,F113)&gt;0,"",F113)</f>
        <v>Véhicule utilitaire léger, &lt;3,5 T, GPL, France continentale, Base Carbone</v>
      </c>
      <c r="F113" s="1051" t="str">
        <f t="shared" si="5"/>
        <v>Véhicule utilitaire léger, &lt;3,5 T, GPL, France continentale, Base Carbone</v>
      </c>
      <c r="G113" s="1055" t="str">
        <f t="shared" si="6"/>
        <v>Véhicule utilitaire léger, &lt;3,5 T, GPL, France continentale, Base Carbone; kgCO2e/tonne.km, Combustion</v>
      </c>
      <c r="I113" s="1034" t="s">
        <v>3811</v>
      </c>
      <c r="J113" s="1119" t="s">
        <v>2324</v>
      </c>
      <c r="K113" s="1119" t="s">
        <v>1567</v>
      </c>
      <c r="L113" s="1135" t="s">
        <v>1571</v>
      </c>
      <c r="M113" s="1033">
        <v>0.7</v>
      </c>
      <c r="N113" s="1135" t="s">
        <v>1569</v>
      </c>
      <c r="O113" s="2046">
        <v>0.59</v>
      </c>
      <c r="P113" s="1980">
        <v>0.59</v>
      </c>
      <c r="Q113" s="1980">
        <v>0</v>
      </c>
      <c r="R113" s="1980">
        <v>0</v>
      </c>
      <c r="S113" s="1980">
        <v>0</v>
      </c>
      <c r="T113" s="1980">
        <v>0</v>
      </c>
      <c r="U113" s="2036">
        <v>0</v>
      </c>
    </row>
    <row r="114" spans="2:21" hidden="1" outlineLevel="1">
      <c r="B114" s="1050"/>
      <c r="C114" s="1050"/>
      <c r="D114" s="1051">
        <f t="shared" si="4"/>
        <v>34</v>
      </c>
      <c r="E114" s="1051" t="str">
        <f>IF(COUNTIF(E$13:E113,F114)&gt;0,"",F114)</f>
        <v/>
      </c>
      <c r="F114" s="1051" t="str">
        <f t="shared" si="5"/>
        <v>Véhicule utilitaire léger, &lt;3,5 T, GPL, France continentale, Base Carbone</v>
      </c>
      <c r="G114" s="1055" t="str">
        <f t="shared" si="6"/>
        <v>Véhicule utilitaire léger, &lt;3,5 T, GPL, France continentale, Base Carbone; kgCO2e/tonne.km, Amont</v>
      </c>
      <c r="I114" s="1034" t="s">
        <v>3811</v>
      </c>
      <c r="J114" s="1119" t="s">
        <v>2324</v>
      </c>
      <c r="K114" s="1119" t="s">
        <v>1567</v>
      </c>
      <c r="L114" s="1135" t="s">
        <v>1571</v>
      </c>
      <c r="M114" s="1033">
        <v>0.7</v>
      </c>
      <c r="N114" s="1135" t="s">
        <v>1570</v>
      </c>
      <c r="O114" s="2046">
        <v>7.0000000000000007E-2</v>
      </c>
      <c r="P114" s="1980">
        <v>7.0000000000000007E-2</v>
      </c>
      <c r="Q114" s="1980">
        <v>0</v>
      </c>
      <c r="R114" s="1980">
        <v>0</v>
      </c>
      <c r="S114" s="1980">
        <v>0</v>
      </c>
      <c r="T114" s="1980">
        <v>0</v>
      </c>
      <c r="U114" s="2036">
        <v>0</v>
      </c>
    </row>
    <row r="115" spans="2:21" hidden="1" outlineLevel="1">
      <c r="B115" s="1050"/>
      <c r="C115" s="1050"/>
      <c r="D115" s="1051">
        <f t="shared" si="4"/>
        <v>34</v>
      </c>
      <c r="E115" s="1051" t="str">
        <f>IF(COUNTIF(E$13:E114,F115)&gt;0,"",F115)</f>
        <v/>
      </c>
      <c r="F115" s="1051" t="str">
        <f t="shared" si="5"/>
        <v>Véhicule utilitaire léger, &lt;3,5 T, GPL, France continentale, Base Carbone</v>
      </c>
      <c r="G115" s="1055" t="str">
        <f t="shared" si="6"/>
        <v>Véhicule utilitaire léger, &lt;3,5 T, GPL, France continentale, Base Carbone; kgCO2e/tonne.km, Fabrication</v>
      </c>
      <c r="I115" s="1034" t="s">
        <v>3811</v>
      </c>
      <c r="J115" s="1119" t="s">
        <v>2324</v>
      </c>
      <c r="K115" s="1119" t="s">
        <v>1567</v>
      </c>
      <c r="L115" s="1135" t="s">
        <v>1571</v>
      </c>
      <c r="M115" s="1033">
        <v>0.7</v>
      </c>
      <c r="N115" s="1135" t="s">
        <v>332</v>
      </c>
      <c r="O115" s="2046">
        <v>0.153</v>
      </c>
      <c r="P115" s="1980">
        <v>0.153</v>
      </c>
      <c r="Q115" s="1980">
        <v>0</v>
      </c>
      <c r="R115" s="1980">
        <v>0</v>
      </c>
      <c r="S115" s="1980">
        <v>0</v>
      </c>
      <c r="T115" s="1980">
        <v>0</v>
      </c>
      <c r="U115" s="2036">
        <v>0</v>
      </c>
    </row>
    <row r="116" spans="2:21" hidden="1" outlineLevel="1">
      <c r="B116" s="1050"/>
      <c r="C116" s="1050"/>
      <c r="D116" s="1051">
        <f t="shared" si="4"/>
        <v>34</v>
      </c>
      <c r="E116" s="1051" t="str">
        <f>IF(COUNTIF(E$13:E115,F116)&gt;0,"",F116)</f>
        <v/>
      </c>
      <c r="F116" s="1051" t="str">
        <f t="shared" si="5"/>
        <v/>
      </c>
      <c r="G116" s="1055" t="str">
        <f t="shared" si="6"/>
        <v/>
      </c>
      <c r="I116" s="1034"/>
      <c r="J116" s="1135"/>
      <c r="K116" s="1119"/>
      <c r="L116" s="1135"/>
      <c r="M116" s="1033"/>
      <c r="N116" s="1135"/>
      <c r="O116" s="2046"/>
      <c r="P116" s="2046"/>
      <c r="Q116" s="2046"/>
      <c r="R116" s="2046"/>
      <c r="S116" s="2046"/>
      <c r="T116" s="2046"/>
      <c r="U116" s="2307"/>
    </row>
    <row r="117" spans="2:21" hidden="1" outlineLevel="1">
      <c r="B117" s="1050"/>
      <c r="C117" s="1050"/>
      <c r="D117" s="1051">
        <f t="shared" si="4"/>
        <v>34</v>
      </c>
      <c r="E117" s="1051" t="str">
        <f>IF(COUNTIF(E$13:E116,F117)&gt;0,"",F117)</f>
        <v/>
      </c>
      <c r="F117" s="1051" t="str">
        <f t="shared" si="5"/>
        <v/>
      </c>
      <c r="G117" s="1055" t="str">
        <f t="shared" si="6"/>
        <v/>
      </c>
      <c r="I117" s="1034"/>
      <c r="J117" s="1048"/>
      <c r="K117" s="1119"/>
      <c r="L117" s="1048"/>
      <c r="M117" s="1033"/>
      <c r="N117" s="1048"/>
      <c r="O117" s="1192"/>
      <c r="P117" s="1192"/>
      <c r="Q117" s="1192"/>
      <c r="R117" s="1192"/>
      <c r="S117" s="1192"/>
      <c r="T117" s="1192"/>
      <c r="U117" s="1764"/>
    </row>
    <row r="118" spans="2:21" hidden="1" outlineLevel="1">
      <c r="B118" s="1050"/>
      <c r="C118" s="1050"/>
      <c r="D118" s="1051">
        <f t="shared" si="4"/>
        <v>34</v>
      </c>
      <c r="E118" s="1051" t="str">
        <f>IF(COUNTIF(E$13:E117,F118)&gt;0,"",F118)</f>
        <v/>
      </c>
      <c r="F118" s="1051" t="str">
        <f t="shared" si="5"/>
        <v/>
      </c>
      <c r="G118" s="1055" t="str">
        <f t="shared" si="6"/>
        <v/>
      </c>
      <c r="I118" s="1034"/>
      <c r="J118" s="1048"/>
      <c r="K118" s="1119"/>
      <c r="L118" s="1048"/>
      <c r="M118" s="1033"/>
      <c r="N118" s="1048"/>
      <c r="O118" s="1192"/>
      <c r="P118" s="1192"/>
      <c r="Q118" s="1192"/>
      <c r="R118" s="1192"/>
      <c r="S118" s="1192"/>
      <c r="T118" s="1192"/>
      <c r="U118" s="1764"/>
    </row>
    <row r="119" spans="2:21" hidden="1" outlineLevel="1">
      <c r="B119" s="1050"/>
      <c r="C119" s="1050"/>
      <c r="D119" s="1051">
        <f t="shared" si="4"/>
        <v>34</v>
      </c>
      <c r="E119" s="1051" t="str">
        <f>IF(COUNTIF(E$13:E118,F119)&gt;0,"",F119)</f>
        <v/>
      </c>
      <c r="F119" s="1051" t="str">
        <f t="shared" si="5"/>
        <v/>
      </c>
      <c r="G119" s="1055" t="str">
        <f t="shared" si="6"/>
        <v/>
      </c>
      <c r="I119" s="1034"/>
      <c r="J119" s="1048"/>
      <c r="K119" s="1119"/>
      <c r="L119" s="1048"/>
      <c r="M119" s="1033"/>
      <c r="N119" s="1048"/>
      <c r="O119" s="1192"/>
      <c r="P119" s="1192"/>
      <c r="Q119" s="1192"/>
      <c r="R119" s="1192"/>
      <c r="S119" s="1192"/>
      <c r="T119" s="1192"/>
      <c r="U119" s="1764"/>
    </row>
    <row r="120" spans="2:21" hidden="1" outlineLevel="1">
      <c r="B120" s="1050"/>
      <c r="C120" s="1050"/>
      <c r="D120" s="1051">
        <f t="shared" si="4"/>
        <v>34</v>
      </c>
      <c r="E120" s="1051" t="str">
        <f>IF(COUNTIF(E$13:E119,F120)&gt;0,"",F120)</f>
        <v/>
      </c>
      <c r="F120" s="1051" t="str">
        <f t="shared" si="5"/>
        <v/>
      </c>
      <c r="G120" s="1055" t="str">
        <f t="shared" si="6"/>
        <v/>
      </c>
      <c r="I120" s="1034"/>
      <c r="J120" s="1048"/>
      <c r="K120" s="1119"/>
      <c r="L120" s="1048"/>
      <c r="M120" s="1033"/>
      <c r="N120" s="1048"/>
      <c r="O120" s="1192"/>
      <c r="P120" s="1192"/>
      <c r="Q120" s="1192"/>
      <c r="R120" s="1192"/>
      <c r="S120" s="1192"/>
      <c r="T120" s="1192"/>
      <c r="U120" s="1764"/>
    </row>
    <row r="121" spans="2:21" hidden="1" outlineLevel="1">
      <c r="B121" s="1050"/>
      <c r="C121" s="1050"/>
      <c r="D121" s="1051">
        <f t="shared" si="4"/>
        <v>34</v>
      </c>
      <c r="E121" s="1051" t="str">
        <f>IF(COUNTIF(E$13:E120,F121)&gt;0,"",F121)</f>
        <v/>
      </c>
      <c r="F121" s="1051" t="str">
        <f t="shared" si="5"/>
        <v/>
      </c>
      <c r="G121" s="1055" t="str">
        <f t="shared" si="6"/>
        <v/>
      </c>
      <c r="I121" s="1034"/>
      <c r="J121" s="1048"/>
      <c r="K121" s="1119"/>
      <c r="L121" s="1048"/>
      <c r="M121" s="1033"/>
      <c r="N121" s="1048"/>
      <c r="O121" s="1192"/>
      <c r="P121" s="1192"/>
      <c r="Q121" s="1192"/>
      <c r="R121" s="1192"/>
      <c r="S121" s="1192"/>
      <c r="T121" s="1192"/>
      <c r="U121" s="1764"/>
    </row>
    <row r="122" spans="2:21" hidden="1" outlineLevel="1">
      <c r="B122" s="1050"/>
      <c r="C122" s="1050"/>
      <c r="D122" s="1051">
        <f t="shared" si="4"/>
        <v>34</v>
      </c>
      <c r="E122" s="1051" t="str">
        <f>IF(COUNTIF(E$13:E121,F122)&gt;0,"",F122)</f>
        <v/>
      </c>
      <c r="F122" s="1051" t="str">
        <f t="shared" si="5"/>
        <v/>
      </c>
      <c r="G122" s="1055" t="str">
        <f t="shared" si="6"/>
        <v/>
      </c>
      <c r="I122" s="1034"/>
      <c r="J122" s="1048"/>
      <c r="K122" s="1119"/>
      <c r="L122" s="1048"/>
      <c r="M122" s="1033"/>
      <c r="N122" s="1048"/>
      <c r="O122" s="1192"/>
      <c r="P122" s="1192"/>
      <c r="Q122" s="1192"/>
      <c r="R122" s="1192"/>
      <c r="S122" s="1192"/>
      <c r="T122" s="1192"/>
      <c r="U122" s="1764"/>
    </row>
    <row r="123" spans="2:21" hidden="1" outlineLevel="1">
      <c r="B123" s="1050"/>
      <c r="C123" s="1050"/>
      <c r="D123" s="1051">
        <f t="shared" si="4"/>
        <v>34</v>
      </c>
      <c r="E123" s="1051" t="str">
        <f>IF(COUNTIF(E$13:E122,F123)&gt;0,"",F123)</f>
        <v/>
      </c>
      <c r="F123" s="1051" t="str">
        <f t="shared" si="5"/>
        <v/>
      </c>
      <c r="G123" s="1055" t="str">
        <f t="shared" si="6"/>
        <v/>
      </c>
      <c r="I123" s="1034"/>
      <c r="J123" s="1048"/>
      <c r="K123" s="1119"/>
      <c r="L123" s="1048"/>
      <c r="M123" s="1033"/>
      <c r="N123" s="1048"/>
      <c r="O123" s="1192"/>
      <c r="P123" s="1192"/>
      <c r="Q123" s="1192"/>
      <c r="R123" s="1192"/>
      <c r="S123" s="1192"/>
      <c r="T123" s="1192"/>
      <c r="U123" s="1764"/>
    </row>
    <row r="124" spans="2:21" hidden="1" outlineLevel="1">
      <c r="B124" s="1050"/>
      <c r="C124" s="1050"/>
      <c r="D124" s="1051">
        <f t="shared" si="4"/>
        <v>34</v>
      </c>
      <c r="E124" s="1051" t="str">
        <f>IF(COUNTIF(E$13:E123,F124)&gt;0,"",F124)</f>
        <v/>
      </c>
      <c r="F124" s="1051" t="str">
        <f t="shared" si="5"/>
        <v/>
      </c>
      <c r="G124" s="1055" t="str">
        <f t="shared" si="6"/>
        <v/>
      </c>
      <c r="I124" s="1034"/>
      <c r="J124" s="1048"/>
      <c r="K124" s="1119"/>
      <c r="L124" s="1048"/>
      <c r="M124" s="1033"/>
      <c r="N124" s="1048"/>
      <c r="O124" s="1192"/>
      <c r="P124" s="1192"/>
      <c r="Q124" s="1192"/>
      <c r="R124" s="1192"/>
      <c r="S124" s="1192"/>
      <c r="T124" s="1192"/>
      <c r="U124" s="1764"/>
    </row>
    <row r="125" spans="2:21" hidden="1" outlineLevel="1">
      <c r="B125" s="1050"/>
      <c r="C125" s="1050"/>
      <c r="D125" s="1051">
        <f t="shared" si="4"/>
        <v>34</v>
      </c>
      <c r="E125" s="1051" t="str">
        <f>IF(COUNTIF(E$13:E124,F125)&gt;0,"",F125)</f>
        <v/>
      </c>
      <c r="F125" s="1051" t="str">
        <f t="shared" si="5"/>
        <v/>
      </c>
      <c r="G125" s="1055" t="str">
        <f t="shared" si="6"/>
        <v/>
      </c>
      <c r="I125" s="1034"/>
      <c r="J125" s="1048"/>
      <c r="K125" s="1119"/>
      <c r="L125" s="1048"/>
      <c r="M125" s="1033"/>
      <c r="N125" s="1048"/>
      <c r="O125" s="1192"/>
      <c r="P125" s="1192"/>
      <c r="Q125" s="1192"/>
      <c r="R125" s="1192"/>
      <c r="S125" s="1192"/>
      <c r="T125" s="1192"/>
      <c r="U125" s="1764"/>
    </row>
    <row r="126" spans="2:21" hidden="1" outlineLevel="1">
      <c r="B126" s="1050"/>
      <c r="C126" s="1050"/>
      <c r="D126" s="1051">
        <f t="shared" si="4"/>
        <v>34</v>
      </c>
      <c r="E126" s="1051" t="str">
        <f>IF(COUNTIF(E$13:E125,F126)&gt;0,"",F126)</f>
        <v/>
      </c>
      <c r="F126" s="1051" t="str">
        <f t="shared" si="5"/>
        <v/>
      </c>
      <c r="G126" s="1055" t="str">
        <f t="shared" si="6"/>
        <v/>
      </c>
      <c r="I126" s="1034"/>
      <c r="J126" s="1048"/>
      <c r="K126" s="1119"/>
      <c r="L126" s="1048"/>
      <c r="M126" s="1033"/>
      <c r="N126" s="1048"/>
      <c r="O126" s="1192"/>
      <c r="P126" s="1192"/>
      <c r="Q126" s="1192"/>
      <c r="R126" s="1192"/>
      <c r="S126" s="1192"/>
      <c r="T126" s="1192"/>
      <c r="U126" s="1764"/>
    </row>
    <row r="127" spans="2:21" hidden="1" outlineLevel="1">
      <c r="B127" s="1050"/>
      <c r="C127" s="1050"/>
      <c r="D127" s="1051">
        <f t="shared" si="4"/>
        <v>34</v>
      </c>
      <c r="E127" s="1051" t="str">
        <f>IF(COUNTIF(E$13:E126,F127)&gt;0,"",F127)</f>
        <v/>
      </c>
      <c r="F127" s="1051" t="str">
        <f t="shared" si="5"/>
        <v/>
      </c>
      <c r="G127" s="1055" t="str">
        <f t="shared" si="6"/>
        <v/>
      </c>
      <c r="I127" s="1700"/>
      <c r="J127" s="1104"/>
      <c r="K127" s="1104"/>
      <c r="L127" s="1104"/>
      <c r="M127" s="1104"/>
      <c r="N127" s="1104"/>
      <c r="O127" s="1104"/>
      <c r="P127" s="1104"/>
      <c r="Q127" s="1104"/>
      <c r="R127" s="1104"/>
      <c r="S127" s="1104"/>
      <c r="T127" s="1104"/>
      <c r="U127" s="1106"/>
    </row>
    <row r="128" spans="2:21"/>
    <row r="129" spans="2:21" ht="15.6" collapsed="1">
      <c r="I129" s="3167" t="s">
        <v>2335</v>
      </c>
      <c r="J129" s="3168"/>
      <c r="K129" s="3168"/>
      <c r="L129" s="3168"/>
      <c r="M129" s="3168"/>
      <c r="N129" s="3168"/>
      <c r="O129" s="3168"/>
      <c r="P129" s="3168"/>
      <c r="Q129" s="3168"/>
      <c r="R129" s="3168"/>
      <c r="S129" s="3168"/>
      <c r="T129" s="3168"/>
      <c r="U129" s="3169"/>
    </row>
    <row r="130" spans="2:21" hidden="1" outlineLevel="1">
      <c r="R130" s="1083"/>
    </row>
    <row r="131" spans="2:21" ht="12.75" hidden="1" customHeight="1" outlineLevel="1">
      <c r="B131" s="3154" t="s">
        <v>1617</v>
      </c>
      <c r="C131" s="3154"/>
      <c r="D131" s="3157" t="s">
        <v>1619</v>
      </c>
      <c r="E131" s="3157"/>
      <c r="F131" s="1151" t="s">
        <v>1616</v>
      </c>
      <c r="G131" s="1053" t="s">
        <v>1618</v>
      </c>
      <c r="H131" s="1044"/>
      <c r="I131" s="1038" t="s">
        <v>1557</v>
      </c>
      <c r="J131" s="1040" t="s">
        <v>1266</v>
      </c>
      <c r="K131" s="1043" t="s">
        <v>224</v>
      </c>
      <c r="L131" s="1043" t="s">
        <v>1558</v>
      </c>
      <c r="M131" s="1039" t="s">
        <v>366</v>
      </c>
      <c r="N131" s="1040" t="s">
        <v>1559</v>
      </c>
      <c r="O131" s="1041" t="s">
        <v>1560</v>
      </c>
      <c r="P131" s="1043" t="s">
        <v>211</v>
      </c>
      <c r="Q131" s="1043" t="s">
        <v>1561</v>
      </c>
      <c r="R131" s="1041" t="s">
        <v>1562</v>
      </c>
      <c r="S131" s="1041" t="s">
        <v>267</v>
      </c>
      <c r="T131" s="1043" t="s">
        <v>1563</v>
      </c>
      <c r="U131" s="1042" t="s">
        <v>1564</v>
      </c>
    </row>
    <row r="132" spans="2:21" s="1045" customFormat="1" ht="12.75" hidden="1" customHeight="1" outlineLevel="1">
      <c r="B132" s="3156" t="s">
        <v>2335</v>
      </c>
      <c r="C132" s="3156"/>
      <c r="D132" s="1051">
        <v>0</v>
      </c>
      <c r="E132" s="1051"/>
      <c r="F132" s="1051"/>
      <c r="G132" s="1054"/>
      <c r="H132" s="1046"/>
      <c r="I132" s="1688"/>
      <c r="J132" s="1689"/>
      <c r="K132" s="1690"/>
      <c r="L132" s="1690"/>
      <c r="M132" s="1691"/>
      <c r="N132" s="1689"/>
      <c r="O132" s="1692"/>
      <c r="P132" s="1690"/>
      <c r="Q132" s="1690"/>
      <c r="R132" s="1692"/>
      <c r="S132" s="1692"/>
      <c r="T132" s="1690"/>
      <c r="U132" s="1693"/>
    </row>
    <row r="133" spans="2:21" hidden="1" outlineLevel="1">
      <c r="B133" s="1050">
        <v>1</v>
      </c>
      <c r="C133" s="1050" t="str">
        <f t="shared" ref="C133:C164" si="7">IF(ISNA(VLOOKUP(B133,$D$132:$E$252,2,FALSE)),"-",VLOOKUP(B133,$D$132:$E$252,2,FALSE))</f>
        <v>Cargo, 10 000 à 20 000 T, HFO-MGO, Outre-mer, Base Carbone</v>
      </c>
      <c r="D133" s="1051">
        <f>D132+IF(LEN(E133)&gt;0,1,0)</f>
        <v>1</v>
      </c>
      <c r="E133" s="1051" t="str">
        <f>IF(COUNTIF(E$132:E132,F133)&gt;0,"",F133)</f>
        <v>Cargo, 10 000 à 20 000 T, HFO-MGO, Outre-mer, Base Carbone</v>
      </c>
      <c r="F133" s="1051" t="str">
        <f>IF(I133&lt;&gt;"",I133&amp;IF(L133&lt;&gt;"",", "&amp;L133,"")&amp;IF(K133&lt;&gt;"",", "&amp;K133,""),"")</f>
        <v>Cargo, 10 000 à 20 000 T, HFO-MGO, Outre-mer, Base Carbone</v>
      </c>
      <c r="G133" s="1055" t="str">
        <f>IF(F133&lt;&gt;"",F133&amp;IF(J133&lt;&gt;"","; "&amp;J133&amp;IF(N133&lt;&gt;"",", "&amp;N133,),""),"")</f>
        <v>Cargo, 10 000 à 20 000 T, HFO-MGO, Outre-mer, Base Carbone; kgCO2e/tonne.km, Combustion</v>
      </c>
      <c r="I133" s="2018" t="s">
        <v>3812</v>
      </c>
      <c r="J133" s="1135" t="s">
        <v>2324</v>
      </c>
      <c r="K133" s="1135" t="s">
        <v>1567</v>
      </c>
      <c r="L133" s="1135" t="s">
        <v>2090</v>
      </c>
      <c r="M133" s="2186">
        <v>0.6</v>
      </c>
      <c r="N133" s="1135" t="s">
        <v>1569</v>
      </c>
      <c r="O133" s="2046">
        <v>1.2E-2</v>
      </c>
      <c r="P133" s="1980">
        <v>1.2E-2</v>
      </c>
      <c r="Q133" s="1980">
        <v>0</v>
      </c>
      <c r="R133" s="1980">
        <v>0</v>
      </c>
      <c r="S133" s="1980">
        <v>0</v>
      </c>
      <c r="T133" s="1980">
        <v>0</v>
      </c>
      <c r="U133" s="2036">
        <v>0</v>
      </c>
    </row>
    <row r="134" spans="2:21" hidden="1" outlineLevel="1">
      <c r="B134" s="1050">
        <v>2</v>
      </c>
      <c r="C134" s="1050" t="str">
        <f t="shared" si="7"/>
        <v>Cargo, &lt;10 000 T, HFO-MGO, Outre-mer, Base Carbone</v>
      </c>
      <c r="D134" s="1051">
        <f t="shared" ref="D134:D197" si="8">D133+IF(LEN(E134)&gt;0,1,0)</f>
        <v>1</v>
      </c>
      <c r="E134" s="1051" t="str">
        <f>IF(COUNTIF(E$132:E133,F134)&gt;0,"",F134)</f>
        <v/>
      </c>
      <c r="F134" s="1051" t="str">
        <f t="shared" ref="F134:F197" si="9">IF(I134&lt;&gt;"",I134&amp;IF(L134&lt;&gt;"",", "&amp;L134,"")&amp;IF(K134&lt;&gt;"",", "&amp;K134,""),"")</f>
        <v>Cargo, 10 000 à 20 000 T, HFO-MGO, Outre-mer, Base Carbone</v>
      </c>
      <c r="G134" s="1055" t="str">
        <f t="shared" ref="G134:G197" si="10">IF(F134&lt;&gt;"",F134&amp;IF(J134&lt;&gt;"","; "&amp;J134&amp;IF(N134&lt;&gt;"",", "&amp;N134,),""),"")</f>
        <v>Cargo, 10 000 à 20 000 T, HFO-MGO, Outre-mer, Base Carbone; kgCO2e/tonne.km, Amont</v>
      </c>
      <c r="I134" s="2018" t="s">
        <v>3812</v>
      </c>
      <c r="J134" s="1135" t="s">
        <v>2324</v>
      </c>
      <c r="K134" s="1135" t="s">
        <v>1567</v>
      </c>
      <c r="L134" s="1135" t="s">
        <v>2090</v>
      </c>
      <c r="M134" s="2186">
        <v>0.6</v>
      </c>
      <c r="N134" s="1135" t="s">
        <v>1570</v>
      </c>
      <c r="O134" s="2046">
        <v>1.2099999999999999E-3</v>
      </c>
      <c r="P134" s="1980">
        <v>1.2099999999999999E-3</v>
      </c>
      <c r="Q134" s="1980">
        <v>0</v>
      </c>
      <c r="R134" s="1980">
        <v>0</v>
      </c>
      <c r="S134" s="1980">
        <v>0</v>
      </c>
      <c r="T134" s="1980">
        <v>0</v>
      </c>
      <c r="U134" s="2036">
        <v>0</v>
      </c>
    </row>
    <row r="135" spans="2:21" hidden="1" outlineLevel="1">
      <c r="B135" s="1050">
        <v>3</v>
      </c>
      <c r="C135" s="1050" t="str">
        <f t="shared" si="7"/>
        <v>Cargo inter-îles, Mayotte-Anjouan, Base Carbone</v>
      </c>
      <c r="D135" s="1051">
        <f t="shared" si="8"/>
        <v>2</v>
      </c>
      <c r="E135" s="1051" t="str">
        <f>IF(COUNTIF(E$132:E134,F135)&gt;0,"",F135)</f>
        <v>Cargo, &lt;10 000 T, HFO-MGO, Outre-mer, Base Carbone</v>
      </c>
      <c r="F135" s="1051" t="str">
        <f t="shared" si="9"/>
        <v>Cargo, &lt;10 000 T, HFO-MGO, Outre-mer, Base Carbone</v>
      </c>
      <c r="G135" s="1055" t="str">
        <f t="shared" si="10"/>
        <v>Cargo, &lt;10 000 T, HFO-MGO, Outre-mer, Base Carbone; kgCO2e/tonne.km, Combustion</v>
      </c>
      <c r="I135" s="2018" t="s">
        <v>3813</v>
      </c>
      <c r="J135" s="1135" t="s">
        <v>2324</v>
      </c>
      <c r="K135" s="1135" t="s">
        <v>1567</v>
      </c>
      <c r="L135" s="1135" t="s">
        <v>2090</v>
      </c>
      <c r="M135" s="2186">
        <v>0.6</v>
      </c>
      <c r="N135" s="1135" t="s">
        <v>1569</v>
      </c>
      <c r="O135" s="2046">
        <v>1.7399999999999999E-2</v>
      </c>
      <c r="P135" s="1980">
        <v>1.7399999999999999E-2</v>
      </c>
      <c r="Q135" s="1980">
        <v>0</v>
      </c>
      <c r="R135" s="1980">
        <v>0</v>
      </c>
      <c r="S135" s="1980">
        <v>0</v>
      </c>
      <c r="T135" s="1980">
        <v>0</v>
      </c>
      <c r="U135" s="2036">
        <v>0</v>
      </c>
    </row>
    <row r="136" spans="2:21" hidden="1" outlineLevel="1">
      <c r="B136" s="1050">
        <v>4</v>
      </c>
      <c r="C136" s="1050" t="str">
        <f t="shared" si="7"/>
        <v>Cargo inter-îles, Petit Terre-Grande Terre, Base Carbone</v>
      </c>
      <c r="D136" s="1051">
        <f t="shared" si="8"/>
        <v>2</v>
      </c>
      <c r="E136" s="1051" t="str">
        <f>IF(COUNTIF(E$132:E135,F136)&gt;0,"",F136)</f>
        <v/>
      </c>
      <c r="F136" s="1051" t="str">
        <f t="shared" si="9"/>
        <v>Cargo, &lt;10 000 T, HFO-MGO, Outre-mer, Base Carbone</v>
      </c>
      <c r="G136" s="1055" t="str">
        <f t="shared" si="10"/>
        <v>Cargo, &lt;10 000 T, HFO-MGO, Outre-mer, Base Carbone; kgCO2e/tonne.km, Amont</v>
      </c>
      <c r="I136" s="2018" t="s">
        <v>3813</v>
      </c>
      <c r="J136" s="1135" t="s">
        <v>2324</v>
      </c>
      <c r="K136" s="1135" t="s">
        <v>1567</v>
      </c>
      <c r="L136" s="1135" t="s">
        <v>2090</v>
      </c>
      <c r="M136" s="2186">
        <v>0.6</v>
      </c>
      <c r="N136" s="1135" t="s">
        <v>1570</v>
      </c>
      <c r="O136" s="2046">
        <v>1.6900000000000001E-3</v>
      </c>
      <c r="P136" s="1980">
        <v>1.6900000000000001E-3</v>
      </c>
      <c r="Q136" s="1980">
        <v>0</v>
      </c>
      <c r="R136" s="1980">
        <v>0</v>
      </c>
      <c r="S136" s="1980">
        <v>0</v>
      </c>
      <c r="T136" s="1980">
        <v>0</v>
      </c>
      <c r="U136" s="2036">
        <v>0</v>
      </c>
    </row>
    <row r="137" spans="2:21" hidden="1" outlineLevel="1">
      <c r="B137" s="1050">
        <v>5</v>
      </c>
      <c r="C137" s="1050" t="str">
        <f t="shared" si="7"/>
        <v>Cargo inter-îles, Polynésie, Base Carbone</v>
      </c>
      <c r="D137" s="1051">
        <f t="shared" si="8"/>
        <v>3</v>
      </c>
      <c r="E137" s="1051" t="str">
        <f>IF(COUNTIF(E$132:E136,F137)&gt;0,"",F137)</f>
        <v>Cargo inter-îles, Mayotte-Anjouan, Base Carbone</v>
      </c>
      <c r="F137" s="1051" t="str">
        <f t="shared" si="9"/>
        <v>Cargo inter-îles, Mayotte-Anjouan, Base Carbone</v>
      </c>
      <c r="G137" s="1055" t="str">
        <f t="shared" si="10"/>
        <v>Cargo inter-îles, Mayotte-Anjouan, Base Carbone; kgCO2e/tonne.km, Combustion</v>
      </c>
      <c r="I137" s="2018" t="s">
        <v>3814</v>
      </c>
      <c r="J137" s="1135" t="s">
        <v>2324</v>
      </c>
      <c r="K137" s="1135" t="s">
        <v>1567</v>
      </c>
      <c r="L137" s="1135" t="s">
        <v>3815</v>
      </c>
      <c r="M137" s="2186">
        <v>0.2</v>
      </c>
      <c r="N137" s="2017" t="s">
        <v>1569</v>
      </c>
      <c r="O137" s="1980">
        <v>1.54</v>
      </c>
      <c r="P137" s="2302">
        <v>1.54</v>
      </c>
      <c r="Q137" s="2302">
        <v>0</v>
      </c>
      <c r="R137" s="2302">
        <v>0</v>
      </c>
      <c r="S137" s="2302">
        <v>0</v>
      </c>
      <c r="T137" s="2302">
        <v>0</v>
      </c>
      <c r="U137" s="2036">
        <v>0</v>
      </c>
    </row>
    <row r="138" spans="2:21" hidden="1" outlineLevel="1">
      <c r="B138" s="1050">
        <v>6</v>
      </c>
      <c r="C138" s="1050" t="str">
        <f t="shared" si="7"/>
        <v>Gazier petit GPL, France continentale, Base Carbone</v>
      </c>
      <c r="D138" s="1051">
        <f t="shared" si="8"/>
        <v>3</v>
      </c>
      <c r="E138" s="1051" t="str">
        <f>IF(COUNTIF(E$132:E137,F138)&gt;0,"",F138)</f>
        <v/>
      </c>
      <c r="F138" s="1051" t="str">
        <f t="shared" si="9"/>
        <v>Cargo inter-îles, Mayotte-Anjouan, Base Carbone</v>
      </c>
      <c r="G138" s="1055" t="str">
        <f t="shared" si="10"/>
        <v>Cargo inter-îles, Mayotte-Anjouan, Base Carbone; kgCO2e/tonne.km, Amont</v>
      </c>
      <c r="I138" s="2018" t="s">
        <v>3814</v>
      </c>
      <c r="J138" s="1135" t="s">
        <v>2324</v>
      </c>
      <c r="K138" s="1135" t="s">
        <v>1567</v>
      </c>
      <c r="L138" s="1135" t="s">
        <v>3815</v>
      </c>
      <c r="M138" s="2186">
        <v>0.2</v>
      </c>
      <c r="N138" s="2017" t="s">
        <v>1570</v>
      </c>
      <c r="O138" s="1980">
        <v>5.3699999999999998E-2</v>
      </c>
      <c r="P138" s="1980">
        <v>5.3699999999999998E-2</v>
      </c>
      <c r="Q138" s="1980">
        <v>0</v>
      </c>
      <c r="R138" s="1980">
        <v>0</v>
      </c>
      <c r="S138" s="1980">
        <v>0</v>
      </c>
      <c r="T138" s="1980">
        <v>0</v>
      </c>
      <c r="U138" s="2036">
        <v>0</v>
      </c>
    </row>
    <row r="139" spans="2:21" hidden="1" outlineLevel="1">
      <c r="B139" s="1050">
        <v>7</v>
      </c>
      <c r="C139" s="1050" t="str">
        <f t="shared" si="7"/>
        <v>Gazier VLGC (Very Large Gas Carrier), France continentale, Base Carbone</v>
      </c>
      <c r="D139" s="1051">
        <f t="shared" si="8"/>
        <v>4</v>
      </c>
      <c r="E139" s="1051" t="str">
        <f>IF(COUNTIF(E$132:E138,F139)&gt;0,"",F139)</f>
        <v>Cargo inter-îles, Petit Terre-Grande Terre, Base Carbone</v>
      </c>
      <c r="F139" s="1051" t="str">
        <f t="shared" si="9"/>
        <v>Cargo inter-îles, Petit Terre-Grande Terre, Base Carbone</v>
      </c>
      <c r="G139" s="1055" t="str">
        <f t="shared" si="10"/>
        <v>Cargo inter-îles, Petit Terre-Grande Terre, Base Carbone; kgCO2e/tonne.km, Combustion</v>
      </c>
      <c r="I139" s="2018" t="s">
        <v>3814</v>
      </c>
      <c r="J139" s="1135" t="s">
        <v>2324</v>
      </c>
      <c r="K139" s="1135" t="s">
        <v>1567</v>
      </c>
      <c r="L139" s="1135" t="s">
        <v>3816</v>
      </c>
      <c r="M139" s="2186">
        <v>0.2</v>
      </c>
      <c r="N139" s="2017" t="s">
        <v>1569</v>
      </c>
      <c r="O139" s="1980">
        <v>2.5499999999999998</v>
      </c>
      <c r="P139" s="1980">
        <v>2.5499999999999998</v>
      </c>
      <c r="Q139" s="1980">
        <v>0</v>
      </c>
      <c r="R139" s="1980">
        <v>0</v>
      </c>
      <c r="S139" s="1980">
        <v>0</v>
      </c>
      <c r="T139" s="1980">
        <v>0</v>
      </c>
      <c r="U139" s="2036">
        <v>0</v>
      </c>
    </row>
    <row r="140" spans="2:21" hidden="1" outlineLevel="1">
      <c r="B140" s="1050">
        <v>8</v>
      </c>
      <c r="C140" s="1050" t="str">
        <f t="shared" si="7"/>
        <v>Pétrolier, 5 000 à 60 000 T, HFO-MGO, France continentale, Base Carbone</v>
      </c>
      <c r="D140" s="1051">
        <f t="shared" si="8"/>
        <v>4</v>
      </c>
      <c r="E140" s="1051" t="str">
        <f>IF(COUNTIF(E$132:E139,F140)&gt;0,"",F140)</f>
        <v/>
      </c>
      <c r="F140" s="1051" t="str">
        <f t="shared" si="9"/>
        <v>Cargo inter-îles, Petit Terre-Grande Terre, Base Carbone</v>
      </c>
      <c r="G140" s="1055" t="str">
        <f t="shared" si="10"/>
        <v>Cargo inter-îles, Petit Terre-Grande Terre, Base Carbone; kgCO2e/tonne.km, Amont</v>
      </c>
      <c r="I140" s="2018" t="s">
        <v>3814</v>
      </c>
      <c r="J140" s="1135" t="s">
        <v>2324</v>
      </c>
      <c r="K140" s="1135" t="s">
        <v>1567</v>
      </c>
      <c r="L140" s="1135" t="s">
        <v>3816</v>
      </c>
      <c r="M140" s="2186">
        <v>0.2</v>
      </c>
      <c r="N140" s="2017" t="s">
        <v>1570</v>
      </c>
      <c r="O140" s="1980">
        <v>8.9200000000000002E-2</v>
      </c>
      <c r="P140" s="1980">
        <v>8.9200000000000002E-2</v>
      </c>
      <c r="Q140" s="1980">
        <v>0</v>
      </c>
      <c r="R140" s="1980">
        <v>0</v>
      </c>
      <c r="S140" s="1980">
        <v>0</v>
      </c>
      <c r="T140" s="1980">
        <v>0</v>
      </c>
      <c r="U140" s="2036">
        <v>0</v>
      </c>
    </row>
    <row r="141" spans="2:21" hidden="1" outlineLevel="1">
      <c r="B141" s="1050">
        <v>9</v>
      </c>
      <c r="C141" s="1050" t="str">
        <f t="shared" si="7"/>
        <v>Pétrolier, 60 000 à 200 000 T, HFO-MGO, France continentale, Base Carbone</v>
      </c>
      <c r="D141" s="1051">
        <f t="shared" si="8"/>
        <v>5</v>
      </c>
      <c r="E141" s="1051" t="str">
        <f>IF(COUNTIF(E$132:E140,F141)&gt;0,"",F141)</f>
        <v>Cargo inter-îles, Polynésie, Base Carbone</v>
      </c>
      <c r="F141" s="1051" t="str">
        <f t="shared" si="9"/>
        <v>Cargo inter-îles, Polynésie, Base Carbone</v>
      </c>
      <c r="G141" s="1055" t="str">
        <f t="shared" si="10"/>
        <v>Cargo inter-îles, Polynésie, Base Carbone; kgCO2e/tonne.km, Combustion</v>
      </c>
      <c r="I141" s="2018" t="s">
        <v>3814</v>
      </c>
      <c r="J141" s="1135" t="s">
        <v>2324</v>
      </c>
      <c r="K141" s="1135" t="s">
        <v>1567</v>
      </c>
      <c r="L141" s="1135" t="s">
        <v>3817</v>
      </c>
      <c r="M141" s="2186">
        <v>0.2</v>
      </c>
      <c r="N141" s="2017" t="s">
        <v>1569</v>
      </c>
      <c r="O141" s="1980">
        <v>0.11799999999999999</v>
      </c>
      <c r="P141" s="1980">
        <v>0.11799999999999999</v>
      </c>
      <c r="Q141" s="1980">
        <v>0</v>
      </c>
      <c r="R141" s="1980">
        <v>0</v>
      </c>
      <c r="S141" s="1980">
        <v>0</v>
      </c>
      <c r="T141" s="1980">
        <v>0</v>
      </c>
      <c r="U141" s="2036">
        <v>0</v>
      </c>
    </row>
    <row r="142" spans="2:21" hidden="1" outlineLevel="1">
      <c r="B142" s="1050">
        <v>10</v>
      </c>
      <c r="C142" s="1050" t="str">
        <f t="shared" si="7"/>
        <v>Pétrolier, &lt; 5 000 T, HFO-MGO, France continentale, Base Carbone</v>
      </c>
      <c r="D142" s="1051">
        <f t="shared" si="8"/>
        <v>5</v>
      </c>
      <c r="E142" s="1051" t="str">
        <f>IF(COUNTIF(E$132:E141,F142)&gt;0,"",F142)</f>
        <v/>
      </c>
      <c r="F142" s="1051" t="str">
        <f t="shared" si="9"/>
        <v>Cargo inter-îles, Polynésie, Base Carbone</v>
      </c>
      <c r="G142" s="1055" t="str">
        <f t="shared" si="10"/>
        <v>Cargo inter-îles, Polynésie, Base Carbone; kgCO2e/tonne.km, Amont</v>
      </c>
      <c r="I142" s="2018" t="s">
        <v>3814</v>
      </c>
      <c r="J142" s="1135" t="s">
        <v>2324</v>
      </c>
      <c r="K142" s="1135" t="s">
        <v>1567</v>
      </c>
      <c r="L142" s="1135" t="s">
        <v>3817</v>
      </c>
      <c r="M142" s="2186">
        <v>0.2</v>
      </c>
      <c r="N142" s="2017" t="s">
        <v>1570</v>
      </c>
      <c r="O142" s="1980">
        <v>1.9E-2</v>
      </c>
      <c r="P142" s="1980">
        <v>1.9E-2</v>
      </c>
      <c r="Q142" s="1980">
        <v>0</v>
      </c>
      <c r="R142" s="1980">
        <v>0</v>
      </c>
      <c r="S142" s="1980">
        <v>0</v>
      </c>
      <c r="T142" s="1980">
        <v>0</v>
      </c>
      <c r="U142" s="2036">
        <v>0</v>
      </c>
    </row>
    <row r="143" spans="2:21" hidden="1" outlineLevel="1">
      <c r="B143" s="1050">
        <v>11</v>
      </c>
      <c r="C143" s="1050" t="str">
        <f t="shared" si="7"/>
        <v>Pétrolier, &gt;200 000 T, GNL, France continentale, Base Carbone</v>
      </c>
      <c r="D143" s="1051">
        <f t="shared" si="8"/>
        <v>6</v>
      </c>
      <c r="E143" s="1051" t="str">
        <f>IF(COUNTIF(E$132:E142,F143)&gt;0,"",F143)</f>
        <v>Gazier petit GPL, France continentale, Base Carbone</v>
      </c>
      <c r="F143" s="1051" t="str">
        <f t="shared" si="9"/>
        <v>Gazier petit GPL, France continentale, Base Carbone</v>
      </c>
      <c r="G143" s="1055" t="str">
        <f t="shared" si="10"/>
        <v>Gazier petit GPL, France continentale, Base Carbone; kgCO2e/tonne.km, Combustion</v>
      </c>
      <c r="I143" s="2018" t="s">
        <v>1197</v>
      </c>
      <c r="J143" s="1135" t="s">
        <v>2324</v>
      </c>
      <c r="K143" s="1135" t="s">
        <v>1567</v>
      </c>
      <c r="L143" s="1135" t="s">
        <v>1571</v>
      </c>
      <c r="M143" s="2186">
        <v>0.6</v>
      </c>
      <c r="N143" s="1135" t="s">
        <v>1569</v>
      </c>
      <c r="O143" s="2046">
        <v>4.6899999999999997E-2</v>
      </c>
      <c r="P143" s="2046">
        <v>4.6600000000000003E-2</v>
      </c>
      <c r="Q143" s="2046">
        <v>2.0999999999999999E-5</v>
      </c>
      <c r="R143" s="2046">
        <v>0</v>
      </c>
      <c r="S143" s="2046">
        <v>2.6499999999999999E-4</v>
      </c>
      <c r="T143" s="2046">
        <v>0</v>
      </c>
      <c r="U143" s="2307">
        <v>0</v>
      </c>
    </row>
    <row r="144" spans="2:21" hidden="1" outlineLevel="1">
      <c r="B144" s="1050">
        <v>12</v>
      </c>
      <c r="C144" s="1050" t="str">
        <f t="shared" si="7"/>
        <v>Pétrolier, &gt;200 000 T, HFO-MGO, France continentale, Base Carbone</v>
      </c>
      <c r="D144" s="1051">
        <f t="shared" si="8"/>
        <v>6</v>
      </c>
      <c r="E144" s="1051" t="str">
        <f>IF(COUNTIF(E$132:E143,F144)&gt;0,"",F144)</f>
        <v/>
      </c>
      <c r="F144" s="1051" t="str">
        <f t="shared" si="9"/>
        <v>Gazier petit GPL, France continentale, Base Carbone</v>
      </c>
      <c r="G144" s="1055" t="str">
        <f t="shared" si="10"/>
        <v>Gazier petit GPL, France continentale, Base Carbone; kgCO2e/tonne.km, Amont</v>
      </c>
      <c r="I144" s="2018" t="s">
        <v>1197</v>
      </c>
      <c r="J144" s="1135" t="s">
        <v>2324</v>
      </c>
      <c r="K144" s="1135" t="s">
        <v>1567</v>
      </c>
      <c r="L144" s="1135" t="s">
        <v>1571</v>
      </c>
      <c r="M144" s="2186">
        <v>0.6</v>
      </c>
      <c r="N144" s="1135" t="s">
        <v>1570</v>
      </c>
      <c r="O144" s="2046">
        <v>7.6699999999999997E-3</v>
      </c>
      <c r="P144" s="2046">
        <v>7.0000000000000001E-3</v>
      </c>
      <c r="Q144" s="2046">
        <v>6.7199999999999996E-4</v>
      </c>
      <c r="R144" s="2046">
        <v>0</v>
      </c>
      <c r="S144" s="2046">
        <v>0</v>
      </c>
      <c r="T144" s="2046">
        <v>0</v>
      </c>
      <c r="U144" s="2307">
        <v>0</v>
      </c>
    </row>
    <row r="145" spans="2:21" hidden="1" outlineLevel="1">
      <c r="B145" s="1050">
        <v>13</v>
      </c>
      <c r="C145" s="1050" t="str">
        <f t="shared" si="7"/>
        <v>Pirogue, Guyane, Base Carbone</v>
      </c>
      <c r="D145" s="1051">
        <f t="shared" si="8"/>
        <v>7</v>
      </c>
      <c r="E145" s="1051" t="str">
        <f>IF(COUNTIF(E$132:E144,F145)&gt;0,"",F145)</f>
        <v>Gazier VLGC (Very Large Gas Carrier), France continentale, Base Carbone</v>
      </c>
      <c r="F145" s="1051" t="str">
        <f t="shared" si="9"/>
        <v>Gazier VLGC (Very Large Gas Carrier), France continentale, Base Carbone</v>
      </c>
      <c r="G145" s="1055" t="str">
        <f t="shared" si="10"/>
        <v>Gazier VLGC (Very Large Gas Carrier), France continentale, Base Carbone; kgCO2e/tonne.km, Combustion</v>
      </c>
      <c r="I145" s="2018" t="s">
        <v>1198</v>
      </c>
      <c r="J145" s="1135" t="s">
        <v>2324</v>
      </c>
      <c r="K145" s="1135" t="s">
        <v>1567</v>
      </c>
      <c r="L145" s="1135" t="s">
        <v>1571</v>
      </c>
      <c r="M145" s="2186">
        <v>0.6</v>
      </c>
      <c r="N145" s="1135" t="s">
        <v>1569</v>
      </c>
      <c r="O145" s="2046">
        <v>1.2699999999999999E-2</v>
      </c>
      <c r="P145" s="2046">
        <v>1.26E-2</v>
      </c>
      <c r="Q145" s="2046">
        <v>6.0000000000000002E-6</v>
      </c>
      <c r="R145" s="2046">
        <v>0</v>
      </c>
      <c r="S145" s="2046">
        <v>7.9499999999999994E-5</v>
      </c>
      <c r="T145" s="2046">
        <v>0</v>
      </c>
      <c r="U145" s="2307">
        <v>0</v>
      </c>
    </row>
    <row r="146" spans="2:21" hidden="1" outlineLevel="1">
      <c r="B146" s="1050">
        <v>14</v>
      </c>
      <c r="C146" s="1050" t="str">
        <f t="shared" si="7"/>
        <v>Porte-conteneurs, Dry, Asie - Europe du Nord, France continentale, Base Carbone</v>
      </c>
      <c r="D146" s="1051">
        <f t="shared" si="8"/>
        <v>7</v>
      </c>
      <c r="E146" s="1051" t="str">
        <f>IF(COUNTIF(E$132:E145,F146)&gt;0,"",F146)</f>
        <v/>
      </c>
      <c r="F146" s="1051" t="str">
        <f t="shared" si="9"/>
        <v>Gazier VLGC (Very Large Gas Carrier), France continentale, Base Carbone</v>
      </c>
      <c r="G146" s="1055" t="str">
        <f t="shared" si="10"/>
        <v>Gazier VLGC (Very Large Gas Carrier), France continentale, Base Carbone; kgCO2e/tonne.km, Amont</v>
      </c>
      <c r="I146" s="2018" t="s">
        <v>1198</v>
      </c>
      <c r="J146" s="1135" t="s">
        <v>2324</v>
      </c>
      <c r="K146" s="1135" t="s">
        <v>1567</v>
      </c>
      <c r="L146" s="1135" t="s">
        <v>1571</v>
      </c>
      <c r="M146" s="2186">
        <v>0.6</v>
      </c>
      <c r="N146" s="1135" t="s">
        <v>1570</v>
      </c>
      <c r="O146" s="2046">
        <v>2.0300000000000001E-3</v>
      </c>
      <c r="P146" s="2046">
        <v>1.8500000000000001E-3</v>
      </c>
      <c r="Q146" s="2046">
        <v>1.7699999999999999E-4</v>
      </c>
      <c r="R146" s="2046">
        <v>0</v>
      </c>
      <c r="S146" s="2046">
        <v>0</v>
      </c>
      <c r="T146" s="2046">
        <v>0</v>
      </c>
      <c r="U146" s="2307">
        <v>0</v>
      </c>
    </row>
    <row r="147" spans="2:21" hidden="1" outlineLevel="1">
      <c r="B147" s="1050">
        <v>15</v>
      </c>
      <c r="C147" s="1050" t="str">
        <f t="shared" si="7"/>
        <v>Porte-conteneurs, Dry, Asie - Méditerranée, France continentale, Base Carbone</v>
      </c>
      <c r="D147" s="1051">
        <f t="shared" si="8"/>
        <v>8</v>
      </c>
      <c r="E147" s="1051" t="str">
        <f>IF(COUNTIF(E$132:E146,F147)&gt;0,"",F147)</f>
        <v>Pétrolier, 5 000 à 60 000 T, HFO-MGO, France continentale, Base Carbone</v>
      </c>
      <c r="F147" s="1051" t="str">
        <f t="shared" si="9"/>
        <v>Pétrolier, 5 000 à 60 000 T, HFO-MGO, France continentale, Base Carbone</v>
      </c>
      <c r="G147" s="1055" t="str">
        <f t="shared" si="10"/>
        <v>Pétrolier, 5 000 à 60 000 T, HFO-MGO, France continentale, Base Carbone; kgCO2e/tonne.km, Combustion</v>
      </c>
      <c r="I147" s="2018" t="s">
        <v>3818</v>
      </c>
      <c r="J147" s="1135" t="s">
        <v>2324</v>
      </c>
      <c r="K147" s="1135" t="s">
        <v>1567</v>
      </c>
      <c r="L147" s="1135" t="s">
        <v>1571</v>
      </c>
      <c r="M147" s="2186">
        <v>0.6</v>
      </c>
      <c r="N147" s="1135" t="s">
        <v>1569</v>
      </c>
      <c r="O147" s="2046">
        <v>1.9E-2</v>
      </c>
      <c r="P147" s="1980">
        <v>1.9E-2</v>
      </c>
      <c r="Q147" s="1980">
        <v>0</v>
      </c>
      <c r="R147" s="1980">
        <v>0</v>
      </c>
      <c r="S147" s="1980">
        <v>0</v>
      </c>
      <c r="T147" s="1980">
        <v>0</v>
      </c>
      <c r="U147" s="2036">
        <v>0</v>
      </c>
    </row>
    <row r="148" spans="2:21" hidden="1" outlineLevel="1">
      <c r="B148" s="1050">
        <v>16</v>
      </c>
      <c r="C148" s="1050" t="str">
        <f t="shared" si="7"/>
        <v>Porte-conteneurs, Dry, Autres liaisons détaillées, France continentale, Base Carbone</v>
      </c>
      <c r="D148" s="1051">
        <f t="shared" si="8"/>
        <v>8</v>
      </c>
      <c r="E148" s="1051" t="str">
        <f>IF(COUNTIF(E$132:E147,F148)&gt;0,"",F148)</f>
        <v/>
      </c>
      <c r="F148" s="1051" t="str">
        <f t="shared" si="9"/>
        <v>Pétrolier, 5 000 à 60 000 T, HFO-MGO, France continentale, Base Carbone</v>
      </c>
      <c r="G148" s="1055" t="str">
        <f t="shared" si="10"/>
        <v>Pétrolier, 5 000 à 60 000 T, HFO-MGO, France continentale, Base Carbone; kgCO2e/tonne.km, Amont</v>
      </c>
      <c r="I148" s="2018" t="s">
        <v>3818</v>
      </c>
      <c r="J148" s="1135" t="s">
        <v>2324</v>
      </c>
      <c r="K148" s="1135" t="s">
        <v>1567</v>
      </c>
      <c r="L148" s="1135" t="s">
        <v>1571</v>
      </c>
      <c r="M148" s="2186">
        <v>0.6</v>
      </c>
      <c r="N148" s="1135" t="s">
        <v>1570</v>
      </c>
      <c r="O148" s="2046">
        <v>1.72E-3</v>
      </c>
      <c r="P148" s="1980">
        <v>1.72E-3</v>
      </c>
      <c r="Q148" s="1980">
        <v>0</v>
      </c>
      <c r="R148" s="1980">
        <v>0</v>
      </c>
      <c r="S148" s="1980">
        <v>0</v>
      </c>
      <c r="T148" s="1980">
        <v>0</v>
      </c>
      <c r="U148" s="2036">
        <v>0</v>
      </c>
    </row>
    <row r="149" spans="2:21" hidden="1" outlineLevel="1">
      <c r="B149" s="1050">
        <v>17</v>
      </c>
      <c r="C149" s="1050" t="str">
        <f t="shared" si="7"/>
        <v>Porte-conteneurs, Dry, Autres liaisons majeures, France continentale, Base Carbone</v>
      </c>
      <c r="D149" s="1051">
        <f t="shared" si="8"/>
        <v>9</v>
      </c>
      <c r="E149" s="1051" t="str">
        <f>IF(COUNTIF(E$132:E148,F149)&gt;0,"",F149)</f>
        <v>Pétrolier, 60 000 à 200 000 T, HFO-MGO, France continentale, Base Carbone</v>
      </c>
      <c r="F149" s="1051" t="str">
        <f t="shared" si="9"/>
        <v>Pétrolier, 60 000 à 200 000 T, HFO-MGO, France continentale, Base Carbone</v>
      </c>
      <c r="G149" s="1055" t="str">
        <f t="shared" si="10"/>
        <v>Pétrolier, 60 000 à 200 000 T, HFO-MGO, France continentale, Base Carbone; kgCO2e/tonne.km, Combustion</v>
      </c>
      <c r="I149" s="2018" t="s">
        <v>3819</v>
      </c>
      <c r="J149" s="1135" t="s">
        <v>2324</v>
      </c>
      <c r="K149" s="1135" t="s">
        <v>1567</v>
      </c>
      <c r="L149" s="1135" t="s">
        <v>1571</v>
      </c>
      <c r="M149" s="2186">
        <v>0.6</v>
      </c>
      <c r="N149" s="1135" t="s">
        <v>1569</v>
      </c>
      <c r="O149" s="2046">
        <v>8.09E-3</v>
      </c>
      <c r="P149" s="1980">
        <v>8.09E-3</v>
      </c>
      <c r="Q149" s="1980">
        <v>0</v>
      </c>
      <c r="R149" s="1980">
        <v>0</v>
      </c>
      <c r="S149" s="1980">
        <v>0</v>
      </c>
      <c r="T149" s="1980">
        <v>0</v>
      </c>
      <c r="U149" s="2036">
        <v>0</v>
      </c>
    </row>
    <row r="150" spans="2:21" hidden="1" outlineLevel="1">
      <c r="B150" s="1050">
        <v>18</v>
      </c>
      <c r="C150" s="1050" t="str">
        <f t="shared" si="7"/>
        <v>Porte-conteneurs, Dry, Europe - Afrique, France continentale, Base Carbone</v>
      </c>
      <c r="D150" s="1051">
        <f t="shared" si="8"/>
        <v>9</v>
      </c>
      <c r="E150" s="1051" t="str">
        <f>IF(COUNTIF(E$132:E149,F150)&gt;0,"",F150)</f>
        <v/>
      </c>
      <c r="F150" s="1051" t="str">
        <f t="shared" si="9"/>
        <v>Pétrolier, 60 000 à 200 000 T, HFO-MGO, France continentale, Base Carbone</v>
      </c>
      <c r="G150" s="1055" t="str">
        <f t="shared" si="10"/>
        <v>Pétrolier, 60 000 à 200 000 T, HFO-MGO, France continentale, Base Carbone; kgCO2e/tonne.km, Amont</v>
      </c>
      <c r="I150" s="2018" t="s">
        <v>3819</v>
      </c>
      <c r="J150" s="1135" t="s">
        <v>2324</v>
      </c>
      <c r="K150" s="1135" t="s">
        <v>1567</v>
      </c>
      <c r="L150" s="1135" t="s">
        <v>1571</v>
      </c>
      <c r="M150" s="2186">
        <v>0.6</v>
      </c>
      <c r="N150" s="1135" t="s">
        <v>1570</v>
      </c>
      <c r="O150" s="2046">
        <v>7.45E-4</v>
      </c>
      <c r="P150" s="1980">
        <v>7.45E-4</v>
      </c>
      <c r="Q150" s="1980">
        <v>0</v>
      </c>
      <c r="R150" s="1980">
        <v>0</v>
      </c>
      <c r="S150" s="1980">
        <v>0</v>
      </c>
      <c r="T150" s="1980">
        <v>0</v>
      </c>
      <c r="U150" s="2036">
        <v>0</v>
      </c>
    </row>
    <row r="151" spans="2:21" hidden="1" outlineLevel="1">
      <c r="B151" s="1050">
        <v>19</v>
      </c>
      <c r="C151" s="1050" t="str">
        <f t="shared" si="7"/>
        <v>Porte-conteneurs, Dry, Europe - Amérique du Sud et Centrale, France continentale, Base Carbone</v>
      </c>
      <c r="D151" s="1051">
        <f t="shared" si="8"/>
        <v>10</v>
      </c>
      <c r="E151" s="1051" t="str">
        <f>IF(COUNTIF(E$132:E150,F151)&gt;0,"",F151)</f>
        <v>Pétrolier, &lt; 5 000 T, HFO-MGO, France continentale, Base Carbone</v>
      </c>
      <c r="F151" s="1051" t="str">
        <f t="shared" si="9"/>
        <v>Pétrolier, &lt; 5 000 T, HFO-MGO, France continentale, Base Carbone</v>
      </c>
      <c r="G151" s="1055" t="str">
        <f t="shared" si="10"/>
        <v>Pétrolier, &lt; 5 000 T, HFO-MGO, France continentale, Base Carbone; kgCO2e/tonne.km, Combustion</v>
      </c>
      <c r="I151" s="2018" t="s">
        <v>3820</v>
      </c>
      <c r="J151" s="1135" t="s">
        <v>2324</v>
      </c>
      <c r="K151" s="1135" t="s">
        <v>1567</v>
      </c>
      <c r="L151" s="1135" t="s">
        <v>1571</v>
      </c>
      <c r="M151" s="2186">
        <v>0.6</v>
      </c>
      <c r="N151" s="1135" t="s">
        <v>1569</v>
      </c>
      <c r="O151" s="2046">
        <v>5.6000000000000001E-2</v>
      </c>
      <c r="P151" s="1980">
        <v>5.6000000000000001E-2</v>
      </c>
      <c r="Q151" s="1980">
        <v>0</v>
      </c>
      <c r="R151" s="1980">
        <v>0</v>
      </c>
      <c r="S151" s="1980">
        <v>0</v>
      </c>
      <c r="T151" s="1980">
        <v>0</v>
      </c>
      <c r="U151" s="2036">
        <v>0</v>
      </c>
    </row>
    <row r="152" spans="2:21" hidden="1" outlineLevel="1">
      <c r="B152" s="1050">
        <v>20</v>
      </c>
      <c r="C152" s="1050" t="str">
        <f t="shared" si="7"/>
        <v>Porte-conteneurs, Dry, Europe - Moyen-Orient et Inde, France continentale, Base Carbone</v>
      </c>
      <c r="D152" s="1051">
        <f t="shared" si="8"/>
        <v>10</v>
      </c>
      <c r="E152" s="1051" t="str">
        <f>IF(COUNTIF(E$132:E151,F152)&gt;0,"",F152)</f>
        <v/>
      </c>
      <c r="F152" s="1051" t="str">
        <f t="shared" si="9"/>
        <v>Pétrolier, &lt; 5 000 T, HFO-MGO, France continentale, Base Carbone</v>
      </c>
      <c r="G152" s="1055" t="str">
        <f t="shared" si="10"/>
        <v>Pétrolier, &lt; 5 000 T, HFO-MGO, France continentale, Base Carbone; kgCO2e/tonne.km, Amont</v>
      </c>
      <c r="I152" s="2018" t="s">
        <v>3820</v>
      </c>
      <c r="J152" s="1135" t="s">
        <v>2324</v>
      </c>
      <c r="K152" s="1135" t="s">
        <v>1567</v>
      </c>
      <c r="L152" s="1135" t="s">
        <v>1571</v>
      </c>
      <c r="M152" s="2186">
        <v>0.6</v>
      </c>
      <c r="N152" s="1135" t="s">
        <v>1570</v>
      </c>
      <c r="O152" s="2046">
        <v>4.5999999999999999E-3</v>
      </c>
      <c r="P152" s="1980">
        <v>4.5999999999999999E-3</v>
      </c>
      <c r="Q152" s="1980">
        <v>0</v>
      </c>
      <c r="R152" s="1980">
        <v>0</v>
      </c>
      <c r="S152" s="1980">
        <v>0</v>
      </c>
      <c r="T152" s="1980">
        <v>0</v>
      </c>
      <c r="U152" s="2036">
        <v>0</v>
      </c>
    </row>
    <row r="153" spans="2:21" hidden="1" outlineLevel="1">
      <c r="B153" s="1050">
        <v>21</v>
      </c>
      <c r="C153" s="1050" t="str">
        <f t="shared" si="7"/>
        <v>Porte-conteneurs, Dry, Europe - Océanie, France continentale, Base Carbone</v>
      </c>
      <c r="D153" s="1051">
        <f t="shared" si="8"/>
        <v>11</v>
      </c>
      <c r="E153" s="1051" t="str">
        <f>IF(COUNTIF(E$132:E152,F153)&gt;0,"",F153)</f>
        <v>Pétrolier, &gt;200 000 T, GNL, France continentale, Base Carbone</v>
      </c>
      <c r="F153" s="1051" t="str">
        <f t="shared" si="9"/>
        <v>Pétrolier, &gt;200 000 T, GNL, France continentale, Base Carbone</v>
      </c>
      <c r="G153" s="1055" t="str">
        <f t="shared" si="10"/>
        <v>Pétrolier, &gt;200 000 T, GNL, France continentale, Base Carbone; kgCO2e/tonne.km, Combustion</v>
      </c>
      <c r="I153" s="2018" t="s">
        <v>3821</v>
      </c>
      <c r="J153" s="1135" t="s">
        <v>2324</v>
      </c>
      <c r="K153" s="1135" t="s">
        <v>1567</v>
      </c>
      <c r="L153" s="1135" t="s">
        <v>1571</v>
      </c>
      <c r="M153" s="2186">
        <v>0.6</v>
      </c>
      <c r="N153" s="1135" t="s">
        <v>1569</v>
      </c>
      <c r="O153" s="2046">
        <v>1.9E-3</v>
      </c>
      <c r="P153" s="1980">
        <v>1.9E-3</v>
      </c>
      <c r="Q153" s="1980">
        <v>0</v>
      </c>
      <c r="R153" s="1980">
        <v>0</v>
      </c>
      <c r="S153" s="1980">
        <v>0</v>
      </c>
      <c r="T153" s="1980">
        <v>0</v>
      </c>
      <c r="U153" s="2036">
        <v>0</v>
      </c>
    </row>
    <row r="154" spans="2:21" hidden="1" outlineLevel="1">
      <c r="B154" s="1050">
        <v>22</v>
      </c>
      <c r="C154" s="1050" t="str">
        <f t="shared" si="7"/>
        <v>Porte-conteneurs, Dry, Europe du Nord - Amérique du Nord, façade atlantique, France continentale, Base Carbone</v>
      </c>
      <c r="D154" s="1051">
        <f t="shared" si="8"/>
        <v>11</v>
      </c>
      <c r="E154" s="1051" t="str">
        <f>IF(COUNTIF(E$132:E153,F154)&gt;0,"",F154)</f>
        <v/>
      </c>
      <c r="F154" s="1051" t="str">
        <f t="shared" si="9"/>
        <v>Pétrolier, &gt;200 000 T, GNL, France continentale, Base Carbone</v>
      </c>
      <c r="G154" s="1055" t="str">
        <f t="shared" si="10"/>
        <v>Pétrolier, &gt;200 000 T, GNL, France continentale, Base Carbone; kgCO2e/tonne.km, Amont</v>
      </c>
      <c r="I154" s="2018" t="s">
        <v>3821</v>
      </c>
      <c r="J154" s="1135" t="s">
        <v>2324</v>
      </c>
      <c r="K154" s="1135" t="s">
        <v>1567</v>
      </c>
      <c r="L154" s="1135" t="s">
        <v>1571</v>
      </c>
      <c r="M154" s="2186">
        <v>0.6</v>
      </c>
      <c r="N154" s="1135" t="s">
        <v>1570</v>
      </c>
      <c r="O154" s="2046">
        <v>6.9999999999999999E-4</v>
      </c>
      <c r="P154" s="1980">
        <v>6.9999999999999999E-4</v>
      </c>
      <c r="Q154" s="1980">
        <v>0</v>
      </c>
      <c r="R154" s="1980">
        <v>0</v>
      </c>
      <c r="S154" s="1980">
        <v>0</v>
      </c>
      <c r="T154" s="1980">
        <v>0</v>
      </c>
      <c r="U154" s="2036">
        <v>0</v>
      </c>
    </row>
    <row r="155" spans="2:21" hidden="1" outlineLevel="1">
      <c r="B155" s="1050">
        <v>23</v>
      </c>
      <c r="C155" s="1050" t="str">
        <f t="shared" si="7"/>
        <v>Porte-conteneurs, Dry, Europe du Nord - Amérique du Nord, façade pacifique, France continentale, Base Carbone</v>
      </c>
      <c r="D155" s="1051">
        <f t="shared" si="8"/>
        <v>12</v>
      </c>
      <c r="E155" s="1051" t="str">
        <f>IF(COUNTIF(E$132:E154,F155)&gt;0,"",F155)</f>
        <v>Pétrolier, &gt;200 000 T, HFO-MGO, France continentale, Base Carbone</v>
      </c>
      <c r="F155" s="1051" t="str">
        <f t="shared" si="9"/>
        <v>Pétrolier, &gt;200 000 T, HFO-MGO, France continentale, Base Carbone</v>
      </c>
      <c r="G155" s="1055" t="str">
        <f t="shared" si="10"/>
        <v>Pétrolier, &gt;200 000 T, HFO-MGO, France continentale, Base Carbone; kgCO2e/tonne.km, Combustion</v>
      </c>
      <c r="I155" s="2018" t="s">
        <v>3822</v>
      </c>
      <c r="J155" s="1135" t="s">
        <v>2324</v>
      </c>
      <c r="K155" s="1135" t="s">
        <v>1567</v>
      </c>
      <c r="L155" s="1135" t="s">
        <v>1571</v>
      </c>
      <c r="M155" s="2186">
        <v>0.6</v>
      </c>
      <c r="N155" s="1135" t="s">
        <v>1569</v>
      </c>
      <c r="O155" s="2046">
        <v>2.3999999999999998E-3</v>
      </c>
      <c r="P155" s="1980">
        <v>2.3999999999999998E-3</v>
      </c>
      <c r="Q155" s="1980">
        <v>0</v>
      </c>
      <c r="R155" s="1980">
        <v>0</v>
      </c>
      <c r="S155" s="1980">
        <v>0</v>
      </c>
      <c r="T155" s="1980">
        <v>0</v>
      </c>
      <c r="U155" s="2036">
        <v>0</v>
      </c>
    </row>
    <row r="156" spans="2:21" hidden="1" outlineLevel="1">
      <c r="B156" s="1050">
        <v>24</v>
      </c>
      <c r="C156" s="1050" t="str">
        <f t="shared" si="7"/>
        <v>Porte-conteneurs, Dry, Europe du Nord - Méditerranée, France continentale, Base Carbone</v>
      </c>
      <c r="D156" s="1051">
        <f t="shared" si="8"/>
        <v>12</v>
      </c>
      <c r="E156" s="1051" t="str">
        <f>IF(COUNTIF(E$132:E155,F156)&gt;0,"",F156)</f>
        <v/>
      </c>
      <c r="F156" s="1051" t="str">
        <f t="shared" si="9"/>
        <v>Pétrolier, &gt;200 000 T, HFO-MGO, France continentale, Base Carbone</v>
      </c>
      <c r="G156" s="1055" t="str">
        <f t="shared" si="10"/>
        <v>Pétrolier, &gt;200 000 T, HFO-MGO, France continentale, Base Carbone; kgCO2e/tonne.km, Amont</v>
      </c>
      <c r="I156" s="2018" t="s">
        <v>3822</v>
      </c>
      <c r="J156" s="1135" t="s">
        <v>2324</v>
      </c>
      <c r="K156" s="1135" t="s">
        <v>1567</v>
      </c>
      <c r="L156" s="1135" t="s">
        <v>1571</v>
      </c>
      <c r="M156" s="2186">
        <v>0.6</v>
      </c>
      <c r="N156" s="1135" t="s">
        <v>1570</v>
      </c>
      <c r="O156" s="2046">
        <v>2.1499999999999999E-4</v>
      </c>
      <c r="P156" s="1980">
        <v>2.1499999999999999E-4</v>
      </c>
      <c r="Q156" s="1980">
        <v>0</v>
      </c>
      <c r="R156" s="1980">
        <v>0</v>
      </c>
      <c r="S156" s="1980">
        <v>0</v>
      </c>
      <c r="T156" s="1980">
        <v>0</v>
      </c>
      <c r="U156" s="2036">
        <v>0</v>
      </c>
    </row>
    <row r="157" spans="2:21" hidden="1" outlineLevel="1">
      <c r="B157" s="1050">
        <v>25</v>
      </c>
      <c r="C157" s="1050" t="str">
        <f t="shared" si="7"/>
        <v>Porte-conteneurs, Dry, Intra Europe du Nord, France continentale, Base Carbone</v>
      </c>
      <c r="D157" s="1051">
        <f t="shared" si="8"/>
        <v>13</v>
      </c>
      <c r="E157" s="1051" t="str">
        <f>IF(COUNTIF(E$132:E156,F157)&gt;0,"",F157)</f>
        <v>Pirogue, Guyane, Base Carbone</v>
      </c>
      <c r="F157" s="1051" t="str">
        <f t="shared" si="9"/>
        <v>Pirogue, Guyane, Base Carbone</v>
      </c>
      <c r="G157" s="1055" t="str">
        <f t="shared" si="10"/>
        <v>Pirogue, Guyane, Base Carbone; kgCO2e/tonne.km, Combustion</v>
      </c>
      <c r="I157" s="2018" t="s">
        <v>3823</v>
      </c>
      <c r="J157" s="1135" t="s">
        <v>2324</v>
      </c>
      <c r="K157" s="1135" t="s">
        <v>1567</v>
      </c>
      <c r="L157" s="1135" t="s">
        <v>782</v>
      </c>
      <c r="M157" s="2186">
        <v>0.2</v>
      </c>
      <c r="N157" s="2017" t="s">
        <v>1569</v>
      </c>
      <c r="O157" s="2046">
        <v>0.47299999999999998</v>
      </c>
      <c r="P157" s="2046">
        <v>0.47299999999999998</v>
      </c>
      <c r="Q157" s="2046">
        <v>0</v>
      </c>
      <c r="R157" s="2046">
        <v>0</v>
      </c>
      <c r="S157" s="2046">
        <v>0</v>
      </c>
      <c r="T157" s="2046">
        <v>0</v>
      </c>
      <c r="U157" s="2307">
        <v>0</v>
      </c>
    </row>
    <row r="158" spans="2:21" hidden="1" outlineLevel="1">
      <c r="B158" s="1050">
        <v>26</v>
      </c>
      <c r="C158" s="1050" t="str">
        <f t="shared" si="7"/>
        <v>Porte-conteneurs, Dry, Intra Méditerranée, France continentale, Base Carbone</v>
      </c>
      <c r="D158" s="1051">
        <f t="shared" si="8"/>
        <v>14</v>
      </c>
      <c r="E158" s="1051" t="str">
        <f>IF(COUNTIF(E$132:E157,F158)&gt;0,"",F158)</f>
        <v>Porte-conteneurs, Dry, Asie - Europe du Nord, France continentale, Base Carbone</v>
      </c>
      <c r="F158" s="1051" t="str">
        <f t="shared" si="9"/>
        <v>Porte-conteneurs, Dry, Asie - Europe du Nord, France continentale, Base Carbone</v>
      </c>
      <c r="G158" s="1055" t="str">
        <f t="shared" si="10"/>
        <v>Porte-conteneurs, Dry, Asie - Europe du Nord, France continentale, Base Carbone; kgCO2e/tonne.km, Combustion</v>
      </c>
      <c r="I158" s="2018" t="s">
        <v>3824</v>
      </c>
      <c r="J158" s="1135" t="s">
        <v>2324</v>
      </c>
      <c r="K158" s="1119" t="s">
        <v>1567</v>
      </c>
      <c r="L158" s="1135" t="s">
        <v>1571</v>
      </c>
      <c r="M158" s="1033">
        <v>0.6</v>
      </c>
      <c r="N158" s="1135" t="s">
        <v>1569</v>
      </c>
      <c r="O158" s="2046">
        <v>5.1000000000000004E-3</v>
      </c>
      <c r="P158" s="1980">
        <v>5.1000000000000004E-3</v>
      </c>
      <c r="Q158" s="1980">
        <v>0</v>
      </c>
      <c r="R158" s="1980">
        <v>0</v>
      </c>
      <c r="S158" s="1980">
        <v>0</v>
      </c>
      <c r="T158" s="1980">
        <v>0</v>
      </c>
      <c r="U158" s="2036">
        <v>0</v>
      </c>
    </row>
    <row r="159" spans="2:21" hidden="1" outlineLevel="1">
      <c r="B159" s="1050">
        <v>27</v>
      </c>
      <c r="C159" s="1050" t="str">
        <f t="shared" si="7"/>
        <v>Porte-conteneurs, Dry, Méditerranée - Amérique du Nord, façade atlantique, France continentale, Base Carbone</v>
      </c>
      <c r="D159" s="1051">
        <f t="shared" si="8"/>
        <v>14</v>
      </c>
      <c r="E159" s="1051" t="str">
        <f>IF(COUNTIF(E$132:E158,F159)&gt;0,"",F159)</f>
        <v/>
      </c>
      <c r="F159" s="1051" t="str">
        <f t="shared" si="9"/>
        <v>Porte-conteneurs, Dry, Asie - Europe du Nord, France continentale, Base Carbone</v>
      </c>
      <c r="G159" s="1055" t="str">
        <f t="shared" si="10"/>
        <v>Porte-conteneurs, Dry, Asie - Europe du Nord, France continentale, Base Carbone; kgCO2e/tonne.km, Amont</v>
      </c>
      <c r="I159" s="2018" t="s">
        <v>3824</v>
      </c>
      <c r="J159" s="1135" t="s">
        <v>2324</v>
      </c>
      <c r="K159" s="1119" t="s">
        <v>1567</v>
      </c>
      <c r="L159" s="1135" t="s">
        <v>1571</v>
      </c>
      <c r="M159" s="1033">
        <v>0.6</v>
      </c>
      <c r="N159" s="1135" t="s">
        <v>1570</v>
      </c>
      <c r="O159" s="2046">
        <v>4.4000000000000002E-4</v>
      </c>
      <c r="P159" s="1980">
        <v>4.4000000000000002E-4</v>
      </c>
      <c r="Q159" s="1980">
        <v>0</v>
      </c>
      <c r="R159" s="1980">
        <v>0</v>
      </c>
      <c r="S159" s="1980">
        <v>0</v>
      </c>
      <c r="T159" s="1980">
        <v>0</v>
      </c>
      <c r="U159" s="2036">
        <v>0</v>
      </c>
    </row>
    <row r="160" spans="2:21" hidden="1" outlineLevel="1">
      <c r="B160" s="1050">
        <v>28</v>
      </c>
      <c r="C160" s="1050" t="str">
        <f t="shared" si="7"/>
        <v>Porte-conteneurs, Dry, Méditerranée - Amérique du Nord, façade pacifique, France continentale, Base Carbone</v>
      </c>
      <c r="D160" s="1051">
        <f t="shared" si="8"/>
        <v>15</v>
      </c>
      <c r="E160" s="1051" t="str">
        <f>IF(COUNTIF(E$132:E159,F160)&gt;0,"",F160)</f>
        <v>Porte-conteneurs, Dry, Asie - Méditerranée, France continentale, Base Carbone</v>
      </c>
      <c r="F160" s="1051" t="str">
        <f t="shared" si="9"/>
        <v>Porte-conteneurs, Dry, Asie - Méditerranée, France continentale, Base Carbone</v>
      </c>
      <c r="G160" s="1055" t="str">
        <f t="shared" si="10"/>
        <v>Porte-conteneurs, Dry, Asie - Méditerranée, France continentale, Base Carbone; kgCO2e/tonne.km, Combustion</v>
      </c>
      <c r="I160" s="2018" t="s">
        <v>3825</v>
      </c>
      <c r="J160" s="1135" t="s">
        <v>2324</v>
      </c>
      <c r="K160" s="1119" t="s">
        <v>1567</v>
      </c>
      <c r="L160" s="1135" t="s">
        <v>1571</v>
      </c>
      <c r="M160" s="1033">
        <v>0.6</v>
      </c>
      <c r="N160" s="1135" t="s">
        <v>1569</v>
      </c>
      <c r="O160" s="2046">
        <v>6.4000000000000003E-3</v>
      </c>
      <c r="P160" s="1980">
        <v>6.4000000000000003E-3</v>
      </c>
      <c r="Q160" s="1980">
        <v>0</v>
      </c>
      <c r="R160" s="1980">
        <v>0</v>
      </c>
      <c r="S160" s="1980">
        <v>0</v>
      </c>
      <c r="T160" s="1980">
        <v>0</v>
      </c>
      <c r="U160" s="2036">
        <v>0</v>
      </c>
    </row>
    <row r="161" spans="2:21" hidden="1" outlineLevel="1">
      <c r="B161" s="1050">
        <v>29</v>
      </c>
      <c r="C161" s="1050" t="str">
        <f t="shared" si="7"/>
        <v>Porte-conteneurs, Dry, Trans-Atlantique, France continentale, Base Carbone</v>
      </c>
      <c r="D161" s="1051">
        <f t="shared" si="8"/>
        <v>15</v>
      </c>
      <c r="E161" s="1051" t="str">
        <f>IF(COUNTIF(E$132:E160,F161)&gt;0,"",F161)</f>
        <v/>
      </c>
      <c r="F161" s="1051" t="str">
        <f t="shared" si="9"/>
        <v>Porte-conteneurs, Dry, Asie - Méditerranée, France continentale, Base Carbone</v>
      </c>
      <c r="G161" s="1055" t="str">
        <f t="shared" si="10"/>
        <v>Porte-conteneurs, Dry, Asie - Méditerranée, France continentale, Base Carbone; kgCO2e/tonne.km, Amont</v>
      </c>
      <c r="I161" s="2018" t="s">
        <v>3825</v>
      </c>
      <c r="J161" s="1135" t="s">
        <v>2324</v>
      </c>
      <c r="K161" s="1119" t="s">
        <v>1567</v>
      </c>
      <c r="L161" s="1135" t="s">
        <v>1571</v>
      </c>
      <c r="M161" s="1033">
        <v>0.6</v>
      </c>
      <c r="N161" s="1135" t="s">
        <v>1570</v>
      </c>
      <c r="O161" s="2046">
        <v>5.5000000000000003E-4</v>
      </c>
      <c r="P161" s="1980">
        <v>5.5000000000000003E-4</v>
      </c>
      <c r="Q161" s="1980">
        <v>0</v>
      </c>
      <c r="R161" s="1980">
        <v>0</v>
      </c>
      <c r="S161" s="1980">
        <v>0</v>
      </c>
      <c r="T161" s="1980">
        <v>0</v>
      </c>
      <c r="U161" s="2036">
        <v>0</v>
      </c>
    </row>
    <row r="162" spans="2:21" hidden="1" outlineLevel="1">
      <c r="B162" s="1050">
        <v>30</v>
      </c>
      <c r="C162" s="1050" t="str">
        <f t="shared" si="7"/>
        <v>Porte-conteneurs, Dry, Trans-Suez, France continentale, Base Carbone</v>
      </c>
      <c r="D162" s="1051">
        <f t="shared" si="8"/>
        <v>16</v>
      </c>
      <c r="E162" s="1051" t="str">
        <f>IF(COUNTIF(E$132:E161,F162)&gt;0,"",F162)</f>
        <v>Porte-conteneurs, Dry, Autres liaisons détaillées, France continentale, Base Carbone</v>
      </c>
      <c r="F162" s="1051" t="str">
        <f t="shared" si="9"/>
        <v>Porte-conteneurs, Dry, Autres liaisons détaillées, France continentale, Base Carbone</v>
      </c>
      <c r="G162" s="1055" t="str">
        <f t="shared" si="10"/>
        <v>Porte-conteneurs, Dry, Autres liaisons détaillées, France continentale, Base Carbone; kgCO2e/tonne.km, Combustion</v>
      </c>
      <c r="I162" s="2018" t="s">
        <v>3826</v>
      </c>
      <c r="J162" s="1135" t="s">
        <v>2324</v>
      </c>
      <c r="K162" s="1119" t="s">
        <v>1567</v>
      </c>
      <c r="L162" s="1135" t="s">
        <v>1571</v>
      </c>
      <c r="M162" s="1033">
        <v>0.6</v>
      </c>
      <c r="N162" s="1135" t="s">
        <v>1569</v>
      </c>
      <c r="O162" s="2046">
        <v>1.2E-2</v>
      </c>
      <c r="P162" s="1980">
        <v>1.2E-2</v>
      </c>
      <c r="Q162" s="1980">
        <v>0</v>
      </c>
      <c r="R162" s="1980">
        <v>0</v>
      </c>
      <c r="S162" s="1980">
        <v>0</v>
      </c>
      <c r="T162" s="1980">
        <v>0</v>
      </c>
      <c r="U162" s="2036">
        <v>0</v>
      </c>
    </row>
    <row r="163" spans="2:21" hidden="1" outlineLevel="1">
      <c r="B163" s="1050">
        <v>31</v>
      </c>
      <c r="C163" s="1050" t="str">
        <f t="shared" si="7"/>
        <v>Porte-conteneurs, Dry, valeur moyenne, France continentale, Base Carbone</v>
      </c>
      <c r="D163" s="1051">
        <f t="shared" si="8"/>
        <v>16</v>
      </c>
      <c r="E163" s="1051" t="str">
        <f>IF(COUNTIF(E$132:E162,F163)&gt;0,"",F163)</f>
        <v/>
      </c>
      <c r="F163" s="1051" t="str">
        <f t="shared" si="9"/>
        <v>Porte-conteneurs, Dry, Autres liaisons détaillées, France continentale, Base Carbone</v>
      </c>
      <c r="G163" s="1055" t="str">
        <f t="shared" si="10"/>
        <v>Porte-conteneurs, Dry, Autres liaisons détaillées, France continentale, Base Carbone; kgCO2e/tonne.km, Amont</v>
      </c>
      <c r="I163" s="2018" t="s">
        <v>3826</v>
      </c>
      <c r="J163" s="1135" t="s">
        <v>2324</v>
      </c>
      <c r="K163" s="1119" t="s">
        <v>1567</v>
      </c>
      <c r="L163" s="1135" t="s">
        <v>1571</v>
      </c>
      <c r="M163" s="1033">
        <v>0.6</v>
      </c>
      <c r="N163" s="1135" t="s">
        <v>1570</v>
      </c>
      <c r="O163" s="2046">
        <v>1.1000000000000001E-3</v>
      </c>
      <c r="P163" s="1980">
        <v>1.1000000000000001E-3</v>
      </c>
      <c r="Q163" s="1980">
        <v>0</v>
      </c>
      <c r="R163" s="1980">
        <v>0</v>
      </c>
      <c r="S163" s="1980">
        <v>0</v>
      </c>
      <c r="T163" s="1980">
        <v>0</v>
      </c>
      <c r="U163" s="2036">
        <v>0</v>
      </c>
    </row>
    <row r="164" spans="2:21" hidden="1" outlineLevel="1">
      <c r="B164" s="1050">
        <v>32</v>
      </c>
      <c r="C164" s="1050" t="str">
        <f t="shared" si="7"/>
        <v>Porte-conteneurs, Reefer, Asie - Europe du Nord, France continentale, Base Carbone</v>
      </c>
      <c r="D164" s="1051">
        <f t="shared" si="8"/>
        <v>17</v>
      </c>
      <c r="E164" s="1051" t="str">
        <f>IF(COUNTIF(E$132:E163,F164)&gt;0,"",F164)</f>
        <v>Porte-conteneurs, Dry, Autres liaisons majeures, France continentale, Base Carbone</v>
      </c>
      <c r="F164" s="1051" t="str">
        <f t="shared" si="9"/>
        <v>Porte-conteneurs, Dry, Autres liaisons majeures, France continentale, Base Carbone</v>
      </c>
      <c r="G164" s="1055" t="str">
        <f t="shared" si="10"/>
        <v>Porte-conteneurs, Dry, Autres liaisons majeures, France continentale, Base Carbone; kgCO2e/tonne.km, Combustion</v>
      </c>
      <c r="I164" s="2018" t="s">
        <v>3827</v>
      </c>
      <c r="J164" s="1135" t="s">
        <v>2324</v>
      </c>
      <c r="K164" s="1119" t="s">
        <v>1567</v>
      </c>
      <c r="L164" s="1135" t="s">
        <v>1571</v>
      </c>
      <c r="M164" s="1033">
        <v>0.6</v>
      </c>
      <c r="N164" s="1135" t="s">
        <v>1569</v>
      </c>
      <c r="O164" s="2046">
        <v>8.8000000000000005E-3</v>
      </c>
      <c r="P164" s="1980">
        <v>8.8000000000000005E-3</v>
      </c>
      <c r="Q164" s="1980">
        <v>0</v>
      </c>
      <c r="R164" s="1980">
        <v>0</v>
      </c>
      <c r="S164" s="1980">
        <v>0</v>
      </c>
      <c r="T164" s="1980">
        <v>0</v>
      </c>
      <c r="U164" s="2036">
        <v>0</v>
      </c>
    </row>
    <row r="165" spans="2:21" hidden="1" outlineLevel="1">
      <c r="B165" s="1050">
        <v>33</v>
      </c>
      <c r="C165" s="1050" t="str">
        <f t="shared" ref="C165:C196" si="11">IF(ISNA(VLOOKUP(B165,$D$132:$E$252,2,FALSE)),"-",VLOOKUP(B165,$D$132:$E$252,2,FALSE))</f>
        <v>Porte-conteneurs, Reefer, Asie - Méditerranée, France continentale, Base Carbone</v>
      </c>
      <c r="D165" s="1051">
        <f t="shared" si="8"/>
        <v>17</v>
      </c>
      <c r="E165" s="1051" t="str">
        <f>IF(COUNTIF(E$132:E164,F165)&gt;0,"",F165)</f>
        <v/>
      </c>
      <c r="F165" s="1051" t="str">
        <f t="shared" si="9"/>
        <v>Porte-conteneurs, Dry, Autres liaisons majeures, France continentale, Base Carbone</v>
      </c>
      <c r="G165" s="1055" t="str">
        <f t="shared" si="10"/>
        <v>Porte-conteneurs, Dry, Autres liaisons majeures, France continentale, Base Carbone; kgCO2e/tonne.km, Amont</v>
      </c>
      <c r="I165" s="2018" t="s">
        <v>3827</v>
      </c>
      <c r="J165" s="1135" t="s">
        <v>2324</v>
      </c>
      <c r="K165" s="1119" t="s">
        <v>1567</v>
      </c>
      <c r="L165" s="1135" t="s">
        <v>1571</v>
      </c>
      <c r="M165" s="1033">
        <v>0.6</v>
      </c>
      <c r="N165" s="1135" t="s">
        <v>1570</v>
      </c>
      <c r="O165" s="2046">
        <v>7.6000000000000004E-4</v>
      </c>
      <c r="P165" s="1980">
        <v>7.6000000000000004E-4</v>
      </c>
      <c r="Q165" s="1980">
        <v>0</v>
      </c>
      <c r="R165" s="1980">
        <v>0</v>
      </c>
      <c r="S165" s="1980">
        <v>0</v>
      </c>
      <c r="T165" s="1980">
        <v>0</v>
      </c>
      <c r="U165" s="2036">
        <v>0</v>
      </c>
    </row>
    <row r="166" spans="2:21" hidden="1" outlineLevel="1">
      <c r="B166" s="1050">
        <v>34</v>
      </c>
      <c r="C166" s="1050" t="str">
        <f t="shared" si="11"/>
        <v>Porte-conteneurs, Reefer, Autres liaisons détaillées, France continentale, Base Carbone</v>
      </c>
      <c r="D166" s="1051">
        <f t="shared" si="8"/>
        <v>18</v>
      </c>
      <c r="E166" s="1051" t="str">
        <f>IF(COUNTIF(E$132:E165,F166)&gt;0,"",F166)</f>
        <v>Porte-conteneurs, Dry, Europe - Afrique, France continentale, Base Carbone</v>
      </c>
      <c r="F166" s="1051" t="str">
        <f t="shared" si="9"/>
        <v>Porte-conteneurs, Dry, Europe - Afrique, France continentale, Base Carbone</v>
      </c>
      <c r="G166" s="1055" t="str">
        <f t="shared" si="10"/>
        <v>Porte-conteneurs, Dry, Europe - Afrique, France continentale, Base Carbone; kgCO2e/tonne.km, Combustion</v>
      </c>
      <c r="I166" s="2018" t="s">
        <v>3828</v>
      </c>
      <c r="J166" s="1135" t="s">
        <v>2324</v>
      </c>
      <c r="K166" s="1119" t="s">
        <v>1567</v>
      </c>
      <c r="L166" s="1135" t="s">
        <v>1571</v>
      </c>
      <c r="M166" s="1033">
        <v>0.6</v>
      </c>
      <c r="N166" s="1135" t="s">
        <v>1569</v>
      </c>
      <c r="O166" s="2046">
        <v>0.01</v>
      </c>
      <c r="P166" s="1980">
        <v>0.01</v>
      </c>
      <c r="Q166" s="1980">
        <v>0</v>
      </c>
      <c r="R166" s="1980">
        <v>0</v>
      </c>
      <c r="S166" s="1980">
        <v>0</v>
      </c>
      <c r="T166" s="1980">
        <v>0</v>
      </c>
      <c r="U166" s="2036">
        <v>0</v>
      </c>
    </row>
    <row r="167" spans="2:21" hidden="1" outlineLevel="1">
      <c r="B167" s="1050">
        <v>35</v>
      </c>
      <c r="C167" s="1050" t="str">
        <f t="shared" si="11"/>
        <v>Porte-conteneurs, Reefer, Autres liaisons majeures, France continentale, Base Carbone</v>
      </c>
      <c r="D167" s="1051">
        <f t="shared" si="8"/>
        <v>18</v>
      </c>
      <c r="E167" s="1051" t="str">
        <f>IF(COUNTIF(E$132:E166,F167)&gt;0,"",F167)</f>
        <v/>
      </c>
      <c r="F167" s="1051" t="str">
        <f t="shared" si="9"/>
        <v>Porte-conteneurs, Dry, Europe - Afrique, France continentale, Base Carbone</v>
      </c>
      <c r="G167" s="1055" t="str">
        <f t="shared" si="10"/>
        <v>Porte-conteneurs, Dry, Europe - Afrique, France continentale, Base Carbone; kgCO2e/tonne.km, Amont</v>
      </c>
      <c r="I167" s="2018" t="s">
        <v>3828</v>
      </c>
      <c r="J167" s="1135" t="s">
        <v>2324</v>
      </c>
      <c r="K167" s="1119" t="s">
        <v>1567</v>
      </c>
      <c r="L167" s="1135" t="s">
        <v>1571</v>
      </c>
      <c r="M167" s="1033">
        <v>0.6</v>
      </c>
      <c r="N167" s="1135" t="s">
        <v>1570</v>
      </c>
      <c r="O167" s="2046">
        <v>8.7000000000000001E-4</v>
      </c>
      <c r="P167" s="1980">
        <v>8.7000000000000001E-4</v>
      </c>
      <c r="Q167" s="1980">
        <v>0</v>
      </c>
      <c r="R167" s="1980">
        <v>0</v>
      </c>
      <c r="S167" s="1980">
        <v>0</v>
      </c>
      <c r="T167" s="1980">
        <v>0</v>
      </c>
      <c r="U167" s="2036">
        <v>0</v>
      </c>
    </row>
    <row r="168" spans="2:21" hidden="1" outlineLevel="1">
      <c r="B168" s="1050">
        <v>36</v>
      </c>
      <c r="C168" s="1050" t="str">
        <f t="shared" si="11"/>
        <v>Porte-conteneurs, Reefer, Europe - Afrique, France continentale, Base Carbone</v>
      </c>
      <c r="D168" s="1051">
        <f t="shared" si="8"/>
        <v>19</v>
      </c>
      <c r="E168" s="1051" t="str">
        <f>IF(COUNTIF(E$132:E167,F168)&gt;0,"",F168)</f>
        <v>Porte-conteneurs, Dry, Europe - Amérique du Sud et Centrale, France continentale, Base Carbone</v>
      </c>
      <c r="F168" s="1051" t="str">
        <f t="shared" si="9"/>
        <v>Porte-conteneurs, Dry, Europe - Amérique du Sud et Centrale, France continentale, Base Carbone</v>
      </c>
      <c r="G168" s="1055" t="str">
        <f t="shared" si="10"/>
        <v>Porte-conteneurs, Dry, Europe - Amérique du Sud et Centrale, France continentale, Base Carbone; kgCO2e/tonne.km, Combustion</v>
      </c>
      <c r="I168" s="2018" t="s">
        <v>3829</v>
      </c>
      <c r="J168" s="1135" t="s">
        <v>2324</v>
      </c>
      <c r="K168" s="1119" t="s">
        <v>1567</v>
      </c>
      <c r="L168" s="1135" t="s">
        <v>1571</v>
      </c>
      <c r="M168" s="1033">
        <v>0.6</v>
      </c>
      <c r="N168" s="1135" t="s">
        <v>1569</v>
      </c>
      <c r="O168" s="2046">
        <v>8.0999999999999996E-3</v>
      </c>
      <c r="P168" s="1980">
        <v>8.0999999999999996E-3</v>
      </c>
      <c r="Q168" s="1980">
        <v>0</v>
      </c>
      <c r="R168" s="1980">
        <v>0</v>
      </c>
      <c r="S168" s="1980">
        <v>0</v>
      </c>
      <c r="T168" s="1980">
        <v>0</v>
      </c>
      <c r="U168" s="2036">
        <v>0</v>
      </c>
    </row>
    <row r="169" spans="2:21" hidden="1" outlineLevel="1">
      <c r="B169" s="1050">
        <v>37</v>
      </c>
      <c r="C169" s="1050" t="str">
        <f t="shared" si="11"/>
        <v>Porte-conteneurs, Reefer, Europe - Amérique du Sud et Centrale, France continentale, Base Carbone</v>
      </c>
      <c r="D169" s="1051">
        <f t="shared" si="8"/>
        <v>19</v>
      </c>
      <c r="E169" s="1051" t="str">
        <f>IF(COUNTIF(E$132:E168,F169)&gt;0,"",F169)</f>
        <v/>
      </c>
      <c r="F169" s="1051" t="str">
        <f t="shared" si="9"/>
        <v>Porte-conteneurs, Dry, Europe - Amérique du Sud et Centrale, France continentale, Base Carbone</v>
      </c>
      <c r="G169" s="1055" t="str">
        <f t="shared" si="10"/>
        <v>Porte-conteneurs, Dry, Europe - Amérique du Sud et Centrale, France continentale, Base Carbone; kgCO2e/tonne.km, Amont</v>
      </c>
      <c r="I169" s="2018" t="s">
        <v>3829</v>
      </c>
      <c r="J169" s="1135" t="s">
        <v>2324</v>
      </c>
      <c r="K169" s="1119" t="s">
        <v>1567</v>
      </c>
      <c r="L169" s="1135" t="s">
        <v>1571</v>
      </c>
      <c r="M169" s="1033">
        <v>0.6</v>
      </c>
      <c r="N169" s="1135" t="s">
        <v>1570</v>
      </c>
      <c r="O169" s="2046">
        <v>6.8999999999999997E-4</v>
      </c>
      <c r="P169" s="1980">
        <v>6.8999999999999997E-4</v>
      </c>
      <c r="Q169" s="1980">
        <v>0</v>
      </c>
      <c r="R169" s="1980">
        <v>0</v>
      </c>
      <c r="S169" s="1980">
        <v>0</v>
      </c>
      <c r="T169" s="1980">
        <v>0</v>
      </c>
      <c r="U169" s="2036">
        <v>0</v>
      </c>
    </row>
    <row r="170" spans="2:21" hidden="1" outlineLevel="1">
      <c r="B170" s="1050">
        <v>38</v>
      </c>
      <c r="C170" s="1050" t="str">
        <f t="shared" si="11"/>
        <v>Porte-conteneurs, Reefer, Europe - Moyen-Orient et Inde, France continentale, Base Carbone</v>
      </c>
      <c r="D170" s="1051">
        <f t="shared" si="8"/>
        <v>20</v>
      </c>
      <c r="E170" s="1051" t="str">
        <f>IF(COUNTIF(E$132:E169,F170)&gt;0,"",F170)</f>
        <v>Porte-conteneurs, Dry, Europe - Moyen-Orient et Inde, France continentale, Base Carbone</v>
      </c>
      <c r="F170" s="1051" t="str">
        <f t="shared" si="9"/>
        <v>Porte-conteneurs, Dry, Europe - Moyen-Orient et Inde, France continentale, Base Carbone</v>
      </c>
      <c r="G170" s="1055" t="str">
        <f t="shared" si="10"/>
        <v>Porte-conteneurs, Dry, Europe - Moyen-Orient et Inde, France continentale, Base Carbone; kgCO2e/tonne.km, Combustion</v>
      </c>
      <c r="I170" s="2018" t="s">
        <v>3830</v>
      </c>
      <c r="J170" s="1135" t="s">
        <v>2324</v>
      </c>
      <c r="K170" s="1119" t="s">
        <v>1567</v>
      </c>
      <c r="L170" s="1135" t="s">
        <v>1571</v>
      </c>
      <c r="M170" s="1033">
        <v>0.6</v>
      </c>
      <c r="N170" s="1135" t="s">
        <v>1569</v>
      </c>
      <c r="O170" s="2046">
        <v>6.6E-3</v>
      </c>
      <c r="P170" s="1980">
        <v>6.6E-3</v>
      </c>
      <c r="Q170" s="1980">
        <v>0</v>
      </c>
      <c r="R170" s="1980">
        <v>0</v>
      </c>
      <c r="S170" s="1980">
        <v>0</v>
      </c>
      <c r="T170" s="1980">
        <v>0</v>
      </c>
      <c r="U170" s="2036">
        <v>0</v>
      </c>
    </row>
    <row r="171" spans="2:21" hidden="1" outlineLevel="1">
      <c r="B171" s="1050">
        <v>39</v>
      </c>
      <c r="C171" s="1050" t="str">
        <f t="shared" si="11"/>
        <v>Porte-conteneurs, Reefer, Europe - Océanie, France continentale, Base Carbone</v>
      </c>
      <c r="D171" s="1051">
        <f t="shared" si="8"/>
        <v>20</v>
      </c>
      <c r="E171" s="1051" t="str">
        <f>IF(COUNTIF(E$132:E170,F171)&gt;0,"",F171)</f>
        <v/>
      </c>
      <c r="F171" s="1051" t="str">
        <f t="shared" si="9"/>
        <v>Porte-conteneurs, Dry, Europe - Moyen-Orient et Inde, France continentale, Base Carbone</v>
      </c>
      <c r="G171" s="1055" t="str">
        <f t="shared" si="10"/>
        <v>Porte-conteneurs, Dry, Europe - Moyen-Orient et Inde, France continentale, Base Carbone; kgCO2e/tonne.km, Amont</v>
      </c>
      <c r="I171" s="2018" t="s">
        <v>3830</v>
      </c>
      <c r="J171" s="1135" t="s">
        <v>2324</v>
      </c>
      <c r="K171" s="1119" t="s">
        <v>1567</v>
      </c>
      <c r="L171" s="1135" t="s">
        <v>1571</v>
      </c>
      <c r="M171" s="1033">
        <v>0.6</v>
      </c>
      <c r="N171" s="1135" t="s">
        <v>1570</v>
      </c>
      <c r="O171" s="2046">
        <v>5.6999999999999998E-4</v>
      </c>
      <c r="P171" s="1980">
        <v>5.6999999999999998E-4</v>
      </c>
      <c r="Q171" s="1980">
        <v>0</v>
      </c>
      <c r="R171" s="1980">
        <v>0</v>
      </c>
      <c r="S171" s="1980">
        <v>0</v>
      </c>
      <c r="T171" s="1980">
        <v>0</v>
      </c>
      <c r="U171" s="2036">
        <v>0</v>
      </c>
    </row>
    <row r="172" spans="2:21" hidden="1" outlineLevel="1">
      <c r="B172" s="1050">
        <v>40</v>
      </c>
      <c r="C172" s="1050" t="str">
        <f t="shared" si="11"/>
        <v>Porte-conteneurs, Reefer, Europe du Nord - Amérique du Nord, façade atlantique, France continentale, Base Carbone</v>
      </c>
      <c r="D172" s="1051">
        <f t="shared" si="8"/>
        <v>21</v>
      </c>
      <c r="E172" s="1051" t="str">
        <f>IF(COUNTIF(E$132:E171,F172)&gt;0,"",F172)</f>
        <v>Porte-conteneurs, Dry, Europe - Océanie, France continentale, Base Carbone</v>
      </c>
      <c r="F172" s="1051" t="str">
        <f t="shared" si="9"/>
        <v>Porte-conteneurs, Dry, Europe - Océanie, France continentale, Base Carbone</v>
      </c>
      <c r="G172" s="1055" t="str">
        <f t="shared" si="10"/>
        <v>Porte-conteneurs, Dry, Europe - Océanie, France continentale, Base Carbone; kgCO2e/tonne.km, Combustion</v>
      </c>
      <c r="I172" s="2018" t="s">
        <v>3831</v>
      </c>
      <c r="J172" s="1135" t="s">
        <v>2324</v>
      </c>
      <c r="K172" s="1119" t="s">
        <v>1567</v>
      </c>
      <c r="L172" s="1135" t="s">
        <v>1571</v>
      </c>
      <c r="M172" s="1033">
        <v>0.6</v>
      </c>
      <c r="N172" s="1135" t="s">
        <v>1569</v>
      </c>
      <c r="O172" s="2046">
        <v>1.0999999999999999E-2</v>
      </c>
      <c r="P172" s="1980">
        <v>1.0999999999999999E-2</v>
      </c>
      <c r="Q172" s="1980">
        <v>0</v>
      </c>
      <c r="R172" s="1980">
        <v>0</v>
      </c>
      <c r="S172" s="1980">
        <v>0</v>
      </c>
      <c r="T172" s="1980">
        <v>0</v>
      </c>
      <c r="U172" s="2036">
        <v>0</v>
      </c>
    </row>
    <row r="173" spans="2:21" hidden="1" outlineLevel="1">
      <c r="B173" s="1050">
        <v>41</v>
      </c>
      <c r="C173" s="1050" t="str">
        <f t="shared" si="11"/>
        <v>Porte-conteneurs, Reefer, Europe du Nord - Amérique du Nord, façade pacifique, France continentale, Base Carbone</v>
      </c>
      <c r="D173" s="1051">
        <f t="shared" si="8"/>
        <v>21</v>
      </c>
      <c r="E173" s="1051" t="str">
        <f>IF(COUNTIF(E$132:E172,F173)&gt;0,"",F173)</f>
        <v/>
      </c>
      <c r="F173" s="1051" t="str">
        <f t="shared" si="9"/>
        <v>Porte-conteneurs, Dry, Europe - Océanie, France continentale, Base Carbone</v>
      </c>
      <c r="G173" s="1055" t="str">
        <f t="shared" si="10"/>
        <v>Porte-conteneurs, Dry, Europe - Océanie, France continentale, Base Carbone; kgCO2e/tonne.km, Amont</v>
      </c>
      <c r="I173" s="2018" t="s">
        <v>3831</v>
      </c>
      <c r="J173" s="1135" t="s">
        <v>2324</v>
      </c>
      <c r="K173" s="1119" t="s">
        <v>1567</v>
      </c>
      <c r="L173" s="1135" t="s">
        <v>1571</v>
      </c>
      <c r="M173" s="1033">
        <v>0.6</v>
      </c>
      <c r="N173" s="1135" t="s">
        <v>1570</v>
      </c>
      <c r="O173" s="2046">
        <v>9.5E-4</v>
      </c>
      <c r="P173" s="1980">
        <v>9.5E-4</v>
      </c>
      <c r="Q173" s="1980">
        <v>0</v>
      </c>
      <c r="R173" s="1980">
        <v>0</v>
      </c>
      <c r="S173" s="1980">
        <v>0</v>
      </c>
      <c r="T173" s="1980">
        <v>0</v>
      </c>
      <c r="U173" s="2036">
        <v>0</v>
      </c>
    </row>
    <row r="174" spans="2:21" hidden="1" outlineLevel="1">
      <c r="B174" s="1050">
        <v>42</v>
      </c>
      <c r="C174" s="1050" t="str">
        <f t="shared" si="11"/>
        <v>Porte-conteneurs, Reefer, Europe du Nord - Méditerranée, France continentale, Base Carbone</v>
      </c>
      <c r="D174" s="1051">
        <f t="shared" si="8"/>
        <v>22</v>
      </c>
      <c r="E174" s="1051" t="str">
        <f>IF(COUNTIF(E$132:E173,F174)&gt;0,"",F174)</f>
        <v>Porte-conteneurs, Dry, Europe du Nord - Amérique du Nord, façade atlantique, France continentale, Base Carbone</v>
      </c>
      <c r="F174" s="1051" t="str">
        <f t="shared" si="9"/>
        <v>Porte-conteneurs, Dry, Europe du Nord - Amérique du Nord, façade atlantique, France continentale, Base Carbone</v>
      </c>
      <c r="G174" s="1055" t="str">
        <f t="shared" si="10"/>
        <v>Porte-conteneurs, Dry, Europe du Nord - Amérique du Nord, façade atlantique, France continentale, Base Carbone; kgCO2e/tonne.km, Combustion</v>
      </c>
      <c r="I174" s="2018" t="s">
        <v>3832</v>
      </c>
      <c r="J174" s="1135" t="s">
        <v>2324</v>
      </c>
      <c r="K174" s="1119" t="s">
        <v>1567</v>
      </c>
      <c r="L174" s="1135" t="s">
        <v>1571</v>
      </c>
      <c r="M174" s="1033">
        <v>0.6</v>
      </c>
      <c r="N174" s="1135" t="s">
        <v>1569</v>
      </c>
      <c r="O174" s="2046">
        <v>0.01</v>
      </c>
      <c r="P174" s="1980">
        <v>0.01</v>
      </c>
      <c r="Q174" s="1980">
        <v>0</v>
      </c>
      <c r="R174" s="1980">
        <v>0</v>
      </c>
      <c r="S174" s="1980">
        <v>0</v>
      </c>
      <c r="T174" s="1980">
        <v>0</v>
      </c>
      <c r="U174" s="2036">
        <v>0</v>
      </c>
    </row>
    <row r="175" spans="2:21" hidden="1" outlineLevel="1">
      <c r="B175" s="1050">
        <v>43</v>
      </c>
      <c r="C175" s="1050" t="str">
        <f t="shared" si="11"/>
        <v>Porte-conteneurs, Reefer, Intra Europe du Nord, France continentale, Base Carbone</v>
      </c>
      <c r="D175" s="1051">
        <f t="shared" si="8"/>
        <v>22</v>
      </c>
      <c r="E175" s="1051" t="str">
        <f>IF(COUNTIF(E$132:E174,F175)&gt;0,"",F175)</f>
        <v/>
      </c>
      <c r="F175" s="1051" t="str">
        <f t="shared" si="9"/>
        <v>Porte-conteneurs, Dry, Europe du Nord - Amérique du Nord, façade atlantique, France continentale, Base Carbone</v>
      </c>
      <c r="G175" s="1055" t="str">
        <f t="shared" si="10"/>
        <v>Porte-conteneurs, Dry, Europe du Nord - Amérique du Nord, façade atlantique, France continentale, Base Carbone; kgCO2e/tonne.km, Amont</v>
      </c>
      <c r="I175" s="2018" t="s">
        <v>3832</v>
      </c>
      <c r="J175" s="1135" t="s">
        <v>2324</v>
      </c>
      <c r="K175" s="1119" t="s">
        <v>1567</v>
      </c>
      <c r="L175" s="1135" t="s">
        <v>1571</v>
      </c>
      <c r="M175" s="1033">
        <v>0.6</v>
      </c>
      <c r="N175" s="1135" t="s">
        <v>1570</v>
      </c>
      <c r="O175" s="2046">
        <v>8.5999999999999998E-4</v>
      </c>
      <c r="P175" s="1980">
        <v>8.6E-3</v>
      </c>
      <c r="Q175" s="1980">
        <v>0</v>
      </c>
      <c r="R175" s="1980">
        <v>0</v>
      </c>
      <c r="S175" s="1980">
        <v>0</v>
      </c>
      <c r="T175" s="1980">
        <v>0</v>
      </c>
      <c r="U175" s="2036">
        <v>0</v>
      </c>
    </row>
    <row r="176" spans="2:21" hidden="1" outlineLevel="1">
      <c r="B176" s="1050">
        <v>44</v>
      </c>
      <c r="C176" s="1050" t="str">
        <f t="shared" si="11"/>
        <v>Porte-conteneurs, Reefer, Intra Méditerranée, France continentale, Base Carbone</v>
      </c>
      <c r="D176" s="1051">
        <f t="shared" si="8"/>
        <v>23</v>
      </c>
      <c r="E176" s="1051" t="str">
        <f>IF(COUNTIF(E$132:E175,F176)&gt;0,"",F176)</f>
        <v>Porte-conteneurs, Dry, Europe du Nord - Amérique du Nord, façade pacifique, France continentale, Base Carbone</v>
      </c>
      <c r="F176" s="1051" t="str">
        <f t="shared" si="9"/>
        <v>Porte-conteneurs, Dry, Europe du Nord - Amérique du Nord, façade pacifique, France continentale, Base Carbone</v>
      </c>
      <c r="G176" s="1055" t="str">
        <f t="shared" si="10"/>
        <v>Porte-conteneurs, Dry, Europe du Nord - Amérique du Nord, façade pacifique, France continentale, Base Carbone; kgCO2e/tonne.km, Combustion</v>
      </c>
      <c r="I176" s="2018" t="s">
        <v>3833</v>
      </c>
      <c r="J176" s="1135" t="s">
        <v>2324</v>
      </c>
      <c r="K176" s="1119" t="s">
        <v>1567</v>
      </c>
      <c r="L176" s="1135" t="s">
        <v>1571</v>
      </c>
      <c r="M176" s="1033">
        <v>0.6</v>
      </c>
      <c r="N176" s="1135" t="s">
        <v>1569</v>
      </c>
      <c r="O176" s="2046">
        <v>9.7000000000000003E-3</v>
      </c>
      <c r="P176" s="1980">
        <v>9.7000000000000003E-3</v>
      </c>
      <c r="Q176" s="1980">
        <v>0</v>
      </c>
      <c r="R176" s="1980">
        <v>0</v>
      </c>
      <c r="S176" s="1980">
        <v>0</v>
      </c>
      <c r="T176" s="1980">
        <v>0</v>
      </c>
      <c r="U176" s="2036">
        <v>0</v>
      </c>
    </row>
    <row r="177" spans="2:21" hidden="1" outlineLevel="1">
      <c r="B177" s="1050">
        <v>45</v>
      </c>
      <c r="C177" s="1050" t="str">
        <f t="shared" si="11"/>
        <v>Porte-conteneurs, Reefer, Méditerranée - Amérique du Nord, façade atlantique, France continentale, Base Carbone</v>
      </c>
      <c r="D177" s="1051">
        <f t="shared" si="8"/>
        <v>23</v>
      </c>
      <c r="E177" s="1051" t="str">
        <f>IF(COUNTIF(E$132:E176,F177)&gt;0,"",F177)</f>
        <v/>
      </c>
      <c r="F177" s="1051" t="str">
        <f t="shared" si="9"/>
        <v>Porte-conteneurs, Dry, Europe du Nord - Amérique du Nord, façade pacifique, France continentale, Base Carbone</v>
      </c>
      <c r="G177" s="1055" t="str">
        <f t="shared" si="10"/>
        <v>Porte-conteneurs, Dry, Europe du Nord - Amérique du Nord, façade pacifique, France continentale, Base Carbone; kgCO2e/tonne.km, Amont</v>
      </c>
      <c r="I177" s="2018" t="s">
        <v>3833</v>
      </c>
      <c r="J177" s="1135" t="s">
        <v>2324</v>
      </c>
      <c r="K177" s="1119" t="s">
        <v>1567</v>
      </c>
      <c r="L177" s="1135" t="s">
        <v>1571</v>
      </c>
      <c r="M177" s="1033">
        <v>0.6</v>
      </c>
      <c r="N177" s="1135" t="s">
        <v>1570</v>
      </c>
      <c r="O177" s="2046">
        <v>8.3000000000000001E-4</v>
      </c>
      <c r="P177" s="1980">
        <v>8.3000000000000001E-4</v>
      </c>
      <c r="Q177" s="1980">
        <v>0</v>
      </c>
      <c r="R177" s="1980">
        <v>0</v>
      </c>
      <c r="S177" s="1980">
        <v>0</v>
      </c>
      <c r="T177" s="1980">
        <v>0</v>
      </c>
      <c r="U177" s="2036">
        <v>0</v>
      </c>
    </row>
    <row r="178" spans="2:21" hidden="1" outlineLevel="1">
      <c r="B178" s="1050">
        <v>46</v>
      </c>
      <c r="C178" s="1050" t="str">
        <f t="shared" si="11"/>
        <v>Porte-conteneurs, Reefer, Méditerranée - Amérique du Nord, façade pacifique, France continentale, Base Carbone</v>
      </c>
      <c r="D178" s="1051">
        <f t="shared" si="8"/>
        <v>24</v>
      </c>
      <c r="E178" s="1051" t="str">
        <f>IF(COUNTIF(E$132:E177,F178)&gt;0,"",F178)</f>
        <v>Porte-conteneurs, Dry, Europe du Nord - Méditerranée, France continentale, Base Carbone</v>
      </c>
      <c r="F178" s="1051" t="str">
        <f t="shared" si="9"/>
        <v>Porte-conteneurs, Dry, Europe du Nord - Méditerranée, France continentale, Base Carbone</v>
      </c>
      <c r="G178" s="1055" t="str">
        <f t="shared" si="10"/>
        <v>Porte-conteneurs, Dry, Europe du Nord - Méditerranée, France continentale, Base Carbone; kgCO2e/tonne.km, Combustion</v>
      </c>
      <c r="I178" s="2018" t="s">
        <v>3834</v>
      </c>
      <c r="J178" s="1135" t="s">
        <v>2324</v>
      </c>
      <c r="K178" s="1119" t="s">
        <v>1567</v>
      </c>
      <c r="L178" s="1135" t="s">
        <v>1571</v>
      </c>
      <c r="M178" s="1033">
        <v>0.6</v>
      </c>
      <c r="N178" s="1135" t="s">
        <v>1569</v>
      </c>
      <c r="O178" s="2046">
        <v>0.01</v>
      </c>
      <c r="P178" s="1980">
        <v>0.01</v>
      </c>
      <c r="Q178" s="1980">
        <v>0</v>
      </c>
      <c r="R178" s="1980">
        <v>0</v>
      </c>
      <c r="S178" s="1980">
        <v>0</v>
      </c>
      <c r="T178" s="1980">
        <v>0</v>
      </c>
      <c r="U178" s="2036">
        <v>0</v>
      </c>
    </row>
    <row r="179" spans="2:21" hidden="1" outlineLevel="1">
      <c r="B179" s="1050">
        <v>47</v>
      </c>
      <c r="C179" s="1050" t="str">
        <f t="shared" si="11"/>
        <v>Porte-conteneurs, Reefer, Trans-Atlantique, France continentale, Base Carbone</v>
      </c>
      <c r="D179" s="1051">
        <f t="shared" si="8"/>
        <v>24</v>
      </c>
      <c r="E179" s="1051" t="str">
        <f>IF(COUNTIF(E$132:E178,F179)&gt;0,"",F179)</f>
        <v/>
      </c>
      <c r="F179" s="1051" t="str">
        <f t="shared" si="9"/>
        <v>Porte-conteneurs, Dry, Europe du Nord - Méditerranée, France continentale, Base Carbone</v>
      </c>
      <c r="G179" s="1055" t="str">
        <f t="shared" si="10"/>
        <v>Porte-conteneurs, Dry, Europe du Nord - Méditerranée, France continentale, Base Carbone; kgCO2e/tonne.km, Amont</v>
      </c>
      <c r="I179" s="2018" t="s">
        <v>3834</v>
      </c>
      <c r="J179" s="1135" t="s">
        <v>2324</v>
      </c>
      <c r="K179" s="1119" t="s">
        <v>1567</v>
      </c>
      <c r="L179" s="1135" t="s">
        <v>1571</v>
      </c>
      <c r="M179" s="1033">
        <v>0.6</v>
      </c>
      <c r="N179" s="1135" t="s">
        <v>1570</v>
      </c>
      <c r="O179" s="2046">
        <v>8.9999999999999998E-4</v>
      </c>
      <c r="P179" s="1980">
        <v>8.9999999999999998E-4</v>
      </c>
      <c r="Q179" s="1980">
        <v>0</v>
      </c>
      <c r="R179" s="1980">
        <v>0</v>
      </c>
      <c r="S179" s="1980">
        <v>0</v>
      </c>
      <c r="T179" s="1980">
        <v>0</v>
      </c>
      <c r="U179" s="2036">
        <v>0</v>
      </c>
    </row>
    <row r="180" spans="2:21" hidden="1" outlineLevel="1">
      <c r="B180" s="1050">
        <v>48</v>
      </c>
      <c r="C180" s="1050" t="str">
        <f t="shared" si="11"/>
        <v>Porte-conteneurs, Reefer, Trans-Suez, France continentale, Base Carbone</v>
      </c>
      <c r="D180" s="1051">
        <f t="shared" si="8"/>
        <v>25</v>
      </c>
      <c r="E180" s="1051" t="str">
        <f>IF(COUNTIF(E$132:E179,F180)&gt;0,"",F180)</f>
        <v>Porte-conteneurs, Dry, Intra Europe du Nord, France continentale, Base Carbone</v>
      </c>
      <c r="F180" s="1051" t="str">
        <f t="shared" si="9"/>
        <v>Porte-conteneurs, Dry, Intra Europe du Nord, France continentale, Base Carbone</v>
      </c>
      <c r="G180" s="1055" t="str">
        <f t="shared" si="10"/>
        <v>Porte-conteneurs, Dry, Intra Europe du Nord, France continentale, Base Carbone; kgCO2e/tonne.km, Combustion</v>
      </c>
      <c r="I180" s="2018" t="s">
        <v>3835</v>
      </c>
      <c r="J180" s="1135" t="s">
        <v>2324</v>
      </c>
      <c r="K180" s="1119" t="s">
        <v>1567</v>
      </c>
      <c r="L180" s="1135" t="s">
        <v>1571</v>
      </c>
      <c r="M180" s="1033">
        <v>0.6</v>
      </c>
      <c r="N180" s="1135" t="s">
        <v>1569</v>
      </c>
      <c r="O180" s="2046">
        <v>1.4E-2</v>
      </c>
      <c r="P180" s="1980">
        <v>1.4E-2</v>
      </c>
      <c r="Q180" s="1980">
        <v>0</v>
      </c>
      <c r="R180" s="1980">
        <v>0</v>
      </c>
      <c r="S180" s="1980">
        <v>0</v>
      </c>
      <c r="T180" s="1980">
        <v>0</v>
      </c>
      <c r="U180" s="2036">
        <v>0</v>
      </c>
    </row>
    <row r="181" spans="2:21" hidden="1" outlineLevel="1">
      <c r="B181" s="1050">
        <v>49</v>
      </c>
      <c r="C181" s="1050" t="str">
        <f t="shared" si="11"/>
        <v>Porte-conteneurs, Reefer, valeur moyenne, France continentale, Base Carbone</v>
      </c>
      <c r="D181" s="1051">
        <f t="shared" si="8"/>
        <v>25</v>
      </c>
      <c r="E181" s="1051" t="str">
        <f>IF(COUNTIF(E$132:E180,F181)&gt;0,"",F181)</f>
        <v/>
      </c>
      <c r="F181" s="1051" t="str">
        <f t="shared" si="9"/>
        <v>Porte-conteneurs, Dry, Intra Europe du Nord, France continentale, Base Carbone</v>
      </c>
      <c r="G181" s="1055" t="str">
        <f t="shared" si="10"/>
        <v>Porte-conteneurs, Dry, Intra Europe du Nord, France continentale, Base Carbone; kgCO2e/tonne.km, Amont</v>
      </c>
      <c r="I181" s="2018" t="s">
        <v>3835</v>
      </c>
      <c r="J181" s="1135" t="s">
        <v>2324</v>
      </c>
      <c r="K181" s="1119" t="s">
        <v>1567</v>
      </c>
      <c r="L181" s="1135" t="s">
        <v>1571</v>
      </c>
      <c r="M181" s="1033">
        <v>0.6</v>
      </c>
      <c r="N181" s="1135" t="s">
        <v>1570</v>
      </c>
      <c r="O181" s="2046">
        <v>1.1999999999999999E-3</v>
      </c>
      <c r="P181" s="1980">
        <v>1.1999999999999999E-3</v>
      </c>
      <c r="Q181" s="1980">
        <v>0</v>
      </c>
      <c r="R181" s="1980">
        <v>0</v>
      </c>
      <c r="S181" s="1980">
        <v>0</v>
      </c>
      <c r="T181" s="1980">
        <v>0</v>
      </c>
      <c r="U181" s="2036">
        <v>0</v>
      </c>
    </row>
    <row r="182" spans="2:21" hidden="1" outlineLevel="1">
      <c r="B182" s="1050">
        <v>50</v>
      </c>
      <c r="C182" s="1050" t="str">
        <f t="shared" si="11"/>
        <v>Ro-Pax, HFO-MGO, France continentale, Base Carbone</v>
      </c>
      <c r="D182" s="1051">
        <f t="shared" si="8"/>
        <v>26</v>
      </c>
      <c r="E182" s="1051" t="str">
        <f>IF(COUNTIF(E$132:E181,F182)&gt;0,"",F182)</f>
        <v>Porte-conteneurs, Dry, Intra Méditerranée, France continentale, Base Carbone</v>
      </c>
      <c r="F182" s="1051" t="str">
        <f t="shared" si="9"/>
        <v>Porte-conteneurs, Dry, Intra Méditerranée, France continentale, Base Carbone</v>
      </c>
      <c r="G182" s="1055" t="str">
        <f t="shared" si="10"/>
        <v>Porte-conteneurs, Dry, Intra Méditerranée, France continentale, Base Carbone; kgCO2e/tonne.km, Combustion</v>
      </c>
      <c r="I182" s="2018" t="s">
        <v>3836</v>
      </c>
      <c r="J182" s="1135" t="s">
        <v>2324</v>
      </c>
      <c r="K182" s="1119" t="s">
        <v>1567</v>
      </c>
      <c r="L182" s="1135" t="s">
        <v>1571</v>
      </c>
      <c r="M182" s="1033">
        <v>0.6</v>
      </c>
      <c r="N182" s="1135" t="s">
        <v>1569</v>
      </c>
      <c r="O182" s="2046">
        <v>1.4999999999999999E-2</v>
      </c>
      <c r="P182" s="1980">
        <v>1.4999999999999999E-2</v>
      </c>
      <c r="Q182" s="1980">
        <v>0</v>
      </c>
      <c r="R182" s="1980">
        <v>0</v>
      </c>
      <c r="S182" s="1980">
        <v>0</v>
      </c>
      <c r="T182" s="1980">
        <v>0</v>
      </c>
      <c r="U182" s="2036">
        <v>0</v>
      </c>
    </row>
    <row r="183" spans="2:21" hidden="1" outlineLevel="1">
      <c r="B183" s="1050">
        <v>51</v>
      </c>
      <c r="C183" s="1050" t="str">
        <f t="shared" si="11"/>
        <v>Ro-Ro, Camions et remorques, HFO-MGO, France continentale, Base Carbone</v>
      </c>
      <c r="D183" s="1051">
        <f t="shared" si="8"/>
        <v>26</v>
      </c>
      <c r="E183" s="1051" t="str">
        <f>IF(COUNTIF(E$132:E182,F183)&gt;0,"",F183)</f>
        <v/>
      </c>
      <c r="F183" s="1051" t="str">
        <f t="shared" si="9"/>
        <v>Porte-conteneurs, Dry, Intra Méditerranée, France continentale, Base Carbone</v>
      </c>
      <c r="G183" s="1055" t="str">
        <f t="shared" si="10"/>
        <v>Porte-conteneurs, Dry, Intra Méditerranée, France continentale, Base Carbone; kgCO2e/tonne.km, Amont</v>
      </c>
      <c r="I183" s="2018" t="s">
        <v>3836</v>
      </c>
      <c r="J183" s="1135" t="s">
        <v>2324</v>
      </c>
      <c r="K183" s="1119" t="s">
        <v>1567</v>
      </c>
      <c r="L183" s="1119" t="s">
        <v>1571</v>
      </c>
      <c r="M183" s="2215">
        <v>0.6</v>
      </c>
      <c r="N183" s="1135" t="s">
        <v>1570</v>
      </c>
      <c r="O183" s="2046">
        <v>1.2999999999999999E-3</v>
      </c>
      <c r="P183" s="1980">
        <v>1.2999999999999999E-3</v>
      </c>
      <c r="Q183" s="1980">
        <v>0</v>
      </c>
      <c r="R183" s="1980">
        <v>0</v>
      </c>
      <c r="S183" s="1980">
        <v>0</v>
      </c>
      <c r="T183" s="1980">
        <v>0</v>
      </c>
      <c r="U183" s="2036">
        <v>0</v>
      </c>
    </row>
    <row r="184" spans="2:21" hidden="1" outlineLevel="1">
      <c r="B184" s="1050">
        <v>52</v>
      </c>
      <c r="C184" s="1050" t="str">
        <f t="shared" si="11"/>
        <v>Ro-Ro, Chargement moyen, HFO-MGO, France continentale, Base Carbone</v>
      </c>
      <c r="D184" s="1051">
        <f t="shared" si="8"/>
        <v>27</v>
      </c>
      <c r="E184" s="1051" t="str">
        <f>IF(COUNTIF(E$132:E183,F184)&gt;0,"",F184)</f>
        <v>Porte-conteneurs, Dry, Méditerranée - Amérique du Nord, façade atlantique, France continentale, Base Carbone</v>
      </c>
      <c r="F184" s="1051" t="str">
        <f t="shared" si="9"/>
        <v>Porte-conteneurs, Dry, Méditerranée - Amérique du Nord, façade atlantique, France continentale, Base Carbone</v>
      </c>
      <c r="G184" s="1055" t="str">
        <f t="shared" si="10"/>
        <v>Porte-conteneurs, Dry, Méditerranée - Amérique du Nord, façade atlantique, France continentale, Base Carbone; kgCO2e/tonne.km, Combustion</v>
      </c>
      <c r="I184" s="2018" t="s">
        <v>3837</v>
      </c>
      <c r="J184" s="1135" t="s">
        <v>2324</v>
      </c>
      <c r="K184" s="1119" t="s">
        <v>1567</v>
      </c>
      <c r="L184" s="1135" t="s">
        <v>1571</v>
      </c>
      <c r="M184" s="1033">
        <v>0.6</v>
      </c>
      <c r="N184" s="1135" t="s">
        <v>1569</v>
      </c>
      <c r="O184" s="2046">
        <v>0.01</v>
      </c>
      <c r="P184" s="1980">
        <v>0.01</v>
      </c>
      <c r="Q184" s="1980">
        <v>0</v>
      </c>
      <c r="R184" s="1980">
        <v>0</v>
      </c>
      <c r="S184" s="1980">
        <v>0</v>
      </c>
      <c r="T184" s="1980">
        <v>0</v>
      </c>
      <c r="U184" s="2036">
        <v>0</v>
      </c>
    </row>
    <row r="185" spans="2:21" hidden="1" outlineLevel="1">
      <c r="B185" s="1050">
        <v>53</v>
      </c>
      <c r="C185" s="1050" t="str">
        <f t="shared" si="11"/>
        <v>Ro-Ro, Remorques uniquement, HFO-MGO, France continentale, Base Carbone</v>
      </c>
      <c r="D185" s="1051">
        <f t="shared" si="8"/>
        <v>27</v>
      </c>
      <c r="E185" s="1051" t="str">
        <f>IF(COUNTIF(E$132:E184,F185)&gt;0,"",F185)</f>
        <v/>
      </c>
      <c r="F185" s="1051" t="str">
        <f t="shared" si="9"/>
        <v>Porte-conteneurs, Dry, Méditerranée - Amérique du Nord, façade atlantique, France continentale, Base Carbone</v>
      </c>
      <c r="G185" s="1055" t="str">
        <f t="shared" si="10"/>
        <v>Porte-conteneurs, Dry, Méditerranée - Amérique du Nord, façade atlantique, France continentale, Base Carbone; kgCO2e/tonne.km, Amont</v>
      </c>
      <c r="I185" s="2018" t="s">
        <v>3837</v>
      </c>
      <c r="J185" s="1135" t="s">
        <v>2324</v>
      </c>
      <c r="K185" s="1119" t="s">
        <v>1567</v>
      </c>
      <c r="L185" s="1135" t="s">
        <v>1571</v>
      </c>
      <c r="M185" s="1033">
        <v>0.6</v>
      </c>
      <c r="N185" s="1135" t="s">
        <v>1570</v>
      </c>
      <c r="O185" s="2046">
        <v>8.8000000000000003E-4</v>
      </c>
      <c r="P185" s="1980">
        <v>8.8000000000000003E-4</v>
      </c>
      <c r="Q185" s="1980">
        <v>0</v>
      </c>
      <c r="R185" s="1980">
        <v>0</v>
      </c>
      <c r="S185" s="1980">
        <v>0</v>
      </c>
      <c r="T185" s="1980">
        <v>0</v>
      </c>
      <c r="U185" s="2036">
        <v>0</v>
      </c>
    </row>
    <row r="186" spans="2:21" hidden="1" outlineLevel="1">
      <c r="B186" s="1050">
        <v>54</v>
      </c>
      <c r="C186" s="1050" t="str">
        <f t="shared" si="11"/>
        <v>Vraquier, 10 000 à 100 000 T, HFO-MGO, France continentale, Base Carbone</v>
      </c>
      <c r="D186" s="1051">
        <f t="shared" si="8"/>
        <v>28</v>
      </c>
      <c r="E186" s="1051" t="str">
        <f>IF(COUNTIF(E$132:E185,F186)&gt;0,"",F186)</f>
        <v>Porte-conteneurs, Dry, Méditerranée - Amérique du Nord, façade pacifique, France continentale, Base Carbone</v>
      </c>
      <c r="F186" s="1051" t="str">
        <f t="shared" si="9"/>
        <v>Porte-conteneurs, Dry, Méditerranée - Amérique du Nord, façade pacifique, France continentale, Base Carbone</v>
      </c>
      <c r="G186" s="1055" t="str">
        <f t="shared" si="10"/>
        <v>Porte-conteneurs, Dry, Méditerranée - Amérique du Nord, façade pacifique, France continentale, Base Carbone; kgCO2e/tonne.km, Combustion</v>
      </c>
      <c r="I186" s="2018" t="s">
        <v>3838</v>
      </c>
      <c r="J186" s="1135" t="s">
        <v>2324</v>
      </c>
      <c r="K186" s="1119" t="s">
        <v>1567</v>
      </c>
      <c r="L186" s="1135" t="s">
        <v>1571</v>
      </c>
      <c r="M186" s="1033">
        <v>0.6</v>
      </c>
      <c r="N186" s="1135" t="s">
        <v>1569</v>
      </c>
      <c r="O186" s="2046">
        <v>8.6E-3</v>
      </c>
      <c r="P186" s="1980">
        <v>8.6E-3</v>
      </c>
      <c r="Q186" s="1980">
        <v>0</v>
      </c>
      <c r="R186" s="1980">
        <v>0</v>
      </c>
      <c r="S186" s="1980">
        <v>0</v>
      </c>
      <c r="T186" s="1980">
        <v>0</v>
      </c>
      <c r="U186" s="2036">
        <v>0</v>
      </c>
    </row>
    <row r="187" spans="2:21" hidden="1" outlineLevel="1">
      <c r="B187" s="1050">
        <v>55</v>
      </c>
      <c r="C187" s="1050" t="str">
        <f t="shared" si="11"/>
        <v>Vraquier, &lt;10 000 T, GNL, France continentale, Base Carbone</v>
      </c>
      <c r="D187" s="1051">
        <f t="shared" si="8"/>
        <v>28</v>
      </c>
      <c r="E187" s="1051" t="str">
        <f>IF(COUNTIF(E$132:E186,F187)&gt;0,"",F187)</f>
        <v/>
      </c>
      <c r="F187" s="1051" t="str">
        <f t="shared" si="9"/>
        <v>Porte-conteneurs, Dry, Méditerranée - Amérique du Nord, façade pacifique, France continentale, Base Carbone</v>
      </c>
      <c r="G187" s="1055" t="str">
        <f t="shared" si="10"/>
        <v>Porte-conteneurs, Dry, Méditerranée - Amérique du Nord, façade pacifique, France continentale, Base Carbone; kgCO2e/tonne.km, Amont</v>
      </c>
      <c r="I187" s="2018" t="s">
        <v>3838</v>
      </c>
      <c r="J187" s="1135" t="s">
        <v>2324</v>
      </c>
      <c r="K187" s="1119" t="s">
        <v>1567</v>
      </c>
      <c r="L187" s="1135" t="s">
        <v>1571</v>
      </c>
      <c r="M187" s="1033">
        <v>0.6</v>
      </c>
      <c r="N187" s="1135" t="s">
        <v>1570</v>
      </c>
      <c r="O187" s="2046">
        <v>7.3999999999999999E-4</v>
      </c>
      <c r="P187" s="1980">
        <v>7.3999999999999999E-4</v>
      </c>
      <c r="Q187" s="1980">
        <v>0</v>
      </c>
      <c r="R187" s="1980">
        <v>0</v>
      </c>
      <c r="S187" s="1980">
        <v>0</v>
      </c>
      <c r="T187" s="1980">
        <v>0</v>
      </c>
      <c r="U187" s="2036">
        <v>0</v>
      </c>
    </row>
    <row r="188" spans="2:21" hidden="1" outlineLevel="1">
      <c r="B188" s="1050">
        <v>56</v>
      </c>
      <c r="C188" s="1050" t="str">
        <f t="shared" si="11"/>
        <v>Vraquier, &lt;10 000 T, HFO-MGO, France continentale, Base Carbone</v>
      </c>
      <c r="D188" s="1051">
        <f t="shared" si="8"/>
        <v>29</v>
      </c>
      <c r="E188" s="1051" t="str">
        <f>IF(COUNTIF(E$132:E187,F188)&gt;0,"",F188)</f>
        <v>Porte-conteneurs, Dry, Trans-Atlantique, France continentale, Base Carbone</v>
      </c>
      <c r="F188" s="1051" t="str">
        <f t="shared" si="9"/>
        <v>Porte-conteneurs, Dry, Trans-Atlantique, France continentale, Base Carbone</v>
      </c>
      <c r="G188" s="1055" t="str">
        <f t="shared" si="10"/>
        <v>Porte-conteneurs, Dry, Trans-Atlantique, France continentale, Base Carbone; kgCO2e/tonne.km, Combustion</v>
      </c>
      <c r="I188" s="2018" t="s">
        <v>3839</v>
      </c>
      <c r="J188" s="1135" t="s">
        <v>2324</v>
      </c>
      <c r="K188" s="1119" t="s">
        <v>1567</v>
      </c>
      <c r="L188" s="1135" t="s">
        <v>1571</v>
      </c>
      <c r="M188" s="1033">
        <v>0.6</v>
      </c>
      <c r="N188" s="1135" t="s">
        <v>1569</v>
      </c>
      <c r="O188" s="2046">
        <v>9.7999999999999997E-3</v>
      </c>
      <c r="P188" s="1980">
        <v>9.7999999999999997E-3</v>
      </c>
      <c r="Q188" s="1980">
        <v>0</v>
      </c>
      <c r="R188" s="1980">
        <v>0</v>
      </c>
      <c r="S188" s="1980">
        <v>0</v>
      </c>
      <c r="T188" s="1980">
        <v>0</v>
      </c>
      <c r="U188" s="2036">
        <v>0</v>
      </c>
    </row>
    <row r="189" spans="2:21" hidden="1" outlineLevel="1">
      <c r="B189" s="1050">
        <v>57</v>
      </c>
      <c r="C189" s="1050" t="str">
        <f t="shared" si="11"/>
        <v>Vraquier, &gt;100 000 T, HFO-MGO, France continentale, Base Carbone</v>
      </c>
      <c r="D189" s="1051">
        <f t="shared" si="8"/>
        <v>29</v>
      </c>
      <c r="E189" s="1051" t="str">
        <f>IF(COUNTIF(E$132:E188,F189)&gt;0,"",F189)</f>
        <v/>
      </c>
      <c r="F189" s="1051" t="str">
        <f t="shared" si="9"/>
        <v>Porte-conteneurs, Dry, Trans-Atlantique, France continentale, Base Carbone</v>
      </c>
      <c r="G189" s="1055" t="str">
        <f t="shared" si="10"/>
        <v>Porte-conteneurs, Dry, Trans-Atlantique, France continentale, Base Carbone; kgCO2e/tonne.km, Amont</v>
      </c>
      <c r="I189" s="2018" t="s">
        <v>3839</v>
      </c>
      <c r="J189" s="1135" t="s">
        <v>2324</v>
      </c>
      <c r="K189" s="1119" t="s">
        <v>1567</v>
      </c>
      <c r="L189" s="1135" t="s">
        <v>1571</v>
      </c>
      <c r="M189" s="1033">
        <v>0.6</v>
      </c>
      <c r="N189" s="1135" t="s">
        <v>1570</v>
      </c>
      <c r="O189" s="2046">
        <v>8.4999999999999995E-4</v>
      </c>
      <c r="P189" s="1980">
        <v>8.4999999999999995E-4</v>
      </c>
      <c r="Q189" s="1980">
        <v>0</v>
      </c>
      <c r="R189" s="1980">
        <v>0</v>
      </c>
      <c r="S189" s="1980">
        <v>0</v>
      </c>
      <c r="T189" s="1980">
        <v>0</v>
      </c>
      <c r="U189" s="2036">
        <v>0</v>
      </c>
    </row>
    <row r="190" spans="2:21" hidden="1" outlineLevel="1">
      <c r="B190" s="1050">
        <v>58</v>
      </c>
      <c r="C190" s="1050" t="str">
        <f t="shared" si="11"/>
        <v>-</v>
      </c>
      <c r="D190" s="1051">
        <f t="shared" si="8"/>
        <v>30</v>
      </c>
      <c r="E190" s="1051" t="str">
        <f>IF(COUNTIF(E$132:E189,F190)&gt;0,"",F190)</f>
        <v>Porte-conteneurs, Dry, Trans-Suez, France continentale, Base Carbone</v>
      </c>
      <c r="F190" s="1051" t="str">
        <f t="shared" si="9"/>
        <v>Porte-conteneurs, Dry, Trans-Suez, France continentale, Base Carbone</v>
      </c>
      <c r="G190" s="1055" t="str">
        <f t="shared" si="10"/>
        <v>Porte-conteneurs, Dry, Trans-Suez, France continentale, Base Carbone; kgCO2e/tonne.km, Combustion</v>
      </c>
      <c r="I190" s="2018" t="s">
        <v>3840</v>
      </c>
      <c r="J190" s="1135" t="s">
        <v>2324</v>
      </c>
      <c r="K190" s="1119" t="s">
        <v>1567</v>
      </c>
      <c r="L190" s="1135" t="s">
        <v>1571</v>
      </c>
      <c r="M190" s="1033">
        <v>0.6</v>
      </c>
      <c r="N190" s="1135" t="s">
        <v>1569</v>
      </c>
      <c r="O190" s="2046">
        <v>6.7999999999999996E-3</v>
      </c>
      <c r="P190" s="1980">
        <v>6.7999999999999996E-3</v>
      </c>
      <c r="Q190" s="1980">
        <v>0</v>
      </c>
      <c r="R190" s="1980">
        <v>0</v>
      </c>
      <c r="S190" s="1980">
        <v>0</v>
      </c>
      <c r="T190" s="1980">
        <v>0</v>
      </c>
      <c r="U190" s="2036">
        <v>0</v>
      </c>
    </row>
    <row r="191" spans="2:21" hidden="1" outlineLevel="1">
      <c r="B191" s="1050">
        <v>59</v>
      </c>
      <c r="C191" s="1050" t="str">
        <f t="shared" si="11"/>
        <v>-</v>
      </c>
      <c r="D191" s="1051">
        <f t="shared" si="8"/>
        <v>30</v>
      </c>
      <c r="E191" s="1051" t="str">
        <f>IF(COUNTIF(E$132:E190,F191)&gt;0,"",F191)</f>
        <v/>
      </c>
      <c r="F191" s="1051" t="str">
        <f t="shared" si="9"/>
        <v>Porte-conteneurs, Dry, Trans-Suez, France continentale, Base Carbone</v>
      </c>
      <c r="G191" s="1055" t="str">
        <f t="shared" si="10"/>
        <v>Porte-conteneurs, Dry, Trans-Suez, France continentale, Base Carbone; kgCO2e/tonne.km, Amont</v>
      </c>
      <c r="I191" s="2018" t="s">
        <v>3840</v>
      </c>
      <c r="J191" s="1135" t="s">
        <v>2324</v>
      </c>
      <c r="K191" s="1119" t="s">
        <v>1567</v>
      </c>
      <c r="L191" s="1135" t="s">
        <v>1571</v>
      </c>
      <c r="M191" s="1033">
        <v>0.6</v>
      </c>
      <c r="N191" s="1135" t="s">
        <v>1570</v>
      </c>
      <c r="O191" s="2046">
        <v>5.8E-4</v>
      </c>
      <c r="P191" s="1980">
        <v>5.8E-4</v>
      </c>
      <c r="Q191" s="1980">
        <v>0</v>
      </c>
      <c r="R191" s="1980">
        <v>0</v>
      </c>
      <c r="S191" s="1980">
        <v>0</v>
      </c>
      <c r="T191" s="1980">
        <v>0</v>
      </c>
      <c r="U191" s="2036">
        <v>0</v>
      </c>
    </row>
    <row r="192" spans="2:21" hidden="1" outlineLevel="1">
      <c r="B192" s="1050">
        <v>60</v>
      </c>
      <c r="C192" s="1050" t="str">
        <f t="shared" si="11"/>
        <v>-</v>
      </c>
      <c r="D192" s="1051">
        <f t="shared" si="8"/>
        <v>31</v>
      </c>
      <c r="E192" s="1051" t="str">
        <f>IF(COUNTIF(E$132:E191,F192)&gt;0,"",F192)</f>
        <v>Porte-conteneurs, Dry, valeur moyenne, France continentale, Base Carbone</v>
      </c>
      <c r="F192" s="1051" t="str">
        <f t="shared" si="9"/>
        <v>Porte-conteneurs, Dry, valeur moyenne, France continentale, Base Carbone</v>
      </c>
      <c r="G192" s="1055" t="str">
        <f t="shared" si="10"/>
        <v>Porte-conteneurs, Dry, valeur moyenne, France continentale, Base Carbone; kgCO2e/tonne.km, Combustion</v>
      </c>
      <c r="I192" s="2018" t="s">
        <v>3841</v>
      </c>
      <c r="J192" s="1135" t="s">
        <v>2324</v>
      </c>
      <c r="K192" s="1119" t="s">
        <v>1567</v>
      </c>
      <c r="L192" s="1135" t="s">
        <v>1571</v>
      </c>
      <c r="M192" s="1033">
        <v>0.6</v>
      </c>
      <c r="N192" s="1135" t="s">
        <v>1569</v>
      </c>
      <c r="O192" s="2046">
        <v>7.7999999999999996E-3</v>
      </c>
      <c r="P192" s="1980">
        <v>7.7999999999999996E-3</v>
      </c>
      <c r="Q192" s="1980">
        <v>0</v>
      </c>
      <c r="R192" s="1980">
        <v>0</v>
      </c>
      <c r="S192" s="1980">
        <v>0</v>
      </c>
      <c r="T192" s="1980">
        <v>0</v>
      </c>
      <c r="U192" s="2036">
        <v>0</v>
      </c>
    </row>
    <row r="193" spans="2:21" hidden="1" outlineLevel="1">
      <c r="B193" s="1050">
        <v>61</v>
      </c>
      <c r="C193" s="1050" t="str">
        <f t="shared" si="11"/>
        <v>-</v>
      </c>
      <c r="D193" s="1051">
        <f t="shared" si="8"/>
        <v>31</v>
      </c>
      <c r="E193" s="1051" t="str">
        <f>IF(COUNTIF(E$132:E192,F193)&gt;0,"",F193)</f>
        <v/>
      </c>
      <c r="F193" s="1051" t="str">
        <f t="shared" si="9"/>
        <v>Porte-conteneurs, Dry, valeur moyenne, France continentale, Base Carbone</v>
      </c>
      <c r="G193" s="1055" t="str">
        <f t="shared" si="10"/>
        <v>Porte-conteneurs, Dry, valeur moyenne, France continentale, Base Carbone; kgCO2e/tonne.km, Amont</v>
      </c>
      <c r="I193" s="2018" t="s">
        <v>3841</v>
      </c>
      <c r="J193" s="1135" t="s">
        <v>2324</v>
      </c>
      <c r="K193" s="1119" t="s">
        <v>1567</v>
      </c>
      <c r="L193" s="1135" t="s">
        <v>1571</v>
      </c>
      <c r="M193" s="1033">
        <v>0.6</v>
      </c>
      <c r="N193" s="1135" t="s">
        <v>1570</v>
      </c>
      <c r="O193" s="2046">
        <v>6.7000000000000002E-4</v>
      </c>
      <c r="P193" s="1980">
        <v>6.7000000000000002E-4</v>
      </c>
      <c r="Q193" s="1980">
        <v>0</v>
      </c>
      <c r="R193" s="1980">
        <v>0</v>
      </c>
      <c r="S193" s="1980">
        <v>0</v>
      </c>
      <c r="T193" s="1980">
        <v>0</v>
      </c>
      <c r="U193" s="2036">
        <v>0</v>
      </c>
    </row>
    <row r="194" spans="2:21" hidden="1" outlineLevel="1">
      <c r="B194" s="1050">
        <v>62</v>
      </c>
      <c r="C194" s="1050" t="str">
        <f t="shared" si="11"/>
        <v>-</v>
      </c>
      <c r="D194" s="1051">
        <f t="shared" si="8"/>
        <v>32</v>
      </c>
      <c r="E194" s="1051" t="str">
        <f>IF(COUNTIF(E$132:E193,F194)&gt;0,"",F194)</f>
        <v>Porte-conteneurs, Reefer, Asie - Europe du Nord, France continentale, Base Carbone</v>
      </c>
      <c r="F194" s="1051" t="str">
        <f t="shared" si="9"/>
        <v>Porte-conteneurs, Reefer, Asie - Europe du Nord, France continentale, Base Carbone</v>
      </c>
      <c r="G194" s="1055" t="str">
        <f t="shared" si="10"/>
        <v>Porte-conteneurs, Reefer, Asie - Europe du Nord, France continentale, Base Carbone; kgCO2e/tonne.km, Combustion</v>
      </c>
      <c r="I194" s="2018" t="s">
        <v>3842</v>
      </c>
      <c r="J194" s="1135" t="s">
        <v>2324</v>
      </c>
      <c r="K194" s="1119" t="s">
        <v>1567</v>
      </c>
      <c r="L194" s="1135" t="s">
        <v>1571</v>
      </c>
      <c r="M194" s="1033">
        <v>0.6</v>
      </c>
      <c r="N194" s="1135" t="s">
        <v>1569</v>
      </c>
      <c r="O194" s="2046">
        <v>0.01</v>
      </c>
      <c r="P194" s="1980">
        <v>0.01</v>
      </c>
      <c r="Q194" s="1980">
        <v>0</v>
      </c>
      <c r="R194" s="1980">
        <v>0</v>
      </c>
      <c r="S194" s="1980">
        <v>0</v>
      </c>
      <c r="T194" s="1980">
        <v>0</v>
      </c>
      <c r="U194" s="2036">
        <v>0</v>
      </c>
    </row>
    <row r="195" spans="2:21" hidden="1" outlineLevel="1">
      <c r="B195" s="1050">
        <v>63</v>
      </c>
      <c r="C195" s="1050" t="str">
        <f t="shared" si="11"/>
        <v>-</v>
      </c>
      <c r="D195" s="1051">
        <f t="shared" si="8"/>
        <v>32</v>
      </c>
      <c r="E195" s="1051" t="str">
        <f>IF(COUNTIF(E$132:E194,F195)&gt;0,"",F195)</f>
        <v/>
      </c>
      <c r="F195" s="1051" t="str">
        <f t="shared" si="9"/>
        <v>Porte-conteneurs, Reefer, Asie - Europe du Nord, France continentale, Base Carbone</v>
      </c>
      <c r="G195" s="1055" t="str">
        <f t="shared" si="10"/>
        <v>Porte-conteneurs, Reefer, Asie - Europe du Nord, France continentale, Base Carbone; kgCO2e/tonne.km, Amont</v>
      </c>
      <c r="I195" s="2018" t="s">
        <v>3842</v>
      </c>
      <c r="J195" s="1135" t="s">
        <v>2324</v>
      </c>
      <c r="K195" s="1119" t="s">
        <v>1567</v>
      </c>
      <c r="L195" s="1135" t="s">
        <v>1571</v>
      </c>
      <c r="M195" s="1033">
        <v>0.6</v>
      </c>
      <c r="N195" s="1135" t="s">
        <v>1570</v>
      </c>
      <c r="O195" s="2046">
        <v>8.7000000000000001E-4</v>
      </c>
      <c r="P195" s="1980">
        <v>8.7000000000000001E-4</v>
      </c>
      <c r="Q195" s="1980">
        <v>0</v>
      </c>
      <c r="R195" s="1980">
        <v>0</v>
      </c>
      <c r="S195" s="1980">
        <v>0</v>
      </c>
      <c r="T195" s="1980">
        <v>0</v>
      </c>
      <c r="U195" s="2036">
        <v>0</v>
      </c>
    </row>
    <row r="196" spans="2:21" hidden="1" outlineLevel="1">
      <c r="B196" s="1050">
        <v>64</v>
      </c>
      <c r="C196" s="1050" t="str">
        <f t="shared" si="11"/>
        <v>-</v>
      </c>
      <c r="D196" s="1051">
        <f t="shared" si="8"/>
        <v>33</v>
      </c>
      <c r="E196" s="1051" t="str">
        <f>IF(COUNTIF(E$132:E195,F196)&gt;0,"",F196)</f>
        <v>Porte-conteneurs, Reefer, Asie - Méditerranée, France continentale, Base Carbone</v>
      </c>
      <c r="F196" s="1051" t="str">
        <f t="shared" si="9"/>
        <v>Porte-conteneurs, Reefer, Asie - Méditerranée, France continentale, Base Carbone</v>
      </c>
      <c r="G196" s="1055" t="str">
        <f t="shared" si="10"/>
        <v>Porte-conteneurs, Reefer, Asie - Méditerranée, France continentale, Base Carbone; kgCO2e/tonne.km, Combustion</v>
      </c>
      <c r="I196" s="2018" t="s">
        <v>3843</v>
      </c>
      <c r="J196" s="1135" t="s">
        <v>2324</v>
      </c>
      <c r="K196" s="1119" t="s">
        <v>1567</v>
      </c>
      <c r="L196" s="1135" t="s">
        <v>1571</v>
      </c>
      <c r="M196" s="1033">
        <v>0.6</v>
      </c>
      <c r="N196" s="1135" t="s">
        <v>1569</v>
      </c>
      <c r="O196" s="2046">
        <v>1.2E-2</v>
      </c>
      <c r="P196" s="1980">
        <v>1.2E-2</v>
      </c>
      <c r="Q196" s="1980">
        <v>0</v>
      </c>
      <c r="R196" s="1980">
        <v>0</v>
      </c>
      <c r="S196" s="1980">
        <v>0</v>
      </c>
      <c r="T196" s="1980">
        <v>0</v>
      </c>
      <c r="U196" s="2036">
        <v>0</v>
      </c>
    </row>
    <row r="197" spans="2:21" hidden="1" outlineLevel="1">
      <c r="B197" s="1050">
        <v>65</v>
      </c>
      <c r="C197" s="1050" t="str">
        <f t="shared" ref="C197:C199" si="12">IF(ISNA(VLOOKUP(B197,$D$132:$E$252,2,FALSE)),"-",VLOOKUP(B197,$D$132:$E$252,2,FALSE))</f>
        <v>-</v>
      </c>
      <c r="D197" s="1051">
        <f t="shared" si="8"/>
        <v>33</v>
      </c>
      <c r="E197" s="1051" t="str">
        <f>IF(COUNTIF(E$132:E196,F197)&gt;0,"",F197)</f>
        <v/>
      </c>
      <c r="F197" s="1051" t="str">
        <f t="shared" si="9"/>
        <v>Porte-conteneurs, Reefer, Asie - Méditerranée, France continentale, Base Carbone</v>
      </c>
      <c r="G197" s="1055" t="str">
        <f t="shared" si="10"/>
        <v>Porte-conteneurs, Reefer, Asie - Méditerranée, France continentale, Base Carbone; kgCO2e/tonne.km, Amont</v>
      </c>
      <c r="I197" s="2018" t="s">
        <v>3843</v>
      </c>
      <c r="J197" s="1135" t="s">
        <v>2324</v>
      </c>
      <c r="K197" s="1119" t="s">
        <v>1567</v>
      </c>
      <c r="L197" s="1135" t="s">
        <v>1571</v>
      </c>
      <c r="M197" s="1033">
        <v>0.6</v>
      </c>
      <c r="N197" s="1135" t="s">
        <v>1570</v>
      </c>
      <c r="O197" s="2046">
        <v>1E-3</v>
      </c>
      <c r="P197" s="1980">
        <v>1E-3</v>
      </c>
      <c r="Q197" s="1980">
        <v>0</v>
      </c>
      <c r="R197" s="1980">
        <v>0</v>
      </c>
      <c r="S197" s="1980">
        <v>0</v>
      </c>
      <c r="T197" s="1980">
        <v>0</v>
      </c>
      <c r="U197" s="2036">
        <v>0</v>
      </c>
    </row>
    <row r="198" spans="2:21" hidden="1" outlineLevel="1">
      <c r="B198" s="1050">
        <v>66</v>
      </c>
      <c r="C198" s="1050" t="str">
        <f t="shared" si="12"/>
        <v>-</v>
      </c>
      <c r="D198" s="1051">
        <f t="shared" ref="D198:D240" si="13">D197+IF(LEN(E198)&gt;0,1,0)</f>
        <v>34</v>
      </c>
      <c r="E198" s="1051" t="str">
        <f>IF(COUNTIF(E$132:E197,F198)&gt;0,"",F198)</f>
        <v>Porte-conteneurs, Reefer, Autres liaisons détaillées, France continentale, Base Carbone</v>
      </c>
      <c r="F198" s="1051" t="str">
        <f t="shared" ref="F198:F240" si="14">IF(I198&lt;&gt;"",I198&amp;IF(L198&lt;&gt;"",", "&amp;L198,"")&amp;IF(K198&lt;&gt;"",", "&amp;K198,""),"")</f>
        <v>Porte-conteneurs, Reefer, Autres liaisons détaillées, France continentale, Base Carbone</v>
      </c>
      <c r="G198" s="1055" t="str">
        <f t="shared" ref="G198:G240" si="15">IF(F198&lt;&gt;"",F198&amp;IF(J198&lt;&gt;"","; "&amp;J198&amp;IF(N198&lt;&gt;"",", "&amp;N198,),""),"")</f>
        <v>Porte-conteneurs, Reefer, Autres liaisons détaillées, France continentale, Base Carbone; kgCO2e/tonne.km, Combustion</v>
      </c>
      <c r="I198" s="2018" t="s">
        <v>3844</v>
      </c>
      <c r="J198" s="1135" t="s">
        <v>2324</v>
      </c>
      <c r="K198" s="1119" t="s">
        <v>1567</v>
      </c>
      <c r="L198" s="1135" t="s">
        <v>1571</v>
      </c>
      <c r="M198" s="1033">
        <v>0.6</v>
      </c>
      <c r="N198" s="1135" t="s">
        <v>1569</v>
      </c>
      <c r="O198" s="2046">
        <v>1.9E-2</v>
      </c>
      <c r="P198" s="1980">
        <v>1.9E-2</v>
      </c>
      <c r="Q198" s="1980">
        <v>0</v>
      </c>
      <c r="R198" s="1980">
        <v>0</v>
      </c>
      <c r="S198" s="1980">
        <v>0</v>
      </c>
      <c r="T198" s="1980">
        <v>0</v>
      </c>
      <c r="U198" s="2036">
        <v>0</v>
      </c>
    </row>
    <row r="199" spans="2:21" hidden="1" outlineLevel="1">
      <c r="B199" s="1050">
        <v>67</v>
      </c>
      <c r="C199" s="1050" t="str">
        <f t="shared" si="12"/>
        <v>-</v>
      </c>
      <c r="D199" s="1051">
        <f t="shared" si="13"/>
        <v>34</v>
      </c>
      <c r="E199" s="1051" t="str">
        <f>IF(COUNTIF(E$132:E198,F199)&gt;0,"",F199)</f>
        <v/>
      </c>
      <c r="F199" s="1051" t="str">
        <f t="shared" si="14"/>
        <v>Porte-conteneurs, Reefer, Autres liaisons détaillées, France continentale, Base Carbone</v>
      </c>
      <c r="G199" s="1055" t="str">
        <f t="shared" si="15"/>
        <v>Porte-conteneurs, Reefer, Autres liaisons détaillées, France continentale, Base Carbone; kgCO2e/tonne.km, Amont</v>
      </c>
      <c r="I199" s="2018" t="s">
        <v>3844</v>
      </c>
      <c r="J199" s="1135" t="s">
        <v>2324</v>
      </c>
      <c r="K199" s="1119" t="s">
        <v>1567</v>
      </c>
      <c r="L199" s="1135" t="s">
        <v>1571</v>
      </c>
      <c r="M199" s="1033">
        <v>0.6</v>
      </c>
      <c r="N199" s="1135" t="s">
        <v>1570</v>
      </c>
      <c r="O199" s="2046">
        <v>1.6000000000000001E-3</v>
      </c>
      <c r="P199" s="1980">
        <v>1.6000000000000001E-3</v>
      </c>
      <c r="Q199" s="1980">
        <v>0</v>
      </c>
      <c r="R199" s="1980">
        <v>0</v>
      </c>
      <c r="S199" s="1980">
        <v>0</v>
      </c>
      <c r="T199" s="1980">
        <v>0</v>
      </c>
      <c r="U199" s="2036">
        <v>0</v>
      </c>
    </row>
    <row r="200" spans="2:21" hidden="1" outlineLevel="1">
      <c r="B200" s="1050"/>
      <c r="C200" s="1050"/>
      <c r="D200" s="1051">
        <f t="shared" si="13"/>
        <v>35</v>
      </c>
      <c r="E200" s="1051" t="str">
        <f>IF(COUNTIF(E$132:E199,F200)&gt;0,"",F200)</f>
        <v>Porte-conteneurs, Reefer, Autres liaisons majeures, France continentale, Base Carbone</v>
      </c>
      <c r="F200" s="1051" t="str">
        <f t="shared" si="14"/>
        <v>Porte-conteneurs, Reefer, Autres liaisons majeures, France continentale, Base Carbone</v>
      </c>
      <c r="G200" s="1055" t="str">
        <f t="shared" si="15"/>
        <v>Porte-conteneurs, Reefer, Autres liaisons majeures, France continentale, Base Carbone; kgCO2e/tonne.km, Combustion</v>
      </c>
      <c r="I200" s="2018" t="s">
        <v>3845</v>
      </c>
      <c r="J200" s="1135" t="s">
        <v>2324</v>
      </c>
      <c r="K200" s="1119" t="s">
        <v>1567</v>
      </c>
      <c r="L200" s="1135" t="s">
        <v>1571</v>
      </c>
      <c r="M200" s="1033">
        <v>0.6</v>
      </c>
      <c r="N200" s="1135" t="s">
        <v>1569</v>
      </c>
      <c r="O200" s="2046">
        <v>1.4E-2</v>
      </c>
      <c r="P200" s="1980">
        <v>1.4E-2</v>
      </c>
      <c r="Q200" s="1980">
        <v>0</v>
      </c>
      <c r="R200" s="1980">
        <v>0</v>
      </c>
      <c r="S200" s="1980">
        <v>0</v>
      </c>
      <c r="T200" s="1980">
        <v>0</v>
      </c>
      <c r="U200" s="2036">
        <v>0</v>
      </c>
    </row>
    <row r="201" spans="2:21" hidden="1" outlineLevel="1">
      <c r="B201" s="1050"/>
      <c r="C201" s="1050"/>
      <c r="D201" s="1051">
        <f t="shared" si="13"/>
        <v>35</v>
      </c>
      <c r="E201" s="1051" t="str">
        <f>IF(COUNTIF(E$132:E200,F201)&gt;0,"",F201)</f>
        <v/>
      </c>
      <c r="F201" s="1051" t="str">
        <f t="shared" si="14"/>
        <v>Porte-conteneurs, Reefer, Autres liaisons majeures, France continentale, Base Carbone</v>
      </c>
      <c r="G201" s="1055" t="str">
        <f t="shared" si="15"/>
        <v>Porte-conteneurs, Reefer, Autres liaisons majeures, France continentale, Base Carbone; kgCO2e/tonne.km, Amont</v>
      </c>
      <c r="I201" s="2018" t="s">
        <v>3845</v>
      </c>
      <c r="J201" s="1135" t="s">
        <v>2324</v>
      </c>
      <c r="K201" s="1119" t="s">
        <v>1567</v>
      </c>
      <c r="L201" s="1135" t="s">
        <v>1571</v>
      </c>
      <c r="M201" s="1033">
        <v>0.6</v>
      </c>
      <c r="N201" s="1135" t="s">
        <v>1570</v>
      </c>
      <c r="O201" s="2046">
        <v>1.2E-2</v>
      </c>
      <c r="P201" s="1980">
        <v>1.2E-2</v>
      </c>
      <c r="Q201" s="1980">
        <v>0</v>
      </c>
      <c r="R201" s="1980">
        <v>0</v>
      </c>
      <c r="S201" s="1980">
        <v>0</v>
      </c>
      <c r="T201" s="1980">
        <v>0</v>
      </c>
      <c r="U201" s="2036">
        <v>0</v>
      </c>
    </row>
    <row r="202" spans="2:21" hidden="1" outlineLevel="1">
      <c r="B202" s="1050"/>
      <c r="C202" s="1050"/>
      <c r="D202" s="1051">
        <f t="shared" si="13"/>
        <v>36</v>
      </c>
      <c r="E202" s="1051" t="str">
        <f>IF(COUNTIF(E$132:E201,F202)&gt;0,"",F202)</f>
        <v>Porte-conteneurs, Reefer, Europe - Afrique, France continentale, Base Carbone</v>
      </c>
      <c r="F202" s="1051" t="str">
        <f t="shared" si="14"/>
        <v>Porte-conteneurs, Reefer, Europe - Afrique, France continentale, Base Carbone</v>
      </c>
      <c r="G202" s="1055" t="str">
        <f t="shared" si="15"/>
        <v>Porte-conteneurs, Reefer, Europe - Afrique, France continentale, Base Carbone; kgCO2e/tonne.km, Combustion</v>
      </c>
      <c r="I202" s="2018" t="s">
        <v>3846</v>
      </c>
      <c r="J202" s="1135" t="s">
        <v>2324</v>
      </c>
      <c r="K202" s="1119" t="s">
        <v>1567</v>
      </c>
      <c r="L202" s="1135" t="s">
        <v>1571</v>
      </c>
      <c r="M202" s="1033">
        <v>0.6</v>
      </c>
      <c r="N202" s="1135" t="s">
        <v>1569</v>
      </c>
      <c r="O202" s="2046">
        <v>1.7000000000000001E-2</v>
      </c>
      <c r="P202" s="1980">
        <v>1.7000000000000001E-2</v>
      </c>
      <c r="Q202" s="1980">
        <v>0</v>
      </c>
      <c r="R202" s="1980">
        <v>0</v>
      </c>
      <c r="S202" s="1980">
        <v>0</v>
      </c>
      <c r="T202" s="1980">
        <v>0</v>
      </c>
      <c r="U202" s="2036">
        <v>0</v>
      </c>
    </row>
    <row r="203" spans="2:21" hidden="1" outlineLevel="1">
      <c r="B203" s="1050"/>
      <c r="C203" s="1050"/>
      <c r="D203" s="1051">
        <f t="shared" si="13"/>
        <v>36</v>
      </c>
      <c r="E203" s="1051" t="str">
        <f>IF(COUNTIF(E$132:E202,F203)&gt;0,"",F203)</f>
        <v/>
      </c>
      <c r="F203" s="1051" t="str">
        <f t="shared" si="14"/>
        <v>Porte-conteneurs, Reefer, Europe - Afrique, France continentale, Base Carbone</v>
      </c>
      <c r="G203" s="1055" t="str">
        <f t="shared" si="15"/>
        <v>Porte-conteneurs, Reefer, Europe - Afrique, France continentale, Base Carbone; kgCO2e/tonne.km, Amont</v>
      </c>
      <c r="I203" s="2018" t="s">
        <v>3846</v>
      </c>
      <c r="J203" s="1135" t="s">
        <v>2324</v>
      </c>
      <c r="K203" s="1119" t="s">
        <v>1567</v>
      </c>
      <c r="L203" s="1135" t="s">
        <v>1571</v>
      </c>
      <c r="M203" s="1033">
        <v>0.6</v>
      </c>
      <c r="N203" s="1135" t="s">
        <v>1570</v>
      </c>
      <c r="O203" s="2046">
        <v>1.5E-3</v>
      </c>
      <c r="P203" s="1980">
        <v>1.5E-3</v>
      </c>
      <c r="Q203" s="1980">
        <v>0</v>
      </c>
      <c r="R203" s="1980">
        <v>0</v>
      </c>
      <c r="S203" s="1980">
        <v>0</v>
      </c>
      <c r="T203" s="1980">
        <v>0</v>
      </c>
      <c r="U203" s="2036">
        <v>0</v>
      </c>
    </row>
    <row r="204" spans="2:21" hidden="1" outlineLevel="1">
      <c r="B204" s="1050"/>
      <c r="C204" s="1050"/>
      <c r="D204" s="1051">
        <f t="shared" si="13"/>
        <v>37</v>
      </c>
      <c r="E204" s="1051" t="str">
        <f>IF(COUNTIF(E$132:E203,F204)&gt;0,"",F204)</f>
        <v>Porte-conteneurs, Reefer, Europe - Amérique du Sud et Centrale, France continentale, Base Carbone</v>
      </c>
      <c r="F204" s="1051" t="str">
        <f t="shared" si="14"/>
        <v>Porte-conteneurs, Reefer, Europe - Amérique du Sud et Centrale, France continentale, Base Carbone</v>
      </c>
      <c r="G204" s="1055" t="str">
        <f t="shared" si="15"/>
        <v>Porte-conteneurs, Reefer, Europe - Amérique du Sud et Centrale, France continentale, Base Carbone; kgCO2e/tonne.km, Combustion</v>
      </c>
      <c r="I204" s="2018" t="s">
        <v>3847</v>
      </c>
      <c r="J204" s="1135" t="s">
        <v>2324</v>
      </c>
      <c r="K204" s="1119" t="s">
        <v>1567</v>
      </c>
      <c r="L204" s="1135" t="s">
        <v>1571</v>
      </c>
      <c r="M204" s="1033">
        <v>0.6</v>
      </c>
      <c r="N204" s="1135" t="s">
        <v>1569</v>
      </c>
      <c r="O204" s="2046">
        <v>1.4E-2</v>
      </c>
      <c r="P204" s="1980">
        <v>1.4E-2</v>
      </c>
      <c r="Q204" s="1980">
        <v>0</v>
      </c>
      <c r="R204" s="1980">
        <v>0</v>
      </c>
      <c r="S204" s="1980">
        <v>0</v>
      </c>
      <c r="T204" s="1980">
        <v>0</v>
      </c>
      <c r="U204" s="2036">
        <v>0</v>
      </c>
    </row>
    <row r="205" spans="2:21" hidden="1" outlineLevel="1">
      <c r="B205" s="1050"/>
      <c r="C205" s="1050"/>
      <c r="D205" s="1051">
        <f t="shared" si="13"/>
        <v>37</v>
      </c>
      <c r="E205" s="1051" t="str">
        <f>IF(COUNTIF(E$132:E204,F205)&gt;0,"",F205)</f>
        <v/>
      </c>
      <c r="F205" s="1051" t="str">
        <f t="shared" si="14"/>
        <v>Porte-conteneurs, Reefer, Europe - Amérique du Sud et Centrale, France continentale, Base Carbone</v>
      </c>
      <c r="G205" s="1055" t="str">
        <f t="shared" si="15"/>
        <v>Porte-conteneurs, Reefer, Europe - Amérique du Sud et Centrale, France continentale, Base Carbone; kgCO2e/tonne.km, Amont</v>
      </c>
      <c r="I205" s="2018" t="s">
        <v>3847</v>
      </c>
      <c r="J205" s="1135" t="s">
        <v>2324</v>
      </c>
      <c r="K205" s="1119" t="s">
        <v>1567</v>
      </c>
      <c r="L205" s="1135" t="s">
        <v>1571</v>
      </c>
      <c r="M205" s="1033">
        <v>0.6</v>
      </c>
      <c r="N205" s="1135" t="s">
        <v>1570</v>
      </c>
      <c r="O205" s="2046">
        <v>1.1999999999999999E-3</v>
      </c>
      <c r="P205" s="1980">
        <v>1.1999999999999999E-3</v>
      </c>
      <c r="Q205" s="1980">
        <v>0</v>
      </c>
      <c r="R205" s="1980">
        <v>0</v>
      </c>
      <c r="S205" s="1980">
        <v>0</v>
      </c>
      <c r="T205" s="1980">
        <v>0</v>
      </c>
      <c r="U205" s="2036">
        <v>0</v>
      </c>
    </row>
    <row r="206" spans="2:21" hidden="1" outlineLevel="1">
      <c r="B206" s="1050"/>
      <c r="C206" s="1050"/>
      <c r="D206" s="1051">
        <f t="shared" si="13"/>
        <v>38</v>
      </c>
      <c r="E206" s="1051" t="str">
        <f>IF(COUNTIF(E$132:E205,F206)&gt;0,"",F206)</f>
        <v>Porte-conteneurs, Reefer, Europe - Moyen-Orient et Inde, France continentale, Base Carbone</v>
      </c>
      <c r="F206" s="1051" t="str">
        <f t="shared" si="14"/>
        <v>Porte-conteneurs, Reefer, Europe - Moyen-Orient et Inde, France continentale, Base Carbone</v>
      </c>
      <c r="G206" s="1055" t="str">
        <f t="shared" si="15"/>
        <v>Porte-conteneurs, Reefer, Europe - Moyen-Orient et Inde, France continentale, Base Carbone; kgCO2e/tonne.km, Combustion</v>
      </c>
      <c r="I206" s="2018" t="s">
        <v>3848</v>
      </c>
      <c r="J206" s="1135" t="s">
        <v>2324</v>
      </c>
      <c r="K206" s="1119" t="s">
        <v>1567</v>
      </c>
      <c r="L206" s="1135" t="s">
        <v>1571</v>
      </c>
      <c r="M206" s="1033">
        <v>0.6</v>
      </c>
      <c r="N206" s="1135" t="s">
        <v>1569</v>
      </c>
      <c r="O206" s="2046">
        <v>1.2E-2</v>
      </c>
      <c r="P206" s="1980">
        <v>1.2E-2</v>
      </c>
      <c r="Q206" s="1980">
        <v>0</v>
      </c>
      <c r="R206" s="1980">
        <v>0</v>
      </c>
      <c r="S206" s="1980">
        <v>0</v>
      </c>
      <c r="T206" s="1980">
        <v>0</v>
      </c>
      <c r="U206" s="2036">
        <v>0</v>
      </c>
    </row>
    <row r="207" spans="2:21" hidden="1" outlineLevel="1">
      <c r="B207" s="1050"/>
      <c r="C207" s="1050"/>
      <c r="D207" s="1051">
        <f t="shared" si="13"/>
        <v>38</v>
      </c>
      <c r="E207" s="1051" t="str">
        <f>IF(COUNTIF(E$132:E206,F207)&gt;0,"",F207)</f>
        <v/>
      </c>
      <c r="F207" s="1051" t="str">
        <f t="shared" si="14"/>
        <v>Porte-conteneurs, Reefer, Europe - Moyen-Orient et Inde, France continentale, Base Carbone</v>
      </c>
      <c r="G207" s="1055" t="str">
        <f t="shared" si="15"/>
        <v>Porte-conteneurs, Reefer, Europe - Moyen-Orient et Inde, France continentale, Base Carbone; kgCO2e/tonne.km, Amont</v>
      </c>
      <c r="I207" s="2018" t="s">
        <v>3848</v>
      </c>
      <c r="J207" s="1135" t="s">
        <v>2324</v>
      </c>
      <c r="K207" s="1119" t="s">
        <v>1567</v>
      </c>
      <c r="L207" s="1135" t="s">
        <v>1571</v>
      </c>
      <c r="M207" s="1033">
        <v>0.6</v>
      </c>
      <c r="N207" s="1135" t="s">
        <v>1570</v>
      </c>
      <c r="O207" s="2046">
        <v>1E-3</v>
      </c>
      <c r="P207" s="1980">
        <v>1E-3</v>
      </c>
      <c r="Q207" s="1980">
        <v>0</v>
      </c>
      <c r="R207" s="1980">
        <v>0</v>
      </c>
      <c r="S207" s="1980">
        <v>0</v>
      </c>
      <c r="T207" s="1980">
        <v>0</v>
      </c>
      <c r="U207" s="2036">
        <v>0</v>
      </c>
    </row>
    <row r="208" spans="2:21" hidden="1" outlineLevel="1">
      <c r="B208" s="1050"/>
      <c r="C208" s="1050"/>
      <c r="D208" s="1051">
        <f t="shared" si="13"/>
        <v>39</v>
      </c>
      <c r="E208" s="1051" t="str">
        <f>IF(COUNTIF(E$132:E207,F208)&gt;0,"",F208)</f>
        <v>Porte-conteneurs, Reefer, Europe - Océanie, France continentale, Base Carbone</v>
      </c>
      <c r="F208" s="1051" t="str">
        <f t="shared" si="14"/>
        <v>Porte-conteneurs, Reefer, Europe - Océanie, France continentale, Base Carbone</v>
      </c>
      <c r="G208" s="1055" t="str">
        <f t="shared" si="15"/>
        <v>Porte-conteneurs, Reefer, Europe - Océanie, France continentale, Base Carbone; kgCO2e/tonne.km, Combustion</v>
      </c>
      <c r="I208" s="2018" t="s">
        <v>3849</v>
      </c>
      <c r="J208" s="1135" t="s">
        <v>2324</v>
      </c>
      <c r="K208" s="1119" t="s">
        <v>1567</v>
      </c>
      <c r="L208" s="1135" t="s">
        <v>1571</v>
      </c>
      <c r="M208" s="1033">
        <v>0.6</v>
      </c>
      <c r="N208" s="1135" t="s">
        <v>1569</v>
      </c>
      <c r="O208" s="2046">
        <v>1.6E-2</v>
      </c>
      <c r="P208" s="1980">
        <v>1.6E-2</v>
      </c>
      <c r="Q208" s="1980">
        <v>0</v>
      </c>
      <c r="R208" s="1980">
        <v>0</v>
      </c>
      <c r="S208" s="1980">
        <v>0</v>
      </c>
      <c r="T208" s="1980">
        <v>0</v>
      </c>
      <c r="U208" s="2036">
        <v>0</v>
      </c>
    </row>
    <row r="209" spans="2:21" hidden="1" outlineLevel="1">
      <c r="B209" s="1050"/>
      <c r="C209" s="1050"/>
      <c r="D209" s="1051">
        <f t="shared" si="13"/>
        <v>39</v>
      </c>
      <c r="E209" s="1051" t="str">
        <f>IF(COUNTIF(E$132:E208,F209)&gt;0,"",F209)</f>
        <v/>
      </c>
      <c r="F209" s="1051" t="str">
        <f t="shared" si="14"/>
        <v>Porte-conteneurs, Reefer, Europe - Océanie, France continentale, Base Carbone</v>
      </c>
      <c r="G209" s="1055" t="str">
        <f t="shared" si="15"/>
        <v>Porte-conteneurs, Reefer, Europe - Océanie, France continentale, Base Carbone; kgCO2e/tonne.km, Amont</v>
      </c>
      <c r="I209" s="2018" t="s">
        <v>3849</v>
      </c>
      <c r="J209" s="1135" t="s">
        <v>2324</v>
      </c>
      <c r="K209" s="1119" t="s">
        <v>1567</v>
      </c>
      <c r="L209" s="1135" t="s">
        <v>1571</v>
      </c>
      <c r="M209" s="1033">
        <v>0.6</v>
      </c>
      <c r="N209" s="1135" t="s">
        <v>1570</v>
      </c>
      <c r="O209" s="2046">
        <v>1.4E-3</v>
      </c>
      <c r="P209" s="1980">
        <v>1.4E-3</v>
      </c>
      <c r="Q209" s="1980">
        <v>0</v>
      </c>
      <c r="R209" s="1980">
        <v>0</v>
      </c>
      <c r="S209" s="1980">
        <v>0</v>
      </c>
      <c r="T209" s="1980">
        <v>0</v>
      </c>
      <c r="U209" s="2036">
        <v>0</v>
      </c>
    </row>
    <row r="210" spans="2:21" hidden="1" outlineLevel="1">
      <c r="B210" s="1050"/>
      <c r="C210" s="1050"/>
      <c r="D210" s="1051">
        <f t="shared" si="13"/>
        <v>40</v>
      </c>
      <c r="E210" s="1051" t="str">
        <f>IF(COUNTIF(E$132:E209,F210)&gt;0,"",F210)</f>
        <v>Porte-conteneurs, Reefer, Europe du Nord - Amérique du Nord, façade atlantique, France continentale, Base Carbone</v>
      </c>
      <c r="F210" s="1051" t="str">
        <f t="shared" si="14"/>
        <v>Porte-conteneurs, Reefer, Europe du Nord - Amérique du Nord, façade atlantique, France continentale, Base Carbone</v>
      </c>
      <c r="G210" s="1055" t="str">
        <f t="shared" si="15"/>
        <v>Porte-conteneurs, Reefer, Europe du Nord - Amérique du Nord, façade atlantique, France continentale, Base Carbone; kgCO2e/tonne.km, Combustion</v>
      </c>
      <c r="I210" s="2018" t="s">
        <v>3850</v>
      </c>
      <c r="J210" s="1135" t="s">
        <v>2324</v>
      </c>
      <c r="K210" s="1119" t="s">
        <v>1567</v>
      </c>
      <c r="L210" s="1135" t="s">
        <v>1571</v>
      </c>
      <c r="M210" s="1033">
        <v>0.6</v>
      </c>
      <c r="N210" s="1135" t="s">
        <v>1569</v>
      </c>
      <c r="O210" s="2046">
        <v>1.4999999999999999E-2</v>
      </c>
      <c r="P210" s="1980">
        <v>1.4999999999999999E-2</v>
      </c>
      <c r="Q210" s="1980">
        <v>0</v>
      </c>
      <c r="R210" s="1980">
        <v>0</v>
      </c>
      <c r="S210" s="1980">
        <v>0</v>
      </c>
      <c r="T210" s="1980">
        <v>0</v>
      </c>
      <c r="U210" s="2036">
        <v>0</v>
      </c>
    </row>
    <row r="211" spans="2:21" hidden="1" outlineLevel="1">
      <c r="B211" s="1050"/>
      <c r="C211" s="1050"/>
      <c r="D211" s="1051">
        <f t="shared" si="13"/>
        <v>40</v>
      </c>
      <c r="E211" s="1051" t="str">
        <f>IF(COUNTIF(E$132:E210,F211)&gt;0,"",F211)</f>
        <v/>
      </c>
      <c r="F211" s="1051" t="str">
        <f t="shared" si="14"/>
        <v>Porte-conteneurs, Reefer, Europe du Nord - Amérique du Nord, façade atlantique, France continentale, Base Carbone</v>
      </c>
      <c r="G211" s="1055" t="str">
        <f t="shared" si="15"/>
        <v>Porte-conteneurs, Reefer, Europe du Nord - Amérique du Nord, façade atlantique, France continentale, Base Carbone; kgCO2e/tonne.km, Amont</v>
      </c>
      <c r="I211" s="2018" t="s">
        <v>3850</v>
      </c>
      <c r="J211" s="1135" t="s">
        <v>2324</v>
      </c>
      <c r="K211" s="1119" t="s">
        <v>1567</v>
      </c>
      <c r="L211" s="1135" t="s">
        <v>1571</v>
      </c>
      <c r="M211" s="1033">
        <v>0.6</v>
      </c>
      <c r="N211" s="1135" t="s">
        <v>1570</v>
      </c>
      <c r="O211" s="2046">
        <v>1.2999999999999999E-3</v>
      </c>
      <c r="P211" s="1980">
        <v>1.2999999999999999E-3</v>
      </c>
      <c r="Q211" s="1980">
        <v>0</v>
      </c>
      <c r="R211" s="1980">
        <v>0</v>
      </c>
      <c r="S211" s="1980">
        <v>0</v>
      </c>
      <c r="T211" s="1980">
        <v>0</v>
      </c>
      <c r="U211" s="2036">
        <v>0</v>
      </c>
    </row>
    <row r="212" spans="2:21" hidden="1" outlineLevel="1">
      <c r="B212" s="1050"/>
      <c r="C212" s="1050"/>
      <c r="D212" s="1051">
        <f t="shared" si="13"/>
        <v>41</v>
      </c>
      <c r="E212" s="1051" t="str">
        <f>IF(COUNTIF(E$132:E211,F212)&gt;0,"",F212)</f>
        <v>Porte-conteneurs, Reefer, Europe du Nord - Amérique du Nord, façade pacifique, France continentale, Base Carbone</v>
      </c>
      <c r="F212" s="1051" t="str">
        <f t="shared" si="14"/>
        <v>Porte-conteneurs, Reefer, Europe du Nord - Amérique du Nord, façade pacifique, France continentale, Base Carbone</v>
      </c>
      <c r="G212" s="1055" t="str">
        <f t="shared" si="15"/>
        <v>Porte-conteneurs, Reefer, Europe du Nord - Amérique du Nord, façade pacifique, France continentale, Base Carbone; kgCO2e/tonne.km, Combustion</v>
      </c>
      <c r="I212" s="2018" t="s">
        <v>3851</v>
      </c>
      <c r="J212" s="1135" t="s">
        <v>2324</v>
      </c>
      <c r="K212" s="1119" t="s">
        <v>1567</v>
      </c>
      <c r="L212" s="1135" t="s">
        <v>1571</v>
      </c>
      <c r="M212" s="1033">
        <v>0.6</v>
      </c>
      <c r="N212" s="1135" t="s">
        <v>1569</v>
      </c>
      <c r="O212" s="2046">
        <v>1.4999999999999999E-2</v>
      </c>
      <c r="P212" s="1980">
        <v>1.4999999999999999E-2</v>
      </c>
      <c r="Q212" s="1980">
        <v>0</v>
      </c>
      <c r="R212" s="1980">
        <v>0</v>
      </c>
      <c r="S212" s="1980">
        <v>0</v>
      </c>
      <c r="T212" s="1980">
        <v>0</v>
      </c>
      <c r="U212" s="2036">
        <v>0</v>
      </c>
    </row>
    <row r="213" spans="2:21" hidden="1" outlineLevel="1">
      <c r="B213" s="1050"/>
      <c r="C213" s="1050"/>
      <c r="D213" s="1051">
        <f t="shared" si="13"/>
        <v>41</v>
      </c>
      <c r="E213" s="1051" t="str">
        <f>IF(COUNTIF(E$132:E212,F213)&gt;0,"",F213)</f>
        <v/>
      </c>
      <c r="F213" s="1051" t="str">
        <f t="shared" si="14"/>
        <v>Porte-conteneurs, Reefer, Europe du Nord - Amérique du Nord, façade pacifique, France continentale, Base Carbone</v>
      </c>
      <c r="G213" s="1055" t="str">
        <f t="shared" si="15"/>
        <v>Porte-conteneurs, Reefer, Europe du Nord - Amérique du Nord, façade pacifique, France continentale, Base Carbone; kgCO2e/tonne.km, Amont</v>
      </c>
      <c r="I213" s="2018" t="s">
        <v>3851</v>
      </c>
      <c r="J213" s="1135" t="s">
        <v>2324</v>
      </c>
      <c r="K213" s="1119" t="s">
        <v>1567</v>
      </c>
      <c r="L213" s="1135" t="s">
        <v>1571</v>
      </c>
      <c r="M213" s="1033">
        <v>0.6</v>
      </c>
      <c r="N213" s="1135" t="s">
        <v>1570</v>
      </c>
      <c r="O213" s="2046">
        <v>1.2999999999999999E-3</v>
      </c>
      <c r="P213" s="1980">
        <v>1.2999999999999999E-3</v>
      </c>
      <c r="Q213" s="1980">
        <v>0</v>
      </c>
      <c r="R213" s="1980">
        <v>0</v>
      </c>
      <c r="S213" s="1980">
        <v>0</v>
      </c>
      <c r="T213" s="1980">
        <v>0</v>
      </c>
      <c r="U213" s="2036">
        <v>0</v>
      </c>
    </row>
    <row r="214" spans="2:21" hidden="1" outlineLevel="1">
      <c r="B214" s="1050"/>
      <c r="C214" s="1050"/>
      <c r="D214" s="1051">
        <f t="shared" si="13"/>
        <v>42</v>
      </c>
      <c r="E214" s="1051" t="str">
        <f>IF(COUNTIF(E$132:E213,F214)&gt;0,"",F214)</f>
        <v>Porte-conteneurs, Reefer, Europe du Nord - Méditerranée, France continentale, Base Carbone</v>
      </c>
      <c r="F214" s="1051" t="str">
        <f t="shared" si="14"/>
        <v>Porte-conteneurs, Reefer, Europe du Nord - Méditerranée, France continentale, Base Carbone</v>
      </c>
      <c r="G214" s="1055" t="str">
        <f t="shared" si="15"/>
        <v>Porte-conteneurs, Reefer, Europe du Nord - Méditerranée, France continentale, Base Carbone; kgCO2e/tonne.km, Combustion</v>
      </c>
      <c r="I214" s="2018" t="s">
        <v>3852</v>
      </c>
      <c r="J214" s="1135" t="s">
        <v>2324</v>
      </c>
      <c r="K214" s="1119" t="s">
        <v>1567</v>
      </c>
      <c r="L214" s="1135" t="s">
        <v>1571</v>
      </c>
      <c r="M214" s="1033">
        <v>0.6</v>
      </c>
      <c r="N214" s="1135" t="s">
        <v>1569</v>
      </c>
      <c r="O214" s="2046">
        <v>1.7000000000000001E-2</v>
      </c>
      <c r="P214" s="1980">
        <v>1.7000000000000001E-2</v>
      </c>
      <c r="Q214" s="1980">
        <v>0</v>
      </c>
      <c r="R214" s="1980">
        <v>0</v>
      </c>
      <c r="S214" s="1980">
        <v>0</v>
      </c>
      <c r="T214" s="1980">
        <v>0</v>
      </c>
      <c r="U214" s="2036">
        <v>0</v>
      </c>
    </row>
    <row r="215" spans="2:21" hidden="1" outlineLevel="1">
      <c r="B215" s="1050"/>
      <c r="C215" s="1050"/>
      <c r="D215" s="1051">
        <f t="shared" si="13"/>
        <v>42</v>
      </c>
      <c r="E215" s="1051" t="str">
        <f>IF(COUNTIF(E$132:E214,F215)&gt;0,"",F215)</f>
        <v/>
      </c>
      <c r="F215" s="1051" t="str">
        <f t="shared" si="14"/>
        <v>Porte-conteneurs, Reefer, Europe du Nord - Méditerranée, France continentale, Base Carbone</v>
      </c>
      <c r="G215" s="1055" t="str">
        <f t="shared" si="15"/>
        <v>Porte-conteneurs, Reefer, Europe du Nord - Méditerranée, France continentale, Base Carbone; kgCO2e/tonne.km, Amont</v>
      </c>
      <c r="I215" s="2018" t="s">
        <v>3852</v>
      </c>
      <c r="J215" s="1135" t="s">
        <v>2324</v>
      </c>
      <c r="K215" s="1119" t="s">
        <v>1567</v>
      </c>
      <c r="L215" s="1135" t="s">
        <v>1571</v>
      </c>
      <c r="M215" s="1033">
        <v>0.6</v>
      </c>
      <c r="N215" s="1135" t="s">
        <v>1570</v>
      </c>
      <c r="O215" s="2046">
        <v>1.4E-3</v>
      </c>
      <c r="P215" s="1980">
        <v>1.4E-3</v>
      </c>
      <c r="Q215" s="1980">
        <v>0</v>
      </c>
      <c r="R215" s="1980">
        <v>0</v>
      </c>
      <c r="S215" s="1980">
        <v>0</v>
      </c>
      <c r="T215" s="1980">
        <v>0</v>
      </c>
      <c r="U215" s="2036">
        <v>0</v>
      </c>
    </row>
    <row r="216" spans="2:21" hidden="1" outlineLevel="1">
      <c r="B216" s="1050"/>
      <c r="C216" s="1050"/>
      <c r="D216" s="1051">
        <f t="shared" si="13"/>
        <v>43</v>
      </c>
      <c r="E216" s="1051" t="str">
        <f>IF(COUNTIF(E$132:E215,F216)&gt;0,"",F216)</f>
        <v>Porte-conteneurs, Reefer, Intra Europe du Nord, France continentale, Base Carbone</v>
      </c>
      <c r="F216" s="1051" t="str">
        <f t="shared" si="14"/>
        <v>Porte-conteneurs, Reefer, Intra Europe du Nord, France continentale, Base Carbone</v>
      </c>
      <c r="G216" s="1055" t="str">
        <f t="shared" si="15"/>
        <v>Porte-conteneurs, Reefer, Intra Europe du Nord, France continentale, Base Carbone; kgCO2e/tonne.km, Combustion</v>
      </c>
      <c r="I216" s="2018" t="s">
        <v>3853</v>
      </c>
      <c r="J216" s="1135" t="s">
        <v>2324</v>
      </c>
      <c r="K216" s="1119" t="s">
        <v>1567</v>
      </c>
      <c r="L216" s="1135" t="s">
        <v>1571</v>
      </c>
      <c r="M216" s="1033">
        <v>0.6</v>
      </c>
      <c r="N216" s="1135" t="s">
        <v>1569</v>
      </c>
      <c r="O216" s="2046">
        <v>2.1999999999999999E-2</v>
      </c>
      <c r="P216" s="1980">
        <v>2.1999999999999999E-2</v>
      </c>
      <c r="Q216" s="1980">
        <v>0</v>
      </c>
      <c r="R216" s="1980">
        <v>0</v>
      </c>
      <c r="S216" s="1980">
        <v>0</v>
      </c>
      <c r="T216" s="1980">
        <v>0</v>
      </c>
      <c r="U216" s="2036">
        <v>0</v>
      </c>
    </row>
    <row r="217" spans="2:21" hidden="1" outlineLevel="1">
      <c r="B217" s="1050"/>
      <c r="C217" s="1050"/>
      <c r="D217" s="1051">
        <f t="shared" si="13"/>
        <v>43</v>
      </c>
      <c r="E217" s="1051" t="str">
        <f>IF(COUNTIF(E$132:E216,F217)&gt;0,"",F217)</f>
        <v/>
      </c>
      <c r="F217" s="1051" t="str">
        <f t="shared" si="14"/>
        <v>Porte-conteneurs, Reefer, Intra Europe du Nord, France continentale, Base Carbone</v>
      </c>
      <c r="G217" s="1055" t="str">
        <f t="shared" si="15"/>
        <v>Porte-conteneurs, Reefer, Intra Europe du Nord, France continentale, Base Carbone; kgCO2e/tonne.km, Amont</v>
      </c>
      <c r="I217" s="2018" t="s">
        <v>3853</v>
      </c>
      <c r="J217" s="1135" t="s">
        <v>2324</v>
      </c>
      <c r="K217" s="1119" t="s">
        <v>1567</v>
      </c>
      <c r="L217" s="1135" t="s">
        <v>1571</v>
      </c>
      <c r="M217" s="1033">
        <v>0.6</v>
      </c>
      <c r="N217" s="1135" t="s">
        <v>1570</v>
      </c>
      <c r="O217" s="2046">
        <v>1.9E-3</v>
      </c>
      <c r="P217" s="1980">
        <v>1.9E-3</v>
      </c>
      <c r="Q217" s="1980">
        <v>0</v>
      </c>
      <c r="R217" s="1980">
        <v>0</v>
      </c>
      <c r="S217" s="1980">
        <v>0</v>
      </c>
      <c r="T217" s="1980">
        <v>0</v>
      </c>
      <c r="U217" s="2036">
        <v>0</v>
      </c>
    </row>
    <row r="218" spans="2:21" hidden="1" outlineLevel="1">
      <c r="B218" s="1050"/>
      <c r="C218" s="1050"/>
      <c r="D218" s="1051">
        <f t="shared" si="13"/>
        <v>44</v>
      </c>
      <c r="E218" s="1051" t="str">
        <f>IF(COUNTIF(E$132:E217,F218)&gt;0,"",F218)</f>
        <v>Porte-conteneurs, Reefer, Intra Méditerranée, France continentale, Base Carbone</v>
      </c>
      <c r="F218" s="1051" t="str">
        <f t="shared" si="14"/>
        <v>Porte-conteneurs, Reefer, Intra Méditerranée, France continentale, Base Carbone</v>
      </c>
      <c r="G218" s="1055" t="str">
        <f t="shared" si="15"/>
        <v>Porte-conteneurs, Reefer, Intra Méditerranée, France continentale, Base Carbone; kgCO2e/tonne.km, Combustion</v>
      </c>
      <c r="I218" s="2018" t="s">
        <v>3854</v>
      </c>
      <c r="J218" s="1135" t="s">
        <v>2324</v>
      </c>
      <c r="K218" s="1119" t="s">
        <v>1567</v>
      </c>
      <c r="L218" s="1135" t="s">
        <v>1571</v>
      </c>
      <c r="M218" s="1033">
        <v>0.6</v>
      </c>
      <c r="N218" s="1135" t="s">
        <v>1569</v>
      </c>
      <c r="O218" s="2046">
        <v>2.5000000000000001E-2</v>
      </c>
      <c r="P218" s="1980">
        <v>2.5000000000000001E-2</v>
      </c>
      <c r="Q218" s="1980">
        <v>0</v>
      </c>
      <c r="R218" s="1980">
        <v>0</v>
      </c>
      <c r="S218" s="1980">
        <v>0</v>
      </c>
      <c r="T218" s="1980">
        <v>0</v>
      </c>
      <c r="U218" s="2036">
        <v>0</v>
      </c>
    </row>
    <row r="219" spans="2:21" hidden="1" outlineLevel="1">
      <c r="B219" s="1050"/>
      <c r="C219" s="1050"/>
      <c r="D219" s="1051">
        <f t="shared" si="13"/>
        <v>44</v>
      </c>
      <c r="E219" s="1051" t="str">
        <f>IF(COUNTIF(E$132:E218,F219)&gt;0,"",F219)</f>
        <v/>
      </c>
      <c r="F219" s="1051" t="str">
        <f t="shared" si="14"/>
        <v>Porte-conteneurs, Reefer, Intra Méditerranée, France continentale, Base Carbone</v>
      </c>
      <c r="G219" s="1055" t="str">
        <f t="shared" si="15"/>
        <v>Porte-conteneurs, Reefer, Intra Méditerranée, France continentale, Base Carbone; kgCO2e/tonne.km, Amont</v>
      </c>
      <c r="I219" s="2018" t="s">
        <v>3854</v>
      </c>
      <c r="J219" s="1135" t="s">
        <v>2324</v>
      </c>
      <c r="K219" s="1119" t="s">
        <v>1567</v>
      </c>
      <c r="L219" s="1135" t="s">
        <v>1571</v>
      </c>
      <c r="M219" s="1033">
        <v>0.6</v>
      </c>
      <c r="N219" s="1135" t="s">
        <v>1570</v>
      </c>
      <c r="O219" s="2046">
        <v>2.0999999999999999E-3</v>
      </c>
      <c r="P219" s="1980">
        <v>2.0999999999999999E-3</v>
      </c>
      <c r="Q219" s="1980">
        <v>0</v>
      </c>
      <c r="R219" s="1980">
        <v>0</v>
      </c>
      <c r="S219" s="1980">
        <v>0</v>
      </c>
      <c r="T219" s="1980">
        <v>0</v>
      </c>
      <c r="U219" s="2036">
        <v>0</v>
      </c>
    </row>
    <row r="220" spans="2:21" hidden="1" outlineLevel="1">
      <c r="B220" s="1050"/>
      <c r="C220" s="1050"/>
      <c r="D220" s="1051">
        <f t="shared" si="13"/>
        <v>45</v>
      </c>
      <c r="E220" s="1051" t="str">
        <f>IF(COUNTIF(E$132:E219,F220)&gt;0,"",F220)</f>
        <v>Porte-conteneurs, Reefer, Méditerranée - Amérique du Nord, façade atlantique, France continentale, Base Carbone</v>
      </c>
      <c r="F220" s="1051" t="str">
        <f t="shared" si="14"/>
        <v>Porte-conteneurs, Reefer, Méditerranée - Amérique du Nord, façade atlantique, France continentale, Base Carbone</v>
      </c>
      <c r="G220" s="1055" t="str">
        <f t="shared" si="15"/>
        <v>Porte-conteneurs, Reefer, Méditerranée - Amérique du Nord, façade atlantique, France continentale, Base Carbone; kgCO2e/tonne.km, Combustion</v>
      </c>
      <c r="I220" s="2018" t="s">
        <v>3855</v>
      </c>
      <c r="J220" s="1135" t="s">
        <v>2324</v>
      </c>
      <c r="K220" s="1119" t="s">
        <v>1567</v>
      </c>
      <c r="L220" s="1135" t="s">
        <v>1571</v>
      </c>
      <c r="M220" s="1033">
        <v>0.6</v>
      </c>
      <c r="N220" s="1135" t="s">
        <v>1569</v>
      </c>
      <c r="O220" s="2046">
        <v>1.6E-2</v>
      </c>
      <c r="P220" s="1980">
        <v>1.6E-2</v>
      </c>
      <c r="Q220" s="1980">
        <v>0</v>
      </c>
      <c r="R220" s="1980">
        <v>0</v>
      </c>
      <c r="S220" s="1980">
        <v>0</v>
      </c>
      <c r="T220" s="1980">
        <v>0</v>
      </c>
      <c r="U220" s="2036">
        <v>0</v>
      </c>
    </row>
    <row r="221" spans="2:21" hidden="1" outlineLevel="1">
      <c r="B221" s="1050"/>
      <c r="C221" s="1050"/>
      <c r="D221" s="1051">
        <f t="shared" si="13"/>
        <v>45</v>
      </c>
      <c r="E221" s="1051" t="str">
        <f>IF(COUNTIF(E$132:E220,F221)&gt;0,"",F221)</f>
        <v/>
      </c>
      <c r="F221" s="1051" t="str">
        <f t="shared" si="14"/>
        <v>Porte-conteneurs, Reefer, Méditerranée - Amérique du Nord, façade atlantique, France continentale, Base Carbone</v>
      </c>
      <c r="G221" s="1055" t="str">
        <f t="shared" si="15"/>
        <v>Porte-conteneurs, Reefer, Méditerranée - Amérique du Nord, façade atlantique, France continentale, Base Carbone; kgCO2e/tonne.km, Amont</v>
      </c>
      <c r="I221" s="2018" t="s">
        <v>3855</v>
      </c>
      <c r="J221" s="1135" t="s">
        <v>2324</v>
      </c>
      <c r="K221" s="1119" t="s">
        <v>1567</v>
      </c>
      <c r="L221" s="1135" t="s">
        <v>1571</v>
      </c>
      <c r="M221" s="1033">
        <v>0.6</v>
      </c>
      <c r="N221" s="1135" t="s">
        <v>1570</v>
      </c>
      <c r="O221" s="2046">
        <v>1.4E-3</v>
      </c>
      <c r="P221" s="1980">
        <v>1.4E-3</v>
      </c>
      <c r="Q221" s="1980">
        <v>0</v>
      </c>
      <c r="R221" s="1980">
        <v>0</v>
      </c>
      <c r="S221" s="1980">
        <v>0</v>
      </c>
      <c r="T221" s="1980">
        <v>0</v>
      </c>
      <c r="U221" s="2036">
        <v>0</v>
      </c>
    </row>
    <row r="222" spans="2:21" hidden="1" outlineLevel="1">
      <c r="B222" s="1050"/>
      <c r="C222" s="1050"/>
      <c r="D222" s="1051">
        <f t="shared" si="13"/>
        <v>46</v>
      </c>
      <c r="E222" s="1051" t="str">
        <f>IF(COUNTIF(E$132:E221,F222)&gt;0,"",F222)</f>
        <v>Porte-conteneurs, Reefer, Méditerranée - Amérique du Nord, façade pacifique, France continentale, Base Carbone</v>
      </c>
      <c r="F222" s="1051" t="str">
        <f t="shared" si="14"/>
        <v>Porte-conteneurs, Reefer, Méditerranée - Amérique du Nord, façade pacifique, France continentale, Base Carbone</v>
      </c>
      <c r="G222" s="1055" t="str">
        <f t="shared" si="15"/>
        <v>Porte-conteneurs, Reefer, Méditerranée - Amérique du Nord, façade pacifique, France continentale, Base Carbone; kgCO2e/tonne.km, Combustion</v>
      </c>
      <c r="I222" s="2018" t="s">
        <v>3856</v>
      </c>
      <c r="J222" s="1135" t="s">
        <v>2324</v>
      </c>
      <c r="K222" s="1119" t="s">
        <v>1567</v>
      </c>
      <c r="L222" s="1135" t="s">
        <v>1571</v>
      </c>
      <c r="M222" s="1033">
        <v>0.6</v>
      </c>
      <c r="N222" s="1135" t="s">
        <v>1569</v>
      </c>
      <c r="O222" s="2046">
        <v>1.4E-2</v>
      </c>
      <c r="P222" s="1980">
        <v>1.4E-2</v>
      </c>
      <c r="Q222" s="1980">
        <v>0</v>
      </c>
      <c r="R222" s="1980">
        <v>0</v>
      </c>
      <c r="S222" s="1980">
        <v>0</v>
      </c>
      <c r="T222" s="1980">
        <v>0</v>
      </c>
      <c r="U222" s="2036">
        <v>0</v>
      </c>
    </row>
    <row r="223" spans="2:21" hidden="1" outlineLevel="1">
      <c r="B223" s="1050"/>
      <c r="C223" s="1050"/>
      <c r="D223" s="1051">
        <f t="shared" si="13"/>
        <v>46</v>
      </c>
      <c r="E223" s="1051" t="str">
        <f>IF(COUNTIF(E$132:E222,F223)&gt;0,"",F223)</f>
        <v/>
      </c>
      <c r="F223" s="1051" t="str">
        <f t="shared" si="14"/>
        <v>Porte-conteneurs, Reefer, Méditerranée - Amérique du Nord, façade pacifique, France continentale, Base Carbone</v>
      </c>
      <c r="G223" s="1055" t="str">
        <f t="shared" si="15"/>
        <v>Porte-conteneurs, Reefer, Méditerranée - Amérique du Nord, façade pacifique, France continentale, Base Carbone; kgCO2e/tonne.km, Amont</v>
      </c>
      <c r="I223" s="2018" t="s">
        <v>3856</v>
      </c>
      <c r="J223" s="1135" t="s">
        <v>2324</v>
      </c>
      <c r="K223" s="1119" t="s">
        <v>1567</v>
      </c>
      <c r="L223" s="1135" t="s">
        <v>1571</v>
      </c>
      <c r="M223" s="1033">
        <v>0.6</v>
      </c>
      <c r="N223" s="1135" t="s">
        <v>1570</v>
      </c>
      <c r="O223" s="2046">
        <v>1.1999999999999999E-3</v>
      </c>
      <c r="P223" s="1980">
        <v>1.1999999999999999E-3</v>
      </c>
      <c r="Q223" s="1980">
        <v>0</v>
      </c>
      <c r="R223" s="1980">
        <v>0</v>
      </c>
      <c r="S223" s="1980">
        <v>0</v>
      </c>
      <c r="T223" s="1980">
        <v>0</v>
      </c>
      <c r="U223" s="2036">
        <v>0</v>
      </c>
    </row>
    <row r="224" spans="2:21" hidden="1" outlineLevel="1">
      <c r="B224" s="1050"/>
      <c r="C224" s="1050"/>
      <c r="D224" s="1051">
        <f t="shared" si="13"/>
        <v>47</v>
      </c>
      <c r="E224" s="1051" t="str">
        <f>IF(COUNTIF(E$132:E223,F224)&gt;0,"",F224)</f>
        <v>Porte-conteneurs, Reefer, Trans-Atlantique, France continentale, Base Carbone</v>
      </c>
      <c r="F224" s="1051" t="str">
        <f t="shared" si="14"/>
        <v>Porte-conteneurs, Reefer, Trans-Atlantique, France continentale, Base Carbone</v>
      </c>
      <c r="G224" s="1055" t="str">
        <f t="shared" si="15"/>
        <v>Porte-conteneurs, Reefer, Trans-Atlantique, France continentale, Base Carbone; kgCO2e/tonne.km, Combustion</v>
      </c>
      <c r="I224" s="2018" t="s">
        <v>3857</v>
      </c>
      <c r="J224" s="1135" t="s">
        <v>2324</v>
      </c>
      <c r="K224" s="1119" t="s">
        <v>1567</v>
      </c>
      <c r="L224" s="1135" t="s">
        <v>1571</v>
      </c>
      <c r="M224" s="1033">
        <v>0.6</v>
      </c>
      <c r="N224" s="1135" t="s">
        <v>1569</v>
      </c>
      <c r="O224" s="2046">
        <v>1.4999999999999999E-2</v>
      </c>
      <c r="P224" s="1980">
        <v>1.4999999999999999E-2</v>
      </c>
      <c r="Q224" s="1980">
        <v>0</v>
      </c>
      <c r="R224" s="1980">
        <v>0</v>
      </c>
      <c r="S224" s="1980">
        <v>0</v>
      </c>
      <c r="T224" s="1980">
        <v>0</v>
      </c>
      <c r="U224" s="2036">
        <v>0</v>
      </c>
    </row>
    <row r="225" spans="2:21" hidden="1" outlineLevel="1">
      <c r="B225" s="1050"/>
      <c r="C225" s="1050"/>
      <c r="D225" s="1051">
        <f t="shared" si="13"/>
        <v>47</v>
      </c>
      <c r="E225" s="1051" t="str">
        <f>IF(COUNTIF(E$132:E224,F225)&gt;0,"",F225)</f>
        <v/>
      </c>
      <c r="F225" s="1051" t="str">
        <f t="shared" si="14"/>
        <v>Porte-conteneurs, Reefer, Trans-Atlantique, France continentale, Base Carbone</v>
      </c>
      <c r="G225" s="1055" t="str">
        <f t="shared" si="15"/>
        <v>Porte-conteneurs, Reefer, Trans-Atlantique, France continentale, Base Carbone; kgCO2e/tonne.km, Amont</v>
      </c>
      <c r="I225" s="2018" t="s">
        <v>3857</v>
      </c>
      <c r="J225" s="1135" t="s">
        <v>2324</v>
      </c>
      <c r="K225" s="1119" t="s">
        <v>1567</v>
      </c>
      <c r="L225" s="1135" t="s">
        <v>1571</v>
      </c>
      <c r="M225" s="1033">
        <v>0.6</v>
      </c>
      <c r="N225" s="1135" t="s">
        <v>1570</v>
      </c>
      <c r="O225" s="2046">
        <v>1.2999999999999999E-3</v>
      </c>
      <c r="P225" s="1980">
        <v>1.2999999999999999E-3</v>
      </c>
      <c r="Q225" s="1980">
        <v>0</v>
      </c>
      <c r="R225" s="1980">
        <v>0</v>
      </c>
      <c r="S225" s="1980">
        <v>0</v>
      </c>
      <c r="T225" s="1980">
        <v>0</v>
      </c>
      <c r="U225" s="2036">
        <v>0</v>
      </c>
    </row>
    <row r="226" spans="2:21" hidden="1" outlineLevel="1">
      <c r="B226" s="1050"/>
      <c r="C226" s="1050"/>
      <c r="D226" s="1051">
        <f t="shared" si="13"/>
        <v>48</v>
      </c>
      <c r="E226" s="1051" t="str">
        <f>IF(COUNTIF(E$132:E225,F226)&gt;0,"",F226)</f>
        <v>Porte-conteneurs, Reefer, Trans-Suez, France continentale, Base Carbone</v>
      </c>
      <c r="F226" s="1051" t="str">
        <f t="shared" si="14"/>
        <v>Porte-conteneurs, Reefer, Trans-Suez, France continentale, Base Carbone</v>
      </c>
      <c r="G226" s="1055" t="str">
        <f t="shared" si="15"/>
        <v>Porte-conteneurs, Reefer, Trans-Suez, France continentale, Base Carbone; kgCO2e/tonne.km, Combustion</v>
      </c>
      <c r="I226" s="2018" t="s">
        <v>3858</v>
      </c>
      <c r="J226" s="1135" t="s">
        <v>2324</v>
      </c>
      <c r="K226" s="1119" t="s">
        <v>1567</v>
      </c>
      <c r="L226" s="1135" t="s">
        <v>1571</v>
      </c>
      <c r="M226" s="1033">
        <v>0.6</v>
      </c>
      <c r="N226" s="1135" t="s">
        <v>1569</v>
      </c>
      <c r="O226" s="2046">
        <v>1.2999999999999999E-2</v>
      </c>
      <c r="P226" s="1980">
        <v>1.2999999999999999E-2</v>
      </c>
      <c r="Q226" s="1980">
        <v>0</v>
      </c>
      <c r="R226" s="1980">
        <v>0</v>
      </c>
      <c r="S226" s="1980">
        <v>0</v>
      </c>
      <c r="T226" s="1980">
        <v>0</v>
      </c>
      <c r="U226" s="2036">
        <v>0</v>
      </c>
    </row>
    <row r="227" spans="2:21" hidden="1" outlineLevel="1">
      <c r="B227" s="1050"/>
      <c r="C227" s="1050"/>
      <c r="D227" s="1051">
        <f t="shared" si="13"/>
        <v>48</v>
      </c>
      <c r="E227" s="1051" t="str">
        <f>IF(COUNTIF(E$132:E226,F227)&gt;0,"",F227)</f>
        <v/>
      </c>
      <c r="F227" s="1051" t="str">
        <f t="shared" si="14"/>
        <v>Porte-conteneurs, Reefer, Trans-Suez, France continentale, Base Carbone</v>
      </c>
      <c r="G227" s="1055" t="str">
        <f t="shared" si="15"/>
        <v>Porte-conteneurs, Reefer, Trans-Suez, France continentale, Base Carbone; kgCO2e/tonne.km, Amont</v>
      </c>
      <c r="I227" s="2018" t="s">
        <v>3858</v>
      </c>
      <c r="J227" s="1135" t="s">
        <v>2324</v>
      </c>
      <c r="K227" s="1119" t="s">
        <v>1567</v>
      </c>
      <c r="L227" s="1135" t="s">
        <v>1571</v>
      </c>
      <c r="M227" s="1033">
        <v>0.6</v>
      </c>
      <c r="N227" s="1135" t="s">
        <v>1570</v>
      </c>
      <c r="O227" s="2046">
        <v>1.1000000000000001E-3</v>
      </c>
      <c r="P227" s="1980">
        <v>1.1000000000000001E-3</v>
      </c>
      <c r="Q227" s="1980">
        <v>0</v>
      </c>
      <c r="R227" s="1980">
        <v>0</v>
      </c>
      <c r="S227" s="1980">
        <v>0</v>
      </c>
      <c r="T227" s="1980">
        <v>0</v>
      </c>
      <c r="U227" s="2036">
        <v>0</v>
      </c>
    </row>
    <row r="228" spans="2:21" hidden="1" outlineLevel="1">
      <c r="B228" s="1050"/>
      <c r="C228" s="1050"/>
      <c r="D228" s="1051">
        <f t="shared" si="13"/>
        <v>49</v>
      </c>
      <c r="E228" s="1051" t="str">
        <f>IF(COUNTIF(E$132:E227,F228)&gt;0,"",F228)</f>
        <v>Porte-conteneurs, Reefer, valeur moyenne, France continentale, Base Carbone</v>
      </c>
      <c r="F228" s="1051" t="str">
        <f t="shared" si="14"/>
        <v>Porte-conteneurs, Reefer, valeur moyenne, France continentale, Base Carbone</v>
      </c>
      <c r="G228" s="1055" t="str">
        <f t="shared" si="15"/>
        <v>Porte-conteneurs, Reefer, valeur moyenne, France continentale, Base Carbone; kgCO2e/tonne.km, Combustion</v>
      </c>
      <c r="I228" s="2018" t="s">
        <v>3859</v>
      </c>
      <c r="J228" s="1135" t="s">
        <v>2324</v>
      </c>
      <c r="K228" s="1119" t="s">
        <v>1567</v>
      </c>
      <c r="L228" s="1135" t="s">
        <v>1571</v>
      </c>
      <c r="M228" s="1033">
        <v>0.6</v>
      </c>
      <c r="N228" s="1135" t="s">
        <v>1569</v>
      </c>
      <c r="O228" s="2046">
        <v>1.2999999999999999E-2</v>
      </c>
      <c r="P228" s="1980">
        <v>1.2999999999999999E-2</v>
      </c>
      <c r="Q228" s="1980">
        <v>0</v>
      </c>
      <c r="R228" s="1980">
        <v>0</v>
      </c>
      <c r="S228" s="1980">
        <v>0</v>
      </c>
      <c r="T228" s="1980">
        <v>0</v>
      </c>
      <c r="U228" s="2036">
        <v>0</v>
      </c>
    </row>
    <row r="229" spans="2:21" hidden="1" outlineLevel="1">
      <c r="B229" s="1050"/>
      <c r="C229" s="1050"/>
      <c r="D229" s="1051">
        <f t="shared" si="13"/>
        <v>49</v>
      </c>
      <c r="E229" s="1051" t="str">
        <f>IF(COUNTIF(E$132:E228,F229)&gt;0,"",F229)</f>
        <v/>
      </c>
      <c r="F229" s="1051" t="str">
        <f t="shared" si="14"/>
        <v>Porte-conteneurs, Reefer, valeur moyenne, France continentale, Base Carbone</v>
      </c>
      <c r="G229" s="1055" t="str">
        <f t="shared" si="15"/>
        <v>Porte-conteneurs, Reefer, valeur moyenne, France continentale, Base Carbone; kgCO2e/tonne.km, Amont</v>
      </c>
      <c r="I229" s="2018" t="s">
        <v>3859</v>
      </c>
      <c r="J229" s="1135" t="s">
        <v>2324</v>
      </c>
      <c r="K229" s="1119" t="s">
        <v>1567</v>
      </c>
      <c r="L229" s="1135" t="s">
        <v>1571</v>
      </c>
      <c r="M229" s="1033">
        <v>0.6</v>
      </c>
      <c r="N229" s="1135" t="s">
        <v>1570</v>
      </c>
      <c r="O229" s="2046">
        <v>1.1000000000000001E-3</v>
      </c>
      <c r="P229" s="1980">
        <v>1.1000000000000001E-3</v>
      </c>
      <c r="Q229" s="1980">
        <v>0</v>
      </c>
      <c r="R229" s="1980">
        <v>0</v>
      </c>
      <c r="S229" s="1980">
        <v>0</v>
      </c>
      <c r="T229" s="1980">
        <v>0</v>
      </c>
      <c r="U229" s="2036">
        <v>0</v>
      </c>
    </row>
    <row r="230" spans="2:21" hidden="1" outlineLevel="1">
      <c r="B230" s="1050"/>
      <c r="C230" s="1050"/>
      <c r="D230" s="1051">
        <f t="shared" si="13"/>
        <v>50</v>
      </c>
      <c r="E230" s="1051" t="str">
        <f>IF(COUNTIF(E$132:E229,F230)&gt;0,"",F230)</f>
        <v>Ro-Pax, HFO-MGO, France continentale, Base Carbone</v>
      </c>
      <c r="F230" s="1051" t="str">
        <f t="shared" si="14"/>
        <v>Ro-Pax, HFO-MGO, France continentale, Base Carbone</v>
      </c>
      <c r="G230" s="1055" t="str">
        <f t="shared" si="15"/>
        <v>Ro-Pax, HFO-MGO, France continentale, Base Carbone; kgCO2e/tonne.km, Combustion</v>
      </c>
      <c r="I230" s="2018" t="s">
        <v>3860</v>
      </c>
      <c r="J230" s="1135" t="s">
        <v>2324</v>
      </c>
      <c r="K230" s="1119" t="s">
        <v>1567</v>
      </c>
      <c r="L230" s="1135" t="s">
        <v>1571</v>
      </c>
      <c r="M230" s="1033">
        <v>0.6</v>
      </c>
      <c r="N230" s="1135" t="s">
        <v>1569</v>
      </c>
      <c r="O230" s="2046">
        <v>0.19</v>
      </c>
      <c r="P230" s="1980">
        <v>0.19</v>
      </c>
      <c r="Q230" s="1980">
        <v>0</v>
      </c>
      <c r="R230" s="1980">
        <v>0</v>
      </c>
      <c r="S230" s="1980">
        <v>0</v>
      </c>
      <c r="T230" s="1980">
        <v>0</v>
      </c>
      <c r="U230" s="2036">
        <v>0</v>
      </c>
    </row>
    <row r="231" spans="2:21" hidden="1" outlineLevel="1">
      <c r="B231" s="1050"/>
      <c r="C231" s="1050"/>
      <c r="D231" s="1051">
        <f t="shared" si="13"/>
        <v>50</v>
      </c>
      <c r="E231" s="1051" t="str">
        <f>IF(COUNTIF(E$132:E230,F231)&gt;0,"",F231)</f>
        <v/>
      </c>
      <c r="F231" s="1051" t="str">
        <f t="shared" si="14"/>
        <v>Ro-Pax, HFO-MGO, France continentale, Base Carbone</v>
      </c>
      <c r="G231" s="1055" t="str">
        <f t="shared" si="15"/>
        <v>Ro-Pax, HFO-MGO, France continentale, Base Carbone; kgCO2e/tonne.km, Amont</v>
      </c>
      <c r="I231" s="2018" t="s">
        <v>3860</v>
      </c>
      <c r="J231" s="1135" t="s">
        <v>2324</v>
      </c>
      <c r="K231" s="1119" t="s">
        <v>1567</v>
      </c>
      <c r="L231" s="1135" t="s">
        <v>1571</v>
      </c>
      <c r="M231" s="1033">
        <v>0.6</v>
      </c>
      <c r="N231" s="1135" t="s">
        <v>1570</v>
      </c>
      <c r="O231" s="2046">
        <v>1.8800000000000001E-2</v>
      </c>
      <c r="P231" s="1980">
        <v>1.8800000000000001E-2</v>
      </c>
      <c r="Q231" s="1980">
        <v>0</v>
      </c>
      <c r="R231" s="1980">
        <v>0</v>
      </c>
      <c r="S231" s="1980">
        <v>0</v>
      </c>
      <c r="T231" s="1980">
        <v>0</v>
      </c>
      <c r="U231" s="2036">
        <v>0</v>
      </c>
    </row>
    <row r="232" spans="2:21" hidden="1" outlineLevel="1">
      <c r="B232" s="1050"/>
      <c r="C232" s="1050"/>
      <c r="D232" s="1051">
        <f t="shared" si="13"/>
        <v>51</v>
      </c>
      <c r="E232" s="1051" t="str">
        <f>IF(COUNTIF(E$132:E231,F232)&gt;0,"",F232)</f>
        <v>Ro-Ro, Camions et remorques, HFO-MGO, France continentale, Base Carbone</v>
      </c>
      <c r="F232" s="1051" t="str">
        <f t="shared" si="14"/>
        <v>Ro-Ro, Camions et remorques, HFO-MGO, France continentale, Base Carbone</v>
      </c>
      <c r="G232" s="1055" t="str">
        <f t="shared" si="15"/>
        <v>Ro-Ro, Camions et remorques, HFO-MGO, France continentale, Base Carbone; kgCO2e/tonne.km, Combustion</v>
      </c>
      <c r="I232" s="2018" t="s">
        <v>3861</v>
      </c>
      <c r="J232" s="1135" t="s">
        <v>2324</v>
      </c>
      <c r="K232" s="1119" t="s">
        <v>1567</v>
      </c>
      <c r="L232" s="1135" t="s">
        <v>1571</v>
      </c>
      <c r="M232" s="1033">
        <v>0.6</v>
      </c>
      <c r="N232" s="1135" t="s">
        <v>1569</v>
      </c>
      <c r="O232" s="2046">
        <v>9.2700000000000005E-2</v>
      </c>
      <c r="P232" s="1980">
        <v>9.2700000000000005E-2</v>
      </c>
      <c r="Q232" s="1980">
        <v>0</v>
      </c>
      <c r="R232" s="1980">
        <v>0</v>
      </c>
      <c r="S232" s="1980">
        <v>0</v>
      </c>
      <c r="T232" s="1980">
        <v>0</v>
      </c>
      <c r="U232" s="2036">
        <v>0</v>
      </c>
    </row>
    <row r="233" spans="2:21" hidden="1" outlineLevel="1">
      <c r="B233" s="1050"/>
      <c r="C233" s="1050"/>
      <c r="D233" s="1051">
        <f t="shared" si="13"/>
        <v>51</v>
      </c>
      <c r="E233" s="1051" t="str">
        <f>IF(COUNTIF(E$132:E232,F233)&gt;0,"",F233)</f>
        <v/>
      </c>
      <c r="F233" s="1051" t="str">
        <f t="shared" si="14"/>
        <v>Ro-Ro, Camions et remorques, HFO-MGO, France continentale, Base Carbone</v>
      </c>
      <c r="G233" s="1055" t="str">
        <f t="shared" si="15"/>
        <v>Ro-Ro, Camions et remorques, HFO-MGO, France continentale, Base Carbone; kgCO2e/tonne.km, Amont</v>
      </c>
      <c r="I233" s="2018" t="s">
        <v>3861</v>
      </c>
      <c r="J233" s="1135" t="s">
        <v>2324</v>
      </c>
      <c r="K233" s="1119" t="s">
        <v>1567</v>
      </c>
      <c r="L233" s="1135" t="s">
        <v>1571</v>
      </c>
      <c r="M233" s="1033">
        <v>0.6</v>
      </c>
      <c r="N233" s="1135" t="s">
        <v>1570</v>
      </c>
      <c r="O233" s="2046">
        <v>8.6300000000000005E-3</v>
      </c>
      <c r="P233" s="1980">
        <v>8.6300000000000005E-3</v>
      </c>
      <c r="Q233" s="1980">
        <v>0</v>
      </c>
      <c r="R233" s="1980">
        <v>0</v>
      </c>
      <c r="S233" s="1980">
        <v>0</v>
      </c>
      <c r="T233" s="1980">
        <v>0</v>
      </c>
      <c r="U233" s="2036">
        <v>0</v>
      </c>
    </row>
    <row r="234" spans="2:21" hidden="1" outlineLevel="1">
      <c r="B234" s="1050"/>
      <c r="C234" s="1050"/>
      <c r="D234" s="1051">
        <f t="shared" si="13"/>
        <v>52</v>
      </c>
      <c r="E234" s="1051" t="str">
        <f>IF(COUNTIF(E$132:E233,F234)&gt;0,"",F234)</f>
        <v>Ro-Ro, Chargement moyen, HFO-MGO, France continentale, Base Carbone</v>
      </c>
      <c r="F234" s="1051" t="str">
        <f t="shared" si="14"/>
        <v>Ro-Ro, Chargement moyen, HFO-MGO, France continentale, Base Carbone</v>
      </c>
      <c r="G234" s="1055" t="str">
        <f t="shared" si="15"/>
        <v>Ro-Ro, Chargement moyen, HFO-MGO, France continentale, Base Carbone; kgCO2e/tonne.km, Combustion</v>
      </c>
      <c r="I234" s="2018" t="s">
        <v>3862</v>
      </c>
      <c r="J234" s="1135" t="s">
        <v>2324</v>
      </c>
      <c r="K234" s="1119" t="s">
        <v>1567</v>
      </c>
      <c r="L234" s="1135" t="s">
        <v>1571</v>
      </c>
      <c r="M234" s="2043">
        <v>0.6</v>
      </c>
      <c r="N234" s="1135" t="s">
        <v>1569</v>
      </c>
      <c r="O234" s="2046">
        <v>4.1799999999999997E-2</v>
      </c>
      <c r="P234" s="1980">
        <v>4.1799999999999997E-2</v>
      </c>
      <c r="Q234" s="1980">
        <v>0</v>
      </c>
      <c r="R234" s="1980">
        <v>0</v>
      </c>
      <c r="S234" s="1980">
        <v>0</v>
      </c>
      <c r="T234" s="1980">
        <v>0</v>
      </c>
      <c r="U234" s="2036">
        <v>0</v>
      </c>
    </row>
    <row r="235" spans="2:21" hidden="1" outlineLevel="1">
      <c r="B235" s="1050"/>
      <c r="C235" s="1050"/>
      <c r="D235" s="1051">
        <f t="shared" si="13"/>
        <v>52</v>
      </c>
      <c r="E235" s="1051" t="str">
        <f>IF(COUNTIF(E$132:E234,F235)&gt;0,"",F235)</f>
        <v/>
      </c>
      <c r="F235" s="1051" t="str">
        <f t="shared" si="14"/>
        <v>Ro-Ro, Chargement moyen, HFO-MGO, France continentale, Base Carbone</v>
      </c>
      <c r="G235" s="1055" t="str">
        <f t="shared" si="15"/>
        <v>Ro-Ro, Chargement moyen, HFO-MGO, France continentale, Base Carbone; kgCO2e/tonne.km, Amont</v>
      </c>
      <c r="I235" s="2018" t="s">
        <v>3862</v>
      </c>
      <c r="J235" s="1135" t="s">
        <v>2324</v>
      </c>
      <c r="K235" s="1119" t="s">
        <v>1567</v>
      </c>
      <c r="L235" s="1135" t="s">
        <v>1571</v>
      </c>
      <c r="M235" s="1033">
        <v>0.6</v>
      </c>
      <c r="N235" s="1135" t="s">
        <v>1570</v>
      </c>
      <c r="O235" s="2046">
        <v>3.8500000000000001E-3</v>
      </c>
      <c r="P235" s="1980">
        <v>3.8500000000000001E-3</v>
      </c>
      <c r="Q235" s="1980">
        <v>0</v>
      </c>
      <c r="R235" s="1980">
        <v>0</v>
      </c>
      <c r="S235" s="1980">
        <v>0</v>
      </c>
      <c r="T235" s="1980">
        <v>0</v>
      </c>
      <c r="U235" s="2036">
        <v>0</v>
      </c>
    </row>
    <row r="236" spans="2:21" hidden="1" outlineLevel="1">
      <c r="B236" s="1050"/>
      <c r="C236" s="1050"/>
      <c r="D236" s="1051">
        <f t="shared" si="13"/>
        <v>53</v>
      </c>
      <c r="E236" s="1051" t="str">
        <f>IF(COUNTIF(E$132:E235,F236)&gt;0,"",F236)</f>
        <v>Ro-Ro, Remorques uniquement, HFO-MGO, France continentale, Base Carbone</v>
      </c>
      <c r="F236" s="1051" t="str">
        <f t="shared" si="14"/>
        <v>Ro-Ro, Remorques uniquement, HFO-MGO, France continentale, Base Carbone</v>
      </c>
      <c r="G236" s="1055" t="str">
        <f t="shared" si="15"/>
        <v>Ro-Ro, Remorques uniquement, HFO-MGO, France continentale, Base Carbone; kgCO2e/tonne.km, Combustion</v>
      </c>
      <c r="I236" s="2018" t="s">
        <v>3863</v>
      </c>
      <c r="J236" s="1135" t="s">
        <v>2324</v>
      </c>
      <c r="K236" s="1119" t="s">
        <v>1567</v>
      </c>
      <c r="L236" s="1135" t="s">
        <v>1571</v>
      </c>
      <c r="M236" s="1033">
        <v>0.6</v>
      </c>
      <c r="N236" s="1135" t="s">
        <v>1569</v>
      </c>
      <c r="O236" s="2046">
        <v>6.2799999999999995E-2</v>
      </c>
      <c r="P236" s="1980">
        <v>6.2799999999999995E-2</v>
      </c>
      <c r="Q236" s="1980">
        <v>0</v>
      </c>
      <c r="R236" s="1980">
        <v>0</v>
      </c>
      <c r="S236" s="1980">
        <v>0</v>
      </c>
      <c r="T236" s="1980">
        <v>0</v>
      </c>
      <c r="U236" s="2036">
        <v>0</v>
      </c>
    </row>
    <row r="237" spans="2:21" hidden="1" outlineLevel="1">
      <c r="B237" s="1050"/>
      <c r="C237" s="1050"/>
      <c r="D237" s="1051">
        <f t="shared" si="13"/>
        <v>53</v>
      </c>
      <c r="E237" s="1051" t="str">
        <f>IF(COUNTIF(E$132:E236,F237)&gt;0,"",F237)</f>
        <v/>
      </c>
      <c r="F237" s="1051" t="str">
        <f t="shared" si="14"/>
        <v>Ro-Ro, Remorques uniquement, HFO-MGO, France continentale, Base Carbone</v>
      </c>
      <c r="G237" s="1055" t="str">
        <f t="shared" si="15"/>
        <v>Ro-Ro, Remorques uniquement, HFO-MGO, France continentale, Base Carbone; kgCO2e/tonne.km, Amont</v>
      </c>
      <c r="I237" s="2018" t="s">
        <v>3863</v>
      </c>
      <c r="J237" s="1135" t="s">
        <v>2324</v>
      </c>
      <c r="K237" s="1119" t="s">
        <v>1567</v>
      </c>
      <c r="L237" s="1135" t="s">
        <v>1571</v>
      </c>
      <c r="M237" s="1033">
        <v>0.6</v>
      </c>
      <c r="N237" s="1135" t="s">
        <v>1570</v>
      </c>
      <c r="O237" s="2046">
        <v>5.8999999999999999E-3</v>
      </c>
      <c r="P237" s="1980">
        <v>5.8999999999999999E-3</v>
      </c>
      <c r="Q237" s="1980">
        <v>0</v>
      </c>
      <c r="R237" s="1980">
        <v>0</v>
      </c>
      <c r="S237" s="1980">
        <v>0</v>
      </c>
      <c r="T237" s="1980">
        <v>0</v>
      </c>
      <c r="U237" s="2036">
        <v>0</v>
      </c>
    </row>
    <row r="238" spans="2:21" hidden="1" outlineLevel="1">
      <c r="B238" s="1050"/>
      <c r="C238" s="1050"/>
      <c r="D238" s="1051">
        <f t="shared" si="13"/>
        <v>54</v>
      </c>
      <c r="E238" s="1051" t="str">
        <f>IF(COUNTIF(E$132:E237,F238)&gt;0,"",F238)</f>
        <v>Vraquier, 10 000 à 100 000 T, HFO-MGO, France continentale, Base Carbone</v>
      </c>
      <c r="F238" s="1051" t="str">
        <f t="shared" si="14"/>
        <v>Vraquier, 10 000 à 100 000 T, HFO-MGO, France continentale, Base Carbone</v>
      </c>
      <c r="G238" s="1055" t="str">
        <f t="shared" si="15"/>
        <v>Vraquier, 10 000 à 100 000 T, HFO-MGO, France continentale, Base Carbone; kgCO2e/tonne.km, Combustion</v>
      </c>
      <c r="I238" s="2018" t="s">
        <v>3864</v>
      </c>
      <c r="J238" s="1135" t="s">
        <v>2324</v>
      </c>
      <c r="K238" s="1119" t="s">
        <v>1567</v>
      </c>
      <c r="L238" s="1119" t="s">
        <v>1571</v>
      </c>
      <c r="M238" s="1033">
        <v>0.6</v>
      </c>
      <c r="N238" s="1119" t="s">
        <v>1569</v>
      </c>
      <c r="O238" s="2046">
        <v>6.8999999999999999E-3</v>
      </c>
      <c r="P238" s="1980">
        <v>6.9899999999999997E-3</v>
      </c>
      <c r="Q238" s="1980">
        <v>0</v>
      </c>
      <c r="R238" s="1980">
        <v>0</v>
      </c>
      <c r="S238" s="1980">
        <v>0</v>
      </c>
      <c r="T238" s="1980">
        <v>0</v>
      </c>
      <c r="U238" s="2036">
        <v>0</v>
      </c>
    </row>
    <row r="239" spans="2:21" hidden="1" outlineLevel="1">
      <c r="B239" s="1050"/>
      <c r="C239" s="1050"/>
      <c r="D239" s="1051">
        <f t="shared" si="13"/>
        <v>54</v>
      </c>
      <c r="E239" s="1051" t="str">
        <f>IF(COUNTIF(E$132:E238,F239)&gt;0,"",F239)</f>
        <v/>
      </c>
      <c r="F239" s="1051" t="str">
        <f t="shared" si="14"/>
        <v>Vraquier, 10 000 à 100 000 T, HFO-MGO, France continentale, Base Carbone</v>
      </c>
      <c r="G239" s="1055" t="str">
        <f t="shared" si="15"/>
        <v>Vraquier, 10 000 à 100 000 T, HFO-MGO, France continentale, Base Carbone; kgCO2e/tonne.km, Amont</v>
      </c>
      <c r="I239" s="2018" t="s">
        <v>3864</v>
      </c>
      <c r="J239" s="1135" t="s">
        <v>2324</v>
      </c>
      <c r="K239" s="1119" t="s">
        <v>1567</v>
      </c>
      <c r="L239" s="1119" t="s">
        <v>1571</v>
      </c>
      <c r="M239" s="1033">
        <v>0.6</v>
      </c>
      <c r="N239" s="1119" t="s">
        <v>1570</v>
      </c>
      <c r="O239" s="2046">
        <v>5.0799999999999999E-4</v>
      </c>
      <c r="P239" s="1980">
        <v>5.0799999999999999E-4</v>
      </c>
      <c r="Q239" s="1980">
        <v>0</v>
      </c>
      <c r="R239" s="1980">
        <v>0</v>
      </c>
      <c r="S239" s="1980">
        <v>0</v>
      </c>
      <c r="T239" s="1980">
        <v>0</v>
      </c>
      <c r="U239" s="2036">
        <v>0</v>
      </c>
    </row>
    <row r="240" spans="2:21" hidden="1" outlineLevel="1">
      <c r="B240" s="1050"/>
      <c r="C240" s="1050"/>
      <c r="D240" s="1051">
        <f t="shared" si="13"/>
        <v>55</v>
      </c>
      <c r="E240" s="1051" t="str">
        <f>IF(COUNTIF(E$132:E239,F240)&gt;0,"",F240)</f>
        <v>Vraquier, &lt;10 000 T, GNL, France continentale, Base Carbone</v>
      </c>
      <c r="F240" s="1051" t="str">
        <f t="shared" si="14"/>
        <v>Vraquier, &lt;10 000 T, GNL, France continentale, Base Carbone</v>
      </c>
      <c r="G240" s="1055" t="str">
        <f t="shared" si="15"/>
        <v>Vraquier, &lt;10 000 T, GNL, France continentale, Base Carbone; kgCO2e/tonne.km, Combustion</v>
      </c>
      <c r="I240" s="2018" t="s">
        <v>3865</v>
      </c>
      <c r="J240" s="1135" t="s">
        <v>2324</v>
      </c>
      <c r="K240" s="1119" t="s">
        <v>1567</v>
      </c>
      <c r="L240" s="1119" t="s">
        <v>1571</v>
      </c>
      <c r="M240" s="1033">
        <v>0.6</v>
      </c>
      <c r="N240" s="1119" t="s">
        <v>1569</v>
      </c>
      <c r="O240" s="2046">
        <v>2E-3</v>
      </c>
      <c r="P240" s="1980">
        <v>2E-3</v>
      </c>
      <c r="Q240" s="1980">
        <v>0</v>
      </c>
      <c r="R240" s="1980">
        <v>0</v>
      </c>
      <c r="S240" s="1980">
        <v>0</v>
      </c>
      <c r="T240" s="1980">
        <v>0</v>
      </c>
      <c r="U240" s="2036">
        <v>0</v>
      </c>
    </row>
    <row r="241" spans="2:21" hidden="1" outlineLevel="1">
      <c r="B241" s="1050"/>
      <c r="C241" s="1050"/>
      <c r="D241" s="1051">
        <f t="shared" ref="D241:D252" si="16">D240+IF(LEN(E241)&gt;0,1,0)</f>
        <v>55</v>
      </c>
      <c r="E241" s="1051" t="str">
        <f>IF(COUNTIF(E$132:E240,F241)&gt;0,"",F241)</f>
        <v/>
      </c>
      <c r="F241" s="1051" t="str">
        <f t="shared" ref="F241:F252" si="17">IF(I241&lt;&gt;"",I241&amp;IF(L241&lt;&gt;"",", "&amp;L241,"")&amp;IF(K241&lt;&gt;"",", "&amp;K241,""),"")</f>
        <v>Vraquier, &lt;10 000 T, GNL, France continentale, Base Carbone</v>
      </c>
      <c r="G241" s="1055" t="str">
        <f t="shared" ref="G241:G252" si="18">IF(F241&lt;&gt;"",F241&amp;IF(J241&lt;&gt;"","; "&amp;J241&amp;IF(N241&lt;&gt;"",", "&amp;N241,),""),"")</f>
        <v>Vraquier, &lt;10 000 T, GNL, France continentale, Base Carbone; kgCO2e/tonne.km, Amont</v>
      </c>
      <c r="I241" s="2018" t="s">
        <v>3865</v>
      </c>
      <c r="J241" s="1135" t="s">
        <v>2324</v>
      </c>
      <c r="K241" s="1119" t="s">
        <v>1567</v>
      </c>
      <c r="L241" s="1119" t="s">
        <v>1571</v>
      </c>
      <c r="M241" s="1033">
        <v>0.6</v>
      </c>
      <c r="N241" s="1119" t="s">
        <v>1570</v>
      </c>
      <c r="O241" s="2046">
        <v>6.9999999999999999E-4</v>
      </c>
      <c r="P241" s="1980">
        <v>6.9999999999999999E-4</v>
      </c>
      <c r="Q241" s="1980">
        <v>0</v>
      </c>
      <c r="R241" s="1980">
        <v>0</v>
      </c>
      <c r="S241" s="1980">
        <v>0</v>
      </c>
      <c r="T241" s="1980">
        <v>0</v>
      </c>
      <c r="U241" s="2036">
        <v>0</v>
      </c>
    </row>
    <row r="242" spans="2:21" hidden="1" outlineLevel="1">
      <c r="B242" s="1050"/>
      <c r="C242" s="1050"/>
      <c r="D242" s="1051">
        <f t="shared" si="16"/>
        <v>56</v>
      </c>
      <c r="E242" s="1051" t="str">
        <f>IF(COUNTIF(E$132:E241,F242)&gt;0,"",F242)</f>
        <v>Vraquier, &lt;10 000 T, HFO-MGO, France continentale, Base Carbone</v>
      </c>
      <c r="F242" s="1051" t="str">
        <f t="shared" si="17"/>
        <v>Vraquier, &lt;10 000 T, HFO-MGO, France continentale, Base Carbone</v>
      </c>
      <c r="G242" s="1055" t="str">
        <f t="shared" si="18"/>
        <v>Vraquier, &lt;10 000 T, HFO-MGO, France continentale, Base Carbone; kgCO2e/tonne.km, Combustion</v>
      </c>
      <c r="I242" s="2018" t="s">
        <v>4766</v>
      </c>
      <c r="J242" s="1135" t="s">
        <v>2324</v>
      </c>
      <c r="K242" s="1119" t="s">
        <v>1567</v>
      </c>
      <c r="L242" s="1119" t="s">
        <v>1571</v>
      </c>
      <c r="M242" s="1033">
        <v>0.6</v>
      </c>
      <c r="N242" s="1119" t="s">
        <v>1569</v>
      </c>
      <c r="O242" s="2046">
        <v>0.03</v>
      </c>
      <c r="P242" s="1980">
        <v>0.03</v>
      </c>
      <c r="Q242" s="1980">
        <v>0</v>
      </c>
      <c r="R242" s="1980">
        <v>0</v>
      </c>
      <c r="S242" s="1980">
        <v>0</v>
      </c>
      <c r="T242" s="1980">
        <v>0</v>
      </c>
      <c r="U242" s="2036">
        <v>0</v>
      </c>
    </row>
    <row r="243" spans="2:21" hidden="1" outlineLevel="1">
      <c r="B243" s="1050"/>
      <c r="C243" s="1050"/>
      <c r="D243" s="1051">
        <f t="shared" si="16"/>
        <v>56</v>
      </c>
      <c r="E243" s="1051" t="str">
        <f>IF(COUNTIF(E$132:E242,F243)&gt;0,"",F243)</f>
        <v/>
      </c>
      <c r="F243" s="1051" t="str">
        <f t="shared" si="17"/>
        <v>Vraquier, &lt;10 000 T, HFO-MGO, France continentale, Base Carbone</v>
      </c>
      <c r="G243" s="1055" t="str">
        <f t="shared" si="18"/>
        <v>Vraquier, &lt;10 000 T, HFO-MGO, France continentale, Base Carbone; kgCO2e/tonne.km, Amont</v>
      </c>
      <c r="I243" s="2018" t="s">
        <v>4766</v>
      </c>
      <c r="J243" s="1135" t="s">
        <v>2324</v>
      </c>
      <c r="K243" s="1119" t="s">
        <v>1567</v>
      </c>
      <c r="L243" s="1119" t="s">
        <v>1571</v>
      </c>
      <c r="M243" s="1033">
        <v>0.6</v>
      </c>
      <c r="N243" s="1119" t="s">
        <v>1570</v>
      </c>
      <c r="O243" s="2046">
        <v>2.5400000000000002E-3</v>
      </c>
      <c r="P243" s="1980">
        <v>2.5400000000000002E-3</v>
      </c>
      <c r="Q243" s="1980">
        <v>0</v>
      </c>
      <c r="R243" s="1980">
        <v>0</v>
      </c>
      <c r="S243" s="1980">
        <v>0</v>
      </c>
      <c r="T243" s="1980">
        <v>0</v>
      </c>
      <c r="U243" s="2036">
        <v>0</v>
      </c>
    </row>
    <row r="244" spans="2:21" hidden="1" outlineLevel="1">
      <c r="B244" s="1050"/>
      <c r="C244" s="1050"/>
      <c r="D244" s="1051">
        <f t="shared" si="16"/>
        <v>57</v>
      </c>
      <c r="E244" s="1051" t="str">
        <f>IF(COUNTIF(E$132:E243,F244)&gt;0,"",F244)</f>
        <v>Vraquier, &gt;100 000 T, HFO-MGO, France continentale, Base Carbone</v>
      </c>
      <c r="F244" s="1051" t="str">
        <f t="shared" si="17"/>
        <v>Vraquier, &gt;100 000 T, HFO-MGO, France continentale, Base Carbone</v>
      </c>
      <c r="G244" s="1055" t="str">
        <f t="shared" si="18"/>
        <v>Vraquier, &gt;100 000 T, HFO-MGO, France continentale, Base Carbone; kgCO2e/tonne.km, Combustion</v>
      </c>
      <c r="I244" s="2018" t="s">
        <v>3866</v>
      </c>
      <c r="J244" s="1135" t="s">
        <v>2324</v>
      </c>
      <c r="K244" s="1119" t="s">
        <v>1567</v>
      </c>
      <c r="L244" s="1119" t="s">
        <v>1571</v>
      </c>
      <c r="M244" s="1033">
        <v>0.6</v>
      </c>
      <c r="N244" s="1119" t="s">
        <v>1569</v>
      </c>
      <c r="O244" s="2046">
        <v>2.7000000000000001E-3</v>
      </c>
      <c r="P244" s="1980">
        <v>2.7000000000000001E-3</v>
      </c>
      <c r="Q244" s="1980">
        <v>0</v>
      </c>
      <c r="R244" s="1980">
        <v>0</v>
      </c>
      <c r="S244" s="1980">
        <v>0</v>
      </c>
      <c r="T244" s="1980">
        <v>0</v>
      </c>
      <c r="U244" s="2036">
        <v>0</v>
      </c>
    </row>
    <row r="245" spans="2:21" hidden="1" outlineLevel="1">
      <c r="B245" s="1050"/>
      <c r="C245" s="1050"/>
      <c r="D245" s="1051">
        <f t="shared" si="16"/>
        <v>57</v>
      </c>
      <c r="E245" s="1051" t="str">
        <f>IF(COUNTIF(E$132:E244,F245)&gt;0,"",F245)</f>
        <v/>
      </c>
      <c r="F245" s="1051" t="str">
        <f t="shared" si="17"/>
        <v>Vraquier, &gt;100 000 T, HFO-MGO, France continentale, Base Carbone</v>
      </c>
      <c r="G245" s="1055" t="str">
        <f t="shared" si="18"/>
        <v>Vraquier, &gt;100 000 T, HFO-MGO, France continentale, Base Carbone; kgCO2e/tonne.km, Amont</v>
      </c>
      <c r="I245" s="2018" t="s">
        <v>3866</v>
      </c>
      <c r="J245" s="1135" t="s">
        <v>2324</v>
      </c>
      <c r="K245" s="1119" t="s">
        <v>1567</v>
      </c>
      <c r="L245" s="1119" t="s">
        <v>1571</v>
      </c>
      <c r="M245" s="1033">
        <v>0.6</v>
      </c>
      <c r="N245" s="1119" t="s">
        <v>1570</v>
      </c>
      <c r="O245" s="2046">
        <v>2.03E-4</v>
      </c>
      <c r="P245" s="1980">
        <v>2.03E-4</v>
      </c>
      <c r="Q245" s="1980">
        <v>0</v>
      </c>
      <c r="R245" s="1980">
        <v>0</v>
      </c>
      <c r="S245" s="1980">
        <v>0</v>
      </c>
      <c r="T245" s="1980">
        <v>0</v>
      </c>
      <c r="U245" s="2036">
        <v>0</v>
      </c>
    </row>
    <row r="246" spans="2:21" hidden="1" outlineLevel="1">
      <c r="B246" s="1050"/>
      <c r="C246" s="1050"/>
      <c r="D246" s="1051">
        <f t="shared" si="16"/>
        <v>57</v>
      </c>
      <c r="E246" s="1051" t="str">
        <f>IF(COUNTIF(E$132:E245,F246)&gt;0,"",F246)</f>
        <v/>
      </c>
      <c r="F246" s="1051" t="str">
        <f t="shared" si="17"/>
        <v/>
      </c>
      <c r="G246" s="1055" t="str">
        <f t="shared" si="18"/>
        <v/>
      </c>
      <c r="I246" s="1100"/>
      <c r="J246" s="1048"/>
      <c r="K246" s="1119"/>
      <c r="L246" s="1048"/>
      <c r="M246" s="1033"/>
      <c r="N246" s="1135"/>
      <c r="O246" s="2046"/>
      <c r="P246" s="1980"/>
      <c r="Q246" s="2055"/>
      <c r="R246" s="2055"/>
      <c r="S246" s="2055"/>
      <c r="T246" s="2055"/>
      <c r="U246" s="2057"/>
    </row>
    <row r="247" spans="2:21" hidden="1" outlineLevel="1">
      <c r="B247" s="1050"/>
      <c r="C247" s="1050"/>
      <c r="D247" s="1051">
        <f t="shared" si="16"/>
        <v>57</v>
      </c>
      <c r="E247" s="1051" t="str">
        <f>IF(COUNTIF(E$132:E246,F247)&gt;0,"",F247)</f>
        <v/>
      </c>
      <c r="F247" s="1051" t="str">
        <f t="shared" si="17"/>
        <v/>
      </c>
      <c r="G247" s="1055" t="str">
        <f t="shared" si="18"/>
        <v/>
      </c>
      <c r="I247" s="1100"/>
      <c r="J247" s="1048"/>
      <c r="K247" s="1119"/>
      <c r="L247" s="1048"/>
      <c r="M247" s="1033"/>
      <c r="N247" s="1135"/>
      <c r="O247" s="2046"/>
      <c r="P247" s="1980"/>
      <c r="Q247" s="2055"/>
      <c r="R247" s="2055"/>
      <c r="S247" s="2055"/>
      <c r="T247" s="2055"/>
      <c r="U247" s="2057"/>
    </row>
    <row r="248" spans="2:21" hidden="1" outlineLevel="1">
      <c r="B248" s="1050"/>
      <c r="C248" s="1050"/>
      <c r="D248" s="1051">
        <f t="shared" si="16"/>
        <v>57</v>
      </c>
      <c r="E248" s="1051" t="str">
        <f>IF(COUNTIF(E$132:E247,F248)&gt;0,"",F248)</f>
        <v/>
      </c>
      <c r="F248" s="1051" t="str">
        <f t="shared" si="17"/>
        <v/>
      </c>
      <c r="G248" s="1055" t="str">
        <f t="shared" si="18"/>
        <v/>
      </c>
      <c r="I248" s="1100"/>
      <c r="J248" s="1048"/>
      <c r="K248" s="1119"/>
      <c r="L248" s="1048"/>
      <c r="M248" s="1033"/>
      <c r="N248" s="1135"/>
      <c r="O248" s="2046"/>
      <c r="P248" s="1980"/>
      <c r="Q248" s="2055"/>
      <c r="R248" s="2055"/>
      <c r="S248" s="2055"/>
      <c r="T248" s="2055"/>
      <c r="U248" s="2057"/>
    </row>
    <row r="249" spans="2:21" hidden="1" outlineLevel="1">
      <c r="B249" s="1050"/>
      <c r="C249" s="1050"/>
      <c r="D249" s="1051">
        <f t="shared" si="16"/>
        <v>57</v>
      </c>
      <c r="E249" s="1051" t="str">
        <f>IF(COUNTIF(E$132:E248,F249)&gt;0,"",F249)</f>
        <v/>
      </c>
      <c r="F249" s="1051" t="str">
        <f t="shared" si="17"/>
        <v/>
      </c>
      <c r="G249" s="1055" t="str">
        <f t="shared" si="18"/>
        <v/>
      </c>
      <c r="I249" s="1100"/>
      <c r="J249" s="1048"/>
      <c r="K249" s="1119"/>
      <c r="L249" s="1048"/>
      <c r="M249" s="1033"/>
      <c r="N249" s="1135"/>
      <c r="O249" s="2046"/>
      <c r="P249" s="1980"/>
      <c r="Q249" s="2055"/>
      <c r="R249" s="2055"/>
      <c r="S249" s="2055"/>
      <c r="T249" s="2055"/>
      <c r="U249" s="2057"/>
    </row>
    <row r="250" spans="2:21" hidden="1" outlineLevel="1">
      <c r="B250" s="1050"/>
      <c r="C250" s="1050"/>
      <c r="D250" s="1051">
        <f t="shared" si="16"/>
        <v>57</v>
      </c>
      <c r="E250" s="1051" t="str">
        <f>IF(COUNTIF(E$132:E249,F250)&gt;0,"",F250)</f>
        <v/>
      </c>
      <c r="F250" s="1051" t="str">
        <f t="shared" si="17"/>
        <v/>
      </c>
      <c r="G250" s="1055" t="str">
        <f t="shared" si="18"/>
        <v/>
      </c>
      <c r="I250" s="1100"/>
      <c r="J250" s="1048"/>
      <c r="K250" s="1119"/>
      <c r="L250" s="1048"/>
      <c r="M250" s="1033"/>
      <c r="N250" s="1135"/>
      <c r="O250" s="2046"/>
      <c r="P250" s="1980"/>
      <c r="Q250" s="2055"/>
      <c r="R250" s="2055"/>
      <c r="S250" s="2055"/>
      <c r="T250" s="2055"/>
      <c r="U250" s="2057"/>
    </row>
    <row r="251" spans="2:21" hidden="1" outlineLevel="1">
      <c r="B251" s="1050"/>
      <c r="C251" s="1050"/>
      <c r="D251" s="1051">
        <f t="shared" si="16"/>
        <v>57</v>
      </c>
      <c r="E251" s="1051" t="str">
        <f>IF(COUNTIF(E$132:E250,F251)&gt;0,"",F251)</f>
        <v/>
      </c>
      <c r="F251" s="1051" t="str">
        <f t="shared" si="17"/>
        <v/>
      </c>
      <c r="G251" s="1055" t="str">
        <f t="shared" si="18"/>
        <v/>
      </c>
      <c r="I251" s="1100"/>
      <c r="J251" s="1048"/>
      <c r="K251" s="1119"/>
      <c r="L251" s="1048"/>
      <c r="M251" s="1033"/>
      <c r="N251" s="1048"/>
      <c r="O251" s="1048"/>
      <c r="P251" s="1048"/>
      <c r="Q251" s="1048"/>
      <c r="R251" s="1048"/>
      <c r="S251" s="1048"/>
      <c r="T251" s="1048"/>
      <c r="U251" s="1102"/>
    </row>
    <row r="252" spans="2:21" hidden="1" outlineLevel="1">
      <c r="B252" s="1050"/>
      <c r="C252" s="1050"/>
      <c r="D252" s="1051">
        <f t="shared" si="16"/>
        <v>57</v>
      </c>
      <c r="E252" s="1051" t="str">
        <f>IF(COUNTIF(E$132:E251,F252)&gt;0,"",F252)</f>
        <v/>
      </c>
      <c r="F252" s="1051" t="str">
        <f t="shared" si="17"/>
        <v/>
      </c>
      <c r="G252" s="1055" t="str">
        <f t="shared" si="18"/>
        <v/>
      </c>
      <c r="I252" s="1103"/>
      <c r="J252" s="1104"/>
      <c r="K252" s="1095"/>
      <c r="L252" s="1104"/>
      <c r="M252" s="1155"/>
      <c r="N252" s="1104"/>
      <c r="O252" s="1104"/>
      <c r="P252" s="1104"/>
      <c r="Q252" s="1104"/>
      <c r="R252" s="1104"/>
      <c r="S252" s="1104"/>
      <c r="T252" s="1104"/>
      <c r="U252" s="1106"/>
    </row>
    <row r="253" spans="2:21"/>
    <row r="254" spans="2:21" ht="15.6" collapsed="1">
      <c r="I254" s="3167" t="s">
        <v>2336</v>
      </c>
      <c r="J254" s="3168"/>
      <c r="K254" s="3168"/>
      <c r="L254" s="3168"/>
      <c r="M254" s="3168"/>
      <c r="N254" s="3168"/>
      <c r="O254" s="3168"/>
      <c r="P254" s="3168"/>
      <c r="Q254" s="3168"/>
      <c r="R254" s="3168"/>
      <c r="S254" s="3168"/>
      <c r="T254" s="3168"/>
      <c r="U254" s="3169"/>
    </row>
    <row r="255" spans="2:21" hidden="1" outlineLevel="1">
      <c r="R255" s="1083"/>
    </row>
    <row r="256" spans="2:21" ht="12.75" hidden="1" customHeight="1" outlineLevel="1">
      <c r="B256" s="3154" t="s">
        <v>1617</v>
      </c>
      <c r="C256" s="3154"/>
      <c r="D256" s="3157" t="s">
        <v>1619</v>
      </c>
      <c r="E256" s="3157"/>
      <c r="F256" s="1151" t="s">
        <v>1616</v>
      </c>
      <c r="G256" s="1053" t="s">
        <v>1618</v>
      </c>
      <c r="H256" s="1044"/>
      <c r="I256" s="1038" t="s">
        <v>1557</v>
      </c>
      <c r="J256" s="1040" t="s">
        <v>1266</v>
      </c>
      <c r="K256" s="1043" t="s">
        <v>224</v>
      </c>
      <c r="L256" s="1043" t="s">
        <v>1558</v>
      </c>
      <c r="M256" s="1039" t="s">
        <v>366</v>
      </c>
      <c r="N256" s="1040" t="s">
        <v>1559</v>
      </c>
      <c r="O256" s="1041" t="s">
        <v>1560</v>
      </c>
      <c r="P256" s="1043" t="s">
        <v>211</v>
      </c>
      <c r="Q256" s="1043" t="s">
        <v>1561</v>
      </c>
      <c r="R256" s="1041" t="s">
        <v>1562</v>
      </c>
      <c r="S256" s="1041" t="s">
        <v>267</v>
      </c>
      <c r="T256" s="1043" t="s">
        <v>1563</v>
      </c>
      <c r="U256" s="1042" t="s">
        <v>1564</v>
      </c>
    </row>
    <row r="257" spans="2:21" s="1045" customFormat="1" ht="12.75" hidden="1" customHeight="1" outlineLevel="1">
      <c r="B257" s="3156" t="s">
        <v>2336</v>
      </c>
      <c r="C257" s="3156"/>
      <c r="D257" s="1051">
        <v>0</v>
      </c>
      <c r="E257" s="1051"/>
      <c r="F257" s="1051"/>
      <c r="G257" s="1054"/>
      <c r="H257" s="1046"/>
      <c r="I257" s="1688"/>
      <c r="J257" s="1689"/>
      <c r="K257" s="1690"/>
      <c r="L257" s="1690"/>
      <c r="M257" s="1691"/>
      <c r="N257" s="1689"/>
      <c r="O257" s="1692"/>
      <c r="P257" s="1690"/>
      <c r="Q257" s="1690"/>
      <c r="R257" s="1692"/>
      <c r="S257" s="1692"/>
      <c r="T257" s="1690"/>
      <c r="U257" s="1693"/>
    </row>
    <row r="258" spans="2:21" hidden="1" outlineLevel="1">
      <c r="B258" s="1050">
        <v>1</v>
      </c>
      <c r="C258" s="1050" t="str">
        <f>IF(ISNA(VLOOKUP(B258,$D$257:$E$279,2,FALSE)),"-",VLOOKUP(B258,$D$257:$E$279,2,FALSE))</f>
        <v>Bateau automoteur, &lt; 400 TPL, France continentale, Base Carbone</v>
      </c>
      <c r="D258" s="1051">
        <f>D257+IF(LEN(E258)&gt;0,1,0)</f>
        <v>1</v>
      </c>
      <c r="E258" s="1051" t="str">
        <f>IF(COUNTIF(E$257:E257,F258)&gt;0,"",F258)</f>
        <v>Bateau automoteur, &lt; 400 TPL, France continentale, Base Carbone</v>
      </c>
      <c r="F258" s="1051" t="str">
        <f>IF(I258&lt;&gt;"",I258&amp;IF(L258&lt;&gt;"",", "&amp;L258,"")&amp;IF(K258&lt;&gt;"",", "&amp;K258,""),"")</f>
        <v>Bateau automoteur, &lt; 400 TPL, France continentale, Base Carbone</v>
      </c>
      <c r="G258" s="1055" t="str">
        <f>IF(F258&lt;&gt;"",F258&amp;IF(J258&lt;&gt;"","; "&amp;J258&amp;IF(N258&lt;&gt;"",", "&amp;N258,),""),"")</f>
        <v>Bateau automoteur, &lt; 400 TPL, France continentale, Base Carbone; kgCO2e/tonne.km, Combustion</v>
      </c>
      <c r="I258" s="1034" t="s">
        <v>3867</v>
      </c>
      <c r="J258" s="1119" t="s">
        <v>2324</v>
      </c>
      <c r="K258" s="1119" t="s">
        <v>1567</v>
      </c>
      <c r="L258" s="1032" t="s">
        <v>1571</v>
      </c>
      <c r="M258" s="1033">
        <v>0.7</v>
      </c>
      <c r="N258" s="1135" t="s">
        <v>1569</v>
      </c>
      <c r="O258" s="1036">
        <v>2.6200000000000001E-2</v>
      </c>
      <c r="P258" s="1980">
        <v>2.6200000000000001E-2</v>
      </c>
      <c r="Q258" s="1980">
        <v>0</v>
      </c>
      <c r="R258" s="1980">
        <v>0</v>
      </c>
      <c r="S258" s="1980">
        <v>0</v>
      </c>
      <c r="T258" s="1980">
        <v>0</v>
      </c>
      <c r="U258" s="2036">
        <v>0</v>
      </c>
    </row>
    <row r="259" spans="2:21" hidden="1" outlineLevel="1">
      <c r="B259" s="1050">
        <v>2</v>
      </c>
      <c r="C259" s="1050" t="str">
        <f t="shared" ref="C259:C276" si="19">IF(ISNA(VLOOKUP(B259,$D$257:$E$279,2,FALSE)),"-",VLOOKUP(B259,$D$257:$E$279,2,FALSE))</f>
        <v>Bateau automoteur, 400 à 649 TPL, France continentale, Base Carbone</v>
      </c>
      <c r="D259" s="1051">
        <f t="shared" ref="D259:D279" si="20">D258+IF(LEN(E259)&gt;0,1,0)</f>
        <v>1</v>
      </c>
      <c r="E259" s="1051" t="str">
        <f>IF(COUNTIF(E$257:E258,F259)&gt;0,"",F259)</f>
        <v/>
      </c>
      <c r="F259" s="1051" t="str">
        <f t="shared" ref="F259:F279" si="21">IF(I259&lt;&gt;"",I259&amp;IF(L259&lt;&gt;"",", "&amp;L259,"")&amp;IF(K259&lt;&gt;"",", "&amp;K259,""),"")</f>
        <v>Bateau automoteur, &lt; 400 TPL, France continentale, Base Carbone</v>
      </c>
      <c r="G259" s="1055" t="str">
        <f t="shared" ref="G259:G279" si="22">IF(F259&lt;&gt;"",F259&amp;IF(J259&lt;&gt;"","; "&amp;J259&amp;IF(N259&lt;&gt;"",", "&amp;N259,),""),"")</f>
        <v>Bateau automoteur, &lt; 400 TPL, France continentale, Base Carbone; kgCO2e/tonne.km, Amont</v>
      </c>
      <c r="I259" s="1034" t="s">
        <v>3867</v>
      </c>
      <c r="J259" s="1119" t="s">
        <v>2324</v>
      </c>
      <c r="K259" s="1119" t="s">
        <v>1567</v>
      </c>
      <c r="L259" s="1135" t="s">
        <v>1571</v>
      </c>
      <c r="M259" s="2186">
        <v>0.7</v>
      </c>
      <c r="N259" s="1135" t="s">
        <v>1570</v>
      </c>
      <c r="O259" s="1036">
        <v>6.8100000000000001E-3</v>
      </c>
      <c r="P259" s="1980">
        <v>6.8100000000000001E-3</v>
      </c>
      <c r="Q259" s="1980">
        <v>0</v>
      </c>
      <c r="R259" s="1980">
        <v>0</v>
      </c>
      <c r="S259" s="1980">
        <v>0</v>
      </c>
      <c r="T259" s="1980">
        <v>0</v>
      </c>
      <c r="U259" s="2036">
        <v>0</v>
      </c>
    </row>
    <row r="260" spans="2:21" hidden="1" outlineLevel="1">
      <c r="B260" s="1050">
        <v>3</v>
      </c>
      <c r="C260" s="1050" t="str">
        <f t="shared" si="19"/>
        <v>Bateau automoteur, 650 à 999 TPL, France continentale, Base Carbone</v>
      </c>
      <c r="D260" s="1051">
        <f t="shared" si="20"/>
        <v>2</v>
      </c>
      <c r="E260" s="1051" t="str">
        <f>IF(COUNTIF(E$257:E259,F260)&gt;0,"",F260)</f>
        <v>Bateau automoteur, 400 à 649 TPL, France continentale, Base Carbone</v>
      </c>
      <c r="F260" s="1051" t="str">
        <f t="shared" si="21"/>
        <v>Bateau automoteur, 400 à 649 TPL, France continentale, Base Carbone</v>
      </c>
      <c r="G260" s="1055" t="str">
        <f t="shared" si="22"/>
        <v>Bateau automoteur, 400 à 649 TPL, France continentale, Base Carbone; kgCO2e/tonne.km, Combustion</v>
      </c>
      <c r="I260" s="2018" t="s">
        <v>3868</v>
      </c>
      <c r="J260" s="1032" t="s">
        <v>2324</v>
      </c>
      <c r="K260" s="1119" t="s">
        <v>1567</v>
      </c>
      <c r="L260" s="1135" t="s">
        <v>1571</v>
      </c>
      <c r="M260" s="1033">
        <v>0.7</v>
      </c>
      <c r="N260" s="1135" t="s">
        <v>1569</v>
      </c>
      <c r="O260" s="1036">
        <v>2.8500000000000001E-2</v>
      </c>
      <c r="P260" s="1980">
        <v>2.8500000000000001E-2</v>
      </c>
      <c r="Q260" s="1980">
        <v>0</v>
      </c>
      <c r="R260" s="1980">
        <v>0</v>
      </c>
      <c r="S260" s="1980">
        <v>0</v>
      </c>
      <c r="T260" s="1980">
        <v>0</v>
      </c>
      <c r="U260" s="2036">
        <v>0</v>
      </c>
    </row>
    <row r="261" spans="2:21" hidden="1" outlineLevel="1">
      <c r="B261" s="1050">
        <v>4</v>
      </c>
      <c r="C261" s="1050" t="str">
        <f t="shared" si="19"/>
        <v>Bateau automoteur, 1000 à 1499 TPL, France continentale, Base Carbone</v>
      </c>
      <c r="D261" s="1051">
        <f t="shared" si="20"/>
        <v>2</v>
      </c>
      <c r="E261" s="1051" t="str">
        <f>IF(COUNTIF(E$257:E260,F261)&gt;0,"",F261)</f>
        <v/>
      </c>
      <c r="F261" s="1051" t="str">
        <f t="shared" si="21"/>
        <v>Bateau automoteur, 400 à 649 TPL, France continentale, Base Carbone</v>
      </c>
      <c r="G261" s="1055" t="str">
        <f t="shared" si="22"/>
        <v>Bateau automoteur, 400 à 649 TPL, France continentale, Base Carbone; kgCO2e/tonne.km, Amont</v>
      </c>
      <c r="I261" s="2018" t="s">
        <v>3868</v>
      </c>
      <c r="J261" s="1119" t="s">
        <v>2324</v>
      </c>
      <c r="K261" s="1119" t="s">
        <v>1567</v>
      </c>
      <c r="L261" s="1135" t="s">
        <v>1571</v>
      </c>
      <c r="M261" s="1033">
        <v>0.7</v>
      </c>
      <c r="N261" s="1135" t="s">
        <v>1570</v>
      </c>
      <c r="O261" s="1036">
        <v>7.4099999999999999E-3</v>
      </c>
      <c r="P261" s="1980">
        <v>7.4099999999999999E-3</v>
      </c>
      <c r="Q261" s="1980">
        <v>0</v>
      </c>
      <c r="R261" s="1980">
        <v>0</v>
      </c>
      <c r="S261" s="1980">
        <v>0</v>
      </c>
      <c r="T261" s="1980">
        <v>0</v>
      </c>
      <c r="U261" s="2036">
        <v>0</v>
      </c>
    </row>
    <row r="262" spans="2:21" hidden="1" outlineLevel="1">
      <c r="B262" s="1050">
        <v>5</v>
      </c>
      <c r="C262" s="1050" t="str">
        <f t="shared" si="19"/>
        <v>Bateau automoteur, 1500 à 2999 TPL, France continentale, Base Carbone</v>
      </c>
      <c r="D262" s="1051">
        <f t="shared" si="20"/>
        <v>3</v>
      </c>
      <c r="E262" s="1051" t="str">
        <f>IF(COUNTIF(E$257:E261,F262)&gt;0,"",F262)</f>
        <v>Bateau automoteur, 650 à 999 TPL, France continentale, Base Carbone</v>
      </c>
      <c r="F262" s="1051" t="str">
        <f t="shared" si="21"/>
        <v>Bateau automoteur, 650 à 999 TPL, France continentale, Base Carbone</v>
      </c>
      <c r="G262" s="1055" t="str">
        <f t="shared" si="22"/>
        <v>Bateau automoteur, 650 à 999 TPL, France continentale, Base Carbone; kgCO2e/tonne.km, Combustion</v>
      </c>
      <c r="I262" s="2018" t="s">
        <v>3869</v>
      </c>
      <c r="J262" s="1032" t="s">
        <v>2324</v>
      </c>
      <c r="K262" s="1119" t="s">
        <v>1567</v>
      </c>
      <c r="L262" s="1135" t="s">
        <v>1571</v>
      </c>
      <c r="M262" s="1033">
        <v>0.7</v>
      </c>
      <c r="N262" s="1135" t="s">
        <v>1569</v>
      </c>
      <c r="O262" s="1036">
        <v>2.0500000000000001E-2</v>
      </c>
      <c r="P262" s="1980">
        <v>2.0500000000000001E-2</v>
      </c>
      <c r="Q262" s="1980">
        <v>0</v>
      </c>
      <c r="R262" s="1980">
        <v>0</v>
      </c>
      <c r="S262" s="1980">
        <v>0</v>
      </c>
      <c r="T262" s="1980">
        <v>0</v>
      </c>
      <c r="U262" s="2036">
        <v>0</v>
      </c>
    </row>
    <row r="263" spans="2:21" hidden="1" outlineLevel="1">
      <c r="B263" s="1050">
        <v>6</v>
      </c>
      <c r="C263" s="1050" t="str">
        <f t="shared" si="19"/>
        <v>Bateau automoteur, &gt; 3000 TPL, France continentale, Base Carbone</v>
      </c>
      <c r="D263" s="1051">
        <f t="shared" si="20"/>
        <v>3</v>
      </c>
      <c r="E263" s="1051" t="str">
        <f>IF(COUNTIF(E$257:E262,F263)&gt;0,"",F263)</f>
        <v/>
      </c>
      <c r="F263" s="1051" t="str">
        <f t="shared" si="21"/>
        <v>Bateau automoteur, 650 à 999 TPL, France continentale, Base Carbone</v>
      </c>
      <c r="G263" s="1055" t="str">
        <f t="shared" si="22"/>
        <v>Bateau automoteur, 650 à 999 TPL, France continentale, Base Carbone; kgCO2e/tonne.km, Amont</v>
      </c>
      <c r="I263" s="2018" t="s">
        <v>3869</v>
      </c>
      <c r="J263" s="1119" t="s">
        <v>2324</v>
      </c>
      <c r="K263" s="1119" t="s">
        <v>1567</v>
      </c>
      <c r="L263" s="1135" t="s">
        <v>1571</v>
      </c>
      <c r="M263" s="1033">
        <v>0.7</v>
      </c>
      <c r="N263" s="1135" t="s">
        <v>1570</v>
      </c>
      <c r="O263" s="1036">
        <v>5.3400000000000001E-3</v>
      </c>
      <c r="P263" s="1980">
        <v>5.3400000000000001E-3</v>
      </c>
      <c r="Q263" s="1980">
        <v>0</v>
      </c>
      <c r="R263" s="1980">
        <v>0</v>
      </c>
      <c r="S263" s="1980">
        <v>0</v>
      </c>
      <c r="T263" s="1980">
        <v>0</v>
      </c>
      <c r="U263" s="2036">
        <v>0</v>
      </c>
    </row>
    <row r="264" spans="2:21" hidden="1" outlineLevel="1">
      <c r="B264" s="1050">
        <v>7</v>
      </c>
      <c r="C264" s="1050" t="str">
        <f t="shared" si="19"/>
        <v>Bateau pousseur, &lt; 880 kW, France continentale, Base Carbone</v>
      </c>
      <c r="D264" s="1051">
        <f t="shared" si="20"/>
        <v>4</v>
      </c>
      <c r="E264" s="1051" t="str">
        <f>IF(COUNTIF(E$257:E263,F264)&gt;0,"",F264)</f>
        <v>Bateau automoteur, 1000 à 1499 TPL, France continentale, Base Carbone</v>
      </c>
      <c r="F264" s="1051" t="str">
        <f t="shared" si="21"/>
        <v>Bateau automoteur, 1000 à 1499 TPL, France continentale, Base Carbone</v>
      </c>
      <c r="G264" s="1055" t="str">
        <f t="shared" si="22"/>
        <v>Bateau automoteur, 1000 à 1499 TPL, France continentale, Base Carbone; kgCO2e/tonne.km, Combustion</v>
      </c>
      <c r="I264" s="2018" t="s">
        <v>3870</v>
      </c>
      <c r="J264" s="1119" t="s">
        <v>2324</v>
      </c>
      <c r="K264" s="1119" t="s">
        <v>1567</v>
      </c>
      <c r="L264" s="1135" t="s">
        <v>1571</v>
      </c>
      <c r="M264" s="1033">
        <v>0.7</v>
      </c>
      <c r="N264" s="1135" t="s">
        <v>1569</v>
      </c>
      <c r="O264" s="1036">
        <v>2.3599999999999999E-2</v>
      </c>
      <c r="P264" s="1980">
        <v>2.3599999999999999E-2</v>
      </c>
      <c r="Q264" s="1980">
        <v>0</v>
      </c>
      <c r="R264" s="1980">
        <v>0</v>
      </c>
      <c r="S264" s="1980">
        <v>0</v>
      </c>
      <c r="T264" s="1980">
        <v>0</v>
      </c>
      <c r="U264" s="2036">
        <v>0</v>
      </c>
    </row>
    <row r="265" spans="2:21" hidden="1" outlineLevel="1">
      <c r="B265" s="1050">
        <v>8</v>
      </c>
      <c r="C265" s="1050" t="str">
        <f t="shared" si="19"/>
        <v>Bateau pousseur, &gt; 880 kW, France continentale, Base Carbone</v>
      </c>
      <c r="D265" s="1051">
        <f t="shared" si="20"/>
        <v>4</v>
      </c>
      <c r="E265" s="1051" t="str">
        <f>IF(COUNTIF(E$257:E264,F265)&gt;0,"",F265)</f>
        <v/>
      </c>
      <c r="F265" s="1051" t="str">
        <f t="shared" si="21"/>
        <v>Bateau automoteur, 1000 à 1499 TPL, France continentale, Base Carbone</v>
      </c>
      <c r="G265" s="1055" t="str">
        <f t="shared" si="22"/>
        <v>Bateau automoteur, 1000 à 1499 TPL, France continentale, Base Carbone; kgCO2e/tonne.km, Amont</v>
      </c>
      <c r="I265" s="2018" t="s">
        <v>3870</v>
      </c>
      <c r="J265" s="1032" t="s">
        <v>2324</v>
      </c>
      <c r="K265" s="1119" t="s">
        <v>1567</v>
      </c>
      <c r="L265" s="1135" t="s">
        <v>1571</v>
      </c>
      <c r="M265" s="1033">
        <v>0.7</v>
      </c>
      <c r="N265" s="1135" t="s">
        <v>1570</v>
      </c>
      <c r="O265" s="1036">
        <v>6.1500000000000001E-3</v>
      </c>
      <c r="P265" s="1980">
        <v>6.1500000000000001E-3</v>
      </c>
      <c r="Q265" s="1980">
        <v>0</v>
      </c>
      <c r="R265" s="1980">
        <v>0</v>
      </c>
      <c r="S265" s="1980">
        <v>0</v>
      </c>
      <c r="T265" s="1980">
        <v>0</v>
      </c>
      <c r="U265" s="2036">
        <v>0</v>
      </c>
    </row>
    <row r="266" spans="2:21" hidden="1" outlineLevel="1">
      <c r="B266" s="1050">
        <v>9</v>
      </c>
      <c r="C266" s="1050" t="str">
        <f t="shared" si="19"/>
        <v>-</v>
      </c>
      <c r="D266" s="1051">
        <f t="shared" si="20"/>
        <v>5</v>
      </c>
      <c r="E266" s="1051" t="str">
        <f>IF(COUNTIF(E$257:E265,F266)&gt;0,"",F266)</f>
        <v>Bateau automoteur, 1500 à 2999 TPL, France continentale, Base Carbone</v>
      </c>
      <c r="F266" s="1051" t="str">
        <f t="shared" si="21"/>
        <v>Bateau automoteur, 1500 à 2999 TPL, France continentale, Base Carbone</v>
      </c>
      <c r="G266" s="1055" t="str">
        <f t="shared" si="22"/>
        <v>Bateau automoteur, 1500 à 2999 TPL, France continentale, Base Carbone; kgCO2e/tonne.km, Combustion</v>
      </c>
      <c r="I266" s="2018" t="s">
        <v>3871</v>
      </c>
      <c r="J266" s="1032" t="s">
        <v>2324</v>
      </c>
      <c r="K266" s="1119" t="s">
        <v>1567</v>
      </c>
      <c r="L266" s="1135" t="s">
        <v>1571</v>
      </c>
      <c r="M266" s="1033">
        <v>0.7</v>
      </c>
      <c r="N266" s="1135" t="s">
        <v>1569</v>
      </c>
      <c r="O266" s="1036">
        <v>1.54E-2</v>
      </c>
      <c r="P266" s="1980">
        <v>1.54E-2</v>
      </c>
      <c r="Q266" s="1980">
        <v>0</v>
      </c>
      <c r="R266" s="1980">
        <v>0</v>
      </c>
      <c r="S266" s="1980">
        <v>0</v>
      </c>
      <c r="T266" s="1980">
        <v>0</v>
      </c>
      <c r="U266" s="2036">
        <v>0</v>
      </c>
    </row>
    <row r="267" spans="2:21" hidden="1" outlineLevel="1">
      <c r="B267" s="1050">
        <v>10</v>
      </c>
      <c r="C267" s="1050" t="str">
        <f t="shared" si="19"/>
        <v>-</v>
      </c>
      <c r="D267" s="1051">
        <f t="shared" si="20"/>
        <v>5</v>
      </c>
      <c r="E267" s="1051" t="str">
        <f>IF(COUNTIF(E$257:E266,F267)&gt;0,"",F267)</f>
        <v/>
      </c>
      <c r="F267" s="1051" t="str">
        <f t="shared" si="21"/>
        <v>Bateau automoteur, 1500 à 2999 TPL, France continentale, Base Carbone</v>
      </c>
      <c r="G267" s="1055" t="str">
        <f t="shared" si="22"/>
        <v>Bateau automoteur, 1500 à 2999 TPL, France continentale, Base Carbone; kgCO2e/tonne.km, Amont</v>
      </c>
      <c r="I267" s="2018" t="s">
        <v>3871</v>
      </c>
      <c r="J267" s="1032" t="s">
        <v>2324</v>
      </c>
      <c r="K267" s="1119" t="s">
        <v>1567</v>
      </c>
      <c r="L267" s="1135" t="s">
        <v>1571</v>
      </c>
      <c r="M267" s="1033">
        <v>0.7</v>
      </c>
      <c r="N267" s="1135" t="s">
        <v>1570</v>
      </c>
      <c r="O267" s="1036">
        <v>4.0099999999999997E-3</v>
      </c>
      <c r="P267" s="1980">
        <v>4.0099999999999997E-3</v>
      </c>
      <c r="Q267" s="1980">
        <v>0</v>
      </c>
      <c r="R267" s="1980">
        <v>0</v>
      </c>
      <c r="S267" s="1980">
        <v>0</v>
      </c>
      <c r="T267" s="1980">
        <v>0</v>
      </c>
      <c r="U267" s="2036">
        <v>0</v>
      </c>
    </row>
    <row r="268" spans="2:21" hidden="1" outlineLevel="1">
      <c r="B268" s="1050">
        <v>11</v>
      </c>
      <c r="C268" s="1050" t="str">
        <f t="shared" si="19"/>
        <v>-</v>
      </c>
      <c r="D268" s="1051">
        <f t="shared" si="20"/>
        <v>6</v>
      </c>
      <c r="E268" s="1051" t="str">
        <f>IF(COUNTIF(E$257:E267,F268)&gt;0,"",F268)</f>
        <v>Bateau automoteur, &gt; 3000 TPL, France continentale, Base Carbone</v>
      </c>
      <c r="F268" s="1051" t="str">
        <f t="shared" si="21"/>
        <v>Bateau automoteur, &gt; 3000 TPL, France continentale, Base Carbone</v>
      </c>
      <c r="G268" s="1055" t="str">
        <f t="shared" si="22"/>
        <v>Bateau automoteur, &gt; 3000 TPL, France continentale, Base Carbone; kgCO2e/tonne.km, Combustion</v>
      </c>
      <c r="I268" s="2018" t="s">
        <v>3872</v>
      </c>
      <c r="J268" s="1032" t="s">
        <v>2324</v>
      </c>
      <c r="K268" s="1119" t="s">
        <v>1567</v>
      </c>
      <c r="L268" s="1135" t="s">
        <v>1571</v>
      </c>
      <c r="M268" s="1033">
        <v>0.7</v>
      </c>
      <c r="N268" s="1135" t="s">
        <v>1569</v>
      </c>
      <c r="O268" s="1036">
        <v>1.0999999999999999E-2</v>
      </c>
      <c r="P268" s="1980">
        <v>1.0999999999999999E-2</v>
      </c>
      <c r="Q268" s="1980">
        <v>0</v>
      </c>
      <c r="R268" s="1980">
        <v>0</v>
      </c>
      <c r="S268" s="1980">
        <v>0</v>
      </c>
      <c r="T268" s="1980">
        <v>0</v>
      </c>
      <c r="U268" s="2036">
        <v>0</v>
      </c>
    </row>
    <row r="269" spans="2:21" hidden="1" outlineLevel="1">
      <c r="B269" s="1050">
        <v>12</v>
      </c>
      <c r="C269" s="1050" t="str">
        <f t="shared" si="19"/>
        <v>-</v>
      </c>
      <c r="D269" s="1051">
        <f t="shared" si="20"/>
        <v>6</v>
      </c>
      <c r="E269" s="1051" t="str">
        <f>IF(COUNTIF(E$257:E268,F269)&gt;0,"",F269)</f>
        <v/>
      </c>
      <c r="F269" s="1051" t="str">
        <f t="shared" si="21"/>
        <v>Bateau automoteur, &gt; 3000 TPL, France continentale, Base Carbone</v>
      </c>
      <c r="G269" s="1055" t="str">
        <f t="shared" si="22"/>
        <v>Bateau automoteur, &gt; 3000 TPL, France continentale, Base Carbone; kgCO2e/tonne.km, Amont</v>
      </c>
      <c r="I269" s="2018" t="s">
        <v>3872</v>
      </c>
      <c r="J269" s="1032" t="s">
        <v>2324</v>
      </c>
      <c r="K269" s="1119" t="s">
        <v>1567</v>
      </c>
      <c r="L269" s="1135" t="s">
        <v>1571</v>
      </c>
      <c r="M269" s="1033">
        <v>0.7</v>
      </c>
      <c r="N269" s="1135" t="s">
        <v>1570</v>
      </c>
      <c r="O269" s="1036">
        <v>2.8800000000000002E-3</v>
      </c>
      <c r="P269" s="1980">
        <v>2.8800000000000002E-3</v>
      </c>
      <c r="Q269" s="1980">
        <v>0</v>
      </c>
      <c r="R269" s="1980">
        <v>0</v>
      </c>
      <c r="S269" s="1980">
        <v>0</v>
      </c>
      <c r="T269" s="1980">
        <v>0</v>
      </c>
      <c r="U269" s="2036">
        <v>0</v>
      </c>
    </row>
    <row r="270" spans="2:21" hidden="1" outlineLevel="1">
      <c r="B270" s="1050">
        <v>13</v>
      </c>
      <c r="C270" s="1050" t="str">
        <f t="shared" si="19"/>
        <v>-</v>
      </c>
      <c r="D270" s="1051">
        <f t="shared" si="20"/>
        <v>7</v>
      </c>
      <c r="E270" s="1051" t="str">
        <f>IF(COUNTIF(E$257:E269,F270)&gt;0,"",F270)</f>
        <v>Bateau pousseur, &lt; 880 kW, France continentale, Base Carbone</v>
      </c>
      <c r="F270" s="1051" t="str">
        <f t="shared" si="21"/>
        <v>Bateau pousseur, &lt; 880 kW, France continentale, Base Carbone</v>
      </c>
      <c r="G270" s="1055" t="str">
        <f t="shared" si="22"/>
        <v>Bateau pousseur, &lt; 880 kW, France continentale, Base Carbone; kgCO2e/tonne.km, Combustion</v>
      </c>
      <c r="I270" s="2018" t="s">
        <v>3873</v>
      </c>
      <c r="J270" s="1032" t="s">
        <v>2324</v>
      </c>
      <c r="K270" s="1119" t="s">
        <v>1567</v>
      </c>
      <c r="L270" s="1135" t="s">
        <v>1571</v>
      </c>
      <c r="M270" s="1033">
        <v>0.7</v>
      </c>
      <c r="N270" s="1135" t="s">
        <v>1569</v>
      </c>
      <c r="O270" s="1036">
        <v>3.15E-2</v>
      </c>
      <c r="P270" s="1980">
        <v>3.15E-2</v>
      </c>
      <c r="Q270" s="1980">
        <v>0</v>
      </c>
      <c r="R270" s="1980">
        <v>0</v>
      </c>
      <c r="S270" s="1980">
        <v>0</v>
      </c>
      <c r="T270" s="1980">
        <v>0</v>
      </c>
      <c r="U270" s="2036">
        <v>0</v>
      </c>
    </row>
    <row r="271" spans="2:21" hidden="1" outlineLevel="1">
      <c r="B271" s="1050">
        <v>14</v>
      </c>
      <c r="C271" s="1050" t="str">
        <f t="shared" si="19"/>
        <v>-</v>
      </c>
      <c r="D271" s="1051">
        <f t="shared" si="20"/>
        <v>7</v>
      </c>
      <c r="E271" s="1051" t="str">
        <f>IF(COUNTIF(E$257:E270,F271)&gt;0,"",F271)</f>
        <v/>
      </c>
      <c r="F271" s="1051" t="str">
        <f t="shared" si="21"/>
        <v>Bateau pousseur, &lt; 880 kW, France continentale, Base Carbone</v>
      </c>
      <c r="G271" s="1055" t="str">
        <f t="shared" si="22"/>
        <v>Bateau pousseur, &lt; 880 kW, France continentale, Base Carbone; kgCO2e/tonne.km, Amont</v>
      </c>
      <c r="I271" s="2018" t="s">
        <v>3873</v>
      </c>
      <c r="J271" s="1032" t="s">
        <v>2324</v>
      </c>
      <c r="K271" s="1119" t="s">
        <v>1567</v>
      </c>
      <c r="L271" s="1135" t="s">
        <v>1571</v>
      </c>
      <c r="M271" s="1033">
        <v>0.7</v>
      </c>
      <c r="N271" s="1135" t="s">
        <v>1570</v>
      </c>
      <c r="O271" s="1036">
        <v>1E-3</v>
      </c>
      <c r="P271" s="1980">
        <v>1E-3</v>
      </c>
      <c r="Q271" s="1980">
        <v>0</v>
      </c>
      <c r="R271" s="1980">
        <v>0</v>
      </c>
      <c r="S271" s="1980">
        <v>0</v>
      </c>
      <c r="T271" s="1980">
        <v>0</v>
      </c>
      <c r="U271" s="2036">
        <v>0</v>
      </c>
    </row>
    <row r="272" spans="2:21" hidden="1" outlineLevel="1">
      <c r="B272" s="1050">
        <v>15</v>
      </c>
      <c r="C272" s="1050" t="str">
        <f t="shared" si="19"/>
        <v>-</v>
      </c>
      <c r="D272" s="1051">
        <f t="shared" si="20"/>
        <v>8</v>
      </c>
      <c r="E272" s="1051" t="str">
        <f>IF(COUNTIF(E$257:E271,F272)&gt;0,"",F272)</f>
        <v>Bateau pousseur, &gt; 880 kW, France continentale, Base Carbone</v>
      </c>
      <c r="F272" s="1051" t="str">
        <f t="shared" si="21"/>
        <v>Bateau pousseur, &gt; 880 kW, France continentale, Base Carbone</v>
      </c>
      <c r="G272" s="1055" t="str">
        <f t="shared" si="22"/>
        <v>Bateau pousseur, &gt; 880 kW, France continentale, Base Carbone; kgCO2e/tonne.km, Combustion</v>
      </c>
      <c r="I272" s="2018" t="s">
        <v>3874</v>
      </c>
      <c r="J272" s="1032" t="s">
        <v>2324</v>
      </c>
      <c r="K272" s="1119" t="s">
        <v>1567</v>
      </c>
      <c r="L272" s="1135" t="s">
        <v>1571</v>
      </c>
      <c r="M272" s="1033">
        <v>0.7</v>
      </c>
      <c r="N272" s="1135" t="s">
        <v>1569</v>
      </c>
      <c r="O272" s="1036">
        <v>8.8000000000000005E-3</v>
      </c>
      <c r="P272" s="1980">
        <v>8.8000000000000005E-3</v>
      </c>
      <c r="Q272" s="1980">
        <v>0</v>
      </c>
      <c r="R272" s="1980">
        <v>0</v>
      </c>
      <c r="S272" s="1980">
        <v>0</v>
      </c>
      <c r="T272" s="1980">
        <v>0</v>
      </c>
      <c r="U272" s="2036">
        <v>0</v>
      </c>
    </row>
    <row r="273" spans="2:21" hidden="1" outlineLevel="1">
      <c r="B273" s="1050">
        <v>16</v>
      </c>
      <c r="C273" s="1050" t="str">
        <f t="shared" si="19"/>
        <v>-</v>
      </c>
      <c r="D273" s="1051">
        <f t="shared" si="20"/>
        <v>8</v>
      </c>
      <c r="E273" s="1051" t="str">
        <f>IF(COUNTIF(E$257:E272,F273)&gt;0,"",F273)</f>
        <v/>
      </c>
      <c r="F273" s="1051" t="str">
        <f t="shared" si="21"/>
        <v>Bateau pousseur, &gt; 880 kW, France continentale, Base Carbone</v>
      </c>
      <c r="G273" s="1055" t="str">
        <f t="shared" si="22"/>
        <v>Bateau pousseur, &gt; 880 kW, France continentale, Base Carbone; kgCO2e/tonne.km, Amont</v>
      </c>
      <c r="I273" s="2018" t="s">
        <v>3874</v>
      </c>
      <c r="J273" s="1032" t="s">
        <v>2324</v>
      </c>
      <c r="K273" s="1119" t="s">
        <v>1567</v>
      </c>
      <c r="L273" s="1135" t="s">
        <v>1571</v>
      </c>
      <c r="M273" s="1033">
        <v>0.7</v>
      </c>
      <c r="N273" s="1135" t="s">
        <v>1570</v>
      </c>
      <c r="O273" s="1036">
        <v>2.9999999999999997E-4</v>
      </c>
      <c r="P273" s="1980">
        <v>2.9999999999999997E-4</v>
      </c>
      <c r="Q273" s="1980">
        <v>0</v>
      </c>
      <c r="R273" s="1980">
        <v>0</v>
      </c>
      <c r="S273" s="1980">
        <v>0</v>
      </c>
      <c r="T273" s="1980">
        <v>0</v>
      </c>
      <c r="U273" s="2036">
        <v>0</v>
      </c>
    </row>
    <row r="274" spans="2:21" hidden="1" outlineLevel="1">
      <c r="B274" s="1050">
        <v>17</v>
      </c>
      <c r="C274" s="1050" t="str">
        <f t="shared" si="19"/>
        <v>-</v>
      </c>
      <c r="D274" s="1051">
        <f t="shared" si="20"/>
        <v>8</v>
      </c>
      <c r="E274" s="1051" t="str">
        <f>IF(COUNTIF(E$257:E273,F274)&gt;0,"",F274)</f>
        <v/>
      </c>
      <c r="F274" s="1051" t="str">
        <f t="shared" si="21"/>
        <v/>
      </c>
      <c r="G274" s="1055" t="str">
        <f t="shared" si="22"/>
        <v/>
      </c>
      <c r="I274" s="1100"/>
      <c r="J274" s="1048"/>
      <c r="K274" s="1048"/>
      <c r="L274" s="1048"/>
      <c r="M274" s="1048"/>
      <c r="N274" s="1048"/>
      <c r="O274" s="1048"/>
      <c r="P274" s="1048"/>
      <c r="Q274" s="1048"/>
      <c r="R274" s="1048"/>
      <c r="S274" s="1048"/>
      <c r="T274" s="1048"/>
      <c r="U274" s="1102"/>
    </row>
    <row r="275" spans="2:21" hidden="1" outlineLevel="1">
      <c r="B275" s="1050">
        <v>18</v>
      </c>
      <c r="C275" s="1050" t="str">
        <f t="shared" si="19"/>
        <v>-</v>
      </c>
      <c r="D275" s="1051">
        <f t="shared" si="20"/>
        <v>8</v>
      </c>
      <c r="E275" s="1051" t="str">
        <f>IF(COUNTIF(E$257:E274,F275)&gt;0,"",F275)</f>
        <v/>
      </c>
      <c r="F275" s="1051" t="str">
        <f t="shared" si="21"/>
        <v/>
      </c>
      <c r="G275" s="1055" t="str">
        <f t="shared" si="22"/>
        <v/>
      </c>
      <c r="I275" s="1031"/>
      <c r="J275" s="1032"/>
      <c r="K275" s="1119"/>
      <c r="L275" s="1032"/>
      <c r="M275" s="1033"/>
      <c r="N275" s="1048"/>
      <c r="O275" s="1036"/>
      <c r="P275" s="1036"/>
      <c r="Q275" s="1036"/>
      <c r="R275" s="1036"/>
      <c r="S275" s="1036"/>
      <c r="T275" s="1036"/>
      <c r="U275" s="1037"/>
    </row>
    <row r="276" spans="2:21" hidden="1" outlineLevel="1">
      <c r="B276" s="1050">
        <v>19</v>
      </c>
      <c r="C276" s="1050" t="str">
        <f t="shared" si="19"/>
        <v>-</v>
      </c>
      <c r="D276" s="1051">
        <f t="shared" si="20"/>
        <v>8</v>
      </c>
      <c r="E276" s="1051" t="str">
        <f>IF(COUNTIF(E$257:E275,F276)&gt;0,"",F276)</f>
        <v/>
      </c>
      <c r="F276" s="1051" t="str">
        <f t="shared" si="21"/>
        <v/>
      </c>
      <c r="G276" s="1055" t="str">
        <f t="shared" si="22"/>
        <v/>
      </c>
      <c r="I276" s="1031"/>
      <c r="J276" s="1032"/>
      <c r="K276" s="1119"/>
      <c r="L276" s="1032"/>
      <c r="M276" s="1033"/>
      <c r="N276" s="1048"/>
      <c r="O276" s="1036"/>
      <c r="P276" s="1036"/>
      <c r="Q276" s="1036"/>
      <c r="R276" s="1036"/>
      <c r="S276" s="1036"/>
      <c r="T276" s="1036"/>
      <c r="U276" s="1037"/>
    </row>
    <row r="277" spans="2:21" hidden="1" outlineLevel="1">
      <c r="B277" s="1050"/>
      <c r="C277" s="1050"/>
      <c r="D277" s="1051">
        <f t="shared" si="20"/>
        <v>8</v>
      </c>
      <c r="E277" s="1051" t="str">
        <f>IF(COUNTIF(E$257:E276,F277)&gt;0,"",F277)</f>
        <v/>
      </c>
      <c r="F277" s="1051" t="str">
        <f t="shared" si="21"/>
        <v/>
      </c>
      <c r="G277" s="1055" t="str">
        <f t="shared" si="22"/>
        <v/>
      </c>
      <c r="I277" s="1031"/>
      <c r="J277" s="1032"/>
      <c r="K277" s="1119"/>
      <c r="L277" s="1032"/>
      <c r="M277" s="1033"/>
      <c r="N277" s="1048"/>
      <c r="O277" s="1036"/>
      <c r="P277" s="1036"/>
      <c r="Q277" s="1036"/>
      <c r="R277" s="1036"/>
      <c r="S277" s="1036"/>
      <c r="T277" s="1036"/>
      <c r="U277" s="1037"/>
    </row>
    <row r="278" spans="2:21" hidden="1" outlineLevel="1">
      <c r="B278" s="1050"/>
      <c r="C278" s="1050"/>
      <c r="D278" s="1051">
        <f t="shared" si="20"/>
        <v>8</v>
      </c>
      <c r="E278" s="1051" t="str">
        <f>IF(COUNTIF(E$257:E277,F278)&gt;0,"",F278)</f>
        <v/>
      </c>
      <c r="F278" s="1051" t="str">
        <f t="shared" si="21"/>
        <v/>
      </c>
      <c r="G278" s="1055" t="str">
        <f t="shared" si="22"/>
        <v/>
      </c>
      <c r="I278" s="1031"/>
      <c r="J278" s="1032"/>
      <c r="K278" s="1119"/>
      <c r="L278" s="1032"/>
      <c r="M278" s="1033"/>
      <c r="N278" s="1048"/>
      <c r="O278" s="1036"/>
      <c r="P278" s="1036"/>
      <c r="Q278" s="1036"/>
      <c r="R278" s="1036"/>
      <c r="S278" s="1036"/>
      <c r="T278" s="1036"/>
      <c r="U278" s="1037"/>
    </row>
    <row r="279" spans="2:21" hidden="1" outlineLevel="1">
      <c r="B279" s="1050"/>
      <c r="C279" s="1050"/>
      <c r="D279" s="1051">
        <f t="shared" si="20"/>
        <v>8</v>
      </c>
      <c r="E279" s="1051" t="str">
        <f>IF(COUNTIF(E$257:E278,F279)&gt;0,"",F279)</f>
        <v/>
      </c>
      <c r="F279" s="1051" t="str">
        <f t="shared" si="21"/>
        <v/>
      </c>
      <c r="G279" s="1055" t="str">
        <f t="shared" si="22"/>
        <v/>
      </c>
      <c r="I279" s="1154"/>
      <c r="J279" s="1035"/>
      <c r="K279" s="1095"/>
      <c r="L279" s="1035"/>
      <c r="M279" s="1155"/>
      <c r="N279" s="1104"/>
      <c r="O279" s="1156"/>
      <c r="P279" s="1156"/>
      <c r="Q279" s="1156"/>
      <c r="R279" s="1156"/>
      <c r="S279" s="1156"/>
      <c r="T279" s="1156"/>
      <c r="U279" s="1157"/>
    </row>
    <row r="280" spans="2:21"/>
    <row r="281" spans="2:21" ht="15.6" collapsed="1">
      <c r="I281" s="3167" t="s">
        <v>2231</v>
      </c>
      <c r="J281" s="3168"/>
      <c r="K281" s="3168"/>
      <c r="L281" s="3168"/>
      <c r="M281" s="3168"/>
      <c r="N281" s="3168"/>
      <c r="O281" s="3168"/>
      <c r="P281" s="3168"/>
      <c r="Q281" s="3168"/>
      <c r="R281" s="3168"/>
      <c r="S281" s="3168"/>
      <c r="T281" s="3168"/>
      <c r="U281" s="3169"/>
    </row>
    <row r="282" spans="2:21" ht="12" hidden="1" customHeight="1" outlineLevel="1">
      <c r="R282" s="1083"/>
    </row>
    <row r="283" spans="2:21" ht="12.75" hidden="1" customHeight="1" outlineLevel="1">
      <c r="B283" s="3154" t="s">
        <v>1617</v>
      </c>
      <c r="C283" s="3154"/>
      <c r="D283" s="3157" t="s">
        <v>1619</v>
      </c>
      <c r="E283" s="3157"/>
      <c r="F283" s="1151" t="s">
        <v>1616</v>
      </c>
      <c r="G283" s="1053" t="s">
        <v>1618</v>
      </c>
      <c r="H283" s="1044"/>
      <c r="I283" s="1038" t="s">
        <v>1557</v>
      </c>
      <c r="J283" s="1040" t="s">
        <v>1266</v>
      </c>
      <c r="K283" s="1043" t="s">
        <v>224</v>
      </c>
      <c r="L283" s="1043" t="s">
        <v>1558</v>
      </c>
      <c r="M283" s="1039" t="s">
        <v>366</v>
      </c>
      <c r="N283" s="1040" t="s">
        <v>1559</v>
      </c>
      <c r="O283" s="1041" t="s">
        <v>1560</v>
      </c>
      <c r="P283" s="1043" t="s">
        <v>211</v>
      </c>
      <c r="Q283" s="1043" t="s">
        <v>1561</v>
      </c>
      <c r="R283" s="1041" t="s">
        <v>1562</v>
      </c>
      <c r="S283" s="1041" t="s">
        <v>267</v>
      </c>
      <c r="T283" s="1043" t="s">
        <v>1563</v>
      </c>
      <c r="U283" s="1042" t="s">
        <v>1564</v>
      </c>
    </row>
    <row r="284" spans="2:21" s="1045" customFormat="1" ht="12.75" hidden="1" customHeight="1" outlineLevel="1">
      <c r="B284" s="3156" t="s">
        <v>2231</v>
      </c>
      <c r="C284" s="3156"/>
      <c r="D284" s="1051">
        <v>0</v>
      </c>
      <c r="E284" s="1051"/>
      <c r="F284" s="1051"/>
      <c r="G284" s="1054"/>
      <c r="H284" s="1046"/>
      <c r="I284" s="1688"/>
      <c r="J284" s="1689"/>
      <c r="K284" s="1690"/>
      <c r="L284" s="1690"/>
      <c r="M284" s="1691"/>
      <c r="N284" s="1689"/>
      <c r="O284" s="1692"/>
      <c r="P284" s="1690"/>
      <c r="Q284" s="1690"/>
      <c r="R284" s="1692"/>
      <c r="S284" s="1692"/>
      <c r="T284" s="1690"/>
      <c r="U284" s="1693"/>
    </row>
    <row r="285" spans="2:21" ht="12" hidden="1" customHeight="1" outlineLevel="1">
      <c r="B285" s="1050">
        <v>1</v>
      </c>
      <c r="C285" s="1050" t="str">
        <f>IF(ISNA(VLOOKUP(B285,$D$284:$E$472,2,FALSE)),"-",VLOOKUP(B285,$D$284:$E$472,2,FALSE))</f>
        <v>Avion cargo, 10 à 25 T, 500 - 1000 km, avec trainées, France continentale, Base Carbone</v>
      </c>
      <c r="D285" s="1051">
        <f>D284+IF(LEN(E285)&gt;0,1,0)</f>
        <v>1</v>
      </c>
      <c r="E285" s="1051" t="str">
        <f>IF(COUNTIF(E$284:E284,F285)&gt;0,"",F285)</f>
        <v>Avion cargo, 10 à 25 T, 500 - 1000 km, avec trainées, France continentale, Base Carbone</v>
      </c>
      <c r="F285" s="1051" t="str">
        <f t="shared" ref="F285" si="23">IF(I285&lt;&gt;"",I285&amp;IF(L285&lt;&gt;"",", "&amp;L285,"")&amp;IF(K285&lt;&gt;"",", "&amp;K285,""),"")</f>
        <v>Avion cargo, 10 à 25 T, 500 - 1000 km, avec trainées, France continentale, Base Carbone</v>
      </c>
      <c r="G285" s="1055" t="str">
        <f t="shared" ref="G285" si="24">IF(F285&lt;&gt;"",F285&amp;IF(J285&lt;&gt;"","; "&amp;J285&amp;IF(N285&lt;&gt;"",", "&amp;N285,),""),"")</f>
        <v>Avion cargo, 10 à 25 T, 500 - 1000 km, avec trainées, France continentale, Base Carbone; kgCO2e/tonne.km, Combustion</v>
      </c>
      <c r="I285" s="1034" t="s">
        <v>3875</v>
      </c>
      <c r="J285" s="1032" t="s">
        <v>2324</v>
      </c>
      <c r="K285" s="1119" t="s">
        <v>1567</v>
      </c>
      <c r="L285" s="1119" t="s">
        <v>1571</v>
      </c>
      <c r="M285" s="1033">
        <v>0.7</v>
      </c>
      <c r="N285" s="1135" t="s">
        <v>1569</v>
      </c>
      <c r="O285" s="2583">
        <v>1.59</v>
      </c>
      <c r="P285" s="2583">
        <v>1.56</v>
      </c>
      <c r="Q285" s="2583">
        <v>1.4800000000000001E-2</v>
      </c>
      <c r="R285" s="2583">
        <v>0</v>
      </c>
      <c r="S285" s="2583">
        <v>1.4800000000000001E-2</v>
      </c>
      <c r="T285" s="2583">
        <v>0</v>
      </c>
      <c r="U285" s="2584">
        <v>0</v>
      </c>
    </row>
    <row r="286" spans="2:21" ht="12" hidden="1" customHeight="1" outlineLevel="1">
      <c r="B286" s="1050">
        <v>2</v>
      </c>
      <c r="C286" s="1050" t="str">
        <f t="shared" ref="C286:C344" si="25">IF(ISNA(VLOOKUP(B286,$D$284:$E$472,2,FALSE)),"-",VLOOKUP(B286,$D$284:$E$472,2,FALSE))</f>
        <v>Avion cargo, 10 à 25 T, 500 - 1000 km, sans trainées, France continentale, Base Carbone</v>
      </c>
      <c r="D286" s="1051">
        <f t="shared" ref="D286:D349" si="26">D285+IF(LEN(E286)&gt;0,1,0)</f>
        <v>1</v>
      </c>
      <c r="E286" s="1051" t="str">
        <f>IF(COUNTIF(E$284:E285,F286)&gt;0,"",F286)</f>
        <v/>
      </c>
      <c r="F286" s="1051" t="str">
        <f t="shared" ref="F286:F349" si="27">IF(I286&lt;&gt;"",I286&amp;IF(L286&lt;&gt;"",", "&amp;L286,"")&amp;IF(K286&lt;&gt;"",", "&amp;K286,""),"")</f>
        <v>Avion cargo, 10 à 25 T, 500 - 1000 km, avec trainées, France continentale, Base Carbone</v>
      </c>
      <c r="G286" s="1055" t="str">
        <f t="shared" ref="G286:G349" si="28">IF(F286&lt;&gt;"",F286&amp;IF(J286&lt;&gt;"","; "&amp;J286&amp;IF(N286&lt;&gt;"",", "&amp;N286,),""),"")</f>
        <v>Avion cargo, 10 à 25 T, 500 - 1000 km, avec trainées, France continentale, Base Carbone; kgCO2e/tonne.km, Emissions fugitives</v>
      </c>
      <c r="I286" s="1034" t="s">
        <v>3875</v>
      </c>
      <c r="J286" s="1135" t="s">
        <v>2324</v>
      </c>
      <c r="K286" s="1119" t="s">
        <v>1567</v>
      </c>
      <c r="L286" s="1135" t="s">
        <v>1571</v>
      </c>
      <c r="M286" s="1033">
        <v>0.7</v>
      </c>
      <c r="N286" s="1135" t="s">
        <v>1764</v>
      </c>
      <c r="O286" s="2585">
        <v>1.57</v>
      </c>
      <c r="P286" s="2585">
        <v>0</v>
      </c>
      <c r="Q286" s="2585">
        <v>0</v>
      </c>
      <c r="R286" s="2585">
        <v>0</v>
      </c>
      <c r="S286" s="2585">
        <v>0</v>
      </c>
      <c r="T286" s="2583">
        <v>1.57</v>
      </c>
      <c r="U286" s="2586">
        <v>0</v>
      </c>
    </row>
    <row r="287" spans="2:21" ht="12" hidden="1" customHeight="1" outlineLevel="1">
      <c r="B287" s="1050">
        <v>3</v>
      </c>
      <c r="C287" s="1050" t="str">
        <f t="shared" si="25"/>
        <v>Avion cargo, 10 à 25 T, &lt; 500 km, avec trainées, France continentale, Base Carbone</v>
      </c>
      <c r="D287" s="1051">
        <f t="shared" si="26"/>
        <v>1</v>
      </c>
      <c r="E287" s="1051" t="str">
        <f>IF(COUNTIF(E$284:E286,F287)&gt;0,"",F287)</f>
        <v/>
      </c>
      <c r="F287" s="1051" t="str">
        <f t="shared" si="27"/>
        <v>Avion cargo, 10 à 25 T, 500 - 1000 km, avec trainées, France continentale, Base Carbone</v>
      </c>
      <c r="G287" s="1055" t="str">
        <f t="shared" si="28"/>
        <v>Avion cargo, 10 à 25 T, 500 - 1000 km, avec trainées, France continentale, Base Carbone; kgCO2e/tonne.km, Amont</v>
      </c>
      <c r="I287" s="1034" t="s">
        <v>3875</v>
      </c>
      <c r="J287" s="1135" t="s">
        <v>2324</v>
      </c>
      <c r="K287" s="1119" t="s">
        <v>1567</v>
      </c>
      <c r="L287" s="1135" t="s">
        <v>1571</v>
      </c>
      <c r="M287" s="1033">
        <v>0.7</v>
      </c>
      <c r="N287" s="1135" t="s">
        <v>1570</v>
      </c>
      <c r="O287" s="2585">
        <v>0.31</v>
      </c>
      <c r="P287" s="2585">
        <v>0.29599999999999999</v>
      </c>
      <c r="Q287" s="2585">
        <v>2.5000000000000001E-3</v>
      </c>
      <c r="R287" s="2585">
        <v>0</v>
      </c>
      <c r="S287" s="2585">
        <v>1.15E-2</v>
      </c>
      <c r="T287" s="2583">
        <v>0</v>
      </c>
      <c r="U287" s="2586">
        <v>0</v>
      </c>
    </row>
    <row r="288" spans="2:21" ht="12" hidden="1" customHeight="1" outlineLevel="1">
      <c r="B288" s="1050">
        <v>4</v>
      </c>
      <c r="C288" s="1050" t="str">
        <f t="shared" si="25"/>
        <v>Avion cargo, 10 à 25 T, &lt; 500 km, sans trainées, France continentale, Base Carbone</v>
      </c>
      <c r="D288" s="1051">
        <f t="shared" si="26"/>
        <v>1</v>
      </c>
      <c r="E288" s="1051" t="str">
        <f>IF(COUNTIF(E$284:E287,F288)&gt;0,"",F288)</f>
        <v/>
      </c>
      <c r="F288" s="1051" t="str">
        <f t="shared" si="27"/>
        <v>Avion cargo, 10 à 25 T, 500 - 1000 km, avec trainées, France continentale, Base Carbone</v>
      </c>
      <c r="G288" s="1055" t="str">
        <f t="shared" si="28"/>
        <v>Avion cargo, 10 à 25 T, 500 - 1000 km, avec trainées, France continentale, Base Carbone; kgCO2e/tonne.km, Fabrication</v>
      </c>
      <c r="I288" s="1034" t="s">
        <v>3875</v>
      </c>
      <c r="J288" s="1135" t="s">
        <v>2324</v>
      </c>
      <c r="K288" s="1119" t="s">
        <v>1567</v>
      </c>
      <c r="L288" s="1135" t="s">
        <v>1571</v>
      </c>
      <c r="M288" s="1033">
        <v>0.7</v>
      </c>
      <c r="N288" s="1135" t="s">
        <v>332</v>
      </c>
      <c r="O288" s="2585">
        <v>2.2899999999999999E-3</v>
      </c>
      <c r="P288" s="2585">
        <v>2.2899999999999999E-3</v>
      </c>
      <c r="Q288" s="2585">
        <v>0</v>
      </c>
      <c r="R288" s="2585">
        <v>0</v>
      </c>
      <c r="S288" s="2585">
        <v>0</v>
      </c>
      <c r="T288" s="2583">
        <v>0</v>
      </c>
      <c r="U288" s="2586">
        <v>0</v>
      </c>
    </row>
    <row r="289" spans="2:21" ht="12" hidden="1" customHeight="1" outlineLevel="1">
      <c r="B289" s="1050">
        <v>5</v>
      </c>
      <c r="C289" s="1050" t="str">
        <f t="shared" si="25"/>
        <v>Avion cargo, 26 à 100 T, 500 - 1000 km, avec trainées, France continentale, Base Carbone</v>
      </c>
      <c r="D289" s="1051">
        <f t="shared" si="26"/>
        <v>2</v>
      </c>
      <c r="E289" s="1051" t="str">
        <f>IF(COUNTIF(E$284:E288,F289)&gt;0,"",F289)</f>
        <v>Avion cargo, 10 à 25 T, 500 - 1000 km, sans trainées, France continentale, Base Carbone</v>
      </c>
      <c r="F289" s="1051" t="str">
        <f t="shared" si="27"/>
        <v>Avion cargo, 10 à 25 T, 500 - 1000 km, sans trainées, France continentale, Base Carbone</v>
      </c>
      <c r="G289" s="1055" t="str">
        <f t="shared" si="28"/>
        <v>Avion cargo, 10 à 25 T, 500 - 1000 km, sans trainées, France continentale, Base Carbone; kgCO2e/tonne.km, Combustion</v>
      </c>
      <c r="I289" s="1034" t="s">
        <v>3876</v>
      </c>
      <c r="J289" s="1135" t="s">
        <v>2324</v>
      </c>
      <c r="K289" s="1119" t="s">
        <v>1567</v>
      </c>
      <c r="L289" s="1135" t="s">
        <v>1571</v>
      </c>
      <c r="M289" s="1033">
        <v>0.1</v>
      </c>
      <c r="N289" s="1135" t="s">
        <v>1569</v>
      </c>
      <c r="O289" s="2521">
        <v>1.59</v>
      </c>
      <c r="P289" s="2521">
        <v>1.56</v>
      </c>
      <c r="Q289" s="2521">
        <v>1.4800000000000001E-2</v>
      </c>
      <c r="R289" s="2521">
        <v>0</v>
      </c>
      <c r="S289" s="2521">
        <v>1.4800000000000001E-2</v>
      </c>
      <c r="T289" s="1978">
        <v>0</v>
      </c>
      <c r="U289" s="2587">
        <v>0</v>
      </c>
    </row>
    <row r="290" spans="2:21" ht="12" hidden="1" customHeight="1" outlineLevel="1">
      <c r="B290" s="1050">
        <v>6</v>
      </c>
      <c r="C290" s="1050" t="str">
        <f t="shared" si="25"/>
        <v>Avion cargo, 26 à 100 T, 500 - 1000 km, sans trainées, France continentale, Base Carbone</v>
      </c>
      <c r="D290" s="1051">
        <f t="shared" si="26"/>
        <v>2</v>
      </c>
      <c r="E290" s="1051" t="str">
        <f>IF(COUNTIF(E$284:E289,F290)&gt;0,"",F290)</f>
        <v/>
      </c>
      <c r="F290" s="1051" t="str">
        <f t="shared" si="27"/>
        <v>Avion cargo, 10 à 25 T, 500 - 1000 km, sans trainées, France continentale, Base Carbone</v>
      </c>
      <c r="G290" s="1055" t="str">
        <f t="shared" si="28"/>
        <v>Avion cargo, 10 à 25 T, 500 - 1000 km, sans trainées, France continentale, Base Carbone; kgCO2e/tonne.km, Amont</v>
      </c>
      <c r="I290" s="1034" t="s">
        <v>3876</v>
      </c>
      <c r="J290" s="1135" t="s">
        <v>2324</v>
      </c>
      <c r="K290" s="1119" t="s">
        <v>1567</v>
      </c>
      <c r="L290" s="1135" t="s">
        <v>1571</v>
      </c>
      <c r="M290" s="1033">
        <v>0.1</v>
      </c>
      <c r="N290" s="1135" t="s">
        <v>1570</v>
      </c>
      <c r="O290" s="2521">
        <v>0.31</v>
      </c>
      <c r="P290" s="2521">
        <v>0.29599999999999999</v>
      </c>
      <c r="Q290" s="2521">
        <v>2.5000000000000001E-3</v>
      </c>
      <c r="R290" s="2521">
        <v>0</v>
      </c>
      <c r="S290" s="2521">
        <v>1.15E-2</v>
      </c>
      <c r="T290" s="1978">
        <v>0</v>
      </c>
      <c r="U290" s="2587">
        <v>0</v>
      </c>
    </row>
    <row r="291" spans="2:21" ht="12" hidden="1" customHeight="1" outlineLevel="1">
      <c r="B291" s="1050">
        <v>7</v>
      </c>
      <c r="C291" s="1050" t="str">
        <f t="shared" si="25"/>
        <v>Avion cargo, 26 à 100 T, &lt; 500 km, avec trainées, France continentale, Base Carbone</v>
      </c>
      <c r="D291" s="1051">
        <f t="shared" si="26"/>
        <v>2</v>
      </c>
      <c r="E291" s="1051" t="str">
        <f>IF(COUNTIF(E$284:E290,F291)&gt;0,"",F291)</f>
        <v/>
      </c>
      <c r="F291" s="1051" t="str">
        <f t="shared" si="27"/>
        <v>Avion cargo, 10 à 25 T, 500 - 1000 km, sans trainées, France continentale, Base Carbone</v>
      </c>
      <c r="G291" s="1055" t="str">
        <f t="shared" si="28"/>
        <v>Avion cargo, 10 à 25 T, 500 - 1000 km, sans trainées, France continentale, Base Carbone; kgCO2e/tonne.km, Fabrication</v>
      </c>
      <c r="I291" s="1034" t="s">
        <v>3876</v>
      </c>
      <c r="J291" s="1135" t="s">
        <v>2324</v>
      </c>
      <c r="K291" s="1119" t="s">
        <v>1567</v>
      </c>
      <c r="L291" s="1135" t="s">
        <v>1571</v>
      </c>
      <c r="M291" s="1033">
        <v>0.1</v>
      </c>
      <c r="N291" s="1135" t="s">
        <v>332</v>
      </c>
      <c r="O291" s="2521">
        <v>2.2899999999999999E-3</v>
      </c>
      <c r="P291" s="2521">
        <v>2.2899999999999999E-3</v>
      </c>
      <c r="Q291" s="2521">
        <v>0</v>
      </c>
      <c r="R291" s="2521">
        <v>0</v>
      </c>
      <c r="S291" s="2521">
        <v>0</v>
      </c>
      <c r="T291" s="1978">
        <v>0</v>
      </c>
      <c r="U291" s="2587">
        <v>0</v>
      </c>
    </row>
    <row r="292" spans="2:21" ht="12" hidden="1" customHeight="1" outlineLevel="1">
      <c r="B292" s="1050">
        <v>8</v>
      </c>
      <c r="C292" s="1050" t="str">
        <f t="shared" si="25"/>
        <v>Avion cargo, 26 à 100 T, &lt; 500 km, sans trainées, France continentale, Base Carbone</v>
      </c>
      <c r="D292" s="1051">
        <f t="shared" si="26"/>
        <v>3</v>
      </c>
      <c r="E292" s="1051" t="str">
        <f>IF(COUNTIF(E$284:E291,F292)&gt;0,"",F292)</f>
        <v>Avion cargo, 10 à 25 T, &lt; 500 km, avec trainées, France continentale, Base Carbone</v>
      </c>
      <c r="F292" s="1051" t="str">
        <f t="shared" si="27"/>
        <v>Avion cargo, 10 à 25 T, &lt; 500 km, avec trainées, France continentale, Base Carbone</v>
      </c>
      <c r="G292" s="1055" t="str">
        <f t="shared" si="28"/>
        <v>Avion cargo, 10 à 25 T, &lt; 500 km, avec trainées, France continentale, Base Carbone; kgCO2e/tonne.km, Combustion</v>
      </c>
      <c r="I292" s="1034" t="s">
        <v>3877</v>
      </c>
      <c r="J292" s="1135" t="s">
        <v>2324</v>
      </c>
      <c r="K292" s="1119" t="s">
        <v>1567</v>
      </c>
      <c r="L292" s="1135" t="s">
        <v>1571</v>
      </c>
      <c r="M292" s="1033">
        <v>0.7</v>
      </c>
      <c r="N292" s="1135" t="s">
        <v>1569</v>
      </c>
      <c r="O292" s="1135">
        <v>1.42</v>
      </c>
      <c r="P292" s="1135">
        <v>1.39</v>
      </c>
      <c r="Q292" s="1135">
        <v>1.32E-2</v>
      </c>
      <c r="R292" s="1135">
        <v>0</v>
      </c>
      <c r="S292" s="1135">
        <v>1.32E-2</v>
      </c>
      <c r="T292" s="1978">
        <v>0</v>
      </c>
      <c r="U292" s="2587">
        <v>0</v>
      </c>
    </row>
    <row r="293" spans="2:21" ht="12" hidden="1" customHeight="1" outlineLevel="1">
      <c r="B293" s="1050">
        <v>9</v>
      </c>
      <c r="C293" s="1050" t="str">
        <f t="shared" si="25"/>
        <v>Avion cargo, plus de 100 T, 1000 - 3500 km, avec trainées, France continentale, Base Carbone</v>
      </c>
      <c r="D293" s="1051">
        <f t="shared" si="26"/>
        <v>3</v>
      </c>
      <c r="E293" s="1051" t="str">
        <f>IF(COUNTIF(E$284:E292,F293)&gt;0,"",F293)</f>
        <v/>
      </c>
      <c r="F293" s="1051" t="str">
        <f t="shared" si="27"/>
        <v>Avion cargo, 10 à 25 T, &lt; 500 km, avec trainées, France continentale, Base Carbone</v>
      </c>
      <c r="G293" s="1055" t="str">
        <f t="shared" si="28"/>
        <v>Avion cargo, 10 à 25 T, &lt; 500 km, avec trainées, France continentale, Base Carbone; kgCO2e/tonne.km, Emissions fugitives</v>
      </c>
      <c r="I293" s="1034" t="s">
        <v>3877</v>
      </c>
      <c r="J293" s="1135" t="s">
        <v>2324</v>
      </c>
      <c r="K293" s="1119" t="s">
        <v>1567</v>
      </c>
      <c r="L293" s="1135" t="s">
        <v>1571</v>
      </c>
      <c r="M293" s="1033">
        <v>0.7</v>
      </c>
      <c r="N293" s="1135" t="s">
        <v>1764</v>
      </c>
      <c r="O293" s="1135">
        <v>1.4</v>
      </c>
      <c r="P293" s="1135">
        <v>0</v>
      </c>
      <c r="Q293" s="1135">
        <v>0</v>
      </c>
      <c r="R293" s="1135">
        <v>0</v>
      </c>
      <c r="S293" s="1135">
        <v>0</v>
      </c>
      <c r="T293" s="1978">
        <v>1.4</v>
      </c>
      <c r="U293" s="2587">
        <v>0</v>
      </c>
    </row>
    <row r="294" spans="2:21" hidden="1" outlineLevel="1">
      <c r="B294" s="1050">
        <v>10</v>
      </c>
      <c r="C294" s="1050" t="str">
        <f t="shared" si="25"/>
        <v>Avion cargo, plus de 100 T, 1000 - 3500 km, sans trainées, France continentale, Base Carbone</v>
      </c>
      <c r="D294" s="1051">
        <f t="shared" si="26"/>
        <v>3</v>
      </c>
      <c r="E294" s="1051" t="str">
        <f>IF(COUNTIF(E$284:E293,F294)&gt;0,"",F294)</f>
        <v/>
      </c>
      <c r="F294" s="1051" t="str">
        <f t="shared" si="27"/>
        <v>Avion cargo, 10 à 25 T, &lt; 500 km, avec trainées, France continentale, Base Carbone</v>
      </c>
      <c r="G294" s="1055" t="str">
        <f t="shared" si="28"/>
        <v>Avion cargo, 10 à 25 T, &lt; 500 km, avec trainées, France continentale, Base Carbone; kgCO2e/tonne.km, Amont</v>
      </c>
      <c r="I294" s="1034" t="s">
        <v>3877</v>
      </c>
      <c r="J294" s="1135" t="s">
        <v>2324</v>
      </c>
      <c r="K294" s="1119" t="s">
        <v>1567</v>
      </c>
      <c r="L294" s="1135" t="s">
        <v>1571</v>
      </c>
      <c r="M294" s="1033">
        <v>0.7</v>
      </c>
      <c r="N294" s="1135" t="s">
        <v>1570</v>
      </c>
      <c r="O294" s="1135">
        <v>0.27800000000000002</v>
      </c>
      <c r="P294" s="1135">
        <v>0.26400000000000001</v>
      </c>
      <c r="Q294" s="1135">
        <v>3.5999999999999999E-3</v>
      </c>
      <c r="R294" s="1135">
        <v>0</v>
      </c>
      <c r="S294" s="1135">
        <v>1.03E-2</v>
      </c>
      <c r="T294" s="1978">
        <v>0</v>
      </c>
      <c r="U294" s="2587">
        <v>0</v>
      </c>
    </row>
    <row r="295" spans="2:21" hidden="1" outlineLevel="1">
      <c r="B295" s="1050">
        <v>11</v>
      </c>
      <c r="C295" s="1050" t="str">
        <f t="shared" si="25"/>
        <v>Avion cargo, plus de 100 T, 500 - 1000 km, avec trainées, France continentale, Base Carbone</v>
      </c>
      <c r="D295" s="1051">
        <f t="shared" si="26"/>
        <v>3</v>
      </c>
      <c r="E295" s="1051" t="str">
        <f>IF(COUNTIF(E$284:E294,F295)&gt;0,"",F295)</f>
        <v/>
      </c>
      <c r="F295" s="1051" t="str">
        <f t="shared" si="27"/>
        <v>Avion cargo, 10 à 25 T, &lt; 500 km, avec trainées, France continentale, Base Carbone</v>
      </c>
      <c r="G295" s="1055" t="str">
        <f t="shared" si="28"/>
        <v>Avion cargo, 10 à 25 T, &lt; 500 km, avec trainées, France continentale, Base Carbone; kgCO2e/tonne.km, Fabrication</v>
      </c>
      <c r="I295" s="1034" t="s">
        <v>3877</v>
      </c>
      <c r="J295" s="1135" t="s">
        <v>2324</v>
      </c>
      <c r="K295" s="1119" t="s">
        <v>1567</v>
      </c>
      <c r="L295" s="1135" t="s">
        <v>1571</v>
      </c>
      <c r="M295" s="1033">
        <v>0.7</v>
      </c>
      <c r="N295" s="1135" t="s">
        <v>332</v>
      </c>
      <c r="O295" s="1135">
        <v>2.2899999999999999E-3</v>
      </c>
      <c r="P295" s="1135">
        <v>2.2899999999999999E-3</v>
      </c>
      <c r="Q295" s="1135">
        <v>0</v>
      </c>
      <c r="R295" s="1135">
        <v>0</v>
      </c>
      <c r="S295" s="1135">
        <v>0</v>
      </c>
      <c r="T295" s="1978">
        <v>0</v>
      </c>
      <c r="U295" s="2587">
        <v>0</v>
      </c>
    </row>
    <row r="296" spans="2:21" hidden="1" outlineLevel="1">
      <c r="B296" s="1050">
        <v>12</v>
      </c>
      <c r="C296" s="1050" t="str">
        <f t="shared" si="25"/>
        <v>Avion cargo, plus de 100 T, 500 - 1000 km, sans trainées, France continentale, Base Carbone</v>
      </c>
      <c r="D296" s="1051">
        <f t="shared" si="26"/>
        <v>4</v>
      </c>
      <c r="E296" s="1051" t="str">
        <f>IF(COUNTIF(E$284:E295,F296)&gt;0,"",F296)</f>
        <v>Avion cargo, 10 à 25 T, &lt; 500 km, sans trainées, France continentale, Base Carbone</v>
      </c>
      <c r="F296" s="1051" t="str">
        <f t="shared" si="27"/>
        <v>Avion cargo, 10 à 25 T, &lt; 500 km, sans trainées, France continentale, Base Carbone</v>
      </c>
      <c r="G296" s="1055" t="str">
        <f t="shared" si="28"/>
        <v>Avion cargo, 10 à 25 T, &lt; 500 km, sans trainées, France continentale, Base Carbone; kgCO2e/tonne.km, Combustion</v>
      </c>
      <c r="I296" s="1034" t="s">
        <v>3878</v>
      </c>
      <c r="J296" s="1135" t="s">
        <v>2324</v>
      </c>
      <c r="K296" s="1119" t="s">
        <v>1567</v>
      </c>
      <c r="L296" s="1135" t="s">
        <v>1571</v>
      </c>
      <c r="M296" s="1033">
        <v>0.1</v>
      </c>
      <c r="N296" s="1135" t="s">
        <v>1569</v>
      </c>
      <c r="O296" s="1135">
        <v>1.42</v>
      </c>
      <c r="P296" s="1135">
        <v>1.39</v>
      </c>
      <c r="Q296" s="1135">
        <v>1.32E-2</v>
      </c>
      <c r="R296" s="1135">
        <v>0</v>
      </c>
      <c r="S296" s="1135">
        <v>1.32E-2</v>
      </c>
      <c r="T296" s="1978">
        <v>0</v>
      </c>
      <c r="U296" s="2587">
        <v>0</v>
      </c>
    </row>
    <row r="297" spans="2:21" hidden="1" outlineLevel="1">
      <c r="B297" s="1050">
        <v>13</v>
      </c>
      <c r="C297" s="1050" t="str">
        <f t="shared" si="25"/>
        <v>Avion cargo, plus de 100 T, &lt; 500 km, avec trainées, France continentale, Base Carbone</v>
      </c>
      <c r="D297" s="1051">
        <f t="shared" si="26"/>
        <v>4</v>
      </c>
      <c r="E297" s="1051" t="str">
        <f>IF(COUNTIF(E$284:E296,F297)&gt;0,"",F297)</f>
        <v/>
      </c>
      <c r="F297" s="1051" t="str">
        <f t="shared" si="27"/>
        <v>Avion cargo, 10 à 25 T, &lt; 500 km, sans trainées, France continentale, Base Carbone</v>
      </c>
      <c r="G297" s="1055" t="str">
        <f t="shared" si="28"/>
        <v>Avion cargo, 10 à 25 T, &lt; 500 km, sans trainées, France continentale, Base Carbone; kgCO2e/tonne.km, Amont</v>
      </c>
      <c r="I297" s="1034" t="s">
        <v>3878</v>
      </c>
      <c r="J297" s="1135" t="s">
        <v>2324</v>
      </c>
      <c r="K297" s="1119" t="s">
        <v>1567</v>
      </c>
      <c r="L297" s="1135" t="s">
        <v>1571</v>
      </c>
      <c r="M297" s="1033">
        <v>0.1</v>
      </c>
      <c r="N297" s="1135" t="s">
        <v>1570</v>
      </c>
      <c r="O297" s="1135">
        <v>0.27800000000000002</v>
      </c>
      <c r="P297" s="1135">
        <v>0.26400000000000001</v>
      </c>
      <c r="Q297" s="1135">
        <v>3.5999999999999999E-3</v>
      </c>
      <c r="R297" s="1135">
        <v>0</v>
      </c>
      <c r="S297" s="1135">
        <v>1.03E-2</v>
      </c>
      <c r="T297" s="1978">
        <v>0</v>
      </c>
      <c r="U297" s="2587">
        <v>0</v>
      </c>
    </row>
    <row r="298" spans="2:21" hidden="1" outlineLevel="1">
      <c r="B298" s="1050">
        <v>14</v>
      </c>
      <c r="C298" s="1050" t="str">
        <f t="shared" si="25"/>
        <v>Avion cargo, plus de 100 T, &lt; 500 km, sans trainées, France continentale, Base Carbone</v>
      </c>
      <c r="D298" s="1051">
        <f t="shared" si="26"/>
        <v>4</v>
      </c>
      <c r="E298" s="1051" t="str">
        <f>IF(COUNTIF(E$284:E297,F298)&gt;0,"",F298)</f>
        <v/>
      </c>
      <c r="F298" s="1051" t="str">
        <f t="shared" si="27"/>
        <v>Avion cargo, 10 à 25 T, &lt; 500 km, sans trainées, France continentale, Base Carbone</v>
      </c>
      <c r="G298" s="1055" t="str">
        <f t="shared" si="28"/>
        <v>Avion cargo, 10 à 25 T, &lt; 500 km, sans trainées, France continentale, Base Carbone; kgCO2e/tonne.km, Fabrication</v>
      </c>
      <c r="I298" s="1034" t="s">
        <v>3878</v>
      </c>
      <c r="J298" s="1135" t="s">
        <v>2324</v>
      </c>
      <c r="K298" s="1119" t="s">
        <v>1567</v>
      </c>
      <c r="L298" s="1135" t="s">
        <v>1571</v>
      </c>
      <c r="M298" s="1033">
        <v>0.1</v>
      </c>
      <c r="N298" s="1135" t="s">
        <v>332</v>
      </c>
      <c r="O298" s="1135">
        <v>2.2899999999999999E-3</v>
      </c>
      <c r="P298" s="1135">
        <v>2.2899999999999999E-3</v>
      </c>
      <c r="Q298" s="1135">
        <v>0</v>
      </c>
      <c r="R298" s="1135">
        <v>0</v>
      </c>
      <c r="S298" s="1135">
        <v>0</v>
      </c>
      <c r="T298" s="1978">
        <v>0</v>
      </c>
      <c r="U298" s="2587">
        <v>0</v>
      </c>
    </row>
    <row r="299" spans="2:21" hidden="1" outlineLevel="1">
      <c r="B299" s="1050">
        <v>15</v>
      </c>
      <c r="C299" s="1050" t="str">
        <f t="shared" si="25"/>
        <v>Avion cargo, plus de 100 T, &gt; 3500 km, avec trainées, France continentale, Base Carbone</v>
      </c>
      <c r="D299" s="1051">
        <f t="shared" si="26"/>
        <v>5</v>
      </c>
      <c r="E299" s="1051" t="str">
        <f>IF(COUNTIF(E$284:E298,F299)&gt;0,"",F299)</f>
        <v>Avion cargo, 26 à 100 T, 500 - 1000 km, avec trainées, France continentale, Base Carbone</v>
      </c>
      <c r="F299" s="1051" t="str">
        <f t="shared" si="27"/>
        <v>Avion cargo, 26 à 100 T, 500 - 1000 km, avec trainées, France continentale, Base Carbone</v>
      </c>
      <c r="G299" s="1055" t="str">
        <f t="shared" si="28"/>
        <v>Avion cargo, 26 à 100 T, 500 - 1000 km, avec trainées, France continentale, Base Carbone; kgCO2e/tonne.km, Combustion</v>
      </c>
      <c r="I299" s="1034" t="s">
        <v>3880</v>
      </c>
      <c r="J299" s="1135" t="s">
        <v>2324</v>
      </c>
      <c r="K299" s="1119" t="s">
        <v>1567</v>
      </c>
      <c r="L299" s="1135" t="s">
        <v>1571</v>
      </c>
      <c r="M299" s="1033">
        <v>0.7</v>
      </c>
      <c r="N299" s="1135" t="s">
        <v>1569</v>
      </c>
      <c r="O299" s="1135">
        <v>1.58</v>
      </c>
      <c r="P299" s="1135">
        <v>1.55</v>
      </c>
      <c r="Q299" s="1135">
        <v>1.47E-2</v>
      </c>
      <c r="R299" s="1135">
        <v>0</v>
      </c>
      <c r="S299" s="1135">
        <v>1.47E-2</v>
      </c>
      <c r="T299" s="1978">
        <v>0</v>
      </c>
      <c r="U299" s="2587">
        <v>0</v>
      </c>
    </row>
    <row r="300" spans="2:21" hidden="1" outlineLevel="1">
      <c r="B300" s="1050">
        <v>16</v>
      </c>
      <c r="C300" s="1050" t="str">
        <f t="shared" si="25"/>
        <v>Avion cargo, plus de 100 T, &gt; 3500 km, sans trainées, France continentale, Base Carbone</v>
      </c>
      <c r="D300" s="1051">
        <f t="shared" si="26"/>
        <v>5</v>
      </c>
      <c r="E300" s="1051" t="str">
        <f>IF(COUNTIF(E$284:E299,F300)&gt;0,"",F300)</f>
        <v/>
      </c>
      <c r="F300" s="1051" t="str">
        <f t="shared" si="27"/>
        <v>Avion cargo, 26 à 100 T, 500 - 1000 km, avec trainées, France continentale, Base Carbone</v>
      </c>
      <c r="G300" s="1055" t="str">
        <f t="shared" si="28"/>
        <v>Avion cargo, 26 à 100 T, 500 - 1000 km, avec trainées, France continentale, Base Carbone; kgCO2e/tonne.km, Emissions fugitives</v>
      </c>
      <c r="I300" s="1034" t="s">
        <v>3880</v>
      </c>
      <c r="J300" s="1135" t="s">
        <v>2324</v>
      </c>
      <c r="K300" s="1119" t="s">
        <v>1567</v>
      </c>
      <c r="L300" s="1135" t="s">
        <v>1571</v>
      </c>
      <c r="M300" s="1033">
        <v>0.7</v>
      </c>
      <c r="N300" s="1135" t="s">
        <v>1764</v>
      </c>
      <c r="O300" s="1135">
        <v>1.56</v>
      </c>
      <c r="P300" s="1135">
        <v>0</v>
      </c>
      <c r="Q300" s="1135">
        <v>0</v>
      </c>
      <c r="R300" s="1135">
        <v>0</v>
      </c>
      <c r="S300" s="1135">
        <v>0</v>
      </c>
      <c r="T300" s="1978">
        <v>1.56</v>
      </c>
      <c r="U300" s="2587">
        <v>0</v>
      </c>
    </row>
    <row r="301" spans="2:21" hidden="1" outlineLevel="1">
      <c r="B301" s="1050">
        <v>17</v>
      </c>
      <c r="C301" s="1050" t="str">
        <f t="shared" si="25"/>
        <v>Avion passagers, 101-220 sièges, 1000 - 3500 km, avec trainées, France continentale, Base Carbone</v>
      </c>
      <c r="D301" s="1051">
        <f t="shared" si="26"/>
        <v>5</v>
      </c>
      <c r="E301" s="1051" t="str">
        <f>IF(COUNTIF(E$284:E300,F301)&gt;0,"",F301)</f>
        <v/>
      </c>
      <c r="F301" s="1051" t="str">
        <f t="shared" si="27"/>
        <v>Avion cargo, 26 à 100 T, 500 - 1000 km, avec trainées, France continentale, Base Carbone</v>
      </c>
      <c r="G301" s="1055" t="str">
        <f t="shared" si="28"/>
        <v>Avion cargo, 26 à 100 T, 500 - 1000 km, avec trainées, France continentale, Base Carbone; kgCO2e/tonne.km, Amont</v>
      </c>
      <c r="I301" s="1034" t="s">
        <v>3880</v>
      </c>
      <c r="J301" s="1135" t="s">
        <v>2324</v>
      </c>
      <c r="K301" s="1119" t="s">
        <v>1567</v>
      </c>
      <c r="L301" s="1135" t="s">
        <v>1571</v>
      </c>
      <c r="M301" s="1033">
        <v>0.7</v>
      </c>
      <c r="N301" s="1135" t="s">
        <v>1570</v>
      </c>
      <c r="O301" s="1135">
        <v>0.30599999999999999</v>
      </c>
      <c r="P301" s="1135">
        <v>0.29399999999999998</v>
      </c>
      <c r="Q301" s="1135">
        <v>2.0100000000000001E-4</v>
      </c>
      <c r="R301" s="1135">
        <v>0</v>
      </c>
      <c r="S301" s="1135">
        <v>1.14E-2</v>
      </c>
      <c r="T301" s="1978">
        <v>0</v>
      </c>
      <c r="U301" s="2587">
        <v>0</v>
      </c>
    </row>
    <row r="302" spans="2:21" hidden="1" outlineLevel="1">
      <c r="B302" s="1050">
        <v>18</v>
      </c>
      <c r="C302" s="1050" t="str">
        <f t="shared" si="25"/>
        <v>Avion passagers, 101-220 sièges, 1000 - 3500 km, sans trainées, France continentale, Base Carbone</v>
      </c>
      <c r="D302" s="1051">
        <f t="shared" si="26"/>
        <v>5</v>
      </c>
      <c r="E302" s="1051" t="str">
        <f>IF(COUNTIF(E$284:E301,F302)&gt;0,"",F302)</f>
        <v/>
      </c>
      <c r="F302" s="1051" t="str">
        <f t="shared" si="27"/>
        <v>Avion cargo, 26 à 100 T, 500 - 1000 km, avec trainées, France continentale, Base Carbone</v>
      </c>
      <c r="G302" s="1055" t="str">
        <f t="shared" si="28"/>
        <v>Avion cargo, 26 à 100 T, 500 - 1000 km, avec trainées, France continentale, Base Carbone; kgCO2e/tonne.km, Fabrication</v>
      </c>
      <c r="I302" s="1034" t="s">
        <v>3880</v>
      </c>
      <c r="J302" s="1135" t="s">
        <v>2324</v>
      </c>
      <c r="K302" s="1119" t="s">
        <v>1567</v>
      </c>
      <c r="L302" s="1135" t="s">
        <v>1571</v>
      </c>
      <c r="M302" s="1033">
        <v>0.7</v>
      </c>
      <c r="N302" s="1135" t="s">
        <v>332</v>
      </c>
      <c r="O302" s="1135">
        <v>1.4499999999999999E-3</v>
      </c>
      <c r="P302" s="1135">
        <v>1.4499999999999999E-3</v>
      </c>
      <c r="Q302" s="1135">
        <v>0</v>
      </c>
      <c r="R302" s="1135">
        <v>0</v>
      </c>
      <c r="S302" s="1135">
        <v>0</v>
      </c>
      <c r="T302" s="1978">
        <v>0</v>
      </c>
      <c r="U302" s="2587">
        <v>0</v>
      </c>
    </row>
    <row r="303" spans="2:21" hidden="1" outlineLevel="1">
      <c r="B303" s="1050">
        <v>19</v>
      </c>
      <c r="C303" s="1050" t="str">
        <f t="shared" si="25"/>
        <v>Avion passagers, 101-220 sièges, 500 - 1000 km, avec trainées, France continentale, Base Carbone</v>
      </c>
      <c r="D303" s="1051">
        <f t="shared" si="26"/>
        <v>6</v>
      </c>
      <c r="E303" s="1051" t="str">
        <f>IF(COUNTIF(E$284:E302,F303)&gt;0,"",F303)</f>
        <v>Avion cargo, 26 à 100 T, 500 - 1000 km, sans trainées, France continentale, Base Carbone</v>
      </c>
      <c r="F303" s="1051" t="str">
        <f t="shared" si="27"/>
        <v>Avion cargo, 26 à 100 T, 500 - 1000 km, sans trainées, France continentale, Base Carbone</v>
      </c>
      <c r="G303" s="1055" t="str">
        <f t="shared" si="28"/>
        <v>Avion cargo, 26 à 100 T, 500 - 1000 km, sans trainées, France continentale, Base Carbone; kgCO2e/tonne.km, Combustion</v>
      </c>
      <c r="I303" s="1034" t="s">
        <v>3879</v>
      </c>
      <c r="J303" s="1135" t="s">
        <v>2324</v>
      </c>
      <c r="K303" s="1119" t="s">
        <v>1567</v>
      </c>
      <c r="L303" s="1135" t="s">
        <v>1571</v>
      </c>
      <c r="M303" s="1033">
        <v>0.1</v>
      </c>
      <c r="N303" s="1135" t="s">
        <v>1569</v>
      </c>
      <c r="O303" s="1135">
        <v>1.58</v>
      </c>
      <c r="P303" s="1135">
        <v>1.55</v>
      </c>
      <c r="Q303" s="1135">
        <v>1.47E-2</v>
      </c>
      <c r="R303" s="1135">
        <v>0</v>
      </c>
      <c r="S303" s="1135">
        <v>1.47E-2</v>
      </c>
      <c r="T303" s="1978">
        <v>0</v>
      </c>
      <c r="U303" s="2587">
        <v>0</v>
      </c>
    </row>
    <row r="304" spans="2:21" hidden="1" outlineLevel="1">
      <c r="B304" s="1050">
        <v>20</v>
      </c>
      <c r="C304" s="1050" t="str">
        <f t="shared" si="25"/>
        <v>Avion passagers, 101-220 sièges, 500 - 1000 km, sans trainées, France continentale, Base Carbone</v>
      </c>
      <c r="D304" s="1051">
        <f t="shared" si="26"/>
        <v>6</v>
      </c>
      <c r="E304" s="1051" t="str">
        <f>IF(COUNTIF(E$284:E303,F304)&gt;0,"",F304)</f>
        <v/>
      </c>
      <c r="F304" s="1051" t="str">
        <f t="shared" si="27"/>
        <v>Avion cargo, 26 à 100 T, 500 - 1000 km, sans trainées, France continentale, Base Carbone</v>
      </c>
      <c r="G304" s="1055" t="str">
        <f t="shared" si="28"/>
        <v>Avion cargo, 26 à 100 T, 500 - 1000 km, sans trainées, France continentale, Base Carbone; kgCO2e/tonne.km, Amont</v>
      </c>
      <c r="I304" s="1034" t="s">
        <v>3879</v>
      </c>
      <c r="J304" s="1135" t="s">
        <v>2324</v>
      </c>
      <c r="K304" s="1119" t="s">
        <v>1567</v>
      </c>
      <c r="L304" s="1135" t="s">
        <v>1571</v>
      </c>
      <c r="M304" s="1033">
        <v>0.1</v>
      </c>
      <c r="N304" s="1135" t="s">
        <v>1570</v>
      </c>
      <c r="O304" s="1135">
        <v>0.30599999999999999</v>
      </c>
      <c r="P304" s="1135">
        <v>0.29399999999999998</v>
      </c>
      <c r="Q304" s="1135">
        <v>2.0100000000000001E-4</v>
      </c>
      <c r="R304" s="1135">
        <v>0</v>
      </c>
      <c r="S304" s="1135">
        <v>1.14E-2</v>
      </c>
      <c r="T304" s="1978">
        <v>0</v>
      </c>
      <c r="U304" s="2587">
        <v>0</v>
      </c>
    </row>
    <row r="305" spans="2:21" hidden="1" outlineLevel="1">
      <c r="B305" s="1050">
        <v>21</v>
      </c>
      <c r="C305" s="1050" t="str">
        <f t="shared" si="25"/>
        <v>Avion passagers, 101-220 sièges, &lt; 500 km jet, avec trainées, France continentale, Base Carbone</v>
      </c>
      <c r="D305" s="1051">
        <f t="shared" si="26"/>
        <v>6</v>
      </c>
      <c r="E305" s="1051" t="str">
        <f>IF(COUNTIF(E$284:E304,F305)&gt;0,"",F305)</f>
        <v/>
      </c>
      <c r="F305" s="1051" t="str">
        <f t="shared" si="27"/>
        <v>Avion cargo, 26 à 100 T, 500 - 1000 km, sans trainées, France continentale, Base Carbone</v>
      </c>
      <c r="G305" s="1055" t="str">
        <f t="shared" si="28"/>
        <v>Avion cargo, 26 à 100 T, 500 - 1000 km, sans trainées, France continentale, Base Carbone; kgCO2e/tonne.km, Fabrication</v>
      </c>
      <c r="I305" s="1034" t="s">
        <v>3879</v>
      </c>
      <c r="J305" s="1135" t="s">
        <v>2324</v>
      </c>
      <c r="K305" s="1119" t="s">
        <v>1567</v>
      </c>
      <c r="L305" s="1135" t="s">
        <v>1571</v>
      </c>
      <c r="M305" s="1033">
        <v>0.1</v>
      </c>
      <c r="N305" s="1135" t="s">
        <v>332</v>
      </c>
      <c r="O305" s="1135">
        <v>1.4499999999999999E-3</v>
      </c>
      <c r="P305" s="1135">
        <v>1.4499999999999999E-3</v>
      </c>
      <c r="Q305" s="1135">
        <v>0</v>
      </c>
      <c r="R305" s="1135">
        <v>0</v>
      </c>
      <c r="S305" s="1135">
        <v>0</v>
      </c>
      <c r="T305" s="1978">
        <v>0</v>
      </c>
      <c r="U305" s="2587">
        <v>0</v>
      </c>
    </row>
    <row r="306" spans="2:21" hidden="1" outlineLevel="1">
      <c r="B306" s="1050">
        <v>22</v>
      </c>
      <c r="C306" s="1050" t="str">
        <f t="shared" si="25"/>
        <v>Avion passagers, 101-220 sièges, &lt; 500 km jet, sans trainées, France continentale, Base Carbone</v>
      </c>
      <c r="D306" s="1051">
        <f t="shared" si="26"/>
        <v>7</v>
      </c>
      <c r="E306" s="1051" t="str">
        <f>IF(COUNTIF(E$284:E305,F306)&gt;0,"",F306)</f>
        <v>Avion cargo, 26 à 100 T, &lt; 500 km, avec trainées, France continentale, Base Carbone</v>
      </c>
      <c r="F306" s="1051" t="str">
        <f t="shared" si="27"/>
        <v>Avion cargo, 26 à 100 T, &lt; 500 km, avec trainées, France continentale, Base Carbone</v>
      </c>
      <c r="G306" s="1055" t="str">
        <f t="shared" si="28"/>
        <v>Avion cargo, 26 à 100 T, &lt; 500 km, avec trainées, France continentale, Base Carbone; kgCO2e/tonne.km, Combustion</v>
      </c>
      <c r="I306" s="1034" t="s">
        <v>3889</v>
      </c>
      <c r="J306" s="1135" t="s">
        <v>2324</v>
      </c>
      <c r="K306" s="1119" t="s">
        <v>1567</v>
      </c>
      <c r="L306" s="1135" t="s">
        <v>1571</v>
      </c>
      <c r="M306" s="1033">
        <v>0.7</v>
      </c>
      <c r="N306" s="1135" t="s">
        <v>1569</v>
      </c>
      <c r="O306" s="1135">
        <v>2.4900000000000002</v>
      </c>
      <c r="P306" s="1135">
        <v>2.44</v>
      </c>
      <c r="Q306" s="1135">
        <v>2.3199999999999998E-2</v>
      </c>
      <c r="R306" s="1135">
        <v>0</v>
      </c>
      <c r="S306" s="1135">
        <v>2.3199999999999998E-2</v>
      </c>
      <c r="T306" s="1978">
        <v>0</v>
      </c>
      <c r="U306" s="2587">
        <v>0</v>
      </c>
    </row>
    <row r="307" spans="2:21" hidden="1" outlineLevel="1">
      <c r="B307" s="1050">
        <v>23</v>
      </c>
      <c r="C307" s="1050" t="str">
        <f t="shared" si="25"/>
        <v>Avion passagers, 101-220 sièges, &gt; 3500 km, avec trainées, France continentale, Base Carbone</v>
      </c>
      <c r="D307" s="1051">
        <f t="shared" si="26"/>
        <v>7</v>
      </c>
      <c r="E307" s="1051" t="str">
        <f>IF(COUNTIF(E$284:E306,F307)&gt;0,"",F307)</f>
        <v/>
      </c>
      <c r="F307" s="1051" t="str">
        <f t="shared" si="27"/>
        <v>Avion cargo, 26 à 100 T, &lt; 500 km, avec trainées, France continentale, Base Carbone</v>
      </c>
      <c r="G307" s="1055" t="str">
        <f t="shared" si="28"/>
        <v>Avion cargo, 26 à 100 T, &lt; 500 km, avec trainées, France continentale, Base Carbone; kgCO2e/tonne.km, Emissions fugitives</v>
      </c>
      <c r="I307" s="1034" t="s">
        <v>3889</v>
      </c>
      <c r="J307" s="1135" t="s">
        <v>2324</v>
      </c>
      <c r="K307" s="1119" t="s">
        <v>1567</v>
      </c>
      <c r="L307" s="1135" t="s">
        <v>1571</v>
      </c>
      <c r="M307" s="1033">
        <v>0.7</v>
      </c>
      <c r="N307" s="1135" t="s">
        <v>1764</v>
      </c>
      <c r="O307" s="1135">
        <v>2.46</v>
      </c>
      <c r="P307" s="1135">
        <v>0</v>
      </c>
      <c r="Q307" s="1135">
        <v>0</v>
      </c>
      <c r="R307" s="1135">
        <v>0</v>
      </c>
      <c r="S307" s="1135">
        <v>0</v>
      </c>
      <c r="T307" s="1978">
        <v>2.46</v>
      </c>
      <c r="U307" s="2587">
        <v>0</v>
      </c>
    </row>
    <row r="308" spans="2:21" hidden="1" outlineLevel="1">
      <c r="B308" s="1050">
        <v>24</v>
      </c>
      <c r="C308" s="1050" t="str">
        <f t="shared" si="25"/>
        <v>Avion passagers, 101-220 sièges, &gt; 3500 km, sans trainées, France continentale, Base Carbone</v>
      </c>
      <c r="D308" s="1051">
        <f t="shared" si="26"/>
        <v>7</v>
      </c>
      <c r="E308" s="1051" t="str">
        <f>IF(COUNTIF(E$284:E307,F308)&gt;0,"",F308)</f>
        <v/>
      </c>
      <c r="F308" s="1051" t="str">
        <f t="shared" si="27"/>
        <v>Avion cargo, 26 à 100 T, &lt; 500 km, avec trainées, France continentale, Base Carbone</v>
      </c>
      <c r="G308" s="1055" t="str">
        <f t="shared" si="28"/>
        <v>Avion cargo, 26 à 100 T, &lt; 500 km, avec trainées, France continentale, Base Carbone; kgCO2e/tonne.km, Amont</v>
      </c>
      <c r="I308" s="1034" t="s">
        <v>3889</v>
      </c>
      <c r="J308" s="1135" t="s">
        <v>2324</v>
      </c>
      <c r="K308" s="1119" t="s">
        <v>1567</v>
      </c>
      <c r="L308" s="1135" t="s">
        <v>1571</v>
      </c>
      <c r="M308" s="1033">
        <v>0.7</v>
      </c>
      <c r="N308" s="1135" t="s">
        <v>1570</v>
      </c>
      <c r="O308" s="1135">
        <v>0.48199999999999998</v>
      </c>
      <c r="P308" s="1135">
        <v>0.46400000000000002</v>
      </c>
      <c r="Q308" s="1135">
        <v>2.9999999999999997E-4</v>
      </c>
      <c r="R308" s="1135">
        <v>0</v>
      </c>
      <c r="S308" s="1135">
        <v>1.8100000000000002E-2</v>
      </c>
      <c r="T308" s="1978">
        <v>0</v>
      </c>
      <c r="U308" s="2587">
        <v>0</v>
      </c>
    </row>
    <row r="309" spans="2:21" hidden="1" outlineLevel="1">
      <c r="B309" s="1050">
        <v>25</v>
      </c>
      <c r="C309" s="1050" t="str">
        <f t="shared" si="25"/>
        <v>Avion passagers, 20-50 sièges, 1000 - 3500 km, avec trainées, France continentale, Base Carbone</v>
      </c>
      <c r="D309" s="1051">
        <f t="shared" si="26"/>
        <v>7</v>
      </c>
      <c r="E309" s="1051" t="str">
        <f>IF(COUNTIF(E$284:E308,F309)&gt;0,"",F309)</f>
        <v/>
      </c>
      <c r="F309" s="1051" t="str">
        <f t="shared" si="27"/>
        <v>Avion cargo, 26 à 100 T, &lt; 500 km, avec trainées, France continentale, Base Carbone</v>
      </c>
      <c r="G309" s="1055" t="str">
        <f t="shared" si="28"/>
        <v>Avion cargo, 26 à 100 T, &lt; 500 km, avec trainées, France continentale, Base Carbone; kgCO2e/tonne.km, Fabrication</v>
      </c>
      <c r="I309" s="1034" t="s">
        <v>3889</v>
      </c>
      <c r="J309" s="1135" t="s">
        <v>2324</v>
      </c>
      <c r="K309" s="1119" t="s">
        <v>1567</v>
      </c>
      <c r="L309" s="1135" t="s">
        <v>1571</v>
      </c>
      <c r="M309" s="1033">
        <v>0.7</v>
      </c>
      <c r="N309" s="1135" t="s">
        <v>332</v>
      </c>
      <c r="O309" s="1135">
        <v>1.4499999999999999E-3</v>
      </c>
      <c r="P309" s="1135">
        <v>1.4499999999999999E-3</v>
      </c>
      <c r="Q309" s="1135">
        <v>0</v>
      </c>
      <c r="R309" s="1135">
        <v>0</v>
      </c>
      <c r="S309" s="1135">
        <v>0</v>
      </c>
      <c r="T309" s="1978">
        <v>0</v>
      </c>
      <c r="U309" s="2587">
        <v>0</v>
      </c>
    </row>
    <row r="310" spans="2:21" hidden="1" outlineLevel="1">
      <c r="B310" s="1050">
        <v>26</v>
      </c>
      <c r="C310" s="1050" t="str">
        <f t="shared" si="25"/>
        <v>Avion passagers, 20-50 sièges, 1000 - 3500 km, sans trainées, France continentale, Base Carbone</v>
      </c>
      <c r="D310" s="1051">
        <f t="shared" si="26"/>
        <v>8</v>
      </c>
      <c r="E310" s="1051" t="str">
        <f>IF(COUNTIF(E$284:E309,F310)&gt;0,"",F310)</f>
        <v>Avion cargo, 26 à 100 T, &lt; 500 km, sans trainées, France continentale, Base Carbone</v>
      </c>
      <c r="F310" s="1051" t="str">
        <f t="shared" si="27"/>
        <v>Avion cargo, 26 à 100 T, &lt; 500 km, sans trainées, France continentale, Base Carbone</v>
      </c>
      <c r="G310" s="1055" t="str">
        <f t="shared" si="28"/>
        <v>Avion cargo, 26 à 100 T, &lt; 500 km, sans trainées, France continentale, Base Carbone; kgCO2e/tonne.km, Combustion</v>
      </c>
      <c r="I310" s="1034" t="s">
        <v>3890</v>
      </c>
      <c r="J310" s="1135" t="s">
        <v>2324</v>
      </c>
      <c r="K310" s="1119" t="s">
        <v>1567</v>
      </c>
      <c r="L310" s="1135" t="s">
        <v>1571</v>
      </c>
      <c r="M310" s="1033">
        <v>0.1</v>
      </c>
      <c r="N310" s="1135" t="s">
        <v>1569</v>
      </c>
      <c r="O310" s="1135">
        <v>2.4900000000000002</v>
      </c>
      <c r="P310" s="1135">
        <v>2.44</v>
      </c>
      <c r="Q310" s="1135">
        <v>2.3199999999999998E-2</v>
      </c>
      <c r="R310" s="1135">
        <v>0</v>
      </c>
      <c r="S310" s="1135">
        <v>2.3199999999999998E-2</v>
      </c>
      <c r="T310" s="1978">
        <v>0</v>
      </c>
      <c r="U310" s="2587">
        <v>0</v>
      </c>
    </row>
    <row r="311" spans="2:21" hidden="1" outlineLevel="1">
      <c r="B311" s="1050">
        <v>27</v>
      </c>
      <c r="C311" s="1050" t="str">
        <f t="shared" si="25"/>
        <v>Avion passagers, 20-50 sièges, 500 - 1000 km, avec trainées, France continentale, Base Carbone</v>
      </c>
      <c r="D311" s="1051">
        <f t="shared" si="26"/>
        <v>8</v>
      </c>
      <c r="E311" s="1051" t="str">
        <f>IF(COUNTIF(E$284:E310,F311)&gt;0,"",F311)</f>
        <v/>
      </c>
      <c r="F311" s="1051" t="str">
        <f t="shared" si="27"/>
        <v>Avion cargo, 26 à 100 T, &lt; 500 km, sans trainées, France continentale, Base Carbone</v>
      </c>
      <c r="G311" s="1055" t="str">
        <f t="shared" si="28"/>
        <v>Avion cargo, 26 à 100 T, &lt; 500 km, sans trainées, France continentale, Base Carbone; kgCO2e/tonne.km, Amont</v>
      </c>
      <c r="I311" s="1034" t="s">
        <v>3890</v>
      </c>
      <c r="J311" s="1135" t="s">
        <v>2324</v>
      </c>
      <c r="K311" s="1119" t="s">
        <v>1567</v>
      </c>
      <c r="L311" s="1135" t="s">
        <v>1571</v>
      </c>
      <c r="M311" s="1033">
        <v>0.1</v>
      </c>
      <c r="N311" s="1135" t="s">
        <v>1570</v>
      </c>
      <c r="O311" s="1135">
        <v>0.48199999999999998</v>
      </c>
      <c r="P311" s="1135">
        <v>0.46400000000000002</v>
      </c>
      <c r="Q311" s="1135">
        <v>2.9999999999999997E-4</v>
      </c>
      <c r="R311" s="1135">
        <v>0</v>
      </c>
      <c r="S311" s="1135">
        <v>1.8100000000000002E-2</v>
      </c>
      <c r="T311" s="1978">
        <v>0</v>
      </c>
      <c r="U311" s="2587">
        <v>0</v>
      </c>
    </row>
    <row r="312" spans="2:21" hidden="1" outlineLevel="1">
      <c r="B312" s="1050">
        <v>28</v>
      </c>
      <c r="C312" s="1050" t="str">
        <f t="shared" si="25"/>
        <v>Avion passagers, 20-50 sièges, 500 - 1000 km, sans trainées, France continentale, Base Carbone</v>
      </c>
      <c r="D312" s="1051">
        <f t="shared" si="26"/>
        <v>8</v>
      </c>
      <c r="E312" s="1051" t="str">
        <f>IF(COUNTIF(E$284:E311,F312)&gt;0,"",F312)</f>
        <v/>
      </c>
      <c r="F312" s="1051" t="str">
        <f t="shared" si="27"/>
        <v>Avion cargo, 26 à 100 T, &lt; 500 km, sans trainées, France continentale, Base Carbone</v>
      </c>
      <c r="G312" s="1055" t="str">
        <f t="shared" si="28"/>
        <v>Avion cargo, 26 à 100 T, &lt; 500 km, sans trainées, France continentale, Base Carbone; kgCO2e/tonne.km, Fabrication</v>
      </c>
      <c r="I312" s="1034" t="s">
        <v>3890</v>
      </c>
      <c r="J312" s="1135" t="s">
        <v>2324</v>
      </c>
      <c r="K312" s="1119" t="s">
        <v>1567</v>
      </c>
      <c r="L312" s="1135" t="s">
        <v>1571</v>
      </c>
      <c r="M312" s="1033">
        <v>0.1</v>
      </c>
      <c r="N312" s="1135" t="s">
        <v>332</v>
      </c>
      <c r="O312" s="1135">
        <v>1.4499999999999999E-3</v>
      </c>
      <c r="P312" s="1135">
        <v>1.4499999999999999E-3</v>
      </c>
      <c r="Q312" s="1135">
        <v>0</v>
      </c>
      <c r="R312" s="1135">
        <v>0</v>
      </c>
      <c r="S312" s="1135">
        <v>0</v>
      </c>
      <c r="T312" s="1978">
        <v>0</v>
      </c>
      <c r="U312" s="2587">
        <v>0</v>
      </c>
    </row>
    <row r="313" spans="2:21" hidden="1" outlineLevel="1">
      <c r="B313" s="1050">
        <v>29</v>
      </c>
      <c r="C313" s="1050" t="str">
        <f t="shared" si="25"/>
        <v>Avion passagers, 20-50 sièges, &lt; 500 km jet, avec trainées, France continentale, Base Carbone</v>
      </c>
      <c r="D313" s="1051">
        <f t="shared" si="26"/>
        <v>9</v>
      </c>
      <c r="E313" s="1051" t="str">
        <f>IF(COUNTIF(E$284:E312,F313)&gt;0,"",F313)</f>
        <v>Avion cargo, plus de 100 T, 1000 - 3500 km, avec trainées, France continentale, Base Carbone</v>
      </c>
      <c r="F313" s="1051" t="str">
        <f t="shared" si="27"/>
        <v>Avion cargo, plus de 100 T, 1000 - 3500 km, avec trainées, France continentale, Base Carbone</v>
      </c>
      <c r="G313" s="1055" t="str">
        <f t="shared" si="28"/>
        <v>Avion cargo, plus de 100 T, 1000 - 3500 km, avec trainées, France continentale, Base Carbone; kgCO2e/tonne.km, Combustion</v>
      </c>
      <c r="I313" s="1034" t="s">
        <v>3882</v>
      </c>
      <c r="J313" s="1135" t="s">
        <v>2324</v>
      </c>
      <c r="K313" s="1119" t="s">
        <v>1567</v>
      </c>
      <c r="L313" s="1135" t="s">
        <v>1571</v>
      </c>
      <c r="M313" s="1033">
        <v>0.7</v>
      </c>
      <c r="N313" s="1135" t="s">
        <v>1569</v>
      </c>
      <c r="O313" s="1135">
        <v>0.79600000000000004</v>
      </c>
      <c r="P313" s="1135">
        <v>0.78100000000000003</v>
      </c>
      <c r="Q313" s="1135">
        <v>7.43E-3</v>
      </c>
      <c r="R313" s="1135">
        <v>0</v>
      </c>
      <c r="S313" s="1135">
        <v>7.45E-3</v>
      </c>
      <c r="T313" s="1978">
        <v>0</v>
      </c>
      <c r="U313" s="2587">
        <v>0</v>
      </c>
    </row>
    <row r="314" spans="2:21" hidden="1" outlineLevel="1">
      <c r="B314" s="1050">
        <v>30</v>
      </c>
      <c r="C314" s="1050" t="str">
        <f t="shared" si="25"/>
        <v>Avion passagers, 20-50 sièges, &lt; 500 km jet, sans trainées, France continentale, Base Carbone</v>
      </c>
      <c r="D314" s="1051">
        <f t="shared" si="26"/>
        <v>9</v>
      </c>
      <c r="E314" s="1051" t="str">
        <f>IF(COUNTIF(E$284:E313,F314)&gt;0,"",F314)</f>
        <v/>
      </c>
      <c r="F314" s="1051" t="str">
        <f t="shared" si="27"/>
        <v>Avion cargo, plus de 100 T, 1000 - 3500 km, avec trainées, France continentale, Base Carbone</v>
      </c>
      <c r="G314" s="1055" t="str">
        <f t="shared" si="28"/>
        <v>Avion cargo, plus de 100 T, 1000 - 3500 km, avec trainées, France continentale, Base Carbone; kgCO2e/tonne.km, Emissions fugitives</v>
      </c>
      <c r="I314" s="1034" t="s">
        <v>3882</v>
      </c>
      <c r="J314" s="1135" t="s">
        <v>2324</v>
      </c>
      <c r="K314" s="1119" t="s">
        <v>1567</v>
      </c>
      <c r="L314" s="1135" t="s">
        <v>1571</v>
      </c>
      <c r="M314" s="1033">
        <v>0.7</v>
      </c>
      <c r="N314" s="1135" t="s">
        <v>1764</v>
      </c>
      <c r="O314" s="1135">
        <v>0.78700000000000003</v>
      </c>
      <c r="P314" s="1135">
        <v>0</v>
      </c>
      <c r="Q314" s="1135">
        <v>0</v>
      </c>
      <c r="R314" s="1135">
        <v>0</v>
      </c>
      <c r="S314" s="1135">
        <v>0</v>
      </c>
      <c r="T314" s="1978">
        <v>0.78700000000000003</v>
      </c>
      <c r="U314" s="2587">
        <v>0</v>
      </c>
    </row>
    <row r="315" spans="2:21" hidden="1" outlineLevel="1">
      <c r="B315" s="1050">
        <v>31</v>
      </c>
      <c r="C315" s="1050" t="str">
        <f t="shared" si="25"/>
        <v>Avion passagers, 20-50 sièges, &lt; 500 km turboprop, avec trainées, France continentale, Base Carbone</v>
      </c>
      <c r="D315" s="1051">
        <f t="shared" si="26"/>
        <v>9</v>
      </c>
      <c r="E315" s="1051" t="str">
        <f>IF(COUNTIF(E$284:E314,F315)&gt;0,"",F315)</f>
        <v/>
      </c>
      <c r="F315" s="1051" t="str">
        <f t="shared" si="27"/>
        <v>Avion cargo, plus de 100 T, 1000 - 3500 km, avec trainées, France continentale, Base Carbone</v>
      </c>
      <c r="G315" s="1055" t="str">
        <f t="shared" si="28"/>
        <v>Avion cargo, plus de 100 T, 1000 - 3500 km, avec trainées, France continentale, Base Carbone; kgCO2e/tonne.km, Amont</v>
      </c>
      <c r="I315" s="1034" t="s">
        <v>3882</v>
      </c>
      <c r="J315" s="1135" t="s">
        <v>2324</v>
      </c>
      <c r="K315" s="1119" t="s">
        <v>1567</v>
      </c>
      <c r="L315" s="1135" t="s">
        <v>1571</v>
      </c>
      <c r="M315" s="1033">
        <v>0.7</v>
      </c>
      <c r="N315" s="1135" t="s">
        <v>1570</v>
      </c>
      <c r="O315" s="1135">
        <v>0.154</v>
      </c>
      <c r="P315" s="1135">
        <v>0.14799999999999999</v>
      </c>
      <c r="Q315" s="1135">
        <v>9.8999999999999994E-5</v>
      </c>
      <c r="R315" s="1135">
        <v>0</v>
      </c>
      <c r="S315" s="1135">
        <v>5.7999999999999996E-3</v>
      </c>
      <c r="T315" s="1978">
        <v>0</v>
      </c>
      <c r="U315" s="2587">
        <v>0</v>
      </c>
    </row>
    <row r="316" spans="2:21" hidden="1" outlineLevel="1">
      <c r="B316" s="1050">
        <v>32</v>
      </c>
      <c r="C316" s="1050" t="str">
        <f t="shared" si="25"/>
        <v>Avion passagers, 20-50 sièges, &lt; 500 km turboprop, sans trainées, France continentale, Base Carbone</v>
      </c>
      <c r="D316" s="1051">
        <f t="shared" si="26"/>
        <v>9</v>
      </c>
      <c r="E316" s="1051" t="str">
        <f>IF(COUNTIF(E$284:E315,F316)&gt;0,"",F316)</f>
        <v/>
      </c>
      <c r="F316" s="1051" t="str">
        <f t="shared" si="27"/>
        <v>Avion cargo, plus de 100 T, 1000 - 3500 km, avec trainées, France continentale, Base Carbone</v>
      </c>
      <c r="G316" s="1055" t="str">
        <f t="shared" si="28"/>
        <v>Avion cargo, plus de 100 T, 1000 - 3500 km, avec trainées, France continentale, Base Carbone; kgCO2e/tonne.km, Fabrication</v>
      </c>
      <c r="I316" s="1034" t="s">
        <v>3882</v>
      </c>
      <c r="J316" s="1135" t="s">
        <v>2324</v>
      </c>
      <c r="K316" s="1119" t="s">
        <v>1567</v>
      </c>
      <c r="L316" s="1135" t="s">
        <v>1571</v>
      </c>
      <c r="M316" s="1033">
        <v>0.7</v>
      </c>
      <c r="N316" s="1135" t="s">
        <v>332</v>
      </c>
      <c r="O316" s="1135">
        <v>1.15E-3</v>
      </c>
      <c r="P316" s="1135">
        <v>1.15E-3</v>
      </c>
      <c r="Q316" s="1135">
        <v>0</v>
      </c>
      <c r="R316" s="1135">
        <v>0</v>
      </c>
      <c r="S316" s="1135">
        <v>0</v>
      </c>
      <c r="T316" s="1978">
        <v>0</v>
      </c>
      <c r="U316" s="2587">
        <v>0</v>
      </c>
    </row>
    <row r="317" spans="2:21" hidden="1" outlineLevel="1">
      <c r="B317" s="1050">
        <v>33</v>
      </c>
      <c r="C317" s="1050" t="str">
        <f t="shared" si="25"/>
        <v>Avion passagers, 51-100 sièges, 1000 - 3500 km, avec trainées, France continentale, Base Carbone</v>
      </c>
      <c r="D317" s="1051">
        <f t="shared" si="26"/>
        <v>10</v>
      </c>
      <c r="E317" s="1051" t="str">
        <f>IF(COUNTIF(E$284:E316,F317)&gt;0,"",F317)</f>
        <v>Avion cargo, plus de 100 T, 1000 - 3500 km, sans trainées, France continentale, Base Carbone</v>
      </c>
      <c r="F317" s="1051" t="str">
        <f t="shared" si="27"/>
        <v>Avion cargo, plus de 100 T, 1000 - 3500 km, sans trainées, France continentale, Base Carbone</v>
      </c>
      <c r="G317" s="1055" t="str">
        <f t="shared" si="28"/>
        <v>Avion cargo, plus de 100 T, 1000 - 3500 km, sans trainées, France continentale, Base Carbone; kgCO2e/tonne.km, Combustion</v>
      </c>
      <c r="I317" s="1034" t="s">
        <v>3881</v>
      </c>
      <c r="J317" s="1135" t="s">
        <v>2324</v>
      </c>
      <c r="K317" s="1119" t="s">
        <v>1567</v>
      </c>
      <c r="L317" s="1135" t="s">
        <v>1571</v>
      </c>
      <c r="M317" s="1033">
        <v>0.1</v>
      </c>
      <c r="N317" s="1135" t="s">
        <v>1569</v>
      </c>
      <c r="O317" s="1135">
        <v>0.79600000000000004</v>
      </c>
      <c r="P317" s="1135">
        <v>0.78100000000000003</v>
      </c>
      <c r="Q317" s="1135">
        <v>7.43E-3</v>
      </c>
      <c r="R317" s="1135">
        <v>0</v>
      </c>
      <c r="S317" s="1135">
        <v>7.45E-3</v>
      </c>
      <c r="T317" s="1978">
        <v>0</v>
      </c>
      <c r="U317" s="2041">
        <v>0</v>
      </c>
    </row>
    <row r="318" spans="2:21" hidden="1" outlineLevel="1">
      <c r="B318" s="1050">
        <v>34</v>
      </c>
      <c r="C318" s="1050" t="str">
        <f t="shared" si="25"/>
        <v>Avion passagers, 51-100 sièges, 1000 - 3500 km, sans trainées, France continentale, Base Carbone</v>
      </c>
      <c r="D318" s="1051">
        <f t="shared" si="26"/>
        <v>10</v>
      </c>
      <c r="E318" s="1051" t="str">
        <f>IF(COUNTIF(E$284:E317,F318)&gt;0,"",F318)</f>
        <v/>
      </c>
      <c r="F318" s="1051" t="str">
        <f t="shared" si="27"/>
        <v>Avion cargo, plus de 100 T, 1000 - 3500 km, sans trainées, France continentale, Base Carbone</v>
      </c>
      <c r="G318" s="1055" t="str">
        <f t="shared" si="28"/>
        <v>Avion cargo, plus de 100 T, 1000 - 3500 km, sans trainées, France continentale, Base Carbone; kgCO2e/tonne.km, Amont</v>
      </c>
      <c r="I318" s="1034" t="s">
        <v>3881</v>
      </c>
      <c r="J318" s="1135" t="s">
        <v>2324</v>
      </c>
      <c r="K318" s="1119" t="s">
        <v>1567</v>
      </c>
      <c r="L318" s="1135" t="s">
        <v>1571</v>
      </c>
      <c r="M318" s="1033">
        <v>0.1</v>
      </c>
      <c r="N318" s="1135" t="s">
        <v>1570</v>
      </c>
      <c r="O318" s="1135">
        <v>0.154</v>
      </c>
      <c r="P318" s="1135">
        <v>0.14799999999999999</v>
      </c>
      <c r="Q318" s="1135">
        <v>9.8999999999999994E-5</v>
      </c>
      <c r="R318" s="1135">
        <v>0</v>
      </c>
      <c r="S318" s="1135">
        <v>5.7999999999999996E-3</v>
      </c>
      <c r="T318" s="1978">
        <v>0</v>
      </c>
      <c r="U318" s="2041">
        <v>0</v>
      </c>
    </row>
    <row r="319" spans="2:21" hidden="1" outlineLevel="1">
      <c r="B319" s="1050">
        <v>35</v>
      </c>
      <c r="C319" s="1050" t="str">
        <f t="shared" si="25"/>
        <v>Avion passagers, 51-100 sièges, 500 - 1000 km, avec trainées, France continentale, Base Carbone</v>
      </c>
      <c r="D319" s="1051">
        <f t="shared" si="26"/>
        <v>10</v>
      </c>
      <c r="E319" s="1051" t="str">
        <f>IF(COUNTIF(E$284:E318,F319)&gt;0,"",F319)</f>
        <v/>
      </c>
      <c r="F319" s="1051" t="str">
        <f t="shared" si="27"/>
        <v>Avion cargo, plus de 100 T, 1000 - 3500 km, sans trainées, France continentale, Base Carbone</v>
      </c>
      <c r="G319" s="1055" t="str">
        <f t="shared" si="28"/>
        <v>Avion cargo, plus de 100 T, 1000 - 3500 km, sans trainées, France continentale, Base Carbone; kgCO2e/tonne.km, Fabrication</v>
      </c>
      <c r="I319" s="1034" t="s">
        <v>3881</v>
      </c>
      <c r="J319" s="1135" t="s">
        <v>2324</v>
      </c>
      <c r="K319" s="1119" t="s">
        <v>1567</v>
      </c>
      <c r="L319" s="1135" t="s">
        <v>1571</v>
      </c>
      <c r="M319" s="1033">
        <v>0.1</v>
      </c>
      <c r="N319" s="1135" t="s">
        <v>332</v>
      </c>
      <c r="O319" s="1135">
        <v>1.15E-3</v>
      </c>
      <c r="P319" s="1135">
        <v>1.15E-3</v>
      </c>
      <c r="Q319" s="1135">
        <v>0</v>
      </c>
      <c r="R319" s="1135">
        <v>0</v>
      </c>
      <c r="S319" s="1135">
        <v>0</v>
      </c>
      <c r="T319" s="1978">
        <v>0</v>
      </c>
      <c r="U319" s="2041">
        <v>0</v>
      </c>
    </row>
    <row r="320" spans="2:21" hidden="1" outlineLevel="1">
      <c r="B320" s="1050">
        <v>36</v>
      </c>
      <c r="C320" s="1050" t="str">
        <f t="shared" si="25"/>
        <v>Avion passagers, 51-100 sièges, 500 - 1000 km, sans trainées, France continentale, Base Carbone</v>
      </c>
      <c r="D320" s="1051">
        <f t="shared" si="26"/>
        <v>11</v>
      </c>
      <c r="E320" s="1051" t="str">
        <f>IF(COUNTIF(E$284:E319,F320)&gt;0,"",F320)</f>
        <v>Avion cargo, plus de 100 T, 500 - 1000 km, avec trainées, France continentale, Base Carbone</v>
      </c>
      <c r="F320" s="1051" t="str">
        <f t="shared" si="27"/>
        <v>Avion cargo, plus de 100 T, 500 - 1000 km, avec trainées, France continentale, Base Carbone</v>
      </c>
      <c r="G320" s="1055" t="str">
        <f t="shared" si="28"/>
        <v>Avion cargo, plus de 100 T, 500 - 1000 km, avec trainées, France continentale, Base Carbone; kgCO2e/tonne.km, Combustion</v>
      </c>
      <c r="I320" s="1034" t="s">
        <v>3883</v>
      </c>
      <c r="J320" s="1135" t="s">
        <v>2324</v>
      </c>
      <c r="K320" s="1119" t="s">
        <v>1567</v>
      </c>
      <c r="L320" s="1135" t="s">
        <v>1571</v>
      </c>
      <c r="M320" s="1033">
        <v>0.7</v>
      </c>
      <c r="N320" s="1135" t="s">
        <v>1569</v>
      </c>
      <c r="O320" s="1135">
        <v>1.17</v>
      </c>
      <c r="P320" s="1135">
        <v>1.1499999999999999</v>
      </c>
      <c r="Q320" s="1135">
        <v>1.0999999999999999E-2</v>
      </c>
      <c r="R320" s="1135">
        <v>0</v>
      </c>
      <c r="S320" s="1135">
        <v>1.0999999999999999E-2</v>
      </c>
      <c r="T320" s="1978">
        <v>0</v>
      </c>
      <c r="U320" s="2041">
        <v>0</v>
      </c>
    </row>
    <row r="321" spans="2:21" hidden="1" outlineLevel="1">
      <c r="B321" s="1050">
        <v>37</v>
      </c>
      <c r="C321" s="1050" t="str">
        <f t="shared" si="25"/>
        <v>Avion passagers, 51-100 sièges, &lt; 500 km jet, avec trainées, France continentale, Base Carbone</v>
      </c>
      <c r="D321" s="1051">
        <f t="shared" si="26"/>
        <v>11</v>
      </c>
      <c r="E321" s="1051" t="str">
        <f>IF(COUNTIF(E$284:E320,F321)&gt;0,"",F321)</f>
        <v/>
      </c>
      <c r="F321" s="1051" t="str">
        <f t="shared" si="27"/>
        <v>Avion cargo, plus de 100 T, 500 - 1000 km, avec trainées, France continentale, Base Carbone</v>
      </c>
      <c r="G321" s="1055" t="str">
        <f t="shared" si="28"/>
        <v>Avion cargo, plus de 100 T, 500 - 1000 km, avec trainées, France continentale, Base Carbone; kgCO2e/tonne.km, Emissions fugitives</v>
      </c>
      <c r="I321" s="1034" t="s">
        <v>3883</v>
      </c>
      <c r="J321" s="1135" t="s">
        <v>2324</v>
      </c>
      <c r="K321" s="1119" t="s">
        <v>1567</v>
      </c>
      <c r="L321" s="1135" t="s">
        <v>1571</v>
      </c>
      <c r="M321" s="1033">
        <v>0.7</v>
      </c>
      <c r="N321" s="1135" t="s">
        <v>1764</v>
      </c>
      <c r="O321" s="1135">
        <v>1.1599999999999999</v>
      </c>
      <c r="P321" s="1135">
        <v>0</v>
      </c>
      <c r="Q321" s="1135">
        <v>0</v>
      </c>
      <c r="R321" s="1135">
        <v>0</v>
      </c>
      <c r="S321" s="1135">
        <v>0</v>
      </c>
      <c r="T321" s="1978">
        <v>1.1599999999999999</v>
      </c>
      <c r="U321" s="2041">
        <v>0</v>
      </c>
    </row>
    <row r="322" spans="2:21" hidden="1" outlineLevel="1">
      <c r="B322" s="1050">
        <v>38</v>
      </c>
      <c r="C322" s="1050" t="str">
        <f t="shared" si="25"/>
        <v>Avion passagers, 51-100 sièges, &lt; 500 km jet, sans trainées, France continentale, Base Carbone</v>
      </c>
      <c r="D322" s="1051">
        <f t="shared" si="26"/>
        <v>11</v>
      </c>
      <c r="E322" s="1051" t="str">
        <f>IF(COUNTIF(E$284:E321,F322)&gt;0,"",F322)</f>
        <v/>
      </c>
      <c r="F322" s="1051" t="str">
        <f t="shared" si="27"/>
        <v>Avion cargo, plus de 100 T, 500 - 1000 km, avec trainées, France continentale, Base Carbone</v>
      </c>
      <c r="G322" s="1055" t="str">
        <f t="shared" si="28"/>
        <v>Avion cargo, plus de 100 T, 500 - 1000 km, avec trainées, France continentale, Base Carbone; kgCO2e/tonne.km, Amont</v>
      </c>
      <c r="I322" s="1034" t="s">
        <v>3883</v>
      </c>
      <c r="J322" s="1135" t="s">
        <v>2324</v>
      </c>
      <c r="K322" s="1119" t="s">
        <v>1567</v>
      </c>
      <c r="L322" s="1135" t="s">
        <v>1571</v>
      </c>
      <c r="M322" s="1033">
        <v>0.7</v>
      </c>
      <c r="N322" s="1135" t="s">
        <v>1570</v>
      </c>
      <c r="O322" s="1135">
        <v>0.22800000000000001</v>
      </c>
      <c r="P322" s="1135">
        <v>0.219</v>
      </c>
      <c r="Q322" s="1135">
        <v>2.9999999999999997E-4</v>
      </c>
      <c r="R322" s="1135">
        <v>0</v>
      </c>
      <c r="S322" s="1135">
        <v>8.5299999999999994E-3</v>
      </c>
      <c r="T322" s="1978">
        <v>0</v>
      </c>
      <c r="U322" s="2041">
        <v>0</v>
      </c>
    </row>
    <row r="323" spans="2:21" hidden="1" outlineLevel="1">
      <c r="B323" s="1050">
        <v>39</v>
      </c>
      <c r="C323" s="1050" t="str">
        <f t="shared" si="25"/>
        <v>Avion passagers, 51-100 sièges, &lt; 500 km turboprop, avec trainées, France continentale, Base Carbone</v>
      </c>
      <c r="D323" s="1051">
        <f t="shared" si="26"/>
        <v>11</v>
      </c>
      <c r="E323" s="1051" t="str">
        <f>IF(COUNTIF(E$284:E322,F323)&gt;0,"",F323)</f>
        <v/>
      </c>
      <c r="F323" s="1051" t="str">
        <f t="shared" si="27"/>
        <v>Avion cargo, plus de 100 T, 500 - 1000 km, avec trainées, France continentale, Base Carbone</v>
      </c>
      <c r="G323" s="1055" t="str">
        <f t="shared" si="28"/>
        <v>Avion cargo, plus de 100 T, 500 - 1000 km, avec trainées, France continentale, Base Carbone; kgCO2e/tonne.km, Fabrication</v>
      </c>
      <c r="I323" s="1034" t="s">
        <v>3883</v>
      </c>
      <c r="J323" s="1135" t="s">
        <v>2324</v>
      </c>
      <c r="K323" s="1119" t="s">
        <v>1567</v>
      </c>
      <c r="L323" s="1135" t="s">
        <v>1571</v>
      </c>
      <c r="M323" s="1033">
        <v>0.7</v>
      </c>
      <c r="N323" s="1135" t="s">
        <v>332</v>
      </c>
      <c r="O323" s="1135">
        <v>1.15E-3</v>
      </c>
      <c r="P323" s="1135">
        <v>1.15E-3</v>
      </c>
      <c r="Q323" s="1135">
        <v>0</v>
      </c>
      <c r="R323" s="1135">
        <v>0</v>
      </c>
      <c r="S323" s="1135">
        <v>0</v>
      </c>
      <c r="T323" s="1978">
        <v>0</v>
      </c>
      <c r="U323" s="2041">
        <v>0</v>
      </c>
    </row>
    <row r="324" spans="2:21" hidden="1" outlineLevel="1">
      <c r="B324" s="1050">
        <v>40</v>
      </c>
      <c r="C324" s="1050" t="str">
        <f t="shared" si="25"/>
        <v>Avion passagers, 51-100 sièges, &lt; 500 km turboprop, sans trainées, France continentale, Base Carbone</v>
      </c>
      <c r="D324" s="1051">
        <f t="shared" si="26"/>
        <v>12</v>
      </c>
      <c r="E324" s="1051" t="str">
        <f>IF(COUNTIF(E$284:E323,F324)&gt;0,"",F324)</f>
        <v>Avion cargo, plus de 100 T, 500 - 1000 km, sans trainées, France continentale, Base Carbone</v>
      </c>
      <c r="F324" s="1051" t="str">
        <f t="shared" si="27"/>
        <v>Avion cargo, plus de 100 T, 500 - 1000 km, sans trainées, France continentale, Base Carbone</v>
      </c>
      <c r="G324" s="1055" t="str">
        <f t="shared" si="28"/>
        <v>Avion cargo, plus de 100 T, 500 - 1000 km, sans trainées, France continentale, Base Carbone; kgCO2e/tonne.km, Combustion</v>
      </c>
      <c r="I324" s="1034" t="s">
        <v>3884</v>
      </c>
      <c r="J324" s="1135" t="s">
        <v>2324</v>
      </c>
      <c r="K324" s="1119" t="s">
        <v>1567</v>
      </c>
      <c r="L324" s="1135" t="s">
        <v>1571</v>
      </c>
      <c r="M324" s="1033">
        <v>0.1</v>
      </c>
      <c r="N324" s="1135" t="s">
        <v>1569</v>
      </c>
      <c r="O324" s="1135">
        <v>1.17</v>
      </c>
      <c r="P324" s="1135">
        <v>1.1499999999999999</v>
      </c>
      <c r="Q324" s="1135">
        <v>1.0999999999999999E-2</v>
      </c>
      <c r="R324" s="1135">
        <v>0</v>
      </c>
      <c r="S324" s="1135">
        <v>1.0999999999999999E-2</v>
      </c>
      <c r="T324" s="1978">
        <v>0</v>
      </c>
      <c r="U324" s="2041">
        <v>0</v>
      </c>
    </row>
    <row r="325" spans="2:21" hidden="1" outlineLevel="1">
      <c r="B325" s="1050">
        <v>41</v>
      </c>
      <c r="C325" s="1050" t="str">
        <f t="shared" si="25"/>
        <v>Avion passagers, &gt; 220 sièges, 1000 - 3500 km, avec trainées, France continentale, Base Carbone</v>
      </c>
      <c r="D325" s="1051">
        <f t="shared" si="26"/>
        <v>12</v>
      </c>
      <c r="E325" s="1051" t="str">
        <f>IF(COUNTIF(E$284:E324,F325)&gt;0,"",F325)</f>
        <v/>
      </c>
      <c r="F325" s="1051" t="str">
        <f t="shared" si="27"/>
        <v>Avion cargo, plus de 100 T, 500 - 1000 km, sans trainées, France continentale, Base Carbone</v>
      </c>
      <c r="G325" s="1055" t="str">
        <f t="shared" si="28"/>
        <v>Avion cargo, plus de 100 T, 500 - 1000 km, sans trainées, France continentale, Base Carbone; kgCO2e/tonne.km, Amont</v>
      </c>
      <c r="I325" s="1034" t="s">
        <v>3884</v>
      </c>
      <c r="J325" s="1135" t="s">
        <v>2324</v>
      </c>
      <c r="K325" s="1119" t="s">
        <v>1567</v>
      </c>
      <c r="L325" s="1135" t="s">
        <v>1571</v>
      </c>
      <c r="M325" s="1033">
        <v>0.1</v>
      </c>
      <c r="N325" s="1135" t="s">
        <v>1570</v>
      </c>
      <c r="O325" s="1135">
        <v>0.22800000000000001</v>
      </c>
      <c r="P325" s="1135">
        <v>0.219</v>
      </c>
      <c r="Q325" s="1135">
        <v>2.9999999999999997E-4</v>
      </c>
      <c r="R325" s="1135">
        <v>0</v>
      </c>
      <c r="S325" s="1135">
        <v>8.5300000000000003E-4</v>
      </c>
      <c r="T325" s="1978">
        <v>0</v>
      </c>
      <c r="U325" s="2041">
        <v>0</v>
      </c>
    </row>
    <row r="326" spans="2:21" hidden="1" outlineLevel="1">
      <c r="B326" s="1050">
        <v>42</v>
      </c>
      <c r="C326" s="1050" t="str">
        <f t="shared" si="25"/>
        <v>Avion passagers, &gt; 220 sièges, 1000 - 3500 km, sans trainées, France continentale, Base Carbone</v>
      </c>
      <c r="D326" s="1051">
        <f t="shared" si="26"/>
        <v>12</v>
      </c>
      <c r="E326" s="1051" t="str">
        <f>IF(COUNTIF(E$284:E325,F326)&gt;0,"",F326)</f>
        <v/>
      </c>
      <c r="F326" s="1051" t="str">
        <f t="shared" si="27"/>
        <v>Avion cargo, plus de 100 T, 500 - 1000 km, sans trainées, France continentale, Base Carbone</v>
      </c>
      <c r="G326" s="1055" t="str">
        <f t="shared" si="28"/>
        <v>Avion cargo, plus de 100 T, 500 - 1000 km, sans trainées, France continentale, Base Carbone; kgCO2e/tonne.km, Fabrication</v>
      </c>
      <c r="I326" s="1034" t="s">
        <v>3884</v>
      </c>
      <c r="J326" s="1135" t="s">
        <v>2324</v>
      </c>
      <c r="K326" s="1119" t="s">
        <v>1567</v>
      </c>
      <c r="L326" s="1135" t="s">
        <v>1571</v>
      </c>
      <c r="M326" s="1033">
        <v>0.1</v>
      </c>
      <c r="N326" s="1135" t="s">
        <v>332</v>
      </c>
      <c r="O326" s="1135">
        <v>1.15E-3</v>
      </c>
      <c r="P326" s="1135">
        <v>1.15E-3</v>
      </c>
      <c r="Q326" s="1135">
        <v>0</v>
      </c>
      <c r="R326" s="1135">
        <v>0</v>
      </c>
      <c r="S326" s="1135">
        <v>0</v>
      </c>
      <c r="T326" s="1978">
        <v>0</v>
      </c>
      <c r="U326" s="2041">
        <v>0</v>
      </c>
    </row>
    <row r="327" spans="2:21" hidden="1" outlineLevel="1">
      <c r="B327" s="1050">
        <v>43</v>
      </c>
      <c r="C327" s="1050" t="str">
        <f t="shared" si="25"/>
        <v>Avion passagers, &gt; 220 sièges, &gt; 3500 km, avec trainées, France continentale, Base Carbone</v>
      </c>
      <c r="D327" s="1051">
        <f t="shared" si="26"/>
        <v>13</v>
      </c>
      <c r="E327" s="1051" t="str">
        <f>IF(COUNTIF(E$284:E326,F327)&gt;0,"",F327)</f>
        <v>Avion cargo, plus de 100 T, &lt; 500 km, avec trainées, France continentale, Base Carbone</v>
      </c>
      <c r="F327" s="1051" t="str">
        <f t="shared" si="27"/>
        <v>Avion cargo, plus de 100 T, &lt; 500 km, avec trainées, France continentale, Base Carbone</v>
      </c>
      <c r="G327" s="1055" t="str">
        <f t="shared" si="28"/>
        <v>Avion cargo, plus de 100 T, &lt; 500 km, avec trainées, France continentale, Base Carbone; kgCO2e/tonne.km, Combustion</v>
      </c>
      <c r="I327" s="1034" t="s">
        <v>3886</v>
      </c>
      <c r="J327" s="1135" t="s">
        <v>2324</v>
      </c>
      <c r="K327" s="1119" t="s">
        <v>1567</v>
      </c>
      <c r="L327" s="1135" t="s">
        <v>1571</v>
      </c>
      <c r="M327" s="1033">
        <v>0.7</v>
      </c>
      <c r="N327" s="1135" t="s">
        <v>1569</v>
      </c>
      <c r="O327" s="1135">
        <v>1.59</v>
      </c>
      <c r="P327" s="1135">
        <v>1.56</v>
      </c>
      <c r="Q327" s="1135">
        <v>1.4800000000000001E-2</v>
      </c>
      <c r="R327" s="1135">
        <v>0</v>
      </c>
      <c r="S327" s="1135">
        <v>1.4800000000000001E-2</v>
      </c>
      <c r="T327" s="1978">
        <v>0</v>
      </c>
      <c r="U327" s="2041">
        <v>0</v>
      </c>
    </row>
    <row r="328" spans="2:21" hidden="1" outlineLevel="1">
      <c r="B328" s="1050">
        <v>44</v>
      </c>
      <c r="C328" s="1050" t="str">
        <f t="shared" si="25"/>
        <v>Avion passagers, &gt; 220 sièges, &gt; 3500 km, sans trainées, France continentale, Base Carbone</v>
      </c>
      <c r="D328" s="1051">
        <f t="shared" si="26"/>
        <v>13</v>
      </c>
      <c r="E328" s="1051" t="str">
        <f>IF(COUNTIF(E$284:E327,F328)&gt;0,"",F328)</f>
        <v/>
      </c>
      <c r="F328" s="1051" t="str">
        <f t="shared" si="27"/>
        <v>Avion cargo, plus de 100 T, &lt; 500 km, avec trainées, France continentale, Base Carbone</v>
      </c>
      <c r="G328" s="1055" t="str">
        <f t="shared" si="28"/>
        <v>Avion cargo, plus de 100 T, &lt; 500 km, avec trainées, France continentale, Base Carbone; kgCO2e/tonne.km, Emissions fugitives</v>
      </c>
      <c r="I328" s="1034" t="s">
        <v>3886</v>
      </c>
      <c r="J328" s="1135" t="s">
        <v>2324</v>
      </c>
      <c r="K328" s="1119" t="s">
        <v>1567</v>
      </c>
      <c r="L328" s="1135" t="s">
        <v>1571</v>
      </c>
      <c r="M328" s="1033">
        <v>0.7</v>
      </c>
      <c r="N328" s="1135" t="s">
        <v>1764</v>
      </c>
      <c r="O328" s="1135">
        <v>1.57</v>
      </c>
      <c r="P328" s="1135">
        <v>0</v>
      </c>
      <c r="Q328" s="1135">
        <v>0</v>
      </c>
      <c r="R328" s="1135">
        <v>0</v>
      </c>
      <c r="S328" s="1135">
        <v>0</v>
      </c>
      <c r="T328" s="1978">
        <v>1.57</v>
      </c>
      <c r="U328" s="2041">
        <v>0</v>
      </c>
    </row>
    <row r="329" spans="2:21" hidden="1" outlineLevel="1">
      <c r="B329" s="1050">
        <v>45</v>
      </c>
      <c r="C329" s="1050" t="str">
        <f t="shared" si="25"/>
        <v>Avion passagers, court courrier, avec trainées, France continentale, Base Carbone</v>
      </c>
      <c r="D329" s="1051">
        <f t="shared" si="26"/>
        <v>13</v>
      </c>
      <c r="E329" s="1051" t="str">
        <f>IF(COUNTIF(E$284:E328,F329)&gt;0,"",F329)</f>
        <v/>
      </c>
      <c r="F329" s="1051" t="str">
        <f t="shared" si="27"/>
        <v>Avion cargo, plus de 100 T, &lt; 500 km, avec trainées, France continentale, Base Carbone</v>
      </c>
      <c r="G329" s="1055" t="str">
        <f t="shared" si="28"/>
        <v>Avion cargo, plus de 100 T, &lt; 500 km, avec trainées, France continentale, Base Carbone; kgCO2e/tonne.km, Amont</v>
      </c>
      <c r="I329" s="1034" t="s">
        <v>3886</v>
      </c>
      <c r="J329" s="1135" t="s">
        <v>2324</v>
      </c>
      <c r="K329" s="1119" t="s">
        <v>1567</v>
      </c>
      <c r="L329" s="1135" t="s">
        <v>1571</v>
      </c>
      <c r="M329" s="1033">
        <v>0.7</v>
      </c>
      <c r="N329" s="1135" t="s">
        <v>1570</v>
      </c>
      <c r="O329" s="1135">
        <v>0.308</v>
      </c>
      <c r="P329" s="1135">
        <v>0.29599999999999999</v>
      </c>
      <c r="Q329" s="1135">
        <v>8.0099999999999995E-4</v>
      </c>
      <c r="R329" s="1135">
        <v>0</v>
      </c>
      <c r="S329" s="1135">
        <v>1.15E-2</v>
      </c>
      <c r="T329" s="1978">
        <v>0</v>
      </c>
      <c r="U329" s="2041">
        <v>0</v>
      </c>
    </row>
    <row r="330" spans="2:21" hidden="1" outlineLevel="1">
      <c r="B330" s="1050">
        <v>46</v>
      </c>
      <c r="C330" s="1050" t="str">
        <f t="shared" si="25"/>
        <v>Avion passagers, court courrier, sans trainées, France continentale, Base Carbone</v>
      </c>
      <c r="D330" s="1051">
        <f t="shared" si="26"/>
        <v>13</v>
      </c>
      <c r="E330" s="1051" t="str">
        <f>IF(COUNTIF(E$284:E329,F330)&gt;0,"",F330)</f>
        <v/>
      </c>
      <c r="F330" s="1051" t="str">
        <f t="shared" si="27"/>
        <v>Avion cargo, plus de 100 T, &lt; 500 km, avec trainées, France continentale, Base Carbone</v>
      </c>
      <c r="G330" s="1055" t="str">
        <f t="shared" si="28"/>
        <v>Avion cargo, plus de 100 T, &lt; 500 km, avec trainées, France continentale, Base Carbone; kgCO2e/tonne.km, Fabrication</v>
      </c>
      <c r="I330" s="1034" t="s">
        <v>3886</v>
      </c>
      <c r="J330" s="1135" t="s">
        <v>2324</v>
      </c>
      <c r="K330" s="1119" t="s">
        <v>1567</v>
      </c>
      <c r="L330" s="1135" t="s">
        <v>1571</v>
      </c>
      <c r="M330" s="1033">
        <v>0.7</v>
      </c>
      <c r="N330" s="1135" t="s">
        <v>332</v>
      </c>
      <c r="O330" s="1135">
        <v>1.4300000000000001E-3</v>
      </c>
      <c r="P330" s="1135">
        <v>1.4300000000000001E-3</v>
      </c>
      <c r="Q330" s="1135">
        <v>0</v>
      </c>
      <c r="R330" s="1135">
        <v>0</v>
      </c>
      <c r="S330" s="1135">
        <v>0</v>
      </c>
      <c r="T330" s="1978">
        <v>0</v>
      </c>
      <c r="U330" s="2041">
        <v>0</v>
      </c>
    </row>
    <row r="331" spans="2:21" hidden="1" outlineLevel="1">
      <c r="B331" s="1050">
        <v>47</v>
      </c>
      <c r="C331" s="1050" t="str">
        <f t="shared" si="25"/>
        <v>Avion passagers, long courrier, avec trainées, France continentale, Base Carbone</v>
      </c>
      <c r="D331" s="1051">
        <f t="shared" si="26"/>
        <v>14</v>
      </c>
      <c r="E331" s="1051" t="str">
        <f>IF(COUNTIF(E$284:E330,F331)&gt;0,"",F331)</f>
        <v>Avion cargo, plus de 100 T, &lt; 500 km, sans trainées, France continentale, Base Carbone</v>
      </c>
      <c r="F331" s="1051" t="str">
        <f t="shared" si="27"/>
        <v>Avion cargo, plus de 100 T, &lt; 500 km, sans trainées, France continentale, Base Carbone</v>
      </c>
      <c r="G331" s="1055" t="str">
        <f t="shared" si="28"/>
        <v>Avion cargo, plus de 100 T, &lt; 500 km, sans trainées, France continentale, Base Carbone; kgCO2e/tonne.km, Combustion</v>
      </c>
      <c r="I331" s="1034" t="s">
        <v>3885</v>
      </c>
      <c r="J331" s="1135" t="s">
        <v>2324</v>
      </c>
      <c r="K331" s="1119" t="s">
        <v>1567</v>
      </c>
      <c r="L331" s="1135" t="s">
        <v>1571</v>
      </c>
      <c r="M331" s="1033">
        <v>0.1</v>
      </c>
      <c r="N331" s="1135" t="s">
        <v>1569</v>
      </c>
      <c r="O331" s="1135">
        <v>1.59</v>
      </c>
      <c r="P331" s="1135">
        <v>1.56</v>
      </c>
      <c r="Q331" s="1135">
        <v>1.4800000000000001E-2</v>
      </c>
      <c r="R331" s="1135">
        <v>0</v>
      </c>
      <c r="S331" s="1135">
        <v>1.4800000000000001E-2</v>
      </c>
      <c r="T331" s="1978">
        <v>0</v>
      </c>
      <c r="U331" s="2041">
        <v>0</v>
      </c>
    </row>
    <row r="332" spans="2:21" hidden="1" outlineLevel="1">
      <c r="B332" s="1050">
        <v>48</v>
      </c>
      <c r="C332" s="1050" t="str">
        <f t="shared" si="25"/>
        <v>Avion passagers, long courrier, sans trainées, France continentale, Base Carbone</v>
      </c>
      <c r="D332" s="1051">
        <f t="shared" si="26"/>
        <v>14</v>
      </c>
      <c r="E332" s="1051" t="str">
        <f>IF(COUNTIF(E$284:E331,F332)&gt;0,"",F332)</f>
        <v/>
      </c>
      <c r="F332" s="1051" t="str">
        <f t="shared" si="27"/>
        <v>Avion cargo, plus de 100 T, &lt; 500 km, sans trainées, France continentale, Base Carbone</v>
      </c>
      <c r="G332" s="1055" t="str">
        <f t="shared" si="28"/>
        <v>Avion cargo, plus de 100 T, &lt; 500 km, sans trainées, France continentale, Base Carbone; kgCO2e/tonne.km, Amont</v>
      </c>
      <c r="I332" s="1034" t="s">
        <v>3885</v>
      </c>
      <c r="J332" s="1135" t="s">
        <v>2324</v>
      </c>
      <c r="K332" s="1119" t="s">
        <v>1567</v>
      </c>
      <c r="L332" s="1135" t="s">
        <v>1571</v>
      </c>
      <c r="M332" s="1033">
        <v>0.1</v>
      </c>
      <c r="N332" s="1135" t="s">
        <v>1570</v>
      </c>
      <c r="O332" s="1135">
        <v>0.308</v>
      </c>
      <c r="P332" s="1135">
        <v>0.29599999999999999</v>
      </c>
      <c r="Q332" s="1135">
        <v>8.0099999999999995E-4</v>
      </c>
      <c r="R332" s="1135">
        <v>0</v>
      </c>
      <c r="S332" s="1135">
        <v>1.15E-2</v>
      </c>
      <c r="T332" s="1978">
        <v>0</v>
      </c>
      <c r="U332" s="2041">
        <v>0</v>
      </c>
    </row>
    <row r="333" spans="2:21" hidden="1" outlineLevel="1">
      <c r="B333" s="1050">
        <v>49</v>
      </c>
      <c r="C333" s="1050" t="str">
        <f t="shared" si="25"/>
        <v>Avion passagers, moyen courrier, avec trainées, France continentale, Base Carbone</v>
      </c>
      <c r="D333" s="1051">
        <f t="shared" si="26"/>
        <v>14</v>
      </c>
      <c r="E333" s="1051" t="str">
        <f>IF(COUNTIF(E$284:E332,F333)&gt;0,"",F333)</f>
        <v/>
      </c>
      <c r="F333" s="1051" t="str">
        <f t="shared" si="27"/>
        <v>Avion cargo, plus de 100 T, &lt; 500 km, sans trainées, France continentale, Base Carbone</v>
      </c>
      <c r="G333" s="1055" t="str">
        <f t="shared" si="28"/>
        <v>Avion cargo, plus de 100 T, &lt; 500 km, sans trainées, France continentale, Base Carbone; kgCO2e/tonne.km, Fabrication</v>
      </c>
      <c r="I333" s="1034" t="s">
        <v>3885</v>
      </c>
      <c r="J333" s="1135" t="s">
        <v>2324</v>
      </c>
      <c r="K333" s="1119" t="s">
        <v>1567</v>
      </c>
      <c r="L333" s="1135" t="s">
        <v>1571</v>
      </c>
      <c r="M333" s="1033">
        <v>0.1</v>
      </c>
      <c r="N333" s="1135" t="s">
        <v>332</v>
      </c>
      <c r="O333" s="1135">
        <v>1.4300000000000001E-3</v>
      </c>
      <c r="P333" s="1135">
        <v>1.4300000000000001E-3</v>
      </c>
      <c r="Q333" s="1135">
        <v>0</v>
      </c>
      <c r="R333" s="1135">
        <v>0</v>
      </c>
      <c r="S333" s="1135">
        <v>0</v>
      </c>
      <c r="T333" s="1978">
        <v>0</v>
      </c>
      <c r="U333" s="2041">
        <v>0</v>
      </c>
    </row>
    <row r="334" spans="2:21" hidden="1" outlineLevel="1">
      <c r="B334" s="1050">
        <v>50</v>
      </c>
      <c r="C334" s="1050" t="str">
        <f t="shared" si="25"/>
        <v>Avion passagers, moyen courrier, sans trainées, France continentale, Base Carbone</v>
      </c>
      <c r="D334" s="1051">
        <f t="shared" si="26"/>
        <v>15</v>
      </c>
      <c r="E334" s="1051" t="str">
        <f>IF(COUNTIF(E$284:E333,F334)&gt;0,"",F334)</f>
        <v>Avion cargo, plus de 100 T, &gt; 3500 km, avec trainées, France continentale, Base Carbone</v>
      </c>
      <c r="F334" s="1051" t="str">
        <f t="shared" si="27"/>
        <v>Avion cargo, plus de 100 T, &gt; 3500 km, avec trainées, France continentale, Base Carbone</v>
      </c>
      <c r="G334" s="1055" t="str">
        <f t="shared" si="28"/>
        <v>Avion cargo, plus de 100 T, &gt; 3500 km, avec trainées, France continentale, Base Carbone; kgCO2e/tonne.km, Combustion</v>
      </c>
      <c r="I334" s="1034" t="s">
        <v>3887</v>
      </c>
      <c r="J334" s="1135" t="s">
        <v>2324</v>
      </c>
      <c r="K334" s="1119" t="s">
        <v>1567</v>
      </c>
      <c r="L334" s="1135" t="s">
        <v>1571</v>
      </c>
      <c r="M334" s="1033">
        <v>0.7</v>
      </c>
      <c r="N334" s="1135" t="s">
        <v>1569</v>
      </c>
      <c r="O334" s="1135">
        <v>0.49399999999999999</v>
      </c>
      <c r="P334" s="1135">
        <v>0.48499999999999999</v>
      </c>
      <c r="Q334" s="1135">
        <v>4.5999999999999999E-3</v>
      </c>
      <c r="R334" s="1135">
        <v>0</v>
      </c>
      <c r="S334" s="1135">
        <v>4.6100000000000004E-3</v>
      </c>
      <c r="T334" s="1978">
        <v>0</v>
      </c>
      <c r="U334" s="2041">
        <v>0</v>
      </c>
    </row>
    <row r="335" spans="2:21" hidden="1" outlineLevel="1">
      <c r="B335" s="1050">
        <v>51</v>
      </c>
      <c r="C335" s="1050" t="str">
        <f t="shared" si="25"/>
        <v>-</v>
      </c>
      <c r="D335" s="1051">
        <f t="shared" si="26"/>
        <v>15</v>
      </c>
      <c r="E335" s="1051" t="str">
        <f>IF(COUNTIF(E$284:E334,F335)&gt;0,"",F335)</f>
        <v/>
      </c>
      <c r="F335" s="1051" t="str">
        <f t="shared" si="27"/>
        <v>Avion cargo, plus de 100 T, &gt; 3500 km, avec trainées, France continentale, Base Carbone</v>
      </c>
      <c r="G335" s="1055" t="str">
        <f t="shared" si="28"/>
        <v>Avion cargo, plus de 100 T, &gt; 3500 km, avec trainées, France continentale, Base Carbone; kgCO2e/tonne.km, Emissions fugitives</v>
      </c>
      <c r="I335" s="1034" t="s">
        <v>3887</v>
      </c>
      <c r="J335" s="1135" t="s">
        <v>2324</v>
      </c>
      <c r="K335" s="1119" t="s">
        <v>1567</v>
      </c>
      <c r="L335" s="1135" t="s">
        <v>1571</v>
      </c>
      <c r="M335" s="1033">
        <v>0.7</v>
      </c>
      <c r="N335" s="1135" t="s">
        <v>1764</v>
      </c>
      <c r="O335" s="1135">
        <v>0.48899999999999999</v>
      </c>
      <c r="P335" s="1135">
        <v>0</v>
      </c>
      <c r="Q335" s="1135">
        <v>0</v>
      </c>
      <c r="R335" s="1135">
        <v>0</v>
      </c>
      <c r="S335" s="1135">
        <v>0</v>
      </c>
      <c r="T335" s="1978">
        <v>0.48899999999999999</v>
      </c>
      <c r="U335" s="2041">
        <v>0</v>
      </c>
    </row>
    <row r="336" spans="2:21" hidden="1" outlineLevel="1">
      <c r="B336" s="1050">
        <v>52</v>
      </c>
      <c r="C336" s="1050" t="str">
        <f t="shared" si="25"/>
        <v>-</v>
      </c>
      <c r="D336" s="1051">
        <f t="shared" si="26"/>
        <v>15</v>
      </c>
      <c r="E336" s="1051" t="str">
        <f>IF(COUNTIF(E$284:E335,F336)&gt;0,"",F336)</f>
        <v/>
      </c>
      <c r="F336" s="1051" t="str">
        <f t="shared" si="27"/>
        <v>Avion cargo, plus de 100 T, &gt; 3500 km, avec trainées, France continentale, Base Carbone</v>
      </c>
      <c r="G336" s="1055" t="str">
        <f t="shared" si="28"/>
        <v>Avion cargo, plus de 100 T, &gt; 3500 km, avec trainées, France continentale, Base Carbone; kgCO2e/tonne.km, Amont</v>
      </c>
      <c r="I336" s="1034" t="s">
        <v>3887</v>
      </c>
      <c r="J336" s="1135" t="s">
        <v>2324</v>
      </c>
      <c r="K336" s="1119" t="s">
        <v>1567</v>
      </c>
      <c r="L336" s="1135" t="s">
        <v>1571</v>
      </c>
      <c r="M336" s="1033">
        <v>0.7</v>
      </c>
      <c r="N336" s="1135" t="s">
        <v>1570</v>
      </c>
      <c r="O336" s="1135">
        <v>9.5799999999999996E-2</v>
      </c>
      <c r="P336" s="1135">
        <v>9.2200000000000004E-2</v>
      </c>
      <c r="Q336" s="1135">
        <v>0</v>
      </c>
      <c r="R336" s="1135">
        <v>0</v>
      </c>
      <c r="S336" s="1135">
        <v>3.5999999999999999E-3</v>
      </c>
      <c r="T336" s="1978">
        <v>0</v>
      </c>
      <c r="U336" s="2041">
        <v>0</v>
      </c>
    </row>
    <row r="337" spans="2:21" hidden="1" outlineLevel="1">
      <c r="B337" s="1050">
        <v>53</v>
      </c>
      <c r="C337" s="1050" t="str">
        <f t="shared" si="25"/>
        <v>-</v>
      </c>
      <c r="D337" s="1051">
        <f t="shared" si="26"/>
        <v>15</v>
      </c>
      <c r="E337" s="1051" t="str">
        <f>IF(COUNTIF(E$284:E336,F337)&gt;0,"",F337)</f>
        <v/>
      </c>
      <c r="F337" s="1051" t="str">
        <f t="shared" si="27"/>
        <v>Avion cargo, plus de 100 T, &gt; 3500 km, avec trainées, France continentale, Base Carbone</v>
      </c>
      <c r="G337" s="1055" t="str">
        <f t="shared" si="28"/>
        <v>Avion cargo, plus de 100 T, &gt; 3500 km, avec trainées, France continentale, Base Carbone; kgCO2e/tonne.km, Fabrication</v>
      </c>
      <c r="I337" s="1034" t="s">
        <v>3887</v>
      </c>
      <c r="J337" s="1135" t="s">
        <v>2324</v>
      </c>
      <c r="K337" s="1119" t="s">
        <v>1567</v>
      </c>
      <c r="L337" s="1135" t="s">
        <v>1571</v>
      </c>
      <c r="M337" s="1033">
        <v>0.7</v>
      </c>
      <c r="N337" s="1135" t="s">
        <v>332</v>
      </c>
      <c r="O337" s="1135">
        <v>1.15E-3</v>
      </c>
      <c r="P337" s="1135">
        <v>1.15E-3</v>
      </c>
      <c r="Q337" s="1135">
        <v>0</v>
      </c>
      <c r="R337" s="1135">
        <v>0</v>
      </c>
      <c r="S337" s="1135">
        <v>0</v>
      </c>
      <c r="T337" s="1978">
        <v>0</v>
      </c>
      <c r="U337" s="2041">
        <v>0</v>
      </c>
    </row>
    <row r="338" spans="2:21" hidden="1" outlineLevel="1">
      <c r="B338" s="1050">
        <v>54</v>
      </c>
      <c r="C338" s="1050" t="str">
        <f t="shared" si="25"/>
        <v>-</v>
      </c>
      <c r="D338" s="1051">
        <f t="shared" si="26"/>
        <v>16</v>
      </c>
      <c r="E338" s="1051" t="str">
        <f>IF(COUNTIF(E$284:E337,F338)&gt;0,"",F338)</f>
        <v>Avion cargo, plus de 100 T, &gt; 3500 km, sans trainées, France continentale, Base Carbone</v>
      </c>
      <c r="F338" s="1051" t="str">
        <f t="shared" si="27"/>
        <v>Avion cargo, plus de 100 T, &gt; 3500 km, sans trainées, France continentale, Base Carbone</v>
      </c>
      <c r="G338" s="1055" t="str">
        <f t="shared" si="28"/>
        <v>Avion cargo, plus de 100 T, &gt; 3500 km, sans trainées, France continentale, Base Carbone; kgCO2e/tonne.km, Combustion</v>
      </c>
      <c r="I338" s="1034" t="s">
        <v>3888</v>
      </c>
      <c r="J338" s="1135" t="s">
        <v>2324</v>
      </c>
      <c r="K338" s="1119" t="s">
        <v>1567</v>
      </c>
      <c r="L338" s="1135" t="s">
        <v>1571</v>
      </c>
      <c r="M338" s="1033">
        <v>0.1</v>
      </c>
      <c r="N338" s="1135" t="s">
        <v>1569</v>
      </c>
      <c r="O338" s="1135">
        <v>0.49399999999999999</v>
      </c>
      <c r="P338" s="1135">
        <v>0.48499999999999999</v>
      </c>
      <c r="Q338" s="1135">
        <v>4.5999999999999999E-3</v>
      </c>
      <c r="R338" s="1135">
        <v>0</v>
      </c>
      <c r="S338" s="1135">
        <v>4.6100000000000004E-3</v>
      </c>
      <c r="T338" s="1978">
        <v>0</v>
      </c>
      <c r="U338" s="2041">
        <v>0</v>
      </c>
    </row>
    <row r="339" spans="2:21" hidden="1" outlineLevel="1">
      <c r="B339" s="1050">
        <v>55</v>
      </c>
      <c r="C339" s="1050" t="str">
        <f t="shared" si="25"/>
        <v>-</v>
      </c>
      <c r="D339" s="1051">
        <f t="shared" si="26"/>
        <v>16</v>
      </c>
      <c r="E339" s="1051" t="str">
        <f>IF(COUNTIF(E$284:E338,F339)&gt;0,"",F339)</f>
        <v/>
      </c>
      <c r="F339" s="1051" t="str">
        <f t="shared" si="27"/>
        <v>Avion cargo, plus de 100 T, &gt; 3500 km, sans trainées, France continentale, Base Carbone</v>
      </c>
      <c r="G339" s="1055" t="str">
        <f t="shared" si="28"/>
        <v>Avion cargo, plus de 100 T, &gt; 3500 km, sans trainées, France continentale, Base Carbone; kgCO2e/tonne.km, Amont</v>
      </c>
      <c r="I339" s="1034" t="s">
        <v>3888</v>
      </c>
      <c r="J339" s="1135" t="s">
        <v>2324</v>
      </c>
      <c r="K339" s="1119" t="s">
        <v>1567</v>
      </c>
      <c r="L339" s="1135" t="s">
        <v>1571</v>
      </c>
      <c r="M339" s="1033">
        <v>0.1</v>
      </c>
      <c r="N339" s="1135" t="s">
        <v>1570</v>
      </c>
      <c r="O339" s="1135">
        <v>9.5799999999999996E-2</v>
      </c>
      <c r="P339" s="1135">
        <v>9.2200000000000004E-2</v>
      </c>
      <c r="Q339" s="1135">
        <v>0</v>
      </c>
      <c r="R339" s="1135">
        <v>0</v>
      </c>
      <c r="S339" s="1135">
        <v>3.5999999999999999E-3</v>
      </c>
      <c r="T339" s="1978">
        <v>0</v>
      </c>
      <c r="U339" s="2041">
        <v>0</v>
      </c>
    </row>
    <row r="340" spans="2:21" hidden="1" outlineLevel="1">
      <c r="B340" s="1050">
        <v>56</v>
      </c>
      <c r="C340" s="1050" t="str">
        <f t="shared" si="25"/>
        <v>-</v>
      </c>
      <c r="D340" s="1051">
        <f t="shared" si="26"/>
        <v>16</v>
      </c>
      <c r="E340" s="1051" t="str">
        <f>IF(COUNTIF(E$284:E339,F340)&gt;0,"",F340)</f>
        <v/>
      </c>
      <c r="F340" s="1051" t="str">
        <f t="shared" si="27"/>
        <v>Avion cargo, plus de 100 T, &gt; 3500 km, sans trainées, France continentale, Base Carbone</v>
      </c>
      <c r="G340" s="1055" t="str">
        <f t="shared" si="28"/>
        <v>Avion cargo, plus de 100 T, &gt; 3500 km, sans trainées, France continentale, Base Carbone; kgCO2e/tonne.km, Fabrication</v>
      </c>
      <c r="I340" s="1034" t="s">
        <v>3888</v>
      </c>
      <c r="J340" s="1135" t="s">
        <v>2324</v>
      </c>
      <c r="K340" s="1119" t="s">
        <v>1567</v>
      </c>
      <c r="L340" s="1135" t="s">
        <v>1571</v>
      </c>
      <c r="M340" s="1033">
        <v>0.1</v>
      </c>
      <c r="N340" s="1135" t="s">
        <v>332</v>
      </c>
      <c r="O340" s="1135">
        <v>1.15E-3</v>
      </c>
      <c r="P340" s="1135">
        <v>1.15E-3</v>
      </c>
      <c r="Q340" s="1135">
        <v>0</v>
      </c>
      <c r="R340" s="1135">
        <v>0</v>
      </c>
      <c r="S340" s="1135">
        <v>0</v>
      </c>
      <c r="T340" s="1978">
        <v>0</v>
      </c>
      <c r="U340" s="2041">
        <v>0</v>
      </c>
    </row>
    <row r="341" spans="2:21" hidden="1" outlineLevel="1">
      <c r="B341" s="1050">
        <v>57</v>
      </c>
      <c r="C341" s="1050" t="str">
        <f t="shared" si="25"/>
        <v>-</v>
      </c>
      <c r="D341" s="1051">
        <f t="shared" si="26"/>
        <v>17</v>
      </c>
      <c r="E341" s="1051" t="str">
        <f>IF(COUNTIF(E$284:E340,F341)&gt;0,"",F341)</f>
        <v>Avion passagers, 101-220 sièges, 1000 - 3500 km, avec trainées, France continentale, Base Carbone</v>
      </c>
      <c r="F341" s="1051" t="str">
        <f t="shared" si="27"/>
        <v>Avion passagers, 101-220 sièges, 1000 - 3500 km, avec trainées, France continentale, Base Carbone</v>
      </c>
      <c r="G341" s="1055" t="str">
        <f t="shared" si="28"/>
        <v>Avion passagers, 101-220 sièges, 1000 - 3500 km, avec trainées, France continentale, Base Carbone; kgCO2e/tonne.km, Combustion</v>
      </c>
      <c r="I341" s="1034" t="s">
        <v>4775</v>
      </c>
      <c r="J341" s="1135" t="s">
        <v>2324</v>
      </c>
      <c r="K341" s="1119" t="s">
        <v>1567</v>
      </c>
      <c r="L341" s="1135" t="s">
        <v>1571</v>
      </c>
      <c r="M341" s="1033">
        <v>0.7</v>
      </c>
      <c r="N341" s="1135" t="s">
        <v>1569</v>
      </c>
      <c r="O341" s="1135">
        <v>0.84099999999999997</v>
      </c>
      <c r="P341" s="1135">
        <v>0.83499999999999996</v>
      </c>
      <c r="Q341" s="1135">
        <v>9.8999999999999994E-5</v>
      </c>
      <c r="R341" s="1135">
        <v>0</v>
      </c>
      <c r="S341" s="1135">
        <v>6.1999999999999998E-3</v>
      </c>
      <c r="T341" s="1978">
        <v>0</v>
      </c>
      <c r="U341" s="2041">
        <v>0</v>
      </c>
    </row>
    <row r="342" spans="2:21" hidden="1" outlineLevel="1">
      <c r="B342" s="1050">
        <v>58</v>
      </c>
      <c r="C342" s="1050" t="str">
        <f t="shared" si="25"/>
        <v>-</v>
      </c>
      <c r="D342" s="1051">
        <f t="shared" si="26"/>
        <v>17</v>
      </c>
      <c r="E342" s="1051" t="str">
        <f>IF(COUNTIF(E$284:E341,F342)&gt;0,"",F342)</f>
        <v/>
      </c>
      <c r="F342" s="1051" t="str">
        <f t="shared" si="27"/>
        <v>Avion passagers, 101-220 sièges, 1000 - 3500 km, avec trainées, France continentale, Base Carbone</v>
      </c>
      <c r="G342" s="1055" t="str">
        <f t="shared" si="28"/>
        <v>Avion passagers, 101-220 sièges, 1000 - 3500 km, avec trainées, France continentale, Base Carbone; kgCO2e/tonne.km, Emissions fugitives</v>
      </c>
      <c r="I342" s="1034" t="s">
        <v>4775</v>
      </c>
      <c r="J342" s="1135" t="s">
        <v>2324</v>
      </c>
      <c r="K342" s="1119" t="s">
        <v>1567</v>
      </c>
      <c r="L342" s="1135" t="s">
        <v>1571</v>
      </c>
      <c r="M342" s="1033">
        <v>0.7</v>
      </c>
      <c r="N342" s="1135" t="s">
        <v>1764</v>
      </c>
      <c r="O342" s="1135">
        <v>0.84199999999999997</v>
      </c>
      <c r="P342" s="1135">
        <v>0</v>
      </c>
      <c r="Q342" s="1135">
        <v>0</v>
      </c>
      <c r="R342" s="1135">
        <v>0</v>
      </c>
      <c r="S342" s="1135">
        <v>0</v>
      </c>
      <c r="T342" s="1978">
        <v>0.84199999999999997</v>
      </c>
      <c r="U342" s="2041">
        <v>0</v>
      </c>
    </row>
    <row r="343" spans="2:21" hidden="1" outlineLevel="1">
      <c r="B343" s="1050">
        <v>59</v>
      </c>
      <c r="C343" s="1050" t="str">
        <f t="shared" si="25"/>
        <v>-</v>
      </c>
      <c r="D343" s="1051">
        <f t="shared" si="26"/>
        <v>17</v>
      </c>
      <c r="E343" s="1051" t="str">
        <f>IF(COUNTIF(E$284:E342,F343)&gt;0,"",F343)</f>
        <v/>
      </c>
      <c r="F343" s="1051" t="str">
        <f t="shared" si="27"/>
        <v>Avion passagers, 101-220 sièges, 1000 - 3500 km, avec trainées, France continentale, Base Carbone</v>
      </c>
      <c r="G343" s="1055" t="str">
        <f t="shared" si="28"/>
        <v>Avion passagers, 101-220 sièges, 1000 - 3500 km, avec trainées, France continentale, Base Carbone; kgCO2e/tonne.km, Amont</v>
      </c>
      <c r="I343" s="1034" t="s">
        <v>4775</v>
      </c>
      <c r="J343" s="1135" t="s">
        <v>2324</v>
      </c>
      <c r="K343" s="1119" t="s">
        <v>1567</v>
      </c>
      <c r="L343" s="1135" t="s">
        <v>1571</v>
      </c>
      <c r="M343" s="1033">
        <v>0.7</v>
      </c>
      <c r="N343" s="1135" t="s">
        <v>1570</v>
      </c>
      <c r="O343" s="1135">
        <v>0.17499999999999999</v>
      </c>
      <c r="P343" s="1135">
        <v>0.159</v>
      </c>
      <c r="Q343" s="1135">
        <v>7.9299999999999995E-3</v>
      </c>
      <c r="R343" s="1135">
        <v>0</v>
      </c>
      <c r="S343" s="1135">
        <v>7.92E-3</v>
      </c>
      <c r="T343" s="1978">
        <v>0</v>
      </c>
      <c r="U343" s="2041">
        <v>0</v>
      </c>
    </row>
    <row r="344" spans="2:21" hidden="1" outlineLevel="1">
      <c r="B344" s="1050">
        <v>60</v>
      </c>
      <c r="C344" s="1050" t="str">
        <f t="shared" si="25"/>
        <v>-</v>
      </c>
      <c r="D344" s="1051">
        <f t="shared" si="26"/>
        <v>17</v>
      </c>
      <c r="E344" s="1051" t="str">
        <f>IF(COUNTIF(E$284:E343,F344)&gt;0,"",F344)</f>
        <v/>
      </c>
      <c r="F344" s="1051" t="str">
        <f t="shared" si="27"/>
        <v>Avion passagers, 101-220 sièges, 1000 - 3500 km, avec trainées, France continentale, Base Carbone</v>
      </c>
      <c r="G344" s="1055" t="str">
        <f t="shared" si="28"/>
        <v>Avion passagers, 101-220 sièges, 1000 - 3500 km, avec trainées, France continentale, Base Carbone; kgCO2e/tonne.km, Fabrication</v>
      </c>
      <c r="I344" s="1034" t="s">
        <v>4775</v>
      </c>
      <c r="J344" s="1135" t="s">
        <v>2324</v>
      </c>
      <c r="K344" s="1119" t="s">
        <v>1567</v>
      </c>
      <c r="L344" s="1135" t="s">
        <v>1571</v>
      </c>
      <c r="M344" s="1033">
        <v>0.7</v>
      </c>
      <c r="N344" s="1135" t="s">
        <v>332</v>
      </c>
      <c r="O344" s="1135">
        <v>3.6600000000000001E-3</v>
      </c>
      <c r="P344" s="1135">
        <v>3.6600000000000001E-3</v>
      </c>
      <c r="Q344" s="1135">
        <v>0</v>
      </c>
      <c r="R344" s="1135">
        <v>0</v>
      </c>
      <c r="S344" s="1135">
        <v>0</v>
      </c>
      <c r="T344" s="1978">
        <v>0</v>
      </c>
      <c r="U344" s="2041">
        <v>0</v>
      </c>
    </row>
    <row r="345" spans="2:21" hidden="1" outlineLevel="1">
      <c r="B345" s="1045"/>
      <c r="C345" s="1045"/>
      <c r="D345" s="1051">
        <f t="shared" si="26"/>
        <v>18</v>
      </c>
      <c r="E345" s="1051" t="str">
        <f>IF(COUNTIF(E$284:E344,F345)&gt;0,"",F345)</f>
        <v>Avion passagers, 101-220 sièges, 1000 - 3500 km, sans trainées, France continentale, Base Carbone</v>
      </c>
      <c r="F345" s="1051" t="str">
        <f t="shared" si="27"/>
        <v>Avion passagers, 101-220 sièges, 1000 - 3500 km, sans trainées, France continentale, Base Carbone</v>
      </c>
      <c r="G345" s="1055" t="str">
        <f t="shared" si="28"/>
        <v>Avion passagers, 101-220 sièges, 1000 - 3500 km, sans trainées, France continentale, Base Carbone; kgCO2e/tonne.km, Combustion</v>
      </c>
      <c r="I345" s="1034" t="s">
        <v>4776</v>
      </c>
      <c r="J345" s="1135" t="s">
        <v>2324</v>
      </c>
      <c r="K345" s="1119" t="s">
        <v>1567</v>
      </c>
      <c r="L345" s="1135" t="s">
        <v>1571</v>
      </c>
      <c r="M345" s="1033">
        <v>0.1</v>
      </c>
      <c r="N345" s="1135" t="s">
        <v>1569</v>
      </c>
      <c r="O345" s="1135">
        <v>0.84099999999999997</v>
      </c>
      <c r="P345" s="1135">
        <v>0.83499999999999996</v>
      </c>
      <c r="Q345" s="1135">
        <v>9.8999999999999994E-5</v>
      </c>
      <c r="R345" s="1135">
        <v>0</v>
      </c>
      <c r="S345" s="1135">
        <v>6.1999999999999998E-3</v>
      </c>
      <c r="T345" s="1978">
        <v>0</v>
      </c>
      <c r="U345" s="2041">
        <v>0</v>
      </c>
    </row>
    <row r="346" spans="2:21" hidden="1" outlineLevel="1">
      <c r="B346" s="1045"/>
      <c r="C346" s="1045"/>
      <c r="D346" s="1051">
        <f t="shared" si="26"/>
        <v>18</v>
      </c>
      <c r="E346" s="1051" t="str">
        <f>IF(COUNTIF(E$284:E345,F346)&gt;0,"",F346)</f>
        <v/>
      </c>
      <c r="F346" s="1051" t="str">
        <f t="shared" si="27"/>
        <v>Avion passagers, 101-220 sièges, 1000 - 3500 km, sans trainées, France continentale, Base Carbone</v>
      </c>
      <c r="G346" s="1055" t="str">
        <f t="shared" si="28"/>
        <v>Avion passagers, 101-220 sièges, 1000 - 3500 km, sans trainées, France continentale, Base Carbone; kgCO2e/tonne.km, Amont</v>
      </c>
      <c r="I346" s="1034" t="s">
        <v>4776</v>
      </c>
      <c r="J346" s="1135" t="s">
        <v>2324</v>
      </c>
      <c r="K346" s="1119" t="s">
        <v>1567</v>
      </c>
      <c r="L346" s="1135" t="s">
        <v>1571</v>
      </c>
      <c r="M346" s="1033">
        <v>0.1</v>
      </c>
      <c r="N346" s="1135" t="s">
        <v>1570</v>
      </c>
      <c r="O346" s="1135">
        <v>0.17499999999999999</v>
      </c>
      <c r="P346" s="1135">
        <v>0.159</v>
      </c>
      <c r="Q346" s="1135">
        <v>7.9299999999999995E-3</v>
      </c>
      <c r="R346" s="1135">
        <v>0</v>
      </c>
      <c r="S346" s="1135">
        <v>7.92E-3</v>
      </c>
      <c r="T346" s="1978">
        <v>0</v>
      </c>
      <c r="U346" s="2041">
        <v>0</v>
      </c>
    </row>
    <row r="347" spans="2:21" hidden="1" outlineLevel="1">
      <c r="B347" s="1045"/>
      <c r="C347" s="1045"/>
      <c r="D347" s="1051">
        <f t="shared" si="26"/>
        <v>18</v>
      </c>
      <c r="E347" s="1051" t="str">
        <f>IF(COUNTIF(E$284:E346,F347)&gt;0,"",F347)</f>
        <v/>
      </c>
      <c r="F347" s="1051" t="str">
        <f t="shared" si="27"/>
        <v>Avion passagers, 101-220 sièges, 1000 - 3500 km, sans trainées, France continentale, Base Carbone</v>
      </c>
      <c r="G347" s="1055" t="str">
        <f t="shared" si="28"/>
        <v>Avion passagers, 101-220 sièges, 1000 - 3500 km, sans trainées, France continentale, Base Carbone; kgCO2e/tonne.km, Fabrication</v>
      </c>
      <c r="I347" s="1034" t="s">
        <v>4776</v>
      </c>
      <c r="J347" s="1135" t="s">
        <v>2324</v>
      </c>
      <c r="K347" s="1119" t="s">
        <v>1567</v>
      </c>
      <c r="L347" s="1135" t="s">
        <v>1571</v>
      </c>
      <c r="M347" s="1033">
        <v>0.1</v>
      </c>
      <c r="N347" s="1135" t="s">
        <v>332</v>
      </c>
      <c r="O347" s="1135">
        <v>3.6600000000000001E-3</v>
      </c>
      <c r="P347" s="1135">
        <v>3.6600000000000001E-3</v>
      </c>
      <c r="Q347" s="1135">
        <v>0</v>
      </c>
      <c r="R347" s="1135">
        <v>0</v>
      </c>
      <c r="S347" s="1135">
        <v>0</v>
      </c>
      <c r="T347" s="1978">
        <v>0</v>
      </c>
      <c r="U347" s="2041">
        <v>0</v>
      </c>
    </row>
    <row r="348" spans="2:21" hidden="1" outlineLevel="1">
      <c r="B348" s="1045"/>
      <c r="C348" s="1045"/>
      <c r="D348" s="1051">
        <f t="shared" si="26"/>
        <v>19</v>
      </c>
      <c r="E348" s="1051" t="str">
        <f>IF(COUNTIF(E$284:E347,F348)&gt;0,"",F348)</f>
        <v>Avion passagers, 101-220 sièges, 500 - 1000 km, avec trainées, France continentale, Base Carbone</v>
      </c>
      <c r="F348" s="1051" t="str">
        <f t="shared" si="27"/>
        <v>Avion passagers, 101-220 sièges, 500 - 1000 km, avec trainées, France continentale, Base Carbone</v>
      </c>
      <c r="G348" s="1055" t="str">
        <f t="shared" si="28"/>
        <v>Avion passagers, 101-220 sièges, 500 - 1000 km, avec trainées, France continentale, Base Carbone; kgCO2e/tonne.km, Combustion</v>
      </c>
      <c r="I348" s="1034" t="s">
        <v>4777</v>
      </c>
      <c r="J348" s="1135" t="s">
        <v>2324</v>
      </c>
      <c r="K348" s="1119" t="s">
        <v>1567</v>
      </c>
      <c r="L348" s="1135" t="s">
        <v>1571</v>
      </c>
      <c r="M348" s="1033">
        <v>0.7</v>
      </c>
      <c r="N348" s="1135" t="s">
        <v>1569</v>
      </c>
      <c r="O348" s="1135">
        <v>1.04</v>
      </c>
      <c r="P348" s="1135">
        <v>1.03</v>
      </c>
      <c r="Q348" s="1135">
        <v>2.0100000000000001E-4</v>
      </c>
      <c r="R348" s="1135">
        <v>0</v>
      </c>
      <c r="S348" s="1135">
        <v>7.6299999999999996E-3</v>
      </c>
      <c r="T348" s="1978">
        <v>0</v>
      </c>
      <c r="U348" s="2041">
        <v>0</v>
      </c>
    </row>
    <row r="349" spans="2:21" hidden="1" outlineLevel="1">
      <c r="B349" s="1045"/>
      <c r="C349" s="1045"/>
      <c r="D349" s="1051">
        <f t="shared" si="26"/>
        <v>19</v>
      </c>
      <c r="E349" s="1051" t="str">
        <f>IF(COUNTIF(E$284:E348,F349)&gt;0,"",F349)</f>
        <v/>
      </c>
      <c r="F349" s="1051" t="str">
        <f t="shared" si="27"/>
        <v>Avion passagers, 101-220 sièges, 500 - 1000 km, avec trainées, France continentale, Base Carbone</v>
      </c>
      <c r="G349" s="1055" t="str">
        <f t="shared" si="28"/>
        <v>Avion passagers, 101-220 sièges, 500 - 1000 km, avec trainées, France continentale, Base Carbone; kgCO2e/tonne.km, Emissions fugitives</v>
      </c>
      <c r="I349" s="1034" t="s">
        <v>4777</v>
      </c>
      <c r="J349" s="1135" t="s">
        <v>2324</v>
      </c>
      <c r="K349" s="1119" t="s">
        <v>1567</v>
      </c>
      <c r="L349" s="1135" t="s">
        <v>1571</v>
      </c>
      <c r="M349" s="1033">
        <v>0.7</v>
      </c>
      <c r="N349" s="1135" t="s">
        <v>1764</v>
      </c>
      <c r="O349" s="1135">
        <v>1.04</v>
      </c>
      <c r="P349" s="1135">
        <v>0</v>
      </c>
      <c r="Q349" s="1135">
        <v>0</v>
      </c>
      <c r="R349" s="1135">
        <v>0</v>
      </c>
      <c r="S349" s="1135">
        <v>0</v>
      </c>
      <c r="T349" s="1978">
        <v>1.04</v>
      </c>
      <c r="U349" s="2041">
        <v>0</v>
      </c>
    </row>
    <row r="350" spans="2:21" hidden="1" outlineLevel="1">
      <c r="B350" s="1045"/>
      <c r="C350" s="1045"/>
      <c r="D350" s="1051">
        <f t="shared" ref="D350:D413" si="29">D349+IF(LEN(E350)&gt;0,1,0)</f>
        <v>19</v>
      </c>
      <c r="E350" s="1051" t="str">
        <f>IF(COUNTIF(E$284:E349,F350)&gt;0,"",F350)</f>
        <v/>
      </c>
      <c r="F350" s="1051" t="str">
        <f t="shared" ref="F350:F413" si="30">IF(I350&lt;&gt;"",I350&amp;IF(L350&lt;&gt;"",", "&amp;L350,"")&amp;IF(K350&lt;&gt;"",", "&amp;K350,""),"")</f>
        <v>Avion passagers, 101-220 sièges, 500 - 1000 km, avec trainées, France continentale, Base Carbone</v>
      </c>
      <c r="G350" s="1055" t="str">
        <f t="shared" ref="G350:G413" si="31">IF(F350&lt;&gt;"",F350&amp;IF(J350&lt;&gt;"","; "&amp;J350&amp;IF(N350&lt;&gt;"",", "&amp;N350,),""),"")</f>
        <v>Avion passagers, 101-220 sièges, 500 - 1000 km, avec trainées, France continentale, Base Carbone; kgCO2e/tonne.km, Amont</v>
      </c>
      <c r="I350" s="1034" t="s">
        <v>4777</v>
      </c>
      <c r="J350" s="1135" t="s">
        <v>2324</v>
      </c>
      <c r="K350" s="1119" t="s">
        <v>1567</v>
      </c>
      <c r="L350" s="1135" t="s">
        <v>1571</v>
      </c>
      <c r="M350" s="1033">
        <v>0.7</v>
      </c>
      <c r="N350" s="1135" t="s">
        <v>1570</v>
      </c>
      <c r="O350" s="1135">
        <v>0.216</v>
      </c>
      <c r="P350" s="1135">
        <v>0.19600000000000001</v>
      </c>
      <c r="Q350" s="1135">
        <v>9.8300000000000002E-3</v>
      </c>
      <c r="R350" s="1135">
        <v>0</v>
      </c>
      <c r="S350" s="1135">
        <v>9.8099999999999993E-3</v>
      </c>
      <c r="T350" s="1978">
        <v>0</v>
      </c>
      <c r="U350" s="2041">
        <v>0</v>
      </c>
    </row>
    <row r="351" spans="2:21" hidden="1" outlineLevel="1">
      <c r="B351" s="1045"/>
      <c r="C351" s="1045"/>
      <c r="D351" s="1051">
        <f t="shared" si="29"/>
        <v>19</v>
      </c>
      <c r="E351" s="1051" t="str">
        <f>IF(COUNTIF(E$284:E350,F351)&gt;0,"",F351)</f>
        <v/>
      </c>
      <c r="F351" s="1051" t="str">
        <f t="shared" si="30"/>
        <v>Avion passagers, 101-220 sièges, 500 - 1000 km, avec trainées, France continentale, Base Carbone</v>
      </c>
      <c r="G351" s="1055" t="str">
        <f t="shared" si="31"/>
        <v>Avion passagers, 101-220 sièges, 500 - 1000 km, avec trainées, France continentale, Base Carbone; kgCO2e/tonne.km, Fabrication</v>
      </c>
      <c r="I351" s="1034" t="s">
        <v>4777</v>
      </c>
      <c r="J351" s="1135" t="s">
        <v>2324</v>
      </c>
      <c r="K351" s="1119" t="s">
        <v>1567</v>
      </c>
      <c r="L351" s="1135" t="s">
        <v>1571</v>
      </c>
      <c r="M351" s="1033">
        <v>0.7</v>
      </c>
      <c r="N351" s="1135" t="s">
        <v>332</v>
      </c>
      <c r="O351" s="1135">
        <v>3.5300000000000002E-3</v>
      </c>
      <c r="P351" s="1135">
        <v>3.5300000000000002E-3</v>
      </c>
      <c r="Q351" s="1135">
        <v>0</v>
      </c>
      <c r="R351" s="1135">
        <v>0</v>
      </c>
      <c r="S351" s="1135">
        <v>0</v>
      </c>
      <c r="T351" s="1978">
        <v>0</v>
      </c>
      <c r="U351" s="2041">
        <v>0</v>
      </c>
    </row>
    <row r="352" spans="2:21" hidden="1" outlineLevel="1">
      <c r="B352" s="1045"/>
      <c r="C352" s="1045"/>
      <c r="D352" s="1051">
        <f t="shared" si="29"/>
        <v>20</v>
      </c>
      <c r="E352" s="1051" t="str">
        <f>IF(COUNTIF(E$284:E351,F352)&gt;0,"",F352)</f>
        <v>Avion passagers, 101-220 sièges, 500 - 1000 km, sans trainées, France continentale, Base Carbone</v>
      </c>
      <c r="F352" s="1051" t="str">
        <f t="shared" si="30"/>
        <v>Avion passagers, 101-220 sièges, 500 - 1000 km, sans trainées, France continentale, Base Carbone</v>
      </c>
      <c r="G352" s="1055" t="str">
        <f t="shared" si="31"/>
        <v>Avion passagers, 101-220 sièges, 500 - 1000 km, sans trainées, France continentale, Base Carbone; kgCO2e/tonne.km, Combustion</v>
      </c>
      <c r="I352" s="1034" t="s">
        <v>4778</v>
      </c>
      <c r="J352" s="1135" t="s">
        <v>2324</v>
      </c>
      <c r="K352" s="1119" t="s">
        <v>1567</v>
      </c>
      <c r="L352" s="1135" t="s">
        <v>1571</v>
      </c>
      <c r="M352" s="1033">
        <v>0.1</v>
      </c>
      <c r="N352" s="1135" t="s">
        <v>1569</v>
      </c>
      <c r="O352" s="1135">
        <v>1.04</v>
      </c>
      <c r="P352" s="1135">
        <v>1.03</v>
      </c>
      <c r="Q352" s="1135">
        <v>2.0100000000000001E-4</v>
      </c>
      <c r="R352" s="1135">
        <v>0</v>
      </c>
      <c r="S352" s="1135">
        <v>7.6299999999999996E-3</v>
      </c>
      <c r="T352" s="1978">
        <v>0</v>
      </c>
      <c r="U352" s="2041">
        <v>0</v>
      </c>
    </row>
    <row r="353" spans="2:21" hidden="1" outlineLevel="1">
      <c r="B353" s="1045"/>
      <c r="C353" s="1045"/>
      <c r="D353" s="1051">
        <f t="shared" si="29"/>
        <v>20</v>
      </c>
      <c r="E353" s="1051" t="str">
        <f>IF(COUNTIF(E$284:E352,F353)&gt;0,"",F353)</f>
        <v/>
      </c>
      <c r="F353" s="1051" t="str">
        <f t="shared" si="30"/>
        <v>Avion passagers, 101-220 sièges, 500 - 1000 km, sans trainées, France continentale, Base Carbone</v>
      </c>
      <c r="G353" s="1055" t="str">
        <f t="shared" si="31"/>
        <v>Avion passagers, 101-220 sièges, 500 - 1000 km, sans trainées, France continentale, Base Carbone; kgCO2e/tonne.km, Amont</v>
      </c>
      <c r="I353" s="1034" t="s">
        <v>4778</v>
      </c>
      <c r="J353" s="1135" t="s">
        <v>2324</v>
      </c>
      <c r="K353" s="1119" t="s">
        <v>1567</v>
      </c>
      <c r="L353" s="1135" t="s">
        <v>1571</v>
      </c>
      <c r="M353" s="1033">
        <v>0.1</v>
      </c>
      <c r="N353" s="1135" t="s">
        <v>1570</v>
      </c>
      <c r="O353" s="1135">
        <v>0.216</v>
      </c>
      <c r="P353" s="1135">
        <v>0.19600000000000001</v>
      </c>
      <c r="Q353" s="1135">
        <v>9.8300000000000002E-3</v>
      </c>
      <c r="R353" s="1135">
        <v>0</v>
      </c>
      <c r="S353" s="1135">
        <v>9.8099999999999993E-3</v>
      </c>
      <c r="T353" s="1978">
        <v>0</v>
      </c>
      <c r="U353" s="2041">
        <v>0</v>
      </c>
    </row>
    <row r="354" spans="2:21" hidden="1" outlineLevel="1">
      <c r="B354" s="1045"/>
      <c r="C354" s="1045"/>
      <c r="D354" s="1051">
        <f t="shared" si="29"/>
        <v>20</v>
      </c>
      <c r="E354" s="1051" t="str">
        <f>IF(COUNTIF(E$284:E353,F354)&gt;0,"",F354)</f>
        <v/>
      </c>
      <c r="F354" s="1051" t="str">
        <f t="shared" si="30"/>
        <v>Avion passagers, 101-220 sièges, 500 - 1000 km, sans trainées, France continentale, Base Carbone</v>
      </c>
      <c r="G354" s="1055" t="str">
        <f t="shared" si="31"/>
        <v>Avion passagers, 101-220 sièges, 500 - 1000 km, sans trainées, France continentale, Base Carbone; kgCO2e/tonne.km, Fabrication</v>
      </c>
      <c r="I354" s="1034" t="s">
        <v>4778</v>
      </c>
      <c r="J354" s="1135" t="s">
        <v>2324</v>
      </c>
      <c r="K354" s="1119" t="s">
        <v>1567</v>
      </c>
      <c r="L354" s="1135" t="s">
        <v>1571</v>
      </c>
      <c r="M354" s="1033">
        <v>0.1</v>
      </c>
      <c r="N354" s="1135" t="s">
        <v>332</v>
      </c>
      <c r="O354" s="1135">
        <v>3.5300000000000002E-3</v>
      </c>
      <c r="P354" s="1135">
        <v>3.5300000000000002E-3</v>
      </c>
      <c r="Q354" s="1135">
        <v>0</v>
      </c>
      <c r="R354" s="1135">
        <v>0</v>
      </c>
      <c r="S354" s="1135">
        <v>0</v>
      </c>
      <c r="T354" s="1978">
        <v>0</v>
      </c>
      <c r="U354" s="2041">
        <v>0</v>
      </c>
    </row>
    <row r="355" spans="2:21" hidden="1" outlineLevel="1">
      <c r="B355" s="1045"/>
      <c r="C355" s="1045"/>
      <c r="D355" s="1051">
        <f t="shared" si="29"/>
        <v>21</v>
      </c>
      <c r="E355" s="1051" t="str">
        <f>IF(COUNTIF(E$284:E354,F355)&gt;0,"",F355)</f>
        <v>Avion passagers, 101-220 sièges, &lt; 500 km jet, avec trainées, France continentale, Base Carbone</v>
      </c>
      <c r="F355" s="1051" t="str">
        <f t="shared" si="30"/>
        <v>Avion passagers, 101-220 sièges, &lt; 500 km jet, avec trainées, France continentale, Base Carbone</v>
      </c>
      <c r="G355" s="1055" t="str">
        <f t="shared" si="31"/>
        <v>Avion passagers, 101-220 sièges, &lt; 500 km jet, avec trainées, France continentale, Base Carbone; kgCO2e/tonne.km, Combustion</v>
      </c>
      <c r="I355" s="1034" t="s">
        <v>4779</v>
      </c>
      <c r="J355" s="1135" t="s">
        <v>2324</v>
      </c>
      <c r="K355" s="1119" t="s">
        <v>1567</v>
      </c>
      <c r="L355" s="1135" t="s">
        <v>1571</v>
      </c>
      <c r="M355" s="1033">
        <v>0.7</v>
      </c>
      <c r="N355" s="1135" t="s">
        <v>1569</v>
      </c>
      <c r="O355" s="1135">
        <v>1.38</v>
      </c>
      <c r="P355" s="1135">
        <v>1.37</v>
      </c>
      <c r="Q355" s="1135">
        <v>3.9899999999999999E-4</v>
      </c>
      <c r="R355" s="1135">
        <v>0</v>
      </c>
      <c r="S355" s="1135">
        <v>1.0200000000000001E-2</v>
      </c>
      <c r="T355" s="1978">
        <v>0</v>
      </c>
      <c r="U355" s="2041">
        <v>0</v>
      </c>
    </row>
    <row r="356" spans="2:21" hidden="1" outlineLevel="1">
      <c r="B356" s="1045"/>
      <c r="C356" s="1045"/>
      <c r="D356" s="1051">
        <f t="shared" si="29"/>
        <v>21</v>
      </c>
      <c r="E356" s="1051" t="str">
        <f>IF(COUNTIF(E$284:E355,F356)&gt;0,"",F356)</f>
        <v/>
      </c>
      <c r="F356" s="1051" t="str">
        <f t="shared" si="30"/>
        <v>Avion passagers, 101-220 sièges, &lt; 500 km jet, avec trainées, France continentale, Base Carbone</v>
      </c>
      <c r="G356" s="1055" t="str">
        <f t="shared" si="31"/>
        <v>Avion passagers, 101-220 sièges, &lt; 500 km jet, avec trainées, France continentale, Base Carbone; kgCO2e/tonne.km, Emissions fugitives</v>
      </c>
      <c r="I356" s="1034" t="s">
        <v>4779</v>
      </c>
      <c r="J356" s="1135" t="s">
        <v>2324</v>
      </c>
      <c r="K356" s="1119" t="s">
        <v>1567</v>
      </c>
      <c r="L356" s="1135" t="s">
        <v>1571</v>
      </c>
      <c r="M356" s="1033">
        <v>0.7</v>
      </c>
      <c r="N356" s="1135" t="s">
        <v>1764</v>
      </c>
      <c r="O356" s="1135">
        <v>1.38</v>
      </c>
      <c r="P356" s="1135">
        <v>0</v>
      </c>
      <c r="Q356" s="1135">
        <v>0</v>
      </c>
      <c r="R356" s="1135">
        <v>0</v>
      </c>
      <c r="S356" s="1135">
        <v>0</v>
      </c>
      <c r="T356" s="1978">
        <v>1.38</v>
      </c>
      <c r="U356" s="2041">
        <v>0</v>
      </c>
    </row>
    <row r="357" spans="2:21" hidden="1" outlineLevel="1">
      <c r="B357" s="1045"/>
      <c r="C357" s="1045"/>
      <c r="D357" s="1051">
        <f t="shared" si="29"/>
        <v>21</v>
      </c>
      <c r="E357" s="1051" t="str">
        <f>IF(COUNTIF(E$284:E356,F357)&gt;0,"",F357)</f>
        <v/>
      </c>
      <c r="F357" s="1051" t="str">
        <f t="shared" si="30"/>
        <v>Avion passagers, 101-220 sièges, &lt; 500 km jet, avec trainées, France continentale, Base Carbone</v>
      </c>
      <c r="G357" s="1055" t="str">
        <f t="shared" si="31"/>
        <v>Avion passagers, 101-220 sièges, &lt; 500 km jet, avec trainées, France continentale, Base Carbone; kgCO2e/tonne.km, Amont</v>
      </c>
      <c r="I357" s="1034" t="s">
        <v>4779</v>
      </c>
      <c r="J357" s="1135" t="s">
        <v>2324</v>
      </c>
      <c r="K357" s="1119" t="s">
        <v>1567</v>
      </c>
      <c r="L357" s="1135" t="s">
        <v>1571</v>
      </c>
      <c r="M357" s="1033">
        <v>0.7</v>
      </c>
      <c r="N357" s="1135" t="s">
        <v>1570</v>
      </c>
      <c r="O357" s="1135">
        <v>0.28699999999999998</v>
      </c>
      <c r="P357" s="1135">
        <v>0.26100000000000001</v>
      </c>
      <c r="Q357" s="1135">
        <v>1.2999999999999999E-2</v>
      </c>
      <c r="R357" s="1135">
        <v>0</v>
      </c>
      <c r="S357" s="1135">
        <v>1.2999999999999999E-2</v>
      </c>
      <c r="T357" s="1978">
        <v>0</v>
      </c>
      <c r="U357" s="2041">
        <v>0</v>
      </c>
    </row>
    <row r="358" spans="2:21" hidden="1" outlineLevel="1">
      <c r="B358" s="1045"/>
      <c r="C358" s="1045"/>
      <c r="D358" s="1051">
        <f t="shared" si="29"/>
        <v>21</v>
      </c>
      <c r="E358" s="1051" t="str">
        <f>IF(COUNTIF(E$284:E357,F358)&gt;0,"",F358)</f>
        <v/>
      </c>
      <c r="F358" s="1051" t="str">
        <f t="shared" si="30"/>
        <v>Avion passagers, 101-220 sièges, &lt; 500 km jet, avec trainées, France continentale, Base Carbone</v>
      </c>
      <c r="G358" s="1055" t="str">
        <f t="shared" si="31"/>
        <v>Avion passagers, 101-220 sièges, &lt; 500 km jet, avec trainées, France continentale, Base Carbone; kgCO2e/tonne.km, Fabrication</v>
      </c>
      <c r="I358" s="1034" t="s">
        <v>4779</v>
      </c>
      <c r="J358" s="1135" t="s">
        <v>2324</v>
      </c>
      <c r="K358" s="1119" t="s">
        <v>1567</v>
      </c>
      <c r="L358" s="1135" t="s">
        <v>1571</v>
      </c>
      <c r="M358" s="1033">
        <v>0.7</v>
      </c>
      <c r="N358" s="1135" t="s">
        <v>332</v>
      </c>
      <c r="O358" s="1135">
        <v>3.5300000000000002E-3</v>
      </c>
      <c r="P358" s="1135">
        <v>3.5300000000000002E-3</v>
      </c>
      <c r="Q358" s="1135">
        <v>0</v>
      </c>
      <c r="R358" s="1135">
        <v>0</v>
      </c>
      <c r="S358" s="1135">
        <v>0</v>
      </c>
      <c r="T358" s="1978">
        <v>0</v>
      </c>
      <c r="U358" s="2041">
        <v>0</v>
      </c>
    </row>
    <row r="359" spans="2:21" hidden="1" outlineLevel="1">
      <c r="B359" s="1045"/>
      <c r="C359" s="1045"/>
      <c r="D359" s="1051">
        <f t="shared" si="29"/>
        <v>22</v>
      </c>
      <c r="E359" s="1051" t="str">
        <f>IF(COUNTIF(E$284:E358,F359)&gt;0,"",F359)</f>
        <v>Avion passagers, 101-220 sièges, &lt; 500 km jet, sans trainées, France continentale, Base Carbone</v>
      </c>
      <c r="F359" s="1051" t="str">
        <f t="shared" si="30"/>
        <v>Avion passagers, 101-220 sièges, &lt; 500 km jet, sans trainées, France continentale, Base Carbone</v>
      </c>
      <c r="G359" s="1055" t="str">
        <f t="shared" si="31"/>
        <v>Avion passagers, 101-220 sièges, &lt; 500 km jet, sans trainées, France continentale, Base Carbone; kgCO2e/tonne.km, Combustion</v>
      </c>
      <c r="I359" s="1034" t="s">
        <v>4780</v>
      </c>
      <c r="J359" s="1135" t="s">
        <v>2324</v>
      </c>
      <c r="K359" s="1119" t="s">
        <v>1567</v>
      </c>
      <c r="L359" s="1135" t="s">
        <v>1571</v>
      </c>
      <c r="M359" s="1033">
        <v>0.1</v>
      </c>
      <c r="N359" s="1135" t="s">
        <v>1569</v>
      </c>
      <c r="O359" s="1135">
        <v>1.38</v>
      </c>
      <c r="P359" s="1135">
        <v>1.37</v>
      </c>
      <c r="Q359" s="1135">
        <v>3.9899999999999999E-4</v>
      </c>
      <c r="R359" s="1135">
        <v>0</v>
      </c>
      <c r="S359" s="1135">
        <v>1.0200000000000001E-2</v>
      </c>
      <c r="T359" s="1978">
        <v>0</v>
      </c>
      <c r="U359" s="2041">
        <v>0</v>
      </c>
    </row>
    <row r="360" spans="2:21" hidden="1" outlineLevel="1">
      <c r="B360" s="1045"/>
      <c r="C360" s="1045"/>
      <c r="D360" s="1051">
        <f t="shared" si="29"/>
        <v>22</v>
      </c>
      <c r="E360" s="1051" t="str">
        <f>IF(COUNTIF(E$284:E359,F360)&gt;0,"",F360)</f>
        <v/>
      </c>
      <c r="F360" s="1051" t="str">
        <f t="shared" si="30"/>
        <v>Avion passagers, 101-220 sièges, &lt; 500 km jet, sans trainées, France continentale, Base Carbone</v>
      </c>
      <c r="G360" s="1055" t="str">
        <f t="shared" si="31"/>
        <v>Avion passagers, 101-220 sièges, &lt; 500 km jet, sans trainées, France continentale, Base Carbone; kgCO2e/tonne.km, Amont</v>
      </c>
      <c r="I360" s="1034" t="s">
        <v>4780</v>
      </c>
      <c r="J360" s="1135" t="s">
        <v>2324</v>
      </c>
      <c r="K360" s="1119" t="s">
        <v>1567</v>
      </c>
      <c r="L360" s="1135" t="s">
        <v>1571</v>
      </c>
      <c r="M360" s="1033">
        <v>0.1</v>
      </c>
      <c r="N360" s="1135" t="s">
        <v>1570</v>
      </c>
      <c r="O360" s="1135">
        <v>0.28699999999999998</v>
      </c>
      <c r="P360" s="1135">
        <v>0.26100000000000001</v>
      </c>
      <c r="Q360" s="1135">
        <v>1.2999999999999999E-2</v>
      </c>
      <c r="R360" s="1135">
        <v>0</v>
      </c>
      <c r="S360" s="1135">
        <v>1.2999999999999999E-2</v>
      </c>
      <c r="T360" s="1978">
        <v>0</v>
      </c>
      <c r="U360" s="2041">
        <v>0</v>
      </c>
    </row>
    <row r="361" spans="2:21" hidden="1" outlineLevel="1">
      <c r="B361" s="1045"/>
      <c r="C361" s="1045"/>
      <c r="D361" s="1051">
        <f t="shared" si="29"/>
        <v>22</v>
      </c>
      <c r="E361" s="1051" t="str">
        <f>IF(COUNTIF(E$284:E360,F361)&gt;0,"",F361)</f>
        <v/>
      </c>
      <c r="F361" s="1051" t="str">
        <f t="shared" si="30"/>
        <v>Avion passagers, 101-220 sièges, &lt; 500 km jet, sans trainées, France continentale, Base Carbone</v>
      </c>
      <c r="G361" s="1055" t="str">
        <f t="shared" si="31"/>
        <v>Avion passagers, 101-220 sièges, &lt; 500 km jet, sans trainées, France continentale, Base Carbone; kgCO2e/tonne.km, Fabrication</v>
      </c>
      <c r="I361" s="1034" t="s">
        <v>4780</v>
      </c>
      <c r="J361" s="1135" t="s">
        <v>2324</v>
      </c>
      <c r="K361" s="1119" t="s">
        <v>1567</v>
      </c>
      <c r="L361" s="1135" t="s">
        <v>1571</v>
      </c>
      <c r="M361" s="1033">
        <v>0.1</v>
      </c>
      <c r="N361" s="1135" t="s">
        <v>332</v>
      </c>
      <c r="O361" s="1135">
        <v>3.5300000000000002E-3</v>
      </c>
      <c r="P361" s="1135">
        <v>3.5300000000000002E-3</v>
      </c>
      <c r="Q361" s="1135">
        <v>0</v>
      </c>
      <c r="R361" s="1135">
        <v>0</v>
      </c>
      <c r="S361" s="1135">
        <v>0</v>
      </c>
      <c r="T361" s="1978">
        <v>0</v>
      </c>
      <c r="U361" s="2041">
        <v>0</v>
      </c>
    </row>
    <row r="362" spans="2:21" hidden="1" outlineLevel="1">
      <c r="B362" s="1045"/>
      <c r="C362" s="1045"/>
      <c r="D362" s="1051">
        <f t="shared" si="29"/>
        <v>23</v>
      </c>
      <c r="E362" s="1051" t="str">
        <f>IF(COUNTIF(E$284:E361,F362)&gt;0,"",F362)</f>
        <v>Avion passagers, 101-220 sièges, &gt; 3500 km, avec trainées, France continentale, Base Carbone</v>
      </c>
      <c r="F362" s="1051" t="str">
        <f t="shared" si="30"/>
        <v>Avion passagers, 101-220 sièges, &gt; 3500 km, avec trainées, France continentale, Base Carbone</v>
      </c>
      <c r="G362" s="1055" t="str">
        <f t="shared" si="31"/>
        <v>Avion passagers, 101-220 sièges, &gt; 3500 km, avec trainées, France continentale, Base Carbone; kgCO2e/tonne.km, Combustion</v>
      </c>
      <c r="I362" s="1034" t="s">
        <v>4781</v>
      </c>
      <c r="J362" s="1135" t="s">
        <v>2324</v>
      </c>
      <c r="K362" s="1119" t="s">
        <v>1567</v>
      </c>
      <c r="L362" s="1135" t="s">
        <v>1571</v>
      </c>
      <c r="M362" s="1033">
        <v>0.7</v>
      </c>
      <c r="N362" s="1135" t="s">
        <v>1569</v>
      </c>
      <c r="O362" s="1135">
        <v>0.94899999999999995</v>
      </c>
      <c r="P362" s="1135">
        <v>0.94199999999999995</v>
      </c>
      <c r="Q362" s="1135">
        <v>0</v>
      </c>
      <c r="R362" s="1135">
        <v>0</v>
      </c>
      <c r="S362" s="1135">
        <v>7.0200000000000002E-3</v>
      </c>
      <c r="T362" s="1978">
        <v>0</v>
      </c>
      <c r="U362" s="2041">
        <v>0</v>
      </c>
    </row>
    <row r="363" spans="2:21" hidden="1" outlineLevel="1">
      <c r="B363" s="1045"/>
      <c r="C363" s="1045"/>
      <c r="D363" s="1051">
        <f t="shared" si="29"/>
        <v>23</v>
      </c>
      <c r="E363" s="1051" t="str">
        <f>IF(COUNTIF(E$284:E362,F363)&gt;0,"",F363)</f>
        <v/>
      </c>
      <c r="F363" s="1051" t="str">
        <f t="shared" si="30"/>
        <v>Avion passagers, 101-220 sièges, &gt; 3500 km, avec trainées, France continentale, Base Carbone</v>
      </c>
      <c r="G363" s="1055" t="str">
        <f t="shared" si="31"/>
        <v>Avion passagers, 101-220 sièges, &gt; 3500 km, avec trainées, France continentale, Base Carbone; kgCO2e/tonne.km, Emissions fugitives</v>
      </c>
      <c r="I363" s="1034" t="s">
        <v>4781</v>
      </c>
      <c r="J363" s="1135" t="s">
        <v>2324</v>
      </c>
      <c r="K363" s="1119" t="s">
        <v>1567</v>
      </c>
      <c r="L363" s="1135" t="s">
        <v>1571</v>
      </c>
      <c r="M363" s="1033">
        <v>0.7</v>
      </c>
      <c r="N363" s="1135" t="s">
        <v>1764</v>
      </c>
      <c r="O363" s="1135">
        <v>0.94899999999999995</v>
      </c>
      <c r="P363" s="1135">
        <v>0</v>
      </c>
      <c r="Q363" s="1135">
        <v>0</v>
      </c>
      <c r="R363" s="1135">
        <v>0</v>
      </c>
      <c r="S363" s="1135">
        <v>0</v>
      </c>
      <c r="T363" s="1978">
        <v>0.94899999999999995</v>
      </c>
      <c r="U363" s="2041">
        <v>0</v>
      </c>
    </row>
    <row r="364" spans="2:21" hidden="1" outlineLevel="1">
      <c r="B364" s="1045"/>
      <c r="C364" s="1045"/>
      <c r="D364" s="1051">
        <f t="shared" si="29"/>
        <v>23</v>
      </c>
      <c r="E364" s="1051" t="str">
        <f>IF(COUNTIF(E$284:E363,F364)&gt;0,"",F364)</f>
        <v/>
      </c>
      <c r="F364" s="1051" t="str">
        <f t="shared" si="30"/>
        <v>Avion passagers, 101-220 sièges, &gt; 3500 km, avec trainées, France continentale, Base Carbone</v>
      </c>
      <c r="G364" s="1055" t="str">
        <f t="shared" si="31"/>
        <v>Avion passagers, 101-220 sièges, &gt; 3500 km, avec trainées, France continentale, Base Carbone; kgCO2e/tonne.km, Amont</v>
      </c>
      <c r="I364" s="1034" t="s">
        <v>4781</v>
      </c>
      <c r="J364" s="1135" t="s">
        <v>2324</v>
      </c>
      <c r="K364" s="1119" t="s">
        <v>1567</v>
      </c>
      <c r="L364" s="1135" t="s">
        <v>1571</v>
      </c>
      <c r="M364" s="1033">
        <v>0.7</v>
      </c>
      <c r="N364" s="1135" t="s">
        <v>1570</v>
      </c>
      <c r="O364" s="1135">
        <v>0.19700000000000001</v>
      </c>
      <c r="P364" s="1135">
        <v>0.17899999999999999</v>
      </c>
      <c r="Q364" s="1135">
        <v>8.9700000000000005E-3</v>
      </c>
      <c r="R364" s="1135">
        <v>0</v>
      </c>
      <c r="S364" s="1135">
        <v>8.9300000000000004E-3</v>
      </c>
      <c r="T364" s="1978">
        <v>0</v>
      </c>
      <c r="U364" s="2041">
        <v>0</v>
      </c>
    </row>
    <row r="365" spans="2:21" hidden="1" outlineLevel="1">
      <c r="B365" s="1045"/>
      <c r="C365" s="1045"/>
      <c r="D365" s="1051">
        <f t="shared" si="29"/>
        <v>23</v>
      </c>
      <c r="E365" s="1051" t="str">
        <f>IF(COUNTIF(E$284:E364,F365)&gt;0,"",F365)</f>
        <v/>
      </c>
      <c r="F365" s="1051" t="str">
        <f t="shared" si="30"/>
        <v>Avion passagers, 101-220 sièges, &gt; 3500 km, avec trainées, France continentale, Base Carbone</v>
      </c>
      <c r="G365" s="1055" t="str">
        <f t="shared" si="31"/>
        <v>Avion passagers, 101-220 sièges, &gt; 3500 km, avec trainées, France continentale, Base Carbone; kgCO2e/tonne.km, Fabrication</v>
      </c>
      <c r="I365" s="1034" t="s">
        <v>4781</v>
      </c>
      <c r="J365" s="1135" t="s">
        <v>2324</v>
      </c>
      <c r="K365" s="1119" t="s">
        <v>1567</v>
      </c>
      <c r="L365" s="1135" t="s">
        <v>1571</v>
      </c>
      <c r="M365" s="1033">
        <v>0.7</v>
      </c>
      <c r="N365" s="1135" t="s">
        <v>332</v>
      </c>
      <c r="O365" s="1135">
        <v>2.6099999999999999E-3</v>
      </c>
      <c r="P365" s="1135">
        <v>2.6099999999999999E-3</v>
      </c>
      <c r="Q365" s="1135">
        <v>0</v>
      </c>
      <c r="R365" s="1135">
        <v>0</v>
      </c>
      <c r="S365" s="1135">
        <v>0</v>
      </c>
      <c r="T365" s="1978">
        <v>0</v>
      </c>
      <c r="U365" s="2041">
        <v>0</v>
      </c>
    </row>
    <row r="366" spans="2:21" hidden="1" outlineLevel="1">
      <c r="B366" s="1045"/>
      <c r="C366" s="1045"/>
      <c r="D366" s="1051">
        <f t="shared" si="29"/>
        <v>24</v>
      </c>
      <c r="E366" s="1051" t="str">
        <f>IF(COUNTIF(E$284:E365,F366)&gt;0,"",F366)</f>
        <v>Avion passagers, 101-220 sièges, &gt; 3500 km, sans trainées, France continentale, Base Carbone</v>
      </c>
      <c r="F366" s="1051" t="str">
        <f t="shared" si="30"/>
        <v>Avion passagers, 101-220 sièges, &gt; 3500 km, sans trainées, France continentale, Base Carbone</v>
      </c>
      <c r="G366" s="1055" t="str">
        <f t="shared" si="31"/>
        <v>Avion passagers, 101-220 sièges, &gt; 3500 km, sans trainées, France continentale, Base Carbone; kgCO2e/tonne.km, Combustion</v>
      </c>
      <c r="I366" s="1034" t="s">
        <v>4782</v>
      </c>
      <c r="J366" s="1135" t="s">
        <v>2324</v>
      </c>
      <c r="K366" s="1119" t="s">
        <v>1567</v>
      </c>
      <c r="L366" s="1135" t="s">
        <v>1571</v>
      </c>
      <c r="M366" s="1033">
        <v>0.1</v>
      </c>
      <c r="N366" s="1135" t="s">
        <v>1569</v>
      </c>
      <c r="O366" s="1135">
        <v>0.94899999999999995</v>
      </c>
      <c r="P366" s="1135">
        <v>0.94199999999999995</v>
      </c>
      <c r="Q366" s="1135">
        <v>0</v>
      </c>
      <c r="R366" s="1135">
        <v>0</v>
      </c>
      <c r="S366" s="1135">
        <v>7.0200000000000002E-3</v>
      </c>
      <c r="T366" s="1978">
        <v>0</v>
      </c>
      <c r="U366" s="2041">
        <v>0</v>
      </c>
    </row>
    <row r="367" spans="2:21" hidden="1" outlineLevel="1">
      <c r="B367" s="1045"/>
      <c r="C367" s="1045"/>
      <c r="D367" s="1051">
        <f t="shared" si="29"/>
        <v>24</v>
      </c>
      <c r="E367" s="1051" t="str">
        <f>IF(COUNTIF(E$284:E366,F367)&gt;0,"",F367)</f>
        <v/>
      </c>
      <c r="F367" s="1051" t="str">
        <f t="shared" si="30"/>
        <v>Avion passagers, 101-220 sièges, &gt; 3500 km, sans trainées, France continentale, Base Carbone</v>
      </c>
      <c r="G367" s="1055" t="str">
        <f t="shared" si="31"/>
        <v>Avion passagers, 101-220 sièges, &gt; 3500 km, sans trainées, France continentale, Base Carbone; kgCO2e/tonne.km, Amont</v>
      </c>
      <c r="I367" s="1034" t="s">
        <v>4782</v>
      </c>
      <c r="J367" s="1135" t="s">
        <v>2324</v>
      </c>
      <c r="K367" s="1119" t="s">
        <v>1567</v>
      </c>
      <c r="L367" s="1135" t="s">
        <v>1571</v>
      </c>
      <c r="M367" s="1033">
        <v>0.1</v>
      </c>
      <c r="N367" s="1135" t="s">
        <v>1570</v>
      </c>
      <c r="O367" s="1135">
        <v>0.19700000000000001</v>
      </c>
      <c r="P367" s="1135">
        <v>0.17899999999999999</v>
      </c>
      <c r="Q367" s="1135">
        <v>8.9700000000000005E-3</v>
      </c>
      <c r="R367" s="1135">
        <v>0</v>
      </c>
      <c r="S367" s="1135">
        <v>8.9300000000000004E-3</v>
      </c>
      <c r="T367" s="1978">
        <v>0</v>
      </c>
      <c r="U367" s="2041">
        <v>0</v>
      </c>
    </row>
    <row r="368" spans="2:21" hidden="1" outlineLevel="1">
      <c r="B368" s="1045"/>
      <c r="C368" s="1045"/>
      <c r="D368" s="1051">
        <f t="shared" si="29"/>
        <v>24</v>
      </c>
      <c r="E368" s="1051" t="str">
        <f>IF(COUNTIF(E$284:E367,F368)&gt;0,"",F368)</f>
        <v/>
      </c>
      <c r="F368" s="1051" t="str">
        <f t="shared" si="30"/>
        <v>Avion passagers, 101-220 sièges, &gt; 3500 km, sans trainées, France continentale, Base Carbone</v>
      </c>
      <c r="G368" s="1055" t="str">
        <f t="shared" si="31"/>
        <v>Avion passagers, 101-220 sièges, &gt; 3500 km, sans trainées, France continentale, Base Carbone; kgCO2e/tonne.km, Fabrication</v>
      </c>
      <c r="I368" s="1034" t="s">
        <v>4782</v>
      </c>
      <c r="J368" s="1135" t="s">
        <v>2324</v>
      </c>
      <c r="K368" s="1119" t="s">
        <v>1567</v>
      </c>
      <c r="L368" s="1135" t="s">
        <v>1571</v>
      </c>
      <c r="M368" s="1033">
        <v>0.1</v>
      </c>
      <c r="N368" s="1135" t="s">
        <v>332</v>
      </c>
      <c r="O368" s="1135">
        <v>2.6099999999999999E-3</v>
      </c>
      <c r="P368" s="1135">
        <v>2.6099999999999999E-3</v>
      </c>
      <c r="Q368" s="1135">
        <v>0</v>
      </c>
      <c r="R368" s="1135">
        <v>0</v>
      </c>
      <c r="S368" s="1135">
        <v>0</v>
      </c>
      <c r="T368" s="1978">
        <v>0</v>
      </c>
      <c r="U368" s="2041">
        <v>0</v>
      </c>
    </row>
    <row r="369" spans="2:21" hidden="1" outlineLevel="1">
      <c r="B369" s="1045"/>
      <c r="C369" s="1045"/>
      <c r="D369" s="1051">
        <f t="shared" si="29"/>
        <v>25</v>
      </c>
      <c r="E369" s="1051" t="str">
        <f>IF(COUNTIF(E$284:E368,F369)&gt;0,"",F369)</f>
        <v>Avion passagers, 20-50 sièges, 1000 - 3500 km, avec trainées, France continentale, Base Carbone</v>
      </c>
      <c r="F369" s="1051" t="str">
        <f t="shared" si="30"/>
        <v>Avion passagers, 20-50 sièges, 1000 - 3500 km, avec trainées, France continentale, Base Carbone</v>
      </c>
      <c r="G369" s="1055" t="str">
        <f t="shared" si="31"/>
        <v>Avion passagers, 20-50 sièges, 1000 - 3500 km, avec trainées, France continentale, Base Carbone; kgCO2e/tonne.km, Combustion</v>
      </c>
      <c r="I369" s="1034" t="s">
        <v>4783</v>
      </c>
      <c r="J369" s="1135" t="s">
        <v>2324</v>
      </c>
      <c r="K369" s="1119" t="s">
        <v>1567</v>
      </c>
      <c r="L369" s="1135" t="s">
        <v>1571</v>
      </c>
      <c r="M369" s="1033">
        <v>0.7</v>
      </c>
      <c r="N369" s="1135" t="s">
        <v>1569</v>
      </c>
      <c r="O369" s="1135">
        <v>2.35</v>
      </c>
      <c r="P369" s="1135">
        <v>2.33</v>
      </c>
      <c r="Q369" s="1135">
        <v>2.9999999999999997E-4</v>
      </c>
      <c r="R369" s="1135">
        <v>0</v>
      </c>
      <c r="S369" s="1135">
        <v>1.7299999999999999E-2</v>
      </c>
      <c r="T369" s="1978">
        <v>0</v>
      </c>
      <c r="U369" s="2041">
        <v>0</v>
      </c>
    </row>
    <row r="370" spans="2:21" hidden="1" outlineLevel="1">
      <c r="B370" s="1045"/>
      <c r="C370" s="1045"/>
      <c r="D370" s="1051">
        <f t="shared" si="29"/>
        <v>25</v>
      </c>
      <c r="E370" s="1051" t="str">
        <f>IF(COUNTIF(E$284:E369,F370)&gt;0,"",F370)</f>
        <v/>
      </c>
      <c r="F370" s="1051" t="str">
        <f t="shared" si="30"/>
        <v>Avion passagers, 20-50 sièges, 1000 - 3500 km, avec trainées, France continentale, Base Carbone</v>
      </c>
      <c r="G370" s="1055" t="str">
        <f t="shared" si="31"/>
        <v>Avion passagers, 20-50 sièges, 1000 - 3500 km, avec trainées, France continentale, Base Carbone; kgCO2e/tonne.km, Emissions fugitives</v>
      </c>
      <c r="I370" s="1034" t="s">
        <v>4783</v>
      </c>
      <c r="J370" s="1135" t="s">
        <v>2324</v>
      </c>
      <c r="K370" s="1119" t="s">
        <v>1567</v>
      </c>
      <c r="L370" s="1135" t="s">
        <v>1571</v>
      </c>
      <c r="M370" s="1033">
        <v>0.7</v>
      </c>
      <c r="N370" s="1135" t="s">
        <v>1764</v>
      </c>
      <c r="O370" s="1135">
        <v>2.35</v>
      </c>
      <c r="P370" s="1135">
        <v>0</v>
      </c>
      <c r="Q370" s="1135">
        <v>0</v>
      </c>
      <c r="R370" s="1135">
        <v>0</v>
      </c>
      <c r="S370" s="1135">
        <v>0</v>
      </c>
      <c r="T370" s="1978">
        <v>2.35</v>
      </c>
      <c r="U370" s="2041">
        <v>0</v>
      </c>
    </row>
    <row r="371" spans="2:21" hidden="1" outlineLevel="1">
      <c r="B371" s="1045"/>
      <c r="C371" s="1045"/>
      <c r="D371" s="1051">
        <f t="shared" si="29"/>
        <v>25</v>
      </c>
      <c r="E371" s="1051" t="str">
        <f>IF(COUNTIF(E$284:E370,F371)&gt;0,"",F371)</f>
        <v/>
      </c>
      <c r="F371" s="1051" t="str">
        <f t="shared" si="30"/>
        <v>Avion passagers, 20-50 sièges, 1000 - 3500 km, avec trainées, France continentale, Base Carbone</v>
      </c>
      <c r="G371" s="1055" t="str">
        <f t="shared" si="31"/>
        <v>Avion passagers, 20-50 sièges, 1000 - 3500 km, avec trainées, France continentale, Base Carbone; kgCO2e/tonne.km, Amont</v>
      </c>
      <c r="I371" s="1034" t="s">
        <v>4783</v>
      </c>
      <c r="J371" s="1135" t="s">
        <v>2324</v>
      </c>
      <c r="K371" s="1119" t="s">
        <v>1567</v>
      </c>
      <c r="L371" s="1135" t="s">
        <v>1571</v>
      </c>
      <c r="M371" s="1033">
        <v>0.7</v>
      </c>
      <c r="N371" s="1135" t="s">
        <v>1570</v>
      </c>
      <c r="O371" s="1135">
        <v>0.48699999999999999</v>
      </c>
      <c r="P371" s="1135">
        <v>0.443</v>
      </c>
      <c r="Q371" s="1135">
        <v>2.2100000000000002E-2</v>
      </c>
      <c r="R371" s="1135">
        <v>0</v>
      </c>
      <c r="S371" s="1135">
        <v>2.2200000000000001E-2</v>
      </c>
      <c r="T371" s="1978">
        <v>0</v>
      </c>
      <c r="U371" s="2041">
        <v>0</v>
      </c>
    </row>
    <row r="372" spans="2:21" hidden="1" outlineLevel="1">
      <c r="B372" s="1045"/>
      <c r="C372" s="1045"/>
      <c r="D372" s="1051">
        <f t="shared" si="29"/>
        <v>25</v>
      </c>
      <c r="E372" s="1051" t="str">
        <f>IF(COUNTIF(E$284:E371,F372)&gt;0,"",F372)</f>
        <v/>
      </c>
      <c r="F372" s="1051" t="str">
        <f t="shared" si="30"/>
        <v>Avion passagers, 20-50 sièges, 1000 - 3500 km, avec trainées, France continentale, Base Carbone</v>
      </c>
      <c r="G372" s="1055" t="str">
        <f t="shared" si="31"/>
        <v>Avion passagers, 20-50 sièges, 1000 - 3500 km, avec trainées, France continentale, Base Carbone; kgCO2e/tonne.km, Fabrication</v>
      </c>
      <c r="I372" s="1034" t="s">
        <v>4783</v>
      </c>
      <c r="J372" s="1135" t="s">
        <v>2324</v>
      </c>
      <c r="K372" s="1119" t="s">
        <v>1567</v>
      </c>
      <c r="L372" s="1135" t="s">
        <v>1571</v>
      </c>
      <c r="M372" s="1033">
        <v>0.7</v>
      </c>
      <c r="N372" s="1135" t="s">
        <v>332</v>
      </c>
      <c r="O372" s="1135">
        <v>4.9300000000000004E-3</v>
      </c>
      <c r="P372" s="1135">
        <v>4.9300000000000004E-3</v>
      </c>
      <c r="Q372" s="1135">
        <v>0</v>
      </c>
      <c r="R372" s="1135">
        <v>0</v>
      </c>
      <c r="S372" s="1135">
        <v>0</v>
      </c>
      <c r="T372" s="1978">
        <v>0</v>
      </c>
      <c r="U372" s="2041">
        <v>0</v>
      </c>
    </row>
    <row r="373" spans="2:21" hidden="1" outlineLevel="1">
      <c r="B373" s="1045"/>
      <c r="C373" s="1045"/>
      <c r="D373" s="1051">
        <f t="shared" si="29"/>
        <v>26</v>
      </c>
      <c r="E373" s="1051" t="str">
        <f>IF(COUNTIF(E$284:E372,F373)&gt;0,"",F373)</f>
        <v>Avion passagers, 20-50 sièges, 1000 - 3500 km, sans trainées, France continentale, Base Carbone</v>
      </c>
      <c r="F373" s="1051" t="str">
        <f t="shared" si="30"/>
        <v>Avion passagers, 20-50 sièges, 1000 - 3500 km, sans trainées, France continentale, Base Carbone</v>
      </c>
      <c r="G373" s="1055" t="str">
        <f t="shared" si="31"/>
        <v>Avion passagers, 20-50 sièges, 1000 - 3500 km, sans trainées, France continentale, Base Carbone; kgCO2e/tonne.km, Combustion</v>
      </c>
      <c r="I373" s="1034" t="s">
        <v>4784</v>
      </c>
      <c r="J373" s="1135" t="s">
        <v>2324</v>
      </c>
      <c r="K373" s="1119" t="s">
        <v>1567</v>
      </c>
      <c r="L373" s="1135" t="s">
        <v>1571</v>
      </c>
      <c r="M373" s="1033">
        <v>0.1</v>
      </c>
      <c r="N373" s="1135" t="s">
        <v>1569</v>
      </c>
      <c r="O373" s="1135">
        <v>2.35</v>
      </c>
      <c r="P373" s="1135">
        <v>2.33</v>
      </c>
      <c r="Q373" s="1135">
        <v>2.9999999999999997E-4</v>
      </c>
      <c r="R373" s="1135">
        <v>0</v>
      </c>
      <c r="S373" s="1135">
        <v>1.7299999999999999E-2</v>
      </c>
      <c r="T373" s="1978">
        <v>0</v>
      </c>
      <c r="U373" s="2041">
        <v>0</v>
      </c>
    </row>
    <row r="374" spans="2:21" hidden="1" outlineLevel="1">
      <c r="B374" s="1045"/>
      <c r="C374" s="1045"/>
      <c r="D374" s="1051">
        <f t="shared" si="29"/>
        <v>26</v>
      </c>
      <c r="E374" s="1051" t="str">
        <f>IF(COUNTIF(E$284:E373,F374)&gt;0,"",F374)</f>
        <v/>
      </c>
      <c r="F374" s="1051" t="str">
        <f t="shared" si="30"/>
        <v>Avion passagers, 20-50 sièges, 1000 - 3500 km, sans trainées, France continentale, Base Carbone</v>
      </c>
      <c r="G374" s="1055" t="str">
        <f t="shared" si="31"/>
        <v>Avion passagers, 20-50 sièges, 1000 - 3500 km, sans trainées, France continentale, Base Carbone; kgCO2e/tonne.km, Amont</v>
      </c>
      <c r="I374" s="1034" t="s">
        <v>4784</v>
      </c>
      <c r="J374" s="1135" t="s">
        <v>2324</v>
      </c>
      <c r="K374" s="1119" t="s">
        <v>1567</v>
      </c>
      <c r="L374" s="1135" t="s">
        <v>1571</v>
      </c>
      <c r="M374" s="1033">
        <v>0.1</v>
      </c>
      <c r="N374" s="1135" t="s">
        <v>1570</v>
      </c>
      <c r="O374" s="1135">
        <v>0.48699999999999999</v>
      </c>
      <c r="P374" s="1135">
        <v>0.443</v>
      </c>
      <c r="Q374" s="1135">
        <v>2.2100000000000002E-2</v>
      </c>
      <c r="R374" s="1135">
        <v>0</v>
      </c>
      <c r="S374" s="1135">
        <v>2.2200000000000001E-2</v>
      </c>
      <c r="T374" s="1978">
        <v>0</v>
      </c>
      <c r="U374" s="2041">
        <v>0</v>
      </c>
    </row>
    <row r="375" spans="2:21" hidden="1" outlineLevel="1">
      <c r="B375" s="1045"/>
      <c r="C375" s="1045"/>
      <c r="D375" s="1051">
        <f t="shared" si="29"/>
        <v>26</v>
      </c>
      <c r="E375" s="1051" t="str">
        <f>IF(COUNTIF(E$284:E374,F375)&gt;0,"",F375)</f>
        <v/>
      </c>
      <c r="F375" s="1051" t="str">
        <f t="shared" si="30"/>
        <v>Avion passagers, 20-50 sièges, 1000 - 3500 km, sans trainées, France continentale, Base Carbone</v>
      </c>
      <c r="G375" s="1055" t="str">
        <f t="shared" si="31"/>
        <v>Avion passagers, 20-50 sièges, 1000 - 3500 km, sans trainées, France continentale, Base Carbone; kgCO2e/tonne.km, Fabrication</v>
      </c>
      <c r="I375" s="1034" t="s">
        <v>4784</v>
      </c>
      <c r="J375" s="1135" t="s">
        <v>2324</v>
      </c>
      <c r="K375" s="1119" t="s">
        <v>1567</v>
      </c>
      <c r="L375" s="1135" t="s">
        <v>1571</v>
      </c>
      <c r="M375" s="1033">
        <v>0.1</v>
      </c>
      <c r="N375" s="1135" t="s">
        <v>332</v>
      </c>
      <c r="O375" s="1135">
        <v>4.9300000000000004E-3</v>
      </c>
      <c r="P375" s="1135">
        <v>4.9300000000000004E-3</v>
      </c>
      <c r="Q375" s="1135">
        <v>0</v>
      </c>
      <c r="R375" s="1135">
        <v>0</v>
      </c>
      <c r="S375" s="1135">
        <v>0</v>
      </c>
      <c r="T375" s="1978">
        <v>0</v>
      </c>
      <c r="U375" s="2041">
        <v>0</v>
      </c>
    </row>
    <row r="376" spans="2:21" hidden="1" outlineLevel="1">
      <c r="B376" s="1045"/>
      <c r="C376" s="1045"/>
      <c r="D376" s="1051">
        <f t="shared" si="29"/>
        <v>27</v>
      </c>
      <c r="E376" s="1051" t="str">
        <f>IF(COUNTIF(E$284:E375,F376)&gt;0,"",F376)</f>
        <v>Avion passagers, 20-50 sièges, 500 - 1000 km, avec trainées, France continentale, Base Carbone</v>
      </c>
      <c r="F376" s="1051" t="str">
        <f t="shared" si="30"/>
        <v>Avion passagers, 20-50 sièges, 500 - 1000 km, avec trainées, France continentale, Base Carbone</v>
      </c>
      <c r="G376" s="1055" t="str">
        <f t="shared" si="31"/>
        <v>Avion passagers, 20-50 sièges, 500 - 1000 km, avec trainées, France continentale, Base Carbone; kgCO2e/tonne.km, Combustion</v>
      </c>
      <c r="I376" s="1034" t="s">
        <v>4785</v>
      </c>
      <c r="J376" s="1135" t="s">
        <v>2324</v>
      </c>
      <c r="K376" s="1119" t="s">
        <v>1567</v>
      </c>
      <c r="L376" s="1135" t="s">
        <v>1571</v>
      </c>
      <c r="M376" s="1033">
        <v>0.7</v>
      </c>
      <c r="N376" s="1135" t="s">
        <v>1569</v>
      </c>
      <c r="O376" s="1135">
        <v>1.85</v>
      </c>
      <c r="P376" s="1135">
        <v>1.84</v>
      </c>
      <c r="Q376" s="1135">
        <v>6.9899999999999997E-4</v>
      </c>
      <c r="R376" s="1135">
        <v>0</v>
      </c>
      <c r="S376" s="1135">
        <v>1.3599999999999999E-2</v>
      </c>
      <c r="T376" s="1978">
        <v>0</v>
      </c>
      <c r="U376" s="2041">
        <v>0</v>
      </c>
    </row>
    <row r="377" spans="2:21" hidden="1" outlineLevel="1">
      <c r="B377" s="1045"/>
      <c r="C377" s="1045"/>
      <c r="D377" s="1051">
        <f t="shared" si="29"/>
        <v>27</v>
      </c>
      <c r="E377" s="1051" t="str">
        <f>IF(COUNTIF(E$284:E376,F377)&gt;0,"",F377)</f>
        <v/>
      </c>
      <c r="F377" s="1051" t="str">
        <f t="shared" si="30"/>
        <v>Avion passagers, 20-50 sièges, 500 - 1000 km, avec trainées, France continentale, Base Carbone</v>
      </c>
      <c r="G377" s="1055" t="str">
        <f t="shared" si="31"/>
        <v>Avion passagers, 20-50 sièges, 500 - 1000 km, avec trainées, France continentale, Base Carbone; kgCO2e/tonne.km, Emissions fugitives</v>
      </c>
      <c r="I377" s="1034" t="s">
        <v>4785</v>
      </c>
      <c r="J377" s="1135" t="s">
        <v>2324</v>
      </c>
      <c r="K377" s="1119" t="s">
        <v>1567</v>
      </c>
      <c r="L377" s="1135" t="s">
        <v>1571</v>
      </c>
      <c r="M377" s="1033">
        <v>0.7</v>
      </c>
      <c r="N377" s="1135" t="s">
        <v>1764</v>
      </c>
      <c r="O377" s="1135">
        <v>1.85</v>
      </c>
      <c r="P377" s="1135">
        <v>0</v>
      </c>
      <c r="Q377" s="1135">
        <v>0</v>
      </c>
      <c r="R377" s="1135">
        <v>0</v>
      </c>
      <c r="S377" s="1135">
        <v>0</v>
      </c>
      <c r="T377" s="1978">
        <v>1.85</v>
      </c>
      <c r="U377" s="2041">
        <v>0</v>
      </c>
    </row>
    <row r="378" spans="2:21" hidden="1" outlineLevel="1">
      <c r="B378" s="1045"/>
      <c r="C378" s="1045"/>
      <c r="D378" s="1051">
        <f t="shared" si="29"/>
        <v>27</v>
      </c>
      <c r="E378" s="1051" t="str">
        <f>IF(COUNTIF(E$284:E377,F378)&gt;0,"",F378)</f>
        <v/>
      </c>
      <c r="F378" s="1051" t="str">
        <f t="shared" si="30"/>
        <v>Avion passagers, 20-50 sièges, 500 - 1000 km, avec trainées, France continentale, Base Carbone</v>
      </c>
      <c r="G378" s="1055" t="str">
        <f t="shared" si="31"/>
        <v>Avion passagers, 20-50 sièges, 500 - 1000 km, avec trainées, France continentale, Base Carbone; kgCO2e/tonne.km, Amont</v>
      </c>
      <c r="I378" s="1034" t="s">
        <v>4785</v>
      </c>
      <c r="J378" s="1135" t="s">
        <v>2324</v>
      </c>
      <c r="K378" s="1119" t="s">
        <v>1567</v>
      </c>
      <c r="L378" s="1135" t="s">
        <v>1571</v>
      </c>
      <c r="M378" s="1033">
        <v>0.7</v>
      </c>
      <c r="N378" s="1135" t="s">
        <v>1570</v>
      </c>
      <c r="O378" s="1135">
        <v>0.38400000000000001</v>
      </c>
      <c r="P378" s="1135">
        <v>0.34899999999999998</v>
      </c>
      <c r="Q378" s="1135">
        <v>1.7399999999999999E-2</v>
      </c>
      <c r="R378" s="1135">
        <v>0</v>
      </c>
      <c r="S378" s="1135">
        <v>1.7399999999999999E-2</v>
      </c>
      <c r="T378" s="1978">
        <v>0</v>
      </c>
      <c r="U378" s="2041">
        <v>0</v>
      </c>
    </row>
    <row r="379" spans="2:21" hidden="1" outlineLevel="1">
      <c r="B379" s="1045"/>
      <c r="C379" s="1045"/>
      <c r="D379" s="1051">
        <f t="shared" si="29"/>
        <v>27</v>
      </c>
      <c r="E379" s="1051" t="str">
        <f>IF(COUNTIF(E$284:E378,F379)&gt;0,"",F379)</f>
        <v/>
      </c>
      <c r="F379" s="1051" t="str">
        <f t="shared" si="30"/>
        <v>Avion passagers, 20-50 sièges, 500 - 1000 km, avec trainées, France continentale, Base Carbone</v>
      </c>
      <c r="G379" s="1055" t="str">
        <f t="shared" si="31"/>
        <v>Avion passagers, 20-50 sièges, 500 - 1000 km, avec trainées, France continentale, Base Carbone; kgCO2e/tonne.km, Fabrication</v>
      </c>
      <c r="I379" s="1034" t="s">
        <v>4785</v>
      </c>
      <c r="J379" s="1135" t="s">
        <v>2324</v>
      </c>
      <c r="K379" s="1119" t="s">
        <v>1567</v>
      </c>
      <c r="L379" s="1135" t="s">
        <v>1571</v>
      </c>
      <c r="M379" s="1033">
        <v>0.7</v>
      </c>
      <c r="N379" s="1135" t="s">
        <v>332</v>
      </c>
      <c r="O379" s="1135">
        <v>4.7499999999999999E-3</v>
      </c>
      <c r="P379" s="1135">
        <v>4.7499999999999999E-3</v>
      </c>
      <c r="Q379" s="1135">
        <v>0</v>
      </c>
      <c r="R379" s="1135">
        <v>0</v>
      </c>
      <c r="S379" s="1135">
        <v>0</v>
      </c>
      <c r="T379" s="1978">
        <v>0</v>
      </c>
      <c r="U379" s="2041">
        <v>0</v>
      </c>
    </row>
    <row r="380" spans="2:21" hidden="1" outlineLevel="1">
      <c r="B380" s="1045"/>
      <c r="C380" s="1045"/>
      <c r="D380" s="1051">
        <f t="shared" si="29"/>
        <v>28</v>
      </c>
      <c r="E380" s="1051" t="str">
        <f>IF(COUNTIF(E$284:E379,F380)&gt;0,"",F380)</f>
        <v>Avion passagers, 20-50 sièges, 500 - 1000 km, sans trainées, France continentale, Base Carbone</v>
      </c>
      <c r="F380" s="1051" t="str">
        <f t="shared" si="30"/>
        <v>Avion passagers, 20-50 sièges, 500 - 1000 km, sans trainées, France continentale, Base Carbone</v>
      </c>
      <c r="G380" s="1055" t="str">
        <f t="shared" si="31"/>
        <v>Avion passagers, 20-50 sièges, 500 - 1000 km, sans trainées, France continentale, Base Carbone; kgCO2e/tonne.km, Combustion</v>
      </c>
      <c r="I380" s="1034" t="s">
        <v>4786</v>
      </c>
      <c r="J380" s="1135" t="s">
        <v>2324</v>
      </c>
      <c r="K380" s="1119" t="s">
        <v>1567</v>
      </c>
      <c r="L380" s="1135" t="s">
        <v>1571</v>
      </c>
      <c r="M380" s="1033">
        <v>0.1</v>
      </c>
      <c r="N380" s="1135" t="s">
        <v>1569</v>
      </c>
      <c r="O380" s="1135">
        <v>1.85</v>
      </c>
      <c r="P380" s="1135">
        <v>1.84</v>
      </c>
      <c r="Q380" s="1135">
        <v>6.9899999999999997E-4</v>
      </c>
      <c r="R380" s="1135">
        <v>0</v>
      </c>
      <c r="S380" s="1135">
        <v>1.3599999999999999E-2</v>
      </c>
      <c r="T380" s="1978">
        <v>0</v>
      </c>
      <c r="U380" s="2041">
        <v>0</v>
      </c>
    </row>
    <row r="381" spans="2:21" hidden="1" outlineLevel="1">
      <c r="B381" s="1045"/>
      <c r="C381" s="1045"/>
      <c r="D381" s="1051">
        <f t="shared" si="29"/>
        <v>28</v>
      </c>
      <c r="E381" s="1051" t="str">
        <f>IF(COUNTIF(E$284:E380,F381)&gt;0,"",F381)</f>
        <v/>
      </c>
      <c r="F381" s="1051" t="str">
        <f t="shared" si="30"/>
        <v>Avion passagers, 20-50 sièges, 500 - 1000 km, sans trainées, France continentale, Base Carbone</v>
      </c>
      <c r="G381" s="1055" t="str">
        <f t="shared" si="31"/>
        <v>Avion passagers, 20-50 sièges, 500 - 1000 km, sans trainées, France continentale, Base Carbone; kgCO2e/tonne.km, Amont</v>
      </c>
      <c r="I381" s="1034" t="s">
        <v>4786</v>
      </c>
      <c r="J381" s="1135" t="s">
        <v>2324</v>
      </c>
      <c r="K381" s="1119" t="s">
        <v>1567</v>
      </c>
      <c r="L381" s="1135" t="s">
        <v>1571</v>
      </c>
      <c r="M381" s="1033">
        <v>0.1</v>
      </c>
      <c r="N381" s="1135" t="s">
        <v>1570</v>
      </c>
      <c r="O381" s="1135">
        <v>0.38400000000000001</v>
      </c>
      <c r="P381" s="1135">
        <v>0.34899999999999998</v>
      </c>
      <c r="Q381" s="1135">
        <v>1.7399999999999999E-2</v>
      </c>
      <c r="R381" s="1135">
        <v>0</v>
      </c>
      <c r="S381" s="1135">
        <v>1.7399999999999999E-2</v>
      </c>
      <c r="T381" s="1978">
        <v>0</v>
      </c>
      <c r="U381" s="2041">
        <v>0</v>
      </c>
    </row>
    <row r="382" spans="2:21" hidden="1" outlineLevel="1">
      <c r="B382" s="1045"/>
      <c r="C382" s="1045"/>
      <c r="D382" s="1051">
        <f t="shared" si="29"/>
        <v>28</v>
      </c>
      <c r="E382" s="1051" t="str">
        <f>IF(COUNTIF(E$284:E381,F382)&gt;0,"",F382)</f>
        <v/>
      </c>
      <c r="F382" s="1051" t="str">
        <f t="shared" si="30"/>
        <v>Avion passagers, 20-50 sièges, 500 - 1000 km, sans trainées, France continentale, Base Carbone</v>
      </c>
      <c r="G382" s="1055" t="str">
        <f t="shared" si="31"/>
        <v>Avion passagers, 20-50 sièges, 500 - 1000 km, sans trainées, France continentale, Base Carbone; kgCO2e/tonne.km, Fabrication</v>
      </c>
      <c r="I382" s="1034" t="s">
        <v>4786</v>
      </c>
      <c r="J382" s="1135" t="s">
        <v>2324</v>
      </c>
      <c r="K382" s="1119" t="s">
        <v>1567</v>
      </c>
      <c r="L382" s="1135" t="s">
        <v>1571</v>
      </c>
      <c r="M382" s="1033">
        <v>0.1</v>
      </c>
      <c r="N382" s="1135" t="s">
        <v>332</v>
      </c>
      <c r="O382" s="1135">
        <v>4.7499999999999999E-3</v>
      </c>
      <c r="P382" s="1135">
        <v>4.7499999999999999E-3</v>
      </c>
      <c r="Q382" s="1135">
        <v>0</v>
      </c>
      <c r="R382" s="1135">
        <v>0</v>
      </c>
      <c r="S382" s="1135">
        <v>0</v>
      </c>
      <c r="T382" s="1978">
        <v>0</v>
      </c>
      <c r="U382" s="2041">
        <v>0</v>
      </c>
    </row>
    <row r="383" spans="2:21" hidden="1" outlineLevel="1">
      <c r="B383" s="1045"/>
      <c r="C383" s="1045"/>
      <c r="D383" s="1051">
        <f t="shared" si="29"/>
        <v>29</v>
      </c>
      <c r="E383" s="1051" t="str">
        <f>IF(COUNTIF(E$284:E382,F383)&gt;0,"",F383)</f>
        <v>Avion passagers, 20-50 sièges, &lt; 500 km jet, avec trainées, France continentale, Base Carbone</v>
      </c>
      <c r="F383" s="1051" t="str">
        <f t="shared" si="30"/>
        <v>Avion passagers, 20-50 sièges, &lt; 500 km jet, avec trainées, France continentale, Base Carbone</v>
      </c>
      <c r="G383" s="1055" t="str">
        <f t="shared" si="31"/>
        <v>Avion passagers, 20-50 sièges, &lt; 500 km jet, avec trainées, France continentale, Base Carbone; kgCO2e/tonne.km, Combustion</v>
      </c>
      <c r="I383" s="1034" t="s">
        <v>4787</v>
      </c>
      <c r="J383" s="1135" t="s">
        <v>2324</v>
      </c>
      <c r="K383" s="1119" t="s">
        <v>1567</v>
      </c>
      <c r="L383" s="1135" t="s">
        <v>1571</v>
      </c>
      <c r="M383" s="1033">
        <v>0.7</v>
      </c>
      <c r="N383" s="1135" t="s">
        <v>1569</v>
      </c>
      <c r="O383" s="1135">
        <v>2.39</v>
      </c>
      <c r="P383" s="1135">
        <v>2.37</v>
      </c>
      <c r="Q383" s="1135">
        <v>6.9899999999999997E-4</v>
      </c>
      <c r="R383" s="1135">
        <v>0</v>
      </c>
      <c r="S383" s="1135">
        <v>1.7500000000000002E-2</v>
      </c>
      <c r="T383" s="1978">
        <v>0</v>
      </c>
      <c r="U383" s="2041">
        <v>0</v>
      </c>
    </row>
    <row r="384" spans="2:21" hidden="1" outlineLevel="1">
      <c r="B384" s="1045"/>
      <c r="C384" s="1045"/>
      <c r="D384" s="1051">
        <f t="shared" si="29"/>
        <v>29</v>
      </c>
      <c r="E384" s="1051" t="str">
        <f>IF(COUNTIF(E$284:E383,F384)&gt;0,"",F384)</f>
        <v/>
      </c>
      <c r="F384" s="1051" t="str">
        <f t="shared" si="30"/>
        <v>Avion passagers, 20-50 sièges, &lt; 500 km jet, avec trainées, France continentale, Base Carbone</v>
      </c>
      <c r="G384" s="1055" t="str">
        <f t="shared" si="31"/>
        <v>Avion passagers, 20-50 sièges, &lt; 500 km jet, avec trainées, France continentale, Base Carbone; kgCO2e/tonne.km, Emissions fugitives</v>
      </c>
      <c r="I384" s="1034" t="s">
        <v>4787</v>
      </c>
      <c r="J384" s="1135" t="s">
        <v>2324</v>
      </c>
      <c r="K384" s="1119" t="s">
        <v>1567</v>
      </c>
      <c r="L384" s="1135" t="s">
        <v>1571</v>
      </c>
      <c r="M384" s="1033">
        <v>0.7</v>
      </c>
      <c r="N384" s="1135" t="s">
        <v>1764</v>
      </c>
      <c r="O384" s="1135">
        <v>2.38</v>
      </c>
      <c r="P384" s="1135">
        <v>0</v>
      </c>
      <c r="Q384" s="1135">
        <v>0</v>
      </c>
      <c r="R384" s="1135">
        <v>0</v>
      </c>
      <c r="S384" s="1135">
        <v>0</v>
      </c>
      <c r="T384" s="1978">
        <v>2.38</v>
      </c>
      <c r="U384" s="2041">
        <v>0</v>
      </c>
    </row>
    <row r="385" spans="2:21" hidden="1" outlineLevel="1">
      <c r="B385" s="1045"/>
      <c r="C385" s="1045"/>
      <c r="D385" s="1051">
        <f t="shared" si="29"/>
        <v>29</v>
      </c>
      <c r="E385" s="1051" t="str">
        <f>IF(COUNTIF(E$284:E384,F385)&gt;0,"",F385)</f>
        <v/>
      </c>
      <c r="F385" s="1051" t="str">
        <f t="shared" si="30"/>
        <v>Avion passagers, 20-50 sièges, &lt; 500 km jet, avec trainées, France continentale, Base Carbone</v>
      </c>
      <c r="G385" s="1055" t="str">
        <f t="shared" si="31"/>
        <v>Avion passagers, 20-50 sièges, &lt; 500 km jet, avec trainées, France continentale, Base Carbone; kgCO2e/tonne.km, Amont</v>
      </c>
      <c r="I385" s="1034" t="s">
        <v>4787</v>
      </c>
      <c r="J385" s="1135" t="s">
        <v>2324</v>
      </c>
      <c r="K385" s="1119" t="s">
        <v>1567</v>
      </c>
      <c r="L385" s="1135" t="s">
        <v>1571</v>
      </c>
      <c r="M385" s="1033">
        <v>0.7</v>
      </c>
      <c r="N385" s="1135" t="s">
        <v>1570</v>
      </c>
      <c r="O385" s="1135">
        <v>0.495</v>
      </c>
      <c r="P385" s="1135">
        <v>0.45</v>
      </c>
      <c r="Q385" s="1135">
        <v>2.2499999999999999E-2</v>
      </c>
      <c r="R385" s="1135">
        <v>0</v>
      </c>
      <c r="S385" s="1135">
        <v>2.2499999999999999E-2</v>
      </c>
      <c r="T385" s="1978">
        <v>0</v>
      </c>
      <c r="U385" s="2041">
        <v>0</v>
      </c>
    </row>
    <row r="386" spans="2:21" hidden="1" outlineLevel="1">
      <c r="B386" s="1045"/>
      <c r="C386" s="1045"/>
      <c r="D386" s="1051">
        <f t="shared" si="29"/>
        <v>29</v>
      </c>
      <c r="E386" s="1051" t="str">
        <f>IF(COUNTIF(E$284:E385,F386)&gt;0,"",F386)</f>
        <v/>
      </c>
      <c r="F386" s="1051" t="str">
        <f t="shared" si="30"/>
        <v>Avion passagers, 20-50 sièges, &lt; 500 km jet, avec trainées, France continentale, Base Carbone</v>
      </c>
      <c r="G386" s="1055" t="str">
        <f t="shared" si="31"/>
        <v>Avion passagers, 20-50 sièges, &lt; 500 km jet, avec trainées, France continentale, Base Carbone; kgCO2e/tonne.km, Fabrication</v>
      </c>
      <c r="I386" s="1034" t="s">
        <v>4787</v>
      </c>
      <c r="J386" s="1135" t="s">
        <v>2324</v>
      </c>
      <c r="K386" s="1119" t="s">
        <v>1567</v>
      </c>
      <c r="L386" s="1135" t="s">
        <v>1571</v>
      </c>
      <c r="M386" s="1033">
        <v>0.7</v>
      </c>
      <c r="N386" s="1135" t="s">
        <v>332</v>
      </c>
      <c r="O386" s="1135">
        <v>4.7499999999999999E-3</v>
      </c>
      <c r="P386" s="1135">
        <v>4.7499999999999999E-3</v>
      </c>
      <c r="Q386" s="1135">
        <v>0</v>
      </c>
      <c r="R386" s="1135">
        <v>0</v>
      </c>
      <c r="S386" s="1135">
        <v>0</v>
      </c>
      <c r="T386" s="1978">
        <v>0</v>
      </c>
      <c r="U386" s="2041">
        <v>0</v>
      </c>
    </row>
    <row r="387" spans="2:21" hidden="1" outlineLevel="1">
      <c r="B387" s="1045"/>
      <c r="C387" s="1045"/>
      <c r="D387" s="1051">
        <f t="shared" si="29"/>
        <v>30</v>
      </c>
      <c r="E387" s="1051" t="str">
        <f>IF(COUNTIF(E$284:E386,F387)&gt;0,"",F387)</f>
        <v>Avion passagers, 20-50 sièges, &lt; 500 km jet, sans trainées, France continentale, Base Carbone</v>
      </c>
      <c r="F387" s="1051" t="str">
        <f t="shared" si="30"/>
        <v>Avion passagers, 20-50 sièges, &lt; 500 km jet, sans trainées, France continentale, Base Carbone</v>
      </c>
      <c r="G387" s="1055" t="str">
        <f t="shared" si="31"/>
        <v>Avion passagers, 20-50 sièges, &lt; 500 km jet, sans trainées, France continentale, Base Carbone; kgCO2e/tonne.km, Combustion</v>
      </c>
      <c r="I387" s="1034" t="s">
        <v>4788</v>
      </c>
      <c r="J387" s="1135" t="s">
        <v>2324</v>
      </c>
      <c r="K387" s="1119" t="s">
        <v>1567</v>
      </c>
      <c r="L387" s="1135" t="s">
        <v>1571</v>
      </c>
      <c r="M387" s="1033">
        <v>0.1</v>
      </c>
      <c r="N387" s="1135" t="s">
        <v>1569</v>
      </c>
      <c r="O387" s="1135">
        <v>2.39</v>
      </c>
      <c r="P387" s="1135">
        <v>2.37</v>
      </c>
      <c r="Q387" s="1135">
        <v>6.9899999999999997E-4</v>
      </c>
      <c r="R387" s="1135">
        <v>0</v>
      </c>
      <c r="S387" s="1135">
        <v>1.7500000000000002E-2</v>
      </c>
      <c r="T387" s="1978">
        <v>0</v>
      </c>
      <c r="U387" s="2041">
        <v>0</v>
      </c>
    </row>
    <row r="388" spans="2:21" hidden="1" outlineLevel="1">
      <c r="B388" s="1045"/>
      <c r="C388" s="1045"/>
      <c r="D388" s="1051">
        <f t="shared" si="29"/>
        <v>30</v>
      </c>
      <c r="E388" s="1051" t="str">
        <f>IF(COUNTIF(E$284:E387,F388)&gt;0,"",F388)</f>
        <v/>
      </c>
      <c r="F388" s="1051" t="str">
        <f t="shared" si="30"/>
        <v>Avion passagers, 20-50 sièges, &lt; 500 km jet, sans trainées, France continentale, Base Carbone</v>
      </c>
      <c r="G388" s="1055" t="str">
        <f t="shared" si="31"/>
        <v>Avion passagers, 20-50 sièges, &lt; 500 km jet, sans trainées, France continentale, Base Carbone; kgCO2e/tonne.km, Amont</v>
      </c>
      <c r="I388" s="1034" t="s">
        <v>4788</v>
      </c>
      <c r="J388" s="1135" t="s">
        <v>2324</v>
      </c>
      <c r="K388" s="1119" t="s">
        <v>1567</v>
      </c>
      <c r="L388" s="1135" t="s">
        <v>1571</v>
      </c>
      <c r="M388" s="1033">
        <v>0.1</v>
      </c>
      <c r="N388" s="1135" t="s">
        <v>1570</v>
      </c>
      <c r="O388" s="1135">
        <v>0.495</v>
      </c>
      <c r="P388" s="1135">
        <v>0.45</v>
      </c>
      <c r="Q388" s="1135">
        <v>2.2499999999999999E-2</v>
      </c>
      <c r="R388" s="1135">
        <v>0</v>
      </c>
      <c r="S388" s="1135">
        <v>2.2499999999999999E-2</v>
      </c>
      <c r="T388" s="1978">
        <v>0</v>
      </c>
      <c r="U388" s="2041">
        <v>0</v>
      </c>
    </row>
    <row r="389" spans="2:21" hidden="1" outlineLevel="1">
      <c r="B389" s="1045"/>
      <c r="C389" s="1045"/>
      <c r="D389" s="1051">
        <f t="shared" si="29"/>
        <v>30</v>
      </c>
      <c r="E389" s="1051" t="str">
        <f>IF(COUNTIF(E$284:E388,F389)&gt;0,"",F389)</f>
        <v/>
      </c>
      <c r="F389" s="1051" t="str">
        <f t="shared" si="30"/>
        <v>Avion passagers, 20-50 sièges, &lt; 500 km jet, sans trainées, France continentale, Base Carbone</v>
      </c>
      <c r="G389" s="1055" t="str">
        <f t="shared" si="31"/>
        <v>Avion passagers, 20-50 sièges, &lt; 500 km jet, sans trainées, France continentale, Base Carbone; kgCO2e/tonne.km, Fabrication</v>
      </c>
      <c r="I389" s="1034" t="s">
        <v>4788</v>
      </c>
      <c r="J389" s="1135" t="s">
        <v>2324</v>
      </c>
      <c r="K389" s="1119" t="s">
        <v>1567</v>
      </c>
      <c r="L389" s="1135" t="s">
        <v>1571</v>
      </c>
      <c r="M389" s="1033">
        <v>0.1</v>
      </c>
      <c r="N389" s="1135" t="s">
        <v>332</v>
      </c>
      <c r="O389" s="1135">
        <v>4.7499999999999999E-3</v>
      </c>
      <c r="P389" s="1135">
        <v>4.7499999999999999E-3</v>
      </c>
      <c r="Q389" s="1135">
        <v>0</v>
      </c>
      <c r="R389" s="1135">
        <v>0</v>
      </c>
      <c r="S389" s="1135">
        <v>0</v>
      </c>
      <c r="T389" s="1978">
        <v>0</v>
      </c>
      <c r="U389" s="2041">
        <v>0</v>
      </c>
    </row>
    <row r="390" spans="2:21" hidden="1" outlineLevel="1">
      <c r="B390" s="1045"/>
      <c r="C390" s="1045"/>
      <c r="D390" s="1051">
        <f t="shared" si="29"/>
        <v>31</v>
      </c>
      <c r="E390" s="1051" t="str">
        <f>IF(COUNTIF(E$284:E389,F390)&gt;0,"",F390)</f>
        <v>Avion passagers, 20-50 sièges, &lt; 500 km turboprop, avec trainées, France continentale, Base Carbone</v>
      </c>
      <c r="F390" s="1051" t="str">
        <f t="shared" si="30"/>
        <v>Avion passagers, 20-50 sièges, &lt; 500 km turboprop, avec trainées, France continentale, Base Carbone</v>
      </c>
      <c r="G390" s="1055" t="str">
        <f t="shared" si="31"/>
        <v>Avion passagers, 20-50 sièges, &lt; 500 km turboprop, avec trainées, France continentale, Base Carbone; kgCO2e/tonne.km, Combustion</v>
      </c>
      <c r="I390" s="1034" t="s">
        <v>4789</v>
      </c>
      <c r="J390" s="1135" t="s">
        <v>2324</v>
      </c>
      <c r="K390" s="1119" t="s">
        <v>1567</v>
      </c>
      <c r="L390" s="1135" t="s">
        <v>1571</v>
      </c>
      <c r="M390" s="1033">
        <v>0.7</v>
      </c>
      <c r="N390" s="1135" t="s">
        <v>1569</v>
      </c>
      <c r="O390" s="1135">
        <v>1.65</v>
      </c>
      <c r="P390" s="1135">
        <v>1.64</v>
      </c>
      <c r="Q390" s="1135">
        <v>2.7000000000000001E-3</v>
      </c>
      <c r="R390" s="1135">
        <v>0</v>
      </c>
      <c r="S390" s="1135">
        <v>1.2200000000000001E-2</v>
      </c>
      <c r="T390" s="1978">
        <v>0</v>
      </c>
      <c r="U390" s="2041">
        <v>0</v>
      </c>
    </row>
    <row r="391" spans="2:21" hidden="1" outlineLevel="1">
      <c r="B391" s="1045"/>
      <c r="C391" s="1045"/>
      <c r="D391" s="1051">
        <f t="shared" si="29"/>
        <v>31</v>
      </c>
      <c r="E391" s="1051" t="str">
        <f>IF(COUNTIF(E$284:E390,F391)&gt;0,"",F391)</f>
        <v/>
      </c>
      <c r="F391" s="1051" t="str">
        <f t="shared" si="30"/>
        <v>Avion passagers, 20-50 sièges, &lt; 500 km turboprop, avec trainées, France continentale, Base Carbone</v>
      </c>
      <c r="G391" s="1055" t="str">
        <f t="shared" si="31"/>
        <v>Avion passagers, 20-50 sièges, &lt; 500 km turboprop, avec trainées, France continentale, Base Carbone; kgCO2e/tonne.km, Emissions fugitives</v>
      </c>
      <c r="I391" s="1034" t="s">
        <v>4789</v>
      </c>
      <c r="J391" s="1135" t="s">
        <v>2324</v>
      </c>
      <c r="K391" s="1119" t="s">
        <v>1567</v>
      </c>
      <c r="L391" s="1135" t="s">
        <v>1571</v>
      </c>
      <c r="M391" s="1033">
        <v>0.7</v>
      </c>
      <c r="N391" s="1135" t="s">
        <v>1764</v>
      </c>
      <c r="O391" s="1135">
        <v>1.66</v>
      </c>
      <c r="P391" s="1135">
        <v>0</v>
      </c>
      <c r="Q391" s="1135">
        <v>0</v>
      </c>
      <c r="R391" s="1135">
        <v>0</v>
      </c>
      <c r="S391" s="1135">
        <v>0</v>
      </c>
      <c r="T391" s="1978">
        <v>1.66</v>
      </c>
      <c r="U391" s="2041">
        <v>0</v>
      </c>
    </row>
    <row r="392" spans="2:21" hidden="1" outlineLevel="1">
      <c r="B392" s="1045"/>
      <c r="C392" s="1045"/>
      <c r="D392" s="1051">
        <f t="shared" si="29"/>
        <v>31</v>
      </c>
      <c r="E392" s="1051" t="str">
        <f>IF(COUNTIF(E$284:E391,F392)&gt;0,"",F392)</f>
        <v/>
      </c>
      <c r="F392" s="1051" t="str">
        <f t="shared" si="30"/>
        <v>Avion passagers, 20-50 sièges, &lt; 500 km turboprop, avec trainées, France continentale, Base Carbone</v>
      </c>
      <c r="G392" s="1055" t="str">
        <f t="shared" si="31"/>
        <v>Avion passagers, 20-50 sièges, &lt; 500 km turboprop, avec trainées, France continentale, Base Carbone; kgCO2e/tonne.km, Amont</v>
      </c>
      <c r="I392" s="1034" t="s">
        <v>4789</v>
      </c>
      <c r="J392" s="1135" t="s">
        <v>2324</v>
      </c>
      <c r="K392" s="1119" t="s">
        <v>1567</v>
      </c>
      <c r="L392" s="1135" t="s">
        <v>1571</v>
      </c>
      <c r="M392" s="1033">
        <v>0.7</v>
      </c>
      <c r="N392" s="1135" t="s">
        <v>1570</v>
      </c>
      <c r="O392" s="1135">
        <v>0.34300000000000003</v>
      </c>
      <c r="P392" s="1135">
        <v>0.312</v>
      </c>
      <c r="Q392" s="1135">
        <v>1.5599999999999999E-2</v>
      </c>
      <c r="R392" s="1135">
        <v>0</v>
      </c>
      <c r="S392" s="1135">
        <v>1.5599999999999999E-2</v>
      </c>
      <c r="T392" s="1978">
        <v>0</v>
      </c>
      <c r="U392" s="2041">
        <v>0</v>
      </c>
    </row>
    <row r="393" spans="2:21" hidden="1" outlineLevel="1">
      <c r="B393" s="1045"/>
      <c r="C393" s="1045"/>
      <c r="D393" s="1051">
        <f t="shared" si="29"/>
        <v>31</v>
      </c>
      <c r="E393" s="1051" t="str">
        <f>IF(COUNTIF(E$284:E392,F393)&gt;0,"",F393)</f>
        <v/>
      </c>
      <c r="F393" s="1051" t="str">
        <f t="shared" si="30"/>
        <v>Avion passagers, 20-50 sièges, &lt; 500 km turboprop, avec trainées, France continentale, Base Carbone</v>
      </c>
      <c r="G393" s="1055" t="str">
        <f t="shared" si="31"/>
        <v>Avion passagers, 20-50 sièges, &lt; 500 km turboprop, avec trainées, France continentale, Base Carbone; kgCO2e/tonne.km, Fabrication</v>
      </c>
      <c r="I393" s="1034" t="s">
        <v>4789</v>
      </c>
      <c r="J393" s="1135" t="s">
        <v>2324</v>
      </c>
      <c r="K393" s="1119" t="s">
        <v>1567</v>
      </c>
      <c r="L393" s="1135" t="s">
        <v>1571</v>
      </c>
      <c r="M393" s="1033">
        <v>0.7</v>
      </c>
      <c r="N393" s="1135" t="s">
        <v>332</v>
      </c>
      <c r="O393" s="1135">
        <v>4.7499999999999999E-3</v>
      </c>
      <c r="P393" s="1135">
        <v>4.7499999999999999E-3</v>
      </c>
      <c r="Q393" s="1135">
        <v>0</v>
      </c>
      <c r="R393" s="1135">
        <v>0</v>
      </c>
      <c r="S393" s="1135">
        <v>0</v>
      </c>
      <c r="T393" s="1978">
        <v>0</v>
      </c>
      <c r="U393" s="2041">
        <v>0</v>
      </c>
    </row>
    <row r="394" spans="2:21" hidden="1" outlineLevel="1">
      <c r="B394" s="1045"/>
      <c r="C394" s="1045"/>
      <c r="D394" s="1051">
        <f t="shared" si="29"/>
        <v>32</v>
      </c>
      <c r="E394" s="1051" t="str">
        <f>IF(COUNTIF(E$284:E393,F394)&gt;0,"",F394)</f>
        <v>Avion passagers, 20-50 sièges, &lt; 500 km turboprop, sans trainées, France continentale, Base Carbone</v>
      </c>
      <c r="F394" s="1051" t="str">
        <f t="shared" si="30"/>
        <v>Avion passagers, 20-50 sièges, &lt; 500 km turboprop, sans trainées, France continentale, Base Carbone</v>
      </c>
      <c r="G394" s="1055" t="str">
        <f t="shared" si="31"/>
        <v>Avion passagers, 20-50 sièges, &lt; 500 km turboprop, sans trainées, France continentale, Base Carbone; kgCO2e/tonne.km, Combustion</v>
      </c>
      <c r="I394" s="1034" t="s">
        <v>4790</v>
      </c>
      <c r="J394" s="1135" t="s">
        <v>2324</v>
      </c>
      <c r="K394" s="1119" t="s">
        <v>1567</v>
      </c>
      <c r="L394" s="1135" t="s">
        <v>1571</v>
      </c>
      <c r="M394" s="1033">
        <v>0.1</v>
      </c>
      <c r="N394" s="1135" t="s">
        <v>1569</v>
      </c>
      <c r="O394" s="1135">
        <v>1.65</v>
      </c>
      <c r="P394" s="1135">
        <v>1.64</v>
      </c>
      <c r="Q394" s="1135">
        <v>2.7000000000000001E-3</v>
      </c>
      <c r="R394" s="1135">
        <v>0</v>
      </c>
      <c r="S394" s="1135">
        <v>1.2200000000000001E-2</v>
      </c>
      <c r="T394" s="1978">
        <v>0</v>
      </c>
      <c r="U394" s="2041">
        <v>0</v>
      </c>
    </row>
    <row r="395" spans="2:21" hidden="1" outlineLevel="1">
      <c r="B395" s="1045"/>
      <c r="C395" s="1045"/>
      <c r="D395" s="1051">
        <f t="shared" si="29"/>
        <v>32</v>
      </c>
      <c r="E395" s="1051" t="str">
        <f>IF(COUNTIF(E$284:E394,F395)&gt;0,"",F395)</f>
        <v/>
      </c>
      <c r="F395" s="1051" t="str">
        <f t="shared" si="30"/>
        <v>Avion passagers, 20-50 sièges, &lt; 500 km turboprop, sans trainées, France continentale, Base Carbone</v>
      </c>
      <c r="G395" s="1055" t="str">
        <f t="shared" si="31"/>
        <v>Avion passagers, 20-50 sièges, &lt; 500 km turboprop, sans trainées, France continentale, Base Carbone; kgCO2e/tonne.km, Amont</v>
      </c>
      <c r="I395" s="1034" t="s">
        <v>4790</v>
      </c>
      <c r="J395" s="1135" t="s">
        <v>2324</v>
      </c>
      <c r="K395" s="1119" t="s">
        <v>1567</v>
      </c>
      <c r="L395" s="1135" t="s">
        <v>1571</v>
      </c>
      <c r="M395" s="1033">
        <v>0.1</v>
      </c>
      <c r="N395" s="1135" t="s">
        <v>1570</v>
      </c>
      <c r="O395" s="1135">
        <v>0.34300000000000003</v>
      </c>
      <c r="P395" s="1135">
        <v>0.312</v>
      </c>
      <c r="Q395" s="1135">
        <v>1.5599999999999999E-2</v>
      </c>
      <c r="R395" s="1135">
        <v>0</v>
      </c>
      <c r="S395" s="1135">
        <v>1.5599999999999999E-2</v>
      </c>
      <c r="T395" s="1978">
        <v>0</v>
      </c>
      <c r="U395" s="2041">
        <v>0</v>
      </c>
    </row>
    <row r="396" spans="2:21" hidden="1" outlineLevel="1">
      <c r="B396" s="1045"/>
      <c r="C396" s="1045"/>
      <c r="D396" s="1051">
        <f t="shared" si="29"/>
        <v>32</v>
      </c>
      <c r="E396" s="1051" t="str">
        <f>IF(COUNTIF(E$284:E395,F396)&gt;0,"",F396)</f>
        <v/>
      </c>
      <c r="F396" s="1051" t="str">
        <f t="shared" si="30"/>
        <v>Avion passagers, 20-50 sièges, &lt; 500 km turboprop, sans trainées, France continentale, Base Carbone</v>
      </c>
      <c r="G396" s="1055" t="str">
        <f t="shared" si="31"/>
        <v>Avion passagers, 20-50 sièges, &lt; 500 km turboprop, sans trainées, France continentale, Base Carbone; kgCO2e/tonne.km, Fabrication</v>
      </c>
      <c r="I396" s="1034" t="s">
        <v>4790</v>
      </c>
      <c r="J396" s="1135" t="s">
        <v>2324</v>
      </c>
      <c r="K396" s="1119" t="s">
        <v>1567</v>
      </c>
      <c r="L396" s="1135" t="s">
        <v>1571</v>
      </c>
      <c r="M396" s="1033">
        <v>0.1</v>
      </c>
      <c r="N396" s="1135" t="s">
        <v>332</v>
      </c>
      <c r="O396" s="1135">
        <v>4.7499999999999999E-3</v>
      </c>
      <c r="P396" s="1135">
        <v>4.7499999999999999E-3</v>
      </c>
      <c r="Q396" s="1135">
        <v>0</v>
      </c>
      <c r="R396" s="1135">
        <v>0</v>
      </c>
      <c r="S396" s="1135">
        <v>0</v>
      </c>
      <c r="T396" s="1978">
        <v>0</v>
      </c>
      <c r="U396" s="2041">
        <v>0</v>
      </c>
    </row>
    <row r="397" spans="2:21" hidden="1" outlineLevel="1">
      <c r="B397" s="1045"/>
      <c r="C397" s="1045"/>
      <c r="D397" s="1051">
        <f t="shared" si="29"/>
        <v>33</v>
      </c>
      <c r="E397" s="1051" t="str">
        <f>IF(COUNTIF(E$284:E396,F397)&gt;0,"",F397)</f>
        <v>Avion passagers, 51-100 sièges, 1000 - 3500 km, avec trainées, France continentale, Base Carbone</v>
      </c>
      <c r="F397" s="1051" t="str">
        <f t="shared" si="30"/>
        <v>Avion passagers, 51-100 sièges, 1000 - 3500 km, avec trainées, France continentale, Base Carbone</v>
      </c>
      <c r="G397" s="1055" t="str">
        <f t="shared" si="31"/>
        <v>Avion passagers, 51-100 sièges, 1000 - 3500 km, avec trainées, France continentale, Base Carbone; kgCO2e/tonne.km, Combustion</v>
      </c>
      <c r="I397" s="1034" t="s">
        <v>4791</v>
      </c>
      <c r="J397" s="1135" t="s">
        <v>2324</v>
      </c>
      <c r="K397" s="1119" t="s">
        <v>1567</v>
      </c>
      <c r="L397" s="1135" t="s">
        <v>1571</v>
      </c>
      <c r="M397" s="1033">
        <v>0.7</v>
      </c>
      <c r="N397" s="1135" t="s">
        <v>1569</v>
      </c>
      <c r="O397" s="1135">
        <v>1.2</v>
      </c>
      <c r="P397" s="1135">
        <v>1.19</v>
      </c>
      <c r="Q397" s="1135">
        <v>2.0100000000000001E-4</v>
      </c>
      <c r="R397" s="1135">
        <v>0</v>
      </c>
      <c r="S397" s="1135">
        <v>8.8000000000000005E-3</v>
      </c>
      <c r="T397" s="1978">
        <v>0</v>
      </c>
      <c r="U397" s="2041">
        <v>0</v>
      </c>
    </row>
    <row r="398" spans="2:21" hidden="1" outlineLevel="1">
      <c r="B398" s="1045"/>
      <c r="C398" s="1045"/>
      <c r="D398" s="1051">
        <f t="shared" si="29"/>
        <v>33</v>
      </c>
      <c r="E398" s="1051" t="str">
        <f>IF(COUNTIF(E$284:E397,F398)&gt;0,"",F398)</f>
        <v/>
      </c>
      <c r="F398" s="1051" t="str">
        <f t="shared" si="30"/>
        <v>Avion passagers, 51-100 sièges, 1000 - 3500 km, avec trainées, France continentale, Base Carbone</v>
      </c>
      <c r="G398" s="1055" t="str">
        <f t="shared" si="31"/>
        <v>Avion passagers, 51-100 sièges, 1000 - 3500 km, avec trainées, France continentale, Base Carbone; kgCO2e/tonne.km, Emissions fugitives</v>
      </c>
      <c r="I398" s="1034" t="s">
        <v>4791</v>
      </c>
      <c r="J398" s="1135" t="s">
        <v>2324</v>
      </c>
      <c r="K398" s="1119" t="s">
        <v>1567</v>
      </c>
      <c r="L398" s="1135" t="s">
        <v>1571</v>
      </c>
      <c r="M398" s="1033">
        <v>0.7</v>
      </c>
      <c r="N398" s="1135" t="s">
        <v>1764</v>
      </c>
      <c r="O398" s="1135">
        <v>1.2</v>
      </c>
      <c r="P398" s="1135">
        <v>0</v>
      </c>
      <c r="Q398" s="1135">
        <v>0</v>
      </c>
      <c r="R398" s="1135">
        <v>0</v>
      </c>
      <c r="S398" s="1135">
        <v>0</v>
      </c>
      <c r="T398" s="1978">
        <v>1.2</v>
      </c>
      <c r="U398" s="2041">
        <v>0</v>
      </c>
    </row>
    <row r="399" spans="2:21" hidden="1" outlineLevel="1">
      <c r="B399" s="1045"/>
      <c r="C399" s="1045"/>
      <c r="D399" s="1051">
        <f t="shared" si="29"/>
        <v>33</v>
      </c>
      <c r="E399" s="1051" t="str">
        <f>IF(COUNTIF(E$284:E398,F399)&gt;0,"",F399)</f>
        <v/>
      </c>
      <c r="F399" s="1051" t="str">
        <f t="shared" si="30"/>
        <v>Avion passagers, 51-100 sièges, 1000 - 3500 km, avec trainées, France continentale, Base Carbone</v>
      </c>
      <c r="G399" s="1055" t="str">
        <f t="shared" si="31"/>
        <v>Avion passagers, 51-100 sièges, 1000 - 3500 km, avec trainées, France continentale, Base Carbone; kgCO2e/tonne.km, Amont</v>
      </c>
      <c r="I399" s="1034" t="s">
        <v>4791</v>
      </c>
      <c r="J399" s="1135" t="s">
        <v>2324</v>
      </c>
      <c r="K399" s="1119" t="s">
        <v>1567</v>
      </c>
      <c r="L399" s="1135" t="s">
        <v>1571</v>
      </c>
      <c r="M399" s="1033">
        <v>0.7</v>
      </c>
      <c r="N399" s="1135" t="s">
        <v>1570</v>
      </c>
      <c r="O399" s="1135">
        <v>0.25</v>
      </c>
      <c r="P399" s="1135">
        <v>0.22700000000000001</v>
      </c>
      <c r="Q399" s="1135">
        <v>1.1299999999999999E-2</v>
      </c>
      <c r="R399" s="1135">
        <v>0</v>
      </c>
      <c r="S399" s="1135">
        <v>1.1299999999999999E-2</v>
      </c>
      <c r="T399" s="1978">
        <v>0</v>
      </c>
      <c r="U399" s="2041">
        <v>0</v>
      </c>
    </row>
    <row r="400" spans="2:21" hidden="1" outlineLevel="1">
      <c r="B400" s="1045"/>
      <c r="C400" s="1045"/>
      <c r="D400" s="1051">
        <f t="shared" si="29"/>
        <v>33</v>
      </c>
      <c r="E400" s="1051" t="str">
        <f>IF(COUNTIF(E$284:E399,F400)&gt;0,"",F400)</f>
        <v/>
      </c>
      <c r="F400" s="1051" t="str">
        <f t="shared" si="30"/>
        <v>Avion passagers, 51-100 sièges, 1000 - 3500 km, avec trainées, France continentale, Base Carbone</v>
      </c>
      <c r="G400" s="1055" t="str">
        <f t="shared" si="31"/>
        <v>Avion passagers, 51-100 sièges, 1000 - 3500 km, avec trainées, France continentale, Base Carbone; kgCO2e/tonne.km, Fabrication</v>
      </c>
      <c r="I400" s="1034" t="s">
        <v>4791</v>
      </c>
      <c r="J400" s="1135" t="s">
        <v>2324</v>
      </c>
      <c r="K400" s="1119" t="s">
        <v>1567</v>
      </c>
      <c r="L400" s="1135" t="s">
        <v>1571</v>
      </c>
      <c r="M400" s="1033">
        <v>0.7</v>
      </c>
      <c r="N400" s="1135" t="s">
        <v>332</v>
      </c>
      <c r="O400" s="1135">
        <v>3.3400000000000001E-3</v>
      </c>
      <c r="P400" s="1135">
        <v>3.3400000000000001E-3</v>
      </c>
      <c r="Q400" s="1135">
        <v>0</v>
      </c>
      <c r="R400" s="1135">
        <v>0</v>
      </c>
      <c r="S400" s="1135">
        <v>0</v>
      </c>
      <c r="T400" s="1978">
        <v>0</v>
      </c>
      <c r="U400" s="2041">
        <v>0</v>
      </c>
    </row>
    <row r="401" spans="2:21" hidden="1" outlineLevel="1">
      <c r="B401" s="1045"/>
      <c r="C401" s="1045"/>
      <c r="D401" s="1051">
        <f t="shared" si="29"/>
        <v>34</v>
      </c>
      <c r="E401" s="1051" t="str">
        <f>IF(COUNTIF(E$284:E400,F401)&gt;0,"",F401)</f>
        <v>Avion passagers, 51-100 sièges, 1000 - 3500 km, sans trainées, France continentale, Base Carbone</v>
      </c>
      <c r="F401" s="1051" t="str">
        <f t="shared" si="30"/>
        <v>Avion passagers, 51-100 sièges, 1000 - 3500 km, sans trainées, France continentale, Base Carbone</v>
      </c>
      <c r="G401" s="1055" t="str">
        <f t="shared" si="31"/>
        <v>Avion passagers, 51-100 sièges, 1000 - 3500 km, sans trainées, France continentale, Base Carbone; kgCO2e/tonne.km, Combustion</v>
      </c>
      <c r="I401" s="1034" t="s">
        <v>4792</v>
      </c>
      <c r="J401" s="1135" t="s">
        <v>2324</v>
      </c>
      <c r="K401" s="1119" t="s">
        <v>1567</v>
      </c>
      <c r="L401" s="1135" t="s">
        <v>1571</v>
      </c>
      <c r="M401" s="1033">
        <v>0.1</v>
      </c>
      <c r="N401" s="1135" t="s">
        <v>1569</v>
      </c>
      <c r="O401" s="1135">
        <v>1.2</v>
      </c>
      <c r="P401" s="1135">
        <v>1.19</v>
      </c>
      <c r="Q401" s="1135">
        <v>2.0100000000000001E-4</v>
      </c>
      <c r="R401" s="1135">
        <v>0</v>
      </c>
      <c r="S401" s="1135">
        <v>8.8000000000000005E-3</v>
      </c>
      <c r="T401" s="1978">
        <v>0</v>
      </c>
      <c r="U401" s="2041">
        <v>0</v>
      </c>
    </row>
    <row r="402" spans="2:21" hidden="1" outlineLevel="1">
      <c r="B402" s="1045"/>
      <c r="C402" s="1045"/>
      <c r="D402" s="1051">
        <f t="shared" si="29"/>
        <v>34</v>
      </c>
      <c r="E402" s="1051" t="str">
        <f>IF(COUNTIF(E$284:E401,F402)&gt;0,"",F402)</f>
        <v/>
      </c>
      <c r="F402" s="1051" t="str">
        <f t="shared" si="30"/>
        <v>Avion passagers, 51-100 sièges, 1000 - 3500 km, sans trainées, France continentale, Base Carbone</v>
      </c>
      <c r="G402" s="1055" t="str">
        <f t="shared" si="31"/>
        <v>Avion passagers, 51-100 sièges, 1000 - 3500 km, sans trainées, France continentale, Base Carbone; kgCO2e/tonne.km, Amont</v>
      </c>
      <c r="I402" s="1034" t="s">
        <v>4792</v>
      </c>
      <c r="J402" s="1135" t="s">
        <v>2324</v>
      </c>
      <c r="K402" s="1119" t="s">
        <v>1567</v>
      </c>
      <c r="L402" s="1135" t="s">
        <v>1571</v>
      </c>
      <c r="M402" s="1033">
        <v>0.1</v>
      </c>
      <c r="N402" s="1135" t="s">
        <v>1570</v>
      </c>
      <c r="O402" s="1135">
        <v>0.25</v>
      </c>
      <c r="P402" s="1135">
        <v>0.22700000000000001</v>
      </c>
      <c r="Q402" s="1135">
        <v>1.1299999999999999E-2</v>
      </c>
      <c r="R402" s="1135">
        <v>0</v>
      </c>
      <c r="S402" s="1135">
        <v>1.1299999999999999E-2</v>
      </c>
      <c r="T402" s="1978">
        <v>0</v>
      </c>
      <c r="U402" s="2041">
        <v>0</v>
      </c>
    </row>
    <row r="403" spans="2:21" hidden="1" outlineLevel="1">
      <c r="B403" s="1045"/>
      <c r="C403" s="1045"/>
      <c r="D403" s="1051">
        <f t="shared" si="29"/>
        <v>34</v>
      </c>
      <c r="E403" s="1051" t="str">
        <f>IF(COUNTIF(E$284:E402,F403)&gt;0,"",F403)</f>
        <v/>
      </c>
      <c r="F403" s="1051" t="str">
        <f t="shared" si="30"/>
        <v>Avion passagers, 51-100 sièges, 1000 - 3500 km, sans trainées, France continentale, Base Carbone</v>
      </c>
      <c r="G403" s="1055" t="str">
        <f t="shared" si="31"/>
        <v>Avion passagers, 51-100 sièges, 1000 - 3500 km, sans trainées, France continentale, Base Carbone; kgCO2e/tonne.km, Fabrication</v>
      </c>
      <c r="I403" s="1034" t="s">
        <v>4792</v>
      </c>
      <c r="J403" s="1135" t="s">
        <v>2324</v>
      </c>
      <c r="K403" s="1119" t="s">
        <v>1567</v>
      </c>
      <c r="L403" s="1135" t="s">
        <v>1571</v>
      </c>
      <c r="M403" s="1033">
        <v>0.1</v>
      </c>
      <c r="N403" s="1135" t="s">
        <v>332</v>
      </c>
      <c r="O403" s="1135">
        <v>3.3400000000000001E-3</v>
      </c>
      <c r="P403" s="1135">
        <v>3.3400000000000001E-3</v>
      </c>
      <c r="Q403" s="1135">
        <v>0</v>
      </c>
      <c r="R403" s="1135">
        <v>0</v>
      </c>
      <c r="S403" s="1135">
        <v>0</v>
      </c>
      <c r="T403" s="1978">
        <v>0</v>
      </c>
      <c r="U403" s="2041">
        <v>0</v>
      </c>
    </row>
    <row r="404" spans="2:21" hidden="1" outlineLevel="1">
      <c r="B404" s="1045"/>
      <c r="C404" s="1045"/>
      <c r="D404" s="1051">
        <f t="shared" si="29"/>
        <v>35</v>
      </c>
      <c r="E404" s="1051" t="str">
        <f>IF(COUNTIF(E$284:E403,F404)&gt;0,"",F404)</f>
        <v>Avion passagers, 51-100 sièges, 500 - 1000 km, avec trainées, France continentale, Base Carbone</v>
      </c>
      <c r="F404" s="1051" t="str">
        <f t="shared" si="30"/>
        <v>Avion passagers, 51-100 sièges, 500 - 1000 km, avec trainées, France continentale, Base Carbone</v>
      </c>
      <c r="G404" s="1055" t="str">
        <f t="shared" si="31"/>
        <v>Avion passagers, 51-100 sièges, 500 - 1000 km, avec trainées, France continentale, Base Carbone; kgCO2e/tonne.km, Combustion</v>
      </c>
      <c r="I404" s="1034" t="s">
        <v>4793</v>
      </c>
      <c r="J404" s="1135" t="s">
        <v>2324</v>
      </c>
      <c r="K404" s="1119" t="s">
        <v>1567</v>
      </c>
      <c r="L404" s="1135" t="s">
        <v>1571</v>
      </c>
      <c r="M404" s="1033">
        <v>0.7</v>
      </c>
      <c r="N404" s="1135" t="s">
        <v>1569</v>
      </c>
      <c r="O404" s="1135">
        <v>1.52</v>
      </c>
      <c r="P404" s="1135">
        <v>1.51</v>
      </c>
      <c r="Q404" s="1135">
        <v>2.0100000000000001E-4</v>
      </c>
      <c r="R404" s="1135">
        <v>0</v>
      </c>
      <c r="S404" s="1135">
        <v>1.12E-2</v>
      </c>
      <c r="T404" s="1978">
        <v>0</v>
      </c>
      <c r="U404" s="2041">
        <v>0</v>
      </c>
    </row>
    <row r="405" spans="2:21" hidden="1" outlineLevel="1">
      <c r="B405" s="1045"/>
      <c r="C405" s="1045"/>
      <c r="D405" s="1051">
        <f t="shared" si="29"/>
        <v>35</v>
      </c>
      <c r="E405" s="1051" t="str">
        <f>IF(COUNTIF(E$284:E404,F405)&gt;0,"",F405)</f>
        <v/>
      </c>
      <c r="F405" s="1051" t="str">
        <f t="shared" si="30"/>
        <v>Avion passagers, 51-100 sièges, 500 - 1000 km, avec trainées, France continentale, Base Carbone</v>
      </c>
      <c r="G405" s="1055" t="str">
        <f t="shared" si="31"/>
        <v>Avion passagers, 51-100 sièges, 500 - 1000 km, avec trainées, France continentale, Base Carbone; kgCO2e/tonne.km, Emissions fugitives</v>
      </c>
      <c r="I405" s="1034" t="s">
        <v>4793</v>
      </c>
      <c r="J405" s="1135" t="s">
        <v>2324</v>
      </c>
      <c r="K405" s="1119" t="s">
        <v>1567</v>
      </c>
      <c r="L405" s="1135" t="s">
        <v>1571</v>
      </c>
      <c r="M405" s="1033">
        <v>0.7</v>
      </c>
      <c r="N405" s="1135" t="s">
        <v>1764</v>
      </c>
      <c r="O405" s="1135">
        <v>1.52</v>
      </c>
      <c r="P405" s="1135">
        <v>0</v>
      </c>
      <c r="Q405" s="1135">
        <v>0</v>
      </c>
      <c r="R405" s="1135">
        <v>0</v>
      </c>
      <c r="S405" s="1135">
        <v>0</v>
      </c>
      <c r="T405" s="1978">
        <v>1.52</v>
      </c>
      <c r="U405" s="2041">
        <v>0</v>
      </c>
    </row>
    <row r="406" spans="2:21" hidden="1" outlineLevel="1">
      <c r="B406" s="1045"/>
      <c r="C406" s="1045"/>
      <c r="D406" s="1051">
        <f t="shared" si="29"/>
        <v>35</v>
      </c>
      <c r="E406" s="1051" t="str">
        <f>IF(COUNTIF(E$284:E405,F406)&gt;0,"",F406)</f>
        <v/>
      </c>
      <c r="F406" s="1051" t="str">
        <f t="shared" si="30"/>
        <v>Avion passagers, 51-100 sièges, 500 - 1000 km, avec trainées, France continentale, Base Carbone</v>
      </c>
      <c r="G406" s="1055" t="str">
        <f t="shared" si="31"/>
        <v>Avion passagers, 51-100 sièges, 500 - 1000 km, avec trainées, France continentale, Base Carbone; kgCO2e/tonne.km, Amont</v>
      </c>
      <c r="I406" s="1034" t="s">
        <v>4793</v>
      </c>
      <c r="J406" s="1135" t="s">
        <v>2324</v>
      </c>
      <c r="K406" s="1119" t="s">
        <v>1567</v>
      </c>
      <c r="L406" s="1135" t="s">
        <v>1571</v>
      </c>
      <c r="M406" s="1033">
        <v>0.7</v>
      </c>
      <c r="N406" s="1135" t="s">
        <v>1570</v>
      </c>
      <c r="O406" s="1135">
        <v>0.315</v>
      </c>
      <c r="P406" s="1135">
        <v>0.28599999999999998</v>
      </c>
      <c r="Q406" s="1135">
        <v>1.43E-2</v>
      </c>
      <c r="R406" s="1135">
        <v>0</v>
      </c>
      <c r="S406" s="1135">
        <v>1.43E-2</v>
      </c>
      <c r="T406" s="1978">
        <v>0</v>
      </c>
      <c r="U406" s="2041">
        <v>0</v>
      </c>
    </row>
    <row r="407" spans="2:21" hidden="1" outlineLevel="1">
      <c r="B407" s="1045"/>
      <c r="C407" s="1045"/>
      <c r="D407" s="1051">
        <f t="shared" si="29"/>
        <v>35</v>
      </c>
      <c r="E407" s="1051" t="str">
        <f>IF(COUNTIF(E$284:E406,F407)&gt;0,"",F407)</f>
        <v/>
      </c>
      <c r="F407" s="1051" t="str">
        <f t="shared" si="30"/>
        <v>Avion passagers, 51-100 sièges, 500 - 1000 km, avec trainées, France continentale, Base Carbone</v>
      </c>
      <c r="G407" s="1055" t="str">
        <f t="shared" si="31"/>
        <v>Avion passagers, 51-100 sièges, 500 - 1000 km, avec trainées, France continentale, Base Carbone; kgCO2e/tonne.km, Fabrication</v>
      </c>
      <c r="I407" s="1034" t="s">
        <v>4793</v>
      </c>
      <c r="J407" s="1135" t="s">
        <v>2324</v>
      </c>
      <c r="K407" s="1119" t="s">
        <v>1567</v>
      </c>
      <c r="L407" s="1135" t="s">
        <v>1571</v>
      </c>
      <c r="M407" s="1033">
        <v>0.7</v>
      </c>
      <c r="N407" s="1135" t="s">
        <v>332</v>
      </c>
      <c r="O407" s="1135">
        <v>4.2900000000000004E-3</v>
      </c>
      <c r="P407" s="1135">
        <v>4.2900000000000004E-3</v>
      </c>
      <c r="Q407" s="1135">
        <v>0</v>
      </c>
      <c r="R407" s="1135">
        <v>0</v>
      </c>
      <c r="S407" s="1135">
        <v>0</v>
      </c>
      <c r="T407" s="1978">
        <v>0</v>
      </c>
      <c r="U407" s="2041">
        <v>0</v>
      </c>
    </row>
    <row r="408" spans="2:21" hidden="1" outlineLevel="1">
      <c r="B408" s="1045"/>
      <c r="C408" s="1045"/>
      <c r="D408" s="1051">
        <f t="shared" si="29"/>
        <v>36</v>
      </c>
      <c r="E408" s="1051" t="str">
        <f>IF(COUNTIF(E$284:E407,F408)&gt;0,"",F408)</f>
        <v>Avion passagers, 51-100 sièges, 500 - 1000 km, sans trainées, France continentale, Base Carbone</v>
      </c>
      <c r="F408" s="1051" t="str">
        <f t="shared" si="30"/>
        <v>Avion passagers, 51-100 sièges, 500 - 1000 km, sans trainées, France continentale, Base Carbone</v>
      </c>
      <c r="G408" s="1055" t="str">
        <f t="shared" si="31"/>
        <v>Avion passagers, 51-100 sièges, 500 - 1000 km, sans trainées, France continentale, Base Carbone; kgCO2e/tonne.km, Combustion</v>
      </c>
      <c r="I408" s="1034" t="s">
        <v>4794</v>
      </c>
      <c r="J408" s="1135" t="s">
        <v>2324</v>
      </c>
      <c r="K408" s="1119" t="s">
        <v>1567</v>
      </c>
      <c r="L408" s="1135" t="s">
        <v>1571</v>
      </c>
      <c r="M408" s="1033">
        <v>0.1</v>
      </c>
      <c r="N408" s="1135" t="s">
        <v>1569</v>
      </c>
      <c r="O408" s="1135">
        <v>1.52</v>
      </c>
      <c r="P408" s="1135">
        <v>1.51</v>
      </c>
      <c r="Q408" s="1135">
        <v>2.0100000000000001E-4</v>
      </c>
      <c r="R408" s="1135">
        <v>0</v>
      </c>
      <c r="S408" s="1135">
        <v>1.12E-2</v>
      </c>
      <c r="T408" s="1978">
        <v>0</v>
      </c>
      <c r="U408" s="2041">
        <v>0</v>
      </c>
    </row>
    <row r="409" spans="2:21" hidden="1" outlineLevel="1">
      <c r="B409" s="1045"/>
      <c r="C409" s="1045"/>
      <c r="D409" s="1051">
        <f t="shared" si="29"/>
        <v>36</v>
      </c>
      <c r="E409" s="1051" t="str">
        <f>IF(COUNTIF(E$284:E408,F409)&gt;0,"",F409)</f>
        <v/>
      </c>
      <c r="F409" s="1051" t="str">
        <f t="shared" si="30"/>
        <v>Avion passagers, 51-100 sièges, 500 - 1000 km, sans trainées, France continentale, Base Carbone</v>
      </c>
      <c r="G409" s="1055" t="str">
        <f t="shared" si="31"/>
        <v>Avion passagers, 51-100 sièges, 500 - 1000 km, sans trainées, France continentale, Base Carbone; kgCO2e/tonne.km, Amont</v>
      </c>
      <c r="I409" s="1034" t="s">
        <v>4794</v>
      </c>
      <c r="J409" s="1135" t="s">
        <v>2324</v>
      </c>
      <c r="K409" s="1119" t="s">
        <v>1567</v>
      </c>
      <c r="L409" s="1135" t="s">
        <v>1571</v>
      </c>
      <c r="M409" s="1033">
        <v>0.1</v>
      </c>
      <c r="N409" s="1135" t="s">
        <v>1570</v>
      </c>
      <c r="O409" s="1135">
        <v>0.315</v>
      </c>
      <c r="P409" s="1135">
        <v>0.28599999999999998</v>
      </c>
      <c r="Q409" s="1135">
        <v>1.43E-2</v>
      </c>
      <c r="R409" s="1135">
        <v>0</v>
      </c>
      <c r="S409" s="1135">
        <v>1.43E-2</v>
      </c>
      <c r="T409" s="1978">
        <v>0</v>
      </c>
      <c r="U409" s="2041">
        <v>0</v>
      </c>
    </row>
    <row r="410" spans="2:21" hidden="1" outlineLevel="1">
      <c r="B410" s="1045"/>
      <c r="C410" s="1045"/>
      <c r="D410" s="1051">
        <f t="shared" si="29"/>
        <v>36</v>
      </c>
      <c r="E410" s="1051" t="str">
        <f>IF(COUNTIF(E$284:E409,F410)&gt;0,"",F410)</f>
        <v/>
      </c>
      <c r="F410" s="1051" t="str">
        <f t="shared" si="30"/>
        <v>Avion passagers, 51-100 sièges, 500 - 1000 km, sans trainées, France continentale, Base Carbone</v>
      </c>
      <c r="G410" s="1055" t="str">
        <f t="shared" si="31"/>
        <v>Avion passagers, 51-100 sièges, 500 - 1000 km, sans trainées, France continentale, Base Carbone; kgCO2e/tonne.km, Fabrication</v>
      </c>
      <c r="I410" s="1034" t="s">
        <v>4794</v>
      </c>
      <c r="J410" s="1135" t="s">
        <v>2324</v>
      </c>
      <c r="K410" s="1119" t="s">
        <v>1567</v>
      </c>
      <c r="L410" s="1135" t="s">
        <v>1571</v>
      </c>
      <c r="M410" s="1033">
        <v>0.1</v>
      </c>
      <c r="N410" s="1135" t="s">
        <v>332</v>
      </c>
      <c r="O410" s="1135">
        <v>4.2900000000000004E-3</v>
      </c>
      <c r="P410" s="1135">
        <v>4.2900000000000004E-3</v>
      </c>
      <c r="Q410" s="1135">
        <v>0</v>
      </c>
      <c r="R410" s="1135">
        <v>0</v>
      </c>
      <c r="S410" s="1135">
        <v>0</v>
      </c>
      <c r="T410" s="1978">
        <v>0</v>
      </c>
      <c r="U410" s="2041">
        <v>0</v>
      </c>
    </row>
    <row r="411" spans="2:21" hidden="1" outlineLevel="1">
      <c r="B411" s="1045"/>
      <c r="C411" s="1045"/>
      <c r="D411" s="1051">
        <f t="shared" si="29"/>
        <v>37</v>
      </c>
      <c r="E411" s="1051" t="str">
        <f>IF(COUNTIF(E$284:E410,F411)&gt;0,"",F411)</f>
        <v>Avion passagers, 51-100 sièges, &lt; 500 km jet, avec trainées, France continentale, Base Carbone</v>
      </c>
      <c r="F411" s="1051" t="str">
        <f t="shared" si="30"/>
        <v>Avion passagers, 51-100 sièges, &lt; 500 km jet, avec trainées, France continentale, Base Carbone</v>
      </c>
      <c r="G411" s="1055" t="str">
        <f t="shared" si="31"/>
        <v>Avion passagers, 51-100 sièges, &lt; 500 km jet, avec trainées, France continentale, Base Carbone; kgCO2e/tonne.km, Combustion</v>
      </c>
      <c r="I411" s="1034" t="s">
        <v>4795</v>
      </c>
      <c r="J411" s="1135" t="s">
        <v>2324</v>
      </c>
      <c r="K411" s="1119" t="s">
        <v>1567</v>
      </c>
      <c r="L411" s="1135" t="s">
        <v>1571</v>
      </c>
      <c r="M411" s="1033">
        <v>0.7</v>
      </c>
      <c r="N411" s="1135" t="s">
        <v>1569</v>
      </c>
      <c r="O411" s="1135">
        <v>2</v>
      </c>
      <c r="P411" s="1135">
        <v>1.98</v>
      </c>
      <c r="Q411" s="1135">
        <v>2.9999999999999997E-4</v>
      </c>
      <c r="R411" s="1135">
        <v>0</v>
      </c>
      <c r="S411" s="1135">
        <v>1.47E-2</v>
      </c>
      <c r="T411" s="1978">
        <v>0</v>
      </c>
      <c r="U411" s="2041">
        <v>0</v>
      </c>
    </row>
    <row r="412" spans="2:21" hidden="1" outlineLevel="1">
      <c r="B412" s="1045"/>
      <c r="C412" s="1045"/>
      <c r="D412" s="1051">
        <f t="shared" si="29"/>
        <v>37</v>
      </c>
      <c r="E412" s="1051" t="str">
        <f>IF(COUNTIF(E$284:E411,F412)&gt;0,"",F412)</f>
        <v/>
      </c>
      <c r="F412" s="1051" t="str">
        <f t="shared" si="30"/>
        <v>Avion passagers, 51-100 sièges, &lt; 500 km jet, avec trainées, France continentale, Base Carbone</v>
      </c>
      <c r="G412" s="1055" t="str">
        <f t="shared" si="31"/>
        <v>Avion passagers, 51-100 sièges, &lt; 500 km jet, avec trainées, France continentale, Base Carbone; kgCO2e/tonne.km, Emissions fugitives</v>
      </c>
      <c r="I412" s="1034" t="s">
        <v>4795</v>
      </c>
      <c r="J412" s="1135" t="s">
        <v>2324</v>
      </c>
      <c r="K412" s="1119" t="s">
        <v>1567</v>
      </c>
      <c r="L412" s="1135" t="s">
        <v>1571</v>
      </c>
      <c r="M412" s="1033">
        <v>0.7</v>
      </c>
      <c r="N412" s="1135" t="s">
        <v>1764</v>
      </c>
      <c r="O412" s="1135">
        <v>2</v>
      </c>
      <c r="P412" s="1135">
        <v>0</v>
      </c>
      <c r="Q412" s="1135">
        <v>0</v>
      </c>
      <c r="R412" s="1135">
        <v>0</v>
      </c>
      <c r="S412" s="1135">
        <v>0</v>
      </c>
      <c r="T412" s="1978">
        <v>2</v>
      </c>
      <c r="U412" s="2041">
        <v>0</v>
      </c>
    </row>
    <row r="413" spans="2:21" hidden="1" outlineLevel="1">
      <c r="B413" s="1045"/>
      <c r="C413" s="1045"/>
      <c r="D413" s="1051">
        <f t="shared" si="29"/>
        <v>37</v>
      </c>
      <c r="E413" s="1051" t="str">
        <f>IF(COUNTIF(E$284:E412,F413)&gt;0,"",F413)</f>
        <v/>
      </c>
      <c r="F413" s="1051" t="str">
        <f t="shared" si="30"/>
        <v>Avion passagers, 51-100 sièges, &lt; 500 km jet, avec trainées, France continentale, Base Carbone</v>
      </c>
      <c r="G413" s="1055" t="str">
        <f t="shared" si="31"/>
        <v>Avion passagers, 51-100 sièges, &lt; 500 km jet, avec trainées, France continentale, Base Carbone; kgCO2e/tonne.km, Amont</v>
      </c>
      <c r="I413" s="1034" t="s">
        <v>4795</v>
      </c>
      <c r="J413" s="1135" t="s">
        <v>2324</v>
      </c>
      <c r="K413" s="1119" t="s">
        <v>1567</v>
      </c>
      <c r="L413" s="1135" t="s">
        <v>1571</v>
      </c>
      <c r="M413" s="1033">
        <v>0.7</v>
      </c>
      <c r="N413" s="1135" t="s">
        <v>1570</v>
      </c>
      <c r="O413" s="1135">
        <v>0.41399999999999998</v>
      </c>
      <c r="P413" s="1135">
        <v>0.376</v>
      </c>
      <c r="Q413" s="1135">
        <v>1.8800000000000001E-2</v>
      </c>
      <c r="R413" s="1135">
        <v>0</v>
      </c>
      <c r="S413" s="1135">
        <v>1.8800000000000001E-2</v>
      </c>
      <c r="T413" s="1978">
        <v>0</v>
      </c>
      <c r="U413" s="2041">
        <v>0</v>
      </c>
    </row>
    <row r="414" spans="2:21" hidden="1" outlineLevel="1">
      <c r="B414" s="1045"/>
      <c r="C414" s="1045"/>
      <c r="D414" s="1051">
        <f t="shared" ref="D414:D472" si="32">D413+IF(LEN(E414)&gt;0,1,0)</f>
        <v>37</v>
      </c>
      <c r="E414" s="1051" t="str">
        <f>IF(COUNTIF(E$284:E413,F414)&gt;0,"",F414)</f>
        <v/>
      </c>
      <c r="F414" s="1051" t="str">
        <f t="shared" ref="F414:F472" si="33">IF(I414&lt;&gt;"",I414&amp;IF(L414&lt;&gt;"",", "&amp;L414,"")&amp;IF(K414&lt;&gt;"",", "&amp;K414,""),"")</f>
        <v>Avion passagers, 51-100 sièges, &lt; 500 km jet, avec trainées, France continentale, Base Carbone</v>
      </c>
      <c r="G414" s="1055" t="str">
        <f t="shared" ref="G414:G472" si="34">IF(F414&lt;&gt;"",F414&amp;IF(J414&lt;&gt;"","; "&amp;J414&amp;IF(N414&lt;&gt;"",", "&amp;N414,),""),"")</f>
        <v>Avion passagers, 51-100 sièges, &lt; 500 km jet, avec trainées, France continentale, Base Carbone; kgCO2e/tonne.km, Fabrication</v>
      </c>
      <c r="I414" s="1034" t="s">
        <v>4795</v>
      </c>
      <c r="J414" s="1135" t="s">
        <v>2324</v>
      </c>
      <c r="K414" s="1119" t="s">
        <v>1567</v>
      </c>
      <c r="L414" s="1135" t="s">
        <v>1571</v>
      </c>
      <c r="M414" s="1033">
        <v>0.7</v>
      </c>
      <c r="N414" s="1135" t="s">
        <v>332</v>
      </c>
      <c r="O414" s="1135">
        <v>4.2900000000000004E-3</v>
      </c>
      <c r="P414" s="1135">
        <v>4.2900000000000004E-3</v>
      </c>
      <c r="Q414" s="1135">
        <v>0</v>
      </c>
      <c r="R414" s="1135">
        <v>0</v>
      </c>
      <c r="S414" s="1135">
        <v>0</v>
      </c>
      <c r="T414" s="1978">
        <v>0</v>
      </c>
      <c r="U414" s="2041">
        <v>0</v>
      </c>
    </row>
    <row r="415" spans="2:21" hidden="1" outlineLevel="1">
      <c r="B415" s="1045"/>
      <c r="C415" s="1045"/>
      <c r="D415" s="1051">
        <f t="shared" si="32"/>
        <v>38</v>
      </c>
      <c r="E415" s="1051" t="str">
        <f>IF(COUNTIF(E$284:E414,F415)&gt;0,"",F415)</f>
        <v>Avion passagers, 51-100 sièges, &lt; 500 km jet, sans trainées, France continentale, Base Carbone</v>
      </c>
      <c r="F415" s="1051" t="str">
        <f t="shared" si="33"/>
        <v>Avion passagers, 51-100 sièges, &lt; 500 km jet, sans trainées, France continentale, Base Carbone</v>
      </c>
      <c r="G415" s="1055" t="str">
        <f t="shared" si="34"/>
        <v>Avion passagers, 51-100 sièges, &lt; 500 km jet, sans trainées, France continentale, Base Carbone; kgCO2e/tonne.km, Combustion</v>
      </c>
      <c r="I415" s="1034" t="s">
        <v>4796</v>
      </c>
      <c r="J415" s="1135" t="s">
        <v>2324</v>
      </c>
      <c r="K415" s="1119" t="s">
        <v>1567</v>
      </c>
      <c r="L415" s="1135" t="s">
        <v>1571</v>
      </c>
      <c r="M415" s="1033">
        <v>0.1</v>
      </c>
      <c r="N415" s="1135" t="s">
        <v>1569</v>
      </c>
      <c r="O415" s="1135">
        <v>2</v>
      </c>
      <c r="P415" s="1135">
        <v>1.98</v>
      </c>
      <c r="Q415" s="2588">
        <v>2.9999999999999997E-4</v>
      </c>
      <c r="R415" s="1135">
        <v>0</v>
      </c>
      <c r="S415" s="1135">
        <v>1.47E-2</v>
      </c>
      <c r="T415" s="1135">
        <v>0</v>
      </c>
      <c r="U415" s="2041">
        <v>0</v>
      </c>
    </row>
    <row r="416" spans="2:21" hidden="1" outlineLevel="1">
      <c r="B416" s="1045"/>
      <c r="C416" s="1045"/>
      <c r="D416" s="1051">
        <f t="shared" si="32"/>
        <v>38</v>
      </c>
      <c r="E416" s="1051" t="str">
        <f>IF(COUNTIF(E$284:E415,F416)&gt;0,"",F416)</f>
        <v/>
      </c>
      <c r="F416" s="1051" t="str">
        <f t="shared" si="33"/>
        <v>Avion passagers, 51-100 sièges, &lt; 500 km jet, sans trainées, France continentale, Base Carbone</v>
      </c>
      <c r="G416" s="1055" t="str">
        <f t="shared" si="34"/>
        <v>Avion passagers, 51-100 sièges, &lt; 500 km jet, sans trainées, France continentale, Base Carbone; kgCO2e/tonne.km, Amont</v>
      </c>
      <c r="I416" s="1034" t="s">
        <v>4796</v>
      </c>
      <c r="J416" s="1135" t="s">
        <v>2324</v>
      </c>
      <c r="K416" s="1119" t="s">
        <v>1567</v>
      </c>
      <c r="L416" s="1135" t="s">
        <v>1571</v>
      </c>
      <c r="M416" s="1033">
        <v>0.1</v>
      </c>
      <c r="N416" s="1135" t="s">
        <v>1570</v>
      </c>
      <c r="O416" s="1135">
        <v>0.41399999999999998</v>
      </c>
      <c r="P416" s="1135">
        <v>0.376</v>
      </c>
      <c r="Q416" s="1135">
        <v>1.8800000000000001E-2</v>
      </c>
      <c r="R416" s="1135">
        <v>0</v>
      </c>
      <c r="S416" s="1135">
        <v>1.8800000000000001E-2</v>
      </c>
      <c r="T416" s="1978">
        <v>0</v>
      </c>
      <c r="U416" s="2041">
        <v>0</v>
      </c>
    </row>
    <row r="417" spans="2:21" hidden="1" outlineLevel="1">
      <c r="B417" s="1045"/>
      <c r="C417" s="1045"/>
      <c r="D417" s="1051">
        <f t="shared" si="32"/>
        <v>38</v>
      </c>
      <c r="E417" s="1051" t="str">
        <f>IF(COUNTIF(E$284:E416,F417)&gt;0,"",F417)</f>
        <v/>
      </c>
      <c r="F417" s="1051" t="str">
        <f t="shared" si="33"/>
        <v>Avion passagers, 51-100 sièges, &lt; 500 km jet, sans trainées, France continentale, Base Carbone</v>
      </c>
      <c r="G417" s="1055" t="str">
        <f t="shared" si="34"/>
        <v>Avion passagers, 51-100 sièges, &lt; 500 km jet, sans trainées, France continentale, Base Carbone; kgCO2e/tonne.km, Fabrication</v>
      </c>
      <c r="I417" s="1034" t="s">
        <v>4796</v>
      </c>
      <c r="J417" s="1135" t="s">
        <v>2324</v>
      </c>
      <c r="K417" s="1119" t="s">
        <v>1567</v>
      </c>
      <c r="L417" s="1135" t="s">
        <v>1571</v>
      </c>
      <c r="M417" s="1033">
        <v>0.1</v>
      </c>
      <c r="N417" s="1135" t="s">
        <v>332</v>
      </c>
      <c r="O417" s="1135">
        <v>4.2900000000000004E-3</v>
      </c>
      <c r="P417" s="1135">
        <v>4.2900000000000004E-3</v>
      </c>
      <c r="Q417" s="1135">
        <v>0</v>
      </c>
      <c r="R417" s="1135">
        <v>0</v>
      </c>
      <c r="S417" s="1135">
        <v>0</v>
      </c>
      <c r="T417" s="1978">
        <v>0</v>
      </c>
      <c r="U417" s="2041">
        <v>0</v>
      </c>
    </row>
    <row r="418" spans="2:21" hidden="1" outlineLevel="1">
      <c r="B418" s="1045"/>
      <c r="C418" s="1045"/>
      <c r="D418" s="1051">
        <f t="shared" si="32"/>
        <v>39</v>
      </c>
      <c r="E418" s="1051" t="str">
        <f>IF(COUNTIF(E$284:E417,F418)&gt;0,"",F418)</f>
        <v>Avion passagers, 51-100 sièges, &lt; 500 km turboprop, avec trainées, France continentale, Base Carbone</v>
      </c>
      <c r="F418" s="1051" t="str">
        <f t="shared" si="33"/>
        <v>Avion passagers, 51-100 sièges, &lt; 500 km turboprop, avec trainées, France continentale, Base Carbone</v>
      </c>
      <c r="G418" s="1055" t="str">
        <f t="shared" si="34"/>
        <v>Avion passagers, 51-100 sièges, &lt; 500 km turboprop, avec trainées, France continentale, Base Carbone; kgCO2e/tonne.km, Combustion</v>
      </c>
      <c r="I418" s="1034" t="s">
        <v>4797</v>
      </c>
      <c r="J418" s="1135" t="s">
        <v>2324</v>
      </c>
      <c r="K418" s="1119" t="s">
        <v>1567</v>
      </c>
      <c r="L418" s="1135" t="s">
        <v>1571</v>
      </c>
      <c r="M418" s="1033">
        <v>0.7</v>
      </c>
      <c r="N418" s="1135" t="s">
        <v>1569</v>
      </c>
      <c r="O418" s="1135">
        <v>1.17</v>
      </c>
      <c r="P418" s="1135">
        <v>1.1599999999999999</v>
      </c>
      <c r="Q418" s="1135">
        <v>2.0999999999999999E-3</v>
      </c>
      <c r="R418" s="1135">
        <v>8.6099999999999996E-3</v>
      </c>
      <c r="S418" s="1135">
        <v>0</v>
      </c>
      <c r="T418" s="1978">
        <v>0</v>
      </c>
      <c r="U418" s="2041">
        <v>0</v>
      </c>
    </row>
    <row r="419" spans="2:21" hidden="1" outlineLevel="1">
      <c r="B419" s="1045"/>
      <c r="C419" s="1045"/>
      <c r="D419" s="1051">
        <f t="shared" si="32"/>
        <v>39</v>
      </c>
      <c r="E419" s="1051" t="str">
        <f>IF(COUNTIF(E$284:E418,F419)&gt;0,"",F419)</f>
        <v/>
      </c>
      <c r="F419" s="1051" t="str">
        <f t="shared" si="33"/>
        <v>Avion passagers, 51-100 sièges, &lt; 500 km turboprop, avec trainées, France continentale, Base Carbone</v>
      </c>
      <c r="G419" s="1055" t="str">
        <f t="shared" si="34"/>
        <v>Avion passagers, 51-100 sièges, &lt; 500 km turboprop, avec trainées, France continentale, Base Carbone; kgCO2e/tonne.km, Emissions fugitives</v>
      </c>
      <c r="I419" s="1034" t="s">
        <v>4797</v>
      </c>
      <c r="J419" s="1135" t="s">
        <v>2324</v>
      </c>
      <c r="K419" s="1119" t="s">
        <v>1567</v>
      </c>
      <c r="L419" s="1135" t="s">
        <v>1571</v>
      </c>
      <c r="M419" s="1033">
        <v>0.7</v>
      </c>
      <c r="N419" s="1135" t="s">
        <v>1764</v>
      </c>
      <c r="O419" s="1135">
        <v>1.17</v>
      </c>
      <c r="P419" s="1135">
        <v>0</v>
      </c>
      <c r="Q419" s="1135">
        <v>0</v>
      </c>
      <c r="R419" s="1135">
        <v>0</v>
      </c>
      <c r="S419" s="1135">
        <v>0</v>
      </c>
      <c r="T419" s="1978">
        <v>1.17</v>
      </c>
      <c r="U419" s="2041">
        <v>0</v>
      </c>
    </row>
    <row r="420" spans="2:21" hidden="1" outlineLevel="1">
      <c r="B420" s="1045"/>
      <c r="C420" s="1045"/>
      <c r="D420" s="1051">
        <f t="shared" si="32"/>
        <v>39</v>
      </c>
      <c r="E420" s="1051" t="str">
        <f>IF(COUNTIF(E$284:E419,F420)&gt;0,"",F420)</f>
        <v/>
      </c>
      <c r="F420" s="1051" t="str">
        <f t="shared" si="33"/>
        <v>Avion passagers, 51-100 sièges, &lt; 500 km turboprop, avec trainées, France continentale, Base Carbone</v>
      </c>
      <c r="G420" s="1055" t="str">
        <f t="shared" si="34"/>
        <v>Avion passagers, 51-100 sièges, &lt; 500 km turboprop, avec trainées, France continentale, Base Carbone; kgCO2e/tonne.km, Amont</v>
      </c>
      <c r="I420" s="1034" t="s">
        <v>4797</v>
      </c>
      <c r="J420" s="1135" t="s">
        <v>2324</v>
      </c>
      <c r="K420" s="1119" t="s">
        <v>1567</v>
      </c>
      <c r="L420" s="1135" t="s">
        <v>1571</v>
      </c>
      <c r="M420" s="1033">
        <v>0.7</v>
      </c>
      <c r="N420" s="1135" t="s">
        <v>1570</v>
      </c>
      <c r="O420" s="1135">
        <v>0.24199999999999999</v>
      </c>
      <c r="P420" s="1135">
        <v>0.22</v>
      </c>
      <c r="Q420" s="1135">
        <v>1.0999999999999999E-2</v>
      </c>
      <c r="R420" s="1135">
        <v>0</v>
      </c>
      <c r="S420" s="1135">
        <v>1.0999999999999999E-2</v>
      </c>
      <c r="T420" s="1978">
        <v>0</v>
      </c>
      <c r="U420" s="2041">
        <v>0</v>
      </c>
    </row>
    <row r="421" spans="2:21" hidden="1" outlineLevel="1">
      <c r="B421" s="1045"/>
      <c r="C421" s="1045"/>
      <c r="D421" s="1051">
        <f t="shared" si="32"/>
        <v>39</v>
      </c>
      <c r="E421" s="1051" t="str">
        <f>IF(COUNTIF(E$284:E420,F421)&gt;0,"",F421)</f>
        <v/>
      </c>
      <c r="F421" s="1051" t="str">
        <f t="shared" si="33"/>
        <v>Avion passagers, 51-100 sièges, &lt; 500 km turboprop, avec trainées, France continentale, Base Carbone</v>
      </c>
      <c r="G421" s="1055" t="str">
        <f t="shared" si="34"/>
        <v>Avion passagers, 51-100 sièges, &lt; 500 km turboprop, avec trainées, France continentale, Base Carbone; kgCO2e/tonne.km, Fabrication</v>
      </c>
      <c r="I421" s="1034" t="s">
        <v>4797</v>
      </c>
      <c r="J421" s="1135" t="s">
        <v>2324</v>
      </c>
      <c r="K421" s="1119" t="s">
        <v>1567</v>
      </c>
      <c r="L421" s="1135" t="s">
        <v>1571</v>
      </c>
      <c r="M421" s="1033">
        <v>0.7</v>
      </c>
      <c r="N421" s="1135" t="s">
        <v>332</v>
      </c>
      <c r="O421" s="1135">
        <v>4.2900000000000004E-3</v>
      </c>
      <c r="P421" s="1135">
        <v>4.2900000000000004E-3</v>
      </c>
      <c r="Q421" s="1135">
        <v>0</v>
      </c>
      <c r="R421" s="1135">
        <v>0</v>
      </c>
      <c r="S421" s="1135">
        <v>0</v>
      </c>
      <c r="T421" s="1978">
        <v>0</v>
      </c>
      <c r="U421" s="2041">
        <v>0</v>
      </c>
    </row>
    <row r="422" spans="2:21" hidden="1" outlineLevel="1">
      <c r="B422" s="1045"/>
      <c r="C422" s="1045"/>
      <c r="D422" s="1051">
        <f t="shared" si="32"/>
        <v>40</v>
      </c>
      <c r="E422" s="1051" t="str">
        <f>IF(COUNTIF(E$284:E421,F422)&gt;0,"",F422)</f>
        <v>Avion passagers, 51-100 sièges, &lt; 500 km turboprop, sans trainées, France continentale, Base Carbone</v>
      </c>
      <c r="F422" s="1051" t="str">
        <f t="shared" si="33"/>
        <v>Avion passagers, 51-100 sièges, &lt; 500 km turboprop, sans trainées, France continentale, Base Carbone</v>
      </c>
      <c r="G422" s="1055" t="str">
        <f t="shared" si="34"/>
        <v>Avion passagers, 51-100 sièges, &lt; 500 km turboprop, sans trainées, France continentale, Base Carbone; kgCO2e/tonne.km, Combustion</v>
      </c>
      <c r="I422" s="1034" t="s">
        <v>4798</v>
      </c>
      <c r="J422" s="1135" t="s">
        <v>2324</v>
      </c>
      <c r="K422" s="1119" t="s">
        <v>1567</v>
      </c>
      <c r="L422" s="1135" t="s">
        <v>1571</v>
      </c>
      <c r="M422" s="1033">
        <v>0.1</v>
      </c>
      <c r="N422" s="1135" t="s">
        <v>1569</v>
      </c>
      <c r="O422" s="1135">
        <v>1.17</v>
      </c>
      <c r="P422" s="1135">
        <v>1.1599999999999999</v>
      </c>
      <c r="Q422" s="1135">
        <v>2.0999999999999999E-3</v>
      </c>
      <c r="R422" s="1135">
        <v>8.6099999999999996E-3</v>
      </c>
      <c r="S422" s="1135">
        <v>0</v>
      </c>
      <c r="T422" s="1978">
        <v>0</v>
      </c>
      <c r="U422" s="2041">
        <v>0</v>
      </c>
    </row>
    <row r="423" spans="2:21" hidden="1" outlineLevel="1">
      <c r="B423" s="1045"/>
      <c r="C423" s="1045"/>
      <c r="D423" s="1051">
        <f t="shared" si="32"/>
        <v>40</v>
      </c>
      <c r="E423" s="1051" t="str">
        <f>IF(COUNTIF(E$284:E422,F423)&gt;0,"",F423)</f>
        <v/>
      </c>
      <c r="F423" s="1051" t="str">
        <f t="shared" si="33"/>
        <v>Avion passagers, 51-100 sièges, &lt; 500 km turboprop, sans trainées, France continentale, Base Carbone</v>
      </c>
      <c r="G423" s="1055" t="str">
        <f t="shared" si="34"/>
        <v>Avion passagers, 51-100 sièges, &lt; 500 km turboprop, sans trainées, France continentale, Base Carbone; kgCO2e/tonne.km, Amont</v>
      </c>
      <c r="I423" s="1034" t="s">
        <v>4798</v>
      </c>
      <c r="J423" s="1135" t="s">
        <v>2324</v>
      </c>
      <c r="K423" s="1119" t="s">
        <v>1567</v>
      </c>
      <c r="L423" s="1135" t="s">
        <v>1571</v>
      </c>
      <c r="M423" s="1033">
        <v>0.1</v>
      </c>
      <c r="N423" s="1135" t="s">
        <v>1570</v>
      </c>
      <c r="O423" s="1135">
        <v>0.24199999999999999</v>
      </c>
      <c r="P423" s="1135">
        <v>0.22</v>
      </c>
      <c r="Q423" s="1135">
        <v>1.0999999999999999E-2</v>
      </c>
      <c r="R423" s="1135">
        <v>0</v>
      </c>
      <c r="S423" s="1135">
        <v>1.0999999999999999E-2</v>
      </c>
      <c r="T423" s="1978">
        <v>0</v>
      </c>
      <c r="U423" s="2041">
        <v>0</v>
      </c>
    </row>
    <row r="424" spans="2:21" hidden="1" outlineLevel="1">
      <c r="B424" s="1045"/>
      <c r="C424" s="1045"/>
      <c r="D424" s="1051">
        <f t="shared" si="32"/>
        <v>40</v>
      </c>
      <c r="E424" s="1051" t="str">
        <f>IF(COUNTIF(E$284:E423,F424)&gt;0,"",F424)</f>
        <v/>
      </c>
      <c r="F424" s="1051" t="str">
        <f t="shared" si="33"/>
        <v>Avion passagers, 51-100 sièges, &lt; 500 km turboprop, sans trainées, France continentale, Base Carbone</v>
      </c>
      <c r="G424" s="1055" t="str">
        <f t="shared" si="34"/>
        <v>Avion passagers, 51-100 sièges, &lt; 500 km turboprop, sans trainées, France continentale, Base Carbone; kgCO2e/tonne.km, Fabrication</v>
      </c>
      <c r="I424" s="1034" t="s">
        <v>4798</v>
      </c>
      <c r="J424" s="1135" t="s">
        <v>2324</v>
      </c>
      <c r="K424" s="1119" t="s">
        <v>1567</v>
      </c>
      <c r="L424" s="1135" t="s">
        <v>1571</v>
      </c>
      <c r="M424" s="1033">
        <v>0.1</v>
      </c>
      <c r="N424" s="1135" t="s">
        <v>332</v>
      </c>
      <c r="O424" s="1135">
        <v>4.2900000000000004E-3</v>
      </c>
      <c r="P424" s="1135">
        <v>4.2900000000000004E-3</v>
      </c>
      <c r="Q424" s="1135">
        <v>0</v>
      </c>
      <c r="R424" s="1135">
        <v>0</v>
      </c>
      <c r="S424" s="1135">
        <v>0</v>
      </c>
      <c r="T424" s="1978">
        <v>0</v>
      </c>
      <c r="U424" s="2041">
        <v>0</v>
      </c>
    </row>
    <row r="425" spans="2:21" hidden="1" outlineLevel="1">
      <c r="B425" s="1045"/>
      <c r="C425" s="1045"/>
      <c r="D425" s="1051">
        <f t="shared" si="32"/>
        <v>41</v>
      </c>
      <c r="E425" s="1051" t="str">
        <f>IF(COUNTIF(E$284:E424,F425)&gt;0,"",F425)</f>
        <v>Avion passagers, &gt; 220 sièges, 1000 - 3500 km, avec trainées, France continentale, Base Carbone</v>
      </c>
      <c r="F425" s="1051" t="str">
        <f t="shared" si="33"/>
        <v>Avion passagers, &gt; 220 sièges, 1000 - 3500 km, avec trainées, France continentale, Base Carbone</v>
      </c>
      <c r="G425" s="1055" t="str">
        <f t="shared" si="34"/>
        <v>Avion passagers, &gt; 220 sièges, 1000 - 3500 km, avec trainées, France continentale, Base Carbone; kgCO2e/tonne.km, Combustion</v>
      </c>
      <c r="I425" s="1034" t="s">
        <v>3891</v>
      </c>
      <c r="J425" s="1135" t="s">
        <v>2324</v>
      </c>
      <c r="K425" s="1119" t="s">
        <v>1567</v>
      </c>
      <c r="L425" s="1119" t="s">
        <v>1571</v>
      </c>
      <c r="M425" s="1033">
        <v>0.7</v>
      </c>
      <c r="N425" s="1119" t="s">
        <v>1569</v>
      </c>
      <c r="O425" s="1135">
        <v>0.80700000000000005</v>
      </c>
      <c r="P425" s="1135">
        <v>0.80100000000000005</v>
      </c>
      <c r="Q425" s="1135">
        <v>9.8999999999999994E-5</v>
      </c>
      <c r="R425" s="1135">
        <v>0</v>
      </c>
      <c r="S425" s="1135">
        <v>5.94E-3</v>
      </c>
      <c r="T425" s="1978">
        <v>0</v>
      </c>
      <c r="U425" s="2041">
        <v>0</v>
      </c>
    </row>
    <row r="426" spans="2:21" hidden="1" outlineLevel="1">
      <c r="B426" s="1045"/>
      <c r="C426" s="1045"/>
      <c r="D426" s="1051">
        <f t="shared" si="32"/>
        <v>41</v>
      </c>
      <c r="E426" s="1051" t="str">
        <f>IF(COUNTIF(E$284:E425,F426)&gt;0,"",F426)</f>
        <v/>
      </c>
      <c r="F426" s="1051" t="str">
        <f t="shared" si="33"/>
        <v>Avion passagers, &gt; 220 sièges, 1000 - 3500 km, avec trainées, France continentale, Base Carbone</v>
      </c>
      <c r="G426" s="1055" t="str">
        <f t="shared" si="34"/>
        <v>Avion passagers, &gt; 220 sièges, 1000 - 3500 km, avec trainées, France continentale, Base Carbone; kgCO2e/tonne.km, Emissions fugitives</v>
      </c>
      <c r="I426" s="1034" t="s">
        <v>3891</v>
      </c>
      <c r="J426" s="1135" t="s">
        <v>2324</v>
      </c>
      <c r="K426" s="1119" t="s">
        <v>1567</v>
      </c>
      <c r="L426" s="1119" t="s">
        <v>1571</v>
      </c>
      <c r="M426" s="1033">
        <v>0.7</v>
      </c>
      <c r="N426" s="1119" t="s">
        <v>1764</v>
      </c>
      <c r="O426" s="1135">
        <v>0.80700000000000005</v>
      </c>
      <c r="P426" s="1135">
        <v>0</v>
      </c>
      <c r="Q426" s="1135">
        <v>0</v>
      </c>
      <c r="R426" s="1135">
        <v>0</v>
      </c>
      <c r="S426" s="1135">
        <v>0</v>
      </c>
      <c r="T426" s="1978">
        <v>0.80700000000000005</v>
      </c>
      <c r="U426" s="2041">
        <v>0</v>
      </c>
    </row>
    <row r="427" spans="2:21" hidden="1" outlineLevel="1">
      <c r="B427" s="1045"/>
      <c r="C427" s="1045"/>
      <c r="D427" s="1051">
        <f t="shared" si="32"/>
        <v>41</v>
      </c>
      <c r="E427" s="1051" t="str">
        <f>IF(COUNTIF(E$284:E426,F427)&gt;0,"",F427)</f>
        <v/>
      </c>
      <c r="F427" s="1051" t="str">
        <f t="shared" si="33"/>
        <v>Avion passagers, &gt; 220 sièges, 1000 - 3500 km, avec trainées, France continentale, Base Carbone</v>
      </c>
      <c r="G427" s="1055" t="str">
        <f t="shared" si="34"/>
        <v>Avion passagers, &gt; 220 sièges, 1000 - 3500 km, avec trainées, France continentale, Base Carbone; kgCO2e/tonne.km, Amont</v>
      </c>
      <c r="I427" s="1034" t="s">
        <v>3891</v>
      </c>
      <c r="J427" s="1135" t="s">
        <v>2324</v>
      </c>
      <c r="K427" s="1119" t="s">
        <v>1567</v>
      </c>
      <c r="L427" s="1119" t="s">
        <v>1571</v>
      </c>
      <c r="M427" s="1033">
        <v>0.7</v>
      </c>
      <c r="N427" s="1119" t="s">
        <v>1570</v>
      </c>
      <c r="O427" s="1135">
        <v>0.16700000000000001</v>
      </c>
      <c r="P427" s="1135">
        <v>0.152</v>
      </c>
      <c r="Q427" s="1135">
        <v>7.6E-3</v>
      </c>
      <c r="R427" s="1135">
        <v>0</v>
      </c>
      <c r="S427" s="1135">
        <v>7.6299999999999996E-3</v>
      </c>
      <c r="T427" s="1978">
        <v>0</v>
      </c>
      <c r="U427" s="2041">
        <v>0</v>
      </c>
    </row>
    <row r="428" spans="2:21" hidden="1" outlineLevel="1">
      <c r="B428" s="1045"/>
      <c r="C428" s="1045"/>
      <c r="D428" s="1051">
        <f t="shared" si="32"/>
        <v>41</v>
      </c>
      <c r="E428" s="1051" t="str">
        <f>IF(COUNTIF(E$284:E427,F428)&gt;0,"",F428)</f>
        <v/>
      </c>
      <c r="F428" s="1051" t="str">
        <f t="shared" si="33"/>
        <v>Avion passagers, &gt; 220 sièges, 1000 - 3500 km, avec trainées, France continentale, Base Carbone</v>
      </c>
      <c r="G428" s="1055" t="str">
        <f t="shared" si="34"/>
        <v>Avion passagers, &gt; 220 sièges, 1000 - 3500 km, avec trainées, France continentale, Base Carbone; kgCO2e/tonne.km, Fabrication</v>
      </c>
      <c r="I428" s="1034" t="s">
        <v>3891</v>
      </c>
      <c r="J428" s="1135" t="s">
        <v>2324</v>
      </c>
      <c r="K428" s="1119" t="s">
        <v>1567</v>
      </c>
      <c r="L428" s="1119" t="s">
        <v>1571</v>
      </c>
      <c r="M428" s="1033">
        <v>0.7</v>
      </c>
      <c r="N428" s="1119" t="s">
        <v>332</v>
      </c>
      <c r="O428" s="1135">
        <v>3.2299999999999998E-3</v>
      </c>
      <c r="P428" s="1135">
        <v>3.2299999999999998E-3</v>
      </c>
      <c r="Q428" s="1135">
        <v>0</v>
      </c>
      <c r="R428" s="1135">
        <v>0</v>
      </c>
      <c r="S428" s="1135">
        <v>0</v>
      </c>
      <c r="T428" s="1978">
        <v>0</v>
      </c>
      <c r="U428" s="2041">
        <v>0</v>
      </c>
    </row>
    <row r="429" spans="2:21" hidden="1" outlineLevel="1">
      <c r="B429" s="1045"/>
      <c r="C429" s="1045"/>
      <c r="D429" s="1051">
        <f t="shared" si="32"/>
        <v>42</v>
      </c>
      <c r="E429" s="1051" t="str">
        <f>IF(COUNTIF(E$284:E428,F429)&gt;0,"",F429)</f>
        <v>Avion passagers, &gt; 220 sièges, 1000 - 3500 km, sans trainées, France continentale, Base Carbone</v>
      </c>
      <c r="F429" s="1051" t="str">
        <f t="shared" si="33"/>
        <v>Avion passagers, &gt; 220 sièges, 1000 - 3500 km, sans trainées, France continentale, Base Carbone</v>
      </c>
      <c r="G429" s="1055" t="str">
        <f t="shared" si="34"/>
        <v>Avion passagers, &gt; 220 sièges, 1000 - 3500 km, sans trainées, France continentale, Base Carbone; kgCO2e/tonne.km, Combustion</v>
      </c>
      <c r="I429" s="1034" t="s">
        <v>3892</v>
      </c>
      <c r="J429" s="1135" t="s">
        <v>2324</v>
      </c>
      <c r="K429" s="1119" t="s">
        <v>1567</v>
      </c>
      <c r="L429" s="1119" t="s">
        <v>1571</v>
      </c>
      <c r="M429" s="1033">
        <v>0.1</v>
      </c>
      <c r="N429" s="1119" t="s">
        <v>1569</v>
      </c>
      <c r="O429" s="1135">
        <v>0.80700000000000005</v>
      </c>
      <c r="P429" s="1135">
        <v>0.80100000000000005</v>
      </c>
      <c r="Q429" s="1135">
        <v>9.8999999999999994E-5</v>
      </c>
      <c r="R429" s="1135">
        <v>0</v>
      </c>
      <c r="S429" s="1135">
        <v>5.94E-3</v>
      </c>
      <c r="T429" s="1978">
        <v>0</v>
      </c>
      <c r="U429" s="2041">
        <v>0</v>
      </c>
    </row>
    <row r="430" spans="2:21" hidden="1" outlineLevel="1">
      <c r="B430" s="1045"/>
      <c r="C430" s="1045"/>
      <c r="D430" s="1051">
        <f t="shared" si="32"/>
        <v>42</v>
      </c>
      <c r="E430" s="1051" t="str">
        <f>IF(COUNTIF(E$284:E429,F430)&gt;0,"",F430)</f>
        <v/>
      </c>
      <c r="F430" s="1051" t="str">
        <f t="shared" si="33"/>
        <v>Avion passagers, &gt; 220 sièges, 1000 - 3500 km, sans trainées, France continentale, Base Carbone</v>
      </c>
      <c r="G430" s="1055" t="str">
        <f t="shared" si="34"/>
        <v>Avion passagers, &gt; 220 sièges, 1000 - 3500 km, sans trainées, France continentale, Base Carbone; kgCO2e/tonne.km, Amont</v>
      </c>
      <c r="I430" s="1034" t="s">
        <v>3892</v>
      </c>
      <c r="J430" s="1135" t="s">
        <v>2324</v>
      </c>
      <c r="K430" s="1119" t="s">
        <v>1567</v>
      </c>
      <c r="L430" s="1119" t="s">
        <v>1571</v>
      </c>
      <c r="M430" s="1033">
        <v>0.1</v>
      </c>
      <c r="N430" s="1119" t="s">
        <v>1570</v>
      </c>
      <c r="O430" s="1135">
        <v>0.16700000000000001</v>
      </c>
      <c r="P430" s="1135">
        <v>0.152</v>
      </c>
      <c r="Q430" s="1135">
        <v>7.6E-3</v>
      </c>
      <c r="R430" s="1135">
        <v>0</v>
      </c>
      <c r="S430" s="1135">
        <v>7.6299999999999996E-3</v>
      </c>
      <c r="T430" s="1978">
        <v>0</v>
      </c>
      <c r="U430" s="2041">
        <v>0</v>
      </c>
    </row>
    <row r="431" spans="2:21" hidden="1" outlineLevel="1">
      <c r="B431" s="1045"/>
      <c r="C431" s="1045"/>
      <c r="D431" s="1051">
        <f t="shared" si="32"/>
        <v>42</v>
      </c>
      <c r="E431" s="1051" t="str">
        <f>IF(COUNTIF(E$284:E430,F431)&gt;0,"",F431)</f>
        <v/>
      </c>
      <c r="F431" s="1051" t="str">
        <f t="shared" si="33"/>
        <v>Avion passagers, &gt; 220 sièges, 1000 - 3500 km, sans trainées, France continentale, Base Carbone</v>
      </c>
      <c r="G431" s="1055" t="str">
        <f t="shared" si="34"/>
        <v>Avion passagers, &gt; 220 sièges, 1000 - 3500 km, sans trainées, France continentale, Base Carbone; kgCO2e/tonne.km, Fabrication</v>
      </c>
      <c r="I431" s="1034" t="s">
        <v>3892</v>
      </c>
      <c r="J431" s="1135" t="s">
        <v>2324</v>
      </c>
      <c r="K431" s="1119" t="s">
        <v>1567</v>
      </c>
      <c r="L431" s="1119" t="s">
        <v>1571</v>
      </c>
      <c r="M431" s="1033">
        <v>0.1</v>
      </c>
      <c r="N431" s="1119" t="s">
        <v>332</v>
      </c>
      <c r="O431" s="1135">
        <v>3.2299999999999998E-3</v>
      </c>
      <c r="P431" s="1135">
        <v>3.2299999999999998E-3</v>
      </c>
      <c r="Q431" s="1135">
        <v>0</v>
      </c>
      <c r="R431" s="1135">
        <v>0</v>
      </c>
      <c r="S431" s="1135">
        <v>0</v>
      </c>
      <c r="T431" s="1978">
        <v>0</v>
      </c>
      <c r="U431" s="2041">
        <v>0</v>
      </c>
    </row>
    <row r="432" spans="2:21" hidden="1" outlineLevel="1">
      <c r="B432" s="1045"/>
      <c r="C432" s="1045"/>
      <c r="D432" s="1051">
        <f t="shared" si="32"/>
        <v>43</v>
      </c>
      <c r="E432" s="1051" t="str">
        <f>IF(COUNTIF(E$284:E431,F432)&gt;0,"",F432)</f>
        <v>Avion passagers, &gt; 220 sièges, &gt; 3500 km, avec trainées, France continentale, Base Carbone</v>
      </c>
      <c r="F432" s="1051" t="str">
        <f t="shared" si="33"/>
        <v>Avion passagers, &gt; 220 sièges, &gt; 3500 km, avec trainées, France continentale, Base Carbone</v>
      </c>
      <c r="G432" s="1055" t="str">
        <f t="shared" si="34"/>
        <v>Avion passagers, &gt; 220 sièges, &gt; 3500 km, avec trainées, France continentale, Base Carbone; kgCO2e/tonne.km, Combustion</v>
      </c>
      <c r="I432" s="1034" t="s">
        <v>3893</v>
      </c>
      <c r="J432" s="1135" t="s">
        <v>2324</v>
      </c>
      <c r="K432" s="1119" t="s">
        <v>1567</v>
      </c>
      <c r="L432" s="1119" t="s">
        <v>1571</v>
      </c>
      <c r="M432" s="1033">
        <v>0.7</v>
      </c>
      <c r="N432" s="1119" t="s">
        <v>1569</v>
      </c>
      <c r="O432" s="1135">
        <v>0.68600000000000005</v>
      </c>
      <c r="P432" s="1135">
        <v>0.68100000000000005</v>
      </c>
      <c r="Q432" s="1135">
        <v>0</v>
      </c>
      <c r="R432" s="1135">
        <v>0</v>
      </c>
      <c r="S432" s="1135">
        <v>5.0099999999999997E-3</v>
      </c>
      <c r="T432" s="1978">
        <v>0</v>
      </c>
      <c r="U432" s="2041">
        <v>0</v>
      </c>
    </row>
    <row r="433" spans="2:21" hidden="1" outlineLevel="1">
      <c r="B433" s="1045"/>
      <c r="C433" s="1045"/>
      <c r="D433" s="1051">
        <f t="shared" si="32"/>
        <v>43</v>
      </c>
      <c r="E433" s="1051" t="str">
        <f>IF(COUNTIF(E$284:E432,F433)&gt;0,"",F433)</f>
        <v/>
      </c>
      <c r="F433" s="1051" t="str">
        <f t="shared" si="33"/>
        <v>Avion passagers, &gt; 220 sièges, &gt; 3500 km, avec trainées, France continentale, Base Carbone</v>
      </c>
      <c r="G433" s="1055" t="str">
        <f t="shared" si="34"/>
        <v>Avion passagers, &gt; 220 sièges, &gt; 3500 km, avec trainées, France continentale, Base Carbone; kgCO2e/tonne.km, Emissions fugitives</v>
      </c>
      <c r="I433" s="1034" t="s">
        <v>3893</v>
      </c>
      <c r="J433" s="1135" t="s">
        <v>2324</v>
      </c>
      <c r="K433" s="1119" t="s">
        <v>1567</v>
      </c>
      <c r="L433" s="1119" t="s">
        <v>1571</v>
      </c>
      <c r="M433" s="1033">
        <v>0.7</v>
      </c>
      <c r="N433" s="1119" t="s">
        <v>1764</v>
      </c>
      <c r="O433" s="1135">
        <v>0.68600000000000005</v>
      </c>
      <c r="P433" s="1135">
        <v>0</v>
      </c>
      <c r="Q433" s="1135">
        <v>0</v>
      </c>
      <c r="R433" s="1135">
        <v>0</v>
      </c>
      <c r="S433" s="1135">
        <v>0</v>
      </c>
      <c r="T433" s="1978">
        <v>0.68600000000000005</v>
      </c>
      <c r="U433" s="2041">
        <v>0</v>
      </c>
    </row>
    <row r="434" spans="2:21" hidden="1" outlineLevel="1">
      <c r="B434" s="1045"/>
      <c r="C434" s="1045"/>
      <c r="D434" s="1051">
        <f t="shared" si="32"/>
        <v>43</v>
      </c>
      <c r="E434" s="1051" t="str">
        <f>IF(COUNTIF(E$284:E433,F434)&gt;0,"",F434)</f>
        <v/>
      </c>
      <c r="F434" s="1051" t="str">
        <f t="shared" si="33"/>
        <v>Avion passagers, &gt; 220 sièges, &gt; 3500 km, avec trainées, France continentale, Base Carbone</v>
      </c>
      <c r="G434" s="1055" t="str">
        <f t="shared" si="34"/>
        <v>Avion passagers, &gt; 220 sièges, &gt; 3500 km, avec trainées, France continentale, Base Carbone; kgCO2e/tonne.km, Amont</v>
      </c>
      <c r="I434" s="1034" t="s">
        <v>3893</v>
      </c>
      <c r="J434" s="1135" t="s">
        <v>2324</v>
      </c>
      <c r="K434" s="1119" t="s">
        <v>1567</v>
      </c>
      <c r="L434" s="1119" t="s">
        <v>1571</v>
      </c>
      <c r="M434" s="1033">
        <v>0.7</v>
      </c>
      <c r="N434" s="1119" t="s">
        <v>1570</v>
      </c>
      <c r="O434" s="1135">
        <v>0.14199999999999999</v>
      </c>
      <c r="P434" s="1135">
        <v>0.129</v>
      </c>
      <c r="Q434" s="1135">
        <v>6.4700000000000001E-3</v>
      </c>
      <c r="R434" s="1135">
        <v>0</v>
      </c>
      <c r="S434" s="1135">
        <v>6.4700000000000001E-3</v>
      </c>
      <c r="T434" s="1978">
        <v>0</v>
      </c>
      <c r="U434" s="2041">
        <v>0</v>
      </c>
    </row>
    <row r="435" spans="2:21" hidden="1" outlineLevel="1">
      <c r="B435" s="1045"/>
      <c r="C435" s="1045"/>
      <c r="D435" s="1051">
        <f t="shared" si="32"/>
        <v>43</v>
      </c>
      <c r="E435" s="1051" t="str">
        <f>IF(COUNTIF(E$284:E434,F435)&gt;0,"",F435)</f>
        <v/>
      </c>
      <c r="F435" s="1051" t="str">
        <f t="shared" si="33"/>
        <v>Avion passagers, &gt; 220 sièges, &gt; 3500 km, avec trainées, France continentale, Base Carbone</v>
      </c>
      <c r="G435" s="1055" t="str">
        <f t="shared" si="34"/>
        <v>Avion passagers, &gt; 220 sièges, &gt; 3500 km, avec trainées, France continentale, Base Carbone; kgCO2e/tonne.km, Fabrication</v>
      </c>
      <c r="I435" s="1034" t="s">
        <v>3893</v>
      </c>
      <c r="J435" s="1135" t="s">
        <v>2324</v>
      </c>
      <c r="K435" s="1119" t="s">
        <v>1567</v>
      </c>
      <c r="L435" s="1119" t="s">
        <v>1571</v>
      </c>
      <c r="M435" s="1033">
        <v>0.7</v>
      </c>
      <c r="N435" s="1119" t="s">
        <v>332</v>
      </c>
      <c r="O435" s="1135">
        <v>2.3900000000000002E-3</v>
      </c>
      <c r="P435" s="1135">
        <v>2.3900000000000002E-3</v>
      </c>
      <c r="Q435" s="1135">
        <v>0</v>
      </c>
      <c r="R435" s="1135">
        <v>0</v>
      </c>
      <c r="S435" s="1135">
        <v>0</v>
      </c>
      <c r="T435" s="1978">
        <v>0</v>
      </c>
      <c r="U435" s="2041">
        <v>0</v>
      </c>
    </row>
    <row r="436" spans="2:21" hidden="1" outlineLevel="1">
      <c r="B436" s="1045"/>
      <c r="C436" s="1045"/>
      <c r="D436" s="1051">
        <f t="shared" si="32"/>
        <v>44</v>
      </c>
      <c r="E436" s="1051" t="str">
        <f>IF(COUNTIF(E$284:E435,F436)&gt;0,"",F436)</f>
        <v>Avion passagers, &gt; 220 sièges, &gt; 3500 km, sans trainées, France continentale, Base Carbone</v>
      </c>
      <c r="F436" s="1051" t="str">
        <f t="shared" si="33"/>
        <v>Avion passagers, &gt; 220 sièges, &gt; 3500 km, sans trainées, France continentale, Base Carbone</v>
      </c>
      <c r="G436" s="1055" t="str">
        <f t="shared" si="34"/>
        <v>Avion passagers, &gt; 220 sièges, &gt; 3500 km, sans trainées, France continentale, Base Carbone; kgCO2e/tonne.km, Combustion</v>
      </c>
      <c r="I436" s="1034" t="s">
        <v>3894</v>
      </c>
      <c r="J436" s="1135" t="s">
        <v>2324</v>
      </c>
      <c r="K436" s="1119" t="s">
        <v>1567</v>
      </c>
      <c r="L436" s="1119" t="s">
        <v>1571</v>
      </c>
      <c r="M436" s="1033">
        <v>0.1</v>
      </c>
      <c r="N436" s="1119" t="s">
        <v>1569</v>
      </c>
      <c r="O436" s="1135">
        <v>0.68600000000000005</v>
      </c>
      <c r="P436" s="1135">
        <v>0.68100000000000005</v>
      </c>
      <c r="Q436" s="1135">
        <v>0</v>
      </c>
      <c r="R436" s="1135">
        <v>0</v>
      </c>
      <c r="S436" s="1135">
        <v>5.0099999999999997E-3</v>
      </c>
      <c r="T436" s="1978">
        <v>0</v>
      </c>
      <c r="U436" s="2041">
        <v>0</v>
      </c>
    </row>
    <row r="437" spans="2:21" hidden="1" outlineLevel="1">
      <c r="B437" s="1045"/>
      <c r="C437" s="1045"/>
      <c r="D437" s="1051">
        <f t="shared" si="32"/>
        <v>44</v>
      </c>
      <c r="E437" s="1051" t="str">
        <f>IF(COUNTIF(E$284:E436,F437)&gt;0,"",F437)</f>
        <v/>
      </c>
      <c r="F437" s="1051" t="str">
        <f t="shared" si="33"/>
        <v>Avion passagers, &gt; 220 sièges, &gt; 3500 km, sans trainées, France continentale, Base Carbone</v>
      </c>
      <c r="G437" s="1055" t="str">
        <f t="shared" si="34"/>
        <v>Avion passagers, &gt; 220 sièges, &gt; 3500 km, sans trainées, France continentale, Base Carbone; kgCO2e/tonne.km, Amont</v>
      </c>
      <c r="I437" s="1034" t="s">
        <v>3894</v>
      </c>
      <c r="J437" s="1135" t="s">
        <v>2324</v>
      </c>
      <c r="K437" s="1119" t="s">
        <v>1567</v>
      </c>
      <c r="L437" s="1119" t="s">
        <v>1571</v>
      </c>
      <c r="M437" s="1033">
        <v>0.1</v>
      </c>
      <c r="N437" s="1119" t="s">
        <v>1570</v>
      </c>
      <c r="O437" s="1135">
        <v>0.14199999999999999</v>
      </c>
      <c r="P437" s="1135">
        <v>0.129</v>
      </c>
      <c r="Q437" s="1135">
        <v>6.4700000000000001E-3</v>
      </c>
      <c r="R437" s="1135">
        <v>0</v>
      </c>
      <c r="S437" s="1135">
        <v>6.4700000000000001E-3</v>
      </c>
      <c r="T437" s="1978">
        <v>0</v>
      </c>
      <c r="U437" s="2041">
        <v>0</v>
      </c>
    </row>
    <row r="438" spans="2:21" hidden="1" outlineLevel="1">
      <c r="B438" s="1045"/>
      <c r="C438" s="1045"/>
      <c r="D438" s="1051">
        <f t="shared" si="32"/>
        <v>44</v>
      </c>
      <c r="E438" s="1051" t="str">
        <f>IF(COUNTIF(E$284:E437,F438)&gt;0,"",F438)</f>
        <v/>
      </c>
      <c r="F438" s="1051" t="str">
        <f t="shared" si="33"/>
        <v>Avion passagers, &gt; 220 sièges, &gt; 3500 km, sans trainées, France continentale, Base Carbone</v>
      </c>
      <c r="G438" s="1055" t="str">
        <f t="shared" si="34"/>
        <v>Avion passagers, &gt; 220 sièges, &gt; 3500 km, sans trainées, France continentale, Base Carbone; kgCO2e/tonne.km, Fabrication</v>
      </c>
      <c r="I438" s="1034" t="s">
        <v>3894</v>
      </c>
      <c r="J438" s="1135" t="s">
        <v>2324</v>
      </c>
      <c r="K438" s="1119" t="s">
        <v>1567</v>
      </c>
      <c r="L438" s="1119" t="s">
        <v>1571</v>
      </c>
      <c r="M438" s="1033">
        <v>0.1</v>
      </c>
      <c r="N438" s="1119" t="s">
        <v>332</v>
      </c>
      <c r="O438" s="1135">
        <v>2.3900000000000002E-3</v>
      </c>
      <c r="P438" s="1135">
        <v>2.3900000000000002E-3</v>
      </c>
      <c r="Q438" s="1135">
        <v>0</v>
      </c>
      <c r="R438" s="1135">
        <v>0</v>
      </c>
      <c r="S438" s="1135">
        <v>0</v>
      </c>
      <c r="T438" s="1978">
        <v>0</v>
      </c>
      <c r="U438" s="2041">
        <v>0</v>
      </c>
    </row>
    <row r="439" spans="2:21" hidden="1" outlineLevel="1">
      <c r="B439" s="1045"/>
      <c r="C439" s="1045"/>
      <c r="D439" s="1051">
        <f t="shared" si="32"/>
        <v>45</v>
      </c>
      <c r="E439" s="1051" t="str">
        <f>IF(COUNTIF(E$284:E438,F439)&gt;0,"",F439)</f>
        <v>Avion passagers, court courrier, avec trainées, France continentale, Base Carbone</v>
      </c>
      <c r="F439" s="1051" t="str">
        <f t="shared" si="33"/>
        <v>Avion passagers, court courrier, avec trainées, France continentale, Base Carbone</v>
      </c>
      <c r="G439" s="1055" t="str">
        <f t="shared" si="34"/>
        <v>Avion passagers, court courrier, avec trainées, France continentale, Base Carbone; kgCO2e/tonne.km, Combustion</v>
      </c>
      <c r="I439" s="1034" t="s">
        <v>3895</v>
      </c>
      <c r="J439" s="1135" t="s">
        <v>2324</v>
      </c>
      <c r="K439" s="1119" t="s">
        <v>1567</v>
      </c>
      <c r="L439" s="1119" t="s">
        <v>1571</v>
      </c>
      <c r="M439" s="1033">
        <v>0.7</v>
      </c>
      <c r="N439" s="1119" t="s">
        <v>1569</v>
      </c>
      <c r="O439" s="1135">
        <v>1.17</v>
      </c>
      <c r="P439" s="1135">
        <v>1.1599999999999999</v>
      </c>
      <c r="Q439" s="1135">
        <v>2.7900000000000001E-4</v>
      </c>
      <c r="R439" s="1135">
        <v>0</v>
      </c>
      <c r="S439" s="1135">
        <v>8.5599999999999999E-3</v>
      </c>
      <c r="T439" s="1978">
        <v>0</v>
      </c>
      <c r="U439" s="2041">
        <v>0</v>
      </c>
    </row>
    <row r="440" spans="2:21" hidden="1" outlineLevel="1">
      <c r="B440" s="1045"/>
      <c r="C440" s="1045"/>
      <c r="D440" s="1051">
        <f t="shared" si="32"/>
        <v>45</v>
      </c>
      <c r="E440" s="1051" t="str">
        <f>IF(COUNTIF(E$284:E439,F440)&gt;0,"",F440)</f>
        <v/>
      </c>
      <c r="F440" s="1051" t="str">
        <f t="shared" si="33"/>
        <v>Avion passagers, court courrier, avec trainées, France continentale, Base Carbone</v>
      </c>
      <c r="G440" s="1055" t="str">
        <f t="shared" si="34"/>
        <v>Avion passagers, court courrier, avec trainées, France continentale, Base Carbone; kgCO2e/tonne.km, Emissions fugitives</v>
      </c>
      <c r="I440" s="1034" t="s">
        <v>3895</v>
      </c>
      <c r="J440" s="1135" t="s">
        <v>2324</v>
      </c>
      <c r="K440" s="1119" t="s">
        <v>1567</v>
      </c>
      <c r="L440" s="1119" t="s">
        <v>1571</v>
      </c>
      <c r="M440" s="1033">
        <v>0.7</v>
      </c>
      <c r="N440" s="1119" t="s">
        <v>1764</v>
      </c>
      <c r="O440" s="1135">
        <v>1.17</v>
      </c>
      <c r="P440" s="1135">
        <v>0</v>
      </c>
      <c r="Q440" s="1135">
        <v>0</v>
      </c>
      <c r="R440" s="1135">
        <v>0</v>
      </c>
      <c r="S440" s="1135">
        <v>0</v>
      </c>
      <c r="T440" s="1978">
        <v>1.17</v>
      </c>
      <c r="U440" s="2041">
        <v>0</v>
      </c>
    </row>
    <row r="441" spans="2:21" hidden="1" outlineLevel="1">
      <c r="B441" s="1045"/>
      <c r="C441" s="1045"/>
      <c r="D441" s="1051">
        <f t="shared" si="32"/>
        <v>45</v>
      </c>
      <c r="E441" s="1051" t="str">
        <f>IF(COUNTIF(E$284:E440,F441)&gt;0,"",F441)</f>
        <v/>
      </c>
      <c r="F441" s="1051" t="str">
        <f t="shared" si="33"/>
        <v>Avion passagers, court courrier, avec trainées, France continentale, Base Carbone</v>
      </c>
      <c r="G441" s="1055" t="str">
        <f t="shared" si="34"/>
        <v>Avion passagers, court courrier, avec trainées, France continentale, Base Carbone; kgCO2e/tonne.km, Amont</v>
      </c>
      <c r="I441" s="1034" t="s">
        <v>3895</v>
      </c>
      <c r="J441" s="1135" t="s">
        <v>2324</v>
      </c>
      <c r="K441" s="1119" t="s">
        <v>1567</v>
      </c>
      <c r="L441" s="1119" t="s">
        <v>1571</v>
      </c>
      <c r="M441" s="1033">
        <v>0.7</v>
      </c>
      <c r="N441" s="1119" t="s">
        <v>1570</v>
      </c>
      <c r="O441" s="1135">
        <v>0.24199999999999999</v>
      </c>
      <c r="P441" s="1135">
        <v>0.22</v>
      </c>
      <c r="Q441" s="1135">
        <v>1.0999999999999999E-2</v>
      </c>
      <c r="R441" s="1135">
        <v>0</v>
      </c>
      <c r="S441" s="1135">
        <v>1.0999999999999999E-2</v>
      </c>
      <c r="T441" s="1978">
        <v>0</v>
      </c>
      <c r="U441" s="2041">
        <v>0</v>
      </c>
    </row>
    <row r="442" spans="2:21" hidden="1" outlineLevel="1">
      <c r="B442" s="1045"/>
      <c r="C442" s="1045"/>
      <c r="D442" s="1051">
        <f t="shared" si="32"/>
        <v>45</v>
      </c>
      <c r="E442" s="1051" t="str">
        <f>IF(COUNTIF(E$284:E441,F442)&gt;0,"",F442)</f>
        <v/>
      </c>
      <c r="F442" s="1051" t="str">
        <f t="shared" si="33"/>
        <v>Avion passagers, court courrier, avec trainées, France continentale, Base Carbone</v>
      </c>
      <c r="G442" s="1055" t="str">
        <f t="shared" si="34"/>
        <v>Avion passagers, court courrier, avec trainées, France continentale, Base Carbone; kgCO2e/tonne.km, Fabrication</v>
      </c>
      <c r="I442" s="1034" t="s">
        <v>3895</v>
      </c>
      <c r="J442" s="1135" t="s">
        <v>2324</v>
      </c>
      <c r="K442" s="1119" t="s">
        <v>1567</v>
      </c>
      <c r="L442" s="1119" t="s">
        <v>1571</v>
      </c>
      <c r="M442" s="1033">
        <v>0.7</v>
      </c>
      <c r="N442" s="1119" t="s">
        <v>332</v>
      </c>
      <c r="O442" s="1135">
        <v>3.6700000000000001E-3</v>
      </c>
      <c r="P442" s="1135">
        <v>3.6700000000000001E-3</v>
      </c>
      <c r="Q442" s="1135">
        <v>0</v>
      </c>
      <c r="R442" s="1135">
        <v>0</v>
      </c>
      <c r="S442" s="1135">
        <v>0</v>
      </c>
      <c r="T442" s="1978">
        <v>0</v>
      </c>
      <c r="U442" s="2041">
        <v>0</v>
      </c>
    </row>
    <row r="443" spans="2:21" hidden="1" outlineLevel="1">
      <c r="B443" s="1045"/>
      <c r="C443" s="1045"/>
      <c r="D443" s="1051">
        <f t="shared" si="32"/>
        <v>46</v>
      </c>
      <c r="E443" s="1051" t="str">
        <f>IF(COUNTIF(E$284:E442,F443)&gt;0,"",F443)</f>
        <v>Avion passagers, court courrier, sans trainées, France continentale, Base Carbone</v>
      </c>
      <c r="F443" s="1051" t="str">
        <f t="shared" si="33"/>
        <v>Avion passagers, court courrier, sans trainées, France continentale, Base Carbone</v>
      </c>
      <c r="G443" s="1055" t="str">
        <f t="shared" si="34"/>
        <v>Avion passagers, court courrier, sans trainées, France continentale, Base Carbone; kgCO2e/tonne.km, Combustion</v>
      </c>
      <c r="I443" s="1034" t="s">
        <v>3896</v>
      </c>
      <c r="J443" s="1135" t="s">
        <v>2324</v>
      </c>
      <c r="K443" s="1119" t="s">
        <v>1567</v>
      </c>
      <c r="L443" s="1119" t="s">
        <v>1571</v>
      </c>
      <c r="M443" s="1033">
        <v>0.1</v>
      </c>
      <c r="N443" s="1119" t="s">
        <v>1569</v>
      </c>
      <c r="O443" s="1135">
        <v>1.17</v>
      </c>
      <c r="P443" s="1135">
        <v>1.1599999999999999</v>
      </c>
      <c r="Q443" s="1135">
        <v>2.7900000000000001E-4</v>
      </c>
      <c r="R443" s="1135">
        <v>0</v>
      </c>
      <c r="S443" s="1135">
        <v>8.5599999999999999E-3</v>
      </c>
      <c r="T443" s="1978">
        <v>0</v>
      </c>
      <c r="U443" s="2041">
        <v>0</v>
      </c>
    </row>
    <row r="444" spans="2:21" hidden="1" outlineLevel="1">
      <c r="B444" s="1045"/>
      <c r="C444" s="1045"/>
      <c r="D444" s="1051">
        <f t="shared" si="32"/>
        <v>46</v>
      </c>
      <c r="E444" s="1051" t="str">
        <f>IF(COUNTIF(E$284:E443,F444)&gt;0,"",F444)</f>
        <v/>
      </c>
      <c r="F444" s="1051" t="str">
        <f t="shared" si="33"/>
        <v>Avion passagers, court courrier, sans trainées, France continentale, Base Carbone</v>
      </c>
      <c r="G444" s="1055" t="str">
        <f t="shared" si="34"/>
        <v>Avion passagers, court courrier, sans trainées, France continentale, Base Carbone; kgCO2e/tonne.km, Amont</v>
      </c>
      <c r="I444" s="1034" t="s">
        <v>3896</v>
      </c>
      <c r="J444" s="1135" t="s">
        <v>2324</v>
      </c>
      <c r="K444" s="1119" t="s">
        <v>1567</v>
      </c>
      <c r="L444" s="1119" t="s">
        <v>1571</v>
      </c>
      <c r="M444" s="1033">
        <v>0.1</v>
      </c>
      <c r="N444" s="1119" t="s">
        <v>1570</v>
      </c>
      <c r="O444" s="1135">
        <v>0.24199999999999999</v>
      </c>
      <c r="P444" s="1135">
        <v>0.22</v>
      </c>
      <c r="Q444" s="1135">
        <v>1.0999999999999999E-2</v>
      </c>
      <c r="R444" s="1135">
        <v>0</v>
      </c>
      <c r="S444" s="1135">
        <v>1.0999999999999999E-2</v>
      </c>
      <c r="T444" s="1978">
        <v>0</v>
      </c>
      <c r="U444" s="2041">
        <v>0</v>
      </c>
    </row>
    <row r="445" spans="2:21" hidden="1" outlineLevel="1">
      <c r="B445" s="1045"/>
      <c r="C445" s="1045"/>
      <c r="D445" s="1051">
        <f t="shared" si="32"/>
        <v>46</v>
      </c>
      <c r="E445" s="1051" t="str">
        <f>IF(COUNTIF(E$284:E444,F445)&gt;0,"",F445)</f>
        <v/>
      </c>
      <c r="F445" s="1051" t="str">
        <f t="shared" si="33"/>
        <v>Avion passagers, court courrier, sans trainées, France continentale, Base Carbone</v>
      </c>
      <c r="G445" s="1055" t="str">
        <f t="shared" si="34"/>
        <v>Avion passagers, court courrier, sans trainées, France continentale, Base Carbone; kgCO2e/tonne.km, Fabrication</v>
      </c>
      <c r="I445" s="1034" t="s">
        <v>3896</v>
      </c>
      <c r="J445" s="1135" t="s">
        <v>2324</v>
      </c>
      <c r="K445" s="1119" t="s">
        <v>1567</v>
      </c>
      <c r="L445" s="1119" t="s">
        <v>1571</v>
      </c>
      <c r="M445" s="1033">
        <v>0.1</v>
      </c>
      <c r="N445" s="1119" t="s">
        <v>332</v>
      </c>
      <c r="O445" s="1135">
        <v>3.6700000000000001E-3</v>
      </c>
      <c r="P445" s="1135">
        <v>3.6700000000000001E-3</v>
      </c>
      <c r="Q445" s="1135">
        <v>0</v>
      </c>
      <c r="R445" s="1135">
        <v>0</v>
      </c>
      <c r="S445" s="1135">
        <v>0</v>
      </c>
      <c r="T445" s="1978">
        <v>0</v>
      </c>
      <c r="U445" s="2041">
        <v>0</v>
      </c>
    </row>
    <row r="446" spans="2:21" hidden="1" outlineLevel="1">
      <c r="B446" s="1045"/>
      <c r="C446" s="1045"/>
      <c r="D446" s="1051">
        <f t="shared" si="32"/>
        <v>47</v>
      </c>
      <c r="E446" s="1051" t="str">
        <f>IF(COUNTIF(E$284:E445,F446)&gt;0,"",F446)</f>
        <v>Avion passagers, long courrier, avec trainées, France continentale, Base Carbone</v>
      </c>
      <c r="F446" s="1051" t="str">
        <f t="shared" si="33"/>
        <v>Avion passagers, long courrier, avec trainées, France continentale, Base Carbone</v>
      </c>
      <c r="G446" s="1055" t="str">
        <f t="shared" si="34"/>
        <v>Avion passagers, long courrier, avec trainées, France continentale, Base Carbone; kgCO2e/tonne.km, Combustion</v>
      </c>
      <c r="I446" s="1034" t="s">
        <v>3897</v>
      </c>
      <c r="J446" s="1135" t="s">
        <v>2324</v>
      </c>
      <c r="K446" s="1119" t="s">
        <v>1567</v>
      </c>
      <c r="L446" s="1119" t="s">
        <v>1571</v>
      </c>
      <c r="M446" s="1033">
        <v>0.7</v>
      </c>
      <c r="N446" s="1119" t="s">
        <v>1569</v>
      </c>
      <c r="O446" s="1135">
        <v>0.68700000000000006</v>
      </c>
      <c r="P446" s="1135">
        <v>0.68200000000000005</v>
      </c>
      <c r="Q446" s="1135">
        <v>0</v>
      </c>
      <c r="R446" s="1135">
        <v>0</v>
      </c>
      <c r="S446" s="1135">
        <v>5.0099999999999997E-3</v>
      </c>
      <c r="T446" s="1978">
        <v>0</v>
      </c>
      <c r="U446" s="2041">
        <v>0</v>
      </c>
    </row>
    <row r="447" spans="2:21" hidden="1" outlineLevel="1">
      <c r="B447" s="1045"/>
      <c r="C447" s="1045"/>
      <c r="D447" s="1051">
        <f t="shared" si="32"/>
        <v>47</v>
      </c>
      <c r="E447" s="1051" t="str">
        <f>IF(COUNTIF(E$284:E446,F447)&gt;0,"",F447)</f>
        <v/>
      </c>
      <c r="F447" s="1051" t="str">
        <f t="shared" si="33"/>
        <v>Avion passagers, long courrier, avec trainées, France continentale, Base Carbone</v>
      </c>
      <c r="G447" s="1055" t="str">
        <f t="shared" si="34"/>
        <v>Avion passagers, long courrier, avec trainées, France continentale, Base Carbone; kgCO2e/tonne.km, Emissions fugitives</v>
      </c>
      <c r="I447" s="1034" t="s">
        <v>3897</v>
      </c>
      <c r="J447" s="1135" t="s">
        <v>2324</v>
      </c>
      <c r="K447" s="1119" t="s">
        <v>1567</v>
      </c>
      <c r="L447" s="1119" t="s">
        <v>1571</v>
      </c>
      <c r="M447" s="1033">
        <v>0.7</v>
      </c>
      <c r="N447" s="1119" t="s">
        <v>1764</v>
      </c>
      <c r="O447" s="1135">
        <v>0.68200000000000005</v>
      </c>
      <c r="P447" s="1135">
        <v>0</v>
      </c>
      <c r="Q447" s="1135">
        <v>0</v>
      </c>
      <c r="R447" s="1135">
        <v>0</v>
      </c>
      <c r="S447" s="1135">
        <v>0</v>
      </c>
      <c r="T447" s="1978">
        <v>0.68200000000000005</v>
      </c>
      <c r="U447" s="2041">
        <v>0</v>
      </c>
    </row>
    <row r="448" spans="2:21" hidden="1" outlineLevel="1">
      <c r="B448" s="1045"/>
      <c r="C448" s="1045"/>
      <c r="D448" s="1051">
        <f t="shared" si="32"/>
        <v>47</v>
      </c>
      <c r="E448" s="1051" t="str">
        <f>IF(COUNTIF(E$284:E447,F448)&gt;0,"",F448)</f>
        <v/>
      </c>
      <c r="F448" s="1051" t="str">
        <f t="shared" si="33"/>
        <v>Avion passagers, long courrier, avec trainées, France continentale, Base Carbone</v>
      </c>
      <c r="G448" s="1055" t="str">
        <f t="shared" si="34"/>
        <v>Avion passagers, long courrier, avec trainées, France continentale, Base Carbone; kgCO2e/tonne.km, Amont</v>
      </c>
      <c r="I448" s="1034" t="s">
        <v>3897</v>
      </c>
      <c r="J448" s="1135" t="s">
        <v>2324</v>
      </c>
      <c r="K448" s="1119" t="s">
        <v>1567</v>
      </c>
      <c r="L448" s="1119" t="s">
        <v>1571</v>
      </c>
      <c r="M448" s="1033">
        <v>0.7</v>
      </c>
      <c r="N448" s="1119" t="s">
        <v>1570</v>
      </c>
      <c r="O448" s="1135">
        <v>0.14299999999999999</v>
      </c>
      <c r="P448" s="1135">
        <v>0.13</v>
      </c>
      <c r="Q448" s="1135">
        <v>6.4700000000000001E-3</v>
      </c>
      <c r="R448" s="1135">
        <v>0</v>
      </c>
      <c r="S448" s="1135">
        <v>6.4900000000000001E-3</v>
      </c>
      <c r="T448" s="1978">
        <v>0</v>
      </c>
      <c r="U448" s="2041">
        <v>0</v>
      </c>
    </row>
    <row r="449" spans="2:21" hidden="1" outlineLevel="1">
      <c r="B449" s="1045"/>
      <c r="C449" s="1045"/>
      <c r="D449" s="1051">
        <f t="shared" si="32"/>
        <v>47</v>
      </c>
      <c r="E449" s="1051" t="str">
        <f>IF(COUNTIF(E$284:E448,F449)&gt;0,"",F449)</f>
        <v/>
      </c>
      <c r="F449" s="1051" t="str">
        <f t="shared" si="33"/>
        <v>Avion passagers, long courrier, avec trainées, France continentale, Base Carbone</v>
      </c>
      <c r="G449" s="1055" t="str">
        <f t="shared" si="34"/>
        <v>Avion passagers, long courrier, avec trainées, France continentale, Base Carbone; kgCO2e/tonne.km, Fabrication</v>
      </c>
      <c r="I449" s="1034" t="s">
        <v>3897</v>
      </c>
      <c r="J449" s="1135" t="s">
        <v>2324</v>
      </c>
      <c r="K449" s="1119" t="s">
        <v>1567</v>
      </c>
      <c r="L449" s="1119" t="s">
        <v>1571</v>
      </c>
      <c r="M449" s="1033">
        <v>0.7</v>
      </c>
      <c r="N449" s="1119" t="s">
        <v>332</v>
      </c>
      <c r="O449" s="1135">
        <v>2.3900000000000002E-3</v>
      </c>
      <c r="P449" s="1135">
        <v>2.3900000000000002E-3</v>
      </c>
      <c r="Q449" s="1135">
        <v>0</v>
      </c>
      <c r="R449" s="1135">
        <v>0</v>
      </c>
      <c r="S449" s="1135">
        <v>0</v>
      </c>
      <c r="T449" s="1978">
        <v>0</v>
      </c>
      <c r="U449" s="2041">
        <v>0</v>
      </c>
    </row>
    <row r="450" spans="2:21" hidden="1" outlineLevel="1">
      <c r="B450" s="1045"/>
      <c r="C450" s="1045"/>
      <c r="D450" s="1051">
        <f t="shared" si="32"/>
        <v>48</v>
      </c>
      <c r="E450" s="1051" t="str">
        <f>IF(COUNTIF(E$284:E449,F450)&gt;0,"",F450)</f>
        <v>Avion passagers, long courrier, sans trainées, France continentale, Base Carbone</v>
      </c>
      <c r="F450" s="1051" t="str">
        <f t="shared" si="33"/>
        <v>Avion passagers, long courrier, sans trainées, France continentale, Base Carbone</v>
      </c>
      <c r="G450" s="1055" t="str">
        <f t="shared" si="34"/>
        <v>Avion passagers, long courrier, sans trainées, France continentale, Base Carbone; kgCO2e/tonne.km, Combustion</v>
      </c>
      <c r="I450" s="1034" t="s">
        <v>3898</v>
      </c>
      <c r="J450" s="1135" t="s">
        <v>2324</v>
      </c>
      <c r="K450" s="1119" t="s">
        <v>1567</v>
      </c>
      <c r="L450" s="1119" t="s">
        <v>1571</v>
      </c>
      <c r="M450" s="1033">
        <v>0.1</v>
      </c>
      <c r="N450" s="1119" t="s">
        <v>1569</v>
      </c>
      <c r="O450" s="1135">
        <v>0.68700000000000006</v>
      </c>
      <c r="P450" s="1135">
        <v>0.68200000000000005</v>
      </c>
      <c r="Q450" s="1135">
        <v>0</v>
      </c>
      <c r="R450" s="1135">
        <v>0</v>
      </c>
      <c r="S450" s="1135">
        <v>5.0099999999999997E-3</v>
      </c>
      <c r="T450" s="1978">
        <v>0</v>
      </c>
      <c r="U450" s="2041">
        <v>0</v>
      </c>
    </row>
    <row r="451" spans="2:21" hidden="1" outlineLevel="1">
      <c r="B451" s="1045"/>
      <c r="C451" s="1045"/>
      <c r="D451" s="1051">
        <f t="shared" si="32"/>
        <v>48</v>
      </c>
      <c r="E451" s="1051" t="str">
        <f>IF(COUNTIF(E$284:E450,F451)&gt;0,"",F451)</f>
        <v/>
      </c>
      <c r="F451" s="1051" t="str">
        <f t="shared" si="33"/>
        <v>Avion passagers, long courrier, sans trainées, France continentale, Base Carbone</v>
      </c>
      <c r="G451" s="1055" t="str">
        <f t="shared" si="34"/>
        <v>Avion passagers, long courrier, sans trainées, France continentale, Base Carbone; kgCO2e/tonne.km, Amont</v>
      </c>
      <c r="I451" s="1034" t="s">
        <v>3898</v>
      </c>
      <c r="J451" s="1135" t="s">
        <v>2324</v>
      </c>
      <c r="K451" s="1119" t="s">
        <v>1567</v>
      </c>
      <c r="L451" s="1119" t="s">
        <v>1571</v>
      </c>
      <c r="M451" s="1033">
        <v>0.1</v>
      </c>
      <c r="N451" s="1119" t="s">
        <v>1570</v>
      </c>
      <c r="O451" s="1135">
        <v>0.14299999999999999</v>
      </c>
      <c r="P451" s="1135">
        <v>0.13</v>
      </c>
      <c r="Q451" s="1135">
        <v>6.4700000000000001E-3</v>
      </c>
      <c r="R451" s="1135">
        <v>0</v>
      </c>
      <c r="S451" s="1135">
        <v>6.4900000000000001E-3</v>
      </c>
      <c r="T451" s="1978">
        <v>0</v>
      </c>
      <c r="U451" s="2041">
        <v>0</v>
      </c>
    </row>
    <row r="452" spans="2:21" hidden="1" outlineLevel="1">
      <c r="B452" s="1045"/>
      <c r="C452" s="1045"/>
      <c r="D452" s="1051">
        <f t="shared" si="32"/>
        <v>48</v>
      </c>
      <c r="E452" s="1051" t="str">
        <f>IF(COUNTIF(E$284:E451,F452)&gt;0,"",F452)</f>
        <v/>
      </c>
      <c r="F452" s="1051" t="str">
        <f t="shared" si="33"/>
        <v>Avion passagers, long courrier, sans trainées, France continentale, Base Carbone</v>
      </c>
      <c r="G452" s="1055" t="str">
        <f t="shared" si="34"/>
        <v>Avion passagers, long courrier, sans trainées, France continentale, Base Carbone; kgCO2e/tonne.km, Fabrication</v>
      </c>
      <c r="I452" s="1034" t="s">
        <v>3898</v>
      </c>
      <c r="J452" s="1135" t="s">
        <v>2324</v>
      </c>
      <c r="K452" s="1119" t="s">
        <v>1567</v>
      </c>
      <c r="L452" s="1119" t="s">
        <v>1571</v>
      </c>
      <c r="M452" s="1033">
        <v>0.1</v>
      </c>
      <c r="N452" s="1119" t="s">
        <v>332</v>
      </c>
      <c r="O452" s="1135">
        <v>2.3900000000000002E-3</v>
      </c>
      <c r="P452" s="1135">
        <v>2.3900000000000002E-3</v>
      </c>
      <c r="Q452" s="1135">
        <v>0</v>
      </c>
      <c r="R452" s="1135">
        <v>0</v>
      </c>
      <c r="S452" s="1135">
        <v>0</v>
      </c>
      <c r="T452" s="1978">
        <v>0</v>
      </c>
      <c r="U452" s="2041">
        <v>0</v>
      </c>
    </row>
    <row r="453" spans="2:21" hidden="1" outlineLevel="1">
      <c r="B453" s="1045"/>
      <c r="C453" s="1045"/>
      <c r="D453" s="1051">
        <f t="shared" si="32"/>
        <v>49</v>
      </c>
      <c r="E453" s="1051" t="str">
        <f>IF(COUNTIF(E$284:E452,F453)&gt;0,"",F453)</f>
        <v>Avion passagers, moyen courrier, avec trainées, France continentale, Base Carbone</v>
      </c>
      <c r="F453" s="1051" t="str">
        <f t="shared" si="33"/>
        <v>Avion passagers, moyen courrier, avec trainées, France continentale, Base Carbone</v>
      </c>
      <c r="G453" s="1055" t="str">
        <f t="shared" si="34"/>
        <v>Avion passagers, moyen courrier, avec trainées, France continentale, Base Carbone; kgCO2e/tonne.km, Combustion</v>
      </c>
      <c r="I453" s="1034" t="s">
        <v>3899</v>
      </c>
      <c r="J453" s="1135" t="s">
        <v>2324</v>
      </c>
      <c r="K453" s="1119" t="s">
        <v>1567</v>
      </c>
      <c r="L453" s="1119" t="s">
        <v>1571</v>
      </c>
      <c r="M453" s="1033">
        <v>0.7</v>
      </c>
      <c r="N453" s="1119" t="s">
        <v>1569</v>
      </c>
      <c r="O453" s="1135">
        <v>0.84699999999999998</v>
      </c>
      <c r="P453" s="1135">
        <v>0.84099999999999997</v>
      </c>
      <c r="Q453" s="1135">
        <v>1.02E-4</v>
      </c>
      <c r="R453" s="1135">
        <v>0</v>
      </c>
      <c r="S453" s="1135">
        <v>6.2300000000000003E-3</v>
      </c>
      <c r="T453" s="1978">
        <v>0</v>
      </c>
      <c r="U453" s="2041">
        <v>0</v>
      </c>
    </row>
    <row r="454" spans="2:21" hidden="1" outlineLevel="1">
      <c r="B454" s="1045"/>
      <c r="C454" s="1045"/>
      <c r="D454" s="1051">
        <f t="shared" si="32"/>
        <v>49</v>
      </c>
      <c r="E454" s="1051" t="str">
        <f>IF(COUNTIF(E$284:E453,F454)&gt;0,"",F454)</f>
        <v/>
      </c>
      <c r="F454" s="1051" t="str">
        <f t="shared" si="33"/>
        <v>Avion passagers, moyen courrier, avec trainées, France continentale, Base Carbone</v>
      </c>
      <c r="G454" s="1055" t="str">
        <f t="shared" si="34"/>
        <v>Avion passagers, moyen courrier, avec trainées, France continentale, Base Carbone; kgCO2e/tonne.km, Emissions fugitives</v>
      </c>
      <c r="I454" s="1034" t="s">
        <v>3899</v>
      </c>
      <c r="J454" s="1135" t="s">
        <v>2324</v>
      </c>
      <c r="K454" s="1119" t="s">
        <v>1567</v>
      </c>
      <c r="L454" s="1119" t="s">
        <v>1571</v>
      </c>
      <c r="M454" s="1033">
        <v>0.7</v>
      </c>
      <c r="N454" s="1119" t="s">
        <v>1764</v>
      </c>
      <c r="O454" s="1135">
        <v>0.84099999999999997</v>
      </c>
      <c r="P454" s="1135">
        <v>0</v>
      </c>
      <c r="Q454" s="1135">
        <v>0</v>
      </c>
      <c r="R454" s="1135">
        <v>0</v>
      </c>
      <c r="S454" s="1135">
        <v>0</v>
      </c>
      <c r="T454" s="1978">
        <v>0.84099999999999997</v>
      </c>
      <c r="U454" s="2041">
        <v>0</v>
      </c>
    </row>
    <row r="455" spans="2:21" hidden="1" outlineLevel="1">
      <c r="B455" s="1045"/>
      <c r="C455" s="1045"/>
      <c r="D455" s="1051">
        <f t="shared" si="32"/>
        <v>49</v>
      </c>
      <c r="E455" s="1051" t="str">
        <f>IF(COUNTIF(E$284:E454,F455)&gt;0,"",F455)</f>
        <v/>
      </c>
      <c r="F455" s="1051" t="str">
        <f t="shared" si="33"/>
        <v>Avion passagers, moyen courrier, avec trainées, France continentale, Base Carbone</v>
      </c>
      <c r="G455" s="1055" t="str">
        <f t="shared" si="34"/>
        <v>Avion passagers, moyen courrier, avec trainées, France continentale, Base Carbone; kgCO2e/tonne.km, Amont</v>
      </c>
      <c r="I455" s="1034" t="s">
        <v>3899</v>
      </c>
      <c r="J455" s="1135" t="s">
        <v>2324</v>
      </c>
      <c r="K455" s="1119" t="s">
        <v>1567</v>
      </c>
      <c r="L455" s="1119" t="s">
        <v>1571</v>
      </c>
      <c r="M455" s="1033">
        <v>0.7</v>
      </c>
      <c r="N455" s="1119" t="s">
        <v>1570</v>
      </c>
      <c r="O455" s="1135">
        <v>0.17599999999999999</v>
      </c>
      <c r="P455" s="1135">
        <v>0.16</v>
      </c>
      <c r="Q455" s="1135">
        <v>8.0000000000000002E-3</v>
      </c>
      <c r="R455" s="1135">
        <v>0</v>
      </c>
      <c r="S455" s="1135">
        <v>8.0000000000000002E-3</v>
      </c>
      <c r="T455" s="1978">
        <v>0</v>
      </c>
      <c r="U455" s="2041">
        <v>0</v>
      </c>
    </row>
    <row r="456" spans="2:21" hidden="1" outlineLevel="1">
      <c r="B456" s="1045"/>
      <c r="C456" s="1045"/>
      <c r="D456" s="1051">
        <f t="shared" si="32"/>
        <v>49</v>
      </c>
      <c r="E456" s="1051" t="str">
        <f>IF(COUNTIF(E$284:E455,F456)&gt;0,"",F456)</f>
        <v/>
      </c>
      <c r="F456" s="1051" t="str">
        <f t="shared" si="33"/>
        <v>Avion passagers, moyen courrier, avec trainées, France continentale, Base Carbone</v>
      </c>
      <c r="G456" s="1055" t="str">
        <f t="shared" si="34"/>
        <v>Avion passagers, moyen courrier, avec trainées, France continentale, Base Carbone; kgCO2e/tonne.km, Fabrication</v>
      </c>
      <c r="I456" s="1034" t="s">
        <v>3899</v>
      </c>
      <c r="J456" s="1135" t="s">
        <v>2324</v>
      </c>
      <c r="K456" s="1119" t="s">
        <v>1567</v>
      </c>
      <c r="L456" s="1119" t="s">
        <v>1571</v>
      </c>
      <c r="M456" s="1033">
        <v>0.7</v>
      </c>
      <c r="N456" s="1119" t="s">
        <v>332</v>
      </c>
      <c r="O456" s="1135">
        <v>3.6099999999999999E-3</v>
      </c>
      <c r="P456" s="1135">
        <v>3.6099999999999999E-3</v>
      </c>
      <c r="Q456" s="1135">
        <v>0</v>
      </c>
      <c r="R456" s="1135">
        <v>0</v>
      </c>
      <c r="S456" s="1135">
        <v>0</v>
      </c>
      <c r="T456" s="1978">
        <v>0</v>
      </c>
      <c r="U456" s="2041">
        <v>0</v>
      </c>
    </row>
    <row r="457" spans="2:21" hidden="1" outlineLevel="1">
      <c r="B457" s="1045"/>
      <c r="C457" s="1045"/>
      <c r="D457" s="1051">
        <f t="shared" si="32"/>
        <v>50</v>
      </c>
      <c r="E457" s="1051" t="str">
        <f>IF(COUNTIF(E$284:E456,F457)&gt;0,"",F457)</f>
        <v>Avion passagers, moyen courrier, sans trainées, France continentale, Base Carbone</v>
      </c>
      <c r="F457" s="1051" t="str">
        <f t="shared" si="33"/>
        <v>Avion passagers, moyen courrier, sans trainées, France continentale, Base Carbone</v>
      </c>
      <c r="G457" s="1055" t="str">
        <f t="shared" si="34"/>
        <v>Avion passagers, moyen courrier, sans trainées, France continentale, Base Carbone; kgCO2e/tonne.km, Combustion</v>
      </c>
      <c r="I457" s="1034" t="s">
        <v>3900</v>
      </c>
      <c r="J457" s="1135" t="s">
        <v>2324</v>
      </c>
      <c r="K457" s="1119" t="s">
        <v>1567</v>
      </c>
      <c r="L457" s="1119" t="s">
        <v>1571</v>
      </c>
      <c r="M457" s="1033">
        <v>0.1</v>
      </c>
      <c r="N457" s="1119" t="s">
        <v>1569</v>
      </c>
      <c r="O457" s="1135">
        <v>0.84699999999999998</v>
      </c>
      <c r="P457" s="1135">
        <v>0.84099999999999997</v>
      </c>
      <c r="Q457" s="1135">
        <v>1.02E-4</v>
      </c>
      <c r="R457" s="1135">
        <v>0</v>
      </c>
      <c r="S457" s="1135">
        <v>6.2300000000000003E-3</v>
      </c>
      <c r="T457" s="1978">
        <v>0</v>
      </c>
      <c r="U457" s="2041">
        <v>0</v>
      </c>
    </row>
    <row r="458" spans="2:21" hidden="1" outlineLevel="1">
      <c r="B458" s="1045"/>
      <c r="C458" s="1045"/>
      <c r="D458" s="1051">
        <f t="shared" si="32"/>
        <v>50</v>
      </c>
      <c r="E458" s="1051" t="str">
        <f>IF(COUNTIF(E$284:E457,F458)&gt;0,"",F458)</f>
        <v/>
      </c>
      <c r="F458" s="1051" t="str">
        <f t="shared" si="33"/>
        <v>Avion passagers, moyen courrier, sans trainées, France continentale, Base Carbone</v>
      </c>
      <c r="G458" s="1055" t="str">
        <f t="shared" si="34"/>
        <v>Avion passagers, moyen courrier, sans trainées, France continentale, Base Carbone; kgCO2e/tonne.km, Amont</v>
      </c>
      <c r="I458" s="1034" t="s">
        <v>3900</v>
      </c>
      <c r="J458" s="1135" t="s">
        <v>2324</v>
      </c>
      <c r="K458" s="1119" t="s">
        <v>1567</v>
      </c>
      <c r="L458" s="1119" t="s">
        <v>1571</v>
      </c>
      <c r="M458" s="1033">
        <v>0.1</v>
      </c>
      <c r="N458" s="1119" t="s">
        <v>1570</v>
      </c>
      <c r="O458" s="1135">
        <v>0.17599999999999999</v>
      </c>
      <c r="P458" s="1135">
        <v>0.16</v>
      </c>
      <c r="Q458" s="1135">
        <v>8.0000000000000002E-3</v>
      </c>
      <c r="R458" s="1135">
        <v>0</v>
      </c>
      <c r="S458" s="1135">
        <v>8.0000000000000002E-3</v>
      </c>
      <c r="T458" s="1978">
        <v>0</v>
      </c>
      <c r="U458" s="2041">
        <v>0</v>
      </c>
    </row>
    <row r="459" spans="2:21" hidden="1" outlineLevel="1">
      <c r="B459" s="1045"/>
      <c r="C459" s="1045"/>
      <c r="D459" s="1051">
        <f t="shared" si="32"/>
        <v>50</v>
      </c>
      <c r="E459" s="1051" t="str">
        <f>IF(COUNTIF(E$284:E458,F459)&gt;0,"",F459)</f>
        <v/>
      </c>
      <c r="F459" s="1051" t="str">
        <f t="shared" si="33"/>
        <v>Avion passagers, moyen courrier, sans trainées, France continentale, Base Carbone</v>
      </c>
      <c r="G459" s="1055" t="str">
        <f t="shared" si="34"/>
        <v>Avion passagers, moyen courrier, sans trainées, France continentale, Base Carbone; kgCO2e/tonne.km, Fabrication</v>
      </c>
      <c r="I459" s="1034" t="s">
        <v>3900</v>
      </c>
      <c r="J459" s="1135" t="s">
        <v>2324</v>
      </c>
      <c r="K459" s="1119" t="s">
        <v>1567</v>
      </c>
      <c r="L459" s="1119" t="s">
        <v>1571</v>
      </c>
      <c r="M459" s="1033">
        <v>0.1</v>
      </c>
      <c r="N459" s="1119" t="s">
        <v>332</v>
      </c>
      <c r="O459" s="1135">
        <v>3.6099999999999999E-3</v>
      </c>
      <c r="P459" s="1135">
        <v>3.6099999999999999E-3</v>
      </c>
      <c r="Q459" s="1135">
        <v>0</v>
      </c>
      <c r="R459" s="1135">
        <v>0</v>
      </c>
      <c r="S459" s="1135">
        <v>0</v>
      </c>
      <c r="T459" s="1983">
        <v>0</v>
      </c>
      <c r="U459" s="2041">
        <v>0</v>
      </c>
    </row>
    <row r="460" spans="2:21" hidden="1" outlineLevel="1">
      <c r="B460" s="1045"/>
      <c r="C460" s="1045"/>
      <c r="D460" s="1051">
        <f t="shared" si="32"/>
        <v>50</v>
      </c>
      <c r="E460" s="1051" t="str">
        <f>IF(COUNTIF(E$284:E459,F460)&gt;0,"",F460)</f>
        <v/>
      </c>
      <c r="F460" s="1051" t="str">
        <f t="shared" si="33"/>
        <v/>
      </c>
      <c r="G460" s="1055" t="str">
        <f t="shared" si="34"/>
        <v/>
      </c>
      <c r="I460" s="1034"/>
      <c r="J460" s="1048"/>
      <c r="K460" s="1119"/>
      <c r="L460" s="1048"/>
      <c r="M460" s="1033"/>
      <c r="N460" s="1135"/>
      <c r="O460" s="1048"/>
      <c r="P460" s="1048"/>
      <c r="Q460" s="1048"/>
      <c r="R460" s="1048"/>
      <c r="S460" s="1048"/>
      <c r="T460" s="1036"/>
      <c r="U460" s="1102"/>
    </row>
    <row r="461" spans="2:21" hidden="1" outlineLevel="1">
      <c r="B461" s="1045"/>
      <c r="C461" s="1045"/>
      <c r="D461" s="1051">
        <f t="shared" si="32"/>
        <v>50</v>
      </c>
      <c r="E461" s="1051" t="str">
        <f>IF(COUNTIF(E$284:E460,F461)&gt;0,"",F461)</f>
        <v/>
      </c>
      <c r="F461" s="1051" t="str">
        <f t="shared" si="33"/>
        <v/>
      </c>
      <c r="G461" s="1055" t="str">
        <f t="shared" si="34"/>
        <v/>
      </c>
      <c r="I461" s="1031"/>
      <c r="J461" s="1048"/>
      <c r="K461" s="1119"/>
      <c r="L461" s="1048"/>
      <c r="M461" s="1033"/>
      <c r="N461" s="1048"/>
      <c r="O461" s="1048"/>
      <c r="P461" s="1048"/>
      <c r="Q461" s="1048"/>
      <c r="R461" s="1048"/>
      <c r="S461" s="1048"/>
      <c r="T461" s="1036"/>
      <c r="U461" s="1102"/>
    </row>
    <row r="462" spans="2:21" hidden="1" outlineLevel="1">
      <c r="B462" s="1045"/>
      <c r="C462" s="1045"/>
      <c r="D462" s="1051">
        <f t="shared" si="32"/>
        <v>50</v>
      </c>
      <c r="E462" s="1051" t="str">
        <f>IF(COUNTIF(E$284:E461,F462)&gt;0,"",F462)</f>
        <v/>
      </c>
      <c r="F462" s="1051" t="str">
        <f t="shared" si="33"/>
        <v/>
      </c>
      <c r="G462" s="1055" t="str">
        <f t="shared" si="34"/>
        <v/>
      </c>
      <c r="I462" s="1031"/>
      <c r="J462" s="1048"/>
      <c r="K462" s="1119"/>
      <c r="L462" s="1048"/>
      <c r="M462" s="1033"/>
      <c r="N462" s="1048"/>
      <c r="O462" s="1048"/>
      <c r="P462" s="1048"/>
      <c r="Q462" s="1048"/>
      <c r="R462" s="1048"/>
      <c r="S462" s="1048"/>
      <c r="T462" s="1036"/>
      <c r="U462" s="1102"/>
    </row>
    <row r="463" spans="2:21" hidden="1" outlineLevel="1">
      <c r="B463" s="1045"/>
      <c r="C463" s="1045"/>
      <c r="D463" s="1051">
        <f t="shared" si="32"/>
        <v>50</v>
      </c>
      <c r="E463" s="1051" t="str">
        <f>IF(COUNTIF(E$284:E462,F463)&gt;0,"",F463)</f>
        <v/>
      </c>
      <c r="F463" s="1051" t="str">
        <f t="shared" si="33"/>
        <v/>
      </c>
      <c r="G463" s="1055" t="str">
        <f t="shared" si="34"/>
        <v/>
      </c>
      <c r="I463" s="1031"/>
      <c r="J463" s="1048"/>
      <c r="K463" s="1119"/>
      <c r="L463" s="1048"/>
      <c r="M463" s="1033"/>
      <c r="N463" s="1048"/>
      <c r="O463" s="1048"/>
      <c r="P463" s="1048"/>
      <c r="Q463" s="1048"/>
      <c r="R463" s="1048"/>
      <c r="S463" s="1048"/>
      <c r="T463" s="1036"/>
      <c r="U463" s="1102"/>
    </row>
    <row r="464" spans="2:21" hidden="1" outlineLevel="1">
      <c r="B464" s="1045"/>
      <c r="C464" s="1045"/>
      <c r="D464" s="1051">
        <f t="shared" si="32"/>
        <v>50</v>
      </c>
      <c r="E464" s="1051" t="str">
        <f>IF(COUNTIF(E$284:E463,F464)&gt;0,"",F464)</f>
        <v/>
      </c>
      <c r="F464" s="1051" t="str">
        <f t="shared" si="33"/>
        <v/>
      </c>
      <c r="G464" s="1055" t="str">
        <f t="shared" si="34"/>
        <v/>
      </c>
      <c r="I464" s="1031"/>
      <c r="J464" s="1048"/>
      <c r="K464" s="1119"/>
      <c r="L464" s="1048"/>
      <c r="M464" s="1033"/>
      <c r="N464" s="1048"/>
      <c r="O464" s="1048"/>
      <c r="P464" s="1048"/>
      <c r="Q464" s="1048"/>
      <c r="R464" s="1048"/>
      <c r="S464" s="1048"/>
      <c r="T464" s="1036"/>
      <c r="U464" s="1102"/>
    </row>
    <row r="465" spans="2:21" hidden="1" outlineLevel="1">
      <c r="B465" s="1045"/>
      <c r="C465" s="1045"/>
      <c r="D465" s="1051">
        <f t="shared" si="32"/>
        <v>50</v>
      </c>
      <c r="E465" s="1051" t="str">
        <f>IF(COUNTIF(E$284:E464,F465)&gt;0,"",F465)</f>
        <v/>
      </c>
      <c r="F465" s="1051" t="str">
        <f t="shared" si="33"/>
        <v/>
      </c>
      <c r="G465" s="1055" t="str">
        <f t="shared" si="34"/>
        <v/>
      </c>
      <c r="I465" s="1031"/>
      <c r="J465" s="1048"/>
      <c r="K465" s="1119"/>
      <c r="L465" s="1048"/>
      <c r="M465" s="1033"/>
      <c r="N465" s="1048"/>
      <c r="O465" s="1048"/>
      <c r="P465" s="1048"/>
      <c r="Q465" s="1048"/>
      <c r="R465" s="1048"/>
      <c r="S465" s="1048"/>
      <c r="T465" s="1036"/>
      <c r="U465" s="1102"/>
    </row>
    <row r="466" spans="2:21" hidden="1" outlineLevel="1">
      <c r="B466" s="1045"/>
      <c r="C466" s="1045"/>
      <c r="D466" s="1051">
        <f t="shared" si="32"/>
        <v>50</v>
      </c>
      <c r="E466" s="1051" t="str">
        <f>IF(COUNTIF(E$284:E465,F466)&gt;0,"",F466)</f>
        <v/>
      </c>
      <c r="F466" s="1051" t="str">
        <f t="shared" si="33"/>
        <v/>
      </c>
      <c r="G466" s="1055" t="str">
        <f t="shared" si="34"/>
        <v/>
      </c>
      <c r="I466" s="1031"/>
      <c r="J466" s="1048"/>
      <c r="K466" s="1119"/>
      <c r="L466" s="1048"/>
      <c r="M466" s="1033"/>
      <c r="N466" s="1048"/>
      <c r="O466" s="1048"/>
      <c r="P466" s="1048"/>
      <c r="Q466" s="1048"/>
      <c r="R466" s="1048"/>
      <c r="S466" s="1048"/>
      <c r="T466" s="1036"/>
      <c r="U466" s="1102"/>
    </row>
    <row r="467" spans="2:21" hidden="1" outlineLevel="1">
      <c r="B467" s="1045"/>
      <c r="C467" s="1045"/>
      <c r="D467" s="1051">
        <f t="shared" si="32"/>
        <v>50</v>
      </c>
      <c r="E467" s="1051" t="str">
        <f>IF(COUNTIF(E$284:E466,F467)&gt;0,"",F467)</f>
        <v/>
      </c>
      <c r="F467" s="1051" t="str">
        <f t="shared" si="33"/>
        <v/>
      </c>
      <c r="G467" s="1055" t="str">
        <f t="shared" si="34"/>
        <v/>
      </c>
      <c r="I467" s="1100"/>
      <c r="J467" s="1048"/>
      <c r="K467" s="1048"/>
      <c r="L467" s="1048"/>
      <c r="M467" s="1048"/>
      <c r="N467" s="1048"/>
      <c r="O467" s="1048"/>
      <c r="P467" s="1048"/>
      <c r="Q467" s="1048"/>
      <c r="R467" s="1048"/>
      <c r="S467" s="1048"/>
      <c r="T467" s="1048"/>
      <c r="U467" s="1102"/>
    </row>
    <row r="468" spans="2:21" hidden="1" outlineLevel="1">
      <c r="B468" s="1045"/>
      <c r="C468" s="1045"/>
      <c r="D468" s="1051">
        <f t="shared" si="32"/>
        <v>50</v>
      </c>
      <c r="E468" s="1051" t="str">
        <f>IF(COUNTIF(E$284:E467,F468)&gt;0,"",F468)</f>
        <v/>
      </c>
      <c r="F468" s="1051" t="str">
        <f t="shared" si="33"/>
        <v/>
      </c>
      <c r="G468" s="1055" t="str">
        <f t="shared" si="34"/>
        <v/>
      </c>
      <c r="I468" s="1100"/>
      <c r="J468" s="1048"/>
      <c r="K468" s="1048"/>
      <c r="L468" s="1048"/>
      <c r="M468" s="1048"/>
      <c r="N468" s="1048"/>
      <c r="O468" s="1048"/>
      <c r="P468" s="1048"/>
      <c r="Q468" s="1048"/>
      <c r="R468" s="1048"/>
      <c r="S468" s="1048"/>
      <c r="T468" s="1048"/>
      <c r="U468" s="1102"/>
    </row>
    <row r="469" spans="2:21" hidden="1" outlineLevel="1">
      <c r="B469" s="1045"/>
      <c r="C469" s="1045"/>
      <c r="D469" s="1051">
        <f t="shared" si="32"/>
        <v>50</v>
      </c>
      <c r="E469" s="1051" t="str">
        <f>IF(COUNTIF(E$284:E468,F469)&gt;0,"",F469)</f>
        <v/>
      </c>
      <c r="F469" s="1051" t="str">
        <f t="shared" si="33"/>
        <v/>
      </c>
      <c r="G469" s="1055" t="str">
        <f t="shared" si="34"/>
        <v/>
      </c>
      <c r="I469" s="1100"/>
      <c r="J469" s="1048"/>
      <c r="K469" s="1048"/>
      <c r="L469" s="1048"/>
      <c r="M469" s="1048"/>
      <c r="N469" s="1048"/>
      <c r="O469" s="1048"/>
      <c r="P469" s="1048"/>
      <c r="Q469" s="1048"/>
      <c r="R469" s="1048"/>
      <c r="S469" s="1048"/>
      <c r="T469" s="1048"/>
      <c r="U469" s="1102"/>
    </row>
    <row r="470" spans="2:21" hidden="1" outlineLevel="1">
      <c r="B470" s="1045"/>
      <c r="C470" s="1045"/>
      <c r="D470" s="1051">
        <f t="shared" si="32"/>
        <v>50</v>
      </c>
      <c r="E470" s="1051" t="str">
        <f>IF(COUNTIF(E$284:E469,F470)&gt;0,"",F470)</f>
        <v/>
      </c>
      <c r="F470" s="1051" t="str">
        <f t="shared" si="33"/>
        <v/>
      </c>
      <c r="G470" s="1055" t="str">
        <f t="shared" si="34"/>
        <v/>
      </c>
      <c r="I470" s="1100"/>
      <c r="J470" s="1048"/>
      <c r="K470" s="1048"/>
      <c r="L470" s="1048"/>
      <c r="M470" s="1048"/>
      <c r="N470" s="1048"/>
      <c r="O470" s="1048"/>
      <c r="P470" s="1048"/>
      <c r="Q470" s="1048"/>
      <c r="R470" s="1048"/>
      <c r="S470" s="1048"/>
      <c r="T470" s="1048"/>
      <c r="U470" s="1102"/>
    </row>
    <row r="471" spans="2:21" hidden="1" outlineLevel="1">
      <c r="B471" s="1045"/>
      <c r="C471" s="1045"/>
      <c r="D471" s="1051">
        <f t="shared" si="32"/>
        <v>50</v>
      </c>
      <c r="E471" s="1051" t="str">
        <f>IF(COUNTIF(E$284:E470,F471)&gt;0,"",F471)</f>
        <v/>
      </c>
      <c r="F471" s="1051" t="str">
        <f t="shared" si="33"/>
        <v/>
      </c>
      <c r="G471" s="1055" t="str">
        <f t="shared" si="34"/>
        <v/>
      </c>
      <c r="I471" s="1100"/>
      <c r="J471" s="1048"/>
      <c r="K471" s="1048"/>
      <c r="L471" s="1048"/>
      <c r="M471" s="1048"/>
      <c r="N471" s="1048"/>
      <c r="O471" s="1048"/>
      <c r="P471" s="1048"/>
      <c r="Q471" s="1048"/>
      <c r="R471" s="1048"/>
      <c r="S471" s="1048"/>
      <c r="T471" s="1048"/>
      <c r="U471" s="1102"/>
    </row>
    <row r="472" spans="2:21" hidden="1" outlineLevel="1">
      <c r="B472" s="1045"/>
      <c r="C472" s="1045"/>
      <c r="D472" s="1051">
        <f t="shared" si="32"/>
        <v>50</v>
      </c>
      <c r="E472" s="1051" t="str">
        <f>IF(COUNTIF(E$284:E471,F472)&gt;0,"",F472)</f>
        <v/>
      </c>
      <c r="F472" s="1051" t="str">
        <f t="shared" si="33"/>
        <v/>
      </c>
      <c r="G472" s="1055" t="str">
        <f t="shared" si="34"/>
        <v/>
      </c>
      <c r="I472" s="1103"/>
      <c r="J472" s="1104"/>
      <c r="K472" s="1104"/>
      <c r="L472" s="1104"/>
      <c r="M472" s="1104"/>
      <c r="N472" s="1104"/>
      <c r="O472" s="1104"/>
      <c r="P472" s="1104"/>
      <c r="Q472" s="1104"/>
      <c r="R472" s="1104"/>
      <c r="S472" s="1104"/>
      <c r="T472" s="1104"/>
      <c r="U472" s="1106"/>
    </row>
    <row r="473" spans="2:21"/>
    <row r="474" spans="2:21" ht="15.6" collapsed="1">
      <c r="I474" s="3167" t="s">
        <v>2228</v>
      </c>
      <c r="J474" s="3168"/>
      <c r="K474" s="3168"/>
      <c r="L474" s="3168"/>
      <c r="M474" s="3168"/>
      <c r="N474" s="3168"/>
      <c r="O474" s="3168"/>
      <c r="P474" s="3168"/>
      <c r="Q474" s="3168"/>
      <c r="R474" s="3168"/>
      <c r="S474" s="3168"/>
      <c r="T474" s="3168"/>
      <c r="U474" s="3169"/>
    </row>
    <row r="475" spans="2:21" hidden="1" outlineLevel="1">
      <c r="R475" s="1083"/>
    </row>
    <row r="476" spans="2:21" ht="12.75" hidden="1" customHeight="1" outlineLevel="1">
      <c r="B476" s="3154" t="s">
        <v>1617</v>
      </c>
      <c r="C476" s="3154"/>
      <c r="D476" s="3157" t="s">
        <v>1619</v>
      </c>
      <c r="E476" s="3157"/>
      <c r="F476" s="1151" t="s">
        <v>1616</v>
      </c>
      <c r="G476" s="1053" t="s">
        <v>1618</v>
      </c>
      <c r="H476" s="1044"/>
      <c r="I476" s="1038" t="s">
        <v>1557</v>
      </c>
      <c r="J476" s="1040" t="s">
        <v>1266</v>
      </c>
      <c r="K476" s="1043" t="s">
        <v>224</v>
      </c>
      <c r="L476" s="1043" t="s">
        <v>1558</v>
      </c>
      <c r="M476" s="1039" t="s">
        <v>366</v>
      </c>
      <c r="N476" s="1040" t="s">
        <v>1559</v>
      </c>
      <c r="O476" s="1041" t="s">
        <v>1560</v>
      </c>
      <c r="P476" s="1043" t="s">
        <v>211</v>
      </c>
      <c r="Q476" s="1043" t="s">
        <v>1561</v>
      </c>
      <c r="R476" s="1041" t="s">
        <v>1562</v>
      </c>
      <c r="S476" s="1041" t="s">
        <v>267</v>
      </c>
      <c r="T476" s="1043" t="s">
        <v>1563</v>
      </c>
      <c r="U476" s="1042" t="s">
        <v>1564</v>
      </c>
    </row>
    <row r="477" spans="2:21" s="1045" customFormat="1" ht="12.75" hidden="1" customHeight="1" outlineLevel="1" collapsed="1">
      <c r="B477" s="3156" t="s">
        <v>239</v>
      </c>
      <c r="C477" s="3156"/>
      <c r="D477" s="1051">
        <v>0</v>
      </c>
      <c r="E477" s="1051"/>
      <c r="F477" s="1051"/>
      <c r="G477" s="1054"/>
      <c r="H477" s="1046"/>
      <c r="I477" s="1688"/>
      <c r="J477" s="1689"/>
      <c r="K477" s="1690"/>
      <c r="L477" s="1690"/>
      <c r="M477" s="1691"/>
      <c r="N477" s="1689"/>
      <c r="O477" s="1692"/>
      <c r="P477" s="1690"/>
      <c r="Q477" s="1690"/>
      <c r="R477" s="1692"/>
      <c r="S477" s="1692"/>
      <c r="T477" s="1690"/>
      <c r="U477" s="1693"/>
    </row>
    <row r="478" spans="2:21" hidden="1" outlineLevel="2">
      <c r="B478" s="1050">
        <v>1</v>
      </c>
      <c r="C478" s="1050" t="str">
        <f>IF(ISNA(VLOOKUP(B478,$D$477:$E$514,2,FALSE)),"-",VLOOKUP(B478,$D$477:$E$514,2,FALSE))</f>
        <v>Motorisation moyenne, chargement dense, France continentale, Base Carbone</v>
      </c>
      <c r="D478" s="1051">
        <f>D477+IF(LEN(E478)&gt;0,1,0)</f>
        <v>1</v>
      </c>
      <c r="E478" s="1051" t="str">
        <f>IF(COUNTIF(E$477:E477,F478)&gt;0,"",F478)</f>
        <v>Motorisation moyenne, chargement dense, France continentale, Base Carbone</v>
      </c>
      <c r="F478" s="1051" t="str">
        <f>IF(I478&lt;&gt;"",I478&amp;IF(L478&lt;&gt;"",", "&amp;L478,"")&amp;IF(K478&lt;&gt;"",", "&amp;K478,""),"")</f>
        <v>Motorisation moyenne, chargement dense, France continentale, Base Carbone</v>
      </c>
      <c r="G478" s="1055" t="str">
        <f t="shared" ref="G478" si="35">IF(F478&lt;&gt;"",F478&amp;IF(J478&lt;&gt;"","; "&amp;J478&amp;IF(N478&lt;&gt;"",", "&amp;N478,),""),"")</f>
        <v>Motorisation moyenne, chargement dense, France continentale, Base Carbone; kgCO2e/tonne.km, Combustion</v>
      </c>
      <c r="I478" s="2018" t="s">
        <v>3901</v>
      </c>
      <c r="J478" s="1135" t="s">
        <v>2324</v>
      </c>
      <c r="K478" s="1119" t="s">
        <v>1567</v>
      </c>
      <c r="L478" s="1135" t="s">
        <v>1571</v>
      </c>
      <c r="M478" s="1033">
        <v>0.7</v>
      </c>
      <c r="N478" s="1135" t="s">
        <v>1569</v>
      </c>
      <c r="O478" s="1135">
        <v>4.3699999999999998E-3</v>
      </c>
      <c r="P478" s="2017">
        <v>4.3699999999999998E-3</v>
      </c>
      <c r="Q478" s="2308">
        <v>0</v>
      </c>
      <c r="R478" s="2017">
        <v>0</v>
      </c>
      <c r="S478" s="2017">
        <v>0</v>
      </c>
      <c r="T478" s="2017">
        <v>0</v>
      </c>
      <c r="U478" s="2042">
        <v>0</v>
      </c>
    </row>
    <row r="479" spans="2:21" hidden="1" outlineLevel="2">
      <c r="B479" s="1050">
        <v>2</v>
      </c>
      <c r="C479" s="1050" t="str">
        <f t="shared" ref="C479:C499" si="36">IF(ISNA(VLOOKUP(B479,$D$477:$E$514,2,FALSE)),"-",VLOOKUP(B479,$D$477:$E$514,2,FALSE))</f>
        <v>Motorisation moyenne, chargement léger, France continentale, Base Carbone</v>
      </c>
      <c r="D479" s="1051">
        <f t="shared" ref="D479:D514" si="37">D478+IF(LEN(E479)&gt;0,1,0)</f>
        <v>1</v>
      </c>
      <c r="E479" s="1051" t="str">
        <f>IF(COUNTIF(E$477:E478,F479)&gt;0,"",F479)</f>
        <v/>
      </c>
      <c r="F479" s="1051" t="str">
        <f t="shared" ref="F479:F514" si="38">IF(I479&lt;&gt;"",I479&amp;IF(L479&lt;&gt;"",", "&amp;L479,"")&amp;IF(K479&lt;&gt;"",", "&amp;K479,""),"")</f>
        <v>Motorisation moyenne, chargement dense, France continentale, Base Carbone</v>
      </c>
      <c r="G479" s="1055" t="str">
        <f t="shared" ref="G479:G514" si="39">IF(F479&lt;&gt;"",F479&amp;IF(J479&lt;&gt;"","; "&amp;J479&amp;IF(N479&lt;&gt;"",", "&amp;N479,),""),"")</f>
        <v>Motorisation moyenne, chargement dense, France continentale, Base Carbone; kgCO2e/tonne.km, Amont</v>
      </c>
      <c r="I479" s="2018" t="s">
        <v>3901</v>
      </c>
      <c r="J479" s="1135" t="s">
        <v>2324</v>
      </c>
      <c r="K479" s="1119" t="s">
        <v>1567</v>
      </c>
      <c r="L479" s="1135" t="s">
        <v>1571</v>
      </c>
      <c r="M479" s="1033">
        <v>0.7</v>
      </c>
      <c r="N479" s="1135" t="s">
        <v>1570</v>
      </c>
      <c r="O479" s="1135">
        <v>1.33E-3</v>
      </c>
      <c r="P479" s="2017">
        <v>1.33E-3</v>
      </c>
      <c r="Q479" s="2017">
        <v>0</v>
      </c>
      <c r="R479" s="2017">
        <v>0</v>
      </c>
      <c r="S479" s="2017">
        <v>0</v>
      </c>
      <c r="T479" s="2017">
        <v>0</v>
      </c>
      <c r="U479" s="2042">
        <v>0</v>
      </c>
    </row>
    <row r="480" spans="2:21" hidden="1" outlineLevel="2">
      <c r="B480" s="1050">
        <v>3</v>
      </c>
      <c r="C480" s="1050" t="str">
        <f t="shared" si="36"/>
        <v>Motorisation moyenne, chargement moyen, France continentale, Base Carbone</v>
      </c>
      <c r="D480" s="1051">
        <f t="shared" si="37"/>
        <v>1</v>
      </c>
      <c r="E480" s="1051" t="str">
        <f>IF(COUNTIF(E$477:E479,F480)&gt;0,"",F480)</f>
        <v/>
      </c>
      <c r="F480" s="1051" t="str">
        <f t="shared" si="38"/>
        <v>Motorisation moyenne, chargement dense, France continentale, Base Carbone</v>
      </c>
      <c r="G480" s="1055" t="str">
        <f t="shared" si="39"/>
        <v>Motorisation moyenne, chargement dense, France continentale, Base Carbone; kgCO2e/tonne.km, Fabrication</v>
      </c>
      <c r="I480" s="2018" t="s">
        <v>3901</v>
      </c>
      <c r="J480" s="1135" t="s">
        <v>2324</v>
      </c>
      <c r="K480" s="1119" t="s">
        <v>1567</v>
      </c>
      <c r="L480" s="1135" t="s">
        <v>1571</v>
      </c>
      <c r="M480" s="1033">
        <v>0.7</v>
      </c>
      <c r="N480" s="1135" t="s">
        <v>332</v>
      </c>
      <c r="O480" s="1135">
        <v>2.5999999999999999E-3</v>
      </c>
      <c r="P480" s="2017">
        <v>2.5999999999999999E-3</v>
      </c>
      <c r="Q480" s="2017">
        <v>0</v>
      </c>
      <c r="R480" s="2017">
        <v>0</v>
      </c>
      <c r="S480" s="2017">
        <v>0</v>
      </c>
      <c r="T480" s="2017">
        <v>0</v>
      </c>
      <c r="U480" s="2042">
        <v>0</v>
      </c>
    </row>
    <row r="481" spans="2:21" hidden="1" outlineLevel="2">
      <c r="B481" s="1050">
        <v>4</v>
      </c>
      <c r="C481" s="1050" t="str">
        <f t="shared" si="36"/>
        <v>Traction diesel, chargement dense, France continentale, Base Carbone</v>
      </c>
      <c r="D481" s="1051">
        <f t="shared" si="37"/>
        <v>2</v>
      </c>
      <c r="E481" s="1051" t="str">
        <f>IF(COUNTIF(E$477:E480,F481)&gt;0,"",F481)</f>
        <v>Motorisation moyenne, chargement léger, France continentale, Base Carbone</v>
      </c>
      <c r="F481" s="1051" t="str">
        <f t="shared" si="38"/>
        <v>Motorisation moyenne, chargement léger, France continentale, Base Carbone</v>
      </c>
      <c r="G481" s="1055" t="str">
        <f t="shared" si="39"/>
        <v>Motorisation moyenne, chargement léger, France continentale, Base Carbone; kgCO2e/tonne.km, Combustion</v>
      </c>
      <c r="I481" s="2018" t="s">
        <v>3902</v>
      </c>
      <c r="J481" s="1135" t="s">
        <v>2324</v>
      </c>
      <c r="K481" s="1119" t="s">
        <v>1567</v>
      </c>
      <c r="L481" s="1135" t="s">
        <v>1571</v>
      </c>
      <c r="M481" s="1033">
        <v>0.7</v>
      </c>
      <c r="N481" s="1135" t="s">
        <v>1569</v>
      </c>
      <c r="O481" s="1119">
        <v>6.5100000000000002E-3</v>
      </c>
      <c r="P481" s="2017">
        <v>6.5100000000000002E-3</v>
      </c>
      <c r="Q481" s="2017">
        <v>0</v>
      </c>
      <c r="R481" s="2017">
        <v>0</v>
      </c>
      <c r="S481" s="2017">
        <v>0</v>
      </c>
      <c r="T481" s="2017">
        <v>0</v>
      </c>
      <c r="U481" s="2042">
        <v>0</v>
      </c>
    </row>
    <row r="482" spans="2:21" hidden="1" outlineLevel="2">
      <c r="B482" s="1050">
        <v>5</v>
      </c>
      <c r="C482" s="1050" t="str">
        <f t="shared" si="36"/>
        <v>Traction diesel, chargement léger, France continentale, Base Carbone</v>
      </c>
      <c r="D482" s="1051">
        <f t="shared" si="37"/>
        <v>2</v>
      </c>
      <c r="E482" s="1051" t="str">
        <f>IF(COUNTIF(E$477:E481,F482)&gt;0,"",F482)</f>
        <v/>
      </c>
      <c r="F482" s="1051" t="str">
        <f t="shared" si="38"/>
        <v>Motorisation moyenne, chargement léger, France continentale, Base Carbone</v>
      </c>
      <c r="G482" s="1055" t="str">
        <f t="shared" si="39"/>
        <v>Motorisation moyenne, chargement léger, France continentale, Base Carbone; kgCO2e/tonne.km, Amont</v>
      </c>
      <c r="I482" s="2018" t="s">
        <v>3902</v>
      </c>
      <c r="J482" s="1135" t="s">
        <v>2324</v>
      </c>
      <c r="K482" s="1119" t="s">
        <v>1567</v>
      </c>
      <c r="L482" s="1135" t="s">
        <v>1571</v>
      </c>
      <c r="M482" s="1033">
        <v>0.7</v>
      </c>
      <c r="N482" s="1135" t="s">
        <v>1570</v>
      </c>
      <c r="O482" s="1135">
        <v>1.98E-3</v>
      </c>
      <c r="P482" s="2017">
        <v>1.98E-3</v>
      </c>
      <c r="Q482" s="2017">
        <v>0</v>
      </c>
      <c r="R482" s="2017">
        <v>0</v>
      </c>
      <c r="S482" s="2017">
        <v>0</v>
      </c>
      <c r="T482" s="2017">
        <v>0</v>
      </c>
      <c r="U482" s="2042">
        <v>0</v>
      </c>
    </row>
    <row r="483" spans="2:21" hidden="1" outlineLevel="2">
      <c r="B483" s="1050">
        <v>6</v>
      </c>
      <c r="C483" s="1050" t="str">
        <f t="shared" si="36"/>
        <v>Traction diesel, chargement moyen, France continentale, Base Carbone</v>
      </c>
      <c r="D483" s="1051">
        <f t="shared" si="37"/>
        <v>2</v>
      </c>
      <c r="E483" s="1051" t="str">
        <f>IF(COUNTIF(E$477:E482,F483)&gt;0,"",F483)</f>
        <v/>
      </c>
      <c r="F483" s="1051" t="str">
        <f t="shared" si="38"/>
        <v>Motorisation moyenne, chargement léger, France continentale, Base Carbone</v>
      </c>
      <c r="G483" s="1055" t="str">
        <f t="shared" si="39"/>
        <v>Motorisation moyenne, chargement léger, France continentale, Base Carbone; kgCO2e/tonne.km, Fabrication</v>
      </c>
      <c r="I483" s="2018" t="s">
        <v>3902</v>
      </c>
      <c r="J483" s="1135" t="s">
        <v>2324</v>
      </c>
      <c r="K483" s="1119" t="s">
        <v>1567</v>
      </c>
      <c r="L483" s="1135" t="s">
        <v>1571</v>
      </c>
      <c r="M483" s="1033">
        <v>0.7</v>
      </c>
      <c r="N483" s="1135" t="s">
        <v>332</v>
      </c>
      <c r="O483" s="1135">
        <v>3.8999999999999998E-3</v>
      </c>
      <c r="P483" s="2017">
        <v>3.8999999999999998E-3</v>
      </c>
      <c r="Q483" s="2017">
        <v>0</v>
      </c>
      <c r="R483" s="2017">
        <v>0</v>
      </c>
      <c r="S483" s="2017">
        <v>0</v>
      </c>
      <c r="T483" s="2017">
        <v>0</v>
      </c>
      <c r="U483" s="2042">
        <v>0</v>
      </c>
    </row>
    <row r="484" spans="2:21" hidden="1" outlineLevel="2">
      <c r="B484" s="1050">
        <v>7</v>
      </c>
      <c r="C484" s="1050" t="str">
        <f t="shared" si="36"/>
        <v>Traction électrique, chargement dense, France continentale, Base Carbone</v>
      </c>
      <c r="D484" s="1051">
        <f t="shared" si="37"/>
        <v>3</v>
      </c>
      <c r="E484" s="1051" t="str">
        <f>IF(COUNTIF(E$477:E483,F484)&gt;0,"",F484)</f>
        <v>Motorisation moyenne, chargement moyen, France continentale, Base Carbone</v>
      </c>
      <c r="F484" s="1051" t="str">
        <f t="shared" si="38"/>
        <v>Motorisation moyenne, chargement moyen, France continentale, Base Carbone</v>
      </c>
      <c r="G484" s="1055" t="str">
        <f t="shared" si="39"/>
        <v>Motorisation moyenne, chargement moyen, France continentale, Base Carbone; kgCO2e/tonne.km, Combustion</v>
      </c>
      <c r="I484" s="2018" t="s">
        <v>3903</v>
      </c>
      <c r="J484" s="1135" t="s">
        <v>2324</v>
      </c>
      <c r="K484" s="1119" t="s">
        <v>1567</v>
      </c>
      <c r="L484" s="1135" t="s">
        <v>1571</v>
      </c>
      <c r="M484" s="1033">
        <v>0.7</v>
      </c>
      <c r="N484" s="1135" t="s">
        <v>1569</v>
      </c>
      <c r="O484" s="1135">
        <v>5.0499999999999998E-3</v>
      </c>
      <c r="P484" s="2017">
        <v>5.0499999999999998E-3</v>
      </c>
      <c r="Q484" s="2017">
        <v>0</v>
      </c>
      <c r="R484" s="2017">
        <v>0</v>
      </c>
      <c r="S484" s="2017">
        <v>0</v>
      </c>
      <c r="T484" s="2017">
        <v>0</v>
      </c>
      <c r="U484" s="2042">
        <v>0</v>
      </c>
    </row>
    <row r="485" spans="2:21" hidden="1" outlineLevel="2">
      <c r="B485" s="1050">
        <v>8</v>
      </c>
      <c r="C485" s="1050" t="str">
        <f t="shared" si="36"/>
        <v>Traction électrique, chargement léger, France continentale, Base Carbone</v>
      </c>
      <c r="D485" s="1051">
        <f t="shared" si="37"/>
        <v>3</v>
      </c>
      <c r="E485" s="1051" t="str">
        <f>IF(COUNTIF(E$477:E484,F485)&gt;0,"",F485)</f>
        <v/>
      </c>
      <c r="F485" s="1051" t="str">
        <f t="shared" si="38"/>
        <v>Motorisation moyenne, chargement moyen, France continentale, Base Carbone</v>
      </c>
      <c r="G485" s="1055" t="str">
        <f t="shared" si="39"/>
        <v>Motorisation moyenne, chargement moyen, France continentale, Base Carbone; kgCO2e/tonne.km, Amont</v>
      </c>
      <c r="I485" s="2018" t="s">
        <v>3903</v>
      </c>
      <c r="J485" s="1135" t="s">
        <v>2324</v>
      </c>
      <c r="K485" s="1119" t="s">
        <v>1567</v>
      </c>
      <c r="L485" s="1135" t="s">
        <v>1571</v>
      </c>
      <c r="M485" s="1033">
        <v>0.7</v>
      </c>
      <c r="N485" s="1135" t="s">
        <v>1570</v>
      </c>
      <c r="O485" s="1135">
        <v>1.5399999999999999E-3</v>
      </c>
      <c r="P485" s="2017">
        <v>1.5399999999999999E-3</v>
      </c>
      <c r="Q485" s="2017">
        <v>0</v>
      </c>
      <c r="R485" s="2017">
        <v>0</v>
      </c>
      <c r="S485" s="2017">
        <v>0</v>
      </c>
      <c r="T485" s="2017">
        <v>0</v>
      </c>
      <c r="U485" s="2042">
        <v>0</v>
      </c>
    </row>
    <row r="486" spans="2:21" hidden="1" outlineLevel="2">
      <c r="B486" s="1050">
        <v>9</v>
      </c>
      <c r="C486" s="1050" t="str">
        <f t="shared" si="36"/>
        <v>Traction électrique, chargement moyen, France continentale, Base Carbone</v>
      </c>
      <c r="D486" s="1051">
        <f t="shared" si="37"/>
        <v>3</v>
      </c>
      <c r="E486" s="1051" t="str">
        <f>IF(COUNTIF(E$477:E485,F486)&gt;0,"",F486)</f>
        <v/>
      </c>
      <c r="F486" s="1051" t="str">
        <f t="shared" si="38"/>
        <v>Motorisation moyenne, chargement moyen, France continentale, Base Carbone</v>
      </c>
      <c r="G486" s="1055" t="str">
        <f t="shared" si="39"/>
        <v>Motorisation moyenne, chargement moyen, France continentale, Base Carbone; kgCO2e/tonne.km, Fabrication</v>
      </c>
      <c r="I486" s="2018" t="s">
        <v>3903</v>
      </c>
      <c r="J486" s="1135" t="s">
        <v>2324</v>
      </c>
      <c r="K486" s="1119" t="s">
        <v>1567</v>
      </c>
      <c r="L486" s="1135" t="s">
        <v>1571</v>
      </c>
      <c r="M486" s="1033">
        <v>0.7</v>
      </c>
      <c r="N486" s="1135" t="s">
        <v>332</v>
      </c>
      <c r="O486" s="1135">
        <v>3.0000000000000001E-3</v>
      </c>
      <c r="P486" s="2017">
        <v>3.0000000000000001E-3</v>
      </c>
      <c r="Q486" s="2017">
        <v>0</v>
      </c>
      <c r="R486" s="2017">
        <v>0</v>
      </c>
      <c r="S486" s="2017">
        <v>0</v>
      </c>
      <c r="T486" s="2017">
        <v>0</v>
      </c>
      <c r="U486" s="2042">
        <v>0</v>
      </c>
    </row>
    <row r="487" spans="2:21" hidden="1" outlineLevel="2">
      <c r="B487" s="1050">
        <v>10</v>
      </c>
      <c r="C487" s="1050" t="str">
        <f t="shared" si="36"/>
        <v>-</v>
      </c>
      <c r="D487" s="1051">
        <f t="shared" si="37"/>
        <v>4</v>
      </c>
      <c r="E487" s="1051" t="str">
        <f>IF(COUNTIF(E$477:E486,F487)&gt;0,"",F487)</f>
        <v>Traction diesel, chargement dense, France continentale, Base Carbone</v>
      </c>
      <c r="F487" s="1051" t="str">
        <f t="shared" si="38"/>
        <v>Traction diesel, chargement dense, France continentale, Base Carbone</v>
      </c>
      <c r="G487" s="1055" t="str">
        <f t="shared" si="39"/>
        <v>Traction diesel, chargement dense, France continentale, Base Carbone; kgCO2e/tonne.km, Combustion</v>
      </c>
      <c r="I487" s="2018" t="s">
        <v>3904</v>
      </c>
      <c r="J487" s="1135" t="s">
        <v>2324</v>
      </c>
      <c r="K487" s="1119" t="s">
        <v>1567</v>
      </c>
      <c r="L487" s="1135" t="s">
        <v>1571</v>
      </c>
      <c r="M487" s="1033">
        <v>0.7</v>
      </c>
      <c r="N487" s="1135" t="s">
        <v>1569</v>
      </c>
      <c r="O487" s="1135">
        <v>1.9199999999999998E-2</v>
      </c>
      <c r="P487" s="2017">
        <v>1.9199999999999998E-2</v>
      </c>
      <c r="Q487" s="2017">
        <v>0</v>
      </c>
      <c r="R487" s="2017">
        <v>0</v>
      </c>
      <c r="S487" s="2017">
        <v>0</v>
      </c>
      <c r="T487" s="2017">
        <v>0</v>
      </c>
      <c r="U487" s="2042">
        <v>0</v>
      </c>
    </row>
    <row r="488" spans="2:21" hidden="1" outlineLevel="2">
      <c r="B488" s="1050">
        <v>11</v>
      </c>
      <c r="C488" s="1050" t="str">
        <f t="shared" si="36"/>
        <v>-</v>
      </c>
      <c r="D488" s="1051">
        <f t="shared" si="37"/>
        <v>4</v>
      </c>
      <c r="E488" s="1051" t="str">
        <f>IF(COUNTIF(E$477:E487,F488)&gt;0,"",F488)</f>
        <v/>
      </c>
      <c r="F488" s="1051" t="str">
        <f t="shared" si="38"/>
        <v>Traction diesel, chargement dense, France continentale, Base Carbone</v>
      </c>
      <c r="G488" s="1055" t="str">
        <f t="shared" si="39"/>
        <v>Traction diesel, chargement dense, France continentale, Base Carbone; kgCO2e/tonne.km, Amont</v>
      </c>
      <c r="I488" s="2018" t="s">
        <v>3904</v>
      </c>
      <c r="J488" s="1135" t="s">
        <v>2324</v>
      </c>
      <c r="K488" s="1119" t="s">
        <v>1567</v>
      </c>
      <c r="L488" s="1135" t="s">
        <v>1571</v>
      </c>
      <c r="M488" s="1033">
        <v>0.7</v>
      </c>
      <c r="N488" s="1135" t="s">
        <v>1570</v>
      </c>
      <c r="O488" s="1135">
        <v>5.0000000000000001E-3</v>
      </c>
      <c r="P488" s="2017">
        <v>5.0000000000000001E-3</v>
      </c>
      <c r="Q488" s="2017">
        <v>0</v>
      </c>
      <c r="R488" s="2017">
        <v>0</v>
      </c>
      <c r="S488" s="2017">
        <v>0</v>
      </c>
      <c r="T488" s="2017">
        <v>0</v>
      </c>
      <c r="U488" s="2042">
        <v>0</v>
      </c>
    </row>
    <row r="489" spans="2:21" hidden="1" outlineLevel="2">
      <c r="B489" s="1050">
        <v>12</v>
      </c>
      <c r="C489" s="1050" t="str">
        <f t="shared" si="36"/>
        <v>-</v>
      </c>
      <c r="D489" s="1051">
        <f t="shared" si="37"/>
        <v>4</v>
      </c>
      <c r="E489" s="1051" t="str">
        <f>IF(COUNTIF(E$477:E488,F489)&gt;0,"",F489)</f>
        <v/>
      </c>
      <c r="F489" s="1051" t="str">
        <f t="shared" si="38"/>
        <v>Traction diesel, chargement dense, France continentale, Base Carbone</v>
      </c>
      <c r="G489" s="1055" t="str">
        <f t="shared" si="39"/>
        <v>Traction diesel, chargement dense, France continentale, Base Carbone; kgCO2e/tonne.km, Fabrication</v>
      </c>
      <c r="I489" s="2018" t="s">
        <v>3904</v>
      </c>
      <c r="J489" s="1135" t="s">
        <v>2324</v>
      </c>
      <c r="K489" s="1119" t="s">
        <v>1567</v>
      </c>
      <c r="L489" s="1135" t="s">
        <v>1571</v>
      </c>
      <c r="M489" s="1033">
        <v>0.7</v>
      </c>
      <c r="N489" s="1135" t="s">
        <v>332</v>
      </c>
      <c r="O489" s="1135">
        <v>2.5999999999999999E-3</v>
      </c>
      <c r="P489" s="2017">
        <v>2.5999999999999999E-3</v>
      </c>
      <c r="Q489" s="2017">
        <v>0</v>
      </c>
      <c r="R489" s="2017">
        <v>0</v>
      </c>
      <c r="S489" s="2017">
        <v>0</v>
      </c>
      <c r="T489" s="2017">
        <v>0</v>
      </c>
      <c r="U489" s="2042">
        <v>0</v>
      </c>
    </row>
    <row r="490" spans="2:21" hidden="1" outlineLevel="2">
      <c r="B490" s="1050">
        <v>13</v>
      </c>
      <c r="C490" s="1050" t="str">
        <f t="shared" si="36"/>
        <v>-</v>
      </c>
      <c r="D490" s="1051">
        <f t="shared" si="37"/>
        <v>5</v>
      </c>
      <c r="E490" s="1051" t="str">
        <f>IF(COUNTIF(E$477:E489,F490)&gt;0,"",F490)</f>
        <v>Traction diesel, chargement léger, France continentale, Base Carbone</v>
      </c>
      <c r="F490" s="1051" t="str">
        <f t="shared" si="38"/>
        <v>Traction diesel, chargement léger, France continentale, Base Carbone</v>
      </c>
      <c r="G490" s="1055" t="str">
        <f t="shared" si="39"/>
        <v>Traction diesel, chargement léger, France continentale, Base Carbone; kgCO2e/tonne.km, Combustion</v>
      </c>
      <c r="I490" s="2018" t="s">
        <v>3905</v>
      </c>
      <c r="J490" s="1135" t="s">
        <v>2324</v>
      </c>
      <c r="K490" s="1119" t="s">
        <v>1567</v>
      </c>
      <c r="L490" s="1135" t="s">
        <v>1571</v>
      </c>
      <c r="M490" s="1033">
        <v>0.7</v>
      </c>
      <c r="N490" s="1135" t="s">
        <v>1569</v>
      </c>
      <c r="O490" s="1135">
        <v>2.86E-2</v>
      </c>
      <c r="P490" s="2017">
        <v>2.86E-2</v>
      </c>
      <c r="Q490" s="2017">
        <v>0</v>
      </c>
      <c r="R490" s="2017">
        <v>0</v>
      </c>
      <c r="S490" s="2017">
        <v>0</v>
      </c>
      <c r="T490" s="2017">
        <v>0</v>
      </c>
      <c r="U490" s="2042">
        <v>0</v>
      </c>
    </row>
    <row r="491" spans="2:21" hidden="1" outlineLevel="2">
      <c r="B491" s="1050">
        <v>14</v>
      </c>
      <c r="C491" s="1050" t="str">
        <f t="shared" si="36"/>
        <v>-</v>
      </c>
      <c r="D491" s="1051">
        <f t="shared" si="37"/>
        <v>5</v>
      </c>
      <c r="E491" s="1051" t="str">
        <f>IF(COUNTIF(E$477:E490,F491)&gt;0,"",F491)</f>
        <v/>
      </c>
      <c r="F491" s="1051" t="str">
        <f t="shared" si="38"/>
        <v>Traction diesel, chargement léger, France continentale, Base Carbone</v>
      </c>
      <c r="G491" s="1055" t="str">
        <f t="shared" si="39"/>
        <v>Traction diesel, chargement léger, France continentale, Base Carbone; kgCO2e/tonne.km, Amont</v>
      </c>
      <c r="I491" s="2018" t="s">
        <v>3905</v>
      </c>
      <c r="J491" s="1135" t="s">
        <v>2324</v>
      </c>
      <c r="K491" s="1119" t="s">
        <v>1567</v>
      </c>
      <c r="L491" s="1135" t="s">
        <v>1571</v>
      </c>
      <c r="M491" s="1033">
        <v>0.7</v>
      </c>
      <c r="N491" s="1135" t="s">
        <v>1570</v>
      </c>
      <c r="O491" s="1135">
        <v>7.45E-3</v>
      </c>
      <c r="P491" s="2017">
        <v>7.45E-3</v>
      </c>
      <c r="Q491" s="2017">
        <v>0</v>
      </c>
      <c r="R491" s="2017">
        <v>0</v>
      </c>
      <c r="S491" s="2017">
        <v>0</v>
      </c>
      <c r="T491" s="2017">
        <v>0</v>
      </c>
      <c r="U491" s="2042">
        <v>0</v>
      </c>
    </row>
    <row r="492" spans="2:21" hidden="1" outlineLevel="2">
      <c r="B492" s="1050">
        <v>15</v>
      </c>
      <c r="C492" s="1050" t="str">
        <f t="shared" si="36"/>
        <v>-</v>
      </c>
      <c r="D492" s="1051">
        <f t="shared" si="37"/>
        <v>5</v>
      </c>
      <c r="E492" s="1051" t="str">
        <f>IF(COUNTIF(E$477:E491,F492)&gt;0,"",F492)</f>
        <v/>
      </c>
      <c r="F492" s="1051" t="str">
        <f t="shared" si="38"/>
        <v>Traction diesel, chargement léger, France continentale, Base Carbone</v>
      </c>
      <c r="G492" s="1055" t="str">
        <f t="shared" si="39"/>
        <v>Traction diesel, chargement léger, France continentale, Base Carbone; kgCO2e/tonne.km, Fabrication</v>
      </c>
      <c r="I492" s="2018" t="s">
        <v>3905</v>
      </c>
      <c r="J492" s="1135" t="s">
        <v>2324</v>
      </c>
      <c r="K492" s="1119" t="s">
        <v>1567</v>
      </c>
      <c r="L492" s="1135" t="s">
        <v>1571</v>
      </c>
      <c r="M492" s="1033">
        <v>0.7</v>
      </c>
      <c r="N492" s="1135" t="s">
        <v>332</v>
      </c>
      <c r="O492" s="1135">
        <v>3.8999999999999998E-3</v>
      </c>
      <c r="P492" s="2017">
        <v>3.8999999999999998E-3</v>
      </c>
      <c r="Q492" s="2017">
        <v>0</v>
      </c>
      <c r="R492" s="2017">
        <v>0</v>
      </c>
      <c r="S492" s="2017">
        <v>0</v>
      </c>
      <c r="T492" s="2017">
        <v>0</v>
      </c>
      <c r="U492" s="2042">
        <v>0</v>
      </c>
    </row>
    <row r="493" spans="2:21" hidden="1" outlineLevel="2">
      <c r="B493" s="1050">
        <v>16</v>
      </c>
      <c r="C493" s="1050" t="str">
        <f t="shared" si="36"/>
        <v>-</v>
      </c>
      <c r="D493" s="1051">
        <f t="shared" si="37"/>
        <v>6</v>
      </c>
      <c r="E493" s="1051" t="str">
        <f>IF(COUNTIF(E$477:E492,F493)&gt;0,"",F493)</f>
        <v>Traction diesel, chargement moyen, France continentale, Base Carbone</v>
      </c>
      <c r="F493" s="1051" t="str">
        <f t="shared" si="38"/>
        <v>Traction diesel, chargement moyen, France continentale, Base Carbone</v>
      </c>
      <c r="G493" s="1055" t="str">
        <f t="shared" si="39"/>
        <v>Traction diesel, chargement moyen, France continentale, Base Carbone; kgCO2e/tonne.km, Combustion</v>
      </c>
      <c r="I493" s="2018" t="s">
        <v>3906</v>
      </c>
      <c r="J493" s="1135" t="s">
        <v>2324</v>
      </c>
      <c r="K493" s="1119" t="s">
        <v>1567</v>
      </c>
      <c r="L493" s="1135" t="s">
        <v>1571</v>
      </c>
      <c r="M493" s="1033">
        <v>0.7</v>
      </c>
      <c r="N493" s="1135" t="s">
        <v>1569</v>
      </c>
      <c r="O493" s="1135">
        <v>2.2200000000000001E-2</v>
      </c>
      <c r="P493" s="2017">
        <v>2.2200000000000001E-2</v>
      </c>
      <c r="Q493" s="2017">
        <v>0</v>
      </c>
      <c r="R493" s="2017">
        <v>0</v>
      </c>
      <c r="S493" s="2017">
        <v>0</v>
      </c>
      <c r="T493" s="2017">
        <v>0</v>
      </c>
      <c r="U493" s="2042">
        <v>0</v>
      </c>
    </row>
    <row r="494" spans="2:21" hidden="1" outlineLevel="2">
      <c r="B494" s="1050">
        <v>17</v>
      </c>
      <c r="C494" s="1050" t="str">
        <f t="shared" si="36"/>
        <v>-</v>
      </c>
      <c r="D494" s="1051">
        <f t="shared" si="37"/>
        <v>6</v>
      </c>
      <c r="E494" s="1051" t="str">
        <f>IF(COUNTIF(E$477:E493,F494)&gt;0,"",F494)</f>
        <v/>
      </c>
      <c r="F494" s="1051" t="str">
        <f t="shared" si="38"/>
        <v>Traction diesel, chargement moyen, France continentale, Base Carbone</v>
      </c>
      <c r="G494" s="1055" t="str">
        <f t="shared" si="39"/>
        <v>Traction diesel, chargement moyen, France continentale, Base Carbone; kgCO2e/tonne.km, Amont</v>
      </c>
      <c r="I494" s="2018" t="s">
        <v>3906</v>
      </c>
      <c r="J494" s="1135" t="s">
        <v>2324</v>
      </c>
      <c r="K494" s="1119" t="s">
        <v>1567</v>
      </c>
      <c r="L494" s="1135" t="s">
        <v>1571</v>
      </c>
      <c r="M494" s="1033">
        <v>0.7</v>
      </c>
      <c r="N494" s="1135" t="s">
        <v>1570</v>
      </c>
      <c r="O494" s="1135">
        <v>5.7800000000000004E-3</v>
      </c>
      <c r="P494" s="2017">
        <v>5.7800000000000004E-3</v>
      </c>
      <c r="Q494" s="2017">
        <v>0</v>
      </c>
      <c r="R494" s="2017">
        <v>0</v>
      </c>
      <c r="S494" s="2017">
        <v>0</v>
      </c>
      <c r="T494" s="2017">
        <v>0</v>
      </c>
      <c r="U494" s="2042">
        <v>0</v>
      </c>
    </row>
    <row r="495" spans="2:21" hidden="1" outlineLevel="2">
      <c r="B495" s="1050">
        <v>18</v>
      </c>
      <c r="C495" s="1050" t="str">
        <f t="shared" si="36"/>
        <v>-</v>
      </c>
      <c r="D495" s="1051">
        <f t="shared" si="37"/>
        <v>6</v>
      </c>
      <c r="E495" s="1051" t="str">
        <f>IF(COUNTIF(E$477:E494,F495)&gt;0,"",F495)</f>
        <v/>
      </c>
      <c r="F495" s="1051" t="str">
        <f t="shared" si="38"/>
        <v>Traction diesel, chargement moyen, France continentale, Base Carbone</v>
      </c>
      <c r="G495" s="1055" t="str">
        <f t="shared" si="39"/>
        <v>Traction diesel, chargement moyen, France continentale, Base Carbone; kgCO2e/tonne.km, Fabrication</v>
      </c>
      <c r="I495" s="2018" t="s">
        <v>3906</v>
      </c>
      <c r="J495" s="1135" t="s">
        <v>2324</v>
      </c>
      <c r="K495" s="1119" t="s">
        <v>1567</v>
      </c>
      <c r="L495" s="1135" t="s">
        <v>1571</v>
      </c>
      <c r="M495" s="1033">
        <v>0.7</v>
      </c>
      <c r="N495" s="1135" t="s">
        <v>332</v>
      </c>
      <c r="O495" s="1135">
        <v>3.0000000000000001E-3</v>
      </c>
      <c r="P495" s="2017">
        <v>3.0000000000000001E-3</v>
      </c>
      <c r="Q495" s="2017">
        <v>0</v>
      </c>
      <c r="R495" s="2017">
        <v>0</v>
      </c>
      <c r="S495" s="2017">
        <v>0</v>
      </c>
      <c r="T495" s="2017">
        <v>0</v>
      </c>
      <c r="U495" s="2042">
        <v>0</v>
      </c>
    </row>
    <row r="496" spans="2:21" hidden="1" outlineLevel="2">
      <c r="B496" s="1050">
        <v>19</v>
      </c>
      <c r="C496" s="1050" t="str">
        <f t="shared" si="36"/>
        <v>-</v>
      </c>
      <c r="D496" s="1051">
        <f t="shared" si="37"/>
        <v>7</v>
      </c>
      <c r="E496" s="1051" t="str">
        <f>IF(COUNTIF(E$477:E495,F496)&gt;0,"",F496)</f>
        <v>Traction électrique, chargement dense, France continentale, Base Carbone</v>
      </c>
      <c r="F496" s="1051" t="str">
        <f t="shared" si="38"/>
        <v>Traction électrique, chargement dense, France continentale, Base Carbone</v>
      </c>
      <c r="G496" s="1055" t="str">
        <f t="shared" si="39"/>
        <v>Traction électrique, chargement dense, France continentale, Base Carbone; kgCO2e/tonne.km, Combustion</v>
      </c>
      <c r="I496" s="2018" t="s">
        <v>3907</v>
      </c>
      <c r="J496" s="1135" t="s">
        <v>2324</v>
      </c>
      <c r="K496" s="1119" t="s">
        <v>1567</v>
      </c>
      <c r="L496" s="1135" t="s">
        <v>1571</v>
      </c>
      <c r="M496" s="1033">
        <v>0.7</v>
      </c>
      <c r="N496" s="1135" t="s">
        <v>1569</v>
      </c>
      <c r="O496" s="1135">
        <v>6.5899999999999997E-4</v>
      </c>
      <c r="P496" s="2017">
        <v>6.5899999999999997E-4</v>
      </c>
      <c r="Q496" s="2017">
        <v>0</v>
      </c>
      <c r="R496" s="2017">
        <v>0</v>
      </c>
      <c r="S496" s="2017">
        <v>0</v>
      </c>
      <c r="T496" s="2017">
        <v>0</v>
      </c>
      <c r="U496" s="2042">
        <v>0</v>
      </c>
    </row>
    <row r="497" spans="2:21" hidden="1" outlineLevel="2">
      <c r="B497" s="1050">
        <v>20</v>
      </c>
      <c r="C497" s="1050" t="str">
        <f t="shared" si="36"/>
        <v>-</v>
      </c>
      <c r="D497" s="1051">
        <f t="shared" si="37"/>
        <v>7</v>
      </c>
      <c r="E497" s="1051" t="str">
        <f>IF(COUNTIF(E$477:E496,F497)&gt;0,"",F497)</f>
        <v/>
      </c>
      <c r="F497" s="1051" t="str">
        <f t="shared" si="38"/>
        <v>Traction électrique, chargement dense, France continentale, Base Carbone</v>
      </c>
      <c r="G497" s="1055" t="str">
        <f t="shared" si="39"/>
        <v>Traction électrique, chargement dense, France continentale, Base Carbone; kgCO2e/tonne.km, Amont</v>
      </c>
      <c r="I497" s="2018" t="s">
        <v>3907</v>
      </c>
      <c r="J497" s="1135" t="s">
        <v>2324</v>
      </c>
      <c r="K497" s="1119" t="s">
        <v>1567</v>
      </c>
      <c r="L497" s="1135" t="s">
        <v>1571</v>
      </c>
      <c r="M497" s="1033">
        <v>0.7</v>
      </c>
      <c r="N497" s="1135" t="s">
        <v>1570</v>
      </c>
      <c r="O497" s="1135">
        <v>4.1399999999999998E-4</v>
      </c>
      <c r="P497" s="2017">
        <v>4.1399999999999998E-4</v>
      </c>
      <c r="Q497" s="2017">
        <v>0</v>
      </c>
      <c r="R497" s="2017">
        <v>0</v>
      </c>
      <c r="S497" s="2017">
        <v>0</v>
      </c>
      <c r="T497" s="2017">
        <v>0</v>
      </c>
      <c r="U497" s="2042">
        <v>0</v>
      </c>
    </row>
    <row r="498" spans="2:21" hidden="1" outlineLevel="2">
      <c r="B498" s="1050">
        <v>21</v>
      </c>
      <c r="C498" s="1050" t="str">
        <f t="shared" si="36"/>
        <v>-</v>
      </c>
      <c r="D498" s="1051">
        <f t="shared" si="37"/>
        <v>7</v>
      </c>
      <c r="E498" s="1051" t="str">
        <f>IF(COUNTIF(E$477:E497,F498)&gt;0,"",F498)</f>
        <v/>
      </c>
      <c r="F498" s="1051" t="str">
        <f t="shared" si="38"/>
        <v>Traction électrique, chargement dense, France continentale, Base Carbone</v>
      </c>
      <c r="G498" s="1055" t="str">
        <f t="shared" si="39"/>
        <v>Traction électrique, chargement dense, France continentale, Base Carbone; kgCO2e/tonne.km, Fabrication</v>
      </c>
      <c r="I498" s="2018" t="s">
        <v>3907</v>
      </c>
      <c r="J498" s="1135" t="s">
        <v>2324</v>
      </c>
      <c r="K498" s="1119" t="s">
        <v>1567</v>
      </c>
      <c r="L498" s="1135" t="s">
        <v>1571</v>
      </c>
      <c r="M498" s="1033">
        <v>0.7</v>
      </c>
      <c r="N498" s="1135" t="s">
        <v>332</v>
      </c>
      <c r="O498" s="1135">
        <v>2.5999999999999999E-3</v>
      </c>
      <c r="P498" s="2017">
        <v>2.5999999999999999E-3</v>
      </c>
      <c r="Q498" s="2017">
        <v>0</v>
      </c>
      <c r="R498" s="2017">
        <v>0</v>
      </c>
      <c r="S498" s="2017">
        <v>0</v>
      </c>
      <c r="T498" s="2017">
        <v>0</v>
      </c>
      <c r="U498" s="2042">
        <v>0</v>
      </c>
    </row>
    <row r="499" spans="2:21" hidden="1" outlineLevel="2">
      <c r="B499" s="1050">
        <v>22</v>
      </c>
      <c r="C499" s="1050" t="str">
        <f t="shared" si="36"/>
        <v>-</v>
      </c>
      <c r="D499" s="1051">
        <f t="shared" si="37"/>
        <v>8</v>
      </c>
      <c r="E499" s="1051" t="str">
        <f>IF(COUNTIF(E$477:E498,F499)&gt;0,"",F499)</f>
        <v>Traction électrique, chargement léger, France continentale, Base Carbone</v>
      </c>
      <c r="F499" s="1051" t="str">
        <f t="shared" si="38"/>
        <v>Traction électrique, chargement léger, France continentale, Base Carbone</v>
      </c>
      <c r="G499" s="1055" t="str">
        <f t="shared" si="39"/>
        <v>Traction électrique, chargement léger, France continentale, Base Carbone; kgCO2e/tonne.km, Combustion</v>
      </c>
      <c r="I499" s="2018" t="s">
        <v>3908</v>
      </c>
      <c r="J499" s="1135" t="s">
        <v>2324</v>
      </c>
      <c r="K499" s="1119" t="s">
        <v>1567</v>
      </c>
      <c r="L499" s="1135" t="s">
        <v>1571</v>
      </c>
      <c r="M499" s="1033">
        <v>0.7</v>
      </c>
      <c r="N499" s="1135" t="s">
        <v>1569</v>
      </c>
      <c r="O499" s="1135">
        <v>9.8400000000000007E-4</v>
      </c>
      <c r="P499" s="2017">
        <v>9.8400000000000007E-4</v>
      </c>
      <c r="Q499" s="2017">
        <v>0</v>
      </c>
      <c r="R499" s="2017">
        <v>0</v>
      </c>
      <c r="S499" s="2017">
        <v>0</v>
      </c>
      <c r="T499" s="2017">
        <v>0</v>
      </c>
      <c r="U499" s="2042">
        <v>0</v>
      </c>
    </row>
    <row r="500" spans="2:21" hidden="1" outlineLevel="2">
      <c r="B500" s="1045"/>
      <c r="C500" s="1045"/>
      <c r="D500" s="1051">
        <f t="shared" si="37"/>
        <v>8</v>
      </c>
      <c r="E500" s="1051" t="str">
        <f>IF(COUNTIF(E$477:E499,F500)&gt;0,"",F500)</f>
        <v/>
      </c>
      <c r="F500" s="1051" t="str">
        <f t="shared" si="38"/>
        <v>Traction électrique, chargement léger, France continentale, Base Carbone</v>
      </c>
      <c r="G500" s="1055" t="str">
        <f t="shared" si="39"/>
        <v>Traction électrique, chargement léger, France continentale, Base Carbone; kgCO2e/tonne.km, Amont</v>
      </c>
      <c r="I500" s="2018" t="s">
        <v>3908</v>
      </c>
      <c r="J500" s="1135" t="s">
        <v>2324</v>
      </c>
      <c r="K500" s="1119" t="s">
        <v>1567</v>
      </c>
      <c r="L500" s="1135" t="s">
        <v>1571</v>
      </c>
      <c r="M500" s="1033">
        <v>0.7</v>
      </c>
      <c r="N500" s="1135" t="s">
        <v>1570</v>
      </c>
      <c r="O500" s="1135">
        <v>6.1799999999999995E-4</v>
      </c>
      <c r="P500" s="2017">
        <v>6.1799999999999995E-4</v>
      </c>
      <c r="Q500" s="2017">
        <v>0</v>
      </c>
      <c r="R500" s="2017">
        <v>0</v>
      </c>
      <c r="S500" s="2017">
        <v>0</v>
      </c>
      <c r="T500" s="2017">
        <v>0</v>
      </c>
      <c r="U500" s="2042">
        <v>0</v>
      </c>
    </row>
    <row r="501" spans="2:21" hidden="1" outlineLevel="2">
      <c r="B501" s="1045"/>
      <c r="C501" s="1045"/>
      <c r="D501" s="1051">
        <f t="shared" si="37"/>
        <v>8</v>
      </c>
      <c r="E501" s="1051" t="str">
        <f>IF(COUNTIF(E$477:E500,F501)&gt;0,"",F501)</f>
        <v/>
      </c>
      <c r="F501" s="1051" t="str">
        <f t="shared" si="38"/>
        <v>Traction électrique, chargement léger, France continentale, Base Carbone</v>
      </c>
      <c r="G501" s="1055" t="str">
        <f t="shared" si="39"/>
        <v>Traction électrique, chargement léger, France continentale, Base Carbone; kgCO2e/tonne.km, Fabrication</v>
      </c>
      <c r="I501" s="2018" t="s">
        <v>3908</v>
      </c>
      <c r="J501" s="1135" t="s">
        <v>2324</v>
      </c>
      <c r="K501" s="1119" t="s">
        <v>1567</v>
      </c>
      <c r="L501" s="1135" t="s">
        <v>1571</v>
      </c>
      <c r="M501" s="1033">
        <v>0.7</v>
      </c>
      <c r="N501" s="1135" t="s">
        <v>332</v>
      </c>
      <c r="O501" s="1135">
        <v>3.8999999999999998E-3</v>
      </c>
      <c r="P501" s="2017">
        <v>3.8999999999999998E-3</v>
      </c>
      <c r="Q501" s="2017">
        <v>0</v>
      </c>
      <c r="R501" s="2017">
        <v>0</v>
      </c>
      <c r="S501" s="2017">
        <v>0</v>
      </c>
      <c r="T501" s="2017">
        <v>0</v>
      </c>
      <c r="U501" s="2042">
        <v>0</v>
      </c>
    </row>
    <row r="502" spans="2:21" hidden="1" outlineLevel="2">
      <c r="B502" s="1045"/>
      <c r="C502" s="1045"/>
      <c r="D502" s="1051">
        <f t="shared" si="37"/>
        <v>9</v>
      </c>
      <c r="E502" s="1051" t="str">
        <f>IF(COUNTIF(E$477:E501,F502)&gt;0,"",F502)</f>
        <v>Traction électrique, chargement moyen, France continentale, Base Carbone</v>
      </c>
      <c r="F502" s="1051" t="str">
        <f t="shared" si="38"/>
        <v>Traction électrique, chargement moyen, France continentale, Base Carbone</v>
      </c>
      <c r="G502" s="1055" t="str">
        <f t="shared" si="39"/>
        <v>Traction électrique, chargement moyen, France continentale, Base Carbone; kgCO2e/tonne.km, Combustion</v>
      </c>
      <c r="I502" s="2018" t="s">
        <v>3909</v>
      </c>
      <c r="J502" s="1135" t="s">
        <v>2324</v>
      </c>
      <c r="K502" s="1119" t="s">
        <v>1567</v>
      </c>
      <c r="L502" s="1135" t="s">
        <v>1571</v>
      </c>
      <c r="M502" s="1033">
        <v>0.7</v>
      </c>
      <c r="N502" s="1135" t="s">
        <v>1569</v>
      </c>
      <c r="O502" s="1135">
        <v>7.6300000000000001E-4</v>
      </c>
      <c r="P502" s="2017">
        <v>7.6300000000000001E-4</v>
      </c>
      <c r="Q502" s="2017">
        <v>0</v>
      </c>
      <c r="R502" s="2017">
        <v>0</v>
      </c>
      <c r="S502" s="2017">
        <v>0</v>
      </c>
      <c r="T502" s="2017">
        <v>0</v>
      </c>
      <c r="U502" s="2042">
        <v>0</v>
      </c>
    </row>
    <row r="503" spans="2:21" hidden="1" outlineLevel="2">
      <c r="B503" s="1045"/>
      <c r="C503" s="1045"/>
      <c r="D503" s="1051">
        <f t="shared" si="37"/>
        <v>9</v>
      </c>
      <c r="E503" s="1051" t="str">
        <f>IF(COUNTIF(E$477:E502,F503)&gt;0,"",F503)</f>
        <v/>
      </c>
      <c r="F503" s="1051" t="str">
        <f t="shared" si="38"/>
        <v>Traction électrique, chargement moyen, France continentale, Base Carbone</v>
      </c>
      <c r="G503" s="1055" t="str">
        <f t="shared" si="39"/>
        <v>Traction électrique, chargement moyen, France continentale, Base Carbone; kgCO2e/tonne.km, Amont</v>
      </c>
      <c r="I503" s="2018" t="s">
        <v>3909</v>
      </c>
      <c r="J503" s="1135" t="s">
        <v>2324</v>
      </c>
      <c r="K503" s="1119" t="s">
        <v>1567</v>
      </c>
      <c r="L503" s="1135" t="s">
        <v>1571</v>
      </c>
      <c r="M503" s="1033">
        <v>0.7</v>
      </c>
      <c r="N503" s="1135" t="s">
        <v>1570</v>
      </c>
      <c r="O503" s="1135">
        <v>4.8000000000000001E-4</v>
      </c>
      <c r="P503" s="2017">
        <v>4.8000000000000001E-4</v>
      </c>
      <c r="Q503" s="2017">
        <v>0</v>
      </c>
      <c r="R503" s="2017">
        <v>0</v>
      </c>
      <c r="S503" s="2017">
        <v>0</v>
      </c>
      <c r="T503" s="2017">
        <v>0</v>
      </c>
      <c r="U503" s="2042">
        <v>0</v>
      </c>
    </row>
    <row r="504" spans="2:21" hidden="1" outlineLevel="2">
      <c r="B504" s="1045"/>
      <c r="C504" s="1045"/>
      <c r="D504" s="1051">
        <f t="shared" si="37"/>
        <v>9</v>
      </c>
      <c r="E504" s="1051" t="str">
        <f>IF(COUNTIF(E$477:E503,F504)&gt;0,"",F504)</f>
        <v/>
      </c>
      <c r="F504" s="1051" t="str">
        <f t="shared" si="38"/>
        <v>Traction électrique, chargement moyen, France continentale, Base Carbone</v>
      </c>
      <c r="G504" s="1055" t="str">
        <f t="shared" si="39"/>
        <v>Traction électrique, chargement moyen, France continentale, Base Carbone; kgCO2e/tonne.km, Fabrication</v>
      </c>
      <c r="I504" s="2018" t="s">
        <v>3909</v>
      </c>
      <c r="J504" s="1135" t="s">
        <v>2324</v>
      </c>
      <c r="K504" s="1119" t="s">
        <v>1567</v>
      </c>
      <c r="L504" s="1135" t="s">
        <v>1571</v>
      </c>
      <c r="M504" s="2043">
        <v>0.7</v>
      </c>
      <c r="N504" s="1135" t="s">
        <v>332</v>
      </c>
      <c r="O504" s="1135">
        <v>3.0000000000000001E-3</v>
      </c>
      <c r="P504" s="2017">
        <v>3.0000000000000001E-3</v>
      </c>
      <c r="Q504" s="2017">
        <v>0</v>
      </c>
      <c r="R504" s="2017">
        <v>0</v>
      </c>
      <c r="S504" s="2017">
        <v>0</v>
      </c>
      <c r="T504" s="2017">
        <v>0</v>
      </c>
      <c r="U504" s="2042">
        <v>0</v>
      </c>
    </row>
    <row r="505" spans="2:21" hidden="1" outlineLevel="2">
      <c r="B505" s="1045"/>
      <c r="C505" s="1045"/>
      <c r="D505" s="1051">
        <f t="shared" si="37"/>
        <v>9</v>
      </c>
      <c r="E505" s="1051" t="str">
        <f>IF(COUNTIF(E$477:E504,F505)&gt;0,"",F505)</f>
        <v/>
      </c>
      <c r="F505" s="1051" t="str">
        <f t="shared" si="38"/>
        <v/>
      </c>
      <c r="G505" s="1055" t="str">
        <f t="shared" si="39"/>
        <v/>
      </c>
      <c r="I505" s="2018"/>
      <c r="J505" s="1135"/>
      <c r="K505" s="1119"/>
      <c r="L505" s="1119"/>
      <c r="M505" s="1033"/>
      <c r="N505" s="1135"/>
      <c r="O505" s="1135"/>
      <c r="P505" s="1135"/>
      <c r="Q505" s="1135"/>
      <c r="R505" s="1135"/>
      <c r="S505" s="1135"/>
      <c r="T505" s="1135"/>
      <c r="U505" s="2041"/>
    </row>
    <row r="506" spans="2:21" hidden="1" outlineLevel="2">
      <c r="B506" s="1045"/>
      <c r="C506" s="1045"/>
      <c r="D506" s="1051">
        <f t="shared" si="37"/>
        <v>9</v>
      </c>
      <c r="E506" s="1051" t="str">
        <f>IF(COUNTIF(E$477:E505,F506)&gt;0,"",F506)</f>
        <v/>
      </c>
      <c r="F506" s="1051" t="str">
        <f t="shared" si="38"/>
        <v/>
      </c>
      <c r="G506" s="1055" t="str">
        <f t="shared" si="39"/>
        <v/>
      </c>
      <c r="I506" s="2018"/>
      <c r="J506" s="1135"/>
      <c r="K506" s="1119"/>
      <c r="L506" s="1119"/>
      <c r="M506" s="1033"/>
      <c r="N506" s="1135"/>
      <c r="O506" s="1135"/>
      <c r="P506" s="1135"/>
      <c r="Q506" s="1135"/>
      <c r="R506" s="1135"/>
      <c r="S506" s="1135"/>
      <c r="T506" s="1135"/>
      <c r="U506" s="2041"/>
    </row>
    <row r="507" spans="2:21" hidden="1" outlineLevel="2">
      <c r="B507" s="1045"/>
      <c r="C507" s="1045"/>
      <c r="D507" s="1051">
        <f t="shared" si="37"/>
        <v>9</v>
      </c>
      <c r="E507" s="1051" t="str">
        <f>IF(COUNTIF(E$477:E506,F507)&gt;0,"",F507)</f>
        <v/>
      </c>
      <c r="F507" s="1051" t="str">
        <f t="shared" si="38"/>
        <v/>
      </c>
      <c r="G507" s="1055" t="str">
        <f t="shared" si="39"/>
        <v/>
      </c>
      <c r="I507" s="2018"/>
      <c r="J507" s="1135"/>
      <c r="K507" s="1119"/>
      <c r="L507" s="1119"/>
      <c r="M507" s="1033"/>
      <c r="N507" s="1135"/>
      <c r="O507" s="1135"/>
      <c r="P507" s="1135"/>
      <c r="Q507" s="1135"/>
      <c r="R507" s="1135"/>
      <c r="S507" s="1135"/>
      <c r="T507" s="1135"/>
      <c r="U507" s="2041"/>
    </row>
    <row r="508" spans="2:21" hidden="1" outlineLevel="2">
      <c r="B508" s="1045"/>
      <c r="C508" s="1045"/>
      <c r="D508" s="1051">
        <f t="shared" si="37"/>
        <v>9</v>
      </c>
      <c r="E508" s="1051" t="str">
        <f>IF(COUNTIF(E$477:E507,F508)&gt;0,"",F508)</f>
        <v/>
      </c>
      <c r="F508" s="1051" t="str">
        <f t="shared" si="38"/>
        <v/>
      </c>
      <c r="G508" s="1055" t="str">
        <f t="shared" si="39"/>
        <v/>
      </c>
      <c r="I508" s="2018"/>
      <c r="J508" s="1135"/>
      <c r="K508" s="1119"/>
      <c r="L508" s="1119"/>
      <c r="M508" s="1033"/>
      <c r="N508" s="1135"/>
      <c r="O508" s="1135"/>
      <c r="P508" s="1135"/>
      <c r="Q508" s="1135"/>
      <c r="R508" s="1135"/>
      <c r="S508" s="1135"/>
      <c r="T508" s="1135"/>
      <c r="U508" s="2041"/>
    </row>
    <row r="509" spans="2:21" hidden="1" outlineLevel="2">
      <c r="B509" s="1045"/>
      <c r="C509" s="1045"/>
      <c r="D509" s="1051">
        <f t="shared" si="37"/>
        <v>9</v>
      </c>
      <c r="E509" s="1051" t="str">
        <f>IF(COUNTIF(E$477:E508,F509)&gt;0,"",F509)</f>
        <v/>
      </c>
      <c r="F509" s="1051" t="str">
        <f t="shared" si="38"/>
        <v/>
      </c>
      <c r="G509" s="1055" t="str">
        <f t="shared" si="39"/>
        <v/>
      </c>
      <c r="I509" s="2018"/>
      <c r="J509" s="1135"/>
      <c r="K509" s="1119"/>
      <c r="L509" s="1119"/>
      <c r="M509" s="1033"/>
      <c r="N509" s="1135"/>
      <c r="O509" s="1135"/>
      <c r="P509" s="1135"/>
      <c r="Q509" s="1135"/>
      <c r="R509" s="1135"/>
      <c r="S509" s="1135"/>
      <c r="T509" s="1135"/>
      <c r="U509" s="2041"/>
    </row>
    <row r="510" spans="2:21" hidden="1" outlineLevel="2">
      <c r="B510" s="1045"/>
      <c r="C510" s="1045"/>
      <c r="D510" s="1051">
        <f t="shared" si="37"/>
        <v>9</v>
      </c>
      <c r="E510" s="1051" t="str">
        <f>IF(COUNTIF(E$477:E509,F510)&gt;0,"",F510)</f>
        <v/>
      </c>
      <c r="F510" s="1051" t="str">
        <f t="shared" si="38"/>
        <v/>
      </c>
      <c r="G510" s="1055" t="str">
        <f t="shared" si="39"/>
        <v/>
      </c>
      <c r="I510" s="2018"/>
      <c r="J510" s="1135"/>
      <c r="K510" s="1119"/>
      <c r="L510" s="1119"/>
      <c r="M510" s="1033"/>
      <c r="N510" s="1135"/>
      <c r="O510" s="1135"/>
      <c r="P510" s="1135"/>
      <c r="Q510" s="1135"/>
      <c r="R510" s="1135"/>
      <c r="S510" s="1135"/>
      <c r="T510" s="1135"/>
      <c r="U510" s="2041"/>
    </row>
    <row r="511" spans="2:21" hidden="1" outlineLevel="2">
      <c r="B511" s="1045"/>
      <c r="C511" s="1045"/>
      <c r="D511" s="1051">
        <f t="shared" si="37"/>
        <v>9</v>
      </c>
      <c r="E511" s="1051" t="str">
        <f>IF(COUNTIF(E$477:E510,F511)&gt;0,"",F511)</f>
        <v/>
      </c>
      <c r="F511" s="1051" t="str">
        <f t="shared" si="38"/>
        <v/>
      </c>
      <c r="G511" s="1055" t="str">
        <f t="shared" si="39"/>
        <v/>
      </c>
      <c r="I511" s="2018"/>
      <c r="J511" s="1135"/>
      <c r="K511" s="1119"/>
      <c r="L511" s="1119"/>
      <c r="M511" s="1033"/>
      <c r="N511" s="1135"/>
      <c r="O511" s="1135"/>
      <c r="P511" s="1135"/>
      <c r="Q511" s="1135"/>
      <c r="R511" s="1135"/>
      <c r="S511" s="1135"/>
      <c r="T511" s="1135"/>
      <c r="U511" s="2041"/>
    </row>
    <row r="512" spans="2:21" hidden="1" outlineLevel="2">
      <c r="B512" s="1045"/>
      <c r="C512" s="1045"/>
      <c r="D512" s="1051">
        <f t="shared" si="37"/>
        <v>9</v>
      </c>
      <c r="E512" s="1051" t="str">
        <f>IF(COUNTIF(E$477:E511,F512)&gt;0,"",F512)</f>
        <v/>
      </c>
      <c r="F512" s="1051" t="str">
        <f t="shared" si="38"/>
        <v/>
      </c>
      <c r="G512" s="1055" t="str">
        <f t="shared" si="39"/>
        <v/>
      </c>
      <c r="I512" s="2018"/>
      <c r="J512" s="1135"/>
      <c r="K512" s="1119"/>
      <c r="L512" s="1119"/>
      <c r="M512" s="1033"/>
      <c r="N512" s="1135"/>
      <c r="O512" s="1135"/>
      <c r="P512" s="1135"/>
      <c r="Q512" s="1135"/>
      <c r="R512" s="1135"/>
      <c r="S512" s="1135"/>
      <c r="T512" s="1135"/>
      <c r="U512" s="2041"/>
    </row>
    <row r="513" spans="2:21" hidden="1" outlineLevel="2">
      <c r="B513" s="1045"/>
      <c r="C513" s="1045"/>
      <c r="D513" s="1051">
        <f t="shared" si="37"/>
        <v>9</v>
      </c>
      <c r="E513" s="1051" t="str">
        <f>IF(COUNTIF(E$477:E512,F513)&gt;0,"",F513)</f>
        <v/>
      </c>
      <c r="F513" s="1051" t="str">
        <f t="shared" si="38"/>
        <v/>
      </c>
      <c r="G513" s="1055" t="str">
        <f t="shared" si="39"/>
        <v/>
      </c>
      <c r="I513" s="2018"/>
      <c r="J513" s="1135"/>
      <c r="K513" s="1119"/>
      <c r="L513" s="1119"/>
      <c r="M513" s="1033"/>
      <c r="N513" s="1135"/>
      <c r="O513" s="1135"/>
      <c r="P513" s="1135"/>
      <c r="Q513" s="1135"/>
      <c r="R513" s="1135"/>
      <c r="S513" s="1135"/>
      <c r="T513" s="1135"/>
      <c r="U513" s="2041"/>
    </row>
    <row r="514" spans="2:21" hidden="1" outlineLevel="2">
      <c r="B514" s="1045"/>
      <c r="C514" s="1045"/>
      <c r="D514" s="1051">
        <f t="shared" si="37"/>
        <v>9</v>
      </c>
      <c r="E514" s="1051" t="str">
        <f>IF(COUNTIF(E$477:E513,F514)&gt;0,"",F514)</f>
        <v/>
      </c>
      <c r="F514" s="1051" t="str">
        <f t="shared" si="38"/>
        <v/>
      </c>
      <c r="G514" s="1055" t="str">
        <f t="shared" si="39"/>
        <v/>
      </c>
      <c r="I514" s="2018"/>
      <c r="J514" s="1135"/>
      <c r="K514" s="1119"/>
      <c r="L514" s="1119"/>
      <c r="M514" s="1033"/>
      <c r="N514" s="1135"/>
      <c r="O514" s="1135"/>
      <c r="P514" s="1135"/>
      <c r="Q514" s="1135"/>
      <c r="R514" s="1135"/>
      <c r="S514" s="1135"/>
      <c r="T514" s="1135"/>
      <c r="U514" s="2041"/>
    </row>
    <row r="515" spans="2:21" ht="13.2" hidden="1" outlineLevel="1">
      <c r="B515" s="1045"/>
      <c r="C515" s="1045"/>
      <c r="D515" s="1051"/>
      <c r="E515" s="1051"/>
      <c r="F515" s="1051"/>
      <c r="G515" s="1055"/>
      <c r="I515" s="1746"/>
      <c r="J515" s="1742"/>
      <c r="K515" s="1742"/>
      <c r="L515" s="1742"/>
      <c r="M515" s="1742"/>
      <c r="N515" s="1742"/>
      <c r="O515" s="1742"/>
      <c r="P515" s="1742"/>
      <c r="Q515" s="1742"/>
      <c r="R515" s="1742"/>
      <c r="S515" s="1742"/>
      <c r="T515" s="1742"/>
      <c r="U515" s="2063"/>
    </row>
    <row r="516" spans="2:21" ht="13.2" hidden="1" outlineLevel="1">
      <c r="B516" s="1045"/>
      <c r="C516" s="1045"/>
      <c r="D516" s="1045"/>
      <c r="E516" s="1045"/>
      <c r="F516" s="1045"/>
      <c r="G516" s="1135"/>
      <c r="I516" s="1746"/>
      <c r="J516" s="1742"/>
      <c r="K516" s="1742"/>
      <c r="L516" s="1742"/>
      <c r="M516" s="1742"/>
      <c r="N516" s="1742"/>
      <c r="O516" s="1742"/>
      <c r="P516" s="1742"/>
      <c r="Q516" s="1742"/>
      <c r="R516" s="1742"/>
      <c r="S516" s="1742"/>
      <c r="T516" s="1742"/>
      <c r="U516" s="2063"/>
    </row>
    <row r="517" spans="2:21" ht="12.75" hidden="1" customHeight="1" outlineLevel="1" collapsed="1">
      <c r="B517" s="3156" t="s">
        <v>4023</v>
      </c>
      <c r="C517" s="3156"/>
      <c r="D517" s="1051">
        <v>0</v>
      </c>
      <c r="E517" s="1051"/>
      <c r="F517" s="1051"/>
      <c r="G517" s="1055"/>
      <c r="I517" s="1746"/>
      <c r="J517" s="1742"/>
      <c r="K517" s="1742"/>
      <c r="L517" s="1742"/>
      <c r="M517" s="1742"/>
      <c r="N517" s="1742"/>
      <c r="O517" s="1742"/>
      <c r="P517" s="1742"/>
      <c r="Q517" s="1742"/>
      <c r="R517" s="1742"/>
      <c r="S517" s="1742"/>
      <c r="T517" s="1742"/>
      <c r="U517" s="2063"/>
    </row>
    <row r="518" spans="2:21" hidden="1" outlineLevel="2">
      <c r="B518" s="1050">
        <v>1</v>
      </c>
      <c r="C518" s="1050" t="str">
        <f>IF(ISNA(VLOOKUP(B518,$D$517:$E$542,2,FALSE)),"-",VLOOKUP(B518,$D$517:$E$542,2,FALSE))</f>
        <v>Train de marchandises, Corse, Base Carbone</v>
      </c>
      <c r="D518" s="1051">
        <f>D516+IF(LEN(E518)&gt;0,1,0)</f>
        <v>1</v>
      </c>
      <c r="E518" s="1051" t="str">
        <f>IF(COUNTIF(E$477:E503,F518)&gt;0,"",F518)</f>
        <v>Train de marchandises, Corse, Base Carbone</v>
      </c>
      <c r="F518" s="1051" t="str">
        <f t="shared" ref="F518" si="40">IF(I518&lt;&gt;"",I518&amp;IF(L518&lt;&gt;"",", "&amp;L518,"")&amp;IF(K518&lt;&gt;"",", "&amp;K518,""),"")</f>
        <v>Train de marchandises, Corse, Base Carbone</v>
      </c>
      <c r="G518" s="1055" t="str">
        <f t="shared" ref="G518" si="41">IF(F518&lt;&gt;"",F518&amp;IF(J518&lt;&gt;"","; "&amp;J518&amp;IF(N518&lt;&gt;"",", "&amp;N518,),""),"")</f>
        <v>Train de marchandises, Corse, Base Carbone; kgCO2e/tonne.km, Combustion</v>
      </c>
      <c r="I518" s="2018" t="s">
        <v>3910</v>
      </c>
      <c r="J518" s="1135" t="s">
        <v>2324</v>
      </c>
      <c r="K518" s="1119" t="s">
        <v>1567</v>
      </c>
      <c r="L518" s="1119" t="s">
        <v>251</v>
      </c>
      <c r="M518" s="1033">
        <v>0.4</v>
      </c>
      <c r="N518" s="2017" t="s">
        <v>1569</v>
      </c>
      <c r="O518" s="1135">
        <v>7.6999999999999999E-2</v>
      </c>
      <c r="P518" s="1135">
        <v>7.6999999999999999E-2</v>
      </c>
      <c r="Q518" s="1135">
        <v>0</v>
      </c>
      <c r="R518" s="1135">
        <v>0</v>
      </c>
      <c r="S518" s="1135">
        <v>0</v>
      </c>
      <c r="T518" s="1135">
        <v>0</v>
      </c>
      <c r="U518" s="2041">
        <v>0</v>
      </c>
    </row>
    <row r="519" spans="2:21" hidden="1" outlineLevel="2">
      <c r="B519" s="1050">
        <v>2</v>
      </c>
      <c r="C519" s="1050" t="str">
        <f t="shared" ref="C519:C533" si="42">IF(ISNA(VLOOKUP(B519,$D$517:$E$542,2,FALSE)),"-",VLOOKUP(B519,$D$517:$E$542,2,FALSE))</f>
        <v>Train de marchandises, Europe, Base Carbone</v>
      </c>
      <c r="D519" s="1051">
        <f t="shared" ref="D519:D541" si="43">D517+IF(LEN(E519)&gt;0,1,0)</f>
        <v>1</v>
      </c>
      <c r="E519" s="1051" t="str">
        <f>IF(COUNTIF(E$477:E504,F519)&gt;0,"",F519)</f>
        <v>Train de marchandises, Corse, Base Carbone</v>
      </c>
      <c r="F519" s="1051" t="str">
        <f t="shared" ref="F519:F541" si="44">IF(I519&lt;&gt;"",I519&amp;IF(L519&lt;&gt;"",", "&amp;L519,"")&amp;IF(K519&lt;&gt;"",", "&amp;K519,""),"")</f>
        <v>Train de marchandises, Corse, Base Carbone</v>
      </c>
      <c r="G519" s="1055" t="str">
        <f t="shared" ref="G519:G541" si="45">IF(F519&lt;&gt;"",F519&amp;IF(J519&lt;&gt;"","; "&amp;J519&amp;IF(N519&lt;&gt;"",", "&amp;N519,),""),"")</f>
        <v>Train de marchandises, Corse, Base Carbone; kgCO2e/tonne.km, Fabrication</v>
      </c>
      <c r="I519" s="2018" t="s">
        <v>3910</v>
      </c>
      <c r="J519" s="1135" t="s">
        <v>2324</v>
      </c>
      <c r="K519" s="1119" t="s">
        <v>1567</v>
      </c>
      <c r="L519" s="1119" t="s">
        <v>251</v>
      </c>
      <c r="M519" s="1033">
        <v>0.4</v>
      </c>
      <c r="N519" s="1135" t="s">
        <v>332</v>
      </c>
      <c r="O519" s="1135">
        <v>3.0999999999999999E-3</v>
      </c>
      <c r="P519" s="1135">
        <v>3.0999999999999999E-3</v>
      </c>
      <c r="Q519" s="1135">
        <v>0</v>
      </c>
      <c r="R519" s="1135">
        <v>0</v>
      </c>
      <c r="S519" s="1135">
        <v>0</v>
      </c>
      <c r="T519" s="1135">
        <v>0</v>
      </c>
      <c r="U519" s="2041">
        <v>0</v>
      </c>
    </row>
    <row r="520" spans="2:21" hidden="1" outlineLevel="2">
      <c r="B520" s="1050">
        <v>3</v>
      </c>
      <c r="C520" s="1050" t="str">
        <f t="shared" si="42"/>
        <v>Train de marchandises, Autriche, Base Carbone</v>
      </c>
      <c r="D520" s="1051">
        <f t="shared" si="43"/>
        <v>2</v>
      </c>
      <c r="E520" s="1051" t="str">
        <f>IF(COUNTIF(E$477:E505,F520)&gt;0,"",F520)</f>
        <v>Train de marchandises, Europe, Base Carbone</v>
      </c>
      <c r="F520" s="1051" t="str">
        <f t="shared" si="44"/>
        <v>Train de marchandises, Europe, Base Carbone</v>
      </c>
      <c r="G520" s="1055" t="str">
        <f t="shared" si="45"/>
        <v>Train de marchandises, Europe, Base Carbone; kgCO2e/tonne.km, Combustion</v>
      </c>
      <c r="I520" s="2018" t="s">
        <v>3910</v>
      </c>
      <c r="J520" s="1135" t="s">
        <v>2324</v>
      </c>
      <c r="K520" s="1119" t="s">
        <v>1567</v>
      </c>
      <c r="L520" s="1119" t="s">
        <v>1568</v>
      </c>
      <c r="M520" s="2043">
        <v>0.5</v>
      </c>
      <c r="N520" s="2017" t="s">
        <v>1569</v>
      </c>
      <c r="O520" s="1135">
        <v>2.2599999999999999E-2</v>
      </c>
      <c r="P520" s="2017">
        <v>2.2599999999999999E-2</v>
      </c>
      <c r="Q520" s="1135">
        <v>0</v>
      </c>
      <c r="R520" s="1135">
        <v>0</v>
      </c>
      <c r="S520" s="1135">
        <v>0</v>
      </c>
      <c r="T520" s="1135">
        <v>0</v>
      </c>
      <c r="U520" s="2041">
        <v>0</v>
      </c>
    </row>
    <row r="521" spans="2:21" hidden="1" outlineLevel="2">
      <c r="B521" s="1050">
        <v>4</v>
      </c>
      <c r="C521" s="1050" t="str">
        <f t="shared" si="42"/>
        <v>Train de marchandises, Danemark, Base Carbone</v>
      </c>
      <c r="D521" s="1051">
        <f t="shared" si="43"/>
        <v>2</v>
      </c>
      <c r="E521" s="1051" t="str">
        <f>IF(COUNTIF(E$477:E506,F521)&gt;0,"",F521)</f>
        <v>Train de marchandises, Allemagne, Base Carbone</v>
      </c>
      <c r="F521" s="1051" t="str">
        <f t="shared" si="44"/>
        <v>Train de marchandises, Allemagne, Base Carbone</v>
      </c>
      <c r="G521" s="1055" t="str">
        <f t="shared" si="45"/>
        <v>Train de marchandises, Allemagne, Base Carbone; kgCO2e/tonne.km, Combustion</v>
      </c>
      <c r="I521" s="2018" t="s">
        <v>3910</v>
      </c>
      <c r="J521" s="1135" t="s">
        <v>2324</v>
      </c>
      <c r="K521" s="1119" t="s">
        <v>1567</v>
      </c>
      <c r="L521" s="1119" t="s">
        <v>1057</v>
      </c>
      <c r="M521" s="2043">
        <v>0.5</v>
      </c>
      <c r="N521" s="2363" t="s">
        <v>1569</v>
      </c>
      <c r="O521" s="1135">
        <v>3.2000000000000001E-2</v>
      </c>
      <c r="P521" s="2017">
        <v>3.2000000000000001E-2</v>
      </c>
      <c r="Q521" s="1135">
        <v>0</v>
      </c>
      <c r="R521" s="1135">
        <v>0</v>
      </c>
      <c r="S521" s="1135">
        <v>0</v>
      </c>
      <c r="T521" s="1135">
        <v>0</v>
      </c>
      <c r="U521" s="2041">
        <v>0</v>
      </c>
    </row>
    <row r="522" spans="2:21" hidden="1" outlineLevel="2">
      <c r="B522" s="1050">
        <v>5</v>
      </c>
      <c r="C522" s="1050" t="str">
        <f t="shared" si="42"/>
        <v>Train de marchandises, Finlande, Base Carbone</v>
      </c>
      <c r="D522" s="1051">
        <f t="shared" si="43"/>
        <v>3</v>
      </c>
      <c r="E522" s="1051" t="str">
        <f>IF(COUNTIF(E$477:E507,F522)&gt;0,"",F522)</f>
        <v>Train de marchandises, Autriche, Base Carbone</v>
      </c>
      <c r="F522" s="1051" t="str">
        <f t="shared" si="44"/>
        <v>Train de marchandises, Autriche, Base Carbone</v>
      </c>
      <c r="G522" s="1055" t="str">
        <f t="shared" si="45"/>
        <v>Train de marchandises, Autriche, Base Carbone; kgCO2e/tonne.km, Combustion</v>
      </c>
      <c r="I522" s="2018" t="s">
        <v>3910</v>
      </c>
      <c r="J522" s="1135" t="s">
        <v>2324</v>
      </c>
      <c r="K522" s="1119" t="s">
        <v>1567</v>
      </c>
      <c r="L522" s="1119" t="s">
        <v>1064</v>
      </c>
      <c r="M522" s="2043">
        <v>0.5</v>
      </c>
      <c r="N522" s="2363" t="s">
        <v>1569</v>
      </c>
      <c r="O522" s="1135">
        <v>1.26E-2</v>
      </c>
      <c r="P522" s="2017">
        <v>1.26E-2</v>
      </c>
      <c r="Q522" s="1135">
        <v>0</v>
      </c>
      <c r="R522" s="1135">
        <v>0</v>
      </c>
      <c r="S522" s="1135">
        <v>0</v>
      </c>
      <c r="T522" s="1135">
        <v>0</v>
      </c>
      <c r="U522" s="2041">
        <v>0</v>
      </c>
    </row>
    <row r="523" spans="2:21" hidden="1" outlineLevel="2">
      <c r="B523" s="1050">
        <v>6</v>
      </c>
      <c r="C523" s="1050" t="str">
        <f t="shared" si="42"/>
        <v>Train de marchandises, Irlande, Base Carbone</v>
      </c>
      <c r="D523" s="1051">
        <f t="shared" si="43"/>
        <v>3</v>
      </c>
      <c r="E523" s="1051" t="str">
        <f>IF(COUNTIF(E$477:E508,F523)&gt;0,"",F523)</f>
        <v>Train de marchandises, Belgique, Base Carbone</v>
      </c>
      <c r="F523" s="1051" t="str">
        <f t="shared" si="44"/>
        <v>Train de marchandises, Belgique, Base Carbone</v>
      </c>
      <c r="G523" s="1055" t="str">
        <f t="shared" si="45"/>
        <v>Train de marchandises, Belgique, Base Carbone; kgCO2e/tonne.km, Combustion</v>
      </c>
      <c r="I523" s="2018" t="s">
        <v>3910</v>
      </c>
      <c r="J523" s="1135" t="s">
        <v>2324</v>
      </c>
      <c r="K523" s="1119" t="s">
        <v>1567</v>
      </c>
      <c r="L523" s="1135" t="s">
        <v>1069</v>
      </c>
      <c r="M523" s="2043">
        <v>0.5</v>
      </c>
      <c r="N523" s="2363" t="s">
        <v>1569</v>
      </c>
      <c r="O523" s="1135">
        <v>1.8599999999999998E-2</v>
      </c>
      <c r="P523" s="2017">
        <v>1.8599999999999998E-2</v>
      </c>
      <c r="Q523" s="1135">
        <v>0</v>
      </c>
      <c r="R523" s="1135">
        <v>0</v>
      </c>
      <c r="S523" s="1135">
        <v>0</v>
      </c>
      <c r="T523" s="1135">
        <v>0</v>
      </c>
      <c r="U523" s="2041">
        <v>0</v>
      </c>
    </row>
    <row r="524" spans="2:21" hidden="1" outlineLevel="2">
      <c r="B524" s="1050">
        <v>7</v>
      </c>
      <c r="C524" s="1050" t="str">
        <f t="shared" si="42"/>
        <v>Train de marchandises, Luxembourg, Base Carbone</v>
      </c>
      <c r="D524" s="1051">
        <f t="shared" si="43"/>
        <v>4</v>
      </c>
      <c r="E524" s="1051" t="str">
        <f>IF(COUNTIF(E$477:E509,F524)&gt;0,"",F524)</f>
        <v>Train de marchandises, Danemark, Base Carbone</v>
      </c>
      <c r="F524" s="1051" t="str">
        <f t="shared" si="44"/>
        <v>Train de marchandises, Danemark, Base Carbone</v>
      </c>
      <c r="G524" s="1055" t="str">
        <f t="shared" si="45"/>
        <v>Train de marchandises, Danemark, Base Carbone; kgCO2e/tonne.km, Combustion</v>
      </c>
      <c r="I524" s="2018" t="s">
        <v>3910</v>
      </c>
      <c r="J524" s="1135" t="s">
        <v>2324</v>
      </c>
      <c r="K524" s="1119" t="s">
        <v>1567</v>
      </c>
      <c r="L524" s="1135" t="s">
        <v>1090</v>
      </c>
      <c r="M524" s="2043">
        <v>0.5</v>
      </c>
      <c r="N524" s="2363" t="s">
        <v>1569</v>
      </c>
      <c r="O524" s="1135">
        <v>3.78E-2</v>
      </c>
      <c r="P524" s="2017">
        <v>3.78E-2</v>
      </c>
      <c r="Q524" s="1135">
        <v>0</v>
      </c>
      <c r="R524" s="1135">
        <v>0</v>
      </c>
      <c r="S524" s="1135">
        <v>0</v>
      </c>
      <c r="T524" s="1135">
        <v>0</v>
      </c>
      <c r="U524" s="2041">
        <v>0</v>
      </c>
    </row>
    <row r="525" spans="2:21" hidden="1" outlineLevel="2">
      <c r="B525" s="1050">
        <v>8</v>
      </c>
      <c r="C525" s="1050" t="str">
        <f t="shared" si="42"/>
        <v>Train de marchandises, Pays Bas, Base Carbone</v>
      </c>
      <c r="D525" s="1051">
        <f t="shared" si="43"/>
        <v>4</v>
      </c>
      <c r="E525" s="1051" t="str">
        <f>IF(COUNTIF(E$477:E510,F525)&gt;0,"",F525)</f>
        <v>Train de marchandises, Espagne, Base Carbone</v>
      </c>
      <c r="F525" s="1051" t="str">
        <f t="shared" si="44"/>
        <v>Train de marchandises, Espagne, Base Carbone</v>
      </c>
      <c r="G525" s="1055" t="str">
        <f t="shared" si="45"/>
        <v>Train de marchandises, Espagne, Base Carbone; kgCO2e/tonne.km, Combustion</v>
      </c>
      <c r="I525" s="2018" t="s">
        <v>3910</v>
      </c>
      <c r="J525" s="1135" t="s">
        <v>2324</v>
      </c>
      <c r="K525" s="1119" t="s">
        <v>1567</v>
      </c>
      <c r="L525" s="1135" t="s">
        <v>1096</v>
      </c>
      <c r="M525" s="2043">
        <v>0.5</v>
      </c>
      <c r="N525" s="2363" t="s">
        <v>1569</v>
      </c>
      <c r="O525" s="1135">
        <v>3.4500000000000003E-2</v>
      </c>
      <c r="P525" s="2017">
        <v>3.4500000000000003E-2</v>
      </c>
      <c r="Q525" s="1135">
        <v>0</v>
      </c>
      <c r="R525" s="1135">
        <v>0</v>
      </c>
      <c r="S525" s="1135">
        <v>0</v>
      </c>
      <c r="T525" s="1135">
        <v>0</v>
      </c>
      <c r="U525" s="2041">
        <v>0</v>
      </c>
    </row>
    <row r="526" spans="2:21" hidden="1" outlineLevel="2">
      <c r="B526" s="1050">
        <v>9</v>
      </c>
      <c r="C526" s="1050" t="str">
        <f t="shared" si="42"/>
        <v>Train de marchandises, Royaume-Uni, Base Carbone</v>
      </c>
      <c r="D526" s="1051">
        <f t="shared" si="43"/>
        <v>5</v>
      </c>
      <c r="E526" s="1051" t="str">
        <f>IF(COUNTIF(E$477:E511,F526)&gt;0,"",F526)</f>
        <v>Train de marchandises, Finlande, Base Carbone</v>
      </c>
      <c r="F526" s="1051" t="str">
        <f t="shared" si="44"/>
        <v>Train de marchandises, Finlande, Base Carbone</v>
      </c>
      <c r="G526" s="1055" t="str">
        <f t="shared" si="45"/>
        <v>Train de marchandises, Finlande, Base Carbone; kgCO2e/tonne.km, Combustion</v>
      </c>
      <c r="I526" s="2018" t="s">
        <v>3910</v>
      </c>
      <c r="J526" s="1135" t="s">
        <v>2324</v>
      </c>
      <c r="K526" s="1119" t="s">
        <v>1567</v>
      </c>
      <c r="L526" s="1135" t="s">
        <v>1100</v>
      </c>
      <c r="M526" s="2043">
        <v>0.5</v>
      </c>
      <c r="N526" s="2363" t="s">
        <v>1569</v>
      </c>
      <c r="O526" s="1135">
        <v>2.01E-2</v>
      </c>
      <c r="P526" s="2017">
        <v>2.01E-2</v>
      </c>
      <c r="Q526" s="1135">
        <v>0</v>
      </c>
      <c r="R526" s="1135">
        <v>0</v>
      </c>
      <c r="S526" s="1135">
        <v>0</v>
      </c>
      <c r="T526" s="1135">
        <v>0</v>
      </c>
      <c r="U526" s="2041">
        <v>0</v>
      </c>
    </row>
    <row r="527" spans="2:21" hidden="1" outlineLevel="2">
      <c r="B527" s="1050">
        <v>10</v>
      </c>
      <c r="C527" s="1050" t="str">
        <f t="shared" si="42"/>
        <v>Train de marchandises, Suisse, Base Carbone</v>
      </c>
      <c r="D527" s="1051">
        <f t="shared" si="43"/>
        <v>5</v>
      </c>
      <c r="E527" s="1051" t="str">
        <f>IF(COUNTIF(E$477:E512,F527)&gt;0,"",F527)</f>
        <v>Train de marchandises, Grece, Base Carbone</v>
      </c>
      <c r="F527" s="1051" t="str">
        <f t="shared" si="44"/>
        <v>Train de marchandises, Grece, Base Carbone</v>
      </c>
      <c r="G527" s="1055" t="str">
        <f t="shared" si="45"/>
        <v>Train de marchandises, Grece, Base Carbone; kgCO2e/tonne.km, Combustion</v>
      </c>
      <c r="I527" s="2018" t="s">
        <v>3910</v>
      </c>
      <c r="J527" s="1135" t="s">
        <v>2324</v>
      </c>
      <c r="K527" s="1119" t="s">
        <v>1567</v>
      </c>
      <c r="L527" s="1135" t="s">
        <v>3911</v>
      </c>
      <c r="M527" s="2043">
        <v>0.5</v>
      </c>
      <c r="N527" s="2363" t="s">
        <v>1569</v>
      </c>
      <c r="O527" s="1135">
        <v>4.4499999999999998E-2</v>
      </c>
      <c r="P527" s="2017">
        <v>4.4499999999999998E-2</v>
      </c>
      <c r="Q527" s="1135">
        <v>0</v>
      </c>
      <c r="R527" s="1135">
        <v>0</v>
      </c>
      <c r="S527" s="1135">
        <v>0</v>
      </c>
      <c r="T527" s="1135">
        <v>0</v>
      </c>
      <c r="U527" s="2041">
        <v>0</v>
      </c>
    </row>
    <row r="528" spans="2:21" hidden="1" outlineLevel="2">
      <c r="B528" s="1050">
        <v>11</v>
      </c>
      <c r="C528" s="1050" t="str">
        <f t="shared" si="42"/>
        <v>-</v>
      </c>
      <c r="D528" s="1051">
        <f t="shared" si="43"/>
        <v>6</v>
      </c>
      <c r="E528" s="1051" t="str">
        <f>IF(COUNTIF(E$477:E513,F528)&gt;0,"",F528)</f>
        <v>Train de marchandises, Irlande, Base Carbone</v>
      </c>
      <c r="F528" s="1051" t="str">
        <f t="shared" si="44"/>
        <v>Train de marchandises, Irlande, Base Carbone</v>
      </c>
      <c r="G528" s="1055" t="str">
        <f t="shared" si="45"/>
        <v>Train de marchandises, Irlande, Base Carbone; kgCO2e/tonne.km, Combustion</v>
      </c>
      <c r="I528" s="2018" t="s">
        <v>3910</v>
      </c>
      <c r="J528" s="1135" t="s">
        <v>2324</v>
      </c>
      <c r="K528" s="1119" t="s">
        <v>1567</v>
      </c>
      <c r="L528" s="1135" t="s">
        <v>1113</v>
      </c>
      <c r="M528" s="2043">
        <v>0.5</v>
      </c>
      <c r="N528" s="2363" t="s">
        <v>1569</v>
      </c>
      <c r="O528" s="1135">
        <v>5.8200000000000002E-2</v>
      </c>
      <c r="P528" s="2017">
        <v>5.8200000000000002E-2</v>
      </c>
      <c r="Q528" s="1135">
        <v>0</v>
      </c>
      <c r="R528" s="1135">
        <v>0</v>
      </c>
      <c r="S528" s="1135">
        <v>0</v>
      </c>
      <c r="T528" s="1135">
        <v>0</v>
      </c>
      <c r="U528" s="2041">
        <v>0</v>
      </c>
    </row>
    <row r="529" spans="2:21" hidden="1" outlineLevel="2">
      <c r="B529" s="1050">
        <v>12</v>
      </c>
      <c r="C529" s="1050" t="str">
        <f t="shared" si="42"/>
        <v>-</v>
      </c>
      <c r="D529" s="1051">
        <f t="shared" si="43"/>
        <v>6</v>
      </c>
      <c r="E529" s="1051" t="str">
        <f>IF(COUNTIF(E$477:E514,F529)&gt;0,"",F529)</f>
        <v>Train de marchandises, Italie, Base Carbone</v>
      </c>
      <c r="F529" s="1051" t="str">
        <f t="shared" si="44"/>
        <v>Train de marchandises, Italie, Base Carbone</v>
      </c>
      <c r="G529" s="1055" t="str">
        <f t="shared" si="45"/>
        <v>Train de marchandises, Italie, Base Carbone; kgCO2e/tonne.km, Combustion</v>
      </c>
      <c r="I529" s="2018" t="s">
        <v>3910</v>
      </c>
      <c r="J529" s="1135" t="s">
        <v>2324</v>
      </c>
      <c r="K529" s="1119" t="s">
        <v>1567</v>
      </c>
      <c r="L529" s="1135" t="s">
        <v>1116</v>
      </c>
      <c r="M529" s="2043">
        <v>0.5</v>
      </c>
      <c r="N529" s="2363" t="s">
        <v>1569</v>
      </c>
      <c r="O529" s="1135">
        <v>2.9100000000000001E-2</v>
      </c>
      <c r="P529" s="2017">
        <v>2.9100000000000001E-2</v>
      </c>
      <c r="Q529" s="1135">
        <v>0</v>
      </c>
      <c r="R529" s="1135">
        <v>0</v>
      </c>
      <c r="S529" s="1135">
        <v>0</v>
      </c>
      <c r="T529" s="1135">
        <v>0</v>
      </c>
      <c r="U529" s="2041">
        <v>0</v>
      </c>
    </row>
    <row r="530" spans="2:21" hidden="1" outlineLevel="2">
      <c r="B530" s="1050">
        <v>13</v>
      </c>
      <c r="C530" s="1050" t="str">
        <f t="shared" si="42"/>
        <v>-</v>
      </c>
      <c r="D530" s="1051">
        <f t="shared" si="43"/>
        <v>7</v>
      </c>
      <c r="E530" s="1051" t="str">
        <f>IF(COUNTIF(E$477:E515,F530)&gt;0,"",F530)</f>
        <v>Train de marchandises, Luxembourg, Base Carbone</v>
      </c>
      <c r="F530" s="1051" t="str">
        <f t="shared" si="44"/>
        <v>Train de marchandises, Luxembourg, Base Carbone</v>
      </c>
      <c r="G530" s="1055" t="str">
        <f t="shared" si="45"/>
        <v>Train de marchandises, Luxembourg, Base Carbone; kgCO2e/tonne.km, Combustion</v>
      </c>
      <c r="I530" s="2018" t="s">
        <v>3910</v>
      </c>
      <c r="J530" s="1135" t="s">
        <v>2324</v>
      </c>
      <c r="K530" s="1119" t="s">
        <v>1567</v>
      </c>
      <c r="L530" s="1135" t="s">
        <v>1129</v>
      </c>
      <c r="M530" s="2043">
        <v>0.5</v>
      </c>
      <c r="N530" s="2363" t="s">
        <v>1569</v>
      </c>
      <c r="O530" s="1135">
        <v>2.53E-2</v>
      </c>
      <c r="P530" s="2017">
        <v>2.53E-2</v>
      </c>
      <c r="Q530" s="1135">
        <v>0</v>
      </c>
      <c r="R530" s="1135">
        <v>0</v>
      </c>
      <c r="S530" s="1135">
        <v>0</v>
      </c>
      <c r="T530" s="1135">
        <v>0</v>
      </c>
      <c r="U530" s="2041">
        <v>0</v>
      </c>
    </row>
    <row r="531" spans="2:21" hidden="1" outlineLevel="2">
      <c r="B531" s="1050">
        <v>14</v>
      </c>
      <c r="C531" s="1050" t="str">
        <f t="shared" si="42"/>
        <v>-</v>
      </c>
      <c r="D531" s="1051">
        <f t="shared" si="43"/>
        <v>7</v>
      </c>
      <c r="E531" s="1051" t="str">
        <f>IF(COUNTIF(E$477:E516,F531)&gt;0,"",F531)</f>
        <v>Train de marchandises, Norvege, Base Carbone</v>
      </c>
      <c r="F531" s="1051" t="str">
        <f t="shared" si="44"/>
        <v>Train de marchandises, Norvege, Base Carbone</v>
      </c>
      <c r="G531" s="1055" t="str">
        <f t="shared" si="45"/>
        <v>Train de marchandises, Norvege, Base Carbone; kgCO2e/tonne.km, Combustion</v>
      </c>
      <c r="I531" s="2018" t="s">
        <v>3910</v>
      </c>
      <c r="J531" s="1135" t="s">
        <v>2324</v>
      </c>
      <c r="K531" s="1119" t="s">
        <v>1567</v>
      </c>
      <c r="L531" s="1135" t="s">
        <v>3912</v>
      </c>
      <c r="M531" s="2043">
        <v>0.5</v>
      </c>
      <c r="N531" s="2363" t="s">
        <v>1569</v>
      </c>
      <c r="O531" s="1135">
        <v>8.2199999999999999E-3</v>
      </c>
      <c r="P531" s="2017">
        <v>8.2199999999999999E-3</v>
      </c>
      <c r="Q531" s="1135">
        <v>0</v>
      </c>
      <c r="R531" s="1135">
        <v>0</v>
      </c>
      <c r="S531" s="1135">
        <v>0</v>
      </c>
      <c r="T531" s="1135">
        <v>0</v>
      </c>
      <c r="U531" s="2041">
        <v>0</v>
      </c>
    </row>
    <row r="532" spans="2:21" hidden="1" outlineLevel="2">
      <c r="B532" s="1050">
        <v>15</v>
      </c>
      <c r="C532" s="1050" t="str">
        <f t="shared" si="42"/>
        <v>-</v>
      </c>
      <c r="D532" s="1051">
        <f t="shared" si="43"/>
        <v>8</v>
      </c>
      <c r="E532" s="1051" t="str">
        <f>IF(COUNTIF(E$477:E517,F532)&gt;0,"",F532)</f>
        <v>Train de marchandises, Pays Bas, Base Carbone</v>
      </c>
      <c r="F532" s="1051" t="str">
        <f t="shared" si="44"/>
        <v>Train de marchandises, Pays Bas, Base Carbone</v>
      </c>
      <c r="G532" s="1055" t="str">
        <f t="shared" si="45"/>
        <v>Train de marchandises, Pays Bas, Base Carbone; kgCO2e/tonne.km, Combustion</v>
      </c>
      <c r="I532" s="2018" t="s">
        <v>3910</v>
      </c>
      <c r="J532" s="1135" t="s">
        <v>2324</v>
      </c>
      <c r="K532" s="1119" t="s">
        <v>1567</v>
      </c>
      <c r="L532" s="1135" t="s">
        <v>2230</v>
      </c>
      <c r="M532" s="2043">
        <v>0.5</v>
      </c>
      <c r="N532" s="2363" t="s">
        <v>1569</v>
      </c>
      <c r="O532" s="1135">
        <v>3.04E-2</v>
      </c>
      <c r="P532" s="2017">
        <v>3.04E-2</v>
      </c>
      <c r="Q532" s="1135">
        <v>0</v>
      </c>
      <c r="R532" s="1135">
        <v>0</v>
      </c>
      <c r="S532" s="1135">
        <v>0</v>
      </c>
      <c r="T532" s="1135">
        <v>0</v>
      </c>
      <c r="U532" s="2041">
        <v>0</v>
      </c>
    </row>
    <row r="533" spans="2:21" hidden="1" outlineLevel="2">
      <c r="B533" s="1050">
        <v>16</v>
      </c>
      <c r="C533" s="1050" t="str">
        <f t="shared" si="42"/>
        <v>-</v>
      </c>
      <c r="D533" s="1051">
        <f t="shared" si="43"/>
        <v>8</v>
      </c>
      <c r="E533" s="1051" t="str">
        <f>IF(COUNTIF(E$477:E518,F533)&gt;0,"",F533)</f>
        <v>Train de marchandises, Portugal, Base Carbone</v>
      </c>
      <c r="F533" s="1051" t="str">
        <f t="shared" si="44"/>
        <v>Train de marchandises, Portugal, Base Carbone</v>
      </c>
      <c r="G533" s="1055" t="str">
        <f t="shared" si="45"/>
        <v>Train de marchandises, Portugal, Base Carbone; kgCO2e/tonne.km, Combustion</v>
      </c>
      <c r="I533" s="2018" t="s">
        <v>3910</v>
      </c>
      <c r="J533" s="1135" t="s">
        <v>2324</v>
      </c>
      <c r="K533" s="1119" t="s">
        <v>1567</v>
      </c>
      <c r="L533" s="1135" t="s">
        <v>1153</v>
      </c>
      <c r="M533" s="2043">
        <v>0.5</v>
      </c>
      <c r="N533" s="2363" t="s">
        <v>1569</v>
      </c>
      <c r="O533" s="1135">
        <v>4.4400000000000002E-2</v>
      </c>
      <c r="P533" s="2017">
        <v>4.4400000000000002E-2</v>
      </c>
      <c r="Q533" s="1135">
        <v>0</v>
      </c>
      <c r="R533" s="1135">
        <v>0</v>
      </c>
      <c r="S533" s="1135">
        <v>0</v>
      </c>
      <c r="T533" s="1135">
        <v>0</v>
      </c>
      <c r="U533" s="2041">
        <v>0</v>
      </c>
    </row>
    <row r="534" spans="2:21" hidden="1" outlineLevel="2">
      <c r="B534" s="1050"/>
      <c r="C534" s="1050"/>
      <c r="D534" s="1051">
        <f t="shared" si="43"/>
        <v>9</v>
      </c>
      <c r="E534" s="1051" t="str">
        <f>IF(COUNTIF(E$477:E519,F534)&gt;0,"",F534)</f>
        <v>Train de marchandises, Royaume-Uni, Base Carbone</v>
      </c>
      <c r="F534" s="1051" t="str">
        <f t="shared" si="44"/>
        <v>Train de marchandises, Royaume-Uni, Base Carbone</v>
      </c>
      <c r="G534" s="1055" t="str">
        <f t="shared" si="45"/>
        <v>Train de marchandises, Royaume-Uni, Base Carbone; kgCO2e/tonne.km, Combustion</v>
      </c>
      <c r="I534" s="2018" t="s">
        <v>3910</v>
      </c>
      <c r="J534" s="1135" t="s">
        <v>2324</v>
      </c>
      <c r="K534" s="1119" t="s">
        <v>1567</v>
      </c>
      <c r="L534" s="1135" t="s">
        <v>1157</v>
      </c>
      <c r="M534" s="2043">
        <v>0.5</v>
      </c>
      <c r="N534" s="2363" t="s">
        <v>1569</v>
      </c>
      <c r="O534" s="1135">
        <v>4.1200000000000001E-2</v>
      </c>
      <c r="P534" s="2017">
        <v>4.1200000000000001E-2</v>
      </c>
      <c r="Q534" s="1135">
        <v>0</v>
      </c>
      <c r="R534" s="1135">
        <v>0</v>
      </c>
      <c r="S534" s="1135">
        <v>0</v>
      </c>
      <c r="T534" s="1135">
        <v>0</v>
      </c>
      <c r="U534" s="2041">
        <v>0</v>
      </c>
    </row>
    <row r="535" spans="2:21" hidden="1" outlineLevel="2">
      <c r="B535" s="1050"/>
      <c r="C535" s="1050"/>
      <c r="D535" s="1051">
        <f t="shared" si="43"/>
        <v>9</v>
      </c>
      <c r="E535" s="1051" t="str">
        <f>IF(COUNTIF(E$477:E520,F535)&gt;0,"",F535)</f>
        <v>Train de marchandises, Suede, Base Carbone</v>
      </c>
      <c r="F535" s="1051" t="str">
        <f t="shared" si="44"/>
        <v>Train de marchandises, Suede, Base Carbone</v>
      </c>
      <c r="G535" s="1055" t="str">
        <f t="shared" si="45"/>
        <v>Train de marchandises, Suede, Base Carbone; kgCO2e/tonne.km, Combustion</v>
      </c>
      <c r="I535" s="2018" t="s">
        <v>3910</v>
      </c>
      <c r="J535" s="1135" t="s">
        <v>2324</v>
      </c>
      <c r="K535" s="1119" t="s">
        <v>1567</v>
      </c>
      <c r="L535" s="1135" t="s">
        <v>3913</v>
      </c>
      <c r="M535" s="2043">
        <v>0.5</v>
      </c>
      <c r="N535" s="2363" t="s">
        <v>1569</v>
      </c>
      <c r="O535" s="1135">
        <v>4.28E-3</v>
      </c>
      <c r="P535" s="2017">
        <v>4.28E-3</v>
      </c>
      <c r="Q535" s="1135">
        <v>0</v>
      </c>
      <c r="R535" s="1135">
        <v>0</v>
      </c>
      <c r="S535" s="1135">
        <v>0</v>
      </c>
      <c r="T535" s="1135">
        <v>0</v>
      </c>
      <c r="U535" s="2041">
        <v>0</v>
      </c>
    </row>
    <row r="536" spans="2:21" hidden="1" outlineLevel="2">
      <c r="B536" s="1050"/>
      <c r="C536" s="1050"/>
      <c r="D536" s="1051">
        <f t="shared" si="43"/>
        <v>10</v>
      </c>
      <c r="E536" s="1051" t="str">
        <f>IF(COUNTIF(E$477:E521,F536)&gt;0,"",F536)</f>
        <v>Train de marchandises, Suisse, Base Carbone</v>
      </c>
      <c r="F536" s="1051" t="str">
        <f t="shared" si="44"/>
        <v>Train de marchandises, Suisse, Base Carbone</v>
      </c>
      <c r="G536" s="1055" t="str">
        <f t="shared" si="45"/>
        <v>Train de marchandises, Suisse, Base Carbone; kgCO2e/tonne.km, Combustion</v>
      </c>
      <c r="I536" s="2018" t="s">
        <v>3910</v>
      </c>
      <c r="J536" s="1135" t="s">
        <v>2324</v>
      </c>
      <c r="K536" s="1119" t="s">
        <v>1567</v>
      </c>
      <c r="L536" s="1135" t="s">
        <v>1167</v>
      </c>
      <c r="M536" s="2043">
        <v>0.5</v>
      </c>
      <c r="N536" s="2363" t="s">
        <v>1569</v>
      </c>
      <c r="O536" s="1135">
        <v>3.64E-3</v>
      </c>
      <c r="P536" s="2017">
        <v>3.64E-3</v>
      </c>
      <c r="Q536" s="1135">
        <v>0</v>
      </c>
      <c r="R536" s="1135">
        <v>0</v>
      </c>
      <c r="S536" s="1135">
        <v>0</v>
      </c>
      <c r="T536" s="1135">
        <v>0</v>
      </c>
      <c r="U536" s="2041">
        <v>0</v>
      </c>
    </row>
    <row r="537" spans="2:21" hidden="1" outlineLevel="2">
      <c r="B537" s="1050"/>
      <c r="C537" s="1050"/>
      <c r="D537" s="1051">
        <f t="shared" si="43"/>
        <v>9</v>
      </c>
      <c r="E537" s="1051" t="str">
        <f>IF(COUNTIF(E$477:E522,F537)&gt;0,"",F537)</f>
        <v/>
      </c>
      <c r="F537" s="1051" t="str">
        <f t="shared" si="44"/>
        <v/>
      </c>
      <c r="G537" s="1055" t="str">
        <f t="shared" si="45"/>
        <v/>
      </c>
      <c r="I537" s="1100"/>
      <c r="J537" s="1048"/>
      <c r="K537" s="1119"/>
      <c r="L537" s="1048"/>
      <c r="M537" s="1048"/>
      <c r="N537" s="1048"/>
      <c r="O537" s="1048"/>
      <c r="P537" s="1048"/>
      <c r="Q537" s="1048"/>
      <c r="R537" s="1048"/>
      <c r="S537" s="1048"/>
      <c r="T537" s="1048"/>
      <c r="U537" s="1102"/>
    </row>
    <row r="538" spans="2:21" hidden="1" outlineLevel="2">
      <c r="B538" s="1050"/>
      <c r="C538" s="1050"/>
      <c r="D538" s="1051">
        <f t="shared" si="43"/>
        <v>10</v>
      </c>
      <c r="E538" s="1051" t="str">
        <f>IF(COUNTIF(E$477:E523,F538)&gt;0,"",F538)</f>
        <v/>
      </c>
      <c r="F538" s="1051" t="str">
        <f t="shared" si="44"/>
        <v/>
      </c>
      <c r="G538" s="1055" t="str">
        <f t="shared" si="45"/>
        <v/>
      </c>
      <c r="I538" s="1100"/>
      <c r="J538" s="1048"/>
      <c r="K538" s="1048"/>
      <c r="L538" s="1048"/>
      <c r="M538" s="1048"/>
      <c r="N538" s="1048"/>
      <c r="O538" s="1048"/>
      <c r="P538" s="1048"/>
      <c r="Q538" s="1048"/>
      <c r="R538" s="1048"/>
      <c r="S538" s="1048"/>
      <c r="T538" s="1048"/>
      <c r="U538" s="1102"/>
    </row>
    <row r="539" spans="2:21" hidden="1" outlineLevel="2">
      <c r="B539" s="1050"/>
      <c r="C539" s="1050"/>
      <c r="D539" s="1051">
        <f t="shared" si="43"/>
        <v>9</v>
      </c>
      <c r="E539" s="1051" t="str">
        <f>IF(COUNTIF(E$477:E524,F539)&gt;0,"",F539)</f>
        <v/>
      </c>
      <c r="F539" s="1051" t="str">
        <f t="shared" si="44"/>
        <v/>
      </c>
      <c r="G539" s="1055" t="str">
        <f t="shared" si="45"/>
        <v/>
      </c>
      <c r="I539" s="1100"/>
      <c r="J539" s="1048"/>
      <c r="K539" s="1048"/>
      <c r="L539" s="1048"/>
      <c r="M539" s="1048"/>
      <c r="N539" s="1048"/>
      <c r="O539" s="1048"/>
      <c r="P539" s="1048"/>
      <c r="Q539" s="1048"/>
      <c r="R539" s="1048"/>
      <c r="S539" s="1048"/>
      <c r="T539" s="1048"/>
      <c r="U539" s="1102"/>
    </row>
    <row r="540" spans="2:21" hidden="1" outlineLevel="2">
      <c r="B540" s="1050"/>
      <c r="C540" s="1050"/>
      <c r="D540" s="1051">
        <f t="shared" si="43"/>
        <v>10</v>
      </c>
      <c r="E540" s="1051" t="str">
        <f>IF(COUNTIF(E$477:E525,F540)&gt;0,"",F540)</f>
        <v/>
      </c>
      <c r="F540" s="1051" t="str">
        <f t="shared" si="44"/>
        <v/>
      </c>
      <c r="G540" s="1055" t="str">
        <f t="shared" si="45"/>
        <v/>
      </c>
      <c r="I540" s="1100"/>
      <c r="J540" s="1048"/>
      <c r="K540" s="1048"/>
      <c r="L540" s="1048"/>
      <c r="M540" s="1048"/>
      <c r="N540" s="1048"/>
      <c r="O540" s="1048"/>
      <c r="P540" s="1048"/>
      <c r="Q540" s="1048"/>
      <c r="R540" s="1048"/>
      <c r="S540" s="1048"/>
      <c r="T540" s="1048"/>
      <c r="U540" s="1102"/>
    </row>
    <row r="541" spans="2:21" hidden="1" outlineLevel="2">
      <c r="B541" s="1050"/>
      <c r="C541" s="1050"/>
      <c r="D541" s="1051">
        <f t="shared" si="43"/>
        <v>9</v>
      </c>
      <c r="E541" s="1051" t="str">
        <f>IF(COUNTIF(E$477:E526,F541)&gt;0,"",F541)</f>
        <v/>
      </c>
      <c r="F541" s="1051" t="str">
        <f t="shared" si="44"/>
        <v/>
      </c>
      <c r="G541" s="1055" t="str">
        <f t="shared" si="45"/>
        <v/>
      </c>
      <c r="I541" s="1100"/>
      <c r="J541" s="1048"/>
      <c r="K541" s="1048"/>
      <c r="L541" s="1048"/>
      <c r="M541" s="1048"/>
      <c r="N541" s="1048"/>
      <c r="O541" s="1048"/>
      <c r="P541" s="1048"/>
      <c r="Q541" s="1048"/>
      <c r="R541" s="1048"/>
      <c r="S541" s="1048"/>
      <c r="T541" s="1048"/>
      <c r="U541" s="1102"/>
    </row>
    <row r="542" spans="2:21" ht="13.2" hidden="1" outlineLevel="2">
      <c r="B542" s="1050"/>
      <c r="C542" s="1050"/>
      <c r="D542" s="1051"/>
      <c r="E542" s="1051"/>
      <c r="F542" s="1051"/>
      <c r="G542" s="1055"/>
      <c r="I542" s="1765"/>
      <c r="J542" s="1766"/>
      <c r="K542" s="1766"/>
      <c r="L542" s="1766"/>
      <c r="M542" s="1766"/>
      <c r="N542" s="1766"/>
      <c r="O542" s="1766"/>
      <c r="P542" s="1766"/>
      <c r="Q542" s="1766"/>
      <c r="R542" s="1766"/>
      <c r="S542" s="1766"/>
      <c r="T542" s="1766"/>
      <c r="U542" s="2064"/>
    </row>
    <row r="543" spans="2:21"/>
    <row r="544" spans="2:21" ht="15.6" collapsed="1">
      <c r="I544" s="3167" t="s">
        <v>2248</v>
      </c>
      <c r="J544" s="3168"/>
      <c r="K544" s="3168"/>
      <c r="L544" s="3168"/>
      <c r="M544" s="3168"/>
      <c r="N544" s="3168"/>
      <c r="O544" s="3168"/>
      <c r="P544" s="3168"/>
      <c r="Q544" s="3168"/>
      <c r="R544" s="3168"/>
      <c r="S544" s="3168"/>
      <c r="T544" s="3168"/>
      <c r="U544" s="3169"/>
    </row>
    <row r="545" spans="2:21" hidden="1" outlineLevel="1">
      <c r="R545" s="1083"/>
    </row>
    <row r="546" spans="2:21" ht="12.75" hidden="1" customHeight="1" outlineLevel="1">
      <c r="B546" s="3154" t="s">
        <v>1617</v>
      </c>
      <c r="C546" s="3154"/>
      <c r="D546" s="3157" t="s">
        <v>1619</v>
      </c>
      <c r="E546" s="3157"/>
      <c r="F546" s="1273" t="s">
        <v>1616</v>
      </c>
      <c r="G546" s="1053" t="s">
        <v>1618</v>
      </c>
      <c r="H546" s="1044"/>
      <c r="I546" s="1038" t="s">
        <v>1557</v>
      </c>
      <c r="J546" s="1040" t="s">
        <v>1266</v>
      </c>
      <c r="K546" s="1043" t="s">
        <v>224</v>
      </c>
      <c r="L546" s="1043" t="s">
        <v>1558</v>
      </c>
      <c r="M546" s="1039" t="s">
        <v>366</v>
      </c>
      <c r="N546" s="1040" t="s">
        <v>1559</v>
      </c>
      <c r="O546" s="1041" t="s">
        <v>1560</v>
      </c>
      <c r="P546" s="1043" t="s">
        <v>211</v>
      </c>
      <c r="Q546" s="1043" t="s">
        <v>1561</v>
      </c>
      <c r="R546" s="1041" t="s">
        <v>1562</v>
      </c>
      <c r="S546" s="1041" t="s">
        <v>267</v>
      </c>
      <c r="T546" s="1043" t="s">
        <v>1563</v>
      </c>
      <c r="U546" s="1042" t="s">
        <v>1564</v>
      </c>
    </row>
    <row r="547" spans="2:21" s="1045" customFormat="1" ht="12.75" hidden="1" customHeight="1" outlineLevel="1">
      <c r="B547" s="3156" t="s">
        <v>2248</v>
      </c>
      <c r="C547" s="3156"/>
      <c r="D547" s="1051">
        <v>0</v>
      </c>
      <c r="E547" s="1051"/>
      <c r="F547" s="1051"/>
      <c r="G547" s="1054"/>
      <c r="H547" s="1046"/>
      <c r="I547" s="1688"/>
      <c r="J547" s="1689"/>
      <c r="K547" s="1690"/>
      <c r="L547" s="1690"/>
      <c r="M547" s="1691"/>
      <c r="N547" s="1689"/>
      <c r="O547" s="1692"/>
      <c r="P547" s="1690"/>
      <c r="Q547" s="1690"/>
      <c r="R547" s="1692"/>
      <c r="S547" s="1692"/>
      <c r="T547" s="1690"/>
      <c r="U547" s="1693"/>
    </row>
    <row r="548" spans="2:21" hidden="1" outlineLevel="1">
      <c r="B548" s="1050">
        <v>1</v>
      </c>
      <c r="C548" s="1050" t="str">
        <f t="shared" ref="C548:C579" si="46">IF(ISNA(VLOOKUP(B548,$D$547:$E$802,2,FALSE)),"-",VLOOKUP(B548,$D$547:$E$802,2,FALSE))</f>
        <v>Essence (E10), France continentale, Base Carbone</v>
      </c>
      <c r="D548" s="1051">
        <f>D547+IF(LEN(E548)&gt;0,1,0)</f>
        <v>1</v>
      </c>
      <c r="E548" s="1051" t="str">
        <f>IF(COUNTIF(E$547:E547,F548)&gt;0,"",F548)</f>
        <v>Essence (E10), France continentale, Base Carbone</v>
      </c>
      <c r="F548" s="1051" t="str">
        <f>IF(I548&lt;&gt;"",I548&amp;IF(L548&lt;&gt;"",", "&amp;L548,"")&amp;IF(K548&lt;&gt;"",", "&amp;K548,""),"")</f>
        <v>Essence (E10), France continentale, Base Carbone</v>
      </c>
      <c r="G548" s="1055" t="str">
        <f t="shared" ref="G548" si="47">IF(F548&lt;&gt;"",F548&amp;IF(J548&lt;&gt;"","; "&amp;J548,"")&amp;IF(N548&lt;&gt;"",", "&amp;N548,""),"")</f>
        <v>Essence (E10), France continentale, Base Carbone; kgCO2e/litre, Combustion</v>
      </c>
      <c r="I548" s="2018" t="s">
        <v>4807</v>
      </c>
      <c r="J548" s="1032" t="s">
        <v>1574</v>
      </c>
      <c r="K548" s="1032" t="s">
        <v>1567</v>
      </c>
      <c r="L548" s="1032" t="s">
        <v>1571</v>
      </c>
      <c r="M548" s="1033">
        <v>0.1</v>
      </c>
      <c r="N548" s="1032" t="s">
        <v>1569</v>
      </c>
      <c r="O548" s="1036">
        <v>2.2200000000000002</v>
      </c>
      <c r="P548" s="1036">
        <v>2.16</v>
      </c>
      <c r="Q548" s="1036">
        <v>1.7600000000000001E-2</v>
      </c>
      <c r="R548" s="1036">
        <v>0</v>
      </c>
      <c r="S548" s="1036">
        <v>1.78E-2</v>
      </c>
      <c r="T548" s="1036">
        <v>0</v>
      </c>
      <c r="U548" s="1037">
        <v>0.151869</v>
      </c>
    </row>
    <row r="549" spans="2:21" hidden="1" outlineLevel="1">
      <c r="B549" s="1050">
        <v>2</v>
      </c>
      <c r="C549" s="1050" t="str">
        <f t="shared" si="46"/>
        <v>Essence (E85), France continentale, Base Carbone</v>
      </c>
      <c r="D549" s="1051">
        <f t="shared" ref="D549:D612" si="48">D548+IF(LEN(E549)&gt;0,1,0)</f>
        <v>1</v>
      </c>
      <c r="E549" s="1051" t="str">
        <f>IF(COUNTIF(E$547:E548,F549)&gt;0,"",F549)</f>
        <v/>
      </c>
      <c r="F549" s="1051" t="str">
        <f t="shared" ref="F549:F612" si="49">IF(I549&lt;&gt;"",I549&amp;IF(L549&lt;&gt;"",", "&amp;L549,"")&amp;IF(K549&lt;&gt;"",", "&amp;K549,""),"")</f>
        <v>Essence (E10), France continentale, Base Carbone</v>
      </c>
      <c r="G549" s="1055" t="str">
        <f t="shared" ref="G549:G612" si="50">IF(F549&lt;&gt;"",F549&amp;IF(J549&lt;&gt;"","; "&amp;J549,"")&amp;IF(N549&lt;&gt;"",", "&amp;N549,""),"")</f>
        <v>Essence (E10), France continentale, Base Carbone; kgCO2e/litre, Amont</v>
      </c>
      <c r="I549" s="2018" t="s">
        <v>4807</v>
      </c>
      <c r="J549" s="1135" t="s">
        <v>1574</v>
      </c>
      <c r="K549" s="1135" t="s">
        <v>1567</v>
      </c>
      <c r="L549" s="1135" t="s">
        <v>1571</v>
      </c>
      <c r="M549" s="1033">
        <v>0.1</v>
      </c>
      <c r="N549" s="1135" t="s">
        <v>1570</v>
      </c>
      <c r="O549" s="1036">
        <v>0.504</v>
      </c>
      <c r="P549" s="1036">
        <v>0.439</v>
      </c>
      <c r="Q549" s="1036">
        <v>4.41E-2</v>
      </c>
      <c r="R549" s="1036">
        <v>0</v>
      </c>
      <c r="S549" s="1036">
        <v>2.12E-2</v>
      </c>
      <c r="T549" s="1036">
        <v>0</v>
      </c>
      <c r="U549" s="1037">
        <v>-0.151869</v>
      </c>
    </row>
    <row r="550" spans="2:21" hidden="1" outlineLevel="1">
      <c r="B550" s="1050">
        <v>3</v>
      </c>
      <c r="C550" s="1050" t="str">
        <f t="shared" si="46"/>
        <v>Essence (Supercarburant sans plomb (95, 95-E10, 98)), France continentale, Base Carbone</v>
      </c>
      <c r="D550" s="1051">
        <f t="shared" si="48"/>
        <v>1</v>
      </c>
      <c r="E550" s="1051" t="str">
        <f>IF(COUNTIF(E$547:E549,F550)&gt;0,"",F550)</f>
        <v/>
      </c>
      <c r="F550" s="1051" t="str">
        <f t="shared" si="49"/>
        <v>Essence (E10), France continentale, Base Carbone</v>
      </c>
      <c r="G550" s="1055" t="str">
        <f t="shared" si="50"/>
        <v>Essence (E10), France continentale, Base Carbone; kgCO2e/GJ PCI, Combustion</v>
      </c>
      <c r="I550" s="2018" t="s">
        <v>4807</v>
      </c>
      <c r="J550" s="1135" t="s">
        <v>1566</v>
      </c>
      <c r="K550" s="1135" t="s">
        <v>1567</v>
      </c>
      <c r="L550" s="1135" t="s">
        <v>1571</v>
      </c>
      <c r="M550" s="1033">
        <v>0.05</v>
      </c>
      <c r="N550" s="1135" t="s">
        <v>1569</v>
      </c>
      <c r="O550" s="1036">
        <v>69.3</v>
      </c>
      <c r="P550" s="1036">
        <v>68.2</v>
      </c>
      <c r="Q550" s="1036">
        <v>0.55600000000000005</v>
      </c>
      <c r="R550" s="1036">
        <v>0</v>
      </c>
      <c r="S550" s="1036">
        <v>0.55900000000000005</v>
      </c>
      <c r="T550" s="1036">
        <v>0</v>
      </c>
      <c r="U550" s="1037">
        <v>4.741428</v>
      </c>
    </row>
    <row r="551" spans="2:21" hidden="1" outlineLevel="1">
      <c r="B551" s="1050">
        <v>4</v>
      </c>
      <c r="C551" s="1050" t="str">
        <f t="shared" si="46"/>
        <v>Essence (Supercarburant sans plomb (95, 95-E10, 98)), Polynésie Française, Base Carbone</v>
      </c>
      <c r="D551" s="1051">
        <f t="shared" si="48"/>
        <v>1</v>
      </c>
      <c r="E551" s="1051" t="str">
        <f>IF(COUNTIF(E$547:E550,F551)&gt;0,"",F551)</f>
        <v/>
      </c>
      <c r="F551" s="1051" t="str">
        <f t="shared" si="49"/>
        <v>Essence (E10), France continentale, Base Carbone</v>
      </c>
      <c r="G551" s="1055" t="str">
        <f t="shared" si="50"/>
        <v>Essence (E10), France continentale, Base Carbone; kgCO2e/GJ PCI, Amont</v>
      </c>
      <c r="I551" s="2018" t="s">
        <v>4807</v>
      </c>
      <c r="J551" s="1135" t="s">
        <v>1566</v>
      </c>
      <c r="K551" s="1135" t="s">
        <v>1567</v>
      </c>
      <c r="L551" s="1135" t="s">
        <v>1571</v>
      </c>
      <c r="M551" s="1033">
        <v>0.05</v>
      </c>
      <c r="N551" s="1135" t="s">
        <v>1570</v>
      </c>
      <c r="O551" s="1036">
        <v>15.9</v>
      </c>
      <c r="P551" s="1036">
        <v>13.8</v>
      </c>
      <c r="Q551" s="1036">
        <v>1.39</v>
      </c>
      <c r="R551" s="1036">
        <v>0</v>
      </c>
      <c r="S551" s="1036">
        <v>0.66400000000000003</v>
      </c>
      <c r="T551" s="1036">
        <v>0</v>
      </c>
      <c r="U551" s="1037">
        <v>-4.741428</v>
      </c>
    </row>
    <row r="552" spans="2:21" hidden="1" outlineLevel="1">
      <c r="B552" s="1050">
        <v>5</v>
      </c>
      <c r="C552" s="1050" t="str">
        <f t="shared" si="46"/>
        <v>Essence (Supercarburant sans plomb (95, 95-E10, 98)), Réunion, Base Carbone</v>
      </c>
      <c r="D552" s="1051">
        <f t="shared" si="48"/>
        <v>1</v>
      </c>
      <c r="E552" s="1051" t="str">
        <f>IF(COUNTIF(E$547:E551,F552)&gt;0,"",F552)</f>
        <v/>
      </c>
      <c r="F552" s="1051" t="str">
        <f t="shared" si="49"/>
        <v>Essence (E10), France continentale, Base Carbone</v>
      </c>
      <c r="G552" s="1055" t="str">
        <f t="shared" si="50"/>
        <v>Essence (E10), France continentale, Base Carbone; kgCO2e/kg, Combustion</v>
      </c>
      <c r="I552" s="2018" t="s">
        <v>4807</v>
      </c>
      <c r="J552" s="1135" t="s">
        <v>1572</v>
      </c>
      <c r="K552" s="1135" t="s">
        <v>1567</v>
      </c>
      <c r="L552" s="1135" t="s">
        <v>1571</v>
      </c>
      <c r="M552" s="1033">
        <v>0.05</v>
      </c>
      <c r="N552" s="1135" t="s">
        <v>1569</v>
      </c>
      <c r="O552" s="1036">
        <v>2.94</v>
      </c>
      <c r="P552" s="1036">
        <v>2.89</v>
      </c>
      <c r="Q552" s="1036">
        <v>2.3599999999999999E-2</v>
      </c>
      <c r="R552" s="1036">
        <v>0</v>
      </c>
      <c r="S552" s="1036">
        <v>2.3599999999999999E-2</v>
      </c>
      <c r="T552" s="1036">
        <v>0</v>
      </c>
      <c r="U552" s="1037">
        <v>0.151869</v>
      </c>
    </row>
    <row r="553" spans="2:21" hidden="1" outlineLevel="1">
      <c r="B553" s="1050">
        <v>6</v>
      </c>
      <c r="C553" s="1050" t="str">
        <f t="shared" si="46"/>
        <v>Essence (Supercarburant sans plomb (95, 95-E10, 98)), Guadeloupe, Martinique, Guyane, Corse, Base Carbone</v>
      </c>
      <c r="D553" s="1051">
        <f t="shared" si="48"/>
        <v>1</v>
      </c>
      <c r="E553" s="1051" t="str">
        <f>IF(COUNTIF(E$547:E552,F553)&gt;0,"",F553)</f>
        <v/>
      </c>
      <c r="F553" s="1051" t="str">
        <f t="shared" si="49"/>
        <v>Essence (E10), France continentale, Base Carbone</v>
      </c>
      <c r="G553" s="1055" t="str">
        <f t="shared" si="50"/>
        <v>Essence (E10), France continentale, Base Carbone; kgCO2e/kg, Amont</v>
      </c>
      <c r="I553" s="2018" t="s">
        <v>4807</v>
      </c>
      <c r="J553" s="1135" t="s">
        <v>1572</v>
      </c>
      <c r="K553" s="1135" t="s">
        <v>1567</v>
      </c>
      <c r="L553" s="1135" t="s">
        <v>1571</v>
      </c>
      <c r="M553" s="1033">
        <v>0.05</v>
      </c>
      <c r="N553" s="1135" t="s">
        <v>1570</v>
      </c>
      <c r="O553" s="1036">
        <v>0.67400000000000004</v>
      </c>
      <c r="P553" s="1036">
        <v>0.58699999999999997</v>
      </c>
      <c r="Q553" s="1036">
        <v>5.8999999999999997E-2</v>
      </c>
      <c r="R553" s="1036">
        <v>0</v>
      </c>
      <c r="S553" s="1036">
        <v>2.81E-2</v>
      </c>
      <c r="T553" s="1036">
        <v>0</v>
      </c>
      <c r="U553" s="1037">
        <v>-0.151869</v>
      </c>
    </row>
    <row r="554" spans="2:21" hidden="1" outlineLevel="1">
      <c r="B554" s="1050">
        <v>7</v>
      </c>
      <c r="C554" s="1050" t="str">
        <f t="shared" si="46"/>
        <v>Essence (Supercarburant sans plomb (95, 95-E10, 98)), Nouvelle Calédonie, Base Carbone</v>
      </c>
      <c r="D554" s="1051">
        <f t="shared" si="48"/>
        <v>1</v>
      </c>
      <c r="E554" s="1051" t="str">
        <f>IF(COUNTIF(E$547:E553,F554)&gt;0,"",F554)</f>
        <v/>
      </c>
      <c r="F554" s="1051" t="str">
        <f t="shared" si="49"/>
        <v>Essence (E10), France continentale, Base Carbone</v>
      </c>
      <c r="G554" s="1055" t="str">
        <f t="shared" si="50"/>
        <v>Essence (E10), France continentale, Base Carbone; kgCO2e/kWh PCI, Combustion</v>
      </c>
      <c r="I554" s="2018" t="s">
        <v>4807</v>
      </c>
      <c r="J554" s="1135" t="s">
        <v>1573</v>
      </c>
      <c r="K554" s="1135" t="s">
        <v>1567</v>
      </c>
      <c r="L554" s="1135" t="s">
        <v>1571</v>
      </c>
      <c r="M554" s="1033">
        <v>0.05</v>
      </c>
      <c r="N554" s="1135" t="s">
        <v>1569</v>
      </c>
      <c r="O554" s="1036">
        <v>0.249</v>
      </c>
      <c r="P554" s="1036">
        <v>0.245</v>
      </c>
      <c r="Q554" s="1036">
        <v>2.0100000000000001E-3</v>
      </c>
      <c r="R554" s="1036">
        <v>0</v>
      </c>
      <c r="S554" s="1036">
        <v>2.1199999999999999E-3</v>
      </c>
      <c r="T554" s="1036">
        <v>0</v>
      </c>
      <c r="U554" s="1037">
        <v>1.7069000000000001E-2</v>
      </c>
    </row>
    <row r="555" spans="2:21" hidden="1" outlineLevel="1">
      <c r="B555" s="1050">
        <v>8</v>
      </c>
      <c r="C555" s="1050" t="str">
        <f t="shared" si="46"/>
        <v>Gazole routier (B10), France continentale, Base Carbone</v>
      </c>
      <c r="D555" s="1051">
        <f t="shared" si="48"/>
        <v>1</v>
      </c>
      <c r="E555" s="1051" t="str">
        <f>IF(COUNTIF(E$547:E554,F555)&gt;0,"",F555)</f>
        <v/>
      </c>
      <c r="F555" s="1051" t="str">
        <f t="shared" si="49"/>
        <v>Essence (E10), France continentale, Base Carbone</v>
      </c>
      <c r="G555" s="1055" t="str">
        <f t="shared" si="50"/>
        <v>Essence (E10), France continentale, Base Carbone; kgCO2e/kWh PCI, Amont</v>
      </c>
      <c r="I555" s="2018" t="s">
        <v>4807</v>
      </c>
      <c r="J555" s="1135" t="s">
        <v>1573</v>
      </c>
      <c r="K555" s="1135" t="s">
        <v>1567</v>
      </c>
      <c r="L555" s="1135" t="s">
        <v>1571</v>
      </c>
      <c r="M555" s="1033">
        <v>0.05</v>
      </c>
      <c r="N555" s="1135" t="s">
        <v>1570</v>
      </c>
      <c r="O555" s="1036">
        <v>5.7200000000000001E-2</v>
      </c>
      <c r="P555" s="1036">
        <v>4.9799999999999997E-2</v>
      </c>
      <c r="Q555" s="1036">
        <v>5.0099999999999997E-3</v>
      </c>
      <c r="R555" s="1036">
        <v>0</v>
      </c>
      <c r="S555" s="1036">
        <v>2.3900000000000002E-3</v>
      </c>
      <c r="T555" s="1036">
        <v>0</v>
      </c>
      <c r="U555" s="1037">
        <v>-1.7069000000000001E-2</v>
      </c>
    </row>
    <row r="556" spans="2:21" hidden="1" outlineLevel="1">
      <c r="B556" s="1050">
        <v>9</v>
      </c>
      <c r="C556" s="1050" t="str">
        <f t="shared" si="46"/>
        <v>Gazole routier (B100), France continentale, Base Carbone</v>
      </c>
      <c r="D556" s="1051">
        <f t="shared" si="48"/>
        <v>1</v>
      </c>
      <c r="E556" s="1051" t="str">
        <f>IF(COUNTIF(E$547:E555,F556)&gt;0,"",F556)</f>
        <v/>
      </c>
      <c r="F556" s="1051" t="str">
        <f t="shared" si="49"/>
        <v>Essence (E10), France continentale, Base Carbone</v>
      </c>
      <c r="G556" s="1055" t="str">
        <f t="shared" si="50"/>
        <v>Essence (E10), France continentale, Base Carbone; kgCO2e/tep PCI, Combustion</v>
      </c>
      <c r="I556" s="2018" t="s">
        <v>4807</v>
      </c>
      <c r="J556" s="1135" t="s">
        <v>1575</v>
      </c>
      <c r="K556" s="1135" t="s">
        <v>1567</v>
      </c>
      <c r="L556" s="1135" t="s">
        <v>1571</v>
      </c>
      <c r="M556" s="1033">
        <v>0.05</v>
      </c>
      <c r="N556" s="1135" t="s">
        <v>1569</v>
      </c>
      <c r="O556" s="1036">
        <v>2907</v>
      </c>
      <c r="P556" s="1036">
        <v>2860</v>
      </c>
      <c r="Q556" s="1036">
        <v>23.4</v>
      </c>
      <c r="R556" s="1036">
        <v>0</v>
      </c>
      <c r="S556" s="1036">
        <v>23.5</v>
      </c>
      <c r="T556" s="1036">
        <v>0</v>
      </c>
      <c r="U556" s="1037">
        <v>198.47838999999999</v>
      </c>
    </row>
    <row r="557" spans="2:21" hidden="1" outlineLevel="1">
      <c r="B557" s="1050">
        <v>10</v>
      </c>
      <c r="C557" s="1050" t="str">
        <f t="shared" si="46"/>
        <v>Gazole (B30), France continentale, Base Carbone</v>
      </c>
      <c r="D557" s="1051">
        <f t="shared" si="48"/>
        <v>1</v>
      </c>
      <c r="E557" s="1051" t="str">
        <f>IF(COUNTIF(E$547:E556,F557)&gt;0,"",F557)</f>
        <v/>
      </c>
      <c r="F557" s="1051" t="str">
        <f t="shared" si="49"/>
        <v>Essence (E10), France continentale, Base Carbone</v>
      </c>
      <c r="G557" s="1055" t="str">
        <f t="shared" si="50"/>
        <v>Essence (E10), France continentale, Base Carbone; kgCO2e/tep PCI, Amont</v>
      </c>
      <c r="I557" s="2018" t="s">
        <v>4807</v>
      </c>
      <c r="J557" s="1135" t="s">
        <v>1575</v>
      </c>
      <c r="K557" s="1135" t="s">
        <v>1567</v>
      </c>
      <c r="L557" s="1135" t="s">
        <v>1571</v>
      </c>
      <c r="M557" s="1033">
        <v>0.05</v>
      </c>
      <c r="N557" s="1135" t="s">
        <v>1570</v>
      </c>
      <c r="O557" s="1036">
        <v>667</v>
      </c>
      <c r="P557" s="1036">
        <v>581</v>
      </c>
      <c r="Q557" s="1036">
        <v>58.4</v>
      </c>
      <c r="R557" s="1036">
        <v>0</v>
      </c>
      <c r="S557" s="1036">
        <v>27.8</v>
      </c>
      <c r="T557" s="1036">
        <v>0</v>
      </c>
      <c r="U557" s="1037">
        <v>-198.47838999999999</v>
      </c>
    </row>
    <row r="558" spans="2:21" hidden="1" outlineLevel="1">
      <c r="B558" s="1050">
        <v>11</v>
      </c>
      <c r="C558" s="1050" t="str">
        <f t="shared" si="46"/>
        <v>Gazole routier (B7), France continentale, Base Carbone</v>
      </c>
      <c r="D558" s="1051">
        <f t="shared" si="48"/>
        <v>2</v>
      </c>
      <c r="E558" s="1051" t="str">
        <f>IF(COUNTIF(E$547:E557,F558)&gt;0,"",F558)</f>
        <v>Essence (E85), France continentale, Base Carbone</v>
      </c>
      <c r="F558" s="1051" t="str">
        <f t="shared" si="49"/>
        <v>Essence (E85), France continentale, Base Carbone</v>
      </c>
      <c r="G558" s="1055" t="str">
        <f t="shared" si="50"/>
        <v>Essence (E85), France continentale, Base Carbone; kgCO2e/kWh PCI, Combustion</v>
      </c>
      <c r="I558" s="1031" t="s">
        <v>1584</v>
      </c>
      <c r="J558" s="1135" t="s">
        <v>1573</v>
      </c>
      <c r="K558" s="1135" t="s">
        <v>1567</v>
      </c>
      <c r="L558" s="1135" t="s">
        <v>1571</v>
      </c>
      <c r="M558" s="1033">
        <v>0.05</v>
      </c>
      <c r="N558" s="1135" t="s">
        <v>1569</v>
      </c>
      <c r="O558" s="1036">
        <v>5.8000000000000003E-2</v>
      </c>
      <c r="P558" s="1036">
        <v>5.7000000000000002E-2</v>
      </c>
      <c r="Q558" s="1036">
        <v>5.1000000000000004E-4</v>
      </c>
      <c r="R558" s="1036">
        <v>0</v>
      </c>
      <c r="S558" s="1036">
        <v>5.2999999999999998E-4</v>
      </c>
      <c r="T558" s="1036">
        <v>0</v>
      </c>
      <c r="U558" s="1037">
        <v>0.20224700000000001</v>
      </c>
    </row>
    <row r="559" spans="2:21" hidden="1" outlineLevel="1">
      <c r="B559" s="1050">
        <v>12</v>
      </c>
      <c r="C559" s="1050" t="str">
        <f t="shared" si="46"/>
        <v>Gazole routier, Polynésie Française, Base Carbone</v>
      </c>
      <c r="D559" s="1051">
        <f t="shared" si="48"/>
        <v>2</v>
      </c>
      <c r="E559" s="1051" t="str">
        <f>IF(COUNTIF(E$547:E558,F559)&gt;0,"",F559)</f>
        <v/>
      </c>
      <c r="F559" s="1051" t="str">
        <f t="shared" si="49"/>
        <v>Essence (E85), France continentale, Base Carbone</v>
      </c>
      <c r="G559" s="1055" t="str">
        <f t="shared" si="50"/>
        <v>Essence (E85), France continentale, Base Carbone; kgCO2e/kWh PCI, Amont</v>
      </c>
      <c r="I559" s="2018" t="s">
        <v>1584</v>
      </c>
      <c r="J559" s="1135" t="s">
        <v>1573</v>
      </c>
      <c r="K559" s="1135" t="s">
        <v>1567</v>
      </c>
      <c r="L559" s="1135" t="s">
        <v>1571</v>
      </c>
      <c r="M559" s="1033">
        <v>0.05</v>
      </c>
      <c r="N559" s="1135" t="s">
        <v>1570</v>
      </c>
      <c r="O559" s="1036">
        <v>0.11600000000000001</v>
      </c>
      <c r="P559" s="1036">
        <v>8.1900000000000001E-2</v>
      </c>
      <c r="Q559" s="1036">
        <v>5.9100000000000003E-3</v>
      </c>
      <c r="R559" s="1036">
        <v>0</v>
      </c>
      <c r="S559" s="1036">
        <v>2.8400000000000002E-2</v>
      </c>
      <c r="T559" s="1036">
        <v>0</v>
      </c>
      <c r="U559" s="1037">
        <v>-0.20224700000000001</v>
      </c>
    </row>
    <row r="560" spans="2:21" hidden="1" outlineLevel="1">
      <c r="B560" s="1050">
        <v>13</v>
      </c>
      <c r="C560" s="1050" t="str">
        <f t="shared" si="46"/>
        <v>Gazole routier, Réunion, Base Carbone</v>
      </c>
      <c r="D560" s="1051">
        <f t="shared" si="48"/>
        <v>2</v>
      </c>
      <c r="E560" s="1051" t="str">
        <f>IF(COUNTIF(E$547:E559,F560)&gt;0,"",F560)</f>
        <v/>
      </c>
      <c r="F560" s="1051" t="str">
        <f t="shared" si="49"/>
        <v>Essence (E85), France continentale, Base Carbone</v>
      </c>
      <c r="G560" s="1055" t="str">
        <f t="shared" si="50"/>
        <v>Essence (E85), France continentale, Base Carbone; kgCO2e/litre, Combustion</v>
      </c>
      <c r="I560" s="2018" t="s">
        <v>1584</v>
      </c>
      <c r="J560" s="1135" t="s">
        <v>1574</v>
      </c>
      <c r="K560" s="1135" t="s">
        <v>1567</v>
      </c>
      <c r="L560" s="1135" t="s">
        <v>1571</v>
      </c>
      <c r="M560" s="1033">
        <v>0.1</v>
      </c>
      <c r="N560" s="1135" t="s">
        <v>1569</v>
      </c>
      <c r="O560" s="1036">
        <v>0.36599999999999999</v>
      </c>
      <c r="P560" s="1036">
        <v>0.36</v>
      </c>
      <c r="Q560" s="1036">
        <v>2.9099999999999998E-3</v>
      </c>
      <c r="R560" s="1036">
        <v>0</v>
      </c>
      <c r="S560" s="1036">
        <v>2.9199999999999999E-3</v>
      </c>
      <c r="T560" s="1036">
        <v>0</v>
      </c>
      <c r="U560" s="1037">
        <v>1.290888</v>
      </c>
    </row>
    <row r="561" spans="2:21" hidden="1" outlineLevel="1">
      <c r="B561" s="1050">
        <v>14</v>
      </c>
      <c r="C561" s="1050" t="str">
        <f t="shared" si="46"/>
        <v>Gazole routier, Guadeloupe, Martinique, Guyane, Corse, Base Carbone</v>
      </c>
      <c r="D561" s="1051">
        <f t="shared" si="48"/>
        <v>2</v>
      </c>
      <c r="E561" s="1051" t="str">
        <f>IF(COUNTIF(E$547:E560,F561)&gt;0,"",F561)</f>
        <v/>
      </c>
      <c r="F561" s="1051" t="str">
        <f t="shared" si="49"/>
        <v>Essence (E85), France continentale, Base Carbone</v>
      </c>
      <c r="G561" s="1055" t="str">
        <f t="shared" si="50"/>
        <v>Essence (E85), France continentale, Base Carbone; kgCO2e/litre, Amont</v>
      </c>
      <c r="I561" s="2018" t="s">
        <v>1584</v>
      </c>
      <c r="J561" s="1135" t="s">
        <v>1574</v>
      </c>
      <c r="K561" s="1135" t="s">
        <v>1567</v>
      </c>
      <c r="L561" s="1135" t="s">
        <v>1571</v>
      </c>
      <c r="M561" s="1033">
        <v>0.1</v>
      </c>
      <c r="N561" s="1135" t="s">
        <v>1570</v>
      </c>
      <c r="O561" s="1036">
        <v>0.74099999999999999</v>
      </c>
      <c r="P561" s="1036">
        <v>0.52200000000000002</v>
      </c>
      <c r="Q561" s="1036">
        <v>3.7600000000000001E-2</v>
      </c>
      <c r="R561" s="1036">
        <v>0</v>
      </c>
      <c r="S561" s="1036">
        <v>0.18099999999999999</v>
      </c>
      <c r="T561" s="1036">
        <v>0</v>
      </c>
      <c r="U561" s="1037">
        <v>-1.290888</v>
      </c>
    </row>
    <row r="562" spans="2:21" hidden="1" outlineLevel="1">
      <c r="B562" s="1050">
        <v>15</v>
      </c>
      <c r="C562" s="1050" t="str">
        <f t="shared" si="46"/>
        <v>Gazole routier, Nouvelle Calédonie, Base Carbone</v>
      </c>
      <c r="D562" s="1051">
        <f t="shared" si="48"/>
        <v>2</v>
      </c>
      <c r="E562" s="1051" t="str">
        <f>IF(COUNTIF(E$547:E561,F562)&gt;0,"",F562)</f>
        <v/>
      </c>
      <c r="F562" s="1051" t="str">
        <f t="shared" si="49"/>
        <v>Essence (E85), France continentale, Base Carbone</v>
      </c>
      <c r="G562" s="1055" t="str">
        <f t="shared" si="50"/>
        <v>Essence (E85), France continentale, Base Carbone; kgCO2e/tep PCI, Combustion</v>
      </c>
      <c r="I562" s="2018" t="s">
        <v>1584</v>
      </c>
      <c r="J562" s="1135" t="s">
        <v>1575</v>
      </c>
      <c r="K562" s="1135" t="s">
        <v>1567</v>
      </c>
      <c r="L562" s="1135" t="s">
        <v>1571</v>
      </c>
      <c r="M562" s="1033">
        <v>0.05</v>
      </c>
      <c r="N562" s="1135" t="s">
        <v>1569</v>
      </c>
      <c r="O562" s="1036">
        <v>676</v>
      </c>
      <c r="P562" s="1036">
        <v>665</v>
      </c>
      <c r="Q562" s="1036">
        <v>5.42</v>
      </c>
      <c r="R562" s="1036">
        <v>0</v>
      </c>
      <c r="S562" s="1036">
        <v>5.45</v>
      </c>
      <c r="T562" s="1036">
        <v>0</v>
      </c>
      <c r="U562" s="1037">
        <v>2351.7136999999998</v>
      </c>
    </row>
    <row r="563" spans="2:21" hidden="1" outlineLevel="1">
      <c r="B563" s="1050">
        <v>16</v>
      </c>
      <c r="C563" s="1050" t="str">
        <f t="shared" si="46"/>
        <v>GNL, Gaz Naturel Liquéfié ((inclus routier, maritime et fluvial)), France continentale, Base Carbone</v>
      </c>
      <c r="D563" s="1051">
        <f t="shared" si="48"/>
        <v>2</v>
      </c>
      <c r="E563" s="1051" t="str">
        <f>IF(COUNTIF(E$547:E562,F563)&gt;0,"",F563)</f>
        <v/>
      </c>
      <c r="F563" s="1051" t="str">
        <f t="shared" si="49"/>
        <v>Essence (E85), France continentale, Base Carbone</v>
      </c>
      <c r="G563" s="1055" t="str">
        <f t="shared" si="50"/>
        <v>Essence (E85), France continentale, Base Carbone; kgCO2e/tep PCI, Amont</v>
      </c>
      <c r="I563" s="2018" t="s">
        <v>1584</v>
      </c>
      <c r="J563" s="1135" t="s">
        <v>1575</v>
      </c>
      <c r="K563" s="1135" t="s">
        <v>1567</v>
      </c>
      <c r="L563" s="1135" t="s">
        <v>1571</v>
      </c>
      <c r="M563" s="1033">
        <v>0.05</v>
      </c>
      <c r="N563" s="1135" t="s">
        <v>1570</v>
      </c>
      <c r="O563" s="1036">
        <v>1355</v>
      </c>
      <c r="P563" s="1036">
        <v>957</v>
      </c>
      <c r="Q563" s="1036">
        <v>68.599999999999994</v>
      </c>
      <c r="R563" s="1036">
        <v>0</v>
      </c>
      <c r="S563" s="1036">
        <v>329</v>
      </c>
      <c r="T563" s="1036">
        <v>0</v>
      </c>
      <c r="U563" s="1037">
        <v>-2351.7136999999998</v>
      </c>
    </row>
    <row r="564" spans="2:21" hidden="1" outlineLevel="1">
      <c r="B564" s="1050">
        <v>17</v>
      </c>
      <c r="C564" s="1050" t="str">
        <f t="shared" si="46"/>
        <v>GNC, Gaz Naturel Comprimé pour véhicule routier, France continentale, Base Carbone</v>
      </c>
      <c r="D564" s="1051">
        <f t="shared" si="48"/>
        <v>2</v>
      </c>
      <c r="E564" s="1051" t="str">
        <f>IF(COUNTIF(E$547:E563,F564)&gt;0,"",F564)</f>
        <v/>
      </c>
      <c r="F564" s="1051" t="str">
        <f t="shared" si="49"/>
        <v>Essence (E85), France continentale, Base Carbone</v>
      </c>
      <c r="G564" s="1055" t="str">
        <f t="shared" si="50"/>
        <v>Essence (E85), France continentale, Base Carbone; kgCO2e/GJ PCI, Combustion</v>
      </c>
      <c r="I564" s="2018" t="s">
        <v>1584</v>
      </c>
      <c r="J564" s="1135" t="s">
        <v>1566</v>
      </c>
      <c r="K564" s="1135" t="s">
        <v>1567</v>
      </c>
      <c r="L564" s="1135" t="s">
        <v>1571</v>
      </c>
      <c r="M564" s="1033">
        <v>0.05</v>
      </c>
      <c r="N564" s="1135" t="s">
        <v>1569</v>
      </c>
      <c r="O564" s="1036">
        <v>16.100000000000001</v>
      </c>
      <c r="P564" s="1036">
        <v>15.8</v>
      </c>
      <c r="Q564" s="1036">
        <v>0.129</v>
      </c>
      <c r="R564" s="1036">
        <v>0</v>
      </c>
      <c r="S564" s="1036">
        <v>0.13</v>
      </c>
      <c r="T564" s="1036">
        <v>0</v>
      </c>
      <c r="U564" s="1037">
        <v>56.179827000000003</v>
      </c>
    </row>
    <row r="565" spans="2:21" hidden="1" outlineLevel="1">
      <c r="B565" s="1050">
        <v>18</v>
      </c>
      <c r="C565" s="1050" t="str">
        <f t="shared" si="46"/>
        <v>GPL pour véhicule routier, France continentale, Base Carbone</v>
      </c>
      <c r="D565" s="1051">
        <f t="shared" si="48"/>
        <v>2</v>
      </c>
      <c r="E565" s="1051" t="str">
        <f>IF(COUNTIF(E$547:E564,F565)&gt;0,"",F565)</f>
        <v/>
      </c>
      <c r="F565" s="1051" t="str">
        <f t="shared" si="49"/>
        <v>Essence (E85), France continentale, Base Carbone</v>
      </c>
      <c r="G565" s="1055" t="str">
        <f t="shared" si="50"/>
        <v>Essence (E85), France continentale, Base Carbone; kgCO2e/GJ PCI, Amont</v>
      </c>
      <c r="I565" s="2018" t="s">
        <v>1584</v>
      </c>
      <c r="J565" s="1135" t="s">
        <v>1566</v>
      </c>
      <c r="K565" s="1135" t="s">
        <v>1567</v>
      </c>
      <c r="L565" s="1135" t="s">
        <v>1571</v>
      </c>
      <c r="M565" s="1033">
        <v>0.05</v>
      </c>
      <c r="N565" s="1135" t="s">
        <v>1570</v>
      </c>
      <c r="O565" s="1036">
        <v>32.200000000000003</v>
      </c>
      <c r="P565" s="1036">
        <v>22.7</v>
      </c>
      <c r="Q565" s="1036">
        <v>1.64</v>
      </c>
      <c r="R565" s="1036">
        <v>0</v>
      </c>
      <c r="S565" s="1036">
        <v>7.87</v>
      </c>
      <c r="T565" s="1036">
        <v>0</v>
      </c>
      <c r="U565" s="1037">
        <v>-56.579827000000002</v>
      </c>
    </row>
    <row r="566" spans="2:21" hidden="1" outlineLevel="1">
      <c r="B566" s="1050">
        <v>19</v>
      </c>
      <c r="C566" s="1050" t="str">
        <f t="shared" si="46"/>
        <v>GPL pour véhicule routier, Réunion, Base Carbone</v>
      </c>
      <c r="D566" s="1051">
        <f t="shared" si="48"/>
        <v>2</v>
      </c>
      <c r="E566" s="1051" t="str">
        <f>IF(COUNTIF(E$547:E565,F566)&gt;0,"",F566)</f>
        <v/>
      </c>
      <c r="F566" s="1051" t="str">
        <f t="shared" si="49"/>
        <v>Essence (E85), France continentale, Base Carbone</v>
      </c>
      <c r="G566" s="1055" t="str">
        <f t="shared" si="50"/>
        <v>Essence (E85), France continentale, Base Carbone; kgCO2e/tonne, Combustion</v>
      </c>
      <c r="I566" s="2018" t="s">
        <v>1584</v>
      </c>
      <c r="J566" s="1135" t="s">
        <v>1585</v>
      </c>
      <c r="K566" s="1135" t="s">
        <v>1567</v>
      </c>
      <c r="L566" s="1135" t="s">
        <v>1571</v>
      </c>
      <c r="M566" s="1033">
        <v>0.05</v>
      </c>
      <c r="N566" s="1135" t="s">
        <v>1569</v>
      </c>
      <c r="O566" s="1036">
        <v>490</v>
      </c>
      <c r="P566" s="1036">
        <v>482</v>
      </c>
      <c r="Q566" s="1036">
        <v>3.93</v>
      </c>
      <c r="R566" s="1036">
        <v>0</v>
      </c>
      <c r="S566" s="1036">
        <v>3.94</v>
      </c>
      <c r="T566" s="1036">
        <v>0</v>
      </c>
      <c r="U566" s="1037">
        <v>1728.0962999999999</v>
      </c>
    </row>
    <row r="567" spans="2:21" hidden="1" outlineLevel="1">
      <c r="B567" s="1050">
        <v>20</v>
      </c>
      <c r="C567" s="1050" t="str">
        <f t="shared" si="46"/>
        <v>GPL pour véhicule routier, Guadeloupe, Martinique, Guyane, Corse, Base Carbone</v>
      </c>
      <c r="D567" s="1051">
        <f t="shared" si="48"/>
        <v>2</v>
      </c>
      <c r="E567" s="1051" t="str">
        <f>IF(COUNTIF(E$547:E566,F567)&gt;0,"",F567)</f>
        <v/>
      </c>
      <c r="F567" s="1051" t="str">
        <f t="shared" si="49"/>
        <v>Essence (E85), France continentale, Base Carbone</v>
      </c>
      <c r="G567" s="1055" t="str">
        <f t="shared" si="50"/>
        <v>Essence (E85), France continentale, Base Carbone; kgCO2e/tonne, Amont</v>
      </c>
      <c r="I567" s="2018" t="s">
        <v>1584</v>
      </c>
      <c r="J567" s="1135" t="s">
        <v>1585</v>
      </c>
      <c r="K567" s="1135" t="s">
        <v>1567</v>
      </c>
      <c r="L567" s="1135" t="s">
        <v>1571</v>
      </c>
      <c r="M567" s="1033">
        <v>0.05</v>
      </c>
      <c r="N567" s="1135" t="s">
        <v>1570</v>
      </c>
      <c r="O567" s="1036">
        <v>991</v>
      </c>
      <c r="P567" s="1036">
        <v>699</v>
      </c>
      <c r="Q567" s="1036">
        <v>50.3</v>
      </c>
      <c r="R567" s="1036">
        <v>0</v>
      </c>
      <c r="S567" s="1036">
        <v>242</v>
      </c>
      <c r="T567" s="1036">
        <v>0</v>
      </c>
      <c r="U567" s="1037">
        <v>-1728.0962999999999</v>
      </c>
    </row>
    <row r="568" spans="2:21" hidden="1" outlineLevel="1">
      <c r="B568" s="1050">
        <v>21</v>
      </c>
      <c r="C568" s="1050" t="str">
        <f t="shared" si="46"/>
        <v>GPL pour véhicule routier, Nouvelle Calédonie, Base Carbone</v>
      </c>
      <c r="D568" s="1051">
        <f t="shared" si="48"/>
        <v>3</v>
      </c>
      <c r="E568" s="1051" t="str">
        <f>IF(COUNTIF(E$547:E567,F568)&gt;0,"",F568)</f>
        <v>Essence (Supercarburant sans plomb (95, 95-E10, 98)), France continentale, Base Carbone</v>
      </c>
      <c r="F568" s="1051" t="str">
        <f t="shared" si="49"/>
        <v>Essence (Supercarburant sans plomb (95, 95-E10, 98)), France continentale, Base Carbone</v>
      </c>
      <c r="G568" s="1055" t="str">
        <f t="shared" si="50"/>
        <v>Essence (Supercarburant sans plomb (95, 95-E10, 98)), France continentale, Base Carbone; kgCO2e/tep PCI, Combustion</v>
      </c>
      <c r="I568" s="1031" t="s">
        <v>1586</v>
      </c>
      <c r="J568" s="1032" t="s">
        <v>1575</v>
      </c>
      <c r="K568" s="1032" t="s">
        <v>1567</v>
      </c>
      <c r="L568" s="1032" t="s">
        <v>1571</v>
      </c>
      <c r="M568" s="1033">
        <v>0.05</v>
      </c>
      <c r="N568" s="1032" t="s">
        <v>1569</v>
      </c>
      <c r="O568" s="1036">
        <v>2907</v>
      </c>
      <c r="P568" s="1036">
        <v>2860</v>
      </c>
      <c r="Q568" s="1036">
        <v>23.3</v>
      </c>
      <c r="R568" s="1036">
        <v>0</v>
      </c>
      <c r="S568" s="1036">
        <v>23.8</v>
      </c>
      <c r="T568" s="1036">
        <v>0</v>
      </c>
      <c r="U568" s="1037">
        <v>156.14034000000001</v>
      </c>
    </row>
    <row r="569" spans="2:21" hidden="1" outlineLevel="1">
      <c r="B569" s="1050">
        <v>22</v>
      </c>
      <c r="C569" s="1050" t="str">
        <f t="shared" si="46"/>
        <v>Biodiesel  - mix moyen (changement d'affectation des sols scénario maximum), France continentale, Base Carbone</v>
      </c>
      <c r="D569" s="1051">
        <f t="shared" si="48"/>
        <v>3</v>
      </c>
      <c r="E569" s="1051" t="str">
        <f>IF(COUNTIF(E$547:E568,F569)&gt;0,"",F569)</f>
        <v/>
      </c>
      <c r="F569" s="1051" t="str">
        <f t="shared" si="49"/>
        <v>Essence (Supercarburant sans plomb (95, 95-E10, 98)), France continentale, Base Carbone</v>
      </c>
      <c r="G569" s="1055" t="str">
        <f t="shared" si="50"/>
        <v>Essence (Supercarburant sans plomb (95, 95-E10, 98)), France continentale, Base Carbone; kgCO2e/tep PCI, Amont</v>
      </c>
      <c r="I569" s="1031" t="s">
        <v>1586</v>
      </c>
      <c r="J569" s="1032" t="s">
        <v>1575</v>
      </c>
      <c r="K569" s="1032" t="s">
        <v>1567</v>
      </c>
      <c r="L569" s="1032" t="s">
        <v>1571</v>
      </c>
      <c r="M569" s="1033">
        <v>0.05</v>
      </c>
      <c r="N569" s="1032" t="s">
        <v>1570</v>
      </c>
      <c r="O569" s="1036">
        <v>651</v>
      </c>
      <c r="P569" s="1036">
        <v>569</v>
      </c>
      <c r="Q569" s="1036">
        <v>57.6</v>
      </c>
      <c r="R569" s="1036">
        <v>0</v>
      </c>
      <c r="S569" s="1036">
        <v>23.9</v>
      </c>
      <c r="T569" s="1036">
        <v>0</v>
      </c>
      <c r="U569" s="1037">
        <v>-156.14034000000001</v>
      </c>
    </row>
    <row r="570" spans="2:21" hidden="1" outlineLevel="1">
      <c r="B570" s="1050">
        <v>23</v>
      </c>
      <c r="C570" s="1050" t="str">
        <f t="shared" si="46"/>
        <v>Biodiesel - mix moyen (sans changement d'affectation des sols), France continentale, Base Carbone</v>
      </c>
      <c r="D570" s="1051">
        <f t="shared" si="48"/>
        <v>3</v>
      </c>
      <c r="E570" s="1051" t="str">
        <f>IF(COUNTIF(E$547:E569,F570)&gt;0,"",F570)</f>
        <v/>
      </c>
      <c r="F570" s="1051" t="str">
        <f t="shared" si="49"/>
        <v>Essence (Supercarburant sans plomb (95, 95-E10, 98)), France continentale, Base Carbone</v>
      </c>
      <c r="G570" s="1055" t="str">
        <f t="shared" si="50"/>
        <v>Essence (Supercarburant sans plomb (95, 95-E10, 98)), France continentale, Base Carbone; kgCO2e/GJ PCI, Combustion</v>
      </c>
      <c r="I570" s="1031" t="s">
        <v>1586</v>
      </c>
      <c r="J570" s="1032" t="s">
        <v>1566</v>
      </c>
      <c r="K570" s="1032" t="s">
        <v>1567</v>
      </c>
      <c r="L570" s="1032" t="s">
        <v>1571</v>
      </c>
      <c r="M570" s="1033">
        <v>0.05</v>
      </c>
      <c r="N570" s="1032" t="s">
        <v>1569</v>
      </c>
      <c r="O570" s="1036">
        <v>69.2</v>
      </c>
      <c r="P570" s="1036">
        <v>68.099999999999994</v>
      </c>
      <c r="Q570" s="1036">
        <v>0.56000000000000005</v>
      </c>
      <c r="R570" s="1036">
        <v>0</v>
      </c>
      <c r="S570" s="1036">
        <v>0.56000000000000005</v>
      </c>
      <c r="T570" s="1036">
        <v>0</v>
      </c>
      <c r="U570" s="1037">
        <v>3.730019</v>
      </c>
    </row>
    <row r="571" spans="2:21" hidden="1" outlineLevel="1">
      <c r="B571" s="1050">
        <v>24</v>
      </c>
      <c r="C571" s="1050" t="str">
        <f t="shared" si="46"/>
        <v>Bioéthanol (changement d'affectation des sols scénario maximum), France continentale, Base Carbone</v>
      </c>
      <c r="D571" s="1051">
        <f t="shared" si="48"/>
        <v>3</v>
      </c>
      <c r="E571" s="1051" t="str">
        <f>IF(COUNTIF(E$547:E570,F571)&gt;0,"",F571)</f>
        <v/>
      </c>
      <c r="F571" s="1051" t="str">
        <f t="shared" si="49"/>
        <v>Essence (Supercarburant sans plomb (95, 95-E10, 98)), France continentale, Base Carbone</v>
      </c>
      <c r="G571" s="1055" t="str">
        <f t="shared" si="50"/>
        <v>Essence (Supercarburant sans plomb (95, 95-E10, 98)), France continentale, Base Carbone; kgCO2e/GJ PCI, Amont</v>
      </c>
      <c r="I571" s="1031" t="s">
        <v>1586</v>
      </c>
      <c r="J571" s="1032" t="s">
        <v>1566</v>
      </c>
      <c r="K571" s="1032" t="s">
        <v>1567</v>
      </c>
      <c r="L571" s="1032" t="s">
        <v>1571</v>
      </c>
      <c r="M571" s="1033">
        <v>0.05</v>
      </c>
      <c r="N571" s="1032" t="s">
        <v>1570</v>
      </c>
      <c r="O571" s="1036">
        <v>15.5</v>
      </c>
      <c r="P571" s="1036">
        <v>13.6</v>
      </c>
      <c r="Q571" s="1036">
        <v>1.37</v>
      </c>
      <c r="R571" s="1036">
        <v>0</v>
      </c>
      <c r="S571" s="1036">
        <v>0.56000000000000005</v>
      </c>
      <c r="T571" s="1036">
        <v>0</v>
      </c>
      <c r="U571" s="1037">
        <v>-3.730019</v>
      </c>
    </row>
    <row r="572" spans="2:21" hidden="1" outlineLevel="1">
      <c r="B572" s="1050">
        <v>25</v>
      </c>
      <c r="C572" s="1050" t="str">
        <f t="shared" si="46"/>
        <v>Bioéthanol (changement d'affectation des sols scénario optimiste), France continentale, Base Carbone</v>
      </c>
      <c r="D572" s="1051">
        <f t="shared" si="48"/>
        <v>3</v>
      </c>
      <c r="E572" s="1051" t="str">
        <f>IF(COUNTIF(E$547:E571,F572)&gt;0,"",F572)</f>
        <v/>
      </c>
      <c r="F572" s="1051" t="str">
        <f t="shared" si="49"/>
        <v>Essence (Supercarburant sans plomb (95, 95-E10, 98)), France continentale, Base Carbone</v>
      </c>
      <c r="G572" s="1055" t="str">
        <f t="shared" si="50"/>
        <v>Essence (Supercarburant sans plomb (95, 95-E10, 98)), France continentale, Base Carbone; kgCO2e/tonne, Combustion</v>
      </c>
      <c r="I572" s="1031" t="s">
        <v>1586</v>
      </c>
      <c r="J572" s="1032" t="s">
        <v>1585</v>
      </c>
      <c r="K572" s="1032" t="s">
        <v>1567</v>
      </c>
      <c r="L572" s="1032" t="s">
        <v>1571</v>
      </c>
      <c r="M572" s="1033">
        <v>0.05</v>
      </c>
      <c r="N572" s="1032" t="s">
        <v>1569</v>
      </c>
      <c r="O572" s="1036">
        <v>2908</v>
      </c>
      <c r="P572" s="1036">
        <v>2860</v>
      </c>
      <c r="Q572" s="1036">
        <v>23.7</v>
      </c>
      <c r="R572" s="1036">
        <v>0</v>
      </c>
      <c r="S572" s="1036">
        <v>23.8</v>
      </c>
      <c r="T572" s="1036">
        <v>0</v>
      </c>
      <c r="U572" s="1037">
        <v>154.00137000000001</v>
      </c>
    </row>
    <row r="573" spans="2:21" hidden="1" outlineLevel="1">
      <c r="B573" s="1050">
        <v>26</v>
      </c>
      <c r="C573" s="1050" t="str">
        <f t="shared" si="46"/>
        <v>Bioéthanol (sans changement d'affectation des sols), France continentale, Base Carbone</v>
      </c>
      <c r="D573" s="1051">
        <f t="shared" si="48"/>
        <v>3</v>
      </c>
      <c r="E573" s="1051" t="str">
        <f>IF(COUNTIF(E$547:E572,F573)&gt;0,"",F573)</f>
        <v/>
      </c>
      <c r="F573" s="1051" t="str">
        <f t="shared" si="49"/>
        <v>Essence (Supercarburant sans plomb (95, 95-E10, 98)), France continentale, Base Carbone</v>
      </c>
      <c r="G573" s="1055" t="str">
        <f t="shared" si="50"/>
        <v>Essence (Supercarburant sans plomb (95, 95-E10, 98)), France continentale, Base Carbone; kgCO2e/tonne, Amont</v>
      </c>
      <c r="I573" s="1031" t="s">
        <v>1586</v>
      </c>
      <c r="J573" s="1032" t="s">
        <v>1585</v>
      </c>
      <c r="K573" s="1032" t="s">
        <v>1567</v>
      </c>
      <c r="L573" s="1032" t="s">
        <v>1571</v>
      </c>
      <c r="M573" s="1033">
        <v>0.05</v>
      </c>
      <c r="N573" s="1032" t="s">
        <v>1570</v>
      </c>
      <c r="O573" s="1036">
        <v>651</v>
      </c>
      <c r="P573" s="1036">
        <v>569</v>
      </c>
      <c r="Q573" s="1036">
        <v>58.5</v>
      </c>
      <c r="R573" s="1036">
        <v>0</v>
      </c>
      <c r="S573" s="1036">
        <v>23.9</v>
      </c>
      <c r="T573" s="1036">
        <v>0</v>
      </c>
      <c r="U573" s="1037">
        <v>-154.00137000000001</v>
      </c>
    </row>
    <row r="574" spans="2:21" hidden="1" outlineLevel="1">
      <c r="B574" s="1050">
        <v>27</v>
      </c>
      <c r="C574" s="1050" t="str">
        <f t="shared" si="46"/>
        <v>Biométhane - injecté dans les réseau - mix moyen, France continentale, Base Carbone</v>
      </c>
      <c r="D574" s="1051">
        <f t="shared" si="48"/>
        <v>3</v>
      </c>
      <c r="E574" s="1051" t="str">
        <f>IF(COUNTIF(E$547:E573,F574)&gt;0,"",F574)</f>
        <v/>
      </c>
      <c r="F574" s="1051" t="str">
        <f t="shared" si="49"/>
        <v>Essence (Supercarburant sans plomb (95, 95-E10, 98)), France continentale, Base Carbone</v>
      </c>
      <c r="G574" s="1055" t="str">
        <f t="shared" si="50"/>
        <v>Essence (Supercarburant sans plomb (95, 95-E10, 98)), France continentale, Base Carbone; kgCO2e/litre, Combustion</v>
      </c>
      <c r="I574" s="1031" t="s">
        <v>1586</v>
      </c>
      <c r="J574" s="1032" t="s">
        <v>1574</v>
      </c>
      <c r="K574" s="1032" t="s">
        <v>1567</v>
      </c>
      <c r="L574" s="1032" t="s">
        <v>1571</v>
      </c>
      <c r="M574" s="1033">
        <v>0.1</v>
      </c>
      <c r="N574" s="1032" t="s">
        <v>1569</v>
      </c>
      <c r="O574" s="1036">
        <v>2.21</v>
      </c>
      <c r="P574" s="1036">
        <v>2.17</v>
      </c>
      <c r="Q574" s="1036">
        <v>1.77E-2</v>
      </c>
      <c r="R574" s="1036">
        <v>0</v>
      </c>
      <c r="S574" s="1036">
        <v>1.78E-2</v>
      </c>
      <c r="T574" s="1036">
        <v>0</v>
      </c>
      <c r="U574" s="1037">
        <v>0.12743299999999999</v>
      </c>
    </row>
    <row r="575" spans="2:21" hidden="1" outlineLevel="1">
      <c r="B575" s="1050">
        <v>28</v>
      </c>
      <c r="C575" s="1050" t="str">
        <f t="shared" si="46"/>
        <v>Biopropane mix annuel - 2020, France continentale, Base Carbone</v>
      </c>
      <c r="D575" s="1051">
        <f t="shared" si="48"/>
        <v>3</v>
      </c>
      <c r="E575" s="1051" t="str">
        <f>IF(COUNTIF(E$547:E574,F575)&gt;0,"",F575)</f>
        <v/>
      </c>
      <c r="F575" s="1051" t="str">
        <f t="shared" si="49"/>
        <v>Essence (Supercarburant sans plomb (95, 95-E10, 98)), France continentale, Base Carbone</v>
      </c>
      <c r="G575" s="1055" t="str">
        <f t="shared" si="50"/>
        <v>Essence (Supercarburant sans plomb (95, 95-E10, 98)), France continentale, Base Carbone; kgCO2e/litre, Amont</v>
      </c>
      <c r="I575" s="1031" t="s">
        <v>1586</v>
      </c>
      <c r="J575" s="1032" t="s">
        <v>1574</v>
      </c>
      <c r="K575" s="1032" t="s">
        <v>1567</v>
      </c>
      <c r="L575" s="1032" t="s">
        <v>1571</v>
      </c>
      <c r="M575" s="1033">
        <v>0.1</v>
      </c>
      <c r="N575" s="1032" t="s">
        <v>1570</v>
      </c>
      <c r="O575" s="1036">
        <v>0.49399999999999999</v>
      </c>
      <c r="P575" s="1036">
        <v>0.432</v>
      </c>
      <c r="Q575" s="1036">
        <v>4.3700000000000003E-2</v>
      </c>
      <c r="R575" s="1036">
        <v>0</v>
      </c>
      <c r="S575" s="1036">
        <v>1.78E-2</v>
      </c>
      <c r="T575" s="1036">
        <v>0</v>
      </c>
      <c r="U575" s="1037">
        <v>-0.12743299999999999</v>
      </c>
    </row>
    <row r="576" spans="2:21" hidden="1" outlineLevel="1">
      <c r="B576" s="1050">
        <v>29</v>
      </c>
      <c r="C576" s="1050" t="str">
        <f t="shared" si="46"/>
        <v>BioGNC - biométhane comprimé pour véhicule routier - mix moyen, France continentale, Base Carbone</v>
      </c>
      <c r="D576" s="1051">
        <f t="shared" si="48"/>
        <v>3</v>
      </c>
      <c r="E576" s="1051" t="str">
        <f>IF(COUNTIF(E$547:E575,F576)&gt;0,"",F576)</f>
        <v/>
      </c>
      <c r="F576" s="1051" t="str">
        <f t="shared" si="49"/>
        <v>Essence (Supercarburant sans plomb (95, 95-E10, 98)), France continentale, Base Carbone</v>
      </c>
      <c r="G576" s="1055" t="str">
        <f t="shared" si="50"/>
        <v>Essence (Supercarburant sans plomb (95, 95-E10, 98)), France continentale, Base Carbone; kgCO2e/kWh PCI, Combustion</v>
      </c>
      <c r="I576" s="1031" t="s">
        <v>1586</v>
      </c>
      <c r="J576" s="1032" t="s">
        <v>1573</v>
      </c>
      <c r="K576" s="1032" t="s">
        <v>1567</v>
      </c>
      <c r="L576" s="1032" t="s">
        <v>1571</v>
      </c>
      <c r="M576" s="1033">
        <v>0.05</v>
      </c>
      <c r="N576" s="1032" t="s">
        <v>1569</v>
      </c>
      <c r="O576" s="1036">
        <v>0.254</v>
      </c>
      <c r="P576" s="1036">
        <v>0.25</v>
      </c>
      <c r="Q576" s="1036">
        <v>2.0100000000000001E-3</v>
      </c>
      <c r="R576" s="1036">
        <v>0</v>
      </c>
      <c r="S576" s="1036">
        <v>2.1199999999999999E-3</v>
      </c>
      <c r="T576" s="1036">
        <v>0</v>
      </c>
      <c r="U576" s="1037">
        <v>1.3428000000000001E-2</v>
      </c>
    </row>
    <row r="577" spans="2:21" hidden="1" outlineLevel="1">
      <c r="B577" s="1050">
        <v>30</v>
      </c>
      <c r="C577" s="1050" t="str">
        <f t="shared" si="46"/>
        <v>-</v>
      </c>
      <c r="D577" s="1051">
        <f t="shared" si="48"/>
        <v>3</v>
      </c>
      <c r="E577" s="1051" t="str">
        <f>IF(COUNTIF(E$547:E576,F577)&gt;0,"",F577)</f>
        <v/>
      </c>
      <c r="F577" s="1051" t="str">
        <f t="shared" si="49"/>
        <v>Essence (Supercarburant sans plomb (95, 95-E10, 98)), France continentale, Base Carbone</v>
      </c>
      <c r="G577" s="1055" t="str">
        <f t="shared" si="50"/>
        <v>Essence (Supercarburant sans plomb (95, 95-E10, 98)), France continentale, Base Carbone; kgCO2e/kWh PCI, Amont</v>
      </c>
      <c r="I577" s="1031" t="s">
        <v>1586</v>
      </c>
      <c r="J577" s="1032" t="s">
        <v>1573</v>
      </c>
      <c r="K577" s="1032" t="s">
        <v>1567</v>
      </c>
      <c r="L577" s="1032" t="s">
        <v>1571</v>
      </c>
      <c r="M577" s="1033">
        <v>0.05</v>
      </c>
      <c r="N577" s="1032" t="s">
        <v>1570</v>
      </c>
      <c r="O577" s="1036">
        <v>5.7099999999999998E-2</v>
      </c>
      <c r="P577" s="1036">
        <v>0.05</v>
      </c>
      <c r="Q577" s="1036">
        <v>4.9500000000000004E-3</v>
      </c>
      <c r="R577" s="1036">
        <v>0</v>
      </c>
      <c r="S577" s="1036">
        <v>2.1199999999999999E-3</v>
      </c>
      <c r="T577" s="1036">
        <v>0</v>
      </c>
      <c r="U577" s="1037">
        <v>-1.3428000000000001E-2</v>
      </c>
    </row>
    <row r="578" spans="2:21" hidden="1" outlineLevel="1">
      <c r="B578" s="1050">
        <v>31</v>
      </c>
      <c r="C578" s="1050" t="str">
        <f t="shared" si="46"/>
        <v>-</v>
      </c>
      <c r="D578" s="1051">
        <f t="shared" si="48"/>
        <v>4</v>
      </c>
      <c r="E578" s="1051" t="str">
        <f>IF(COUNTIF(E$547:E577,F578)&gt;0,"",F578)</f>
        <v>Essence (Supercarburant sans plomb (95, 95-E10, 98)), Polynésie Française, Base Carbone</v>
      </c>
      <c r="F578" s="1051" t="str">
        <f t="shared" si="49"/>
        <v>Essence (Supercarburant sans plomb (95, 95-E10, 98)), Polynésie Française, Base Carbone</v>
      </c>
      <c r="G578" s="1055" t="str">
        <f t="shared" si="50"/>
        <v>Essence (Supercarburant sans plomb (95, 95-E10, 98)), Polynésie Française, Base Carbone; kgCO2e/kg, Combustion</v>
      </c>
      <c r="I578" s="1031" t="s">
        <v>1586</v>
      </c>
      <c r="J578" s="1979" t="s">
        <v>1572</v>
      </c>
      <c r="K578" s="2352" t="s">
        <v>1567</v>
      </c>
      <c r="L578" s="2352" t="s">
        <v>637</v>
      </c>
      <c r="M578" s="2039">
        <v>0.05</v>
      </c>
      <c r="N578" s="2352" t="s">
        <v>1569</v>
      </c>
      <c r="O578" s="2353">
        <v>3.21</v>
      </c>
      <c r="P578" s="2353">
        <f>O578</f>
        <v>3.21</v>
      </c>
      <c r="Q578" s="2353">
        <v>0</v>
      </c>
      <c r="R578" s="2353">
        <v>0</v>
      </c>
      <c r="S578" s="2353">
        <v>0</v>
      </c>
      <c r="T578" s="2353">
        <v>0</v>
      </c>
      <c r="U578" s="2057">
        <v>0</v>
      </c>
    </row>
    <row r="579" spans="2:21" hidden="1" outlineLevel="1">
      <c r="B579" s="1050">
        <v>32</v>
      </c>
      <c r="C579" s="1050" t="str">
        <f t="shared" si="46"/>
        <v>-</v>
      </c>
      <c r="D579" s="1051">
        <f t="shared" si="48"/>
        <v>4</v>
      </c>
      <c r="E579" s="1051" t="str">
        <f>IF(COUNTIF(E$547:E578,F579)&gt;0,"",F579)</f>
        <v/>
      </c>
      <c r="F579" s="1051" t="str">
        <f t="shared" si="49"/>
        <v>Essence (Supercarburant sans plomb (95, 95-E10, 98)), Polynésie Française, Base Carbone</v>
      </c>
      <c r="G579" s="1055" t="str">
        <f t="shared" si="50"/>
        <v>Essence (Supercarburant sans plomb (95, 95-E10, 98)), Polynésie Française, Base Carbone; kgCO2e/kg, Amont</v>
      </c>
      <c r="I579" s="1031" t="s">
        <v>1586</v>
      </c>
      <c r="J579" s="1979" t="s">
        <v>1572</v>
      </c>
      <c r="K579" s="2352" t="s">
        <v>1567</v>
      </c>
      <c r="L579" s="2352" t="s">
        <v>637</v>
      </c>
      <c r="M579" s="2039">
        <v>0.05</v>
      </c>
      <c r="N579" s="2352" t="s">
        <v>1570</v>
      </c>
      <c r="O579" s="2353">
        <v>0.70899999999999996</v>
      </c>
      <c r="P579" s="2353">
        <f t="shared" ref="P579:P609" si="51">O579</f>
        <v>0.70899999999999996</v>
      </c>
      <c r="Q579" s="2353">
        <v>0</v>
      </c>
      <c r="R579" s="2353">
        <v>0</v>
      </c>
      <c r="S579" s="2353">
        <v>0</v>
      </c>
      <c r="T579" s="2353">
        <v>0</v>
      </c>
      <c r="U579" s="2057">
        <v>0</v>
      </c>
    </row>
    <row r="580" spans="2:21" hidden="1" outlineLevel="1">
      <c r="B580" s="1050"/>
      <c r="C580" s="1050"/>
      <c r="D580" s="1051">
        <f t="shared" si="48"/>
        <v>4</v>
      </c>
      <c r="E580" s="1051" t="str">
        <f>IF(COUNTIF(E$547:E579,F580)&gt;0,"",F580)</f>
        <v/>
      </c>
      <c r="F580" s="1051" t="str">
        <f t="shared" si="49"/>
        <v>Essence (Supercarburant sans plomb (95, 95-E10, 98)), Polynésie Française, Base Carbone</v>
      </c>
      <c r="G580" s="1055" t="str">
        <f t="shared" si="50"/>
        <v>Essence (Supercarburant sans plomb (95, 95-E10, 98)), Polynésie Française, Base Carbone; kgCO2e/kWh PCI, Combustion</v>
      </c>
      <c r="I580" s="1031" t="s">
        <v>1586</v>
      </c>
      <c r="J580" s="2352" t="s">
        <v>1573</v>
      </c>
      <c r="K580" s="2352" t="s">
        <v>1567</v>
      </c>
      <c r="L580" s="2352" t="s">
        <v>637</v>
      </c>
      <c r="M580" s="2039">
        <v>0.05</v>
      </c>
      <c r="N580" s="2352" t="s">
        <v>1569</v>
      </c>
      <c r="O580" s="2354">
        <v>0.26300000000000001</v>
      </c>
      <c r="P580" s="2353">
        <f t="shared" si="51"/>
        <v>0.26300000000000001</v>
      </c>
      <c r="Q580" s="2353">
        <v>0</v>
      </c>
      <c r="R580" s="2353">
        <v>0</v>
      </c>
      <c r="S580" s="2353">
        <v>0</v>
      </c>
      <c r="T580" s="2353">
        <v>0</v>
      </c>
      <c r="U580" s="2057">
        <v>0</v>
      </c>
    </row>
    <row r="581" spans="2:21" hidden="1" outlineLevel="1">
      <c r="B581" s="1050"/>
      <c r="C581" s="1050"/>
      <c r="D581" s="1051">
        <f t="shared" si="48"/>
        <v>4</v>
      </c>
      <c r="E581" s="1051" t="str">
        <f>IF(COUNTIF(E$547:E580,F581)&gt;0,"",F581)</f>
        <v/>
      </c>
      <c r="F581" s="1051" t="str">
        <f t="shared" si="49"/>
        <v>Essence (Supercarburant sans plomb (95, 95-E10, 98)), Polynésie Française, Base Carbone</v>
      </c>
      <c r="G581" s="1055" t="str">
        <f t="shared" si="50"/>
        <v>Essence (Supercarburant sans plomb (95, 95-E10, 98)), Polynésie Française, Base Carbone; kgCO2e/kWh PCI, Amont</v>
      </c>
      <c r="I581" s="1031" t="s">
        <v>1586</v>
      </c>
      <c r="J581" s="2352" t="s">
        <v>1573</v>
      </c>
      <c r="K581" s="2352" t="s">
        <v>1567</v>
      </c>
      <c r="L581" s="2352" t="s">
        <v>637</v>
      </c>
      <c r="M581" s="2039">
        <v>0.05</v>
      </c>
      <c r="N581" s="2352" t="s">
        <v>1570</v>
      </c>
      <c r="O581" s="2354">
        <v>5.8000000000000003E-2</v>
      </c>
      <c r="P581" s="2353">
        <f t="shared" si="51"/>
        <v>5.8000000000000003E-2</v>
      </c>
      <c r="Q581" s="2353">
        <v>0</v>
      </c>
      <c r="R581" s="2353">
        <v>0</v>
      </c>
      <c r="S581" s="2353">
        <v>0</v>
      </c>
      <c r="T581" s="2353">
        <v>0</v>
      </c>
      <c r="U581" s="2057">
        <v>0</v>
      </c>
    </row>
    <row r="582" spans="2:21" hidden="1" outlineLevel="1">
      <c r="B582" s="1050"/>
      <c r="C582" s="1050"/>
      <c r="D582" s="1051">
        <f t="shared" si="48"/>
        <v>4</v>
      </c>
      <c r="E582" s="1051" t="str">
        <f>IF(COUNTIF(E$547:E581,F582)&gt;0,"",F582)</f>
        <v/>
      </c>
      <c r="F582" s="1051" t="str">
        <f t="shared" si="49"/>
        <v>Essence (Supercarburant sans plomb (95, 95-E10, 98)), Polynésie Française, Base Carbone</v>
      </c>
      <c r="G582" s="1055" t="str">
        <f t="shared" si="50"/>
        <v>Essence (Supercarburant sans plomb (95, 95-E10, 98)), Polynésie Française, Base Carbone; kgCO2e/tep PCI, Combustion</v>
      </c>
      <c r="I582" s="1031" t="s">
        <v>1586</v>
      </c>
      <c r="J582" s="2352" t="s">
        <v>1575</v>
      </c>
      <c r="K582" s="2352" t="s">
        <v>1567</v>
      </c>
      <c r="L582" s="2352" t="s">
        <v>637</v>
      </c>
      <c r="M582" s="2039">
        <v>0.05</v>
      </c>
      <c r="N582" s="2352" t="s">
        <v>1569</v>
      </c>
      <c r="O582" s="2354">
        <v>3060</v>
      </c>
      <c r="P582" s="2353">
        <f t="shared" si="51"/>
        <v>3060</v>
      </c>
      <c r="Q582" s="2353">
        <v>0</v>
      </c>
      <c r="R582" s="2353">
        <v>0</v>
      </c>
      <c r="S582" s="2353">
        <v>0</v>
      </c>
      <c r="T582" s="2353">
        <v>0</v>
      </c>
      <c r="U582" s="2057">
        <v>0</v>
      </c>
    </row>
    <row r="583" spans="2:21" hidden="1" outlineLevel="1">
      <c r="B583" s="1050"/>
      <c r="C583" s="1050"/>
      <c r="D583" s="1051">
        <f t="shared" si="48"/>
        <v>4</v>
      </c>
      <c r="E583" s="1051" t="str">
        <f>IF(COUNTIF(E$547:E582,F583)&gt;0,"",F583)</f>
        <v/>
      </c>
      <c r="F583" s="1051" t="str">
        <f t="shared" si="49"/>
        <v>Essence (Supercarburant sans plomb (95, 95-E10, 98)), Polynésie Française, Base Carbone</v>
      </c>
      <c r="G583" s="1055" t="str">
        <f t="shared" si="50"/>
        <v>Essence (Supercarburant sans plomb (95, 95-E10, 98)), Polynésie Française, Base Carbone; kgCO2e/tep PCI, Amont</v>
      </c>
      <c r="I583" s="1031" t="s">
        <v>1586</v>
      </c>
      <c r="J583" s="2352" t="s">
        <v>1575</v>
      </c>
      <c r="K583" s="2352" t="s">
        <v>1567</v>
      </c>
      <c r="L583" s="2352" t="s">
        <v>637</v>
      </c>
      <c r="M583" s="2039">
        <v>0.05</v>
      </c>
      <c r="N583" s="2352" t="s">
        <v>1570</v>
      </c>
      <c r="O583" s="2354">
        <v>675</v>
      </c>
      <c r="P583" s="2353">
        <f t="shared" si="51"/>
        <v>675</v>
      </c>
      <c r="Q583" s="2353">
        <v>0</v>
      </c>
      <c r="R583" s="2353">
        <v>0</v>
      </c>
      <c r="S583" s="2353">
        <v>0</v>
      </c>
      <c r="T583" s="2353">
        <v>0</v>
      </c>
      <c r="U583" s="2057">
        <v>0</v>
      </c>
    </row>
    <row r="584" spans="2:21" hidden="1" outlineLevel="1">
      <c r="B584" s="1050"/>
      <c r="C584" s="1050"/>
      <c r="D584" s="1051">
        <f t="shared" si="48"/>
        <v>4</v>
      </c>
      <c r="E584" s="1051" t="str">
        <f>IF(COUNTIF(E$547:E583,F584)&gt;0,"",F584)</f>
        <v/>
      </c>
      <c r="F584" s="1051" t="str">
        <f t="shared" si="49"/>
        <v>Essence (Supercarburant sans plomb (95, 95-E10, 98)), Polynésie Française, Base Carbone</v>
      </c>
      <c r="G584" s="1055" t="str">
        <f t="shared" si="50"/>
        <v>Essence (Supercarburant sans plomb (95, 95-E10, 98)), Polynésie Française, Base Carbone; kgCO2e/litre, Combustion</v>
      </c>
      <c r="I584" s="1031" t="s">
        <v>1586</v>
      </c>
      <c r="J584" s="2352" t="s">
        <v>1574</v>
      </c>
      <c r="K584" s="2352" t="s">
        <v>1567</v>
      </c>
      <c r="L584" s="2352" t="s">
        <v>637</v>
      </c>
      <c r="M584" s="2039">
        <v>0.1</v>
      </c>
      <c r="N584" s="2352" t="s">
        <v>1569</v>
      </c>
      <c r="O584" s="2354">
        <v>2.4300000000000002</v>
      </c>
      <c r="P584" s="2353">
        <f t="shared" si="51"/>
        <v>2.4300000000000002</v>
      </c>
      <c r="Q584" s="2353">
        <v>0</v>
      </c>
      <c r="R584" s="2353">
        <v>0</v>
      </c>
      <c r="S584" s="2353">
        <v>0</v>
      </c>
      <c r="T584" s="2353">
        <v>0</v>
      </c>
      <c r="U584" s="2057">
        <v>0</v>
      </c>
    </row>
    <row r="585" spans="2:21" hidden="1" outlineLevel="1">
      <c r="B585" s="1050"/>
      <c r="C585" s="1050"/>
      <c r="D585" s="1051">
        <f t="shared" si="48"/>
        <v>4</v>
      </c>
      <c r="E585" s="1051" t="str">
        <f>IF(COUNTIF(E$547:E584,F585)&gt;0,"",F585)</f>
        <v/>
      </c>
      <c r="F585" s="1051" t="str">
        <f t="shared" si="49"/>
        <v>Essence (Supercarburant sans plomb (95, 95-E10, 98)), Polynésie Française, Base Carbone</v>
      </c>
      <c r="G585" s="1055" t="str">
        <f t="shared" si="50"/>
        <v>Essence (Supercarburant sans plomb (95, 95-E10, 98)), Polynésie Française, Base Carbone; kgCO2e/litre, Amont</v>
      </c>
      <c r="I585" s="1031" t="s">
        <v>1586</v>
      </c>
      <c r="J585" s="2352" t="s">
        <v>1574</v>
      </c>
      <c r="K585" s="2352" t="s">
        <v>1567</v>
      </c>
      <c r="L585" s="2352" t="s">
        <v>637</v>
      </c>
      <c r="M585" s="2039">
        <v>0.1</v>
      </c>
      <c r="N585" s="2352" t="s">
        <v>1570</v>
      </c>
      <c r="O585" s="2354">
        <v>0.53500000000000003</v>
      </c>
      <c r="P585" s="2353">
        <f t="shared" si="51"/>
        <v>0.53500000000000003</v>
      </c>
      <c r="Q585" s="2353">
        <v>0</v>
      </c>
      <c r="R585" s="2353">
        <v>0</v>
      </c>
      <c r="S585" s="2353">
        <v>0</v>
      </c>
      <c r="T585" s="2353">
        <v>0</v>
      </c>
      <c r="U585" s="2057">
        <v>0</v>
      </c>
    </row>
    <row r="586" spans="2:21" hidden="1" outlineLevel="1">
      <c r="B586" s="1050"/>
      <c r="C586" s="1050"/>
      <c r="D586" s="1051">
        <f t="shared" si="48"/>
        <v>5</v>
      </c>
      <c r="E586" s="1051" t="str">
        <f>IF(COUNTIF(E$547:E585,F586)&gt;0,"",F586)</f>
        <v>Essence (Supercarburant sans plomb (95, 95-E10, 98)), Réunion, Base Carbone</v>
      </c>
      <c r="F586" s="1051" t="str">
        <f t="shared" si="49"/>
        <v>Essence (Supercarburant sans plomb (95, 95-E10, 98)), Réunion, Base Carbone</v>
      </c>
      <c r="G586" s="1055" t="str">
        <f t="shared" si="50"/>
        <v>Essence (Supercarburant sans plomb (95, 95-E10, 98)), Réunion, Base Carbone; kgCO2e/kg, Combustion</v>
      </c>
      <c r="I586" s="1031" t="s">
        <v>1586</v>
      </c>
      <c r="J586" s="1979" t="s">
        <v>1572</v>
      </c>
      <c r="K586" s="2352" t="s">
        <v>1567</v>
      </c>
      <c r="L586" s="2352" t="s">
        <v>785</v>
      </c>
      <c r="M586" s="2039">
        <v>0.05</v>
      </c>
      <c r="N586" s="2352" t="s">
        <v>1569</v>
      </c>
      <c r="O586" s="2353">
        <v>3.21</v>
      </c>
      <c r="P586" s="2353">
        <f t="shared" si="51"/>
        <v>3.21</v>
      </c>
      <c r="Q586" s="2353">
        <v>0</v>
      </c>
      <c r="R586" s="2353">
        <v>0</v>
      </c>
      <c r="S586" s="2353">
        <v>0</v>
      </c>
      <c r="T586" s="2353">
        <v>0</v>
      </c>
      <c r="U586" s="2057">
        <v>0</v>
      </c>
    </row>
    <row r="587" spans="2:21" hidden="1" outlineLevel="1">
      <c r="B587" s="1050"/>
      <c r="C587" s="1050"/>
      <c r="D587" s="1051">
        <f t="shared" si="48"/>
        <v>5</v>
      </c>
      <c r="E587" s="1051" t="str">
        <f>IF(COUNTIF(E$547:E586,F587)&gt;0,"",F587)</f>
        <v/>
      </c>
      <c r="F587" s="1051" t="str">
        <f t="shared" si="49"/>
        <v>Essence (Supercarburant sans plomb (95, 95-E10, 98)), Réunion, Base Carbone</v>
      </c>
      <c r="G587" s="1055" t="str">
        <f t="shared" si="50"/>
        <v>Essence (Supercarburant sans plomb (95, 95-E10, 98)), Réunion, Base Carbone; kgCO2e/kg, Amont</v>
      </c>
      <c r="I587" s="1031" t="s">
        <v>1586</v>
      </c>
      <c r="J587" s="1979" t="s">
        <v>1572</v>
      </c>
      <c r="K587" s="2352" t="s">
        <v>1567</v>
      </c>
      <c r="L587" s="2352" t="s">
        <v>785</v>
      </c>
      <c r="M587" s="2039">
        <v>0.05</v>
      </c>
      <c r="N587" s="2352" t="s">
        <v>1570</v>
      </c>
      <c r="O587" s="2353">
        <v>0.64200000000000002</v>
      </c>
      <c r="P587" s="2353">
        <f t="shared" si="51"/>
        <v>0.64200000000000002</v>
      </c>
      <c r="Q587" s="2353">
        <v>0</v>
      </c>
      <c r="R587" s="2353">
        <v>0</v>
      </c>
      <c r="S587" s="2353">
        <v>0</v>
      </c>
      <c r="T587" s="2353">
        <v>0</v>
      </c>
      <c r="U587" s="2057">
        <v>0</v>
      </c>
    </row>
    <row r="588" spans="2:21" hidden="1" outlineLevel="1">
      <c r="B588" s="1050"/>
      <c r="C588" s="1050"/>
      <c r="D588" s="1051">
        <f t="shared" si="48"/>
        <v>5</v>
      </c>
      <c r="E588" s="1051" t="str">
        <f>IF(COUNTIF(E$547:E587,F588)&gt;0,"",F588)</f>
        <v/>
      </c>
      <c r="F588" s="1051" t="str">
        <f t="shared" si="49"/>
        <v>Essence (Supercarburant sans plomb (95, 95-E10, 98)), Réunion, Base Carbone</v>
      </c>
      <c r="G588" s="1055" t="str">
        <f t="shared" si="50"/>
        <v>Essence (Supercarburant sans plomb (95, 95-E10, 98)), Réunion, Base Carbone; kgCO2e/kWh PCI, Combustion</v>
      </c>
      <c r="I588" s="1031" t="s">
        <v>1586</v>
      </c>
      <c r="J588" s="2352" t="s">
        <v>1573</v>
      </c>
      <c r="K588" s="2352" t="s">
        <v>1567</v>
      </c>
      <c r="L588" s="2352" t="s">
        <v>785</v>
      </c>
      <c r="M588" s="2039">
        <v>0.05</v>
      </c>
      <c r="N588" s="2352" t="s">
        <v>1569</v>
      </c>
      <c r="O588" s="2354">
        <v>0.26400000000000001</v>
      </c>
      <c r="P588" s="2353">
        <f t="shared" si="51"/>
        <v>0.26400000000000001</v>
      </c>
      <c r="Q588" s="2353">
        <v>0</v>
      </c>
      <c r="R588" s="2353">
        <v>0</v>
      </c>
      <c r="S588" s="2353">
        <v>0</v>
      </c>
      <c r="T588" s="2353">
        <v>0</v>
      </c>
      <c r="U588" s="2057">
        <v>0</v>
      </c>
    </row>
    <row r="589" spans="2:21" hidden="1" outlineLevel="1">
      <c r="B589" s="1050"/>
      <c r="C589" s="1050"/>
      <c r="D589" s="1051">
        <f t="shared" si="48"/>
        <v>5</v>
      </c>
      <c r="E589" s="1051" t="str">
        <f>IF(COUNTIF(E$547:E588,F589)&gt;0,"",F589)</f>
        <v/>
      </c>
      <c r="F589" s="1051" t="str">
        <f t="shared" si="49"/>
        <v>Essence (Supercarburant sans plomb (95, 95-E10, 98)), Réunion, Base Carbone</v>
      </c>
      <c r="G589" s="1055" t="str">
        <f t="shared" si="50"/>
        <v>Essence (Supercarburant sans plomb (95, 95-E10, 98)), Réunion, Base Carbone; kgCO2e/kWh PCI, Amont</v>
      </c>
      <c r="I589" s="1031" t="s">
        <v>1586</v>
      </c>
      <c r="J589" s="2352" t="s">
        <v>1573</v>
      </c>
      <c r="K589" s="2352" t="s">
        <v>1567</v>
      </c>
      <c r="L589" s="2352" t="s">
        <v>785</v>
      </c>
      <c r="M589" s="2039">
        <v>0.05</v>
      </c>
      <c r="N589" s="2352" t="s">
        <v>1570</v>
      </c>
      <c r="O589" s="2354">
        <v>5.1299999999999998E-2</v>
      </c>
      <c r="P589" s="2353">
        <f t="shared" si="51"/>
        <v>5.1299999999999998E-2</v>
      </c>
      <c r="Q589" s="2353">
        <v>0</v>
      </c>
      <c r="R589" s="2353">
        <v>0</v>
      </c>
      <c r="S589" s="2353">
        <v>0</v>
      </c>
      <c r="T589" s="2353">
        <v>0</v>
      </c>
      <c r="U589" s="2057">
        <v>0</v>
      </c>
    </row>
    <row r="590" spans="2:21" hidden="1" outlineLevel="1">
      <c r="B590" s="1050"/>
      <c r="C590" s="1050"/>
      <c r="D590" s="1051">
        <f t="shared" si="48"/>
        <v>5</v>
      </c>
      <c r="E590" s="1051" t="str">
        <f>IF(COUNTIF(E$547:E589,F590)&gt;0,"",F590)</f>
        <v/>
      </c>
      <c r="F590" s="1051" t="str">
        <f t="shared" si="49"/>
        <v>Essence (Supercarburant sans plomb (95, 95-E10, 98)), Réunion, Base Carbone</v>
      </c>
      <c r="G590" s="1055" t="str">
        <f t="shared" si="50"/>
        <v>Essence (Supercarburant sans plomb (95, 95-E10, 98)), Réunion, Base Carbone; kgCO2e/tep PCI, Combustion</v>
      </c>
      <c r="I590" s="1031" t="s">
        <v>1586</v>
      </c>
      <c r="J590" s="2352" t="s">
        <v>1575</v>
      </c>
      <c r="K590" s="2352" t="s">
        <v>1567</v>
      </c>
      <c r="L590" s="2352" t="s">
        <v>785</v>
      </c>
      <c r="M590" s="2039">
        <v>0.05</v>
      </c>
      <c r="N590" s="2352" t="s">
        <v>1569</v>
      </c>
      <c r="O590" s="2354">
        <v>3070</v>
      </c>
      <c r="P590" s="2353">
        <f t="shared" si="51"/>
        <v>3070</v>
      </c>
      <c r="Q590" s="2353">
        <v>0</v>
      </c>
      <c r="R590" s="2353">
        <v>0</v>
      </c>
      <c r="S590" s="2353">
        <v>0</v>
      </c>
      <c r="T590" s="2353">
        <v>0</v>
      </c>
      <c r="U590" s="2057">
        <v>0</v>
      </c>
    </row>
    <row r="591" spans="2:21" hidden="1" outlineLevel="1">
      <c r="B591" s="1050"/>
      <c r="C591" s="1050"/>
      <c r="D591" s="1051">
        <f t="shared" si="48"/>
        <v>5</v>
      </c>
      <c r="E591" s="1051" t="str">
        <f>IF(COUNTIF(E$547:E590,F591)&gt;0,"",F591)</f>
        <v/>
      </c>
      <c r="F591" s="1051" t="str">
        <f t="shared" si="49"/>
        <v>Essence (Supercarburant sans plomb (95, 95-E10, 98)), Réunion, Base Carbone</v>
      </c>
      <c r="G591" s="1055" t="str">
        <f t="shared" si="50"/>
        <v>Essence (Supercarburant sans plomb (95, 95-E10, 98)), Réunion, Base Carbone; kgCO2e/tep PCI, Amont</v>
      </c>
      <c r="I591" s="1031" t="s">
        <v>1586</v>
      </c>
      <c r="J591" s="2352" t="s">
        <v>1575</v>
      </c>
      <c r="K591" s="2352" t="s">
        <v>1567</v>
      </c>
      <c r="L591" s="2352" t="s">
        <v>785</v>
      </c>
      <c r="M591" s="2039">
        <v>0.05</v>
      </c>
      <c r="N591" s="2352" t="s">
        <v>1570</v>
      </c>
      <c r="O591" s="2354">
        <v>612</v>
      </c>
      <c r="P591" s="2353">
        <f t="shared" si="51"/>
        <v>612</v>
      </c>
      <c r="Q591" s="2353">
        <v>0</v>
      </c>
      <c r="R591" s="2353">
        <v>0</v>
      </c>
      <c r="S591" s="2353">
        <v>0</v>
      </c>
      <c r="T591" s="2353">
        <v>0</v>
      </c>
      <c r="U591" s="2057">
        <v>0</v>
      </c>
    </row>
    <row r="592" spans="2:21" hidden="1" outlineLevel="1">
      <c r="B592" s="1050"/>
      <c r="C592" s="1050"/>
      <c r="D592" s="1051">
        <f t="shared" si="48"/>
        <v>5</v>
      </c>
      <c r="E592" s="1051" t="str">
        <f>IF(COUNTIF(E$547:E591,F592)&gt;0,"",F592)</f>
        <v/>
      </c>
      <c r="F592" s="1051" t="str">
        <f t="shared" si="49"/>
        <v>Essence (Supercarburant sans plomb (95, 95-E10, 98)), Réunion, Base Carbone</v>
      </c>
      <c r="G592" s="1055" t="str">
        <f t="shared" si="50"/>
        <v>Essence (Supercarburant sans plomb (95, 95-E10, 98)), Réunion, Base Carbone; kgCO2e/litre, Combustion</v>
      </c>
      <c r="I592" s="1031" t="s">
        <v>1586</v>
      </c>
      <c r="J592" s="2352" t="s">
        <v>1574</v>
      </c>
      <c r="K592" s="2352" t="s">
        <v>1567</v>
      </c>
      <c r="L592" s="2352" t="s">
        <v>785</v>
      </c>
      <c r="M592" s="2039">
        <v>0.1</v>
      </c>
      <c r="N592" s="2352" t="s">
        <v>1569</v>
      </c>
      <c r="O592" s="2354">
        <v>2.4300000000000002</v>
      </c>
      <c r="P592" s="2353">
        <f t="shared" si="51"/>
        <v>2.4300000000000002</v>
      </c>
      <c r="Q592" s="2353">
        <v>0</v>
      </c>
      <c r="R592" s="2353">
        <v>0</v>
      </c>
      <c r="S592" s="2353">
        <v>0</v>
      </c>
      <c r="T592" s="2353">
        <v>0</v>
      </c>
      <c r="U592" s="2057">
        <v>0</v>
      </c>
    </row>
    <row r="593" spans="2:21" hidden="1" outlineLevel="1">
      <c r="B593" s="1050"/>
      <c r="C593" s="1050"/>
      <c r="D593" s="1051">
        <f t="shared" si="48"/>
        <v>5</v>
      </c>
      <c r="E593" s="1051" t="str">
        <f>IF(COUNTIF(E$547:E592,F593)&gt;0,"",F593)</f>
        <v/>
      </c>
      <c r="F593" s="1051" t="str">
        <f t="shared" si="49"/>
        <v>Essence (Supercarburant sans plomb (95, 95-E10, 98)), Réunion, Base Carbone</v>
      </c>
      <c r="G593" s="1055" t="str">
        <f t="shared" si="50"/>
        <v>Essence (Supercarburant sans plomb (95, 95-E10, 98)), Réunion, Base Carbone; kgCO2e/litre, Amont</v>
      </c>
      <c r="I593" s="1031" t="s">
        <v>1586</v>
      </c>
      <c r="J593" s="2352" t="s">
        <v>1574</v>
      </c>
      <c r="K593" s="2352" t="s">
        <v>1567</v>
      </c>
      <c r="L593" s="2352" t="s">
        <v>785</v>
      </c>
      <c r="M593" s="2039">
        <v>0.1</v>
      </c>
      <c r="N593" s="2352" t="s">
        <v>1570</v>
      </c>
      <c r="O593" s="2354">
        <v>0.47199999999999998</v>
      </c>
      <c r="P593" s="2353">
        <f t="shared" si="51"/>
        <v>0.47199999999999998</v>
      </c>
      <c r="Q593" s="2353">
        <v>0</v>
      </c>
      <c r="R593" s="2353">
        <v>0</v>
      </c>
      <c r="S593" s="2353">
        <v>0</v>
      </c>
      <c r="T593" s="2353">
        <v>0</v>
      </c>
      <c r="U593" s="2057">
        <v>0</v>
      </c>
    </row>
    <row r="594" spans="2:21" hidden="1" outlineLevel="1">
      <c r="B594" s="1050"/>
      <c r="C594" s="1050"/>
      <c r="D594" s="1051">
        <f t="shared" si="48"/>
        <v>6</v>
      </c>
      <c r="E594" s="1051" t="str">
        <f>IF(COUNTIF(E$547:E593,F594)&gt;0,"",F594)</f>
        <v>Essence (Supercarburant sans plomb (95, 95-E10, 98)), Guadeloupe, Martinique, Guyane, Corse, Base Carbone</v>
      </c>
      <c r="F594" s="1051" t="str">
        <f t="shared" si="49"/>
        <v>Essence (Supercarburant sans plomb (95, 95-E10, 98)), Guadeloupe, Martinique, Guyane, Corse, Base Carbone</v>
      </c>
      <c r="G594" s="1055" t="str">
        <f t="shared" si="50"/>
        <v>Essence (Supercarburant sans plomb (95, 95-E10, 98)), Guadeloupe, Martinique, Guyane, Corse, Base Carbone; kgCO2e/kg, Combustion</v>
      </c>
      <c r="I594" s="2351" t="s">
        <v>1586</v>
      </c>
      <c r="J594" s="1979" t="s">
        <v>1572</v>
      </c>
      <c r="K594" s="2352" t="s">
        <v>1567</v>
      </c>
      <c r="L594" s="2352" t="s">
        <v>3084</v>
      </c>
      <c r="M594" s="2039">
        <v>0.05</v>
      </c>
      <c r="N594" s="2352" t="s">
        <v>1569</v>
      </c>
      <c r="O594" s="2353">
        <v>3.21</v>
      </c>
      <c r="P594" s="2353">
        <f t="shared" si="51"/>
        <v>3.21</v>
      </c>
      <c r="Q594" s="2353">
        <v>0</v>
      </c>
      <c r="R594" s="2353">
        <v>0</v>
      </c>
      <c r="S594" s="2353">
        <v>0</v>
      </c>
      <c r="T594" s="2353">
        <v>0</v>
      </c>
      <c r="U594" s="2057">
        <v>0</v>
      </c>
    </row>
    <row r="595" spans="2:21" hidden="1" outlineLevel="1">
      <c r="B595" s="1050"/>
      <c r="C595" s="1050"/>
      <c r="D595" s="1051">
        <f t="shared" si="48"/>
        <v>6</v>
      </c>
      <c r="E595" s="1051" t="str">
        <f>IF(COUNTIF(E$547:E594,F595)&gt;0,"",F595)</f>
        <v/>
      </c>
      <c r="F595" s="1051" t="str">
        <f t="shared" si="49"/>
        <v>Essence (Supercarburant sans plomb (95, 95-E10, 98)), Guadeloupe, Martinique, Guyane, Corse, Base Carbone</v>
      </c>
      <c r="G595" s="1055" t="str">
        <f t="shared" si="50"/>
        <v>Essence (Supercarburant sans plomb (95, 95-E10, 98)), Guadeloupe, Martinique, Guyane, Corse, Base Carbone; kgCO2e/kg, Amont</v>
      </c>
      <c r="I595" s="2351" t="s">
        <v>1586</v>
      </c>
      <c r="J595" s="1979" t="s">
        <v>1572</v>
      </c>
      <c r="K595" s="2352" t="s">
        <v>1567</v>
      </c>
      <c r="L595" s="2352" t="s">
        <v>3084</v>
      </c>
      <c r="M595" s="2039">
        <v>0.05</v>
      </c>
      <c r="N595" s="2352" t="s">
        <v>1570</v>
      </c>
      <c r="O595" s="2353">
        <v>0.54600000000000004</v>
      </c>
      <c r="P595" s="2353">
        <f t="shared" si="51"/>
        <v>0.54600000000000004</v>
      </c>
      <c r="Q595" s="2353">
        <v>0</v>
      </c>
      <c r="R595" s="2353">
        <v>0</v>
      </c>
      <c r="S595" s="2353">
        <v>0</v>
      </c>
      <c r="T595" s="2353">
        <v>0</v>
      </c>
      <c r="U595" s="2057">
        <v>0</v>
      </c>
    </row>
    <row r="596" spans="2:21" hidden="1" outlineLevel="1">
      <c r="B596" s="1050"/>
      <c r="C596" s="1050"/>
      <c r="D596" s="1051">
        <f t="shared" si="48"/>
        <v>6</v>
      </c>
      <c r="E596" s="1051" t="str">
        <f>IF(COUNTIF(E$547:E595,F596)&gt;0,"",F596)</f>
        <v/>
      </c>
      <c r="F596" s="1051" t="str">
        <f t="shared" si="49"/>
        <v>Essence (Supercarburant sans plomb (95, 95-E10, 98)), Guadeloupe, Martinique, Guyane, Corse, Base Carbone</v>
      </c>
      <c r="G596" s="1055" t="str">
        <f t="shared" si="50"/>
        <v>Essence (Supercarburant sans plomb (95, 95-E10, 98)), Guadeloupe, Martinique, Guyane, Corse, Base Carbone; kgCO2e/kWh PCI, Combustion</v>
      </c>
      <c r="I596" s="2351" t="s">
        <v>1586</v>
      </c>
      <c r="J596" s="2352" t="s">
        <v>1573</v>
      </c>
      <c r="K596" s="2352" t="s">
        <v>1567</v>
      </c>
      <c r="L596" s="2352" t="s">
        <v>3084</v>
      </c>
      <c r="M596" s="2039">
        <v>0.05</v>
      </c>
      <c r="N596" s="2352" t="s">
        <v>1569</v>
      </c>
      <c r="O596" s="2354">
        <v>0.26400000000000001</v>
      </c>
      <c r="P596" s="2353">
        <f t="shared" si="51"/>
        <v>0.26400000000000001</v>
      </c>
      <c r="Q596" s="2353">
        <v>0</v>
      </c>
      <c r="R596" s="2353">
        <v>0</v>
      </c>
      <c r="S596" s="2353">
        <v>0</v>
      </c>
      <c r="T596" s="2353">
        <v>0</v>
      </c>
      <c r="U596" s="2057">
        <v>0</v>
      </c>
    </row>
    <row r="597" spans="2:21" hidden="1" outlineLevel="1">
      <c r="B597" s="1050"/>
      <c r="C597" s="1050"/>
      <c r="D597" s="1051">
        <f t="shared" si="48"/>
        <v>6</v>
      </c>
      <c r="E597" s="1051" t="str">
        <f>IF(COUNTIF(E$547:E596,F597)&gt;0,"",F597)</f>
        <v/>
      </c>
      <c r="F597" s="1051" t="str">
        <f t="shared" si="49"/>
        <v>Essence (Supercarburant sans plomb (95, 95-E10, 98)), Guadeloupe, Martinique, Guyane, Corse, Base Carbone</v>
      </c>
      <c r="G597" s="1055" t="str">
        <f t="shared" si="50"/>
        <v>Essence (Supercarburant sans plomb (95, 95-E10, 98)), Guadeloupe, Martinique, Guyane, Corse, Base Carbone; kgCO2e/kWh PCI, Amont</v>
      </c>
      <c r="I597" s="2351" t="s">
        <v>1586</v>
      </c>
      <c r="J597" s="2352" t="s">
        <v>1573</v>
      </c>
      <c r="K597" s="2352" t="s">
        <v>1567</v>
      </c>
      <c r="L597" s="2352" t="s">
        <v>3084</v>
      </c>
      <c r="M597" s="2039">
        <v>0.05</v>
      </c>
      <c r="N597" s="2352" t="s">
        <v>1570</v>
      </c>
      <c r="O597" s="2354">
        <v>4.4900000000000002E-2</v>
      </c>
      <c r="P597" s="2353">
        <f t="shared" si="51"/>
        <v>4.4900000000000002E-2</v>
      </c>
      <c r="Q597" s="2353">
        <v>0</v>
      </c>
      <c r="R597" s="2353">
        <v>0</v>
      </c>
      <c r="S597" s="2353">
        <v>0</v>
      </c>
      <c r="T597" s="2353">
        <v>0</v>
      </c>
      <c r="U597" s="2057">
        <v>0</v>
      </c>
    </row>
    <row r="598" spans="2:21" hidden="1" outlineLevel="1">
      <c r="B598" s="1050"/>
      <c r="C598" s="1050"/>
      <c r="D598" s="1051">
        <f t="shared" si="48"/>
        <v>6</v>
      </c>
      <c r="E598" s="1051" t="str">
        <f>IF(COUNTIF(E$547:E597,F598)&gt;0,"",F598)</f>
        <v/>
      </c>
      <c r="F598" s="1051" t="str">
        <f t="shared" si="49"/>
        <v>Essence (Supercarburant sans plomb (95, 95-E10, 98)), Guadeloupe, Martinique, Guyane, Corse, Base Carbone</v>
      </c>
      <c r="G598" s="1055" t="str">
        <f t="shared" si="50"/>
        <v>Essence (Supercarburant sans plomb (95, 95-E10, 98)), Guadeloupe, Martinique, Guyane, Corse, Base Carbone; kgCO2e/tep PCI, Combustion</v>
      </c>
      <c r="I598" s="2351" t="s">
        <v>1586</v>
      </c>
      <c r="J598" s="2352" t="s">
        <v>1575</v>
      </c>
      <c r="K598" s="2352" t="s">
        <v>1567</v>
      </c>
      <c r="L598" s="2352" t="s">
        <v>3084</v>
      </c>
      <c r="M598" s="2039">
        <v>0.05</v>
      </c>
      <c r="N598" s="2352" t="s">
        <v>1569</v>
      </c>
      <c r="O598" s="2354">
        <v>3070</v>
      </c>
      <c r="P598" s="2353">
        <f t="shared" si="51"/>
        <v>3070</v>
      </c>
      <c r="Q598" s="2353">
        <v>0</v>
      </c>
      <c r="R598" s="2353">
        <v>0</v>
      </c>
      <c r="S598" s="2353">
        <v>0</v>
      </c>
      <c r="T598" s="2353">
        <v>0</v>
      </c>
      <c r="U598" s="2057">
        <v>0</v>
      </c>
    </row>
    <row r="599" spans="2:21" hidden="1" outlineLevel="1">
      <c r="B599" s="1050"/>
      <c r="C599" s="1050"/>
      <c r="D599" s="1051">
        <f t="shared" si="48"/>
        <v>6</v>
      </c>
      <c r="E599" s="1051" t="str">
        <f>IF(COUNTIF(E$547:E598,F599)&gt;0,"",F599)</f>
        <v/>
      </c>
      <c r="F599" s="1051" t="str">
        <f t="shared" si="49"/>
        <v>Essence (Supercarburant sans plomb (95, 95-E10, 98)), Guadeloupe, Martinique, Guyane, Corse, Base Carbone</v>
      </c>
      <c r="G599" s="1055" t="str">
        <f t="shared" si="50"/>
        <v>Essence (Supercarburant sans plomb (95, 95-E10, 98)), Guadeloupe, Martinique, Guyane, Corse, Base Carbone; kgCO2e/tep PCI, Amont</v>
      </c>
      <c r="I599" s="2351" t="s">
        <v>1586</v>
      </c>
      <c r="J599" s="2352" t="s">
        <v>1575</v>
      </c>
      <c r="K599" s="2352" t="s">
        <v>1567</v>
      </c>
      <c r="L599" s="2352" t="s">
        <v>3084</v>
      </c>
      <c r="M599" s="2039">
        <v>0.05</v>
      </c>
      <c r="N599" s="2352" t="s">
        <v>1570</v>
      </c>
      <c r="O599" s="2354">
        <v>522</v>
      </c>
      <c r="P599" s="2353">
        <f t="shared" si="51"/>
        <v>522</v>
      </c>
      <c r="Q599" s="2353">
        <v>0</v>
      </c>
      <c r="R599" s="2353">
        <v>0</v>
      </c>
      <c r="S599" s="2353">
        <v>0</v>
      </c>
      <c r="T599" s="2353">
        <v>0</v>
      </c>
      <c r="U599" s="2057">
        <v>0</v>
      </c>
    </row>
    <row r="600" spans="2:21" hidden="1" outlineLevel="1">
      <c r="B600" s="1050"/>
      <c r="C600" s="1050"/>
      <c r="D600" s="1051">
        <f t="shared" si="48"/>
        <v>6</v>
      </c>
      <c r="E600" s="1051" t="str">
        <f>IF(COUNTIF(E$547:E599,F600)&gt;0,"",F600)</f>
        <v/>
      </c>
      <c r="F600" s="1051" t="str">
        <f t="shared" si="49"/>
        <v>Essence (Supercarburant sans plomb (95, 95-E10, 98)), Guadeloupe, Martinique, Guyane, Corse, Base Carbone</v>
      </c>
      <c r="G600" s="1055" t="str">
        <f t="shared" si="50"/>
        <v>Essence (Supercarburant sans plomb (95, 95-E10, 98)), Guadeloupe, Martinique, Guyane, Corse, Base Carbone; kgCO2e/litre, Combustion</v>
      </c>
      <c r="I600" s="2351" t="s">
        <v>1586</v>
      </c>
      <c r="J600" s="2352" t="s">
        <v>1574</v>
      </c>
      <c r="K600" s="2352" t="s">
        <v>1567</v>
      </c>
      <c r="L600" s="2352" t="s">
        <v>3084</v>
      </c>
      <c r="M600" s="2039">
        <v>0.1</v>
      </c>
      <c r="N600" s="2352" t="s">
        <v>1569</v>
      </c>
      <c r="O600" s="2354">
        <v>2.4300000000000002</v>
      </c>
      <c r="P600" s="2353">
        <f t="shared" si="51"/>
        <v>2.4300000000000002</v>
      </c>
      <c r="Q600" s="2353">
        <v>0</v>
      </c>
      <c r="R600" s="2353">
        <v>0</v>
      </c>
      <c r="S600" s="2353">
        <v>0</v>
      </c>
      <c r="T600" s="2353">
        <v>0</v>
      </c>
      <c r="U600" s="2057">
        <v>0</v>
      </c>
    </row>
    <row r="601" spans="2:21" hidden="1" outlineLevel="1">
      <c r="B601" s="1050"/>
      <c r="C601" s="1050"/>
      <c r="D601" s="1051">
        <f t="shared" si="48"/>
        <v>6</v>
      </c>
      <c r="E601" s="1051" t="str">
        <f>IF(COUNTIF(E$547:E600,F601)&gt;0,"",F601)</f>
        <v/>
      </c>
      <c r="F601" s="1051" t="str">
        <f t="shared" si="49"/>
        <v>Essence (Supercarburant sans plomb (95, 95-E10, 98)), Guadeloupe, Martinique, Guyane, Corse, Base Carbone</v>
      </c>
      <c r="G601" s="1055" t="str">
        <f t="shared" si="50"/>
        <v>Essence (Supercarburant sans plomb (95, 95-E10, 98)), Guadeloupe, Martinique, Guyane, Corse, Base Carbone; kgCO2e/litre, Amont</v>
      </c>
      <c r="I601" s="2351" t="s">
        <v>1586</v>
      </c>
      <c r="J601" s="2352" t="s">
        <v>1574</v>
      </c>
      <c r="K601" s="2352" t="s">
        <v>1567</v>
      </c>
      <c r="L601" s="2352" t="s">
        <v>3084</v>
      </c>
      <c r="M601" s="2039">
        <v>0.1</v>
      </c>
      <c r="N601" s="2352" t="s">
        <v>1570</v>
      </c>
      <c r="O601" s="2354">
        <v>0.41199999999999998</v>
      </c>
      <c r="P601" s="2353">
        <f t="shared" si="51"/>
        <v>0.41199999999999998</v>
      </c>
      <c r="Q601" s="2353">
        <v>0</v>
      </c>
      <c r="R601" s="2353">
        <v>0</v>
      </c>
      <c r="S601" s="2353">
        <v>0</v>
      </c>
      <c r="T601" s="2353">
        <v>0</v>
      </c>
      <c r="U601" s="2057">
        <v>0</v>
      </c>
    </row>
    <row r="602" spans="2:21" hidden="1" outlineLevel="1">
      <c r="B602" s="1050"/>
      <c r="C602" s="1050"/>
      <c r="D602" s="1051">
        <f t="shared" si="48"/>
        <v>7</v>
      </c>
      <c r="E602" s="1051" t="str">
        <f>IF(COUNTIF(E$547:E601,F602)&gt;0,"",F602)</f>
        <v>Essence (Supercarburant sans plomb (95, 95-E10, 98)), Nouvelle Calédonie, Base Carbone</v>
      </c>
      <c r="F602" s="1051" t="str">
        <f t="shared" si="49"/>
        <v>Essence (Supercarburant sans plomb (95, 95-E10, 98)), Nouvelle Calédonie, Base Carbone</v>
      </c>
      <c r="G602" s="1055" t="str">
        <f t="shared" si="50"/>
        <v>Essence (Supercarburant sans plomb (95, 95-E10, 98)), Nouvelle Calédonie, Base Carbone; kgCO2e/kg, Combustion</v>
      </c>
      <c r="I602" s="2351" t="s">
        <v>1586</v>
      </c>
      <c r="J602" s="1979" t="s">
        <v>1572</v>
      </c>
      <c r="K602" s="2352" t="s">
        <v>1567</v>
      </c>
      <c r="L602" s="2352" t="s">
        <v>3085</v>
      </c>
      <c r="M602" s="2039">
        <v>0.05</v>
      </c>
      <c r="N602" s="2352" t="s">
        <v>1569</v>
      </c>
      <c r="O602" s="2353">
        <v>3.21</v>
      </c>
      <c r="P602" s="2353">
        <f t="shared" si="51"/>
        <v>3.21</v>
      </c>
      <c r="Q602" s="2353">
        <v>0</v>
      </c>
      <c r="R602" s="2353">
        <v>0</v>
      </c>
      <c r="S602" s="2353">
        <v>0</v>
      </c>
      <c r="T602" s="2353">
        <v>0</v>
      </c>
      <c r="U602" s="2057">
        <v>0</v>
      </c>
    </row>
    <row r="603" spans="2:21" hidden="1" outlineLevel="1">
      <c r="B603" s="1050"/>
      <c r="C603" s="1050"/>
      <c r="D603" s="1051">
        <f t="shared" si="48"/>
        <v>7</v>
      </c>
      <c r="E603" s="1051" t="str">
        <f>IF(COUNTIF(E$547:E602,F603)&gt;0,"",F603)</f>
        <v/>
      </c>
      <c r="F603" s="1051" t="str">
        <f t="shared" si="49"/>
        <v>Essence (Supercarburant sans plomb (95, 95-E10, 98)), Nouvelle Calédonie, Base Carbone</v>
      </c>
      <c r="G603" s="1055" t="str">
        <f t="shared" si="50"/>
        <v>Essence (Supercarburant sans plomb (95, 95-E10, 98)), Nouvelle Calédonie, Base Carbone; kgCO2e/kg, Amont</v>
      </c>
      <c r="I603" s="2351" t="s">
        <v>1586</v>
      </c>
      <c r="J603" s="1979" t="s">
        <v>1572</v>
      </c>
      <c r="K603" s="2352" t="s">
        <v>1567</v>
      </c>
      <c r="L603" s="2352" t="s">
        <v>3085</v>
      </c>
      <c r="M603" s="2039">
        <v>0.05</v>
      </c>
      <c r="N603" s="2352" t="s">
        <v>1570</v>
      </c>
      <c r="O603" s="2353">
        <v>0.67800000000000005</v>
      </c>
      <c r="P603" s="2353">
        <f t="shared" si="51"/>
        <v>0.67800000000000005</v>
      </c>
      <c r="Q603" s="2353">
        <v>0</v>
      </c>
      <c r="R603" s="2353">
        <v>0</v>
      </c>
      <c r="S603" s="2353">
        <v>0</v>
      </c>
      <c r="T603" s="2353">
        <v>0</v>
      </c>
      <c r="U603" s="2057">
        <v>0</v>
      </c>
    </row>
    <row r="604" spans="2:21" hidden="1" outlineLevel="1">
      <c r="B604" s="1050"/>
      <c r="C604" s="1050"/>
      <c r="D604" s="1051">
        <f t="shared" si="48"/>
        <v>7</v>
      </c>
      <c r="E604" s="1051" t="str">
        <f>IF(COUNTIF(E$547:E603,F604)&gt;0,"",F604)</f>
        <v/>
      </c>
      <c r="F604" s="1051" t="str">
        <f t="shared" si="49"/>
        <v>Essence (Supercarburant sans plomb (95, 95-E10, 98)), Nouvelle Calédonie, Base Carbone</v>
      </c>
      <c r="G604" s="1055" t="str">
        <f t="shared" si="50"/>
        <v>Essence (Supercarburant sans plomb (95, 95-E10, 98)), Nouvelle Calédonie, Base Carbone; kgCO2e/kWh PCI, Combustion</v>
      </c>
      <c r="I604" s="2351" t="s">
        <v>1586</v>
      </c>
      <c r="J604" s="2352" t="s">
        <v>1573</v>
      </c>
      <c r="K604" s="2352" t="s">
        <v>1567</v>
      </c>
      <c r="L604" s="2352" t="s">
        <v>3085</v>
      </c>
      <c r="M604" s="2039">
        <v>0.05</v>
      </c>
      <c r="N604" s="2352" t="s">
        <v>1569</v>
      </c>
      <c r="O604" s="2354">
        <v>0.26400000000000001</v>
      </c>
      <c r="P604" s="2353">
        <f t="shared" si="51"/>
        <v>0.26400000000000001</v>
      </c>
      <c r="Q604" s="2353">
        <v>0</v>
      </c>
      <c r="R604" s="2353">
        <v>0</v>
      </c>
      <c r="S604" s="2353">
        <v>0</v>
      </c>
      <c r="T604" s="2353">
        <v>0</v>
      </c>
      <c r="U604" s="2057">
        <v>0</v>
      </c>
    </row>
    <row r="605" spans="2:21" hidden="1" outlineLevel="1">
      <c r="B605" s="1050"/>
      <c r="C605" s="1050"/>
      <c r="D605" s="1051">
        <f t="shared" si="48"/>
        <v>7</v>
      </c>
      <c r="E605" s="1051" t="str">
        <f>IF(COUNTIF(E$547:E604,F605)&gt;0,"",F605)</f>
        <v/>
      </c>
      <c r="F605" s="1051" t="str">
        <f t="shared" si="49"/>
        <v>Essence (Supercarburant sans plomb (95, 95-E10, 98)), Nouvelle Calédonie, Base Carbone</v>
      </c>
      <c r="G605" s="1055" t="str">
        <f t="shared" si="50"/>
        <v>Essence (Supercarburant sans plomb (95, 95-E10, 98)), Nouvelle Calédonie, Base Carbone; kgCO2e/kWh PCI, Amont</v>
      </c>
      <c r="I605" s="2351" t="s">
        <v>1586</v>
      </c>
      <c r="J605" s="2352" t="s">
        <v>1573</v>
      </c>
      <c r="K605" s="2352" t="s">
        <v>1567</v>
      </c>
      <c r="L605" s="2352" t="s">
        <v>3085</v>
      </c>
      <c r="M605" s="2039">
        <v>0.05</v>
      </c>
      <c r="N605" s="2352" t="s">
        <v>1570</v>
      </c>
      <c r="O605" s="2354">
        <v>5.5E-2</v>
      </c>
      <c r="P605" s="2353">
        <f t="shared" si="51"/>
        <v>5.5E-2</v>
      </c>
      <c r="Q605" s="2353">
        <v>0</v>
      </c>
      <c r="R605" s="2353">
        <v>0</v>
      </c>
      <c r="S605" s="2353">
        <v>0</v>
      </c>
      <c r="T605" s="2353">
        <v>0</v>
      </c>
      <c r="U605" s="2057">
        <v>0</v>
      </c>
    </row>
    <row r="606" spans="2:21" hidden="1" outlineLevel="1">
      <c r="B606" s="1050"/>
      <c r="C606" s="1050"/>
      <c r="D606" s="1051">
        <f t="shared" si="48"/>
        <v>7</v>
      </c>
      <c r="E606" s="1051" t="str">
        <f>IF(COUNTIF(E$547:E605,F606)&gt;0,"",F606)</f>
        <v/>
      </c>
      <c r="F606" s="1051" t="str">
        <f t="shared" si="49"/>
        <v>Essence (Supercarburant sans plomb (95, 95-E10, 98)), Nouvelle Calédonie, Base Carbone</v>
      </c>
      <c r="G606" s="1055" t="str">
        <f t="shared" si="50"/>
        <v>Essence (Supercarburant sans plomb (95, 95-E10, 98)), Nouvelle Calédonie, Base Carbone; kgCO2e/tep PCI, Combustion</v>
      </c>
      <c r="I606" s="2351" t="s">
        <v>1586</v>
      </c>
      <c r="J606" s="2352" t="s">
        <v>1575</v>
      </c>
      <c r="K606" s="2352" t="s">
        <v>1567</v>
      </c>
      <c r="L606" s="2352" t="s">
        <v>3085</v>
      </c>
      <c r="M606" s="2039">
        <v>0.05</v>
      </c>
      <c r="N606" s="2352" t="s">
        <v>1569</v>
      </c>
      <c r="O606" s="2354">
        <v>3070</v>
      </c>
      <c r="P606" s="2353">
        <f t="shared" si="51"/>
        <v>3070</v>
      </c>
      <c r="Q606" s="2353">
        <v>0</v>
      </c>
      <c r="R606" s="2353">
        <v>0</v>
      </c>
      <c r="S606" s="2353">
        <v>0</v>
      </c>
      <c r="T606" s="2353">
        <v>0</v>
      </c>
      <c r="U606" s="2057">
        <v>0</v>
      </c>
    </row>
    <row r="607" spans="2:21" hidden="1" outlineLevel="1">
      <c r="B607" s="1050"/>
      <c r="C607" s="1050"/>
      <c r="D607" s="1051">
        <f t="shared" si="48"/>
        <v>7</v>
      </c>
      <c r="E607" s="1051" t="str">
        <f>IF(COUNTIF(E$547:E606,F607)&gt;0,"",F607)</f>
        <v/>
      </c>
      <c r="F607" s="1051" t="str">
        <f t="shared" si="49"/>
        <v>Essence (Supercarburant sans plomb (95, 95-E10, 98)), Nouvelle Calédonie, Base Carbone</v>
      </c>
      <c r="G607" s="1055" t="str">
        <f t="shared" si="50"/>
        <v>Essence (Supercarburant sans plomb (95, 95-E10, 98)), Nouvelle Calédonie, Base Carbone; kgCO2e/tep PCI, Amont</v>
      </c>
      <c r="I607" s="2351" t="s">
        <v>1586</v>
      </c>
      <c r="J607" s="2352" t="s">
        <v>1575</v>
      </c>
      <c r="K607" s="2352" t="s">
        <v>1567</v>
      </c>
      <c r="L607" s="2352" t="s">
        <v>3085</v>
      </c>
      <c r="M607" s="2039">
        <v>0.05</v>
      </c>
      <c r="N607" s="2352" t="s">
        <v>1570</v>
      </c>
      <c r="O607" s="2354">
        <v>648</v>
      </c>
      <c r="P607" s="2353">
        <f t="shared" si="51"/>
        <v>648</v>
      </c>
      <c r="Q607" s="2353">
        <v>0</v>
      </c>
      <c r="R607" s="2353">
        <v>0</v>
      </c>
      <c r="S607" s="2353">
        <v>0</v>
      </c>
      <c r="T607" s="2353">
        <v>0</v>
      </c>
      <c r="U607" s="2057">
        <v>0</v>
      </c>
    </row>
    <row r="608" spans="2:21" hidden="1" outlineLevel="1">
      <c r="B608" s="1050"/>
      <c r="C608" s="1050"/>
      <c r="D608" s="1051">
        <f t="shared" si="48"/>
        <v>7</v>
      </c>
      <c r="E608" s="1051" t="str">
        <f>IF(COUNTIF(E$547:E607,F608)&gt;0,"",F608)</f>
        <v/>
      </c>
      <c r="F608" s="1051" t="str">
        <f t="shared" si="49"/>
        <v>Essence (Supercarburant sans plomb (95, 95-E10, 98)), Nouvelle Calédonie, Base Carbone</v>
      </c>
      <c r="G608" s="1055" t="str">
        <f t="shared" si="50"/>
        <v>Essence (Supercarburant sans plomb (95, 95-E10, 98)), Nouvelle Calédonie, Base Carbone; kgCO2e/litre, Combustion</v>
      </c>
      <c r="I608" s="2351" t="s">
        <v>1586</v>
      </c>
      <c r="J608" s="2352" t="s">
        <v>1574</v>
      </c>
      <c r="K608" s="2352" t="s">
        <v>1567</v>
      </c>
      <c r="L608" s="2352" t="s">
        <v>3085</v>
      </c>
      <c r="M608" s="2039">
        <v>0.1</v>
      </c>
      <c r="N608" s="2352" t="s">
        <v>1569</v>
      </c>
      <c r="O608" s="2354">
        <v>2.4300000000000002</v>
      </c>
      <c r="P608" s="2353">
        <f t="shared" si="51"/>
        <v>2.4300000000000002</v>
      </c>
      <c r="Q608" s="2353">
        <v>0</v>
      </c>
      <c r="R608" s="2353">
        <v>0</v>
      </c>
      <c r="S608" s="2353">
        <v>0</v>
      </c>
      <c r="T608" s="2353">
        <v>0</v>
      </c>
      <c r="U608" s="2057">
        <v>0</v>
      </c>
    </row>
    <row r="609" spans="2:21" hidden="1" outlineLevel="1">
      <c r="B609" s="1050"/>
      <c r="C609" s="1050"/>
      <c r="D609" s="1051">
        <f t="shared" si="48"/>
        <v>7</v>
      </c>
      <c r="E609" s="1051" t="str">
        <f>IF(COUNTIF(E$547:E608,F609)&gt;0,"",F609)</f>
        <v/>
      </c>
      <c r="F609" s="1051" t="str">
        <f t="shared" si="49"/>
        <v>Essence (Supercarburant sans plomb (95, 95-E10, 98)), Nouvelle Calédonie, Base Carbone</v>
      </c>
      <c r="G609" s="1055" t="str">
        <f t="shared" si="50"/>
        <v>Essence (Supercarburant sans plomb (95, 95-E10, 98)), Nouvelle Calédonie, Base Carbone; kgCO2e/litre, Amont</v>
      </c>
      <c r="I609" s="2351" t="s">
        <v>1586</v>
      </c>
      <c r="J609" s="2352" t="s">
        <v>1574</v>
      </c>
      <c r="K609" s="2352" t="s">
        <v>1567</v>
      </c>
      <c r="L609" s="2352" t="s">
        <v>3085</v>
      </c>
      <c r="M609" s="2039">
        <v>0.1</v>
      </c>
      <c r="N609" s="2352" t="s">
        <v>1570</v>
      </c>
      <c r="O609" s="2354">
        <v>0.50800000000000001</v>
      </c>
      <c r="P609" s="2353">
        <f t="shared" si="51"/>
        <v>0.50800000000000001</v>
      </c>
      <c r="Q609" s="2353">
        <v>0</v>
      </c>
      <c r="R609" s="2353">
        <v>0</v>
      </c>
      <c r="S609" s="2353">
        <v>0</v>
      </c>
      <c r="T609" s="2353">
        <v>0</v>
      </c>
      <c r="U609" s="2057">
        <v>0</v>
      </c>
    </row>
    <row r="610" spans="2:21" hidden="1" outlineLevel="1">
      <c r="B610" s="1050"/>
      <c r="C610" s="1050"/>
      <c r="D610" s="1051">
        <f t="shared" si="48"/>
        <v>8</v>
      </c>
      <c r="E610" s="1051" t="str">
        <f>IF(COUNTIF(E$547:E609,F610)&gt;0,"",F610)</f>
        <v>Gazole routier (B10), France continentale, Base Carbone</v>
      </c>
      <c r="F610" s="1051" t="str">
        <f t="shared" si="49"/>
        <v>Gazole routier (B10), France continentale, Base Carbone</v>
      </c>
      <c r="G610" s="1055" t="str">
        <f t="shared" si="50"/>
        <v>Gazole routier (B10), France continentale, Base Carbone; kgCO2e/kWh GJ PCI, Combustion</v>
      </c>
      <c r="I610" s="1031" t="s">
        <v>4804</v>
      </c>
      <c r="J610" s="1045" t="s">
        <v>4727</v>
      </c>
      <c r="K610" s="2589" t="s">
        <v>1567</v>
      </c>
      <c r="L610" s="1045" t="s">
        <v>1571</v>
      </c>
      <c r="M610" s="2301">
        <v>0.05</v>
      </c>
      <c r="N610" s="1045" t="s">
        <v>1569</v>
      </c>
      <c r="O610" s="2590">
        <v>68.2</v>
      </c>
      <c r="P610" s="2045">
        <v>67.599999999999994</v>
      </c>
      <c r="Q610" s="2045">
        <v>2.7E-2</v>
      </c>
      <c r="R610" s="2045">
        <v>0</v>
      </c>
      <c r="S610" s="2045">
        <v>0.54900000000000004</v>
      </c>
      <c r="T610" s="2045">
        <v>0</v>
      </c>
      <c r="U610" s="2307">
        <v>6.561483</v>
      </c>
    </row>
    <row r="611" spans="2:21" hidden="1" outlineLevel="1">
      <c r="B611" s="1050"/>
      <c r="C611" s="1050"/>
      <c r="D611" s="1051">
        <f t="shared" si="48"/>
        <v>8</v>
      </c>
      <c r="E611" s="1051" t="str">
        <f>IF(COUNTIF(E$547:E610,F611)&gt;0,"",F611)</f>
        <v/>
      </c>
      <c r="F611" s="1051" t="str">
        <f t="shared" si="49"/>
        <v>Gazole routier (B10), France continentale, Base Carbone</v>
      </c>
      <c r="G611" s="1055" t="str">
        <f t="shared" si="50"/>
        <v>Gazole routier (B10), France continentale, Base Carbone; kgCO2e/kWh GJ PCI, Amont</v>
      </c>
      <c r="I611" s="1031" t="s">
        <v>4804</v>
      </c>
      <c r="J611" s="1045" t="s">
        <v>4727</v>
      </c>
      <c r="K611" s="2589" t="s">
        <v>1567</v>
      </c>
      <c r="L611" s="1045" t="s">
        <v>1571</v>
      </c>
      <c r="M611" s="2301">
        <v>0.05</v>
      </c>
      <c r="N611" s="1045" t="s">
        <v>1570</v>
      </c>
      <c r="O611" s="2590">
        <v>18</v>
      </c>
      <c r="P611" s="2045">
        <v>16.399999999999999</v>
      </c>
      <c r="Q611" s="2045">
        <v>0.192</v>
      </c>
      <c r="R611" s="2045">
        <v>0</v>
      </c>
      <c r="S611" s="2045">
        <v>1.36</v>
      </c>
      <c r="T611" s="2045">
        <v>0</v>
      </c>
      <c r="U611" s="2307">
        <v>-6.561483</v>
      </c>
    </row>
    <row r="612" spans="2:21" hidden="1" outlineLevel="1">
      <c r="B612" s="1050"/>
      <c r="C612" s="1050"/>
      <c r="D612" s="1051">
        <f t="shared" si="48"/>
        <v>8</v>
      </c>
      <c r="E612" s="1051" t="str">
        <f>IF(COUNTIF(E$547:E611,F612)&gt;0,"",F612)</f>
        <v/>
      </c>
      <c r="F612" s="1051" t="str">
        <f t="shared" si="49"/>
        <v>Gazole routier (B10), France continentale, Base Carbone</v>
      </c>
      <c r="G612" s="1055" t="str">
        <f t="shared" si="50"/>
        <v>Gazole routier (B10), France continentale, Base Carbone; kgCO2e/kWh PCI, Combustion</v>
      </c>
      <c r="I612" s="1031" t="s">
        <v>4804</v>
      </c>
      <c r="J612" s="1045" t="s">
        <v>1573</v>
      </c>
      <c r="K612" s="2589" t="s">
        <v>1567</v>
      </c>
      <c r="L612" s="1045" t="s">
        <v>1571</v>
      </c>
      <c r="M612" s="2301">
        <v>0.05</v>
      </c>
      <c r="N612" s="1045" t="s">
        <v>1569</v>
      </c>
      <c r="O612" s="2590">
        <v>0.246</v>
      </c>
      <c r="P612" s="2045">
        <v>0.24399999999999999</v>
      </c>
      <c r="Q612" s="2045">
        <v>9.0000000000000006E-5</v>
      </c>
      <c r="R612" s="2045">
        <v>0</v>
      </c>
      <c r="S612" s="2045">
        <v>2.1199999999999999E-3</v>
      </c>
      <c r="T612" s="2045">
        <v>0</v>
      </c>
      <c r="U612" s="2307">
        <v>2.3621E-2</v>
      </c>
    </row>
    <row r="613" spans="2:21" hidden="1" outlineLevel="1">
      <c r="B613" s="1050"/>
      <c r="C613" s="1050"/>
      <c r="D613" s="1051">
        <f t="shared" ref="D613:D676" si="52">D612+IF(LEN(E613)&gt;0,1,0)</f>
        <v>8</v>
      </c>
      <c r="E613" s="1051" t="str">
        <f>IF(COUNTIF(E$547:E612,F613)&gt;0,"",F613)</f>
        <v/>
      </c>
      <c r="F613" s="1051" t="str">
        <f t="shared" ref="F613:F676" si="53">IF(I613&lt;&gt;"",I613&amp;IF(L613&lt;&gt;"",", "&amp;L613,"")&amp;IF(K613&lt;&gt;"",", "&amp;K613,""),"")</f>
        <v>Gazole routier (B10), France continentale, Base Carbone</v>
      </c>
      <c r="G613" s="1055" t="str">
        <f t="shared" ref="G613:G676" si="54">IF(F613&lt;&gt;"",F613&amp;IF(J613&lt;&gt;"","; "&amp;J613,"")&amp;IF(N613&lt;&gt;"",", "&amp;N613,""),"")</f>
        <v>Gazole routier (B10), France continentale, Base Carbone; kgCO2e/kWh PCI, Amont</v>
      </c>
      <c r="I613" s="1031" t="s">
        <v>4804</v>
      </c>
      <c r="J613" s="1045" t="s">
        <v>1573</v>
      </c>
      <c r="K613" s="2589" t="s">
        <v>1567</v>
      </c>
      <c r="L613" s="1045" t="s">
        <v>1571</v>
      </c>
      <c r="M613" s="2301">
        <v>0.05</v>
      </c>
      <c r="N613" s="1045" t="s">
        <v>1570</v>
      </c>
      <c r="O613" s="2590">
        <v>6.4399999999999999E-2</v>
      </c>
      <c r="P613" s="2045">
        <v>5.8900000000000001E-2</v>
      </c>
      <c r="Q613" s="2045">
        <v>6.8999999999999997E-4</v>
      </c>
      <c r="R613" s="2045">
        <v>0</v>
      </c>
      <c r="S613" s="2045">
        <v>4.7699999999999999E-3</v>
      </c>
      <c r="T613" s="2045">
        <v>0</v>
      </c>
      <c r="U613" s="2307">
        <v>-2.3621E-2</v>
      </c>
    </row>
    <row r="614" spans="2:21" hidden="1" outlineLevel="1">
      <c r="B614" s="1050"/>
      <c r="C614" s="1050"/>
      <c r="D614" s="1051">
        <f t="shared" si="52"/>
        <v>8</v>
      </c>
      <c r="E614" s="1051" t="str">
        <f>IF(COUNTIF(E$547:E613,F614)&gt;0,"",F614)</f>
        <v/>
      </c>
      <c r="F614" s="1051" t="str">
        <f t="shared" si="53"/>
        <v>Gazole routier (B10), France continentale, Base Carbone</v>
      </c>
      <c r="G614" s="1055" t="str">
        <f t="shared" si="54"/>
        <v>Gazole routier (B10), France continentale, Base Carbone; kgCO2e/tep PCI, Combustion</v>
      </c>
      <c r="I614" s="1031" t="s">
        <v>4804</v>
      </c>
      <c r="J614" s="1045" t="s">
        <v>1575</v>
      </c>
      <c r="K614" s="2589" t="s">
        <v>1567</v>
      </c>
      <c r="L614" s="1045" t="s">
        <v>1571</v>
      </c>
      <c r="M614" s="2301">
        <v>0.05</v>
      </c>
      <c r="N614" s="1045" t="s">
        <v>1569</v>
      </c>
      <c r="O614" s="2590">
        <v>2863</v>
      </c>
      <c r="P614" s="2045">
        <v>2839</v>
      </c>
      <c r="Q614" s="2045">
        <v>1.1399999999999999</v>
      </c>
      <c r="R614" s="2045">
        <v>0</v>
      </c>
      <c r="S614" s="2045">
        <v>23.1</v>
      </c>
      <c r="T614" s="2045">
        <v>0</v>
      </c>
      <c r="U614" s="2307">
        <v>275.58228000000003</v>
      </c>
    </row>
    <row r="615" spans="2:21" hidden="1" outlineLevel="1">
      <c r="B615" s="1050"/>
      <c r="C615" s="1050"/>
      <c r="D615" s="1051">
        <f t="shared" si="52"/>
        <v>8</v>
      </c>
      <c r="E615" s="1051" t="str">
        <f>IF(COUNTIF(E$547:E614,F615)&gt;0,"",F615)</f>
        <v/>
      </c>
      <c r="F615" s="1051" t="str">
        <f t="shared" si="53"/>
        <v>Gazole routier (B10), France continentale, Base Carbone</v>
      </c>
      <c r="G615" s="1055" t="str">
        <f t="shared" si="54"/>
        <v>Gazole routier (B10), France continentale, Base Carbone; kgCO2e/tep PCI, Amont</v>
      </c>
      <c r="I615" s="1031" t="s">
        <v>4804</v>
      </c>
      <c r="J615" s="1045" t="s">
        <v>1575</v>
      </c>
      <c r="K615" s="2589" t="s">
        <v>1567</v>
      </c>
      <c r="L615" s="1045" t="s">
        <v>1571</v>
      </c>
      <c r="M615" s="2301">
        <v>0.05</v>
      </c>
      <c r="N615" s="1045" t="s">
        <v>1570</v>
      </c>
      <c r="O615" s="2590">
        <v>753</v>
      </c>
      <c r="P615" s="2045">
        <v>688</v>
      </c>
      <c r="Q615" s="2045">
        <v>8.0500000000000007</v>
      </c>
      <c r="R615" s="2045">
        <v>0</v>
      </c>
      <c r="S615" s="2045">
        <v>57.1</v>
      </c>
      <c r="T615" s="2045">
        <v>0</v>
      </c>
      <c r="U615" s="2307">
        <v>-275.58228000000003</v>
      </c>
    </row>
    <row r="616" spans="2:21" hidden="1" outlineLevel="1">
      <c r="B616" s="1050"/>
      <c r="C616" s="1050"/>
      <c r="D616" s="1051">
        <f t="shared" si="52"/>
        <v>8</v>
      </c>
      <c r="E616" s="1051" t="str">
        <f>IF(COUNTIF(E$547:E615,F616)&gt;0,"",F616)</f>
        <v/>
      </c>
      <c r="F616" s="1051" t="str">
        <f t="shared" si="53"/>
        <v>Gazole routier (B10), France continentale, Base Carbone</v>
      </c>
      <c r="G616" s="1055" t="str">
        <f t="shared" si="54"/>
        <v>Gazole routier (B10), France continentale, Base Carbone; kgCO2e/litre, Combustion</v>
      </c>
      <c r="I616" s="1031" t="s">
        <v>4804</v>
      </c>
      <c r="J616" s="1045" t="s">
        <v>1574</v>
      </c>
      <c r="K616" s="2589" t="s">
        <v>1567</v>
      </c>
      <c r="L616" s="1045" t="s">
        <v>1571</v>
      </c>
      <c r="M616" s="2301">
        <v>0.05</v>
      </c>
      <c r="N616" s="1045" t="s">
        <v>1569</v>
      </c>
      <c r="O616" s="2590">
        <v>2.41</v>
      </c>
      <c r="P616" s="2045">
        <v>2.39</v>
      </c>
      <c r="Q616" s="2045">
        <v>9.6000000000000002E-4</v>
      </c>
      <c r="R616" s="2045">
        <v>0</v>
      </c>
      <c r="S616" s="2045">
        <v>1.9300000000000001E-2</v>
      </c>
      <c r="T616" s="2045">
        <v>0</v>
      </c>
      <c r="U616" s="2307">
        <v>0.247946</v>
      </c>
    </row>
    <row r="617" spans="2:21" hidden="1" outlineLevel="1">
      <c r="B617" s="1050"/>
      <c r="C617" s="1050"/>
      <c r="D617" s="1051">
        <f t="shared" si="52"/>
        <v>8</v>
      </c>
      <c r="E617" s="1051" t="str">
        <f>IF(COUNTIF(E$547:E616,F617)&gt;0,"",F617)</f>
        <v/>
      </c>
      <c r="F617" s="1051" t="str">
        <f t="shared" si="53"/>
        <v>Gazole routier (B10), France continentale, Base Carbone</v>
      </c>
      <c r="G617" s="1055" t="str">
        <f t="shared" si="54"/>
        <v>Gazole routier (B10), France continentale, Base Carbone; kgCO2e/litre, Amont</v>
      </c>
      <c r="I617" s="1031" t="s">
        <v>4804</v>
      </c>
      <c r="J617" s="1045" t="s">
        <v>1574</v>
      </c>
      <c r="K617" s="2589" t="s">
        <v>1567</v>
      </c>
      <c r="L617" s="1045" t="s">
        <v>1571</v>
      </c>
      <c r="M617" s="2301">
        <v>0.05</v>
      </c>
      <c r="N617" s="1045" t="s">
        <v>1570</v>
      </c>
      <c r="O617" s="2590">
        <v>0.628</v>
      </c>
      <c r="P617" s="2045">
        <v>0.57599999999999996</v>
      </c>
      <c r="Q617" s="2045">
        <v>6.6E-3</v>
      </c>
      <c r="R617" s="2045">
        <v>0</v>
      </c>
      <c r="S617" s="2045">
        <v>4.58E-2</v>
      </c>
      <c r="T617" s="2045">
        <v>0</v>
      </c>
      <c r="U617" s="2307">
        <v>-0.247946</v>
      </c>
    </row>
    <row r="618" spans="2:21" hidden="1" outlineLevel="1">
      <c r="B618" s="1050"/>
      <c r="C618" s="1050"/>
      <c r="D618" s="1051">
        <f t="shared" si="52"/>
        <v>9</v>
      </c>
      <c r="E618" s="1051" t="str">
        <f>IF(COUNTIF(E$547:E617,F618)&gt;0,"",F618)</f>
        <v>Gazole routier (B100), France continentale, Base Carbone</v>
      </c>
      <c r="F618" s="1051" t="str">
        <f t="shared" si="53"/>
        <v>Gazole routier (B100), France continentale, Base Carbone</v>
      </c>
      <c r="G618" s="1055" t="str">
        <f t="shared" si="54"/>
        <v>Gazole routier (B100), France continentale, Base Carbone; kgCO2e/kWh GJ PCI, Combustion</v>
      </c>
      <c r="I618" s="1031" t="s">
        <v>4805</v>
      </c>
      <c r="J618" s="1045" t="s">
        <v>4727</v>
      </c>
      <c r="K618" s="2589" t="s">
        <v>1567</v>
      </c>
      <c r="L618" s="1045" t="s">
        <v>1571</v>
      </c>
      <c r="M618" s="2301">
        <v>0.05</v>
      </c>
      <c r="N618" s="1045" t="s">
        <v>1569</v>
      </c>
      <c r="O618" s="2590">
        <v>0</v>
      </c>
      <c r="P618" s="2045">
        <v>0</v>
      </c>
      <c r="Q618" s="2045">
        <v>0</v>
      </c>
      <c r="R618" s="2045">
        <v>0</v>
      </c>
      <c r="S618" s="2045">
        <v>0</v>
      </c>
      <c r="T618" s="2045">
        <v>0</v>
      </c>
      <c r="U618" s="2307">
        <v>69.863500999999999</v>
      </c>
    </row>
    <row r="619" spans="2:21" hidden="1" outlineLevel="1">
      <c r="B619" s="1050"/>
      <c r="C619" s="1050"/>
      <c r="D619" s="1051">
        <f t="shared" si="52"/>
        <v>9</v>
      </c>
      <c r="E619" s="1051" t="str">
        <f>IF(COUNTIF(E$547:E618,F619)&gt;0,"",F619)</f>
        <v/>
      </c>
      <c r="F619" s="1051" t="str">
        <f t="shared" si="53"/>
        <v>Gazole routier (B100), France continentale, Base Carbone</v>
      </c>
      <c r="G619" s="1055" t="str">
        <f t="shared" si="54"/>
        <v>Gazole routier (B100), France continentale, Base Carbone; kgCO2e/kWh GJ PCI, Amont</v>
      </c>
      <c r="I619" s="1031" t="s">
        <v>4805</v>
      </c>
      <c r="J619" s="1045" t="s">
        <v>4727</v>
      </c>
      <c r="K619" s="2589" t="s">
        <v>1567</v>
      </c>
      <c r="L619" s="1045" t="s">
        <v>1571</v>
      </c>
      <c r="M619" s="2301">
        <v>0.05</v>
      </c>
      <c r="N619" s="1045" t="s">
        <v>1570</v>
      </c>
      <c r="O619" s="2590">
        <v>36.6</v>
      </c>
      <c r="P619" s="2045">
        <v>21.8</v>
      </c>
      <c r="Q619" s="2045">
        <v>1</v>
      </c>
      <c r="R619" s="2045">
        <v>0</v>
      </c>
      <c r="S619" s="2045">
        <v>13.8</v>
      </c>
      <c r="T619" s="2045">
        <v>0</v>
      </c>
      <c r="U619" s="2307">
        <v>-69.863500999999999</v>
      </c>
    </row>
    <row r="620" spans="2:21" hidden="1" outlineLevel="1">
      <c r="B620" s="1050"/>
      <c r="C620" s="1050"/>
      <c r="D620" s="1051">
        <f t="shared" si="52"/>
        <v>9</v>
      </c>
      <c r="E620" s="1051" t="str">
        <f>IF(COUNTIF(E$547:E619,F620)&gt;0,"",F620)</f>
        <v/>
      </c>
      <c r="F620" s="1051" t="str">
        <f t="shared" si="53"/>
        <v>Gazole routier (B100), France continentale, Base Carbone</v>
      </c>
      <c r="G620" s="1055" t="str">
        <f t="shared" si="54"/>
        <v>Gazole routier (B100), France continentale, Base Carbone; kgCO2e/kWh PCI, Combustion</v>
      </c>
      <c r="I620" s="1031" t="s">
        <v>4805</v>
      </c>
      <c r="J620" s="1045" t="s">
        <v>1573</v>
      </c>
      <c r="K620" s="2589" t="s">
        <v>1567</v>
      </c>
      <c r="L620" s="1045" t="s">
        <v>1571</v>
      </c>
      <c r="M620" s="2301">
        <v>0.05</v>
      </c>
      <c r="N620" s="1045" t="s">
        <v>1569</v>
      </c>
      <c r="O620" s="2590">
        <v>0</v>
      </c>
      <c r="P620" s="2045">
        <v>0</v>
      </c>
      <c r="Q620" s="2045">
        <v>0</v>
      </c>
      <c r="R620" s="2045">
        <v>0</v>
      </c>
      <c r="S620" s="2045">
        <v>0</v>
      </c>
      <c r="T620" s="2045">
        <v>0</v>
      </c>
      <c r="U620" s="2307">
        <v>0.25150899999999998</v>
      </c>
    </row>
    <row r="621" spans="2:21" hidden="1" outlineLevel="1">
      <c r="B621" s="1050"/>
      <c r="C621" s="1050"/>
      <c r="D621" s="1051">
        <f t="shared" si="52"/>
        <v>9</v>
      </c>
      <c r="E621" s="1051" t="str">
        <f>IF(COUNTIF(E$547:E620,F621)&gt;0,"",F621)</f>
        <v/>
      </c>
      <c r="F621" s="1051" t="str">
        <f t="shared" si="53"/>
        <v>Gazole routier (B100), France continentale, Base Carbone</v>
      </c>
      <c r="G621" s="1055" t="str">
        <f t="shared" si="54"/>
        <v>Gazole routier (B100), France continentale, Base Carbone; kgCO2e/kWh PCI, Amont</v>
      </c>
      <c r="I621" s="1031" t="s">
        <v>4805</v>
      </c>
      <c r="J621" s="1045" t="s">
        <v>1573</v>
      </c>
      <c r="K621" s="2589" t="s">
        <v>1567</v>
      </c>
      <c r="L621" s="1045" t="s">
        <v>1571</v>
      </c>
      <c r="M621" s="2301">
        <v>0.05</v>
      </c>
      <c r="N621" s="1045" t="s">
        <v>1570</v>
      </c>
      <c r="O621" s="2590">
        <v>0.13200000000000001</v>
      </c>
      <c r="P621" s="2045">
        <v>7.8200000000000006E-2</v>
      </c>
      <c r="Q621" s="2045">
        <v>3.6900000000000001E-3</v>
      </c>
      <c r="R621" s="2045">
        <v>0</v>
      </c>
      <c r="S621" s="2045">
        <v>4.9799999999999997E-2</v>
      </c>
      <c r="T621" s="2045">
        <v>0</v>
      </c>
      <c r="U621" s="2307">
        <v>-0.25150899999999998</v>
      </c>
    </row>
    <row r="622" spans="2:21" hidden="1" outlineLevel="1">
      <c r="B622" s="1050"/>
      <c r="C622" s="1050"/>
      <c r="D622" s="1051">
        <f t="shared" si="52"/>
        <v>9</v>
      </c>
      <c r="E622" s="1051" t="str">
        <f>IF(COUNTIF(E$547:E621,F622)&gt;0,"",F622)</f>
        <v/>
      </c>
      <c r="F622" s="1051" t="str">
        <f t="shared" si="53"/>
        <v>Gazole routier (B100), France continentale, Base Carbone</v>
      </c>
      <c r="G622" s="1055" t="str">
        <f t="shared" si="54"/>
        <v>Gazole routier (B100), France continentale, Base Carbone; kgCO2e/TEP PCI, Combustion</v>
      </c>
      <c r="I622" s="1031" t="s">
        <v>4805</v>
      </c>
      <c r="J622" s="1045" t="s">
        <v>4729</v>
      </c>
      <c r="K622" s="2589" t="s">
        <v>1567</v>
      </c>
      <c r="L622" s="1045" t="s">
        <v>1571</v>
      </c>
      <c r="M622" s="2301">
        <v>0.05</v>
      </c>
      <c r="N622" s="1045" t="s">
        <v>1569</v>
      </c>
      <c r="O622" s="2590">
        <v>0</v>
      </c>
      <c r="P622" s="2045">
        <v>0</v>
      </c>
      <c r="Q622" s="2045">
        <v>0</v>
      </c>
      <c r="R622" s="2045">
        <v>0</v>
      </c>
      <c r="S622" s="2045">
        <v>0</v>
      </c>
      <c r="T622" s="2045">
        <v>0</v>
      </c>
      <c r="U622" s="2307">
        <v>2934.2669999999998</v>
      </c>
    </row>
    <row r="623" spans="2:21" hidden="1" outlineLevel="1">
      <c r="B623" s="1050"/>
      <c r="C623" s="1050"/>
      <c r="D623" s="1051">
        <f t="shared" si="52"/>
        <v>9</v>
      </c>
      <c r="E623" s="1051" t="str">
        <f>IF(COUNTIF(E$547:E622,F623)&gt;0,"",F623)</f>
        <v/>
      </c>
      <c r="F623" s="1051" t="str">
        <f t="shared" si="53"/>
        <v>Gazole routier (B100), France continentale, Base Carbone</v>
      </c>
      <c r="G623" s="1055" t="str">
        <f t="shared" si="54"/>
        <v>Gazole routier (B100), France continentale, Base Carbone; kgCO2e/TEP PCI, Amont</v>
      </c>
      <c r="I623" s="1031" t="s">
        <v>4805</v>
      </c>
      <c r="J623" s="1045" t="s">
        <v>4729</v>
      </c>
      <c r="K623" s="2589" t="s">
        <v>1567</v>
      </c>
      <c r="L623" s="1045" t="s">
        <v>1571</v>
      </c>
      <c r="M623" s="2301">
        <v>0.05</v>
      </c>
      <c r="N623" s="1045" t="s">
        <v>1570</v>
      </c>
      <c r="O623" s="2590">
        <v>1538</v>
      </c>
      <c r="P623" s="2045">
        <v>916</v>
      </c>
      <c r="Q623" s="2045">
        <v>43.2</v>
      </c>
      <c r="R623" s="2045">
        <v>0</v>
      </c>
      <c r="S623" s="2045">
        <v>579</v>
      </c>
      <c r="T623" s="2045">
        <v>0</v>
      </c>
      <c r="U623" s="2307">
        <v>-2934.2669999999998</v>
      </c>
    </row>
    <row r="624" spans="2:21" hidden="1" outlineLevel="1">
      <c r="B624" s="1050"/>
      <c r="C624" s="1050"/>
      <c r="D624" s="1051">
        <f t="shared" si="52"/>
        <v>9</v>
      </c>
      <c r="E624" s="1051" t="str">
        <f>IF(COUNTIF(E$547:E623,F624)&gt;0,"",F624)</f>
        <v/>
      </c>
      <c r="F624" s="1051" t="str">
        <f t="shared" si="53"/>
        <v>Gazole routier (B100), France continentale, Base Carbone</v>
      </c>
      <c r="G624" s="1055" t="str">
        <f t="shared" si="54"/>
        <v>Gazole routier (B100), France continentale, Base Carbone; kgCO2e/litre, Combustion</v>
      </c>
      <c r="I624" s="1031" t="s">
        <v>4805</v>
      </c>
      <c r="J624" s="1045" t="s">
        <v>1574</v>
      </c>
      <c r="K624" s="2589" t="s">
        <v>1567</v>
      </c>
      <c r="L624" s="1045" t="s">
        <v>1571</v>
      </c>
      <c r="M624" s="2301">
        <v>0.05</v>
      </c>
      <c r="N624" s="1045" t="s">
        <v>1569</v>
      </c>
      <c r="O624" s="2590">
        <v>0</v>
      </c>
      <c r="P624" s="2045">
        <v>0</v>
      </c>
      <c r="Q624" s="2045">
        <v>0</v>
      </c>
      <c r="R624" s="2045">
        <v>0</v>
      </c>
      <c r="S624" s="2045">
        <v>0</v>
      </c>
      <c r="T624" s="2045">
        <v>0</v>
      </c>
      <c r="U624" s="2307">
        <v>2.4794559999999999</v>
      </c>
    </row>
    <row r="625" spans="2:21" hidden="1" outlineLevel="1">
      <c r="B625" s="1050"/>
      <c r="C625" s="1050"/>
      <c r="D625" s="1051">
        <f t="shared" si="52"/>
        <v>9</v>
      </c>
      <c r="E625" s="1051" t="str">
        <f>IF(COUNTIF(E$547:E624,F625)&gt;0,"",F625)</f>
        <v/>
      </c>
      <c r="F625" s="1051" t="str">
        <f t="shared" si="53"/>
        <v>Gazole routier (B100), France continentale, Base Carbone</v>
      </c>
      <c r="G625" s="1055" t="str">
        <f t="shared" si="54"/>
        <v>Gazole routier (B100), France continentale, Base Carbone; kgCO2e/litre, Amont</v>
      </c>
      <c r="I625" s="1031" t="s">
        <v>4805</v>
      </c>
      <c r="J625" s="1045" t="s">
        <v>1574</v>
      </c>
      <c r="K625" s="2589" t="s">
        <v>1567</v>
      </c>
      <c r="L625" s="1045" t="s">
        <v>1571</v>
      </c>
      <c r="M625" s="2301">
        <v>0.05</v>
      </c>
      <c r="N625" s="1045" t="s">
        <v>1570</v>
      </c>
      <c r="O625" s="2590">
        <v>1.21</v>
      </c>
      <c r="P625" s="2045">
        <v>0.72</v>
      </c>
      <c r="Q625" s="2045">
        <v>3.4200000000000001E-2</v>
      </c>
      <c r="R625" s="2045">
        <v>0</v>
      </c>
      <c r="S625" s="2045">
        <v>0.45800000000000002</v>
      </c>
      <c r="T625" s="2045">
        <v>0</v>
      </c>
      <c r="U625" s="2307">
        <v>-2.4794559999999999</v>
      </c>
    </row>
    <row r="626" spans="2:21" hidden="1" outlineLevel="1">
      <c r="B626" s="1050"/>
      <c r="C626" s="1050"/>
      <c r="D626" s="1051">
        <f t="shared" si="52"/>
        <v>10</v>
      </c>
      <c r="E626" s="1051" t="str">
        <f>IF(COUNTIF(E$547:E625,F626)&gt;0,"",F626)</f>
        <v>Gazole (B30), France continentale, Base Carbone</v>
      </c>
      <c r="F626" s="1051" t="str">
        <f t="shared" si="53"/>
        <v>Gazole (B30), France continentale, Base Carbone</v>
      </c>
      <c r="G626" s="1055" t="str">
        <f t="shared" si="54"/>
        <v>Gazole (B30), France continentale, Base Carbone; kgCO2e/GJ PCI, Combustion</v>
      </c>
      <c r="I626" s="1100" t="s">
        <v>1591</v>
      </c>
      <c r="J626" s="2589" t="s">
        <v>1566</v>
      </c>
      <c r="K626" s="2589" t="s">
        <v>1567</v>
      </c>
      <c r="L626" s="2589" t="s">
        <v>1571</v>
      </c>
      <c r="M626" s="2301">
        <v>0.05</v>
      </c>
      <c r="N626" s="2589" t="s">
        <v>1569</v>
      </c>
      <c r="O626" s="2590">
        <v>54.1</v>
      </c>
      <c r="P626" s="2590">
        <v>53.6</v>
      </c>
      <c r="Q626" s="2590">
        <v>2.1399999999999999E-2</v>
      </c>
      <c r="R626" s="2590">
        <v>0</v>
      </c>
      <c r="S626" s="2590">
        <v>0.435</v>
      </c>
      <c r="T626" s="2590">
        <v>0</v>
      </c>
      <c r="U626" s="1037">
        <v>19.953016000000002</v>
      </c>
    </row>
    <row r="627" spans="2:21" hidden="1" outlineLevel="1">
      <c r="B627" s="1050"/>
      <c r="C627" s="1050"/>
      <c r="D627" s="1051">
        <f t="shared" si="52"/>
        <v>10</v>
      </c>
      <c r="E627" s="1051" t="str">
        <f>IF(COUNTIF(E$547:E626,F627)&gt;0,"",F627)</f>
        <v/>
      </c>
      <c r="F627" s="1051" t="str">
        <f t="shared" si="53"/>
        <v>Gazole (B30), France continentale, Base Carbone</v>
      </c>
      <c r="G627" s="1055" t="str">
        <f t="shared" si="54"/>
        <v>Gazole (B30), France continentale, Base Carbone; kgCO2e/GJ PCI, Amont</v>
      </c>
      <c r="I627" s="1100" t="s">
        <v>1591</v>
      </c>
      <c r="J627" s="2589" t="s">
        <v>1566</v>
      </c>
      <c r="K627" s="2589" t="s">
        <v>1567</v>
      </c>
      <c r="L627" s="2589" t="s">
        <v>1571</v>
      </c>
      <c r="M627" s="2301">
        <v>0.05</v>
      </c>
      <c r="N627" s="2589" t="s">
        <v>1570</v>
      </c>
      <c r="O627" s="2590">
        <v>21.8</v>
      </c>
      <c r="P627" s="2590">
        <v>17.5</v>
      </c>
      <c r="Q627" s="2590">
        <v>0.36599999999999999</v>
      </c>
      <c r="R627" s="2590">
        <v>0</v>
      </c>
      <c r="S627" s="2590">
        <v>3.95</v>
      </c>
      <c r="T627" s="2590">
        <v>0</v>
      </c>
      <c r="U627" s="1037">
        <v>-19.953016000000002</v>
      </c>
    </row>
    <row r="628" spans="2:21" hidden="1" outlineLevel="1">
      <c r="B628" s="1050"/>
      <c r="C628" s="1050"/>
      <c r="D628" s="1051">
        <f t="shared" si="52"/>
        <v>10</v>
      </c>
      <c r="E628" s="1051" t="str">
        <f>IF(COUNTIF(E$547:E627,F628)&gt;0,"",F628)</f>
        <v/>
      </c>
      <c r="F628" s="1051" t="str">
        <f t="shared" si="53"/>
        <v>Gazole (B30), France continentale, Base Carbone</v>
      </c>
      <c r="G628" s="1055" t="str">
        <f t="shared" si="54"/>
        <v>Gazole (B30), France continentale, Base Carbone; kgCO2e/tonne, Combustion</v>
      </c>
      <c r="I628" s="1100" t="s">
        <v>1591</v>
      </c>
      <c r="J628" s="2589" t="s">
        <v>1585</v>
      </c>
      <c r="K628" s="2589" t="s">
        <v>1567</v>
      </c>
      <c r="L628" s="2589" t="s">
        <v>1571</v>
      </c>
      <c r="M628" s="2301">
        <v>0.05</v>
      </c>
      <c r="N628" s="2589" t="s">
        <v>1569</v>
      </c>
      <c r="O628" s="2590">
        <v>2512</v>
      </c>
      <c r="P628" s="2590">
        <v>2491</v>
      </c>
      <c r="Q628" s="2590">
        <v>0.96599999999999997</v>
      </c>
      <c r="R628" s="2590">
        <v>0</v>
      </c>
      <c r="S628" s="2590">
        <v>20.2</v>
      </c>
      <c r="T628" s="2590">
        <v>0</v>
      </c>
      <c r="U628" s="1037">
        <v>821.19790999999998</v>
      </c>
    </row>
    <row r="629" spans="2:21" hidden="1" outlineLevel="1">
      <c r="B629" s="1050"/>
      <c r="C629" s="1050"/>
      <c r="D629" s="1051">
        <f t="shared" si="52"/>
        <v>10</v>
      </c>
      <c r="E629" s="1051" t="str">
        <f>IF(COUNTIF(E$547:E628,F629)&gt;0,"",F629)</f>
        <v/>
      </c>
      <c r="F629" s="1051" t="str">
        <f t="shared" si="53"/>
        <v>Gazole (B30), France continentale, Base Carbone</v>
      </c>
      <c r="G629" s="1055" t="str">
        <f t="shared" si="54"/>
        <v>Gazole (B30), France continentale, Base Carbone; kgCO2e/tonne, Amont</v>
      </c>
      <c r="I629" s="1100" t="s">
        <v>1591</v>
      </c>
      <c r="J629" s="2589" t="s">
        <v>1585</v>
      </c>
      <c r="K629" s="2589" t="s">
        <v>1567</v>
      </c>
      <c r="L629" s="2589" t="s">
        <v>1571</v>
      </c>
      <c r="M629" s="2301">
        <v>0.05</v>
      </c>
      <c r="N629" s="2589" t="s">
        <v>1570</v>
      </c>
      <c r="O629" s="2590">
        <v>1015</v>
      </c>
      <c r="P629" s="2590">
        <v>814</v>
      </c>
      <c r="Q629" s="2590">
        <v>17</v>
      </c>
      <c r="R629" s="2590">
        <v>0</v>
      </c>
      <c r="S629" s="2590">
        <v>184</v>
      </c>
      <c r="T629" s="2590">
        <v>0</v>
      </c>
      <c r="U629" s="1037">
        <v>-821.19790999999998</v>
      </c>
    </row>
    <row r="630" spans="2:21" hidden="1" outlineLevel="1">
      <c r="B630" s="1050"/>
      <c r="C630" s="1050"/>
      <c r="D630" s="1051">
        <f t="shared" si="52"/>
        <v>10</v>
      </c>
      <c r="E630" s="1051" t="str">
        <f>IF(COUNTIF(E$547:E629,F630)&gt;0,"",F630)</f>
        <v/>
      </c>
      <c r="F630" s="1051" t="str">
        <f t="shared" si="53"/>
        <v>Gazole (B30), France continentale, Base Carbone</v>
      </c>
      <c r="G630" s="1055" t="str">
        <f t="shared" si="54"/>
        <v>Gazole (B30), France continentale, Base Carbone; kgCO2e/kWh PCI, Combustion</v>
      </c>
      <c r="I630" s="1100" t="s">
        <v>1591</v>
      </c>
      <c r="J630" s="2589" t="s">
        <v>1573</v>
      </c>
      <c r="K630" s="2589" t="s">
        <v>1567</v>
      </c>
      <c r="L630" s="2589" t="s">
        <v>1571</v>
      </c>
      <c r="M630" s="2301">
        <v>0.05</v>
      </c>
      <c r="N630" s="2589" t="s">
        <v>1569</v>
      </c>
      <c r="O630" s="2590">
        <v>0.19500000000000001</v>
      </c>
      <c r="P630" s="2590">
        <v>0.193</v>
      </c>
      <c r="Q630" s="2590">
        <v>6.0000000000000002E-5</v>
      </c>
      <c r="R630" s="2590">
        <v>0</v>
      </c>
      <c r="S630" s="2590">
        <v>1.8600000000000001E-3</v>
      </c>
      <c r="T630" s="2590">
        <v>0</v>
      </c>
      <c r="U630" s="1037">
        <v>7.1831000000000006E-2</v>
      </c>
    </row>
    <row r="631" spans="2:21" hidden="1" outlineLevel="1">
      <c r="B631" s="1050"/>
      <c r="C631" s="1050"/>
      <c r="D631" s="1051">
        <f t="shared" si="52"/>
        <v>10</v>
      </c>
      <c r="E631" s="1051" t="str">
        <f>IF(COUNTIF(E$547:E630,F631)&gt;0,"",F631)</f>
        <v/>
      </c>
      <c r="F631" s="1051" t="str">
        <f t="shared" si="53"/>
        <v>Gazole (B30), France continentale, Base Carbone</v>
      </c>
      <c r="G631" s="1055" t="str">
        <f t="shared" si="54"/>
        <v>Gazole (B30), France continentale, Base Carbone; kgCO2e/kWh PCI, Amont</v>
      </c>
      <c r="I631" s="1100" t="s">
        <v>1591</v>
      </c>
      <c r="J631" s="2589" t="s">
        <v>1573</v>
      </c>
      <c r="K631" s="2589" t="s">
        <v>1567</v>
      </c>
      <c r="L631" s="2589" t="s">
        <v>1571</v>
      </c>
      <c r="M631" s="2301">
        <v>0.05</v>
      </c>
      <c r="N631" s="2589" t="s">
        <v>1570</v>
      </c>
      <c r="O631" s="2590">
        <v>7.8399999999999997E-2</v>
      </c>
      <c r="P631" s="2590">
        <v>6.3E-2</v>
      </c>
      <c r="Q631" s="2590">
        <v>1.1100000000000001E-3</v>
      </c>
      <c r="R631" s="2590">
        <v>0</v>
      </c>
      <c r="S631" s="2590">
        <v>1.43E-2</v>
      </c>
      <c r="T631" s="2590">
        <v>0</v>
      </c>
      <c r="U631" s="1037">
        <v>-7.1831000000000006E-2</v>
      </c>
    </row>
    <row r="632" spans="2:21" hidden="1" outlineLevel="1">
      <c r="B632" s="1050"/>
      <c r="C632" s="1050"/>
      <c r="D632" s="1051">
        <f t="shared" si="52"/>
        <v>10</v>
      </c>
      <c r="E632" s="1051" t="str">
        <f>IF(COUNTIF(E$547:E631,F632)&gt;0,"",F632)</f>
        <v/>
      </c>
      <c r="F632" s="1051" t="str">
        <f t="shared" si="53"/>
        <v>Gazole (B30), France continentale, Base Carbone</v>
      </c>
      <c r="G632" s="1055" t="str">
        <f t="shared" si="54"/>
        <v>Gazole (B30), France continentale, Base Carbone; kgCO2e/tep PCI, Combustion</v>
      </c>
      <c r="I632" s="1100" t="s">
        <v>1591</v>
      </c>
      <c r="J632" s="2589" t="s">
        <v>1575</v>
      </c>
      <c r="K632" s="2589" t="s">
        <v>1567</v>
      </c>
      <c r="L632" s="2589" t="s">
        <v>1571</v>
      </c>
      <c r="M632" s="2301">
        <v>0.05</v>
      </c>
      <c r="N632" s="2589" t="s">
        <v>1569</v>
      </c>
      <c r="O632" s="2590">
        <v>2269</v>
      </c>
      <c r="P632" s="2590">
        <v>2250</v>
      </c>
      <c r="Q632" s="2590">
        <v>0.9</v>
      </c>
      <c r="R632" s="2590">
        <v>0</v>
      </c>
      <c r="S632" s="2590">
        <v>18.3</v>
      </c>
      <c r="T632" s="2590">
        <v>0</v>
      </c>
      <c r="U632" s="1037">
        <v>835.24252000000001</v>
      </c>
    </row>
    <row r="633" spans="2:21" hidden="1" outlineLevel="1">
      <c r="B633" s="1050"/>
      <c r="C633" s="1050"/>
      <c r="D633" s="1051">
        <f t="shared" si="52"/>
        <v>10</v>
      </c>
      <c r="E633" s="1051" t="str">
        <f>IF(COUNTIF(E$547:E632,F633)&gt;0,"",F633)</f>
        <v/>
      </c>
      <c r="F633" s="1051" t="str">
        <f t="shared" si="53"/>
        <v>Gazole (B30), France continentale, Base Carbone</v>
      </c>
      <c r="G633" s="1055" t="str">
        <f t="shared" si="54"/>
        <v>Gazole (B30), France continentale, Base Carbone; kgCO2e/tep PCI, Amont</v>
      </c>
      <c r="I633" s="1100" t="s">
        <v>1591</v>
      </c>
      <c r="J633" s="2589" t="s">
        <v>1575</v>
      </c>
      <c r="K633" s="2589" t="s">
        <v>1567</v>
      </c>
      <c r="L633" s="2589" t="s">
        <v>1571</v>
      </c>
      <c r="M633" s="2301">
        <v>0.05</v>
      </c>
      <c r="N633" s="2589" t="s">
        <v>1570</v>
      </c>
      <c r="O633" s="2590">
        <v>916</v>
      </c>
      <c r="P633" s="2590">
        <v>736</v>
      </c>
      <c r="Q633" s="2590">
        <v>15.3</v>
      </c>
      <c r="R633" s="2590">
        <v>0</v>
      </c>
      <c r="S633" s="2590">
        <v>165</v>
      </c>
      <c r="T633" s="2590">
        <v>0</v>
      </c>
      <c r="U633" s="1037">
        <v>-835.24252000000001</v>
      </c>
    </row>
    <row r="634" spans="2:21" hidden="1" outlineLevel="1">
      <c r="B634" s="1050"/>
      <c r="C634" s="1050"/>
      <c r="D634" s="1051">
        <f t="shared" si="52"/>
        <v>10</v>
      </c>
      <c r="E634" s="1051" t="str">
        <f>IF(COUNTIF(E$547:E633,F634)&gt;0,"",F634)</f>
        <v/>
      </c>
      <c r="F634" s="1051" t="str">
        <f t="shared" si="53"/>
        <v>Gazole (B30), France continentale, Base Carbone</v>
      </c>
      <c r="G634" s="1055" t="str">
        <f t="shared" si="54"/>
        <v>Gazole (B30), France continentale, Base Carbone; kgCO2e/litre, Combustion</v>
      </c>
      <c r="I634" s="1100" t="s">
        <v>1591</v>
      </c>
      <c r="J634" s="2589" t="s">
        <v>1574</v>
      </c>
      <c r="K634" s="2589" t="s">
        <v>1567</v>
      </c>
      <c r="L634" s="2589" t="s">
        <v>1571</v>
      </c>
      <c r="M634" s="2301">
        <v>0.1</v>
      </c>
      <c r="N634" s="2589" t="s">
        <v>1569</v>
      </c>
      <c r="O634" s="2590">
        <v>1.88</v>
      </c>
      <c r="P634" s="2590">
        <v>1.86</v>
      </c>
      <c r="Q634" s="2590">
        <v>7.5000000000000002E-4</v>
      </c>
      <c r="R634" s="2590">
        <v>0</v>
      </c>
      <c r="S634" s="2590">
        <v>1.5100000000000001E-2</v>
      </c>
      <c r="T634" s="2590">
        <v>0</v>
      </c>
      <c r="U634" s="1037">
        <v>0.69391199999999997</v>
      </c>
    </row>
    <row r="635" spans="2:21" hidden="1" outlineLevel="1">
      <c r="B635" s="1050"/>
      <c r="C635" s="1050"/>
      <c r="D635" s="1051">
        <f t="shared" si="52"/>
        <v>10</v>
      </c>
      <c r="E635" s="1051" t="str">
        <f>IF(COUNTIF(E$547:E634,F635)&gt;0,"",F635)</f>
        <v/>
      </c>
      <c r="F635" s="1051" t="str">
        <f t="shared" si="53"/>
        <v>Gazole (B30), France continentale, Base Carbone</v>
      </c>
      <c r="G635" s="1055" t="str">
        <f t="shared" si="54"/>
        <v>Gazole (B30), France continentale, Base Carbone; kgCO2e/litre, Amont</v>
      </c>
      <c r="I635" s="1100" t="s">
        <v>1591</v>
      </c>
      <c r="J635" s="2589" t="s">
        <v>1574</v>
      </c>
      <c r="K635" s="2589" t="s">
        <v>1567</v>
      </c>
      <c r="L635" s="2589" t="s">
        <v>1571</v>
      </c>
      <c r="M635" s="2301">
        <v>0.1</v>
      </c>
      <c r="N635" s="2589" t="s">
        <v>1570</v>
      </c>
      <c r="O635" s="2590">
        <v>0.75800000000000001</v>
      </c>
      <c r="P635" s="2590">
        <v>0.60799999999999998</v>
      </c>
      <c r="Q635" s="2590">
        <v>1.2699999999999999E-2</v>
      </c>
      <c r="R635" s="2590">
        <v>0</v>
      </c>
      <c r="S635" s="2590">
        <v>0.13700000000000001</v>
      </c>
      <c r="T635" s="2590">
        <v>0</v>
      </c>
      <c r="U635" s="1037">
        <v>-0.69391199999999997</v>
      </c>
    </row>
    <row r="636" spans="2:21" hidden="1" outlineLevel="1">
      <c r="B636" s="1050"/>
      <c r="C636" s="1050"/>
      <c r="D636" s="1051">
        <f t="shared" si="52"/>
        <v>11</v>
      </c>
      <c r="E636" s="1051" t="str">
        <f>IF(COUNTIF(E$547:E635,F636)&gt;0,"",F636)</f>
        <v>Gazole routier (B7), France continentale, Base Carbone</v>
      </c>
      <c r="F636" s="1051" t="str">
        <f t="shared" si="53"/>
        <v>Gazole routier (B7), France continentale, Base Carbone</v>
      </c>
      <c r="G636" s="1055" t="str">
        <f t="shared" si="54"/>
        <v>Gazole routier (B7), France continentale, Base Carbone; kgCO2e/litre, Combustion</v>
      </c>
      <c r="I636" s="1100" t="s">
        <v>4806</v>
      </c>
      <c r="J636" s="2589" t="s">
        <v>1574</v>
      </c>
      <c r="K636" s="2589" t="s">
        <v>1567</v>
      </c>
      <c r="L636" s="2589" t="s">
        <v>1571</v>
      </c>
      <c r="M636" s="2301">
        <v>0.1</v>
      </c>
      <c r="N636" s="2589" t="s">
        <v>1569</v>
      </c>
      <c r="O636" s="2590">
        <v>2.4900000000000002</v>
      </c>
      <c r="P636" s="2590">
        <v>2.4700000000000002</v>
      </c>
      <c r="Q636" s="2590">
        <v>9.8999999999999999E-4</v>
      </c>
      <c r="R636" s="2590">
        <v>0</v>
      </c>
      <c r="S636" s="2590">
        <v>2.01E-2</v>
      </c>
      <c r="T636" s="2590">
        <v>0</v>
      </c>
      <c r="U636" s="1037">
        <v>0.15589900000000001</v>
      </c>
    </row>
    <row r="637" spans="2:21" hidden="1" outlineLevel="1">
      <c r="B637" s="1050"/>
      <c r="C637" s="1050"/>
      <c r="D637" s="1051">
        <f t="shared" si="52"/>
        <v>11</v>
      </c>
      <c r="E637" s="1051" t="str">
        <f>IF(COUNTIF(E$547:E636,F637)&gt;0,"",F637)</f>
        <v/>
      </c>
      <c r="F637" s="1051" t="str">
        <f t="shared" si="53"/>
        <v>Gazole routier (B7), France continentale, Base Carbone</v>
      </c>
      <c r="G637" s="1055" t="str">
        <f t="shared" si="54"/>
        <v>Gazole routier (B7), France continentale, Base Carbone; kgCO2e/litre, Amont</v>
      </c>
      <c r="I637" s="1100" t="s">
        <v>4806</v>
      </c>
      <c r="J637" s="2589" t="s">
        <v>1574</v>
      </c>
      <c r="K637" s="2589" t="s">
        <v>1567</v>
      </c>
      <c r="L637" s="2589" t="s">
        <v>1571</v>
      </c>
      <c r="M637" s="2301">
        <v>0.1</v>
      </c>
      <c r="N637" s="2589" t="s">
        <v>1570</v>
      </c>
      <c r="O637" s="2590">
        <v>0.60899999999999999</v>
      </c>
      <c r="P637" s="2590">
        <v>0.57099999999999995</v>
      </c>
      <c r="Q637" s="2590">
        <v>5.7000000000000002E-3</v>
      </c>
      <c r="R637" s="2590">
        <v>0</v>
      </c>
      <c r="S637" s="2590">
        <v>3.2099999999999997E-2</v>
      </c>
      <c r="T637" s="2590">
        <v>0</v>
      </c>
      <c r="U637" s="1037">
        <v>-0.15589900000000001</v>
      </c>
    </row>
    <row r="638" spans="2:21" hidden="1" outlineLevel="1">
      <c r="B638" s="1050"/>
      <c r="C638" s="1050"/>
      <c r="D638" s="1051">
        <f t="shared" si="52"/>
        <v>11</v>
      </c>
      <c r="E638" s="1051" t="str">
        <f>IF(COUNTIF(E$547:E637,F638)&gt;0,"",F638)</f>
        <v/>
      </c>
      <c r="F638" s="1051" t="str">
        <f t="shared" si="53"/>
        <v>Gazole routier (B7), France continentale, Base Carbone</v>
      </c>
      <c r="G638" s="1055" t="str">
        <f t="shared" si="54"/>
        <v>Gazole routier (B7), France continentale, Base Carbone; kgCO2e/GJ PCI, Combustion</v>
      </c>
      <c r="I638" s="1100" t="s">
        <v>4806</v>
      </c>
      <c r="J638" s="2589" t="s">
        <v>1566</v>
      </c>
      <c r="K638" s="2589" t="s">
        <v>1567</v>
      </c>
      <c r="L638" s="2589" t="s">
        <v>1571</v>
      </c>
      <c r="M638" s="2301">
        <v>0.05</v>
      </c>
      <c r="N638" s="2589" t="s">
        <v>1569</v>
      </c>
      <c r="O638" s="2590">
        <v>70.599999999999994</v>
      </c>
      <c r="P638" s="2590">
        <v>70</v>
      </c>
      <c r="Q638" s="2590">
        <v>2.8000000000000001E-2</v>
      </c>
      <c r="R638" s="2590">
        <v>0</v>
      </c>
      <c r="S638" s="2590">
        <v>0.56899999999999995</v>
      </c>
      <c r="T638" s="2590">
        <v>0</v>
      </c>
      <c r="U638" s="1037">
        <v>4.736745</v>
      </c>
    </row>
    <row r="639" spans="2:21" hidden="1" outlineLevel="1">
      <c r="B639" s="1050"/>
      <c r="C639" s="1050"/>
      <c r="D639" s="1051">
        <f t="shared" si="52"/>
        <v>11</v>
      </c>
      <c r="E639" s="1051" t="str">
        <f>IF(COUNTIF(E$547:E638,F639)&gt;0,"",F639)</f>
        <v/>
      </c>
      <c r="F639" s="1051" t="str">
        <f t="shared" si="53"/>
        <v>Gazole routier (B7), France continentale, Base Carbone</v>
      </c>
      <c r="G639" s="1055" t="str">
        <f t="shared" si="54"/>
        <v>Gazole routier (B7), France continentale, Base Carbone; kgCO2e/GJ PCI, Amont</v>
      </c>
      <c r="I639" s="1100" t="s">
        <v>4806</v>
      </c>
      <c r="J639" s="2589" t="s">
        <v>1566</v>
      </c>
      <c r="K639" s="2589" t="s">
        <v>1567</v>
      </c>
      <c r="L639" s="2589" t="s">
        <v>1571</v>
      </c>
      <c r="M639" s="2301">
        <v>0.05</v>
      </c>
      <c r="N639" s="2589" t="s">
        <v>1570</v>
      </c>
      <c r="O639" s="2590">
        <v>17.3</v>
      </c>
      <c r="P639" s="2590">
        <v>16.2</v>
      </c>
      <c r="Q639" s="2590">
        <v>0.161</v>
      </c>
      <c r="R639" s="2590">
        <v>0</v>
      </c>
      <c r="S639" s="2590">
        <v>0.90700000000000003</v>
      </c>
      <c r="T639" s="2590">
        <v>0</v>
      </c>
      <c r="U639" s="1037">
        <v>-4.736745</v>
      </c>
    </row>
    <row r="640" spans="2:21" hidden="1" outlineLevel="1">
      <c r="B640" s="1050"/>
      <c r="C640" s="1050"/>
      <c r="D640" s="1051">
        <f t="shared" si="52"/>
        <v>11</v>
      </c>
      <c r="E640" s="1051" t="str">
        <f>IF(COUNTIF(E$547:E639,F640)&gt;0,"",F640)</f>
        <v/>
      </c>
      <c r="F640" s="1051" t="str">
        <f t="shared" si="53"/>
        <v>Gazole routier (B7), France continentale, Base Carbone</v>
      </c>
      <c r="G640" s="1055" t="str">
        <f t="shared" si="54"/>
        <v>Gazole routier (B7), France continentale, Base Carbone; kgCO2e/tonne, Combustion</v>
      </c>
      <c r="I640" s="1100" t="s">
        <v>4806</v>
      </c>
      <c r="J640" s="2589" t="s">
        <v>1585</v>
      </c>
      <c r="K640" s="2589" t="s">
        <v>1567</v>
      </c>
      <c r="L640" s="2589" t="s">
        <v>1571</v>
      </c>
      <c r="M640" s="2301">
        <v>0.05</v>
      </c>
      <c r="N640" s="2589" t="s">
        <v>1569</v>
      </c>
      <c r="O640" s="2590">
        <v>3337</v>
      </c>
      <c r="P640" s="2590">
        <v>3309</v>
      </c>
      <c r="Q640" s="2590">
        <v>1.32</v>
      </c>
      <c r="R640" s="2590">
        <v>0</v>
      </c>
      <c r="S640" s="2590">
        <v>26.9</v>
      </c>
      <c r="T640" s="2590">
        <v>0</v>
      </c>
      <c r="U640" s="1037">
        <v>184.4958</v>
      </c>
    </row>
    <row r="641" spans="2:21" hidden="1" outlineLevel="1">
      <c r="B641" s="1050"/>
      <c r="C641" s="1050"/>
      <c r="D641" s="1051">
        <f t="shared" si="52"/>
        <v>11</v>
      </c>
      <c r="E641" s="1051" t="str">
        <f>IF(COUNTIF(E$547:E640,F641)&gt;0,"",F641)</f>
        <v/>
      </c>
      <c r="F641" s="1051" t="str">
        <f t="shared" si="53"/>
        <v>Gazole routier (B7), France continentale, Base Carbone</v>
      </c>
      <c r="G641" s="1055" t="str">
        <f t="shared" si="54"/>
        <v>Gazole routier (B7), France continentale, Base Carbone; kgCO2e/tonne, Amont</v>
      </c>
      <c r="I641" s="1100" t="s">
        <v>4806</v>
      </c>
      <c r="J641" s="2589" t="s">
        <v>1585</v>
      </c>
      <c r="K641" s="2589" t="s">
        <v>1567</v>
      </c>
      <c r="L641" s="2589" t="s">
        <v>1571</v>
      </c>
      <c r="M641" s="2301">
        <v>0.05</v>
      </c>
      <c r="N641" s="2589" t="s">
        <v>1570</v>
      </c>
      <c r="O641" s="2590">
        <v>816</v>
      </c>
      <c r="P641" s="2590">
        <v>765</v>
      </c>
      <c r="Q641" s="2590">
        <v>7.62</v>
      </c>
      <c r="R641" s="2590">
        <v>0</v>
      </c>
      <c r="S641" s="2590">
        <v>42.9</v>
      </c>
      <c r="T641" s="2590">
        <v>0</v>
      </c>
      <c r="U641" s="1037">
        <v>-184.4958</v>
      </c>
    </row>
    <row r="642" spans="2:21" hidden="1" outlineLevel="1">
      <c r="B642" s="1050"/>
      <c r="C642" s="1050"/>
      <c r="D642" s="1051">
        <f t="shared" si="52"/>
        <v>11</v>
      </c>
      <c r="E642" s="1051" t="str">
        <f>IF(COUNTIF(E$547:E641,F642)&gt;0,"",F642)</f>
        <v/>
      </c>
      <c r="F642" s="1051" t="str">
        <f t="shared" si="53"/>
        <v>Gazole routier (B7), France continentale, Base Carbone</v>
      </c>
      <c r="G642" s="1055" t="str">
        <f t="shared" si="54"/>
        <v>Gazole routier (B7), France continentale, Base Carbone; kgCO2e/kWh PCI, Combustion</v>
      </c>
      <c r="I642" s="1100" t="s">
        <v>4806</v>
      </c>
      <c r="J642" s="2589" t="s">
        <v>1573</v>
      </c>
      <c r="K642" s="2589" t="s">
        <v>1567</v>
      </c>
      <c r="L642" s="2589" t="s">
        <v>1571</v>
      </c>
      <c r="M642" s="2301">
        <v>0.05</v>
      </c>
      <c r="N642" s="2589" t="s">
        <v>1569</v>
      </c>
      <c r="O642" s="2590">
        <v>0.254</v>
      </c>
      <c r="P642" s="2590">
        <v>0.252</v>
      </c>
      <c r="Q642" s="2590">
        <v>9.0000000000000006E-5</v>
      </c>
      <c r="R642" s="2590">
        <v>0</v>
      </c>
      <c r="S642" s="2590">
        <v>2.1199999999999999E-3</v>
      </c>
      <c r="T642" s="2590">
        <v>0</v>
      </c>
      <c r="U642" s="1037">
        <v>1.7052000000000001E-2</v>
      </c>
    </row>
    <row r="643" spans="2:21" hidden="1" outlineLevel="1">
      <c r="B643" s="1050"/>
      <c r="C643" s="1050"/>
      <c r="D643" s="1051">
        <f t="shared" si="52"/>
        <v>11</v>
      </c>
      <c r="E643" s="1051" t="str">
        <f>IF(COUNTIF(E$547:E642,F643)&gt;0,"",F643)</f>
        <v/>
      </c>
      <c r="F643" s="1051" t="str">
        <f t="shared" si="53"/>
        <v>Gazole routier (B7), France continentale, Base Carbone</v>
      </c>
      <c r="G643" s="1055" t="str">
        <f t="shared" si="54"/>
        <v>Gazole routier (B7), France continentale, Base Carbone; kgCO2e/kWh PCI, Amont</v>
      </c>
      <c r="I643" s="1100" t="s">
        <v>4806</v>
      </c>
      <c r="J643" s="2589" t="s">
        <v>1573</v>
      </c>
      <c r="K643" s="2589" t="s">
        <v>1567</v>
      </c>
      <c r="L643" s="2589" t="s">
        <v>1571</v>
      </c>
      <c r="M643" s="2301">
        <v>0.05</v>
      </c>
      <c r="N643" s="2589" t="s">
        <v>1570</v>
      </c>
      <c r="O643" s="2590">
        <v>6.4600000000000005E-2</v>
      </c>
      <c r="P643" s="2590">
        <v>5.8000000000000003E-2</v>
      </c>
      <c r="Q643" s="2590">
        <v>3.4499999999999999E-3</v>
      </c>
      <c r="R643" s="2590">
        <v>0</v>
      </c>
      <c r="S643" s="2590">
        <v>3.1800000000000001E-3</v>
      </c>
      <c r="T643" s="2590">
        <v>0</v>
      </c>
      <c r="U643" s="1037">
        <v>-1.7052000000000001E-2</v>
      </c>
    </row>
    <row r="644" spans="2:21" hidden="1" outlineLevel="1">
      <c r="B644" s="1050"/>
      <c r="C644" s="1050"/>
      <c r="D644" s="1051">
        <f t="shared" si="52"/>
        <v>11</v>
      </c>
      <c r="E644" s="1051" t="str">
        <f>IF(COUNTIF(E$547:E643,F644)&gt;0,"",F644)</f>
        <v/>
      </c>
      <c r="F644" s="1051" t="str">
        <f t="shared" si="53"/>
        <v>Gazole routier (B7), France continentale, Base Carbone</v>
      </c>
      <c r="G644" s="1055" t="str">
        <f t="shared" si="54"/>
        <v>Gazole routier (B7), France continentale, Base Carbone; kgCO2e/tep PCI, Combustion</v>
      </c>
      <c r="I644" s="1100" t="s">
        <v>4806</v>
      </c>
      <c r="J644" s="2589" t="s">
        <v>1575</v>
      </c>
      <c r="K644" s="2589" t="s">
        <v>1567</v>
      </c>
      <c r="L644" s="2589" t="s">
        <v>1571</v>
      </c>
      <c r="M644" s="2301">
        <v>0.05</v>
      </c>
      <c r="N644" s="2589" t="s">
        <v>1569</v>
      </c>
      <c r="O644" s="2590">
        <v>2968</v>
      </c>
      <c r="P644" s="2590">
        <v>2943</v>
      </c>
      <c r="Q644" s="2590">
        <v>1.17</v>
      </c>
      <c r="R644" s="2590">
        <v>0</v>
      </c>
      <c r="S644" s="2590">
        <v>23.9</v>
      </c>
      <c r="T644" s="2590">
        <v>0</v>
      </c>
      <c r="U644" s="1037">
        <v>191.8484</v>
      </c>
    </row>
    <row r="645" spans="2:21" hidden="1" outlineLevel="1">
      <c r="B645" s="1050"/>
      <c r="C645" s="1050"/>
      <c r="D645" s="1051">
        <f t="shared" si="52"/>
        <v>11</v>
      </c>
      <c r="E645" s="1051" t="str">
        <f>IF(COUNTIF(E$547:E644,F645)&gt;0,"",F645)</f>
        <v/>
      </c>
      <c r="F645" s="1051" t="str">
        <f t="shared" si="53"/>
        <v>Gazole routier (B7), France continentale, Base Carbone</v>
      </c>
      <c r="G645" s="1055" t="str">
        <f t="shared" si="54"/>
        <v>Gazole routier (B7), France continentale, Base Carbone; kgCO2e/tep PCI, Amont</v>
      </c>
      <c r="I645" s="1100" t="s">
        <v>4806</v>
      </c>
      <c r="J645" s="2589" t="s">
        <v>1575</v>
      </c>
      <c r="K645" s="2589" t="s">
        <v>1567</v>
      </c>
      <c r="L645" s="2589" t="s">
        <v>1571</v>
      </c>
      <c r="M645" s="2301">
        <v>0.05</v>
      </c>
      <c r="N645" s="2589" t="s">
        <v>1570</v>
      </c>
      <c r="O645" s="2590">
        <v>725</v>
      </c>
      <c r="P645" s="2590">
        <v>680</v>
      </c>
      <c r="Q645" s="2590">
        <v>6.75</v>
      </c>
      <c r="R645" s="2590">
        <v>0</v>
      </c>
      <c r="S645" s="2590">
        <v>38</v>
      </c>
      <c r="T645" s="2590">
        <v>0</v>
      </c>
      <c r="U645" s="1037">
        <v>-191.8484</v>
      </c>
    </row>
    <row r="646" spans="2:21" hidden="1" outlineLevel="1">
      <c r="B646" s="1050"/>
      <c r="C646" s="1050"/>
      <c r="D646" s="1051">
        <f t="shared" si="52"/>
        <v>12</v>
      </c>
      <c r="E646" s="1051" t="str">
        <f>IF(COUNTIF(E$547:E645,F646)&gt;0,"",F646)</f>
        <v>Gazole routier, Polynésie Française, Base Carbone</v>
      </c>
      <c r="F646" s="1051" t="str">
        <f t="shared" si="53"/>
        <v>Gazole routier, Polynésie Française, Base Carbone</v>
      </c>
      <c r="G646" s="1055" t="str">
        <f t="shared" si="54"/>
        <v>Gazole routier, Polynésie Française, Base Carbone; kgCO2e/kg, Combustion</v>
      </c>
      <c r="I646" s="1100" t="s">
        <v>1593</v>
      </c>
      <c r="J646" s="1979" t="s">
        <v>1572</v>
      </c>
      <c r="K646" s="2352" t="s">
        <v>1567</v>
      </c>
      <c r="L646" s="2352" t="s">
        <v>637</v>
      </c>
      <c r="M646" s="2355">
        <v>0.05</v>
      </c>
      <c r="N646" s="2352" t="s">
        <v>1569</v>
      </c>
      <c r="O646" s="2353">
        <v>3.15</v>
      </c>
      <c r="P646" s="2353">
        <f>O646</f>
        <v>3.15</v>
      </c>
      <c r="Q646" s="2353">
        <v>0</v>
      </c>
      <c r="R646" s="2353">
        <v>0</v>
      </c>
      <c r="S646" s="2353">
        <v>0</v>
      </c>
      <c r="T646" s="2353">
        <v>0</v>
      </c>
      <c r="U646" s="2057">
        <v>0</v>
      </c>
    </row>
    <row r="647" spans="2:21" hidden="1" outlineLevel="1">
      <c r="B647" s="1050"/>
      <c r="C647" s="1050"/>
      <c r="D647" s="1051">
        <f t="shared" si="52"/>
        <v>12</v>
      </c>
      <c r="E647" s="1051" t="str">
        <f>IF(COUNTIF(E$547:E646,F647)&gt;0,"",F647)</f>
        <v/>
      </c>
      <c r="F647" s="1051" t="str">
        <f t="shared" si="53"/>
        <v>Gazole routier, Polynésie Française, Base Carbone</v>
      </c>
      <c r="G647" s="1055" t="str">
        <f t="shared" si="54"/>
        <v>Gazole routier, Polynésie Française, Base Carbone; kgCO2e/kg, Amont</v>
      </c>
      <c r="I647" s="1100" t="s">
        <v>1593</v>
      </c>
      <c r="J647" s="1979" t="s">
        <v>1572</v>
      </c>
      <c r="K647" s="2352" t="s">
        <v>1567</v>
      </c>
      <c r="L647" s="2352" t="s">
        <v>637</v>
      </c>
      <c r="M647" s="2355">
        <v>0.05</v>
      </c>
      <c r="N647" s="2352" t="s">
        <v>1570</v>
      </c>
      <c r="O647" s="2353">
        <v>0.5</v>
      </c>
      <c r="P647" s="2353">
        <f t="shared" ref="P647:P677" si="55">O647</f>
        <v>0.5</v>
      </c>
      <c r="Q647" s="2353">
        <v>0</v>
      </c>
      <c r="R647" s="2353">
        <v>0</v>
      </c>
      <c r="S647" s="2353">
        <v>0</v>
      </c>
      <c r="T647" s="2353">
        <v>0</v>
      </c>
      <c r="U647" s="2057">
        <v>0</v>
      </c>
    </row>
    <row r="648" spans="2:21" hidden="1" outlineLevel="1">
      <c r="B648" s="1050"/>
      <c r="C648" s="1050"/>
      <c r="D648" s="1051">
        <f t="shared" si="52"/>
        <v>12</v>
      </c>
      <c r="E648" s="1051" t="str">
        <f>IF(COUNTIF(E$547:E647,F648)&gt;0,"",F648)</f>
        <v/>
      </c>
      <c r="F648" s="1051" t="str">
        <f t="shared" si="53"/>
        <v>Gazole routier, Polynésie Française, Base Carbone</v>
      </c>
      <c r="G648" s="1055" t="str">
        <f t="shared" si="54"/>
        <v>Gazole routier, Polynésie Française, Base Carbone; kgCO2e/kWh PCI, Combustion</v>
      </c>
      <c r="I648" s="1100" t="s">
        <v>1593</v>
      </c>
      <c r="J648" s="2352" t="s">
        <v>1573</v>
      </c>
      <c r="K648" s="2352" t="s">
        <v>1567</v>
      </c>
      <c r="L648" s="2352" t="s">
        <v>637</v>
      </c>
      <c r="M648" s="2355">
        <v>0.05</v>
      </c>
      <c r="N648" s="2352" t="s">
        <v>1569</v>
      </c>
      <c r="O648" s="2354">
        <v>0.27</v>
      </c>
      <c r="P648" s="2353">
        <f t="shared" si="55"/>
        <v>0.27</v>
      </c>
      <c r="Q648" s="2353">
        <v>0</v>
      </c>
      <c r="R648" s="2353">
        <v>0</v>
      </c>
      <c r="S648" s="2353">
        <v>0</v>
      </c>
      <c r="T648" s="2353">
        <v>0</v>
      </c>
      <c r="U648" s="2057">
        <v>0</v>
      </c>
    </row>
    <row r="649" spans="2:21" hidden="1" outlineLevel="1">
      <c r="B649" s="1050"/>
      <c r="C649" s="1050"/>
      <c r="D649" s="1051">
        <f t="shared" si="52"/>
        <v>12</v>
      </c>
      <c r="E649" s="1051" t="str">
        <f>IF(COUNTIF(E$547:E648,F649)&gt;0,"",F649)</f>
        <v/>
      </c>
      <c r="F649" s="1051" t="str">
        <f t="shared" si="53"/>
        <v>Gazole routier, Polynésie Française, Base Carbone</v>
      </c>
      <c r="G649" s="1055" t="str">
        <f t="shared" si="54"/>
        <v>Gazole routier, Polynésie Française, Base Carbone; kgCO2e/kWh PCI, Amont</v>
      </c>
      <c r="I649" s="1100" t="s">
        <v>1593</v>
      </c>
      <c r="J649" s="2352" t="s">
        <v>1573</v>
      </c>
      <c r="K649" s="2352" t="s">
        <v>1567</v>
      </c>
      <c r="L649" s="2352" t="s">
        <v>637</v>
      </c>
      <c r="M649" s="2355">
        <v>0.05</v>
      </c>
      <c r="N649" s="2352" t="s">
        <v>1570</v>
      </c>
      <c r="O649" s="2354">
        <v>4.2900000000000001E-2</v>
      </c>
      <c r="P649" s="2353">
        <f t="shared" si="55"/>
        <v>4.2900000000000001E-2</v>
      </c>
      <c r="Q649" s="2353">
        <v>0</v>
      </c>
      <c r="R649" s="2353">
        <v>0</v>
      </c>
      <c r="S649" s="2353">
        <v>0</v>
      </c>
      <c r="T649" s="2353">
        <v>0</v>
      </c>
      <c r="U649" s="2057">
        <v>0</v>
      </c>
    </row>
    <row r="650" spans="2:21" hidden="1" outlineLevel="1">
      <c r="B650" s="1050"/>
      <c r="C650" s="1050"/>
      <c r="D650" s="1051">
        <f t="shared" si="52"/>
        <v>12</v>
      </c>
      <c r="E650" s="1051" t="str">
        <f>IF(COUNTIF(E$547:E649,F650)&gt;0,"",F650)</f>
        <v/>
      </c>
      <c r="F650" s="1051" t="str">
        <f t="shared" si="53"/>
        <v>Gazole routier, Polynésie Française, Base Carbone</v>
      </c>
      <c r="G650" s="1055" t="str">
        <f t="shared" si="54"/>
        <v>Gazole routier, Polynésie Française, Base Carbone; kgCO2e/tep PCI, Combustion</v>
      </c>
      <c r="I650" s="1100" t="s">
        <v>1593</v>
      </c>
      <c r="J650" s="2352" t="s">
        <v>1575</v>
      </c>
      <c r="K650" s="2352" t="s">
        <v>1567</v>
      </c>
      <c r="L650" s="2352" t="s">
        <v>637</v>
      </c>
      <c r="M650" s="2355">
        <v>0.05</v>
      </c>
      <c r="N650" s="2352" t="s">
        <v>1569</v>
      </c>
      <c r="O650" s="2354">
        <v>3140</v>
      </c>
      <c r="P650" s="2353">
        <f t="shared" si="55"/>
        <v>3140</v>
      </c>
      <c r="Q650" s="2353">
        <v>0</v>
      </c>
      <c r="R650" s="2353">
        <v>0</v>
      </c>
      <c r="S650" s="2353">
        <v>0</v>
      </c>
      <c r="T650" s="2353">
        <v>0</v>
      </c>
      <c r="U650" s="2057">
        <v>0</v>
      </c>
    </row>
    <row r="651" spans="2:21" hidden="1" outlineLevel="1">
      <c r="B651" s="1050"/>
      <c r="C651" s="1050"/>
      <c r="D651" s="1051">
        <f t="shared" si="52"/>
        <v>12</v>
      </c>
      <c r="E651" s="1051" t="str">
        <f>IF(COUNTIF(E$547:E650,F651)&gt;0,"",F651)</f>
        <v/>
      </c>
      <c r="F651" s="1051" t="str">
        <f t="shared" si="53"/>
        <v>Gazole routier, Polynésie Française, Base Carbone</v>
      </c>
      <c r="G651" s="1055" t="str">
        <f t="shared" si="54"/>
        <v>Gazole routier, Polynésie Française, Base Carbone; kgCO2e/tep PCI, Amont</v>
      </c>
      <c r="I651" s="1100" t="s">
        <v>1593</v>
      </c>
      <c r="J651" s="2352" t="s">
        <v>1575</v>
      </c>
      <c r="K651" s="2352" t="s">
        <v>1567</v>
      </c>
      <c r="L651" s="2352" t="s">
        <v>637</v>
      </c>
      <c r="M651" s="2355">
        <v>0.05</v>
      </c>
      <c r="N651" s="2352" t="s">
        <v>1570</v>
      </c>
      <c r="O651" s="2354">
        <v>498</v>
      </c>
      <c r="P651" s="2353">
        <f t="shared" si="55"/>
        <v>498</v>
      </c>
      <c r="Q651" s="2353">
        <v>0</v>
      </c>
      <c r="R651" s="2353">
        <v>0</v>
      </c>
      <c r="S651" s="2353">
        <v>0</v>
      </c>
      <c r="T651" s="2353">
        <v>0</v>
      </c>
      <c r="U651" s="2057">
        <v>0</v>
      </c>
    </row>
    <row r="652" spans="2:21" hidden="1" outlineLevel="1">
      <c r="B652" s="1050"/>
      <c r="C652" s="1050"/>
      <c r="D652" s="1051">
        <f t="shared" si="52"/>
        <v>12</v>
      </c>
      <c r="E652" s="1051" t="str">
        <f>IF(COUNTIF(E$547:E651,F652)&gt;0,"",F652)</f>
        <v/>
      </c>
      <c r="F652" s="1051" t="str">
        <f t="shared" si="53"/>
        <v>Gazole routier, Polynésie Française, Base Carbone</v>
      </c>
      <c r="G652" s="1055" t="str">
        <f t="shared" si="54"/>
        <v>Gazole routier, Polynésie Française, Base Carbone; kgCO2e/litre, Combustion</v>
      </c>
      <c r="I652" s="1100" t="s">
        <v>1593</v>
      </c>
      <c r="J652" s="2352" t="s">
        <v>1574</v>
      </c>
      <c r="K652" s="2352" t="s">
        <v>1567</v>
      </c>
      <c r="L652" s="2352" t="s">
        <v>637</v>
      </c>
      <c r="M652" s="2355">
        <v>0.1</v>
      </c>
      <c r="N652" s="2352" t="s">
        <v>1569</v>
      </c>
      <c r="O652" s="2354">
        <v>2.66</v>
      </c>
      <c r="P652" s="2353">
        <f t="shared" si="55"/>
        <v>2.66</v>
      </c>
      <c r="Q652" s="2353">
        <v>0</v>
      </c>
      <c r="R652" s="2353">
        <v>0</v>
      </c>
      <c r="S652" s="2353">
        <v>0</v>
      </c>
      <c r="T652" s="2353">
        <v>0</v>
      </c>
      <c r="U652" s="2057">
        <v>0</v>
      </c>
    </row>
    <row r="653" spans="2:21" hidden="1" outlineLevel="1">
      <c r="B653" s="1050"/>
      <c r="C653" s="1050"/>
      <c r="D653" s="1051">
        <f t="shared" si="52"/>
        <v>12</v>
      </c>
      <c r="E653" s="1051" t="str">
        <f>IF(COUNTIF(E$547:E652,F653)&gt;0,"",F653)</f>
        <v/>
      </c>
      <c r="F653" s="1051" t="str">
        <f t="shared" si="53"/>
        <v>Gazole routier, Polynésie Française, Base Carbone</v>
      </c>
      <c r="G653" s="1055" t="str">
        <f t="shared" si="54"/>
        <v>Gazole routier, Polynésie Française, Base Carbone; kgCO2e/litre, Amont</v>
      </c>
      <c r="I653" s="1100" t="s">
        <v>1593</v>
      </c>
      <c r="J653" s="2352" t="s">
        <v>1574</v>
      </c>
      <c r="K653" s="2352" t="s">
        <v>1567</v>
      </c>
      <c r="L653" s="2352" t="s">
        <v>637</v>
      </c>
      <c r="M653" s="2355">
        <v>0.1</v>
      </c>
      <c r="N653" s="2352" t="s">
        <v>1570</v>
      </c>
      <c r="O653" s="2354">
        <v>0.42299999999999999</v>
      </c>
      <c r="P653" s="2353">
        <f t="shared" si="55"/>
        <v>0.42299999999999999</v>
      </c>
      <c r="Q653" s="2353">
        <v>0</v>
      </c>
      <c r="R653" s="2353">
        <v>0</v>
      </c>
      <c r="S653" s="2353">
        <v>0</v>
      </c>
      <c r="T653" s="2353">
        <v>0</v>
      </c>
      <c r="U653" s="2057">
        <v>0</v>
      </c>
    </row>
    <row r="654" spans="2:21" hidden="1" outlineLevel="1">
      <c r="B654" s="1050"/>
      <c r="C654" s="1050"/>
      <c r="D654" s="1051">
        <f t="shared" si="52"/>
        <v>13</v>
      </c>
      <c r="E654" s="1051" t="str">
        <f>IF(COUNTIF(E$547:E653,F654)&gt;0,"",F654)</f>
        <v>Gazole routier, Réunion, Base Carbone</v>
      </c>
      <c r="F654" s="1051" t="str">
        <f t="shared" si="53"/>
        <v>Gazole routier, Réunion, Base Carbone</v>
      </c>
      <c r="G654" s="1055" t="str">
        <f t="shared" si="54"/>
        <v>Gazole routier, Réunion, Base Carbone; kgCO2e/kg, Combustion</v>
      </c>
      <c r="I654" s="1100" t="s">
        <v>1593</v>
      </c>
      <c r="J654" s="1979" t="s">
        <v>1572</v>
      </c>
      <c r="K654" s="2352" t="s">
        <v>1567</v>
      </c>
      <c r="L654" s="2352" t="s">
        <v>785</v>
      </c>
      <c r="M654" s="2355">
        <v>0.05</v>
      </c>
      <c r="N654" s="2352" t="s">
        <v>1569</v>
      </c>
      <c r="O654" s="2353">
        <v>3.15</v>
      </c>
      <c r="P654" s="2353">
        <f t="shared" si="55"/>
        <v>3.15</v>
      </c>
      <c r="Q654" s="2353">
        <v>0</v>
      </c>
      <c r="R654" s="2353">
        <v>0</v>
      </c>
      <c r="S654" s="2353">
        <v>0</v>
      </c>
      <c r="T654" s="2353">
        <v>0</v>
      </c>
      <c r="U654" s="2057">
        <v>0</v>
      </c>
    </row>
    <row r="655" spans="2:21" hidden="1" outlineLevel="1">
      <c r="B655" s="1050"/>
      <c r="C655" s="1050"/>
      <c r="D655" s="1051">
        <f t="shared" si="52"/>
        <v>13</v>
      </c>
      <c r="E655" s="1051" t="str">
        <f>IF(COUNTIF(E$547:E654,F655)&gt;0,"",F655)</f>
        <v/>
      </c>
      <c r="F655" s="1051" t="str">
        <f t="shared" si="53"/>
        <v>Gazole routier, Réunion, Base Carbone</v>
      </c>
      <c r="G655" s="1055" t="str">
        <f t="shared" si="54"/>
        <v>Gazole routier, Réunion, Base Carbone; kgCO2e/kg, Amont</v>
      </c>
      <c r="I655" s="1100" t="s">
        <v>1593</v>
      </c>
      <c r="J655" s="1979" t="s">
        <v>1572</v>
      </c>
      <c r="K655" s="2352" t="s">
        <v>1567</v>
      </c>
      <c r="L655" s="2352" t="s">
        <v>785</v>
      </c>
      <c r="M655" s="2355">
        <v>0.05</v>
      </c>
      <c r="N655" s="2352" t="s">
        <v>1570</v>
      </c>
      <c r="O655" s="2353">
        <v>0.432</v>
      </c>
      <c r="P655" s="2353">
        <f t="shared" si="55"/>
        <v>0.432</v>
      </c>
      <c r="Q655" s="2353">
        <v>0</v>
      </c>
      <c r="R655" s="2353">
        <v>0</v>
      </c>
      <c r="S655" s="2353">
        <v>0</v>
      </c>
      <c r="T655" s="2353">
        <v>0</v>
      </c>
      <c r="U655" s="2057">
        <v>0</v>
      </c>
    </row>
    <row r="656" spans="2:21" hidden="1" outlineLevel="1">
      <c r="B656" s="1050"/>
      <c r="C656" s="1050"/>
      <c r="D656" s="1051">
        <f t="shared" si="52"/>
        <v>13</v>
      </c>
      <c r="E656" s="1051" t="str">
        <f>IF(COUNTIF(E$547:E655,F656)&gt;0,"",F656)</f>
        <v/>
      </c>
      <c r="F656" s="1051" t="str">
        <f t="shared" si="53"/>
        <v>Gazole routier, Réunion, Base Carbone</v>
      </c>
      <c r="G656" s="1055" t="str">
        <f t="shared" si="54"/>
        <v>Gazole routier, Réunion, Base Carbone; kgCO2e/kWh PCI, Combustion</v>
      </c>
      <c r="I656" s="1100" t="s">
        <v>1593</v>
      </c>
      <c r="J656" s="2352" t="s">
        <v>1573</v>
      </c>
      <c r="K656" s="2352" t="s">
        <v>1567</v>
      </c>
      <c r="L656" s="2352" t="s">
        <v>785</v>
      </c>
      <c r="M656" s="2355">
        <v>0.05</v>
      </c>
      <c r="N656" s="2352" t="s">
        <v>1569</v>
      </c>
      <c r="O656" s="2354">
        <v>0.27100000000000002</v>
      </c>
      <c r="P656" s="2353">
        <f t="shared" si="55"/>
        <v>0.27100000000000002</v>
      </c>
      <c r="Q656" s="2353">
        <v>0</v>
      </c>
      <c r="R656" s="2353">
        <v>0</v>
      </c>
      <c r="S656" s="2353">
        <v>0</v>
      </c>
      <c r="T656" s="2353">
        <v>0</v>
      </c>
      <c r="U656" s="2057">
        <v>0</v>
      </c>
    </row>
    <row r="657" spans="2:21" hidden="1" outlineLevel="1">
      <c r="B657" s="1050"/>
      <c r="C657" s="1050"/>
      <c r="D657" s="1051">
        <f t="shared" si="52"/>
        <v>13</v>
      </c>
      <c r="E657" s="1051" t="str">
        <f>IF(COUNTIF(E$547:E656,F657)&gt;0,"",F657)</f>
        <v/>
      </c>
      <c r="F657" s="1051" t="str">
        <f t="shared" si="53"/>
        <v>Gazole routier, Réunion, Base Carbone</v>
      </c>
      <c r="G657" s="1055" t="str">
        <f t="shared" si="54"/>
        <v>Gazole routier, Réunion, Base Carbone; kgCO2e/kWh PCI, Amont</v>
      </c>
      <c r="I657" s="1100" t="s">
        <v>1593</v>
      </c>
      <c r="J657" s="2352" t="s">
        <v>1573</v>
      </c>
      <c r="K657" s="2352" t="s">
        <v>1567</v>
      </c>
      <c r="L657" s="2352" t="s">
        <v>785</v>
      </c>
      <c r="M657" s="2355">
        <v>0.05</v>
      </c>
      <c r="N657" s="2352" t="s">
        <v>1570</v>
      </c>
      <c r="O657" s="2354">
        <v>3.6999999999999998E-2</v>
      </c>
      <c r="P657" s="2353">
        <f t="shared" si="55"/>
        <v>3.6999999999999998E-2</v>
      </c>
      <c r="Q657" s="2353">
        <v>0</v>
      </c>
      <c r="R657" s="2353">
        <v>0</v>
      </c>
      <c r="S657" s="2353">
        <v>0</v>
      </c>
      <c r="T657" s="2353">
        <v>0</v>
      </c>
      <c r="U657" s="2057">
        <v>0</v>
      </c>
    </row>
    <row r="658" spans="2:21" hidden="1" outlineLevel="1">
      <c r="B658" s="1050"/>
      <c r="C658" s="1050"/>
      <c r="D658" s="1051">
        <f t="shared" si="52"/>
        <v>13</v>
      </c>
      <c r="E658" s="1051" t="str">
        <f>IF(COUNTIF(E$547:E657,F658)&gt;0,"",F658)</f>
        <v/>
      </c>
      <c r="F658" s="1051" t="str">
        <f t="shared" si="53"/>
        <v>Gazole routier, Réunion, Base Carbone</v>
      </c>
      <c r="G658" s="1055" t="str">
        <f t="shared" si="54"/>
        <v>Gazole routier, Réunion, Base Carbone; kgCO2e/tep PCI, Combustion</v>
      </c>
      <c r="I658" s="1100" t="s">
        <v>1593</v>
      </c>
      <c r="J658" s="2352" t="s">
        <v>1575</v>
      </c>
      <c r="K658" s="2352" t="s">
        <v>1567</v>
      </c>
      <c r="L658" s="2352" t="s">
        <v>785</v>
      </c>
      <c r="M658" s="2355">
        <v>0.05</v>
      </c>
      <c r="N658" s="2352" t="s">
        <v>1569</v>
      </c>
      <c r="O658" s="2354">
        <v>3150</v>
      </c>
      <c r="P658" s="2353">
        <f t="shared" si="55"/>
        <v>3150</v>
      </c>
      <c r="Q658" s="2353">
        <v>0</v>
      </c>
      <c r="R658" s="2353">
        <v>0</v>
      </c>
      <c r="S658" s="2353">
        <v>0</v>
      </c>
      <c r="T658" s="2353">
        <v>0</v>
      </c>
      <c r="U658" s="2057">
        <v>0</v>
      </c>
    </row>
    <row r="659" spans="2:21" hidden="1" outlineLevel="1">
      <c r="B659" s="1050"/>
      <c r="C659" s="1050"/>
      <c r="D659" s="1051">
        <f t="shared" si="52"/>
        <v>13</v>
      </c>
      <c r="E659" s="1051" t="str">
        <f>IF(COUNTIF(E$547:E658,F659)&gt;0,"",F659)</f>
        <v/>
      </c>
      <c r="F659" s="1051" t="str">
        <f t="shared" si="53"/>
        <v>Gazole routier, Réunion, Base Carbone</v>
      </c>
      <c r="G659" s="1055" t="str">
        <f t="shared" si="54"/>
        <v>Gazole routier, Réunion, Base Carbone; kgCO2e/tep PCI, Amont</v>
      </c>
      <c r="I659" s="1100" t="s">
        <v>1593</v>
      </c>
      <c r="J659" s="2352" t="s">
        <v>1575</v>
      </c>
      <c r="K659" s="2352" t="s">
        <v>1567</v>
      </c>
      <c r="L659" s="2352" t="s">
        <v>785</v>
      </c>
      <c r="M659" s="2355">
        <v>0.05</v>
      </c>
      <c r="N659" s="2352" t="s">
        <v>1570</v>
      </c>
      <c r="O659" s="2354">
        <v>432</v>
      </c>
      <c r="P659" s="2353">
        <f t="shared" si="55"/>
        <v>432</v>
      </c>
      <c r="Q659" s="2353">
        <v>0</v>
      </c>
      <c r="R659" s="2353">
        <v>0</v>
      </c>
      <c r="S659" s="2353">
        <v>0</v>
      </c>
      <c r="T659" s="2353">
        <v>0</v>
      </c>
      <c r="U659" s="2057">
        <v>0</v>
      </c>
    </row>
    <row r="660" spans="2:21" hidden="1" outlineLevel="1">
      <c r="B660" s="1050"/>
      <c r="C660" s="1050"/>
      <c r="D660" s="1051">
        <f t="shared" si="52"/>
        <v>13</v>
      </c>
      <c r="E660" s="1051" t="str">
        <f>IF(COUNTIF(E$547:E659,F660)&gt;0,"",F660)</f>
        <v/>
      </c>
      <c r="F660" s="1051" t="str">
        <f t="shared" si="53"/>
        <v>Gazole routier, Réunion, Base Carbone</v>
      </c>
      <c r="G660" s="1055" t="str">
        <f t="shared" si="54"/>
        <v>Gazole routier, Réunion, Base Carbone; kgCO2e/litre, Combustion</v>
      </c>
      <c r="I660" s="1100" t="s">
        <v>1593</v>
      </c>
      <c r="J660" s="2352" t="s">
        <v>1574</v>
      </c>
      <c r="K660" s="2352" t="s">
        <v>1567</v>
      </c>
      <c r="L660" s="2352" t="s">
        <v>785</v>
      </c>
      <c r="M660" s="2355">
        <v>0.1</v>
      </c>
      <c r="N660" s="2352" t="s">
        <v>1569</v>
      </c>
      <c r="O660" s="2354">
        <v>2.66</v>
      </c>
      <c r="P660" s="2353">
        <f t="shared" si="55"/>
        <v>2.66</v>
      </c>
      <c r="Q660" s="2353">
        <v>0</v>
      </c>
      <c r="R660" s="2353">
        <v>0</v>
      </c>
      <c r="S660" s="2353">
        <v>0</v>
      </c>
      <c r="T660" s="2353">
        <v>0</v>
      </c>
      <c r="U660" s="2057">
        <v>0</v>
      </c>
    </row>
    <row r="661" spans="2:21" hidden="1" outlineLevel="1">
      <c r="B661" s="1050"/>
      <c r="C661" s="1050"/>
      <c r="D661" s="1051">
        <f t="shared" si="52"/>
        <v>13</v>
      </c>
      <c r="E661" s="1051" t="str">
        <f>IF(COUNTIF(E$547:E660,F661)&gt;0,"",F661)</f>
        <v/>
      </c>
      <c r="F661" s="1051" t="str">
        <f t="shared" si="53"/>
        <v>Gazole routier, Réunion, Base Carbone</v>
      </c>
      <c r="G661" s="1055" t="str">
        <f t="shared" si="54"/>
        <v>Gazole routier, Réunion, Base Carbone; kgCO2e/litre, Amont</v>
      </c>
      <c r="I661" s="1100" t="s">
        <v>1593</v>
      </c>
      <c r="J661" s="2352" t="s">
        <v>1574</v>
      </c>
      <c r="K661" s="2352" t="s">
        <v>1567</v>
      </c>
      <c r="L661" s="2352" t="s">
        <v>785</v>
      </c>
      <c r="M661" s="2355">
        <v>0.1</v>
      </c>
      <c r="N661" s="2352" t="s">
        <v>1570</v>
      </c>
      <c r="O661" s="2354">
        <v>0.38200000000000001</v>
      </c>
      <c r="P661" s="2353">
        <f t="shared" si="55"/>
        <v>0.38200000000000001</v>
      </c>
      <c r="Q661" s="2353">
        <v>0</v>
      </c>
      <c r="R661" s="2353">
        <v>0</v>
      </c>
      <c r="S661" s="2353">
        <v>0</v>
      </c>
      <c r="T661" s="2353">
        <v>0</v>
      </c>
      <c r="U661" s="2057">
        <v>0</v>
      </c>
    </row>
    <row r="662" spans="2:21" hidden="1" outlineLevel="1">
      <c r="B662" s="1050"/>
      <c r="C662" s="1050"/>
      <c r="D662" s="1051">
        <f t="shared" si="52"/>
        <v>14</v>
      </c>
      <c r="E662" s="1051" t="str">
        <f>IF(COUNTIF(E$547:E661,F662)&gt;0,"",F662)</f>
        <v>Gazole routier, Guadeloupe, Martinique, Guyane, Corse, Base Carbone</v>
      </c>
      <c r="F662" s="1051" t="str">
        <f t="shared" si="53"/>
        <v>Gazole routier, Guadeloupe, Martinique, Guyane, Corse, Base Carbone</v>
      </c>
      <c r="G662" s="1055" t="str">
        <f t="shared" si="54"/>
        <v>Gazole routier, Guadeloupe, Martinique, Guyane, Corse, Base Carbone; kgCO2e/kg, Combustion</v>
      </c>
      <c r="I662" s="1100" t="s">
        <v>1593</v>
      </c>
      <c r="J662" s="1979" t="s">
        <v>1572</v>
      </c>
      <c r="K662" s="2352" t="s">
        <v>1567</v>
      </c>
      <c r="L662" s="2352" t="s">
        <v>3084</v>
      </c>
      <c r="M662" s="2355">
        <v>0.05</v>
      </c>
      <c r="N662" s="2352" t="s">
        <v>1569</v>
      </c>
      <c r="O662" s="2353">
        <v>3.15</v>
      </c>
      <c r="P662" s="2353">
        <f t="shared" si="55"/>
        <v>3.15</v>
      </c>
      <c r="Q662" s="2353">
        <v>0</v>
      </c>
      <c r="R662" s="2353">
        <v>0</v>
      </c>
      <c r="S662" s="2353">
        <v>0</v>
      </c>
      <c r="T662" s="2353">
        <v>0</v>
      </c>
      <c r="U662" s="2057">
        <v>0</v>
      </c>
    </row>
    <row r="663" spans="2:21" hidden="1" outlineLevel="1">
      <c r="B663" s="1050"/>
      <c r="C663" s="1050"/>
      <c r="D663" s="1051">
        <f t="shared" si="52"/>
        <v>14</v>
      </c>
      <c r="E663" s="1051" t="str">
        <f>IF(COUNTIF(E$547:E662,F663)&gt;0,"",F663)</f>
        <v/>
      </c>
      <c r="F663" s="1051" t="str">
        <f t="shared" si="53"/>
        <v>Gazole routier, Guadeloupe, Martinique, Guyane, Corse, Base Carbone</v>
      </c>
      <c r="G663" s="1055" t="str">
        <f t="shared" si="54"/>
        <v>Gazole routier, Guadeloupe, Martinique, Guyane, Corse, Base Carbone; kgCO2e/kg, Amont</v>
      </c>
      <c r="I663" s="1100" t="s">
        <v>1593</v>
      </c>
      <c r="J663" s="1979" t="s">
        <v>1572</v>
      </c>
      <c r="K663" s="2352" t="s">
        <v>1567</v>
      </c>
      <c r="L663" s="2352" t="s">
        <v>3084</v>
      </c>
      <c r="M663" s="2355">
        <v>0.05</v>
      </c>
      <c r="N663" s="2352" t="s">
        <v>1570</v>
      </c>
      <c r="O663" s="2353">
        <v>0.33700000000000002</v>
      </c>
      <c r="P663" s="2353">
        <f t="shared" si="55"/>
        <v>0.33700000000000002</v>
      </c>
      <c r="Q663" s="2353">
        <v>0</v>
      </c>
      <c r="R663" s="2353">
        <v>0</v>
      </c>
      <c r="S663" s="2353">
        <v>0</v>
      </c>
      <c r="T663" s="2353">
        <v>0</v>
      </c>
      <c r="U663" s="2057">
        <v>0</v>
      </c>
    </row>
    <row r="664" spans="2:21" hidden="1" outlineLevel="1">
      <c r="B664" s="1050"/>
      <c r="C664" s="1050"/>
      <c r="D664" s="1051">
        <f t="shared" si="52"/>
        <v>14</v>
      </c>
      <c r="E664" s="1051" t="str">
        <f>IF(COUNTIF(E$547:E663,F664)&gt;0,"",F664)</f>
        <v/>
      </c>
      <c r="F664" s="1051" t="str">
        <f t="shared" si="53"/>
        <v>Gazole routier, Guadeloupe, Martinique, Guyane, Corse, Base Carbone</v>
      </c>
      <c r="G664" s="1055" t="str">
        <f t="shared" si="54"/>
        <v>Gazole routier, Guadeloupe, Martinique, Guyane, Corse, Base Carbone; kgCO2e/kWh PCI, Combustion</v>
      </c>
      <c r="I664" s="1100" t="s">
        <v>1593</v>
      </c>
      <c r="J664" s="2352" t="s">
        <v>1573</v>
      </c>
      <c r="K664" s="2352" t="s">
        <v>1567</v>
      </c>
      <c r="L664" s="2352" t="s">
        <v>3084</v>
      </c>
      <c r="M664" s="2355">
        <v>0.05</v>
      </c>
      <c r="N664" s="2352" t="s">
        <v>1569</v>
      </c>
      <c r="O664" s="2354">
        <v>0.27100000000000002</v>
      </c>
      <c r="P664" s="2353">
        <f t="shared" si="55"/>
        <v>0.27100000000000002</v>
      </c>
      <c r="Q664" s="2353">
        <v>0</v>
      </c>
      <c r="R664" s="2353">
        <v>0</v>
      </c>
      <c r="S664" s="2353">
        <v>0</v>
      </c>
      <c r="T664" s="2353">
        <v>0</v>
      </c>
      <c r="U664" s="2057">
        <v>0</v>
      </c>
    </row>
    <row r="665" spans="2:21" hidden="1" outlineLevel="1">
      <c r="B665" s="1050"/>
      <c r="C665" s="1050"/>
      <c r="D665" s="1051">
        <f t="shared" si="52"/>
        <v>14</v>
      </c>
      <c r="E665" s="1051" t="str">
        <f>IF(COUNTIF(E$547:E664,F665)&gt;0,"",F665)</f>
        <v/>
      </c>
      <c r="F665" s="1051" t="str">
        <f t="shared" si="53"/>
        <v>Gazole routier, Guadeloupe, Martinique, Guyane, Corse, Base Carbone</v>
      </c>
      <c r="G665" s="1055" t="str">
        <f t="shared" si="54"/>
        <v>Gazole routier, Guadeloupe, Martinique, Guyane, Corse, Base Carbone; kgCO2e/kWh PCI, Amont</v>
      </c>
      <c r="I665" s="1100" t="s">
        <v>1593</v>
      </c>
      <c r="J665" s="2352" t="s">
        <v>1573</v>
      </c>
      <c r="K665" s="2352" t="s">
        <v>1567</v>
      </c>
      <c r="L665" s="2352" t="s">
        <v>3084</v>
      </c>
      <c r="M665" s="2355">
        <v>0.05</v>
      </c>
      <c r="N665" s="2352" t="s">
        <v>1570</v>
      </c>
      <c r="O665" s="2354">
        <v>2.9000000000000001E-2</v>
      </c>
      <c r="P665" s="2353">
        <f t="shared" si="55"/>
        <v>2.9000000000000001E-2</v>
      </c>
      <c r="Q665" s="2353">
        <v>0</v>
      </c>
      <c r="R665" s="2353">
        <v>0</v>
      </c>
      <c r="S665" s="2353">
        <v>0</v>
      </c>
      <c r="T665" s="2353">
        <v>0</v>
      </c>
      <c r="U665" s="2057">
        <v>0</v>
      </c>
    </row>
    <row r="666" spans="2:21" hidden="1" outlineLevel="1">
      <c r="B666" s="1050"/>
      <c r="C666" s="1050"/>
      <c r="D666" s="1051">
        <f t="shared" si="52"/>
        <v>14</v>
      </c>
      <c r="E666" s="1051" t="str">
        <f>IF(COUNTIF(E$547:E665,F666)&gt;0,"",F666)</f>
        <v/>
      </c>
      <c r="F666" s="1051" t="str">
        <f t="shared" si="53"/>
        <v>Gazole routier, Guadeloupe, Martinique, Guyane, Corse, Base Carbone</v>
      </c>
      <c r="G666" s="1055" t="str">
        <f t="shared" si="54"/>
        <v>Gazole routier, Guadeloupe, Martinique, Guyane, Corse, Base Carbone; kgCO2e/tep PCI, Combustion</v>
      </c>
      <c r="I666" s="1100" t="s">
        <v>1593</v>
      </c>
      <c r="J666" s="2352" t="s">
        <v>1575</v>
      </c>
      <c r="K666" s="2352" t="s">
        <v>1567</v>
      </c>
      <c r="L666" s="2352" t="s">
        <v>3084</v>
      </c>
      <c r="M666" s="2355">
        <v>0.05</v>
      </c>
      <c r="N666" s="2352" t="s">
        <v>1569</v>
      </c>
      <c r="O666" s="2354">
        <v>3150</v>
      </c>
      <c r="P666" s="2353">
        <f t="shared" si="55"/>
        <v>3150</v>
      </c>
      <c r="Q666" s="2353">
        <v>0</v>
      </c>
      <c r="R666" s="2353">
        <v>0</v>
      </c>
      <c r="S666" s="2353">
        <v>0</v>
      </c>
      <c r="T666" s="2353">
        <v>0</v>
      </c>
      <c r="U666" s="2057">
        <v>0</v>
      </c>
    </row>
    <row r="667" spans="2:21" hidden="1" outlineLevel="1">
      <c r="B667" s="1050"/>
      <c r="C667" s="1050"/>
      <c r="D667" s="1051">
        <f t="shared" si="52"/>
        <v>14</v>
      </c>
      <c r="E667" s="1051" t="str">
        <f>IF(COUNTIF(E$547:E666,F667)&gt;0,"",F667)</f>
        <v/>
      </c>
      <c r="F667" s="1051" t="str">
        <f t="shared" si="53"/>
        <v>Gazole routier, Guadeloupe, Martinique, Guyane, Corse, Base Carbone</v>
      </c>
      <c r="G667" s="1055" t="str">
        <f t="shared" si="54"/>
        <v>Gazole routier, Guadeloupe, Martinique, Guyane, Corse, Base Carbone; kgCO2e/tep PCI, Amont</v>
      </c>
      <c r="I667" s="1100" t="s">
        <v>1593</v>
      </c>
      <c r="J667" s="2352" t="s">
        <v>1575</v>
      </c>
      <c r="K667" s="2352" t="s">
        <v>1567</v>
      </c>
      <c r="L667" s="2352" t="s">
        <v>3084</v>
      </c>
      <c r="M667" s="2355">
        <v>0.05</v>
      </c>
      <c r="N667" s="2352" t="s">
        <v>1570</v>
      </c>
      <c r="O667" s="2354">
        <v>337</v>
      </c>
      <c r="P667" s="2353">
        <f t="shared" si="55"/>
        <v>337</v>
      </c>
      <c r="Q667" s="2353">
        <v>0</v>
      </c>
      <c r="R667" s="2353">
        <v>0</v>
      </c>
      <c r="S667" s="2353">
        <v>0</v>
      </c>
      <c r="T667" s="2353">
        <v>0</v>
      </c>
      <c r="U667" s="2057">
        <v>0</v>
      </c>
    </row>
    <row r="668" spans="2:21" hidden="1" outlineLevel="1">
      <c r="B668" s="1050"/>
      <c r="C668" s="1050"/>
      <c r="D668" s="1051">
        <f t="shared" si="52"/>
        <v>14</v>
      </c>
      <c r="E668" s="1051" t="str">
        <f>IF(COUNTIF(E$547:E667,F668)&gt;0,"",F668)</f>
        <v/>
      </c>
      <c r="F668" s="1051" t="str">
        <f t="shared" si="53"/>
        <v>Gazole routier, Guadeloupe, Martinique, Guyane, Corse, Base Carbone</v>
      </c>
      <c r="G668" s="1055" t="str">
        <f t="shared" si="54"/>
        <v>Gazole routier, Guadeloupe, Martinique, Guyane, Corse, Base Carbone; kgCO2e/litre, Combustion</v>
      </c>
      <c r="I668" s="1100" t="s">
        <v>1593</v>
      </c>
      <c r="J668" s="2352" t="s">
        <v>1574</v>
      </c>
      <c r="K668" s="2352" t="s">
        <v>1567</v>
      </c>
      <c r="L668" s="2352" t="s">
        <v>3084</v>
      </c>
      <c r="M668" s="2355">
        <v>0.1</v>
      </c>
      <c r="N668" s="2352" t="s">
        <v>1569</v>
      </c>
      <c r="O668" s="2354">
        <v>2.66</v>
      </c>
      <c r="P668" s="2353">
        <f t="shared" si="55"/>
        <v>2.66</v>
      </c>
      <c r="Q668" s="2353">
        <v>0</v>
      </c>
      <c r="R668" s="2353">
        <v>0</v>
      </c>
      <c r="S668" s="2353">
        <v>0</v>
      </c>
      <c r="T668" s="2353">
        <v>0</v>
      </c>
      <c r="U668" s="2057">
        <v>0</v>
      </c>
    </row>
    <row r="669" spans="2:21" hidden="1" outlineLevel="1">
      <c r="B669" s="1050"/>
      <c r="C669" s="1050"/>
      <c r="D669" s="1051">
        <f t="shared" si="52"/>
        <v>14</v>
      </c>
      <c r="E669" s="1051" t="str">
        <f>IF(COUNTIF(E$547:E668,F669)&gt;0,"",F669)</f>
        <v/>
      </c>
      <c r="F669" s="1051" t="str">
        <f t="shared" si="53"/>
        <v>Gazole routier, Guadeloupe, Martinique, Guyane, Corse, Base Carbone</v>
      </c>
      <c r="G669" s="1055" t="str">
        <f t="shared" si="54"/>
        <v>Gazole routier, Guadeloupe, Martinique, Guyane, Corse, Base Carbone; kgCO2e/litre, Amont</v>
      </c>
      <c r="I669" s="1100" t="s">
        <v>1593</v>
      </c>
      <c r="J669" s="2352" t="s">
        <v>1574</v>
      </c>
      <c r="K669" s="2352" t="s">
        <v>1567</v>
      </c>
      <c r="L669" s="2352" t="s">
        <v>3084</v>
      </c>
      <c r="M669" s="2355">
        <v>0.1</v>
      </c>
      <c r="N669" s="2352" t="s">
        <v>1570</v>
      </c>
      <c r="O669" s="2354">
        <v>0.28499999999999998</v>
      </c>
      <c r="P669" s="2353">
        <f t="shared" si="55"/>
        <v>0.28499999999999998</v>
      </c>
      <c r="Q669" s="2353">
        <v>0</v>
      </c>
      <c r="R669" s="2353">
        <v>0</v>
      </c>
      <c r="S669" s="2353">
        <v>0</v>
      </c>
      <c r="T669" s="2353">
        <v>0</v>
      </c>
      <c r="U669" s="2057">
        <v>0</v>
      </c>
    </row>
    <row r="670" spans="2:21" hidden="1" outlineLevel="1">
      <c r="B670" s="1050"/>
      <c r="C670" s="1050"/>
      <c r="D670" s="1051">
        <f t="shared" si="52"/>
        <v>15</v>
      </c>
      <c r="E670" s="1051" t="str">
        <f>IF(COUNTIF(E$547:E669,F670)&gt;0,"",F670)</f>
        <v>Gazole routier, Nouvelle Calédonie, Base Carbone</v>
      </c>
      <c r="F670" s="1051" t="str">
        <f t="shared" si="53"/>
        <v>Gazole routier, Nouvelle Calédonie, Base Carbone</v>
      </c>
      <c r="G670" s="1055" t="str">
        <f t="shared" si="54"/>
        <v>Gazole routier, Nouvelle Calédonie, Base Carbone; kgCO2e/kg, Combustion</v>
      </c>
      <c r="I670" s="1100" t="s">
        <v>1593</v>
      </c>
      <c r="J670" s="1979" t="s">
        <v>1572</v>
      </c>
      <c r="K670" s="2352" t="s">
        <v>1567</v>
      </c>
      <c r="L670" s="2352" t="s">
        <v>3085</v>
      </c>
      <c r="M670" s="2355">
        <v>0.05</v>
      </c>
      <c r="N670" s="2352" t="s">
        <v>1569</v>
      </c>
      <c r="O670" s="2353">
        <v>3.15</v>
      </c>
      <c r="P670" s="2353">
        <f t="shared" si="55"/>
        <v>3.15</v>
      </c>
      <c r="Q670" s="2353">
        <v>0</v>
      </c>
      <c r="R670" s="2353">
        <v>0</v>
      </c>
      <c r="S670" s="2353">
        <v>0</v>
      </c>
      <c r="T670" s="2353">
        <v>0</v>
      </c>
      <c r="U670" s="2057">
        <v>0</v>
      </c>
    </row>
    <row r="671" spans="2:21" hidden="1" outlineLevel="1">
      <c r="B671" s="1050"/>
      <c r="C671" s="1050"/>
      <c r="D671" s="1051">
        <f t="shared" si="52"/>
        <v>15</v>
      </c>
      <c r="E671" s="1051" t="str">
        <f>IF(COUNTIF(E$547:E670,F671)&gt;0,"",F671)</f>
        <v/>
      </c>
      <c r="F671" s="1051" t="str">
        <f t="shared" si="53"/>
        <v>Gazole routier, Nouvelle Calédonie, Base Carbone</v>
      </c>
      <c r="G671" s="1055" t="str">
        <f t="shared" si="54"/>
        <v>Gazole routier, Nouvelle Calédonie, Base Carbone; kgCO2e/kg, Amont</v>
      </c>
      <c r="I671" s="1100" t="s">
        <v>1593</v>
      </c>
      <c r="J671" s="1979" t="s">
        <v>1572</v>
      </c>
      <c r="K671" s="2352" t="s">
        <v>1567</v>
      </c>
      <c r="L671" s="2352" t="s">
        <v>3085</v>
      </c>
      <c r="M671" s="2355">
        <v>0.05</v>
      </c>
      <c r="N671" s="2352" t="s">
        <v>1570</v>
      </c>
      <c r="O671" s="2353">
        <v>0.47299999999999998</v>
      </c>
      <c r="P671" s="2353">
        <f t="shared" si="55"/>
        <v>0.47299999999999998</v>
      </c>
      <c r="Q671" s="2353">
        <v>0</v>
      </c>
      <c r="R671" s="2353">
        <v>0</v>
      </c>
      <c r="S671" s="2353">
        <v>0</v>
      </c>
      <c r="T671" s="2353">
        <v>0</v>
      </c>
      <c r="U671" s="2057">
        <v>0</v>
      </c>
    </row>
    <row r="672" spans="2:21" hidden="1" outlineLevel="1">
      <c r="B672" s="1050"/>
      <c r="C672" s="1050"/>
      <c r="D672" s="1051">
        <f t="shared" si="52"/>
        <v>15</v>
      </c>
      <c r="E672" s="1051" t="str">
        <f>IF(COUNTIF(E$547:E671,F672)&gt;0,"",F672)</f>
        <v/>
      </c>
      <c r="F672" s="1051" t="str">
        <f t="shared" si="53"/>
        <v>Gazole routier, Nouvelle Calédonie, Base Carbone</v>
      </c>
      <c r="G672" s="1055" t="str">
        <f t="shared" si="54"/>
        <v>Gazole routier, Nouvelle Calédonie, Base Carbone; kgCO2e/kWh PCI, Combustion</v>
      </c>
      <c r="I672" s="1100" t="s">
        <v>1593</v>
      </c>
      <c r="J672" s="2352" t="s">
        <v>1573</v>
      </c>
      <c r="K672" s="2352" t="s">
        <v>1567</v>
      </c>
      <c r="L672" s="2352" t="s">
        <v>3085</v>
      </c>
      <c r="M672" s="2355">
        <v>0.05</v>
      </c>
      <c r="N672" s="2352" t="s">
        <v>1569</v>
      </c>
      <c r="O672" s="2354">
        <v>0.27100000000000002</v>
      </c>
      <c r="P672" s="2353">
        <f t="shared" si="55"/>
        <v>0.27100000000000002</v>
      </c>
      <c r="Q672" s="2353">
        <v>0</v>
      </c>
      <c r="R672" s="2353">
        <v>0</v>
      </c>
      <c r="S672" s="2353">
        <v>0</v>
      </c>
      <c r="T672" s="2353">
        <v>0</v>
      </c>
      <c r="U672" s="2057">
        <v>0</v>
      </c>
    </row>
    <row r="673" spans="2:21" hidden="1" outlineLevel="1">
      <c r="B673" s="1050"/>
      <c r="C673" s="1050"/>
      <c r="D673" s="1051">
        <f t="shared" si="52"/>
        <v>15</v>
      </c>
      <c r="E673" s="1051" t="str">
        <f>IF(COUNTIF(E$547:E672,F673)&gt;0,"",F673)</f>
        <v/>
      </c>
      <c r="F673" s="1051" t="str">
        <f t="shared" si="53"/>
        <v>Gazole routier, Nouvelle Calédonie, Base Carbone</v>
      </c>
      <c r="G673" s="1055" t="str">
        <f t="shared" si="54"/>
        <v>Gazole routier, Nouvelle Calédonie, Base Carbone; kgCO2e/kWh PCI, Amont</v>
      </c>
      <c r="I673" s="1100" t="s">
        <v>1593</v>
      </c>
      <c r="J673" s="2352" t="s">
        <v>1573</v>
      </c>
      <c r="K673" s="2352" t="s">
        <v>1567</v>
      </c>
      <c r="L673" s="2352" t="s">
        <v>3085</v>
      </c>
      <c r="M673" s="2355">
        <v>0.05</v>
      </c>
      <c r="N673" s="2352" t="s">
        <v>1570</v>
      </c>
      <c r="O673" s="2354">
        <v>4.07E-2</v>
      </c>
      <c r="P673" s="2353">
        <f t="shared" si="55"/>
        <v>4.07E-2</v>
      </c>
      <c r="Q673" s="2353">
        <v>0</v>
      </c>
      <c r="R673" s="2353">
        <v>0</v>
      </c>
      <c r="S673" s="2353">
        <v>0</v>
      </c>
      <c r="T673" s="2353">
        <v>0</v>
      </c>
      <c r="U673" s="2057">
        <v>0</v>
      </c>
    </row>
    <row r="674" spans="2:21" hidden="1" outlineLevel="1">
      <c r="B674" s="1050"/>
      <c r="C674" s="1050"/>
      <c r="D674" s="1051">
        <f t="shared" si="52"/>
        <v>15</v>
      </c>
      <c r="E674" s="1051" t="str">
        <f>IF(COUNTIF(E$547:E673,F674)&gt;0,"",F674)</f>
        <v/>
      </c>
      <c r="F674" s="1051" t="str">
        <f t="shared" si="53"/>
        <v>Gazole routier, Nouvelle Calédonie, Base Carbone</v>
      </c>
      <c r="G674" s="1055" t="str">
        <f t="shared" si="54"/>
        <v>Gazole routier, Nouvelle Calédonie, Base Carbone; kgCO2e/tep PCI, Combustion</v>
      </c>
      <c r="I674" s="1100" t="s">
        <v>1593</v>
      </c>
      <c r="J674" s="2352" t="s">
        <v>1575</v>
      </c>
      <c r="K674" s="2352" t="s">
        <v>1567</v>
      </c>
      <c r="L674" s="2352" t="s">
        <v>3085</v>
      </c>
      <c r="M674" s="2355">
        <v>0.05</v>
      </c>
      <c r="N674" s="2352" t="s">
        <v>1569</v>
      </c>
      <c r="O674" s="2354">
        <v>3150</v>
      </c>
      <c r="P674" s="2353">
        <f t="shared" si="55"/>
        <v>3150</v>
      </c>
      <c r="Q674" s="2353">
        <v>0</v>
      </c>
      <c r="R674" s="2353">
        <v>0</v>
      </c>
      <c r="S674" s="2353">
        <v>0</v>
      </c>
      <c r="T674" s="2353">
        <v>0</v>
      </c>
      <c r="U674" s="2057">
        <v>0</v>
      </c>
    </row>
    <row r="675" spans="2:21" hidden="1" outlineLevel="1">
      <c r="B675" s="1050"/>
      <c r="C675" s="1050"/>
      <c r="D675" s="1051">
        <f t="shared" si="52"/>
        <v>15</v>
      </c>
      <c r="E675" s="1051" t="str">
        <f>IF(COUNTIF(E$547:E674,F675)&gt;0,"",F675)</f>
        <v/>
      </c>
      <c r="F675" s="1051" t="str">
        <f t="shared" si="53"/>
        <v>Gazole routier, Nouvelle Calédonie, Base Carbone</v>
      </c>
      <c r="G675" s="1055" t="str">
        <f t="shared" si="54"/>
        <v>Gazole routier, Nouvelle Calédonie, Base Carbone; kgCO2e/tep PCI, Amont</v>
      </c>
      <c r="I675" s="1100" t="s">
        <v>1593</v>
      </c>
      <c r="J675" s="2352" t="s">
        <v>1575</v>
      </c>
      <c r="K675" s="2352" t="s">
        <v>1567</v>
      </c>
      <c r="L675" s="2352" t="s">
        <v>3085</v>
      </c>
      <c r="M675" s="2355">
        <v>0.05</v>
      </c>
      <c r="N675" s="2352" t="s">
        <v>1570</v>
      </c>
      <c r="O675" s="2354">
        <v>473</v>
      </c>
      <c r="P675" s="2353">
        <f t="shared" si="55"/>
        <v>473</v>
      </c>
      <c r="Q675" s="2353">
        <v>0</v>
      </c>
      <c r="R675" s="2353">
        <v>0</v>
      </c>
      <c r="S675" s="2353">
        <v>0</v>
      </c>
      <c r="T675" s="2353">
        <v>0</v>
      </c>
      <c r="U675" s="2057">
        <v>0</v>
      </c>
    </row>
    <row r="676" spans="2:21" hidden="1" outlineLevel="1">
      <c r="B676" s="1050"/>
      <c r="C676" s="1050"/>
      <c r="D676" s="1051">
        <f t="shared" si="52"/>
        <v>15</v>
      </c>
      <c r="E676" s="1051" t="str">
        <f>IF(COUNTIF(E$547:E675,F676)&gt;0,"",F676)</f>
        <v/>
      </c>
      <c r="F676" s="1051" t="str">
        <f t="shared" si="53"/>
        <v>Gazole routier, Nouvelle Calédonie, Base Carbone</v>
      </c>
      <c r="G676" s="1055" t="str">
        <f t="shared" si="54"/>
        <v>Gazole routier, Nouvelle Calédonie, Base Carbone; kgCO2e/litre, Combustion</v>
      </c>
      <c r="I676" s="1100" t="s">
        <v>1593</v>
      </c>
      <c r="J676" s="2352" t="s">
        <v>1574</v>
      </c>
      <c r="K676" s="2352" t="s">
        <v>1567</v>
      </c>
      <c r="L676" s="2352" t="s">
        <v>3085</v>
      </c>
      <c r="M676" s="2355">
        <v>0.1</v>
      </c>
      <c r="N676" s="2352" t="s">
        <v>1569</v>
      </c>
      <c r="O676" s="2354">
        <v>2.66</v>
      </c>
      <c r="P676" s="2353">
        <f t="shared" si="55"/>
        <v>2.66</v>
      </c>
      <c r="Q676" s="2353">
        <v>0</v>
      </c>
      <c r="R676" s="2353">
        <v>0</v>
      </c>
      <c r="S676" s="2353">
        <v>0</v>
      </c>
      <c r="T676" s="2353">
        <v>0</v>
      </c>
      <c r="U676" s="2057">
        <v>0</v>
      </c>
    </row>
    <row r="677" spans="2:21" hidden="1" outlineLevel="1">
      <c r="B677" s="1050"/>
      <c r="C677" s="1050"/>
      <c r="D677" s="1051">
        <f t="shared" ref="D677:D740" si="56">D676+IF(LEN(E677)&gt;0,1,0)</f>
        <v>15</v>
      </c>
      <c r="E677" s="1051" t="str">
        <f>IF(COUNTIF(E$547:E676,F677)&gt;0,"",F677)</f>
        <v/>
      </c>
      <c r="F677" s="1051" t="str">
        <f t="shared" ref="F677:F740" si="57">IF(I677&lt;&gt;"",I677&amp;IF(L677&lt;&gt;"",", "&amp;L677,"")&amp;IF(K677&lt;&gt;"",", "&amp;K677,""),"")</f>
        <v>Gazole routier, Nouvelle Calédonie, Base Carbone</v>
      </c>
      <c r="G677" s="1055" t="str">
        <f t="shared" ref="G677:G740" si="58">IF(F677&lt;&gt;"",F677&amp;IF(J677&lt;&gt;"","; "&amp;J677,"")&amp;IF(N677&lt;&gt;"",", "&amp;N677,""),"")</f>
        <v>Gazole routier, Nouvelle Calédonie, Base Carbone; kgCO2e/litre, Amont</v>
      </c>
      <c r="I677" s="1100" t="s">
        <v>1593</v>
      </c>
      <c r="J677" s="2352" t="s">
        <v>1574</v>
      </c>
      <c r="K677" s="2352" t="s">
        <v>1567</v>
      </c>
      <c r="L677" s="2352" t="s">
        <v>3085</v>
      </c>
      <c r="M677" s="2355">
        <v>0.1</v>
      </c>
      <c r="N677" s="2352" t="s">
        <v>1570</v>
      </c>
      <c r="O677" s="2354">
        <v>0.38200000000000001</v>
      </c>
      <c r="P677" s="2353">
        <f t="shared" si="55"/>
        <v>0.38200000000000001</v>
      </c>
      <c r="Q677" s="2353">
        <v>0</v>
      </c>
      <c r="R677" s="2353">
        <v>0</v>
      </c>
      <c r="S677" s="2353">
        <v>0</v>
      </c>
      <c r="T677" s="2353">
        <v>0</v>
      </c>
      <c r="U677" s="2057">
        <v>0</v>
      </c>
    </row>
    <row r="678" spans="2:21" hidden="1" outlineLevel="1">
      <c r="B678" s="1050"/>
      <c r="C678" s="1050"/>
      <c r="D678" s="1051">
        <f t="shared" si="56"/>
        <v>16</v>
      </c>
      <c r="E678" s="1051" t="str">
        <f>IF(COUNTIF(E$547:E677,F678)&gt;0,"",F678)</f>
        <v>GNL, Gaz Naturel Liquéfié ((inclus routier, maritime et fluvial)), France continentale, Base Carbone</v>
      </c>
      <c r="F678" s="1051" t="str">
        <f t="shared" si="57"/>
        <v>GNL, Gaz Naturel Liquéfié ((inclus routier, maritime et fluvial)), France continentale, Base Carbone</v>
      </c>
      <c r="G678" s="1055" t="str">
        <f t="shared" si="58"/>
        <v>GNL, Gaz Naturel Liquéfié ((inclus routier, maritime et fluvial)), France continentale, Base Carbone; kgCO2e/kg, Combustion</v>
      </c>
      <c r="I678" s="1100" t="s">
        <v>1594</v>
      </c>
      <c r="J678" s="2330" t="s">
        <v>1572</v>
      </c>
      <c r="K678" s="1048" t="s">
        <v>1567</v>
      </c>
      <c r="L678" s="1048" t="s">
        <v>1571</v>
      </c>
      <c r="M678" s="1033">
        <v>0.05</v>
      </c>
      <c r="N678" s="1048" t="s">
        <v>1569</v>
      </c>
      <c r="O678" s="1036">
        <v>2.58</v>
      </c>
      <c r="P678" s="1036">
        <v>2.57</v>
      </c>
      <c r="Q678" s="1036">
        <v>0</v>
      </c>
      <c r="R678" s="1036">
        <v>0</v>
      </c>
      <c r="S678" s="1036">
        <v>6.5900000000000004E-3</v>
      </c>
      <c r="T678" s="1036">
        <v>0</v>
      </c>
      <c r="U678" s="1037">
        <v>0</v>
      </c>
    </row>
    <row r="679" spans="2:21" hidden="1" outlineLevel="1">
      <c r="B679" s="1050"/>
      <c r="C679" s="1050"/>
      <c r="D679" s="1051">
        <f t="shared" si="56"/>
        <v>16</v>
      </c>
      <c r="E679" s="1051" t="str">
        <f>IF(COUNTIF(E$547:E678,F679)&gt;0,"",F679)</f>
        <v/>
      </c>
      <c r="F679" s="1051" t="str">
        <f t="shared" si="57"/>
        <v>GNL, Gaz Naturel Liquéfié ((inclus routier, maritime et fluvial)), France continentale, Base Carbone</v>
      </c>
      <c r="G679" s="1055" t="str">
        <f t="shared" si="58"/>
        <v>GNL, Gaz Naturel Liquéfié ((inclus routier, maritime et fluvial)), France continentale, Base Carbone; kgCO2e/kg, Amont</v>
      </c>
      <c r="I679" s="1100" t="s">
        <v>1594</v>
      </c>
      <c r="J679" s="2330" t="s">
        <v>1572</v>
      </c>
      <c r="K679" s="1048" t="s">
        <v>1567</v>
      </c>
      <c r="L679" s="1048" t="s">
        <v>1571</v>
      </c>
      <c r="M679" s="1033">
        <v>0.05</v>
      </c>
      <c r="N679" s="1048" t="s">
        <v>1570</v>
      </c>
      <c r="O679" s="1036">
        <v>0.69799999999999995</v>
      </c>
      <c r="P679" s="1036">
        <v>0.45200000000000001</v>
      </c>
      <c r="Q679" s="1036">
        <v>7.2400000000000006E-2</v>
      </c>
      <c r="R679" s="1036">
        <v>1.8799999999999999E-4</v>
      </c>
      <c r="S679" s="1036">
        <v>3.65E-3</v>
      </c>
      <c r="T679" s="1036">
        <v>0.17</v>
      </c>
      <c r="U679" s="1037">
        <v>0</v>
      </c>
    </row>
    <row r="680" spans="2:21" hidden="1" outlineLevel="1">
      <c r="B680" s="1050"/>
      <c r="C680" s="1050"/>
      <c r="D680" s="1051">
        <f t="shared" si="56"/>
        <v>16</v>
      </c>
      <c r="E680" s="1051" t="str">
        <f>IF(COUNTIF(E$547:E679,F680)&gt;0,"",F680)</f>
        <v/>
      </c>
      <c r="F680" s="1051" t="str">
        <f t="shared" si="57"/>
        <v>GNL, Gaz Naturel Liquéfié ((inclus routier, maritime et fluvial)), France continentale, Base Carbone</v>
      </c>
      <c r="G680" s="1055" t="str">
        <f t="shared" si="58"/>
        <v>GNL, Gaz Naturel Liquéfié ((inclus routier, maritime et fluvial)), France continentale, Base Carbone; kgCO2e/kWh PCI, Combustion</v>
      </c>
      <c r="I680" s="1100" t="s">
        <v>1594</v>
      </c>
      <c r="J680" s="1048" t="s">
        <v>1573</v>
      </c>
      <c r="K680" s="1048" t="s">
        <v>1567</v>
      </c>
      <c r="L680" s="1048" t="s">
        <v>1571</v>
      </c>
      <c r="M680" s="1033">
        <v>0.05</v>
      </c>
      <c r="N680" s="1048" t="s">
        <v>1569</v>
      </c>
      <c r="O680" s="1036">
        <v>0.187</v>
      </c>
      <c r="P680" s="1036">
        <v>0.187</v>
      </c>
      <c r="Q680" s="1036">
        <v>0</v>
      </c>
      <c r="R680" s="1036">
        <v>0</v>
      </c>
      <c r="S680" s="1036">
        <v>4.8000000000000001E-4</v>
      </c>
      <c r="T680" s="1036">
        <v>0</v>
      </c>
      <c r="U680" s="1037">
        <v>0</v>
      </c>
    </row>
    <row r="681" spans="2:21" hidden="1" outlineLevel="1">
      <c r="B681" s="1050"/>
      <c r="C681" s="1050"/>
      <c r="D681" s="1051">
        <f t="shared" si="56"/>
        <v>16</v>
      </c>
      <c r="E681" s="1051" t="str">
        <f>IF(COUNTIF(E$547:E680,F681)&gt;0,"",F681)</f>
        <v/>
      </c>
      <c r="F681" s="1051" t="str">
        <f t="shared" si="57"/>
        <v>GNL, Gaz Naturel Liquéfié ((inclus routier, maritime et fluvial)), France continentale, Base Carbone</v>
      </c>
      <c r="G681" s="1055" t="str">
        <f t="shared" si="58"/>
        <v>GNL, Gaz Naturel Liquéfié ((inclus routier, maritime et fluvial)), France continentale, Base Carbone; kgCO2e/kWh PCI, Amont</v>
      </c>
      <c r="I681" s="1100" t="s">
        <v>1594</v>
      </c>
      <c r="J681" s="1048" t="s">
        <v>1573</v>
      </c>
      <c r="K681" s="1048" t="s">
        <v>1567</v>
      </c>
      <c r="L681" s="1048" t="s">
        <v>1571</v>
      </c>
      <c r="M681" s="1033">
        <v>0.05</v>
      </c>
      <c r="N681" s="1048" t="s">
        <v>1570</v>
      </c>
      <c r="O681" s="1036">
        <v>5.0599999999999999E-2</v>
      </c>
      <c r="P681" s="1036">
        <v>3.2800000000000003E-2</v>
      </c>
      <c r="Q681" s="1036">
        <v>5.2600000000000001E-2</v>
      </c>
      <c r="R681" s="1036">
        <v>1.3699999999999999E-5</v>
      </c>
      <c r="S681" s="1036">
        <v>2.6499999999999999E-4</v>
      </c>
      <c r="T681" s="1036">
        <v>1.23E-2</v>
      </c>
      <c r="U681" s="1037">
        <v>0</v>
      </c>
    </row>
    <row r="682" spans="2:21" hidden="1" outlineLevel="1">
      <c r="B682" s="1050"/>
      <c r="C682" s="1050"/>
      <c r="D682" s="1051">
        <f t="shared" si="56"/>
        <v>16</v>
      </c>
      <c r="E682" s="1051" t="str">
        <f>IF(COUNTIF(E$547:E681,F682)&gt;0,"",F682)</f>
        <v/>
      </c>
      <c r="F682" s="1051" t="str">
        <f t="shared" si="57"/>
        <v>GNL, Gaz Naturel Liquéfié ((inclus routier, maritime et fluvial)), France continentale, Base Carbone</v>
      </c>
      <c r="G682" s="1055" t="str">
        <f t="shared" si="58"/>
        <v>GNL, Gaz Naturel Liquéfié ((inclus routier, maritime et fluvial)), France continentale, Base Carbone; kgCO2e/tep PCI, Combustion</v>
      </c>
      <c r="I682" s="1100" t="s">
        <v>1594</v>
      </c>
      <c r="J682" s="1048" t="s">
        <v>1575</v>
      </c>
      <c r="K682" s="1048" t="s">
        <v>1567</v>
      </c>
      <c r="L682" s="1048" t="s">
        <v>1571</v>
      </c>
      <c r="M682" s="1033">
        <v>0.05</v>
      </c>
      <c r="N682" s="1048" t="s">
        <v>1569</v>
      </c>
      <c r="O682" s="1036">
        <v>2186</v>
      </c>
      <c r="P682" s="1036">
        <v>2180</v>
      </c>
      <c r="Q682" s="1036">
        <v>0</v>
      </c>
      <c r="R682" s="1036">
        <v>0</v>
      </c>
      <c r="S682" s="1036">
        <v>5.59</v>
      </c>
      <c r="T682" s="1036">
        <v>0</v>
      </c>
      <c r="U682" s="1037">
        <v>0</v>
      </c>
    </row>
    <row r="683" spans="2:21" hidden="1" outlineLevel="1">
      <c r="B683" s="1050"/>
      <c r="C683" s="1050"/>
      <c r="D683" s="1051">
        <f t="shared" si="56"/>
        <v>16</v>
      </c>
      <c r="E683" s="1051" t="str">
        <f>IF(COUNTIF(E$547:E682,F683)&gt;0,"",F683)</f>
        <v/>
      </c>
      <c r="F683" s="1051" t="str">
        <f t="shared" si="57"/>
        <v>GNL, Gaz Naturel Liquéfié ((inclus routier, maritime et fluvial)), France continentale, Base Carbone</v>
      </c>
      <c r="G683" s="1055" t="str">
        <f t="shared" si="58"/>
        <v>GNL, Gaz Naturel Liquéfié ((inclus routier, maritime et fluvial)), France continentale, Base Carbone; kgCO2e/tep PCI, Amont</v>
      </c>
      <c r="I683" s="1100" t="s">
        <v>1594</v>
      </c>
      <c r="J683" s="1048" t="s">
        <v>1575</v>
      </c>
      <c r="K683" s="1048" t="s">
        <v>1567</v>
      </c>
      <c r="L683" s="1048" t="s">
        <v>1571</v>
      </c>
      <c r="M683" s="1033">
        <v>0.05</v>
      </c>
      <c r="N683" s="1048" t="s">
        <v>1570</v>
      </c>
      <c r="O683" s="1036">
        <v>592</v>
      </c>
      <c r="P683" s="1036">
        <v>383</v>
      </c>
      <c r="Q683" s="1036">
        <v>61.3</v>
      </c>
      <c r="R683" s="1036">
        <v>0.159</v>
      </c>
      <c r="S683" s="1036">
        <v>3.1</v>
      </c>
      <c r="T683" s="1036">
        <v>144</v>
      </c>
      <c r="U683" s="1037">
        <v>0</v>
      </c>
    </row>
    <row r="684" spans="2:21" hidden="1" outlineLevel="1">
      <c r="B684" s="1050"/>
      <c r="C684" s="1050"/>
      <c r="D684" s="1051">
        <f t="shared" si="56"/>
        <v>16</v>
      </c>
      <c r="E684" s="1051" t="str">
        <f>IF(COUNTIF(E$547:E683,F684)&gt;0,"",F684)</f>
        <v/>
      </c>
      <c r="F684" s="1051" t="str">
        <f t="shared" si="57"/>
        <v>GNL, Gaz Naturel Liquéfié ((inclus routier, maritime et fluvial)), France continentale, Base Carbone</v>
      </c>
      <c r="G684" s="1055" t="str">
        <f t="shared" si="58"/>
        <v>GNL, Gaz Naturel Liquéfié ((inclus routier, maritime et fluvial)), France continentale, Base Carbone; kgCO2e/GJ PCI, Combustion</v>
      </c>
      <c r="I684" s="1100" t="s">
        <v>1594</v>
      </c>
      <c r="J684" s="1048" t="s">
        <v>1566</v>
      </c>
      <c r="K684" s="1048" t="s">
        <v>1567</v>
      </c>
      <c r="L684" s="1048" t="s">
        <v>1571</v>
      </c>
      <c r="M684" s="1033">
        <v>0.05</v>
      </c>
      <c r="N684" s="1048" t="s">
        <v>1569</v>
      </c>
      <c r="O684" s="1036">
        <v>52</v>
      </c>
      <c r="P684" s="1036">
        <v>51.9</v>
      </c>
      <c r="Q684" s="1036">
        <v>0</v>
      </c>
      <c r="R684" s="1036">
        <v>0</v>
      </c>
      <c r="S684" s="1036">
        <v>0.13300000000000001</v>
      </c>
      <c r="T684" s="1036">
        <v>0</v>
      </c>
      <c r="U684" s="1037">
        <v>0</v>
      </c>
    </row>
    <row r="685" spans="2:21" hidden="1" outlineLevel="1">
      <c r="B685" s="1050"/>
      <c r="C685" s="1050"/>
      <c r="D685" s="1051">
        <f t="shared" si="56"/>
        <v>16</v>
      </c>
      <c r="E685" s="1051" t="str">
        <f>IF(COUNTIF(E$547:E684,F685)&gt;0,"",F685)</f>
        <v/>
      </c>
      <c r="F685" s="1051" t="str">
        <f t="shared" si="57"/>
        <v>GNL, Gaz Naturel Liquéfié ((inclus routier, maritime et fluvial)), France continentale, Base Carbone</v>
      </c>
      <c r="G685" s="1055" t="str">
        <f t="shared" si="58"/>
        <v>GNL, Gaz Naturel Liquéfié ((inclus routier, maritime et fluvial)), France continentale, Base Carbone; kgCO2e/GJ PCI, Amont</v>
      </c>
      <c r="I685" s="1100" t="s">
        <v>1594</v>
      </c>
      <c r="J685" s="1048" t="s">
        <v>1566</v>
      </c>
      <c r="K685" s="1048" t="s">
        <v>1567</v>
      </c>
      <c r="L685" s="1048" t="s">
        <v>1571</v>
      </c>
      <c r="M685" s="1033">
        <v>0.05</v>
      </c>
      <c r="N685" s="1048" t="s">
        <v>1570</v>
      </c>
      <c r="O685" s="1036">
        <v>14.1</v>
      </c>
      <c r="P685" s="1036">
        <v>9.11</v>
      </c>
      <c r="Q685" s="1036">
        <v>1.46</v>
      </c>
      <c r="R685" s="1036">
        <v>3.7799999999999999E-3</v>
      </c>
      <c r="S685" s="1036">
        <v>7.3700000000000002E-2</v>
      </c>
      <c r="T685" s="1036">
        <v>3.42</v>
      </c>
      <c r="U685" s="1037">
        <v>0</v>
      </c>
    </row>
    <row r="686" spans="2:21" hidden="1" outlineLevel="1">
      <c r="B686" s="1050"/>
      <c r="C686" s="1050"/>
      <c r="D686" s="1051">
        <f t="shared" si="56"/>
        <v>16</v>
      </c>
      <c r="E686" s="1051" t="str">
        <f>IF(COUNTIF(E$547:E685,F686)&gt;0,"",F686)</f>
        <v/>
      </c>
      <c r="F686" s="1051" t="str">
        <f t="shared" si="57"/>
        <v>GNL, Gaz Naturel Liquéfié ((inclus routier, maritime et fluvial)), France continentale, Base Carbone</v>
      </c>
      <c r="G686" s="1055" t="str">
        <f t="shared" si="58"/>
        <v>GNL, Gaz Naturel Liquéfié ((inclus routier, maritime et fluvial)), France continentale, Base Carbone; kgCO2e/litre, Combustion</v>
      </c>
      <c r="I686" s="1100" t="s">
        <v>1594</v>
      </c>
      <c r="J686" s="1048" t="s">
        <v>1574</v>
      </c>
      <c r="K686" s="1048" t="s">
        <v>1567</v>
      </c>
      <c r="L686" s="1048" t="s">
        <v>1571</v>
      </c>
      <c r="M686" s="1033">
        <v>0.05</v>
      </c>
      <c r="N686" s="1048" t="s">
        <v>1569</v>
      </c>
      <c r="O686" s="1036">
        <v>1.69</v>
      </c>
      <c r="P686" s="1036">
        <v>1.69</v>
      </c>
      <c r="Q686" s="1036">
        <v>0</v>
      </c>
      <c r="R686" s="1036">
        <v>0</v>
      </c>
      <c r="S686" s="1036">
        <v>4.3200000000000001E-3</v>
      </c>
      <c r="T686" s="1036">
        <v>0</v>
      </c>
      <c r="U686" s="1037">
        <v>0</v>
      </c>
    </row>
    <row r="687" spans="2:21" hidden="1" outlineLevel="1">
      <c r="B687" s="1050"/>
      <c r="C687" s="1050"/>
      <c r="D687" s="1051">
        <f t="shared" si="56"/>
        <v>16</v>
      </c>
      <c r="E687" s="1051" t="str">
        <f>IF(COUNTIF(E$547:E686,F687)&gt;0,"",F687)</f>
        <v/>
      </c>
      <c r="F687" s="1051" t="str">
        <f t="shared" si="57"/>
        <v>GNL, Gaz Naturel Liquéfié ((inclus routier, maritime et fluvial)), France continentale, Base Carbone</v>
      </c>
      <c r="G687" s="1055" t="str">
        <f t="shared" si="58"/>
        <v>GNL, Gaz Naturel Liquéfié ((inclus routier, maritime et fluvial)), France continentale, Base Carbone; kgCO2e/litre, Amont</v>
      </c>
      <c r="I687" s="1100" t="s">
        <v>1594</v>
      </c>
      <c r="J687" s="1048" t="s">
        <v>1574</v>
      </c>
      <c r="K687" s="1048" t="s">
        <v>1567</v>
      </c>
      <c r="L687" s="1048" t="s">
        <v>1571</v>
      </c>
      <c r="M687" s="1033">
        <v>0.05</v>
      </c>
      <c r="N687" s="1048" t="s">
        <v>1570</v>
      </c>
      <c r="O687" s="1036">
        <v>0.45700000000000002</v>
      </c>
      <c r="P687" s="1036">
        <v>0.29599999999999999</v>
      </c>
      <c r="Q687" s="1036">
        <v>4.7399999999999998E-2</v>
      </c>
      <c r="R687" s="1036">
        <v>1.2300000000000001E-4</v>
      </c>
      <c r="S687" s="1036">
        <v>2.3900000000000002E-3</v>
      </c>
      <c r="T687" s="1036">
        <v>0.111</v>
      </c>
      <c r="U687" s="1037">
        <v>0</v>
      </c>
    </row>
    <row r="688" spans="2:21" hidden="1" outlineLevel="1">
      <c r="B688" s="1050"/>
      <c r="C688" s="1050"/>
      <c r="D688" s="1051">
        <f t="shared" si="56"/>
        <v>17</v>
      </c>
      <c r="E688" s="1051" t="str">
        <f>IF(COUNTIF(E$547:E687,F688)&gt;0,"",F688)</f>
        <v>GNC, Gaz Naturel Comprimé pour véhicule routier, France continentale, Base Carbone</v>
      </c>
      <c r="F688" s="1051" t="str">
        <f t="shared" si="57"/>
        <v>GNC, Gaz Naturel Comprimé pour véhicule routier, France continentale, Base Carbone</v>
      </c>
      <c r="G688" s="1055" t="str">
        <f t="shared" si="58"/>
        <v>GNC, Gaz Naturel Comprimé pour véhicule routier, France continentale, Base Carbone; kgCO2e/kWh PCI, Combustion</v>
      </c>
      <c r="I688" s="1100" t="s">
        <v>3666</v>
      </c>
      <c r="J688" s="2330" t="s">
        <v>1573</v>
      </c>
      <c r="K688" s="1048" t="s">
        <v>1567</v>
      </c>
      <c r="L688" s="1048" t="s">
        <v>1571</v>
      </c>
      <c r="M688" s="1033">
        <v>0.1</v>
      </c>
      <c r="N688" s="1048" t="s">
        <v>1569</v>
      </c>
      <c r="O688" s="1036">
        <v>0.187</v>
      </c>
      <c r="P688" s="1036">
        <v>0.187</v>
      </c>
      <c r="Q688" s="1036">
        <v>0</v>
      </c>
      <c r="R688" s="1036">
        <v>0</v>
      </c>
      <c r="S688" s="1036">
        <v>4.7699999999999999E-4</v>
      </c>
      <c r="T688" s="1036">
        <v>0</v>
      </c>
      <c r="U688" s="1037">
        <v>0</v>
      </c>
    </row>
    <row r="689" spans="2:21" hidden="1" outlineLevel="1">
      <c r="B689" s="1050"/>
      <c r="C689" s="1050"/>
      <c r="D689" s="1051">
        <f t="shared" si="56"/>
        <v>17</v>
      </c>
      <c r="E689" s="1051" t="str">
        <f>IF(COUNTIF(E$547:E688,F689)&gt;0,"",F689)</f>
        <v/>
      </c>
      <c r="F689" s="1051" t="str">
        <f t="shared" si="57"/>
        <v>GNC, Gaz Naturel Comprimé pour véhicule routier, France continentale, Base Carbone</v>
      </c>
      <c r="G689" s="1055" t="str">
        <f t="shared" si="58"/>
        <v>GNC, Gaz Naturel Comprimé pour véhicule routier, France continentale, Base Carbone; kgCO2e/kWh PCI, Amont</v>
      </c>
      <c r="I689" s="1100" t="s">
        <v>3666</v>
      </c>
      <c r="J689" s="2330" t="s">
        <v>1573</v>
      </c>
      <c r="K689" s="1048" t="s">
        <v>1567</v>
      </c>
      <c r="L689" s="1048" t="s">
        <v>1571</v>
      </c>
      <c r="M689" s="1033">
        <v>0.1</v>
      </c>
      <c r="N689" s="1048" t="s">
        <v>1570</v>
      </c>
      <c r="O689" s="1036">
        <v>4.2799999999999998E-2</v>
      </c>
      <c r="P689" s="1036">
        <v>2.5000000000000001E-2</v>
      </c>
      <c r="Q689" s="1036">
        <v>5.2599999999999999E-3</v>
      </c>
      <c r="R689" s="1036">
        <v>1.4E-5</v>
      </c>
      <c r="S689" s="1036">
        <v>2.6499999999999999E-4</v>
      </c>
      <c r="T689" s="1036">
        <v>1.23E-2</v>
      </c>
      <c r="U689" s="1037">
        <v>0</v>
      </c>
    </row>
    <row r="690" spans="2:21" hidden="1" outlineLevel="1">
      <c r="B690" s="1050"/>
      <c r="C690" s="1050"/>
      <c r="D690" s="1051">
        <f t="shared" si="56"/>
        <v>17</v>
      </c>
      <c r="E690" s="1051" t="str">
        <f>IF(COUNTIF(E$547:E689,F690)&gt;0,"",F690)</f>
        <v/>
      </c>
      <c r="F690" s="1051" t="str">
        <f t="shared" si="57"/>
        <v>GNC, Gaz Naturel Comprimé pour véhicule routier, France continentale, Base Carbone</v>
      </c>
      <c r="G690" s="1055" t="str">
        <f t="shared" si="58"/>
        <v>GNC, Gaz Naturel Comprimé pour véhicule routier, France continentale, Base Carbone; kgCO2e/GJ PCI, Combustion</v>
      </c>
      <c r="I690" s="1100" t="s">
        <v>3666</v>
      </c>
      <c r="J690" s="1048" t="s">
        <v>1566</v>
      </c>
      <c r="K690" s="1048" t="s">
        <v>1567</v>
      </c>
      <c r="L690" s="1048" t="s">
        <v>1571</v>
      </c>
      <c r="M690" s="1033">
        <v>0.1</v>
      </c>
      <c r="N690" s="1048" t="s">
        <v>1569</v>
      </c>
      <c r="O690" s="1036">
        <v>52</v>
      </c>
      <c r="P690" s="1036">
        <v>51.9</v>
      </c>
      <c r="Q690" s="1036">
        <v>0</v>
      </c>
      <c r="R690" s="1036">
        <v>0</v>
      </c>
      <c r="S690" s="1036">
        <v>0.13300000000000001</v>
      </c>
      <c r="T690" s="1036">
        <v>0</v>
      </c>
      <c r="U690" s="1037">
        <v>0</v>
      </c>
    </row>
    <row r="691" spans="2:21" hidden="1" outlineLevel="1">
      <c r="B691" s="1050"/>
      <c r="C691" s="1050"/>
      <c r="D691" s="1051">
        <f t="shared" si="56"/>
        <v>17</v>
      </c>
      <c r="E691" s="1051" t="str">
        <f>IF(COUNTIF(E$547:E690,F691)&gt;0,"",F691)</f>
        <v/>
      </c>
      <c r="F691" s="1051" t="str">
        <f t="shared" si="57"/>
        <v>GNC, Gaz Naturel Comprimé pour véhicule routier, France continentale, Base Carbone</v>
      </c>
      <c r="G691" s="1055" t="str">
        <f t="shared" si="58"/>
        <v>GNC, Gaz Naturel Comprimé pour véhicule routier, France continentale, Base Carbone; kgCO2e/GJ PCI, Amont</v>
      </c>
      <c r="I691" s="1100" t="s">
        <v>3666</v>
      </c>
      <c r="J691" s="1048" t="s">
        <v>1566</v>
      </c>
      <c r="K691" s="1048" t="s">
        <v>1567</v>
      </c>
      <c r="L691" s="1048" t="s">
        <v>1571</v>
      </c>
      <c r="M691" s="1033">
        <v>0.1</v>
      </c>
      <c r="N691" s="1048" t="s">
        <v>1570</v>
      </c>
      <c r="O691" s="1036">
        <v>11.9</v>
      </c>
      <c r="P691" s="1036">
        <v>6.93</v>
      </c>
      <c r="Q691" s="1036">
        <v>1.46</v>
      </c>
      <c r="R691" s="1036">
        <v>3.9199999999999999E-3</v>
      </c>
      <c r="S691" s="1036">
        <v>7.3700000000000002E-2</v>
      </c>
      <c r="T691" s="1036">
        <v>3.42</v>
      </c>
      <c r="U691" s="1037">
        <v>0</v>
      </c>
    </row>
    <row r="692" spans="2:21" hidden="1" outlineLevel="1">
      <c r="B692" s="1050"/>
      <c r="C692" s="1050"/>
      <c r="D692" s="1051">
        <f t="shared" si="56"/>
        <v>17</v>
      </c>
      <c r="E692" s="1051" t="str">
        <f>IF(COUNTIF(E$547:E691,F692)&gt;0,"",F692)</f>
        <v/>
      </c>
      <c r="F692" s="1051" t="str">
        <f t="shared" si="57"/>
        <v>GNC, Gaz Naturel Comprimé pour véhicule routier, France continentale, Base Carbone</v>
      </c>
      <c r="G692" s="1055" t="str">
        <f t="shared" si="58"/>
        <v>GNC, Gaz Naturel Comprimé pour véhicule routier, France continentale, Base Carbone; kgCO2e/tep PCI, Combustion</v>
      </c>
      <c r="I692" s="1100" t="s">
        <v>3666</v>
      </c>
      <c r="J692" s="1048" t="s">
        <v>1575</v>
      </c>
      <c r="K692" s="1048" t="s">
        <v>1567</v>
      </c>
      <c r="L692" s="1048" t="s">
        <v>1571</v>
      </c>
      <c r="M692" s="1033">
        <v>0.1</v>
      </c>
      <c r="N692" s="1048" t="s">
        <v>1569</v>
      </c>
      <c r="O692" s="1036">
        <v>2180</v>
      </c>
      <c r="P692" s="1036">
        <v>2174</v>
      </c>
      <c r="Q692" s="1036">
        <v>0</v>
      </c>
      <c r="R692" s="1036">
        <v>0</v>
      </c>
      <c r="S692" s="1036">
        <v>5.54</v>
      </c>
      <c r="T692" s="1036">
        <v>0</v>
      </c>
      <c r="U692" s="1037">
        <v>0</v>
      </c>
    </row>
    <row r="693" spans="2:21" hidden="1" outlineLevel="1">
      <c r="B693" s="1050"/>
      <c r="C693" s="1050"/>
      <c r="D693" s="1051">
        <f t="shared" si="56"/>
        <v>17</v>
      </c>
      <c r="E693" s="1051" t="str">
        <f>IF(COUNTIF(E$547:E692,F693)&gt;0,"",F693)</f>
        <v/>
      </c>
      <c r="F693" s="1051" t="str">
        <f t="shared" si="57"/>
        <v>GNC, Gaz Naturel Comprimé pour véhicule routier, France continentale, Base Carbone</v>
      </c>
      <c r="G693" s="1055" t="str">
        <f t="shared" si="58"/>
        <v>GNC, Gaz Naturel Comprimé pour véhicule routier, France continentale, Base Carbone; kgCO2e/tep PCI, Amont</v>
      </c>
      <c r="I693" s="1100" t="s">
        <v>3666</v>
      </c>
      <c r="J693" s="1048" t="s">
        <v>1575</v>
      </c>
      <c r="K693" s="1048" t="s">
        <v>1567</v>
      </c>
      <c r="L693" s="1048" t="s">
        <v>1571</v>
      </c>
      <c r="M693" s="1033">
        <v>0.1</v>
      </c>
      <c r="N693" s="1048" t="s">
        <v>1570</v>
      </c>
      <c r="O693" s="1036">
        <v>497</v>
      </c>
      <c r="P693" s="1036">
        <v>290</v>
      </c>
      <c r="Q693" s="1036">
        <v>61.2</v>
      </c>
      <c r="R693" s="1036">
        <v>0.16200000000000001</v>
      </c>
      <c r="S693" s="1036">
        <v>3.07</v>
      </c>
      <c r="T693" s="1036">
        <v>143</v>
      </c>
      <c r="U693" s="1037">
        <v>0</v>
      </c>
    </row>
    <row r="694" spans="2:21" hidden="1" outlineLevel="1">
      <c r="B694" s="1050"/>
      <c r="C694" s="1050"/>
      <c r="D694" s="1051">
        <f t="shared" si="56"/>
        <v>17</v>
      </c>
      <c r="E694" s="1051" t="str">
        <f>IF(COUNTIF(E$547:E693,F694)&gt;0,"",F694)</f>
        <v/>
      </c>
      <c r="F694" s="1051" t="str">
        <f t="shared" si="57"/>
        <v>GNC, Gaz Naturel Comprimé pour véhicule routier, France continentale, Base Carbone</v>
      </c>
      <c r="G694" s="1055" t="str">
        <f t="shared" si="58"/>
        <v>GNC, Gaz Naturel Comprimé pour véhicule routier, France continentale, Base Carbone; kgCO2e/kg, Combustion</v>
      </c>
      <c r="I694" s="1100" t="s">
        <v>3666</v>
      </c>
      <c r="J694" s="1048" t="s">
        <v>1572</v>
      </c>
      <c r="K694" s="1048" t="s">
        <v>1567</v>
      </c>
      <c r="L694" s="1048" t="s">
        <v>1571</v>
      </c>
      <c r="M694" s="1033">
        <v>0.1</v>
      </c>
      <c r="N694" s="1048" t="s">
        <v>1569</v>
      </c>
      <c r="O694" s="1036">
        <v>2.41</v>
      </c>
      <c r="P694" s="1036">
        <v>2.4</v>
      </c>
      <c r="Q694" s="1036">
        <v>0</v>
      </c>
      <c r="R694" s="1036">
        <v>0</v>
      </c>
      <c r="S694" s="1036">
        <v>6.1199999999999996E-3</v>
      </c>
      <c r="T694" s="1036">
        <v>0</v>
      </c>
      <c r="U694" s="1037">
        <v>0</v>
      </c>
    </row>
    <row r="695" spans="2:21" hidden="1" outlineLevel="1">
      <c r="B695" s="1050"/>
      <c r="C695" s="1050"/>
      <c r="D695" s="1051">
        <f t="shared" si="56"/>
        <v>17</v>
      </c>
      <c r="E695" s="1051" t="str">
        <f>IF(COUNTIF(E$547:E694,F695)&gt;0,"",F695)</f>
        <v/>
      </c>
      <c r="F695" s="1051" t="str">
        <f t="shared" si="57"/>
        <v>GNC, Gaz Naturel Comprimé pour véhicule routier, France continentale, Base Carbone</v>
      </c>
      <c r="G695" s="1055" t="str">
        <f t="shared" si="58"/>
        <v>GNC, Gaz Naturel Comprimé pour véhicule routier, France continentale, Base Carbone; kgCO2e/kg, Amont</v>
      </c>
      <c r="I695" s="1100" t="s">
        <v>3666</v>
      </c>
      <c r="J695" s="1048" t="s">
        <v>1572</v>
      </c>
      <c r="K695" s="1048" t="s">
        <v>1567</v>
      </c>
      <c r="L695" s="1048" t="s">
        <v>1571</v>
      </c>
      <c r="M695" s="1033">
        <v>0.1</v>
      </c>
      <c r="N695" s="1048" t="s">
        <v>1570</v>
      </c>
      <c r="O695" s="1036">
        <v>0.55000000000000004</v>
      </c>
      <c r="P695" s="1036">
        <v>0.32100000000000001</v>
      </c>
      <c r="Q695" s="1036">
        <v>6.7500000000000004E-2</v>
      </c>
      <c r="R695" s="1036">
        <v>1.8000000000000001E-4</v>
      </c>
      <c r="S695" s="1036">
        <v>3.3899999999999998E-3</v>
      </c>
      <c r="T695" s="1036">
        <v>0.158</v>
      </c>
      <c r="U695" s="1037">
        <v>0</v>
      </c>
    </row>
    <row r="696" spans="2:21" hidden="1" outlineLevel="1">
      <c r="B696" s="1050"/>
      <c r="C696" s="1050"/>
      <c r="D696" s="1051">
        <f t="shared" si="56"/>
        <v>17</v>
      </c>
      <c r="E696" s="1051" t="str">
        <f>IF(COUNTIF(E$547:E695,F696)&gt;0,"",F696)</f>
        <v/>
      </c>
      <c r="F696" s="1051" t="str">
        <f t="shared" si="57"/>
        <v>GNC, Gaz Naturel Comprimé pour véhicule routier, France continentale, Base Carbone</v>
      </c>
      <c r="G696" s="1055" t="str">
        <f t="shared" si="58"/>
        <v>GNC, Gaz Naturel Comprimé pour véhicule routier, France continentale, Base Carbone; kgCO2e/m3, Combustion</v>
      </c>
      <c r="I696" s="1100" t="s">
        <v>3666</v>
      </c>
      <c r="J696" s="1048" t="s">
        <v>2358</v>
      </c>
      <c r="K696" s="1048" t="s">
        <v>1567</v>
      </c>
      <c r="L696" s="1048" t="s">
        <v>1571</v>
      </c>
      <c r="M696" s="1033">
        <v>0.1</v>
      </c>
      <c r="N696" s="1048" t="s">
        <v>1569</v>
      </c>
      <c r="O696" s="1036">
        <v>1.9</v>
      </c>
      <c r="P696" s="1036">
        <v>1.9</v>
      </c>
      <c r="Q696" s="1036">
        <v>0</v>
      </c>
      <c r="R696" s="1036">
        <v>0</v>
      </c>
      <c r="S696" s="1036">
        <v>4.8500000000000001E-3</v>
      </c>
      <c r="T696" s="1036">
        <v>0</v>
      </c>
      <c r="U696" s="1037">
        <v>0</v>
      </c>
    </row>
    <row r="697" spans="2:21" hidden="1" outlineLevel="1">
      <c r="B697" s="1050"/>
      <c r="C697" s="1050"/>
      <c r="D697" s="1051">
        <f t="shared" si="56"/>
        <v>17</v>
      </c>
      <c r="E697" s="1051" t="str">
        <f>IF(COUNTIF(E$547:E696,F697)&gt;0,"",F697)</f>
        <v/>
      </c>
      <c r="F697" s="1051" t="str">
        <f t="shared" si="57"/>
        <v>GNC, Gaz Naturel Comprimé pour véhicule routier, France continentale, Base Carbone</v>
      </c>
      <c r="G697" s="1055" t="str">
        <f t="shared" si="58"/>
        <v>GNC, Gaz Naturel Comprimé pour véhicule routier, France continentale, Base Carbone; kgCO2e/m3, Amont</v>
      </c>
      <c r="I697" s="1100" t="s">
        <v>3666</v>
      </c>
      <c r="J697" s="1048" t="s">
        <v>2358</v>
      </c>
      <c r="K697" s="1048" t="s">
        <v>1567</v>
      </c>
      <c r="L697" s="1048" t="s">
        <v>1571</v>
      </c>
      <c r="M697" s="1033">
        <v>0.1</v>
      </c>
      <c r="N697" s="1048" t="s">
        <v>1570</v>
      </c>
      <c r="O697" s="1036">
        <v>0.434</v>
      </c>
      <c r="P697" s="1036">
        <v>0.253</v>
      </c>
      <c r="Q697" s="1036">
        <v>5.3400000000000003E-2</v>
      </c>
      <c r="R697" s="1036">
        <v>1.4300000000000001E-4</v>
      </c>
      <c r="S697" s="1036">
        <v>2.7000000000000001E-3</v>
      </c>
      <c r="T697" s="1036">
        <v>0.125</v>
      </c>
      <c r="U697" s="1037">
        <v>0</v>
      </c>
    </row>
    <row r="698" spans="2:21" hidden="1" outlineLevel="1">
      <c r="B698" s="1050"/>
      <c r="C698" s="1050"/>
      <c r="D698" s="1051">
        <f t="shared" si="56"/>
        <v>18</v>
      </c>
      <c r="E698" s="1051" t="str">
        <f>IF(COUNTIF(E$547:E697,F698)&gt;0,"",F698)</f>
        <v>GPL pour véhicule routier, France continentale, Base Carbone</v>
      </c>
      <c r="F698" s="1051" t="str">
        <f t="shared" si="57"/>
        <v>GPL pour véhicule routier, France continentale, Base Carbone</v>
      </c>
      <c r="G698" s="1055" t="str">
        <f t="shared" si="58"/>
        <v>GPL pour véhicule routier, France continentale, Base Carbone; kgCO2e/GJ PCI, Combustion</v>
      </c>
      <c r="I698" s="1100" t="s">
        <v>1595</v>
      </c>
      <c r="J698" s="2352" t="s">
        <v>1566</v>
      </c>
      <c r="K698" s="2352" t="s">
        <v>1567</v>
      </c>
      <c r="L698" s="2352" t="s">
        <v>1571</v>
      </c>
      <c r="M698" s="2355">
        <v>0.05</v>
      </c>
      <c r="N698" s="2352" t="s">
        <v>1569</v>
      </c>
      <c r="O698" s="2354">
        <v>64.8</v>
      </c>
      <c r="P698" s="2354">
        <v>64</v>
      </c>
      <c r="Q698" s="2354">
        <v>9.1499999999999998E-2</v>
      </c>
      <c r="R698" s="2354">
        <v>0</v>
      </c>
      <c r="S698" s="2354">
        <v>0.66300000000000003</v>
      </c>
      <c r="T698" s="2354">
        <v>0</v>
      </c>
      <c r="U698" s="2356">
        <v>0</v>
      </c>
    </row>
    <row r="699" spans="2:21" hidden="1" outlineLevel="1">
      <c r="B699" s="1050"/>
      <c r="C699" s="1050"/>
      <c r="D699" s="1051">
        <f t="shared" si="56"/>
        <v>18</v>
      </c>
      <c r="E699" s="1051" t="str">
        <f>IF(COUNTIF(E$547:E698,F699)&gt;0,"",F699)</f>
        <v/>
      </c>
      <c r="F699" s="1051" t="str">
        <f t="shared" si="57"/>
        <v>GPL pour véhicule routier, France continentale, Base Carbone</v>
      </c>
      <c r="G699" s="1055" t="str">
        <f t="shared" si="58"/>
        <v>GPL pour véhicule routier, France continentale, Base Carbone; kgCO2e/GJ PCI, Amont</v>
      </c>
      <c r="I699" s="1100" t="s">
        <v>1595</v>
      </c>
      <c r="J699" s="2352" t="s">
        <v>1566</v>
      </c>
      <c r="K699" s="2352" t="s">
        <v>1567</v>
      </c>
      <c r="L699" s="2352" t="s">
        <v>1571</v>
      </c>
      <c r="M699" s="2355">
        <v>0.05</v>
      </c>
      <c r="N699" s="2352" t="s">
        <v>1570</v>
      </c>
      <c r="O699" s="2354">
        <v>10.6</v>
      </c>
      <c r="P699" s="2354">
        <v>7.63</v>
      </c>
      <c r="Q699" s="2354">
        <v>3</v>
      </c>
      <c r="R699" s="2354">
        <v>0</v>
      </c>
      <c r="S699" s="2354">
        <v>0</v>
      </c>
      <c r="T699" s="2354">
        <v>0</v>
      </c>
      <c r="U699" s="2356">
        <v>0</v>
      </c>
    </row>
    <row r="700" spans="2:21" hidden="1" outlineLevel="1">
      <c r="B700" s="1050"/>
      <c r="C700" s="1050"/>
      <c r="D700" s="1051">
        <f t="shared" si="56"/>
        <v>18</v>
      </c>
      <c r="E700" s="1051" t="str">
        <f>IF(COUNTIF(E$547:E699,F700)&gt;0,"",F700)</f>
        <v/>
      </c>
      <c r="F700" s="1051" t="str">
        <f t="shared" si="57"/>
        <v>GPL pour véhicule routier, France continentale, Base Carbone</v>
      </c>
      <c r="G700" s="1055" t="str">
        <f t="shared" si="58"/>
        <v>GPL pour véhicule routier, France continentale, Base Carbone; kgCO2e/kg, Amont</v>
      </c>
      <c r="I700" s="1100" t="s">
        <v>1595</v>
      </c>
      <c r="J700" s="2352" t="s">
        <v>1572</v>
      </c>
      <c r="K700" s="2352" t="s">
        <v>1567</v>
      </c>
      <c r="L700" s="2352" t="s">
        <v>1571</v>
      </c>
      <c r="M700" s="2355">
        <v>0.05</v>
      </c>
      <c r="N700" s="2352" t="s">
        <v>1570</v>
      </c>
      <c r="O700" s="2354">
        <v>0.48699999999999999</v>
      </c>
      <c r="P700" s="2354">
        <v>0.35</v>
      </c>
      <c r="Q700" s="2354">
        <v>0.13700000000000001</v>
      </c>
      <c r="R700" s="2354">
        <v>0</v>
      </c>
      <c r="S700" s="2354">
        <v>0</v>
      </c>
      <c r="T700" s="2354">
        <v>0</v>
      </c>
      <c r="U700" s="2356">
        <v>0</v>
      </c>
    </row>
    <row r="701" spans="2:21" hidden="1" outlineLevel="1">
      <c r="B701" s="1050"/>
      <c r="C701" s="1050"/>
      <c r="D701" s="1051">
        <f t="shared" si="56"/>
        <v>18</v>
      </c>
      <c r="E701" s="1051" t="str">
        <f>IF(COUNTIF(E$547:E700,F701)&gt;0,"",F701)</f>
        <v/>
      </c>
      <c r="F701" s="1051" t="str">
        <f t="shared" si="57"/>
        <v>GPL pour véhicule routier, France continentale, Base Carbone</v>
      </c>
      <c r="G701" s="1055" t="str">
        <f t="shared" si="58"/>
        <v>GPL pour véhicule routier, France continentale, Base Carbone; kgCO2e/kg, Combustion</v>
      </c>
      <c r="I701" s="1100" t="s">
        <v>1595</v>
      </c>
      <c r="J701" s="2352" t="s">
        <v>1572</v>
      </c>
      <c r="K701" s="2352" t="s">
        <v>1567</v>
      </c>
      <c r="L701" s="2352" t="s">
        <v>1571</v>
      </c>
      <c r="M701" s="2355">
        <v>0.05</v>
      </c>
      <c r="N701" s="2352" t="s">
        <v>1569</v>
      </c>
      <c r="O701" s="2354">
        <v>2.96</v>
      </c>
      <c r="P701" s="2354">
        <v>2.93</v>
      </c>
      <c r="Q701" s="2354">
        <v>4.1900000000000001E-3</v>
      </c>
      <c r="R701" s="2354">
        <v>0</v>
      </c>
      <c r="S701" s="2354">
        <v>3.0300000000000001E-2</v>
      </c>
      <c r="T701" s="2354">
        <v>0</v>
      </c>
      <c r="U701" s="2356">
        <v>0</v>
      </c>
    </row>
    <row r="702" spans="2:21" hidden="1" outlineLevel="1">
      <c r="B702" s="1050"/>
      <c r="C702" s="1050"/>
      <c r="D702" s="1051">
        <f t="shared" si="56"/>
        <v>18</v>
      </c>
      <c r="E702" s="1051" t="str">
        <f>IF(COUNTIF(E$547:E701,F702)&gt;0,"",F702)</f>
        <v/>
      </c>
      <c r="F702" s="1051" t="str">
        <f t="shared" si="57"/>
        <v>GPL pour véhicule routier, France continentale, Base Carbone</v>
      </c>
      <c r="G702" s="1055" t="str">
        <f t="shared" si="58"/>
        <v>GPL pour véhicule routier, France continentale, Base Carbone; kgCO2e/kWh PCI, Combustion</v>
      </c>
      <c r="I702" s="1100" t="s">
        <v>1595</v>
      </c>
      <c r="J702" s="2352" t="s">
        <v>1573</v>
      </c>
      <c r="K702" s="2352" t="s">
        <v>1567</v>
      </c>
      <c r="L702" s="2352" t="s">
        <v>1571</v>
      </c>
      <c r="M702" s="2355">
        <v>0.05</v>
      </c>
      <c r="N702" s="2352" t="s">
        <v>1569</v>
      </c>
      <c r="O702" s="2354">
        <v>0.23300000000000001</v>
      </c>
      <c r="P702" s="2354">
        <v>0.23</v>
      </c>
      <c r="Q702" s="2354">
        <v>3.3E-4</v>
      </c>
      <c r="R702" s="2354">
        <v>0</v>
      </c>
      <c r="S702" s="2354">
        <v>2.3900000000000002E-3</v>
      </c>
      <c r="T702" s="2354">
        <v>0</v>
      </c>
      <c r="U702" s="2356">
        <v>0</v>
      </c>
    </row>
    <row r="703" spans="2:21" hidden="1" outlineLevel="1">
      <c r="B703" s="1050"/>
      <c r="C703" s="1050"/>
      <c r="D703" s="1051">
        <f t="shared" si="56"/>
        <v>18</v>
      </c>
      <c r="E703" s="1051" t="str">
        <f>IF(COUNTIF(E$547:E702,F703)&gt;0,"",F703)</f>
        <v/>
      </c>
      <c r="F703" s="1051" t="str">
        <f t="shared" si="57"/>
        <v>GPL pour véhicule routier, France continentale, Base Carbone</v>
      </c>
      <c r="G703" s="1055" t="str">
        <f t="shared" si="58"/>
        <v>GPL pour véhicule routier, France continentale, Base Carbone; kgCO2e/kWh PCI, Amont</v>
      </c>
      <c r="I703" s="1100" t="s">
        <v>1595</v>
      </c>
      <c r="J703" s="2352" t="s">
        <v>1573</v>
      </c>
      <c r="K703" s="2352" t="s">
        <v>1567</v>
      </c>
      <c r="L703" s="2352" t="s">
        <v>1571</v>
      </c>
      <c r="M703" s="2355">
        <v>0.05</v>
      </c>
      <c r="N703" s="2352" t="s">
        <v>1570</v>
      </c>
      <c r="O703" s="2354">
        <v>3.9E-2</v>
      </c>
      <c r="P703" s="2354">
        <v>2.7E-2</v>
      </c>
      <c r="Q703" s="2354">
        <v>1.2E-2</v>
      </c>
      <c r="R703" s="2354">
        <v>0</v>
      </c>
      <c r="S703" s="2354">
        <v>0</v>
      </c>
      <c r="T703" s="2354">
        <v>0</v>
      </c>
      <c r="U703" s="2356">
        <v>0</v>
      </c>
    </row>
    <row r="704" spans="2:21" hidden="1" outlineLevel="1">
      <c r="B704" s="1050"/>
      <c r="C704" s="1050"/>
      <c r="D704" s="1051">
        <f t="shared" si="56"/>
        <v>18</v>
      </c>
      <c r="E704" s="1051" t="str">
        <f>IF(COUNTIF(E$547:E703,F704)&gt;0,"",F704)</f>
        <v/>
      </c>
      <c r="F704" s="1051" t="str">
        <f t="shared" si="57"/>
        <v>GPL pour véhicule routier, France continentale, Base Carbone</v>
      </c>
      <c r="G704" s="1055" t="str">
        <f t="shared" si="58"/>
        <v>GPL pour véhicule routier, France continentale, Base Carbone; kgCO2e/litre, Combustion</v>
      </c>
      <c r="I704" s="1100" t="s">
        <v>1595</v>
      </c>
      <c r="J704" s="2352" t="s">
        <v>1574</v>
      </c>
      <c r="K704" s="2352" t="s">
        <v>1567</v>
      </c>
      <c r="L704" s="2352" t="s">
        <v>1571</v>
      </c>
      <c r="M704" s="2355">
        <v>0.05</v>
      </c>
      <c r="N704" s="2352" t="s">
        <v>1569</v>
      </c>
      <c r="O704" s="2354">
        <v>1.6</v>
      </c>
      <c r="P704" s="2354">
        <v>1.58</v>
      </c>
      <c r="Q704" s="2354">
        <v>2.2499999999999998E-3</v>
      </c>
      <c r="R704" s="2354">
        <v>0</v>
      </c>
      <c r="S704" s="2354">
        <v>1.6299999999999999E-2</v>
      </c>
      <c r="T704" s="2354">
        <v>0</v>
      </c>
      <c r="U704" s="2356">
        <v>0</v>
      </c>
    </row>
    <row r="705" spans="2:21" hidden="1" outlineLevel="1">
      <c r="B705" s="1050"/>
      <c r="C705" s="1050"/>
      <c r="D705" s="1051">
        <f t="shared" si="56"/>
        <v>18</v>
      </c>
      <c r="E705" s="1051" t="str">
        <f>IF(COUNTIF(E$547:E704,F705)&gt;0,"",F705)</f>
        <v/>
      </c>
      <c r="F705" s="1051" t="str">
        <f t="shared" si="57"/>
        <v>GPL pour véhicule routier, France continentale, Base Carbone</v>
      </c>
      <c r="G705" s="1055" t="str">
        <f t="shared" si="58"/>
        <v>GPL pour véhicule routier, France continentale, Base Carbone; kgCO2e/litre, Amont</v>
      </c>
      <c r="I705" s="1100" t="s">
        <v>1595</v>
      </c>
      <c r="J705" s="2352" t="s">
        <v>1574</v>
      </c>
      <c r="K705" s="2352" t="s">
        <v>1567</v>
      </c>
      <c r="L705" s="2352" t="s">
        <v>1571</v>
      </c>
      <c r="M705" s="2355">
        <v>0.05</v>
      </c>
      <c r="N705" s="2352" t="s">
        <v>1570</v>
      </c>
      <c r="O705" s="2354">
        <v>0.26200000000000001</v>
      </c>
      <c r="P705" s="2354">
        <v>0.188</v>
      </c>
      <c r="Q705" s="2354">
        <v>7.3800000000000004E-2</v>
      </c>
      <c r="R705" s="2354">
        <v>0</v>
      </c>
      <c r="S705" s="2354">
        <v>0</v>
      </c>
      <c r="T705" s="2354">
        <v>0</v>
      </c>
      <c r="U705" s="2356">
        <v>0</v>
      </c>
    </row>
    <row r="706" spans="2:21" hidden="1" outlineLevel="1">
      <c r="B706" s="1050"/>
      <c r="C706" s="1050"/>
      <c r="D706" s="1051">
        <f t="shared" si="56"/>
        <v>18</v>
      </c>
      <c r="E706" s="1051" t="str">
        <f>IF(COUNTIF(E$547:E705,F706)&gt;0,"",F706)</f>
        <v/>
      </c>
      <c r="F706" s="1051" t="str">
        <f t="shared" si="57"/>
        <v>GPL pour véhicule routier, France continentale, Base Carbone</v>
      </c>
      <c r="G706" s="1055" t="str">
        <f t="shared" si="58"/>
        <v>GPL pour véhicule routier, France continentale, Base Carbone; kgCO2e/tep PCI, Combustion</v>
      </c>
      <c r="I706" s="1100" t="s">
        <v>1595</v>
      </c>
      <c r="J706" s="2352" t="s">
        <v>1575</v>
      </c>
      <c r="K706" s="2352" t="s">
        <v>1567</v>
      </c>
      <c r="L706" s="2352" t="s">
        <v>1571</v>
      </c>
      <c r="M706" s="2355">
        <v>0.05</v>
      </c>
      <c r="N706" s="2352" t="s">
        <v>1569</v>
      </c>
      <c r="O706" s="2354">
        <v>2720</v>
      </c>
      <c r="P706" s="2354">
        <v>2690</v>
      </c>
      <c r="Q706" s="2354">
        <v>3.84</v>
      </c>
      <c r="R706" s="2354">
        <v>0</v>
      </c>
      <c r="S706" s="2354">
        <v>27.8</v>
      </c>
      <c r="T706" s="2354">
        <v>0</v>
      </c>
      <c r="U706" s="2356">
        <v>0</v>
      </c>
    </row>
    <row r="707" spans="2:21" hidden="1" outlineLevel="1">
      <c r="B707" s="1050"/>
      <c r="C707" s="1050"/>
      <c r="D707" s="1051">
        <f t="shared" si="56"/>
        <v>18</v>
      </c>
      <c r="E707" s="1051" t="str">
        <f>IF(COUNTIF(E$547:E706,F707)&gt;0,"",F707)</f>
        <v/>
      </c>
      <c r="F707" s="1051" t="str">
        <f t="shared" si="57"/>
        <v>GPL pour véhicule routier, France continentale, Base Carbone</v>
      </c>
      <c r="G707" s="1055" t="str">
        <f t="shared" si="58"/>
        <v>GPL pour véhicule routier, France continentale, Base Carbone; kgCO2e/tep PCI, Amont</v>
      </c>
      <c r="I707" s="1100" t="s">
        <v>1595</v>
      </c>
      <c r="J707" s="2352" t="s">
        <v>1575</v>
      </c>
      <c r="K707" s="2352" t="s">
        <v>1567</v>
      </c>
      <c r="L707" s="2352" t="s">
        <v>1571</v>
      </c>
      <c r="M707" s="2355">
        <v>0.05</v>
      </c>
      <c r="N707" s="2352" t="s">
        <v>1570</v>
      </c>
      <c r="O707" s="2354">
        <v>447</v>
      </c>
      <c r="P707" s="2354">
        <v>321</v>
      </c>
      <c r="Q707" s="2354">
        <v>126</v>
      </c>
      <c r="R707" s="2354">
        <v>0</v>
      </c>
      <c r="S707" s="2354">
        <v>0</v>
      </c>
      <c r="T707" s="2354">
        <v>0</v>
      </c>
      <c r="U707" s="2356">
        <v>0</v>
      </c>
    </row>
    <row r="708" spans="2:21" hidden="1" outlineLevel="1">
      <c r="B708" s="1050"/>
      <c r="C708" s="1050"/>
      <c r="D708" s="1051">
        <f t="shared" si="56"/>
        <v>19</v>
      </c>
      <c r="E708" s="1051" t="str">
        <f>IF(COUNTIF(E$547:E707,F708)&gt;0,"",F708)</f>
        <v>GPL pour véhicule routier, Réunion, Base Carbone</v>
      </c>
      <c r="F708" s="1051" t="str">
        <f t="shared" si="57"/>
        <v>GPL pour véhicule routier, Réunion, Base Carbone</v>
      </c>
      <c r="G708" s="1055" t="str">
        <f t="shared" si="58"/>
        <v>GPL pour véhicule routier, Réunion, Base Carbone; kgCO2e/kg, Combustion</v>
      </c>
      <c r="I708" s="1100" t="s">
        <v>1595</v>
      </c>
      <c r="J708" s="1979" t="s">
        <v>1572</v>
      </c>
      <c r="K708" s="2352" t="s">
        <v>1567</v>
      </c>
      <c r="L708" s="2352" t="s">
        <v>785</v>
      </c>
      <c r="M708" s="2355">
        <v>0.05</v>
      </c>
      <c r="N708" s="2352" t="s">
        <v>1569</v>
      </c>
      <c r="O708" s="1673">
        <v>2.944</v>
      </c>
      <c r="P708" s="2353">
        <f>O708</f>
        <v>2.944</v>
      </c>
      <c r="Q708" s="2353">
        <v>0</v>
      </c>
      <c r="R708" s="2353">
        <v>0</v>
      </c>
      <c r="S708" s="2353">
        <v>0</v>
      </c>
      <c r="T708" s="2353">
        <v>0</v>
      </c>
      <c r="U708" s="2057">
        <v>0</v>
      </c>
    </row>
    <row r="709" spans="2:21" hidden="1" outlineLevel="1">
      <c r="B709" s="1050"/>
      <c r="C709" s="1050"/>
      <c r="D709" s="1051">
        <f t="shared" si="56"/>
        <v>19</v>
      </c>
      <c r="E709" s="1051" t="str">
        <f>IF(COUNTIF(E$547:E708,F709)&gt;0,"",F709)</f>
        <v/>
      </c>
      <c r="F709" s="1051" t="str">
        <f t="shared" si="57"/>
        <v>GPL pour véhicule routier, Réunion, Base Carbone</v>
      </c>
      <c r="G709" s="1055" t="str">
        <f t="shared" si="58"/>
        <v>GPL pour véhicule routier, Réunion, Base Carbone; kgCO2e/kg, Amont</v>
      </c>
      <c r="I709" s="1100" t="s">
        <v>1595</v>
      </c>
      <c r="J709" s="1979" t="s">
        <v>1572</v>
      </c>
      <c r="K709" s="2352" t="s">
        <v>1567</v>
      </c>
      <c r="L709" s="2352" t="s">
        <v>785</v>
      </c>
      <c r="M709" s="2355">
        <v>0.05</v>
      </c>
      <c r="N709" s="2352" t="s">
        <v>1570</v>
      </c>
      <c r="O709" s="1673">
        <v>0.63500000000000001</v>
      </c>
      <c r="P709" s="2353">
        <f t="shared" ref="P709:P731" si="59">O709</f>
        <v>0.63500000000000001</v>
      </c>
      <c r="Q709" s="2353">
        <v>0</v>
      </c>
      <c r="R709" s="2353">
        <v>0</v>
      </c>
      <c r="S709" s="2353">
        <v>0</v>
      </c>
      <c r="T709" s="2353">
        <v>0</v>
      </c>
      <c r="U709" s="2057">
        <v>0</v>
      </c>
    </row>
    <row r="710" spans="2:21" hidden="1" outlineLevel="1">
      <c r="B710" s="1050"/>
      <c r="C710" s="1050"/>
      <c r="D710" s="1051">
        <f t="shared" si="56"/>
        <v>19</v>
      </c>
      <c r="E710" s="1051" t="str">
        <f>IF(COUNTIF(E$547:E709,F710)&gt;0,"",F710)</f>
        <v/>
      </c>
      <c r="F710" s="1051" t="str">
        <f t="shared" si="57"/>
        <v>GPL pour véhicule routier, Réunion, Base Carbone</v>
      </c>
      <c r="G710" s="1055" t="str">
        <f t="shared" si="58"/>
        <v>GPL pour véhicule routier, Réunion, Base Carbone; kgCO2e/kWh PCI, Combustion</v>
      </c>
      <c r="I710" s="1100" t="s">
        <v>1595</v>
      </c>
      <c r="J710" s="2352" t="s">
        <v>1573</v>
      </c>
      <c r="K710" s="2352" t="s">
        <v>1567</v>
      </c>
      <c r="L710" s="2352" t="s">
        <v>785</v>
      </c>
      <c r="M710" s="2355">
        <v>0.05</v>
      </c>
      <c r="N710" s="2352" t="s">
        <v>1569</v>
      </c>
      <c r="O710" s="2354">
        <v>0.23100000000000001</v>
      </c>
      <c r="P710" s="2353">
        <f t="shared" si="59"/>
        <v>0.23100000000000001</v>
      </c>
      <c r="Q710" s="2353">
        <v>0</v>
      </c>
      <c r="R710" s="2353">
        <v>0</v>
      </c>
      <c r="S710" s="2353">
        <v>0</v>
      </c>
      <c r="T710" s="2353">
        <v>0</v>
      </c>
      <c r="U710" s="2057">
        <v>0</v>
      </c>
    </row>
    <row r="711" spans="2:21" hidden="1" outlineLevel="1">
      <c r="B711" s="1050"/>
      <c r="C711" s="1050"/>
      <c r="D711" s="1051">
        <f t="shared" si="56"/>
        <v>19</v>
      </c>
      <c r="E711" s="1051" t="str">
        <f>IF(COUNTIF(E$547:E710,F711)&gt;0,"",F711)</f>
        <v/>
      </c>
      <c r="F711" s="1051" t="str">
        <f t="shared" si="57"/>
        <v>GPL pour véhicule routier, Réunion, Base Carbone</v>
      </c>
      <c r="G711" s="1055" t="str">
        <f t="shared" si="58"/>
        <v>GPL pour véhicule routier, Réunion, Base Carbone; kgCO2e/kWh PCI, Amont</v>
      </c>
      <c r="I711" s="1100" t="s">
        <v>1595</v>
      </c>
      <c r="J711" s="2352" t="s">
        <v>1573</v>
      </c>
      <c r="K711" s="2352" t="s">
        <v>1567</v>
      </c>
      <c r="L711" s="2352" t="s">
        <v>785</v>
      </c>
      <c r="M711" s="2355">
        <v>0.05</v>
      </c>
      <c r="N711" s="2352" t="s">
        <v>1570</v>
      </c>
      <c r="O711" s="2354">
        <v>5.1299999999999998E-2</v>
      </c>
      <c r="P711" s="2353">
        <f t="shared" si="59"/>
        <v>5.1299999999999998E-2</v>
      </c>
      <c r="Q711" s="2353">
        <v>0</v>
      </c>
      <c r="R711" s="2353">
        <v>0</v>
      </c>
      <c r="S711" s="2353">
        <v>0</v>
      </c>
      <c r="T711" s="2353">
        <v>0</v>
      </c>
      <c r="U711" s="2057">
        <v>0</v>
      </c>
    </row>
    <row r="712" spans="2:21" hidden="1" outlineLevel="1">
      <c r="B712" s="1050"/>
      <c r="C712" s="1050"/>
      <c r="D712" s="1051">
        <f t="shared" si="56"/>
        <v>19</v>
      </c>
      <c r="E712" s="1051" t="str">
        <f>IF(COUNTIF(E$547:E711,F712)&gt;0,"",F712)</f>
        <v/>
      </c>
      <c r="F712" s="1051" t="str">
        <f t="shared" si="57"/>
        <v>GPL pour véhicule routier, Réunion, Base Carbone</v>
      </c>
      <c r="G712" s="1055" t="str">
        <f t="shared" si="58"/>
        <v>GPL pour véhicule routier, Réunion, Base Carbone; kgCO2e/tep PCI, Combustion</v>
      </c>
      <c r="I712" s="1100" t="s">
        <v>1595</v>
      </c>
      <c r="J712" s="2352" t="s">
        <v>1575</v>
      </c>
      <c r="K712" s="2352" t="s">
        <v>1567</v>
      </c>
      <c r="L712" s="2352" t="s">
        <v>785</v>
      </c>
      <c r="M712" s="2355">
        <v>0.05</v>
      </c>
      <c r="N712" s="2352" t="s">
        <v>1569</v>
      </c>
      <c r="O712" s="2354">
        <v>2690</v>
      </c>
      <c r="P712" s="2353">
        <f t="shared" si="59"/>
        <v>2690</v>
      </c>
      <c r="Q712" s="2353">
        <v>0</v>
      </c>
      <c r="R712" s="2353">
        <v>0</v>
      </c>
      <c r="S712" s="2353">
        <v>0</v>
      </c>
      <c r="T712" s="2353">
        <v>0</v>
      </c>
      <c r="U712" s="2057">
        <v>0</v>
      </c>
    </row>
    <row r="713" spans="2:21" hidden="1" outlineLevel="1">
      <c r="B713" s="1050"/>
      <c r="C713" s="1050"/>
      <c r="D713" s="1051">
        <f t="shared" si="56"/>
        <v>19</v>
      </c>
      <c r="E713" s="1051" t="str">
        <f>IF(COUNTIF(E$547:E712,F713)&gt;0,"",F713)</f>
        <v/>
      </c>
      <c r="F713" s="1051" t="str">
        <f t="shared" si="57"/>
        <v>GPL pour véhicule routier, Réunion, Base Carbone</v>
      </c>
      <c r="G713" s="1055" t="str">
        <f t="shared" si="58"/>
        <v>GPL pour véhicule routier, Réunion, Base Carbone; kgCO2e/tep PCI, Amont</v>
      </c>
      <c r="I713" s="1100" t="s">
        <v>1595</v>
      </c>
      <c r="J713" s="2352" t="s">
        <v>1575</v>
      </c>
      <c r="K713" s="2352" t="s">
        <v>1567</v>
      </c>
      <c r="L713" s="2352" t="s">
        <v>785</v>
      </c>
      <c r="M713" s="2355">
        <v>0.05</v>
      </c>
      <c r="N713" s="2352" t="s">
        <v>1570</v>
      </c>
      <c r="O713" s="2354">
        <v>579</v>
      </c>
      <c r="P713" s="2353">
        <f t="shared" si="59"/>
        <v>579</v>
      </c>
      <c r="Q713" s="2353">
        <v>0</v>
      </c>
      <c r="R713" s="2353">
        <v>0</v>
      </c>
      <c r="S713" s="2353">
        <v>0</v>
      </c>
      <c r="T713" s="2353">
        <v>0</v>
      </c>
      <c r="U713" s="2057">
        <v>0</v>
      </c>
    </row>
    <row r="714" spans="2:21" hidden="1" outlineLevel="1">
      <c r="B714" s="1050"/>
      <c r="C714" s="1050"/>
      <c r="D714" s="1051">
        <f t="shared" si="56"/>
        <v>19</v>
      </c>
      <c r="E714" s="1051" t="str">
        <f>IF(COUNTIF(E$547:E713,F714)&gt;0,"",F714)</f>
        <v/>
      </c>
      <c r="F714" s="1051" t="str">
        <f t="shared" si="57"/>
        <v>GPL pour véhicule routier, Réunion, Base Carbone</v>
      </c>
      <c r="G714" s="1055" t="str">
        <f t="shared" si="58"/>
        <v>GPL pour véhicule routier, Réunion, Base Carbone; kgCO2e/litre, Combustion</v>
      </c>
      <c r="I714" s="1100" t="s">
        <v>1595</v>
      </c>
      <c r="J714" s="2352" t="s">
        <v>1574</v>
      </c>
      <c r="K714" s="2352" t="s">
        <v>1567</v>
      </c>
      <c r="L714" s="2352" t="s">
        <v>785</v>
      </c>
      <c r="M714" s="2355">
        <v>0.05</v>
      </c>
      <c r="N714" s="2352" t="s">
        <v>1569</v>
      </c>
      <c r="O714" s="2354">
        <v>1.58</v>
      </c>
      <c r="P714" s="2353">
        <f t="shared" si="59"/>
        <v>1.58</v>
      </c>
      <c r="Q714" s="2353">
        <v>0</v>
      </c>
      <c r="R714" s="2353">
        <v>0</v>
      </c>
      <c r="S714" s="2353">
        <v>0</v>
      </c>
      <c r="T714" s="2353">
        <v>0</v>
      </c>
      <c r="U714" s="2057">
        <v>0</v>
      </c>
    </row>
    <row r="715" spans="2:21" hidden="1" outlineLevel="1">
      <c r="B715" s="1050"/>
      <c r="C715" s="1050"/>
      <c r="D715" s="1051">
        <f t="shared" si="56"/>
        <v>19</v>
      </c>
      <c r="E715" s="1051" t="str">
        <f>IF(COUNTIF(E$547:E714,F715)&gt;0,"",F715)</f>
        <v/>
      </c>
      <c r="F715" s="1051" t="str">
        <f t="shared" si="57"/>
        <v>GPL pour véhicule routier, Réunion, Base Carbone</v>
      </c>
      <c r="G715" s="1055" t="str">
        <f t="shared" si="58"/>
        <v>GPL pour véhicule routier, Réunion, Base Carbone; kgCO2e/litre, Amont</v>
      </c>
      <c r="I715" s="1100" t="s">
        <v>1595</v>
      </c>
      <c r="J715" s="2352" t="s">
        <v>1574</v>
      </c>
      <c r="K715" s="2352" t="s">
        <v>1567</v>
      </c>
      <c r="L715" s="2352" t="s">
        <v>785</v>
      </c>
      <c r="M715" s="2355">
        <v>0.05</v>
      </c>
      <c r="N715" s="2352" t="s">
        <v>1570</v>
      </c>
      <c r="O715" s="2354">
        <v>0.32300000000000001</v>
      </c>
      <c r="P715" s="2353">
        <f t="shared" si="59"/>
        <v>0.32300000000000001</v>
      </c>
      <c r="Q715" s="2353">
        <v>0</v>
      </c>
      <c r="R715" s="2353">
        <v>0</v>
      </c>
      <c r="S715" s="2353">
        <v>0</v>
      </c>
      <c r="T715" s="2353">
        <v>0</v>
      </c>
      <c r="U715" s="2057">
        <v>0</v>
      </c>
    </row>
    <row r="716" spans="2:21" hidden="1" outlineLevel="1">
      <c r="B716" s="1050"/>
      <c r="C716" s="1050"/>
      <c r="D716" s="1051">
        <f t="shared" si="56"/>
        <v>20</v>
      </c>
      <c r="E716" s="1051" t="str">
        <f>IF(COUNTIF(E$547:E715,F716)&gt;0,"",F716)</f>
        <v>GPL pour véhicule routier, Guadeloupe, Martinique, Guyane, Corse, Base Carbone</v>
      </c>
      <c r="F716" s="1051" t="str">
        <f t="shared" si="57"/>
        <v>GPL pour véhicule routier, Guadeloupe, Martinique, Guyane, Corse, Base Carbone</v>
      </c>
      <c r="G716" s="1055" t="str">
        <f t="shared" si="58"/>
        <v>GPL pour véhicule routier, Guadeloupe, Martinique, Guyane, Corse, Base Carbone; kgCO2e/kg, Combustion</v>
      </c>
      <c r="I716" s="1100" t="s">
        <v>1595</v>
      </c>
      <c r="J716" s="1979" t="s">
        <v>1572</v>
      </c>
      <c r="K716" s="2352" t="s">
        <v>1567</v>
      </c>
      <c r="L716" s="2352" t="s">
        <v>3084</v>
      </c>
      <c r="M716" s="2355">
        <v>0.05</v>
      </c>
      <c r="N716" s="2352" t="s">
        <v>1569</v>
      </c>
      <c r="O716" s="1673">
        <v>2.944</v>
      </c>
      <c r="P716" s="2353">
        <f t="shared" si="59"/>
        <v>2.944</v>
      </c>
      <c r="Q716" s="2353">
        <v>0</v>
      </c>
      <c r="R716" s="2353">
        <v>0</v>
      </c>
      <c r="S716" s="2353">
        <v>0</v>
      </c>
      <c r="T716" s="2353">
        <v>0</v>
      </c>
      <c r="U716" s="2057">
        <v>0</v>
      </c>
    </row>
    <row r="717" spans="2:21" hidden="1" outlineLevel="1">
      <c r="B717" s="1050"/>
      <c r="C717" s="1050"/>
      <c r="D717" s="1051">
        <f t="shared" si="56"/>
        <v>20</v>
      </c>
      <c r="E717" s="1051" t="str">
        <f>IF(COUNTIF(E$547:E716,F717)&gt;0,"",F717)</f>
        <v/>
      </c>
      <c r="F717" s="1051" t="str">
        <f t="shared" si="57"/>
        <v>GPL pour véhicule routier, Guadeloupe, Martinique, Guyane, Corse, Base Carbone</v>
      </c>
      <c r="G717" s="1055" t="str">
        <f t="shared" si="58"/>
        <v>GPL pour véhicule routier, Guadeloupe, Martinique, Guyane, Corse, Base Carbone; kgCO2e/kg, Amont</v>
      </c>
      <c r="I717" s="1100" t="s">
        <v>1595</v>
      </c>
      <c r="J717" s="1979" t="s">
        <v>1572</v>
      </c>
      <c r="K717" s="2352" t="s">
        <v>1567</v>
      </c>
      <c r="L717" s="2352" t="s">
        <v>3084</v>
      </c>
      <c r="M717" s="2355">
        <v>0.05</v>
      </c>
      <c r="N717" s="2352" t="s">
        <v>1570</v>
      </c>
      <c r="O717" s="1673">
        <v>0.55400000000000005</v>
      </c>
      <c r="P717" s="2353">
        <f t="shared" si="59"/>
        <v>0.55400000000000005</v>
      </c>
      <c r="Q717" s="2353">
        <v>0</v>
      </c>
      <c r="R717" s="2353">
        <v>0</v>
      </c>
      <c r="S717" s="2353">
        <v>0</v>
      </c>
      <c r="T717" s="2353">
        <v>0</v>
      </c>
      <c r="U717" s="2057">
        <v>0</v>
      </c>
    </row>
    <row r="718" spans="2:21" hidden="1" outlineLevel="1">
      <c r="B718" s="1050"/>
      <c r="C718" s="1050"/>
      <c r="D718" s="1051">
        <f t="shared" si="56"/>
        <v>20</v>
      </c>
      <c r="E718" s="1051" t="str">
        <f>IF(COUNTIF(E$547:E717,F718)&gt;0,"",F718)</f>
        <v/>
      </c>
      <c r="F718" s="1051" t="str">
        <f t="shared" si="57"/>
        <v>GPL pour véhicule routier, Guadeloupe, Martinique, Guyane, Corse, Base Carbone</v>
      </c>
      <c r="G718" s="1055" t="str">
        <f t="shared" si="58"/>
        <v>GPL pour véhicule routier, Guadeloupe, Martinique, Guyane, Corse, Base Carbone; kgCO2e/kWh PCI, Combustion</v>
      </c>
      <c r="I718" s="1100" t="s">
        <v>1595</v>
      </c>
      <c r="J718" s="2352" t="s">
        <v>1573</v>
      </c>
      <c r="K718" s="2352" t="s">
        <v>1567</v>
      </c>
      <c r="L718" s="2352" t="s">
        <v>3084</v>
      </c>
      <c r="M718" s="2355">
        <v>0.05</v>
      </c>
      <c r="N718" s="2352" t="s">
        <v>1569</v>
      </c>
      <c r="O718" s="2354">
        <v>0.23100000000000001</v>
      </c>
      <c r="P718" s="2353">
        <f t="shared" si="59"/>
        <v>0.23100000000000001</v>
      </c>
      <c r="Q718" s="2353">
        <v>0</v>
      </c>
      <c r="R718" s="2353">
        <v>0</v>
      </c>
      <c r="S718" s="2353">
        <v>0</v>
      </c>
      <c r="T718" s="2353">
        <v>0</v>
      </c>
      <c r="U718" s="2057">
        <v>0</v>
      </c>
    </row>
    <row r="719" spans="2:21" hidden="1" outlineLevel="1">
      <c r="B719" s="1050"/>
      <c r="C719" s="1050"/>
      <c r="D719" s="1051">
        <f t="shared" si="56"/>
        <v>20</v>
      </c>
      <c r="E719" s="1051" t="str">
        <f>IF(COUNTIF(E$547:E718,F719)&gt;0,"",F719)</f>
        <v/>
      </c>
      <c r="F719" s="1051" t="str">
        <f t="shared" si="57"/>
        <v>GPL pour véhicule routier, Guadeloupe, Martinique, Guyane, Corse, Base Carbone</v>
      </c>
      <c r="G719" s="1055" t="str">
        <f t="shared" si="58"/>
        <v>GPL pour véhicule routier, Guadeloupe, Martinique, Guyane, Corse, Base Carbone; kgCO2e/kWh PCI, Amont</v>
      </c>
      <c r="I719" s="1100" t="s">
        <v>1595</v>
      </c>
      <c r="J719" s="2352" t="s">
        <v>1573</v>
      </c>
      <c r="K719" s="2352" t="s">
        <v>1567</v>
      </c>
      <c r="L719" s="2352" t="s">
        <v>3084</v>
      </c>
      <c r="M719" s="2355">
        <v>0.05</v>
      </c>
      <c r="N719" s="2352" t="s">
        <v>1570</v>
      </c>
      <c r="O719" s="2354">
        <v>4.3400000000000001E-2</v>
      </c>
      <c r="P719" s="2353">
        <f t="shared" si="59"/>
        <v>4.3400000000000001E-2</v>
      </c>
      <c r="Q719" s="2353">
        <v>0</v>
      </c>
      <c r="R719" s="2353">
        <v>0</v>
      </c>
      <c r="S719" s="2353">
        <v>0</v>
      </c>
      <c r="T719" s="2353">
        <v>0</v>
      </c>
      <c r="U719" s="2057">
        <v>0</v>
      </c>
    </row>
    <row r="720" spans="2:21" hidden="1" outlineLevel="1">
      <c r="B720" s="1050"/>
      <c r="C720" s="1050"/>
      <c r="D720" s="1051">
        <f t="shared" si="56"/>
        <v>20</v>
      </c>
      <c r="E720" s="1051" t="str">
        <f>IF(COUNTIF(E$547:E719,F720)&gt;0,"",F720)</f>
        <v/>
      </c>
      <c r="F720" s="1051" t="str">
        <f t="shared" si="57"/>
        <v>GPL pour véhicule routier, Guadeloupe, Martinique, Guyane, Corse, Base Carbone</v>
      </c>
      <c r="G720" s="1055" t="str">
        <f t="shared" si="58"/>
        <v>GPL pour véhicule routier, Guadeloupe, Martinique, Guyane, Corse, Base Carbone; kgCO2e/tep PCI, Combustion</v>
      </c>
      <c r="I720" s="1100" t="s">
        <v>1595</v>
      </c>
      <c r="J720" s="2352" t="s">
        <v>1575</v>
      </c>
      <c r="K720" s="2352" t="s">
        <v>1567</v>
      </c>
      <c r="L720" s="2352" t="s">
        <v>3084</v>
      </c>
      <c r="M720" s="2355">
        <v>0.05</v>
      </c>
      <c r="N720" s="2352" t="s">
        <v>1569</v>
      </c>
      <c r="O720" s="2354">
        <v>2690</v>
      </c>
      <c r="P720" s="2353">
        <f t="shared" si="59"/>
        <v>2690</v>
      </c>
      <c r="Q720" s="2353">
        <v>0</v>
      </c>
      <c r="R720" s="2353">
        <v>0</v>
      </c>
      <c r="S720" s="2353">
        <v>0</v>
      </c>
      <c r="T720" s="2353">
        <v>0</v>
      </c>
      <c r="U720" s="2057">
        <v>0</v>
      </c>
    </row>
    <row r="721" spans="2:21" hidden="1" outlineLevel="1">
      <c r="B721" s="1050"/>
      <c r="C721" s="1050"/>
      <c r="D721" s="1051">
        <f t="shared" si="56"/>
        <v>20</v>
      </c>
      <c r="E721" s="1051" t="str">
        <f>IF(COUNTIF(E$547:E720,F721)&gt;0,"",F721)</f>
        <v/>
      </c>
      <c r="F721" s="1051" t="str">
        <f t="shared" si="57"/>
        <v>GPL pour véhicule routier, Guadeloupe, Martinique, Guyane, Corse, Base Carbone</v>
      </c>
      <c r="G721" s="1055" t="str">
        <f t="shared" si="58"/>
        <v>GPL pour véhicule routier, Guadeloupe, Martinique, Guyane, Corse, Base Carbone; kgCO2e/tep PCI, Amont</v>
      </c>
      <c r="I721" s="1100" t="s">
        <v>1595</v>
      </c>
      <c r="J721" s="2352" t="s">
        <v>1575</v>
      </c>
      <c r="K721" s="2352" t="s">
        <v>1567</v>
      </c>
      <c r="L721" s="2352" t="s">
        <v>3084</v>
      </c>
      <c r="M721" s="2355">
        <v>0.05</v>
      </c>
      <c r="N721" s="2352" t="s">
        <v>1570</v>
      </c>
      <c r="O721" s="2354">
        <v>505</v>
      </c>
      <c r="P721" s="2353">
        <f t="shared" si="59"/>
        <v>505</v>
      </c>
      <c r="Q721" s="2353">
        <v>0</v>
      </c>
      <c r="R721" s="2353">
        <v>0</v>
      </c>
      <c r="S721" s="2353">
        <v>0</v>
      </c>
      <c r="T721" s="2353">
        <v>0</v>
      </c>
      <c r="U721" s="2057">
        <v>0</v>
      </c>
    </row>
    <row r="722" spans="2:21" hidden="1" outlineLevel="1">
      <c r="B722" s="1050"/>
      <c r="C722" s="1050"/>
      <c r="D722" s="1051">
        <f t="shared" si="56"/>
        <v>20</v>
      </c>
      <c r="E722" s="1051" t="str">
        <f>IF(COUNTIF(E$547:E721,F722)&gt;0,"",F722)</f>
        <v/>
      </c>
      <c r="F722" s="1051" t="str">
        <f t="shared" si="57"/>
        <v>GPL pour véhicule routier, Guadeloupe, Martinique, Guyane, Corse, Base Carbone</v>
      </c>
      <c r="G722" s="1055" t="str">
        <f t="shared" si="58"/>
        <v>GPL pour véhicule routier, Guadeloupe, Martinique, Guyane, Corse, Base Carbone; kgCO2e/litre, Combustion</v>
      </c>
      <c r="I722" s="1100" t="s">
        <v>1595</v>
      </c>
      <c r="J722" s="2352" t="s">
        <v>1574</v>
      </c>
      <c r="K722" s="2352" t="s">
        <v>1567</v>
      </c>
      <c r="L722" s="2352" t="s">
        <v>3084</v>
      </c>
      <c r="M722" s="2355">
        <v>0.05</v>
      </c>
      <c r="N722" s="2352" t="s">
        <v>1569</v>
      </c>
      <c r="O722" s="2354">
        <v>1.58</v>
      </c>
      <c r="P722" s="2353">
        <f t="shared" si="59"/>
        <v>1.58</v>
      </c>
      <c r="Q722" s="2353">
        <v>0</v>
      </c>
      <c r="R722" s="2353">
        <v>0</v>
      </c>
      <c r="S722" s="2353">
        <v>0</v>
      </c>
      <c r="T722" s="2353">
        <v>0</v>
      </c>
      <c r="U722" s="2057">
        <v>0</v>
      </c>
    </row>
    <row r="723" spans="2:21" hidden="1" outlineLevel="1">
      <c r="B723" s="1050"/>
      <c r="C723" s="1050"/>
      <c r="D723" s="1051">
        <f t="shared" si="56"/>
        <v>20</v>
      </c>
      <c r="E723" s="1051" t="str">
        <f>IF(COUNTIF(E$547:E722,F723)&gt;0,"",F723)</f>
        <v/>
      </c>
      <c r="F723" s="1051" t="str">
        <f t="shared" si="57"/>
        <v>GPL pour véhicule routier, Guadeloupe, Martinique, Guyane, Corse, Base Carbone</v>
      </c>
      <c r="G723" s="1055" t="str">
        <f t="shared" si="58"/>
        <v>GPL pour véhicule routier, Guadeloupe, Martinique, Guyane, Corse, Base Carbone; kgCO2e/litre, Amont</v>
      </c>
      <c r="I723" s="1100" t="s">
        <v>1595</v>
      </c>
      <c r="J723" s="2352" t="s">
        <v>1574</v>
      </c>
      <c r="K723" s="2352" t="s">
        <v>1567</v>
      </c>
      <c r="L723" s="2352" t="s">
        <v>3084</v>
      </c>
      <c r="M723" s="2355">
        <v>0.05</v>
      </c>
      <c r="N723" s="2352" t="s">
        <v>1570</v>
      </c>
      <c r="O723" s="2354">
        <v>0.29799999999999999</v>
      </c>
      <c r="P723" s="2353">
        <f t="shared" si="59"/>
        <v>0.29799999999999999</v>
      </c>
      <c r="Q723" s="2353">
        <v>0</v>
      </c>
      <c r="R723" s="2353">
        <v>0</v>
      </c>
      <c r="S723" s="2353">
        <v>0</v>
      </c>
      <c r="T723" s="2353">
        <v>0</v>
      </c>
      <c r="U723" s="2057">
        <v>0</v>
      </c>
    </row>
    <row r="724" spans="2:21" hidden="1" outlineLevel="1">
      <c r="B724" s="1050"/>
      <c r="C724" s="1050"/>
      <c r="D724" s="1051">
        <f t="shared" si="56"/>
        <v>21</v>
      </c>
      <c r="E724" s="1051" t="str">
        <f>IF(COUNTIF(E$547:E723,F724)&gt;0,"",F724)</f>
        <v>GPL pour véhicule routier, Nouvelle Calédonie, Base Carbone</v>
      </c>
      <c r="F724" s="1051" t="str">
        <f t="shared" si="57"/>
        <v>GPL pour véhicule routier, Nouvelle Calédonie, Base Carbone</v>
      </c>
      <c r="G724" s="1055" t="str">
        <f t="shared" si="58"/>
        <v>GPL pour véhicule routier, Nouvelle Calédonie, Base Carbone; kgCO2e/kg, Combustion</v>
      </c>
      <c r="I724" s="1100" t="s">
        <v>1595</v>
      </c>
      <c r="J724" s="1979" t="s">
        <v>1572</v>
      </c>
      <c r="K724" s="2352" t="s">
        <v>1567</v>
      </c>
      <c r="L724" s="2352" t="s">
        <v>3085</v>
      </c>
      <c r="M724" s="2355">
        <v>0.05</v>
      </c>
      <c r="N724" s="2352" t="s">
        <v>1569</v>
      </c>
      <c r="O724" s="1673">
        <v>2.944</v>
      </c>
      <c r="P724" s="2353">
        <f t="shared" si="59"/>
        <v>2.944</v>
      </c>
      <c r="Q724" s="2353">
        <v>0</v>
      </c>
      <c r="R724" s="2353">
        <v>0</v>
      </c>
      <c r="S724" s="2353">
        <v>0</v>
      </c>
      <c r="T724" s="2353">
        <v>0</v>
      </c>
      <c r="U724" s="2057">
        <v>0</v>
      </c>
    </row>
    <row r="725" spans="2:21" hidden="1" outlineLevel="1">
      <c r="B725" s="1050"/>
      <c r="C725" s="1050"/>
      <c r="D725" s="1051">
        <f t="shared" si="56"/>
        <v>21</v>
      </c>
      <c r="E725" s="1051" t="str">
        <f>IF(COUNTIF(E$547:E724,F725)&gt;0,"",F725)</f>
        <v/>
      </c>
      <c r="F725" s="1051" t="str">
        <f t="shared" si="57"/>
        <v>GPL pour véhicule routier, Nouvelle Calédonie, Base Carbone</v>
      </c>
      <c r="G725" s="1055" t="str">
        <f t="shared" si="58"/>
        <v>GPL pour véhicule routier, Nouvelle Calédonie, Base Carbone; kgCO2e/kg, Amont</v>
      </c>
      <c r="I725" s="1100" t="s">
        <v>1595</v>
      </c>
      <c r="J725" s="1979" t="s">
        <v>1572</v>
      </c>
      <c r="K725" s="2352" t="s">
        <v>1567</v>
      </c>
      <c r="L725" s="2352" t="s">
        <v>3085</v>
      </c>
      <c r="M725" s="2355">
        <v>0.05</v>
      </c>
      <c r="N725" s="2352" t="s">
        <v>1570</v>
      </c>
      <c r="O725" s="1673">
        <v>0.57999999999999996</v>
      </c>
      <c r="P725" s="2353">
        <f t="shared" si="59"/>
        <v>0.57999999999999996</v>
      </c>
      <c r="Q725" s="2353">
        <v>0</v>
      </c>
      <c r="R725" s="2353">
        <v>0</v>
      </c>
      <c r="S725" s="2353">
        <v>0</v>
      </c>
      <c r="T725" s="2353">
        <v>0</v>
      </c>
      <c r="U725" s="2057">
        <v>0</v>
      </c>
    </row>
    <row r="726" spans="2:21" hidden="1" outlineLevel="1">
      <c r="B726" s="1050"/>
      <c r="C726" s="1050"/>
      <c r="D726" s="1051">
        <f t="shared" si="56"/>
        <v>21</v>
      </c>
      <c r="E726" s="1051" t="str">
        <f>IF(COUNTIF(E$547:E725,F726)&gt;0,"",F726)</f>
        <v/>
      </c>
      <c r="F726" s="1051" t="str">
        <f t="shared" si="57"/>
        <v>GPL pour véhicule routier, Nouvelle Calédonie, Base Carbone</v>
      </c>
      <c r="G726" s="1055" t="str">
        <f t="shared" si="58"/>
        <v>GPL pour véhicule routier, Nouvelle Calédonie, Base Carbone; kgCO2e/kWh PCI, Combustion</v>
      </c>
      <c r="I726" s="1100" t="s">
        <v>1595</v>
      </c>
      <c r="J726" s="2352" t="s">
        <v>1573</v>
      </c>
      <c r="K726" s="2352" t="s">
        <v>1567</v>
      </c>
      <c r="L726" s="2352" t="s">
        <v>3085</v>
      </c>
      <c r="M726" s="2355">
        <v>0.05</v>
      </c>
      <c r="N726" s="2352" t="s">
        <v>1569</v>
      </c>
      <c r="O726" s="2354">
        <v>0.23100000000000001</v>
      </c>
      <c r="P726" s="2353">
        <f t="shared" si="59"/>
        <v>0.23100000000000001</v>
      </c>
      <c r="Q726" s="2353">
        <v>0</v>
      </c>
      <c r="R726" s="2353">
        <v>0</v>
      </c>
      <c r="S726" s="2353">
        <v>0</v>
      </c>
      <c r="T726" s="2353">
        <v>0</v>
      </c>
      <c r="U726" s="2057">
        <v>0</v>
      </c>
    </row>
    <row r="727" spans="2:21" hidden="1" outlineLevel="1">
      <c r="B727" s="1050"/>
      <c r="C727" s="1050"/>
      <c r="D727" s="1051">
        <f t="shared" si="56"/>
        <v>21</v>
      </c>
      <c r="E727" s="1051" t="str">
        <f>IF(COUNTIF(E$547:E726,F727)&gt;0,"",F727)</f>
        <v/>
      </c>
      <c r="F727" s="1051" t="str">
        <f t="shared" si="57"/>
        <v>GPL pour véhicule routier, Nouvelle Calédonie, Base Carbone</v>
      </c>
      <c r="G727" s="1055" t="str">
        <f t="shared" si="58"/>
        <v>GPL pour véhicule routier, Nouvelle Calédonie, Base Carbone; kgCO2e/kWh PCI, Amont</v>
      </c>
      <c r="I727" s="1100" t="s">
        <v>1595</v>
      </c>
      <c r="J727" s="2352" t="s">
        <v>1573</v>
      </c>
      <c r="K727" s="2352" t="s">
        <v>1567</v>
      </c>
      <c r="L727" s="2352" t="s">
        <v>3085</v>
      </c>
      <c r="M727" s="2355">
        <v>0.05</v>
      </c>
      <c r="N727" s="2352" t="s">
        <v>1570</v>
      </c>
      <c r="O727" s="2354">
        <v>4.3999999999999997E-2</v>
      </c>
      <c r="P727" s="2353">
        <f t="shared" si="59"/>
        <v>4.3999999999999997E-2</v>
      </c>
      <c r="Q727" s="2353">
        <v>0</v>
      </c>
      <c r="R727" s="2353">
        <v>0</v>
      </c>
      <c r="S727" s="2353">
        <v>0</v>
      </c>
      <c r="T727" s="2353">
        <v>0</v>
      </c>
      <c r="U727" s="2057">
        <v>0</v>
      </c>
    </row>
    <row r="728" spans="2:21" hidden="1" outlineLevel="1">
      <c r="B728" s="1050"/>
      <c r="C728" s="1050"/>
      <c r="D728" s="1051">
        <f t="shared" si="56"/>
        <v>21</v>
      </c>
      <c r="E728" s="1051" t="str">
        <f>IF(COUNTIF(E$547:E727,F728)&gt;0,"",F728)</f>
        <v/>
      </c>
      <c r="F728" s="1051" t="str">
        <f t="shared" si="57"/>
        <v>GPL pour véhicule routier, Nouvelle Calédonie, Base Carbone</v>
      </c>
      <c r="G728" s="1055" t="str">
        <f t="shared" si="58"/>
        <v>GPL pour véhicule routier, Nouvelle Calédonie, Base Carbone; kgCO2e/tep PCI, Combustion</v>
      </c>
      <c r="I728" s="1100" t="s">
        <v>1595</v>
      </c>
      <c r="J728" s="2352" t="s">
        <v>1575</v>
      </c>
      <c r="K728" s="2352" t="s">
        <v>1567</v>
      </c>
      <c r="L728" s="2352" t="s">
        <v>3085</v>
      </c>
      <c r="M728" s="2355">
        <v>0.05</v>
      </c>
      <c r="N728" s="2352" t="s">
        <v>1569</v>
      </c>
      <c r="O728" s="2354">
        <v>2690</v>
      </c>
      <c r="P728" s="2353">
        <f t="shared" si="59"/>
        <v>2690</v>
      </c>
      <c r="Q728" s="2353">
        <v>0</v>
      </c>
      <c r="R728" s="2353">
        <v>0</v>
      </c>
      <c r="S728" s="2353">
        <v>0</v>
      </c>
      <c r="T728" s="2353">
        <v>0</v>
      </c>
      <c r="U728" s="2057">
        <v>0</v>
      </c>
    </row>
    <row r="729" spans="2:21" hidden="1" outlineLevel="1">
      <c r="B729" s="1050"/>
      <c r="C729" s="1050"/>
      <c r="D729" s="1051">
        <f t="shared" si="56"/>
        <v>21</v>
      </c>
      <c r="E729" s="1051" t="str">
        <f>IF(COUNTIF(E$547:E728,F729)&gt;0,"",F729)</f>
        <v/>
      </c>
      <c r="F729" s="1051" t="str">
        <f t="shared" si="57"/>
        <v>GPL pour véhicule routier, Nouvelle Calédonie, Base Carbone</v>
      </c>
      <c r="G729" s="1055" t="str">
        <f t="shared" si="58"/>
        <v>GPL pour véhicule routier, Nouvelle Calédonie, Base Carbone; kgCO2e/tep PCI, Amont</v>
      </c>
      <c r="I729" s="1100" t="s">
        <v>1595</v>
      </c>
      <c r="J729" s="2352" t="s">
        <v>1575</v>
      </c>
      <c r="K729" s="2352" t="s">
        <v>1567</v>
      </c>
      <c r="L729" s="2352" t="s">
        <v>3085</v>
      </c>
      <c r="M729" s="2355">
        <v>0.05</v>
      </c>
      <c r="N729" s="2352" t="s">
        <v>1570</v>
      </c>
      <c r="O729" s="2354">
        <v>531</v>
      </c>
      <c r="P729" s="2353">
        <f t="shared" si="59"/>
        <v>531</v>
      </c>
      <c r="Q729" s="2353">
        <v>0</v>
      </c>
      <c r="R729" s="2353">
        <v>0</v>
      </c>
      <c r="S729" s="2353">
        <v>0</v>
      </c>
      <c r="T729" s="2353">
        <v>0</v>
      </c>
      <c r="U729" s="2057">
        <v>0</v>
      </c>
    </row>
    <row r="730" spans="2:21" hidden="1" outlineLevel="1">
      <c r="B730" s="1050"/>
      <c r="C730" s="1050"/>
      <c r="D730" s="1051">
        <f t="shared" si="56"/>
        <v>21</v>
      </c>
      <c r="E730" s="1051" t="str">
        <f>IF(COUNTIF(E$547:E729,F730)&gt;0,"",F730)</f>
        <v/>
      </c>
      <c r="F730" s="1051" t="str">
        <f t="shared" si="57"/>
        <v>GPL pour véhicule routier, Nouvelle Calédonie, Base Carbone</v>
      </c>
      <c r="G730" s="1055" t="str">
        <f t="shared" si="58"/>
        <v>GPL pour véhicule routier, Nouvelle Calédonie, Base Carbone; kgCO2e/litre, Combustion</v>
      </c>
      <c r="I730" s="1100" t="s">
        <v>1595</v>
      </c>
      <c r="J730" s="2352" t="s">
        <v>1574</v>
      </c>
      <c r="K730" s="2352" t="s">
        <v>1567</v>
      </c>
      <c r="L730" s="2352" t="s">
        <v>3085</v>
      </c>
      <c r="M730" s="2355">
        <v>0.05</v>
      </c>
      <c r="N730" s="2352" t="s">
        <v>1569</v>
      </c>
      <c r="O730" s="2354">
        <v>1.58</v>
      </c>
      <c r="P730" s="2353">
        <f t="shared" si="59"/>
        <v>1.58</v>
      </c>
      <c r="Q730" s="2353">
        <v>0</v>
      </c>
      <c r="R730" s="2353">
        <v>0</v>
      </c>
      <c r="S730" s="2353">
        <v>0</v>
      </c>
      <c r="T730" s="2353">
        <v>0</v>
      </c>
      <c r="U730" s="2057">
        <v>0</v>
      </c>
    </row>
    <row r="731" spans="2:21" hidden="1" outlineLevel="1">
      <c r="B731" s="1050"/>
      <c r="C731" s="1050"/>
      <c r="D731" s="1051">
        <f t="shared" si="56"/>
        <v>21</v>
      </c>
      <c r="E731" s="1051" t="str">
        <f>IF(COUNTIF(E$547:E730,F731)&gt;0,"",F731)</f>
        <v/>
      </c>
      <c r="F731" s="1051" t="str">
        <f t="shared" si="57"/>
        <v>GPL pour véhicule routier, Nouvelle Calédonie, Base Carbone</v>
      </c>
      <c r="G731" s="1055" t="str">
        <f t="shared" si="58"/>
        <v>GPL pour véhicule routier, Nouvelle Calédonie, Base Carbone; kgCO2e/litre, Amont</v>
      </c>
      <c r="I731" s="1100" t="s">
        <v>1595</v>
      </c>
      <c r="J731" s="2352" t="s">
        <v>1574</v>
      </c>
      <c r="K731" s="2352" t="s">
        <v>1567</v>
      </c>
      <c r="L731" s="2352" t="s">
        <v>3085</v>
      </c>
      <c r="M731" s="2355">
        <v>0.05</v>
      </c>
      <c r="N731" s="2352" t="s">
        <v>1570</v>
      </c>
      <c r="O731" s="2354">
        <v>0.32300000000000001</v>
      </c>
      <c r="P731" s="2353">
        <f t="shared" si="59"/>
        <v>0.32300000000000001</v>
      </c>
      <c r="Q731" s="2353">
        <v>0</v>
      </c>
      <c r="R731" s="2353">
        <v>0</v>
      </c>
      <c r="S731" s="2353">
        <v>0</v>
      </c>
      <c r="T731" s="2353">
        <v>0</v>
      </c>
      <c r="U731" s="2057">
        <v>0</v>
      </c>
    </row>
    <row r="732" spans="2:21" hidden="1" outlineLevel="1">
      <c r="B732" s="1050"/>
      <c r="C732" s="1050"/>
      <c r="D732" s="1051">
        <f t="shared" si="56"/>
        <v>22</v>
      </c>
      <c r="E732" s="1051" t="str">
        <f>IF(COUNTIF(E$547:E731,F732)&gt;0,"",F732)</f>
        <v>Biodiesel  - mix moyen (changement d'affectation des sols scénario maximum), France continentale, Base Carbone</v>
      </c>
      <c r="F732" s="1051" t="str">
        <f t="shared" si="57"/>
        <v>Biodiesel  - mix moyen (changement d'affectation des sols scénario maximum), France continentale, Base Carbone</v>
      </c>
      <c r="G732" s="1055" t="str">
        <f t="shared" si="58"/>
        <v>Biodiesel  - mix moyen (changement d'affectation des sols scénario maximum), France continentale, Base Carbone; kgCO2e/kWh PCI, Amont</v>
      </c>
      <c r="I732" s="1100" t="s">
        <v>5161</v>
      </c>
      <c r="J732" s="1048" t="s">
        <v>1573</v>
      </c>
      <c r="K732" s="1048" t="s">
        <v>1567</v>
      </c>
      <c r="L732" s="1048" t="s">
        <v>1571</v>
      </c>
      <c r="M732" s="1033">
        <v>0.2</v>
      </c>
      <c r="N732" s="1048" t="s">
        <v>1570</v>
      </c>
      <c r="O732" s="1036">
        <v>0.78</v>
      </c>
      <c r="P732" s="1036">
        <v>0.72699999999999998</v>
      </c>
      <c r="Q732" s="1036">
        <v>3.1900000000000001E-3</v>
      </c>
      <c r="R732" s="1036">
        <v>0</v>
      </c>
      <c r="S732" s="1036">
        <v>4.9799999999999997E-2</v>
      </c>
      <c r="T732" s="1036">
        <v>0</v>
      </c>
      <c r="U732" s="1037">
        <v>-0.252</v>
      </c>
    </row>
    <row r="733" spans="2:21" hidden="1" outlineLevel="1">
      <c r="B733" s="1050"/>
      <c r="C733" s="1050"/>
      <c r="D733" s="1051">
        <f t="shared" si="56"/>
        <v>22</v>
      </c>
      <c r="E733" s="1051" t="str">
        <f>IF(COUNTIF(E$547:E732,F733)&gt;0,"",F733)</f>
        <v/>
      </c>
      <c r="F733" s="1051" t="str">
        <f t="shared" si="57"/>
        <v>Biodiesel  - mix moyen (changement d'affectation des sols scénario maximum), France continentale, Base Carbone</v>
      </c>
      <c r="G733" s="1055" t="str">
        <f t="shared" si="58"/>
        <v>Biodiesel  - mix moyen (changement d'affectation des sols scénario maximum), France continentale, Base Carbone; kgCO2e/litre, Amont</v>
      </c>
      <c r="I733" s="1100" t="s">
        <v>5161</v>
      </c>
      <c r="J733" s="1048" t="s">
        <v>1574</v>
      </c>
      <c r="K733" s="1048" t="s">
        <v>1567</v>
      </c>
      <c r="L733" s="1048" t="s">
        <v>1571</v>
      </c>
      <c r="M733" s="1033">
        <v>0.2</v>
      </c>
      <c r="N733" s="1048" t="s">
        <v>1570</v>
      </c>
      <c r="O733" s="1036">
        <v>7.17</v>
      </c>
      <c r="P733" s="1036">
        <v>6.68</v>
      </c>
      <c r="Q733" s="1036">
        <v>2.93E-2</v>
      </c>
      <c r="R733" s="1036">
        <v>0</v>
      </c>
      <c r="S733" s="1036">
        <v>0.45800000000000002</v>
      </c>
      <c r="T733" s="1036">
        <v>0</v>
      </c>
      <c r="U733" s="1037">
        <v>-2.31</v>
      </c>
    </row>
    <row r="734" spans="2:21" hidden="1" outlineLevel="1">
      <c r="B734" s="1050"/>
      <c r="C734" s="1050"/>
      <c r="D734" s="1051">
        <f t="shared" si="56"/>
        <v>22</v>
      </c>
      <c r="E734" s="1051" t="str">
        <f>IF(COUNTIF(E$547:E733,F734)&gt;0,"",F734)</f>
        <v/>
      </c>
      <c r="F734" s="1051" t="str">
        <f t="shared" si="57"/>
        <v>Biodiesel  - mix moyen (changement d'affectation des sols scénario maximum), France continentale, Base Carbone</v>
      </c>
      <c r="G734" s="1055" t="str">
        <f t="shared" si="58"/>
        <v>Biodiesel  - mix moyen (changement d'affectation des sols scénario maximum), France continentale, Base Carbone; kgCO2e/MJ PCI, Amont</v>
      </c>
      <c r="I734" s="1100" t="s">
        <v>5161</v>
      </c>
      <c r="J734" s="1048" t="s">
        <v>1661</v>
      </c>
      <c r="K734" s="1048" t="s">
        <v>1567</v>
      </c>
      <c r="L734" s="1048" t="s">
        <v>1571</v>
      </c>
      <c r="M734" s="1033">
        <v>0.2</v>
      </c>
      <c r="N734" s="1048" t="s">
        <v>1570</v>
      </c>
      <c r="O734" s="1036">
        <v>0.217</v>
      </c>
      <c r="P734" s="1036">
        <v>0.20200000000000001</v>
      </c>
      <c r="Q734" s="1036">
        <v>8.8500000000000004E-4</v>
      </c>
      <c r="R734" s="1036">
        <v>0</v>
      </c>
      <c r="S734" s="1036">
        <v>1.38E-2</v>
      </c>
      <c r="T734" s="1036">
        <v>0</v>
      </c>
      <c r="U734" s="1037">
        <v>-6.9900000000000004E-2</v>
      </c>
    </row>
    <row r="735" spans="2:21" hidden="1" outlineLevel="1">
      <c r="B735" s="1050"/>
      <c r="C735" s="1050"/>
      <c r="D735" s="1051">
        <f t="shared" si="56"/>
        <v>22</v>
      </c>
      <c r="E735" s="1051" t="str">
        <f>IF(COUNTIF(E$547:E734,F735)&gt;0,"",F735)</f>
        <v/>
      </c>
      <c r="F735" s="1051" t="str">
        <f t="shared" si="57"/>
        <v>Biodiesel  - mix moyen (changement d'affectation des sols scénario maximum), France continentale, Base Carbone</v>
      </c>
      <c r="G735" s="1055" t="str">
        <f t="shared" si="58"/>
        <v>Biodiesel  - mix moyen (changement d'affectation des sols scénario maximum), France continentale, Base Carbone; kgCO2e/tep PCI, Amont</v>
      </c>
      <c r="I735" s="1100" t="s">
        <v>5161</v>
      </c>
      <c r="J735" s="1048" t="s">
        <v>1575</v>
      </c>
      <c r="K735" s="1048" t="s">
        <v>1567</v>
      </c>
      <c r="L735" s="1048" t="s">
        <v>1571</v>
      </c>
      <c r="M735" s="1033">
        <v>0.2</v>
      </c>
      <c r="N735" s="1048" t="s">
        <v>1570</v>
      </c>
      <c r="O735" s="1036">
        <v>9070</v>
      </c>
      <c r="P735" s="1036">
        <v>8450</v>
      </c>
      <c r="Q735" s="1036">
        <v>37.1</v>
      </c>
      <c r="R735" s="1036">
        <v>0</v>
      </c>
      <c r="S735" s="1036">
        <v>579</v>
      </c>
      <c r="T735" s="1036">
        <v>0</v>
      </c>
      <c r="U735" s="1037">
        <v>-2920</v>
      </c>
    </row>
    <row r="736" spans="2:21" hidden="1" outlineLevel="1">
      <c r="B736" s="1050"/>
      <c r="C736" s="1050"/>
      <c r="D736" s="1051">
        <f t="shared" si="56"/>
        <v>22</v>
      </c>
      <c r="E736" s="1051" t="str">
        <f>IF(COUNTIF(E$547:E735,F736)&gt;0,"",F736)</f>
        <v/>
      </c>
      <c r="F736" s="1051" t="str">
        <f t="shared" si="57"/>
        <v>Biodiesel  - mix moyen (changement d'affectation des sols scénario maximum), France continentale, Base Carbone</v>
      </c>
      <c r="G736" s="1055" t="str">
        <f t="shared" si="58"/>
        <v>Biodiesel  - mix moyen (changement d'affectation des sols scénario maximum), France continentale, Base Carbone; kgCO2e/tonne, Amont</v>
      </c>
      <c r="I736" s="1100" t="s">
        <v>5161</v>
      </c>
      <c r="J736" s="1048" t="s">
        <v>1585</v>
      </c>
      <c r="K736" s="1048" t="s">
        <v>1567</v>
      </c>
      <c r="L736" s="1048" t="s">
        <v>1571</v>
      </c>
      <c r="M736" s="1033">
        <v>0.2</v>
      </c>
      <c r="N736" s="1048" t="s">
        <v>1570</v>
      </c>
      <c r="O736" s="1036">
        <v>8060</v>
      </c>
      <c r="P736" s="1036">
        <v>7510</v>
      </c>
      <c r="Q736" s="1036">
        <v>32.9</v>
      </c>
      <c r="R736" s="1036">
        <v>0</v>
      </c>
      <c r="S736" s="1036">
        <v>514</v>
      </c>
      <c r="T736" s="1036">
        <v>0</v>
      </c>
      <c r="U736" s="1037">
        <v>-2600</v>
      </c>
    </row>
    <row r="737" spans="2:21" hidden="1" outlineLevel="1">
      <c r="B737" s="1050"/>
      <c r="C737" s="1050"/>
      <c r="D737" s="1051">
        <f t="shared" si="56"/>
        <v>22</v>
      </c>
      <c r="E737" s="1051" t="str">
        <f>IF(COUNTIF(E$547:E736,F737)&gt;0,"",F737)</f>
        <v/>
      </c>
      <c r="F737" s="1051" t="str">
        <f t="shared" si="57"/>
        <v>Biodiesel  - mix moyen (changement d'affectation des sols scénario maximum), France continentale, Base Carbone</v>
      </c>
      <c r="G737" s="1055" t="str">
        <f t="shared" si="58"/>
        <v>Biodiesel  - mix moyen (changement d'affectation des sols scénario maximum), France continentale, Base Carbone; kgCO2e/kWh PCI, Amont</v>
      </c>
      <c r="I737" s="1100" t="s">
        <v>5161</v>
      </c>
      <c r="J737" s="1048" t="s">
        <v>1573</v>
      </c>
      <c r="K737" s="1048" t="s">
        <v>1567</v>
      </c>
      <c r="L737" s="1048" t="s">
        <v>1571</v>
      </c>
      <c r="M737" s="1033">
        <v>0.2</v>
      </c>
      <c r="N737" s="1048" t="s">
        <v>1570</v>
      </c>
      <c r="O737" s="1036">
        <v>4.7100000000000003E-2</v>
      </c>
      <c r="P737" s="1036">
        <v>-5.8500000000000002E-3</v>
      </c>
      <c r="Q737" s="1036">
        <v>3.1900000000000001E-3</v>
      </c>
      <c r="R737" s="1036">
        <v>0</v>
      </c>
      <c r="S737" s="1036">
        <v>4.9799999999999997E-2</v>
      </c>
      <c r="T737" s="1036">
        <v>0</v>
      </c>
      <c r="U737" s="1037">
        <v>-0.252</v>
      </c>
    </row>
    <row r="738" spans="2:21" hidden="1" outlineLevel="1">
      <c r="B738" s="1050"/>
      <c r="C738" s="1050"/>
      <c r="D738" s="1051">
        <f t="shared" si="56"/>
        <v>22</v>
      </c>
      <c r="E738" s="1051" t="str">
        <f>IF(COUNTIF(E$547:E737,F738)&gt;0,"",F738)</f>
        <v/>
      </c>
      <c r="F738" s="1051" t="str">
        <f t="shared" si="57"/>
        <v>Biodiesel  - mix moyen (changement d'affectation des sols scénario maximum), France continentale, Base Carbone</v>
      </c>
      <c r="G738" s="1055" t="str">
        <f t="shared" si="58"/>
        <v>Biodiesel  - mix moyen (changement d'affectation des sols scénario maximum), France continentale, Base Carbone; kgCO2e/litre, Amont</v>
      </c>
      <c r="I738" s="1100" t="s">
        <v>5161</v>
      </c>
      <c r="J738" s="1048" t="s">
        <v>1574</v>
      </c>
      <c r="K738" s="1048" t="s">
        <v>1567</v>
      </c>
      <c r="L738" s="1048" t="s">
        <v>1571</v>
      </c>
      <c r="M738" s="1033">
        <v>0.2</v>
      </c>
      <c r="N738" s="1048" t="s">
        <v>1570</v>
      </c>
      <c r="O738" s="1036">
        <v>0.434</v>
      </c>
      <c r="P738" s="1036">
        <v>-5.3800000000000001E-2</v>
      </c>
      <c r="Q738" s="1036">
        <v>2.93E-2</v>
      </c>
      <c r="R738" s="1036">
        <v>0</v>
      </c>
      <c r="S738" s="1036">
        <v>0.45800000000000002</v>
      </c>
      <c r="T738" s="1036">
        <v>0</v>
      </c>
      <c r="U738" s="1037">
        <v>-2.31</v>
      </c>
    </row>
    <row r="739" spans="2:21" hidden="1" outlineLevel="1">
      <c r="B739" s="1050"/>
      <c r="C739" s="1050"/>
      <c r="D739" s="1051">
        <f t="shared" si="56"/>
        <v>22</v>
      </c>
      <c r="E739" s="1051" t="str">
        <f>IF(COUNTIF(E$547:E738,F739)&gt;0,"",F739)</f>
        <v/>
      </c>
      <c r="F739" s="1051" t="str">
        <f t="shared" si="57"/>
        <v>Biodiesel  - mix moyen (changement d'affectation des sols scénario maximum), France continentale, Base Carbone</v>
      </c>
      <c r="G739" s="1055" t="str">
        <f t="shared" si="58"/>
        <v>Biodiesel  - mix moyen (changement d'affectation des sols scénario maximum), France continentale, Base Carbone; kgCO2e/MJ PCI, Amont</v>
      </c>
      <c r="I739" s="1100" t="s">
        <v>5161</v>
      </c>
      <c r="J739" s="1048" t="s">
        <v>1661</v>
      </c>
      <c r="K739" s="1048" t="s">
        <v>1567</v>
      </c>
      <c r="L739" s="1048" t="s">
        <v>1571</v>
      </c>
      <c r="M739" s="1033">
        <v>0.2</v>
      </c>
      <c r="N739" s="1048" t="s">
        <v>1570</v>
      </c>
      <c r="O739" s="1036">
        <v>1.3100000000000001E-2</v>
      </c>
      <c r="P739" s="1036">
        <v>-1.6299999999999999E-3</v>
      </c>
      <c r="Q739" s="1036">
        <v>8.8500000000000004E-4</v>
      </c>
      <c r="R739" s="1036">
        <v>0</v>
      </c>
      <c r="S739" s="1036">
        <v>1.38E-2</v>
      </c>
      <c r="T739" s="1036">
        <v>0</v>
      </c>
      <c r="U739" s="1037">
        <v>-6.9900000000000004E-2</v>
      </c>
    </row>
    <row r="740" spans="2:21" hidden="1" outlineLevel="1">
      <c r="B740" s="1050"/>
      <c r="C740" s="1050"/>
      <c r="D740" s="1051">
        <f t="shared" si="56"/>
        <v>22</v>
      </c>
      <c r="E740" s="1051" t="str">
        <f>IF(COUNTIF(E$547:E739,F740)&gt;0,"",F740)</f>
        <v/>
      </c>
      <c r="F740" s="1051" t="str">
        <f t="shared" si="57"/>
        <v>Biodiesel  - mix moyen (changement d'affectation des sols scénario maximum), France continentale, Base Carbone</v>
      </c>
      <c r="G740" s="1055" t="str">
        <f t="shared" si="58"/>
        <v>Biodiesel  - mix moyen (changement d'affectation des sols scénario maximum), France continentale, Base Carbone; kgCO2e/tep PCI, Amont</v>
      </c>
      <c r="I740" s="1100" t="s">
        <v>5161</v>
      </c>
      <c r="J740" s="1048" t="s">
        <v>1575</v>
      </c>
      <c r="K740" s="1048" t="s">
        <v>1567</v>
      </c>
      <c r="L740" s="1048" t="s">
        <v>1571</v>
      </c>
      <c r="M740" s="1033">
        <v>0.2</v>
      </c>
      <c r="N740" s="1048" t="s">
        <v>1570</v>
      </c>
      <c r="O740" s="1036">
        <v>548</v>
      </c>
      <c r="P740" s="1036">
        <v>-68.099999999999994</v>
      </c>
      <c r="Q740" s="1036">
        <v>37.1</v>
      </c>
      <c r="R740" s="1036">
        <v>0</v>
      </c>
      <c r="S740" s="1036">
        <v>579</v>
      </c>
      <c r="T740" s="1036">
        <v>0</v>
      </c>
      <c r="U740" s="1037">
        <v>-2920</v>
      </c>
    </row>
    <row r="741" spans="2:21" hidden="1" outlineLevel="1">
      <c r="B741" s="1050"/>
      <c r="C741" s="1050"/>
      <c r="D741" s="1051">
        <f t="shared" ref="D741:D762" si="60">D740+IF(LEN(E741)&gt;0,1,0)</f>
        <v>22</v>
      </c>
      <c r="E741" s="1051" t="str">
        <f>IF(COUNTIF(E$547:E740,F741)&gt;0,"",F741)</f>
        <v/>
      </c>
      <c r="F741" s="1051" t="str">
        <f t="shared" ref="F741:F762" si="61">IF(I741&lt;&gt;"",I741&amp;IF(L741&lt;&gt;"",", "&amp;L741,"")&amp;IF(K741&lt;&gt;"",", "&amp;K741,""),"")</f>
        <v>Biodiesel  - mix moyen (changement d'affectation des sols scénario maximum), France continentale, Base Carbone</v>
      </c>
      <c r="G741" s="1055" t="str">
        <f t="shared" ref="G741:G762" si="62">IF(F741&lt;&gt;"",F741&amp;IF(J741&lt;&gt;"","; "&amp;J741,"")&amp;IF(N741&lt;&gt;"",", "&amp;N741,""),"")</f>
        <v>Biodiesel  - mix moyen (changement d'affectation des sols scénario maximum), France continentale, Base Carbone; kgCO2e/tonne, Amont</v>
      </c>
      <c r="I741" s="1100" t="s">
        <v>5161</v>
      </c>
      <c r="J741" s="1048" t="s">
        <v>1585</v>
      </c>
      <c r="K741" s="1048" t="s">
        <v>1567</v>
      </c>
      <c r="L741" s="1048" t="s">
        <v>1571</v>
      </c>
      <c r="M741" s="1033">
        <v>0.2</v>
      </c>
      <c r="N741" s="1048" t="s">
        <v>1570</v>
      </c>
      <c r="O741" s="1036">
        <v>486</v>
      </c>
      <c r="P741" s="1036">
        <v>-60.5</v>
      </c>
      <c r="Q741" s="1036">
        <v>32.9</v>
      </c>
      <c r="R741" s="1036">
        <v>0</v>
      </c>
      <c r="S741" s="1036">
        <v>514</v>
      </c>
      <c r="T741" s="1036">
        <v>0</v>
      </c>
      <c r="U741" s="1037">
        <v>-2600</v>
      </c>
    </row>
    <row r="742" spans="2:21" hidden="1" outlineLevel="1">
      <c r="B742" s="1050"/>
      <c r="C742" s="1050"/>
      <c r="D742" s="1051">
        <f t="shared" si="60"/>
        <v>23</v>
      </c>
      <c r="E742" s="1051" t="str">
        <f>IF(COUNTIF(E$547:E741,F742)&gt;0,"",F742)</f>
        <v>Biodiesel - mix moyen (sans changement d'affectation des sols), France continentale, Base Carbone</v>
      </c>
      <c r="F742" s="1051" t="str">
        <f t="shared" si="61"/>
        <v>Biodiesel - mix moyen (sans changement d'affectation des sols), France continentale, Base Carbone</v>
      </c>
      <c r="G742" s="1055" t="str">
        <f t="shared" si="62"/>
        <v>Biodiesel - mix moyen (sans changement d'affectation des sols), France continentale, Base Carbone; kgCO2e/kWh PCI, Amont</v>
      </c>
      <c r="I742" s="1100" t="s">
        <v>4733</v>
      </c>
      <c r="J742" s="1048" t="s">
        <v>1573</v>
      </c>
      <c r="K742" s="1048" t="s">
        <v>1567</v>
      </c>
      <c r="L742" s="1048" t="s">
        <v>1571</v>
      </c>
      <c r="M742" s="1033">
        <v>0.2</v>
      </c>
      <c r="N742" s="1048" t="s">
        <v>1570</v>
      </c>
      <c r="O742" s="1036">
        <v>0.11</v>
      </c>
      <c r="P742" s="1036">
        <v>5.6899999999999999E-2</v>
      </c>
      <c r="Q742" s="1036">
        <v>3.1900000000000001E-3</v>
      </c>
      <c r="R742" s="1036">
        <v>0</v>
      </c>
      <c r="S742" s="1036">
        <v>4.9799999999999997E-2</v>
      </c>
      <c r="T742" s="1036">
        <v>0</v>
      </c>
      <c r="U742" s="1037">
        <v>-0.252</v>
      </c>
    </row>
    <row r="743" spans="2:21" hidden="1" outlineLevel="1">
      <c r="B743" s="1050"/>
      <c r="C743" s="1050"/>
      <c r="D743" s="1051">
        <f t="shared" si="60"/>
        <v>23</v>
      </c>
      <c r="E743" s="1051" t="str">
        <f>IF(COUNTIF(E$547:E742,F743)&gt;0,"",F743)</f>
        <v/>
      </c>
      <c r="F743" s="1051" t="str">
        <f t="shared" si="61"/>
        <v>Biodiesel - mix moyen (sans changement d'affectation des sols), France continentale, Base Carbone</v>
      </c>
      <c r="G743" s="1055" t="str">
        <f t="shared" si="62"/>
        <v>Biodiesel - mix moyen (sans changement d'affectation des sols), France continentale, Base Carbone; kgCO2e/litre, Amont</v>
      </c>
      <c r="I743" s="1100" t="s">
        <v>4733</v>
      </c>
      <c r="J743" s="1048" t="s">
        <v>1574</v>
      </c>
      <c r="K743" s="1048" t="s">
        <v>1567</v>
      </c>
      <c r="L743" s="1048" t="s">
        <v>1571</v>
      </c>
      <c r="M743" s="1033">
        <v>0.2</v>
      </c>
      <c r="N743" s="1048" t="s">
        <v>1570</v>
      </c>
      <c r="O743" s="1036">
        <v>1.01</v>
      </c>
      <c r="P743" s="1036">
        <v>0.52400000000000002</v>
      </c>
      <c r="Q743" s="1036">
        <v>2.93E-2</v>
      </c>
      <c r="R743" s="1036">
        <v>0</v>
      </c>
      <c r="S743" s="1036">
        <v>0.45800000000000002</v>
      </c>
      <c r="T743" s="1036">
        <v>0</v>
      </c>
      <c r="U743" s="1037">
        <v>-2.31</v>
      </c>
    </row>
    <row r="744" spans="2:21" hidden="1" outlineLevel="1">
      <c r="B744" s="1050"/>
      <c r="C744" s="1050"/>
      <c r="D744" s="1051">
        <f t="shared" si="60"/>
        <v>23</v>
      </c>
      <c r="E744" s="1051" t="str">
        <f>IF(COUNTIF(E$547:E743,F744)&gt;0,"",F744)</f>
        <v/>
      </c>
      <c r="F744" s="1051" t="str">
        <f t="shared" si="61"/>
        <v>Biodiesel - mix moyen (sans changement d'affectation des sols), France continentale, Base Carbone</v>
      </c>
      <c r="G744" s="1055" t="str">
        <f t="shared" si="62"/>
        <v>Biodiesel - mix moyen (sans changement d'affectation des sols), France continentale, Base Carbone; kgCO2e/MJ PCI, Amont</v>
      </c>
      <c r="I744" s="1100" t="s">
        <v>4733</v>
      </c>
      <c r="J744" s="1048" t="s">
        <v>1661</v>
      </c>
      <c r="K744" s="1048" t="s">
        <v>1567</v>
      </c>
      <c r="L744" s="1048" t="s">
        <v>1571</v>
      </c>
      <c r="M744" s="1033">
        <v>0.2</v>
      </c>
      <c r="N744" s="1048" t="s">
        <v>1570</v>
      </c>
      <c r="O744" s="1036">
        <v>3.0499999999999999E-2</v>
      </c>
      <c r="P744" s="1036">
        <v>1.5800000000000002E-2</v>
      </c>
      <c r="Q744" s="1036">
        <v>8.8500000000000004E-4</v>
      </c>
      <c r="R744" s="1036">
        <v>0</v>
      </c>
      <c r="S744" s="1036">
        <v>1.38E-2</v>
      </c>
      <c r="T744" s="1036">
        <v>0</v>
      </c>
      <c r="U744" s="1037">
        <v>-6.9900000000000004E-2</v>
      </c>
    </row>
    <row r="745" spans="2:21" hidden="1" outlineLevel="1">
      <c r="B745" s="1050"/>
      <c r="C745" s="1050"/>
      <c r="D745" s="1051">
        <f t="shared" si="60"/>
        <v>23</v>
      </c>
      <c r="E745" s="1051" t="str">
        <f>IF(COUNTIF(E$547:E744,F745)&gt;0,"",F745)</f>
        <v/>
      </c>
      <c r="F745" s="1051" t="str">
        <f t="shared" si="61"/>
        <v>Biodiesel - mix moyen (sans changement d'affectation des sols), France continentale, Base Carbone</v>
      </c>
      <c r="G745" s="1055" t="str">
        <f t="shared" si="62"/>
        <v>Biodiesel - mix moyen (sans changement d'affectation des sols), France continentale, Base Carbone; kgCO2e/tep PCI, Amont</v>
      </c>
      <c r="I745" s="1100" t="s">
        <v>4733</v>
      </c>
      <c r="J745" s="1048" t="s">
        <v>1575</v>
      </c>
      <c r="K745" s="1048" t="s">
        <v>1567</v>
      </c>
      <c r="L745" s="1048" t="s">
        <v>1571</v>
      </c>
      <c r="M745" s="1033">
        <v>0.2</v>
      </c>
      <c r="N745" s="1048" t="s">
        <v>1570</v>
      </c>
      <c r="O745" s="1036">
        <v>1280</v>
      </c>
      <c r="P745" s="1036">
        <v>662</v>
      </c>
      <c r="Q745" s="1036">
        <v>37.1</v>
      </c>
      <c r="R745" s="1036">
        <v>0</v>
      </c>
      <c r="S745" s="1036">
        <v>579</v>
      </c>
      <c r="T745" s="1036">
        <v>0</v>
      </c>
      <c r="U745" s="1037">
        <v>-2920</v>
      </c>
    </row>
    <row r="746" spans="2:21" hidden="1" outlineLevel="1">
      <c r="B746" s="1050"/>
      <c r="C746" s="1050"/>
      <c r="D746" s="1051">
        <f t="shared" si="60"/>
        <v>23</v>
      </c>
      <c r="E746" s="1051" t="str">
        <f>IF(COUNTIF(E$547:E745,F746)&gt;0,"",F746)</f>
        <v/>
      </c>
      <c r="F746" s="1051" t="str">
        <f t="shared" si="61"/>
        <v>Biodiesel - mix moyen (sans changement d'affectation des sols), France continentale, Base Carbone</v>
      </c>
      <c r="G746" s="1055" t="str">
        <f t="shared" si="62"/>
        <v>Biodiesel - mix moyen (sans changement d'affectation des sols), France continentale, Base Carbone; kgCO2e/tonne, Amont</v>
      </c>
      <c r="I746" s="1100" t="s">
        <v>4733</v>
      </c>
      <c r="J746" s="1048" t="s">
        <v>1585</v>
      </c>
      <c r="K746" s="1048" t="s">
        <v>1567</v>
      </c>
      <c r="L746" s="1048" t="s">
        <v>1571</v>
      </c>
      <c r="M746" s="1033">
        <v>0.2</v>
      </c>
      <c r="N746" s="1048" t="s">
        <v>1570</v>
      </c>
      <c r="O746" s="1036">
        <v>1130</v>
      </c>
      <c r="P746" s="1036">
        <v>588</v>
      </c>
      <c r="Q746" s="1036">
        <v>32.9</v>
      </c>
      <c r="R746" s="1036">
        <v>0</v>
      </c>
      <c r="S746" s="1036">
        <v>514</v>
      </c>
      <c r="T746" s="1036">
        <v>0</v>
      </c>
      <c r="U746" s="1037">
        <v>-2600</v>
      </c>
    </row>
    <row r="747" spans="2:21" hidden="1" outlineLevel="1">
      <c r="B747" s="1050"/>
      <c r="C747" s="1050"/>
      <c r="D747" s="1051">
        <f t="shared" si="60"/>
        <v>24</v>
      </c>
      <c r="E747" s="1051" t="str">
        <f>IF(COUNTIF(E$547:E746,F747)&gt;0,"",F747)</f>
        <v>Bioéthanol (changement d'affectation des sols scénario maximum), France continentale, Base Carbone</v>
      </c>
      <c r="F747" s="1051" t="str">
        <f t="shared" si="61"/>
        <v>Bioéthanol (changement d'affectation des sols scénario maximum), France continentale, Base Carbone</v>
      </c>
      <c r="G747" s="1055" t="str">
        <f t="shared" si="62"/>
        <v>Bioéthanol (changement d'affectation des sols scénario maximum), France continentale, Base Carbone; kgCO2e/kWh PCI, Amont</v>
      </c>
      <c r="I747" s="1100" t="s">
        <v>1652</v>
      </c>
      <c r="J747" s="1048" t="s">
        <v>1573</v>
      </c>
      <c r="K747" s="1048" t="s">
        <v>1567</v>
      </c>
      <c r="L747" s="1048" t="s">
        <v>1571</v>
      </c>
      <c r="M747" s="1033">
        <v>0.2</v>
      </c>
      <c r="N747" s="1048" t="s">
        <v>1570</v>
      </c>
      <c r="O747" s="1036">
        <v>0.81499999999999995</v>
      </c>
      <c r="P747" s="1036">
        <v>0.77400000000000002</v>
      </c>
      <c r="Q747" s="1036">
        <v>5.2500000000000003E-3</v>
      </c>
      <c r="R747" s="1036">
        <v>0</v>
      </c>
      <c r="S747" s="1036">
        <v>3.6200000000000003E-2</v>
      </c>
      <c r="T747" s="1036">
        <v>0</v>
      </c>
      <c r="U747" s="1037">
        <v>-0.25800000000000001</v>
      </c>
    </row>
    <row r="748" spans="2:21" hidden="1" outlineLevel="1">
      <c r="B748" s="1050"/>
      <c r="C748" s="1050"/>
      <c r="D748" s="1051">
        <f t="shared" si="60"/>
        <v>24</v>
      </c>
      <c r="E748" s="1051" t="str">
        <f>IF(COUNTIF(E$547:E747,F748)&gt;0,"",F748)</f>
        <v/>
      </c>
      <c r="F748" s="1051" t="str">
        <f t="shared" si="61"/>
        <v>Bioéthanol (changement d'affectation des sols scénario maximum), France continentale, Base Carbone</v>
      </c>
      <c r="G748" s="1055" t="str">
        <f t="shared" si="62"/>
        <v>Bioéthanol (changement d'affectation des sols scénario maximum), France continentale, Base Carbone; kgCO2e/litre, Amont</v>
      </c>
      <c r="I748" s="1100" t="s">
        <v>1652</v>
      </c>
      <c r="J748" s="1048" t="s">
        <v>1574</v>
      </c>
      <c r="K748" s="1048" t="s">
        <v>1567</v>
      </c>
      <c r="L748" s="1048" t="s">
        <v>1571</v>
      </c>
      <c r="M748" s="1033">
        <v>0.2</v>
      </c>
      <c r="N748" s="1048" t="s">
        <v>1570</v>
      </c>
      <c r="O748" s="1036">
        <v>4.79</v>
      </c>
      <c r="P748" s="1036">
        <v>4.55</v>
      </c>
      <c r="Q748" s="1036">
        <v>3.09E-2</v>
      </c>
      <c r="R748" s="1036">
        <v>0</v>
      </c>
      <c r="S748" s="1036">
        <v>0.21299999999999999</v>
      </c>
      <c r="T748" s="1036">
        <v>0</v>
      </c>
      <c r="U748" s="1037">
        <v>-1.52</v>
      </c>
    </row>
    <row r="749" spans="2:21" hidden="1" outlineLevel="1">
      <c r="B749" s="1050"/>
      <c r="C749" s="1050"/>
      <c r="D749" s="1051">
        <f t="shared" si="60"/>
        <v>24</v>
      </c>
      <c r="E749" s="1051" t="str">
        <f>IF(COUNTIF(E$547:E748,F749)&gt;0,"",F749)</f>
        <v/>
      </c>
      <c r="F749" s="1051" t="str">
        <f t="shared" si="61"/>
        <v>Bioéthanol (changement d'affectation des sols scénario maximum), France continentale, Base Carbone</v>
      </c>
      <c r="G749" s="1055" t="str">
        <f t="shared" si="62"/>
        <v>Bioéthanol (changement d'affectation des sols scénario maximum), France continentale, Base Carbone; kgCO2e/MJ PCI, Amont</v>
      </c>
      <c r="I749" s="1100" t="s">
        <v>1652</v>
      </c>
      <c r="J749" s="1048" t="s">
        <v>1661</v>
      </c>
      <c r="K749" s="1048" t="s">
        <v>1567</v>
      </c>
      <c r="L749" s="1048" t="s">
        <v>1571</v>
      </c>
      <c r="M749" s="1033">
        <v>0.2</v>
      </c>
      <c r="N749" s="1048" t="s">
        <v>1570</v>
      </c>
      <c r="O749" s="1036">
        <v>0.22600000000000001</v>
      </c>
      <c r="P749" s="1036">
        <v>0.215</v>
      </c>
      <c r="Q749" s="1036">
        <v>1.4599999999999999E-3</v>
      </c>
      <c r="R749" s="1036">
        <v>0</v>
      </c>
      <c r="S749" s="1036">
        <v>0.01</v>
      </c>
      <c r="T749" s="1036">
        <v>0</v>
      </c>
      <c r="U749" s="1037">
        <v>-7.17E-2</v>
      </c>
    </row>
    <row r="750" spans="2:21" hidden="1" outlineLevel="1">
      <c r="B750" s="1050"/>
      <c r="C750" s="1050"/>
      <c r="D750" s="1051">
        <f t="shared" si="60"/>
        <v>24</v>
      </c>
      <c r="E750" s="1051" t="str">
        <f>IF(COUNTIF(E$547:E749,F750)&gt;0,"",F750)</f>
        <v/>
      </c>
      <c r="F750" s="1051" t="str">
        <f t="shared" si="61"/>
        <v>Bioéthanol (changement d'affectation des sols scénario maximum), France continentale, Base Carbone</v>
      </c>
      <c r="G750" s="1055" t="str">
        <f t="shared" si="62"/>
        <v>Bioéthanol (changement d'affectation des sols scénario maximum), France continentale, Base Carbone; kgCO2e/tep PCI, Amont</v>
      </c>
      <c r="I750" s="1100" t="s">
        <v>1652</v>
      </c>
      <c r="J750" s="1048" t="s">
        <v>1575</v>
      </c>
      <c r="K750" s="1048" t="s">
        <v>1567</v>
      </c>
      <c r="L750" s="1048" t="s">
        <v>1571</v>
      </c>
      <c r="M750" s="1033">
        <v>0.2</v>
      </c>
      <c r="N750" s="1048" t="s">
        <v>1570</v>
      </c>
      <c r="O750" s="1036">
        <v>9480</v>
      </c>
      <c r="P750" s="1036">
        <v>9000</v>
      </c>
      <c r="Q750" s="1036">
        <v>61</v>
      </c>
      <c r="R750" s="1036">
        <v>0</v>
      </c>
      <c r="S750" s="1036">
        <v>421</v>
      </c>
      <c r="T750" s="1036">
        <v>0</v>
      </c>
      <c r="U750" s="1037">
        <v>-3000</v>
      </c>
    </row>
    <row r="751" spans="2:21" hidden="1" outlineLevel="1">
      <c r="B751" s="1050"/>
      <c r="C751" s="1050"/>
      <c r="D751" s="1051">
        <f t="shared" si="60"/>
        <v>24</v>
      </c>
      <c r="E751" s="1051" t="str">
        <f>IF(COUNTIF(E$547:E750,F751)&gt;0,"",F751)</f>
        <v/>
      </c>
      <c r="F751" s="1051" t="str">
        <f t="shared" si="61"/>
        <v>Bioéthanol (changement d'affectation des sols scénario maximum), France continentale, Base Carbone</v>
      </c>
      <c r="G751" s="1055" t="str">
        <f t="shared" si="62"/>
        <v>Bioéthanol (changement d'affectation des sols scénario maximum), France continentale, Base Carbone; kgCO2e/tonne, Amont</v>
      </c>
      <c r="I751" s="1100" t="s">
        <v>1652</v>
      </c>
      <c r="J751" s="1048" t="s">
        <v>1585</v>
      </c>
      <c r="K751" s="1048" t="s">
        <v>1567</v>
      </c>
      <c r="L751" s="1048" t="s">
        <v>1571</v>
      </c>
      <c r="M751" s="1033">
        <v>0.2</v>
      </c>
      <c r="N751" s="1048" t="s">
        <v>1570</v>
      </c>
      <c r="O751" s="1036">
        <v>6070</v>
      </c>
      <c r="P751" s="1036">
        <v>5760</v>
      </c>
      <c r="Q751" s="1036">
        <v>39.1</v>
      </c>
      <c r="R751" s="1036">
        <v>0</v>
      </c>
      <c r="S751" s="1036">
        <v>269</v>
      </c>
      <c r="T751" s="1036">
        <v>0</v>
      </c>
      <c r="U751" s="1037">
        <v>-1920</v>
      </c>
    </row>
    <row r="752" spans="2:21" hidden="1" outlineLevel="1">
      <c r="B752" s="1050"/>
      <c r="C752" s="1050"/>
      <c r="D752" s="1051">
        <f t="shared" si="60"/>
        <v>25</v>
      </c>
      <c r="E752" s="1051" t="str">
        <f>IF(COUNTIF(E$547:E751,F752)&gt;0,"",F752)</f>
        <v>Bioéthanol (changement d'affectation des sols scénario optimiste), France continentale, Base Carbone</v>
      </c>
      <c r="F752" s="1051" t="str">
        <f t="shared" si="61"/>
        <v>Bioéthanol (changement d'affectation des sols scénario optimiste), France continentale, Base Carbone</v>
      </c>
      <c r="G752" s="1055" t="str">
        <f t="shared" si="62"/>
        <v>Bioéthanol (changement d'affectation des sols scénario optimiste), France continentale, Base Carbone; kgCO2e/kWh PCI, Amont</v>
      </c>
      <c r="I752" s="1100" t="s">
        <v>1653</v>
      </c>
      <c r="J752" s="1048" t="s">
        <v>1573</v>
      </c>
      <c r="K752" s="1048" t="s">
        <v>1567</v>
      </c>
      <c r="L752" s="1048" t="s">
        <v>1571</v>
      </c>
      <c r="M752" s="1033">
        <v>0.2</v>
      </c>
      <c r="N752" s="1048" t="s">
        <v>1570</v>
      </c>
      <c r="O752" s="1036">
        <v>0.121</v>
      </c>
      <c r="P752" s="1036">
        <v>7.9799999999999996E-2</v>
      </c>
      <c r="Q752" s="1036">
        <v>5.2500000000000003E-3</v>
      </c>
      <c r="R752" s="1036">
        <v>0</v>
      </c>
      <c r="S752" s="1036">
        <v>3.6200000000000003E-2</v>
      </c>
      <c r="T752" s="1036">
        <v>0</v>
      </c>
      <c r="U752" s="1037">
        <v>-0.25800000000000001</v>
      </c>
    </row>
    <row r="753" spans="2:21" hidden="1" outlineLevel="1">
      <c r="B753" s="1050"/>
      <c r="C753" s="1050"/>
      <c r="D753" s="1051">
        <f t="shared" si="60"/>
        <v>25</v>
      </c>
      <c r="E753" s="1051" t="str">
        <f>IF(COUNTIF(E$547:E752,F753)&gt;0,"",F753)</f>
        <v/>
      </c>
      <c r="F753" s="1051" t="str">
        <f t="shared" si="61"/>
        <v>Bioéthanol (changement d'affectation des sols scénario optimiste), France continentale, Base Carbone</v>
      </c>
      <c r="G753" s="1055" t="str">
        <f t="shared" si="62"/>
        <v>Bioéthanol (changement d'affectation des sols scénario optimiste), France continentale, Base Carbone; kgCO2e/litre, Amont</v>
      </c>
      <c r="I753" s="1100" t="s">
        <v>1653</v>
      </c>
      <c r="J753" s="1048" t="s">
        <v>1574</v>
      </c>
      <c r="K753" s="1048" t="s">
        <v>1567</v>
      </c>
      <c r="L753" s="1048" t="s">
        <v>1571</v>
      </c>
      <c r="M753" s="1033">
        <v>0.2</v>
      </c>
      <c r="N753" s="1048" t="s">
        <v>1570</v>
      </c>
      <c r="O753" s="1036">
        <v>0.71299999999999997</v>
      </c>
      <c r="P753" s="1036">
        <v>0.46899999999999997</v>
      </c>
      <c r="Q753" s="1036">
        <v>3.09E-2</v>
      </c>
      <c r="R753" s="1036">
        <v>0</v>
      </c>
      <c r="S753" s="1036">
        <v>0.21299999999999999</v>
      </c>
      <c r="T753" s="1036">
        <v>0</v>
      </c>
      <c r="U753" s="1037">
        <v>-1.52</v>
      </c>
    </row>
    <row r="754" spans="2:21" hidden="1" outlineLevel="1">
      <c r="B754" s="1050"/>
      <c r="C754" s="1050"/>
      <c r="D754" s="1051">
        <f t="shared" si="60"/>
        <v>25</v>
      </c>
      <c r="E754" s="1051" t="str">
        <f>IF(COUNTIF(E$547:E753,F754)&gt;0,"",F754)</f>
        <v/>
      </c>
      <c r="F754" s="1051" t="str">
        <f t="shared" si="61"/>
        <v>Bioéthanol (changement d'affectation des sols scénario optimiste), France continentale, Base Carbone</v>
      </c>
      <c r="G754" s="1055" t="str">
        <f t="shared" si="62"/>
        <v>Bioéthanol (changement d'affectation des sols scénario optimiste), France continentale, Base Carbone; kgCO2e/MJ PCI, Amont</v>
      </c>
      <c r="I754" s="1100" t="s">
        <v>1653</v>
      </c>
      <c r="J754" s="1048" t="s">
        <v>1661</v>
      </c>
      <c r="K754" s="1048" t="s">
        <v>1567</v>
      </c>
      <c r="L754" s="1048" t="s">
        <v>1571</v>
      </c>
      <c r="M754" s="1033">
        <v>0.2</v>
      </c>
      <c r="N754" s="1048" t="s">
        <v>1570</v>
      </c>
      <c r="O754" s="1036">
        <v>3.3700000000000001E-2</v>
      </c>
      <c r="P754" s="1036">
        <v>2.2200000000000001E-2</v>
      </c>
      <c r="Q754" s="1036">
        <v>1.4599999999999999E-3</v>
      </c>
      <c r="R754" s="1036">
        <v>0</v>
      </c>
      <c r="S754" s="1036">
        <v>0.01</v>
      </c>
      <c r="T754" s="1036">
        <v>0</v>
      </c>
      <c r="U754" s="1037">
        <v>-7.17E-2</v>
      </c>
    </row>
    <row r="755" spans="2:21" hidden="1" outlineLevel="1">
      <c r="B755" s="1050"/>
      <c r="C755" s="1050"/>
      <c r="D755" s="1051">
        <f t="shared" si="60"/>
        <v>25</v>
      </c>
      <c r="E755" s="1051" t="str">
        <f>IF(COUNTIF(E$547:E754,F755)&gt;0,"",F755)</f>
        <v/>
      </c>
      <c r="F755" s="1051" t="str">
        <f t="shared" si="61"/>
        <v>Bioéthanol (changement d'affectation des sols scénario optimiste), France continentale, Base Carbone</v>
      </c>
      <c r="G755" s="1055" t="str">
        <f t="shared" si="62"/>
        <v>Bioéthanol (changement d'affectation des sols scénario optimiste), France continentale, Base Carbone; kgCO2e/tep PCI, Amont</v>
      </c>
      <c r="I755" s="1100" t="s">
        <v>1653</v>
      </c>
      <c r="J755" s="1048" t="s">
        <v>1575</v>
      </c>
      <c r="K755" s="1048" t="s">
        <v>1567</v>
      </c>
      <c r="L755" s="1048" t="s">
        <v>1571</v>
      </c>
      <c r="M755" s="1033">
        <v>0.2</v>
      </c>
      <c r="N755" s="1048" t="s">
        <v>1570</v>
      </c>
      <c r="O755" s="1036">
        <v>1410</v>
      </c>
      <c r="P755" s="1036">
        <v>928</v>
      </c>
      <c r="Q755" s="1036">
        <v>61</v>
      </c>
      <c r="R755" s="1036">
        <v>0</v>
      </c>
      <c r="S755" s="1036">
        <v>421</v>
      </c>
      <c r="T755" s="1036">
        <v>0</v>
      </c>
      <c r="U755" s="1037">
        <v>-3000</v>
      </c>
    </row>
    <row r="756" spans="2:21" hidden="1" outlineLevel="1">
      <c r="B756" s="1050"/>
      <c r="C756" s="1050"/>
      <c r="D756" s="1051">
        <f t="shared" si="60"/>
        <v>25</v>
      </c>
      <c r="E756" s="1051" t="str">
        <f>IF(COUNTIF(E$547:E755,F756)&gt;0,"",F756)</f>
        <v/>
      </c>
      <c r="F756" s="1051" t="str">
        <f t="shared" si="61"/>
        <v>Bioéthanol (changement d'affectation des sols scénario optimiste), France continentale, Base Carbone</v>
      </c>
      <c r="G756" s="1055" t="str">
        <f t="shared" si="62"/>
        <v>Bioéthanol (changement d'affectation des sols scénario optimiste), France continentale, Base Carbone; kgCO2e/tonne, Amont</v>
      </c>
      <c r="I756" s="1100" t="s">
        <v>1653</v>
      </c>
      <c r="J756" s="1048" t="s">
        <v>1585</v>
      </c>
      <c r="K756" s="1048" t="s">
        <v>1567</v>
      </c>
      <c r="L756" s="1048" t="s">
        <v>1571</v>
      </c>
      <c r="M756" s="1033">
        <v>0.2</v>
      </c>
      <c r="N756" s="1048" t="s">
        <v>1570</v>
      </c>
      <c r="O756" s="1036">
        <v>902</v>
      </c>
      <c r="P756" s="1036">
        <v>594</v>
      </c>
      <c r="Q756" s="1036">
        <v>39.1</v>
      </c>
      <c r="R756" s="1036">
        <v>0</v>
      </c>
      <c r="S756" s="1036">
        <v>269</v>
      </c>
      <c r="T756" s="1036">
        <v>0</v>
      </c>
      <c r="U756" s="1037">
        <v>-1920</v>
      </c>
    </row>
    <row r="757" spans="2:21" hidden="1" outlineLevel="1">
      <c r="B757" s="1050"/>
      <c r="C757" s="1050"/>
      <c r="D757" s="1051">
        <f t="shared" si="60"/>
        <v>26</v>
      </c>
      <c r="E757" s="1051" t="str">
        <f>IF(COUNTIF(E$547:E756,F757)&gt;0,"",F757)</f>
        <v>Bioéthanol (sans changement d'affectation des sols), France continentale, Base Carbone</v>
      </c>
      <c r="F757" s="1051" t="str">
        <f t="shared" si="61"/>
        <v>Bioéthanol (sans changement d'affectation des sols), France continentale, Base Carbone</v>
      </c>
      <c r="G757" s="1055" t="str">
        <f t="shared" si="62"/>
        <v>Bioéthanol (sans changement d'affectation des sols), France continentale, Base Carbone; kgCO2e/kWh PCI, Amont</v>
      </c>
      <c r="I757" s="1100" t="s">
        <v>1654</v>
      </c>
      <c r="J757" s="1048" t="s">
        <v>1573</v>
      </c>
      <c r="K757" s="1048" t="s">
        <v>1567</v>
      </c>
      <c r="L757" s="1048" t="s">
        <v>1571</v>
      </c>
      <c r="M757" s="1033">
        <v>0.2</v>
      </c>
      <c r="N757" s="1048" t="s">
        <v>1570</v>
      </c>
      <c r="O757" s="1036">
        <v>0.14399999999999999</v>
      </c>
      <c r="P757" s="1036">
        <v>0.10299999999999999</v>
      </c>
      <c r="Q757" s="1036">
        <v>5.2500000000000003E-3</v>
      </c>
      <c r="R757" s="1036">
        <v>0</v>
      </c>
      <c r="S757" s="1036">
        <v>3.6200000000000003E-2</v>
      </c>
      <c r="T757" s="1036">
        <v>0</v>
      </c>
      <c r="U757" s="1037">
        <v>-0.25800000000000001</v>
      </c>
    </row>
    <row r="758" spans="2:21" hidden="1" outlineLevel="1">
      <c r="B758" s="1050"/>
      <c r="C758" s="1050"/>
      <c r="D758" s="1051">
        <f t="shared" si="60"/>
        <v>26</v>
      </c>
      <c r="E758" s="1051" t="str">
        <f>IF(COUNTIF(E$547:E757,F758)&gt;0,"",F758)</f>
        <v/>
      </c>
      <c r="F758" s="1051" t="str">
        <f t="shared" si="61"/>
        <v>Bioéthanol (sans changement d'affectation des sols), France continentale, Base Carbone</v>
      </c>
      <c r="G758" s="1055" t="str">
        <f t="shared" si="62"/>
        <v>Bioéthanol (sans changement d'affectation des sols), France continentale, Base Carbone; kgCO2e/litre, Amont</v>
      </c>
      <c r="I758" s="1100" t="s">
        <v>1654</v>
      </c>
      <c r="J758" s="1048" t="s">
        <v>1574</v>
      </c>
      <c r="K758" s="1048" t="s">
        <v>1567</v>
      </c>
      <c r="L758" s="1048" t="s">
        <v>1571</v>
      </c>
      <c r="M758" s="1033">
        <v>0.2</v>
      </c>
      <c r="N758" s="1048" t="s">
        <v>1570</v>
      </c>
      <c r="O758" s="1036">
        <v>0.84799999999999998</v>
      </c>
      <c r="P758" s="1036">
        <v>0.60399999999999998</v>
      </c>
      <c r="Q758" s="1036">
        <v>3.09E-2</v>
      </c>
      <c r="R758" s="1036">
        <v>0</v>
      </c>
      <c r="S758" s="1036">
        <v>0.21299999999999999</v>
      </c>
      <c r="T758" s="1036">
        <v>0</v>
      </c>
      <c r="U758" s="1037">
        <v>-1.52</v>
      </c>
    </row>
    <row r="759" spans="2:21" hidden="1" outlineLevel="1">
      <c r="B759" s="1050"/>
      <c r="C759" s="1050"/>
      <c r="D759" s="1051">
        <f t="shared" si="60"/>
        <v>26</v>
      </c>
      <c r="E759" s="1051" t="str">
        <f>IF(COUNTIF(E$547:E758,F759)&gt;0,"",F759)</f>
        <v/>
      </c>
      <c r="F759" s="1051" t="str">
        <f t="shared" si="61"/>
        <v>Bioéthanol (sans changement d'affectation des sols), France continentale, Base Carbone</v>
      </c>
      <c r="G759" s="1055" t="str">
        <f t="shared" si="62"/>
        <v>Bioéthanol (sans changement d'affectation des sols), France continentale, Base Carbone; kgCO2e/MJ PCI, Amont</v>
      </c>
      <c r="I759" s="1100" t="s">
        <v>1654</v>
      </c>
      <c r="J759" s="1048" t="s">
        <v>1661</v>
      </c>
      <c r="K759" s="1048" t="s">
        <v>1567</v>
      </c>
      <c r="L759" s="1048" t="s">
        <v>1571</v>
      </c>
      <c r="M759" s="1033">
        <v>0.2</v>
      </c>
      <c r="N759" s="1048" t="s">
        <v>1570</v>
      </c>
      <c r="O759" s="1036">
        <v>0.04</v>
      </c>
      <c r="P759" s="1036">
        <v>2.8500000000000001E-2</v>
      </c>
      <c r="Q759" s="1036">
        <v>1.4599999999999999E-3</v>
      </c>
      <c r="R759" s="1036">
        <v>0</v>
      </c>
      <c r="S759" s="1036">
        <v>0.01</v>
      </c>
      <c r="T759" s="1036">
        <v>0</v>
      </c>
      <c r="U759" s="1037">
        <v>-7.17E-2</v>
      </c>
    </row>
    <row r="760" spans="2:21" hidden="1" outlineLevel="1">
      <c r="B760" s="1050"/>
      <c r="C760" s="1050"/>
      <c r="D760" s="1051">
        <f t="shared" si="60"/>
        <v>26</v>
      </c>
      <c r="E760" s="1051" t="str">
        <f>IF(COUNTIF(E$547:E759,F760)&gt;0,"",F760)</f>
        <v/>
      </c>
      <c r="F760" s="1051" t="str">
        <f t="shared" si="61"/>
        <v>Bioéthanol (sans changement d'affectation des sols), France continentale, Base Carbone</v>
      </c>
      <c r="G760" s="1055" t="str">
        <f t="shared" si="62"/>
        <v>Bioéthanol (sans changement d'affectation des sols), France continentale, Base Carbone; kgCO2e/tep PCI, Amont</v>
      </c>
      <c r="I760" s="1100" t="s">
        <v>1654</v>
      </c>
      <c r="J760" s="1048" t="s">
        <v>1575</v>
      </c>
      <c r="K760" s="1048" t="s">
        <v>1567</v>
      </c>
      <c r="L760" s="1048" t="s">
        <v>1571</v>
      </c>
      <c r="M760" s="1033">
        <v>0.2</v>
      </c>
      <c r="N760" s="1048" t="s">
        <v>1570</v>
      </c>
      <c r="O760" s="1036">
        <v>1670</v>
      </c>
      <c r="P760" s="1036">
        <v>1190</v>
      </c>
      <c r="Q760" s="1036">
        <v>61</v>
      </c>
      <c r="R760" s="1036">
        <v>0</v>
      </c>
      <c r="S760" s="1036">
        <v>421</v>
      </c>
      <c r="T760" s="1036">
        <v>0</v>
      </c>
      <c r="U760" s="1037">
        <v>-3000</v>
      </c>
    </row>
    <row r="761" spans="2:21" hidden="1" outlineLevel="1">
      <c r="B761" s="1050"/>
      <c r="C761" s="1050"/>
      <c r="D761" s="1051">
        <f t="shared" si="60"/>
        <v>26</v>
      </c>
      <c r="E761" s="1051" t="str">
        <f>IF(COUNTIF(E$547:E760,F761)&gt;0,"",F761)</f>
        <v/>
      </c>
      <c r="F761" s="1051" t="str">
        <f t="shared" si="61"/>
        <v>Bioéthanol (sans changement d'affectation des sols), France continentale, Base Carbone</v>
      </c>
      <c r="G761" s="1055" t="str">
        <f t="shared" si="62"/>
        <v>Bioéthanol (sans changement d'affectation des sols), France continentale, Base Carbone; kgCO2e/tonne, Amont</v>
      </c>
      <c r="I761" s="1100" t="s">
        <v>1654</v>
      </c>
      <c r="J761" s="1048" t="s">
        <v>1585</v>
      </c>
      <c r="K761" s="1048" t="s">
        <v>1567</v>
      </c>
      <c r="L761" s="1048" t="s">
        <v>1571</v>
      </c>
      <c r="M761" s="1033">
        <v>0.2</v>
      </c>
      <c r="N761" s="1048" t="s">
        <v>1570</v>
      </c>
      <c r="O761" s="1036">
        <v>1070</v>
      </c>
      <c r="P761" s="1036">
        <v>765</v>
      </c>
      <c r="Q761" s="1036">
        <v>39.1</v>
      </c>
      <c r="R761" s="1036">
        <v>0</v>
      </c>
      <c r="S761" s="1036">
        <v>269</v>
      </c>
      <c r="T761" s="1036">
        <v>0</v>
      </c>
      <c r="U761" s="1037">
        <v>-1920</v>
      </c>
    </row>
    <row r="762" spans="2:21" hidden="1" outlineLevel="1">
      <c r="B762" s="1050"/>
      <c r="C762" s="1050"/>
      <c r="D762" s="1051">
        <f t="shared" si="60"/>
        <v>27</v>
      </c>
      <c r="E762" s="1051" t="str">
        <f>IF(COUNTIF(E$547:E761,F762)&gt;0,"",F762)</f>
        <v>Biométhane - injecté dans les réseau - mix moyen, France continentale, Base Carbone</v>
      </c>
      <c r="F762" s="1051" t="str">
        <f t="shared" si="61"/>
        <v>Biométhane - injecté dans les réseau - mix moyen, France continentale, Base Carbone</v>
      </c>
      <c r="G762" s="1055" t="str">
        <f t="shared" si="62"/>
        <v>Biométhane - injecté dans les réseau - mix moyen, France continentale, Base Carbone; kgCO2e/kWh PCI, Amont</v>
      </c>
      <c r="I762" s="1034" t="s">
        <v>3995</v>
      </c>
      <c r="J762" s="2219" t="s">
        <v>1573</v>
      </c>
      <c r="K762" s="1119" t="s">
        <v>1567</v>
      </c>
      <c r="L762" s="1119" t="s">
        <v>1571</v>
      </c>
      <c r="M762" s="1033">
        <v>0.2</v>
      </c>
      <c r="N762" s="1119" t="s">
        <v>1570</v>
      </c>
      <c r="O762" s="1036">
        <v>4.2799999999999998E-2</v>
      </c>
      <c r="P762" s="2579">
        <v>1.9E-2</v>
      </c>
      <c r="Q762" s="2579">
        <v>0</v>
      </c>
      <c r="R762" s="2579">
        <v>2.18E-2</v>
      </c>
      <c r="S762" s="2579">
        <v>2E-3</v>
      </c>
      <c r="T762" s="2579">
        <v>0</v>
      </c>
      <c r="U762" s="2177">
        <v>0</v>
      </c>
    </row>
    <row r="763" spans="2:21" hidden="1" outlineLevel="1">
      <c r="B763" s="1050"/>
      <c r="C763" s="1050"/>
      <c r="D763" s="1051">
        <f t="shared" ref="D763:D802" si="63">D762+IF(LEN(E763)&gt;0,1,0)</f>
        <v>27</v>
      </c>
      <c r="E763" s="1051" t="str">
        <f>IF(COUNTIF(E$547:E762,F763)&gt;0,"",F763)</f>
        <v/>
      </c>
      <c r="F763" s="1051" t="str">
        <f t="shared" ref="F763:F802" si="64">IF(I763&lt;&gt;"",I763&amp;IF(L763&lt;&gt;"",", "&amp;L763,"")&amp;IF(K763&lt;&gt;"",", "&amp;K763,""),"")</f>
        <v>Biométhane - injecté dans les réseau - mix moyen, France continentale, Base Carbone</v>
      </c>
      <c r="G763" s="1055" t="str">
        <f t="shared" ref="G763:G802" si="65">IF(F763&lt;&gt;"",F763&amp;IF(J763&lt;&gt;"","; "&amp;J763,"")&amp;IF(N763&lt;&gt;"",", "&amp;N763,""),"")</f>
        <v>Biométhane - injecté dans les réseau - mix moyen, France continentale, Base Carbone; kgCO2e/kWh PCI, Combustion</v>
      </c>
      <c r="I763" s="1034" t="s">
        <v>3995</v>
      </c>
      <c r="J763" s="2219" t="s">
        <v>1573</v>
      </c>
      <c r="K763" s="1119" t="s">
        <v>1567</v>
      </c>
      <c r="L763" s="1119" t="s">
        <v>1571</v>
      </c>
      <c r="M763" s="1033">
        <v>0.2</v>
      </c>
      <c r="N763" s="1119" t="s">
        <v>1569</v>
      </c>
      <c r="O763" s="1036">
        <v>1.56E-3</v>
      </c>
      <c r="P763" s="2579">
        <v>0</v>
      </c>
      <c r="Q763" s="2579">
        <v>0</v>
      </c>
      <c r="R763" s="2579">
        <v>5.5999999999999995E-4</v>
      </c>
      <c r="S763" s="2579">
        <v>9.990000000000001E-4</v>
      </c>
      <c r="T763" s="2579">
        <v>0</v>
      </c>
      <c r="U763" s="2177">
        <v>0</v>
      </c>
    </row>
    <row r="764" spans="2:21" hidden="1" outlineLevel="1">
      <c r="B764" s="1050"/>
      <c r="C764" s="1050"/>
      <c r="D764" s="1051">
        <f t="shared" si="63"/>
        <v>27</v>
      </c>
      <c r="E764" s="1051" t="str">
        <f>IF(COUNTIF(E$547:E763,F764)&gt;0,"",F764)</f>
        <v/>
      </c>
      <c r="F764" s="1051" t="str">
        <f t="shared" si="64"/>
        <v>Biométhane - injecté dans les réseau - mix moyen, France continentale, Base Carbone</v>
      </c>
      <c r="G764" s="1055" t="str">
        <f t="shared" si="65"/>
        <v>Biométhane - injecté dans les réseau - mix moyen, France continentale, Base Carbone; kgCO2e/kWh PCS, Amont</v>
      </c>
      <c r="I764" s="1034" t="s">
        <v>3995</v>
      </c>
      <c r="J764" s="2219" t="s">
        <v>1578</v>
      </c>
      <c r="K764" s="1119" t="s">
        <v>1567</v>
      </c>
      <c r="L764" s="1119" t="s">
        <v>1571</v>
      </c>
      <c r="M764" s="1033">
        <v>0.2</v>
      </c>
      <c r="N764" s="1119" t="s">
        <v>1570</v>
      </c>
      <c r="O764" s="1036">
        <v>3.85E-2</v>
      </c>
      <c r="P764" s="2579">
        <v>1.7000000000000001E-2</v>
      </c>
      <c r="Q764" s="2579">
        <v>0</v>
      </c>
      <c r="R764" s="2579">
        <v>1.9599999999999999E-2</v>
      </c>
      <c r="S764" s="2579">
        <v>1.8600000000000001E-3</v>
      </c>
      <c r="T764" s="2579">
        <v>0</v>
      </c>
      <c r="U764" s="2177">
        <v>0</v>
      </c>
    </row>
    <row r="765" spans="2:21" hidden="1" outlineLevel="1">
      <c r="B765" s="1050"/>
      <c r="C765" s="1050"/>
      <c r="D765" s="1051">
        <f t="shared" si="63"/>
        <v>27</v>
      </c>
      <c r="E765" s="1051" t="str">
        <f>IF(COUNTIF(E$547:E764,F765)&gt;0,"",F765)</f>
        <v/>
      </c>
      <c r="F765" s="1051" t="str">
        <f t="shared" si="64"/>
        <v>Biométhane - injecté dans les réseau - mix moyen, France continentale, Base Carbone</v>
      </c>
      <c r="G765" s="1055" t="str">
        <f t="shared" si="65"/>
        <v>Biométhane - injecté dans les réseau - mix moyen, France continentale, Base Carbone; kgCO2e/kWh PCS, Combustion</v>
      </c>
      <c r="I765" s="1034" t="s">
        <v>3995</v>
      </c>
      <c r="J765" s="2219" t="s">
        <v>1578</v>
      </c>
      <c r="K765" s="1119" t="s">
        <v>1567</v>
      </c>
      <c r="L765" s="1119" t="s">
        <v>1571</v>
      </c>
      <c r="M765" s="1033">
        <v>0.2</v>
      </c>
      <c r="N765" s="1119" t="s">
        <v>1569</v>
      </c>
      <c r="O765" s="1036">
        <v>1.08E-3</v>
      </c>
      <c r="P765" s="2579">
        <v>0</v>
      </c>
      <c r="Q765" s="2579">
        <v>0</v>
      </c>
      <c r="R765" s="2579">
        <v>2.7999999999999998E-4</v>
      </c>
      <c r="S765" s="2579">
        <v>7.9500000000000003E-4</v>
      </c>
      <c r="T765" s="2579">
        <v>0</v>
      </c>
      <c r="U765" s="2177">
        <v>0</v>
      </c>
    </row>
    <row r="766" spans="2:21" hidden="1" outlineLevel="1">
      <c r="B766" s="1050"/>
      <c r="C766" s="1050"/>
      <c r="D766" s="1051">
        <f t="shared" si="63"/>
        <v>27</v>
      </c>
      <c r="E766" s="1051" t="str">
        <f>IF(COUNTIF(E$547:E765,F766)&gt;0,"",F766)</f>
        <v/>
      </c>
      <c r="F766" s="1051" t="str">
        <f t="shared" si="64"/>
        <v>Biométhane - injecté dans les réseau - mix moyen, France continentale, Base Carbone</v>
      </c>
      <c r="G766" s="1055" t="str">
        <f t="shared" si="65"/>
        <v>Biométhane - injecté dans les réseau - mix moyen, France continentale, Base Carbone; kgCO2e/GJ PCI, Amont</v>
      </c>
      <c r="I766" s="1034" t="s">
        <v>3995</v>
      </c>
      <c r="J766" s="2219" t="s">
        <v>1566</v>
      </c>
      <c r="K766" s="1119" t="s">
        <v>1567</v>
      </c>
      <c r="L766" s="1119" t="s">
        <v>1571</v>
      </c>
      <c r="M766" s="1033">
        <v>0.2</v>
      </c>
      <c r="N766" s="1119" t="s">
        <v>1570</v>
      </c>
      <c r="O766" s="1036">
        <v>11.9</v>
      </c>
      <c r="P766" s="2579">
        <v>5.28</v>
      </c>
      <c r="Q766" s="2579">
        <v>0</v>
      </c>
      <c r="R766" s="2579">
        <v>6.05</v>
      </c>
      <c r="S766" s="2579">
        <v>0.53</v>
      </c>
      <c r="T766" s="2579">
        <v>0</v>
      </c>
      <c r="U766" s="2177">
        <v>0</v>
      </c>
    </row>
    <row r="767" spans="2:21" hidden="1" outlineLevel="1">
      <c r="B767" s="1050"/>
      <c r="C767" s="1050"/>
      <c r="D767" s="1051">
        <f t="shared" si="63"/>
        <v>27</v>
      </c>
      <c r="E767" s="1051" t="str">
        <f>IF(COUNTIF(E$547:E766,F767)&gt;0,"",F767)</f>
        <v/>
      </c>
      <c r="F767" s="1051" t="str">
        <f t="shared" si="64"/>
        <v>Biométhane - injecté dans les réseau - mix moyen, France continentale, Base Carbone</v>
      </c>
      <c r="G767" s="1055" t="str">
        <f t="shared" si="65"/>
        <v>Biométhane - injecté dans les réseau - mix moyen, France continentale, Base Carbone; kgCO2e/GJ PCI, Combustion</v>
      </c>
      <c r="I767" s="1034" t="s">
        <v>3995</v>
      </c>
      <c r="J767" s="2219" t="s">
        <v>1566</v>
      </c>
      <c r="K767" s="1119" t="s">
        <v>1567</v>
      </c>
      <c r="L767" s="1119" t="s">
        <v>1571</v>
      </c>
      <c r="M767" s="1033">
        <v>0.2</v>
      </c>
      <c r="N767" s="1119" t="s">
        <v>1569</v>
      </c>
      <c r="O767" s="1036">
        <v>0.40500000000000003</v>
      </c>
      <c r="P767" s="2579">
        <v>0</v>
      </c>
      <c r="Q767" s="2579">
        <v>0</v>
      </c>
      <c r="R767" s="2579">
        <v>0.14000000000000001</v>
      </c>
      <c r="S767" s="2579">
        <v>0.26500000000000001</v>
      </c>
      <c r="T767" s="2579">
        <v>0</v>
      </c>
      <c r="U767" s="2177">
        <v>0</v>
      </c>
    </row>
    <row r="768" spans="2:21" hidden="1" outlineLevel="1">
      <c r="B768" s="1050"/>
      <c r="C768" s="1050"/>
      <c r="D768" s="1051">
        <f t="shared" si="63"/>
        <v>27</v>
      </c>
      <c r="E768" s="1051" t="str">
        <f>IF(COUNTIF(E$547:E767,F768)&gt;0,"",F768)</f>
        <v/>
      </c>
      <c r="F768" s="1051" t="str">
        <f t="shared" si="64"/>
        <v>Biométhane - injecté dans les réseau - mix moyen, France continentale, Base Carbone</v>
      </c>
      <c r="G768" s="1055" t="str">
        <f t="shared" si="65"/>
        <v>Biométhane - injecté dans les réseau - mix moyen, France continentale, Base Carbone; kgCO2e/GJ PCS, Amont</v>
      </c>
      <c r="I768" s="1034" t="s">
        <v>3995</v>
      </c>
      <c r="J768" s="2219" t="s">
        <v>1576</v>
      </c>
      <c r="K768" s="1119" t="s">
        <v>1567</v>
      </c>
      <c r="L768" s="1119" t="s">
        <v>1571</v>
      </c>
      <c r="M768" s="1033">
        <v>0.2</v>
      </c>
      <c r="N768" s="1119" t="s">
        <v>1570</v>
      </c>
      <c r="O768" s="1036">
        <v>10.7</v>
      </c>
      <c r="P768" s="2579">
        <v>4.75</v>
      </c>
      <c r="Q768" s="2579">
        <v>0</v>
      </c>
      <c r="R768" s="2579">
        <v>5.46</v>
      </c>
      <c r="S768" s="2579">
        <v>0.53</v>
      </c>
      <c r="T768" s="2579">
        <v>0</v>
      </c>
      <c r="U768" s="2177">
        <v>0</v>
      </c>
    </row>
    <row r="769" spans="2:21" hidden="1" outlineLevel="1">
      <c r="B769" s="1050"/>
      <c r="C769" s="1050"/>
      <c r="D769" s="1051">
        <f t="shared" si="63"/>
        <v>27</v>
      </c>
      <c r="E769" s="1051" t="str">
        <f>IF(COUNTIF(E$547:E768,F769)&gt;0,"",F769)</f>
        <v/>
      </c>
      <c r="F769" s="1051" t="str">
        <f t="shared" si="64"/>
        <v>Biométhane - injecté dans les réseau - mix moyen, France continentale, Base Carbone</v>
      </c>
      <c r="G769" s="1055" t="str">
        <f t="shared" si="65"/>
        <v>Biométhane - injecté dans les réseau - mix moyen, France continentale, Base Carbone; kgCO2e/GJ PCS, Combustion</v>
      </c>
      <c r="I769" s="1034" t="s">
        <v>3995</v>
      </c>
      <c r="J769" s="2219" t="s">
        <v>1576</v>
      </c>
      <c r="K769" s="1119" t="s">
        <v>1567</v>
      </c>
      <c r="L769" s="1119" t="s">
        <v>1571</v>
      </c>
      <c r="M769" s="1033">
        <v>0.2</v>
      </c>
      <c r="N769" s="1119" t="s">
        <v>1569</v>
      </c>
      <c r="O769" s="1036">
        <v>0.377</v>
      </c>
      <c r="P769" s="2579">
        <v>0</v>
      </c>
      <c r="Q769" s="2579">
        <v>0</v>
      </c>
      <c r="R769" s="2579">
        <v>0.112</v>
      </c>
      <c r="S769" s="2579">
        <v>0.26500000000000001</v>
      </c>
      <c r="T769" s="2579">
        <v>0</v>
      </c>
      <c r="U769" s="2177">
        <v>0</v>
      </c>
    </row>
    <row r="770" spans="2:21" hidden="1" outlineLevel="1">
      <c r="B770" s="1050"/>
      <c r="C770" s="1050"/>
      <c r="D770" s="1051">
        <f t="shared" si="63"/>
        <v>27</v>
      </c>
      <c r="E770" s="1051" t="str">
        <f>IF(COUNTIF(E$547:E769,F770)&gt;0,"",F770)</f>
        <v/>
      </c>
      <c r="F770" s="1051" t="str">
        <f t="shared" si="64"/>
        <v>Biométhane - injecté dans les réseau - mix moyen, France continentale, Base Carbone</v>
      </c>
      <c r="G770" s="1055" t="str">
        <f t="shared" si="65"/>
        <v>Biométhane - injecté dans les réseau - mix moyen, France continentale, Base Carbone; kgCO2e/tep PCI, Amont</v>
      </c>
      <c r="I770" s="1034" t="s">
        <v>3995</v>
      </c>
      <c r="J770" s="2219" t="s">
        <v>1575</v>
      </c>
      <c r="K770" s="1119" t="s">
        <v>1567</v>
      </c>
      <c r="L770" s="1119" t="s">
        <v>1571</v>
      </c>
      <c r="M770" s="1033">
        <v>0.2</v>
      </c>
      <c r="N770" s="1119" t="s">
        <v>1570</v>
      </c>
      <c r="O770" s="1036">
        <v>497</v>
      </c>
      <c r="P770" s="2579">
        <v>221</v>
      </c>
      <c r="Q770" s="2579">
        <v>0</v>
      </c>
      <c r="R770" s="2579">
        <v>253</v>
      </c>
      <c r="S770" s="2579">
        <v>23.3</v>
      </c>
      <c r="T770" s="2579">
        <v>0</v>
      </c>
      <c r="U770" s="2177">
        <v>0</v>
      </c>
    </row>
    <row r="771" spans="2:21" hidden="1" outlineLevel="1">
      <c r="B771" s="1050"/>
      <c r="C771" s="1050"/>
      <c r="D771" s="1051">
        <f t="shared" si="63"/>
        <v>27</v>
      </c>
      <c r="E771" s="1051" t="str">
        <f>IF(COUNTIF(E$547:E770,F771)&gt;0,"",F771)</f>
        <v/>
      </c>
      <c r="F771" s="1051" t="str">
        <f t="shared" si="64"/>
        <v>Biométhane - injecté dans les réseau - mix moyen, France continentale, Base Carbone</v>
      </c>
      <c r="G771" s="1055" t="str">
        <f t="shared" si="65"/>
        <v>Biométhane - injecté dans les réseau - mix moyen, France continentale, Base Carbone; kgCO2e/tep PCI, Combustion</v>
      </c>
      <c r="I771" s="1034" t="s">
        <v>3995</v>
      </c>
      <c r="J771" s="2219" t="s">
        <v>1575</v>
      </c>
      <c r="K771" s="1119" t="s">
        <v>1567</v>
      </c>
      <c r="L771" s="1119" t="s">
        <v>1571</v>
      </c>
      <c r="M771" s="1033">
        <v>0.2</v>
      </c>
      <c r="N771" s="1119" t="s">
        <v>1569</v>
      </c>
      <c r="O771" s="1036">
        <v>17.5</v>
      </c>
      <c r="P771" s="2579">
        <v>0</v>
      </c>
      <c r="Q771" s="2579">
        <v>0</v>
      </c>
      <c r="R771" s="2579">
        <v>5.82</v>
      </c>
      <c r="S771" s="2579">
        <v>11.7</v>
      </c>
      <c r="T771" s="2579">
        <v>0</v>
      </c>
      <c r="U771" s="2177">
        <v>0</v>
      </c>
    </row>
    <row r="772" spans="2:21" hidden="1" outlineLevel="1">
      <c r="B772" s="1050"/>
      <c r="C772" s="1050"/>
      <c r="D772" s="1051">
        <f t="shared" si="63"/>
        <v>27</v>
      </c>
      <c r="E772" s="1051" t="str">
        <f>IF(COUNTIF(E$547:E771,F772)&gt;0,"",F772)</f>
        <v/>
      </c>
      <c r="F772" s="1051" t="str">
        <f t="shared" si="64"/>
        <v>Biométhane - injecté dans les réseau - mix moyen, France continentale, Base Carbone</v>
      </c>
      <c r="G772" s="1055" t="str">
        <f t="shared" si="65"/>
        <v>Biométhane - injecté dans les réseau - mix moyen, France continentale, Base Carbone; kgCO2e/tep PCS, Amont</v>
      </c>
      <c r="I772" s="1034" t="s">
        <v>3995</v>
      </c>
      <c r="J772" s="2219" t="s">
        <v>1577</v>
      </c>
      <c r="K772" s="1119" t="s">
        <v>1567</v>
      </c>
      <c r="L772" s="1119" t="s">
        <v>1571</v>
      </c>
      <c r="M772" s="1033">
        <v>0.2</v>
      </c>
      <c r="N772" s="1119" t="s">
        <v>1570</v>
      </c>
      <c r="O772" s="1036">
        <v>448</v>
      </c>
      <c r="P772" s="2579">
        <v>199</v>
      </c>
      <c r="Q772" s="2579">
        <v>0</v>
      </c>
      <c r="R772" s="2579">
        <v>228</v>
      </c>
      <c r="S772" s="2579">
        <v>20.9</v>
      </c>
      <c r="T772" s="2579">
        <v>0</v>
      </c>
      <c r="U772" s="2177">
        <v>0</v>
      </c>
    </row>
    <row r="773" spans="2:21" hidden="1" outlineLevel="1">
      <c r="B773" s="1050"/>
      <c r="C773" s="1050"/>
      <c r="D773" s="1051">
        <f t="shared" si="63"/>
        <v>27</v>
      </c>
      <c r="E773" s="1051" t="str">
        <f>IF(COUNTIF(E$547:E772,F773)&gt;0,"",F773)</f>
        <v/>
      </c>
      <c r="F773" s="1051" t="str">
        <f t="shared" si="64"/>
        <v>Biométhane - injecté dans les réseau - mix moyen, France continentale, Base Carbone</v>
      </c>
      <c r="G773" s="1055" t="str">
        <f t="shared" si="65"/>
        <v>Biométhane - injecté dans les réseau - mix moyen, France continentale, Base Carbone; kgCO2e/tep PCS, Combustion</v>
      </c>
      <c r="I773" s="1034" t="s">
        <v>3995</v>
      </c>
      <c r="J773" s="2219" t="s">
        <v>1577</v>
      </c>
      <c r="K773" s="1119" t="s">
        <v>1567</v>
      </c>
      <c r="L773" s="1119" t="s">
        <v>1571</v>
      </c>
      <c r="M773" s="1033">
        <v>0.2</v>
      </c>
      <c r="N773" s="1119" t="s">
        <v>1569</v>
      </c>
      <c r="O773" s="1036">
        <v>15.5</v>
      </c>
      <c r="P773" s="2579">
        <v>0</v>
      </c>
      <c r="Q773" s="2579">
        <v>0</v>
      </c>
      <c r="R773" s="2579">
        <v>5.24</v>
      </c>
      <c r="S773" s="2579">
        <v>103</v>
      </c>
      <c r="T773" s="2579">
        <v>0</v>
      </c>
      <c r="U773" s="2177">
        <v>0</v>
      </c>
    </row>
    <row r="774" spans="2:21" hidden="1" outlineLevel="1">
      <c r="B774" s="1050"/>
      <c r="C774" s="1050"/>
      <c r="D774" s="1051">
        <f t="shared" si="63"/>
        <v>27</v>
      </c>
      <c r="E774" s="1051" t="str">
        <f>IF(COUNTIF(E$547:E773,F774)&gt;0,"",F774)</f>
        <v/>
      </c>
      <c r="F774" s="1051" t="str">
        <f t="shared" si="64"/>
        <v>Biométhane - injecté dans les réseau - mix moyen, France continentale, Base Carbone</v>
      </c>
      <c r="G774" s="1055" t="str">
        <f t="shared" si="65"/>
        <v>Biométhane - injecté dans les réseau - mix moyen, France continentale, Base Carbone; kgCO2e/m3, Amont</v>
      </c>
      <c r="I774" s="1034" t="s">
        <v>3995</v>
      </c>
      <c r="J774" s="2219" t="s">
        <v>2358</v>
      </c>
      <c r="K774" s="1119" t="s">
        <v>1567</v>
      </c>
      <c r="L774" s="1119" t="s">
        <v>1571</v>
      </c>
      <c r="M774" s="1033">
        <v>0.2</v>
      </c>
      <c r="N774" s="1119" t="s">
        <v>1570</v>
      </c>
      <c r="O774" s="1036">
        <v>0.435</v>
      </c>
      <c r="P774" s="2579">
        <v>0.193</v>
      </c>
      <c r="Q774" s="2579">
        <v>0</v>
      </c>
      <c r="R774" s="2339">
        <v>0.221</v>
      </c>
      <c r="S774" s="2579">
        <v>2.12E-2</v>
      </c>
      <c r="T774" s="2579">
        <v>0</v>
      </c>
      <c r="U774" s="2177">
        <v>0</v>
      </c>
    </row>
    <row r="775" spans="2:21" hidden="1" outlineLevel="1">
      <c r="B775" s="1050"/>
      <c r="C775" s="1050"/>
      <c r="D775" s="1051">
        <f t="shared" si="63"/>
        <v>27</v>
      </c>
      <c r="E775" s="1051" t="str">
        <f>IF(COUNTIF(E$547:E774,F775)&gt;0,"",F775)</f>
        <v/>
      </c>
      <c r="F775" s="1051" t="str">
        <f t="shared" si="64"/>
        <v>Biométhane - injecté dans les réseau - mix moyen, France continentale, Base Carbone</v>
      </c>
      <c r="G775" s="1055" t="str">
        <f t="shared" si="65"/>
        <v>Biométhane - injecté dans les réseau - mix moyen, France continentale, Base Carbone; kgCO2e/m3, Combustion</v>
      </c>
      <c r="I775" s="1034" t="s">
        <v>3995</v>
      </c>
      <c r="J775" s="2219" t="s">
        <v>2358</v>
      </c>
      <c r="K775" s="1119" t="s">
        <v>1567</v>
      </c>
      <c r="L775" s="1119" t="s">
        <v>1571</v>
      </c>
      <c r="M775" s="1033">
        <v>0.2</v>
      </c>
      <c r="N775" s="1119" t="s">
        <v>1569</v>
      </c>
      <c r="O775" s="1036">
        <v>1.6199999999999999E-2</v>
      </c>
      <c r="P775" s="2579">
        <v>0</v>
      </c>
      <c r="Q775" s="2579">
        <v>0</v>
      </c>
      <c r="R775" s="2339">
        <v>5.5999999999999999E-3</v>
      </c>
      <c r="S775" s="2579">
        <v>1.06E-2</v>
      </c>
      <c r="T775" s="2579">
        <v>0</v>
      </c>
      <c r="U775" s="2177">
        <v>0</v>
      </c>
    </row>
    <row r="776" spans="2:21" hidden="1" outlineLevel="1">
      <c r="B776" s="1050"/>
      <c r="C776" s="1050"/>
      <c r="D776" s="1051">
        <f t="shared" si="63"/>
        <v>28</v>
      </c>
      <c r="E776" s="1051" t="str">
        <f>IF(COUNTIF(E$547:E775,F776)&gt;0,"",F776)</f>
        <v>Biopropane mix annuel - 2020, France continentale, Base Carbone</v>
      </c>
      <c r="F776" s="1051" t="str">
        <f t="shared" si="64"/>
        <v>Biopropane mix annuel - 2020, France continentale, Base Carbone</v>
      </c>
      <c r="G776" s="1055" t="str">
        <f t="shared" si="65"/>
        <v>Biopropane mix annuel - 2020, France continentale, Base Carbone; kgCO2e/kg, Amont</v>
      </c>
      <c r="I776" s="1031" t="s">
        <v>4812</v>
      </c>
      <c r="J776" s="2342" t="s">
        <v>1572</v>
      </c>
      <c r="K776" s="1032" t="s">
        <v>1567</v>
      </c>
      <c r="L776" s="1032" t="s">
        <v>1571</v>
      </c>
      <c r="M776" s="1033">
        <v>0.2</v>
      </c>
      <c r="N776" s="1119" t="s">
        <v>1570</v>
      </c>
      <c r="O776" s="1036">
        <v>0.94399999999999995</v>
      </c>
      <c r="P776" s="1980">
        <v>0.94399999999999995</v>
      </c>
      <c r="Q776" s="1980">
        <v>0</v>
      </c>
      <c r="R776" s="1980">
        <v>0</v>
      </c>
      <c r="S776" s="1980">
        <v>0</v>
      </c>
      <c r="T776" s="1980">
        <v>0</v>
      </c>
      <c r="U776" s="2036">
        <v>0</v>
      </c>
    </row>
    <row r="777" spans="2:21" hidden="1" outlineLevel="1">
      <c r="B777" s="1050"/>
      <c r="C777" s="1050"/>
      <c r="D777" s="1051">
        <f t="shared" si="63"/>
        <v>28</v>
      </c>
      <c r="E777" s="1051" t="str">
        <f>IF(COUNTIF(E$547:E776,F777)&gt;0,"",F777)</f>
        <v/>
      </c>
      <c r="F777" s="1051" t="str">
        <f t="shared" si="64"/>
        <v>Biopropane mix annuel - 2020, France continentale, Base Carbone</v>
      </c>
      <c r="G777" s="1055" t="str">
        <f t="shared" si="65"/>
        <v>Biopropane mix annuel - 2020, France continentale, Base Carbone; kgCO2e/kg, Combustion</v>
      </c>
      <c r="I777" s="1031" t="s">
        <v>4812</v>
      </c>
      <c r="J777" s="2342" t="s">
        <v>1572</v>
      </c>
      <c r="K777" s="1032" t="s">
        <v>1567</v>
      </c>
      <c r="L777" s="1032" t="s">
        <v>1571</v>
      </c>
      <c r="M777" s="1033">
        <v>0.2</v>
      </c>
      <c r="N777" s="1119" t="s">
        <v>1569</v>
      </c>
      <c r="O777" s="1036">
        <v>0</v>
      </c>
      <c r="P777" s="1980">
        <v>0</v>
      </c>
      <c r="Q777" s="1980">
        <v>0</v>
      </c>
      <c r="R777" s="1980">
        <v>0</v>
      </c>
      <c r="S777" s="1980">
        <v>0</v>
      </c>
      <c r="T777" s="1980">
        <v>0</v>
      </c>
      <c r="U777" s="2036">
        <v>0</v>
      </c>
    </row>
    <row r="778" spans="2:21" hidden="1" outlineLevel="1">
      <c r="B778" s="1050"/>
      <c r="C778" s="1050"/>
      <c r="D778" s="1051">
        <f t="shared" si="63"/>
        <v>28</v>
      </c>
      <c r="E778" s="1051" t="str">
        <f>IF(COUNTIF(E$547:E777,F778)&gt;0,"",F778)</f>
        <v/>
      </c>
      <c r="F778" s="1051" t="str">
        <f t="shared" si="64"/>
        <v>Biopropane mix annuel - 2020, France continentale, Base Carbone</v>
      </c>
      <c r="G778" s="1055" t="str">
        <f t="shared" si="65"/>
        <v>Biopropane mix annuel - 2020, France continentale, Base Carbone; kgCO2e/GJ PCI, Amont</v>
      </c>
      <c r="I778" s="1031" t="s">
        <v>4812</v>
      </c>
      <c r="J778" s="2342" t="s">
        <v>1566</v>
      </c>
      <c r="K778" s="1032" t="s">
        <v>1567</v>
      </c>
      <c r="L778" s="1032" t="s">
        <v>1571</v>
      </c>
      <c r="M778" s="1033">
        <v>0.2</v>
      </c>
      <c r="N778" s="1119" t="s">
        <v>1570</v>
      </c>
      <c r="O778" s="1036">
        <v>20.5</v>
      </c>
      <c r="P778" s="1980">
        <v>20.5</v>
      </c>
      <c r="Q778" s="1980">
        <v>0</v>
      </c>
      <c r="R778" s="1980">
        <v>0</v>
      </c>
      <c r="S778" s="1980">
        <v>0</v>
      </c>
      <c r="T778" s="1980">
        <v>0</v>
      </c>
      <c r="U778" s="2036">
        <v>0</v>
      </c>
    </row>
    <row r="779" spans="2:21" hidden="1" outlineLevel="1">
      <c r="B779" s="1050"/>
      <c r="C779" s="1050"/>
      <c r="D779" s="1051">
        <f t="shared" si="63"/>
        <v>28</v>
      </c>
      <c r="E779" s="1051" t="str">
        <f>IF(COUNTIF(E$547:E778,F779)&gt;0,"",F779)</f>
        <v/>
      </c>
      <c r="F779" s="1051" t="str">
        <f t="shared" si="64"/>
        <v>Biopropane mix annuel - 2020, France continentale, Base Carbone</v>
      </c>
      <c r="G779" s="1055" t="str">
        <f t="shared" si="65"/>
        <v>Biopropane mix annuel - 2020, France continentale, Base Carbone; kgCO2e/GJ PCI, Combustion</v>
      </c>
      <c r="I779" s="1031" t="s">
        <v>4812</v>
      </c>
      <c r="J779" s="2342" t="s">
        <v>1566</v>
      </c>
      <c r="K779" s="1032" t="s">
        <v>1567</v>
      </c>
      <c r="L779" s="1032" t="s">
        <v>1571</v>
      </c>
      <c r="M779" s="1033">
        <v>0.2</v>
      </c>
      <c r="N779" s="1119" t="s">
        <v>1569</v>
      </c>
      <c r="O779" s="1036">
        <v>0</v>
      </c>
      <c r="P779" s="1980">
        <v>0</v>
      </c>
      <c r="Q779" s="1980">
        <v>0</v>
      </c>
      <c r="R779" s="1980">
        <v>0</v>
      </c>
      <c r="S779" s="1980">
        <v>0</v>
      </c>
      <c r="T779" s="1980">
        <v>0</v>
      </c>
      <c r="U779" s="2036">
        <v>0</v>
      </c>
    </row>
    <row r="780" spans="2:21" hidden="1" outlineLevel="1">
      <c r="B780" s="1050"/>
      <c r="C780" s="1050"/>
      <c r="D780" s="1051">
        <f t="shared" si="63"/>
        <v>28</v>
      </c>
      <c r="E780" s="1051" t="str">
        <f>IF(COUNTIF(E$547:E779,F780)&gt;0,"",F780)</f>
        <v/>
      </c>
      <c r="F780" s="1051" t="str">
        <f t="shared" si="64"/>
        <v>Biopropane mix annuel - 2020, France continentale, Base Carbone</v>
      </c>
      <c r="G780" s="1055" t="str">
        <f t="shared" si="65"/>
        <v>Biopropane mix annuel - 2020, France continentale, Base Carbone; kgCO2e/kWh PCI, Amont</v>
      </c>
      <c r="I780" s="1031" t="s">
        <v>4812</v>
      </c>
      <c r="J780" s="2219" t="s">
        <v>1573</v>
      </c>
      <c r="K780" s="1032" t="s">
        <v>1567</v>
      </c>
      <c r="L780" s="1032" t="s">
        <v>1571</v>
      </c>
      <c r="M780" s="1033">
        <v>0.2</v>
      </c>
      <c r="N780" s="1119" t="s">
        <v>1570</v>
      </c>
      <c r="O780" s="1036">
        <v>7.3999999999999996E-2</v>
      </c>
      <c r="P780" s="1980">
        <v>7.3999999999999996E-2</v>
      </c>
      <c r="Q780" s="1980">
        <v>0</v>
      </c>
      <c r="R780" s="1980">
        <v>0</v>
      </c>
      <c r="S780" s="1980">
        <v>0</v>
      </c>
      <c r="T780" s="1980">
        <v>0</v>
      </c>
      <c r="U780" s="2036">
        <v>0</v>
      </c>
    </row>
    <row r="781" spans="2:21" hidden="1" outlineLevel="1">
      <c r="B781" s="1050"/>
      <c r="C781" s="1050"/>
      <c r="D781" s="1051">
        <f t="shared" si="63"/>
        <v>28</v>
      </c>
      <c r="E781" s="1051" t="str">
        <f>IF(COUNTIF(E$547:E780,F781)&gt;0,"",F781)</f>
        <v/>
      </c>
      <c r="F781" s="1051" t="str">
        <f t="shared" si="64"/>
        <v>Biopropane mix annuel - 2020, France continentale, Base Carbone</v>
      </c>
      <c r="G781" s="1055" t="str">
        <f t="shared" si="65"/>
        <v>Biopropane mix annuel - 2020, France continentale, Base Carbone; kgCO2e/kWh PCI, Combustion</v>
      </c>
      <c r="I781" s="1031" t="s">
        <v>4812</v>
      </c>
      <c r="J781" s="2342" t="s">
        <v>1573</v>
      </c>
      <c r="K781" s="1032" t="s">
        <v>1567</v>
      </c>
      <c r="L781" s="1032" t="s">
        <v>1571</v>
      </c>
      <c r="M781" s="1033">
        <v>0.2</v>
      </c>
      <c r="N781" s="1119" t="s">
        <v>1569</v>
      </c>
      <c r="O781" s="1036">
        <v>0</v>
      </c>
      <c r="P781" s="1980">
        <v>0</v>
      </c>
      <c r="Q781" s="1980">
        <v>0</v>
      </c>
      <c r="R781" s="1980">
        <v>0</v>
      </c>
      <c r="S781" s="1980">
        <v>0</v>
      </c>
      <c r="T781" s="1980">
        <v>0</v>
      </c>
      <c r="U781" s="2036">
        <v>0</v>
      </c>
    </row>
    <row r="782" spans="2:21" hidden="1" outlineLevel="1">
      <c r="B782" s="1050"/>
      <c r="C782" s="1050"/>
      <c r="D782" s="1051">
        <f t="shared" si="63"/>
        <v>28</v>
      </c>
      <c r="E782" s="1051" t="str">
        <f>IF(COUNTIF(E$547:E781,F782)&gt;0,"",F782)</f>
        <v/>
      </c>
      <c r="F782" s="1051" t="str">
        <f t="shared" si="64"/>
        <v>Biopropane mix annuel - 2020, France continentale, Base Carbone</v>
      </c>
      <c r="G782" s="1055" t="str">
        <f t="shared" si="65"/>
        <v>Biopropane mix annuel - 2020, France continentale, Base Carbone; kgCO2e/litre, Amont</v>
      </c>
      <c r="I782" s="1031" t="s">
        <v>4812</v>
      </c>
      <c r="J782" s="2219" t="s">
        <v>1574</v>
      </c>
      <c r="K782" s="1032" t="s">
        <v>1567</v>
      </c>
      <c r="L782" s="1032" t="s">
        <v>1571</v>
      </c>
      <c r="M782" s="1033">
        <v>0.2</v>
      </c>
      <c r="N782" s="1119" t="s">
        <v>1570</v>
      </c>
      <c r="O782" s="1036">
        <v>0.49</v>
      </c>
      <c r="P782" s="1980">
        <v>0.49</v>
      </c>
      <c r="Q782" s="1980">
        <v>0</v>
      </c>
      <c r="R782" s="1980">
        <v>0</v>
      </c>
      <c r="S782" s="1980">
        <v>0</v>
      </c>
      <c r="T782" s="1980">
        <v>0</v>
      </c>
      <c r="U782" s="2036">
        <v>0</v>
      </c>
    </row>
    <row r="783" spans="2:21" hidden="1" outlineLevel="1">
      <c r="B783" s="1050"/>
      <c r="C783" s="1050"/>
      <c r="D783" s="1051">
        <f t="shared" si="63"/>
        <v>28</v>
      </c>
      <c r="E783" s="1051" t="str">
        <f>IF(COUNTIF(E$547:E782,F783)&gt;0,"",F783)</f>
        <v/>
      </c>
      <c r="F783" s="1051" t="str">
        <f t="shared" si="64"/>
        <v>Biopropane mix annuel - 2020, France continentale, Base Carbone</v>
      </c>
      <c r="G783" s="1055" t="str">
        <f t="shared" si="65"/>
        <v>Biopropane mix annuel - 2020, France continentale, Base Carbone; kgCO2e/litre, Combustion</v>
      </c>
      <c r="I783" s="1031" t="s">
        <v>4812</v>
      </c>
      <c r="J783" s="2342" t="s">
        <v>1574</v>
      </c>
      <c r="K783" s="1032" t="s">
        <v>1567</v>
      </c>
      <c r="L783" s="1032" t="s">
        <v>1571</v>
      </c>
      <c r="M783" s="1033">
        <v>0.2</v>
      </c>
      <c r="N783" s="1119" t="s">
        <v>1569</v>
      </c>
      <c r="O783" s="1036">
        <v>0</v>
      </c>
      <c r="P783" s="1980">
        <v>0</v>
      </c>
      <c r="Q783" s="1980">
        <v>0</v>
      </c>
      <c r="R783" s="1980">
        <v>0</v>
      </c>
      <c r="S783" s="1980">
        <v>0</v>
      </c>
      <c r="T783" s="1980">
        <v>0</v>
      </c>
      <c r="U783" s="2036">
        <v>0</v>
      </c>
    </row>
    <row r="784" spans="2:21" hidden="1" outlineLevel="1">
      <c r="B784" s="1050"/>
      <c r="C784" s="1050"/>
      <c r="D784" s="1051">
        <f t="shared" si="63"/>
        <v>28</v>
      </c>
      <c r="E784" s="1051" t="str">
        <f>IF(COUNTIF(E$547:E783,F784)&gt;0,"",F784)</f>
        <v/>
      </c>
      <c r="F784" s="1051" t="str">
        <f t="shared" si="64"/>
        <v>Biopropane mix annuel - 2020, France continentale, Base Carbone</v>
      </c>
      <c r="G784" s="1055" t="str">
        <f t="shared" si="65"/>
        <v>Biopropane mix annuel - 2020, France continentale, Base Carbone; kgCO2e/tep PCI, Amont</v>
      </c>
      <c r="I784" s="1031" t="s">
        <v>4812</v>
      </c>
      <c r="J784" s="2342" t="s">
        <v>1575</v>
      </c>
      <c r="K784" s="1032" t="s">
        <v>1567</v>
      </c>
      <c r="L784" s="1032" t="s">
        <v>1571</v>
      </c>
      <c r="M784" s="1033">
        <v>0.2</v>
      </c>
      <c r="N784" s="1119" t="s">
        <v>1570</v>
      </c>
      <c r="O784" s="1036">
        <v>863</v>
      </c>
      <c r="P784" s="1980">
        <v>863</v>
      </c>
      <c r="Q784" s="1980">
        <v>0</v>
      </c>
      <c r="R784" s="1980">
        <v>0</v>
      </c>
      <c r="S784" s="1980">
        <v>0</v>
      </c>
      <c r="T784" s="1980">
        <v>0</v>
      </c>
      <c r="U784" s="2036">
        <v>0</v>
      </c>
    </row>
    <row r="785" spans="2:21" hidden="1" outlineLevel="1">
      <c r="B785" s="1050"/>
      <c r="C785" s="1050"/>
      <c r="D785" s="1051">
        <f t="shared" si="63"/>
        <v>28</v>
      </c>
      <c r="E785" s="1051" t="str">
        <f>IF(COUNTIF(E$547:E784,F785)&gt;0,"",F785)</f>
        <v/>
      </c>
      <c r="F785" s="1051" t="str">
        <f t="shared" si="64"/>
        <v>Biopropane mix annuel - 2020, France continentale, Base Carbone</v>
      </c>
      <c r="G785" s="1055" t="str">
        <f t="shared" si="65"/>
        <v>Biopropane mix annuel - 2020, France continentale, Base Carbone; kgCO2e/tep PCI, Combustion</v>
      </c>
      <c r="I785" s="1031" t="s">
        <v>4812</v>
      </c>
      <c r="J785" s="2342" t="s">
        <v>1575</v>
      </c>
      <c r="K785" s="1032" t="s">
        <v>1567</v>
      </c>
      <c r="L785" s="1032" t="s">
        <v>1571</v>
      </c>
      <c r="M785" s="1033">
        <v>0.2</v>
      </c>
      <c r="N785" s="1119" t="s">
        <v>1569</v>
      </c>
      <c r="O785" s="1036">
        <v>0</v>
      </c>
      <c r="P785" s="1980">
        <v>0</v>
      </c>
      <c r="Q785" s="1980">
        <v>0</v>
      </c>
      <c r="R785" s="1980">
        <v>0</v>
      </c>
      <c r="S785" s="1980">
        <v>0</v>
      </c>
      <c r="T785" s="1980">
        <v>0</v>
      </c>
      <c r="U785" s="2036">
        <v>0</v>
      </c>
    </row>
    <row r="786" spans="2:21" hidden="1" outlineLevel="1">
      <c r="B786" s="1050"/>
      <c r="C786" s="1050"/>
      <c r="D786" s="1051">
        <f t="shared" si="63"/>
        <v>29</v>
      </c>
      <c r="E786" s="1051" t="str">
        <f>IF(COUNTIF(E$547:E785,F786)&gt;0,"",F786)</f>
        <v>BioGNC - biométhane comprimé pour véhicule routier - mix moyen, France continentale, Base Carbone</v>
      </c>
      <c r="F786" s="1051" t="str">
        <f t="shared" si="64"/>
        <v>BioGNC - biométhane comprimé pour véhicule routier - mix moyen, France continentale, Base Carbone</v>
      </c>
      <c r="G786" s="1055" t="str">
        <f t="shared" si="65"/>
        <v>BioGNC - biométhane comprimé pour véhicule routier - mix moyen, France continentale, Base Carbone; kgCO2e/kWh PCI, Amont</v>
      </c>
      <c r="I786" s="1031" t="s">
        <v>4809</v>
      </c>
      <c r="J786" s="2342" t="s">
        <v>1573</v>
      </c>
      <c r="K786" s="1119" t="s">
        <v>1567</v>
      </c>
      <c r="L786" s="1119" t="s">
        <v>1571</v>
      </c>
      <c r="M786" s="1033">
        <v>0.7</v>
      </c>
      <c r="N786" s="1119" t="s">
        <v>1570</v>
      </c>
      <c r="O786" s="1036">
        <v>4.5499999999999999E-2</v>
      </c>
      <c r="P786" s="1036">
        <v>0.02</v>
      </c>
      <c r="Q786" s="1036">
        <v>0</v>
      </c>
      <c r="R786" s="1036">
        <v>2.35E-2</v>
      </c>
      <c r="S786" s="1036">
        <v>1.99E-3</v>
      </c>
      <c r="T786" s="1036">
        <v>0</v>
      </c>
      <c r="U786" s="1037">
        <v>0</v>
      </c>
    </row>
    <row r="787" spans="2:21" hidden="1" outlineLevel="1">
      <c r="B787" s="1050"/>
      <c r="C787" s="1050"/>
      <c r="D787" s="1051">
        <f t="shared" si="63"/>
        <v>29</v>
      </c>
      <c r="E787" s="1051" t="str">
        <f>IF(COUNTIF(E$547:E786,F787)&gt;0,"",F787)</f>
        <v/>
      </c>
      <c r="F787" s="1051" t="str">
        <f t="shared" si="64"/>
        <v>BioGNC - biométhane comprimé pour véhicule routier - mix moyen, France continentale, Base Carbone</v>
      </c>
      <c r="G787" s="1055" t="str">
        <f t="shared" si="65"/>
        <v>BioGNC - biométhane comprimé pour véhicule routier - mix moyen, France continentale, Base Carbone; kgCO2e/kWh PCI, Combustion</v>
      </c>
      <c r="I787" s="1031" t="s">
        <v>4809</v>
      </c>
      <c r="J787" s="2342" t="s">
        <v>1573</v>
      </c>
      <c r="K787" s="1119" t="s">
        <v>1567</v>
      </c>
      <c r="L787" s="1119" t="s">
        <v>1571</v>
      </c>
      <c r="M787" s="1033">
        <v>0.7</v>
      </c>
      <c r="N787" s="1119" t="s">
        <v>1569</v>
      </c>
      <c r="O787" s="1036">
        <v>2.0100000000000001E-3</v>
      </c>
      <c r="P787" s="1036">
        <v>0</v>
      </c>
      <c r="Q787" s="1036">
        <v>0</v>
      </c>
      <c r="R787" s="1036">
        <v>1E-3</v>
      </c>
      <c r="S787" s="1036">
        <v>1.01E-3</v>
      </c>
      <c r="T787" s="1036">
        <v>0</v>
      </c>
      <c r="U787" s="1037">
        <v>0</v>
      </c>
    </row>
    <row r="788" spans="2:21" hidden="1" outlineLevel="1">
      <c r="B788" s="1050"/>
      <c r="C788" s="1050"/>
      <c r="D788" s="1051">
        <f t="shared" si="63"/>
        <v>29</v>
      </c>
      <c r="E788" s="1051" t="str">
        <f>IF(COUNTIF(E$547:E787,F788)&gt;0,"",F788)</f>
        <v/>
      </c>
      <c r="F788" s="1051" t="str">
        <f t="shared" si="64"/>
        <v>BioGNC - biométhane comprimé pour véhicule routier - mix moyen, France continentale, Base Carbone</v>
      </c>
      <c r="G788" s="1055" t="str">
        <f t="shared" si="65"/>
        <v>BioGNC - biométhane comprimé pour véhicule routier - mix moyen, France continentale, Base Carbone; kgCO2e/GJ PCI, Amont</v>
      </c>
      <c r="I788" s="1031" t="s">
        <v>4809</v>
      </c>
      <c r="J788" s="2342" t="s">
        <v>1566</v>
      </c>
      <c r="K788" s="1119" t="s">
        <v>1567</v>
      </c>
      <c r="L788" s="1119" t="s">
        <v>1571</v>
      </c>
      <c r="M788" s="1033">
        <v>0.7</v>
      </c>
      <c r="N788" s="1119" t="s">
        <v>1570</v>
      </c>
      <c r="O788" s="1036">
        <v>12.7</v>
      </c>
      <c r="P788" s="1036">
        <v>5.63</v>
      </c>
      <c r="Q788" s="1036">
        <v>0</v>
      </c>
      <c r="R788" s="1036">
        <v>6.54</v>
      </c>
      <c r="S788" s="1036">
        <v>0.55500000000000005</v>
      </c>
      <c r="T788" s="1036">
        <v>0</v>
      </c>
      <c r="U788" s="1037">
        <v>0</v>
      </c>
    </row>
    <row r="789" spans="2:21" hidden="1" outlineLevel="1">
      <c r="B789" s="1050"/>
      <c r="C789" s="1050"/>
      <c r="D789" s="1051">
        <f t="shared" si="63"/>
        <v>29</v>
      </c>
      <c r="E789" s="1051" t="str">
        <f>IF(COUNTIF(E$547:E788,F789)&gt;0,"",F789)</f>
        <v/>
      </c>
      <c r="F789" s="1051" t="str">
        <f t="shared" si="64"/>
        <v>BioGNC - biométhane comprimé pour véhicule routier - mix moyen, France continentale, Base Carbone</v>
      </c>
      <c r="G789" s="1055" t="str">
        <f t="shared" si="65"/>
        <v>BioGNC - biométhane comprimé pour véhicule routier - mix moyen, France continentale, Base Carbone; kgCO2e/GJ PCI, Combustion</v>
      </c>
      <c r="I789" s="1031" t="s">
        <v>4809</v>
      </c>
      <c r="J789" s="2342" t="s">
        <v>1566</v>
      </c>
      <c r="K789" s="1119" t="s">
        <v>1567</v>
      </c>
      <c r="L789" s="1119" t="s">
        <v>1571</v>
      </c>
      <c r="M789" s="1033">
        <v>0.7</v>
      </c>
      <c r="N789" s="1119" t="s">
        <v>1569</v>
      </c>
      <c r="O789" s="1036">
        <v>0.434</v>
      </c>
      <c r="P789" s="1036">
        <v>0</v>
      </c>
      <c r="Q789" s="1036">
        <v>0</v>
      </c>
      <c r="R789" s="1036">
        <v>0.156</v>
      </c>
      <c r="S789" s="1036">
        <v>0.27800000000000002</v>
      </c>
      <c r="T789" s="1036">
        <v>0</v>
      </c>
      <c r="U789" s="1037">
        <v>0</v>
      </c>
    </row>
    <row r="790" spans="2:21" hidden="1" outlineLevel="1">
      <c r="B790" s="1050"/>
      <c r="C790" s="1050"/>
      <c r="D790" s="1051">
        <f t="shared" si="63"/>
        <v>29</v>
      </c>
      <c r="E790" s="1051" t="str">
        <f>IF(COUNTIF(E$547:E789,F790)&gt;0,"",F790)</f>
        <v/>
      </c>
      <c r="F790" s="1051" t="str">
        <f t="shared" si="64"/>
        <v>BioGNC - biométhane comprimé pour véhicule routier - mix moyen, France continentale, Base Carbone</v>
      </c>
      <c r="G790" s="1055" t="str">
        <f t="shared" si="65"/>
        <v>BioGNC - biométhane comprimé pour véhicule routier - mix moyen, France continentale, Base Carbone; kgCO2e/tep PCI, Amont</v>
      </c>
      <c r="I790" s="1031" t="s">
        <v>4809</v>
      </c>
      <c r="J790" s="2342" t="s">
        <v>1575</v>
      </c>
      <c r="K790" s="1119" t="s">
        <v>1567</v>
      </c>
      <c r="L790" s="1119" t="s">
        <v>1571</v>
      </c>
      <c r="M790" s="1033">
        <v>0.7</v>
      </c>
      <c r="N790" s="1119" t="s">
        <v>1570</v>
      </c>
      <c r="O790" s="1036">
        <v>533</v>
      </c>
      <c r="P790" s="1036">
        <v>236</v>
      </c>
      <c r="Q790" s="1036">
        <v>0</v>
      </c>
      <c r="R790" s="1036">
        <v>274</v>
      </c>
      <c r="S790" s="1036">
        <v>23.3</v>
      </c>
      <c r="T790" s="1036">
        <v>0</v>
      </c>
      <c r="U790" s="1037">
        <v>0</v>
      </c>
    </row>
    <row r="791" spans="2:21" hidden="1" outlineLevel="1">
      <c r="B791" s="1050"/>
      <c r="C791" s="1050"/>
      <c r="D791" s="1051">
        <f t="shared" si="63"/>
        <v>29</v>
      </c>
      <c r="E791" s="1051" t="str">
        <f>IF(COUNTIF(E$547:E790,F791)&gt;0,"",F791)</f>
        <v/>
      </c>
      <c r="F791" s="1051" t="str">
        <f t="shared" si="64"/>
        <v>BioGNC - biométhane comprimé pour véhicule routier - mix moyen, France continentale, Base Carbone</v>
      </c>
      <c r="G791" s="1055" t="str">
        <f t="shared" si="65"/>
        <v>BioGNC - biométhane comprimé pour véhicule routier - mix moyen, France continentale, Base Carbone; kgCO2e/tep PCI, Combustion</v>
      </c>
      <c r="I791" s="1031" t="s">
        <v>4809</v>
      </c>
      <c r="J791" s="2342" t="s">
        <v>1575</v>
      </c>
      <c r="K791" s="1119" t="s">
        <v>1567</v>
      </c>
      <c r="L791" s="1119" t="s">
        <v>1571</v>
      </c>
      <c r="M791" s="1033">
        <v>0.7</v>
      </c>
      <c r="N791" s="1119" t="s">
        <v>1569</v>
      </c>
      <c r="O791" s="1036">
        <v>18.100000000000001</v>
      </c>
      <c r="P791" s="1036">
        <v>0</v>
      </c>
      <c r="Q791" s="1036">
        <v>0</v>
      </c>
      <c r="R791" s="1036">
        <v>6.51</v>
      </c>
      <c r="S791" s="1036">
        <v>11.6</v>
      </c>
      <c r="T791" s="1036">
        <v>0</v>
      </c>
      <c r="U791" s="1037">
        <v>0</v>
      </c>
    </row>
    <row r="792" spans="2:21" hidden="1" outlineLevel="1">
      <c r="B792" s="1050"/>
      <c r="C792" s="1050"/>
      <c r="D792" s="1051">
        <f t="shared" si="63"/>
        <v>29</v>
      </c>
      <c r="E792" s="1051" t="str">
        <f>IF(COUNTIF(E$547:E791,F792)&gt;0,"",F792)</f>
        <v/>
      </c>
      <c r="F792" s="1051" t="str">
        <f t="shared" si="64"/>
        <v>BioGNC - biométhane comprimé pour véhicule routier - mix moyen, France continentale, Base Carbone</v>
      </c>
      <c r="G792" s="1055" t="str">
        <f t="shared" si="65"/>
        <v>BioGNC - biométhane comprimé pour véhicule routier - mix moyen, France continentale, Base Carbone; kgCO2e/m3, Amont</v>
      </c>
      <c r="I792" s="1031" t="s">
        <v>4809</v>
      </c>
      <c r="J792" s="2342" t="s">
        <v>2358</v>
      </c>
      <c r="K792" s="1119" t="s">
        <v>1567</v>
      </c>
      <c r="L792" s="1119" t="s">
        <v>1571</v>
      </c>
      <c r="M792" s="1033">
        <v>0.7</v>
      </c>
      <c r="N792" s="1119" t="s">
        <v>1570</v>
      </c>
      <c r="O792" s="1036">
        <v>0.46500000000000002</v>
      </c>
      <c r="P792" s="1036">
        <v>0.20599999999999999</v>
      </c>
      <c r="Q792" s="1036">
        <v>0</v>
      </c>
      <c r="R792" s="1036">
        <v>0.23899999999999999</v>
      </c>
      <c r="S792" s="1036">
        <v>0.02</v>
      </c>
      <c r="T792" s="1036">
        <v>0</v>
      </c>
      <c r="U792" s="1037">
        <v>0</v>
      </c>
    </row>
    <row r="793" spans="2:21" hidden="1" outlineLevel="1">
      <c r="B793" s="1050"/>
      <c r="C793" s="1050"/>
      <c r="D793" s="1051">
        <f t="shared" si="63"/>
        <v>29</v>
      </c>
      <c r="E793" s="1051" t="str">
        <f>IF(COUNTIF(E$547:E792,F793)&gt;0,"",F793)</f>
        <v/>
      </c>
      <c r="F793" s="1051" t="str">
        <f t="shared" si="64"/>
        <v>BioGNC - biométhane comprimé pour véhicule routier - mix moyen, France continentale, Base Carbone</v>
      </c>
      <c r="G793" s="1055" t="str">
        <f t="shared" si="65"/>
        <v>BioGNC - biométhane comprimé pour véhicule routier - mix moyen, France continentale, Base Carbone; kgCO2e/m3, Combustion</v>
      </c>
      <c r="I793" s="1031" t="s">
        <v>4809</v>
      </c>
      <c r="J793" s="2342" t="s">
        <v>2358</v>
      </c>
      <c r="K793" s="1119" t="s">
        <v>1567</v>
      </c>
      <c r="L793" s="1119" t="s">
        <v>1571</v>
      </c>
      <c r="M793" s="1033">
        <v>0.7</v>
      </c>
      <c r="N793" s="1119" t="s">
        <v>1569</v>
      </c>
      <c r="O793" s="1036">
        <v>1.6E-2</v>
      </c>
      <c r="P793" s="1036">
        <v>0</v>
      </c>
      <c r="Q793" s="1036">
        <v>0</v>
      </c>
      <c r="R793" s="1036">
        <v>6.0000000000000001E-3</v>
      </c>
      <c r="S793" s="1036">
        <v>9.9900000000000006E-3</v>
      </c>
      <c r="T793" s="1036">
        <v>0</v>
      </c>
      <c r="U793" s="1037">
        <v>0</v>
      </c>
    </row>
    <row r="794" spans="2:21" hidden="1" outlineLevel="1">
      <c r="B794" s="1050"/>
      <c r="C794" s="1050"/>
      <c r="D794" s="1051">
        <f t="shared" si="63"/>
        <v>29</v>
      </c>
      <c r="E794" s="1051" t="str">
        <f>IF(COUNTIF(E$547:E793,F794)&gt;0,"",F794)</f>
        <v/>
      </c>
      <c r="F794" s="1051" t="str">
        <f t="shared" si="64"/>
        <v>BioGNC - biométhane comprimé pour véhicule routier - mix moyen, France continentale, Base Carbone</v>
      </c>
      <c r="G794" s="1055" t="str">
        <f t="shared" si="65"/>
        <v>BioGNC - biométhane comprimé pour véhicule routier - mix moyen, France continentale, Base Carbone; kgCO2e/kg, Amont</v>
      </c>
      <c r="I794" s="1031" t="s">
        <v>4809</v>
      </c>
      <c r="J794" s="2342" t="s">
        <v>1572</v>
      </c>
      <c r="K794" s="1119" t="s">
        <v>1567</v>
      </c>
      <c r="L794" s="1119" t="s">
        <v>1571</v>
      </c>
      <c r="M794" s="1033">
        <v>0.7</v>
      </c>
      <c r="N794" s="1119" t="s">
        <v>1570</v>
      </c>
      <c r="O794" s="1036">
        <v>0.58799999999999997</v>
      </c>
      <c r="P794" s="1036">
        <v>0.26</v>
      </c>
      <c r="Q794" s="1036">
        <v>0</v>
      </c>
      <c r="R794" s="1036">
        <v>0.30199999999999999</v>
      </c>
      <c r="S794" s="1036">
        <v>2.5999999999999999E-2</v>
      </c>
      <c r="T794" s="1036">
        <v>0</v>
      </c>
      <c r="U794" s="1037">
        <v>0</v>
      </c>
    </row>
    <row r="795" spans="2:21" hidden="1" outlineLevel="1">
      <c r="B795" s="1050"/>
      <c r="C795" s="1050"/>
      <c r="D795" s="1051">
        <f t="shared" si="63"/>
        <v>29</v>
      </c>
      <c r="E795" s="1051" t="str">
        <f>IF(COUNTIF(E$547:E794,F795)&gt;0,"",F795)</f>
        <v/>
      </c>
      <c r="F795" s="1051" t="str">
        <f t="shared" si="64"/>
        <v>BioGNC - biométhane comprimé pour véhicule routier - mix moyen, France continentale, Base Carbone</v>
      </c>
      <c r="G795" s="1055" t="str">
        <f t="shared" si="65"/>
        <v>BioGNC - biométhane comprimé pour véhicule routier - mix moyen, France continentale, Base Carbone; kgCO2e/kg, Combustion</v>
      </c>
      <c r="I795" s="1031" t="s">
        <v>4809</v>
      </c>
      <c r="J795" s="2342" t="s">
        <v>1572</v>
      </c>
      <c r="K795" s="1119" t="s">
        <v>1567</v>
      </c>
      <c r="L795" s="1119" t="s">
        <v>1571</v>
      </c>
      <c r="M795" s="1033">
        <v>0.7</v>
      </c>
      <c r="N795" s="1119" t="s">
        <v>1569</v>
      </c>
      <c r="O795" s="1036">
        <v>0.02</v>
      </c>
      <c r="P795" s="1036">
        <v>0</v>
      </c>
      <c r="Q795" s="1036">
        <v>0</v>
      </c>
      <c r="R795" s="1036">
        <v>7.0000000000000001E-3</v>
      </c>
      <c r="S795" s="1036">
        <v>1.2999999999999999E-2</v>
      </c>
      <c r="T795" s="1036">
        <v>0</v>
      </c>
      <c r="U795" s="1037">
        <v>0</v>
      </c>
    </row>
    <row r="796" spans="2:21" hidden="1" outlineLevel="1">
      <c r="B796" s="1050"/>
      <c r="C796" s="1050"/>
      <c r="D796" s="1051">
        <f t="shared" si="63"/>
        <v>29</v>
      </c>
      <c r="E796" s="1051" t="str">
        <f>IF(COUNTIF(E$547:E795,F796)&gt;0,"",F796)</f>
        <v/>
      </c>
      <c r="F796" s="1051" t="str">
        <f t="shared" si="64"/>
        <v/>
      </c>
      <c r="G796" s="1055" t="str">
        <f t="shared" si="65"/>
        <v/>
      </c>
      <c r="I796" s="1100"/>
      <c r="J796" s="1048"/>
      <c r="K796" s="1048"/>
      <c r="L796" s="1048"/>
      <c r="M796" s="1048"/>
      <c r="N796" s="1048"/>
      <c r="O796" s="1036"/>
      <c r="P796" s="1036"/>
      <c r="Q796" s="1036"/>
      <c r="R796" s="1036"/>
      <c r="S796" s="1036"/>
      <c r="T796" s="1036"/>
      <c r="U796" s="1037"/>
    </row>
    <row r="797" spans="2:21" hidden="1" outlineLevel="1">
      <c r="B797" s="1050"/>
      <c r="C797" s="1050"/>
      <c r="D797" s="1051">
        <f t="shared" si="63"/>
        <v>29</v>
      </c>
      <c r="E797" s="1051" t="str">
        <f>IF(COUNTIF(E$547:E796,F797)&gt;0,"",F797)</f>
        <v/>
      </c>
      <c r="F797" s="1051" t="str">
        <f t="shared" si="64"/>
        <v/>
      </c>
      <c r="G797" s="1055" t="str">
        <f t="shared" si="65"/>
        <v/>
      </c>
      <c r="I797" s="1100"/>
      <c r="J797" s="1048"/>
      <c r="K797" s="1048"/>
      <c r="L797" s="1048"/>
      <c r="M797" s="1048"/>
      <c r="N797" s="1048"/>
      <c r="O797" s="1036"/>
      <c r="P797" s="1036"/>
      <c r="Q797" s="1036"/>
      <c r="R797" s="1036"/>
      <c r="S797" s="1036"/>
      <c r="T797" s="1036"/>
      <c r="U797" s="1037"/>
    </row>
    <row r="798" spans="2:21" hidden="1" outlineLevel="1">
      <c r="B798" s="1050"/>
      <c r="C798" s="1050"/>
      <c r="D798" s="1051">
        <f t="shared" si="63"/>
        <v>29</v>
      </c>
      <c r="E798" s="1051" t="str">
        <f>IF(COUNTIF(E$547:E797,F798)&gt;0,"",F798)</f>
        <v/>
      </c>
      <c r="F798" s="1051" t="str">
        <f t="shared" si="64"/>
        <v/>
      </c>
      <c r="G798" s="1055" t="str">
        <f t="shared" si="65"/>
        <v/>
      </c>
      <c r="I798" s="1100"/>
      <c r="J798" s="1048"/>
      <c r="K798" s="1048"/>
      <c r="L798" s="1048"/>
      <c r="M798" s="1048"/>
      <c r="N798" s="1048"/>
      <c r="O798" s="1036"/>
      <c r="P798" s="1036"/>
      <c r="Q798" s="1036"/>
      <c r="R798" s="1036"/>
      <c r="S798" s="1036"/>
      <c r="T798" s="1036"/>
      <c r="U798" s="1037"/>
    </row>
    <row r="799" spans="2:21" hidden="1" outlineLevel="1">
      <c r="B799" s="1050"/>
      <c r="C799" s="1050"/>
      <c r="D799" s="1051">
        <f t="shared" si="63"/>
        <v>29</v>
      </c>
      <c r="E799" s="1051" t="str">
        <f>IF(COUNTIF(E$547:E798,F799)&gt;0,"",F799)</f>
        <v/>
      </c>
      <c r="F799" s="1051" t="str">
        <f t="shared" si="64"/>
        <v/>
      </c>
      <c r="G799" s="1055" t="str">
        <f t="shared" si="65"/>
        <v/>
      </c>
      <c r="I799" s="1100"/>
      <c r="J799" s="1048"/>
      <c r="K799" s="1048"/>
      <c r="L799" s="1048"/>
      <c r="M799" s="1048"/>
      <c r="N799" s="1048"/>
      <c r="O799" s="1036"/>
      <c r="P799" s="1036"/>
      <c r="Q799" s="1036"/>
      <c r="R799" s="1036"/>
      <c r="S799" s="1036"/>
      <c r="T799" s="1036"/>
      <c r="U799" s="1037"/>
    </row>
    <row r="800" spans="2:21" hidden="1" outlineLevel="1">
      <c r="B800" s="1050"/>
      <c r="C800" s="1050"/>
      <c r="D800" s="1051">
        <f t="shared" si="63"/>
        <v>29</v>
      </c>
      <c r="E800" s="1051" t="str">
        <f>IF(COUNTIF(E$547:E799,F800)&gt;0,"",F800)</f>
        <v/>
      </c>
      <c r="F800" s="1051" t="str">
        <f t="shared" si="64"/>
        <v/>
      </c>
      <c r="G800" s="1055" t="str">
        <f t="shared" si="65"/>
        <v/>
      </c>
      <c r="I800" s="1100"/>
      <c r="J800" s="1048"/>
      <c r="K800" s="1048"/>
      <c r="L800" s="1048"/>
      <c r="M800" s="1048"/>
      <c r="N800" s="1048"/>
      <c r="O800" s="1036"/>
      <c r="P800" s="1036"/>
      <c r="Q800" s="1036"/>
      <c r="R800" s="1036"/>
      <c r="S800" s="1036"/>
      <c r="T800" s="1036"/>
      <c r="U800" s="1037"/>
    </row>
    <row r="801" spans="2:21" hidden="1" outlineLevel="1">
      <c r="B801" s="1050"/>
      <c r="C801" s="1050"/>
      <c r="D801" s="1051">
        <f t="shared" si="63"/>
        <v>29</v>
      </c>
      <c r="E801" s="1051" t="str">
        <f>IF(COUNTIF(E$547:E800,F801)&gt;0,"",F801)</f>
        <v/>
      </c>
      <c r="F801" s="1051" t="str">
        <f t="shared" si="64"/>
        <v/>
      </c>
      <c r="G801" s="1055" t="str">
        <f t="shared" si="65"/>
        <v/>
      </c>
      <c r="I801" s="1100"/>
      <c r="J801" s="1048"/>
      <c r="K801" s="1048"/>
      <c r="L801" s="1048"/>
      <c r="M801" s="1048"/>
      <c r="N801" s="1048"/>
      <c r="O801" s="1036"/>
      <c r="P801" s="1036"/>
      <c r="Q801" s="1036"/>
      <c r="R801" s="1036"/>
      <c r="S801" s="1036"/>
      <c r="T801" s="1036"/>
      <c r="U801" s="1037"/>
    </row>
    <row r="802" spans="2:21" hidden="1" outlineLevel="1">
      <c r="B802" s="1050"/>
      <c r="C802" s="1050"/>
      <c r="D802" s="1051">
        <f t="shared" si="63"/>
        <v>29</v>
      </c>
      <c r="E802" s="1051" t="str">
        <f>IF(COUNTIF(E$547:E801,F802)&gt;0,"",F802)</f>
        <v/>
      </c>
      <c r="F802" s="1051" t="str">
        <f t="shared" si="64"/>
        <v/>
      </c>
      <c r="G802" s="1055" t="str">
        <f t="shared" si="65"/>
        <v/>
      </c>
      <c r="I802" s="1103"/>
      <c r="J802" s="1104"/>
      <c r="K802" s="1104"/>
      <c r="L802" s="1104"/>
      <c r="M802" s="1104"/>
      <c r="N802" s="1104"/>
      <c r="O802" s="1156"/>
      <c r="P802" s="1156"/>
      <c r="Q802" s="1156"/>
      <c r="R802" s="1156"/>
      <c r="S802" s="1156"/>
      <c r="T802" s="1156"/>
      <c r="U802" s="1157"/>
    </row>
    <row r="803" spans="2:21"/>
    <row r="804" spans="2:21" ht="15.6" collapsed="1">
      <c r="I804" s="2916" t="s">
        <v>821</v>
      </c>
      <c r="J804" s="2917"/>
      <c r="K804" s="2917"/>
      <c r="L804" s="2917"/>
      <c r="M804" s="2917"/>
      <c r="N804" s="2917"/>
      <c r="O804" s="2917"/>
      <c r="P804" s="2917"/>
      <c r="Q804" s="2917"/>
      <c r="R804" s="2917"/>
      <c r="S804" s="2917"/>
      <c r="T804" s="2917"/>
      <c r="U804" s="2918"/>
    </row>
    <row r="805" spans="2:21" ht="13.2" hidden="1" outlineLevel="1">
      <c r="I805" s="91"/>
      <c r="J805" s="91"/>
      <c r="K805" s="91"/>
      <c r="L805" s="91"/>
      <c r="M805" s="91"/>
      <c r="N805" s="91"/>
      <c r="O805" s="91"/>
      <c r="P805" s="91"/>
      <c r="Q805" s="91"/>
      <c r="R805" s="1083"/>
    </row>
    <row r="806" spans="2:21" ht="12.75" hidden="1" customHeight="1" outlineLevel="1">
      <c r="I806" s="1675" t="s">
        <v>822</v>
      </c>
      <c r="J806" s="3173" t="s">
        <v>823</v>
      </c>
      <c r="K806" s="3174"/>
      <c r="L806" s="3173" t="s">
        <v>824</v>
      </c>
      <c r="M806" s="3174"/>
      <c r="N806" s="3173" t="s">
        <v>825</v>
      </c>
      <c r="O806" s="3174"/>
      <c r="P806" s="3175" t="s">
        <v>826</v>
      </c>
      <c r="Q806" s="3176"/>
      <c r="R806" s="3176"/>
      <c r="S806" s="3176"/>
      <c r="T806" s="3176"/>
      <c r="U806" s="3176"/>
    </row>
    <row r="807" spans="2:21" ht="12.75" hidden="1" customHeight="1" outlineLevel="1">
      <c r="I807" s="998" t="s">
        <v>1567</v>
      </c>
      <c r="J807" s="3182" t="s">
        <v>827</v>
      </c>
      <c r="K807" s="3183"/>
      <c r="L807" s="3177" t="s">
        <v>5127</v>
      </c>
      <c r="M807" s="3178"/>
      <c r="N807" s="3182" t="s">
        <v>828</v>
      </c>
      <c r="O807" s="3183"/>
      <c r="P807" s="3186" t="s">
        <v>901</v>
      </c>
      <c r="Q807" s="3187"/>
      <c r="R807" s="3187"/>
      <c r="S807" s="3187"/>
      <c r="T807" s="3187"/>
      <c r="U807" s="3188"/>
    </row>
    <row r="808" spans="2:21" ht="12.75" hidden="1" customHeight="1" outlineLevel="1">
      <c r="I808" s="998" t="s">
        <v>1784</v>
      </c>
      <c r="J808" s="3184"/>
      <c r="K808" s="3185"/>
      <c r="L808" s="3177" t="s">
        <v>1224</v>
      </c>
      <c r="M808" s="3178"/>
      <c r="N808" s="3184"/>
      <c r="O808" s="3185"/>
      <c r="P808" s="3189"/>
      <c r="Q808" s="3190"/>
      <c r="R808" s="3190"/>
      <c r="S808" s="3190"/>
      <c r="T808" s="3190"/>
      <c r="U808" s="3191"/>
    </row>
    <row r="809" spans="2:21" ht="12.75" hidden="1" customHeight="1" outlineLevel="1">
      <c r="I809" s="998" t="s">
        <v>829</v>
      </c>
      <c r="J809" s="3177" t="s">
        <v>829</v>
      </c>
      <c r="K809" s="3178"/>
      <c r="L809" s="3177" t="s">
        <v>850</v>
      </c>
      <c r="M809" s="3178"/>
      <c r="N809" s="3177" t="s">
        <v>851</v>
      </c>
      <c r="O809" s="3178"/>
      <c r="P809" s="3179" t="s">
        <v>830</v>
      </c>
      <c r="Q809" s="3180"/>
      <c r="R809" s="3180"/>
      <c r="S809" s="3180"/>
      <c r="T809" s="3180"/>
      <c r="U809" s="3181"/>
    </row>
    <row r="810" spans="2:21" ht="12.75" hidden="1" customHeight="1" outlineLevel="1">
      <c r="I810" s="998" t="s">
        <v>832</v>
      </c>
      <c r="J810" s="3177" t="s">
        <v>832</v>
      </c>
      <c r="K810" s="3178"/>
      <c r="L810" s="3177" t="s">
        <v>833</v>
      </c>
      <c r="M810" s="3178"/>
      <c r="N810" s="3177" t="s">
        <v>1553</v>
      </c>
      <c r="O810" s="3178"/>
      <c r="P810" s="3179" t="s">
        <v>834</v>
      </c>
      <c r="Q810" s="3180"/>
      <c r="R810" s="3180"/>
      <c r="S810" s="3180"/>
      <c r="T810" s="3180"/>
      <c r="U810" s="3181"/>
    </row>
    <row r="811" spans="2:21" ht="12.75" hidden="1" customHeight="1" outlineLevel="1">
      <c r="I811" s="998"/>
      <c r="J811" s="3177"/>
      <c r="K811" s="3178"/>
      <c r="L811" s="3177"/>
      <c r="M811" s="3178"/>
      <c r="N811" s="3177"/>
      <c r="O811" s="3178"/>
      <c r="P811" s="3179"/>
      <c r="Q811" s="3180"/>
      <c r="R811" s="3180"/>
      <c r="S811" s="3180"/>
      <c r="T811" s="3180"/>
      <c r="U811" s="3181"/>
    </row>
    <row r="812" spans="2:21" ht="12.75" hidden="1" customHeight="1" outlineLevel="1">
      <c r="I812" s="998"/>
      <c r="J812" s="3177"/>
      <c r="K812" s="3178"/>
      <c r="L812" s="3177"/>
      <c r="M812" s="3178"/>
      <c r="N812" s="3177"/>
      <c r="O812" s="3178"/>
      <c r="P812" s="3179"/>
      <c r="Q812" s="3180"/>
      <c r="R812" s="3180"/>
      <c r="S812" s="3180"/>
      <c r="T812" s="3180"/>
      <c r="U812" s="3181"/>
    </row>
    <row r="813" spans="2:21" ht="12.75" hidden="1" customHeight="1" outlineLevel="1">
      <c r="I813" s="998"/>
      <c r="J813" s="3177"/>
      <c r="K813" s="3178"/>
      <c r="L813" s="3177"/>
      <c r="M813" s="3178"/>
      <c r="N813" s="3177"/>
      <c r="O813" s="3178"/>
      <c r="P813" s="3179"/>
      <c r="Q813" s="3180"/>
      <c r="R813" s="3180"/>
      <c r="S813" s="3180"/>
      <c r="T813" s="3180"/>
      <c r="U813" s="3181"/>
    </row>
    <row r="814" spans="2:21" ht="12.75" hidden="1" customHeight="1" outlineLevel="1">
      <c r="I814" s="998"/>
      <c r="J814" s="3177"/>
      <c r="K814" s="3178"/>
      <c r="L814" s="3177"/>
      <c r="M814" s="3178"/>
      <c r="N814" s="3177"/>
      <c r="O814" s="3178"/>
      <c r="P814" s="3179"/>
      <c r="Q814" s="3180"/>
      <c r="R814" s="3180"/>
      <c r="S814" s="3180"/>
      <c r="T814" s="3180"/>
      <c r="U814" s="3181"/>
    </row>
    <row r="815" spans="2:21">
      <c r="R815" s="1083"/>
    </row>
    <row r="816" spans="2:2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63">
    <mergeCell ref="B517:C517"/>
    <mergeCell ref="J813:K813"/>
    <mergeCell ref="L813:M813"/>
    <mergeCell ref="N813:O813"/>
    <mergeCell ref="P813:U813"/>
    <mergeCell ref="J809:K809"/>
    <mergeCell ref="L809:M809"/>
    <mergeCell ref="N809:O809"/>
    <mergeCell ref="P809:U809"/>
    <mergeCell ref="J810:K810"/>
    <mergeCell ref="L810:M810"/>
    <mergeCell ref="N810:O810"/>
    <mergeCell ref="P810:U810"/>
    <mergeCell ref="J806:K806"/>
    <mergeCell ref="L806:M806"/>
    <mergeCell ref="N806:O806"/>
    <mergeCell ref="J814:K814"/>
    <mergeCell ref="L814:M814"/>
    <mergeCell ref="N814:O814"/>
    <mergeCell ref="P814:U814"/>
    <mergeCell ref="J811:K811"/>
    <mergeCell ref="L811:M811"/>
    <mergeCell ref="N811:O811"/>
    <mergeCell ref="P811:U811"/>
    <mergeCell ref="J812:K812"/>
    <mergeCell ref="L812:M812"/>
    <mergeCell ref="N812:O812"/>
    <mergeCell ref="P812:U812"/>
    <mergeCell ref="P806:U806"/>
    <mergeCell ref="J807:K808"/>
    <mergeCell ref="L807:M807"/>
    <mergeCell ref="N807:O808"/>
    <mergeCell ref="P807:U808"/>
    <mergeCell ref="L808:M808"/>
    <mergeCell ref="B2:C2"/>
    <mergeCell ref="J2:U5"/>
    <mergeCell ref="B3:C3"/>
    <mergeCell ref="I804:U804"/>
    <mergeCell ref="I281:U281"/>
    <mergeCell ref="B477:C477"/>
    <mergeCell ref="I544:U544"/>
    <mergeCell ref="B546:C546"/>
    <mergeCell ref="D546:E546"/>
    <mergeCell ref="B547:C547"/>
    <mergeCell ref="B283:C283"/>
    <mergeCell ref="D283:E283"/>
    <mergeCell ref="B284:C284"/>
    <mergeCell ref="I474:U474"/>
    <mergeCell ref="B476:C476"/>
    <mergeCell ref="D476:E476"/>
    <mergeCell ref="B256:C256"/>
    <mergeCell ref="D256:E256"/>
    <mergeCell ref="B257:C257"/>
    <mergeCell ref="I8:U8"/>
    <mergeCell ref="I10:U10"/>
    <mergeCell ref="B12:C12"/>
    <mergeCell ref="D12:E12"/>
    <mergeCell ref="B13:C13"/>
    <mergeCell ref="I129:U129"/>
    <mergeCell ref="B131:C131"/>
    <mergeCell ref="D131:E131"/>
    <mergeCell ref="B132:C132"/>
    <mergeCell ref="I254:U254"/>
  </mergeCells>
  <hyperlinks>
    <hyperlink ref="P809" r:id="rId1" xr:uid="{00000000-0004-0000-1A00-000000000000}"/>
    <hyperlink ref="P810" r:id="rId2" xr:uid="{00000000-0004-0000-1A00-000001000000}"/>
    <hyperlink ref="P807" r:id="rId3" xr:uid="{00000000-0004-0000-1A00-000002000000}"/>
  </hyperlinks>
  <pageMargins left="0.7" right="0.7" top="0.75" bottom="0.75"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X1172"/>
  <sheetViews>
    <sheetView showGridLines="0" zoomScale="90" zoomScaleNormal="90" workbookViewId="0"/>
  </sheetViews>
  <sheetFormatPr baseColWidth="10" defaultColWidth="0" defaultRowHeight="11.4" zeroHeight="1" outlineLevelRow="3" outlineLevelCol="1"/>
  <cols>
    <col min="1" max="1" width="3" customWidth="1"/>
    <col min="2" max="2" width="4" customWidth="1"/>
    <col min="3" max="3" width="36.75" customWidth="1" collapsed="1"/>
    <col min="4" max="6" width="11.375" hidden="1" customWidth="1" outlineLevel="1"/>
    <col min="7" max="7" width="13.625" hidden="1" customWidth="1" outlineLevel="1"/>
    <col min="8" max="8" width="2.25" customWidth="1"/>
    <col min="9" max="9" width="36.875" customWidth="1"/>
    <col min="10" max="10" width="13.75" customWidth="1"/>
    <col min="11" max="21" width="11.375" customWidth="1"/>
    <col min="22" max="22" width="4" customWidth="1"/>
    <col min="23" max="23" width="11.375" customWidth="1"/>
    <col min="24" max="24" width="4.75" customWidth="1"/>
    <col min="25" max="16384" width="11.375" hidden="1"/>
  </cols>
  <sheetData>
    <row r="1" spans="2:21">
      <c r="K1" s="1673"/>
      <c r="M1" s="1144"/>
      <c r="O1" s="1148"/>
      <c r="P1" s="1146"/>
      <c r="Q1" s="1146"/>
      <c r="R1" s="1146"/>
      <c r="S1" s="1146"/>
      <c r="T1" s="1146"/>
      <c r="U1" s="1146"/>
    </row>
    <row r="2" spans="2:21" ht="14.25" customHeight="1">
      <c r="B2" s="2761" t="s">
        <v>893</v>
      </c>
      <c r="C2" s="2762"/>
      <c r="J2" s="3158" t="s">
        <v>2474</v>
      </c>
      <c r="K2" s="3159"/>
      <c r="L2" s="3159"/>
      <c r="M2" s="3159"/>
      <c r="N2" s="3159"/>
      <c r="O2" s="3159"/>
      <c r="P2" s="3159"/>
      <c r="Q2" s="3159"/>
      <c r="R2" s="3159"/>
      <c r="S2" s="3159"/>
      <c r="T2" s="3159"/>
      <c r="U2" s="3160"/>
    </row>
    <row r="3" spans="2:21" ht="13.8">
      <c r="B3" s="2761" t="s">
        <v>150</v>
      </c>
      <c r="C3" s="2762"/>
      <c r="J3" s="3161"/>
      <c r="K3" s="3162"/>
      <c r="L3" s="3162"/>
      <c r="M3" s="3162"/>
      <c r="N3" s="3162"/>
      <c r="O3" s="3162"/>
      <c r="P3" s="3162"/>
      <c r="Q3" s="3162"/>
      <c r="R3" s="3162"/>
      <c r="S3" s="3162"/>
      <c r="T3" s="3162"/>
      <c r="U3" s="3163"/>
    </row>
    <row r="4" spans="2:21">
      <c r="J4" s="3161"/>
      <c r="K4" s="3162"/>
      <c r="L4" s="3162"/>
      <c r="M4" s="3162"/>
      <c r="N4" s="3162"/>
      <c r="O4" s="3162"/>
      <c r="P4" s="3162"/>
      <c r="Q4" s="3162"/>
      <c r="R4" s="3162"/>
      <c r="S4" s="3162"/>
      <c r="T4" s="3162"/>
      <c r="U4" s="3163"/>
    </row>
    <row r="5" spans="2:21">
      <c r="J5" s="3164"/>
      <c r="K5" s="3165"/>
      <c r="L5" s="3165"/>
      <c r="M5" s="3165"/>
      <c r="N5" s="3165"/>
      <c r="O5" s="3165"/>
      <c r="P5" s="3165"/>
      <c r="Q5" s="3165"/>
      <c r="R5" s="3165"/>
      <c r="S5" s="3165"/>
      <c r="T5" s="3165"/>
      <c r="U5" s="3166"/>
    </row>
    <row r="6" spans="2:21">
      <c r="R6" s="1083"/>
    </row>
    <row r="7" spans="2:21">
      <c r="R7" s="1083"/>
    </row>
    <row r="8" spans="2:21" ht="15.6">
      <c r="I8" s="3170" t="s">
        <v>2220</v>
      </c>
      <c r="J8" s="3171"/>
      <c r="K8" s="3171"/>
      <c r="L8" s="3171"/>
      <c r="M8" s="3171"/>
      <c r="N8" s="3171"/>
      <c r="O8" s="3171"/>
      <c r="P8" s="3171"/>
      <c r="Q8" s="3171"/>
      <c r="R8" s="3171"/>
      <c r="S8" s="3171"/>
      <c r="T8" s="3171"/>
      <c r="U8" s="3172"/>
    </row>
    <row r="9" spans="2:21">
      <c r="R9" s="1083"/>
    </row>
    <row r="10" spans="2:21" ht="15.6" collapsed="1">
      <c r="I10" s="3167" t="s">
        <v>2221</v>
      </c>
      <c r="J10" s="3168"/>
      <c r="K10" s="3168"/>
      <c r="L10" s="3168"/>
      <c r="M10" s="3168"/>
      <c r="N10" s="3168"/>
      <c r="O10" s="3168"/>
      <c r="P10" s="3168"/>
      <c r="Q10" s="3168"/>
      <c r="R10" s="3168"/>
      <c r="S10" s="3168"/>
      <c r="T10" s="3168"/>
      <c r="U10" s="3169"/>
    </row>
    <row r="11" spans="2:21" hidden="1" outlineLevel="1">
      <c r="R11" s="1083"/>
    </row>
    <row r="12" spans="2:21" ht="12.75" hidden="1" customHeight="1" outlineLevel="1">
      <c r="B12" s="3154" t="s">
        <v>1617</v>
      </c>
      <c r="C12" s="3154"/>
      <c r="D12" s="3157" t="s">
        <v>1619</v>
      </c>
      <c r="E12" s="3157"/>
      <c r="F12" s="1151" t="s">
        <v>1616</v>
      </c>
      <c r="G12" s="1053" t="s">
        <v>1618</v>
      </c>
      <c r="H12" s="1044"/>
      <c r="I12" s="1038" t="s">
        <v>1557</v>
      </c>
      <c r="J12" s="1040" t="s">
        <v>1266</v>
      </c>
      <c r="K12" s="1043" t="s">
        <v>224</v>
      </c>
      <c r="L12" s="1043" t="s">
        <v>1558</v>
      </c>
      <c r="M12" s="1039" t="s">
        <v>366</v>
      </c>
      <c r="N12" s="1040" t="s">
        <v>1559</v>
      </c>
      <c r="O12" s="1041" t="s">
        <v>1560</v>
      </c>
      <c r="P12" s="1043" t="s">
        <v>211</v>
      </c>
      <c r="Q12" s="1043" t="s">
        <v>1561</v>
      </c>
      <c r="R12" s="1041" t="s">
        <v>1562</v>
      </c>
      <c r="S12" s="1041" t="s">
        <v>267</v>
      </c>
      <c r="T12" s="1043" t="s">
        <v>1563</v>
      </c>
      <c r="U12" s="1042" t="s">
        <v>1564</v>
      </c>
    </row>
    <row r="13" spans="2:21" s="1045" customFormat="1" ht="12.75" hidden="1" customHeight="1" outlineLevel="1" collapsed="1">
      <c r="B13" s="3156" t="s">
        <v>3921</v>
      </c>
      <c r="C13" s="3156"/>
      <c r="D13" s="1051">
        <v>0</v>
      </c>
      <c r="E13" s="1051"/>
      <c r="F13" s="1051"/>
      <c r="G13" s="1054"/>
      <c r="H13" s="1046"/>
      <c r="I13" s="1688"/>
      <c r="J13" s="1689"/>
      <c r="K13" s="1690"/>
      <c r="L13" s="1690"/>
      <c r="M13" s="1691"/>
      <c r="N13" s="1689"/>
      <c r="O13" s="1692"/>
      <c r="P13" s="1690"/>
      <c r="Q13" s="1690"/>
      <c r="R13" s="1692"/>
      <c r="S13" s="1692"/>
      <c r="T13" s="1690"/>
      <c r="U13" s="1693"/>
    </row>
    <row r="14" spans="2:21" hidden="1" outlineLevel="2">
      <c r="B14" s="1050">
        <v>1</v>
      </c>
      <c r="C14" s="1050" t="str">
        <f>IF(ISNA(VLOOKUP(B14,$D$14:$E$44,2,FALSE)),"-",VLOOKUP(B14,$D$14:$E$44,2,FALSE))</f>
        <v>Voiture - motorisation E85 - 2018, France continentale, Base Carbone</v>
      </c>
      <c r="D14" s="1051">
        <f>D13+IF(LEN(E14)&gt;0,1,0)</f>
        <v>1</v>
      </c>
      <c r="E14" s="1051" t="str">
        <f>IF(COUNTIF(E$13:E13,F14)&gt;0,"",F14)</f>
        <v>Voiture - motorisation E85 - 2018, France continentale, Base Carbone</v>
      </c>
      <c r="F14" s="1051" t="str">
        <f>IF(I14&lt;&gt;"",I14&amp;IF(L14&lt;&gt;"",", "&amp;L14,"")&amp;IF(K14&lt;&gt;"",", "&amp;K14,""),"")</f>
        <v>Voiture - motorisation E85 - 2018, France continentale, Base Carbone</v>
      </c>
      <c r="G14" s="1055" t="str">
        <f>IF(F14&lt;&gt;"",F14&amp;IF(J14&lt;&gt;"","; "&amp;J14&amp;IF(N14&lt;&gt;"",", "&amp;N14,),""),"")</f>
        <v>Voiture - motorisation E85 - 2018, France continentale, Base Carbone; kgCO2e/km, Combustion</v>
      </c>
      <c r="I14" s="1034" t="s">
        <v>3915</v>
      </c>
      <c r="J14" s="1032" t="s">
        <v>2222</v>
      </c>
      <c r="K14" s="1119" t="s">
        <v>1567</v>
      </c>
      <c r="L14" s="1032" t="s">
        <v>1571</v>
      </c>
      <c r="M14" s="1033">
        <v>0.6</v>
      </c>
      <c r="N14" s="1119" t="s">
        <v>1569</v>
      </c>
      <c r="O14" s="1036">
        <v>4.0300000000000002E-2</v>
      </c>
      <c r="P14" s="1980">
        <v>4.0300000000000002E-2</v>
      </c>
      <c r="Q14" s="1980">
        <v>0</v>
      </c>
      <c r="R14" s="1980">
        <v>0</v>
      </c>
      <c r="S14" s="1980">
        <v>0</v>
      </c>
      <c r="T14" s="1980">
        <v>0</v>
      </c>
      <c r="U14" s="2036">
        <v>0</v>
      </c>
    </row>
    <row r="15" spans="2:21" hidden="1" outlineLevel="2">
      <c r="B15" s="1050">
        <v>2</v>
      </c>
      <c r="C15" s="1050" t="str">
        <f t="shared" ref="C15:C30" si="0">IF(ISNA(VLOOKUP(B15,$D$14:$E$44,2,FALSE)),"-",VLOOKUP(B15,$D$14:$E$44,2,FALSE))</f>
        <v>Voiture - motorisation essence - 2018, France continentale, Base Carbone</v>
      </c>
      <c r="D15" s="1051">
        <f t="shared" ref="D15:D44" si="1">D14+IF(LEN(E15)&gt;0,1,0)</f>
        <v>1</v>
      </c>
      <c r="E15" s="1051" t="str">
        <f>IF(COUNTIF(E$13:E14,F15)&gt;0,"",F15)</f>
        <v/>
      </c>
      <c r="F15" s="1051" t="str">
        <f t="shared" ref="F15:F44" si="2">IF(I15&lt;&gt;"",I15&amp;IF(L15&lt;&gt;"",", "&amp;L15,"")&amp;IF(K15&lt;&gt;"",", "&amp;K15,""),"")</f>
        <v>Voiture - motorisation E85 - 2018, France continentale, Base Carbone</v>
      </c>
      <c r="G15" s="1055" t="str">
        <f t="shared" ref="G15:G44" si="3">IF(F15&lt;&gt;"",F15&amp;IF(J15&lt;&gt;"","; "&amp;J15&amp;IF(N15&lt;&gt;"",", "&amp;N15,),""),"")</f>
        <v>Voiture - motorisation E85 - 2018, France continentale, Base Carbone; kgCO2e/km, Amont</v>
      </c>
      <c r="I15" s="1034" t="s">
        <v>3915</v>
      </c>
      <c r="J15" s="1135" t="s">
        <v>2222</v>
      </c>
      <c r="K15" s="1119" t="s">
        <v>1567</v>
      </c>
      <c r="L15" s="1135" t="s">
        <v>1571</v>
      </c>
      <c r="M15" s="1033">
        <v>0.6</v>
      </c>
      <c r="N15" s="1135" t="s">
        <v>1570</v>
      </c>
      <c r="O15" s="1036">
        <v>8.0799999999999997E-2</v>
      </c>
      <c r="P15" s="1980">
        <v>8.0799999999999997E-2</v>
      </c>
      <c r="Q15" s="1980">
        <v>0</v>
      </c>
      <c r="R15" s="1980">
        <v>0</v>
      </c>
      <c r="S15" s="1980">
        <v>0</v>
      </c>
      <c r="T15" s="1980">
        <v>0</v>
      </c>
      <c r="U15" s="2036">
        <v>0</v>
      </c>
    </row>
    <row r="16" spans="2:21" hidden="1" outlineLevel="2">
      <c r="B16" s="1050">
        <v>3</v>
      </c>
      <c r="C16" s="1050" t="str">
        <f t="shared" si="0"/>
        <v>Voiture - motorisation gazole - 2018, France continentale, Base Carbone</v>
      </c>
      <c r="D16" s="1051">
        <f t="shared" si="1"/>
        <v>1</v>
      </c>
      <c r="E16" s="1051" t="str">
        <f>IF(COUNTIF(E$13:E15,F16)&gt;0,"",F16)</f>
        <v/>
      </c>
      <c r="F16" s="1051" t="str">
        <f t="shared" si="2"/>
        <v>Voiture - motorisation E85 - 2018, France continentale, Base Carbone</v>
      </c>
      <c r="G16" s="1055" t="str">
        <f t="shared" si="3"/>
        <v>Voiture - motorisation E85 - 2018, France continentale, Base Carbone; kgCO2e/km, Fabrication</v>
      </c>
      <c r="I16" s="1034" t="s">
        <v>3915</v>
      </c>
      <c r="J16" s="1135" t="s">
        <v>2222</v>
      </c>
      <c r="K16" s="1119" t="s">
        <v>1567</v>
      </c>
      <c r="L16" s="1135" t="s">
        <v>1571</v>
      </c>
      <c r="M16" s="1033">
        <v>0.6</v>
      </c>
      <c r="N16" s="1135" t="s">
        <v>332</v>
      </c>
      <c r="O16" s="1036">
        <v>2.5600000000000001E-2</v>
      </c>
      <c r="P16" s="1980">
        <v>2.5600000000000001E-2</v>
      </c>
      <c r="Q16" s="1980">
        <v>0</v>
      </c>
      <c r="R16" s="1980">
        <v>0</v>
      </c>
      <c r="S16" s="1980">
        <v>0</v>
      </c>
      <c r="T16" s="1980">
        <v>0</v>
      </c>
      <c r="U16" s="2036">
        <v>0</v>
      </c>
    </row>
    <row r="17" spans="2:21" hidden="1" outlineLevel="2">
      <c r="B17" s="1050">
        <v>4</v>
      </c>
      <c r="C17" s="1050" t="str">
        <f t="shared" si="0"/>
        <v>Voiture - motorisation GNV - 2018, France continentale, Base Carbone</v>
      </c>
      <c r="D17" s="1051">
        <f t="shared" si="1"/>
        <v>2</v>
      </c>
      <c r="E17" s="1051" t="str">
        <f>IF(COUNTIF(E$13:E16,F17)&gt;0,"",F17)</f>
        <v>Voiture - motorisation essence - 2018, France continentale, Base Carbone</v>
      </c>
      <c r="F17" s="1051" t="str">
        <f t="shared" si="2"/>
        <v>Voiture - motorisation essence - 2018, France continentale, Base Carbone</v>
      </c>
      <c r="G17" s="1055" t="str">
        <f t="shared" si="3"/>
        <v>Voiture - motorisation essence - 2018, France continentale, Base Carbone; kgCO2e/km, Combustion</v>
      </c>
      <c r="I17" s="2018" t="s">
        <v>3916</v>
      </c>
      <c r="J17" s="1135" t="s">
        <v>2222</v>
      </c>
      <c r="K17" s="1119" t="s">
        <v>1567</v>
      </c>
      <c r="L17" s="1135" t="s">
        <v>1571</v>
      </c>
      <c r="M17" s="1033">
        <v>0.6</v>
      </c>
      <c r="N17" s="1135" t="s">
        <v>1569</v>
      </c>
      <c r="O17" s="1036">
        <v>0.16200000000000001</v>
      </c>
      <c r="P17" s="1980">
        <v>0.16200000000000001</v>
      </c>
      <c r="Q17" s="1980">
        <v>0</v>
      </c>
      <c r="R17" s="1980">
        <v>0</v>
      </c>
      <c r="S17" s="1980">
        <v>0</v>
      </c>
      <c r="T17" s="1980">
        <v>0</v>
      </c>
      <c r="U17" s="2036">
        <v>0</v>
      </c>
    </row>
    <row r="18" spans="2:21" hidden="1" outlineLevel="2">
      <c r="B18" s="1050">
        <v>5</v>
      </c>
      <c r="C18" s="1050" t="str">
        <f t="shared" si="0"/>
        <v>Voiture - motorisation GPL - 2018, France continentale, Base Carbone</v>
      </c>
      <c r="D18" s="1051">
        <f t="shared" si="1"/>
        <v>2</v>
      </c>
      <c r="E18" s="1051" t="str">
        <f>IF(COUNTIF(E$13:E17,F18)&gt;0,"",F18)</f>
        <v/>
      </c>
      <c r="F18" s="1051" t="str">
        <f t="shared" si="2"/>
        <v>Voiture - motorisation essence - 2018, France continentale, Base Carbone</v>
      </c>
      <c r="G18" s="1055" t="str">
        <f t="shared" si="3"/>
        <v>Voiture - motorisation essence - 2018, France continentale, Base Carbone; kgCO2e/km, Amont</v>
      </c>
      <c r="I18" s="2018" t="s">
        <v>3916</v>
      </c>
      <c r="J18" s="1135" t="s">
        <v>2222</v>
      </c>
      <c r="K18" s="1119" t="s">
        <v>1567</v>
      </c>
      <c r="L18" s="1135" t="s">
        <v>1571</v>
      </c>
      <c r="M18" s="1033">
        <v>0.6</v>
      </c>
      <c r="N18" s="1135" t="s">
        <v>1570</v>
      </c>
      <c r="O18" s="1036">
        <v>3.5799999999999998E-2</v>
      </c>
      <c r="P18" s="1980">
        <v>3.5799999999999998E-2</v>
      </c>
      <c r="Q18" s="1980">
        <v>0</v>
      </c>
      <c r="R18" s="1980">
        <v>0</v>
      </c>
      <c r="S18" s="1980">
        <v>0</v>
      </c>
      <c r="T18" s="1980">
        <v>0</v>
      </c>
      <c r="U18" s="2036">
        <v>0</v>
      </c>
    </row>
    <row r="19" spans="2:21" hidden="1" outlineLevel="2">
      <c r="B19" s="1050">
        <v>6</v>
      </c>
      <c r="C19" s="1050" t="str">
        <f t="shared" si="0"/>
        <v>Voiture - motorisation moyenne - 2018, France continentale, Base Carbone</v>
      </c>
      <c r="D19" s="1051">
        <f t="shared" si="1"/>
        <v>2</v>
      </c>
      <c r="E19" s="1051" t="str">
        <f>IF(COUNTIF(E$13:E18,F19)&gt;0,"",F19)</f>
        <v/>
      </c>
      <c r="F19" s="1051" t="str">
        <f t="shared" si="2"/>
        <v>Voiture - motorisation essence - 2018, France continentale, Base Carbone</v>
      </c>
      <c r="G19" s="1055" t="str">
        <f t="shared" si="3"/>
        <v>Voiture - motorisation essence - 2018, France continentale, Base Carbone; kgCO2e/km, Fabrication</v>
      </c>
      <c r="I19" s="2018" t="s">
        <v>3916</v>
      </c>
      <c r="J19" s="1135" t="s">
        <v>2222</v>
      </c>
      <c r="K19" s="1119" t="s">
        <v>1567</v>
      </c>
      <c r="L19" s="1135" t="s">
        <v>1571</v>
      </c>
      <c r="M19" s="1033">
        <v>0.6</v>
      </c>
      <c r="N19" s="1135" t="s">
        <v>332</v>
      </c>
      <c r="O19" s="1036">
        <v>2.5600000000000001E-2</v>
      </c>
      <c r="P19" s="1980">
        <v>2.5600000000000001E-2</v>
      </c>
      <c r="Q19" s="1980">
        <v>0</v>
      </c>
      <c r="R19" s="1980">
        <v>0</v>
      </c>
      <c r="S19" s="1980">
        <v>0</v>
      </c>
      <c r="T19" s="1980">
        <v>0</v>
      </c>
      <c r="U19" s="2036">
        <v>0</v>
      </c>
    </row>
    <row r="20" spans="2:21" hidden="1" outlineLevel="2">
      <c r="B20" s="1050">
        <v>7</v>
      </c>
      <c r="C20" s="1050" t="str">
        <f t="shared" si="0"/>
        <v>-</v>
      </c>
      <c r="D20" s="1051">
        <f t="shared" si="1"/>
        <v>3</v>
      </c>
      <c r="E20" s="1051" t="str">
        <f>IF(COUNTIF(E$13:E19,F20)&gt;0,"",F20)</f>
        <v>Voiture - motorisation gazole - 2018, France continentale, Base Carbone</v>
      </c>
      <c r="F20" s="1051" t="str">
        <f t="shared" si="2"/>
        <v>Voiture - motorisation gazole - 2018, France continentale, Base Carbone</v>
      </c>
      <c r="G20" s="1055" t="str">
        <f t="shared" si="3"/>
        <v>Voiture - motorisation gazole - 2018, France continentale, Base Carbone; kgCO2e/km, Combustion</v>
      </c>
      <c r="I20" s="2018" t="s">
        <v>3920</v>
      </c>
      <c r="J20" s="1135" t="s">
        <v>2222</v>
      </c>
      <c r="K20" s="1119" t="s">
        <v>1567</v>
      </c>
      <c r="L20" s="1135" t="s">
        <v>1571</v>
      </c>
      <c r="M20" s="1033">
        <v>0.6</v>
      </c>
      <c r="N20" s="1135" t="s">
        <v>1569</v>
      </c>
      <c r="O20" s="1036">
        <v>0.15</v>
      </c>
      <c r="P20" s="1980">
        <v>0.15</v>
      </c>
      <c r="Q20" s="1980">
        <v>0</v>
      </c>
      <c r="R20" s="1980">
        <v>0</v>
      </c>
      <c r="S20" s="1980">
        <v>0</v>
      </c>
      <c r="T20" s="1980">
        <v>0</v>
      </c>
      <c r="U20" s="2036">
        <v>0</v>
      </c>
    </row>
    <row r="21" spans="2:21" hidden="1" outlineLevel="2">
      <c r="B21" s="1050">
        <v>8</v>
      </c>
      <c r="C21" s="1050" t="str">
        <f t="shared" si="0"/>
        <v>-</v>
      </c>
      <c r="D21" s="1051">
        <f t="shared" si="1"/>
        <v>3</v>
      </c>
      <c r="E21" s="1051" t="str">
        <f>IF(COUNTIF(E$13:E20,F21)&gt;0,"",F21)</f>
        <v/>
      </c>
      <c r="F21" s="1051" t="str">
        <f t="shared" si="2"/>
        <v>Voiture - motorisation gazole - 2018, France continentale, Base Carbone</v>
      </c>
      <c r="G21" s="1055" t="str">
        <f t="shared" si="3"/>
        <v>Voiture - motorisation gazole - 2018, France continentale, Base Carbone; kgCO2e/km, Amont</v>
      </c>
      <c r="I21" s="2018" t="s">
        <v>3920</v>
      </c>
      <c r="J21" s="1135" t="s">
        <v>2222</v>
      </c>
      <c r="K21" s="1119" t="s">
        <v>1567</v>
      </c>
      <c r="L21" s="1135" t="s">
        <v>1571</v>
      </c>
      <c r="M21" s="1033">
        <v>0.6</v>
      </c>
      <c r="N21" s="1135" t="s">
        <v>1570</v>
      </c>
      <c r="O21" s="1036">
        <v>3.6499999999999998E-2</v>
      </c>
      <c r="P21" s="1980">
        <v>3.6499999999999998E-2</v>
      </c>
      <c r="Q21" s="1980">
        <v>0</v>
      </c>
      <c r="R21" s="1980">
        <v>0</v>
      </c>
      <c r="S21" s="1980">
        <v>0</v>
      </c>
      <c r="T21" s="1980">
        <v>0</v>
      </c>
      <c r="U21" s="2036">
        <v>0</v>
      </c>
    </row>
    <row r="22" spans="2:21" hidden="1" outlineLevel="2">
      <c r="B22" s="1050">
        <v>9</v>
      </c>
      <c r="C22" s="1050" t="str">
        <f t="shared" si="0"/>
        <v>-</v>
      </c>
      <c r="D22" s="1051">
        <f t="shared" si="1"/>
        <v>3</v>
      </c>
      <c r="E22" s="1051" t="str">
        <f>IF(COUNTIF(E$13:E21,F22)&gt;0,"",F22)</f>
        <v/>
      </c>
      <c r="F22" s="1051" t="str">
        <f t="shared" si="2"/>
        <v>Voiture - motorisation gazole - 2018, France continentale, Base Carbone</v>
      </c>
      <c r="G22" s="1055" t="str">
        <f t="shared" si="3"/>
        <v>Voiture - motorisation gazole - 2018, France continentale, Base Carbone; kgCO2e/km, Fabrication</v>
      </c>
      <c r="I22" s="2018" t="s">
        <v>3920</v>
      </c>
      <c r="J22" s="1135" t="s">
        <v>2222</v>
      </c>
      <c r="K22" s="1119" t="s">
        <v>1567</v>
      </c>
      <c r="L22" s="1135" t="s">
        <v>1571</v>
      </c>
      <c r="M22" s="1033">
        <v>0.6</v>
      </c>
      <c r="N22" s="1135" t="s">
        <v>332</v>
      </c>
      <c r="O22" s="1036">
        <v>2.5600000000000001E-2</v>
      </c>
      <c r="P22" s="1980">
        <v>2.5600000000000001E-2</v>
      </c>
      <c r="Q22" s="1980">
        <v>0</v>
      </c>
      <c r="R22" s="1980">
        <v>0</v>
      </c>
      <c r="S22" s="1980">
        <v>0</v>
      </c>
      <c r="T22" s="1980">
        <v>0</v>
      </c>
      <c r="U22" s="2036">
        <v>0</v>
      </c>
    </row>
    <row r="23" spans="2:21" hidden="1" outlineLevel="2">
      <c r="B23" s="1050">
        <v>10</v>
      </c>
      <c r="C23" s="1050" t="str">
        <f t="shared" si="0"/>
        <v>-</v>
      </c>
      <c r="D23" s="1051">
        <f t="shared" si="1"/>
        <v>4</v>
      </c>
      <c r="E23" s="1051" t="str">
        <f>IF(COUNTIF(E$13:E22,F23)&gt;0,"",F23)</f>
        <v>Voiture - motorisation GNV - 2018, France continentale, Base Carbone</v>
      </c>
      <c r="F23" s="1051" t="str">
        <f t="shared" si="2"/>
        <v>Voiture - motorisation GNV - 2018, France continentale, Base Carbone</v>
      </c>
      <c r="G23" s="1055" t="str">
        <f t="shared" si="3"/>
        <v>Voiture - motorisation GNV - 2018, France continentale, Base Carbone; kgCO2e/km, Combustion</v>
      </c>
      <c r="I23" s="2018" t="s">
        <v>3917</v>
      </c>
      <c r="J23" s="1135" t="s">
        <v>2222</v>
      </c>
      <c r="K23" s="1119" t="s">
        <v>1567</v>
      </c>
      <c r="L23" s="1135" t="s">
        <v>1571</v>
      </c>
      <c r="M23" s="1033">
        <v>0.6</v>
      </c>
      <c r="N23" s="1135" t="s">
        <v>1569</v>
      </c>
      <c r="O23" s="1036">
        <v>0.159</v>
      </c>
      <c r="P23" s="1980">
        <v>0.159</v>
      </c>
      <c r="Q23" s="1980">
        <v>0</v>
      </c>
      <c r="R23" s="1980">
        <v>0</v>
      </c>
      <c r="S23" s="1980">
        <v>0</v>
      </c>
      <c r="T23" s="1980">
        <v>0</v>
      </c>
      <c r="U23" s="2036">
        <v>0</v>
      </c>
    </row>
    <row r="24" spans="2:21" hidden="1" outlineLevel="2">
      <c r="B24" s="1050">
        <v>11</v>
      </c>
      <c r="C24" s="1050" t="str">
        <f t="shared" si="0"/>
        <v>-</v>
      </c>
      <c r="D24" s="1051">
        <f t="shared" si="1"/>
        <v>4</v>
      </c>
      <c r="E24" s="1051" t="str">
        <f>IF(COUNTIF(E$13:E23,F24)&gt;0,"",F24)</f>
        <v/>
      </c>
      <c r="F24" s="1051" t="str">
        <f t="shared" si="2"/>
        <v>Voiture - motorisation GNV - 2018, France continentale, Base Carbone</v>
      </c>
      <c r="G24" s="1055" t="str">
        <f t="shared" si="3"/>
        <v>Voiture - motorisation GNV - 2018, France continentale, Base Carbone; kgCO2e/km, Amont</v>
      </c>
      <c r="I24" s="2018" t="s">
        <v>3917</v>
      </c>
      <c r="J24" s="1135" t="s">
        <v>2222</v>
      </c>
      <c r="K24" s="1119" t="s">
        <v>1567</v>
      </c>
      <c r="L24" s="1135" t="s">
        <v>1571</v>
      </c>
      <c r="M24" s="1033">
        <v>0.6</v>
      </c>
      <c r="N24" s="1135" t="s">
        <v>1570</v>
      </c>
      <c r="O24" s="1036">
        <v>3.7199999999999997E-2</v>
      </c>
      <c r="P24" s="1980">
        <v>3.7199999999999997E-2</v>
      </c>
      <c r="Q24" s="1980">
        <v>0</v>
      </c>
      <c r="R24" s="1980">
        <v>0</v>
      </c>
      <c r="S24" s="1980">
        <v>0</v>
      </c>
      <c r="T24" s="1980">
        <v>0</v>
      </c>
      <c r="U24" s="2036">
        <v>0</v>
      </c>
    </row>
    <row r="25" spans="2:21" hidden="1" outlineLevel="2">
      <c r="B25" s="1050">
        <v>12</v>
      </c>
      <c r="C25" s="1050" t="str">
        <f t="shared" si="0"/>
        <v>-</v>
      </c>
      <c r="D25" s="1051">
        <f t="shared" si="1"/>
        <v>4</v>
      </c>
      <c r="E25" s="1051" t="str">
        <f>IF(COUNTIF(E$13:E24,F25)&gt;0,"",F25)</f>
        <v/>
      </c>
      <c r="F25" s="1051" t="str">
        <f t="shared" si="2"/>
        <v>Voiture - motorisation GNV - 2018, France continentale, Base Carbone</v>
      </c>
      <c r="G25" s="1055" t="str">
        <f t="shared" si="3"/>
        <v>Voiture - motorisation GNV - 2018, France continentale, Base Carbone; kgCO2e/km, Fabrication</v>
      </c>
      <c r="I25" s="2018" t="s">
        <v>3917</v>
      </c>
      <c r="J25" s="1135" t="s">
        <v>2222</v>
      </c>
      <c r="K25" s="1119" t="s">
        <v>1567</v>
      </c>
      <c r="L25" s="1135" t="s">
        <v>1571</v>
      </c>
      <c r="M25" s="1033">
        <v>0.6</v>
      </c>
      <c r="N25" s="1135" t="s">
        <v>332</v>
      </c>
      <c r="O25" s="1036">
        <v>2.5600000000000001E-2</v>
      </c>
      <c r="P25" s="1980">
        <v>2.5600000000000001E-2</v>
      </c>
      <c r="Q25" s="1980">
        <v>0</v>
      </c>
      <c r="R25" s="1980">
        <v>0</v>
      </c>
      <c r="S25" s="1980">
        <v>0</v>
      </c>
      <c r="T25" s="1980">
        <v>0</v>
      </c>
      <c r="U25" s="2036">
        <v>0</v>
      </c>
    </row>
    <row r="26" spans="2:21" hidden="1" outlineLevel="2">
      <c r="B26" s="1050">
        <v>13</v>
      </c>
      <c r="C26" s="1050" t="str">
        <f t="shared" si="0"/>
        <v>-</v>
      </c>
      <c r="D26" s="1051">
        <f t="shared" si="1"/>
        <v>5</v>
      </c>
      <c r="E26" s="1051" t="str">
        <f>IF(COUNTIF(E$13:E25,F26)&gt;0,"",F26)</f>
        <v>Voiture - motorisation GPL - 2018, France continentale, Base Carbone</v>
      </c>
      <c r="F26" s="1051" t="str">
        <f t="shared" si="2"/>
        <v>Voiture - motorisation GPL - 2018, France continentale, Base Carbone</v>
      </c>
      <c r="G26" s="1055" t="str">
        <f t="shared" si="3"/>
        <v>Voiture - motorisation GPL - 2018, France continentale, Base Carbone; kgCO2e/km, Combustion</v>
      </c>
      <c r="I26" s="2018" t="s">
        <v>3918</v>
      </c>
      <c r="J26" s="1135" t="s">
        <v>2222</v>
      </c>
      <c r="K26" s="1119" t="s">
        <v>1567</v>
      </c>
      <c r="L26" s="1135" t="s">
        <v>1571</v>
      </c>
      <c r="M26" s="1033">
        <v>0.6</v>
      </c>
      <c r="N26" s="1135" t="s">
        <v>1569</v>
      </c>
      <c r="O26" s="1036">
        <v>0.16500000000000001</v>
      </c>
      <c r="P26" s="1980">
        <v>0.16500000000000001</v>
      </c>
      <c r="Q26" s="1980">
        <v>0</v>
      </c>
      <c r="R26" s="1980">
        <v>0</v>
      </c>
      <c r="S26" s="1980">
        <v>0</v>
      </c>
      <c r="T26" s="1980">
        <v>0</v>
      </c>
      <c r="U26" s="2036">
        <v>0</v>
      </c>
    </row>
    <row r="27" spans="2:21" hidden="1" outlineLevel="2">
      <c r="B27" s="1050">
        <v>14</v>
      </c>
      <c r="C27" s="1050" t="str">
        <f t="shared" si="0"/>
        <v>-</v>
      </c>
      <c r="D27" s="1051">
        <f t="shared" si="1"/>
        <v>5</v>
      </c>
      <c r="E27" s="1051" t="str">
        <f>IF(COUNTIF(E$13:E26,F27)&gt;0,"",F27)</f>
        <v/>
      </c>
      <c r="F27" s="1051" t="str">
        <f t="shared" si="2"/>
        <v>Voiture - motorisation GPL - 2018, France continentale, Base Carbone</v>
      </c>
      <c r="G27" s="1055" t="str">
        <f t="shared" si="3"/>
        <v>Voiture - motorisation GPL - 2018, France continentale, Base Carbone; kgCO2e/km, Amont</v>
      </c>
      <c r="I27" s="2018" t="s">
        <v>3918</v>
      </c>
      <c r="J27" s="1135" t="s">
        <v>2222</v>
      </c>
      <c r="K27" s="1119" t="s">
        <v>1567</v>
      </c>
      <c r="L27" s="1135" t="s">
        <v>1571</v>
      </c>
      <c r="M27" s="1033">
        <v>0.6</v>
      </c>
      <c r="N27" s="1135" t="s">
        <v>1570</v>
      </c>
      <c r="O27" s="1036">
        <v>2.6800000000000001E-2</v>
      </c>
      <c r="P27" s="1980">
        <v>2.6800000000000001E-2</v>
      </c>
      <c r="Q27" s="1980">
        <v>0</v>
      </c>
      <c r="R27" s="1980">
        <v>0</v>
      </c>
      <c r="S27" s="1980">
        <v>0</v>
      </c>
      <c r="T27" s="1980">
        <v>0</v>
      </c>
      <c r="U27" s="2036">
        <v>0</v>
      </c>
    </row>
    <row r="28" spans="2:21" hidden="1" outlineLevel="2">
      <c r="B28" s="1050">
        <v>15</v>
      </c>
      <c r="C28" s="1050" t="str">
        <f t="shared" si="0"/>
        <v>-</v>
      </c>
      <c r="D28" s="1051">
        <f t="shared" si="1"/>
        <v>5</v>
      </c>
      <c r="E28" s="1051" t="str">
        <f>IF(COUNTIF(E$13:E27,F28)&gt;0,"",F28)</f>
        <v/>
      </c>
      <c r="F28" s="1051" t="str">
        <f t="shared" si="2"/>
        <v>Voiture - motorisation GPL - 2018, France continentale, Base Carbone</v>
      </c>
      <c r="G28" s="1055" t="str">
        <f t="shared" si="3"/>
        <v>Voiture - motorisation GPL - 2018, France continentale, Base Carbone; kgCO2e/km, Fabrication</v>
      </c>
      <c r="I28" s="2018" t="s">
        <v>3918</v>
      </c>
      <c r="J28" s="1135" t="s">
        <v>2222</v>
      </c>
      <c r="K28" s="1119" t="s">
        <v>1567</v>
      </c>
      <c r="L28" s="1135" t="s">
        <v>1571</v>
      </c>
      <c r="M28" s="1033">
        <v>0.6</v>
      </c>
      <c r="N28" s="1135" t="s">
        <v>332</v>
      </c>
      <c r="O28" s="1036">
        <v>2.5600000000000001E-2</v>
      </c>
      <c r="P28" s="1980">
        <v>2.5600000000000001E-2</v>
      </c>
      <c r="Q28" s="1980">
        <v>0</v>
      </c>
      <c r="R28" s="1980">
        <v>0</v>
      </c>
      <c r="S28" s="1980">
        <v>0</v>
      </c>
      <c r="T28" s="1980">
        <v>0</v>
      </c>
      <c r="U28" s="2036">
        <v>0</v>
      </c>
    </row>
    <row r="29" spans="2:21" hidden="1" outlineLevel="2">
      <c r="B29" s="1050">
        <v>16</v>
      </c>
      <c r="C29" s="1050" t="str">
        <f t="shared" si="0"/>
        <v>-</v>
      </c>
      <c r="D29" s="1051">
        <f t="shared" si="1"/>
        <v>6</v>
      </c>
      <c r="E29" s="1051" t="str">
        <f>IF(COUNTIF(E$13:E28,F29)&gt;0,"",F29)</f>
        <v>Voiture - motorisation moyenne - 2018, France continentale, Base Carbone</v>
      </c>
      <c r="F29" s="1051" t="str">
        <f t="shared" si="2"/>
        <v>Voiture - motorisation moyenne - 2018, France continentale, Base Carbone</v>
      </c>
      <c r="G29" s="1055" t="str">
        <f t="shared" si="3"/>
        <v>Voiture - motorisation moyenne - 2018, France continentale, Base Carbone; kgCO2e/km, Combustion</v>
      </c>
      <c r="I29" s="2018" t="s">
        <v>3919</v>
      </c>
      <c r="J29" s="1135" t="s">
        <v>2222</v>
      </c>
      <c r="K29" s="1119" t="s">
        <v>1567</v>
      </c>
      <c r="L29" s="1135" t="s">
        <v>1571</v>
      </c>
      <c r="M29" s="1033">
        <v>0.6</v>
      </c>
      <c r="N29" s="2017" t="s">
        <v>1569</v>
      </c>
      <c r="O29" s="2510">
        <v>0.192</v>
      </c>
      <c r="P29" s="1980">
        <v>0.17799999999999999</v>
      </c>
      <c r="Q29" s="1980">
        <v>0</v>
      </c>
      <c r="R29" s="1980">
        <v>0</v>
      </c>
      <c r="S29" s="1980">
        <v>0</v>
      </c>
      <c r="T29" s="1980">
        <v>0</v>
      </c>
      <c r="U29" s="2036">
        <v>0</v>
      </c>
    </row>
    <row r="30" spans="2:21" hidden="1" outlineLevel="2">
      <c r="B30" s="1050">
        <v>17</v>
      </c>
      <c r="C30" s="1050" t="str">
        <f t="shared" si="0"/>
        <v>-</v>
      </c>
      <c r="D30" s="1051">
        <f t="shared" si="1"/>
        <v>6</v>
      </c>
      <c r="E30" s="1051" t="str">
        <f>IF(COUNTIF(E$13:E29,F30)&gt;0,"",F30)</f>
        <v/>
      </c>
      <c r="F30" s="1051" t="str">
        <f t="shared" si="2"/>
        <v>Voiture - motorisation moyenne - 2018, France continentale, Base Carbone</v>
      </c>
      <c r="G30" s="1055" t="str">
        <f t="shared" si="3"/>
        <v>Voiture - motorisation moyenne - 2018, France continentale, Base Carbone; kgCO2e/km, Fabrication</v>
      </c>
      <c r="I30" s="2018" t="s">
        <v>3919</v>
      </c>
      <c r="J30" s="1135" t="s">
        <v>2222</v>
      </c>
      <c r="K30" s="1119" t="s">
        <v>1567</v>
      </c>
      <c r="L30" s="1135" t="s">
        <v>1571</v>
      </c>
      <c r="M30" s="1033">
        <v>0.6</v>
      </c>
      <c r="N30" s="1135" t="s">
        <v>332</v>
      </c>
      <c r="O30" s="1036">
        <v>2.5600000000000001E-2</v>
      </c>
      <c r="P30" s="1036">
        <v>2.5600000000000001E-2</v>
      </c>
      <c r="Q30" s="1980">
        <v>0</v>
      </c>
      <c r="R30" s="1980">
        <v>0</v>
      </c>
      <c r="S30" s="1980">
        <v>0</v>
      </c>
      <c r="T30" s="1980">
        <v>0</v>
      </c>
      <c r="U30" s="2036">
        <v>0</v>
      </c>
    </row>
    <row r="31" spans="2:21" hidden="1" outlineLevel="2">
      <c r="B31" s="1050"/>
      <c r="C31" s="1050"/>
      <c r="D31" s="1051">
        <f t="shared" si="1"/>
        <v>6</v>
      </c>
      <c r="E31" s="1051" t="str">
        <f>IF(COUNTIF(E$13:E30,F31)&gt;0,"",F31)</f>
        <v/>
      </c>
      <c r="F31" s="1051" t="str">
        <f t="shared" si="2"/>
        <v/>
      </c>
      <c r="G31" s="1055" t="str">
        <f t="shared" si="3"/>
        <v/>
      </c>
      <c r="I31" s="2018"/>
      <c r="J31" s="1135"/>
      <c r="K31" s="1119"/>
      <c r="L31" s="1135"/>
      <c r="M31" s="1033"/>
      <c r="N31" s="1135"/>
      <c r="O31" s="1036"/>
      <c r="P31" s="1036"/>
      <c r="Q31" s="1036"/>
      <c r="R31" s="1036"/>
      <c r="S31" s="1036"/>
      <c r="T31" s="1036"/>
      <c r="U31" s="1037"/>
    </row>
    <row r="32" spans="2:21" hidden="1" outlineLevel="2">
      <c r="B32" s="1050"/>
      <c r="C32" s="1050"/>
      <c r="D32" s="1051">
        <f t="shared" si="1"/>
        <v>6</v>
      </c>
      <c r="E32" s="1051" t="str">
        <f>IF(COUNTIF(E$13:E31,F32)&gt;0,"",F32)</f>
        <v/>
      </c>
      <c r="F32" s="1051" t="str">
        <f t="shared" si="2"/>
        <v/>
      </c>
      <c r="G32" s="1055" t="str">
        <f t="shared" si="3"/>
        <v/>
      </c>
      <c r="I32" s="2018"/>
      <c r="J32" s="1135"/>
      <c r="K32" s="1119"/>
      <c r="L32" s="1135"/>
      <c r="M32" s="1033"/>
      <c r="N32" s="1135"/>
      <c r="O32" s="1036"/>
      <c r="P32" s="1036"/>
      <c r="Q32" s="1036"/>
      <c r="R32" s="1036"/>
      <c r="S32" s="1036"/>
      <c r="T32" s="1036"/>
      <c r="U32" s="1037"/>
    </row>
    <row r="33" spans="2:21" hidden="1" outlineLevel="2">
      <c r="B33" s="1050"/>
      <c r="C33" s="1050"/>
      <c r="D33" s="1051">
        <f t="shared" si="1"/>
        <v>6</v>
      </c>
      <c r="E33" s="1051" t="str">
        <f>IF(COUNTIF(E$13:E32,F33)&gt;0,"",F33)</f>
        <v/>
      </c>
      <c r="F33" s="1051" t="str">
        <f t="shared" si="2"/>
        <v/>
      </c>
      <c r="G33" s="1055" t="str">
        <f t="shared" si="3"/>
        <v/>
      </c>
      <c r="I33" s="2018"/>
      <c r="J33" s="1135"/>
      <c r="K33" s="1119"/>
      <c r="L33" s="1135"/>
      <c r="M33" s="1033"/>
      <c r="N33" s="1135"/>
      <c r="O33" s="1036"/>
      <c r="P33" s="1036"/>
      <c r="Q33" s="1036"/>
      <c r="R33" s="1036"/>
      <c r="S33" s="1036"/>
      <c r="T33" s="1036"/>
      <c r="U33" s="1037"/>
    </row>
    <row r="34" spans="2:21" hidden="1" outlineLevel="2">
      <c r="B34" s="1050"/>
      <c r="C34" s="1050"/>
      <c r="D34" s="1051">
        <f t="shared" si="1"/>
        <v>6</v>
      </c>
      <c r="E34" s="1051" t="str">
        <f>IF(COUNTIF(E$13:E33,F34)&gt;0,"",F34)</f>
        <v/>
      </c>
      <c r="F34" s="1051" t="str">
        <f t="shared" si="2"/>
        <v/>
      </c>
      <c r="G34" s="1055" t="str">
        <f t="shared" si="3"/>
        <v/>
      </c>
      <c r="I34" s="1100"/>
      <c r="J34" s="1048"/>
      <c r="K34" s="1119"/>
      <c r="L34" s="1048"/>
      <c r="M34" s="1033"/>
      <c r="N34" s="1048"/>
      <c r="O34" s="1036"/>
      <c r="P34" s="1036"/>
      <c r="Q34" s="1036"/>
      <c r="R34" s="1036"/>
      <c r="S34" s="1036"/>
      <c r="T34" s="1036"/>
      <c r="U34" s="1037"/>
    </row>
    <row r="35" spans="2:21" hidden="1" outlineLevel="2">
      <c r="B35" s="1050"/>
      <c r="C35" s="1050"/>
      <c r="D35" s="1051">
        <f t="shared" si="1"/>
        <v>6</v>
      </c>
      <c r="E35" s="1051" t="str">
        <f>IF(COUNTIF(E$13:E34,F35)&gt;0,"",F35)</f>
        <v/>
      </c>
      <c r="F35" s="1051" t="str">
        <f t="shared" si="2"/>
        <v/>
      </c>
      <c r="G35" s="1055" t="str">
        <f t="shared" si="3"/>
        <v/>
      </c>
      <c r="I35" s="1100"/>
      <c r="J35" s="1048"/>
      <c r="K35" s="1119"/>
      <c r="L35" s="1048"/>
      <c r="M35" s="1033"/>
      <c r="N35" s="1048"/>
      <c r="O35" s="1036"/>
      <c r="P35" s="1036"/>
      <c r="Q35" s="1036"/>
      <c r="R35" s="1036"/>
      <c r="S35" s="1036"/>
      <c r="T35" s="1036"/>
      <c r="U35" s="1037"/>
    </row>
    <row r="36" spans="2:21" hidden="1" outlineLevel="2">
      <c r="B36" s="1050"/>
      <c r="C36" s="1050"/>
      <c r="D36" s="1051">
        <f t="shared" si="1"/>
        <v>6</v>
      </c>
      <c r="E36" s="1051" t="str">
        <f>IF(COUNTIF(E$13:E35,F36)&gt;0,"",F36)</f>
        <v/>
      </c>
      <c r="F36" s="1051" t="str">
        <f t="shared" si="2"/>
        <v/>
      </c>
      <c r="G36" s="1055" t="str">
        <f t="shared" si="3"/>
        <v/>
      </c>
      <c r="I36" s="1100"/>
      <c r="J36" s="1048"/>
      <c r="K36" s="1119"/>
      <c r="L36" s="1048"/>
      <c r="M36" s="1033"/>
      <c r="N36" s="1048"/>
      <c r="O36" s="1036"/>
      <c r="P36" s="1036"/>
      <c r="Q36" s="1036"/>
      <c r="R36" s="1036"/>
      <c r="S36" s="1036"/>
      <c r="T36" s="1036"/>
      <c r="U36" s="1037"/>
    </row>
    <row r="37" spans="2:21" hidden="1" outlineLevel="2">
      <c r="B37" s="1050"/>
      <c r="C37" s="1050"/>
      <c r="D37" s="1051">
        <f t="shared" si="1"/>
        <v>6</v>
      </c>
      <c r="E37" s="1051" t="str">
        <f>IF(COUNTIF(E$13:E36,F37)&gt;0,"",F37)</f>
        <v/>
      </c>
      <c r="F37" s="1051" t="str">
        <f t="shared" si="2"/>
        <v/>
      </c>
      <c r="G37" s="1055" t="str">
        <f t="shared" si="3"/>
        <v/>
      </c>
      <c r="I37" s="1100"/>
      <c r="J37" s="1048"/>
      <c r="K37" s="1119"/>
      <c r="L37" s="1048"/>
      <c r="M37" s="1033"/>
      <c r="N37" s="1048"/>
      <c r="O37" s="1036"/>
      <c r="P37" s="1036"/>
      <c r="Q37" s="1036"/>
      <c r="R37" s="1036"/>
      <c r="S37" s="1036"/>
      <c r="T37" s="1036"/>
      <c r="U37" s="1037"/>
    </row>
    <row r="38" spans="2:21" hidden="1" outlineLevel="2">
      <c r="B38" s="1050"/>
      <c r="C38" s="1050"/>
      <c r="D38" s="1051">
        <f t="shared" si="1"/>
        <v>6</v>
      </c>
      <c r="E38" s="1051" t="str">
        <f>IF(COUNTIF(E$13:E37,F38)&gt;0,"",F38)</f>
        <v/>
      </c>
      <c r="F38" s="1051" t="str">
        <f t="shared" si="2"/>
        <v/>
      </c>
      <c r="G38" s="1055" t="str">
        <f t="shared" si="3"/>
        <v/>
      </c>
      <c r="I38" s="1100"/>
      <c r="J38" s="1048"/>
      <c r="K38" s="1119"/>
      <c r="L38" s="1048"/>
      <c r="M38" s="1033"/>
      <c r="N38" s="1048"/>
      <c r="O38" s="1036"/>
      <c r="P38" s="1036"/>
      <c r="Q38" s="1036"/>
      <c r="R38" s="1036"/>
      <c r="S38" s="1036"/>
      <c r="T38" s="1036"/>
      <c r="U38" s="1037"/>
    </row>
    <row r="39" spans="2:21" hidden="1" outlineLevel="2">
      <c r="B39" s="1050"/>
      <c r="C39" s="1050"/>
      <c r="D39" s="1051">
        <f t="shared" si="1"/>
        <v>6</v>
      </c>
      <c r="E39" s="1051" t="str">
        <f>IF(COUNTIF(E$13:E38,F39)&gt;0,"",F39)</f>
        <v/>
      </c>
      <c r="F39" s="1051" t="str">
        <f t="shared" si="2"/>
        <v/>
      </c>
      <c r="G39" s="1055" t="str">
        <f t="shared" si="3"/>
        <v/>
      </c>
      <c r="I39" s="1100"/>
      <c r="J39" s="1048"/>
      <c r="K39" s="1119"/>
      <c r="L39" s="1048"/>
      <c r="M39" s="1033"/>
      <c r="N39" s="1048"/>
      <c r="O39" s="1036"/>
      <c r="P39" s="1036"/>
      <c r="Q39" s="1036"/>
      <c r="R39" s="1036"/>
      <c r="S39" s="1036"/>
      <c r="T39" s="1036"/>
      <c r="U39" s="1037"/>
    </row>
    <row r="40" spans="2:21" hidden="1" outlineLevel="2">
      <c r="B40" s="1050"/>
      <c r="C40" s="1050"/>
      <c r="D40" s="1051">
        <f t="shared" si="1"/>
        <v>6</v>
      </c>
      <c r="E40" s="1051" t="str">
        <f>IF(COUNTIF(E$13:E39,F40)&gt;0,"",F40)</f>
        <v/>
      </c>
      <c r="F40" s="1051" t="str">
        <f t="shared" si="2"/>
        <v/>
      </c>
      <c r="G40" s="1055" t="str">
        <f t="shared" si="3"/>
        <v/>
      </c>
      <c r="I40" s="1100"/>
      <c r="J40" s="1048"/>
      <c r="K40" s="1119"/>
      <c r="L40" s="1048"/>
      <c r="M40" s="1033"/>
      <c r="N40" s="1048"/>
      <c r="O40" s="1036"/>
      <c r="P40" s="1036"/>
      <c r="Q40" s="1036"/>
      <c r="R40" s="1036"/>
      <c r="S40" s="1036"/>
      <c r="T40" s="1036"/>
      <c r="U40" s="1037"/>
    </row>
    <row r="41" spans="2:21" hidden="1" outlineLevel="2">
      <c r="B41" s="1050"/>
      <c r="C41" s="1050"/>
      <c r="D41" s="1051">
        <f t="shared" si="1"/>
        <v>6</v>
      </c>
      <c r="E41" s="1051" t="str">
        <f>IF(COUNTIF(E$13:E40,F41)&gt;0,"",F41)</f>
        <v/>
      </c>
      <c r="F41" s="1051" t="str">
        <f t="shared" si="2"/>
        <v/>
      </c>
      <c r="G41" s="1055" t="str">
        <f t="shared" si="3"/>
        <v/>
      </c>
      <c r="I41" s="1100"/>
      <c r="J41" s="1048"/>
      <c r="K41" s="1119"/>
      <c r="L41" s="1048"/>
      <c r="M41" s="1033"/>
      <c r="N41" s="1048"/>
      <c r="O41" s="1036"/>
      <c r="P41" s="1036"/>
      <c r="Q41" s="1036"/>
      <c r="R41" s="1036"/>
      <c r="S41" s="1036"/>
      <c r="T41" s="1036"/>
      <c r="U41" s="1037"/>
    </row>
    <row r="42" spans="2:21" hidden="1" outlineLevel="2">
      <c r="B42" s="1050"/>
      <c r="C42" s="1050"/>
      <c r="D42" s="1051">
        <f t="shared" si="1"/>
        <v>6</v>
      </c>
      <c r="E42" s="1051" t="str">
        <f>IF(COUNTIF(E$13:E41,F42)&gt;0,"",F42)</f>
        <v/>
      </c>
      <c r="F42" s="1051" t="str">
        <f t="shared" si="2"/>
        <v/>
      </c>
      <c r="G42" s="1055" t="str">
        <f t="shared" si="3"/>
        <v/>
      </c>
      <c r="I42" s="1100"/>
      <c r="J42" s="1048"/>
      <c r="K42" s="1119"/>
      <c r="L42" s="1048"/>
      <c r="M42" s="1033"/>
      <c r="N42" s="1048"/>
      <c r="O42" s="1036"/>
      <c r="P42" s="1036"/>
      <c r="Q42" s="1036"/>
      <c r="R42" s="1036"/>
      <c r="S42" s="1036"/>
      <c r="T42" s="1036"/>
      <c r="U42" s="1037"/>
    </row>
    <row r="43" spans="2:21" hidden="1" outlineLevel="2">
      <c r="B43" s="1050"/>
      <c r="C43" s="1050"/>
      <c r="D43" s="1051">
        <f t="shared" si="1"/>
        <v>6</v>
      </c>
      <c r="E43" s="1051" t="str">
        <f>IF(COUNTIF(E$13:E42,F43)&gt;0,"",F43)</f>
        <v/>
      </c>
      <c r="F43" s="1051" t="str">
        <f t="shared" si="2"/>
        <v/>
      </c>
      <c r="G43" s="1055" t="str">
        <f t="shared" si="3"/>
        <v/>
      </c>
      <c r="I43" s="1100"/>
      <c r="J43" s="1048"/>
      <c r="K43" s="1119"/>
      <c r="L43" s="1048"/>
      <c r="M43" s="1033"/>
      <c r="N43" s="1048"/>
      <c r="O43" s="1036"/>
      <c r="P43" s="1036"/>
      <c r="Q43" s="1036"/>
      <c r="R43" s="1036"/>
      <c r="S43" s="1036"/>
      <c r="T43" s="1036"/>
      <c r="U43" s="1037"/>
    </row>
    <row r="44" spans="2:21" hidden="1" outlineLevel="2">
      <c r="B44" s="1050"/>
      <c r="C44" s="1050"/>
      <c r="D44" s="1051">
        <f t="shared" si="1"/>
        <v>6</v>
      </c>
      <c r="E44" s="1051" t="str">
        <f>IF(COUNTIF(E$13:E43,F44)&gt;0,"",F44)</f>
        <v/>
      </c>
      <c r="F44" s="1051" t="str">
        <f t="shared" si="2"/>
        <v/>
      </c>
      <c r="G44" s="1055" t="str">
        <f t="shared" si="3"/>
        <v/>
      </c>
      <c r="I44" s="1100"/>
      <c r="J44" s="1048"/>
      <c r="K44" s="1119"/>
      <c r="L44" s="1048"/>
      <c r="M44" s="1033"/>
      <c r="N44" s="1048"/>
      <c r="O44" s="1036"/>
      <c r="P44" s="1036"/>
      <c r="Q44" s="1036"/>
      <c r="R44" s="1036"/>
      <c r="S44" s="1036"/>
      <c r="T44" s="1036"/>
      <c r="U44" s="1037"/>
    </row>
    <row r="45" spans="2:21" hidden="1" outlineLevel="1">
      <c r="B45" s="1045"/>
      <c r="C45" s="1045"/>
      <c r="D45" s="1045"/>
      <c r="E45" s="1045"/>
      <c r="F45" s="1045"/>
      <c r="G45" s="1135"/>
      <c r="I45" s="1711"/>
      <c r="J45" s="1712"/>
      <c r="K45" s="1712"/>
      <c r="L45" s="1712"/>
      <c r="M45" s="1712"/>
      <c r="N45" s="1712"/>
      <c r="O45" s="1712"/>
      <c r="P45" s="1712"/>
      <c r="Q45" s="1712"/>
      <c r="R45" s="1712"/>
      <c r="S45" s="1712"/>
      <c r="T45" s="1712"/>
      <c r="U45" s="1714"/>
    </row>
    <row r="46" spans="2:21" ht="12" hidden="1" customHeight="1" outlineLevel="1" collapsed="1">
      <c r="B46" s="3156" t="s">
        <v>3941</v>
      </c>
      <c r="C46" s="3156"/>
      <c r="D46" s="1051">
        <f t="shared" ref="D46" si="4">D45+IF(LEN(E46)&gt;0,1,0)</f>
        <v>0</v>
      </c>
      <c r="E46" s="1051"/>
      <c r="F46" s="1051"/>
      <c r="G46" s="1055"/>
      <c r="I46" s="1711"/>
      <c r="J46" s="1712"/>
      <c r="K46" s="1712"/>
      <c r="L46" s="1712"/>
      <c r="M46" s="1712"/>
      <c r="N46" s="1712"/>
      <c r="O46" s="1712"/>
      <c r="P46" s="1712"/>
      <c r="Q46" s="1712"/>
      <c r="R46" s="1712"/>
      <c r="S46" s="1712"/>
      <c r="T46" s="1712"/>
      <c r="U46" s="1714"/>
    </row>
    <row r="47" spans="2:21" ht="12" hidden="1" customHeight="1" outlineLevel="2">
      <c r="B47" s="2325">
        <v>1</v>
      </c>
      <c r="C47" s="2035" t="str">
        <f>IF(ISNA(VLOOKUP(B47,$D$47:$E$131,2,FALSE)),"-",VLOOKUP(B47,$D$47:$E$131,2,FALSE))</f>
        <v>Voiture particulière - berline - hydrogène électrolyse mix EnR décentralisée, France continentale, Base Carbone</v>
      </c>
      <c r="D47" s="1051">
        <f>D46+IF(LEN(E47)&gt;0,1,0)</f>
        <v>1</v>
      </c>
      <c r="E47" s="1051" t="str">
        <f>IF(COUNTIF(E$46:E46,F47)&gt;0,"",F47)</f>
        <v>Voiture particulière - berline - hydrogène électrolyse mix EnR décentralisée, France continentale, Base Carbone</v>
      </c>
      <c r="F47" s="1051" t="str">
        <f t="shared" ref="F47" si="5">IF(I47&lt;&gt;"",I47&amp;IF(L47&lt;&gt;"",", "&amp;L47,"")&amp;IF(K47&lt;&gt;"",", "&amp;K47,""),"")</f>
        <v>Voiture particulière - berline - hydrogène électrolyse mix EnR décentralisée, France continentale, Base Carbone</v>
      </c>
      <c r="G47" s="1055" t="str">
        <f t="shared" ref="G47" si="6">IF(F47&lt;&gt;"",F47&amp;IF(J47&lt;&gt;"","; "&amp;J47&amp;IF(N47&lt;&gt;"",", "&amp;N47,),""),"")</f>
        <v>Voiture particulière - berline - hydrogène électrolyse mix EnR décentralisée, France continentale, Base Carbone; kgCO2e/km, Combustion</v>
      </c>
      <c r="I47" s="1034" t="s">
        <v>5134</v>
      </c>
      <c r="J47" s="1977" t="s">
        <v>2222</v>
      </c>
      <c r="K47" s="1119" t="s">
        <v>1567</v>
      </c>
      <c r="L47" s="1119" t="s">
        <v>1571</v>
      </c>
      <c r="M47" s="2043">
        <v>0.5</v>
      </c>
      <c r="N47" s="1119" t="s">
        <v>1569</v>
      </c>
      <c r="O47" s="1119">
        <v>0</v>
      </c>
      <c r="P47" s="1119">
        <v>0</v>
      </c>
      <c r="Q47" s="1977">
        <v>0</v>
      </c>
      <c r="R47" s="1977">
        <v>0</v>
      </c>
      <c r="S47" s="1977">
        <v>0</v>
      </c>
      <c r="T47" s="1977">
        <v>0</v>
      </c>
      <c r="U47" s="2177">
        <v>0</v>
      </c>
    </row>
    <row r="48" spans="2:21" ht="12" hidden="1" customHeight="1" outlineLevel="2">
      <c r="B48" s="2325">
        <v>2</v>
      </c>
      <c r="C48" s="2035" t="str">
        <f t="shared" ref="C48:C72" si="7">IF(ISNA(VLOOKUP(B48,$D$47:$E$131,2,FALSE)),"-",VLOOKUP(B48,$D$47:$E$131,2,FALSE))</f>
        <v>Voiture particulière - berline - hydrogène électrolyse mix France décentralisée, France continentale, Base Carbone</v>
      </c>
      <c r="D48" s="1051">
        <f t="shared" ref="D48:D111" si="8">D47+IF(LEN(E48)&gt;0,1,0)</f>
        <v>1</v>
      </c>
      <c r="E48" s="1051" t="str">
        <f>IF(COUNTIF(E$46:E47,F48)&gt;0,"",F48)</f>
        <v/>
      </c>
      <c r="F48" s="1051" t="str">
        <f t="shared" ref="F48:F111" si="9">IF(I48&lt;&gt;"",I48&amp;IF(L48&lt;&gt;"",", "&amp;L48,"")&amp;IF(K48&lt;&gt;"",", "&amp;K48,""),"")</f>
        <v>Voiture particulière - berline - hydrogène électrolyse mix EnR décentralisée, France continentale, Base Carbone</v>
      </c>
      <c r="G48" s="1055" t="str">
        <f t="shared" ref="G48:G111" si="10">IF(F48&lt;&gt;"",F48&amp;IF(J48&lt;&gt;"","; "&amp;J48&amp;IF(N48&lt;&gt;"",", "&amp;N48,),""),"")</f>
        <v>Voiture particulière - berline - hydrogène électrolyse mix EnR décentralisée, France continentale, Base Carbone; kgCO2e/km, Amont</v>
      </c>
      <c r="I48" s="1034" t="s">
        <v>5134</v>
      </c>
      <c r="J48" s="1977" t="s">
        <v>2222</v>
      </c>
      <c r="K48" s="1119" t="s">
        <v>1567</v>
      </c>
      <c r="L48" s="1119" t="s">
        <v>1571</v>
      </c>
      <c r="M48" s="2043">
        <v>0.5</v>
      </c>
      <c r="N48" s="1119" t="s">
        <v>1570</v>
      </c>
      <c r="O48" s="1119">
        <v>2.1999999999999999E-2</v>
      </c>
      <c r="P48" s="1119">
        <v>2.1999999999999999E-2</v>
      </c>
      <c r="Q48" s="1977">
        <v>0</v>
      </c>
      <c r="R48" s="1977">
        <v>0</v>
      </c>
      <c r="S48" s="1977">
        <v>0</v>
      </c>
      <c r="T48" s="1977">
        <v>0</v>
      </c>
      <c r="U48" s="2177">
        <v>0</v>
      </c>
    </row>
    <row r="49" spans="2:21" ht="12" hidden="1" customHeight="1" outlineLevel="2">
      <c r="B49" s="2325">
        <v>3</v>
      </c>
      <c r="C49" s="2035" t="str">
        <f t="shared" si="7"/>
        <v>Voiture particulière - berline - hydrogène électrolyse EU décentralisée, France continentale, Base Carbone</v>
      </c>
      <c r="D49" s="1051">
        <f t="shared" si="8"/>
        <v>1</v>
      </c>
      <c r="E49" s="1051" t="str">
        <f>IF(COUNTIF(E$46:E48,F49)&gt;0,"",F49)</f>
        <v/>
      </c>
      <c r="F49" s="1051" t="str">
        <f t="shared" si="9"/>
        <v>Voiture particulière - berline - hydrogène électrolyse mix EnR décentralisée, France continentale, Base Carbone</v>
      </c>
      <c r="G49" s="1055" t="str">
        <f t="shared" si="10"/>
        <v>Voiture particulière - berline - hydrogène électrolyse mix EnR décentralisée, France continentale, Base Carbone; kgCO2e/km, Fabrication</v>
      </c>
      <c r="I49" s="1034" t="s">
        <v>5134</v>
      </c>
      <c r="J49" s="1977" t="s">
        <v>2222</v>
      </c>
      <c r="K49" s="1119" t="s">
        <v>1567</v>
      </c>
      <c r="L49" s="1119" t="s">
        <v>1571</v>
      </c>
      <c r="M49" s="2043">
        <v>0.5</v>
      </c>
      <c r="N49" s="1119" t="s">
        <v>332</v>
      </c>
      <c r="O49" s="1119">
        <v>0.05</v>
      </c>
      <c r="P49" s="1119">
        <v>0.05</v>
      </c>
      <c r="Q49" s="1977">
        <v>0</v>
      </c>
      <c r="R49" s="1977">
        <v>0</v>
      </c>
      <c r="S49" s="1977">
        <v>0</v>
      </c>
      <c r="T49" s="1977">
        <v>0</v>
      </c>
      <c r="U49" s="2177">
        <v>0</v>
      </c>
    </row>
    <row r="50" spans="2:21" ht="12" hidden="1" customHeight="1" outlineLevel="2">
      <c r="B50" s="2325">
        <v>4</v>
      </c>
      <c r="C50" s="2035" t="str">
        <f t="shared" si="7"/>
        <v>Voiture particulière - berline - hydrogène SMR biométhane centralisé, France continentale, Base Carbone</v>
      </c>
      <c r="D50" s="1051">
        <f t="shared" si="8"/>
        <v>2</v>
      </c>
      <c r="E50" s="1051" t="str">
        <f>IF(COUNTIF(E$46:E49,F50)&gt;0,"",F50)</f>
        <v>Voiture particulière - berline - hydrogène électrolyse mix France décentralisée, France continentale, Base Carbone</v>
      </c>
      <c r="F50" s="1051" t="str">
        <f t="shared" si="9"/>
        <v>Voiture particulière - berline - hydrogène électrolyse mix France décentralisée, France continentale, Base Carbone</v>
      </c>
      <c r="G50" s="1055" t="str">
        <f t="shared" si="10"/>
        <v>Voiture particulière - berline - hydrogène électrolyse mix France décentralisée, France continentale, Base Carbone; kgCO2e/km, Combustion</v>
      </c>
      <c r="I50" s="1034" t="s">
        <v>5135</v>
      </c>
      <c r="J50" s="1977" t="s">
        <v>2222</v>
      </c>
      <c r="K50" s="1119" t="s">
        <v>1567</v>
      </c>
      <c r="L50" s="1119" t="s">
        <v>1571</v>
      </c>
      <c r="M50" s="2043">
        <v>0.5</v>
      </c>
      <c r="N50" s="1119" t="s">
        <v>1569</v>
      </c>
      <c r="O50" s="1119">
        <v>0</v>
      </c>
      <c r="P50" s="1119">
        <v>0</v>
      </c>
      <c r="Q50" s="1977">
        <v>0</v>
      </c>
      <c r="R50" s="1977">
        <v>0</v>
      </c>
      <c r="S50" s="1977">
        <v>0</v>
      </c>
      <c r="T50" s="1977">
        <v>0</v>
      </c>
      <c r="U50" s="2177">
        <v>0</v>
      </c>
    </row>
    <row r="51" spans="2:21" ht="12" hidden="1" customHeight="1" outlineLevel="2">
      <c r="B51" s="2325">
        <v>5</v>
      </c>
      <c r="C51" s="2035" t="str">
        <f t="shared" si="7"/>
        <v>Voiture particulière - berline - hydrogèbne SMR GN centralisé, France continentale, Base Carbone</v>
      </c>
      <c r="D51" s="1051">
        <f t="shared" si="8"/>
        <v>2</v>
      </c>
      <c r="E51" s="1051" t="str">
        <f>IF(COUNTIF(E$46:E50,F51)&gt;0,"",F51)</f>
        <v/>
      </c>
      <c r="F51" s="1051" t="str">
        <f t="shared" si="9"/>
        <v>Voiture particulière - berline - hydrogène électrolyse mix France décentralisée, France continentale, Base Carbone</v>
      </c>
      <c r="G51" s="1055" t="str">
        <f t="shared" si="10"/>
        <v>Voiture particulière - berline - hydrogène électrolyse mix France décentralisée, France continentale, Base Carbone; kgCO2e/km, Amont</v>
      </c>
      <c r="I51" s="1034" t="s">
        <v>5135</v>
      </c>
      <c r="J51" s="1977" t="s">
        <v>2222</v>
      </c>
      <c r="K51" s="1119" t="s">
        <v>1567</v>
      </c>
      <c r="L51" s="1119" t="s">
        <v>1571</v>
      </c>
      <c r="M51" s="2043">
        <v>0.5</v>
      </c>
      <c r="N51" s="1119" t="s">
        <v>1570</v>
      </c>
      <c r="O51" s="1119">
        <v>3.1E-2</v>
      </c>
      <c r="P51" s="1119">
        <v>3.1E-2</v>
      </c>
      <c r="Q51" s="1977">
        <v>0</v>
      </c>
      <c r="R51" s="1977">
        <v>0</v>
      </c>
      <c r="S51" s="1977">
        <v>0</v>
      </c>
      <c r="T51" s="1977">
        <v>0</v>
      </c>
      <c r="U51" s="2177">
        <v>0</v>
      </c>
    </row>
    <row r="52" spans="2:21" ht="12" hidden="1" customHeight="1" outlineLevel="2">
      <c r="B52" s="2325">
        <v>6</v>
      </c>
      <c r="C52" s="2035" t="str">
        <f t="shared" si="7"/>
        <v>Voiture particulière - cœur de gamme - véhicule compact - électrique, France continentale, Base Carbone</v>
      </c>
      <c r="D52" s="1051">
        <f t="shared" si="8"/>
        <v>2</v>
      </c>
      <c r="E52" s="1051" t="str">
        <f>IF(COUNTIF(E$46:E51,F52)&gt;0,"",F52)</f>
        <v/>
      </c>
      <c r="F52" s="1051" t="str">
        <f t="shared" si="9"/>
        <v>Voiture particulière - berline - hydrogène électrolyse mix France décentralisée, France continentale, Base Carbone</v>
      </c>
      <c r="G52" s="1055" t="str">
        <f t="shared" si="10"/>
        <v>Voiture particulière - berline - hydrogène électrolyse mix France décentralisée, France continentale, Base Carbone; kgCO2e/km, Fabrication</v>
      </c>
      <c r="I52" s="1034" t="s">
        <v>5135</v>
      </c>
      <c r="J52" s="1977" t="s">
        <v>2222</v>
      </c>
      <c r="K52" s="1119" t="s">
        <v>1567</v>
      </c>
      <c r="L52" s="1119" t="s">
        <v>1571</v>
      </c>
      <c r="M52" s="2043">
        <v>0.5</v>
      </c>
      <c r="N52" s="1119" t="s">
        <v>332</v>
      </c>
      <c r="O52" s="1119">
        <v>0.05</v>
      </c>
      <c r="P52" s="1119">
        <v>0.05</v>
      </c>
      <c r="Q52" s="1977">
        <v>0</v>
      </c>
      <c r="R52" s="1977">
        <v>0</v>
      </c>
      <c r="S52" s="1977">
        <v>0</v>
      </c>
      <c r="T52" s="1977">
        <v>0</v>
      </c>
      <c r="U52" s="2177">
        <v>0</v>
      </c>
    </row>
    <row r="53" spans="2:21" ht="12" hidden="1" customHeight="1" outlineLevel="2">
      <c r="B53" s="2325">
        <v>7</v>
      </c>
      <c r="C53" s="2035" t="str">
        <f t="shared" si="7"/>
        <v>Voiture particulière - cœur de gamme - véhicule compact - Hybride rechargeable, plug in-hybrid, P2/prius, France continentale, Base Carbone</v>
      </c>
      <c r="D53" s="1051">
        <f t="shared" si="8"/>
        <v>3</v>
      </c>
      <c r="E53" s="1051" t="str">
        <f>IF(COUNTIF(E$46:E52,F53)&gt;0,"",F53)</f>
        <v>Voiture particulière - berline - hydrogène électrolyse EU décentralisée, France continentale, Base Carbone</v>
      </c>
      <c r="F53" s="1051" t="str">
        <f t="shared" si="9"/>
        <v>Voiture particulière - berline - hydrogène électrolyse EU décentralisée, France continentale, Base Carbone</v>
      </c>
      <c r="G53" s="1055" t="str">
        <f t="shared" si="10"/>
        <v>Voiture particulière - berline - hydrogène électrolyse EU décentralisée, France continentale, Base Carbone; kgCO2e/km, Combustion</v>
      </c>
      <c r="I53" s="1034" t="s">
        <v>4113</v>
      </c>
      <c r="J53" s="1977" t="s">
        <v>2222</v>
      </c>
      <c r="K53" s="1119" t="s">
        <v>1567</v>
      </c>
      <c r="L53" s="1119" t="s">
        <v>1571</v>
      </c>
      <c r="M53" s="2043">
        <v>0.5</v>
      </c>
      <c r="N53" s="1119" t="s">
        <v>1569</v>
      </c>
      <c r="O53" s="1119">
        <v>0</v>
      </c>
      <c r="P53" s="1119">
        <v>0</v>
      </c>
      <c r="Q53" s="1977">
        <v>0</v>
      </c>
      <c r="R53" s="1977">
        <v>0</v>
      </c>
      <c r="S53" s="1977">
        <v>0</v>
      </c>
      <c r="T53" s="1977">
        <v>0</v>
      </c>
      <c r="U53" s="2177">
        <v>0</v>
      </c>
    </row>
    <row r="54" spans="2:21" ht="12" hidden="1" customHeight="1" outlineLevel="2">
      <c r="B54" s="2325">
        <v>8</v>
      </c>
      <c r="C54" s="2035" t="str">
        <f t="shared" si="7"/>
        <v>Voiture particulière - cœur de gamme - véhicule compact - Hybride, full, P2, France continentale, Base Carbone</v>
      </c>
      <c r="D54" s="1051">
        <f t="shared" si="8"/>
        <v>3</v>
      </c>
      <c r="E54" s="1051" t="str">
        <f>IF(COUNTIF(E$46:E53,F54)&gt;0,"",F54)</f>
        <v/>
      </c>
      <c r="F54" s="1051" t="str">
        <f t="shared" si="9"/>
        <v>Voiture particulière - berline - hydrogène électrolyse EU décentralisée, France continentale, Base Carbone</v>
      </c>
      <c r="G54" s="1055" t="str">
        <f t="shared" si="10"/>
        <v>Voiture particulière - berline - hydrogène électrolyse EU décentralisée, France continentale, Base Carbone; kgCO2e/km, Amont</v>
      </c>
      <c r="I54" s="1034" t="s">
        <v>4113</v>
      </c>
      <c r="J54" s="1977" t="s">
        <v>2222</v>
      </c>
      <c r="K54" s="1119" t="s">
        <v>1567</v>
      </c>
      <c r="L54" s="1119" t="s">
        <v>1571</v>
      </c>
      <c r="M54" s="2043">
        <v>0.5</v>
      </c>
      <c r="N54" s="1119" t="s">
        <v>1570</v>
      </c>
      <c r="O54" s="1119">
        <v>0.20799999999999999</v>
      </c>
      <c r="P54" s="1119">
        <v>0.20799999999999999</v>
      </c>
      <c r="Q54" s="1977">
        <v>0</v>
      </c>
      <c r="R54" s="1977">
        <v>0</v>
      </c>
      <c r="S54" s="1977">
        <v>0</v>
      </c>
      <c r="T54" s="1977">
        <v>0</v>
      </c>
      <c r="U54" s="2177">
        <v>0</v>
      </c>
    </row>
    <row r="55" spans="2:21" ht="12" hidden="1" customHeight="1" outlineLevel="2">
      <c r="B55" s="2325">
        <v>9</v>
      </c>
      <c r="C55" s="2035" t="str">
        <f t="shared" si="7"/>
        <v>Voiture particulière - cœur de gamme - véhicule compact - Hybride, full, Prius, France continentale, Base Carbone</v>
      </c>
      <c r="D55" s="1051">
        <f t="shared" si="8"/>
        <v>3</v>
      </c>
      <c r="E55" s="1051" t="str">
        <f>IF(COUNTIF(E$46:E54,F55)&gt;0,"",F55)</f>
        <v/>
      </c>
      <c r="F55" s="1051" t="str">
        <f t="shared" si="9"/>
        <v>Voiture particulière - berline - hydrogène électrolyse EU décentralisée, France continentale, Base Carbone</v>
      </c>
      <c r="G55" s="1055" t="str">
        <f t="shared" si="10"/>
        <v>Voiture particulière - berline - hydrogène électrolyse EU décentralisée, France continentale, Base Carbone; kgCO2e/km, Fabrication</v>
      </c>
      <c r="I55" s="1034" t="s">
        <v>4113</v>
      </c>
      <c r="J55" s="1977" t="s">
        <v>2222</v>
      </c>
      <c r="K55" s="1119" t="s">
        <v>1567</v>
      </c>
      <c r="L55" s="1119" t="s">
        <v>1571</v>
      </c>
      <c r="M55" s="2043">
        <v>0.5</v>
      </c>
      <c r="N55" s="1119" t="s">
        <v>332</v>
      </c>
      <c r="O55" s="1119">
        <v>0.05</v>
      </c>
      <c r="P55" s="1119">
        <v>0.05</v>
      </c>
      <c r="Q55" s="1977">
        <v>0</v>
      </c>
      <c r="R55" s="1977">
        <v>0</v>
      </c>
      <c r="S55" s="1977">
        <v>0</v>
      </c>
      <c r="T55" s="1977">
        <v>0</v>
      </c>
      <c r="U55" s="2177">
        <v>0</v>
      </c>
    </row>
    <row r="56" spans="2:21" ht="12" hidden="1" customHeight="1" outlineLevel="2">
      <c r="B56" s="2325">
        <v>10</v>
      </c>
      <c r="C56" s="2035" t="str">
        <f t="shared" si="7"/>
        <v>Voiture particulière - cœur de gamme - véhicule compact - Hybride, mild, diesel, France continentale, Base Carbone</v>
      </c>
      <c r="D56" s="1051">
        <f t="shared" si="8"/>
        <v>4</v>
      </c>
      <c r="E56" s="1051" t="str">
        <f>IF(COUNTIF(E$46:E55,F56)&gt;0,"",F56)</f>
        <v>Voiture particulière - berline - hydrogène SMR biométhane centralisé, France continentale, Base Carbone</v>
      </c>
      <c r="F56" s="1051" t="str">
        <f t="shared" si="9"/>
        <v>Voiture particulière - berline - hydrogène SMR biométhane centralisé, France continentale, Base Carbone</v>
      </c>
      <c r="G56" s="1055" t="str">
        <f t="shared" si="10"/>
        <v>Voiture particulière - berline - hydrogène SMR biométhane centralisé, France continentale, Base Carbone; kgCO2e/km, Combustion</v>
      </c>
      <c r="I56" s="1034" t="s">
        <v>4114</v>
      </c>
      <c r="J56" s="1977" t="s">
        <v>2222</v>
      </c>
      <c r="K56" s="1119" t="s">
        <v>1567</v>
      </c>
      <c r="L56" s="1119" t="s">
        <v>1571</v>
      </c>
      <c r="M56" s="2043">
        <v>0.5</v>
      </c>
      <c r="N56" s="1119" t="s">
        <v>1569</v>
      </c>
      <c r="O56" s="1119">
        <v>0</v>
      </c>
      <c r="P56" s="1119">
        <v>0</v>
      </c>
      <c r="Q56" s="1977">
        <v>0</v>
      </c>
      <c r="R56" s="1977">
        <v>0</v>
      </c>
      <c r="S56" s="1977">
        <v>0</v>
      </c>
      <c r="T56" s="1977">
        <v>0</v>
      </c>
      <c r="U56" s="2177">
        <v>0</v>
      </c>
    </row>
    <row r="57" spans="2:21" ht="12" hidden="1" customHeight="1" outlineLevel="2">
      <c r="B57" s="2325">
        <v>11</v>
      </c>
      <c r="C57" s="2035" t="str">
        <f t="shared" si="7"/>
        <v>Voiture particulière - cœur de gamme - véhicule compact - Hybride, mild, essence, France continentale, Base Carbone</v>
      </c>
      <c r="D57" s="1051">
        <f t="shared" si="8"/>
        <v>4</v>
      </c>
      <c r="E57" s="1051" t="str">
        <f>IF(COUNTIF(E$46:E56,F57)&gt;0,"",F57)</f>
        <v/>
      </c>
      <c r="F57" s="1051" t="str">
        <f t="shared" si="9"/>
        <v>Voiture particulière - berline - hydrogène SMR biométhane centralisé, France continentale, Base Carbone</v>
      </c>
      <c r="G57" s="1055" t="str">
        <f t="shared" si="10"/>
        <v>Voiture particulière - berline - hydrogène SMR biométhane centralisé, France continentale, Base Carbone; kgCO2e/km, Amont</v>
      </c>
      <c r="I57" s="1034" t="s">
        <v>4114</v>
      </c>
      <c r="J57" s="1977" t="s">
        <v>2222</v>
      </c>
      <c r="K57" s="1119" t="s">
        <v>1567</v>
      </c>
      <c r="L57" s="1119" t="s">
        <v>1571</v>
      </c>
      <c r="M57" s="2043">
        <v>0.5</v>
      </c>
      <c r="N57" s="1119" t="s">
        <v>1570</v>
      </c>
      <c r="O57" s="1119">
        <v>7.4999999999999997E-2</v>
      </c>
      <c r="P57" s="1119">
        <v>7.4999999999999997E-2</v>
      </c>
      <c r="Q57" s="1977">
        <v>0</v>
      </c>
      <c r="R57" s="1977">
        <v>0</v>
      </c>
      <c r="S57" s="1977">
        <v>0</v>
      </c>
      <c r="T57" s="1977">
        <v>0</v>
      </c>
      <c r="U57" s="2177">
        <v>0</v>
      </c>
    </row>
    <row r="58" spans="2:21" ht="12" hidden="1" customHeight="1" outlineLevel="2">
      <c r="B58" s="2325">
        <v>12</v>
      </c>
      <c r="C58" s="2035" t="str">
        <f t="shared" si="7"/>
        <v>Voiture particulière - entrée de gamme - véhicule léger - électrique, France continentale, Base Carbone</v>
      </c>
      <c r="D58" s="1051">
        <f t="shared" si="8"/>
        <v>4</v>
      </c>
      <c r="E58" s="1051" t="str">
        <f>IF(COUNTIF(E$46:E57,F58)&gt;0,"",F58)</f>
        <v/>
      </c>
      <c r="F58" s="1051" t="str">
        <f t="shared" si="9"/>
        <v>Voiture particulière - berline - hydrogène SMR biométhane centralisé, France continentale, Base Carbone</v>
      </c>
      <c r="G58" s="1055" t="str">
        <f t="shared" si="10"/>
        <v>Voiture particulière - berline - hydrogène SMR biométhane centralisé, France continentale, Base Carbone; kgCO2e/km, Fabrication</v>
      </c>
      <c r="I58" s="1034" t="s">
        <v>4114</v>
      </c>
      <c r="J58" s="1977" t="s">
        <v>2222</v>
      </c>
      <c r="K58" s="1119" t="s">
        <v>1567</v>
      </c>
      <c r="L58" s="1119" t="s">
        <v>1571</v>
      </c>
      <c r="M58" s="2043">
        <v>0.5</v>
      </c>
      <c r="N58" s="1119" t="s">
        <v>332</v>
      </c>
      <c r="O58" s="1119">
        <v>0.05</v>
      </c>
      <c r="P58" s="1119">
        <v>0.05</v>
      </c>
      <c r="Q58" s="1977">
        <v>0</v>
      </c>
      <c r="R58" s="1977">
        <v>0</v>
      </c>
      <c r="S58" s="1977">
        <v>0</v>
      </c>
      <c r="T58" s="1977">
        <v>0</v>
      </c>
      <c r="U58" s="2177">
        <v>0</v>
      </c>
    </row>
    <row r="59" spans="2:21" ht="12" hidden="1" customHeight="1" outlineLevel="2">
      <c r="B59" s="2325">
        <v>13</v>
      </c>
      <c r="C59" s="2035" t="str">
        <f t="shared" si="7"/>
        <v>Voiture particulière - entrée de gamme - véhicule léger - Hybride rechargeable avec alimentation auxilliaire de puissance, France continentale, Base Carbone</v>
      </c>
      <c r="D59" s="1051">
        <f t="shared" si="8"/>
        <v>5</v>
      </c>
      <c r="E59" s="1051" t="str">
        <f>IF(COUNTIF(E$46:E58,F59)&gt;0,"",F59)</f>
        <v>Voiture particulière - berline - hydrogèbne SMR GN centralisé, France continentale, Base Carbone</v>
      </c>
      <c r="F59" s="1051" t="str">
        <f t="shared" si="9"/>
        <v>Voiture particulière - berline - hydrogèbne SMR GN centralisé, France continentale, Base Carbone</v>
      </c>
      <c r="G59" s="1055" t="str">
        <f t="shared" si="10"/>
        <v>Voiture particulière - berline - hydrogèbne SMR GN centralisé, France continentale, Base Carbone; kgCO2e/km, Combustion</v>
      </c>
      <c r="I59" s="1034" t="s">
        <v>4115</v>
      </c>
      <c r="J59" s="1977" t="s">
        <v>2222</v>
      </c>
      <c r="K59" s="1119" t="s">
        <v>1567</v>
      </c>
      <c r="L59" s="1119" t="s">
        <v>1571</v>
      </c>
      <c r="M59" s="2043">
        <v>0.5</v>
      </c>
      <c r="N59" s="1119" t="s">
        <v>1569</v>
      </c>
      <c r="O59" s="1119">
        <v>0</v>
      </c>
      <c r="P59" s="1119">
        <v>0</v>
      </c>
      <c r="Q59" s="1977">
        <v>0</v>
      </c>
      <c r="R59" s="1977">
        <v>0</v>
      </c>
      <c r="S59" s="1977">
        <v>0</v>
      </c>
      <c r="T59" s="1977">
        <v>0</v>
      </c>
      <c r="U59" s="2177">
        <v>0</v>
      </c>
    </row>
    <row r="60" spans="2:21" ht="12" hidden="1" customHeight="1" outlineLevel="2">
      <c r="B60" s="2325">
        <v>14</v>
      </c>
      <c r="C60" s="2035" t="str">
        <f t="shared" si="7"/>
        <v>Voiture particulière - entrée de gamme - véhicule léger - Hybride, mild essence, France continentale, Base Carbone</v>
      </c>
      <c r="D60" s="1051">
        <f t="shared" si="8"/>
        <v>5</v>
      </c>
      <c r="E60" s="1051" t="str">
        <f>IF(COUNTIF(E$46:E59,F60)&gt;0,"",F60)</f>
        <v/>
      </c>
      <c r="F60" s="1051" t="str">
        <f t="shared" si="9"/>
        <v>Voiture particulière - berline - hydrogèbne SMR GN centralisé, France continentale, Base Carbone</v>
      </c>
      <c r="G60" s="1055" t="str">
        <f t="shared" si="10"/>
        <v>Voiture particulière - berline - hydrogèbne SMR GN centralisé, France continentale, Base Carbone; kgCO2e/km, Amont</v>
      </c>
      <c r="I60" s="1034" t="s">
        <v>4115</v>
      </c>
      <c r="J60" s="1977" t="s">
        <v>2222</v>
      </c>
      <c r="K60" s="1119" t="s">
        <v>1567</v>
      </c>
      <c r="L60" s="1119" t="s">
        <v>1571</v>
      </c>
      <c r="M60" s="2043">
        <v>0.5</v>
      </c>
      <c r="N60" s="1119" t="s">
        <v>1570</v>
      </c>
      <c r="O60" s="1119">
        <v>0.16600000000000001</v>
      </c>
      <c r="P60" s="1119">
        <v>0.16600000000000001</v>
      </c>
      <c r="Q60" s="1977">
        <v>0</v>
      </c>
      <c r="R60" s="1977">
        <v>0</v>
      </c>
      <c r="S60" s="1977">
        <v>0</v>
      </c>
      <c r="T60" s="1977">
        <v>0</v>
      </c>
      <c r="U60" s="2177">
        <v>0</v>
      </c>
    </row>
    <row r="61" spans="2:21" ht="12" hidden="1" customHeight="1" outlineLevel="2">
      <c r="B61" s="2325">
        <v>15</v>
      </c>
      <c r="C61" s="2035" t="str">
        <f t="shared" si="7"/>
        <v>Voiture particulière - haut de gamme - berline - électrique, France continentale, Base Carbone</v>
      </c>
      <c r="D61" s="1051">
        <f t="shared" si="8"/>
        <v>5</v>
      </c>
      <c r="E61" s="1051" t="str">
        <f>IF(COUNTIF(E$46:E60,F61)&gt;0,"",F61)</f>
        <v/>
      </c>
      <c r="F61" s="1051" t="str">
        <f t="shared" si="9"/>
        <v>Voiture particulière - berline - hydrogèbne SMR GN centralisé, France continentale, Base Carbone</v>
      </c>
      <c r="G61" s="1055" t="str">
        <f t="shared" si="10"/>
        <v>Voiture particulière - berline - hydrogèbne SMR GN centralisé, France continentale, Base Carbone; kgCO2e/km, Fabrication</v>
      </c>
      <c r="I61" s="1034" t="s">
        <v>4115</v>
      </c>
      <c r="J61" s="1977" t="s">
        <v>2222</v>
      </c>
      <c r="K61" s="1119" t="s">
        <v>1567</v>
      </c>
      <c r="L61" s="1119" t="s">
        <v>1571</v>
      </c>
      <c r="M61" s="2043">
        <v>0.5</v>
      </c>
      <c r="N61" s="1119" t="s">
        <v>332</v>
      </c>
      <c r="O61" s="1119">
        <v>0.05</v>
      </c>
      <c r="P61" s="1119">
        <v>0.05</v>
      </c>
      <c r="Q61" s="1977">
        <v>0</v>
      </c>
      <c r="R61" s="1977">
        <v>0</v>
      </c>
      <c r="S61" s="1977">
        <v>0</v>
      </c>
      <c r="T61" s="1977">
        <v>0</v>
      </c>
      <c r="U61" s="2177">
        <v>0</v>
      </c>
    </row>
    <row r="62" spans="2:21" hidden="1" outlineLevel="2">
      <c r="B62" s="2325">
        <v>16</v>
      </c>
      <c r="C62" s="2035" t="str">
        <f t="shared" si="7"/>
        <v>Voiture particulière - haut de gamme - berline - Hybride rechargeable, plug in-hybrid, P2 / Prius, France continentale, Base Carbone</v>
      </c>
      <c r="D62" s="1051">
        <f t="shared" si="8"/>
        <v>6</v>
      </c>
      <c r="E62" s="1051" t="str">
        <f>IF(COUNTIF(E$46:E61,F62)&gt;0,"",F62)</f>
        <v>Voiture particulière - cœur de gamme - véhicule compact - électrique, France continentale, Base Carbone</v>
      </c>
      <c r="F62" s="1051" t="str">
        <f t="shared" si="9"/>
        <v>Voiture particulière - cœur de gamme - véhicule compact - électrique, France continentale, Base Carbone</v>
      </c>
      <c r="G62" s="1055" t="str">
        <f t="shared" si="10"/>
        <v>Voiture particulière - cœur de gamme - véhicule compact - électrique, France continentale, Base Carbone; kgCO2e/km, Combustion</v>
      </c>
      <c r="I62" s="2018" t="s">
        <v>3942</v>
      </c>
      <c r="J62" s="2046" t="s">
        <v>2222</v>
      </c>
      <c r="K62" s="1135" t="s">
        <v>1567</v>
      </c>
      <c r="L62" s="1135" t="s">
        <v>1571</v>
      </c>
      <c r="M62" s="2062">
        <v>0.7</v>
      </c>
      <c r="N62" s="1135" t="s">
        <v>1569</v>
      </c>
      <c r="O62" s="1135">
        <v>0</v>
      </c>
      <c r="P62" s="2017">
        <v>0</v>
      </c>
      <c r="Q62" s="1980">
        <v>0</v>
      </c>
      <c r="R62" s="1980">
        <v>0</v>
      </c>
      <c r="S62" s="1980">
        <v>0</v>
      </c>
      <c r="T62" s="1980">
        <v>0</v>
      </c>
      <c r="U62" s="2036">
        <v>0</v>
      </c>
    </row>
    <row r="63" spans="2:21" hidden="1" outlineLevel="2">
      <c r="B63" s="2325">
        <v>17</v>
      </c>
      <c r="C63" s="2035" t="str">
        <f t="shared" si="7"/>
        <v>Voiture particulière - haut de gamme - berline - Hybride, full P2, France continentale, Base Carbone</v>
      </c>
      <c r="D63" s="1051">
        <f t="shared" si="8"/>
        <v>6</v>
      </c>
      <c r="E63" s="1051" t="str">
        <f>IF(COUNTIF(E$46:E62,F63)&gt;0,"",F63)</f>
        <v/>
      </c>
      <c r="F63" s="1051" t="str">
        <f t="shared" si="9"/>
        <v>Voiture particulière - cœur de gamme - véhicule compact - électrique, France continentale, Base Carbone</v>
      </c>
      <c r="G63" s="1055" t="str">
        <f t="shared" si="10"/>
        <v>Voiture particulière - cœur de gamme - véhicule compact - électrique, France continentale, Base Carbone; kgCO2e/km, Amont</v>
      </c>
      <c r="I63" s="2018" t="s">
        <v>3942</v>
      </c>
      <c r="J63" s="2046" t="s">
        <v>2222</v>
      </c>
      <c r="K63" s="1135" t="s">
        <v>1567</v>
      </c>
      <c r="L63" s="1135" t="s">
        <v>1571</v>
      </c>
      <c r="M63" s="2062">
        <v>0.7</v>
      </c>
      <c r="N63" s="1135" t="s">
        <v>1570</v>
      </c>
      <c r="O63" s="1135">
        <v>1.9800000000000002E-2</v>
      </c>
      <c r="P63" s="2017">
        <v>1.9800000000000002E-2</v>
      </c>
      <c r="Q63" s="1980">
        <v>0</v>
      </c>
      <c r="R63" s="1980">
        <v>0</v>
      </c>
      <c r="S63" s="1980">
        <v>0</v>
      </c>
      <c r="T63" s="1980">
        <v>0</v>
      </c>
      <c r="U63" s="2036">
        <v>0</v>
      </c>
    </row>
    <row r="64" spans="2:21" hidden="1" outlineLevel="2">
      <c r="B64" s="2325">
        <v>18</v>
      </c>
      <c r="C64" s="2035" t="str">
        <f t="shared" si="7"/>
        <v>Voiture particulière - haut de gamme - berline - Hybride, full Prius, France continentale, Base Carbone</v>
      </c>
      <c r="D64" s="1051">
        <f t="shared" si="8"/>
        <v>6</v>
      </c>
      <c r="E64" s="1051" t="str">
        <f>IF(COUNTIF(E$46:E63,F64)&gt;0,"",F64)</f>
        <v/>
      </c>
      <c r="F64" s="1051" t="str">
        <f t="shared" si="9"/>
        <v>Voiture particulière - cœur de gamme - véhicule compact - électrique, France continentale, Base Carbone</v>
      </c>
      <c r="G64" s="1055" t="str">
        <f t="shared" si="10"/>
        <v>Voiture particulière - cœur de gamme - véhicule compact - électrique, France continentale, Base Carbone; kgCO2e/km, Fabrication</v>
      </c>
      <c r="I64" s="2018" t="s">
        <v>3942</v>
      </c>
      <c r="J64" s="2046" t="s">
        <v>2222</v>
      </c>
      <c r="K64" s="1135" t="s">
        <v>1567</v>
      </c>
      <c r="L64" s="1135" t="s">
        <v>1571</v>
      </c>
      <c r="M64" s="2062">
        <v>0.7</v>
      </c>
      <c r="N64" s="1119" t="s">
        <v>332</v>
      </c>
      <c r="O64" s="1119">
        <v>8.3599999999999994E-2</v>
      </c>
      <c r="P64" s="2017">
        <v>8.3599999999999994E-2</v>
      </c>
      <c r="Q64" s="1980">
        <v>0</v>
      </c>
      <c r="R64" s="1980">
        <v>0</v>
      </c>
      <c r="S64" s="1980">
        <v>0</v>
      </c>
      <c r="T64" s="1980">
        <v>0</v>
      </c>
      <c r="U64" s="2036">
        <v>0</v>
      </c>
    </row>
    <row r="65" spans="2:21" hidden="1" outlineLevel="2">
      <c r="B65" s="2325">
        <v>19</v>
      </c>
      <c r="C65" s="2035" t="str">
        <f t="shared" si="7"/>
        <v>Voiture particulière - haut de gamme - berline - Hybride, mild diesel, France continentale, Base Carbone</v>
      </c>
      <c r="D65" s="1051">
        <f t="shared" si="8"/>
        <v>7</v>
      </c>
      <c r="E65" s="1051" t="str">
        <f>IF(COUNTIF(E$46:E64,F65)&gt;0,"",F65)</f>
        <v>Voiture particulière - cœur de gamme - véhicule compact - Hybride rechargeable, plug in-hybrid, P2/prius, France continentale, Base Carbone</v>
      </c>
      <c r="F65" s="1051" t="str">
        <f t="shared" si="9"/>
        <v>Voiture particulière - cœur de gamme - véhicule compact - Hybride rechargeable, plug in-hybrid, P2/prius, France continentale, Base Carbone</v>
      </c>
      <c r="G65" s="1055" t="str">
        <f t="shared" si="10"/>
        <v>Voiture particulière - cœur de gamme - véhicule compact - Hybride rechargeable, plug in-hybrid, P2/prius, France continentale, Base Carbone; kgCO2e/km, Combustion</v>
      </c>
      <c r="I65" s="2018" t="s">
        <v>3944</v>
      </c>
      <c r="J65" s="2046" t="s">
        <v>2222</v>
      </c>
      <c r="K65" s="1135" t="s">
        <v>1567</v>
      </c>
      <c r="L65" s="1135" t="s">
        <v>1571</v>
      </c>
      <c r="M65" s="2062">
        <v>0.7</v>
      </c>
      <c r="N65" s="1119" t="s">
        <v>1569</v>
      </c>
      <c r="O65" s="1119">
        <v>0</v>
      </c>
      <c r="P65" s="2017">
        <v>0</v>
      </c>
      <c r="Q65" s="1980">
        <v>0</v>
      </c>
      <c r="R65" s="1980">
        <v>0</v>
      </c>
      <c r="S65" s="1980">
        <v>0</v>
      </c>
      <c r="T65" s="1980">
        <v>0</v>
      </c>
      <c r="U65" s="2036">
        <v>0</v>
      </c>
    </row>
    <row r="66" spans="2:21" hidden="1" outlineLevel="2">
      <c r="B66" s="2325">
        <v>20</v>
      </c>
      <c r="C66" s="2035" t="str">
        <f t="shared" si="7"/>
        <v>Voiture particulière - haut de gamme - berline - Hybride, mild essence, France continentale, Base Carbone</v>
      </c>
      <c r="D66" s="1051">
        <f t="shared" si="8"/>
        <v>7</v>
      </c>
      <c r="E66" s="1051" t="str">
        <f>IF(COUNTIF(E$46:E65,F66)&gt;0,"",F66)</f>
        <v/>
      </c>
      <c r="F66" s="1051" t="str">
        <f t="shared" si="9"/>
        <v>Voiture particulière - cœur de gamme - véhicule compact - Hybride rechargeable, plug in-hybrid, P2/prius, France continentale, Base Carbone</v>
      </c>
      <c r="G66" s="1055" t="str">
        <f t="shared" si="10"/>
        <v>Voiture particulière - cœur de gamme - véhicule compact - Hybride rechargeable, plug in-hybrid, P2/prius, France continentale, Base Carbone; kgCO2e/km, Amont</v>
      </c>
      <c r="I66" s="2018" t="s">
        <v>3944</v>
      </c>
      <c r="J66" s="2046" t="s">
        <v>2222</v>
      </c>
      <c r="K66" s="1135" t="s">
        <v>1567</v>
      </c>
      <c r="L66" s="1135" t="s">
        <v>1571</v>
      </c>
      <c r="M66" s="2062">
        <v>0.7</v>
      </c>
      <c r="N66" s="1119" t="s">
        <v>1570</v>
      </c>
      <c r="O66" s="1119">
        <v>1.72E-2</v>
      </c>
      <c r="P66" s="2017">
        <v>1.72E-2</v>
      </c>
      <c r="Q66" s="1980">
        <v>0</v>
      </c>
      <c r="R66" s="1980">
        <v>0</v>
      </c>
      <c r="S66" s="1980">
        <v>0</v>
      </c>
      <c r="T66" s="1980">
        <v>0</v>
      </c>
      <c r="U66" s="2036">
        <v>0</v>
      </c>
    </row>
    <row r="67" spans="2:21" hidden="1" outlineLevel="2">
      <c r="B67" s="2325">
        <v>21</v>
      </c>
      <c r="C67" s="2035" t="str">
        <f t="shared" si="7"/>
        <v>-</v>
      </c>
      <c r="D67" s="1051">
        <f t="shared" si="8"/>
        <v>7</v>
      </c>
      <c r="E67" s="1051" t="str">
        <f>IF(COUNTIF(E$46:E66,F67)&gt;0,"",F67)</f>
        <v/>
      </c>
      <c r="F67" s="1051" t="str">
        <f t="shared" si="9"/>
        <v>Voiture particulière - cœur de gamme - véhicule compact - Hybride rechargeable, plug in-hybrid, P2/prius, France continentale, Base Carbone</v>
      </c>
      <c r="G67" s="1055" t="str">
        <f t="shared" si="10"/>
        <v>Voiture particulière - cœur de gamme - véhicule compact - Hybride rechargeable, plug in-hybrid, P2/prius, France continentale, Base Carbone; kgCO2e/km, Fabrication</v>
      </c>
      <c r="I67" s="2018" t="s">
        <v>3944</v>
      </c>
      <c r="J67" s="2046" t="s">
        <v>2222</v>
      </c>
      <c r="K67" s="1135" t="s">
        <v>1567</v>
      </c>
      <c r="L67" s="1135" t="s">
        <v>1571</v>
      </c>
      <c r="M67" s="2062">
        <v>0.7</v>
      </c>
      <c r="N67" s="1119" t="s">
        <v>332</v>
      </c>
      <c r="O67" s="1119">
        <v>5.62E-2</v>
      </c>
      <c r="P67" s="2017">
        <v>5.62E-2</v>
      </c>
      <c r="Q67" s="1980">
        <v>0</v>
      </c>
      <c r="R67" s="1980">
        <v>0</v>
      </c>
      <c r="S67" s="1980">
        <v>0</v>
      </c>
      <c r="T67" s="1980">
        <v>0</v>
      </c>
      <c r="U67" s="2036">
        <v>0</v>
      </c>
    </row>
    <row r="68" spans="2:21" hidden="1" outlineLevel="2">
      <c r="B68" s="2325">
        <v>22</v>
      </c>
      <c r="C68" s="2035" t="str">
        <f t="shared" si="7"/>
        <v>-</v>
      </c>
      <c r="D68" s="1051">
        <f t="shared" si="8"/>
        <v>8</v>
      </c>
      <c r="E68" s="1051" t="str">
        <f>IF(COUNTIF(E$46:E67,F68)&gt;0,"",F68)</f>
        <v>Voiture particulière - cœur de gamme - véhicule compact - Hybride, full, P2, France continentale, Base Carbone</v>
      </c>
      <c r="F68" s="1051" t="str">
        <f t="shared" si="9"/>
        <v>Voiture particulière - cœur de gamme - véhicule compact - Hybride, full, P2, France continentale, Base Carbone</v>
      </c>
      <c r="G68" s="1055" t="str">
        <f t="shared" si="10"/>
        <v>Voiture particulière - cœur de gamme - véhicule compact - Hybride, full, P2, France continentale, Base Carbone; kgCO2e/km, Combustion</v>
      </c>
      <c r="I68" s="2018" t="s">
        <v>3943</v>
      </c>
      <c r="J68" s="2046" t="s">
        <v>2222</v>
      </c>
      <c r="K68" s="1135" t="s">
        <v>1567</v>
      </c>
      <c r="L68" s="1135" t="s">
        <v>1571</v>
      </c>
      <c r="M68" s="2062">
        <v>0.7</v>
      </c>
      <c r="N68" s="1119" t="s">
        <v>1569</v>
      </c>
      <c r="O68" s="1119">
        <v>0.106</v>
      </c>
      <c r="P68" s="2017">
        <v>0.106</v>
      </c>
      <c r="Q68" s="1980">
        <v>0</v>
      </c>
      <c r="R68" s="1980">
        <v>0</v>
      </c>
      <c r="S68" s="1980">
        <v>0</v>
      </c>
      <c r="T68" s="1980">
        <v>0</v>
      </c>
      <c r="U68" s="2036">
        <v>0</v>
      </c>
    </row>
    <row r="69" spans="2:21" hidden="1" outlineLevel="2">
      <c r="B69" s="2325">
        <v>23</v>
      </c>
      <c r="C69" s="2035" t="str">
        <f t="shared" si="7"/>
        <v>-</v>
      </c>
      <c r="D69" s="1051">
        <f t="shared" si="8"/>
        <v>8</v>
      </c>
      <c r="E69" s="1051" t="str">
        <f>IF(COUNTIF(E$46:E68,F69)&gt;0,"",F69)</f>
        <v/>
      </c>
      <c r="F69" s="1051" t="str">
        <f t="shared" si="9"/>
        <v>Voiture particulière - cœur de gamme - véhicule compact - Hybride, full, P2, France continentale, Base Carbone</v>
      </c>
      <c r="G69" s="1055" t="str">
        <f t="shared" si="10"/>
        <v>Voiture particulière - cœur de gamme - véhicule compact - Hybride, full, P2, France continentale, Base Carbone; kgCO2e/km, Amont</v>
      </c>
      <c r="I69" s="2018" t="s">
        <v>3943</v>
      </c>
      <c r="J69" s="2046" t="s">
        <v>2222</v>
      </c>
      <c r="K69" s="1135" t="s">
        <v>1567</v>
      </c>
      <c r="L69" s="1135" t="s">
        <v>1571</v>
      </c>
      <c r="M69" s="2062">
        <v>0.7</v>
      </c>
      <c r="N69" s="1119" t="s">
        <v>1570</v>
      </c>
      <c r="O69" s="1119">
        <v>2.87E-2</v>
      </c>
      <c r="P69" s="2017">
        <v>2.87E-2</v>
      </c>
      <c r="Q69" s="1980">
        <v>0</v>
      </c>
      <c r="R69" s="1980">
        <v>0</v>
      </c>
      <c r="S69" s="1980">
        <v>0</v>
      </c>
      <c r="T69" s="1980">
        <v>0</v>
      </c>
      <c r="U69" s="2036">
        <v>0</v>
      </c>
    </row>
    <row r="70" spans="2:21" hidden="1" outlineLevel="2">
      <c r="B70" s="2325">
        <v>24</v>
      </c>
      <c r="C70" s="2035" t="str">
        <f t="shared" si="7"/>
        <v>-</v>
      </c>
      <c r="D70" s="1051">
        <f t="shared" si="8"/>
        <v>8</v>
      </c>
      <c r="E70" s="1051" t="str">
        <f>IF(COUNTIF(E$46:E69,F70)&gt;0,"",F70)</f>
        <v/>
      </c>
      <c r="F70" s="1051" t="str">
        <f t="shared" si="9"/>
        <v>Voiture particulière - cœur de gamme - véhicule compact - Hybride, full, P2, France continentale, Base Carbone</v>
      </c>
      <c r="G70" s="1055" t="str">
        <f t="shared" si="10"/>
        <v>Voiture particulière - cœur de gamme - véhicule compact - Hybride, full, P2, France continentale, Base Carbone; kgCO2e/km, Fabrication</v>
      </c>
      <c r="I70" s="2018" t="s">
        <v>3943</v>
      </c>
      <c r="J70" s="2046" t="s">
        <v>2222</v>
      </c>
      <c r="K70" s="1135" t="s">
        <v>1567</v>
      </c>
      <c r="L70" s="1135" t="s">
        <v>1571</v>
      </c>
      <c r="M70" s="2062">
        <v>0.7</v>
      </c>
      <c r="N70" s="1119" t="s">
        <v>332</v>
      </c>
      <c r="O70" s="1119">
        <v>4.8099999999999997E-2</v>
      </c>
      <c r="P70" s="2017">
        <v>4.8099999999999997E-2</v>
      </c>
      <c r="Q70" s="1980">
        <v>0</v>
      </c>
      <c r="R70" s="1980">
        <v>0</v>
      </c>
      <c r="S70" s="1980">
        <v>0</v>
      </c>
      <c r="T70" s="1980">
        <v>0</v>
      </c>
      <c r="U70" s="2036">
        <v>0</v>
      </c>
    </row>
    <row r="71" spans="2:21" hidden="1" outlineLevel="2">
      <c r="B71" s="2325">
        <v>25</v>
      </c>
      <c r="C71" s="2035" t="str">
        <f t="shared" si="7"/>
        <v>-</v>
      </c>
      <c r="D71" s="1051">
        <f t="shared" si="8"/>
        <v>9</v>
      </c>
      <c r="E71" s="1051" t="str">
        <f>IF(COUNTIF(E$46:E70,F71)&gt;0,"",F71)</f>
        <v>Voiture particulière - cœur de gamme - véhicule compact - Hybride, full, Prius, France continentale, Base Carbone</v>
      </c>
      <c r="F71" s="1051" t="str">
        <f t="shared" si="9"/>
        <v>Voiture particulière - cœur de gamme - véhicule compact - Hybride, full, Prius, France continentale, Base Carbone</v>
      </c>
      <c r="G71" s="1055" t="str">
        <f t="shared" si="10"/>
        <v>Voiture particulière - cœur de gamme - véhicule compact - Hybride, full, Prius, France continentale, Base Carbone; kgCO2e/km, Combustion</v>
      </c>
      <c r="I71" s="2018" t="s">
        <v>3945</v>
      </c>
      <c r="J71" s="2046" t="s">
        <v>2222</v>
      </c>
      <c r="K71" s="1135" t="s">
        <v>1567</v>
      </c>
      <c r="L71" s="1135" t="s">
        <v>1571</v>
      </c>
      <c r="M71" s="2062">
        <v>0.7</v>
      </c>
      <c r="N71" s="1119" t="s">
        <v>1569</v>
      </c>
      <c r="O71" s="1119">
        <v>7.8E-2</v>
      </c>
      <c r="P71" s="2017">
        <v>7.8E-2</v>
      </c>
      <c r="Q71" s="1980">
        <v>0</v>
      </c>
      <c r="R71" s="1980">
        <v>0</v>
      </c>
      <c r="S71" s="1980">
        <v>0</v>
      </c>
      <c r="T71" s="1980">
        <v>0</v>
      </c>
      <c r="U71" s="2036">
        <v>0</v>
      </c>
    </row>
    <row r="72" spans="2:21" hidden="1" outlineLevel="2">
      <c r="B72" s="2325">
        <v>26</v>
      </c>
      <c r="C72" s="2035" t="str">
        <f t="shared" si="7"/>
        <v>-</v>
      </c>
      <c r="D72" s="1051">
        <f t="shared" si="8"/>
        <v>9</v>
      </c>
      <c r="E72" s="1051" t="str">
        <f>IF(COUNTIF(E$46:E71,F72)&gt;0,"",F72)</f>
        <v/>
      </c>
      <c r="F72" s="1051" t="str">
        <f t="shared" si="9"/>
        <v>Voiture particulière - cœur de gamme - véhicule compact - Hybride, full, Prius, France continentale, Base Carbone</v>
      </c>
      <c r="G72" s="1055" t="str">
        <f t="shared" si="10"/>
        <v>Voiture particulière - cœur de gamme - véhicule compact - Hybride, full, Prius, France continentale, Base Carbone; kgCO2e/km, Amont</v>
      </c>
      <c r="I72" s="2018" t="s">
        <v>3945</v>
      </c>
      <c r="J72" s="2046" t="s">
        <v>2222</v>
      </c>
      <c r="K72" s="1135" t="s">
        <v>1567</v>
      </c>
      <c r="L72" s="1135" t="s">
        <v>1571</v>
      </c>
      <c r="M72" s="2062">
        <v>0.7</v>
      </c>
      <c r="N72" s="1119" t="s">
        <v>1570</v>
      </c>
      <c r="O72" s="1119">
        <v>2.1100000000000001E-2</v>
      </c>
      <c r="P72" s="2017">
        <v>2.1100000000000001E-2</v>
      </c>
      <c r="Q72" s="1980">
        <v>0</v>
      </c>
      <c r="R72" s="1980">
        <v>0</v>
      </c>
      <c r="S72" s="1980">
        <v>0</v>
      </c>
      <c r="T72" s="1980">
        <v>0</v>
      </c>
      <c r="U72" s="2036">
        <v>0</v>
      </c>
    </row>
    <row r="73" spans="2:21" hidden="1" outlineLevel="2">
      <c r="B73" s="2325"/>
      <c r="C73" s="2035"/>
      <c r="D73" s="1051">
        <f t="shared" si="8"/>
        <v>9</v>
      </c>
      <c r="E73" s="1051" t="str">
        <f>IF(COUNTIF(E$46:E72,F73)&gt;0,"",F73)</f>
        <v/>
      </c>
      <c r="F73" s="1051" t="str">
        <f t="shared" si="9"/>
        <v>Voiture particulière - cœur de gamme - véhicule compact - Hybride, full, Prius, France continentale, Base Carbone</v>
      </c>
      <c r="G73" s="1055" t="str">
        <f t="shared" si="10"/>
        <v>Voiture particulière - cœur de gamme - véhicule compact - Hybride, full, Prius, France continentale, Base Carbone; kgCO2e/km, Fabrication</v>
      </c>
      <c r="I73" s="2018" t="s">
        <v>3945</v>
      </c>
      <c r="J73" s="2046" t="s">
        <v>2222</v>
      </c>
      <c r="K73" s="1135" t="s">
        <v>1567</v>
      </c>
      <c r="L73" s="1135" t="s">
        <v>1571</v>
      </c>
      <c r="M73" s="2062">
        <v>0.7</v>
      </c>
      <c r="N73" s="1119" t="s">
        <v>332</v>
      </c>
      <c r="O73" s="1119">
        <v>4.7500000000000001E-2</v>
      </c>
      <c r="P73" s="2017">
        <v>4.7500000000000001E-2</v>
      </c>
      <c r="Q73" s="1980">
        <v>0</v>
      </c>
      <c r="R73" s="1980">
        <v>0</v>
      </c>
      <c r="S73" s="1980">
        <v>0</v>
      </c>
      <c r="T73" s="1980">
        <v>0</v>
      </c>
      <c r="U73" s="2036">
        <v>0</v>
      </c>
    </row>
    <row r="74" spans="2:21" hidden="1" outlineLevel="2">
      <c r="B74" s="2325"/>
      <c r="C74" s="2035"/>
      <c r="D74" s="1051">
        <f t="shared" si="8"/>
        <v>10</v>
      </c>
      <c r="E74" s="1051" t="str">
        <f>IF(COUNTIF(E$46:E73,F74)&gt;0,"",F74)</f>
        <v>Voiture particulière - cœur de gamme - véhicule compact - Hybride, mild, diesel, France continentale, Base Carbone</v>
      </c>
      <c r="F74" s="1051" t="str">
        <f t="shared" si="9"/>
        <v>Voiture particulière - cœur de gamme - véhicule compact - Hybride, mild, diesel, France continentale, Base Carbone</v>
      </c>
      <c r="G74" s="1055" t="str">
        <f t="shared" si="10"/>
        <v>Voiture particulière - cœur de gamme - véhicule compact - Hybride, mild, diesel, France continentale, Base Carbone; kgCO2e/km, Combustion</v>
      </c>
      <c r="I74" s="2018" t="s">
        <v>3946</v>
      </c>
      <c r="J74" s="2046" t="s">
        <v>2222</v>
      </c>
      <c r="K74" s="1135" t="s">
        <v>1567</v>
      </c>
      <c r="L74" s="1135" t="s">
        <v>1571</v>
      </c>
      <c r="M74" s="2062">
        <v>0.7</v>
      </c>
      <c r="N74" s="1119" t="s">
        <v>1569</v>
      </c>
      <c r="O74" s="1119">
        <v>0.14799999999999999</v>
      </c>
      <c r="P74" s="2017">
        <v>0.14799999999999999</v>
      </c>
      <c r="Q74" s="1980">
        <v>0</v>
      </c>
      <c r="R74" s="1980">
        <v>0</v>
      </c>
      <c r="S74" s="1980">
        <v>0</v>
      </c>
      <c r="T74" s="1980">
        <v>0</v>
      </c>
      <c r="U74" s="2036">
        <v>0</v>
      </c>
    </row>
    <row r="75" spans="2:21" hidden="1" outlineLevel="2">
      <c r="B75" s="2325"/>
      <c r="C75" s="2035"/>
      <c r="D75" s="1051">
        <f t="shared" si="8"/>
        <v>10</v>
      </c>
      <c r="E75" s="1051" t="str">
        <f>IF(COUNTIF(E$46:E74,F75)&gt;0,"",F75)</f>
        <v/>
      </c>
      <c r="F75" s="1051" t="str">
        <f t="shared" si="9"/>
        <v>Voiture particulière - cœur de gamme - véhicule compact - Hybride, mild, diesel, France continentale, Base Carbone</v>
      </c>
      <c r="G75" s="1055" t="str">
        <f t="shared" si="10"/>
        <v>Voiture particulière - cœur de gamme - véhicule compact - Hybride, mild, diesel, France continentale, Base Carbone; kgCO2e/km, Amont</v>
      </c>
      <c r="I75" s="2018" t="s">
        <v>3946</v>
      </c>
      <c r="J75" s="2046" t="s">
        <v>2222</v>
      </c>
      <c r="K75" s="1135" t="s">
        <v>1567</v>
      </c>
      <c r="L75" s="1135" t="s">
        <v>1571</v>
      </c>
      <c r="M75" s="2062">
        <v>0.7</v>
      </c>
      <c r="N75" s="1119" t="s">
        <v>1570</v>
      </c>
      <c r="O75" s="1119">
        <v>2.93E-2</v>
      </c>
      <c r="P75" s="2017">
        <v>2.93E-2</v>
      </c>
      <c r="Q75" s="1980">
        <v>0</v>
      </c>
      <c r="R75" s="1980">
        <v>0</v>
      </c>
      <c r="S75" s="1980">
        <v>0</v>
      </c>
      <c r="T75" s="1980">
        <v>0</v>
      </c>
      <c r="U75" s="2036">
        <v>0</v>
      </c>
    </row>
    <row r="76" spans="2:21" hidden="1" outlineLevel="2">
      <c r="B76" s="2325"/>
      <c r="C76" s="2035"/>
      <c r="D76" s="1051">
        <f t="shared" si="8"/>
        <v>10</v>
      </c>
      <c r="E76" s="1051" t="str">
        <f>IF(COUNTIF(E$46:E75,F76)&gt;0,"",F76)</f>
        <v/>
      </c>
      <c r="F76" s="1051" t="str">
        <f t="shared" si="9"/>
        <v>Voiture particulière - cœur de gamme - véhicule compact - Hybride, mild, diesel, France continentale, Base Carbone</v>
      </c>
      <c r="G76" s="1055" t="str">
        <f t="shared" si="10"/>
        <v>Voiture particulière - cœur de gamme - véhicule compact - Hybride, mild, diesel, France continentale, Base Carbone; kgCO2e/km, Fabrication</v>
      </c>
      <c r="I76" s="2018" t="s">
        <v>3946</v>
      </c>
      <c r="J76" s="2046" t="s">
        <v>2222</v>
      </c>
      <c r="K76" s="1135" t="s">
        <v>1567</v>
      </c>
      <c r="L76" s="1135" t="s">
        <v>1571</v>
      </c>
      <c r="M76" s="2062">
        <v>0.7</v>
      </c>
      <c r="N76" s="1119" t="s">
        <v>332</v>
      </c>
      <c r="O76" s="1119">
        <v>4.0300000000000002E-2</v>
      </c>
      <c r="P76" s="2017">
        <v>4.0300000000000002E-2</v>
      </c>
      <c r="Q76" s="1980">
        <v>0</v>
      </c>
      <c r="R76" s="1980">
        <v>0</v>
      </c>
      <c r="S76" s="1980">
        <v>0</v>
      </c>
      <c r="T76" s="1980">
        <v>0</v>
      </c>
      <c r="U76" s="2036">
        <v>0</v>
      </c>
    </row>
    <row r="77" spans="2:21" hidden="1" outlineLevel="2">
      <c r="B77" s="2325"/>
      <c r="C77" s="2035"/>
      <c r="D77" s="1051">
        <f t="shared" si="8"/>
        <v>11</v>
      </c>
      <c r="E77" s="1051" t="str">
        <f>IF(COUNTIF(E$46:E76,F77)&gt;0,"",F77)</f>
        <v>Voiture particulière - cœur de gamme - véhicule compact - Hybride, mild, essence, France continentale, Base Carbone</v>
      </c>
      <c r="F77" s="1051" t="str">
        <f t="shared" si="9"/>
        <v>Voiture particulière - cœur de gamme - véhicule compact - Hybride, mild, essence, France continentale, Base Carbone</v>
      </c>
      <c r="G77" s="1055" t="str">
        <f t="shared" si="10"/>
        <v>Voiture particulière - cœur de gamme - véhicule compact - Hybride, mild, essence, France continentale, Base Carbone; kgCO2e/km, Combustion</v>
      </c>
      <c r="I77" s="2018" t="s">
        <v>3947</v>
      </c>
      <c r="J77" s="2046" t="s">
        <v>2222</v>
      </c>
      <c r="K77" s="1135" t="s">
        <v>1567</v>
      </c>
      <c r="L77" s="1135" t="s">
        <v>1571</v>
      </c>
      <c r="M77" s="2062">
        <v>0.7</v>
      </c>
      <c r="N77" s="1119" t="s">
        <v>1569</v>
      </c>
      <c r="O77" s="1119">
        <v>0.151</v>
      </c>
      <c r="P77" s="2017">
        <v>0.151</v>
      </c>
      <c r="Q77" s="1980">
        <v>0</v>
      </c>
      <c r="R77" s="1980">
        <v>0</v>
      </c>
      <c r="S77" s="1980">
        <v>0</v>
      </c>
      <c r="T77" s="1980">
        <v>0</v>
      </c>
      <c r="U77" s="2036">
        <v>0</v>
      </c>
    </row>
    <row r="78" spans="2:21" hidden="1" outlineLevel="2">
      <c r="B78" s="2325"/>
      <c r="C78" s="2035"/>
      <c r="D78" s="1051">
        <f t="shared" si="8"/>
        <v>11</v>
      </c>
      <c r="E78" s="1051" t="str">
        <f>IF(COUNTIF(E$46:E77,F78)&gt;0,"",F78)</f>
        <v/>
      </c>
      <c r="F78" s="1051" t="str">
        <f t="shared" si="9"/>
        <v>Voiture particulière - cœur de gamme - véhicule compact - Hybride, mild, essence, France continentale, Base Carbone</v>
      </c>
      <c r="G78" s="1055" t="str">
        <f t="shared" si="10"/>
        <v>Voiture particulière - cœur de gamme - véhicule compact - Hybride, mild, essence, France continentale, Base Carbone; kgCO2e/km, Amont</v>
      </c>
      <c r="I78" s="2018" t="s">
        <v>3947</v>
      </c>
      <c r="J78" s="2046" t="s">
        <v>2222</v>
      </c>
      <c r="K78" s="1135" t="s">
        <v>1567</v>
      </c>
      <c r="L78" s="1135" t="s">
        <v>1571</v>
      </c>
      <c r="M78" s="2062">
        <v>0.7</v>
      </c>
      <c r="N78" s="1119" t="s">
        <v>1570</v>
      </c>
      <c r="O78" s="1119">
        <v>4.0800000000000003E-2</v>
      </c>
      <c r="P78" s="2017">
        <v>4.0800000000000003E-2</v>
      </c>
      <c r="Q78" s="1980">
        <v>0</v>
      </c>
      <c r="R78" s="1980">
        <v>0</v>
      </c>
      <c r="S78" s="1980">
        <v>0</v>
      </c>
      <c r="T78" s="1980">
        <v>0</v>
      </c>
      <c r="U78" s="2036">
        <v>0</v>
      </c>
    </row>
    <row r="79" spans="2:21" hidden="1" outlineLevel="2">
      <c r="B79" s="2325"/>
      <c r="C79" s="2035"/>
      <c r="D79" s="1051">
        <f t="shared" si="8"/>
        <v>11</v>
      </c>
      <c r="E79" s="1051" t="str">
        <f>IF(COUNTIF(E$46:E78,F79)&gt;0,"",F79)</f>
        <v/>
      </c>
      <c r="F79" s="1051" t="str">
        <f t="shared" si="9"/>
        <v>Voiture particulière - cœur de gamme - véhicule compact - Hybride, mild, essence, France continentale, Base Carbone</v>
      </c>
      <c r="G79" s="1055" t="str">
        <f t="shared" si="10"/>
        <v>Voiture particulière - cœur de gamme - véhicule compact - Hybride, mild, essence, France continentale, Base Carbone; kgCO2e/km, Fabrication</v>
      </c>
      <c r="I79" s="2018" t="s">
        <v>3947</v>
      </c>
      <c r="J79" s="2046" t="s">
        <v>2222</v>
      </c>
      <c r="K79" s="1135" t="s">
        <v>1567</v>
      </c>
      <c r="L79" s="1135" t="s">
        <v>1571</v>
      </c>
      <c r="M79" s="2062">
        <v>0.7</v>
      </c>
      <c r="N79" s="1119" t="s">
        <v>332</v>
      </c>
      <c r="O79" s="1119">
        <v>0.04</v>
      </c>
      <c r="P79" s="2017">
        <v>0.04</v>
      </c>
      <c r="Q79" s="1980">
        <v>0</v>
      </c>
      <c r="R79" s="1980">
        <v>0</v>
      </c>
      <c r="S79" s="1980">
        <v>0</v>
      </c>
      <c r="T79" s="1980">
        <v>0</v>
      </c>
      <c r="U79" s="2036">
        <v>0</v>
      </c>
    </row>
    <row r="80" spans="2:21" hidden="1" outlineLevel="2">
      <c r="B80" s="2325"/>
      <c r="C80" s="2035"/>
      <c r="D80" s="1051">
        <f t="shared" si="8"/>
        <v>12</v>
      </c>
      <c r="E80" s="1051" t="str">
        <f>IF(COUNTIF(E$46:E79,F80)&gt;0,"",F80)</f>
        <v>Voiture particulière - entrée de gamme - véhicule léger - électrique, France continentale, Base Carbone</v>
      </c>
      <c r="F80" s="1051" t="str">
        <f t="shared" si="9"/>
        <v>Voiture particulière - entrée de gamme - véhicule léger - électrique, France continentale, Base Carbone</v>
      </c>
      <c r="G80" s="1055" t="str">
        <f t="shared" si="10"/>
        <v>Voiture particulière - entrée de gamme - véhicule léger - électrique, France continentale, Base Carbone; kgCO2e/km, Combustion</v>
      </c>
      <c r="I80" s="2018" t="s">
        <v>3948</v>
      </c>
      <c r="J80" s="2046" t="s">
        <v>2222</v>
      </c>
      <c r="K80" s="1135" t="s">
        <v>1567</v>
      </c>
      <c r="L80" s="1135" t="s">
        <v>1571</v>
      </c>
      <c r="M80" s="2062">
        <v>0.7</v>
      </c>
      <c r="N80" s="1119" t="s">
        <v>1569</v>
      </c>
      <c r="O80" s="1119">
        <v>0</v>
      </c>
      <c r="P80" s="2017">
        <v>0</v>
      </c>
      <c r="Q80" s="1980">
        <v>0</v>
      </c>
      <c r="R80" s="1980">
        <v>0</v>
      </c>
      <c r="S80" s="1980">
        <v>0</v>
      </c>
      <c r="T80" s="1980">
        <v>0</v>
      </c>
      <c r="U80" s="2036">
        <v>0</v>
      </c>
    </row>
    <row r="81" spans="2:21" hidden="1" outlineLevel="2">
      <c r="B81" s="2325"/>
      <c r="C81" s="2035"/>
      <c r="D81" s="1051">
        <f t="shared" si="8"/>
        <v>12</v>
      </c>
      <c r="E81" s="1051" t="str">
        <f>IF(COUNTIF(E$46:E80,F81)&gt;0,"",F81)</f>
        <v/>
      </c>
      <c r="F81" s="1051" t="str">
        <f t="shared" si="9"/>
        <v>Voiture particulière - entrée de gamme - véhicule léger - électrique, France continentale, Base Carbone</v>
      </c>
      <c r="G81" s="1055" t="str">
        <f t="shared" si="10"/>
        <v>Voiture particulière - entrée de gamme - véhicule léger - électrique, France continentale, Base Carbone; kgCO2e/km, Amont</v>
      </c>
      <c r="I81" s="2018" t="s">
        <v>3948</v>
      </c>
      <c r="J81" s="2046" t="s">
        <v>2222</v>
      </c>
      <c r="K81" s="1135" t="s">
        <v>1567</v>
      </c>
      <c r="L81" s="1135" t="s">
        <v>1571</v>
      </c>
      <c r="M81" s="2062">
        <v>0.7</v>
      </c>
      <c r="N81" s="1119" t="s">
        <v>1570</v>
      </c>
      <c r="O81" s="1119">
        <v>1.5900000000000001E-2</v>
      </c>
      <c r="P81" s="2017">
        <v>1.5900000000000001E-2</v>
      </c>
      <c r="Q81" s="1980">
        <v>0</v>
      </c>
      <c r="R81" s="1980">
        <v>0</v>
      </c>
      <c r="S81" s="1980">
        <v>0</v>
      </c>
      <c r="T81" s="1980">
        <v>0</v>
      </c>
      <c r="U81" s="2036">
        <v>0</v>
      </c>
    </row>
    <row r="82" spans="2:21" hidden="1" outlineLevel="2">
      <c r="B82" s="2325"/>
      <c r="C82" s="2035"/>
      <c r="D82" s="1051">
        <f t="shared" si="8"/>
        <v>12</v>
      </c>
      <c r="E82" s="1051" t="str">
        <f>IF(COUNTIF(E$46:E81,F82)&gt;0,"",F82)</f>
        <v/>
      </c>
      <c r="F82" s="1051" t="str">
        <f t="shared" si="9"/>
        <v>Voiture particulière - entrée de gamme - véhicule léger - électrique, France continentale, Base Carbone</v>
      </c>
      <c r="G82" s="1055" t="str">
        <f t="shared" si="10"/>
        <v>Voiture particulière - entrée de gamme - véhicule léger - électrique, France continentale, Base Carbone; kgCO2e/km, Fabrication</v>
      </c>
      <c r="I82" s="2018" t="s">
        <v>3948</v>
      </c>
      <c r="J82" s="2046" t="s">
        <v>2222</v>
      </c>
      <c r="K82" s="1135" t="s">
        <v>1567</v>
      </c>
      <c r="L82" s="1135" t="s">
        <v>1571</v>
      </c>
      <c r="M82" s="2062">
        <v>0.7</v>
      </c>
      <c r="N82" s="1119" t="s">
        <v>332</v>
      </c>
      <c r="O82" s="1119">
        <v>7.9399999999999998E-2</v>
      </c>
      <c r="P82" s="2017">
        <v>7.9399999999999998E-2</v>
      </c>
      <c r="Q82" s="1980">
        <v>0</v>
      </c>
      <c r="R82" s="1980">
        <v>0</v>
      </c>
      <c r="S82" s="1980">
        <v>0</v>
      </c>
      <c r="T82" s="1980">
        <v>0</v>
      </c>
      <c r="U82" s="2036">
        <v>0</v>
      </c>
    </row>
    <row r="83" spans="2:21" hidden="1" outlineLevel="2">
      <c r="B83" s="2325"/>
      <c r="C83" s="2035"/>
      <c r="D83" s="1051">
        <f t="shared" si="8"/>
        <v>13</v>
      </c>
      <c r="E83" s="1051" t="str">
        <f>IF(COUNTIF(E$46:E82,F83)&gt;0,"",F83)</f>
        <v>Voiture particulière - entrée de gamme - véhicule léger - Hybride rechargeable avec alimentation auxilliaire de puissance, France continentale, Base Carbone</v>
      </c>
      <c r="F83" s="1051" t="str">
        <f t="shared" si="9"/>
        <v>Voiture particulière - entrée de gamme - véhicule léger - Hybride rechargeable avec alimentation auxilliaire de puissance, France continentale, Base Carbone</v>
      </c>
      <c r="G83" s="1055" t="str">
        <f t="shared" si="10"/>
        <v>Voiture particulière - entrée de gamme - véhicule léger - Hybride rechargeable avec alimentation auxilliaire de puissance, France continentale, Base Carbone; kgCO2e/km, Combustion</v>
      </c>
      <c r="I83" s="2018" t="s">
        <v>3949</v>
      </c>
      <c r="J83" s="2046" t="s">
        <v>2222</v>
      </c>
      <c r="K83" s="1135" t="s">
        <v>1567</v>
      </c>
      <c r="L83" s="1135" t="s">
        <v>1571</v>
      </c>
      <c r="M83" s="2062">
        <v>0.7</v>
      </c>
      <c r="N83" s="1119" t="s">
        <v>1569</v>
      </c>
      <c r="O83" s="1119">
        <v>0</v>
      </c>
      <c r="P83" s="2017">
        <v>0</v>
      </c>
      <c r="Q83" s="1980">
        <v>0</v>
      </c>
      <c r="R83" s="1980">
        <v>0</v>
      </c>
      <c r="S83" s="1980">
        <v>0</v>
      </c>
      <c r="T83" s="1980">
        <v>0</v>
      </c>
      <c r="U83" s="2036">
        <v>0</v>
      </c>
    </row>
    <row r="84" spans="2:21" hidden="1" outlineLevel="2">
      <c r="B84" s="2325"/>
      <c r="C84" s="2035"/>
      <c r="D84" s="1051">
        <f t="shared" si="8"/>
        <v>13</v>
      </c>
      <c r="E84" s="1051" t="str">
        <f>IF(COUNTIF(E$46:E83,F84)&gt;0,"",F84)</f>
        <v/>
      </c>
      <c r="F84" s="1051" t="str">
        <f t="shared" si="9"/>
        <v>Voiture particulière - entrée de gamme - véhicule léger - Hybride rechargeable avec alimentation auxilliaire de puissance, France continentale, Base Carbone</v>
      </c>
      <c r="G84" s="1055" t="str">
        <f t="shared" si="10"/>
        <v>Voiture particulière - entrée de gamme - véhicule léger - Hybride rechargeable avec alimentation auxilliaire de puissance, France continentale, Base Carbone; kgCO2e/km, Amont</v>
      </c>
      <c r="I84" s="2018" t="s">
        <v>3949</v>
      </c>
      <c r="J84" s="2046" t="s">
        <v>2222</v>
      </c>
      <c r="K84" s="1135" t="s">
        <v>1567</v>
      </c>
      <c r="L84" s="1135" t="s">
        <v>1571</v>
      </c>
      <c r="M84" s="2062">
        <v>0.7</v>
      </c>
      <c r="N84" s="1119" t="s">
        <v>1570</v>
      </c>
      <c r="O84" s="1119">
        <v>1.44E-2</v>
      </c>
      <c r="P84" s="2017">
        <v>1.44E-2</v>
      </c>
      <c r="Q84" s="1980">
        <v>0</v>
      </c>
      <c r="R84" s="1980">
        <v>0</v>
      </c>
      <c r="S84" s="1980">
        <v>0</v>
      </c>
      <c r="T84" s="1980">
        <v>0</v>
      </c>
      <c r="U84" s="2036">
        <v>0</v>
      </c>
    </row>
    <row r="85" spans="2:21" hidden="1" outlineLevel="2">
      <c r="B85" s="2325"/>
      <c r="C85" s="2035"/>
      <c r="D85" s="1051">
        <f t="shared" si="8"/>
        <v>13</v>
      </c>
      <c r="E85" s="1051" t="str">
        <f>IF(COUNTIF(E$46:E84,F85)&gt;0,"",F85)</f>
        <v/>
      </c>
      <c r="F85" s="1051" t="str">
        <f t="shared" si="9"/>
        <v>Voiture particulière - entrée de gamme - véhicule léger - Hybride rechargeable avec alimentation auxilliaire de puissance, France continentale, Base Carbone</v>
      </c>
      <c r="G85" s="1055" t="str">
        <f t="shared" si="10"/>
        <v>Voiture particulière - entrée de gamme - véhicule léger - Hybride rechargeable avec alimentation auxilliaire de puissance, France continentale, Base Carbone; kgCO2e/km, Fabrication</v>
      </c>
      <c r="I85" s="2018" t="s">
        <v>3949</v>
      </c>
      <c r="J85" s="2046" t="s">
        <v>2222</v>
      </c>
      <c r="K85" s="1135" t="s">
        <v>1567</v>
      </c>
      <c r="L85" s="1135" t="s">
        <v>1571</v>
      </c>
      <c r="M85" s="2062">
        <v>0.7</v>
      </c>
      <c r="N85" s="1119" t="s">
        <v>332</v>
      </c>
      <c r="O85" s="1119">
        <v>5.7299999999999997E-2</v>
      </c>
      <c r="P85" s="2017">
        <v>5.7299999999999997E-2</v>
      </c>
      <c r="Q85" s="1980">
        <v>0</v>
      </c>
      <c r="R85" s="1980">
        <v>0</v>
      </c>
      <c r="S85" s="1980">
        <v>0</v>
      </c>
      <c r="T85" s="1980">
        <v>0</v>
      </c>
      <c r="U85" s="2036">
        <v>0</v>
      </c>
    </row>
    <row r="86" spans="2:21" hidden="1" outlineLevel="2">
      <c r="B86" s="2325"/>
      <c r="C86" s="2035"/>
      <c r="D86" s="1051">
        <f t="shared" si="8"/>
        <v>14</v>
      </c>
      <c r="E86" s="1051" t="str">
        <f>IF(COUNTIF(E$46:E85,F86)&gt;0,"",F86)</f>
        <v>Voiture particulière - entrée de gamme - véhicule léger - Hybride, mild essence, France continentale, Base Carbone</v>
      </c>
      <c r="F86" s="1051" t="str">
        <f t="shared" si="9"/>
        <v>Voiture particulière - entrée de gamme - véhicule léger - Hybride, mild essence, France continentale, Base Carbone</v>
      </c>
      <c r="G86" s="1055" t="str">
        <f t="shared" si="10"/>
        <v>Voiture particulière - entrée de gamme - véhicule léger - Hybride, mild essence, France continentale, Base Carbone; kgCO2e/km, Combustion</v>
      </c>
      <c r="I86" s="2018" t="s">
        <v>3950</v>
      </c>
      <c r="J86" s="2046" t="s">
        <v>2222</v>
      </c>
      <c r="K86" s="1135" t="s">
        <v>1567</v>
      </c>
      <c r="L86" s="1135" t="s">
        <v>1571</v>
      </c>
      <c r="M86" s="2062">
        <v>0.7</v>
      </c>
      <c r="N86" s="1119" t="s">
        <v>1569</v>
      </c>
      <c r="O86" s="1119">
        <v>0.113</v>
      </c>
      <c r="P86" s="2017">
        <v>0.113</v>
      </c>
      <c r="Q86" s="1980">
        <v>0</v>
      </c>
      <c r="R86" s="1980">
        <v>0</v>
      </c>
      <c r="S86" s="1980">
        <v>0</v>
      </c>
      <c r="T86" s="1980">
        <v>0</v>
      </c>
      <c r="U86" s="2036">
        <v>0</v>
      </c>
    </row>
    <row r="87" spans="2:21" hidden="1" outlineLevel="2">
      <c r="B87" s="2325"/>
      <c r="C87" s="2035"/>
      <c r="D87" s="1051">
        <f t="shared" si="8"/>
        <v>14</v>
      </c>
      <c r="E87" s="1051" t="str">
        <f>IF(COUNTIF(E$46:E86,F87)&gt;0,"",F87)</f>
        <v/>
      </c>
      <c r="F87" s="1051" t="str">
        <f t="shared" si="9"/>
        <v>Voiture particulière - entrée de gamme - véhicule léger - Hybride, mild essence, France continentale, Base Carbone</v>
      </c>
      <c r="G87" s="1055" t="str">
        <f t="shared" si="10"/>
        <v>Voiture particulière - entrée de gamme - véhicule léger - Hybride, mild essence, France continentale, Base Carbone; kgCO2e/km, Amont</v>
      </c>
      <c r="I87" s="2018" t="s">
        <v>3950</v>
      </c>
      <c r="J87" s="2046" t="s">
        <v>2222</v>
      </c>
      <c r="K87" s="1135" t="s">
        <v>1567</v>
      </c>
      <c r="L87" s="1135" t="s">
        <v>1571</v>
      </c>
      <c r="M87" s="2062">
        <v>0.7</v>
      </c>
      <c r="N87" s="1119" t="s">
        <v>1570</v>
      </c>
      <c r="O87" s="1119">
        <v>2.24E-2</v>
      </c>
      <c r="P87" s="2017">
        <v>2.24E-2</v>
      </c>
      <c r="Q87" s="1980">
        <v>0</v>
      </c>
      <c r="R87" s="1980">
        <v>0</v>
      </c>
      <c r="S87" s="1980">
        <v>0</v>
      </c>
      <c r="T87" s="1980">
        <v>0</v>
      </c>
      <c r="U87" s="2036">
        <v>0</v>
      </c>
    </row>
    <row r="88" spans="2:21" hidden="1" outlineLevel="2">
      <c r="B88" s="1050"/>
      <c r="C88" s="1050"/>
      <c r="D88" s="1051">
        <f t="shared" si="8"/>
        <v>14</v>
      </c>
      <c r="E88" s="1051" t="str">
        <f>IF(COUNTIF(E$46:E87,F88)&gt;0,"",F88)</f>
        <v/>
      </c>
      <c r="F88" s="1051" t="str">
        <f t="shared" si="9"/>
        <v>Voiture particulière - entrée de gamme - véhicule léger - Hybride, mild essence, France continentale, Base Carbone</v>
      </c>
      <c r="G88" s="1055" t="str">
        <f t="shared" si="10"/>
        <v>Voiture particulière - entrée de gamme - véhicule léger - Hybride, mild essence, France continentale, Base Carbone; kgCO2e/km, Fabrication</v>
      </c>
      <c r="I88" s="2018" t="s">
        <v>3950</v>
      </c>
      <c r="J88" s="2046" t="s">
        <v>2222</v>
      </c>
      <c r="K88" s="1135" t="s">
        <v>1567</v>
      </c>
      <c r="L88" s="1135" t="s">
        <v>1571</v>
      </c>
      <c r="M88" s="2062">
        <v>0.7</v>
      </c>
      <c r="N88" s="1119" t="s">
        <v>332</v>
      </c>
      <c r="O88" s="1119">
        <v>3.61E-2</v>
      </c>
      <c r="P88" s="2017">
        <v>3.61E-2</v>
      </c>
      <c r="Q88" s="1980">
        <v>0</v>
      </c>
      <c r="R88" s="1980">
        <v>0</v>
      </c>
      <c r="S88" s="1980">
        <v>0</v>
      </c>
      <c r="T88" s="1980">
        <v>0</v>
      </c>
      <c r="U88" s="2036">
        <v>0</v>
      </c>
    </row>
    <row r="89" spans="2:21" hidden="1" outlineLevel="2">
      <c r="B89" s="1050"/>
      <c r="C89" s="1050"/>
      <c r="D89" s="1051">
        <f t="shared" si="8"/>
        <v>15</v>
      </c>
      <c r="E89" s="1051" t="str">
        <f>IF(COUNTIF(E$46:E88,F89)&gt;0,"",F89)</f>
        <v>Voiture particulière - haut de gamme - berline - électrique, France continentale, Base Carbone</v>
      </c>
      <c r="F89" s="1051" t="str">
        <f t="shared" si="9"/>
        <v>Voiture particulière - haut de gamme - berline - électrique, France continentale, Base Carbone</v>
      </c>
      <c r="G89" s="1055" t="str">
        <f t="shared" si="10"/>
        <v>Voiture particulière - haut de gamme - berline - électrique, France continentale, Base Carbone; kgCO2e/km, Combustion</v>
      </c>
      <c r="I89" s="2018" t="s">
        <v>3951</v>
      </c>
      <c r="J89" s="2046" t="s">
        <v>2222</v>
      </c>
      <c r="K89" s="1135" t="s">
        <v>1567</v>
      </c>
      <c r="L89" s="1135" t="s">
        <v>1571</v>
      </c>
      <c r="M89" s="2062">
        <v>0.7</v>
      </c>
      <c r="N89" s="1119" t="s">
        <v>1569</v>
      </c>
      <c r="O89" s="1119">
        <v>0</v>
      </c>
      <c r="P89" s="2017">
        <v>0</v>
      </c>
      <c r="Q89" s="1980">
        <v>0</v>
      </c>
      <c r="R89" s="1980">
        <v>0</v>
      </c>
      <c r="S89" s="1980">
        <v>0</v>
      </c>
      <c r="T89" s="1980">
        <v>0</v>
      </c>
      <c r="U89" s="2036">
        <v>0</v>
      </c>
    </row>
    <row r="90" spans="2:21" hidden="1" outlineLevel="2">
      <c r="B90" s="1050"/>
      <c r="C90" s="1050"/>
      <c r="D90" s="1051">
        <f t="shared" si="8"/>
        <v>15</v>
      </c>
      <c r="E90" s="1051" t="str">
        <f>IF(COUNTIF(E$46:E89,F90)&gt;0,"",F90)</f>
        <v/>
      </c>
      <c r="F90" s="1051" t="str">
        <f t="shared" si="9"/>
        <v>Voiture particulière - haut de gamme - berline - électrique, France continentale, Base Carbone</v>
      </c>
      <c r="G90" s="1055" t="str">
        <f t="shared" si="10"/>
        <v>Voiture particulière - haut de gamme - berline - électrique, France continentale, Base Carbone; kgCO2e/km, Amont</v>
      </c>
      <c r="I90" s="2018" t="s">
        <v>3951</v>
      </c>
      <c r="J90" s="2046" t="s">
        <v>2222</v>
      </c>
      <c r="K90" s="1135" t="s">
        <v>1567</v>
      </c>
      <c r="L90" s="1135" t="s">
        <v>1571</v>
      </c>
      <c r="M90" s="2062">
        <v>0.7</v>
      </c>
      <c r="N90" s="1119" t="s">
        <v>1570</v>
      </c>
      <c r="O90" s="1119">
        <v>2.7300000000000001E-2</v>
      </c>
      <c r="P90" s="2017">
        <v>2.7300000000000001E-2</v>
      </c>
      <c r="Q90" s="1980">
        <v>0</v>
      </c>
      <c r="R90" s="1980">
        <v>0</v>
      </c>
      <c r="S90" s="1980">
        <v>0</v>
      </c>
      <c r="T90" s="1980">
        <v>0</v>
      </c>
      <c r="U90" s="2036">
        <v>0</v>
      </c>
    </row>
    <row r="91" spans="2:21" hidden="1" outlineLevel="2">
      <c r="B91" s="1050"/>
      <c r="C91" s="1050"/>
      <c r="D91" s="1051">
        <f t="shared" si="8"/>
        <v>15</v>
      </c>
      <c r="E91" s="1051" t="str">
        <f>IF(COUNTIF(E$46:E90,F91)&gt;0,"",F91)</f>
        <v/>
      </c>
      <c r="F91" s="1051" t="str">
        <f t="shared" si="9"/>
        <v>Voiture particulière - haut de gamme - berline - électrique, France continentale, Base Carbone</v>
      </c>
      <c r="G91" s="1055" t="str">
        <f t="shared" si="10"/>
        <v>Voiture particulière - haut de gamme - berline - électrique, France continentale, Base Carbone; kgCO2e/km, Fabrication</v>
      </c>
      <c r="I91" s="2018" t="s">
        <v>3951</v>
      </c>
      <c r="J91" s="2046" t="s">
        <v>2222</v>
      </c>
      <c r="K91" s="1135" t="s">
        <v>1567</v>
      </c>
      <c r="L91" s="1135" t="s">
        <v>1571</v>
      </c>
      <c r="M91" s="2062">
        <v>0.7</v>
      </c>
      <c r="N91" s="1119" t="s">
        <v>332</v>
      </c>
      <c r="O91" s="1119">
        <v>0.112</v>
      </c>
      <c r="P91" s="2017">
        <v>0.112</v>
      </c>
      <c r="Q91" s="1980">
        <v>0</v>
      </c>
      <c r="R91" s="1980">
        <v>0</v>
      </c>
      <c r="S91" s="1980">
        <v>0</v>
      </c>
      <c r="T91" s="1980">
        <v>0</v>
      </c>
      <c r="U91" s="2036">
        <v>0</v>
      </c>
    </row>
    <row r="92" spans="2:21" hidden="1" outlineLevel="2">
      <c r="B92" s="1050"/>
      <c r="C92" s="1050"/>
      <c r="D92" s="1051">
        <f t="shared" si="8"/>
        <v>16</v>
      </c>
      <c r="E92" s="1051" t="str">
        <f>IF(COUNTIF(E$46:E91,F92)&gt;0,"",F92)</f>
        <v>Voiture particulière - haut de gamme - berline - Hybride rechargeable, plug in-hybrid, P2 / Prius, France continentale, Base Carbone</v>
      </c>
      <c r="F92" s="1051" t="str">
        <f t="shared" si="9"/>
        <v>Voiture particulière - haut de gamme - berline - Hybride rechargeable, plug in-hybrid, P2 / Prius, France continentale, Base Carbone</v>
      </c>
      <c r="G92" s="1055" t="str">
        <f t="shared" si="10"/>
        <v>Voiture particulière - haut de gamme - berline - Hybride rechargeable, plug in-hybrid, P2 / Prius, France continentale, Base Carbone; kgCO2e/km, Combustion</v>
      </c>
      <c r="I92" s="2018" t="s">
        <v>3952</v>
      </c>
      <c r="J92" s="2046" t="s">
        <v>2222</v>
      </c>
      <c r="K92" s="1135" t="s">
        <v>1567</v>
      </c>
      <c r="L92" s="1135" t="s">
        <v>1571</v>
      </c>
      <c r="M92" s="2062">
        <v>0.7</v>
      </c>
      <c r="N92" s="1119" t="s">
        <v>1569</v>
      </c>
      <c r="O92" s="1119">
        <v>0</v>
      </c>
      <c r="P92" s="2017">
        <v>0</v>
      </c>
      <c r="Q92" s="1980">
        <v>0</v>
      </c>
      <c r="R92" s="1980">
        <v>0</v>
      </c>
      <c r="S92" s="1980">
        <v>0</v>
      </c>
      <c r="T92" s="1980">
        <v>0</v>
      </c>
      <c r="U92" s="2036">
        <v>0</v>
      </c>
    </row>
    <row r="93" spans="2:21" hidden="1" outlineLevel="2">
      <c r="B93" s="1050"/>
      <c r="C93" s="1050"/>
      <c r="D93" s="1051">
        <f t="shared" si="8"/>
        <v>16</v>
      </c>
      <c r="E93" s="1051" t="str">
        <f>IF(COUNTIF(E$46:E92,F93)&gt;0,"",F93)</f>
        <v/>
      </c>
      <c r="F93" s="1051" t="str">
        <f t="shared" si="9"/>
        <v>Voiture particulière - haut de gamme - berline - Hybride rechargeable, plug in-hybrid, P2 / Prius, France continentale, Base Carbone</v>
      </c>
      <c r="G93" s="1055" t="str">
        <f t="shared" si="10"/>
        <v>Voiture particulière - haut de gamme - berline - Hybride rechargeable, plug in-hybrid, P2 / Prius, France continentale, Base Carbone; kgCO2e/km, Amont</v>
      </c>
      <c r="I93" s="2018" t="s">
        <v>3952</v>
      </c>
      <c r="J93" s="2046" t="s">
        <v>2222</v>
      </c>
      <c r="K93" s="1135" t="s">
        <v>1567</v>
      </c>
      <c r="L93" s="1135" t="s">
        <v>1571</v>
      </c>
      <c r="M93" s="2062">
        <v>0.7</v>
      </c>
      <c r="N93" s="1119" t="s">
        <v>1570</v>
      </c>
      <c r="O93" s="1119">
        <v>2.35E-2</v>
      </c>
      <c r="P93" s="2017">
        <v>2.35E-2</v>
      </c>
      <c r="Q93" s="1980">
        <v>0</v>
      </c>
      <c r="R93" s="1980">
        <v>0</v>
      </c>
      <c r="S93" s="1980">
        <v>0</v>
      </c>
      <c r="T93" s="1980">
        <v>0</v>
      </c>
      <c r="U93" s="2036">
        <v>0</v>
      </c>
    </row>
    <row r="94" spans="2:21" hidden="1" outlineLevel="2">
      <c r="B94" s="1050"/>
      <c r="C94" s="1050"/>
      <c r="D94" s="1051">
        <f t="shared" si="8"/>
        <v>16</v>
      </c>
      <c r="E94" s="1051" t="str">
        <f>IF(COUNTIF(E$46:E93,F94)&gt;0,"",F94)</f>
        <v/>
      </c>
      <c r="F94" s="1051" t="str">
        <f t="shared" si="9"/>
        <v>Voiture particulière - haut de gamme - berline - Hybride rechargeable, plug in-hybrid, P2 / Prius, France continentale, Base Carbone</v>
      </c>
      <c r="G94" s="1055" t="str">
        <f t="shared" si="10"/>
        <v>Voiture particulière - haut de gamme - berline - Hybride rechargeable, plug in-hybrid, P2 / Prius, France continentale, Base Carbone; kgCO2e/km, Fabrication</v>
      </c>
      <c r="I94" s="2018" t="s">
        <v>3952</v>
      </c>
      <c r="J94" s="2046" t="s">
        <v>2222</v>
      </c>
      <c r="K94" s="1135" t="s">
        <v>1567</v>
      </c>
      <c r="L94" s="1135" t="s">
        <v>1571</v>
      </c>
      <c r="M94" s="2062">
        <v>0.7</v>
      </c>
      <c r="N94" s="1119" t="s">
        <v>332</v>
      </c>
      <c r="O94" s="1119">
        <v>7.8700000000000006E-2</v>
      </c>
      <c r="P94" s="2017">
        <v>7.8700000000000006E-2</v>
      </c>
      <c r="Q94" s="1980">
        <v>0</v>
      </c>
      <c r="R94" s="1980">
        <v>0</v>
      </c>
      <c r="S94" s="1980">
        <v>0</v>
      </c>
      <c r="T94" s="1980">
        <v>0</v>
      </c>
      <c r="U94" s="2036">
        <v>0</v>
      </c>
    </row>
    <row r="95" spans="2:21" hidden="1" outlineLevel="2">
      <c r="B95" s="1050"/>
      <c r="C95" s="1050"/>
      <c r="D95" s="1051">
        <f t="shared" si="8"/>
        <v>17</v>
      </c>
      <c r="E95" s="1051" t="str">
        <f>IF(COUNTIF(E$46:E94,F95)&gt;0,"",F95)</f>
        <v>Voiture particulière - haut de gamme - berline - Hybride, full P2, France continentale, Base Carbone</v>
      </c>
      <c r="F95" s="1051" t="str">
        <f t="shared" si="9"/>
        <v>Voiture particulière - haut de gamme - berline - Hybride, full P2, France continentale, Base Carbone</v>
      </c>
      <c r="G95" s="1055" t="str">
        <f t="shared" si="10"/>
        <v>Voiture particulière - haut de gamme - berline - Hybride, full P2, France continentale, Base Carbone; kgCO2e/km, Combustion</v>
      </c>
      <c r="I95" s="2018" t="s">
        <v>3953</v>
      </c>
      <c r="J95" s="2046" t="s">
        <v>2222</v>
      </c>
      <c r="K95" s="1135" t="s">
        <v>1567</v>
      </c>
      <c r="L95" s="1135" t="s">
        <v>1571</v>
      </c>
      <c r="M95" s="2062">
        <v>0.7</v>
      </c>
      <c r="N95" s="1119" t="s">
        <v>1569</v>
      </c>
      <c r="O95" s="1119">
        <v>0.14899999999999999</v>
      </c>
      <c r="P95" s="2017">
        <v>0.14899999999999999</v>
      </c>
      <c r="Q95" s="1980">
        <v>0</v>
      </c>
      <c r="R95" s="1980">
        <v>0</v>
      </c>
      <c r="S95" s="1980">
        <v>0</v>
      </c>
      <c r="T95" s="1980">
        <v>0</v>
      </c>
      <c r="U95" s="2036">
        <v>0</v>
      </c>
    </row>
    <row r="96" spans="2:21" hidden="1" outlineLevel="2">
      <c r="B96" s="1050"/>
      <c r="C96" s="1050"/>
      <c r="D96" s="1051">
        <f t="shared" si="8"/>
        <v>17</v>
      </c>
      <c r="E96" s="1051" t="str">
        <f>IF(COUNTIF(E$46:E95,F96)&gt;0,"",F96)</f>
        <v/>
      </c>
      <c r="F96" s="1051" t="str">
        <f t="shared" si="9"/>
        <v>Voiture particulière - haut de gamme - berline - Hybride, full P2, France continentale, Base Carbone</v>
      </c>
      <c r="G96" s="1055" t="str">
        <f t="shared" si="10"/>
        <v>Voiture particulière - haut de gamme - berline - Hybride, full P2, France continentale, Base Carbone; kgCO2e/km, Amont</v>
      </c>
      <c r="I96" s="2018" t="s">
        <v>3953</v>
      </c>
      <c r="J96" s="2046" t="s">
        <v>2222</v>
      </c>
      <c r="K96" s="1135" t="s">
        <v>1567</v>
      </c>
      <c r="L96" s="1135" t="s">
        <v>1571</v>
      </c>
      <c r="M96" s="2062">
        <v>0.7</v>
      </c>
      <c r="N96" s="1119" t="s">
        <v>1570</v>
      </c>
      <c r="O96" s="1119">
        <v>4.02E-2</v>
      </c>
      <c r="P96" s="2017">
        <v>4.02E-2</v>
      </c>
      <c r="Q96" s="1980">
        <v>0</v>
      </c>
      <c r="R96" s="1980">
        <v>0</v>
      </c>
      <c r="S96" s="1980">
        <v>0</v>
      </c>
      <c r="T96" s="1980">
        <v>0</v>
      </c>
      <c r="U96" s="2036">
        <v>0</v>
      </c>
    </row>
    <row r="97" spans="2:21" hidden="1" outlineLevel="2">
      <c r="B97" s="1050"/>
      <c r="C97" s="1050"/>
      <c r="D97" s="1051">
        <f t="shared" si="8"/>
        <v>17</v>
      </c>
      <c r="E97" s="1051" t="str">
        <f>IF(COUNTIF(E$46:E96,F97)&gt;0,"",F97)</f>
        <v/>
      </c>
      <c r="F97" s="1051" t="str">
        <f t="shared" si="9"/>
        <v>Voiture particulière - haut de gamme - berline - Hybride, full P2, France continentale, Base Carbone</v>
      </c>
      <c r="G97" s="1055" t="str">
        <f t="shared" si="10"/>
        <v>Voiture particulière - haut de gamme - berline - Hybride, full P2, France continentale, Base Carbone; kgCO2e/km, Fabrication</v>
      </c>
      <c r="I97" s="2018" t="s">
        <v>3953</v>
      </c>
      <c r="J97" s="2046" t="s">
        <v>2222</v>
      </c>
      <c r="K97" s="1135" t="s">
        <v>1567</v>
      </c>
      <c r="L97" s="1135" t="s">
        <v>1571</v>
      </c>
      <c r="M97" s="2062">
        <v>0.7</v>
      </c>
      <c r="N97" s="1119" t="s">
        <v>332</v>
      </c>
      <c r="O97" s="1119">
        <v>6.6400000000000001E-2</v>
      </c>
      <c r="P97" s="2017">
        <v>6.6400000000000001E-2</v>
      </c>
      <c r="Q97" s="1980">
        <v>0</v>
      </c>
      <c r="R97" s="1980">
        <v>0</v>
      </c>
      <c r="S97" s="1980">
        <v>0</v>
      </c>
      <c r="T97" s="1980">
        <v>0</v>
      </c>
      <c r="U97" s="2036">
        <v>0</v>
      </c>
    </row>
    <row r="98" spans="2:21" hidden="1" outlineLevel="2">
      <c r="B98" s="1050"/>
      <c r="C98" s="1050"/>
      <c r="D98" s="1051">
        <f t="shared" si="8"/>
        <v>18</v>
      </c>
      <c r="E98" s="1051" t="str">
        <f>IF(COUNTIF(E$46:E97,F98)&gt;0,"",F98)</f>
        <v>Voiture particulière - haut de gamme - berline - Hybride, full Prius, France continentale, Base Carbone</v>
      </c>
      <c r="F98" s="1051" t="str">
        <f t="shared" si="9"/>
        <v>Voiture particulière - haut de gamme - berline - Hybride, full Prius, France continentale, Base Carbone</v>
      </c>
      <c r="G98" s="1055" t="str">
        <f t="shared" si="10"/>
        <v>Voiture particulière - haut de gamme - berline - Hybride, full Prius, France continentale, Base Carbone; kgCO2e/km, Combustion</v>
      </c>
      <c r="I98" s="2018" t="s">
        <v>3954</v>
      </c>
      <c r="J98" s="2046" t="s">
        <v>2222</v>
      </c>
      <c r="K98" s="1135" t="s">
        <v>1567</v>
      </c>
      <c r="L98" s="1135" t="s">
        <v>1571</v>
      </c>
      <c r="M98" s="2062">
        <v>0.7</v>
      </c>
      <c r="N98" s="1119" t="s">
        <v>1569</v>
      </c>
      <c r="O98" s="1119">
        <v>0.111</v>
      </c>
      <c r="P98" s="2017">
        <v>0.111</v>
      </c>
      <c r="Q98" s="1980">
        <v>0</v>
      </c>
      <c r="R98" s="1980">
        <v>0</v>
      </c>
      <c r="S98" s="1980">
        <v>0</v>
      </c>
      <c r="T98" s="1980">
        <v>0</v>
      </c>
      <c r="U98" s="2036">
        <v>0</v>
      </c>
    </row>
    <row r="99" spans="2:21" hidden="1" outlineLevel="2">
      <c r="B99" s="1050"/>
      <c r="C99" s="1050"/>
      <c r="D99" s="1051">
        <f t="shared" si="8"/>
        <v>18</v>
      </c>
      <c r="E99" s="1051" t="str">
        <f>IF(COUNTIF(E$46:E98,F99)&gt;0,"",F99)</f>
        <v/>
      </c>
      <c r="F99" s="1051" t="str">
        <f t="shared" si="9"/>
        <v>Voiture particulière - haut de gamme - berline - Hybride, full Prius, France continentale, Base Carbone</v>
      </c>
      <c r="G99" s="1055" t="str">
        <f t="shared" si="10"/>
        <v>Voiture particulière - haut de gamme - berline - Hybride, full Prius, France continentale, Base Carbone; kgCO2e/km, Amont</v>
      </c>
      <c r="I99" s="2018" t="s">
        <v>3954</v>
      </c>
      <c r="J99" s="2046" t="s">
        <v>2222</v>
      </c>
      <c r="K99" s="1135" t="s">
        <v>1567</v>
      </c>
      <c r="L99" s="1135" t="s">
        <v>1571</v>
      </c>
      <c r="M99" s="2062">
        <v>0.7</v>
      </c>
      <c r="N99" s="1119" t="s">
        <v>1570</v>
      </c>
      <c r="O99" s="1119">
        <v>0.03</v>
      </c>
      <c r="P99" s="2017">
        <v>0.03</v>
      </c>
      <c r="Q99" s="1980">
        <v>0</v>
      </c>
      <c r="R99" s="1980">
        <v>0</v>
      </c>
      <c r="S99" s="1980">
        <v>0</v>
      </c>
      <c r="T99" s="1980">
        <v>0</v>
      </c>
      <c r="U99" s="2036">
        <v>0</v>
      </c>
    </row>
    <row r="100" spans="2:21" hidden="1" outlineLevel="2">
      <c r="B100" s="1050"/>
      <c r="C100" s="1050"/>
      <c r="D100" s="1051">
        <f t="shared" si="8"/>
        <v>18</v>
      </c>
      <c r="E100" s="1051" t="str">
        <f>IF(COUNTIF(E$46:E99,F100)&gt;0,"",F100)</f>
        <v/>
      </c>
      <c r="F100" s="1051" t="str">
        <f t="shared" si="9"/>
        <v>Voiture particulière - haut de gamme - berline - Hybride, full Prius, France continentale, Base Carbone</v>
      </c>
      <c r="G100" s="1055" t="str">
        <f t="shared" si="10"/>
        <v>Voiture particulière - haut de gamme - berline - Hybride, full Prius, France continentale, Base Carbone; kgCO2e/km, Fabrication</v>
      </c>
      <c r="I100" s="2018" t="s">
        <v>3954</v>
      </c>
      <c r="J100" s="2046" t="s">
        <v>2222</v>
      </c>
      <c r="K100" s="1135" t="s">
        <v>1567</v>
      </c>
      <c r="L100" s="1135" t="s">
        <v>1571</v>
      </c>
      <c r="M100" s="2062">
        <v>0.7</v>
      </c>
      <c r="N100" s="1119" t="s">
        <v>332</v>
      </c>
      <c r="O100" s="1119">
        <v>6.6199999999999995E-2</v>
      </c>
      <c r="P100" s="2017">
        <v>6.6199999999999995E-2</v>
      </c>
      <c r="Q100" s="1980">
        <v>0</v>
      </c>
      <c r="R100" s="1980">
        <v>0</v>
      </c>
      <c r="S100" s="1980">
        <v>0</v>
      </c>
      <c r="T100" s="1980">
        <v>0</v>
      </c>
      <c r="U100" s="2036">
        <v>0</v>
      </c>
    </row>
    <row r="101" spans="2:21" hidden="1" outlineLevel="2">
      <c r="B101" s="1050"/>
      <c r="C101" s="1050"/>
      <c r="D101" s="1051">
        <f t="shared" si="8"/>
        <v>19</v>
      </c>
      <c r="E101" s="1051" t="str">
        <f>IF(COUNTIF(E$46:E100,F101)&gt;0,"",F101)</f>
        <v>Voiture particulière - haut de gamme - berline - Hybride, mild diesel, France continentale, Base Carbone</v>
      </c>
      <c r="F101" s="1051" t="str">
        <f t="shared" si="9"/>
        <v>Voiture particulière - haut de gamme - berline - Hybride, mild diesel, France continentale, Base Carbone</v>
      </c>
      <c r="G101" s="1055" t="str">
        <f t="shared" si="10"/>
        <v>Voiture particulière - haut de gamme - berline - Hybride, mild diesel, France continentale, Base Carbone; kgCO2e/km, Combustion</v>
      </c>
      <c r="I101" s="2018" t="s">
        <v>3955</v>
      </c>
      <c r="J101" s="2046" t="s">
        <v>2222</v>
      </c>
      <c r="K101" s="1135" t="s">
        <v>1567</v>
      </c>
      <c r="L101" s="1135" t="s">
        <v>1571</v>
      </c>
      <c r="M101" s="2062">
        <v>0.7</v>
      </c>
      <c r="N101" s="1119" t="s">
        <v>1569</v>
      </c>
      <c r="O101" s="1119">
        <v>0.186</v>
      </c>
      <c r="P101" s="2017">
        <v>0.186</v>
      </c>
      <c r="Q101" s="1980">
        <v>0</v>
      </c>
      <c r="R101" s="1980">
        <v>0</v>
      </c>
      <c r="S101" s="1980">
        <v>0</v>
      </c>
      <c r="T101" s="1980">
        <v>0</v>
      </c>
      <c r="U101" s="2036">
        <v>0</v>
      </c>
    </row>
    <row r="102" spans="2:21" hidden="1" outlineLevel="2">
      <c r="B102" s="1050"/>
      <c r="C102" s="1050"/>
      <c r="D102" s="1051">
        <f t="shared" si="8"/>
        <v>19</v>
      </c>
      <c r="E102" s="1051" t="str">
        <f>IF(COUNTIF(E$46:E101,F102)&gt;0,"",F102)</f>
        <v/>
      </c>
      <c r="F102" s="1051" t="str">
        <f t="shared" si="9"/>
        <v>Voiture particulière - haut de gamme - berline - Hybride, mild diesel, France continentale, Base Carbone</v>
      </c>
      <c r="G102" s="1055" t="str">
        <f t="shared" si="10"/>
        <v>Voiture particulière - haut de gamme - berline - Hybride, mild diesel, France continentale, Base Carbone; kgCO2e/km, Amont</v>
      </c>
      <c r="I102" s="2018" t="s">
        <v>3955</v>
      </c>
      <c r="J102" s="2046" t="s">
        <v>2222</v>
      </c>
      <c r="K102" s="1135" t="s">
        <v>1567</v>
      </c>
      <c r="L102" s="1135" t="s">
        <v>1571</v>
      </c>
      <c r="M102" s="2062">
        <v>0.7</v>
      </c>
      <c r="N102" s="1119" t="s">
        <v>1570</v>
      </c>
      <c r="O102" s="1119">
        <v>3.6900000000000002E-2</v>
      </c>
      <c r="P102" s="2017">
        <v>3.6900000000000002E-2</v>
      </c>
      <c r="Q102" s="1980">
        <v>0</v>
      </c>
      <c r="R102" s="1980">
        <v>0</v>
      </c>
      <c r="S102" s="1980">
        <v>0</v>
      </c>
      <c r="T102" s="1980">
        <v>0</v>
      </c>
      <c r="U102" s="2036">
        <v>0</v>
      </c>
    </row>
    <row r="103" spans="2:21" hidden="1" outlineLevel="2">
      <c r="B103" s="1050"/>
      <c r="C103" s="1050"/>
      <c r="D103" s="1051">
        <f t="shared" si="8"/>
        <v>19</v>
      </c>
      <c r="E103" s="1051" t="str">
        <f>IF(COUNTIF(E$46:E102,F103)&gt;0,"",F103)</f>
        <v/>
      </c>
      <c r="F103" s="1051" t="str">
        <f t="shared" si="9"/>
        <v>Voiture particulière - haut de gamme - berline - Hybride, mild diesel, France continentale, Base Carbone</v>
      </c>
      <c r="G103" s="1055" t="str">
        <f t="shared" si="10"/>
        <v>Voiture particulière - haut de gamme - berline - Hybride, mild diesel, France continentale, Base Carbone; kgCO2e/km, Fabrication</v>
      </c>
      <c r="I103" s="2018" t="s">
        <v>3955</v>
      </c>
      <c r="J103" s="2046" t="s">
        <v>2222</v>
      </c>
      <c r="K103" s="1135" t="s">
        <v>1567</v>
      </c>
      <c r="L103" s="1135" t="s">
        <v>1571</v>
      </c>
      <c r="M103" s="2062">
        <v>0.7</v>
      </c>
      <c r="N103" s="1119" t="s">
        <v>332</v>
      </c>
      <c r="O103" s="1119">
        <v>5.3800000000000001E-2</v>
      </c>
      <c r="P103" s="2017">
        <v>5.3800000000000001E-2</v>
      </c>
      <c r="Q103" s="1980">
        <v>0</v>
      </c>
      <c r="R103" s="1980">
        <v>0</v>
      </c>
      <c r="S103" s="1980">
        <v>0</v>
      </c>
      <c r="T103" s="1980">
        <v>0</v>
      </c>
      <c r="U103" s="2036">
        <v>0</v>
      </c>
    </row>
    <row r="104" spans="2:21" hidden="1" outlineLevel="2">
      <c r="B104" s="1050"/>
      <c r="C104" s="1050"/>
      <c r="D104" s="1051">
        <f t="shared" si="8"/>
        <v>20</v>
      </c>
      <c r="E104" s="1051" t="str">
        <f>IF(COUNTIF(E$46:E103,F104)&gt;0,"",F104)</f>
        <v>Voiture particulière - haut de gamme - berline - Hybride, mild essence, France continentale, Base Carbone</v>
      </c>
      <c r="F104" s="1051" t="str">
        <f t="shared" si="9"/>
        <v>Voiture particulière - haut de gamme - berline - Hybride, mild essence, France continentale, Base Carbone</v>
      </c>
      <c r="G104" s="1055" t="str">
        <f t="shared" si="10"/>
        <v>Voiture particulière - haut de gamme - berline - Hybride, mild essence, France continentale, Base Carbone; kgCO2e/km, Combustion</v>
      </c>
      <c r="I104" s="2018" t="s">
        <v>3956</v>
      </c>
      <c r="J104" s="2046" t="s">
        <v>2222</v>
      </c>
      <c r="K104" s="1135" t="s">
        <v>1567</v>
      </c>
      <c r="L104" s="1135" t="s">
        <v>1571</v>
      </c>
      <c r="M104" s="2062">
        <v>0.7</v>
      </c>
      <c r="N104" s="1119" t="s">
        <v>1569</v>
      </c>
      <c r="O104" s="1119">
        <v>0.23200000000000001</v>
      </c>
      <c r="P104" s="2017">
        <v>0.23200000000000001</v>
      </c>
      <c r="Q104" s="1980">
        <v>0</v>
      </c>
      <c r="R104" s="1980">
        <v>0</v>
      </c>
      <c r="S104" s="1980">
        <v>0</v>
      </c>
      <c r="T104" s="1980">
        <v>0</v>
      </c>
      <c r="U104" s="2036">
        <v>0</v>
      </c>
    </row>
    <row r="105" spans="2:21" hidden="1" outlineLevel="2">
      <c r="B105" s="1050"/>
      <c r="C105" s="1050"/>
      <c r="D105" s="1051">
        <f t="shared" si="8"/>
        <v>20</v>
      </c>
      <c r="E105" s="1051" t="str">
        <f>IF(COUNTIF(E$46:E104,F105)&gt;0,"",F105)</f>
        <v/>
      </c>
      <c r="F105" s="1051" t="str">
        <f t="shared" si="9"/>
        <v>Voiture particulière - haut de gamme - berline - Hybride, mild essence, France continentale, Base Carbone</v>
      </c>
      <c r="G105" s="1055" t="str">
        <f t="shared" si="10"/>
        <v>Voiture particulière - haut de gamme - berline - Hybride, mild essence, France continentale, Base Carbone; kgCO2e/km, Amont</v>
      </c>
      <c r="I105" s="2018" t="s">
        <v>3956</v>
      </c>
      <c r="J105" s="2046" t="s">
        <v>2222</v>
      </c>
      <c r="K105" s="1135" t="s">
        <v>1567</v>
      </c>
      <c r="L105" s="1135" t="s">
        <v>1571</v>
      </c>
      <c r="M105" s="2062">
        <v>0.7</v>
      </c>
      <c r="N105" s="1119" t="s">
        <v>1570</v>
      </c>
      <c r="O105" s="1119">
        <v>6.25E-2</v>
      </c>
      <c r="P105" s="2017">
        <v>6.25E-2</v>
      </c>
      <c r="Q105" s="1980">
        <v>0</v>
      </c>
      <c r="R105" s="1980">
        <v>0</v>
      </c>
      <c r="S105" s="1980">
        <v>0</v>
      </c>
      <c r="T105" s="1980">
        <v>0</v>
      </c>
      <c r="U105" s="2036">
        <v>0</v>
      </c>
    </row>
    <row r="106" spans="2:21" hidden="1" outlineLevel="2">
      <c r="B106" s="1050"/>
      <c r="C106" s="1050"/>
      <c r="D106" s="1051">
        <f t="shared" si="8"/>
        <v>20</v>
      </c>
      <c r="E106" s="1051" t="str">
        <f>IF(COUNTIF(E$46:E105,F106)&gt;0,"",F106)</f>
        <v/>
      </c>
      <c r="F106" s="1051" t="str">
        <f t="shared" si="9"/>
        <v>Voiture particulière - haut de gamme - berline - Hybride, mild essence, France continentale, Base Carbone</v>
      </c>
      <c r="G106" s="1055" t="str">
        <f t="shared" si="10"/>
        <v>Voiture particulière - haut de gamme - berline - Hybride, mild essence, France continentale, Base Carbone; kgCO2e/km, Fabrication</v>
      </c>
      <c r="I106" s="2018" t="s">
        <v>3956</v>
      </c>
      <c r="J106" s="2046" t="s">
        <v>2222</v>
      </c>
      <c r="K106" s="1135" t="s">
        <v>1567</v>
      </c>
      <c r="L106" s="1135" t="s">
        <v>1571</v>
      </c>
      <c r="M106" s="2062">
        <v>0.7</v>
      </c>
      <c r="N106" s="1119" t="s">
        <v>332</v>
      </c>
      <c r="O106" s="1119">
        <v>5.3999999999999999E-2</v>
      </c>
      <c r="P106" s="2017">
        <v>5.3999999999999999E-2</v>
      </c>
      <c r="Q106" s="1980">
        <v>0</v>
      </c>
      <c r="R106" s="1980">
        <v>0</v>
      </c>
      <c r="S106" s="1980">
        <v>0</v>
      </c>
      <c r="T106" s="1980">
        <v>0</v>
      </c>
      <c r="U106" s="2036">
        <v>0</v>
      </c>
    </row>
    <row r="107" spans="2:21" hidden="1" outlineLevel="2">
      <c r="B107" s="1050"/>
      <c r="C107" s="1050"/>
      <c r="D107" s="1051">
        <f t="shared" si="8"/>
        <v>20</v>
      </c>
      <c r="E107" s="1051" t="str">
        <f>IF(COUNTIF(E$46:E106,F107)&gt;0,"",F107)</f>
        <v/>
      </c>
      <c r="F107" s="1051" t="str">
        <f t="shared" si="9"/>
        <v/>
      </c>
      <c r="G107" s="1055" t="str">
        <f t="shared" si="10"/>
        <v/>
      </c>
      <c r="I107" s="2018"/>
      <c r="J107" s="1135"/>
      <c r="K107" s="1135"/>
      <c r="L107" s="1135"/>
      <c r="M107" s="1135"/>
      <c r="N107" s="1135"/>
      <c r="O107" s="1135"/>
      <c r="P107" s="1135"/>
      <c r="Q107" s="1135"/>
      <c r="R107" s="1135"/>
      <c r="S107" s="1135"/>
      <c r="T107" s="1135"/>
      <c r="U107" s="2041"/>
    </row>
    <row r="108" spans="2:21" hidden="1" outlineLevel="2">
      <c r="B108" s="1050"/>
      <c r="C108" s="1050"/>
      <c r="D108" s="1051">
        <f t="shared" si="8"/>
        <v>20</v>
      </c>
      <c r="E108" s="1051" t="str">
        <f>IF(COUNTIF(E$46:E107,F108)&gt;0,"",F108)</f>
        <v/>
      </c>
      <c r="F108" s="1051" t="str">
        <f t="shared" si="9"/>
        <v/>
      </c>
      <c r="G108" s="1055" t="str">
        <f t="shared" si="10"/>
        <v/>
      </c>
      <c r="I108" s="2018"/>
      <c r="J108" s="1135"/>
      <c r="K108" s="1135"/>
      <c r="L108" s="1135"/>
      <c r="M108" s="1135"/>
      <c r="N108" s="1135"/>
      <c r="O108" s="1135"/>
      <c r="P108" s="1135"/>
      <c r="Q108" s="1135"/>
      <c r="R108" s="1135"/>
      <c r="S108" s="1135"/>
      <c r="T108" s="1135"/>
      <c r="U108" s="2041"/>
    </row>
    <row r="109" spans="2:21" hidden="1" outlineLevel="2">
      <c r="B109" s="1050"/>
      <c r="C109" s="1050"/>
      <c r="D109" s="1051">
        <f t="shared" si="8"/>
        <v>20</v>
      </c>
      <c r="E109" s="1051" t="str">
        <f>IF(COUNTIF(E$46:E108,F109)&gt;0,"",F109)</f>
        <v/>
      </c>
      <c r="F109" s="1051" t="str">
        <f t="shared" si="9"/>
        <v/>
      </c>
      <c r="G109" s="1055" t="str">
        <f t="shared" si="10"/>
        <v/>
      </c>
      <c r="I109" s="2018"/>
      <c r="J109" s="1135"/>
      <c r="K109" s="1135"/>
      <c r="L109" s="1135"/>
      <c r="M109" s="1135"/>
      <c r="N109" s="1135"/>
      <c r="O109" s="1135"/>
      <c r="P109" s="1135"/>
      <c r="Q109" s="1135"/>
      <c r="R109" s="1135"/>
      <c r="S109" s="1135"/>
      <c r="T109" s="1135"/>
      <c r="U109" s="2041"/>
    </row>
    <row r="110" spans="2:21" hidden="1" outlineLevel="2">
      <c r="B110" s="1050"/>
      <c r="C110" s="1050"/>
      <c r="D110" s="1051">
        <f t="shared" si="8"/>
        <v>20</v>
      </c>
      <c r="E110" s="1051" t="str">
        <f>IF(COUNTIF(E$46:E109,F110)&gt;0,"",F110)</f>
        <v/>
      </c>
      <c r="F110" s="1051" t="str">
        <f t="shared" si="9"/>
        <v/>
      </c>
      <c r="G110" s="1055" t="str">
        <f t="shared" si="10"/>
        <v/>
      </c>
      <c r="I110" s="2018"/>
      <c r="J110" s="1135"/>
      <c r="K110" s="1135"/>
      <c r="L110" s="1135"/>
      <c r="M110" s="1135"/>
      <c r="N110" s="1135"/>
      <c r="O110" s="1135"/>
      <c r="P110" s="1135"/>
      <c r="Q110" s="1135"/>
      <c r="R110" s="1135"/>
      <c r="S110" s="1135"/>
      <c r="T110" s="1135"/>
      <c r="U110" s="2041"/>
    </row>
    <row r="111" spans="2:21" hidden="1" outlineLevel="2">
      <c r="B111" s="1050"/>
      <c r="C111" s="1050"/>
      <c r="D111" s="1051">
        <f t="shared" si="8"/>
        <v>20</v>
      </c>
      <c r="E111" s="1051" t="str">
        <f>IF(COUNTIF(E$46:E110,F111)&gt;0,"",F111)</f>
        <v/>
      </c>
      <c r="F111" s="1051" t="str">
        <f t="shared" si="9"/>
        <v/>
      </c>
      <c r="G111" s="1055" t="str">
        <f t="shared" si="10"/>
        <v/>
      </c>
      <c r="I111" s="2018"/>
      <c r="J111" s="1135"/>
      <c r="K111" s="1135"/>
      <c r="L111" s="1135"/>
      <c r="M111" s="1135"/>
      <c r="N111" s="1135"/>
      <c r="O111" s="1135"/>
      <c r="P111" s="1135"/>
      <c r="Q111" s="1135"/>
      <c r="R111" s="1135"/>
      <c r="S111" s="1135"/>
      <c r="T111" s="1135"/>
      <c r="U111" s="2041"/>
    </row>
    <row r="112" spans="2:21" hidden="1" outlineLevel="2">
      <c r="B112" s="1050"/>
      <c r="C112" s="1050"/>
      <c r="D112" s="1051">
        <f t="shared" ref="D112:D131" si="11">D111+IF(LEN(E112)&gt;0,1,0)</f>
        <v>20</v>
      </c>
      <c r="E112" s="1051" t="str">
        <f>IF(COUNTIF(E$46:E111,F112)&gt;0,"",F112)</f>
        <v/>
      </c>
      <c r="F112" s="1051" t="str">
        <f t="shared" ref="F112:F131" si="12">IF(I112&lt;&gt;"",I112&amp;IF(L112&lt;&gt;"",", "&amp;L112,"")&amp;IF(K112&lt;&gt;"",", "&amp;K112,""),"")</f>
        <v/>
      </c>
      <c r="G112" s="1055" t="str">
        <f t="shared" ref="G112:G131" si="13">IF(F112&lt;&gt;"",F112&amp;IF(J112&lt;&gt;"","; "&amp;J112&amp;IF(N112&lt;&gt;"",", "&amp;N112,),""),"")</f>
        <v/>
      </c>
      <c r="I112" s="2018"/>
      <c r="J112" s="1135"/>
      <c r="K112" s="1135"/>
      <c r="L112" s="1135"/>
      <c r="M112" s="1135"/>
      <c r="N112" s="1135"/>
      <c r="O112" s="1135"/>
      <c r="P112" s="1135"/>
      <c r="Q112" s="1135"/>
      <c r="R112" s="1135"/>
      <c r="S112" s="1135"/>
      <c r="T112" s="1135"/>
      <c r="U112" s="2041"/>
    </row>
    <row r="113" spans="2:21" hidden="1" outlineLevel="2">
      <c r="B113" s="1050"/>
      <c r="C113" s="1050"/>
      <c r="D113" s="1051">
        <f t="shared" si="11"/>
        <v>20</v>
      </c>
      <c r="E113" s="1051" t="str">
        <f>IF(COUNTIF(E$46:E112,F113)&gt;0,"",F113)</f>
        <v/>
      </c>
      <c r="F113" s="1051" t="str">
        <f t="shared" si="12"/>
        <v/>
      </c>
      <c r="G113" s="1055" t="str">
        <f t="shared" si="13"/>
        <v/>
      </c>
      <c r="I113" s="2018"/>
      <c r="J113" s="1135"/>
      <c r="K113" s="1135"/>
      <c r="L113" s="1135"/>
      <c r="M113" s="1135"/>
      <c r="N113" s="1135"/>
      <c r="O113" s="1135"/>
      <c r="P113" s="1135"/>
      <c r="Q113" s="1135"/>
      <c r="R113" s="1135"/>
      <c r="S113" s="1135"/>
      <c r="T113" s="1135"/>
      <c r="U113" s="2041"/>
    </row>
    <row r="114" spans="2:21" hidden="1" outlineLevel="2">
      <c r="B114" s="1050"/>
      <c r="C114" s="1050"/>
      <c r="D114" s="1051">
        <f t="shared" si="11"/>
        <v>20</v>
      </c>
      <c r="E114" s="1051" t="str">
        <f>IF(COUNTIF(E$46:E113,F114)&gt;0,"",F114)</f>
        <v/>
      </c>
      <c r="F114" s="1051" t="str">
        <f t="shared" si="12"/>
        <v/>
      </c>
      <c r="G114" s="1055" t="str">
        <f t="shared" si="13"/>
        <v/>
      </c>
      <c r="I114" s="2018"/>
      <c r="J114" s="1135"/>
      <c r="K114" s="1135"/>
      <c r="L114" s="1135"/>
      <c r="M114" s="1135"/>
      <c r="N114" s="1135"/>
      <c r="O114" s="1135"/>
      <c r="P114" s="1135"/>
      <c r="Q114" s="1135"/>
      <c r="R114" s="1135"/>
      <c r="S114" s="1135"/>
      <c r="T114" s="1135"/>
      <c r="U114" s="2041"/>
    </row>
    <row r="115" spans="2:21" hidden="1" outlineLevel="2">
      <c r="B115" s="1050"/>
      <c r="C115" s="1050"/>
      <c r="D115" s="1051">
        <f t="shared" si="11"/>
        <v>20</v>
      </c>
      <c r="E115" s="1051" t="str">
        <f>IF(COUNTIF(E$46:E114,F115)&gt;0,"",F115)</f>
        <v/>
      </c>
      <c r="F115" s="1051" t="str">
        <f t="shared" si="12"/>
        <v/>
      </c>
      <c r="G115" s="1055" t="str">
        <f t="shared" si="13"/>
        <v/>
      </c>
      <c r="I115" s="2018"/>
      <c r="J115" s="1135"/>
      <c r="K115" s="1135"/>
      <c r="L115" s="1135"/>
      <c r="M115" s="1135"/>
      <c r="N115" s="1135"/>
      <c r="O115" s="1135"/>
      <c r="P115" s="1135"/>
      <c r="Q115" s="1135"/>
      <c r="R115" s="1135"/>
      <c r="S115" s="1135"/>
      <c r="T115" s="1135"/>
      <c r="U115" s="2041"/>
    </row>
    <row r="116" spans="2:21" hidden="1" outlineLevel="2">
      <c r="B116" s="1050"/>
      <c r="C116" s="1050"/>
      <c r="D116" s="1051">
        <f t="shared" si="11"/>
        <v>20</v>
      </c>
      <c r="E116" s="1051" t="str">
        <f>IF(COUNTIF(E$46:E115,F116)&gt;0,"",F116)</f>
        <v/>
      </c>
      <c r="F116" s="1051" t="str">
        <f t="shared" si="12"/>
        <v/>
      </c>
      <c r="G116" s="1055" t="str">
        <f t="shared" si="13"/>
        <v/>
      </c>
      <c r="I116" s="2018"/>
      <c r="J116" s="1135"/>
      <c r="K116" s="1135"/>
      <c r="L116" s="1135"/>
      <c r="M116" s="1135"/>
      <c r="N116" s="1135"/>
      <c r="O116" s="1135"/>
      <c r="P116" s="1135"/>
      <c r="Q116" s="1135"/>
      <c r="R116" s="1135"/>
      <c r="S116" s="1135"/>
      <c r="T116" s="1135"/>
      <c r="U116" s="2041"/>
    </row>
    <row r="117" spans="2:21" hidden="1" outlineLevel="2">
      <c r="B117" s="1050"/>
      <c r="C117" s="1050"/>
      <c r="D117" s="1051">
        <f t="shared" si="11"/>
        <v>20</v>
      </c>
      <c r="E117" s="1051" t="str">
        <f>IF(COUNTIF(E$46:E116,F117)&gt;0,"",F117)</f>
        <v/>
      </c>
      <c r="F117" s="1051" t="str">
        <f t="shared" si="12"/>
        <v/>
      </c>
      <c r="G117" s="1055" t="str">
        <f t="shared" si="13"/>
        <v/>
      </c>
      <c r="I117" s="2018"/>
      <c r="J117" s="1135"/>
      <c r="K117" s="1135"/>
      <c r="L117" s="1135"/>
      <c r="M117" s="1135"/>
      <c r="N117" s="1135"/>
      <c r="O117" s="1135"/>
      <c r="P117" s="1135"/>
      <c r="Q117" s="1135"/>
      <c r="R117" s="1135"/>
      <c r="S117" s="1135"/>
      <c r="T117" s="1135"/>
      <c r="U117" s="2041"/>
    </row>
    <row r="118" spans="2:21" hidden="1" outlineLevel="2">
      <c r="B118" s="1050"/>
      <c r="C118" s="1050"/>
      <c r="D118" s="1051">
        <f t="shared" si="11"/>
        <v>20</v>
      </c>
      <c r="E118" s="1051" t="str">
        <f>IF(COUNTIF(E$46:E117,F118)&gt;0,"",F118)</f>
        <v/>
      </c>
      <c r="F118" s="1051" t="str">
        <f t="shared" si="12"/>
        <v/>
      </c>
      <c r="G118" s="1055" t="str">
        <f t="shared" si="13"/>
        <v/>
      </c>
      <c r="I118" s="2018"/>
      <c r="J118" s="1135"/>
      <c r="K118" s="1135"/>
      <c r="L118" s="1135"/>
      <c r="M118" s="1135"/>
      <c r="N118" s="1135"/>
      <c r="O118" s="1135"/>
      <c r="P118" s="1135"/>
      <c r="Q118" s="1135"/>
      <c r="R118" s="1135"/>
      <c r="S118" s="1135"/>
      <c r="T118" s="1135"/>
      <c r="U118" s="2041"/>
    </row>
    <row r="119" spans="2:21" hidden="1" outlineLevel="2">
      <c r="B119" s="1050"/>
      <c r="C119" s="1050"/>
      <c r="D119" s="1051">
        <f t="shared" si="11"/>
        <v>20</v>
      </c>
      <c r="E119" s="1051" t="str">
        <f>IF(COUNTIF(E$46:E118,F119)&gt;0,"",F119)</f>
        <v/>
      </c>
      <c r="F119" s="1051" t="str">
        <f t="shared" si="12"/>
        <v/>
      </c>
      <c r="G119" s="1055" t="str">
        <f t="shared" si="13"/>
        <v/>
      </c>
      <c r="I119" s="2018"/>
      <c r="J119" s="1135"/>
      <c r="K119" s="1135"/>
      <c r="L119" s="1135"/>
      <c r="M119" s="1135"/>
      <c r="N119" s="1135"/>
      <c r="O119" s="1135"/>
      <c r="P119" s="1135"/>
      <c r="Q119" s="1135"/>
      <c r="R119" s="1135"/>
      <c r="S119" s="1135"/>
      <c r="T119" s="1135"/>
      <c r="U119" s="2041"/>
    </row>
    <row r="120" spans="2:21" hidden="1" outlineLevel="2">
      <c r="B120" s="1050"/>
      <c r="C120" s="1050"/>
      <c r="D120" s="1051">
        <f t="shared" si="11"/>
        <v>20</v>
      </c>
      <c r="E120" s="1051" t="str">
        <f>IF(COUNTIF(E$46:E119,F120)&gt;0,"",F120)</f>
        <v/>
      </c>
      <c r="F120" s="1051" t="str">
        <f t="shared" si="12"/>
        <v/>
      </c>
      <c r="G120" s="1055" t="str">
        <f t="shared" si="13"/>
        <v/>
      </c>
      <c r="I120" s="2018"/>
      <c r="J120" s="1135"/>
      <c r="K120" s="1135"/>
      <c r="L120" s="1135"/>
      <c r="M120" s="1135"/>
      <c r="N120" s="1135"/>
      <c r="O120" s="1135"/>
      <c r="P120" s="1135"/>
      <c r="Q120" s="1135"/>
      <c r="R120" s="1135"/>
      <c r="S120" s="1135"/>
      <c r="T120" s="1135"/>
      <c r="U120" s="2041"/>
    </row>
    <row r="121" spans="2:21" hidden="1" outlineLevel="2">
      <c r="B121" s="1050"/>
      <c r="C121" s="1050"/>
      <c r="D121" s="1051">
        <f t="shared" si="11"/>
        <v>20</v>
      </c>
      <c r="E121" s="1051" t="str">
        <f>IF(COUNTIF(E$46:E120,F121)&gt;0,"",F121)</f>
        <v/>
      </c>
      <c r="F121" s="1051" t="str">
        <f t="shared" si="12"/>
        <v/>
      </c>
      <c r="G121" s="1055" t="str">
        <f t="shared" si="13"/>
        <v/>
      </c>
      <c r="I121" s="2018"/>
      <c r="J121" s="1135"/>
      <c r="K121" s="1135"/>
      <c r="L121" s="1135"/>
      <c r="M121" s="1135"/>
      <c r="N121" s="1135"/>
      <c r="O121" s="1135"/>
      <c r="P121" s="1135"/>
      <c r="Q121" s="1135"/>
      <c r="R121" s="1135"/>
      <c r="S121" s="1135"/>
      <c r="T121" s="1135"/>
      <c r="U121" s="2041"/>
    </row>
    <row r="122" spans="2:21" hidden="1" outlineLevel="2">
      <c r="B122" s="1050"/>
      <c r="C122" s="1050"/>
      <c r="D122" s="1051">
        <f t="shared" si="11"/>
        <v>20</v>
      </c>
      <c r="E122" s="1051" t="str">
        <f>IF(COUNTIF(E$46:E121,F122)&gt;0,"",F122)</f>
        <v/>
      </c>
      <c r="F122" s="1051" t="str">
        <f t="shared" si="12"/>
        <v/>
      </c>
      <c r="G122" s="1055" t="str">
        <f t="shared" si="13"/>
        <v/>
      </c>
      <c r="I122" s="2018"/>
      <c r="J122" s="1135"/>
      <c r="K122" s="1135"/>
      <c r="L122" s="1135"/>
      <c r="M122" s="1135"/>
      <c r="N122" s="1135"/>
      <c r="O122" s="1135"/>
      <c r="P122" s="1135"/>
      <c r="Q122" s="1135"/>
      <c r="R122" s="1135"/>
      <c r="S122" s="1135"/>
      <c r="T122" s="1135"/>
      <c r="U122" s="2041"/>
    </row>
    <row r="123" spans="2:21" hidden="1" outlineLevel="2">
      <c r="B123" s="1050"/>
      <c r="C123" s="1050"/>
      <c r="D123" s="1051">
        <f t="shared" si="11"/>
        <v>20</v>
      </c>
      <c r="E123" s="1051" t="str">
        <f>IF(COUNTIF(E$46:E122,F123)&gt;0,"",F123)</f>
        <v/>
      </c>
      <c r="F123" s="1051" t="str">
        <f t="shared" si="12"/>
        <v/>
      </c>
      <c r="G123" s="1055" t="str">
        <f t="shared" si="13"/>
        <v/>
      </c>
      <c r="I123" s="2018"/>
      <c r="J123" s="1135"/>
      <c r="K123" s="1135"/>
      <c r="L123" s="1135"/>
      <c r="M123" s="1135"/>
      <c r="N123" s="1135"/>
      <c r="O123" s="1135"/>
      <c r="P123" s="1135"/>
      <c r="Q123" s="1135"/>
      <c r="R123" s="1135"/>
      <c r="S123" s="1135"/>
      <c r="T123" s="1135"/>
      <c r="U123" s="2041"/>
    </row>
    <row r="124" spans="2:21" hidden="1" outlineLevel="2">
      <c r="B124" s="1050"/>
      <c r="C124" s="1050"/>
      <c r="D124" s="1051">
        <f t="shared" si="11"/>
        <v>20</v>
      </c>
      <c r="E124" s="1051" t="str">
        <f>IF(COUNTIF(E$46:E123,F124)&gt;0,"",F124)</f>
        <v/>
      </c>
      <c r="F124" s="1051" t="str">
        <f t="shared" si="12"/>
        <v/>
      </c>
      <c r="G124" s="1055" t="str">
        <f t="shared" si="13"/>
        <v/>
      </c>
      <c r="I124" s="2018"/>
      <c r="J124" s="1135"/>
      <c r="K124" s="1135"/>
      <c r="L124" s="1135"/>
      <c r="M124" s="1135"/>
      <c r="N124" s="1135"/>
      <c r="O124" s="1135"/>
      <c r="P124" s="1135"/>
      <c r="Q124" s="1135"/>
      <c r="R124" s="1135"/>
      <c r="S124" s="1135"/>
      <c r="T124" s="1135"/>
      <c r="U124" s="2041"/>
    </row>
    <row r="125" spans="2:21" hidden="1" outlineLevel="2">
      <c r="B125" s="1050"/>
      <c r="C125" s="1050"/>
      <c r="D125" s="1051">
        <f t="shared" si="11"/>
        <v>20</v>
      </c>
      <c r="E125" s="1051" t="str">
        <f>IF(COUNTIF(E$46:E124,F125)&gt;0,"",F125)</f>
        <v/>
      </c>
      <c r="F125" s="1051" t="str">
        <f t="shared" si="12"/>
        <v/>
      </c>
      <c r="G125" s="1055" t="str">
        <f t="shared" si="13"/>
        <v/>
      </c>
      <c r="I125" s="2018"/>
      <c r="J125" s="1135"/>
      <c r="K125" s="1135"/>
      <c r="L125" s="1135"/>
      <c r="M125" s="1135"/>
      <c r="N125" s="1135"/>
      <c r="O125" s="1135"/>
      <c r="P125" s="1135"/>
      <c r="Q125" s="1135"/>
      <c r="R125" s="1135"/>
      <c r="S125" s="1135"/>
      <c r="T125" s="1135"/>
      <c r="U125" s="2041"/>
    </row>
    <row r="126" spans="2:21" hidden="1" outlineLevel="2">
      <c r="B126" s="1050"/>
      <c r="C126" s="1050"/>
      <c r="D126" s="1051">
        <f t="shared" si="11"/>
        <v>20</v>
      </c>
      <c r="E126" s="1051" t="str">
        <f>IF(COUNTIF(E$46:E125,F126)&gt;0,"",F126)</f>
        <v/>
      </c>
      <c r="F126" s="1051" t="str">
        <f t="shared" si="12"/>
        <v/>
      </c>
      <c r="G126" s="1055" t="str">
        <f t="shared" si="13"/>
        <v/>
      </c>
      <c r="I126" s="2018"/>
      <c r="J126" s="1135"/>
      <c r="K126" s="1135"/>
      <c r="L126" s="1135"/>
      <c r="M126" s="1135"/>
      <c r="N126" s="1135"/>
      <c r="O126" s="1135"/>
      <c r="P126" s="1135"/>
      <c r="Q126" s="1135"/>
      <c r="R126" s="1135"/>
      <c r="S126" s="1135"/>
      <c r="T126" s="1135"/>
      <c r="U126" s="2041"/>
    </row>
    <row r="127" spans="2:21" hidden="1" outlineLevel="2">
      <c r="B127" s="1050"/>
      <c r="C127" s="1050"/>
      <c r="D127" s="1051">
        <f t="shared" si="11"/>
        <v>20</v>
      </c>
      <c r="E127" s="1051" t="str">
        <f>IF(COUNTIF(E$46:E126,F127)&gt;0,"",F127)</f>
        <v/>
      </c>
      <c r="F127" s="1051" t="str">
        <f t="shared" si="12"/>
        <v/>
      </c>
      <c r="G127" s="1055" t="str">
        <f t="shared" si="13"/>
        <v/>
      </c>
      <c r="I127" s="2018"/>
      <c r="J127" s="1135"/>
      <c r="K127" s="1135"/>
      <c r="L127" s="1135"/>
      <c r="M127" s="1135"/>
      <c r="N127" s="1135"/>
      <c r="O127" s="1135"/>
      <c r="P127" s="1135"/>
      <c r="Q127" s="1135"/>
      <c r="R127" s="1135"/>
      <c r="S127" s="1135"/>
      <c r="T127" s="1135"/>
      <c r="U127" s="2041"/>
    </row>
    <row r="128" spans="2:21" hidden="1" outlineLevel="2">
      <c r="B128" s="1050"/>
      <c r="C128" s="1050"/>
      <c r="D128" s="1051">
        <f t="shared" si="11"/>
        <v>20</v>
      </c>
      <c r="E128" s="1051" t="str">
        <f>IF(COUNTIF(E$46:E127,F128)&gt;0,"",F128)</f>
        <v/>
      </c>
      <c r="F128" s="1051" t="str">
        <f t="shared" si="12"/>
        <v/>
      </c>
      <c r="G128" s="1055" t="str">
        <f t="shared" si="13"/>
        <v/>
      </c>
      <c r="I128" s="2018"/>
      <c r="J128" s="1135"/>
      <c r="K128" s="1135"/>
      <c r="L128" s="1135"/>
      <c r="M128" s="1135"/>
      <c r="N128" s="1135"/>
      <c r="O128" s="1135"/>
      <c r="P128" s="1135"/>
      <c r="Q128" s="1135"/>
      <c r="R128" s="1135"/>
      <c r="S128" s="1135"/>
      <c r="T128" s="1135"/>
      <c r="U128" s="2041"/>
    </row>
    <row r="129" spans="2:21" hidden="1" outlineLevel="2">
      <c r="B129" s="1050"/>
      <c r="C129" s="1050"/>
      <c r="D129" s="1051">
        <f t="shared" si="11"/>
        <v>20</v>
      </c>
      <c r="E129" s="1051" t="str">
        <f>IF(COUNTIF(E$46:E128,F129)&gt;0,"",F129)</f>
        <v/>
      </c>
      <c r="F129" s="1051" t="str">
        <f t="shared" si="12"/>
        <v/>
      </c>
      <c r="G129" s="1055" t="str">
        <f t="shared" si="13"/>
        <v/>
      </c>
      <c r="I129" s="2018"/>
      <c r="J129" s="1135"/>
      <c r="K129" s="1135"/>
      <c r="L129" s="1135"/>
      <c r="M129" s="1135"/>
      <c r="N129" s="1135"/>
      <c r="O129" s="1135"/>
      <c r="P129" s="1135"/>
      <c r="Q129" s="1135"/>
      <c r="R129" s="1135"/>
      <c r="S129" s="1135"/>
      <c r="T129" s="1135"/>
      <c r="U129" s="2041"/>
    </row>
    <row r="130" spans="2:21" hidden="1" outlineLevel="2">
      <c r="B130" s="1050"/>
      <c r="C130" s="1050"/>
      <c r="D130" s="1051">
        <f t="shared" si="11"/>
        <v>20</v>
      </c>
      <c r="E130" s="1051" t="str">
        <f>IF(COUNTIF(E$46:E129,F130)&gt;0,"",F130)</f>
        <v/>
      </c>
      <c r="F130" s="1051" t="str">
        <f t="shared" si="12"/>
        <v/>
      </c>
      <c r="G130" s="1055" t="str">
        <f t="shared" si="13"/>
        <v/>
      </c>
      <c r="I130" s="2018"/>
      <c r="J130" s="1135"/>
      <c r="K130" s="1135"/>
      <c r="L130" s="1135"/>
      <c r="M130" s="1135"/>
      <c r="N130" s="1135"/>
      <c r="O130" s="1135"/>
      <c r="P130" s="1135"/>
      <c r="Q130" s="1135"/>
      <c r="R130" s="1135"/>
      <c r="S130" s="1135"/>
      <c r="T130" s="1135"/>
      <c r="U130" s="2041"/>
    </row>
    <row r="131" spans="2:21" hidden="1" outlineLevel="2">
      <c r="B131" s="1050"/>
      <c r="C131" s="1050"/>
      <c r="D131" s="1051">
        <f t="shared" si="11"/>
        <v>20</v>
      </c>
      <c r="E131" s="1051" t="str">
        <f>IF(COUNTIF(E$46:E130,F131)&gt;0,"",F131)</f>
        <v/>
      </c>
      <c r="F131" s="1051" t="str">
        <f t="shared" si="12"/>
        <v/>
      </c>
      <c r="G131" s="1055" t="str">
        <f t="shared" si="13"/>
        <v/>
      </c>
      <c r="I131" s="2018"/>
      <c r="J131" s="1135"/>
      <c r="K131" s="1135"/>
      <c r="L131" s="1135"/>
      <c r="M131" s="1135"/>
      <c r="N131" s="1135"/>
      <c r="O131" s="1135"/>
      <c r="P131" s="1135"/>
      <c r="Q131" s="1135"/>
      <c r="R131" s="1135"/>
      <c r="S131" s="1135"/>
      <c r="T131" s="1135"/>
      <c r="U131" s="2041"/>
    </row>
    <row r="132" spans="2:21" ht="13.2" hidden="1" outlineLevel="1">
      <c r="B132" s="1045"/>
      <c r="C132" s="1045"/>
      <c r="D132" s="1045"/>
      <c r="E132" s="1045"/>
      <c r="F132" s="1045"/>
      <c r="G132" s="1135"/>
      <c r="I132" s="1746"/>
      <c r="J132" s="1742"/>
      <c r="K132" s="1743"/>
      <c r="L132" s="1743"/>
      <c r="M132" s="1744"/>
      <c r="N132" s="1742"/>
      <c r="O132" s="1745"/>
      <c r="P132" s="1743"/>
      <c r="Q132" s="1743"/>
      <c r="R132" s="1745"/>
      <c r="S132" s="1745"/>
      <c r="T132" s="1743"/>
      <c r="U132" s="1747"/>
    </row>
    <row r="133" spans="2:21" ht="12.75" hidden="1" customHeight="1" outlineLevel="1" collapsed="1">
      <c r="B133" s="3156" t="s">
        <v>3922</v>
      </c>
      <c r="C133" s="3156"/>
      <c r="D133" s="1051">
        <v>0</v>
      </c>
      <c r="E133" s="1051"/>
      <c r="F133" s="1051"/>
      <c r="G133" s="1055"/>
      <c r="I133" s="1746"/>
      <c r="J133" s="1742"/>
      <c r="K133" s="1743"/>
      <c r="L133" s="1743"/>
      <c r="M133" s="1744"/>
      <c r="N133" s="1742"/>
      <c r="O133" s="1745"/>
      <c r="P133" s="1743"/>
      <c r="Q133" s="1743"/>
      <c r="R133" s="1745"/>
      <c r="S133" s="1745"/>
      <c r="T133" s="1743"/>
      <c r="U133" s="1747"/>
    </row>
    <row r="134" spans="2:21" hidden="1" outlineLevel="2">
      <c r="B134" s="1050">
        <v>1</v>
      </c>
      <c r="C134" s="1050" t="str">
        <f>IF(ISNA(VLOOKUP(B134,$D$133:$E$201,2,FALSE)),"-",VLOOKUP(B134,$D$134:$E$201,2,FALSE))</f>
        <v>Voiture E85 - courte distance - 2018, France continentale, Base Carbone</v>
      </c>
      <c r="D134" s="1051">
        <f>D133+IF(LEN(E134)&gt;0,1,0)</f>
        <v>1</v>
      </c>
      <c r="E134" s="1051" t="str">
        <f>IF(COUNTIF(E$133:E133,F134)&gt;0,"",F134)</f>
        <v>Voiture E85 - courte distance - 2018, France continentale, Base Carbone</v>
      </c>
      <c r="F134" s="1051" t="str">
        <f t="shared" ref="F134" si="14">IF(I134&lt;&gt;"",I134&amp;IF(L134&lt;&gt;"",", "&amp;L134,"")&amp;IF(K134&lt;&gt;"",", "&amp;K134,""),"")</f>
        <v>Voiture E85 - courte distance - 2018, France continentale, Base Carbone</v>
      </c>
      <c r="G134" s="1055" t="str">
        <f t="shared" ref="G134" si="15">IF(F134&lt;&gt;"",F134&amp;IF(J134&lt;&gt;"","; "&amp;J134&amp;IF(N134&lt;&gt;"",", "&amp;N134,),""),"")</f>
        <v>Voiture E85 - courte distance - 2018, France continentale, Base Carbone; kgCO2e/passager.km, Combustion</v>
      </c>
      <c r="I134" s="2018" t="s">
        <v>3923</v>
      </c>
      <c r="J134" s="1135" t="s">
        <v>2224</v>
      </c>
      <c r="K134" s="1135" t="s">
        <v>1567</v>
      </c>
      <c r="L134" s="1135" t="s">
        <v>1571</v>
      </c>
      <c r="M134" s="2062">
        <v>0.6</v>
      </c>
      <c r="N134" s="1135" t="s">
        <v>1569</v>
      </c>
      <c r="O134" s="1135">
        <v>2.98E-2</v>
      </c>
      <c r="P134" s="2017">
        <v>2.98E-2</v>
      </c>
      <c r="Q134" s="1980">
        <v>0</v>
      </c>
      <c r="R134" s="1980">
        <v>0</v>
      </c>
      <c r="S134" s="1980">
        <v>0</v>
      </c>
      <c r="T134" s="1980">
        <v>0</v>
      </c>
      <c r="U134" s="2036">
        <v>0</v>
      </c>
    </row>
    <row r="135" spans="2:21" hidden="1" outlineLevel="2">
      <c r="B135" s="1050">
        <v>2</v>
      </c>
      <c r="C135" s="1050" t="str">
        <f t="shared" ref="C135:C168" si="16">IF(ISNA(VLOOKUP(B135,$D$133:$E$201,2,FALSE)),"-",VLOOKUP(B135,$D$134:$E$201,2,FALSE))</f>
        <v>Voiture E85 - longue distance - 2018, France continentale, Base Carbone</v>
      </c>
      <c r="D135" s="1051">
        <f t="shared" ref="D135:D198" si="17">D134+IF(LEN(E135)&gt;0,1,0)</f>
        <v>1</v>
      </c>
      <c r="E135" s="1051" t="str">
        <f>IF(COUNTIF(E$133:E134,F135)&gt;0,"",F135)</f>
        <v/>
      </c>
      <c r="F135" s="1051" t="str">
        <f t="shared" ref="F135:F198" si="18">IF(I135&lt;&gt;"",I135&amp;IF(L135&lt;&gt;"",", "&amp;L135,"")&amp;IF(K135&lt;&gt;"",", "&amp;K135,""),"")</f>
        <v>Voiture E85 - courte distance - 2018, France continentale, Base Carbone</v>
      </c>
      <c r="G135" s="1055" t="str">
        <f t="shared" ref="G135:G198" si="19">IF(F135&lt;&gt;"",F135&amp;IF(J135&lt;&gt;"","; "&amp;J135&amp;IF(N135&lt;&gt;"",", "&amp;N135,),""),"")</f>
        <v>Voiture E85 - courte distance - 2018, France continentale, Base Carbone; kgCO2e/passager.km, Amont</v>
      </c>
      <c r="I135" s="2018" t="s">
        <v>3923</v>
      </c>
      <c r="J135" s="1135" t="s">
        <v>2224</v>
      </c>
      <c r="K135" s="1135" t="s">
        <v>1567</v>
      </c>
      <c r="L135" s="1135" t="s">
        <v>1571</v>
      </c>
      <c r="M135" s="2062">
        <v>0.6</v>
      </c>
      <c r="N135" s="1135" t="s">
        <v>1570</v>
      </c>
      <c r="O135" s="1135">
        <v>6.0299999999999999E-2</v>
      </c>
      <c r="P135" s="2017">
        <v>6.0299999999999999E-2</v>
      </c>
      <c r="Q135" s="1980">
        <v>0</v>
      </c>
      <c r="R135" s="1980">
        <v>0</v>
      </c>
      <c r="S135" s="1980">
        <v>0</v>
      </c>
      <c r="T135" s="1980">
        <v>0</v>
      </c>
      <c r="U135" s="2036">
        <v>0</v>
      </c>
    </row>
    <row r="136" spans="2:21" hidden="1" outlineLevel="2">
      <c r="B136" s="1050">
        <v>3</v>
      </c>
      <c r="C136" s="1050" t="str">
        <f t="shared" si="16"/>
        <v>Voiture E85 - mixte - 2018, France continentale, Base Carbone</v>
      </c>
      <c r="D136" s="1051">
        <f t="shared" si="17"/>
        <v>1</v>
      </c>
      <c r="E136" s="1051" t="str">
        <f>IF(COUNTIF(E$133:E135,F136)&gt;0,"",F136)</f>
        <v/>
      </c>
      <c r="F136" s="1051" t="str">
        <f t="shared" si="18"/>
        <v>Voiture E85 - courte distance - 2018, France continentale, Base Carbone</v>
      </c>
      <c r="G136" s="1055" t="str">
        <f t="shared" si="19"/>
        <v>Voiture E85 - courte distance - 2018, France continentale, Base Carbone; kgCO2e/passager.km, Fabrication</v>
      </c>
      <c r="I136" s="2018" t="s">
        <v>3923</v>
      </c>
      <c r="J136" s="1135" t="s">
        <v>2224</v>
      </c>
      <c r="K136" s="1135" t="s">
        <v>1567</v>
      </c>
      <c r="L136" s="1135" t="s">
        <v>1571</v>
      </c>
      <c r="M136" s="2062">
        <v>0.6</v>
      </c>
      <c r="N136" s="1135" t="s">
        <v>332</v>
      </c>
      <c r="O136" s="1135">
        <v>2.5600000000000001E-2</v>
      </c>
      <c r="P136" s="2017">
        <v>2.5600000000000001E-2</v>
      </c>
      <c r="Q136" s="1980">
        <v>0</v>
      </c>
      <c r="R136" s="1980">
        <v>0</v>
      </c>
      <c r="S136" s="1980">
        <v>0</v>
      </c>
      <c r="T136" s="1980">
        <v>0</v>
      </c>
      <c r="U136" s="2036">
        <v>0</v>
      </c>
    </row>
    <row r="137" spans="2:21" hidden="1" outlineLevel="2">
      <c r="B137" s="1050">
        <v>4</v>
      </c>
      <c r="C137" s="1050" t="str">
        <f t="shared" si="16"/>
        <v>Voiture essence - courte distance - 2018, France continentale, Base Carbone</v>
      </c>
      <c r="D137" s="1051">
        <f t="shared" si="17"/>
        <v>2</v>
      </c>
      <c r="E137" s="1051" t="str">
        <f>IF(COUNTIF(E$133:E136,F137)&gt;0,"",F137)</f>
        <v>Voiture E85 - longue distance - 2018, France continentale, Base Carbone</v>
      </c>
      <c r="F137" s="1051" t="str">
        <f t="shared" si="18"/>
        <v>Voiture E85 - longue distance - 2018, France continentale, Base Carbone</v>
      </c>
      <c r="G137" s="1055" t="str">
        <f t="shared" si="19"/>
        <v>Voiture E85 - longue distance - 2018, France continentale, Base Carbone; kgCO2e/passager.km, Combustion</v>
      </c>
      <c r="I137" s="2018" t="s">
        <v>3924</v>
      </c>
      <c r="J137" s="1135" t="s">
        <v>2224</v>
      </c>
      <c r="K137" s="1135" t="s">
        <v>1567</v>
      </c>
      <c r="L137" s="1135" t="s">
        <v>1571</v>
      </c>
      <c r="M137" s="2062">
        <v>0.6</v>
      </c>
      <c r="N137" s="1119" t="s">
        <v>1569</v>
      </c>
      <c r="O137" s="1119">
        <v>1.6799999999999999E-2</v>
      </c>
      <c r="P137" s="2017">
        <v>1.6799999999999999E-2</v>
      </c>
      <c r="Q137" s="1980">
        <v>0</v>
      </c>
      <c r="R137" s="1980">
        <v>0</v>
      </c>
      <c r="S137" s="1980">
        <v>0</v>
      </c>
      <c r="T137" s="1980">
        <v>0</v>
      </c>
      <c r="U137" s="2036">
        <v>0</v>
      </c>
    </row>
    <row r="138" spans="2:21" hidden="1" outlineLevel="2">
      <c r="B138" s="1050">
        <v>5</v>
      </c>
      <c r="C138" s="1050" t="str">
        <f t="shared" si="16"/>
        <v>Voiture essence - longue distance - 2018, France continentale, Base Carbone</v>
      </c>
      <c r="D138" s="1051">
        <f t="shared" si="17"/>
        <v>2</v>
      </c>
      <c r="E138" s="1051" t="str">
        <f>IF(COUNTIF(E$133:E137,F138)&gt;0,"",F138)</f>
        <v/>
      </c>
      <c r="F138" s="1051" t="str">
        <f t="shared" si="18"/>
        <v>Voiture E85 - longue distance - 2018, France continentale, Base Carbone</v>
      </c>
      <c r="G138" s="1055" t="str">
        <f t="shared" si="19"/>
        <v>Voiture E85 - longue distance - 2018, France continentale, Base Carbone; kgCO2e/passager.km, Amont</v>
      </c>
      <c r="I138" s="2018" t="s">
        <v>3924</v>
      </c>
      <c r="J138" s="1135" t="s">
        <v>2224</v>
      </c>
      <c r="K138" s="1135" t="s">
        <v>1567</v>
      </c>
      <c r="L138" s="1135" t="s">
        <v>1571</v>
      </c>
      <c r="M138" s="2062">
        <v>0.6</v>
      </c>
      <c r="N138" s="1119" t="s">
        <v>1570</v>
      </c>
      <c r="O138" s="1119">
        <v>3.4000000000000002E-2</v>
      </c>
      <c r="P138" s="2017">
        <v>3.4000000000000002E-2</v>
      </c>
      <c r="Q138" s="1980">
        <v>0</v>
      </c>
      <c r="R138" s="1980">
        <v>0</v>
      </c>
      <c r="S138" s="1980">
        <v>0</v>
      </c>
      <c r="T138" s="1980">
        <v>0</v>
      </c>
      <c r="U138" s="2036">
        <v>0</v>
      </c>
    </row>
    <row r="139" spans="2:21" hidden="1" outlineLevel="2">
      <c r="B139" s="1050">
        <v>6</v>
      </c>
      <c r="C139" s="1050" t="str">
        <f t="shared" si="16"/>
        <v>Voiture essence - mixte - 2018, France continentale, Base Carbone</v>
      </c>
      <c r="D139" s="1051">
        <f t="shared" si="17"/>
        <v>2</v>
      </c>
      <c r="E139" s="1051" t="str">
        <f>IF(COUNTIF(E$133:E138,F139)&gt;0,"",F139)</f>
        <v/>
      </c>
      <c r="F139" s="1051" t="str">
        <f t="shared" si="18"/>
        <v>Voiture E85 - longue distance - 2018, France continentale, Base Carbone</v>
      </c>
      <c r="G139" s="1055" t="str">
        <f t="shared" si="19"/>
        <v>Voiture E85 - longue distance - 2018, France continentale, Base Carbone; kgCO2e/passager.km, Fabrication</v>
      </c>
      <c r="I139" s="2018" t="s">
        <v>3924</v>
      </c>
      <c r="J139" s="1135" t="s">
        <v>2224</v>
      </c>
      <c r="K139" s="1135" t="s">
        <v>1567</v>
      </c>
      <c r="L139" s="1135" t="s">
        <v>1571</v>
      </c>
      <c r="M139" s="2062">
        <v>0.6</v>
      </c>
      <c r="N139" s="1119" t="s">
        <v>332</v>
      </c>
      <c r="O139" s="1119">
        <v>2.5600000000000001E-2</v>
      </c>
      <c r="P139" s="2017">
        <v>2.5600000000000001E-2</v>
      </c>
      <c r="Q139" s="1980">
        <v>0</v>
      </c>
      <c r="R139" s="1980">
        <v>0</v>
      </c>
      <c r="S139" s="1980">
        <v>0</v>
      </c>
      <c r="T139" s="1980">
        <v>0</v>
      </c>
      <c r="U139" s="2036">
        <v>0</v>
      </c>
    </row>
    <row r="140" spans="2:21" hidden="1" outlineLevel="2">
      <c r="B140" s="1050">
        <v>7</v>
      </c>
      <c r="C140" s="1050" t="str">
        <f t="shared" si="16"/>
        <v>Voiture gazole - courte distance - 2018, France continentale, Base Carbone</v>
      </c>
      <c r="D140" s="1051">
        <f t="shared" si="17"/>
        <v>3</v>
      </c>
      <c r="E140" s="1051" t="str">
        <f>IF(COUNTIF(E$133:E139,F140)&gt;0,"",F140)</f>
        <v>Voiture E85 - mixte - 2018, France continentale, Base Carbone</v>
      </c>
      <c r="F140" s="1051" t="str">
        <f t="shared" si="18"/>
        <v>Voiture E85 - mixte - 2018, France continentale, Base Carbone</v>
      </c>
      <c r="G140" s="1055" t="str">
        <f t="shared" si="19"/>
        <v>Voiture E85 - mixte - 2018, France continentale, Base Carbone; kgCO2e/passager.km, Combustion</v>
      </c>
      <c r="I140" s="2018" t="s">
        <v>3925</v>
      </c>
      <c r="J140" s="1135" t="s">
        <v>2224</v>
      </c>
      <c r="K140" s="1135" t="s">
        <v>1567</v>
      </c>
      <c r="L140" s="1135" t="s">
        <v>1571</v>
      </c>
      <c r="M140" s="2062">
        <v>0.6</v>
      </c>
      <c r="N140" s="1119" t="s">
        <v>1569</v>
      </c>
      <c r="O140" s="1119">
        <v>2.4899999999999999E-2</v>
      </c>
      <c r="P140" s="2017">
        <v>2.4899999999999999E-2</v>
      </c>
      <c r="Q140" s="1980">
        <v>0</v>
      </c>
      <c r="R140" s="1980">
        <v>0</v>
      </c>
      <c r="S140" s="1980">
        <v>0</v>
      </c>
      <c r="T140" s="1980">
        <v>0</v>
      </c>
      <c r="U140" s="2036">
        <v>0</v>
      </c>
    </row>
    <row r="141" spans="2:21" hidden="1" outlineLevel="2">
      <c r="B141" s="1050">
        <v>8</v>
      </c>
      <c r="C141" s="1050" t="str">
        <f t="shared" si="16"/>
        <v>Voiture gazole - longue distance - 2018, France continentale, Base Carbone</v>
      </c>
      <c r="D141" s="1051">
        <f t="shared" si="17"/>
        <v>3</v>
      </c>
      <c r="E141" s="1051" t="str">
        <f>IF(COUNTIF(E$133:E140,F141)&gt;0,"",F141)</f>
        <v/>
      </c>
      <c r="F141" s="1051" t="str">
        <f t="shared" si="18"/>
        <v>Voiture E85 - mixte - 2018, France continentale, Base Carbone</v>
      </c>
      <c r="G141" s="1055" t="str">
        <f t="shared" si="19"/>
        <v>Voiture E85 - mixte - 2018, France continentale, Base Carbone; kgCO2e/passager.km, Amont</v>
      </c>
      <c r="I141" s="2018" t="s">
        <v>3925</v>
      </c>
      <c r="J141" s="1135" t="s">
        <v>2224</v>
      </c>
      <c r="K141" s="1135" t="s">
        <v>1567</v>
      </c>
      <c r="L141" s="1135" t="s">
        <v>1571</v>
      </c>
      <c r="M141" s="2062">
        <v>0.6</v>
      </c>
      <c r="N141" s="1119" t="s">
        <v>1570</v>
      </c>
      <c r="O141" s="1119">
        <v>5.04E-2</v>
      </c>
      <c r="P141" s="2017">
        <v>5.04E-2</v>
      </c>
      <c r="Q141" s="1980">
        <v>0</v>
      </c>
      <c r="R141" s="1980">
        <v>0</v>
      </c>
      <c r="S141" s="1980">
        <v>0</v>
      </c>
      <c r="T141" s="1980">
        <v>0</v>
      </c>
      <c r="U141" s="2036">
        <v>0</v>
      </c>
    </row>
    <row r="142" spans="2:21" hidden="1" outlineLevel="2">
      <c r="B142" s="1050">
        <v>9</v>
      </c>
      <c r="C142" s="1050" t="str">
        <f t="shared" si="16"/>
        <v>Voiture gazole - mixte - 2018, France continentale, Base Carbone</v>
      </c>
      <c r="D142" s="1051">
        <f t="shared" si="17"/>
        <v>3</v>
      </c>
      <c r="E142" s="1051" t="str">
        <f>IF(COUNTIF(E$133:E141,F142)&gt;0,"",F142)</f>
        <v/>
      </c>
      <c r="F142" s="1051" t="str">
        <f t="shared" si="18"/>
        <v>Voiture E85 - mixte - 2018, France continentale, Base Carbone</v>
      </c>
      <c r="G142" s="1055" t="str">
        <f t="shared" si="19"/>
        <v>Voiture E85 - mixte - 2018, France continentale, Base Carbone; kgCO2e/passager.km, Fabrication</v>
      </c>
      <c r="I142" s="2018" t="s">
        <v>3925</v>
      </c>
      <c r="J142" s="1135" t="s">
        <v>2224</v>
      </c>
      <c r="K142" s="1135" t="s">
        <v>1567</v>
      </c>
      <c r="L142" s="1135" t="s">
        <v>1571</v>
      </c>
      <c r="M142" s="2062">
        <v>0.6</v>
      </c>
      <c r="N142" s="1119" t="s">
        <v>332</v>
      </c>
      <c r="O142" s="1119">
        <v>2.5600000000000001E-2</v>
      </c>
      <c r="P142" s="2017">
        <v>2.5600000000000001E-2</v>
      </c>
      <c r="Q142" s="1980">
        <v>0</v>
      </c>
      <c r="R142" s="1980">
        <v>0</v>
      </c>
      <c r="S142" s="1980">
        <v>0</v>
      </c>
      <c r="T142" s="1980">
        <v>0</v>
      </c>
      <c r="U142" s="2036">
        <v>0</v>
      </c>
    </row>
    <row r="143" spans="2:21" hidden="1" outlineLevel="2">
      <c r="B143" s="1050">
        <v>10</v>
      </c>
      <c r="C143" s="1050" t="str">
        <f t="shared" si="16"/>
        <v>Voiture GNV - courte distance - 2018, France continentale, Base Carbone</v>
      </c>
      <c r="D143" s="1051">
        <f t="shared" si="17"/>
        <v>4</v>
      </c>
      <c r="E143" s="1051" t="str">
        <f>IF(COUNTIF(E$133:E142,F143)&gt;0,"",F143)</f>
        <v>Voiture essence - courte distance - 2018, France continentale, Base Carbone</v>
      </c>
      <c r="F143" s="1051" t="str">
        <f t="shared" si="18"/>
        <v>Voiture essence - courte distance - 2018, France continentale, Base Carbone</v>
      </c>
      <c r="G143" s="1055" t="str">
        <f t="shared" si="19"/>
        <v>Voiture essence - courte distance - 2018, France continentale, Base Carbone; kgCO2e/passager.km, Combustion</v>
      </c>
      <c r="I143" s="2018" t="s">
        <v>3926</v>
      </c>
      <c r="J143" s="1135" t="s">
        <v>2224</v>
      </c>
      <c r="K143" s="1135" t="s">
        <v>1567</v>
      </c>
      <c r="L143" s="1135" t="s">
        <v>1571</v>
      </c>
      <c r="M143" s="2062">
        <v>0.6</v>
      </c>
      <c r="N143" s="1135" t="s">
        <v>1569</v>
      </c>
      <c r="O143" s="1119">
        <v>0.122</v>
      </c>
      <c r="P143" s="2017">
        <v>0.122</v>
      </c>
      <c r="Q143" s="1980">
        <v>0</v>
      </c>
      <c r="R143" s="1980">
        <v>0</v>
      </c>
      <c r="S143" s="1980">
        <v>0</v>
      </c>
      <c r="T143" s="1980">
        <v>0</v>
      </c>
      <c r="U143" s="2036">
        <v>0</v>
      </c>
    </row>
    <row r="144" spans="2:21" hidden="1" outlineLevel="2">
      <c r="B144" s="1050">
        <v>11</v>
      </c>
      <c r="C144" s="1050" t="str">
        <f t="shared" si="16"/>
        <v>Voiture GNV - longue distance - 2018, France continentale, Base Carbone</v>
      </c>
      <c r="D144" s="1051">
        <f t="shared" si="17"/>
        <v>4</v>
      </c>
      <c r="E144" s="1051" t="str">
        <f>IF(COUNTIF(E$133:E143,F144)&gt;0,"",F144)</f>
        <v/>
      </c>
      <c r="F144" s="1051" t="str">
        <f t="shared" si="18"/>
        <v>Voiture essence - courte distance - 2018, France continentale, Base Carbone</v>
      </c>
      <c r="G144" s="1055" t="str">
        <f t="shared" si="19"/>
        <v>Voiture essence - courte distance - 2018, France continentale, Base Carbone; kgCO2e/passager.km, Amont</v>
      </c>
      <c r="I144" s="2018" t="s">
        <v>3926</v>
      </c>
      <c r="J144" s="1135" t="s">
        <v>2224</v>
      </c>
      <c r="K144" s="1135" t="s">
        <v>1567</v>
      </c>
      <c r="L144" s="1135" t="s">
        <v>1571</v>
      </c>
      <c r="M144" s="2062">
        <v>0.6</v>
      </c>
      <c r="N144" s="1135" t="s">
        <v>1570</v>
      </c>
      <c r="O144" s="1119">
        <v>2.7E-2</v>
      </c>
      <c r="P144" s="2017">
        <v>2.7E-2</v>
      </c>
      <c r="Q144" s="1980">
        <v>0</v>
      </c>
      <c r="R144" s="1980">
        <v>0</v>
      </c>
      <c r="S144" s="1980">
        <v>0</v>
      </c>
      <c r="T144" s="1980">
        <v>0</v>
      </c>
      <c r="U144" s="2036">
        <v>0</v>
      </c>
    </row>
    <row r="145" spans="2:21" hidden="1" outlineLevel="2">
      <c r="B145" s="1050">
        <v>12</v>
      </c>
      <c r="C145" s="1050" t="str">
        <f t="shared" si="16"/>
        <v>Voiture GNV - mixte - 2018, France continentale, Base Carbone</v>
      </c>
      <c r="D145" s="1051">
        <f t="shared" si="17"/>
        <v>4</v>
      </c>
      <c r="E145" s="1051" t="str">
        <f>IF(COUNTIF(E$133:E144,F145)&gt;0,"",F145)</f>
        <v/>
      </c>
      <c r="F145" s="1051" t="str">
        <f t="shared" si="18"/>
        <v>Voiture essence - courte distance - 2018, France continentale, Base Carbone</v>
      </c>
      <c r="G145" s="1055" t="str">
        <f t="shared" si="19"/>
        <v>Voiture essence - courte distance - 2018, France continentale, Base Carbone; kgCO2e/passager.km, Fabrication</v>
      </c>
      <c r="I145" s="2018" t="s">
        <v>3926</v>
      </c>
      <c r="J145" s="1135" t="s">
        <v>2224</v>
      </c>
      <c r="K145" s="1135" t="s">
        <v>1567</v>
      </c>
      <c r="L145" s="1135" t="s">
        <v>1571</v>
      </c>
      <c r="M145" s="2062">
        <v>0.6</v>
      </c>
      <c r="N145" s="1135" t="s">
        <v>332</v>
      </c>
      <c r="O145" s="1119">
        <v>2.5600000000000001E-2</v>
      </c>
      <c r="P145" s="2017">
        <v>2.5600000000000001E-2</v>
      </c>
      <c r="Q145" s="1980">
        <v>0</v>
      </c>
      <c r="R145" s="1980">
        <v>0</v>
      </c>
      <c r="S145" s="1980">
        <v>0</v>
      </c>
      <c r="T145" s="1980">
        <v>0</v>
      </c>
      <c r="U145" s="2036">
        <v>0</v>
      </c>
    </row>
    <row r="146" spans="2:21" hidden="1" outlineLevel="2">
      <c r="B146" s="1050">
        <v>13</v>
      </c>
      <c r="C146" s="1050" t="str">
        <f t="shared" si="16"/>
        <v>Voiture GPL - courte distance - 2018, France continentale, Base Carbone</v>
      </c>
      <c r="D146" s="1051">
        <f t="shared" si="17"/>
        <v>5</v>
      </c>
      <c r="E146" s="1051" t="str">
        <f>IF(COUNTIF(E$133:E145,F146)&gt;0,"",F146)</f>
        <v>Voiture essence - longue distance - 2018, France continentale, Base Carbone</v>
      </c>
      <c r="F146" s="1051" t="str">
        <f t="shared" si="18"/>
        <v>Voiture essence - longue distance - 2018, France continentale, Base Carbone</v>
      </c>
      <c r="G146" s="1055" t="str">
        <f t="shared" si="19"/>
        <v>Voiture essence - longue distance - 2018, France continentale, Base Carbone; kgCO2e/passager.km, Combustion</v>
      </c>
      <c r="I146" s="2018" t="s">
        <v>3927</v>
      </c>
      <c r="J146" s="1135" t="s">
        <v>2224</v>
      </c>
      <c r="K146" s="1135" t="s">
        <v>1567</v>
      </c>
      <c r="L146" s="1135" t="s">
        <v>1571</v>
      </c>
      <c r="M146" s="2062">
        <v>0.6</v>
      </c>
      <c r="N146" s="1135" t="s">
        <v>1569</v>
      </c>
      <c r="O146" s="1119">
        <v>6.8500000000000005E-2</v>
      </c>
      <c r="P146" s="2017">
        <v>6.8500000000000005E-2</v>
      </c>
      <c r="Q146" s="1980">
        <v>0</v>
      </c>
      <c r="R146" s="1980">
        <v>0</v>
      </c>
      <c r="S146" s="1980">
        <v>0</v>
      </c>
      <c r="T146" s="1980">
        <v>0</v>
      </c>
      <c r="U146" s="2036">
        <v>0</v>
      </c>
    </row>
    <row r="147" spans="2:21" hidden="1" outlineLevel="2">
      <c r="B147" s="1050">
        <v>14</v>
      </c>
      <c r="C147" s="1050" t="str">
        <f t="shared" si="16"/>
        <v>Voiture GPL - longue distance - 2018, France continentale, Base Carbone</v>
      </c>
      <c r="D147" s="1051">
        <f t="shared" si="17"/>
        <v>5</v>
      </c>
      <c r="E147" s="1051" t="str">
        <f>IF(COUNTIF(E$133:E146,F147)&gt;0,"",F147)</f>
        <v/>
      </c>
      <c r="F147" s="1051" t="str">
        <f t="shared" si="18"/>
        <v>Voiture essence - longue distance - 2018, France continentale, Base Carbone</v>
      </c>
      <c r="G147" s="1055" t="str">
        <f t="shared" si="19"/>
        <v>Voiture essence - longue distance - 2018, France continentale, Base Carbone; kgCO2e/passager.km, Amont</v>
      </c>
      <c r="I147" s="2018" t="s">
        <v>3927</v>
      </c>
      <c r="J147" s="1135" t="s">
        <v>2224</v>
      </c>
      <c r="K147" s="1135" t="s">
        <v>1567</v>
      </c>
      <c r="L147" s="1135" t="s">
        <v>1571</v>
      </c>
      <c r="M147" s="2062">
        <v>0.6</v>
      </c>
      <c r="N147" s="1135" t="s">
        <v>1570</v>
      </c>
      <c r="O147" s="1119">
        <v>1.5100000000000001E-2</v>
      </c>
      <c r="P147" s="2017">
        <v>1.5100000000000001E-2</v>
      </c>
      <c r="Q147" s="1980">
        <v>0</v>
      </c>
      <c r="R147" s="1980">
        <v>0</v>
      </c>
      <c r="S147" s="1980">
        <v>0</v>
      </c>
      <c r="T147" s="1980">
        <v>0</v>
      </c>
      <c r="U147" s="2036">
        <v>0</v>
      </c>
    </row>
    <row r="148" spans="2:21" hidden="1" outlineLevel="2">
      <c r="B148" s="1050">
        <v>15</v>
      </c>
      <c r="C148" s="1050" t="str">
        <f t="shared" si="16"/>
        <v>Voiture GPL - mixte - 2018, France continentale, Base Carbone</v>
      </c>
      <c r="D148" s="1051">
        <f t="shared" si="17"/>
        <v>5</v>
      </c>
      <c r="E148" s="1051" t="str">
        <f>IF(COUNTIF(E$133:E147,F148)&gt;0,"",F148)</f>
        <v/>
      </c>
      <c r="F148" s="1051" t="str">
        <f t="shared" si="18"/>
        <v>Voiture essence - longue distance - 2018, France continentale, Base Carbone</v>
      </c>
      <c r="G148" s="1055" t="str">
        <f t="shared" si="19"/>
        <v>Voiture essence - longue distance - 2018, France continentale, Base Carbone; kgCO2e/passager.km, Fabrication</v>
      </c>
      <c r="I148" s="2018" t="s">
        <v>3927</v>
      </c>
      <c r="J148" s="1135" t="s">
        <v>2224</v>
      </c>
      <c r="K148" s="1135" t="s">
        <v>1567</v>
      </c>
      <c r="L148" s="1135" t="s">
        <v>1571</v>
      </c>
      <c r="M148" s="2062">
        <v>0.6</v>
      </c>
      <c r="N148" s="1135" t="s">
        <v>332</v>
      </c>
      <c r="O148" s="1119">
        <v>2.5600000000000001E-2</v>
      </c>
      <c r="P148" s="2017">
        <v>2.5600000000000001E-2</v>
      </c>
      <c r="Q148" s="1980">
        <v>0</v>
      </c>
      <c r="R148" s="1980">
        <v>0</v>
      </c>
      <c r="S148" s="1980">
        <v>0</v>
      </c>
      <c r="T148" s="1980">
        <v>0</v>
      </c>
      <c r="U148" s="2036">
        <v>0</v>
      </c>
    </row>
    <row r="149" spans="2:21" hidden="1" outlineLevel="2">
      <c r="B149" s="1050">
        <v>16</v>
      </c>
      <c r="C149" s="1050" t="str">
        <f t="shared" si="16"/>
        <v>Voiture moyenne - courte distance - 2018, France continentale, Base Carbone</v>
      </c>
      <c r="D149" s="1051">
        <f t="shared" si="17"/>
        <v>6</v>
      </c>
      <c r="E149" s="1051" t="str">
        <f>IF(COUNTIF(E$133:E148,F149)&gt;0,"",F149)</f>
        <v>Voiture essence - mixte - 2018, France continentale, Base Carbone</v>
      </c>
      <c r="F149" s="1051" t="str">
        <f t="shared" si="18"/>
        <v>Voiture essence - mixte - 2018, France continentale, Base Carbone</v>
      </c>
      <c r="G149" s="1055" t="str">
        <f t="shared" si="19"/>
        <v>Voiture essence - mixte - 2018, France continentale, Base Carbone; kgCO2e/passager.km, Combustion</v>
      </c>
      <c r="I149" s="2018" t="s">
        <v>3928</v>
      </c>
      <c r="J149" s="1135" t="s">
        <v>2224</v>
      </c>
      <c r="K149" s="1135" t="s">
        <v>1567</v>
      </c>
      <c r="L149" s="1135" t="s">
        <v>1571</v>
      </c>
      <c r="M149" s="2062">
        <v>0.6</v>
      </c>
      <c r="N149" s="1135" t="s">
        <v>1569</v>
      </c>
      <c r="O149" s="1135">
        <v>0.10100000000000001</v>
      </c>
      <c r="P149" s="2017">
        <v>0.10100000000000001</v>
      </c>
      <c r="Q149" s="1980">
        <v>0</v>
      </c>
      <c r="R149" s="1980">
        <v>0</v>
      </c>
      <c r="S149" s="1980">
        <v>0</v>
      </c>
      <c r="T149" s="1980">
        <v>0</v>
      </c>
      <c r="U149" s="2036">
        <v>0</v>
      </c>
    </row>
    <row r="150" spans="2:21" hidden="1" outlineLevel="2">
      <c r="B150" s="1050">
        <v>17</v>
      </c>
      <c r="C150" s="1050" t="str">
        <f t="shared" si="16"/>
        <v>Voiture moyenne - longue distance - 2018, France continentale, Base Carbone</v>
      </c>
      <c r="D150" s="1051">
        <f t="shared" si="17"/>
        <v>6</v>
      </c>
      <c r="E150" s="1051" t="str">
        <f>IF(COUNTIF(E$133:E149,F150)&gt;0,"",F150)</f>
        <v/>
      </c>
      <c r="F150" s="1051" t="str">
        <f t="shared" si="18"/>
        <v>Voiture essence - mixte - 2018, France continentale, Base Carbone</v>
      </c>
      <c r="G150" s="1055" t="str">
        <f t="shared" si="19"/>
        <v>Voiture essence - mixte - 2018, France continentale, Base Carbone; kgCO2e/passager.km, Amont</v>
      </c>
      <c r="I150" s="2018" t="s">
        <v>3928</v>
      </c>
      <c r="J150" s="1135" t="s">
        <v>2224</v>
      </c>
      <c r="K150" s="1135" t="s">
        <v>1567</v>
      </c>
      <c r="L150" s="1135" t="s">
        <v>1571</v>
      </c>
      <c r="M150" s="2062">
        <v>0.6</v>
      </c>
      <c r="N150" s="1135" t="s">
        <v>1570</v>
      </c>
      <c r="O150" s="1135">
        <v>2.24E-2</v>
      </c>
      <c r="P150" s="2017">
        <v>2.24E-2</v>
      </c>
      <c r="Q150" s="1980">
        <v>0</v>
      </c>
      <c r="R150" s="1980">
        <v>0</v>
      </c>
      <c r="S150" s="1980">
        <v>0</v>
      </c>
      <c r="T150" s="1980">
        <v>0</v>
      </c>
      <c r="U150" s="2036">
        <v>0</v>
      </c>
    </row>
    <row r="151" spans="2:21" hidden="1" outlineLevel="2">
      <c r="B151" s="1050">
        <v>18</v>
      </c>
      <c r="C151" s="1050" t="str">
        <f t="shared" si="16"/>
        <v>Voiture moyenne - mixte - 2018, France continentale, Base Carbone</v>
      </c>
      <c r="D151" s="1051">
        <f t="shared" si="17"/>
        <v>6</v>
      </c>
      <c r="E151" s="1051" t="str">
        <f>IF(COUNTIF(E$133:E150,F151)&gt;0,"",F151)</f>
        <v/>
      </c>
      <c r="F151" s="1051" t="str">
        <f t="shared" si="18"/>
        <v>Voiture essence - mixte - 2018, France continentale, Base Carbone</v>
      </c>
      <c r="G151" s="1055" t="str">
        <f t="shared" si="19"/>
        <v>Voiture essence - mixte - 2018, France continentale, Base Carbone; kgCO2e/passager.km, Fabrication</v>
      </c>
      <c r="I151" s="2018" t="s">
        <v>3928</v>
      </c>
      <c r="J151" s="1135" t="s">
        <v>2224</v>
      </c>
      <c r="K151" s="1135" t="s">
        <v>1567</v>
      </c>
      <c r="L151" s="1135" t="s">
        <v>1571</v>
      </c>
      <c r="M151" s="2062">
        <v>0.6</v>
      </c>
      <c r="N151" s="1135" t="s">
        <v>332</v>
      </c>
      <c r="O151" s="1135">
        <v>2.5600000000000001E-2</v>
      </c>
      <c r="P151" s="2017">
        <v>2.5600000000000001E-2</v>
      </c>
      <c r="Q151" s="1980">
        <v>0</v>
      </c>
      <c r="R151" s="1980">
        <v>0</v>
      </c>
      <c r="S151" s="1980">
        <v>0</v>
      </c>
      <c r="T151" s="1980">
        <v>0</v>
      </c>
      <c r="U151" s="2036">
        <v>0</v>
      </c>
    </row>
    <row r="152" spans="2:21" hidden="1" outlineLevel="2">
      <c r="B152" s="1050">
        <v>19</v>
      </c>
      <c r="C152" s="1050" t="str">
        <f t="shared" si="16"/>
        <v>-</v>
      </c>
      <c r="D152" s="1051">
        <f t="shared" si="17"/>
        <v>7</v>
      </c>
      <c r="E152" s="1051" t="str">
        <f>IF(COUNTIF(E$133:E151,F152)&gt;0,"",F152)</f>
        <v>Voiture gazole - courte distance - 2018, France continentale, Base Carbone</v>
      </c>
      <c r="F152" s="1051" t="str">
        <f t="shared" si="18"/>
        <v>Voiture gazole - courte distance - 2018, France continentale, Base Carbone</v>
      </c>
      <c r="G152" s="1055" t="str">
        <f t="shared" si="19"/>
        <v>Voiture gazole - courte distance - 2018, France continentale, Base Carbone; kgCO2e/passager.km, Combustion</v>
      </c>
      <c r="I152" s="2018" t="s">
        <v>3929</v>
      </c>
      <c r="J152" s="1135" t="s">
        <v>2224</v>
      </c>
      <c r="K152" s="1135" t="s">
        <v>1567</v>
      </c>
      <c r="L152" s="1135" t="s">
        <v>1571</v>
      </c>
      <c r="M152" s="2062">
        <v>0.6</v>
      </c>
      <c r="N152" s="1135" t="s">
        <v>1569</v>
      </c>
      <c r="O152" s="1045">
        <v>0.112</v>
      </c>
      <c r="P152" s="2060">
        <v>0.112</v>
      </c>
      <c r="Q152" s="1980">
        <v>0</v>
      </c>
      <c r="R152" s="1980">
        <v>0</v>
      </c>
      <c r="S152" s="1980">
        <v>0</v>
      </c>
      <c r="T152" s="1980">
        <v>0</v>
      </c>
      <c r="U152" s="2036">
        <v>0</v>
      </c>
    </row>
    <row r="153" spans="2:21" hidden="1" outlineLevel="2">
      <c r="B153" s="1050">
        <v>20</v>
      </c>
      <c r="C153" s="1050" t="str">
        <f t="shared" si="16"/>
        <v>-</v>
      </c>
      <c r="D153" s="1051">
        <f t="shared" si="17"/>
        <v>7</v>
      </c>
      <c r="E153" s="1051" t="str">
        <f>IF(COUNTIF(E$133:E152,F153)&gt;0,"",F153)</f>
        <v/>
      </c>
      <c r="F153" s="1051" t="str">
        <f t="shared" si="18"/>
        <v>Voiture gazole - courte distance - 2018, France continentale, Base Carbone</v>
      </c>
      <c r="G153" s="1055" t="str">
        <f t="shared" si="19"/>
        <v>Voiture gazole - courte distance - 2018, France continentale, Base Carbone; kgCO2e/passager.km, Amont</v>
      </c>
      <c r="I153" s="2018" t="s">
        <v>3929</v>
      </c>
      <c r="J153" s="1135" t="s">
        <v>2224</v>
      </c>
      <c r="K153" s="1135" t="s">
        <v>1567</v>
      </c>
      <c r="L153" s="1135" t="s">
        <v>1571</v>
      </c>
      <c r="M153" s="2062">
        <v>0.6</v>
      </c>
      <c r="N153" s="1135" t="s">
        <v>1570</v>
      </c>
      <c r="O153" s="1045">
        <v>2.7400000000000001E-2</v>
      </c>
      <c r="P153" s="2060">
        <v>2.7400000000000001E-2</v>
      </c>
      <c r="Q153" s="1980">
        <v>0</v>
      </c>
      <c r="R153" s="1980">
        <v>0</v>
      </c>
      <c r="S153" s="1980">
        <v>0</v>
      </c>
      <c r="T153" s="1980">
        <v>0</v>
      </c>
      <c r="U153" s="2036">
        <v>0</v>
      </c>
    </row>
    <row r="154" spans="2:21" hidden="1" outlineLevel="2">
      <c r="B154" s="1050">
        <v>21</v>
      </c>
      <c r="C154" s="1050" t="str">
        <f t="shared" si="16"/>
        <v>-</v>
      </c>
      <c r="D154" s="1051">
        <f t="shared" si="17"/>
        <v>7</v>
      </c>
      <c r="E154" s="1051" t="str">
        <f>IF(COUNTIF(E$133:E153,F154)&gt;0,"",F154)</f>
        <v/>
      </c>
      <c r="F154" s="1051" t="str">
        <f t="shared" si="18"/>
        <v>Voiture gazole - courte distance - 2018, France continentale, Base Carbone</v>
      </c>
      <c r="G154" s="1055" t="str">
        <f t="shared" si="19"/>
        <v>Voiture gazole - courte distance - 2018, France continentale, Base Carbone; kgCO2e/passager.km, Fabrication</v>
      </c>
      <c r="I154" s="2018" t="s">
        <v>3929</v>
      </c>
      <c r="J154" s="1135" t="s">
        <v>2224</v>
      </c>
      <c r="K154" s="1135" t="s">
        <v>1567</v>
      </c>
      <c r="L154" s="1135" t="s">
        <v>1571</v>
      </c>
      <c r="M154" s="2062">
        <v>0.6</v>
      </c>
      <c r="N154" s="1135" t="s">
        <v>332</v>
      </c>
      <c r="O154" s="1045">
        <v>2.5600000000000001E-2</v>
      </c>
      <c r="P154" s="2060">
        <v>2.5600000000000001E-2</v>
      </c>
      <c r="Q154" s="1980">
        <v>0</v>
      </c>
      <c r="R154" s="1980">
        <v>0</v>
      </c>
      <c r="S154" s="1980">
        <v>0</v>
      </c>
      <c r="T154" s="1980">
        <v>0</v>
      </c>
      <c r="U154" s="2036">
        <v>0</v>
      </c>
    </row>
    <row r="155" spans="2:21" hidden="1" outlineLevel="2">
      <c r="B155" s="1050">
        <v>22</v>
      </c>
      <c r="C155" s="1050" t="str">
        <f t="shared" si="16"/>
        <v>-</v>
      </c>
      <c r="D155" s="1051">
        <f t="shared" si="17"/>
        <v>8</v>
      </c>
      <c r="E155" s="1051" t="str">
        <f>IF(COUNTIF(E$133:E154,F155)&gt;0,"",F155)</f>
        <v>Voiture gazole - longue distance - 2018, France continentale, Base Carbone</v>
      </c>
      <c r="F155" s="1051" t="str">
        <f t="shared" si="18"/>
        <v>Voiture gazole - longue distance - 2018, France continentale, Base Carbone</v>
      </c>
      <c r="G155" s="1055" t="str">
        <f t="shared" si="19"/>
        <v>Voiture gazole - longue distance - 2018, France continentale, Base Carbone; kgCO2e/passager.km, Combustion</v>
      </c>
      <c r="I155" s="2018" t="s">
        <v>3930</v>
      </c>
      <c r="J155" s="1135" t="s">
        <v>2224</v>
      </c>
      <c r="K155" s="1135" t="s">
        <v>1567</v>
      </c>
      <c r="L155" s="1135" t="s">
        <v>1571</v>
      </c>
      <c r="M155" s="2062">
        <v>0.6</v>
      </c>
      <c r="N155" s="1135" t="s">
        <v>1569</v>
      </c>
      <c r="O155" s="1045">
        <v>6.3500000000000001E-2</v>
      </c>
      <c r="P155" s="2060">
        <v>6.3500000000000001E-2</v>
      </c>
      <c r="Q155" s="1980">
        <v>0</v>
      </c>
      <c r="R155" s="1980">
        <v>0</v>
      </c>
      <c r="S155" s="1980">
        <v>0</v>
      </c>
      <c r="T155" s="1980">
        <v>0</v>
      </c>
      <c r="U155" s="2036">
        <v>0</v>
      </c>
    </row>
    <row r="156" spans="2:21" hidden="1" outlineLevel="2">
      <c r="B156" s="1050">
        <v>23</v>
      </c>
      <c r="C156" s="1050" t="str">
        <f t="shared" si="16"/>
        <v>-</v>
      </c>
      <c r="D156" s="1051">
        <f t="shared" si="17"/>
        <v>8</v>
      </c>
      <c r="E156" s="1051" t="str">
        <f>IF(COUNTIF(E$133:E155,F156)&gt;0,"",F156)</f>
        <v/>
      </c>
      <c r="F156" s="1051" t="str">
        <f t="shared" si="18"/>
        <v>Voiture gazole - longue distance - 2018, France continentale, Base Carbone</v>
      </c>
      <c r="G156" s="1055" t="str">
        <f t="shared" si="19"/>
        <v>Voiture gazole - longue distance - 2018, France continentale, Base Carbone; kgCO2e/passager.km, Amont</v>
      </c>
      <c r="I156" s="2018" t="s">
        <v>3930</v>
      </c>
      <c r="J156" s="1135" t="s">
        <v>2224</v>
      </c>
      <c r="K156" s="1135" t="s">
        <v>1567</v>
      </c>
      <c r="L156" s="1135" t="s">
        <v>1571</v>
      </c>
      <c r="M156" s="2062">
        <v>0.6</v>
      </c>
      <c r="N156" s="1135" t="s">
        <v>1570</v>
      </c>
      <c r="O156" s="1045">
        <v>1.55E-2</v>
      </c>
      <c r="P156" s="2060">
        <v>1.55E-2</v>
      </c>
      <c r="Q156" s="1980">
        <v>0</v>
      </c>
      <c r="R156" s="1980">
        <v>0</v>
      </c>
      <c r="S156" s="1980">
        <v>0</v>
      </c>
      <c r="T156" s="1980">
        <v>0</v>
      </c>
      <c r="U156" s="2036">
        <v>0</v>
      </c>
    </row>
    <row r="157" spans="2:21" hidden="1" outlineLevel="2">
      <c r="B157" s="1050">
        <v>24</v>
      </c>
      <c r="C157" s="1050" t="str">
        <f t="shared" si="16"/>
        <v>-</v>
      </c>
      <c r="D157" s="1051">
        <f t="shared" si="17"/>
        <v>8</v>
      </c>
      <c r="E157" s="1051" t="str">
        <f>IF(COUNTIF(E$133:E156,F157)&gt;0,"",F157)</f>
        <v/>
      </c>
      <c r="F157" s="1051" t="str">
        <f t="shared" si="18"/>
        <v>Voiture gazole - longue distance - 2018, France continentale, Base Carbone</v>
      </c>
      <c r="G157" s="1055" t="str">
        <f t="shared" si="19"/>
        <v>Voiture gazole - longue distance - 2018, France continentale, Base Carbone; kgCO2e/passager.km, Fabrication</v>
      </c>
      <c r="I157" s="2018" t="s">
        <v>3930</v>
      </c>
      <c r="J157" s="1135" t="s">
        <v>2224</v>
      </c>
      <c r="K157" s="1135" t="s">
        <v>1567</v>
      </c>
      <c r="L157" s="1135" t="s">
        <v>1571</v>
      </c>
      <c r="M157" s="2062">
        <v>0.6</v>
      </c>
      <c r="N157" s="1135" t="s">
        <v>332</v>
      </c>
      <c r="O157" s="1045">
        <v>2.5600000000000001E-2</v>
      </c>
      <c r="P157" s="2060">
        <v>2.5600000000000001E-2</v>
      </c>
      <c r="Q157" s="1980">
        <v>0</v>
      </c>
      <c r="R157" s="1980">
        <v>0</v>
      </c>
      <c r="S157" s="1980">
        <v>0</v>
      </c>
      <c r="T157" s="1980">
        <v>0</v>
      </c>
      <c r="U157" s="2036">
        <v>0</v>
      </c>
    </row>
    <row r="158" spans="2:21" hidden="1" outlineLevel="2">
      <c r="B158" s="1050">
        <v>25</v>
      </c>
      <c r="C158" s="1050" t="str">
        <f t="shared" si="16"/>
        <v>-</v>
      </c>
      <c r="D158" s="1051">
        <f t="shared" si="17"/>
        <v>9</v>
      </c>
      <c r="E158" s="1051" t="str">
        <f>IF(COUNTIF(E$133:E157,F158)&gt;0,"",F158)</f>
        <v>Voiture gazole - mixte - 2018, France continentale, Base Carbone</v>
      </c>
      <c r="F158" s="1051" t="str">
        <f t="shared" si="18"/>
        <v>Voiture gazole - mixte - 2018, France continentale, Base Carbone</v>
      </c>
      <c r="G158" s="1055" t="str">
        <f t="shared" si="19"/>
        <v>Voiture gazole - mixte - 2018, France continentale, Base Carbone; kgCO2e/passager.km, Combustion</v>
      </c>
      <c r="I158" s="2018" t="s">
        <v>3940</v>
      </c>
      <c r="J158" s="1135" t="s">
        <v>2224</v>
      </c>
      <c r="K158" s="1135" t="s">
        <v>1567</v>
      </c>
      <c r="L158" s="1135" t="s">
        <v>1571</v>
      </c>
      <c r="M158" s="2062">
        <v>0.6</v>
      </c>
      <c r="N158" s="1135" t="s">
        <v>1569</v>
      </c>
      <c r="O158" s="1045">
        <v>9.35E-2</v>
      </c>
      <c r="P158" s="2060">
        <v>9.35E-2</v>
      </c>
      <c r="Q158" s="1980">
        <v>0</v>
      </c>
      <c r="R158" s="1980">
        <v>0</v>
      </c>
      <c r="S158" s="1980">
        <v>0</v>
      </c>
      <c r="T158" s="1980">
        <v>0</v>
      </c>
      <c r="U158" s="2036">
        <v>0</v>
      </c>
    </row>
    <row r="159" spans="2:21" hidden="1" outlineLevel="2">
      <c r="B159" s="1050">
        <v>26</v>
      </c>
      <c r="C159" s="1050" t="str">
        <f t="shared" si="16"/>
        <v>-</v>
      </c>
      <c r="D159" s="1051">
        <f t="shared" si="17"/>
        <v>9</v>
      </c>
      <c r="E159" s="1051" t="str">
        <f>IF(COUNTIF(E$133:E158,F159)&gt;0,"",F159)</f>
        <v/>
      </c>
      <c r="F159" s="1051" t="str">
        <f t="shared" si="18"/>
        <v>Voiture gazole - mixte - 2018, France continentale, Base Carbone</v>
      </c>
      <c r="G159" s="1055" t="str">
        <f t="shared" si="19"/>
        <v>Voiture gazole - mixte - 2018, France continentale, Base Carbone; kgCO2e/passager.km, Amont</v>
      </c>
      <c r="I159" s="2018" t="s">
        <v>3940</v>
      </c>
      <c r="J159" s="1135" t="s">
        <v>2224</v>
      </c>
      <c r="K159" s="1135" t="s">
        <v>1567</v>
      </c>
      <c r="L159" s="1135" t="s">
        <v>1571</v>
      </c>
      <c r="M159" s="2062">
        <v>0.6</v>
      </c>
      <c r="N159" s="1135" t="s">
        <v>1570</v>
      </c>
      <c r="O159" s="1045">
        <v>2.2800000000000001E-2</v>
      </c>
      <c r="P159" s="2060">
        <v>2.2800000000000001E-2</v>
      </c>
      <c r="Q159" s="1980">
        <v>0</v>
      </c>
      <c r="R159" s="1980">
        <v>0</v>
      </c>
      <c r="S159" s="1980">
        <v>0</v>
      </c>
      <c r="T159" s="1980">
        <v>0</v>
      </c>
      <c r="U159" s="2036">
        <v>0</v>
      </c>
    </row>
    <row r="160" spans="2:21" hidden="1" outlineLevel="2">
      <c r="B160" s="1050">
        <v>27</v>
      </c>
      <c r="C160" s="1050" t="str">
        <f t="shared" si="16"/>
        <v>-</v>
      </c>
      <c r="D160" s="1051">
        <f t="shared" si="17"/>
        <v>9</v>
      </c>
      <c r="E160" s="1051" t="str">
        <f>IF(COUNTIF(E$133:E159,F160)&gt;0,"",F160)</f>
        <v/>
      </c>
      <c r="F160" s="1051" t="str">
        <f t="shared" si="18"/>
        <v>Voiture gazole - mixte - 2018, France continentale, Base Carbone</v>
      </c>
      <c r="G160" s="1055" t="str">
        <f t="shared" si="19"/>
        <v>Voiture gazole - mixte - 2018, France continentale, Base Carbone; kgCO2e/passager.km, Fabrication</v>
      </c>
      <c r="I160" s="2018" t="s">
        <v>3940</v>
      </c>
      <c r="J160" s="1135" t="s">
        <v>2224</v>
      </c>
      <c r="K160" s="1135" t="s">
        <v>1567</v>
      </c>
      <c r="L160" s="1135" t="s">
        <v>1571</v>
      </c>
      <c r="M160" s="2062">
        <v>0.6</v>
      </c>
      <c r="N160" s="1135" t="s">
        <v>332</v>
      </c>
      <c r="O160" s="1045">
        <v>2.5600000000000001E-2</v>
      </c>
      <c r="P160" s="2060">
        <v>2.5600000000000001E-2</v>
      </c>
      <c r="Q160" s="1980">
        <v>0</v>
      </c>
      <c r="R160" s="1980">
        <v>0</v>
      </c>
      <c r="S160" s="1980">
        <v>0</v>
      </c>
      <c r="T160" s="1980">
        <v>0</v>
      </c>
      <c r="U160" s="2036">
        <v>0</v>
      </c>
    </row>
    <row r="161" spans="2:21" hidden="1" outlineLevel="2">
      <c r="B161" s="1050">
        <v>28</v>
      </c>
      <c r="C161" s="1050" t="str">
        <f t="shared" si="16"/>
        <v>-</v>
      </c>
      <c r="D161" s="1051">
        <f t="shared" si="17"/>
        <v>10</v>
      </c>
      <c r="E161" s="1051" t="str">
        <f>IF(COUNTIF(E$133:E160,F161)&gt;0,"",F161)</f>
        <v>Voiture GNV - courte distance - 2018, France continentale, Base Carbone</v>
      </c>
      <c r="F161" s="1051" t="str">
        <f t="shared" si="18"/>
        <v>Voiture GNV - courte distance - 2018, France continentale, Base Carbone</v>
      </c>
      <c r="G161" s="1055" t="str">
        <f t="shared" si="19"/>
        <v>Voiture GNV - courte distance - 2018, France continentale, Base Carbone; kgCO2e/passager.km, Combustion</v>
      </c>
      <c r="I161" s="2018" t="s">
        <v>3931</v>
      </c>
      <c r="J161" s="1135" t="s">
        <v>2224</v>
      </c>
      <c r="K161" s="1135" t="s">
        <v>1567</v>
      </c>
      <c r="L161" s="1135" t="s">
        <v>1571</v>
      </c>
      <c r="M161" s="2062">
        <v>0.6</v>
      </c>
      <c r="N161" s="1135" t="s">
        <v>1569</v>
      </c>
      <c r="O161" s="1135">
        <v>0.113</v>
      </c>
      <c r="P161" s="2017">
        <v>0.113</v>
      </c>
      <c r="Q161" s="1980">
        <v>0</v>
      </c>
      <c r="R161" s="1980">
        <v>0</v>
      </c>
      <c r="S161" s="1980">
        <v>0</v>
      </c>
      <c r="T161" s="1980">
        <v>0</v>
      </c>
      <c r="U161" s="2036">
        <v>0</v>
      </c>
    </row>
    <row r="162" spans="2:21" hidden="1" outlineLevel="2">
      <c r="B162" s="1050">
        <v>29</v>
      </c>
      <c r="C162" s="1050" t="str">
        <f t="shared" si="16"/>
        <v>-</v>
      </c>
      <c r="D162" s="1051">
        <f t="shared" si="17"/>
        <v>10</v>
      </c>
      <c r="E162" s="1051" t="str">
        <f>IF(COUNTIF(E$133:E161,F162)&gt;0,"",F162)</f>
        <v/>
      </c>
      <c r="F162" s="1051" t="str">
        <f t="shared" si="18"/>
        <v>Voiture GNV - courte distance - 2018, France continentale, Base Carbone</v>
      </c>
      <c r="G162" s="1055" t="str">
        <f t="shared" si="19"/>
        <v>Voiture GNV - courte distance - 2018, France continentale, Base Carbone; kgCO2e/passager.km, Amont</v>
      </c>
      <c r="I162" s="2018" t="s">
        <v>3931</v>
      </c>
      <c r="J162" s="1135" t="s">
        <v>2224</v>
      </c>
      <c r="K162" s="1135" t="s">
        <v>1567</v>
      </c>
      <c r="L162" s="1135" t="s">
        <v>1571</v>
      </c>
      <c r="M162" s="2062">
        <v>0.6</v>
      </c>
      <c r="N162" s="1135" t="s">
        <v>1570</v>
      </c>
      <c r="O162" s="1135">
        <v>2.7E-2</v>
      </c>
      <c r="P162" s="2017">
        <v>2.7E-2</v>
      </c>
      <c r="Q162" s="1980">
        <v>0</v>
      </c>
      <c r="R162" s="1980">
        <v>0</v>
      </c>
      <c r="S162" s="1980">
        <v>0</v>
      </c>
      <c r="T162" s="1980">
        <v>0</v>
      </c>
      <c r="U162" s="2036">
        <v>0</v>
      </c>
    </row>
    <row r="163" spans="2:21" hidden="1" outlineLevel="2">
      <c r="B163" s="1050">
        <v>30</v>
      </c>
      <c r="C163" s="1050" t="str">
        <f t="shared" si="16"/>
        <v>-</v>
      </c>
      <c r="D163" s="1051">
        <f t="shared" si="17"/>
        <v>10</v>
      </c>
      <c r="E163" s="1051" t="str">
        <f>IF(COUNTIF(E$133:E162,F163)&gt;0,"",F163)</f>
        <v/>
      </c>
      <c r="F163" s="1051" t="str">
        <f t="shared" si="18"/>
        <v>Voiture GNV - courte distance - 2018, France continentale, Base Carbone</v>
      </c>
      <c r="G163" s="1055" t="str">
        <f t="shared" si="19"/>
        <v>Voiture GNV - courte distance - 2018, France continentale, Base Carbone; kgCO2e/passager.km, Fabrication</v>
      </c>
      <c r="I163" s="2018" t="s">
        <v>3931</v>
      </c>
      <c r="J163" s="1135" t="s">
        <v>2224</v>
      </c>
      <c r="K163" s="1135" t="s">
        <v>1567</v>
      </c>
      <c r="L163" s="1135" t="s">
        <v>1571</v>
      </c>
      <c r="M163" s="2062">
        <v>0.6</v>
      </c>
      <c r="N163" s="1135" t="s">
        <v>332</v>
      </c>
      <c r="O163" s="1135">
        <v>2.5600000000000001E-2</v>
      </c>
      <c r="P163" s="2017">
        <v>2.5600000000000001E-2</v>
      </c>
      <c r="Q163" s="1980">
        <v>0</v>
      </c>
      <c r="R163" s="1980">
        <v>0</v>
      </c>
      <c r="S163" s="1980">
        <v>0</v>
      </c>
      <c r="T163" s="1980">
        <v>0</v>
      </c>
      <c r="U163" s="2036">
        <v>0</v>
      </c>
    </row>
    <row r="164" spans="2:21" hidden="1" outlineLevel="2">
      <c r="B164" s="1050">
        <v>31</v>
      </c>
      <c r="C164" s="1050" t="str">
        <f t="shared" si="16"/>
        <v>-</v>
      </c>
      <c r="D164" s="1051">
        <f t="shared" si="17"/>
        <v>11</v>
      </c>
      <c r="E164" s="1051" t="str">
        <f>IF(COUNTIF(E$133:E163,F164)&gt;0,"",F164)</f>
        <v>Voiture GNV - longue distance - 2018, France continentale, Base Carbone</v>
      </c>
      <c r="F164" s="1051" t="str">
        <f t="shared" si="18"/>
        <v>Voiture GNV - longue distance - 2018, France continentale, Base Carbone</v>
      </c>
      <c r="G164" s="1055" t="str">
        <f t="shared" si="19"/>
        <v>Voiture GNV - longue distance - 2018, France continentale, Base Carbone; kgCO2e/passager.km, Combustion</v>
      </c>
      <c r="I164" s="2018" t="s">
        <v>3932</v>
      </c>
      <c r="J164" s="1135" t="s">
        <v>2224</v>
      </c>
      <c r="K164" s="1135" t="s">
        <v>1567</v>
      </c>
      <c r="L164" s="1135" t="s">
        <v>1571</v>
      </c>
      <c r="M164" s="2062">
        <v>0.6</v>
      </c>
      <c r="N164" s="1135" t="s">
        <v>1569</v>
      </c>
      <c r="O164" s="1135">
        <v>7.1999999999999995E-2</v>
      </c>
      <c r="P164" s="2017">
        <v>7.1999999999999995E-2</v>
      </c>
      <c r="Q164" s="1980">
        <v>0</v>
      </c>
      <c r="R164" s="1980">
        <v>0</v>
      </c>
      <c r="S164" s="1980">
        <v>0</v>
      </c>
      <c r="T164" s="1980">
        <v>0</v>
      </c>
      <c r="U164" s="2036">
        <v>0</v>
      </c>
    </row>
    <row r="165" spans="2:21" hidden="1" outlineLevel="2">
      <c r="B165" s="1050">
        <v>32</v>
      </c>
      <c r="C165" s="1050" t="str">
        <f t="shared" si="16"/>
        <v>-</v>
      </c>
      <c r="D165" s="1051">
        <f t="shared" si="17"/>
        <v>11</v>
      </c>
      <c r="E165" s="1051" t="str">
        <f>IF(COUNTIF(E$133:E164,F165)&gt;0,"",F165)</f>
        <v/>
      </c>
      <c r="F165" s="1051" t="str">
        <f t="shared" si="18"/>
        <v>Voiture GNV - longue distance - 2018, France continentale, Base Carbone</v>
      </c>
      <c r="G165" s="1055" t="str">
        <f t="shared" si="19"/>
        <v>Voiture GNV - longue distance - 2018, France continentale, Base Carbone; kgCO2e/passager.km, Amont</v>
      </c>
      <c r="I165" s="2018" t="s">
        <v>3932</v>
      </c>
      <c r="J165" s="1135" t="s">
        <v>2224</v>
      </c>
      <c r="K165" s="1135" t="s">
        <v>1567</v>
      </c>
      <c r="L165" s="1135" t="s">
        <v>1571</v>
      </c>
      <c r="M165" s="2062">
        <v>0.6</v>
      </c>
      <c r="N165" s="1135" t="s">
        <v>1570</v>
      </c>
      <c r="O165" s="1135">
        <v>1.7000000000000001E-2</v>
      </c>
      <c r="P165" s="2017">
        <v>1.7000000000000001E-2</v>
      </c>
      <c r="Q165" s="1980">
        <v>0</v>
      </c>
      <c r="R165" s="1980">
        <v>0</v>
      </c>
      <c r="S165" s="1980">
        <v>0</v>
      </c>
      <c r="T165" s="1980">
        <v>0</v>
      </c>
      <c r="U165" s="2036">
        <v>0</v>
      </c>
    </row>
    <row r="166" spans="2:21" hidden="1" outlineLevel="2">
      <c r="B166" s="1050">
        <v>33</v>
      </c>
      <c r="C166" s="1050" t="str">
        <f t="shared" si="16"/>
        <v>-</v>
      </c>
      <c r="D166" s="1051">
        <f t="shared" si="17"/>
        <v>11</v>
      </c>
      <c r="E166" s="1051" t="str">
        <f>IF(COUNTIF(E$133:E165,F166)&gt;0,"",F166)</f>
        <v/>
      </c>
      <c r="F166" s="1051" t="str">
        <f t="shared" si="18"/>
        <v>Voiture GNV - longue distance - 2018, France continentale, Base Carbone</v>
      </c>
      <c r="G166" s="1055" t="str">
        <f t="shared" si="19"/>
        <v>Voiture GNV - longue distance - 2018, France continentale, Base Carbone; kgCO2e/passager.km, Fabrication</v>
      </c>
      <c r="I166" s="2018" t="s">
        <v>3932</v>
      </c>
      <c r="J166" s="1135" t="s">
        <v>2224</v>
      </c>
      <c r="K166" s="1135" t="s">
        <v>1567</v>
      </c>
      <c r="L166" s="1135" t="s">
        <v>1571</v>
      </c>
      <c r="M166" s="2062">
        <v>0.6</v>
      </c>
      <c r="N166" s="1135" t="s">
        <v>332</v>
      </c>
      <c r="O166" s="1135">
        <v>2.5600000000000001E-2</v>
      </c>
      <c r="P166" s="2017">
        <v>2.5600000000000001E-2</v>
      </c>
      <c r="Q166" s="1980">
        <v>0</v>
      </c>
      <c r="R166" s="1980">
        <v>0</v>
      </c>
      <c r="S166" s="1980">
        <v>0</v>
      </c>
      <c r="T166" s="1980">
        <v>0</v>
      </c>
      <c r="U166" s="2036">
        <v>0</v>
      </c>
    </row>
    <row r="167" spans="2:21" hidden="1" outlineLevel="2">
      <c r="B167" s="1050">
        <v>34</v>
      </c>
      <c r="C167" s="1050" t="str">
        <f t="shared" si="16"/>
        <v>-</v>
      </c>
      <c r="D167" s="1051">
        <f t="shared" si="17"/>
        <v>12</v>
      </c>
      <c r="E167" s="1051" t="str">
        <f>IF(COUNTIF(E$133:E166,F167)&gt;0,"",F167)</f>
        <v>Voiture GNV - mixte - 2018, France continentale, Base Carbone</v>
      </c>
      <c r="F167" s="1051" t="str">
        <f t="shared" si="18"/>
        <v>Voiture GNV - mixte - 2018, France continentale, Base Carbone</v>
      </c>
      <c r="G167" s="1055" t="str">
        <f t="shared" si="19"/>
        <v>Voiture GNV - mixte - 2018, France continentale, Base Carbone; kgCO2e/passager.km, Combustion</v>
      </c>
      <c r="I167" s="2018" t="s">
        <v>3933</v>
      </c>
      <c r="J167" s="1135" t="s">
        <v>2224</v>
      </c>
      <c r="K167" s="1135" t="s">
        <v>1567</v>
      </c>
      <c r="L167" s="1135" t="s">
        <v>1571</v>
      </c>
      <c r="M167" s="2062">
        <v>0.6</v>
      </c>
      <c r="N167" s="1135" t="s">
        <v>1569</v>
      </c>
      <c r="O167" s="1135">
        <v>9.9000000000000005E-2</v>
      </c>
      <c r="P167" s="2017">
        <v>9.9000000000000005E-2</v>
      </c>
      <c r="Q167" s="1980">
        <v>0</v>
      </c>
      <c r="R167" s="1980">
        <v>0</v>
      </c>
      <c r="S167" s="1980">
        <v>0</v>
      </c>
      <c r="T167" s="1980">
        <v>0</v>
      </c>
      <c r="U167" s="2036">
        <v>0</v>
      </c>
    </row>
    <row r="168" spans="2:21" hidden="1" outlineLevel="2">
      <c r="B168" s="1050">
        <v>35</v>
      </c>
      <c r="C168" s="1050" t="str">
        <f t="shared" si="16"/>
        <v>-</v>
      </c>
      <c r="D168" s="1051">
        <f t="shared" si="17"/>
        <v>12</v>
      </c>
      <c r="E168" s="1051" t="str">
        <f>IF(COUNTIF(E$133:E167,F168)&gt;0,"",F168)</f>
        <v/>
      </c>
      <c r="F168" s="1051" t="str">
        <f t="shared" si="18"/>
        <v>Voiture GNV - mixte - 2018, France continentale, Base Carbone</v>
      </c>
      <c r="G168" s="1055" t="str">
        <f t="shared" si="19"/>
        <v>Voiture GNV - mixte - 2018, France continentale, Base Carbone; kgCO2e/passager.km, Amont</v>
      </c>
      <c r="I168" s="2018" t="s">
        <v>3933</v>
      </c>
      <c r="J168" s="1135" t="s">
        <v>2224</v>
      </c>
      <c r="K168" s="1135" t="s">
        <v>1567</v>
      </c>
      <c r="L168" s="1135" t="s">
        <v>1571</v>
      </c>
      <c r="M168" s="2062">
        <v>0.6</v>
      </c>
      <c r="N168" s="1135" t="s">
        <v>1570</v>
      </c>
      <c r="O168" s="1135">
        <v>2.3E-2</v>
      </c>
      <c r="P168" s="2017">
        <v>2.3E-2</v>
      </c>
      <c r="Q168" s="1980">
        <v>0</v>
      </c>
      <c r="R168" s="1980">
        <v>0</v>
      </c>
      <c r="S168" s="1980">
        <v>0</v>
      </c>
      <c r="T168" s="1980">
        <v>0</v>
      </c>
      <c r="U168" s="2036">
        <v>0</v>
      </c>
    </row>
    <row r="169" spans="2:21" hidden="1" outlineLevel="2">
      <c r="B169" s="1050"/>
      <c r="C169" s="1050"/>
      <c r="D169" s="1051">
        <f t="shared" si="17"/>
        <v>12</v>
      </c>
      <c r="E169" s="1051" t="str">
        <f>IF(COUNTIF(E$133:E168,F169)&gt;0,"",F169)</f>
        <v/>
      </c>
      <c r="F169" s="1051" t="str">
        <f t="shared" si="18"/>
        <v>Voiture GNV - mixte - 2018, France continentale, Base Carbone</v>
      </c>
      <c r="G169" s="1055" t="str">
        <f t="shared" si="19"/>
        <v>Voiture GNV - mixte - 2018, France continentale, Base Carbone; kgCO2e/passager.km, Fabrication</v>
      </c>
      <c r="I169" s="2018" t="s">
        <v>3933</v>
      </c>
      <c r="J169" s="1135" t="s">
        <v>2224</v>
      </c>
      <c r="K169" s="1135" t="s">
        <v>1567</v>
      </c>
      <c r="L169" s="1135" t="s">
        <v>1571</v>
      </c>
      <c r="M169" s="2062">
        <v>0.6</v>
      </c>
      <c r="N169" s="1135" t="s">
        <v>332</v>
      </c>
      <c r="O169" s="1135">
        <v>2.5600000000000001E-2</v>
      </c>
      <c r="P169" s="2017">
        <v>2.5600000000000001E-2</v>
      </c>
      <c r="Q169" s="1980">
        <v>0</v>
      </c>
      <c r="R169" s="1980">
        <v>0</v>
      </c>
      <c r="S169" s="1980">
        <v>0</v>
      </c>
      <c r="T169" s="1980">
        <v>0</v>
      </c>
      <c r="U169" s="2036">
        <v>0</v>
      </c>
    </row>
    <row r="170" spans="2:21" hidden="1" outlineLevel="2">
      <c r="B170" s="1050"/>
      <c r="C170" s="1050"/>
      <c r="D170" s="1051">
        <f t="shared" si="17"/>
        <v>13</v>
      </c>
      <c r="E170" s="1051" t="str">
        <f>IF(COUNTIF(E$133:E169,F170)&gt;0,"",F170)</f>
        <v>Voiture GPL - courte distance - 2018, France continentale, Base Carbone</v>
      </c>
      <c r="F170" s="1051" t="str">
        <f t="shared" si="18"/>
        <v>Voiture GPL - courte distance - 2018, France continentale, Base Carbone</v>
      </c>
      <c r="G170" s="1055" t="str">
        <f t="shared" si="19"/>
        <v>Voiture GPL - courte distance - 2018, France continentale, Base Carbone; kgCO2e/passager.km, Combustion</v>
      </c>
      <c r="I170" s="2018" t="s">
        <v>3934</v>
      </c>
      <c r="J170" s="1135" t="s">
        <v>2224</v>
      </c>
      <c r="K170" s="1135" t="s">
        <v>1567</v>
      </c>
      <c r="L170" s="1135" t="s">
        <v>1571</v>
      </c>
      <c r="M170" s="2062">
        <v>0.6</v>
      </c>
      <c r="N170" s="1135" t="s">
        <v>1569</v>
      </c>
      <c r="O170" s="1135">
        <v>0.11799999999999999</v>
      </c>
      <c r="P170" s="2017">
        <v>0.11799999999999999</v>
      </c>
      <c r="Q170" s="1980">
        <v>0</v>
      </c>
      <c r="R170" s="1980">
        <v>0</v>
      </c>
      <c r="S170" s="1980">
        <v>0</v>
      </c>
      <c r="T170" s="1980">
        <v>0</v>
      </c>
      <c r="U170" s="2036">
        <v>0</v>
      </c>
    </row>
    <row r="171" spans="2:21" hidden="1" outlineLevel="2">
      <c r="B171" s="1050"/>
      <c r="C171" s="1050"/>
      <c r="D171" s="1051">
        <f t="shared" si="17"/>
        <v>13</v>
      </c>
      <c r="E171" s="1051" t="str">
        <f>IF(COUNTIF(E$133:E170,F171)&gt;0,"",F171)</f>
        <v/>
      </c>
      <c r="F171" s="1051" t="str">
        <f t="shared" si="18"/>
        <v>Voiture GPL - courte distance - 2018, France continentale, Base Carbone</v>
      </c>
      <c r="G171" s="1055" t="str">
        <f t="shared" si="19"/>
        <v>Voiture GPL - courte distance - 2018, France continentale, Base Carbone; kgCO2e/passager.km, Amont</v>
      </c>
      <c r="I171" s="2018" t="s">
        <v>3934</v>
      </c>
      <c r="J171" s="1135" t="s">
        <v>2224</v>
      </c>
      <c r="K171" s="1135" t="s">
        <v>1567</v>
      </c>
      <c r="L171" s="1135" t="s">
        <v>1571</v>
      </c>
      <c r="M171" s="2062">
        <v>0.6</v>
      </c>
      <c r="N171" s="1135" t="s">
        <v>1570</v>
      </c>
      <c r="O171" s="1135">
        <v>1.9E-2</v>
      </c>
      <c r="P171" s="2017">
        <v>1.9E-2</v>
      </c>
      <c r="Q171" s="1980">
        <v>0</v>
      </c>
      <c r="R171" s="1980">
        <v>0</v>
      </c>
      <c r="S171" s="1980">
        <v>0</v>
      </c>
      <c r="T171" s="1980">
        <v>0</v>
      </c>
      <c r="U171" s="2036">
        <v>0</v>
      </c>
    </row>
    <row r="172" spans="2:21" hidden="1" outlineLevel="2">
      <c r="B172" s="1050"/>
      <c r="C172" s="1050"/>
      <c r="D172" s="1051">
        <f t="shared" si="17"/>
        <v>13</v>
      </c>
      <c r="E172" s="1051" t="str">
        <f>IF(COUNTIF(E$133:E171,F172)&gt;0,"",F172)</f>
        <v/>
      </c>
      <c r="F172" s="1051" t="str">
        <f t="shared" si="18"/>
        <v>Voiture GPL - courte distance - 2018, France continentale, Base Carbone</v>
      </c>
      <c r="G172" s="1055" t="str">
        <f t="shared" si="19"/>
        <v>Voiture GPL - courte distance - 2018, France continentale, Base Carbone; kgCO2e/passager.km, Fabrication</v>
      </c>
      <c r="I172" s="2018" t="s">
        <v>3934</v>
      </c>
      <c r="J172" s="1135" t="s">
        <v>2224</v>
      </c>
      <c r="K172" s="1135" t="s">
        <v>1567</v>
      </c>
      <c r="L172" s="1135" t="s">
        <v>1571</v>
      </c>
      <c r="M172" s="2062">
        <v>0.6</v>
      </c>
      <c r="N172" s="1135" t="s">
        <v>332</v>
      </c>
      <c r="O172" s="1135">
        <v>2.5600000000000001E-2</v>
      </c>
      <c r="P172" s="2017">
        <v>2.5600000000000001E-2</v>
      </c>
      <c r="Q172" s="1980">
        <v>0</v>
      </c>
      <c r="R172" s="1980">
        <v>0</v>
      </c>
      <c r="S172" s="1980">
        <v>0</v>
      </c>
      <c r="T172" s="1980">
        <v>0</v>
      </c>
      <c r="U172" s="2036">
        <v>0</v>
      </c>
    </row>
    <row r="173" spans="2:21" hidden="1" outlineLevel="2">
      <c r="B173" s="1050"/>
      <c r="C173" s="1050"/>
      <c r="D173" s="1051">
        <f t="shared" si="17"/>
        <v>14</v>
      </c>
      <c r="E173" s="1051" t="str">
        <f>IF(COUNTIF(E$133:E172,F173)&gt;0,"",F173)</f>
        <v>Voiture GPL - longue distance - 2018, France continentale, Base Carbone</v>
      </c>
      <c r="F173" s="1051" t="str">
        <f t="shared" si="18"/>
        <v>Voiture GPL - longue distance - 2018, France continentale, Base Carbone</v>
      </c>
      <c r="G173" s="1055" t="str">
        <f t="shared" si="19"/>
        <v>Voiture GPL - longue distance - 2018, France continentale, Base Carbone; kgCO2e/passager.km, Combustion</v>
      </c>
      <c r="I173" s="2018" t="s">
        <v>3935</v>
      </c>
      <c r="J173" s="1135" t="s">
        <v>2224</v>
      </c>
      <c r="K173" s="1135" t="s">
        <v>1567</v>
      </c>
      <c r="L173" s="1135" t="s">
        <v>1571</v>
      </c>
      <c r="M173" s="2062">
        <v>0.6</v>
      </c>
      <c r="N173" s="1135" t="s">
        <v>1569</v>
      </c>
      <c r="O173" s="1135">
        <v>7.4999999999999997E-2</v>
      </c>
      <c r="P173" s="2017">
        <v>7.4999999999999997E-2</v>
      </c>
      <c r="Q173" s="1980">
        <v>0</v>
      </c>
      <c r="R173" s="1980">
        <v>0</v>
      </c>
      <c r="S173" s="1980">
        <v>0</v>
      </c>
      <c r="T173" s="1980">
        <v>0</v>
      </c>
      <c r="U173" s="2036">
        <v>0</v>
      </c>
    </row>
    <row r="174" spans="2:21" hidden="1" outlineLevel="2">
      <c r="B174" s="1050"/>
      <c r="C174" s="1050"/>
      <c r="D174" s="1051">
        <f t="shared" si="17"/>
        <v>14</v>
      </c>
      <c r="E174" s="1051" t="str">
        <f>IF(COUNTIF(E$133:E173,F174)&gt;0,"",F174)</f>
        <v/>
      </c>
      <c r="F174" s="1051" t="str">
        <f t="shared" si="18"/>
        <v>Voiture GPL - longue distance - 2018, France continentale, Base Carbone</v>
      </c>
      <c r="G174" s="1055" t="str">
        <f t="shared" si="19"/>
        <v>Voiture GPL - longue distance - 2018, France continentale, Base Carbone; kgCO2e/passager.km, Amont</v>
      </c>
      <c r="I174" s="2018" t="s">
        <v>3935</v>
      </c>
      <c r="J174" s="1135" t="s">
        <v>2224</v>
      </c>
      <c r="K174" s="1135" t="s">
        <v>1567</v>
      </c>
      <c r="L174" s="1135" t="s">
        <v>1571</v>
      </c>
      <c r="M174" s="2062">
        <v>0.6</v>
      </c>
      <c r="N174" s="1135" t="s">
        <v>1570</v>
      </c>
      <c r="O174" s="1135">
        <v>1.2E-2</v>
      </c>
      <c r="P174" s="2017">
        <v>1.2E-2</v>
      </c>
      <c r="Q174" s="1980">
        <v>0</v>
      </c>
      <c r="R174" s="1980">
        <v>0</v>
      </c>
      <c r="S174" s="1980">
        <v>0</v>
      </c>
      <c r="T174" s="1980">
        <v>0</v>
      </c>
      <c r="U174" s="2036">
        <v>0</v>
      </c>
    </row>
    <row r="175" spans="2:21" hidden="1" outlineLevel="2">
      <c r="B175" s="1050"/>
      <c r="C175" s="1050"/>
      <c r="D175" s="1051">
        <f t="shared" si="17"/>
        <v>14</v>
      </c>
      <c r="E175" s="1051" t="str">
        <f>IF(COUNTIF(E$133:E174,F175)&gt;0,"",F175)</f>
        <v/>
      </c>
      <c r="F175" s="1051" t="str">
        <f t="shared" si="18"/>
        <v>Voiture GPL - longue distance - 2018, France continentale, Base Carbone</v>
      </c>
      <c r="G175" s="1055" t="str">
        <f t="shared" si="19"/>
        <v>Voiture GPL - longue distance - 2018, France continentale, Base Carbone; kgCO2e/passager.km, Fabrication</v>
      </c>
      <c r="I175" s="2018" t="s">
        <v>3935</v>
      </c>
      <c r="J175" s="1135" t="s">
        <v>2224</v>
      </c>
      <c r="K175" s="1135" t="s">
        <v>1567</v>
      </c>
      <c r="L175" s="1135" t="s">
        <v>1571</v>
      </c>
      <c r="M175" s="2062">
        <v>0.6</v>
      </c>
      <c r="N175" s="1135" t="s">
        <v>332</v>
      </c>
      <c r="O175" s="1135">
        <v>2.5600000000000001E-2</v>
      </c>
      <c r="P175" s="2017">
        <v>2.5600000000000001E-2</v>
      </c>
      <c r="Q175" s="1980">
        <v>0</v>
      </c>
      <c r="R175" s="1980">
        <v>0</v>
      </c>
      <c r="S175" s="1980">
        <v>0</v>
      </c>
      <c r="T175" s="1980">
        <v>0</v>
      </c>
      <c r="U175" s="2036">
        <v>0</v>
      </c>
    </row>
    <row r="176" spans="2:21" hidden="1" outlineLevel="2">
      <c r="B176" s="1050"/>
      <c r="C176" s="1050"/>
      <c r="D176" s="1051">
        <f t="shared" si="17"/>
        <v>15</v>
      </c>
      <c r="E176" s="1051" t="str">
        <f>IF(COUNTIF(E$133:E175,F176)&gt;0,"",F176)</f>
        <v>Voiture GPL - mixte - 2018, France continentale, Base Carbone</v>
      </c>
      <c r="F176" s="1051" t="str">
        <f t="shared" si="18"/>
        <v>Voiture GPL - mixte - 2018, France continentale, Base Carbone</v>
      </c>
      <c r="G176" s="1055" t="str">
        <f t="shared" si="19"/>
        <v>Voiture GPL - mixte - 2018, France continentale, Base Carbone; kgCO2e/passager.km, Combustion</v>
      </c>
      <c r="I176" s="2018" t="s">
        <v>3936</v>
      </c>
      <c r="J176" s="1135" t="s">
        <v>2224</v>
      </c>
      <c r="K176" s="1135" t="s">
        <v>1567</v>
      </c>
      <c r="L176" s="1135" t="s">
        <v>1571</v>
      </c>
      <c r="M176" s="2062">
        <v>0.6</v>
      </c>
      <c r="N176" s="1135" t="s">
        <v>1569</v>
      </c>
      <c r="O176" s="1135">
        <v>0.10299999999999999</v>
      </c>
      <c r="P176" s="2017">
        <v>0.10299999999999999</v>
      </c>
      <c r="Q176" s="1980">
        <v>0</v>
      </c>
      <c r="R176" s="1980">
        <v>0</v>
      </c>
      <c r="S176" s="1980">
        <v>0</v>
      </c>
      <c r="T176" s="1980">
        <v>0</v>
      </c>
      <c r="U176" s="2036">
        <v>0</v>
      </c>
    </row>
    <row r="177" spans="2:21" hidden="1" outlineLevel="2">
      <c r="B177" s="1050"/>
      <c r="C177" s="1050"/>
      <c r="D177" s="1051">
        <f t="shared" si="17"/>
        <v>15</v>
      </c>
      <c r="E177" s="1051" t="str">
        <f>IF(COUNTIF(E$133:E176,F177)&gt;0,"",F177)</f>
        <v/>
      </c>
      <c r="F177" s="1051" t="str">
        <f t="shared" si="18"/>
        <v>Voiture GPL - mixte - 2018, France continentale, Base Carbone</v>
      </c>
      <c r="G177" s="1055" t="str">
        <f t="shared" si="19"/>
        <v>Voiture GPL - mixte - 2018, France continentale, Base Carbone; kgCO2e/passager.km, Amont</v>
      </c>
      <c r="I177" s="2018" t="s">
        <v>3936</v>
      </c>
      <c r="J177" s="1135" t="s">
        <v>2224</v>
      </c>
      <c r="K177" s="1135" t="s">
        <v>1567</v>
      </c>
      <c r="L177" s="1135" t="s">
        <v>1571</v>
      </c>
      <c r="M177" s="2062">
        <v>0.6</v>
      </c>
      <c r="N177" s="1135" t="s">
        <v>1570</v>
      </c>
      <c r="O177" s="1135">
        <v>1.7000000000000001E-2</v>
      </c>
      <c r="P177" s="2017">
        <v>1.7000000000000001E-2</v>
      </c>
      <c r="Q177" s="1980">
        <v>0</v>
      </c>
      <c r="R177" s="1980">
        <v>0</v>
      </c>
      <c r="S177" s="1980">
        <v>0</v>
      </c>
      <c r="T177" s="1980">
        <v>0</v>
      </c>
      <c r="U177" s="2036">
        <v>0</v>
      </c>
    </row>
    <row r="178" spans="2:21" hidden="1" outlineLevel="2">
      <c r="B178" s="1050"/>
      <c r="C178" s="1050"/>
      <c r="D178" s="1051">
        <f t="shared" si="17"/>
        <v>15</v>
      </c>
      <c r="E178" s="1051" t="str">
        <f>IF(COUNTIF(E$133:E177,F178)&gt;0,"",F178)</f>
        <v/>
      </c>
      <c r="F178" s="1051" t="str">
        <f t="shared" si="18"/>
        <v>Voiture GPL - mixte - 2018, France continentale, Base Carbone</v>
      </c>
      <c r="G178" s="1055" t="str">
        <f t="shared" si="19"/>
        <v>Voiture GPL - mixte - 2018, France continentale, Base Carbone; kgCO2e/passager.km, Fabrication</v>
      </c>
      <c r="I178" s="2018" t="s">
        <v>3936</v>
      </c>
      <c r="J178" s="1135" t="s">
        <v>2224</v>
      </c>
      <c r="K178" s="1135" t="s">
        <v>1567</v>
      </c>
      <c r="L178" s="1135" t="s">
        <v>1571</v>
      </c>
      <c r="M178" s="2062">
        <v>0.6</v>
      </c>
      <c r="N178" s="1135" t="s">
        <v>332</v>
      </c>
      <c r="O178" s="1135">
        <v>2.5600000000000001E-2</v>
      </c>
      <c r="P178" s="2017">
        <v>2.5600000000000001E-2</v>
      </c>
      <c r="Q178" s="1980">
        <v>0</v>
      </c>
      <c r="R178" s="1980">
        <v>0</v>
      </c>
      <c r="S178" s="1980">
        <v>0</v>
      </c>
      <c r="T178" s="1980">
        <v>0</v>
      </c>
      <c r="U178" s="2036">
        <v>0</v>
      </c>
    </row>
    <row r="179" spans="2:21" hidden="1" outlineLevel="2">
      <c r="B179" s="1050"/>
      <c r="C179" s="1050"/>
      <c r="D179" s="1051">
        <f t="shared" si="17"/>
        <v>16</v>
      </c>
      <c r="E179" s="1051" t="str">
        <f>IF(COUNTIF(E$133:E178,F179)&gt;0,"",F179)</f>
        <v>Voiture moyenne - courte distance - 2018, France continentale, Base Carbone</v>
      </c>
      <c r="F179" s="1051" t="str">
        <f t="shared" si="18"/>
        <v>Voiture moyenne - courte distance - 2018, France continentale, Base Carbone</v>
      </c>
      <c r="G179" s="1055" t="str">
        <f t="shared" si="19"/>
        <v>Voiture moyenne - courte distance - 2018, France continentale, Base Carbone; kgCO2e/passager.km, Combustion</v>
      </c>
      <c r="I179" s="2018" t="s">
        <v>3937</v>
      </c>
      <c r="J179" s="1135" t="s">
        <v>2224</v>
      </c>
      <c r="K179" s="1135" t="s">
        <v>1567</v>
      </c>
      <c r="L179" s="1135" t="s">
        <v>1571</v>
      </c>
      <c r="M179" s="2062">
        <v>0.6</v>
      </c>
      <c r="N179" s="2017" t="s">
        <v>1569</v>
      </c>
      <c r="O179" s="1119">
        <v>0.13400000000000001</v>
      </c>
      <c r="P179" s="2017">
        <v>0.13400000000000001</v>
      </c>
      <c r="Q179" s="1980">
        <v>0</v>
      </c>
      <c r="R179" s="1980">
        <v>0</v>
      </c>
      <c r="S179" s="1980">
        <v>0</v>
      </c>
      <c r="T179" s="1980">
        <v>0</v>
      </c>
      <c r="U179" s="2036">
        <v>0</v>
      </c>
    </row>
    <row r="180" spans="2:21" hidden="1" outlineLevel="2">
      <c r="B180" s="1050"/>
      <c r="C180" s="1050"/>
      <c r="D180" s="1051">
        <f t="shared" si="17"/>
        <v>16</v>
      </c>
      <c r="E180" s="1051" t="str">
        <f>IF(COUNTIF(E$133:E179,F180)&gt;0,"",F180)</f>
        <v/>
      </c>
      <c r="F180" s="1051" t="str">
        <f t="shared" si="18"/>
        <v>Voiture moyenne - courte distance - 2018, France continentale, Base Carbone</v>
      </c>
      <c r="G180" s="1055" t="str">
        <f t="shared" si="19"/>
        <v>Voiture moyenne - courte distance - 2018, France continentale, Base Carbone; kgCO2e/passager.km, Fabrication</v>
      </c>
      <c r="I180" s="2018" t="s">
        <v>3937</v>
      </c>
      <c r="J180" s="1135" t="s">
        <v>2224</v>
      </c>
      <c r="K180" s="1135" t="s">
        <v>1567</v>
      </c>
      <c r="L180" s="1135" t="s">
        <v>1571</v>
      </c>
      <c r="M180" s="2062">
        <v>0.6</v>
      </c>
      <c r="N180" s="1119" t="s">
        <v>332</v>
      </c>
      <c r="O180" s="1119">
        <v>2.1700000000000001E-2</v>
      </c>
      <c r="P180" s="2017">
        <v>2.1700000000000001E-2</v>
      </c>
      <c r="Q180" s="1980">
        <v>0</v>
      </c>
      <c r="R180" s="1980">
        <v>0</v>
      </c>
      <c r="S180" s="1980">
        <v>0</v>
      </c>
      <c r="T180" s="1980">
        <v>0</v>
      </c>
      <c r="U180" s="2036">
        <v>0</v>
      </c>
    </row>
    <row r="181" spans="2:21" hidden="1" outlineLevel="2">
      <c r="B181" s="1050"/>
      <c r="C181" s="1050"/>
      <c r="D181" s="1051">
        <f t="shared" si="17"/>
        <v>17</v>
      </c>
      <c r="E181" s="1051" t="str">
        <f>IF(COUNTIF(E$133:E180,F181)&gt;0,"",F181)</f>
        <v>Voiture moyenne - longue distance - 2018, France continentale, Base Carbone</v>
      </c>
      <c r="F181" s="1051" t="str">
        <f t="shared" si="18"/>
        <v>Voiture moyenne - longue distance - 2018, France continentale, Base Carbone</v>
      </c>
      <c r="G181" s="1055" t="str">
        <f t="shared" si="19"/>
        <v>Voiture moyenne - longue distance - 2018, France continentale, Base Carbone; kgCO2e/passager.km, Combustion</v>
      </c>
      <c r="I181" s="2018" t="s">
        <v>3938</v>
      </c>
      <c r="J181" s="1135" t="s">
        <v>2224</v>
      </c>
      <c r="K181" s="1135" t="s">
        <v>1567</v>
      </c>
      <c r="L181" s="1135" t="s">
        <v>1571</v>
      </c>
      <c r="M181" s="2062">
        <v>0.6</v>
      </c>
      <c r="N181" s="2017" t="s">
        <v>1569</v>
      </c>
      <c r="O181" s="1119">
        <v>7.4999999999999997E-2</v>
      </c>
      <c r="P181" s="2017">
        <v>7.4999999999999997E-2</v>
      </c>
      <c r="Q181" s="1980">
        <v>0</v>
      </c>
      <c r="R181" s="1980">
        <v>0</v>
      </c>
      <c r="S181" s="1980">
        <v>0</v>
      </c>
      <c r="T181" s="1980">
        <v>0</v>
      </c>
      <c r="U181" s="2036">
        <v>0</v>
      </c>
    </row>
    <row r="182" spans="2:21" hidden="1" outlineLevel="2">
      <c r="B182" s="1050"/>
      <c r="C182" s="1050"/>
      <c r="D182" s="1051">
        <f t="shared" si="17"/>
        <v>17</v>
      </c>
      <c r="E182" s="1051" t="str">
        <f>IF(COUNTIF(E$133:E181,F182)&gt;0,"",F182)</f>
        <v/>
      </c>
      <c r="F182" s="1051" t="str">
        <f t="shared" si="18"/>
        <v>Voiture moyenne - longue distance - 2018, France continentale, Base Carbone</v>
      </c>
      <c r="G182" s="1055" t="str">
        <f t="shared" si="19"/>
        <v>Voiture moyenne - longue distance - 2018, France continentale, Base Carbone; kgCO2e/passager.km, Fabrication</v>
      </c>
      <c r="I182" s="2018" t="s">
        <v>3938</v>
      </c>
      <c r="J182" s="1135" t="s">
        <v>2224</v>
      </c>
      <c r="K182" s="1135" t="s">
        <v>1567</v>
      </c>
      <c r="L182" s="1135" t="s">
        <v>1571</v>
      </c>
      <c r="M182" s="2062">
        <v>0.6</v>
      </c>
      <c r="N182" s="1119" t="s">
        <v>332</v>
      </c>
      <c r="O182" s="1119">
        <v>2.76E-2</v>
      </c>
      <c r="P182" s="2017">
        <v>2.76E-2</v>
      </c>
      <c r="Q182" s="1980">
        <v>0</v>
      </c>
      <c r="R182" s="1980">
        <v>0</v>
      </c>
      <c r="S182" s="1980">
        <v>0</v>
      </c>
      <c r="T182" s="1980">
        <v>0</v>
      </c>
      <c r="U182" s="2036">
        <v>0</v>
      </c>
    </row>
    <row r="183" spans="2:21" hidden="1" outlineLevel="2">
      <c r="B183" s="1050"/>
      <c r="C183" s="1050"/>
      <c r="D183" s="1051">
        <f t="shared" si="17"/>
        <v>18</v>
      </c>
      <c r="E183" s="1051" t="str">
        <f>IF(COUNTIF(E$133:E182,F183)&gt;0,"",F183)</f>
        <v>Voiture moyenne - mixte - 2018, France continentale, Base Carbone</v>
      </c>
      <c r="F183" s="1051" t="str">
        <f t="shared" si="18"/>
        <v>Voiture moyenne - mixte - 2018, France continentale, Base Carbone</v>
      </c>
      <c r="G183" s="1055" t="str">
        <f t="shared" si="19"/>
        <v>Voiture moyenne - mixte - 2018, France continentale, Base Carbone; kgCO2e/passager.km, Combustion</v>
      </c>
      <c r="I183" s="2018" t="s">
        <v>3939</v>
      </c>
      <c r="J183" s="1135" t="s">
        <v>2224</v>
      </c>
      <c r="K183" s="1135" t="s">
        <v>1567</v>
      </c>
      <c r="L183" s="1135" t="s">
        <v>1571</v>
      </c>
      <c r="M183" s="2062">
        <v>0.6</v>
      </c>
      <c r="N183" s="2017" t="s">
        <v>1569</v>
      </c>
      <c r="O183" s="1119">
        <v>0.111</v>
      </c>
      <c r="P183" s="2017">
        <v>0.111</v>
      </c>
      <c r="Q183" s="1980">
        <v>0</v>
      </c>
      <c r="R183" s="1980">
        <v>0</v>
      </c>
      <c r="S183" s="1980">
        <v>0</v>
      </c>
      <c r="T183" s="1980">
        <v>0</v>
      </c>
      <c r="U183" s="2036">
        <v>0</v>
      </c>
    </row>
    <row r="184" spans="2:21" hidden="1" outlineLevel="2">
      <c r="B184" s="1050"/>
      <c r="C184" s="1050"/>
      <c r="D184" s="1051">
        <f t="shared" si="17"/>
        <v>18</v>
      </c>
      <c r="E184" s="1051" t="str">
        <f>IF(COUNTIF(E$133:E183,F184)&gt;0,"",F184)</f>
        <v/>
      </c>
      <c r="F184" s="1051" t="str">
        <f t="shared" si="18"/>
        <v>Voiture moyenne - mixte - 2018, France continentale, Base Carbone</v>
      </c>
      <c r="G184" s="1055" t="str">
        <f t="shared" si="19"/>
        <v>Voiture moyenne - mixte - 2018, France continentale, Base Carbone; kgCO2e/passager.km, Fabrication</v>
      </c>
      <c r="I184" s="2018" t="s">
        <v>3939</v>
      </c>
      <c r="J184" s="1135" t="s">
        <v>2224</v>
      </c>
      <c r="K184" s="1135" t="s">
        <v>1567</v>
      </c>
      <c r="L184" s="1135" t="s">
        <v>1571</v>
      </c>
      <c r="M184" s="2186">
        <v>0.6</v>
      </c>
      <c r="N184" s="1119" t="s">
        <v>332</v>
      </c>
      <c r="O184" s="2217">
        <v>2.47E-2</v>
      </c>
      <c r="P184" s="1981">
        <v>2.47E-2</v>
      </c>
      <c r="Q184" s="1980">
        <v>0</v>
      </c>
      <c r="R184" s="1980">
        <v>0</v>
      </c>
      <c r="S184" s="1980">
        <v>0</v>
      </c>
      <c r="T184" s="1980">
        <v>0</v>
      </c>
      <c r="U184" s="2036">
        <v>0</v>
      </c>
    </row>
    <row r="185" spans="2:21" hidden="1" outlineLevel="2">
      <c r="B185" s="1050"/>
      <c r="C185" s="1050"/>
      <c r="D185" s="1051">
        <f t="shared" si="17"/>
        <v>18</v>
      </c>
      <c r="E185" s="1051" t="str">
        <f>IF(COUNTIF(E$133:E184,F185)&gt;0,"",F185)</f>
        <v/>
      </c>
      <c r="F185" s="1051" t="str">
        <f t="shared" si="18"/>
        <v/>
      </c>
      <c r="G185" s="1055" t="str">
        <f t="shared" si="19"/>
        <v/>
      </c>
      <c r="I185" s="2018"/>
      <c r="J185" s="1135"/>
      <c r="K185" s="1119"/>
      <c r="L185" s="1119"/>
      <c r="M185" s="2186"/>
      <c r="N185" s="1119"/>
      <c r="O185" s="2510"/>
      <c r="P185" s="1980"/>
      <c r="Q185" s="1980"/>
      <c r="R185" s="1980"/>
      <c r="S185" s="1980"/>
      <c r="T185" s="1980"/>
      <c r="U185" s="2036"/>
    </row>
    <row r="186" spans="2:21" hidden="1" outlineLevel="2">
      <c r="B186" s="1050"/>
      <c r="C186" s="1050"/>
      <c r="D186" s="1051">
        <f t="shared" si="17"/>
        <v>18</v>
      </c>
      <c r="E186" s="1051" t="str">
        <f>IF(COUNTIF(E$133:E185,F186)&gt;0,"",F186)</f>
        <v/>
      </c>
      <c r="F186" s="1051" t="str">
        <f t="shared" si="18"/>
        <v/>
      </c>
      <c r="G186" s="1055" t="str">
        <f t="shared" si="19"/>
        <v/>
      </c>
      <c r="I186" s="2018"/>
      <c r="J186" s="1135"/>
      <c r="K186" s="1119"/>
      <c r="L186" s="1119"/>
      <c r="M186" s="2186"/>
      <c r="N186" s="1119"/>
      <c r="O186" s="1977"/>
      <c r="P186" s="1980"/>
      <c r="Q186" s="1980"/>
      <c r="R186" s="1980"/>
      <c r="S186" s="1980"/>
      <c r="T186" s="1980"/>
      <c r="U186" s="2036"/>
    </row>
    <row r="187" spans="2:21" hidden="1" outlineLevel="2">
      <c r="B187" s="1050"/>
      <c r="C187" s="1050"/>
      <c r="D187" s="1051">
        <f t="shared" si="17"/>
        <v>18</v>
      </c>
      <c r="E187" s="1051" t="str">
        <f>IF(COUNTIF(E$133:E186,F187)&gt;0,"",F187)</f>
        <v/>
      </c>
      <c r="F187" s="1051" t="str">
        <f t="shared" si="18"/>
        <v/>
      </c>
      <c r="G187" s="1055" t="str">
        <f t="shared" si="19"/>
        <v/>
      </c>
      <c r="I187" s="2018"/>
      <c r="J187" s="1135"/>
      <c r="K187" s="1119"/>
      <c r="L187" s="1119"/>
      <c r="M187" s="2186"/>
      <c r="N187" s="1119"/>
      <c r="O187" s="1977"/>
      <c r="P187" s="1980"/>
      <c r="Q187" s="1980"/>
      <c r="R187" s="1980"/>
      <c r="S187" s="1980"/>
      <c r="T187" s="1980"/>
      <c r="U187" s="2036"/>
    </row>
    <row r="188" spans="2:21" hidden="1" outlineLevel="2">
      <c r="B188" s="1050"/>
      <c r="C188" s="1050"/>
      <c r="D188" s="1051">
        <f t="shared" si="17"/>
        <v>18</v>
      </c>
      <c r="E188" s="1051" t="str">
        <f>IF(COUNTIF(E$133:E187,F188)&gt;0,"",F188)</f>
        <v/>
      </c>
      <c r="F188" s="1051" t="str">
        <f t="shared" si="18"/>
        <v/>
      </c>
      <c r="G188" s="1055" t="str">
        <f t="shared" si="19"/>
        <v/>
      </c>
      <c r="I188" s="2018"/>
      <c r="J188" s="1135"/>
      <c r="K188" s="1119"/>
      <c r="L188" s="1119"/>
      <c r="M188" s="2186"/>
      <c r="N188" s="1119"/>
      <c r="O188" s="1977"/>
      <c r="P188" s="1980"/>
      <c r="Q188" s="1980"/>
      <c r="R188" s="1980"/>
      <c r="S188" s="1980"/>
      <c r="T188" s="1980"/>
      <c r="U188" s="2036"/>
    </row>
    <row r="189" spans="2:21" hidden="1" outlineLevel="2">
      <c r="B189" s="1050"/>
      <c r="C189" s="1050"/>
      <c r="D189" s="1051">
        <f t="shared" si="17"/>
        <v>18</v>
      </c>
      <c r="E189" s="1051" t="str">
        <f>IF(COUNTIF(E$133:E188,F189)&gt;0,"",F189)</f>
        <v/>
      </c>
      <c r="F189" s="1051" t="str">
        <f t="shared" si="18"/>
        <v/>
      </c>
      <c r="G189" s="1055" t="str">
        <f t="shared" si="19"/>
        <v/>
      </c>
      <c r="I189" s="2018"/>
      <c r="J189" s="1135"/>
      <c r="K189" s="1119"/>
      <c r="L189" s="1119"/>
      <c r="M189" s="2186"/>
      <c r="N189" s="1119"/>
      <c r="O189" s="1977"/>
      <c r="P189" s="1980"/>
      <c r="Q189" s="1980"/>
      <c r="R189" s="1980"/>
      <c r="S189" s="1980"/>
      <c r="T189" s="1980"/>
      <c r="U189" s="2036"/>
    </row>
    <row r="190" spans="2:21" hidden="1" outlineLevel="2">
      <c r="B190" s="1050"/>
      <c r="C190" s="1050"/>
      <c r="D190" s="1051">
        <f t="shared" si="17"/>
        <v>18</v>
      </c>
      <c r="E190" s="1051" t="str">
        <f>IF(COUNTIF(E$133:E189,F190)&gt;0,"",F190)</f>
        <v/>
      </c>
      <c r="F190" s="1051" t="str">
        <f t="shared" si="18"/>
        <v/>
      </c>
      <c r="G190" s="1055" t="str">
        <f t="shared" si="19"/>
        <v/>
      </c>
      <c r="I190" s="2018"/>
      <c r="J190" s="1135"/>
      <c r="K190" s="1119"/>
      <c r="L190" s="1119"/>
      <c r="M190" s="2186"/>
      <c r="N190" s="1119"/>
      <c r="O190" s="1977"/>
      <c r="P190" s="1980"/>
      <c r="Q190" s="1980"/>
      <c r="R190" s="1980"/>
      <c r="S190" s="1980"/>
      <c r="T190" s="1980"/>
      <c r="U190" s="2036"/>
    </row>
    <row r="191" spans="2:21" hidden="1" outlineLevel="2">
      <c r="B191" s="1050"/>
      <c r="C191" s="1050"/>
      <c r="D191" s="1051">
        <f t="shared" si="17"/>
        <v>18</v>
      </c>
      <c r="E191" s="1051" t="str">
        <f>IF(COUNTIF(E$133:E190,F191)&gt;0,"",F191)</f>
        <v/>
      </c>
      <c r="F191" s="1051" t="str">
        <f t="shared" si="18"/>
        <v/>
      </c>
      <c r="G191" s="1055" t="str">
        <f t="shared" si="19"/>
        <v/>
      </c>
      <c r="I191" s="2018"/>
      <c r="J191" s="1135"/>
      <c r="K191" s="1119"/>
      <c r="L191" s="1119"/>
      <c r="M191" s="2186"/>
      <c r="N191" s="1119"/>
      <c r="O191" s="1977"/>
      <c r="P191" s="1980"/>
      <c r="Q191" s="1980"/>
      <c r="R191" s="1980"/>
      <c r="S191" s="1980"/>
      <c r="T191" s="1980"/>
      <c r="U191" s="2036"/>
    </row>
    <row r="192" spans="2:21" hidden="1" outlineLevel="2">
      <c r="B192" s="1050"/>
      <c r="C192" s="1050"/>
      <c r="D192" s="1051">
        <f t="shared" si="17"/>
        <v>18</v>
      </c>
      <c r="E192" s="1051" t="str">
        <f>IF(COUNTIF(E$133:E191,F192)&gt;0,"",F192)</f>
        <v/>
      </c>
      <c r="F192" s="1051" t="str">
        <f t="shared" si="18"/>
        <v/>
      </c>
      <c r="G192" s="1055" t="str">
        <f t="shared" si="19"/>
        <v/>
      </c>
      <c r="I192" s="2018"/>
      <c r="J192" s="1135"/>
      <c r="K192" s="1119"/>
      <c r="L192" s="1119"/>
      <c r="M192" s="2186"/>
      <c r="N192" s="1119"/>
      <c r="O192" s="1977"/>
      <c r="P192" s="1980"/>
      <c r="Q192" s="1980"/>
      <c r="R192" s="1980"/>
      <c r="S192" s="1980"/>
      <c r="T192" s="1980"/>
      <c r="U192" s="2036"/>
    </row>
    <row r="193" spans="2:21" hidden="1" outlineLevel="2">
      <c r="B193" s="1050"/>
      <c r="C193" s="1050"/>
      <c r="D193" s="1051">
        <f t="shared" si="17"/>
        <v>18</v>
      </c>
      <c r="E193" s="1051" t="str">
        <f>IF(COUNTIF(E$133:E192,F193)&gt;0,"",F193)</f>
        <v/>
      </c>
      <c r="F193" s="1051" t="str">
        <f t="shared" si="18"/>
        <v/>
      </c>
      <c r="G193" s="1055" t="str">
        <f t="shared" si="19"/>
        <v/>
      </c>
      <c r="I193" s="2018"/>
      <c r="J193" s="1135"/>
      <c r="K193" s="1119"/>
      <c r="L193" s="1119"/>
      <c r="M193" s="2186"/>
      <c r="N193" s="1119"/>
      <c r="O193" s="1977"/>
      <c r="P193" s="1980"/>
      <c r="Q193" s="1980"/>
      <c r="R193" s="1980"/>
      <c r="S193" s="1980"/>
      <c r="T193" s="1980"/>
      <c r="U193" s="2036"/>
    </row>
    <row r="194" spans="2:21" hidden="1" outlineLevel="2">
      <c r="B194" s="1050"/>
      <c r="C194" s="1050"/>
      <c r="D194" s="1051">
        <f t="shared" si="17"/>
        <v>18</v>
      </c>
      <c r="E194" s="1051" t="str">
        <f>IF(COUNTIF(E$133:E193,F194)&gt;0,"",F194)</f>
        <v/>
      </c>
      <c r="F194" s="1051" t="str">
        <f t="shared" si="18"/>
        <v/>
      </c>
      <c r="G194" s="1055" t="str">
        <f t="shared" si="19"/>
        <v/>
      </c>
      <c r="I194" s="2018"/>
      <c r="J194" s="1135"/>
      <c r="K194" s="1119"/>
      <c r="L194" s="1119"/>
      <c r="M194" s="2186"/>
      <c r="N194" s="1119"/>
      <c r="O194" s="1977"/>
      <c r="P194" s="1980"/>
      <c r="Q194" s="1980"/>
      <c r="R194" s="1980"/>
      <c r="S194" s="1980"/>
      <c r="T194" s="1980"/>
      <c r="U194" s="2036"/>
    </row>
    <row r="195" spans="2:21" hidden="1" outlineLevel="2">
      <c r="B195" s="1050"/>
      <c r="C195" s="1050"/>
      <c r="D195" s="1051">
        <f t="shared" si="17"/>
        <v>18</v>
      </c>
      <c r="E195" s="1051" t="str">
        <f>IF(COUNTIF(E$133:E194,F195)&gt;0,"",F195)</f>
        <v/>
      </c>
      <c r="F195" s="1051" t="str">
        <f t="shared" si="18"/>
        <v/>
      </c>
      <c r="G195" s="1055" t="str">
        <f t="shared" si="19"/>
        <v/>
      </c>
      <c r="I195" s="1100"/>
      <c r="J195" s="1048"/>
      <c r="K195" s="1048"/>
      <c r="L195" s="1048"/>
      <c r="M195" s="1048"/>
      <c r="N195" s="1048"/>
      <c r="O195" s="1048"/>
      <c r="P195" s="1048"/>
      <c r="Q195" s="1048"/>
      <c r="R195" s="1048"/>
      <c r="S195" s="1048"/>
      <c r="T195" s="1980"/>
      <c r="U195" s="1102"/>
    </row>
    <row r="196" spans="2:21" hidden="1" outlineLevel="2">
      <c r="B196" s="1050"/>
      <c r="C196" s="1050"/>
      <c r="D196" s="1051">
        <f t="shared" si="17"/>
        <v>18</v>
      </c>
      <c r="E196" s="1051" t="str">
        <f>IF(COUNTIF(E$133:E195,F196)&gt;0,"",F196)</f>
        <v/>
      </c>
      <c r="F196" s="1051" t="str">
        <f t="shared" si="18"/>
        <v/>
      </c>
      <c r="G196" s="1055" t="str">
        <f t="shared" si="19"/>
        <v/>
      </c>
      <c r="I196" s="1100"/>
      <c r="J196" s="1048"/>
      <c r="K196" s="1048"/>
      <c r="L196" s="1048"/>
      <c r="M196" s="1048"/>
      <c r="N196" s="1048"/>
      <c r="O196" s="1048"/>
      <c r="P196" s="1048"/>
      <c r="Q196" s="1048"/>
      <c r="R196" s="1048"/>
      <c r="S196" s="1048"/>
      <c r="T196" s="1048"/>
      <c r="U196" s="1102"/>
    </row>
    <row r="197" spans="2:21" hidden="1" outlineLevel="2">
      <c r="B197" s="1050"/>
      <c r="C197" s="1050"/>
      <c r="D197" s="1051">
        <f t="shared" si="17"/>
        <v>18</v>
      </c>
      <c r="E197" s="1051" t="str">
        <f>IF(COUNTIF(E$133:E196,F197)&gt;0,"",F197)</f>
        <v/>
      </c>
      <c r="F197" s="1051" t="str">
        <f t="shared" si="18"/>
        <v/>
      </c>
      <c r="G197" s="1055" t="str">
        <f t="shared" si="19"/>
        <v/>
      </c>
      <c r="I197" s="1100"/>
      <c r="J197" s="1048"/>
      <c r="K197" s="1048"/>
      <c r="L197" s="1048"/>
      <c r="M197" s="1048"/>
      <c r="N197" s="1048"/>
      <c r="O197" s="1048"/>
      <c r="P197" s="1048"/>
      <c r="Q197" s="1048"/>
      <c r="R197" s="1048"/>
      <c r="S197" s="1048"/>
      <c r="T197" s="1048"/>
      <c r="U197" s="1102"/>
    </row>
    <row r="198" spans="2:21" hidden="1" outlineLevel="2">
      <c r="B198" s="1050"/>
      <c r="C198" s="1050"/>
      <c r="D198" s="1051">
        <f t="shared" si="17"/>
        <v>18</v>
      </c>
      <c r="E198" s="1051" t="str">
        <f>IF(COUNTIF(E$133:E197,F198)&gt;0,"",F198)</f>
        <v/>
      </c>
      <c r="F198" s="1051" t="str">
        <f t="shared" si="18"/>
        <v/>
      </c>
      <c r="G198" s="1055" t="str">
        <f t="shared" si="19"/>
        <v/>
      </c>
      <c r="I198" s="1100"/>
      <c r="J198" s="1048"/>
      <c r="K198" s="1048"/>
      <c r="L198" s="1048"/>
      <c r="M198" s="1048"/>
      <c r="N198" s="1048"/>
      <c r="O198" s="1048"/>
      <c r="P198" s="1048"/>
      <c r="Q198" s="1048"/>
      <c r="R198" s="1048"/>
      <c r="S198" s="1048"/>
      <c r="T198" s="1048"/>
      <c r="U198" s="1102"/>
    </row>
    <row r="199" spans="2:21" hidden="1" outlineLevel="2">
      <c r="B199" s="1050"/>
      <c r="C199" s="1050"/>
      <c r="D199" s="1051">
        <f t="shared" ref="D199" si="20">D198+IF(LEN(E199)&gt;0,1,0)</f>
        <v>18</v>
      </c>
      <c r="E199" s="1051" t="str">
        <f>IF(COUNTIF(E$133:E198,F199)&gt;0,"",F199)</f>
        <v/>
      </c>
      <c r="F199" s="1051" t="str">
        <f t="shared" ref="F199" si="21">IF(I199&lt;&gt;"",I199&amp;IF(L199&lt;&gt;"",", "&amp;L199,"")&amp;IF(K199&lt;&gt;"",", "&amp;K199,""),"")</f>
        <v/>
      </c>
      <c r="G199" s="1055" t="str">
        <f t="shared" ref="G199" si="22">IF(F199&lt;&gt;"",F199&amp;IF(J199&lt;&gt;"","; "&amp;J199&amp;IF(N199&lt;&gt;"",", "&amp;N199,),""),"")</f>
        <v/>
      </c>
      <c r="I199" s="1100"/>
      <c r="J199" s="1048"/>
      <c r="K199" s="1048"/>
      <c r="L199" s="1048"/>
      <c r="M199" s="1048"/>
      <c r="N199" s="1048"/>
      <c r="O199" s="1048"/>
      <c r="P199" s="1048"/>
      <c r="Q199" s="1048"/>
      <c r="R199" s="1048"/>
      <c r="S199" s="1048"/>
      <c r="T199" s="1048"/>
      <c r="U199" s="1102"/>
    </row>
    <row r="200" spans="2:21" s="1045" customFormat="1" hidden="1" outlineLevel="1">
      <c r="G200" s="1135"/>
      <c r="I200" s="1711"/>
      <c r="J200" s="1712"/>
      <c r="K200" s="1712"/>
      <c r="L200" s="1712"/>
      <c r="M200" s="1712"/>
      <c r="N200" s="1712"/>
      <c r="O200" s="1712"/>
      <c r="P200" s="1712"/>
      <c r="Q200" s="1712"/>
      <c r="R200" s="1712"/>
      <c r="S200" s="1712"/>
      <c r="T200" s="1712"/>
      <c r="U200" s="1714"/>
    </row>
    <row r="201" spans="2:21" s="1045" customFormat="1" ht="12.75" hidden="1" customHeight="1" outlineLevel="1" collapsed="1">
      <c r="B201" s="3156" t="s">
        <v>3914</v>
      </c>
      <c r="C201" s="3156"/>
      <c r="D201" s="1051">
        <v>0</v>
      </c>
      <c r="E201" s="1051"/>
      <c r="F201" s="1051"/>
      <c r="G201" s="1054"/>
      <c r="H201" s="1046"/>
      <c r="I201" s="1746"/>
      <c r="J201" s="1742"/>
      <c r="K201" s="1743"/>
      <c r="L201" s="1743"/>
      <c r="M201" s="1744"/>
      <c r="N201" s="1742"/>
      <c r="O201" s="1745"/>
      <c r="P201" s="1743"/>
      <c r="Q201" s="1743"/>
      <c r="R201" s="1745"/>
      <c r="S201" s="1745"/>
      <c r="T201" s="1743"/>
      <c r="U201" s="1747"/>
    </row>
    <row r="202" spans="2:21" hidden="1" outlineLevel="2">
      <c r="B202" s="1050">
        <v>1</v>
      </c>
      <c r="C202" s="1050" t="str">
        <f>IF(ISNA(VLOOKUP(B202,$D$201:$E$245,2,FALSE)),"-",VLOOKUP(B202,$D$201:$E$245,2,FALSE))</f>
        <v>Hoverboard, France continentale, Base Carbone</v>
      </c>
      <c r="D202" s="1051">
        <f>D201+IF(LEN(E202)&gt;0,1,0)</f>
        <v>1</v>
      </c>
      <c r="E202" s="1051" t="str">
        <f>IF(COUNTIF(E$201:E201,F202)&gt;0,"",F202)</f>
        <v>Hoverboard, France continentale, Base Carbone</v>
      </c>
      <c r="F202" s="1051" t="str">
        <f>IF(I202&lt;&gt;"",I202&amp;IF(L202&lt;&gt;"",", "&amp;L202,"")&amp;IF(K202&lt;&gt;"",", "&amp;K202,""),"")</f>
        <v>Hoverboard, France continentale, Base Carbone</v>
      </c>
      <c r="G202" s="1055" t="str">
        <f>IF(F202&lt;&gt;"",F202&amp;IF(J202&lt;&gt;"","; "&amp;J202&amp;IF(N202&lt;&gt;""," "&amp;N202,),""),"")</f>
        <v>Hoverboard, France continentale, Base Carbone; kgCO2e/heure Combustion</v>
      </c>
      <c r="I202" s="2018" t="s">
        <v>4119</v>
      </c>
      <c r="J202" s="1045" t="s">
        <v>4120</v>
      </c>
      <c r="K202" s="1045" t="s">
        <v>1567</v>
      </c>
      <c r="L202" s="1045" t="s">
        <v>1571</v>
      </c>
      <c r="M202" s="2215">
        <v>0.5</v>
      </c>
      <c r="N202" s="1045" t="s">
        <v>1569</v>
      </c>
      <c r="O202" s="2045">
        <v>6.2500000000000003E-3</v>
      </c>
      <c r="P202" s="2302">
        <v>6.2500000000000003E-3</v>
      </c>
      <c r="Q202" s="1980">
        <v>0</v>
      </c>
      <c r="R202" s="1980">
        <v>0</v>
      </c>
      <c r="S202" s="1980">
        <v>0</v>
      </c>
      <c r="T202" s="1980">
        <v>0</v>
      </c>
      <c r="U202" s="2036">
        <v>0</v>
      </c>
    </row>
    <row r="203" spans="2:21" hidden="1" outlineLevel="2">
      <c r="B203" s="1050">
        <v>2</v>
      </c>
      <c r="C203" s="1050" t="str">
        <f t="shared" ref="C203:C228" si="23">IF(ISNA(VLOOKUP(B203,$D$201:$E$245,2,FALSE)),"-",VLOOKUP(B203,$D$201:$E$245,2,FALSE))</f>
        <v>Cyclomoteur - mixte - 2018, France continentale, Base Carbone</v>
      </c>
      <c r="D203" s="1051">
        <f t="shared" ref="D203:D245" si="24">D202+IF(LEN(E203)&gt;0,1,0)</f>
        <v>1</v>
      </c>
      <c r="E203" s="1051" t="str">
        <f>IF(COUNTIF(E$201:E202,F203)&gt;0,"",F203)</f>
        <v/>
      </c>
      <c r="F203" s="1051" t="str">
        <f t="shared" ref="F203:F245" si="25">IF(I203&lt;&gt;"",I203&amp;IF(L203&lt;&gt;"",", "&amp;L203,"")&amp;IF(K203&lt;&gt;"",", "&amp;K203,""),"")</f>
        <v>Hoverboard, France continentale, Base Carbone</v>
      </c>
      <c r="G203" s="1055" t="str">
        <f t="shared" ref="G203:G245" si="26">IF(F203&lt;&gt;"",F203&amp;IF(J203&lt;&gt;"","; "&amp;J203&amp;IF(N203&lt;&gt;""," "&amp;N203,),""),"")</f>
        <v>Hoverboard, France continentale, Base Carbone; kgCO2e/heure Amont</v>
      </c>
      <c r="I203" s="1034" t="s">
        <v>4119</v>
      </c>
      <c r="J203" s="1032" t="s">
        <v>4120</v>
      </c>
      <c r="K203" s="1119" t="s">
        <v>1567</v>
      </c>
      <c r="L203" s="1119" t="s">
        <v>1571</v>
      </c>
      <c r="M203" s="1033">
        <v>0.5</v>
      </c>
      <c r="N203" s="1119" t="s">
        <v>1570</v>
      </c>
      <c r="O203" s="1036">
        <v>0.95899999999999996</v>
      </c>
      <c r="P203" s="1980">
        <v>0.95899999999999996</v>
      </c>
      <c r="Q203" s="1980">
        <v>0</v>
      </c>
      <c r="R203" s="1980">
        <v>0</v>
      </c>
      <c r="S203" s="1980">
        <v>0</v>
      </c>
      <c r="T203" s="1980">
        <v>0</v>
      </c>
      <c r="U203" s="2036">
        <v>0</v>
      </c>
    </row>
    <row r="204" spans="2:21" hidden="1" outlineLevel="2">
      <c r="B204" s="1050">
        <v>3</v>
      </c>
      <c r="C204" s="1050" t="str">
        <f t="shared" si="23"/>
        <v>Cyclomoteur - rural - 2018, France continentale, Base Carbone</v>
      </c>
      <c r="D204" s="1051">
        <f t="shared" si="24"/>
        <v>2</v>
      </c>
      <c r="E204" s="1051" t="str">
        <f>IF(COUNTIF(E$201:E203,F204)&gt;0,"",F204)</f>
        <v>Cyclomoteur - mixte - 2018, France continentale, Base Carbone</v>
      </c>
      <c r="F204" s="1051" t="str">
        <f t="shared" si="25"/>
        <v>Cyclomoteur - mixte - 2018, France continentale, Base Carbone</v>
      </c>
      <c r="G204" s="1055" t="str">
        <f t="shared" si="26"/>
        <v>Cyclomoteur - mixte - 2018, France continentale, Base Carbone; kgCO2e/km Combustion</v>
      </c>
      <c r="I204" s="1034" t="s">
        <v>3957</v>
      </c>
      <c r="J204" s="1032" t="s">
        <v>2222</v>
      </c>
      <c r="K204" s="1119" t="s">
        <v>1567</v>
      </c>
      <c r="L204" s="1032" t="s">
        <v>1571</v>
      </c>
      <c r="M204" s="1033">
        <v>0.6</v>
      </c>
      <c r="N204" s="1135" t="s">
        <v>1569</v>
      </c>
      <c r="O204" s="1036">
        <v>5.2400000000000002E-2</v>
      </c>
      <c r="P204" s="1980">
        <v>5.2400000000000002E-2</v>
      </c>
      <c r="Q204" s="1980">
        <v>0</v>
      </c>
      <c r="R204" s="1980">
        <v>0</v>
      </c>
      <c r="S204" s="1980">
        <v>0</v>
      </c>
      <c r="T204" s="1980">
        <v>0</v>
      </c>
      <c r="U204" s="2036">
        <v>0</v>
      </c>
    </row>
    <row r="205" spans="2:21" hidden="1" outlineLevel="2">
      <c r="B205" s="1050">
        <v>4</v>
      </c>
      <c r="C205" s="1050" t="str">
        <f t="shared" si="23"/>
        <v>Cyclomoteur - urbain, France continentale, Base Carbone</v>
      </c>
      <c r="D205" s="1051">
        <f t="shared" si="24"/>
        <v>2</v>
      </c>
      <c r="E205" s="1051" t="str">
        <f>IF(COUNTIF(E$201:E204,F205)&gt;0,"",F205)</f>
        <v/>
      </c>
      <c r="F205" s="1051" t="str">
        <f t="shared" si="25"/>
        <v>Cyclomoteur - mixte - 2018, France continentale, Base Carbone</v>
      </c>
      <c r="G205" s="1055" t="str">
        <f t="shared" si="26"/>
        <v>Cyclomoteur - mixte - 2018, France continentale, Base Carbone; kgCO2e/km Amont</v>
      </c>
      <c r="I205" s="1034" t="s">
        <v>3957</v>
      </c>
      <c r="J205" s="1032" t="s">
        <v>2222</v>
      </c>
      <c r="K205" s="1119" t="s">
        <v>1567</v>
      </c>
      <c r="L205" s="1135" t="s">
        <v>1571</v>
      </c>
      <c r="M205" s="1033">
        <v>0.6</v>
      </c>
      <c r="N205" s="1135" t="s">
        <v>1570</v>
      </c>
      <c r="O205" s="1036">
        <v>1.2E-2</v>
      </c>
      <c r="P205" s="1980">
        <v>1.2E-2</v>
      </c>
      <c r="Q205" s="1980">
        <v>0</v>
      </c>
      <c r="R205" s="1980">
        <v>0</v>
      </c>
      <c r="S205" s="1980">
        <v>0</v>
      </c>
      <c r="T205" s="1980">
        <v>0</v>
      </c>
      <c r="U205" s="2036">
        <v>0</v>
      </c>
    </row>
    <row r="206" spans="2:21" hidden="1" outlineLevel="2">
      <c r="B206" s="1050">
        <v>5</v>
      </c>
      <c r="C206" s="1050" t="str">
        <f t="shared" si="23"/>
        <v>Moto =&lt; 250 cm3 - mixte - 2018, France continentale, Base Carbone</v>
      </c>
      <c r="D206" s="1051">
        <f t="shared" si="24"/>
        <v>2</v>
      </c>
      <c r="E206" s="1051" t="str">
        <f>IF(COUNTIF(E$201:E205,F206)&gt;0,"",F206)</f>
        <v/>
      </c>
      <c r="F206" s="1051" t="str">
        <f t="shared" si="25"/>
        <v>Cyclomoteur - mixte - 2018, France continentale, Base Carbone</v>
      </c>
      <c r="G206" s="1055" t="str">
        <f t="shared" si="26"/>
        <v>Cyclomoteur - mixte - 2018, France continentale, Base Carbone; kgCO2e/km Fabrication</v>
      </c>
      <c r="I206" s="1034" t="s">
        <v>3957</v>
      </c>
      <c r="J206" s="1032" t="s">
        <v>2222</v>
      </c>
      <c r="K206" s="1119" t="s">
        <v>1567</v>
      </c>
      <c r="L206" s="1135" t="s">
        <v>1571</v>
      </c>
      <c r="M206" s="1033">
        <v>0.6</v>
      </c>
      <c r="N206" s="1135" t="s">
        <v>332</v>
      </c>
      <c r="O206" s="1036">
        <v>1.1900000000000001E-2</v>
      </c>
      <c r="P206" s="1980">
        <v>1.1900000000000001E-2</v>
      </c>
      <c r="Q206" s="1980">
        <v>0</v>
      </c>
      <c r="R206" s="1980">
        <v>0</v>
      </c>
      <c r="S206" s="1980">
        <v>0</v>
      </c>
      <c r="T206" s="1980">
        <v>0</v>
      </c>
      <c r="U206" s="2036">
        <v>0</v>
      </c>
    </row>
    <row r="207" spans="2:21" hidden="1" outlineLevel="2">
      <c r="B207" s="1050">
        <v>6</v>
      </c>
      <c r="C207" s="1050" t="str">
        <f t="shared" si="23"/>
        <v>Moto =&lt; 250 cm3 - rural - 2018, France continentale, Base Carbone</v>
      </c>
      <c r="D207" s="1051">
        <f t="shared" si="24"/>
        <v>3</v>
      </c>
      <c r="E207" s="1051" t="str">
        <f>IF(COUNTIF(E$201:E206,F207)&gt;0,"",F207)</f>
        <v>Cyclomoteur - rural - 2018, France continentale, Base Carbone</v>
      </c>
      <c r="F207" s="1051" t="str">
        <f t="shared" si="25"/>
        <v>Cyclomoteur - rural - 2018, France continentale, Base Carbone</v>
      </c>
      <c r="G207" s="1055" t="str">
        <f t="shared" si="26"/>
        <v>Cyclomoteur - rural - 2018, France continentale, Base Carbone; kgCO2e/km Combustion</v>
      </c>
      <c r="I207" s="2018" t="s">
        <v>3958</v>
      </c>
      <c r="J207" s="1032" t="s">
        <v>2222</v>
      </c>
      <c r="K207" s="1119" t="s">
        <v>1567</v>
      </c>
      <c r="L207" s="1135" t="s">
        <v>1571</v>
      </c>
      <c r="M207" s="1033">
        <v>0.6</v>
      </c>
      <c r="N207" s="1135" t="s">
        <v>1569</v>
      </c>
      <c r="O207" s="1036">
        <v>5.2400000000000002E-2</v>
      </c>
      <c r="P207" s="1980">
        <v>5.2400000000000002E-2</v>
      </c>
      <c r="Q207" s="1980">
        <v>0</v>
      </c>
      <c r="R207" s="1980">
        <v>0</v>
      </c>
      <c r="S207" s="1980">
        <v>0</v>
      </c>
      <c r="T207" s="1980">
        <v>0</v>
      </c>
      <c r="U207" s="2036">
        <v>0</v>
      </c>
    </row>
    <row r="208" spans="2:21" hidden="1" outlineLevel="2">
      <c r="B208" s="1050">
        <v>7</v>
      </c>
      <c r="C208" s="1050" t="str">
        <f t="shared" si="23"/>
        <v>Moto =&lt; 250 cm3 - urbain - 2018, France continentale, Base Carbone</v>
      </c>
      <c r="D208" s="1051">
        <f t="shared" si="24"/>
        <v>3</v>
      </c>
      <c r="E208" s="1051" t="str">
        <f>IF(COUNTIF(E$201:E207,F208)&gt;0,"",F208)</f>
        <v/>
      </c>
      <c r="F208" s="1051" t="str">
        <f t="shared" si="25"/>
        <v>Cyclomoteur - rural - 2018, France continentale, Base Carbone</v>
      </c>
      <c r="G208" s="1055" t="str">
        <f t="shared" si="26"/>
        <v>Cyclomoteur - rural - 2018, France continentale, Base Carbone; kgCO2e/km Amont</v>
      </c>
      <c r="I208" s="2018" t="s">
        <v>3958</v>
      </c>
      <c r="J208" s="1032" t="s">
        <v>2222</v>
      </c>
      <c r="K208" s="1119" t="s">
        <v>1567</v>
      </c>
      <c r="L208" s="1135" t="s">
        <v>1571</v>
      </c>
      <c r="M208" s="1033">
        <v>0.6</v>
      </c>
      <c r="N208" s="1135" t="s">
        <v>1570</v>
      </c>
      <c r="O208" s="1036">
        <v>1.2E-2</v>
      </c>
      <c r="P208" s="1980">
        <v>1.2E-2</v>
      </c>
      <c r="Q208" s="1980">
        <v>0</v>
      </c>
      <c r="R208" s="1980">
        <v>0</v>
      </c>
      <c r="S208" s="1980">
        <v>0</v>
      </c>
      <c r="T208" s="1980">
        <v>0</v>
      </c>
      <c r="U208" s="2036">
        <v>0</v>
      </c>
    </row>
    <row r="209" spans="2:21" hidden="1" outlineLevel="2">
      <c r="B209" s="1050">
        <v>8</v>
      </c>
      <c r="C209" s="1050" t="str">
        <f t="shared" si="23"/>
        <v>Moto &gt; 250 cm3 - mixte - 2018, France continentale, Base Carbone</v>
      </c>
      <c r="D209" s="1051">
        <f t="shared" si="24"/>
        <v>3</v>
      </c>
      <c r="E209" s="1051" t="str">
        <f>IF(COUNTIF(E$201:E208,F209)&gt;0,"",F209)</f>
        <v/>
      </c>
      <c r="F209" s="1051" t="str">
        <f t="shared" si="25"/>
        <v>Cyclomoteur - rural - 2018, France continentale, Base Carbone</v>
      </c>
      <c r="G209" s="1055" t="str">
        <f t="shared" si="26"/>
        <v>Cyclomoteur - rural - 2018, France continentale, Base Carbone; kgCO2e/km Fabrication</v>
      </c>
      <c r="I209" s="2018" t="s">
        <v>3958</v>
      </c>
      <c r="J209" s="1032" t="s">
        <v>2222</v>
      </c>
      <c r="K209" s="1119" t="s">
        <v>1567</v>
      </c>
      <c r="L209" s="1135" t="s">
        <v>1571</v>
      </c>
      <c r="M209" s="1033">
        <v>0.6</v>
      </c>
      <c r="N209" s="1135" t="s">
        <v>332</v>
      </c>
      <c r="O209" s="1036">
        <v>1.1900000000000001E-2</v>
      </c>
      <c r="P209" s="1980">
        <v>1.1900000000000001E-2</v>
      </c>
      <c r="Q209" s="1980">
        <v>0</v>
      </c>
      <c r="R209" s="1980">
        <v>0</v>
      </c>
      <c r="S209" s="1980">
        <v>0</v>
      </c>
      <c r="T209" s="1980">
        <v>0</v>
      </c>
      <c r="U209" s="2036">
        <v>0</v>
      </c>
    </row>
    <row r="210" spans="2:21" hidden="1" outlineLevel="2">
      <c r="B210" s="1050">
        <v>9</v>
      </c>
      <c r="C210" s="1050" t="str">
        <f t="shared" si="23"/>
        <v>Moto &gt; 250 cm3 - rural - 2018, France continentale, Base Carbone</v>
      </c>
      <c r="D210" s="1051">
        <f t="shared" si="24"/>
        <v>4</v>
      </c>
      <c r="E210" s="1051" t="str">
        <f>IF(COUNTIF(E$201:E209,F210)&gt;0,"",F210)</f>
        <v>Cyclomoteur - urbain, France continentale, Base Carbone</v>
      </c>
      <c r="F210" s="1051" t="str">
        <f t="shared" si="25"/>
        <v>Cyclomoteur - urbain, France continentale, Base Carbone</v>
      </c>
      <c r="G210" s="1055" t="str">
        <f t="shared" si="26"/>
        <v>Cyclomoteur - urbain, France continentale, Base Carbone; kgCO2e/km Combustion</v>
      </c>
      <c r="I210" s="2018" t="s">
        <v>3959</v>
      </c>
      <c r="J210" s="1032" t="s">
        <v>2222</v>
      </c>
      <c r="K210" s="1119" t="s">
        <v>1567</v>
      </c>
      <c r="L210" s="1135" t="s">
        <v>1571</v>
      </c>
      <c r="M210" s="1033">
        <v>0.6</v>
      </c>
      <c r="N210" s="1135" t="s">
        <v>1569</v>
      </c>
      <c r="O210" s="1036">
        <v>5.2400000000000002E-2</v>
      </c>
      <c r="P210" s="1980">
        <v>5.2400000000000002E-2</v>
      </c>
      <c r="Q210" s="1980">
        <v>0</v>
      </c>
      <c r="R210" s="1980">
        <v>0</v>
      </c>
      <c r="S210" s="1980">
        <v>0</v>
      </c>
      <c r="T210" s="1980">
        <v>0</v>
      </c>
      <c r="U210" s="2036">
        <v>0</v>
      </c>
    </row>
    <row r="211" spans="2:21" hidden="1" outlineLevel="2">
      <c r="B211" s="1050">
        <v>10</v>
      </c>
      <c r="C211" s="1050" t="str">
        <f t="shared" si="23"/>
        <v>Moto &gt; 250 cm3 - urbain - 2018, France continentale, Base Carbone</v>
      </c>
      <c r="D211" s="1051">
        <f t="shared" si="24"/>
        <v>4</v>
      </c>
      <c r="E211" s="1051" t="str">
        <f>IF(COUNTIF(E$201:E210,F211)&gt;0,"",F211)</f>
        <v/>
      </c>
      <c r="F211" s="1051" t="str">
        <f t="shared" si="25"/>
        <v>Cyclomoteur - urbain, France continentale, Base Carbone</v>
      </c>
      <c r="G211" s="1055" t="str">
        <f t="shared" si="26"/>
        <v>Cyclomoteur - urbain, France continentale, Base Carbone; kgCO2e/km Amont</v>
      </c>
      <c r="I211" s="2018" t="s">
        <v>3959</v>
      </c>
      <c r="J211" s="1032" t="s">
        <v>2222</v>
      </c>
      <c r="K211" s="1119" t="s">
        <v>1567</v>
      </c>
      <c r="L211" s="1135" t="s">
        <v>1571</v>
      </c>
      <c r="M211" s="1033">
        <v>0.6</v>
      </c>
      <c r="N211" s="1135" t="s">
        <v>1570</v>
      </c>
      <c r="O211" s="1036">
        <v>1.2E-2</v>
      </c>
      <c r="P211" s="1980">
        <v>1.2E-2</v>
      </c>
      <c r="Q211" s="1980">
        <v>0</v>
      </c>
      <c r="R211" s="1980">
        <v>0</v>
      </c>
      <c r="S211" s="1980">
        <v>0</v>
      </c>
      <c r="T211" s="1980">
        <v>0</v>
      </c>
      <c r="U211" s="2036">
        <v>0</v>
      </c>
    </row>
    <row r="212" spans="2:21" hidden="1" outlineLevel="2">
      <c r="B212" s="1050">
        <v>11</v>
      </c>
      <c r="C212" s="1050" t="str">
        <f t="shared" si="23"/>
        <v>Trottinette - électrique, France continentale, Base Carbone</v>
      </c>
      <c r="D212" s="1051">
        <f t="shared" si="24"/>
        <v>4</v>
      </c>
      <c r="E212" s="1051" t="str">
        <f>IF(COUNTIF(E$201:E211,F212)&gt;0,"",F212)</f>
        <v/>
      </c>
      <c r="F212" s="1051" t="str">
        <f t="shared" si="25"/>
        <v>Cyclomoteur - urbain, France continentale, Base Carbone</v>
      </c>
      <c r="G212" s="1055" t="str">
        <f t="shared" si="26"/>
        <v>Cyclomoteur - urbain, France continentale, Base Carbone; kgCO2e/km Fabrication</v>
      </c>
      <c r="I212" s="2018" t="s">
        <v>3959</v>
      </c>
      <c r="J212" s="1032" t="s">
        <v>2222</v>
      </c>
      <c r="K212" s="1119" t="s">
        <v>1567</v>
      </c>
      <c r="L212" s="1135" t="s">
        <v>1571</v>
      </c>
      <c r="M212" s="1033">
        <v>0.6</v>
      </c>
      <c r="N212" s="1135" t="s">
        <v>332</v>
      </c>
      <c r="O212" s="1036">
        <v>1.1900000000000001E-2</v>
      </c>
      <c r="P212" s="1980">
        <v>1.1900000000000001E-2</v>
      </c>
      <c r="Q212" s="1980">
        <v>0</v>
      </c>
      <c r="R212" s="1980">
        <v>0</v>
      </c>
      <c r="S212" s="1980">
        <v>0</v>
      </c>
      <c r="T212" s="1980">
        <v>0</v>
      </c>
      <c r="U212" s="2036">
        <v>0</v>
      </c>
    </row>
    <row r="213" spans="2:21" hidden="1" outlineLevel="2">
      <c r="B213" s="1050">
        <v>12</v>
      </c>
      <c r="C213" s="1050" t="str">
        <f t="shared" si="23"/>
        <v>Vélo à assistance électrique, France continentale, Base Carbone</v>
      </c>
      <c r="D213" s="1051">
        <f t="shared" si="24"/>
        <v>5</v>
      </c>
      <c r="E213" s="1051" t="str">
        <f>IF(COUNTIF(E$201:E212,F213)&gt;0,"",F213)</f>
        <v>Moto =&lt; 250 cm3 - mixte - 2018, France continentale, Base Carbone</v>
      </c>
      <c r="F213" s="1051" t="str">
        <f t="shared" si="25"/>
        <v>Moto =&lt; 250 cm3 - mixte - 2018, France continentale, Base Carbone</v>
      </c>
      <c r="G213" s="1055" t="str">
        <f t="shared" si="26"/>
        <v>Moto =&lt; 250 cm3 - mixte - 2018, France continentale, Base Carbone; kgCO2e/km Combustion</v>
      </c>
      <c r="I213" s="2018" t="s">
        <v>3960</v>
      </c>
      <c r="J213" s="1032" t="s">
        <v>2222</v>
      </c>
      <c r="K213" s="1119" t="s">
        <v>1567</v>
      </c>
      <c r="L213" s="1135" t="s">
        <v>1571</v>
      </c>
      <c r="M213" s="1033">
        <v>0.6</v>
      </c>
      <c r="N213" s="1135" t="s">
        <v>1569</v>
      </c>
      <c r="O213" s="1036">
        <v>4.9500000000000002E-2</v>
      </c>
      <c r="P213" s="1980">
        <v>4.9500000000000002E-2</v>
      </c>
      <c r="Q213" s="1980">
        <v>0</v>
      </c>
      <c r="R213" s="1980">
        <v>0</v>
      </c>
      <c r="S213" s="1980">
        <v>0</v>
      </c>
      <c r="T213" s="1980">
        <v>0</v>
      </c>
      <c r="U213" s="2036">
        <v>0</v>
      </c>
    </row>
    <row r="214" spans="2:21" hidden="1" outlineLevel="2">
      <c r="B214" s="1050">
        <v>13</v>
      </c>
      <c r="C214" s="1050" t="str">
        <f t="shared" si="23"/>
        <v>-</v>
      </c>
      <c r="D214" s="1051">
        <f t="shared" si="24"/>
        <v>5</v>
      </c>
      <c r="E214" s="1051" t="str">
        <f>IF(COUNTIF(E$201:E213,F214)&gt;0,"",F214)</f>
        <v/>
      </c>
      <c r="F214" s="1051" t="str">
        <f t="shared" si="25"/>
        <v>Moto =&lt; 250 cm3 - mixte - 2018, France continentale, Base Carbone</v>
      </c>
      <c r="G214" s="1055" t="str">
        <f t="shared" si="26"/>
        <v>Moto =&lt; 250 cm3 - mixte - 2018, France continentale, Base Carbone; kgCO2e/km Amont</v>
      </c>
      <c r="I214" s="2018" t="s">
        <v>3960</v>
      </c>
      <c r="J214" s="1032" t="s">
        <v>2222</v>
      </c>
      <c r="K214" s="1119" t="s">
        <v>1567</v>
      </c>
      <c r="L214" s="1135" t="s">
        <v>1571</v>
      </c>
      <c r="M214" s="1033">
        <v>0.6</v>
      </c>
      <c r="N214" s="1135" t="s">
        <v>1570</v>
      </c>
      <c r="O214" s="1036">
        <v>1.09E-2</v>
      </c>
      <c r="P214" s="1980">
        <v>1.09E-2</v>
      </c>
      <c r="Q214" s="1980">
        <v>0</v>
      </c>
      <c r="R214" s="1980">
        <v>0</v>
      </c>
      <c r="S214" s="1980">
        <v>0</v>
      </c>
      <c r="T214" s="1980">
        <v>0</v>
      </c>
      <c r="U214" s="2036">
        <v>0</v>
      </c>
    </row>
    <row r="215" spans="2:21" hidden="1" outlineLevel="2">
      <c r="B215" s="1050">
        <v>14</v>
      </c>
      <c r="C215" s="1050" t="str">
        <f t="shared" si="23"/>
        <v>-</v>
      </c>
      <c r="D215" s="1051">
        <f t="shared" si="24"/>
        <v>5</v>
      </c>
      <c r="E215" s="1051" t="str">
        <f>IF(COUNTIF(E$201:E214,F215)&gt;0,"",F215)</f>
        <v/>
      </c>
      <c r="F215" s="1051" t="str">
        <f t="shared" si="25"/>
        <v>Moto =&lt; 250 cm3 - mixte - 2018, France continentale, Base Carbone</v>
      </c>
      <c r="G215" s="1055" t="str">
        <f t="shared" si="26"/>
        <v>Moto =&lt; 250 cm3 - mixte - 2018, France continentale, Base Carbone; kgCO2e/km Fabrication</v>
      </c>
      <c r="I215" s="2018" t="s">
        <v>3960</v>
      </c>
      <c r="J215" s="1032" t="s">
        <v>2222</v>
      </c>
      <c r="K215" s="1119" t="s">
        <v>1567</v>
      </c>
      <c r="L215" s="1135" t="s">
        <v>1571</v>
      </c>
      <c r="M215" s="1033">
        <v>0.6</v>
      </c>
      <c r="N215" s="1135" t="s">
        <v>332</v>
      </c>
      <c r="O215" s="1036">
        <v>1.5900000000000001E-2</v>
      </c>
      <c r="P215" s="1980">
        <v>1.5900000000000001E-2</v>
      </c>
      <c r="Q215" s="1980">
        <v>0</v>
      </c>
      <c r="R215" s="1980">
        <v>0</v>
      </c>
      <c r="S215" s="1980">
        <v>0</v>
      </c>
      <c r="T215" s="1980">
        <v>0</v>
      </c>
      <c r="U215" s="2036">
        <v>0</v>
      </c>
    </row>
    <row r="216" spans="2:21" hidden="1" outlineLevel="2">
      <c r="B216" s="1050">
        <v>15</v>
      </c>
      <c r="C216" s="1050" t="str">
        <f t="shared" si="23"/>
        <v>-</v>
      </c>
      <c r="D216" s="1051">
        <f t="shared" si="24"/>
        <v>6</v>
      </c>
      <c r="E216" s="1051" t="str">
        <f>IF(COUNTIF(E$201:E215,F216)&gt;0,"",F216)</f>
        <v>Moto =&lt; 250 cm3 - rural - 2018, France continentale, Base Carbone</v>
      </c>
      <c r="F216" s="1051" t="str">
        <f t="shared" si="25"/>
        <v>Moto =&lt; 250 cm3 - rural - 2018, France continentale, Base Carbone</v>
      </c>
      <c r="G216" s="1055" t="str">
        <f t="shared" si="26"/>
        <v>Moto =&lt; 250 cm3 - rural - 2018, France continentale, Base Carbone; kgCO2e/km Combustion</v>
      </c>
      <c r="I216" s="2018" t="s">
        <v>3961</v>
      </c>
      <c r="J216" s="1032" t="s">
        <v>2222</v>
      </c>
      <c r="K216" s="1119" t="s">
        <v>1567</v>
      </c>
      <c r="L216" s="1135" t="s">
        <v>1571</v>
      </c>
      <c r="M216" s="1033">
        <v>0.6</v>
      </c>
      <c r="N216" s="1119" t="s">
        <v>1569</v>
      </c>
      <c r="O216" s="2510">
        <v>5.1700000000000003E-2</v>
      </c>
      <c r="P216" s="1980">
        <v>5.1700000000000003E-2</v>
      </c>
      <c r="Q216" s="1980">
        <v>0</v>
      </c>
      <c r="R216" s="1980">
        <v>0</v>
      </c>
      <c r="S216" s="1980">
        <v>0</v>
      </c>
      <c r="T216" s="1980">
        <v>0</v>
      </c>
      <c r="U216" s="2036">
        <v>0</v>
      </c>
    </row>
    <row r="217" spans="2:21" hidden="1" outlineLevel="2">
      <c r="B217" s="1050">
        <v>16</v>
      </c>
      <c r="C217" s="1050" t="str">
        <f t="shared" si="23"/>
        <v>-</v>
      </c>
      <c r="D217" s="1051">
        <f t="shared" si="24"/>
        <v>6</v>
      </c>
      <c r="E217" s="1051" t="str">
        <f>IF(COUNTIF(E$201:E216,F217)&gt;0,"",F217)</f>
        <v/>
      </c>
      <c r="F217" s="1051" t="str">
        <f t="shared" si="25"/>
        <v>Moto =&lt; 250 cm3 - rural - 2018, France continentale, Base Carbone</v>
      </c>
      <c r="G217" s="1055" t="str">
        <f t="shared" si="26"/>
        <v>Moto =&lt; 250 cm3 - rural - 2018, France continentale, Base Carbone; kgCO2e/km Amont</v>
      </c>
      <c r="I217" s="2018" t="s">
        <v>3961</v>
      </c>
      <c r="J217" s="1032" t="s">
        <v>2222</v>
      </c>
      <c r="K217" s="1119" t="s">
        <v>1567</v>
      </c>
      <c r="L217" s="1135" t="s">
        <v>1571</v>
      </c>
      <c r="M217" s="1033">
        <v>0.6</v>
      </c>
      <c r="N217" s="1135" t="s">
        <v>1570</v>
      </c>
      <c r="O217" s="1036">
        <v>1.14E-2</v>
      </c>
      <c r="P217" s="1980">
        <v>1.14E-2</v>
      </c>
      <c r="Q217" s="1980">
        <v>0</v>
      </c>
      <c r="R217" s="1980">
        <v>0</v>
      </c>
      <c r="S217" s="1980">
        <v>0</v>
      </c>
      <c r="T217" s="1980">
        <v>0</v>
      </c>
      <c r="U217" s="2036">
        <v>0</v>
      </c>
    </row>
    <row r="218" spans="2:21" hidden="1" outlineLevel="2">
      <c r="B218" s="1050">
        <v>17</v>
      </c>
      <c r="C218" s="1050" t="str">
        <f t="shared" si="23"/>
        <v>-</v>
      </c>
      <c r="D218" s="1051">
        <f t="shared" si="24"/>
        <v>6</v>
      </c>
      <c r="E218" s="1051" t="str">
        <f>IF(COUNTIF(E$201:E217,F218)&gt;0,"",F218)</f>
        <v/>
      </c>
      <c r="F218" s="1051" t="str">
        <f t="shared" si="25"/>
        <v>Moto =&lt; 250 cm3 - rural - 2018, France continentale, Base Carbone</v>
      </c>
      <c r="G218" s="1055" t="str">
        <f t="shared" si="26"/>
        <v>Moto =&lt; 250 cm3 - rural - 2018, France continentale, Base Carbone; kgCO2e/km Fabrication</v>
      </c>
      <c r="I218" s="2018" t="s">
        <v>3961</v>
      </c>
      <c r="J218" s="1032" t="s">
        <v>2222</v>
      </c>
      <c r="K218" s="1119" t="s">
        <v>1567</v>
      </c>
      <c r="L218" s="1135" t="s">
        <v>1571</v>
      </c>
      <c r="M218" s="1033">
        <v>0.6</v>
      </c>
      <c r="N218" s="1135" t="s">
        <v>332</v>
      </c>
      <c r="O218" s="1036">
        <v>1.5900000000000001E-2</v>
      </c>
      <c r="P218" s="1980">
        <v>1.5900000000000001E-2</v>
      </c>
      <c r="Q218" s="1980">
        <v>0</v>
      </c>
      <c r="R218" s="1980">
        <v>0</v>
      </c>
      <c r="S218" s="1980">
        <v>0</v>
      </c>
      <c r="T218" s="1980">
        <v>0</v>
      </c>
      <c r="U218" s="2036">
        <v>0</v>
      </c>
    </row>
    <row r="219" spans="2:21" hidden="1" outlineLevel="2">
      <c r="B219" s="1050">
        <v>18</v>
      </c>
      <c r="C219" s="1050" t="str">
        <f t="shared" si="23"/>
        <v>-</v>
      </c>
      <c r="D219" s="1051">
        <f t="shared" si="24"/>
        <v>7</v>
      </c>
      <c r="E219" s="1051" t="str">
        <f>IF(COUNTIF(E$201:E218,F219)&gt;0,"",F219)</f>
        <v>Moto =&lt; 250 cm3 - urbain - 2018, France continentale, Base Carbone</v>
      </c>
      <c r="F219" s="1051" t="str">
        <f t="shared" si="25"/>
        <v>Moto =&lt; 250 cm3 - urbain - 2018, France continentale, Base Carbone</v>
      </c>
      <c r="G219" s="1055" t="str">
        <f t="shared" si="26"/>
        <v>Moto =&lt; 250 cm3 - urbain - 2018, France continentale, Base Carbone; kgCO2e/km Combustion</v>
      </c>
      <c r="I219" s="2018" t="s">
        <v>3962</v>
      </c>
      <c r="J219" s="1032" t="s">
        <v>2222</v>
      </c>
      <c r="K219" s="1119" t="s">
        <v>1567</v>
      </c>
      <c r="L219" s="1135" t="s">
        <v>1571</v>
      </c>
      <c r="M219" s="1033">
        <v>0.6</v>
      </c>
      <c r="N219" s="1135" t="s">
        <v>1569</v>
      </c>
      <c r="O219" s="1036">
        <v>4.7199999999999999E-2</v>
      </c>
      <c r="P219" s="1980">
        <v>4.7199999999999999E-2</v>
      </c>
      <c r="Q219" s="1980">
        <v>0</v>
      </c>
      <c r="R219" s="1980">
        <v>0</v>
      </c>
      <c r="S219" s="1980">
        <v>0</v>
      </c>
      <c r="T219" s="1980">
        <v>0</v>
      </c>
      <c r="U219" s="2036">
        <v>0</v>
      </c>
    </row>
    <row r="220" spans="2:21" hidden="1" outlineLevel="2">
      <c r="B220" s="1050">
        <v>19</v>
      </c>
      <c r="C220" s="1050" t="str">
        <f t="shared" si="23"/>
        <v>-</v>
      </c>
      <c r="D220" s="1051">
        <f t="shared" si="24"/>
        <v>7</v>
      </c>
      <c r="E220" s="1051" t="str">
        <f>IF(COUNTIF(E$201:E219,F220)&gt;0,"",F220)</f>
        <v/>
      </c>
      <c r="F220" s="1051" t="str">
        <f t="shared" si="25"/>
        <v>Moto =&lt; 250 cm3 - urbain - 2018, France continentale, Base Carbone</v>
      </c>
      <c r="G220" s="1055" t="str">
        <f t="shared" si="26"/>
        <v>Moto =&lt; 250 cm3 - urbain - 2018, France continentale, Base Carbone; kgCO2e/km Amont</v>
      </c>
      <c r="I220" s="2018" t="s">
        <v>3962</v>
      </c>
      <c r="J220" s="1032" t="s">
        <v>2222</v>
      </c>
      <c r="K220" s="1119" t="s">
        <v>1567</v>
      </c>
      <c r="L220" s="1135" t="s">
        <v>1571</v>
      </c>
      <c r="M220" s="1033">
        <v>0.6</v>
      </c>
      <c r="N220" s="1135" t="s">
        <v>1570</v>
      </c>
      <c r="O220" s="1036">
        <v>1.04E-2</v>
      </c>
      <c r="P220" s="1980">
        <v>1.04E-2</v>
      </c>
      <c r="Q220" s="1980">
        <v>0</v>
      </c>
      <c r="R220" s="1980">
        <v>0</v>
      </c>
      <c r="S220" s="1980">
        <v>0</v>
      </c>
      <c r="T220" s="1980">
        <v>0</v>
      </c>
      <c r="U220" s="2036">
        <v>0</v>
      </c>
    </row>
    <row r="221" spans="2:21" hidden="1" outlineLevel="2">
      <c r="B221" s="1050">
        <v>20</v>
      </c>
      <c r="C221" s="1050" t="str">
        <f t="shared" si="23"/>
        <v>-</v>
      </c>
      <c r="D221" s="1051">
        <f t="shared" si="24"/>
        <v>7</v>
      </c>
      <c r="E221" s="1051" t="str">
        <f>IF(COUNTIF(E$201:E220,F221)&gt;0,"",F221)</f>
        <v/>
      </c>
      <c r="F221" s="1051" t="str">
        <f t="shared" si="25"/>
        <v>Moto =&lt; 250 cm3 - urbain - 2018, France continentale, Base Carbone</v>
      </c>
      <c r="G221" s="1055" t="str">
        <f t="shared" si="26"/>
        <v>Moto =&lt; 250 cm3 - urbain - 2018, France continentale, Base Carbone; kgCO2e/km Fabrication</v>
      </c>
      <c r="I221" s="2018" t="s">
        <v>3962</v>
      </c>
      <c r="J221" s="1032" t="s">
        <v>2222</v>
      </c>
      <c r="K221" s="1119" t="s">
        <v>1567</v>
      </c>
      <c r="L221" s="1135" t="s">
        <v>1571</v>
      </c>
      <c r="M221" s="1033">
        <v>0.6</v>
      </c>
      <c r="N221" s="1135" t="s">
        <v>332</v>
      </c>
      <c r="O221" s="1036">
        <v>1.5900000000000001E-2</v>
      </c>
      <c r="P221" s="1980">
        <v>1.5900000000000001E-2</v>
      </c>
      <c r="Q221" s="1980">
        <v>0</v>
      </c>
      <c r="R221" s="1980">
        <v>0</v>
      </c>
      <c r="S221" s="1980">
        <v>0</v>
      </c>
      <c r="T221" s="1980">
        <v>0</v>
      </c>
      <c r="U221" s="2036">
        <v>0</v>
      </c>
    </row>
    <row r="222" spans="2:21" hidden="1" outlineLevel="2">
      <c r="B222" s="1050">
        <v>21</v>
      </c>
      <c r="C222" s="1050" t="str">
        <f t="shared" si="23"/>
        <v>-</v>
      </c>
      <c r="D222" s="1051">
        <f t="shared" si="24"/>
        <v>8</v>
      </c>
      <c r="E222" s="1051" t="str">
        <f>IF(COUNTIF(E$201:E221,F222)&gt;0,"",F222)</f>
        <v>Moto &gt; 250 cm3 - mixte - 2018, France continentale, Base Carbone</v>
      </c>
      <c r="F222" s="1051" t="str">
        <f t="shared" si="25"/>
        <v>Moto &gt; 250 cm3 - mixte - 2018, France continentale, Base Carbone</v>
      </c>
      <c r="G222" s="1055" t="str">
        <f t="shared" si="26"/>
        <v>Moto &gt; 250 cm3 - mixte - 2018, France continentale, Base Carbone; kgCO2e/km Combustion</v>
      </c>
      <c r="I222" s="2018" t="s">
        <v>3963</v>
      </c>
      <c r="J222" s="1032" t="s">
        <v>2222</v>
      </c>
      <c r="K222" s="1119" t="s">
        <v>1567</v>
      </c>
      <c r="L222" s="1135" t="s">
        <v>1571</v>
      </c>
      <c r="M222" s="1033">
        <v>0.6</v>
      </c>
      <c r="N222" s="1135" t="s">
        <v>1569</v>
      </c>
      <c r="O222" s="1036">
        <v>0.13500000000000001</v>
      </c>
      <c r="P222" s="1980">
        <v>0.13500000000000001</v>
      </c>
      <c r="Q222" s="1980">
        <v>0</v>
      </c>
      <c r="R222" s="1980">
        <v>0</v>
      </c>
      <c r="S222" s="1980">
        <v>0</v>
      </c>
      <c r="T222" s="1980">
        <v>0</v>
      </c>
      <c r="U222" s="2036">
        <v>0</v>
      </c>
    </row>
    <row r="223" spans="2:21" hidden="1" outlineLevel="2">
      <c r="B223" s="1050">
        <v>22</v>
      </c>
      <c r="C223" s="1050" t="str">
        <f t="shared" si="23"/>
        <v>-</v>
      </c>
      <c r="D223" s="1051">
        <f t="shared" si="24"/>
        <v>8</v>
      </c>
      <c r="E223" s="1051" t="str">
        <f>IF(COUNTIF(E$201:E222,F223)&gt;0,"",F223)</f>
        <v/>
      </c>
      <c r="F223" s="1051" t="str">
        <f t="shared" si="25"/>
        <v>Moto &gt; 250 cm3 - mixte - 2018, France continentale, Base Carbone</v>
      </c>
      <c r="G223" s="1055" t="str">
        <f t="shared" si="26"/>
        <v>Moto &gt; 250 cm3 - mixte - 2018, France continentale, Base Carbone; kgCO2e/km Amont</v>
      </c>
      <c r="I223" s="2018" t="s">
        <v>3963</v>
      </c>
      <c r="J223" s="1032" t="s">
        <v>2222</v>
      </c>
      <c r="K223" s="1119" t="s">
        <v>1567</v>
      </c>
      <c r="L223" s="1135" t="s">
        <v>1571</v>
      </c>
      <c r="M223" s="2043">
        <v>0.6</v>
      </c>
      <c r="N223" s="1135" t="s">
        <v>1570</v>
      </c>
      <c r="O223" s="2510">
        <v>2.98E-2</v>
      </c>
      <c r="P223" s="1980">
        <v>2.98E-2</v>
      </c>
      <c r="Q223" s="1980">
        <v>0</v>
      </c>
      <c r="R223" s="1980">
        <v>0</v>
      </c>
      <c r="S223" s="1980">
        <v>0</v>
      </c>
      <c r="T223" s="1980">
        <v>0</v>
      </c>
      <c r="U223" s="2036">
        <v>0</v>
      </c>
    </row>
    <row r="224" spans="2:21" hidden="1" outlineLevel="2">
      <c r="B224" s="1050">
        <v>23</v>
      </c>
      <c r="C224" s="1050" t="str">
        <f t="shared" si="23"/>
        <v>-</v>
      </c>
      <c r="D224" s="1051">
        <f t="shared" si="24"/>
        <v>8</v>
      </c>
      <c r="E224" s="1051" t="str">
        <f>IF(COUNTIF(E$201:E223,F224)&gt;0,"",F224)</f>
        <v/>
      </c>
      <c r="F224" s="1051" t="str">
        <f t="shared" si="25"/>
        <v>Moto &gt; 250 cm3 - mixte - 2018, France continentale, Base Carbone</v>
      </c>
      <c r="G224" s="1055" t="str">
        <f t="shared" si="26"/>
        <v>Moto &gt; 250 cm3 - mixte - 2018, France continentale, Base Carbone; kgCO2e/km Fabrication</v>
      </c>
      <c r="I224" s="2018" t="s">
        <v>3963</v>
      </c>
      <c r="J224" s="1032" t="s">
        <v>2222</v>
      </c>
      <c r="K224" s="1119" t="s">
        <v>1567</v>
      </c>
      <c r="L224" s="1135" t="s">
        <v>1571</v>
      </c>
      <c r="M224" s="2043">
        <v>0.6</v>
      </c>
      <c r="N224" s="1135" t="s">
        <v>332</v>
      </c>
      <c r="O224" s="2510">
        <v>2.6499999999999999E-2</v>
      </c>
      <c r="P224" s="1980">
        <v>2.6499999999999999E-2</v>
      </c>
      <c r="Q224" s="1980">
        <v>0</v>
      </c>
      <c r="R224" s="1980">
        <v>0</v>
      </c>
      <c r="S224" s="1980">
        <v>0</v>
      </c>
      <c r="T224" s="1980">
        <v>0</v>
      </c>
      <c r="U224" s="2036">
        <v>0</v>
      </c>
    </row>
    <row r="225" spans="2:21" hidden="1" outlineLevel="2">
      <c r="B225" s="1050">
        <v>24</v>
      </c>
      <c r="C225" s="1050" t="str">
        <f t="shared" si="23"/>
        <v>-</v>
      </c>
      <c r="D225" s="1051">
        <f t="shared" si="24"/>
        <v>9</v>
      </c>
      <c r="E225" s="1051" t="str">
        <f>IF(COUNTIF(E$201:E224,F225)&gt;0,"",F225)</f>
        <v>Moto &gt; 250 cm3 - rural - 2018, France continentale, Base Carbone</v>
      </c>
      <c r="F225" s="1051" t="str">
        <f t="shared" si="25"/>
        <v>Moto &gt; 250 cm3 - rural - 2018, France continentale, Base Carbone</v>
      </c>
      <c r="G225" s="1055" t="str">
        <f t="shared" si="26"/>
        <v>Moto &gt; 250 cm3 - rural - 2018, France continentale, Base Carbone; kgCO2e/km Combustion</v>
      </c>
      <c r="I225" s="2018" t="s">
        <v>3964</v>
      </c>
      <c r="J225" s="1032" t="s">
        <v>2222</v>
      </c>
      <c r="K225" s="1119" t="s">
        <v>1567</v>
      </c>
      <c r="L225" s="1135" t="s">
        <v>1571</v>
      </c>
      <c r="M225" s="2043">
        <v>0.6</v>
      </c>
      <c r="N225" s="1135" t="s">
        <v>1569</v>
      </c>
      <c r="O225" s="2510">
        <v>0.124</v>
      </c>
      <c r="P225" s="1980">
        <v>0.124</v>
      </c>
      <c r="Q225" s="1980">
        <v>0</v>
      </c>
      <c r="R225" s="1980">
        <v>0</v>
      </c>
      <c r="S225" s="1980">
        <v>0</v>
      </c>
      <c r="T225" s="1980">
        <v>0</v>
      </c>
      <c r="U225" s="2036">
        <v>0</v>
      </c>
    </row>
    <row r="226" spans="2:21" hidden="1" outlineLevel="2">
      <c r="B226" s="1050">
        <v>25</v>
      </c>
      <c r="C226" s="1050" t="str">
        <f t="shared" si="23"/>
        <v>-</v>
      </c>
      <c r="D226" s="1051">
        <f t="shared" si="24"/>
        <v>9</v>
      </c>
      <c r="E226" s="1051" t="str">
        <f>IF(COUNTIF(E$201:E225,F226)&gt;0,"",F226)</f>
        <v/>
      </c>
      <c r="F226" s="1051" t="str">
        <f t="shared" si="25"/>
        <v>Moto &gt; 250 cm3 - rural - 2018, France continentale, Base Carbone</v>
      </c>
      <c r="G226" s="1055" t="str">
        <f t="shared" si="26"/>
        <v>Moto &gt; 250 cm3 - rural - 2018, France continentale, Base Carbone; kgCO2e/km Amont</v>
      </c>
      <c r="I226" s="2018" t="s">
        <v>3964</v>
      </c>
      <c r="J226" s="1032" t="s">
        <v>2222</v>
      </c>
      <c r="K226" s="1119" t="s">
        <v>1567</v>
      </c>
      <c r="L226" s="1135" t="s">
        <v>1571</v>
      </c>
      <c r="M226" s="2043">
        <v>0.6</v>
      </c>
      <c r="N226" s="1135" t="s">
        <v>1570</v>
      </c>
      <c r="O226" s="2510">
        <v>3.5499999999999997E-2</v>
      </c>
      <c r="P226" s="1980">
        <v>3.5499999999999997E-2</v>
      </c>
      <c r="Q226" s="1980">
        <v>0</v>
      </c>
      <c r="R226" s="1980">
        <v>0</v>
      </c>
      <c r="S226" s="1980">
        <v>0</v>
      </c>
      <c r="T226" s="1980">
        <v>0</v>
      </c>
      <c r="U226" s="2036">
        <v>0</v>
      </c>
    </row>
    <row r="227" spans="2:21" hidden="1" outlineLevel="2">
      <c r="B227" s="1050">
        <v>26</v>
      </c>
      <c r="C227" s="1050" t="str">
        <f t="shared" si="23"/>
        <v>-</v>
      </c>
      <c r="D227" s="1051">
        <f t="shared" si="24"/>
        <v>9</v>
      </c>
      <c r="E227" s="1051" t="str">
        <f>IF(COUNTIF(E$201:E226,F227)&gt;0,"",F227)</f>
        <v/>
      </c>
      <c r="F227" s="1051" t="str">
        <f t="shared" si="25"/>
        <v>Moto &gt; 250 cm3 - rural - 2018, France continentale, Base Carbone</v>
      </c>
      <c r="G227" s="1055" t="str">
        <f t="shared" si="26"/>
        <v>Moto &gt; 250 cm3 - rural - 2018, France continentale, Base Carbone; kgCO2e/km Fabrication</v>
      </c>
      <c r="I227" s="2018" t="s">
        <v>3964</v>
      </c>
      <c r="J227" s="1032" t="s">
        <v>2222</v>
      </c>
      <c r="K227" s="1119" t="s">
        <v>1567</v>
      </c>
      <c r="L227" s="1135" t="s">
        <v>1571</v>
      </c>
      <c r="M227" s="2043">
        <v>0.6</v>
      </c>
      <c r="N227" s="1135" t="s">
        <v>332</v>
      </c>
      <c r="O227" s="2510">
        <v>2.6499999999999999E-2</v>
      </c>
      <c r="P227" s="1980">
        <v>2.6499999999999999E-2</v>
      </c>
      <c r="Q227" s="1980">
        <v>0</v>
      </c>
      <c r="R227" s="1980">
        <v>0</v>
      </c>
      <c r="S227" s="1980">
        <v>0</v>
      </c>
      <c r="T227" s="1980">
        <v>0</v>
      </c>
      <c r="U227" s="2036">
        <v>0</v>
      </c>
    </row>
    <row r="228" spans="2:21" hidden="1" outlineLevel="2">
      <c r="B228" s="1050">
        <v>27</v>
      </c>
      <c r="C228" s="1050" t="str">
        <f t="shared" si="23"/>
        <v>-</v>
      </c>
      <c r="D228" s="1051">
        <f t="shared" si="24"/>
        <v>10</v>
      </c>
      <c r="E228" s="1051" t="str">
        <f>IF(COUNTIF(E$201:E227,F228)&gt;0,"",F228)</f>
        <v>Moto &gt; 250 cm3 - urbain - 2018, France continentale, Base Carbone</v>
      </c>
      <c r="F228" s="1051" t="str">
        <f t="shared" si="25"/>
        <v>Moto &gt; 250 cm3 - urbain - 2018, France continentale, Base Carbone</v>
      </c>
      <c r="G228" s="1055" t="str">
        <f t="shared" si="26"/>
        <v>Moto &gt; 250 cm3 - urbain - 2018, France continentale, Base Carbone; kgCO2e/km Combustion</v>
      </c>
      <c r="I228" s="2018" t="s">
        <v>3965</v>
      </c>
      <c r="J228" s="1032" t="s">
        <v>2222</v>
      </c>
      <c r="K228" s="1119" t="s">
        <v>1567</v>
      </c>
      <c r="L228" s="1135" t="s">
        <v>1571</v>
      </c>
      <c r="M228" s="2043">
        <v>0.6</v>
      </c>
      <c r="N228" s="1135" t="s">
        <v>1569</v>
      </c>
      <c r="O228" s="2510">
        <v>0.13700000000000001</v>
      </c>
      <c r="P228" s="1980">
        <v>0.13700000000000001</v>
      </c>
      <c r="Q228" s="1980">
        <v>0</v>
      </c>
      <c r="R228" s="1980">
        <v>0</v>
      </c>
      <c r="S228" s="1980">
        <v>0</v>
      </c>
      <c r="T228" s="1980">
        <v>0</v>
      </c>
      <c r="U228" s="2036">
        <v>0</v>
      </c>
    </row>
    <row r="229" spans="2:21" hidden="1" outlineLevel="2">
      <c r="B229" s="1050"/>
      <c r="C229" s="1050"/>
      <c r="D229" s="1051">
        <f t="shared" si="24"/>
        <v>10</v>
      </c>
      <c r="E229" s="1051" t="str">
        <f>IF(COUNTIF(E$201:E228,F229)&gt;0,"",F229)</f>
        <v/>
      </c>
      <c r="F229" s="1051" t="str">
        <f t="shared" si="25"/>
        <v>Moto &gt; 250 cm3 - urbain - 2018, France continentale, Base Carbone</v>
      </c>
      <c r="G229" s="1055" t="str">
        <f t="shared" si="26"/>
        <v>Moto &gt; 250 cm3 - urbain - 2018, France continentale, Base Carbone; kgCO2e/km Amont</v>
      </c>
      <c r="I229" s="2018" t="s">
        <v>3965</v>
      </c>
      <c r="J229" s="1032" t="s">
        <v>2222</v>
      </c>
      <c r="K229" s="1119" t="s">
        <v>1567</v>
      </c>
      <c r="L229" s="1135" t="s">
        <v>1571</v>
      </c>
      <c r="M229" s="2043">
        <v>0.6</v>
      </c>
      <c r="N229" s="1135" t="s">
        <v>1570</v>
      </c>
      <c r="O229" s="2510">
        <v>3.0300000000000001E-2</v>
      </c>
      <c r="P229" s="1980">
        <v>3.0300000000000001E-2</v>
      </c>
      <c r="Q229" s="1980">
        <v>0</v>
      </c>
      <c r="R229" s="1980">
        <v>0</v>
      </c>
      <c r="S229" s="1980">
        <v>0</v>
      </c>
      <c r="T229" s="1980">
        <v>0</v>
      </c>
      <c r="U229" s="2036">
        <v>0</v>
      </c>
    </row>
    <row r="230" spans="2:21" hidden="1" outlineLevel="2">
      <c r="B230" s="1050"/>
      <c r="C230" s="1050"/>
      <c r="D230" s="1051">
        <f t="shared" si="24"/>
        <v>10</v>
      </c>
      <c r="E230" s="1051" t="str">
        <f>IF(COUNTIF(E$201:E229,F230)&gt;0,"",F230)</f>
        <v/>
      </c>
      <c r="F230" s="1051" t="str">
        <f t="shared" si="25"/>
        <v>Moto &gt; 250 cm3 - urbain - 2018, France continentale, Base Carbone</v>
      </c>
      <c r="G230" s="1055" t="str">
        <f t="shared" si="26"/>
        <v>Moto &gt; 250 cm3 - urbain - 2018, France continentale, Base Carbone; kgCO2e/km Fabrication</v>
      </c>
      <c r="I230" s="2018" t="s">
        <v>3965</v>
      </c>
      <c r="J230" s="1032" t="s">
        <v>2222</v>
      </c>
      <c r="K230" s="1119" t="s">
        <v>1567</v>
      </c>
      <c r="L230" s="1135" t="s">
        <v>1571</v>
      </c>
      <c r="M230" s="2043">
        <v>0.6</v>
      </c>
      <c r="N230" s="1135" t="s">
        <v>332</v>
      </c>
      <c r="O230" s="2510">
        <v>2.6499999999999999E-2</v>
      </c>
      <c r="P230" s="1980">
        <v>2.6499999999999999E-2</v>
      </c>
      <c r="Q230" s="1980">
        <v>0</v>
      </c>
      <c r="R230" s="1980">
        <v>0</v>
      </c>
      <c r="S230" s="1980">
        <v>0</v>
      </c>
      <c r="T230" s="1980">
        <v>0</v>
      </c>
      <c r="U230" s="2036">
        <v>0</v>
      </c>
    </row>
    <row r="231" spans="2:21" hidden="1" outlineLevel="2">
      <c r="B231" s="1050"/>
      <c r="C231" s="1050"/>
      <c r="D231" s="1051">
        <f t="shared" si="24"/>
        <v>11</v>
      </c>
      <c r="E231" s="1051" t="str">
        <f>IF(COUNTIF(E$201:E230,F231)&gt;0,"",F231)</f>
        <v>Trottinette - électrique, France continentale, Base Carbone</v>
      </c>
      <c r="F231" s="1051" t="str">
        <f t="shared" si="25"/>
        <v>Trottinette - électrique, France continentale, Base Carbone</v>
      </c>
      <c r="G231" s="1055" t="str">
        <f t="shared" si="26"/>
        <v>Trottinette - électrique, France continentale, Base Carbone; kgCO2e/km Combustion</v>
      </c>
      <c r="I231" s="2018" t="s">
        <v>4117</v>
      </c>
      <c r="J231" s="1119" t="s">
        <v>2222</v>
      </c>
      <c r="K231" s="1119" t="s">
        <v>1567</v>
      </c>
      <c r="L231" s="1119" t="s">
        <v>1571</v>
      </c>
      <c r="M231" s="2062">
        <v>0.5</v>
      </c>
      <c r="N231" s="1119" t="s">
        <v>1569</v>
      </c>
      <c r="O231" s="2510">
        <v>2E-3</v>
      </c>
      <c r="P231" s="1980">
        <v>2E-3</v>
      </c>
      <c r="Q231" s="1980">
        <v>0</v>
      </c>
      <c r="R231" s="1980">
        <v>0</v>
      </c>
      <c r="S231" s="1980">
        <v>0</v>
      </c>
      <c r="T231" s="1980">
        <v>0</v>
      </c>
      <c r="U231" s="2036">
        <v>0</v>
      </c>
    </row>
    <row r="232" spans="2:21" hidden="1" outlineLevel="2">
      <c r="B232" s="1050"/>
      <c r="C232" s="1050"/>
      <c r="D232" s="1051">
        <f t="shared" si="24"/>
        <v>11</v>
      </c>
      <c r="E232" s="1051" t="str">
        <f>IF(COUNTIF(E$201:E231,F232)&gt;0,"",F232)</f>
        <v/>
      </c>
      <c r="F232" s="1051" t="str">
        <f t="shared" si="25"/>
        <v>Trottinette - électrique, France continentale, Base Carbone</v>
      </c>
      <c r="G232" s="1055" t="str">
        <f t="shared" si="26"/>
        <v>Trottinette - électrique, France continentale, Base Carbone; kgCO2e/km Amont</v>
      </c>
      <c r="I232" s="2018" t="s">
        <v>4117</v>
      </c>
      <c r="J232" s="1119" t="s">
        <v>2222</v>
      </c>
      <c r="K232" s="1119" t="s">
        <v>1567</v>
      </c>
      <c r="L232" s="1119" t="s">
        <v>1571</v>
      </c>
      <c r="M232" s="2062">
        <v>0.5</v>
      </c>
      <c r="N232" s="1119" t="s">
        <v>1570</v>
      </c>
      <c r="O232" s="2510">
        <v>2.29E-2</v>
      </c>
      <c r="P232" s="1980">
        <v>2.29E-2</v>
      </c>
      <c r="Q232" s="1980">
        <v>0</v>
      </c>
      <c r="R232" s="1980">
        <v>0</v>
      </c>
      <c r="S232" s="1980">
        <v>0</v>
      </c>
      <c r="T232" s="1980">
        <v>0</v>
      </c>
      <c r="U232" s="2036">
        <v>0</v>
      </c>
    </row>
    <row r="233" spans="2:21" hidden="1" outlineLevel="2">
      <c r="B233" s="1050"/>
      <c r="C233" s="1050"/>
      <c r="D233" s="1051">
        <f t="shared" si="24"/>
        <v>12</v>
      </c>
      <c r="E233" s="1051" t="str">
        <f>IF(COUNTIF(E$201:E232,F233)&gt;0,"",F233)</f>
        <v>Vélo à assistance électrique, France continentale, Base Carbone</v>
      </c>
      <c r="F233" s="1051" t="str">
        <f t="shared" si="25"/>
        <v>Vélo à assistance électrique, France continentale, Base Carbone</v>
      </c>
      <c r="G233" s="1055" t="str">
        <f t="shared" si="26"/>
        <v>Vélo à assistance électrique, France continentale, Base Carbone; kgCO2e/km Combustion</v>
      </c>
      <c r="I233" s="2018" t="s">
        <v>4118</v>
      </c>
      <c r="J233" s="1119" t="s">
        <v>2222</v>
      </c>
      <c r="K233" s="1119" t="s">
        <v>1567</v>
      </c>
      <c r="L233" s="1119" t="s">
        <v>1571</v>
      </c>
      <c r="M233" s="2062">
        <v>0.5</v>
      </c>
      <c r="N233" s="1119" t="s">
        <v>1569</v>
      </c>
      <c r="O233" s="2510">
        <v>2.2300000000000002E-3</v>
      </c>
      <c r="P233" s="1980">
        <v>2.2300000000000002E-3</v>
      </c>
      <c r="Q233" s="1980">
        <v>0</v>
      </c>
      <c r="R233" s="1980">
        <v>0</v>
      </c>
      <c r="S233" s="1980">
        <v>0</v>
      </c>
      <c r="T233" s="1980">
        <v>0</v>
      </c>
      <c r="U233" s="2036">
        <v>0</v>
      </c>
    </row>
    <row r="234" spans="2:21" hidden="1" outlineLevel="2">
      <c r="B234" s="1050"/>
      <c r="C234" s="1050"/>
      <c r="D234" s="1051">
        <f t="shared" si="24"/>
        <v>12</v>
      </c>
      <c r="E234" s="1051" t="str">
        <f>IF(COUNTIF(E$201:E233,F234)&gt;0,"",F234)</f>
        <v/>
      </c>
      <c r="F234" s="1051" t="str">
        <f t="shared" si="25"/>
        <v>Vélo à assistance électrique, France continentale, Base Carbone</v>
      </c>
      <c r="G234" s="1055" t="str">
        <f t="shared" si="26"/>
        <v>Vélo à assistance électrique, France continentale, Base Carbone; kgCO2e/km Amont</v>
      </c>
      <c r="I234" s="2018" t="s">
        <v>4118</v>
      </c>
      <c r="J234" s="1119" t="s">
        <v>2222</v>
      </c>
      <c r="K234" s="1119" t="s">
        <v>1567</v>
      </c>
      <c r="L234" s="1119" t="s">
        <v>1571</v>
      </c>
      <c r="M234" s="2062">
        <v>0.5</v>
      </c>
      <c r="N234" s="1119" t="s">
        <v>1570</v>
      </c>
      <c r="O234" s="2510">
        <v>8.7200000000000003E-3</v>
      </c>
      <c r="P234" s="1980">
        <v>8.7200000000000003E-3</v>
      </c>
      <c r="Q234" s="1980">
        <v>0</v>
      </c>
      <c r="R234" s="1980">
        <v>0</v>
      </c>
      <c r="S234" s="1980">
        <v>0</v>
      </c>
      <c r="T234" s="1980">
        <v>0</v>
      </c>
      <c r="U234" s="2036">
        <v>0</v>
      </c>
    </row>
    <row r="235" spans="2:21" hidden="1" outlineLevel="2">
      <c r="B235" s="1050"/>
      <c r="C235" s="1050"/>
      <c r="D235" s="1051">
        <f t="shared" si="24"/>
        <v>12</v>
      </c>
      <c r="E235" s="1051" t="str">
        <f>IF(COUNTIF(E$201:E234,F235)&gt;0,"",F235)</f>
        <v/>
      </c>
      <c r="F235" s="1051" t="str">
        <f t="shared" si="25"/>
        <v/>
      </c>
      <c r="G235" s="1055" t="str">
        <f t="shared" si="26"/>
        <v/>
      </c>
      <c r="I235" s="2018"/>
      <c r="J235" s="1135"/>
      <c r="K235" s="1135"/>
      <c r="L235" s="1135"/>
      <c r="M235" s="1135"/>
      <c r="N235" s="1135"/>
      <c r="O235" s="1135"/>
      <c r="P235" s="1135"/>
      <c r="Q235" s="1135"/>
      <c r="R235" s="1135"/>
      <c r="S235" s="1135"/>
      <c r="T235" s="1135"/>
      <c r="U235" s="2041"/>
    </row>
    <row r="236" spans="2:21" hidden="1" outlineLevel="2">
      <c r="B236" s="1050"/>
      <c r="C236" s="1050"/>
      <c r="D236" s="1051">
        <f t="shared" si="24"/>
        <v>12</v>
      </c>
      <c r="E236" s="1051" t="str">
        <f>IF(COUNTIF(E$201:E235,F236)&gt;0,"",F236)</f>
        <v/>
      </c>
      <c r="F236" s="1051" t="str">
        <f t="shared" si="25"/>
        <v/>
      </c>
      <c r="G236" s="1055" t="str">
        <f t="shared" si="26"/>
        <v/>
      </c>
      <c r="I236" s="1100"/>
      <c r="J236" s="1048"/>
      <c r="K236" s="1048"/>
      <c r="L236" s="1048"/>
      <c r="M236" s="1048"/>
      <c r="N236" s="1048"/>
      <c r="O236" s="1048"/>
      <c r="P236" s="1048"/>
      <c r="Q236" s="1048"/>
      <c r="R236" s="1048"/>
      <c r="S236" s="1048"/>
      <c r="T236" s="1048"/>
      <c r="U236" s="1102"/>
    </row>
    <row r="237" spans="2:21" hidden="1" outlineLevel="2">
      <c r="B237" s="1050"/>
      <c r="C237" s="1050"/>
      <c r="D237" s="1051">
        <f t="shared" si="24"/>
        <v>12</v>
      </c>
      <c r="E237" s="1051" t="str">
        <f>IF(COUNTIF(E$201:E236,F237)&gt;0,"",F237)</f>
        <v/>
      </c>
      <c r="F237" s="1051" t="str">
        <f t="shared" si="25"/>
        <v/>
      </c>
      <c r="G237" s="1055" t="str">
        <f t="shared" si="26"/>
        <v/>
      </c>
      <c r="I237" s="1100"/>
      <c r="J237" s="1048"/>
      <c r="K237" s="1048"/>
      <c r="L237" s="1048"/>
      <c r="M237" s="1048"/>
      <c r="N237" s="1048"/>
      <c r="O237" s="1048"/>
      <c r="P237" s="1048"/>
      <c r="Q237" s="1048"/>
      <c r="R237" s="1048"/>
      <c r="S237" s="1048"/>
      <c r="T237" s="1048"/>
      <c r="U237" s="1102"/>
    </row>
    <row r="238" spans="2:21" hidden="1" outlineLevel="2">
      <c r="B238" s="1050"/>
      <c r="C238" s="1050"/>
      <c r="D238" s="1051">
        <f t="shared" si="24"/>
        <v>12</v>
      </c>
      <c r="E238" s="1051" t="str">
        <f>IF(COUNTIF(E$201:E237,F238)&gt;0,"",F238)</f>
        <v/>
      </c>
      <c r="F238" s="1051" t="str">
        <f t="shared" si="25"/>
        <v/>
      </c>
      <c r="G238" s="1055" t="str">
        <f t="shared" si="26"/>
        <v/>
      </c>
      <c r="I238" s="1100"/>
      <c r="J238" s="1048"/>
      <c r="K238" s="1048"/>
      <c r="L238" s="1048"/>
      <c r="M238" s="1048"/>
      <c r="N238" s="1048"/>
      <c r="O238" s="1048"/>
      <c r="P238" s="1048"/>
      <c r="Q238" s="1048"/>
      <c r="R238" s="1048"/>
      <c r="S238" s="1048"/>
      <c r="T238" s="1048"/>
      <c r="U238" s="1102"/>
    </row>
    <row r="239" spans="2:21" hidden="1" outlineLevel="2">
      <c r="B239" s="1050"/>
      <c r="C239" s="1050"/>
      <c r="D239" s="1051">
        <f t="shared" si="24"/>
        <v>12</v>
      </c>
      <c r="E239" s="1051" t="str">
        <f>IF(COUNTIF(E$201:E238,F239)&gt;0,"",F239)</f>
        <v/>
      </c>
      <c r="F239" s="1051" t="str">
        <f t="shared" si="25"/>
        <v/>
      </c>
      <c r="G239" s="1055" t="str">
        <f t="shared" si="26"/>
        <v/>
      </c>
      <c r="I239" s="1100"/>
      <c r="J239" s="1048"/>
      <c r="K239" s="1048"/>
      <c r="L239" s="1048"/>
      <c r="M239" s="1048"/>
      <c r="N239" s="1048"/>
      <c r="O239" s="1048"/>
      <c r="P239" s="1048"/>
      <c r="Q239" s="1048"/>
      <c r="R239" s="1048"/>
      <c r="S239" s="1048"/>
      <c r="T239" s="1048"/>
      <c r="U239" s="1102"/>
    </row>
    <row r="240" spans="2:21" hidden="1" outlineLevel="2">
      <c r="B240" s="1050"/>
      <c r="C240" s="1050"/>
      <c r="D240" s="1051">
        <f t="shared" si="24"/>
        <v>12</v>
      </c>
      <c r="E240" s="1051" t="str">
        <f>IF(COUNTIF(E$201:E239,F240)&gt;0,"",F240)</f>
        <v/>
      </c>
      <c r="F240" s="1051" t="str">
        <f t="shared" si="25"/>
        <v/>
      </c>
      <c r="G240" s="1055" t="str">
        <f t="shared" si="26"/>
        <v/>
      </c>
      <c r="I240" s="1100"/>
      <c r="J240" s="1048"/>
      <c r="K240" s="1048"/>
      <c r="L240" s="1048"/>
      <c r="M240" s="1048"/>
      <c r="N240" s="1048"/>
      <c r="O240" s="1048"/>
      <c r="P240" s="1048"/>
      <c r="Q240" s="1048"/>
      <c r="R240" s="1048"/>
      <c r="S240" s="1048"/>
      <c r="T240" s="1048"/>
      <c r="U240" s="1102"/>
    </row>
    <row r="241" spans="2:21" hidden="1" outlineLevel="2">
      <c r="B241" s="1050"/>
      <c r="C241" s="1050"/>
      <c r="D241" s="1051">
        <f t="shared" si="24"/>
        <v>12</v>
      </c>
      <c r="E241" s="1051" t="str">
        <f>IF(COUNTIF(E$201:E240,F241)&gt;0,"",F241)</f>
        <v/>
      </c>
      <c r="F241" s="1051" t="str">
        <f t="shared" si="25"/>
        <v/>
      </c>
      <c r="G241" s="1055" t="str">
        <f t="shared" si="26"/>
        <v/>
      </c>
      <c r="I241" s="1100"/>
      <c r="J241" s="1048"/>
      <c r="K241" s="1048"/>
      <c r="L241" s="1048"/>
      <c r="M241" s="1048"/>
      <c r="N241" s="1048"/>
      <c r="O241" s="1048"/>
      <c r="P241" s="1048"/>
      <c r="Q241" s="1048"/>
      <c r="R241" s="1048"/>
      <c r="S241" s="1048"/>
      <c r="T241" s="1048"/>
      <c r="U241" s="1102"/>
    </row>
    <row r="242" spans="2:21" hidden="1" outlineLevel="2">
      <c r="B242" s="1050"/>
      <c r="C242" s="1050"/>
      <c r="D242" s="1051">
        <f t="shared" si="24"/>
        <v>12</v>
      </c>
      <c r="E242" s="1051" t="str">
        <f>IF(COUNTIF(E$201:E241,F242)&gt;0,"",F242)</f>
        <v/>
      </c>
      <c r="F242" s="1051" t="str">
        <f t="shared" si="25"/>
        <v/>
      </c>
      <c r="G242" s="1055" t="str">
        <f t="shared" si="26"/>
        <v/>
      </c>
      <c r="I242" s="1100"/>
      <c r="J242" s="1048"/>
      <c r="K242" s="1048"/>
      <c r="L242" s="1048"/>
      <c r="M242" s="1048"/>
      <c r="N242" s="1048"/>
      <c r="O242" s="1048"/>
      <c r="P242" s="1048"/>
      <c r="Q242" s="1048"/>
      <c r="R242" s="1048"/>
      <c r="S242" s="1048"/>
      <c r="T242" s="1048"/>
      <c r="U242" s="1102"/>
    </row>
    <row r="243" spans="2:21" hidden="1" outlineLevel="2">
      <c r="B243" s="1050"/>
      <c r="C243" s="1050"/>
      <c r="D243" s="1051">
        <f t="shared" si="24"/>
        <v>12</v>
      </c>
      <c r="E243" s="1051" t="str">
        <f>IF(COUNTIF(E$201:E242,F243)&gt;0,"",F243)</f>
        <v/>
      </c>
      <c r="F243" s="1051" t="str">
        <f t="shared" si="25"/>
        <v/>
      </c>
      <c r="G243" s="1055" t="str">
        <f t="shared" si="26"/>
        <v/>
      </c>
      <c r="I243" s="1100"/>
      <c r="J243" s="1048"/>
      <c r="K243" s="1048"/>
      <c r="L243" s="1048"/>
      <c r="M243" s="1048"/>
      <c r="N243" s="1048"/>
      <c r="O243" s="1048"/>
      <c r="P243" s="1048"/>
      <c r="Q243" s="1048"/>
      <c r="R243" s="1048"/>
      <c r="S243" s="1048"/>
      <c r="T243" s="1048"/>
      <c r="U243" s="1102"/>
    </row>
    <row r="244" spans="2:21" hidden="1" outlineLevel="2">
      <c r="B244" s="1050"/>
      <c r="C244" s="1050"/>
      <c r="D244" s="1051">
        <f t="shared" si="24"/>
        <v>12</v>
      </c>
      <c r="E244" s="1051" t="str">
        <f>IF(COUNTIF(E$201:E243,F244)&gt;0,"",F244)</f>
        <v/>
      </c>
      <c r="F244" s="1051" t="str">
        <f t="shared" si="25"/>
        <v/>
      </c>
      <c r="G244" s="1055" t="str">
        <f t="shared" si="26"/>
        <v/>
      </c>
      <c r="I244" s="1100"/>
      <c r="J244" s="1048"/>
      <c r="K244" s="1048"/>
      <c r="L244" s="1048"/>
      <c r="M244" s="1048"/>
      <c r="N244" s="1048"/>
      <c r="O244" s="1048"/>
      <c r="P244" s="1048"/>
      <c r="Q244" s="1048"/>
      <c r="R244" s="1048"/>
      <c r="S244" s="1048"/>
      <c r="T244" s="1048"/>
      <c r="U244" s="1102"/>
    </row>
    <row r="245" spans="2:21" hidden="1" outlineLevel="2">
      <c r="B245" s="1050"/>
      <c r="C245" s="1050"/>
      <c r="D245" s="1051">
        <f t="shared" si="24"/>
        <v>12</v>
      </c>
      <c r="E245" s="1051" t="str">
        <f>IF(COUNTIF(E$201:E244,F245)&gt;0,"",F245)</f>
        <v/>
      </c>
      <c r="F245" s="1051" t="str">
        <f t="shared" si="25"/>
        <v/>
      </c>
      <c r="G245" s="1055" t="str">
        <f t="shared" si="26"/>
        <v/>
      </c>
      <c r="I245" s="1100"/>
      <c r="J245" s="1048"/>
      <c r="K245" s="1048"/>
      <c r="L245" s="1048"/>
      <c r="M245" s="1048"/>
      <c r="N245" s="1048"/>
      <c r="O245" s="1048"/>
      <c r="P245" s="1048"/>
      <c r="Q245" s="1048"/>
      <c r="R245" s="1048"/>
      <c r="S245" s="1048"/>
      <c r="T245" s="1048"/>
      <c r="U245" s="1102"/>
    </row>
    <row r="246" spans="2:21" s="1045" customFormat="1" hidden="1" outlineLevel="1">
      <c r="G246" s="1135"/>
      <c r="I246" s="1711"/>
      <c r="J246" s="1712"/>
      <c r="K246" s="1712"/>
      <c r="L246" s="1712"/>
      <c r="M246" s="1712"/>
      <c r="N246" s="1712"/>
      <c r="O246" s="1712"/>
      <c r="P246" s="1712"/>
      <c r="Q246" s="1712"/>
      <c r="R246" s="1712"/>
      <c r="S246" s="1712"/>
      <c r="T246" s="1712"/>
      <c r="U246" s="1714"/>
    </row>
    <row r="247" spans="2:21" s="1045" customFormat="1" ht="12.75" hidden="1" customHeight="1" outlineLevel="1" collapsed="1">
      <c r="B247" s="3156" t="s">
        <v>3299</v>
      </c>
      <c r="C247" s="3156"/>
      <c r="D247" s="1051">
        <v>0</v>
      </c>
      <c r="E247" s="1051"/>
      <c r="F247" s="1051"/>
      <c r="G247" s="1054"/>
      <c r="H247" s="1046"/>
      <c r="I247" s="1746"/>
      <c r="J247" s="1742"/>
      <c r="K247" s="1743"/>
      <c r="L247" s="1743"/>
      <c r="M247" s="1744"/>
      <c r="N247" s="1742"/>
      <c r="O247" s="1745"/>
      <c r="P247" s="1743"/>
      <c r="Q247" s="1743"/>
      <c r="R247" s="1745"/>
      <c r="S247" s="1745"/>
      <c r="T247" s="1743"/>
      <c r="U247" s="1747"/>
    </row>
    <row r="248" spans="2:21" hidden="1" outlineLevel="3">
      <c r="B248" s="1050">
        <v>1</v>
      </c>
      <c r="C248" s="1050" t="str">
        <f>IF(ISNA(VLOOKUP(B248,$D$247:$E$292,2,FALSE)),"-",VLOOKUP(B248,$D$247:$E$292,2,FALSE))</f>
        <v>Autobus moyen - agglomération moins de 100 000 habitants, France continentale, Base Carbone</v>
      </c>
      <c r="D248" s="1051">
        <f>D247+IF(LEN(E248)&gt;0,1,0)</f>
        <v>1</v>
      </c>
      <c r="E248" s="1051" t="str">
        <f>IF(COUNTIF(E$247:E247,F248)&gt;0,"",F248)</f>
        <v>Autobus moyen - agglomération moins de 100 000 habitants, France continentale, Base Carbone</v>
      </c>
      <c r="F248" s="1051" t="str">
        <f>IF(I248&lt;&gt;"",I248&amp;IF(L248&lt;&gt;"",", "&amp;L248,"")&amp;IF(K248&lt;&gt;"",", "&amp;K248,""),"")</f>
        <v>Autobus moyen - agglomération moins de 100 000 habitants, France continentale, Base Carbone</v>
      </c>
      <c r="G248" s="1055" t="str">
        <f>IF(F248&lt;&gt;"",F248&amp;IF(J248&lt;&gt;"","; "&amp;J248&amp;IF(N248&lt;&gt;"",", "&amp;N248,),""),"")</f>
        <v>Autobus moyen - agglomération moins de 100 000 habitants, France continentale, Base Carbone; kgCO2e/passager.km, Combustion</v>
      </c>
      <c r="I248" s="1034" t="s">
        <v>3966</v>
      </c>
      <c r="J248" s="1135" t="s">
        <v>2224</v>
      </c>
      <c r="K248" s="1119" t="s">
        <v>1567</v>
      </c>
      <c r="L248" s="1032" t="s">
        <v>1571</v>
      </c>
      <c r="M248" s="1033">
        <v>0.6</v>
      </c>
      <c r="N248" s="2017" t="s">
        <v>1569</v>
      </c>
      <c r="O248" s="2510">
        <v>0.14599999999999999</v>
      </c>
      <c r="P248" s="1980">
        <v>0.14599999999999999</v>
      </c>
      <c r="Q248" s="1980">
        <v>0</v>
      </c>
      <c r="R248" s="1980">
        <v>0</v>
      </c>
      <c r="S248" s="1980">
        <v>0</v>
      </c>
      <c r="T248" s="1980">
        <v>0</v>
      </c>
      <c r="U248" s="2036">
        <v>0</v>
      </c>
    </row>
    <row r="249" spans="2:21" hidden="1" outlineLevel="3">
      <c r="B249" s="1050">
        <v>2</v>
      </c>
      <c r="C249" s="1050" t="str">
        <f t="shared" ref="C249:C268" si="27">IF(ISNA(VLOOKUP(B249,$D$247:$E$292,2,FALSE)),"-",VLOOKUP(B249,$D$247:$E$292,2,FALSE))</f>
        <v>Autobus moyen - agglomération de 100 000 à 250 000 habitants, France continentale, Base Carbone</v>
      </c>
      <c r="D249" s="1051">
        <f t="shared" ref="D249:D292" si="28">D248+IF(LEN(E249)&gt;0,1,0)</f>
        <v>1</v>
      </c>
      <c r="E249" s="1051" t="str">
        <f>IF(COUNTIF(E$247:E248,F249)&gt;0,"",F249)</f>
        <v/>
      </c>
      <c r="F249" s="1051" t="str">
        <f t="shared" ref="F249:F292" si="29">IF(I249&lt;&gt;"",I249&amp;IF(L249&lt;&gt;"",", "&amp;L249,"")&amp;IF(K249&lt;&gt;"",", "&amp;K249,""),"")</f>
        <v>Autobus moyen - agglomération moins de 100 000 habitants, France continentale, Base Carbone</v>
      </c>
      <c r="G249" s="1055" t="str">
        <f t="shared" ref="G249:G292" si="30">IF(F249&lt;&gt;"",F249&amp;IF(J249&lt;&gt;"","; "&amp;J249&amp;IF(N249&lt;&gt;"",", "&amp;N249,),""),"")</f>
        <v>Autobus moyen - agglomération moins de 100 000 habitants, France continentale, Base Carbone; kgCO2e/passager.km, Fabrication</v>
      </c>
      <c r="I249" s="1034" t="s">
        <v>3966</v>
      </c>
      <c r="J249" s="1135" t="s">
        <v>2224</v>
      </c>
      <c r="K249" s="1119" t="s">
        <v>1567</v>
      </c>
      <c r="L249" s="1032" t="s">
        <v>1571</v>
      </c>
      <c r="M249" s="1033">
        <v>0.6</v>
      </c>
      <c r="N249" s="1119" t="s">
        <v>332</v>
      </c>
      <c r="O249" s="2510">
        <v>5.6500000000000002E-2</v>
      </c>
      <c r="P249" s="1980">
        <v>5.6500000000000002E-2</v>
      </c>
      <c r="Q249" s="1980">
        <v>0</v>
      </c>
      <c r="R249" s="1980">
        <v>0</v>
      </c>
      <c r="S249" s="1980">
        <v>0</v>
      </c>
      <c r="T249" s="1980">
        <v>0</v>
      </c>
      <c r="U249" s="2036">
        <v>0</v>
      </c>
    </row>
    <row r="250" spans="2:21" hidden="1" outlineLevel="3">
      <c r="B250" s="1050">
        <v>3</v>
      </c>
      <c r="C250" s="1050" t="str">
        <f t="shared" si="27"/>
        <v>Autobus moyen - agglomération plus de 250 000 habitants, France continentale, Base Carbone</v>
      </c>
      <c r="D250" s="1051">
        <f t="shared" si="28"/>
        <v>2</v>
      </c>
      <c r="E250" s="1051" t="str">
        <f>IF(COUNTIF(E$247:E249,F250)&gt;0,"",F250)</f>
        <v>Autobus moyen - agglomération de 100 000 à 250 000 habitants, France continentale, Base Carbone</v>
      </c>
      <c r="F250" s="1051" t="str">
        <f t="shared" si="29"/>
        <v>Autobus moyen - agglomération de 100 000 à 250 000 habitants, France continentale, Base Carbone</v>
      </c>
      <c r="G250" s="1055" t="str">
        <f t="shared" si="30"/>
        <v>Autobus moyen - agglomération de 100 000 à 250 000 habitants, France continentale, Base Carbone; kgCO2e/passager.km, Combustion</v>
      </c>
      <c r="I250" s="2018" t="s">
        <v>3967</v>
      </c>
      <c r="J250" s="1135" t="s">
        <v>2224</v>
      </c>
      <c r="K250" s="1119" t="s">
        <v>1567</v>
      </c>
      <c r="L250" s="1032" t="s">
        <v>1571</v>
      </c>
      <c r="M250" s="1033">
        <v>0.6</v>
      </c>
      <c r="N250" s="2017" t="s">
        <v>1569</v>
      </c>
      <c r="O250" s="2510">
        <v>0.13700000000000001</v>
      </c>
      <c r="P250" s="1980">
        <v>0.13700000000000001</v>
      </c>
      <c r="Q250" s="1980">
        <v>0</v>
      </c>
      <c r="R250" s="1980">
        <v>0</v>
      </c>
      <c r="S250" s="1980">
        <v>0</v>
      </c>
      <c r="T250" s="1980">
        <v>0</v>
      </c>
      <c r="U250" s="2036">
        <v>0</v>
      </c>
    </row>
    <row r="251" spans="2:21" hidden="1" outlineLevel="3">
      <c r="B251" s="1050">
        <v>4</v>
      </c>
      <c r="C251" s="1050" t="str">
        <f t="shared" si="27"/>
        <v>Autobus électrique, France continentale, Base Carbone</v>
      </c>
      <c r="D251" s="1051">
        <f t="shared" si="28"/>
        <v>2</v>
      </c>
      <c r="E251" s="1051" t="str">
        <f>IF(COUNTIF(E$247:E250,F251)&gt;0,"",F251)</f>
        <v/>
      </c>
      <c r="F251" s="1051" t="str">
        <f t="shared" si="29"/>
        <v>Autobus moyen - agglomération de 100 000 à 250 000 habitants, France continentale, Base Carbone</v>
      </c>
      <c r="G251" s="1055" t="str">
        <f t="shared" si="30"/>
        <v>Autobus moyen - agglomération de 100 000 à 250 000 habitants, France continentale, Base Carbone; kgCO2e/passager.km, Fabrication</v>
      </c>
      <c r="I251" s="2018" t="s">
        <v>3967</v>
      </c>
      <c r="J251" s="1135" t="s">
        <v>2224</v>
      </c>
      <c r="K251" s="1119" t="s">
        <v>1567</v>
      </c>
      <c r="L251" s="1032" t="s">
        <v>1571</v>
      </c>
      <c r="M251" s="1033">
        <v>0.6</v>
      </c>
      <c r="N251" s="1119" t="s">
        <v>332</v>
      </c>
      <c r="O251" s="2510">
        <v>9.5999999999999992E-3</v>
      </c>
      <c r="P251" s="1980">
        <v>9.5999999999999992E-3</v>
      </c>
      <c r="Q251" s="1980">
        <v>0</v>
      </c>
      <c r="R251" s="1980">
        <v>0</v>
      </c>
      <c r="S251" s="1980">
        <v>0</v>
      </c>
      <c r="T251" s="1980">
        <v>0</v>
      </c>
      <c r="U251" s="2036">
        <v>0</v>
      </c>
    </row>
    <row r="252" spans="2:21" hidden="1" outlineLevel="3">
      <c r="B252" s="1050">
        <v>5</v>
      </c>
      <c r="C252" s="1050" t="str">
        <f t="shared" si="27"/>
        <v>Autobus gazole, France continentale, Base Carbone</v>
      </c>
      <c r="D252" s="1051">
        <f t="shared" si="28"/>
        <v>3</v>
      </c>
      <c r="E252" s="1051" t="str">
        <f>IF(COUNTIF(E$247:E251,F252)&gt;0,"",F252)</f>
        <v>Autobus moyen - agglomération plus de 250 000 habitants, France continentale, Base Carbone</v>
      </c>
      <c r="F252" s="1051" t="str">
        <f t="shared" si="29"/>
        <v>Autobus moyen - agglomération plus de 250 000 habitants, France continentale, Base Carbone</v>
      </c>
      <c r="G252" s="1055" t="str">
        <f t="shared" si="30"/>
        <v>Autobus moyen - agglomération plus de 250 000 habitants, France continentale, Base Carbone; kgCO2e/passager.km, Combustion</v>
      </c>
      <c r="I252" s="2018" t="s">
        <v>3968</v>
      </c>
      <c r="J252" s="1135" t="s">
        <v>2224</v>
      </c>
      <c r="K252" s="1119" t="s">
        <v>1567</v>
      </c>
      <c r="L252" s="1032" t="s">
        <v>1571</v>
      </c>
      <c r="M252" s="1033">
        <v>0.6</v>
      </c>
      <c r="N252" s="2017" t="s">
        <v>1569</v>
      </c>
      <c r="O252" s="1980">
        <v>0.129</v>
      </c>
      <c r="P252" s="1980">
        <v>0.129</v>
      </c>
      <c r="Q252" s="1980">
        <v>0</v>
      </c>
      <c r="R252" s="1980">
        <v>0</v>
      </c>
      <c r="S252" s="1980">
        <v>0</v>
      </c>
      <c r="T252" s="1980">
        <v>0</v>
      </c>
      <c r="U252" s="2036">
        <v>0</v>
      </c>
    </row>
    <row r="253" spans="2:21" hidden="1" outlineLevel="3">
      <c r="B253" s="1050">
        <v>6</v>
      </c>
      <c r="C253" s="1050" t="str">
        <f t="shared" si="27"/>
        <v>Autobus GNV, France continentale, Base Carbone</v>
      </c>
      <c r="D253" s="1051">
        <f t="shared" si="28"/>
        <v>3</v>
      </c>
      <c r="E253" s="1051" t="str">
        <f>IF(COUNTIF(E$247:E252,F253)&gt;0,"",F253)</f>
        <v/>
      </c>
      <c r="F253" s="1051" t="str">
        <f t="shared" si="29"/>
        <v>Autobus moyen - agglomération plus de 250 000 habitants, France continentale, Base Carbone</v>
      </c>
      <c r="G253" s="1055" t="str">
        <f t="shared" si="30"/>
        <v>Autobus moyen - agglomération plus de 250 000 habitants, France continentale, Base Carbone; kgCO2e/passager.km, Fabrication</v>
      </c>
      <c r="I253" s="2018" t="s">
        <v>3968</v>
      </c>
      <c r="J253" s="1135" t="s">
        <v>2224</v>
      </c>
      <c r="K253" s="1119" t="s">
        <v>1567</v>
      </c>
      <c r="L253" s="1032" t="s">
        <v>1571</v>
      </c>
      <c r="M253" s="1033">
        <v>0.6</v>
      </c>
      <c r="N253" s="1119" t="s">
        <v>332</v>
      </c>
      <c r="O253" s="2510">
        <v>2.2499999999999999E-2</v>
      </c>
      <c r="P253" s="1980">
        <v>2.2499999999999999E-2</v>
      </c>
      <c r="Q253" s="1980">
        <v>0</v>
      </c>
      <c r="R253" s="1980">
        <v>0</v>
      </c>
      <c r="S253" s="1980">
        <v>0</v>
      </c>
      <c r="T253" s="1980">
        <v>0</v>
      </c>
      <c r="U253" s="2036">
        <v>0</v>
      </c>
    </row>
    <row r="254" spans="2:21" hidden="1" outlineLevel="3">
      <c r="B254" s="1050">
        <v>7</v>
      </c>
      <c r="C254" s="1050" t="str">
        <f t="shared" si="27"/>
        <v>Autobus hybride parallèle, France continentale, Base Carbone</v>
      </c>
      <c r="D254" s="1051">
        <f t="shared" si="28"/>
        <v>4</v>
      </c>
      <c r="E254" s="1051" t="str">
        <f>IF(COUNTIF(E$247:E253,F254)&gt;0,"",F254)</f>
        <v>Autobus électrique, France continentale, Base Carbone</v>
      </c>
      <c r="F254" s="1051" t="str">
        <f t="shared" si="29"/>
        <v>Autobus électrique, France continentale, Base Carbone</v>
      </c>
      <c r="G254" s="1055" t="str">
        <f t="shared" si="30"/>
        <v>Autobus électrique, France continentale, Base Carbone; kgCO2e/passager.km, Combustion</v>
      </c>
      <c r="I254" s="2018" t="s">
        <v>3969</v>
      </c>
      <c r="J254" s="1135" t="s">
        <v>2224</v>
      </c>
      <c r="K254" s="1119" t="s">
        <v>1567</v>
      </c>
      <c r="L254" s="1032" t="s">
        <v>1571</v>
      </c>
      <c r="M254" s="1033">
        <v>0.7</v>
      </c>
      <c r="N254" s="1119" t="s">
        <v>1569</v>
      </c>
      <c r="O254" s="1036">
        <v>0</v>
      </c>
      <c r="P254" s="1980">
        <v>0</v>
      </c>
      <c r="Q254" s="1980">
        <v>0</v>
      </c>
      <c r="R254" s="1980">
        <v>0</v>
      </c>
      <c r="S254" s="1980">
        <v>0</v>
      </c>
      <c r="T254" s="1980">
        <v>0</v>
      </c>
      <c r="U254" s="2036">
        <v>0</v>
      </c>
    </row>
    <row r="255" spans="2:21" hidden="1" outlineLevel="3">
      <c r="B255" s="1050">
        <v>8</v>
      </c>
      <c r="C255" s="1050" t="str">
        <f t="shared" si="27"/>
        <v>Autobus hybride série, France continentale, Base Carbone</v>
      </c>
      <c r="D255" s="1051">
        <f t="shared" si="28"/>
        <v>4</v>
      </c>
      <c r="E255" s="1051" t="str">
        <f>IF(COUNTIF(E$247:E254,F255)&gt;0,"",F255)</f>
        <v/>
      </c>
      <c r="F255" s="1051" t="str">
        <f t="shared" si="29"/>
        <v>Autobus électrique, France continentale, Base Carbone</v>
      </c>
      <c r="G255" s="1055" t="str">
        <f t="shared" si="30"/>
        <v>Autobus électrique, France continentale, Base Carbone; kgCO2e/passager.km, Amont</v>
      </c>
      <c r="I255" s="2018" t="s">
        <v>3969</v>
      </c>
      <c r="J255" s="1135" t="s">
        <v>2224</v>
      </c>
      <c r="K255" s="1119" t="s">
        <v>1567</v>
      </c>
      <c r="L255" s="1032" t="s">
        <v>1571</v>
      </c>
      <c r="M255" s="1033">
        <v>0.7</v>
      </c>
      <c r="N255" s="1119" t="s">
        <v>1570</v>
      </c>
      <c r="O255" s="1036">
        <v>9.4999999999999998E-3</v>
      </c>
      <c r="P255" s="1980">
        <v>9.4999999999999998E-3</v>
      </c>
      <c r="Q255" s="1980">
        <v>0</v>
      </c>
      <c r="R255" s="1980">
        <v>0</v>
      </c>
      <c r="S255" s="1980">
        <v>0</v>
      </c>
      <c r="T255" s="1980">
        <v>0</v>
      </c>
      <c r="U255" s="2036">
        <v>0</v>
      </c>
    </row>
    <row r="256" spans="2:21" hidden="1" outlineLevel="3">
      <c r="B256" s="1050">
        <v>9</v>
      </c>
      <c r="C256" s="1050" t="str">
        <f t="shared" si="27"/>
        <v>Autocar gazole, France continentale, Base Carbone</v>
      </c>
      <c r="D256" s="1051">
        <f t="shared" si="28"/>
        <v>4</v>
      </c>
      <c r="E256" s="1051" t="str">
        <f>IF(COUNTIF(E$247:E255,F256)&gt;0,"",F256)</f>
        <v/>
      </c>
      <c r="F256" s="1051" t="str">
        <f t="shared" si="29"/>
        <v>Autobus électrique, France continentale, Base Carbone</v>
      </c>
      <c r="G256" s="1055" t="str">
        <f t="shared" si="30"/>
        <v>Autobus électrique, France continentale, Base Carbone; kgCO2e/passager.km, Fabrication</v>
      </c>
      <c r="I256" s="2018" t="s">
        <v>3969</v>
      </c>
      <c r="J256" s="1135" t="s">
        <v>2224</v>
      </c>
      <c r="K256" s="1119" t="s">
        <v>1567</v>
      </c>
      <c r="L256" s="1032" t="s">
        <v>1571</v>
      </c>
      <c r="M256" s="1033">
        <v>0.7</v>
      </c>
      <c r="N256" s="1119" t="s">
        <v>332</v>
      </c>
      <c r="O256" s="1036">
        <v>1.2200000000000001E-2</v>
      </c>
      <c r="P256" s="1980">
        <v>1.2200000000000001E-2</v>
      </c>
      <c r="Q256" s="1980">
        <v>0</v>
      </c>
      <c r="R256" s="1980">
        <v>0</v>
      </c>
      <c r="S256" s="1980">
        <v>0</v>
      </c>
      <c r="T256" s="1980">
        <v>0</v>
      </c>
      <c r="U256" s="2036">
        <v>0</v>
      </c>
    </row>
    <row r="257" spans="2:21" hidden="1" outlineLevel="3">
      <c r="B257" s="1050">
        <v>10</v>
      </c>
      <c r="C257" s="1050" t="str">
        <f t="shared" si="27"/>
        <v>-</v>
      </c>
      <c r="D257" s="1051">
        <f t="shared" si="28"/>
        <v>5</v>
      </c>
      <c r="E257" s="1051" t="str">
        <f>IF(COUNTIF(E$247:E256,F257)&gt;0,"",F257)</f>
        <v>Autobus gazole, France continentale, Base Carbone</v>
      </c>
      <c r="F257" s="1051" t="str">
        <f t="shared" si="29"/>
        <v>Autobus gazole, France continentale, Base Carbone</v>
      </c>
      <c r="G257" s="1055" t="str">
        <f t="shared" si="30"/>
        <v>Autobus gazole, France continentale, Base Carbone; kgCO2e/passager.km, Combustion</v>
      </c>
      <c r="I257" s="2018" t="s">
        <v>3970</v>
      </c>
      <c r="J257" s="1135" t="s">
        <v>2224</v>
      </c>
      <c r="K257" s="1119" t="s">
        <v>1567</v>
      </c>
      <c r="L257" s="1032" t="s">
        <v>1571</v>
      </c>
      <c r="M257" s="1033">
        <v>0.6</v>
      </c>
      <c r="N257" s="1119" t="s">
        <v>1569</v>
      </c>
      <c r="O257" s="1036">
        <v>8.3799999999999999E-2</v>
      </c>
      <c r="P257" s="1980">
        <v>8.3799999999999999E-2</v>
      </c>
      <c r="Q257" s="1980">
        <v>0</v>
      </c>
      <c r="R257" s="1980">
        <v>0</v>
      </c>
      <c r="S257" s="1980">
        <v>0</v>
      </c>
      <c r="T257" s="1980">
        <v>0</v>
      </c>
      <c r="U257" s="2036">
        <v>0</v>
      </c>
    </row>
    <row r="258" spans="2:21" hidden="1" outlineLevel="3">
      <c r="B258" s="1050">
        <v>11</v>
      </c>
      <c r="C258" s="1050" t="str">
        <f t="shared" si="27"/>
        <v>-</v>
      </c>
      <c r="D258" s="1051">
        <f t="shared" si="28"/>
        <v>5</v>
      </c>
      <c r="E258" s="1051" t="str">
        <f>IF(COUNTIF(E$247:E257,F258)&gt;0,"",F258)</f>
        <v/>
      </c>
      <c r="F258" s="1051" t="str">
        <f t="shared" si="29"/>
        <v>Autobus gazole, France continentale, Base Carbone</v>
      </c>
      <c r="G258" s="1055" t="str">
        <f t="shared" si="30"/>
        <v>Autobus gazole, France continentale, Base Carbone; kgCO2e/passager.km, Amont</v>
      </c>
      <c r="I258" s="2018" t="s">
        <v>3970</v>
      </c>
      <c r="J258" s="1135" t="s">
        <v>2224</v>
      </c>
      <c r="K258" s="1119" t="s">
        <v>1567</v>
      </c>
      <c r="L258" s="1032" t="s">
        <v>1571</v>
      </c>
      <c r="M258" s="1033">
        <v>0.6</v>
      </c>
      <c r="N258" s="1119" t="s">
        <v>1570</v>
      </c>
      <c r="O258" s="1036">
        <v>2.0500000000000001E-2</v>
      </c>
      <c r="P258" s="1980">
        <v>2.0500000000000001E-2</v>
      </c>
      <c r="Q258" s="1980">
        <v>0</v>
      </c>
      <c r="R258" s="1980">
        <v>0</v>
      </c>
      <c r="S258" s="1980">
        <v>0</v>
      </c>
      <c r="T258" s="1980">
        <v>0</v>
      </c>
      <c r="U258" s="2036">
        <v>0</v>
      </c>
    </row>
    <row r="259" spans="2:21" hidden="1" outlineLevel="3">
      <c r="B259" s="1050">
        <v>12</v>
      </c>
      <c r="C259" s="1050" t="str">
        <f t="shared" si="27"/>
        <v>-</v>
      </c>
      <c r="D259" s="1051">
        <f t="shared" si="28"/>
        <v>5</v>
      </c>
      <c r="E259" s="1051" t="str">
        <f>IF(COUNTIF(E$247:E258,F259)&gt;0,"",F259)</f>
        <v/>
      </c>
      <c r="F259" s="1051" t="str">
        <f t="shared" si="29"/>
        <v>Autobus gazole, France continentale, Base Carbone</v>
      </c>
      <c r="G259" s="1055" t="str">
        <f t="shared" si="30"/>
        <v>Autobus gazole, France continentale, Base Carbone; kgCO2e/passager.km, Fabrication</v>
      </c>
      <c r="I259" s="2018" t="s">
        <v>3970</v>
      </c>
      <c r="J259" s="1135" t="s">
        <v>2224</v>
      </c>
      <c r="K259" s="1119" t="s">
        <v>1567</v>
      </c>
      <c r="L259" s="1032" t="s">
        <v>1571</v>
      </c>
      <c r="M259" s="1033">
        <v>0.6</v>
      </c>
      <c r="N259" s="1119" t="s">
        <v>332</v>
      </c>
      <c r="O259" s="1036">
        <v>8.8999999999999999E-3</v>
      </c>
      <c r="P259" s="1980">
        <v>8.8999999999999999E-3</v>
      </c>
      <c r="Q259" s="1980">
        <v>0</v>
      </c>
      <c r="R259" s="1980">
        <v>0</v>
      </c>
      <c r="S259" s="1980">
        <v>0</v>
      </c>
      <c r="T259" s="1980">
        <v>0</v>
      </c>
      <c r="U259" s="2036">
        <v>0</v>
      </c>
    </row>
    <row r="260" spans="2:21" hidden="1" outlineLevel="3">
      <c r="B260" s="1050">
        <v>13</v>
      </c>
      <c r="C260" s="1050" t="str">
        <f t="shared" si="27"/>
        <v>-</v>
      </c>
      <c r="D260" s="1051">
        <f t="shared" si="28"/>
        <v>6</v>
      </c>
      <c r="E260" s="1051" t="str">
        <f>IF(COUNTIF(E$247:E259,F260)&gt;0,"",F260)</f>
        <v>Autobus GNV, France continentale, Base Carbone</v>
      </c>
      <c r="F260" s="1051" t="str">
        <f t="shared" si="29"/>
        <v>Autobus GNV, France continentale, Base Carbone</v>
      </c>
      <c r="G260" s="1055" t="str">
        <f t="shared" si="30"/>
        <v>Autobus GNV, France continentale, Base Carbone; kgCO2e/passager.km, Combustion</v>
      </c>
      <c r="I260" s="2018" t="s">
        <v>3971</v>
      </c>
      <c r="J260" s="1135" t="s">
        <v>2224</v>
      </c>
      <c r="K260" s="1119" t="s">
        <v>1567</v>
      </c>
      <c r="L260" s="1032" t="s">
        <v>1571</v>
      </c>
      <c r="M260" s="1033">
        <v>0.6</v>
      </c>
      <c r="N260" s="1119" t="s">
        <v>1569</v>
      </c>
      <c r="O260" s="1036">
        <v>9.1399999999999995E-2</v>
      </c>
      <c r="P260" s="1980">
        <v>9.1399999999999995E-2</v>
      </c>
      <c r="Q260" s="1980">
        <v>0</v>
      </c>
      <c r="R260" s="1980">
        <v>0</v>
      </c>
      <c r="S260" s="1980">
        <v>0</v>
      </c>
      <c r="T260" s="1980">
        <v>0</v>
      </c>
      <c r="U260" s="2036">
        <v>0</v>
      </c>
    </row>
    <row r="261" spans="2:21" hidden="1" outlineLevel="3">
      <c r="B261" s="1050">
        <v>14</v>
      </c>
      <c r="C261" s="1050" t="str">
        <f t="shared" si="27"/>
        <v>-</v>
      </c>
      <c r="D261" s="1051">
        <f t="shared" si="28"/>
        <v>6</v>
      </c>
      <c r="E261" s="1051" t="str">
        <f>IF(COUNTIF(E$247:E260,F261)&gt;0,"",F261)</f>
        <v/>
      </c>
      <c r="F261" s="1051" t="str">
        <f t="shared" si="29"/>
        <v>Autobus GNV, France continentale, Base Carbone</v>
      </c>
      <c r="G261" s="1055" t="str">
        <f t="shared" si="30"/>
        <v>Autobus GNV, France continentale, Base Carbone; kgCO2e/passager.km, Amont</v>
      </c>
      <c r="I261" s="2018" t="s">
        <v>3971</v>
      </c>
      <c r="J261" s="1135" t="s">
        <v>2224</v>
      </c>
      <c r="K261" s="1119" t="s">
        <v>1567</v>
      </c>
      <c r="L261" s="1032" t="s">
        <v>1571</v>
      </c>
      <c r="M261" s="1033">
        <v>0.6</v>
      </c>
      <c r="N261" s="1119" t="s">
        <v>1570</v>
      </c>
      <c r="O261" s="1036">
        <v>2.1399999999999999E-2</v>
      </c>
      <c r="P261" s="1980">
        <v>2.1399999999999999E-2</v>
      </c>
      <c r="Q261" s="1980">
        <v>0</v>
      </c>
      <c r="R261" s="1980">
        <v>0</v>
      </c>
      <c r="S261" s="1980">
        <v>0</v>
      </c>
      <c r="T261" s="1980">
        <v>0</v>
      </c>
      <c r="U261" s="2036">
        <v>0</v>
      </c>
    </row>
    <row r="262" spans="2:21" hidden="1" outlineLevel="3">
      <c r="B262" s="1050">
        <v>15</v>
      </c>
      <c r="C262" s="1050" t="str">
        <f t="shared" si="27"/>
        <v>-</v>
      </c>
      <c r="D262" s="1051">
        <f t="shared" si="28"/>
        <v>6</v>
      </c>
      <c r="E262" s="1051" t="str">
        <f>IF(COUNTIF(E$247:E261,F262)&gt;0,"",F262)</f>
        <v/>
      </c>
      <c r="F262" s="1051" t="str">
        <f t="shared" si="29"/>
        <v>Autobus GNV, France continentale, Base Carbone</v>
      </c>
      <c r="G262" s="1055" t="str">
        <f t="shared" si="30"/>
        <v>Autobus GNV, France continentale, Base Carbone; kgCO2e/passager.km, Fabrication</v>
      </c>
      <c r="I262" s="2018" t="s">
        <v>3971</v>
      </c>
      <c r="J262" s="1135" t="s">
        <v>2224</v>
      </c>
      <c r="K262" s="1119" t="s">
        <v>1567</v>
      </c>
      <c r="L262" s="1032" t="s">
        <v>1571</v>
      </c>
      <c r="M262" s="1033">
        <v>0.6</v>
      </c>
      <c r="N262" s="1119" t="s">
        <v>332</v>
      </c>
      <c r="O262" s="1036">
        <v>8.8999999999999999E-3</v>
      </c>
      <c r="P262" s="1980">
        <v>8.8999999999999999E-3</v>
      </c>
      <c r="Q262" s="1980">
        <v>0</v>
      </c>
      <c r="R262" s="1980">
        <v>0</v>
      </c>
      <c r="S262" s="1980">
        <v>0</v>
      </c>
      <c r="T262" s="1980">
        <v>0</v>
      </c>
      <c r="U262" s="2036">
        <v>0</v>
      </c>
    </row>
    <row r="263" spans="2:21" hidden="1" outlineLevel="3">
      <c r="B263" s="1050">
        <v>16</v>
      </c>
      <c r="C263" s="1050" t="str">
        <f t="shared" si="27"/>
        <v>-</v>
      </c>
      <c r="D263" s="1051">
        <f t="shared" si="28"/>
        <v>7</v>
      </c>
      <c r="E263" s="1051" t="str">
        <f>IF(COUNTIF(E$247:E262,F263)&gt;0,"",F263)</f>
        <v>Autobus hybride parallèle, France continentale, Base Carbone</v>
      </c>
      <c r="F263" s="1051" t="str">
        <f t="shared" si="29"/>
        <v>Autobus hybride parallèle, France continentale, Base Carbone</v>
      </c>
      <c r="G263" s="1055" t="str">
        <f t="shared" si="30"/>
        <v>Autobus hybride parallèle, France continentale, Base Carbone; kgCO2e/passager.km, Combustion</v>
      </c>
      <c r="I263" s="2018" t="s">
        <v>3972</v>
      </c>
      <c r="J263" s="1135" t="s">
        <v>2224</v>
      </c>
      <c r="K263" s="1119" t="s">
        <v>1567</v>
      </c>
      <c r="L263" s="1032" t="s">
        <v>1571</v>
      </c>
      <c r="M263" s="1033">
        <v>0.7</v>
      </c>
      <c r="N263" s="1119" t="s">
        <v>1569</v>
      </c>
      <c r="O263" s="1036">
        <v>5.67E-2</v>
      </c>
      <c r="P263" s="1980">
        <v>5.67E-2</v>
      </c>
      <c r="Q263" s="1980">
        <v>0</v>
      </c>
      <c r="R263" s="1980">
        <v>0</v>
      </c>
      <c r="S263" s="1980">
        <v>0</v>
      </c>
      <c r="T263" s="1980">
        <v>0</v>
      </c>
      <c r="U263" s="2036">
        <v>0</v>
      </c>
    </row>
    <row r="264" spans="2:21" hidden="1" outlineLevel="3">
      <c r="B264" s="1050">
        <v>17</v>
      </c>
      <c r="C264" s="1050" t="str">
        <f t="shared" si="27"/>
        <v>-</v>
      </c>
      <c r="D264" s="1051">
        <f t="shared" si="28"/>
        <v>7</v>
      </c>
      <c r="E264" s="1051" t="str">
        <f>IF(COUNTIF(E$247:E263,F264)&gt;0,"",F264)</f>
        <v/>
      </c>
      <c r="F264" s="1051" t="str">
        <f t="shared" si="29"/>
        <v>Autobus hybride parallèle, France continentale, Base Carbone</v>
      </c>
      <c r="G264" s="1055" t="str">
        <f t="shared" si="30"/>
        <v>Autobus hybride parallèle, France continentale, Base Carbone; kgCO2e/passager.km, Amont</v>
      </c>
      <c r="I264" s="2018" t="s">
        <v>3972</v>
      </c>
      <c r="J264" s="1135" t="s">
        <v>2224</v>
      </c>
      <c r="K264" s="1119" t="s">
        <v>1567</v>
      </c>
      <c r="L264" s="1032" t="s">
        <v>1571</v>
      </c>
      <c r="M264" s="1033">
        <v>0.7</v>
      </c>
      <c r="N264" s="1119" t="s">
        <v>1570</v>
      </c>
      <c r="O264" s="1036">
        <v>1.12E-2</v>
      </c>
      <c r="P264" s="1980">
        <v>1.12E-2</v>
      </c>
      <c r="Q264" s="1980">
        <v>0</v>
      </c>
      <c r="R264" s="1980">
        <v>0</v>
      </c>
      <c r="S264" s="1980">
        <v>0</v>
      </c>
      <c r="T264" s="1980">
        <v>0</v>
      </c>
      <c r="U264" s="2036">
        <v>0</v>
      </c>
    </row>
    <row r="265" spans="2:21" hidden="1" outlineLevel="3">
      <c r="B265" s="1050">
        <v>18</v>
      </c>
      <c r="C265" s="1050" t="str">
        <f t="shared" si="27"/>
        <v>-</v>
      </c>
      <c r="D265" s="1051">
        <f t="shared" si="28"/>
        <v>7</v>
      </c>
      <c r="E265" s="1051" t="str">
        <f>IF(COUNTIF(E$247:E264,F265)&gt;0,"",F265)</f>
        <v/>
      </c>
      <c r="F265" s="1051" t="str">
        <f t="shared" si="29"/>
        <v>Autobus hybride parallèle, France continentale, Base Carbone</v>
      </c>
      <c r="G265" s="1055" t="str">
        <f t="shared" si="30"/>
        <v>Autobus hybride parallèle, France continentale, Base Carbone; kgCO2e/passager.km, Fabrication</v>
      </c>
      <c r="I265" s="2018" t="s">
        <v>3972</v>
      </c>
      <c r="J265" s="1135" t="s">
        <v>2224</v>
      </c>
      <c r="K265" s="1119" t="s">
        <v>1567</v>
      </c>
      <c r="L265" s="1032" t="s">
        <v>1571</v>
      </c>
      <c r="M265" s="1033">
        <v>0.7</v>
      </c>
      <c r="N265" s="1119" t="s">
        <v>332</v>
      </c>
      <c r="O265" s="1036">
        <v>6.4000000000000003E-3</v>
      </c>
      <c r="P265" s="1980">
        <v>6.4000000000000003E-3</v>
      </c>
      <c r="Q265" s="1980">
        <v>0</v>
      </c>
      <c r="R265" s="1980">
        <v>0</v>
      </c>
      <c r="S265" s="1980">
        <v>0</v>
      </c>
      <c r="T265" s="1980">
        <v>0</v>
      </c>
      <c r="U265" s="2036">
        <v>0</v>
      </c>
    </row>
    <row r="266" spans="2:21" hidden="1" outlineLevel="3">
      <c r="B266" s="1050">
        <v>19</v>
      </c>
      <c r="C266" s="1050" t="str">
        <f t="shared" si="27"/>
        <v>-</v>
      </c>
      <c r="D266" s="1051">
        <f t="shared" si="28"/>
        <v>8</v>
      </c>
      <c r="E266" s="1051" t="str">
        <f>IF(COUNTIF(E$247:E265,F266)&gt;0,"",F266)</f>
        <v>Autobus hybride série, France continentale, Base Carbone</v>
      </c>
      <c r="F266" s="1051" t="str">
        <f t="shared" si="29"/>
        <v>Autobus hybride série, France continentale, Base Carbone</v>
      </c>
      <c r="G266" s="1055" t="str">
        <f t="shared" si="30"/>
        <v>Autobus hybride série, France continentale, Base Carbone; kgCO2e/passager.km, Combustion</v>
      </c>
      <c r="I266" s="2018" t="s">
        <v>3973</v>
      </c>
      <c r="J266" s="1135" t="s">
        <v>2224</v>
      </c>
      <c r="K266" s="1119" t="s">
        <v>1567</v>
      </c>
      <c r="L266" s="1032" t="s">
        <v>1571</v>
      </c>
      <c r="M266" s="1033">
        <v>0.7</v>
      </c>
      <c r="N266" s="1119" t="s">
        <v>1569</v>
      </c>
      <c r="O266" s="1036">
        <v>5.3600000000000002E-2</v>
      </c>
      <c r="P266" s="1980">
        <v>5.3600000000000002E-2</v>
      </c>
      <c r="Q266" s="1980">
        <v>0</v>
      </c>
      <c r="R266" s="1980">
        <v>0</v>
      </c>
      <c r="S266" s="1980">
        <v>0</v>
      </c>
      <c r="T266" s="1980">
        <v>0</v>
      </c>
      <c r="U266" s="2036">
        <v>0</v>
      </c>
    </row>
    <row r="267" spans="2:21" hidden="1" outlineLevel="3">
      <c r="B267" s="1050">
        <v>20</v>
      </c>
      <c r="C267" s="1050" t="str">
        <f t="shared" si="27"/>
        <v>-</v>
      </c>
      <c r="D267" s="1051">
        <f t="shared" si="28"/>
        <v>8</v>
      </c>
      <c r="E267" s="1051" t="str">
        <f>IF(COUNTIF(E$247:E266,F267)&gt;0,"",F267)</f>
        <v/>
      </c>
      <c r="F267" s="1051" t="str">
        <f t="shared" si="29"/>
        <v>Autobus hybride série, France continentale, Base Carbone</v>
      </c>
      <c r="G267" s="1055" t="str">
        <f t="shared" si="30"/>
        <v>Autobus hybride série, France continentale, Base Carbone; kgCO2e/passager.km, Amont</v>
      </c>
      <c r="I267" s="2018" t="s">
        <v>3973</v>
      </c>
      <c r="J267" s="1135" t="s">
        <v>2224</v>
      </c>
      <c r="K267" s="1119" t="s">
        <v>1567</v>
      </c>
      <c r="L267" s="1032" t="s">
        <v>1571</v>
      </c>
      <c r="M267" s="1033">
        <v>0.7</v>
      </c>
      <c r="N267" s="1119" t="s">
        <v>1570</v>
      </c>
      <c r="O267" s="1036">
        <v>1.06E-2</v>
      </c>
      <c r="P267" s="1980">
        <v>1.06E-2</v>
      </c>
      <c r="Q267" s="1980">
        <v>0</v>
      </c>
      <c r="R267" s="1980">
        <v>0</v>
      </c>
      <c r="S267" s="1980">
        <v>0</v>
      </c>
      <c r="T267" s="1980">
        <v>0</v>
      </c>
      <c r="U267" s="2036">
        <v>0</v>
      </c>
    </row>
    <row r="268" spans="2:21" hidden="1" outlineLevel="3">
      <c r="B268" s="1050">
        <v>21</v>
      </c>
      <c r="C268" s="1050" t="str">
        <f t="shared" si="27"/>
        <v>-</v>
      </c>
      <c r="D268" s="1051">
        <f t="shared" si="28"/>
        <v>8</v>
      </c>
      <c r="E268" s="1051" t="str">
        <f>IF(COUNTIF(E$247:E267,F268)&gt;0,"",F268)</f>
        <v/>
      </c>
      <c r="F268" s="1051" t="str">
        <f t="shared" si="29"/>
        <v>Autobus hybride série, France continentale, Base Carbone</v>
      </c>
      <c r="G268" s="1055" t="str">
        <f t="shared" si="30"/>
        <v>Autobus hybride série, France continentale, Base Carbone; kgCO2e/passager.km, Fabrication</v>
      </c>
      <c r="I268" s="2018" t="s">
        <v>3973</v>
      </c>
      <c r="J268" s="1135" t="s">
        <v>2224</v>
      </c>
      <c r="K268" s="1119" t="s">
        <v>1567</v>
      </c>
      <c r="L268" s="1032" t="s">
        <v>1571</v>
      </c>
      <c r="M268" s="1033">
        <v>0.7</v>
      </c>
      <c r="N268" s="1119" t="s">
        <v>332</v>
      </c>
      <c r="O268" s="1036">
        <v>6.8999999999999999E-3</v>
      </c>
      <c r="P268" s="1980">
        <v>6.8999999999999999E-3</v>
      </c>
      <c r="Q268" s="1980">
        <v>0</v>
      </c>
      <c r="R268" s="1980">
        <v>0</v>
      </c>
      <c r="S268" s="1980">
        <v>0</v>
      </c>
      <c r="T268" s="1980">
        <v>0</v>
      </c>
      <c r="U268" s="2036">
        <v>0</v>
      </c>
    </row>
    <row r="269" spans="2:21" hidden="1" outlineLevel="3">
      <c r="B269" s="1045"/>
      <c r="C269" s="1045"/>
      <c r="D269" s="1051">
        <f t="shared" si="28"/>
        <v>9</v>
      </c>
      <c r="E269" s="1051" t="str">
        <f>IF(COUNTIF(E$247:E268,F269)&gt;0,"",F269)</f>
        <v>Autocar gazole, France continentale, Base Carbone</v>
      </c>
      <c r="F269" s="1051" t="str">
        <f t="shared" si="29"/>
        <v>Autocar gazole, France continentale, Base Carbone</v>
      </c>
      <c r="G269" s="1055" t="str">
        <f t="shared" si="30"/>
        <v>Autocar gazole, France continentale, Base Carbone; kgCO2e/passager.km, Combustion</v>
      </c>
      <c r="I269" s="2018" t="s">
        <v>3974</v>
      </c>
      <c r="J269" s="1135" t="s">
        <v>2224</v>
      </c>
      <c r="K269" s="1119" t="s">
        <v>1567</v>
      </c>
      <c r="L269" s="1032" t="s">
        <v>1571</v>
      </c>
      <c r="M269" s="1033">
        <v>0.6</v>
      </c>
      <c r="N269" s="1119" t="s">
        <v>1569</v>
      </c>
      <c r="O269" s="1036">
        <v>2.3699999999999999E-2</v>
      </c>
      <c r="P269" s="1980">
        <v>2.3699999999999999E-2</v>
      </c>
      <c r="Q269" s="1980">
        <v>0</v>
      </c>
      <c r="R269" s="1980">
        <v>0</v>
      </c>
      <c r="S269" s="1980">
        <v>0</v>
      </c>
      <c r="T269" s="1980">
        <v>0</v>
      </c>
      <c r="U269" s="2036">
        <v>0</v>
      </c>
    </row>
    <row r="270" spans="2:21" hidden="1" outlineLevel="3">
      <c r="B270" s="1045"/>
      <c r="C270" s="1045"/>
      <c r="D270" s="1051">
        <f t="shared" si="28"/>
        <v>9</v>
      </c>
      <c r="E270" s="1051" t="str">
        <f>IF(COUNTIF(E$247:E269,F270)&gt;0,"",F270)</f>
        <v/>
      </c>
      <c r="F270" s="1051" t="str">
        <f t="shared" si="29"/>
        <v>Autocar gazole, France continentale, Base Carbone</v>
      </c>
      <c r="G270" s="1055" t="str">
        <f t="shared" si="30"/>
        <v>Autocar gazole, France continentale, Base Carbone; kgCO2e/passager.km, Amont</v>
      </c>
      <c r="I270" s="2018" t="s">
        <v>3974</v>
      </c>
      <c r="J270" s="1135" t="s">
        <v>2224</v>
      </c>
      <c r="K270" s="1119" t="s">
        <v>1567</v>
      </c>
      <c r="L270" s="1032" t="s">
        <v>1571</v>
      </c>
      <c r="M270" s="1033">
        <v>0.6</v>
      </c>
      <c r="N270" s="1119" t="s">
        <v>1570</v>
      </c>
      <c r="O270" s="1036">
        <v>5.79E-3</v>
      </c>
      <c r="P270" s="1980">
        <v>5.79E-3</v>
      </c>
      <c r="Q270" s="1980">
        <v>0</v>
      </c>
      <c r="R270" s="1980">
        <v>0</v>
      </c>
      <c r="S270" s="1980">
        <v>0</v>
      </c>
      <c r="T270" s="1980">
        <v>0</v>
      </c>
      <c r="U270" s="2036">
        <v>0</v>
      </c>
    </row>
    <row r="271" spans="2:21" hidden="1" outlineLevel="3">
      <c r="B271" s="1045"/>
      <c r="C271" s="1045"/>
      <c r="D271" s="1051">
        <f t="shared" si="28"/>
        <v>9</v>
      </c>
      <c r="E271" s="1051" t="str">
        <f>IF(COUNTIF(E$247:E270,F271)&gt;0,"",F271)</f>
        <v/>
      </c>
      <c r="F271" s="1051" t="str">
        <f t="shared" si="29"/>
        <v/>
      </c>
      <c r="G271" s="1055" t="str">
        <f t="shared" si="30"/>
        <v/>
      </c>
      <c r="I271" s="1100"/>
      <c r="J271" s="1048"/>
      <c r="K271" s="1119"/>
      <c r="L271" s="1032"/>
      <c r="M271" s="1033"/>
      <c r="N271" s="1048"/>
      <c r="O271" s="1036"/>
      <c r="P271" s="1036"/>
      <c r="Q271" s="1036"/>
      <c r="R271" s="1036"/>
      <c r="S271" s="1036"/>
      <c r="T271" s="1036"/>
      <c r="U271" s="1037"/>
    </row>
    <row r="272" spans="2:21" hidden="1" outlineLevel="3">
      <c r="B272" s="1045"/>
      <c r="C272" s="1045"/>
      <c r="D272" s="1051">
        <f t="shared" si="28"/>
        <v>9</v>
      </c>
      <c r="E272" s="1051" t="str">
        <f>IF(COUNTIF(E$247:E271,F272)&gt;0,"",F272)</f>
        <v/>
      </c>
      <c r="F272" s="1051" t="str">
        <f t="shared" si="29"/>
        <v/>
      </c>
      <c r="G272" s="1055" t="str">
        <f t="shared" si="30"/>
        <v/>
      </c>
      <c r="I272" s="1100"/>
      <c r="J272" s="1048"/>
      <c r="K272" s="1119"/>
      <c r="L272" s="1032"/>
      <c r="M272" s="1033"/>
      <c r="N272" s="1048"/>
      <c r="O272" s="1036"/>
      <c r="P272" s="1036"/>
      <c r="Q272" s="1036"/>
      <c r="R272" s="1036"/>
      <c r="S272" s="1036"/>
      <c r="T272" s="1036"/>
      <c r="U272" s="1037"/>
    </row>
    <row r="273" spans="2:21" hidden="1" outlineLevel="3">
      <c r="B273" s="1045"/>
      <c r="C273" s="1045"/>
      <c r="D273" s="1051">
        <f t="shared" si="28"/>
        <v>9</v>
      </c>
      <c r="E273" s="1051" t="str">
        <f>IF(COUNTIF(E$247:E272,F273)&gt;0,"",F273)</f>
        <v/>
      </c>
      <c r="F273" s="1051" t="str">
        <f t="shared" si="29"/>
        <v/>
      </c>
      <c r="G273" s="1055" t="str">
        <f t="shared" si="30"/>
        <v/>
      </c>
      <c r="I273" s="1100"/>
      <c r="J273" s="1048"/>
      <c r="K273" s="1119"/>
      <c r="L273" s="1032"/>
      <c r="M273" s="1033"/>
      <c r="N273" s="1048"/>
      <c r="O273" s="1036"/>
      <c r="P273" s="1036"/>
      <c r="Q273" s="1036"/>
      <c r="R273" s="1036"/>
      <c r="S273" s="1036"/>
      <c r="T273" s="1036"/>
      <c r="U273" s="1037"/>
    </row>
    <row r="274" spans="2:21" hidden="1" outlineLevel="3">
      <c r="B274" s="1045"/>
      <c r="C274" s="1045"/>
      <c r="D274" s="1051">
        <f t="shared" si="28"/>
        <v>9</v>
      </c>
      <c r="E274" s="1051" t="str">
        <f>IF(COUNTIF(E$247:E273,F274)&gt;0,"",F274)</f>
        <v/>
      </c>
      <c r="F274" s="1051" t="str">
        <f t="shared" si="29"/>
        <v/>
      </c>
      <c r="G274" s="1055" t="str">
        <f t="shared" si="30"/>
        <v/>
      </c>
      <c r="I274" s="1100"/>
      <c r="J274" s="1048"/>
      <c r="K274" s="1119"/>
      <c r="L274" s="1032"/>
      <c r="M274" s="1033"/>
      <c r="N274" s="1048"/>
      <c r="O274" s="1036"/>
      <c r="P274" s="1036"/>
      <c r="Q274" s="1036"/>
      <c r="R274" s="1036"/>
      <c r="S274" s="1036"/>
      <c r="T274" s="1036"/>
      <c r="U274" s="1037"/>
    </row>
    <row r="275" spans="2:21" hidden="1" outlineLevel="3">
      <c r="B275" s="1045"/>
      <c r="C275" s="1045"/>
      <c r="D275" s="1051">
        <f t="shared" si="28"/>
        <v>9</v>
      </c>
      <c r="E275" s="1051" t="str">
        <f>IF(COUNTIF(E$247:E274,F275)&gt;0,"",F275)</f>
        <v/>
      </c>
      <c r="F275" s="1051" t="str">
        <f t="shared" si="29"/>
        <v/>
      </c>
      <c r="G275" s="1055" t="str">
        <f t="shared" si="30"/>
        <v/>
      </c>
      <c r="I275" s="1100"/>
      <c r="J275" s="1048"/>
      <c r="K275" s="1119"/>
      <c r="L275" s="1032"/>
      <c r="M275" s="1033"/>
      <c r="N275" s="1048"/>
      <c r="O275" s="1036"/>
      <c r="P275" s="1036"/>
      <c r="Q275" s="1036"/>
      <c r="R275" s="1036"/>
      <c r="S275" s="1036"/>
      <c r="T275" s="1036"/>
      <c r="U275" s="1037"/>
    </row>
    <row r="276" spans="2:21" hidden="1" outlineLevel="3">
      <c r="B276" s="1045"/>
      <c r="C276" s="1045"/>
      <c r="D276" s="1051">
        <f t="shared" si="28"/>
        <v>9</v>
      </c>
      <c r="E276" s="1051" t="str">
        <f>IF(COUNTIF(E$247:E275,F276)&gt;0,"",F276)</f>
        <v/>
      </c>
      <c r="F276" s="1051" t="str">
        <f t="shared" si="29"/>
        <v/>
      </c>
      <c r="G276" s="1055" t="str">
        <f t="shared" si="30"/>
        <v/>
      </c>
      <c r="I276" s="1100"/>
      <c r="J276" s="1048"/>
      <c r="K276" s="1119"/>
      <c r="L276" s="1032"/>
      <c r="M276" s="1033"/>
      <c r="N276" s="1048"/>
      <c r="O276" s="1036"/>
      <c r="P276" s="1036"/>
      <c r="Q276" s="1036"/>
      <c r="R276" s="1036"/>
      <c r="S276" s="1036"/>
      <c r="T276" s="1036"/>
      <c r="U276" s="1037"/>
    </row>
    <row r="277" spans="2:21" hidden="1" outlineLevel="3">
      <c r="B277" s="1045"/>
      <c r="C277" s="1045"/>
      <c r="D277" s="1051">
        <f t="shared" si="28"/>
        <v>9</v>
      </c>
      <c r="E277" s="1051" t="str">
        <f>IF(COUNTIF(E$247:E276,F277)&gt;0,"",F277)</f>
        <v/>
      </c>
      <c r="F277" s="1051" t="str">
        <f t="shared" si="29"/>
        <v/>
      </c>
      <c r="G277" s="1055" t="str">
        <f t="shared" si="30"/>
        <v/>
      </c>
      <c r="I277" s="1100"/>
      <c r="J277" s="1048"/>
      <c r="K277" s="1119"/>
      <c r="L277" s="1032"/>
      <c r="M277" s="1033"/>
      <c r="N277" s="1048"/>
      <c r="O277" s="1036"/>
      <c r="P277" s="1036"/>
      <c r="Q277" s="1036"/>
      <c r="R277" s="1036"/>
      <c r="S277" s="1036"/>
      <c r="T277" s="1036"/>
      <c r="U277" s="1037"/>
    </row>
    <row r="278" spans="2:21" hidden="1" outlineLevel="3">
      <c r="B278" s="1045"/>
      <c r="C278" s="1045"/>
      <c r="D278" s="1051">
        <f t="shared" si="28"/>
        <v>9</v>
      </c>
      <c r="E278" s="1051" t="str">
        <f>IF(COUNTIF(E$247:E277,F278)&gt;0,"",F278)</f>
        <v/>
      </c>
      <c r="F278" s="1051" t="str">
        <f t="shared" si="29"/>
        <v/>
      </c>
      <c r="G278" s="1055" t="str">
        <f t="shared" si="30"/>
        <v/>
      </c>
      <c r="I278" s="1100"/>
      <c r="J278" s="1048"/>
      <c r="K278" s="1119"/>
      <c r="L278" s="1032"/>
      <c r="M278" s="1033"/>
      <c r="N278" s="1048"/>
      <c r="O278" s="1036"/>
      <c r="P278" s="1036"/>
      <c r="Q278" s="1036"/>
      <c r="R278" s="1036"/>
      <c r="S278" s="1036"/>
      <c r="T278" s="1036"/>
      <c r="U278" s="1037"/>
    </row>
    <row r="279" spans="2:21" hidden="1" outlineLevel="3">
      <c r="B279" s="1045"/>
      <c r="C279" s="1045"/>
      <c r="D279" s="1051">
        <f t="shared" si="28"/>
        <v>9</v>
      </c>
      <c r="E279" s="1051" t="str">
        <f>IF(COUNTIF(E$247:E278,F279)&gt;0,"",F279)</f>
        <v/>
      </c>
      <c r="F279" s="1051" t="str">
        <f t="shared" si="29"/>
        <v/>
      </c>
      <c r="G279" s="1055" t="str">
        <f t="shared" si="30"/>
        <v/>
      </c>
      <c r="I279" s="1100"/>
      <c r="J279" s="1048"/>
      <c r="K279" s="1119"/>
      <c r="L279" s="1032"/>
      <c r="M279" s="1033"/>
      <c r="N279" s="1048"/>
      <c r="O279" s="1036"/>
      <c r="P279" s="1036"/>
      <c r="Q279" s="1036"/>
      <c r="R279" s="1036"/>
      <c r="S279" s="1036"/>
      <c r="T279" s="1036"/>
      <c r="U279" s="1037"/>
    </row>
    <row r="280" spans="2:21" hidden="1" outlineLevel="3">
      <c r="B280" s="1045"/>
      <c r="C280" s="1045"/>
      <c r="D280" s="1051">
        <f t="shared" si="28"/>
        <v>9</v>
      </c>
      <c r="E280" s="1051" t="str">
        <f>IF(COUNTIF(E$247:E279,F280)&gt;0,"",F280)</f>
        <v/>
      </c>
      <c r="F280" s="1051" t="str">
        <f t="shared" si="29"/>
        <v/>
      </c>
      <c r="G280" s="1055" t="str">
        <f t="shared" si="30"/>
        <v/>
      </c>
      <c r="I280" s="1100"/>
      <c r="J280" s="1048"/>
      <c r="K280" s="1119"/>
      <c r="L280" s="1032"/>
      <c r="M280" s="1033"/>
      <c r="N280" s="1048"/>
      <c r="O280" s="1036"/>
      <c r="P280" s="1036"/>
      <c r="Q280" s="1036"/>
      <c r="R280" s="1036"/>
      <c r="S280" s="1036"/>
      <c r="T280" s="1036"/>
      <c r="U280" s="1037"/>
    </row>
    <row r="281" spans="2:21" hidden="1" outlineLevel="3">
      <c r="B281" s="1045"/>
      <c r="C281" s="1045"/>
      <c r="D281" s="1051">
        <f t="shared" si="28"/>
        <v>9</v>
      </c>
      <c r="E281" s="1051" t="str">
        <f>IF(COUNTIF(E$247:E280,F281)&gt;0,"",F281)</f>
        <v/>
      </c>
      <c r="F281" s="1051" t="str">
        <f t="shared" si="29"/>
        <v/>
      </c>
      <c r="G281" s="1055" t="str">
        <f t="shared" si="30"/>
        <v/>
      </c>
      <c r="I281" s="1100"/>
      <c r="J281" s="1048"/>
      <c r="K281" s="1119"/>
      <c r="L281" s="1032"/>
      <c r="M281" s="1033"/>
      <c r="N281" s="1048"/>
      <c r="O281" s="1036"/>
      <c r="P281" s="1036"/>
      <c r="Q281" s="1036"/>
      <c r="R281" s="1036"/>
      <c r="S281" s="1036"/>
      <c r="T281" s="1036"/>
      <c r="U281" s="1037"/>
    </row>
    <row r="282" spans="2:21" hidden="1" outlineLevel="3">
      <c r="B282" s="1045"/>
      <c r="C282" s="1045"/>
      <c r="D282" s="1051">
        <f t="shared" si="28"/>
        <v>9</v>
      </c>
      <c r="E282" s="1051" t="str">
        <f>IF(COUNTIF(E$247:E281,F282)&gt;0,"",F282)</f>
        <v/>
      </c>
      <c r="F282" s="1051" t="str">
        <f t="shared" si="29"/>
        <v/>
      </c>
      <c r="G282" s="1055" t="str">
        <f t="shared" si="30"/>
        <v/>
      </c>
      <c r="I282" s="1100"/>
      <c r="J282" s="1048"/>
      <c r="K282" s="1119"/>
      <c r="L282" s="1032"/>
      <c r="M282" s="1033"/>
      <c r="N282" s="1048"/>
      <c r="O282" s="1036"/>
      <c r="P282" s="1036"/>
      <c r="Q282" s="1036"/>
      <c r="R282" s="1036"/>
      <c r="S282" s="1036"/>
      <c r="T282" s="1036"/>
      <c r="U282" s="1037"/>
    </row>
    <row r="283" spans="2:21" hidden="1" outlineLevel="3">
      <c r="B283" s="1045"/>
      <c r="C283" s="1045"/>
      <c r="D283" s="1051">
        <f t="shared" si="28"/>
        <v>9</v>
      </c>
      <c r="E283" s="1051" t="str">
        <f>IF(COUNTIF(E$247:E282,F283)&gt;0,"",F283)</f>
        <v/>
      </c>
      <c r="F283" s="1051" t="str">
        <f t="shared" si="29"/>
        <v/>
      </c>
      <c r="G283" s="1055" t="str">
        <f t="shared" si="30"/>
        <v/>
      </c>
      <c r="I283" s="1100"/>
      <c r="J283" s="1048"/>
      <c r="K283" s="1119"/>
      <c r="L283" s="1032"/>
      <c r="M283" s="1033"/>
      <c r="N283" s="1048"/>
      <c r="O283" s="1036"/>
      <c r="P283" s="1036"/>
      <c r="Q283" s="1036"/>
      <c r="R283" s="1036"/>
      <c r="S283" s="1036"/>
      <c r="T283" s="1036"/>
      <c r="U283" s="1037"/>
    </row>
    <row r="284" spans="2:21" hidden="1" outlineLevel="3">
      <c r="B284" s="1045"/>
      <c r="C284" s="1045"/>
      <c r="D284" s="1051">
        <f t="shared" si="28"/>
        <v>9</v>
      </c>
      <c r="E284" s="1051" t="str">
        <f>IF(COUNTIF(E$247:E283,F284)&gt;0,"",F284)</f>
        <v/>
      </c>
      <c r="F284" s="1051" t="str">
        <f t="shared" si="29"/>
        <v/>
      </c>
      <c r="G284" s="1055" t="str">
        <f t="shared" si="30"/>
        <v/>
      </c>
      <c r="I284" s="1100"/>
      <c r="J284" s="1048"/>
      <c r="K284" s="1119"/>
      <c r="L284" s="1032"/>
      <c r="M284" s="1033"/>
      <c r="N284" s="1048"/>
      <c r="O284" s="1036"/>
      <c r="P284" s="1036"/>
      <c r="Q284" s="1036"/>
      <c r="R284" s="1036"/>
      <c r="S284" s="1036"/>
      <c r="T284" s="1036"/>
      <c r="U284" s="1037"/>
    </row>
    <row r="285" spans="2:21" hidden="1" outlineLevel="3">
      <c r="B285" s="1045"/>
      <c r="C285" s="1045"/>
      <c r="D285" s="1051">
        <f t="shared" si="28"/>
        <v>9</v>
      </c>
      <c r="E285" s="1051" t="str">
        <f>IF(COUNTIF(E$247:E284,F285)&gt;0,"",F285)</f>
        <v/>
      </c>
      <c r="F285" s="1051" t="str">
        <f t="shared" si="29"/>
        <v/>
      </c>
      <c r="G285" s="1055" t="str">
        <f t="shared" si="30"/>
        <v/>
      </c>
      <c r="I285" s="1100"/>
      <c r="J285" s="1048"/>
      <c r="K285" s="1119"/>
      <c r="L285" s="1032"/>
      <c r="M285" s="1033"/>
      <c r="N285" s="1048"/>
      <c r="O285" s="1036"/>
      <c r="P285" s="1036"/>
      <c r="Q285" s="1036"/>
      <c r="R285" s="1036"/>
      <c r="S285" s="1036"/>
      <c r="T285" s="1036"/>
      <c r="U285" s="1037"/>
    </row>
    <row r="286" spans="2:21" hidden="1" outlineLevel="3">
      <c r="B286" s="1045"/>
      <c r="C286" s="1045"/>
      <c r="D286" s="1051">
        <f t="shared" si="28"/>
        <v>9</v>
      </c>
      <c r="E286" s="1051" t="str">
        <f>IF(COUNTIF(E$247:E285,F286)&gt;0,"",F286)</f>
        <v/>
      </c>
      <c r="F286" s="1051" t="str">
        <f t="shared" si="29"/>
        <v/>
      </c>
      <c r="G286" s="1055" t="str">
        <f t="shared" si="30"/>
        <v/>
      </c>
      <c r="I286" s="1100"/>
      <c r="J286" s="1048"/>
      <c r="K286" s="1119"/>
      <c r="L286" s="1032"/>
      <c r="M286" s="1033"/>
      <c r="N286" s="1048"/>
      <c r="O286" s="1036"/>
      <c r="P286" s="1036"/>
      <c r="Q286" s="1036"/>
      <c r="R286" s="1036"/>
      <c r="S286" s="1036"/>
      <c r="T286" s="1036"/>
      <c r="U286" s="1037"/>
    </row>
    <row r="287" spans="2:21" hidden="1" outlineLevel="3">
      <c r="B287" s="1045"/>
      <c r="C287" s="1045"/>
      <c r="D287" s="1051">
        <f t="shared" si="28"/>
        <v>9</v>
      </c>
      <c r="E287" s="1051" t="str">
        <f>IF(COUNTIF(E$247:E286,F287)&gt;0,"",F287)</f>
        <v/>
      </c>
      <c r="F287" s="1051" t="str">
        <f t="shared" si="29"/>
        <v/>
      </c>
      <c r="G287" s="1055" t="str">
        <f t="shared" si="30"/>
        <v/>
      </c>
      <c r="I287" s="1100"/>
      <c r="J287" s="1048"/>
      <c r="K287" s="1119"/>
      <c r="L287" s="1032"/>
      <c r="M287" s="1033"/>
      <c r="N287" s="1048"/>
      <c r="O287" s="1036"/>
      <c r="P287" s="1036"/>
      <c r="Q287" s="1036"/>
      <c r="R287" s="1036"/>
      <c r="S287" s="1036"/>
      <c r="T287" s="1036"/>
      <c r="U287" s="1037"/>
    </row>
    <row r="288" spans="2:21" hidden="1" outlineLevel="3">
      <c r="B288" s="1045"/>
      <c r="C288" s="1045"/>
      <c r="D288" s="1051">
        <f t="shared" si="28"/>
        <v>9</v>
      </c>
      <c r="E288" s="1051" t="str">
        <f>IF(COUNTIF(E$247:E287,F288)&gt;0,"",F288)</f>
        <v/>
      </c>
      <c r="F288" s="1051" t="str">
        <f t="shared" si="29"/>
        <v/>
      </c>
      <c r="G288" s="1055" t="str">
        <f t="shared" si="30"/>
        <v/>
      </c>
      <c r="I288" s="1100"/>
      <c r="J288" s="1048"/>
      <c r="K288" s="1119"/>
      <c r="L288" s="1032"/>
      <c r="M288" s="1033"/>
      <c r="N288" s="1048"/>
      <c r="O288" s="1036"/>
      <c r="P288" s="1036"/>
      <c r="Q288" s="1036"/>
      <c r="R288" s="1036"/>
      <c r="S288" s="1036"/>
      <c r="T288" s="1036"/>
      <c r="U288" s="1037"/>
    </row>
    <row r="289" spans="2:21" hidden="1" outlineLevel="3">
      <c r="B289" s="1045"/>
      <c r="C289" s="1045"/>
      <c r="D289" s="1051">
        <f t="shared" si="28"/>
        <v>9</v>
      </c>
      <c r="E289" s="1051" t="str">
        <f>IF(COUNTIF(E$247:E288,F289)&gt;0,"",F289)</f>
        <v/>
      </c>
      <c r="F289" s="1051" t="str">
        <f t="shared" si="29"/>
        <v/>
      </c>
      <c r="G289" s="1055" t="str">
        <f t="shared" si="30"/>
        <v/>
      </c>
      <c r="I289" s="1100"/>
      <c r="J289" s="1048"/>
      <c r="K289" s="1119"/>
      <c r="L289" s="1032"/>
      <c r="M289" s="1033"/>
      <c r="N289" s="1048"/>
      <c r="O289" s="1036"/>
      <c r="P289" s="1036"/>
      <c r="Q289" s="1036"/>
      <c r="R289" s="1036"/>
      <c r="S289" s="1036"/>
      <c r="T289" s="1036"/>
      <c r="U289" s="1037"/>
    </row>
    <row r="290" spans="2:21" hidden="1" outlineLevel="3">
      <c r="B290" s="1045"/>
      <c r="C290" s="1045"/>
      <c r="D290" s="1051">
        <f t="shared" si="28"/>
        <v>9</v>
      </c>
      <c r="E290" s="1051" t="str">
        <f>IF(COUNTIF(E$247:E289,F290)&gt;0,"",F290)</f>
        <v/>
      </c>
      <c r="F290" s="1051" t="str">
        <f t="shared" si="29"/>
        <v/>
      </c>
      <c r="G290" s="1055" t="str">
        <f t="shared" si="30"/>
        <v/>
      </c>
      <c r="I290" s="1100"/>
      <c r="J290" s="1048"/>
      <c r="K290" s="1119"/>
      <c r="L290" s="1032"/>
      <c r="M290" s="1033"/>
      <c r="N290" s="1048"/>
      <c r="O290" s="1036"/>
      <c r="P290" s="1036"/>
      <c r="Q290" s="1036"/>
      <c r="R290" s="1036"/>
      <c r="S290" s="1036"/>
      <c r="T290" s="1036"/>
      <c r="U290" s="1037"/>
    </row>
    <row r="291" spans="2:21" hidden="1" outlineLevel="3">
      <c r="B291" s="1045"/>
      <c r="C291" s="1045"/>
      <c r="D291" s="1051">
        <f t="shared" si="28"/>
        <v>9</v>
      </c>
      <c r="E291" s="1051" t="str">
        <f>IF(COUNTIF(E$247:E290,F291)&gt;0,"",F291)</f>
        <v/>
      </c>
      <c r="F291" s="1051" t="str">
        <f t="shared" si="29"/>
        <v/>
      </c>
      <c r="G291" s="1055" t="str">
        <f t="shared" si="30"/>
        <v/>
      </c>
      <c r="I291" s="1100"/>
      <c r="J291" s="1048"/>
      <c r="K291" s="1119"/>
      <c r="L291" s="1032"/>
      <c r="M291" s="1033"/>
      <c r="N291" s="1048"/>
      <c r="O291" s="1036"/>
      <c r="P291" s="1036"/>
      <c r="Q291" s="1036"/>
      <c r="R291" s="1036"/>
      <c r="S291" s="1036"/>
      <c r="T291" s="1036"/>
      <c r="U291" s="1037"/>
    </row>
    <row r="292" spans="2:21" hidden="1" outlineLevel="3">
      <c r="B292" s="1045"/>
      <c r="C292" s="1045"/>
      <c r="D292" s="1051">
        <f t="shared" si="28"/>
        <v>9</v>
      </c>
      <c r="E292" s="1051" t="str">
        <f>IF(COUNTIF(E$247:E291,F292)&gt;0,"",F292)</f>
        <v/>
      </c>
      <c r="F292" s="1051" t="str">
        <f t="shared" si="29"/>
        <v/>
      </c>
      <c r="G292" s="1055" t="str">
        <f t="shared" si="30"/>
        <v/>
      </c>
      <c r="I292" s="1100"/>
      <c r="J292" s="1048"/>
      <c r="K292" s="1119"/>
      <c r="L292" s="1032"/>
      <c r="M292" s="1033"/>
      <c r="N292" s="1048"/>
      <c r="O292" s="1036"/>
      <c r="P292" s="1036"/>
      <c r="Q292" s="1036"/>
      <c r="R292" s="1036"/>
      <c r="S292" s="1036"/>
      <c r="T292" s="1036"/>
      <c r="U292" s="1037"/>
    </row>
    <row r="293" spans="2:21" hidden="1" outlineLevel="1">
      <c r="B293" s="1045"/>
      <c r="C293" s="1045"/>
      <c r="D293" s="1045"/>
      <c r="E293" s="1045"/>
      <c r="F293" s="1045"/>
      <c r="G293" s="1135"/>
      <c r="I293" s="1711"/>
      <c r="J293" s="1712"/>
      <c r="K293" s="1712"/>
      <c r="L293" s="1712"/>
      <c r="M293" s="1712"/>
      <c r="N293" s="1712"/>
      <c r="O293" s="1712"/>
      <c r="P293" s="1712"/>
      <c r="Q293" s="1712"/>
      <c r="R293" s="1712"/>
      <c r="S293" s="1712"/>
      <c r="T293" s="1712"/>
      <c r="U293" s="1714"/>
    </row>
    <row r="294" spans="2:21" ht="12.75" hidden="1" customHeight="1" outlineLevel="1" collapsed="1">
      <c r="B294" s="3156" t="s">
        <v>3975</v>
      </c>
      <c r="C294" s="3156"/>
      <c r="D294" s="1051">
        <v>0</v>
      </c>
      <c r="E294" s="1051"/>
      <c r="F294" s="1051"/>
      <c r="G294" s="1055"/>
      <c r="I294" s="1746"/>
      <c r="J294" s="1742"/>
      <c r="K294" s="1743"/>
      <c r="L294" s="1743"/>
      <c r="M294" s="1744"/>
      <c r="N294" s="1742"/>
      <c r="O294" s="1745"/>
      <c r="P294" s="1743"/>
      <c r="Q294" s="1743"/>
      <c r="R294" s="1745"/>
      <c r="S294" s="1745"/>
      <c r="T294" s="1743"/>
      <c r="U294" s="1747"/>
    </row>
    <row r="295" spans="2:21" hidden="1" outlineLevel="2">
      <c r="B295" s="1050">
        <v>1</v>
      </c>
      <c r="C295" s="1050" t="str">
        <f>IF(ISNA(VLOOKUP(B295,$D$294:$E$309,2,FALSE)),"-",VLOOKUP(B295,$D$294:$E$309,2,FALSE))</f>
        <v>Taxi brousse, gazole/essence, Mayotte, Base Carbone</v>
      </c>
      <c r="D295" s="1051">
        <f>D294+IF(LEN(E295)&gt;0,1,0)</f>
        <v>1</v>
      </c>
      <c r="E295" s="1051" t="str">
        <f>IF(COUNTIF(E$247:E294,F295)&gt;0,"",F295)</f>
        <v>Taxi brousse, gazole/essence, Mayotte, Base Carbone</v>
      </c>
      <c r="F295" s="1051" t="str">
        <f>IF(I295&lt;&gt;"",I295&amp;IF(L295&lt;&gt;"",", "&amp;L295,"")&amp;IF(K295&lt;&gt;"",", "&amp;K295,""),"")</f>
        <v>Taxi brousse, gazole/essence, Mayotte, Base Carbone</v>
      </c>
      <c r="G295" s="1055" t="str">
        <f>IF(F295&lt;&gt;"",F295&amp;IF(J295&lt;&gt;"","; "&amp;J295&amp;IF(N295&lt;&gt;""," "&amp;N295,),""),"")</f>
        <v>Taxi brousse, gazole/essence, Mayotte, Base Carbone; kgCO2e/passager.km Combustion</v>
      </c>
      <c r="I295" s="2018" t="s">
        <v>3976</v>
      </c>
      <c r="J295" s="2179" t="s">
        <v>2224</v>
      </c>
      <c r="K295" s="1119" t="s">
        <v>1567</v>
      </c>
      <c r="L295" s="1119" t="s">
        <v>783</v>
      </c>
      <c r="M295" s="2062">
        <v>0.2</v>
      </c>
      <c r="N295" s="1119" t="s">
        <v>1569</v>
      </c>
      <c r="O295" s="1977">
        <v>3.1800000000000002E-2</v>
      </c>
      <c r="P295" s="1980">
        <v>3.1800000000000002E-2</v>
      </c>
      <c r="Q295" s="1980">
        <v>0</v>
      </c>
      <c r="R295" s="1980">
        <v>0</v>
      </c>
      <c r="S295" s="1980">
        <v>0</v>
      </c>
      <c r="T295" s="1980">
        <v>0</v>
      </c>
      <c r="U295" s="2036">
        <v>0</v>
      </c>
    </row>
    <row r="296" spans="2:21" hidden="1" outlineLevel="2">
      <c r="B296" s="1050">
        <v>2</v>
      </c>
      <c r="C296" s="1050" t="str">
        <f t="shared" ref="C296:C301" si="31">IF(ISNA(VLOOKUP(B296,$D$294:$E$309,2,FALSE)),"-",VLOOKUP(B296,$D$294:$E$309,2,FALSE))</f>
        <v>Taxi brousse - véhicule plein - gazole/essence, Mayotte, Base Carbone</v>
      </c>
      <c r="D296" s="1051">
        <f t="shared" ref="D296:D309" si="32">D295+IF(LEN(E296)&gt;0,1,0)</f>
        <v>1</v>
      </c>
      <c r="E296" s="1051" t="str">
        <f>IF(COUNTIF(E$247:E295,F296)&gt;0,"",F296)</f>
        <v/>
      </c>
      <c r="F296" s="1051" t="str">
        <f t="shared" ref="F296:F309" si="33">IF(I296&lt;&gt;"",I296&amp;IF(L296&lt;&gt;"",", "&amp;L296,"")&amp;IF(K296&lt;&gt;"",", "&amp;K296,""),"")</f>
        <v>Taxi brousse, gazole/essence, Mayotte, Base Carbone</v>
      </c>
      <c r="G296" s="1055" t="str">
        <f t="shared" ref="G296:G309" si="34">IF(F296&lt;&gt;"",F296&amp;IF(J296&lt;&gt;"","; "&amp;J296&amp;IF(N296&lt;&gt;""," "&amp;N296,),""),"")</f>
        <v>Taxi brousse, gazole/essence, Mayotte, Base Carbone; kgCO2e/passager.km Amont</v>
      </c>
      <c r="I296" s="2018" t="s">
        <v>3976</v>
      </c>
      <c r="J296" s="2179" t="s">
        <v>2224</v>
      </c>
      <c r="K296" s="1119" t="s">
        <v>1567</v>
      </c>
      <c r="L296" s="1119" t="s">
        <v>783</v>
      </c>
      <c r="M296" s="2062">
        <v>0.2</v>
      </c>
      <c r="N296" s="1119" t="s">
        <v>1570</v>
      </c>
      <c r="O296" s="1977">
        <v>4.0800000000000003E-3</v>
      </c>
      <c r="P296" s="1980">
        <v>4.0800000000000003E-3</v>
      </c>
      <c r="Q296" s="1980">
        <v>0</v>
      </c>
      <c r="R296" s="1980">
        <v>0</v>
      </c>
      <c r="S296" s="1980">
        <v>0</v>
      </c>
      <c r="T296" s="1980">
        <v>0</v>
      </c>
      <c r="U296" s="2036">
        <v>0</v>
      </c>
    </row>
    <row r="297" spans="2:21" hidden="1" outlineLevel="2">
      <c r="B297" s="1050">
        <v>3</v>
      </c>
      <c r="C297" s="1050" t="str">
        <f t="shared" si="31"/>
        <v>Taxi brousse - véhicule vide - gazole/essence, Mayotte, Base Carbone</v>
      </c>
      <c r="D297" s="1051">
        <f t="shared" si="32"/>
        <v>2</v>
      </c>
      <c r="E297" s="1051" t="str">
        <f>IF(COUNTIF(E$247:E296,F297)&gt;0,"",F297)</f>
        <v>Taxi brousse - véhicule plein - gazole/essence, Mayotte, Base Carbone</v>
      </c>
      <c r="F297" s="1051" t="str">
        <f t="shared" si="33"/>
        <v>Taxi brousse - véhicule plein - gazole/essence, Mayotte, Base Carbone</v>
      </c>
      <c r="G297" s="1055" t="str">
        <f t="shared" si="34"/>
        <v>Taxi brousse - véhicule plein - gazole/essence, Mayotte, Base Carbone; kgCO2e/km Combustion</v>
      </c>
      <c r="I297" s="2018" t="s">
        <v>3977</v>
      </c>
      <c r="J297" s="2179" t="s">
        <v>2222</v>
      </c>
      <c r="K297" s="1119" t="s">
        <v>1567</v>
      </c>
      <c r="L297" s="1119" t="s">
        <v>783</v>
      </c>
      <c r="M297" s="2062">
        <v>0.2</v>
      </c>
      <c r="N297" s="1119" t="s">
        <v>1569</v>
      </c>
      <c r="O297" s="1977">
        <v>0.49</v>
      </c>
      <c r="P297" s="1980">
        <v>0.49</v>
      </c>
      <c r="Q297" s="1980">
        <v>0</v>
      </c>
      <c r="R297" s="1980">
        <v>0</v>
      </c>
      <c r="S297" s="1980">
        <v>0</v>
      </c>
      <c r="T297" s="1980">
        <v>0</v>
      </c>
      <c r="U297" s="2036">
        <v>0</v>
      </c>
    </row>
    <row r="298" spans="2:21" hidden="1" outlineLevel="2">
      <c r="B298" s="1050">
        <v>4</v>
      </c>
      <c r="C298" s="1050" t="str">
        <f t="shared" si="31"/>
        <v>-</v>
      </c>
      <c r="D298" s="1051">
        <f t="shared" si="32"/>
        <v>2</v>
      </c>
      <c r="E298" s="1051" t="str">
        <f>IF(COUNTIF(E$247:E297,F298)&gt;0,"",F298)</f>
        <v/>
      </c>
      <c r="F298" s="1051" t="str">
        <f t="shared" si="33"/>
        <v>Taxi brousse - véhicule plein - gazole/essence, Mayotte, Base Carbone</v>
      </c>
      <c r="G298" s="1055" t="str">
        <f t="shared" si="34"/>
        <v>Taxi brousse - véhicule plein - gazole/essence, Mayotte, Base Carbone; kgCO2e/km Amont</v>
      </c>
      <c r="I298" s="2018" t="s">
        <v>3977</v>
      </c>
      <c r="J298" s="2179" t="s">
        <v>2222</v>
      </c>
      <c r="K298" s="1119" t="s">
        <v>1567</v>
      </c>
      <c r="L298" s="1119" t="s">
        <v>783</v>
      </c>
      <c r="M298" s="2062">
        <v>0.2</v>
      </c>
      <c r="N298" s="1119" t="s">
        <v>1570</v>
      </c>
      <c r="O298" s="1977">
        <v>6.2899999999999998E-2</v>
      </c>
      <c r="P298" s="1980">
        <v>6.2899999999999998E-2</v>
      </c>
      <c r="Q298" s="1980">
        <v>0</v>
      </c>
      <c r="R298" s="1980">
        <v>0</v>
      </c>
      <c r="S298" s="1980">
        <v>0</v>
      </c>
      <c r="T298" s="1980">
        <v>0</v>
      </c>
      <c r="U298" s="2036">
        <v>0</v>
      </c>
    </row>
    <row r="299" spans="2:21" hidden="1" outlineLevel="2">
      <c r="B299" s="1050">
        <v>5</v>
      </c>
      <c r="C299" s="1050" t="str">
        <f t="shared" si="31"/>
        <v>-</v>
      </c>
      <c r="D299" s="1051">
        <f t="shared" si="32"/>
        <v>3</v>
      </c>
      <c r="E299" s="1051" t="str">
        <f>IF(COUNTIF(E$247:E298,F299)&gt;0,"",F299)</f>
        <v>Taxi brousse - véhicule vide - gazole/essence, Mayotte, Base Carbone</v>
      </c>
      <c r="F299" s="1051" t="str">
        <f t="shared" si="33"/>
        <v>Taxi brousse - véhicule vide - gazole/essence, Mayotte, Base Carbone</v>
      </c>
      <c r="G299" s="1055" t="str">
        <f t="shared" si="34"/>
        <v>Taxi brousse - véhicule vide - gazole/essence, Mayotte, Base Carbone; kgCO2e/km Combustion</v>
      </c>
      <c r="I299" s="2018" t="s">
        <v>3978</v>
      </c>
      <c r="J299" s="2179" t="s">
        <v>2222</v>
      </c>
      <c r="K299" s="1119" t="s">
        <v>1567</v>
      </c>
      <c r="L299" s="1119" t="s">
        <v>783</v>
      </c>
      <c r="M299" s="2062">
        <v>0.2</v>
      </c>
      <c r="N299" s="1119" t="s">
        <v>1569</v>
      </c>
      <c r="O299" s="1977">
        <v>0.44500000000000001</v>
      </c>
      <c r="P299" s="1980">
        <v>0.44500000000000001</v>
      </c>
      <c r="Q299" s="1980">
        <v>0</v>
      </c>
      <c r="R299" s="1980">
        <v>0</v>
      </c>
      <c r="S299" s="1980">
        <v>0</v>
      </c>
      <c r="T299" s="1980">
        <v>0</v>
      </c>
      <c r="U299" s="2036">
        <v>0</v>
      </c>
    </row>
    <row r="300" spans="2:21" hidden="1" outlineLevel="2">
      <c r="B300" s="1050">
        <v>6</v>
      </c>
      <c r="C300" s="1050" t="str">
        <f t="shared" si="31"/>
        <v>-</v>
      </c>
      <c r="D300" s="1051">
        <f t="shared" si="32"/>
        <v>3</v>
      </c>
      <c r="E300" s="1051" t="str">
        <f>IF(COUNTIF(E$247:E299,F300)&gt;0,"",F300)</f>
        <v/>
      </c>
      <c r="F300" s="1051" t="str">
        <f t="shared" si="33"/>
        <v>Taxi brousse - véhicule vide - gazole/essence, Mayotte, Base Carbone</v>
      </c>
      <c r="G300" s="1055" t="str">
        <f t="shared" si="34"/>
        <v>Taxi brousse - véhicule vide - gazole/essence, Mayotte, Base Carbone; kgCO2e/km Amont</v>
      </c>
      <c r="I300" s="2018" t="s">
        <v>3978</v>
      </c>
      <c r="J300" s="2179" t="s">
        <v>2222</v>
      </c>
      <c r="K300" s="1119" t="s">
        <v>1567</v>
      </c>
      <c r="L300" s="1119" t="s">
        <v>783</v>
      </c>
      <c r="M300" s="2062">
        <v>0.2</v>
      </c>
      <c r="N300" s="1119" t="s">
        <v>1570</v>
      </c>
      <c r="O300" s="1977">
        <v>5.7200000000000001E-2</v>
      </c>
      <c r="P300" s="1980">
        <v>5.7200000000000001E-2</v>
      </c>
      <c r="Q300" s="1980">
        <v>0</v>
      </c>
      <c r="R300" s="1980">
        <v>0</v>
      </c>
      <c r="S300" s="1980">
        <v>0</v>
      </c>
      <c r="T300" s="1980">
        <v>0</v>
      </c>
      <c r="U300" s="2036">
        <v>0</v>
      </c>
    </row>
    <row r="301" spans="2:21" hidden="1" outlineLevel="2">
      <c r="B301" s="1050">
        <v>7</v>
      </c>
      <c r="C301" s="1050" t="str">
        <f t="shared" si="31"/>
        <v>-</v>
      </c>
      <c r="D301" s="1051">
        <f t="shared" si="32"/>
        <v>3</v>
      </c>
      <c r="E301" s="1051" t="str">
        <f>IF(COUNTIF(E$247:E300,F301)&gt;0,"",F301)</f>
        <v/>
      </c>
      <c r="F301" s="1051" t="str">
        <f t="shared" si="33"/>
        <v/>
      </c>
      <c r="G301" s="1055" t="str">
        <f t="shared" si="34"/>
        <v/>
      </c>
      <c r="I301" s="2018"/>
      <c r="J301" s="2179"/>
      <c r="K301" s="1119"/>
      <c r="L301" s="1119"/>
      <c r="M301" s="2062"/>
      <c r="N301" s="1119"/>
      <c r="O301" s="1977"/>
      <c r="P301" s="1980"/>
      <c r="Q301" s="1980"/>
      <c r="R301" s="1980"/>
      <c r="S301" s="1980"/>
      <c r="T301" s="1980"/>
      <c r="U301" s="2036"/>
    </row>
    <row r="302" spans="2:21" hidden="1" outlineLevel="2">
      <c r="B302" s="1050"/>
      <c r="C302" s="1050"/>
      <c r="D302" s="1051">
        <f t="shared" si="32"/>
        <v>3</v>
      </c>
      <c r="E302" s="1051" t="str">
        <f>IF(COUNTIF(E$247:E301,F302)&gt;0,"",F302)</f>
        <v/>
      </c>
      <c r="F302" s="1051" t="str">
        <f t="shared" si="33"/>
        <v/>
      </c>
      <c r="G302" s="1055" t="str">
        <f t="shared" si="34"/>
        <v/>
      </c>
      <c r="I302" s="2018"/>
      <c r="J302" s="2179"/>
      <c r="K302" s="1119"/>
      <c r="L302" s="1119"/>
      <c r="M302" s="2062"/>
      <c r="N302" s="1119"/>
      <c r="O302" s="1977"/>
      <c r="P302" s="1980"/>
      <c r="Q302" s="1980"/>
      <c r="R302" s="1980"/>
      <c r="S302" s="1980"/>
      <c r="T302" s="1980"/>
      <c r="U302" s="2036"/>
    </row>
    <row r="303" spans="2:21" hidden="1" outlineLevel="2">
      <c r="B303" s="1050"/>
      <c r="C303" s="1050"/>
      <c r="D303" s="1051">
        <f t="shared" si="32"/>
        <v>3</v>
      </c>
      <c r="E303" s="1051" t="str">
        <f>IF(COUNTIF(E$247:E302,F303)&gt;0,"",F303)</f>
        <v/>
      </c>
      <c r="F303" s="1051" t="str">
        <f t="shared" si="33"/>
        <v/>
      </c>
      <c r="G303" s="1055" t="str">
        <f t="shared" si="34"/>
        <v/>
      </c>
      <c r="I303" s="2018"/>
      <c r="J303" s="2179"/>
      <c r="K303" s="1119"/>
      <c r="L303" s="1119"/>
      <c r="M303" s="2062"/>
      <c r="N303" s="1119"/>
      <c r="O303" s="1977"/>
      <c r="P303" s="1980"/>
      <c r="Q303" s="1980"/>
      <c r="R303" s="1980"/>
      <c r="S303" s="1980"/>
      <c r="T303" s="1980"/>
      <c r="U303" s="2036"/>
    </row>
    <row r="304" spans="2:21" hidden="1" outlineLevel="2">
      <c r="B304" s="1050"/>
      <c r="C304" s="1050"/>
      <c r="D304" s="1051">
        <f t="shared" si="32"/>
        <v>3</v>
      </c>
      <c r="E304" s="1051" t="str">
        <f>IF(COUNTIF(E$247:E303,F304)&gt;0,"",F304)</f>
        <v/>
      </c>
      <c r="F304" s="1051" t="str">
        <f t="shared" si="33"/>
        <v/>
      </c>
      <c r="G304" s="1055" t="str">
        <f t="shared" si="34"/>
        <v/>
      </c>
      <c r="I304" s="1100"/>
      <c r="J304" s="2017"/>
      <c r="K304" s="1119"/>
      <c r="L304" s="1119"/>
      <c r="M304" s="1101"/>
      <c r="N304" s="1119"/>
      <c r="O304" s="1977"/>
      <c r="P304" s="1977"/>
      <c r="Q304" s="1977"/>
      <c r="R304" s="1977"/>
      <c r="S304" s="1977"/>
      <c r="T304" s="1977"/>
      <c r="U304" s="1102"/>
    </row>
    <row r="305" spans="2:21" hidden="1" outlineLevel="2">
      <c r="B305" s="1050"/>
      <c r="C305" s="1050"/>
      <c r="D305" s="1051">
        <f t="shared" si="32"/>
        <v>3</v>
      </c>
      <c r="E305" s="1051" t="str">
        <f>IF(COUNTIF(E$247:E304,F305)&gt;0,"",F305)</f>
        <v/>
      </c>
      <c r="F305" s="1051" t="str">
        <f t="shared" si="33"/>
        <v/>
      </c>
      <c r="G305" s="1055" t="str">
        <f t="shared" si="34"/>
        <v/>
      </c>
      <c r="I305" s="1100"/>
      <c r="J305" s="2017"/>
      <c r="K305" s="1119"/>
      <c r="L305" s="1119"/>
      <c r="M305" s="1101"/>
      <c r="N305" s="1119"/>
      <c r="O305" s="1977"/>
      <c r="P305" s="1977"/>
      <c r="Q305" s="1977"/>
      <c r="R305" s="1977"/>
      <c r="S305" s="1977"/>
      <c r="T305" s="1977"/>
      <c r="U305" s="1102"/>
    </row>
    <row r="306" spans="2:21" hidden="1" outlineLevel="2">
      <c r="B306" s="1050"/>
      <c r="C306" s="1050"/>
      <c r="D306" s="1051">
        <f t="shared" si="32"/>
        <v>3</v>
      </c>
      <c r="E306" s="1051" t="str">
        <f>IF(COUNTIF(E$247:E305,F306)&gt;0,"",F306)</f>
        <v/>
      </c>
      <c r="F306" s="1051" t="str">
        <f t="shared" si="33"/>
        <v/>
      </c>
      <c r="G306" s="1055" t="str">
        <f t="shared" si="34"/>
        <v/>
      </c>
      <c r="I306" s="1100"/>
      <c r="J306" s="2017"/>
      <c r="K306" s="1119"/>
      <c r="L306" s="1119"/>
      <c r="M306" s="1101"/>
      <c r="N306" s="1119"/>
      <c r="O306" s="1977"/>
      <c r="P306" s="1977"/>
      <c r="Q306" s="1977"/>
      <c r="R306" s="1977"/>
      <c r="S306" s="1977"/>
      <c r="T306" s="1977"/>
      <c r="U306" s="1102"/>
    </row>
    <row r="307" spans="2:21" hidden="1" outlineLevel="2">
      <c r="B307" s="1050"/>
      <c r="C307" s="1050"/>
      <c r="D307" s="1051">
        <f t="shared" si="32"/>
        <v>3</v>
      </c>
      <c r="E307" s="1051" t="str">
        <f>IF(COUNTIF(E$247:E306,F307)&gt;0,"",F307)</f>
        <v/>
      </c>
      <c r="F307" s="1051" t="str">
        <f t="shared" si="33"/>
        <v/>
      </c>
      <c r="G307" s="1055" t="str">
        <f t="shared" si="34"/>
        <v/>
      </c>
      <c r="I307" s="1100"/>
      <c r="J307" s="2017"/>
      <c r="K307" s="1119"/>
      <c r="L307" s="1119"/>
      <c r="M307" s="1101"/>
      <c r="N307" s="1119"/>
      <c r="O307" s="1977"/>
      <c r="P307" s="1977"/>
      <c r="Q307" s="1977"/>
      <c r="R307" s="1977"/>
      <c r="S307" s="1977"/>
      <c r="T307" s="1977"/>
      <c r="U307" s="1102"/>
    </row>
    <row r="308" spans="2:21" hidden="1" outlineLevel="2">
      <c r="B308" s="1050"/>
      <c r="C308" s="1050"/>
      <c r="D308" s="1051">
        <f t="shared" si="32"/>
        <v>3</v>
      </c>
      <c r="E308" s="1051" t="str">
        <f>IF(COUNTIF(E$247:E307,F308)&gt;0,"",F308)</f>
        <v/>
      </c>
      <c r="F308" s="1051" t="str">
        <f t="shared" si="33"/>
        <v/>
      </c>
      <c r="G308" s="1055" t="str">
        <f t="shared" si="34"/>
        <v/>
      </c>
      <c r="I308" s="1100"/>
      <c r="J308" s="2017"/>
      <c r="K308" s="1119"/>
      <c r="L308" s="1119"/>
      <c r="M308" s="1101"/>
      <c r="N308" s="1119"/>
      <c r="O308" s="1977"/>
      <c r="P308" s="1977"/>
      <c r="Q308" s="1977"/>
      <c r="R308" s="1977"/>
      <c r="S308" s="1977"/>
      <c r="T308" s="1977"/>
      <c r="U308" s="1102"/>
    </row>
    <row r="309" spans="2:21" ht="13.2" hidden="1" outlineLevel="1">
      <c r="B309" s="1045"/>
      <c r="C309" s="1045"/>
      <c r="D309" s="1051">
        <f t="shared" si="32"/>
        <v>3</v>
      </c>
      <c r="E309" s="1051" t="str">
        <f>IF(COUNTIF(E$247:E308,F309)&gt;0,"",F309)</f>
        <v/>
      </c>
      <c r="F309" s="1051" t="str">
        <f t="shared" si="33"/>
        <v/>
      </c>
      <c r="G309" s="1055" t="str">
        <f t="shared" si="34"/>
        <v/>
      </c>
      <c r="I309" s="1765"/>
      <c r="J309" s="1766"/>
      <c r="K309" s="1767"/>
      <c r="L309" s="1767"/>
      <c r="M309" s="1768"/>
      <c r="N309" s="1766"/>
      <c r="O309" s="1769"/>
      <c r="P309" s="1767"/>
      <c r="Q309" s="1767"/>
      <c r="R309" s="1769"/>
      <c r="S309" s="1769"/>
      <c r="T309" s="1767"/>
      <c r="U309" s="1770"/>
    </row>
    <row r="310" spans="2:21" s="1045" customFormat="1">
      <c r="G310" s="1135"/>
      <c r="I310" s="1135"/>
      <c r="J310" s="1135"/>
      <c r="K310" s="1135"/>
      <c r="L310" s="1135"/>
      <c r="M310" s="1135"/>
      <c r="N310" s="1135"/>
      <c r="O310" s="1135"/>
      <c r="P310" s="1135"/>
      <c r="Q310" s="1135"/>
      <c r="R310" s="1135"/>
      <c r="S310" s="1135"/>
      <c r="T310" s="1135"/>
      <c r="U310" s="1135"/>
    </row>
    <row r="311" spans="2:21" s="1045" customFormat="1" ht="15.6" collapsed="1">
      <c r="G311" s="1135"/>
      <c r="I311" s="3167" t="s">
        <v>2225</v>
      </c>
      <c r="J311" s="3168"/>
      <c r="K311" s="3168"/>
      <c r="L311" s="3168"/>
      <c r="M311" s="3168"/>
      <c r="N311" s="3168"/>
      <c r="O311" s="3168"/>
      <c r="P311" s="3168"/>
      <c r="Q311" s="3168"/>
      <c r="R311" s="3168"/>
      <c r="S311" s="3168"/>
      <c r="T311" s="3168"/>
      <c r="U311" s="3169"/>
    </row>
    <row r="312" spans="2:21" s="1045" customFormat="1" hidden="1" outlineLevel="1">
      <c r="G312" s="1135"/>
      <c r="I312"/>
      <c r="J312"/>
      <c r="K312"/>
      <c r="L312"/>
      <c r="M312"/>
      <c r="N312"/>
      <c r="O312"/>
      <c r="P312"/>
      <c r="Q312"/>
      <c r="R312" s="1083"/>
      <c r="S312"/>
      <c r="T312"/>
      <c r="U312"/>
    </row>
    <row r="313" spans="2:21" s="1045" customFormat="1" ht="12.75" hidden="1" customHeight="1" outlineLevel="1">
      <c r="B313" s="3154" t="s">
        <v>1617</v>
      </c>
      <c r="C313" s="3154"/>
      <c r="D313" s="2199"/>
      <c r="G313" s="1135"/>
      <c r="I313" s="1038" t="s">
        <v>1557</v>
      </c>
      <c r="J313" s="1040" t="s">
        <v>1266</v>
      </c>
      <c r="K313" s="1043" t="s">
        <v>224</v>
      </c>
      <c r="L313" s="1043" t="s">
        <v>1558</v>
      </c>
      <c r="M313" s="1039" t="s">
        <v>366</v>
      </c>
      <c r="N313" s="1040" t="s">
        <v>1559</v>
      </c>
      <c r="O313" s="1041" t="s">
        <v>1560</v>
      </c>
      <c r="P313" s="1043" t="s">
        <v>211</v>
      </c>
      <c r="Q313" s="1043" t="s">
        <v>1561</v>
      </c>
      <c r="R313" s="1041" t="s">
        <v>1562</v>
      </c>
      <c r="S313" s="1041" t="s">
        <v>267</v>
      </c>
      <c r="T313" s="1043" t="s">
        <v>1563</v>
      </c>
      <c r="U313" s="1042" t="s">
        <v>1564</v>
      </c>
    </row>
    <row r="314" spans="2:21" s="1045" customFormat="1" ht="12.75" hidden="1" customHeight="1" outlineLevel="1">
      <c r="B314" s="3156" t="s">
        <v>2225</v>
      </c>
      <c r="C314" s="3156"/>
      <c r="D314" s="1051">
        <v>0</v>
      </c>
      <c r="E314" s="1051"/>
      <c r="F314" s="1051"/>
      <c r="G314" s="1054"/>
      <c r="H314" s="1046"/>
      <c r="I314" s="1688"/>
      <c r="J314" s="1689"/>
      <c r="K314" s="1690"/>
      <c r="L314" s="1690"/>
      <c r="M314" s="1691"/>
      <c r="N314" s="1689"/>
      <c r="O314" s="1692"/>
      <c r="P314" s="1690"/>
      <c r="Q314" s="1690"/>
      <c r="R314" s="1692"/>
      <c r="S314" s="1692"/>
      <c r="T314" s="1690"/>
      <c r="U314" s="1693"/>
    </row>
    <row r="315" spans="2:21" hidden="1" outlineLevel="1">
      <c r="B315" s="1050">
        <v>1</v>
      </c>
      <c r="C315" s="1050" t="str">
        <f>IF(ISNA(VLOOKUP(B315,$D$314:$E$328,2,FALSE)),"-",VLOOKUP(B315,$D$314:$E$328,2,FALSE))</f>
        <v>Télécabine, France continentale, Base Carbone</v>
      </c>
      <c r="D315" s="1051">
        <f>D314+IF(LEN(E315)&gt;0,1,0)</f>
        <v>1</v>
      </c>
      <c r="E315" s="1051" t="str">
        <f>IF(COUNTIF(E$314:E314,F315)&gt;0,"",F315)</f>
        <v>Télécabine, France continentale, Base Carbone</v>
      </c>
      <c r="F315" s="1051" t="str">
        <f>IF(I315&lt;&gt;"",I315&amp;IF(L315&lt;&gt;"",", "&amp;L315,"")&amp;IF(K315&lt;&gt;"",", "&amp;K315,""),"")</f>
        <v>Télécabine, France continentale, Base Carbone</v>
      </c>
      <c r="G315" s="1055" t="str">
        <f>IF(F315&lt;&gt;"",F315&amp;IF(J315&lt;&gt;"","; "&amp;J315&amp;IF(N315&lt;&gt;"",", "&amp;N315,),""),"")</f>
        <v>Télécabine, France continentale, Base Carbone; kgCO2e/km, électricité - à la centrale</v>
      </c>
      <c r="I315" s="1100" t="s">
        <v>1199</v>
      </c>
      <c r="J315" s="1048" t="s">
        <v>2222</v>
      </c>
      <c r="K315" s="1119" t="s">
        <v>1567</v>
      </c>
      <c r="L315" s="1048" t="s">
        <v>1571</v>
      </c>
      <c r="M315" s="1033">
        <v>0.6</v>
      </c>
      <c r="N315" s="1048" t="s">
        <v>2226</v>
      </c>
      <c r="O315" s="1036">
        <v>7.1199999999999999E-2</v>
      </c>
      <c r="P315" s="1036">
        <v>7.1199999999999999E-2</v>
      </c>
      <c r="Q315" s="1036">
        <v>0</v>
      </c>
      <c r="R315" s="1036">
        <v>0</v>
      </c>
      <c r="S315" s="1036">
        <v>0</v>
      </c>
      <c r="T315" s="1036">
        <v>0</v>
      </c>
      <c r="U315" s="1037">
        <v>0</v>
      </c>
    </row>
    <row r="316" spans="2:21" hidden="1" outlineLevel="1">
      <c r="B316" s="1050">
        <v>2</v>
      </c>
      <c r="C316" s="1050" t="str">
        <f t="shared" ref="C316:C328" si="35">IF(ISNA(VLOOKUP(B316,$D$314:$E$328,2,FALSE)),"-",VLOOKUP(B316,$D$314:$E$328,2,FALSE))</f>
        <v>-</v>
      </c>
      <c r="D316" s="1051">
        <f t="shared" ref="D316:D328" si="36">D315+IF(LEN(E316)&gt;0,1,0)</f>
        <v>1</v>
      </c>
      <c r="E316" s="1051" t="str">
        <f>IF(COUNTIF(E$314:E315,F316)&gt;0,"",F316)</f>
        <v/>
      </c>
      <c r="F316" s="1051" t="str">
        <f t="shared" ref="F316:F328" si="37">IF(I316&lt;&gt;"",I316&amp;IF(L316&lt;&gt;"",", "&amp;L316,"")&amp;IF(K316&lt;&gt;"",", "&amp;K316,""),"")</f>
        <v>Télécabine, France continentale, Base Carbone</v>
      </c>
      <c r="G316" s="1055" t="str">
        <f t="shared" ref="G316:G328" si="38">IF(F316&lt;&gt;"",F316&amp;IF(J316&lt;&gt;"","; "&amp;J316&amp;IF(N316&lt;&gt;"",", "&amp;N316,),""),"")</f>
        <v>Télécabine, France continentale, Base Carbone; kgCO2e/km, électricité</v>
      </c>
      <c r="I316" s="1100" t="s">
        <v>1199</v>
      </c>
      <c r="J316" s="1048" t="s">
        <v>2222</v>
      </c>
      <c r="K316" s="1119" t="s">
        <v>1567</v>
      </c>
      <c r="L316" s="1048" t="s">
        <v>1571</v>
      </c>
      <c r="M316" s="1033">
        <v>0.6</v>
      </c>
      <c r="N316" s="1048" t="s">
        <v>2227</v>
      </c>
      <c r="O316" s="1036">
        <v>4.6699999999999998E-2</v>
      </c>
      <c r="P316" s="1036">
        <v>4.6699999999999998E-2</v>
      </c>
      <c r="Q316" s="1036">
        <v>0</v>
      </c>
      <c r="R316" s="1036">
        <v>0</v>
      </c>
      <c r="S316" s="1036">
        <v>0</v>
      </c>
      <c r="T316" s="1036">
        <v>0</v>
      </c>
      <c r="U316" s="1037">
        <v>0</v>
      </c>
    </row>
    <row r="317" spans="2:21" hidden="1" outlineLevel="1">
      <c r="B317" s="1050">
        <v>3</v>
      </c>
      <c r="C317" s="1050" t="str">
        <f t="shared" si="35"/>
        <v>-</v>
      </c>
      <c r="D317" s="1051">
        <f t="shared" si="36"/>
        <v>1</v>
      </c>
      <c r="E317" s="1051" t="str">
        <f>IF(COUNTIF(E$314:E316,F317)&gt;0,"",F317)</f>
        <v/>
      </c>
      <c r="F317" s="1051" t="str">
        <f t="shared" si="37"/>
        <v>Télécabine, France continentale, Base Carbone</v>
      </c>
      <c r="G317" s="1055" t="str">
        <f t="shared" si="38"/>
        <v>Télécabine, France continentale, Base Carbone; kgCO2e/passager.km, électricité - à la centrale</v>
      </c>
      <c r="I317" s="1100" t="s">
        <v>1199</v>
      </c>
      <c r="J317" s="1048" t="s">
        <v>2224</v>
      </c>
      <c r="K317" s="1119" t="s">
        <v>1567</v>
      </c>
      <c r="L317" s="1048" t="s">
        <v>1571</v>
      </c>
      <c r="M317" s="1033">
        <v>0.6</v>
      </c>
      <c r="N317" s="1048" t="s">
        <v>2226</v>
      </c>
      <c r="O317" s="1036">
        <v>1.78E-2</v>
      </c>
      <c r="P317" s="1036">
        <v>1.78E-2</v>
      </c>
      <c r="Q317" s="1036">
        <v>0</v>
      </c>
      <c r="R317" s="1036">
        <v>0</v>
      </c>
      <c r="S317" s="1036">
        <v>0</v>
      </c>
      <c r="T317" s="1036">
        <v>0</v>
      </c>
      <c r="U317" s="1037">
        <v>0</v>
      </c>
    </row>
    <row r="318" spans="2:21" hidden="1" outlineLevel="1">
      <c r="B318" s="1050">
        <v>4</v>
      </c>
      <c r="C318" s="1050" t="str">
        <f t="shared" si="35"/>
        <v>-</v>
      </c>
      <c r="D318" s="1051">
        <f t="shared" si="36"/>
        <v>1</v>
      </c>
      <c r="E318" s="1051" t="str">
        <f>IF(COUNTIF(E$314:E317,F318)&gt;0,"",F318)</f>
        <v/>
      </c>
      <c r="F318" s="1051" t="str">
        <f t="shared" si="37"/>
        <v>Télécabine, France continentale, Base Carbone</v>
      </c>
      <c r="G318" s="1055" t="str">
        <f t="shared" si="38"/>
        <v>Télécabine, France continentale, Base Carbone; kgCO2e/passager.km, électricité</v>
      </c>
      <c r="I318" s="1100" t="s">
        <v>1199</v>
      </c>
      <c r="J318" s="1048" t="s">
        <v>2224</v>
      </c>
      <c r="K318" s="1119" t="s">
        <v>1567</v>
      </c>
      <c r="L318" s="1048" t="s">
        <v>1571</v>
      </c>
      <c r="M318" s="1033">
        <v>0.6</v>
      </c>
      <c r="N318" s="1048" t="s">
        <v>2227</v>
      </c>
      <c r="O318" s="1036">
        <v>1.17E-2</v>
      </c>
      <c r="P318" s="1036">
        <v>1.17E-2</v>
      </c>
      <c r="Q318" s="1036">
        <v>0</v>
      </c>
      <c r="R318" s="1036">
        <v>0</v>
      </c>
      <c r="S318" s="1036">
        <v>0</v>
      </c>
      <c r="T318" s="1036">
        <v>0</v>
      </c>
      <c r="U318" s="1037">
        <v>0</v>
      </c>
    </row>
    <row r="319" spans="2:21" hidden="1" outlineLevel="1">
      <c r="B319" s="1050">
        <v>5</v>
      </c>
      <c r="C319" s="1050" t="str">
        <f t="shared" si="35"/>
        <v>-</v>
      </c>
      <c r="D319" s="1051">
        <f t="shared" si="36"/>
        <v>1</v>
      </c>
      <c r="E319" s="1051" t="str">
        <f>IF(COUNTIF(E$314:E318,F319)&gt;0,"",F319)</f>
        <v/>
      </c>
      <c r="F319" s="1051" t="str">
        <f t="shared" si="37"/>
        <v/>
      </c>
      <c r="G319" s="1055" t="str">
        <f t="shared" si="38"/>
        <v/>
      </c>
      <c r="I319" s="1100"/>
      <c r="J319" s="1048"/>
      <c r="K319" s="1119"/>
      <c r="L319" s="1048"/>
      <c r="M319" s="1033"/>
      <c r="N319" s="1048"/>
      <c r="O319" s="1036"/>
      <c r="P319" s="1036"/>
      <c r="Q319" s="1036"/>
      <c r="R319" s="1036"/>
      <c r="S319" s="1036"/>
      <c r="T319" s="1036"/>
      <c r="U319" s="1037"/>
    </row>
    <row r="320" spans="2:21" hidden="1" outlineLevel="1">
      <c r="B320" s="1050">
        <v>6</v>
      </c>
      <c r="C320" s="1050" t="str">
        <f t="shared" si="35"/>
        <v>-</v>
      </c>
      <c r="D320" s="1051">
        <f t="shared" si="36"/>
        <v>1</v>
      </c>
      <c r="E320" s="1051" t="str">
        <f>IF(COUNTIF(E$314:E319,F320)&gt;0,"",F320)</f>
        <v/>
      </c>
      <c r="F320" s="1051" t="str">
        <f t="shared" si="37"/>
        <v/>
      </c>
      <c r="G320" s="1055" t="str">
        <f t="shared" si="38"/>
        <v/>
      </c>
      <c r="I320" s="1100"/>
      <c r="J320" s="1048"/>
      <c r="K320" s="1119"/>
      <c r="L320" s="1048"/>
      <c r="M320" s="1033"/>
      <c r="N320" s="1048"/>
      <c r="O320" s="1036"/>
      <c r="P320" s="1036"/>
      <c r="Q320" s="1036"/>
      <c r="R320" s="1036"/>
      <c r="S320" s="1036"/>
      <c r="T320" s="1036"/>
      <c r="U320" s="1037"/>
    </row>
    <row r="321" spans="2:21" hidden="1" outlineLevel="1">
      <c r="B321" s="1050">
        <v>7</v>
      </c>
      <c r="C321" s="1050" t="str">
        <f t="shared" si="35"/>
        <v>-</v>
      </c>
      <c r="D321" s="1051">
        <f t="shared" si="36"/>
        <v>1</v>
      </c>
      <c r="E321" s="1051" t="str">
        <f>IF(COUNTIF(E$314:E320,F321)&gt;0,"",F321)</f>
        <v/>
      </c>
      <c r="F321" s="1051" t="str">
        <f t="shared" si="37"/>
        <v/>
      </c>
      <c r="G321" s="1055" t="str">
        <f t="shared" si="38"/>
        <v/>
      </c>
      <c r="I321" s="1100"/>
      <c r="J321" s="1048"/>
      <c r="K321" s="1048"/>
      <c r="L321" s="1048"/>
      <c r="M321" s="1048"/>
      <c r="N321" s="1048"/>
      <c r="O321" s="1048"/>
      <c r="P321" s="1048"/>
      <c r="Q321" s="1048"/>
      <c r="R321" s="1048"/>
      <c r="S321" s="1048"/>
      <c r="T321" s="1048"/>
      <c r="U321" s="1102"/>
    </row>
    <row r="322" spans="2:21" hidden="1" outlineLevel="1">
      <c r="B322" s="1050">
        <v>8</v>
      </c>
      <c r="C322" s="1050" t="str">
        <f t="shared" si="35"/>
        <v>-</v>
      </c>
      <c r="D322" s="1051">
        <f t="shared" si="36"/>
        <v>1</v>
      </c>
      <c r="E322" s="1051" t="str">
        <f>IF(COUNTIF(E$314:E321,F322)&gt;0,"",F322)</f>
        <v/>
      </c>
      <c r="F322" s="1051" t="str">
        <f t="shared" si="37"/>
        <v/>
      </c>
      <c r="G322" s="1055" t="str">
        <f t="shared" si="38"/>
        <v/>
      </c>
      <c r="I322" s="1100"/>
      <c r="J322" s="1048"/>
      <c r="K322" s="1048"/>
      <c r="L322" s="1048"/>
      <c r="M322" s="1048"/>
      <c r="N322" s="1048"/>
      <c r="O322" s="1048"/>
      <c r="P322" s="1048"/>
      <c r="Q322" s="1048"/>
      <c r="R322" s="1048"/>
      <c r="S322" s="1048"/>
      <c r="T322" s="1048"/>
      <c r="U322" s="1102"/>
    </row>
    <row r="323" spans="2:21" hidden="1" outlineLevel="1">
      <c r="B323" s="1050">
        <v>9</v>
      </c>
      <c r="C323" s="1050" t="str">
        <f t="shared" si="35"/>
        <v>-</v>
      </c>
      <c r="D323" s="1051">
        <f t="shared" si="36"/>
        <v>1</v>
      </c>
      <c r="E323" s="1051" t="str">
        <f>IF(COUNTIF(E$314:E322,F323)&gt;0,"",F323)</f>
        <v/>
      </c>
      <c r="F323" s="1051" t="str">
        <f t="shared" si="37"/>
        <v/>
      </c>
      <c r="G323" s="1055" t="str">
        <f t="shared" si="38"/>
        <v/>
      </c>
      <c r="I323" s="1100"/>
      <c r="J323" s="1048"/>
      <c r="K323" s="1048"/>
      <c r="L323" s="1048"/>
      <c r="M323" s="1048"/>
      <c r="N323" s="1048"/>
      <c r="O323" s="1048"/>
      <c r="P323" s="1048"/>
      <c r="Q323" s="1048"/>
      <c r="R323" s="1048"/>
      <c r="S323" s="1048"/>
      <c r="T323" s="1048"/>
      <c r="U323" s="1102"/>
    </row>
    <row r="324" spans="2:21" hidden="1" outlineLevel="1">
      <c r="B324" s="1050">
        <v>10</v>
      </c>
      <c r="C324" s="1050" t="str">
        <f t="shared" si="35"/>
        <v>-</v>
      </c>
      <c r="D324" s="1051">
        <f t="shared" si="36"/>
        <v>1</v>
      </c>
      <c r="E324" s="1051" t="str">
        <f>IF(COUNTIF(E$314:E323,F324)&gt;0,"",F324)</f>
        <v/>
      </c>
      <c r="F324" s="1051" t="str">
        <f t="shared" si="37"/>
        <v/>
      </c>
      <c r="G324" s="1055" t="str">
        <f t="shared" si="38"/>
        <v/>
      </c>
      <c r="I324" s="1100"/>
      <c r="J324" s="1048"/>
      <c r="K324" s="1048"/>
      <c r="L324" s="1048"/>
      <c r="M324" s="1048"/>
      <c r="N324" s="1048"/>
      <c r="O324" s="1048"/>
      <c r="P324" s="1048"/>
      <c r="Q324" s="1048"/>
      <c r="R324" s="1048"/>
      <c r="S324" s="1048"/>
      <c r="T324" s="1048"/>
      <c r="U324" s="1102"/>
    </row>
    <row r="325" spans="2:21" hidden="1" outlineLevel="1">
      <c r="B325" s="1050">
        <v>11</v>
      </c>
      <c r="C325" s="1050" t="str">
        <f t="shared" si="35"/>
        <v>-</v>
      </c>
      <c r="D325" s="1051">
        <f t="shared" si="36"/>
        <v>1</v>
      </c>
      <c r="E325" s="1051" t="str">
        <f>IF(COUNTIF(E$314:E324,F325)&gt;0,"",F325)</f>
        <v/>
      </c>
      <c r="F325" s="1051" t="str">
        <f t="shared" si="37"/>
        <v/>
      </c>
      <c r="G325" s="1055" t="str">
        <f t="shared" si="38"/>
        <v/>
      </c>
      <c r="I325" s="1100"/>
      <c r="J325" s="1048"/>
      <c r="K325" s="1048"/>
      <c r="L325" s="1048"/>
      <c r="M325" s="1048"/>
      <c r="N325" s="1048"/>
      <c r="O325" s="1048"/>
      <c r="P325" s="1048"/>
      <c r="Q325" s="1048"/>
      <c r="R325" s="1048"/>
      <c r="S325" s="1048"/>
      <c r="T325" s="1048"/>
      <c r="U325" s="1102"/>
    </row>
    <row r="326" spans="2:21" hidden="1" outlineLevel="1">
      <c r="B326" s="1050">
        <v>12</v>
      </c>
      <c r="C326" s="1050" t="str">
        <f t="shared" si="35"/>
        <v>-</v>
      </c>
      <c r="D326" s="1051">
        <f t="shared" si="36"/>
        <v>1</v>
      </c>
      <c r="E326" s="1051" t="str">
        <f>IF(COUNTIF(E$314:E325,F326)&gt;0,"",F326)</f>
        <v/>
      </c>
      <c r="F326" s="1051" t="str">
        <f t="shared" si="37"/>
        <v/>
      </c>
      <c r="G326" s="1055" t="str">
        <f t="shared" si="38"/>
        <v/>
      </c>
      <c r="I326" s="1100"/>
      <c r="J326" s="1048"/>
      <c r="K326" s="1048"/>
      <c r="L326" s="1048"/>
      <c r="M326" s="1048"/>
      <c r="N326" s="1048"/>
      <c r="O326" s="1048"/>
      <c r="P326" s="1048"/>
      <c r="Q326" s="1048"/>
      <c r="R326" s="1048"/>
      <c r="S326" s="1048"/>
      <c r="T326" s="1048"/>
      <c r="U326" s="1102"/>
    </row>
    <row r="327" spans="2:21" hidden="1" outlineLevel="1">
      <c r="B327" s="1050">
        <v>13</v>
      </c>
      <c r="C327" s="1050" t="str">
        <f t="shared" si="35"/>
        <v>-</v>
      </c>
      <c r="D327" s="1051">
        <f t="shared" si="36"/>
        <v>1</v>
      </c>
      <c r="E327" s="1051" t="str">
        <f>IF(COUNTIF(E$314:E326,F327)&gt;0,"",F327)</f>
        <v/>
      </c>
      <c r="F327" s="1051" t="str">
        <f t="shared" si="37"/>
        <v/>
      </c>
      <c r="G327" s="1055" t="str">
        <f t="shared" si="38"/>
        <v/>
      </c>
      <c r="I327" s="1100"/>
      <c r="J327" s="1048"/>
      <c r="K327" s="1048"/>
      <c r="L327" s="1048"/>
      <c r="M327" s="1048"/>
      <c r="N327" s="1048"/>
      <c r="O327" s="1048"/>
      <c r="P327" s="1048"/>
      <c r="Q327" s="1048"/>
      <c r="R327" s="1048"/>
      <c r="S327" s="1048"/>
      <c r="T327" s="1048"/>
      <c r="U327" s="1102"/>
    </row>
    <row r="328" spans="2:21" hidden="1" outlineLevel="1">
      <c r="B328" s="1050">
        <v>14</v>
      </c>
      <c r="C328" s="1050" t="str">
        <f t="shared" si="35"/>
        <v>-</v>
      </c>
      <c r="D328" s="1051">
        <f t="shared" si="36"/>
        <v>1</v>
      </c>
      <c r="E328" s="1051" t="str">
        <f>IF(COUNTIF(E$314:E327,F328)&gt;0,"",F328)</f>
        <v/>
      </c>
      <c r="F328" s="1051" t="str">
        <f t="shared" si="37"/>
        <v/>
      </c>
      <c r="G328" s="1055" t="str">
        <f t="shared" si="38"/>
        <v/>
      </c>
      <c r="I328" s="1103"/>
      <c r="J328" s="1104"/>
      <c r="K328" s="1104"/>
      <c r="L328" s="1104"/>
      <c r="M328" s="1104"/>
      <c r="N328" s="1104"/>
      <c r="O328" s="1104"/>
      <c r="P328" s="1104"/>
      <c r="Q328" s="1104"/>
      <c r="R328" s="1104"/>
      <c r="S328" s="1104"/>
      <c r="T328" s="1104"/>
      <c r="U328" s="1106"/>
    </row>
    <row r="329" spans="2:21"/>
    <row r="330" spans="2:21" ht="15.6" collapsed="1">
      <c r="I330" s="3167" t="s">
        <v>2228</v>
      </c>
      <c r="J330" s="3168"/>
      <c r="K330" s="3168"/>
      <c r="L330" s="3168"/>
      <c r="M330" s="3168"/>
      <c r="N330" s="3168"/>
      <c r="O330" s="3168"/>
      <c r="P330" s="3168"/>
      <c r="Q330" s="3168"/>
      <c r="R330" s="3168"/>
      <c r="S330" s="3168"/>
      <c r="T330" s="3168"/>
      <c r="U330" s="3169"/>
    </row>
    <row r="331" spans="2:21" hidden="1" outlineLevel="1">
      <c r="R331" s="1083"/>
    </row>
    <row r="332" spans="2:21" ht="12.75" hidden="1" customHeight="1" outlineLevel="1">
      <c r="B332" s="3154" t="s">
        <v>1617</v>
      </c>
      <c r="C332" s="3154"/>
      <c r="D332" s="3157" t="s">
        <v>1619</v>
      </c>
      <c r="E332" s="3157"/>
      <c r="F332" s="1151" t="s">
        <v>1616</v>
      </c>
      <c r="G332" s="1053" t="s">
        <v>1618</v>
      </c>
      <c r="H332" s="1044"/>
      <c r="I332" s="1038" t="s">
        <v>1557</v>
      </c>
      <c r="J332" s="1040" t="s">
        <v>1266</v>
      </c>
      <c r="K332" s="1043" t="s">
        <v>224</v>
      </c>
      <c r="L332" s="1043" t="s">
        <v>1558</v>
      </c>
      <c r="M332" s="1039" t="s">
        <v>366</v>
      </c>
      <c r="N332" s="1040" t="s">
        <v>1559</v>
      </c>
      <c r="O332" s="1041" t="s">
        <v>1560</v>
      </c>
      <c r="P332" s="1043" t="s">
        <v>211</v>
      </c>
      <c r="Q332" s="1043" t="s">
        <v>1561</v>
      </c>
      <c r="R332" s="1041" t="s">
        <v>1562</v>
      </c>
      <c r="S332" s="1041" t="s">
        <v>267</v>
      </c>
      <c r="T332" s="1043" t="s">
        <v>1563</v>
      </c>
      <c r="U332" s="1042" t="s">
        <v>1564</v>
      </c>
    </row>
    <row r="333" spans="2:21" s="1045" customFormat="1" ht="12.75" hidden="1" customHeight="1" outlineLevel="1">
      <c r="B333" s="3156" t="s">
        <v>556</v>
      </c>
      <c r="C333" s="3156"/>
      <c r="D333" s="1051">
        <v>0</v>
      </c>
      <c r="E333" s="1051"/>
      <c r="F333" s="1051"/>
      <c r="G333" s="1054"/>
      <c r="H333" s="1046"/>
      <c r="I333" s="1688"/>
      <c r="J333" s="1689"/>
      <c r="K333" s="1690"/>
      <c r="L333" s="1690"/>
      <c r="M333" s="1691"/>
      <c r="N333" s="1689"/>
      <c r="O333" s="1692"/>
      <c r="P333" s="1690"/>
      <c r="Q333" s="1690"/>
      <c r="R333" s="1692"/>
      <c r="S333" s="1692"/>
      <c r="T333" s="1690"/>
      <c r="U333" s="1693"/>
    </row>
    <row r="334" spans="2:21" hidden="1" outlineLevel="1">
      <c r="B334" s="1050">
        <v>1</v>
      </c>
      <c r="C334" s="1050" t="str">
        <f>IF(ISNA(VLOOKUP(B334,$D$333:$E$408,2,FALSE)),"-",VLOOKUP(B334,$D$333:$E$408,2,FALSE))</f>
        <v>Métro - 2018 - Ile de France, France continentale, Base Carbone</v>
      </c>
      <c r="D334" s="1051">
        <f>D333+IF(LEN(E334)&gt;0,1,0)</f>
        <v>1</v>
      </c>
      <c r="E334" s="1051" t="str">
        <f>IF(COUNTIF(E$333:E333,F334)&gt;0,"",F334)</f>
        <v>Métro - 2018 - Ile de France, France continentale, Base Carbone</v>
      </c>
      <c r="F334" s="1051" t="str">
        <f>IF(I334&lt;&gt;"",I334&amp;IF(L334&lt;&gt;"",", "&amp;L334,"")&amp;IF(K334&lt;&gt;"",", "&amp;K334,""),"")</f>
        <v>Métro - 2018 - Ile de France, France continentale, Base Carbone</v>
      </c>
      <c r="G334" s="1055" t="str">
        <f>IF(F334&lt;&gt;"",F334&amp;IF(J334&lt;&gt;"","; "&amp;J334&amp;IF(N334&lt;&gt;""," "&amp;N334,),""),"")</f>
        <v>Métro - 2018 - Ile de France, France continentale, Base Carbone; kgCO2e/passager.km Amont</v>
      </c>
      <c r="I334" s="1034" t="s">
        <v>3979</v>
      </c>
      <c r="J334" s="1032" t="s">
        <v>2224</v>
      </c>
      <c r="K334" s="1119" t="s">
        <v>1567</v>
      </c>
      <c r="L334" s="1119" t="s">
        <v>1571</v>
      </c>
      <c r="M334" s="1033">
        <v>0.2</v>
      </c>
      <c r="N334" s="1119" t="s">
        <v>1570</v>
      </c>
      <c r="O334" s="2510">
        <v>2.5999999999999999E-3</v>
      </c>
      <c r="P334" s="1980">
        <v>2.5999999999999999E-3</v>
      </c>
      <c r="Q334" s="1980">
        <v>0</v>
      </c>
      <c r="R334" s="1980">
        <v>0</v>
      </c>
      <c r="S334" s="1980">
        <v>0</v>
      </c>
      <c r="T334" s="1980">
        <v>0</v>
      </c>
      <c r="U334" s="2036">
        <v>0</v>
      </c>
    </row>
    <row r="335" spans="2:21" hidden="1" outlineLevel="1">
      <c r="B335" s="1050">
        <v>2</v>
      </c>
      <c r="C335" s="1050" t="str">
        <f t="shared" ref="C335:C368" si="39">IF(ISNA(VLOOKUP(B335,$D$333:$E$408,2,FALSE)),"-",VLOOKUP(B335,$D$333:$E$408,2,FALSE))</f>
        <v>Métro - 2019 - Ile de France, France continentale, Base Carbone</v>
      </c>
      <c r="D335" s="1051">
        <f t="shared" ref="D335:D398" si="40">D334+IF(LEN(E335)&gt;0,1,0)</f>
        <v>1</v>
      </c>
      <c r="E335" s="1051" t="str">
        <f>IF(COUNTIF(E$333:E334,F335)&gt;0,"",F335)</f>
        <v/>
      </c>
      <c r="F335" s="1051" t="str">
        <f t="shared" ref="F335:F398" si="41">IF(I335&lt;&gt;"",I335&amp;IF(L335&lt;&gt;"",", "&amp;L335,"")&amp;IF(K335&lt;&gt;"",", "&amp;K335,""),"")</f>
        <v>Métro - 2018 - Ile de France, France continentale, Base Carbone</v>
      </c>
      <c r="G335" s="1055" t="str">
        <f t="shared" ref="G335:G398" si="42">IF(F335&lt;&gt;"",F335&amp;IF(J335&lt;&gt;"","; "&amp;J335&amp;IF(N335&lt;&gt;""," "&amp;N335,),""),"")</f>
        <v>Métro - 2018 - Ile de France, France continentale, Base Carbone; kgCO2e/passager.km Combustion</v>
      </c>
      <c r="I335" s="1034" t="s">
        <v>3979</v>
      </c>
      <c r="J335" s="1032" t="s">
        <v>2224</v>
      </c>
      <c r="K335" s="1119" t="s">
        <v>1567</v>
      </c>
      <c r="L335" s="1119" t="s">
        <v>1571</v>
      </c>
      <c r="M335" s="1033">
        <v>0.2</v>
      </c>
      <c r="N335" s="1119" t="s">
        <v>1569</v>
      </c>
      <c r="O335" s="2510">
        <v>0</v>
      </c>
      <c r="P335" s="1980">
        <v>0</v>
      </c>
      <c r="Q335" s="1980">
        <v>0</v>
      </c>
      <c r="R335" s="1980">
        <v>0</v>
      </c>
      <c r="S335" s="1980">
        <v>0</v>
      </c>
      <c r="T335" s="1980">
        <v>0</v>
      </c>
      <c r="U335" s="2036">
        <v>0</v>
      </c>
    </row>
    <row r="336" spans="2:21" hidden="1" outlineLevel="1">
      <c r="B336" s="1050">
        <v>3</v>
      </c>
      <c r="C336" s="1050" t="str">
        <f t="shared" si="39"/>
        <v>Métro, tramway, trolleybus - 2018 - Agglomération &gt; 250 000 habitants, France continentale, Base Carbone</v>
      </c>
      <c r="D336" s="1051">
        <f t="shared" si="40"/>
        <v>1</v>
      </c>
      <c r="E336" s="1051" t="str">
        <f>IF(COUNTIF(E$333:E335,F336)&gt;0,"",F336)</f>
        <v/>
      </c>
      <c r="F336" s="1051" t="str">
        <f t="shared" si="41"/>
        <v>Métro - 2018 - Ile de France, France continentale, Base Carbone</v>
      </c>
      <c r="G336" s="1055" t="str">
        <f t="shared" si="42"/>
        <v>Métro - 2018 - Ile de France, France continentale, Base Carbone; kgCO2e/passager.km Fabrication</v>
      </c>
      <c r="I336" s="1034" t="s">
        <v>3979</v>
      </c>
      <c r="J336" s="1032" t="s">
        <v>2224</v>
      </c>
      <c r="K336" s="1119" t="s">
        <v>1567</v>
      </c>
      <c r="L336" s="1119" t="s">
        <v>1571</v>
      </c>
      <c r="M336" s="1033">
        <v>0.2</v>
      </c>
      <c r="N336" s="1119" t="s">
        <v>332</v>
      </c>
      <c r="O336" s="2510">
        <v>2.4000000000000001E-4</v>
      </c>
      <c r="P336" s="1980">
        <v>2.4000000000000001E-4</v>
      </c>
      <c r="Q336" s="1980">
        <v>0</v>
      </c>
      <c r="R336" s="1980">
        <v>0</v>
      </c>
      <c r="S336" s="1980">
        <v>0</v>
      </c>
      <c r="T336" s="1980">
        <v>0</v>
      </c>
      <c r="U336" s="2036">
        <v>0</v>
      </c>
    </row>
    <row r="337" spans="2:21" hidden="1" outlineLevel="1">
      <c r="B337" s="1050">
        <v>4</v>
      </c>
      <c r="C337" s="1050" t="str">
        <f t="shared" si="39"/>
        <v>Métro, tramway, trolleybus - 2018 - Agglomération de 100 000 à 250 000 habitants, France continentale, Base Carbone</v>
      </c>
      <c r="D337" s="1051">
        <f t="shared" si="40"/>
        <v>2</v>
      </c>
      <c r="E337" s="1051" t="str">
        <f>IF(COUNTIF(E$333:E336,F337)&gt;0,"",F337)</f>
        <v>Métro - 2019 - Ile de France, France continentale, Base Carbone</v>
      </c>
      <c r="F337" s="1051" t="str">
        <f t="shared" si="41"/>
        <v>Métro - 2019 - Ile de France, France continentale, Base Carbone</v>
      </c>
      <c r="G337" s="1055" t="str">
        <f t="shared" si="42"/>
        <v>Métro - 2019 - Ile de France, France continentale, Base Carbone; kgCO2e/passager.km Combustion</v>
      </c>
      <c r="I337" s="1034" t="s">
        <v>3980</v>
      </c>
      <c r="J337" s="1032" t="s">
        <v>2224</v>
      </c>
      <c r="K337" s="1119" t="s">
        <v>1567</v>
      </c>
      <c r="L337" s="1119" t="s">
        <v>1571</v>
      </c>
      <c r="M337" s="1033">
        <v>0.2</v>
      </c>
      <c r="N337" s="1119" t="s">
        <v>1569</v>
      </c>
      <c r="O337" s="1036">
        <v>0</v>
      </c>
      <c r="P337" s="1980">
        <v>0</v>
      </c>
      <c r="Q337" s="1980">
        <v>0</v>
      </c>
      <c r="R337" s="1980">
        <v>0</v>
      </c>
      <c r="S337" s="1980">
        <v>0</v>
      </c>
      <c r="T337" s="1980">
        <v>0</v>
      </c>
      <c r="U337" s="2036">
        <v>0</v>
      </c>
    </row>
    <row r="338" spans="2:21" hidden="1" outlineLevel="1">
      <c r="B338" s="1050">
        <v>5</v>
      </c>
      <c r="C338" s="1050" t="str">
        <f t="shared" si="39"/>
        <v>RER et transilien - 2018 - Ile de France, France continentale, Base Carbone</v>
      </c>
      <c r="D338" s="1051">
        <f t="shared" si="40"/>
        <v>2</v>
      </c>
      <c r="E338" s="1051" t="str">
        <f>IF(COUNTIF(E$333:E337,F338)&gt;0,"",F338)</f>
        <v/>
      </c>
      <c r="F338" s="1051" t="str">
        <f t="shared" si="41"/>
        <v>Métro - 2019 - Ile de France, France continentale, Base Carbone</v>
      </c>
      <c r="G338" s="1055" t="str">
        <f t="shared" si="42"/>
        <v>Métro - 2019 - Ile de France, France continentale, Base Carbone; kgCO2e/passager.km Amont</v>
      </c>
      <c r="I338" s="1034" t="s">
        <v>3980</v>
      </c>
      <c r="J338" s="1032" t="s">
        <v>2224</v>
      </c>
      <c r="K338" s="1119" t="s">
        <v>1567</v>
      </c>
      <c r="L338" s="1119" t="s">
        <v>1571</v>
      </c>
      <c r="M338" s="1033">
        <v>0.2</v>
      </c>
      <c r="N338" s="1119" t="s">
        <v>1570</v>
      </c>
      <c r="O338" s="1036">
        <v>2.5000000000000001E-3</v>
      </c>
      <c r="P338" s="1980">
        <v>2.5000000000000001E-3</v>
      </c>
      <c r="Q338" s="1980">
        <v>0</v>
      </c>
      <c r="R338" s="1980">
        <v>0</v>
      </c>
      <c r="S338" s="1980">
        <v>0</v>
      </c>
      <c r="T338" s="1980">
        <v>0</v>
      </c>
      <c r="U338" s="2036">
        <v>0</v>
      </c>
    </row>
    <row r="339" spans="2:21" hidden="1" outlineLevel="1">
      <c r="B339" s="1050">
        <v>6</v>
      </c>
      <c r="C339" s="1050" t="str">
        <f t="shared" si="39"/>
        <v>RER et transilien - 2019 - Ile de France, France continentale, Base Carbone</v>
      </c>
      <c r="D339" s="1051">
        <f t="shared" si="40"/>
        <v>2</v>
      </c>
      <c r="E339" s="1051" t="str">
        <f>IF(COUNTIF(E$333:E338,F339)&gt;0,"",F339)</f>
        <v/>
      </c>
      <c r="F339" s="1051" t="str">
        <f t="shared" si="41"/>
        <v>Métro - 2019 - Ile de France, France continentale, Base Carbone</v>
      </c>
      <c r="G339" s="1055" t="str">
        <f t="shared" si="42"/>
        <v>Métro - 2019 - Ile de France, France continentale, Base Carbone; kgCO2e/passager.km Fabrication</v>
      </c>
      <c r="I339" s="1034" t="s">
        <v>3980</v>
      </c>
      <c r="J339" s="1032" t="s">
        <v>2224</v>
      </c>
      <c r="K339" s="1119" t="s">
        <v>1567</v>
      </c>
      <c r="L339" s="1119" t="s">
        <v>1571</v>
      </c>
      <c r="M339" s="1033">
        <v>0.2</v>
      </c>
      <c r="N339" s="1119" t="s">
        <v>332</v>
      </c>
      <c r="O339" s="1036">
        <v>2.4000000000000001E-4</v>
      </c>
      <c r="P339" s="1980">
        <v>2.4000000000000001E-4</v>
      </c>
      <c r="Q339" s="1980">
        <v>0</v>
      </c>
      <c r="R339" s="1980">
        <v>0</v>
      </c>
      <c r="S339" s="1980">
        <v>0</v>
      </c>
      <c r="T339" s="1980">
        <v>0</v>
      </c>
      <c r="U339" s="2036">
        <v>0</v>
      </c>
    </row>
    <row r="340" spans="2:21" hidden="1" outlineLevel="1">
      <c r="B340" s="1050">
        <v>7</v>
      </c>
      <c r="C340" s="1050" t="str">
        <f t="shared" si="39"/>
        <v>TER - 2018 - traction moyenne, France continentale, Base Carbone</v>
      </c>
      <c r="D340" s="1051">
        <f t="shared" si="40"/>
        <v>3</v>
      </c>
      <c r="E340" s="1051" t="str">
        <f>IF(COUNTIF(E$333:E339,F340)&gt;0,"",F340)</f>
        <v>Métro, tramway, trolleybus - 2018 - Agglomération &gt; 250 000 habitants, France continentale, Base Carbone</v>
      </c>
      <c r="F340" s="1051" t="str">
        <f t="shared" si="41"/>
        <v>Métro, tramway, trolleybus - 2018 - Agglomération &gt; 250 000 habitants, France continentale, Base Carbone</v>
      </c>
      <c r="G340" s="1055" t="str">
        <f t="shared" si="42"/>
        <v>Métro, tramway, trolleybus - 2018 - Agglomération &gt; 250 000 habitants, France continentale, Base Carbone; kgCO2e/passager.km Amont</v>
      </c>
      <c r="I340" s="2018" t="s">
        <v>3981</v>
      </c>
      <c r="J340" s="1119" t="s">
        <v>2224</v>
      </c>
      <c r="K340" s="1119" t="s">
        <v>1567</v>
      </c>
      <c r="L340" s="1119" t="s">
        <v>1571</v>
      </c>
      <c r="M340" s="1033">
        <v>0.6</v>
      </c>
      <c r="N340" s="1119" t="s">
        <v>1570</v>
      </c>
      <c r="O340" s="1036">
        <v>2.98E-3</v>
      </c>
      <c r="P340" s="1980">
        <v>2.98E-3</v>
      </c>
      <c r="Q340" s="1980">
        <v>0</v>
      </c>
      <c r="R340" s="1980">
        <v>0</v>
      </c>
      <c r="S340" s="1980">
        <v>0</v>
      </c>
      <c r="T340" s="1980">
        <v>0</v>
      </c>
      <c r="U340" s="2036">
        <v>0</v>
      </c>
    </row>
    <row r="341" spans="2:21" hidden="1" outlineLevel="1">
      <c r="B341" s="1050">
        <v>8</v>
      </c>
      <c r="C341" s="1050" t="str">
        <f t="shared" si="39"/>
        <v>TER - 2019 - traction moyenne, France continentale, Base Carbone</v>
      </c>
      <c r="D341" s="1051">
        <f t="shared" si="40"/>
        <v>3</v>
      </c>
      <c r="E341" s="1051" t="str">
        <f>IF(COUNTIF(E$333:E340,F341)&gt;0,"",F341)</f>
        <v/>
      </c>
      <c r="F341" s="1051" t="str">
        <f t="shared" si="41"/>
        <v>Métro, tramway, trolleybus - 2018 - Agglomération &gt; 250 000 habitants, France continentale, Base Carbone</v>
      </c>
      <c r="G341" s="1055" t="str">
        <f t="shared" si="42"/>
        <v>Métro, tramway, trolleybus - 2018 - Agglomération &gt; 250 000 habitants, France continentale, Base Carbone; kgCO2e/passager.km Combustion</v>
      </c>
      <c r="I341" s="2018" t="s">
        <v>3981</v>
      </c>
      <c r="J341" s="1119" t="s">
        <v>2224</v>
      </c>
      <c r="K341" s="1119" t="s">
        <v>1567</v>
      </c>
      <c r="L341" s="1119" t="s">
        <v>1571</v>
      </c>
      <c r="M341" s="1033">
        <v>0.6</v>
      </c>
      <c r="N341" s="1119" t="s">
        <v>1569</v>
      </c>
      <c r="O341" s="1036">
        <v>0</v>
      </c>
      <c r="P341" s="1980">
        <v>0</v>
      </c>
      <c r="Q341" s="1980">
        <v>0</v>
      </c>
      <c r="R341" s="1980">
        <v>0</v>
      </c>
      <c r="S341" s="1980">
        <v>0</v>
      </c>
      <c r="T341" s="1980">
        <v>0</v>
      </c>
      <c r="U341" s="2036">
        <v>0</v>
      </c>
    </row>
    <row r="342" spans="2:21" hidden="1" outlineLevel="1">
      <c r="B342" s="1050">
        <v>9</v>
      </c>
      <c r="C342" s="1050" t="str">
        <f t="shared" si="39"/>
        <v>TGV - 2018, France continentale, Base Carbone</v>
      </c>
      <c r="D342" s="1051">
        <f t="shared" si="40"/>
        <v>3</v>
      </c>
      <c r="E342" s="1051" t="str">
        <f>IF(COUNTIF(E$333:E341,F342)&gt;0,"",F342)</f>
        <v/>
      </c>
      <c r="F342" s="1051" t="str">
        <f t="shared" si="41"/>
        <v>Métro, tramway, trolleybus - 2018 - Agglomération &gt; 250 000 habitants, France continentale, Base Carbone</v>
      </c>
      <c r="G342" s="1055" t="str">
        <f t="shared" si="42"/>
        <v>Métro, tramway, trolleybus - 2018 - Agglomération &gt; 250 000 habitants, France continentale, Base Carbone; kgCO2e/passager.km Fabrication</v>
      </c>
      <c r="I342" s="2018" t="s">
        <v>3981</v>
      </c>
      <c r="J342" s="1119" t="s">
        <v>2224</v>
      </c>
      <c r="K342" s="1119" t="s">
        <v>1567</v>
      </c>
      <c r="L342" s="1119" t="s">
        <v>1571</v>
      </c>
      <c r="M342" s="1033">
        <v>0.6</v>
      </c>
      <c r="N342" s="1119" t="s">
        <v>332</v>
      </c>
      <c r="O342" s="1036">
        <v>3.1E-4</v>
      </c>
      <c r="P342" s="1980">
        <v>3.1E-4</v>
      </c>
      <c r="Q342" s="1980">
        <v>0</v>
      </c>
      <c r="R342" s="1980">
        <v>0</v>
      </c>
      <c r="S342" s="1980">
        <v>0</v>
      </c>
      <c r="T342" s="1980">
        <v>0</v>
      </c>
      <c r="U342" s="2036">
        <v>0</v>
      </c>
    </row>
    <row r="343" spans="2:21" hidden="1" outlineLevel="1">
      <c r="B343" s="1050">
        <v>10</v>
      </c>
      <c r="C343" s="1050" t="str">
        <f t="shared" si="39"/>
        <v>TGV - 2019, France continentale, Base Carbone</v>
      </c>
      <c r="D343" s="1051">
        <f t="shared" si="40"/>
        <v>4</v>
      </c>
      <c r="E343" s="1051" t="str">
        <f>IF(COUNTIF(E$333:E342,F343)&gt;0,"",F343)</f>
        <v>Métro, tramway, trolleybus - 2018 - Agglomération de 100 000 à 250 000 habitants, France continentale, Base Carbone</v>
      </c>
      <c r="F343" s="1051" t="str">
        <f t="shared" si="41"/>
        <v>Métro, tramway, trolleybus - 2018 - Agglomération de 100 000 à 250 000 habitants, France continentale, Base Carbone</v>
      </c>
      <c r="G343" s="1055" t="str">
        <f t="shared" si="42"/>
        <v>Métro, tramway, trolleybus - 2018 - Agglomération de 100 000 à 250 000 habitants, France continentale, Base Carbone; kgCO2e/passager.km Amont</v>
      </c>
      <c r="I343" s="2018" t="s">
        <v>3982</v>
      </c>
      <c r="J343" s="1119" t="s">
        <v>2224</v>
      </c>
      <c r="K343" s="1119" t="s">
        <v>1567</v>
      </c>
      <c r="L343" s="1119" t="s">
        <v>1571</v>
      </c>
      <c r="M343" s="1033">
        <v>0.6</v>
      </c>
      <c r="N343" s="1119" t="s">
        <v>1570</v>
      </c>
      <c r="O343" s="1036">
        <v>4.7200000000000002E-3</v>
      </c>
      <c r="P343" s="1980">
        <v>4.7200000000000002E-3</v>
      </c>
      <c r="Q343" s="1980">
        <v>0</v>
      </c>
      <c r="R343" s="1980">
        <v>0</v>
      </c>
      <c r="S343" s="1980">
        <v>0</v>
      </c>
      <c r="T343" s="1980">
        <v>0</v>
      </c>
      <c r="U343" s="2036">
        <v>0</v>
      </c>
    </row>
    <row r="344" spans="2:21" hidden="1" outlineLevel="1">
      <c r="B344" s="1050">
        <v>11</v>
      </c>
      <c r="C344" s="1050" t="str">
        <f t="shared" si="39"/>
        <v>Train de voyageurs, Corse, Base Carbone</v>
      </c>
      <c r="D344" s="1051">
        <f t="shared" si="40"/>
        <v>4</v>
      </c>
      <c r="E344" s="1051" t="str">
        <f>IF(COUNTIF(E$333:E343,F344)&gt;0,"",F344)</f>
        <v/>
      </c>
      <c r="F344" s="1051" t="str">
        <f t="shared" si="41"/>
        <v>Métro, tramway, trolleybus - 2018 - Agglomération de 100 000 à 250 000 habitants, France continentale, Base Carbone</v>
      </c>
      <c r="G344" s="1055" t="str">
        <f t="shared" si="42"/>
        <v>Métro, tramway, trolleybus - 2018 - Agglomération de 100 000 à 250 000 habitants, France continentale, Base Carbone; kgCO2e/passager.km Combustion</v>
      </c>
      <c r="I344" s="2018" t="s">
        <v>3982</v>
      </c>
      <c r="J344" s="1119" t="s">
        <v>2224</v>
      </c>
      <c r="K344" s="1119" t="s">
        <v>1567</v>
      </c>
      <c r="L344" s="1119" t="s">
        <v>1571</v>
      </c>
      <c r="M344" s="1033">
        <v>0.6</v>
      </c>
      <c r="N344" s="1119" t="s">
        <v>1569</v>
      </c>
      <c r="O344" s="1036">
        <v>0</v>
      </c>
      <c r="P344" s="1980">
        <v>0</v>
      </c>
      <c r="Q344" s="1980">
        <v>0</v>
      </c>
      <c r="R344" s="1980">
        <v>0</v>
      </c>
      <c r="S344" s="1980">
        <v>0</v>
      </c>
      <c r="T344" s="1980">
        <v>0</v>
      </c>
      <c r="U344" s="2036">
        <v>0</v>
      </c>
    </row>
    <row r="345" spans="2:21" hidden="1" outlineLevel="1">
      <c r="B345" s="1050">
        <v>12</v>
      </c>
      <c r="C345" s="1050" t="str">
        <f t="shared" si="39"/>
        <v>Train de voyageurs, Allemagne, Base Carbone</v>
      </c>
      <c r="D345" s="1051">
        <f t="shared" si="40"/>
        <v>4</v>
      </c>
      <c r="E345" s="1051" t="str">
        <f>IF(COUNTIF(E$333:E344,F345)&gt;0,"",F345)</f>
        <v/>
      </c>
      <c r="F345" s="1051" t="str">
        <f t="shared" si="41"/>
        <v>Métro, tramway, trolleybus - 2018 - Agglomération de 100 000 à 250 000 habitants, France continentale, Base Carbone</v>
      </c>
      <c r="G345" s="1055" t="str">
        <f t="shared" si="42"/>
        <v>Métro, tramway, trolleybus - 2018 - Agglomération de 100 000 à 250 000 habitants, France continentale, Base Carbone; kgCO2e/passager.km Fabrication</v>
      </c>
      <c r="I345" s="2018" t="s">
        <v>3982</v>
      </c>
      <c r="J345" s="1119" t="s">
        <v>2224</v>
      </c>
      <c r="K345" s="1119" t="s">
        <v>1567</v>
      </c>
      <c r="L345" s="1119" t="s">
        <v>1571</v>
      </c>
      <c r="M345" s="1033">
        <v>0.6</v>
      </c>
      <c r="N345" s="1119" t="s">
        <v>332</v>
      </c>
      <c r="O345" s="1036">
        <v>3.1E-4</v>
      </c>
      <c r="P345" s="1980">
        <v>3.1E-4</v>
      </c>
      <c r="Q345" s="1980">
        <v>0</v>
      </c>
      <c r="R345" s="1980">
        <v>0</v>
      </c>
      <c r="S345" s="1980">
        <v>0</v>
      </c>
      <c r="T345" s="1980">
        <v>0</v>
      </c>
      <c r="U345" s="2036">
        <v>0</v>
      </c>
    </row>
    <row r="346" spans="2:21" hidden="1" outlineLevel="1">
      <c r="B346" s="1050">
        <v>13</v>
      </c>
      <c r="C346" s="1050" t="str">
        <f t="shared" si="39"/>
        <v>Train de voyageurs, Autriche, Base Carbone</v>
      </c>
      <c r="D346" s="1051">
        <f t="shared" si="40"/>
        <v>5</v>
      </c>
      <c r="E346" s="1051" t="str">
        <f>IF(COUNTIF(E$333:E345,F346)&gt;0,"",F346)</f>
        <v>RER et transilien - 2018 - Ile de France, France continentale, Base Carbone</v>
      </c>
      <c r="F346" s="1051" t="str">
        <f t="shared" si="41"/>
        <v>RER et transilien - 2018 - Ile de France, France continentale, Base Carbone</v>
      </c>
      <c r="G346" s="1055" t="str">
        <f t="shared" si="42"/>
        <v>RER et transilien - 2018 - Ile de France, France continentale, Base Carbone; kgCO2e/passager.km Amont</v>
      </c>
      <c r="I346" s="2018" t="s">
        <v>3983</v>
      </c>
      <c r="J346" s="1119" t="s">
        <v>2224</v>
      </c>
      <c r="K346" s="1119" t="s">
        <v>1567</v>
      </c>
      <c r="L346" s="1119" t="s">
        <v>1571</v>
      </c>
      <c r="M346" s="1033">
        <v>0.2</v>
      </c>
      <c r="N346" s="1119" t="s">
        <v>1570</v>
      </c>
      <c r="O346" s="1036">
        <v>4.4999999999999997E-3</v>
      </c>
      <c r="P346" s="1980">
        <v>4.4999999999999997E-3</v>
      </c>
      <c r="Q346" s="1980">
        <v>0</v>
      </c>
      <c r="R346" s="1980">
        <v>0</v>
      </c>
      <c r="S346" s="1980">
        <v>0</v>
      </c>
      <c r="T346" s="1980">
        <v>0</v>
      </c>
      <c r="U346" s="2036">
        <v>0</v>
      </c>
    </row>
    <row r="347" spans="2:21" hidden="1" outlineLevel="1">
      <c r="B347" s="1050">
        <v>14</v>
      </c>
      <c r="C347" s="1050" t="str">
        <f t="shared" si="39"/>
        <v>Train de voyageurs, Belgique, Base Carbone</v>
      </c>
      <c r="D347" s="1051">
        <f t="shared" si="40"/>
        <v>5</v>
      </c>
      <c r="E347" s="1051" t="str">
        <f>IF(COUNTIF(E$333:E346,F347)&gt;0,"",F347)</f>
        <v/>
      </c>
      <c r="F347" s="1051" t="str">
        <f t="shared" si="41"/>
        <v>RER et transilien - 2018 - Ile de France, France continentale, Base Carbone</v>
      </c>
      <c r="G347" s="1055" t="str">
        <f t="shared" si="42"/>
        <v>RER et transilien - 2018 - Ile de France, France continentale, Base Carbone; kgCO2e/passager.km Combustion</v>
      </c>
      <c r="I347" s="2018" t="s">
        <v>3983</v>
      </c>
      <c r="J347" s="1119" t="s">
        <v>2224</v>
      </c>
      <c r="K347" s="1119" t="s">
        <v>1567</v>
      </c>
      <c r="L347" s="1119" t="s">
        <v>1571</v>
      </c>
      <c r="M347" s="1033">
        <v>0.2</v>
      </c>
      <c r="N347" s="1119" t="s">
        <v>1569</v>
      </c>
      <c r="O347" s="1036">
        <v>0</v>
      </c>
      <c r="P347" s="1980">
        <v>0</v>
      </c>
      <c r="Q347" s="1980">
        <v>0</v>
      </c>
      <c r="R347" s="1980">
        <v>0</v>
      </c>
      <c r="S347" s="1980">
        <v>0</v>
      </c>
      <c r="T347" s="1980">
        <v>0</v>
      </c>
      <c r="U347" s="2036">
        <v>0</v>
      </c>
    </row>
    <row r="348" spans="2:21" hidden="1" outlineLevel="1">
      <c r="B348" s="1050">
        <v>15</v>
      </c>
      <c r="C348" s="1050" t="str">
        <f t="shared" si="39"/>
        <v>Train de voyageurs, Danemark, Base Carbone</v>
      </c>
      <c r="D348" s="1051">
        <f t="shared" si="40"/>
        <v>5</v>
      </c>
      <c r="E348" s="1051" t="str">
        <f>IF(COUNTIF(E$333:E347,F348)&gt;0,"",F348)</f>
        <v/>
      </c>
      <c r="F348" s="1051" t="str">
        <f t="shared" si="41"/>
        <v>RER et transilien - 2018 - Ile de France, France continentale, Base Carbone</v>
      </c>
      <c r="G348" s="1055" t="str">
        <f t="shared" si="42"/>
        <v>RER et transilien - 2018 - Ile de France, France continentale, Base Carbone; kgCO2e/passager.km Fabrication</v>
      </c>
      <c r="I348" s="2018" t="s">
        <v>3983</v>
      </c>
      <c r="J348" s="1119" t="s">
        <v>2224</v>
      </c>
      <c r="K348" s="1119" t="s">
        <v>1567</v>
      </c>
      <c r="L348" s="1119" t="s">
        <v>1571</v>
      </c>
      <c r="M348" s="1033">
        <v>0.2</v>
      </c>
      <c r="N348" s="1119" t="s">
        <v>332</v>
      </c>
      <c r="O348" s="1036">
        <v>3.1800000000000001E-3</v>
      </c>
      <c r="P348" s="1980">
        <v>3.1800000000000001E-3</v>
      </c>
      <c r="Q348" s="1980">
        <v>0</v>
      </c>
      <c r="R348" s="1980">
        <v>0</v>
      </c>
      <c r="S348" s="1980">
        <v>0</v>
      </c>
      <c r="T348" s="1980">
        <v>0</v>
      </c>
      <c r="U348" s="2036">
        <v>0</v>
      </c>
    </row>
    <row r="349" spans="2:21" hidden="1" outlineLevel="1">
      <c r="B349" s="1050">
        <v>16</v>
      </c>
      <c r="C349" s="1050" t="str">
        <f t="shared" si="39"/>
        <v>Train de voyageurs, Espagne, Base Carbone</v>
      </c>
      <c r="D349" s="1051">
        <f t="shared" si="40"/>
        <v>6</v>
      </c>
      <c r="E349" s="1051" t="str">
        <f>IF(COUNTIF(E$333:E348,F349)&gt;0,"",F349)</f>
        <v>RER et transilien - 2019 - Ile de France, France continentale, Base Carbone</v>
      </c>
      <c r="F349" s="1051" t="str">
        <f t="shared" si="41"/>
        <v>RER et transilien - 2019 - Ile de France, France continentale, Base Carbone</v>
      </c>
      <c r="G349" s="1055" t="str">
        <f t="shared" si="42"/>
        <v>RER et transilien - 2019 - Ile de France, France continentale, Base Carbone; kgCO2e/passager.km Amont</v>
      </c>
      <c r="I349" s="2018" t="s">
        <v>3984</v>
      </c>
      <c r="J349" s="1119" t="s">
        <v>2224</v>
      </c>
      <c r="K349" s="1119" t="s">
        <v>1567</v>
      </c>
      <c r="L349" s="1119" t="s">
        <v>1571</v>
      </c>
      <c r="M349" s="1033">
        <v>0.2</v>
      </c>
      <c r="N349" s="1119" t="s">
        <v>1570</v>
      </c>
      <c r="O349" s="1036">
        <v>4.1000000000000003E-3</v>
      </c>
      <c r="P349" s="1980">
        <v>4.1000000000000003E-3</v>
      </c>
      <c r="Q349" s="1980">
        <v>0</v>
      </c>
      <c r="R349" s="1980">
        <v>0</v>
      </c>
      <c r="S349" s="1980">
        <v>0</v>
      </c>
      <c r="T349" s="1980">
        <v>0</v>
      </c>
      <c r="U349" s="2036">
        <v>0</v>
      </c>
    </row>
    <row r="350" spans="2:21" hidden="1" outlineLevel="1">
      <c r="B350" s="1050">
        <v>17</v>
      </c>
      <c r="C350" s="1050" t="str">
        <f t="shared" si="39"/>
        <v>Train de voyageurs, Finlande, Base Carbone</v>
      </c>
      <c r="D350" s="1051">
        <f t="shared" si="40"/>
        <v>6</v>
      </c>
      <c r="E350" s="1051" t="str">
        <f>IF(COUNTIF(E$333:E349,F350)&gt;0,"",F350)</f>
        <v/>
      </c>
      <c r="F350" s="1051" t="str">
        <f t="shared" si="41"/>
        <v>RER et transilien - 2019 - Ile de France, France continentale, Base Carbone</v>
      </c>
      <c r="G350" s="1055" t="str">
        <f t="shared" si="42"/>
        <v>RER et transilien - 2019 - Ile de France, France continentale, Base Carbone; kgCO2e/passager.km Combustion</v>
      </c>
      <c r="I350" s="2018" t="s">
        <v>3984</v>
      </c>
      <c r="J350" s="1119" t="s">
        <v>2224</v>
      </c>
      <c r="K350" s="1119" t="s">
        <v>1567</v>
      </c>
      <c r="L350" s="1119" t="s">
        <v>1571</v>
      </c>
      <c r="M350" s="1033">
        <v>0.2</v>
      </c>
      <c r="N350" s="1119" t="s">
        <v>1569</v>
      </c>
      <c r="O350" s="1036">
        <v>0</v>
      </c>
      <c r="P350" s="1980">
        <v>0</v>
      </c>
      <c r="Q350" s="1980">
        <v>0</v>
      </c>
      <c r="R350" s="1980">
        <v>0</v>
      </c>
      <c r="S350" s="1980">
        <v>0</v>
      </c>
      <c r="T350" s="1980">
        <v>0</v>
      </c>
      <c r="U350" s="2036">
        <v>0</v>
      </c>
    </row>
    <row r="351" spans="2:21" hidden="1" outlineLevel="1">
      <c r="B351" s="1050">
        <v>18</v>
      </c>
      <c r="C351" s="1050" t="str">
        <f t="shared" si="39"/>
        <v>Train de voyageurs, Grèce, Base Carbone</v>
      </c>
      <c r="D351" s="1051">
        <f t="shared" si="40"/>
        <v>6</v>
      </c>
      <c r="E351" s="1051" t="str">
        <f>IF(COUNTIF(E$333:E350,F351)&gt;0,"",F351)</f>
        <v/>
      </c>
      <c r="F351" s="1051" t="str">
        <f t="shared" si="41"/>
        <v>RER et transilien - 2019 - Ile de France, France continentale, Base Carbone</v>
      </c>
      <c r="G351" s="1055" t="str">
        <f t="shared" si="42"/>
        <v>RER et transilien - 2019 - Ile de France, France continentale, Base Carbone; kgCO2e/passager.km Fabrication</v>
      </c>
      <c r="I351" s="2018" t="s">
        <v>3984</v>
      </c>
      <c r="J351" s="1119" t="s">
        <v>2224</v>
      </c>
      <c r="K351" s="1119" t="s">
        <v>1567</v>
      </c>
      <c r="L351" s="1119" t="s">
        <v>1571</v>
      </c>
      <c r="M351" s="1033">
        <v>0.2</v>
      </c>
      <c r="N351" s="1119" t="s">
        <v>332</v>
      </c>
      <c r="O351" s="1036">
        <v>3.1800000000000001E-3</v>
      </c>
      <c r="P351" s="1980">
        <v>3.1800000000000001E-3</v>
      </c>
      <c r="Q351" s="1980">
        <v>0</v>
      </c>
      <c r="R351" s="1980">
        <v>0</v>
      </c>
      <c r="S351" s="1980">
        <v>0</v>
      </c>
      <c r="T351" s="1980">
        <v>0</v>
      </c>
      <c r="U351" s="2036">
        <v>0</v>
      </c>
    </row>
    <row r="352" spans="2:21" hidden="1" outlineLevel="1">
      <c r="B352" s="1050">
        <v>19</v>
      </c>
      <c r="C352" s="1050" t="str">
        <f t="shared" si="39"/>
        <v>Train de voyageurs, Irlande, Base Carbone</v>
      </c>
      <c r="D352" s="1051">
        <f t="shared" si="40"/>
        <v>7</v>
      </c>
      <c r="E352" s="1051" t="str">
        <f>IF(COUNTIF(E$333:E351,F352)&gt;0,"",F352)</f>
        <v>TER - 2018 - traction moyenne, France continentale, Base Carbone</v>
      </c>
      <c r="F352" s="1051" t="str">
        <f t="shared" si="41"/>
        <v>TER - 2018 - traction moyenne, France continentale, Base Carbone</v>
      </c>
      <c r="G352" s="1055" t="str">
        <f t="shared" si="42"/>
        <v>TER - 2018 - traction moyenne, France continentale, Base Carbone; kgCO2e/passager.km Amont</v>
      </c>
      <c r="I352" s="2018" t="s">
        <v>3985</v>
      </c>
      <c r="J352" s="1119" t="s">
        <v>2224</v>
      </c>
      <c r="K352" s="1119" t="s">
        <v>1567</v>
      </c>
      <c r="L352" s="1119" t="s">
        <v>1571</v>
      </c>
      <c r="M352" s="1033">
        <v>0.6</v>
      </c>
      <c r="N352" s="1119" t="s">
        <v>1570</v>
      </c>
      <c r="O352" s="2510">
        <v>2.6499999999999999E-2</v>
      </c>
      <c r="P352" s="1980">
        <v>2.6499999999999999E-2</v>
      </c>
      <c r="Q352" s="1980">
        <v>0</v>
      </c>
      <c r="R352" s="1980">
        <v>0</v>
      </c>
      <c r="S352" s="1980">
        <v>0</v>
      </c>
      <c r="T352" s="1980">
        <v>0</v>
      </c>
      <c r="U352" s="2036">
        <v>0</v>
      </c>
    </row>
    <row r="353" spans="2:21" hidden="1" outlineLevel="1">
      <c r="B353" s="1050">
        <v>20</v>
      </c>
      <c r="C353" s="1050" t="str">
        <f t="shared" si="39"/>
        <v>Train de voyageurs, Italie, Base Carbone</v>
      </c>
      <c r="D353" s="1051">
        <f t="shared" si="40"/>
        <v>7</v>
      </c>
      <c r="E353" s="1051" t="str">
        <f>IF(COUNTIF(E$333:E352,F353)&gt;0,"",F353)</f>
        <v/>
      </c>
      <c r="F353" s="1051" t="str">
        <f t="shared" si="41"/>
        <v>TER - 2018 - traction moyenne, France continentale, Base Carbone</v>
      </c>
      <c r="G353" s="1055" t="str">
        <f t="shared" si="42"/>
        <v>TER - 2018 - traction moyenne, France continentale, Base Carbone; kgCO2e/passager.km Combustion</v>
      </c>
      <c r="I353" s="2018" t="s">
        <v>3985</v>
      </c>
      <c r="J353" s="1119" t="s">
        <v>2224</v>
      </c>
      <c r="K353" s="1119" t="s">
        <v>1567</v>
      </c>
      <c r="L353" s="1119" t="s">
        <v>1571</v>
      </c>
      <c r="M353" s="1033">
        <v>0.6</v>
      </c>
      <c r="N353" s="1119" t="s">
        <v>1569</v>
      </c>
      <c r="O353" s="2510">
        <v>0</v>
      </c>
      <c r="P353" s="1980">
        <v>0</v>
      </c>
      <c r="Q353" s="1980">
        <v>0</v>
      </c>
      <c r="R353" s="1980">
        <v>0</v>
      </c>
      <c r="S353" s="1980">
        <v>0</v>
      </c>
      <c r="T353" s="1980">
        <v>0</v>
      </c>
      <c r="U353" s="2036">
        <v>0</v>
      </c>
    </row>
    <row r="354" spans="2:21" hidden="1" outlineLevel="1">
      <c r="B354" s="1050">
        <v>21</v>
      </c>
      <c r="C354" s="1050" t="str">
        <f t="shared" si="39"/>
        <v>Train de voyageurs, Luxembourg, Base Carbone</v>
      </c>
      <c r="D354" s="1051">
        <f t="shared" si="40"/>
        <v>7</v>
      </c>
      <c r="E354" s="1051" t="str">
        <f>IF(COUNTIF(E$333:E353,F354)&gt;0,"",F354)</f>
        <v/>
      </c>
      <c r="F354" s="1051" t="str">
        <f t="shared" si="41"/>
        <v>TER - 2018 - traction moyenne, France continentale, Base Carbone</v>
      </c>
      <c r="G354" s="1055" t="str">
        <f t="shared" si="42"/>
        <v>TER - 2018 - traction moyenne, France continentale, Base Carbone; kgCO2e/passager.km Fabrication</v>
      </c>
      <c r="I354" s="2018" t="s">
        <v>3985</v>
      </c>
      <c r="J354" s="1119" t="s">
        <v>2224</v>
      </c>
      <c r="K354" s="1119" t="s">
        <v>1567</v>
      </c>
      <c r="L354" s="1119" t="s">
        <v>1571</v>
      </c>
      <c r="M354" s="1033">
        <v>0.6</v>
      </c>
      <c r="N354" s="1119" t="s">
        <v>332</v>
      </c>
      <c r="O354" s="2510">
        <v>4.79E-3</v>
      </c>
      <c r="P354" s="1980">
        <v>4.79E-3</v>
      </c>
      <c r="Q354" s="1980">
        <v>0</v>
      </c>
      <c r="R354" s="1980">
        <v>0</v>
      </c>
      <c r="S354" s="1980">
        <v>0</v>
      </c>
      <c r="T354" s="1980">
        <v>0</v>
      </c>
      <c r="U354" s="2036">
        <v>0</v>
      </c>
    </row>
    <row r="355" spans="2:21" hidden="1" outlineLevel="1">
      <c r="B355" s="1050">
        <v>22</v>
      </c>
      <c r="C355" s="1050" t="str">
        <f t="shared" si="39"/>
        <v>Train de voyageurs, Norvège, Base Carbone</v>
      </c>
      <c r="D355" s="1051">
        <f t="shared" si="40"/>
        <v>8</v>
      </c>
      <c r="E355" s="1051" t="str">
        <f>IF(COUNTIF(E$333:E354,F355)&gt;0,"",F355)</f>
        <v>TER - 2019 - traction moyenne, France continentale, Base Carbone</v>
      </c>
      <c r="F355" s="1051" t="str">
        <f t="shared" si="41"/>
        <v>TER - 2019 - traction moyenne, France continentale, Base Carbone</v>
      </c>
      <c r="G355" s="1055" t="str">
        <f t="shared" si="42"/>
        <v>TER - 2019 - traction moyenne, France continentale, Base Carbone; kgCO2e/passager.km Amont</v>
      </c>
      <c r="I355" s="2018" t="s">
        <v>3986</v>
      </c>
      <c r="J355" s="1119" t="s">
        <v>2224</v>
      </c>
      <c r="K355" s="1119" t="s">
        <v>1567</v>
      </c>
      <c r="L355" s="1119" t="s">
        <v>1571</v>
      </c>
      <c r="M355" s="1033">
        <v>0.6</v>
      </c>
      <c r="N355" s="1119" t="s">
        <v>1570</v>
      </c>
      <c r="O355" s="2510">
        <v>2.4799999999999999E-2</v>
      </c>
      <c r="P355" s="1980">
        <v>2.4799999999999999E-2</v>
      </c>
      <c r="Q355" s="1980">
        <v>0</v>
      </c>
      <c r="R355" s="1980">
        <v>0</v>
      </c>
      <c r="S355" s="1980">
        <v>0</v>
      </c>
      <c r="T355" s="1980">
        <v>0</v>
      </c>
      <c r="U355" s="2036">
        <v>0</v>
      </c>
    </row>
    <row r="356" spans="2:21" hidden="1" outlineLevel="1">
      <c r="B356" s="1050">
        <v>23</v>
      </c>
      <c r="C356" s="1050" t="str">
        <f t="shared" si="39"/>
        <v>Train de voyageurs, Pays-Bas, Base Carbone</v>
      </c>
      <c r="D356" s="1051">
        <f t="shared" si="40"/>
        <v>8</v>
      </c>
      <c r="E356" s="1051" t="str">
        <f>IF(COUNTIF(E$333:E355,F356)&gt;0,"",F356)</f>
        <v/>
      </c>
      <c r="F356" s="1051" t="str">
        <f t="shared" si="41"/>
        <v>TER - 2019 - traction moyenne, France continentale, Base Carbone</v>
      </c>
      <c r="G356" s="1055" t="str">
        <f t="shared" si="42"/>
        <v>TER - 2019 - traction moyenne, France continentale, Base Carbone; kgCO2e/passager.km Combustion</v>
      </c>
      <c r="I356" s="2018" t="s">
        <v>3986</v>
      </c>
      <c r="J356" s="1119" t="s">
        <v>2224</v>
      </c>
      <c r="K356" s="1119" t="s">
        <v>1567</v>
      </c>
      <c r="L356" s="1119" t="s">
        <v>1571</v>
      </c>
      <c r="M356" s="1033">
        <v>0.6</v>
      </c>
      <c r="N356" s="1119" t="s">
        <v>1569</v>
      </c>
      <c r="O356" s="2510">
        <v>0</v>
      </c>
      <c r="P356" s="1980">
        <v>0</v>
      </c>
      <c r="Q356" s="1980">
        <v>0</v>
      </c>
      <c r="R356" s="1980">
        <v>0</v>
      </c>
      <c r="S356" s="1980">
        <v>0</v>
      </c>
      <c r="T356" s="1980">
        <v>0</v>
      </c>
      <c r="U356" s="2036">
        <v>0</v>
      </c>
    </row>
    <row r="357" spans="2:21" hidden="1" outlineLevel="1">
      <c r="B357" s="1050">
        <v>24</v>
      </c>
      <c r="C357" s="1050" t="str">
        <f t="shared" si="39"/>
        <v>Train de voyageurs, Portugal, Base Carbone</v>
      </c>
      <c r="D357" s="1051">
        <f t="shared" si="40"/>
        <v>8</v>
      </c>
      <c r="E357" s="1051" t="str">
        <f>IF(COUNTIF(E$333:E356,F357)&gt;0,"",F357)</f>
        <v/>
      </c>
      <c r="F357" s="1051" t="str">
        <f t="shared" si="41"/>
        <v>TER - 2019 - traction moyenne, France continentale, Base Carbone</v>
      </c>
      <c r="G357" s="1055" t="str">
        <f t="shared" si="42"/>
        <v>TER - 2019 - traction moyenne, France continentale, Base Carbone; kgCO2e/passager.km Fabrication</v>
      </c>
      <c r="I357" s="2018" t="s">
        <v>3986</v>
      </c>
      <c r="J357" s="1119" t="s">
        <v>2224</v>
      </c>
      <c r="K357" s="1119" t="s">
        <v>1567</v>
      </c>
      <c r="L357" s="1119" t="s">
        <v>1571</v>
      </c>
      <c r="M357" s="1033">
        <v>0.6</v>
      </c>
      <c r="N357" s="1119" t="s">
        <v>332</v>
      </c>
      <c r="O357" s="2510">
        <v>4.79E-3</v>
      </c>
      <c r="P357" s="1980">
        <v>4.79E-3</v>
      </c>
      <c r="Q357" s="1980">
        <v>0</v>
      </c>
      <c r="R357" s="1980">
        <v>0</v>
      </c>
      <c r="S357" s="1980">
        <v>0</v>
      </c>
      <c r="T357" s="1980">
        <v>0</v>
      </c>
      <c r="U357" s="2036">
        <v>0</v>
      </c>
    </row>
    <row r="358" spans="2:21" hidden="1" outlineLevel="1">
      <c r="B358" s="1050">
        <v>25</v>
      </c>
      <c r="C358" s="1050" t="str">
        <f t="shared" si="39"/>
        <v>Train de voyageurs, Royaume-Uni, Base Carbone</v>
      </c>
      <c r="D358" s="1051">
        <f t="shared" si="40"/>
        <v>9</v>
      </c>
      <c r="E358" s="1051" t="str">
        <f>IF(COUNTIF(E$333:E357,F358)&gt;0,"",F358)</f>
        <v>TGV - 2018, France continentale, Base Carbone</v>
      </c>
      <c r="F358" s="1051" t="str">
        <f t="shared" si="41"/>
        <v>TGV - 2018, France continentale, Base Carbone</v>
      </c>
      <c r="G358" s="1055" t="str">
        <f t="shared" si="42"/>
        <v>TGV - 2018, France continentale, Base Carbone; kgCO2e/passager.km Amont</v>
      </c>
      <c r="I358" s="2018" t="s">
        <v>3987</v>
      </c>
      <c r="J358" s="1119" t="s">
        <v>2224</v>
      </c>
      <c r="K358" s="1119" t="s">
        <v>1567</v>
      </c>
      <c r="L358" s="1119" t="s">
        <v>1571</v>
      </c>
      <c r="M358" s="1033">
        <v>0.2</v>
      </c>
      <c r="N358" s="1119" t="s">
        <v>1570</v>
      </c>
      <c r="O358" s="2510">
        <v>1.9E-3</v>
      </c>
      <c r="P358" s="1980">
        <v>1.9E-3</v>
      </c>
      <c r="Q358" s="1980">
        <v>0</v>
      </c>
      <c r="R358" s="1980">
        <v>0</v>
      </c>
      <c r="S358" s="1980">
        <v>0</v>
      </c>
      <c r="T358" s="1980">
        <v>0</v>
      </c>
      <c r="U358" s="2036">
        <v>0</v>
      </c>
    </row>
    <row r="359" spans="2:21" hidden="1" outlineLevel="1">
      <c r="B359" s="1050">
        <v>26</v>
      </c>
      <c r="C359" s="1050" t="str">
        <f t="shared" si="39"/>
        <v>Train de voyageurs, Suède, Base Carbone</v>
      </c>
      <c r="D359" s="1051">
        <f t="shared" si="40"/>
        <v>9</v>
      </c>
      <c r="E359" s="1051" t="str">
        <f>IF(COUNTIF(E$333:E358,F359)&gt;0,"",F359)</f>
        <v/>
      </c>
      <c r="F359" s="1051" t="str">
        <f t="shared" si="41"/>
        <v>TGV - 2018, France continentale, Base Carbone</v>
      </c>
      <c r="G359" s="1055" t="str">
        <f t="shared" si="42"/>
        <v>TGV - 2018, France continentale, Base Carbone; kgCO2e/passager.km Combustion</v>
      </c>
      <c r="I359" s="2018" t="s">
        <v>3987</v>
      </c>
      <c r="J359" s="1119" t="s">
        <v>2224</v>
      </c>
      <c r="K359" s="1119" t="s">
        <v>1567</v>
      </c>
      <c r="L359" s="1119" t="s">
        <v>1571</v>
      </c>
      <c r="M359" s="1033">
        <v>0.2</v>
      </c>
      <c r="N359" s="1119" t="s">
        <v>1569</v>
      </c>
      <c r="O359" s="2510">
        <v>0</v>
      </c>
      <c r="P359" s="1980">
        <v>0</v>
      </c>
      <c r="Q359" s="1980">
        <v>0</v>
      </c>
      <c r="R359" s="1980">
        <v>0</v>
      </c>
      <c r="S359" s="1980">
        <v>0</v>
      </c>
      <c r="T359" s="1980">
        <v>0</v>
      </c>
      <c r="U359" s="2036">
        <v>0</v>
      </c>
    </row>
    <row r="360" spans="2:21" hidden="1" outlineLevel="1">
      <c r="B360" s="1050">
        <v>27</v>
      </c>
      <c r="C360" s="1050" t="str">
        <f t="shared" si="39"/>
        <v>Train de voyageurs, Suisse, Base Carbone</v>
      </c>
      <c r="D360" s="1051">
        <f t="shared" si="40"/>
        <v>9</v>
      </c>
      <c r="E360" s="1051" t="str">
        <f>IF(COUNTIF(E$333:E359,F360)&gt;0,"",F360)</f>
        <v/>
      </c>
      <c r="F360" s="1051" t="str">
        <f t="shared" si="41"/>
        <v>TGV - 2018, France continentale, Base Carbone</v>
      </c>
      <c r="G360" s="1055" t="str">
        <f t="shared" si="42"/>
        <v>TGV - 2018, France continentale, Base Carbone; kgCO2e/passager.km Fabrication</v>
      </c>
      <c r="I360" s="2018" t="s">
        <v>3987</v>
      </c>
      <c r="J360" s="1119" t="s">
        <v>2224</v>
      </c>
      <c r="K360" s="1119" t="s">
        <v>1567</v>
      </c>
      <c r="L360" s="1119" t="s">
        <v>1571</v>
      </c>
      <c r="M360" s="1033">
        <v>0.2</v>
      </c>
      <c r="N360" s="1119" t="s">
        <v>332</v>
      </c>
      <c r="O360" s="2510">
        <v>6.3000000000000003E-4</v>
      </c>
      <c r="P360" s="1980">
        <v>6.3000000000000003E-4</v>
      </c>
      <c r="Q360" s="1980">
        <v>0</v>
      </c>
      <c r="R360" s="1980">
        <v>0</v>
      </c>
      <c r="S360" s="1980">
        <v>0</v>
      </c>
      <c r="T360" s="1980">
        <v>0</v>
      </c>
      <c r="U360" s="2036">
        <v>0</v>
      </c>
    </row>
    <row r="361" spans="2:21" hidden="1" outlineLevel="1">
      <c r="B361" s="1050">
        <v>28</v>
      </c>
      <c r="C361" s="1050" t="str">
        <f t="shared" si="39"/>
        <v>Train grandes lignes - 2018, France continentale, Base Carbone</v>
      </c>
      <c r="D361" s="1051">
        <f t="shared" si="40"/>
        <v>10</v>
      </c>
      <c r="E361" s="1051" t="str">
        <f>IF(COUNTIF(E$333:E360,F361)&gt;0,"",F361)</f>
        <v>TGV - 2019, France continentale, Base Carbone</v>
      </c>
      <c r="F361" s="1051" t="str">
        <f t="shared" si="41"/>
        <v>TGV - 2019, France continentale, Base Carbone</v>
      </c>
      <c r="G361" s="1055" t="str">
        <f t="shared" si="42"/>
        <v>TGV - 2019, France continentale, Base Carbone; kgCO2e/passager.km Amont</v>
      </c>
      <c r="I361" s="2018" t="s">
        <v>3988</v>
      </c>
      <c r="J361" s="1119" t="s">
        <v>2224</v>
      </c>
      <c r="K361" s="1119" t="s">
        <v>1567</v>
      </c>
      <c r="L361" s="1119" t="s">
        <v>1571</v>
      </c>
      <c r="M361" s="1033">
        <v>0.2</v>
      </c>
      <c r="N361" s="1119" t="s">
        <v>1570</v>
      </c>
      <c r="O361" s="2510">
        <v>1.73E-3</v>
      </c>
      <c r="P361" s="1980">
        <v>1.73E-3</v>
      </c>
      <c r="Q361" s="1980">
        <v>0</v>
      </c>
      <c r="R361" s="1980">
        <v>0</v>
      </c>
      <c r="S361" s="1980">
        <v>0</v>
      </c>
      <c r="T361" s="1980">
        <v>0</v>
      </c>
      <c r="U361" s="2036">
        <v>0</v>
      </c>
    </row>
    <row r="362" spans="2:21" hidden="1" outlineLevel="1">
      <c r="B362" s="1050">
        <v>29</v>
      </c>
      <c r="C362" s="1050" t="str">
        <f t="shared" si="39"/>
        <v>Train grandes lignes - 2019, France continentale, Base Carbone</v>
      </c>
      <c r="D362" s="1051">
        <f t="shared" si="40"/>
        <v>10</v>
      </c>
      <c r="E362" s="1051" t="str">
        <f>IF(COUNTIF(E$333:E361,F362)&gt;0,"",F362)</f>
        <v/>
      </c>
      <c r="F362" s="1051" t="str">
        <f t="shared" si="41"/>
        <v>TGV - 2019, France continentale, Base Carbone</v>
      </c>
      <c r="G362" s="1055" t="str">
        <f t="shared" si="42"/>
        <v>TGV - 2019, France continentale, Base Carbone; kgCO2e/passager.km Combustion</v>
      </c>
      <c r="I362" s="2018" t="s">
        <v>3988</v>
      </c>
      <c r="J362" s="1119" t="s">
        <v>2224</v>
      </c>
      <c r="K362" s="1119" t="s">
        <v>1567</v>
      </c>
      <c r="L362" s="1119" t="s">
        <v>1571</v>
      </c>
      <c r="M362" s="1033">
        <v>0.2</v>
      </c>
      <c r="N362" s="1119" t="s">
        <v>1569</v>
      </c>
      <c r="O362" s="2510">
        <v>0</v>
      </c>
      <c r="P362" s="1980">
        <v>0</v>
      </c>
      <c r="Q362" s="1980">
        <v>0</v>
      </c>
      <c r="R362" s="1980">
        <v>0</v>
      </c>
      <c r="S362" s="1980">
        <v>0</v>
      </c>
      <c r="T362" s="1980">
        <v>0</v>
      </c>
      <c r="U362" s="2036">
        <v>0</v>
      </c>
    </row>
    <row r="363" spans="2:21" hidden="1" outlineLevel="1">
      <c r="B363" s="1050">
        <v>30</v>
      </c>
      <c r="C363" s="1050" t="str">
        <f t="shared" si="39"/>
        <v>Tramway - 2018 - Ile de France, France continentale, Base Carbone</v>
      </c>
      <c r="D363" s="1051">
        <f t="shared" si="40"/>
        <v>10</v>
      </c>
      <c r="E363" s="1051" t="str">
        <f>IF(COUNTIF(E$333:E362,F363)&gt;0,"",F363)</f>
        <v/>
      </c>
      <c r="F363" s="1051" t="str">
        <f t="shared" si="41"/>
        <v>TGV - 2019, France continentale, Base Carbone</v>
      </c>
      <c r="G363" s="1055" t="str">
        <f t="shared" si="42"/>
        <v>TGV - 2019, France continentale, Base Carbone; kgCO2e/passager.km Fabrication</v>
      </c>
      <c r="I363" s="2018" t="s">
        <v>3988</v>
      </c>
      <c r="J363" s="1119" t="s">
        <v>2224</v>
      </c>
      <c r="K363" s="1119" t="s">
        <v>1567</v>
      </c>
      <c r="L363" s="1119" t="s">
        <v>1571</v>
      </c>
      <c r="M363" s="1033">
        <v>0.2</v>
      </c>
      <c r="N363" s="1119" t="s">
        <v>332</v>
      </c>
      <c r="O363" s="2510">
        <v>6.3000000000000003E-4</v>
      </c>
      <c r="P363" s="1980">
        <v>6.3000000000000003E-4</v>
      </c>
      <c r="Q363" s="1980">
        <v>0</v>
      </c>
      <c r="R363" s="1980">
        <v>0</v>
      </c>
      <c r="S363" s="1980">
        <v>0</v>
      </c>
      <c r="T363" s="1980">
        <v>0</v>
      </c>
      <c r="U363" s="2036">
        <v>0</v>
      </c>
    </row>
    <row r="364" spans="2:21" hidden="1" outlineLevel="1">
      <c r="B364" s="1050">
        <v>31</v>
      </c>
      <c r="C364" s="1050" t="str">
        <f t="shared" si="39"/>
        <v>Tramway - 2019 - Ile de France, France continentale, Base Carbone</v>
      </c>
      <c r="D364" s="1051">
        <f t="shared" si="40"/>
        <v>11</v>
      </c>
      <c r="E364" s="1051" t="str">
        <f>IF(COUNTIF(E$333:E363,F364)&gt;0,"",F364)</f>
        <v>Train de voyageurs, Corse, Base Carbone</v>
      </c>
      <c r="F364" s="1051" t="str">
        <f t="shared" si="41"/>
        <v>Train de voyageurs, Corse, Base Carbone</v>
      </c>
      <c r="G364" s="1055" t="str">
        <f t="shared" si="42"/>
        <v>Train de voyageurs, Corse, Base Carbone; kgCO2e/passager.km Amont</v>
      </c>
      <c r="I364" s="2018" t="s">
        <v>2229</v>
      </c>
      <c r="J364" s="1119" t="s">
        <v>2224</v>
      </c>
      <c r="K364" s="1119" t="s">
        <v>1567</v>
      </c>
      <c r="L364" s="1119" t="s">
        <v>251</v>
      </c>
      <c r="M364" s="1033">
        <v>0.2</v>
      </c>
      <c r="N364" s="1119" t="s">
        <v>1570</v>
      </c>
      <c r="O364" s="1036">
        <v>0.187</v>
      </c>
      <c r="P364" s="1036">
        <v>0.187</v>
      </c>
      <c r="Q364" s="1036">
        <v>0</v>
      </c>
      <c r="R364" s="1036">
        <v>0</v>
      </c>
      <c r="S364" s="1036">
        <v>0</v>
      </c>
      <c r="T364" s="1036">
        <v>0</v>
      </c>
      <c r="U364" s="1037">
        <v>0</v>
      </c>
    </row>
    <row r="365" spans="2:21" hidden="1" outlineLevel="1">
      <c r="B365" s="1050">
        <v>32</v>
      </c>
      <c r="C365" s="1050" t="str">
        <f t="shared" si="39"/>
        <v>-</v>
      </c>
      <c r="D365" s="1051">
        <f t="shared" si="40"/>
        <v>11</v>
      </c>
      <c r="E365" s="1051" t="str">
        <f>IF(COUNTIF(E$333:E364,F365)&gt;0,"",F365)</f>
        <v/>
      </c>
      <c r="F365" s="1051" t="str">
        <f t="shared" si="41"/>
        <v>Train de voyageurs, Corse, Base Carbone</v>
      </c>
      <c r="G365" s="1055" t="str">
        <f t="shared" si="42"/>
        <v>Train de voyageurs, Corse, Base Carbone; kgCO2e/passager.km Combustion</v>
      </c>
      <c r="I365" s="2018" t="s">
        <v>2229</v>
      </c>
      <c r="J365" s="1119" t="s">
        <v>2224</v>
      </c>
      <c r="K365" s="1119" t="s">
        <v>1567</v>
      </c>
      <c r="L365" s="1119" t="s">
        <v>251</v>
      </c>
      <c r="M365" s="1033">
        <v>0.2</v>
      </c>
      <c r="N365" s="1119" t="s">
        <v>1569</v>
      </c>
      <c r="O365" s="1036">
        <v>0</v>
      </c>
      <c r="P365" s="1036">
        <v>0</v>
      </c>
      <c r="Q365" s="1036">
        <v>0</v>
      </c>
      <c r="R365" s="1036">
        <v>0</v>
      </c>
      <c r="S365" s="1036">
        <v>0</v>
      </c>
      <c r="T365" s="1036">
        <v>0</v>
      </c>
      <c r="U365" s="1037">
        <v>0</v>
      </c>
    </row>
    <row r="366" spans="2:21" hidden="1" outlineLevel="1">
      <c r="B366" s="1050">
        <v>33</v>
      </c>
      <c r="C366" s="1050" t="str">
        <f t="shared" si="39"/>
        <v>-</v>
      </c>
      <c r="D366" s="1051">
        <f t="shared" si="40"/>
        <v>11</v>
      </c>
      <c r="E366" s="1051" t="str">
        <f>IF(COUNTIF(E$333:E365,F366)&gt;0,"",F366)</f>
        <v/>
      </c>
      <c r="F366" s="1051" t="str">
        <f t="shared" si="41"/>
        <v>Train de voyageurs, Corse, Base Carbone</v>
      </c>
      <c r="G366" s="1055" t="str">
        <f t="shared" si="42"/>
        <v>Train de voyageurs, Corse, Base Carbone; kgCO2e/passager.km Fabrication</v>
      </c>
      <c r="I366" s="2018" t="s">
        <v>2229</v>
      </c>
      <c r="J366" s="1119" t="s">
        <v>2224</v>
      </c>
      <c r="K366" s="1119" t="s">
        <v>1567</v>
      </c>
      <c r="L366" s="1119" t="s">
        <v>251</v>
      </c>
      <c r="M366" s="1033">
        <v>0.2</v>
      </c>
      <c r="N366" s="1119" t="s">
        <v>332</v>
      </c>
      <c r="O366" s="1036">
        <v>4.79E-3</v>
      </c>
      <c r="P366" s="1036">
        <v>4.79E-3</v>
      </c>
      <c r="Q366" s="1036">
        <v>0</v>
      </c>
      <c r="R366" s="1036">
        <v>0</v>
      </c>
      <c r="S366" s="1036">
        <v>0</v>
      </c>
      <c r="T366" s="1036">
        <v>0</v>
      </c>
      <c r="U366" s="1037">
        <v>0</v>
      </c>
    </row>
    <row r="367" spans="2:21" hidden="1" outlineLevel="1">
      <c r="B367" s="1050">
        <v>34</v>
      </c>
      <c r="C367" s="1050" t="str">
        <f t="shared" si="39"/>
        <v>-</v>
      </c>
      <c r="D367" s="1051">
        <f t="shared" si="40"/>
        <v>12</v>
      </c>
      <c r="E367" s="1051" t="str">
        <f>IF(COUNTIF(E$333:E366,F367)&gt;0,"",F367)</f>
        <v>Train de voyageurs, Allemagne, Base Carbone</v>
      </c>
      <c r="F367" s="1051" t="str">
        <f t="shared" si="41"/>
        <v>Train de voyageurs, Allemagne, Base Carbone</v>
      </c>
      <c r="G367" s="1055" t="str">
        <f t="shared" si="42"/>
        <v>Train de voyageurs, Allemagne, Base Carbone; kgCO2e/passager.km Amont</v>
      </c>
      <c r="I367" s="2018" t="s">
        <v>2229</v>
      </c>
      <c r="J367" s="1119" t="s">
        <v>2224</v>
      </c>
      <c r="K367" s="1119" t="s">
        <v>1567</v>
      </c>
      <c r="L367" s="1119" t="s">
        <v>1057</v>
      </c>
      <c r="M367" s="1033">
        <v>0.2</v>
      </c>
      <c r="N367" s="2017" t="s">
        <v>1570</v>
      </c>
      <c r="O367" s="1036">
        <v>6.6799999999999998E-2</v>
      </c>
      <c r="P367" s="1036">
        <v>6.6799999999999998E-2</v>
      </c>
      <c r="Q367" s="1980">
        <v>0</v>
      </c>
      <c r="R367" s="1980">
        <v>0</v>
      </c>
      <c r="S367" s="1980">
        <v>0</v>
      </c>
      <c r="T367" s="1980">
        <v>0</v>
      </c>
      <c r="U367" s="2036">
        <v>0</v>
      </c>
    </row>
    <row r="368" spans="2:21" hidden="1" outlineLevel="1">
      <c r="B368" s="1050">
        <v>35</v>
      </c>
      <c r="C368" s="1050" t="str">
        <f t="shared" si="39"/>
        <v>-</v>
      </c>
      <c r="D368" s="1051">
        <f t="shared" si="40"/>
        <v>13</v>
      </c>
      <c r="E368" s="1051" t="str">
        <f>IF(COUNTIF(E$333:E367,F368)&gt;0,"",F368)</f>
        <v>Train de voyageurs, Autriche, Base Carbone</v>
      </c>
      <c r="F368" s="1051" t="str">
        <f t="shared" si="41"/>
        <v>Train de voyageurs, Autriche, Base Carbone</v>
      </c>
      <c r="G368" s="1055" t="str">
        <f t="shared" si="42"/>
        <v>Train de voyageurs, Autriche, Base Carbone; kgCO2e/passager.km Amont</v>
      </c>
      <c r="I368" s="2018" t="s">
        <v>2229</v>
      </c>
      <c r="J368" s="1119" t="s">
        <v>2224</v>
      </c>
      <c r="K368" s="1119" t="s">
        <v>1567</v>
      </c>
      <c r="L368" s="1119" t="s">
        <v>1064</v>
      </c>
      <c r="M368" s="1033">
        <v>0.2</v>
      </c>
      <c r="N368" s="2017" t="s">
        <v>1570</v>
      </c>
      <c r="O368" s="1036">
        <v>2.35E-2</v>
      </c>
      <c r="P368" s="1036">
        <v>2.35E-2</v>
      </c>
      <c r="Q368" s="1980">
        <v>0</v>
      </c>
      <c r="R368" s="1980">
        <v>0</v>
      </c>
      <c r="S368" s="1980">
        <v>0</v>
      </c>
      <c r="T368" s="1980">
        <v>0</v>
      </c>
      <c r="U368" s="2036">
        <v>0</v>
      </c>
    </row>
    <row r="369" spans="2:21" hidden="1" outlineLevel="1">
      <c r="B369" s="1050"/>
      <c r="C369" s="1050"/>
      <c r="D369" s="1051">
        <f t="shared" si="40"/>
        <v>14</v>
      </c>
      <c r="E369" s="1051" t="str">
        <f>IF(COUNTIF(E$333:E368,F369)&gt;0,"",F369)</f>
        <v>Train de voyageurs, Belgique, Base Carbone</v>
      </c>
      <c r="F369" s="1051" t="str">
        <f t="shared" si="41"/>
        <v>Train de voyageurs, Belgique, Base Carbone</v>
      </c>
      <c r="G369" s="1055" t="str">
        <f t="shared" si="42"/>
        <v>Train de voyageurs, Belgique, Base Carbone; kgCO2e/passager.km Amont</v>
      </c>
      <c r="I369" s="2018" t="s">
        <v>2229</v>
      </c>
      <c r="J369" s="1119" t="s">
        <v>2224</v>
      </c>
      <c r="K369" s="1119" t="s">
        <v>1567</v>
      </c>
      <c r="L369" s="1119" t="s">
        <v>1069</v>
      </c>
      <c r="M369" s="1033">
        <v>0.2</v>
      </c>
      <c r="N369" s="2017" t="s">
        <v>1570</v>
      </c>
      <c r="O369" s="1036">
        <v>4.8399999999999999E-2</v>
      </c>
      <c r="P369" s="1036">
        <v>4.8399999999999999E-2</v>
      </c>
      <c r="Q369" s="1980">
        <v>0</v>
      </c>
      <c r="R369" s="1980">
        <v>0</v>
      </c>
      <c r="S369" s="1980">
        <v>0</v>
      </c>
      <c r="T369" s="1980">
        <v>0</v>
      </c>
      <c r="U369" s="2036">
        <v>0</v>
      </c>
    </row>
    <row r="370" spans="2:21" hidden="1" outlineLevel="1">
      <c r="B370" s="1050"/>
      <c r="C370" s="1050"/>
      <c r="D370" s="1051">
        <f t="shared" si="40"/>
        <v>15</v>
      </c>
      <c r="E370" s="1051" t="str">
        <f>IF(COUNTIF(E$333:E369,F370)&gt;0,"",F370)</f>
        <v>Train de voyageurs, Danemark, Base Carbone</v>
      </c>
      <c r="F370" s="1051" t="str">
        <f t="shared" si="41"/>
        <v>Train de voyageurs, Danemark, Base Carbone</v>
      </c>
      <c r="G370" s="1055" t="str">
        <f t="shared" si="42"/>
        <v>Train de voyageurs, Danemark, Base Carbone; kgCO2e/passager.km Amont</v>
      </c>
      <c r="I370" s="2018" t="s">
        <v>2229</v>
      </c>
      <c r="J370" s="1119" t="s">
        <v>2224</v>
      </c>
      <c r="K370" s="1119" t="s">
        <v>1567</v>
      </c>
      <c r="L370" s="1119" t="s">
        <v>1090</v>
      </c>
      <c r="M370" s="1033">
        <v>0.2</v>
      </c>
      <c r="N370" s="2017" t="s">
        <v>1570</v>
      </c>
      <c r="O370" s="1036">
        <v>0.114</v>
      </c>
      <c r="P370" s="1036">
        <v>0.114</v>
      </c>
      <c r="Q370" s="1980">
        <v>0</v>
      </c>
      <c r="R370" s="1980">
        <v>0</v>
      </c>
      <c r="S370" s="1980">
        <v>0</v>
      </c>
      <c r="T370" s="1980">
        <v>0</v>
      </c>
      <c r="U370" s="2036">
        <v>0</v>
      </c>
    </row>
    <row r="371" spans="2:21" hidden="1" outlineLevel="1">
      <c r="B371" s="1050"/>
      <c r="C371" s="1050"/>
      <c r="D371" s="1051">
        <f t="shared" si="40"/>
        <v>16</v>
      </c>
      <c r="E371" s="1051" t="str">
        <f>IF(COUNTIF(E$333:E370,F371)&gt;0,"",F371)</f>
        <v>Train de voyageurs, Espagne, Base Carbone</v>
      </c>
      <c r="F371" s="1051" t="str">
        <f t="shared" si="41"/>
        <v>Train de voyageurs, Espagne, Base Carbone</v>
      </c>
      <c r="G371" s="1055" t="str">
        <f t="shared" si="42"/>
        <v>Train de voyageurs, Espagne, Base Carbone; kgCO2e/passager.km Amont</v>
      </c>
      <c r="I371" s="2018" t="s">
        <v>2229</v>
      </c>
      <c r="J371" s="1119" t="s">
        <v>2224</v>
      </c>
      <c r="K371" s="1119" t="s">
        <v>1567</v>
      </c>
      <c r="L371" s="1119" t="s">
        <v>1096</v>
      </c>
      <c r="M371" s="1033">
        <v>0.2</v>
      </c>
      <c r="N371" s="2017" t="s">
        <v>1570</v>
      </c>
      <c r="O371" s="1036">
        <v>5.1400000000000001E-2</v>
      </c>
      <c r="P371" s="1036">
        <v>5.1400000000000001E-2</v>
      </c>
      <c r="Q371" s="1980">
        <v>0</v>
      </c>
      <c r="R371" s="1980">
        <v>0</v>
      </c>
      <c r="S371" s="1980">
        <v>0</v>
      </c>
      <c r="T371" s="1980">
        <v>0</v>
      </c>
      <c r="U371" s="2036">
        <v>0</v>
      </c>
    </row>
    <row r="372" spans="2:21" hidden="1" outlineLevel="1">
      <c r="B372" s="1050"/>
      <c r="C372" s="1050"/>
      <c r="D372" s="1051">
        <f t="shared" si="40"/>
        <v>17</v>
      </c>
      <c r="E372" s="1051" t="str">
        <f>IF(COUNTIF(E$333:E371,F372)&gt;0,"",F372)</f>
        <v>Train de voyageurs, Finlande, Base Carbone</v>
      </c>
      <c r="F372" s="1051" t="str">
        <f t="shared" si="41"/>
        <v>Train de voyageurs, Finlande, Base Carbone</v>
      </c>
      <c r="G372" s="1055" t="str">
        <f t="shared" si="42"/>
        <v>Train de voyageurs, Finlande, Base Carbone; kgCO2e/passager.km Amont</v>
      </c>
      <c r="I372" s="2018" t="s">
        <v>2229</v>
      </c>
      <c r="J372" s="1119" t="s">
        <v>2224</v>
      </c>
      <c r="K372" s="1119" t="s">
        <v>1567</v>
      </c>
      <c r="L372" s="1119" t="s">
        <v>1100</v>
      </c>
      <c r="M372" s="1033">
        <v>0.2</v>
      </c>
      <c r="N372" s="2017" t="s">
        <v>1570</v>
      </c>
      <c r="O372" s="1036">
        <v>4.5199999999999997E-2</v>
      </c>
      <c r="P372" s="1036">
        <v>4.5199999999999997E-2</v>
      </c>
      <c r="Q372" s="1980">
        <v>0</v>
      </c>
      <c r="R372" s="1980">
        <v>0</v>
      </c>
      <c r="S372" s="1980">
        <v>0</v>
      </c>
      <c r="T372" s="1980">
        <v>0</v>
      </c>
      <c r="U372" s="2036">
        <v>0</v>
      </c>
    </row>
    <row r="373" spans="2:21" hidden="1" outlineLevel="1">
      <c r="B373" s="1050"/>
      <c r="C373" s="1050"/>
      <c r="D373" s="1051">
        <f t="shared" si="40"/>
        <v>18</v>
      </c>
      <c r="E373" s="1051" t="str">
        <f>IF(COUNTIF(E$333:E372,F373)&gt;0,"",F373)</f>
        <v>Train de voyageurs, Grèce, Base Carbone</v>
      </c>
      <c r="F373" s="1051" t="str">
        <f t="shared" si="41"/>
        <v>Train de voyageurs, Grèce, Base Carbone</v>
      </c>
      <c r="G373" s="1055" t="str">
        <f t="shared" si="42"/>
        <v>Train de voyageurs, Grèce, Base Carbone; kgCO2e/passager.km Amont</v>
      </c>
      <c r="I373" s="2018" t="s">
        <v>2229</v>
      </c>
      <c r="J373" s="1119" t="s">
        <v>2224</v>
      </c>
      <c r="K373" s="1119" t="s">
        <v>1567</v>
      </c>
      <c r="L373" s="1119" t="s">
        <v>1105</v>
      </c>
      <c r="M373" s="1033">
        <v>0.2</v>
      </c>
      <c r="N373" s="2017" t="s">
        <v>1570</v>
      </c>
      <c r="O373" s="1036">
        <v>6.6199999999999995E-2</v>
      </c>
      <c r="P373" s="1036">
        <v>6.6199999999999995E-2</v>
      </c>
      <c r="Q373" s="1980">
        <v>0</v>
      </c>
      <c r="R373" s="1980">
        <v>0</v>
      </c>
      <c r="S373" s="1980">
        <v>0</v>
      </c>
      <c r="T373" s="1980">
        <v>0</v>
      </c>
      <c r="U373" s="2036">
        <v>0</v>
      </c>
    </row>
    <row r="374" spans="2:21" hidden="1" outlineLevel="1">
      <c r="B374" s="1050"/>
      <c r="C374" s="1050"/>
      <c r="D374" s="1051">
        <f t="shared" si="40"/>
        <v>19</v>
      </c>
      <c r="E374" s="1051" t="str">
        <f>IF(COUNTIF(E$333:E373,F374)&gt;0,"",F374)</f>
        <v>Train de voyageurs, Irlande, Base Carbone</v>
      </c>
      <c r="F374" s="1051" t="str">
        <f t="shared" si="41"/>
        <v>Train de voyageurs, Irlande, Base Carbone</v>
      </c>
      <c r="G374" s="1055" t="str">
        <f t="shared" si="42"/>
        <v>Train de voyageurs, Irlande, Base Carbone; kgCO2e/passager.km Amont</v>
      </c>
      <c r="I374" s="2018" t="s">
        <v>2229</v>
      </c>
      <c r="J374" s="1119" t="s">
        <v>2224</v>
      </c>
      <c r="K374" s="1119" t="s">
        <v>1567</v>
      </c>
      <c r="L374" s="1119" t="s">
        <v>1113</v>
      </c>
      <c r="M374" s="1033">
        <v>0.2</v>
      </c>
      <c r="N374" s="2017" t="s">
        <v>1570</v>
      </c>
      <c r="O374" s="1036">
        <v>3.8800000000000001E-2</v>
      </c>
      <c r="P374" s="1036">
        <v>3.8800000000000001E-2</v>
      </c>
      <c r="Q374" s="1980">
        <v>0</v>
      </c>
      <c r="R374" s="1980">
        <v>0</v>
      </c>
      <c r="S374" s="1980">
        <v>0</v>
      </c>
      <c r="T374" s="1980">
        <v>0</v>
      </c>
      <c r="U374" s="2036">
        <v>0</v>
      </c>
    </row>
    <row r="375" spans="2:21" hidden="1" outlineLevel="1">
      <c r="B375" s="1050"/>
      <c r="C375" s="1050"/>
      <c r="D375" s="1051">
        <f t="shared" si="40"/>
        <v>20</v>
      </c>
      <c r="E375" s="1051" t="str">
        <f>IF(COUNTIF(E$333:E374,F375)&gt;0,"",F375)</f>
        <v>Train de voyageurs, Italie, Base Carbone</v>
      </c>
      <c r="F375" s="1051" t="str">
        <f t="shared" si="41"/>
        <v>Train de voyageurs, Italie, Base Carbone</v>
      </c>
      <c r="G375" s="1055" t="str">
        <f t="shared" si="42"/>
        <v>Train de voyageurs, Italie, Base Carbone; kgCO2e/passager.km Amont</v>
      </c>
      <c r="I375" s="2018" t="s">
        <v>2229</v>
      </c>
      <c r="J375" s="1119" t="s">
        <v>2224</v>
      </c>
      <c r="K375" s="1119" t="s">
        <v>1567</v>
      </c>
      <c r="L375" s="1119" t="s">
        <v>1116</v>
      </c>
      <c r="M375" s="1033">
        <v>0.2</v>
      </c>
      <c r="N375" s="2017" t="s">
        <v>1570</v>
      </c>
      <c r="O375" s="1036">
        <v>3.1699999999999999E-2</v>
      </c>
      <c r="P375" s="1036">
        <v>3.1699999999999999E-2</v>
      </c>
      <c r="Q375" s="1980">
        <v>0</v>
      </c>
      <c r="R375" s="1980">
        <v>0</v>
      </c>
      <c r="S375" s="1980">
        <v>0</v>
      </c>
      <c r="T375" s="1980">
        <v>0</v>
      </c>
      <c r="U375" s="2036">
        <v>0</v>
      </c>
    </row>
    <row r="376" spans="2:21" hidden="1" outlineLevel="1">
      <c r="B376" s="1050"/>
      <c r="C376" s="1050"/>
      <c r="D376" s="1051">
        <f t="shared" si="40"/>
        <v>21</v>
      </c>
      <c r="E376" s="1051" t="str">
        <f>IF(COUNTIF(E$333:E375,F376)&gt;0,"",F376)</f>
        <v>Train de voyageurs, Luxembourg, Base Carbone</v>
      </c>
      <c r="F376" s="1051" t="str">
        <f t="shared" si="41"/>
        <v>Train de voyageurs, Luxembourg, Base Carbone</v>
      </c>
      <c r="G376" s="1055" t="str">
        <f t="shared" si="42"/>
        <v>Train de voyageurs, Luxembourg, Base Carbone; kgCO2e/passager.km Amont</v>
      </c>
      <c r="I376" s="2018" t="s">
        <v>2229</v>
      </c>
      <c r="J376" s="1119" t="s">
        <v>2224</v>
      </c>
      <c r="K376" s="1119" t="s">
        <v>1567</v>
      </c>
      <c r="L376" s="1119" t="s">
        <v>1129</v>
      </c>
      <c r="M376" s="1033">
        <v>0.2</v>
      </c>
      <c r="N376" s="2017" t="s">
        <v>1570</v>
      </c>
      <c r="O376" s="1036">
        <v>3.9699999999999999E-2</v>
      </c>
      <c r="P376" s="1036">
        <v>3.9699999999999999E-2</v>
      </c>
      <c r="Q376" s="1980">
        <v>0</v>
      </c>
      <c r="R376" s="1980">
        <v>0</v>
      </c>
      <c r="S376" s="1980">
        <v>0</v>
      </c>
      <c r="T376" s="1980">
        <v>0</v>
      </c>
      <c r="U376" s="2036">
        <v>0</v>
      </c>
    </row>
    <row r="377" spans="2:21" hidden="1" outlineLevel="1">
      <c r="B377" s="1050"/>
      <c r="C377" s="1050"/>
      <c r="D377" s="1051">
        <f t="shared" si="40"/>
        <v>22</v>
      </c>
      <c r="E377" s="1051" t="str">
        <f>IF(COUNTIF(E$333:E376,F377)&gt;0,"",F377)</f>
        <v>Train de voyageurs, Norvège, Base Carbone</v>
      </c>
      <c r="F377" s="1051" t="str">
        <f t="shared" si="41"/>
        <v>Train de voyageurs, Norvège, Base Carbone</v>
      </c>
      <c r="G377" s="1055" t="str">
        <f t="shared" si="42"/>
        <v>Train de voyageurs, Norvège, Base Carbone; kgCO2e/passager.km Amont</v>
      </c>
      <c r="I377" s="2018" t="s">
        <v>2229</v>
      </c>
      <c r="J377" s="1119" t="s">
        <v>2224</v>
      </c>
      <c r="K377" s="1119" t="s">
        <v>1567</v>
      </c>
      <c r="L377" s="1119" t="s">
        <v>1143</v>
      </c>
      <c r="M377" s="1033">
        <v>0.2</v>
      </c>
      <c r="N377" s="2017" t="s">
        <v>1570</v>
      </c>
      <c r="O377" s="1036">
        <v>0.04</v>
      </c>
      <c r="P377" s="1036">
        <v>0.04</v>
      </c>
      <c r="Q377" s="1980">
        <v>0</v>
      </c>
      <c r="R377" s="1980">
        <v>0</v>
      </c>
      <c r="S377" s="1980">
        <v>0</v>
      </c>
      <c r="T377" s="1980">
        <v>0</v>
      </c>
      <c r="U377" s="2036">
        <v>0</v>
      </c>
    </row>
    <row r="378" spans="2:21" hidden="1" outlineLevel="1">
      <c r="B378" s="1050"/>
      <c r="C378" s="1050"/>
      <c r="D378" s="1051">
        <f t="shared" si="40"/>
        <v>23</v>
      </c>
      <c r="E378" s="1051" t="str">
        <f>IF(COUNTIF(E$333:E377,F378)&gt;0,"",F378)</f>
        <v>Train de voyageurs, Pays-Bas, Base Carbone</v>
      </c>
      <c r="F378" s="1051" t="str">
        <f t="shared" si="41"/>
        <v>Train de voyageurs, Pays-Bas, Base Carbone</v>
      </c>
      <c r="G378" s="1055" t="str">
        <f t="shared" si="42"/>
        <v>Train de voyageurs, Pays-Bas, Base Carbone; kgCO2e/passager.km Amont</v>
      </c>
      <c r="I378" s="2018" t="s">
        <v>2229</v>
      </c>
      <c r="J378" s="1119" t="s">
        <v>2224</v>
      </c>
      <c r="K378" s="1119" t="s">
        <v>1567</v>
      </c>
      <c r="L378" s="1119" t="s">
        <v>1149</v>
      </c>
      <c r="M378" s="1033">
        <v>0.2</v>
      </c>
      <c r="N378" s="2017" t="s">
        <v>1570</v>
      </c>
      <c r="O378" s="1036">
        <v>7.6300000000000007E-2</v>
      </c>
      <c r="P378" s="1036">
        <v>7.6300000000000007E-2</v>
      </c>
      <c r="Q378" s="1980">
        <v>0</v>
      </c>
      <c r="R378" s="1980">
        <v>0</v>
      </c>
      <c r="S378" s="1980">
        <v>0</v>
      </c>
      <c r="T378" s="1980">
        <v>0</v>
      </c>
      <c r="U378" s="2036">
        <v>0</v>
      </c>
    </row>
    <row r="379" spans="2:21" hidden="1" outlineLevel="1">
      <c r="B379" s="1050"/>
      <c r="C379" s="1050"/>
      <c r="D379" s="1051">
        <f t="shared" si="40"/>
        <v>24</v>
      </c>
      <c r="E379" s="1051" t="str">
        <f>IF(COUNTIF(E$333:E378,F379)&gt;0,"",F379)</f>
        <v>Train de voyageurs, Portugal, Base Carbone</v>
      </c>
      <c r="F379" s="1051" t="str">
        <f t="shared" si="41"/>
        <v>Train de voyageurs, Portugal, Base Carbone</v>
      </c>
      <c r="G379" s="1055" t="str">
        <f t="shared" si="42"/>
        <v>Train de voyageurs, Portugal, Base Carbone; kgCO2e/passager.km Amont</v>
      </c>
      <c r="I379" s="2018" t="s">
        <v>2229</v>
      </c>
      <c r="J379" s="1119" t="s">
        <v>2224</v>
      </c>
      <c r="K379" s="1119" t="s">
        <v>1567</v>
      </c>
      <c r="L379" s="1119" t="s">
        <v>1153</v>
      </c>
      <c r="M379" s="1033">
        <v>0.2</v>
      </c>
      <c r="N379" s="2017" t="s">
        <v>1570</v>
      </c>
      <c r="O379" s="1036">
        <v>6.1499999999999999E-2</v>
      </c>
      <c r="P379" s="1036">
        <v>6.1499999999999999E-2</v>
      </c>
      <c r="Q379" s="1980">
        <v>0</v>
      </c>
      <c r="R379" s="1980">
        <v>0</v>
      </c>
      <c r="S379" s="1980">
        <v>0</v>
      </c>
      <c r="T379" s="1980">
        <v>0</v>
      </c>
      <c r="U379" s="2036">
        <v>0</v>
      </c>
    </row>
    <row r="380" spans="2:21" hidden="1" outlineLevel="1">
      <c r="B380" s="1050"/>
      <c r="C380" s="1050"/>
      <c r="D380" s="1051">
        <f t="shared" si="40"/>
        <v>25</v>
      </c>
      <c r="E380" s="1051" t="str">
        <f>IF(COUNTIF(E$333:E379,F380)&gt;0,"",F380)</f>
        <v>Train de voyageurs, Royaume-Uni, Base Carbone</v>
      </c>
      <c r="F380" s="1051" t="str">
        <f t="shared" si="41"/>
        <v>Train de voyageurs, Royaume-Uni, Base Carbone</v>
      </c>
      <c r="G380" s="1055" t="str">
        <f t="shared" si="42"/>
        <v>Train de voyageurs, Royaume-Uni, Base Carbone; kgCO2e/passager.km Amont</v>
      </c>
      <c r="I380" s="2018" t="s">
        <v>2229</v>
      </c>
      <c r="J380" s="1119" t="s">
        <v>2224</v>
      </c>
      <c r="K380" s="1119" t="s">
        <v>1567</v>
      </c>
      <c r="L380" s="1119" t="s">
        <v>1157</v>
      </c>
      <c r="M380" s="1033">
        <v>0.2</v>
      </c>
      <c r="N380" s="2017" t="s">
        <v>1570</v>
      </c>
      <c r="O380" s="1036">
        <v>7.4999999999999997E-2</v>
      </c>
      <c r="P380" s="1036">
        <v>7.4999999999999997E-2</v>
      </c>
      <c r="Q380" s="1980">
        <v>0</v>
      </c>
      <c r="R380" s="1980">
        <v>0</v>
      </c>
      <c r="S380" s="1980">
        <v>0</v>
      </c>
      <c r="T380" s="1980">
        <v>0</v>
      </c>
      <c r="U380" s="2036">
        <v>0</v>
      </c>
    </row>
    <row r="381" spans="2:21" hidden="1" outlineLevel="1">
      <c r="B381" s="1050"/>
      <c r="C381" s="1050"/>
      <c r="D381" s="1051">
        <f t="shared" si="40"/>
        <v>26</v>
      </c>
      <c r="E381" s="1051" t="str">
        <f>IF(COUNTIF(E$333:E380,F381)&gt;0,"",F381)</f>
        <v>Train de voyageurs, Suède, Base Carbone</v>
      </c>
      <c r="F381" s="1051" t="str">
        <f t="shared" si="41"/>
        <v>Train de voyageurs, Suède, Base Carbone</v>
      </c>
      <c r="G381" s="1055" t="str">
        <f t="shared" si="42"/>
        <v>Train de voyageurs, Suède, Base Carbone; kgCO2e/passager.km Amont</v>
      </c>
      <c r="I381" s="2018" t="s">
        <v>2229</v>
      </c>
      <c r="J381" s="1119" t="s">
        <v>2224</v>
      </c>
      <c r="K381" s="1119" t="s">
        <v>1567</v>
      </c>
      <c r="L381" s="1119" t="s">
        <v>1166</v>
      </c>
      <c r="M381" s="1033">
        <v>0.2</v>
      </c>
      <c r="N381" s="2017" t="s">
        <v>1570</v>
      </c>
      <c r="O381" s="1036">
        <v>1.29E-2</v>
      </c>
      <c r="P381" s="1036">
        <v>1.29E-2</v>
      </c>
      <c r="Q381" s="1980">
        <v>0</v>
      </c>
      <c r="R381" s="1980">
        <v>0</v>
      </c>
      <c r="S381" s="1980">
        <v>0</v>
      </c>
      <c r="T381" s="1980">
        <v>0</v>
      </c>
      <c r="U381" s="2036">
        <v>0</v>
      </c>
    </row>
    <row r="382" spans="2:21" hidden="1" outlineLevel="1">
      <c r="B382" s="1050"/>
      <c r="C382" s="1050"/>
      <c r="D382" s="1051">
        <f t="shared" si="40"/>
        <v>27</v>
      </c>
      <c r="E382" s="1051" t="str">
        <f>IF(COUNTIF(E$333:E381,F382)&gt;0,"",F382)</f>
        <v>Train de voyageurs, Suisse, Base Carbone</v>
      </c>
      <c r="F382" s="1051" t="str">
        <f t="shared" si="41"/>
        <v>Train de voyageurs, Suisse, Base Carbone</v>
      </c>
      <c r="G382" s="1055" t="str">
        <f t="shared" si="42"/>
        <v>Train de voyageurs, Suisse, Base Carbone; kgCO2e/passager.km Amont</v>
      </c>
      <c r="I382" s="2018" t="s">
        <v>2229</v>
      </c>
      <c r="J382" s="1119" t="s">
        <v>2224</v>
      </c>
      <c r="K382" s="1119" t="s">
        <v>1567</v>
      </c>
      <c r="L382" s="1119" t="s">
        <v>1167</v>
      </c>
      <c r="M382" s="1033">
        <v>0.2</v>
      </c>
      <c r="N382" s="2017" t="s">
        <v>1570</v>
      </c>
      <c r="O382" s="1036">
        <v>3.7399999999999998E-3</v>
      </c>
      <c r="P382" s="1036">
        <v>3.7399999999999998E-3</v>
      </c>
      <c r="Q382" s="1980">
        <v>0</v>
      </c>
      <c r="R382" s="1980">
        <v>0</v>
      </c>
      <c r="S382" s="1980">
        <v>0</v>
      </c>
      <c r="T382" s="1980">
        <v>0</v>
      </c>
      <c r="U382" s="2036">
        <v>0</v>
      </c>
    </row>
    <row r="383" spans="2:21" hidden="1" outlineLevel="1">
      <c r="B383" s="1050"/>
      <c r="C383" s="1050"/>
      <c r="D383" s="1051">
        <f t="shared" si="40"/>
        <v>28</v>
      </c>
      <c r="E383" s="1051" t="str">
        <f>IF(COUNTIF(E$333:E382,F383)&gt;0,"",F383)</f>
        <v>Train grandes lignes - 2018, France continentale, Base Carbone</v>
      </c>
      <c r="F383" s="1051" t="str">
        <f t="shared" si="41"/>
        <v>Train grandes lignes - 2018, France continentale, Base Carbone</v>
      </c>
      <c r="G383" s="1055" t="str">
        <f t="shared" si="42"/>
        <v>Train grandes lignes - 2018, France continentale, Base Carbone; kgCO2e/passager.km Amont</v>
      </c>
      <c r="I383" s="2018" t="s">
        <v>3989</v>
      </c>
      <c r="J383" s="1119" t="s">
        <v>2224</v>
      </c>
      <c r="K383" s="1119" t="s">
        <v>1567</v>
      </c>
      <c r="L383" s="1119" t="s">
        <v>1571</v>
      </c>
      <c r="M383" s="1033">
        <v>0.2</v>
      </c>
      <c r="N383" s="1119" t="s">
        <v>1570</v>
      </c>
      <c r="O383" s="2510">
        <v>5.7000000000000002E-3</v>
      </c>
      <c r="P383" s="1980">
        <v>5.7000000000000002E-3</v>
      </c>
      <c r="Q383" s="1980">
        <v>0</v>
      </c>
      <c r="R383" s="1980">
        <v>0</v>
      </c>
      <c r="S383" s="1980">
        <v>0</v>
      </c>
      <c r="T383" s="1980">
        <v>0</v>
      </c>
      <c r="U383" s="2036">
        <v>0</v>
      </c>
    </row>
    <row r="384" spans="2:21" hidden="1" outlineLevel="1">
      <c r="B384" s="1050"/>
      <c r="C384" s="1050"/>
      <c r="D384" s="1051">
        <f t="shared" si="40"/>
        <v>28</v>
      </c>
      <c r="E384" s="1051" t="str">
        <f>IF(COUNTIF(E$333:E383,F384)&gt;0,"",F384)</f>
        <v/>
      </c>
      <c r="F384" s="1051" t="str">
        <f t="shared" si="41"/>
        <v>Train grandes lignes - 2018, France continentale, Base Carbone</v>
      </c>
      <c r="G384" s="1055" t="str">
        <f t="shared" si="42"/>
        <v>Train grandes lignes - 2018, France continentale, Base Carbone; kgCO2e/passager.km Combustion</v>
      </c>
      <c r="I384" s="2018" t="s">
        <v>3989</v>
      </c>
      <c r="J384" s="1119" t="s">
        <v>2224</v>
      </c>
      <c r="K384" s="1119" t="s">
        <v>1567</v>
      </c>
      <c r="L384" s="1119" t="s">
        <v>1571</v>
      </c>
      <c r="M384" s="1033">
        <v>0.2</v>
      </c>
      <c r="N384" s="1119" t="s">
        <v>1569</v>
      </c>
      <c r="O384" s="2510">
        <v>0</v>
      </c>
      <c r="P384" s="1980">
        <v>0</v>
      </c>
      <c r="Q384" s="1980">
        <v>0</v>
      </c>
      <c r="R384" s="1980">
        <v>0</v>
      </c>
      <c r="S384" s="1980">
        <v>0</v>
      </c>
      <c r="T384" s="1980">
        <v>0</v>
      </c>
      <c r="U384" s="2036">
        <v>0</v>
      </c>
    </row>
    <row r="385" spans="2:21" hidden="1" outlineLevel="1">
      <c r="B385" s="1050"/>
      <c r="C385" s="1050"/>
      <c r="D385" s="1051">
        <f t="shared" si="40"/>
        <v>28</v>
      </c>
      <c r="E385" s="1051" t="str">
        <f>IF(COUNTIF(E$333:E384,F385)&gt;0,"",F385)</f>
        <v/>
      </c>
      <c r="F385" s="1051" t="str">
        <f t="shared" si="41"/>
        <v>Train grandes lignes - 2018, France continentale, Base Carbone</v>
      </c>
      <c r="G385" s="1055" t="str">
        <f t="shared" si="42"/>
        <v>Train grandes lignes - 2018, France continentale, Base Carbone; kgCO2e/passager.km Fabrication</v>
      </c>
      <c r="I385" s="2018" t="s">
        <v>3989</v>
      </c>
      <c r="J385" s="1119" t="s">
        <v>2224</v>
      </c>
      <c r="K385" s="1119" t="s">
        <v>1567</v>
      </c>
      <c r="L385" s="1119" t="s">
        <v>1571</v>
      </c>
      <c r="M385" s="1033">
        <v>0.2</v>
      </c>
      <c r="N385" s="1119" t="s">
        <v>332</v>
      </c>
      <c r="O385" s="2510">
        <v>6.3000000000000003E-4</v>
      </c>
      <c r="P385" s="1980">
        <v>6.3000000000000003E-4</v>
      </c>
      <c r="Q385" s="1980">
        <v>0</v>
      </c>
      <c r="R385" s="1980">
        <v>0</v>
      </c>
      <c r="S385" s="1980">
        <v>0</v>
      </c>
      <c r="T385" s="1980">
        <v>0</v>
      </c>
      <c r="U385" s="2036">
        <v>0</v>
      </c>
    </row>
    <row r="386" spans="2:21" hidden="1" outlineLevel="1">
      <c r="B386" s="1050"/>
      <c r="C386" s="1050"/>
      <c r="D386" s="1051">
        <f t="shared" si="40"/>
        <v>29</v>
      </c>
      <c r="E386" s="1051" t="str">
        <f>IF(COUNTIF(E$333:E385,F386)&gt;0,"",F386)</f>
        <v>Train grandes lignes - 2019, France continentale, Base Carbone</v>
      </c>
      <c r="F386" s="1051" t="str">
        <f t="shared" si="41"/>
        <v>Train grandes lignes - 2019, France continentale, Base Carbone</v>
      </c>
      <c r="G386" s="1055" t="str">
        <f t="shared" si="42"/>
        <v>Train grandes lignes - 2019, France continentale, Base Carbone; kgCO2e/passager.km Amont</v>
      </c>
      <c r="I386" s="2018" t="s">
        <v>3990</v>
      </c>
      <c r="J386" s="1119" t="s">
        <v>2224</v>
      </c>
      <c r="K386" s="1119" t="s">
        <v>1567</v>
      </c>
      <c r="L386" s="1119" t="s">
        <v>1571</v>
      </c>
      <c r="M386" s="1033">
        <v>0.2</v>
      </c>
      <c r="N386" s="1119" t="s">
        <v>1570</v>
      </c>
      <c r="O386" s="2510">
        <v>5.2900000000000004E-3</v>
      </c>
      <c r="P386" s="1980">
        <v>5.2900000000000004E-3</v>
      </c>
      <c r="Q386" s="1980">
        <v>0</v>
      </c>
      <c r="R386" s="1980">
        <v>0</v>
      </c>
      <c r="S386" s="1980">
        <v>0</v>
      </c>
      <c r="T386" s="1980">
        <v>0</v>
      </c>
      <c r="U386" s="2036">
        <v>0</v>
      </c>
    </row>
    <row r="387" spans="2:21" hidden="1" outlineLevel="1">
      <c r="B387" s="1050"/>
      <c r="C387" s="1050"/>
      <c r="D387" s="1051">
        <f t="shared" si="40"/>
        <v>29</v>
      </c>
      <c r="E387" s="1051" t="str">
        <f>IF(COUNTIF(E$333:E386,F387)&gt;0,"",F387)</f>
        <v/>
      </c>
      <c r="F387" s="1051" t="str">
        <f t="shared" si="41"/>
        <v>Train grandes lignes - 2019, France continentale, Base Carbone</v>
      </c>
      <c r="G387" s="1055" t="str">
        <f t="shared" si="42"/>
        <v>Train grandes lignes - 2019, France continentale, Base Carbone; kgCO2e/passager.km Combustion</v>
      </c>
      <c r="I387" s="2018" t="s">
        <v>3990</v>
      </c>
      <c r="J387" s="1119" t="s">
        <v>2224</v>
      </c>
      <c r="K387" s="1119" t="s">
        <v>1567</v>
      </c>
      <c r="L387" s="1119" t="s">
        <v>1571</v>
      </c>
      <c r="M387" s="1033">
        <v>0.2</v>
      </c>
      <c r="N387" s="1119" t="s">
        <v>1569</v>
      </c>
      <c r="O387" s="2510">
        <v>0</v>
      </c>
      <c r="P387" s="1980">
        <v>0</v>
      </c>
      <c r="Q387" s="1980">
        <v>0</v>
      </c>
      <c r="R387" s="1980">
        <v>0</v>
      </c>
      <c r="S387" s="1980">
        <v>0</v>
      </c>
      <c r="T387" s="1980">
        <v>0</v>
      </c>
      <c r="U387" s="2036">
        <v>0</v>
      </c>
    </row>
    <row r="388" spans="2:21" hidden="1" outlineLevel="1">
      <c r="B388" s="1050"/>
      <c r="C388" s="1050"/>
      <c r="D388" s="1051">
        <f t="shared" si="40"/>
        <v>29</v>
      </c>
      <c r="E388" s="1051" t="str">
        <f>IF(COUNTIF(E$333:E387,F388)&gt;0,"",F388)</f>
        <v/>
      </c>
      <c r="F388" s="1051" t="str">
        <f t="shared" si="41"/>
        <v>Train grandes lignes - 2019, France continentale, Base Carbone</v>
      </c>
      <c r="G388" s="1055" t="str">
        <f t="shared" si="42"/>
        <v>Train grandes lignes - 2019, France continentale, Base Carbone; kgCO2e/passager.km Fabrication</v>
      </c>
      <c r="I388" s="2018" t="s">
        <v>3990</v>
      </c>
      <c r="J388" s="1119" t="s">
        <v>2224</v>
      </c>
      <c r="K388" s="1119" t="s">
        <v>1567</v>
      </c>
      <c r="L388" s="1119" t="s">
        <v>1571</v>
      </c>
      <c r="M388" s="1033">
        <v>0.2</v>
      </c>
      <c r="N388" s="1119" t="s">
        <v>332</v>
      </c>
      <c r="O388" s="2581">
        <v>6.3000000000000003E-4</v>
      </c>
      <c r="P388" s="1980">
        <v>6.3000000000000003E-4</v>
      </c>
      <c r="Q388" s="1980">
        <v>0</v>
      </c>
      <c r="R388" s="1980">
        <v>0</v>
      </c>
      <c r="S388" s="1980">
        <v>0</v>
      </c>
      <c r="T388" s="1980">
        <v>0</v>
      </c>
      <c r="U388" s="2036">
        <v>0</v>
      </c>
    </row>
    <row r="389" spans="2:21" hidden="1" outlineLevel="1">
      <c r="B389" s="1050"/>
      <c r="C389" s="1050"/>
      <c r="D389" s="1051">
        <f t="shared" si="40"/>
        <v>30</v>
      </c>
      <c r="E389" s="1051" t="str">
        <f>IF(COUNTIF(E$333:E388,F389)&gt;0,"",F389)</f>
        <v>Tramway - 2018 - Ile de France, France continentale, Base Carbone</v>
      </c>
      <c r="F389" s="1051" t="str">
        <f t="shared" si="41"/>
        <v>Tramway - 2018 - Ile de France, France continentale, Base Carbone</v>
      </c>
      <c r="G389" s="1055" t="str">
        <f t="shared" si="42"/>
        <v>Tramway - 2018 - Ile de France, France continentale, Base Carbone; kgCO2e/passager.km Amont</v>
      </c>
      <c r="I389" s="2018" t="s">
        <v>3991</v>
      </c>
      <c r="J389" s="1119" t="s">
        <v>2224</v>
      </c>
      <c r="K389" s="1119" t="s">
        <v>1567</v>
      </c>
      <c r="L389" s="1119" t="s">
        <v>1571</v>
      </c>
      <c r="M389" s="1033">
        <v>0.2</v>
      </c>
      <c r="N389" s="1119" t="s">
        <v>1570</v>
      </c>
      <c r="O389" s="2510">
        <v>2.3E-3</v>
      </c>
      <c r="P389" s="1980">
        <v>2.3E-3</v>
      </c>
      <c r="Q389" s="1980">
        <v>0</v>
      </c>
      <c r="R389" s="1980">
        <v>0</v>
      </c>
      <c r="S389" s="1980">
        <v>0</v>
      </c>
      <c r="T389" s="1980">
        <v>0</v>
      </c>
      <c r="U389" s="2036">
        <v>0</v>
      </c>
    </row>
    <row r="390" spans="2:21" hidden="1" outlineLevel="1">
      <c r="B390" s="1050"/>
      <c r="C390" s="1050"/>
      <c r="D390" s="1051">
        <f t="shared" si="40"/>
        <v>30</v>
      </c>
      <c r="E390" s="1051" t="str">
        <f>IF(COUNTIF(E$333:E389,F390)&gt;0,"",F390)</f>
        <v/>
      </c>
      <c r="F390" s="1051" t="str">
        <f t="shared" si="41"/>
        <v>Tramway - 2018 - Ile de France, France continentale, Base Carbone</v>
      </c>
      <c r="G390" s="1055" t="str">
        <f t="shared" si="42"/>
        <v>Tramway - 2018 - Ile de France, France continentale, Base Carbone; kgCO2e/passager.km Combustion</v>
      </c>
      <c r="I390" s="2018" t="s">
        <v>3991</v>
      </c>
      <c r="J390" s="1119" t="s">
        <v>2224</v>
      </c>
      <c r="K390" s="1119" t="s">
        <v>1567</v>
      </c>
      <c r="L390" s="1119" t="s">
        <v>1571</v>
      </c>
      <c r="M390" s="1033">
        <v>0.2</v>
      </c>
      <c r="N390" s="1119" t="s">
        <v>1569</v>
      </c>
      <c r="O390" s="2510">
        <v>0</v>
      </c>
      <c r="P390" s="1980">
        <v>0</v>
      </c>
      <c r="Q390" s="1980">
        <v>0</v>
      </c>
      <c r="R390" s="1980">
        <v>0</v>
      </c>
      <c r="S390" s="1980">
        <v>0</v>
      </c>
      <c r="T390" s="1980">
        <v>0</v>
      </c>
      <c r="U390" s="2036">
        <v>0</v>
      </c>
    </row>
    <row r="391" spans="2:21" hidden="1" outlineLevel="1">
      <c r="B391" s="1050"/>
      <c r="C391" s="1050"/>
      <c r="D391" s="1051">
        <f t="shared" si="40"/>
        <v>30</v>
      </c>
      <c r="E391" s="1051" t="str">
        <f>IF(COUNTIF(E$333:E390,F391)&gt;0,"",F391)</f>
        <v/>
      </c>
      <c r="F391" s="1051" t="str">
        <f t="shared" si="41"/>
        <v>Tramway - 2018 - Ile de France, France continentale, Base Carbone</v>
      </c>
      <c r="G391" s="1055" t="str">
        <f t="shared" si="42"/>
        <v>Tramway - 2018 - Ile de France, France continentale, Base Carbone; kgCO2e/passager.km Fabrication</v>
      </c>
      <c r="I391" s="2018" t="s">
        <v>3991</v>
      </c>
      <c r="J391" s="1119" t="s">
        <v>2224</v>
      </c>
      <c r="K391" s="1119" t="s">
        <v>1567</v>
      </c>
      <c r="L391" s="1119" t="s">
        <v>1571</v>
      </c>
      <c r="M391" s="1033">
        <v>0.2</v>
      </c>
      <c r="N391" s="1119" t="s">
        <v>332</v>
      </c>
      <c r="O391" s="2510">
        <v>4.8000000000000001E-4</v>
      </c>
      <c r="P391" s="1980">
        <v>4.8000000000000001E-4</v>
      </c>
      <c r="Q391" s="1980">
        <v>0</v>
      </c>
      <c r="R391" s="1980">
        <v>0</v>
      </c>
      <c r="S391" s="1980">
        <v>0</v>
      </c>
      <c r="T391" s="1980">
        <v>0</v>
      </c>
      <c r="U391" s="2036">
        <v>0</v>
      </c>
    </row>
    <row r="392" spans="2:21" hidden="1" outlineLevel="1">
      <c r="B392" s="1050"/>
      <c r="C392" s="1050"/>
      <c r="D392" s="1051">
        <f t="shared" si="40"/>
        <v>31</v>
      </c>
      <c r="E392" s="1051" t="str">
        <f>IF(COUNTIF(E$333:E391,F392)&gt;0,"",F392)</f>
        <v>Tramway - 2019 - Ile de France, France continentale, Base Carbone</v>
      </c>
      <c r="F392" s="1051" t="str">
        <f t="shared" si="41"/>
        <v>Tramway - 2019 - Ile de France, France continentale, Base Carbone</v>
      </c>
      <c r="G392" s="1055" t="str">
        <f t="shared" si="42"/>
        <v>Tramway - 2019 - Ile de France, France continentale, Base Carbone; kgCO2e/passager.km Amont</v>
      </c>
      <c r="I392" s="2018" t="s">
        <v>3992</v>
      </c>
      <c r="J392" s="1119" t="s">
        <v>2224</v>
      </c>
      <c r="K392" s="1119" t="s">
        <v>1567</v>
      </c>
      <c r="L392" s="1119" t="s">
        <v>1571</v>
      </c>
      <c r="M392" s="1033">
        <v>0.2</v>
      </c>
      <c r="N392" s="1119" t="s">
        <v>1570</v>
      </c>
      <c r="O392" s="1036">
        <v>2.2000000000000001E-3</v>
      </c>
      <c r="P392" s="1980">
        <v>2.2000000000000001E-3</v>
      </c>
      <c r="Q392" s="1980">
        <v>0</v>
      </c>
      <c r="R392" s="1980">
        <v>0</v>
      </c>
      <c r="S392" s="1980">
        <v>0</v>
      </c>
      <c r="T392" s="1980">
        <v>0</v>
      </c>
      <c r="U392" s="2036">
        <v>0</v>
      </c>
    </row>
    <row r="393" spans="2:21" hidden="1" outlineLevel="1">
      <c r="B393" s="1050"/>
      <c r="C393" s="1050"/>
      <c r="D393" s="1051">
        <f t="shared" si="40"/>
        <v>31</v>
      </c>
      <c r="E393" s="1051" t="str">
        <f>IF(COUNTIF(E$333:E392,F393)&gt;0,"",F393)</f>
        <v/>
      </c>
      <c r="F393" s="1051" t="str">
        <f t="shared" si="41"/>
        <v>Tramway - 2019 - Ile de France, France continentale, Base Carbone</v>
      </c>
      <c r="G393" s="1055" t="str">
        <f t="shared" si="42"/>
        <v>Tramway - 2019 - Ile de France, France continentale, Base Carbone; kgCO2e/passager.km Combustion</v>
      </c>
      <c r="I393" s="2018" t="s">
        <v>3992</v>
      </c>
      <c r="J393" s="1119" t="s">
        <v>2224</v>
      </c>
      <c r="K393" s="1119" t="s">
        <v>1567</v>
      </c>
      <c r="L393" s="1119" t="s">
        <v>1571</v>
      </c>
      <c r="M393" s="1033">
        <v>0.2</v>
      </c>
      <c r="N393" s="1135" t="s">
        <v>1569</v>
      </c>
      <c r="O393" s="1036">
        <v>0</v>
      </c>
      <c r="P393" s="1980">
        <v>0</v>
      </c>
      <c r="Q393" s="1980">
        <v>0</v>
      </c>
      <c r="R393" s="1980">
        <v>0</v>
      </c>
      <c r="S393" s="1980">
        <v>0</v>
      </c>
      <c r="T393" s="1980">
        <v>0</v>
      </c>
      <c r="U393" s="2036">
        <v>0</v>
      </c>
    </row>
    <row r="394" spans="2:21" hidden="1" outlineLevel="1">
      <c r="B394" s="1050"/>
      <c r="C394" s="1050"/>
      <c r="D394" s="1051">
        <f t="shared" si="40"/>
        <v>31</v>
      </c>
      <c r="E394" s="1051" t="str">
        <f>IF(COUNTIF(E$333:E393,F394)&gt;0,"",F394)</f>
        <v/>
      </c>
      <c r="F394" s="1051" t="str">
        <f t="shared" si="41"/>
        <v>Tramway - 2019 - Ile de France, France continentale, Base Carbone</v>
      </c>
      <c r="G394" s="1055" t="str">
        <f t="shared" si="42"/>
        <v>Tramway - 2019 - Ile de France, France continentale, Base Carbone; kgCO2e/passager.km Fabrication</v>
      </c>
      <c r="I394" s="2018" t="s">
        <v>3992</v>
      </c>
      <c r="J394" s="1119" t="s">
        <v>2224</v>
      </c>
      <c r="K394" s="1119" t="s">
        <v>1567</v>
      </c>
      <c r="L394" s="1119" t="s">
        <v>1571</v>
      </c>
      <c r="M394" s="1033">
        <v>0.2</v>
      </c>
      <c r="N394" s="1119" t="s">
        <v>332</v>
      </c>
      <c r="O394" s="1036">
        <v>4.8000000000000001E-4</v>
      </c>
      <c r="P394" s="1036">
        <v>4.8000000000000001E-4</v>
      </c>
      <c r="Q394" s="1980">
        <v>0</v>
      </c>
      <c r="R394" s="1980">
        <v>0</v>
      </c>
      <c r="S394" s="1980">
        <v>0</v>
      </c>
      <c r="T394" s="1980">
        <v>0</v>
      </c>
      <c r="U394" s="2036">
        <v>0</v>
      </c>
    </row>
    <row r="395" spans="2:21" hidden="1" outlineLevel="1">
      <c r="B395" s="1050"/>
      <c r="C395" s="1050"/>
      <c r="D395" s="1051">
        <f t="shared" si="40"/>
        <v>31</v>
      </c>
      <c r="E395" s="1051" t="str">
        <f>IF(COUNTIF(E$333:E394,F395)&gt;0,"",F395)</f>
        <v/>
      </c>
      <c r="F395" s="1051" t="str">
        <f t="shared" si="41"/>
        <v/>
      </c>
      <c r="G395" s="1055" t="str">
        <f t="shared" si="42"/>
        <v/>
      </c>
      <c r="I395" s="2018"/>
      <c r="J395" s="1135"/>
      <c r="K395" s="1119"/>
      <c r="L395" s="1135"/>
      <c r="M395" s="1033"/>
      <c r="N395" s="1135"/>
      <c r="O395" s="1036"/>
      <c r="P395" s="1036"/>
      <c r="Q395" s="1036"/>
      <c r="R395" s="1036"/>
      <c r="S395" s="1036"/>
      <c r="T395" s="1036"/>
      <c r="U395" s="1037"/>
    </row>
    <row r="396" spans="2:21" hidden="1" outlineLevel="1">
      <c r="B396" s="1050"/>
      <c r="C396" s="1050"/>
      <c r="D396" s="1051">
        <f t="shared" si="40"/>
        <v>31</v>
      </c>
      <c r="E396" s="1051" t="str">
        <f>IF(COUNTIF(E$333:E395,F396)&gt;0,"",F396)</f>
        <v/>
      </c>
      <c r="F396" s="1051" t="str">
        <f t="shared" si="41"/>
        <v/>
      </c>
      <c r="G396" s="1055" t="str">
        <f t="shared" si="42"/>
        <v/>
      </c>
      <c r="I396" s="1100"/>
      <c r="J396" s="1048"/>
      <c r="K396" s="1119"/>
      <c r="L396" s="1048"/>
      <c r="M396" s="1033"/>
      <c r="N396" s="1048"/>
      <c r="O396" s="1036"/>
      <c r="P396" s="1036"/>
      <c r="Q396" s="1036"/>
      <c r="R396" s="1036"/>
      <c r="S396" s="1036"/>
      <c r="T396" s="1036"/>
      <c r="U396" s="1037"/>
    </row>
    <row r="397" spans="2:21" hidden="1" outlineLevel="1">
      <c r="B397" s="1050"/>
      <c r="C397" s="1050"/>
      <c r="D397" s="1051">
        <f t="shared" si="40"/>
        <v>31</v>
      </c>
      <c r="E397" s="1051" t="str">
        <f>IF(COUNTIF(E$333:E396,F397)&gt;0,"",F397)</f>
        <v/>
      </c>
      <c r="F397" s="1051" t="str">
        <f t="shared" si="41"/>
        <v/>
      </c>
      <c r="G397" s="1055" t="str">
        <f t="shared" si="42"/>
        <v/>
      </c>
      <c r="I397" s="1100"/>
      <c r="J397" s="1048"/>
      <c r="K397" s="1119"/>
      <c r="L397" s="1048"/>
      <c r="M397" s="1033"/>
      <c r="N397" s="1048"/>
      <c r="O397" s="1036"/>
      <c r="P397" s="1036"/>
      <c r="Q397" s="1036"/>
      <c r="R397" s="1036"/>
      <c r="S397" s="1036"/>
      <c r="T397" s="1036"/>
      <c r="U397" s="1037"/>
    </row>
    <row r="398" spans="2:21" hidden="1" outlineLevel="1">
      <c r="B398" s="1050"/>
      <c r="C398" s="1050"/>
      <c r="D398" s="1051">
        <f t="shared" si="40"/>
        <v>31</v>
      </c>
      <c r="E398" s="1051" t="str">
        <f>IF(COUNTIF(E$333:E397,F398)&gt;0,"",F398)</f>
        <v/>
      </c>
      <c r="F398" s="1051" t="str">
        <f t="shared" si="41"/>
        <v/>
      </c>
      <c r="G398" s="1055" t="str">
        <f t="shared" si="42"/>
        <v/>
      </c>
      <c r="I398" s="1100"/>
      <c r="J398" s="1048"/>
      <c r="K398" s="1119"/>
      <c r="L398" s="1048"/>
      <c r="M398" s="1033"/>
      <c r="N398" s="1048"/>
      <c r="O398" s="1036"/>
      <c r="P398" s="1036"/>
      <c r="Q398" s="1036"/>
      <c r="R398" s="1036"/>
      <c r="S398" s="1036"/>
      <c r="T398" s="1036"/>
      <c r="U398" s="1037"/>
    </row>
    <row r="399" spans="2:21" hidden="1" outlineLevel="1">
      <c r="B399" s="1050"/>
      <c r="C399" s="1050"/>
      <c r="D399" s="1051">
        <f t="shared" ref="D399:D408" si="43">D398+IF(LEN(E399)&gt;0,1,0)</f>
        <v>31</v>
      </c>
      <c r="E399" s="1051" t="str">
        <f>IF(COUNTIF(E$333:E398,F399)&gt;0,"",F399)</f>
        <v/>
      </c>
      <c r="F399" s="1051" t="str">
        <f t="shared" ref="F399:F408" si="44">IF(I399&lt;&gt;"",I399&amp;IF(L399&lt;&gt;"",", "&amp;L399,"")&amp;IF(K399&lt;&gt;"",", "&amp;K399,""),"")</f>
        <v/>
      </c>
      <c r="G399" s="1055" t="str">
        <f t="shared" ref="G399:G408" si="45">IF(F399&lt;&gt;"",F399&amp;IF(J399&lt;&gt;"","; "&amp;J399&amp;IF(N399&lt;&gt;""," "&amp;N399,),""),"")</f>
        <v/>
      </c>
      <c r="I399" s="1100"/>
      <c r="J399" s="1048"/>
      <c r="K399" s="1119"/>
      <c r="L399" s="1048"/>
      <c r="M399" s="1033"/>
      <c r="N399" s="1048"/>
      <c r="O399" s="1036"/>
      <c r="P399" s="1036"/>
      <c r="Q399" s="1036"/>
      <c r="R399" s="1036"/>
      <c r="S399" s="1036"/>
      <c r="T399" s="1036"/>
      <c r="U399" s="1037"/>
    </row>
    <row r="400" spans="2:21" hidden="1" outlineLevel="1">
      <c r="B400" s="1050"/>
      <c r="C400" s="1050"/>
      <c r="D400" s="1051">
        <f t="shared" si="43"/>
        <v>31</v>
      </c>
      <c r="E400" s="1051" t="str">
        <f>IF(COUNTIF(E$333:E399,F400)&gt;0,"",F400)</f>
        <v/>
      </c>
      <c r="F400" s="1051" t="str">
        <f t="shared" si="44"/>
        <v/>
      </c>
      <c r="G400" s="1055" t="str">
        <f t="shared" si="45"/>
        <v/>
      </c>
      <c r="I400" s="1100"/>
      <c r="J400" s="1048"/>
      <c r="K400" s="1119"/>
      <c r="L400" s="1048"/>
      <c r="M400" s="1033"/>
      <c r="N400" s="1048"/>
      <c r="O400" s="1036"/>
      <c r="P400" s="1036"/>
      <c r="Q400" s="1036"/>
      <c r="R400" s="1036"/>
      <c r="S400" s="1036"/>
      <c r="T400" s="1036"/>
      <c r="U400" s="1037"/>
    </row>
    <row r="401" spans="2:24" hidden="1" outlineLevel="1">
      <c r="B401" s="1050"/>
      <c r="C401" s="1050"/>
      <c r="D401" s="1051">
        <f t="shared" si="43"/>
        <v>31</v>
      </c>
      <c r="E401" s="1051" t="str">
        <f>IF(COUNTIF(E$333:E400,F401)&gt;0,"",F401)</f>
        <v/>
      </c>
      <c r="F401" s="1051" t="str">
        <f t="shared" si="44"/>
        <v/>
      </c>
      <c r="G401" s="1055" t="str">
        <f t="shared" si="45"/>
        <v/>
      </c>
      <c r="I401" s="1100"/>
      <c r="J401" s="1048"/>
      <c r="K401" s="1119"/>
      <c r="L401" s="1048"/>
      <c r="M401" s="1033"/>
      <c r="N401" s="1048"/>
      <c r="O401" s="1036"/>
      <c r="P401" s="1036"/>
      <c r="Q401" s="1036"/>
      <c r="R401" s="1036"/>
      <c r="S401" s="1036"/>
      <c r="T401" s="1036"/>
      <c r="U401" s="1037"/>
    </row>
    <row r="402" spans="2:24" hidden="1" outlineLevel="1">
      <c r="B402" s="1050"/>
      <c r="C402" s="1050"/>
      <c r="D402" s="1051">
        <f t="shared" si="43"/>
        <v>31</v>
      </c>
      <c r="E402" s="1051" t="str">
        <f>IF(COUNTIF(E$333:E401,F402)&gt;0,"",F402)</f>
        <v/>
      </c>
      <c r="F402" s="1051" t="str">
        <f t="shared" si="44"/>
        <v/>
      </c>
      <c r="G402" s="1055" t="str">
        <f t="shared" si="45"/>
        <v/>
      </c>
      <c r="I402" s="1100"/>
      <c r="J402" s="1048"/>
      <c r="K402" s="1119"/>
      <c r="L402" s="1048"/>
      <c r="M402" s="1033"/>
      <c r="N402" s="1048"/>
      <c r="O402" s="1036"/>
      <c r="P402" s="1036"/>
      <c r="Q402" s="1036"/>
      <c r="R402" s="1036"/>
      <c r="S402" s="1036"/>
      <c r="T402" s="1036"/>
      <c r="U402" s="1037"/>
    </row>
    <row r="403" spans="2:24" hidden="1" outlineLevel="1">
      <c r="B403" s="1050"/>
      <c r="C403" s="1050"/>
      <c r="D403" s="1051">
        <f t="shared" si="43"/>
        <v>31</v>
      </c>
      <c r="E403" s="1051" t="str">
        <f>IF(COUNTIF(E$333:E402,F403)&gt;0,"",F403)</f>
        <v/>
      </c>
      <c r="F403" s="1051" t="str">
        <f t="shared" si="44"/>
        <v/>
      </c>
      <c r="G403" s="1055" t="str">
        <f t="shared" si="45"/>
        <v/>
      </c>
      <c r="I403" s="1100"/>
      <c r="J403" s="1048"/>
      <c r="K403" s="1119"/>
      <c r="L403" s="1048"/>
      <c r="M403" s="1033"/>
      <c r="N403" s="1048"/>
      <c r="O403" s="1036"/>
      <c r="P403" s="1036"/>
      <c r="Q403" s="1036"/>
      <c r="R403" s="1036"/>
      <c r="S403" s="1036"/>
      <c r="T403" s="1036"/>
      <c r="U403" s="1037"/>
    </row>
    <row r="404" spans="2:24" hidden="1" outlineLevel="1">
      <c r="B404" s="1050"/>
      <c r="C404" s="1050"/>
      <c r="D404" s="1051">
        <f t="shared" si="43"/>
        <v>31</v>
      </c>
      <c r="E404" s="1051" t="str">
        <f>IF(COUNTIF(E$333:E403,F404)&gt;0,"",F404)</f>
        <v/>
      </c>
      <c r="F404" s="1051" t="str">
        <f t="shared" si="44"/>
        <v/>
      </c>
      <c r="G404" s="1055" t="str">
        <f t="shared" si="45"/>
        <v/>
      </c>
      <c r="I404" s="1100"/>
      <c r="J404" s="1048"/>
      <c r="K404" s="1119"/>
      <c r="L404" s="1048"/>
      <c r="M404" s="1033"/>
      <c r="N404" s="1048"/>
      <c r="O404" s="1036"/>
      <c r="P404" s="1036"/>
      <c r="Q404" s="1036"/>
      <c r="R404" s="1036"/>
      <c r="S404" s="1036"/>
      <c r="T404" s="1036"/>
      <c r="U404" s="1037"/>
    </row>
    <row r="405" spans="2:24" hidden="1" outlineLevel="1">
      <c r="B405" s="1050"/>
      <c r="C405" s="1050"/>
      <c r="D405" s="1051">
        <f t="shared" si="43"/>
        <v>31</v>
      </c>
      <c r="E405" s="1051" t="str">
        <f>IF(COUNTIF(E$333:E404,F405)&gt;0,"",F405)</f>
        <v/>
      </c>
      <c r="F405" s="1051" t="str">
        <f t="shared" si="44"/>
        <v/>
      </c>
      <c r="G405" s="1055" t="str">
        <f t="shared" si="45"/>
        <v/>
      </c>
      <c r="I405" s="1100"/>
      <c r="J405" s="1048"/>
      <c r="K405" s="1048"/>
      <c r="L405" s="1048"/>
      <c r="M405" s="1048"/>
      <c r="N405" s="1048"/>
      <c r="O405" s="1048"/>
      <c r="P405" s="1048"/>
      <c r="Q405" s="1048"/>
      <c r="R405" s="1048"/>
      <c r="S405" s="1048"/>
      <c r="T405" s="1048"/>
      <c r="U405" s="1102"/>
    </row>
    <row r="406" spans="2:24" hidden="1" outlineLevel="1">
      <c r="B406" s="1050"/>
      <c r="C406" s="1050"/>
      <c r="D406" s="1051">
        <f t="shared" si="43"/>
        <v>31</v>
      </c>
      <c r="E406" s="1051" t="str">
        <f>IF(COUNTIF(E$333:E405,F406)&gt;0,"",F406)</f>
        <v/>
      </c>
      <c r="F406" s="1051" t="str">
        <f t="shared" si="44"/>
        <v/>
      </c>
      <c r="G406" s="1055" t="str">
        <f t="shared" si="45"/>
        <v/>
      </c>
      <c r="I406" s="1100"/>
      <c r="J406" s="1048"/>
      <c r="K406" s="1048"/>
      <c r="L406" s="1048"/>
      <c r="M406" s="1048"/>
      <c r="N406" s="1048"/>
      <c r="O406" s="1048"/>
      <c r="P406" s="1048"/>
      <c r="Q406" s="1048"/>
      <c r="R406" s="1048"/>
      <c r="S406" s="1048"/>
      <c r="T406" s="1048"/>
      <c r="U406" s="1102"/>
    </row>
    <row r="407" spans="2:24" hidden="1" outlineLevel="1">
      <c r="B407" s="1050"/>
      <c r="C407" s="1050"/>
      <c r="D407" s="1051">
        <f t="shared" si="43"/>
        <v>31</v>
      </c>
      <c r="E407" s="1051" t="str">
        <f>IF(COUNTIF(E$333:E406,F407)&gt;0,"",F407)</f>
        <v/>
      </c>
      <c r="F407" s="1051" t="str">
        <f t="shared" si="44"/>
        <v/>
      </c>
      <c r="G407" s="1055" t="str">
        <f t="shared" si="45"/>
        <v/>
      </c>
      <c r="I407" s="1100"/>
      <c r="J407" s="1048"/>
      <c r="K407" s="1048"/>
      <c r="L407" s="1048"/>
      <c r="M407" s="1048"/>
      <c r="N407" s="1048"/>
      <c r="O407" s="1048"/>
      <c r="P407" s="1048"/>
      <c r="Q407" s="1048"/>
      <c r="R407" s="1048"/>
      <c r="S407" s="1048"/>
      <c r="T407" s="1048"/>
      <c r="U407" s="1102"/>
    </row>
    <row r="408" spans="2:24" hidden="1" outlineLevel="1">
      <c r="B408" s="1050"/>
      <c r="C408" s="1050"/>
      <c r="D408" s="1051">
        <f t="shared" si="43"/>
        <v>31</v>
      </c>
      <c r="E408" s="1051" t="str">
        <f>IF(COUNTIF(E$333:E407,F408)&gt;0,"",F408)</f>
        <v/>
      </c>
      <c r="F408" s="1051" t="str">
        <f t="shared" si="44"/>
        <v/>
      </c>
      <c r="G408" s="1055" t="str">
        <f t="shared" si="45"/>
        <v/>
      </c>
      <c r="I408" s="1103"/>
      <c r="J408" s="1104"/>
      <c r="K408" s="1104"/>
      <c r="L408" s="1104"/>
      <c r="M408" s="1104"/>
      <c r="N408" s="1104"/>
      <c r="O408" s="1104"/>
      <c r="P408" s="1104"/>
      <c r="Q408" s="1104"/>
      <c r="R408" s="1104"/>
      <c r="S408" s="1104"/>
      <c r="T408" s="1104"/>
      <c r="U408" s="1106"/>
    </row>
    <row r="409" spans="2:24"/>
    <row r="410" spans="2:24" ht="15.6" collapsed="1">
      <c r="I410" s="3167" t="s">
        <v>2231</v>
      </c>
      <c r="J410" s="3168"/>
      <c r="K410" s="3168"/>
      <c r="L410" s="3168"/>
      <c r="M410" s="3168"/>
      <c r="N410" s="3168"/>
      <c r="O410" s="3168"/>
      <c r="P410" s="3168"/>
      <c r="Q410" s="3168"/>
      <c r="R410" s="3168"/>
      <c r="S410" s="3168"/>
      <c r="T410" s="3168"/>
      <c r="U410" s="3169"/>
    </row>
    <row r="411" spans="2:24" hidden="1" outlineLevel="1">
      <c r="R411" s="1083"/>
    </row>
    <row r="412" spans="2:24" ht="12.75" hidden="1" customHeight="1" outlineLevel="1">
      <c r="B412" s="3154" t="s">
        <v>1617</v>
      </c>
      <c r="C412" s="3154"/>
      <c r="D412" s="3157" t="s">
        <v>1619</v>
      </c>
      <c r="E412" s="3157"/>
      <c r="F412" s="1151" t="s">
        <v>1616</v>
      </c>
      <c r="G412" s="1053" t="s">
        <v>1618</v>
      </c>
      <c r="H412" s="1044"/>
      <c r="I412" s="1038" t="s">
        <v>1557</v>
      </c>
      <c r="J412" s="1040" t="s">
        <v>1266</v>
      </c>
      <c r="K412" s="1043" t="s">
        <v>224</v>
      </c>
      <c r="L412" s="1043" t="s">
        <v>1558</v>
      </c>
      <c r="M412" s="1039" t="s">
        <v>366</v>
      </c>
      <c r="N412" s="1040" t="s">
        <v>1559</v>
      </c>
      <c r="O412" s="1041" t="s">
        <v>1560</v>
      </c>
      <c r="P412" s="1043" t="s">
        <v>211</v>
      </c>
      <c r="Q412" s="1043" t="s">
        <v>1561</v>
      </c>
      <c r="R412" s="1041" t="s">
        <v>1562</v>
      </c>
      <c r="S412" s="1041" t="s">
        <v>267</v>
      </c>
      <c r="T412" s="1043" t="s">
        <v>1563</v>
      </c>
      <c r="U412" s="1042" t="s">
        <v>1564</v>
      </c>
      <c r="V412" s="3241" t="s">
        <v>4077</v>
      </c>
      <c r="W412" s="3242"/>
    </row>
    <row r="413" spans="2:24" s="1045" customFormat="1" ht="12.75" hidden="1" customHeight="1" outlineLevel="1">
      <c r="B413" s="3156" t="s">
        <v>2231</v>
      </c>
      <c r="C413" s="3156"/>
      <c r="D413" s="1051">
        <v>0</v>
      </c>
      <c r="E413" s="1051"/>
      <c r="F413" s="1051"/>
      <c r="G413" s="1054"/>
      <c r="H413" s="1046"/>
      <c r="I413" s="1688"/>
      <c r="J413" s="1689"/>
      <c r="K413" s="1690"/>
      <c r="L413" s="1690"/>
      <c r="M413" s="1691"/>
      <c r="N413" s="1689"/>
      <c r="O413" s="1692"/>
      <c r="P413" s="1690"/>
      <c r="Q413" s="1690"/>
      <c r="R413" s="1692"/>
      <c r="S413" s="1692"/>
      <c r="T413" s="1690"/>
      <c r="U413" s="1693"/>
      <c r="V413" s="3241"/>
      <c r="W413" s="3242"/>
    </row>
    <row r="414" spans="2:24" ht="12" hidden="1" customHeight="1" outlineLevel="1">
      <c r="B414" s="1050">
        <v>1</v>
      </c>
      <c r="C414" s="1050" t="str">
        <f>IF(ISNA(VLOOKUP(B414,$D$413:$E$551,2,FALSE)),"-",VLOOKUP(B414,$D$413:$E$551,2,FALSE))</f>
        <v>Avion passagers, 101-220 sièges, 1000 - 3500 km, avec trainées, France continentale, Base Carbone</v>
      </c>
      <c r="D414" s="1051">
        <f>D413+IF(LEN(E414)&gt;0,1,0)</f>
        <v>1</v>
      </c>
      <c r="E414" s="1051" t="str">
        <f>IF(COUNTIF(E$413:E413,F414)&gt;0,"",F414)</f>
        <v>Avion passagers, 101-220 sièges, 1000 - 3500 km, avec trainées, France continentale, Base Carbone</v>
      </c>
      <c r="F414" s="1051" t="str">
        <f>IF(I414&lt;&gt;"",I414&amp;IF(L414&lt;&gt;"",", "&amp;L414,"")&amp;IF(K414&lt;&gt;"",", "&amp;K414,""),"")</f>
        <v>Avion passagers, 101-220 sièges, 1000 - 3500 km, avec trainées, France continentale, Base Carbone</v>
      </c>
      <c r="G414" s="1055" t="str">
        <f>IF(F414&lt;&gt;"",F414&amp;IF(J414&lt;&gt;"","; "&amp;J414&amp;IF(N414&lt;&gt;""," "&amp;N414,),""),"")</f>
        <v>Avion passagers, 101-220 sièges, 1000 - 3500 km, avec trainées, France continentale, Base Carbone; kgCO2e/passager eq.km Combustion</v>
      </c>
      <c r="I414" s="1031" t="s">
        <v>4775</v>
      </c>
      <c r="J414" s="1119" t="s">
        <v>4059</v>
      </c>
      <c r="K414" s="1119" t="s">
        <v>1567</v>
      </c>
      <c r="L414" s="1032" t="s">
        <v>1571</v>
      </c>
      <c r="M414" s="1033">
        <v>0.7</v>
      </c>
      <c r="N414" s="1135" t="s">
        <v>1569</v>
      </c>
      <c r="O414" s="1036">
        <v>8.4099999999999994E-2</v>
      </c>
      <c r="P414" s="1036">
        <v>8.3500000000000005E-2</v>
      </c>
      <c r="Q414" s="1036">
        <v>9.0000000000000002E-6</v>
      </c>
      <c r="R414" s="1036">
        <v>0</v>
      </c>
      <c r="S414" s="1036">
        <v>6.0999999999999997E-4</v>
      </c>
      <c r="T414" s="1036">
        <v>0</v>
      </c>
      <c r="U414" s="1037">
        <v>0</v>
      </c>
      <c r="V414" s="3239">
        <v>2250</v>
      </c>
      <c r="W414" s="3240"/>
      <c r="X414" s="1979"/>
    </row>
    <row r="415" spans="2:24" ht="12" hidden="1" customHeight="1" outlineLevel="1">
      <c r="B415" s="1050">
        <v>2</v>
      </c>
      <c r="C415" s="1050" t="str">
        <f t="shared" ref="C415:C468" si="46">IF(ISNA(VLOOKUP(B415,$D$413:$E$551,2,FALSE)),"-",VLOOKUP(B415,$D$413:$E$551,2,FALSE))</f>
        <v>Avion passagers, 101-220 sièges, 1000 - 3500 km, sans trainées, France continentale, Base Carbone</v>
      </c>
      <c r="D415" s="1051">
        <f t="shared" ref="D415:D478" si="47">D414+IF(LEN(E415)&gt;0,1,0)</f>
        <v>1</v>
      </c>
      <c r="E415" s="1051" t="str">
        <f>IF(COUNTIF(E$413:E414,F415)&gt;0,"",F415)</f>
        <v/>
      </c>
      <c r="F415" s="1051" t="str">
        <f t="shared" ref="F415:F478" si="48">IF(I415&lt;&gt;"",I415&amp;IF(L415&lt;&gt;"",", "&amp;L415,"")&amp;IF(K415&lt;&gt;"",", "&amp;K415,""),"")</f>
        <v>Avion passagers, 101-220 sièges, 1000 - 3500 km, avec trainées, France continentale, Base Carbone</v>
      </c>
      <c r="G415" s="1055" t="str">
        <f t="shared" ref="G415:G478" si="49">IF(F415&lt;&gt;"",F415&amp;IF(J415&lt;&gt;"","; "&amp;J415&amp;IF(N415&lt;&gt;""," "&amp;N415,),""),"")</f>
        <v>Avion passagers, 101-220 sièges, 1000 - 3500 km, avec trainées, France continentale, Base Carbone; kgCO2e/passager eq.km Emissions fugitives</v>
      </c>
      <c r="I415" s="1031" t="s">
        <v>4775</v>
      </c>
      <c r="J415" s="1119" t="s">
        <v>4059</v>
      </c>
      <c r="K415" s="1119" t="s">
        <v>1567</v>
      </c>
      <c r="L415" s="1135" t="s">
        <v>1571</v>
      </c>
      <c r="M415" s="1033">
        <v>0.7</v>
      </c>
      <c r="N415" s="1135" t="s">
        <v>1764</v>
      </c>
      <c r="O415" s="1036">
        <v>8.4199999999999997E-2</v>
      </c>
      <c r="P415" s="2581">
        <v>0</v>
      </c>
      <c r="Q415" s="1036">
        <v>0</v>
      </c>
      <c r="R415" s="1036">
        <v>0</v>
      </c>
      <c r="S415" s="1036">
        <v>0</v>
      </c>
      <c r="T415" s="1036">
        <v>8.4199999999999997E-2</v>
      </c>
      <c r="U415" s="1037">
        <v>0</v>
      </c>
      <c r="V415" s="3239">
        <v>2250</v>
      </c>
      <c r="W415" s="3240"/>
      <c r="X415" s="1979"/>
    </row>
    <row r="416" spans="2:24" ht="12" hidden="1" customHeight="1" outlineLevel="1">
      <c r="B416" s="1050">
        <v>3</v>
      </c>
      <c r="C416" s="1050" t="str">
        <f t="shared" si="46"/>
        <v>Avion passagers, 101-220 sièges, 500 - 1000 km, avec trainées, France continentale, Base Carbone</v>
      </c>
      <c r="D416" s="1051">
        <f t="shared" si="47"/>
        <v>1</v>
      </c>
      <c r="E416" s="1051" t="str">
        <f>IF(COUNTIF(E$413:E415,F416)&gt;0,"",F416)</f>
        <v/>
      </c>
      <c r="F416" s="1051" t="str">
        <f t="shared" si="48"/>
        <v>Avion passagers, 101-220 sièges, 1000 - 3500 km, avec trainées, France continentale, Base Carbone</v>
      </c>
      <c r="G416" s="1055" t="str">
        <f t="shared" si="49"/>
        <v>Avion passagers, 101-220 sièges, 1000 - 3500 km, avec trainées, France continentale, Base Carbone; kgCO2e/passager eq.km Amont</v>
      </c>
      <c r="I416" s="1031" t="s">
        <v>4775</v>
      </c>
      <c r="J416" s="1119" t="s">
        <v>4059</v>
      </c>
      <c r="K416" s="1119" t="s">
        <v>1567</v>
      </c>
      <c r="L416" s="1135" t="s">
        <v>1571</v>
      </c>
      <c r="M416" s="1033">
        <v>0.7</v>
      </c>
      <c r="N416" s="1135" t="s">
        <v>1570</v>
      </c>
      <c r="O416" s="1036">
        <v>1.7500000000000002E-2</v>
      </c>
      <c r="P416" s="1036">
        <v>1.5900000000000001E-2</v>
      </c>
      <c r="Q416" s="1036">
        <v>7.9799999999999999E-4</v>
      </c>
      <c r="R416" s="1036">
        <v>0</v>
      </c>
      <c r="S416" s="1036">
        <v>7.9500000000000003E-4</v>
      </c>
      <c r="T416" s="1036">
        <v>0</v>
      </c>
      <c r="U416" s="1037">
        <v>0</v>
      </c>
      <c r="V416" s="3239">
        <v>2250</v>
      </c>
      <c r="W416" s="3240"/>
      <c r="X416" s="1979"/>
    </row>
    <row r="417" spans="2:24" ht="12" hidden="1" customHeight="1" outlineLevel="1">
      <c r="B417" s="1050">
        <v>4</v>
      </c>
      <c r="C417" s="1050" t="str">
        <f t="shared" si="46"/>
        <v>Avion passagers, 101-220 sièges, 500 - 1000 km, sans trainées, France continentale, Base Carbone</v>
      </c>
      <c r="D417" s="1051">
        <f t="shared" si="47"/>
        <v>1</v>
      </c>
      <c r="E417" s="1051" t="str">
        <f>IF(COUNTIF(E$413:E416,F417)&gt;0,"",F417)</f>
        <v/>
      </c>
      <c r="F417" s="1051" t="str">
        <f t="shared" si="48"/>
        <v>Avion passagers, 101-220 sièges, 1000 - 3500 km, avec trainées, France continentale, Base Carbone</v>
      </c>
      <c r="G417" s="1055" t="str">
        <f t="shared" si="49"/>
        <v>Avion passagers, 101-220 sièges, 1000 - 3500 km, avec trainées, France continentale, Base Carbone; kgCO2e/passager eq.km Fabrication</v>
      </c>
      <c r="I417" s="1031" t="s">
        <v>4775</v>
      </c>
      <c r="J417" s="1119" t="s">
        <v>4059</v>
      </c>
      <c r="K417" s="1119" t="s">
        <v>1567</v>
      </c>
      <c r="L417" s="1135" t="s">
        <v>1571</v>
      </c>
      <c r="M417" s="1033">
        <v>0.7</v>
      </c>
      <c r="N417" s="1135" t="s">
        <v>332</v>
      </c>
      <c r="O417" s="1036">
        <v>3.6000000000000002E-4</v>
      </c>
      <c r="P417" s="1036">
        <v>3.6000000000000002E-4</v>
      </c>
      <c r="Q417" s="1036">
        <v>0</v>
      </c>
      <c r="R417" s="1036">
        <v>0</v>
      </c>
      <c r="S417" s="1036">
        <v>0</v>
      </c>
      <c r="T417" s="1036">
        <v>0</v>
      </c>
      <c r="U417" s="1037">
        <v>0</v>
      </c>
      <c r="V417" s="3239">
        <v>2250</v>
      </c>
      <c r="W417" s="3240"/>
      <c r="X417" s="1979"/>
    </row>
    <row r="418" spans="2:24" ht="12" hidden="1" customHeight="1" outlineLevel="1">
      <c r="B418" s="1050">
        <v>5</v>
      </c>
      <c r="C418" s="1050" t="str">
        <f t="shared" si="46"/>
        <v>Avion passagers, 101-220 sièges, &lt; 500 km jet, avec trainées, France continentale, Base Carbone</v>
      </c>
      <c r="D418" s="1051">
        <f t="shared" si="47"/>
        <v>2</v>
      </c>
      <c r="E418" s="1051" t="str">
        <f>IF(COUNTIF(E$413:E417,F418)&gt;0,"",F418)</f>
        <v>Avion passagers, 101-220 sièges, 1000 - 3500 km, sans trainées, France continentale, Base Carbone</v>
      </c>
      <c r="F418" s="1051" t="str">
        <f t="shared" si="48"/>
        <v>Avion passagers, 101-220 sièges, 1000 - 3500 km, sans trainées, France continentale, Base Carbone</v>
      </c>
      <c r="G418" s="1055" t="str">
        <f t="shared" si="49"/>
        <v>Avion passagers, 101-220 sièges, 1000 - 3500 km, sans trainées, France continentale, Base Carbone; kgCO2e/passager eq.km Combustion</v>
      </c>
      <c r="I418" s="1031" t="s">
        <v>4776</v>
      </c>
      <c r="J418" s="1119" t="s">
        <v>4059</v>
      </c>
      <c r="K418" s="1119" t="s">
        <v>1567</v>
      </c>
      <c r="L418" s="1135" t="s">
        <v>1571</v>
      </c>
      <c r="M418" s="1033">
        <v>0.1</v>
      </c>
      <c r="N418" s="1135" t="s">
        <v>1569</v>
      </c>
      <c r="O418" s="1036">
        <v>8.4099999999999994E-2</v>
      </c>
      <c r="P418" s="1036">
        <v>8.3500000000000005E-2</v>
      </c>
      <c r="Q418" s="1036">
        <v>9.0000000000000002E-6</v>
      </c>
      <c r="R418" s="1036">
        <v>0</v>
      </c>
      <c r="S418" s="1036">
        <v>6.0999999999999997E-4</v>
      </c>
      <c r="T418" s="1036">
        <v>0</v>
      </c>
      <c r="U418" s="1037">
        <v>0</v>
      </c>
      <c r="V418" s="3239">
        <v>2250</v>
      </c>
      <c r="W418" s="3240"/>
      <c r="X418" s="1979"/>
    </row>
    <row r="419" spans="2:24" ht="12" hidden="1" customHeight="1" outlineLevel="1">
      <c r="B419" s="1050">
        <v>6</v>
      </c>
      <c r="C419" s="1050" t="str">
        <f t="shared" si="46"/>
        <v>Avion passagers, 101-220 sièges, &lt; 500 km jet, sans trainées, France continentale, Base Carbone</v>
      </c>
      <c r="D419" s="1051">
        <f t="shared" si="47"/>
        <v>2</v>
      </c>
      <c r="E419" s="1051" t="str">
        <f>IF(COUNTIF(E$413:E418,F419)&gt;0,"",F419)</f>
        <v/>
      </c>
      <c r="F419" s="1051" t="str">
        <f t="shared" si="48"/>
        <v>Avion passagers, 101-220 sièges, 1000 - 3500 km, sans trainées, France continentale, Base Carbone</v>
      </c>
      <c r="G419" s="1055" t="str">
        <f t="shared" si="49"/>
        <v>Avion passagers, 101-220 sièges, 1000 - 3500 km, sans trainées, France continentale, Base Carbone; kgCO2e/passager eq.km Amont</v>
      </c>
      <c r="I419" s="1031" t="s">
        <v>4776</v>
      </c>
      <c r="J419" s="1119" t="s">
        <v>4059</v>
      </c>
      <c r="K419" s="1119" t="s">
        <v>1567</v>
      </c>
      <c r="L419" s="1135" t="s">
        <v>1571</v>
      </c>
      <c r="M419" s="1033">
        <v>0.1</v>
      </c>
      <c r="N419" s="1135" t="s">
        <v>1570</v>
      </c>
      <c r="O419" s="1036">
        <v>1.7500000000000002E-2</v>
      </c>
      <c r="P419" s="2581">
        <v>1.5900000000000001E-2</v>
      </c>
      <c r="Q419" s="1036">
        <v>7.9799999999999999E-4</v>
      </c>
      <c r="R419" s="1036">
        <v>0</v>
      </c>
      <c r="S419" s="1036">
        <v>7.9500000000000003E-4</v>
      </c>
      <c r="T419" s="1036">
        <v>0</v>
      </c>
      <c r="U419" s="1037">
        <v>0</v>
      </c>
      <c r="V419" s="3239">
        <v>2250</v>
      </c>
      <c r="W419" s="3240"/>
      <c r="X419" s="1979"/>
    </row>
    <row r="420" spans="2:24" ht="12" hidden="1" customHeight="1" outlineLevel="1">
      <c r="B420" s="1050">
        <v>7</v>
      </c>
      <c r="C420" s="1050" t="str">
        <f t="shared" si="46"/>
        <v>Avion passagers, 101-220 sièges, &gt; 3500 km, avec trainées, France continentale, Base Carbone</v>
      </c>
      <c r="D420" s="1051">
        <f t="shared" si="47"/>
        <v>2</v>
      </c>
      <c r="E420" s="1051" t="str">
        <f>IF(COUNTIF(E$413:E419,F420)&gt;0,"",F420)</f>
        <v/>
      </c>
      <c r="F420" s="1051" t="str">
        <f t="shared" si="48"/>
        <v>Avion passagers, 101-220 sièges, 1000 - 3500 km, sans trainées, France continentale, Base Carbone</v>
      </c>
      <c r="G420" s="1055" t="str">
        <f t="shared" si="49"/>
        <v>Avion passagers, 101-220 sièges, 1000 - 3500 km, sans trainées, France continentale, Base Carbone; kgCO2e/passager eq.km Fabrication</v>
      </c>
      <c r="I420" s="1031" t="s">
        <v>4776</v>
      </c>
      <c r="J420" s="1119" t="s">
        <v>4059</v>
      </c>
      <c r="K420" s="1119" t="s">
        <v>1567</v>
      </c>
      <c r="L420" s="1135" t="s">
        <v>1571</v>
      </c>
      <c r="M420" s="1033">
        <v>0.1</v>
      </c>
      <c r="N420" s="1135" t="s">
        <v>332</v>
      </c>
      <c r="O420" s="1036">
        <v>3.6000000000000002E-4</v>
      </c>
      <c r="P420" s="2581">
        <v>3.6000000000000002E-4</v>
      </c>
      <c r="Q420" s="1036">
        <v>0</v>
      </c>
      <c r="R420" s="1036">
        <v>0</v>
      </c>
      <c r="S420" s="1036">
        <v>0</v>
      </c>
      <c r="T420" s="1036">
        <v>0</v>
      </c>
      <c r="U420" s="1037">
        <v>0</v>
      </c>
      <c r="V420" s="3239">
        <v>225</v>
      </c>
      <c r="W420" s="3240"/>
      <c r="X420" s="1979"/>
    </row>
    <row r="421" spans="2:24" ht="12" hidden="1" customHeight="1" outlineLevel="1">
      <c r="B421" s="1050">
        <v>8</v>
      </c>
      <c r="C421" s="1050" t="str">
        <f t="shared" si="46"/>
        <v>Avion passagers, 101-220 sièges, &gt; 3500 km, sans trainées, France continentale, Base Carbone</v>
      </c>
      <c r="D421" s="1051">
        <f t="shared" si="47"/>
        <v>3</v>
      </c>
      <c r="E421" s="1051" t="str">
        <f>IF(COUNTIF(E$413:E420,F421)&gt;0,"",F421)</f>
        <v>Avion passagers, 101-220 sièges, 500 - 1000 km, avec trainées, France continentale, Base Carbone</v>
      </c>
      <c r="F421" s="1051" t="str">
        <f t="shared" si="48"/>
        <v>Avion passagers, 101-220 sièges, 500 - 1000 km, avec trainées, France continentale, Base Carbone</v>
      </c>
      <c r="G421" s="1055" t="str">
        <f t="shared" si="49"/>
        <v>Avion passagers, 101-220 sièges, 500 - 1000 km, avec trainées, France continentale, Base Carbone; kgCO2e/passager eq.km Combustion</v>
      </c>
      <c r="I421" s="1034" t="s">
        <v>4777</v>
      </c>
      <c r="J421" s="1119" t="s">
        <v>4059</v>
      </c>
      <c r="K421" s="1119" t="s">
        <v>1567</v>
      </c>
      <c r="L421" s="1135" t="s">
        <v>1571</v>
      </c>
      <c r="M421" s="1033">
        <v>0.7</v>
      </c>
      <c r="N421" s="1135" t="s">
        <v>1569</v>
      </c>
      <c r="O421" s="1036">
        <v>0.104</v>
      </c>
      <c r="P421" s="1036">
        <v>0.10299999999999999</v>
      </c>
      <c r="Q421" s="1036">
        <v>2.0999999999999999E-5</v>
      </c>
      <c r="R421" s="1036">
        <v>0</v>
      </c>
      <c r="S421" s="1036">
        <v>7.6900000000000004E-4</v>
      </c>
      <c r="T421" s="1036">
        <v>0</v>
      </c>
      <c r="U421" s="1037">
        <v>0</v>
      </c>
      <c r="V421" s="3239">
        <v>750</v>
      </c>
      <c r="W421" s="3240"/>
      <c r="X421" s="1979"/>
    </row>
    <row r="422" spans="2:24" ht="12" hidden="1" customHeight="1" outlineLevel="1">
      <c r="B422" s="1050">
        <v>9</v>
      </c>
      <c r="C422" s="1050" t="str">
        <f t="shared" si="46"/>
        <v>Avion passagers, 20-50 sièges, 1000 - 3500 km, avec trainées, France continentale, Base Carbone</v>
      </c>
      <c r="D422" s="1051">
        <f t="shared" si="47"/>
        <v>3</v>
      </c>
      <c r="E422" s="1051" t="str">
        <f>IF(COUNTIF(E$413:E421,F422)&gt;0,"",F422)</f>
        <v/>
      </c>
      <c r="F422" s="1051" t="str">
        <f t="shared" si="48"/>
        <v>Avion passagers, 101-220 sièges, 500 - 1000 km, avec trainées, France continentale, Base Carbone</v>
      </c>
      <c r="G422" s="1055" t="str">
        <f t="shared" si="49"/>
        <v>Avion passagers, 101-220 sièges, 500 - 1000 km, avec trainées, France continentale, Base Carbone; kgCO2e/passager eq.km Emissions fugitives</v>
      </c>
      <c r="I422" s="1031" t="s">
        <v>4777</v>
      </c>
      <c r="J422" s="1119" t="s">
        <v>4059</v>
      </c>
      <c r="K422" s="1119" t="s">
        <v>1567</v>
      </c>
      <c r="L422" s="1135" t="s">
        <v>1571</v>
      </c>
      <c r="M422" s="1033">
        <v>0.7</v>
      </c>
      <c r="N422" s="1135" t="s">
        <v>1764</v>
      </c>
      <c r="O422" s="1036">
        <v>0.104</v>
      </c>
      <c r="P422" s="1036">
        <v>0</v>
      </c>
      <c r="Q422" s="1036">
        <v>0</v>
      </c>
      <c r="R422" s="1036">
        <v>0</v>
      </c>
      <c r="S422" s="1036">
        <v>0</v>
      </c>
      <c r="T422" s="1036">
        <v>0.104</v>
      </c>
      <c r="U422" s="1037">
        <v>0</v>
      </c>
      <c r="V422" s="3239">
        <v>750</v>
      </c>
      <c r="W422" s="3240"/>
      <c r="X422" s="1979"/>
    </row>
    <row r="423" spans="2:24" ht="12" hidden="1" customHeight="1" outlineLevel="1">
      <c r="B423" s="1050">
        <v>10</v>
      </c>
      <c r="C423" s="1050" t="str">
        <f t="shared" si="46"/>
        <v>Avion passagers, 20-50 sièges, 1000 - 3500 km, sans trainées, France continentale, Base Carbone</v>
      </c>
      <c r="D423" s="1051">
        <f t="shared" si="47"/>
        <v>3</v>
      </c>
      <c r="E423" s="1051" t="str">
        <f>IF(COUNTIF(E$413:E422,F423)&gt;0,"",F423)</f>
        <v/>
      </c>
      <c r="F423" s="1051" t="str">
        <f t="shared" si="48"/>
        <v>Avion passagers, 101-220 sièges, 500 - 1000 km, avec trainées, France continentale, Base Carbone</v>
      </c>
      <c r="G423" s="1055" t="str">
        <f t="shared" si="49"/>
        <v>Avion passagers, 101-220 sièges, 500 - 1000 km, avec trainées, France continentale, Base Carbone; kgCO2e/passager eq.km Amont</v>
      </c>
      <c r="I423" s="1031" t="s">
        <v>4777</v>
      </c>
      <c r="J423" s="1119" t="s">
        <v>4059</v>
      </c>
      <c r="K423" s="1119" t="s">
        <v>1567</v>
      </c>
      <c r="L423" s="1135" t="s">
        <v>1571</v>
      </c>
      <c r="M423" s="1033">
        <v>0.7</v>
      </c>
      <c r="N423" s="1135" t="s">
        <v>1570</v>
      </c>
      <c r="O423" s="1036">
        <v>2.1600000000000001E-2</v>
      </c>
      <c r="P423" s="2581">
        <v>1.9599999999999999E-2</v>
      </c>
      <c r="Q423" s="1036">
        <v>9.810000000000001E-4</v>
      </c>
      <c r="R423" s="1036">
        <v>0</v>
      </c>
      <c r="S423" s="1036">
        <v>9.810000000000001E-4</v>
      </c>
      <c r="T423" s="1036">
        <v>0</v>
      </c>
      <c r="U423" s="1037">
        <v>0</v>
      </c>
      <c r="V423" s="3239">
        <v>750</v>
      </c>
      <c r="W423" s="3240"/>
      <c r="X423" s="1979"/>
    </row>
    <row r="424" spans="2:24" ht="12" hidden="1" customHeight="1" outlineLevel="1">
      <c r="B424" s="1050">
        <v>11</v>
      </c>
      <c r="C424" s="1050" t="str">
        <f t="shared" si="46"/>
        <v>Avion passagers, 20-50 sièges, 500 - 1000 km, avec trainées, France continentale, Base Carbone</v>
      </c>
      <c r="D424" s="1051">
        <f t="shared" si="47"/>
        <v>3</v>
      </c>
      <c r="E424" s="1051" t="str">
        <f>IF(COUNTIF(E$413:E423,F424)&gt;0,"",F424)</f>
        <v/>
      </c>
      <c r="F424" s="1051" t="str">
        <f t="shared" si="48"/>
        <v>Avion passagers, 101-220 sièges, 500 - 1000 km, avec trainées, France continentale, Base Carbone</v>
      </c>
      <c r="G424" s="1055" t="str">
        <f t="shared" si="49"/>
        <v>Avion passagers, 101-220 sièges, 500 - 1000 km, avec trainées, France continentale, Base Carbone; kgCO2e/passager eq.km Fabrication</v>
      </c>
      <c r="I424" s="1031" t="s">
        <v>4777</v>
      </c>
      <c r="J424" s="1119" t="s">
        <v>4059</v>
      </c>
      <c r="K424" s="1119" t="s">
        <v>1567</v>
      </c>
      <c r="L424" s="1135" t="s">
        <v>1571</v>
      </c>
      <c r="M424" s="1033">
        <v>0.7</v>
      </c>
      <c r="N424" s="1135" t="s">
        <v>332</v>
      </c>
      <c r="O424" s="1036">
        <v>3.6999999999999999E-4</v>
      </c>
      <c r="P424" s="2581">
        <v>3.6999999999999999E-4</v>
      </c>
      <c r="Q424" s="1036">
        <v>0</v>
      </c>
      <c r="R424" s="1036">
        <v>0</v>
      </c>
      <c r="S424" s="1036">
        <v>0</v>
      </c>
      <c r="T424" s="1036">
        <v>0</v>
      </c>
      <c r="U424" s="1037">
        <v>0</v>
      </c>
      <c r="V424" s="3239">
        <v>750</v>
      </c>
      <c r="W424" s="3240"/>
      <c r="X424" s="1979"/>
    </row>
    <row r="425" spans="2:24" ht="12" hidden="1" customHeight="1" outlineLevel="1">
      <c r="B425" s="1050">
        <v>12</v>
      </c>
      <c r="C425" s="1050" t="str">
        <f t="shared" si="46"/>
        <v>Avion passagers, 20-50 sièges, 500 - 1000 km, sans trainées, France continentale, Base Carbone</v>
      </c>
      <c r="D425" s="1051">
        <f t="shared" si="47"/>
        <v>4</v>
      </c>
      <c r="E425" s="1051" t="str">
        <f>IF(COUNTIF(E$413:E424,F425)&gt;0,"",F425)</f>
        <v>Avion passagers, 101-220 sièges, 500 - 1000 km, sans trainées, France continentale, Base Carbone</v>
      </c>
      <c r="F425" s="1051" t="str">
        <f t="shared" si="48"/>
        <v>Avion passagers, 101-220 sièges, 500 - 1000 km, sans trainées, France continentale, Base Carbone</v>
      </c>
      <c r="G425" s="1055" t="str">
        <f t="shared" si="49"/>
        <v>Avion passagers, 101-220 sièges, 500 - 1000 km, sans trainées, France continentale, Base Carbone; kgCO2e/passager eq.km Combustion</v>
      </c>
      <c r="I425" s="1031" t="s">
        <v>4778</v>
      </c>
      <c r="J425" s="1119" t="s">
        <v>4059</v>
      </c>
      <c r="K425" s="1119" t="s">
        <v>1567</v>
      </c>
      <c r="L425" s="1135" t="s">
        <v>1571</v>
      </c>
      <c r="M425" s="1033">
        <v>0.1</v>
      </c>
      <c r="N425" s="1135" t="s">
        <v>1569</v>
      </c>
      <c r="O425" s="1036">
        <v>0.104</v>
      </c>
      <c r="P425" s="1036">
        <v>0.10299999999999999</v>
      </c>
      <c r="Q425" s="1036">
        <v>2.0999999999999999E-5</v>
      </c>
      <c r="R425" s="1036">
        <v>0</v>
      </c>
      <c r="S425" s="1036">
        <v>7.6900000000000004E-4</v>
      </c>
      <c r="T425" s="1036">
        <v>0</v>
      </c>
      <c r="U425" s="1037">
        <v>0</v>
      </c>
      <c r="V425" s="3239">
        <v>750</v>
      </c>
      <c r="W425" s="3240"/>
      <c r="X425" s="1979"/>
    </row>
    <row r="426" spans="2:24" ht="12" hidden="1" customHeight="1" outlineLevel="1">
      <c r="B426" s="1050">
        <v>13</v>
      </c>
      <c r="C426" s="1050" t="str">
        <f t="shared" si="46"/>
        <v>Avion passagers, 20-50 sièges, &lt; 500 km jet, avec trainées, France continentale, Base Carbone</v>
      </c>
      <c r="D426" s="1051">
        <f t="shared" si="47"/>
        <v>4</v>
      </c>
      <c r="E426" s="1051" t="str">
        <f>IF(COUNTIF(E$413:E425,F426)&gt;0,"",F426)</f>
        <v/>
      </c>
      <c r="F426" s="1051" t="str">
        <f t="shared" si="48"/>
        <v>Avion passagers, 101-220 sièges, 500 - 1000 km, sans trainées, France continentale, Base Carbone</v>
      </c>
      <c r="G426" s="1055" t="str">
        <f t="shared" si="49"/>
        <v>Avion passagers, 101-220 sièges, 500 - 1000 km, sans trainées, France continentale, Base Carbone; kgCO2e/passager eq.km Amont</v>
      </c>
      <c r="I426" s="1031" t="s">
        <v>4778</v>
      </c>
      <c r="J426" s="1119" t="s">
        <v>4059</v>
      </c>
      <c r="K426" s="1119" t="s">
        <v>1567</v>
      </c>
      <c r="L426" s="1135" t="s">
        <v>1571</v>
      </c>
      <c r="M426" s="1033">
        <v>0.1</v>
      </c>
      <c r="N426" s="1135" t="s">
        <v>1570</v>
      </c>
      <c r="O426" s="1036">
        <v>2.1600000000000001E-2</v>
      </c>
      <c r="P426" s="1036">
        <v>1.9599999999999999E-2</v>
      </c>
      <c r="Q426" s="1036">
        <v>9.810000000000001E-4</v>
      </c>
      <c r="R426" s="1036">
        <v>0</v>
      </c>
      <c r="S426" s="1036">
        <v>9.810000000000001E-4</v>
      </c>
      <c r="T426" s="1036">
        <v>0</v>
      </c>
      <c r="U426" s="1037">
        <v>0</v>
      </c>
      <c r="V426" s="3239">
        <v>750</v>
      </c>
      <c r="W426" s="3240"/>
      <c r="X426" s="1979"/>
    </row>
    <row r="427" spans="2:24" ht="12" hidden="1" customHeight="1" outlineLevel="1">
      <c r="B427" s="1050">
        <v>14</v>
      </c>
      <c r="C427" s="1050" t="str">
        <f t="shared" si="46"/>
        <v>Avion passagers, 20-50 sièges, &lt; 500 km jet, sans trainées, France continentale, Base Carbone</v>
      </c>
      <c r="D427" s="1051">
        <f t="shared" si="47"/>
        <v>4</v>
      </c>
      <c r="E427" s="1051" t="str">
        <f>IF(COUNTIF(E$413:E426,F427)&gt;0,"",F427)</f>
        <v/>
      </c>
      <c r="F427" s="1051" t="str">
        <f t="shared" si="48"/>
        <v>Avion passagers, 101-220 sièges, 500 - 1000 km, sans trainées, France continentale, Base Carbone</v>
      </c>
      <c r="G427" s="1055" t="str">
        <f t="shared" si="49"/>
        <v>Avion passagers, 101-220 sièges, 500 - 1000 km, sans trainées, France continentale, Base Carbone; kgCO2e/passager eq.km Fabrication</v>
      </c>
      <c r="I427" s="1031" t="s">
        <v>4778</v>
      </c>
      <c r="J427" s="1119" t="s">
        <v>4059</v>
      </c>
      <c r="K427" s="1119" t="s">
        <v>1567</v>
      </c>
      <c r="L427" s="1135" t="s">
        <v>1571</v>
      </c>
      <c r="M427" s="1033">
        <v>0.1</v>
      </c>
      <c r="N427" s="1135" t="s">
        <v>332</v>
      </c>
      <c r="O427" s="1036">
        <v>3.6999999999999999E-4</v>
      </c>
      <c r="P427" s="1036">
        <v>3.6999999999999999E-4</v>
      </c>
      <c r="Q427" s="1036">
        <v>0</v>
      </c>
      <c r="R427" s="1036">
        <v>0</v>
      </c>
      <c r="S427" s="1036">
        <v>0</v>
      </c>
      <c r="T427" s="1036">
        <v>0</v>
      </c>
      <c r="U427" s="1037">
        <v>0</v>
      </c>
      <c r="V427" s="3239">
        <v>750</v>
      </c>
      <c r="W427" s="3240"/>
      <c r="X427" s="1979"/>
    </row>
    <row r="428" spans="2:24" ht="12" hidden="1" customHeight="1" outlineLevel="1">
      <c r="B428" s="1050">
        <v>15</v>
      </c>
      <c r="C428" s="1050" t="str">
        <f t="shared" si="46"/>
        <v>Avion passagers, 20-50 sièges, &lt; 500 km turboprop, avec trainées, France continentale, Base Carbone</v>
      </c>
      <c r="D428" s="1051">
        <f t="shared" si="47"/>
        <v>5</v>
      </c>
      <c r="E428" s="1051" t="str">
        <f>IF(COUNTIF(E$413:E427,F428)&gt;0,"",F428)</f>
        <v>Avion passagers, 101-220 sièges, &lt; 500 km jet, avec trainées, France continentale, Base Carbone</v>
      </c>
      <c r="F428" s="1051" t="str">
        <f t="shared" si="48"/>
        <v>Avion passagers, 101-220 sièges, &lt; 500 km jet, avec trainées, France continentale, Base Carbone</v>
      </c>
      <c r="G428" s="1055" t="str">
        <f t="shared" si="49"/>
        <v>Avion passagers, 101-220 sièges, &lt; 500 km jet, avec trainées, France continentale, Base Carbone; kgCO2e/passager eq.km Combustion</v>
      </c>
      <c r="I428" s="1031" t="s">
        <v>4779</v>
      </c>
      <c r="J428" s="1119" t="s">
        <v>4059</v>
      </c>
      <c r="K428" s="1119" t="s">
        <v>1567</v>
      </c>
      <c r="L428" s="1135" t="s">
        <v>1571</v>
      </c>
      <c r="M428" s="1033">
        <v>0.7</v>
      </c>
      <c r="N428" s="1135" t="s">
        <v>1569</v>
      </c>
      <c r="O428" s="1036">
        <v>0.13800000000000001</v>
      </c>
      <c r="P428" s="2581">
        <v>0.13700000000000001</v>
      </c>
      <c r="Q428" s="1036">
        <v>3.8999999999999999E-5</v>
      </c>
      <c r="R428" s="1036">
        <v>0</v>
      </c>
      <c r="S428" s="1036">
        <v>1.01E-3</v>
      </c>
      <c r="T428" s="1036">
        <v>0</v>
      </c>
      <c r="U428" s="1037">
        <v>0</v>
      </c>
      <c r="V428" s="3239">
        <v>250</v>
      </c>
      <c r="W428" s="3240"/>
      <c r="X428" s="1979"/>
    </row>
    <row r="429" spans="2:24" ht="12" hidden="1" customHeight="1" outlineLevel="1">
      <c r="B429" s="1050">
        <v>16</v>
      </c>
      <c r="C429" s="1050" t="str">
        <f t="shared" si="46"/>
        <v>Avion passagers, 20-50 sièges, &lt; 500 km turboprop, sans trainées, France continentale, Base Carbone</v>
      </c>
      <c r="D429" s="1051">
        <f t="shared" si="47"/>
        <v>5</v>
      </c>
      <c r="E429" s="1051" t="str">
        <f>IF(COUNTIF(E$413:E428,F429)&gt;0,"",F429)</f>
        <v/>
      </c>
      <c r="F429" s="1051" t="str">
        <f t="shared" si="48"/>
        <v>Avion passagers, 101-220 sièges, &lt; 500 km jet, avec trainées, France continentale, Base Carbone</v>
      </c>
      <c r="G429" s="1055" t="str">
        <f t="shared" si="49"/>
        <v>Avion passagers, 101-220 sièges, &lt; 500 km jet, avec trainées, France continentale, Base Carbone; kgCO2e/passager eq.km Emissions fugitives</v>
      </c>
      <c r="I429" s="1031" t="s">
        <v>4779</v>
      </c>
      <c r="J429" s="1119" t="s">
        <v>4059</v>
      </c>
      <c r="K429" s="1119" t="s">
        <v>1567</v>
      </c>
      <c r="L429" s="1135" t="s">
        <v>1571</v>
      </c>
      <c r="M429" s="1033">
        <v>0.7</v>
      </c>
      <c r="N429" s="1135" t="s">
        <v>1764</v>
      </c>
      <c r="O429" s="1036">
        <v>0.13800000000000001</v>
      </c>
      <c r="P429" s="1036">
        <v>0</v>
      </c>
      <c r="Q429" s="1036">
        <v>0</v>
      </c>
      <c r="R429" s="1036">
        <v>0</v>
      </c>
      <c r="S429" s="1036">
        <v>0</v>
      </c>
      <c r="T429" s="1036">
        <v>0.13800000000000001</v>
      </c>
      <c r="U429" s="1037">
        <v>0</v>
      </c>
      <c r="V429" s="3239">
        <v>250</v>
      </c>
      <c r="W429" s="3240"/>
      <c r="X429" s="1979"/>
    </row>
    <row r="430" spans="2:24" ht="12" hidden="1" customHeight="1" outlineLevel="1">
      <c r="B430" s="1050">
        <v>17</v>
      </c>
      <c r="C430" s="1050" t="str">
        <f t="shared" si="46"/>
        <v>Avion passagers, 51-100 sièges, 1000 - 3500 km, avec trainées, France continentale, Base Carbone</v>
      </c>
      <c r="D430" s="1051">
        <f t="shared" si="47"/>
        <v>5</v>
      </c>
      <c r="E430" s="1051" t="str">
        <f>IF(COUNTIF(E$413:E429,F430)&gt;0,"",F430)</f>
        <v/>
      </c>
      <c r="F430" s="1051" t="str">
        <f t="shared" si="48"/>
        <v>Avion passagers, 101-220 sièges, &lt; 500 km jet, avec trainées, France continentale, Base Carbone</v>
      </c>
      <c r="G430" s="1055" t="str">
        <f t="shared" si="49"/>
        <v>Avion passagers, 101-220 sièges, &lt; 500 km jet, avec trainées, France continentale, Base Carbone; kgCO2e/passager eq.km Amont</v>
      </c>
      <c r="I430" s="1031" t="s">
        <v>4779</v>
      </c>
      <c r="J430" s="1119" t="s">
        <v>4059</v>
      </c>
      <c r="K430" s="1119" t="s">
        <v>1567</v>
      </c>
      <c r="L430" s="1135" t="s">
        <v>1571</v>
      </c>
      <c r="M430" s="1033">
        <v>0.7</v>
      </c>
      <c r="N430" s="1135" t="s">
        <v>1570</v>
      </c>
      <c r="O430" s="1036">
        <v>2.87E-2</v>
      </c>
      <c r="P430" s="1036">
        <v>2.6100000000000002E-2</v>
      </c>
      <c r="Q430" s="1036">
        <v>1.2999999999999999E-3</v>
      </c>
      <c r="R430" s="1036">
        <v>0</v>
      </c>
      <c r="S430" s="1036">
        <v>1.2999999999999999E-3</v>
      </c>
      <c r="T430" s="1036">
        <v>0</v>
      </c>
      <c r="U430" s="1037">
        <v>0</v>
      </c>
      <c r="V430" s="3239">
        <v>250</v>
      </c>
      <c r="W430" s="3240"/>
      <c r="X430" s="1979"/>
    </row>
    <row r="431" spans="2:24" ht="12" hidden="1" customHeight="1" outlineLevel="1">
      <c r="B431" s="1050">
        <v>18</v>
      </c>
      <c r="C431" s="1050" t="str">
        <f t="shared" si="46"/>
        <v>Avion passagers, 51-100 sièges, 1000 - 3500 km, sans trainées, France continentale, Base Carbone</v>
      </c>
      <c r="D431" s="1051">
        <f t="shared" si="47"/>
        <v>5</v>
      </c>
      <c r="E431" s="1051" t="str">
        <f>IF(COUNTIF(E$413:E430,F431)&gt;0,"",F431)</f>
        <v/>
      </c>
      <c r="F431" s="1051" t="str">
        <f t="shared" si="48"/>
        <v>Avion passagers, 101-220 sièges, &lt; 500 km jet, avec trainées, France continentale, Base Carbone</v>
      </c>
      <c r="G431" s="1055" t="str">
        <f t="shared" si="49"/>
        <v>Avion passagers, 101-220 sièges, &lt; 500 km jet, avec trainées, France continentale, Base Carbone; kgCO2e/passager eq.km Fabrication</v>
      </c>
      <c r="I431" s="1031" t="s">
        <v>4779</v>
      </c>
      <c r="J431" s="1119" t="s">
        <v>4059</v>
      </c>
      <c r="K431" s="1119" t="s">
        <v>1567</v>
      </c>
      <c r="L431" s="1135" t="s">
        <v>1571</v>
      </c>
      <c r="M431" s="1033">
        <v>0.7</v>
      </c>
      <c r="N431" s="1135" t="s">
        <v>332</v>
      </c>
      <c r="O431" s="1036">
        <v>3.8000000000000002E-4</v>
      </c>
      <c r="P431" s="1036">
        <v>3.8000000000000002E-4</v>
      </c>
      <c r="Q431" s="1036">
        <v>0</v>
      </c>
      <c r="R431" s="1036">
        <v>0</v>
      </c>
      <c r="S431" s="1036">
        <v>0</v>
      </c>
      <c r="T431" s="1036">
        <v>0</v>
      </c>
      <c r="U431" s="1037">
        <v>0</v>
      </c>
      <c r="V431" s="3239">
        <v>250</v>
      </c>
      <c r="W431" s="3240"/>
      <c r="X431" s="1979"/>
    </row>
    <row r="432" spans="2:24" ht="12" hidden="1" customHeight="1" outlineLevel="1">
      <c r="B432" s="1050">
        <v>19</v>
      </c>
      <c r="C432" s="1050" t="str">
        <f t="shared" si="46"/>
        <v>Avion passagers, 51-100 sièges, 500 - 1000 km, avec trainées, France continentale, Base Carbone</v>
      </c>
      <c r="D432" s="1051">
        <f t="shared" si="47"/>
        <v>6</v>
      </c>
      <c r="E432" s="1051" t="str">
        <f>IF(COUNTIF(E$413:E431,F432)&gt;0,"",F432)</f>
        <v>Avion passagers, 101-220 sièges, &lt; 500 km jet, sans trainées, France continentale, Base Carbone</v>
      </c>
      <c r="F432" s="1051" t="str">
        <f t="shared" si="48"/>
        <v>Avion passagers, 101-220 sièges, &lt; 500 km jet, sans trainées, France continentale, Base Carbone</v>
      </c>
      <c r="G432" s="1055" t="str">
        <f t="shared" si="49"/>
        <v>Avion passagers, 101-220 sièges, &lt; 500 km jet, sans trainées, France continentale, Base Carbone; kgCO2e/passager eq.km Combustion</v>
      </c>
      <c r="I432" s="1031" t="s">
        <v>4780</v>
      </c>
      <c r="J432" s="1119" t="s">
        <v>4059</v>
      </c>
      <c r="K432" s="1119" t="s">
        <v>1567</v>
      </c>
      <c r="L432" s="1135" t="s">
        <v>1571</v>
      </c>
      <c r="M432" s="1033">
        <v>0.1</v>
      </c>
      <c r="N432" s="1135" t="s">
        <v>1569</v>
      </c>
      <c r="O432" s="1036">
        <v>0.13800000000000001</v>
      </c>
      <c r="P432" s="2581">
        <v>0.13700000000000001</v>
      </c>
      <c r="Q432" s="1036">
        <v>3.8999999999999999E-5</v>
      </c>
      <c r="R432" s="1036">
        <v>0</v>
      </c>
      <c r="S432" s="1036">
        <v>1.01E-3</v>
      </c>
      <c r="T432" s="1036">
        <v>0</v>
      </c>
      <c r="U432" s="1037">
        <v>0</v>
      </c>
      <c r="V432" s="3239">
        <v>250</v>
      </c>
      <c r="W432" s="3240"/>
      <c r="X432" s="1979"/>
    </row>
    <row r="433" spans="2:24" ht="12" hidden="1" customHeight="1" outlineLevel="1">
      <c r="B433" s="1050">
        <v>20</v>
      </c>
      <c r="C433" s="1050" t="str">
        <f t="shared" si="46"/>
        <v>Avion passagers, 51-100 sièges, 500 - 1000 km, sans trainées, France continentale, Base Carbone</v>
      </c>
      <c r="D433" s="1051">
        <f t="shared" si="47"/>
        <v>6</v>
      </c>
      <c r="E433" s="1051" t="str">
        <f>IF(COUNTIF(E$413:E432,F433)&gt;0,"",F433)</f>
        <v/>
      </c>
      <c r="F433" s="1051" t="str">
        <f t="shared" si="48"/>
        <v>Avion passagers, 101-220 sièges, &lt; 500 km jet, sans trainées, France continentale, Base Carbone</v>
      </c>
      <c r="G433" s="1055" t="str">
        <f t="shared" si="49"/>
        <v>Avion passagers, 101-220 sièges, &lt; 500 km jet, sans trainées, France continentale, Base Carbone; kgCO2e/passager eq.km Amont</v>
      </c>
      <c r="I433" s="1031" t="s">
        <v>4780</v>
      </c>
      <c r="J433" s="1119" t="s">
        <v>4059</v>
      </c>
      <c r="K433" s="1119" t="s">
        <v>1567</v>
      </c>
      <c r="L433" s="1135" t="s">
        <v>1571</v>
      </c>
      <c r="M433" s="1033">
        <v>0.1</v>
      </c>
      <c r="N433" s="1135" t="s">
        <v>1570</v>
      </c>
      <c r="O433" s="1036">
        <v>2.87E-2</v>
      </c>
      <c r="P433" s="1036">
        <v>2.6100000000000002E-2</v>
      </c>
      <c r="Q433" s="1036">
        <v>1.2999999999999999E-3</v>
      </c>
      <c r="R433" s="1036">
        <v>0</v>
      </c>
      <c r="S433" s="1036">
        <v>1.2999999999999999E-3</v>
      </c>
      <c r="T433" s="1036">
        <v>0</v>
      </c>
      <c r="U433" s="1037">
        <v>0</v>
      </c>
      <c r="V433" s="3239">
        <v>250</v>
      </c>
      <c r="W433" s="3240"/>
      <c r="X433" s="1979"/>
    </row>
    <row r="434" spans="2:24" ht="12" hidden="1" customHeight="1" outlineLevel="1">
      <c r="B434" s="1050">
        <v>21</v>
      </c>
      <c r="C434" s="1050" t="str">
        <f t="shared" si="46"/>
        <v>Avion passagers, 51-100 sièges, &lt; 500 km jet, avec trainées, France continentale, Base Carbone</v>
      </c>
      <c r="D434" s="1051">
        <f t="shared" si="47"/>
        <v>6</v>
      </c>
      <c r="E434" s="1051" t="str">
        <f>IF(COUNTIF(E$413:E433,F434)&gt;0,"",F434)</f>
        <v/>
      </c>
      <c r="F434" s="1051" t="str">
        <f t="shared" si="48"/>
        <v>Avion passagers, 101-220 sièges, &lt; 500 km jet, sans trainées, France continentale, Base Carbone</v>
      </c>
      <c r="G434" s="1055" t="str">
        <f t="shared" si="49"/>
        <v>Avion passagers, 101-220 sièges, &lt; 500 km jet, sans trainées, France continentale, Base Carbone; kgCO2e/passager eq.km Fabrication</v>
      </c>
      <c r="I434" s="1031" t="s">
        <v>4780</v>
      </c>
      <c r="J434" s="1119" t="s">
        <v>4059</v>
      </c>
      <c r="K434" s="1119" t="s">
        <v>1567</v>
      </c>
      <c r="L434" s="1135" t="s">
        <v>1571</v>
      </c>
      <c r="M434" s="1033">
        <v>0.1</v>
      </c>
      <c r="N434" s="1135" t="s">
        <v>332</v>
      </c>
      <c r="O434" s="1036">
        <v>3.8000000000000002E-4</v>
      </c>
      <c r="P434" s="1036">
        <v>3.8000000000000002E-4</v>
      </c>
      <c r="Q434" s="1036">
        <v>0</v>
      </c>
      <c r="R434" s="1036">
        <v>0</v>
      </c>
      <c r="S434" s="1036">
        <v>0</v>
      </c>
      <c r="T434" s="1036">
        <v>0</v>
      </c>
      <c r="U434" s="1037">
        <v>0</v>
      </c>
      <c r="V434" s="3239">
        <v>250</v>
      </c>
      <c r="W434" s="3240"/>
      <c r="X434" s="1979"/>
    </row>
    <row r="435" spans="2:24" ht="12" hidden="1" customHeight="1" outlineLevel="1">
      <c r="B435" s="1050">
        <v>22</v>
      </c>
      <c r="C435" s="1050" t="str">
        <f t="shared" si="46"/>
        <v>Avion passagers, 51-100 sièges, &lt; 500 km jet, sans trainées, France continentale, Base Carbone</v>
      </c>
      <c r="D435" s="1051">
        <f t="shared" si="47"/>
        <v>7</v>
      </c>
      <c r="E435" s="1051" t="str">
        <f>IF(COUNTIF(E$413:E434,F435)&gt;0,"",F435)</f>
        <v>Avion passagers, 101-220 sièges, &gt; 3500 km, avec trainées, France continentale, Base Carbone</v>
      </c>
      <c r="F435" s="1051" t="str">
        <f t="shared" si="48"/>
        <v>Avion passagers, 101-220 sièges, &gt; 3500 km, avec trainées, France continentale, Base Carbone</v>
      </c>
      <c r="G435" s="1055" t="str">
        <f t="shared" si="49"/>
        <v>Avion passagers, 101-220 sièges, &gt; 3500 km, avec trainées, France continentale, Base Carbone; kgCO2e/passager eq.km Combustion</v>
      </c>
      <c r="I435" s="1031" t="s">
        <v>4781</v>
      </c>
      <c r="J435" s="1119" t="s">
        <v>4059</v>
      </c>
      <c r="K435" s="1119" t="s">
        <v>1567</v>
      </c>
      <c r="L435" s="1135" t="s">
        <v>1571</v>
      </c>
      <c r="M435" s="1033">
        <v>0.7</v>
      </c>
      <c r="N435" s="1135" t="s">
        <v>1569</v>
      </c>
      <c r="O435" s="1036">
        <v>9.4899999999999998E-2</v>
      </c>
      <c r="P435" s="1036">
        <v>9.4200000000000006E-2</v>
      </c>
      <c r="Q435" s="1036">
        <v>0</v>
      </c>
      <c r="R435" s="1036">
        <v>0</v>
      </c>
      <c r="S435" s="1036">
        <v>6.8900000000000005E-4</v>
      </c>
      <c r="T435" s="1036">
        <v>0</v>
      </c>
      <c r="U435" s="1037">
        <v>0</v>
      </c>
      <c r="V435" s="3239">
        <v>7250</v>
      </c>
      <c r="W435" s="3240"/>
      <c r="X435" s="1979"/>
    </row>
    <row r="436" spans="2:24" ht="12" hidden="1" customHeight="1" outlineLevel="1">
      <c r="B436" s="1050">
        <v>23</v>
      </c>
      <c r="C436" s="1050" t="str">
        <f t="shared" si="46"/>
        <v>Avion passagers, 51-100 sièges, &lt; 500 km turboprop, avec trainées, France continentale, Base Carbone</v>
      </c>
      <c r="D436" s="1051">
        <f t="shared" si="47"/>
        <v>7</v>
      </c>
      <c r="E436" s="1051" t="str">
        <f>IF(COUNTIF(E$413:E435,F436)&gt;0,"",F436)</f>
        <v/>
      </c>
      <c r="F436" s="1051" t="str">
        <f t="shared" si="48"/>
        <v>Avion passagers, 101-220 sièges, &gt; 3500 km, avec trainées, France continentale, Base Carbone</v>
      </c>
      <c r="G436" s="1055" t="str">
        <f t="shared" si="49"/>
        <v>Avion passagers, 101-220 sièges, &gt; 3500 km, avec trainées, France continentale, Base Carbone; kgCO2e/passager eq.km Emissions fugitives</v>
      </c>
      <c r="I436" s="1031" t="s">
        <v>4781</v>
      </c>
      <c r="J436" s="1119" t="s">
        <v>4059</v>
      </c>
      <c r="K436" s="1119" t="s">
        <v>1567</v>
      </c>
      <c r="L436" s="1135" t="s">
        <v>1571</v>
      </c>
      <c r="M436" s="1033">
        <v>0.7</v>
      </c>
      <c r="N436" s="1135" t="s">
        <v>1764</v>
      </c>
      <c r="O436" s="1036">
        <v>9.4899999999999998E-2</v>
      </c>
      <c r="P436" s="2581">
        <v>0</v>
      </c>
      <c r="Q436" s="1036">
        <v>0</v>
      </c>
      <c r="R436" s="1036">
        <v>0</v>
      </c>
      <c r="S436" s="1036">
        <v>0</v>
      </c>
      <c r="T436" s="1036">
        <v>9.4899999999999998E-2</v>
      </c>
      <c r="U436" s="1037">
        <v>0</v>
      </c>
      <c r="V436" s="3239">
        <v>7250</v>
      </c>
      <c r="W436" s="3240"/>
      <c r="X436" s="1979"/>
    </row>
    <row r="437" spans="2:24" ht="12" hidden="1" customHeight="1" outlineLevel="1">
      <c r="B437" s="1050">
        <v>24</v>
      </c>
      <c r="C437" s="1050" t="str">
        <f t="shared" si="46"/>
        <v>Avion passagers, 51-100 sièges, &lt; 500 km turboprop, sans trainées, France continentale, Base Carbone</v>
      </c>
      <c r="D437" s="1051">
        <f t="shared" si="47"/>
        <v>7</v>
      </c>
      <c r="E437" s="1051" t="str">
        <f>IF(COUNTIF(E$413:E436,F437)&gt;0,"",F437)</f>
        <v/>
      </c>
      <c r="F437" s="1051" t="str">
        <f t="shared" si="48"/>
        <v>Avion passagers, 101-220 sièges, &gt; 3500 km, avec trainées, France continentale, Base Carbone</v>
      </c>
      <c r="G437" s="1055" t="str">
        <f t="shared" si="49"/>
        <v>Avion passagers, 101-220 sièges, &gt; 3500 km, avec trainées, France continentale, Base Carbone; kgCO2e/passager eq.km Amont</v>
      </c>
      <c r="I437" s="1031" t="s">
        <v>4781</v>
      </c>
      <c r="J437" s="1119" t="s">
        <v>4059</v>
      </c>
      <c r="K437" s="1119" t="s">
        <v>1567</v>
      </c>
      <c r="L437" s="1135" t="s">
        <v>1571</v>
      </c>
      <c r="M437" s="1033">
        <v>0.7</v>
      </c>
      <c r="N437" s="1135" t="s">
        <v>1570</v>
      </c>
      <c r="O437" s="1036">
        <v>1.9699999999999999E-2</v>
      </c>
      <c r="P437" s="1036">
        <v>1.7899999999999999E-2</v>
      </c>
      <c r="Q437" s="1036">
        <v>8.9400000000000005E-4</v>
      </c>
      <c r="R437" s="1036">
        <v>0</v>
      </c>
      <c r="S437" s="1036">
        <v>9.01E-4</v>
      </c>
      <c r="T437" s="1036">
        <v>0</v>
      </c>
      <c r="U437" s="1037">
        <v>0</v>
      </c>
      <c r="V437" s="3239">
        <v>7250</v>
      </c>
      <c r="W437" s="3240"/>
      <c r="X437" s="1979"/>
    </row>
    <row r="438" spans="2:24" ht="12" hidden="1" customHeight="1" outlineLevel="1">
      <c r="B438" s="1050">
        <v>25</v>
      </c>
      <c r="C438" s="1050" t="str">
        <f t="shared" si="46"/>
        <v>Avion passagers, &gt; 220 sièges, 1000 - 3500 km, avec trainées, France continentale, Base Carbone</v>
      </c>
      <c r="D438" s="1051">
        <f t="shared" si="47"/>
        <v>7</v>
      </c>
      <c r="E438" s="1051" t="str">
        <f>IF(COUNTIF(E$413:E437,F438)&gt;0,"",F438)</f>
        <v/>
      </c>
      <c r="F438" s="1051" t="str">
        <f t="shared" si="48"/>
        <v>Avion passagers, 101-220 sièges, &gt; 3500 km, avec trainées, France continentale, Base Carbone</v>
      </c>
      <c r="G438" s="1055" t="str">
        <f t="shared" si="49"/>
        <v>Avion passagers, 101-220 sièges, &gt; 3500 km, avec trainées, France continentale, Base Carbone; kgCO2e/passager eq.km Fabrication</v>
      </c>
      <c r="I438" s="1031" t="s">
        <v>4781</v>
      </c>
      <c r="J438" s="1119" t="s">
        <v>4059</v>
      </c>
      <c r="K438" s="1119" t="s">
        <v>1567</v>
      </c>
      <c r="L438" s="1135" t="s">
        <v>1571</v>
      </c>
      <c r="M438" s="1033">
        <v>0.7</v>
      </c>
      <c r="N438" s="1135" t="s">
        <v>332</v>
      </c>
      <c r="O438" s="1036">
        <v>2.9E-4</v>
      </c>
      <c r="P438" s="1036">
        <v>2.9E-4</v>
      </c>
      <c r="Q438" s="1036">
        <v>0</v>
      </c>
      <c r="R438" s="1036">
        <v>0</v>
      </c>
      <c r="S438" s="1036">
        <v>0</v>
      </c>
      <c r="T438" s="1036">
        <v>0</v>
      </c>
      <c r="U438" s="1037">
        <v>0</v>
      </c>
      <c r="V438" s="3239">
        <v>7250</v>
      </c>
      <c r="W438" s="3240"/>
      <c r="X438" s="1979"/>
    </row>
    <row r="439" spans="2:24" ht="12" hidden="1" customHeight="1" outlineLevel="1">
      <c r="B439" s="1050">
        <v>26</v>
      </c>
      <c r="C439" s="1050" t="str">
        <f t="shared" si="46"/>
        <v>Avion passagers, &gt; 220 sièges, 1000 - 3500 km, sans trainées, France continentale, Base Carbone</v>
      </c>
      <c r="D439" s="1051">
        <f t="shared" si="47"/>
        <v>8</v>
      </c>
      <c r="E439" s="1051" t="str">
        <f>IF(COUNTIF(E$413:E438,F439)&gt;0,"",F439)</f>
        <v>Avion passagers, 101-220 sièges, &gt; 3500 km, sans trainées, France continentale, Base Carbone</v>
      </c>
      <c r="F439" s="1051" t="str">
        <f t="shared" si="48"/>
        <v>Avion passagers, 101-220 sièges, &gt; 3500 km, sans trainées, France continentale, Base Carbone</v>
      </c>
      <c r="G439" s="1055" t="str">
        <f t="shared" si="49"/>
        <v>Avion passagers, 101-220 sièges, &gt; 3500 km, sans trainées, France continentale, Base Carbone; kgCO2e/passager eq.km Combustion</v>
      </c>
      <c r="I439" s="1031" t="s">
        <v>4782</v>
      </c>
      <c r="J439" s="1119" t="s">
        <v>4059</v>
      </c>
      <c r="K439" s="1119" t="s">
        <v>1567</v>
      </c>
      <c r="L439" s="1135" t="s">
        <v>1571</v>
      </c>
      <c r="M439" s="1033">
        <v>0.1</v>
      </c>
      <c r="N439" s="1135" t="s">
        <v>1569</v>
      </c>
      <c r="O439" s="1036">
        <v>9.4899999999999998E-2</v>
      </c>
      <c r="P439" s="1036">
        <v>9.4200000000000006E-2</v>
      </c>
      <c r="Q439" s="1036">
        <v>0</v>
      </c>
      <c r="R439" s="1036">
        <v>0</v>
      </c>
      <c r="S439" s="1036">
        <v>6.8900000000000005E-4</v>
      </c>
      <c r="T439" s="1036">
        <v>0</v>
      </c>
      <c r="U439" s="1037">
        <v>0</v>
      </c>
      <c r="V439" s="3239">
        <v>7250</v>
      </c>
      <c r="W439" s="3240"/>
      <c r="X439" s="1979"/>
    </row>
    <row r="440" spans="2:24" ht="12" hidden="1" customHeight="1" outlineLevel="1">
      <c r="B440" s="1050">
        <v>27</v>
      </c>
      <c r="C440" s="1050" t="str">
        <f t="shared" si="46"/>
        <v>Avion passagers, &gt; 220 sièges, &gt; 3500 km, avec trainées, France continentale, Base Carbone</v>
      </c>
      <c r="D440" s="1051">
        <f t="shared" si="47"/>
        <v>8</v>
      </c>
      <c r="E440" s="1051" t="str">
        <f>IF(COUNTIF(E$413:E439,F440)&gt;0,"",F440)</f>
        <v/>
      </c>
      <c r="F440" s="1051" t="str">
        <f t="shared" si="48"/>
        <v>Avion passagers, 101-220 sièges, &gt; 3500 km, sans trainées, France continentale, Base Carbone</v>
      </c>
      <c r="G440" s="1055" t="str">
        <f t="shared" si="49"/>
        <v>Avion passagers, 101-220 sièges, &gt; 3500 km, sans trainées, France continentale, Base Carbone; kgCO2e/passager eq.km Amont</v>
      </c>
      <c r="I440" s="1031" t="s">
        <v>4782</v>
      </c>
      <c r="J440" s="1119" t="s">
        <v>4059</v>
      </c>
      <c r="K440" s="1119" t="s">
        <v>1567</v>
      </c>
      <c r="L440" s="1135" t="s">
        <v>1571</v>
      </c>
      <c r="M440" s="1033">
        <v>0.1</v>
      </c>
      <c r="N440" s="1135" t="s">
        <v>1570</v>
      </c>
      <c r="O440" s="1036">
        <v>1.9699999999999999E-2</v>
      </c>
      <c r="P440" s="2581">
        <v>1.7899999999999999E-2</v>
      </c>
      <c r="Q440" s="1036">
        <v>8.9400000000000005E-4</v>
      </c>
      <c r="R440" s="1036">
        <v>0</v>
      </c>
      <c r="S440" s="1036">
        <v>9.01E-4</v>
      </c>
      <c r="T440" s="1036">
        <v>0</v>
      </c>
      <c r="U440" s="1037">
        <v>0</v>
      </c>
      <c r="V440" s="3239">
        <v>7250</v>
      </c>
      <c r="W440" s="3240"/>
      <c r="X440" s="1979"/>
    </row>
    <row r="441" spans="2:24" ht="12" hidden="1" customHeight="1" outlineLevel="1">
      <c r="B441" s="1050">
        <v>28</v>
      </c>
      <c r="C441" s="1050" t="str">
        <f t="shared" si="46"/>
        <v>Avion passagers, &gt; 220 sièges, &gt; 3500 km, sans trainées, France continentale, Base Carbone</v>
      </c>
      <c r="D441" s="1051">
        <f t="shared" si="47"/>
        <v>8</v>
      </c>
      <c r="E441" s="1051" t="str">
        <f>IF(COUNTIF(E$413:E440,F441)&gt;0,"",F441)</f>
        <v/>
      </c>
      <c r="F441" s="1051" t="str">
        <f t="shared" si="48"/>
        <v>Avion passagers, 101-220 sièges, &gt; 3500 km, sans trainées, France continentale, Base Carbone</v>
      </c>
      <c r="G441" s="1055" t="str">
        <f t="shared" si="49"/>
        <v>Avion passagers, 101-220 sièges, &gt; 3500 km, sans trainées, France continentale, Base Carbone; kgCO2e/passager eq.km Fabrication</v>
      </c>
      <c r="I441" s="1031" t="s">
        <v>4782</v>
      </c>
      <c r="J441" s="1119" t="s">
        <v>4059</v>
      </c>
      <c r="K441" s="1119" t="s">
        <v>1567</v>
      </c>
      <c r="L441" s="1135" t="s">
        <v>1571</v>
      </c>
      <c r="M441" s="1033">
        <v>0.1</v>
      </c>
      <c r="N441" s="1135" t="s">
        <v>332</v>
      </c>
      <c r="O441" s="1036">
        <v>2.9E-4</v>
      </c>
      <c r="P441" s="2581">
        <v>2.9E-4</v>
      </c>
      <c r="Q441" s="1036">
        <v>0</v>
      </c>
      <c r="R441" s="1036">
        <v>0</v>
      </c>
      <c r="S441" s="1036">
        <v>0</v>
      </c>
      <c r="T441" s="1036">
        <v>0</v>
      </c>
      <c r="U441" s="1037">
        <v>0</v>
      </c>
      <c r="V441" s="3239">
        <v>7250</v>
      </c>
      <c r="W441" s="3240"/>
      <c r="X441" s="1979"/>
    </row>
    <row r="442" spans="2:24" ht="12" hidden="1" customHeight="1" outlineLevel="1">
      <c r="B442" s="1050">
        <v>29</v>
      </c>
      <c r="C442" s="1050" t="str">
        <f t="shared" si="46"/>
        <v>Avion passagers, court courrier, avec trainées, France continentale, Base Carbone</v>
      </c>
      <c r="D442" s="1051">
        <f t="shared" si="47"/>
        <v>9</v>
      </c>
      <c r="E442" s="1051" t="str">
        <f>IF(COUNTIF(E$413:E441,F442)&gt;0,"",F442)</f>
        <v>Avion passagers, 20-50 sièges, 1000 - 3500 km, avec trainées, France continentale, Base Carbone</v>
      </c>
      <c r="F442" s="1051" t="str">
        <f t="shared" si="48"/>
        <v>Avion passagers, 20-50 sièges, 1000 - 3500 km, avec trainées, France continentale, Base Carbone</v>
      </c>
      <c r="G442" s="1055" t="str">
        <f t="shared" si="49"/>
        <v>Avion passagers, 20-50 sièges, 1000 - 3500 km, avec trainées, France continentale, Base Carbone; kgCO2e/passager eq.km Combustion</v>
      </c>
      <c r="I442" s="1031" t="s">
        <v>4783</v>
      </c>
      <c r="J442" s="1119" t="s">
        <v>4059</v>
      </c>
      <c r="K442" s="1119" t="s">
        <v>1567</v>
      </c>
      <c r="L442" s="1135" t="s">
        <v>1571</v>
      </c>
      <c r="M442" s="1033">
        <v>0.7</v>
      </c>
      <c r="N442" s="1135" t="s">
        <v>1569</v>
      </c>
      <c r="O442" s="1036">
        <v>0.23499999999999999</v>
      </c>
      <c r="P442" s="1036">
        <v>0.23300000000000001</v>
      </c>
      <c r="Q442" s="1036">
        <v>3.0000000000000001E-5</v>
      </c>
      <c r="R442" s="1036">
        <v>0</v>
      </c>
      <c r="S442" s="1036">
        <v>1.72E-3</v>
      </c>
      <c r="T442" s="1036">
        <v>0</v>
      </c>
      <c r="U442" s="1037">
        <v>0</v>
      </c>
      <c r="V442" s="3239">
        <v>2250</v>
      </c>
      <c r="W442" s="3240"/>
      <c r="X442" s="1979"/>
    </row>
    <row r="443" spans="2:24" ht="12" hidden="1" customHeight="1" outlineLevel="1">
      <c r="B443" s="1050">
        <v>30</v>
      </c>
      <c r="C443" s="1050" t="str">
        <f t="shared" si="46"/>
        <v>Avion passagers, court courrier, sans trainées, France continentale, Base Carbone</v>
      </c>
      <c r="D443" s="1051">
        <f t="shared" si="47"/>
        <v>9</v>
      </c>
      <c r="E443" s="1051" t="str">
        <f>IF(COUNTIF(E$413:E442,F443)&gt;0,"",F443)</f>
        <v/>
      </c>
      <c r="F443" s="1051" t="str">
        <f t="shared" si="48"/>
        <v>Avion passagers, 20-50 sièges, 1000 - 3500 km, avec trainées, France continentale, Base Carbone</v>
      </c>
      <c r="G443" s="1055" t="str">
        <f t="shared" si="49"/>
        <v>Avion passagers, 20-50 sièges, 1000 - 3500 km, avec trainées, France continentale, Base Carbone; kgCO2e/passager eq.km Emissions fugitives</v>
      </c>
      <c r="I443" s="1031" t="s">
        <v>4783</v>
      </c>
      <c r="J443" s="1119" t="s">
        <v>4059</v>
      </c>
      <c r="K443" s="1119" t="s">
        <v>1567</v>
      </c>
      <c r="L443" s="1135" t="s">
        <v>1571</v>
      </c>
      <c r="M443" s="1033">
        <v>0.7</v>
      </c>
      <c r="N443" s="1135" t="s">
        <v>1764</v>
      </c>
      <c r="O443" s="1036">
        <v>0.23499999999999999</v>
      </c>
      <c r="P443" s="1036">
        <v>0</v>
      </c>
      <c r="Q443" s="1036">
        <v>0</v>
      </c>
      <c r="R443" s="1036">
        <v>0</v>
      </c>
      <c r="S443" s="1036">
        <v>0</v>
      </c>
      <c r="T443" s="1036">
        <v>0.23499999999999999</v>
      </c>
      <c r="U443" s="1037">
        <v>0</v>
      </c>
      <c r="V443" s="3239">
        <v>2250</v>
      </c>
      <c r="W443" s="3240"/>
      <c r="X443" s="1979"/>
    </row>
    <row r="444" spans="2:24" ht="12" hidden="1" customHeight="1" outlineLevel="1">
      <c r="B444" s="1050">
        <v>31</v>
      </c>
      <c r="C444" s="1050" t="str">
        <f t="shared" si="46"/>
        <v>Avion passagers, long courrier, avec trainées, France continentale, Base Carbone</v>
      </c>
      <c r="D444" s="1051">
        <f t="shared" si="47"/>
        <v>9</v>
      </c>
      <c r="E444" s="1051" t="str">
        <f>IF(COUNTIF(E$413:E443,F444)&gt;0,"",F444)</f>
        <v/>
      </c>
      <c r="F444" s="1051" t="str">
        <f t="shared" si="48"/>
        <v>Avion passagers, 20-50 sièges, 1000 - 3500 km, avec trainées, France continentale, Base Carbone</v>
      </c>
      <c r="G444" s="1055" t="str">
        <f t="shared" si="49"/>
        <v>Avion passagers, 20-50 sièges, 1000 - 3500 km, avec trainées, France continentale, Base Carbone; kgCO2e/passager eq.km Amont</v>
      </c>
      <c r="I444" s="1031" t="s">
        <v>4783</v>
      </c>
      <c r="J444" s="1119" t="s">
        <v>4059</v>
      </c>
      <c r="K444" s="1119" t="s">
        <v>1567</v>
      </c>
      <c r="L444" s="1135" t="s">
        <v>1571</v>
      </c>
      <c r="M444" s="1033">
        <v>0.7</v>
      </c>
      <c r="N444" s="1135" t="s">
        <v>1570</v>
      </c>
      <c r="O444" s="1036">
        <v>4.87E-2</v>
      </c>
      <c r="P444" s="2581">
        <v>4.4299999999999999E-2</v>
      </c>
      <c r="Q444" s="1036">
        <v>2.2100000000000002E-3</v>
      </c>
      <c r="R444" s="1036">
        <v>0</v>
      </c>
      <c r="S444" s="1036">
        <v>2.2300000000000002E-3</v>
      </c>
      <c r="T444" s="1036">
        <v>0</v>
      </c>
      <c r="U444" s="1037">
        <v>0</v>
      </c>
      <c r="V444" s="3239">
        <v>2250</v>
      </c>
      <c r="W444" s="3240"/>
      <c r="X444" s="1979"/>
    </row>
    <row r="445" spans="2:24" ht="12" hidden="1" customHeight="1" outlineLevel="1">
      <c r="B445" s="1050">
        <v>32</v>
      </c>
      <c r="C445" s="1050" t="str">
        <f t="shared" si="46"/>
        <v>Avion passagers, long courrier, sans trainées, France continentale, Base Carbone</v>
      </c>
      <c r="D445" s="1051">
        <f t="shared" si="47"/>
        <v>9</v>
      </c>
      <c r="E445" s="1051" t="str">
        <f>IF(COUNTIF(E$413:E444,F445)&gt;0,"",F445)</f>
        <v/>
      </c>
      <c r="F445" s="1051" t="str">
        <f t="shared" si="48"/>
        <v>Avion passagers, 20-50 sièges, 1000 - 3500 km, avec trainées, France continentale, Base Carbone</v>
      </c>
      <c r="G445" s="1055" t="str">
        <f t="shared" si="49"/>
        <v>Avion passagers, 20-50 sièges, 1000 - 3500 km, avec trainées, France continentale, Base Carbone; kgCO2e/passager eq.km Fabrication</v>
      </c>
      <c r="I445" s="1031" t="s">
        <v>4783</v>
      </c>
      <c r="J445" s="1119" t="s">
        <v>4059</v>
      </c>
      <c r="K445" s="1119" t="s">
        <v>1567</v>
      </c>
      <c r="L445" s="1135" t="s">
        <v>1571</v>
      </c>
      <c r="M445" s="1033">
        <v>0.7</v>
      </c>
      <c r="N445" s="1135" t="s">
        <v>332</v>
      </c>
      <c r="O445" s="1036">
        <v>5.1999999999999995E-4</v>
      </c>
      <c r="P445" s="2581">
        <v>5.1999999999999995E-4</v>
      </c>
      <c r="Q445" s="1036">
        <v>0</v>
      </c>
      <c r="R445" s="1036">
        <v>0</v>
      </c>
      <c r="S445" s="1036">
        <v>0</v>
      </c>
      <c r="T445" s="1036">
        <v>0</v>
      </c>
      <c r="U445" s="1037">
        <v>0</v>
      </c>
      <c r="V445" s="3239">
        <v>2250</v>
      </c>
      <c r="W445" s="3240"/>
      <c r="X445" s="1979"/>
    </row>
    <row r="446" spans="2:24" ht="12" hidden="1" customHeight="1" outlineLevel="1">
      <c r="B446" s="1050">
        <v>33</v>
      </c>
      <c r="C446" s="1050" t="str">
        <f t="shared" si="46"/>
        <v>Avion passagers, moyen courrier, avec trainées, France continentale, Base Carbone</v>
      </c>
      <c r="D446" s="1051">
        <f t="shared" si="47"/>
        <v>10</v>
      </c>
      <c r="E446" s="1051" t="str">
        <f>IF(COUNTIF(E$413:E445,F446)&gt;0,"",F446)</f>
        <v>Avion passagers, 20-50 sièges, 1000 - 3500 km, sans trainées, France continentale, Base Carbone</v>
      </c>
      <c r="F446" s="1051" t="str">
        <f t="shared" si="48"/>
        <v>Avion passagers, 20-50 sièges, 1000 - 3500 km, sans trainées, France continentale, Base Carbone</v>
      </c>
      <c r="G446" s="1055" t="str">
        <f t="shared" si="49"/>
        <v>Avion passagers, 20-50 sièges, 1000 - 3500 km, sans trainées, France continentale, Base Carbone; kgCO2e/passager eq.km Combustion</v>
      </c>
      <c r="I446" s="1031" t="s">
        <v>4784</v>
      </c>
      <c r="J446" s="1119" t="s">
        <v>4059</v>
      </c>
      <c r="K446" s="1119" t="s">
        <v>1567</v>
      </c>
      <c r="L446" s="1135" t="s">
        <v>1571</v>
      </c>
      <c r="M446" s="1033">
        <v>0.1</v>
      </c>
      <c r="N446" s="1135" t="s">
        <v>1569</v>
      </c>
      <c r="O446" s="2045">
        <v>0.23499999999999999</v>
      </c>
      <c r="P446" s="2045">
        <v>0.23300000000000001</v>
      </c>
      <c r="Q446" s="2591">
        <v>3.0000000000000001E-5</v>
      </c>
      <c r="R446" s="2045">
        <v>0</v>
      </c>
      <c r="S446" s="2045">
        <v>1.72E-3</v>
      </c>
      <c r="T446" s="2045">
        <v>0</v>
      </c>
      <c r="U446" s="2045">
        <v>0</v>
      </c>
      <c r="V446" s="3239">
        <v>2250</v>
      </c>
      <c r="W446" s="3240"/>
      <c r="X446" s="1979"/>
    </row>
    <row r="447" spans="2:24" ht="12" hidden="1" customHeight="1" outlineLevel="1">
      <c r="B447" s="1050">
        <v>34</v>
      </c>
      <c r="C447" s="1050" t="str">
        <f t="shared" si="46"/>
        <v>Avion passagers, moyen courrier, sans trainées, France continentale, Base Carbone</v>
      </c>
      <c r="D447" s="1051">
        <f t="shared" si="47"/>
        <v>10</v>
      </c>
      <c r="E447" s="1051" t="str">
        <f>IF(COUNTIF(E$413:E446,F447)&gt;0,"",F447)</f>
        <v/>
      </c>
      <c r="F447" s="1051" t="str">
        <f t="shared" si="48"/>
        <v>Avion passagers, 20-50 sièges, 1000 - 3500 km, sans trainées, France continentale, Base Carbone</v>
      </c>
      <c r="G447" s="1055" t="str">
        <f t="shared" si="49"/>
        <v>Avion passagers, 20-50 sièges, 1000 - 3500 km, sans trainées, France continentale, Base Carbone; kgCO2e/passager eq.km Amont</v>
      </c>
      <c r="I447" s="1031" t="s">
        <v>4784</v>
      </c>
      <c r="J447" s="1119" t="s">
        <v>4059</v>
      </c>
      <c r="K447" s="1119" t="s">
        <v>1567</v>
      </c>
      <c r="L447" s="1135" t="s">
        <v>1571</v>
      </c>
      <c r="M447" s="1033">
        <v>0.1</v>
      </c>
      <c r="N447" s="1135" t="s">
        <v>1570</v>
      </c>
      <c r="O447" s="1036">
        <v>4.87E-2</v>
      </c>
      <c r="P447" s="1036">
        <v>4.4299999999999999E-2</v>
      </c>
      <c r="Q447" s="1036">
        <v>2.2100000000000002E-3</v>
      </c>
      <c r="R447" s="1036">
        <v>0</v>
      </c>
      <c r="S447" s="1036">
        <v>2.2300000000000002E-3</v>
      </c>
      <c r="T447" s="1036">
        <v>0</v>
      </c>
      <c r="U447" s="1037">
        <v>0</v>
      </c>
      <c r="V447" s="3239">
        <v>2250</v>
      </c>
      <c r="W447" s="3240"/>
      <c r="X447" s="1979"/>
    </row>
    <row r="448" spans="2:24" ht="12" hidden="1" customHeight="1" outlineLevel="1">
      <c r="B448" s="1050">
        <v>35</v>
      </c>
      <c r="C448" s="1050" t="str">
        <f t="shared" si="46"/>
        <v>-</v>
      </c>
      <c r="D448" s="1051">
        <f t="shared" si="47"/>
        <v>10</v>
      </c>
      <c r="E448" s="1051" t="str">
        <f>IF(COUNTIF(E$413:E447,F448)&gt;0,"",F448)</f>
        <v/>
      </c>
      <c r="F448" s="1051" t="str">
        <f t="shared" si="48"/>
        <v>Avion passagers, 20-50 sièges, 1000 - 3500 km, sans trainées, France continentale, Base Carbone</v>
      </c>
      <c r="G448" s="1055" t="str">
        <f t="shared" si="49"/>
        <v>Avion passagers, 20-50 sièges, 1000 - 3500 km, sans trainées, France continentale, Base Carbone; kgCO2e/passager eq.km Fabrication</v>
      </c>
      <c r="I448" s="1031" t="s">
        <v>4784</v>
      </c>
      <c r="J448" s="1119" t="s">
        <v>4059</v>
      </c>
      <c r="K448" s="1119" t="s">
        <v>1567</v>
      </c>
      <c r="L448" s="1135" t="s">
        <v>1571</v>
      </c>
      <c r="M448" s="1033">
        <v>0.1</v>
      </c>
      <c r="N448" s="1135" t="s">
        <v>332</v>
      </c>
      <c r="O448" s="1036">
        <v>5.1999999999999995E-4</v>
      </c>
      <c r="P448" s="1036">
        <v>5.1999999999999995E-4</v>
      </c>
      <c r="Q448" s="1036">
        <v>0</v>
      </c>
      <c r="R448" s="1036">
        <v>0</v>
      </c>
      <c r="S448" s="1036">
        <v>0</v>
      </c>
      <c r="T448" s="1036">
        <v>0</v>
      </c>
      <c r="U448" s="1037">
        <v>0</v>
      </c>
      <c r="V448" s="3239">
        <v>2250</v>
      </c>
      <c r="W448" s="3240"/>
      <c r="X448" s="1979"/>
    </row>
    <row r="449" spans="2:24" ht="12" hidden="1" customHeight="1" outlineLevel="1">
      <c r="B449" s="1050">
        <v>36</v>
      </c>
      <c r="C449" s="1050" t="str">
        <f t="shared" si="46"/>
        <v>-</v>
      </c>
      <c r="D449" s="1051">
        <f t="shared" si="47"/>
        <v>11</v>
      </c>
      <c r="E449" s="1051" t="str">
        <f>IF(COUNTIF(E$413:E448,F449)&gt;0,"",F449)</f>
        <v>Avion passagers, 20-50 sièges, 500 - 1000 km, avec trainées, France continentale, Base Carbone</v>
      </c>
      <c r="F449" s="1051" t="str">
        <f t="shared" si="48"/>
        <v>Avion passagers, 20-50 sièges, 500 - 1000 km, avec trainées, France continentale, Base Carbone</v>
      </c>
      <c r="G449" s="1055" t="str">
        <f t="shared" si="49"/>
        <v>Avion passagers, 20-50 sièges, 500 - 1000 km, avec trainées, France continentale, Base Carbone; kgCO2e/passager eq.km Combustion</v>
      </c>
      <c r="I449" s="1031" t="s">
        <v>4785</v>
      </c>
      <c r="J449" s="1119" t="s">
        <v>4059</v>
      </c>
      <c r="K449" s="1119" t="s">
        <v>1567</v>
      </c>
      <c r="L449" s="1135" t="s">
        <v>1571</v>
      </c>
      <c r="M449" s="1033">
        <v>0.7</v>
      </c>
      <c r="N449" s="1135" t="s">
        <v>1569</v>
      </c>
      <c r="O449" s="1036">
        <v>0.185</v>
      </c>
      <c r="P449" s="2581">
        <v>0.184</v>
      </c>
      <c r="Q449" s="1036">
        <v>6.8999999999999997E-5</v>
      </c>
      <c r="R449" s="1036">
        <v>0</v>
      </c>
      <c r="S449" s="1036">
        <v>1.3500000000000001E-3</v>
      </c>
      <c r="T449" s="1036">
        <v>0</v>
      </c>
      <c r="U449" s="1037">
        <v>0</v>
      </c>
      <c r="V449" s="3239">
        <v>750</v>
      </c>
      <c r="W449" s="3240"/>
      <c r="X449" s="1979"/>
    </row>
    <row r="450" spans="2:24" ht="12" hidden="1" customHeight="1" outlineLevel="1">
      <c r="B450" s="1050">
        <v>37</v>
      </c>
      <c r="C450" s="1050" t="str">
        <f t="shared" si="46"/>
        <v>-</v>
      </c>
      <c r="D450" s="1051">
        <f t="shared" si="47"/>
        <v>11</v>
      </c>
      <c r="E450" s="1051" t="str">
        <f>IF(COUNTIF(E$413:E449,F450)&gt;0,"",F450)</f>
        <v/>
      </c>
      <c r="F450" s="1051" t="str">
        <f t="shared" si="48"/>
        <v>Avion passagers, 20-50 sièges, 500 - 1000 km, avec trainées, France continentale, Base Carbone</v>
      </c>
      <c r="G450" s="1055" t="str">
        <f t="shared" si="49"/>
        <v>Avion passagers, 20-50 sièges, 500 - 1000 km, avec trainées, France continentale, Base Carbone; kgCO2e/passager eq.km Emissions fugitives</v>
      </c>
      <c r="I450" s="1031" t="s">
        <v>4785</v>
      </c>
      <c r="J450" s="1119" t="s">
        <v>4059</v>
      </c>
      <c r="K450" s="1119" t="s">
        <v>1567</v>
      </c>
      <c r="L450" s="1135" t="s">
        <v>1571</v>
      </c>
      <c r="M450" s="1033">
        <v>0.7</v>
      </c>
      <c r="N450" s="1135" t="s">
        <v>1764</v>
      </c>
      <c r="O450" s="1036">
        <v>0.185</v>
      </c>
      <c r="P450" s="1036">
        <v>0</v>
      </c>
      <c r="Q450" s="1036">
        <v>0</v>
      </c>
      <c r="R450" s="1036">
        <v>0</v>
      </c>
      <c r="S450" s="1036">
        <v>0</v>
      </c>
      <c r="T450" s="1036">
        <v>0.185</v>
      </c>
      <c r="U450" s="1037">
        <v>0</v>
      </c>
      <c r="V450" s="3239">
        <v>750</v>
      </c>
      <c r="W450" s="3240"/>
      <c r="X450" s="1979"/>
    </row>
    <row r="451" spans="2:24" ht="12" hidden="1" customHeight="1" outlineLevel="1">
      <c r="B451" s="1050">
        <v>38</v>
      </c>
      <c r="C451" s="1050" t="str">
        <f t="shared" si="46"/>
        <v>-</v>
      </c>
      <c r="D451" s="1051">
        <f t="shared" si="47"/>
        <v>11</v>
      </c>
      <c r="E451" s="1051" t="str">
        <f>IF(COUNTIF(E$413:E450,F451)&gt;0,"",F451)</f>
        <v/>
      </c>
      <c r="F451" s="1051" t="str">
        <f t="shared" si="48"/>
        <v>Avion passagers, 20-50 sièges, 500 - 1000 km, avec trainées, France continentale, Base Carbone</v>
      </c>
      <c r="G451" s="1055" t="str">
        <f t="shared" si="49"/>
        <v>Avion passagers, 20-50 sièges, 500 - 1000 km, avec trainées, France continentale, Base Carbone; kgCO2e/passager eq.km Amont</v>
      </c>
      <c r="I451" s="1031" t="s">
        <v>4785</v>
      </c>
      <c r="J451" s="1119" t="s">
        <v>4059</v>
      </c>
      <c r="K451" s="1119" t="s">
        <v>1567</v>
      </c>
      <c r="L451" s="1135" t="s">
        <v>1571</v>
      </c>
      <c r="M451" s="1033">
        <v>0.7</v>
      </c>
      <c r="N451" s="1135" t="s">
        <v>1570</v>
      </c>
      <c r="O451" s="1036">
        <v>3.8399999999999997E-2</v>
      </c>
      <c r="P451" s="1036">
        <v>3.49E-2</v>
      </c>
      <c r="Q451" s="1036">
        <v>1.74E-3</v>
      </c>
      <c r="R451" s="1036">
        <v>0</v>
      </c>
      <c r="S451" s="1036">
        <v>1.75E-3</v>
      </c>
      <c r="T451" s="1036">
        <v>0</v>
      </c>
      <c r="U451" s="1037">
        <v>0</v>
      </c>
      <c r="V451" s="3239">
        <v>750</v>
      </c>
      <c r="W451" s="3240"/>
      <c r="X451" s="1979"/>
    </row>
    <row r="452" spans="2:24" ht="12" hidden="1" customHeight="1" outlineLevel="1">
      <c r="B452" s="1050">
        <v>39</v>
      </c>
      <c r="C452" s="1050" t="str">
        <f t="shared" si="46"/>
        <v>-</v>
      </c>
      <c r="D452" s="1051">
        <f t="shared" si="47"/>
        <v>11</v>
      </c>
      <c r="E452" s="1051" t="str">
        <f>IF(COUNTIF(E$413:E451,F452)&gt;0,"",F452)</f>
        <v/>
      </c>
      <c r="F452" s="1051" t="str">
        <f t="shared" si="48"/>
        <v>Avion passagers, 20-50 sièges, 500 - 1000 km, avec trainées, France continentale, Base Carbone</v>
      </c>
      <c r="G452" s="1055" t="str">
        <f t="shared" si="49"/>
        <v>Avion passagers, 20-50 sièges, 500 - 1000 km, avec trainées, France continentale, Base Carbone; kgCO2e/passager eq.km Fabrication</v>
      </c>
      <c r="I452" s="1031" t="s">
        <v>4785</v>
      </c>
      <c r="J452" s="1119" t="s">
        <v>4059</v>
      </c>
      <c r="K452" s="1119" t="s">
        <v>1567</v>
      </c>
      <c r="L452" s="1135" t="s">
        <v>1571</v>
      </c>
      <c r="M452" s="1033">
        <v>0.7</v>
      </c>
      <c r="N452" s="1135" t="s">
        <v>332</v>
      </c>
      <c r="O452" s="1036">
        <v>5.2999999999999998E-4</v>
      </c>
      <c r="P452" s="1036">
        <v>5.2999999999999998E-4</v>
      </c>
      <c r="Q452" s="1036">
        <v>0</v>
      </c>
      <c r="R452" s="1036">
        <v>0</v>
      </c>
      <c r="S452" s="1036">
        <v>0</v>
      </c>
      <c r="T452" s="1036">
        <v>0</v>
      </c>
      <c r="U452" s="1037">
        <v>0</v>
      </c>
      <c r="V452" s="3239">
        <v>750</v>
      </c>
      <c r="W452" s="3240"/>
      <c r="X452" s="1979"/>
    </row>
    <row r="453" spans="2:24" ht="12" hidden="1" customHeight="1" outlineLevel="1">
      <c r="B453" s="1050">
        <v>40</v>
      </c>
      <c r="C453" s="1050" t="str">
        <f t="shared" si="46"/>
        <v>-</v>
      </c>
      <c r="D453" s="1051">
        <f t="shared" si="47"/>
        <v>12</v>
      </c>
      <c r="E453" s="1051" t="str">
        <f>IF(COUNTIF(E$413:E452,F453)&gt;0,"",F453)</f>
        <v>Avion passagers, 20-50 sièges, 500 - 1000 km, sans trainées, France continentale, Base Carbone</v>
      </c>
      <c r="F453" s="1051" t="str">
        <f t="shared" si="48"/>
        <v>Avion passagers, 20-50 sièges, 500 - 1000 km, sans trainées, France continentale, Base Carbone</v>
      </c>
      <c r="G453" s="1055" t="str">
        <f t="shared" si="49"/>
        <v>Avion passagers, 20-50 sièges, 500 - 1000 km, sans trainées, France continentale, Base Carbone; kgCO2e/passager eq.km Combustion</v>
      </c>
      <c r="I453" s="1031" t="s">
        <v>4786</v>
      </c>
      <c r="J453" s="1119" t="s">
        <v>4059</v>
      </c>
      <c r="K453" s="1119" t="s">
        <v>1567</v>
      </c>
      <c r="L453" s="1135" t="s">
        <v>1571</v>
      </c>
      <c r="M453" s="1033">
        <v>0.1</v>
      </c>
      <c r="N453" s="1135" t="s">
        <v>1569</v>
      </c>
      <c r="O453" s="1036">
        <v>0.185</v>
      </c>
      <c r="P453" s="2581">
        <v>0.184</v>
      </c>
      <c r="Q453" s="1036">
        <v>6.8999999999999997E-5</v>
      </c>
      <c r="R453" s="1036">
        <v>0</v>
      </c>
      <c r="S453" s="1036">
        <v>1.3500000000000001E-3</v>
      </c>
      <c r="T453" s="1036">
        <v>0</v>
      </c>
      <c r="U453" s="1037">
        <v>0</v>
      </c>
      <c r="V453" s="3239">
        <v>750</v>
      </c>
      <c r="W453" s="3240"/>
      <c r="X453" s="1979"/>
    </row>
    <row r="454" spans="2:24" ht="12" hidden="1" customHeight="1" outlineLevel="1">
      <c r="B454" s="1050">
        <v>41</v>
      </c>
      <c r="C454" s="1050" t="str">
        <f t="shared" si="46"/>
        <v>-</v>
      </c>
      <c r="D454" s="1051">
        <f t="shared" si="47"/>
        <v>12</v>
      </c>
      <c r="E454" s="1051" t="str">
        <f>IF(COUNTIF(E$413:E453,F454)&gt;0,"",F454)</f>
        <v/>
      </c>
      <c r="F454" s="1051" t="str">
        <f t="shared" si="48"/>
        <v>Avion passagers, 20-50 sièges, 500 - 1000 km, sans trainées, France continentale, Base Carbone</v>
      </c>
      <c r="G454" s="1055" t="str">
        <f t="shared" si="49"/>
        <v>Avion passagers, 20-50 sièges, 500 - 1000 km, sans trainées, France continentale, Base Carbone; kgCO2e/passager eq.km Amont</v>
      </c>
      <c r="I454" s="1031" t="s">
        <v>4786</v>
      </c>
      <c r="J454" s="1119" t="s">
        <v>4059</v>
      </c>
      <c r="K454" s="1119" t="s">
        <v>1567</v>
      </c>
      <c r="L454" s="1135" t="s">
        <v>1571</v>
      </c>
      <c r="M454" s="1033">
        <v>0.1</v>
      </c>
      <c r="N454" s="1135" t="s">
        <v>1570</v>
      </c>
      <c r="O454" s="1036">
        <v>3.8399999999999997E-2</v>
      </c>
      <c r="P454" s="1036">
        <v>3.49E-2</v>
      </c>
      <c r="Q454" s="1036">
        <v>1.74E-3</v>
      </c>
      <c r="R454" s="1036">
        <v>0</v>
      </c>
      <c r="S454" s="1036">
        <v>1.75E-3</v>
      </c>
      <c r="T454" s="1036">
        <v>0</v>
      </c>
      <c r="U454" s="1037">
        <v>0</v>
      </c>
      <c r="V454" s="3239">
        <v>750</v>
      </c>
      <c r="W454" s="3240"/>
      <c r="X454" s="1979"/>
    </row>
    <row r="455" spans="2:24" ht="12" hidden="1" customHeight="1" outlineLevel="1">
      <c r="B455" s="1050">
        <v>42</v>
      </c>
      <c r="C455" s="1050" t="str">
        <f t="shared" si="46"/>
        <v>-</v>
      </c>
      <c r="D455" s="1051">
        <f t="shared" si="47"/>
        <v>12</v>
      </c>
      <c r="E455" s="1051" t="str">
        <f>IF(COUNTIF(E$413:E454,F455)&gt;0,"",F455)</f>
        <v/>
      </c>
      <c r="F455" s="1051" t="str">
        <f t="shared" si="48"/>
        <v>Avion passagers, 20-50 sièges, 500 - 1000 km, sans trainées, France continentale, Base Carbone</v>
      </c>
      <c r="G455" s="1055" t="str">
        <f t="shared" si="49"/>
        <v>Avion passagers, 20-50 sièges, 500 - 1000 km, sans trainées, France continentale, Base Carbone; kgCO2e/passager eq.km Fabrication</v>
      </c>
      <c r="I455" s="1031" t="s">
        <v>4786</v>
      </c>
      <c r="J455" s="1119" t="s">
        <v>4059</v>
      </c>
      <c r="K455" s="1119" t="s">
        <v>1567</v>
      </c>
      <c r="L455" s="1135" t="s">
        <v>1571</v>
      </c>
      <c r="M455" s="1033">
        <v>0.1</v>
      </c>
      <c r="N455" s="1135" t="s">
        <v>332</v>
      </c>
      <c r="O455" s="1036">
        <v>5.2999999999999998E-4</v>
      </c>
      <c r="P455" s="1036">
        <v>5.2999999999999998E-4</v>
      </c>
      <c r="Q455" s="1036">
        <v>0</v>
      </c>
      <c r="R455" s="1036">
        <v>0</v>
      </c>
      <c r="S455" s="1036">
        <v>0</v>
      </c>
      <c r="T455" s="1036">
        <v>0</v>
      </c>
      <c r="U455" s="1037">
        <v>0</v>
      </c>
      <c r="V455" s="3239">
        <v>750</v>
      </c>
      <c r="W455" s="3240"/>
      <c r="X455" s="1979"/>
    </row>
    <row r="456" spans="2:24" ht="12" hidden="1" customHeight="1" outlineLevel="1">
      <c r="B456" s="1050">
        <v>43</v>
      </c>
      <c r="C456" s="1050" t="str">
        <f t="shared" si="46"/>
        <v>-</v>
      </c>
      <c r="D456" s="1051">
        <f t="shared" si="47"/>
        <v>13</v>
      </c>
      <c r="E456" s="1051" t="str">
        <f>IF(COUNTIF(E$413:E455,F456)&gt;0,"",F456)</f>
        <v>Avion passagers, 20-50 sièges, &lt; 500 km jet, avec trainées, France continentale, Base Carbone</v>
      </c>
      <c r="F456" s="1051" t="str">
        <f t="shared" si="48"/>
        <v>Avion passagers, 20-50 sièges, &lt; 500 km jet, avec trainées, France continentale, Base Carbone</v>
      </c>
      <c r="G456" s="1055" t="str">
        <f t="shared" si="49"/>
        <v>Avion passagers, 20-50 sièges, &lt; 500 km jet, avec trainées, France continentale, Base Carbone; kgCO2e/passager eq.km Combustion</v>
      </c>
      <c r="I456" s="1031" t="s">
        <v>4787</v>
      </c>
      <c r="J456" s="1119" t="s">
        <v>4059</v>
      </c>
      <c r="K456" s="1119" t="s">
        <v>1567</v>
      </c>
      <c r="L456" s="1135" t="s">
        <v>1571</v>
      </c>
      <c r="M456" s="1033">
        <v>0.7</v>
      </c>
      <c r="N456" s="1135" t="s">
        <v>1569</v>
      </c>
      <c r="O456" s="2045">
        <v>0.23899999999999999</v>
      </c>
      <c r="P456" s="2045">
        <v>0.23699999999999999</v>
      </c>
      <c r="Q456" s="2045">
        <v>6.8999999999999997E-5</v>
      </c>
      <c r="R456" s="2045">
        <v>0</v>
      </c>
      <c r="S456" s="2045">
        <v>1.75E-3</v>
      </c>
      <c r="T456" s="2045">
        <v>0</v>
      </c>
      <c r="U456" s="2045">
        <v>0</v>
      </c>
      <c r="V456" s="3239">
        <v>250</v>
      </c>
      <c r="W456" s="3240"/>
      <c r="X456" s="1979"/>
    </row>
    <row r="457" spans="2:24" ht="12" hidden="1" customHeight="1" outlineLevel="1">
      <c r="B457" s="1050">
        <v>44</v>
      </c>
      <c r="C457" s="1050" t="str">
        <f t="shared" si="46"/>
        <v>-</v>
      </c>
      <c r="D457" s="1051">
        <f t="shared" si="47"/>
        <v>13</v>
      </c>
      <c r="E457" s="1051" t="str">
        <f>IF(COUNTIF(E$413:E456,F457)&gt;0,"",F457)</f>
        <v/>
      </c>
      <c r="F457" s="1051" t="str">
        <f t="shared" si="48"/>
        <v>Avion passagers, 20-50 sièges, &lt; 500 km jet, avec trainées, France continentale, Base Carbone</v>
      </c>
      <c r="G457" s="1055" t="str">
        <f t="shared" si="49"/>
        <v>Avion passagers, 20-50 sièges, &lt; 500 km jet, avec trainées, France continentale, Base Carbone; kgCO2e/passager eq.km Emissions fugitives</v>
      </c>
      <c r="I457" s="1031" t="s">
        <v>4787</v>
      </c>
      <c r="J457" s="1119" t="s">
        <v>4059</v>
      </c>
      <c r="K457" s="1119" t="s">
        <v>1567</v>
      </c>
      <c r="L457" s="1135" t="s">
        <v>1571</v>
      </c>
      <c r="M457" s="1033">
        <v>0.7</v>
      </c>
      <c r="N457" s="1135" t="s">
        <v>1764</v>
      </c>
      <c r="O457" s="1036">
        <v>0.23799999999999999</v>
      </c>
      <c r="P457" s="2581">
        <v>0</v>
      </c>
      <c r="Q457" s="1036">
        <v>0</v>
      </c>
      <c r="R457" s="1036">
        <v>0</v>
      </c>
      <c r="S457" s="1036">
        <v>0</v>
      </c>
      <c r="T457" s="1036">
        <v>0.23799999999999999</v>
      </c>
      <c r="U457" s="1037">
        <v>0</v>
      </c>
      <c r="V457" s="3239">
        <v>250</v>
      </c>
      <c r="W457" s="3240"/>
      <c r="X457" s="1979"/>
    </row>
    <row r="458" spans="2:24" ht="12" hidden="1" customHeight="1" outlineLevel="1">
      <c r="B458" s="1050">
        <v>45</v>
      </c>
      <c r="C458" s="1050" t="str">
        <f t="shared" si="46"/>
        <v>-</v>
      </c>
      <c r="D458" s="1051">
        <f t="shared" si="47"/>
        <v>13</v>
      </c>
      <c r="E458" s="1051" t="str">
        <f>IF(COUNTIF(E$413:E457,F458)&gt;0,"",F458)</f>
        <v/>
      </c>
      <c r="F458" s="1051" t="str">
        <f t="shared" si="48"/>
        <v>Avion passagers, 20-50 sièges, &lt; 500 km jet, avec trainées, France continentale, Base Carbone</v>
      </c>
      <c r="G458" s="1055" t="str">
        <f t="shared" si="49"/>
        <v>Avion passagers, 20-50 sièges, &lt; 500 km jet, avec trainées, France continentale, Base Carbone; kgCO2e/passager eq.km Amont</v>
      </c>
      <c r="I458" s="1031" t="s">
        <v>4787</v>
      </c>
      <c r="J458" s="1119" t="s">
        <v>4059</v>
      </c>
      <c r="K458" s="1119" t="s">
        <v>1567</v>
      </c>
      <c r="L458" s="1135" t="s">
        <v>1571</v>
      </c>
      <c r="M458" s="1033">
        <v>0.7</v>
      </c>
      <c r="N458" s="1135" t="s">
        <v>1570</v>
      </c>
      <c r="O458" s="2045">
        <v>4.9500000000000002E-2</v>
      </c>
      <c r="P458" s="2045">
        <v>4.4999999999999998E-2</v>
      </c>
      <c r="Q458" s="2045">
        <v>2.2499999999999998E-3</v>
      </c>
      <c r="R458" s="2045">
        <v>0</v>
      </c>
      <c r="S458" s="2045">
        <v>2.2499999999999998E-3</v>
      </c>
      <c r="T458" s="2045">
        <v>0</v>
      </c>
      <c r="U458" s="2045">
        <v>0</v>
      </c>
      <c r="V458" s="3239">
        <v>250</v>
      </c>
      <c r="W458" s="3240"/>
      <c r="X458" s="1979"/>
    </row>
    <row r="459" spans="2:24" ht="12" hidden="1" customHeight="1" outlineLevel="1">
      <c r="B459" s="1050">
        <v>46</v>
      </c>
      <c r="C459" s="1050" t="str">
        <f t="shared" si="46"/>
        <v>-</v>
      </c>
      <c r="D459" s="1051">
        <f t="shared" si="47"/>
        <v>13</v>
      </c>
      <c r="E459" s="1051" t="str">
        <f>IF(COUNTIF(E$413:E458,F459)&gt;0,"",F459)</f>
        <v/>
      </c>
      <c r="F459" s="1051" t="str">
        <f t="shared" si="48"/>
        <v>Avion passagers, 20-50 sièges, &lt; 500 km jet, avec trainées, France continentale, Base Carbone</v>
      </c>
      <c r="G459" s="1055" t="str">
        <f t="shared" si="49"/>
        <v>Avion passagers, 20-50 sièges, &lt; 500 km jet, avec trainées, France continentale, Base Carbone; kgCO2e/passager eq.km Fabrication</v>
      </c>
      <c r="I459" s="1031" t="s">
        <v>4787</v>
      </c>
      <c r="J459" s="1119" t="s">
        <v>4059</v>
      </c>
      <c r="K459" s="1119" t="s">
        <v>1567</v>
      </c>
      <c r="L459" s="1135" t="s">
        <v>1571</v>
      </c>
      <c r="M459" s="1033">
        <v>0.7</v>
      </c>
      <c r="N459" s="1135" t="s">
        <v>332</v>
      </c>
      <c r="O459" s="1036">
        <v>5.4000000000000001E-4</v>
      </c>
      <c r="P459" s="1036">
        <v>5.4000000000000001E-4</v>
      </c>
      <c r="Q459" s="1036">
        <v>0</v>
      </c>
      <c r="R459" s="1036">
        <v>0</v>
      </c>
      <c r="S459" s="1036">
        <v>0</v>
      </c>
      <c r="T459" s="1036">
        <v>0</v>
      </c>
      <c r="U459" s="1037">
        <v>0</v>
      </c>
      <c r="V459" s="3239">
        <v>250</v>
      </c>
      <c r="W459" s="3240"/>
      <c r="X459" s="1979"/>
    </row>
    <row r="460" spans="2:24" ht="12" hidden="1" customHeight="1" outlineLevel="1">
      <c r="B460" s="1050">
        <v>47</v>
      </c>
      <c r="C460" s="1050" t="str">
        <f t="shared" si="46"/>
        <v>-</v>
      </c>
      <c r="D460" s="1051">
        <f t="shared" si="47"/>
        <v>14</v>
      </c>
      <c r="E460" s="1051" t="str">
        <f>IF(COUNTIF(E$413:E459,F460)&gt;0,"",F460)</f>
        <v>Avion passagers, 20-50 sièges, &lt; 500 km jet, sans trainées, France continentale, Base Carbone</v>
      </c>
      <c r="F460" s="1051" t="str">
        <f t="shared" si="48"/>
        <v>Avion passagers, 20-50 sièges, &lt; 500 km jet, sans trainées, France continentale, Base Carbone</v>
      </c>
      <c r="G460" s="1055" t="str">
        <f t="shared" si="49"/>
        <v>Avion passagers, 20-50 sièges, &lt; 500 km jet, sans trainées, France continentale, Base Carbone; kgCO2e/passager eq.km Combustion</v>
      </c>
      <c r="I460" s="1031" t="s">
        <v>4788</v>
      </c>
      <c r="J460" s="1119" t="s">
        <v>4059</v>
      </c>
      <c r="K460" s="1119" t="s">
        <v>1567</v>
      </c>
      <c r="L460" s="1135" t="s">
        <v>1571</v>
      </c>
      <c r="M460" s="1033">
        <v>0.1</v>
      </c>
      <c r="N460" s="1135" t="s">
        <v>1569</v>
      </c>
      <c r="O460" s="2045">
        <v>0.23899999999999999</v>
      </c>
      <c r="P460" s="2045">
        <v>0.23699999999999999</v>
      </c>
      <c r="Q460" s="2045">
        <v>6.8999999999999997E-5</v>
      </c>
      <c r="R460" s="2045">
        <v>0</v>
      </c>
      <c r="S460" s="2045">
        <v>1.75E-3</v>
      </c>
      <c r="T460" s="2045">
        <v>0</v>
      </c>
      <c r="U460" s="2045">
        <v>0</v>
      </c>
      <c r="V460" s="3239">
        <v>250</v>
      </c>
      <c r="W460" s="3240"/>
      <c r="X460" s="1979"/>
    </row>
    <row r="461" spans="2:24" ht="12" hidden="1" customHeight="1" outlineLevel="1">
      <c r="B461" s="1050">
        <v>48</v>
      </c>
      <c r="C461" s="1050" t="str">
        <f t="shared" si="46"/>
        <v>-</v>
      </c>
      <c r="D461" s="1051">
        <f t="shared" si="47"/>
        <v>14</v>
      </c>
      <c r="E461" s="1051" t="str">
        <f>IF(COUNTIF(E$413:E460,F461)&gt;0,"",F461)</f>
        <v/>
      </c>
      <c r="F461" s="1051" t="str">
        <f t="shared" si="48"/>
        <v>Avion passagers, 20-50 sièges, &lt; 500 km jet, sans trainées, France continentale, Base Carbone</v>
      </c>
      <c r="G461" s="1055" t="str">
        <f t="shared" si="49"/>
        <v>Avion passagers, 20-50 sièges, &lt; 500 km jet, sans trainées, France continentale, Base Carbone; kgCO2e/passager eq.km Amont</v>
      </c>
      <c r="I461" s="1031" t="s">
        <v>4788</v>
      </c>
      <c r="J461" s="1119" t="s">
        <v>4059</v>
      </c>
      <c r="K461" s="1119" t="s">
        <v>1567</v>
      </c>
      <c r="L461" s="1135" t="s">
        <v>1571</v>
      </c>
      <c r="M461" s="1033">
        <v>0.1</v>
      </c>
      <c r="N461" s="1135" t="s">
        <v>1570</v>
      </c>
      <c r="O461" s="2045">
        <v>4.9500000000000002E-2</v>
      </c>
      <c r="P461" s="2045">
        <v>4.4999999999999998E-2</v>
      </c>
      <c r="Q461" s="2045">
        <v>2.2499999999999998E-3</v>
      </c>
      <c r="R461" s="2045">
        <v>0</v>
      </c>
      <c r="S461" s="2045">
        <v>2.2499999999999998E-3</v>
      </c>
      <c r="T461" s="2045">
        <v>0</v>
      </c>
      <c r="U461" s="2045">
        <v>0</v>
      </c>
      <c r="V461" s="3239">
        <v>250</v>
      </c>
      <c r="W461" s="3240"/>
      <c r="X461" s="1979"/>
    </row>
    <row r="462" spans="2:24" ht="12" hidden="1" customHeight="1" outlineLevel="1">
      <c r="B462" s="1050">
        <v>49</v>
      </c>
      <c r="C462" s="1050" t="str">
        <f t="shared" si="46"/>
        <v>-</v>
      </c>
      <c r="D462" s="1051">
        <f t="shared" si="47"/>
        <v>14</v>
      </c>
      <c r="E462" s="1051" t="str">
        <f>IF(COUNTIF(E$413:E461,F462)&gt;0,"",F462)</f>
        <v/>
      </c>
      <c r="F462" s="1051" t="str">
        <f t="shared" si="48"/>
        <v>Avion passagers, 20-50 sièges, &lt; 500 km jet, sans trainées, France continentale, Base Carbone</v>
      </c>
      <c r="G462" s="1055" t="str">
        <f t="shared" si="49"/>
        <v>Avion passagers, 20-50 sièges, &lt; 500 km jet, sans trainées, France continentale, Base Carbone; kgCO2e/passager eq.km Fabrication</v>
      </c>
      <c r="I462" s="1031" t="s">
        <v>4788</v>
      </c>
      <c r="J462" s="1119" t="s">
        <v>4059</v>
      </c>
      <c r="K462" s="1119" t="s">
        <v>1567</v>
      </c>
      <c r="L462" s="1135" t="s">
        <v>1571</v>
      </c>
      <c r="M462" s="1033">
        <v>0.1</v>
      </c>
      <c r="N462" s="1135" t="s">
        <v>332</v>
      </c>
      <c r="O462" s="1036">
        <v>5.4000000000000001E-4</v>
      </c>
      <c r="P462" s="2581">
        <v>5.4000000000000001E-4</v>
      </c>
      <c r="Q462" s="1036">
        <v>0</v>
      </c>
      <c r="R462" s="1036">
        <v>0</v>
      </c>
      <c r="S462" s="1036">
        <v>0</v>
      </c>
      <c r="T462" s="1036">
        <v>0</v>
      </c>
      <c r="U462" s="1037">
        <v>0</v>
      </c>
      <c r="V462" s="3239">
        <v>250</v>
      </c>
      <c r="W462" s="3240"/>
      <c r="X462" s="1979"/>
    </row>
    <row r="463" spans="2:24" ht="12" hidden="1" customHeight="1" outlineLevel="1">
      <c r="B463" s="1050">
        <v>50</v>
      </c>
      <c r="C463" s="1050" t="str">
        <f t="shared" si="46"/>
        <v>-</v>
      </c>
      <c r="D463" s="1051">
        <f t="shared" si="47"/>
        <v>15</v>
      </c>
      <c r="E463" s="1051" t="str">
        <f>IF(COUNTIF(E$413:E462,F463)&gt;0,"",F463)</f>
        <v>Avion passagers, 20-50 sièges, &lt; 500 km turboprop, avec trainées, France continentale, Base Carbone</v>
      </c>
      <c r="F463" s="1051" t="str">
        <f t="shared" si="48"/>
        <v>Avion passagers, 20-50 sièges, &lt; 500 km turboprop, avec trainées, France continentale, Base Carbone</v>
      </c>
      <c r="G463" s="1055" t="str">
        <f t="shared" si="49"/>
        <v>Avion passagers, 20-50 sièges, &lt; 500 km turboprop, avec trainées, France continentale, Base Carbone; kgCO2e/passager eq.km Combustion</v>
      </c>
      <c r="I463" s="1031" t="s">
        <v>4789</v>
      </c>
      <c r="J463" s="1119" t="s">
        <v>4059</v>
      </c>
      <c r="K463" s="1119" t="s">
        <v>1567</v>
      </c>
      <c r="L463" s="1135" t="s">
        <v>1571</v>
      </c>
      <c r="M463" s="1033">
        <v>0.7</v>
      </c>
      <c r="N463" s="1135" t="s">
        <v>1569</v>
      </c>
      <c r="O463" s="1036">
        <v>0.16500000000000001</v>
      </c>
      <c r="P463" s="1036">
        <v>0.16400000000000001</v>
      </c>
      <c r="Q463" s="1036">
        <v>2.7E-4</v>
      </c>
      <c r="R463" s="1036">
        <v>0</v>
      </c>
      <c r="S463" s="1036">
        <v>1.2199999999999999E-3</v>
      </c>
      <c r="T463" s="1036">
        <v>0</v>
      </c>
      <c r="U463" s="1037">
        <v>0</v>
      </c>
      <c r="V463" s="3239">
        <v>250</v>
      </c>
      <c r="W463" s="3240"/>
      <c r="X463" s="1979"/>
    </row>
    <row r="464" spans="2:24" ht="12" hidden="1" customHeight="1" outlineLevel="1">
      <c r="B464" s="1050">
        <v>51</v>
      </c>
      <c r="C464" s="1050" t="str">
        <f t="shared" si="46"/>
        <v>-</v>
      </c>
      <c r="D464" s="1051">
        <f t="shared" si="47"/>
        <v>15</v>
      </c>
      <c r="E464" s="1051" t="str">
        <f>IF(COUNTIF(E$413:E463,F464)&gt;0,"",F464)</f>
        <v/>
      </c>
      <c r="F464" s="1051" t="str">
        <f t="shared" si="48"/>
        <v>Avion passagers, 20-50 sièges, &lt; 500 km turboprop, avec trainées, France continentale, Base Carbone</v>
      </c>
      <c r="G464" s="1055" t="str">
        <f t="shared" si="49"/>
        <v>Avion passagers, 20-50 sièges, &lt; 500 km turboprop, avec trainées, France continentale, Base Carbone; kgCO2e/passager eq.km Emissions fugitives</v>
      </c>
      <c r="I464" s="1031" t="s">
        <v>4789</v>
      </c>
      <c r="J464" s="1119" t="s">
        <v>4059</v>
      </c>
      <c r="K464" s="1119" t="s">
        <v>1567</v>
      </c>
      <c r="L464" s="1135" t="s">
        <v>1571</v>
      </c>
      <c r="M464" s="1033">
        <v>0.7</v>
      </c>
      <c r="N464" s="1135" t="s">
        <v>1764</v>
      </c>
      <c r="O464" s="1036">
        <v>0.16600000000000001</v>
      </c>
      <c r="P464" s="1036">
        <v>0</v>
      </c>
      <c r="Q464" s="1036">
        <v>0</v>
      </c>
      <c r="R464" s="1036">
        <v>0</v>
      </c>
      <c r="S464" s="1036">
        <v>0</v>
      </c>
      <c r="T464" s="1036">
        <v>0.16600000000000001</v>
      </c>
      <c r="U464" s="1037">
        <v>0</v>
      </c>
      <c r="V464" s="3239">
        <v>250</v>
      </c>
      <c r="W464" s="3240"/>
      <c r="X464" s="1979"/>
    </row>
    <row r="465" spans="2:24" ht="12" hidden="1" customHeight="1" outlineLevel="1">
      <c r="B465" s="1050">
        <v>52</v>
      </c>
      <c r="C465" s="1050" t="str">
        <f t="shared" si="46"/>
        <v>-</v>
      </c>
      <c r="D465" s="1051">
        <f t="shared" si="47"/>
        <v>15</v>
      </c>
      <c r="E465" s="1051" t="str">
        <f>IF(COUNTIF(E$413:E464,F465)&gt;0,"",F465)</f>
        <v/>
      </c>
      <c r="F465" s="1051" t="str">
        <f t="shared" si="48"/>
        <v>Avion passagers, 20-50 sièges, &lt; 500 km turboprop, avec trainées, France continentale, Base Carbone</v>
      </c>
      <c r="G465" s="1055" t="str">
        <f t="shared" si="49"/>
        <v>Avion passagers, 20-50 sièges, &lt; 500 km turboprop, avec trainées, France continentale, Base Carbone; kgCO2e/passager eq.km Amont</v>
      </c>
      <c r="I465" s="1031" t="s">
        <v>4789</v>
      </c>
      <c r="J465" s="1119" t="s">
        <v>4059</v>
      </c>
      <c r="K465" s="1119" t="s">
        <v>1567</v>
      </c>
      <c r="L465" s="1135" t="s">
        <v>1571</v>
      </c>
      <c r="M465" s="1033">
        <v>0.7</v>
      </c>
      <c r="N465" s="1135" t="s">
        <v>1570</v>
      </c>
      <c r="O465" s="1036">
        <v>3.4299999999999997E-2</v>
      </c>
      <c r="P465" s="2581">
        <v>3.1199999999999999E-2</v>
      </c>
      <c r="Q465" s="1036">
        <v>1.56E-3</v>
      </c>
      <c r="R465" s="1036">
        <v>0</v>
      </c>
      <c r="S465" s="1036">
        <v>1.56E-3</v>
      </c>
      <c r="T465" s="1036">
        <v>0</v>
      </c>
      <c r="U465" s="1037">
        <v>0</v>
      </c>
      <c r="V465" s="3239">
        <v>250</v>
      </c>
      <c r="W465" s="3240"/>
      <c r="X465" s="1979"/>
    </row>
    <row r="466" spans="2:24" ht="12" hidden="1" customHeight="1" outlineLevel="1">
      <c r="B466" s="1050">
        <v>53</v>
      </c>
      <c r="C466" s="1050" t="str">
        <f t="shared" si="46"/>
        <v>-</v>
      </c>
      <c r="D466" s="1051">
        <f t="shared" si="47"/>
        <v>15</v>
      </c>
      <c r="E466" s="1051" t="str">
        <f>IF(COUNTIF(E$413:E465,F466)&gt;0,"",F466)</f>
        <v/>
      </c>
      <c r="F466" s="1051" t="str">
        <f t="shared" si="48"/>
        <v>Avion passagers, 20-50 sièges, &lt; 500 km turboprop, avec trainées, France continentale, Base Carbone</v>
      </c>
      <c r="G466" s="1055" t="str">
        <f t="shared" si="49"/>
        <v>Avion passagers, 20-50 sièges, &lt; 500 km turboprop, avec trainées, France continentale, Base Carbone; kgCO2e/passager eq.km Fabrication</v>
      </c>
      <c r="I466" s="1031" t="s">
        <v>4789</v>
      </c>
      <c r="J466" s="1119" t="s">
        <v>4059</v>
      </c>
      <c r="K466" s="1119" t="s">
        <v>1567</v>
      </c>
      <c r="L466" s="1135" t="s">
        <v>1571</v>
      </c>
      <c r="M466" s="1033">
        <v>0.7</v>
      </c>
      <c r="N466" s="1135" t="s">
        <v>332</v>
      </c>
      <c r="O466" s="1036">
        <v>5.4000000000000001E-4</v>
      </c>
      <c r="P466" s="2581">
        <v>5.4000000000000001E-4</v>
      </c>
      <c r="Q466" s="1036">
        <v>0</v>
      </c>
      <c r="R466" s="1036">
        <v>0</v>
      </c>
      <c r="S466" s="1036">
        <v>0</v>
      </c>
      <c r="T466" s="1036">
        <v>0</v>
      </c>
      <c r="U466" s="1037">
        <v>0</v>
      </c>
      <c r="V466" s="3239">
        <v>250</v>
      </c>
      <c r="W466" s="3240"/>
      <c r="X466" s="1979"/>
    </row>
    <row r="467" spans="2:24" ht="12" hidden="1" customHeight="1" outlineLevel="1">
      <c r="B467" s="1050">
        <v>54</v>
      </c>
      <c r="C467" s="1050" t="str">
        <f t="shared" si="46"/>
        <v>-</v>
      </c>
      <c r="D467" s="1051">
        <f t="shared" si="47"/>
        <v>16</v>
      </c>
      <c r="E467" s="1051" t="str">
        <f>IF(COUNTIF(E$413:E466,F467)&gt;0,"",F467)</f>
        <v>Avion passagers, 20-50 sièges, &lt; 500 km turboprop, sans trainées, France continentale, Base Carbone</v>
      </c>
      <c r="F467" s="1051" t="str">
        <f t="shared" si="48"/>
        <v>Avion passagers, 20-50 sièges, &lt; 500 km turboprop, sans trainées, France continentale, Base Carbone</v>
      </c>
      <c r="G467" s="1055" t="str">
        <f t="shared" si="49"/>
        <v>Avion passagers, 20-50 sièges, &lt; 500 km turboprop, sans trainées, France continentale, Base Carbone; kgCO2e/passager eq.km Combustion</v>
      </c>
      <c r="I467" s="1031" t="s">
        <v>4790</v>
      </c>
      <c r="J467" s="1119" t="s">
        <v>4059</v>
      </c>
      <c r="K467" s="1119" t="s">
        <v>1567</v>
      </c>
      <c r="L467" s="1135" t="s">
        <v>1571</v>
      </c>
      <c r="M467" s="1033">
        <v>0.1</v>
      </c>
      <c r="N467" s="1135" t="s">
        <v>1569</v>
      </c>
      <c r="O467" s="1036">
        <v>0.16500000000000001</v>
      </c>
      <c r="P467" s="1036">
        <v>0.16400000000000001</v>
      </c>
      <c r="Q467" s="1036">
        <v>2.7E-4</v>
      </c>
      <c r="R467" s="1036">
        <v>0</v>
      </c>
      <c r="S467" s="1036">
        <v>1.2199999999999999E-3</v>
      </c>
      <c r="T467" s="1036">
        <v>0</v>
      </c>
      <c r="U467" s="1037">
        <v>0</v>
      </c>
      <c r="V467" s="3239">
        <v>250</v>
      </c>
      <c r="W467" s="3240"/>
      <c r="X467" s="1979"/>
    </row>
    <row r="468" spans="2:24" ht="12" hidden="1" customHeight="1" outlineLevel="1">
      <c r="B468" s="1050">
        <v>55</v>
      </c>
      <c r="C468" s="1050" t="str">
        <f t="shared" si="46"/>
        <v>-</v>
      </c>
      <c r="D468" s="1051">
        <f t="shared" si="47"/>
        <v>16</v>
      </c>
      <c r="E468" s="1051" t="str">
        <f>IF(COUNTIF(E$413:E467,F468)&gt;0,"",F468)</f>
        <v/>
      </c>
      <c r="F468" s="1051" t="str">
        <f t="shared" si="48"/>
        <v>Avion passagers, 20-50 sièges, &lt; 500 km turboprop, sans trainées, France continentale, Base Carbone</v>
      </c>
      <c r="G468" s="1055" t="str">
        <f t="shared" si="49"/>
        <v>Avion passagers, 20-50 sièges, &lt; 500 km turboprop, sans trainées, France continentale, Base Carbone; kgCO2e/passager eq.km Amont</v>
      </c>
      <c r="I468" s="1031" t="s">
        <v>4790</v>
      </c>
      <c r="J468" s="1119" t="s">
        <v>4059</v>
      </c>
      <c r="K468" s="1119" t="s">
        <v>1567</v>
      </c>
      <c r="L468" s="1135" t="s">
        <v>1571</v>
      </c>
      <c r="M468" s="1033">
        <v>0.1</v>
      </c>
      <c r="N468" s="1135" t="s">
        <v>1570</v>
      </c>
      <c r="O468" s="1036">
        <v>3.4299999999999997E-2</v>
      </c>
      <c r="P468" s="1036">
        <v>3.1199999999999999E-2</v>
      </c>
      <c r="Q468" s="1036">
        <v>1.56E-3</v>
      </c>
      <c r="R468" s="1036">
        <v>0</v>
      </c>
      <c r="S468" s="1036">
        <v>1.56E-3</v>
      </c>
      <c r="T468" s="1036">
        <v>0</v>
      </c>
      <c r="U468" s="1037">
        <v>0</v>
      </c>
      <c r="V468" s="3239">
        <v>250</v>
      </c>
      <c r="W468" s="3240"/>
      <c r="X468" s="1979"/>
    </row>
    <row r="469" spans="2:24" ht="12" hidden="1" customHeight="1" outlineLevel="1">
      <c r="B469" s="1050"/>
      <c r="C469" s="1050"/>
      <c r="D469" s="1051">
        <f t="shared" si="47"/>
        <v>16</v>
      </c>
      <c r="E469" s="1051" t="str">
        <f>IF(COUNTIF(E$413:E468,F469)&gt;0,"",F469)</f>
        <v/>
      </c>
      <c r="F469" s="1051" t="str">
        <f t="shared" si="48"/>
        <v>Avion passagers, 20-50 sièges, &lt; 500 km turboprop, sans trainées, France continentale, Base Carbone</v>
      </c>
      <c r="G469" s="1055" t="str">
        <f t="shared" si="49"/>
        <v>Avion passagers, 20-50 sièges, &lt; 500 km turboprop, sans trainées, France continentale, Base Carbone; kgCO2e/passager eq.km Fabrication</v>
      </c>
      <c r="I469" s="1031" t="s">
        <v>4790</v>
      </c>
      <c r="J469" s="1119" t="s">
        <v>4059</v>
      </c>
      <c r="K469" s="1119" t="s">
        <v>1567</v>
      </c>
      <c r="L469" s="1135" t="s">
        <v>1571</v>
      </c>
      <c r="M469" s="1033">
        <v>0.1</v>
      </c>
      <c r="N469" s="1135" t="s">
        <v>332</v>
      </c>
      <c r="O469" s="1036">
        <v>5.4000000000000001E-4</v>
      </c>
      <c r="P469" s="1036">
        <v>5.4000000000000001E-4</v>
      </c>
      <c r="Q469" s="1036">
        <v>0</v>
      </c>
      <c r="R469" s="1036">
        <v>0</v>
      </c>
      <c r="S469" s="1036">
        <v>0</v>
      </c>
      <c r="T469" s="1036">
        <v>0</v>
      </c>
      <c r="U469" s="1037">
        <v>0</v>
      </c>
      <c r="V469" s="3239">
        <v>250</v>
      </c>
      <c r="W469" s="3240"/>
      <c r="X469" s="1979"/>
    </row>
    <row r="470" spans="2:24" ht="12" hidden="1" customHeight="1" outlineLevel="1">
      <c r="B470" s="1050"/>
      <c r="C470" s="1050"/>
      <c r="D470" s="1051">
        <f t="shared" si="47"/>
        <v>17</v>
      </c>
      <c r="E470" s="1051" t="str">
        <f>IF(COUNTIF(E$413:E469,F470)&gt;0,"",F470)</f>
        <v>Avion passagers, 51-100 sièges, 1000 - 3500 km, avec trainées, France continentale, Base Carbone</v>
      </c>
      <c r="F470" s="1051" t="str">
        <f t="shared" si="48"/>
        <v>Avion passagers, 51-100 sièges, 1000 - 3500 km, avec trainées, France continentale, Base Carbone</v>
      </c>
      <c r="G470" s="1055" t="str">
        <f t="shared" si="49"/>
        <v>Avion passagers, 51-100 sièges, 1000 - 3500 km, avec trainées, France continentale, Base Carbone; kgCO2e/passager eq.km Combustion</v>
      </c>
      <c r="I470" s="1031" t="s">
        <v>4791</v>
      </c>
      <c r="J470" s="1119" t="s">
        <v>4059</v>
      </c>
      <c r="K470" s="1119" t="s">
        <v>1567</v>
      </c>
      <c r="L470" s="1135" t="s">
        <v>1571</v>
      </c>
      <c r="M470" s="1033">
        <v>0.7</v>
      </c>
      <c r="N470" s="1135" t="s">
        <v>1569</v>
      </c>
      <c r="O470" s="1036">
        <v>0.12</v>
      </c>
      <c r="P470" s="1036">
        <v>0.11899999999999999</v>
      </c>
      <c r="Q470" s="1036">
        <v>2.0999999999999999E-5</v>
      </c>
      <c r="R470" s="1036">
        <v>0</v>
      </c>
      <c r="S470" s="1036">
        <v>8.7500000000000002E-4</v>
      </c>
      <c r="T470" s="1036">
        <v>0</v>
      </c>
      <c r="U470" s="1037">
        <v>0</v>
      </c>
      <c r="V470" s="3239">
        <v>2250</v>
      </c>
      <c r="W470" s="3240"/>
      <c r="X470" s="1979"/>
    </row>
    <row r="471" spans="2:24" ht="12" hidden="1" customHeight="1" outlineLevel="1">
      <c r="B471" s="1050"/>
      <c r="C471" s="1050"/>
      <c r="D471" s="1051">
        <f t="shared" si="47"/>
        <v>17</v>
      </c>
      <c r="E471" s="1051" t="str">
        <f>IF(COUNTIF(E$413:E470,F471)&gt;0,"",F471)</f>
        <v/>
      </c>
      <c r="F471" s="1051" t="str">
        <f t="shared" si="48"/>
        <v>Avion passagers, 51-100 sièges, 1000 - 3500 km, avec trainées, France continentale, Base Carbone</v>
      </c>
      <c r="G471" s="1055" t="str">
        <f t="shared" si="49"/>
        <v>Avion passagers, 51-100 sièges, 1000 - 3500 km, avec trainées, France continentale, Base Carbone; kgCO2e/passager eq.km Emissions fugitives</v>
      </c>
      <c r="I471" s="1031" t="s">
        <v>4791</v>
      </c>
      <c r="J471" s="1119" t="s">
        <v>4059</v>
      </c>
      <c r="K471" s="1119" t="s">
        <v>1567</v>
      </c>
      <c r="L471" s="1135" t="s">
        <v>1571</v>
      </c>
      <c r="M471" s="1033">
        <v>0.7</v>
      </c>
      <c r="N471" s="1135" t="s">
        <v>1764</v>
      </c>
      <c r="O471" s="1036">
        <v>0.12</v>
      </c>
      <c r="P471" s="1036">
        <v>0</v>
      </c>
      <c r="Q471" s="1036">
        <v>0</v>
      </c>
      <c r="R471" s="1036">
        <v>0</v>
      </c>
      <c r="S471" s="1036">
        <v>0</v>
      </c>
      <c r="T471" s="1036">
        <v>0.12</v>
      </c>
      <c r="U471" s="1037">
        <v>0</v>
      </c>
      <c r="V471" s="3239">
        <v>2250</v>
      </c>
      <c r="W471" s="3240"/>
      <c r="X471" s="1979"/>
    </row>
    <row r="472" spans="2:24" ht="12" hidden="1" customHeight="1" outlineLevel="1">
      <c r="B472" s="1050"/>
      <c r="C472" s="1050"/>
      <c r="D472" s="1051">
        <f t="shared" si="47"/>
        <v>17</v>
      </c>
      <c r="E472" s="1051" t="str">
        <f>IF(COUNTIF(E$413:E471,F472)&gt;0,"",F472)</f>
        <v/>
      </c>
      <c r="F472" s="1051" t="str">
        <f t="shared" si="48"/>
        <v>Avion passagers, 51-100 sièges, 1000 - 3500 km, avec trainées, France continentale, Base Carbone</v>
      </c>
      <c r="G472" s="1055" t="str">
        <f t="shared" si="49"/>
        <v>Avion passagers, 51-100 sièges, 1000 - 3500 km, avec trainées, France continentale, Base Carbone; kgCO2e/passager eq.km Amont</v>
      </c>
      <c r="I472" s="1031" t="s">
        <v>4791</v>
      </c>
      <c r="J472" s="1119" t="s">
        <v>4059</v>
      </c>
      <c r="K472" s="1119" t="s">
        <v>1567</v>
      </c>
      <c r="L472" s="1135" t="s">
        <v>1571</v>
      </c>
      <c r="M472" s="1033">
        <v>0.7</v>
      </c>
      <c r="N472" s="1135" t="s">
        <v>1570</v>
      </c>
      <c r="O472" s="1036">
        <v>2.5000000000000001E-2</v>
      </c>
      <c r="P472" s="1036">
        <v>2.2700000000000001E-2</v>
      </c>
      <c r="Q472" s="1036">
        <v>1.1299999999999999E-3</v>
      </c>
      <c r="R472" s="1036">
        <v>0</v>
      </c>
      <c r="S472" s="1036">
        <v>1.14E-3</v>
      </c>
      <c r="T472" s="1036">
        <v>0</v>
      </c>
      <c r="U472" s="1037">
        <v>0</v>
      </c>
      <c r="V472" s="3239">
        <v>2250</v>
      </c>
      <c r="W472" s="3240"/>
      <c r="X472" s="1979"/>
    </row>
    <row r="473" spans="2:24" ht="12" hidden="1" customHeight="1" outlineLevel="1">
      <c r="B473" s="1050"/>
      <c r="C473" s="1050"/>
      <c r="D473" s="1051">
        <f t="shared" si="47"/>
        <v>17</v>
      </c>
      <c r="E473" s="1051" t="str">
        <f>IF(COUNTIF(E$413:E472,F473)&gt;0,"",F473)</f>
        <v/>
      </c>
      <c r="F473" s="1051" t="str">
        <f t="shared" si="48"/>
        <v>Avion passagers, 51-100 sièges, 1000 - 3500 km, avec trainées, France continentale, Base Carbone</v>
      </c>
      <c r="G473" s="1055" t="str">
        <f t="shared" si="49"/>
        <v>Avion passagers, 51-100 sièges, 1000 - 3500 km, avec trainées, France continentale, Base Carbone; kgCO2e/passager eq.km Fabrication</v>
      </c>
      <c r="I473" s="1031" t="s">
        <v>4791</v>
      </c>
      <c r="J473" s="1119" t="s">
        <v>4059</v>
      </c>
      <c r="K473" s="1119" t="s">
        <v>1567</v>
      </c>
      <c r="L473" s="1135" t="s">
        <v>1571</v>
      </c>
      <c r="M473" s="1033">
        <v>0.7</v>
      </c>
      <c r="N473" s="1135" t="s">
        <v>332</v>
      </c>
      <c r="O473" s="1036">
        <v>4.2000000000000002E-4</v>
      </c>
      <c r="P473" s="1036">
        <v>4.2000000000000002E-4</v>
      </c>
      <c r="Q473" s="1036">
        <v>0</v>
      </c>
      <c r="R473" s="1036">
        <v>0</v>
      </c>
      <c r="S473" s="1036">
        <v>0</v>
      </c>
      <c r="T473" s="1036">
        <v>0</v>
      </c>
      <c r="U473" s="1037">
        <v>0</v>
      </c>
      <c r="V473" s="3239">
        <v>2250</v>
      </c>
      <c r="W473" s="3240"/>
      <c r="X473" s="2406"/>
    </row>
    <row r="474" spans="2:24" ht="12" hidden="1" customHeight="1" outlineLevel="1">
      <c r="B474" s="1050"/>
      <c r="C474" s="1050"/>
      <c r="D474" s="1051">
        <f t="shared" si="47"/>
        <v>18</v>
      </c>
      <c r="E474" s="1051" t="str">
        <f>IF(COUNTIF(E$413:E473,F474)&gt;0,"",F474)</f>
        <v>Avion passagers, 51-100 sièges, 1000 - 3500 km, sans trainées, France continentale, Base Carbone</v>
      </c>
      <c r="F474" s="1051" t="str">
        <f t="shared" si="48"/>
        <v>Avion passagers, 51-100 sièges, 1000 - 3500 km, sans trainées, France continentale, Base Carbone</v>
      </c>
      <c r="G474" s="1055" t="str">
        <f t="shared" si="49"/>
        <v>Avion passagers, 51-100 sièges, 1000 - 3500 km, sans trainées, France continentale, Base Carbone; kgCO2e/passager eq.km Combustion</v>
      </c>
      <c r="I474" s="1031" t="s">
        <v>4792</v>
      </c>
      <c r="J474" s="1119" t="s">
        <v>4059</v>
      </c>
      <c r="K474" s="1119" t="s">
        <v>1567</v>
      </c>
      <c r="L474" s="1135" t="s">
        <v>1571</v>
      </c>
      <c r="M474" s="1033">
        <v>0.1</v>
      </c>
      <c r="N474" s="1135" t="s">
        <v>1569</v>
      </c>
      <c r="O474" s="1036">
        <v>0.12</v>
      </c>
      <c r="P474" s="2581">
        <v>0.11899999999999999</v>
      </c>
      <c r="Q474" s="1036">
        <v>2.0999999999999999E-5</v>
      </c>
      <c r="R474" s="1036">
        <v>0</v>
      </c>
      <c r="S474" s="1036">
        <v>8.7500000000000002E-4</v>
      </c>
      <c r="T474" s="1036">
        <v>0</v>
      </c>
      <c r="U474" s="1037">
        <v>0</v>
      </c>
      <c r="V474" s="3239">
        <v>2250</v>
      </c>
      <c r="W474" s="3240"/>
      <c r="X474" s="1979"/>
    </row>
    <row r="475" spans="2:24" ht="12" hidden="1" customHeight="1" outlineLevel="1">
      <c r="B475" s="1050"/>
      <c r="C475" s="1050"/>
      <c r="D475" s="1051">
        <f t="shared" si="47"/>
        <v>18</v>
      </c>
      <c r="E475" s="1051" t="str">
        <f>IF(COUNTIF(E$413:E474,F475)&gt;0,"",F475)</f>
        <v/>
      </c>
      <c r="F475" s="1051" t="str">
        <f t="shared" si="48"/>
        <v>Avion passagers, 51-100 sièges, 1000 - 3500 km, sans trainées, France continentale, Base Carbone</v>
      </c>
      <c r="G475" s="1055" t="str">
        <f t="shared" si="49"/>
        <v>Avion passagers, 51-100 sièges, 1000 - 3500 km, sans trainées, France continentale, Base Carbone; kgCO2e/passager eq.km Amont</v>
      </c>
      <c r="I475" s="1031" t="s">
        <v>4792</v>
      </c>
      <c r="J475" s="1119" t="s">
        <v>4059</v>
      </c>
      <c r="K475" s="1119" t="s">
        <v>1567</v>
      </c>
      <c r="L475" s="1135" t="s">
        <v>1571</v>
      </c>
      <c r="M475" s="1033">
        <v>0.1</v>
      </c>
      <c r="N475" s="1135" t="s">
        <v>1570</v>
      </c>
      <c r="O475" s="1036">
        <v>2.5000000000000001E-2</v>
      </c>
      <c r="P475" s="1036">
        <v>2.2700000000000001E-2</v>
      </c>
      <c r="Q475" s="1036">
        <v>1.1299999999999999E-3</v>
      </c>
      <c r="R475" s="1036">
        <v>0</v>
      </c>
      <c r="S475" s="1036">
        <v>1.14E-3</v>
      </c>
      <c r="T475" s="1036">
        <v>0</v>
      </c>
      <c r="U475" s="1037">
        <v>0</v>
      </c>
      <c r="V475" s="3239">
        <v>2250</v>
      </c>
      <c r="W475" s="3240"/>
      <c r="X475" s="1979"/>
    </row>
    <row r="476" spans="2:24" ht="12" hidden="1" customHeight="1" outlineLevel="1">
      <c r="B476" s="1050"/>
      <c r="C476" s="1050"/>
      <c r="D476" s="1051">
        <f t="shared" si="47"/>
        <v>18</v>
      </c>
      <c r="E476" s="1051" t="str">
        <f>IF(COUNTIF(E$413:E475,F476)&gt;0,"",F476)</f>
        <v/>
      </c>
      <c r="F476" s="1051" t="str">
        <f t="shared" si="48"/>
        <v>Avion passagers, 51-100 sièges, 1000 - 3500 km, sans trainées, France continentale, Base Carbone</v>
      </c>
      <c r="G476" s="1055" t="str">
        <f t="shared" si="49"/>
        <v>Avion passagers, 51-100 sièges, 1000 - 3500 km, sans trainées, France continentale, Base Carbone; kgCO2e/passager eq.km Fabrication</v>
      </c>
      <c r="I476" s="1031" t="s">
        <v>4792</v>
      </c>
      <c r="J476" s="1119" t="s">
        <v>4059</v>
      </c>
      <c r="K476" s="1119" t="s">
        <v>1567</v>
      </c>
      <c r="L476" s="1135" t="s">
        <v>1571</v>
      </c>
      <c r="M476" s="1033">
        <v>0.1</v>
      </c>
      <c r="N476" s="1135" t="s">
        <v>332</v>
      </c>
      <c r="O476" s="1036">
        <v>4.2000000000000002E-4</v>
      </c>
      <c r="P476" s="1036">
        <v>4.2000000000000002E-4</v>
      </c>
      <c r="Q476" s="1036">
        <v>0</v>
      </c>
      <c r="R476" s="1036">
        <v>0</v>
      </c>
      <c r="S476" s="1036">
        <v>0</v>
      </c>
      <c r="T476" s="1036">
        <v>0</v>
      </c>
      <c r="U476" s="1036">
        <v>0</v>
      </c>
      <c r="V476" s="3239">
        <v>2250</v>
      </c>
      <c r="W476" s="3240"/>
      <c r="X476" s="1979"/>
    </row>
    <row r="477" spans="2:24" ht="12" hidden="1" customHeight="1" outlineLevel="1">
      <c r="B477" s="1050"/>
      <c r="C477" s="1050"/>
      <c r="D477" s="1051">
        <f t="shared" si="47"/>
        <v>19</v>
      </c>
      <c r="E477" s="1051" t="str">
        <f>IF(COUNTIF(E$413:E476,F477)&gt;0,"",F477)</f>
        <v>Avion passagers, 51-100 sièges, 500 - 1000 km, avec trainées, France continentale, Base Carbone</v>
      </c>
      <c r="F477" s="1051" t="str">
        <f t="shared" si="48"/>
        <v>Avion passagers, 51-100 sièges, 500 - 1000 km, avec trainées, France continentale, Base Carbone</v>
      </c>
      <c r="G477" s="1055" t="str">
        <f t="shared" si="49"/>
        <v>Avion passagers, 51-100 sièges, 500 - 1000 km, avec trainées, France continentale, Base Carbone; kgCO2e/passager eq.km Combustion</v>
      </c>
      <c r="I477" s="1031" t="s">
        <v>4793</v>
      </c>
      <c r="J477" s="1119" t="s">
        <v>4059</v>
      </c>
      <c r="K477" s="1119" t="s">
        <v>1567</v>
      </c>
      <c r="L477" s="1135" t="s">
        <v>1571</v>
      </c>
      <c r="M477" s="1033">
        <v>0.7</v>
      </c>
      <c r="N477" s="1135" t="s">
        <v>1569</v>
      </c>
      <c r="O477" s="2045">
        <v>0.152</v>
      </c>
      <c r="P477" s="2045">
        <v>0.151</v>
      </c>
      <c r="Q477" s="2045">
        <v>2.0999999999999999E-5</v>
      </c>
      <c r="R477" s="2045">
        <v>0</v>
      </c>
      <c r="S477" s="2045">
        <v>1.1100000000000001E-3</v>
      </c>
      <c r="T477" s="2045">
        <v>0</v>
      </c>
      <c r="U477" s="2045">
        <v>0</v>
      </c>
      <c r="V477" s="3239">
        <v>750</v>
      </c>
      <c r="W477" s="3240"/>
      <c r="X477" s="1979"/>
    </row>
    <row r="478" spans="2:24" ht="12" hidden="1" customHeight="1" outlineLevel="1">
      <c r="B478" s="1050"/>
      <c r="C478" s="1050"/>
      <c r="D478" s="1051">
        <f t="shared" si="47"/>
        <v>19</v>
      </c>
      <c r="E478" s="1051" t="str">
        <f>IF(COUNTIF(E$413:E477,F478)&gt;0,"",F478)</f>
        <v/>
      </c>
      <c r="F478" s="1051" t="str">
        <f t="shared" si="48"/>
        <v>Avion passagers, 51-100 sièges, 500 - 1000 km, avec trainées, France continentale, Base Carbone</v>
      </c>
      <c r="G478" s="1055" t="str">
        <f t="shared" si="49"/>
        <v>Avion passagers, 51-100 sièges, 500 - 1000 km, avec trainées, France continentale, Base Carbone; kgCO2e/passager eq.km Emissions fugitives</v>
      </c>
      <c r="I478" s="1031" t="s">
        <v>4793</v>
      </c>
      <c r="J478" s="1119" t="s">
        <v>4059</v>
      </c>
      <c r="K478" s="1119" t="s">
        <v>1567</v>
      </c>
      <c r="L478" s="1135" t="s">
        <v>1571</v>
      </c>
      <c r="M478" s="1033">
        <v>0.7</v>
      </c>
      <c r="N478" s="1135" t="s">
        <v>1764</v>
      </c>
      <c r="O478" s="1036">
        <v>0.152</v>
      </c>
      <c r="P478" s="2581">
        <v>0</v>
      </c>
      <c r="Q478" s="1036">
        <v>0</v>
      </c>
      <c r="R478" s="1036">
        <v>0</v>
      </c>
      <c r="S478" s="1036">
        <v>0</v>
      </c>
      <c r="T478" s="1036">
        <v>0.152</v>
      </c>
      <c r="U478" s="1037">
        <v>0</v>
      </c>
      <c r="V478" s="3239">
        <v>750</v>
      </c>
      <c r="W478" s="3240"/>
      <c r="X478" s="1979"/>
    </row>
    <row r="479" spans="2:24" ht="12" hidden="1" customHeight="1" outlineLevel="1">
      <c r="B479" s="1050"/>
      <c r="C479" s="1050"/>
      <c r="D479" s="1051">
        <f t="shared" ref="D479:D542" si="50">D478+IF(LEN(E479)&gt;0,1,0)</f>
        <v>19</v>
      </c>
      <c r="E479" s="1051" t="str">
        <f>IF(COUNTIF(E$413:E478,F479)&gt;0,"",F479)</f>
        <v/>
      </c>
      <c r="F479" s="1051" t="str">
        <f t="shared" ref="F479:F542" si="51">IF(I479&lt;&gt;"",I479&amp;IF(L479&lt;&gt;"",", "&amp;L479,"")&amp;IF(K479&lt;&gt;"",", "&amp;K479,""),"")</f>
        <v>Avion passagers, 51-100 sièges, 500 - 1000 km, avec trainées, France continentale, Base Carbone</v>
      </c>
      <c r="G479" s="1055" t="str">
        <f t="shared" ref="G479:G542" si="52">IF(F479&lt;&gt;"",F479&amp;IF(J479&lt;&gt;"","; "&amp;J479&amp;IF(N479&lt;&gt;""," "&amp;N479,),""),"")</f>
        <v>Avion passagers, 51-100 sièges, 500 - 1000 km, avec trainées, France continentale, Base Carbone; kgCO2e/passager eq.km Amont</v>
      </c>
      <c r="I479" s="1031" t="s">
        <v>4793</v>
      </c>
      <c r="J479" s="1119" t="s">
        <v>4059</v>
      </c>
      <c r="K479" s="1119" t="s">
        <v>1567</v>
      </c>
      <c r="L479" s="1135" t="s">
        <v>1571</v>
      </c>
      <c r="M479" s="1033">
        <v>0.7</v>
      </c>
      <c r="N479" s="1135" t="s">
        <v>1570</v>
      </c>
      <c r="O479" s="1036">
        <v>3.15E-2</v>
      </c>
      <c r="P479" s="1036">
        <v>2.86E-2</v>
      </c>
      <c r="Q479" s="1036">
        <v>1.4300000000000001E-3</v>
      </c>
      <c r="R479" s="1036">
        <v>0</v>
      </c>
      <c r="S479" s="1036">
        <v>1.4300000000000001E-3</v>
      </c>
      <c r="T479" s="1036">
        <v>0</v>
      </c>
      <c r="U479" s="1037">
        <v>0</v>
      </c>
      <c r="V479" s="3239">
        <v>750</v>
      </c>
      <c r="W479" s="3240"/>
      <c r="X479" s="1979"/>
    </row>
    <row r="480" spans="2:24" ht="12" hidden="1" customHeight="1" outlineLevel="1">
      <c r="B480" s="1050"/>
      <c r="C480" s="1050"/>
      <c r="D480" s="1051">
        <f t="shared" si="50"/>
        <v>19</v>
      </c>
      <c r="E480" s="1051" t="str">
        <f>IF(COUNTIF(E$413:E479,F480)&gt;0,"",F480)</f>
        <v/>
      </c>
      <c r="F480" s="1051" t="str">
        <f t="shared" si="51"/>
        <v>Avion passagers, 51-100 sièges, 500 - 1000 km, avec trainées, France continentale, Base Carbone</v>
      </c>
      <c r="G480" s="1055" t="str">
        <f t="shared" si="52"/>
        <v>Avion passagers, 51-100 sièges, 500 - 1000 km, avec trainées, France continentale, Base Carbone; kgCO2e/passager eq.km Fabrication</v>
      </c>
      <c r="I480" s="1031" t="s">
        <v>4793</v>
      </c>
      <c r="J480" s="1119" t="s">
        <v>4059</v>
      </c>
      <c r="K480" s="1119" t="s">
        <v>1567</v>
      </c>
      <c r="L480" s="1135" t="s">
        <v>1571</v>
      </c>
      <c r="M480" s="1033">
        <v>0.7</v>
      </c>
      <c r="N480" s="1135" t="s">
        <v>332</v>
      </c>
      <c r="O480" s="1036">
        <v>4.2000000000000002E-4</v>
      </c>
      <c r="P480" s="1036">
        <v>4.2000000000000002E-4</v>
      </c>
      <c r="Q480" s="1036">
        <v>0</v>
      </c>
      <c r="R480" s="1036">
        <v>0</v>
      </c>
      <c r="S480" s="1036">
        <v>0</v>
      </c>
      <c r="T480" s="1036">
        <v>0</v>
      </c>
      <c r="U480" s="1037">
        <v>0</v>
      </c>
      <c r="V480" s="3239">
        <v>750</v>
      </c>
      <c r="W480" s="3240"/>
      <c r="X480" s="1979"/>
    </row>
    <row r="481" spans="2:24" ht="12" hidden="1" customHeight="1" outlineLevel="1">
      <c r="B481" s="1050"/>
      <c r="C481" s="1050"/>
      <c r="D481" s="1051">
        <f t="shared" si="50"/>
        <v>20</v>
      </c>
      <c r="E481" s="1051" t="str">
        <f>IF(COUNTIF(E$413:E480,F481)&gt;0,"",F481)</f>
        <v>Avion passagers, 51-100 sièges, 500 - 1000 km, sans trainées, France continentale, Base Carbone</v>
      </c>
      <c r="F481" s="1051" t="str">
        <f t="shared" si="51"/>
        <v>Avion passagers, 51-100 sièges, 500 - 1000 km, sans trainées, France continentale, Base Carbone</v>
      </c>
      <c r="G481" s="1055" t="str">
        <f t="shared" si="52"/>
        <v>Avion passagers, 51-100 sièges, 500 - 1000 km, sans trainées, France continentale, Base Carbone; kgCO2e/passager eq.km Combustion</v>
      </c>
      <c r="I481" s="1031" t="s">
        <v>4794</v>
      </c>
      <c r="J481" s="1119" t="s">
        <v>4059</v>
      </c>
      <c r="K481" s="1119" t="s">
        <v>1567</v>
      </c>
      <c r="L481" s="1135" t="s">
        <v>1571</v>
      </c>
      <c r="M481" s="1033">
        <v>0.1</v>
      </c>
      <c r="N481" s="1135" t="s">
        <v>1569</v>
      </c>
      <c r="O481" s="1036">
        <v>0.152</v>
      </c>
      <c r="P481" s="1036">
        <v>0.151</v>
      </c>
      <c r="Q481" s="1036">
        <v>2.0999999999999999E-5</v>
      </c>
      <c r="R481" s="1036">
        <v>0</v>
      </c>
      <c r="S481" s="1036">
        <v>1.1100000000000001E-3</v>
      </c>
      <c r="T481" s="1036">
        <v>0</v>
      </c>
      <c r="U481" s="1037">
        <v>0</v>
      </c>
      <c r="V481" s="3239">
        <v>750</v>
      </c>
      <c r="W481" s="3240"/>
      <c r="X481" s="1979"/>
    </row>
    <row r="482" spans="2:24" ht="12" hidden="1" customHeight="1" outlineLevel="1">
      <c r="B482" s="1050"/>
      <c r="C482" s="1050"/>
      <c r="D482" s="1051">
        <f t="shared" si="50"/>
        <v>20</v>
      </c>
      <c r="E482" s="1051" t="str">
        <f>IF(COUNTIF(E$413:E481,F482)&gt;0,"",F482)</f>
        <v/>
      </c>
      <c r="F482" s="1051" t="str">
        <f t="shared" si="51"/>
        <v>Avion passagers, 51-100 sièges, 500 - 1000 km, sans trainées, France continentale, Base Carbone</v>
      </c>
      <c r="G482" s="1055" t="str">
        <f t="shared" si="52"/>
        <v>Avion passagers, 51-100 sièges, 500 - 1000 km, sans trainées, France continentale, Base Carbone; kgCO2e/passager eq.km Amont</v>
      </c>
      <c r="I482" s="1031" t="s">
        <v>4794</v>
      </c>
      <c r="J482" s="1119" t="s">
        <v>4059</v>
      </c>
      <c r="K482" s="1119" t="s">
        <v>1567</v>
      </c>
      <c r="L482" s="1135" t="s">
        <v>1571</v>
      </c>
      <c r="M482" s="1033">
        <v>0.1</v>
      </c>
      <c r="N482" s="1135" t="s">
        <v>1570</v>
      </c>
      <c r="O482" s="1036">
        <v>3.15E-2</v>
      </c>
      <c r="P482" s="2581">
        <v>2.86E-2</v>
      </c>
      <c r="Q482" s="1036">
        <v>1.4300000000000001E-3</v>
      </c>
      <c r="R482" s="1036">
        <v>0</v>
      </c>
      <c r="S482" s="1036">
        <v>1.4300000000000001E-3</v>
      </c>
      <c r="T482" s="1036">
        <v>0</v>
      </c>
      <c r="U482" s="1037">
        <v>0</v>
      </c>
      <c r="V482" s="3239">
        <v>750</v>
      </c>
      <c r="W482" s="3240"/>
      <c r="X482" s="1979"/>
    </row>
    <row r="483" spans="2:24" ht="12" hidden="1" customHeight="1" outlineLevel="1">
      <c r="B483" s="1050"/>
      <c r="C483" s="1050"/>
      <c r="D483" s="1051">
        <f t="shared" si="50"/>
        <v>20</v>
      </c>
      <c r="E483" s="1051" t="str">
        <f>IF(COUNTIF(E$413:E482,F483)&gt;0,"",F483)</f>
        <v/>
      </c>
      <c r="F483" s="1051" t="str">
        <f t="shared" si="51"/>
        <v>Avion passagers, 51-100 sièges, 500 - 1000 km, sans trainées, France continentale, Base Carbone</v>
      </c>
      <c r="G483" s="1055" t="str">
        <f t="shared" si="52"/>
        <v>Avion passagers, 51-100 sièges, 500 - 1000 km, sans trainées, France continentale, Base Carbone; kgCO2e/passager eq.km Fabrication</v>
      </c>
      <c r="I483" s="1031" t="s">
        <v>4794</v>
      </c>
      <c r="J483" s="1119" t="s">
        <v>4059</v>
      </c>
      <c r="K483" s="1119" t="s">
        <v>1567</v>
      </c>
      <c r="L483" s="1135" t="s">
        <v>1571</v>
      </c>
      <c r="M483" s="1033">
        <v>0.1</v>
      </c>
      <c r="N483" s="1135" t="s">
        <v>332</v>
      </c>
      <c r="O483" s="1036">
        <v>4.2000000000000002E-4</v>
      </c>
      <c r="P483" s="2581">
        <v>4.2000000000000002E-4</v>
      </c>
      <c r="Q483" s="1036">
        <v>0</v>
      </c>
      <c r="R483" s="1036">
        <v>0</v>
      </c>
      <c r="S483" s="1036">
        <v>0</v>
      </c>
      <c r="T483" s="1036">
        <v>0</v>
      </c>
      <c r="U483" s="1037">
        <v>0</v>
      </c>
      <c r="V483" s="3239">
        <v>750</v>
      </c>
      <c r="W483" s="3240"/>
      <c r="X483" s="1979"/>
    </row>
    <row r="484" spans="2:24" ht="12" hidden="1" customHeight="1" outlineLevel="1">
      <c r="B484" s="1050"/>
      <c r="C484" s="1050"/>
      <c r="D484" s="1051">
        <f t="shared" si="50"/>
        <v>21</v>
      </c>
      <c r="E484" s="1051" t="str">
        <f>IF(COUNTIF(E$413:E483,F484)&gt;0,"",F484)</f>
        <v>Avion passagers, 51-100 sièges, &lt; 500 km jet, avec trainées, France continentale, Base Carbone</v>
      </c>
      <c r="F484" s="1051" t="str">
        <f t="shared" si="51"/>
        <v>Avion passagers, 51-100 sièges, &lt; 500 km jet, avec trainées, France continentale, Base Carbone</v>
      </c>
      <c r="G484" s="1055" t="str">
        <f t="shared" si="52"/>
        <v>Avion passagers, 51-100 sièges, &lt; 500 km jet, avec trainées, France continentale, Base Carbone; kgCO2e/passager eq.km Combustion</v>
      </c>
      <c r="I484" s="1031" t="s">
        <v>4795</v>
      </c>
      <c r="J484" s="1119" t="s">
        <v>4059</v>
      </c>
      <c r="K484" s="1119" t="s">
        <v>1567</v>
      </c>
      <c r="L484" s="1135" t="s">
        <v>1571</v>
      </c>
      <c r="M484" s="1033">
        <v>0.7</v>
      </c>
      <c r="N484" s="1135" t="s">
        <v>1569</v>
      </c>
      <c r="O484" s="1036">
        <v>0.19900000000000001</v>
      </c>
      <c r="P484" s="1036">
        <v>0.19800000000000001</v>
      </c>
      <c r="Q484" s="1036">
        <v>3.0000000000000001E-5</v>
      </c>
      <c r="R484" s="1036">
        <v>0</v>
      </c>
      <c r="S484" s="1036">
        <v>1.4599999999999999E-3</v>
      </c>
      <c r="T484" s="1036">
        <v>0</v>
      </c>
      <c r="U484" s="1037">
        <v>0</v>
      </c>
      <c r="V484" s="3239">
        <v>250</v>
      </c>
      <c r="W484" s="3240"/>
      <c r="X484" s="1979"/>
    </row>
    <row r="485" spans="2:24" ht="12" hidden="1" customHeight="1" outlineLevel="1">
      <c r="B485" s="1050"/>
      <c r="C485" s="1050"/>
      <c r="D485" s="1051">
        <f t="shared" si="50"/>
        <v>21</v>
      </c>
      <c r="E485" s="1051" t="str">
        <f>IF(COUNTIF(E$413:E484,F485)&gt;0,"",F485)</f>
        <v/>
      </c>
      <c r="F485" s="1051" t="str">
        <f t="shared" si="51"/>
        <v>Avion passagers, 51-100 sièges, &lt; 500 km jet, avec trainées, France continentale, Base Carbone</v>
      </c>
      <c r="G485" s="1055" t="str">
        <f t="shared" si="52"/>
        <v>Avion passagers, 51-100 sièges, &lt; 500 km jet, avec trainées, France continentale, Base Carbone; kgCO2e/passager eq.km Emissions fugitives</v>
      </c>
      <c r="I485" s="1031" t="s">
        <v>4795</v>
      </c>
      <c r="J485" s="1119" t="s">
        <v>4059</v>
      </c>
      <c r="K485" s="1119" t="s">
        <v>1567</v>
      </c>
      <c r="L485" s="1135" t="s">
        <v>1571</v>
      </c>
      <c r="M485" s="1033">
        <v>0.7</v>
      </c>
      <c r="N485" s="1135" t="s">
        <v>1764</v>
      </c>
      <c r="O485" s="1036">
        <v>0.2</v>
      </c>
      <c r="P485" s="1036">
        <v>0</v>
      </c>
      <c r="Q485" s="1036">
        <v>0</v>
      </c>
      <c r="R485" s="1036">
        <v>0</v>
      </c>
      <c r="S485" s="1036">
        <v>0</v>
      </c>
      <c r="T485" s="1036">
        <v>0.2</v>
      </c>
      <c r="U485" s="1037">
        <v>0</v>
      </c>
      <c r="V485" s="3239">
        <v>250</v>
      </c>
      <c r="W485" s="3240"/>
      <c r="X485" s="1979"/>
    </row>
    <row r="486" spans="2:24" ht="12" hidden="1" customHeight="1" outlineLevel="1">
      <c r="B486" s="1050"/>
      <c r="C486" s="1050"/>
      <c r="D486" s="1051">
        <f t="shared" si="50"/>
        <v>21</v>
      </c>
      <c r="E486" s="1051" t="str">
        <f>IF(COUNTIF(E$413:E485,F486)&gt;0,"",F486)</f>
        <v/>
      </c>
      <c r="F486" s="1051" t="str">
        <f t="shared" si="51"/>
        <v>Avion passagers, 51-100 sièges, &lt; 500 km jet, avec trainées, France continentale, Base Carbone</v>
      </c>
      <c r="G486" s="1055" t="str">
        <f t="shared" si="52"/>
        <v>Avion passagers, 51-100 sièges, &lt; 500 km jet, avec trainées, France continentale, Base Carbone; kgCO2e/passager eq.km Amont</v>
      </c>
      <c r="I486" s="1031" t="s">
        <v>4795</v>
      </c>
      <c r="J486" s="1119" t="s">
        <v>4059</v>
      </c>
      <c r="K486" s="1119" t="s">
        <v>1567</v>
      </c>
      <c r="L486" s="1135" t="s">
        <v>1571</v>
      </c>
      <c r="M486" s="1033">
        <v>0.7</v>
      </c>
      <c r="N486" s="1135" t="s">
        <v>1570</v>
      </c>
      <c r="O486" s="1036">
        <v>4.1399999999999999E-2</v>
      </c>
      <c r="P486" s="2581">
        <v>3.7600000000000001E-2</v>
      </c>
      <c r="Q486" s="1036">
        <v>1.8799999999999999E-3</v>
      </c>
      <c r="R486" s="1036">
        <v>0</v>
      </c>
      <c r="S486" s="1036">
        <v>1.8799999999999999E-3</v>
      </c>
      <c r="T486" s="1036">
        <v>0</v>
      </c>
      <c r="U486" s="1037">
        <v>0</v>
      </c>
      <c r="V486" s="3239">
        <v>250</v>
      </c>
      <c r="W486" s="3240"/>
      <c r="X486" s="1979"/>
    </row>
    <row r="487" spans="2:24" ht="12" hidden="1" customHeight="1" outlineLevel="1">
      <c r="B487" s="1050"/>
      <c r="C487" s="1050"/>
      <c r="D487" s="1051">
        <f t="shared" si="50"/>
        <v>21</v>
      </c>
      <c r="E487" s="1051" t="str">
        <f>IF(COUNTIF(E$413:E486,F487)&gt;0,"",F487)</f>
        <v/>
      </c>
      <c r="F487" s="1051" t="str">
        <f t="shared" si="51"/>
        <v>Avion passagers, 51-100 sièges, &lt; 500 km jet, avec trainées, France continentale, Base Carbone</v>
      </c>
      <c r="G487" s="1055" t="str">
        <f t="shared" si="52"/>
        <v>Avion passagers, 51-100 sièges, &lt; 500 km jet, avec trainées, France continentale, Base Carbone; kgCO2e/passager eq.km Fabrication</v>
      </c>
      <c r="I487" s="1031" t="s">
        <v>4795</v>
      </c>
      <c r="J487" s="1119" t="s">
        <v>4059</v>
      </c>
      <c r="K487" s="1119" t="s">
        <v>1567</v>
      </c>
      <c r="L487" s="1135" t="s">
        <v>1571</v>
      </c>
      <c r="M487" s="1033">
        <v>0.7</v>
      </c>
      <c r="N487" s="1135" t="s">
        <v>332</v>
      </c>
      <c r="O487" s="1036">
        <v>4.2999999999999999E-4</v>
      </c>
      <c r="P487" s="2581">
        <v>4.2999999999999999E-4</v>
      </c>
      <c r="Q487" s="1036">
        <v>0</v>
      </c>
      <c r="R487" s="1036">
        <v>0</v>
      </c>
      <c r="S487" s="1036">
        <v>0</v>
      </c>
      <c r="T487" s="1036">
        <v>0</v>
      </c>
      <c r="U487" s="1037">
        <v>0</v>
      </c>
      <c r="V487" s="3239">
        <v>250</v>
      </c>
      <c r="W487" s="3240"/>
      <c r="X487" s="1979"/>
    </row>
    <row r="488" spans="2:24" ht="12" hidden="1" customHeight="1" outlineLevel="1">
      <c r="B488" s="1050"/>
      <c r="C488" s="1050"/>
      <c r="D488" s="1051">
        <f t="shared" si="50"/>
        <v>22</v>
      </c>
      <c r="E488" s="1051" t="str">
        <f>IF(COUNTIF(E$413:E487,F488)&gt;0,"",F488)</f>
        <v>Avion passagers, 51-100 sièges, &lt; 500 km jet, sans trainées, France continentale, Base Carbone</v>
      </c>
      <c r="F488" s="1051" t="str">
        <f t="shared" si="51"/>
        <v>Avion passagers, 51-100 sièges, &lt; 500 km jet, sans trainées, France continentale, Base Carbone</v>
      </c>
      <c r="G488" s="1055" t="str">
        <f t="shared" si="52"/>
        <v>Avion passagers, 51-100 sièges, &lt; 500 km jet, sans trainées, France continentale, Base Carbone; kgCO2e/passager eq.km Combustion</v>
      </c>
      <c r="I488" s="1031" t="s">
        <v>4796</v>
      </c>
      <c r="J488" s="1119" t="s">
        <v>4059</v>
      </c>
      <c r="K488" s="1119" t="s">
        <v>1567</v>
      </c>
      <c r="L488" s="1135" t="s">
        <v>1571</v>
      </c>
      <c r="M488" s="1033">
        <v>0.1</v>
      </c>
      <c r="N488" s="1135" t="s">
        <v>1569</v>
      </c>
      <c r="O488" s="1036">
        <v>0.19900000000000001</v>
      </c>
      <c r="P488" s="1036">
        <v>0.19800000000000001</v>
      </c>
      <c r="Q488" s="1036">
        <v>3.0000000000000001E-5</v>
      </c>
      <c r="R488" s="1036">
        <v>0</v>
      </c>
      <c r="S488" s="1036">
        <v>1.4599999999999999E-3</v>
      </c>
      <c r="T488" s="1036">
        <v>0</v>
      </c>
      <c r="U488" s="1037">
        <v>0</v>
      </c>
      <c r="V488" s="3239">
        <v>250</v>
      </c>
      <c r="W488" s="3240"/>
      <c r="X488" s="1979"/>
    </row>
    <row r="489" spans="2:24" ht="12" hidden="1" customHeight="1" outlineLevel="1">
      <c r="B489" s="1050"/>
      <c r="C489" s="1050"/>
      <c r="D489" s="1051">
        <f t="shared" si="50"/>
        <v>22</v>
      </c>
      <c r="E489" s="1051" t="str">
        <f>IF(COUNTIF(E$413:E488,F489)&gt;0,"",F489)</f>
        <v/>
      </c>
      <c r="F489" s="1051" t="str">
        <f t="shared" si="51"/>
        <v>Avion passagers, 51-100 sièges, &lt; 500 km jet, sans trainées, France continentale, Base Carbone</v>
      </c>
      <c r="G489" s="1055" t="str">
        <f t="shared" si="52"/>
        <v>Avion passagers, 51-100 sièges, &lt; 500 km jet, sans trainées, France continentale, Base Carbone; kgCO2e/passager eq.km Amont</v>
      </c>
      <c r="I489" s="1031" t="s">
        <v>4796</v>
      </c>
      <c r="J489" s="1119" t="s">
        <v>4059</v>
      </c>
      <c r="K489" s="1119" t="s">
        <v>1567</v>
      </c>
      <c r="L489" s="1135" t="s">
        <v>1571</v>
      </c>
      <c r="M489" s="1033">
        <v>0.1</v>
      </c>
      <c r="N489" s="1135" t="s">
        <v>1570</v>
      </c>
      <c r="O489" s="1036">
        <v>4.1399999999999999E-2</v>
      </c>
      <c r="P489" s="1036">
        <v>3.7600000000000001E-2</v>
      </c>
      <c r="Q489" s="1036">
        <v>1.8799999999999999E-3</v>
      </c>
      <c r="R489" s="1036">
        <v>0</v>
      </c>
      <c r="S489" s="1036">
        <v>1.8799999999999999E-3</v>
      </c>
      <c r="T489" s="1036">
        <v>0</v>
      </c>
      <c r="U489" s="1037">
        <v>0</v>
      </c>
      <c r="V489" s="3239">
        <v>250</v>
      </c>
      <c r="W489" s="3240"/>
      <c r="X489" s="1979"/>
    </row>
    <row r="490" spans="2:24" ht="12" hidden="1" customHeight="1" outlineLevel="1">
      <c r="B490" s="1050"/>
      <c r="C490" s="1050"/>
      <c r="D490" s="1051">
        <f t="shared" si="50"/>
        <v>22</v>
      </c>
      <c r="E490" s="1051" t="str">
        <f>IF(COUNTIF(E$413:E489,F490)&gt;0,"",F490)</f>
        <v/>
      </c>
      <c r="F490" s="1051" t="str">
        <f t="shared" si="51"/>
        <v>Avion passagers, 51-100 sièges, &lt; 500 km jet, sans trainées, France continentale, Base Carbone</v>
      </c>
      <c r="G490" s="1055" t="str">
        <f t="shared" si="52"/>
        <v>Avion passagers, 51-100 sièges, &lt; 500 km jet, sans trainées, France continentale, Base Carbone; kgCO2e/passager eq.km Fabrication</v>
      </c>
      <c r="I490" s="1031" t="s">
        <v>4796</v>
      </c>
      <c r="J490" s="1119" t="s">
        <v>4059</v>
      </c>
      <c r="K490" s="1119" t="s">
        <v>1567</v>
      </c>
      <c r="L490" s="1135" t="s">
        <v>1571</v>
      </c>
      <c r="M490" s="1033">
        <v>0.1</v>
      </c>
      <c r="N490" s="1135" t="s">
        <v>332</v>
      </c>
      <c r="O490" s="1036">
        <v>4.2999999999999999E-4</v>
      </c>
      <c r="P490" s="1036">
        <v>4.2999999999999999E-4</v>
      </c>
      <c r="Q490" s="1036">
        <v>0</v>
      </c>
      <c r="R490" s="1036">
        <v>0</v>
      </c>
      <c r="S490" s="1036">
        <v>0</v>
      </c>
      <c r="T490" s="1036">
        <v>0</v>
      </c>
      <c r="U490" s="1037">
        <v>0</v>
      </c>
      <c r="V490" s="3239">
        <v>250</v>
      </c>
      <c r="W490" s="3240"/>
      <c r="X490" s="1979"/>
    </row>
    <row r="491" spans="2:24" ht="12" hidden="1" customHeight="1" outlineLevel="1">
      <c r="B491" s="1050"/>
      <c r="C491" s="1050"/>
      <c r="D491" s="1051">
        <f t="shared" si="50"/>
        <v>23</v>
      </c>
      <c r="E491" s="1051" t="str">
        <f>IF(COUNTIF(E$413:E490,F491)&gt;0,"",F491)</f>
        <v>Avion passagers, 51-100 sièges, &lt; 500 km turboprop, avec trainées, France continentale, Base Carbone</v>
      </c>
      <c r="F491" s="1051" t="str">
        <f t="shared" si="51"/>
        <v>Avion passagers, 51-100 sièges, &lt; 500 km turboprop, avec trainées, France continentale, Base Carbone</v>
      </c>
      <c r="G491" s="1055" t="str">
        <f t="shared" si="52"/>
        <v>Avion passagers, 51-100 sièges, &lt; 500 km turboprop, avec trainées, France continentale, Base Carbone; kgCO2e/passager eq.km Combustion</v>
      </c>
      <c r="I491" s="1031" t="s">
        <v>4797</v>
      </c>
      <c r="J491" s="1119" t="s">
        <v>4059</v>
      </c>
      <c r="K491" s="1119" t="s">
        <v>1567</v>
      </c>
      <c r="L491" s="1135" t="s">
        <v>1571</v>
      </c>
      <c r="M491" s="1033">
        <v>0.7</v>
      </c>
      <c r="N491" s="1135" t="s">
        <v>1569</v>
      </c>
      <c r="O491" s="1036">
        <v>0.11700000000000001</v>
      </c>
      <c r="P491" s="2581">
        <v>0.11600000000000001</v>
      </c>
      <c r="Q491" s="1036">
        <v>2.1000000000000001E-4</v>
      </c>
      <c r="R491" s="1036">
        <v>0</v>
      </c>
      <c r="S491" s="1036">
        <v>8.4800000000000001E-4</v>
      </c>
      <c r="T491" s="1036">
        <v>0</v>
      </c>
      <c r="U491" s="1037">
        <v>0</v>
      </c>
      <c r="V491" s="3239">
        <v>250</v>
      </c>
      <c r="W491" s="3240"/>
      <c r="X491" s="1979"/>
    </row>
    <row r="492" spans="2:24" ht="12" hidden="1" customHeight="1" outlineLevel="1">
      <c r="B492" s="1050"/>
      <c r="C492" s="1050"/>
      <c r="D492" s="1051">
        <f t="shared" si="50"/>
        <v>23</v>
      </c>
      <c r="E492" s="1051" t="str">
        <f>IF(COUNTIF(E$413:E491,F492)&gt;0,"",F492)</f>
        <v/>
      </c>
      <c r="F492" s="1051" t="str">
        <f t="shared" si="51"/>
        <v>Avion passagers, 51-100 sièges, &lt; 500 km turboprop, avec trainées, France continentale, Base Carbone</v>
      </c>
      <c r="G492" s="1055" t="str">
        <f t="shared" si="52"/>
        <v>Avion passagers, 51-100 sièges, &lt; 500 km turboprop, avec trainées, France continentale, Base Carbone; kgCO2e/passager eq.km Emissions fugitives</v>
      </c>
      <c r="I492" s="1031" t="s">
        <v>4797</v>
      </c>
      <c r="J492" s="1119" t="s">
        <v>4059</v>
      </c>
      <c r="K492" s="1119" t="s">
        <v>1567</v>
      </c>
      <c r="L492" s="1135" t="s">
        <v>1571</v>
      </c>
      <c r="M492" s="1033">
        <v>0.7</v>
      </c>
      <c r="N492" s="1135" t="s">
        <v>1764</v>
      </c>
      <c r="O492" s="1036">
        <v>0.11700000000000001</v>
      </c>
      <c r="P492" s="1036">
        <v>0</v>
      </c>
      <c r="Q492" s="1036">
        <v>0</v>
      </c>
      <c r="R492" s="1036">
        <v>0</v>
      </c>
      <c r="S492" s="1036">
        <v>0</v>
      </c>
      <c r="T492" s="1036">
        <v>0.11700000000000001</v>
      </c>
      <c r="U492" s="1037">
        <v>0</v>
      </c>
      <c r="V492" s="3239">
        <v>250</v>
      </c>
      <c r="W492" s="3240"/>
      <c r="X492" s="1979"/>
    </row>
    <row r="493" spans="2:24" ht="12" hidden="1" customHeight="1" outlineLevel="1">
      <c r="B493" s="1050"/>
      <c r="C493" s="1050"/>
      <c r="D493" s="1051">
        <f t="shared" si="50"/>
        <v>23</v>
      </c>
      <c r="E493" s="1051" t="str">
        <f>IF(COUNTIF(E$413:E492,F493)&gt;0,"",F493)</f>
        <v/>
      </c>
      <c r="F493" s="1051" t="str">
        <f t="shared" si="51"/>
        <v>Avion passagers, 51-100 sièges, &lt; 500 km turboprop, avec trainées, France continentale, Base Carbone</v>
      </c>
      <c r="G493" s="1055" t="str">
        <f t="shared" si="52"/>
        <v>Avion passagers, 51-100 sièges, &lt; 500 km turboprop, avec trainées, France continentale, Base Carbone; kgCO2e/passager eq.km Amont</v>
      </c>
      <c r="I493" s="1031" t="s">
        <v>4797</v>
      </c>
      <c r="J493" s="1119" t="s">
        <v>4059</v>
      </c>
      <c r="K493" s="1119" t="s">
        <v>1567</v>
      </c>
      <c r="L493" s="1135" t="s">
        <v>1571</v>
      </c>
      <c r="M493" s="1033">
        <v>0.7</v>
      </c>
      <c r="N493" s="1135" t="s">
        <v>1570</v>
      </c>
      <c r="O493" s="1036">
        <v>2.4199999999999999E-2</v>
      </c>
      <c r="P493" s="1036">
        <v>2.1999999999999999E-2</v>
      </c>
      <c r="Q493" s="1036">
        <v>1.1000000000000001E-3</v>
      </c>
      <c r="R493" s="1036">
        <v>0</v>
      </c>
      <c r="S493" s="1036">
        <v>1.09E-3</v>
      </c>
      <c r="T493" s="1036">
        <v>0</v>
      </c>
      <c r="U493" s="1037">
        <v>0</v>
      </c>
      <c r="V493" s="3239">
        <v>250</v>
      </c>
      <c r="W493" s="3240"/>
      <c r="X493" s="1979"/>
    </row>
    <row r="494" spans="2:24" ht="12" hidden="1" customHeight="1" outlineLevel="1">
      <c r="B494" s="1050"/>
      <c r="C494" s="1050"/>
      <c r="D494" s="1051">
        <f t="shared" si="50"/>
        <v>23</v>
      </c>
      <c r="E494" s="1051" t="str">
        <f>IF(COUNTIF(E$413:E493,F494)&gt;0,"",F494)</f>
        <v/>
      </c>
      <c r="F494" s="1051" t="str">
        <f t="shared" si="51"/>
        <v>Avion passagers, 51-100 sièges, &lt; 500 km turboprop, avec trainées, France continentale, Base Carbone</v>
      </c>
      <c r="G494" s="1055" t="str">
        <f t="shared" si="52"/>
        <v>Avion passagers, 51-100 sièges, &lt; 500 km turboprop, avec trainées, France continentale, Base Carbone; kgCO2e/passager eq.km Fabrication</v>
      </c>
      <c r="I494" s="1031" t="s">
        <v>4797</v>
      </c>
      <c r="J494" s="1119" t="s">
        <v>4059</v>
      </c>
      <c r="K494" s="1119" t="s">
        <v>1567</v>
      </c>
      <c r="L494" s="1135" t="s">
        <v>1571</v>
      </c>
      <c r="M494" s="1033">
        <v>0.7</v>
      </c>
      <c r="N494" s="1135" t="s">
        <v>332</v>
      </c>
      <c r="O494" s="1036">
        <v>4.2999999999999999E-4</v>
      </c>
      <c r="P494" s="1036">
        <v>4.2999999999999999E-4</v>
      </c>
      <c r="Q494" s="1036">
        <v>0</v>
      </c>
      <c r="R494" s="1036">
        <v>0</v>
      </c>
      <c r="S494" s="1036">
        <v>0</v>
      </c>
      <c r="T494" s="1036">
        <v>0</v>
      </c>
      <c r="U494" s="1037">
        <v>0</v>
      </c>
      <c r="V494" s="3239">
        <v>250</v>
      </c>
      <c r="W494" s="3240"/>
      <c r="X494" s="1979"/>
    </row>
    <row r="495" spans="2:24" ht="12" hidden="1" customHeight="1" outlineLevel="1">
      <c r="B495" s="1050"/>
      <c r="C495" s="1050"/>
      <c r="D495" s="1051">
        <f t="shared" si="50"/>
        <v>24</v>
      </c>
      <c r="E495" s="1051" t="str">
        <f>IF(COUNTIF(E$413:E494,F495)&gt;0,"",F495)</f>
        <v>Avion passagers, 51-100 sièges, &lt; 500 km turboprop, sans trainées, France continentale, Base Carbone</v>
      </c>
      <c r="F495" s="1051" t="str">
        <f t="shared" si="51"/>
        <v>Avion passagers, 51-100 sièges, &lt; 500 km turboprop, sans trainées, France continentale, Base Carbone</v>
      </c>
      <c r="G495" s="1055" t="str">
        <f t="shared" si="52"/>
        <v>Avion passagers, 51-100 sièges, &lt; 500 km turboprop, sans trainées, France continentale, Base Carbone; kgCO2e/passager eq.km Combustion</v>
      </c>
      <c r="I495" s="1031" t="s">
        <v>4798</v>
      </c>
      <c r="J495" s="1119" t="s">
        <v>4059</v>
      </c>
      <c r="K495" s="1119" t="s">
        <v>1567</v>
      </c>
      <c r="L495" s="1135" t="s">
        <v>1571</v>
      </c>
      <c r="M495" s="1033">
        <v>0.1</v>
      </c>
      <c r="N495" s="1135" t="s">
        <v>1569</v>
      </c>
      <c r="O495" s="1036">
        <v>0.11700000000000001</v>
      </c>
      <c r="P495" s="2581">
        <v>0.11600000000000001</v>
      </c>
      <c r="Q495" s="1036">
        <v>2.1000000000000001E-4</v>
      </c>
      <c r="R495" s="1036">
        <v>0</v>
      </c>
      <c r="S495" s="1036">
        <v>8.4800000000000001E-4</v>
      </c>
      <c r="T495" s="1036">
        <v>0</v>
      </c>
      <c r="U495" s="1037">
        <v>0</v>
      </c>
      <c r="V495" s="3239">
        <v>250</v>
      </c>
      <c r="W495" s="3240"/>
      <c r="X495" s="1979"/>
    </row>
    <row r="496" spans="2:24" ht="12" hidden="1" customHeight="1" outlineLevel="1">
      <c r="B496" s="1050"/>
      <c r="C496" s="1050"/>
      <c r="D496" s="1051">
        <f t="shared" si="50"/>
        <v>24</v>
      </c>
      <c r="E496" s="1051" t="str">
        <f>IF(COUNTIF(E$413:E495,F496)&gt;0,"",F496)</f>
        <v/>
      </c>
      <c r="F496" s="1051" t="str">
        <f t="shared" si="51"/>
        <v>Avion passagers, 51-100 sièges, &lt; 500 km turboprop, sans trainées, France continentale, Base Carbone</v>
      </c>
      <c r="G496" s="1055" t="str">
        <f t="shared" si="52"/>
        <v>Avion passagers, 51-100 sièges, &lt; 500 km turboprop, sans trainées, France continentale, Base Carbone; kgCO2e/passager eq.km Amont</v>
      </c>
      <c r="I496" s="1031" t="s">
        <v>4798</v>
      </c>
      <c r="J496" s="1119" t="s">
        <v>4059</v>
      </c>
      <c r="K496" s="1119" t="s">
        <v>1567</v>
      </c>
      <c r="L496" s="1135" t="s">
        <v>1571</v>
      </c>
      <c r="M496" s="1033">
        <v>0.1</v>
      </c>
      <c r="N496" s="1135" t="s">
        <v>1570</v>
      </c>
      <c r="O496" s="1036">
        <v>2.4199999999999999E-2</v>
      </c>
      <c r="P496" s="1036">
        <v>2.1999999999999999E-2</v>
      </c>
      <c r="Q496" s="1036">
        <v>1.1000000000000001E-3</v>
      </c>
      <c r="R496" s="1036">
        <v>0</v>
      </c>
      <c r="S496" s="1036">
        <v>1.09E-3</v>
      </c>
      <c r="T496" s="1036">
        <v>0</v>
      </c>
      <c r="U496" s="1037">
        <v>0</v>
      </c>
      <c r="V496" s="3239">
        <v>250</v>
      </c>
      <c r="W496" s="3240"/>
      <c r="X496" s="1979"/>
    </row>
    <row r="497" spans="2:24" ht="12" hidden="1" customHeight="1" outlineLevel="1">
      <c r="B497" s="1050"/>
      <c r="C497" s="1050"/>
      <c r="D497" s="1051">
        <f t="shared" si="50"/>
        <v>24</v>
      </c>
      <c r="E497" s="1051" t="str">
        <f>IF(COUNTIF(E$413:E496,F497)&gt;0,"",F497)</f>
        <v/>
      </c>
      <c r="F497" s="1051" t="str">
        <f t="shared" si="51"/>
        <v>Avion passagers, 51-100 sièges, &lt; 500 km turboprop, sans trainées, France continentale, Base Carbone</v>
      </c>
      <c r="G497" s="1055" t="str">
        <f t="shared" si="52"/>
        <v>Avion passagers, 51-100 sièges, &lt; 500 km turboprop, sans trainées, France continentale, Base Carbone; kgCO2e/passager eq.km Fabrication</v>
      </c>
      <c r="I497" s="1031" t="s">
        <v>4798</v>
      </c>
      <c r="J497" s="1119" t="s">
        <v>4059</v>
      </c>
      <c r="K497" s="1119" t="s">
        <v>1567</v>
      </c>
      <c r="L497" s="1135" t="s">
        <v>1571</v>
      </c>
      <c r="M497" s="1033">
        <v>0.1</v>
      </c>
      <c r="N497" s="1135" t="s">
        <v>332</v>
      </c>
      <c r="O497" s="1036">
        <v>4.2999999999999999E-4</v>
      </c>
      <c r="P497" s="1036">
        <v>4.2999999999999999E-4</v>
      </c>
      <c r="Q497" s="1036">
        <v>0</v>
      </c>
      <c r="R497" s="1036">
        <v>0</v>
      </c>
      <c r="S497" s="1036">
        <v>0</v>
      </c>
      <c r="T497" s="1036">
        <v>0</v>
      </c>
      <c r="U497" s="1037">
        <v>0</v>
      </c>
      <c r="V497" s="3239">
        <v>250</v>
      </c>
      <c r="W497" s="3240"/>
      <c r="X497" s="1979"/>
    </row>
    <row r="498" spans="2:24" ht="12" hidden="1" customHeight="1" outlineLevel="1">
      <c r="B498" s="1050"/>
      <c r="C498" s="1050"/>
      <c r="D498" s="1051">
        <f t="shared" si="50"/>
        <v>25</v>
      </c>
      <c r="E498" s="1051" t="str">
        <f>IF(COUNTIF(E$413:E497,F498)&gt;0,"",F498)</f>
        <v>Avion passagers, &gt; 220 sièges, 1000 - 3500 km, avec trainées, France continentale, Base Carbone</v>
      </c>
      <c r="F498" s="1051" t="str">
        <f t="shared" si="51"/>
        <v>Avion passagers, &gt; 220 sièges, 1000 - 3500 km, avec trainées, France continentale, Base Carbone</v>
      </c>
      <c r="G498" s="1055" t="str">
        <f t="shared" si="52"/>
        <v>Avion passagers, &gt; 220 sièges, 1000 - 3500 km, avec trainées, France continentale, Base Carbone; kgCO2e/passager eq.km Combustion</v>
      </c>
      <c r="I498" s="1031" t="s">
        <v>3891</v>
      </c>
      <c r="J498" s="1119" t="s">
        <v>4059</v>
      </c>
      <c r="K498" s="1119" t="s">
        <v>1567</v>
      </c>
      <c r="L498" s="1135" t="s">
        <v>1571</v>
      </c>
      <c r="M498" s="1033">
        <v>0.7</v>
      </c>
      <c r="N498" s="1135" t="s">
        <v>1569</v>
      </c>
      <c r="O498" s="1036">
        <v>8.0699999999999994E-2</v>
      </c>
      <c r="P498" s="1036">
        <v>8.0100000000000005E-2</v>
      </c>
      <c r="Q498" s="1036">
        <v>9.0000000000000002E-6</v>
      </c>
      <c r="R498" s="1036">
        <v>0</v>
      </c>
      <c r="S498" s="1036">
        <v>5.8299999999999997E-4</v>
      </c>
      <c r="T498" s="1036">
        <v>0</v>
      </c>
      <c r="U498" s="1037">
        <v>0</v>
      </c>
      <c r="V498" s="3239">
        <v>2250</v>
      </c>
      <c r="W498" s="3240"/>
      <c r="X498" s="1979"/>
    </row>
    <row r="499" spans="2:24" ht="12" hidden="1" customHeight="1" outlineLevel="1">
      <c r="B499" s="1050"/>
      <c r="C499" s="1050"/>
      <c r="D499" s="1051">
        <f t="shared" si="50"/>
        <v>25</v>
      </c>
      <c r="E499" s="1051" t="str">
        <f>IF(COUNTIF(E$413:E498,F499)&gt;0,"",F499)</f>
        <v/>
      </c>
      <c r="F499" s="1051" t="str">
        <f t="shared" si="51"/>
        <v>Avion passagers, &gt; 220 sièges, 1000 - 3500 km, avec trainées, France continentale, Base Carbone</v>
      </c>
      <c r="G499" s="1055" t="str">
        <f t="shared" si="52"/>
        <v>Avion passagers, &gt; 220 sièges, 1000 - 3500 km, avec trainées, France continentale, Base Carbone; kgCO2e/passager eq.km Emissions fugitives</v>
      </c>
      <c r="I499" s="1031" t="s">
        <v>3891</v>
      </c>
      <c r="J499" s="1119" t="s">
        <v>4059</v>
      </c>
      <c r="K499" s="1119" t="s">
        <v>1567</v>
      </c>
      <c r="L499" s="1135" t="s">
        <v>1571</v>
      </c>
      <c r="M499" s="1033">
        <v>0.7</v>
      </c>
      <c r="N499" s="1135" t="s">
        <v>1764</v>
      </c>
      <c r="O499" s="1036">
        <v>8.0699999999999994E-2</v>
      </c>
      <c r="P499" s="2581">
        <v>0</v>
      </c>
      <c r="Q499" s="1036">
        <v>0</v>
      </c>
      <c r="R499" s="1036">
        <v>0</v>
      </c>
      <c r="S499" s="1036">
        <v>0</v>
      </c>
      <c r="T499" s="1036">
        <v>8.0699999999999994E-2</v>
      </c>
      <c r="U499" s="1037">
        <v>0</v>
      </c>
      <c r="V499" s="3239">
        <v>2250</v>
      </c>
      <c r="W499" s="3240"/>
      <c r="X499" s="1979"/>
    </row>
    <row r="500" spans="2:24" ht="12" hidden="1" customHeight="1" outlineLevel="1">
      <c r="B500" s="1050"/>
      <c r="C500" s="1050"/>
      <c r="D500" s="1051">
        <f t="shared" si="50"/>
        <v>25</v>
      </c>
      <c r="E500" s="1051" t="str">
        <f>IF(COUNTIF(E$413:E499,F500)&gt;0,"",F500)</f>
        <v/>
      </c>
      <c r="F500" s="1051" t="str">
        <f t="shared" si="51"/>
        <v>Avion passagers, &gt; 220 sièges, 1000 - 3500 km, avec trainées, France continentale, Base Carbone</v>
      </c>
      <c r="G500" s="1055" t="str">
        <f t="shared" si="52"/>
        <v>Avion passagers, &gt; 220 sièges, 1000 - 3500 km, avec trainées, France continentale, Base Carbone; kgCO2e/passager eq.km Amont</v>
      </c>
      <c r="I500" s="1031" t="s">
        <v>3891</v>
      </c>
      <c r="J500" s="1119" t="s">
        <v>4059</v>
      </c>
      <c r="K500" s="1119" t="s">
        <v>1567</v>
      </c>
      <c r="L500" s="1135" t="s">
        <v>1571</v>
      </c>
      <c r="M500" s="1033">
        <v>0.7</v>
      </c>
      <c r="N500" s="1135" t="s">
        <v>1570</v>
      </c>
      <c r="O500" s="1036">
        <v>1.67E-2</v>
      </c>
      <c r="P500" s="1036">
        <v>1.52E-2</v>
      </c>
      <c r="Q500" s="1036">
        <v>7.6199999999999998E-4</v>
      </c>
      <c r="R500" s="1036">
        <v>0</v>
      </c>
      <c r="S500" s="1036">
        <v>7.6900000000000004E-4</v>
      </c>
      <c r="T500" s="1036">
        <v>0</v>
      </c>
      <c r="U500" s="1037">
        <v>0</v>
      </c>
      <c r="V500" s="3239">
        <v>2250</v>
      </c>
      <c r="W500" s="3240"/>
      <c r="X500" s="1979"/>
    </row>
    <row r="501" spans="2:24" ht="12" hidden="1" customHeight="1" outlineLevel="1">
      <c r="B501" s="1050"/>
      <c r="C501" s="1050"/>
      <c r="D501" s="1051">
        <f t="shared" si="50"/>
        <v>25</v>
      </c>
      <c r="E501" s="1051" t="str">
        <f>IF(COUNTIF(E$413:E500,F501)&gt;0,"",F501)</f>
        <v/>
      </c>
      <c r="F501" s="1051" t="str">
        <f t="shared" si="51"/>
        <v>Avion passagers, &gt; 220 sièges, 1000 - 3500 km, avec trainées, France continentale, Base Carbone</v>
      </c>
      <c r="G501" s="1055" t="str">
        <f t="shared" si="52"/>
        <v>Avion passagers, &gt; 220 sièges, 1000 - 3500 km, avec trainées, France continentale, Base Carbone; kgCO2e/passager eq.km Fabrication</v>
      </c>
      <c r="I501" s="1031" t="s">
        <v>3891</v>
      </c>
      <c r="J501" s="1119" t="s">
        <v>4059</v>
      </c>
      <c r="K501" s="1119" t="s">
        <v>1567</v>
      </c>
      <c r="L501" s="1135" t="s">
        <v>1571</v>
      </c>
      <c r="M501" s="1033">
        <v>0.7</v>
      </c>
      <c r="N501" s="1135" t="s">
        <v>332</v>
      </c>
      <c r="O501" s="1036">
        <v>3.1E-4</v>
      </c>
      <c r="P501" s="1036">
        <v>3.1E-4</v>
      </c>
      <c r="Q501" s="1036">
        <v>0</v>
      </c>
      <c r="R501" s="1036">
        <v>0</v>
      </c>
      <c r="S501" s="1036">
        <v>0</v>
      </c>
      <c r="T501" s="1036">
        <v>0</v>
      </c>
      <c r="U501" s="1037">
        <v>0</v>
      </c>
      <c r="V501" s="3239">
        <v>2250</v>
      </c>
      <c r="W501" s="3240"/>
      <c r="X501" s="1979"/>
    </row>
    <row r="502" spans="2:24" ht="12" hidden="1" customHeight="1" outlineLevel="1">
      <c r="B502" s="1050"/>
      <c r="C502" s="1050"/>
      <c r="D502" s="1051">
        <f t="shared" si="50"/>
        <v>26</v>
      </c>
      <c r="E502" s="1051" t="str">
        <f>IF(COUNTIF(E$413:E501,F502)&gt;0,"",F502)</f>
        <v>Avion passagers, &gt; 220 sièges, 1000 - 3500 km, sans trainées, France continentale, Base Carbone</v>
      </c>
      <c r="F502" s="1051" t="str">
        <f t="shared" si="51"/>
        <v>Avion passagers, &gt; 220 sièges, 1000 - 3500 km, sans trainées, France continentale, Base Carbone</v>
      </c>
      <c r="G502" s="1055" t="str">
        <f t="shared" si="52"/>
        <v>Avion passagers, &gt; 220 sièges, 1000 - 3500 km, sans trainées, France continentale, Base Carbone; kgCO2e/passager eq.km Combustion</v>
      </c>
      <c r="I502" s="1031" t="s">
        <v>3892</v>
      </c>
      <c r="J502" s="1119" t="s">
        <v>4059</v>
      </c>
      <c r="K502" s="1119" t="s">
        <v>1567</v>
      </c>
      <c r="L502" s="1135" t="s">
        <v>1571</v>
      </c>
      <c r="M502" s="1033">
        <v>0.1</v>
      </c>
      <c r="N502" s="1135" t="s">
        <v>1569</v>
      </c>
      <c r="O502" s="1036">
        <v>8.0699999999999994E-2</v>
      </c>
      <c r="P502" s="1036">
        <v>8.0100000000000005E-2</v>
      </c>
      <c r="Q502" s="1036">
        <v>9.0000000000000002E-6</v>
      </c>
      <c r="R502" s="1036">
        <v>0</v>
      </c>
      <c r="S502" s="1036">
        <v>5.8299999999999997E-4</v>
      </c>
      <c r="T502" s="1036">
        <v>0</v>
      </c>
      <c r="U502" s="1037">
        <v>0</v>
      </c>
      <c r="V502" s="3239">
        <v>2250</v>
      </c>
      <c r="W502" s="3240"/>
      <c r="X502" s="1979"/>
    </row>
    <row r="503" spans="2:24" ht="12" hidden="1" customHeight="1" outlineLevel="1">
      <c r="B503" s="1050"/>
      <c r="C503" s="1050"/>
      <c r="D503" s="1051">
        <f t="shared" si="50"/>
        <v>26</v>
      </c>
      <c r="E503" s="1051" t="str">
        <f>IF(COUNTIF(E$413:E502,F503)&gt;0,"",F503)</f>
        <v/>
      </c>
      <c r="F503" s="1051" t="str">
        <f t="shared" si="51"/>
        <v>Avion passagers, &gt; 220 sièges, 1000 - 3500 km, sans trainées, France continentale, Base Carbone</v>
      </c>
      <c r="G503" s="1055" t="str">
        <f t="shared" si="52"/>
        <v>Avion passagers, &gt; 220 sièges, 1000 - 3500 km, sans trainées, France continentale, Base Carbone; kgCO2e/passager eq.km Amont</v>
      </c>
      <c r="I503" s="1031" t="s">
        <v>3892</v>
      </c>
      <c r="J503" s="1119" t="s">
        <v>4059</v>
      </c>
      <c r="K503" s="1119" t="s">
        <v>1567</v>
      </c>
      <c r="L503" s="1135" t="s">
        <v>1571</v>
      </c>
      <c r="M503" s="1033">
        <v>0.1</v>
      </c>
      <c r="N503" s="1135" t="s">
        <v>1570</v>
      </c>
      <c r="O503" s="1036">
        <v>1.67E-2</v>
      </c>
      <c r="P503" s="2581">
        <v>1.52E-2</v>
      </c>
      <c r="Q503" s="1036">
        <v>7.6199999999999998E-4</v>
      </c>
      <c r="R503" s="1036">
        <v>0</v>
      </c>
      <c r="S503" s="1036">
        <v>7.6900000000000004E-4</v>
      </c>
      <c r="T503" s="1036">
        <v>0</v>
      </c>
      <c r="U503" s="1037">
        <v>0</v>
      </c>
      <c r="V503" s="3239">
        <v>2250</v>
      </c>
      <c r="W503" s="3240"/>
      <c r="X503" s="1979"/>
    </row>
    <row r="504" spans="2:24" ht="12" hidden="1" customHeight="1" outlineLevel="1">
      <c r="B504" s="1050"/>
      <c r="C504" s="1050"/>
      <c r="D504" s="1051">
        <f t="shared" si="50"/>
        <v>26</v>
      </c>
      <c r="E504" s="1051" t="str">
        <f>IF(COUNTIF(E$413:E503,F504)&gt;0,"",F504)</f>
        <v/>
      </c>
      <c r="F504" s="1051" t="str">
        <f t="shared" si="51"/>
        <v>Avion passagers, &gt; 220 sièges, 1000 - 3500 km, sans trainées, France continentale, Base Carbone</v>
      </c>
      <c r="G504" s="1055" t="str">
        <f t="shared" si="52"/>
        <v>Avion passagers, &gt; 220 sièges, 1000 - 3500 km, sans trainées, France continentale, Base Carbone; kgCO2e/passager eq.km Fabrication</v>
      </c>
      <c r="I504" s="1031" t="s">
        <v>3892</v>
      </c>
      <c r="J504" s="1119" t="s">
        <v>4059</v>
      </c>
      <c r="K504" s="1119" t="s">
        <v>1567</v>
      </c>
      <c r="L504" s="1135" t="s">
        <v>1571</v>
      </c>
      <c r="M504" s="1033">
        <v>0.1</v>
      </c>
      <c r="N504" s="1135" t="s">
        <v>332</v>
      </c>
      <c r="O504" s="1036">
        <v>3.1E-4</v>
      </c>
      <c r="P504" s="2581">
        <v>3.1E-4</v>
      </c>
      <c r="Q504" s="1036">
        <v>0</v>
      </c>
      <c r="R504" s="1036">
        <v>0</v>
      </c>
      <c r="S504" s="1036">
        <v>0</v>
      </c>
      <c r="T504" s="1036">
        <v>0</v>
      </c>
      <c r="U504" s="1037">
        <v>0</v>
      </c>
      <c r="V504" s="3239">
        <v>2250</v>
      </c>
      <c r="W504" s="3240"/>
      <c r="X504" s="1979"/>
    </row>
    <row r="505" spans="2:24" ht="12" hidden="1" customHeight="1" outlineLevel="1">
      <c r="B505" s="1050"/>
      <c r="C505" s="1050"/>
      <c r="D505" s="1051">
        <f t="shared" si="50"/>
        <v>27</v>
      </c>
      <c r="E505" s="1051" t="str">
        <f>IF(COUNTIF(E$413:E504,F505)&gt;0,"",F505)</f>
        <v>Avion passagers, &gt; 220 sièges, &gt; 3500 km, avec trainées, France continentale, Base Carbone</v>
      </c>
      <c r="F505" s="1051" t="str">
        <f t="shared" si="51"/>
        <v>Avion passagers, &gt; 220 sièges, &gt; 3500 km, avec trainées, France continentale, Base Carbone</v>
      </c>
      <c r="G505" s="1055" t="str">
        <f t="shared" si="52"/>
        <v>Avion passagers, &gt; 220 sièges, &gt; 3500 km, avec trainées, France continentale, Base Carbone; kgCO2e/passager eq.km Combustion</v>
      </c>
      <c r="I505" s="1031" t="s">
        <v>3893</v>
      </c>
      <c r="J505" s="1119" t="s">
        <v>4059</v>
      </c>
      <c r="K505" s="1119" t="s">
        <v>1567</v>
      </c>
      <c r="L505" s="1135" t="s">
        <v>1571</v>
      </c>
      <c r="M505" s="1033">
        <v>0.7</v>
      </c>
      <c r="N505" s="1135" t="s">
        <v>1569</v>
      </c>
      <c r="O505" s="1036">
        <v>6.8599999999999994E-2</v>
      </c>
      <c r="P505" s="1036">
        <v>6.8099999999999994E-2</v>
      </c>
      <c r="Q505" s="1036">
        <v>0</v>
      </c>
      <c r="R505" s="1036">
        <v>0</v>
      </c>
      <c r="S505" s="1036">
        <v>5.04E-4</v>
      </c>
      <c r="T505" s="1036">
        <v>0</v>
      </c>
      <c r="U505" s="1037">
        <v>0</v>
      </c>
      <c r="V505" s="3239">
        <v>7250</v>
      </c>
      <c r="W505" s="3240"/>
      <c r="X505" s="1979"/>
    </row>
    <row r="506" spans="2:24" ht="12" hidden="1" customHeight="1" outlineLevel="1">
      <c r="B506" s="1050"/>
      <c r="C506" s="1050"/>
      <c r="D506" s="1051">
        <f t="shared" si="50"/>
        <v>27</v>
      </c>
      <c r="E506" s="1051" t="str">
        <f>IF(COUNTIF(E$413:E505,F506)&gt;0,"",F506)</f>
        <v/>
      </c>
      <c r="F506" s="1051" t="str">
        <f t="shared" si="51"/>
        <v>Avion passagers, &gt; 220 sièges, &gt; 3500 km, avec trainées, France continentale, Base Carbone</v>
      </c>
      <c r="G506" s="1055" t="str">
        <f t="shared" si="52"/>
        <v>Avion passagers, &gt; 220 sièges, &gt; 3500 km, avec trainées, France continentale, Base Carbone; kgCO2e/passager eq.km Emissions fugitives</v>
      </c>
      <c r="I506" s="1031" t="s">
        <v>3893</v>
      </c>
      <c r="J506" s="1119" t="s">
        <v>4059</v>
      </c>
      <c r="K506" s="1119" t="s">
        <v>1567</v>
      </c>
      <c r="L506" s="1135" t="s">
        <v>1571</v>
      </c>
      <c r="M506" s="1033">
        <v>0.7</v>
      </c>
      <c r="N506" s="1135" t="s">
        <v>1764</v>
      </c>
      <c r="O506" s="1036">
        <v>6.8599999999999994E-2</v>
      </c>
      <c r="P506" s="1036">
        <v>0</v>
      </c>
      <c r="Q506" s="1036">
        <v>0</v>
      </c>
      <c r="R506" s="1036">
        <v>0</v>
      </c>
      <c r="S506" s="1036">
        <v>0</v>
      </c>
      <c r="T506" s="1036">
        <v>6.8599999999999994E-2</v>
      </c>
      <c r="U506" s="1037">
        <v>0</v>
      </c>
      <c r="V506" s="3239">
        <v>7250</v>
      </c>
      <c r="W506" s="3240"/>
      <c r="X506" s="1979"/>
    </row>
    <row r="507" spans="2:24" ht="12" hidden="1" customHeight="1" outlineLevel="1">
      <c r="B507" s="1050"/>
      <c r="C507" s="1050"/>
      <c r="D507" s="1051">
        <f t="shared" si="50"/>
        <v>27</v>
      </c>
      <c r="E507" s="1051" t="str">
        <f>IF(COUNTIF(E$413:E506,F507)&gt;0,"",F507)</f>
        <v/>
      </c>
      <c r="F507" s="1051" t="str">
        <f t="shared" si="51"/>
        <v>Avion passagers, &gt; 220 sièges, &gt; 3500 km, avec trainées, France continentale, Base Carbone</v>
      </c>
      <c r="G507" s="1055" t="str">
        <f t="shared" si="52"/>
        <v>Avion passagers, &gt; 220 sièges, &gt; 3500 km, avec trainées, France continentale, Base Carbone; kgCO2e/passager eq.km Amont</v>
      </c>
      <c r="I507" s="1031" t="s">
        <v>3893</v>
      </c>
      <c r="J507" s="1119" t="s">
        <v>4059</v>
      </c>
      <c r="K507" s="1119" t="s">
        <v>1567</v>
      </c>
      <c r="L507" s="1135" t="s">
        <v>1571</v>
      </c>
      <c r="M507" s="1033">
        <v>0.7</v>
      </c>
      <c r="N507" s="1135" t="s">
        <v>1570</v>
      </c>
      <c r="O507" s="1036">
        <v>1.4200000000000001E-2</v>
      </c>
      <c r="P507" s="2581">
        <v>1.29E-2</v>
      </c>
      <c r="Q507" s="1036">
        <v>6.4800000000000003E-4</v>
      </c>
      <c r="R507" s="1036">
        <v>0</v>
      </c>
      <c r="S507" s="1036">
        <v>6.3599999999999996E-4</v>
      </c>
      <c r="T507" s="1036">
        <v>0</v>
      </c>
      <c r="U507" s="1037">
        <v>0</v>
      </c>
      <c r="V507" s="3239">
        <v>7250</v>
      </c>
      <c r="W507" s="3240"/>
      <c r="X507" s="1979"/>
    </row>
    <row r="508" spans="2:24" ht="12" hidden="1" customHeight="1" outlineLevel="1">
      <c r="B508" s="1050"/>
      <c r="C508" s="1050"/>
      <c r="D508" s="1051">
        <f t="shared" si="50"/>
        <v>27</v>
      </c>
      <c r="E508" s="1051" t="str">
        <f>IF(COUNTIF(E$413:E507,F508)&gt;0,"",F508)</f>
        <v/>
      </c>
      <c r="F508" s="1051" t="str">
        <f t="shared" si="51"/>
        <v>Avion passagers, &gt; 220 sièges, &gt; 3500 km, avec trainées, France continentale, Base Carbone</v>
      </c>
      <c r="G508" s="1055" t="str">
        <f t="shared" si="52"/>
        <v>Avion passagers, &gt; 220 sièges, &gt; 3500 km, avec trainées, France continentale, Base Carbone; kgCO2e/passager eq.km Fabrication</v>
      </c>
      <c r="I508" s="1031" t="s">
        <v>3893</v>
      </c>
      <c r="J508" s="1119" t="s">
        <v>4059</v>
      </c>
      <c r="K508" s="1119" t="s">
        <v>1567</v>
      </c>
      <c r="L508" s="1135" t="s">
        <v>1571</v>
      </c>
      <c r="M508" s="1033">
        <v>0.7</v>
      </c>
      <c r="N508" s="1135" t="s">
        <v>332</v>
      </c>
      <c r="O508" s="1036">
        <v>2.5999999999999998E-4</v>
      </c>
      <c r="P508" s="2581">
        <v>2.5999999999999998E-4</v>
      </c>
      <c r="Q508" s="1036">
        <v>0</v>
      </c>
      <c r="R508" s="1036">
        <v>0</v>
      </c>
      <c r="S508" s="1036">
        <v>0</v>
      </c>
      <c r="T508" s="1036">
        <v>0</v>
      </c>
      <c r="U508" s="1037">
        <v>0</v>
      </c>
      <c r="V508" s="3239">
        <v>7250</v>
      </c>
      <c r="W508" s="3240"/>
      <c r="X508" s="1979"/>
    </row>
    <row r="509" spans="2:24" ht="12" hidden="1" customHeight="1" outlineLevel="1">
      <c r="B509" s="1050"/>
      <c r="C509" s="1050"/>
      <c r="D509" s="1051">
        <f t="shared" si="50"/>
        <v>28</v>
      </c>
      <c r="E509" s="1051" t="str">
        <f>IF(COUNTIF(E$413:E508,F509)&gt;0,"",F509)</f>
        <v>Avion passagers, &gt; 220 sièges, &gt; 3500 km, sans trainées, France continentale, Base Carbone</v>
      </c>
      <c r="F509" s="1051" t="str">
        <f t="shared" si="51"/>
        <v>Avion passagers, &gt; 220 sièges, &gt; 3500 km, sans trainées, France continentale, Base Carbone</v>
      </c>
      <c r="G509" s="1055" t="str">
        <f t="shared" si="52"/>
        <v>Avion passagers, &gt; 220 sièges, &gt; 3500 km, sans trainées, France continentale, Base Carbone; kgCO2e/passager eq.km Combustion</v>
      </c>
      <c r="I509" s="1031" t="s">
        <v>3894</v>
      </c>
      <c r="J509" s="1119" t="s">
        <v>4059</v>
      </c>
      <c r="K509" s="1119" t="s">
        <v>1567</v>
      </c>
      <c r="L509" s="1135" t="s">
        <v>1571</v>
      </c>
      <c r="M509" s="1033">
        <v>0.1</v>
      </c>
      <c r="N509" s="1135" t="s">
        <v>1569</v>
      </c>
      <c r="O509" s="1036">
        <v>6.8599999999999994E-2</v>
      </c>
      <c r="P509" s="1036">
        <v>6.8099999999999994E-2</v>
      </c>
      <c r="Q509" s="1036">
        <v>0</v>
      </c>
      <c r="R509" s="1036">
        <v>0</v>
      </c>
      <c r="S509" s="1036">
        <v>5.04E-4</v>
      </c>
      <c r="T509" s="1036">
        <v>0</v>
      </c>
      <c r="U509" s="1037">
        <v>0</v>
      </c>
      <c r="V509" s="3239">
        <v>7250</v>
      </c>
      <c r="W509" s="3240"/>
      <c r="X509" s="1979"/>
    </row>
    <row r="510" spans="2:24" ht="12" hidden="1" customHeight="1" outlineLevel="1">
      <c r="B510" s="1050"/>
      <c r="C510" s="1050"/>
      <c r="D510" s="1051">
        <f t="shared" si="50"/>
        <v>28</v>
      </c>
      <c r="E510" s="1051" t="str">
        <f>IF(COUNTIF(E$413:E509,F510)&gt;0,"",F510)</f>
        <v/>
      </c>
      <c r="F510" s="1051" t="str">
        <f t="shared" si="51"/>
        <v>Avion passagers, &gt; 220 sièges, &gt; 3500 km, sans trainées, France continentale, Base Carbone</v>
      </c>
      <c r="G510" s="1055" t="str">
        <f t="shared" si="52"/>
        <v>Avion passagers, &gt; 220 sièges, &gt; 3500 km, sans trainées, France continentale, Base Carbone; kgCO2e/passager eq.km Amont</v>
      </c>
      <c r="I510" s="1031" t="s">
        <v>3894</v>
      </c>
      <c r="J510" s="1119" t="s">
        <v>4059</v>
      </c>
      <c r="K510" s="1119" t="s">
        <v>1567</v>
      </c>
      <c r="L510" s="1135" t="s">
        <v>1571</v>
      </c>
      <c r="M510" s="1033">
        <v>0.1</v>
      </c>
      <c r="N510" s="1135" t="s">
        <v>1570</v>
      </c>
      <c r="O510" s="1036">
        <v>1.4200000000000001E-2</v>
      </c>
      <c r="P510" s="1036">
        <v>1.29E-2</v>
      </c>
      <c r="Q510" s="1036">
        <v>6.4800000000000003E-4</v>
      </c>
      <c r="R510" s="1036">
        <v>0</v>
      </c>
      <c r="S510" s="1036">
        <v>6.3599999999999996E-4</v>
      </c>
      <c r="T510" s="1036">
        <v>0</v>
      </c>
      <c r="U510" s="1037">
        <v>0</v>
      </c>
      <c r="V510" s="3239">
        <v>7250</v>
      </c>
      <c r="W510" s="3240"/>
      <c r="X510" s="1979"/>
    </row>
    <row r="511" spans="2:24" ht="12" hidden="1" customHeight="1" outlineLevel="1">
      <c r="B511" s="1050"/>
      <c r="C511" s="1050"/>
      <c r="D511" s="1051">
        <f t="shared" si="50"/>
        <v>28</v>
      </c>
      <c r="E511" s="1051" t="str">
        <f>IF(COUNTIF(E$413:E510,F511)&gt;0,"",F511)</f>
        <v/>
      </c>
      <c r="F511" s="1051" t="str">
        <f t="shared" si="51"/>
        <v>Avion passagers, &gt; 220 sièges, &gt; 3500 km, sans trainées, France continentale, Base Carbone</v>
      </c>
      <c r="G511" s="1055" t="str">
        <f t="shared" si="52"/>
        <v>Avion passagers, &gt; 220 sièges, &gt; 3500 km, sans trainées, France continentale, Base Carbone; kgCO2e/passager eq.km Fabrication</v>
      </c>
      <c r="I511" s="1031" t="s">
        <v>3894</v>
      </c>
      <c r="J511" s="1119" t="s">
        <v>4059</v>
      </c>
      <c r="K511" s="1119" t="s">
        <v>1567</v>
      </c>
      <c r="L511" s="1135" t="s">
        <v>1571</v>
      </c>
      <c r="M511" s="1033">
        <v>0.1</v>
      </c>
      <c r="N511" s="1135" t="s">
        <v>332</v>
      </c>
      <c r="O511" s="1036">
        <v>2.5999999999999998E-4</v>
      </c>
      <c r="P511" s="1036">
        <v>2.5999999999999998E-4</v>
      </c>
      <c r="Q511" s="1036">
        <v>0</v>
      </c>
      <c r="R511" s="1036">
        <v>0</v>
      </c>
      <c r="S511" s="1036">
        <v>0</v>
      </c>
      <c r="T511" s="1036">
        <v>0</v>
      </c>
      <c r="U511" s="1037">
        <v>0</v>
      </c>
      <c r="V511" s="3239">
        <v>7250</v>
      </c>
      <c r="W511" s="3240"/>
      <c r="X511" s="1979"/>
    </row>
    <row r="512" spans="2:24" ht="12" hidden="1" customHeight="1" outlineLevel="1">
      <c r="B512" s="1050"/>
      <c r="C512" s="1050"/>
      <c r="D512" s="1051">
        <f t="shared" si="50"/>
        <v>29</v>
      </c>
      <c r="E512" s="1051" t="str">
        <f>IF(COUNTIF(E$413:E511,F512)&gt;0,"",F512)</f>
        <v>Avion passagers, court courrier, avec trainées, France continentale, Base Carbone</v>
      </c>
      <c r="F512" s="1051" t="str">
        <f t="shared" si="51"/>
        <v>Avion passagers, court courrier, avec trainées, France continentale, Base Carbone</v>
      </c>
      <c r="G512" s="1055" t="str">
        <f t="shared" si="52"/>
        <v>Avion passagers, court courrier, avec trainées, France continentale, Base Carbone; kgCO2e/passager eq.km Combustion</v>
      </c>
      <c r="I512" s="1031" t="s">
        <v>3895</v>
      </c>
      <c r="J512" s="1119" t="s">
        <v>4059</v>
      </c>
      <c r="K512" s="1119" t="s">
        <v>1567</v>
      </c>
      <c r="L512" s="1135" t="s">
        <v>1571</v>
      </c>
      <c r="M512" s="1033">
        <v>0.7</v>
      </c>
      <c r="N512" s="1135" t="s">
        <v>1569</v>
      </c>
      <c r="O512" s="1036">
        <v>0.11700000000000001</v>
      </c>
      <c r="P512" s="2581">
        <v>0.11600000000000001</v>
      </c>
      <c r="Q512" s="1036">
        <v>2.6999999999999999E-5</v>
      </c>
      <c r="R512" s="1036">
        <v>0</v>
      </c>
      <c r="S512" s="1036">
        <v>8.4800000000000001E-4</v>
      </c>
      <c r="T512" s="1036">
        <v>0</v>
      </c>
      <c r="U512" s="1037">
        <v>0</v>
      </c>
      <c r="V512" s="3239">
        <v>500</v>
      </c>
      <c r="W512" s="3240"/>
      <c r="X512" s="1979"/>
    </row>
    <row r="513" spans="2:24" ht="12" hidden="1" customHeight="1" outlineLevel="1">
      <c r="B513" s="1050"/>
      <c r="C513" s="1050"/>
      <c r="D513" s="1051">
        <f t="shared" si="50"/>
        <v>29</v>
      </c>
      <c r="E513" s="1051" t="str">
        <f>IF(COUNTIF(E$413:E512,F513)&gt;0,"",F513)</f>
        <v/>
      </c>
      <c r="F513" s="1051" t="str">
        <f t="shared" si="51"/>
        <v>Avion passagers, court courrier, avec trainées, France continentale, Base Carbone</v>
      </c>
      <c r="G513" s="1055" t="str">
        <f t="shared" si="52"/>
        <v>Avion passagers, court courrier, avec trainées, France continentale, Base Carbone; kgCO2e/passager eq.km Emissions fugitives</v>
      </c>
      <c r="I513" s="1031" t="s">
        <v>3895</v>
      </c>
      <c r="J513" s="1119" t="s">
        <v>4059</v>
      </c>
      <c r="K513" s="1119" t="s">
        <v>1567</v>
      </c>
      <c r="L513" s="1135" t="s">
        <v>1571</v>
      </c>
      <c r="M513" s="1033">
        <v>0.7</v>
      </c>
      <c r="N513" s="1135" t="s">
        <v>1764</v>
      </c>
      <c r="O513" s="1036">
        <v>0.11700000000000001</v>
      </c>
      <c r="P513" s="1036">
        <v>0</v>
      </c>
      <c r="Q513" s="1036">
        <v>0</v>
      </c>
      <c r="R513" s="1036">
        <v>0</v>
      </c>
      <c r="S513" s="1036">
        <v>0</v>
      </c>
      <c r="T513" s="1036">
        <v>0.11700000000000001</v>
      </c>
      <c r="U513" s="1037">
        <v>0</v>
      </c>
      <c r="V513" s="3239">
        <v>500</v>
      </c>
      <c r="W513" s="3240"/>
      <c r="X513" s="1979"/>
    </row>
    <row r="514" spans="2:24" ht="12" hidden="1" customHeight="1" outlineLevel="1">
      <c r="B514" s="1050"/>
      <c r="C514" s="1050"/>
      <c r="D514" s="1051">
        <f t="shared" si="50"/>
        <v>29</v>
      </c>
      <c r="E514" s="1051" t="str">
        <f>IF(COUNTIF(E$413:E513,F514)&gt;0,"",F514)</f>
        <v/>
      </c>
      <c r="F514" s="1051" t="str">
        <f t="shared" si="51"/>
        <v>Avion passagers, court courrier, avec trainées, France continentale, Base Carbone</v>
      </c>
      <c r="G514" s="1055" t="str">
        <f t="shared" si="52"/>
        <v>Avion passagers, court courrier, avec trainées, France continentale, Base Carbone; kgCO2e/passager eq.km Amont</v>
      </c>
      <c r="I514" s="1031" t="s">
        <v>3895</v>
      </c>
      <c r="J514" s="1119" t="s">
        <v>4059</v>
      </c>
      <c r="K514" s="1119" t="s">
        <v>1567</v>
      </c>
      <c r="L514" s="1135" t="s">
        <v>1571</v>
      </c>
      <c r="M514" s="1033">
        <v>0.7</v>
      </c>
      <c r="N514" s="1135" t="s">
        <v>1570</v>
      </c>
      <c r="O514" s="1036">
        <v>2.4199999999999999E-2</v>
      </c>
      <c r="P514" s="1036">
        <v>2.1999999999999999E-2</v>
      </c>
      <c r="Q514" s="1036">
        <v>1.1000000000000001E-3</v>
      </c>
      <c r="R514" s="1036">
        <v>0</v>
      </c>
      <c r="S514" s="1036">
        <v>1.1100000000000001E-3</v>
      </c>
      <c r="T514" s="1036">
        <v>0</v>
      </c>
      <c r="U514" s="1037">
        <v>0</v>
      </c>
      <c r="V514" s="3239">
        <v>500</v>
      </c>
      <c r="W514" s="3240"/>
      <c r="X514" s="1979"/>
    </row>
    <row r="515" spans="2:24" ht="12" hidden="1" customHeight="1" outlineLevel="1">
      <c r="B515" s="1050"/>
      <c r="C515" s="1050"/>
      <c r="D515" s="1051">
        <f t="shared" si="50"/>
        <v>29</v>
      </c>
      <c r="E515" s="1051" t="str">
        <f>IF(COUNTIF(E$413:E514,F515)&gt;0,"",F515)</f>
        <v/>
      </c>
      <c r="F515" s="1051" t="str">
        <f t="shared" si="51"/>
        <v>Avion passagers, court courrier, avec trainées, France continentale, Base Carbone</v>
      </c>
      <c r="G515" s="1055" t="str">
        <f t="shared" si="52"/>
        <v>Avion passagers, court courrier, avec trainées, France continentale, Base Carbone; kgCO2e/passager eq.km Fabrication</v>
      </c>
      <c r="I515" s="1031" t="s">
        <v>3895</v>
      </c>
      <c r="J515" s="1119" t="s">
        <v>4059</v>
      </c>
      <c r="K515" s="1119" t="s">
        <v>1567</v>
      </c>
      <c r="L515" s="1135" t="s">
        <v>1571</v>
      </c>
      <c r="M515" s="1033">
        <v>0.7</v>
      </c>
      <c r="N515" s="1135" t="s">
        <v>332</v>
      </c>
      <c r="O515" s="1036">
        <v>3.8000000000000002E-4</v>
      </c>
      <c r="P515" s="1036">
        <v>3.8000000000000002E-4</v>
      </c>
      <c r="Q515" s="1036">
        <v>0</v>
      </c>
      <c r="R515" s="1036">
        <v>0</v>
      </c>
      <c r="S515" s="1036">
        <v>0</v>
      </c>
      <c r="T515" s="1036">
        <v>0</v>
      </c>
      <c r="U515" s="1037">
        <v>0</v>
      </c>
      <c r="V515" s="3239">
        <v>500</v>
      </c>
      <c r="W515" s="3240"/>
      <c r="X515" s="1979"/>
    </row>
    <row r="516" spans="2:24" ht="12" hidden="1" customHeight="1" outlineLevel="1">
      <c r="B516" s="1050"/>
      <c r="C516" s="1050"/>
      <c r="D516" s="1051">
        <f t="shared" si="50"/>
        <v>30</v>
      </c>
      <c r="E516" s="1051" t="str">
        <f>IF(COUNTIF(E$413:E515,F516)&gt;0,"",F516)</f>
        <v>Avion passagers, court courrier, sans trainées, France continentale, Base Carbone</v>
      </c>
      <c r="F516" s="1051" t="str">
        <f t="shared" si="51"/>
        <v>Avion passagers, court courrier, sans trainées, France continentale, Base Carbone</v>
      </c>
      <c r="G516" s="1055" t="str">
        <f t="shared" si="52"/>
        <v>Avion passagers, court courrier, sans trainées, France continentale, Base Carbone; kgCO2e/passager eq.km Combustion</v>
      </c>
      <c r="I516" s="1031" t="s">
        <v>3896</v>
      </c>
      <c r="J516" s="1119" t="s">
        <v>4059</v>
      </c>
      <c r="K516" s="1119" t="s">
        <v>1567</v>
      </c>
      <c r="L516" s="1135" t="s">
        <v>1571</v>
      </c>
      <c r="M516" s="1033">
        <v>0.1</v>
      </c>
      <c r="N516" s="1135" t="s">
        <v>1569</v>
      </c>
      <c r="O516" s="1036">
        <v>0.11700000000000001</v>
      </c>
      <c r="P516" s="2581">
        <v>0.11600000000000001</v>
      </c>
      <c r="Q516" s="1036">
        <v>2.6999999999999999E-5</v>
      </c>
      <c r="R516" s="1036">
        <v>0</v>
      </c>
      <c r="S516" s="1036">
        <v>8.4800000000000001E-4</v>
      </c>
      <c r="T516" s="1036">
        <v>0</v>
      </c>
      <c r="U516" s="1037">
        <v>0</v>
      </c>
      <c r="V516" s="3239">
        <v>500</v>
      </c>
      <c r="W516" s="3240"/>
      <c r="X516" s="1979"/>
    </row>
    <row r="517" spans="2:24" ht="12" hidden="1" customHeight="1" outlineLevel="1">
      <c r="B517" s="1050"/>
      <c r="C517" s="1050"/>
      <c r="D517" s="1051">
        <f t="shared" si="50"/>
        <v>30</v>
      </c>
      <c r="E517" s="1051" t="str">
        <f>IF(COUNTIF(E$413:E516,F517)&gt;0,"",F517)</f>
        <v/>
      </c>
      <c r="F517" s="1051" t="str">
        <f t="shared" si="51"/>
        <v>Avion passagers, court courrier, sans trainées, France continentale, Base Carbone</v>
      </c>
      <c r="G517" s="1055" t="str">
        <f t="shared" si="52"/>
        <v>Avion passagers, court courrier, sans trainées, France continentale, Base Carbone; kgCO2e/passager eq.km Amont</v>
      </c>
      <c r="I517" s="1031" t="s">
        <v>3896</v>
      </c>
      <c r="J517" s="1119" t="s">
        <v>4059</v>
      </c>
      <c r="K517" s="1119" t="s">
        <v>1567</v>
      </c>
      <c r="L517" s="1135" t="s">
        <v>1571</v>
      </c>
      <c r="M517" s="1033">
        <v>0.1</v>
      </c>
      <c r="N517" s="1135" t="s">
        <v>1570</v>
      </c>
      <c r="O517" s="1036">
        <v>2.4199999999999999E-2</v>
      </c>
      <c r="P517" s="1036">
        <v>2.1999999999999999E-2</v>
      </c>
      <c r="Q517" s="1036">
        <v>1.1000000000000001E-3</v>
      </c>
      <c r="R517" s="1036">
        <v>0</v>
      </c>
      <c r="S517" s="1036">
        <v>1.1100000000000001E-3</v>
      </c>
      <c r="T517" s="1036">
        <v>0</v>
      </c>
      <c r="U517" s="1037">
        <v>0</v>
      </c>
      <c r="V517" s="3239">
        <v>500</v>
      </c>
      <c r="W517" s="3240"/>
      <c r="X517" s="1979"/>
    </row>
    <row r="518" spans="2:24" ht="12" hidden="1" customHeight="1" outlineLevel="1">
      <c r="B518" s="1050"/>
      <c r="C518" s="1050"/>
      <c r="D518" s="1051">
        <f t="shared" si="50"/>
        <v>30</v>
      </c>
      <c r="E518" s="1051" t="str">
        <f>IF(COUNTIF(E$413:E517,F518)&gt;0,"",F518)</f>
        <v/>
      </c>
      <c r="F518" s="1051" t="str">
        <f t="shared" si="51"/>
        <v>Avion passagers, court courrier, sans trainées, France continentale, Base Carbone</v>
      </c>
      <c r="G518" s="1055" t="str">
        <f t="shared" si="52"/>
        <v>Avion passagers, court courrier, sans trainées, France continentale, Base Carbone; kgCO2e/passager eq.km Fabrication</v>
      </c>
      <c r="I518" s="1031" t="s">
        <v>3896</v>
      </c>
      <c r="J518" s="1119" t="s">
        <v>4059</v>
      </c>
      <c r="K518" s="1119" t="s">
        <v>1567</v>
      </c>
      <c r="L518" s="1135" t="s">
        <v>1571</v>
      </c>
      <c r="M518" s="1033">
        <v>0.1</v>
      </c>
      <c r="N518" s="1135" t="s">
        <v>332</v>
      </c>
      <c r="O518" s="1036">
        <v>3.8000000000000002E-4</v>
      </c>
      <c r="P518" s="1036">
        <v>3.8000000000000002E-4</v>
      </c>
      <c r="Q518" s="1036">
        <v>0</v>
      </c>
      <c r="R518" s="1036">
        <v>0</v>
      </c>
      <c r="S518" s="1036">
        <v>0</v>
      </c>
      <c r="T518" s="1036">
        <v>0</v>
      </c>
      <c r="U518" s="1037">
        <v>0</v>
      </c>
      <c r="V518" s="3239">
        <v>500</v>
      </c>
      <c r="W518" s="3240"/>
      <c r="X518" s="1979"/>
    </row>
    <row r="519" spans="2:24" ht="12" hidden="1" customHeight="1" outlineLevel="1">
      <c r="B519" s="1050"/>
      <c r="C519" s="1050"/>
      <c r="D519" s="1051">
        <f t="shared" si="50"/>
        <v>31</v>
      </c>
      <c r="E519" s="1051" t="str">
        <f>IF(COUNTIF(E$413:E518,F519)&gt;0,"",F519)</f>
        <v>Avion passagers, long courrier, avec trainées, France continentale, Base Carbone</v>
      </c>
      <c r="F519" s="1051" t="str">
        <f t="shared" si="51"/>
        <v>Avion passagers, long courrier, avec trainées, France continentale, Base Carbone</v>
      </c>
      <c r="G519" s="1055" t="str">
        <f t="shared" si="52"/>
        <v>Avion passagers, long courrier, avec trainées, France continentale, Base Carbone; kgCO2e/passager eq.km Combustion</v>
      </c>
      <c r="I519" s="1031" t="s">
        <v>3897</v>
      </c>
      <c r="J519" s="1119" t="s">
        <v>4059</v>
      </c>
      <c r="K519" s="1119" t="s">
        <v>1567</v>
      </c>
      <c r="L519" s="1135" t="s">
        <v>1571</v>
      </c>
      <c r="M519" s="1033">
        <v>0.7</v>
      </c>
      <c r="N519" s="1135" t="s">
        <v>1569</v>
      </c>
      <c r="O519" s="1036">
        <v>6.8699999999999997E-2</v>
      </c>
      <c r="P519" s="1036">
        <v>6.8199999999999997E-2</v>
      </c>
      <c r="Q519" s="1036">
        <v>0</v>
      </c>
      <c r="R519" s="1036">
        <v>0</v>
      </c>
      <c r="S519" s="1036">
        <v>5.04E-4</v>
      </c>
      <c r="T519" s="1036">
        <v>0</v>
      </c>
      <c r="U519" s="1037">
        <v>0</v>
      </c>
      <c r="V519" s="3239">
        <v>7250</v>
      </c>
      <c r="W519" s="3240"/>
      <c r="X519" s="1979"/>
    </row>
    <row r="520" spans="2:24" ht="12" hidden="1" customHeight="1" outlineLevel="1">
      <c r="B520" s="1050"/>
      <c r="C520" s="1050"/>
      <c r="D520" s="1051">
        <f t="shared" si="50"/>
        <v>31</v>
      </c>
      <c r="E520" s="1051" t="str">
        <f>IF(COUNTIF(E$413:E519,F520)&gt;0,"",F520)</f>
        <v/>
      </c>
      <c r="F520" s="1051" t="str">
        <f t="shared" si="51"/>
        <v>Avion passagers, long courrier, avec trainées, France continentale, Base Carbone</v>
      </c>
      <c r="G520" s="1055" t="str">
        <f t="shared" si="52"/>
        <v>Avion passagers, long courrier, avec trainées, France continentale, Base Carbone; kgCO2e/passager eq.km Emissions fugitives</v>
      </c>
      <c r="I520" s="1031" t="s">
        <v>3897</v>
      </c>
      <c r="J520" s="1119" t="s">
        <v>4059</v>
      </c>
      <c r="K520" s="1119" t="s">
        <v>1567</v>
      </c>
      <c r="L520" s="1135" t="s">
        <v>1571</v>
      </c>
      <c r="M520" s="1033">
        <v>0.7</v>
      </c>
      <c r="N520" s="1135" t="s">
        <v>1764</v>
      </c>
      <c r="O520" s="1036">
        <v>6.8699999999999997E-2</v>
      </c>
      <c r="P520" s="2581">
        <v>0</v>
      </c>
      <c r="Q520" s="1036">
        <v>0</v>
      </c>
      <c r="R520" s="1036">
        <v>0</v>
      </c>
      <c r="S520" s="1036">
        <v>0</v>
      </c>
      <c r="T520" s="1036">
        <v>6.8699999999999997E-2</v>
      </c>
      <c r="U520" s="1037">
        <v>0</v>
      </c>
      <c r="V520" s="3239">
        <v>7250</v>
      </c>
      <c r="W520" s="3240"/>
      <c r="X520" s="1979"/>
    </row>
    <row r="521" spans="2:24" ht="12" hidden="1" customHeight="1" outlineLevel="1">
      <c r="B521" s="1050"/>
      <c r="C521" s="1050"/>
      <c r="D521" s="1051">
        <f t="shared" si="50"/>
        <v>31</v>
      </c>
      <c r="E521" s="1051" t="str">
        <f>IF(COUNTIF(E$413:E520,F521)&gt;0,"",F521)</f>
        <v/>
      </c>
      <c r="F521" s="1051" t="str">
        <f t="shared" si="51"/>
        <v>Avion passagers, long courrier, avec trainées, France continentale, Base Carbone</v>
      </c>
      <c r="G521" s="1055" t="str">
        <f t="shared" si="52"/>
        <v>Avion passagers, long courrier, avec trainées, France continentale, Base Carbone; kgCO2e/passager eq.km Amont</v>
      </c>
      <c r="I521" s="1031" t="s">
        <v>3897</v>
      </c>
      <c r="J521" s="1119" t="s">
        <v>4059</v>
      </c>
      <c r="K521" s="1119" t="s">
        <v>1567</v>
      </c>
      <c r="L521" s="1135" t="s">
        <v>1571</v>
      </c>
      <c r="M521" s="1033">
        <v>0.7</v>
      </c>
      <c r="N521" s="1135" t="s">
        <v>1570</v>
      </c>
      <c r="O521" s="1036">
        <v>1.43E-2</v>
      </c>
      <c r="P521" s="1036">
        <v>1.2999999999999999E-2</v>
      </c>
      <c r="Q521" s="1036">
        <v>6.4800000000000003E-4</v>
      </c>
      <c r="R521" s="1036">
        <v>0</v>
      </c>
      <c r="S521" s="1036">
        <v>6.3599999999999996E-4</v>
      </c>
      <c r="T521" s="1036">
        <v>0</v>
      </c>
      <c r="U521" s="1037">
        <v>0</v>
      </c>
      <c r="V521" s="3239">
        <v>7250</v>
      </c>
      <c r="W521" s="3240"/>
      <c r="X521" s="1979"/>
    </row>
    <row r="522" spans="2:24" ht="12" hidden="1" customHeight="1" outlineLevel="1">
      <c r="B522" s="1050"/>
      <c r="C522" s="1050"/>
      <c r="D522" s="1051">
        <f t="shared" si="50"/>
        <v>31</v>
      </c>
      <c r="E522" s="1051" t="str">
        <f>IF(COUNTIF(E$413:E521,F522)&gt;0,"",F522)</f>
        <v/>
      </c>
      <c r="F522" s="1051" t="str">
        <f t="shared" si="51"/>
        <v>Avion passagers, long courrier, avec trainées, France continentale, Base Carbone</v>
      </c>
      <c r="G522" s="1055" t="str">
        <f t="shared" si="52"/>
        <v>Avion passagers, long courrier, avec trainées, France continentale, Base Carbone; kgCO2e/passager eq.km Fabrication</v>
      </c>
      <c r="I522" s="1031" t="s">
        <v>3897</v>
      </c>
      <c r="J522" s="1119" t="s">
        <v>4059</v>
      </c>
      <c r="K522" s="1119" t="s">
        <v>1567</v>
      </c>
      <c r="L522" s="1135" t="s">
        <v>1571</v>
      </c>
      <c r="M522" s="1033">
        <v>0.7</v>
      </c>
      <c r="N522" s="1135" t="s">
        <v>332</v>
      </c>
      <c r="O522" s="1036">
        <v>2.5999999999999998E-4</v>
      </c>
      <c r="P522" s="1036">
        <v>2.5999999999999998E-4</v>
      </c>
      <c r="Q522" s="1036">
        <v>0</v>
      </c>
      <c r="R522" s="1036">
        <v>0</v>
      </c>
      <c r="S522" s="1036">
        <v>0</v>
      </c>
      <c r="T522" s="1036">
        <v>0</v>
      </c>
      <c r="U522" s="1037">
        <v>0</v>
      </c>
      <c r="V522" s="3239">
        <v>7250</v>
      </c>
      <c r="W522" s="3240"/>
      <c r="X522" s="1979"/>
    </row>
    <row r="523" spans="2:24" ht="12" hidden="1" customHeight="1" outlineLevel="1">
      <c r="B523" s="1050"/>
      <c r="C523" s="1050"/>
      <c r="D523" s="1051">
        <f t="shared" si="50"/>
        <v>32</v>
      </c>
      <c r="E523" s="1051" t="str">
        <f>IF(COUNTIF(E$413:E522,F523)&gt;0,"",F523)</f>
        <v>Avion passagers, long courrier, sans trainées, France continentale, Base Carbone</v>
      </c>
      <c r="F523" s="1051" t="str">
        <f t="shared" si="51"/>
        <v>Avion passagers, long courrier, sans trainées, France continentale, Base Carbone</v>
      </c>
      <c r="G523" s="1055" t="str">
        <f t="shared" si="52"/>
        <v>Avion passagers, long courrier, sans trainées, France continentale, Base Carbone; kgCO2e/passager eq.km Combustion</v>
      </c>
      <c r="I523" s="1031" t="s">
        <v>3898</v>
      </c>
      <c r="J523" s="1119" t="s">
        <v>4059</v>
      </c>
      <c r="K523" s="1119" t="s">
        <v>1567</v>
      </c>
      <c r="L523" s="1135" t="s">
        <v>1571</v>
      </c>
      <c r="M523" s="1033">
        <v>0.1</v>
      </c>
      <c r="N523" s="1135" t="s">
        <v>1569</v>
      </c>
      <c r="O523" s="1036">
        <v>6.8699999999999997E-2</v>
      </c>
      <c r="P523" s="1036">
        <v>6.8199999999999997E-2</v>
      </c>
      <c r="Q523" s="1036">
        <v>0</v>
      </c>
      <c r="R523" s="1036">
        <v>0</v>
      </c>
      <c r="S523" s="1036">
        <v>5.04E-4</v>
      </c>
      <c r="T523" s="1036">
        <v>0</v>
      </c>
      <c r="U523" s="1037">
        <v>0</v>
      </c>
      <c r="V523" s="3239">
        <v>7250</v>
      </c>
      <c r="W523" s="3240"/>
      <c r="X523" s="1979"/>
    </row>
    <row r="524" spans="2:24" ht="12" hidden="1" customHeight="1" outlineLevel="1">
      <c r="B524" s="1050"/>
      <c r="C524" s="1050"/>
      <c r="D524" s="1051">
        <f t="shared" si="50"/>
        <v>32</v>
      </c>
      <c r="E524" s="1051" t="str">
        <f>IF(COUNTIF(E$413:E523,F524)&gt;0,"",F524)</f>
        <v/>
      </c>
      <c r="F524" s="1051" t="str">
        <f t="shared" si="51"/>
        <v>Avion passagers, long courrier, sans trainées, France continentale, Base Carbone</v>
      </c>
      <c r="G524" s="1055" t="str">
        <f t="shared" si="52"/>
        <v>Avion passagers, long courrier, sans trainées, France continentale, Base Carbone; kgCO2e/passager eq.km Amont</v>
      </c>
      <c r="I524" s="1031" t="s">
        <v>3898</v>
      </c>
      <c r="J524" s="1119" t="s">
        <v>4059</v>
      </c>
      <c r="K524" s="1119" t="s">
        <v>1567</v>
      </c>
      <c r="L524" s="1135" t="s">
        <v>1571</v>
      </c>
      <c r="M524" s="1033">
        <v>0.1</v>
      </c>
      <c r="N524" s="1135" t="s">
        <v>1570</v>
      </c>
      <c r="O524" s="1036">
        <v>1.43E-2</v>
      </c>
      <c r="P524" s="2581">
        <v>1.2999999999999999E-2</v>
      </c>
      <c r="Q524" s="1036">
        <v>6.4800000000000003E-4</v>
      </c>
      <c r="R524" s="1036">
        <v>0</v>
      </c>
      <c r="S524" s="1036">
        <v>6.3599999999999996E-4</v>
      </c>
      <c r="T524" s="1036">
        <v>0</v>
      </c>
      <c r="U524" s="1037">
        <v>0</v>
      </c>
      <c r="V524" s="3239">
        <v>7250</v>
      </c>
      <c r="W524" s="3240"/>
      <c r="X524" s="1979"/>
    </row>
    <row r="525" spans="2:24" ht="12" hidden="1" customHeight="1" outlineLevel="1">
      <c r="B525" s="1050"/>
      <c r="C525" s="1050"/>
      <c r="D525" s="1051">
        <f t="shared" si="50"/>
        <v>32</v>
      </c>
      <c r="E525" s="1051" t="str">
        <f>IF(COUNTIF(E$413:E524,F525)&gt;0,"",F525)</f>
        <v/>
      </c>
      <c r="F525" s="1051" t="str">
        <f t="shared" si="51"/>
        <v>Avion passagers, long courrier, sans trainées, France continentale, Base Carbone</v>
      </c>
      <c r="G525" s="1055" t="str">
        <f t="shared" si="52"/>
        <v>Avion passagers, long courrier, sans trainées, France continentale, Base Carbone; kgCO2e/passager eq.km Fabrication</v>
      </c>
      <c r="I525" s="1031" t="s">
        <v>3898</v>
      </c>
      <c r="J525" s="1119" t="s">
        <v>4059</v>
      </c>
      <c r="K525" s="1119" t="s">
        <v>1567</v>
      </c>
      <c r="L525" s="1135" t="s">
        <v>1571</v>
      </c>
      <c r="M525" s="1033">
        <v>0.1</v>
      </c>
      <c r="N525" s="1135" t="s">
        <v>332</v>
      </c>
      <c r="O525" s="1036">
        <v>2.5999999999999998E-4</v>
      </c>
      <c r="P525" s="2581">
        <v>2.5999999999999998E-4</v>
      </c>
      <c r="Q525" s="1036">
        <v>0</v>
      </c>
      <c r="R525" s="1036">
        <v>0</v>
      </c>
      <c r="S525" s="1036">
        <v>0</v>
      </c>
      <c r="T525" s="1036">
        <v>0</v>
      </c>
      <c r="U525" s="1037">
        <v>0</v>
      </c>
      <c r="V525" s="3239">
        <v>7250</v>
      </c>
      <c r="W525" s="3240"/>
      <c r="X525" s="1979"/>
    </row>
    <row r="526" spans="2:24" ht="12" hidden="1" customHeight="1" outlineLevel="1">
      <c r="B526" s="1050"/>
      <c r="C526" s="1050"/>
      <c r="D526" s="1051">
        <f t="shared" si="50"/>
        <v>33</v>
      </c>
      <c r="E526" s="1051" t="str">
        <f>IF(COUNTIF(E$413:E525,F526)&gt;0,"",F526)</f>
        <v>Avion passagers, moyen courrier, avec trainées, France continentale, Base Carbone</v>
      </c>
      <c r="F526" s="1051" t="str">
        <f t="shared" si="51"/>
        <v>Avion passagers, moyen courrier, avec trainées, France continentale, Base Carbone</v>
      </c>
      <c r="G526" s="1055" t="str">
        <f t="shared" si="52"/>
        <v>Avion passagers, moyen courrier, avec trainées, France continentale, Base Carbone; kgCO2e/passager eq.km Combustion</v>
      </c>
      <c r="I526" s="1031" t="s">
        <v>3899</v>
      </c>
      <c r="J526" s="1119" t="s">
        <v>4059</v>
      </c>
      <c r="K526" s="1119" t="s">
        <v>1567</v>
      </c>
      <c r="L526" s="1135" t="s">
        <v>1571</v>
      </c>
      <c r="M526" s="1033">
        <v>0.7</v>
      </c>
      <c r="N526" s="1135" t="s">
        <v>1569</v>
      </c>
      <c r="O526" s="1036">
        <v>8.4699999999999998E-2</v>
      </c>
      <c r="P526" s="1036">
        <v>8.4099999999999994E-2</v>
      </c>
      <c r="Q526" s="1036">
        <v>9.0000000000000002E-6</v>
      </c>
      <c r="R526" s="1036">
        <v>0</v>
      </c>
      <c r="S526" s="1036">
        <v>6.3599999999999996E-4</v>
      </c>
      <c r="T526" s="1036">
        <v>0</v>
      </c>
      <c r="U526" s="1037">
        <v>0</v>
      </c>
      <c r="V526" s="3239">
        <v>2000</v>
      </c>
      <c r="W526" s="3240"/>
      <c r="X526" s="1979"/>
    </row>
    <row r="527" spans="2:24" ht="12" hidden="1" customHeight="1" outlineLevel="1">
      <c r="B527" s="1050"/>
      <c r="C527" s="1050"/>
      <c r="D527" s="1051">
        <f t="shared" si="50"/>
        <v>33</v>
      </c>
      <c r="E527" s="1051" t="str">
        <f>IF(COUNTIF(E$413:E526,F527)&gt;0,"",F527)</f>
        <v/>
      </c>
      <c r="F527" s="1051" t="str">
        <f t="shared" si="51"/>
        <v>Avion passagers, moyen courrier, avec trainées, France continentale, Base Carbone</v>
      </c>
      <c r="G527" s="1055" t="str">
        <f t="shared" si="52"/>
        <v>Avion passagers, moyen courrier, avec trainées, France continentale, Base Carbone; kgCO2e/passager eq.km Emissions fugitives</v>
      </c>
      <c r="I527" s="1031" t="s">
        <v>3899</v>
      </c>
      <c r="J527" s="1119" t="s">
        <v>4059</v>
      </c>
      <c r="K527" s="1119" t="s">
        <v>1567</v>
      </c>
      <c r="L527" s="1135" t="s">
        <v>1571</v>
      </c>
      <c r="M527" s="1033">
        <v>0.7</v>
      </c>
      <c r="N527" s="1135" t="s">
        <v>1764</v>
      </c>
      <c r="O527" s="1036">
        <v>8.48E-2</v>
      </c>
      <c r="P527" s="1036">
        <v>0</v>
      </c>
      <c r="Q527" s="1036">
        <v>0</v>
      </c>
      <c r="R527" s="1036">
        <v>0</v>
      </c>
      <c r="S527" s="1036">
        <v>0</v>
      </c>
      <c r="T527" s="1036">
        <v>8.48E-2</v>
      </c>
      <c r="U527" s="1037">
        <v>0</v>
      </c>
      <c r="V527" s="3239">
        <v>2000</v>
      </c>
      <c r="W527" s="3240"/>
      <c r="X527" s="1979"/>
    </row>
    <row r="528" spans="2:24" ht="12" hidden="1" customHeight="1" outlineLevel="1">
      <c r="B528" s="1050"/>
      <c r="C528" s="1050"/>
      <c r="D528" s="1051">
        <f t="shared" si="50"/>
        <v>33</v>
      </c>
      <c r="E528" s="1051" t="str">
        <f>IF(COUNTIF(E$413:E527,F528)&gt;0,"",F528)</f>
        <v/>
      </c>
      <c r="F528" s="1051" t="str">
        <f t="shared" si="51"/>
        <v>Avion passagers, moyen courrier, avec trainées, France continentale, Base Carbone</v>
      </c>
      <c r="G528" s="1055" t="str">
        <f t="shared" si="52"/>
        <v>Avion passagers, moyen courrier, avec trainées, France continentale, Base Carbone; kgCO2e/passager eq.km Amont</v>
      </c>
      <c r="I528" s="1031" t="s">
        <v>3899</v>
      </c>
      <c r="J528" s="1119" t="s">
        <v>4059</v>
      </c>
      <c r="K528" s="1119" t="s">
        <v>1567</v>
      </c>
      <c r="L528" s="1135" t="s">
        <v>1571</v>
      </c>
      <c r="M528" s="1033">
        <v>0.7</v>
      </c>
      <c r="N528" s="1135" t="s">
        <v>1570</v>
      </c>
      <c r="O528" s="1036">
        <v>1.7600000000000001E-2</v>
      </c>
      <c r="P528" s="2581">
        <v>1.6E-2</v>
      </c>
      <c r="Q528" s="1036">
        <v>7.9799999999999999E-4</v>
      </c>
      <c r="R528" s="1036">
        <v>0</v>
      </c>
      <c r="S528" s="1036">
        <v>7.9500000000000003E-4</v>
      </c>
      <c r="T528" s="1036">
        <v>0</v>
      </c>
      <c r="U528" s="1037">
        <v>0</v>
      </c>
      <c r="V528" s="3239">
        <v>2000</v>
      </c>
      <c r="W528" s="3240"/>
      <c r="X528" s="1979"/>
    </row>
    <row r="529" spans="2:24" ht="12" hidden="1" customHeight="1" outlineLevel="1">
      <c r="B529" s="1050"/>
      <c r="C529" s="1050"/>
      <c r="D529" s="1051">
        <f t="shared" si="50"/>
        <v>33</v>
      </c>
      <c r="E529" s="1051" t="str">
        <f>IF(COUNTIF(E$413:E528,F529)&gt;0,"",F529)</f>
        <v/>
      </c>
      <c r="F529" s="1051" t="str">
        <f t="shared" si="51"/>
        <v>Avion passagers, moyen courrier, avec trainées, France continentale, Base Carbone</v>
      </c>
      <c r="G529" s="1055" t="str">
        <f t="shared" si="52"/>
        <v>Avion passagers, moyen courrier, avec trainées, France continentale, Base Carbone; kgCO2e/passager eq.km Fabrication</v>
      </c>
      <c r="I529" s="1031" t="s">
        <v>3899</v>
      </c>
      <c r="J529" s="1119" t="s">
        <v>4059</v>
      </c>
      <c r="K529" s="1119" t="s">
        <v>1567</v>
      </c>
      <c r="L529" s="1135" t="s">
        <v>1571</v>
      </c>
      <c r="M529" s="1033">
        <v>0.7</v>
      </c>
      <c r="N529" s="1135" t="s">
        <v>332</v>
      </c>
      <c r="O529" s="1036">
        <v>3.6000000000000002E-4</v>
      </c>
      <c r="P529" s="2581">
        <v>3.6000000000000002E-4</v>
      </c>
      <c r="Q529" s="1036">
        <v>0</v>
      </c>
      <c r="R529" s="1036">
        <v>0</v>
      </c>
      <c r="S529" s="1036">
        <v>0</v>
      </c>
      <c r="T529" s="1036">
        <v>0</v>
      </c>
      <c r="U529" s="1037">
        <v>0</v>
      </c>
      <c r="V529" s="3239">
        <v>2000</v>
      </c>
      <c r="W529" s="3240"/>
      <c r="X529" s="1979"/>
    </row>
    <row r="530" spans="2:24" ht="12" hidden="1" customHeight="1" outlineLevel="1">
      <c r="B530" s="1050"/>
      <c r="C530" s="1050"/>
      <c r="D530" s="1051">
        <f t="shared" si="50"/>
        <v>34</v>
      </c>
      <c r="E530" s="1051" t="str">
        <f>IF(COUNTIF(E$413:E529,F530)&gt;0,"",F530)</f>
        <v>Avion passagers, moyen courrier, sans trainées, France continentale, Base Carbone</v>
      </c>
      <c r="F530" s="1051" t="str">
        <f t="shared" si="51"/>
        <v>Avion passagers, moyen courrier, sans trainées, France continentale, Base Carbone</v>
      </c>
      <c r="G530" s="1055" t="str">
        <f t="shared" si="52"/>
        <v>Avion passagers, moyen courrier, sans trainées, France continentale, Base Carbone; kgCO2e/passager eq.km Combustion</v>
      </c>
      <c r="I530" s="1031" t="s">
        <v>3900</v>
      </c>
      <c r="J530" s="1119" t="s">
        <v>4059</v>
      </c>
      <c r="K530" s="1119" t="s">
        <v>1567</v>
      </c>
      <c r="L530" s="1135" t="s">
        <v>1571</v>
      </c>
      <c r="M530" s="1033">
        <v>0.1</v>
      </c>
      <c r="N530" s="1135" t="s">
        <v>1569</v>
      </c>
      <c r="O530" s="1036">
        <v>8.4699999999999998E-2</v>
      </c>
      <c r="P530" s="1036">
        <v>8.4099999999999994E-2</v>
      </c>
      <c r="Q530" s="1036">
        <v>9.0000000000000002E-6</v>
      </c>
      <c r="R530" s="1036">
        <v>0</v>
      </c>
      <c r="S530" s="1036">
        <v>6.3599999999999996E-4</v>
      </c>
      <c r="T530" s="1036">
        <v>0</v>
      </c>
      <c r="U530" s="1037">
        <v>0</v>
      </c>
      <c r="V530" s="3239">
        <v>2000</v>
      </c>
      <c r="W530" s="3240"/>
      <c r="X530" s="1979"/>
    </row>
    <row r="531" spans="2:24" ht="12" hidden="1" customHeight="1" outlineLevel="1">
      <c r="B531" s="1050"/>
      <c r="C531" s="1050"/>
      <c r="D531" s="1051">
        <f t="shared" si="50"/>
        <v>34</v>
      </c>
      <c r="E531" s="1051" t="str">
        <f>IF(COUNTIF(E$413:E530,F531)&gt;0,"",F531)</f>
        <v/>
      </c>
      <c r="F531" s="1051" t="str">
        <f t="shared" si="51"/>
        <v>Avion passagers, moyen courrier, sans trainées, France continentale, Base Carbone</v>
      </c>
      <c r="G531" s="1055" t="str">
        <f t="shared" si="52"/>
        <v>Avion passagers, moyen courrier, sans trainées, France continentale, Base Carbone; kgCO2e/passager eq.km Amont</v>
      </c>
      <c r="I531" s="1031" t="s">
        <v>3900</v>
      </c>
      <c r="J531" s="1119" t="s">
        <v>4059</v>
      </c>
      <c r="K531" s="1119" t="s">
        <v>1567</v>
      </c>
      <c r="L531" s="1135" t="s">
        <v>1571</v>
      </c>
      <c r="M531" s="1033">
        <v>0.1</v>
      </c>
      <c r="N531" s="1135" t="s">
        <v>1570</v>
      </c>
      <c r="O531" s="1036">
        <v>1.7600000000000001E-2</v>
      </c>
      <c r="P531" s="1036">
        <v>1.6E-2</v>
      </c>
      <c r="Q531" s="1036">
        <v>7.9799999999999999E-4</v>
      </c>
      <c r="R531" s="1036">
        <v>0</v>
      </c>
      <c r="S531" s="1036">
        <v>7.9500000000000003E-4</v>
      </c>
      <c r="T531" s="1036">
        <v>0</v>
      </c>
      <c r="U531" s="1037">
        <v>0</v>
      </c>
      <c r="V531" s="3239">
        <v>2000</v>
      </c>
      <c r="W531" s="3240"/>
      <c r="X531" s="1979"/>
    </row>
    <row r="532" spans="2:24" ht="12" hidden="1" customHeight="1" outlineLevel="1">
      <c r="B532" s="1050"/>
      <c r="C532" s="1050"/>
      <c r="D532" s="1051">
        <f t="shared" si="50"/>
        <v>34</v>
      </c>
      <c r="E532" s="1051" t="str">
        <f>IF(COUNTIF(E$413:E531,F532)&gt;0,"",F532)</f>
        <v/>
      </c>
      <c r="F532" s="1051" t="str">
        <f t="shared" si="51"/>
        <v>Avion passagers, moyen courrier, sans trainées, France continentale, Base Carbone</v>
      </c>
      <c r="G532" s="1055" t="str">
        <f t="shared" si="52"/>
        <v>Avion passagers, moyen courrier, sans trainées, France continentale, Base Carbone; kgCO2e/passager eq.km Fabrication</v>
      </c>
      <c r="I532" s="1031" t="s">
        <v>3900</v>
      </c>
      <c r="J532" s="1119" t="s">
        <v>4059</v>
      </c>
      <c r="K532" s="1119" t="s">
        <v>1567</v>
      </c>
      <c r="L532" s="1135" t="s">
        <v>1571</v>
      </c>
      <c r="M532" s="1033">
        <v>0.1</v>
      </c>
      <c r="N532" s="1135" t="s">
        <v>332</v>
      </c>
      <c r="O532" s="1036">
        <v>3.6000000000000002E-4</v>
      </c>
      <c r="P532" s="2581">
        <v>3.6000000000000002E-4</v>
      </c>
      <c r="Q532" s="1036">
        <v>0</v>
      </c>
      <c r="R532" s="1036">
        <v>0</v>
      </c>
      <c r="S532" s="1036">
        <v>0</v>
      </c>
      <c r="T532" s="1036">
        <v>0</v>
      </c>
      <c r="U532" s="1037">
        <v>0</v>
      </c>
      <c r="V532" s="3243">
        <v>2000</v>
      </c>
      <c r="W532" s="3244"/>
      <c r="X532" s="1979"/>
    </row>
    <row r="533" spans="2:24" ht="12" hidden="1" customHeight="1" outlineLevel="1">
      <c r="B533" s="1050"/>
      <c r="C533" s="1050"/>
      <c r="D533" s="1051">
        <f t="shared" si="50"/>
        <v>34</v>
      </c>
      <c r="E533" s="1051" t="str">
        <f>IF(COUNTIF(E$413:E532,F533)&gt;0,"",F533)</f>
        <v/>
      </c>
      <c r="F533" s="1051" t="str">
        <f t="shared" si="51"/>
        <v/>
      </c>
      <c r="G533" s="1055" t="str">
        <f t="shared" si="52"/>
        <v/>
      </c>
      <c r="I533" s="1031"/>
      <c r="J533" s="1135"/>
      <c r="K533" s="1119"/>
      <c r="L533" s="1135"/>
      <c r="M533" s="1033"/>
      <c r="N533" s="1135"/>
      <c r="O533" s="1036"/>
      <c r="P533" s="1036"/>
      <c r="Q533" s="1036"/>
      <c r="R533" s="1036"/>
      <c r="S533" s="1036"/>
      <c r="T533" s="1036"/>
      <c r="U533" s="1037"/>
      <c r="V533" s="3239"/>
      <c r="W533" s="3240"/>
      <c r="X533" s="1979"/>
    </row>
    <row r="534" spans="2:24" ht="12" hidden="1" customHeight="1" outlineLevel="1">
      <c r="B534" s="1050"/>
      <c r="C534" s="1050"/>
      <c r="D534" s="1051">
        <f t="shared" si="50"/>
        <v>34</v>
      </c>
      <c r="E534" s="1051" t="str">
        <f>IF(COUNTIF(E$413:E533,F534)&gt;0,"",F534)</f>
        <v/>
      </c>
      <c r="F534" s="1051" t="str">
        <f t="shared" si="51"/>
        <v/>
      </c>
      <c r="G534" s="1055" t="str">
        <f t="shared" si="52"/>
        <v/>
      </c>
      <c r="I534" s="1031"/>
      <c r="J534" s="1135"/>
      <c r="K534" s="1119"/>
      <c r="L534" s="1135"/>
      <c r="M534" s="1033"/>
      <c r="N534" s="1135"/>
      <c r="O534" s="1036"/>
      <c r="P534" s="1036"/>
      <c r="Q534" s="1036"/>
      <c r="R534" s="1036"/>
      <c r="S534" s="1036"/>
      <c r="T534" s="1036"/>
      <c r="U534" s="1037"/>
      <c r="V534" s="3239"/>
      <c r="W534" s="3240"/>
      <c r="X534" s="1979"/>
    </row>
    <row r="535" spans="2:24" ht="12" hidden="1" customHeight="1" outlineLevel="1">
      <c r="B535" s="1050"/>
      <c r="C535" s="1050"/>
      <c r="D535" s="1051">
        <f t="shared" si="50"/>
        <v>34</v>
      </c>
      <c r="E535" s="1051" t="str">
        <f>IF(COUNTIF(E$413:E534,F535)&gt;0,"",F535)</f>
        <v/>
      </c>
      <c r="F535" s="1051" t="str">
        <f t="shared" si="51"/>
        <v/>
      </c>
      <c r="G535" s="1055" t="str">
        <f t="shared" si="52"/>
        <v/>
      </c>
      <c r="I535" s="1031"/>
      <c r="J535" s="1048"/>
      <c r="K535" s="1119"/>
      <c r="L535" s="1048"/>
      <c r="M535" s="1033"/>
      <c r="N535" s="1048"/>
      <c r="O535" s="1036"/>
      <c r="P535" s="1980"/>
      <c r="Q535" s="1036"/>
      <c r="R535" s="1036"/>
      <c r="S535" s="1036"/>
      <c r="T535" s="1036"/>
      <c r="U535" s="1037"/>
      <c r="V535" s="3239"/>
      <c r="W535" s="3240"/>
      <c r="X535" s="1979"/>
    </row>
    <row r="536" spans="2:24" ht="12" hidden="1" customHeight="1" outlineLevel="1">
      <c r="B536" s="1050"/>
      <c r="C536" s="1050"/>
      <c r="D536" s="1051">
        <f t="shared" si="50"/>
        <v>34</v>
      </c>
      <c r="E536" s="1051" t="str">
        <f>IF(COUNTIF(E$413:E535,F536)&gt;0,"",F536)</f>
        <v/>
      </c>
      <c r="F536" s="1051" t="str">
        <f t="shared" si="51"/>
        <v/>
      </c>
      <c r="G536" s="1055" t="str">
        <f t="shared" si="52"/>
        <v/>
      </c>
      <c r="I536" s="1031"/>
      <c r="J536" s="1048"/>
      <c r="K536" s="1119"/>
      <c r="L536" s="1048"/>
      <c r="M536" s="1033"/>
      <c r="N536" s="1048"/>
      <c r="O536" s="1036"/>
      <c r="P536" s="1036"/>
      <c r="Q536" s="1036"/>
      <c r="R536" s="1036"/>
      <c r="S536" s="1036"/>
      <c r="T536" s="1036"/>
      <c r="U536" s="1037"/>
      <c r="V536" s="3239"/>
      <c r="W536" s="3240"/>
      <c r="X536" s="1979"/>
    </row>
    <row r="537" spans="2:24" ht="12" hidden="1" customHeight="1" outlineLevel="1">
      <c r="B537" s="1050"/>
      <c r="C537" s="1050"/>
      <c r="D537" s="1051">
        <f t="shared" si="50"/>
        <v>34</v>
      </c>
      <c r="E537" s="1051" t="str">
        <f>IF(COUNTIF(E$413:E536,F537)&gt;0,"",F537)</f>
        <v/>
      </c>
      <c r="F537" s="1051" t="str">
        <f t="shared" si="51"/>
        <v/>
      </c>
      <c r="G537" s="1055" t="str">
        <f t="shared" si="52"/>
        <v/>
      </c>
      <c r="I537" s="1031"/>
      <c r="J537" s="1048"/>
      <c r="K537" s="1119"/>
      <c r="L537" s="1048"/>
      <c r="M537" s="1033"/>
      <c r="N537" s="1048"/>
      <c r="O537" s="1036"/>
      <c r="P537" s="1036"/>
      <c r="Q537" s="1036"/>
      <c r="R537" s="1036"/>
      <c r="S537" s="1036"/>
      <c r="T537" s="1036"/>
      <c r="U537" s="1037"/>
      <c r="V537" s="3239"/>
      <c r="W537" s="3240"/>
      <c r="X537" s="1979"/>
    </row>
    <row r="538" spans="2:24" ht="12" hidden="1" customHeight="1" outlineLevel="1">
      <c r="B538" s="1050"/>
      <c r="C538" s="1050"/>
      <c r="D538" s="1051">
        <f t="shared" si="50"/>
        <v>34</v>
      </c>
      <c r="E538" s="1051" t="str">
        <f>IF(COUNTIF(E$413:E537,F538)&gt;0,"",F538)</f>
        <v/>
      </c>
      <c r="F538" s="1051" t="str">
        <f t="shared" si="51"/>
        <v/>
      </c>
      <c r="G538" s="1055" t="str">
        <f t="shared" si="52"/>
        <v/>
      </c>
      <c r="I538" s="1031"/>
      <c r="J538" s="1048"/>
      <c r="K538" s="1119"/>
      <c r="L538" s="1048"/>
      <c r="M538" s="1033"/>
      <c r="N538" s="1048"/>
      <c r="O538" s="1036"/>
      <c r="P538" s="1980"/>
      <c r="Q538" s="1036"/>
      <c r="R538" s="1036"/>
      <c r="S538" s="1036"/>
      <c r="T538" s="1036"/>
      <c r="U538" s="1037"/>
      <c r="V538" s="3239"/>
      <c r="W538" s="3240"/>
      <c r="X538" s="1979"/>
    </row>
    <row r="539" spans="2:24" ht="12" hidden="1" customHeight="1" outlineLevel="1">
      <c r="B539" s="1050"/>
      <c r="C539" s="1050"/>
      <c r="D539" s="1051">
        <f t="shared" si="50"/>
        <v>34</v>
      </c>
      <c r="E539" s="1051" t="str">
        <f>IF(COUNTIF(E$413:E538,F539)&gt;0,"",F539)</f>
        <v/>
      </c>
      <c r="F539" s="1051" t="str">
        <f t="shared" si="51"/>
        <v/>
      </c>
      <c r="G539" s="1055" t="str">
        <f t="shared" si="52"/>
        <v/>
      </c>
      <c r="I539" s="1031"/>
      <c r="J539" s="1048"/>
      <c r="K539" s="1119"/>
      <c r="L539" s="1048"/>
      <c r="M539" s="1033"/>
      <c r="N539" s="1048"/>
      <c r="O539" s="1036"/>
      <c r="P539" s="1036"/>
      <c r="Q539" s="1036"/>
      <c r="R539" s="1036"/>
      <c r="S539" s="1036"/>
      <c r="T539" s="1036"/>
      <c r="U539" s="1037"/>
      <c r="V539" s="3239"/>
      <c r="W539" s="3240"/>
      <c r="X539" s="1979"/>
    </row>
    <row r="540" spans="2:24" hidden="1" outlineLevel="1">
      <c r="B540" s="1050"/>
      <c r="C540" s="1050"/>
      <c r="D540" s="1051">
        <f t="shared" si="50"/>
        <v>34</v>
      </c>
      <c r="E540" s="1051" t="str">
        <f>IF(COUNTIF(E$413:E539,F540)&gt;0,"",F540)</f>
        <v/>
      </c>
      <c r="F540" s="1051" t="str">
        <f t="shared" si="51"/>
        <v/>
      </c>
      <c r="G540" s="1055" t="str">
        <f t="shared" si="52"/>
        <v/>
      </c>
      <c r="I540" s="1031"/>
      <c r="J540" s="1048"/>
      <c r="K540" s="1119"/>
      <c r="L540" s="1048"/>
      <c r="M540" s="1033"/>
      <c r="N540" s="1048"/>
      <c r="O540" s="1036"/>
      <c r="P540" s="1036"/>
      <c r="Q540" s="1036"/>
      <c r="R540" s="1036"/>
      <c r="S540" s="1036"/>
      <c r="T540" s="1036"/>
      <c r="U540" s="1037"/>
      <c r="X540" s="1979"/>
    </row>
    <row r="541" spans="2:24" hidden="1" outlineLevel="1">
      <c r="B541" s="1050"/>
      <c r="C541" s="1050"/>
      <c r="D541" s="1051">
        <f t="shared" si="50"/>
        <v>34</v>
      </c>
      <c r="E541" s="1051" t="str">
        <f>IF(COUNTIF(E$413:E540,F541)&gt;0,"",F541)</f>
        <v/>
      </c>
      <c r="F541" s="1051" t="str">
        <f t="shared" si="51"/>
        <v/>
      </c>
      <c r="G541" s="1055" t="str">
        <f t="shared" si="52"/>
        <v/>
      </c>
      <c r="I541" s="1031"/>
      <c r="J541" s="1048"/>
      <c r="K541" s="1119"/>
      <c r="L541" s="1048"/>
      <c r="M541" s="1033"/>
      <c r="N541" s="1048"/>
      <c r="O541" s="1036"/>
      <c r="P541" s="1980"/>
      <c r="Q541" s="1036"/>
      <c r="R541" s="1036"/>
      <c r="S541" s="1036"/>
      <c r="T541" s="1036"/>
      <c r="U541" s="1037"/>
      <c r="X541" s="1979"/>
    </row>
    <row r="542" spans="2:24" hidden="1" outlineLevel="1">
      <c r="B542" s="1050"/>
      <c r="C542" s="1050"/>
      <c r="D542" s="1051">
        <f t="shared" si="50"/>
        <v>34</v>
      </c>
      <c r="E542" s="1051" t="str">
        <f>IF(COUNTIF(E$413:E541,F542)&gt;0,"",F542)</f>
        <v/>
      </c>
      <c r="F542" s="1051" t="str">
        <f t="shared" si="51"/>
        <v/>
      </c>
      <c r="G542" s="1055" t="str">
        <f t="shared" si="52"/>
        <v/>
      </c>
      <c r="I542" s="1031"/>
      <c r="J542" s="1048"/>
      <c r="K542" s="1119"/>
      <c r="L542" s="1048"/>
      <c r="M542" s="1033"/>
      <c r="N542" s="1048"/>
      <c r="O542" s="1036"/>
      <c r="P542" s="1036"/>
      <c r="Q542" s="1036"/>
      <c r="R542" s="1036"/>
      <c r="S542" s="1036"/>
      <c r="T542" s="1036"/>
      <c r="U542" s="1037"/>
      <c r="X542" s="1979"/>
    </row>
    <row r="543" spans="2:24" hidden="1" outlineLevel="1">
      <c r="B543" s="1050"/>
      <c r="C543" s="1050"/>
      <c r="D543" s="1051">
        <f t="shared" ref="D543:D551" si="53">D542+IF(LEN(E543)&gt;0,1,0)</f>
        <v>34</v>
      </c>
      <c r="E543" s="1051" t="str">
        <f>IF(COUNTIF(E$413:E542,F543)&gt;0,"",F543)</f>
        <v/>
      </c>
      <c r="F543" s="1051" t="str">
        <f t="shared" ref="F543:F551" si="54">IF(I543&lt;&gt;"",I543&amp;IF(L543&lt;&gt;"",", "&amp;L543,"")&amp;IF(K543&lt;&gt;"",", "&amp;K543,""),"")</f>
        <v/>
      </c>
      <c r="G543" s="1055" t="str">
        <f t="shared" ref="G543:G551" si="55">IF(F543&lt;&gt;"",F543&amp;IF(J543&lt;&gt;"","; "&amp;J543&amp;IF(N543&lt;&gt;""," "&amp;N543,),""),"")</f>
        <v/>
      </c>
      <c r="I543" s="1031"/>
      <c r="J543" s="1048"/>
      <c r="K543" s="1119"/>
      <c r="L543" s="1048"/>
      <c r="M543" s="1033"/>
      <c r="N543" s="1048"/>
      <c r="O543" s="1036"/>
      <c r="P543" s="1036"/>
      <c r="Q543" s="1036"/>
      <c r="R543" s="1036"/>
      <c r="S543" s="1036"/>
      <c r="T543" s="1036"/>
      <c r="U543" s="1037"/>
      <c r="X543" s="1979"/>
    </row>
    <row r="544" spans="2:24" hidden="1" outlineLevel="1">
      <c r="B544" s="1050"/>
      <c r="C544" s="1050"/>
      <c r="D544" s="1051">
        <f t="shared" si="53"/>
        <v>34</v>
      </c>
      <c r="E544" s="1051" t="str">
        <f>IF(COUNTIF(E$413:E543,F544)&gt;0,"",F544)</f>
        <v/>
      </c>
      <c r="F544" s="1051" t="str">
        <f t="shared" si="54"/>
        <v/>
      </c>
      <c r="G544" s="1055" t="str">
        <f t="shared" si="55"/>
        <v/>
      </c>
      <c r="I544" s="1031"/>
      <c r="J544" s="1048"/>
      <c r="K544" s="1119"/>
      <c r="L544" s="1048"/>
      <c r="M544" s="1033"/>
      <c r="N544" s="1048"/>
      <c r="O544" s="1036"/>
      <c r="P544" s="1980"/>
      <c r="Q544" s="1036"/>
      <c r="R544" s="1036"/>
      <c r="S544" s="1036"/>
      <c r="T544" s="1036"/>
      <c r="U544" s="1037"/>
      <c r="X544" s="1979"/>
    </row>
    <row r="545" spans="2:24" hidden="1" outlineLevel="1">
      <c r="B545" s="1050"/>
      <c r="C545" s="1050"/>
      <c r="D545" s="1051">
        <f t="shared" si="53"/>
        <v>34</v>
      </c>
      <c r="E545" s="1051" t="str">
        <f>IF(COUNTIF(E$413:E544,F545)&gt;0,"",F545)</f>
        <v/>
      </c>
      <c r="F545" s="1051" t="str">
        <f t="shared" si="54"/>
        <v/>
      </c>
      <c r="G545" s="1055" t="str">
        <f t="shared" si="55"/>
        <v/>
      </c>
      <c r="I545" s="1031"/>
      <c r="J545" s="1048"/>
      <c r="K545" s="1119"/>
      <c r="L545" s="1048"/>
      <c r="M545" s="1033"/>
      <c r="N545" s="1048"/>
      <c r="O545" s="1036"/>
      <c r="P545" s="1036"/>
      <c r="Q545" s="1036"/>
      <c r="R545" s="1036"/>
      <c r="S545" s="1036"/>
      <c r="T545" s="1036"/>
      <c r="U545" s="1037"/>
      <c r="X545" s="1979"/>
    </row>
    <row r="546" spans="2:24" hidden="1" outlineLevel="1">
      <c r="B546" s="1050"/>
      <c r="C546" s="1050"/>
      <c r="D546" s="1051">
        <f t="shared" si="53"/>
        <v>34</v>
      </c>
      <c r="E546" s="1051" t="str">
        <f>IF(COUNTIF(E$413:E545,F546)&gt;0,"",F546)</f>
        <v/>
      </c>
      <c r="F546" s="1051" t="str">
        <f t="shared" si="54"/>
        <v/>
      </c>
      <c r="G546" s="1055" t="str">
        <f t="shared" si="55"/>
        <v/>
      </c>
      <c r="I546" s="1100"/>
      <c r="J546" s="1048"/>
      <c r="K546" s="1048"/>
      <c r="L546" s="1048"/>
      <c r="M546" s="1048"/>
      <c r="N546" s="1048"/>
      <c r="O546" s="1048"/>
      <c r="P546" s="1048"/>
      <c r="Q546" s="1048"/>
      <c r="R546" s="1048"/>
      <c r="S546" s="1048"/>
      <c r="T546" s="1048"/>
      <c r="U546" s="1102"/>
    </row>
    <row r="547" spans="2:24" hidden="1" outlineLevel="1">
      <c r="B547" s="1050"/>
      <c r="C547" s="1050"/>
      <c r="D547" s="1051">
        <f t="shared" si="53"/>
        <v>34</v>
      </c>
      <c r="E547" s="1051" t="str">
        <f>IF(COUNTIF(E$413:E546,F547)&gt;0,"",F547)</f>
        <v/>
      </c>
      <c r="F547" s="1051" t="str">
        <f t="shared" si="54"/>
        <v/>
      </c>
      <c r="G547" s="1055" t="str">
        <f t="shared" si="55"/>
        <v/>
      </c>
      <c r="I547" s="1100"/>
      <c r="J547" s="1048"/>
      <c r="K547" s="1048"/>
      <c r="L547" s="1048"/>
      <c r="M547" s="1048"/>
      <c r="N547" s="1048"/>
      <c r="O547" s="1048"/>
      <c r="P547" s="1048"/>
      <c r="Q547" s="1048"/>
      <c r="R547" s="1048"/>
      <c r="S547" s="1048"/>
      <c r="T547" s="1048"/>
      <c r="U547" s="1102"/>
    </row>
    <row r="548" spans="2:24" hidden="1" outlineLevel="1">
      <c r="B548" s="1050"/>
      <c r="C548" s="1050"/>
      <c r="D548" s="1051">
        <f t="shared" si="53"/>
        <v>34</v>
      </c>
      <c r="E548" s="1051" t="str">
        <f>IF(COUNTIF(E$413:E547,F548)&gt;0,"",F548)</f>
        <v/>
      </c>
      <c r="F548" s="1051" t="str">
        <f t="shared" si="54"/>
        <v/>
      </c>
      <c r="G548" s="1055" t="str">
        <f t="shared" si="55"/>
        <v/>
      </c>
      <c r="I548" s="1100"/>
      <c r="J548" s="1048"/>
      <c r="K548" s="1048"/>
      <c r="L548" s="1048"/>
      <c r="M548" s="1048"/>
      <c r="N548" s="1048"/>
      <c r="O548" s="1048"/>
      <c r="P548" s="1048"/>
      <c r="Q548" s="1048"/>
      <c r="R548" s="1048"/>
      <c r="S548" s="1048"/>
      <c r="T548" s="1048"/>
      <c r="U548" s="1102"/>
    </row>
    <row r="549" spans="2:24" hidden="1" outlineLevel="1">
      <c r="B549" s="1050"/>
      <c r="C549" s="1050"/>
      <c r="D549" s="1051">
        <f t="shared" si="53"/>
        <v>34</v>
      </c>
      <c r="E549" s="1051" t="str">
        <f>IF(COUNTIF(E$413:E548,F549)&gt;0,"",F549)</f>
        <v/>
      </c>
      <c r="F549" s="1051" t="str">
        <f t="shared" si="54"/>
        <v/>
      </c>
      <c r="G549" s="1055" t="str">
        <f t="shared" si="55"/>
        <v/>
      </c>
      <c r="I549" s="1100"/>
      <c r="J549" s="1048"/>
      <c r="K549" s="1048"/>
      <c r="L549" s="1048"/>
      <c r="M549" s="1048"/>
      <c r="N549" s="1048"/>
      <c r="O549" s="1048"/>
      <c r="P549" s="1048"/>
      <c r="Q549" s="1048"/>
      <c r="R549" s="1048"/>
      <c r="S549" s="1048"/>
      <c r="T549" s="1048"/>
      <c r="U549" s="1102"/>
    </row>
    <row r="550" spans="2:24" hidden="1" outlineLevel="1">
      <c r="B550" s="1050"/>
      <c r="C550" s="1050"/>
      <c r="D550" s="1051">
        <f t="shared" si="53"/>
        <v>34</v>
      </c>
      <c r="E550" s="1051" t="str">
        <f>IF(COUNTIF(E$413:E549,F550)&gt;0,"",F550)</f>
        <v/>
      </c>
      <c r="F550" s="1051" t="str">
        <f t="shared" si="54"/>
        <v/>
      </c>
      <c r="G550" s="1055" t="str">
        <f t="shared" si="55"/>
        <v/>
      </c>
      <c r="I550" s="1100"/>
      <c r="J550" s="1048"/>
      <c r="K550" s="1048"/>
      <c r="L550" s="1048"/>
      <c r="M550" s="1048"/>
      <c r="N550" s="1048"/>
      <c r="O550" s="1048"/>
      <c r="P550" s="1048"/>
      <c r="Q550" s="1048"/>
      <c r="R550" s="1048"/>
      <c r="S550" s="1048"/>
      <c r="T550" s="1048"/>
      <c r="U550" s="1102"/>
    </row>
    <row r="551" spans="2:24" hidden="1" outlineLevel="1">
      <c r="B551" s="1050"/>
      <c r="C551" s="1050"/>
      <c r="D551" s="1051">
        <f t="shared" si="53"/>
        <v>34</v>
      </c>
      <c r="E551" s="1051" t="str">
        <f>IF(COUNTIF(E$413:E550,F551)&gt;0,"",F551)</f>
        <v/>
      </c>
      <c r="F551" s="1051" t="str">
        <f t="shared" si="54"/>
        <v/>
      </c>
      <c r="G551" s="1055" t="str">
        <f t="shared" si="55"/>
        <v/>
      </c>
      <c r="I551" s="1103"/>
      <c r="J551" s="1104"/>
      <c r="K551" s="1104"/>
      <c r="L551" s="1104"/>
      <c r="M551" s="1104"/>
      <c r="N551" s="1104"/>
      <c r="O551" s="1104"/>
      <c r="P551" s="1104"/>
      <c r="Q551" s="1104"/>
      <c r="R551" s="1104"/>
      <c r="S551" s="1104"/>
      <c r="T551" s="1104"/>
      <c r="U551" s="1106"/>
    </row>
    <row r="552" spans="2:24"/>
    <row r="553" spans="2:24" ht="15.6" collapsed="1">
      <c r="I553" s="3167" t="s">
        <v>2232</v>
      </c>
      <c r="J553" s="3168"/>
      <c r="K553" s="3168"/>
      <c r="L553" s="3168"/>
      <c r="M553" s="3168"/>
      <c r="N553" s="3168"/>
      <c r="O553" s="3168"/>
      <c r="P553" s="3168"/>
      <c r="Q553" s="3168"/>
      <c r="R553" s="3168"/>
      <c r="S553" s="3168"/>
      <c r="T553" s="3168"/>
      <c r="U553" s="3169"/>
    </row>
    <row r="554" spans="2:24" hidden="1" outlineLevel="1">
      <c r="R554" s="1083"/>
    </row>
    <row r="555" spans="2:24" ht="12.75" hidden="1" customHeight="1" outlineLevel="1">
      <c r="B555" s="3154" t="s">
        <v>1617</v>
      </c>
      <c r="C555" s="3154"/>
      <c r="D555" s="3157" t="s">
        <v>1619</v>
      </c>
      <c r="E555" s="3157"/>
      <c r="F555" s="1151" t="s">
        <v>1616</v>
      </c>
      <c r="G555" s="1053" t="s">
        <v>1618</v>
      </c>
      <c r="H555" s="1044"/>
      <c r="I555" s="1038" t="s">
        <v>1557</v>
      </c>
      <c r="J555" s="1040" t="s">
        <v>1266</v>
      </c>
      <c r="K555" s="1043" t="s">
        <v>224</v>
      </c>
      <c r="L555" s="1043" t="s">
        <v>1558</v>
      </c>
      <c r="M555" s="1039" t="s">
        <v>366</v>
      </c>
      <c r="N555" s="1040" t="s">
        <v>1559</v>
      </c>
      <c r="O555" s="1041" t="s">
        <v>1560</v>
      </c>
      <c r="P555" s="1043" t="s">
        <v>211</v>
      </c>
      <c r="Q555" s="1043" t="s">
        <v>1561</v>
      </c>
      <c r="R555" s="1041" t="s">
        <v>1562</v>
      </c>
      <c r="S555" s="1041" t="s">
        <v>267</v>
      </c>
      <c r="T555" s="1043" t="s">
        <v>1563</v>
      </c>
      <c r="U555" s="1042" t="s">
        <v>1564</v>
      </c>
    </row>
    <row r="556" spans="2:24" s="1045" customFormat="1" ht="12.75" hidden="1" customHeight="1" outlineLevel="1">
      <c r="B556" s="3156" t="s">
        <v>2249</v>
      </c>
      <c r="C556" s="3156"/>
      <c r="D556" s="1051">
        <v>0</v>
      </c>
      <c r="E556" s="1051"/>
      <c r="F556" s="1051"/>
      <c r="G556" s="1054"/>
      <c r="H556" s="1046"/>
      <c r="I556" s="1688"/>
      <c r="J556" s="1689"/>
      <c r="K556" s="1690"/>
      <c r="L556" s="1690"/>
      <c r="M556" s="1691"/>
      <c r="N556" s="1689"/>
      <c r="O556" s="1692"/>
      <c r="P556" s="1690"/>
      <c r="Q556" s="1690"/>
      <c r="R556" s="1692"/>
      <c r="S556" s="1692"/>
      <c r="T556" s="1690"/>
      <c r="U556" s="1693"/>
    </row>
    <row r="557" spans="2:24" hidden="1" outlineLevel="1">
      <c r="B557" s="1050">
        <v>1</v>
      </c>
      <c r="C557" s="1050" t="str">
        <f>IF(ISNA(VLOOKUP(B557,$D$556:$E$594,2,FALSE)),"-",VLOOKUP(B557,$D$556:$E$594,2,FALSE))</f>
        <v>Navette fluviale - donnée 2009, France continentale, Base Carbone</v>
      </c>
      <c r="D557" s="1051">
        <f>D556+IF(LEN(E557)&gt;0,1,0)</f>
        <v>1</v>
      </c>
      <c r="E557" s="1051" t="str">
        <f>IF(COUNTIF(E$556:E556,F557)&gt;0,"",F557)</f>
        <v>Navette fluviale - donnée 2009, France continentale, Base Carbone</v>
      </c>
      <c r="F557" s="1051" t="str">
        <f>IF(I557&lt;&gt;"",I557&amp;IF(L557&lt;&gt;"",", "&amp;L557,"")&amp;IF(K557&lt;&gt;"",", "&amp;K557,""),"")</f>
        <v>Navette fluviale - donnée 2009, France continentale, Base Carbone</v>
      </c>
      <c r="G557" s="1055" t="str">
        <f>IF(F557&lt;&gt;"",F557&amp;IF(J557&lt;&gt;"","; "&amp;J557&amp;IF(N557&lt;&gt;""," "&amp;N557,),""),"")</f>
        <v>Navette fluviale - donnée 2009, France continentale, Base Carbone; kgCO2e/passager.km Combustion</v>
      </c>
      <c r="I557" s="2018" t="s">
        <v>3994</v>
      </c>
      <c r="J557" s="1135" t="s">
        <v>2224</v>
      </c>
      <c r="K557" s="1119" t="s">
        <v>1567</v>
      </c>
      <c r="L557" s="1135" t="s">
        <v>1571</v>
      </c>
      <c r="M557" s="2215">
        <v>0.6</v>
      </c>
      <c r="N557" s="1135" t="s">
        <v>1569</v>
      </c>
      <c r="O557" s="2045">
        <v>5.0999999999999997E-2</v>
      </c>
      <c r="P557" s="2045">
        <v>5.0599999999999999E-2</v>
      </c>
      <c r="Q557" s="2045">
        <v>2.2799999999999999E-5</v>
      </c>
      <c r="R557" s="2045">
        <v>0</v>
      </c>
      <c r="S557" s="2045">
        <v>4.0499999999999998E-4</v>
      </c>
      <c r="T557" s="2045">
        <v>0</v>
      </c>
      <c r="U557" s="2307">
        <v>0</v>
      </c>
    </row>
    <row r="558" spans="2:24" hidden="1" outlineLevel="1">
      <c r="B558" s="1050">
        <v>2</v>
      </c>
      <c r="C558" s="1050" t="str">
        <f t="shared" ref="C558:C571" si="56">IF(ISNA(VLOOKUP(B558,$D$556:$E$594,2,FALSE)),"-",VLOOKUP(B558,$D$556:$E$594,2,FALSE))</f>
        <v>Navette maritime liaison inter-îles, Mayotte-Anjouan, France continentale, Base Carbone</v>
      </c>
      <c r="D558" s="1051">
        <f t="shared" ref="D558:D594" si="57">D557+IF(LEN(E558)&gt;0,1,0)</f>
        <v>1</v>
      </c>
      <c r="E558" s="1051" t="str">
        <f>IF(COUNTIF(E$556:E557,F558)&gt;0,"",F558)</f>
        <v/>
      </c>
      <c r="F558" s="1051" t="str">
        <f t="shared" ref="F558:F594" si="58">IF(I558&lt;&gt;"",I558&amp;IF(L558&lt;&gt;"",", "&amp;L558,"")&amp;IF(K558&lt;&gt;"",", "&amp;K558,""),"")</f>
        <v>Navette fluviale - donnée 2009, France continentale, Base Carbone</v>
      </c>
      <c r="G558" s="1055" t="str">
        <f t="shared" ref="G558:G594" si="59">IF(F558&lt;&gt;"",F558&amp;IF(J558&lt;&gt;"","; "&amp;J558&amp;IF(N558&lt;&gt;""," "&amp;N558,),""),"")</f>
        <v>Navette fluviale - donnée 2009, France continentale, Base Carbone; kgCO2e/passager.km Amont</v>
      </c>
      <c r="I558" s="2018" t="s">
        <v>3994</v>
      </c>
      <c r="J558" s="1135" t="s">
        <v>2224</v>
      </c>
      <c r="K558" s="1119" t="s">
        <v>1567</v>
      </c>
      <c r="L558" s="1135" t="s">
        <v>1571</v>
      </c>
      <c r="M558" s="2215">
        <v>0.6</v>
      </c>
      <c r="N558" s="1135" t="s">
        <v>1570</v>
      </c>
      <c r="O558" s="2045">
        <v>1.3299999999999999E-2</v>
      </c>
      <c r="P558" s="2045">
        <v>1.17E-2</v>
      </c>
      <c r="Q558" s="2045">
        <v>1.0300000000000001E-3</v>
      </c>
      <c r="R558" s="2045">
        <v>0</v>
      </c>
      <c r="S558" s="2045">
        <v>5.8299999999999997E-4</v>
      </c>
      <c r="T558" s="2045">
        <v>0</v>
      </c>
      <c r="U558" s="2307">
        <v>0</v>
      </c>
    </row>
    <row r="559" spans="2:24" hidden="1" outlineLevel="1">
      <c r="B559" s="1050">
        <v>3</v>
      </c>
      <c r="C559" s="1050" t="str">
        <f t="shared" si="56"/>
        <v>Navette maritime liaison inter-îles, Petite Terre-Grande Terre, France continentale, Base Carbone</v>
      </c>
      <c r="D559" s="1051">
        <f t="shared" si="57"/>
        <v>2</v>
      </c>
      <c r="E559" s="1051" t="str">
        <f>IF(COUNTIF(E$556:E558,F559)&gt;0,"",F559)</f>
        <v>Navette maritime liaison inter-îles, Mayotte-Anjouan, France continentale, Base Carbone</v>
      </c>
      <c r="F559" s="1051" t="str">
        <f t="shared" si="58"/>
        <v>Navette maritime liaison inter-îles, Mayotte-Anjouan, France continentale, Base Carbone</v>
      </c>
      <c r="G559" s="1055" t="str">
        <f t="shared" si="59"/>
        <v>Navette maritime liaison inter-îles, Mayotte-Anjouan, France continentale, Base Carbone; kgCO2e/passager.km Combustion</v>
      </c>
      <c r="I559" s="1031" t="s">
        <v>1200</v>
      </c>
      <c r="J559" s="1135" t="s">
        <v>2224</v>
      </c>
      <c r="K559" s="1119" t="s">
        <v>1567</v>
      </c>
      <c r="L559" s="1135" t="s">
        <v>1571</v>
      </c>
      <c r="M559" s="1033">
        <v>0.2</v>
      </c>
      <c r="N559" s="1135" t="s">
        <v>1569</v>
      </c>
      <c r="O559" s="1036">
        <v>0.34</v>
      </c>
      <c r="P559" s="1036">
        <v>0.34</v>
      </c>
      <c r="Q559" s="1036">
        <v>0</v>
      </c>
      <c r="R559" s="1036">
        <v>0</v>
      </c>
      <c r="S559" s="1036">
        <v>0</v>
      </c>
      <c r="T559" s="1036">
        <v>0</v>
      </c>
      <c r="U559" s="1037">
        <v>0</v>
      </c>
    </row>
    <row r="560" spans="2:24" hidden="1" outlineLevel="1">
      <c r="B560" s="1050">
        <v>4</v>
      </c>
      <c r="C560" s="1050" t="str">
        <f t="shared" si="56"/>
        <v>Navette maritime liaison inter-îles, Polynésie, France continentale, Base Carbone</v>
      </c>
      <c r="D560" s="1051">
        <f t="shared" si="57"/>
        <v>2</v>
      </c>
      <c r="E560" s="1051" t="str">
        <f>IF(COUNTIF(E$556:E559,F560)&gt;0,"",F560)</f>
        <v/>
      </c>
      <c r="F560" s="1051" t="str">
        <f t="shared" si="58"/>
        <v>Navette maritime liaison inter-îles, Mayotte-Anjouan, France continentale, Base Carbone</v>
      </c>
      <c r="G560" s="1055" t="str">
        <f t="shared" si="59"/>
        <v>Navette maritime liaison inter-îles, Mayotte-Anjouan, France continentale, Base Carbone; kgCO2e/passager.km Amont</v>
      </c>
      <c r="I560" s="1031" t="s">
        <v>1200</v>
      </c>
      <c r="J560" s="1135" t="s">
        <v>2224</v>
      </c>
      <c r="K560" s="1119" t="s">
        <v>1567</v>
      </c>
      <c r="L560" s="1135" t="s">
        <v>1571</v>
      </c>
      <c r="M560" s="1033">
        <v>0.2</v>
      </c>
      <c r="N560" s="1135" t="s">
        <v>1570</v>
      </c>
      <c r="O560" s="1036">
        <v>4.36E-2</v>
      </c>
      <c r="P560" s="1036">
        <v>4.36E-2</v>
      </c>
      <c r="Q560" s="1036">
        <v>0</v>
      </c>
      <c r="R560" s="1036">
        <v>0</v>
      </c>
      <c r="S560" s="1036">
        <v>0</v>
      </c>
      <c r="T560" s="1036">
        <v>0</v>
      </c>
      <c r="U560" s="1037">
        <v>0</v>
      </c>
    </row>
    <row r="561" spans="2:21" hidden="1" outlineLevel="1">
      <c r="B561" s="1050">
        <v>5</v>
      </c>
      <c r="C561" s="1050" t="str">
        <f t="shared" si="56"/>
        <v>-</v>
      </c>
      <c r="D561" s="1051">
        <f t="shared" si="57"/>
        <v>3</v>
      </c>
      <c r="E561" s="1051" t="str">
        <f>IF(COUNTIF(E$556:E560,F561)&gt;0,"",F561)</f>
        <v>Navette maritime liaison inter-îles, Petite Terre-Grande Terre, France continentale, Base Carbone</v>
      </c>
      <c r="F561" s="1051" t="str">
        <f t="shared" si="58"/>
        <v>Navette maritime liaison inter-îles, Petite Terre-Grande Terre, France continentale, Base Carbone</v>
      </c>
      <c r="G561" s="1055" t="str">
        <f t="shared" si="59"/>
        <v>Navette maritime liaison inter-îles, Petite Terre-Grande Terre, France continentale, Base Carbone; kgCO2e/passager.km Combustion</v>
      </c>
      <c r="I561" s="1031" t="s">
        <v>1201</v>
      </c>
      <c r="J561" s="1135" t="s">
        <v>2224</v>
      </c>
      <c r="K561" s="1119" t="s">
        <v>1567</v>
      </c>
      <c r="L561" s="1135" t="s">
        <v>1571</v>
      </c>
      <c r="M561" s="1033">
        <v>0.2</v>
      </c>
      <c r="N561" s="1135" t="s">
        <v>1569</v>
      </c>
      <c r="O561" s="1036">
        <v>0.27500000000000002</v>
      </c>
      <c r="P561" s="1036">
        <v>0.27500000000000002</v>
      </c>
      <c r="Q561" s="1036">
        <v>0</v>
      </c>
      <c r="R561" s="1036">
        <v>0</v>
      </c>
      <c r="S561" s="1036">
        <v>0</v>
      </c>
      <c r="T561" s="1036">
        <v>0</v>
      </c>
      <c r="U561" s="1037">
        <v>0</v>
      </c>
    </row>
    <row r="562" spans="2:21" hidden="1" outlineLevel="1">
      <c r="B562" s="1050">
        <v>6</v>
      </c>
      <c r="C562" s="1050" t="str">
        <f t="shared" si="56"/>
        <v>-</v>
      </c>
      <c r="D562" s="1051">
        <f t="shared" si="57"/>
        <v>3</v>
      </c>
      <c r="E562" s="1051" t="str">
        <f>IF(COUNTIF(E$556:E561,F562)&gt;0,"",F562)</f>
        <v/>
      </c>
      <c r="F562" s="1051" t="str">
        <f t="shared" si="58"/>
        <v>Navette maritime liaison inter-îles, Petite Terre-Grande Terre, France continentale, Base Carbone</v>
      </c>
      <c r="G562" s="1055" t="str">
        <f t="shared" si="59"/>
        <v>Navette maritime liaison inter-îles, Petite Terre-Grande Terre, France continentale, Base Carbone; kgCO2e/passager.km Amont</v>
      </c>
      <c r="I562" s="1031" t="s">
        <v>1201</v>
      </c>
      <c r="J562" s="1135" t="s">
        <v>2224</v>
      </c>
      <c r="K562" s="1119" t="s">
        <v>1567</v>
      </c>
      <c r="L562" s="1135" t="s">
        <v>1571</v>
      </c>
      <c r="M562" s="1033">
        <v>0.2</v>
      </c>
      <c r="N562" s="1135" t="s">
        <v>1570</v>
      </c>
      <c r="O562" s="1036">
        <v>3.5299999999999998E-2</v>
      </c>
      <c r="P562" s="1036">
        <v>3.5299999999999998E-2</v>
      </c>
      <c r="Q562" s="1036">
        <v>0</v>
      </c>
      <c r="R562" s="1036">
        <v>0</v>
      </c>
      <c r="S562" s="1036">
        <v>0</v>
      </c>
      <c r="T562" s="1036">
        <v>0</v>
      </c>
      <c r="U562" s="1037">
        <v>0</v>
      </c>
    </row>
    <row r="563" spans="2:21" hidden="1" outlineLevel="1">
      <c r="B563" s="1050">
        <v>7</v>
      </c>
      <c r="C563" s="1050" t="str">
        <f t="shared" si="56"/>
        <v>-</v>
      </c>
      <c r="D563" s="1051">
        <f t="shared" si="57"/>
        <v>4</v>
      </c>
      <c r="E563" s="1051" t="str">
        <f>IF(COUNTIF(E$556:E562,F563)&gt;0,"",F563)</f>
        <v>Navette maritime liaison inter-îles, Polynésie, France continentale, Base Carbone</v>
      </c>
      <c r="F563" s="1051" t="str">
        <f t="shared" si="58"/>
        <v>Navette maritime liaison inter-îles, Polynésie, France continentale, Base Carbone</v>
      </c>
      <c r="G563" s="1055" t="str">
        <f t="shared" si="59"/>
        <v>Navette maritime liaison inter-îles, Polynésie, France continentale, Base Carbone; kgCO2e/passager.km Combustion</v>
      </c>
      <c r="I563" s="1034" t="s">
        <v>3993</v>
      </c>
      <c r="J563" s="1135" t="s">
        <v>2224</v>
      </c>
      <c r="K563" s="1119" t="s">
        <v>1567</v>
      </c>
      <c r="L563" s="1135" t="s">
        <v>1571</v>
      </c>
      <c r="M563" s="1033">
        <v>0.5</v>
      </c>
      <c r="N563" s="1135" t="s">
        <v>1569</v>
      </c>
      <c r="O563" s="1036">
        <v>0.19800000000000001</v>
      </c>
      <c r="P563" s="1036">
        <v>0.19800000000000001</v>
      </c>
      <c r="Q563" s="1036">
        <v>0</v>
      </c>
      <c r="R563" s="1036">
        <v>0</v>
      </c>
      <c r="S563" s="1036">
        <v>0</v>
      </c>
      <c r="T563" s="1036">
        <v>0</v>
      </c>
      <c r="U563" s="1037">
        <v>0</v>
      </c>
    </row>
    <row r="564" spans="2:21" hidden="1" outlineLevel="1">
      <c r="B564" s="1050">
        <v>8</v>
      </c>
      <c r="C564" s="1050" t="str">
        <f t="shared" si="56"/>
        <v>-</v>
      </c>
      <c r="D564" s="1051">
        <f t="shared" si="57"/>
        <v>4</v>
      </c>
      <c r="E564" s="1051" t="str">
        <f>IF(COUNTIF(E$556:E563,F564)&gt;0,"",F564)</f>
        <v/>
      </c>
      <c r="F564" s="1051" t="str">
        <f t="shared" si="58"/>
        <v>Navette maritime liaison inter-îles, Polynésie, France continentale, Base Carbone</v>
      </c>
      <c r="G564" s="1055" t="str">
        <f t="shared" si="59"/>
        <v>Navette maritime liaison inter-îles, Polynésie, France continentale, Base Carbone; kgCO2e/passager.km Amont</v>
      </c>
      <c r="I564" s="1034" t="s">
        <v>3993</v>
      </c>
      <c r="J564" s="1135" t="s">
        <v>2224</v>
      </c>
      <c r="K564" s="1119" t="s">
        <v>1567</v>
      </c>
      <c r="L564" s="1135" t="s">
        <v>1571</v>
      </c>
      <c r="M564" s="1033">
        <v>0.5</v>
      </c>
      <c r="N564" s="1135" t="s">
        <v>1570</v>
      </c>
      <c r="O564" s="1036">
        <v>3.1399999999999997E-2</v>
      </c>
      <c r="P564" s="1036">
        <v>3.1399999999999997E-2</v>
      </c>
      <c r="Q564" s="1036">
        <v>0</v>
      </c>
      <c r="R564" s="1036">
        <v>0</v>
      </c>
      <c r="S564" s="1036">
        <v>0</v>
      </c>
      <c r="T564" s="1036">
        <v>0</v>
      </c>
      <c r="U564" s="1037">
        <v>0</v>
      </c>
    </row>
    <row r="565" spans="2:21" hidden="1" outlineLevel="1">
      <c r="B565" s="1050">
        <v>9</v>
      </c>
      <c r="C565" s="1050" t="str">
        <f t="shared" si="56"/>
        <v>-</v>
      </c>
      <c r="D565" s="1051">
        <f t="shared" si="57"/>
        <v>4</v>
      </c>
      <c r="E565" s="1051" t="str">
        <f>IF(COUNTIF(E$556:E564,F565)&gt;0,"",F565)</f>
        <v/>
      </c>
      <c r="F565" s="1051" t="str">
        <f t="shared" si="58"/>
        <v/>
      </c>
      <c r="G565" s="1055" t="str">
        <f t="shared" si="59"/>
        <v/>
      </c>
      <c r="I565" s="1031"/>
      <c r="J565" s="1048"/>
      <c r="K565" s="1119"/>
      <c r="L565" s="1048"/>
      <c r="M565" s="1033"/>
      <c r="N565" s="1048"/>
      <c r="O565" s="1036"/>
      <c r="P565" s="1036"/>
      <c r="Q565" s="1036"/>
      <c r="R565" s="1036"/>
      <c r="S565" s="1036"/>
      <c r="T565" s="1036"/>
      <c r="U565" s="1037"/>
    </row>
    <row r="566" spans="2:21" hidden="1" outlineLevel="1">
      <c r="B566" s="1050">
        <v>10</v>
      </c>
      <c r="C566" s="1050" t="str">
        <f t="shared" si="56"/>
        <v>-</v>
      </c>
      <c r="D566" s="1051">
        <f t="shared" si="57"/>
        <v>4</v>
      </c>
      <c r="E566" s="1051" t="str">
        <f>IF(COUNTIF(E$556:E565,F566)&gt;0,"",F566)</f>
        <v/>
      </c>
      <c r="F566" s="1051" t="str">
        <f t="shared" si="58"/>
        <v/>
      </c>
      <c r="G566" s="1055" t="str">
        <f t="shared" si="59"/>
        <v/>
      </c>
      <c r="I566" s="1031"/>
      <c r="J566" s="1048"/>
      <c r="K566" s="1119"/>
      <c r="L566" s="1048"/>
      <c r="M566" s="1033"/>
      <c r="N566" s="1048"/>
      <c r="O566" s="1036"/>
      <c r="P566" s="1036"/>
      <c r="Q566" s="1036"/>
      <c r="R566" s="1036"/>
      <c r="S566" s="1036"/>
      <c r="T566" s="1036"/>
      <c r="U566" s="1037"/>
    </row>
    <row r="567" spans="2:21" hidden="1" outlineLevel="1">
      <c r="B567" s="1050">
        <v>11</v>
      </c>
      <c r="C567" s="1050" t="str">
        <f t="shared" si="56"/>
        <v>-</v>
      </c>
      <c r="D567" s="1051">
        <f t="shared" si="57"/>
        <v>4</v>
      </c>
      <c r="E567" s="1051" t="str">
        <f>IF(COUNTIF(E$556:E566,F567)&gt;0,"",F567)</f>
        <v/>
      </c>
      <c r="F567" s="1051" t="str">
        <f t="shared" si="58"/>
        <v/>
      </c>
      <c r="G567" s="1055" t="str">
        <f t="shared" si="59"/>
        <v/>
      </c>
      <c r="I567" s="1031"/>
      <c r="J567" s="1048"/>
      <c r="K567" s="1119"/>
      <c r="L567" s="1048"/>
      <c r="M567" s="1033"/>
      <c r="N567" s="1048"/>
      <c r="O567" s="1036"/>
      <c r="P567" s="1036"/>
      <c r="Q567" s="1036"/>
      <c r="R567" s="1036"/>
      <c r="S567" s="1036"/>
      <c r="T567" s="1036"/>
      <c r="U567" s="1037"/>
    </row>
    <row r="568" spans="2:21" hidden="1" outlineLevel="1">
      <c r="B568" s="1050">
        <v>12</v>
      </c>
      <c r="C568" s="1050" t="str">
        <f t="shared" si="56"/>
        <v>-</v>
      </c>
      <c r="D568" s="1051">
        <f t="shared" si="57"/>
        <v>4</v>
      </c>
      <c r="E568" s="1051" t="str">
        <f>IF(COUNTIF(E$556:E567,F568)&gt;0,"",F568)</f>
        <v/>
      </c>
      <c r="F568" s="1051" t="str">
        <f t="shared" si="58"/>
        <v/>
      </c>
      <c r="G568" s="1055" t="str">
        <f t="shared" si="59"/>
        <v/>
      </c>
      <c r="I568" s="1031"/>
      <c r="J568" s="1048"/>
      <c r="K568" s="1119"/>
      <c r="L568" s="1048"/>
      <c r="M568" s="1033"/>
      <c r="N568" s="1048"/>
      <c r="O568" s="1036"/>
      <c r="P568" s="1036"/>
      <c r="Q568" s="1036"/>
      <c r="R568" s="1036"/>
      <c r="S568" s="1036"/>
      <c r="T568" s="1036"/>
      <c r="U568" s="1037"/>
    </row>
    <row r="569" spans="2:21" hidden="1" outlineLevel="1">
      <c r="B569" s="1050">
        <v>13</v>
      </c>
      <c r="C569" s="1050" t="str">
        <f t="shared" si="56"/>
        <v>-</v>
      </c>
      <c r="D569" s="1051">
        <f t="shared" si="57"/>
        <v>4</v>
      </c>
      <c r="E569" s="1051" t="str">
        <f>IF(COUNTIF(E$556:E568,F569)&gt;0,"",F569)</f>
        <v/>
      </c>
      <c r="F569" s="1051" t="str">
        <f t="shared" si="58"/>
        <v/>
      </c>
      <c r="G569" s="1055" t="str">
        <f t="shared" si="59"/>
        <v/>
      </c>
      <c r="I569" s="1031"/>
      <c r="J569" s="1048"/>
      <c r="K569" s="1119"/>
      <c r="L569" s="1048"/>
      <c r="M569" s="1033"/>
      <c r="N569" s="1048"/>
      <c r="O569" s="1036"/>
      <c r="P569" s="1036"/>
      <c r="Q569" s="1036"/>
      <c r="R569" s="1036"/>
      <c r="S569" s="1036"/>
      <c r="T569" s="1036"/>
      <c r="U569" s="1037"/>
    </row>
    <row r="570" spans="2:21" hidden="1" outlineLevel="1">
      <c r="B570" s="1050">
        <v>14</v>
      </c>
      <c r="C570" s="1050" t="str">
        <f t="shared" si="56"/>
        <v>-</v>
      </c>
      <c r="D570" s="1051">
        <f t="shared" si="57"/>
        <v>4</v>
      </c>
      <c r="E570" s="1051" t="str">
        <f>IF(COUNTIF(E$556:E569,F570)&gt;0,"",F570)</f>
        <v/>
      </c>
      <c r="F570" s="1051" t="str">
        <f t="shared" si="58"/>
        <v/>
      </c>
      <c r="G570" s="1055" t="str">
        <f t="shared" si="59"/>
        <v/>
      </c>
      <c r="I570" s="1031"/>
      <c r="J570" s="1048"/>
      <c r="K570" s="1119"/>
      <c r="L570" s="1048"/>
      <c r="M570" s="1033"/>
      <c r="N570" s="1048"/>
      <c r="O570" s="1036"/>
      <c r="P570" s="1036"/>
      <c r="Q570" s="1036"/>
      <c r="R570" s="1036"/>
      <c r="S570" s="1036"/>
      <c r="T570" s="1036"/>
      <c r="U570" s="1037"/>
    </row>
    <row r="571" spans="2:21" hidden="1" outlineLevel="1">
      <c r="B571" s="1050">
        <v>15</v>
      </c>
      <c r="C571" s="1050" t="str">
        <f t="shared" si="56"/>
        <v>-</v>
      </c>
      <c r="D571" s="1051">
        <f t="shared" si="57"/>
        <v>4</v>
      </c>
      <c r="E571" s="1051" t="str">
        <f>IF(COUNTIF(E$556:E570,F571)&gt;0,"",F571)</f>
        <v/>
      </c>
      <c r="F571" s="1051" t="str">
        <f t="shared" si="58"/>
        <v/>
      </c>
      <c r="G571" s="1055" t="str">
        <f t="shared" si="59"/>
        <v/>
      </c>
      <c r="I571" s="1031"/>
      <c r="J571" s="1048"/>
      <c r="K571" s="1119"/>
      <c r="L571" s="1048"/>
      <c r="M571" s="1033"/>
      <c r="N571" s="1048"/>
      <c r="O571" s="1036"/>
      <c r="P571" s="1036"/>
      <c r="Q571" s="1036"/>
      <c r="R571" s="1036"/>
      <c r="S571" s="1036"/>
      <c r="T571" s="1036"/>
      <c r="U571" s="1037"/>
    </row>
    <row r="572" spans="2:21" hidden="1" outlineLevel="1">
      <c r="B572" s="1050"/>
      <c r="C572" s="1050"/>
      <c r="D572" s="1051">
        <f t="shared" si="57"/>
        <v>4</v>
      </c>
      <c r="E572" s="1051" t="str">
        <f>IF(COUNTIF(E$556:E571,F572)&gt;0,"",F572)</f>
        <v/>
      </c>
      <c r="F572" s="1051" t="str">
        <f t="shared" si="58"/>
        <v/>
      </c>
      <c r="G572" s="1055" t="str">
        <f t="shared" si="59"/>
        <v/>
      </c>
      <c r="I572" s="1031"/>
      <c r="J572" s="1048"/>
      <c r="K572" s="1119"/>
      <c r="L572" s="1048"/>
      <c r="M572" s="1033"/>
      <c r="N572" s="1048"/>
      <c r="O572" s="1036"/>
      <c r="P572" s="1036"/>
      <c r="Q572" s="1036"/>
      <c r="R572" s="1036"/>
      <c r="S572" s="1036"/>
      <c r="T572" s="1036"/>
      <c r="U572" s="1037"/>
    </row>
    <row r="573" spans="2:21" hidden="1" outlineLevel="1">
      <c r="B573" s="1050"/>
      <c r="C573" s="1050"/>
      <c r="D573" s="1051">
        <f t="shared" si="57"/>
        <v>4</v>
      </c>
      <c r="E573" s="1051" t="str">
        <f>IF(COUNTIF(E$556:E572,F573)&gt;0,"",F573)</f>
        <v/>
      </c>
      <c r="F573" s="1051" t="str">
        <f t="shared" si="58"/>
        <v/>
      </c>
      <c r="G573" s="1055" t="str">
        <f t="shared" si="59"/>
        <v/>
      </c>
      <c r="I573" s="1031"/>
      <c r="J573" s="1048"/>
      <c r="K573" s="1119"/>
      <c r="L573" s="1048"/>
      <c r="M573" s="1033"/>
      <c r="N573" s="1048"/>
      <c r="O573" s="1036"/>
      <c r="P573" s="1036"/>
      <c r="Q573" s="1036"/>
      <c r="R573" s="1036"/>
      <c r="S573" s="1036"/>
      <c r="T573" s="1036"/>
      <c r="U573" s="1037"/>
    </row>
    <row r="574" spans="2:21" hidden="1" outlineLevel="1">
      <c r="B574" s="1050"/>
      <c r="C574" s="1050"/>
      <c r="D574" s="1051">
        <f t="shared" si="57"/>
        <v>4</v>
      </c>
      <c r="E574" s="1051" t="str">
        <f>IF(COUNTIF(E$556:E573,F574)&gt;0,"",F574)</f>
        <v/>
      </c>
      <c r="F574" s="1051" t="str">
        <f t="shared" si="58"/>
        <v/>
      </c>
      <c r="G574" s="1055" t="str">
        <f t="shared" si="59"/>
        <v/>
      </c>
      <c r="I574" s="1031"/>
      <c r="J574" s="1048"/>
      <c r="K574" s="1119"/>
      <c r="L574" s="1048"/>
      <c r="M574" s="1033"/>
      <c r="N574" s="1048"/>
      <c r="O574" s="1036"/>
      <c r="P574" s="1036"/>
      <c r="Q574" s="1036"/>
      <c r="R574" s="1036"/>
      <c r="S574" s="1036"/>
      <c r="T574" s="1036"/>
      <c r="U574" s="1037"/>
    </row>
    <row r="575" spans="2:21" hidden="1" outlineLevel="1">
      <c r="B575" s="1050"/>
      <c r="C575" s="1050"/>
      <c r="D575" s="1051">
        <f t="shared" si="57"/>
        <v>4</v>
      </c>
      <c r="E575" s="1051" t="str">
        <f>IF(COUNTIF(E$556:E574,F575)&gt;0,"",F575)</f>
        <v/>
      </c>
      <c r="F575" s="1051" t="str">
        <f t="shared" si="58"/>
        <v/>
      </c>
      <c r="G575" s="1055" t="str">
        <f t="shared" si="59"/>
        <v/>
      </c>
      <c r="I575" s="1031"/>
      <c r="J575" s="1048"/>
      <c r="K575" s="1119"/>
      <c r="L575" s="1048"/>
      <c r="M575" s="1033"/>
      <c r="N575" s="1048"/>
      <c r="O575" s="1036"/>
      <c r="P575" s="1036"/>
      <c r="Q575" s="1036"/>
      <c r="R575" s="1036"/>
      <c r="S575" s="1036"/>
      <c r="T575" s="1036"/>
      <c r="U575" s="1037"/>
    </row>
    <row r="576" spans="2:21" hidden="1" outlineLevel="1">
      <c r="B576" s="1050"/>
      <c r="C576" s="1050"/>
      <c r="D576" s="1051">
        <f t="shared" si="57"/>
        <v>4</v>
      </c>
      <c r="E576" s="1051" t="str">
        <f>IF(COUNTIF(E$556:E575,F576)&gt;0,"",F576)</f>
        <v/>
      </c>
      <c r="F576" s="1051" t="str">
        <f t="shared" si="58"/>
        <v/>
      </c>
      <c r="G576" s="1055" t="str">
        <f t="shared" si="59"/>
        <v/>
      </c>
      <c r="I576" s="1031"/>
      <c r="J576" s="1048"/>
      <c r="K576" s="1119"/>
      <c r="L576" s="1048"/>
      <c r="M576" s="1033"/>
      <c r="N576" s="1048"/>
      <c r="O576" s="1036"/>
      <c r="P576" s="1036"/>
      <c r="Q576" s="1036"/>
      <c r="R576" s="1036"/>
      <c r="S576" s="1036"/>
      <c r="T576" s="1036"/>
      <c r="U576" s="1037"/>
    </row>
    <row r="577" spans="2:21" hidden="1" outlineLevel="1">
      <c r="B577" s="1050"/>
      <c r="C577" s="1050"/>
      <c r="D577" s="1051">
        <f t="shared" si="57"/>
        <v>4</v>
      </c>
      <c r="E577" s="1051" t="str">
        <f>IF(COUNTIF(E$556:E576,F577)&gt;0,"",F577)</f>
        <v/>
      </c>
      <c r="F577" s="1051" t="str">
        <f t="shared" si="58"/>
        <v/>
      </c>
      <c r="G577" s="1055" t="str">
        <f t="shared" si="59"/>
        <v/>
      </c>
      <c r="I577" s="1100"/>
      <c r="J577" s="1048"/>
      <c r="K577" s="1048"/>
      <c r="L577" s="1048"/>
      <c r="M577" s="1048"/>
      <c r="N577" s="1048"/>
      <c r="O577" s="1048"/>
      <c r="P577" s="1048"/>
      <c r="Q577" s="1048"/>
      <c r="R577" s="1048"/>
      <c r="S577" s="1048"/>
      <c r="T577" s="1048"/>
      <c r="U577" s="1102"/>
    </row>
    <row r="578" spans="2:21" hidden="1" outlineLevel="1">
      <c r="B578" s="1050"/>
      <c r="C578" s="1050"/>
      <c r="D578" s="1051">
        <f t="shared" si="57"/>
        <v>4</v>
      </c>
      <c r="E578" s="1051" t="str">
        <f>IF(COUNTIF(E$556:E577,F578)&gt;0,"",F578)</f>
        <v/>
      </c>
      <c r="F578" s="1051" t="str">
        <f t="shared" si="58"/>
        <v/>
      </c>
      <c r="G578" s="1055" t="str">
        <f t="shared" si="59"/>
        <v/>
      </c>
      <c r="I578" s="1100"/>
      <c r="J578" s="1048"/>
      <c r="K578" s="1048"/>
      <c r="L578" s="1048"/>
      <c r="M578" s="1048"/>
      <c r="N578" s="1048"/>
      <c r="O578" s="1048"/>
      <c r="P578" s="1048"/>
      <c r="Q578" s="1048"/>
      <c r="R578" s="1048"/>
      <c r="S578" s="1048"/>
      <c r="T578" s="1048"/>
      <c r="U578" s="1102"/>
    </row>
    <row r="579" spans="2:21" hidden="1" outlineLevel="1">
      <c r="B579" s="1050"/>
      <c r="C579" s="1050"/>
      <c r="D579" s="1051">
        <f t="shared" si="57"/>
        <v>4</v>
      </c>
      <c r="E579" s="1051" t="str">
        <f>IF(COUNTIF(E$556:E578,F579)&gt;0,"",F579)</f>
        <v/>
      </c>
      <c r="F579" s="1051" t="str">
        <f t="shared" si="58"/>
        <v/>
      </c>
      <c r="G579" s="1055" t="str">
        <f t="shared" si="59"/>
        <v/>
      </c>
      <c r="I579" s="1100"/>
      <c r="J579" s="1048"/>
      <c r="K579" s="1048"/>
      <c r="L579" s="1048"/>
      <c r="M579" s="1048"/>
      <c r="N579" s="1048"/>
      <c r="O579" s="1048"/>
      <c r="P579" s="1048"/>
      <c r="Q579" s="1048"/>
      <c r="R579" s="1048"/>
      <c r="S579" s="1048"/>
      <c r="T579" s="1048"/>
      <c r="U579" s="1102"/>
    </row>
    <row r="580" spans="2:21" hidden="1" outlineLevel="1">
      <c r="B580" s="1050"/>
      <c r="C580" s="1050"/>
      <c r="D580" s="1051">
        <f t="shared" si="57"/>
        <v>4</v>
      </c>
      <c r="E580" s="1051" t="str">
        <f>IF(COUNTIF(E$556:E579,F580)&gt;0,"",F580)</f>
        <v/>
      </c>
      <c r="F580" s="1051" t="str">
        <f t="shared" si="58"/>
        <v/>
      </c>
      <c r="G580" s="1055" t="str">
        <f t="shared" si="59"/>
        <v/>
      </c>
      <c r="I580" s="1100"/>
      <c r="J580" s="1048"/>
      <c r="K580" s="1048"/>
      <c r="L580" s="1048"/>
      <c r="M580" s="1048"/>
      <c r="N580" s="1048"/>
      <c r="O580" s="1048"/>
      <c r="P580" s="1048"/>
      <c r="Q580" s="1048"/>
      <c r="R580" s="1048"/>
      <c r="S580" s="1048"/>
      <c r="T580" s="1048"/>
      <c r="U580" s="1102"/>
    </row>
    <row r="581" spans="2:21" hidden="1" outlineLevel="1">
      <c r="B581" s="1050"/>
      <c r="C581" s="1050"/>
      <c r="D581" s="1051">
        <f t="shared" si="57"/>
        <v>4</v>
      </c>
      <c r="E581" s="1051" t="str">
        <f>IF(COUNTIF(E$556:E580,F581)&gt;0,"",F581)</f>
        <v/>
      </c>
      <c r="F581" s="1051" t="str">
        <f t="shared" si="58"/>
        <v/>
      </c>
      <c r="G581" s="1055" t="str">
        <f t="shared" si="59"/>
        <v/>
      </c>
      <c r="I581" s="1100"/>
      <c r="J581" s="1048"/>
      <c r="K581" s="1048"/>
      <c r="L581" s="1048"/>
      <c r="M581" s="1048"/>
      <c r="N581" s="1048"/>
      <c r="O581" s="1048"/>
      <c r="P581" s="1048"/>
      <c r="Q581" s="1048"/>
      <c r="R581" s="1048"/>
      <c r="S581" s="1048"/>
      <c r="T581" s="1048"/>
      <c r="U581" s="1102"/>
    </row>
    <row r="582" spans="2:21" hidden="1" outlineLevel="1">
      <c r="B582" s="1050"/>
      <c r="C582" s="1050"/>
      <c r="D582" s="1051">
        <f t="shared" si="57"/>
        <v>4</v>
      </c>
      <c r="E582" s="1051" t="str">
        <f>IF(COUNTIF(E$556:E581,F582)&gt;0,"",F582)</f>
        <v/>
      </c>
      <c r="F582" s="1051" t="str">
        <f t="shared" si="58"/>
        <v/>
      </c>
      <c r="G582" s="1055" t="str">
        <f t="shared" si="59"/>
        <v/>
      </c>
      <c r="I582" s="1100"/>
      <c r="J582" s="1048"/>
      <c r="K582" s="1048"/>
      <c r="L582" s="1048"/>
      <c r="M582" s="1048"/>
      <c r="N582" s="1048"/>
      <c r="O582" s="1048"/>
      <c r="P582" s="1048"/>
      <c r="Q582" s="1048"/>
      <c r="R582" s="1048"/>
      <c r="S582" s="1048"/>
      <c r="T582" s="1048"/>
      <c r="U582" s="1102"/>
    </row>
    <row r="583" spans="2:21" hidden="1" outlineLevel="1">
      <c r="B583" s="1050"/>
      <c r="C583" s="1050"/>
      <c r="D583" s="1051">
        <f t="shared" si="57"/>
        <v>4</v>
      </c>
      <c r="E583" s="1051" t="str">
        <f>IF(COUNTIF(E$556:E582,F583)&gt;0,"",F583)</f>
        <v/>
      </c>
      <c r="F583" s="1051" t="str">
        <f t="shared" si="58"/>
        <v/>
      </c>
      <c r="G583" s="1055" t="str">
        <f t="shared" si="59"/>
        <v/>
      </c>
      <c r="I583" s="1031"/>
      <c r="J583" s="1048"/>
      <c r="K583" s="1119"/>
      <c r="L583" s="1048"/>
      <c r="M583" s="1033"/>
      <c r="N583" s="1048"/>
      <c r="O583" s="1036"/>
      <c r="P583" s="1036"/>
      <c r="Q583" s="1036"/>
      <c r="R583" s="1036"/>
      <c r="S583" s="1036"/>
      <c r="T583" s="1036"/>
      <c r="U583" s="1037"/>
    </row>
    <row r="584" spans="2:21" hidden="1" outlineLevel="1">
      <c r="B584" s="1050"/>
      <c r="C584" s="1050"/>
      <c r="D584" s="1051">
        <f t="shared" si="57"/>
        <v>4</v>
      </c>
      <c r="E584" s="1051" t="str">
        <f>IF(COUNTIF(E$556:E583,F584)&gt;0,"",F584)</f>
        <v/>
      </c>
      <c r="F584" s="1051" t="str">
        <f t="shared" si="58"/>
        <v/>
      </c>
      <c r="G584" s="1055" t="str">
        <f t="shared" si="59"/>
        <v/>
      </c>
      <c r="I584" s="1031"/>
      <c r="J584" s="1048"/>
      <c r="K584" s="1119"/>
      <c r="L584" s="1048"/>
      <c r="M584" s="1033"/>
      <c r="N584" s="1048"/>
      <c r="O584" s="1036"/>
      <c r="P584" s="1036"/>
      <c r="Q584" s="1036"/>
      <c r="R584" s="1036"/>
      <c r="S584" s="1036"/>
      <c r="T584" s="1036"/>
      <c r="U584" s="1037"/>
    </row>
    <row r="585" spans="2:21" hidden="1" outlineLevel="1">
      <c r="B585" s="1050"/>
      <c r="C585" s="1050"/>
      <c r="D585" s="1051">
        <f t="shared" si="57"/>
        <v>4</v>
      </c>
      <c r="E585" s="1051" t="str">
        <f>IF(COUNTIF(E$556:E584,F585)&gt;0,"",F585)</f>
        <v/>
      </c>
      <c r="F585" s="1051" t="str">
        <f t="shared" si="58"/>
        <v/>
      </c>
      <c r="G585" s="1055" t="str">
        <f t="shared" si="59"/>
        <v/>
      </c>
      <c r="I585" s="1031"/>
      <c r="J585" s="1048"/>
      <c r="K585" s="1119"/>
      <c r="L585" s="1048"/>
      <c r="M585" s="1033"/>
      <c r="N585" s="1048"/>
      <c r="O585" s="1036"/>
      <c r="P585" s="1036"/>
      <c r="Q585" s="1036"/>
      <c r="R585" s="1036"/>
      <c r="S585" s="1036"/>
      <c r="T585" s="1036"/>
      <c r="U585" s="1037"/>
    </row>
    <row r="586" spans="2:21" hidden="1" outlineLevel="1">
      <c r="B586" s="1050"/>
      <c r="C586" s="1050"/>
      <c r="D586" s="1051">
        <f t="shared" si="57"/>
        <v>4</v>
      </c>
      <c r="E586" s="1051" t="str">
        <f>IF(COUNTIF(E$556:E585,F586)&gt;0,"",F586)</f>
        <v/>
      </c>
      <c r="F586" s="1051" t="str">
        <f t="shared" si="58"/>
        <v/>
      </c>
      <c r="G586" s="1055" t="str">
        <f t="shared" si="59"/>
        <v/>
      </c>
      <c r="I586" s="1031"/>
      <c r="J586" s="1048"/>
      <c r="K586" s="1119"/>
      <c r="L586" s="1048"/>
      <c r="M586" s="1033"/>
      <c r="N586" s="1048"/>
      <c r="O586" s="1036"/>
      <c r="P586" s="1036"/>
      <c r="Q586" s="1036"/>
      <c r="R586" s="1036"/>
      <c r="S586" s="1036"/>
      <c r="T586" s="1036"/>
      <c r="U586" s="1037"/>
    </row>
    <row r="587" spans="2:21" hidden="1" outlineLevel="1">
      <c r="B587" s="1050"/>
      <c r="C587" s="1050"/>
      <c r="D587" s="1051">
        <f t="shared" si="57"/>
        <v>4</v>
      </c>
      <c r="E587" s="1051" t="str">
        <f>IF(COUNTIF(E$556:E586,F587)&gt;0,"",F587)</f>
        <v/>
      </c>
      <c r="F587" s="1051" t="str">
        <f t="shared" si="58"/>
        <v/>
      </c>
      <c r="G587" s="1055" t="str">
        <f t="shared" si="59"/>
        <v/>
      </c>
      <c r="I587" s="1031"/>
      <c r="J587" s="1048"/>
      <c r="K587" s="1119"/>
      <c r="L587" s="1048"/>
      <c r="M587" s="1033"/>
      <c r="N587" s="1048"/>
      <c r="O587" s="1036"/>
      <c r="P587" s="1036"/>
      <c r="Q587" s="1036"/>
      <c r="R587" s="1036"/>
      <c r="S587" s="1036"/>
      <c r="T587" s="1036"/>
      <c r="U587" s="1037"/>
    </row>
    <row r="588" spans="2:21" hidden="1" outlineLevel="1">
      <c r="B588" s="1050"/>
      <c r="C588" s="1050"/>
      <c r="D588" s="1051">
        <f t="shared" si="57"/>
        <v>4</v>
      </c>
      <c r="E588" s="1051" t="str">
        <f>IF(COUNTIF(E$556:E587,F588)&gt;0,"",F588)</f>
        <v/>
      </c>
      <c r="F588" s="1051" t="str">
        <f t="shared" si="58"/>
        <v/>
      </c>
      <c r="G588" s="1055" t="str">
        <f t="shared" si="59"/>
        <v/>
      </c>
      <c r="I588" s="1031"/>
      <c r="J588" s="1048"/>
      <c r="K588" s="1119"/>
      <c r="L588" s="1048"/>
      <c r="M588" s="1033"/>
      <c r="N588" s="1048"/>
      <c r="O588" s="1036"/>
      <c r="P588" s="1036"/>
      <c r="Q588" s="1036"/>
      <c r="R588" s="1036"/>
      <c r="S588" s="1036"/>
      <c r="T588" s="1036"/>
      <c r="U588" s="1037"/>
    </row>
    <row r="589" spans="2:21" hidden="1" outlineLevel="1">
      <c r="B589" s="1050"/>
      <c r="C589" s="1050"/>
      <c r="D589" s="1051">
        <f t="shared" si="57"/>
        <v>4</v>
      </c>
      <c r="E589" s="1051" t="str">
        <f>IF(COUNTIF(E$556:E588,F589)&gt;0,"",F589)</f>
        <v/>
      </c>
      <c r="F589" s="1051" t="str">
        <f t="shared" si="58"/>
        <v/>
      </c>
      <c r="G589" s="1055" t="str">
        <f t="shared" si="59"/>
        <v/>
      </c>
      <c r="I589" s="1031"/>
      <c r="J589" s="1048"/>
      <c r="K589" s="1119"/>
      <c r="L589" s="1048"/>
      <c r="M589" s="1033"/>
      <c r="N589" s="1048"/>
      <c r="O589" s="1036"/>
      <c r="P589" s="1036"/>
      <c r="Q589" s="1036"/>
      <c r="R589" s="1036"/>
      <c r="S589" s="1036"/>
      <c r="T589" s="1036"/>
      <c r="U589" s="1037"/>
    </row>
    <row r="590" spans="2:21" hidden="1" outlineLevel="1">
      <c r="B590" s="1050"/>
      <c r="C590" s="1050"/>
      <c r="D590" s="1051">
        <f t="shared" si="57"/>
        <v>4</v>
      </c>
      <c r="E590" s="1051" t="str">
        <f>IF(COUNTIF(E$556:E589,F590)&gt;0,"",F590)</f>
        <v/>
      </c>
      <c r="F590" s="1051" t="str">
        <f t="shared" si="58"/>
        <v/>
      </c>
      <c r="G590" s="1055" t="str">
        <f t="shared" si="59"/>
        <v/>
      </c>
      <c r="I590" s="1031"/>
      <c r="J590" s="1048"/>
      <c r="K590" s="1119"/>
      <c r="L590" s="1048"/>
      <c r="M590" s="1033"/>
      <c r="N590" s="1048"/>
      <c r="O590" s="1036"/>
      <c r="P590" s="1036"/>
      <c r="Q590" s="1036"/>
      <c r="R590" s="1036"/>
      <c r="S590" s="1036"/>
      <c r="T590" s="1036"/>
      <c r="U590" s="1037"/>
    </row>
    <row r="591" spans="2:21" hidden="1" outlineLevel="1">
      <c r="B591" s="1050"/>
      <c r="C591" s="1050"/>
      <c r="D591" s="1051">
        <f t="shared" si="57"/>
        <v>4</v>
      </c>
      <c r="E591" s="1051" t="str">
        <f>IF(COUNTIF(E$556:E590,F591)&gt;0,"",F591)</f>
        <v/>
      </c>
      <c r="F591" s="1051" t="str">
        <f t="shared" si="58"/>
        <v/>
      </c>
      <c r="G591" s="1055" t="str">
        <f t="shared" si="59"/>
        <v/>
      </c>
      <c r="I591" s="1100"/>
      <c r="J591" s="1048"/>
      <c r="K591" s="1048"/>
      <c r="L591" s="1048"/>
      <c r="M591" s="1048"/>
      <c r="N591" s="1048"/>
      <c r="O591" s="1048"/>
      <c r="P591" s="1048"/>
      <c r="Q591" s="1048"/>
      <c r="R591" s="1048"/>
      <c r="S591" s="1048"/>
      <c r="T591" s="1048"/>
      <c r="U591" s="1102"/>
    </row>
    <row r="592" spans="2:21" hidden="1" outlineLevel="1">
      <c r="B592" s="1050"/>
      <c r="C592" s="1050"/>
      <c r="D592" s="1051">
        <f t="shared" si="57"/>
        <v>4</v>
      </c>
      <c r="E592" s="1051" t="str">
        <f>IF(COUNTIF(E$556:E591,F592)&gt;0,"",F592)</f>
        <v/>
      </c>
      <c r="F592" s="1051" t="str">
        <f t="shared" si="58"/>
        <v/>
      </c>
      <c r="G592" s="1055" t="str">
        <f t="shared" si="59"/>
        <v/>
      </c>
      <c r="I592" s="1100"/>
      <c r="J592" s="1048"/>
      <c r="K592" s="1048"/>
      <c r="L592" s="1048"/>
      <c r="M592" s="1048"/>
      <c r="N592" s="1048"/>
      <c r="O592" s="1048"/>
      <c r="P592" s="1048"/>
      <c r="Q592" s="1048"/>
      <c r="R592" s="1048"/>
      <c r="S592" s="1048"/>
      <c r="T592" s="1048"/>
      <c r="U592" s="1102"/>
    </row>
    <row r="593" spans="2:21" hidden="1" outlineLevel="1">
      <c r="B593" s="1050"/>
      <c r="C593" s="1050"/>
      <c r="D593" s="1051">
        <f t="shared" si="57"/>
        <v>4</v>
      </c>
      <c r="E593" s="1051" t="str">
        <f>IF(COUNTIF(E$556:E592,F593)&gt;0,"",F593)</f>
        <v/>
      </c>
      <c r="F593" s="1051" t="str">
        <f t="shared" si="58"/>
        <v/>
      </c>
      <c r="G593" s="1055" t="str">
        <f t="shared" si="59"/>
        <v/>
      </c>
      <c r="I593" s="1100"/>
      <c r="J593" s="1048"/>
      <c r="K593" s="1048"/>
      <c r="L593" s="1048"/>
      <c r="M593" s="1048"/>
      <c r="N593" s="1048"/>
      <c r="O593" s="1048"/>
      <c r="P593" s="1048"/>
      <c r="Q593" s="1048"/>
      <c r="R593" s="1048"/>
      <c r="S593" s="1048"/>
      <c r="T593" s="1048"/>
      <c r="U593" s="1102"/>
    </row>
    <row r="594" spans="2:21" hidden="1" outlineLevel="1">
      <c r="B594" s="1050"/>
      <c r="C594" s="1050"/>
      <c r="D594" s="1051">
        <f t="shared" si="57"/>
        <v>4</v>
      </c>
      <c r="E594" s="1051" t="str">
        <f>IF(COUNTIF(E$556:E593,F594)&gt;0,"",F594)</f>
        <v/>
      </c>
      <c r="F594" s="1051" t="str">
        <f t="shared" si="58"/>
        <v/>
      </c>
      <c r="G594" s="1055" t="str">
        <f t="shared" si="59"/>
        <v/>
      </c>
      <c r="I594" s="1103"/>
      <c r="J594" s="1104"/>
      <c r="K594" s="1104"/>
      <c r="L594" s="1104"/>
      <c r="M594" s="1104"/>
      <c r="N594" s="1104"/>
      <c r="O594" s="1104"/>
      <c r="P594" s="1104"/>
      <c r="Q594" s="1104"/>
      <c r="R594" s="1104"/>
      <c r="S594" s="1104"/>
      <c r="T594" s="1104"/>
      <c r="U594" s="1106"/>
    </row>
    <row r="595" spans="2:21"/>
    <row r="596" spans="2:21" ht="15.6" collapsed="1">
      <c r="I596" s="3167" t="s">
        <v>2248</v>
      </c>
      <c r="J596" s="3168"/>
      <c r="K596" s="3168"/>
      <c r="L596" s="3168"/>
      <c r="M596" s="3168"/>
      <c r="N596" s="3168"/>
      <c r="O596" s="3168"/>
      <c r="P596" s="3168"/>
      <c r="Q596" s="3168"/>
      <c r="R596" s="3168"/>
      <c r="S596" s="3168"/>
      <c r="T596" s="3168"/>
      <c r="U596" s="3169"/>
    </row>
    <row r="597" spans="2:21" hidden="1" outlineLevel="1">
      <c r="R597" s="1083"/>
    </row>
    <row r="598" spans="2:21" ht="12.75" hidden="1" customHeight="1" outlineLevel="1">
      <c r="B598" s="3154" t="s">
        <v>1617</v>
      </c>
      <c r="C598" s="3154"/>
      <c r="D598" s="3157" t="s">
        <v>1619</v>
      </c>
      <c r="E598" s="3157"/>
      <c r="F598" s="1210" t="s">
        <v>1616</v>
      </c>
      <c r="G598" s="1053" t="s">
        <v>1618</v>
      </c>
      <c r="H598" s="1044"/>
      <c r="I598" s="1038" t="s">
        <v>1557</v>
      </c>
      <c r="J598" s="1040" t="s">
        <v>1266</v>
      </c>
      <c r="K598" s="1043" t="s">
        <v>224</v>
      </c>
      <c r="L598" s="1043" t="s">
        <v>1558</v>
      </c>
      <c r="M598" s="1039" t="s">
        <v>366</v>
      </c>
      <c r="N598" s="1040" t="s">
        <v>1559</v>
      </c>
      <c r="O598" s="1041" t="s">
        <v>1560</v>
      </c>
      <c r="P598" s="1043" t="s">
        <v>211</v>
      </c>
      <c r="Q598" s="1043" t="s">
        <v>1561</v>
      </c>
      <c r="R598" s="1041" t="s">
        <v>1562</v>
      </c>
      <c r="S598" s="1041" t="s">
        <v>267</v>
      </c>
      <c r="T598" s="1043" t="s">
        <v>1563</v>
      </c>
      <c r="U598" s="1042" t="s">
        <v>1564</v>
      </c>
    </row>
    <row r="599" spans="2:21" s="1045" customFormat="1" ht="12.75" hidden="1" customHeight="1" outlineLevel="1">
      <c r="B599" s="3156" t="s">
        <v>2248</v>
      </c>
      <c r="C599" s="3156"/>
      <c r="D599" s="1051">
        <v>0</v>
      </c>
      <c r="E599" s="1051"/>
      <c r="F599" s="1051"/>
      <c r="G599" s="1054"/>
      <c r="H599" s="1046"/>
      <c r="I599" s="1688"/>
      <c r="J599" s="1689"/>
      <c r="K599" s="1690"/>
      <c r="L599" s="1690"/>
      <c r="M599" s="1691"/>
      <c r="N599" s="1689"/>
      <c r="O599" s="1692"/>
      <c r="P599" s="1690"/>
      <c r="Q599" s="1690"/>
      <c r="R599" s="1692"/>
      <c r="S599" s="1692"/>
      <c r="T599" s="1690"/>
      <c r="U599" s="1693"/>
    </row>
    <row r="600" spans="2:21" hidden="1" outlineLevel="1">
      <c r="B600" s="1050">
        <v>1</v>
      </c>
      <c r="C600" s="1050" t="str">
        <f>IF(ISNA(VLOOKUP(B600,$D$599:$E$857,2,FALSE)),"-",VLOOKUP(B600,$D$599:$E$857,2,FALSE))</f>
        <v>Essence (E10), France continentale, Base Carbone</v>
      </c>
      <c r="D600" s="1051">
        <f>D599+IF(LEN(E600)&gt;0,1,0)</f>
        <v>1</v>
      </c>
      <c r="E600" s="1051" t="str">
        <f>IF(COUNTIF(E$599:E599,F600)&gt;0,"",F600)</f>
        <v>Essence (E10), France continentale, Base Carbone</v>
      </c>
      <c r="F600" s="1051" t="str">
        <f>IF(I600&lt;&gt;"",I600&amp;IF(L600&lt;&gt;"",", "&amp;L600,"")&amp;IF(K600&lt;&gt;"",", "&amp;K600,""),"")</f>
        <v>Essence (E10), France continentale, Base Carbone</v>
      </c>
      <c r="G600" s="1055" t="str">
        <f t="shared" ref="G600" si="60">IF(F600&lt;&gt;"",F600&amp;IF(J600&lt;&gt;"","; "&amp;J600,"")&amp;IF(N600&lt;&gt;"",", "&amp;N600,""),"")</f>
        <v>Essence (E10), France continentale, Base Carbone; kgCO2e/litre, Combustion</v>
      </c>
      <c r="I600" s="2018" t="s">
        <v>4807</v>
      </c>
      <c r="J600" s="1032" t="s">
        <v>1574</v>
      </c>
      <c r="K600" s="1032" t="s">
        <v>1567</v>
      </c>
      <c r="L600" s="1032" t="s">
        <v>1571</v>
      </c>
      <c r="M600" s="1033">
        <v>0.1</v>
      </c>
      <c r="N600" s="1032" t="s">
        <v>1569</v>
      </c>
      <c r="O600" s="1036">
        <v>2.2200000000000002</v>
      </c>
      <c r="P600" s="1036">
        <v>2.16</v>
      </c>
      <c r="Q600" s="1036">
        <v>1.7600000000000001E-2</v>
      </c>
      <c r="R600" s="1036">
        <v>0</v>
      </c>
      <c r="S600" s="1036">
        <v>1.78E-2</v>
      </c>
      <c r="T600" s="1036">
        <v>0</v>
      </c>
      <c r="U600" s="1037">
        <v>0.151869</v>
      </c>
    </row>
    <row r="601" spans="2:21" hidden="1" outlineLevel="1">
      <c r="B601" s="1050">
        <v>2</v>
      </c>
      <c r="C601" s="1050" t="str">
        <f t="shared" ref="C601:C632" si="61">IF(ISNA(VLOOKUP(B601,$D$599:$E$857,2,FALSE)),"-",VLOOKUP(B601,$D$599:$E$857,2,FALSE))</f>
        <v>Essence (E85), France continentale, Base Carbone</v>
      </c>
      <c r="D601" s="1051">
        <f t="shared" ref="D601:D664" si="62">D600+IF(LEN(E601)&gt;0,1,0)</f>
        <v>1</v>
      </c>
      <c r="E601" s="1051" t="str">
        <f>IF(COUNTIF(E$599:E600,F601)&gt;0,"",F601)</f>
        <v/>
      </c>
      <c r="F601" s="1051" t="str">
        <f t="shared" ref="F601:F664" si="63">IF(I601&lt;&gt;"",I601&amp;IF(L601&lt;&gt;"",", "&amp;L601,"")&amp;IF(K601&lt;&gt;"",", "&amp;K601,""),"")</f>
        <v>Essence (E10), France continentale, Base Carbone</v>
      </c>
      <c r="G601" s="1055" t="str">
        <f t="shared" ref="G601:G664" si="64">IF(F601&lt;&gt;"",F601&amp;IF(J601&lt;&gt;"","; "&amp;J601,"")&amp;IF(N601&lt;&gt;"",", "&amp;N601,""),"")</f>
        <v>Essence (E10), France continentale, Base Carbone; kgCO2e/litre, Amont</v>
      </c>
      <c r="I601" s="2018" t="s">
        <v>4807</v>
      </c>
      <c r="J601" s="1135" t="s">
        <v>1574</v>
      </c>
      <c r="K601" s="1135" t="s">
        <v>1567</v>
      </c>
      <c r="L601" s="1135" t="s">
        <v>1571</v>
      </c>
      <c r="M601" s="1033">
        <v>0.1</v>
      </c>
      <c r="N601" s="1135" t="s">
        <v>1570</v>
      </c>
      <c r="O601" s="1036">
        <v>0.504</v>
      </c>
      <c r="P601" s="1036">
        <v>0.439</v>
      </c>
      <c r="Q601" s="1036">
        <v>4.41E-2</v>
      </c>
      <c r="R601" s="1036">
        <v>0</v>
      </c>
      <c r="S601" s="1036">
        <v>2.12E-2</v>
      </c>
      <c r="T601" s="1036">
        <v>0</v>
      </c>
      <c r="U601" s="1037">
        <v>-0.151869</v>
      </c>
    </row>
    <row r="602" spans="2:21" hidden="1" outlineLevel="1">
      <c r="B602" s="1050">
        <v>3</v>
      </c>
      <c r="C602" s="1050" t="str">
        <f t="shared" si="61"/>
        <v>Essence (Supercarburant sans plomb (95, 95-E10, 98)), France continentale, Base Carbone</v>
      </c>
      <c r="D602" s="1051">
        <f t="shared" si="62"/>
        <v>1</v>
      </c>
      <c r="E602" s="1051" t="str">
        <f>IF(COUNTIF(E$599:E601,F602)&gt;0,"",F602)</f>
        <v/>
      </c>
      <c r="F602" s="1051" t="str">
        <f t="shared" si="63"/>
        <v>Essence (E10), France continentale, Base Carbone</v>
      </c>
      <c r="G602" s="1055" t="str">
        <f t="shared" si="64"/>
        <v>Essence (E10), France continentale, Base Carbone; kgCO2e/GJ PCI, Combustion</v>
      </c>
      <c r="I602" s="2018" t="s">
        <v>4807</v>
      </c>
      <c r="J602" s="1135" t="s">
        <v>1566</v>
      </c>
      <c r="K602" s="1135" t="s">
        <v>1567</v>
      </c>
      <c r="L602" s="1135" t="s">
        <v>1571</v>
      </c>
      <c r="M602" s="1033">
        <v>0.05</v>
      </c>
      <c r="N602" s="1135" t="s">
        <v>1569</v>
      </c>
      <c r="O602" s="1036">
        <v>69.3</v>
      </c>
      <c r="P602" s="1036">
        <v>68.2</v>
      </c>
      <c r="Q602" s="1036">
        <v>0.55600000000000005</v>
      </c>
      <c r="R602" s="1036">
        <v>0</v>
      </c>
      <c r="S602" s="1036">
        <v>0.55900000000000005</v>
      </c>
      <c r="T602" s="1036">
        <v>0</v>
      </c>
      <c r="U602" s="1037">
        <v>4.741428</v>
      </c>
    </row>
    <row r="603" spans="2:21" hidden="1" outlineLevel="1">
      <c r="B603" s="1050">
        <v>4</v>
      </c>
      <c r="C603" s="1050" t="str">
        <f t="shared" si="61"/>
        <v>Essence (Supercarburant sans plomb (95, 95-E10, 98)), Polynésie Française, Base Carbone</v>
      </c>
      <c r="D603" s="1051">
        <f t="shared" si="62"/>
        <v>1</v>
      </c>
      <c r="E603" s="1051" t="str">
        <f>IF(COUNTIF(E$599:E602,F603)&gt;0,"",F603)</f>
        <v/>
      </c>
      <c r="F603" s="1051" t="str">
        <f t="shared" si="63"/>
        <v>Essence (E10), France continentale, Base Carbone</v>
      </c>
      <c r="G603" s="1055" t="str">
        <f t="shared" si="64"/>
        <v>Essence (E10), France continentale, Base Carbone; kgCO2e/GJ PCI, Amont</v>
      </c>
      <c r="I603" s="2018" t="s">
        <v>4807</v>
      </c>
      <c r="J603" s="1135" t="s">
        <v>1566</v>
      </c>
      <c r="K603" s="1135" t="s">
        <v>1567</v>
      </c>
      <c r="L603" s="1135" t="s">
        <v>1571</v>
      </c>
      <c r="M603" s="1033">
        <v>0.05</v>
      </c>
      <c r="N603" s="1135" t="s">
        <v>1570</v>
      </c>
      <c r="O603" s="1036">
        <v>15.9</v>
      </c>
      <c r="P603" s="1036">
        <v>13.8</v>
      </c>
      <c r="Q603" s="1036">
        <v>1.39</v>
      </c>
      <c r="R603" s="1036">
        <v>0</v>
      </c>
      <c r="S603" s="1036">
        <v>0.66400000000000003</v>
      </c>
      <c r="T603" s="1036">
        <v>0</v>
      </c>
      <c r="U603" s="1037">
        <v>-4.741428</v>
      </c>
    </row>
    <row r="604" spans="2:21" hidden="1" outlineLevel="1">
      <c r="B604" s="1050">
        <v>5</v>
      </c>
      <c r="C604" s="1050" t="str">
        <f t="shared" si="61"/>
        <v>Essence (Supercarburant sans plomb (95, 95-E10, 98)), Réunion, Base Carbone</v>
      </c>
      <c r="D604" s="1051">
        <f t="shared" si="62"/>
        <v>1</v>
      </c>
      <c r="E604" s="1051" t="str">
        <f>IF(COUNTIF(E$599:E603,F604)&gt;0,"",F604)</f>
        <v/>
      </c>
      <c r="F604" s="1051" t="str">
        <f t="shared" si="63"/>
        <v>Essence (E10), France continentale, Base Carbone</v>
      </c>
      <c r="G604" s="1055" t="str">
        <f t="shared" si="64"/>
        <v>Essence (E10), France continentale, Base Carbone; kgCO2e/kg, Combustion</v>
      </c>
      <c r="I604" s="2018" t="s">
        <v>4807</v>
      </c>
      <c r="J604" s="1135" t="s">
        <v>1572</v>
      </c>
      <c r="K604" s="1135" t="s">
        <v>1567</v>
      </c>
      <c r="L604" s="1135" t="s">
        <v>1571</v>
      </c>
      <c r="M604" s="1033">
        <v>0.05</v>
      </c>
      <c r="N604" s="1135" t="s">
        <v>1569</v>
      </c>
      <c r="O604" s="1036">
        <v>2.94</v>
      </c>
      <c r="P604" s="1036">
        <v>2.89</v>
      </c>
      <c r="Q604" s="1036">
        <v>2.3599999999999999E-2</v>
      </c>
      <c r="R604" s="1036">
        <v>0</v>
      </c>
      <c r="S604" s="1036">
        <v>2.3599999999999999E-2</v>
      </c>
      <c r="T604" s="1036">
        <v>0</v>
      </c>
      <c r="U604" s="1037">
        <v>0.151869</v>
      </c>
    </row>
    <row r="605" spans="2:21" hidden="1" outlineLevel="1">
      <c r="B605" s="1050">
        <v>6</v>
      </c>
      <c r="C605" s="1050" t="str">
        <f t="shared" si="61"/>
        <v>Essence (Supercarburant sans plomb (95, 95-E10, 98)), Guadeloupe, Martinique, Guyane, Corse, Base Carbone</v>
      </c>
      <c r="D605" s="1051">
        <f t="shared" si="62"/>
        <v>1</v>
      </c>
      <c r="E605" s="1051" t="str">
        <f>IF(COUNTIF(E$599:E604,F605)&gt;0,"",F605)</f>
        <v/>
      </c>
      <c r="F605" s="1051" t="str">
        <f t="shared" si="63"/>
        <v>Essence (E10), France continentale, Base Carbone</v>
      </c>
      <c r="G605" s="1055" t="str">
        <f t="shared" si="64"/>
        <v>Essence (E10), France continentale, Base Carbone; kgCO2e/kg, Amont</v>
      </c>
      <c r="I605" s="2018" t="s">
        <v>4807</v>
      </c>
      <c r="J605" s="1135" t="s">
        <v>1572</v>
      </c>
      <c r="K605" s="1135" t="s">
        <v>1567</v>
      </c>
      <c r="L605" s="1135" t="s">
        <v>1571</v>
      </c>
      <c r="M605" s="1033">
        <v>0.05</v>
      </c>
      <c r="N605" s="1135" t="s">
        <v>1570</v>
      </c>
      <c r="O605" s="1036">
        <v>0.67400000000000004</v>
      </c>
      <c r="P605" s="1036">
        <v>0.58699999999999997</v>
      </c>
      <c r="Q605" s="1036">
        <v>5.8999999999999997E-2</v>
      </c>
      <c r="R605" s="1036">
        <v>0</v>
      </c>
      <c r="S605" s="1036">
        <v>2.81E-2</v>
      </c>
      <c r="T605" s="1036">
        <v>0</v>
      </c>
      <c r="U605" s="1037">
        <v>-0.151869</v>
      </c>
    </row>
    <row r="606" spans="2:21" hidden="1" outlineLevel="1">
      <c r="B606" s="1050">
        <v>7</v>
      </c>
      <c r="C606" s="1050" t="str">
        <f t="shared" si="61"/>
        <v>Essence (Supercarburant sans plomb (95, 95-E10, 98)), Nouvelle Calédonie, Base Carbone</v>
      </c>
      <c r="D606" s="1051">
        <f t="shared" si="62"/>
        <v>1</v>
      </c>
      <c r="E606" s="1051" t="str">
        <f>IF(COUNTIF(E$599:E605,F606)&gt;0,"",F606)</f>
        <v/>
      </c>
      <c r="F606" s="1051" t="str">
        <f t="shared" si="63"/>
        <v>Essence (E10), France continentale, Base Carbone</v>
      </c>
      <c r="G606" s="1055" t="str">
        <f t="shared" si="64"/>
        <v>Essence (E10), France continentale, Base Carbone; kgCO2e/kWh PCI, Combustion</v>
      </c>
      <c r="I606" s="2018" t="s">
        <v>4807</v>
      </c>
      <c r="J606" s="1135" t="s">
        <v>1573</v>
      </c>
      <c r="K606" s="1135" t="s">
        <v>1567</v>
      </c>
      <c r="L606" s="1135" t="s">
        <v>1571</v>
      </c>
      <c r="M606" s="1033">
        <v>0.05</v>
      </c>
      <c r="N606" s="1135" t="s">
        <v>1569</v>
      </c>
      <c r="O606" s="1036">
        <v>0.249</v>
      </c>
      <c r="P606" s="1036">
        <v>0.245</v>
      </c>
      <c r="Q606" s="1036">
        <v>2.0100000000000001E-3</v>
      </c>
      <c r="R606" s="1036">
        <v>0</v>
      </c>
      <c r="S606" s="1036">
        <v>2.1199999999999999E-3</v>
      </c>
      <c r="T606" s="1036">
        <v>0</v>
      </c>
      <c r="U606" s="1037">
        <v>1.7069000000000001E-2</v>
      </c>
    </row>
    <row r="607" spans="2:21" hidden="1" outlineLevel="1">
      <c r="B607" s="1050">
        <v>8</v>
      </c>
      <c r="C607" s="1050" t="str">
        <f t="shared" si="61"/>
        <v>Gazole routier (B10), France continentale, Base Carbone</v>
      </c>
      <c r="D607" s="1051">
        <f t="shared" si="62"/>
        <v>1</v>
      </c>
      <c r="E607" s="1051" t="str">
        <f>IF(COUNTIF(E$599:E606,F607)&gt;0,"",F607)</f>
        <v/>
      </c>
      <c r="F607" s="1051" t="str">
        <f t="shared" si="63"/>
        <v>Essence (E10), France continentale, Base Carbone</v>
      </c>
      <c r="G607" s="1055" t="str">
        <f t="shared" si="64"/>
        <v>Essence (E10), France continentale, Base Carbone; kgCO2e/kWh PCI, Amont</v>
      </c>
      <c r="I607" s="2018" t="s">
        <v>4807</v>
      </c>
      <c r="J607" s="1135" t="s">
        <v>1573</v>
      </c>
      <c r="K607" s="1135" t="s">
        <v>1567</v>
      </c>
      <c r="L607" s="1135" t="s">
        <v>1571</v>
      </c>
      <c r="M607" s="1033">
        <v>0.05</v>
      </c>
      <c r="N607" s="1135" t="s">
        <v>1570</v>
      </c>
      <c r="O607" s="1036">
        <v>5.7200000000000001E-2</v>
      </c>
      <c r="P607" s="1036">
        <v>4.9799999999999997E-2</v>
      </c>
      <c r="Q607" s="1036">
        <v>5.0099999999999997E-3</v>
      </c>
      <c r="R607" s="1036">
        <v>0</v>
      </c>
      <c r="S607" s="1036">
        <v>2.3900000000000002E-3</v>
      </c>
      <c r="T607" s="1036">
        <v>0</v>
      </c>
      <c r="U607" s="1037">
        <v>-1.7069000000000001E-2</v>
      </c>
    </row>
    <row r="608" spans="2:21" hidden="1" outlineLevel="1">
      <c r="B608" s="1050">
        <v>9</v>
      </c>
      <c r="C608" s="1050" t="str">
        <f t="shared" si="61"/>
        <v>Gazole routier (B100), France continentale, Base Carbone</v>
      </c>
      <c r="D608" s="1051">
        <f t="shared" si="62"/>
        <v>1</v>
      </c>
      <c r="E608" s="1051" t="str">
        <f>IF(COUNTIF(E$599:E607,F608)&gt;0,"",F608)</f>
        <v/>
      </c>
      <c r="F608" s="1051" t="str">
        <f t="shared" si="63"/>
        <v>Essence (E10), France continentale, Base Carbone</v>
      </c>
      <c r="G608" s="1055" t="str">
        <f t="shared" si="64"/>
        <v>Essence (E10), France continentale, Base Carbone; kgCO2e/tep PCI, Combustion</v>
      </c>
      <c r="I608" s="2018" t="s">
        <v>4807</v>
      </c>
      <c r="J608" s="1135" t="s">
        <v>1575</v>
      </c>
      <c r="K608" s="1135" t="s">
        <v>1567</v>
      </c>
      <c r="L608" s="1135" t="s">
        <v>1571</v>
      </c>
      <c r="M608" s="1033">
        <v>0.05</v>
      </c>
      <c r="N608" s="1135" t="s">
        <v>1569</v>
      </c>
      <c r="O608" s="1036">
        <v>2907</v>
      </c>
      <c r="P608" s="1036">
        <v>2860</v>
      </c>
      <c r="Q608" s="1036">
        <v>23.4</v>
      </c>
      <c r="R608" s="1036">
        <v>0</v>
      </c>
      <c r="S608" s="1036">
        <v>23.5</v>
      </c>
      <c r="T608" s="1036">
        <v>0</v>
      </c>
      <c r="U608" s="1037">
        <v>198.47838999999999</v>
      </c>
    </row>
    <row r="609" spans="2:21" hidden="1" outlineLevel="1">
      <c r="B609" s="1050">
        <v>10</v>
      </c>
      <c r="C609" s="1050" t="str">
        <f t="shared" si="61"/>
        <v>Gazole (B30), France continentale, Base Carbone</v>
      </c>
      <c r="D609" s="1051">
        <f t="shared" si="62"/>
        <v>1</v>
      </c>
      <c r="E609" s="1051" t="str">
        <f>IF(COUNTIF(E$599:E608,F609)&gt;0,"",F609)</f>
        <v/>
      </c>
      <c r="F609" s="1051" t="str">
        <f t="shared" si="63"/>
        <v>Essence (E10), France continentale, Base Carbone</v>
      </c>
      <c r="G609" s="1055" t="str">
        <f t="shared" si="64"/>
        <v>Essence (E10), France continentale, Base Carbone; kgCO2e/tep PCI, Amont</v>
      </c>
      <c r="I609" s="2018" t="s">
        <v>4807</v>
      </c>
      <c r="J609" s="1135" t="s">
        <v>1575</v>
      </c>
      <c r="K609" s="1135" t="s">
        <v>1567</v>
      </c>
      <c r="L609" s="1135" t="s">
        <v>1571</v>
      </c>
      <c r="M609" s="1033">
        <v>0.05</v>
      </c>
      <c r="N609" s="1135" t="s">
        <v>1570</v>
      </c>
      <c r="O609" s="1036">
        <v>667</v>
      </c>
      <c r="P609" s="1036">
        <v>581</v>
      </c>
      <c r="Q609" s="1036">
        <v>58.4</v>
      </c>
      <c r="R609" s="1036">
        <v>0</v>
      </c>
      <c r="S609" s="1036">
        <v>27.8</v>
      </c>
      <c r="T609" s="1036">
        <v>0</v>
      </c>
      <c r="U609" s="1037">
        <v>-198.47838999999999</v>
      </c>
    </row>
    <row r="610" spans="2:21" hidden="1" outlineLevel="1">
      <c r="B610" s="1050">
        <v>11</v>
      </c>
      <c r="C610" s="1050" t="str">
        <f t="shared" si="61"/>
        <v>Gazole routier (B7), France continentale, Base Carbone</v>
      </c>
      <c r="D610" s="1051">
        <f t="shared" si="62"/>
        <v>2</v>
      </c>
      <c r="E610" s="1051" t="str">
        <f>IF(COUNTIF(E$599:E609,F610)&gt;0,"",F610)</f>
        <v>Essence (E85), France continentale, Base Carbone</v>
      </c>
      <c r="F610" s="1051" t="str">
        <f t="shared" si="63"/>
        <v>Essence (E85), France continentale, Base Carbone</v>
      </c>
      <c r="G610" s="1055" t="str">
        <f t="shared" si="64"/>
        <v>Essence (E85), France continentale, Base Carbone; kgCO2e/kWh PCI, Combustion</v>
      </c>
      <c r="I610" s="1031" t="s">
        <v>1584</v>
      </c>
      <c r="J610" s="1135" t="s">
        <v>1573</v>
      </c>
      <c r="K610" s="1135" t="s">
        <v>1567</v>
      </c>
      <c r="L610" s="1135" t="s">
        <v>1571</v>
      </c>
      <c r="M610" s="1033">
        <v>0.05</v>
      </c>
      <c r="N610" s="1135" t="s">
        <v>1569</v>
      </c>
      <c r="O610" s="1036">
        <v>5.8000000000000003E-2</v>
      </c>
      <c r="P610" s="1036">
        <v>5.7000000000000002E-2</v>
      </c>
      <c r="Q610" s="1036">
        <v>5.1000000000000004E-4</v>
      </c>
      <c r="R610" s="1036">
        <v>0</v>
      </c>
      <c r="S610" s="1036">
        <v>5.2999999999999998E-4</v>
      </c>
      <c r="T610" s="1036">
        <v>0</v>
      </c>
      <c r="U610" s="1037">
        <v>0.20224700000000001</v>
      </c>
    </row>
    <row r="611" spans="2:21" hidden="1" outlineLevel="1">
      <c r="B611" s="1050">
        <v>12</v>
      </c>
      <c r="C611" s="1050" t="str">
        <f t="shared" si="61"/>
        <v>Gazole routier, Polynésie Française, Base Carbone</v>
      </c>
      <c r="D611" s="1051">
        <f t="shared" si="62"/>
        <v>2</v>
      </c>
      <c r="E611" s="1051" t="str">
        <f>IF(COUNTIF(E$599:E610,F611)&gt;0,"",F611)</f>
        <v/>
      </c>
      <c r="F611" s="1051" t="str">
        <f t="shared" si="63"/>
        <v>Essence (E85), France continentale, Base Carbone</v>
      </c>
      <c r="G611" s="1055" t="str">
        <f t="shared" si="64"/>
        <v>Essence (E85), France continentale, Base Carbone; kgCO2e/kWh PCI, Amont</v>
      </c>
      <c r="I611" s="2018" t="s">
        <v>1584</v>
      </c>
      <c r="J611" s="1135" t="s">
        <v>1573</v>
      </c>
      <c r="K611" s="1135" t="s">
        <v>1567</v>
      </c>
      <c r="L611" s="1135" t="s">
        <v>1571</v>
      </c>
      <c r="M611" s="1033">
        <v>0.05</v>
      </c>
      <c r="N611" s="1135" t="s">
        <v>1570</v>
      </c>
      <c r="O611" s="1036">
        <v>0.11600000000000001</v>
      </c>
      <c r="P611" s="1036">
        <v>8.1900000000000001E-2</v>
      </c>
      <c r="Q611" s="1036">
        <v>5.9100000000000003E-3</v>
      </c>
      <c r="R611" s="1036">
        <v>0</v>
      </c>
      <c r="S611" s="1036">
        <v>2.8400000000000002E-2</v>
      </c>
      <c r="T611" s="1036">
        <v>0</v>
      </c>
      <c r="U611" s="1037">
        <v>-0.20224700000000001</v>
      </c>
    </row>
    <row r="612" spans="2:21" hidden="1" outlineLevel="1">
      <c r="B612" s="1050">
        <v>13</v>
      </c>
      <c r="C612" s="1050" t="str">
        <f t="shared" si="61"/>
        <v>Gazole routier, Réunion, Base Carbone</v>
      </c>
      <c r="D612" s="1051">
        <f t="shared" si="62"/>
        <v>2</v>
      </c>
      <c r="E612" s="1051" t="str">
        <f>IF(COUNTIF(E$599:E611,F612)&gt;0,"",F612)</f>
        <v/>
      </c>
      <c r="F612" s="1051" t="str">
        <f t="shared" si="63"/>
        <v>Essence (E85), France continentale, Base Carbone</v>
      </c>
      <c r="G612" s="1055" t="str">
        <f t="shared" si="64"/>
        <v>Essence (E85), France continentale, Base Carbone; kgCO2e/litre, Combustion</v>
      </c>
      <c r="I612" s="2018" t="s">
        <v>1584</v>
      </c>
      <c r="J612" s="1135" t="s">
        <v>1574</v>
      </c>
      <c r="K612" s="1135" t="s">
        <v>1567</v>
      </c>
      <c r="L612" s="1135" t="s">
        <v>1571</v>
      </c>
      <c r="M612" s="1033">
        <v>0.1</v>
      </c>
      <c r="N612" s="1135" t="s">
        <v>1569</v>
      </c>
      <c r="O612" s="1036">
        <v>0.36599999999999999</v>
      </c>
      <c r="P612" s="1036">
        <v>0.36</v>
      </c>
      <c r="Q612" s="1036">
        <v>2.9099999999999998E-3</v>
      </c>
      <c r="R612" s="1036">
        <v>0</v>
      </c>
      <c r="S612" s="1036">
        <v>2.9199999999999999E-3</v>
      </c>
      <c r="T612" s="1036">
        <v>0</v>
      </c>
      <c r="U612" s="1037">
        <v>1.290888</v>
      </c>
    </row>
    <row r="613" spans="2:21" hidden="1" outlineLevel="1">
      <c r="B613" s="1050">
        <v>14</v>
      </c>
      <c r="C613" s="1050" t="str">
        <f t="shared" si="61"/>
        <v>Gazole routier, Guadeloupe, Martinique, Guyane, Corse, Base Carbone</v>
      </c>
      <c r="D613" s="1051">
        <f t="shared" si="62"/>
        <v>2</v>
      </c>
      <c r="E613" s="1051" t="str">
        <f>IF(COUNTIF(E$599:E612,F613)&gt;0,"",F613)</f>
        <v/>
      </c>
      <c r="F613" s="1051" t="str">
        <f t="shared" si="63"/>
        <v>Essence (E85), France continentale, Base Carbone</v>
      </c>
      <c r="G613" s="1055" t="str">
        <f t="shared" si="64"/>
        <v>Essence (E85), France continentale, Base Carbone; kgCO2e/litre, Amont</v>
      </c>
      <c r="I613" s="2018" t="s">
        <v>1584</v>
      </c>
      <c r="J613" s="1135" t="s">
        <v>1574</v>
      </c>
      <c r="K613" s="1135" t="s">
        <v>1567</v>
      </c>
      <c r="L613" s="1135" t="s">
        <v>1571</v>
      </c>
      <c r="M613" s="1033">
        <v>0.1</v>
      </c>
      <c r="N613" s="1135" t="s">
        <v>1570</v>
      </c>
      <c r="O613" s="1036">
        <v>0.74099999999999999</v>
      </c>
      <c r="P613" s="1036">
        <v>0.52200000000000002</v>
      </c>
      <c r="Q613" s="1036">
        <v>3.7600000000000001E-2</v>
      </c>
      <c r="R613" s="1036">
        <v>0</v>
      </c>
      <c r="S613" s="1036">
        <v>0.18099999999999999</v>
      </c>
      <c r="T613" s="1036">
        <v>0</v>
      </c>
      <c r="U613" s="1037">
        <v>-1.290888</v>
      </c>
    </row>
    <row r="614" spans="2:21" hidden="1" outlineLevel="1">
      <c r="B614" s="1050">
        <v>15</v>
      </c>
      <c r="C614" s="1050" t="str">
        <f t="shared" si="61"/>
        <v>Gazole routier, Nouvelle Calédonie, Base Carbone</v>
      </c>
      <c r="D614" s="1051">
        <f t="shared" si="62"/>
        <v>2</v>
      </c>
      <c r="E614" s="1051" t="str">
        <f>IF(COUNTIF(E$599:E613,F614)&gt;0,"",F614)</f>
        <v/>
      </c>
      <c r="F614" s="1051" t="str">
        <f t="shared" si="63"/>
        <v>Essence (E85), France continentale, Base Carbone</v>
      </c>
      <c r="G614" s="1055" t="str">
        <f t="shared" si="64"/>
        <v>Essence (E85), France continentale, Base Carbone; kgCO2e/tep PCI, Combustion</v>
      </c>
      <c r="I614" s="2018" t="s">
        <v>1584</v>
      </c>
      <c r="J614" s="1135" t="s">
        <v>1575</v>
      </c>
      <c r="K614" s="1135" t="s">
        <v>1567</v>
      </c>
      <c r="L614" s="1135" t="s">
        <v>1571</v>
      </c>
      <c r="M614" s="1033">
        <v>0.05</v>
      </c>
      <c r="N614" s="1135" t="s">
        <v>1569</v>
      </c>
      <c r="O614" s="1036">
        <v>676</v>
      </c>
      <c r="P614" s="1036">
        <v>665</v>
      </c>
      <c r="Q614" s="1036">
        <v>5.42</v>
      </c>
      <c r="R614" s="1036">
        <v>0</v>
      </c>
      <c r="S614" s="1036">
        <v>5.45</v>
      </c>
      <c r="T614" s="1036">
        <v>0</v>
      </c>
      <c r="U614" s="1037">
        <v>2351.7136999999998</v>
      </c>
    </row>
    <row r="615" spans="2:21" hidden="1" outlineLevel="1">
      <c r="B615" s="1050">
        <v>16</v>
      </c>
      <c r="C615" s="1050" t="str">
        <f t="shared" si="61"/>
        <v>GNL, Gaz Naturel Liquéfié ((inclus routier, maritime et fluvial)), France continentale, Base Carbone</v>
      </c>
      <c r="D615" s="1051">
        <f t="shared" si="62"/>
        <v>2</v>
      </c>
      <c r="E615" s="1051" t="str">
        <f>IF(COUNTIF(E$599:E614,F615)&gt;0,"",F615)</f>
        <v/>
      </c>
      <c r="F615" s="1051" t="str">
        <f t="shared" si="63"/>
        <v>Essence (E85), France continentale, Base Carbone</v>
      </c>
      <c r="G615" s="1055" t="str">
        <f t="shared" si="64"/>
        <v>Essence (E85), France continentale, Base Carbone; kgCO2e/tep PCI, Amont</v>
      </c>
      <c r="I615" s="2018" t="s">
        <v>1584</v>
      </c>
      <c r="J615" s="1135" t="s">
        <v>1575</v>
      </c>
      <c r="K615" s="1135" t="s">
        <v>1567</v>
      </c>
      <c r="L615" s="1135" t="s">
        <v>1571</v>
      </c>
      <c r="M615" s="1033">
        <v>0.05</v>
      </c>
      <c r="N615" s="1135" t="s">
        <v>1570</v>
      </c>
      <c r="O615" s="1036">
        <v>1355</v>
      </c>
      <c r="P615" s="1036">
        <v>957</v>
      </c>
      <c r="Q615" s="1036">
        <v>68.599999999999994</v>
      </c>
      <c r="R615" s="1036">
        <v>0</v>
      </c>
      <c r="S615" s="1036">
        <v>329</v>
      </c>
      <c r="T615" s="1036">
        <v>0</v>
      </c>
      <c r="U615" s="1037">
        <v>-2351.7136999999998</v>
      </c>
    </row>
    <row r="616" spans="2:21" hidden="1" outlineLevel="1">
      <c r="B616" s="1050">
        <v>17</v>
      </c>
      <c r="C616" s="1050" t="str">
        <f t="shared" si="61"/>
        <v>GNC, Gaz Naturel Comprimé pour véhicule routier, France continentale, Base Carbone</v>
      </c>
      <c r="D616" s="1051">
        <f t="shared" si="62"/>
        <v>2</v>
      </c>
      <c r="E616" s="1051" t="str">
        <f>IF(COUNTIF(E$599:E615,F616)&gt;0,"",F616)</f>
        <v/>
      </c>
      <c r="F616" s="1051" t="str">
        <f t="shared" si="63"/>
        <v>Essence (E85), France continentale, Base Carbone</v>
      </c>
      <c r="G616" s="1055" t="str">
        <f t="shared" si="64"/>
        <v>Essence (E85), France continentale, Base Carbone; kgCO2e/GJ PCI, Combustion</v>
      </c>
      <c r="I616" s="2018" t="s">
        <v>1584</v>
      </c>
      <c r="J616" s="1135" t="s">
        <v>1566</v>
      </c>
      <c r="K616" s="1135" t="s">
        <v>1567</v>
      </c>
      <c r="L616" s="1135" t="s">
        <v>1571</v>
      </c>
      <c r="M616" s="1033">
        <v>0.05</v>
      </c>
      <c r="N616" s="1135" t="s">
        <v>1569</v>
      </c>
      <c r="O616" s="1036">
        <v>16.100000000000001</v>
      </c>
      <c r="P616" s="1036">
        <v>15.8</v>
      </c>
      <c r="Q616" s="1036">
        <v>0.129</v>
      </c>
      <c r="R616" s="1036">
        <v>0</v>
      </c>
      <c r="S616" s="1036">
        <v>0.13</v>
      </c>
      <c r="T616" s="1036">
        <v>0</v>
      </c>
      <c r="U616" s="1037">
        <v>56.179827000000003</v>
      </c>
    </row>
    <row r="617" spans="2:21" hidden="1" outlineLevel="1">
      <c r="B617" s="1050">
        <v>18</v>
      </c>
      <c r="C617" s="1050" t="str">
        <f t="shared" si="61"/>
        <v>GPL pour véhicule routier, France continentale, Base Carbone</v>
      </c>
      <c r="D617" s="1051">
        <f t="shared" si="62"/>
        <v>2</v>
      </c>
      <c r="E617" s="1051" t="str">
        <f>IF(COUNTIF(E$599:E616,F617)&gt;0,"",F617)</f>
        <v/>
      </c>
      <c r="F617" s="1051" t="str">
        <f t="shared" si="63"/>
        <v>Essence (E85), France continentale, Base Carbone</v>
      </c>
      <c r="G617" s="1055" t="str">
        <f t="shared" si="64"/>
        <v>Essence (E85), France continentale, Base Carbone; kgCO2e/GJ PCI, Amont</v>
      </c>
      <c r="I617" s="2018" t="s">
        <v>1584</v>
      </c>
      <c r="J617" s="1135" t="s">
        <v>1566</v>
      </c>
      <c r="K617" s="1135" t="s">
        <v>1567</v>
      </c>
      <c r="L617" s="1135" t="s">
        <v>1571</v>
      </c>
      <c r="M617" s="1033">
        <v>0.05</v>
      </c>
      <c r="N617" s="1135" t="s">
        <v>1570</v>
      </c>
      <c r="O617" s="1036">
        <v>32.200000000000003</v>
      </c>
      <c r="P617" s="1036">
        <v>22.7</v>
      </c>
      <c r="Q617" s="1036">
        <v>1.64</v>
      </c>
      <c r="R617" s="1036">
        <v>0</v>
      </c>
      <c r="S617" s="1036">
        <v>7.87</v>
      </c>
      <c r="T617" s="1036">
        <v>0</v>
      </c>
      <c r="U617" s="1037">
        <v>-56.579827000000002</v>
      </c>
    </row>
    <row r="618" spans="2:21" hidden="1" outlineLevel="1">
      <c r="B618" s="1050">
        <v>19</v>
      </c>
      <c r="C618" s="1050" t="str">
        <f t="shared" si="61"/>
        <v>GPL pour véhicule routier, Réunion, Base Carbone</v>
      </c>
      <c r="D618" s="1051">
        <f t="shared" si="62"/>
        <v>2</v>
      </c>
      <c r="E618" s="1051" t="str">
        <f>IF(COUNTIF(E$599:E617,F618)&gt;0,"",F618)</f>
        <v/>
      </c>
      <c r="F618" s="1051" t="str">
        <f t="shared" si="63"/>
        <v>Essence (E85), France continentale, Base Carbone</v>
      </c>
      <c r="G618" s="1055" t="str">
        <f t="shared" si="64"/>
        <v>Essence (E85), France continentale, Base Carbone; kgCO2e/tonne, Combustion</v>
      </c>
      <c r="I618" s="2018" t="s">
        <v>1584</v>
      </c>
      <c r="J618" s="1135" t="s">
        <v>1585</v>
      </c>
      <c r="K618" s="1135" t="s">
        <v>1567</v>
      </c>
      <c r="L618" s="1135" t="s">
        <v>1571</v>
      </c>
      <c r="M618" s="1033">
        <v>0.05</v>
      </c>
      <c r="N618" s="1135" t="s">
        <v>1569</v>
      </c>
      <c r="O618" s="1036">
        <v>490</v>
      </c>
      <c r="P618" s="1036">
        <v>482</v>
      </c>
      <c r="Q618" s="1036">
        <v>3.93</v>
      </c>
      <c r="R618" s="1036">
        <v>0</v>
      </c>
      <c r="S618" s="1036">
        <v>3.94</v>
      </c>
      <c r="T618" s="1036">
        <v>0</v>
      </c>
      <c r="U618" s="1037">
        <v>1728.0962999999999</v>
      </c>
    </row>
    <row r="619" spans="2:21" hidden="1" outlineLevel="1">
      <c r="B619" s="1050">
        <v>20</v>
      </c>
      <c r="C619" s="1050" t="str">
        <f t="shared" si="61"/>
        <v>GPL pour véhicule routier, Guadeloupe, Martinique, Guyane, Corse, Base Carbone</v>
      </c>
      <c r="D619" s="1051">
        <f t="shared" si="62"/>
        <v>2</v>
      </c>
      <c r="E619" s="1051" t="str">
        <f>IF(COUNTIF(E$599:E618,F619)&gt;0,"",F619)</f>
        <v/>
      </c>
      <c r="F619" s="1051" t="str">
        <f t="shared" si="63"/>
        <v>Essence (E85), France continentale, Base Carbone</v>
      </c>
      <c r="G619" s="1055" t="str">
        <f t="shared" si="64"/>
        <v>Essence (E85), France continentale, Base Carbone; kgCO2e/tonne, Amont</v>
      </c>
      <c r="I619" s="2018" t="s">
        <v>1584</v>
      </c>
      <c r="J619" s="1135" t="s">
        <v>1585</v>
      </c>
      <c r="K619" s="1135" t="s">
        <v>1567</v>
      </c>
      <c r="L619" s="1135" t="s">
        <v>1571</v>
      </c>
      <c r="M619" s="1033">
        <v>0.05</v>
      </c>
      <c r="N619" s="1135" t="s">
        <v>1570</v>
      </c>
      <c r="O619" s="1036">
        <v>991</v>
      </c>
      <c r="P619" s="1036">
        <v>699</v>
      </c>
      <c r="Q619" s="1036">
        <v>50.3</v>
      </c>
      <c r="R619" s="1036">
        <v>0</v>
      </c>
      <c r="S619" s="1036">
        <v>242</v>
      </c>
      <c r="T619" s="1036">
        <v>0</v>
      </c>
      <c r="U619" s="1037">
        <v>-1728.0962999999999</v>
      </c>
    </row>
    <row r="620" spans="2:21" hidden="1" outlineLevel="1">
      <c r="B620" s="1050">
        <v>21</v>
      </c>
      <c r="C620" s="1050" t="str">
        <f t="shared" si="61"/>
        <v>GPL pour véhicule routier, Nouvelle Calédonie, Base Carbone</v>
      </c>
      <c r="D620" s="1051">
        <f t="shared" si="62"/>
        <v>3</v>
      </c>
      <c r="E620" s="1051" t="str">
        <f>IF(COUNTIF(E$599:E619,F620)&gt;0,"",F620)</f>
        <v>Essence (Supercarburant sans plomb (95, 95-E10, 98)), France continentale, Base Carbone</v>
      </c>
      <c r="F620" s="1051" t="str">
        <f t="shared" si="63"/>
        <v>Essence (Supercarburant sans plomb (95, 95-E10, 98)), France continentale, Base Carbone</v>
      </c>
      <c r="G620" s="1055" t="str">
        <f t="shared" si="64"/>
        <v>Essence (Supercarburant sans plomb (95, 95-E10, 98)), France continentale, Base Carbone; kgCO2e/tep PCI, Combustion</v>
      </c>
      <c r="I620" s="1031" t="s">
        <v>1586</v>
      </c>
      <c r="J620" s="1032" t="s">
        <v>1575</v>
      </c>
      <c r="K620" s="1032" t="s">
        <v>1567</v>
      </c>
      <c r="L620" s="1032" t="s">
        <v>1571</v>
      </c>
      <c r="M620" s="1033">
        <v>0.05</v>
      </c>
      <c r="N620" s="1032" t="s">
        <v>1569</v>
      </c>
      <c r="O620" s="1036">
        <v>2907</v>
      </c>
      <c r="P620" s="1036">
        <v>2860</v>
      </c>
      <c r="Q620" s="1036">
        <v>23.3</v>
      </c>
      <c r="R620" s="1036">
        <v>0</v>
      </c>
      <c r="S620" s="1036">
        <v>23.8</v>
      </c>
      <c r="T620" s="1036">
        <v>0</v>
      </c>
      <c r="U620" s="1037">
        <v>156.14034000000001</v>
      </c>
    </row>
    <row r="621" spans="2:21" hidden="1" outlineLevel="1">
      <c r="B621" s="1050">
        <v>22</v>
      </c>
      <c r="C621" s="1050" t="str">
        <f t="shared" si="61"/>
        <v>Biodiesel  - mix moyen (changement d'affectation des sols scénario maximum), France continentale, Base Carbone</v>
      </c>
      <c r="D621" s="1051">
        <f t="shared" si="62"/>
        <v>3</v>
      </c>
      <c r="E621" s="1051" t="str">
        <f>IF(COUNTIF(E$599:E620,F621)&gt;0,"",F621)</f>
        <v/>
      </c>
      <c r="F621" s="1051" t="str">
        <f t="shared" si="63"/>
        <v>Essence (Supercarburant sans plomb (95, 95-E10, 98)), France continentale, Base Carbone</v>
      </c>
      <c r="G621" s="1055" t="str">
        <f t="shared" si="64"/>
        <v>Essence (Supercarburant sans plomb (95, 95-E10, 98)), France continentale, Base Carbone; kgCO2e/tep PCI, Amont</v>
      </c>
      <c r="I621" s="1031" t="s">
        <v>1586</v>
      </c>
      <c r="J621" s="1032" t="s">
        <v>1575</v>
      </c>
      <c r="K621" s="1032" t="s">
        <v>1567</v>
      </c>
      <c r="L621" s="1032" t="s">
        <v>1571</v>
      </c>
      <c r="M621" s="1033">
        <v>0.05</v>
      </c>
      <c r="N621" s="1032" t="s">
        <v>1570</v>
      </c>
      <c r="O621" s="1036">
        <v>651</v>
      </c>
      <c r="P621" s="1036">
        <v>569</v>
      </c>
      <c r="Q621" s="1036">
        <v>57.6</v>
      </c>
      <c r="R621" s="1036">
        <v>0</v>
      </c>
      <c r="S621" s="1036">
        <v>23.9</v>
      </c>
      <c r="T621" s="1036">
        <v>0</v>
      </c>
      <c r="U621" s="1037">
        <v>-156.14034000000001</v>
      </c>
    </row>
    <row r="622" spans="2:21" hidden="1" outlineLevel="1">
      <c r="B622" s="1050">
        <v>23</v>
      </c>
      <c r="C622" s="1050" t="str">
        <f t="shared" si="61"/>
        <v>Biodiesel - mix moyen (sans changement d'affectation des sols), France continentale, Base Carbone</v>
      </c>
      <c r="D622" s="1051">
        <f t="shared" si="62"/>
        <v>3</v>
      </c>
      <c r="E622" s="1051" t="str">
        <f>IF(COUNTIF(E$599:E621,F622)&gt;0,"",F622)</f>
        <v/>
      </c>
      <c r="F622" s="1051" t="str">
        <f t="shared" si="63"/>
        <v>Essence (Supercarburant sans plomb (95, 95-E10, 98)), France continentale, Base Carbone</v>
      </c>
      <c r="G622" s="1055" t="str">
        <f t="shared" si="64"/>
        <v>Essence (Supercarburant sans plomb (95, 95-E10, 98)), France continentale, Base Carbone; kgCO2e/GJ PCI, Combustion</v>
      </c>
      <c r="I622" s="1031" t="s">
        <v>1586</v>
      </c>
      <c r="J622" s="1032" t="s">
        <v>1566</v>
      </c>
      <c r="K622" s="1032" t="s">
        <v>1567</v>
      </c>
      <c r="L622" s="1032" t="s">
        <v>1571</v>
      </c>
      <c r="M622" s="1033">
        <v>0.05</v>
      </c>
      <c r="N622" s="1032" t="s">
        <v>1569</v>
      </c>
      <c r="O622" s="1036">
        <v>69.2</v>
      </c>
      <c r="P622" s="1036">
        <v>68.099999999999994</v>
      </c>
      <c r="Q622" s="1036">
        <v>0.56000000000000005</v>
      </c>
      <c r="R622" s="1036">
        <v>0</v>
      </c>
      <c r="S622" s="1036">
        <v>0.56000000000000005</v>
      </c>
      <c r="T622" s="1036">
        <v>0</v>
      </c>
      <c r="U622" s="1037">
        <v>3.730019</v>
      </c>
    </row>
    <row r="623" spans="2:21" hidden="1" outlineLevel="1">
      <c r="B623" s="1050">
        <v>24</v>
      </c>
      <c r="C623" s="1050" t="str">
        <f t="shared" si="61"/>
        <v>Bioéthanol (changement d'affectation des sols scénario maximum), France continentale, Base Carbone</v>
      </c>
      <c r="D623" s="1051">
        <f t="shared" si="62"/>
        <v>3</v>
      </c>
      <c r="E623" s="1051" t="str">
        <f>IF(COUNTIF(E$599:E622,F623)&gt;0,"",F623)</f>
        <v/>
      </c>
      <c r="F623" s="1051" t="str">
        <f t="shared" si="63"/>
        <v>Essence (Supercarburant sans plomb (95, 95-E10, 98)), France continentale, Base Carbone</v>
      </c>
      <c r="G623" s="1055" t="str">
        <f t="shared" si="64"/>
        <v>Essence (Supercarburant sans plomb (95, 95-E10, 98)), France continentale, Base Carbone; kgCO2e/GJ PCI, Amont</v>
      </c>
      <c r="I623" s="1031" t="s">
        <v>1586</v>
      </c>
      <c r="J623" s="1032" t="s">
        <v>1566</v>
      </c>
      <c r="K623" s="1032" t="s">
        <v>1567</v>
      </c>
      <c r="L623" s="1032" t="s">
        <v>1571</v>
      </c>
      <c r="M623" s="1033">
        <v>0.05</v>
      </c>
      <c r="N623" s="1032" t="s">
        <v>1570</v>
      </c>
      <c r="O623" s="1036">
        <v>15.5</v>
      </c>
      <c r="P623" s="1036">
        <v>13.6</v>
      </c>
      <c r="Q623" s="1036">
        <v>1.37</v>
      </c>
      <c r="R623" s="1036">
        <v>0</v>
      </c>
      <c r="S623" s="1036">
        <v>0.56000000000000005</v>
      </c>
      <c r="T623" s="1036">
        <v>0</v>
      </c>
      <c r="U623" s="1037">
        <v>-3.730019</v>
      </c>
    </row>
    <row r="624" spans="2:21" hidden="1" outlineLevel="1">
      <c r="B624" s="1050">
        <v>25</v>
      </c>
      <c r="C624" s="1050" t="str">
        <f t="shared" si="61"/>
        <v>Bioéthanol (changement d'affectation des sols scénario optimiste), France continentale, Base Carbone</v>
      </c>
      <c r="D624" s="1051">
        <f t="shared" si="62"/>
        <v>3</v>
      </c>
      <c r="E624" s="1051" t="str">
        <f>IF(COUNTIF(E$599:E623,F624)&gt;0,"",F624)</f>
        <v/>
      </c>
      <c r="F624" s="1051" t="str">
        <f t="shared" si="63"/>
        <v>Essence (Supercarburant sans plomb (95, 95-E10, 98)), France continentale, Base Carbone</v>
      </c>
      <c r="G624" s="1055" t="str">
        <f t="shared" si="64"/>
        <v>Essence (Supercarburant sans plomb (95, 95-E10, 98)), France continentale, Base Carbone; kgCO2e/tonne, Combustion</v>
      </c>
      <c r="I624" s="1031" t="s">
        <v>1586</v>
      </c>
      <c r="J624" s="1032" t="s">
        <v>1585</v>
      </c>
      <c r="K624" s="1032" t="s">
        <v>1567</v>
      </c>
      <c r="L624" s="1032" t="s">
        <v>1571</v>
      </c>
      <c r="M624" s="1033">
        <v>0.05</v>
      </c>
      <c r="N624" s="1032" t="s">
        <v>1569</v>
      </c>
      <c r="O624" s="1036">
        <v>2908</v>
      </c>
      <c r="P624" s="1036">
        <v>2860</v>
      </c>
      <c r="Q624" s="1036">
        <v>23.7</v>
      </c>
      <c r="R624" s="1036">
        <v>0</v>
      </c>
      <c r="S624" s="1036">
        <v>23.8</v>
      </c>
      <c r="T624" s="1036">
        <v>0</v>
      </c>
      <c r="U624" s="1037">
        <v>154.00137000000001</v>
      </c>
    </row>
    <row r="625" spans="2:21" hidden="1" outlineLevel="1">
      <c r="B625" s="1050">
        <v>26</v>
      </c>
      <c r="C625" s="1050" t="str">
        <f t="shared" si="61"/>
        <v>Bioéthanol (sans changement d'affectation des sols), France continentale, Base Carbone</v>
      </c>
      <c r="D625" s="1051">
        <f t="shared" si="62"/>
        <v>3</v>
      </c>
      <c r="E625" s="1051" t="str">
        <f>IF(COUNTIF(E$599:E624,F625)&gt;0,"",F625)</f>
        <v/>
      </c>
      <c r="F625" s="1051" t="str">
        <f t="shared" si="63"/>
        <v>Essence (Supercarburant sans plomb (95, 95-E10, 98)), France continentale, Base Carbone</v>
      </c>
      <c r="G625" s="1055" t="str">
        <f t="shared" si="64"/>
        <v>Essence (Supercarburant sans plomb (95, 95-E10, 98)), France continentale, Base Carbone; kgCO2e/tonne, Amont</v>
      </c>
      <c r="I625" s="1031" t="s">
        <v>1586</v>
      </c>
      <c r="J625" s="1032" t="s">
        <v>1585</v>
      </c>
      <c r="K625" s="1032" t="s">
        <v>1567</v>
      </c>
      <c r="L625" s="1032" t="s">
        <v>1571</v>
      </c>
      <c r="M625" s="1033">
        <v>0.05</v>
      </c>
      <c r="N625" s="1032" t="s">
        <v>1570</v>
      </c>
      <c r="O625" s="1036">
        <v>651</v>
      </c>
      <c r="P625" s="1036">
        <v>569</v>
      </c>
      <c r="Q625" s="1036">
        <v>58.5</v>
      </c>
      <c r="R625" s="1036">
        <v>0</v>
      </c>
      <c r="S625" s="1036">
        <v>23.9</v>
      </c>
      <c r="T625" s="1036">
        <v>0</v>
      </c>
      <c r="U625" s="1037">
        <v>-154.00137000000001</v>
      </c>
    </row>
    <row r="626" spans="2:21" hidden="1" outlineLevel="1">
      <c r="B626" s="1050">
        <v>27</v>
      </c>
      <c r="C626" s="1050" t="str">
        <f t="shared" si="61"/>
        <v>Biométhane - injecté dans les réseau - mix moyen, France continentale, Base Carbone</v>
      </c>
      <c r="D626" s="1051">
        <f t="shared" si="62"/>
        <v>3</v>
      </c>
      <c r="E626" s="1051" t="str">
        <f>IF(COUNTIF(E$599:E625,F626)&gt;0,"",F626)</f>
        <v/>
      </c>
      <c r="F626" s="1051" t="str">
        <f t="shared" si="63"/>
        <v>Essence (Supercarburant sans plomb (95, 95-E10, 98)), France continentale, Base Carbone</v>
      </c>
      <c r="G626" s="1055" t="str">
        <f t="shared" si="64"/>
        <v>Essence (Supercarburant sans plomb (95, 95-E10, 98)), France continentale, Base Carbone; kgCO2e/litre, Combustion</v>
      </c>
      <c r="I626" s="1031" t="s">
        <v>1586</v>
      </c>
      <c r="J626" s="1032" t="s">
        <v>1574</v>
      </c>
      <c r="K626" s="1032" t="s">
        <v>1567</v>
      </c>
      <c r="L626" s="1032" t="s">
        <v>1571</v>
      </c>
      <c r="M626" s="1033">
        <v>0.1</v>
      </c>
      <c r="N626" s="1032" t="s">
        <v>1569</v>
      </c>
      <c r="O626" s="1036">
        <v>2.21</v>
      </c>
      <c r="P626" s="1036">
        <v>2.17</v>
      </c>
      <c r="Q626" s="1036">
        <v>1.77E-2</v>
      </c>
      <c r="R626" s="1036">
        <v>0</v>
      </c>
      <c r="S626" s="1036">
        <v>1.78E-2</v>
      </c>
      <c r="T626" s="1036">
        <v>0</v>
      </c>
      <c r="U626" s="1037">
        <v>0.12743299999999999</v>
      </c>
    </row>
    <row r="627" spans="2:21" hidden="1" outlineLevel="1">
      <c r="B627" s="1050">
        <v>28</v>
      </c>
      <c r="C627" s="1050" t="str">
        <f t="shared" si="61"/>
        <v>Biopropane mix annuel - 2020, France continentale, Base Carbone</v>
      </c>
      <c r="D627" s="1051">
        <f t="shared" si="62"/>
        <v>3</v>
      </c>
      <c r="E627" s="1051" t="str">
        <f>IF(COUNTIF(E$599:E626,F627)&gt;0,"",F627)</f>
        <v/>
      </c>
      <c r="F627" s="1051" t="str">
        <f t="shared" si="63"/>
        <v>Essence (Supercarburant sans plomb (95, 95-E10, 98)), France continentale, Base Carbone</v>
      </c>
      <c r="G627" s="1055" t="str">
        <f t="shared" si="64"/>
        <v>Essence (Supercarburant sans plomb (95, 95-E10, 98)), France continentale, Base Carbone; kgCO2e/litre, Amont</v>
      </c>
      <c r="I627" s="1031" t="s">
        <v>1586</v>
      </c>
      <c r="J627" s="1032" t="s">
        <v>1574</v>
      </c>
      <c r="K627" s="1032" t="s">
        <v>1567</v>
      </c>
      <c r="L627" s="1032" t="s">
        <v>1571</v>
      </c>
      <c r="M627" s="1033">
        <v>0.1</v>
      </c>
      <c r="N627" s="1032" t="s">
        <v>1570</v>
      </c>
      <c r="O627" s="1036">
        <v>0.49399999999999999</v>
      </c>
      <c r="P627" s="1036">
        <v>0.432</v>
      </c>
      <c r="Q627" s="1036">
        <v>4.3700000000000003E-2</v>
      </c>
      <c r="R627" s="1036">
        <v>0</v>
      </c>
      <c r="S627" s="1036">
        <v>1.78E-2</v>
      </c>
      <c r="T627" s="1036">
        <v>0</v>
      </c>
      <c r="U627" s="1037">
        <v>-0.12743299999999999</v>
      </c>
    </row>
    <row r="628" spans="2:21" hidden="1" outlineLevel="1">
      <c r="B628" s="1050">
        <v>29</v>
      </c>
      <c r="C628" s="1050" t="str">
        <f t="shared" si="61"/>
        <v>BioGNC - biométhane comprimé pour véhicule routier - mix moyen, France continentale, Base Carbone</v>
      </c>
      <c r="D628" s="1051">
        <f t="shared" si="62"/>
        <v>3</v>
      </c>
      <c r="E628" s="1051" t="str">
        <f>IF(COUNTIF(E$599:E627,F628)&gt;0,"",F628)</f>
        <v/>
      </c>
      <c r="F628" s="1051" t="str">
        <f t="shared" si="63"/>
        <v>Essence (Supercarburant sans plomb (95, 95-E10, 98)), France continentale, Base Carbone</v>
      </c>
      <c r="G628" s="1055" t="str">
        <f t="shared" si="64"/>
        <v>Essence (Supercarburant sans plomb (95, 95-E10, 98)), France continentale, Base Carbone; kgCO2e/kWh PCI, Combustion</v>
      </c>
      <c r="I628" s="1031" t="s">
        <v>1586</v>
      </c>
      <c r="J628" s="1032" t="s">
        <v>1573</v>
      </c>
      <c r="K628" s="1032" t="s">
        <v>1567</v>
      </c>
      <c r="L628" s="1032" t="s">
        <v>1571</v>
      </c>
      <c r="M628" s="1033">
        <v>0.05</v>
      </c>
      <c r="N628" s="1032" t="s">
        <v>1569</v>
      </c>
      <c r="O628" s="1036">
        <v>0.254</v>
      </c>
      <c r="P628" s="1036">
        <v>0.25</v>
      </c>
      <c r="Q628" s="1036">
        <v>2.0100000000000001E-3</v>
      </c>
      <c r="R628" s="1036">
        <v>0</v>
      </c>
      <c r="S628" s="1036">
        <v>2.1199999999999999E-3</v>
      </c>
      <c r="T628" s="1036">
        <v>0</v>
      </c>
      <c r="U628" s="1037">
        <v>1.3428000000000001E-2</v>
      </c>
    </row>
    <row r="629" spans="2:21" hidden="1" outlineLevel="1">
      <c r="B629" s="1050">
        <v>30</v>
      </c>
      <c r="C629" s="1050" t="str">
        <f t="shared" si="61"/>
        <v>-</v>
      </c>
      <c r="D629" s="1051">
        <f t="shared" si="62"/>
        <v>3</v>
      </c>
      <c r="E629" s="1051" t="str">
        <f>IF(COUNTIF(E$599:E628,F629)&gt;0,"",F629)</f>
        <v/>
      </c>
      <c r="F629" s="1051" t="str">
        <f t="shared" si="63"/>
        <v>Essence (Supercarburant sans plomb (95, 95-E10, 98)), France continentale, Base Carbone</v>
      </c>
      <c r="G629" s="1055" t="str">
        <f t="shared" si="64"/>
        <v>Essence (Supercarburant sans plomb (95, 95-E10, 98)), France continentale, Base Carbone; kgCO2e/kWh PCI, Amont</v>
      </c>
      <c r="I629" s="1031" t="s">
        <v>1586</v>
      </c>
      <c r="J629" s="1032" t="s">
        <v>1573</v>
      </c>
      <c r="K629" s="1032" t="s">
        <v>1567</v>
      </c>
      <c r="L629" s="1032" t="s">
        <v>1571</v>
      </c>
      <c r="M629" s="1033">
        <v>0.05</v>
      </c>
      <c r="N629" s="1032" t="s">
        <v>1570</v>
      </c>
      <c r="O629" s="1036">
        <v>5.7099999999999998E-2</v>
      </c>
      <c r="P629" s="1036">
        <v>0.05</v>
      </c>
      <c r="Q629" s="1036">
        <v>4.9500000000000004E-3</v>
      </c>
      <c r="R629" s="1036">
        <v>0</v>
      </c>
      <c r="S629" s="1036">
        <v>2.1199999999999999E-3</v>
      </c>
      <c r="T629" s="1036">
        <v>0</v>
      </c>
      <c r="U629" s="1037">
        <v>-1.3428000000000001E-2</v>
      </c>
    </row>
    <row r="630" spans="2:21" hidden="1" outlineLevel="1">
      <c r="B630" s="1050">
        <v>31</v>
      </c>
      <c r="C630" s="1050" t="str">
        <f t="shared" si="61"/>
        <v>-</v>
      </c>
      <c r="D630" s="1051">
        <f t="shared" si="62"/>
        <v>4</v>
      </c>
      <c r="E630" s="1051" t="str">
        <f>IF(COUNTIF(E$599:E629,F630)&gt;0,"",F630)</f>
        <v>Essence (Supercarburant sans plomb (95, 95-E10, 98)), Polynésie Française, Base Carbone</v>
      </c>
      <c r="F630" s="1051" t="str">
        <f t="shared" si="63"/>
        <v>Essence (Supercarburant sans plomb (95, 95-E10, 98)), Polynésie Française, Base Carbone</v>
      </c>
      <c r="G630" s="1055" t="str">
        <f t="shared" si="64"/>
        <v>Essence (Supercarburant sans plomb (95, 95-E10, 98)), Polynésie Française, Base Carbone; kgCO2e/kg, Combustion</v>
      </c>
      <c r="I630" s="1031" t="s">
        <v>1586</v>
      </c>
      <c r="J630" s="2060" t="s">
        <v>1572</v>
      </c>
      <c r="K630" s="2589" t="s">
        <v>1567</v>
      </c>
      <c r="L630" s="2589" t="s">
        <v>637</v>
      </c>
      <c r="M630" s="2039">
        <v>0.05</v>
      </c>
      <c r="N630" s="2589" t="s">
        <v>1569</v>
      </c>
      <c r="O630" s="2302">
        <v>3.21</v>
      </c>
      <c r="P630" s="2302">
        <f>O630</f>
        <v>3.21</v>
      </c>
      <c r="Q630" s="2302">
        <v>0</v>
      </c>
      <c r="R630" s="2302">
        <v>0</v>
      </c>
      <c r="S630" s="2302">
        <v>0</v>
      </c>
      <c r="T630" s="2302">
        <v>0</v>
      </c>
      <c r="U630" s="2036">
        <v>0</v>
      </c>
    </row>
    <row r="631" spans="2:21" hidden="1" outlineLevel="1">
      <c r="B631" s="1050">
        <v>32</v>
      </c>
      <c r="C631" s="1050" t="str">
        <f t="shared" si="61"/>
        <v>-</v>
      </c>
      <c r="D631" s="1051">
        <f t="shared" si="62"/>
        <v>4</v>
      </c>
      <c r="E631" s="1051" t="str">
        <f>IF(COUNTIF(E$599:E630,F631)&gt;0,"",F631)</f>
        <v/>
      </c>
      <c r="F631" s="1051" t="str">
        <f t="shared" si="63"/>
        <v>Essence (Supercarburant sans plomb (95, 95-E10, 98)), Polynésie Française, Base Carbone</v>
      </c>
      <c r="G631" s="1055" t="str">
        <f t="shared" si="64"/>
        <v>Essence (Supercarburant sans plomb (95, 95-E10, 98)), Polynésie Française, Base Carbone; kgCO2e/kg, Amont</v>
      </c>
      <c r="I631" s="1031" t="s">
        <v>1586</v>
      </c>
      <c r="J631" s="2060" t="s">
        <v>1572</v>
      </c>
      <c r="K631" s="2589" t="s">
        <v>1567</v>
      </c>
      <c r="L631" s="2589" t="s">
        <v>637</v>
      </c>
      <c r="M631" s="2039">
        <v>0.05</v>
      </c>
      <c r="N631" s="2589" t="s">
        <v>1570</v>
      </c>
      <c r="O631" s="2302">
        <v>0.70899999999999996</v>
      </c>
      <c r="P631" s="2302">
        <f t="shared" ref="P631:P661" si="65">O631</f>
        <v>0.70899999999999996</v>
      </c>
      <c r="Q631" s="2302">
        <v>0</v>
      </c>
      <c r="R631" s="2302">
        <v>0</v>
      </c>
      <c r="S631" s="2302">
        <v>0</v>
      </c>
      <c r="T631" s="2302">
        <v>0</v>
      </c>
      <c r="U631" s="2036">
        <v>0</v>
      </c>
    </row>
    <row r="632" spans="2:21" hidden="1" outlineLevel="1">
      <c r="B632" s="1050">
        <v>33</v>
      </c>
      <c r="C632" s="1050" t="str">
        <f t="shared" si="61"/>
        <v>-</v>
      </c>
      <c r="D632" s="1051">
        <f t="shared" si="62"/>
        <v>4</v>
      </c>
      <c r="E632" s="1051" t="str">
        <f>IF(COUNTIF(E$599:E631,F632)&gt;0,"",F632)</f>
        <v/>
      </c>
      <c r="F632" s="1051" t="str">
        <f t="shared" si="63"/>
        <v>Essence (Supercarburant sans plomb (95, 95-E10, 98)), Polynésie Française, Base Carbone</v>
      </c>
      <c r="G632" s="1055" t="str">
        <f t="shared" si="64"/>
        <v>Essence (Supercarburant sans plomb (95, 95-E10, 98)), Polynésie Française, Base Carbone; kgCO2e/kWh PCI, Combustion</v>
      </c>
      <c r="I632" s="1031" t="s">
        <v>1586</v>
      </c>
      <c r="J632" s="2352" t="s">
        <v>1573</v>
      </c>
      <c r="K632" s="2352" t="s">
        <v>1567</v>
      </c>
      <c r="L632" s="2352" t="s">
        <v>637</v>
      </c>
      <c r="M632" s="2039">
        <v>0.05</v>
      </c>
      <c r="N632" s="2352" t="s">
        <v>1569</v>
      </c>
      <c r="O632" s="2354">
        <v>0.26300000000000001</v>
      </c>
      <c r="P632" s="2353">
        <f t="shared" si="65"/>
        <v>0.26300000000000001</v>
      </c>
      <c r="Q632" s="2353">
        <v>0</v>
      </c>
      <c r="R632" s="2353">
        <v>0</v>
      </c>
      <c r="S632" s="2353">
        <v>0</v>
      </c>
      <c r="T632" s="2353">
        <v>0</v>
      </c>
      <c r="U632" s="2057">
        <v>0</v>
      </c>
    </row>
    <row r="633" spans="2:21" hidden="1" outlineLevel="1">
      <c r="B633" s="1045"/>
      <c r="C633" s="1045"/>
      <c r="D633" s="1051">
        <f t="shared" si="62"/>
        <v>4</v>
      </c>
      <c r="E633" s="1051" t="str">
        <f>IF(COUNTIF(E$599:E632,F633)&gt;0,"",F633)</f>
        <v/>
      </c>
      <c r="F633" s="1051" t="str">
        <f t="shared" si="63"/>
        <v>Essence (Supercarburant sans plomb (95, 95-E10, 98)), Polynésie Française, Base Carbone</v>
      </c>
      <c r="G633" s="1055" t="str">
        <f t="shared" si="64"/>
        <v>Essence (Supercarburant sans plomb (95, 95-E10, 98)), Polynésie Française, Base Carbone; kgCO2e/kWh PCI, Amont</v>
      </c>
      <c r="I633" s="1031" t="s">
        <v>1586</v>
      </c>
      <c r="J633" s="2352" t="s">
        <v>1573</v>
      </c>
      <c r="K633" s="2352" t="s">
        <v>1567</v>
      </c>
      <c r="L633" s="2352" t="s">
        <v>637</v>
      </c>
      <c r="M633" s="2039">
        <v>0.05</v>
      </c>
      <c r="N633" s="2352" t="s">
        <v>1570</v>
      </c>
      <c r="O633" s="2354">
        <v>5.8000000000000003E-2</v>
      </c>
      <c r="P633" s="2353">
        <f t="shared" si="65"/>
        <v>5.8000000000000003E-2</v>
      </c>
      <c r="Q633" s="2353">
        <v>0</v>
      </c>
      <c r="R633" s="2353">
        <v>0</v>
      </c>
      <c r="S633" s="2353">
        <v>0</v>
      </c>
      <c r="T633" s="2353">
        <v>0</v>
      </c>
      <c r="U633" s="2057">
        <v>0</v>
      </c>
    </row>
    <row r="634" spans="2:21" hidden="1" outlineLevel="1">
      <c r="B634" s="1045"/>
      <c r="C634" s="1045"/>
      <c r="D634" s="1051">
        <f t="shared" si="62"/>
        <v>4</v>
      </c>
      <c r="E634" s="1051" t="str">
        <f>IF(COUNTIF(E$599:E633,F634)&gt;0,"",F634)</f>
        <v/>
      </c>
      <c r="F634" s="1051" t="str">
        <f t="shared" si="63"/>
        <v>Essence (Supercarburant sans plomb (95, 95-E10, 98)), Polynésie Française, Base Carbone</v>
      </c>
      <c r="G634" s="1055" t="str">
        <f t="shared" si="64"/>
        <v>Essence (Supercarburant sans plomb (95, 95-E10, 98)), Polynésie Française, Base Carbone; kgCO2e/tep PCI, Combustion</v>
      </c>
      <c r="I634" s="1031" t="s">
        <v>1586</v>
      </c>
      <c r="J634" s="2352" t="s">
        <v>1575</v>
      </c>
      <c r="K634" s="2352" t="s">
        <v>1567</v>
      </c>
      <c r="L634" s="2352" t="s">
        <v>637</v>
      </c>
      <c r="M634" s="2039">
        <v>0.05</v>
      </c>
      <c r="N634" s="2352" t="s">
        <v>1569</v>
      </c>
      <c r="O634" s="2354">
        <v>3060</v>
      </c>
      <c r="P634" s="2353">
        <f t="shared" si="65"/>
        <v>3060</v>
      </c>
      <c r="Q634" s="2353">
        <v>0</v>
      </c>
      <c r="R634" s="2353">
        <v>0</v>
      </c>
      <c r="S634" s="2353">
        <v>0</v>
      </c>
      <c r="T634" s="2353">
        <v>0</v>
      </c>
      <c r="U634" s="2057">
        <v>0</v>
      </c>
    </row>
    <row r="635" spans="2:21" hidden="1" outlineLevel="1">
      <c r="B635" s="1045"/>
      <c r="C635" s="1045"/>
      <c r="D635" s="1051">
        <f t="shared" si="62"/>
        <v>4</v>
      </c>
      <c r="E635" s="1051" t="str">
        <f>IF(COUNTIF(E$599:E634,F635)&gt;0,"",F635)</f>
        <v/>
      </c>
      <c r="F635" s="1051" t="str">
        <f t="shared" si="63"/>
        <v>Essence (Supercarburant sans plomb (95, 95-E10, 98)), Polynésie Française, Base Carbone</v>
      </c>
      <c r="G635" s="1055" t="str">
        <f t="shared" si="64"/>
        <v>Essence (Supercarburant sans plomb (95, 95-E10, 98)), Polynésie Française, Base Carbone; kgCO2e/tep PCI, Amont</v>
      </c>
      <c r="I635" s="1031" t="s">
        <v>1586</v>
      </c>
      <c r="J635" s="2352" t="s">
        <v>1575</v>
      </c>
      <c r="K635" s="2352" t="s">
        <v>1567</v>
      </c>
      <c r="L635" s="2352" t="s">
        <v>637</v>
      </c>
      <c r="M635" s="2039">
        <v>0.05</v>
      </c>
      <c r="N635" s="2352" t="s">
        <v>1570</v>
      </c>
      <c r="O635" s="2354">
        <v>675</v>
      </c>
      <c r="P635" s="2353">
        <f t="shared" si="65"/>
        <v>675</v>
      </c>
      <c r="Q635" s="2353">
        <v>0</v>
      </c>
      <c r="R635" s="2353">
        <v>0</v>
      </c>
      <c r="S635" s="2353">
        <v>0</v>
      </c>
      <c r="T635" s="2353">
        <v>0</v>
      </c>
      <c r="U635" s="2057">
        <v>0</v>
      </c>
    </row>
    <row r="636" spans="2:21" hidden="1" outlineLevel="1">
      <c r="B636" s="1045"/>
      <c r="C636" s="1045"/>
      <c r="D636" s="1051">
        <f t="shared" si="62"/>
        <v>4</v>
      </c>
      <c r="E636" s="1051" t="str">
        <f>IF(COUNTIF(E$599:E635,F636)&gt;0,"",F636)</f>
        <v/>
      </c>
      <c r="F636" s="1051" t="str">
        <f t="shared" si="63"/>
        <v>Essence (Supercarburant sans plomb (95, 95-E10, 98)), Polynésie Française, Base Carbone</v>
      </c>
      <c r="G636" s="1055" t="str">
        <f t="shared" si="64"/>
        <v>Essence (Supercarburant sans plomb (95, 95-E10, 98)), Polynésie Française, Base Carbone; kgCO2e/litre, Combustion</v>
      </c>
      <c r="I636" s="1031" t="s">
        <v>1586</v>
      </c>
      <c r="J636" s="2352" t="s">
        <v>1574</v>
      </c>
      <c r="K636" s="2352" t="s">
        <v>1567</v>
      </c>
      <c r="L636" s="2352" t="s">
        <v>637</v>
      </c>
      <c r="M636" s="2039">
        <v>0.1</v>
      </c>
      <c r="N636" s="2352" t="s">
        <v>1569</v>
      </c>
      <c r="O636" s="2354">
        <v>2.4300000000000002</v>
      </c>
      <c r="P636" s="2353">
        <f t="shared" si="65"/>
        <v>2.4300000000000002</v>
      </c>
      <c r="Q636" s="2353">
        <v>0</v>
      </c>
      <c r="R636" s="2353">
        <v>0</v>
      </c>
      <c r="S636" s="2353">
        <v>0</v>
      </c>
      <c r="T636" s="2353">
        <v>0</v>
      </c>
      <c r="U636" s="2057">
        <v>0</v>
      </c>
    </row>
    <row r="637" spans="2:21" hidden="1" outlineLevel="1">
      <c r="B637" s="1045"/>
      <c r="C637" s="1045"/>
      <c r="D637" s="1051">
        <f t="shared" si="62"/>
        <v>4</v>
      </c>
      <c r="E637" s="1051" t="str">
        <f>IF(COUNTIF(E$599:E636,F637)&gt;0,"",F637)</f>
        <v/>
      </c>
      <c r="F637" s="1051" t="str">
        <f t="shared" si="63"/>
        <v>Essence (Supercarburant sans plomb (95, 95-E10, 98)), Polynésie Française, Base Carbone</v>
      </c>
      <c r="G637" s="1055" t="str">
        <f t="shared" si="64"/>
        <v>Essence (Supercarburant sans plomb (95, 95-E10, 98)), Polynésie Française, Base Carbone; kgCO2e/litre, Amont</v>
      </c>
      <c r="I637" s="1031" t="s">
        <v>1586</v>
      </c>
      <c r="J637" s="2352" t="s">
        <v>1574</v>
      </c>
      <c r="K637" s="2352" t="s">
        <v>1567</v>
      </c>
      <c r="L637" s="2352" t="s">
        <v>637</v>
      </c>
      <c r="M637" s="2039">
        <v>0.1</v>
      </c>
      <c r="N637" s="2352" t="s">
        <v>1570</v>
      </c>
      <c r="O637" s="2354">
        <v>0.53500000000000003</v>
      </c>
      <c r="P637" s="2353">
        <f t="shared" si="65"/>
        <v>0.53500000000000003</v>
      </c>
      <c r="Q637" s="2353">
        <v>0</v>
      </c>
      <c r="R637" s="2353">
        <v>0</v>
      </c>
      <c r="S637" s="2353">
        <v>0</v>
      </c>
      <c r="T637" s="2353">
        <v>0</v>
      </c>
      <c r="U637" s="2057">
        <v>0</v>
      </c>
    </row>
    <row r="638" spans="2:21" hidden="1" outlineLevel="1">
      <c r="B638" s="1045"/>
      <c r="C638" s="1045"/>
      <c r="D638" s="1051">
        <f t="shared" si="62"/>
        <v>5</v>
      </c>
      <c r="E638" s="1051" t="str">
        <f>IF(COUNTIF(E$599:E637,F638)&gt;0,"",F638)</f>
        <v>Essence (Supercarburant sans plomb (95, 95-E10, 98)), Réunion, Base Carbone</v>
      </c>
      <c r="F638" s="1051" t="str">
        <f t="shared" si="63"/>
        <v>Essence (Supercarburant sans plomb (95, 95-E10, 98)), Réunion, Base Carbone</v>
      </c>
      <c r="G638" s="1055" t="str">
        <f t="shared" si="64"/>
        <v>Essence (Supercarburant sans plomb (95, 95-E10, 98)), Réunion, Base Carbone; kgCO2e/kg, Combustion</v>
      </c>
      <c r="I638" s="1031" t="s">
        <v>1586</v>
      </c>
      <c r="J638" s="1979" t="s">
        <v>1572</v>
      </c>
      <c r="K638" s="2352" t="s">
        <v>1567</v>
      </c>
      <c r="L638" s="2352" t="s">
        <v>785</v>
      </c>
      <c r="M638" s="2039">
        <v>0.05</v>
      </c>
      <c r="N638" s="2352" t="s">
        <v>1569</v>
      </c>
      <c r="O638" s="2353">
        <v>3.21</v>
      </c>
      <c r="P638" s="2353">
        <f t="shared" si="65"/>
        <v>3.21</v>
      </c>
      <c r="Q638" s="2353">
        <v>0</v>
      </c>
      <c r="R638" s="2353">
        <v>0</v>
      </c>
      <c r="S638" s="2353">
        <v>0</v>
      </c>
      <c r="T638" s="2353">
        <v>0</v>
      </c>
      <c r="U638" s="2057">
        <v>0</v>
      </c>
    </row>
    <row r="639" spans="2:21" hidden="1" outlineLevel="1">
      <c r="B639" s="1045"/>
      <c r="C639" s="1045"/>
      <c r="D639" s="1051">
        <f t="shared" si="62"/>
        <v>5</v>
      </c>
      <c r="E639" s="1051" t="str">
        <f>IF(COUNTIF(E$599:E638,F639)&gt;0,"",F639)</f>
        <v/>
      </c>
      <c r="F639" s="1051" t="str">
        <f t="shared" si="63"/>
        <v>Essence (Supercarburant sans plomb (95, 95-E10, 98)), Réunion, Base Carbone</v>
      </c>
      <c r="G639" s="1055" t="str">
        <f t="shared" si="64"/>
        <v>Essence (Supercarburant sans plomb (95, 95-E10, 98)), Réunion, Base Carbone; kgCO2e/kg, Amont</v>
      </c>
      <c r="I639" s="1031" t="s">
        <v>1586</v>
      </c>
      <c r="J639" s="1979" t="s">
        <v>1572</v>
      </c>
      <c r="K639" s="2352" t="s">
        <v>1567</v>
      </c>
      <c r="L639" s="2352" t="s">
        <v>785</v>
      </c>
      <c r="M639" s="2039">
        <v>0.05</v>
      </c>
      <c r="N639" s="2352" t="s">
        <v>1570</v>
      </c>
      <c r="O639" s="2353">
        <v>0.64200000000000002</v>
      </c>
      <c r="P639" s="2353">
        <f t="shared" si="65"/>
        <v>0.64200000000000002</v>
      </c>
      <c r="Q639" s="2353">
        <v>0</v>
      </c>
      <c r="R639" s="2353">
        <v>0</v>
      </c>
      <c r="S639" s="2353">
        <v>0</v>
      </c>
      <c r="T639" s="2353">
        <v>0</v>
      </c>
      <c r="U639" s="2057">
        <v>0</v>
      </c>
    </row>
    <row r="640" spans="2:21" hidden="1" outlineLevel="1">
      <c r="B640" s="1045"/>
      <c r="C640" s="1045"/>
      <c r="D640" s="1051">
        <f t="shared" si="62"/>
        <v>5</v>
      </c>
      <c r="E640" s="1051" t="str">
        <f>IF(COUNTIF(E$599:E639,F640)&gt;0,"",F640)</f>
        <v/>
      </c>
      <c r="F640" s="1051" t="str">
        <f t="shared" si="63"/>
        <v>Essence (Supercarburant sans plomb (95, 95-E10, 98)), Réunion, Base Carbone</v>
      </c>
      <c r="G640" s="1055" t="str">
        <f t="shared" si="64"/>
        <v>Essence (Supercarburant sans plomb (95, 95-E10, 98)), Réunion, Base Carbone; kgCO2e/kWh PCI, Combustion</v>
      </c>
      <c r="I640" s="1031" t="s">
        <v>1586</v>
      </c>
      <c r="J640" s="2352" t="s">
        <v>1573</v>
      </c>
      <c r="K640" s="2352" t="s">
        <v>1567</v>
      </c>
      <c r="L640" s="2352" t="s">
        <v>785</v>
      </c>
      <c r="M640" s="2039">
        <v>0.05</v>
      </c>
      <c r="N640" s="2352" t="s">
        <v>1569</v>
      </c>
      <c r="O640" s="2354">
        <v>0.26400000000000001</v>
      </c>
      <c r="P640" s="2353">
        <f t="shared" si="65"/>
        <v>0.26400000000000001</v>
      </c>
      <c r="Q640" s="2353">
        <v>0</v>
      </c>
      <c r="R640" s="2353">
        <v>0</v>
      </c>
      <c r="S640" s="2353">
        <v>0</v>
      </c>
      <c r="T640" s="2353">
        <v>0</v>
      </c>
      <c r="U640" s="2057">
        <v>0</v>
      </c>
    </row>
    <row r="641" spans="2:21" hidden="1" outlineLevel="1">
      <c r="B641" s="1045"/>
      <c r="C641" s="1045"/>
      <c r="D641" s="1051">
        <f t="shared" si="62"/>
        <v>5</v>
      </c>
      <c r="E641" s="1051" t="str">
        <f>IF(COUNTIF(E$599:E640,F641)&gt;0,"",F641)</f>
        <v/>
      </c>
      <c r="F641" s="1051" t="str">
        <f t="shared" si="63"/>
        <v>Essence (Supercarburant sans plomb (95, 95-E10, 98)), Réunion, Base Carbone</v>
      </c>
      <c r="G641" s="1055" t="str">
        <f t="shared" si="64"/>
        <v>Essence (Supercarburant sans plomb (95, 95-E10, 98)), Réunion, Base Carbone; kgCO2e/kWh PCI, Amont</v>
      </c>
      <c r="I641" s="1031" t="s">
        <v>1586</v>
      </c>
      <c r="J641" s="2352" t="s">
        <v>1573</v>
      </c>
      <c r="K641" s="2352" t="s">
        <v>1567</v>
      </c>
      <c r="L641" s="2352" t="s">
        <v>785</v>
      </c>
      <c r="M641" s="2039">
        <v>0.05</v>
      </c>
      <c r="N641" s="2352" t="s">
        <v>1570</v>
      </c>
      <c r="O641" s="2354">
        <v>5.1299999999999998E-2</v>
      </c>
      <c r="P641" s="2353">
        <f t="shared" si="65"/>
        <v>5.1299999999999998E-2</v>
      </c>
      <c r="Q641" s="2353">
        <v>0</v>
      </c>
      <c r="R641" s="2353">
        <v>0</v>
      </c>
      <c r="S641" s="2353">
        <v>0</v>
      </c>
      <c r="T641" s="2353">
        <v>0</v>
      </c>
      <c r="U641" s="2057">
        <v>0</v>
      </c>
    </row>
    <row r="642" spans="2:21" hidden="1" outlineLevel="1">
      <c r="B642" s="1045"/>
      <c r="C642" s="1045"/>
      <c r="D642" s="1051">
        <f t="shared" si="62"/>
        <v>5</v>
      </c>
      <c r="E642" s="1051" t="str">
        <f>IF(COUNTIF(E$599:E641,F642)&gt;0,"",F642)</f>
        <v/>
      </c>
      <c r="F642" s="1051" t="str">
        <f t="shared" si="63"/>
        <v>Essence (Supercarburant sans plomb (95, 95-E10, 98)), Réunion, Base Carbone</v>
      </c>
      <c r="G642" s="1055" t="str">
        <f t="shared" si="64"/>
        <v>Essence (Supercarburant sans plomb (95, 95-E10, 98)), Réunion, Base Carbone; kgCO2e/tep PCI, Combustion</v>
      </c>
      <c r="I642" s="1031" t="s">
        <v>1586</v>
      </c>
      <c r="J642" s="2352" t="s">
        <v>1575</v>
      </c>
      <c r="K642" s="2352" t="s">
        <v>1567</v>
      </c>
      <c r="L642" s="2352" t="s">
        <v>785</v>
      </c>
      <c r="M642" s="2039">
        <v>0.05</v>
      </c>
      <c r="N642" s="2352" t="s">
        <v>1569</v>
      </c>
      <c r="O642" s="2354">
        <v>3070</v>
      </c>
      <c r="P642" s="2353">
        <f t="shared" si="65"/>
        <v>3070</v>
      </c>
      <c r="Q642" s="2353">
        <v>0</v>
      </c>
      <c r="R642" s="2353">
        <v>0</v>
      </c>
      <c r="S642" s="2353">
        <v>0</v>
      </c>
      <c r="T642" s="2353">
        <v>0</v>
      </c>
      <c r="U642" s="2057">
        <v>0</v>
      </c>
    </row>
    <row r="643" spans="2:21" hidden="1" outlineLevel="1">
      <c r="B643" s="1045"/>
      <c r="C643" s="1045"/>
      <c r="D643" s="1051">
        <f t="shared" si="62"/>
        <v>5</v>
      </c>
      <c r="E643" s="1051" t="str">
        <f>IF(COUNTIF(E$599:E642,F643)&gt;0,"",F643)</f>
        <v/>
      </c>
      <c r="F643" s="1051" t="str">
        <f t="shared" si="63"/>
        <v>Essence (Supercarburant sans plomb (95, 95-E10, 98)), Réunion, Base Carbone</v>
      </c>
      <c r="G643" s="1055" t="str">
        <f t="shared" si="64"/>
        <v>Essence (Supercarburant sans plomb (95, 95-E10, 98)), Réunion, Base Carbone; kgCO2e/tep PCI, Amont</v>
      </c>
      <c r="I643" s="1031" t="s">
        <v>1586</v>
      </c>
      <c r="J643" s="2352" t="s">
        <v>1575</v>
      </c>
      <c r="K643" s="2352" t="s">
        <v>1567</v>
      </c>
      <c r="L643" s="2352" t="s">
        <v>785</v>
      </c>
      <c r="M643" s="2039">
        <v>0.05</v>
      </c>
      <c r="N643" s="2352" t="s">
        <v>1570</v>
      </c>
      <c r="O643" s="2354">
        <v>612</v>
      </c>
      <c r="P643" s="2353">
        <f t="shared" si="65"/>
        <v>612</v>
      </c>
      <c r="Q643" s="2353">
        <v>0</v>
      </c>
      <c r="R643" s="2353">
        <v>0</v>
      </c>
      <c r="S643" s="2353">
        <v>0</v>
      </c>
      <c r="T643" s="2353">
        <v>0</v>
      </c>
      <c r="U643" s="2057">
        <v>0</v>
      </c>
    </row>
    <row r="644" spans="2:21" hidden="1" outlineLevel="1">
      <c r="B644" s="1045"/>
      <c r="C644" s="1045"/>
      <c r="D644" s="1051">
        <f t="shared" si="62"/>
        <v>5</v>
      </c>
      <c r="E644" s="1051" t="str">
        <f>IF(COUNTIF(E$599:E643,F644)&gt;0,"",F644)</f>
        <v/>
      </c>
      <c r="F644" s="1051" t="str">
        <f t="shared" si="63"/>
        <v>Essence (Supercarburant sans plomb (95, 95-E10, 98)), Réunion, Base Carbone</v>
      </c>
      <c r="G644" s="1055" t="str">
        <f t="shared" si="64"/>
        <v>Essence (Supercarburant sans plomb (95, 95-E10, 98)), Réunion, Base Carbone; kgCO2e/litre, Combustion</v>
      </c>
      <c r="I644" s="1031" t="s">
        <v>1586</v>
      </c>
      <c r="J644" s="2352" t="s">
        <v>1574</v>
      </c>
      <c r="K644" s="2352" t="s">
        <v>1567</v>
      </c>
      <c r="L644" s="2352" t="s">
        <v>785</v>
      </c>
      <c r="M644" s="2039">
        <v>0.1</v>
      </c>
      <c r="N644" s="2352" t="s">
        <v>1569</v>
      </c>
      <c r="O644" s="2354">
        <v>2.4300000000000002</v>
      </c>
      <c r="P644" s="2353">
        <f t="shared" si="65"/>
        <v>2.4300000000000002</v>
      </c>
      <c r="Q644" s="2353">
        <v>0</v>
      </c>
      <c r="R644" s="2353">
        <v>0</v>
      </c>
      <c r="S644" s="2353">
        <v>0</v>
      </c>
      <c r="T644" s="2353">
        <v>0</v>
      </c>
      <c r="U644" s="2057">
        <v>0</v>
      </c>
    </row>
    <row r="645" spans="2:21" hidden="1" outlineLevel="1">
      <c r="B645" s="1045"/>
      <c r="C645" s="1045"/>
      <c r="D645" s="1051">
        <f t="shared" si="62"/>
        <v>5</v>
      </c>
      <c r="E645" s="1051" t="str">
        <f>IF(COUNTIF(E$599:E644,F645)&gt;0,"",F645)</f>
        <v/>
      </c>
      <c r="F645" s="1051" t="str">
        <f t="shared" si="63"/>
        <v>Essence (Supercarburant sans plomb (95, 95-E10, 98)), Réunion, Base Carbone</v>
      </c>
      <c r="G645" s="1055" t="str">
        <f t="shared" si="64"/>
        <v>Essence (Supercarburant sans plomb (95, 95-E10, 98)), Réunion, Base Carbone; kgCO2e/litre, Amont</v>
      </c>
      <c r="I645" s="1031" t="s">
        <v>1586</v>
      </c>
      <c r="J645" s="2352" t="s">
        <v>1574</v>
      </c>
      <c r="K645" s="2352" t="s">
        <v>1567</v>
      </c>
      <c r="L645" s="2352" t="s">
        <v>785</v>
      </c>
      <c r="M645" s="2039">
        <v>0.1</v>
      </c>
      <c r="N645" s="2352" t="s">
        <v>1570</v>
      </c>
      <c r="O645" s="2354">
        <v>0.47199999999999998</v>
      </c>
      <c r="P645" s="2353">
        <f t="shared" si="65"/>
        <v>0.47199999999999998</v>
      </c>
      <c r="Q645" s="2353">
        <v>0</v>
      </c>
      <c r="R645" s="2353">
        <v>0</v>
      </c>
      <c r="S645" s="2353">
        <v>0</v>
      </c>
      <c r="T645" s="2353">
        <v>0</v>
      </c>
      <c r="U645" s="2057">
        <v>0</v>
      </c>
    </row>
    <row r="646" spans="2:21" hidden="1" outlineLevel="1">
      <c r="B646" s="1045"/>
      <c r="C646" s="1045"/>
      <c r="D646" s="1051">
        <f t="shared" si="62"/>
        <v>6</v>
      </c>
      <c r="E646" s="1051" t="str">
        <f>IF(COUNTIF(E$599:E645,F646)&gt;0,"",F646)</f>
        <v>Essence (Supercarburant sans plomb (95, 95-E10, 98)), Guadeloupe, Martinique, Guyane, Corse, Base Carbone</v>
      </c>
      <c r="F646" s="1051" t="str">
        <f t="shared" si="63"/>
        <v>Essence (Supercarburant sans plomb (95, 95-E10, 98)), Guadeloupe, Martinique, Guyane, Corse, Base Carbone</v>
      </c>
      <c r="G646" s="1055" t="str">
        <f t="shared" si="64"/>
        <v>Essence (Supercarburant sans plomb (95, 95-E10, 98)), Guadeloupe, Martinique, Guyane, Corse, Base Carbone; kgCO2e/kg, Combustion</v>
      </c>
      <c r="I646" s="2351" t="s">
        <v>1586</v>
      </c>
      <c r="J646" s="1979" t="s">
        <v>1572</v>
      </c>
      <c r="K646" s="2352" t="s">
        <v>1567</v>
      </c>
      <c r="L646" s="2352" t="s">
        <v>3084</v>
      </c>
      <c r="M646" s="2039">
        <v>0.05</v>
      </c>
      <c r="N646" s="2352" t="s">
        <v>1569</v>
      </c>
      <c r="O646" s="2353">
        <v>3.21</v>
      </c>
      <c r="P646" s="2353">
        <f t="shared" si="65"/>
        <v>3.21</v>
      </c>
      <c r="Q646" s="2353">
        <v>0</v>
      </c>
      <c r="R646" s="2353">
        <v>0</v>
      </c>
      <c r="S646" s="2353">
        <v>0</v>
      </c>
      <c r="T646" s="2353">
        <v>0</v>
      </c>
      <c r="U646" s="2057">
        <v>0</v>
      </c>
    </row>
    <row r="647" spans="2:21" hidden="1" outlineLevel="1">
      <c r="B647" s="1045"/>
      <c r="C647" s="1045"/>
      <c r="D647" s="1051">
        <f t="shared" si="62"/>
        <v>6</v>
      </c>
      <c r="E647" s="1051" t="str">
        <f>IF(COUNTIF(E$599:E646,F647)&gt;0,"",F647)</f>
        <v/>
      </c>
      <c r="F647" s="1051" t="str">
        <f t="shared" si="63"/>
        <v>Essence (Supercarburant sans plomb (95, 95-E10, 98)), Guadeloupe, Martinique, Guyane, Corse, Base Carbone</v>
      </c>
      <c r="G647" s="1055" t="str">
        <f t="shared" si="64"/>
        <v>Essence (Supercarburant sans plomb (95, 95-E10, 98)), Guadeloupe, Martinique, Guyane, Corse, Base Carbone; kgCO2e/kg, Amont</v>
      </c>
      <c r="I647" s="2351" t="s">
        <v>1586</v>
      </c>
      <c r="J647" s="1979" t="s">
        <v>1572</v>
      </c>
      <c r="K647" s="2352" t="s">
        <v>1567</v>
      </c>
      <c r="L647" s="2352" t="s">
        <v>3084</v>
      </c>
      <c r="M647" s="2039">
        <v>0.05</v>
      </c>
      <c r="N647" s="2352" t="s">
        <v>1570</v>
      </c>
      <c r="O647" s="2353">
        <v>0.54600000000000004</v>
      </c>
      <c r="P647" s="2353">
        <f t="shared" si="65"/>
        <v>0.54600000000000004</v>
      </c>
      <c r="Q647" s="2353">
        <v>0</v>
      </c>
      <c r="R647" s="2353">
        <v>0</v>
      </c>
      <c r="S647" s="2353">
        <v>0</v>
      </c>
      <c r="T647" s="2353">
        <v>0</v>
      </c>
      <c r="U647" s="2057">
        <v>0</v>
      </c>
    </row>
    <row r="648" spans="2:21" hidden="1" outlineLevel="1">
      <c r="B648" s="1045"/>
      <c r="C648" s="1045"/>
      <c r="D648" s="1051">
        <f t="shared" si="62"/>
        <v>6</v>
      </c>
      <c r="E648" s="1051" t="str">
        <f>IF(COUNTIF(E$599:E647,F648)&gt;0,"",F648)</f>
        <v/>
      </c>
      <c r="F648" s="1051" t="str">
        <f t="shared" si="63"/>
        <v>Essence (Supercarburant sans plomb (95, 95-E10, 98)), Guadeloupe, Martinique, Guyane, Corse, Base Carbone</v>
      </c>
      <c r="G648" s="1055" t="str">
        <f t="shared" si="64"/>
        <v>Essence (Supercarburant sans plomb (95, 95-E10, 98)), Guadeloupe, Martinique, Guyane, Corse, Base Carbone; kgCO2e/kWh PCI, Combustion</v>
      </c>
      <c r="I648" s="2351" t="s">
        <v>1586</v>
      </c>
      <c r="J648" s="2352" t="s">
        <v>1573</v>
      </c>
      <c r="K648" s="2352" t="s">
        <v>1567</v>
      </c>
      <c r="L648" s="2352" t="s">
        <v>3084</v>
      </c>
      <c r="M648" s="2039">
        <v>0.05</v>
      </c>
      <c r="N648" s="2352" t="s">
        <v>1569</v>
      </c>
      <c r="O648" s="2354">
        <v>0.26400000000000001</v>
      </c>
      <c r="P648" s="2353">
        <f t="shared" si="65"/>
        <v>0.26400000000000001</v>
      </c>
      <c r="Q648" s="2353">
        <v>0</v>
      </c>
      <c r="R648" s="2353">
        <v>0</v>
      </c>
      <c r="S648" s="2353">
        <v>0</v>
      </c>
      <c r="T648" s="2353">
        <v>0</v>
      </c>
      <c r="U648" s="2057">
        <v>0</v>
      </c>
    </row>
    <row r="649" spans="2:21" hidden="1" outlineLevel="1">
      <c r="B649" s="1045"/>
      <c r="C649" s="1045"/>
      <c r="D649" s="1051">
        <f t="shared" si="62"/>
        <v>6</v>
      </c>
      <c r="E649" s="1051" t="str">
        <f>IF(COUNTIF(E$599:E648,F649)&gt;0,"",F649)</f>
        <v/>
      </c>
      <c r="F649" s="1051" t="str">
        <f t="shared" si="63"/>
        <v>Essence (Supercarburant sans plomb (95, 95-E10, 98)), Guadeloupe, Martinique, Guyane, Corse, Base Carbone</v>
      </c>
      <c r="G649" s="1055" t="str">
        <f t="shared" si="64"/>
        <v>Essence (Supercarburant sans plomb (95, 95-E10, 98)), Guadeloupe, Martinique, Guyane, Corse, Base Carbone; kgCO2e/kWh PCI, Amont</v>
      </c>
      <c r="I649" s="2351" t="s">
        <v>1586</v>
      </c>
      <c r="J649" s="2352" t="s">
        <v>1573</v>
      </c>
      <c r="K649" s="2352" t="s">
        <v>1567</v>
      </c>
      <c r="L649" s="2352" t="s">
        <v>3084</v>
      </c>
      <c r="M649" s="2039">
        <v>0.05</v>
      </c>
      <c r="N649" s="2352" t="s">
        <v>1570</v>
      </c>
      <c r="O649" s="2354">
        <v>4.4900000000000002E-2</v>
      </c>
      <c r="P649" s="2353">
        <f t="shared" si="65"/>
        <v>4.4900000000000002E-2</v>
      </c>
      <c r="Q649" s="2353">
        <v>0</v>
      </c>
      <c r="R649" s="2353">
        <v>0</v>
      </c>
      <c r="S649" s="2353">
        <v>0</v>
      </c>
      <c r="T649" s="2353">
        <v>0</v>
      </c>
      <c r="U649" s="2057">
        <v>0</v>
      </c>
    </row>
    <row r="650" spans="2:21" hidden="1" outlineLevel="1">
      <c r="B650" s="1045"/>
      <c r="C650" s="1045"/>
      <c r="D650" s="1051">
        <f t="shared" si="62"/>
        <v>6</v>
      </c>
      <c r="E650" s="1051" t="str">
        <f>IF(COUNTIF(E$599:E649,F650)&gt;0,"",F650)</f>
        <v/>
      </c>
      <c r="F650" s="1051" t="str">
        <f t="shared" si="63"/>
        <v>Essence (Supercarburant sans plomb (95, 95-E10, 98)), Guadeloupe, Martinique, Guyane, Corse, Base Carbone</v>
      </c>
      <c r="G650" s="1055" t="str">
        <f t="shared" si="64"/>
        <v>Essence (Supercarburant sans plomb (95, 95-E10, 98)), Guadeloupe, Martinique, Guyane, Corse, Base Carbone; kgCO2e/tep PCI, Combustion</v>
      </c>
      <c r="I650" s="2351" t="s">
        <v>1586</v>
      </c>
      <c r="J650" s="2352" t="s">
        <v>1575</v>
      </c>
      <c r="K650" s="2352" t="s">
        <v>1567</v>
      </c>
      <c r="L650" s="2352" t="s">
        <v>3084</v>
      </c>
      <c r="M650" s="2039">
        <v>0.05</v>
      </c>
      <c r="N650" s="2352" t="s">
        <v>1569</v>
      </c>
      <c r="O650" s="2354">
        <v>3070</v>
      </c>
      <c r="P650" s="2353">
        <f t="shared" si="65"/>
        <v>3070</v>
      </c>
      <c r="Q650" s="2353">
        <v>0</v>
      </c>
      <c r="R650" s="2353">
        <v>0</v>
      </c>
      <c r="S650" s="2353">
        <v>0</v>
      </c>
      <c r="T650" s="2353">
        <v>0</v>
      </c>
      <c r="U650" s="2057">
        <v>0</v>
      </c>
    </row>
    <row r="651" spans="2:21" hidden="1" outlineLevel="1">
      <c r="B651" s="1045"/>
      <c r="C651" s="1045"/>
      <c r="D651" s="1051">
        <f t="shared" si="62"/>
        <v>6</v>
      </c>
      <c r="E651" s="1051" t="str">
        <f>IF(COUNTIF(E$599:E650,F651)&gt;0,"",F651)</f>
        <v/>
      </c>
      <c r="F651" s="1051" t="str">
        <f t="shared" si="63"/>
        <v>Essence (Supercarburant sans plomb (95, 95-E10, 98)), Guadeloupe, Martinique, Guyane, Corse, Base Carbone</v>
      </c>
      <c r="G651" s="1055" t="str">
        <f t="shared" si="64"/>
        <v>Essence (Supercarburant sans plomb (95, 95-E10, 98)), Guadeloupe, Martinique, Guyane, Corse, Base Carbone; kgCO2e/tep PCI, Amont</v>
      </c>
      <c r="I651" s="2351" t="s">
        <v>1586</v>
      </c>
      <c r="J651" s="2352" t="s">
        <v>1575</v>
      </c>
      <c r="K651" s="2352" t="s">
        <v>1567</v>
      </c>
      <c r="L651" s="2352" t="s">
        <v>3084</v>
      </c>
      <c r="M651" s="2039">
        <v>0.05</v>
      </c>
      <c r="N651" s="2352" t="s">
        <v>1570</v>
      </c>
      <c r="O651" s="2354">
        <v>522</v>
      </c>
      <c r="P651" s="2353">
        <f t="shared" si="65"/>
        <v>522</v>
      </c>
      <c r="Q651" s="2353">
        <v>0</v>
      </c>
      <c r="R651" s="2353">
        <v>0</v>
      </c>
      <c r="S651" s="2353">
        <v>0</v>
      </c>
      <c r="T651" s="2353">
        <v>0</v>
      </c>
      <c r="U651" s="2057">
        <v>0</v>
      </c>
    </row>
    <row r="652" spans="2:21" hidden="1" outlineLevel="1">
      <c r="B652" s="1045"/>
      <c r="C652" s="1045"/>
      <c r="D652" s="1051">
        <f t="shared" si="62"/>
        <v>6</v>
      </c>
      <c r="E652" s="1051" t="str">
        <f>IF(COUNTIF(E$599:E651,F652)&gt;0,"",F652)</f>
        <v/>
      </c>
      <c r="F652" s="1051" t="str">
        <f t="shared" si="63"/>
        <v>Essence (Supercarburant sans plomb (95, 95-E10, 98)), Guadeloupe, Martinique, Guyane, Corse, Base Carbone</v>
      </c>
      <c r="G652" s="1055" t="str">
        <f t="shared" si="64"/>
        <v>Essence (Supercarburant sans plomb (95, 95-E10, 98)), Guadeloupe, Martinique, Guyane, Corse, Base Carbone; kgCO2e/litre, Combustion</v>
      </c>
      <c r="I652" s="2351" t="s">
        <v>1586</v>
      </c>
      <c r="J652" s="2352" t="s">
        <v>1574</v>
      </c>
      <c r="K652" s="2352" t="s">
        <v>1567</v>
      </c>
      <c r="L652" s="2352" t="s">
        <v>3084</v>
      </c>
      <c r="M652" s="2039">
        <v>0.1</v>
      </c>
      <c r="N652" s="2352" t="s">
        <v>1569</v>
      </c>
      <c r="O652" s="2354">
        <v>2.4300000000000002</v>
      </c>
      <c r="P652" s="2353">
        <f t="shared" si="65"/>
        <v>2.4300000000000002</v>
      </c>
      <c r="Q652" s="2353">
        <v>0</v>
      </c>
      <c r="R652" s="2353">
        <v>0</v>
      </c>
      <c r="S652" s="2353">
        <v>0</v>
      </c>
      <c r="T652" s="2353">
        <v>0</v>
      </c>
      <c r="U652" s="2057">
        <v>0</v>
      </c>
    </row>
    <row r="653" spans="2:21" hidden="1" outlineLevel="1">
      <c r="B653" s="1045"/>
      <c r="C653" s="1045"/>
      <c r="D653" s="1051">
        <f t="shared" si="62"/>
        <v>6</v>
      </c>
      <c r="E653" s="1051" t="str">
        <f>IF(COUNTIF(E$599:E652,F653)&gt;0,"",F653)</f>
        <v/>
      </c>
      <c r="F653" s="1051" t="str">
        <f t="shared" si="63"/>
        <v>Essence (Supercarburant sans plomb (95, 95-E10, 98)), Guadeloupe, Martinique, Guyane, Corse, Base Carbone</v>
      </c>
      <c r="G653" s="1055" t="str">
        <f t="shared" si="64"/>
        <v>Essence (Supercarburant sans plomb (95, 95-E10, 98)), Guadeloupe, Martinique, Guyane, Corse, Base Carbone; kgCO2e/litre, Amont</v>
      </c>
      <c r="I653" s="2351" t="s">
        <v>1586</v>
      </c>
      <c r="J653" s="2352" t="s">
        <v>1574</v>
      </c>
      <c r="K653" s="2352" t="s">
        <v>1567</v>
      </c>
      <c r="L653" s="2352" t="s">
        <v>3084</v>
      </c>
      <c r="M653" s="2039">
        <v>0.1</v>
      </c>
      <c r="N653" s="2352" t="s">
        <v>1570</v>
      </c>
      <c r="O653" s="2354">
        <v>0.41199999999999998</v>
      </c>
      <c r="P653" s="2353">
        <f t="shared" si="65"/>
        <v>0.41199999999999998</v>
      </c>
      <c r="Q653" s="2353">
        <v>0</v>
      </c>
      <c r="R653" s="2353">
        <v>0</v>
      </c>
      <c r="S653" s="2353">
        <v>0</v>
      </c>
      <c r="T653" s="2353">
        <v>0</v>
      </c>
      <c r="U653" s="2057">
        <v>0</v>
      </c>
    </row>
    <row r="654" spans="2:21" hidden="1" outlineLevel="1">
      <c r="B654" s="1045"/>
      <c r="C654" s="1045"/>
      <c r="D654" s="1051">
        <f t="shared" si="62"/>
        <v>7</v>
      </c>
      <c r="E654" s="1051" t="str">
        <f>IF(COUNTIF(E$599:E653,F654)&gt;0,"",F654)</f>
        <v>Essence (Supercarburant sans plomb (95, 95-E10, 98)), Nouvelle Calédonie, Base Carbone</v>
      </c>
      <c r="F654" s="1051" t="str">
        <f t="shared" si="63"/>
        <v>Essence (Supercarburant sans plomb (95, 95-E10, 98)), Nouvelle Calédonie, Base Carbone</v>
      </c>
      <c r="G654" s="1055" t="str">
        <f t="shared" si="64"/>
        <v>Essence (Supercarburant sans plomb (95, 95-E10, 98)), Nouvelle Calédonie, Base Carbone; kgCO2e/kg, Combustion</v>
      </c>
      <c r="I654" s="2351" t="s">
        <v>1586</v>
      </c>
      <c r="J654" s="1979" t="s">
        <v>1572</v>
      </c>
      <c r="K654" s="2352" t="s">
        <v>1567</v>
      </c>
      <c r="L654" s="2352" t="s">
        <v>3085</v>
      </c>
      <c r="M654" s="2039">
        <v>0.05</v>
      </c>
      <c r="N654" s="2352" t="s">
        <v>1569</v>
      </c>
      <c r="O654" s="2353">
        <v>3.21</v>
      </c>
      <c r="P654" s="2353">
        <f t="shared" si="65"/>
        <v>3.21</v>
      </c>
      <c r="Q654" s="2353">
        <v>0</v>
      </c>
      <c r="R654" s="2353">
        <v>0</v>
      </c>
      <c r="S654" s="2353">
        <v>0</v>
      </c>
      <c r="T654" s="2353">
        <v>0</v>
      </c>
      <c r="U654" s="2057">
        <v>0</v>
      </c>
    </row>
    <row r="655" spans="2:21" hidden="1" outlineLevel="1">
      <c r="B655" s="1045"/>
      <c r="C655" s="1045"/>
      <c r="D655" s="1051">
        <f t="shared" si="62"/>
        <v>7</v>
      </c>
      <c r="E655" s="1051" t="str">
        <f>IF(COUNTIF(E$599:E654,F655)&gt;0,"",F655)</f>
        <v/>
      </c>
      <c r="F655" s="1051" t="str">
        <f t="shared" si="63"/>
        <v>Essence (Supercarburant sans plomb (95, 95-E10, 98)), Nouvelle Calédonie, Base Carbone</v>
      </c>
      <c r="G655" s="1055" t="str">
        <f t="shared" si="64"/>
        <v>Essence (Supercarburant sans plomb (95, 95-E10, 98)), Nouvelle Calédonie, Base Carbone; kgCO2e/kg, Amont</v>
      </c>
      <c r="I655" s="2351" t="s">
        <v>1586</v>
      </c>
      <c r="J655" s="1979" t="s">
        <v>1572</v>
      </c>
      <c r="K655" s="2352" t="s">
        <v>1567</v>
      </c>
      <c r="L655" s="2352" t="s">
        <v>3085</v>
      </c>
      <c r="M655" s="2039">
        <v>0.05</v>
      </c>
      <c r="N655" s="2352" t="s">
        <v>1570</v>
      </c>
      <c r="O655" s="2353">
        <v>0.67800000000000005</v>
      </c>
      <c r="P655" s="2353">
        <f t="shared" si="65"/>
        <v>0.67800000000000005</v>
      </c>
      <c r="Q655" s="2353">
        <v>0</v>
      </c>
      <c r="R655" s="2353">
        <v>0</v>
      </c>
      <c r="S655" s="2353">
        <v>0</v>
      </c>
      <c r="T655" s="2353">
        <v>0</v>
      </c>
      <c r="U655" s="2057">
        <v>0</v>
      </c>
    </row>
    <row r="656" spans="2:21" hidden="1" outlineLevel="1">
      <c r="B656" s="1045"/>
      <c r="C656" s="1045"/>
      <c r="D656" s="1051">
        <f t="shared" si="62"/>
        <v>7</v>
      </c>
      <c r="E656" s="1051" t="str">
        <f>IF(COUNTIF(E$599:E655,F656)&gt;0,"",F656)</f>
        <v/>
      </c>
      <c r="F656" s="1051" t="str">
        <f t="shared" si="63"/>
        <v>Essence (Supercarburant sans plomb (95, 95-E10, 98)), Nouvelle Calédonie, Base Carbone</v>
      </c>
      <c r="G656" s="1055" t="str">
        <f t="shared" si="64"/>
        <v>Essence (Supercarburant sans plomb (95, 95-E10, 98)), Nouvelle Calédonie, Base Carbone; kgCO2e/kWh PCI, Combustion</v>
      </c>
      <c r="I656" s="2351" t="s">
        <v>1586</v>
      </c>
      <c r="J656" s="2352" t="s">
        <v>1573</v>
      </c>
      <c r="K656" s="2352" t="s">
        <v>1567</v>
      </c>
      <c r="L656" s="2352" t="s">
        <v>3085</v>
      </c>
      <c r="M656" s="2039">
        <v>0.05</v>
      </c>
      <c r="N656" s="2352" t="s">
        <v>1569</v>
      </c>
      <c r="O656" s="2354">
        <v>0.26400000000000001</v>
      </c>
      <c r="P656" s="2353">
        <f t="shared" si="65"/>
        <v>0.26400000000000001</v>
      </c>
      <c r="Q656" s="2353">
        <v>0</v>
      </c>
      <c r="R656" s="2353">
        <v>0</v>
      </c>
      <c r="S656" s="2353">
        <v>0</v>
      </c>
      <c r="T656" s="2353">
        <v>0</v>
      </c>
      <c r="U656" s="2057">
        <v>0</v>
      </c>
    </row>
    <row r="657" spans="2:21" hidden="1" outlineLevel="1">
      <c r="B657" s="1045"/>
      <c r="C657" s="1045"/>
      <c r="D657" s="1051">
        <f t="shared" si="62"/>
        <v>7</v>
      </c>
      <c r="E657" s="1051" t="str">
        <f>IF(COUNTIF(E$599:E656,F657)&gt;0,"",F657)</f>
        <v/>
      </c>
      <c r="F657" s="1051" t="str">
        <f t="shared" si="63"/>
        <v>Essence (Supercarburant sans plomb (95, 95-E10, 98)), Nouvelle Calédonie, Base Carbone</v>
      </c>
      <c r="G657" s="1055" t="str">
        <f t="shared" si="64"/>
        <v>Essence (Supercarburant sans plomb (95, 95-E10, 98)), Nouvelle Calédonie, Base Carbone; kgCO2e/kWh PCI, Amont</v>
      </c>
      <c r="I657" s="2351" t="s">
        <v>1586</v>
      </c>
      <c r="J657" s="2352" t="s">
        <v>1573</v>
      </c>
      <c r="K657" s="2352" t="s">
        <v>1567</v>
      </c>
      <c r="L657" s="2352" t="s">
        <v>3085</v>
      </c>
      <c r="M657" s="2039">
        <v>0.05</v>
      </c>
      <c r="N657" s="2352" t="s">
        <v>1570</v>
      </c>
      <c r="O657" s="2354">
        <v>5.5E-2</v>
      </c>
      <c r="P657" s="2353">
        <f t="shared" si="65"/>
        <v>5.5E-2</v>
      </c>
      <c r="Q657" s="2353">
        <v>0</v>
      </c>
      <c r="R657" s="2353">
        <v>0</v>
      </c>
      <c r="S657" s="2353">
        <v>0</v>
      </c>
      <c r="T657" s="2353">
        <v>0</v>
      </c>
      <c r="U657" s="2057">
        <v>0</v>
      </c>
    </row>
    <row r="658" spans="2:21" hidden="1" outlineLevel="1">
      <c r="B658" s="1045"/>
      <c r="C658" s="1045"/>
      <c r="D658" s="1051">
        <f t="shared" si="62"/>
        <v>7</v>
      </c>
      <c r="E658" s="1051" t="str">
        <f>IF(COUNTIF(E$599:E657,F658)&gt;0,"",F658)</f>
        <v/>
      </c>
      <c r="F658" s="1051" t="str">
        <f t="shared" si="63"/>
        <v>Essence (Supercarburant sans plomb (95, 95-E10, 98)), Nouvelle Calédonie, Base Carbone</v>
      </c>
      <c r="G658" s="1055" t="str">
        <f t="shared" si="64"/>
        <v>Essence (Supercarburant sans plomb (95, 95-E10, 98)), Nouvelle Calédonie, Base Carbone; kgCO2e/tep PCI, Combustion</v>
      </c>
      <c r="I658" s="2351" t="s">
        <v>1586</v>
      </c>
      <c r="J658" s="2352" t="s">
        <v>1575</v>
      </c>
      <c r="K658" s="2352" t="s">
        <v>1567</v>
      </c>
      <c r="L658" s="2352" t="s">
        <v>3085</v>
      </c>
      <c r="M658" s="2039">
        <v>0.05</v>
      </c>
      <c r="N658" s="2352" t="s">
        <v>1569</v>
      </c>
      <c r="O658" s="2354">
        <v>3070</v>
      </c>
      <c r="P658" s="2353">
        <f t="shared" si="65"/>
        <v>3070</v>
      </c>
      <c r="Q658" s="2353">
        <v>0</v>
      </c>
      <c r="R658" s="2353">
        <v>0</v>
      </c>
      <c r="S658" s="2353">
        <v>0</v>
      </c>
      <c r="T658" s="2353">
        <v>0</v>
      </c>
      <c r="U658" s="2057">
        <v>0</v>
      </c>
    </row>
    <row r="659" spans="2:21" hidden="1" outlineLevel="1">
      <c r="B659" s="1045"/>
      <c r="C659" s="1045"/>
      <c r="D659" s="1051">
        <f t="shared" si="62"/>
        <v>7</v>
      </c>
      <c r="E659" s="1051" t="str">
        <f>IF(COUNTIF(E$599:E658,F659)&gt;0,"",F659)</f>
        <v/>
      </c>
      <c r="F659" s="1051" t="str">
        <f t="shared" si="63"/>
        <v>Essence (Supercarburant sans plomb (95, 95-E10, 98)), Nouvelle Calédonie, Base Carbone</v>
      </c>
      <c r="G659" s="1055" t="str">
        <f t="shared" si="64"/>
        <v>Essence (Supercarburant sans plomb (95, 95-E10, 98)), Nouvelle Calédonie, Base Carbone; kgCO2e/tep PCI, Amont</v>
      </c>
      <c r="I659" s="2351" t="s">
        <v>1586</v>
      </c>
      <c r="J659" s="2352" t="s">
        <v>1575</v>
      </c>
      <c r="K659" s="2352" t="s">
        <v>1567</v>
      </c>
      <c r="L659" s="2352" t="s">
        <v>3085</v>
      </c>
      <c r="M659" s="2039">
        <v>0.05</v>
      </c>
      <c r="N659" s="2352" t="s">
        <v>1570</v>
      </c>
      <c r="O659" s="2354">
        <v>648</v>
      </c>
      <c r="P659" s="2353">
        <f t="shared" si="65"/>
        <v>648</v>
      </c>
      <c r="Q659" s="2353">
        <v>0</v>
      </c>
      <c r="R659" s="2353">
        <v>0</v>
      </c>
      <c r="S659" s="2353">
        <v>0</v>
      </c>
      <c r="T659" s="2353">
        <v>0</v>
      </c>
      <c r="U659" s="2057">
        <v>0</v>
      </c>
    </row>
    <row r="660" spans="2:21" hidden="1" outlineLevel="1">
      <c r="B660" s="1045"/>
      <c r="C660" s="1045"/>
      <c r="D660" s="1051">
        <f t="shared" si="62"/>
        <v>7</v>
      </c>
      <c r="E660" s="1051" t="str">
        <f>IF(COUNTIF(E$599:E659,F660)&gt;0,"",F660)</f>
        <v/>
      </c>
      <c r="F660" s="1051" t="str">
        <f t="shared" si="63"/>
        <v>Essence (Supercarburant sans plomb (95, 95-E10, 98)), Nouvelle Calédonie, Base Carbone</v>
      </c>
      <c r="G660" s="1055" t="str">
        <f t="shared" si="64"/>
        <v>Essence (Supercarburant sans plomb (95, 95-E10, 98)), Nouvelle Calédonie, Base Carbone; kgCO2e/litre, Combustion</v>
      </c>
      <c r="I660" s="2351" t="s">
        <v>1586</v>
      </c>
      <c r="J660" s="2352" t="s">
        <v>1574</v>
      </c>
      <c r="K660" s="2352" t="s">
        <v>1567</v>
      </c>
      <c r="L660" s="2352" t="s">
        <v>3085</v>
      </c>
      <c r="M660" s="2039">
        <v>0.1</v>
      </c>
      <c r="N660" s="2352" t="s">
        <v>1569</v>
      </c>
      <c r="O660" s="2354">
        <v>2.4300000000000002</v>
      </c>
      <c r="P660" s="2353">
        <f t="shared" si="65"/>
        <v>2.4300000000000002</v>
      </c>
      <c r="Q660" s="2353">
        <v>0</v>
      </c>
      <c r="R660" s="2353">
        <v>0</v>
      </c>
      <c r="S660" s="2353">
        <v>0</v>
      </c>
      <c r="T660" s="2353">
        <v>0</v>
      </c>
      <c r="U660" s="2057">
        <v>0</v>
      </c>
    </row>
    <row r="661" spans="2:21" hidden="1" outlineLevel="1">
      <c r="B661" s="1045"/>
      <c r="C661" s="1045"/>
      <c r="D661" s="1051">
        <f t="shared" si="62"/>
        <v>7</v>
      </c>
      <c r="E661" s="1051" t="str">
        <f>IF(COUNTIF(E$599:E660,F661)&gt;0,"",F661)</f>
        <v/>
      </c>
      <c r="F661" s="1051" t="str">
        <f t="shared" si="63"/>
        <v>Essence (Supercarburant sans plomb (95, 95-E10, 98)), Nouvelle Calédonie, Base Carbone</v>
      </c>
      <c r="G661" s="1055" t="str">
        <f t="shared" si="64"/>
        <v>Essence (Supercarburant sans plomb (95, 95-E10, 98)), Nouvelle Calédonie, Base Carbone; kgCO2e/litre, Amont</v>
      </c>
      <c r="I661" s="2351" t="s">
        <v>1586</v>
      </c>
      <c r="J661" s="2352" t="s">
        <v>1574</v>
      </c>
      <c r="K661" s="2352" t="s">
        <v>1567</v>
      </c>
      <c r="L661" s="2352" t="s">
        <v>3085</v>
      </c>
      <c r="M661" s="2039">
        <v>0.1</v>
      </c>
      <c r="N661" s="2352" t="s">
        <v>1570</v>
      </c>
      <c r="O661" s="2354">
        <v>0.50800000000000001</v>
      </c>
      <c r="P661" s="2353">
        <f t="shared" si="65"/>
        <v>0.50800000000000001</v>
      </c>
      <c r="Q661" s="2353">
        <v>0</v>
      </c>
      <c r="R661" s="2353">
        <v>0</v>
      </c>
      <c r="S661" s="2353">
        <v>0</v>
      </c>
      <c r="T661" s="2353">
        <v>0</v>
      </c>
      <c r="U661" s="2057">
        <v>0</v>
      </c>
    </row>
    <row r="662" spans="2:21" hidden="1" outlineLevel="1">
      <c r="B662" s="1045"/>
      <c r="C662" s="1045"/>
      <c r="D662" s="1051">
        <f t="shared" si="62"/>
        <v>7</v>
      </c>
      <c r="E662" s="1051" t="str">
        <f>IF(COUNTIF(E$599:E661,F662)&gt;0,"",F662)</f>
        <v/>
      </c>
      <c r="F662" s="1051" t="str">
        <f t="shared" si="63"/>
        <v/>
      </c>
      <c r="G662" s="1055" t="str">
        <f t="shared" si="64"/>
        <v/>
      </c>
      <c r="I662" s="2351"/>
      <c r="J662" s="2352"/>
      <c r="K662" s="2352"/>
      <c r="L662" s="2352"/>
      <c r="M662" s="2039"/>
      <c r="N662" s="2352"/>
      <c r="O662" s="2354"/>
      <c r="P662" s="2353"/>
      <c r="Q662" s="2353"/>
      <c r="R662" s="2353"/>
      <c r="S662" s="2353"/>
      <c r="T662" s="2353"/>
      <c r="U662" s="2057"/>
    </row>
    <row r="663" spans="2:21" hidden="1" outlineLevel="1">
      <c r="B663" s="1045"/>
      <c r="C663" s="1045"/>
      <c r="D663" s="1051">
        <f t="shared" si="62"/>
        <v>8</v>
      </c>
      <c r="E663" s="1051" t="str">
        <f>IF(COUNTIF(E$599:E662,F663)&gt;0,"",F663)</f>
        <v>Gazole routier (B10), France continentale, Base Carbone</v>
      </c>
      <c r="F663" s="1051" t="str">
        <f t="shared" si="63"/>
        <v>Gazole routier (B10), France continentale, Base Carbone</v>
      </c>
      <c r="G663" s="1055" t="str">
        <f t="shared" si="64"/>
        <v>Gazole routier (B10), France continentale, Base Carbone; kgCO2e/kWh GJ PCI, Combustion</v>
      </c>
      <c r="I663" s="1031" t="s">
        <v>4804</v>
      </c>
      <c r="J663" s="1045" t="s">
        <v>4727</v>
      </c>
      <c r="K663" s="2589" t="s">
        <v>1567</v>
      </c>
      <c r="L663" s="1045" t="s">
        <v>1571</v>
      </c>
      <c r="M663" s="2301">
        <v>0.05</v>
      </c>
      <c r="N663" s="1045" t="s">
        <v>1569</v>
      </c>
      <c r="O663" s="2590">
        <v>68.2</v>
      </c>
      <c r="P663" s="2045">
        <v>67.599999999999994</v>
      </c>
      <c r="Q663" s="2045">
        <v>2.7E-2</v>
      </c>
      <c r="R663" s="2045">
        <v>0</v>
      </c>
      <c r="S663" s="2045">
        <v>0.54900000000000004</v>
      </c>
      <c r="T663" s="2045">
        <v>0</v>
      </c>
      <c r="U663" s="2307">
        <v>6.561483</v>
      </c>
    </row>
    <row r="664" spans="2:21" hidden="1" outlineLevel="1">
      <c r="B664" s="1045"/>
      <c r="C664" s="1045"/>
      <c r="D664" s="1051">
        <f t="shared" si="62"/>
        <v>8</v>
      </c>
      <c r="E664" s="1051" t="str">
        <f>IF(COUNTIF(E$599:E663,F664)&gt;0,"",F664)</f>
        <v/>
      </c>
      <c r="F664" s="1051" t="str">
        <f t="shared" si="63"/>
        <v>Gazole routier (B10), France continentale, Base Carbone</v>
      </c>
      <c r="G664" s="1055" t="str">
        <f t="shared" si="64"/>
        <v>Gazole routier (B10), France continentale, Base Carbone; kgCO2e/kWh GJ PCI, Amont</v>
      </c>
      <c r="I664" s="1031" t="s">
        <v>4804</v>
      </c>
      <c r="J664" s="1045" t="s">
        <v>4727</v>
      </c>
      <c r="K664" s="2589" t="s">
        <v>1567</v>
      </c>
      <c r="L664" s="1045" t="s">
        <v>1571</v>
      </c>
      <c r="M664" s="2301">
        <v>0.05</v>
      </c>
      <c r="N664" s="1045" t="s">
        <v>1570</v>
      </c>
      <c r="O664" s="2590">
        <v>18</v>
      </c>
      <c r="P664" s="2045">
        <v>16.399999999999999</v>
      </c>
      <c r="Q664" s="2045">
        <v>0.192</v>
      </c>
      <c r="R664" s="2045">
        <v>0</v>
      </c>
      <c r="S664" s="2045">
        <v>1.36</v>
      </c>
      <c r="T664" s="2045">
        <v>0</v>
      </c>
      <c r="U664" s="2307">
        <v>-6.561483</v>
      </c>
    </row>
    <row r="665" spans="2:21" hidden="1" outlineLevel="1">
      <c r="B665" s="1045"/>
      <c r="C665" s="1045"/>
      <c r="D665" s="1051">
        <f t="shared" ref="D665:D728" si="66">D664+IF(LEN(E665)&gt;0,1,0)</f>
        <v>8</v>
      </c>
      <c r="E665" s="1051" t="str">
        <f>IF(COUNTIF(E$599:E664,F665)&gt;0,"",F665)</f>
        <v/>
      </c>
      <c r="F665" s="1051" t="str">
        <f t="shared" ref="F665:F728" si="67">IF(I665&lt;&gt;"",I665&amp;IF(L665&lt;&gt;"",", "&amp;L665,"")&amp;IF(K665&lt;&gt;"",", "&amp;K665,""),"")</f>
        <v>Gazole routier (B10), France continentale, Base Carbone</v>
      </c>
      <c r="G665" s="1055" t="str">
        <f t="shared" ref="G665:G728" si="68">IF(F665&lt;&gt;"",F665&amp;IF(J665&lt;&gt;"","; "&amp;J665,"")&amp;IF(N665&lt;&gt;"",", "&amp;N665,""),"")</f>
        <v>Gazole routier (B10), France continentale, Base Carbone; kgCO2e/kWh PCI, Combustion</v>
      </c>
      <c r="I665" s="1031" t="s">
        <v>4804</v>
      </c>
      <c r="J665" s="1045" t="s">
        <v>1573</v>
      </c>
      <c r="K665" s="2589" t="s">
        <v>1567</v>
      </c>
      <c r="L665" s="1045" t="s">
        <v>1571</v>
      </c>
      <c r="M665" s="2301">
        <v>0.05</v>
      </c>
      <c r="N665" s="1045" t="s">
        <v>1569</v>
      </c>
      <c r="O665" s="2590">
        <v>0.246</v>
      </c>
      <c r="P665" s="2045">
        <v>0.24399999999999999</v>
      </c>
      <c r="Q665" s="2045">
        <v>9.0000000000000006E-5</v>
      </c>
      <c r="R665" s="2045">
        <v>0</v>
      </c>
      <c r="S665" s="2045">
        <v>2.1199999999999999E-3</v>
      </c>
      <c r="T665" s="2045">
        <v>0</v>
      </c>
      <c r="U665" s="2307">
        <v>2.3621E-2</v>
      </c>
    </row>
    <row r="666" spans="2:21" hidden="1" outlineLevel="1">
      <c r="B666" s="1045"/>
      <c r="C666" s="1045"/>
      <c r="D666" s="1051">
        <f t="shared" si="66"/>
        <v>8</v>
      </c>
      <c r="E666" s="1051" t="str">
        <f>IF(COUNTIF(E$599:E665,F666)&gt;0,"",F666)</f>
        <v/>
      </c>
      <c r="F666" s="1051" t="str">
        <f t="shared" si="67"/>
        <v>Gazole routier (B10), France continentale, Base Carbone</v>
      </c>
      <c r="G666" s="1055" t="str">
        <f t="shared" si="68"/>
        <v>Gazole routier (B10), France continentale, Base Carbone; kgCO2e/kWh PCI, Amont</v>
      </c>
      <c r="I666" s="1031" t="s">
        <v>4804</v>
      </c>
      <c r="J666" s="1045" t="s">
        <v>1573</v>
      </c>
      <c r="K666" s="2589" t="s">
        <v>1567</v>
      </c>
      <c r="L666" s="1045" t="s">
        <v>1571</v>
      </c>
      <c r="M666" s="2301">
        <v>0.05</v>
      </c>
      <c r="N666" s="1045" t="s">
        <v>1570</v>
      </c>
      <c r="O666" s="2590">
        <v>6.4399999999999999E-2</v>
      </c>
      <c r="P666" s="2045">
        <v>5.8900000000000001E-2</v>
      </c>
      <c r="Q666" s="2045">
        <v>6.8999999999999997E-4</v>
      </c>
      <c r="R666" s="2045">
        <v>0</v>
      </c>
      <c r="S666" s="2045">
        <v>4.7699999999999999E-3</v>
      </c>
      <c r="T666" s="2045">
        <v>0</v>
      </c>
      <c r="U666" s="2307">
        <v>-2.3621E-2</v>
      </c>
    </row>
    <row r="667" spans="2:21" hidden="1" outlineLevel="1">
      <c r="B667" s="1045"/>
      <c r="C667" s="1045"/>
      <c r="D667" s="1051">
        <f t="shared" si="66"/>
        <v>8</v>
      </c>
      <c r="E667" s="1051" t="str">
        <f>IF(COUNTIF(E$599:E666,F667)&gt;0,"",F667)</f>
        <v/>
      </c>
      <c r="F667" s="1051" t="str">
        <f t="shared" si="67"/>
        <v>Gazole routier (B10), France continentale, Base Carbone</v>
      </c>
      <c r="G667" s="1055" t="str">
        <f t="shared" si="68"/>
        <v>Gazole routier (B10), France continentale, Base Carbone; kgCO2e/tep PCI, Combustion</v>
      </c>
      <c r="I667" s="1031" t="s">
        <v>4804</v>
      </c>
      <c r="J667" s="1045" t="s">
        <v>1575</v>
      </c>
      <c r="K667" s="2589" t="s">
        <v>1567</v>
      </c>
      <c r="L667" s="1045" t="s">
        <v>1571</v>
      </c>
      <c r="M667" s="2301">
        <v>0.05</v>
      </c>
      <c r="N667" s="1045" t="s">
        <v>1569</v>
      </c>
      <c r="O667" s="2590">
        <v>2863</v>
      </c>
      <c r="P667" s="2045">
        <v>2839</v>
      </c>
      <c r="Q667" s="2045">
        <v>1.1399999999999999</v>
      </c>
      <c r="R667" s="2045">
        <v>0</v>
      </c>
      <c r="S667" s="2045">
        <v>23.1</v>
      </c>
      <c r="T667" s="2045">
        <v>0</v>
      </c>
      <c r="U667" s="2307">
        <v>275.58228000000003</v>
      </c>
    </row>
    <row r="668" spans="2:21" hidden="1" outlineLevel="1">
      <c r="B668" s="1045"/>
      <c r="C668" s="1045"/>
      <c r="D668" s="1051">
        <f t="shared" si="66"/>
        <v>8</v>
      </c>
      <c r="E668" s="1051" t="str">
        <f>IF(COUNTIF(E$599:E667,F668)&gt;0,"",F668)</f>
        <v/>
      </c>
      <c r="F668" s="1051" t="str">
        <f t="shared" si="67"/>
        <v>Gazole routier (B10), France continentale, Base Carbone</v>
      </c>
      <c r="G668" s="1055" t="str">
        <f t="shared" si="68"/>
        <v>Gazole routier (B10), France continentale, Base Carbone; kgCO2e/tep PCI, Amont</v>
      </c>
      <c r="I668" s="1031" t="s">
        <v>4804</v>
      </c>
      <c r="J668" s="1045" t="s">
        <v>1575</v>
      </c>
      <c r="K668" s="2589" t="s">
        <v>1567</v>
      </c>
      <c r="L668" s="1045" t="s">
        <v>1571</v>
      </c>
      <c r="M668" s="2301">
        <v>0.05</v>
      </c>
      <c r="N668" s="1045" t="s">
        <v>1570</v>
      </c>
      <c r="O668" s="2590">
        <v>753</v>
      </c>
      <c r="P668" s="2045">
        <v>688</v>
      </c>
      <c r="Q668" s="2045">
        <v>8.0500000000000007</v>
      </c>
      <c r="R668" s="2045">
        <v>0</v>
      </c>
      <c r="S668" s="2045">
        <v>57.1</v>
      </c>
      <c r="T668" s="2045">
        <v>0</v>
      </c>
      <c r="U668" s="2307">
        <v>-275.58228000000003</v>
      </c>
    </row>
    <row r="669" spans="2:21" hidden="1" outlineLevel="1">
      <c r="B669" s="1045"/>
      <c r="C669" s="1045"/>
      <c r="D669" s="1051">
        <f t="shared" si="66"/>
        <v>8</v>
      </c>
      <c r="E669" s="1051" t="str">
        <f>IF(COUNTIF(E$599:E668,F669)&gt;0,"",F669)</f>
        <v/>
      </c>
      <c r="F669" s="1051" t="str">
        <f t="shared" si="67"/>
        <v>Gazole routier (B10), France continentale, Base Carbone</v>
      </c>
      <c r="G669" s="1055" t="str">
        <f t="shared" si="68"/>
        <v>Gazole routier (B10), France continentale, Base Carbone; kgCO2e/litre, Combustion</v>
      </c>
      <c r="I669" s="1031" t="s">
        <v>4804</v>
      </c>
      <c r="J669" s="1045" t="s">
        <v>1574</v>
      </c>
      <c r="K669" s="2589" t="s">
        <v>1567</v>
      </c>
      <c r="L669" s="1045" t="s">
        <v>1571</v>
      </c>
      <c r="M669" s="2301">
        <v>0.05</v>
      </c>
      <c r="N669" s="1045" t="s">
        <v>1569</v>
      </c>
      <c r="O669" s="2590">
        <v>2.41</v>
      </c>
      <c r="P669" s="2045">
        <v>2.39</v>
      </c>
      <c r="Q669" s="2045">
        <v>9.6000000000000002E-4</v>
      </c>
      <c r="R669" s="2045">
        <v>0</v>
      </c>
      <c r="S669" s="2045">
        <v>1.9300000000000001E-2</v>
      </c>
      <c r="T669" s="2045">
        <v>0</v>
      </c>
      <c r="U669" s="2307">
        <v>0.247946</v>
      </c>
    </row>
    <row r="670" spans="2:21" hidden="1" outlineLevel="1">
      <c r="B670" s="1045"/>
      <c r="C670" s="1045"/>
      <c r="D670" s="1051">
        <f t="shared" si="66"/>
        <v>8</v>
      </c>
      <c r="E670" s="1051" t="str">
        <f>IF(COUNTIF(E$599:E669,F670)&gt;0,"",F670)</f>
        <v/>
      </c>
      <c r="F670" s="1051" t="str">
        <f t="shared" si="67"/>
        <v>Gazole routier (B10), France continentale, Base Carbone</v>
      </c>
      <c r="G670" s="1055" t="str">
        <f t="shared" si="68"/>
        <v>Gazole routier (B10), France continentale, Base Carbone; kgCO2e/litre, Amont</v>
      </c>
      <c r="I670" s="1031" t="s">
        <v>4804</v>
      </c>
      <c r="J670" s="1045" t="s">
        <v>1574</v>
      </c>
      <c r="K670" s="2589" t="s">
        <v>1567</v>
      </c>
      <c r="L670" s="1045" t="s">
        <v>1571</v>
      </c>
      <c r="M670" s="2301">
        <v>0.05</v>
      </c>
      <c r="N670" s="1045" t="s">
        <v>1570</v>
      </c>
      <c r="O670" s="2590">
        <v>0.628</v>
      </c>
      <c r="P670" s="2045">
        <v>0.57599999999999996</v>
      </c>
      <c r="Q670" s="2045">
        <v>6.6E-3</v>
      </c>
      <c r="R670" s="2045">
        <v>0</v>
      </c>
      <c r="S670" s="2045">
        <v>4.58E-2</v>
      </c>
      <c r="T670" s="2045">
        <v>0</v>
      </c>
      <c r="U670" s="2307">
        <v>-0.247946</v>
      </c>
    </row>
    <row r="671" spans="2:21" hidden="1" outlineLevel="1">
      <c r="B671" s="1045"/>
      <c r="C671" s="1045"/>
      <c r="D671" s="1051">
        <f t="shared" si="66"/>
        <v>9</v>
      </c>
      <c r="E671" s="1051" t="str">
        <f>IF(COUNTIF(E$599:E670,F671)&gt;0,"",F671)</f>
        <v>Gazole routier (B100), France continentale, Base Carbone</v>
      </c>
      <c r="F671" s="1051" t="str">
        <f t="shared" si="67"/>
        <v>Gazole routier (B100), France continentale, Base Carbone</v>
      </c>
      <c r="G671" s="1055" t="str">
        <f t="shared" si="68"/>
        <v>Gazole routier (B100), France continentale, Base Carbone; kgCO2e/kWh GJ PCI, Combustion</v>
      </c>
      <c r="I671" s="1031" t="s">
        <v>4805</v>
      </c>
      <c r="J671" s="1045" t="s">
        <v>4727</v>
      </c>
      <c r="K671" s="2589" t="s">
        <v>1567</v>
      </c>
      <c r="L671" s="1045" t="s">
        <v>1571</v>
      </c>
      <c r="M671" s="2301">
        <v>0.05</v>
      </c>
      <c r="N671" s="1045" t="s">
        <v>1569</v>
      </c>
      <c r="O671" s="2590">
        <v>0</v>
      </c>
      <c r="P671" s="2045">
        <v>0</v>
      </c>
      <c r="Q671" s="2045">
        <v>0</v>
      </c>
      <c r="R671" s="2045">
        <v>0</v>
      </c>
      <c r="S671" s="2045">
        <v>0</v>
      </c>
      <c r="T671" s="2045">
        <v>0</v>
      </c>
      <c r="U671" s="2307">
        <v>69.863500999999999</v>
      </c>
    </row>
    <row r="672" spans="2:21" hidden="1" outlineLevel="1">
      <c r="B672" s="1045"/>
      <c r="C672" s="1045"/>
      <c r="D672" s="1051">
        <f t="shared" si="66"/>
        <v>9</v>
      </c>
      <c r="E672" s="1051" t="str">
        <f>IF(COUNTIF(E$599:E671,F672)&gt;0,"",F672)</f>
        <v/>
      </c>
      <c r="F672" s="1051" t="str">
        <f t="shared" si="67"/>
        <v>Gazole routier (B100), France continentale, Base Carbone</v>
      </c>
      <c r="G672" s="1055" t="str">
        <f t="shared" si="68"/>
        <v>Gazole routier (B100), France continentale, Base Carbone; kgCO2e/kWh GJ PCI, Amont</v>
      </c>
      <c r="I672" s="1031" t="s">
        <v>4805</v>
      </c>
      <c r="J672" s="1045" t="s">
        <v>4727</v>
      </c>
      <c r="K672" s="2589" t="s">
        <v>1567</v>
      </c>
      <c r="L672" s="1045" t="s">
        <v>1571</v>
      </c>
      <c r="M672" s="2301">
        <v>0.05</v>
      </c>
      <c r="N672" s="1045" t="s">
        <v>1570</v>
      </c>
      <c r="O672" s="2590">
        <v>36.6</v>
      </c>
      <c r="P672" s="2045">
        <v>21.8</v>
      </c>
      <c r="Q672" s="2045">
        <v>1</v>
      </c>
      <c r="R672" s="2045">
        <v>0</v>
      </c>
      <c r="S672" s="2045">
        <v>13.8</v>
      </c>
      <c r="T672" s="2045">
        <v>0</v>
      </c>
      <c r="U672" s="2307">
        <v>-69.863500999999999</v>
      </c>
    </row>
    <row r="673" spans="2:21" hidden="1" outlineLevel="1">
      <c r="B673" s="1045"/>
      <c r="C673" s="1045"/>
      <c r="D673" s="1051">
        <f t="shared" si="66"/>
        <v>9</v>
      </c>
      <c r="E673" s="1051" t="str">
        <f>IF(COUNTIF(E$599:E672,F673)&gt;0,"",F673)</f>
        <v/>
      </c>
      <c r="F673" s="1051" t="str">
        <f t="shared" si="67"/>
        <v>Gazole routier (B100), France continentale, Base Carbone</v>
      </c>
      <c r="G673" s="1055" t="str">
        <f t="shared" si="68"/>
        <v>Gazole routier (B100), France continentale, Base Carbone; kgCO2e/kWh PCI, Combustion</v>
      </c>
      <c r="I673" s="1031" t="s">
        <v>4805</v>
      </c>
      <c r="J673" s="1045" t="s">
        <v>1573</v>
      </c>
      <c r="K673" s="2589" t="s">
        <v>1567</v>
      </c>
      <c r="L673" s="1045" t="s">
        <v>1571</v>
      </c>
      <c r="M673" s="2301">
        <v>0.05</v>
      </c>
      <c r="N673" s="1045" t="s">
        <v>1569</v>
      </c>
      <c r="O673" s="2590">
        <v>0</v>
      </c>
      <c r="P673" s="2045">
        <v>0</v>
      </c>
      <c r="Q673" s="2045">
        <v>0</v>
      </c>
      <c r="R673" s="2045">
        <v>0</v>
      </c>
      <c r="S673" s="2045">
        <v>0</v>
      </c>
      <c r="T673" s="2045">
        <v>0</v>
      </c>
      <c r="U673" s="2307">
        <v>0.25150899999999998</v>
      </c>
    </row>
    <row r="674" spans="2:21" hidden="1" outlineLevel="1">
      <c r="B674" s="1045"/>
      <c r="C674" s="1045"/>
      <c r="D674" s="1051">
        <f t="shared" si="66"/>
        <v>9</v>
      </c>
      <c r="E674" s="1051" t="str">
        <f>IF(COUNTIF(E$599:E673,F674)&gt;0,"",F674)</f>
        <v/>
      </c>
      <c r="F674" s="1051" t="str">
        <f t="shared" si="67"/>
        <v>Gazole routier (B100), France continentale, Base Carbone</v>
      </c>
      <c r="G674" s="1055" t="str">
        <f t="shared" si="68"/>
        <v>Gazole routier (B100), France continentale, Base Carbone; kgCO2e/kWh PCI, Amont</v>
      </c>
      <c r="I674" s="1031" t="s">
        <v>4805</v>
      </c>
      <c r="J674" s="1045" t="s">
        <v>1573</v>
      </c>
      <c r="K674" s="2589" t="s">
        <v>1567</v>
      </c>
      <c r="L674" s="1045" t="s">
        <v>1571</v>
      </c>
      <c r="M674" s="2301">
        <v>0.05</v>
      </c>
      <c r="N674" s="1045" t="s">
        <v>1570</v>
      </c>
      <c r="O674" s="2590">
        <v>0.13200000000000001</v>
      </c>
      <c r="P674" s="2045">
        <v>7.8200000000000006E-2</v>
      </c>
      <c r="Q674" s="2045">
        <v>3.6900000000000001E-3</v>
      </c>
      <c r="R674" s="2045">
        <v>0</v>
      </c>
      <c r="S674" s="2045">
        <v>4.9799999999999997E-2</v>
      </c>
      <c r="T674" s="2045">
        <v>0</v>
      </c>
      <c r="U674" s="2307">
        <v>-0.25150899999999998</v>
      </c>
    </row>
    <row r="675" spans="2:21" hidden="1" outlineLevel="1">
      <c r="B675" s="1045"/>
      <c r="C675" s="1045"/>
      <c r="D675" s="1051">
        <f t="shared" si="66"/>
        <v>9</v>
      </c>
      <c r="E675" s="1051" t="str">
        <f>IF(COUNTIF(E$599:E674,F675)&gt;0,"",F675)</f>
        <v/>
      </c>
      <c r="F675" s="1051" t="str">
        <f t="shared" si="67"/>
        <v>Gazole routier (B100), France continentale, Base Carbone</v>
      </c>
      <c r="G675" s="1055" t="str">
        <f t="shared" si="68"/>
        <v>Gazole routier (B100), France continentale, Base Carbone; kgCO2e/TEP PCI, Combustion</v>
      </c>
      <c r="I675" s="1031" t="s">
        <v>4805</v>
      </c>
      <c r="J675" s="1045" t="s">
        <v>4729</v>
      </c>
      <c r="K675" s="2589" t="s">
        <v>1567</v>
      </c>
      <c r="L675" s="1045" t="s">
        <v>1571</v>
      </c>
      <c r="M675" s="2301">
        <v>0.05</v>
      </c>
      <c r="N675" s="1045" t="s">
        <v>1569</v>
      </c>
      <c r="O675" s="2590">
        <v>0</v>
      </c>
      <c r="P675" s="2045">
        <v>0</v>
      </c>
      <c r="Q675" s="2045">
        <v>0</v>
      </c>
      <c r="R675" s="2045">
        <v>0</v>
      </c>
      <c r="S675" s="2045">
        <v>0</v>
      </c>
      <c r="T675" s="2045">
        <v>0</v>
      </c>
      <c r="U675" s="2307">
        <v>2934.2669999999998</v>
      </c>
    </row>
    <row r="676" spans="2:21" hidden="1" outlineLevel="1">
      <c r="B676" s="1045"/>
      <c r="C676" s="1045"/>
      <c r="D676" s="1051">
        <f t="shared" si="66"/>
        <v>9</v>
      </c>
      <c r="E676" s="1051" t="str">
        <f>IF(COUNTIF(E$599:E675,F676)&gt;0,"",F676)</f>
        <v/>
      </c>
      <c r="F676" s="1051" t="str">
        <f t="shared" si="67"/>
        <v>Gazole routier (B100), France continentale, Base Carbone</v>
      </c>
      <c r="G676" s="1055" t="str">
        <f t="shared" si="68"/>
        <v>Gazole routier (B100), France continentale, Base Carbone; kgCO2e/TEP PCI, Amont</v>
      </c>
      <c r="I676" s="1031" t="s">
        <v>4805</v>
      </c>
      <c r="J676" s="1045" t="s">
        <v>4729</v>
      </c>
      <c r="K676" s="2589" t="s">
        <v>1567</v>
      </c>
      <c r="L676" s="1045" t="s">
        <v>1571</v>
      </c>
      <c r="M676" s="2301">
        <v>0.05</v>
      </c>
      <c r="N676" s="1045" t="s">
        <v>1570</v>
      </c>
      <c r="O676" s="2590">
        <v>1538</v>
      </c>
      <c r="P676" s="2045">
        <v>916</v>
      </c>
      <c r="Q676" s="2045">
        <v>43.2</v>
      </c>
      <c r="R676" s="2045">
        <v>0</v>
      </c>
      <c r="S676" s="2045">
        <v>579</v>
      </c>
      <c r="T676" s="2045">
        <v>0</v>
      </c>
      <c r="U676" s="2307">
        <v>-2934.2669999999998</v>
      </c>
    </row>
    <row r="677" spans="2:21" hidden="1" outlineLevel="1">
      <c r="B677" s="1045"/>
      <c r="C677" s="1045"/>
      <c r="D677" s="1051">
        <f t="shared" si="66"/>
        <v>9</v>
      </c>
      <c r="E677" s="1051" t="str">
        <f>IF(COUNTIF(E$599:E676,F677)&gt;0,"",F677)</f>
        <v/>
      </c>
      <c r="F677" s="1051" t="str">
        <f t="shared" si="67"/>
        <v>Gazole routier (B100), France continentale, Base Carbone</v>
      </c>
      <c r="G677" s="1055" t="str">
        <f t="shared" si="68"/>
        <v>Gazole routier (B100), France continentale, Base Carbone; kgCO2e/litre, Combustion</v>
      </c>
      <c r="I677" s="1031" t="s">
        <v>4805</v>
      </c>
      <c r="J677" s="1045" t="s">
        <v>1574</v>
      </c>
      <c r="K677" s="2589" t="s">
        <v>1567</v>
      </c>
      <c r="L677" s="1045" t="s">
        <v>1571</v>
      </c>
      <c r="M677" s="2301">
        <v>0.05</v>
      </c>
      <c r="N677" s="1045" t="s">
        <v>1569</v>
      </c>
      <c r="O677" s="2590">
        <v>0</v>
      </c>
      <c r="P677" s="2045">
        <v>0</v>
      </c>
      <c r="Q677" s="2045">
        <v>0</v>
      </c>
      <c r="R677" s="2045">
        <v>0</v>
      </c>
      <c r="S677" s="2045">
        <v>0</v>
      </c>
      <c r="T677" s="2045">
        <v>0</v>
      </c>
      <c r="U677" s="2307">
        <v>2.4794559999999999</v>
      </c>
    </row>
    <row r="678" spans="2:21" hidden="1" outlineLevel="1">
      <c r="B678" s="1045"/>
      <c r="C678" s="1045"/>
      <c r="D678" s="1051">
        <f t="shared" si="66"/>
        <v>9</v>
      </c>
      <c r="E678" s="1051" t="str">
        <f>IF(COUNTIF(E$599:E677,F678)&gt;0,"",F678)</f>
        <v/>
      </c>
      <c r="F678" s="1051" t="str">
        <f t="shared" si="67"/>
        <v>Gazole routier (B100), France continentale, Base Carbone</v>
      </c>
      <c r="G678" s="1055" t="str">
        <f t="shared" si="68"/>
        <v>Gazole routier (B100), France continentale, Base Carbone; kgCO2e/litre, Amont</v>
      </c>
      <c r="I678" s="1031" t="s">
        <v>4805</v>
      </c>
      <c r="J678" s="1045" t="s">
        <v>1574</v>
      </c>
      <c r="K678" s="2589" t="s">
        <v>1567</v>
      </c>
      <c r="L678" s="1045" t="s">
        <v>1571</v>
      </c>
      <c r="M678" s="2301">
        <v>0.05</v>
      </c>
      <c r="N678" s="1045" t="s">
        <v>1570</v>
      </c>
      <c r="O678" s="2590">
        <v>1.21</v>
      </c>
      <c r="P678" s="2045">
        <v>0.72</v>
      </c>
      <c r="Q678" s="2045">
        <v>3.4200000000000001E-2</v>
      </c>
      <c r="R678" s="2045">
        <v>0</v>
      </c>
      <c r="S678" s="2045">
        <v>0.45800000000000002</v>
      </c>
      <c r="T678" s="2045">
        <v>0</v>
      </c>
      <c r="U678" s="2307">
        <v>-2.4794559999999999</v>
      </c>
    </row>
    <row r="679" spans="2:21" hidden="1" outlineLevel="1">
      <c r="B679" s="1045"/>
      <c r="C679" s="1045"/>
      <c r="D679" s="1051">
        <f t="shared" si="66"/>
        <v>10</v>
      </c>
      <c r="E679" s="1051" t="str">
        <f>IF(COUNTIF(E$599:E678,F679)&gt;0,"",F679)</f>
        <v>Gazole (B30), France continentale, Base Carbone</v>
      </c>
      <c r="F679" s="1051" t="str">
        <f t="shared" si="67"/>
        <v>Gazole (B30), France continentale, Base Carbone</v>
      </c>
      <c r="G679" s="1055" t="str">
        <f t="shared" si="68"/>
        <v>Gazole (B30), France continentale, Base Carbone; kgCO2e/GJ PCI, Combustion</v>
      </c>
      <c r="I679" s="1100" t="s">
        <v>1591</v>
      </c>
      <c r="J679" s="2589" t="s">
        <v>1566</v>
      </c>
      <c r="K679" s="2589" t="s">
        <v>1567</v>
      </c>
      <c r="L679" s="2589" t="s">
        <v>1571</v>
      </c>
      <c r="M679" s="2301">
        <v>0.05</v>
      </c>
      <c r="N679" s="2589" t="s">
        <v>1569</v>
      </c>
      <c r="O679" s="2590">
        <v>54.1</v>
      </c>
      <c r="P679" s="2590">
        <v>53.6</v>
      </c>
      <c r="Q679" s="2590">
        <v>2.1399999999999999E-2</v>
      </c>
      <c r="R679" s="2590">
        <v>0</v>
      </c>
      <c r="S679" s="2590">
        <v>0.435</v>
      </c>
      <c r="T679" s="2590">
        <v>0</v>
      </c>
      <c r="U679" s="1037">
        <v>19.953016000000002</v>
      </c>
    </row>
    <row r="680" spans="2:21" hidden="1" outlineLevel="1">
      <c r="B680" s="1045"/>
      <c r="C680" s="1045"/>
      <c r="D680" s="1051">
        <f t="shared" si="66"/>
        <v>10</v>
      </c>
      <c r="E680" s="1051" t="str">
        <f>IF(COUNTIF(E$599:E679,F680)&gt;0,"",F680)</f>
        <v/>
      </c>
      <c r="F680" s="1051" t="str">
        <f t="shared" si="67"/>
        <v>Gazole (B30), France continentale, Base Carbone</v>
      </c>
      <c r="G680" s="1055" t="str">
        <f t="shared" si="68"/>
        <v>Gazole (B30), France continentale, Base Carbone; kgCO2e/GJ PCI, Amont</v>
      </c>
      <c r="I680" s="1100" t="s">
        <v>1591</v>
      </c>
      <c r="J680" s="2589" t="s">
        <v>1566</v>
      </c>
      <c r="K680" s="2589" t="s">
        <v>1567</v>
      </c>
      <c r="L680" s="2589" t="s">
        <v>1571</v>
      </c>
      <c r="M680" s="2301">
        <v>0.05</v>
      </c>
      <c r="N680" s="2589" t="s">
        <v>1570</v>
      </c>
      <c r="O680" s="2590">
        <v>21.8</v>
      </c>
      <c r="P680" s="2590">
        <v>17.5</v>
      </c>
      <c r="Q680" s="2590">
        <v>0.36599999999999999</v>
      </c>
      <c r="R680" s="2590">
        <v>0</v>
      </c>
      <c r="S680" s="2590">
        <v>3.95</v>
      </c>
      <c r="T680" s="2590">
        <v>0</v>
      </c>
      <c r="U680" s="1037">
        <v>-19.953016000000002</v>
      </c>
    </row>
    <row r="681" spans="2:21" hidden="1" outlineLevel="1">
      <c r="B681" s="1045"/>
      <c r="C681" s="1045"/>
      <c r="D681" s="1051">
        <f t="shared" si="66"/>
        <v>10</v>
      </c>
      <c r="E681" s="1051" t="str">
        <f>IF(COUNTIF(E$599:E680,F681)&gt;0,"",F681)</f>
        <v/>
      </c>
      <c r="F681" s="1051" t="str">
        <f t="shared" si="67"/>
        <v>Gazole (B30), France continentale, Base Carbone</v>
      </c>
      <c r="G681" s="1055" t="str">
        <f t="shared" si="68"/>
        <v>Gazole (B30), France continentale, Base Carbone; kgCO2e/tonne, Combustion</v>
      </c>
      <c r="I681" s="1100" t="s">
        <v>1591</v>
      </c>
      <c r="J681" s="2589" t="s">
        <v>1585</v>
      </c>
      <c r="K681" s="2589" t="s">
        <v>1567</v>
      </c>
      <c r="L681" s="2589" t="s">
        <v>1571</v>
      </c>
      <c r="M681" s="2301">
        <v>0.05</v>
      </c>
      <c r="N681" s="2589" t="s">
        <v>1569</v>
      </c>
      <c r="O681" s="2590">
        <v>2512</v>
      </c>
      <c r="P681" s="2590">
        <v>2491</v>
      </c>
      <c r="Q681" s="2590">
        <v>0.96599999999999997</v>
      </c>
      <c r="R681" s="2590">
        <v>0</v>
      </c>
      <c r="S681" s="2590">
        <v>20.2</v>
      </c>
      <c r="T681" s="2590">
        <v>0</v>
      </c>
      <c r="U681" s="1037">
        <v>821.19790999999998</v>
      </c>
    </row>
    <row r="682" spans="2:21" hidden="1" outlineLevel="1">
      <c r="B682" s="1045"/>
      <c r="C682" s="1045"/>
      <c r="D682" s="1051">
        <f t="shared" si="66"/>
        <v>10</v>
      </c>
      <c r="E682" s="1051" t="str">
        <f>IF(COUNTIF(E$599:E681,F682)&gt;0,"",F682)</f>
        <v/>
      </c>
      <c r="F682" s="1051" t="str">
        <f t="shared" si="67"/>
        <v>Gazole (B30), France continentale, Base Carbone</v>
      </c>
      <c r="G682" s="1055" t="str">
        <f t="shared" si="68"/>
        <v>Gazole (B30), France continentale, Base Carbone; kgCO2e/tonne, Amont</v>
      </c>
      <c r="I682" s="1100" t="s">
        <v>1591</v>
      </c>
      <c r="J682" s="2589" t="s">
        <v>1585</v>
      </c>
      <c r="K682" s="2589" t="s">
        <v>1567</v>
      </c>
      <c r="L682" s="2589" t="s">
        <v>1571</v>
      </c>
      <c r="M682" s="2301">
        <v>0.05</v>
      </c>
      <c r="N682" s="2589" t="s">
        <v>1570</v>
      </c>
      <c r="O682" s="2590">
        <v>1015</v>
      </c>
      <c r="P682" s="2590">
        <v>814</v>
      </c>
      <c r="Q682" s="2590">
        <v>17</v>
      </c>
      <c r="R682" s="2590">
        <v>0</v>
      </c>
      <c r="S682" s="2590">
        <v>184</v>
      </c>
      <c r="T682" s="2590">
        <v>0</v>
      </c>
      <c r="U682" s="1037">
        <v>-821.19790999999998</v>
      </c>
    </row>
    <row r="683" spans="2:21" hidden="1" outlineLevel="1">
      <c r="B683" s="1045"/>
      <c r="C683" s="1045"/>
      <c r="D683" s="1051">
        <f t="shared" si="66"/>
        <v>10</v>
      </c>
      <c r="E683" s="1051" t="str">
        <f>IF(COUNTIF(E$599:E682,F683)&gt;0,"",F683)</f>
        <v/>
      </c>
      <c r="F683" s="1051" t="str">
        <f t="shared" si="67"/>
        <v>Gazole (B30), France continentale, Base Carbone</v>
      </c>
      <c r="G683" s="1055" t="str">
        <f t="shared" si="68"/>
        <v>Gazole (B30), France continentale, Base Carbone; kgCO2e/kWh PCI, Combustion</v>
      </c>
      <c r="I683" s="1100" t="s">
        <v>1591</v>
      </c>
      <c r="J683" s="2589" t="s">
        <v>1573</v>
      </c>
      <c r="K683" s="2589" t="s">
        <v>1567</v>
      </c>
      <c r="L683" s="2589" t="s">
        <v>1571</v>
      </c>
      <c r="M683" s="2301">
        <v>0.05</v>
      </c>
      <c r="N683" s="2589" t="s">
        <v>1569</v>
      </c>
      <c r="O683" s="2590">
        <v>0.19500000000000001</v>
      </c>
      <c r="P683" s="2590">
        <v>0.193</v>
      </c>
      <c r="Q683" s="2590">
        <v>6.0000000000000002E-5</v>
      </c>
      <c r="R683" s="2590">
        <v>0</v>
      </c>
      <c r="S683" s="2590">
        <v>1.8600000000000001E-3</v>
      </c>
      <c r="T683" s="2590">
        <v>0</v>
      </c>
      <c r="U683" s="1037">
        <v>7.1831000000000006E-2</v>
      </c>
    </row>
    <row r="684" spans="2:21" hidden="1" outlineLevel="1">
      <c r="B684" s="1045"/>
      <c r="C684" s="1045"/>
      <c r="D684" s="1051">
        <f t="shared" si="66"/>
        <v>10</v>
      </c>
      <c r="E684" s="1051" t="str">
        <f>IF(COUNTIF(E$599:E683,F684)&gt;0,"",F684)</f>
        <v/>
      </c>
      <c r="F684" s="1051" t="str">
        <f t="shared" si="67"/>
        <v>Gazole (B30), France continentale, Base Carbone</v>
      </c>
      <c r="G684" s="1055" t="str">
        <f t="shared" si="68"/>
        <v>Gazole (B30), France continentale, Base Carbone; kgCO2e/kWh PCI, Amont</v>
      </c>
      <c r="I684" s="1100" t="s">
        <v>1591</v>
      </c>
      <c r="J684" s="2589" t="s">
        <v>1573</v>
      </c>
      <c r="K684" s="2589" t="s">
        <v>1567</v>
      </c>
      <c r="L684" s="2589" t="s">
        <v>1571</v>
      </c>
      <c r="M684" s="2301">
        <v>0.05</v>
      </c>
      <c r="N684" s="2589" t="s">
        <v>1570</v>
      </c>
      <c r="O684" s="2590">
        <v>7.8399999999999997E-2</v>
      </c>
      <c r="P684" s="2590">
        <v>6.3E-2</v>
      </c>
      <c r="Q684" s="2590">
        <v>1.1100000000000001E-3</v>
      </c>
      <c r="R684" s="2590">
        <v>0</v>
      </c>
      <c r="S684" s="2590">
        <v>1.43E-2</v>
      </c>
      <c r="T684" s="2590">
        <v>0</v>
      </c>
      <c r="U684" s="1037">
        <v>-7.1831000000000006E-2</v>
      </c>
    </row>
    <row r="685" spans="2:21" hidden="1" outlineLevel="1">
      <c r="B685" s="1045"/>
      <c r="C685" s="1045"/>
      <c r="D685" s="1051">
        <f t="shared" si="66"/>
        <v>10</v>
      </c>
      <c r="E685" s="1051" t="str">
        <f>IF(COUNTIF(E$599:E684,F685)&gt;0,"",F685)</f>
        <v/>
      </c>
      <c r="F685" s="1051" t="str">
        <f t="shared" si="67"/>
        <v>Gazole (B30), France continentale, Base Carbone</v>
      </c>
      <c r="G685" s="1055" t="str">
        <f t="shared" si="68"/>
        <v>Gazole (B30), France continentale, Base Carbone; kgCO2e/tep PCI, Combustion</v>
      </c>
      <c r="I685" s="1100" t="s">
        <v>1591</v>
      </c>
      <c r="J685" s="2589" t="s">
        <v>1575</v>
      </c>
      <c r="K685" s="2589" t="s">
        <v>1567</v>
      </c>
      <c r="L685" s="2589" t="s">
        <v>1571</v>
      </c>
      <c r="M685" s="2301">
        <v>0.05</v>
      </c>
      <c r="N685" s="2589" t="s">
        <v>1569</v>
      </c>
      <c r="O685" s="2590">
        <v>2269</v>
      </c>
      <c r="P685" s="2590">
        <v>2250</v>
      </c>
      <c r="Q685" s="2590">
        <v>0.9</v>
      </c>
      <c r="R685" s="2590">
        <v>0</v>
      </c>
      <c r="S685" s="2590">
        <v>18.3</v>
      </c>
      <c r="T685" s="2590">
        <v>0</v>
      </c>
      <c r="U685" s="1037">
        <v>835.24252000000001</v>
      </c>
    </row>
    <row r="686" spans="2:21" hidden="1" outlineLevel="1">
      <c r="B686" s="1045"/>
      <c r="C686" s="1045"/>
      <c r="D686" s="1051">
        <f t="shared" si="66"/>
        <v>10</v>
      </c>
      <c r="E686" s="1051" t="str">
        <f>IF(COUNTIF(E$599:E685,F686)&gt;0,"",F686)</f>
        <v/>
      </c>
      <c r="F686" s="1051" t="str">
        <f t="shared" si="67"/>
        <v>Gazole (B30), France continentale, Base Carbone</v>
      </c>
      <c r="G686" s="1055" t="str">
        <f t="shared" si="68"/>
        <v>Gazole (B30), France continentale, Base Carbone; kgCO2e/tep PCI, Amont</v>
      </c>
      <c r="I686" s="1100" t="s">
        <v>1591</v>
      </c>
      <c r="J686" s="2589" t="s">
        <v>1575</v>
      </c>
      <c r="K686" s="2589" t="s">
        <v>1567</v>
      </c>
      <c r="L686" s="2589" t="s">
        <v>1571</v>
      </c>
      <c r="M686" s="2301">
        <v>0.05</v>
      </c>
      <c r="N686" s="2589" t="s">
        <v>1570</v>
      </c>
      <c r="O686" s="2590">
        <v>916</v>
      </c>
      <c r="P686" s="2590">
        <v>736</v>
      </c>
      <c r="Q686" s="2590">
        <v>15.3</v>
      </c>
      <c r="R686" s="2590">
        <v>0</v>
      </c>
      <c r="S686" s="2590">
        <v>165</v>
      </c>
      <c r="T686" s="2590">
        <v>0</v>
      </c>
      <c r="U686" s="1037">
        <v>-835.24252000000001</v>
      </c>
    </row>
    <row r="687" spans="2:21" hidden="1" outlineLevel="1">
      <c r="B687" s="1045"/>
      <c r="C687" s="1045"/>
      <c r="D687" s="1051">
        <f t="shared" si="66"/>
        <v>10</v>
      </c>
      <c r="E687" s="1051" t="str">
        <f>IF(COUNTIF(E$599:E686,F687)&gt;0,"",F687)</f>
        <v/>
      </c>
      <c r="F687" s="1051" t="str">
        <f t="shared" si="67"/>
        <v>Gazole (B30), France continentale, Base Carbone</v>
      </c>
      <c r="G687" s="1055" t="str">
        <f t="shared" si="68"/>
        <v>Gazole (B30), France continentale, Base Carbone; kgCO2e/litre, Combustion</v>
      </c>
      <c r="I687" s="1100" t="s">
        <v>1591</v>
      </c>
      <c r="J687" s="2589" t="s">
        <v>1574</v>
      </c>
      <c r="K687" s="2589" t="s">
        <v>1567</v>
      </c>
      <c r="L687" s="2589" t="s">
        <v>1571</v>
      </c>
      <c r="M687" s="2301">
        <v>0.1</v>
      </c>
      <c r="N687" s="2589" t="s">
        <v>1569</v>
      </c>
      <c r="O687" s="2590">
        <v>1.88</v>
      </c>
      <c r="P687" s="2590">
        <v>1.86</v>
      </c>
      <c r="Q687" s="2590">
        <v>7.5000000000000002E-4</v>
      </c>
      <c r="R687" s="2590">
        <v>0</v>
      </c>
      <c r="S687" s="2590">
        <v>1.5100000000000001E-2</v>
      </c>
      <c r="T687" s="2590">
        <v>0</v>
      </c>
      <c r="U687" s="1037">
        <v>0.69391199999999997</v>
      </c>
    </row>
    <row r="688" spans="2:21" hidden="1" outlineLevel="1">
      <c r="B688" s="1045"/>
      <c r="C688" s="1045"/>
      <c r="D688" s="1051">
        <f t="shared" si="66"/>
        <v>10</v>
      </c>
      <c r="E688" s="1051" t="str">
        <f>IF(COUNTIF(E$599:E687,F688)&gt;0,"",F688)</f>
        <v/>
      </c>
      <c r="F688" s="1051" t="str">
        <f t="shared" si="67"/>
        <v>Gazole (B30), France continentale, Base Carbone</v>
      </c>
      <c r="G688" s="1055" t="str">
        <f t="shared" si="68"/>
        <v>Gazole (B30), France continentale, Base Carbone; kgCO2e/litre, Amont</v>
      </c>
      <c r="I688" s="1100" t="s">
        <v>1591</v>
      </c>
      <c r="J688" s="2589" t="s">
        <v>1574</v>
      </c>
      <c r="K688" s="2589" t="s">
        <v>1567</v>
      </c>
      <c r="L688" s="2589" t="s">
        <v>1571</v>
      </c>
      <c r="M688" s="2301">
        <v>0.1</v>
      </c>
      <c r="N688" s="2589" t="s">
        <v>1570</v>
      </c>
      <c r="O688" s="2590">
        <v>0.75800000000000001</v>
      </c>
      <c r="P688" s="2590">
        <v>0.60799999999999998</v>
      </c>
      <c r="Q688" s="2590">
        <v>1.2699999999999999E-2</v>
      </c>
      <c r="R688" s="2590">
        <v>0</v>
      </c>
      <c r="S688" s="2590">
        <v>0.13700000000000001</v>
      </c>
      <c r="T688" s="2590">
        <v>0</v>
      </c>
      <c r="U688" s="1037">
        <v>-0.69391199999999997</v>
      </c>
    </row>
    <row r="689" spans="2:21" hidden="1" outlineLevel="1">
      <c r="B689" s="1045"/>
      <c r="C689" s="1045"/>
      <c r="D689" s="1051">
        <f t="shared" si="66"/>
        <v>11</v>
      </c>
      <c r="E689" s="1051" t="str">
        <f>IF(COUNTIF(E$599:E688,F689)&gt;0,"",F689)</f>
        <v>Gazole routier (B7), France continentale, Base Carbone</v>
      </c>
      <c r="F689" s="1051" t="str">
        <f t="shared" si="67"/>
        <v>Gazole routier (B7), France continentale, Base Carbone</v>
      </c>
      <c r="G689" s="1055" t="str">
        <f t="shared" si="68"/>
        <v>Gazole routier (B7), France continentale, Base Carbone; kgCO2e/litre, Combustion</v>
      </c>
      <c r="I689" s="1100" t="s">
        <v>4806</v>
      </c>
      <c r="J689" s="2589" t="s">
        <v>1574</v>
      </c>
      <c r="K689" s="2589" t="s">
        <v>1567</v>
      </c>
      <c r="L689" s="2589" t="s">
        <v>1571</v>
      </c>
      <c r="M689" s="2301">
        <v>0.1</v>
      </c>
      <c r="N689" s="2589" t="s">
        <v>1569</v>
      </c>
      <c r="O689" s="2590">
        <v>2.4900000000000002</v>
      </c>
      <c r="P689" s="2590">
        <v>2.4700000000000002</v>
      </c>
      <c r="Q689" s="2590">
        <v>9.8999999999999999E-4</v>
      </c>
      <c r="R689" s="2590">
        <v>0</v>
      </c>
      <c r="S689" s="2590">
        <v>2.01E-2</v>
      </c>
      <c r="T689" s="2590">
        <v>0</v>
      </c>
      <c r="U689" s="1037">
        <v>0.15589900000000001</v>
      </c>
    </row>
    <row r="690" spans="2:21" hidden="1" outlineLevel="1">
      <c r="B690" s="1045"/>
      <c r="C690" s="1045"/>
      <c r="D690" s="1051">
        <f t="shared" si="66"/>
        <v>11</v>
      </c>
      <c r="E690" s="1051" t="str">
        <f>IF(COUNTIF(E$599:E689,F690)&gt;0,"",F690)</f>
        <v/>
      </c>
      <c r="F690" s="1051" t="str">
        <f t="shared" si="67"/>
        <v>Gazole routier (B7), France continentale, Base Carbone</v>
      </c>
      <c r="G690" s="1055" t="str">
        <f t="shared" si="68"/>
        <v>Gazole routier (B7), France continentale, Base Carbone; kgCO2e/litre, Amont</v>
      </c>
      <c r="I690" s="1100" t="s">
        <v>4806</v>
      </c>
      <c r="J690" s="2589" t="s">
        <v>1574</v>
      </c>
      <c r="K690" s="2589" t="s">
        <v>1567</v>
      </c>
      <c r="L690" s="2589" t="s">
        <v>1571</v>
      </c>
      <c r="M690" s="2301">
        <v>0.1</v>
      </c>
      <c r="N690" s="2589" t="s">
        <v>1570</v>
      </c>
      <c r="O690" s="2590">
        <v>0.60899999999999999</v>
      </c>
      <c r="P690" s="2590">
        <v>0.57099999999999995</v>
      </c>
      <c r="Q690" s="2590">
        <v>5.7000000000000002E-3</v>
      </c>
      <c r="R690" s="2590">
        <v>0</v>
      </c>
      <c r="S690" s="2590">
        <v>3.2099999999999997E-2</v>
      </c>
      <c r="T690" s="2590">
        <v>0</v>
      </c>
      <c r="U690" s="1037">
        <v>-0.15589900000000001</v>
      </c>
    </row>
    <row r="691" spans="2:21" hidden="1" outlineLevel="1">
      <c r="B691" s="1045"/>
      <c r="C691" s="1045"/>
      <c r="D691" s="1051">
        <f t="shared" si="66"/>
        <v>11</v>
      </c>
      <c r="E691" s="1051" t="str">
        <f>IF(COUNTIF(E$599:E690,F691)&gt;0,"",F691)</f>
        <v/>
      </c>
      <c r="F691" s="1051" t="str">
        <f t="shared" si="67"/>
        <v>Gazole routier (B7), France continentale, Base Carbone</v>
      </c>
      <c r="G691" s="1055" t="str">
        <f t="shared" si="68"/>
        <v>Gazole routier (B7), France continentale, Base Carbone; kgCO2e/GJ PCI, Combustion</v>
      </c>
      <c r="I691" s="1100" t="s">
        <v>4806</v>
      </c>
      <c r="J691" s="2589" t="s">
        <v>1566</v>
      </c>
      <c r="K691" s="2589" t="s">
        <v>1567</v>
      </c>
      <c r="L691" s="2589" t="s">
        <v>1571</v>
      </c>
      <c r="M691" s="2301">
        <v>0.05</v>
      </c>
      <c r="N691" s="2589" t="s">
        <v>1569</v>
      </c>
      <c r="O691" s="2590">
        <v>70.599999999999994</v>
      </c>
      <c r="P691" s="2590">
        <v>70</v>
      </c>
      <c r="Q691" s="2590">
        <v>2.8000000000000001E-2</v>
      </c>
      <c r="R691" s="2590">
        <v>0</v>
      </c>
      <c r="S691" s="2590">
        <v>0.56899999999999995</v>
      </c>
      <c r="T691" s="2590">
        <v>0</v>
      </c>
      <c r="U691" s="1037">
        <v>4.736745</v>
      </c>
    </row>
    <row r="692" spans="2:21" hidden="1" outlineLevel="1">
      <c r="B692" s="1045"/>
      <c r="C692" s="1045"/>
      <c r="D692" s="1051">
        <f t="shared" si="66"/>
        <v>11</v>
      </c>
      <c r="E692" s="1051" t="str">
        <f>IF(COUNTIF(E$599:E691,F692)&gt;0,"",F692)</f>
        <v/>
      </c>
      <c r="F692" s="1051" t="str">
        <f t="shared" si="67"/>
        <v>Gazole routier (B7), France continentale, Base Carbone</v>
      </c>
      <c r="G692" s="1055" t="str">
        <f t="shared" si="68"/>
        <v>Gazole routier (B7), France continentale, Base Carbone; kgCO2e/GJ PCI, Amont</v>
      </c>
      <c r="I692" s="1100" t="s">
        <v>4806</v>
      </c>
      <c r="J692" s="2589" t="s">
        <v>1566</v>
      </c>
      <c r="K692" s="2589" t="s">
        <v>1567</v>
      </c>
      <c r="L692" s="2589" t="s">
        <v>1571</v>
      </c>
      <c r="M692" s="2301">
        <v>0.05</v>
      </c>
      <c r="N692" s="2589" t="s">
        <v>1570</v>
      </c>
      <c r="O692" s="2590">
        <v>17.3</v>
      </c>
      <c r="P692" s="2590">
        <v>16.2</v>
      </c>
      <c r="Q692" s="2590">
        <v>0.161</v>
      </c>
      <c r="R692" s="2590">
        <v>0</v>
      </c>
      <c r="S692" s="2590">
        <v>0.90700000000000003</v>
      </c>
      <c r="T692" s="2590">
        <v>0</v>
      </c>
      <c r="U692" s="1037">
        <v>-4.736745</v>
      </c>
    </row>
    <row r="693" spans="2:21" hidden="1" outlineLevel="1">
      <c r="B693" s="1045"/>
      <c r="C693" s="1045"/>
      <c r="D693" s="1051">
        <f t="shared" si="66"/>
        <v>11</v>
      </c>
      <c r="E693" s="1051" t="str">
        <f>IF(COUNTIF(E$599:E692,F693)&gt;0,"",F693)</f>
        <v/>
      </c>
      <c r="F693" s="1051" t="str">
        <f t="shared" si="67"/>
        <v>Gazole routier (B7), France continentale, Base Carbone</v>
      </c>
      <c r="G693" s="1055" t="str">
        <f t="shared" si="68"/>
        <v>Gazole routier (B7), France continentale, Base Carbone; kgCO2e/tonne, Combustion</v>
      </c>
      <c r="I693" s="1100" t="s">
        <v>4806</v>
      </c>
      <c r="J693" s="2589" t="s">
        <v>1585</v>
      </c>
      <c r="K693" s="2589" t="s">
        <v>1567</v>
      </c>
      <c r="L693" s="2589" t="s">
        <v>1571</v>
      </c>
      <c r="M693" s="2301">
        <v>0.05</v>
      </c>
      <c r="N693" s="2589" t="s">
        <v>1569</v>
      </c>
      <c r="O693" s="2590">
        <v>3337</v>
      </c>
      <c r="P693" s="2590">
        <v>3309</v>
      </c>
      <c r="Q693" s="2590">
        <v>1.32</v>
      </c>
      <c r="R693" s="2590">
        <v>0</v>
      </c>
      <c r="S693" s="2590">
        <v>26.9</v>
      </c>
      <c r="T693" s="2590">
        <v>0</v>
      </c>
      <c r="U693" s="1037">
        <v>184.4958</v>
      </c>
    </row>
    <row r="694" spans="2:21" hidden="1" outlineLevel="1">
      <c r="B694" s="1045"/>
      <c r="C694" s="1045"/>
      <c r="D694" s="1051">
        <f t="shared" si="66"/>
        <v>11</v>
      </c>
      <c r="E694" s="1051" t="str">
        <f>IF(COUNTIF(E$599:E693,F694)&gt;0,"",F694)</f>
        <v/>
      </c>
      <c r="F694" s="1051" t="str">
        <f t="shared" si="67"/>
        <v>Gazole routier (B7), France continentale, Base Carbone</v>
      </c>
      <c r="G694" s="1055" t="str">
        <f t="shared" si="68"/>
        <v>Gazole routier (B7), France continentale, Base Carbone; kgCO2e/tonne, Amont</v>
      </c>
      <c r="I694" s="1100" t="s">
        <v>4806</v>
      </c>
      <c r="J694" s="2589" t="s">
        <v>1585</v>
      </c>
      <c r="K694" s="2589" t="s">
        <v>1567</v>
      </c>
      <c r="L694" s="2589" t="s">
        <v>1571</v>
      </c>
      <c r="M694" s="2301">
        <v>0.05</v>
      </c>
      <c r="N694" s="2589" t="s">
        <v>1570</v>
      </c>
      <c r="O694" s="2590">
        <v>816</v>
      </c>
      <c r="P694" s="2590">
        <v>765</v>
      </c>
      <c r="Q694" s="2590">
        <v>7.62</v>
      </c>
      <c r="R694" s="2590">
        <v>0</v>
      </c>
      <c r="S694" s="2590">
        <v>42.9</v>
      </c>
      <c r="T694" s="2590">
        <v>0</v>
      </c>
      <c r="U694" s="1037">
        <v>-184.4958</v>
      </c>
    </row>
    <row r="695" spans="2:21" hidden="1" outlineLevel="1">
      <c r="B695" s="1045"/>
      <c r="C695" s="1045"/>
      <c r="D695" s="1051">
        <f t="shared" si="66"/>
        <v>11</v>
      </c>
      <c r="E695" s="1051" t="str">
        <f>IF(COUNTIF(E$599:E694,F695)&gt;0,"",F695)</f>
        <v/>
      </c>
      <c r="F695" s="1051" t="str">
        <f t="shared" si="67"/>
        <v>Gazole routier (B7), France continentale, Base Carbone</v>
      </c>
      <c r="G695" s="1055" t="str">
        <f t="shared" si="68"/>
        <v>Gazole routier (B7), France continentale, Base Carbone; kgCO2e/kWh PCI, Combustion</v>
      </c>
      <c r="I695" s="1100" t="s">
        <v>4806</v>
      </c>
      <c r="J695" s="2589" t="s">
        <v>1573</v>
      </c>
      <c r="K695" s="2589" t="s">
        <v>1567</v>
      </c>
      <c r="L695" s="2589" t="s">
        <v>1571</v>
      </c>
      <c r="M695" s="2301">
        <v>0.05</v>
      </c>
      <c r="N695" s="2589" t="s">
        <v>1569</v>
      </c>
      <c r="O695" s="2590">
        <v>0.254</v>
      </c>
      <c r="P695" s="2590">
        <v>0.252</v>
      </c>
      <c r="Q695" s="2590">
        <v>9.0000000000000006E-5</v>
      </c>
      <c r="R695" s="2590">
        <v>0</v>
      </c>
      <c r="S695" s="2590">
        <v>2.1199999999999999E-3</v>
      </c>
      <c r="T695" s="2590">
        <v>0</v>
      </c>
      <c r="U695" s="1037">
        <v>1.7052000000000001E-2</v>
      </c>
    </row>
    <row r="696" spans="2:21" hidden="1" outlineLevel="1">
      <c r="B696" s="1045"/>
      <c r="C696" s="1045"/>
      <c r="D696" s="1051">
        <f t="shared" si="66"/>
        <v>11</v>
      </c>
      <c r="E696" s="1051" t="str">
        <f>IF(COUNTIF(E$599:E695,F696)&gt;0,"",F696)</f>
        <v/>
      </c>
      <c r="F696" s="1051" t="str">
        <f t="shared" si="67"/>
        <v>Gazole routier (B7), France continentale, Base Carbone</v>
      </c>
      <c r="G696" s="1055" t="str">
        <f t="shared" si="68"/>
        <v>Gazole routier (B7), France continentale, Base Carbone; kgCO2e/kWh PCI, Amont</v>
      </c>
      <c r="I696" s="1100" t="s">
        <v>4806</v>
      </c>
      <c r="J696" s="2589" t="s">
        <v>1573</v>
      </c>
      <c r="K696" s="2589" t="s">
        <v>1567</v>
      </c>
      <c r="L696" s="2589" t="s">
        <v>1571</v>
      </c>
      <c r="M696" s="2301">
        <v>0.05</v>
      </c>
      <c r="N696" s="2589" t="s">
        <v>1570</v>
      </c>
      <c r="O696" s="2590">
        <v>6.4600000000000005E-2</v>
      </c>
      <c r="P696" s="2590">
        <v>5.8000000000000003E-2</v>
      </c>
      <c r="Q696" s="2590">
        <v>3.4499999999999999E-3</v>
      </c>
      <c r="R696" s="2590">
        <v>0</v>
      </c>
      <c r="S696" s="2590">
        <v>3.1800000000000001E-3</v>
      </c>
      <c r="T696" s="2590">
        <v>0</v>
      </c>
      <c r="U696" s="1037">
        <v>-1.7052000000000001E-2</v>
      </c>
    </row>
    <row r="697" spans="2:21" hidden="1" outlineLevel="1">
      <c r="B697" s="1045"/>
      <c r="C697" s="1045"/>
      <c r="D697" s="1051">
        <f t="shared" si="66"/>
        <v>11</v>
      </c>
      <c r="E697" s="1051" t="str">
        <f>IF(COUNTIF(E$599:E696,F697)&gt;0,"",F697)</f>
        <v/>
      </c>
      <c r="F697" s="1051" t="str">
        <f t="shared" si="67"/>
        <v>Gazole routier (B7), France continentale, Base Carbone</v>
      </c>
      <c r="G697" s="1055" t="str">
        <f t="shared" si="68"/>
        <v>Gazole routier (B7), France continentale, Base Carbone; kgCO2e/tep PCI, Combustion</v>
      </c>
      <c r="I697" s="1100" t="s">
        <v>4806</v>
      </c>
      <c r="J697" s="2589" t="s">
        <v>1575</v>
      </c>
      <c r="K697" s="2589" t="s">
        <v>1567</v>
      </c>
      <c r="L697" s="2589" t="s">
        <v>1571</v>
      </c>
      <c r="M697" s="2301">
        <v>0.05</v>
      </c>
      <c r="N697" s="2589" t="s">
        <v>1569</v>
      </c>
      <c r="O697" s="2590">
        <v>2968</v>
      </c>
      <c r="P697" s="2590">
        <v>2943</v>
      </c>
      <c r="Q697" s="2590">
        <v>1.17</v>
      </c>
      <c r="R697" s="2590">
        <v>0</v>
      </c>
      <c r="S697" s="2590">
        <v>23.9</v>
      </c>
      <c r="T697" s="2590">
        <v>0</v>
      </c>
      <c r="U697" s="1037">
        <v>191.8484</v>
      </c>
    </row>
    <row r="698" spans="2:21" hidden="1" outlineLevel="1">
      <c r="B698" s="1045"/>
      <c r="C698" s="1045"/>
      <c r="D698" s="1051">
        <f t="shared" si="66"/>
        <v>11</v>
      </c>
      <c r="E698" s="1051" t="str">
        <f>IF(COUNTIF(E$599:E697,F698)&gt;0,"",F698)</f>
        <v/>
      </c>
      <c r="F698" s="1051" t="str">
        <f t="shared" si="67"/>
        <v>Gazole routier (B7), France continentale, Base Carbone</v>
      </c>
      <c r="G698" s="1055" t="str">
        <f t="shared" si="68"/>
        <v>Gazole routier (B7), France continentale, Base Carbone; kgCO2e/tep PCI, Amont</v>
      </c>
      <c r="I698" s="1100" t="s">
        <v>4806</v>
      </c>
      <c r="J698" s="2589" t="s">
        <v>1575</v>
      </c>
      <c r="K698" s="2589" t="s">
        <v>1567</v>
      </c>
      <c r="L698" s="2589" t="s">
        <v>1571</v>
      </c>
      <c r="M698" s="2301">
        <v>0.05</v>
      </c>
      <c r="N698" s="2589" t="s">
        <v>1570</v>
      </c>
      <c r="O698" s="2590">
        <v>725</v>
      </c>
      <c r="P698" s="2590">
        <v>680</v>
      </c>
      <c r="Q698" s="2590">
        <v>6.75</v>
      </c>
      <c r="R698" s="2590">
        <v>0</v>
      </c>
      <c r="S698" s="2590">
        <v>38</v>
      </c>
      <c r="T698" s="2590">
        <v>0</v>
      </c>
      <c r="U698" s="1037">
        <v>-191.8484</v>
      </c>
    </row>
    <row r="699" spans="2:21" hidden="1" outlineLevel="1">
      <c r="B699" s="1045"/>
      <c r="C699" s="1045"/>
      <c r="D699" s="1051">
        <f t="shared" si="66"/>
        <v>12</v>
      </c>
      <c r="E699" s="1051" t="str">
        <f>IF(COUNTIF(E$599:E698,F699)&gt;0,"",F699)</f>
        <v>Gazole routier, Polynésie Française, Base Carbone</v>
      </c>
      <c r="F699" s="1051" t="str">
        <f t="shared" si="67"/>
        <v>Gazole routier, Polynésie Française, Base Carbone</v>
      </c>
      <c r="G699" s="1055" t="str">
        <f t="shared" si="68"/>
        <v>Gazole routier, Polynésie Française, Base Carbone; kgCO2e/kg, Combustion</v>
      </c>
      <c r="I699" s="1100" t="s">
        <v>1593</v>
      </c>
      <c r="J699" s="1979" t="s">
        <v>1572</v>
      </c>
      <c r="K699" s="2352" t="s">
        <v>1567</v>
      </c>
      <c r="L699" s="2352" t="s">
        <v>637</v>
      </c>
      <c r="M699" s="2355">
        <v>0.05</v>
      </c>
      <c r="N699" s="2352" t="s">
        <v>1569</v>
      </c>
      <c r="O699" s="2353">
        <v>3.15</v>
      </c>
      <c r="P699" s="2353">
        <f>O699</f>
        <v>3.15</v>
      </c>
      <c r="Q699" s="2353">
        <v>0</v>
      </c>
      <c r="R699" s="2353">
        <v>0</v>
      </c>
      <c r="S699" s="2353">
        <v>0</v>
      </c>
      <c r="T699" s="2353">
        <v>0</v>
      </c>
      <c r="U699" s="2057">
        <v>0</v>
      </c>
    </row>
    <row r="700" spans="2:21" hidden="1" outlineLevel="1">
      <c r="B700" s="1045"/>
      <c r="C700" s="1045"/>
      <c r="D700" s="1051">
        <f t="shared" si="66"/>
        <v>12</v>
      </c>
      <c r="E700" s="1051" t="str">
        <f>IF(COUNTIF(E$599:E699,F700)&gt;0,"",F700)</f>
        <v/>
      </c>
      <c r="F700" s="1051" t="str">
        <f t="shared" si="67"/>
        <v>Gazole routier, Polynésie Française, Base Carbone</v>
      </c>
      <c r="G700" s="1055" t="str">
        <f t="shared" si="68"/>
        <v>Gazole routier, Polynésie Française, Base Carbone; kgCO2e/kg, Amont</v>
      </c>
      <c r="I700" s="1100" t="s">
        <v>1593</v>
      </c>
      <c r="J700" s="1979" t="s">
        <v>1572</v>
      </c>
      <c r="K700" s="2352" t="s">
        <v>1567</v>
      </c>
      <c r="L700" s="2352" t="s">
        <v>637</v>
      </c>
      <c r="M700" s="2355">
        <v>0.05</v>
      </c>
      <c r="N700" s="2352" t="s">
        <v>1570</v>
      </c>
      <c r="O700" s="2353">
        <v>0.5</v>
      </c>
      <c r="P700" s="2353">
        <f t="shared" ref="P700:P730" si="69">O700</f>
        <v>0.5</v>
      </c>
      <c r="Q700" s="2353">
        <v>0</v>
      </c>
      <c r="R700" s="2353">
        <v>0</v>
      </c>
      <c r="S700" s="2353">
        <v>0</v>
      </c>
      <c r="T700" s="2353">
        <v>0</v>
      </c>
      <c r="U700" s="2057">
        <v>0</v>
      </c>
    </row>
    <row r="701" spans="2:21" hidden="1" outlineLevel="1">
      <c r="B701" s="1045"/>
      <c r="C701" s="1045"/>
      <c r="D701" s="1051">
        <f t="shared" si="66"/>
        <v>12</v>
      </c>
      <c r="E701" s="1051" t="str">
        <f>IF(COUNTIF(E$599:E700,F701)&gt;0,"",F701)</f>
        <v/>
      </c>
      <c r="F701" s="1051" t="str">
        <f t="shared" si="67"/>
        <v>Gazole routier, Polynésie Française, Base Carbone</v>
      </c>
      <c r="G701" s="1055" t="str">
        <f t="shared" si="68"/>
        <v>Gazole routier, Polynésie Française, Base Carbone; kgCO2e/kWh PCI, Combustion</v>
      </c>
      <c r="I701" s="1100" t="s">
        <v>1593</v>
      </c>
      <c r="J701" s="2352" t="s">
        <v>1573</v>
      </c>
      <c r="K701" s="2352" t="s">
        <v>1567</v>
      </c>
      <c r="L701" s="2352" t="s">
        <v>637</v>
      </c>
      <c r="M701" s="2355">
        <v>0.05</v>
      </c>
      <c r="N701" s="2352" t="s">
        <v>1569</v>
      </c>
      <c r="O701" s="2354">
        <v>0.27</v>
      </c>
      <c r="P701" s="2353">
        <f t="shared" si="69"/>
        <v>0.27</v>
      </c>
      <c r="Q701" s="2353">
        <v>0</v>
      </c>
      <c r="R701" s="2353">
        <v>0</v>
      </c>
      <c r="S701" s="2353">
        <v>0</v>
      </c>
      <c r="T701" s="2353">
        <v>0</v>
      </c>
      <c r="U701" s="2057">
        <v>0</v>
      </c>
    </row>
    <row r="702" spans="2:21" hidden="1" outlineLevel="1">
      <c r="B702" s="1045"/>
      <c r="C702" s="1045"/>
      <c r="D702" s="1051">
        <f t="shared" si="66"/>
        <v>12</v>
      </c>
      <c r="E702" s="1051" t="str">
        <f>IF(COUNTIF(E$599:E701,F702)&gt;0,"",F702)</f>
        <v/>
      </c>
      <c r="F702" s="1051" t="str">
        <f t="shared" si="67"/>
        <v>Gazole routier, Polynésie Française, Base Carbone</v>
      </c>
      <c r="G702" s="1055" t="str">
        <f t="shared" si="68"/>
        <v>Gazole routier, Polynésie Française, Base Carbone; kgCO2e/kWh PCI, Amont</v>
      </c>
      <c r="I702" s="1100" t="s">
        <v>1593</v>
      </c>
      <c r="J702" s="2352" t="s">
        <v>1573</v>
      </c>
      <c r="K702" s="2352" t="s">
        <v>1567</v>
      </c>
      <c r="L702" s="2352" t="s">
        <v>637</v>
      </c>
      <c r="M702" s="2355">
        <v>0.05</v>
      </c>
      <c r="N702" s="2352" t="s">
        <v>1570</v>
      </c>
      <c r="O702" s="2354">
        <v>4.2900000000000001E-2</v>
      </c>
      <c r="P702" s="2353">
        <f t="shared" si="69"/>
        <v>4.2900000000000001E-2</v>
      </c>
      <c r="Q702" s="2353">
        <v>0</v>
      </c>
      <c r="R702" s="2353">
        <v>0</v>
      </c>
      <c r="S702" s="2353">
        <v>0</v>
      </c>
      <c r="T702" s="2353">
        <v>0</v>
      </c>
      <c r="U702" s="2057">
        <v>0</v>
      </c>
    </row>
    <row r="703" spans="2:21" hidden="1" outlineLevel="1">
      <c r="B703" s="1045"/>
      <c r="C703" s="1045"/>
      <c r="D703" s="1051">
        <f t="shared" si="66"/>
        <v>12</v>
      </c>
      <c r="E703" s="1051" t="str">
        <f>IF(COUNTIF(E$599:E702,F703)&gt;0,"",F703)</f>
        <v/>
      </c>
      <c r="F703" s="1051" t="str">
        <f t="shared" si="67"/>
        <v>Gazole routier, Polynésie Française, Base Carbone</v>
      </c>
      <c r="G703" s="1055" t="str">
        <f t="shared" si="68"/>
        <v>Gazole routier, Polynésie Française, Base Carbone; kgCO2e/tep PCI, Combustion</v>
      </c>
      <c r="I703" s="1100" t="s">
        <v>1593</v>
      </c>
      <c r="J703" s="2352" t="s">
        <v>1575</v>
      </c>
      <c r="K703" s="2352" t="s">
        <v>1567</v>
      </c>
      <c r="L703" s="2352" t="s">
        <v>637</v>
      </c>
      <c r="M703" s="2355">
        <v>0.05</v>
      </c>
      <c r="N703" s="2352" t="s">
        <v>1569</v>
      </c>
      <c r="O703" s="2354">
        <v>3140</v>
      </c>
      <c r="P703" s="2353">
        <f t="shared" si="69"/>
        <v>3140</v>
      </c>
      <c r="Q703" s="2353">
        <v>0</v>
      </c>
      <c r="R703" s="2353">
        <v>0</v>
      </c>
      <c r="S703" s="2353">
        <v>0</v>
      </c>
      <c r="T703" s="2353">
        <v>0</v>
      </c>
      <c r="U703" s="2057">
        <v>0</v>
      </c>
    </row>
    <row r="704" spans="2:21" hidden="1" outlineLevel="1">
      <c r="B704" s="1045"/>
      <c r="C704" s="1045"/>
      <c r="D704" s="1051">
        <f t="shared" si="66"/>
        <v>12</v>
      </c>
      <c r="E704" s="1051" t="str">
        <f>IF(COUNTIF(E$599:E703,F704)&gt;0,"",F704)</f>
        <v/>
      </c>
      <c r="F704" s="1051" t="str">
        <f t="shared" si="67"/>
        <v>Gazole routier, Polynésie Française, Base Carbone</v>
      </c>
      <c r="G704" s="1055" t="str">
        <f t="shared" si="68"/>
        <v>Gazole routier, Polynésie Française, Base Carbone; kgCO2e/tep PCI, Amont</v>
      </c>
      <c r="I704" s="1100" t="s">
        <v>1593</v>
      </c>
      <c r="J704" s="2352" t="s">
        <v>1575</v>
      </c>
      <c r="K704" s="2352" t="s">
        <v>1567</v>
      </c>
      <c r="L704" s="2352" t="s">
        <v>637</v>
      </c>
      <c r="M704" s="2355">
        <v>0.05</v>
      </c>
      <c r="N704" s="2352" t="s">
        <v>1570</v>
      </c>
      <c r="O704" s="2354">
        <v>498</v>
      </c>
      <c r="P704" s="2353">
        <f t="shared" si="69"/>
        <v>498</v>
      </c>
      <c r="Q704" s="2353">
        <v>0</v>
      </c>
      <c r="R704" s="2353">
        <v>0</v>
      </c>
      <c r="S704" s="2353">
        <v>0</v>
      </c>
      <c r="T704" s="2353">
        <v>0</v>
      </c>
      <c r="U704" s="2057">
        <v>0</v>
      </c>
    </row>
    <row r="705" spans="2:21" hidden="1" outlineLevel="1">
      <c r="B705" s="1045"/>
      <c r="C705" s="1045"/>
      <c r="D705" s="1051">
        <f t="shared" si="66"/>
        <v>12</v>
      </c>
      <c r="E705" s="1051" t="str">
        <f>IF(COUNTIF(E$599:E704,F705)&gt;0,"",F705)</f>
        <v/>
      </c>
      <c r="F705" s="1051" t="str">
        <f t="shared" si="67"/>
        <v>Gazole routier, Polynésie Française, Base Carbone</v>
      </c>
      <c r="G705" s="1055" t="str">
        <f t="shared" si="68"/>
        <v>Gazole routier, Polynésie Française, Base Carbone; kgCO2e/litre, Combustion</v>
      </c>
      <c r="I705" s="1100" t="s">
        <v>1593</v>
      </c>
      <c r="J705" s="2352" t="s">
        <v>1574</v>
      </c>
      <c r="K705" s="2352" t="s">
        <v>1567</v>
      </c>
      <c r="L705" s="2352" t="s">
        <v>637</v>
      </c>
      <c r="M705" s="2355">
        <v>0.1</v>
      </c>
      <c r="N705" s="2352" t="s">
        <v>1569</v>
      </c>
      <c r="O705" s="2354">
        <v>2.66</v>
      </c>
      <c r="P705" s="2353">
        <f t="shared" si="69"/>
        <v>2.66</v>
      </c>
      <c r="Q705" s="2353">
        <v>0</v>
      </c>
      <c r="R705" s="2353">
        <v>0</v>
      </c>
      <c r="S705" s="2353">
        <v>0</v>
      </c>
      <c r="T705" s="2353">
        <v>0</v>
      </c>
      <c r="U705" s="2057">
        <v>0</v>
      </c>
    </row>
    <row r="706" spans="2:21" hidden="1" outlineLevel="1">
      <c r="B706" s="1045"/>
      <c r="C706" s="1045"/>
      <c r="D706" s="1051">
        <f t="shared" si="66"/>
        <v>12</v>
      </c>
      <c r="E706" s="1051" t="str">
        <f>IF(COUNTIF(E$599:E705,F706)&gt;0,"",F706)</f>
        <v/>
      </c>
      <c r="F706" s="1051" t="str">
        <f t="shared" si="67"/>
        <v>Gazole routier, Polynésie Française, Base Carbone</v>
      </c>
      <c r="G706" s="1055" t="str">
        <f t="shared" si="68"/>
        <v>Gazole routier, Polynésie Française, Base Carbone; kgCO2e/litre, Amont</v>
      </c>
      <c r="I706" s="1100" t="s">
        <v>1593</v>
      </c>
      <c r="J706" s="2352" t="s">
        <v>1574</v>
      </c>
      <c r="K706" s="2352" t="s">
        <v>1567</v>
      </c>
      <c r="L706" s="2352" t="s">
        <v>637</v>
      </c>
      <c r="M706" s="2355">
        <v>0.1</v>
      </c>
      <c r="N706" s="2352" t="s">
        <v>1570</v>
      </c>
      <c r="O706" s="2354">
        <v>0.42299999999999999</v>
      </c>
      <c r="P706" s="2353">
        <f t="shared" si="69"/>
        <v>0.42299999999999999</v>
      </c>
      <c r="Q706" s="2353">
        <v>0</v>
      </c>
      <c r="R706" s="2353">
        <v>0</v>
      </c>
      <c r="S706" s="2353">
        <v>0</v>
      </c>
      <c r="T706" s="2353">
        <v>0</v>
      </c>
      <c r="U706" s="2057">
        <v>0</v>
      </c>
    </row>
    <row r="707" spans="2:21" hidden="1" outlineLevel="1">
      <c r="B707" s="1045"/>
      <c r="C707" s="1045"/>
      <c r="D707" s="1051">
        <f t="shared" si="66"/>
        <v>13</v>
      </c>
      <c r="E707" s="1051" t="str">
        <f>IF(COUNTIF(E$599:E706,F707)&gt;0,"",F707)</f>
        <v>Gazole routier, Réunion, Base Carbone</v>
      </c>
      <c r="F707" s="1051" t="str">
        <f t="shared" si="67"/>
        <v>Gazole routier, Réunion, Base Carbone</v>
      </c>
      <c r="G707" s="1055" t="str">
        <f t="shared" si="68"/>
        <v>Gazole routier, Réunion, Base Carbone; kgCO2e/kg, Combustion</v>
      </c>
      <c r="I707" s="1100" t="s">
        <v>1593</v>
      </c>
      <c r="J707" s="1979" t="s">
        <v>1572</v>
      </c>
      <c r="K707" s="2352" t="s">
        <v>1567</v>
      </c>
      <c r="L707" s="2352" t="s">
        <v>785</v>
      </c>
      <c r="M707" s="2355">
        <v>0.05</v>
      </c>
      <c r="N707" s="2352" t="s">
        <v>1569</v>
      </c>
      <c r="O707" s="2353">
        <v>3.15</v>
      </c>
      <c r="P707" s="2353">
        <f t="shared" si="69"/>
        <v>3.15</v>
      </c>
      <c r="Q707" s="2353">
        <v>0</v>
      </c>
      <c r="R707" s="2353">
        <v>0</v>
      </c>
      <c r="S707" s="2353">
        <v>0</v>
      </c>
      <c r="T707" s="2353">
        <v>0</v>
      </c>
      <c r="U707" s="2057">
        <v>0</v>
      </c>
    </row>
    <row r="708" spans="2:21" hidden="1" outlineLevel="1">
      <c r="B708" s="1045"/>
      <c r="C708" s="1045"/>
      <c r="D708" s="1051">
        <f t="shared" si="66"/>
        <v>13</v>
      </c>
      <c r="E708" s="1051" t="str">
        <f>IF(COUNTIF(E$599:E707,F708)&gt;0,"",F708)</f>
        <v/>
      </c>
      <c r="F708" s="1051" t="str">
        <f t="shared" si="67"/>
        <v>Gazole routier, Réunion, Base Carbone</v>
      </c>
      <c r="G708" s="1055" t="str">
        <f t="shared" si="68"/>
        <v>Gazole routier, Réunion, Base Carbone; kgCO2e/kg, Amont</v>
      </c>
      <c r="I708" s="1100" t="s">
        <v>1593</v>
      </c>
      <c r="J708" s="1979" t="s">
        <v>1572</v>
      </c>
      <c r="K708" s="2352" t="s">
        <v>1567</v>
      </c>
      <c r="L708" s="2352" t="s">
        <v>785</v>
      </c>
      <c r="M708" s="2355">
        <v>0.05</v>
      </c>
      <c r="N708" s="2352" t="s">
        <v>1570</v>
      </c>
      <c r="O708" s="2353">
        <v>0.432</v>
      </c>
      <c r="P708" s="2353">
        <f t="shared" si="69"/>
        <v>0.432</v>
      </c>
      <c r="Q708" s="2353">
        <v>0</v>
      </c>
      <c r="R708" s="2353">
        <v>0</v>
      </c>
      <c r="S708" s="2353">
        <v>0</v>
      </c>
      <c r="T708" s="2353">
        <v>0</v>
      </c>
      <c r="U708" s="2057">
        <v>0</v>
      </c>
    </row>
    <row r="709" spans="2:21" hidden="1" outlineLevel="1">
      <c r="B709" s="1045"/>
      <c r="C709" s="1045"/>
      <c r="D709" s="1051">
        <f t="shared" si="66"/>
        <v>13</v>
      </c>
      <c r="E709" s="1051" t="str">
        <f>IF(COUNTIF(E$599:E708,F709)&gt;0,"",F709)</f>
        <v/>
      </c>
      <c r="F709" s="1051" t="str">
        <f t="shared" si="67"/>
        <v>Gazole routier, Réunion, Base Carbone</v>
      </c>
      <c r="G709" s="1055" t="str">
        <f t="shared" si="68"/>
        <v>Gazole routier, Réunion, Base Carbone; kgCO2e/kWh PCI, Combustion</v>
      </c>
      <c r="I709" s="1100" t="s">
        <v>1593</v>
      </c>
      <c r="J709" s="2352" t="s">
        <v>1573</v>
      </c>
      <c r="K709" s="2352" t="s">
        <v>1567</v>
      </c>
      <c r="L709" s="2352" t="s">
        <v>785</v>
      </c>
      <c r="M709" s="2355">
        <v>0.05</v>
      </c>
      <c r="N709" s="2352" t="s">
        <v>1569</v>
      </c>
      <c r="O709" s="2354">
        <v>0.27100000000000002</v>
      </c>
      <c r="P709" s="2353">
        <f t="shared" si="69"/>
        <v>0.27100000000000002</v>
      </c>
      <c r="Q709" s="2353">
        <v>0</v>
      </c>
      <c r="R709" s="2353">
        <v>0</v>
      </c>
      <c r="S709" s="2353">
        <v>0</v>
      </c>
      <c r="T709" s="2353">
        <v>0</v>
      </c>
      <c r="U709" s="2057">
        <v>0</v>
      </c>
    </row>
    <row r="710" spans="2:21" hidden="1" outlineLevel="1">
      <c r="B710" s="1045"/>
      <c r="C710" s="1045"/>
      <c r="D710" s="1051">
        <f t="shared" si="66"/>
        <v>13</v>
      </c>
      <c r="E710" s="1051" t="str">
        <f>IF(COUNTIF(E$599:E709,F710)&gt;0,"",F710)</f>
        <v/>
      </c>
      <c r="F710" s="1051" t="str">
        <f t="shared" si="67"/>
        <v>Gazole routier, Réunion, Base Carbone</v>
      </c>
      <c r="G710" s="1055" t="str">
        <f t="shared" si="68"/>
        <v>Gazole routier, Réunion, Base Carbone; kgCO2e/kWh PCI, Amont</v>
      </c>
      <c r="I710" s="1100" t="s">
        <v>1593</v>
      </c>
      <c r="J710" s="2352" t="s">
        <v>1573</v>
      </c>
      <c r="K710" s="2352" t="s">
        <v>1567</v>
      </c>
      <c r="L710" s="2352" t="s">
        <v>785</v>
      </c>
      <c r="M710" s="2355">
        <v>0.05</v>
      </c>
      <c r="N710" s="2352" t="s">
        <v>1570</v>
      </c>
      <c r="O710" s="2354">
        <v>3.6999999999999998E-2</v>
      </c>
      <c r="P710" s="2353">
        <f t="shared" si="69"/>
        <v>3.6999999999999998E-2</v>
      </c>
      <c r="Q710" s="2353">
        <v>0</v>
      </c>
      <c r="R710" s="2353">
        <v>0</v>
      </c>
      <c r="S710" s="2353">
        <v>0</v>
      </c>
      <c r="T710" s="2353">
        <v>0</v>
      </c>
      <c r="U710" s="2057">
        <v>0</v>
      </c>
    </row>
    <row r="711" spans="2:21" hidden="1" outlineLevel="1">
      <c r="B711" s="1045"/>
      <c r="C711" s="1045"/>
      <c r="D711" s="1051">
        <f t="shared" si="66"/>
        <v>13</v>
      </c>
      <c r="E711" s="1051" t="str">
        <f>IF(COUNTIF(E$599:E710,F711)&gt;0,"",F711)</f>
        <v/>
      </c>
      <c r="F711" s="1051" t="str">
        <f t="shared" si="67"/>
        <v>Gazole routier, Réunion, Base Carbone</v>
      </c>
      <c r="G711" s="1055" t="str">
        <f t="shared" si="68"/>
        <v>Gazole routier, Réunion, Base Carbone; kgCO2e/tep PCI, Combustion</v>
      </c>
      <c r="I711" s="1100" t="s">
        <v>1593</v>
      </c>
      <c r="J711" s="2352" t="s">
        <v>1575</v>
      </c>
      <c r="K711" s="2352" t="s">
        <v>1567</v>
      </c>
      <c r="L711" s="2352" t="s">
        <v>785</v>
      </c>
      <c r="M711" s="2355">
        <v>0.05</v>
      </c>
      <c r="N711" s="2352" t="s">
        <v>1569</v>
      </c>
      <c r="O711" s="2354">
        <v>3150</v>
      </c>
      <c r="P711" s="2353">
        <f t="shared" si="69"/>
        <v>3150</v>
      </c>
      <c r="Q711" s="2353">
        <v>0</v>
      </c>
      <c r="R711" s="2353">
        <v>0</v>
      </c>
      <c r="S711" s="2353">
        <v>0</v>
      </c>
      <c r="T711" s="2353">
        <v>0</v>
      </c>
      <c r="U711" s="2057">
        <v>0</v>
      </c>
    </row>
    <row r="712" spans="2:21" hidden="1" outlineLevel="1">
      <c r="B712" s="1045"/>
      <c r="C712" s="1045"/>
      <c r="D712" s="1051">
        <f t="shared" si="66"/>
        <v>13</v>
      </c>
      <c r="E712" s="1051" t="str">
        <f>IF(COUNTIF(E$599:E711,F712)&gt;0,"",F712)</f>
        <v/>
      </c>
      <c r="F712" s="1051" t="str">
        <f t="shared" si="67"/>
        <v>Gazole routier, Réunion, Base Carbone</v>
      </c>
      <c r="G712" s="1055" t="str">
        <f t="shared" si="68"/>
        <v>Gazole routier, Réunion, Base Carbone; kgCO2e/tep PCI, Amont</v>
      </c>
      <c r="I712" s="1100" t="s">
        <v>1593</v>
      </c>
      <c r="J712" s="2352" t="s">
        <v>1575</v>
      </c>
      <c r="K712" s="2352" t="s">
        <v>1567</v>
      </c>
      <c r="L712" s="2352" t="s">
        <v>785</v>
      </c>
      <c r="M712" s="2355">
        <v>0.05</v>
      </c>
      <c r="N712" s="2352" t="s">
        <v>1570</v>
      </c>
      <c r="O712" s="2354">
        <v>432</v>
      </c>
      <c r="P712" s="2353">
        <f t="shared" si="69"/>
        <v>432</v>
      </c>
      <c r="Q712" s="2353">
        <v>0</v>
      </c>
      <c r="R712" s="2353">
        <v>0</v>
      </c>
      <c r="S712" s="2353">
        <v>0</v>
      </c>
      <c r="T712" s="2353">
        <v>0</v>
      </c>
      <c r="U712" s="2057">
        <v>0</v>
      </c>
    </row>
    <row r="713" spans="2:21" hidden="1" outlineLevel="1">
      <c r="B713" s="1045"/>
      <c r="C713" s="1045"/>
      <c r="D713" s="1051">
        <f t="shared" si="66"/>
        <v>13</v>
      </c>
      <c r="E713" s="1051" t="str">
        <f>IF(COUNTIF(E$599:E712,F713)&gt;0,"",F713)</f>
        <v/>
      </c>
      <c r="F713" s="1051" t="str">
        <f t="shared" si="67"/>
        <v>Gazole routier, Réunion, Base Carbone</v>
      </c>
      <c r="G713" s="1055" t="str">
        <f t="shared" si="68"/>
        <v>Gazole routier, Réunion, Base Carbone; kgCO2e/litre, Combustion</v>
      </c>
      <c r="I713" s="1100" t="s">
        <v>1593</v>
      </c>
      <c r="J713" s="2352" t="s">
        <v>1574</v>
      </c>
      <c r="K713" s="2352" t="s">
        <v>1567</v>
      </c>
      <c r="L713" s="2352" t="s">
        <v>785</v>
      </c>
      <c r="M713" s="2355">
        <v>0.1</v>
      </c>
      <c r="N713" s="2352" t="s">
        <v>1569</v>
      </c>
      <c r="O713" s="2354">
        <v>2.66</v>
      </c>
      <c r="P713" s="2353">
        <f t="shared" si="69"/>
        <v>2.66</v>
      </c>
      <c r="Q713" s="2353">
        <v>0</v>
      </c>
      <c r="R713" s="2353">
        <v>0</v>
      </c>
      <c r="S713" s="2353">
        <v>0</v>
      </c>
      <c r="T713" s="2353">
        <v>0</v>
      </c>
      <c r="U713" s="2057">
        <v>0</v>
      </c>
    </row>
    <row r="714" spans="2:21" hidden="1" outlineLevel="1">
      <c r="B714" s="1045"/>
      <c r="C714" s="1045"/>
      <c r="D714" s="1051">
        <f t="shared" si="66"/>
        <v>13</v>
      </c>
      <c r="E714" s="1051" t="str">
        <f>IF(COUNTIF(E$599:E713,F714)&gt;0,"",F714)</f>
        <v/>
      </c>
      <c r="F714" s="1051" t="str">
        <f t="shared" si="67"/>
        <v>Gazole routier, Réunion, Base Carbone</v>
      </c>
      <c r="G714" s="1055" t="str">
        <f t="shared" si="68"/>
        <v>Gazole routier, Réunion, Base Carbone; kgCO2e/litre, Amont</v>
      </c>
      <c r="I714" s="1100" t="s">
        <v>1593</v>
      </c>
      <c r="J714" s="2352" t="s">
        <v>1574</v>
      </c>
      <c r="K714" s="2352" t="s">
        <v>1567</v>
      </c>
      <c r="L714" s="2352" t="s">
        <v>785</v>
      </c>
      <c r="M714" s="2355">
        <v>0.1</v>
      </c>
      <c r="N714" s="2352" t="s">
        <v>1570</v>
      </c>
      <c r="O714" s="2354">
        <v>0.38200000000000001</v>
      </c>
      <c r="P714" s="2353">
        <f t="shared" si="69"/>
        <v>0.38200000000000001</v>
      </c>
      <c r="Q714" s="2353">
        <v>0</v>
      </c>
      <c r="R714" s="2353">
        <v>0</v>
      </c>
      <c r="S714" s="2353">
        <v>0</v>
      </c>
      <c r="T714" s="2353">
        <v>0</v>
      </c>
      <c r="U714" s="2057">
        <v>0</v>
      </c>
    </row>
    <row r="715" spans="2:21" hidden="1" outlineLevel="1">
      <c r="B715" s="1045"/>
      <c r="C715" s="1045"/>
      <c r="D715" s="1051">
        <f t="shared" si="66"/>
        <v>14</v>
      </c>
      <c r="E715" s="1051" t="str">
        <f>IF(COUNTIF(E$599:E714,F715)&gt;0,"",F715)</f>
        <v>Gazole routier, Guadeloupe, Martinique, Guyane, Corse, Base Carbone</v>
      </c>
      <c r="F715" s="1051" t="str">
        <f t="shared" si="67"/>
        <v>Gazole routier, Guadeloupe, Martinique, Guyane, Corse, Base Carbone</v>
      </c>
      <c r="G715" s="1055" t="str">
        <f t="shared" si="68"/>
        <v>Gazole routier, Guadeloupe, Martinique, Guyane, Corse, Base Carbone; kgCO2e/kg, Combustion</v>
      </c>
      <c r="I715" s="1100" t="s">
        <v>1593</v>
      </c>
      <c r="J715" s="1979" t="s">
        <v>1572</v>
      </c>
      <c r="K715" s="2352" t="s">
        <v>1567</v>
      </c>
      <c r="L715" s="2352" t="s">
        <v>3084</v>
      </c>
      <c r="M715" s="2355">
        <v>0.05</v>
      </c>
      <c r="N715" s="2352" t="s">
        <v>1569</v>
      </c>
      <c r="O715" s="2353">
        <v>3.15</v>
      </c>
      <c r="P715" s="2353">
        <f t="shared" si="69"/>
        <v>3.15</v>
      </c>
      <c r="Q715" s="2353">
        <v>0</v>
      </c>
      <c r="R715" s="2353">
        <v>0</v>
      </c>
      <c r="S715" s="2353">
        <v>0</v>
      </c>
      <c r="T715" s="2353">
        <v>0</v>
      </c>
      <c r="U715" s="2057">
        <v>0</v>
      </c>
    </row>
    <row r="716" spans="2:21" hidden="1" outlineLevel="1">
      <c r="B716" s="1045"/>
      <c r="C716" s="1045"/>
      <c r="D716" s="1051">
        <f t="shared" si="66"/>
        <v>14</v>
      </c>
      <c r="E716" s="1051" t="str">
        <f>IF(COUNTIF(E$599:E715,F716)&gt;0,"",F716)</f>
        <v/>
      </c>
      <c r="F716" s="1051" t="str">
        <f t="shared" si="67"/>
        <v>Gazole routier, Guadeloupe, Martinique, Guyane, Corse, Base Carbone</v>
      </c>
      <c r="G716" s="1055" t="str">
        <f t="shared" si="68"/>
        <v>Gazole routier, Guadeloupe, Martinique, Guyane, Corse, Base Carbone; kgCO2e/kg, Amont</v>
      </c>
      <c r="I716" s="1100" t="s">
        <v>1593</v>
      </c>
      <c r="J716" s="1979" t="s">
        <v>1572</v>
      </c>
      <c r="K716" s="2352" t="s">
        <v>1567</v>
      </c>
      <c r="L716" s="2352" t="s">
        <v>3084</v>
      </c>
      <c r="M716" s="2355">
        <v>0.05</v>
      </c>
      <c r="N716" s="2352" t="s">
        <v>1570</v>
      </c>
      <c r="O716" s="2353">
        <v>0.33700000000000002</v>
      </c>
      <c r="P716" s="2353">
        <f t="shared" si="69"/>
        <v>0.33700000000000002</v>
      </c>
      <c r="Q716" s="2353">
        <v>0</v>
      </c>
      <c r="R716" s="2353">
        <v>0</v>
      </c>
      <c r="S716" s="2353">
        <v>0</v>
      </c>
      <c r="T716" s="2353">
        <v>0</v>
      </c>
      <c r="U716" s="2057">
        <v>0</v>
      </c>
    </row>
    <row r="717" spans="2:21" hidden="1" outlineLevel="1">
      <c r="B717" s="1045"/>
      <c r="C717" s="1045"/>
      <c r="D717" s="1051">
        <f t="shared" si="66"/>
        <v>14</v>
      </c>
      <c r="E717" s="1051" t="str">
        <f>IF(COUNTIF(E$599:E716,F717)&gt;0,"",F717)</f>
        <v/>
      </c>
      <c r="F717" s="1051" t="str">
        <f t="shared" si="67"/>
        <v>Gazole routier, Guadeloupe, Martinique, Guyane, Corse, Base Carbone</v>
      </c>
      <c r="G717" s="1055" t="str">
        <f t="shared" si="68"/>
        <v>Gazole routier, Guadeloupe, Martinique, Guyane, Corse, Base Carbone; kgCO2e/kWh PCI, Combustion</v>
      </c>
      <c r="I717" s="1100" t="s">
        <v>1593</v>
      </c>
      <c r="J717" s="2352" t="s">
        <v>1573</v>
      </c>
      <c r="K717" s="2352" t="s">
        <v>1567</v>
      </c>
      <c r="L717" s="2352" t="s">
        <v>3084</v>
      </c>
      <c r="M717" s="2355">
        <v>0.05</v>
      </c>
      <c r="N717" s="2352" t="s">
        <v>1569</v>
      </c>
      <c r="O717" s="2354">
        <v>0.27100000000000002</v>
      </c>
      <c r="P717" s="2353">
        <f t="shared" si="69"/>
        <v>0.27100000000000002</v>
      </c>
      <c r="Q717" s="2353">
        <v>0</v>
      </c>
      <c r="R717" s="2353">
        <v>0</v>
      </c>
      <c r="S717" s="2353">
        <v>0</v>
      </c>
      <c r="T717" s="2353">
        <v>0</v>
      </c>
      <c r="U717" s="2057">
        <v>0</v>
      </c>
    </row>
    <row r="718" spans="2:21" hidden="1" outlineLevel="1">
      <c r="B718" s="1045"/>
      <c r="C718" s="1045"/>
      <c r="D718" s="1051">
        <f t="shared" si="66"/>
        <v>14</v>
      </c>
      <c r="E718" s="1051" t="str">
        <f>IF(COUNTIF(E$599:E717,F718)&gt;0,"",F718)</f>
        <v/>
      </c>
      <c r="F718" s="1051" t="str">
        <f t="shared" si="67"/>
        <v>Gazole routier, Guadeloupe, Martinique, Guyane, Corse, Base Carbone</v>
      </c>
      <c r="G718" s="1055" t="str">
        <f t="shared" si="68"/>
        <v>Gazole routier, Guadeloupe, Martinique, Guyane, Corse, Base Carbone; kgCO2e/kWh PCI, Amont</v>
      </c>
      <c r="I718" s="1100" t="s">
        <v>1593</v>
      </c>
      <c r="J718" s="2352" t="s">
        <v>1573</v>
      </c>
      <c r="K718" s="2352" t="s">
        <v>1567</v>
      </c>
      <c r="L718" s="2352" t="s">
        <v>3084</v>
      </c>
      <c r="M718" s="2355">
        <v>0.05</v>
      </c>
      <c r="N718" s="2352" t="s">
        <v>1570</v>
      </c>
      <c r="O718" s="2354">
        <v>2.9000000000000001E-2</v>
      </c>
      <c r="P718" s="2353">
        <f t="shared" si="69"/>
        <v>2.9000000000000001E-2</v>
      </c>
      <c r="Q718" s="2353">
        <v>0</v>
      </c>
      <c r="R718" s="2353">
        <v>0</v>
      </c>
      <c r="S718" s="2353">
        <v>0</v>
      </c>
      <c r="T718" s="2353">
        <v>0</v>
      </c>
      <c r="U718" s="2057">
        <v>0</v>
      </c>
    </row>
    <row r="719" spans="2:21" hidden="1" outlineLevel="1">
      <c r="B719" s="1045"/>
      <c r="C719" s="1045"/>
      <c r="D719" s="1051">
        <f t="shared" si="66"/>
        <v>14</v>
      </c>
      <c r="E719" s="1051" t="str">
        <f>IF(COUNTIF(E$599:E718,F719)&gt;0,"",F719)</f>
        <v/>
      </c>
      <c r="F719" s="1051" t="str">
        <f t="shared" si="67"/>
        <v>Gazole routier, Guadeloupe, Martinique, Guyane, Corse, Base Carbone</v>
      </c>
      <c r="G719" s="1055" t="str">
        <f t="shared" si="68"/>
        <v>Gazole routier, Guadeloupe, Martinique, Guyane, Corse, Base Carbone; kgCO2e/tep PCI, Combustion</v>
      </c>
      <c r="I719" s="1100" t="s">
        <v>1593</v>
      </c>
      <c r="J719" s="2352" t="s">
        <v>1575</v>
      </c>
      <c r="K719" s="2352" t="s">
        <v>1567</v>
      </c>
      <c r="L719" s="2352" t="s">
        <v>3084</v>
      </c>
      <c r="M719" s="2355">
        <v>0.05</v>
      </c>
      <c r="N719" s="2352" t="s">
        <v>1569</v>
      </c>
      <c r="O719" s="2354">
        <v>3150</v>
      </c>
      <c r="P719" s="2353">
        <f t="shared" si="69"/>
        <v>3150</v>
      </c>
      <c r="Q719" s="2353">
        <v>0</v>
      </c>
      <c r="R719" s="2353">
        <v>0</v>
      </c>
      <c r="S719" s="2353">
        <v>0</v>
      </c>
      <c r="T719" s="2353">
        <v>0</v>
      </c>
      <c r="U719" s="2057">
        <v>0</v>
      </c>
    </row>
    <row r="720" spans="2:21" hidden="1" outlineLevel="1">
      <c r="B720" s="1045"/>
      <c r="C720" s="1045"/>
      <c r="D720" s="1051">
        <f t="shared" si="66"/>
        <v>14</v>
      </c>
      <c r="E720" s="1051" t="str">
        <f>IF(COUNTIF(E$599:E719,F720)&gt;0,"",F720)</f>
        <v/>
      </c>
      <c r="F720" s="1051" t="str">
        <f t="shared" si="67"/>
        <v>Gazole routier, Guadeloupe, Martinique, Guyane, Corse, Base Carbone</v>
      </c>
      <c r="G720" s="1055" t="str">
        <f t="shared" si="68"/>
        <v>Gazole routier, Guadeloupe, Martinique, Guyane, Corse, Base Carbone; kgCO2e/tep PCI, Amont</v>
      </c>
      <c r="I720" s="1100" t="s">
        <v>1593</v>
      </c>
      <c r="J720" s="2352" t="s">
        <v>1575</v>
      </c>
      <c r="K720" s="2352" t="s">
        <v>1567</v>
      </c>
      <c r="L720" s="2352" t="s">
        <v>3084</v>
      </c>
      <c r="M720" s="2355">
        <v>0.05</v>
      </c>
      <c r="N720" s="2352" t="s">
        <v>1570</v>
      </c>
      <c r="O720" s="2354">
        <v>337</v>
      </c>
      <c r="P720" s="2353">
        <f t="shared" si="69"/>
        <v>337</v>
      </c>
      <c r="Q720" s="2353">
        <v>0</v>
      </c>
      <c r="R720" s="2353">
        <v>0</v>
      </c>
      <c r="S720" s="2353">
        <v>0</v>
      </c>
      <c r="T720" s="2353">
        <v>0</v>
      </c>
      <c r="U720" s="2057">
        <v>0</v>
      </c>
    </row>
    <row r="721" spans="2:21" hidden="1" outlineLevel="1">
      <c r="B721" s="1045"/>
      <c r="C721" s="1045"/>
      <c r="D721" s="1051">
        <f t="shared" si="66"/>
        <v>14</v>
      </c>
      <c r="E721" s="1051" t="str">
        <f>IF(COUNTIF(E$599:E720,F721)&gt;0,"",F721)</f>
        <v/>
      </c>
      <c r="F721" s="1051" t="str">
        <f t="shared" si="67"/>
        <v>Gazole routier, Guadeloupe, Martinique, Guyane, Corse, Base Carbone</v>
      </c>
      <c r="G721" s="1055" t="str">
        <f t="shared" si="68"/>
        <v>Gazole routier, Guadeloupe, Martinique, Guyane, Corse, Base Carbone; kgCO2e/litre, Combustion</v>
      </c>
      <c r="I721" s="1100" t="s">
        <v>1593</v>
      </c>
      <c r="J721" s="2352" t="s">
        <v>1574</v>
      </c>
      <c r="K721" s="2352" t="s">
        <v>1567</v>
      </c>
      <c r="L721" s="2352" t="s">
        <v>3084</v>
      </c>
      <c r="M721" s="2355">
        <v>0.1</v>
      </c>
      <c r="N721" s="2352" t="s">
        <v>1569</v>
      </c>
      <c r="O721" s="2354">
        <v>2.66</v>
      </c>
      <c r="P721" s="2353">
        <f t="shared" si="69"/>
        <v>2.66</v>
      </c>
      <c r="Q721" s="2353">
        <v>0</v>
      </c>
      <c r="R721" s="2353">
        <v>0</v>
      </c>
      <c r="S721" s="2353">
        <v>0</v>
      </c>
      <c r="T721" s="2353">
        <v>0</v>
      </c>
      <c r="U721" s="2057">
        <v>0</v>
      </c>
    </row>
    <row r="722" spans="2:21" hidden="1" outlineLevel="1">
      <c r="B722" s="1045"/>
      <c r="C722" s="1045"/>
      <c r="D722" s="1051">
        <f t="shared" si="66"/>
        <v>14</v>
      </c>
      <c r="E722" s="1051" t="str">
        <f>IF(COUNTIF(E$599:E721,F722)&gt;0,"",F722)</f>
        <v/>
      </c>
      <c r="F722" s="1051" t="str">
        <f t="shared" si="67"/>
        <v>Gazole routier, Guadeloupe, Martinique, Guyane, Corse, Base Carbone</v>
      </c>
      <c r="G722" s="1055" t="str">
        <f t="shared" si="68"/>
        <v>Gazole routier, Guadeloupe, Martinique, Guyane, Corse, Base Carbone; kgCO2e/litre, Amont</v>
      </c>
      <c r="I722" s="1100" t="s">
        <v>1593</v>
      </c>
      <c r="J722" s="2352" t="s">
        <v>1574</v>
      </c>
      <c r="K722" s="2352" t="s">
        <v>1567</v>
      </c>
      <c r="L722" s="2352" t="s">
        <v>3084</v>
      </c>
      <c r="M722" s="2355">
        <v>0.1</v>
      </c>
      <c r="N722" s="2352" t="s">
        <v>1570</v>
      </c>
      <c r="O722" s="2354">
        <v>0.28499999999999998</v>
      </c>
      <c r="P722" s="2353">
        <f t="shared" si="69"/>
        <v>0.28499999999999998</v>
      </c>
      <c r="Q722" s="2353">
        <v>0</v>
      </c>
      <c r="R722" s="2353">
        <v>0</v>
      </c>
      <c r="S722" s="2353">
        <v>0</v>
      </c>
      <c r="T722" s="2353">
        <v>0</v>
      </c>
      <c r="U722" s="2057">
        <v>0</v>
      </c>
    </row>
    <row r="723" spans="2:21" hidden="1" outlineLevel="1">
      <c r="B723" s="1045"/>
      <c r="C723" s="1045"/>
      <c r="D723" s="1051">
        <f t="shared" si="66"/>
        <v>15</v>
      </c>
      <c r="E723" s="1051" t="str">
        <f>IF(COUNTIF(E$599:E722,F723)&gt;0,"",F723)</f>
        <v>Gazole routier, Nouvelle Calédonie, Base Carbone</v>
      </c>
      <c r="F723" s="1051" t="str">
        <f t="shared" si="67"/>
        <v>Gazole routier, Nouvelle Calédonie, Base Carbone</v>
      </c>
      <c r="G723" s="1055" t="str">
        <f t="shared" si="68"/>
        <v>Gazole routier, Nouvelle Calédonie, Base Carbone; kgCO2e/kg, Combustion</v>
      </c>
      <c r="I723" s="1100" t="s">
        <v>1593</v>
      </c>
      <c r="J723" s="1979" t="s">
        <v>1572</v>
      </c>
      <c r="K723" s="2352" t="s">
        <v>1567</v>
      </c>
      <c r="L723" s="2352" t="s">
        <v>3085</v>
      </c>
      <c r="M723" s="2355">
        <v>0.05</v>
      </c>
      <c r="N723" s="2352" t="s">
        <v>1569</v>
      </c>
      <c r="O723" s="2353">
        <v>3.15</v>
      </c>
      <c r="P723" s="2353">
        <f t="shared" si="69"/>
        <v>3.15</v>
      </c>
      <c r="Q723" s="2353">
        <v>0</v>
      </c>
      <c r="R723" s="2353">
        <v>0</v>
      </c>
      <c r="S723" s="2353">
        <v>0</v>
      </c>
      <c r="T723" s="2353">
        <v>0</v>
      </c>
      <c r="U723" s="2057">
        <v>0</v>
      </c>
    </row>
    <row r="724" spans="2:21" hidden="1" outlineLevel="1">
      <c r="B724" s="1045"/>
      <c r="C724" s="1045"/>
      <c r="D724" s="1051">
        <f t="shared" si="66"/>
        <v>15</v>
      </c>
      <c r="E724" s="1051" t="str">
        <f>IF(COUNTIF(E$599:E723,F724)&gt;0,"",F724)</f>
        <v/>
      </c>
      <c r="F724" s="1051" t="str">
        <f t="shared" si="67"/>
        <v>Gazole routier, Nouvelle Calédonie, Base Carbone</v>
      </c>
      <c r="G724" s="1055" t="str">
        <f t="shared" si="68"/>
        <v>Gazole routier, Nouvelle Calédonie, Base Carbone; kgCO2e/kg, Amont</v>
      </c>
      <c r="I724" s="1100" t="s">
        <v>1593</v>
      </c>
      <c r="J724" s="1979" t="s">
        <v>1572</v>
      </c>
      <c r="K724" s="2352" t="s">
        <v>1567</v>
      </c>
      <c r="L724" s="2352" t="s">
        <v>3085</v>
      </c>
      <c r="M724" s="2355">
        <v>0.05</v>
      </c>
      <c r="N724" s="2352" t="s">
        <v>1570</v>
      </c>
      <c r="O724" s="2353">
        <v>0.47299999999999998</v>
      </c>
      <c r="P724" s="2353">
        <f t="shared" si="69"/>
        <v>0.47299999999999998</v>
      </c>
      <c r="Q724" s="2353">
        <v>0</v>
      </c>
      <c r="R724" s="2353">
        <v>0</v>
      </c>
      <c r="S724" s="2353">
        <v>0</v>
      </c>
      <c r="T724" s="2353">
        <v>0</v>
      </c>
      <c r="U724" s="2057">
        <v>0</v>
      </c>
    </row>
    <row r="725" spans="2:21" hidden="1" outlineLevel="1">
      <c r="B725" s="1045"/>
      <c r="C725" s="1045"/>
      <c r="D725" s="1051">
        <f t="shared" si="66"/>
        <v>15</v>
      </c>
      <c r="E725" s="1051" t="str">
        <f>IF(COUNTIF(E$599:E724,F725)&gt;0,"",F725)</f>
        <v/>
      </c>
      <c r="F725" s="1051" t="str">
        <f t="shared" si="67"/>
        <v>Gazole routier, Nouvelle Calédonie, Base Carbone</v>
      </c>
      <c r="G725" s="1055" t="str">
        <f t="shared" si="68"/>
        <v>Gazole routier, Nouvelle Calédonie, Base Carbone; kgCO2e/kWh PCI, Combustion</v>
      </c>
      <c r="I725" s="1100" t="s">
        <v>1593</v>
      </c>
      <c r="J725" s="2352" t="s">
        <v>1573</v>
      </c>
      <c r="K725" s="2352" t="s">
        <v>1567</v>
      </c>
      <c r="L725" s="2352" t="s">
        <v>3085</v>
      </c>
      <c r="M725" s="2355">
        <v>0.05</v>
      </c>
      <c r="N725" s="2352" t="s">
        <v>1569</v>
      </c>
      <c r="O725" s="2354">
        <v>0.27100000000000002</v>
      </c>
      <c r="P725" s="2353">
        <f t="shared" si="69"/>
        <v>0.27100000000000002</v>
      </c>
      <c r="Q725" s="2353">
        <v>0</v>
      </c>
      <c r="R725" s="2353">
        <v>0</v>
      </c>
      <c r="S725" s="2353">
        <v>0</v>
      </c>
      <c r="T725" s="2353">
        <v>0</v>
      </c>
      <c r="U725" s="2057">
        <v>0</v>
      </c>
    </row>
    <row r="726" spans="2:21" hidden="1" outlineLevel="1">
      <c r="B726" s="1045"/>
      <c r="C726" s="1045"/>
      <c r="D726" s="1051">
        <f t="shared" si="66"/>
        <v>15</v>
      </c>
      <c r="E726" s="1051" t="str">
        <f>IF(COUNTIF(E$599:E725,F726)&gt;0,"",F726)</f>
        <v/>
      </c>
      <c r="F726" s="1051" t="str">
        <f t="shared" si="67"/>
        <v>Gazole routier, Nouvelle Calédonie, Base Carbone</v>
      </c>
      <c r="G726" s="1055" t="str">
        <f t="shared" si="68"/>
        <v>Gazole routier, Nouvelle Calédonie, Base Carbone; kgCO2e/kWh PCI, Amont</v>
      </c>
      <c r="I726" s="1100" t="s">
        <v>1593</v>
      </c>
      <c r="J726" s="2352" t="s">
        <v>1573</v>
      </c>
      <c r="K726" s="2352" t="s">
        <v>1567</v>
      </c>
      <c r="L726" s="2352" t="s">
        <v>3085</v>
      </c>
      <c r="M726" s="2355">
        <v>0.05</v>
      </c>
      <c r="N726" s="2352" t="s">
        <v>1570</v>
      </c>
      <c r="O726" s="2354">
        <v>4.07E-2</v>
      </c>
      <c r="P726" s="2353">
        <f t="shared" si="69"/>
        <v>4.07E-2</v>
      </c>
      <c r="Q726" s="2353">
        <v>0</v>
      </c>
      <c r="R726" s="2353">
        <v>0</v>
      </c>
      <c r="S726" s="2353">
        <v>0</v>
      </c>
      <c r="T726" s="2353">
        <v>0</v>
      </c>
      <c r="U726" s="2057">
        <v>0</v>
      </c>
    </row>
    <row r="727" spans="2:21" hidden="1" outlineLevel="1">
      <c r="B727" s="1045"/>
      <c r="C727" s="1045"/>
      <c r="D727" s="1051">
        <f t="shared" si="66"/>
        <v>15</v>
      </c>
      <c r="E727" s="1051" t="str">
        <f>IF(COUNTIF(E$599:E726,F727)&gt;0,"",F727)</f>
        <v/>
      </c>
      <c r="F727" s="1051" t="str">
        <f t="shared" si="67"/>
        <v>Gazole routier, Nouvelle Calédonie, Base Carbone</v>
      </c>
      <c r="G727" s="1055" t="str">
        <f t="shared" si="68"/>
        <v>Gazole routier, Nouvelle Calédonie, Base Carbone; kgCO2e/tep PCI, Combustion</v>
      </c>
      <c r="I727" s="1100" t="s">
        <v>1593</v>
      </c>
      <c r="J727" s="2352" t="s">
        <v>1575</v>
      </c>
      <c r="K727" s="2352" t="s">
        <v>1567</v>
      </c>
      <c r="L727" s="2352" t="s">
        <v>3085</v>
      </c>
      <c r="M727" s="2355">
        <v>0.05</v>
      </c>
      <c r="N727" s="2352" t="s">
        <v>1569</v>
      </c>
      <c r="O727" s="2354">
        <v>3150</v>
      </c>
      <c r="P727" s="2353">
        <f t="shared" si="69"/>
        <v>3150</v>
      </c>
      <c r="Q727" s="2353">
        <v>0</v>
      </c>
      <c r="R727" s="2353">
        <v>0</v>
      </c>
      <c r="S727" s="2353">
        <v>0</v>
      </c>
      <c r="T727" s="2353">
        <v>0</v>
      </c>
      <c r="U727" s="2057">
        <v>0</v>
      </c>
    </row>
    <row r="728" spans="2:21" hidden="1" outlineLevel="1">
      <c r="B728" s="1045"/>
      <c r="C728" s="1045"/>
      <c r="D728" s="1051">
        <f t="shared" si="66"/>
        <v>15</v>
      </c>
      <c r="E728" s="1051" t="str">
        <f>IF(COUNTIF(E$599:E727,F728)&gt;0,"",F728)</f>
        <v/>
      </c>
      <c r="F728" s="1051" t="str">
        <f t="shared" si="67"/>
        <v>Gazole routier, Nouvelle Calédonie, Base Carbone</v>
      </c>
      <c r="G728" s="1055" t="str">
        <f t="shared" si="68"/>
        <v>Gazole routier, Nouvelle Calédonie, Base Carbone; kgCO2e/tep PCI, Amont</v>
      </c>
      <c r="I728" s="1100" t="s">
        <v>1593</v>
      </c>
      <c r="J728" s="2352" t="s">
        <v>1575</v>
      </c>
      <c r="K728" s="2352" t="s">
        <v>1567</v>
      </c>
      <c r="L728" s="2352" t="s">
        <v>3085</v>
      </c>
      <c r="M728" s="2355">
        <v>0.05</v>
      </c>
      <c r="N728" s="2352" t="s">
        <v>1570</v>
      </c>
      <c r="O728" s="2354">
        <v>473</v>
      </c>
      <c r="P728" s="2353">
        <f t="shared" si="69"/>
        <v>473</v>
      </c>
      <c r="Q728" s="2353">
        <v>0</v>
      </c>
      <c r="R728" s="2353">
        <v>0</v>
      </c>
      <c r="S728" s="2353">
        <v>0</v>
      </c>
      <c r="T728" s="2353">
        <v>0</v>
      </c>
      <c r="U728" s="2057">
        <v>0</v>
      </c>
    </row>
    <row r="729" spans="2:21" hidden="1" outlineLevel="1">
      <c r="B729" s="1045"/>
      <c r="C729" s="1045"/>
      <c r="D729" s="1051">
        <f t="shared" ref="D729:D792" si="70">D728+IF(LEN(E729)&gt;0,1,0)</f>
        <v>15</v>
      </c>
      <c r="E729" s="1051" t="str">
        <f>IF(COUNTIF(E$599:E728,F729)&gt;0,"",F729)</f>
        <v/>
      </c>
      <c r="F729" s="1051" t="str">
        <f t="shared" ref="F729:F792" si="71">IF(I729&lt;&gt;"",I729&amp;IF(L729&lt;&gt;"",", "&amp;L729,"")&amp;IF(K729&lt;&gt;"",", "&amp;K729,""),"")</f>
        <v>Gazole routier, Nouvelle Calédonie, Base Carbone</v>
      </c>
      <c r="G729" s="1055" t="str">
        <f t="shared" ref="G729:G792" si="72">IF(F729&lt;&gt;"",F729&amp;IF(J729&lt;&gt;"","; "&amp;J729,"")&amp;IF(N729&lt;&gt;"",", "&amp;N729,""),"")</f>
        <v>Gazole routier, Nouvelle Calédonie, Base Carbone; kgCO2e/litre, Combustion</v>
      </c>
      <c r="I729" s="1100" t="s">
        <v>1593</v>
      </c>
      <c r="J729" s="2352" t="s">
        <v>1574</v>
      </c>
      <c r="K729" s="2352" t="s">
        <v>1567</v>
      </c>
      <c r="L729" s="2352" t="s">
        <v>3085</v>
      </c>
      <c r="M729" s="2355">
        <v>0.1</v>
      </c>
      <c r="N729" s="2352" t="s">
        <v>1569</v>
      </c>
      <c r="O729" s="2354">
        <v>2.66</v>
      </c>
      <c r="P729" s="2353">
        <f t="shared" si="69"/>
        <v>2.66</v>
      </c>
      <c r="Q729" s="2353">
        <v>0</v>
      </c>
      <c r="R729" s="2353">
        <v>0</v>
      </c>
      <c r="S729" s="2353">
        <v>0</v>
      </c>
      <c r="T729" s="2353">
        <v>0</v>
      </c>
      <c r="U729" s="2057">
        <v>0</v>
      </c>
    </row>
    <row r="730" spans="2:21" hidden="1" outlineLevel="1">
      <c r="B730" s="1045"/>
      <c r="C730" s="1045"/>
      <c r="D730" s="1051">
        <f t="shared" si="70"/>
        <v>15</v>
      </c>
      <c r="E730" s="1051" t="str">
        <f>IF(COUNTIF(E$599:E729,F730)&gt;0,"",F730)</f>
        <v/>
      </c>
      <c r="F730" s="1051" t="str">
        <f t="shared" si="71"/>
        <v>Gazole routier, Nouvelle Calédonie, Base Carbone</v>
      </c>
      <c r="G730" s="1055" t="str">
        <f t="shared" si="72"/>
        <v>Gazole routier, Nouvelle Calédonie, Base Carbone; kgCO2e/litre, Amont</v>
      </c>
      <c r="I730" s="1100" t="s">
        <v>1593</v>
      </c>
      <c r="J730" s="2352" t="s">
        <v>1574</v>
      </c>
      <c r="K730" s="2352" t="s">
        <v>1567</v>
      </c>
      <c r="L730" s="2352" t="s">
        <v>3085</v>
      </c>
      <c r="M730" s="2355">
        <v>0.1</v>
      </c>
      <c r="N730" s="2352" t="s">
        <v>1570</v>
      </c>
      <c r="O730" s="2354">
        <v>0.38200000000000001</v>
      </c>
      <c r="P730" s="2353">
        <f t="shared" si="69"/>
        <v>0.38200000000000001</v>
      </c>
      <c r="Q730" s="2353">
        <v>0</v>
      </c>
      <c r="R730" s="2353">
        <v>0</v>
      </c>
      <c r="S730" s="2353">
        <v>0</v>
      </c>
      <c r="T730" s="2353">
        <v>0</v>
      </c>
      <c r="U730" s="2057">
        <v>0</v>
      </c>
    </row>
    <row r="731" spans="2:21" hidden="1" outlineLevel="1">
      <c r="B731" s="1045"/>
      <c r="C731" s="1045"/>
      <c r="D731" s="1051">
        <f t="shared" si="70"/>
        <v>15</v>
      </c>
      <c r="E731" s="1051" t="str">
        <f>IF(COUNTIF(E$599:E730,F731)&gt;0,"",F731)</f>
        <v/>
      </c>
      <c r="F731" s="1051" t="str">
        <f t="shared" si="71"/>
        <v/>
      </c>
      <c r="G731" s="1055" t="str">
        <f t="shared" si="72"/>
        <v/>
      </c>
      <c r="I731" s="2351"/>
      <c r="J731" s="2352"/>
      <c r="K731" s="2352"/>
      <c r="L731" s="2352"/>
      <c r="M731" s="2355"/>
      <c r="N731" s="2352"/>
      <c r="O731" s="2354"/>
      <c r="P731" s="2353"/>
      <c r="Q731" s="2353"/>
      <c r="R731" s="2353"/>
      <c r="S731" s="2353"/>
      <c r="T731" s="2353"/>
      <c r="U731" s="2057"/>
    </row>
    <row r="732" spans="2:21" hidden="1" outlineLevel="1">
      <c r="B732" s="1045"/>
      <c r="C732" s="1045"/>
      <c r="D732" s="1051">
        <f t="shared" si="70"/>
        <v>16</v>
      </c>
      <c r="E732" s="1051" t="str">
        <f>IF(COUNTIF(E$599:E731,F732)&gt;0,"",F732)</f>
        <v>GNL, Gaz Naturel Liquéfié ((inclus routier, maritime et fluvial)), France continentale, Base Carbone</v>
      </c>
      <c r="F732" s="1051" t="str">
        <f t="shared" si="71"/>
        <v>GNL, Gaz Naturel Liquéfié ((inclus routier, maritime et fluvial)), France continentale, Base Carbone</v>
      </c>
      <c r="G732" s="1055" t="str">
        <f t="shared" si="72"/>
        <v>GNL, Gaz Naturel Liquéfié ((inclus routier, maritime et fluvial)), France continentale, Base Carbone; kgCO2e/kg, Combustion</v>
      </c>
      <c r="I732" s="1100" t="s">
        <v>1594</v>
      </c>
      <c r="J732" s="2330" t="s">
        <v>1572</v>
      </c>
      <c r="K732" s="1048" t="s">
        <v>1567</v>
      </c>
      <c r="L732" s="1048" t="s">
        <v>1571</v>
      </c>
      <c r="M732" s="1033">
        <v>0.05</v>
      </c>
      <c r="N732" s="1048" t="s">
        <v>1569</v>
      </c>
      <c r="O732" s="1036">
        <v>2.58</v>
      </c>
      <c r="P732" s="1036">
        <v>2.57</v>
      </c>
      <c r="Q732" s="1036">
        <v>0</v>
      </c>
      <c r="R732" s="1036">
        <v>0</v>
      </c>
      <c r="S732" s="1036">
        <v>6.5900000000000004E-3</v>
      </c>
      <c r="T732" s="1036">
        <v>0</v>
      </c>
      <c r="U732" s="1037">
        <v>0</v>
      </c>
    </row>
    <row r="733" spans="2:21" hidden="1" outlineLevel="1">
      <c r="B733" s="1045"/>
      <c r="C733" s="1045"/>
      <c r="D733" s="1051">
        <f t="shared" si="70"/>
        <v>16</v>
      </c>
      <c r="E733" s="1051" t="str">
        <f>IF(COUNTIF(E$599:E732,F733)&gt;0,"",F733)</f>
        <v/>
      </c>
      <c r="F733" s="1051" t="str">
        <f t="shared" si="71"/>
        <v>GNL, Gaz Naturel Liquéfié ((inclus routier, maritime et fluvial)), France continentale, Base Carbone</v>
      </c>
      <c r="G733" s="1055" t="str">
        <f t="shared" si="72"/>
        <v>GNL, Gaz Naturel Liquéfié ((inclus routier, maritime et fluvial)), France continentale, Base Carbone; kgCO2e/kg, Amont</v>
      </c>
      <c r="I733" s="1100" t="s">
        <v>1594</v>
      </c>
      <c r="J733" s="2330" t="s">
        <v>1572</v>
      </c>
      <c r="K733" s="1048" t="s">
        <v>1567</v>
      </c>
      <c r="L733" s="1048" t="s">
        <v>1571</v>
      </c>
      <c r="M733" s="1033">
        <v>0.05</v>
      </c>
      <c r="N733" s="1048" t="s">
        <v>1570</v>
      </c>
      <c r="O733" s="1036">
        <v>0.69799999999999995</v>
      </c>
      <c r="P733" s="1036">
        <v>0.45200000000000001</v>
      </c>
      <c r="Q733" s="1036">
        <v>7.2400000000000006E-2</v>
      </c>
      <c r="R733" s="1036">
        <v>1.8799999999999999E-4</v>
      </c>
      <c r="S733" s="1036">
        <v>3.65E-3</v>
      </c>
      <c r="T733" s="1036">
        <v>0.17</v>
      </c>
      <c r="U733" s="1037">
        <v>0</v>
      </c>
    </row>
    <row r="734" spans="2:21" hidden="1" outlineLevel="1">
      <c r="B734" s="1045"/>
      <c r="C734" s="1045"/>
      <c r="D734" s="1051">
        <f t="shared" si="70"/>
        <v>16</v>
      </c>
      <c r="E734" s="1051" t="str">
        <f>IF(COUNTIF(E$599:E733,F734)&gt;0,"",F734)</f>
        <v/>
      </c>
      <c r="F734" s="1051" t="str">
        <f t="shared" si="71"/>
        <v>GNL, Gaz Naturel Liquéfié ((inclus routier, maritime et fluvial)), France continentale, Base Carbone</v>
      </c>
      <c r="G734" s="1055" t="str">
        <f t="shared" si="72"/>
        <v>GNL, Gaz Naturel Liquéfié ((inclus routier, maritime et fluvial)), France continentale, Base Carbone; kgCO2e/kWh PCI, Combustion</v>
      </c>
      <c r="I734" s="1100" t="s">
        <v>1594</v>
      </c>
      <c r="J734" s="1048" t="s">
        <v>1573</v>
      </c>
      <c r="K734" s="1048" t="s">
        <v>1567</v>
      </c>
      <c r="L734" s="1048" t="s">
        <v>1571</v>
      </c>
      <c r="M734" s="1033">
        <v>0.05</v>
      </c>
      <c r="N734" s="1048" t="s">
        <v>1569</v>
      </c>
      <c r="O734" s="1036">
        <v>0.187</v>
      </c>
      <c r="P734" s="1036">
        <v>0.187</v>
      </c>
      <c r="Q734" s="1036">
        <v>0</v>
      </c>
      <c r="R734" s="1036">
        <v>0</v>
      </c>
      <c r="S734" s="1036">
        <v>4.8000000000000001E-4</v>
      </c>
      <c r="T734" s="1036">
        <v>0</v>
      </c>
      <c r="U734" s="1037">
        <v>0</v>
      </c>
    </row>
    <row r="735" spans="2:21" hidden="1" outlineLevel="1">
      <c r="B735" s="1045"/>
      <c r="C735" s="1045"/>
      <c r="D735" s="1051">
        <f t="shared" si="70"/>
        <v>16</v>
      </c>
      <c r="E735" s="1051" t="str">
        <f>IF(COUNTIF(E$599:E734,F735)&gt;0,"",F735)</f>
        <v/>
      </c>
      <c r="F735" s="1051" t="str">
        <f t="shared" si="71"/>
        <v>GNL, Gaz Naturel Liquéfié ((inclus routier, maritime et fluvial)), France continentale, Base Carbone</v>
      </c>
      <c r="G735" s="1055" t="str">
        <f t="shared" si="72"/>
        <v>GNL, Gaz Naturel Liquéfié ((inclus routier, maritime et fluvial)), France continentale, Base Carbone; kgCO2e/kWh PCI, Amont</v>
      </c>
      <c r="I735" s="1100" t="s">
        <v>1594</v>
      </c>
      <c r="J735" s="1048" t="s">
        <v>1573</v>
      </c>
      <c r="K735" s="1048" t="s">
        <v>1567</v>
      </c>
      <c r="L735" s="1048" t="s">
        <v>1571</v>
      </c>
      <c r="M735" s="1033">
        <v>0.05</v>
      </c>
      <c r="N735" s="1048" t="s">
        <v>1570</v>
      </c>
      <c r="O735" s="1036">
        <v>5.0599999999999999E-2</v>
      </c>
      <c r="P735" s="1036">
        <v>3.2800000000000003E-2</v>
      </c>
      <c r="Q735" s="1036">
        <v>5.2600000000000001E-2</v>
      </c>
      <c r="R735" s="1036">
        <v>1.3699999999999999E-5</v>
      </c>
      <c r="S735" s="1036">
        <v>2.6499999999999999E-4</v>
      </c>
      <c r="T735" s="1036">
        <v>1.23E-2</v>
      </c>
      <c r="U735" s="1037">
        <v>0</v>
      </c>
    </row>
    <row r="736" spans="2:21" hidden="1" outlineLevel="1">
      <c r="B736" s="1045"/>
      <c r="C736" s="1045"/>
      <c r="D736" s="1051">
        <f t="shared" si="70"/>
        <v>16</v>
      </c>
      <c r="E736" s="1051" t="str">
        <f>IF(COUNTIF(E$599:E735,F736)&gt;0,"",F736)</f>
        <v/>
      </c>
      <c r="F736" s="1051" t="str">
        <f t="shared" si="71"/>
        <v>GNL, Gaz Naturel Liquéfié ((inclus routier, maritime et fluvial)), France continentale, Base Carbone</v>
      </c>
      <c r="G736" s="1055" t="str">
        <f t="shared" si="72"/>
        <v>GNL, Gaz Naturel Liquéfié ((inclus routier, maritime et fluvial)), France continentale, Base Carbone; kgCO2e/tep PCI, Combustion</v>
      </c>
      <c r="I736" s="1100" t="s">
        <v>1594</v>
      </c>
      <c r="J736" s="1048" t="s">
        <v>1575</v>
      </c>
      <c r="K736" s="1048" t="s">
        <v>1567</v>
      </c>
      <c r="L736" s="1048" t="s">
        <v>1571</v>
      </c>
      <c r="M736" s="1033">
        <v>0.05</v>
      </c>
      <c r="N736" s="1048" t="s">
        <v>1569</v>
      </c>
      <c r="O736" s="1036">
        <v>2186</v>
      </c>
      <c r="P736" s="1036">
        <v>2180</v>
      </c>
      <c r="Q736" s="1036">
        <v>0</v>
      </c>
      <c r="R736" s="1036">
        <v>0</v>
      </c>
      <c r="S736" s="1036">
        <v>5.59</v>
      </c>
      <c r="T736" s="1036">
        <v>0</v>
      </c>
      <c r="U736" s="1037">
        <v>0</v>
      </c>
    </row>
    <row r="737" spans="2:21" hidden="1" outlineLevel="1">
      <c r="B737" s="1045"/>
      <c r="C737" s="1045"/>
      <c r="D737" s="1051">
        <f t="shared" si="70"/>
        <v>16</v>
      </c>
      <c r="E737" s="1051" t="str">
        <f>IF(COUNTIF(E$599:E736,F737)&gt;0,"",F737)</f>
        <v/>
      </c>
      <c r="F737" s="1051" t="str">
        <f t="shared" si="71"/>
        <v>GNL, Gaz Naturel Liquéfié ((inclus routier, maritime et fluvial)), France continentale, Base Carbone</v>
      </c>
      <c r="G737" s="1055" t="str">
        <f t="shared" si="72"/>
        <v>GNL, Gaz Naturel Liquéfié ((inclus routier, maritime et fluvial)), France continentale, Base Carbone; kgCO2e/tep PCI, Amont</v>
      </c>
      <c r="I737" s="1100" t="s">
        <v>1594</v>
      </c>
      <c r="J737" s="1048" t="s">
        <v>1575</v>
      </c>
      <c r="K737" s="1048" t="s">
        <v>1567</v>
      </c>
      <c r="L737" s="1048" t="s">
        <v>1571</v>
      </c>
      <c r="M737" s="1033">
        <v>0.05</v>
      </c>
      <c r="N737" s="1048" t="s">
        <v>1570</v>
      </c>
      <c r="O737" s="1036">
        <v>592</v>
      </c>
      <c r="P737" s="1036">
        <v>383</v>
      </c>
      <c r="Q737" s="1036">
        <v>61.3</v>
      </c>
      <c r="R737" s="1036">
        <v>0.159</v>
      </c>
      <c r="S737" s="1036">
        <v>3.1</v>
      </c>
      <c r="T737" s="1036">
        <v>144</v>
      </c>
      <c r="U737" s="1037">
        <v>0</v>
      </c>
    </row>
    <row r="738" spans="2:21" hidden="1" outlineLevel="1">
      <c r="B738" s="1045"/>
      <c r="C738" s="1045"/>
      <c r="D738" s="1051">
        <f t="shared" si="70"/>
        <v>16</v>
      </c>
      <c r="E738" s="1051" t="str">
        <f>IF(COUNTIF(E$599:E737,F738)&gt;0,"",F738)</f>
        <v/>
      </c>
      <c r="F738" s="1051" t="str">
        <f t="shared" si="71"/>
        <v>GNL, Gaz Naturel Liquéfié ((inclus routier, maritime et fluvial)), France continentale, Base Carbone</v>
      </c>
      <c r="G738" s="1055" t="str">
        <f t="shared" si="72"/>
        <v>GNL, Gaz Naturel Liquéfié ((inclus routier, maritime et fluvial)), France continentale, Base Carbone; kgCO2e/GJ PCI, Combustion</v>
      </c>
      <c r="I738" s="1100" t="s">
        <v>1594</v>
      </c>
      <c r="J738" s="1048" t="s">
        <v>1566</v>
      </c>
      <c r="K738" s="1048" t="s">
        <v>1567</v>
      </c>
      <c r="L738" s="1048" t="s">
        <v>1571</v>
      </c>
      <c r="M738" s="1033">
        <v>0.05</v>
      </c>
      <c r="N738" s="1048" t="s">
        <v>1569</v>
      </c>
      <c r="O738" s="1036">
        <v>52</v>
      </c>
      <c r="P738" s="1036">
        <v>51.9</v>
      </c>
      <c r="Q738" s="1036">
        <v>0</v>
      </c>
      <c r="R738" s="1036">
        <v>0</v>
      </c>
      <c r="S738" s="1036">
        <v>0.13300000000000001</v>
      </c>
      <c r="T738" s="1036">
        <v>0</v>
      </c>
      <c r="U738" s="1037">
        <v>0</v>
      </c>
    </row>
    <row r="739" spans="2:21" hidden="1" outlineLevel="1">
      <c r="B739" s="1045"/>
      <c r="C739" s="1045"/>
      <c r="D739" s="1051">
        <f t="shared" si="70"/>
        <v>16</v>
      </c>
      <c r="E739" s="1051" t="str">
        <f>IF(COUNTIF(E$599:E738,F739)&gt;0,"",F739)</f>
        <v/>
      </c>
      <c r="F739" s="1051" t="str">
        <f t="shared" si="71"/>
        <v>GNL, Gaz Naturel Liquéfié ((inclus routier, maritime et fluvial)), France continentale, Base Carbone</v>
      </c>
      <c r="G739" s="1055" t="str">
        <f t="shared" si="72"/>
        <v>GNL, Gaz Naturel Liquéfié ((inclus routier, maritime et fluvial)), France continentale, Base Carbone; kgCO2e/GJ PCI, Amont</v>
      </c>
      <c r="I739" s="1100" t="s">
        <v>1594</v>
      </c>
      <c r="J739" s="1048" t="s">
        <v>1566</v>
      </c>
      <c r="K739" s="1048" t="s">
        <v>1567</v>
      </c>
      <c r="L739" s="1048" t="s">
        <v>1571</v>
      </c>
      <c r="M739" s="1033">
        <v>0.05</v>
      </c>
      <c r="N739" s="1048" t="s">
        <v>1570</v>
      </c>
      <c r="O739" s="1036">
        <v>14.1</v>
      </c>
      <c r="P739" s="1036">
        <v>9.11</v>
      </c>
      <c r="Q739" s="1036">
        <v>1.46</v>
      </c>
      <c r="R739" s="1036">
        <v>3.7799999999999999E-3</v>
      </c>
      <c r="S739" s="1036">
        <v>7.3700000000000002E-2</v>
      </c>
      <c r="T739" s="1036">
        <v>3.42</v>
      </c>
      <c r="U739" s="1037">
        <v>0</v>
      </c>
    </row>
    <row r="740" spans="2:21" hidden="1" outlineLevel="1">
      <c r="B740" s="1045"/>
      <c r="C740" s="1045"/>
      <c r="D740" s="1051">
        <f t="shared" si="70"/>
        <v>16</v>
      </c>
      <c r="E740" s="1051" t="str">
        <f>IF(COUNTIF(E$599:E739,F740)&gt;0,"",F740)</f>
        <v/>
      </c>
      <c r="F740" s="1051" t="str">
        <f t="shared" si="71"/>
        <v>GNL, Gaz Naturel Liquéfié ((inclus routier, maritime et fluvial)), France continentale, Base Carbone</v>
      </c>
      <c r="G740" s="1055" t="str">
        <f t="shared" si="72"/>
        <v>GNL, Gaz Naturel Liquéfié ((inclus routier, maritime et fluvial)), France continentale, Base Carbone; kgCO2e/litre, Combustion</v>
      </c>
      <c r="I740" s="1100" t="s">
        <v>1594</v>
      </c>
      <c r="J740" s="1048" t="s">
        <v>1574</v>
      </c>
      <c r="K740" s="1048" t="s">
        <v>1567</v>
      </c>
      <c r="L740" s="1048" t="s">
        <v>1571</v>
      </c>
      <c r="M740" s="1033">
        <v>0.05</v>
      </c>
      <c r="N740" s="1048" t="s">
        <v>1569</v>
      </c>
      <c r="O740" s="1036">
        <v>1.69</v>
      </c>
      <c r="P740" s="1036">
        <v>1.69</v>
      </c>
      <c r="Q740" s="1036">
        <v>0</v>
      </c>
      <c r="R740" s="1036">
        <v>0</v>
      </c>
      <c r="S740" s="1036">
        <v>4.3200000000000001E-3</v>
      </c>
      <c r="T740" s="1036">
        <v>0</v>
      </c>
      <c r="U740" s="1037">
        <v>0</v>
      </c>
    </row>
    <row r="741" spans="2:21" hidden="1" outlineLevel="1">
      <c r="B741" s="1045"/>
      <c r="C741" s="1045"/>
      <c r="D741" s="1051">
        <f t="shared" si="70"/>
        <v>16</v>
      </c>
      <c r="E741" s="1051" t="str">
        <f>IF(COUNTIF(E$599:E740,F741)&gt;0,"",F741)</f>
        <v/>
      </c>
      <c r="F741" s="1051" t="str">
        <f t="shared" si="71"/>
        <v>GNL, Gaz Naturel Liquéfié ((inclus routier, maritime et fluvial)), France continentale, Base Carbone</v>
      </c>
      <c r="G741" s="1055" t="str">
        <f t="shared" si="72"/>
        <v>GNL, Gaz Naturel Liquéfié ((inclus routier, maritime et fluvial)), France continentale, Base Carbone; kgCO2e/litre, Amont</v>
      </c>
      <c r="I741" s="1100" t="s">
        <v>1594</v>
      </c>
      <c r="J741" s="1048" t="s">
        <v>1574</v>
      </c>
      <c r="K741" s="1048" t="s">
        <v>1567</v>
      </c>
      <c r="L741" s="1048" t="s">
        <v>1571</v>
      </c>
      <c r="M741" s="1033">
        <v>0.05</v>
      </c>
      <c r="N741" s="1048" t="s">
        <v>1570</v>
      </c>
      <c r="O741" s="1036">
        <v>0.45700000000000002</v>
      </c>
      <c r="P741" s="1036">
        <v>0.29599999999999999</v>
      </c>
      <c r="Q741" s="1036">
        <v>4.7399999999999998E-2</v>
      </c>
      <c r="R741" s="1036">
        <v>1.2300000000000001E-4</v>
      </c>
      <c r="S741" s="1036">
        <v>2.3900000000000002E-3</v>
      </c>
      <c r="T741" s="1036">
        <v>0.111</v>
      </c>
      <c r="U741" s="1037">
        <v>0</v>
      </c>
    </row>
    <row r="742" spans="2:21" hidden="1" outlineLevel="1">
      <c r="B742" s="1045"/>
      <c r="C742" s="1045"/>
      <c r="D742" s="1051">
        <f t="shared" si="70"/>
        <v>17</v>
      </c>
      <c r="E742" s="1051" t="str">
        <f>IF(COUNTIF(E$599:E741,F742)&gt;0,"",F742)</f>
        <v>GNC, Gaz Naturel Comprimé pour véhicule routier, France continentale, Base Carbone</v>
      </c>
      <c r="F742" s="1051" t="str">
        <f t="shared" si="71"/>
        <v>GNC, Gaz Naturel Comprimé pour véhicule routier, France continentale, Base Carbone</v>
      </c>
      <c r="G742" s="1055" t="str">
        <f t="shared" si="72"/>
        <v>GNC, Gaz Naturel Comprimé pour véhicule routier, France continentale, Base Carbone; kgCO2e/kWh PCI, Combustion</v>
      </c>
      <c r="I742" s="1100" t="s">
        <v>3666</v>
      </c>
      <c r="J742" s="2330" t="s">
        <v>1573</v>
      </c>
      <c r="K742" s="1048" t="s">
        <v>1567</v>
      </c>
      <c r="L742" s="1048" t="s">
        <v>1571</v>
      </c>
      <c r="M742" s="1033">
        <v>0.1</v>
      </c>
      <c r="N742" s="1048" t="s">
        <v>1569</v>
      </c>
      <c r="O742" s="1036">
        <v>0.187</v>
      </c>
      <c r="P742" s="1036">
        <v>0.187</v>
      </c>
      <c r="Q742" s="1036">
        <v>0</v>
      </c>
      <c r="R742" s="1036">
        <v>0</v>
      </c>
      <c r="S742" s="1036">
        <v>4.7699999999999999E-4</v>
      </c>
      <c r="T742" s="1036">
        <v>0</v>
      </c>
      <c r="U742" s="1037">
        <v>0</v>
      </c>
    </row>
    <row r="743" spans="2:21" hidden="1" outlineLevel="1">
      <c r="B743" s="1045"/>
      <c r="C743" s="1045"/>
      <c r="D743" s="1051">
        <f t="shared" si="70"/>
        <v>17</v>
      </c>
      <c r="E743" s="1051" t="str">
        <f>IF(COUNTIF(E$599:E742,F743)&gt;0,"",F743)</f>
        <v/>
      </c>
      <c r="F743" s="1051" t="str">
        <f t="shared" si="71"/>
        <v>GNC, Gaz Naturel Comprimé pour véhicule routier, France continentale, Base Carbone</v>
      </c>
      <c r="G743" s="1055" t="str">
        <f t="shared" si="72"/>
        <v>GNC, Gaz Naturel Comprimé pour véhicule routier, France continentale, Base Carbone; kgCO2e/kWh PCI, Amont</v>
      </c>
      <c r="I743" s="1100" t="s">
        <v>3666</v>
      </c>
      <c r="J743" s="2330" t="s">
        <v>1573</v>
      </c>
      <c r="K743" s="1048" t="s">
        <v>1567</v>
      </c>
      <c r="L743" s="1048" t="s">
        <v>1571</v>
      </c>
      <c r="M743" s="1033">
        <v>0.1</v>
      </c>
      <c r="N743" s="1048" t="s">
        <v>1570</v>
      </c>
      <c r="O743" s="1036">
        <v>4.2799999999999998E-2</v>
      </c>
      <c r="P743" s="1036">
        <v>2.5000000000000001E-2</v>
      </c>
      <c r="Q743" s="1036">
        <v>5.2599999999999999E-3</v>
      </c>
      <c r="R743" s="1036">
        <v>1.4E-5</v>
      </c>
      <c r="S743" s="1036">
        <v>2.6499999999999999E-4</v>
      </c>
      <c r="T743" s="1036">
        <v>1.23E-2</v>
      </c>
      <c r="U743" s="1037">
        <v>0</v>
      </c>
    </row>
    <row r="744" spans="2:21" hidden="1" outlineLevel="1">
      <c r="B744" s="1045"/>
      <c r="C744" s="1045"/>
      <c r="D744" s="1051">
        <f t="shared" si="70"/>
        <v>17</v>
      </c>
      <c r="E744" s="1051" t="str">
        <f>IF(COUNTIF(E$599:E743,F744)&gt;0,"",F744)</f>
        <v/>
      </c>
      <c r="F744" s="1051" t="str">
        <f t="shared" si="71"/>
        <v>GNC, Gaz Naturel Comprimé pour véhicule routier, France continentale, Base Carbone</v>
      </c>
      <c r="G744" s="1055" t="str">
        <f t="shared" si="72"/>
        <v>GNC, Gaz Naturel Comprimé pour véhicule routier, France continentale, Base Carbone; kgCO2e/GJ PCI, Combustion</v>
      </c>
      <c r="I744" s="1100" t="s">
        <v>3666</v>
      </c>
      <c r="J744" s="1048" t="s">
        <v>1566</v>
      </c>
      <c r="K744" s="1048" t="s">
        <v>1567</v>
      </c>
      <c r="L744" s="1048" t="s">
        <v>1571</v>
      </c>
      <c r="M744" s="1033">
        <v>0.1</v>
      </c>
      <c r="N744" s="1048" t="s">
        <v>1569</v>
      </c>
      <c r="O744" s="1036">
        <v>52</v>
      </c>
      <c r="P744" s="1036">
        <v>51.9</v>
      </c>
      <c r="Q744" s="1036">
        <v>0</v>
      </c>
      <c r="R744" s="1036">
        <v>0</v>
      </c>
      <c r="S744" s="1036">
        <v>0.13300000000000001</v>
      </c>
      <c r="T744" s="1036">
        <v>0</v>
      </c>
      <c r="U744" s="1037">
        <v>0</v>
      </c>
    </row>
    <row r="745" spans="2:21" hidden="1" outlineLevel="1">
      <c r="B745" s="1045"/>
      <c r="C745" s="1045"/>
      <c r="D745" s="1051">
        <f t="shared" si="70"/>
        <v>17</v>
      </c>
      <c r="E745" s="1051" t="str">
        <f>IF(COUNTIF(E$599:E744,F745)&gt;0,"",F745)</f>
        <v/>
      </c>
      <c r="F745" s="1051" t="str">
        <f t="shared" si="71"/>
        <v>GNC, Gaz Naturel Comprimé pour véhicule routier, France continentale, Base Carbone</v>
      </c>
      <c r="G745" s="1055" t="str">
        <f t="shared" si="72"/>
        <v>GNC, Gaz Naturel Comprimé pour véhicule routier, France continentale, Base Carbone; kgCO2e/GJ PCI, Amont</v>
      </c>
      <c r="I745" s="1100" t="s">
        <v>3666</v>
      </c>
      <c r="J745" s="1048" t="s">
        <v>1566</v>
      </c>
      <c r="K745" s="1048" t="s">
        <v>1567</v>
      </c>
      <c r="L745" s="1048" t="s">
        <v>1571</v>
      </c>
      <c r="M745" s="1033">
        <v>0.1</v>
      </c>
      <c r="N745" s="1048" t="s">
        <v>1570</v>
      </c>
      <c r="O745" s="1036">
        <v>11.9</v>
      </c>
      <c r="P745" s="1036">
        <v>6.93</v>
      </c>
      <c r="Q745" s="1036">
        <v>1.46</v>
      </c>
      <c r="R745" s="1036">
        <v>3.9199999999999999E-3</v>
      </c>
      <c r="S745" s="1036">
        <v>7.3700000000000002E-2</v>
      </c>
      <c r="T745" s="1036">
        <v>3.42</v>
      </c>
      <c r="U745" s="1037">
        <v>0</v>
      </c>
    </row>
    <row r="746" spans="2:21" hidden="1" outlineLevel="1">
      <c r="B746" s="1045"/>
      <c r="C746" s="1045"/>
      <c r="D746" s="1051">
        <f t="shared" si="70"/>
        <v>17</v>
      </c>
      <c r="E746" s="1051" t="str">
        <f>IF(COUNTIF(E$599:E745,F746)&gt;0,"",F746)</f>
        <v/>
      </c>
      <c r="F746" s="1051" t="str">
        <f t="shared" si="71"/>
        <v>GNC, Gaz Naturel Comprimé pour véhicule routier, France continentale, Base Carbone</v>
      </c>
      <c r="G746" s="1055" t="str">
        <f t="shared" si="72"/>
        <v>GNC, Gaz Naturel Comprimé pour véhicule routier, France continentale, Base Carbone; kgCO2e/tep PCI, Combustion</v>
      </c>
      <c r="I746" s="1100" t="s">
        <v>3666</v>
      </c>
      <c r="J746" s="1048" t="s">
        <v>1575</v>
      </c>
      <c r="K746" s="1048" t="s">
        <v>1567</v>
      </c>
      <c r="L746" s="1048" t="s">
        <v>1571</v>
      </c>
      <c r="M746" s="1033">
        <v>0.1</v>
      </c>
      <c r="N746" s="1048" t="s">
        <v>1569</v>
      </c>
      <c r="O746" s="1036">
        <v>2180</v>
      </c>
      <c r="P746" s="1036">
        <v>2174</v>
      </c>
      <c r="Q746" s="1036">
        <v>0</v>
      </c>
      <c r="R746" s="1036">
        <v>0</v>
      </c>
      <c r="S746" s="1036">
        <v>5.54</v>
      </c>
      <c r="T746" s="1036">
        <v>0</v>
      </c>
      <c r="U746" s="1037">
        <v>0</v>
      </c>
    </row>
    <row r="747" spans="2:21" hidden="1" outlineLevel="1">
      <c r="B747" s="1045"/>
      <c r="C747" s="1045"/>
      <c r="D747" s="1051">
        <f t="shared" si="70"/>
        <v>17</v>
      </c>
      <c r="E747" s="1051" t="str">
        <f>IF(COUNTIF(E$599:E746,F747)&gt;0,"",F747)</f>
        <v/>
      </c>
      <c r="F747" s="1051" t="str">
        <f t="shared" si="71"/>
        <v>GNC, Gaz Naturel Comprimé pour véhicule routier, France continentale, Base Carbone</v>
      </c>
      <c r="G747" s="1055" t="str">
        <f t="shared" si="72"/>
        <v>GNC, Gaz Naturel Comprimé pour véhicule routier, France continentale, Base Carbone; kgCO2e/tep PCI, Amont</v>
      </c>
      <c r="I747" s="1100" t="s">
        <v>3666</v>
      </c>
      <c r="J747" s="1048" t="s">
        <v>1575</v>
      </c>
      <c r="K747" s="1048" t="s">
        <v>1567</v>
      </c>
      <c r="L747" s="1048" t="s">
        <v>1571</v>
      </c>
      <c r="M747" s="1033">
        <v>0.1</v>
      </c>
      <c r="N747" s="1048" t="s">
        <v>1570</v>
      </c>
      <c r="O747" s="1036">
        <v>497</v>
      </c>
      <c r="P747" s="1036">
        <v>290</v>
      </c>
      <c r="Q747" s="1036">
        <v>61.2</v>
      </c>
      <c r="R747" s="1036">
        <v>0.16200000000000001</v>
      </c>
      <c r="S747" s="1036">
        <v>3.07</v>
      </c>
      <c r="T747" s="1036">
        <v>143</v>
      </c>
      <c r="U747" s="1037">
        <v>0</v>
      </c>
    </row>
    <row r="748" spans="2:21" hidden="1" outlineLevel="1">
      <c r="B748" s="1045"/>
      <c r="C748" s="1045"/>
      <c r="D748" s="1051">
        <f t="shared" si="70"/>
        <v>17</v>
      </c>
      <c r="E748" s="1051" t="str">
        <f>IF(COUNTIF(E$599:E747,F748)&gt;0,"",F748)</f>
        <v/>
      </c>
      <c r="F748" s="1051" t="str">
        <f t="shared" si="71"/>
        <v>GNC, Gaz Naturel Comprimé pour véhicule routier, France continentale, Base Carbone</v>
      </c>
      <c r="G748" s="1055" t="str">
        <f t="shared" si="72"/>
        <v>GNC, Gaz Naturel Comprimé pour véhicule routier, France continentale, Base Carbone; kgCO2e/kg, Combustion</v>
      </c>
      <c r="I748" s="1100" t="s">
        <v>3666</v>
      </c>
      <c r="J748" s="1048" t="s">
        <v>1572</v>
      </c>
      <c r="K748" s="1048" t="s">
        <v>1567</v>
      </c>
      <c r="L748" s="1048" t="s">
        <v>1571</v>
      </c>
      <c r="M748" s="1033">
        <v>0.1</v>
      </c>
      <c r="N748" s="1048" t="s">
        <v>1569</v>
      </c>
      <c r="O748" s="1036">
        <v>2.41</v>
      </c>
      <c r="P748" s="1036">
        <v>2.4</v>
      </c>
      <c r="Q748" s="1036">
        <v>0</v>
      </c>
      <c r="R748" s="1036">
        <v>0</v>
      </c>
      <c r="S748" s="1036">
        <v>6.1199999999999996E-3</v>
      </c>
      <c r="T748" s="1036">
        <v>0</v>
      </c>
      <c r="U748" s="1037">
        <v>0</v>
      </c>
    </row>
    <row r="749" spans="2:21" hidden="1" outlineLevel="1">
      <c r="B749" s="1045"/>
      <c r="C749" s="1045"/>
      <c r="D749" s="1051">
        <f t="shared" si="70"/>
        <v>17</v>
      </c>
      <c r="E749" s="1051" t="str">
        <f>IF(COUNTIF(E$599:E748,F749)&gt;0,"",F749)</f>
        <v/>
      </c>
      <c r="F749" s="1051" t="str">
        <f t="shared" si="71"/>
        <v>GNC, Gaz Naturel Comprimé pour véhicule routier, France continentale, Base Carbone</v>
      </c>
      <c r="G749" s="1055" t="str">
        <f t="shared" si="72"/>
        <v>GNC, Gaz Naturel Comprimé pour véhicule routier, France continentale, Base Carbone; kgCO2e/kg, Amont</v>
      </c>
      <c r="I749" s="1100" t="s">
        <v>3666</v>
      </c>
      <c r="J749" s="1048" t="s">
        <v>1572</v>
      </c>
      <c r="K749" s="1048" t="s">
        <v>1567</v>
      </c>
      <c r="L749" s="1048" t="s">
        <v>1571</v>
      </c>
      <c r="M749" s="1033">
        <v>0.1</v>
      </c>
      <c r="N749" s="1048" t="s">
        <v>1570</v>
      </c>
      <c r="O749" s="1036">
        <v>0.55000000000000004</v>
      </c>
      <c r="P749" s="1036">
        <v>0.32100000000000001</v>
      </c>
      <c r="Q749" s="1036">
        <v>6.7500000000000004E-2</v>
      </c>
      <c r="R749" s="1036">
        <v>1.8000000000000001E-4</v>
      </c>
      <c r="S749" s="1036">
        <v>3.3899999999999998E-3</v>
      </c>
      <c r="T749" s="1036">
        <v>0.158</v>
      </c>
      <c r="U749" s="1037">
        <v>0</v>
      </c>
    </row>
    <row r="750" spans="2:21" hidden="1" outlineLevel="1">
      <c r="B750" s="1045"/>
      <c r="C750" s="1045"/>
      <c r="D750" s="1051">
        <f t="shared" si="70"/>
        <v>17</v>
      </c>
      <c r="E750" s="1051" t="str">
        <f>IF(COUNTIF(E$599:E749,F750)&gt;0,"",F750)</f>
        <v/>
      </c>
      <c r="F750" s="1051" t="str">
        <f t="shared" si="71"/>
        <v>GNC, Gaz Naturel Comprimé pour véhicule routier, France continentale, Base Carbone</v>
      </c>
      <c r="G750" s="1055" t="str">
        <f t="shared" si="72"/>
        <v>GNC, Gaz Naturel Comprimé pour véhicule routier, France continentale, Base Carbone; kgCO2e/m3, Combustion</v>
      </c>
      <c r="I750" s="1100" t="s">
        <v>3666</v>
      </c>
      <c r="J750" s="1048" t="s">
        <v>2358</v>
      </c>
      <c r="K750" s="1048" t="s">
        <v>1567</v>
      </c>
      <c r="L750" s="1048" t="s">
        <v>1571</v>
      </c>
      <c r="M750" s="1033">
        <v>0.1</v>
      </c>
      <c r="N750" s="1048" t="s">
        <v>1569</v>
      </c>
      <c r="O750" s="1036">
        <v>1.9</v>
      </c>
      <c r="P750" s="1036">
        <v>1.9</v>
      </c>
      <c r="Q750" s="1036">
        <v>0</v>
      </c>
      <c r="R750" s="1036">
        <v>0</v>
      </c>
      <c r="S750" s="1036">
        <v>4.8500000000000001E-3</v>
      </c>
      <c r="T750" s="1036">
        <v>0</v>
      </c>
      <c r="U750" s="1037">
        <v>0</v>
      </c>
    </row>
    <row r="751" spans="2:21" hidden="1" outlineLevel="1">
      <c r="B751" s="1045"/>
      <c r="C751" s="1045"/>
      <c r="D751" s="1051">
        <f t="shared" si="70"/>
        <v>17</v>
      </c>
      <c r="E751" s="1051" t="str">
        <f>IF(COUNTIF(E$599:E750,F751)&gt;0,"",F751)</f>
        <v/>
      </c>
      <c r="F751" s="1051" t="str">
        <f t="shared" si="71"/>
        <v>GNC, Gaz Naturel Comprimé pour véhicule routier, France continentale, Base Carbone</v>
      </c>
      <c r="G751" s="1055" t="str">
        <f t="shared" si="72"/>
        <v>GNC, Gaz Naturel Comprimé pour véhicule routier, France continentale, Base Carbone; kgCO2e/m3, Amont</v>
      </c>
      <c r="I751" s="1100" t="s">
        <v>3666</v>
      </c>
      <c r="J751" s="1048" t="s">
        <v>2358</v>
      </c>
      <c r="K751" s="1048" t="s">
        <v>1567</v>
      </c>
      <c r="L751" s="1048" t="s">
        <v>1571</v>
      </c>
      <c r="M751" s="1033">
        <v>0.1</v>
      </c>
      <c r="N751" s="1048" t="s">
        <v>1570</v>
      </c>
      <c r="O751" s="1036">
        <v>0.434</v>
      </c>
      <c r="P751" s="1036">
        <v>0.253</v>
      </c>
      <c r="Q751" s="1036">
        <v>5.3400000000000003E-2</v>
      </c>
      <c r="R751" s="1036">
        <v>1.4300000000000001E-4</v>
      </c>
      <c r="S751" s="1036">
        <v>2.7000000000000001E-3</v>
      </c>
      <c r="T751" s="1036">
        <v>0.125</v>
      </c>
      <c r="U751" s="1037">
        <v>0</v>
      </c>
    </row>
    <row r="752" spans="2:21" hidden="1" outlineLevel="1">
      <c r="B752" s="1045"/>
      <c r="C752" s="1045"/>
      <c r="D752" s="1051">
        <f t="shared" si="70"/>
        <v>17</v>
      </c>
      <c r="E752" s="1051" t="str">
        <f>IF(COUNTIF(E$599:E751,F752)&gt;0,"",F752)</f>
        <v/>
      </c>
      <c r="F752" s="1051" t="str">
        <f t="shared" si="71"/>
        <v/>
      </c>
      <c r="G752" s="1055" t="str">
        <f t="shared" si="72"/>
        <v/>
      </c>
      <c r="I752" s="1100"/>
      <c r="K752" s="2352"/>
      <c r="L752" s="2352"/>
      <c r="M752" s="2355"/>
      <c r="N752" s="2352"/>
      <c r="O752" s="2354"/>
      <c r="P752" s="2354"/>
      <c r="Q752" s="2354"/>
      <c r="R752" s="2354"/>
      <c r="S752" s="2354"/>
      <c r="T752" s="2354"/>
      <c r="U752" s="2356"/>
    </row>
    <row r="753" spans="2:21" hidden="1" outlineLevel="1">
      <c r="B753" s="1045"/>
      <c r="C753" s="1045"/>
      <c r="D753" s="1051">
        <f t="shared" si="70"/>
        <v>18</v>
      </c>
      <c r="E753" s="1051" t="str">
        <f>IF(COUNTIF(E$599:E752,F753)&gt;0,"",F753)</f>
        <v>GPL pour véhicule routier, France continentale, Base Carbone</v>
      </c>
      <c r="F753" s="1051" t="str">
        <f t="shared" si="71"/>
        <v>GPL pour véhicule routier, France continentale, Base Carbone</v>
      </c>
      <c r="G753" s="1055" t="str">
        <f t="shared" si="72"/>
        <v>GPL pour véhicule routier, France continentale, Base Carbone; kgCO2e/GJ PCI, Combustion</v>
      </c>
      <c r="I753" s="1100" t="s">
        <v>1595</v>
      </c>
      <c r="J753" s="2352" t="s">
        <v>1566</v>
      </c>
      <c r="K753" s="2352" t="s">
        <v>1567</v>
      </c>
      <c r="L753" s="2352" t="s">
        <v>1571</v>
      </c>
      <c r="M753" s="2355">
        <v>0.05</v>
      </c>
      <c r="N753" s="2352" t="s">
        <v>1569</v>
      </c>
      <c r="O753" s="2354">
        <v>64.8</v>
      </c>
      <c r="P753" s="2354">
        <v>64</v>
      </c>
      <c r="Q753" s="2354">
        <v>9.1499999999999998E-2</v>
      </c>
      <c r="R753" s="2354">
        <v>0</v>
      </c>
      <c r="S753" s="2354">
        <v>0.66300000000000003</v>
      </c>
      <c r="T753" s="2354">
        <v>0</v>
      </c>
      <c r="U753" s="2356">
        <v>0</v>
      </c>
    </row>
    <row r="754" spans="2:21" hidden="1" outlineLevel="1">
      <c r="B754" s="1045"/>
      <c r="C754" s="1045"/>
      <c r="D754" s="1051">
        <f t="shared" si="70"/>
        <v>18</v>
      </c>
      <c r="E754" s="1051" t="str">
        <f>IF(COUNTIF(E$599:E753,F754)&gt;0,"",F754)</f>
        <v/>
      </c>
      <c r="F754" s="1051" t="str">
        <f t="shared" si="71"/>
        <v>GPL pour véhicule routier, France continentale, Base Carbone</v>
      </c>
      <c r="G754" s="1055" t="str">
        <f t="shared" si="72"/>
        <v>GPL pour véhicule routier, France continentale, Base Carbone; kgCO2e/GJ PCI, Amont</v>
      </c>
      <c r="I754" s="1100" t="s">
        <v>1595</v>
      </c>
      <c r="J754" s="2352" t="s">
        <v>1566</v>
      </c>
      <c r="K754" s="2352" t="s">
        <v>1567</v>
      </c>
      <c r="L754" s="2352" t="s">
        <v>1571</v>
      </c>
      <c r="M754" s="2355">
        <v>0.05</v>
      </c>
      <c r="N754" s="2352" t="s">
        <v>1570</v>
      </c>
      <c r="O754" s="2354">
        <v>10.6</v>
      </c>
      <c r="P754" s="2354">
        <v>7.63</v>
      </c>
      <c r="Q754" s="2354">
        <v>3</v>
      </c>
      <c r="R754" s="2354">
        <v>0</v>
      </c>
      <c r="S754" s="2354">
        <v>0</v>
      </c>
      <c r="T754" s="2354">
        <v>0</v>
      </c>
      <c r="U754" s="2356">
        <v>0</v>
      </c>
    </row>
    <row r="755" spans="2:21" hidden="1" outlineLevel="1">
      <c r="B755" s="1045"/>
      <c r="C755" s="1045"/>
      <c r="D755" s="1051">
        <f t="shared" si="70"/>
        <v>18</v>
      </c>
      <c r="E755" s="1051" t="str">
        <f>IF(COUNTIF(E$599:E754,F755)&gt;0,"",F755)</f>
        <v/>
      </c>
      <c r="F755" s="1051" t="str">
        <f t="shared" si="71"/>
        <v>GPL pour véhicule routier, France continentale, Base Carbone</v>
      </c>
      <c r="G755" s="1055" t="str">
        <f t="shared" si="72"/>
        <v>GPL pour véhicule routier, France continentale, Base Carbone; kgCO2e/kg, Amont</v>
      </c>
      <c r="I755" s="1100" t="s">
        <v>1595</v>
      </c>
      <c r="J755" s="2352" t="s">
        <v>1572</v>
      </c>
      <c r="K755" s="2352" t="s">
        <v>1567</v>
      </c>
      <c r="L755" s="2352" t="s">
        <v>1571</v>
      </c>
      <c r="M755" s="2355">
        <v>0.05</v>
      </c>
      <c r="N755" s="2352" t="s">
        <v>1570</v>
      </c>
      <c r="O755" s="2354">
        <v>0.48699999999999999</v>
      </c>
      <c r="P755" s="2354">
        <v>0.35</v>
      </c>
      <c r="Q755" s="2354">
        <v>0.13700000000000001</v>
      </c>
      <c r="R755" s="2354">
        <v>0</v>
      </c>
      <c r="S755" s="2354">
        <v>0</v>
      </c>
      <c r="T755" s="2354">
        <v>0</v>
      </c>
      <c r="U755" s="2356">
        <v>0</v>
      </c>
    </row>
    <row r="756" spans="2:21" hidden="1" outlineLevel="1">
      <c r="B756" s="1045"/>
      <c r="C756" s="1045"/>
      <c r="D756" s="1051">
        <f t="shared" si="70"/>
        <v>18</v>
      </c>
      <c r="E756" s="1051" t="str">
        <f>IF(COUNTIF(E$599:E755,F756)&gt;0,"",F756)</f>
        <v/>
      </c>
      <c r="F756" s="1051" t="str">
        <f t="shared" si="71"/>
        <v>GPL pour véhicule routier, France continentale, Base Carbone</v>
      </c>
      <c r="G756" s="1055" t="str">
        <f t="shared" si="72"/>
        <v>GPL pour véhicule routier, France continentale, Base Carbone; kgCO2e/kg, Combustion</v>
      </c>
      <c r="I756" s="1100" t="s">
        <v>1595</v>
      </c>
      <c r="J756" s="2352" t="s">
        <v>1572</v>
      </c>
      <c r="K756" s="2352" t="s">
        <v>1567</v>
      </c>
      <c r="L756" s="2352" t="s">
        <v>1571</v>
      </c>
      <c r="M756" s="2355">
        <v>0.05</v>
      </c>
      <c r="N756" s="2352" t="s">
        <v>1569</v>
      </c>
      <c r="O756" s="2354">
        <v>2.96</v>
      </c>
      <c r="P756" s="2354">
        <v>2.93</v>
      </c>
      <c r="Q756" s="2354">
        <v>4.1900000000000001E-3</v>
      </c>
      <c r="R756" s="2354">
        <v>0</v>
      </c>
      <c r="S756" s="2354">
        <v>3.0300000000000001E-2</v>
      </c>
      <c r="T756" s="2354">
        <v>0</v>
      </c>
      <c r="U756" s="2356">
        <v>0</v>
      </c>
    </row>
    <row r="757" spans="2:21" hidden="1" outlineLevel="1">
      <c r="B757" s="1045"/>
      <c r="C757" s="1045"/>
      <c r="D757" s="1051">
        <f t="shared" si="70"/>
        <v>18</v>
      </c>
      <c r="E757" s="1051" t="str">
        <f>IF(COUNTIF(E$599:E756,F757)&gt;0,"",F757)</f>
        <v/>
      </c>
      <c r="F757" s="1051" t="str">
        <f t="shared" si="71"/>
        <v>GPL pour véhicule routier, France continentale, Base Carbone</v>
      </c>
      <c r="G757" s="1055" t="str">
        <f t="shared" si="72"/>
        <v>GPL pour véhicule routier, France continentale, Base Carbone; kgCO2e/kWh PCI, Combustion</v>
      </c>
      <c r="I757" s="1100" t="s">
        <v>1595</v>
      </c>
      <c r="J757" s="2352" t="s">
        <v>1573</v>
      </c>
      <c r="K757" s="2352" t="s">
        <v>1567</v>
      </c>
      <c r="L757" s="2352" t="s">
        <v>1571</v>
      </c>
      <c r="M757" s="2355">
        <v>0.05</v>
      </c>
      <c r="N757" s="2352" t="s">
        <v>1569</v>
      </c>
      <c r="O757" s="2354">
        <v>0.23300000000000001</v>
      </c>
      <c r="P757" s="2354">
        <v>0.23</v>
      </c>
      <c r="Q757" s="2354">
        <v>3.3E-4</v>
      </c>
      <c r="R757" s="2354">
        <v>0</v>
      </c>
      <c r="S757" s="2354">
        <v>2.3900000000000002E-3</v>
      </c>
      <c r="T757" s="2354">
        <v>0</v>
      </c>
      <c r="U757" s="2356">
        <v>0</v>
      </c>
    </row>
    <row r="758" spans="2:21" hidden="1" outlineLevel="1">
      <c r="B758" s="1045"/>
      <c r="C758" s="1045"/>
      <c r="D758" s="1051">
        <f t="shared" si="70"/>
        <v>18</v>
      </c>
      <c r="E758" s="1051" t="str">
        <f>IF(COUNTIF(E$599:E757,F758)&gt;0,"",F758)</f>
        <v/>
      </c>
      <c r="F758" s="1051" t="str">
        <f t="shared" si="71"/>
        <v>GPL pour véhicule routier, France continentale, Base Carbone</v>
      </c>
      <c r="G758" s="1055" t="str">
        <f t="shared" si="72"/>
        <v>GPL pour véhicule routier, France continentale, Base Carbone; kgCO2e/kWh PCI, Amont</v>
      </c>
      <c r="I758" s="1100" t="s">
        <v>1595</v>
      </c>
      <c r="J758" s="2352" t="s">
        <v>1573</v>
      </c>
      <c r="K758" s="2352" t="s">
        <v>1567</v>
      </c>
      <c r="L758" s="2352" t="s">
        <v>1571</v>
      </c>
      <c r="M758" s="2355">
        <v>0.05</v>
      </c>
      <c r="N758" s="2352" t="s">
        <v>1570</v>
      </c>
      <c r="O758" s="2354">
        <v>3.9E-2</v>
      </c>
      <c r="P758" s="2354">
        <v>2.7E-2</v>
      </c>
      <c r="Q758" s="2354">
        <v>1.2E-2</v>
      </c>
      <c r="R758" s="2354">
        <v>0</v>
      </c>
      <c r="S758" s="2354">
        <v>0</v>
      </c>
      <c r="T758" s="2354">
        <v>0</v>
      </c>
      <c r="U758" s="2356">
        <v>0</v>
      </c>
    </row>
    <row r="759" spans="2:21" hidden="1" outlineLevel="1">
      <c r="B759" s="1045"/>
      <c r="C759" s="1045"/>
      <c r="D759" s="1051">
        <f t="shared" si="70"/>
        <v>18</v>
      </c>
      <c r="E759" s="1051" t="str">
        <f>IF(COUNTIF(E$599:E758,F759)&gt;0,"",F759)</f>
        <v/>
      </c>
      <c r="F759" s="1051" t="str">
        <f t="shared" si="71"/>
        <v>GPL pour véhicule routier, France continentale, Base Carbone</v>
      </c>
      <c r="G759" s="1055" t="str">
        <f t="shared" si="72"/>
        <v>GPL pour véhicule routier, France continentale, Base Carbone; kgCO2e/litre, Combustion</v>
      </c>
      <c r="I759" s="1100" t="s">
        <v>1595</v>
      </c>
      <c r="J759" s="2352" t="s">
        <v>1574</v>
      </c>
      <c r="K759" s="2352" t="s">
        <v>1567</v>
      </c>
      <c r="L759" s="2352" t="s">
        <v>1571</v>
      </c>
      <c r="M759" s="2355">
        <v>0.05</v>
      </c>
      <c r="N759" s="2352" t="s">
        <v>1569</v>
      </c>
      <c r="O759" s="2354">
        <v>1.6</v>
      </c>
      <c r="P759" s="2354">
        <v>1.58</v>
      </c>
      <c r="Q759" s="2354">
        <v>2.2499999999999998E-3</v>
      </c>
      <c r="R759" s="2354">
        <v>0</v>
      </c>
      <c r="S759" s="2354">
        <v>1.6299999999999999E-2</v>
      </c>
      <c r="T759" s="2354">
        <v>0</v>
      </c>
      <c r="U759" s="2356">
        <v>0</v>
      </c>
    </row>
    <row r="760" spans="2:21" hidden="1" outlineLevel="1">
      <c r="B760" s="1045"/>
      <c r="C760" s="1045"/>
      <c r="D760" s="1051">
        <f t="shared" si="70"/>
        <v>18</v>
      </c>
      <c r="E760" s="1051" t="str">
        <f>IF(COUNTIF(E$599:E759,F760)&gt;0,"",F760)</f>
        <v/>
      </c>
      <c r="F760" s="1051" t="str">
        <f t="shared" si="71"/>
        <v>GPL pour véhicule routier, France continentale, Base Carbone</v>
      </c>
      <c r="G760" s="1055" t="str">
        <f t="shared" si="72"/>
        <v>GPL pour véhicule routier, France continentale, Base Carbone; kgCO2e/litre, Amont</v>
      </c>
      <c r="I760" s="1100" t="s">
        <v>1595</v>
      </c>
      <c r="J760" s="2352" t="s">
        <v>1574</v>
      </c>
      <c r="K760" s="2352" t="s">
        <v>1567</v>
      </c>
      <c r="L760" s="2352" t="s">
        <v>1571</v>
      </c>
      <c r="M760" s="2355">
        <v>0.05</v>
      </c>
      <c r="N760" s="2352" t="s">
        <v>1570</v>
      </c>
      <c r="O760" s="2354">
        <v>0.26200000000000001</v>
      </c>
      <c r="P760" s="2354">
        <v>0.188</v>
      </c>
      <c r="Q760" s="2354">
        <v>7.3800000000000004E-2</v>
      </c>
      <c r="R760" s="2354">
        <v>0</v>
      </c>
      <c r="S760" s="2354">
        <v>0</v>
      </c>
      <c r="T760" s="2354">
        <v>0</v>
      </c>
      <c r="U760" s="2356">
        <v>0</v>
      </c>
    </row>
    <row r="761" spans="2:21" hidden="1" outlineLevel="1">
      <c r="B761" s="1045"/>
      <c r="C761" s="1045"/>
      <c r="D761" s="1051">
        <f t="shared" si="70"/>
        <v>18</v>
      </c>
      <c r="E761" s="1051" t="str">
        <f>IF(COUNTIF(E$599:E760,F761)&gt;0,"",F761)</f>
        <v/>
      </c>
      <c r="F761" s="1051" t="str">
        <f t="shared" si="71"/>
        <v>GPL pour véhicule routier, France continentale, Base Carbone</v>
      </c>
      <c r="G761" s="1055" t="str">
        <f t="shared" si="72"/>
        <v>GPL pour véhicule routier, France continentale, Base Carbone; kgCO2e/tep PCI, Combustion</v>
      </c>
      <c r="I761" s="1100" t="s">
        <v>1595</v>
      </c>
      <c r="J761" s="2352" t="s">
        <v>1575</v>
      </c>
      <c r="K761" s="2352" t="s">
        <v>1567</v>
      </c>
      <c r="L761" s="2352" t="s">
        <v>1571</v>
      </c>
      <c r="M761" s="2355">
        <v>0.05</v>
      </c>
      <c r="N761" s="2352" t="s">
        <v>1569</v>
      </c>
      <c r="O761" s="2354">
        <v>2720</v>
      </c>
      <c r="P761" s="2354">
        <v>2690</v>
      </c>
      <c r="Q761" s="2354">
        <v>3.84</v>
      </c>
      <c r="R761" s="2354">
        <v>0</v>
      </c>
      <c r="S761" s="2354">
        <v>27.8</v>
      </c>
      <c r="T761" s="2354">
        <v>0</v>
      </c>
      <c r="U761" s="2356">
        <v>0</v>
      </c>
    </row>
    <row r="762" spans="2:21" hidden="1" outlineLevel="1">
      <c r="B762" s="1045"/>
      <c r="C762" s="1045"/>
      <c r="D762" s="1051">
        <f t="shared" si="70"/>
        <v>18</v>
      </c>
      <c r="E762" s="1051" t="str">
        <f>IF(COUNTIF(E$599:E761,F762)&gt;0,"",F762)</f>
        <v/>
      </c>
      <c r="F762" s="1051" t="str">
        <f t="shared" si="71"/>
        <v>GPL pour véhicule routier, France continentale, Base Carbone</v>
      </c>
      <c r="G762" s="1055" t="str">
        <f t="shared" si="72"/>
        <v>GPL pour véhicule routier, France continentale, Base Carbone; kgCO2e/tep PCI, Amont</v>
      </c>
      <c r="I762" s="1100" t="s">
        <v>1595</v>
      </c>
      <c r="J762" s="2352" t="s">
        <v>1575</v>
      </c>
      <c r="K762" s="2352" t="s">
        <v>1567</v>
      </c>
      <c r="L762" s="2352" t="s">
        <v>1571</v>
      </c>
      <c r="M762" s="2355">
        <v>0.05</v>
      </c>
      <c r="N762" s="2352" t="s">
        <v>1570</v>
      </c>
      <c r="O762" s="2354">
        <v>447</v>
      </c>
      <c r="P762" s="2354">
        <v>321</v>
      </c>
      <c r="Q762" s="2354">
        <v>126</v>
      </c>
      <c r="R762" s="2354">
        <v>0</v>
      </c>
      <c r="S762" s="2354">
        <v>0</v>
      </c>
      <c r="T762" s="2354">
        <v>0</v>
      </c>
      <c r="U762" s="2356">
        <v>0</v>
      </c>
    </row>
    <row r="763" spans="2:21" hidden="1" outlineLevel="1">
      <c r="B763" s="1045"/>
      <c r="C763" s="1045"/>
      <c r="D763" s="1051">
        <f t="shared" si="70"/>
        <v>19</v>
      </c>
      <c r="E763" s="1051" t="str">
        <f>IF(COUNTIF(E$599:E762,F763)&gt;0,"",F763)</f>
        <v>GPL pour véhicule routier, Réunion, Base Carbone</v>
      </c>
      <c r="F763" s="1051" t="str">
        <f t="shared" si="71"/>
        <v>GPL pour véhicule routier, Réunion, Base Carbone</v>
      </c>
      <c r="G763" s="1055" t="str">
        <f t="shared" si="72"/>
        <v>GPL pour véhicule routier, Réunion, Base Carbone; kgCO2e/kg, Combustion</v>
      </c>
      <c r="I763" s="1100" t="s">
        <v>1595</v>
      </c>
      <c r="J763" s="1979" t="s">
        <v>1572</v>
      </c>
      <c r="K763" s="2352" t="s">
        <v>1567</v>
      </c>
      <c r="L763" s="2352" t="s">
        <v>785</v>
      </c>
      <c r="M763" s="2355">
        <v>0.05</v>
      </c>
      <c r="N763" s="2352" t="s">
        <v>1569</v>
      </c>
      <c r="O763" s="1673">
        <v>2.944</v>
      </c>
      <c r="P763" s="2353">
        <f>O763</f>
        <v>2.944</v>
      </c>
      <c r="Q763" s="2353">
        <v>0</v>
      </c>
      <c r="R763" s="2353">
        <v>0</v>
      </c>
      <c r="S763" s="2353">
        <v>0</v>
      </c>
      <c r="T763" s="2353">
        <v>0</v>
      </c>
      <c r="U763" s="2057">
        <v>0</v>
      </c>
    </row>
    <row r="764" spans="2:21" hidden="1" outlineLevel="1">
      <c r="B764" s="1045"/>
      <c r="C764" s="1045"/>
      <c r="D764" s="1051">
        <f t="shared" si="70"/>
        <v>19</v>
      </c>
      <c r="E764" s="1051" t="str">
        <f>IF(COUNTIF(E$599:E763,F764)&gt;0,"",F764)</f>
        <v/>
      </c>
      <c r="F764" s="1051" t="str">
        <f t="shared" si="71"/>
        <v>GPL pour véhicule routier, Réunion, Base Carbone</v>
      </c>
      <c r="G764" s="1055" t="str">
        <f t="shared" si="72"/>
        <v>GPL pour véhicule routier, Réunion, Base Carbone; kgCO2e/kg, Amont</v>
      </c>
      <c r="I764" s="1100" t="s">
        <v>1595</v>
      </c>
      <c r="J764" s="1979" t="s">
        <v>1572</v>
      </c>
      <c r="K764" s="2352" t="s">
        <v>1567</v>
      </c>
      <c r="L764" s="2352" t="s">
        <v>785</v>
      </c>
      <c r="M764" s="2355">
        <v>0.05</v>
      </c>
      <c r="N764" s="2352" t="s">
        <v>1570</v>
      </c>
      <c r="O764" s="1673">
        <v>0.63500000000000001</v>
      </c>
      <c r="P764" s="2353">
        <f t="shared" ref="P764:P786" si="73">O764</f>
        <v>0.63500000000000001</v>
      </c>
      <c r="Q764" s="2353">
        <v>0</v>
      </c>
      <c r="R764" s="2353">
        <v>0</v>
      </c>
      <c r="S764" s="2353">
        <v>0</v>
      </c>
      <c r="T764" s="2353">
        <v>0</v>
      </c>
      <c r="U764" s="2057">
        <v>0</v>
      </c>
    </row>
    <row r="765" spans="2:21" hidden="1" outlineLevel="1">
      <c r="B765" s="1045"/>
      <c r="C765" s="1045"/>
      <c r="D765" s="1051">
        <f t="shared" si="70"/>
        <v>19</v>
      </c>
      <c r="E765" s="1051" t="str">
        <f>IF(COUNTIF(E$599:E764,F765)&gt;0,"",F765)</f>
        <v/>
      </c>
      <c r="F765" s="1051" t="str">
        <f t="shared" si="71"/>
        <v>GPL pour véhicule routier, Réunion, Base Carbone</v>
      </c>
      <c r="G765" s="1055" t="str">
        <f t="shared" si="72"/>
        <v>GPL pour véhicule routier, Réunion, Base Carbone; kgCO2e/kWh PCI, Combustion</v>
      </c>
      <c r="I765" s="1100" t="s">
        <v>1595</v>
      </c>
      <c r="J765" s="2352" t="s">
        <v>1573</v>
      </c>
      <c r="K765" s="2352" t="s">
        <v>1567</v>
      </c>
      <c r="L765" s="2352" t="s">
        <v>785</v>
      </c>
      <c r="M765" s="2355">
        <v>0.05</v>
      </c>
      <c r="N765" s="2352" t="s">
        <v>1569</v>
      </c>
      <c r="O765" s="2354">
        <v>0.23100000000000001</v>
      </c>
      <c r="P765" s="2353">
        <f t="shared" si="73"/>
        <v>0.23100000000000001</v>
      </c>
      <c r="Q765" s="2353">
        <v>0</v>
      </c>
      <c r="R765" s="2353">
        <v>0</v>
      </c>
      <c r="S765" s="2353">
        <v>0</v>
      </c>
      <c r="T765" s="2353">
        <v>0</v>
      </c>
      <c r="U765" s="2057">
        <v>0</v>
      </c>
    </row>
    <row r="766" spans="2:21" hidden="1" outlineLevel="1">
      <c r="B766" s="1045"/>
      <c r="C766" s="1045"/>
      <c r="D766" s="1051">
        <f t="shared" si="70"/>
        <v>19</v>
      </c>
      <c r="E766" s="1051" t="str">
        <f>IF(COUNTIF(E$599:E765,F766)&gt;0,"",F766)</f>
        <v/>
      </c>
      <c r="F766" s="1051" t="str">
        <f t="shared" si="71"/>
        <v>GPL pour véhicule routier, Réunion, Base Carbone</v>
      </c>
      <c r="G766" s="1055" t="str">
        <f t="shared" si="72"/>
        <v>GPL pour véhicule routier, Réunion, Base Carbone; kgCO2e/kWh PCI, Amont</v>
      </c>
      <c r="I766" s="1100" t="s">
        <v>1595</v>
      </c>
      <c r="J766" s="2352" t="s">
        <v>1573</v>
      </c>
      <c r="K766" s="2352" t="s">
        <v>1567</v>
      </c>
      <c r="L766" s="2352" t="s">
        <v>785</v>
      </c>
      <c r="M766" s="2355">
        <v>0.05</v>
      </c>
      <c r="N766" s="2352" t="s">
        <v>1570</v>
      </c>
      <c r="O766" s="2354">
        <v>5.1299999999999998E-2</v>
      </c>
      <c r="P766" s="2353">
        <f t="shared" si="73"/>
        <v>5.1299999999999998E-2</v>
      </c>
      <c r="Q766" s="2353">
        <v>0</v>
      </c>
      <c r="R766" s="2353">
        <v>0</v>
      </c>
      <c r="S766" s="2353">
        <v>0</v>
      </c>
      <c r="T766" s="2353">
        <v>0</v>
      </c>
      <c r="U766" s="2057">
        <v>0</v>
      </c>
    </row>
    <row r="767" spans="2:21" hidden="1" outlineLevel="1">
      <c r="B767" s="1045"/>
      <c r="C767" s="1045"/>
      <c r="D767" s="1051">
        <f t="shared" si="70"/>
        <v>19</v>
      </c>
      <c r="E767" s="1051" t="str">
        <f>IF(COUNTIF(E$599:E766,F767)&gt;0,"",F767)</f>
        <v/>
      </c>
      <c r="F767" s="1051" t="str">
        <f t="shared" si="71"/>
        <v>GPL pour véhicule routier, Réunion, Base Carbone</v>
      </c>
      <c r="G767" s="1055" t="str">
        <f t="shared" si="72"/>
        <v>GPL pour véhicule routier, Réunion, Base Carbone; kgCO2e/tep PCI, Combustion</v>
      </c>
      <c r="I767" s="1100" t="s">
        <v>1595</v>
      </c>
      <c r="J767" s="2352" t="s">
        <v>1575</v>
      </c>
      <c r="K767" s="2352" t="s">
        <v>1567</v>
      </c>
      <c r="L767" s="2352" t="s">
        <v>785</v>
      </c>
      <c r="M767" s="2355">
        <v>0.05</v>
      </c>
      <c r="N767" s="2352" t="s">
        <v>1569</v>
      </c>
      <c r="O767" s="2354">
        <v>2690</v>
      </c>
      <c r="P767" s="2353">
        <f t="shared" si="73"/>
        <v>2690</v>
      </c>
      <c r="Q767" s="2353">
        <v>0</v>
      </c>
      <c r="R767" s="2353">
        <v>0</v>
      </c>
      <c r="S767" s="2353">
        <v>0</v>
      </c>
      <c r="T767" s="2353">
        <v>0</v>
      </c>
      <c r="U767" s="2057">
        <v>0</v>
      </c>
    </row>
    <row r="768" spans="2:21" hidden="1" outlineLevel="1">
      <c r="B768" s="1045"/>
      <c r="C768" s="1045"/>
      <c r="D768" s="1051">
        <f t="shared" si="70"/>
        <v>19</v>
      </c>
      <c r="E768" s="1051" t="str">
        <f>IF(COUNTIF(E$599:E767,F768)&gt;0,"",F768)</f>
        <v/>
      </c>
      <c r="F768" s="1051" t="str">
        <f t="shared" si="71"/>
        <v>GPL pour véhicule routier, Réunion, Base Carbone</v>
      </c>
      <c r="G768" s="1055" t="str">
        <f t="shared" si="72"/>
        <v>GPL pour véhicule routier, Réunion, Base Carbone; kgCO2e/tep PCI, Amont</v>
      </c>
      <c r="I768" s="1100" t="s">
        <v>1595</v>
      </c>
      <c r="J768" s="2352" t="s">
        <v>1575</v>
      </c>
      <c r="K768" s="2352" t="s">
        <v>1567</v>
      </c>
      <c r="L768" s="2352" t="s">
        <v>785</v>
      </c>
      <c r="M768" s="2355">
        <v>0.05</v>
      </c>
      <c r="N768" s="2352" t="s">
        <v>1570</v>
      </c>
      <c r="O768" s="2354">
        <v>579</v>
      </c>
      <c r="P768" s="2353">
        <f t="shared" si="73"/>
        <v>579</v>
      </c>
      <c r="Q768" s="2353">
        <v>0</v>
      </c>
      <c r="R768" s="2353">
        <v>0</v>
      </c>
      <c r="S768" s="2353">
        <v>0</v>
      </c>
      <c r="T768" s="2353">
        <v>0</v>
      </c>
      <c r="U768" s="2057">
        <v>0</v>
      </c>
    </row>
    <row r="769" spans="2:21" hidden="1" outlineLevel="1">
      <c r="B769" s="1045"/>
      <c r="C769" s="1045"/>
      <c r="D769" s="1051">
        <f t="shared" si="70"/>
        <v>19</v>
      </c>
      <c r="E769" s="1051" t="str">
        <f>IF(COUNTIF(E$599:E768,F769)&gt;0,"",F769)</f>
        <v/>
      </c>
      <c r="F769" s="1051" t="str">
        <f t="shared" si="71"/>
        <v>GPL pour véhicule routier, Réunion, Base Carbone</v>
      </c>
      <c r="G769" s="1055" t="str">
        <f t="shared" si="72"/>
        <v>GPL pour véhicule routier, Réunion, Base Carbone; kgCO2e/litre, Combustion</v>
      </c>
      <c r="I769" s="1100" t="s">
        <v>1595</v>
      </c>
      <c r="J769" s="2352" t="s">
        <v>1574</v>
      </c>
      <c r="K769" s="2352" t="s">
        <v>1567</v>
      </c>
      <c r="L769" s="2352" t="s">
        <v>785</v>
      </c>
      <c r="M769" s="2355">
        <v>0.05</v>
      </c>
      <c r="N769" s="2352" t="s">
        <v>1569</v>
      </c>
      <c r="O769" s="2354">
        <v>1.58</v>
      </c>
      <c r="P769" s="2353">
        <f t="shared" si="73"/>
        <v>1.58</v>
      </c>
      <c r="Q769" s="2353">
        <v>0</v>
      </c>
      <c r="R769" s="2353">
        <v>0</v>
      </c>
      <c r="S769" s="2353">
        <v>0</v>
      </c>
      <c r="T769" s="2353">
        <v>0</v>
      </c>
      <c r="U769" s="2057">
        <v>0</v>
      </c>
    </row>
    <row r="770" spans="2:21" hidden="1" outlineLevel="1">
      <c r="B770" s="1045"/>
      <c r="C770" s="1045"/>
      <c r="D770" s="1051">
        <f t="shared" si="70"/>
        <v>19</v>
      </c>
      <c r="E770" s="1051" t="str">
        <f>IF(COUNTIF(E$599:E769,F770)&gt;0,"",F770)</f>
        <v/>
      </c>
      <c r="F770" s="1051" t="str">
        <f t="shared" si="71"/>
        <v>GPL pour véhicule routier, Réunion, Base Carbone</v>
      </c>
      <c r="G770" s="1055" t="str">
        <f t="shared" si="72"/>
        <v>GPL pour véhicule routier, Réunion, Base Carbone; kgCO2e/litre, Amont</v>
      </c>
      <c r="I770" s="1100" t="s">
        <v>1595</v>
      </c>
      <c r="J770" s="2352" t="s">
        <v>1574</v>
      </c>
      <c r="K770" s="2352" t="s">
        <v>1567</v>
      </c>
      <c r="L770" s="2352" t="s">
        <v>785</v>
      </c>
      <c r="M770" s="2355">
        <v>0.05</v>
      </c>
      <c r="N770" s="2352" t="s">
        <v>1570</v>
      </c>
      <c r="O770" s="2354">
        <v>0.32300000000000001</v>
      </c>
      <c r="P770" s="2353">
        <f t="shared" si="73"/>
        <v>0.32300000000000001</v>
      </c>
      <c r="Q770" s="2353">
        <v>0</v>
      </c>
      <c r="R770" s="2353">
        <v>0</v>
      </c>
      <c r="S770" s="2353">
        <v>0</v>
      </c>
      <c r="T770" s="2353">
        <v>0</v>
      </c>
      <c r="U770" s="2057">
        <v>0</v>
      </c>
    </row>
    <row r="771" spans="2:21" hidden="1" outlineLevel="1">
      <c r="B771" s="1045"/>
      <c r="C771" s="1045"/>
      <c r="D771" s="1051">
        <f t="shared" si="70"/>
        <v>20</v>
      </c>
      <c r="E771" s="1051" t="str">
        <f>IF(COUNTIF(E$599:E770,F771)&gt;0,"",F771)</f>
        <v>GPL pour véhicule routier, Guadeloupe, Martinique, Guyane, Corse, Base Carbone</v>
      </c>
      <c r="F771" s="1051" t="str">
        <f t="shared" si="71"/>
        <v>GPL pour véhicule routier, Guadeloupe, Martinique, Guyane, Corse, Base Carbone</v>
      </c>
      <c r="G771" s="1055" t="str">
        <f t="shared" si="72"/>
        <v>GPL pour véhicule routier, Guadeloupe, Martinique, Guyane, Corse, Base Carbone; kgCO2e/kg, Combustion</v>
      </c>
      <c r="I771" s="1100" t="s">
        <v>1595</v>
      </c>
      <c r="J771" s="1979" t="s">
        <v>1572</v>
      </c>
      <c r="K771" s="2352" t="s">
        <v>1567</v>
      </c>
      <c r="L771" s="2352" t="s">
        <v>3084</v>
      </c>
      <c r="M771" s="2355">
        <v>0.05</v>
      </c>
      <c r="N771" s="2352" t="s">
        <v>1569</v>
      </c>
      <c r="O771" s="1673">
        <v>2.944</v>
      </c>
      <c r="P771" s="2353">
        <f t="shared" si="73"/>
        <v>2.944</v>
      </c>
      <c r="Q771" s="2353">
        <v>0</v>
      </c>
      <c r="R771" s="2353">
        <v>0</v>
      </c>
      <c r="S771" s="2353">
        <v>0</v>
      </c>
      <c r="T771" s="2353">
        <v>0</v>
      </c>
      <c r="U771" s="2057">
        <v>0</v>
      </c>
    </row>
    <row r="772" spans="2:21" hidden="1" outlineLevel="1">
      <c r="B772" s="1045"/>
      <c r="C772" s="1045"/>
      <c r="D772" s="1051">
        <f t="shared" si="70"/>
        <v>20</v>
      </c>
      <c r="E772" s="1051" t="str">
        <f>IF(COUNTIF(E$599:E771,F772)&gt;0,"",F772)</f>
        <v/>
      </c>
      <c r="F772" s="1051" t="str">
        <f t="shared" si="71"/>
        <v>GPL pour véhicule routier, Guadeloupe, Martinique, Guyane, Corse, Base Carbone</v>
      </c>
      <c r="G772" s="1055" t="str">
        <f t="shared" si="72"/>
        <v>GPL pour véhicule routier, Guadeloupe, Martinique, Guyane, Corse, Base Carbone; kgCO2e/kg, Amont</v>
      </c>
      <c r="I772" s="1100" t="s">
        <v>1595</v>
      </c>
      <c r="J772" s="1979" t="s">
        <v>1572</v>
      </c>
      <c r="K772" s="2352" t="s">
        <v>1567</v>
      </c>
      <c r="L772" s="2352" t="s">
        <v>3084</v>
      </c>
      <c r="M772" s="2355">
        <v>0.05</v>
      </c>
      <c r="N772" s="2352" t="s">
        <v>1570</v>
      </c>
      <c r="O772" s="1673">
        <v>0.55400000000000005</v>
      </c>
      <c r="P772" s="2353">
        <f t="shared" si="73"/>
        <v>0.55400000000000005</v>
      </c>
      <c r="Q772" s="2353">
        <v>0</v>
      </c>
      <c r="R772" s="2353">
        <v>0</v>
      </c>
      <c r="S772" s="2353">
        <v>0</v>
      </c>
      <c r="T772" s="2353">
        <v>0</v>
      </c>
      <c r="U772" s="2057">
        <v>0</v>
      </c>
    </row>
    <row r="773" spans="2:21" hidden="1" outlineLevel="1">
      <c r="B773" s="1045"/>
      <c r="C773" s="1045"/>
      <c r="D773" s="1051">
        <f t="shared" si="70"/>
        <v>20</v>
      </c>
      <c r="E773" s="1051" t="str">
        <f>IF(COUNTIF(E$599:E772,F773)&gt;0,"",F773)</f>
        <v/>
      </c>
      <c r="F773" s="1051" t="str">
        <f t="shared" si="71"/>
        <v>GPL pour véhicule routier, Guadeloupe, Martinique, Guyane, Corse, Base Carbone</v>
      </c>
      <c r="G773" s="1055" t="str">
        <f t="shared" si="72"/>
        <v>GPL pour véhicule routier, Guadeloupe, Martinique, Guyane, Corse, Base Carbone; kgCO2e/kWh PCI, Combustion</v>
      </c>
      <c r="I773" s="1100" t="s">
        <v>1595</v>
      </c>
      <c r="J773" s="2352" t="s">
        <v>1573</v>
      </c>
      <c r="K773" s="2352" t="s">
        <v>1567</v>
      </c>
      <c r="L773" s="2352" t="s">
        <v>3084</v>
      </c>
      <c r="M773" s="2355">
        <v>0.05</v>
      </c>
      <c r="N773" s="2352" t="s">
        <v>1569</v>
      </c>
      <c r="O773" s="2354">
        <v>0.23100000000000001</v>
      </c>
      <c r="P773" s="2353">
        <f t="shared" si="73"/>
        <v>0.23100000000000001</v>
      </c>
      <c r="Q773" s="2353">
        <v>0</v>
      </c>
      <c r="R773" s="2353">
        <v>0</v>
      </c>
      <c r="S773" s="2353">
        <v>0</v>
      </c>
      <c r="T773" s="2353">
        <v>0</v>
      </c>
      <c r="U773" s="2057">
        <v>0</v>
      </c>
    </row>
    <row r="774" spans="2:21" hidden="1" outlineLevel="1">
      <c r="B774" s="1045"/>
      <c r="C774" s="1045"/>
      <c r="D774" s="1051">
        <f t="shared" si="70"/>
        <v>20</v>
      </c>
      <c r="E774" s="1051" t="str">
        <f>IF(COUNTIF(E$599:E773,F774)&gt;0,"",F774)</f>
        <v/>
      </c>
      <c r="F774" s="1051" t="str">
        <f t="shared" si="71"/>
        <v>GPL pour véhicule routier, Guadeloupe, Martinique, Guyane, Corse, Base Carbone</v>
      </c>
      <c r="G774" s="1055" t="str">
        <f t="shared" si="72"/>
        <v>GPL pour véhicule routier, Guadeloupe, Martinique, Guyane, Corse, Base Carbone; kgCO2e/kWh PCI, Amont</v>
      </c>
      <c r="I774" s="1100" t="s">
        <v>1595</v>
      </c>
      <c r="J774" s="2352" t="s">
        <v>1573</v>
      </c>
      <c r="K774" s="2352" t="s">
        <v>1567</v>
      </c>
      <c r="L774" s="2352" t="s">
        <v>3084</v>
      </c>
      <c r="M774" s="2355">
        <v>0.05</v>
      </c>
      <c r="N774" s="2352" t="s">
        <v>1570</v>
      </c>
      <c r="O774" s="2354">
        <v>4.3400000000000001E-2</v>
      </c>
      <c r="P774" s="2353">
        <f t="shared" si="73"/>
        <v>4.3400000000000001E-2</v>
      </c>
      <c r="Q774" s="2353">
        <v>0</v>
      </c>
      <c r="R774" s="2353">
        <v>0</v>
      </c>
      <c r="S774" s="2353">
        <v>0</v>
      </c>
      <c r="T774" s="2353">
        <v>0</v>
      </c>
      <c r="U774" s="2057">
        <v>0</v>
      </c>
    </row>
    <row r="775" spans="2:21" hidden="1" outlineLevel="1">
      <c r="B775" s="1045"/>
      <c r="C775" s="1045"/>
      <c r="D775" s="1051">
        <f t="shared" si="70"/>
        <v>20</v>
      </c>
      <c r="E775" s="1051" t="str">
        <f>IF(COUNTIF(E$599:E774,F775)&gt;0,"",F775)</f>
        <v/>
      </c>
      <c r="F775" s="1051" t="str">
        <f t="shared" si="71"/>
        <v>GPL pour véhicule routier, Guadeloupe, Martinique, Guyane, Corse, Base Carbone</v>
      </c>
      <c r="G775" s="1055" t="str">
        <f t="shared" si="72"/>
        <v>GPL pour véhicule routier, Guadeloupe, Martinique, Guyane, Corse, Base Carbone; kgCO2e/tep PCI, Combustion</v>
      </c>
      <c r="I775" s="1100" t="s">
        <v>1595</v>
      </c>
      <c r="J775" s="2352" t="s">
        <v>1575</v>
      </c>
      <c r="K775" s="2352" t="s">
        <v>1567</v>
      </c>
      <c r="L775" s="2352" t="s">
        <v>3084</v>
      </c>
      <c r="M775" s="2355">
        <v>0.05</v>
      </c>
      <c r="N775" s="2352" t="s">
        <v>1569</v>
      </c>
      <c r="O775" s="2354">
        <v>2690</v>
      </c>
      <c r="P775" s="2353">
        <f t="shared" si="73"/>
        <v>2690</v>
      </c>
      <c r="Q775" s="2353">
        <v>0</v>
      </c>
      <c r="R775" s="2353">
        <v>0</v>
      </c>
      <c r="S775" s="2353">
        <v>0</v>
      </c>
      <c r="T775" s="2353">
        <v>0</v>
      </c>
      <c r="U775" s="2057">
        <v>0</v>
      </c>
    </row>
    <row r="776" spans="2:21" hidden="1" outlineLevel="1">
      <c r="B776" s="1045"/>
      <c r="C776" s="1045"/>
      <c r="D776" s="1051">
        <f t="shared" si="70"/>
        <v>20</v>
      </c>
      <c r="E776" s="1051" t="str">
        <f>IF(COUNTIF(E$599:E775,F776)&gt;0,"",F776)</f>
        <v/>
      </c>
      <c r="F776" s="1051" t="str">
        <f t="shared" si="71"/>
        <v>GPL pour véhicule routier, Guadeloupe, Martinique, Guyane, Corse, Base Carbone</v>
      </c>
      <c r="G776" s="1055" t="str">
        <f t="shared" si="72"/>
        <v>GPL pour véhicule routier, Guadeloupe, Martinique, Guyane, Corse, Base Carbone; kgCO2e/tep PCI, Amont</v>
      </c>
      <c r="I776" s="1100" t="s">
        <v>1595</v>
      </c>
      <c r="J776" s="2352" t="s">
        <v>1575</v>
      </c>
      <c r="K776" s="2352" t="s">
        <v>1567</v>
      </c>
      <c r="L776" s="2352" t="s">
        <v>3084</v>
      </c>
      <c r="M776" s="2355">
        <v>0.05</v>
      </c>
      <c r="N776" s="2352" t="s">
        <v>1570</v>
      </c>
      <c r="O776" s="2354">
        <v>505</v>
      </c>
      <c r="P776" s="2353">
        <f t="shared" si="73"/>
        <v>505</v>
      </c>
      <c r="Q776" s="2353">
        <v>0</v>
      </c>
      <c r="R776" s="2353">
        <v>0</v>
      </c>
      <c r="S776" s="2353">
        <v>0</v>
      </c>
      <c r="T776" s="2353">
        <v>0</v>
      </c>
      <c r="U776" s="2057">
        <v>0</v>
      </c>
    </row>
    <row r="777" spans="2:21" hidden="1" outlineLevel="1">
      <c r="B777" s="1045"/>
      <c r="C777" s="1045"/>
      <c r="D777" s="1051">
        <f t="shared" si="70"/>
        <v>20</v>
      </c>
      <c r="E777" s="1051" t="str">
        <f>IF(COUNTIF(E$599:E776,F777)&gt;0,"",F777)</f>
        <v/>
      </c>
      <c r="F777" s="1051" t="str">
        <f t="shared" si="71"/>
        <v>GPL pour véhicule routier, Guadeloupe, Martinique, Guyane, Corse, Base Carbone</v>
      </c>
      <c r="G777" s="1055" t="str">
        <f t="shared" si="72"/>
        <v>GPL pour véhicule routier, Guadeloupe, Martinique, Guyane, Corse, Base Carbone; kgCO2e/litre, Combustion</v>
      </c>
      <c r="I777" s="1100" t="s">
        <v>1595</v>
      </c>
      <c r="J777" s="2352" t="s">
        <v>1574</v>
      </c>
      <c r="K777" s="2352" t="s">
        <v>1567</v>
      </c>
      <c r="L777" s="2352" t="s">
        <v>3084</v>
      </c>
      <c r="M777" s="2355">
        <v>0.05</v>
      </c>
      <c r="N777" s="2352" t="s">
        <v>1569</v>
      </c>
      <c r="O777" s="2354">
        <v>1.58</v>
      </c>
      <c r="P777" s="2353">
        <f t="shared" si="73"/>
        <v>1.58</v>
      </c>
      <c r="Q777" s="2353">
        <v>0</v>
      </c>
      <c r="R777" s="2353">
        <v>0</v>
      </c>
      <c r="S777" s="2353">
        <v>0</v>
      </c>
      <c r="T777" s="2353">
        <v>0</v>
      </c>
      <c r="U777" s="2057">
        <v>0</v>
      </c>
    </row>
    <row r="778" spans="2:21" hidden="1" outlineLevel="1">
      <c r="B778" s="1045"/>
      <c r="C778" s="1045"/>
      <c r="D778" s="1051">
        <f t="shared" si="70"/>
        <v>20</v>
      </c>
      <c r="E778" s="1051" t="str">
        <f>IF(COUNTIF(E$599:E777,F778)&gt;0,"",F778)</f>
        <v/>
      </c>
      <c r="F778" s="1051" t="str">
        <f t="shared" si="71"/>
        <v>GPL pour véhicule routier, Guadeloupe, Martinique, Guyane, Corse, Base Carbone</v>
      </c>
      <c r="G778" s="1055" t="str">
        <f t="shared" si="72"/>
        <v>GPL pour véhicule routier, Guadeloupe, Martinique, Guyane, Corse, Base Carbone; kgCO2e/litre, Amont</v>
      </c>
      <c r="I778" s="1100" t="s">
        <v>1595</v>
      </c>
      <c r="J778" s="2352" t="s">
        <v>1574</v>
      </c>
      <c r="K778" s="2352" t="s">
        <v>1567</v>
      </c>
      <c r="L778" s="2352" t="s">
        <v>3084</v>
      </c>
      <c r="M778" s="2355">
        <v>0.05</v>
      </c>
      <c r="N778" s="2352" t="s">
        <v>1570</v>
      </c>
      <c r="O778" s="2354">
        <v>0.29799999999999999</v>
      </c>
      <c r="P778" s="2353">
        <f t="shared" si="73"/>
        <v>0.29799999999999999</v>
      </c>
      <c r="Q778" s="2353">
        <v>0</v>
      </c>
      <c r="R778" s="2353">
        <v>0</v>
      </c>
      <c r="S778" s="2353">
        <v>0</v>
      </c>
      <c r="T778" s="2353">
        <v>0</v>
      </c>
      <c r="U778" s="2057">
        <v>0</v>
      </c>
    </row>
    <row r="779" spans="2:21" hidden="1" outlineLevel="1">
      <c r="B779" s="1045"/>
      <c r="C779" s="1045"/>
      <c r="D779" s="1051">
        <f t="shared" si="70"/>
        <v>21</v>
      </c>
      <c r="E779" s="1051" t="str">
        <f>IF(COUNTIF(E$599:E778,F779)&gt;0,"",F779)</f>
        <v>GPL pour véhicule routier, Nouvelle Calédonie, Base Carbone</v>
      </c>
      <c r="F779" s="1051" t="str">
        <f t="shared" si="71"/>
        <v>GPL pour véhicule routier, Nouvelle Calédonie, Base Carbone</v>
      </c>
      <c r="G779" s="1055" t="str">
        <f t="shared" si="72"/>
        <v>GPL pour véhicule routier, Nouvelle Calédonie, Base Carbone; kgCO2e/kg, Combustion</v>
      </c>
      <c r="I779" s="1100" t="s">
        <v>1595</v>
      </c>
      <c r="J779" s="1979" t="s">
        <v>1572</v>
      </c>
      <c r="K779" s="2352" t="s">
        <v>1567</v>
      </c>
      <c r="L779" s="2352" t="s">
        <v>3085</v>
      </c>
      <c r="M779" s="2355">
        <v>0.05</v>
      </c>
      <c r="N779" s="2352" t="s">
        <v>1569</v>
      </c>
      <c r="O779" s="1673">
        <v>2.944</v>
      </c>
      <c r="P779" s="2353">
        <f t="shared" si="73"/>
        <v>2.944</v>
      </c>
      <c r="Q779" s="2353">
        <v>0</v>
      </c>
      <c r="R779" s="2353">
        <v>0</v>
      </c>
      <c r="S779" s="2353">
        <v>0</v>
      </c>
      <c r="T779" s="2353">
        <v>0</v>
      </c>
      <c r="U779" s="2057">
        <v>0</v>
      </c>
    </row>
    <row r="780" spans="2:21" hidden="1" outlineLevel="1">
      <c r="B780" s="1045"/>
      <c r="C780" s="1045"/>
      <c r="D780" s="1051">
        <f t="shared" si="70"/>
        <v>21</v>
      </c>
      <c r="E780" s="1051" t="str">
        <f>IF(COUNTIF(E$599:E779,F780)&gt;0,"",F780)</f>
        <v/>
      </c>
      <c r="F780" s="1051" t="str">
        <f t="shared" si="71"/>
        <v>GPL pour véhicule routier, Nouvelle Calédonie, Base Carbone</v>
      </c>
      <c r="G780" s="1055" t="str">
        <f t="shared" si="72"/>
        <v>GPL pour véhicule routier, Nouvelle Calédonie, Base Carbone; kgCO2e/kg, Amont</v>
      </c>
      <c r="I780" s="1100" t="s">
        <v>1595</v>
      </c>
      <c r="J780" s="1979" t="s">
        <v>1572</v>
      </c>
      <c r="K780" s="2352" t="s">
        <v>1567</v>
      </c>
      <c r="L780" s="2352" t="s">
        <v>3085</v>
      </c>
      <c r="M780" s="2355">
        <v>0.05</v>
      </c>
      <c r="N780" s="2352" t="s">
        <v>1570</v>
      </c>
      <c r="O780" s="1673">
        <v>0.57999999999999996</v>
      </c>
      <c r="P780" s="2353">
        <f t="shared" si="73"/>
        <v>0.57999999999999996</v>
      </c>
      <c r="Q780" s="2353">
        <v>0</v>
      </c>
      <c r="R780" s="2353">
        <v>0</v>
      </c>
      <c r="S780" s="2353">
        <v>0</v>
      </c>
      <c r="T780" s="2353">
        <v>0</v>
      </c>
      <c r="U780" s="2057">
        <v>0</v>
      </c>
    </row>
    <row r="781" spans="2:21" hidden="1" outlineLevel="1">
      <c r="B781" s="1045"/>
      <c r="C781" s="1045"/>
      <c r="D781" s="1051">
        <f t="shared" si="70"/>
        <v>21</v>
      </c>
      <c r="E781" s="1051" t="str">
        <f>IF(COUNTIF(E$599:E780,F781)&gt;0,"",F781)</f>
        <v/>
      </c>
      <c r="F781" s="1051" t="str">
        <f t="shared" si="71"/>
        <v>GPL pour véhicule routier, Nouvelle Calédonie, Base Carbone</v>
      </c>
      <c r="G781" s="1055" t="str">
        <f t="shared" si="72"/>
        <v>GPL pour véhicule routier, Nouvelle Calédonie, Base Carbone; kgCO2e/kWh PCI, Combustion</v>
      </c>
      <c r="I781" s="1100" t="s">
        <v>1595</v>
      </c>
      <c r="J781" s="2352" t="s">
        <v>1573</v>
      </c>
      <c r="K781" s="2352" t="s">
        <v>1567</v>
      </c>
      <c r="L781" s="2352" t="s">
        <v>3085</v>
      </c>
      <c r="M781" s="2355">
        <v>0.05</v>
      </c>
      <c r="N781" s="2352" t="s">
        <v>1569</v>
      </c>
      <c r="O781" s="2354">
        <v>0.23100000000000001</v>
      </c>
      <c r="P781" s="2353">
        <f t="shared" si="73"/>
        <v>0.23100000000000001</v>
      </c>
      <c r="Q781" s="2353">
        <v>0</v>
      </c>
      <c r="R781" s="2353">
        <v>0</v>
      </c>
      <c r="S781" s="2353">
        <v>0</v>
      </c>
      <c r="T781" s="2353">
        <v>0</v>
      </c>
      <c r="U781" s="2057">
        <v>0</v>
      </c>
    </row>
    <row r="782" spans="2:21" hidden="1" outlineLevel="1">
      <c r="B782" s="1045"/>
      <c r="C782" s="1045"/>
      <c r="D782" s="1051">
        <f t="shared" si="70"/>
        <v>21</v>
      </c>
      <c r="E782" s="1051" t="str">
        <f>IF(COUNTIF(E$599:E781,F782)&gt;0,"",F782)</f>
        <v/>
      </c>
      <c r="F782" s="1051" t="str">
        <f t="shared" si="71"/>
        <v>GPL pour véhicule routier, Nouvelle Calédonie, Base Carbone</v>
      </c>
      <c r="G782" s="1055" t="str">
        <f t="shared" si="72"/>
        <v>GPL pour véhicule routier, Nouvelle Calédonie, Base Carbone; kgCO2e/kWh PCI, Amont</v>
      </c>
      <c r="I782" s="1100" t="s">
        <v>1595</v>
      </c>
      <c r="J782" s="2352" t="s">
        <v>1573</v>
      </c>
      <c r="K782" s="2352" t="s">
        <v>1567</v>
      </c>
      <c r="L782" s="2352" t="s">
        <v>3085</v>
      </c>
      <c r="M782" s="2355">
        <v>0.05</v>
      </c>
      <c r="N782" s="2352" t="s">
        <v>1570</v>
      </c>
      <c r="O782" s="2354">
        <v>4.3999999999999997E-2</v>
      </c>
      <c r="P782" s="2353">
        <f t="shared" si="73"/>
        <v>4.3999999999999997E-2</v>
      </c>
      <c r="Q782" s="2353">
        <v>0</v>
      </c>
      <c r="R782" s="2353">
        <v>0</v>
      </c>
      <c r="S782" s="2353">
        <v>0</v>
      </c>
      <c r="T782" s="2353">
        <v>0</v>
      </c>
      <c r="U782" s="2057">
        <v>0</v>
      </c>
    </row>
    <row r="783" spans="2:21" hidden="1" outlineLevel="1">
      <c r="B783" s="1045"/>
      <c r="C783" s="1045"/>
      <c r="D783" s="1051">
        <f t="shared" si="70"/>
        <v>21</v>
      </c>
      <c r="E783" s="1051" t="str">
        <f>IF(COUNTIF(E$599:E782,F783)&gt;0,"",F783)</f>
        <v/>
      </c>
      <c r="F783" s="1051" t="str">
        <f t="shared" si="71"/>
        <v>GPL pour véhicule routier, Nouvelle Calédonie, Base Carbone</v>
      </c>
      <c r="G783" s="1055" t="str">
        <f t="shared" si="72"/>
        <v>GPL pour véhicule routier, Nouvelle Calédonie, Base Carbone; kgCO2e/tep PCI, Combustion</v>
      </c>
      <c r="I783" s="1100" t="s">
        <v>1595</v>
      </c>
      <c r="J783" s="2352" t="s">
        <v>1575</v>
      </c>
      <c r="K783" s="2352" t="s">
        <v>1567</v>
      </c>
      <c r="L783" s="2352" t="s">
        <v>3085</v>
      </c>
      <c r="M783" s="2355">
        <v>0.05</v>
      </c>
      <c r="N783" s="2352" t="s">
        <v>1569</v>
      </c>
      <c r="O783" s="2354">
        <v>2690</v>
      </c>
      <c r="P783" s="2353">
        <f t="shared" si="73"/>
        <v>2690</v>
      </c>
      <c r="Q783" s="2353">
        <v>0</v>
      </c>
      <c r="R783" s="2353">
        <v>0</v>
      </c>
      <c r="S783" s="2353">
        <v>0</v>
      </c>
      <c r="T783" s="2353">
        <v>0</v>
      </c>
      <c r="U783" s="2057">
        <v>0</v>
      </c>
    </row>
    <row r="784" spans="2:21" hidden="1" outlineLevel="1">
      <c r="B784" s="1045"/>
      <c r="C784" s="1045"/>
      <c r="D784" s="1051">
        <f t="shared" si="70"/>
        <v>21</v>
      </c>
      <c r="E784" s="1051" t="str">
        <f>IF(COUNTIF(E$599:E783,F784)&gt;0,"",F784)</f>
        <v/>
      </c>
      <c r="F784" s="1051" t="str">
        <f t="shared" si="71"/>
        <v>GPL pour véhicule routier, Nouvelle Calédonie, Base Carbone</v>
      </c>
      <c r="G784" s="1055" t="str">
        <f t="shared" si="72"/>
        <v>GPL pour véhicule routier, Nouvelle Calédonie, Base Carbone; kgCO2e/tep PCI, Amont</v>
      </c>
      <c r="I784" s="1100" t="s">
        <v>1595</v>
      </c>
      <c r="J784" s="2352" t="s">
        <v>1575</v>
      </c>
      <c r="K784" s="2352" t="s">
        <v>1567</v>
      </c>
      <c r="L784" s="2352" t="s">
        <v>3085</v>
      </c>
      <c r="M784" s="2355">
        <v>0.05</v>
      </c>
      <c r="N784" s="2352" t="s">
        <v>1570</v>
      </c>
      <c r="O784" s="2354">
        <v>531</v>
      </c>
      <c r="P784" s="2353">
        <f t="shared" si="73"/>
        <v>531</v>
      </c>
      <c r="Q784" s="2353">
        <v>0</v>
      </c>
      <c r="R784" s="2353">
        <v>0</v>
      </c>
      <c r="S784" s="2353">
        <v>0</v>
      </c>
      <c r="T784" s="2353">
        <v>0</v>
      </c>
      <c r="U784" s="2057">
        <v>0</v>
      </c>
    </row>
    <row r="785" spans="2:21" hidden="1" outlineLevel="1">
      <c r="B785" s="1045"/>
      <c r="C785" s="1045"/>
      <c r="D785" s="1051">
        <f t="shared" si="70"/>
        <v>21</v>
      </c>
      <c r="E785" s="1051" t="str">
        <f>IF(COUNTIF(E$599:E784,F785)&gt;0,"",F785)</f>
        <v/>
      </c>
      <c r="F785" s="1051" t="str">
        <f t="shared" si="71"/>
        <v>GPL pour véhicule routier, Nouvelle Calédonie, Base Carbone</v>
      </c>
      <c r="G785" s="1055" t="str">
        <f t="shared" si="72"/>
        <v>GPL pour véhicule routier, Nouvelle Calédonie, Base Carbone; kgCO2e/litre, Combustion</v>
      </c>
      <c r="I785" s="1100" t="s">
        <v>1595</v>
      </c>
      <c r="J785" s="2352" t="s">
        <v>1574</v>
      </c>
      <c r="K785" s="2352" t="s">
        <v>1567</v>
      </c>
      <c r="L785" s="2352" t="s">
        <v>3085</v>
      </c>
      <c r="M785" s="2355">
        <v>0.05</v>
      </c>
      <c r="N785" s="2352" t="s">
        <v>1569</v>
      </c>
      <c r="O785" s="2354">
        <v>1.58</v>
      </c>
      <c r="P785" s="2353">
        <f t="shared" si="73"/>
        <v>1.58</v>
      </c>
      <c r="Q785" s="2353">
        <v>0</v>
      </c>
      <c r="R785" s="2353">
        <v>0</v>
      </c>
      <c r="S785" s="2353">
        <v>0</v>
      </c>
      <c r="T785" s="2353">
        <v>0</v>
      </c>
      <c r="U785" s="2057">
        <v>0</v>
      </c>
    </row>
    <row r="786" spans="2:21" hidden="1" outlineLevel="1">
      <c r="B786" s="1045"/>
      <c r="C786" s="1045"/>
      <c r="D786" s="1051">
        <f t="shared" si="70"/>
        <v>21</v>
      </c>
      <c r="E786" s="1051" t="str">
        <f>IF(COUNTIF(E$599:E785,F786)&gt;0,"",F786)</f>
        <v/>
      </c>
      <c r="F786" s="1051" t="str">
        <f t="shared" si="71"/>
        <v>GPL pour véhicule routier, Nouvelle Calédonie, Base Carbone</v>
      </c>
      <c r="G786" s="1055" t="str">
        <f t="shared" si="72"/>
        <v>GPL pour véhicule routier, Nouvelle Calédonie, Base Carbone; kgCO2e/litre, Amont</v>
      </c>
      <c r="I786" s="1100" t="s">
        <v>1595</v>
      </c>
      <c r="J786" s="2352" t="s">
        <v>1574</v>
      </c>
      <c r="K786" s="2352" t="s">
        <v>1567</v>
      </c>
      <c r="L786" s="2352" t="s">
        <v>3085</v>
      </c>
      <c r="M786" s="2355">
        <v>0.05</v>
      </c>
      <c r="N786" s="2352" t="s">
        <v>1570</v>
      </c>
      <c r="O786" s="2354">
        <v>0.32300000000000001</v>
      </c>
      <c r="P786" s="2353">
        <f t="shared" si="73"/>
        <v>0.32300000000000001</v>
      </c>
      <c r="Q786" s="2353">
        <v>0</v>
      </c>
      <c r="R786" s="2353">
        <v>0</v>
      </c>
      <c r="S786" s="2353">
        <v>0</v>
      </c>
      <c r="T786" s="2353">
        <v>0</v>
      </c>
      <c r="U786" s="2057">
        <v>0</v>
      </c>
    </row>
    <row r="787" spans="2:21" hidden="1" outlineLevel="1">
      <c r="B787" s="1045"/>
      <c r="C787" s="1045"/>
      <c r="D787" s="1051">
        <f t="shared" si="70"/>
        <v>21</v>
      </c>
      <c r="E787" s="1051" t="str">
        <f>IF(COUNTIF(E$599:E786,F787)&gt;0,"",F787)</f>
        <v/>
      </c>
      <c r="F787" s="1051" t="str">
        <f t="shared" si="71"/>
        <v/>
      </c>
      <c r="G787" s="1055" t="str">
        <f t="shared" si="72"/>
        <v/>
      </c>
      <c r="I787" s="2351"/>
      <c r="J787" s="2352"/>
      <c r="K787" s="2352"/>
      <c r="L787" s="2352"/>
      <c r="M787" s="2355"/>
      <c r="N787" s="2352"/>
      <c r="O787" s="2354"/>
      <c r="P787" s="2353"/>
      <c r="Q787" s="2353"/>
      <c r="R787" s="2353"/>
      <c r="S787" s="2353"/>
      <c r="T787" s="2353"/>
      <c r="U787" s="2057"/>
    </row>
    <row r="788" spans="2:21" hidden="1" outlineLevel="1">
      <c r="B788" s="1045"/>
      <c r="C788" s="1045"/>
      <c r="D788" s="1051">
        <f t="shared" si="70"/>
        <v>22</v>
      </c>
      <c r="E788" s="1051" t="str">
        <f>IF(COUNTIF(E$599:E787,F788)&gt;0,"",F788)</f>
        <v>Biodiesel  - mix moyen (changement d'affectation des sols scénario maximum), France continentale, Base Carbone</v>
      </c>
      <c r="F788" s="1051" t="str">
        <f t="shared" si="71"/>
        <v>Biodiesel  - mix moyen (changement d'affectation des sols scénario maximum), France continentale, Base Carbone</v>
      </c>
      <c r="G788" s="1055" t="str">
        <f t="shared" si="72"/>
        <v>Biodiesel  - mix moyen (changement d'affectation des sols scénario maximum), France continentale, Base Carbone; kgCO2e/kWh PCI, Amont</v>
      </c>
      <c r="I788" s="2351" t="s">
        <v>5161</v>
      </c>
      <c r="J788" s="2352" t="s">
        <v>1573</v>
      </c>
      <c r="K788" s="2352" t="s">
        <v>1567</v>
      </c>
      <c r="L788" s="2352" t="s">
        <v>1571</v>
      </c>
      <c r="M788" s="2355">
        <v>0.2</v>
      </c>
      <c r="N788" s="2352" t="s">
        <v>1570</v>
      </c>
      <c r="O788" s="2354">
        <v>0.78</v>
      </c>
      <c r="P788" s="2353">
        <v>0.72699999999999998</v>
      </c>
      <c r="Q788" s="2353">
        <v>3.1900000000000001E-3</v>
      </c>
      <c r="R788" s="2353">
        <v>0</v>
      </c>
      <c r="S788" s="2353">
        <v>4.9799999999999997E-2</v>
      </c>
      <c r="T788" s="2353">
        <v>0</v>
      </c>
      <c r="U788" s="2057">
        <v>-0.252</v>
      </c>
    </row>
    <row r="789" spans="2:21" hidden="1" outlineLevel="1">
      <c r="B789" s="1045"/>
      <c r="C789" s="1045"/>
      <c r="D789" s="1051">
        <f t="shared" si="70"/>
        <v>22</v>
      </c>
      <c r="E789" s="1051" t="str">
        <f>IF(COUNTIF(E$599:E788,F789)&gt;0,"",F789)</f>
        <v/>
      </c>
      <c r="F789" s="1051" t="str">
        <f t="shared" si="71"/>
        <v>Biodiesel  - mix moyen (changement d'affectation des sols scénario maximum), France continentale, Base Carbone</v>
      </c>
      <c r="G789" s="1055" t="str">
        <f t="shared" si="72"/>
        <v>Biodiesel  - mix moyen (changement d'affectation des sols scénario maximum), France continentale, Base Carbone; kgCO2e/litre, Amont</v>
      </c>
      <c r="I789" s="2351" t="s">
        <v>5161</v>
      </c>
      <c r="J789" s="1979" t="s">
        <v>1574</v>
      </c>
      <c r="K789" s="2352" t="s">
        <v>1567</v>
      </c>
      <c r="L789" s="2352" t="s">
        <v>1571</v>
      </c>
      <c r="M789" s="2355">
        <v>0.2</v>
      </c>
      <c r="N789" s="2352" t="s">
        <v>1570</v>
      </c>
      <c r="O789" s="1673">
        <v>7.17</v>
      </c>
      <c r="P789" s="2353">
        <v>6.68</v>
      </c>
      <c r="Q789" s="2353">
        <v>2.93E-2</v>
      </c>
      <c r="R789" s="2353">
        <v>0</v>
      </c>
      <c r="S789" s="2353">
        <v>0.45800000000000002</v>
      </c>
      <c r="T789" s="2353">
        <v>0</v>
      </c>
      <c r="U789" s="2057">
        <v>-2.31</v>
      </c>
    </row>
    <row r="790" spans="2:21" hidden="1" outlineLevel="1">
      <c r="B790" s="1045"/>
      <c r="C790" s="1045"/>
      <c r="D790" s="1051">
        <f t="shared" si="70"/>
        <v>22</v>
      </c>
      <c r="E790" s="1051" t="str">
        <f>IF(COUNTIF(E$599:E789,F790)&gt;0,"",F790)</f>
        <v/>
      </c>
      <c r="F790" s="1051" t="str">
        <f t="shared" si="71"/>
        <v>Biodiesel  - mix moyen (changement d'affectation des sols scénario maximum), France continentale, Base Carbone</v>
      </c>
      <c r="G790" s="1055" t="str">
        <f t="shared" si="72"/>
        <v>Biodiesel  - mix moyen (changement d'affectation des sols scénario maximum), France continentale, Base Carbone; kgCO2e/MJ PCI, Amont</v>
      </c>
      <c r="I790" s="2351" t="s">
        <v>5161</v>
      </c>
      <c r="J790" s="1979" t="s">
        <v>1661</v>
      </c>
      <c r="K790" s="2352" t="s">
        <v>1567</v>
      </c>
      <c r="L790" s="2352" t="s">
        <v>1571</v>
      </c>
      <c r="M790" s="2355">
        <v>0.2</v>
      </c>
      <c r="N790" s="2352" t="s">
        <v>1570</v>
      </c>
      <c r="O790" s="1673">
        <v>0.217</v>
      </c>
      <c r="P790" s="2353">
        <v>0.20200000000000001</v>
      </c>
      <c r="Q790" s="2353">
        <v>8.8500000000000004E-4</v>
      </c>
      <c r="R790" s="2353">
        <v>0</v>
      </c>
      <c r="S790" s="2353">
        <v>1.38E-2</v>
      </c>
      <c r="T790" s="2353">
        <v>0</v>
      </c>
      <c r="U790" s="2057">
        <v>-6.9900000000000004E-2</v>
      </c>
    </row>
    <row r="791" spans="2:21" hidden="1" outlineLevel="1">
      <c r="B791" s="1045"/>
      <c r="C791" s="1045"/>
      <c r="D791" s="1051">
        <f t="shared" si="70"/>
        <v>22</v>
      </c>
      <c r="E791" s="1051" t="str">
        <f>IF(COUNTIF(E$599:E790,F791)&gt;0,"",F791)</f>
        <v/>
      </c>
      <c r="F791" s="1051" t="str">
        <f t="shared" si="71"/>
        <v>Biodiesel  - mix moyen (changement d'affectation des sols scénario maximum), France continentale, Base Carbone</v>
      </c>
      <c r="G791" s="1055" t="str">
        <f t="shared" si="72"/>
        <v>Biodiesel  - mix moyen (changement d'affectation des sols scénario maximum), France continentale, Base Carbone; kgCO2e/tep PCI, Amont</v>
      </c>
      <c r="I791" s="2351" t="s">
        <v>5161</v>
      </c>
      <c r="J791" s="2352" t="s">
        <v>1575</v>
      </c>
      <c r="K791" s="2352" t="s">
        <v>1567</v>
      </c>
      <c r="L791" s="2352" t="s">
        <v>1571</v>
      </c>
      <c r="M791" s="2355">
        <v>0.2</v>
      </c>
      <c r="N791" s="2352" t="s">
        <v>1570</v>
      </c>
      <c r="O791" s="2354">
        <v>9070</v>
      </c>
      <c r="P791" s="2353">
        <v>8450</v>
      </c>
      <c r="Q791" s="2353">
        <v>37.1</v>
      </c>
      <c r="R791" s="2353">
        <v>0</v>
      </c>
      <c r="S791" s="2353">
        <v>579</v>
      </c>
      <c r="T791" s="2353">
        <v>0</v>
      </c>
      <c r="U791" s="2057">
        <v>-2920</v>
      </c>
    </row>
    <row r="792" spans="2:21" hidden="1" outlineLevel="1">
      <c r="B792" s="1045"/>
      <c r="C792" s="1045"/>
      <c r="D792" s="1051">
        <f t="shared" si="70"/>
        <v>22</v>
      </c>
      <c r="E792" s="1051" t="str">
        <f>IF(COUNTIF(E$599:E791,F792)&gt;0,"",F792)</f>
        <v/>
      </c>
      <c r="F792" s="1051" t="str">
        <f t="shared" si="71"/>
        <v>Biodiesel  - mix moyen (changement d'affectation des sols scénario maximum), France continentale, Base Carbone</v>
      </c>
      <c r="G792" s="1055" t="str">
        <f t="shared" si="72"/>
        <v>Biodiesel  - mix moyen (changement d'affectation des sols scénario maximum), France continentale, Base Carbone; kgCO2e/tonne, Amont</v>
      </c>
      <c r="I792" s="2351" t="s">
        <v>5161</v>
      </c>
      <c r="J792" s="2352" t="s">
        <v>1585</v>
      </c>
      <c r="K792" s="2352" t="s">
        <v>1567</v>
      </c>
      <c r="L792" s="2352" t="s">
        <v>1571</v>
      </c>
      <c r="M792" s="2355">
        <v>0.2</v>
      </c>
      <c r="N792" s="2352" t="s">
        <v>1570</v>
      </c>
      <c r="O792" s="2354">
        <v>8060</v>
      </c>
      <c r="P792" s="2353">
        <v>7510</v>
      </c>
      <c r="Q792" s="2353">
        <v>32.9</v>
      </c>
      <c r="R792" s="2353">
        <v>0</v>
      </c>
      <c r="S792" s="2353">
        <v>514</v>
      </c>
      <c r="T792" s="2353">
        <v>0</v>
      </c>
      <c r="U792" s="2057">
        <v>-2600</v>
      </c>
    </row>
    <row r="793" spans="2:21" hidden="1" outlineLevel="1">
      <c r="B793" s="1045"/>
      <c r="C793" s="1045"/>
      <c r="D793" s="1051">
        <f t="shared" ref="D793:D856" si="74">D792+IF(LEN(E793)&gt;0,1,0)</f>
        <v>22</v>
      </c>
      <c r="E793" s="1051" t="str">
        <f>IF(COUNTIF(E$599:E792,F793)&gt;0,"",F793)</f>
        <v/>
      </c>
      <c r="F793" s="1051" t="str">
        <f t="shared" ref="F793:F856" si="75">IF(I793&lt;&gt;"",I793&amp;IF(L793&lt;&gt;"",", "&amp;L793,"")&amp;IF(K793&lt;&gt;"",", "&amp;K793,""),"")</f>
        <v>Biodiesel  - mix moyen (changement d'affectation des sols scénario maximum), France continentale, Base Carbone</v>
      </c>
      <c r="G793" s="1055" t="str">
        <f t="shared" ref="G793:G856" si="76">IF(F793&lt;&gt;"",F793&amp;IF(J793&lt;&gt;"","; "&amp;J793,"")&amp;IF(N793&lt;&gt;"",", "&amp;N793,""),"")</f>
        <v>Biodiesel  - mix moyen (changement d'affectation des sols scénario maximum), France continentale, Base Carbone; kgCO2e/kWh PCI, Amont</v>
      </c>
      <c r="I793" s="2351" t="s">
        <v>5161</v>
      </c>
      <c r="J793" s="2352" t="s">
        <v>1573</v>
      </c>
      <c r="K793" s="2352" t="s">
        <v>1567</v>
      </c>
      <c r="L793" s="2352" t="s">
        <v>1571</v>
      </c>
      <c r="M793" s="2355">
        <v>0.2</v>
      </c>
      <c r="N793" s="2352" t="s">
        <v>1570</v>
      </c>
      <c r="O793" s="2354">
        <v>4.7100000000000003E-2</v>
      </c>
      <c r="P793" s="2353">
        <v>-5.8500000000000002E-3</v>
      </c>
      <c r="Q793" s="2353">
        <v>3.1900000000000001E-3</v>
      </c>
      <c r="R793" s="2353">
        <v>0</v>
      </c>
      <c r="S793" s="2353">
        <v>4.9799999999999997E-2</v>
      </c>
      <c r="T793" s="2353">
        <v>0</v>
      </c>
      <c r="U793" s="2057">
        <v>-0.252</v>
      </c>
    </row>
    <row r="794" spans="2:21" hidden="1" outlineLevel="1">
      <c r="B794" s="1045"/>
      <c r="C794" s="1045"/>
      <c r="D794" s="1051">
        <f t="shared" si="74"/>
        <v>22</v>
      </c>
      <c r="E794" s="1051" t="str">
        <f>IF(COUNTIF(E$599:E793,F794)&gt;0,"",F794)</f>
        <v/>
      </c>
      <c r="F794" s="1051" t="str">
        <f t="shared" si="75"/>
        <v>Biodiesel  - mix moyen (changement d'affectation des sols scénario maximum), France continentale, Base Carbone</v>
      </c>
      <c r="G794" s="1055" t="str">
        <f t="shared" si="76"/>
        <v>Biodiesel  - mix moyen (changement d'affectation des sols scénario maximum), France continentale, Base Carbone; kgCO2e/litre, Amont</v>
      </c>
      <c r="I794" s="2351" t="s">
        <v>5161</v>
      </c>
      <c r="J794" s="2352" t="s">
        <v>1574</v>
      </c>
      <c r="K794" s="2352" t="s">
        <v>1567</v>
      </c>
      <c r="L794" s="2352" t="s">
        <v>1571</v>
      </c>
      <c r="M794" s="2355">
        <v>0.2</v>
      </c>
      <c r="N794" s="2352" t="s">
        <v>1570</v>
      </c>
      <c r="O794" s="2354">
        <v>0.434</v>
      </c>
      <c r="P794" s="2353">
        <v>-5.3800000000000001E-2</v>
      </c>
      <c r="Q794" s="2353">
        <v>2.93E-2</v>
      </c>
      <c r="R794" s="2353">
        <v>0</v>
      </c>
      <c r="S794" s="2353">
        <v>0.45800000000000002</v>
      </c>
      <c r="T794" s="2353">
        <v>0</v>
      </c>
      <c r="U794" s="2057">
        <v>-2.31</v>
      </c>
    </row>
    <row r="795" spans="2:21" hidden="1" outlineLevel="1">
      <c r="B795" s="1045"/>
      <c r="C795" s="1045"/>
      <c r="D795" s="1051">
        <f t="shared" si="74"/>
        <v>22</v>
      </c>
      <c r="E795" s="1051" t="str">
        <f>IF(COUNTIF(E$599:E794,F795)&gt;0,"",F795)</f>
        <v/>
      </c>
      <c r="F795" s="1051" t="str">
        <f t="shared" si="75"/>
        <v>Biodiesel  - mix moyen (changement d'affectation des sols scénario maximum), France continentale, Base Carbone</v>
      </c>
      <c r="G795" s="1055" t="str">
        <f t="shared" si="76"/>
        <v>Biodiesel  - mix moyen (changement d'affectation des sols scénario maximum), France continentale, Base Carbone; kgCO2e/MJ PCI, Amont</v>
      </c>
      <c r="I795" s="2351" t="s">
        <v>5161</v>
      </c>
      <c r="J795" s="2352" t="s">
        <v>1661</v>
      </c>
      <c r="K795" s="2352" t="s">
        <v>1567</v>
      </c>
      <c r="L795" s="2352" t="s">
        <v>1571</v>
      </c>
      <c r="M795" s="2355">
        <v>0.2</v>
      </c>
      <c r="N795" s="2352" t="s">
        <v>1570</v>
      </c>
      <c r="O795" s="2354">
        <v>1.3100000000000001E-2</v>
      </c>
      <c r="P795" s="2353">
        <v>-1.6299999999999999E-3</v>
      </c>
      <c r="Q795" s="2353">
        <v>8.8500000000000004E-4</v>
      </c>
      <c r="R795" s="2353">
        <v>0</v>
      </c>
      <c r="S795" s="2353">
        <v>1.38E-2</v>
      </c>
      <c r="T795" s="2353">
        <v>0</v>
      </c>
      <c r="U795" s="2057">
        <v>-6.9900000000000004E-2</v>
      </c>
    </row>
    <row r="796" spans="2:21" hidden="1" outlineLevel="1">
      <c r="B796" s="1045"/>
      <c r="C796" s="1045"/>
      <c r="D796" s="1051">
        <f t="shared" si="74"/>
        <v>22</v>
      </c>
      <c r="E796" s="1051" t="str">
        <f>IF(COUNTIF(E$599:E795,F796)&gt;0,"",F796)</f>
        <v/>
      </c>
      <c r="F796" s="1051" t="str">
        <f t="shared" si="75"/>
        <v>Biodiesel  - mix moyen (changement d'affectation des sols scénario maximum), France continentale, Base Carbone</v>
      </c>
      <c r="G796" s="1055" t="str">
        <f t="shared" si="76"/>
        <v>Biodiesel  - mix moyen (changement d'affectation des sols scénario maximum), France continentale, Base Carbone; kgCO2e/tep PCI, Amont</v>
      </c>
      <c r="I796" s="2351" t="s">
        <v>5161</v>
      </c>
      <c r="J796" s="2352" t="s">
        <v>1575</v>
      </c>
      <c r="K796" s="2352" t="s">
        <v>1567</v>
      </c>
      <c r="L796" s="2352" t="s">
        <v>1571</v>
      </c>
      <c r="M796" s="2355">
        <v>0.2</v>
      </c>
      <c r="N796" s="2352" t="s">
        <v>1570</v>
      </c>
      <c r="O796" s="2354">
        <v>548</v>
      </c>
      <c r="P796" s="2353">
        <v>-68.099999999999994</v>
      </c>
      <c r="Q796" s="2353">
        <v>37.1</v>
      </c>
      <c r="R796" s="2353">
        <v>0</v>
      </c>
      <c r="S796" s="2353">
        <v>579</v>
      </c>
      <c r="T796" s="2353">
        <v>0</v>
      </c>
      <c r="U796" s="2057">
        <v>-2920</v>
      </c>
    </row>
    <row r="797" spans="2:21" hidden="1" outlineLevel="1">
      <c r="B797" s="1045"/>
      <c r="C797" s="1045"/>
      <c r="D797" s="1051">
        <f t="shared" si="74"/>
        <v>22</v>
      </c>
      <c r="E797" s="1051" t="str">
        <f>IF(COUNTIF(E$599:E796,F797)&gt;0,"",F797)</f>
        <v/>
      </c>
      <c r="F797" s="1051" t="str">
        <f t="shared" si="75"/>
        <v>Biodiesel  - mix moyen (changement d'affectation des sols scénario maximum), France continentale, Base Carbone</v>
      </c>
      <c r="G797" s="1055" t="str">
        <f t="shared" si="76"/>
        <v>Biodiesel  - mix moyen (changement d'affectation des sols scénario maximum), France continentale, Base Carbone; kgCO2e/tonne, Amont</v>
      </c>
      <c r="I797" s="2351" t="s">
        <v>5161</v>
      </c>
      <c r="J797" s="2352" t="s">
        <v>1585</v>
      </c>
      <c r="K797" s="2352" t="s">
        <v>1567</v>
      </c>
      <c r="L797" s="2352" t="s">
        <v>1571</v>
      </c>
      <c r="M797" s="2355">
        <v>0.2</v>
      </c>
      <c r="N797" s="2352" t="s">
        <v>1570</v>
      </c>
      <c r="O797" s="2354">
        <v>486</v>
      </c>
      <c r="P797" s="2353">
        <v>-60.5</v>
      </c>
      <c r="Q797" s="2353">
        <v>32.9</v>
      </c>
      <c r="R797" s="2353">
        <v>0</v>
      </c>
      <c r="S797" s="2353">
        <v>514</v>
      </c>
      <c r="T797" s="2353">
        <v>0</v>
      </c>
      <c r="U797" s="2057">
        <v>-2600</v>
      </c>
    </row>
    <row r="798" spans="2:21" hidden="1" outlineLevel="1">
      <c r="B798" s="1045"/>
      <c r="C798" s="1045"/>
      <c r="D798" s="1051">
        <f t="shared" si="74"/>
        <v>23</v>
      </c>
      <c r="E798" s="1051" t="str">
        <f>IF(COUNTIF(E$599:E797,F798)&gt;0,"",F798)</f>
        <v>Biodiesel - mix moyen (sans changement d'affectation des sols), France continentale, Base Carbone</v>
      </c>
      <c r="F798" s="1051" t="str">
        <f t="shared" si="75"/>
        <v>Biodiesel - mix moyen (sans changement d'affectation des sols), France continentale, Base Carbone</v>
      </c>
      <c r="G798" s="1055" t="str">
        <f t="shared" si="76"/>
        <v>Biodiesel - mix moyen (sans changement d'affectation des sols), France continentale, Base Carbone; kgCO2e/kWh PCI, Amont</v>
      </c>
      <c r="I798" s="1100" t="s">
        <v>4733</v>
      </c>
      <c r="J798" s="1048" t="s">
        <v>1573</v>
      </c>
      <c r="K798" s="1048" t="s">
        <v>1567</v>
      </c>
      <c r="L798" s="1048" t="s">
        <v>1571</v>
      </c>
      <c r="M798" s="1033">
        <v>0.2</v>
      </c>
      <c r="N798" s="1048" t="s">
        <v>1570</v>
      </c>
      <c r="O798" s="1036">
        <v>0.11</v>
      </c>
      <c r="P798" s="1036">
        <v>5.6899999999999999E-2</v>
      </c>
      <c r="Q798" s="1036">
        <v>3.1900000000000001E-3</v>
      </c>
      <c r="R798" s="1036">
        <v>0</v>
      </c>
      <c r="S798" s="1036">
        <v>4.9799999999999997E-2</v>
      </c>
      <c r="T798" s="1036">
        <v>0</v>
      </c>
      <c r="U798" s="1037">
        <v>-0.252</v>
      </c>
    </row>
    <row r="799" spans="2:21" hidden="1" outlineLevel="1">
      <c r="B799" s="1045"/>
      <c r="C799" s="1045"/>
      <c r="D799" s="1051">
        <f t="shared" si="74"/>
        <v>23</v>
      </c>
      <c r="E799" s="1051" t="str">
        <f>IF(COUNTIF(E$599:E798,F799)&gt;0,"",F799)</f>
        <v/>
      </c>
      <c r="F799" s="1051" t="str">
        <f t="shared" si="75"/>
        <v>Biodiesel - mix moyen (sans changement d'affectation des sols), France continentale, Base Carbone</v>
      </c>
      <c r="G799" s="1055" t="str">
        <f t="shared" si="76"/>
        <v>Biodiesel - mix moyen (sans changement d'affectation des sols), France continentale, Base Carbone; kgCO2e/litre, Amont</v>
      </c>
      <c r="I799" s="1100" t="s">
        <v>4733</v>
      </c>
      <c r="J799" s="1048" t="s">
        <v>1574</v>
      </c>
      <c r="K799" s="1048" t="s">
        <v>1567</v>
      </c>
      <c r="L799" s="1048" t="s">
        <v>1571</v>
      </c>
      <c r="M799" s="1033">
        <v>0.2</v>
      </c>
      <c r="N799" s="1048" t="s">
        <v>1570</v>
      </c>
      <c r="O799" s="1036">
        <v>1.01</v>
      </c>
      <c r="P799" s="1036">
        <v>0.52400000000000002</v>
      </c>
      <c r="Q799" s="1036">
        <v>2.93E-2</v>
      </c>
      <c r="R799" s="1036">
        <v>0</v>
      </c>
      <c r="S799" s="1036">
        <v>0.45800000000000002</v>
      </c>
      <c r="T799" s="1036">
        <v>0</v>
      </c>
      <c r="U799" s="1037">
        <v>-2.31</v>
      </c>
    </row>
    <row r="800" spans="2:21" hidden="1" outlineLevel="1">
      <c r="B800" s="1045"/>
      <c r="C800" s="1045"/>
      <c r="D800" s="1051">
        <f t="shared" si="74"/>
        <v>23</v>
      </c>
      <c r="E800" s="1051" t="str">
        <f>IF(COUNTIF(E$599:E799,F800)&gt;0,"",F800)</f>
        <v/>
      </c>
      <c r="F800" s="1051" t="str">
        <f t="shared" si="75"/>
        <v>Biodiesel - mix moyen (sans changement d'affectation des sols), France continentale, Base Carbone</v>
      </c>
      <c r="G800" s="1055" t="str">
        <f t="shared" si="76"/>
        <v>Biodiesel - mix moyen (sans changement d'affectation des sols), France continentale, Base Carbone; kgCO2e/MJ PCI, Amont</v>
      </c>
      <c r="I800" s="1100" t="s">
        <v>4733</v>
      </c>
      <c r="J800" s="1048" t="s">
        <v>1661</v>
      </c>
      <c r="K800" s="1048" t="s">
        <v>1567</v>
      </c>
      <c r="L800" s="1048" t="s">
        <v>1571</v>
      </c>
      <c r="M800" s="1033">
        <v>0.2</v>
      </c>
      <c r="N800" s="1048" t="s">
        <v>1570</v>
      </c>
      <c r="O800" s="1036">
        <v>3.0499999999999999E-2</v>
      </c>
      <c r="P800" s="1036">
        <v>1.5800000000000002E-2</v>
      </c>
      <c r="Q800" s="1036">
        <v>8.8500000000000004E-4</v>
      </c>
      <c r="R800" s="1036">
        <v>0</v>
      </c>
      <c r="S800" s="1036">
        <v>1.38E-2</v>
      </c>
      <c r="T800" s="1036">
        <v>0</v>
      </c>
      <c r="U800" s="1037">
        <v>-6.9900000000000004E-2</v>
      </c>
    </row>
    <row r="801" spans="2:21" hidden="1" outlineLevel="1">
      <c r="B801" s="1045"/>
      <c r="C801" s="1045"/>
      <c r="D801" s="1051">
        <f t="shared" si="74"/>
        <v>23</v>
      </c>
      <c r="E801" s="1051" t="str">
        <f>IF(COUNTIF(E$599:E800,F801)&gt;0,"",F801)</f>
        <v/>
      </c>
      <c r="F801" s="1051" t="str">
        <f t="shared" si="75"/>
        <v>Biodiesel - mix moyen (sans changement d'affectation des sols), France continentale, Base Carbone</v>
      </c>
      <c r="G801" s="1055" t="str">
        <f t="shared" si="76"/>
        <v>Biodiesel - mix moyen (sans changement d'affectation des sols), France continentale, Base Carbone; kgCO2e/tep PCI, Amont</v>
      </c>
      <c r="I801" s="1100" t="s">
        <v>4733</v>
      </c>
      <c r="J801" s="1048" t="s">
        <v>1575</v>
      </c>
      <c r="K801" s="1048" t="s">
        <v>1567</v>
      </c>
      <c r="L801" s="1048" t="s">
        <v>1571</v>
      </c>
      <c r="M801" s="1033">
        <v>0.2</v>
      </c>
      <c r="N801" s="1048" t="s">
        <v>1570</v>
      </c>
      <c r="O801" s="1036">
        <v>1280</v>
      </c>
      <c r="P801" s="1036">
        <v>662</v>
      </c>
      <c r="Q801" s="1036">
        <v>37.1</v>
      </c>
      <c r="R801" s="1036">
        <v>0</v>
      </c>
      <c r="S801" s="1036">
        <v>579</v>
      </c>
      <c r="T801" s="1036">
        <v>0</v>
      </c>
      <c r="U801" s="1037">
        <v>-2920</v>
      </c>
    </row>
    <row r="802" spans="2:21" hidden="1" outlineLevel="1">
      <c r="B802" s="1045"/>
      <c r="C802" s="1045"/>
      <c r="D802" s="1051">
        <f t="shared" si="74"/>
        <v>23</v>
      </c>
      <c r="E802" s="1051" t="str">
        <f>IF(COUNTIF(E$599:E801,F802)&gt;0,"",F802)</f>
        <v/>
      </c>
      <c r="F802" s="1051" t="str">
        <f t="shared" si="75"/>
        <v>Biodiesel - mix moyen (sans changement d'affectation des sols), France continentale, Base Carbone</v>
      </c>
      <c r="G802" s="1055" t="str">
        <f t="shared" si="76"/>
        <v>Biodiesel - mix moyen (sans changement d'affectation des sols), France continentale, Base Carbone; kgCO2e/tonne, Amont</v>
      </c>
      <c r="I802" s="1100" t="s">
        <v>4733</v>
      </c>
      <c r="J802" s="1048" t="s">
        <v>1585</v>
      </c>
      <c r="K802" s="1048" t="s">
        <v>1567</v>
      </c>
      <c r="L802" s="1048" t="s">
        <v>1571</v>
      </c>
      <c r="M802" s="1033">
        <v>0.2</v>
      </c>
      <c r="N802" s="1048" t="s">
        <v>1570</v>
      </c>
      <c r="O802" s="1036">
        <v>1130</v>
      </c>
      <c r="P802" s="1036">
        <v>588</v>
      </c>
      <c r="Q802" s="1036">
        <v>32.9</v>
      </c>
      <c r="R802" s="1036">
        <v>0</v>
      </c>
      <c r="S802" s="1036">
        <v>514</v>
      </c>
      <c r="T802" s="1036">
        <v>0</v>
      </c>
      <c r="U802" s="1037">
        <v>-2600</v>
      </c>
    </row>
    <row r="803" spans="2:21" hidden="1" outlineLevel="1">
      <c r="B803" s="1045"/>
      <c r="C803" s="1045"/>
      <c r="D803" s="1051">
        <f t="shared" si="74"/>
        <v>23</v>
      </c>
      <c r="E803" s="1051" t="str">
        <f>IF(COUNTIF(E$599:E802,F803)&gt;0,"",F803)</f>
        <v/>
      </c>
      <c r="F803" s="1051" t="str">
        <f t="shared" si="75"/>
        <v/>
      </c>
      <c r="G803" s="1055" t="str">
        <f t="shared" si="76"/>
        <v/>
      </c>
      <c r="I803" s="1100"/>
      <c r="J803" s="1048"/>
      <c r="K803" s="1048"/>
      <c r="L803" s="1048"/>
      <c r="M803" s="1033"/>
      <c r="N803" s="1048"/>
      <c r="O803" s="1036"/>
      <c r="P803" s="1036"/>
      <c r="Q803" s="1036"/>
      <c r="R803" s="1036"/>
      <c r="S803" s="1036"/>
      <c r="T803" s="1036"/>
      <c r="U803" s="1037"/>
    </row>
    <row r="804" spans="2:21" hidden="1" outlineLevel="1">
      <c r="B804" s="1045"/>
      <c r="C804" s="1045"/>
      <c r="D804" s="1051">
        <f t="shared" si="74"/>
        <v>24</v>
      </c>
      <c r="E804" s="1051" t="str">
        <f>IF(COUNTIF(E$599:E803,F804)&gt;0,"",F804)</f>
        <v>Bioéthanol (changement d'affectation des sols scénario maximum), France continentale, Base Carbone</v>
      </c>
      <c r="F804" s="1051" t="str">
        <f t="shared" si="75"/>
        <v>Bioéthanol (changement d'affectation des sols scénario maximum), France continentale, Base Carbone</v>
      </c>
      <c r="G804" s="1055" t="str">
        <f t="shared" si="76"/>
        <v>Bioéthanol (changement d'affectation des sols scénario maximum), France continentale, Base Carbone; kgCO2e/kWh PCI, Amont</v>
      </c>
      <c r="I804" s="1100" t="s">
        <v>1652</v>
      </c>
      <c r="J804" s="1048" t="s">
        <v>1573</v>
      </c>
      <c r="K804" s="1048" t="s">
        <v>1567</v>
      </c>
      <c r="L804" s="1048" t="s">
        <v>1571</v>
      </c>
      <c r="M804" s="1033">
        <v>0.2</v>
      </c>
      <c r="N804" s="1048" t="s">
        <v>1570</v>
      </c>
      <c r="O804" s="1036">
        <v>0.81499999999999995</v>
      </c>
      <c r="P804" s="1036">
        <v>0.77400000000000002</v>
      </c>
      <c r="Q804" s="1036">
        <v>5.2500000000000003E-3</v>
      </c>
      <c r="R804" s="1036">
        <v>0</v>
      </c>
      <c r="S804" s="1036">
        <v>3.6200000000000003E-2</v>
      </c>
      <c r="T804" s="1036">
        <v>0</v>
      </c>
      <c r="U804" s="1037">
        <v>-0.25800000000000001</v>
      </c>
    </row>
    <row r="805" spans="2:21" hidden="1" outlineLevel="1">
      <c r="B805" s="1045"/>
      <c r="C805" s="1045"/>
      <c r="D805" s="1051">
        <f t="shared" si="74"/>
        <v>24</v>
      </c>
      <c r="E805" s="1051" t="str">
        <f>IF(COUNTIF(E$599:E804,F805)&gt;0,"",F805)</f>
        <v/>
      </c>
      <c r="F805" s="1051" t="str">
        <f t="shared" si="75"/>
        <v>Bioéthanol (changement d'affectation des sols scénario maximum), France continentale, Base Carbone</v>
      </c>
      <c r="G805" s="1055" t="str">
        <f t="shared" si="76"/>
        <v>Bioéthanol (changement d'affectation des sols scénario maximum), France continentale, Base Carbone; kgCO2e/litre, Amont</v>
      </c>
      <c r="I805" s="1100" t="s">
        <v>1652</v>
      </c>
      <c r="J805" s="1048" t="s">
        <v>1574</v>
      </c>
      <c r="K805" s="1048" t="s">
        <v>1567</v>
      </c>
      <c r="L805" s="1048" t="s">
        <v>1571</v>
      </c>
      <c r="M805" s="1033">
        <v>0.2</v>
      </c>
      <c r="N805" s="1048" t="s">
        <v>1570</v>
      </c>
      <c r="O805" s="1036">
        <v>4.79</v>
      </c>
      <c r="P805" s="1036">
        <v>4.55</v>
      </c>
      <c r="Q805" s="1036">
        <v>3.09E-2</v>
      </c>
      <c r="R805" s="1036">
        <v>0</v>
      </c>
      <c r="S805" s="1036">
        <v>0.21299999999999999</v>
      </c>
      <c r="T805" s="1036">
        <v>0</v>
      </c>
      <c r="U805" s="1037">
        <v>-1.52</v>
      </c>
    </row>
    <row r="806" spans="2:21" hidden="1" outlineLevel="1">
      <c r="B806" s="1045"/>
      <c r="C806" s="1045"/>
      <c r="D806" s="1051">
        <f t="shared" si="74"/>
        <v>24</v>
      </c>
      <c r="E806" s="1051" t="str">
        <f>IF(COUNTIF(E$599:E805,F806)&gt;0,"",F806)</f>
        <v/>
      </c>
      <c r="F806" s="1051" t="str">
        <f t="shared" si="75"/>
        <v>Bioéthanol (changement d'affectation des sols scénario maximum), France continentale, Base Carbone</v>
      </c>
      <c r="G806" s="1055" t="str">
        <f t="shared" si="76"/>
        <v>Bioéthanol (changement d'affectation des sols scénario maximum), France continentale, Base Carbone; kgCO2e/MJ PCI, Amont</v>
      </c>
      <c r="I806" s="1100" t="s">
        <v>1652</v>
      </c>
      <c r="J806" s="1048" t="s">
        <v>1661</v>
      </c>
      <c r="K806" s="1048" t="s">
        <v>1567</v>
      </c>
      <c r="L806" s="1048" t="s">
        <v>1571</v>
      </c>
      <c r="M806" s="1033">
        <v>0.2</v>
      </c>
      <c r="N806" s="1048" t="s">
        <v>1570</v>
      </c>
      <c r="O806" s="1036">
        <v>0.22600000000000001</v>
      </c>
      <c r="P806" s="1036">
        <v>0.215</v>
      </c>
      <c r="Q806" s="1036">
        <v>1.4599999999999999E-3</v>
      </c>
      <c r="R806" s="1036">
        <v>0</v>
      </c>
      <c r="S806" s="1036">
        <v>0.01</v>
      </c>
      <c r="T806" s="1036">
        <v>0</v>
      </c>
      <c r="U806" s="1037">
        <v>-7.17E-2</v>
      </c>
    </row>
    <row r="807" spans="2:21" hidden="1" outlineLevel="1">
      <c r="B807" s="1045"/>
      <c r="C807" s="1045"/>
      <c r="D807" s="1051">
        <f t="shared" si="74"/>
        <v>24</v>
      </c>
      <c r="E807" s="1051" t="str">
        <f>IF(COUNTIF(E$599:E806,F807)&gt;0,"",F807)</f>
        <v/>
      </c>
      <c r="F807" s="1051" t="str">
        <f t="shared" si="75"/>
        <v>Bioéthanol (changement d'affectation des sols scénario maximum), France continentale, Base Carbone</v>
      </c>
      <c r="G807" s="1055" t="str">
        <f t="shared" si="76"/>
        <v>Bioéthanol (changement d'affectation des sols scénario maximum), France continentale, Base Carbone; kgCO2e/tep PCI, Amont</v>
      </c>
      <c r="I807" s="1100" t="s">
        <v>1652</v>
      </c>
      <c r="J807" s="1048" t="s">
        <v>1575</v>
      </c>
      <c r="K807" s="1048" t="s">
        <v>1567</v>
      </c>
      <c r="L807" s="1048" t="s">
        <v>1571</v>
      </c>
      <c r="M807" s="1033">
        <v>0.2</v>
      </c>
      <c r="N807" s="1048" t="s">
        <v>1570</v>
      </c>
      <c r="O807" s="1036">
        <v>9480</v>
      </c>
      <c r="P807" s="1036">
        <v>9000</v>
      </c>
      <c r="Q807" s="1036">
        <v>61</v>
      </c>
      <c r="R807" s="1036">
        <v>0</v>
      </c>
      <c r="S807" s="1036">
        <v>421</v>
      </c>
      <c r="T807" s="1036">
        <v>0</v>
      </c>
      <c r="U807" s="1037">
        <v>-3000</v>
      </c>
    </row>
    <row r="808" spans="2:21" hidden="1" outlineLevel="1">
      <c r="B808" s="1045"/>
      <c r="C808" s="1045"/>
      <c r="D808" s="1051">
        <f t="shared" si="74"/>
        <v>24</v>
      </c>
      <c r="E808" s="1051" t="str">
        <f>IF(COUNTIF(E$599:E807,F808)&gt;0,"",F808)</f>
        <v/>
      </c>
      <c r="F808" s="1051" t="str">
        <f t="shared" si="75"/>
        <v>Bioéthanol (changement d'affectation des sols scénario maximum), France continentale, Base Carbone</v>
      </c>
      <c r="G808" s="1055" t="str">
        <f t="shared" si="76"/>
        <v>Bioéthanol (changement d'affectation des sols scénario maximum), France continentale, Base Carbone; kgCO2e/tonne, Amont</v>
      </c>
      <c r="I808" s="1100" t="s">
        <v>1652</v>
      </c>
      <c r="J808" s="1048" t="s">
        <v>1585</v>
      </c>
      <c r="K808" s="1048" t="s">
        <v>1567</v>
      </c>
      <c r="L808" s="1048" t="s">
        <v>1571</v>
      </c>
      <c r="M808" s="1033">
        <v>0.2</v>
      </c>
      <c r="N808" s="1048" t="s">
        <v>1570</v>
      </c>
      <c r="O808" s="1036">
        <v>6070</v>
      </c>
      <c r="P808" s="1036">
        <v>5760</v>
      </c>
      <c r="Q808" s="1036">
        <v>39.1</v>
      </c>
      <c r="R808" s="1036">
        <v>0</v>
      </c>
      <c r="S808" s="1036">
        <v>269</v>
      </c>
      <c r="T808" s="1036">
        <v>0</v>
      </c>
      <c r="U808" s="1037">
        <v>-1920</v>
      </c>
    </row>
    <row r="809" spans="2:21" hidden="1" outlineLevel="1">
      <c r="B809" s="1045"/>
      <c r="C809" s="1045"/>
      <c r="D809" s="1051">
        <f t="shared" si="74"/>
        <v>25</v>
      </c>
      <c r="E809" s="1051" t="str">
        <f>IF(COUNTIF(E$599:E808,F809)&gt;0,"",F809)</f>
        <v>Bioéthanol (changement d'affectation des sols scénario optimiste), France continentale, Base Carbone</v>
      </c>
      <c r="F809" s="1051" t="str">
        <f t="shared" si="75"/>
        <v>Bioéthanol (changement d'affectation des sols scénario optimiste), France continentale, Base Carbone</v>
      </c>
      <c r="G809" s="1055" t="str">
        <f t="shared" si="76"/>
        <v>Bioéthanol (changement d'affectation des sols scénario optimiste), France continentale, Base Carbone; kgCO2e/kWh PCI, Amont</v>
      </c>
      <c r="I809" s="1100" t="s">
        <v>1653</v>
      </c>
      <c r="J809" s="1048" t="s">
        <v>1573</v>
      </c>
      <c r="K809" s="1048" t="s">
        <v>1567</v>
      </c>
      <c r="L809" s="1048" t="s">
        <v>1571</v>
      </c>
      <c r="M809" s="1033">
        <v>0.2</v>
      </c>
      <c r="N809" s="1048" t="s">
        <v>1570</v>
      </c>
      <c r="O809" s="1036">
        <v>0.121</v>
      </c>
      <c r="P809" s="1036">
        <v>7.9799999999999996E-2</v>
      </c>
      <c r="Q809" s="1036">
        <v>5.2500000000000003E-3</v>
      </c>
      <c r="R809" s="1036">
        <v>0</v>
      </c>
      <c r="S809" s="1036">
        <v>3.6200000000000003E-2</v>
      </c>
      <c r="T809" s="1036">
        <v>0</v>
      </c>
      <c r="U809" s="1037">
        <v>-0.25800000000000001</v>
      </c>
    </row>
    <row r="810" spans="2:21" hidden="1" outlineLevel="1">
      <c r="B810" s="1045"/>
      <c r="C810" s="1045"/>
      <c r="D810" s="1051">
        <f t="shared" si="74"/>
        <v>25</v>
      </c>
      <c r="E810" s="1051" t="str">
        <f>IF(COUNTIF(E$599:E809,F810)&gt;0,"",F810)</f>
        <v/>
      </c>
      <c r="F810" s="1051" t="str">
        <f t="shared" si="75"/>
        <v>Bioéthanol (changement d'affectation des sols scénario optimiste), France continentale, Base Carbone</v>
      </c>
      <c r="G810" s="1055" t="str">
        <f t="shared" si="76"/>
        <v>Bioéthanol (changement d'affectation des sols scénario optimiste), France continentale, Base Carbone; kgCO2e/litre, Amont</v>
      </c>
      <c r="I810" s="1100" t="s">
        <v>1653</v>
      </c>
      <c r="J810" s="1048" t="s">
        <v>1574</v>
      </c>
      <c r="K810" s="1048" t="s">
        <v>1567</v>
      </c>
      <c r="L810" s="1048" t="s">
        <v>1571</v>
      </c>
      <c r="M810" s="1033">
        <v>0.2</v>
      </c>
      <c r="N810" s="1048" t="s">
        <v>1570</v>
      </c>
      <c r="O810" s="1036">
        <v>0.71299999999999997</v>
      </c>
      <c r="P810" s="1036">
        <v>0.46899999999999997</v>
      </c>
      <c r="Q810" s="1036">
        <v>3.09E-2</v>
      </c>
      <c r="R810" s="1036">
        <v>0</v>
      </c>
      <c r="S810" s="1036">
        <v>0.21299999999999999</v>
      </c>
      <c r="T810" s="1036">
        <v>0</v>
      </c>
      <c r="U810" s="1037">
        <v>-1.52</v>
      </c>
    </row>
    <row r="811" spans="2:21" hidden="1" outlineLevel="1">
      <c r="B811" s="1045"/>
      <c r="C811" s="1045"/>
      <c r="D811" s="1051">
        <f t="shared" si="74"/>
        <v>25</v>
      </c>
      <c r="E811" s="1051" t="str">
        <f>IF(COUNTIF(E$599:E810,F811)&gt;0,"",F811)</f>
        <v/>
      </c>
      <c r="F811" s="1051" t="str">
        <f t="shared" si="75"/>
        <v>Bioéthanol (changement d'affectation des sols scénario optimiste), France continentale, Base Carbone</v>
      </c>
      <c r="G811" s="1055" t="str">
        <f t="shared" si="76"/>
        <v>Bioéthanol (changement d'affectation des sols scénario optimiste), France continentale, Base Carbone; kgCO2e/MJ PCI, Amont</v>
      </c>
      <c r="I811" s="1100" t="s">
        <v>1653</v>
      </c>
      <c r="J811" s="1048" t="s">
        <v>1661</v>
      </c>
      <c r="K811" s="1048" t="s">
        <v>1567</v>
      </c>
      <c r="L811" s="1048" t="s">
        <v>1571</v>
      </c>
      <c r="M811" s="1033">
        <v>0.2</v>
      </c>
      <c r="N811" s="1048" t="s">
        <v>1570</v>
      </c>
      <c r="O811" s="1036">
        <v>3.3700000000000001E-2</v>
      </c>
      <c r="P811" s="1036">
        <v>2.2200000000000001E-2</v>
      </c>
      <c r="Q811" s="1036">
        <v>1.4599999999999999E-3</v>
      </c>
      <c r="R811" s="1036">
        <v>0</v>
      </c>
      <c r="S811" s="1036">
        <v>0.01</v>
      </c>
      <c r="T811" s="1036">
        <v>0</v>
      </c>
      <c r="U811" s="1037">
        <v>-7.17E-2</v>
      </c>
    </row>
    <row r="812" spans="2:21" hidden="1" outlineLevel="1">
      <c r="B812" s="1045"/>
      <c r="C812" s="1045"/>
      <c r="D812" s="1051">
        <f t="shared" si="74"/>
        <v>25</v>
      </c>
      <c r="E812" s="1051" t="str">
        <f>IF(COUNTIF(E$599:E811,F812)&gt;0,"",F812)</f>
        <v/>
      </c>
      <c r="F812" s="1051" t="str">
        <f t="shared" si="75"/>
        <v>Bioéthanol (changement d'affectation des sols scénario optimiste), France continentale, Base Carbone</v>
      </c>
      <c r="G812" s="1055" t="str">
        <f t="shared" si="76"/>
        <v>Bioéthanol (changement d'affectation des sols scénario optimiste), France continentale, Base Carbone; kgCO2e/tep PCI, Amont</v>
      </c>
      <c r="I812" s="1100" t="s">
        <v>1653</v>
      </c>
      <c r="J812" s="1048" t="s">
        <v>1575</v>
      </c>
      <c r="K812" s="1048" t="s">
        <v>1567</v>
      </c>
      <c r="L812" s="1048" t="s">
        <v>1571</v>
      </c>
      <c r="M812" s="1033">
        <v>0.2</v>
      </c>
      <c r="N812" s="1048" t="s">
        <v>1570</v>
      </c>
      <c r="O812" s="1036">
        <v>1410</v>
      </c>
      <c r="P812" s="1036">
        <v>928</v>
      </c>
      <c r="Q812" s="1036">
        <v>61</v>
      </c>
      <c r="R812" s="1036">
        <v>0</v>
      </c>
      <c r="S812" s="1036">
        <v>421</v>
      </c>
      <c r="T812" s="1036">
        <v>0</v>
      </c>
      <c r="U812" s="1037">
        <v>-3000</v>
      </c>
    </row>
    <row r="813" spans="2:21" hidden="1" outlineLevel="1">
      <c r="B813" s="1045"/>
      <c r="C813" s="1045"/>
      <c r="D813" s="1051">
        <f t="shared" si="74"/>
        <v>25</v>
      </c>
      <c r="E813" s="1051" t="str">
        <f>IF(COUNTIF(E$599:E812,F813)&gt;0,"",F813)</f>
        <v/>
      </c>
      <c r="F813" s="1051" t="str">
        <f t="shared" si="75"/>
        <v>Bioéthanol (changement d'affectation des sols scénario optimiste), France continentale, Base Carbone</v>
      </c>
      <c r="G813" s="1055" t="str">
        <f t="shared" si="76"/>
        <v>Bioéthanol (changement d'affectation des sols scénario optimiste), France continentale, Base Carbone; kgCO2e/tonne, Amont</v>
      </c>
      <c r="I813" s="1100" t="s">
        <v>1653</v>
      </c>
      <c r="J813" s="1048" t="s">
        <v>1585</v>
      </c>
      <c r="K813" s="1048" t="s">
        <v>1567</v>
      </c>
      <c r="L813" s="1048" t="s">
        <v>1571</v>
      </c>
      <c r="M813" s="1033">
        <v>0.2</v>
      </c>
      <c r="N813" s="1048" t="s">
        <v>1570</v>
      </c>
      <c r="O813" s="1036">
        <v>902</v>
      </c>
      <c r="P813" s="1036">
        <v>594</v>
      </c>
      <c r="Q813" s="1036">
        <v>39.1</v>
      </c>
      <c r="R813" s="1036">
        <v>0</v>
      </c>
      <c r="S813" s="1036">
        <v>269</v>
      </c>
      <c r="T813" s="1036">
        <v>0</v>
      </c>
      <c r="U813" s="1037">
        <v>-1920</v>
      </c>
    </row>
    <row r="814" spans="2:21" hidden="1" outlineLevel="1">
      <c r="B814" s="1045"/>
      <c r="C814" s="1045"/>
      <c r="D814" s="1051">
        <f t="shared" si="74"/>
        <v>26</v>
      </c>
      <c r="E814" s="1051" t="str">
        <f>IF(COUNTIF(E$599:E813,F814)&gt;0,"",F814)</f>
        <v>Bioéthanol (sans changement d'affectation des sols), France continentale, Base Carbone</v>
      </c>
      <c r="F814" s="1051" t="str">
        <f t="shared" si="75"/>
        <v>Bioéthanol (sans changement d'affectation des sols), France continentale, Base Carbone</v>
      </c>
      <c r="G814" s="1055" t="str">
        <f t="shared" si="76"/>
        <v>Bioéthanol (sans changement d'affectation des sols), France continentale, Base Carbone; kgCO2e/kWh PCI, Amont</v>
      </c>
      <c r="I814" s="1100" t="s">
        <v>1654</v>
      </c>
      <c r="J814" s="1048" t="s">
        <v>1573</v>
      </c>
      <c r="K814" s="1048" t="s">
        <v>1567</v>
      </c>
      <c r="L814" s="1048" t="s">
        <v>1571</v>
      </c>
      <c r="M814" s="1033">
        <v>0.2</v>
      </c>
      <c r="N814" s="1048" t="s">
        <v>1570</v>
      </c>
      <c r="O814" s="1036">
        <v>0.14399999999999999</v>
      </c>
      <c r="P814" s="1036">
        <v>0.10299999999999999</v>
      </c>
      <c r="Q814" s="1036">
        <v>5.2500000000000003E-3</v>
      </c>
      <c r="R814" s="1036">
        <v>0</v>
      </c>
      <c r="S814" s="1036">
        <v>3.6200000000000003E-2</v>
      </c>
      <c r="T814" s="1036">
        <v>0</v>
      </c>
      <c r="U814" s="1037">
        <v>-0.25800000000000001</v>
      </c>
    </row>
    <row r="815" spans="2:21" hidden="1" outlineLevel="1">
      <c r="B815" s="1045"/>
      <c r="C815" s="1045"/>
      <c r="D815" s="1051">
        <f t="shared" si="74"/>
        <v>26</v>
      </c>
      <c r="E815" s="1051" t="str">
        <f>IF(COUNTIF(E$599:E814,F815)&gt;0,"",F815)</f>
        <v/>
      </c>
      <c r="F815" s="1051" t="str">
        <f t="shared" si="75"/>
        <v>Bioéthanol (sans changement d'affectation des sols), France continentale, Base Carbone</v>
      </c>
      <c r="G815" s="1055" t="str">
        <f t="shared" si="76"/>
        <v>Bioéthanol (sans changement d'affectation des sols), France continentale, Base Carbone; kgCO2e/litre, Amont</v>
      </c>
      <c r="I815" s="1100" t="s">
        <v>1654</v>
      </c>
      <c r="J815" s="1048" t="s">
        <v>1574</v>
      </c>
      <c r="K815" s="1048" t="s">
        <v>1567</v>
      </c>
      <c r="L815" s="1048" t="s">
        <v>1571</v>
      </c>
      <c r="M815" s="1033">
        <v>0.2</v>
      </c>
      <c r="N815" s="1048" t="s">
        <v>1570</v>
      </c>
      <c r="O815" s="1036">
        <v>0.84799999999999998</v>
      </c>
      <c r="P815" s="1036">
        <v>0.60399999999999998</v>
      </c>
      <c r="Q815" s="1036">
        <v>3.09E-2</v>
      </c>
      <c r="R815" s="1036">
        <v>0</v>
      </c>
      <c r="S815" s="1036">
        <v>0.21299999999999999</v>
      </c>
      <c r="T815" s="1036">
        <v>0</v>
      </c>
      <c r="U815" s="1037">
        <v>-1.52</v>
      </c>
    </row>
    <row r="816" spans="2:21" hidden="1" outlineLevel="1">
      <c r="B816" s="1045"/>
      <c r="C816" s="1045"/>
      <c r="D816" s="1051">
        <f t="shared" si="74"/>
        <v>26</v>
      </c>
      <c r="E816" s="1051" t="str">
        <f>IF(COUNTIF(E$599:E815,F816)&gt;0,"",F816)</f>
        <v/>
      </c>
      <c r="F816" s="1051" t="str">
        <f t="shared" si="75"/>
        <v>Bioéthanol (sans changement d'affectation des sols), France continentale, Base Carbone</v>
      </c>
      <c r="G816" s="1055" t="str">
        <f t="shared" si="76"/>
        <v>Bioéthanol (sans changement d'affectation des sols), France continentale, Base Carbone; kgCO2e/MJ PCI, Amont</v>
      </c>
      <c r="I816" s="1100" t="s">
        <v>1654</v>
      </c>
      <c r="J816" s="1048" t="s">
        <v>1661</v>
      </c>
      <c r="K816" s="1048" t="s">
        <v>1567</v>
      </c>
      <c r="L816" s="1048" t="s">
        <v>1571</v>
      </c>
      <c r="M816" s="1033">
        <v>0.2</v>
      </c>
      <c r="N816" s="1048" t="s">
        <v>1570</v>
      </c>
      <c r="O816" s="1036">
        <v>0.04</v>
      </c>
      <c r="P816" s="1036">
        <v>2.8500000000000001E-2</v>
      </c>
      <c r="Q816" s="1036">
        <v>1.4599999999999999E-3</v>
      </c>
      <c r="R816" s="1036">
        <v>0</v>
      </c>
      <c r="S816" s="1036">
        <v>0.01</v>
      </c>
      <c r="T816" s="1036">
        <v>0</v>
      </c>
      <c r="U816" s="1037">
        <v>-7.17E-2</v>
      </c>
    </row>
    <row r="817" spans="2:21" hidden="1" outlineLevel="1">
      <c r="B817" s="1045"/>
      <c r="C817" s="1045"/>
      <c r="D817" s="1051">
        <f t="shared" si="74"/>
        <v>26</v>
      </c>
      <c r="E817" s="1051" t="str">
        <f>IF(COUNTIF(E$599:E816,F817)&gt;0,"",F817)</f>
        <v/>
      </c>
      <c r="F817" s="1051" t="str">
        <f t="shared" si="75"/>
        <v>Bioéthanol (sans changement d'affectation des sols), France continentale, Base Carbone</v>
      </c>
      <c r="G817" s="1055" t="str">
        <f t="shared" si="76"/>
        <v>Bioéthanol (sans changement d'affectation des sols), France continentale, Base Carbone; kgCO2e/tep PCI, Amont</v>
      </c>
      <c r="I817" s="1100" t="s">
        <v>1654</v>
      </c>
      <c r="J817" s="1048" t="s">
        <v>1575</v>
      </c>
      <c r="K817" s="1048" t="s">
        <v>1567</v>
      </c>
      <c r="L817" s="1048" t="s">
        <v>1571</v>
      </c>
      <c r="M817" s="1033">
        <v>0.2</v>
      </c>
      <c r="N817" s="1048" t="s">
        <v>1570</v>
      </c>
      <c r="O817" s="1036">
        <v>1670</v>
      </c>
      <c r="P817" s="1036">
        <v>1190</v>
      </c>
      <c r="Q817" s="1036">
        <v>61</v>
      </c>
      <c r="R817" s="1036">
        <v>0</v>
      </c>
      <c r="S817" s="1036">
        <v>421</v>
      </c>
      <c r="T817" s="1036">
        <v>0</v>
      </c>
      <c r="U817" s="1037">
        <v>-3000</v>
      </c>
    </row>
    <row r="818" spans="2:21" hidden="1" outlineLevel="1">
      <c r="B818" s="1045"/>
      <c r="C818" s="1045"/>
      <c r="D818" s="1051">
        <f t="shared" si="74"/>
        <v>26</v>
      </c>
      <c r="E818" s="1051" t="str">
        <f>IF(COUNTIF(E$599:E817,F818)&gt;0,"",F818)</f>
        <v/>
      </c>
      <c r="F818" s="1051" t="str">
        <f t="shared" si="75"/>
        <v>Bioéthanol (sans changement d'affectation des sols), France continentale, Base Carbone</v>
      </c>
      <c r="G818" s="1055" t="str">
        <f t="shared" si="76"/>
        <v>Bioéthanol (sans changement d'affectation des sols), France continentale, Base Carbone; kgCO2e/tonne, Amont</v>
      </c>
      <c r="I818" s="1100" t="s">
        <v>1654</v>
      </c>
      <c r="J818" s="1048" t="s">
        <v>1585</v>
      </c>
      <c r="K818" s="1048" t="s">
        <v>1567</v>
      </c>
      <c r="L818" s="1048" t="s">
        <v>1571</v>
      </c>
      <c r="M818" s="1033">
        <v>0.2</v>
      </c>
      <c r="N818" s="1048" t="s">
        <v>1570</v>
      </c>
      <c r="O818" s="1036">
        <v>1070</v>
      </c>
      <c r="P818" s="1036">
        <v>765</v>
      </c>
      <c r="Q818" s="1036">
        <v>39.1</v>
      </c>
      <c r="R818" s="1036">
        <v>0</v>
      </c>
      <c r="S818" s="1036">
        <v>269</v>
      </c>
      <c r="T818" s="1036">
        <v>0</v>
      </c>
      <c r="U818" s="1037">
        <v>-1920</v>
      </c>
    </row>
    <row r="819" spans="2:21" hidden="1" outlineLevel="1">
      <c r="B819" s="1045"/>
      <c r="C819" s="1045"/>
      <c r="D819" s="1051">
        <f t="shared" si="74"/>
        <v>26</v>
      </c>
      <c r="E819" s="1051" t="str">
        <f>IF(COUNTIF(E$599:E818,F819)&gt;0,"",F819)</f>
        <v/>
      </c>
      <c r="F819" s="1051" t="str">
        <f t="shared" si="75"/>
        <v/>
      </c>
      <c r="G819" s="1055" t="str">
        <f t="shared" si="76"/>
        <v/>
      </c>
      <c r="I819" s="1100"/>
      <c r="J819" s="1048"/>
      <c r="K819" s="1048"/>
      <c r="L819" s="1048"/>
      <c r="M819" s="1033"/>
      <c r="N819" s="1048"/>
      <c r="O819" s="1036"/>
      <c r="P819" s="1036"/>
      <c r="Q819" s="1036"/>
      <c r="R819" s="1036"/>
      <c r="S819" s="1036"/>
      <c r="T819" s="1036"/>
      <c r="U819" s="1037"/>
    </row>
    <row r="820" spans="2:21" hidden="1" outlineLevel="1">
      <c r="B820" s="1045"/>
      <c r="C820" s="1045"/>
      <c r="D820" s="1051">
        <f t="shared" si="74"/>
        <v>27</v>
      </c>
      <c r="E820" s="1051" t="str">
        <f>IF(COUNTIF(E$599:E819,F820)&gt;0,"",F820)</f>
        <v>Biométhane - injecté dans les réseau - mix moyen, France continentale, Base Carbone</v>
      </c>
      <c r="F820" s="1051" t="str">
        <f t="shared" si="75"/>
        <v>Biométhane - injecté dans les réseau - mix moyen, France continentale, Base Carbone</v>
      </c>
      <c r="G820" s="1055" t="str">
        <f t="shared" si="76"/>
        <v>Biométhane - injecté dans les réseau - mix moyen, France continentale, Base Carbone; kgCO2e/kWh PCI, Amont</v>
      </c>
      <c r="I820" s="1034" t="s">
        <v>3995</v>
      </c>
      <c r="J820" s="2219" t="s">
        <v>1573</v>
      </c>
      <c r="K820" s="1119" t="s">
        <v>1567</v>
      </c>
      <c r="L820" s="1119" t="s">
        <v>1571</v>
      </c>
      <c r="M820" s="1033">
        <v>0.2</v>
      </c>
      <c r="N820" s="1119" t="s">
        <v>1570</v>
      </c>
      <c r="O820" s="1036">
        <v>4.2799999999999998E-2</v>
      </c>
      <c r="P820" s="2579">
        <v>1.9E-2</v>
      </c>
      <c r="Q820" s="2579">
        <v>0</v>
      </c>
      <c r="R820" s="2579">
        <v>2.18E-2</v>
      </c>
      <c r="S820" s="2579">
        <v>2E-3</v>
      </c>
      <c r="T820" s="2579">
        <v>0</v>
      </c>
      <c r="U820" s="2177">
        <v>0</v>
      </c>
    </row>
    <row r="821" spans="2:21" hidden="1" outlineLevel="1">
      <c r="B821" s="1045"/>
      <c r="C821" s="1045"/>
      <c r="D821" s="1051">
        <f t="shared" si="74"/>
        <v>27</v>
      </c>
      <c r="E821" s="1051" t="str">
        <f>IF(COUNTIF(E$599:E820,F821)&gt;0,"",F821)</f>
        <v/>
      </c>
      <c r="F821" s="1051" t="str">
        <f t="shared" si="75"/>
        <v>Biométhane - injecté dans les réseau - mix moyen, France continentale, Base Carbone</v>
      </c>
      <c r="G821" s="1055" t="str">
        <f t="shared" si="76"/>
        <v>Biométhane - injecté dans les réseau - mix moyen, France continentale, Base Carbone; kgCO2e/kWh PCI, Combustion</v>
      </c>
      <c r="I821" s="1034" t="s">
        <v>3995</v>
      </c>
      <c r="J821" s="2219" t="s">
        <v>1573</v>
      </c>
      <c r="K821" s="1119" t="s">
        <v>1567</v>
      </c>
      <c r="L821" s="1119" t="s">
        <v>1571</v>
      </c>
      <c r="M821" s="1033">
        <v>0.2</v>
      </c>
      <c r="N821" s="1119" t="s">
        <v>1569</v>
      </c>
      <c r="O821" s="1036">
        <v>1.56E-3</v>
      </c>
      <c r="P821" s="2579">
        <v>0</v>
      </c>
      <c r="Q821" s="2579">
        <v>0</v>
      </c>
      <c r="R821" s="2579">
        <v>5.5999999999999995E-4</v>
      </c>
      <c r="S821" s="2579">
        <v>9.990000000000001E-4</v>
      </c>
      <c r="T821" s="2579">
        <v>0</v>
      </c>
      <c r="U821" s="2177">
        <v>0</v>
      </c>
    </row>
    <row r="822" spans="2:21" hidden="1" outlineLevel="1">
      <c r="B822" s="1045"/>
      <c r="C822" s="1045"/>
      <c r="D822" s="1051">
        <f t="shared" si="74"/>
        <v>27</v>
      </c>
      <c r="E822" s="1051" t="str">
        <f>IF(COUNTIF(E$599:E821,F822)&gt;0,"",F822)</f>
        <v/>
      </c>
      <c r="F822" s="1051" t="str">
        <f t="shared" si="75"/>
        <v>Biométhane - injecté dans les réseau - mix moyen, France continentale, Base Carbone</v>
      </c>
      <c r="G822" s="1055" t="str">
        <f t="shared" si="76"/>
        <v>Biométhane - injecté dans les réseau - mix moyen, France continentale, Base Carbone; kgCO2e/kWh PCS, Amont</v>
      </c>
      <c r="I822" s="1034" t="s">
        <v>3995</v>
      </c>
      <c r="J822" s="2219" t="s">
        <v>1578</v>
      </c>
      <c r="K822" s="1119" t="s">
        <v>1567</v>
      </c>
      <c r="L822" s="1119" t="s">
        <v>1571</v>
      </c>
      <c r="M822" s="1033">
        <v>0.2</v>
      </c>
      <c r="N822" s="1119" t="s">
        <v>1570</v>
      </c>
      <c r="O822" s="1036">
        <v>3.85E-2</v>
      </c>
      <c r="P822" s="2579">
        <v>1.7000000000000001E-2</v>
      </c>
      <c r="Q822" s="2579">
        <v>0</v>
      </c>
      <c r="R822" s="2579">
        <v>1.9599999999999999E-2</v>
      </c>
      <c r="S822" s="2579">
        <v>1.8600000000000001E-3</v>
      </c>
      <c r="T822" s="2579">
        <v>0</v>
      </c>
      <c r="U822" s="2177">
        <v>0</v>
      </c>
    </row>
    <row r="823" spans="2:21" hidden="1" outlineLevel="1">
      <c r="B823" s="1045"/>
      <c r="C823" s="1045"/>
      <c r="D823" s="1051">
        <f t="shared" si="74"/>
        <v>27</v>
      </c>
      <c r="E823" s="1051" t="str">
        <f>IF(COUNTIF(E$599:E822,F823)&gt;0,"",F823)</f>
        <v/>
      </c>
      <c r="F823" s="1051" t="str">
        <f t="shared" si="75"/>
        <v>Biométhane - injecté dans les réseau - mix moyen, France continentale, Base Carbone</v>
      </c>
      <c r="G823" s="1055" t="str">
        <f t="shared" si="76"/>
        <v>Biométhane - injecté dans les réseau - mix moyen, France continentale, Base Carbone; kgCO2e/kWh PCS, Combustion</v>
      </c>
      <c r="I823" s="1034" t="s">
        <v>3995</v>
      </c>
      <c r="J823" s="2219" t="s">
        <v>1578</v>
      </c>
      <c r="K823" s="1119" t="s">
        <v>1567</v>
      </c>
      <c r="L823" s="1119" t="s">
        <v>1571</v>
      </c>
      <c r="M823" s="1033">
        <v>0.2</v>
      </c>
      <c r="N823" s="1119" t="s">
        <v>1569</v>
      </c>
      <c r="O823" s="1036">
        <v>1.08E-3</v>
      </c>
      <c r="P823" s="2579">
        <v>0</v>
      </c>
      <c r="Q823" s="2579">
        <v>0</v>
      </c>
      <c r="R823" s="2579">
        <v>2.7999999999999998E-4</v>
      </c>
      <c r="S823" s="2579">
        <v>7.9500000000000003E-4</v>
      </c>
      <c r="T823" s="2579">
        <v>0</v>
      </c>
      <c r="U823" s="2177">
        <v>0</v>
      </c>
    </row>
    <row r="824" spans="2:21" hidden="1" outlineLevel="1">
      <c r="B824" s="1045"/>
      <c r="C824" s="1045"/>
      <c r="D824" s="1051">
        <f t="shared" si="74"/>
        <v>27</v>
      </c>
      <c r="E824" s="1051" t="str">
        <f>IF(COUNTIF(E$599:E823,F824)&gt;0,"",F824)</f>
        <v/>
      </c>
      <c r="F824" s="1051" t="str">
        <f t="shared" si="75"/>
        <v>Biométhane - injecté dans les réseau - mix moyen, France continentale, Base Carbone</v>
      </c>
      <c r="G824" s="1055" t="str">
        <f t="shared" si="76"/>
        <v>Biométhane - injecté dans les réseau - mix moyen, France continentale, Base Carbone; kgCO2e/GJ PCI, Amont</v>
      </c>
      <c r="I824" s="1034" t="s">
        <v>3995</v>
      </c>
      <c r="J824" s="2219" t="s">
        <v>1566</v>
      </c>
      <c r="K824" s="1119" t="s">
        <v>1567</v>
      </c>
      <c r="L824" s="1119" t="s">
        <v>1571</v>
      </c>
      <c r="M824" s="1033">
        <v>0.2</v>
      </c>
      <c r="N824" s="1119" t="s">
        <v>1570</v>
      </c>
      <c r="O824" s="1036">
        <v>11.9</v>
      </c>
      <c r="P824" s="2579">
        <v>5.28</v>
      </c>
      <c r="Q824" s="2579">
        <v>0</v>
      </c>
      <c r="R824" s="2579">
        <v>6.05</v>
      </c>
      <c r="S824" s="2579">
        <v>0.53</v>
      </c>
      <c r="T824" s="2579">
        <v>0</v>
      </c>
      <c r="U824" s="2177">
        <v>0</v>
      </c>
    </row>
    <row r="825" spans="2:21" hidden="1" outlineLevel="1">
      <c r="B825" s="1045"/>
      <c r="C825" s="1045"/>
      <c r="D825" s="1051">
        <f t="shared" si="74"/>
        <v>27</v>
      </c>
      <c r="E825" s="1051" t="str">
        <f>IF(COUNTIF(E$599:E824,F825)&gt;0,"",F825)</f>
        <v/>
      </c>
      <c r="F825" s="1051" t="str">
        <f t="shared" si="75"/>
        <v>Biométhane - injecté dans les réseau - mix moyen, France continentale, Base Carbone</v>
      </c>
      <c r="G825" s="1055" t="str">
        <f t="shared" si="76"/>
        <v>Biométhane - injecté dans les réseau - mix moyen, France continentale, Base Carbone; kgCO2e/GJ PCI, Combustion</v>
      </c>
      <c r="I825" s="1034" t="s">
        <v>3995</v>
      </c>
      <c r="J825" s="2219" t="s">
        <v>1566</v>
      </c>
      <c r="K825" s="1119" t="s">
        <v>1567</v>
      </c>
      <c r="L825" s="1119" t="s">
        <v>1571</v>
      </c>
      <c r="M825" s="1033">
        <v>0.2</v>
      </c>
      <c r="N825" s="1119" t="s">
        <v>1569</v>
      </c>
      <c r="O825" s="1036">
        <v>0.40500000000000003</v>
      </c>
      <c r="P825" s="2579">
        <v>0</v>
      </c>
      <c r="Q825" s="2579">
        <v>0</v>
      </c>
      <c r="R825" s="2579">
        <v>0.14000000000000001</v>
      </c>
      <c r="S825" s="2579">
        <v>0.26500000000000001</v>
      </c>
      <c r="T825" s="2579">
        <v>0</v>
      </c>
      <c r="U825" s="2177">
        <v>0</v>
      </c>
    </row>
    <row r="826" spans="2:21" hidden="1" outlineLevel="1">
      <c r="B826" s="1045"/>
      <c r="C826" s="1045"/>
      <c r="D826" s="1051">
        <f t="shared" si="74"/>
        <v>27</v>
      </c>
      <c r="E826" s="1051" t="str">
        <f>IF(COUNTIF(E$599:E825,F826)&gt;0,"",F826)</f>
        <v/>
      </c>
      <c r="F826" s="1051" t="str">
        <f t="shared" si="75"/>
        <v>Biométhane - injecté dans les réseau - mix moyen, France continentale, Base Carbone</v>
      </c>
      <c r="G826" s="1055" t="str">
        <f t="shared" si="76"/>
        <v>Biométhane - injecté dans les réseau - mix moyen, France continentale, Base Carbone; kgCO2e/GJ PCS, Amont</v>
      </c>
      <c r="I826" s="1034" t="s">
        <v>3995</v>
      </c>
      <c r="J826" s="2219" t="s">
        <v>1576</v>
      </c>
      <c r="K826" s="1119" t="s">
        <v>1567</v>
      </c>
      <c r="L826" s="1119" t="s">
        <v>1571</v>
      </c>
      <c r="M826" s="1033">
        <v>0.2</v>
      </c>
      <c r="N826" s="1119" t="s">
        <v>1570</v>
      </c>
      <c r="O826" s="1036">
        <v>10.7</v>
      </c>
      <c r="P826" s="2579">
        <v>4.75</v>
      </c>
      <c r="Q826" s="2579">
        <v>0</v>
      </c>
      <c r="R826" s="2579">
        <v>5.46</v>
      </c>
      <c r="S826" s="2579">
        <v>0.53</v>
      </c>
      <c r="T826" s="2579">
        <v>0</v>
      </c>
      <c r="U826" s="2177">
        <v>0</v>
      </c>
    </row>
    <row r="827" spans="2:21" hidden="1" outlineLevel="1">
      <c r="B827" s="1045"/>
      <c r="C827" s="1045"/>
      <c r="D827" s="1051">
        <f t="shared" si="74"/>
        <v>27</v>
      </c>
      <c r="E827" s="1051" t="str">
        <f>IF(COUNTIF(E$599:E826,F827)&gt;0,"",F827)</f>
        <v/>
      </c>
      <c r="F827" s="1051" t="str">
        <f t="shared" si="75"/>
        <v>Biométhane - injecté dans les réseau - mix moyen, France continentale, Base Carbone</v>
      </c>
      <c r="G827" s="1055" t="str">
        <f t="shared" si="76"/>
        <v>Biométhane - injecté dans les réseau - mix moyen, France continentale, Base Carbone; kgCO2e/GJ PCS, Combustion</v>
      </c>
      <c r="I827" s="1034" t="s">
        <v>3995</v>
      </c>
      <c r="J827" s="2219" t="s">
        <v>1576</v>
      </c>
      <c r="K827" s="1119" t="s">
        <v>1567</v>
      </c>
      <c r="L827" s="1119" t="s">
        <v>1571</v>
      </c>
      <c r="M827" s="1033">
        <v>0.2</v>
      </c>
      <c r="N827" s="1119" t="s">
        <v>1569</v>
      </c>
      <c r="O827" s="1036">
        <v>0.377</v>
      </c>
      <c r="P827" s="2579">
        <v>0</v>
      </c>
      <c r="Q827" s="2579">
        <v>0</v>
      </c>
      <c r="R827" s="2579">
        <v>0.112</v>
      </c>
      <c r="S827" s="2579">
        <v>0.26500000000000001</v>
      </c>
      <c r="T827" s="2579">
        <v>0</v>
      </c>
      <c r="U827" s="2177">
        <v>0</v>
      </c>
    </row>
    <row r="828" spans="2:21" hidden="1" outlineLevel="1">
      <c r="B828" s="1045"/>
      <c r="C828" s="1045"/>
      <c r="D828" s="1051">
        <f t="shared" si="74"/>
        <v>27</v>
      </c>
      <c r="E828" s="1051" t="str">
        <f>IF(COUNTIF(E$599:E827,F828)&gt;0,"",F828)</f>
        <v/>
      </c>
      <c r="F828" s="1051" t="str">
        <f t="shared" si="75"/>
        <v>Biométhane - injecté dans les réseau - mix moyen, France continentale, Base Carbone</v>
      </c>
      <c r="G828" s="1055" t="str">
        <f t="shared" si="76"/>
        <v>Biométhane - injecté dans les réseau - mix moyen, France continentale, Base Carbone; kgCO2e/tep PCI, Amont</v>
      </c>
      <c r="I828" s="1034" t="s">
        <v>3995</v>
      </c>
      <c r="J828" s="2219" t="s">
        <v>1575</v>
      </c>
      <c r="K828" s="1119" t="s">
        <v>1567</v>
      </c>
      <c r="L828" s="1119" t="s">
        <v>1571</v>
      </c>
      <c r="M828" s="1033">
        <v>0.2</v>
      </c>
      <c r="N828" s="1119" t="s">
        <v>1570</v>
      </c>
      <c r="O828" s="1036">
        <v>497</v>
      </c>
      <c r="P828" s="2579">
        <v>221</v>
      </c>
      <c r="Q828" s="2579">
        <v>0</v>
      </c>
      <c r="R828" s="2579">
        <v>253</v>
      </c>
      <c r="S828" s="2579">
        <v>23.3</v>
      </c>
      <c r="T828" s="2579">
        <v>0</v>
      </c>
      <c r="U828" s="2177">
        <v>0</v>
      </c>
    </row>
    <row r="829" spans="2:21" hidden="1" outlineLevel="1">
      <c r="B829" s="1045"/>
      <c r="C829" s="1045"/>
      <c r="D829" s="1051">
        <f t="shared" si="74"/>
        <v>27</v>
      </c>
      <c r="E829" s="1051" t="str">
        <f>IF(COUNTIF(E$599:E828,F829)&gt;0,"",F829)</f>
        <v/>
      </c>
      <c r="F829" s="1051" t="str">
        <f t="shared" si="75"/>
        <v>Biométhane - injecté dans les réseau - mix moyen, France continentale, Base Carbone</v>
      </c>
      <c r="G829" s="1055" t="str">
        <f t="shared" si="76"/>
        <v>Biométhane - injecté dans les réseau - mix moyen, France continentale, Base Carbone; kgCO2e/tep PCI, Combustion</v>
      </c>
      <c r="I829" s="1034" t="s">
        <v>3995</v>
      </c>
      <c r="J829" s="2219" t="s">
        <v>1575</v>
      </c>
      <c r="K829" s="1119" t="s">
        <v>1567</v>
      </c>
      <c r="L829" s="1119" t="s">
        <v>1571</v>
      </c>
      <c r="M829" s="1033">
        <v>0.2</v>
      </c>
      <c r="N829" s="1119" t="s">
        <v>1569</v>
      </c>
      <c r="O829" s="1036">
        <v>17.5</v>
      </c>
      <c r="P829" s="2579">
        <v>0</v>
      </c>
      <c r="Q829" s="2579">
        <v>0</v>
      </c>
      <c r="R829" s="2579">
        <v>5.82</v>
      </c>
      <c r="S829" s="2579">
        <v>11.7</v>
      </c>
      <c r="T829" s="2579">
        <v>0</v>
      </c>
      <c r="U829" s="2177">
        <v>0</v>
      </c>
    </row>
    <row r="830" spans="2:21" hidden="1" outlineLevel="1">
      <c r="B830" s="1045"/>
      <c r="C830" s="1045"/>
      <c r="D830" s="1051">
        <f t="shared" si="74"/>
        <v>27</v>
      </c>
      <c r="E830" s="1051" t="str">
        <f>IF(COUNTIF(E$599:E829,F830)&gt;0,"",F830)</f>
        <v/>
      </c>
      <c r="F830" s="1051" t="str">
        <f t="shared" si="75"/>
        <v>Biométhane - injecté dans les réseau - mix moyen, France continentale, Base Carbone</v>
      </c>
      <c r="G830" s="1055" t="str">
        <f t="shared" si="76"/>
        <v>Biométhane - injecté dans les réseau - mix moyen, France continentale, Base Carbone; kgCO2e/tep PCS, Amont</v>
      </c>
      <c r="I830" s="1034" t="s">
        <v>3995</v>
      </c>
      <c r="J830" s="2219" t="s">
        <v>1577</v>
      </c>
      <c r="K830" s="1119" t="s">
        <v>1567</v>
      </c>
      <c r="L830" s="1119" t="s">
        <v>1571</v>
      </c>
      <c r="M830" s="1033">
        <v>0.2</v>
      </c>
      <c r="N830" s="1119" t="s">
        <v>1570</v>
      </c>
      <c r="O830" s="1036">
        <v>448</v>
      </c>
      <c r="P830" s="2579">
        <v>199</v>
      </c>
      <c r="Q830" s="2579">
        <v>0</v>
      </c>
      <c r="R830" s="2579">
        <v>228</v>
      </c>
      <c r="S830" s="2579">
        <v>20.9</v>
      </c>
      <c r="T830" s="2579">
        <v>0</v>
      </c>
      <c r="U830" s="2177">
        <v>0</v>
      </c>
    </row>
    <row r="831" spans="2:21" hidden="1" outlineLevel="1">
      <c r="B831" s="1045"/>
      <c r="C831" s="1045"/>
      <c r="D831" s="1051">
        <f t="shared" si="74"/>
        <v>27</v>
      </c>
      <c r="E831" s="1051" t="str">
        <f>IF(COUNTIF(E$599:E830,F831)&gt;0,"",F831)</f>
        <v/>
      </c>
      <c r="F831" s="1051" t="str">
        <f t="shared" si="75"/>
        <v>Biométhane - injecté dans les réseau - mix moyen, France continentale, Base Carbone</v>
      </c>
      <c r="G831" s="1055" t="str">
        <f t="shared" si="76"/>
        <v>Biométhane - injecté dans les réseau - mix moyen, France continentale, Base Carbone; kgCO2e/tep PCS, Combustion</v>
      </c>
      <c r="I831" s="1034" t="s">
        <v>3995</v>
      </c>
      <c r="J831" s="2219" t="s">
        <v>1577</v>
      </c>
      <c r="K831" s="1119" t="s">
        <v>1567</v>
      </c>
      <c r="L831" s="1119" t="s">
        <v>1571</v>
      </c>
      <c r="M831" s="1033">
        <v>0.2</v>
      </c>
      <c r="N831" s="1119" t="s">
        <v>1569</v>
      </c>
      <c r="O831" s="1036">
        <v>15.5</v>
      </c>
      <c r="P831" s="2579">
        <v>0</v>
      </c>
      <c r="Q831" s="2579">
        <v>0</v>
      </c>
      <c r="R831" s="2579">
        <v>5.24</v>
      </c>
      <c r="S831" s="2579">
        <v>103</v>
      </c>
      <c r="T831" s="2579">
        <v>0</v>
      </c>
      <c r="U831" s="2177">
        <v>0</v>
      </c>
    </row>
    <row r="832" spans="2:21" hidden="1" outlineLevel="1">
      <c r="B832" s="1045"/>
      <c r="C832" s="1045"/>
      <c r="D832" s="1051">
        <f t="shared" si="74"/>
        <v>27</v>
      </c>
      <c r="E832" s="1051" t="str">
        <f>IF(COUNTIF(E$599:E831,F832)&gt;0,"",F832)</f>
        <v/>
      </c>
      <c r="F832" s="1051" t="str">
        <f t="shared" si="75"/>
        <v>Biométhane - injecté dans les réseau - mix moyen, France continentale, Base Carbone</v>
      </c>
      <c r="G832" s="1055" t="str">
        <f t="shared" si="76"/>
        <v>Biométhane - injecté dans les réseau - mix moyen, France continentale, Base Carbone; kgCO2e/m3, Amont</v>
      </c>
      <c r="I832" s="1034" t="s">
        <v>3995</v>
      </c>
      <c r="J832" s="2219" t="s">
        <v>2358</v>
      </c>
      <c r="K832" s="1119" t="s">
        <v>1567</v>
      </c>
      <c r="L832" s="1119" t="s">
        <v>1571</v>
      </c>
      <c r="M832" s="1033">
        <v>0.2</v>
      </c>
      <c r="N832" s="1119" t="s">
        <v>1570</v>
      </c>
      <c r="O832" s="1036">
        <v>0.435</v>
      </c>
      <c r="P832" s="2579">
        <v>0.193</v>
      </c>
      <c r="Q832" s="2579">
        <v>0</v>
      </c>
      <c r="R832" s="2339">
        <v>0.221</v>
      </c>
      <c r="S832" s="2579">
        <v>2.12E-2</v>
      </c>
      <c r="T832" s="2579">
        <v>0</v>
      </c>
      <c r="U832" s="2177">
        <v>0</v>
      </c>
    </row>
    <row r="833" spans="2:21" hidden="1" outlineLevel="1">
      <c r="B833" s="1045"/>
      <c r="C833" s="1045"/>
      <c r="D833" s="1051">
        <f t="shared" si="74"/>
        <v>27</v>
      </c>
      <c r="E833" s="1051" t="str">
        <f>IF(COUNTIF(E$599:E832,F833)&gt;0,"",F833)</f>
        <v/>
      </c>
      <c r="F833" s="1051" t="str">
        <f t="shared" si="75"/>
        <v>Biométhane - injecté dans les réseau - mix moyen, France continentale, Base Carbone</v>
      </c>
      <c r="G833" s="1055" t="str">
        <f t="shared" si="76"/>
        <v>Biométhane - injecté dans les réseau - mix moyen, France continentale, Base Carbone; kgCO2e/m3, Combustion</v>
      </c>
      <c r="I833" s="1034" t="s">
        <v>3995</v>
      </c>
      <c r="J833" s="2219" t="s">
        <v>2358</v>
      </c>
      <c r="K833" s="1119" t="s">
        <v>1567</v>
      </c>
      <c r="L833" s="1119" t="s">
        <v>1571</v>
      </c>
      <c r="M833" s="1033">
        <v>0.2</v>
      </c>
      <c r="N833" s="1119" t="s">
        <v>1569</v>
      </c>
      <c r="O833" s="1036">
        <v>1.6199999999999999E-2</v>
      </c>
      <c r="P833" s="2579">
        <v>0</v>
      </c>
      <c r="Q833" s="2579">
        <v>0</v>
      </c>
      <c r="R833" s="2339">
        <v>5.5999999999999999E-3</v>
      </c>
      <c r="S833" s="2579">
        <v>1.06E-2</v>
      </c>
      <c r="T833" s="2579">
        <v>0</v>
      </c>
      <c r="U833" s="2177">
        <v>0</v>
      </c>
    </row>
    <row r="834" spans="2:21" hidden="1" outlineLevel="1">
      <c r="B834" s="1045"/>
      <c r="C834" s="1045"/>
      <c r="D834" s="1051">
        <f t="shared" si="74"/>
        <v>27</v>
      </c>
      <c r="E834" s="1051" t="str">
        <f>IF(COUNTIF(E$599:E833,F834)&gt;0,"",F834)</f>
        <v/>
      </c>
      <c r="F834" s="1051" t="str">
        <f t="shared" si="75"/>
        <v/>
      </c>
      <c r="G834" s="1055" t="str">
        <f t="shared" si="76"/>
        <v/>
      </c>
      <c r="I834" s="1100"/>
      <c r="J834" s="2343"/>
      <c r="M834" s="2355"/>
      <c r="O834" s="2354"/>
      <c r="P834" s="1673"/>
      <c r="Q834" s="1673"/>
      <c r="R834" s="1673"/>
      <c r="S834" s="1673"/>
      <c r="T834" s="1673"/>
      <c r="U834" s="1764"/>
    </row>
    <row r="835" spans="2:21" hidden="1" outlineLevel="1">
      <c r="B835" s="1045"/>
      <c r="C835" s="1045"/>
      <c r="D835" s="1051">
        <f t="shared" si="74"/>
        <v>28</v>
      </c>
      <c r="E835" s="1051" t="str">
        <f>IF(COUNTIF(E$599:E834,F835)&gt;0,"",F835)</f>
        <v>Biopropane mix annuel - 2020, France continentale, Base Carbone</v>
      </c>
      <c r="F835" s="1051" t="str">
        <f t="shared" si="75"/>
        <v>Biopropane mix annuel - 2020, France continentale, Base Carbone</v>
      </c>
      <c r="G835" s="1055" t="str">
        <f t="shared" si="76"/>
        <v>Biopropane mix annuel - 2020, France continentale, Base Carbone; kgCO2e/kg, Amont</v>
      </c>
      <c r="I835" s="1031" t="s">
        <v>4812</v>
      </c>
      <c r="J835" s="2342" t="s">
        <v>1572</v>
      </c>
      <c r="K835" s="1032" t="s">
        <v>1567</v>
      </c>
      <c r="L835" s="1032" t="s">
        <v>1571</v>
      </c>
      <c r="M835" s="1033">
        <v>0.2</v>
      </c>
      <c r="N835" s="1119" t="s">
        <v>1570</v>
      </c>
      <c r="O835" s="1036">
        <v>0.94399999999999995</v>
      </c>
      <c r="P835" s="1980">
        <v>0.94399999999999995</v>
      </c>
      <c r="Q835" s="1980">
        <v>0</v>
      </c>
      <c r="R835" s="1980">
        <v>0</v>
      </c>
      <c r="S835" s="1980">
        <v>0</v>
      </c>
      <c r="T835" s="1980">
        <v>0</v>
      </c>
      <c r="U835" s="2036">
        <v>0</v>
      </c>
    </row>
    <row r="836" spans="2:21" hidden="1" outlineLevel="1">
      <c r="B836" s="1045"/>
      <c r="C836" s="1045"/>
      <c r="D836" s="1051">
        <f t="shared" si="74"/>
        <v>28</v>
      </c>
      <c r="E836" s="1051" t="str">
        <f>IF(COUNTIF(E$599:E835,F836)&gt;0,"",F836)</f>
        <v/>
      </c>
      <c r="F836" s="1051" t="str">
        <f t="shared" si="75"/>
        <v>Biopropane mix annuel - 2020, France continentale, Base Carbone</v>
      </c>
      <c r="G836" s="1055" t="str">
        <f t="shared" si="76"/>
        <v>Biopropane mix annuel - 2020, France continentale, Base Carbone; kgCO2e/kg, Combustion</v>
      </c>
      <c r="I836" s="1031" t="s">
        <v>4812</v>
      </c>
      <c r="J836" s="2342" t="s">
        <v>1572</v>
      </c>
      <c r="K836" s="1032" t="s">
        <v>1567</v>
      </c>
      <c r="L836" s="1032" t="s">
        <v>1571</v>
      </c>
      <c r="M836" s="1033">
        <v>0.2</v>
      </c>
      <c r="N836" s="1119" t="s">
        <v>1569</v>
      </c>
      <c r="O836" s="1036">
        <v>0</v>
      </c>
      <c r="P836" s="1980">
        <v>0</v>
      </c>
      <c r="Q836" s="1980">
        <v>0</v>
      </c>
      <c r="R836" s="1980">
        <v>0</v>
      </c>
      <c r="S836" s="1980">
        <v>0</v>
      </c>
      <c r="T836" s="1980">
        <v>0</v>
      </c>
      <c r="U836" s="2036">
        <v>0</v>
      </c>
    </row>
    <row r="837" spans="2:21" hidden="1" outlineLevel="1">
      <c r="B837" s="1045"/>
      <c r="C837" s="1045"/>
      <c r="D837" s="1051">
        <f t="shared" si="74"/>
        <v>28</v>
      </c>
      <c r="E837" s="1051" t="str">
        <f>IF(COUNTIF(E$599:E836,F837)&gt;0,"",F837)</f>
        <v/>
      </c>
      <c r="F837" s="1051" t="str">
        <f t="shared" si="75"/>
        <v>Biopropane mix annuel - 2020, France continentale, Base Carbone</v>
      </c>
      <c r="G837" s="1055" t="str">
        <f t="shared" si="76"/>
        <v>Biopropane mix annuel - 2020, France continentale, Base Carbone; kgCO2e/GJ PCI, Amont</v>
      </c>
      <c r="I837" s="1031" t="s">
        <v>4812</v>
      </c>
      <c r="J837" s="2342" t="s">
        <v>1566</v>
      </c>
      <c r="K837" s="1032" t="s">
        <v>1567</v>
      </c>
      <c r="L837" s="1032" t="s">
        <v>1571</v>
      </c>
      <c r="M837" s="1033">
        <v>0.2</v>
      </c>
      <c r="N837" s="1119" t="s">
        <v>1570</v>
      </c>
      <c r="O837" s="1036">
        <v>20.5</v>
      </c>
      <c r="P837" s="1980">
        <v>20.5</v>
      </c>
      <c r="Q837" s="1980">
        <v>0</v>
      </c>
      <c r="R837" s="1980">
        <v>0</v>
      </c>
      <c r="S837" s="1980">
        <v>0</v>
      </c>
      <c r="T837" s="1980">
        <v>0</v>
      </c>
      <c r="U837" s="2036">
        <v>0</v>
      </c>
    </row>
    <row r="838" spans="2:21" hidden="1" outlineLevel="1">
      <c r="B838" s="1045"/>
      <c r="C838" s="1045"/>
      <c r="D838" s="1051">
        <f t="shared" si="74"/>
        <v>28</v>
      </c>
      <c r="E838" s="1051" t="str">
        <f>IF(COUNTIF(E$599:E837,F838)&gt;0,"",F838)</f>
        <v/>
      </c>
      <c r="F838" s="1051" t="str">
        <f t="shared" si="75"/>
        <v>Biopropane mix annuel - 2020, France continentale, Base Carbone</v>
      </c>
      <c r="G838" s="1055" t="str">
        <f t="shared" si="76"/>
        <v>Biopropane mix annuel - 2020, France continentale, Base Carbone; kgCO2e/GJ PCI, Combustion</v>
      </c>
      <c r="I838" s="1031" t="s">
        <v>4812</v>
      </c>
      <c r="J838" s="2342" t="s">
        <v>1566</v>
      </c>
      <c r="K838" s="1032" t="s">
        <v>1567</v>
      </c>
      <c r="L838" s="1032" t="s">
        <v>1571</v>
      </c>
      <c r="M838" s="1033">
        <v>0.2</v>
      </c>
      <c r="N838" s="1119" t="s">
        <v>1569</v>
      </c>
      <c r="O838" s="1036">
        <v>0</v>
      </c>
      <c r="P838" s="1980">
        <v>0</v>
      </c>
      <c r="Q838" s="1980">
        <v>0</v>
      </c>
      <c r="R838" s="1980">
        <v>0</v>
      </c>
      <c r="S838" s="1980">
        <v>0</v>
      </c>
      <c r="T838" s="1980">
        <v>0</v>
      </c>
      <c r="U838" s="2036">
        <v>0</v>
      </c>
    </row>
    <row r="839" spans="2:21" hidden="1" outlineLevel="1">
      <c r="B839" s="1045"/>
      <c r="C839" s="1045"/>
      <c r="D839" s="1051">
        <f t="shared" si="74"/>
        <v>28</v>
      </c>
      <c r="E839" s="1051" t="str">
        <f>IF(COUNTIF(E$599:E838,F839)&gt;0,"",F839)</f>
        <v/>
      </c>
      <c r="F839" s="1051" t="str">
        <f t="shared" si="75"/>
        <v>Biopropane mix annuel - 2020, France continentale, Base Carbone</v>
      </c>
      <c r="G839" s="1055" t="str">
        <f t="shared" si="76"/>
        <v>Biopropane mix annuel - 2020, France continentale, Base Carbone; kgCO2e/kWh PCI, Amont</v>
      </c>
      <c r="I839" s="1031" t="s">
        <v>4812</v>
      </c>
      <c r="J839" s="2219" t="s">
        <v>1573</v>
      </c>
      <c r="K839" s="1032" t="s">
        <v>1567</v>
      </c>
      <c r="L839" s="1032" t="s">
        <v>1571</v>
      </c>
      <c r="M839" s="1033">
        <v>0.2</v>
      </c>
      <c r="N839" s="1119" t="s">
        <v>1570</v>
      </c>
      <c r="O839" s="1036">
        <v>7.3999999999999996E-2</v>
      </c>
      <c r="P839" s="1980">
        <v>7.3999999999999996E-2</v>
      </c>
      <c r="Q839" s="1980">
        <v>0</v>
      </c>
      <c r="R839" s="1980">
        <v>0</v>
      </c>
      <c r="S839" s="1980">
        <v>0</v>
      </c>
      <c r="T839" s="1980">
        <v>0</v>
      </c>
      <c r="U839" s="2036">
        <v>0</v>
      </c>
    </row>
    <row r="840" spans="2:21" hidden="1" outlineLevel="1">
      <c r="B840" s="1045"/>
      <c r="C840" s="1045"/>
      <c r="D840" s="1051">
        <f t="shared" si="74"/>
        <v>28</v>
      </c>
      <c r="E840" s="1051" t="str">
        <f>IF(COUNTIF(E$599:E839,F840)&gt;0,"",F840)</f>
        <v/>
      </c>
      <c r="F840" s="1051" t="str">
        <f t="shared" si="75"/>
        <v>Biopropane mix annuel - 2020, France continentale, Base Carbone</v>
      </c>
      <c r="G840" s="1055" t="str">
        <f t="shared" si="76"/>
        <v>Biopropane mix annuel - 2020, France continentale, Base Carbone; kgCO2e/kWh PCI, Combustion</v>
      </c>
      <c r="I840" s="1031" t="s">
        <v>4812</v>
      </c>
      <c r="J840" s="2342" t="s">
        <v>1573</v>
      </c>
      <c r="K840" s="1032" t="s">
        <v>1567</v>
      </c>
      <c r="L840" s="1032" t="s">
        <v>1571</v>
      </c>
      <c r="M840" s="1033">
        <v>0.2</v>
      </c>
      <c r="N840" s="1119" t="s">
        <v>1569</v>
      </c>
      <c r="O840" s="1036">
        <v>0</v>
      </c>
      <c r="P840" s="1980">
        <v>0</v>
      </c>
      <c r="Q840" s="1980">
        <v>0</v>
      </c>
      <c r="R840" s="1980">
        <v>0</v>
      </c>
      <c r="S840" s="1980">
        <v>0</v>
      </c>
      <c r="T840" s="1980">
        <v>0</v>
      </c>
      <c r="U840" s="2036">
        <v>0</v>
      </c>
    </row>
    <row r="841" spans="2:21" hidden="1" outlineLevel="1">
      <c r="B841" s="1045"/>
      <c r="C841" s="1045"/>
      <c r="D841" s="1051">
        <f t="shared" si="74"/>
        <v>28</v>
      </c>
      <c r="E841" s="1051" t="str">
        <f>IF(COUNTIF(E$599:E840,F841)&gt;0,"",F841)</f>
        <v/>
      </c>
      <c r="F841" s="1051" t="str">
        <f t="shared" si="75"/>
        <v>Biopropane mix annuel - 2020, France continentale, Base Carbone</v>
      </c>
      <c r="G841" s="1055" t="str">
        <f t="shared" si="76"/>
        <v>Biopropane mix annuel - 2020, France continentale, Base Carbone; kgCO2e/litre, Amont</v>
      </c>
      <c r="I841" s="1031" t="s">
        <v>4812</v>
      </c>
      <c r="J841" s="2219" t="s">
        <v>1574</v>
      </c>
      <c r="K841" s="1032" t="s">
        <v>1567</v>
      </c>
      <c r="L841" s="1032" t="s">
        <v>1571</v>
      </c>
      <c r="M841" s="1033">
        <v>0.2</v>
      </c>
      <c r="N841" s="1119" t="s">
        <v>1570</v>
      </c>
      <c r="O841" s="1036">
        <v>0.49</v>
      </c>
      <c r="P841" s="1980">
        <v>0.49</v>
      </c>
      <c r="Q841" s="1980">
        <v>0</v>
      </c>
      <c r="R841" s="1980">
        <v>0</v>
      </c>
      <c r="S841" s="1980">
        <v>0</v>
      </c>
      <c r="T841" s="1980">
        <v>0</v>
      </c>
      <c r="U841" s="2036">
        <v>0</v>
      </c>
    </row>
    <row r="842" spans="2:21" hidden="1" outlineLevel="1">
      <c r="B842" s="1045"/>
      <c r="C842" s="1045"/>
      <c r="D842" s="1051">
        <f t="shared" si="74"/>
        <v>28</v>
      </c>
      <c r="E842" s="1051" t="str">
        <f>IF(COUNTIF(E$599:E841,F842)&gt;0,"",F842)</f>
        <v/>
      </c>
      <c r="F842" s="1051" t="str">
        <f t="shared" si="75"/>
        <v>Biopropane mix annuel - 2020, France continentale, Base Carbone</v>
      </c>
      <c r="G842" s="1055" t="str">
        <f t="shared" si="76"/>
        <v>Biopropane mix annuel - 2020, France continentale, Base Carbone; kgCO2e/litre, Combustion</v>
      </c>
      <c r="I842" s="1031" t="s">
        <v>4812</v>
      </c>
      <c r="J842" s="2342" t="s">
        <v>1574</v>
      </c>
      <c r="K842" s="1032" t="s">
        <v>1567</v>
      </c>
      <c r="L842" s="1032" t="s">
        <v>1571</v>
      </c>
      <c r="M842" s="1033">
        <v>0.2</v>
      </c>
      <c r="N842" s="1119" t="s">
        <v>1569</v>
      </c>
      <c r="O842" s="1036">
        <v>0</v>
      </c>
      <c r="P842" s="1980">
        <v>0</v>
      </c>
      <c r="Q842" s="1980">
        <v>0</v>
      </c>
      <c r="R842" s="1980">
        <v>0</v>
      </c>
      <c r="S842" s="1980">
        <v>0</v>
      </c>
      <c r="T842" s="1980">
        <v>0</v>
      </c>
      <c r="U842" s="2036">
        <v>0</v>
      </c>
    </row>
    <row r="843" spans="2:21" hidden="1" outlineLevel="1">
      <c r="B843" s="1045"/>
      <c r="C843" s="1045"/>
      <c r="D843" s="1051">
        <f t="shared" si="74"/>
        <v>28</v>
      </c>
      <c r="E843" s="1051" t="str">
        <f>IF(COUNTIF(E$599:E842,F843)&gt;0,"",F843)</f>
        <v/>
      </c>
      <c r="F843" s="1051" t="str">
        <f t="shared" si="75"/>
        <v>Biopropane mix annuel - 2020, France continentale, Base Carbone</v>
      </c>
      <c r="G843" s="1055" t="str">
        <f t="shared" si="76"/>
        <v>Biopropane mix annuel - 2020, France continentale, Base Carbone; kgCO2e/tep PCI, Amont</v>
      </c>
      <c r="I843" s="1031" t="s">
        <v>4812</v>
      </c>
      <c r="J843" s="2342" t="s">
        <v>1575</v>
      </c>
      <c r="K843" s="1032" t="s">
        <v>1567</v>
      </c>
      <c r="L843" s="1032" t="s">
        <v>1571</v>
      </c>
      <c r="M843" s="1033">
        <v>0.2</v>
      </c>
      <c r="N843" s="1119" t="s">
        <v>1570</v>
      </c>
      <c r="O843" s="1036">
        <v>863</v>
      </c>
      <c r="P843" s="1980">
        <v>863</v>
      </c>
      <c r="Q843" s="1980">
        <v>0</v>
      </c>
      <c r="R843" s="1980">
        <v>0</v>
      </c>
      <c r="S843" s="1980">
        <v>0</v>
      </c>
      <c r="T843" s="1980">
        <v>0</v>
      </c>
      <c r="U843" s="2036">
        <v>0</v>
      </c>
    </row>
    <row r="844" spans="2:21" hidden="1" outlineLevel="1">
      <c r="B844" s="1045"/>
      <c r="C844" s="1045"/>
      <c r="D844" s="1051">
        <f t="shared" si="74"/>
        <v>28</v>
      </c>
      <c r="E844" s="1051" t="str">
        <f>IF(COUNTIF(E$599:E843,F844)&gt;0,"",F844)</f>
        <v/>
      </c>
      <c r="F844" s="1051" t="str">
        <f t="shared" si="75"/>
        <v>Biopropane mix annuel - 2020, France continentale, Base Carbone</v>
      </c>
      <c r="G844" s="1055" t="str">
        <f t="shared" si="76"/>
        <v>Biopropane mix annuel - 2020, France continentale, Base Carbone; kgCO2e/tep PCI, Combustion</v>
      </c>
      <c r="I844" s="1031" t="s">
        <v>4812</v>
      </c>
      <c r="J844" s="2342" t="s">
        <v>1575</v>
      </c>
      <c r="K844" s="1032" t="s">
        <v>1567</v>
      </c>
      <c r="L844" s="1032" t="s">
        <v>1571</v>
      </c>
      <c r="M844" s="1033">
        <v>0.2</v>
      </c>
      <c r="N844" s="1119" t="s">
        <v>1569</v>
      </c>
      <c r="O844" s="1036">
        <v>0</v>
      </c>
      <c r="P844" s="1980">
        <v>0</v>
      </c>
      <c r="Q844" s="1980">
        <v>0</v>
      </c>
      <c r="R844" s="1980">
        <v>0</v>
      </c>
      <c r="S844" s="1980">
        <v>0</v>
      </c>
      <c r="T844" s="1980">
        <v>0</v>
      </c>
      <c r="U844" s="2036">
        <v>0</v>
      </c>
    </row>
    <row r="845" spans="2:21" hidden="1" outlineLevel="1">
      <c r="B845" s="1045"/>
      <c r="C845" s="1045"/>
      <c r="D845" s="1051">
        <f t="shared" si="74"/>
        <v>28</v>
      </c>
      <c r="E845" s="1051" t="str">
        <f>IF(COUNTIF(E$599:E844,F845)&gt;0,"",F845)</f>
        <v/>
      </c>
      <c r="F845" s="1051" t="str">
        <f t="shared" si="75"/>
        <v/>
      </c>
      <c r="G845" s="1055" t="str">
        <f t="shared" si="76"/>
        <v/>
      </c>
      <c r="I845" s="1100"/>
      <c r="J845" s="1048"/>
      <c r="K845" s="1048"/>
      <c r="L845" s="1048"/>
      <c r="M845" s="1033"/>
      <c r="N845" s="1048"/>
      <c r="O845" s="1036"/>
      <c r="P845" s="1036"/>
      <c r="Q845" s="1036"/>
      <c r="R845" s="1036"/>
      <c r="S845" s="1036"/>
      <c r="T845" s="1036"/>
      <c r="U845" s="1037"/>
    </row>
    <row r="846" spans="2:21" hidden="1" outlineLevel="1">
      <c r="B846" s="1045"/>
      <c r="C846" s="1045"/>
      <c r="D846" s="1051">
        <f t="shared" si="74"/>
        <v>29</v>
      </c>
      <c r="E846" s="1051" t="str">
        <f>IF(COUNTIF(E$599:E845,F846)&gt;0,"",F846)</f>
        <v>BioGNC - biométhane comprimé pour véhicule routier - mix moyen, France continentale, Base Carbone</v>
      </c>
      <c r="F846" s="1051" t="str">
        <f t="shared" si="75"/>
        <v>BioGNC - biométhane comprimé pour véhicule routier - mix moyen, France continentale, Base Carbone</v>
      </c>
      <c r="G846" s="1055" t="str">
        <f t="shared" si="76"/>
        <v>BioGNC - biométhane comprimé pour véhicule routier - mix moyen, France continentale, Base Carbone; kgCO2e/kWh PCI, Amont</v>
      </c>
      <c r="I846" s="1031" t="s">
        <v>4809</v>
      </c>
      <c r="J846" s="2342" t="s">
        <v>1573</v>
      </c>
      <c r="K846" s="1119" t="s">
        <v>1567</v>
      </c>
      <c r="L846" s="1119" t="s">
        <v>1571</v>
      </c>
      <c r="M846" s="1033">
        <v>0.7</v>
      </c>
      <c r="N846" s="1119" t="s">
        <v>1570</v>
      </c>
      <c r="O846" s="1036">
        <v>4.5499999999999999E-2</v>
      </c>
      <c r="P846" s="1036">
        <v>0.02</v>
      </c>
      <c r="Q846" s="1036">
        <v>0</v>
      </c>
      <c r="R846" s="1036">
        <v>2.35E-2</v>
      </c>
      <c r="S846" s="1036">
        <v>1.99E-3</v>
      </c>
      <c r="T846" s="1036">
        <v>0</v>
      </c>
      <c r="U846" s="1037">
        <v>0</v>
      </c>
    </row>
    <row r="847" spans="2:21" hidden="1" outlineLevel="1">
      <c r="B847" s="1045"/>
      <c r="C847" s="1045"/>
      <c r="D847" s="1051">
        <f t="shared" si="74"/>
        <v>29</v>
      </c>
      <c r="E847" s="1051" t="str">
        <f>IF(COUNTIF(E$599:E846,F847)&gt;0,"",F847)</f>
        <v/>
      </c>
      <c r="F847" s="1051" t="str">
        <f t="shared" si="75"/>
        <v>BioGNC - biométhane comprimé pour véhicule routier - mix moyen, France continentale, Base Carbone</v>
      </c>
      <c r="G847" s="1055" t="str">
        <f t="shared" si="76"/>
        <v>BioGNC - biométhane comprimé pour véhicule routier - mix moyen, France continentale, Base Carbone; kgCO2e/kWh PCI, Combustion</v>
      </c>
      <c r="I847" s="1031" t="s">
        <v>4809</v>
      </c>
      <c r="J847" s="2342" t="s">
        <v>1573</v>
      </c>
      <c r="K847" s="1119" t="s">
        <v>1567</v>
      </c>
      <c r="L847" s="1119" t="s">
        <v>1571</v>
      </c>
      <c r="M847" s="1033">
        <v>0.7</v>
      </c>
      <c r="N847" s="1119" t="s">
        <v>1569</v>
      </c>
      <c r="O847" s="1036">
        <v>2.0100000000000001E-3</v>
      </c>
      <c r="P847" s="1036">
        <v>0</v>
      </c>
      <c r="Q847" s="1036">
        <v>0</v>
      </c>
      <c r="R847" s="1036">
        <v>1E-3</v>
      </c>
      <c r="S847" s="1036">
        <v>1.01E-3</v>
      </c>
      <c r="T847" s="1036">
        <v>0</v>
      </c>
      <c r="U847" s="1037">
        <v>0</v>
      </c>
    </row>
    <row r="848" spans="2:21" hidden="1" outlineLevel="1">
      <c r="B848" s="1045"/>
      <c r="C848" s="1045"/>
      <c r="D848" s="1051">
        <f t="shared" si="74"/>
        <v>29</v>
      </c>
      <c r="E848" s="1051" t="str">
        <f>IF(COUNTIF(E$599:E847,F848)&gt;0,"",F848)</f>
        <v/>
      </c>
      <c r="F848" s="1051" t="str">
        <f t="shared" si="75"/>
        <v>BioGNC - biométhane comprimé pour véhicule routier - mix moyen, France continentale, Base Carbone</v>
      </c>
      <c r="G848" s="1055" t="str">
        <f t="shared" si="76"/>
        <v>BioGNC - biométhane comprimé pour véhicule routier - mix moyen, France continentale, Base Carbone; kgCO2e/GJ PCI, Amont</v>
      </c>
      <c r="I848" s="1031" t="s">
        <v>4809</v>
      </c>
      <c r="J848" s="2342" t="s">
        <v>1566</v>
      </c>
      <c r="K848" s="1119" t="s">
        <v>1567</v>
      </c>
      <c r="L848" s="1119" t="s">
        <v>1571</v>
      </c>
      <c r="M848" s="1033">
        <v>0.7</v>
      </c>
      <c r="N848" s="1119" t="s">
        <v>1570</v>
      </c>
      <c r="O848" s="1036">
        <v>12.7</v>
      </c>
      <c r="P848" s="1036">
        <v>5.63</v>
      </c>
      <c r="Q848" s="1036">
        <v>0</v>
      </c>
      <c r="R848" s="1036">
        <v>6.54</v>
      </c>
      <c r="S848" s="1036">
        <v>0.55500000000000005</v>
      </c>
      <c r="T848" s="1036">
        <v>0</v>
      </c>
      <c r="U848" s="1037">
        <v>0</v>
      </c>
    </row>
    <row r="849" spans="2:21" hidden="1" outlineLevel="1">
      <c r="B849" s="1045"/>
      <c r="C849" s="1045"/>
      <c r="D849" s="1051">
        <f t="shared" si="74"/>
        <v>29</v>
      </c>
      <c r="E849" s="1051" t="str">
        <f>IF(COUNTIF(E$599:E848,F849)&gt;0,"",F849)</f>
        <v/>
      </c>
      <c r="F849" s="1051" t="str">
        <f t="shared" si="75"/>
        <v>BioGNC - biométhane comprimé pour véhicule routier - mix moyen, France continentale, Base Carbone</v>
      </c>
      <c r="G849" s="1055" t="str">
        <f t="shared" si="76"/>
        <v>BioGNC - biométhane comprimé pour véhicule routier - mix moyen, France continentale, Base Carbone; kgCO2e/GJ PCI, Combustion</v>
      </c>
      <c r="I849" s="1031" t="s">
        <v>4809</v>
      </c>
      <c r="J849" s="2342" t="s">
        <v>1566</v>
      </c>
      <c r="K849" s="1119" t="s">
        <v>1567</v>
      </c>
      <c r="L849" s="1119" t="s">
        <v>1571</v>
      </c>
      <c r="M849" s="1033">
        <v>0.7</v>
      </c>
      <c r="N849" s="1119" t="s">
        <v>1569</v>
      </c>
      <c r="O849" s="1036">
        <v>0.434</v>
      </c>
      <c r="P849" s="1036">
        <v>0</v>
      </c>
      <c r="Q849" s="1036">
        <v>0</v>
      </c>
      <c r="R849" s="1036">
        <v>0.156</v>
      </c>
      <c r="S849" s="1036">
        <v>0.27800000000000002</v>
      </c>
      <c r="T849" s="1036">
        <v>0</v>
      </c>
      <c r="U849" s="1037">
        <v>0</v>
      </c>
    </row>
    <row r="850" spans="2:21" hidden="1" outlineLevel="1">
      <c r="B850" s="1045"/>
      <c r="C850" s="1045"/>
      <c r="D850" s="1051">
        <f t="shared" si="74"/>
        <v>29</v>
      </c>
      <c r="E850" s="1051" t="str">
        <f>IF(COUNTIF(E$599:E849,F850)&gt;0,"",F850)</f>
        <v/>
      </c>
      <c r="F850" s="1051" t="str">
        <f t="shared" si="75"/>
        <v>BioGNC - biométhane comprimé pour véhicule routier - mix moyen, France continentale, Base Carbone</v>
      </c>
      <c r="G850" s="1055" t="str">
        <f t="shared" si="76"/>
        <v>BioGNC - biométhane comprimé pour véhicule routier - mix moyen, France continentale, Base Carbone; kgCO2e/tep PCI, Amont</v>
      </c>
      <c r="I850" s="1031" t="s">
        <v>4809</v>
      </c>
      <c r="J850" s="2342" t="s">
        <v>1575</v>
      </c>
      <c r="K850" s="1119" t="s">
        <v>1567</v>
      </c>
      <c r="L850" s="1119" t="s">
        <v>1571</v>
      </c>
      <c r="M850" s="1033">
        <v>0.7</v>
      </c>
      <c r="N850" s="1119" t="s">
        <v>1570</v>
      </c>
      <c r="O850" s="1036">
        <v>533</v>
      </c>
      <c r="P850" s="1036">
        <v>236</v>
      </c>
      <c r="Q850" s="1036">
        <v>0</v>
      </c>
      <c r="R850" s="1036">
        <v>274</v>
      </c>
      <c r="S850" s="1036">
        <v>23.3</v>
      </c>
      <c r="T850" s="1036">
        <v>0</v>
      </c>
      <c r="U850" s="1037">
        <v>0</v>
      </c>
    </row>
    <row r="851" spans="2:21" hidden="1" outlineLevel="1">
      <c r="B851" s="1045"/>
      <c r="C851" s="1045"/>
      <c r="D851" s="1051">
        <f t="shared" si="74"/>
        <v>29</v>
      </c>
      <c r="E851" s="1051" t="str">
        <f>IF(COUNTIF(E$599:E850,F851)&gt;0,"",F851)</f>
        <v/>
      </c>
      <c r="F851" s="1051" t="str">
        <f t="shared" si="75"/>
        <v>BioGNC - biométhane comprimé pour véhicule routier - mix moyen, France continentale, Base Carbone</v>
      </c>
      <c r="G851" s="1055" t="str">
        <f t="shared" si="76"/>
        <v>BioGNC - biométhane comprimé pour véhicule routier - mix moyen, France continentale, Base Carbone; kgCO2e/tep PCI, Combustion</v>
      </c>
      <c r="I851" s="1031" t="s">
        <v>4809</v>
      </c>
      <c r="J851" s="2342" t="s">
        <v>1575</v>
      </c>
      <c r="K851" s="1119" t="s">
        <v>1567</v>
      </c>
      <c r="L851" s="1119" t="s">
        <v>1571</v>
      </c>
      <c r="M851" s="1033">
        <v>0.7</v>
      </c>
      <c r="N851" s="1119" t="s">
        <v>1569</v>
      </c>
      <c r="O851" s="1036">
        <v>18.100000000000001</v>
      </c>
      <c r="P851" s="1036">
        <v>0</v>
      </c>
      <c r="Q851" s="1036">
        <v>0</v>
      </c>
      <c r="R851" s="1036">
        <v>6.51</v>
      </c>
      <c r="S851" s="1036">
        <v>11.6</v>
      </c>
      <c r="T851" s="1036">
        <v>0</v>
      </c>
      <c r="U851" s="1037">
        <v>0</v>
      </c>
    </row>
    <row r="852" spans="2:21" hidden="1" outlineLevel="1">
      <c r="B852" s="1045"/>
      <c r="C852" s="1045"/>
      <c r="D852" s="1051">
        <f t="shared" si="74"/>
        <v>29</v>
      </c>
      <c r="E852" s="1051" t="str">
        <f>IF(COUNTIF(E$599:E851,F852)&gt;0,"",F852)</f>
        <v/>
      </c>
      <c r="F852" s="1051" t="str">
        <f t="shared" si="75"/>
        <v>BioGNC - biométhane comprimé pour véhicule routier - mix moyen, France continentale, Base Carbone</v>
      </c>
      <c r="G852" s="1055" t="str">
        <f t="shared" si="76"/>
        <v>BioGNC - biométhane comprimé pour véhicule routier - mix moyen, France continentale, Base Carbone; kgCO2e/m3, Amont</v>
      </c>
      <c r="I852" s="1031" t="s">
        <v>4809</v>
      </c>
      <c r="J852" s="2342" t="s">
        <v>2358</v>
      </c>
      <c r="K852" s="1119" t="s">
        <v>1567</v>
      </c>
      <c r="L852" s="1119" t="s">
        <v>1571</v>
      </c>
      <c r="M852" s="1033">
        <v>0.7</v>
      </c>
      <c r="N852" s="1119" t="s">
        <v>1570</v>
      </c>
      <c r="O852" s="1036">
        <v>0.46500000000000002</v>
      </c>
      <c r="P852" s="1036">
        <v>0.20599999999999999</v>
      </c>
      <c r="Q852" s="1036">
        <v>0</v>
      </c>
      <c r="R852" s="1036">
        <v>0.23899999999999999</v>
      </c>
      <c r="S852" s="1036">
        <v>0.02</v>
      </c>
      <c r="T852" s="1036">
        <v>0</v>
      </c>
      <c r="U852" s="1037">
        <v>0</v>
      </c>
    </row>
    <row r="853" spans="2:21" hidden="1" outlineLevel="1">
      <c r="B853" s="1045"/>
      <c r="C853" s="1045"/>
      <c r="D853" s="1051">
        <f t="shared" si="74"/>
        <v>29</v>
      </c>
      <c r="E853" s="1051" t="str">
        <f>IF(COUNTIF(E$599:E852,F853)&gt;0,"",F853)</f>
        <v/>
      </c>
      <c r="F853" s="1051" t="str">
        <f t="shared" si="75"/>
        <v>BioGNC - biométhane comprimé pour véhicule routier - mix moyen, France continentale, Base Carbone</v>
      </c>
      <c r="G853" s="1055" t="str">
        <f t="shared" si="76"/>
        <v>BioGNC - biométhane comprimé pour véhicule routier - mix moyen, France continentale, Base Carbone; kgCO2e/m3, Combustion</v>
      </c>
      <c r="I853" s="1031" t="s">
        <v>4809</v>
      </c>
      <c r="J853" s="2342" t="s">
        <v>2358</v>
      </c>
      <c r="K853" s="1119" t="s">
        <v>1567</v>
      </c>
      <c r="L853" s="1119" t="s">
        <v>1571</v>
      </c>
      <c r="M853" s="1033">
        <v>0.7</v>
      </c>
      <c r="N853" s="1119" t="s">
        <v>1569</v>
      </c>
      <c r="O853" s="1036">
        <v>1.6E-2</v>
      </c>
      <c r="P853" s="1036">
        <v>0</v>
      </c>
      <c r="Q853" s="1036">
        <v>0</v>
      </c>
      <c r="R853" s="1036">
        <v>6.0000000000000001E-3</v>
      </c>
      <c r="S853" s="1036">
        <v>9.9900000000000006E-3</v>
      </c>
      <c r="T853" s="1036">
        <v>0</v>
      </c>
      <c r="U853" s="1037">
        <v>0</v>
      </c>
    </row>
    <row r="854" spans="2:21" hidden="1" outlineLevel="1">
      <c r="B854" s="1045"/>
      <c r="C854" s="1045"/>
      <c r="D854" s="1051">
        <f t="shared" si="74"/>
        <v>29</v>
      </c>
      <c r="E854" s="1051" t="str">
        <f>IF(COUNTIF(E$599:E853,F854)&gt;0,"",F854)</f>
        <v/>
      </c>
      <c r="F854" s="1051" t="str">
        <f t="shared" si="75"/>
        <v>BioGNC - biométhane comprimé pour véhicule routier - mix moyen, France continentale, Base Carbone</v>
      </c>
      <c r="G854" s="1055" t="str">
        <f t="shared" si="76"/>
        <v>BioGNC - biométhane comprimé pour véhicule routier - mix moyen, France continentale, Base Carbone; kgCO2e/kg, Amont</v>
      </c>
      <c r="I854" s="1031" t="s">
        <v>4809</v>
      </c>
      <c r="J854" s="2342" t="s">
        <v>1572</v>
      </c>
      <c r="K854" s="1119" t="s">
        <v>1567</v>
      </c>
      <c r="L854" s="1119" t="s">
        <v>1571</v>
      </c>
      <c r="M854" s="1033">
        <v>0.7</v>
      </c>
      <c r="N854" s="1119" t="s">
        <v>1570</v>
      </c>
      <c r="O854" s="1036">
        <v>0.58799999999999997</v>
      </c>
      <c r="P854" s="1036">
        <v>0.26</v>
      </c>
      <c r="Q854" s="1036">
        <v>0</v>
      </c>
      <c r="R854" s="1036">
        <v>0.30199999999999999</v>
      </c>
      <c r="S854" s="1036">
        <v>2.5999999999999999E-2</v>
      </c>
      <c r="T854" s="1036">
        <v>0</v>
      </c>
      <c r="U854" s="1037">
        <v>0</v>
      </c>
    </row>
    <row r="855" spans="2:21" hidden="1" outlineLevel="1">
      <c r="B855" s="1045"/>
      <c r="C855" s="1045"/>
      <c r="D855" s="1051">
        <f t="shared" si="74"/>
        <v>29</v>
      </c>
      <c r="E855" s="1051" t="str">
        <f>IF(COUNTIF(E$599:E854,F855)&gt;0,"",F855)</f>
        <v/>
      </c>
      <c r="F855" s="1051" t="str">
        <f t="shared" si="75"/>
        <v>BioGNC - biométhane comprimé pour véhicule routier - mix moyen, France continentale, Base Carbone</v>
      </c>
      <c r="G855" s="1055" t="str">
        <f t="shared" si="76"/>
        <v>BioGNC - biométhane comprimé pour véhicule routier - mix moyen, France continentale, Base Carbone; kgCO2e/kg, Combustion</v>
      </c>
      <c r="I855" s="1031" t="s">
        <v>4809</v>
      </c>
      <c r="J855" s="2342" t="s">
        <v>1572</v>
      </c>
      <c r="K855" s="1119" t="s">
        <v>1567</v>
      </c>
      <c r="L855" s="1119" t="s">
        <v>1571</v>
      </c>
      <c r="M855" s="1033">
        <v>0.7</v>
      </c>
      <c r="N855" s="1119" t="s">
        <v>1569</v>
      </c>
      <c r="O855" s="1036">
        <v>0.02</v>
      </c>
      <c r="P855" s="1036">
        <v>0</v>
      </c>
      <c r="Q855" s="1036">
        <v>0</v>
      </c>
      <c r="R855" s="1036">
        <v>7.0000000000000001E-3</v>
      </c>
      <c r="S855" s="1036">
        <v>1.2999999999999999E-2</v>
      </c>
      <c r="T855" s="1036">
        <v>0</v>
      </c>
      <c r="U855" s="1037">
        <v>0</v>
      </c>
    </row>
    <row r="856" spans="2:21" hidden="1" outlineLevel="1">
      <c r="B856" s="1045"/>
      <c r="C856" s="1045"/>
      <c r="D856" s="1051">
        <f t="shared" si="74"/>
        <v>29</v>
      </c>
      <c r="E856" s="1051" t="str">
        <f>IF(COUNTIF(E$599:E855,F856)&gt;0,"",F856)</f>
        <v/>
      </c>
      <c r="F856" s="1051" t="str">
        <f t="shared" si="75"/>
        <v/>
      </c>
      <c r="G856" s="1055" t="str">
        <f t="shared" si="76"/>
        <v/>
      </c>
      <c r="I856" s="1100"/>
      <c r="J856" s="1048"/>
      <c r="K856" s="1048"/>
      <c r="L856" s="1048"/>
      <c r="M856" s="1048"/>
      <c r="N856" s="1048"/>
      <c r="O856" s="1036"/>
      <c r="P856" s="1036"/>
      <c r="Q856" s="1036"/>
      <c r="R856" s="1036"/>
      <c r="S856" s="1036"/>
      <c r="T856" s="1036"/>
      <c r="U856" s="1037"/>
    </row>
    <row r="857" spans="2:21" hidden="1" outlineLevel="1">
      <c r="B857" s="1045"/>
      <c r="C857" s="1045"/>
      <c r="D857" s="1051">
        <f t="shared" ref="D857" si="77">D856+IF(LEN(E857)&gt;0,1,0)</f>
        <v>29</v>
      </c>
      <c r="E857" s="1051" t="str">
        <f>IF(COUNTIF(E$599:E856,F857)&gt;0,"",F857)</f>
        <v/>
      </c>
      <c r="F857" s="1051" t="str">
        <f t="shared" ref="F857" si="78">IF(I857&lt;&gt;"",I857&amp;IF(L857&lt;&gt;"",", "&amp;L857,"")&amp;IF(K857&lt;&gt;"",", "&amp;K857,""),"")</f>
        <v/>
      </c>
      <c r="G857" s="1055" t="str">
        <f t="shared" ref="G857" si="79">IF(F857&lt;&gt;"",F857&amp;IF(J857&lt;&gt;"","; "&amp;J857,"")&amp;IF(N857&lt;&gt;"",", "&amp;N857,""),"")</f>
        <v/>
      </c>
      <c r="I857" s="1103"/>
      <c r="J857" s="1104"/>
      <c r="K857" s="1104"/>
      <c r="L857" s="1104"/>
      <c r="M857" s="1104"/>
      <c r="N857" s="1104"/>
      <c r="O857" s="1156"/>
      <c r="P857" s="1156"/>
      <c r="Q857" s="1156"/>
      <c r="R857" s="1156"/>
      <c r="S857" s="1156"/>
      <c r="T857" s="1156"/>
      <c r="U857" s="1157"/>
    </row>
    <row r="858" spans="2:21"/>
    <row r="859" spans="2:21" ht="15.6" collapsed="1">
      <c r="I859" s="3167" t="s">
        <v>2233</v>
      </c>
      <c r="J859" s="3168"/>
      <c r="K859" s="3168"/>
      <c r="L859" s="3168"/>
      <c r="M859" s="3168"/>
      <c r="N859" s="3168"/>
      <c r="O859" s="3168"/>
      <c r="P859" s="3168"/>
      <c r="Q859" s="3168"/>
      <c r="R859" s="3168"/>
      <c r="S859" s="3168"/>
      <c r="T859" s="3168"/>
      <c r="U859" s="3169"/>
    </row>
    <row r="860" spans="2:21" hidden="1" outlineLevel="1">
      <c r="R860" s="1083"/>
    </row>
    <row r="861" spans="2:21" ht="12.75" hidden="1" customHeight="1" outlineLevel="1">
      <c r="B861" s="3154" t="s">
        <v>1617</v>
      </c>
      <c r="C861" s="3154"/>
      <c r="D861" s="3157" t="s">
        <v>1619</v>
      </c>
      <c r="E861" s="3157"/>
      <c r="F861" s="1210" t="s">
        <v>1616</v>
      </c>
      <c r="G861" s="1053" t="s">
        <v>1618</v>
      </c>
      <c r="H861" s="1044"/>
      <c r="I861" s="1038" t="s">
        <v>1557</v>
      </c>
      <c r="J861" s="1040" t="s">
        <v>1266</v>
      </c>
      <c r="K861" s="1043" t="s">
        <v>224</v>
      </c>
      <c r="L861" s="1043" t="s">
        <v>1558</v>
      </c>
      <c r="M861" s="1039" t="s">
        <v>366</v>
      </c>
      <c r="N861" s="1040" t="s">
        <v>1559</v>
      </c>
      <c r="O861" s="1041" t="s">
        <v>1560</v>
      </c>
      <c r="P861" s="1043" t="s">
        <v>211</v>
      </c>
      <c r="Q861" s="1043" t="s">
        <v>1561</v>
      </c>
      <c r="R861" s="1041" t="s">
        <v>1562</v>
      </c>
      <c r="S861" s="1041" t="s">
        <v>267</v>
      </c>
      <c r="T861" s="1043" t="s">
        <v>1563</v>
      </c>
      <c r="U861" s="1042" t="s">
        <v>1564</v>
      </c>
    </row>
    <row r="862" spans="2:21" s="1045" customFormat="1" ht="12.75" hidden="1" customHeight="1" outlineLevel="1">
      <c r="B862" s="3156" t="s">
        <v>2233</v>
      </c>
      <c r="C862" s="3156"/>
      <c r="D862" s="1051">
        <v>0</v>
      </c>
      <c r="E862" s="1051"/>
      <c r="F862" s="1051"/>
      <c r="G862" s="1054"/>
      <c r="H862" s="1046"/>
      <c r="I862" s="1183"/>
      <c r="J862" s="1184"/>
      <c r="K862" s="1185"/>
      <c r="L862" s="1185"/>
      <c r="M862" s="1186"/>
      <c r="N862" s="1184"/>
      <c r="O862" s="1187"/>
      <c r="P862" s="1185"/>
      <c r="Q862" s="1185"/>
      <c r="R862" s="1187"/>
      <c r="S862" s="1187"/>
      <c r="T862" s="1185"/>
      <c r="U862" s="1188"/>
    </row>
    <row r="863" spans="2:21" hidden="1" outlineLevel="1">
      <c r="B863" s="1050">
        <v>1</v>
      </c>
      <c r="C863" s="1050" t="str">
        <f>IF(ISNA(VLOOKUP(B863,$D$863:$E$905,2,FALSE)),"-",VLOOKUP(B863,$D$863:$E$905,2,FALSE))</f>
        <v>Périphérie rurale, B</v>
      </c>
      <c r="D863" s="1051">
        <f>D862+IF(LEN(E863)&gt;0,1,0)</f>
        <v>1</v>
      </c>
      <c r="E863" s="1051" t="str">
        <f>IF(COUNTIF(E$862:E862,F863)&gt;0,"",F863)</f>
        <v>Périphérie rurale, B</v>
      </c>
      <c r="F863" s="1051" t="str">
        <f>IF(I863&lt;&gt;"",I863&amp;IF(L863&lt;&gt;"",", "&amp;L863,"")&amp;IF(K863&lt;&gt;"",", "&amp;K863,""),"")</f>
        <v>Périphérie rurale, B</v>
      </c>
      <c r="G863" s="1055" t="str">
        <f t="shared" ref="G863:G905" si="80">IF(F863&lt;&gt;"",F863&amp;IF(J863&lt;&gt;"","; "&amp;J863,"")&amp;IF(N863&lt;&gt;"",", "&amp;N863,""),"")</f>
        <v>Périphérie rurale, B; kgCO2e/véhicule.km, fabrication</v>
      </c>
      <c r="I863" s="1031" t="s">
        <v>2234</v>
      </c>
      <c r="J863" s="1119" t="s">
        <v>2247</v>
      </c>
      <c r="K863" s="1133" t="s">
        <v>1784</v>
      </c>
      <c r="L863" s="1032"/>
      <c r="M863" s="1033">
        <v>0.15582284331872945</v>
      </c>
      <c r="N863" s="1032" t="s">
        <v>422</v>
      </c>
      <c r="O863" s="1036">
        <v>0.04</v>
      </c>
      <c r="P863" s="1036"/>
      <c r="Q863" s="1036"/>
      <c r="R863" s="1036"/>
      <c r="S863" s="1036"/>
      <c r="T863" s="1036"/>
      <c r="U863" s="1037"/>
    </row>
    <row r="864" spans="2:21" hidden="1" outlineLevel="1">
      <c r="B864" s="1050">
        <v>2</v>
      </c>
      <c r="C864" s="1050" t="str">
        <f t="shared" ref="C864:C882" si="81">IF(ISNA(VLOOKUP(B864,$D$863:$E$905,2,FALSE)),"-",VLOOKUP(B864,$D$863:$E$905,2,FALSE))</f>
        <v>Ile de France banlieue lointaine, B</v>
      </c>
      <c r="D864" s="1051">
        <f t="shared" ref="D864:D905" si="82">D863+IF(LEN(E864)&gt;0,1,0)</f>
        <v>2</v>
      </c>
      <c r="E864" s="1051" t="str">
        <f>IF(COUNTIF(E$862:E863,F864)&gt;0,"",F864)</f>
        <v>Ile de France banlieue lointaine, B</v>
      </c>
      <c r="F864" s="1051" t="str">
        <f t="shared" ref="F864:F905" si="83">IF(I864&lt;&gt;"",I864&amp;IF(L864&lt;&gt;"",", "&amp;L864,"")&amp;IF(K864&lt;&gt;"",", "&amp;K864,""),"")</f>
        <v>Ile de France banlieue lointaine, B</v>
      </c>
      <c r="G864" s="1055" t="str">
        <f t="shared" si="80"/>
        <v>Ile de France banlieue lointaine, B; kgCO2e/véhicule.km, fabrication</v>
      </c>
      <c r="I864" s="1100" t="s">
        <v>2235</v>
      </c>
      <c r="J864" s="1119" t="s">
        <v>2247</v>
      </c>
      <c r="K864" s="1133" t="s">
        <v>1784</v>
      </c>
      <c r="L864" s="1048"/>
      <c r="M864" s="1033">
        <v>0.14718499744408464</v>
      </c>
      <c r="N864" s="1032" t="s">
        <v>422</v>
      </c>
      <c r="O864" s="1048">
        <v>4.0257816972106009E-2</v>
      </c>
      <c r="P864" s="1048"/>
      <c r="Q864" s="1048"/>
      <c r="R864" s="1048"/>
      <c r="S864" s="1048"/>
      <c r="T864" s="1048"/>
      <c r="U864" s="1102"/>
    </row>
    <row r="865" spans="2:21" hidden="1" outlineLevel="1">
      <c r="B865" s="1050">
        <v>3</v>
      </c>
      <c r="C865" s="1050" t="str">
        <f t="shared" si="81"/>
        <v>Banlieue urbaine, B</v>
      </c>
      <c r="D865" s="1051">
        <f t="shared" si="82"/>
        <v>3</v>
      </c>
      <c r="E865" s="1051" t="str">
        <f>IF(COUNTIF(E$862:E864,F865)&gt;0,"",F865)</f>
        <v>Banlieue urbaine, B</v>
      </c>
      <c r="F865" s="1051" t="str">
        <f t="shared" si="83"/>
        <v>Banlieue urbaine, B</v>
      </c>
      <c r="G865" s="1055" t="str">
        <f t="shared" si="80"/>
        <v>Banlieue urbaine, B; kgCO2e/véhicule.km, fabrication</v>
      </c>
      <c r="I865" s="1100" t="s">
        <v>2236</v>
      </c>
      <c r="J865" s="1119" t="s">
        <v>2247</v>
      </c>
      <c r="K865" s="1133" t="s">
        <v>1784</v>
      </c>
      <c r="L865" s="1048"/>
      <c r="M865" s="1033">
        <v>0.13711031579802554</v>
      </c>
      <c r="N865" s="1032" t="s">
        <v>422</v>
      </c>
      <c r="O865" s="1048">
        <v>4.0257816972106009E-2</v>
      </c>
      <c r="P865" s="1048"/>
      <c r="Q865" s="1048"/>
      <c r="R865" s="1048"/>
      <c r="S865" s="1048"/>
      <c r="T865" s="1048"/>
      <c r="U865" s="1102"/>
    </row>
    <row r="866" spans="2:21" hidden="1" outlineLevel="1">
      <c r="B866" s="1050">
        <v>4</v>
      </c>
      <c r="C866" s="1050" t="str">
        <f t="shared" si="81"/>
        <v>Centre ville, B</v>
      </c>
      <c r="D866" s="1051">
        <f t="shared" si="82"/>
        <v>4</v>
      </c>
      <c r="E866" s="1051" t="str">
        <f>IF(COUNTIF(E$862:E865,F866)&gt;0,"",F866)</f>
        <v>Centre ville, B</v>
      </c>
      <c r="F866" s="1051" t="str">
        <f t="shared" si="83"/>
        <v>Centre ville, B</v>
      </c>
      <c r="G866" s="1055" t="str">
        <f t="shared" si="80"/>
        <v>Centre ville, B; kgCO2e/véhicule.km, fabrication</v>
      </c>
      <c r="I866" s="1100" t="s">
        <v>2237</v>
      </c>
      <c r="J866" s="1119" t="s">
        <v>2247</v>
      </c>
      <c r="K866" s="1133" t="s">
        <v>1784</v>
      </c>
      <c r="L866" s="1048"/>
      <c r="M866" s="1033">
        <v>0.13412035286792282</v>
      </c>
      <c r="N866" s="1032" t="s">
        <v>422</v>
      </c>
      <c r="O866" s="1048">
        <v>4.0257816972106009E-2</v>
      </c>
      <c r="P866" s="1048"/>
      <c r="Q866" s="1048"/>
      <c r="R866" s="1048"/>
      <c r="S866" s="1048"/>
      <c r="T866" s="1048"/>
      <c r="U866" s="1102"/>
    </row>
    <row r="867" spans="2:21" hidden="1" outlineLevel="1">
      <c r="B867" s="1050">
        <v>5</v>
      </c>
      <c r="C867" s="1050" t="str">
        <f t="shared" si="81"/>
        <v>France entière, B</v>
      </c>
      <c r="D867" s="1051">
        <f t="shared" si="82"/>
        <v>5</v>
      </c>
      <c r="E867" s="1051" t="str">
        <f>IF(COUNTIF(E$862:E866,F867)&gt;0,"",F867)</f>
        <v>France entière, B</v>
      </c>
      <c r="F867" s="1051" t="str">
        <f t="shared" si="83"/>
        <v>France entière, B</v>
      </c>
      <c r="G867" s="1055" t="str">
        <f t="shared" si="80"/>
        <v>France entière, B; kgCO2e/véhicule.km, fabrication</v>
      </c>
      <c r="I867" s="1100" t="s">
        <v>2238</v>
      </c>
      <c r="J867" s="1119" t="s">
        <v>2247</v>
      </c>
      <c r="K867" s="1133" t="s">
        <v>1784</v>
      </c>
      <c r="L867" s="1048"/>
      <c r="M867" s="1033">
        <v>0.14718499744408464</v>
      </c>
      <c r="N867" s="1032" t="s">
        <v>422</v>
      </c>
      <c r="O867" s="1048">
        <v>4.0257816972106009E-2</v>
      </c>
      <c r="P867" s="1048"/>
      <c r="Q867" s="1048"/>
      <c r="R867" s="1048"/>
      <c r="S867" s="1048"/>
      <c r="T867" s="1048"/>
      <c r="U867" s="1102"/>
    </row>
    <row r="868" spans="2:21" hidden="1" outlineLevel="1">
      <c r="B868" s="1050">
        <v>6</v>
      </c>
      <c r="C868" s="1050" t="str">
        <f t="shared" si="81"/>
        <v>Zones rurale, Mayotte, B</v>
      </c>
      <c r="D868" s="1051">
        <f t="shared" si="82"/>
        <v>6</v>
      </c>
      <c r="E868" s="1051" t="str">
        <f>IF(COUNTIF(E$862:E867,F868)&gt;0,"",F868)</f>
        <v>Zones rurale, Mayotte, B</v>
      </c>
      <c r="F868" s="1051" t="str">
        <f t="shared" si="83"/>
        <v>Zones rurale, Mayotte, B</v>
      </c>
      <c r="G868" s="1055" t="str">
        <f t="shared" si="80"/>
        <v>Zones rurale, Mayotte, B; kgCO2e/véhicule.km, fabrication</v>
      </c>
      <c r="I868" s="1100" t="s">
        <v>2239</v>
      </c>
      <c r="J868" s="1119" t="s">
        <v>2247</v>
      </c>
      <c r="K868" s="1133" t="s">
        <v>1784</v>
      </c>
      <c r="L868" s="1048"/>
      <c r="M868" s="1033">
        <v>0.3</v>
      </c>
      <c r="N868" s="1032" t="s">
        <v>422</v>
      </c>
      <c r="O868" s="1048">
        <v>3.7352264954619123E-2</v>
      </c>
      <c r="P868" s="1048"/>
      <c r="Q868" s="1048"/>
      <c r="R868" s="1048"/>
      <c r="S868" s="1048"/>
      <c r="T868" s="1048"/>
      <c r="U868" s="1102"/>
    </row>
    <row r="869" spans="2:21" hidden="1" outlineLevel="1">
      <c r="B869" s="1050">
        <v>7</v>
      </c>
      <c r="C869" s="1050" t="str">
        <f t="shared" si="81"/>
        <v>Périphérie urbaine, Mayotte, B</v>
      </c>
      <c r="D869" s="1051">
        <f t="shared" si="82"/>
        <v>7</v>
      </c>
      <c r="E869" s="1051" t="str">
        <f>IF(COUNTIF(E$862:E868,F869)&gt;0,"",F869)</f>
        <v>Périphérie urbaine, Mayotte, B</v>
      </c>
      <c r="F869" s="1051" t="str">
        <f t="shared" si="83"/>
        <v>Périphérie urbaine, Mayotte, B</v>
      </c>
      <c r="G869" s="1055" t="str">
        <f t="shared" si="80"/>
        <v>Périphérie urbaine, Mayotte, B; kgCO2e/véhicule.km, fabrication</v>
      </c>
      <c r="I869" s="1100" t="s">
        <v>2240</v>
      </c>
      <c r="J869" s="1119" t="s">
        <v>2247</v>
      </c>
      <c r="K869" s="1133" t="s">
        <v>1784</v>
      </c>
      <c r="L869" s="1048"/>
      <c r="M869" s="1033">
        <v>0.3</v>
      </c>
      <c r="N869" s="1032" t="s">
        <v>422</v>
      </c>
      <c r="O869" s="1048">
        <v>3.7352264954619123E-2</v>
      </c>
      <c r="P869" s="1048"/>
      <c r="Q869" s="1048"/>
      <c r="R869" s="1048"/>
      <c r="S869" s="1048"/>
      <c r="T869" s="1048"/>
      <c r="U869" s="1102"/>
    </row>
    <row r="870" spans="2:21" hidden="1" outlineLevel="1">
      <c r="B870" s="1050">
        <v>8</v>
      </c>
      <c r="C870" s="1050" t="str">
        <f t="shared" si="81"/>
        <v>Centre ville, Mayotte, B</v>
      </c>
      <c r="D870" s="1051">
        <f t="shared" si="82"/>
        <v>8</v>
      </c>
      <c r="E870" s="1051" t="str">
        <f>IF(COUNTIF(E$862:E869,F870)&gt;0,"",F870)</f>
        <v>Centre ville, Mayotte, B</v>
      </c>
      <c r="F870" s="1051" t="str">
        <f t="shared" si="83"/>
        <v>Centre ville, Mayotte, B</v>
      </c>
      <c r="G870" s="1055" t="str">
        <f t="shared" si="80"/>
        <v>Centre ville, Mayotte, B; kgCO2e/véhicule.km, fabrication</v>
      </c>
      <c r="I870" s="1100" t="s">
        <v>2241</v>
      </c>
      <c r="J870" s="1119" t="s">
        <v>2247</v>
      </c>
      <c r="K870" s="1133" t="s">
        <v>1784</v>
      </c>
      <c r="L870" s="1048"/>
      <c r="M870" s="1033">
        <v>0.3</v>
      </c>
      <c r="N870" s="1032" t="s">
        <v>422</v>
      </c>
      <c r="O870" s="1048">
        <v>3.7352264954619123E-2</v>
      </c>
      <c r="P870" s="1048"/>
      <c r="Q870" s="1048"/>
      <c r="R870" s="1048"/>
      <c r="S870" s="1048"/>
      <c r="T870" s="1048"/>
      <c r="U870" s="1102"/>
    </row>
    <row r="871" spans="2:21" hidden="1" outlineLevel="1">
      <c r="B871" s="1050">
        <v>9</v>
      </c>
      <c r="C871" s="1050" t="str">
        <f t="shared" si="81"/>
        <v>Département de Mayotte, Moyenne, B</v>
      </c>
      <c r="D871" s="1051">
        <f t="shared" si="82"/>
        <v>9</v>
      </c>
      <c r="E871" s="1051" t="str">
        <f>IF(COUNTIF(E$862:E870,F871)&gt;0,"",F871)</f>
        <v>Département de Mayotte, Moyenne, B</v>
      </c>
      <c r="F871" s="1051" t="str">
        <f t="shared" si="83"/>
        <v>Département de Mayotte, Moyenne, B</v>
      </c>
      <c r="G871" s="1055" t="str">
        <f t="shared" si="80"/>
        <v>Département de Mayotte, Moyenne, B; kgCO2e/véhicule.km, fabrication</v>
      </c>
      <c r="I871" s="1100" t="s">
        <v>2242</v>
      </c>
      <c r="J871" s="1119" t="s">
        <v>2247</v>
      </c>
      <c r="K871" s="1133" t="s">
        <v>1784</v>
      </c>
      <c r="L871" s="1048"/>
      <c r="M871" s="1033">
        <v>0.3</v>
      </c>
      <c r="N871" s="1032" t="s">
        <v>422</v>
      </c>
      <c r="O871" s="1048">
        <v>3.7352264954619123E-2</v>
      </c>
      <c r="P871" s="1048"/>
      <c r="Q871" s="1048"/>
      <c r="R871" s="1048"/>
      <c r="S871" s="1048"/>
      <c r="T871" s="1048"/>
      <c r="U871" s="1102"/>
    </row>
    <row r="872" spans="2:21" hidden="1" outlineLevel="1">
      <c r="B872" s="1050">
        <v>10</v>
      </c>
      <c r="C872" s="1050" t="str">
        <f t="shared" si="81"/>
        <v>Périphérie rurale, Tahiti, B</v>
      </c>
      <c r="D872" s="1051">
        <f t="shared" si="82"/>
        <v>10</v>
      </c>
      <c r="E872" s="1051" t="str">
        <f>IF(COUNTIF(E$862:E871,F872)&gt;0,"",F872)</f>
        <v>Périphérie rurale, Tahiti, B</v>
      </c>
      <c r="F872" s="1051" t="str">
        <f t="shared" si="83"/>
        <v>Périphérie rurale, Tahiti, B</v>
      </c>
      <c r="G872" s="1055" t="str">
        <f t="shared" si="80"/>
        <v>Périphérie rurale, Tahiti, B; kgCO2e/véhicule.km, fabrication</v>
      </c>
      <c r="I872" s="1100" t="s">
        <v>2243</v>
      </c>
      <c r="J872" s="1119" t="s">
        <v>2247</v>
      </c>
      <c r="K872" s="1133" t="s">
        <v>1784</v>
      </c>
      <c r="L872" s="1048"/>
      <c r="M872" s="1033">
        <v>0.15582284331872945</v>
      </c>
      <c r="N872" s="1032" t="s">
        <v>422</v>
      </c>
      <c r="O872" s="1048">
        <v>4.0257816972106009E-2</v>
      </c>
      <c r="P872" s="1048"/>
      <c r="Q872" s="1048"/>
      <c r="R872" s="1048"/>
      <c r="S872" s="1048"/>
      <c r="T872" s="1048"/>
      <c r="U872" s="1102"/>
    </row>
    <row r="873" spans="2:21" hidden="1" outlineLevel="1">
      <c r="B873" s="1050">
        <v>11</v>
      </c>
      <c r="C873" s="1050" t="str">
        <f t="shared" si="81"/>
        <v>Banlieue urbaine, Tahiti, B</v>
      </c>
      <c r="D873" s="1051">
        <f t="shared" si="82"/>
        <v>11</v>
      </c>
      <c r="E873" s="1051" t="str">
        <f>IF(COUNTIF(E$862:E872,F873)&gt;0,"",F873)</f>
        <v>Banlieue urbaine, Tahiti, B</v>
      </c>
      <c r="F873" s="1051" t="str">
        <f t="shared" si="83"/>
        <v>Banlieue urbaine, Tahiti, B</v>
      </c>
      <c r="G873" s="1055" t="str">
        <f t="shared" si="80"/>
        <v>Banlieue urbaine, Tahiti, B; kgCO2e/véhicule.km, fabrication</v>
      </c>
      <c r="I873" s="1100" t="s">
        <v>2244</v>
      </c>
      <c r="J873" s="1119" t="s">
        <v>2247</v>
      </c>
      <c r="K873" s="1133" t="s">
        <v>1784</v>
      </c>
      <c r="L873" s="1048"/>
      <c r="M873" s="1033">
        <v>0.13711031579802554</v>
      </c>
      <c r="N873" s="1032" t="s">
        <v>422</v>
      </c>
      <c r="O873" s="1048">
        <v>4.0257816972106009E-2</v>
      </c>
      <c r="P873" s="1048"/>
      <c r="Q873" s="1048"/>
      <c r="R873" s="1048"/>
      <c r="S873" s="1048"/>
      <c r="T873" s="1048"/>
      <c r="U873" s="1102"/>
    </row>
    <row r="874" spans="2:21" hidden="1" outlineLevel="1">
      <c r="B874" s="1050">
        <v>12</v>
      </c>
      <c r="C874" s="1050" t="str">
        <f t="shared" si="81"/>
        <v>Centre ville, Tahiti, B</v>
      </c>
      <c r="D874" s="1051">
        <f t="shared" si="82"/>
        <v>12</v>
      </c>
      <c r="E874" s="1051" t="str">
        <f>IF(COUNTIF(E$862:E873,F874)&gt;0,"",F874)</f>
        <v>Centre ville, Tahiti, B</v>
      </c>
      <c r="F874" s="1051" t="str">
        <f t="shared" si="83"/>
        <v>Centre ville, Tahiti, B</v>
      </c>
      <c r="G874" s="1055" t="str">
        <f t="shared" si="80"/>
        <v>Centre ville, Tahiti, B; kgCO2e/véhicule.km, fabrication</v>
      </c>
      <c r="I874" s="1100" t="s">
        <v>2245</v>
      </c>
      <c r="J874" s="1119" t="s">
        <v>2247</v>
      </c>
      <c r="K874" s="1133" t="s">
        <v>1784</v>
      </c>
      <c r="L874" s="1048"/>
      <c r="M874" s="1033">
        <v>0.13412035286792282</v>
      </c>
      <c r="N874" s="1032" t="s">
        <v>422</v>
      </c>
      <c r="O874" s="1048">
        <v>4.0257816972106009E-2</v>
      </c>
      <c r="P874" s="1048"/>
      <c r="Q874" s="1048"/>
      <c r="R874" s="1048"/>
      <c r="S874" s="1048"/>
      <c r="T874" s="1048"/>
      <c r="U874" s="1102"/>
    </row>
    <row r="875" spans="2:21" hidden="1" outlineLevel="1">
      <c r="B875" s="1050">
        <v>13</v>
      </c>
      <c r="C875" s="1050" t="str">
        <f t="shared" si="81"/>
        <v>Tahiti, B</v>
      </c>
      <c r="D875" s="1051">
        <f t="shared" si="82"/>
        <v>13</v>
      </c>
      <c r="E875" s="1051" t="str">
        <f>IF(COUNTIF(E$862:E874,F875)&gt;0,"",F875)</f>
        <v>Tahiti, B</v>
      </c>
      <c r="F875" s="1051" t="str">
        <f t="shared" si="83"/>
        <v>Tahiti, B</v>
      </c>
      <c r="G875" s="1055" t="str">
        <f t="shared" si="80"/>
        <v>Tahiti, B; kgCO2e/véhicule.km, fabrication</v>
      </c>
      <c r="I875" s="1100" t="s">
        <v>2246</v>
      </c>
      <c r="J875" s="1119" t="s">
        <v>2247</v>
      </c>
      <c r="K875" s="1133" t="s">
        <v>1784</v>
      </c>
      <c r="L875" s="1048"/>
      <c r="M875" s="1033">
        <v>0.14718499744408464</v>
      </c>
      <c r="N875" s="1032" t="s">
        <v>422</v>
      </c>
      <c r="O875" s="1048">
        <v>4.0257816972106009E-2</v>
      </c>
      <c r="P875" s="1048"/>
      <c r="Q875" s="1048"/>
      <c r="R875" s="1048"/>
      <c r="S875" s="1048"/>
      <c r="T875" s="1048"/>
      <c r="U875" s="1102"/>
    </row>
    <row r="876" spans="2:21" hidden="1" outlineLevel="1">
      <c r="B876" s="1050">
        <v>14</v>
      </c>
      <c r="C876" s="1050" t="str">
        <f t="shared" si="81"/>
        <v>-</v>
      </c>
      <c r="D876" s="1051">
        <f t="shared" si="82"/>
        <v>13</v>
      </c>
      <c r="E876" s="1051" t="str">
        <f>IF(COUNTIF(E$862:E875,F876)&gt;0,"",F876)</f>
        <v/>
      </c>
      <c r="F876" s="1051" t="str">
        <f t="shared" si="83"/>
        <v>Périphérie rurale, B</v>
      </c>
      <c r="G876" s="1055" t="str">
        <f t="shared" si="80"/>
        <v>Périphérie rurale, B; kgCO2e/véhicule.km, amont</v>
      </c>
      <c r="I876" s="1100" t="s">
        <v>2234</v>
      </c>
      <c r="J876" s="1048" t="s">
        <v>2247</v>
      </c>
      <c r="K876" s="1133" t="s">
        <v>1784</v>
      </c>
      <c r="L876" s="1048"/>
      <c r="M876" s="1033">
        <v>0.15582284331872945</v>
      </c>
      <c r="N876" s="1048" t="s">
        <v>411</v>
      </c>
      <c r="O876" s="1048">
        <v>2.1975765614538123E-2</v>
      </c>
      <c r="P876" s="1048"/>
      <c r="Q876" s="1048"/>
      <c r="R876" s="1048"/>
      <c r="S876" s="1048"/>
      <c r="T876" s="1048"/>
      <c r="U876" s="1102"/>
    </row>
    <row r="877" spans="2:21" hidden="1" outlineLevel="1">
      <c r="B877" s="1050">
        <v>15</v>
      </c>
      <c r="C877" s="1050" t="str">
        <f t="shared" si="81"/>
        <v>-</v>
      </c>
      <c r="D877" s="1051">
        <f t="shared" si="82"/>
        <v>13</v>
      </c>
      <c r="E877" s="1051" t="str">
        <f>IF(COUNTIF(E$862:E876,F877)&gt;0,"",F877)</f>
        <v/>
      </c>
      <c r="F877" s="1051" t="str">
        <f t="shared" si="83"/>
        <v>Ile de France banlieue lointaine, B</v>
      </c>
      <c r="G877" s="1055" t="str">
        <f t="shared" si="80"/>
        <v>Ile de France banlieue lointaine, B; kgCO2e/véhicule.km, amont</v>
      </c>
      <c r="I877" s="1100" t="s">
        <v>2235</v>
      </c>
      <c r="J877" s="1048" t="s">
        <v>2247</v>
      </c>
      <c r="K877" s="1133" t="s">
        <v>1784</v>
      </c>
      <c r="L877" s="1048"/>
      <c r="M877" s="1033">
        <v>0.14718499744408464</v>
      </c>
      <c r="N877" s="1048" t="s">
        <v>411</v>
      </c>
      <c r="O877" s="1048">
        <v>2.6968397212166026E-2</v>
      </c>
      <c r="P877" s="1048"/>
      <c r="Q877" s="1048"/>
      <c r="R877" s="1048"/>
      <c r="S877" s="1048"/>
      <c r="T877" s="1048"/>
      <c r="U877" s="1102"/>
    </row>
    <row r="878" spans="2:21" hidden="1" outlineLevel="1">
      <c r="B878" s="1050">
        <v>16</v>
      </c>
      <c r="C878" s="1050" t="str">
        <f t="shared" si="81"/>
        <v>-</v>
      </c>
      <c r="D878" s="1051">
        <f t="shared" si="82"/>
        <v>13</v>
      </c>
      <c r="E878" s="1051" t="str">
        <f>IF(COUNTIF(E$862:E877,F878)&gt;0,"",F878)</f>
        <v/>
      </c>
      <c r="F878" s="1051" t="str">
        <f t="shared" si="83"/>
        <v>Banlieue urbaine, B</v>
      </c>
      <c r="G878" s="1055" t="str">
        <f t="shared" si="80"/>
        <v>Banlieue urbaine, B; kgCO2e/véhicule.km, amont</v>
      </c>
      <c r="I878" s="1100" t="s">
        <v>2236</v>
      </c>
      <c r="J878" s="1048" t="s">
        <v>2247</v>
      </c>
      <c r="K878" s="1133" t="s">
        <v>1784</v>
      </c>
      <c r="L878" s="1048"/>
      <c r="M878" s="1033">
        <v>0.13711031579802554</v>
      </c>
      <c r="N878" s="1048" t="s">
        <v>411</v>
      </c>
      <c r="O878" s="1048">
        <v>3.5724346305220547E-2</v>
      </c>
      <c r="P878" s="1048"/>
      <c r="Q878" s="1048"/>
      <c r="R878" s="1048"/>
      <c r="S878" s="1048"/>
      <c r="T878" s="1048"/>
      <c r="U878" s="1102"/>
    </row>
    <row r="879" spans="2:21" hidden="1" outlineLevel="1">
      <c r="B879" s="1050">
        <v>17</v>
      </c>
      <c r="C879" s="1050" t="str">
        <f t="shared" si="81"/>
        <v>-</v>
      </c>
      <c r="D879" s="1051">
        <f t="shared" si="82"/>
        <v>13</v>
      </c>
      <c r="E879" s="1051" t="str">
        <f>IF(COUNTIF(E$862:E878,F879)&gt;0,"",F879)</f>
        <v/>
      </c>
      <c r="F879" s="1051" t="str">
        <f t="shared" si="83"/>
        <v>Centre ville, B</v>
      </c>
      <c r="G879" s="1055" t="str">
        <f t="shared" si="80"/>
        <v>Centre ville, B; kgCO2e/véhicule.km, amont</v>
      </c>
      <c r="I879" s="1100" t="s">
        <v>2237</v>
      </c>
      <c r="J879" s="1048" t="s">
        <v>2247</v>
      </c>
      <c r="K879" s="1133" t="s">
        <v>1784</v>
      </c>
      <c r="L879" s="1048"/>
      <c r="M879" s="1033">
        <v>0.13412035286792282</v>
      </c>
      <c r="N879" s="1048" t="s">
        <v>411</v>
      </c>
      <c r="O879" s="1048">
        <v>3.9296780935742605E-2</v>
      </c>
      <c r="P879" s="1048"/>
      <c r="Q879" s="1048"/>
      <c r="R879" s="1048"/>
      <c r="S879" s="1048"/>
      <c r="T879" s="1048"/>
      <c r="U879" s="1102"/>
    </row>
    <row r="880" spans="2:21" hidden="1" outlineLevel="1">
      <c r="B880" s="1050">
        <v>18</v>
      </c>
      <c r="C880" s="1050" t="str">
        <f t="shared" si="81"/>
        <v>-</v>
      </c>
      <c r="D880" s="1051">
        <f t="shared" si="82"/>
        <v>13</v>
      </c>
      <c r="E880" s="1051" t="str">
        <f>IF(COUNTIF(E$862:E879,F880)&gt;0,"",F880)</f>
        <v/>
      </c>
      <c r="F880" s="1051" t="str">
        <f t="shared" si="83"/>
        <v>France entière, B</v>
      </c>
      <c r="G880" s="1055" t="str">
        <f t="shared" si="80"/>
        <v>France entière, B; kgCO2e/véhicule.km, amont</v>
      </c>
      <c r="I880" s="1100" t="s">
        <v>2238</v>
      </c>
      <c r="J880" s="1048" t="s">
        <v>2247</v>
      </c>
      <c r="K880" s="1133" t="s">
        <v>1784</v>
      </c>
      <c r="L880" s="1048"/>
      <c r="M880" s="1033">
        <v>0.14718499744408464</v>
      </c>
      <c r="N880" s="1048" t="s">
        <v>411</v>
      </c>
      <c r="O880" s="1048">
        <v>2.6968397212166026E-2</v>
      </c>
      <c r="P880" s="1048"/>
      <c r="Q880" s="1048"/>
      <c r="R880" s="1048"/>
      <c r="S880" s="1048"/>
      <c r="T880" s="1048"/>
      <c r="U880" s="1102"/>
    </row>
    <row r="881" spans="2:21" hidden="1" outlineLevel="1">
      <c r="B881" s="1050">
        <v>19</v>
      </c>
      <c r="C881" s="1050" t="str">
        <f t="shared" si="81"/>
        <v>-</v>
      </c>
      <c r="D881" s="1051">
        <f t="shared" si="82"/>
        <v>13</v>
      </c>
      <c r="E881" s="1051" t="str">
        <f>IF(COUNTIF(E$862:E880,F881)&gt;0,"",F881)</f>
        <v/>
      </c>
      <c r="F881" s="1051" t="str">
        <f t="shared" si="83"/>
        <v>Zones rurale, Mayotte, B</v>
      </c>
      <c r="G881" s="1055" t="str">
        <f t="shared" si="80"/>
        <v>Zones rurale, Mayotte, B; kgCO2e/véhicule.km, amont</v>
      </c>
      <c r="I881" s="1100" t="s">
        <v>2239</v>
      </c>
      <c r="J881" s="1048" t="s">
        <v>2247</v>
      </c>
      <c r="K881" s="1133" t="s">
        <v>1784</v>
      </c>
      <c r="L881" s="1048"/>
      <c r="M881" s="1033">
        <v>0.3</v>
      </c>
      <c r="N881" s="1048" t="s">
        <v>411</v>
      </c>
      <c r="O881" s="1048">
        <v>3.3023583055108018E-2</v>
      </c>
      <c r="P881" s="1048"/>
      <c r="Q881" s="1048"/>
      <c r="R881" s="1048"/>
      <c r="S881" s="1048"/>
      <c r="T881" s="1048"/>
      <c r="U881" s="1102"/>
    </row>
    <row r="882" spans="2:21" hidden="1" outlineLevel="1">
      <c r="B882" s="1050">
        <v>20</v>
      </c>
      <c r="C882" s="1050" t="str">
        <f t="shared" si="81"/>
        <v>-</v>
      </c>
      <c r="D882" s="1051">
        <f t="shared" si="82"/>
        <v>13</v>
      </c>
      <c r="E882" s="1051" t="str">
        <f>IF(COUNTIF(E$862:E881,F882)&gt;0,"",F882)</f>
        <v/>
      </c>
      <c r="F882" s="1051" t="str">
        <f t="shared" si="83"/>
        <v>Périphérie urbaine, Mayotte, B</v>
      </c>
      <c r="G882" s="1055" t="str">
        <f t="shared" si="80"/>
        <v>Périphérie urbaine, Mayotte, B; kgCO2e/véhicule.km, amont</v>
      </c>
      <c r="I882" s="1100" t="s">
        <v>2240</v>
      </c>
      <c r="J882" s="1048" t="s">
        <v>2247</v>
      </c>
      <c r="K882" s="1133" t="s">
        <v>1784</v>
      </c>
      <c r="L882" s="1048"/>
      <c r="M882" s="1033">
        <v>0.3</v>
      </c>
      <c r="N882" s="1048" t="s">
        <v>411</v>
      </c>
      <c r="O882" s="1048">
        <v>5.3538798763445195E-2</v>
      </c>
      <c r="P882" s="1048"/>
      <c r="Q882" s="1048"/>
      <c r="R882" s="1048"/>
      <c r="S882" s="1048"/>
      <c r="T882" s="1048"/>
      <c r="U882" s="1102"/>
    </row>
    <row r="883" spans="2:21" hidden="1" outlineLevel="1">
      <c r="B883" s="1050"/>
      <c r="C883" s="1050"/>
      <c r="D883" s="1051">
        <f t="shared" si="82"/>
        <v>13</v>
      </c>
      <c r="E883" s="1051" t="str">
        <f>IF(COUNTIF(E$862:E882,F883)&gt;0,"",F883)</f>
        <v/>
      </c>
      <c r="F883" s="1051" t="str">
        <f t="shared" si="83"/>
        <v>Centre ville, Mayotte, B</v>
      </c>
      <c r="G883" s="1055" t="str">
        <f t="shared" si="80"/>
        <v>Centre ville, Mayotte, B; kgCO2e/véhicule.km, amont</v>
      </c>
      <c r="I883" s="1100" t="s">
        <v>2241</v>
      </c>
      <c r="J883" s="1048" t="s">
        <v>2247</v>
      </c>
      <c r="K883" s="1133" t="s">
        <v>1784</v>
      </c>
      <c r="L883" s="1048"/>
      <c r="M883" s="1033">
        <v>0.3</v>
      </c>
      <c r="N883" s="1048" t="s">
        <v>411</v>
      </c>
      <c r="O883" s="1048">
        <v>5.8892678639789704E-2</v>
      </c>
      <c r="P883" s="1048"/>
      <c r="Q883" s="1048"/>
      <c r="R883" s="1048"/>
      <c r="S883" s="1048"/>
      <c r="T883" s="1048"/>
      <c r="U883" s="1102"/>
    </row>
    <row r="884" spans="2:21" hidden="1" outlineLevel="1">
      <c r="B884" s="1050"/>
      <c r="C884" s="1050"/>
      <c r="D884" s="1051">
        <f t="shared" si="82"/>
        <v>13</v>
      </c>
      <c r="E884" s="1051" t="str">
        <f>IF(COUNTIF(E$862:E883,F884)&gt;0,"",F884)</f>
        <v/>
      </c>
      <c r="F884" s="1051" t="str">
        <f t="shared" si="83"/>
        <v>Département de Mayotte, Moyenne, B</v>
      </c>
      <c r="G884" s="1055" t="str">
        <f t="shared" si="80"/>
        <v>Département de Mayotte, Moyenne, B; kgCO2e/véhicule.km, amont</v>
      </c>
      <c r="I884" s="1100" t="s">
        <v>2242</v>
      </c>
      <c r="J884" s="1048" t="s">
        <v>2247</v>
      </c>
      <c r="K884" s="1133" t="s">
        <v>1784</v>
      </c>
      <c r="L884" s="1048"/>
      <c r="M884" s="1033">
        <v>0.3</v>
      </c>
      <c r="N884" s="1048" t="s">
        <v>411</v>
      </c>
      <c r="O884" s="1048">
        <v>4.0484679970521381E-2</v>
      </c>
      <c r="P884" s="1048"/>
      <c r="Q884" s="1048"/>
      <c r="R884" s="1048"/>
      <c r="S884" s="1048"/>
      <c r="T884" s="1048"/>
      <c r="U884" s="1102"/>
    </row>
    <row r="885" spans="2:21" hidden="1" outlineLevel="1">
      <c r="B885" s="1050"/>
      <c r="C885" s="1050"/>
      <c r="D885" s="1051">
        <f t="shared" si="82"/>
        <v>13</v>
      </c>
      <c r="E885" s="1051" t="str">
        <f>IF(COUNTIF(E$862:E884,F885)&gt;0,"",F885)</f>
        <v/>
      </c>
      <c r="F885" s="1051" t="str">
        <f t="shared" si="83"/>
        <v>Périphérie rurale, Tahiti, B</v>
      </c>
      <c r="G885" s="1055" t="str">
        <f t="shared" si="80"/>
        <v>Périphérie rurale, Tahiti, B; kgCO2e/véhicule.km, amont</v>
      </c>
      <c r="I885" s="1100" t="s">
        <v>2243</v>
      </c>
      <c r="J885" s="1048" t="s">
        <v>2247</v>
      </c>
      <c r="K885" s="1133" t="s">
        <v>1784</v>
      </c>
      <c r="L885" s="1048"/>
      <c r="M885" s="1033">
        <v>0.15582284331872945</v>
      </c>
      <c r="N885" s="1048" t="s">
        <v>411</v>
      </c>
      <c r="O885" s="1048">
        <v>4.498661761041698E-2</v>
      </c>
      <c r="P885" s="1048"/>
      <c r="Q885" s="1048"/>
      <c r="R885" s="1048"/>
      <c r="S885" s="1048"/>
      <c r="T885" s="1048"/>
      <c r="U885" s="1102"/>
    </row>
    <row r="886" spans="2:21" hidden="1" outlineLevel="1">
      <c r="B886" s="1050"/>
      <c r="C886" s="1050"/>
      <c r="D886" s="1051">
        <f t="shared" si="82"/>
        <v>13</v>
      </c>
      <c r="E886" s="1051" t="str">
        <f>IF(COUNTIF(E$862:E885,F886)&gt;0,"",F886)</f>
        <v/>
      </c>
      <c r="F886" s="1051" t="str">
        <f t="shared" si="83"/>
        <v>Banlieue urbaine, Tahiti, B</v>
      </c>
      <c r="G886" s="1055" t="str">
        <f t="shared" si="80"/>
        <v>Banlieue urbaine, Tahiti, B; kgCO2e/véhicule.km, amont</v>
      </c>
      <c r="I886" s="1100" t="s">
        <v>2244</v>
      </c>
      <c r="J886" s="1048" t="s">
        <v>2247</v>
      </c>
      <c r="K886" s="1133" t="s">
        <v>1784</v>
      </c>
      <c r="L886" s="1048"/>
      <c r="M886" s="1033">
        <v>0.13711031579802554</v>
      </c>
      <c r="N886" s="1048" t="s">
        <v>411</v>
      </c>
      <c r="O886" s="1048">
        <v>7.4746480475661667E-2</v>
      </c>
      <c r="P886" s="1048"/>
      <c r="Q886" s="1048"/>
      <c r="R886" s="1048"/>
      <c r="S886" s="1048"/>
      <c r="T886" s="1048"/>
      <c r="U886" s="1102"/>
    </row>
    <row r="887" spans="2:21" hidden="1" outlineLevel="1">
      <c r="B887" s="1050"/>
      <c r="C887" s="1050"/>
      <c r="D887" s="1051">
        <f t="shared" si="82"/>
        <v>13</v>
      </c>
      <c r="E887" s="1051" t="str">
        <f>IF(COUNTIF(E$862:E886,F887)&gt;0,"",F887)</f>
        <v/>
      </c>
      <c r="F887" s="1051" t="str">
        <f t="shared" si="83"/>
        <v>Centre ville, Tahiti, B</v>
      </c>
      <c r="G887" s="1055" t="str">
        <f t="shared" si="80"/>
        <v>Centre ville, Tahiti, B; kgCO2e/véhicule.km, amont</v>
      </c>
      <c r="I887" s="1100" t="s">
        <v>2245</v>
      </c>
      <c r="J887" s="1048" t="s">
        <v>2247</v>
      </c>
      <c r="K887" s="1133" t="s">
        <v>1784</v>
      </c>
      <c r="L887" s="1048"/>
      <c r="M887" s="1033">
        <v>0.13412035286792282</v>
      </c>
      <c r="N887" s="1048" t="s">
        <v>411</v>
      </c>
      <c r="O887" s="1048">
        <v>8.222112852322784E-2</v>
      </c>
      <c r="P887" s="1048"/>
      <c r="Q887" s="1048"/>
      <c r="R887" s="1048"/>
      <c r="S887" s="1048"/>
      <c r="T887" s="1048"/>
      <c r="U887" s="1102"/>
    </row>
    <row r="888" spans="2:21" hidden="1" outlineLevel="1">
      <c r="B888" s="1050"/>
      <c r="C888" s="1050"/>
      <c r="D888" s="1051">
        <f t="shared" si="82"/>
        <v>13</v>
      </c>
      <c r="E888" s="1051" t="str">
        <f>IF(COUNTIF(E$862:E887,F888)&gt;0,"",F888)</f>
        <v/>
      </c>
      <c r="F888" s="1051" t="str">
        <f t="shared" si="83"/>
        <v>Tahiti, B</v>
      </c>
      <c r="G888" s="1055" t="str">
        <f t="shared" si="80"/>
        <v>Tahiti, B; kgCO2e/véhicule.km, amont</v>
      </c>
      <c r="I888" s="1100" t="s">
        <v>2246</v>
      </c>
      <c r="J888" s="1048" t="s">
        <v>2247</v>
      </c>
      <c r="K888" s="1133" t="s">
        <v>1784</v>
      </c>
      <c r="L888" s="1048"/>
      <c r="M888" s="1033">
        <v>0.14718499744408464</v>
      </c>
      <c r="N888" s="1048" t="s">
        <v>411</v>
      </c>
      <c r="O888" s="1048">
        <v>5.5806566159217051E-2</v>
      </c>
      <c r="P888" s="1048"/>
      <c r="Q888" s="1048"/>
      <c r="R888" s="1048"/>
      <c r="S888" s="1048"/>
      <c r="T888" s="1048"/>
      <c r="U888" s="1102"/>
    </row>
    <row r="889" spans="2:21" hidden="1" outlineLevel="1">
      <c r="B889" s="1050"/>
      <c r="C889" s="1050"/>
      <c r="D889" s="1051">
        <f t="shared" si="82"/>
        <v>13</v>
      </c>
      <c r="E889" s="1051" t="str">
        <f>IF(COUNTIF(E$862:E888,F889)&gt;0,"",F889)</f>
        <v/>
      </c>
      <c r="F889" s="1051" t="str">
        <f t="shared" si="83"/>
        <v>Périphérie rurale, B</v>
      </c>
      <c r="G889" s="1055" t="str">
        <f t="shared" si="80"/>
        <v>Périphérie rurale, B; kgCO2e/véhicule.km, combustion</v>
      </c>
      <c r="I889" s="1100" t="s">
        <v>2234</v>
      </c>
      <c r="J889" s="1048" t="s">
        <v>2247</v>
      </c>
      <c r="K889" s="1133" t="s">
        <v>1784</v>
      </c>
      <c r="L889" s="1048"/>
      <c r="M889" s="1033">
        <v>0.15582284331872945</v>
      </c>
      <c r="N889" s="1048" t="s">
        <v>257</v>
      </c>
      <c r="O889" s="1048">
        <v>0.15411772404018367</v>
      </c>
      <c r="P889" s="1048"/>
      <c r="Q889" s="1048"/>
      <c r="R889" s="1048"/>
      <c r="S889" s="1048"/>
      <c r="T889" s="1048"/>
      <c r="U889" s="1102"/>
    </row>
    <row r="890" spans="2:21" hidden="1" outlineLevel="1">
      <c r="B890" s="1050"/>
      <c r="C890" s="1050"/>
      <c r="D890" s="1051">
        <f t="shared" si="82"/>
        <v>13</v>
      </c>
      <c r="E890" s="1051" t="str">
        <f>IF(COUNTIF(E$862:E889,F890)&gt;0,"",F890)</f>
        <v/>
      </c>
      <c r="F890" s="1051" t="str">
        <f t="shared" si="83"/>
        <v>Ile de France banlieue lointaine, B</v>
      </c>
      <c r="G890" s="1055" t="str">
        <f t="shared" si="80"/>
        <v>Ile de France banlieue lointaine, B; kgCO2e/véhicule.km, combustion</v>
      </c>
      <c r="I890" s="1100" t="s">
        <v>2235</v>
      </c>
      <c r="J890" s="1048" t="s">
        <v>2247</v>
      </c>
      <c r="K890" s="1133" t="s">
        <v>1784</v>
      </c>
      <c r="L890" s="1048"/>
      <c r="M890" s="1033">
        <v>0.14718499744408464</v>
      </c>
      <c r="N890" s="1048" t="s">
        <v>257</v>
      </c>
      <c r="O890" s="1048">
        <v>0.18873109737315166</v>
      </c>
      <c r="P890" s="1048"/>
      <c r="Q890" s="1048"/>
      <c r="R890" s="1048"/>
      <c r="S890" s="1048"/>
      <c r="T890" s="1048"/>
      <c r="U890" s="1102"/>
    </row>
    <row r="891" spans="2:21" hidden="1" outlineLevel="1">
      <c r="B891" s="1050"/>
      <c r="C891" s="1050"/>
      <c r="D891" s="1051">
        <f t="shared" si="82"/>
        <v>13</v>
      </c>
      <c r="E891" s="1051" t="str">
        <f>IF(COUNTIF(E$862:E890,F891)&gt;0,"",F891)</f>
        <v/>
      </c>
      <c r="F891" s="1051" t="str">
        <f t="shared" si="83"/>
        <v>Banlieue urbaine, B</v>
      </c>
      <c r="G891" s="1055" t="str">
        <f t="shared" si="80"/>
        <v>Banlieue urbaine, B; kgCO2e/véhicule.km, combustion</v>
      </c>
      <c r="I891" s="1100" t="s">
        <v>2236</v>
      </c>
      <c r="J891" s="1048" t="s">
        <v>2247</v>
      </c>
      <c r="K891" s="1133" t="s">
        <v>1784</v>
      </c>
      <c r="L891" s="1048"/>
      <c r="M891" s="1033">
        <v>0.13711031579802554</v>
      </c>
      <c r="N891" s="1048" t="s">
        <v>257</v>
      </c>
      <c r="O891" s="1048">
        <v>0.24946225377811615</v>
      </c>
      <c r="P891" s="1048"/>
      <c r="Q891" s="1048"/>
      <c r="R891" s="1048"/>
      <c r="S891" s="1048"/>
      <c r="T891" s="1048"/>
      <c r="U891" s="1102"/>
    </row>
    <row r="892" spans="2:21" hidden="1" outlineLevel="1">
      <c r="B892" s="1050"/>
      <c r="C892" s="1050"/>
      <c r="D892" s="1051">
        <f t="shared" si="82"/>
        <v>13</v>
      </c>
      <c r="E892" s="1051" t="str">
        <f>IF(COUNTIF(E$862:E891,F892)&gt;0,"",F892)</f>
        <v/>
      </c>
      <c r="F892" s="1051" t="str">
        <f t="shared" si="83"/>
        <v>Centre ville, B</v>
      </c>
      <c r="G892" s="1055" t="str">
        <f t="shared" si="80"/>
        <v>Centre ville, B; kgCO2e/véhicule.km, combustion</v>
      </c>
      <c r="I892" s="1100" t="s">
        <v>2237</v>
      </c>
      <c r="J892" s="1048" t="s">
        <v>2247</v>
      </c>
      <c r="K892" s="1133" t="s">
        <v>1784</v>
      </c>
      <c r="L892" s="1048"/>
      <c r="M892" s="1033">
        <v>0.13412035286792282</v>
      </c>
      <c r="N892" s="1048" t="s">
        <v>257</v>
      </c>
      <c r="O892" s="1048">
        <v>0.27440847915592781</v>
      </c>
      <c r="P892" s="1048"/>
      <c r="Q892" s="1048"/>
      <c r="R892" s="1048"/>
      <c r="S892" s="1048"/>
      <c r="T892" s="1048"/>
      <c r="U892" s="1102"/>
    </row>
    <row r="893" spans="2:21" hidden="1" outlineLevel="1">
      <c r="B893" s="1050"/>
      <c r="C893" s="1050"/>
      <c r="D893" s="1051">
        <f t="shared" si="82"/>
        <v>13</v>
      </c>
      <c r="E893" s="1051" t="str">
        <f>IF(COUNTIF(E$862:E892,F893)&gt;0,"",F893)</f>
        <v/>
      </c>
      <c r="F893" s="1051" t="str">
        <f t="shared" si="83"/>
        <v>France entière, B</v>
      </c>
      <c r="G893" s="1055" t="str">
        <f t="shared" si="80"/>
        <v>France entière, B; kgCO2e/véhicule.km, combustion</v>
      </c>
      <c r="I893" s="1100" t="s">
        <v>2238</v>
      </c>
      <c r="J893" s="1048" t="s">
        <v>2247</v>
      </c>
      <c r="K893" s="1133" t="s">
        <v>1784</v>
      </c>
      <c r="L893" s="1048"/>
      <c r="M893" s="1033">
        <v>0.14718499744408464</v>
      </c>
      <c r="N893" s="1048" t="s">
        <v>257</v>
      </c>
      <c r="O893" s="1048">
        <v>0.18873109737315166</v>
      </c>
      <c r="P893" s="1048"/>
      <c r="Q893" s="1048"/>
      <c r="R893" s="1048"/>
      <c r="S893" s="1048"/>
      <c r="T893" s="1048"/>
      <c r="U893" s="1102"/>
    </row>
    <row r="894" spans="2:21" hidden="1" outlineLevel="1">
      <c r="B894" s="1050"/>
      <c r="C894" s="1050"/>
      <c r="D894" s="1051">
        <f t="shared" si="82"/>
        <v>13</v>
      </c>
      <c r="E894" s="1051" t="str">
        <f>IF(COUNTIF(E$862:E893,F894)&gt;0,"",F894)</f>
        <v/>
      </c>
      <c r="F894" s="1051" t="str">
        <f t="shared" si="83"/>
        <v>Zones rurale, Mayotte, B</v>
      </c>
      <c r="G894" s="1055" t="str">
        <f t="shared" si="80"/>
        <v>Zones rurale, Mayotte, B; kgCO2e/véhicule.km, combustion</v>
      </c>
      <c r="I894" s="1100" t="s">
        <v>2239</v>
      </c>
      <c r="J894" s="1048" t="s">
        <v>2247</v>
      </c>
      <c r="K894" s="1133" t="s">
        <v>1784</v>
      </c>
      <c r="L894" s="1048"/>
      <c r="M894" s="1033">
        <v>0.3</v>
      </c>
      <c r="N894" s="1048" t="s">
        <v>257</v>
      </c>
      <c r="O894" s="1048">
        <v>0.20145409128466218</v>
      </c>
      <c r="P894" s="1048"/>
      <c r="Q894" s="1048"/>
      <c r="R894" s="1048"/>
      <c r="S894" s="1048"/>
      <c r="T894" s="1048"/>
      <c r="U894" s="1102"/>
    </row>
    <row r="895" spans="2:21" hidden="1" outlineLevel="1">
      <c r="B895" s="1050"/>
      <c r="C895" s="1050"/>
      <c r="D895" s="1051">
        <f t="shared" si="82"/>
        <v>13</v>
      </c>
      <c r="E895" s="1051" t="str">
        <f>IF(COUNTIF(E$862:E894,F895)&gt;0,"",F895)</f>
        <v/>
      </c>
      <c r="F895" s="1051" t="str">
        <f t="shared" si="83"/>
        <v>Périphérie urbaine, Mayotte, B</v>
      </c>
      <c r="G895" s="1055" t="str">
        <f t="shared" si="80"/>
        <v>Périphérie urbaine, Mayotte, B; kgCO2e/véhicule.km, combustion</v>
      </c>
      <c r="I895" s="1100" t="s">
        <v>2240</v>
      </c>
      <c r="J895" s="1048" t="s">
        <v>2247</v>
      </c>
      <c r="K895" s="1133" t="s">
        <v>1784</v>
      </c>
      <c r="L895" s="1048"/>
      <c r="M895" s="1033">
        <v>0.3</v>
      </c>
      <c r="N895" s="1048" t="s">
        <v>257</v>
      </c>
      <c r="O895" s="1048">
        <v>0.32545870496327822</v>
      </c>
      <c r="P895" s="1048"/>
      <c r="Q895" s="1048"/>
      <c r="R895" s="1048"/>
      <c r="S895" s="1048"/>
      <c r="T895" s="1048"/>
      <c r="U895" s="1102"/>
    </row>
    <row r="896" spans="2:21" hidden="1" outlineLevel="1">
      <c r="B896" s="1050"/>
      <c r="C896" s="1050"/>
      <c r="D896" s="1051">
        <f t="shared" si="82"/>
        <v>13</v>
      </c>
      <c r="E896" s="1051" t="str">
        <f>IF(COUNTIF(E$862:E895,F896)&gt;0,"",F896)</f>
        <v/>
      </c>
      <c r="F896" s="1051" t="str">
        <f t="shared" si="83"/>
        <v>Centre ville, Mayotte, B</v>
      </c>
      <c r="G896" s="1055" t="str">
        <f t="shared" si="80"/>
        <v>Centre ville, Mayotte, B; kgCO2e/véhicule.km, combustion</v>
      </c>
      <c r="I896" s="1100" t="s">
        <v>2241</v>
      </c>
      <c r="J896" s="1048" t="s">
        <v>2247</v>
      </c>
      <c r="K896" s="1133" t="s">
        <v>1784</v>
      </c>
      <c r="L896" s="1048"/>
      <c r="M896" s="1033">
        <v>0.3</v>
      </c>
      <c r="N896" s="1048" t="s">
        <v>257</v>
      </c>
      <c r="O896" s="1048">
        <v>0.35800457545960612</v>
      </c>
      <c r="P896" s="1048"/>
      <c r="Q896" s="1048"/>
      <c r="R896" s="1048"/>
      <c r="S896" s="1048"/>
      <c r="T896" s="1048"/>
      <c r="U896" s="1102"/>
    </row>
    <row r="897" spans="2:21" hidden="1" outlineLevel="1">
      <c r="B897" s="1050"/>
      <c r="C897" s="1050"/>
      <c r="D897" s="1051">
        <f t="shared" si="82"/>
        <v>13</v>
      </c>
      <c r="E897" s="1051" t="str">
        <f>IF(COUNTIF(E$862:E896,F897)&gt;0,"",F897)</f>
        <v/>
      </c>
      <c r="F897" s="1051" t="str">
        <f t="shared" si="83"/>
        <v>Département de Mayotte, Moyenne, B</v>
      </c>
      <c r="G897" s="1055" t="str">
        <f t="shared" si="80"/>
        <v>Département de Mayotte, Moyenne, B; kgCO2e/véhicule.km, combustion</v>
      </c>
      <c r="I897" s="1100" t="s">
        <v>2242</v>
      </c>
      <c r="J897" s="1048" t="s">
        <v>2247</v>
      </c>
      <c r="K897" s="1133" t="s">
        <v>1784</v>
      </c>
      <c r="L897" s="1048"/>
      <c r="M897" s="1033">
        <v>0.3</v>
      </c>
      <c r="N897" s="1048" t="s">
        <v>257</v>
      </c>
      <c r="O897" s="1048">
        <v>0.2466307339420214</v>
      </c>
      <c r="P897" s="1048"/>
      <c r="Q897" s="1048"/>
      <c r="R897" s="1048"/>
      <c r="S897" s="1048"/>
      <c r="T897" s="1048"/>
      <c r="U897" s="1102"/>
    </row>
    <row r="898" spans="2:21" hidden="1" outlineLevel="1">
      <c r="B898" s="1050"/>
      <c r="C898" s="1050"/>
      <c r="D898" s="1051">
        <f t="shared" si="82"/>
        <v>13</v>
      </c>
      <c r="E898" s="1051" t="str">
        <f>IF(COUNTIF(E$862:E897,F898)&gt;0,"",F898)</f>
        <v/>
      </c>
      <c r="F898" s="1051" t="str">
        <f t="shared" si="83"/>
        <v>Périphérie rurale, Tahiti, B</v>
      </c>
      <c r="G898" s="1055" t="str">
        <f t="shared" si="80"/>
        <v>Périphérie rurale, Tahiti, B; kgCO2e/véhicule.km, combustion</v>
      </c>
      <c r="I898" s="1100" t="s">
        <v>2243</v>
      </c>
      <c r="J898" s="1048" t="s">
        <v>2247</v>
      </c>
      <c r="K898" s="1133" t="s">
        <v>1784</v>
      </c>
      <c r="L898" s="1048"/>
      <c r="M898" s="1033">
        <v>0.15582284331872945</v>
      </c>
      <c r="N898" s="1048" t="s">
        <v>257</v>
      </c>
      <c r="O898" s="1048">
        <v>0.22063642333763042</v>
      </c>
      <c r="P898" s="1048"/>
      <c r="Q898" s="1048"/>
      <c r="R898" s="1048"/>
      <c r="S898" s="1048"/>
      <c r="T898" s="1048"/>
      <c r="U898" s="1102"/>
    </row>
    <row r="899" spans="2:21" hidden="1" outlineLevel="1">
      <c r="B899" s="1050"/>
      <c r="C899" s="1050"/>
      <c r="D899" s="1051">
        <f t="shared" si="82"/>
        <v>13</v>
      </c>
      <c r="E899" s="1051" t="str">
        <f>IF(COUNTIF(E$862:E898,F899)&gt;0,"",F899)</f>
        <v/>
      </c>
      <c r="F899" s="1051" t="str">
        <f t="shared" si="83"/>
        <v>Banlieue urbaine, Tahiti, B</v>
      </c>
      <c r="G899" s="1055" t="str">
        <f t="shared" si="80"/>
        <v>Banlieue urbaine, Tahiti, B; kgCO2e/véhicule.km, combustion</v>
      </c>
      <c r="I899" s="1100" t="s">
        <v>2244</v>
      </c>
      <c r="J899" s="1048" t="s">
        <v>2247</v>
      </c>
      <c r="K899" s="1133" t="s">
        <v>1784</v>
      </c>
      <c r="L899" s="1048"/>
      <c r="M899" s="1033">
        <v>0.13711031579802554</v>
      </c>
      <c r="N899" s="1048" t="s">
        <v>257</v>
      </c>
      <c r="O899" s="1048">
        <v>0.36532095489464678</v>
      </c>
      <c r="P899" s="1048"/>
      <c r="Q899" s="1048"/>
      <c r="R899" s="1048"/>
      <c r="S899" s="1048"/>
      <c r="T899" s="1048"/>
      <c r="U899" s="1102"/>
    </row>
    <row r="900" spans="2:21" hidden="1" outlineLevel="1">
      <c r="B900" s="1050"/>
      <c r="C900" s="1050"/>
      <c r="D900" s="1051">
        <f t="shared" si="82"/>
        <v>13</v>
      </c>
      <c r="E900" s="1051" t="str">
        <f>IF(COUNTIF(E$862:E899,F900)&gt;0,"",F900)</f>
        <v/>
      </c>
      <c r="F900" s="1051" t="str">
        <f t="shared" si="83"/>
        <v>Centre ville, Tahiti, B</v>
      </c>
      <c r="G900" s="1055" t="str">
        <f t="shared" si="80"/>
        <v>Centre ville, Tahiti, B; kgCO2e/véhicule.km, combustion</v>
      </c>
      <c r="I900" s="1100" t="s">
        <v>2245</v>
      </c>
      <c r="J900" s="1048" t="s">
        <v>2247</v>
      </c>
      <c r="K900" s="1133" t="s">
        <v>1784</v>
      </c>
      <c r="L900" s="1048"/>
      <c r="M900" s="1033">
        <v>0.13412035286792282</v>
      </c>
      <c r="N900" s="1048" t="s">
        <v>257</v>
      </c>
      <c r="O900" s="1048">
        <v>0.40185305038411151</v>
      </c>
      <c r="P900" s="1048"/>
      <c r="Q900" s="1048"/>
      <c r="R900" s="1048"/>
      <c r="S900" s="1048"/>
      <c r="T900" s="1048"/>
      <c r="U900" s="1102"/>
    </row>
    <row r="901" spans="2:21" hidden="1" outlineLevel="1">
      <c r="B901" s="1050"/>
      <c r="C901" s="1050"/>
      <c r="D901" s="1051">
        <f t="shared" si="82"/>
        <v>13</v>
      </c>
      <c r="E901" s="1051" t="str">
        <f>IF(COUNTIF(E$862:E900,F901)&gt;0,"",F901)</f>
        <v/>
      </c>
      <c r="F901" s="1051" t="str">
        <f t="shared" si="83"/>
        <v>Tahiti, B</v>
      </c>
      <c r="G901" s="1055" t="str">
        <f t="shared" si="80"/>
        <v>Tahiti, B; kgCO2e/véhicule.km, combustion</v>
      </c>
      <c r="I901" s="1100" t="s">
        <v>2246</v>
      </c>
      <c r="J901" s="1048" t="s">
        <v>2247</v>
      </c>
      <c r="K901" s="1133" t="s">
        <v>1784</v>
      </c>
      <c r="L901" s="1048"/>
      <c r="M901" s="1033">
        <v>0.14718499744408464</v>
      </c>
      <c r="N901" s="1048" t="s">
        <v>257</v>
      </c>
      <c r="O901" s="1048">
        <v>0.27327354503910567</v>
      </c>
      <c r="P901" s="1048"/>
      <c r="Q901" s="1048"/>
      <c r="R901" s="1048"/>
      <c r="S901" s="1048"/>
      <c r="T901" s="1048"/>
      <c r="U901" s="1102"/>
    </row>
    <row r="902" spans="2:21" hidden="1" outlineLevel="1">
      <c r="B902" s="1050"/>
      <c r="C902" s="1050"/>
      <c r="D902" s="1051">
        <f t="shared" si="82"/>
        <v>13</v>
      </c>
      <c r="E902" s="1051" t="str">
        <f>IF(COUNTIF(E$862:E901,F902)&gt;0,"",F902)</f>
        <v/>
      </c>
      <c r="F902" s="1051" t="str">
        <f t="shared" si="83"/>
        <v/>
      </c>
      <c r="G902" s="1055" t="str">
        <f t="shared" si="80"/>
        <v/>
      </c>
      <c r="I902" s="1100"/>
      <c r="J902" s="1048"/>
      <c r="K902" s="1048"/>
      <c r="L902" s="1048"/>
      <c r="M902" s="1048"/>
      <c r="N902" s="1048"/>
      <c r="O902" s="1048"/>
      <c r="P902" s="1048"/>
      <c r="Q902" s="1048"/>
      <c r="R902" s="1048"/>
      <c r="S902" s="1048"/>
      <c r="T902" s="1048"/>
      <c r="U902" s="1102"/>
    </row>
    <row r="903" spans="2:21" hidden="1" outlineLevel="1">
      <c r="B903" s="1050"/>
      <c r="C903" s="1050"/>
      <c r="D903" s="1051">
        <f t="shared" si="82"/>
        <v>13</v>
      </c>
      <c r="E903" s="1051" t="str">
        <f>IF(COUNTIF(E$862:E902,F903)&gt;0,"",F903)</f>
        <v/>
      </c>
      <c r="F903" s="1051" t="str">
        <f t="shared" si="83"/>
        <v/>
      </c>
      <c r="G903" s="1055" t="str">
        <f t="shared" si="80"/>
        <v/>
      </c>
      <c r="I903" s="1100"/>
      <c r="J903" s="1048"/>
      <c r="K903" s="1048"/>
      <c r="L903" s="1048"/>
      <c r="M903" s="1048"/>
      <c r="N903" s="1048"/>
      <c r="O903" s="1048"/>
      <c r="P903" s="1048"/>
      <c r="Q903" s="1048"/>
      <c r="R903" s="1048"/>
      <c r="S903" s="1048"/>
      <c r="T903" s="1048"/>
      <c r="U903" s="1102"/>
    </row>
    <row r="904" spans="2:21" hidden="1" outlineLevel="1">
      <c r="B904" s="1050"/>
      <c r="C904" s="1050"/>
      <c r="D904" s="1051">
        <f t="shared" si="82"/>
        <v>13</v>
      </c>
      <c r="E904" s="1051" t="str">
        <f>IF(COUNTIF(E$862:E903,F904)&gt;0,"",F904)</f>
        <v/>
      </c>
      <c r="F904" s="1051" t="str">
        <f t="shared" si="83"/>
        <v/>
      </c>
      <c r="G904" s="1055" t="str">
        <f t="shared" si="80"/>
        <v/>
      </c>
      <c r="I904" s="1100"/>
      <c r="J904" s="1048"/>
      <c r="K904" s="1048"/>
      <c r="L904" s="1048"/>
      <c r="M904" s="1048"/>
      <c r="N904" s="1048"/>
      <c r="O904" s="1048"/>
      <c r="P904" s="1048"/>
      <c r="Q904" s="1048"/>
      <c r="R904" s="1048"/>
      <c r="S904" s="1048"/>
      <c r="T904" s="1048"/>
      <c r="U904" s="1102"/>
    </row>
    <row r="905" spans="2:21" hidden="1" outlineLevel="1">
      <c r="B905" s="1050"/>
      <c r="C905" s="1050"/>
      <c r="D905" s="1051">
        <f t="shared" si="82"/>
        <v>13</v>
      </c>
      <c r="E905" s="1051" t="str">
        <f>IF(COUNTIF(E$862:E904,F905)&gt;0,"",F905)</f>
        <v/>
      </c>
      <c r="F905" s="1051" t="str">
        <f t="shared" si="83"/>
        <v/>
      </c>
      <c r="G905" s="1055" t="str">
        <f t="shared" si="80"/>
        <v/>
      </c>
      <c r="I905" s="1103"/>
      <c r="J905" s="1104"/>
      <c r="K905" s="1104"/>
      <c r="L905" s="1104"/>
      <c r="M905" s="1104"/>
      <c r="N905" s="1104"/>
      <c r="O905" s="1104"/>
      <c r="P905" s="1104"/>
      <c r="Q905" s="1104"/>
      <c r="R905" s="1104"/>
      <c r="S905" s="1104"/>
      <c r="T905" s="1104"/>
      <c r="U905" s="1106"/>
    </row>
    <row r="906" spans="2:21" hidden="1" outlineLevel="1"/>
    <row r="907" spans="2:21" ht="12.75" hidden="1" customHeight="1" outlineLevel="1">
      <c r="I907" s="3212" t="s">
        <v>656</v>
      </c>
      <c r="J907" s="3213"/>
      <c r="K907" s="3213"/>
      <c r="L907" s="3213"/>
      <c r="M907" s="3213"/>
      <c r="N907" s="3214"/>
    </row>
    <row r="908" spans="2:21" ht="12.75" hidden="1" customHeight="1" outlineLevel="1">
      <c r="I908" s="3215"/>
      <c r="J908" s="3216"/>
      <c r="K908" s="3217" t="s">
        <v>654</v>
      </c>
      <c r="L908" s="3218"/>
      <c r="M908" s="3219" t="s">
        <v>314</v>
      </c>
      <c r="N908" s="3220"/>
    </row>
    <row r="909" spans="2:21" ht="12.75" hidden="1" customHeight="1" outlineLevel="1">
      <c r="I909" s="3221" t="s">
        <v>652</v>
      </c>
      <c r="J909" s="3222"/>
      <c r="K909" s="3223" t="s">
        <v>653</v>
      </c>
      <c r="L909" s="3224"/>
      <c r="M909" s="3225" t="s">
        <v>655</v>
      </c>
      <c r="N909" s="3226"/>
    </row>
    <row r="910" spans="2:21" ht="12.75" hidden="1" customHeight="1" outlineLevel="1">
      <c r="I910" s="3215" t="s">
        <v>2256</v>
      </c>
      <c r="J910" s="3216"/>
      <c r="K910" s="3227">
        <v>20</v>
      </c>
      <c r="L910" s="3228"/>
      <c r="M910" s="3229">
        <v>210</v>
      </c>
      <c r="N910" s="3230"/>
    </row>
    <row r="911" spans="2:21" ht="12.75" hidden="1" customHeight="1" outlineLevel="1">
      <c r="I911" s="3210" t="s">
        <v>2257</v>
      </c>
      <c r="J911" s="3211"/>
      <c r="K911" s="3206">
        <v>15</v>
      </c>
      <c r="L911" s="3207"/>
      <c r="M911" s="3208">
        <v>210</v>
      </c>
      <c r="N911" s="3209"/>
    </row>
    <row r="912" spans="2:21" ht="12.75" hidden="1" customHeight="1" outlineLevel="1">
      <c r="I912" s="3210" t="s">
        <v>2258</v>
      </c>
      <c r="J912" s="3211"/>
      <c r="K912" s="3206">
        <v>12</v>
      </c>
      <c r="L912" s="3207"/>
      <c r="M912" s="3208">
        <v>210</v>
      </c>
      <c r="N912" s="3209"/>
    </row>
    <row r="913" spans="9:14" ht="12.75" hidden="1" customHeight="1" outlineLevel="1">
      <c r="I913" s="3210" t="s">
        <v>2259</v>
      </c>
      <c r="J913" s="3211"/>
      <c r="K913" s="3206">
        <v>8.5</v>
      </c>
      <c r="L913" s="3207"/>
      <c r="M913" s="3208">
        <v>210</v>
      </c>
      <c r="N913" s="3209"/>
    </row>
    <row r="914" spans="9:14" ht="12.75" hidden="1" customHeight="1" outlineLevel="1">
      <c r="I914" s="3210" t="s">
        <v>2260</v>
      </c>
      <c r="J914" s="3211"/>
      <c r="K914" s="3206">
        <v>15</v>
      </c>
      <c r="L914" s="3207"/>
      <c r="M914" s="3208">
        <v>210</v>
      </c>
      <c r="N914" s="3209"/>
    </row>
    <row r="915" spans="9:14" ht="12.75" hidden="1" customHeight="1" outlineLevel="1">
      <c r="I915" s="3210"/>
      <c r="J915" s="3211"/>
      <c r="K915" s="3206"/>
      <c r="L915" s="3207"/>
      <c r="M915" s="3208"/>
      <c r="N915" s="3209"/>
    </row>
    <row r="916" spans="9:14" ht="12.75" hidden="1" customHeight="1" outlineLevel="1">
      <c r="I916" s="3210" t="s">
        <v>2261</v>
      </c>
      <c r="J916" s="3211"/>
      <c r="K916" s="3206">
        <v>20</v>
      </c>
      <c r="L916" s="3207"/>
      <c r="M916" s="3208">
        <v>220</v>
      </c>
      <c r="N916" s="3209"/>
    </row>
    <row r="917" spans="9:14" ht="12.75" hidden="1" customHeight="1" outlineLevel="1">
      <c r="I917" s="3210" t="s">
        <v>2262</v>
      </c>
      <c r="J917" s="3211"/>
      <c r="K917" s="3206">
        <v>12</v>
      </c>
      <c r="L917" s="3207"/>
      <c r="M917" s="3208">
        <v>220</v>
      </c>
      <c r="N917" s="3209"/>
    </row>
    <row r="918" spans="9:14" ht="12.75" hidden="1" customHeight="1" outlineLevel="1">
      <c r="I918" s="3210" t="s">
        <v>2263</v>
      </c>
      <c r="J918" s="3211"/>
      <c r="K918" s="3206">
        <v>8.5</v>
      </c>
      <c r="L918" s="3207"/>
      <c r="M918" s="3208">
        <v>220</v>
      </c>
      <c r="N918" s="3209"/>
    </row>
    <row r="919" spans="9:14" ht="12.75" hidden="1" customHeight="1" outlineLevel="1">
      <c r="I919" s="3210" t="s">
        <v>2264</v>
      </c>
      <c r="J919" s="3211"/>
      <c r="K919" s="3206">
        <v>15</v>
      </c>
      <c r="L919" s="3207"/>
      <c r="M919" s="3208">
        <v>220</v>
      </c>
      <c r="N919" s="3209"/>
    </row>
    <row r="920" spans="9:14" ht="12.75" hidden="1" customHeight="1" outlineLevel="1">
      <c r="I920" s="3210"/>
      <c r="J920" s="3211"/>
      <c r="K920" s="3206"/>
      <c r="L920" s="3207"/>
      <c r="M920" s="3208"/>
      <c r="N920" s="3209"/>
    </row>
    <row r="921" spans="9:14" ht="12.75" hidden="1" customHeight="1" outlineLevel="1">
      <c r="I921" s="3210" t="s">
        <v>2265</v>
      </c>
      <c r="J921" s="3211"/>
      <c r="K921" s="3206">
        <v>20</v>
      </c>
      <c r="L921" s="3207"/>
      <c r="M921" s="3208">
        <v>210</v>
      </c>
      <c r="N921" s="3209"/>
    </row>
    <row r="922" spans="9:14" ht="12.75" hidden="1" customHeight="1" outlineLevel="1">
      <c r="I922" s="3210" t="s">
        <v>2266</v>
      </c>
      <c r="J922" s="3211"/>
      <c r="K922" s="3206">
        <v>12</v>
      </c>
      <c r="L922" s="3207"/>
      <c r="M922" s="3208">
        <v>210</v>
      </c>
      <c r="N922" s="3209"/>
    </row>
    <row r="923" spans="9:14" ht="12.75" hidden="1" customHeight="1" outlineLevel="1">
      <c r="I923" s="3210" t="s">
        <v>2267</v>
      </c>
      <c r="J923" s="3211"/>
      <c r="K923" s="3206">
        <v>8.5</v>
      </c>
      <c r="L923" s="3207"/>
      <c r="M923" s="3208">
        <v>210</v>
      </c>
      <c r="N923" s="3209"/>
    </row>
    <row r="924" spans="9:14" ht="12.75" hidden="1" customHeight="1" outlineLevel="1">
      <c r="I924" s="3210" t="s">
        <v>2268</v>
      </c>
      <c r="J924" s="3211"/>
      <c r="K924" s="3206">
        <v>15</v>
      </c>
      <c r="L924" s="3207"/>
      <c r="M924" s="3208">
        <v>210</v>
      </c>
      <c r="N924" s="3209"/>
    </row>
    <row r="925" spans="9:14" ht="13.2" hidden="1" outlineLevel="1">
      <c r="I925" s="1227"/>
      <c r="J925" s="1228"/>
      <c r="K925" s="1229"/>
      <c r="L925" s="1230"/>
      <c r="M925" s="1231"/>
      <c r="N925" s="1232"/>
    </row>
    <row r="926" spans="9:14" ht="12.75" hidden="1" customHeight="1" outlineLevel="1">
      <c r="I926" s="3237" t="s">
        <v>2269</v>
      </c>
      <c r="J926" s="3238"/>
      <c r="K926" s="3206">
        <v>8.5</v>
      </c>
      <c r="L926" s="3207"/>
      <c r="M926" s="1231"/>
      <c r="N926" s="1232"/>
    </row>
    <row r="927" spans="9:14" ht="12.75" hidden="1" customHeight="1" outlineLevel="1">
      <c r="I927" s="3237" t="s">
        <v>2270</v>
      </c>
      <c r="J927" s="3238"/>
      <c r="K927" s="3206">
        <v>12</v>
      </c>
      <c r="L927" s="3207"/>
      <c r="M927" s="1231"/>
      <c r="N927" s="1232"/>
    </row>
    <row r="928" spans="9:14" ht="12.75" hidden="1" customHeight="1" outlineLevel="1">
      <c r="I928" s="3237" t="s">
        <v>2271</v>
      </c>
      <c r="J928" s="3238"/>
      <c r="K928" s="3206">
        <v>20</v>
      </c>
      <c r="L928" s="3207"/>
      <c r="M928" s="1231"/>
      <c r="N928" s="1232"/>
    </row>
    <row r="929" spans="2:21" ht="12.75" hidden="1" customHeight="1" outlineLevel="1">
      <c r="I929" s="3231"/>
      <c r="J929" s="3232"/>
      <c r="K929" s="3233"/>
      <c r="L929" s="3234"/>
      <c r="M929" s="3235"/>
      <c r="N929" s="3236"/>
    </row>
    <row r="930" spans="2:21"/>
    <row r="931" spans="2:21" ht="15.6" collapsed="1">
      <c r="I931" s="3167" t="s">
        <v>2272</v>
      </c>
      <c r="J931" s="3168"/>
      <c r="K931" s="3168"/>
      <c r="L931" s="3168"/>
      <c r="M931" s="3168"/>
      <c r="N931" s="3168"/>
      <c r="O931" s="3168"/>
      <c r="P931" s="3168"/>
      <c r="Q931" s="3168"/>
      <c r="R931" s="3168"/>
      <c r="S931" s="3168"/>
      <c r="T931" s="3168"/>
      <c r="U931" s="3169"/>
    </row>
    <row r="932" spans="2:21" hidden="1" outlineLevel="1">
      <c r="R932" s="1083"/>
    </row>
    <row r="933" spans="2:21" ht="12.75" hidden="1" customHeight="1" outlineLevel="1">
      <c r="B933" s="3154" t="s">
        <v>1617</v>
      </c>
      <c r="C933" s="3154"/>
      <c r="D933" s="3157" t="s">
        <v>1619</v>
      </c>
      <c r="E933" s="3157"/>
      <c r="F933" s="1246" t="s">
        <v>1616</v>
      </c>
      <c r="G933" s="1053" t="s">
        <v>1618</v>
      </c>
      <c r="H933" s="1044"/>
      <c r="I933" s="1038" t="s">
        <v>1557</v>
      </c>
      <c r="J933" s="1040" t="s">
        <v>1266</v>
      </c>
      <c r="K933" s="1043" t="s">
        <v>224</v>
      </c>
      <c r="L933" s="1043" t="s">
        <v>1558</v>
      </c>
      <c r="M933" s="1039" t="s">
        <v>366</v>
      </c>
      <c r="N933" s="1040" t="s">
        <v>1559</v>
      </c>
      <c r="O933" s="1041" t="s">
        <v>1560</v>
      </c>
      <c r="P933" s="1043" t="s">
        <v>211</v>
      </c>
      <c r="Q933" s="1043" t="s">
        <v>1561</v>
      </c>
      <c r="R933" s="1041" t="s">
        <v>1562</v>
      </c>
      <c r="S933" s="1041" t="s">
        <v>267</v>
      </c>
      <c r="T933" s="1043" t="s">
        <v>1563</v>
      </c>
      <c r="U933" s="1042" t="s">
        <v>1564</v>
      </c>
    </row>
    <row r="934" spans="2:21" s="1045" customFormat="1" ht="12.75" hidden="1" customHeight="1" outlineLevel="1">
      <c r="B934" s="3156" t="s">
        <v>2273</v>
      </c>
      <c r="C934" s="3156"/>
      <c r="D934" s="1051">
        <v>0</v>
      </c>
      <c r="E934" s="1051"/>
      <c r="F934" s="1051"/>
      <c r="G934" s="1054"/>
      <c r="H934" s="1046"/>
      <c r="I934" s="1183"/>
      <c r="J934" s="1184"/>
      <c r="K934" s="1185"/>
      <c r="L934" s="1185"/>
      <c r="M934" s="1186"/>
      <c r="N934" s="1184"/>
      <c r="O934" s="1187"/>
      <c r="P934" s="1185"/>
      <c r="Q934" s="1185"/>
      <c r="R934" s="1187"/>
      <c r="S934" s="1187"/>
      <c r="T934" s="1185"/>
      <c r="U934" s="1188"/>
    </row>
    <row r="935" spans="2:21" hidden="1" outlineLevel="1">
      <c r="B935" s="1050">
        <v>1</v>
      </c>
      <c r="C935" s="1050" t="str">
        <f>IF(ISNA(VLOOKUP(B935,$D$934:$E$981,2,FALSE)),"-",VLOOKUP(B935,$D$934:$E$981,2,FALSE))</f>
        <v>2008 - usage : Transports, France continentale, Base Carbone</v>
      </c>
      <c r="D935" s="1051">
        <f>D934+IF(LEN(E935)&gt;0,1,0)</f>
        <v>1</v>
      </c>
      <c r="E935" s="1051" t="str">
        <f>IF(COUNTIF(E$934:E934,F935)&gt;0,"",F935)</f>
        <v>2008 - usage : Transports, France continentale, Base Carbone</v>
      </c>
      <c r="F935" s="1051" t="str">
        <f>IF(I935&lt;&gt;"",I935&amp;IF(L935&lt;&gt;"",", "&amp;L935,"")&amp;IF(K935&lt;&gt;"",", "&amp;K935,""),"")</f>
        <v>2008 - usage : Transports, France continentale, Base Carbone</v>
      </c>
      <c r="G935" s="1055" t="str">
        <f t="shared" ref="G935" si="84">IF(F935&lt;&gt;"",F935&amp;IF(J935&lt;&gt;"","; "&amp;J935,"")&amp;IF(N935&lt;&gt;"",", "&amp;N935,""),"")</f>
        <v>2008 - usage : Transports, France continentale, Base Carbone; kgCO2e/kWh, Combustion à la centrale</v>
      </c>
      <c r="I935" s="1031" t="s">
        <v>1695</v>
      </c>
      <c r="J935" s="1119" t="s">
        <v>1681</v>
      </c>
      <c r="K935" s="1133" t="s">
        <v>1567</v>
      </c>
      <c r="L935" s="1032" t="s">
        <v>1571</v>
      </c>
      <c r="M935" s="1033">
        <v>0.3</v>
      </c>
      <c r="N935" s="1032" t="s">
        <v>1763</v>
      </c>
      <c r="O935" s="1978">
        <v>3.4000000000000002E-2</v>
      </c>
      <c r="P935" s="1036"/>
      <c r="Q935" s="1036"/>
      <c r="R935" s="1036"/>
      <c r="S935" s="1036"/>
      <c r="T935" s="1036"/>
      <c r="U935" s="1037"/>
    </row>
    <row r="936" spans="2:21" hidden="1" outlineLevel="1">
      <c r="B936" s="1050">
        <v>2</v>
      </c>
      <c r="C936" s="1050" t="str">
        <f t="shared" ref="C936:C950" si="85">IF(ISNA(VLOOKUP(B936,$D$934:$E$981,2,FALSE)),"-",VLOOKUP(B936,$D$934:$E$981,2,FALSE))</f>
        <v>2009 - usage : Transports, France continentale, Base Carbone</v>
      </c>
      <c r="D936" s="1051">
        <f t="shared" ref="D936:D980" si="86">D935+IF(LEN(E936)&gt;0,1,0)</f>
        <v>1</v>
      </c>
      <c r="E936" s="1051" t="str">
        <f>IF(COUNTIF(E$934:E935,F936)&gt;0,"",F936)</f>
        <v/>
      </c>
      <c r="F936" s="1051" t="str">
        <f t="shared" ref="F936:F980" si="87">IF(I936&lt;&gt;"",I936&amp;IF(L936&lt;&gt;"",", "&amp;L936,"")&amp;IF(K936&lt;&gt;"",", "&amp;K936,""),"")</f>
        <v>2008 - usage : Transports, France continentale, Base Carbone</v>
      </c>
      <c r="G936" s="1055" t="str">
        <f t="shared" ref="G936:G980" si="88">IF(F936&lt;&gt;"",F936&amp;IF(J936&lt;&gt;"","; "&amp;J936,"")&amp;IF(N936&lt;&gt;"",", "&amp;N936,""),"")</f>
        <v>2008 - usage : Transports, France continentale, Base Carbone; kgCO2e/kWh, Amont</v>
      </c>
      <c r="I936" s="1100" t="s">
        <v>1695</v>
      </c>
      <c r="J936" s="1119" t="s">
        <v>1681</v>
      </c>
      <c r="K936" s="1133" t="s">
        <v>1567</v>
      </c>
      <c r="L936" s="1048" t="s">
        <v>1571</v>
      </c>
      <c r="M936" s="1033">
        <v>0.3</v>
      </c>
      <c r="N936" s="1032" t="s">
        <v>1570</v>
      </c>
      <c r="O936" s="1048">
        <v>0.01</v>
      </c>
      <c r="P936" s="1048"/>
      <c r="Q936" s="1048"/>
      <c r="R936" s="1048"/>
      <c r="S936" s="1048"/>
      <c r="T936" s="1048"/>
      <c r="U936" s="1102"/>
    </row>
    <row r="937" spans="2:21" hidden="1" outlineLevel="1">
      <c r="B937" s="1050">
        <v>3</v>
      </c>
      <c r="C937" s="1050" t="str">
        <f t="shared" si="85"/>
        <v>2010 - usage : Transports, France continentale, Base Carbone</v>
      </c>
      <c r="D937" s="1051">
        <f t="shared" si="86"/>
        <v>1</v>
      </c>
      <c r="E937" s="1051" t="str">
        <f>IF(COUNTIF(E$934:E936,F937)&gt;0,"",F937)</f>
        <v/>
      </c>
      <c r="F937" s="1051" t="str">
        <f t="shared" si="87"/>
        <v>2008 - usage : Transports, France continentale, Base Carbone</v>
      </c>
      <c r="G937" s="1055" t="str">
        <f t="shared" si="88"/>
        <v>2008 - usage : Transports, France continentale, Base Carbone; kgCO2e/kWh, Pertes</v>
      </c>
      <c r="I937" s="1100" t="s">
        <v>1695</v>
      </c>
      <c r="J937" s="1119" t="s">
        <v>1681</v>
      </c>
      <c r="K937" s="1133" t="s">
        <v>1567</v>
      </c>
      <c r="L937" s="1048" t="s">
        <v>1571</v>
      </c>
      <c r="M937" s="1033">
        <v>0.3</v>
      </c>
      <c r="N937" s="1032" t="s">
        <v>1766</v>
      </c>
      <c r="O937" s="1048">
        <v>6.0000000000000001E-3</v>
      </c>
      <c r="P937" s="1048"/>
      <c r="Q937" s="1048"/>
      <c r="R937" s="1048"/>
      <c r="S937" s="1048"/>
      <c r="T937" s="1048"/>
      <c r="U937" s="1102"/>
    </row>
    <row r="938" spans="2:21" hidden="1" outlineLevel="1">
      <c r="B938" s="1050">
        <v>4</v>
      </c>
      <c r="C938" s="1050" t="str">
        <f t="shared" si="85"/>
        <v>2011 - usage : Transports, France continentale, Base Carbone</v>
      </c>
      <c r="D938" s="1051">
        <f t="shared" si="86"/>
        <v>2</v>
      </c>
      <c r="E938" s="1051" t="str">
        <f>IF(COUNTIF(E$934:E937,F938)&gt;0,"",F938)</f>
        <v>2009 - usage : Transports, France continentale, Base Carbone</v>
      </c>
      <c r="F938" s="1051" t="str">
        <f t="shared" si="87"/>
        <v>2009 - usage : Transports, France continentale, Base Carbone</v>
      </c>
      <c r="G938" s="1055" t="str">
        <f t="shared" si="88"/>
        <v>2009 - usage : Transports, France continentale, Base Carbone; kgCO2e/kWh, Combustion à la centrale</v>
      </c>
      <c r="I938" s="1100" t="s">
        <v>1705</v>
      </c>
      <c r="J938" s="1119" t="s">
        <v>1681</v>
      </c>
      <c r="K938" s="1133" t="s">
        <v>1567</v>
      </c>
      <c r="L938" s="1048" t="s">
        <v>1571</v>
      </c>
      <c r="M938" s="1033">
        <v>0.3</v>
      </c>
      <c r="N938" s="1032" t="s">
        <v>1763</v>
      </c>
      <c r="O938" s="1048">
        <v>3.4000000000000002E-2</v>
      </c>
      <c r="P938" s="1048"/>
      <c r="Q938" s="1048"/>
      <c r="R938" s="1048"/>
      <c r="S938" s="1048"/>
      <c r="T938" s="1048"/>
      <c r="U938" s="1102"/>
    </row>
    <row r="939" spans="2:21" hidden="1" outlineLevel="1">
      <c r="B939" s="1050">
        <v>5</v>
      </c>
      <c r="C939" s="1050" t="str">
        <f t="shared" si="85"/>
        <v>2012 - usage : Transports, France continentale, Base Carbone</v>
      </c>
      <c r="D939" s="1051">
        <f t="shared" si="86"/>
        <v>2</v>
      </c>
      <c r="E939" s="1051" t="str">
        <f>IF(COUNTIF(E$934:E938,F939)&gt;0,"",F939)</f>
        <v/>
      </c>
      <c r="F939" s="1051" t="str">
        <f t="shared" si="87"/>
        <v>2009 - usage : Transports, France continentale, Base Carbone</v>
      </c>
      <c r="G939" s="1055" t="str">
        <f t="shared" si="88"/>
        <v>2009 - usage : Transports, France continentale, Base Carbone; kgCO2e/kWh, Amont</v>
      </c>
      <c r="I939" s="1100" t="s">
        <v>1705</v>
      </c>
      <c r="J939" s="1119" t="s">
        <v>1681</v>
      </c>
      <c r="K939" s="1133" t="s">
        <v>1567</v>
      </c>
      <c r="L939" s="1048" t="s">
        <v>1571</v>
      </c>
      <c r="M939" s="1033">
        <v>0.3</v>
      </c>
      <c r="N939" s="1032" t="s">
        <v>1570</v>
      </c>
      <c r="O939" s="1048">
        <v>0.01</v>
      </c>
      <c r="P939" s="1048"/>
      <c r="Q939" s="1048"/>
      <c r="R939" s="1048"/>
      <c r="S939" s="1048"/>
      <c r="T939" s="1048"/>
      <c r="U939" s="1102"/>
    </row>
    <row r="940" spans="2:21" hidden="1" outlineLevel="1">
      <c r="B940" s="1050">
        <v>6</v>
      </c>
      <c r="C940" s="1050" t="str">
        <f t="shared" si="85"/>
        <v>2013 - usage : Transports, France continentale, Base Carbone</v>
      </c>
      <c r="D940" s="1051">
        <f t="shared" si="86"/>
        <v>2</v>
      </c>
      <c r="E940" s="1051" t="str">
        <f>IF(COUNTIF(E$934:E939,F940)&gt;0,"",F940)</f>
        <v/>
      </c>
      <c r="F940" s="1051" t="str">
        <f t="shared" si="87"/>
        <v>2009 - usage : Transports, France continentale, Base Carbone</v>
      </c>
      <c r="G940" s="1055" t="str">
        <f t="shared" si="88"/>
        <v>2009 - usage : Transports, France continentale, Base Carbone; kgCO2e/kWh, Pertes</v>
      </c>
      <c r="I940" s="1100" t="s">
        <v>1705</v>
      </c>
      <c r="J940" s="1119" t="s">
        <v>1681</v>
      </c>
      <c r="K940" s="1133" t="s">
        <v>1567</v>
      </c>
      <c r="L940" s="1048" t="s">
        <v>1571</v>
      </c>
      <c r="M940" s="1033">
        <v>0.3</v>
      </c>
      <c r="N940" s="1032" t="s">
        <v>1766</v>
      </c>
      <c r="O940" s="1048">
        <v>6.0000000000000001E-3</v>
      </c>
      <c r="P940" s="1048"/>
      <c r="Q940" s="1048"/>
      <c r="R940" s="1048"/>
      <c r="S940" s="1048"/>
      <c r="T940" s="1048"/>
      <c r="U940" s="1102"/>
    </row>
    <row r="941" spans="2:21" hidden="1" outlineLevel="1">
      <c r="B941" s="1050">
        <v>7</v>
      </c>
      <c r="C941" s="1050" t="str">
        <f t="shared" si="85"/>
        <v>2014 - usage : Transports, France continentale, Base Carbone</v>
      </c>
      <c r="D941" s="1051">
        <f t="shared" si="86"/>
        <v>3</v>
      </c>
      <c r="E941" s="1051" t="str">
        <f>IF(COUNTIF(E$934:E940,F941)&gt;0,"",F941)</f>
        <v>2010 - usage : Transports, France continentale, Base Carbone</v>
      </c>
      <c r="F941" s="1051" t="str">
        <f t="shared" si="87"/>
        <v>2010 - usage : Transports, France continentale, Base Carbone</v>
      </c>
      <c r="G941" s="1055" t="str">
        <f t="shared" si="88"/>
        <v>2010 - usage : Transports, France continentale, Base Carbone; kgCO2e/kWh, Combustion à la centrale</v>
      </c>
      <c r="I941" s="1100" t="s">
        <v>1715</v>
      </c>
      <c r="J941" s="1119" t="s">
        <v>1681</v>
      </c>
      <c r="K941" s="1133" t="s">
        <v>1567</v>
      </c>
      <c r="L941" s="1048" t="s">
        <v>1571</v>
      </c>
      <c r="M941" s="1033">
        <v>0.3</v>
      </c>
      <c r="N941" s="1032" t="s">
        <v>1763</v>
      </c>
      <c r="O941" s="1048">
        <v>3.4000000000000002E-2</v>
      </c>
      <c r="P941" s="1048"/>
      <c r="Q941" s="1048"/>
      <c r="R941" s="1048"/>
      <c r="S941" s="1048"/>
      <c r="T941" s="1048"/>
      <c r="U941" s="1102"/>
    </row>
    <row r="942" spans="2:21" hidden="1" outlineLevel="1">
      <c r="B942" s="1050">
        <v>8</v>
      </c>
      <c r="C942" s="1050" t="str">
        <f t="shared" si="85"/>
        <v>2015 - usage : Transports, France continentale, Base Carbone</v>
      </c>
      <c r="D942" s="1051">
        <f t="shared" si="86"/>
        <v>3</v>
      </c>
      <c r="E942" s="1051" t="str">
        <f>IF(COUNTIF(E$934:E941,F942)&gt;0,"",F942)</f>
        <v/>
      </c>
      <c r="F942" s="1051" t="str">
        <f t="shared" si="87"/>
        <v>2010 - usage : Transports, France continentale, Base Carbone</v>
      </c>
      <c r="G942" s="1055" t="str">
        <f t="shared" si="88"/>
        <v>2010 - usage : Transports, France continentale, Base Carbone; kgCO2e/kWh, Amont</v>
      </c>
      <c r="I942" s="1100" t="s">
        <v>1715</v>
      </c>
      <c r="J942" s="1119" t="s">
        <v>1681</v>
      </c>
      <c r="K942" s="1133" t="s">
        <v>1567</v>
      </c>
      <c r="L942" s="1048" t="s">
        <v>1571</v>
      </c>
      <c r="M942" s="1033">
        <v>0.3</v>
      </c>
      <c r="N942" s="1032" t="s">
        <v>1570</v>
      </c>
      <c r="O942" s="1048">
        <v>0.01</v>
      </c>
      <c r="P942" s="1048"/>
      <c r="Q942" s="1048"/>
      <c r="R942" s="1048"/>
      <c r="S942" s="1048"/>
      <c r="T942" s="1048"/>
      <c r="U942" s="1102"/>
    </row>
    <row r="943" spans="2:21" hidden="1" outlineLevel="1">
      <c r="B943" s="1050">
        <v>9</v>
      </c>
      <c r="C943" s="1050" t="str">
        <f t="shared" si="85"/>
        <v>2016 - usage : Transports, France continentale, Base Carbone</v>
      </c>
      <c r="D943" s="1051">
        <f t="shared" si="86"/>
        <v>3</v>
      </c>
      <c r="E943" s="1051" t="str">
        <f>IF(COUNTIF(E$934:E942,F943)&gt;0,"",F943)</f>
        <v/>
      </c>
      <c r="F943" s="1051" t="str">
        <f t="shared" si="87"/>
        <v>2010 - usage : Transports, France continentale, Base Carbone</v>
      </c>
      <c r="G943" s="1055" t="str">
        <f t="shared" si="88"/>
        <v>2010 - usage : Transports, France continentale, Base Carbone; kgCO2e/kWh, Pertes</v>
      </c>
      <c r="I943" s="1100" t="s">
        <v>1715</v>
      </c>
      <c r="J943" s="1119" t="s">
        <v>1681</v>
      </c>
      <c r="K943" s="1133" t="s">
        <v>1567</v>
      </c>
      <c r="L943" s="1048" t="s">
        <v>1571</v>
      </c>
      <c r="M943" s="1033">
        <v>0.3</v>
      </c>
      <c r="N943" s="1032" t="s">
        <v>1766</v>
      </c>
      <c r="O943" s="1048">
        <v>6.0000000000000001E-3</v>
      </c>
      <c r="P943" s="1048"/>
      <c r="Q943" s="1048"/>
      <c r="R943" s="1048"/>
      <c r="S943" s="1048"/>
      <c r="T943" s="1048"/>
      <c r="U943" s="1102"/>
    </row>
    <row r="944" spans="2:21" hidden="1" outlineLevel="1">
      <c r="B944" s="1050">
        <v>10</v>
      </c>
      <c r="C944" s="1050" t="str">
        <f t="shared" si="85"/>
        <v>2017 - usage : Transports, France continentale, Base Carbone</v>
      </c>
      <c r="D944" s="1051">
        <f t="shared" si="86"/>
        <v>4</v>
      </c>
      <c r="E944" s="1051" t="str">
        <f>IF(COUNTIF(E$934:E943,F944)&gt;0,"",F944)</f>
        <v>2011 - usage : Transports, France continentale, Base Carbone</v>
      </c>
      <c r="F944" s="1051" t="str">
        <f t="shared" si="87"/>
        <v>2011 - usage : Transports, France continentale, Base Carbone</v>
      </c>
      <c r="G944" s="1055" t="str">
        <f t="shared" si="88"/>
        <v>2011 - usage : Transports, France continentale, Base Carbone; kgCO2e/kWh, Combustion à la centrale</v>
      </c>
      <c r="I944" s="1100" t="s">
        <v>1725</v>
      </c>
      <c r="J944" s="1119" t="s">
        <v>1681</v>
      </c>
      <c r="K944" s="1133" t="s">
        <v>1567</v>
      </c>
      <c r="L944" s="1048" t="s">
        <v>1571</v>
      </c>
      <c r="M944" s="1033">
        <v>0.3</v>
      </c>
      <c r="N944" s="1032" t="s">
        <v>1763</v>
      </c>
      <c r="O944" s="1048">
        <v>3.4000000000000002E-2</v>
      </c>
      <c r="P944" s="1048"/>
      <c r="Q944" s="1048"/>
      <c r="R944" s="1048"/>
      <c r="S944" s="1048"/>
      <c r="T944" s="1048"/>
      <c r="U944" s="1102"/>
    </row>
    <row r="945" spans="2:21" hidden="1" outlineLevel="1">
      <c r="B945" s="1050">
        <v>11</v>
      </c>
      <c r="C945" s="1050" t="str">
        <f t="shared" si="85"/>
        <v>2018 - usage : Transports, France continentale, Base Carbone</v>
      </c>
      <c r="D945" s="1051">
        <f t="shared" si="86"/>
        <v>4</v>
      </c>
      <c r="E945" s="1051" t="str">
        <f>IF(COUNTIF(E$934:E944,F945)&gt;0,"",F945)</f>
        <v/>
      </c>
      <c r="F945" s="1051" t="str">
        <f t="shared" si="87"/>
        <v>2011 - usage : Transports, France continentale, Base Carbone</v>
      </c>
      <c r="G945" s="1055" t="str">
        <f t="shared" si="88"/>
        <v>2011 - usage : Transports, France continentale, Base Carbone; kgCO2e/kWh, Amont</v>
      </c>
      <c r="I945" s="1100" t="s">
        <v>1725</v>
      </c>
      <c r="J945" s="1119" t="s">
        <v>1681</v>
      </c>
      <c r="K945" s="1133" t="s">
        <v>1567</v>
      </c>
      <c r="L945" s="1048" t="s">
        <v>1571</v>
      </c>
      <c r="M945" s="1033">
        <v>0.3</v>
      </c>
      <c r="N945" s="1032" t="s">
        <v>1570</v>
      </c>
      <c r="O945" s="1048">
        <v>0.01</v>
      </c>
      <c r="P945" s="1048"/>
      <c r="Q945" s="1048"/>
      <c r="R945" s="1048"/>
      <c r="S945" s="1048"/>
      <c r="T945" s="1048"/>
      <c r="U945" s="1102"/>
    </row>
    <row r="946" spans="2:21" hidden="1" outlineLevel="1">
      <c r="B946" s="1050">
        <v>12</v>
      </c>
      <c r="C946" s="1050" t="str">
        <f t="shared" si="85"/>
        <v>2019 - usage : Transports, France continentale, Base Carbone</v>
      </c>
      <c r="D946" s="1051">
        <f t="shared" si="86"/>
        <v>4</v>
      </c>
      <c r="E946" s="1051" t="str">
        <f>IF(COUNTIF(E$934:E945,F946)&gt;0,"",F946)</f>
        <v/>
      </c>
      <c r="F946" s="1051" t="str">
        <f t="shared" si="87"/>
        <v>2011 - usage : Transports, France continentale, Base Carbone</v>
      </c>
      <c r="G946" s="1055" t="str">
        <f t="shared" si="88"/>
        <v>2011 - usage : Transports, France continentale, Base Carbone; kgCO2e/kWh, Pertes</v>
      </c>
      <c r="I946" s="1100" t="s">
        <v>1725</v>
      </c>
      <c r="J946" s="1119" t="s">
        <v>1681</v>
      </c>
      <c r="K946" s="1133" t="s">
        <v>1567</v>
      </c>
      <c r="L946" s="1048" t="s">
        <v>1571</v>
      </c>
      <c r="M946" s="1033">
        <v>0.3</v>
      </c>
      <c r="N946" s="1032" t="s">
        <v>1766</v>
      </c>
      <c r="O946" s="1048">
        <v>6.0000000000000001E-3</v>
      </c>
      <c r="P946" s="1048"/>
      <c r="Q946" s="1048"/>
      <c r="R946" s="1048"/>
      <c r="S946" s="1048"/>
      <c r="T946" s="1048"/>
      <c r="U946" s="1102"/>
    </row>
    <row r="947" spans="2:21" hidden="1" outlineLevel="1">
      <c r="B947" s="1050">
        <v>13</v>
      </c>
      <c r="C947" s="1050" t="str">
        <f t="shared" si="85"/>
        <v>2020 - usage : Transports, France continentale, Base Carbone</v>
      </c>
      <c r="D947" s="1051">
        <f t="shared" si="86"/>
        <v>5</v>
      </c>
      <c r="E947" s="1051" t="str">
        <f>IF(COUNTIF(E$934:E946,F947)&gt;0,"",F947)</f>
        <v>2012 - usage : Transports, France continentale, Base Carbone</v>
      </c>
      <c r="F947" s="1051" t="str">
        <f t="shared" si="87"/>
        <v>2012 - usage : Transports, France continentale, Base Carbone</v>
      </c>
      <c r="G947" s="1055" t="str">
        <f t="shared" si="88"/>
        <v>2012 - usage : Transports, France continentale, Base Carbone; kgCO2e/kWh, Combustion à la centrale</v>
      </c>
      <c r="I947" s="1100" t="s">
        <v>1735</v>
      </c>
      <c r="J947" s="1119" t="s">
        <v>1681</v>
      </c>
      <c r="K947" s="1133" t="s">
        <v>1567</v>
      </c>
      <c r="L947" s="1048" t="s">
        <v>1571</v>
      </c>
      <c r="M947" s="1033">
        <v>0.3</v>
      </c>
      <c r="N947" s="1032" t="s">
        <v>1763</v>
      </c>
      <c r="O947" s="1048">
        <v>3.4000000000000002E-2</v>
      </c>
      <c r="P947" s="1048"/>
      <c r="Q947" s="1048"/>
      <c r="R947" s="1048"/>
      <c r="S947" s="1048"/>
      <c r="T947" s="1048"/>
      <c r="U947" s="1102"/>
    </row>
    <row r="948" spans="2:21" hidden="1" outlineLevel="1">
      <c r="B948" s="1050">
        <v>14</v>
      </c>
      <c r="C948" s="1050" t="str">
        <f t="shared" si="85"/>
        <v>usage : Transports, France continentale, Base Carbone</v>
      </c>
      <c r="D948" s="1051">
        <f t="shared" si="86"/>
        <v>5</v>
      </c>
      <c r="E948" s="1051" t="str">
        <f>IF(COUNTIF(E$934:E947,F948)&gt;0,"",F948)</f>
        <v/>
      </c>
      <c r="F948" s="1051" t="str">
        <f t="shared" si="87"/>
        <v>2012 - usage : Transports, France continentale, Base Carbone</v>
      </c>
      <c r="G948" s="1055" t="str">
        <f t="shared" si="88"/>
        <v>2012 - usage : Transports, France continentale, Base Carbone; kgCO2e/kWh, Amont</v>
      </c>
      <c r="I948" s="1100" t="s">
        <v>1735</v>
      </c>
      <c r="J948" s="1048" t="s">
        <v>1681</v>
      </c>
      <c r="K948" s="1133" t="s">
        <v>1567</v>
      </c>
      <c r="L948" s="1048" t="s">
        <v>1571</v>
      </c>
      <c r="M948" s="1033">
        <v>0.3</v>
      </c>
      <c r="N948" s="1048" t="s">
        <v>1570</v>
      </c>
      <c r="O948" s="1048">
        <v>0.01</v>
      </c>
      <c r="P948" s="1048"/>
      <c r="Q948" s="1048"/>
      <c r="R948" s="1048"/>
      <c r="S948" s="1048"/>
      <c r="T948" s="1048"/>
      <c r="U948" s="1102"/>
    </row>
    <row r="949" spans="2:21" hidden="1" outlineLevel="1">
      <c r="B949" s="1050">
        <v>15</v>
      </c>
      <c r="C949" s="1050" t="str">
        <f t="shared" si="85"/>
        <v>-</v>
      </c>
      <c r="D949" s="1051">
        <f t="shared" si="86"/>
        <v>5</v>
      </c>
      <c r="E949" s="1051" t="str">
        <f>IF(COUNTIF(E$934:E948,F949)&gt;0,"",F949)</f>
        <v/>
      </c>
      <c r="F949" s="1051" t="str">
        <f t="shared" si="87"/>
        <v>2012 - usage : Transports, France continentale, Base Carbone</v>
      </c>
      <c r="G949" s="1055" t="str">
        <f t="shared" si="88"/>
        <v>2012 - usage : Transports, France continentale, Base Carbone; kgCO2e/kWh, Pertes</v>
      </c>
      <c r="I949" s="1100" t="s">
        <v>1735</v>
      </c>
      <c r="J949" s="1048" t="s">
        <v>1681</v>
      </c>
      <c r="K949" s="1133" t="s">
        <v>1567</v>
      </c>
      <c r="L949" s="1048" t="s">
        <v>1571</v>
      </c>
      <c r="M949" s="1033">
        <v>0.3</v>
      </c>
      <c r="N949" s="1048" t="s">
        <v>1766</v>
      </c>
      <c r="O949" s="1048">
        <v>6.0000000000000001E-3</v>
      </c>
      <c r="P949" s="1048"/>
      <c r="Q949" s="1048"/>
      <c r="R949" s="1048"/>
      <c r="S949" s="1048"/>
      <c r="T949" s="1048"/>
      <c r="U949" s="1102"/>
    </row>
    <row r="950" spans="2:21" hidden="1" outlineLevel="1">
      <c r="B950" s="1050">
        <v>16</v>
      </c>
      <c r="C950" s="1050" t="str">
        <f t="shared" si="85"/>
        <v>-</v>
      </c>
      <c r="D950" s="1051">
        <f t="shared" si="86"/>
        <v>6</v>
      </c>
      <c r="E950" s="1051" t="str">
        <f>IF(COUNTIF(E$934:E949,F950)&gt;0,"",F950)</f>
        <v>2013 - usage : Transports, France continentale, Base Carbone</v>
      </c>
      <c r="F950" s="1051" t="str">
        <f t="shared" si="87"/>
        <v>2013 - usage : Transports, France continentale, Base Carbone</v>
      </c>
      <c r="G950" s="1055" t="str">
        <f t="shared" si="88"/>
        <v>2013 - usage : Transports, France continentale, Base Carbone; kgCO2e/kWh, Combustion à la centrale</v>
      </c>
      <c r="I950" s="1100" t="s">
        <v>1745</v>
      </c>
      <c r="J950" s="1048" t="s">
        <v>1681</v>
      </c>
      <c r="K950" s="1133" t="s">
        <v>1567</v>
      </c>
      <c r="L950" s="1048" t="s">
        <v>1571</v>
      </c>
      <c r="M950" s="1033">
        <v>0.3</v>
      </c>
      <c r="N950" s="1048" t="s">
        <v>1763</v>
      </c>
      <c r="O950" s="1048">
        <v>3.5000000000000003E-2</v>
      </c>
      <c r="P950" s="1048"/>
      <c r="Q950" s="1048"/>
      <c r="R950" s="1048"/>
      <c r="S950" s="1048"/>
      <c r="T950" s="1048"/>
      <c r="U950" s="1102"/>
    </row>
    <row r="951" spans="2:21" hidden="1" outlineLevel="1">
      <c r="B951" s="1050"/>
      <c r="C951" s="1050"/>
      <c r="D951" s="1051">
        <f t="shared" si="86"/>
        <v>6</v>
      </c>
      <c r="E951" s="1051" t="str">
        <f>IF(COUNTIF(E$934:E950,F951)&gt;0,"",F951)</f>
        <v/>
      </c>
      <c r="F951" s="1051" t="str">
        <f t="shared" si="87"/>
        <v>2013 - usage : Transports, France continentale, Base Carbone</v>
      </c>
      <c r="G951" s="1055" t="str">
        <f t="shared" si="88"/>
        <v>2013 - usage : Transports, France continentale, Base Carbone; kgCO2e/kWh, Amont</v>
      </c>
      <c r="I951" s="1100" t="s">
        <v>1745</v>
      </c>
      <c r="J951" s="1048" t="s">
        <v>1681</v>
      </c>
      <c r="K951" s="1133" t="s">
        <v>1567</v>
      </c>
      <c r="L951" s="1048" t="s">
        <v>1571</v>
      </c>
      <c r="M951" s="1033">
        <v>0.3</v>
      </c>
      <c r="N951" s="1048" t="s">
        <v>1570</v>
      </c>
      <c r="O951" s="1048">
        <v>0.01</v>
      </c>
      <c r="P951" s="1048"/>
      <c r="Q951" s="1048"/>
      <c r="R951" s="1048"/>
      <c r="S951" s="1048"/>
      <c r="T951" s="1048"/>
      <c r="U951" s="1102"/>
    </row>
    <row r="952" spans="2:21" hidden="1" outlineLevel="1">
      <c r="B952" s="1050"/>
      <c r="C952" s="1050"/>
      <c r="D952" s="1051">
        <f t="shared" si="86"/>
        <v>6</v>
      </c>
      <c r="E952" s="1051" t="str">
        <f>IF(COUNTIF(E$934:E951,F952)&gt;0,"",F952)</f>
        <v/>
      </c>
      <c r="F952" s="1051" t="str">
        <f t="shared" si="87"/>
        <v>2013 - usage : Transports, France continentale, Base Carbone</v>
      </c>
      <c r="G952" s="1055" t="str">
        <f t="shared" si="88"/>
        <v>2013 - usage : Transports, France continentale, Base Carbone; kgCO2e/kWh, Pertes</v>
      </c>
      <c r="I952" s="1100" t="s">
        <v>1745</v>
      </c>
      <c r="J952" s="1048" t="s">
        <v>1681</v>
      </c>
      <c r="K952" s="1133" t="s">
        <v>1567</v>
      </c>
      <c r="L952" s="1048" t="s">
        <v>1571</v>
      </c>
      <c r="M952" s="1033">
        <v>0.3</v>
      </c>
      <c r="N952" s="1048" t="s">
        <v>1766</v>
      </c>
      <c r="O952" s="1048">
        <v>7.0000000000000001E-3</v>
      </c>
      <c r="P952" s="1048"/>
      <c r="Q952" s="1048"/>
      <c r="R952" s="1048"/>
      <c r="S952" s="1048"/>
      <c r="T952" s="1048"/>
      <c r="U952" s="1102"/>
    </row>
    <row r="953" spans="2:21" hidden="1" outlineLevel="1">
      <c r="B953" s="1050"/>
      <c r="C953" s="1050"/>
      <c r="D953" s="1051">
        <f t="shared" si="86"/>
        <v>7</v>
      </c>
      <c r="E953" s="1051" t="str">
        <f>IF(COUNTIF(E$934:E952,F953)&gt;0,"",F953)</f>
        <v>2014 - usage : Transports, France continentale, Base Carbone</v>
      </c>
      <c r="F953" s="1051" t="str">
        <f t="shared" si="87"/>
        <v>2014 - usage : Transports, France continentale, Base Carbone</v>
      </c>
      <c r="G953" s="1055" t="str">
        <f t="shared" si="88"/>
        <v>2014 - usage : Transports, France continentale, Base Carbone; kgCO2e/kWh, Combustion à la centrale</v>
      </c>
      <c r="I953" s="1100" t="s">
        <v>1755</v>
      </c>
      <c r="J953" s="1048" t="s">
        <v>1681</v>
      </c>
      <c r="K953" s="1133" t="s">
        <v>1567</v>
      </c>
      <c r="L953" s="1048" t="s">
        <v>1571</v>
      </c>
      <c r="M953" s="1033">
        <v>0.3</v>
      </c>
      <c r="N953" s="1048" t="s">
        <v>1763</v>
      </c>
      <c r="O953" s="1048">
        <v>3.1E-2</v>
      </c>
      <c r="P953" s="1048"/>
      <c r="Q953" s="1048"/>
      <c r="R953" s="1048"/>
      <c r="S953" s="1048"/>
      <c r="T953" s="1048"/>
      <c r="U953" s="1102"/>
    </row>
    <row r="954" spans="2:21" hidden="1" outlineLevel="1">
      <c r="B954" s="1050"/>
      <c r="C954" s="1050"/>
      <c r="D954" s="1051">
        <f t="shared" si="86"/>
        <v>7</v>
      </c>
      <c r="E954" s="1051" t="str">
        <f>IF(COUNTIF(E$934:E953,F954)&gt;0,"",F954)</f>
        <v/>
      </c>
      <c r="F954" s="1051" t="str">
        <f t="shared" si="87"/>
        <v>2014 - usage : Transports, France continentale, Base Carbone</v>
      </c>
      <c r="G954" s="1055" t="str">
        <f t="shared" si="88"/>
        <v>2014 - usage : Transports, France continentale, Base Carbone; kgCO2e/kWh, Amont</v>
      </c>
      <c r="I954" s="1100" t="s">
        <v>1755</v>
      </c>
      <c r="J954" s="1048" t="s">
        <v>1681</v>
      </c>
      <c r="K954" s="1133" t="s">
        <v>1567</v>
      </c>
      <c r="L954" s="1048" t="s">
        <v>1571</v>
      </c>
      <c r="M954" s="1033">
        <v>0.3</v>
      </c>
      <c r="N954" s="1048" t="s">
        <v>1570</v>
      </c>
      <c r="O954" s="1048">
        <v>0.01</v>
      </c>
      <c r="P954" s="1048"/>
      <c r="Q954" s="1048"/>
      <c r="R954" s="1048"/>
      <c r="S954" s="1048"/>
      <c r="T954" s="1048"/>
      <c r="U954" s="1102"/>
    </row>
    <row r="955" spans="2:21" hidden="1" outlineLevel="1">
      <c r="B955" s="1050"/>
      <c r="C955" s="1050"/>
      <c r="D955" s="1051">
        <f t="shared" si="86"/>
        <v>7</v>
      </c>
      <c r="E955" s="1051" t="str">
        <f>IF(COUNTIF(E$934:E954,F955)&gt;0,"",F955)</f>
        <v/>
      </c>
      <c r="F955" s="1051" t="str">
        <f t="shared" si="87"/>
        <v>2014 - usage : Transports, France continentale, Base Carbone</v>
      </c>
      <c r="G955" s="1055" t="str">
        <f t="shared" si="88"/>
        <v>2014 - usage : Transports, France continentale, Base Carbone; kgCO2e/kWh, Pertes</v>
      </c>
      <c r="I955" s="1100" t="s">
        <v>1755</v>
      </c>
      <c r="J955" s="1048" t="s">
        <v>1681</v>
      </c>
      <c r="K955" s="1133" t="s">
        <v>1567</v>
      </c>
      <c r="L955" s="1048" t="s">
        <v>1571</v>
      </c>
      <c r="M955" s="1033">
        <v>0.3</v>
      </c>
      <c r="N955" s="1048" t="s">
        <v>1766</v>
      </c>
      <c r="O955" s="1048">
        <v>7.0000000000000001E-3</v>
      </c>
      <c r="P955" s="1048"/>
      <c r="Q955" s="1048"/>
      <c r="R955" s="1048"/>
      <c r="S955" s="1048"/>
      <c r="T955" s="1048"/>
      <c r="U955" s="1102"/>
    </row>
    <row r="956" spans="2:21" hidden="1" outlineLevel="1">
      <c r="B956" s="1050"/>
      <c r="C956" s="1050"/>
      <c r="D956" s="1051">
        <f t="shared" si="86"/>
        <v>8</v>
      </c>
      <c r="E956" s="1051" t="str">
        <f>IF(COUNTIF(E$934:E955,F956)&gt;0,"",F956)</f>
        <v>2015 - usage : Transports, France continentale, Base Carbone</v>
      </c>
      <c r="F956" s="1051" t="str">
        <f t="shared" si="87"/>
        <v>2015 - usage : Transports, France continentale, Base Carbone</v>
      </c>
      <c r="G956" s="1055" t="str">
        <f t="shared" si="88"/>
        <v>2015 - usage : Transports, France continentale, Base Carbone; kgCO2e/kWh, Combustion à la centrale</v>
      </c>
      <c r="I956" s="1100" t="s">
        <v>2819</v>
      </c>
      <c r="J956" t="s">
        <v>1681</v>
      </c>
      <c r="K956" t="s">
        <v>1567</v>
      </c>
      <c r="L956" t="s">
        <v>1571</v>
      </c>
      <c r="M956" s="2592">
        <v>0.3</v>
      </c>
      <c r="N956" t="s">
        <v>1763</v>
      </c>
      <c r="O956">
        <v>2.2100000000000002E-2</v>
      </c>
      <c r="P956" s="1048"/>
      <c r="Q956" s="1048"/>
      <c r="R956" s="1048"/>
      <c r="S956" s="1048"/>
      <c r="T956" s="1048"/>
      <c r="U956" s="1102"/>
    </row>
    <row r="957" spans="2:21" hidden="1" outlineLevel="1">
      <c r="B957" s="1050"/>
      <c r="C957" s="1050"/>
      <c r="D957" s="1051">
        <f t="shared" si="86"/>
        <v>8</v>
      </c>
      <c r="E957" s="1051" t="str">
        <f>IF(COUNTIF(E$934:E956,F957)&gt;0,"",F957)</f>
        <v/>
      </c>
      <c r="F957" s="1051" t="str">
        <f t="shared" si="87"/>
        <v>2015 - usage : Transports, France continentale, Base Carbone</v>
      </c>
      <c r="G957" s="1055" t="str">
        <f t="shared" si="88"/>
        <v>2015 - usage : Transports, France continentale, Base Carbone; kgCO2e/kWh, Amont</v>
      </c>
      <c r="I957" s="1100" t="s">
        <v>2819</v>
      </c>
      <c r="J957" s="1048" t="s">
        <v>1681</v>
      </c>
      <c r="K957" s="1133" t="s">
        <v>1567</v>
      </c>
      <c r="L957" s="1048" t="s">
        <v>1571</v>
      </c>
      <c r="M957" s="1033">
        <v>0.3</v>
      </c>
      <c r="N957" s="1048" t="s">
        <v>1570</v>
      </c>
      <c r="O957" s="1048">
        <v>8.9999999999999993E-3</v>
      </c>
      <c r="P957" s="1048"/>
      <c r="Q957" s="1048"/>
      <c r="R957" s="1048"/>
      <c r="S957" s="1048"/>
      <c r="T957" s="1048"/>
      <c r="U957" s="1102"/>
    </row>
    <row r="958" spans="2:21" hidden="1" outlineLevel="1">
      <c r="B958" s="1050"/>
      <c r="C958" s="1050"/>
      <c r="D958" s="1051">
        <f t="shared" si="86"/>
        <v>8</v>
      </c>
      <c r="E958" s="1051" t="str">
        <f>IF(COUNTIF(E$934:E957,F958)&gt;0,"",F958)</f>
        <v/>
      </c>
      <c r="F958" s="1051" t="str">
        <f t="shared" si="87"/>
        <v>2015 - usage : Transports, France continentale, Base Carbone</v>
      </c>
      <c r="G958" s="1055" t="str">
        <f t="shared" si="88"/>
        <v>2015 - usage : Transports, France continentale, Base Carbone; kgCO2e/kWh, Pertes</v>
      </c>
      <c r="I958" s="1100" t="s">
        <v>2819</v>
      </c>
      <c r="J958" s="1048" t="s">
        <v>1681</v>
      </c>
      <c r="K958" s="1133" t="s">
        <v>1567</v>
      </c>
      <c r="L958" s="1048" t="s">
        <v>1571</v>
      </c>
      <c r="M958" s="1033">
        <v>0.3</v>
      </c>
      <c r="N958" s="1048" t="s">
        <v>1766</v>
      </c>
      <c r="O958" s="1048">
        <v>5.1999999999999998E-3</v>
      </c>
      <c r="P958" s="1048"/>
      <c r="Q958" s="1048"/>
      <c r="R958" s="1048"/>
      <c r="S958" s="1048"/>
      <c r="T958" s="1048"/>
      <c r="U958" s="1102"/>
    </row>
    <row r="959" spans="2:21" hidden="1" outlineLevel="1">
      <c r="B959" s="1050"/>
      <c r="C959" s="1050"/>
      <c r="D959" s="1051">
        <f t="shared" si="86"/>
        <v>9</v>
      </c>
      <c r="E959" s="1051" t="str">
        <f>IF(COUNTIF(E$934:E958,F959)&gt;0,"",F959)</f>
        <v>2016 - usage : Transports, France continentale, Base Carbone</v>
      </c>
      <c r="F959" s="1051" t="str">
        <f t="shared" si="87"/>
        <v>2016 - usage : Transports, France continentale, Base Carbone</v>
      </c>
      <c r="G959" s="1055" t="str">
        <f t="shared" si="88"/>
        <v>2016 - usage : Transports, France continentale, Base Carbone; kgCO2e/kWh, Combustion à la centrale</v>
      </c>
      <c r="I959" s="2018" t="s">
        <v>2828</v>
      </c>
      <c r="J959" s="1135" t="s">
        <v>1681</v>
      </c>
      <c r="K959" s="1119" t="s">
        <v>1567</v>
      </c>
      <c r="L959" s="1135" t="s">
        <v>1571</v>
      </c>
      <c r="M959" s="2062">
        <v>0.3</v>
      </c>
      <c r="N959" s="1119" t="s">
        <v>1763</v>
      </c>
      <c r="O959" s="1135">
        <v>2.0799999999999999E-2</v>
      </c>
      <c r="P959" s="1048"/>
      <c r="Q959" s="1048"/>
      <c r="R959" s="1048"/>
      <c r="S959" s="1048"/>
      <c r="T959" s="1048"/>
      <c r="U959" s="1102"/>
    </row>
    <row r="960" spans="2:21" hidden="1" outlineLevel="1">
      <c r="B960" s="1050"/>
      <c r="C960" s="1050"/>
      <c r="D960" s="1051">
        <f t="shared" si="86"/>
        <v>9</v>
      </c>
      <c r="E960" s="1051" t="str">
        <f>IF(COUNTIF(E$934:E959,F960)&gt;0,"",F960)</f>
        <v/>
      </c>
      <c r="F960" s="1051" t="str">
        <f t="shared" si="87"/>
        <v>2016 - usage : Transports, France continentale, Base Carbone</v>
      </c>
      <c r="G960" s="1055" t="str">
        <f t="shared" si="88"/>
        <v>2016 - usage : Transports, France continentale, Base Carbone; kgCO2e/kWh, Amont</v>
      </c>
      <c r="I960" s="2018" t="s">
        <v>2828</v>
      </c>
      <c r="J960" s="1135" t="s">
        <v>1681</v>
      </c>
      <c r="K960" s="1119" t="s">
        <v>1567</v>
      </c>
      <c r="L960" s="1119" t="s">
        <v>1571</v>
      </c>
      <c r="M960" s="2062">
        <v>0.3</v>
      </c>
      <c r="N960" s="1119" t="s">
        <v>1570</v>
      </c>
      <c r="O960" s="1135">
        <v>9.1000000000000004E-3</v>
      </c>
      <c r="P960" s="1048"/>
      <c r="Q960" s="1048"/>
      <c r="R960" s="1048"/>
      <c r="S960" s="1048"/>
      <c r="T960" s="1048"/>
      <c r="U960" s="1102"/>
    </row>
    <row r="961" spans="2:21" hidden="1" outlineLevel="1">
      <c r="B961" s="1050"/>
      <c r="C961" s="1050"/>
      <c r="D961" s="1051">
        <f t="shared" si="86"/>
        <v>9</v>
      </c>
      <c r="E961" s="1051" t="str">
        <f>IF(COUNTIF(E$934:E960,F961)&gt;0,"",F961)</f>
        <v/>
      </c>
      <c r="F961" s="1051" t="str">
        <f t="shared" si="87"/>
        <v>2016 - usage : Transports, France continentale, Base Carbone</v>
      </c>
      <c r="G961" s="1055" t="str">
        <f t="shared" si="88"/>
        <v>2016 - usage : Transports, France continentale, Base Carbone; kgCO2e/kWh, Pertes</v>
      </c>
      <c r="I961" s="2018" t="s">
        <v>2828</v>
      </c>
      <c r="J961" s="1135" t="s">
        <v>1681</v>
      </c>
      <c r="K961" s="1119" t="s">
        <v>1567</v>
      </c>
      <c r="L961" s="1119" t="s">
        <v>1571</v>
      </c>
      <c r="M961" s="2062">
        <v>0.3</v>
      </c>
      <c r="N961" s="1119" t="s">
        <v>1766</v>
      </c>
      <c r="O961" s="1135">
        <v>4.8999999999999998E-3</v>
      </c>
      <c r="P961" s="1048"/>
      <c r="Q961" s="1048"/>
      <c r="R961" s="1048"/>
      <c r="S961" s="1048"/>
      <c r="T961" s="1048"/>
      <c r="U961" s="1102"/>
    </row>
    <row r="962" spans="2:21" hidden="1" outlineLevel="1">
      <c r="B962" s="1050"/>
      <c r="C962" s="1050"/>
      <c r="D962" s="1051">
        <f t="shared" si="86"/>
        <v>10</v>
      </c>
      <c r="E962" s="1051" t="str">
        <f>IF(COUNTIF(E$934:E961,F962)&gt;0,"",F962)</f>
        <v>2017 - usage : Transports, France continentale, Base Carbone</v>
      </c>
      <c r="F962" s="1051" t="str">
        <f t="shared" si="87"/>
        <v>2017 - usage : Transports, France continentale, Base Carbone</v>
      </c>
      <c r="G962" s="1055" t="str">
        <f t="shared" si="88"/>
        <v>2017 - usage : Transports, France continentale, Base Carbone; kgCO2e/kWh, Combustion à la centrale</v>
      </c>
      <c r="I962" s="2018" t="s">
        <v>3115</v>
      </c>
      <c r="J962" s="1135" t="s">
        <v>1681</v>
      </c>
      <c r="K962" s="1119" t="s">
        <v>1567</v>
      </c>
      <c r="L962" s="1119" t="s">
        <v>1571</v>
      </c>
      <c r="M962" s="2062">
        <v>0.3</v>
      </c>
      <c r="N962" s="1119" t="s">
        <v>1763</v>
      </c>
      <c r="O962" s="1135">
        <v>2.06E-2</v>
      </c>
      <c r="P962" s="1048"/>
      <c r="Q962" s="1048"/>
      <c r="R962" s="1048"/>
      <c r="S962" s="1048"/>
      <c r="T962" s="1048"/>
      <c r="U962" s="1102"/>
    </row>
    <row r="963" spans="2:21" hidden="1" outlineLevel="1">
      <c r="B963" s="1050"/>
      <c r="C963" s="1050"/>
      <c r="D963" s="1051">
        <f t="shared" si="86"/>
        <v>10</v>
      </c>
      <c r="E963" s="1051" t="str">
        <f>IF(COUNTIF(E$934:E962,F963)&gt;0,"",F963)</f>
        <v/>
      </c>
      <c r="F963" s="1051" t="str">
        <f t="shared" si="87"/>
        <v>2017 - usage : Transports, France continentale, Base Carbone</v>
      </c>
      <c r="G963" s="1055" t="str">
        <f t="shared" si="88"/>
        <v>2017 - usage : Transports, France continentale, Base Carbone; kgCO2e/kWh, Amont</v>
      </c>
      <c r="I963" s="2018" t="s">
        <v>3115</v>
      </c>
      <c r="J963" s="1135" t="s">
        <v>1681</v>
      </c>
      <c r="K963" s="1119" t="s">
        <v>1567</v>
      </c>
      <c r="L963" s="1119" t="s">
        <v>1571</v>
      </c>
      <c r="M963" s="2062">
        <v>0.3</v>
      </c>
      <c r="N963" s="1119" t="s">
        <v>1570</v>
      </c>
      <c r="O963" s="1135">
        <v>9.5999999999999992E-3</v>
      </c>
      <c r="P963" s="1048"/>
      <c r="Q963" s="1048"/>
      <c r="R963" s="1048"/>
      <c r="S963" s="1048"/>
      <c r="T963" s="1048"/>
      <c r="U963" s="1102"/>
    </row>
    <row r="964" spans="2:21" hidden="1" outlineLevel="1">
      <c r="B964" s="1050"/>
      <c r="C964" s="1050"/>
      <c r="D964" s="1051">
        <f t="shared" si="86"/>
        <v>10</v>
      </c>
      <c r="E964" s="1051" t="str">
        <f>IF(COUNTIF(E$934:E963,F964)&gt;0,"",F964)</f>
        <v/>
      </c>
      <c r="F964" s="1051" t="str">
        <f t="shared" si="87"/>
        <v>2017 - usage : Transports, France continentale, Base Carbone</v>
      </c>
      <c r="G964" s="1055" t="str">
        <f t="shared" si="88"/>
        <v>2017 - usage : Transports, France continentale, Base Carbone; kgCO2e/kWh, Pertes</v>
      </c>
      <c r="I964" s="2018" t="s">
        <v>3115</v>
      </c>
      <c r="J964" s="1135" t="s">
        <v>1681</v>
      </c>
      <c r="K964" s="1119" t="s">
        <v>1567</v>
      </c>
      <c r="L964" s="1119" t="s">
        <v>1571</v>
      </c>
      <c r="M964" s="2062">
        <v>0.3</v>
      </c>
      <c r="N964" s="1119" t="s">
        <v>1766</v>
      </c>
      <c r="O964" s="1135">
        <v>4.4000000000000003E-3</v>
      </c>
      <c r="P964" s="1048"/>
      <c r="Q964" s="1048"/>
      <c r="R964" s="1048"/>
      <c r="S964" s="1048"/>
      <c r="T964" s="1048"/>
      <c r="U964" s="1102"/>
    </row>
    <row r="965" spans="2:21" hidden="1" outlineLevel="1">
      <c r="B965" s="1050"/>
      <c r="C965" s="1050"/>
      <c r="D965" s="1051">
        <f t="shared" si="86"/>
        <v>11</v>
      </c>
      <c r="E965" s="1051" t="str">
        <f>IF(COUNTIF(E$934:E964,F965)&gt;0,"",F965)</f>
        <v>2018 - usage : Transports, France continentale, Base Carbone</v>
      </c>
      <c r="F965" s="1051" t="str">
        <f t="shared" si="87"/>
        <v>2018 - usage : Transports, France continentale, Base Carbone</v>
      </c>
      <c r="G965" s="1055" t="str">
        <f t="shared" si="88"/>
        <v>2018 - usage : Transports, France continentale, Base Carbone; kgCO2e/kWh, Combustion à la centrale</v>
      </c>
      <c r="I965" s="2018" t="s">
        <v>3123</v>
      </c>
      <c r="J965" s="1135" t="s">
        <v>1681</v>
      </c>
      <c r="K965" s="1119" t="s">
        <v>1567</v>
      </c>
      <c r="L965" s="1119" t="s">
        <v>1571</v>
      </c>
      <c r="M965" s="2062">
        <v>0.3</v>
      </c>
      <c r="N965" s="1119" t="s">
        <v>1763</v>
      </c>
      <c r="O965" s="1135">
        <v>2.3699999999999999E-2</v>
      </c>
      <c r="P965" s="1048"/>
      <c r="Q965" s="1048"/>
      <c r="R965" s="1048"/>
      <c r="S965" s="1048"/>
      <c r="T965" s="1048"/>
      <c r="U965" s="1102"/>
    </row>
    <row r="966" spans="2:21" hidden="1" outlineLevel="1">
      <c r="B966" s="1050"/>
      <c r="C966" s="1050"/>
      <c r="D966" s="1051">
        <f t="shared" si="86"/>
        <v>11</v>
      </c>
      <c r="E966" s="1051" t="str">
        <f>IF(COUNTIF(E$934:E965,F966)&gt;0,"",F966)</f>
        <v/>
      </c>
      <c r="F966" s="1051" t="str">
        <f t="shared" si="87"/>
        <v>2018 - usage : Transports, France continentale, Base Carbone</v>
      </c>
      <c r="G966" s="1055" t="str">
        <f t="shared" si="88"/>
        <v>2018 - usage : Transports, France continentale, Base Carbone; kgCO2e/kWh, Amont</v>
      </c>
      <c r="I966" s="2018" t="s">
        <v>3123</v>
      </c>
      <c r="J966" s="1135" t="s">
        <v>1681</v>
      </c>
      <c r="K966" s="1119" t="s">
        <v>1567</v>
      </c>
      <c r="L966" s="1119" t="s">
        <v>1571</v>
      </c>
      <c r="M966" s="2062">
        <v>0.3</v>
      </c>
      <c r="N966" s="1119" t="s">
        <v>1570</v>
      </c>
      <c r="O966" s="1135">
        <v>1.0500000000000001E-2</v>
      </c>
      <c r="P966" s="1048"/>
      <c r="Q966" s="1048"/>
      <c r="R966" s="1048"/>
      <c r="S966" s="1048"/>
      <c r="T966" s="1048"/>
      <c r="U966" s="1102"/>
    </row>
    <row r="967" spans="2:21" hidden="1" outlineLevel="1">
      <c r="B967" s="1050"/>
      <c r="C967" s="1050"/>
      <c r="D967" s="1051">
        <f t="shared" si="86"/>
        <v>11</v>
      </c>
      <c r="E967" s="1051" t="str">
        <f>IF(COUNTIF(E$934:E966,F967)&gt;0,"",F967)</f>
        <v/>
      </c>
      <c r="F967" s="1051" t="str">
        <f t="shared" si="87"/>
        <v>2018 - usage : Transports, France continentale, Base Carbone</v>
      </c>
      <c r="G967" s="1055" t="str">
        <f t="shared" si="88"/>
        <v>2018 - usage : Transports, France continentale, Base Carbone; kgCO2e/kWh, Pertes</v>
      </c>
      <c r="I967" s="2018" t="s">
        <v>3123</v>
      </c>
      <c r="J967" s="1135" t="s">
        <v>1681</v>
      </c>
      <c r="K967" s="1119" t="s">
        <v>1567</v>
      </c>
      <c r="L967" s="1119" t="s">
        <v>1571</v>
      </c>
      <c r="M967" s="2062">
        <v>0.3</v>
      </c>
      <c r="N967" s="1119" t="s">
        <v>1766</v>
      </c>
      <c r="O967" s="1135">
        <v>4.4000000000000003E-3</v>
      </c>
      <c r="P967" s="1048"/>
      <c r="Q967" s="1048"/>
      <c r="R967" s="1048"/>
      <c r="S967" s="1048"/>
      <c r="T967" s="1048"/>
      <c r="U967" s="1102"/>
    </row>
    <row r="968" spans="2:21" hidden="1" outlineLevel="1">
      <c r="B968" s="1050"/>
      <c r="C968" s="1050"/>
      <c r="D968" s="1051">
        <f t="shared" si="86"/>
        <v>12</v>
      </c>
      <c r="E968" s="1051" t="str">
        <f>IF(COUNTIF(E$934:E967,F968)&gt;0,"",F968)</f>
        <v>2019 - usage : Transports, France continentale, Base Carbone</v>
      </c>
      <c r="F968" s="1051" t="str">
        <f t="shared" si="87"/>
        <v>2019 - usage : Transports, France continentale, Base Carbone</v>
      </c>
      <c r="G968" s="1055" t="str">
        <f t="shared" si="88"/>
        <v>2019 - usage : Transports, France continentale, Base Carbone; kgCO2e/kWh, Combustion à la centrale</v>
      </c>
      <c r="I968" s="2018" t="s">
        <v>5028</v>
      </c>
      <c r="J968" s="1135" t="s">
        <v>1681</v>
      </c>
      <c r="K968" s="1119" t="s">
        <v>1567</v>
      </c>
      <c r="L968" s="1119" t="s">
        <v>1571</v>
      </c>
      <c r="M968" s="2062">
        <v>0.3</v>
      </c>
      <c r="N968" s="1135" t="s">
        <v>1763</v>
      </c>
      <c r="O968" s="1135">
        <v>4.2000000000000003E-2</v>
      </c>
      <c r="P968" s="1048"/>
      <c r="Q968" s="1048"/>
      <c r="R968" s="1048"/>
      <c r="S968" s="1048"/>
      <c r="T968" s="1048"/>
      <c r="U968" s="1102"/>
    </row>
    <row r="969" spans="2:21" hidden="1" outlineLevel="1">
      <c r="B969" s="1050"/>
      <c r="C969" s="1050"/>
      <c r="D969" s="1051">
        <f t="shared" si="86"/>
        <v>12</v>
      </c>
      <c r="E969" s="1051" t="str">
        <f>IF(COUNTIF(E$934:E968,F969)&gt;0,"",F969)</f>
        <v/>
      </c>
      <c r="F969" s="1051" t="str">
        <f t="shared" si="87"/>
        <v>2019 - usage : Transports, France continentale, Base Carbone</v>
      </c>
      <c r="G969" s="1055" t="str">
        <f t="shared" si="88"/>
        <v>2019 - usage : Transports, France continentale, Base Carbone; kgCO2e/kWh, Amont</v>
      </c>
      <c r="I969" s="2018" t="s">
        <v>5028</v>
      </c>
      <c r="J969" s="1135" t="s">
        <v>1681</v>
      </c>
      <c r="K969" s="1119" t="s">
        <v>1567</v>
      </c>
      <c r="L969" s="1119" t="s">
        <v>1571</v>
      </c>
      <c r="M969" s="2062">
        <v>0.3</v>
      </c>
      <c r="N969" s="1135" t="s">
        <v>1570</v>
      </c>
      <c r="O969" s="1135">
        <v>1.37E-2</v>
      </c>
      <c r="P969" s="1048"/>
      <c r="Q969" s="1048"/>
      <c r="R969" s="1048"/>
      <c r="S969" s="1048"/>
      <c r="T969" s="1048"/>
      <c r="U969" s="1102"/>
    </row>
    <row r="970" spans="2:21" hidden="1" outlineLevel="1">
      <c r="B970" s="1050"/>
      <c r="C970" s="1050"/>
      <c r="D970" s="1051">
        <f t="shared" si="86"/>
        <v>12</v>
      </c>
      <c r="E970" s="1051" t="str">
        <f>IF(COUNTIF(E$934:E969,F970)&gt;0,"",F970)</f>
        <v/>
      </c>
      <c r="F970" s="1051" t="str">
        <f t="shared" si="87"/>
        <v>2019 - usage : Transports, France continentale, Base Carbone</v>
      </c>
      <c r="G970" s="1055" t="str">
        <f t="shared" si="88"/>
        <v>2019 - usage : Transports, France continentale, Base Carbone; kgCO2e/kWh, Pertes</v>
      </c>
      <c r="I970" s="2018" t="s">
        <v>5028</v>
      </c>
      <c r="J970" s="1135" t="s">
        <v>1681</v>
      </c>
      <c r="K970" s="1119" t="s">
        <v>1567</v>
      </c>
      <c r="L970" s="1119" t="s">
        <v>1571</v>
      </c>
      <c r="M970" s="2062">
        <v>0.3</v>
      </c>
      <c r="N970" s="1135" t="s">
        <v>1766</v>
      </c>
      <c r="O970" s="1135">
        <v>4.5199999999999997E-3</v>
      </c>
      <c r="P970" s="1048"/>
      <c r="Q970" s="1048"/>
      <c r="R970" s="1048"/>
      <c r="S970" s="1048"/>
      <c r="T970" s="1048"/>
      <c r="U970" s="1102"/>
    </row>
    <row r="971" spans="2:21" hidden="1" outlineLevel="1">
      <c r="B971" s="1050"/>
      <c r="C971" s="1050"/>
      <c r="D971" s="1051">
        <f t="shared" si="86"/>
        <v>13</v>
      </c>
      <c r="E971" s="1051" t="str">
        <f>IF(COUNTIF(E$934:E970,F971)&gt;0,"",F971)</f>
        <v>2020 - usage : Transports, France continentale, Base Carbone</v>
      </c>
      <c r="F971" s="1051" t="str">
        <f t="shared" si="87"/>
        <v>2020 - usage : Transports, France continentale, Base Carbone</v>
      </c>
      <c r="G971" s="1055" t="str">
        <f t="shared" si="88"/>
        <v>2020 - usage : Transports, France continentale, Base Carbone; kgCO2e/kWh, Combustion à la centrale</v>
      </c>
      <c r="I971" s="2018" t="s">
        <v>5037</v>
      </c>
      <c r="J971" s="1135" t="s">
        <v>1681</v>
      </c>
      <c r="K971" s="1119" t="s">
        <v>1567</v>
      </c>
      <c r="L971" s="1119" t="s">
        <v>1571</v>
      </c>
      <c r="M971" s="2062">
        <v>0.3</v>
      </c>
      <c r="N971" s="1135" t="s">
        <v>1763</v>
      </c>
      <c r="O971" s="1135">
        <v>4.1500000000000002E-2</v>
      </c>
      <c r="P971" s="1048"/>
      <c r="Q971" s="1048"/>
      <c r="R971" s="1048"/>
      <c r="S971" s="1048"/>
      <c r="T971" s="1048"/>
      <c r="U971" s="1102"/>
    </row>
    <row r="972" spans="2:21" hidden="1" outlineLevel="1">
      <c r="B972" s="1050"/>
      <c r="C972" s="1050"/>
      <c r="D972" s="1051">
        <f t="shared" si="86"/>
        <v>13</v>
      </c>
      <c r="E972" s="1051" t="str">
        <f>IF(COUNTIF(E$934:E971,F972)&gt;0,"",F972)</f>
        <v/>
      </c>
      <c r="F972" s="1051" t="str">
        <f t="shared" si="87"/>
        <v>2020 - usage : Transports, France continentale, Base Carbone</v>
      </c>
      <c r="G972" s="1055" t="str">
        <f t="shared" si="88"/>
        <v>2020 - usage : Transports, France continentale, Base Carbone; kgCO2e/kWh, Amont</v>
      </c>
      <c r="I972" s="2018" t="s">
        <v>5037</v>
      </c>
      <c r="J972" s="1135" t="s">
        <v>1681</v>
      </c>
      <c r="K972" s="1119" t="s">
        <v>1567</v>
      </c>
      <c r="L972" s="1119" t="s">
        <v>1571</v>
      </c>
      <c r="M972" s="2062">
        <v>0.3</v>
      </c>
      <c r="N972" s="1135" t="s">
        <v>1570</v>
      </c>
      <c r="O972" s="1135">
        <v>1.4E-2</v>
      </c>
      <c r="P972" s="1048"/>
      <c r="Q972" s="1048"/>
      <c r="R972" s="1048"/>
      <c r="S972" s="1048"/>
      <c r="T972" s="1048"/>
      <c r="U972" s="1102"/>
    </row>
    <row r="973" spans="2:21" hidden="1" outlineLevel="1">
      <c r="B973" s="1050"/>
      <c r="C973" s="1050"/>
      <c r="D973" s="1051">
        <f t="shared" si="86"/>
        <v>13</v>
      </c>
      <c r="E973" s="1051" t="str">
        <f>IF(COUNTIF(E$934:E972,F973)&gt;0,"",F973)</f>
        <v/>
      </c>
      <c r="F973" s="1051" t="str">
        <f t="shared" si="87"/>
        <v>2020 - usage : Transports, France continentale, Base Carbone</v>
      </c>
      <c r="G973" s="1055" t="str">
        <f t="shared" si="88"/>
        <v>2020 - usage : Transports, France continentale, Base Carbone; kgCO2e/kWh, Pertes</v>
      </c>
      <c r="I973" s="2018" t="s">
        <v>5037</v>
      </c>
      <c r="J973" s="1135" t="s">
        <v>1681</v>
      </c>
      <c r="K973" s="1119" t="s">
        <v>1567</v>
      </c>
      <c r="L973" s="1119" t="s">
        <v>1571</v>
      </c>
      <c r="M973" s="2062">
        <v>0.3</v>
      </c>
      <c r="N973" s="1135" t="s">
        <v>1766</v>
      </c>
      <c r="O973" s="1135">
        <v>4.4799999999999996E-3</v>
      </c>
      <c r="P973" s="1048"/>
      <c r="Q973" s="1048"/>
      <c r="R973" s="1048"/>
      <c r="S973" s="1048"/>
      <c r="T973" s="1048"/>
      <c r="U973" s="1102"/>
    </row>
    <row r="974" spans="2:21" hidden="1" outlineLevel="1">
      <c r="B974" s="1050"/>
      <c r="C974" s="1050"/>
      <c r="D974" s="1051">
        <f t="shared" si="86"/>
        <v>14</v>
      </c>
      <c r="E974" s="1051" t="str">
        <f>IF(COUNTIF(E$934:E973,F974)&gt;0,"",F974)</f>
        <v>usage : Transports, France continentale, Base Carbone</v>
      </c>
      <c r="F974" s="1051" t="str">
        <f t="shared" si="87"/>
        <v>usage : Transports, France continentale, Base Carbone</v>
      </c>
      <c r="G974" s="1055" t="str">
        <f t="shared" si="88"/>
        <v>usage : Transports, France continentale, Base Carbone; kgCO2e/kWh, Amont</v>
      </c>
      <c r="I974" s="1100" t="s">
        <v>1759</v>
      </c>
      <c r="J974" s="1048" t="s">
        <v>1681</v>
      </c>
      <c r="K974" s="1133" t="s">
        <v>1567</v>
      </c>
      <c r="L974" s="1048" t="s">
        <v>1571</v>
      </c>
      <c r="M974" s="1033">
        <v>0.3</v>
      </c>
      <c r="N974" s="1048" t="s">
        <v>1570</v>
      </c>
      <c r="O974" s="1048">
        <f>0.05998</f>
        <v>5.9979999999999999E-2</v>
      </c>
      <c r="P974" s="1048"/>
      <c r="Q974" s="1048"/>
      <c r="R974" s="1048"/>
      <c r="S974" s="1048"/>
      <c r="T974" s="1048"/>
      <c r="U974" s="1102"/>
    </row>
    <row r="975" spans="2:21" hidden="1" outlineLevel="1">
      <c r="B975" s="1050"/>
      <c r="C975" s="1050"/>
      <c r="D975" s="1051">
        <f t="shared" si="86"/>
        <v>14</v>
      </c>
      <c r="E975" s="1051" t="str">
        <f>IF(COUNTIF(E$934:E974,F975)&gt;0,"",F975)</f>
        <v/>
      </c>
      <c r="F975" s="1051" t="str">
        <f t="shared" si="87"/>
        <v/>
      </c>
      <c r="G975" s="1055" t="str">
        <f t="shared" si="88"/>
        <v/>
      </c>
      <c r="I975" s="1100"/>
      <c r="J975" s="1048"/>
      <c r="K975" s="1133"/>
      <c r="L975" s="1048"/>
      <c r="M975" s="1033"/>
      <c r="N975" s="1048"/>
      <c r="O975" s="1048"/>
      <c r="P975" s="1048"/>
      <c r="Q975" s="1048"/>
      <c r="R975" s="1048"/>
      <c r="S975" s="1048"/>
      <c r="T975" s="1048"/>
      <c r="U975" s="1102"/>
    </row>
    <row r="976" spans="2:21" hidden="1" outlineLevel="1">
      <c r="B976" s="1050"/>
      <c r="C976" s="1050"/>
      <c r="D976" s="1051">
        <f t="shared" si="86"/>
        <v>14</v>
      </c>
      <c r="E976" s="1051" t="str">
        <f>IF(COUNTIF(E$934:E975,F976)&gt;0,"",F976)</f>
        <v/>
      </c>
      <c r="F976" s="1051" t="str">
        <f t="shared" si="87"/>
        <v/>
      </c>
      <c r="G976" s="1055" t="str">
        <f t="shared" si="88"/>
        <v/>
      </c>
      <c r="I976" s="1100"/>
      <c r="J976" s="1048"/>
      <c r="K976" s="1133"/>
      <c r="L976" s="1048"/>
      <c r="M976" s="1033"/>
      <c r="N976" s="1048"/>
      <c r="O976" s="1048"/>
      <c r="P976" s="1048"/>
      <c r="Q976" s="1048"/>
      <c r="R976" s="1048"/>
      <c r="S976" s="1048"/>
      <c r="T976" s="1048"/>
      <c r="U976" s="1102"/>
    </row>
    <row r="977" spans="2:21" hidden="1" outlineLevel="1">
      <c r="B977" s="1050"/>
      <c r="C977" s="1050"/>
      <c r="D977" s="1051">
        <f t="shared" si="86"/>
        <v>14</v>
      </c>
      <c r="E977" s="1051" t="str">
        <f>IF(COUNTIF(E$934:E976,F977)&gt;0,"",F977)</f>
        <v/>
      </c>
      <c r="F977" s="1051" t="str">
        <f t="shared" si="87"/>
        <v/>
      </c>
      <c r="G977" s="1055" t="str">
        <f t="shared" si="88"/>
        <v/>
      </c>
      <c r="I977" s="1100"/>
      <c r="J977" s="1048"/>
      <c r="K977" s="1133"/>
      <c r="L977" s="1048"/>
      <c r="M977" s="1033"/>
      <c r="N977" s="1048"/>
      <c r="O977" s="1048"/>
      <c r="P977" s="1048"/>
      <c r="Q977" s="1048"/>
      <c r="R977" s="1048"/>
      <c r="S977" s="1048"/>
      <c r="T977" s="1048"/>
      <c r="U977" s="1102"/>
    </row>
    <row r="978" spans="2:21" hidden="1" outlineLevel="1">
      <c r="B978" s="1050"/>
      <c r="C978" s="1050"/>
      <c r="D978" s="1051">
        <f t="shared" si="86"/>
        <v>14</v>
      </c>
      <c r="E978" s="1051" t="str">
        <f>IF(COUNTIF(E$934:E977,F978)&gt;0,"",F978)</f>
        <v/>
      </c>
      <c r="F978" s="1051" t="str">
        <f t="shared" si="87"/>
        <v/>
      </c>
      <c r="G978" s="1055" t="str">
        <f t="shared" si="88"/>
        <v/>
      </c>
      <c r="I978" s="1100"/>
      <c r="J978" s="1048"/>
      <c r="K978" s="1133"/>
      <c r="L978" s="1048"/>
      <c r="M978" s="1033"/>
      <c r="N978" s="1048"/>
      <c r="O978" s="1048"/>
      <c r="P978" s="1048"/>
      <c r="Q978" s="1048"/>
      <c r="R978" s="1048"/>
      <c r="S978" s="1048"/>
      <c r="T978" s="1048"/>
      <c r="U978" s="1102"/>
    </row>
    <row r="979" spans="2:21" hidden="1" outlineLevel="1">
      <c r="B979" s="1050"/>
      <c r="C979" s="1050"/>
      <c r="D979" s="1051">
        <f t="shared" si="86"/>
        <v>14</v>
      </c>
      <c r="E979" s="1051" t="str">
        <f>IF(COUNTIF(E$934:E978,F979)&gt;0,"",F979)</f>
        <v/>
      </c>
      <c r="F979" s="1051" t="str">
        <f t="shared" si="87"/>
        <v/>
      </c>
      <c r="G979" s="1055" t="str">
        <f t="shared" si="88"/>
        <v/>
      </c>
      <c r="I979" s="1100"/>
      <c r="P979" s="1048"/>
      <c r="Q979" s="1048"/>
      <c r="R979" s="1048"/>
      <c r="S979" s="1048"/>
      <c r="T979" s="1048"/>
      <c r="U979" s="1102"/>
    </row>
    <row r="980" spans="2:21" hidden="1" outlineLevel="1">
      <c r="B980" s="1050"/>
      <c r="C980" s="1050"/>
      <c r="D980" s="1051">
        <f t="shared" si="86"/>
        <v>14</v>
      </c>
      <c r="E980" s="1051" t="str">
        <f>IF(COUNTIF(E$934:E979,F980)&gt;0,"",F980)</f>
        <v/>
      </c>
      <c r="F980" s="1051" t="str">
        <f t="shared" si="87"/>
        <v/>
      </c>
      <c r="G980" s="1055" t="str">
        <f t="shared" si="88"/>
        <v/>
      </c>
      <c r="I980" s="1103"/>
      <c r="J980" s="1104"/>
      <c r="K980" s="1263"/>
      <c r="L980" s="1104"/>
      <c r="M980" s="1155"/>
      <c r="N980" s="1104"/>
      <c r="O980" s="1104"/>
      <c r="P980" s="1104"/>
      <c r="Q980" s="1104"/>
      <c r="R980" s="1104"/>
      <c r="S980" s="1104"/>
      <c r="T980" s="1104"/>
      <c r="U980" s="1106"/>
    </row>
    <row r="981" spans="2:21" hidden="1" outlineLevel="1"/>
    <row r="982" spans="2:21"/>
    <row r="983" spans="2:21" ht="15.6" collapsed="1">
      <c r="I983" s="3167" t="s">
        <v>2275</v>
      </c>
      <c r="J983" s="3168"/>
      <c r="K983" s="3168"/>
      <c r="L983" s="3168"/>
      <c r="M983" s="3168"/>
      <c r="N983" s="3168"/>
      <c r="O983" s="3168"/>
      <c r="P983" s="3168"/>
      <c r="Q983" s="3168"/>
      <c r="R983" s="3168"/>
      <c r="S983" s="3168"/>
      <c r="T983" s="3168"/>
      <c r="U983" s="3169"/>
    </row>
    <row r="984" spans="2:21" hidden="1" outlineLevel="1">
      <c r="R984" s="1083"/>
    </row>
    <row r="985" spans="2:21" ht="12.75" hidden="1" customHeight="1" outlineLevel="1">
      <c r="B985" s="3154" t="s">
        <v>1617</v>
      </c>
      <c r="C985" s="3154"/>
      <c r="D985" s="3157" t="s">
        <v>1619</v>
      </c>
      <c r="E985" s="3157"/>
      <c r="F985" s="1246" t="s">
        <v>1616</v>
      </c>
      <c r="G985" s="1053" t="s">
        <v>1618</v>
      </c>
      <c r="H985" s="1044"/>
      <c r="I985" s="1107" t="s">
        <v>1557</v>
      </c>
      <c r="J985" s="1108" t="s">
        <v>1266</v>
      </c>
      <c r="K985" s="1109" t="s">
        <v>224</v>
      </c>
      <c r="L985" s="1109" t="s">
        <v>1558</v>
      </c>
      <c r="M985" s="1110" t="s">
        <v>366</v>
      </c>
      <c r="N985" s="1108" t="s">
        <v>1559</v>
      </c>
      <c r="O985" s="1111" t="s">
        <v>1560</v>
      </c>
      <c r="P985" s="1109" t="s">
        <v>211</v>
      </c>
      <c r="Q985" s="1109" t="s">
        <v>1561</v>
      </c>
      <c r="R985" s="1111" t="s">
        <v>1562</v>
      </c>
      <c r="S985" s="1111" t="s">
        <v>267</v>
      </c>
      <c r="T985" s="1109" t="s">
        <v>1563</v>
      </c>
      <c r="U985" s="1112" t="s">
        <v>1564</v>
      </c>
    </row>
    <row r="986" spans="2:21" s="1045" customFormat="1" ht="12.75" hidden="1" customHeight="1" outlineLevel="1">
      <c r="B986" s="3156" t="s">
        <v>2322</v>
      </c>
      <c r="C986" s="3156"/>
      <c r="D986" s="1051">
        <v>0</v>
      </c>
      <c r="E986" s="1051"/>
      <c r="F986" s="1051"/>
      <c r="G986" s="1054"/>
      <c r="H986" s="1046"/>
      <c r="I986" s="1688"/>
      <c r="J986" s="1689"/>
      <c r="K986" s="1690"/>
      <c r="L986" s="1690"/>
      <c r="M986" s="1691"/>
      <c r="N986" s="1689"/>
      <c r="O986" s="1692"/>
      <c r="P986" s="1690"/>
      <c r="Q986" s="1690"/>
      <c r="R986" s="1692"/>
      <c r="S986" s="1692"/>
      <c r="T986" s="1690"/>
      <c r="U986" s="1693"/>
    </row>
    <row r="987" spans="2:21" hidden="1" outlineLevel="1">
      <c r="B987" s="1050">
        <v>1</v>
      </c>
      <c r="C987" s="1050" t="str">
        <f>IF(ISNA(VLOOKUP(B987,$D$986:$E$1060,2,FALSE)),"-",VLOOKUP(B987,$D$986:$E$1060,2,FALSE))</f>
        <v>mobilité longue distance, France continentale, Base Carbone</v>
      </c>
      <c r="D987" s="1051">
        <f>D986+IF(LEN(E987)&gt;0,1,0)</f>
        <v>1</v>
      </c>
      <c r="E987" s="1051" t="str">
        <f>IF(COUNTIF(E$986:E986,F987)&gt;0,"",F987)</f>
        <v>mobilité longue distance, France continentale, Base Carbone</v>
      </c>
      <c r="F987" s="1051" t="str">
        <f>IF(I987&lt;&gt;"",I987&amp;IF(L987&lt;&gt;"",", "&amp;L987,"")&amp;IF(K987&lt;&gt;"",", "&amp;K987,""),"")</f>
        <v>mobilité longue distance, France continentale, Base Carbone</v>
      </c>
      <c r="G987" s="1055" t="str">
        <f t="shared" ref="G987:G1018" si="89">IF(F987&lt;&gt;"",F987&amp;IF(J987&lt;&gt;"","; "&amp;J987,"")&amp;IF(N987&lt;&gt;"",", "&amp;N987,""),"")</f>
        <v>mobilité longue distance, France continentale, Base Carbone; km / (personne.an), 2 roues</v>
      </c>
      <c r="I987" s="1031" t="s">
        <v>2280</v>
      </c>
      <c r="J987" s="1119" t="s">
        <v>2278</v>
      </c>
      <c r="K987" s="1133" t="s">
        <v>1567</v>
      </c>
      <c r="L987" s="1032" t="s">
        <v>1571</v>
      </c>
      <c r="M987" s="1033">
        <v>0.3</v>
      </c>
      <c r="N987" s="1032" t="s">
        <v>1473</v>
      </c>
      <c r="O987" s="1036">
        <v>12.9</v>
      </c>
      <c r="P987" s="1036"/>
      <c r="Q987" s="1036"/>
      <c r="R987" s="1036"/>
      <c r="S987" s="1036"/>
      <c r="T987" s="1036"/>
      <c r="U987" s="1037"/>
    </row>
    <row r="988" spans="2:21" hidden="1" outlineLevel="1">
      <c r="B988" s="1050">
        <v>2</v>
      </c>
      <c r="C988" s="1050" t="str">
        <f t="shared" ref="C988:C1001" si="90">IF(ISNA(VLOOKUP(B988,$D$986:$E$1060,2,FALSE)),"-",VLOOKUP(B988,$D$986:$E$1060,2,FALSE))</f>
        <v>mobilité longue distance, Guyane, Base Carbone</v>
      </c>
      <c r="D988" s="1051">
        <f t="shared" ref="D988:D1051" si="91">D987+IF(LEN(E988)&gt;0,1,0)</f>
        <v>1</v>
      </c>
      <c r="E988" s="1051" t="str">
        <f>IF(COUNTIF(E$986:E987,F988)&gt;0,"",F988)</f>
        <v/>
      </c>
      <c r="F988" s="1051" t="str">
        <f t="shared" ref="F988:F1051" si="92">IF(I988&lt;&gt;"",I988&amp;IF(L988&lt;&gt;"",", "&amp;L988,"")&amp;IF(K988&lt;&gt;"",", "&amp;K988,""),"")</f>
        <v>mobilité longue distance, France continentale, Base Carbone</v>
      </c>
      <c r="G988" s="1055" t="str">
        <f t="shared" si="89"/>
        <v>mobilité longue distance, France continentale, Base Carbone; km / (personne.an), avion</v>
      </c>
      <c r="I988" s="1100" t="s">
        <v>2280</v>
      </c>
      <c r="J988" s="1119" t="s">
        <v>2278</v>
      </c>
      <c r="K988" s="1133" t="s">
        <v>1567</v>
      </c>
      <c r="L988" s="1048" t="s">
        <v>1571</v>
      </c>
      <c r="M988" s="1033">
        <v>0.8</v>
      </c>
      <c r="N988" s="1032" t="s">
        <v>1477</v>
      </c>
      <c r="O988" s="1192">
        <v>1380</v>
      </c>
      <c r="P988" s="1048"/>
      <c r="Q988" s="1048"/>
      <c r="R988" s="1048"/>
      <c r="S988" s="1048"/>
      <c r="T988" s="1048"/>
      <c r="U988" s="1102"/>
    </row>
    <row r="989" spans="2:21" hidden="1" outlineLevel="1">
      <c r="B989" s="1050">
        <v>3</v>
      </c>
      <c r="C989" s="1050" t="str">
        <f t="shared" si="90"/>
        <v>mobilité longue distance, La Réunion, Base Carbone</v>
      </c>
      <c r="D989" s="1051">
        <f t="shared" si="91"/>
        <v>2</v>
      </c>
      <c r="E989" s="1051" t="str">
        <f>IF(COUNTIF(E$986:E988,F989)&gt;0,"",F989)</f>
        <v>mobilité longue distance, Guyane, Base Carbone</v>
      </c>
      <c r="F989" s="1051" t="str">
        <f t="shared" si="92"/>
        <v>mobilité longue distance, Guyane, Base Carbone</v>
      </c>
      <c r="G989" s="1055" t="str">
        <f t="shared" si="89"/>
        <v>mobilité longue distance, Guyane, Base Carbone; km / (personne.an), avion</v>
      </c>
      <c r="I989" s="1100" t="s">
        <v>2280</v>
      </c>
      <c r="J989" s="1119" t="s">
        <v>2278</v>
      </c>
      <c r="K989" s="1133" t="s">
        <v>1567</v>
      </c>
      <c r="L989" s="1048" t="s">
        <v>782</v>
      </c>
      <c r="M989" s="1033">
        <v>0.3</v>
      </c>
      <c r="N989" s="1032" t="s">
        <v>1477</v>
      </c>
      <c r="O989" s="1192">
        <v>4020</v>
      </c>
      <c r="P989" s="1048"/>
      <c r="Q989" s="1048"/>
      <c r="R989" s="1048"/>
      <c r="S989" s="1048"/>
      <c r="T989" s="1048"/>
      <c r="U989" s="1102"/>
    </row>
    <row r="990" spans="2:21" hidden="1" outlineLevel="1">
      <c r="B990" s="1050">
        <v>4</v>
      </c>
      <c r="C990" s="1050" t="str">
        <f t="shared" si="90"/>
        <v>mobilité longue distance, Guadeloupe, Base Carbone</v>
      </c>
      <c r="D990" s="1051">
        <f t="shared" si="91"/>
        <v>3</v>
      </c>
      <c r="E990" s="1051" t="str">
        <f>IF(COUNTIF(E$986:E989,F990)&gt;0,"",F990)</f>
        <v>mobilité longue distance, La Réunion, Base Carbone</v>
      </c>
      <c r="F990" s="1051" t="str">
        <f t="shared" si="92"/>
        <v>mobilité longue distance, La Réunion, Base Carbone</v>
      </c>
      <c r="G990" s="1055" t="str">
        <f t="shared" si="89"/>
        <v>mobilité longue distance, La Réunion, Base Carbone; km / (personne.an), avion</v>
      </c>
      <c r="I990" s="1100" t="s">
        <v>2280</v>
      </c>
      <c r="J990" s="1119" t="s">
        <v>2278</v>
      </c>
      <c r="K990" s="1133" t="s">
        <v>1567</v>
      </c>
      <c r="L990" s="1048" t="s">
        <v>2279</v>
      </c>
      <c r="M990" s="1033">
        <v>0.3</v>
      </c>
      <c r="N990" s="1032" t="s">
        <v>1477</v>
      </c>
      <c r="O990" s="1192">
        <v>4020</v>
      </c>
      <c r="P990" s="1048"/>
      <c r="Q990" s="1048"/>
      <c r="R990" s="1048"/>
      <c r="S990" s="1048"/>
      <c r="T990" s="1048"/>
      <c r="U990" s="1102"/>
    </row>
    <row r="991" spans="2:21" hidden="1" outlineLevel="1">
      <c r="B991" s="1050">
        <v>5</v>
      </c>
      <c r="C991" s="1050" t="str">
        <f t="shared" si="90"/>
        <v>mobilité longue distance, Martinique, Base Carbone</v>
      </c>
      <c r="D991" s="1051">
        <f t="shared" si="91"/>
        <v>4</v>
      </c>
      <c r="E991" s="1051" t="str">
        <f>IF(COUNTIF(E$986:E990,F991)&gt;0,"",F991)</f>
        <v>mobilité longue distance, Guadeloupe, Base Carbone</v>
      </c>
      <c r="F991" s="1051" t="str">
        <f t="shared" si="92"/>
        <v>mobilité longue distance, Guadeloupe, Base Carbone</v>
      </c>
      <c r="G991" s="1055" t="str">
        <f t="shared" si="89"/>
        <v>mobilité longue distance, Guadeloupe, Base Carbone; km / (personne.an), avion</v>
      </c>
      <c r="I991" s="1100" t="s">
        <v>2280</v>
      </c>
      <c r="J991" s="1119" t="s">
        <v>2278</v>
      </c>
      <c r="K991" s="1133" t="s">
        <v>1567</v>
      </c>
      <c r="L991" s="1048" t="s">
        <v>784</v>
      </c>
      <c r="M991" s="1033">
        <v>0.3</v>
      </c>
      <c r="N991" s="1032" t="s">
        <v>1477</v>
      </c>
      <c r="O991" s="1192">
        <v>4020</v>
      </c>
      <c r="P991" s="1048"/>
      <c r="Q991" s="1048"/>
      <c r="R991" s="1048"/>
      <c r="S991" s="1048"/>
      <c r="T991" s="1048"/>
      <c r="U991" s="1102"/>
    </row>
    <row r="992" spans="2:21" hidden="1" outlineLevel="1">
      <c r="B992" s="1050">
        <v>6</v>
      </c>
      <c r="C992" s="1050" t="str">
        <f t="shared" si="90"/>
        <v>mobilité longue distance, Nouvelle-Calédonie, Base Carbone</v>
      </c>
      <c r="D992" s="1051">
        <f t="shared" si="91"/>
        <v>5</v>
      </c>
      <c r="E992" s="1051" t="str">
        <f>IF(COUNTIF(E$986:E991,F992)&gt;0,"",F992)</f>
        <v>mobilité longue distance, Martinique, Base Carbone</v>
      </c>
      <c r="F992" s="1051" t="str">
        <f t="shared" si="92"/>
        <v>mobilité longue distance, Martinique, Base Carbone</v>
      </c>
      <c r="G992" s="1055" t="str">
        <f t="shared" si="89"/>
        <v>mobilité longue distance, Martinique, Base Carbone; km / (personne.an), avion</v>
      </c>
      <c r="I992" s="1100" t="s">
        <v>2280</v>
      </c>
      <c r="J992" s="1119" t="s">
        <v>2278</v>
      </c>
      <c r="K992" s="1133" t="s">
        <v>1567</v>
      </c>
      <c r="L992" s="1048" t="s">
        <v>786</v>
      </c>
      <c r="M992" s="1033">
        <v>0.3</v>
      </c>
      <c r="N992" s="1032" t="s">
        <v>1477</v>
      </c>
      <c r="O992" s="1192">
        <v>4020</v>
      </c>
      <c r="P992" s="1048"/>
      <c r="Q992" s="1048"/>
      <c r="R992" s="1048"/>
      <c r="S992" s="1048"/>
      <c r="T992" s="1048"/>
      <c r="U992" s="1102"/>
    </row>
    <row r="993" spans="2:21" hidden="1" outlineLevel="1">
      <c r="B993" s="1050">
        <v>7</v>
      </c>
      <c r="C993" s="1050" t="str">
        <f t="shared" si="90"/>
        <v>mobilité quotidienne, France continentale, Base Carbone</v>
      </c>
      <c r="D993" s="1051">
        <f t="shared" si="91"/>
        <v>6</v>
      </c>
      <c r="E993" s="1051" t="str">
        <f>IF(COUNTIF(E$986:E992,F993)&gt;0,"",F993)</f>
        <v>mobilité longue distance, Nouvelle-Calédonie, Base Carbone</v>
      </c>
      <c r="F993" s="1051" t="str">
        <f t="shared" si="92"/>
        <v>mobilité longue distance, Nouvelle-Calédonie, Base Carbone</v>
      </c>
      <c r="G993" s="1055" t="str">
        <f t="shared" si="89"/>
        <v>mobilité longue distance, Nouvelle-Calédonie, Base Carbone; km / (personne.an), avion</v>
      </c>
      <c r="I993" s="1100" t="s">
        <v>2280</v>
      </c>
      <c r="J993" s="1119" t="s">
        <v>2278</v>
      </c>
      <c r="K993" s="1133" t="s">
        <v>1567</v>
      </c>
      <c r="L993" s="1048" t="s">
        <v>781</v>
      </c>
      <c r="M993" s="1033">
        <v>0.3</v>
      </c>
      <c r="N993" s="1032" t="s">
        <v>1477</v>
      </c>
      <c r="O993" s="1192">
        <v>6030</v>
      </c>
      <c r="P993" s="1048"/>
      <c r="Q993" s="1048"/>
      <c r="R993" s="1048"/>
      <c r="S993" s="1048"/>
      <c r="T993" s="1048"/>
      <c r="U993" s="1102"/>
    </row>
    <row r="994" spans="2:21" hidden="1" outlineLevel="1">
      <c r="B994" s="1050">
        <v>8</v>
      </c>
      <c r="C994" s="1050" t="str">
        <f t="shared" si="90"/>
        <v>Part du bus dans les transports en commun, France continentale, Base Carbone</v>
      </c>
      <c r="D994" s="1051">
        <f t="shared" si="91"/>
        <v>6</v>
      </c>
      <c r="E994" s="1051" t="str">
        <f>IF(COUNTIF(E$986:E993,F994)&gt;0,"",F994)</f>
        <v/>
      </c>
      <c r="F994" s="1051" t="str">
        <f t="shared" si="92"/>
        <v>mobilité longue distance, France continentale, Base Carbone</v>
      </c>
      <c r="G994" s="1055" t="str">
        <f t="shared" si="89"/>
        <v>mobilité longue distance, France continentale, Base Carbone; km / (personne.an), bus</v>
      </c>
      <c r="I994" s="1100" t="s">
        <v>2280</v>
      </c>
      <c r="J994" s="1119" t="s">
        <v>2278</v>
      </c>
      <c r="K994" s="1133" t="s">
        <v>1567</v>
      </c>
      <c r="L994" s="1048" t="s">
        <v>1571</v>
      </c>
      <c r="M994" s="1033">
        <v>0.3</v>
      </c>
      <c r="N994" s="1032" t="s">
        <v>1475</v>
      </c>
      <c r="O994" s="1192">
        <v>215</v>
      </c>
      <c r="P994" s="1048"/>
      <c r="Q994" s="1048"/>
      <c r="R994" s="1048"/>
      <c r="S994" s="1048"/>
      <c r="T994" s="1048"/>
      <c r="U994" s="1102"/>
    </row>
    <row r="995" spans="2:21" hidden="1" outlineLevel="1">
      <c r="B995" s="1050">
        <v>9</v>
      </c>
      <c r="C995" s="1050" t="str">
        <f t="shared" si="90"/>
        <v>Part du bus dans les transports en commun, Polynésie Française, Base Carbone</v>
      </c>
      <c r="D995" s="1051">
        <f t="shared" si="91"/>
        <v>6</v>
      </c>
      <c r="E995" s="1051" t="str">
        <f>IF(COUNTIF(E$986:E994,F995)&gt;0,"",F995)</f>
        <v/>
      </c>
      <c r="F995" s="1051" t="str">
        <f t="shared" si="92"/>
        <v>mobilité longue distance, France continentale, Base Carbone</v>
      </c>
      <c r="G995" s="1055" t="str">
        <f t="shared" si="89"/>
        <v>mobilité longue distance, France continentale, Base Carbone; km / (personne.an), train</v>
      </c>
      <c r="I995" s="1100" t="s">
        <v>2280</v>
      </c>
      <c r="J995" s="1119" t="s">
        <v>2278</v>
      </c>
      <c r="K995" s="1133" t="s">
        <v>1567</v>
      </c>
      <c r="L995" s="1048" t="s">
        <v>1571</v>
      </c>
      <c r="M995" s="1033">
        <v>0.3</v>
      </c>
      <c r="N995" s="1032" t="s">
        <v>1476</v>
      </c>
      <c r="O995" s="1192">
        <v>773</v>
      </c>
      <c r="P995" s="1048"/>
      <c r="Q995" s="1048"/>
      <c r="R995" s="1048"/>
      <c r="S995" s="1048"/>
      <c r="T995" s="1048"/>
      <c r="U995" s="1102"/>
    </row>
    <row r="996" spans="2:21" hidden="1" outlineLevel="1">
      <c r="B996" s="1050">
        <v>10</v>
      </c>
      <c r="C996" s="1050" t="str">
        <f t="shared" si="90"/>
        <v>Taux d'occupation moyen des voitures, France continentale, Base Carbone</v>
      </c>
      <c r="D996" s="1051">
        <f t="shared" si="91"/>
        <v>6</v>
      </c>
      <c r="E996" s="1051" t="str">
        <f>IF(COUNTIF(E$986:E995,F996)&gt;0,"",F996)</f>
        <v/>
      </c>
      <c r="F996" s="1051" t="str">
        <f t="shared" si="92"/>
        <v>mobilité longue distance, France continentale, Base Carbone</v>
      </c>
      <c r="G996" s="1055" t="str">
        <f t="shared" si="89"/>
        <v>mobilité longue distance, France continentale, Base Carbone; km / (personne.an), voiture</v>
      </c>
      <c r="I996" s="1100" t="s">
        <v>2280</v>
      </c>
      <c r="J996" s="1119" t="s">
        <v>2278</v>
      </c>
      <c r="K996" s="1133" t="s">
        <v>1567</v>
      </c>
      <c r="L996" s="1048" t="s">
        <v>1571</v>
      </c>
      <c r="M996" s="1033">
        <v>0.15</v>
      </c>
      <c r="N996" s="1032" t="s">
        <v>1474</v>
      </c>
      <c r="O996" s="1192">
        <v>1590</v>
      </c>
      <c r="P996" s="1048"/>
      <c r="Q996" s="1048"/>
      <c r="R996" s="1048"/>
      <c r="S996" s="1048"/>
      <c r="T996" s="1048"/>
      <c r="U996" s="1102"/>
    </row>
    <row r="997" spans="2:21" hidden="1" outlineLevel="1">
      <c r="B997" s="1050">
        <v>11</v>
      </c>
      <c r="C997" s="1050" t="str">
        <f t="shared" si="90"/>
        <v>-</v>
      </c>
      <c r="D997" s="1051">
        <f t="shared" si="91"/>
        <v>7</v>
      </c>
      <c r="E997" s="1051" t="str">
        <f>IF(COUNTIF(E$986:E996,F997)&gt;0,"",F997)</f>
        <v>mobilité quotidienne, France continentale, Base Carbone</v>
      </c>
      <c r="F997" s="1051" t="str">
        <f t="shared" si="92"/>
        <v>mobilité quotidienne, France continentale, Base Carbone</v>
      </c>
      <c r="G997" s="1055" t="str">
        <f t="shared" si="89"/>
        <v>mobilité quotidienne, France continentale, Base Carbone; km / (personne.an), agglo 50-300.000 hab banlieue - 2 roues</v>
      </c>
      <c r="I997" s="1100" t="s">
        <v>2281</v>
      </c>
      <c r="J997" s="1119" t="s">
        <v>2278</v>
      </c>
      <c r="K997" s="1133" t="s">
        <v>1567</v>
      </c>
      <c r="L997" s="1048" t="s">
        <v>1571</v>
      </c>
      <c r="M997" s="1033">
        <v>0.1</v>
      </c>
      <c r="N997" s="1032" t="s">
        <v>2282</v>
      </c>
      <c r="O997" s="1192">
        <v>517</v>
      </c>
      <c r="P997" s="1048"/>
      <c r="Q997" s="1048"/>
      <c r="R997" s="1048"/>
      <c r="S997" s="1048"/>
      <c r="T997" s="1048"/>
      <c r="U997" s="1102"/>
    </row>
    <row r="998" spans="2:21" hidden="1" outlineLevel="1">
      <c r="B998" s="1050">
        <v>12</v>
      </c>
      <c r="C998" s="1050" t="str">
        <f t="shared" si="90"/>
        <v>-</v>
      </c>
      <c r="D998" s="1051">
        <f t="shared" si="91"/>
        <v>7</v>
      </c>
      <c r="E998" s="1051" t="str">
        <f>IF(COUNTIF(E$986:E997,F998)&gt;0,"",F998)</f>
        <v/>
      </c>
      <c r="F998" s="1051" t="str">
        <f t="shared" si="92"/>
        <v>mobilité quotidienne, France continentale, Base Carbone</v>
      </c>
      <c r="G998" s="1055" t="str">
        <f t="shared" si="89"/>
        <v>mobilité quotidienne, France continentale, Base Carbone; km / (personne.an), agglo 50-300.000 hab banlieue - bus</v>
      </c>
      <c r="I998" s="1100" t="s">
        <v>2281</v>
      </c>
      <c r="J998" s="1119" t="s">
        <v>2278</v>
      </c>
      <c r="K998" s="1133" t="s">
        <v>1567</v>
      </c>
      <c r="L998" s="1048" t="s">
        <v>1571</v>
      </c>
      <c r="M998" s="1033">
        <v>0.1</v>
      </c>
      <c r="N998" s="1032" t="s">
        <v>2283</v>
      </c>
      <c r="O998" s="1192">
        <v>415</v>
      </c>
      <c r="P998" s="1048"/>
      <c r="Q998" s="1048"/>
      <c r="R998" s="1048"/>
      <c r="S998" s="1048"/>
      <c r="T998" s="1048"/>
      <c r="U998" s="1102"/>
    </row>
    <row r="999" spans="2:21" hidden="1" outlineLevel="1">
      <c r="B999" s="1050">
        <v>13</v>
      </c>
      <c r="C999" s="1050" t="str">
        <f t="shared" si="90"/>
        <v>-</v>
      </c>
      <c r="D999" s="1051">
        <f t="shared" si="91"/>
        <v>7</v>
      </c>
      <c r="E999" s="1051" t="str">
        <f>IF(COUNTIF(E$986:E998,F999)&gt;0,"",F999)</f>
        <v/>
      </c>
      <c r="F999" s="1051" t="str">
        <f t="shared" si="92"/>
        <v>mobilité quotidienne, France continentale, Base Carbone</v>
      </c>
      <c r="G999" s="1055" t="str">
        <f t="shared" si="89"/>
        <v>mobilité quotidienne, France continentale, Base Carbone; km / (personne.an), agglo 50-300.000 hab banlieue - marche</v>
      </c>
      <c r="I999" s="1100" t="s">
        <v>2281</v>
      </c>
      <c r="J999" s="1119" t="s">
        <v>2278</v>
      </c>
      <c r="K999" s="1133" t="s">
        <v>1567</v>
      </c>
      <c r="L999" s="1048" t="s">
        <v>1571</v>
      </c>
      <c r="M999" s="1033">
        <v>0.1</v>
      </c>
      <c r="N999" s="1032" t="s">
        <v>2284</v>
      </c>
      <c r="O999" s="1192">
        <v>1230</v>
      </c>
      <c r="P999" s="1048"/>
      <c r="Q999" s="1048"/>
      <c r="R999" s="1048"/>
      <c r="S999" s="1048"/>
      <c r="T999" s="1048"/>
      <c r="U999" s="1102"/>
    </row>
    <row r="1000" spans="2:21" hidden="1" outlineLevel="1">
      <c r="B1000" s="1050">
        <v>14</v>
      </c>
      <c r="C1000" s="1050" t="str">
        <f t="shared" si="90"/>
        <v>-</v>
      </c>
      <c r="D1000" s="1051">
        <f t="shared" si="91"/>
        <v>7</v>
      </c>
      <c r="E1000" s="1051" t="str">
        <f>IF(COUNTIF(E$986:E999,F1000)&gt;0,"",F1000)</f>
        <v/>
      </c>
      <c r="F1000" s="1051" t="str">
        <f t="shared" si="92"/>
        <v>mobilité quotidienne, France continentale, Base Carbone</v>
      </c>
      <c r="G1000" s="1055" t="str">
        <f t="shared" si="89"/>
        <v>mobilité quotidienne, France continentale, Base Carbone; km / (personne.an), agglo 50-300.000 hab banlieue - voiture</v>
      </c>
      <c r="I1000" s="1100" t="s">
        <v>2281</v>
      </c>
      <c r="J1000" s="1048" t="s">
        <v>2278</v>
      </c>
      <c r="K1000" s="1133" t="s">
        <v>1567</v>
      </c>
      <c r="L1000" s="1048" t="s">
        <v>1571</v>
      </c>
      <c r="M1000" s="1033">
        <v>0.1</v>
      </c>
      <c r="N1000" s="1032" t="s">
        <v>2285</v>
      </c>
      <c r="O1000" s="1192">
        <v>7480</v>
      </c>
      <c r="P1000" s="1048"/>
      <c r="Q1000" s="1048"/>
      <c r="R1000" s="1048"/>
      <c r="S1000" s="1048"/>
      <c r="T1000" s="1048"/>
      <c r="U1000" s="1102"/>
    </row>
    <row r="1001" spans="2:21" hidden="1" outlineLevel="1">
      <c r="B1001" s="1050">
        <v>15</v>
      </c>
      <c r="C1001" s="1050" t="str">
        <f t="shared" si="90"/>
        <v>-</v>
      </c>
      <c r="D1001" s="1051">
        <f t="shared" si="91"/>
        <v>7</v>
      </c>
      <c r="E1001" s="1051" t="str">
        <f>IF(COUNTIF(E$986:E1000,F1001)&gt;0,"",F1001)</f>
        <v/>
      </c>
      <c r="F1001" s="1051" t="str">
        <f t="shared" si="92"/>
        <v>mobilité quotidienne, France continentale, Base Carbone</v>
      </c>
      <c r="G1001" s="1055" t="str">
        <f t="shared" si="89"/>
        <v>mobilité quotidienne, France continentale, Base Carbone; km / (personne.an), agglo 50-300.000 hab centre - 2 roues</v>
      </c>
      <c r="I1001" s="1100" t="s">
        <v>2281</v>
      </c>
      <c r="J1001" s="1048" t="s">
        <v>2278</v>
      </c>
      <c r="K1001" s="1133" t="s">
        <v>1567</v>
      </c>
      <c r="L1001" s="1048" t="s">
        <v>1571</v>
      </c>
      <c r="M1001" s="1033">
        <v>0.1</v>
      </c>
      <c r="N1001" s="1032" t="s">
        <v>2286</v>
      </c>
      <c r="O1001" s="1192">
        <v>276</v>
      </c>
      <c r="P1001" s="1048"/>
      <c r="Q1001" s="1048"/>
      <c r="R1001" s="1048"/>
      <c r="S1001" s="1048"/>
      <c r="T1001" s="1048"/>
      <c r="U1001" s="1102"/>
    </row>
    <row r="1002" spans="2:21" hidden="1" outlineLevel="1">
      <c r="B1002" s="1050"/>
      <c r="C1002" s="1050"/>
      <c r="D1002" s="1051">
        <f t="shared" si="91"/>
        <v>7</v>
      </c>
      <c r="E1002" s="1051" t="str">
        <f>IF(COUNTIF(E$986:E1001,F1002)&gt;0,"",F1002)</f>
        <v/>
      </c>
      <c r="F1002" s="1051" t="str">
        <f t="shared" si="92"/>
        <v>mobilité quotidienne, France continentale, Base Carbone</v>
      </c>
      <c r="G1002" s="1055" t="str">
        <f t="shared" si="89"/>
        <v>mobilité quotidienne, France continentale, Base Carbone; km / (personne.an), agglo 50-300.000 hab centre - bus</v>
      </c>
      <c r="I1002" s="1100" t="s">
        <v>2281</v>
      </c>
      <c r="J1002" s="1048" t="s">
        <v>2278</v>
      </c>
      <c r="K1002" s="1133" t="s">
        <v>1567</v>
      </c>
      <c r="L1002" s="1048" t="s">
        <v>1571</v>
      </c>
      <c r="M1002" s="1033">
        <v>0.1</v>
      </c>
      <c r="N1002" s="1032" t="s">
        <v>2287</v>
      </c>
      <c r="O1002" s="1192">
        <v>377</v>
      </c>
      <c r="P1002" s="1048"/>
      <c r="Q1002" s="1048"/>
      <c r="R1002" s="1048"/>
      <c r="S1002" s="1048"/>
      <c r="T1002" s="1048"/>
      <c r="U1002" s="1102"/>
    </row>
    <row r="1003" spans="2:21" hidden="1" outlineLevel="1">
      <c r="B1003" s="1050"/>
      <c r="C1003" s="1050"/>
      <c r="D1003" s="1051">
        <f t="shared" si="91"/>
        <v>7</v>
      </c>
      <c r="E1003" s="1051" t="str">
        <f>IF(COUNTIF(E$986:E1002,F1003)&gt;0,"",F1003)</f>
        <v/>
      </c>
      <c r="F1003" s="1051" t="str">
        <f t="shared" si="92"/>
        <v>mobilité quotidienne, France continentale, Base Carbone</v>
      </c>
      <c r="G1003" s="1055" t="str">
        <f t="shared" si="89"/>
        <v>mobilité quotidienne, France continentale, Base Carbone; km / (personne.an), agglo 50-300.000 hab centre - marche</v>
      </c>
      <c r="I1003" s="1100" t="s">
        <v>2281</v>
      </c>
      <c r="J1003" s="1048" t="s">
        <v>2278</v>
      </c>
      <c r="K1003" s="1133" t="s">
        <v>1567</v>
      </c>
      <c r="L1003" s="1048" t="s">
        <v>1571</v>
      </c>
      <c r="M1003" s="1033">
        <v>0.1</v>
      </c>
      <c r="N1003" s="1032" t="s">
        <v>2288</v>
      </c>
      <c r="O1003" s="1192">
        <v>1600</v>
      </c>
      <c r="P1003" s="1048"/>
      <c r="Q1003" s="1048"/>
      <c r="R1003" s="1048"/>
      <c r="S1003" s="1048"/>
      <c r="T1003" s="1048"/>
      <c r="U1003" s="1102"/>
    </row>
    <row r="1004" spans="2:21" hidden="1" outlineLevel="1">
      <c r="B1004" s="1050"/>
      <c r="C1004" s="1050"/>
      <c r="D1004" s="1051">
        <f t="shared" si="91"/>
        <v>7</v>
      </c>
      <c r="E1004" s="1051" t="str">
        <f>IF(COUNTIF(E$986:E1003,F1004)&gt;0,"",F1004)</f>
        <v/>
      </c>
      <c r="F1004" s="1051" t="str">
        <f t="shared" si="92"/>
        <v>mobilité quotidienne, France continentale, Base Carbone</v>
      </c>
      <c r="G1004" s="1055" t="str">
        <f t="shared" si="89"/>
        <v>mobilité quotidienne, France continentale, Base Carbone; km / (personne.an), agglo 50-300.000 hab centre - voiture</v>
      </c>
      <c r="I1004" s="1100" t="s">
        <v>2281</v>
      </c>
      <c r="J1004" s="1048" t="s">
        <v>2278</v>
      </c>
      <c r="K1004" s="1133" t="s">
        <v>1567</v>
      </c>
      <c r="L1004" s="1048" t="s">
        <v>1571</v>
      </c>
      <c r="M1004" s="1033">
        <v>0.1</v>
      </c>
      <c r="N1004" s="1032" t="s">
        <v>2289</v>
      </c>
      <c r="O1004" s="1192">
        <v>5500</v>
      </c>
      <c r="P1004" s="1048"/>
      <c r="Q1004" s="1048"/>
      <c r="R1004" s="1048"/>
      <c r="S1004" s="1048"/>
      <c r="T1004" s="1048"/>
      <c r="U1004" s="1102"/>
    </row>
    <row r="1005" spans="2:21" hidden="1" outlineLevel="1">
      <c r="B1005" s="1050"/>
      <c r="C1005" s="1050"/>
      <c r="D1005" s="1051">
        <f t="shared" si="91"/>
        <v>7</v>
      </c>
      <c r="E1005" s="1051" t="str">
        <f>IF(COUNTIF(E$986:E1004,F1005)&gt;0,"",F1005)</f>
        <v/>
      </c>
      <c r="F1005" s="1051" t="str">
        <f t="shared" si="92"/>
        <v>mobilité quotidienne, France continentale, Base Carbone</v>
      </c>
      <c r="G1005" s="1055" t="str">
        <f t="shared" si="89"/>
        <v>mobilité quotidienne, France continentale, Base Carbone; km / (personne.an), agglo &lt; 50.000 hab - 2 roues</v>
      </c>
      <c r="I1005" s="1100" t="s">
        <v>2281</v>
      </c>
      <c r="J1005" s="1048" t="s">
        <v>2278</v>
      </c>
      <c r="K1005" s="1133" t="s">
        <v>1567</v>
      </c>
      <c r="L1005" s="1048" t="s">
        <v>1571</v>
      </c>
      <c r="M1005" s="1033">
        <v>0.1</v>
      </c>
      <c r="N1005" s="1032" t="s">
        <v>2290</v>
      </c>
      <c r="O1005" s="1192">
        <v>449</v>
      </c>
      <c r="P1005" s="1048"/>
      <c r="Q1005" s="1048"/>
      <c r="R1005" s="1048"/>
      <c r="S1005" s="1048"/>
      <c r="T1005" s="1048"/>
      <c r="U1005" s="1102"/>
    </row>
    <row r="1006" spans="2:21" hidden="1" outlineLevel="1">
      <c r="B1006" s="1050"/>
      <c r="C1006" s="1050"/>
      <c r="D1006" s="1051">
        <f t="shared" si="91"/>
        <v>7</v>
      </c>
      <c r="E1006" s="1051" t="str">
        <f>IF(COUNTIF(E$986:E1005,F1006)&gt;0,"",F1006)</f>
        <v/>
      </c>
      <c r="F1006" s="1051" t="str">
        <f t="shared" si="92"/>
        <v>mobilité quotidienne, France continentale, Base Carbone</v>
      </c>
      <c r="G1006" s="1055" t="str">
        <f t="shared" si="89"/>
        <v>mobilité quotidienne, France continentale, Base Carbone; km / (personne.an), agglo &lt; 50.000 hab - bus</v>
      </c>
      <c r="I1006" s="1100" t="s">
        <v>2281</v>
      </c>
      <c r="J1006" s="1048" t="s">
        <v>2278</v>
      </c>
      <c r="K1006" s="1133" t="s">
        <v>1567</v>
      </c>
      <c r="L1006" s="1048" t="s">
        <v>1571</v>
      </c>
      <c r="M1006" s="1033">
        <v>0.1</v>
      </c>
      <c r="N1006" s="1032" t="s">
        <v>2291</v>
      </c>
      <c r="O1006" s="1192">
        <v>270</v>
      </c>
      <c r="P1006" s="1048"/>
      <c r="Q1006" s="1048"/>
      <c r="R1006" s="1048"/>
      <c r="S1006" s="1048"/>
      <c r="T1006" s="1048"/>
      <c r="U1006" s="1102"/>
    </row>
    <row r="1007" spans="2:21" hidden="1" outlineLevel="1">
      <c r="B1007" s="1050"/>
      <c r="C1007" s="1050"/>
      <c r="D1007" s="1051">
        <f t="shared" si="91"/>
        <v>7</v>
      </c>
      <c r="E1007" s="1051" t="str">
        <f>IF(COUNTIF(E$986:E1006,F1007)&gt;0,"",F1007)</f>
        <v/>
      </c>
      <c r="F1007" s="1051" t="str">
        <f t="shared" si="92"/>
        <v>mobilité quotidienne, France continentale, Base Carbone</v>
      </c>
      <c r="G1007" s="1055" t="str">
        <f t="shared" si="89"/>
        <v>mobilité quotidienne, France continentale, Base Carbone; km / (personne.an), agglo &lt; 50.000 hab - marche</v>
      </c>
      <c r="I1007" s="1100" t="s">
        <v>2281</v>
      </c>
      <c r="J1007" s="1048" t="s">
        <v>2278</v>
      </c>
      <c r="K1007" s="1133" t="s">
        <v>1567</v>
      </c>
      <c r="L1007" s="1048" t="s">
        <v>1571</v>
      </c>
      <c r="M1007" s="1033">
        <v>0.1</v>
      </c>
      <c r="N1007" s="1032" t="s">
        <v>2292</v>
      </c>
      <c r="O1007" s="1192">
        <v>1200</v>
      </c>
      <c r="P1007" s="1048"/>
      <c r="Q1007" s="1048"/>
      <c r="R1007" s="1048"/>
      <c r="S1007" s="1048"/>
      <c r="T1007" s="1048"/>
      <c r="U1007" s="1102"/>
    </row>
    <row r="1008" spans="2:21" hidden="1" outlineLevel="1">
      <c r="B1008" s="1050"/>
      <c r="C1008" s="1050"/>
      <c r="D1008" s="1051">
        <f t="shared" si="91"/>
        <v>7</v>
      </c>
      <c r="E1008" s="1051" t="str">
        <f>IF(COUNTIF(E$986:E1007,F1008)&gt;0,"",F1008)</f>
        <v/>
      </c>
      <c r="F1008" s="1051" t="str">
        <f t="shared" si="92"/>
        <v>mobilité quotidienne, France continentale, Base Carbone</v>
      </c>
      <c r="G1008" s="1055" t="str">
        <f t="shared" si="89"/>
        <v>mobilité quotidienne, France continentale, Base Carbone; km / (personne.an), agglo &lt; 50.000 hab - voiture</v>
      </c>
      <c r="I1008" s="1100" t="s">
        <v>2281</v>
      </c>
      <c r="J1008" s="1048" t="s">
        <v>2278</v>
      </c>
      <c r="K1008" s="1133" t="s">
        <v>1567</v>
      </c>
      <c r="L1008" s="1048" t="s">
        <v>1571</v>
      </c>
      <c r="M1008" s="1033">
        <v>0.1</v>
      </c>
      <c r="N1008" s="1032" t="s">
        <v>2293</v>
      </c>
      <c r="O1008" s="1192">
        <v>7720</v>
      </c>
      <c r="P1008" s="1048"/>
      <c r="Q1008" s="1048"/>
      <c r="R1008" s="1048"/>
      <c r="S1008" s="1048"/>
      <c r="T1008" s="1048"/>
      <c r="U1008" s="1102"/>
    </row>
    <row r="1009" spans="2:21" hidden="1" outlineLevel="1">
      <c r="B1009" s="1050"/>
      <c r="C1009" s="1050"/>
      <c r="D1009" s="1051">
        <f t="shared" si="91"/>
        <v>7</v>
      </c>
      <c r="E1009" s="1051" t="str">
        <f>IF(COUNTIF(E$986:E1008,F1009)&gt;0,"",F1009)</f>
        <v/>
      </c>
      <c r="F1009" s="1051" t="str">
        <f t="shared" si="92"/>
        <v>mobilité quotidienne, France continentale, Base Carbone</v>
      </c>
      <c r="G1009" s="1055" t="str">
        <f t="shared" si="89"/>
        <v>mobilité quotidienne, France continentale, Base Carbone; km / (personne.an), agglo &gt; 300.000 hab banlieue - 2 roues</v>
      </c>
      <c r="I1009" s="1100" t="s">
        <v>2281</v>
      </c>
      <c r="J1009" s="1048" t="s">
        <v>2278</v>
      </c>
      <c r="K1009" s="1133" t="s">
        <v>1567</v>
      </c>
      <c r="L1009" s="1048" t="s">
        <v>1571</v>
      </c>
      <c r="M1009" s="1033">
        <v>0.1</v>
      </c>
      <c r="N1009" s="1032" t="s">
        <v>2294</v>
      </c>
      <c r="O1009" s="1192">
        <v>420</v>
      </c>
      <c r="P1009" s="1048"/>
      <c r="Q1009" s="1048"/>
      <c r="R1009" s="1048"/>
      <c r="S1009" s="1048"/>
      <c r="T1009" s="1048"/>
      <c r="U1009" s="1102"/>
    </row>
    <row r="1010" spans="2:21" hidden="1" outlineLevel="1">
      <c r="B1010" s="1050"/>
      <c r="C1010" s="1050"/>
      <c r="D1010" s="1051">
        <f t="shared" si="91"/>
        <v>7</v>
      </c>
      <c r="E1010" s="1051" t="str">
        <f>IF(COUNTIF(E$986:E1009,F1010)&gt;0,"",F1010)</f>
        <v/>
      </c>
      <c r="F1010" s="1051" t="str">
        <f t="shared" si="92"/>
        <v>mobilité quotidienne, France continentale, Base Carbone</v>
      </c>
      <c r="G1010" s="1055" t="str">
        <f t="shared" si="89"/>
        <v>mobilité quotidienne, France continentale, Base Carbone; km / (personne.an), agglo &gt; 300.000 hab banlieue - bus</v>
      </c>
      <c r="I1010" s="1100" t="s">
        <v>2281</v>
      </c>
      <c r="J1010" s="1048" t="s">
        <v>2278</v>
      </c>
      <c r="K1010" s="1133" t="s">
        <v>1567</v>
      </c>
      <c r="L1010" s="1048" t="s">
        <v>1571</v>
      </c>
      <c r="M1010" s="1033">
        <v>0.1</v>
      </c>
      <c r="N1010" s="1032" t="s">
        <v>2295</v>
      </c>
      <c r="O1010" s="1192">
        <v>582</v>
      </c>
      <c r="P1010" s="1048"/>
      <c r="Q1010" s="1048"/>
      <c r="R1010" s="1048"/>
      <c r="S1010" s="1048"/>
      <c r="T1010" s="1048"/>
      <c r="U1010" s="1102"/>
    </row>
    <row r="1011" spans="2:21" hidden="1" outlineLevel="1">
      <c r="B1011" s="1050"/>
      <c r="C1011" s="1050"/>
      <c r="D1011" s="1051">
        <f t="shared" si="91"/>
        <v>7</v>
      </c>
      <c r="E1011" s="1051" t="str">
        <f>IF(COUNTIF(E$986:E1010,F1011)&gt;0,"",F1011)</f>
        <v/>
      </c>
      <c r="F1011" s="1051" t="str">
        <f t="shared" si="92"/>
        <v>mobilité quotidienne, France continentale, Base Carbone</v>
      </c>
      <c r="G1011" s="1055" t="str">
        <f t="shared" si="89"/>
        <v>mobilité quotidienne, France continentale, Base Carbone; km / (personne.an), agglo &gt; 300.000 hab banlieue - marche</v>
      </c>
      <c r="I1011" s="1100" t="s">
        <v>2281</v>
      </c>
      <c r="J1011" s="1048" t="s">
        <v>2278</v>
      </c>
      <c r="K1011" s="1133" t="s">
        <v>1567</v>
      </c>
      <c r="L1011" s="1048" t="s">
        <v>1571</v>
      </c>
      <c r="M1011" s="1033">
        <v>0.1</v>
      </c>
      <c r="N1011" s="1032" t="s">
        <v>2296</v>
      </c>
      <c r="O1011" s="1192">
        <v>1150</v>
      </c>
      <c r="P1011" s="1048"/>
      <c r="Q1011" s="1048"/>
      <c r="R1011" s="1048"/>
      <c r="S1011" s="1048"/>
      <c r="T1011" s="1048"/>
      <c r="U1011" s="1102"/>
    </row>
    <row r="1012" spans="2:21" hidden="1" outlineLevel="1">
      <c r="B1012" s="1050"/>
      <c r="C1012" s="1050"/>
      <c r="D1012" s="1051">
        <f t="shared" si="91"/>
        <v>7</v>
      </c>
      <c r="E1012" s="1051" t="str">
        <f>IF(COUNTIF(E$986:E1011,F1012)&gt;0,"",F1012)</f>
        <v/>
      </c>
      <c r="F1012" s="1051" t="str">
        <f t="shared" si="92"/>
        <v>mobilité quotidienne, France continentale, Base Carbone</v>
      </c>
      <c r="G1012" s="1055" t="str">
        <f t="shared" si="89"/>
        <v>mobilité quotidienne, France continentale, Base Carbone; km / (personne.an), agglo &gt; 300.000 hab banlieue - voiture</v>
      </c>
      <c r="I1012" s="1100" t="s">
        <v>2281</v>
      </c>
      <c r="J1012" s="1048" t="s">
        <v>2278</v>
      </c>
      <c r="K1012" s="1133" t="s">
        <v>1567</v>
      </c>
      <c r="L1012" s="1048" t="s">
        <v>1571</v>
      </c>
      <c r="M1012" s="1033">
        <v>0.1</v>
      </c>
      <c r="N1012" s="1032" t="s">
        <v>2297</v>
      </c>
      <c r="O1012" s="1192">
        <v>5870</v>
      </c>
      <c r="P1012" s="1048"/>
      <c r="Q1012" s="1048"/>
      <c r="R1012" s="1048"/>
      <c r="S1012" s="1048"/>
      <c r="T1012" s="1048"/>
      <c r="U1012" s="1102"/>
    </row>
    <row r="1013" spans="2:21" hidden="1" outlineLevel="1">
      <c r="B1013" s="1050"/>
      <c r="C1013" s="1050"/>
      <c r="D1013" s="1051">
        <f t="shared" si="91"/>
        <v>7</v>
      </c>
      <c r="E1013" s="1051" t="str">
        <f>IF(COUNTIF(E$986:E1012,F1013)&gt;0,"",F1013)</f>
        <v/>
      </c>
      <c r="F1013" s="1051" t="str">
        <f t="shared" si="92"/>
        <v>mobilité quotidienne, France continentale, Base Carbone</v>
      </c>
      <c r="G1013" s="1055" t="str">
        <f t="shared" si="89"/>
        <v>mobilité quotidienne, France continentale, Base Carbone; km / (personne.an), agglo &gt; 300.000 hab centre - 2 roues</v>
      </c>
      <c r="I1013" s="1100" t="s">
        <v>2281</v>
      </c>
      <c r="J1013" s="1048" t="s">
        <v>2278</v>
      </c>
      <c r="K1013" s="1133" t="s">
        <v>1567</v>
      </c>
      <c r="L1013" s="1048" t="s">
        <v>1571</v>
      </c>
      <c r="M1013" s="1033">
        <v>0.1</v>
      </c>
      <c r="N1013" s="1032" t="s">
        <v>2298</v>
      </c>
      <c r="O1013" s="1192">
        <v>267</v>
      </c>
      <c r="P1013" s="1048"/>
      <c r="Q1013" s="1048"/>
      <c r="R1013" s="1048"/>
      <c r="S1013" s="1048"/>
      <c r="T1013" s="1048"/>
      <c r="U1013" s="1102"/>
    </row>
    <row r="1014" spans="2:21" hidden="1" outlineLevel="1">
      <c r="B1014" s="1050"/>
      <c r="C1014" s="1050"/>
      <c r="D1014" s="1051">
        <f t="shared" si="91"/>
        <v>7</v>
      </c>
      <c r="E1014" s="1051" t="str">
        <f>IF(COUNTIF(E$986:E1013,F1014)&gt;0,"",F1014)</f>
        <v/>
      </c>
      <c r="F1014" s="1051" t="str">
        <f t="shared" si="92"/>
        <v>mobilité quotidienne, France continentale, Base Carbone</v>
      </c>
      <c r="G1014" s="1055" t="str">
        <f t="shared" si="89"/>
        <v>mobilité quotidienne, France continentale, Base Carbone; km / (personne.an), agglo &gt; 300.000 hab centre - bus</v>
      </c>
      <c r="I1014" s="1100" t="s">
        <v>2281</v>
      </c>
      <c r="J1014" s="1048" t="s">
        <v>2278</v>
      </c>
      <c r="K1014" s="1133" t="s">
        <v>1567</v>
      </c>
      <c r="L1014" s="1048" t="s">
        <v>1571</v>
      </c>
      <c r="M1014" s="1033">
        <v>0.1</v>
      </c>
      <c r="N1014" s="1032" t="s">
        <v>2299</v>
      </c>
      <c r="O1014" s="1192">
        <v>714</v>
      </c>
      <c r="P1014" s="1048"/>
      <c r="Q1014" s="1048"/>
      <c r="R1014" s="1048"/>
      <c r="S1014" s="1048"/>
      <c r="T1014" s="1048"/>
      <c r="U1014" s="1102"/>
    </row>
    <row r="1015" spans="2:21" hidden="1" outlineLevel="1">
      <c r="B1015" s="1050"/>
      <c r="C1015" s="1050"/>
      <c r="D1015" s="1051">
        <f t="shared" si="91"/>
        <v>7</v>
      </c>
      <c r="E1015" s="1051" t="str">
        <f>IF(COUNTIF(E$986:E1014,F1015)&gt;0,"",F1015)</f>
        <v/>
      </c>
      <c r="F1015" s="1051" t="str">
        <f t="shared" si="92"/>
        <v>mobilité quotidienne, France continentale, Base Carbone</v>
      </c>
      <c r="G1015" s="1055" t="str">
        <f t="shared" si="89"/>
        <v>mobilité quotidienne, France continentale, Base Carbone; km / (personne.an), agglo &gt; 300.000 hab centre - marche</v>
      </c>
      <c r="I1015" s="1100" t="s">
        <v>2281</v>
      </c>
      <c r="J1015" s="1048" t="s">
        <v>2278</v>
      </c>
      <c r="K1015" s="1133" t="s">
        <v>1567</v>
      </c>
      <c r="L1015" s="1048" t="s">
        <v>1571</v>
      </c>
      <c r="M1015" s="1033">
        <v>0.1</v>
      </c>
      <c r="N1015" s="1032" t="s">
        <v>2300</v>
      </c>
      <c r="O1015" s="1192">
        <v>1770</v>
      </c>
      <c r="P1015" s="1048"/>
      <c r="Q1015" s="1048"/>
      <c r="R1015" s="1048"/>
      <c r="S1015" s="1048"/>
      <c r="T1015" s="1048"/>
      <c r="U1015" s="1102"/>
    </row>
    <row r="1016" spans="2:21" hidden="1" outlineLevel="1">
      <c r="B1016" s="1050"/>
      <c r="C1016" s="1050"/>
      <c r="D1016" s="1051">
        <f t="shared" si="91"/>
        <v>7</v>
      </c>
      <c r="E1016" s="1051" t="str">
        <f>IF(COUNTIF(E$986:E1015,F1016)&gt;0,"",F1016)</f>
        <v/>
      </c>
      <c r="F1016" s="1051" t="str">
        <f t="shared" si="92"/>
        <v>mobilité quotidienne, France continentale, Base Carbone</v>
      </c>
      <c r="G1016" s="1055" t="str">
        <f t="shared" si="89"/>
        <v>mobilité quotidienne, France continentale, Base Carbone; km / (personne.an), agglo &gt; 300.000 hab centre - métro / RER / tram</v>
      </c>
      <c r="I1016" s="1100" t="s">
        <v>2281</v>
      </c>
      <c r="J1016" s="1048" t="s">
        <v>2278</v>
      </c>
      <c r="K1016" s="1133" t="s">
        <v>1567</v>
      </c>
      <c r="L1016" s="1048" t="s">
        <v>1571</v>
      </c>
      <c r="M1016" s="1033">
        <v>0.1</v>
      </c>
      <c r="N1016" s="1032" t="s">
        <v>2301</v>
      </c>
      <c r="O1016" s="1192">
        <v>178</v>
      </c>
      <c r="P1016" s="1048"/>
      <c r="Q1016" s="1048"/>
      <c r="R1016" s="1048"/>
      <c r="S1016" s="1048"/>
      <c r="T1016" s="1048"/>
      <c r="U1016" s="1102"/>
    </row>
    <row r="1017" spans="2:21" hidden="1" outlineLevel="1">
      <c r="B1017" s="1050"/>
      <c r="C1017" s="1050"/>
      <c r="D1017" s="1051">
        <f t="shared" si="91"/>
        <v>7</v>
      </c>
      <c r="E1017" s="1051" t="str">
        <f>IF(COUNTIF(E$986:E1016,F1017)&gt;0,"",F1017)</f>
        <v/>
      </c>
      <c r="F1017" s="1051" t="str">
        <f t="shared" si="92"/>
        <v>mobilité quotidienne, France continentale, Base Carbone</v>
      </c>
      <c r="G1017" s="1055" t="str">
        <f t="shared" si="89"/>
        <v>mobilité quotidienne, France continentale, Base Carbone; km / (personne.an), agglo &gt; 300.000 hab centre - voiture</v>
      </c>
      <c r="I1017" s="1100" t="s">
        <v>2281</v>
      </c>
      <c r="J1017" s="1048" t="s">
        <v>2278</v>
      </c>
      <c r="K1017" s="1133" t="s">
        <v>1567</v>
      </c>
      <c r="L1017" s="1048" t="s">
        <v>1571</v>
      </c>
      <c r="M1017" s="1033">
        <v>0.1</v>
      </c>
      <c r="N1017" s="1032" t="s">
        <v>2302</v>
      </c>
      <c r="O1017" s="1192">
        <v>4620</v>
      </c>
      <c r="P1017" s="1048"/>
      <c r="Q1017" s="1048"/>
      <c r="R1017" s="1048"/>
      <c r="S1017" s="1048"/>
      <c r="T1017" s="1048"/>
      <c r="U1017" s="1102"/>
    </row>
    <row r="1018" spans="2:21" hidden="1" outlineLevel="1">
      <c r="B1018" s="1050"/>
      <c r="C1018" s="1050"/>
      <c r="D1018" s="1051">
        <f t="shared" si="91"/>
        <v>7</v>
      </c>
      <c r="E1018" s="1051" t="str">
        <f>IF(COUNTIF(E$986:E1017,F1018)&gt;0,"",F1018)</f>
        <v/>
      </c>
      <c r="F1018" s="1051" t="str">
        <f t="shared" si="92"/>
        <v>mobilité quotidienne, France continentale, Base Carbone</v>
      </c>
      <c r="G1018" s="1055" t="str">
        <f t="shared" si="89"/>
        <v>mobilité quotidienne, France continentale, Base Carbone; km / (personne.an), agglo &gt; 300.000 hab périphérie - 2 roues</v>
      </c>
      <c r="I1018" s="1100" t="s">
        <v>2281</v>
      </c>
      <c r="J1018" s="1048" t="s">
        <v>2278</v>
      </c>
      <c r="K1018" s="1133" t="s">
        <v>1567</v>
      </c>
      <c r="L1018" s="1048" t="s">
        <v>1571</v>
      </c>
      <c r="M1018" s="1033">
        <v>0.1</v>
      </c>
      <c r="N1018" s="1032" t="s">
        <v>2303</v>
      </c>
      <c r="O1018" s="1192">
        <v>540</v>
      </c>
      <c r="P1018" s="1048"/>
      <c r="Q1018" s="1048"/>
      <c r="R1018" s="1048"/>
      <c r="S1018" s="1048"/>
      <c r="T1018" s="1048"/>
      <c r="U1018" s="1102"/>
    </row>
    <row r="1019" spans="2:21" hidden="1" outlineLevel="1">
      <c r="B1019" s="1050"/>
      <c r="C1019" s="1050"/>
      <c r="D1019" s="1051">
        <f t="shared" si="91"/>
        <v>7</v>
      </c>
      <c r="E1019" s="1051" t="str">
        <f>IF(COUNTIF(E$986:E1018,F1019)&gt;0,"",F1019)</f>
        <v/>
      </c>
      <c r="F1019" s="1051" t="str">
        <f t="shared" si="92"/>
        <v>mobilité quotidienne, France continentale, Base Carbone</v>
      </c>
      <c r="G1019" s="1055" t="str">
        <f t="shared" ref="G1019:G1050" si="93">IF(F1019&lt;&gt;"",F1019&amp;IF(J1019&lt;&gt;"","; "&amp;J1019,"")&amp;IF(N1019&lt;&gt;"",", "&amp;N1019,""),"")</f>
        <v>mobilité quotidienne, France continentale, Base Carbone; km / (personne.an), agglo &gt; 300.000 hab périphérie - bus</v>
      </c>
      <c r="I1019" s="1100" t="s">
        <v>2281</v>
      </c>
      <c r="J1019" s="1048" t="s">
        <v>2278</v>
      </c>
      <c r="K1019" s="1133" t="s">
        <v>1567</v>
      </c>
      <c r="L1019" s="1048" t="s">
        <v>1571</v>
      </c>
      <c r="M1019" s="1033">
        <v>0.1</v>
      </c>
      <c r="N1019" s="1032" t="s">
        <v>2304</v>
      </c>
      <c r="O1019" s="1192">
        <v>393</v>
      </c>
      <c r="P1019" s="1048"/>
      <c r="Q1019" s="1048"/>
      <c r="R1019" s="1048"/>
      <c r="S1019" s="1048"/>
      <c r="T1019" s="1048"/>
      <c r="U1019" s="1102"/>
    </row>
    <row r="1020" spans="2:21" hidden="1" outlineLevel="1">
      <c r="B1020" s="1050"/>
      <c r="C1020" s="1050"/>
      <c r="D1020" s="1051">
        <f t="shared" si="91"/>
        <v>7</v>
      </c>
      <c r="E1020" s="1051" t="str">
        <f>IF(COUNTIF(E$986:E1019,F1020)&gt;0,"",F1020)</f>
        <v/>
      </c>
      <c r="F1020" s="1051" t="str">
        <f t="shared" si="92"/>
        <v>mobilité quotidienne, France continentale, Base Carbone</v>
      </c>
      <c r="G1020" s="1055" t="str">
        <f t="shared" si="93"/>
        <v>mobilité quotidienne, France continentale, Base Carbone; km / (personne.an), agglo &gt; 300.000 hab périphérie - marche</v>
      </c>
      <c r="I1020" s="1100" t="s">
        <v>2281</v>
      </c>
      <c r="J1020" s="1048" t="s">
        <v>2278</v>
      </c>
      <c r="K1020" s="1133" t="s">
        <v>1567</v>
      </c>
      <c r="L1020" s="1048" t="s">
        <v>1571</v>
      </c>
      <c r="M1020" s="1033">
        <v>0.1</v>
      </c>
      <c r="N1020" s="1032" t="s">
        <v>2305</v>
      </c>
      <c r="O1020" s="1192">
        <v>1210</v>
      </c>
      <c r="P1020" s="1048"/>
      <c r="Q1020" s="1048"/>
      <c r="R1020" s="1048"/>
      <c r="S1020" s="1048"/>
      <c r="T1020" s="1048"/>
      <c r="U1020" s="1102"/>
    </row>
    <row r="1021" spans="2:21" hidden="1" outlineLevel="1">
      <c r="B1021" s="1050"/>
      <c r="C1021" s="1050"/>
      <c r="D1021" s="1051">
        <f t="shared" si="91"/>
        <v>7</v>
      </c>
      <c r="E1021" s="1051" t="str">
        <f>IF(COUNTIF(E$986:E1020,F1021)&gt;0,"",F1021)</f>
        <v/>
      </c>
      <c r="F1021" s="1051" t="str">
        <f t="shared" si="92"/>
        <v>mobilité quotidienne, France continentale, Base Carbone</v>
      </c>
      <c r="G1021" s="1055" t="str">
        <f t="shared" si="93"/>
        <v>mobilité quotidienne, France continentale, Base Carbone; km / (personne.an), agglo &gt; 300.000 hab périphérie - voiture</v>
      </c>
      <c r="I1021" s="1100" t="s">
        <v>2281</v>
      </c>
      <c r="J1021" s="1048" t="s">
        <v>2278</v>
      </c>
      <c r="K1021" s="1133" t="s">
        <v>1567</v>
      </c>
      <c r="L1021" s="1048" t="s">
        <v>1571</v>
      </c>
      <c r="M1021" s="1033">
        <v>0.1</v>
      </c>
      <c r="N1021" s="1032" t="s">
        <v>2306</v>
      </c>
      <c r="O1021" s="1192">
        <v>7360</v>
      </c>
      <c r="P1021" s="1048"/>
      <c r="Q1021" s="1048"/>
      <c r="R1021" s="1048"/>
      <c r="S1021" s="1048"/>
      <c r="T1021" s="1048"/>
      <c r="U1021" s="1102"/>
    </row>
    <row r="1022" spans="2:21" hidden="1" outlineLevel="1">
      <c r="B1022" s="1050"/>
      <c r="C1022" s="1050"/>
      <c r="D1022" s="1051">
        <f t="shared" si="91"/>
        <v>7</v>
      </c>
      <c r="E1022" s="1051" t="str">
        <f>IF(COUNTIF(E$986:E1021,F1022)&gt;0,"",F1022)</f>
        <v/>
      </c>
      <c r="F1022" s="1051" t="str">
        <f t="shared" si="92"/>
        <v>mobilité quotidienne, France continentale, Base Carbone</v>
      </c>
      <c r="G1022" s="1055" t="str">
        <f t="shared" si="93"/>
        <v>mobilité quotidienne, France continentale, Base Carbone; km / (personne.an), banlieue parisienne - 2 roues</v>
      </c>
      <c r="I1022" s="1100" t="s">
        <v>2281</v>
      </c>
      <c r="J1022" s="1048" t="s">
        <v>2278</v>
      </c>
      <c r="K1022" s="1133" t="s">
        <v>1567</v>
      </c>
      <c r="L1022" s="1048" t="s">
        <v>1571</v>
      </c>
      <c r="M1022" s="1033">
        <v>0.1</v>
      </c>
      <c r="N1022" s="1032" t="s">
        <v>2307</v>
      </c>
      <c r="O1022" s="1192">
        <v>325</v>
      </c>
      <c r="P1022" s="1048"/>
      <c r="Q1022" s="1048"/>
      <c r="R1022" s="1048"/>
      <c r="S1022" s="1048"/>
      <c r="T1022" s="1048"/>
      <c r="U1022" s="1102"/>
    </row>
    <row r="1023" spans="2:21" hidden="1" outlineLevel="1">
      <c r="B1023" s="1050"/>
      <c r="C1023" s="1050"/>
      <c r="D1023" s="1051">
        <f t="shared" si="91"/>
        <v>7</v>
      </c>
      <c r="E1023" s="1051" t="str">
        <f>IF(COUNTIF(E$986:E1022,F1023)&gt;0,"",F1023)</f>
        <v/>
      </c>
      <c r="F1023" s="1051" t="str">
        <f t="shared" si="92"/>
        <v>mobilité quotidienne, France continentale, Base Carbone</v>
      </c>
      <c r="G1023" s="1055" t="str">
        <f t="shared" si="93"/>
        <v>mobilité quotidienne, France continentale, Base Carbone; km / (personne.an), banlieue parisienne - bus</v>
      </c>
      <c r="I1023" s="1100" t="s">
        <v>2281</v>
      </c>
      <c r="J1023" s="1048" t="s">
        <v>2278</v>
      </c>
      <c r="K1023" s="1133" t="s">
        <v>1567</v>
      </c>
      <c r="L1023" s="1048" t="s">
        <v>1571</v>
      </c>
      <c r="M1023" s="1033">
        <v>0.1</v>
      </c>
      <c r="N1023" s="1032" t="s">
        <v>2308</v>
      </c>
      <c r="O1023" s="1192">
        <v>843</v>
      </c>
      <c r="P1023" s="1048"/>
      <c r="Q1023" s="1048"/>
      <c r="R1023" s="1048"/>
      <c r="S1023" s="1048"/>
      <c r="T1023" s="1048"/>
      <c r="U1023" s="1102"/>
    </row>
    <row r="1024" spans="2:21" hidden="1" outlineLevel="1">
      <c r="B1024" s="1050"/>
      <c r="C1024" s="1050"/>
      <c r="D1024" s="1051">
        <f t="shared" si="91"/>
        <v>7</v>
      </c>
      <c r="E1024" s="1051" t="str">
        <f>IF(COUNTIF(E$986:E1023,F1024)&gt;0,"",F1024)</f>
        <v/>
      </c>
      <c r="F1024" s="1051" t="str">
        <f t="shared" si="92"/>
        <v>mobilité quotidienne, France continentale, Base Carbone</v>
      </c>
      <c r="G1024" s="1055" t="str">
        <f t="shared" si="93"/>
        <v>mobilité quotidienne, France continentale, Base Carbone; km / (personne.an), banlieue parisienne - marche</v>
      </c>
      <c r="I1024" s="1100" t="s">
        <v>2281</v>
      </c>
      <c r="J1024" s="1048" t="s">
        <v>2278</v>
      </c>
      <c r="K1024" s="1133" t="s">
        <v>1567</v>
      </c>
      <c r="L1024" s="1048" t="s">
        <v>1571</v>
      </c>
      <c r="M1024" s="1033">
        <v>0.1</v>
      </c>
      <c r="N1024" s="1032" t="s">
        <v>2309</v>
      </c>
      <c r="O1024" s="1192">
        <v>1770</v>
      </c>
      <c r="P1024" s="1048"/>
      <c r="Q1024" s="1048"/>
      <c r="R1024" s="1048"/>
      <c r="S1024" s="1048"/>
      <c r="T1024" s="1048"/>
      <c r="U1024" s="1102"/>
    </row>
    <row r="1025" spans="2:21" hidden="1" outlineLevel="1">
      <c r="B1025" s="1050"/>
      <c r="C1025" s="1050"/>
      <c r="D1025" s="1051">
        <f t="shared" si="91"/>
        <v>7</v>
      </c>
      <c r="E1025" s="1051" t="str">
        <f>IF(COUNTIF(E$986:E1024,F1025)&gt;0,"",F1025)</f>
        <v/>
      </c>
      <c r="F1025" s="1051" t="str">
        <f t="shared" si="92"/>
        <v>mobilité quotidienne, France continentale, Base Carbone</v>
      </c>
      <c r="G1025" s="1055" t="str">
        <f t="shared" si="93"/>
        <v>mobilité quotidienne, France continentale, Base Carbone; km / (personne.an), banlieue parisienne - métro / RER / tram</v>
      </c>
      <c r="I1025" s="1100" t="s">
        <v>2281</v>
      </c>
      <c r="J1025" s="1048" t="s">
        <v>2278</v>
      </c>
      <c r="K1025" s="1133" t="s">
        <v>1567</v>
      </c>
      <c r="L1025" s="1048" t="s">
        <v>1571</v>
      </c>
      <c r="M1025" s="1033">
        <v>0.1</v>
      </c>
      <c r="N1025" s="1032" t="s">
        <v>2310</v>
      </c>
      <c r="O1025" s="1192">
        <v>422</v>
      </c>
      <c r="P1025" s="1048"/>
      <c r="Q1025" s="1048"/>
      <c r="R1025" s="1048"/>
      <c r="S1025" s="1048"/>
      <c r="T1025" s="1048"/>
      <c r="U1025" s="1102"/>
    </row>
    <row r="1026" spans="2:21" hidden="1" outlineLevel="1">
      <c r="B1026" s="1050"/>
      <c r="C1026" s="1050"/>
      <c r="D1026" s="1051">
        <f t="shared" si="91"/>
        <v>7</v>
      </c>
      <c r="E1026" s="1051" t="str">
        <f>IF(COUNTIF(E$986:E1025,F1026)&gt;0,"",F1026)</f>
        <v/>
      </c>
      <c r="F1026" s="1051" t="str">
        <f t="shared" si="92"/>
        <v>mobilité quotidienne, France continentale, Base Carbone</v>
      </c>
      <c r="G1026" s="1055" t="str">
        <f t="shared" si="93"/>
        <v>mobilité quotidienne, France continentale, Base Carbone; km / (personne.an), banlieue parisienne - voiture</v>
      </c>
      <c r="I1026" s="1100" t="s">
        <v>2281</v>
      </c>
      <c r="J1026" s="1048" t="s">
        <v>2278</v>
      </c>
      <c r="K1026" s="1133" t="s">
        <v>1567</v>
      </c>
      <c r="L1026" s="1048" t="s">
        <v>1571</v>
      </c>
      <c r="M1026" s="1033">
        <v>0.1</v>
      </c>
      <c r="N1026" s="1032" t="s">
        <v>2311</v>
      </c>
      <c r="O1026" s="1192">
        <v>5730</v>
      </c>
      <c r="P1026" s="1048"/>
      <c r="Q1026" s="1048"/>
      <c r="R1026" s="1048"/>
      <c r="S1026" s="1048"/>
      <c r="T1026" s="1048"/>
      <c r="U1026" s="1102"/>
    </row>
    <row r="1027" spans="2:21" hidden="1" outlineLevel="1">
      <c r="B1027" s="1050"/>
      <c r="C1027" s="1050"/>
      <c r="D1027" s="1051">
        <f t="shared" si="91"/>
        <v>7</v>
      </c>
      <c r="E1027" s="1051" t="str">
        <f>IF(COUNTIF(E$986:E1026,F1027)&gt;0,"",F1027)</f>
        <v/>
      </c>
      <c r="F1027" s="1051" t="str">
        <f t="shared" si="92"/>
        <v>mobilité quotidienne, France continentale, Base Carbone</v>
      </c>
      <c r="G1027" s="1055" t="str">
        <f t="shared" si="93"/>
        <v>mobilité quotidienne, France continentale, Base Carbone; km / (personne.an), moyenne nationale - 2 roues</v>
      </c>
      <c r="I1027" s="1100" t="s">
        <v>2281</v>
      </c>
      <c r="J1027" s="1048" t="s">
        <v>2278</v>
      </c>
      <c r="K1027" s="1133" t="s">
        <v>1567</v>
      </c>
      <c r="L1027" s="1048" t="s">
        <v>1571</v>
      </c>
      <c r="M1027" s="1033">
        <v>0.1</v>
      </c>
      <c r="N1027" s="1032" t="s">
        <v>2312</v>
      </c>
      <c r="O1027" s="1192">
        <v>398</v>
      </c>
      <c r="P1027" s="1048"/>
      <c r="Q1027" s="1048"/>
      <c r="R1027" s="1048"/>
      <c r="S1027" s="1048"/>
      <c r="T1027" s="1048"/>
      <c r="U1027" s="1102"/>
    </row>
    <row r="1028" spans="2:21" hidden="1" outlineLevel="1">
      <c r="B1028" s="1050"/>
      <c r="C1028" s="1050"/>
      <c r="D1028" s="1051">
        <f t="shared" si="91"/>
        <v>7</v>
      </c>
      <c r="E1028" s="1051" t="str">
        <f>IF(COUNTIF(E$986:E1027,F1028)&gt;0,"",F1028)</f>
        <v/>
      </c>
      <c r="F1028" s="1051" t="str">
        <f t="shared" si="92"/>
        <v>mobilité quotidienne, France continentale, Base Carbone</v>
      </c>
      <c r="G1028" s="1055" t="str">
        <f t="shared" si="93"/>
        <v>mobilité quotidienne, France continentale, Base Carbone; km / (personne.an), moyenne nationale - bus</v>
      </c>
      <c r="I1028" s="1100" t="s">
        <v>2281</v>
      </c>
      <c r="J1028" s="1048" t="s">
        <v>2278</v>
      </c>
      <c r="K1028" s="1133" t="s">
        <v>1567</v>
      </c>
      <c r="L1028" s="1048" t="s">
        <v>1571</v>
      </c>
      <c r="M1028" s="1033">
        <v>0.1</v>
      </c>
      <c r="N1028" s="1032" t="s">
        <v>2313</v>
      </c>
      <c r="O1028" s="1192">
        <v>620</v>
      </c>
      <c r="P1028" s="1048"/>
      <c r="Q1028" s="1048"/>
      <c r="R1028" s="1048"/>
      <c r="S1028" s="1048"/>
      <c r="T1028" s="1048"/>
      <c r="U1028" s="1102"/>
    </row>
    <row r="1029" spans="2:21" hidden="1" outlineLevel="1">
      <c r="B1029" s="1050"/>
      <c r="C1029" s="1050"/>
      <c r="D1029" s="1051">
        <f t="shared" si="91"/>
        <v>7</v>
      </c>
      <c r="E1029" s="1051" t="str">
        <f>IF(COUNTIF(E$986:E1028,F1029)&gt;0,"",F1029)</f>
        <v/>
      </c>
      <c r="F1029" s="1051" t="str">
        <f t="shared" si="92"/>
        <v>mobilité quotidienne, France continentale, Base Carbone</v>
      </c>
      <c r="G1029" s="1055" t="str">
        <f t="shared" si="93"/>
        <v>mobilité quotidienne, France continentale, Base Carbone; km / (personne.an), moyenne nationale - marche</v>
      </c>
      <c r="I1029" s="1100" t="s">
        <v>2281</v>
      </c>
      <c r="J1029" s="1048" t="s">
        <v>2278</v>
      </c>
      <c r="K1029" s="1133" t="s">
        <v>1567</v>
      </c>
      <c r="L1029" s="1048" t="s">
        <v>1571</v>
      </c>
      <c r="M1029" s="1033">
        <v>0.1</v>
      </c>
      <c r="N1029" s="1032" t="s">
        <v>2314</v>
      </c>
      <c r="O1029" s="1192">
        <v>1470</v>
      </c>
      <c r="P1029" s="1048"/>
      <c r="Q1029" s="1048"/>
      <c r="R1029" s="1048"/>
      <c r="S1029" s="1048"/>
      <c r="T1029" s="1048"/>
      <c r="U1029" s="1102"/>
    </row>
    <row r="1030" spans="2:21" hidden="1" outlineLevel="1">
      <c r="B1030" s="1050"/>
      <c r="C1030" s="1050"/>
      <c r="D1030" s="1051">
        <f t="shared" si="91"/>
        <v>7</v>
      </c>
      <c r="E1030" s="1051" t="str">
        <f>IF(COUNTIF(E$986:E1029,F1030)&gt;0,"",F1030)</f>
        <v/>
      </c>
      <c r="F1030" s="1051" t="str">
        <f t="shared" si="92"/>
        <v>mobilité quotidienne, France continentale, Base Carbone</v>
      </c>
      <c r="G1030" s="1055" t="str">
        <f t="shared" si="93"/>
        <v>mobilité quotidienne, France continentale, Base Carbone; km / (personne.an), moyenne nationale - métro / RER / tram</v>
      </c>
      <c r="I1030" s="1100" t="s">
        <v>2281</v>
      </c>
      <c r="J1030" s="1048" t="s">
        <v>2278</v>
      </c>
      <c r="K1030" s="1133" t="s">
        <v>1567</v>
      </c>
      <c r="L1030" s="1048" t="s">
        <v>1571</v>
      </c>
      <c r="M1030" s="1033">
        <v>0.1</v>
      </c>
      <c r="N1030" s="1032" t="s">
        <v>2315</v>
      </c>
      <c r="O1030" s="1192">
        <v>68.900000000000006</v>
      </c>
      <c r="P1030" s="1048"/>
      <c r="Q1030" s="1048"/>
      <c r="R1030" s="1048"/>
      <c r="S1030" s="1048"/>
      <c r="T1030" s="1048"/>
      <c r="U1030" s="1102"/>
    </row>
    <row r="1031" spans="2:21" hidden="1" outlineLevel="1">
      <c r="B1031" s="1050"/>
      <c r="C1031" s="1050"/>
      <c r="D1031" s="1051">
        <f t="shared" si="91"/>
        <v>7</v>
      </c>
      <c r="E1031" s="1051" t="str">
        <f>IF(COUNTIF(E$986:E1030,F1031)&gt;0,"",F1031)</f>
        <v/>
      </c>
      <c r="F1031" s="1051" t="str">
        <f t="shared" si="92"/>
        <v>mobilité quotidienne, France continentale, Base Carbone</v>
      </c>
      <c r="G1031" s="1055" t="str">
        <f t="shared" si="93"/>
        <v>mobilité quotidienne, France continentale, Base Carbone; km / (personne.an), moyenne nationale - voiture</v>
      </c>
      <c r="I1031" s="1100" t="s">
        <v>2281</v>
      </c>
      <c r="J1031" s="1048" t="s">
        <v>2278</v>
      </c>
      <c r="K1031" s="1133" t="s">
        <v>1567</v>
      </c>
      <c r="L1031" s="1048" t="s">
        <v>1571</v>
      </c>
      <c r="M1031" s="1033">
        <v>0.1</v>
      </c>
      <c r="N1031" s="1032" t="s">
        <v>2316</v>
      </c>
      <c r="O1031" s="1192">
        <v>6320</v>
      </c>
      <c r="P1031" s="1048"/>
      <c r="Q1031" s="1048"/>
      <c r="R1031" s="1048"/>
      <c r="S1031" s="1048"/>
      <c r="T1031" s="1048"/>
      <c r="U1031" s="1102"/>
    </row>
    <row r="1032" spans="2:21" hidden="1" outlineLevel="1">
      <c r="B1032" s="1050"/>
      <c r="C1032" s="1050"/>
      <c r="D1032" s="1051">
        <f t="shared" si="91"/>
        <v>7</v>
      </c>
      <c r="E1032" s="1051" t="str">
        <f>IF(COUNTIF(E$986:E1031,F1032)&gt;0,"",F1032)</f>
        <v/>
      </c>
      <c r="F1032" s="1051" t="str">
        <f t="shared" si="92"/>
        <v>mobilité quotidienne, France continentale, Base Carbone</v>
      </c>
      <c r="G1032" s="1055" t="str">
        <f t="shared" si="93"/>
        <v>mobilité quotidienne, France continentale, Base Carbone; km / (personne.an), Paris intramuros - 2 roues</v>
      </c>
      <c r="I1032" s="1100" t="s">
        <v>2281</v>
      </c>
      <c r="J1032" s="1048" t="s">
        <v>2278</v>
      </c>
      <c r="K1032" s="1133" t="s">
        <v>1567</v>
      </c>
      <c r="L1032" s="1048" t="s">
        <v>1571</v>
      </c>
      <c r="M1032" s="1033">
        <v>0.1</v>
      </c>
      <c r="N1032" s="1032" t="s">
        <v>2317</v>
      </c>
      <c r="O1032" s="1192">
        <v>124</v>
      </c>
      <c r="P1032" s="1048"/>
      <c r="Q1032" s="1048"/>
      <c r="R1032" s="1048"/>
      <c r="S1032" s="1048"/>
      <c r="T1032" s="1048"/>
      <c r="U1032" s="1102"/>
    </row>
    <row r="1033" spans="2:21" hidden="1" outlineLevel="1">
      <c r="B1033" s="1050"/>
      <c r="C1033" s="1050"/>
      <c r="D1033" s="1051">
        <f t="shared" si="91"/>
        <v>7</v>
      </c>
      <c r="E1033" s="1051" t="str">
        <f>IF(COUNTIF(E$986:E1032,F1033)&gt;0,"",F1033)</f>
        <v/>
      </c>
      <c r="F1033" s="1051" t="str">
        <f t="shared" si="92"/>
        <v>mobilité quotidienne, France continentale, Base Carbone</v>
      </c>
      <c r="G1033" s="1055" t="str">
        <f t="shared" si="93"/>
        <v>mobilité quotidienne, France continentale, Base Carbone; km / (personne.an), Paris intramuros - bus</v>
      </c>
      <c r="I1033" s="1100" t="s">
        <v>2281</v>
      </c>
      <c r="J1033" s="1048" t="s">
        <v>2278</v>
      </c>
      <c r="K1033" s="1133" t="s">
        <v>1567</v>
      </c>
      <c r="L1033" s="1048" t="s">
        <v>1571</v>
      </c>
      <c r="M1033" s="1033">
        <v>0.1</v>
      </c>
      <c r="N1033" s="1032" t="s">
        <v>2318</v>
      </c>
      <c r="O1033" s="1192">
        <v>1440</v>
      </c>
      <c r="P1033" s="1048"/>
      <c r="Q1033" s="1048"/>
      <c r="R1033" s="1048"/>
      <c r="S1033" s="1048"/>
      <c r="T1033" s="1048"/>
      <c r="U1033" s="1102"/>
    </row>
    <row r="1034" spans="2:21" hidden="1" outlineLevel="1">
      <c r="B1034" s="1050"/>
      <c r="C1034" s="1050"/>
      <c r="D1034" s="1051">
        <f t="shared" si="91"/>
        <v>7</v>
      </c>
      <c r="E1034" s="1051" t="str">
        <f>IF(COUNTIF(E$986:E1033,F1034)&gt;0,"",F1034)</f>
        <v/>
      </c>
      <c r="F1034" s="1051" t="str">
        <f t="shared" si="92"/>
        <v>mobilité quotidienne, France continentale, Base Carbone</v>
      </c>
      <c r="G1034" s="1055" t="str">
        <f t="shared" si="93"/>
        <v>mobilité quotidienne, France continentale, Base Carbone; km / (personne.an), Paris intramuros - marche</v>
      </c>
      <c r="I1034" s="1100" t="s">
        <v>2281</v>
      </c>
      <c r="J1034" s="1048" t="s">
        <v>2278</v>
      </c>
      <c r="K1034" s="1133" t="s">
        <v>1567</v>
      </c>
      <c r="L1034" s="1048" t="s">
        <v>1571</v>
      </c>
      <c r="M1034" s="1033">
        <v>0.1</v>
      </c>
      <c r="N1034" s="1032" t="s">
        <v>2319</v>
      </c>
      <c r="O1034" s="1192">
        <v>1890</v>
      </c>
      <c r="P1034" s="1048"/>
      <c r="Q1034" s="1048"/>
      <c r="R1034" s="1048"/>
      <c r="S1034" s="1048"/>
      <c r="T1034" s="1048"/>
      <c r="U1034" s="1102"/>
    </row>
    <row r="1035" spans="2:21" hidden="1" outlineLevel="1">
      <c r="B1035" s="1050"/>
      <c r="C1035" s="1050"/>
      <c r="D1035" s="1051">
        <f t="shared" si="91"/>
        <v>7</v>
      </c>
      <c r="E1035" s="1051" t="str">
        <f>IF(COUNTIF(E$986:E1034,F1035)&gt;0,"",F1035)</f>
        <v/>
      </c>
      <c r="F1035" s="1051" t="str">
        <f t="shared" si="92"/>
        <v>mobilité quotidienne, France continentale, Base Carbone</v>
      </c>
      <c r="G1035" s="1055" t="str">
        <f t="shared" si="93"/>
        <v>mobilité quotidienne, France continentale, Base Carbone; km / (personne.an), Paris intramuros - métro / RER / tram</v>
      </c>
      <c r="I1035" s="1100" t="s">
        <v>2281</v>
      </c>
      <c r="J1035" s="1048" t="s">
        <v>2278</v>
      </c>
      <c r="K1035" s="1133" t="s">
        <v>1567</v>
      </c>
      <c r="L1035" s="1048" t="s">
        <v>1571</v>
      </c>
      <c r="M1035" s="1033">
        <v>0.1</v>
      </c>
      <c r="N1035" s="1032" t="s">
        <v>2320</v>
      </c>
      <c r="O1035" s="1192">
        <v>722</v>
      </c>
      <c r="P1035" s="1048"/>
      <c r="Q1035" s="1048"/>
      <c r="R1035" s="1048"/>
      <c r="S1035" s="1048"/>
      <c r="T1035" s="1048"/>
      <c r="U1035" s="1102"/>
    </row>
    <row r="1036" spans="2:21" hidden="1" outlineLevel="1">
      <c r="B1036" s="1050"/>
      <c r="C1036" s="1050"/>
      <c r="D1036" s="1051">
        <f t="shared" si="91"/>
        <v>7</v>
      </c>
      <c r="E1036" s="1051" t="str">
        <f>IF(COUNTIF(E$986:E1035,F1036)&gt;0,"",F1036)</f>
        <v/>
      </c>
      <c r="F1036" s="1051" t="str">
        <f t="shared" si="92"/>
        <v>mobilité quotidienne, France continentale, Base Carbone</v>
      </c>
      <c r="G1036" s="1055" t="str">
        <f t="shared" si="93"/>
        <v>mobilité quotidienne, France continentale, Base Carbone; km / (personne.an), Paris intramuros - voiture</v>
      </c>
      <c r="I1036" s="1100" t="s">
        <v>2281</v>
      </c>
      <c r="J1036" s="1048" t="s">
        <v>2278</v>
      </c>
      <c r="K1036" s="1133" t="s">
        <v>1567</v>
      </c>
      <c r="L1036" s="1048" t="s">
        <v>1571</v>
      </c>
      <c r="M1036" s="1033">
        <v>0.1</v>
      </c>
      <c r="N1036" s="1032" t="s">
        <v>2321</v>
      </c>
      <c r="O1036" s="1192">
        <v>1980</v>
      </c>
      <c r="P1036" s="1048"/>
      <c r="Q1036" s="1048"/>
      <c r="R1036" s="1048"/>
      <c r="S1036" s="1048"/>
      <c r="T1036" s="1048"/>
      <c r="U1036" s="1102"/>
    </row>
    <row r="1037" spans="2:21" hidden="1" outlineLevel="1">
      <c r="B1037" s="1050"/>
      <c r="C1037" s="1050"/>
      <c r="D1037" s="1051">
        <f t="shared" si="91"/>
        <v>8</v>
      </c>
      <c r="E1037" s="1051" t="str">
        <f>IF(COUNTIF(E$986:E1036,F1037)&gt;0,"",F1037)</f>
        <v>Part du bus dans les transports en commun, France continentale, Base Carbone</v>
      </c>
      <c r="F1037" s="1051" t="str">
        <f t="shared" si="92"/>
        <v>Part du bus dans les transports en commun, France continentale, Base Carbone</v>
      </c>
      <c r="G1037" s="1055" t="str">
        <f t="shared" si="93"/>
        <v>Part du bus dans les transports en commun, France continentale, Base Carbone; %, agglo 50-300.000 hab banlieue</v>
      </c>
      <c r="I1037" s="1100" t="s">
        <v>2276</v>
      </c>
      <c r="J1037" s="1048" t="s">
        <v>355</v>
      </c>
      <c r="K1037" s="1133" t="s">
        <v>1567</v>
      </c>
      <c r="L1037" s="1048" t="s">
        <v>1571</v>
      </c>
      <c r="M1037" s="1033">
        <v>0.1</v>
      </c>
      <c r="N1037" s="1032" t="s">
        <v>196</v>
      </c>
      <c r="O1037" s="1192">
        <v>50</v>
      </c>
      <c r="P1037" s="1048"/>
      <c r="Q1037" s="1048"/>
      <c r="R1037" s="1048"/>
      <c r="S1037" s="1048"/>
      <c r="T1037" s="1048"/>
      <c r="U1037" s="1102"/>
    </row>
    <row r="1038" spans="2:21" hidden="1" outlineLevel="1">
      <c r="B1038" s="1050"/>
      <c r="C1038" s="1050"/>
      <c r="D1038" s="1051">
        <f t="shared" si="91"/>
        <v>9</v>
      </c>
      <c r="E1038" s="1051" t="str">
        <f>IF(COUNTIF(E$986:E1037,F1038)&gt;0,"",F1038)</f>
        <v>Part du bus dans les transports en commun, Polynésie Française, Base Carbone</v>
      </c>
      <c r="F1038" s="1051" t="str">
        <f t="shared" si="92"/>
        <v>Part du bus dans les transports en commun, Polynésie Française, Base Carbone</v>
      </c>
      <c r="G1038" s="1055" t="str">
        <f t="shared" si="93"/>
        <v>Part du bus dans les transports en commun, Polynésie Française, Base Carbone; %, agglo 50-300.000 hab banlieue</v>
      </c>
      <c r="I1038" s="1100" t="s">
        <v>2276</v>
      </c>
      <c r="J1038" s="1048" t="s">
        <v>355</v>
      </c>
      <c r="K1038" s="1133" t="s">
        <v>1567</v>
      </c>
      <c r="L1038" s="1048" t="s">
        <v>637</v>
      </c>
      <c r="M1038" s="1033">
        <v>0.1</v>
      </c>
      <c r="N1038" s="1032" t="s">
        <v>196</v>
      </c>
      <c r="O1038" s="1192">
        <v>100</v>
      </c>
      <c r="P1038" s="1048"/>
      <c r="Q1038" s="1048"/>
      <c r="R1038" s="1048"/>
      <c r="S1038" s="1048"/>
      <c r="T1038" s="1048"/>
      <c r="U1038" s="1102"/>
    </row>
    <row r="1039" spans="2:21" hidden="1" outlineLevel="1">
      <c r="B1039" s="1050"/>
      <c r="C1039" s="1050"/>
      <c r="D1039" s="1051">
        <f t="shared" si="91"/>
        <v>9</v>
      </c>
      <c r="E1039" s="1051" t="str">
        <f>IF(COUNTIF(E$986:E1038,F1039)&gt;0,"",F1039)</f>
        <v/>
      </c>
      <c r="F1039" s="1051" t="str">
        <f t="shared" si="92"/>
        <v>Part du bus dans les transports en commun, France continentale, Base Carbone</v>
      </c>
      <c r="G1039" s="1055" t="str">
        <f t="shared" si="93"/>
        <v>Part du bus dans les transports en commun, France continentale, Base Carbone; %, agglo 50-300.000 hab centre</v>
      </c>
      <c r="I1039" s="1100" t="s">
        <v>2276</v>
      </c>
      <c r="J1039" s="1048" t="s">
        <v>355</v>
      </c>
      <c r="K1039" s="1133" t="s">
        <v>1567</v>
      </c>
      <c r="L1039" s="1048" t="s">
        <v>1571</v>
      </c>
      <c r="M1039" s="1033">
        <v>0.1</v>
      </c>
      <c r="N1039" s="1032" t="s">
        <v>154</v>
      </c>
      <c r="O1039" s="1192">
        <v>50</v>
      </c>
      <c r="P1039" s="1048"/>
      <c r="Q1039" s="1048"/>
      <c r="R1039" s="1048"/>
      <c r="S1039" s="1048"/>
      <c r="T1039" s="1048"/>
      <c r="U1039" s="1102"/>
    </row>
    <row r="1040" spans="2:21" hidden="1" outlineLevel="1">
      <c r="B1040" s="1050"/>
      <c r="C1040" s="1050"/>
      <c r="D1040" s="1051">
        <f t="shared" si="91"/>
        <v>9</v>
      </c>
      <c r="E1040" s="1051" t="str">
        <f>IF(COUNTIF(E$986:E1039,F1040)&gt;0,"",F1040)</f>
        <v/>
      </c>
      <c r="F1040" s="1051" t="str">
        <f t="shared" si="92"/>
        <v>Part du bus dans les transports en commun, Polynésie Française, Base Carbone</v>
      </c>
      <c r="G1040" s="1055" t="str">
        <f t="shared" si="93"/>
        <v>Part du bus dans les transports en commun, Polynésie Française, Base Carbone; %, agglo 50-300.000 hab centre</v>
      </c>
      <c r="I1040" s="1100" t="s">
        <v>2276</v>
      </c>
      <c r="J1040" s="1048" t="s">
        <v>355</v>
      </c>
      <c r="K1040" s="1133" t="s">
        <v>1567</v>
      </c>
      <c r="L1040" s="1048" t="s">
        <v>637</v>
      </c>
      <c r="M1040" s="1033">
        <v>0.1</v>
      </c>
      <c r="N1040" s="1032" t="s">
        <v>154</v>
      </c>
      <c r="O1040" s="1192">
        <v>100</v>
      </c>
      <c r="P1040" s="1048"/>
      <c r="Q1040" s="1048"/>
      <c r="R1040" s="1048"/>
      <c r="S1040" s="1048"/>
      <c r="T1040" s="1048"/>
      <c r="U1040" s="1102"/>
    </row>
    <row r="1041" spans="2:21" hidden="1" outlineLevel="1">
      <c r="B1041" s="1050"/>
      <c r="C1041" s="1050"/>
      <c r="D1041" s="1051">
        <f t="shared" si="91"/>
        <v>9</v>
      </c>
      <c r="E1041" s="1051" t="str">
        <f>IF(COUNTIF(E$986:E1040,F1041)&gt;0,"",F1041)</f>
        <v/>
      </c>
      <c r="F1041" s="1051" t="str">
        <f t="shared" si="92"/>
        <v>Part du bus dans les transports en commun, France continentale, Base Carbone</v>
      </c>
      <c r="G1041" s="1055" t="str">
        <f t="shared" si="93"/>
        <v>Part du bus dans les transports en commun, France continentale, Base Carbone; %, agglo &lt; 50.000 hab</v>
      </c>
      <c r="I1041" s="1100" t="s">
        <v>2276</v>
      </c>
      <c r="J1041" s="1048" t="s">
        <v>355</v>
      </c>
      <c r="K1041" s="1133" t="s">
        <v>1567</v>
      </c>
      <c r="L1041" s="1048" t="s">
        <v>1571</v>
      </c>
      <c r="M1041" s="1033">
        <v>0.1</v>
      </c>
      <c r="N1041" s="1032" t="s">
        <v>153</v>
      </c>
      <c r="O1041" s="1192">
        <v>50</v>
      </c>
      <c r="P1041" s="1048"/>
      <c r="Q1041" s="1048"/>
      <c r="R1041" s="1048"/>
      <c r="S1041" s="1048"/>
      <c r="T1041" s="1048"/>
      <c r="U1041" s="1102"/>
    </row>
    <row r="1042" spans="2:21" hidden="1" outlineLevel="1">
      <c r="B1042" s="1050"/>
      <c r="C1042" s="1050"/>
      <c r="D1042" s="1051">
        <f t="shared" si="91"/>
        <v>9</v>
      </c>
      <c r="E1042" s="1051" t="str">
        <f>IF(COUNTIF(E$986:E1041,F1042)&gt;0,"",F1042)</f>
        <v/>
      </c>
      <c r="F1042" s="1051" t="str">
        <f t="shared" si="92"/>
        <v>Part du bus dans les transports en commun, Polynésie Française, Base Carbone</v>
      </c>
      <c r="G1042" s="1055" t="str">
        <f t="shared" si="93"/>
        <v>Part du bus dans les transports en commun, Polynésie Française, Base Carbone; %, agglo &lt; 50.000 hab</v>
      </c>
      <c r="I1042" s="1100" t="s">
        <v>2276</v>
      </c>
      <c r="J1042" s="1048" t="s">
        <v>355</v>
      </c>
      <c r="K1042" s="1133" t="s">
        <v>1567</v>
      </c>
      <c r="L1042" s="1048" t="s">
        <v>637</v>
      </c>
      <c r="M1042" s="1033">
        <v>0.1</v>
      </c>
      <c r="N1042" s="1032" t="s">
        <v>153</v>
      </c>
      <c r="O1042" s="1192">
        <v>100</v>
      </c>
      <c r="P1042" s="1048"/>
      <c r="Q1042" s="1048"/>
      <c r="R1042" s="1048"/>
      <c r="S1042" s="1048"/>
      <c r="T1042" s="1048"/>
      <c r="U1042" s="1102"/>
    </row>
    <row r="1043" spans="2:21" hidden="1" outlineLevel="1">
      <c r="B1043" s="1050"/>
      <c r="C1043" s="1050"/>
      <c r="D1043" s="1051">
        <f t="shared" si="91"/>
        <v>9</v>
      </c>
      <c r="E1043" s="1051" t="str">
        <f>IF(COUNTIF(E$986:E1042,F1043)&gt;0,"",F1043)</f>
        <v/>
      </c>
      <c r="F1043" s="1051" t="str">
        <f t="shared" si="92"/>
        <v>Part du bus dans les transports en commun, France continentale, Base Carbone</v>
      </c>
      <c r="G1043" s="1055" t="str">
        <f t="shared" si="93"/>
        <v>Part du bus dans les transports en commun, France continentale, Base Carbone; %, agglo &gt; 300.000 hab banlieue</v>
      </c>
      <c r="I1043" s="1100" t="s">
        <v>2276</v>
      </c>
      <c r="J1043" s="1048" t="s">
        <v>355</v>
      </c>
      <c r="K1043" s="1133" t="s">
        <v>1567</v>
      </c>
      <c r="L1043" s="1048" t="s">
        <v>1571</v>
      </c>
      <c r="M1043" s="1033">
        <v>0.1</v>
      </c>
      <c r="N1043" s="1032" t="s">
        <v>223</v>
      </c>
      <c r="O1043" s="1192">
        <v>50</v>
      </c>
      <c r="P1043" s="1048"/>
      <c r="Q1043" s="1048"/>
      <c r="R1043" s="1048"/>
      <c r="S1043" s="1048"/>
      <c r="T1043" s="1048"/>
      <c r="U1043" s="1102"/>
    </row>
    <row r="1044" spans="2:21" hidden="1" outlineLevel="1">
      <c r="B1044" s="1050"/>
      <c r="C1044" s="1050"/>
      <c r="D1044" s="1051">
        <f t="shared" si="91"/>
        <v>9</v>
      </c>
      <c r="E1044" s="1051" t="str">
        <f>IF(COUNTIF(E$986:E1043,F1044)&gt;0,"",F1044)</f>
        <v/>
      </c>
      <c r="F1044" s="1051" t="str">
        <f t="shared" si="92"/>
        <v>Part du bus dans les transports en commun, Polynésie Française, Base Carbone</v>
      </c>
      <c r="G1044" s="1055" t="str">
        <f t="shared" si="93"/>
        <v>Part du bus dans les transports en commun, Polynésie Française, Base Carbone; %, agglo &gt; 300.000 hab banlieue</v>
      </c>
      <c r="I1044" s="1100" t="s">
        <v>2276</v>
      </c>
      <c r="J1044" s="1048" t="s">
        <v>355</v>
      </c>
      <c r="K1044" s="1133" t="s">
        <v>1567</v>
      </c>
      <c r="L1044" s="1048" t="s">
        <v>637</v>
      </c>
      <c r="M1044" s="1033">
        <v>0.1</v>
      </c>
      <c r="N1044" s="1032" t="s">
        <v>223</v>
      </c>
      <c r="O1044" s="1192">
        <v>100</v>
      </c>
      <c r="P1044" s="1048"/>
      <c r="Q1044" s="1048"/>
      <c r="R1044" s="1048"/>
      <c r="S1044" s="1048"/>
      <c r="T1044" s="1048"/>
      <c r="U1044" s="1102"/>
    </row>
    <row r="1045" spans="2:21" hidden="1" outlineLevel="1">
      <c r="B1045" s="1050"/>
      <c r="C1045" s="1050"/>
      <c r="D1045" s="1051">
        <f t="shared" si="91"/>
        <v>9</v>
      </c>
      <c r="E1045" s="1051" t="str">
        <f>IF(COUNTIF(E$986:E1044,F1045)&gt;0,"",F1045)</f>
        <v/>
      </c>
      <c r="F1045" s="1051" t="str">
        <f t="shared" si="92"/>
        <v>Part du bus dans les transports en commun, France continentale, Base Carbone</v>
      </c>
      <c r="G1045" s="1055" t="str">
        <f t="shared" si="93"/>
        <v>Part du bus dans les transports en commun, France continentale, Base Carbone; %, agglo &gt; 300.000 hab centre</v>
      </c>
      <c r="I1045" s="1100" t="s">
        <v>2276</v>
      </c>
      <c r="J1045" s="1048" t="s">
        <v>355</v>
      </c>
      <c r="K1045" s="1133" t="s">
        <v>1567</v>
      </c>
      <c r="L1045" s="1048" t="s">
        <v>1571</v>
      </c>
      <c r="M1045" s="1033">
        <v>0.1</v>
      </c>
      <c r="N1045" s="1032" t="s">
        <v>222</v>
      </c>
      <c r="O1045" s="1192">
        <v>50</v>
      </c>
      <c r="P1045" s="1048"/>
      <c r="Q1045" s="1048"/>
      <c r="R1045" s="1048"/>
      <c r="S1045" s="1048"/>
      <c r="T1045" s="1048"/>
      <c r="U1045" s="1102"/>
    </row>
    <row r="1046" spans="2:21" hidden="1" outlineLevel="1">
      <c r="B1046" s="1050"/>
      <c r="C1046" s="1050"/>
      <c r="D1046" s="1051">
        <f t="shared" si="91"/>
        <v>9</v>
      </c>
      <c r="E1046" s="1051" t="str">
        <f>IF(COUNTIF(E$986:E1045,F1046)&gt;0,"",F1046)</f>
        <v/>
      </c>
      <c r="F1046" s="1051" t="str">
        <f t="shared" si="92"/>
        <v>Part du bus dans les transports en commun, Polynésie Française, Base Carbone</v>
      </c>
      <c r="G1046" s="1055" t="str">
        <f t="shared" si="93"/>
        <v>Part du bus dans les transports en commun, Polynésie Française, Base Carbone; %, agglo &gt; 300.000 hab centre</v>
      </c>
      <c r="I1046" s="1100" t="s">
        <v>2276</v>
      </c>
      <c r="J1046" s="1048" t="s">
        <v>355</v>
      </c>
      <c r="K1046" s="1133" t="s">
        <v>1567</v>
      </c>
      <c r="L1046" s="1048" t="s">
        <v>637</v>
      </c>
      <c r="M1046" s="1033">
        <v>0.1</v>
      </c>
      <c r="N1046" s="1032" t="s">
        <v>222</v>
      </c>
      <c r="O1046" s="1192">
        <v>100</v>
      </c>
      <c r="P1046" s="1048"/>
      <c r="Q1046" s="1048"/>
      <c r="R1046" s="1048"/>
      <c r="S1046" s="1048"/>
      <c r="T1046" s="1048"/>
      <c r="U1046" s="1102"/>
    </row>
    <row r="1047" spans="2:21" hidden="1" outlineLevel="1">
      <c r="B1047" s="1050"/>
      <c r="C1047" s="1050"/>
      <c r="D1047" s="1051">
        <f t="shared" si="91"/>
        <v>9</v>
      </c>
      <c r="E1047" s="1051" t="str">
        <f>IF(COUNTIF(E$986:E1046,F1047)&gt;0,"",F1047)</f>
        <v/>
      </c>
      <c r="F1047" s="1051" t="str">
        <f t="shared" si="92"/>
        <v>Part du bus dans les transports en commun, France continentale, Base Carbone</v>
      </c>
      <c r="G1047" s="1055" t="str">
        <f t="shared" si="93"/>
        <v>Part du bus dans les transports en commun, France continentale, Base Carbone; %, agglo &gt; 300.000 hab périphérie</v>
      </c>
      <c r="I1047" s="1100" t="s">
        <v>2276</v>
      </c>
      <c r="J1047" s="1048" t="s">
        <v>355</v>
      </c>
      <c r="K1047" s="1133" t="s">
        <v>1567</v>
      </c>
      <c r="L1047" s="1048" t="s">
        <v>1571</v>
      </c>
      <c r="M1047" s="1033">
        <v>0.1</v>
      </c>
      <c r="N1047" s="1032" t="s">
        <v>216</v>
      </c>
      <c r="O1047" s="1192">
        <v>50</v>
      </c>
      <c r="P1047" s="1048"/>
      <c r="Q1047" s="1048"/>
      <c r="R1047" s="1048"/>
      <c r="S1047" s="1048"/>
      <c r="T1047" s="1048"/>
      <c r="U1047" s="1102"/>
    </row>
    <row r="1048" spans="2:21" hidden="1" outlineLevel="1">
      <c r="B1048" s="1050"/>
      <c r="C1048" s="1050"/>
      <c r="D1048" s="1051">
        <f t="shared" si="91"/>
        <v>9</v>
      </c>
      <c r="E1048" s="1051" t="str">
        <f>IF(COUNTIF(E$986:E1047,F1048)&gt;0,"",F1048)</f>
        <v/>
      </c>
      <c r="F1048" s="1051" t="str">
        <f t="shared" si="92"/>
        <v>Part du bus dans les transports en commun, Polynésie Française, Base Carbone</v>
      </c>
      <c r="G1048" s="1055" t="str">
        <f t="shared" si="93"/>
        <v>Part du bus dans les transports en commun, Polynésie Française, Base Carbone; %, agglo &gt; 300.000 hab périphérie</v>
      </c>
      <c r="I1048" s="1100" t="s">
        <v>2276</v>
      </c>
      <c r="J1048" s="1048" t="s">
        <v>355</v>
      </c>
      <c r="K1048" s="1133" t="s">
        <v>1567</v>
      </c>
      <c r="L1048" s="1048" t="s">
        <v>637</v>
      </c>
      <c r="M1048" s="1033">
        <v>0.1</v>
      </c>
      <c r="N1048" s="1032" t="s">
        <v>216</v>
      </c>
      <c r="O1048" s="1192">
        <v>100</v>
      </c>
      <c r="P1048" s="1048"/>
      <c r="Q1048" s="1048"/>
      <c r="R1048" s="1048"/>
      <c r="S1048" s="1048"/>
      <c r="T1048" s="1048"/>
      <c r="U1048" s="1102"/>
    </row>
    <row r="1049" spans="2:21" hidden="1" outlineLevel="1">
      <c r="B1049" s="1050"/>
      <c r="C1049" s="1050"/>
      <c r="D1049" s="1051">
        <f t="shared" si="91"/>
        <v>9</v>
      </c>
      <c r="E1049" s="1051" t="str">
        <f>IF(COUNTIF(E$986:E1048,F1049)&gt;0,"",F1049)</f>
        <v/>
      </c>
      <c r="F1049" s="1051" t="str">
        <f t="shared" si="92"/>
        <v>Part du bus dans les transports en commun, France continentale, Base Carbone</v>
      </c>
      <c r="G1049" s="1055" t="str">
        <f t="shared" si="93"/>
        <v>Part du bus dans les transports en commun, France continentale, Base Carbone; %, banlieue parisienne</v>
      </c>
      <c r="I1049" s="1100" t="s">
        <v>2276</v>
      </c>
      <c r="J1049" s="1048" t="s">
        <v>355</v>
      </c>
      <c r="K1049" s="1133" t="s">
        <v>1567</v>
      </c>
      <c r="L1049" s="1048" t="s">
        <v>1571</v>
      </c>
      <c r="M1049" s="1033">
        <v>0.1</v>
      </c>
      <c r="N1049" s="1032" t="s">
        <v>313</v>
      </c>
      <c r="O1049" s="1192">
        <v>33</v>
      </c>
      <c r="P1049" s="1048"/>
      <c r="Q1049" s="1048"/>
      <c r="R1049" s="1048"/>
      <c r="S1049" s="1048"/>
      <c r="T1049" s="1048"/>
      <c r="U1049" s="1102"/>
    </row>
    <row r="1050" spans="2:21" hidden="1" outlineLevel="1">
      <c r="B1050" s="1050"/>
      <c r="C1050" s="1050"/>
      <c r="D1050" s="1051">
        <f t="shared" si="91"/>
        <v>9</v>
      </c>
      <c r="E1050" s="1051" t="str">
        <f>IF(COUNTIF(E$986:E1049,F1050)&gt;0,"",F1050)</f>
        <v/>
      </c>
      <c r="F1050" s="1051" t="str">
        <f t="shared" si="92"/>
        <v>Part du bus dans les transports en commun, France continentale, Base Carbone</v>
      </c>
      <c r="G1050" s="1055" t="str">
        <f t="shared" si="93"/>
        <v>Part du bus dans les transports en commun, France continentale, Base Carbone; %, moyenne nationale</v>
      </c>
      <c r="I1050" s="1100" t="s">
        <v>2276</v>
      </c>
      <c r="J1050" s="1048" t="s">
        <v>355</v>
      </c>
      <c r="K1050" s="1133" t="s">
        <v>1567</v>
      </c>
      <c r="L1050" s="1048" t="s">
        <v>1571</v>
      </c>
      <c r="M1050" s="1033">
        <v>0.1</v>
      </c>
      <c r="N1050" s="1032" t="s">
        <v>149</v>
      </c>
      <c r="O1050" s="1192">
        <v>50</v>
      </c>
      <c r="P1050" s="1048"/>
      <c r="Q1050" s="1048"/>
      <c r="R1050" s="1048"/>
      <c r="S1050" s="1048"/>
      <c r="T1050" s="1048"/>
      <c r="U1050" s="1102"/>
    </row>
    <row r="1051" spans="2:21" hidden="1" outlineLevel="1">
      <c r="B1051" s="1050"/>
      <c r="C1051" s="1050"/>
      <c r="D1051" s="1051">
        <f t="shared" si="91"/>
        <v>9</v>
      </c>
      <c r="E1051" s="1051" t="str">
        <f>IF(COUNTIF(E$986:E1050,F1051)&gt;0,"",F1051)</f>
        <v/>
      </c>
      <c r="F1051" s="1051" t="str">
        <f t="shared" si="92"/>
        <v>Part du bus dans les transports en commun, Polynésie Française, Base Carbone</v>
      </c>
      <c r="G1051" s="1055" t="str">
        <f t="shared" ref="G1051:G1060" si="94">IF(F1051&lt;&gt;"",F1051&amp;IF(J1051&lt;&gt;"","; "&amp;J1051,"")&amp;IF(N1051&lt;&gt;"",", "&amp;N1051,""),"")</f>
        <v>Part du bus dans les transports en commun, Polynésie Française, Base Carbone; %, moyenne nationale</v>
      </c>
      <c r="I1051" s="1100" t="s">
        <v>2276</v>
      </c>
      <c r="J1051" s="1048" t="s">
        <v>355</v>
      </c>
      <c r="K1051" s="1133" t="s">
        <v>1567</v>
      </c>
      <c r="L1051" s="1048" t="s">
        <v>637</v>
      </c>
      <c r="M1051" s="1033">
        <v>0.1</v>
      </c>
      <c r="N1051" s="1032" t="s">
        <v>149</v>
      </c>
      <c r="O1051" s="1192">
        <v>100</v>
      </c>
      <c r="P1051" s="1048"/>
      <c r="Q1051" s="1048"/>
      <c r="R1051" s="1048"/>
      <c r="S1051" s="1048"/>
      <c r="T1051" s="1048"/>
      <c r="U1051" s="1102"/>
    </row>
    <row r="1052" spans="2:21" hidden="1" outlineLevel="1">
      <c r="B1052" s="1050"/>
      <c r="C1052" s="1050"/>
      <c r="D1052" s="1051">
        <f t="shared" ref="D1052:D1060" si="95">D1051+IF(LEN(E1052)&gt;0,1,0)</f>
        <v>9</v>
      </c>
      <c r="E1052" s="1051" t="str">
        <f>IF(COUNTIF(E$986:E1051,F1052)&gt;0,"",F1052)</f>
        <v/>
      </c>
      <c r="F1052" s="1051" t="str">
        <f t="shared" ref="F1052:F1060" si="96">IF(I1052&lt;&gt;"",I1052&amp;IF(L1052&lt;&gt;"",", "&amp;L1052,"")&amp;IF(K1052&lt;&gt;"",", "&amp;K1052,""),"")</f>
        <v>Part du bus dans les transports en commun, France continentale, Base Carbone</v>
      </c>
      <c r="G1052" s="1055" t="str">
        <f t="shared" si="94"/>
        <v>Part du bus dans les transports en commun, France continentale, Base Carbone; %, Paris intramuros</v>
      </c>
      <c r="I1052" s="1100" t="s">
        <v>2276</v>
      </c>
      <c r="J1052" s="1048" t="s">
        <v>355</v>
      </c>
      <c r="K1052" s="1133" t="s">
        <v>1567</v>
      </c>
      <c r="L1052" s="1048" t="s">
        <v>1571</v>
      </c>
      <c r="M1052" s="1033">
        <v>0.1</v>
      </c>
      <c r="N1052" s="1032" t="s">
        <v>274</v>
      </c>
      <c r="O1052" s="1192">
        <v>33</v>
      </c>
      <c r="P1052" s="1048"/>
      <c r="Q1052" s="1048"/>
      <c r="R1052" s="1048"/>
      <c r="S1052" s="1048"/>
      <c r="T1052" s="1048"/>
      <c r="U1052" s="1102"/>
    </row>
    <row r="1053" spans="2:21" hidden="1" outlineLevel="1">
      <c r="B1053" s="1050"/>
      <c r="C1053" s="1050"/>
      <c r="D1053" s="1051">
        <f t="shared" si="95"/>
        <v>10</v>
      </c>
      <c r="E1053" s="1051" t="str">
        <f>IF(COUNTIF(E$986:E1052,F1053)&gt;0,"",F1053)</f>
        <v>Taux d'occupation moyen des voitures, France continentale, Base Carbone</v>
      </c>
      <c r="F1053" s="1051" t="str">
        <f t="shared" si="96"/>
        <v>Taux d'occupation moyen des voitures, France continentale, Base Carbone</v>
      </c>
      <c r="G1053" s="1055" t="str">
        <f t="shared" si="94"/>
        <v>Taux d'occupation moyen des voitures, France continentale, Base Carbone; %, mobilité longue distance</v>
      </c>
      <c r="I1053" s="1100" t="s">
        <v>2277</v>
      </c>
      <c r="J1053" s="1048" t="s">
        <v>355</v>
      </c>
      <c r="K1053" s="1133" t="s">
        <v>1567</v>
      </c>
      <c r="L1053" s="1048" t="s">
        <v>1571</v>
      </c>
      <c r="M1053" s="1033">
        <v>0.1</v>
      </c>
      <c r="N1053" s="1032" t="s">
        <v>2280</v>
      </c>
      <c r="O1053" s="1192">
        <v>2.1</v>
      </c>
      <c r="P1053" s="1048"/>
      <c r="Q1053" s="1048"/>
      <c r="R1053" s="1048"/>
      <c r="S1053" s="1048"/>
      <c r="T1053" s="1048"/>
      <c r="U1053" s="1102"/>
    </row>
    <row r="1054" spans="2:21" hidden="1" outlineLevel="1">
      <c r="B1054" s="1050"/>
      <c r="C1054" s="1050"/>
      <c r="D1054" s="1051">
        <f t="shared" si="95"/>
        <v>10</v>
      </c>
      <c r="E1054" s="1051" t="str">
        <f>IF(COUNTIF(E$986:E1053,F1054)&gt;0,"",F1054)</f>
        <v/>
      </c>
      <c r="F1054" s="1051" t="str">
        <f t="shared" si="96"/>
        <v>Taux d'occupation moyen des voitures, France continentale, Base Carbone</v>
      </c>
      <c r="G1054" s="1055" t="str">
        <f t="shared" si="94"/>
        <v>Taux d'occupation moyen des voitures, France continentale, Base Carbone; %, mobilité quotidienne</v>
      </c>
      <c r="I1054" s="1100" t="s">
        <v>2277</v>
      </c>
      <c r="J1054" s="1048" t="s">
        <v>355</v>
      </c>
      <c r="K1054" s="1133" t="s">
        <v>1567</v>
      </c>
      <c r="L1054" s="1048" t="s">
        <v>1571</v>
      </c>
      <c r="M1054" s="1033">
        <v>0.1</v>
      </c>
      <c r="N1054" s="1032" t="s">
        <v>2281</v>
      </c>
      <c r="O1054" s="1192">
        <v>1.25</v>
      </c>
      <c r="P1054" s="1048"/>
      <c r="Q1054" s="1048"/>
      <c r="R1054" s="1048"/>
      <c r="S1054" s="1048"/>
      <c r="T1054" s="1048"/>
      <c r="U1054" s="1102"/>
    </row>
    <row r="1055" spans="2:21" hidden="1" outlineLevel="1">
      <c r="B1055" s="1050"/>
      <c r="C1055" s="1050"/>
      <c r="D1055" s="1051">
        <f t="shared" si="95"/>
        <v>10</v>
      </c>
      <c r="E1055" s="1051" t="str">
        <f>IF(COUNTIF(E$986:E1054,F1055)&gt;0,"",F1055)</f>
        <v/>
      </c>
      <c r="F1055" s="1051" t="str">
        <f t="shared" si="96"/>
        <v/>
      </c>
      <c r="G1055" s="1055" t="str">
        <f t="shared" si="94"/>
        <v/>
      </c>
      <c r="I1055" s="1100"/>
      <c r="J1055" s="1048"/>
      <c r="K1055" s="1048"/>
      <c r="L1055" s="1048"/>
      <c r="M1055" s="1048"/>
      <c r="N1055" s="1048"/>
      <c r="O1055" s="1048"/>
      <c r="P1055" s="1048"/>
      <c r="Q1055" s="1048"/>
      <c r="R1055" s="1048"/>
      <c r="S1055" s="1048"/>
      <c r="T1055" s="1048"/>
      <c r="U1055" s="1102"/>
    </row>
    <row r="1056" spans="2:21" hidden="1" outlineLevel="1">
      <c r="B1056" s="1050"/>
      <c r="C1056" s="1050"/>
      <c r="D1056" s="1051">
        <f t="shared" si="95"/>
        <v>10</v>
      </c>
      <c r="E1056" s="1051" t="str">
        <f>IF(COUNTIF(E$986:E1055,F1056)&gt;0,"",F1056)</f>
        <v/>
      </c>
      <c r="F1056" s="1051" t="str">
        <f t="shared" si="96"/>
        <v/>
      </c>
      <c r="G1056" s="1055" t="str">
        <f t="shared" si="94"/>
        <v/>
      </c>
      <c r="I1056" s="1100"/>
      <c r="J1056" s="1048"/>
      <c r="K1056" s="1048"/>
      <c r="L1056" s="1048"/>
      <c r="M1056" s="1048"/>
      <c r="N1056" s="1048"/>
      <c r="O1056" s="1048"/>
      <c r="P1056" s="1048"/>
      <c r="Q1056" s="1048"/>
      <c r="R1056" s="1048"/>
      <c r="S1056" s="1048"/>
      <c r="T1056" s="1048"/>
      <c r="U1056" s="1102"/>
    </row>
    <row r="1057" spans="2:21" hidden="1" outlineLevel="1">
      <c r="B1057" s="1050"/>
      <c r="C1057" s="1050"/>
      <c r="D1057" s="1051">
        <f t="shared" si="95"/>
        <v>10</v>
      </c>
      <c r="E1057" s="1051" t="str">
        <f>IF(COUNTIF(E$986:E1056,F1057)&gt;0,"",F1057)</f>
        <v/>
      </c>
      <c r="F1057" s="1051" t="str">
        <f t="shared" si="96"/>
        <v/>
      </c>
      <c r="G1057" s="1055" t="str">
        <f t="shared" si="94"/>
        <v/>
      </c>
      <c r="I1057" s="1100"/>
      <c r="J1057" s="1048"/>
      <c r="K1057" s="1048"/>
      <c r="L1057" s="1048"/>
      <c r="M1057" s="1048"/>
      <c r="N1057" s="1048"/>
      <c r="O1057" s="1048"/>
      <c r="P1057" s="1048"/>
      <c r="Q1057" s="1048"/>
      <c r="R1057" s="1048"/>
      <c r="S1057" s="1048"/>
      <c r="T1057" s="1048"/>
      <c r="U1057" s="1102"/>
    </row>
    <row r="1058" spans="2:21" hidden="1" outlineLevel="1">
      <c r="B1058" s="1050"/>
      <c r="C1058" s="1050"/>
      <c r="D1058" s="1051">
        <f t="shared" si="95"/>
        <v>10</v>
      </c>
      <c r="E1058" s="1051" t="str">
        <f>IF(COUNTIF(E$986:E1057,F1058)&gt;0,"",F1058)</f>
        <v/>
      </c>
      <c r="F1058" s="1051" t="str">
        <f t="shared" si="96"/>
        <v/>
      </c>
      <c r="G1058" s="1055" t="str">
        <f t="shared" si="94"/>
        <v/>
      </c>
      <c r="I1058" s="1100"/>
      <c r="J1058" s="1048"/>
      <c r="K1058" s="1048"/>
      <c r="L1058" s="1048"/>
      <c r="M1058" s="1048"/>
      <c r="N1058" s="1048"/>
      <c r="O1058" s="1048"/>
      <c r="P1058" s="1048"/>
      <c r="Q1058" s="1048"/>
      <c r="R1058" s="1048"/>
      <c r="S1058" s="1048"/>
      <c r="T1058" s="1048"/>
      <c r="U1058" s="1102"/>
    </row>
    <row r="1059" spans="2:21" hidden="1" outlineLevel="1">
      <c r="B1059" s="1050"/>
      <c r="C1059" s="1050"/>
      <c r="D1059" s="1051">
        <f t="shared" si="95"/>
        <v>10</v>
      </c>
      <c r="E1059" s="1051" t="str">
        <f>IF(COUNTIF(E$986:E1058,F1059)&gt;0,"",F1059)</f>
        <v/>
      </c>
      <c r="F1059" s="1051" t="str">
        <f t="shared" si="96"/>
        <v/>
      </c>
      <c r="G1059" s="1055" t="str">
        <f t="shared" si="94"/>
        <v/>
      </c>
      <c r="I1059" s="1100"/>
      <c r="J1059" s="1048"/>
      <c r="K1059" s="1048"/>
      <c r="L1059" s="1048"/>
      <c r="M1059" s="1048"/>
      <c r="N1059" s="1048"/>
      <c r="O1059" s="1048"/>
      <c r="P1059" s="1048"/>
      <c r="Q1059" s="1048"/>
      <c r="R1059" s="1048"/>
      <c r="S1059" s="1048"/>
      <c r="T1059" s="1048"/>
      <c r="U1059" s="1102"/>
    </row>
    <row r="1060" spans="2:21" hidden="1" outlineLevel="1">
      <c r="B1060" s="1050"/>
      <c r="C1060" s="1050"/>
      <c r="D1060" s="1051">
        <f t="shared" si="95"/>
        <v>10</v>
      </c>
      <c r="E1060" s="1051" t="str">
        <f>IF(COUNTIF(E$986:E1059,F1060)&gt;0,"",F1060)</f>
        <v/>
      </c>
      <c r="F1060" s="1051" t="str">
        <f t="shared" si="96"/>
        <v/>
      </c>
      <c r="G1060" s="1055" t="str">
        <f t="shared" si="94"/>
        <v/>
      </c>
      <c r="I1060" s="1103"/>
      <c r="J1060" s="1104"/>
      <c r="K1060" s="1104"/>
      <c r="L1060" s="1104"/>
      <c r="M1060" s="1104"/>
      <c r="N1060" s="1104"/>
      <c r="O1060" s="1104"/>
      <c r="P1060" s="1104"/>
      <c r="Q1060" s="1104"/>
      <c r="R1060" s="1104"/>
      <c r="S1060" s="1104"/>
      <c r="T1060" s="1104"/>
      <c r="U1060" s="1106"/>
    </row>
    <row r="1061" spans="2:21"/>
    <row r="1062" spans="2:21" ht="15.6" collapsed="1">
      <c r="I1062" s="2916" t="s">
        <v>821</v>
      </c>
      <c r="J1062" s="2917"/>
      <c r="K1062" s="2917"/>
      <c r="L1062" s="2917"/>
      <c r="M1062" s="2917"/>
      <c r="N1062" s="2917"/>
      <c r="O1062" s="2917"/>
      <c r="P1062" s="2917"/>
      <c r="Q1062" s="2917"/>
      <c r="R1062" s="2917"/>
      <c r="S1062" s="2917"/>
      <c r="T1062" s="2917"/>
      <c r="U1062" s="2918"/>
    </row>
    <row r="1063" spans="2:21" ht="13.2" hidden="1" outlineLevel="1">
      <c r="I1063" s="91"/>
      <c r="J1063" s="91"/>
      <c r="K1063" s="91"/>
      <c r="L1063" s="91"/>
      <c r="M1063" s="91"/>
      <c r="N1063" s="91"/>
      <c r="O1063" s="91"/>
      <c r="P1063" s="91"/>
      <c r="Q1063" s="91"/>
      <c r="R1063" s="1083"/>
    </row>
    <row r="1064" spans="2:21" ht="12.75" hidden="1" customHeight="1" outlineLevel="1">
      <c r="I1064" s="1675" t="s">
        <v>822</v>
      </c>
      <c r="J1064" s="3173" t="s">
        <v>823</v>
      </c>
      <c r="K1064" s="3174"/>
      <c r="L1064" s="3173" t="s">
        <v>824</v>
      </c>
      <c r="M1064" s="3174"/>
      <c r="N1064" s="3173" t="s">
        <v>825</v>
      </c>
      <c r="O1064" s="3174"/>
      <c r="P1064" s="3175" t="s">
        <v>826</v>
      </c>
      <c r="Q1064" s="3176"/>
      <c r="R1064" s="3176"/>
      <c r="S1064" s="3176"/>
      <c r="T1064" s="3176"/>
      <c r="U1064" s="3176"/>
    </row>
    <row r="1065" spans="2:21" ht="12.75" hidden="1" customHeight="1" outlineLevel="1">
      <c r="I1065" s="998" t="s">
        <v>1567</v>
      </c>
      <c r="J1065" s="3182" t="s">
        <v>827</v>
      </c>
      <c r="K1065" s="3183"/>
      <c r="L1065" s="3177" t="s">
        <v>5127</v>
      </c>
      <c r="M1065" s="3178"/>
      <c r="N1065" s="3182" t="s">
        <v>828</v>
      </c>
      <c r="O1065" s="3183"/>
      <c r="P1065" s="3186" t="s">
        <v>901</v>
      </c>
      <c r="Q1065" s="3187"/>
      <c r="R1065" s="3187"/>
      <c r="S1065" s="3187"/>
      <c r="T1065" s="3187"/>
      <c r="U1065" s="3188"/>
    </row>
    <row r="1066" spans="2:21" ht="12.75" hidden="1" customHeight="1" outlineLevel="1">
      <c r="I1066" s="998" t="s">
        <v>1784</v>
      </c>
      <c r="J1066" s="3184"/>
      <c r="K1066" s="3185"/>
      <c r="L1066" s="3177" t="s">
        <v>1224</v>
      </c>
      <c r="M1066" s="3178"/>
      <c r="N1066" s="3184"/>
      <c r="O1066" s="3185"/>
      <c r="P1066" s="3189"/>
      <c r="Q1066" s="3190"/>
      <c r="R1066" s="3190"/>
      <c r="S1066" s="3190"/>
      <c r="T1066" s="3190"/>
      <c r="U1066" s="3191"/>
    </row>
    <row r="1067" spans="2:21" ht="12.75" hidden="1" customHeight="1" outlineLevel="1">
      <c r="I1067" s="998" t="s">
        <v>829</v>
      </c>
      <c r="J1067" s="3177" t="s">
        <v>829</v>
      </c>
      <c r="K1067" s="3178"/>
      <c r="L1067" s="3177" t="s">
        <v>850</v>
      </c>
      <c r="M1067" s="3178"/>
      <c r="N1067" s="3177" t="s">
        <v>851</v>
      </c>
      <c r="O1067" s="3178"/>
      <c r="P1067" s="3179" t="s">
        <v>830</v>
      </c>
      <c r="Q1067" s="3180"/>
      <c r="R1067" s="3180"/>
      <c r="S1067" s="3180"/>
      <c r="T1067" s="3180"/>
      <c r="U1067" s="3181"/>
    </row>
    <row r="1068" spans="2:21" ht="12.75" hidden="1" customHeight="1" outlineLevel="1">
      <c r="I1068" s="998" t="s">
        <v>832</v>
      </c>
      <c r="J1068" s="3177" t="s">
        <v>832</v>
      </c>
      <c r="K1068" s="3178"/>
      <c r="L1068" s="3177" t="s">
        <v>833</v>
      </c>
      <c r="M1068" s="3178"/>
      <c r="N1068" s="3177" t="s">
        <v>1553</v>
      </c>
      <c r="O1068" s="3178"/>
      <c r="P1068" s="3179" t="s">
        <v>834</v>
      </c>
      <c r="Q1068" s="3180"/>
      <c r="R1068" s="3180"/>
      <c r="S1068" s="3180"/>
      <c r="T1068" s="3180"/>
      <c r="U1068" s="3181"/>
    </row>
    <row r="1069" spans="2:21" ht="12.75" hidden="1" customHeight="1" outlineLevel="1">
      <c r="I1069" s="998"/>
      <c r="J1069" s="3177"/>
      <c r="K1069" s="3178"/>
      <c r="L1069" s="3177"/>
      <c r="M1069" s="3178"/>
      <c r="N1069" s="3177"/>
      <c r="O1069" s="3178"/>
      <c r="P1069" s="3179"/>
      <c r="Q1069" s="3180"/>
      <c r="R1069" s="3180"/>
      <c r="S1069" s="3180"/>
      <c r="T1069" s="3180"/>
      <c r="U1069" s="3181"/>
    </row>
    <row r="1070" spans="2:21" ht="12.75" hidden="1" customHeight="1" outlineLevel="1">
      <c r="I1070" s="998"/>
      <c r="J1070" s="3177"/>
      <c r="K1070" s="3178"/>
      <c r="L1070" s="3177"/>
      <c r="M1070" s="3178"/>
      <c r="N1070" s="3177"/>
      <c r="O1070" s="3178"/>
      <c r="P1070" s="3179"/>
      <c r="Q1070" s="3180"/>
      <c r="R1070" s="3180"/>
      <c r="S1070" s="3180"/>
      <c r="T1070" s="3180"/>
      <c r="U1070" s="3181"/>
    </row>
    <row r="1071" spans="2:21" ht="12.75" hidden="1" customHeight="1" outlineLevel="1">
      <c r="I1071" s="998"/>
      <c r="J1071" s="3177"/>
      <c r="K1071" s="3178"/>
      <c r="L1071" s="3177"/>
      <c r="M1071" s="3178"/>
      <c r="N1071" s="3177"/>
      <c r="O1071" s="3178"/>
      <c r="P1071" s="3179"/>
      <c r="Q1071" s="3180"/>
      <c r="R1071" s="3180"/>
      <c r="S1071" s="3180"/>
      <c r="T1071" s="3180"/>
      <c r="U1071" s="3181"/>
    </row>
    <row r="1072" spans="2:21" ht="12.75" hidden="1" customHeight="1" outlineLevel="1">
      <c r="I1072" s="998"/>
      <c r="J1072" s="3177"/>
      <c r="K1072" s="3178"/>
      <c r="L1072" s="3177"/>
      <c r="M1072" s="3178"/>
      <c r="N1072" s="3177"/>
      <c r="O1072" s="3178"/>
      <c r="P1072" s="3179"/>
      <c r="Q1072" s="3180"/>
      <c r="R1072" s="3180"/>
      <c r="S1072" s="3180"/>
      <c r="T1072" s="3180"/>
      <c r="U1072" s="3181"/>
    </row>
    <row r="1073" spans="18:18">
      <c r="R1073" s="1083"/>
    </row>
    <row r="1074" spans="18:18"/>
    <row r="1075" spans="18:18"/>
    <row r="1076" spans="18:18"/>
    <row r="1077" spans="18:18"/>
    <row r="1078" spans="18:18"/>
    <row r="1079" spans="18:18"/>
    <row r="1080" spans="18:18"/>
    <row r="1081" spans="18:18"/>
    <row r="1082" spans="18:18"/>
    <row r="1083" spans="18:18"/>
    <row r="1084" spans="18:18"/>
    <row r="1085" spans="18:18"/>
    <row r="1086" spans="18:18"/>
    <row r="1087" spans="18:18"/>
    <row r="1088" spans="18:1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sheetData>
  <mergeCells count="266">
    <mergeCell ref="V502:W502"/>
    <mergeCell ref="V503:W503"/>
    <mergeCell ref="V505:W505"/>
    <mergeCell ref="V426:W426"/>
    <mergeCell ref="V506:W506"/>
    <mergeCell ref="V507:W507"/>
    <mergeCell ref="V509:W509"/>
    <mergeCell ref="V510:W510"/>
    <mergeCell ref="V495:W495"/>
    <mergeCell ref="V501:W501"/>
    <mergeCell ref="V497:W497"/>
    <mergeCell ref="V500:W500"/>
    <mergeCell ref="V472:W472"/>
    <mergeCell ref="V474:W474"/>
    <mergeCell ref="V475:W475"/>
    <mergeCell ref="V477:W477"/>
    <mergeCell ref="V478:W478"/>
    <mergeCell ref="V476:W476"/>
    <mergeCell ref="V480:W480"/>
    <mergeCell ref="V483:W483"/>
    <mergeCell ref="V473:W473"/>
    <mergeCell ref="V465:W465"/>
    <mergeCell ref="V467:W467"/>
    <mergeCell ref="V468:W468"/>
    <mergeCell ref="V417:W417"/>
    <mergeCell ref="V420:W420"/>
    <mergeCell ref="V424:W424"/>
    <mergeCell ref="V427:W427"/>
    <mergeCell ref="V431:W431"/>
    <mergeCell ref="V434:W434"/>
    <mergeCell ref="V438:W438"/>
    <mergeCell ref="V441:W441"/>
    <mergeCell ref="V445:W445"/>
    <mergeCell ref="V425:W425"/>
    <mergeCell ref="V439:W439"/>
    <mergeCell ref="V440:W440"/>
    <mergeCell ref="V442:W442"/>
    <mergeCell ref="V443:W443"/>
    <mergeCell ref="V418:W418"/>
    <mergeCell ref="V419:W419"/>
    <mergeCell ref="V421:W421"/>
    <mergeCell ref="V422:W422"/>
    <mergeCell ref="V423:W423"/>
    <mergeCell ref="V428:W428"/>
    <mergeCell ref="V429:W429"/>
    <mergeCell ref="V430:W430"/>
    <mergeCell ref="V432:W432"/>
    <mergeCell ref="V433:W433"/>
    <mergeCell ref="J1070:K1070"/>
    <mergeCell ref="L1070:M1070"/>
    <mergeCell ref="N1070:O1070"/>
    <mergeCell ref="P1070:U1070"/>
    <mergeCell ref="J1071:K1071"/>
    <mergeCell ref="L1071:M1071"/>
    <mergeCell ref="N1071:O1071"/>
    <mergeCell ref="P1071:U1071"/>
    <mergeCell ref="J1072:K1072"/>
    <mergeCell ref="L1072:M1072"/>
    <mergeCell ref="N1072:O1072"/>
    <mergeCell ref="P1072:U1072"/>
    <mergeCell ref="J1067:K1067"/>
    <mergeCell ref="L1067:M1067"/>
    <mergeCell ref="N1067:O1067"/>
    <mergeCell ref="P1067:U1067"/>
    <mergeCell ref="J1068:K1068"/>
    <mergeCell ref="L1068:M1068"/>
    <mergeCell ref="N1068:O1068"/>
    <mergeCell ref="P1068:U1068"/>
    <mergeCell ref="J1069:K1069"/>
    <mergeCell ref="L1069:M1069"/>
    <mergeCell ref="N1069:O1069"/>
    <mergeCell ref="P1069:U1069"/>
    <mergeCell ref="B2:C2"/>
    <mergeCell ref="J2:U5"/>
    <mergeCell ref="B3:C3"/>
    <mergeCell ref="I1062:U1062"/>
    <mergeCell ref="J1064:K1064"/>
    <mergeCell ref="L1064:M1064"/>
    <mergeCell ref="N1064:O1064"/>
    <mergeCell ref="P1064:U1064"/>
    <mergeCell ref="J1065:K1066"/>
    <mergeCell ref="L1065:M1065"/>
    <mergeCell ref="N1065:O1066"/>
    <mergeCell ref="P1065:U1066"/>
    <mergeCell ref="L1066:M1066"/>
    <mergeCell ref="I923:J923"/>
    <mergeCell ref="K923:L923"/>
    <mergeCell ref="M923:N923"/>
    <mergeCell ref="I920:J920"/>
    <mergeCell ref="K920:L920"/>
    <mergeCell ref="M920:N920"/>
    <mergeCell ref="I921:J921"/>
    <mergeCell ref="K921:L921"/>
    <mergeCell ref="M921:N921"/>
    <mergeCell ref="I918:J918"/>
    <mergeCell ref="K918:L918"/>
    <mergeCell ref="V537:W537"/>
    <mergeCell ref="V538:W538"/>
    <mergeCell ref="V539:W539"/>
    <mergeCell ref="V526:W526"/>
    <mergeCell ref="V527:W527"/>
    <mergeCell ref="V528:W528"/>
    <mergeCell ref="V530:W530"/>
    <mergeCell ref="V531:W531"/>
    <mergeCell ref="V529:W529"/>
    <mergeCell ref="V536:W536"/>
    <mergeCell ref="V535:W535"/>
    <mergeCell ref="V534:W534"/>
    <mergeCell ref="V532:W532"/>
    <mergeCell ref="V533:W533"/>
    <mergeCell ref="V519:W519"/>
    <mergeCell ref="V520:W520"/>
    <mergeCell ref="V521:W521"/>
    <mergeCell ref="V523:W523"/>
    <mergeCell ref="V524:W524"/>
    <mergeCell ref="V512:W512"/>
    <mergeCell ref="V513:W513"/>
    <mergeCell ref="V514:W514"/>
    <mergeCell ref="V516:W516"/>
    <mergeCell ref="V517:W517"/>
    <mergeCell ref="V525:W525"/>
    <mergeCell ref="V522:W522"/>
    <mergeCell ref="V518:W518"/>
    <mergeCell ref="V515:W515"/>
    <mergeCell ref="V487:W487"/>
    <mergeCell ref="V490:W490"/>
    <mergeCell ref="V494:W494"/>
    <mergeCell ref="V479:W479"/>
    <mergeCell ref="V481:W481"/>
    <mergeCell ref="V482:W482"/>
    <mergeCell ref="V484:W484"/>
    <mergeCell ref="V485:W485"/>
    <mergeCell ref="V493:W493"/>
    <mergeCell ref="V496:W496"/>
    <mergeCell ref="V498:W498"/>
    <mergeCell ref="V499:W499"/>
    <mergeCell ref="V486:W486"/>
    <mergeCell ref="V488:W488"/>
    <mergeCell ref="V489:W489"/>
    <mergeCell ref="V491:W491"/>
    <mergeCell ref="V492:W492"/>
    <mergeCell ref="V511:W511"/>
    <mergeCell ref="V508:W508"/>
    <mergeCell ref="V504:W504"/>
    <mergeCell ref="V470:W470"/>
    <mergeCell ref="V471:W471"/>
    <mergeCell ref="V458:W458"/>
    <mergeCell ref="V460:W460"/>
    <mergeCell ref="V461:W461"/>
    <mergeCell ref="V463:W463"/>
    <mergeCell ref="V464:W464"/>
    <mergeCell ref="V459:W459"/>
    <mergeCell ref="V462:W462"/>
    <mergeCell ref="V466:W466"/>
    <mergeCell ref="V469:W469"/>
    <mergeCell ref="V451:W451"/>
    <mergeCell ref="V453:W453"/>
    <mergeCell ref="V454:W454"/>
    <mergeCell ref="V456:W456"/>
    <mergeCell ref="V457:W457"/>
    <mergeCell ref="V444:W444"/>
    <mergeCell ref="V446:W446"/>
    <mergeCell ref="V447:W447"/>
    <mergeCell ref="V449:W449"/>
    <mergeCell ref="V450:W450"/>
    <mergeCell ref="V448:W448"/>
    <mergeCell ref="V452:W452"/>
    <mergeCell ref="V455:W455"/>
    <mergeCell ref="V435:W435"/>
    <mergeCell ref="V436:W436"/>
    <mergeCell ref="V437:W437"/>
    <mergeCell ref="V412:W413"/>
    <mergeCell ref="V414:W414"/>
    <mergeCell ref="V415:W415"/>
    <mergeCell ref="V416:W416"/>
    <mergeCell ref="I983:U983"/>
    <mergeCell ref="B985:C985"/>
    <mergeCell ref="D985:E985"/>
    <mergeCell ref="I922:J922"/>
    <mergeCell ref="K922:L922"/>
    <mergeCell ref="M922:N922"/>
    <mergeCell ref="M918:N918"/>
    <mergeCell ref="I919:J919"/>
    <mergeCell ref="K919:L919"/>
    <mergeCell ref="M919:N919"/>
    <mergeCell ref="I916:J916"/>
    <mergeCell ref="K916:L916"/>
    <mergeCell ref="M916:N916"/>
    <mergeCell ref="I917:J917"/>
    <mergeCell ref="K917:L917"/>
    <mergeCell ref="M917:N917"/>
    <mergeCell ref="I915:J915"/>
    <mergeCell ref="B986:C986"/>
    <mergeCell ref="I931:U931"/>
    <mergeCell ref="B933:C933"/>
    <mergeCell ref="D933:E933"/>
    <mergeCell ref="B934:C934"/>
    <mergeCell ref="I924:J924"/>
    <mergeCell ref="K924:L924"/>
    <mergeCell ref="M924:N924"/>
    <mergeCell ref="I929:J929"/>
    <mergeCell ref="K929:L929"/>
    <mergeCell ref="M929:N929"/>
    <mergeCell ref="K926:L926"/>
    <mergeCell ref="K927:L927"/>
    <mergeCell ref="K928:L928"/>
    <mergeCell ref="I926:J926"/>
    <mergeCell ref="I927:J927"/>
    <mergeCell ref="I928:J928"/>
    <mergeCell ref="K915:L915"/>
    <mergeCell ref="M915:N915"/>
    <mergeCell ref="I912:J912"/>
    <mergeCell ref="K912:L912"/>
    <mergeCell ref="M912:N912"/>
    <mergeCell ref="I913:J913"/>
    <mergeCell ref="K913:L913"/>
    <mergeCell ref="M913:N913"/>
    <mergeCell ref="I907:N907"/>
    <mergeCell ref="I908:J908"/>
    <mergeCell ref="K908:L908"/>
    <mergeCell ref="M908:N908"/>
    <mergeCell ref="I909:J909"/>
    <mergeCell ref="K909:L909"/>
    <mergeCell ref="M909:N909"/>
    <mergeCell ref="I914:J914"/>
    <mergeCell ref="K914:L914"/>
    <mergeCell ref="M914:N914"/>
    <mergeCell ref="I910:J910"/>
    <mergeCell ref="K910:L910"/>
    <mergeCell ref="M910:N910"/>
    <mergeCell ref="I911:J911"/>
    <mergeCell ref="K911:L911"/>
    <mergeCell ref="M911:N911"/>
    <mergeCell ref="I8:U8"/>
    <mergeCell ref="I10:U10"/>
    <mergeCell ref="B12:C12"/>
    <mergeCell ref="D12:E12"/>
    <mergeCell ref="B13:C13"/>
    <mergeCell ref="B599:C599"/>
    <mergeCell ref="I859:U859"/>
    <mergeCell ref="B555:C555"/>
    <mergeCell ref="D555:E555"/>
    <mergeCell ref="B556:C556"/>
    <mergeCell ref="I596:U596"/>
    <mergeCell ref="B598:C598"/>
    <mergeCell ref="D598:E598"/>
    <mergeCell ref="B133:C133"/>
    <mergeCell ref="B294:C294"/>
    <mergeCell ref="B46:C46"/>
    <mergeCell ref="I311:U311"/>
    <mergeCell ref="B313:C313"/>
    <mergeCell ref="B201:C201"/>
    <mergeCell ref="B247:C247"/>
    <mergeCell ref="I553:U553"/>
    <mergeCell ref="B314:C314"/>
    <mergeCell ref="I330:U330"/>
    <mergeCell ref="B332:C332"/>
    <mergeCell ref="D332:E332"/>
    <mergeCell ref="B333:C333"/>
    <mergeCell ref="I410:U410"/>
    <mergeCell ref="B412:C412"/>
    <mergeCell ref="D412:E412"/>
    <mergeCell ref="B413:C413"/>
    <mergeCell ref="B861:C861"/>
    <mergeCell ref="D861:E861"/>
    <mergeCell ref="B862:C862"/>
  </mergeCells>
  <phoneticPr fontId="11" type="noConversion"/>
  <hyperlinks>
    <hyperlink ref="P1067" r:id="rId1" xr:uid="{00000000-0004-0000-1B00-000000000000}"/>
    <hyperlink ref="P1068" r:id="rId2" xr:uid="{00000000-0004-0000-1B00-000001000000}"/>
    <hyperlink ref="P1065" r:id="rId3" xr:uid="{00000000-0004-0000-1B00-000002000000}"/>
  </hyperlinks>
  <pageMargins left="0.7" right="0.7" top="0.75" bottom="0.75" header="0.3" footer="0.3"/>
  <pageSetup paperSize="9"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W291"/>
  <sheetViews>
    <sheetView showGridLines="0" zoomScale="90" zoomScaleNormal="90" workbookViewId="0"/>
  </sheetViews>
  <sheetFormatPr baseColWidth="10" defaultColWidth="0" defaultRowHeight="11.4" zeroHeight="1" outlineLevelRow="2" outlineLevelCol="1"/>
  <cols>
    <col min="1" max="1" width="2.125" customWidth="1"/>
    <col min="2" max="2" width="3.25" customWidth="1"/>
    <col min="3" max="3" width="18.75" customWidth="1" collapsed="1"/>
    <col min="4" max="7" width="11.375" hidden="1" customWidth="1" outlineLevel="1"/>
    <col min="8" max="8" width="2.75" customWidth="1"/>
    <col min="9" max="9" width="41.75" customWidth="1"/>
    <col min="10" max="13" width="11.375" customWidth="1"/>
    <col min="14" max="14" width="20.75" customWidth="1"/>
    <col min="15" max="21" width="11.375" customWidth="1"/>
    <col min="22" max="22" width="4.25" customWidth="1"/>
    <col min="23" max="23" width="0" hidden="1" customWidth="1"/>
    <col min="24" max="16384" width="11.375" hidden="1"/>
  </cols>
  <sheetData>
    <row r="1" spans="2:21">
      <c r="K1" s="1673"/>
      <c r="M1" s="1144"/>
      <c r="O1" s="1148"/>
      <c r="P1" s="1146"/>
      <c r="Q1" s="1146"/>
      <c r="R1" s="1146"/>
      <c r="S1" s="1146"/>
      <c r="T1" s="1146"/>
      <c r="U1" s="1146"/>
    </row>
    <row r="2" spans="2:21" ht="14.25" customHeight="1">
      <c r="B2" s="2761" t="s">
        <v>893</v>
      </c>
      <c r="C2" s="2762"/>
      <c r="J2" s="3158" t="s">
        <v>2474</v>
      </c>
      <c r="K2" s="3159"/>
      <c r="L2" s="3159"/>
      <c r="M2" s="3159"/>
      <c r="N2" s="3159"/>
      <c r="O2" s="3159"/>
      <c r="P2" s="3159"/>
      <c r="Q2" s="3159"/>
      <c r="R2" s="3159"/>
      <c r="S2" s="3159"/>
      <c r="T2" s="3159"/>
      <c r="U2" s="3160"/>
    </row>
    <row r="3" spans="2:21" ht="13.8">
      <c r="B3" s="2761" t="s">
        <v>162</v>
      </c>
      <c r="C3" s="2762"/>
      <c r="J3" s="3161"/>
      <c r="K3" s="3162"/>
      <c r="L3" s="3162"/>
      <c r="M3" s="3162"/>
      <c r="N3" s="3162"/>
      <c r="O3" s="3162"/>
      <c r="P3" s="3162"/>
      <c r="Q3" s="3162"/>
      <c r="R3" s="3162"/>
      <c r="S3" s="3162"/>
      <c r="T3" s="3162"/>
      <c r="U3" s="3163"/>
    </row>
    <row r="4" spans="2:21">
      <c r="J4" s="3161"/>
      <c r="K4" s="3162"/>
      <c r="L4" s="3162"/>
      <c r="M4" s="3162"/>
      <c r="N4" s="3162"/>
      <c r="O4" s="3162"/>
      <c r="P4" s="3162"/>
      <c r="Q4" s="3162"/>
      <c r="R4" s="3162"/>
      <c r="S4" s="3162"/>
      <c r="T4" s="3162"/>
      <c r="U4" s="3163"/>
    </row>
    <row r="5" spans="2:21">
      <c r="J5" s="3164"/>
      <c r="K5" s="3165"/>
      <c r="L5" s="3165"/>
      <c r="M5" s="3165"/>
      <c r="N5" s="3165"/>
      <c r="O5" s="3165"/>
      <c r="P5" s="3165"/>
      <c r="Q5" s="3165"/>
      <c r="R5" s="3165"/>
      <c r="S5" s="3165"/>
      <c r="T5" s="3165"/>
      <c r="U5" s="3166"/>
    </row>
    <row r="6" spans="2:21">
      <c r="R6" s="1083"/>
    </row>
    <row r="7" spans="2:21">
      <c r="R7" s="1083"/>
    </row>
    <row r="8" spans="2:21" ht="15.6">
      <c r="I8" s="3170" t="s">
        <v>2394</v>
      </c>
      <c r="J8" s="3171"/>
      <c r="K8" s="3171"/>
      <c r="L8" s="3171"/>
      <c r="M8" s="3171"/>
      <c r="N8" s="3171"/>
      <c r="O8" s="3171"/>
      <c r="P8" s="3171"/>
      <c r="Q8" s="3171"/>
      <c r="R8" s="3171"/>
      <c r="S8" s="3171"/>
      <c r="T8" s="3171"/>
      <c r="U8" s="3172"/>
    </row>
    <row r="9" spans="2:21">
      <c r="R9" s="1083"/>
    </row>
    <row r="10" spans="2:21" ht="15.6" collapsed="1">
      <c r="I10" s="3167" t="s">
        <v>236</v>
      </c>
      <c r="J10" s="3168"/>
      <c r="K10" s="3168"/>
      <c r="L10" s="3168"/>
      <c r="M10" s="3168"/>
      <c r="N10" s="3168"/>
      <c r="O10" s="3168"/>
      <c r="P10" s="3168"/>
      <c r="Q10" s="3168"/>
      <c r="R10" s="3168"/>
      <c r="S10" s="3168"/>
      <c r="T10" s="3168"/>
      <c r="U10" s="3169"/>
    </row>
    <row r="11" spans="2:21" hidden="1" outlineLevel="1">
      <c r="R11" s="1083"/>
    </row>
    <row r="12" spans="2:21" ht="12.75" hidden="1" customHeight="1" outlineLevel="1">
      <c r="B12" s="3154" t="s">
        <v>1617</v>
      </c>
      <c r="C12" s="3154"/>
      <c r="D12" s="3157" t="s">
        <v>1619</v>
      </c>
      <c r="E12" s="3157"/>
      <c r="F12" s="1151" t="s">
        <v>1991</v>
      </c>
      <c r="G12" s="1053" t="s">
        <v>1992</v>
      </c>
      <c r="H12" s="1044"/>
      <c r="I12" s="1107" t="s">
        <v>1557</v>
      </c>
      <c r="J12" s="1108" t="s">
        <v>1266</v>
      </c>
      <c r="K12" s="1109" t="s">
        <v>224</v>
      </c>
      <c r="L12" s="1109" t="s">
        <v>1558</v>
      </c>
      <c r="M12" s="1110" t="s">
        <v>366</v>
      </c>
      <c r="N12" s="1108" t="s">
        <v>1559</v>
      </c>
      <c r="O12" s="1111" t="s">
        <v>1560</v>
      </c>
      <c r="P12" s="1109" t="s">
        <v>211</v>
      </c>
      <c r="Q12" s="1109" t="s">
        <v>1561</v>
      </c>
      <c r="R12" s="1111" t="s">
        <v>1562</v>
      </c>
      <c r="S12" s="1111" t="s">
        <v>267</v>
      </c>
      <c r="T12" s="1109" t="s">
        <v>1563</v>
      </c>
      <c r="U12" s="1112" t="s">
        <v>1564</v>
      </c>
    </row>
    <row r="13" spans="2:21" s="1045" customFormat="1" ht="12.75" hidden="1" customHeight="1" outlineLevel="1" collapsed="1">
      <c r="B13" s="3156" t="s">
        <v>236</v>
      </c>
      <c r="C13" s="3156"/>
      <c r="D13" s="1051">
        <v>0</v>
      </c>
      <c r="E13" s="1051"/>
      <c r="F13" s="1051"/>
      <c r="G13" s="1054"/>
      <c r="H13" s="1046"/>
      <c r="I13" s="1777"/>
      <c r="J13" s="1778"/>
      <c r="K13" s="1779"/>
      <c r="L13" s="1779"/>
      <c r="M13" s="1780"/>
      <c r="N13" s="1778"/>
      <c r="O13" s="1781"/>
      <c r="P13" s="1779"/>
      <c r="Q13" s="1779"/>
      <c r="R13" s="1781"/>
      <c r="S13" s="1781"/>
      <c r="T13" s="1779"/>
      <c r="U13" s="1782"/>
    </row>
    <row r="14" spans="2:21" hidden="1" outlineLevel="2">
      <c r="B14" s="1050">
        <v>1</v>
      </c>
      <c r="C14" s="1050" t="str">
        <f>IF(ISNA(VLOOKUP(B14,$D$14:$E$36,2,FALSE)),"-",VLOOKUP(B14,$D$14:$E$36,2,FALSE))</f>
        <v>Bâtiment agricole, structure en béton, France continentale, Base Carbone</v>
      </c>
      <c r="D14" s="1051">
        <f>D13+IF(LEN(E14)&gt;0,1,0)</f>
        <v>1</v>
      </c>
      <c r="E14" s="1051" t="str">
        <f>IF(COUNTIF(E$13:E13,F14)&gt;0,"",F14)</f>
        <v>Bâtiment agricole, structure en béton, France continentale, Base Carbone</v>
      </c>
      <c r="F14" s="1051" t="str">
        <f>IF(I14&lt;&gt;"",I14&amp;IF(L14&lt;&gt;"",", "&amp;L14,"")&amp;IF(K14&lt;&gt;"",", "&amp;K14,""),"")</f>
        <v>Bâtiment agricole, structure en béton, France continentale, Base Carbone</v>
      </c>
      <c r="G14" s="1055" t="str">
        <f>IF(F14&lt;&gt;"",F14&amp;IF(J14&lt;&gt;"","; "&amp;J14&amp;IF(N14&lt;&gt;"",", "&amp;N14,),""),"")</f>
        <v>Bâtiment agricole, structure en béton, France continentale, Base Carbone; kgCO2e/m²</v>
      </c>
      <c r="I14" s="1031" t="s">
        <v>2395</v>
      </c>
      <c r="J14" s="1048" t="s">
        <v>2006</v>
      </c>
      <c r="K14" s="1119" t="s">
        <v>1567</v>
      </c>
      <c r="L14" s="1032" t="s">
        <v>1571</v>
      </c>
      <c r="M14" s="1033">
        <v>0.5</v>
      </c>
      <c r="N14" s="1048"/>
      <c r="O14" s="1036">
        <v>656</v>
      </c>
      <c r="P14" s="1980">
        <v>656</v>
      </c>
      <c r="Q14" s="1980">
        <v>0</v>
      </c>
      <c r="R14" s="1980">
        <v>0</v>
      </c>
      <c r="S14" s="1980">
        <v>0</v>
      </c>
      <c r="T14" s="1980">
        <v>0</v>
      </c>
      <c r="U14" s="2036">
        <v>0</v>
      </c>
    </row>
    <row r="15" spans="2:21" hidden="1" outlineLevel="2">
      <c r="B15" s="1050">
        <v>2</v>
      </c>
      <c r="C15" s="1050" t="str">
        <f t="shared" ref="C15:C36" si="0">IF(ISNA(VLOOKUP(B15,$D$14:$E$36,2,FALSE)),"-",VLOOKUP(B15,$D$14:$E$36,2,FALSE))</f>
        <v>Bâtiment agricole, structure métallique, France continentale, Base Carbone</v>
      </c>
      <c r="D15" s="1051">
        <f t="shared" ref="D15:D36" si="1">D14+IF(LEN(E15)&gt;0,1,0)</f>
        <v>2</v>
      </c>
      <c r="E15" s="1051" t="str">
        <f>IF(COUNTIF(E$13:E14,F15)&gt;0,"",F15)</f>
        <v>Bâtiment agricole, structure métallique, France continentale, Base Carbone</v>
      </c>
      <c r="F15" s="1051" t="str">
        <f t="shared" ref="F15:F36" si="2">IF(I15&lt;&gt;"",I15&amp;IF(L15&lt;&gt;"",", "&amp;L15,"")&amp;IF(K15&lt;&gt;"",", "&amp;K15,""),"")</f>
        <v>Bâtiment agricole, structure métallique, France continentale, Base Carbone</v>
      </c>
      <c r="G15" s="1055" t="str">
        <f t="shared" ref="G15:G36" si="3">IF(F15&lt;&gt;"",F15&amp;IF(J15&lt;&gt;"","; "&amp;J15&amp;IF(N15&lt;&gt;"",", "&amp;N15,),""),"")</f>
        <v>Bâtiment agricole, structure métallique, France continentale, Base Carbone; kgCO2e/m²</v>
      </c>
      <c r="I15" s="1100" t="s">
        <v>2396</v>
      </c>
      <c r="J15" s="1048" t="s">
        <v>2006</v>
      </c>
      <c r="K15" s="1119" t="s">
        <v>1567</v>
      </c>
      <c r="L15" s="1048" t="s">
        <v>1571</v>
      </c>
      <c r="M15" s="1033">
        <v>0.5</v>
      </c>
      <c r="N15" s="1048"/>
      <c r="O15" s="1036">
        <v>220</v>
      </c>
      <c r="P15" s="1980">
        <v>220</v>
      </c>
      <c r="Q15" s="1980">
        <v>0</v>
      </c>
      <c r="R15" s="1980">
        <v>0</v>
      </c>
      <c r="S15" s="1980">
        <v>0</v>
      </c>
      <c r="T15" s="1980">
        <v>0</v>
      </c>
      <c r="U15" s="2036">
        <v>0</v>
      </c>
    </row>
    <row r="16" spans="2:21" hidden="1" outlineLevel="2">
      <c r="B16" s="1050">
        <v>3</v>
      </c>
      <c r="C16" s="1050" t="str">
        <f t="shared" si="0"/>
        <v>Bâtiment industriel, structure en béton, France continentale, Base Carbone</v>
      </c>
      <c r="D16" s="1051">
        <f t="shared" si="1"/>
        <v>3</v>
      </c>
      <c r="E16" s="1051" t="str">
        <f>IF(COUNTIF(E$13:E15,F16)&gt;0,"",F16)</f>
        <v>Bâtiment industriel, structure en béton, France continentale, Base Carbone</v>
      </c>
      <c r="F16" s="1051" t="str">
        <f t="shared" si="2"/>
        <v>Bâtiment industriel, structure en béton, France continentale, Base Carbone</v>
      </c>
      <c r="G16" s="1055" t="str">
        <f t="shared" si="3"/>
        <v>Bâtiment industriel, structure en béton, France continentale, Base Carbone; kgCO2e/m²</v>
      </c>
      <c r="I16" s="1100" t="s">
        <v>2397</v>
      </c>
      <c r="J16" s="1048" t="s">
        <v>2006</v>
      </c>
      <c r="K16" s="1119" t="s">
        <v>1567</v>
      </c>
      <c r="L16" s="1048" t="s">
        <v>1571</v>
      </c>
      <c r="M16" s="1033">
        <v>0.5</v>
      </c>
      <c r="N16" s="1048"/>
      <c r="O16" s="1036">
        <v>825</v>
      </c>
      <c r="P16" s="1980">
        <v>825</v>
      </c>
      <c r="Q16" s="1980">
        <v>0</v>
      </c>
      <c r="R16" s="1980">
        <v>0</v>
      </c>
      <c r="S16" s="1980">
        <v>0</v>
      </c>
      <c r="T16" s="1980">
        <v>0</v>
      </c>
      <c r="U16" s="2036">
        <v>0</v>
      </c>
    </row>
    <row r="17" spans="2:21" hidden="1" outlineLevel="2">
      <c r="B17" s="1050">
        <v>4</v>
      </c>
      <c r="C17" s="1050" t="str">
        <f t="shared" si="0"/>
        <v>Bâtiment industriel, structure métallique, France continentale, Base Carbone</v>
      </c>
      <c r="D17" s="1051">
        <f t="shared" si="1"/>
        <v>4</v>
      </c>
      <c r="E17" s="1051" t="str">
        <f>IF(COUNTIF(E$13:E16,F17)&gt;0,"",F17)</f>
        <v>Bâtiment industriel, structure métallique, France continentale, Base Carbone</v>
      </c>
      <c r="F17" s="1051" t="str">
        <f t="shared" si="2"/>
        <v>Bâtiment industriel, structure métallique, France continentale, Base Carbone</v>
      </c>
      <c r="G17" s="1055" t="str">
        <f t="shared" si="3"/>
        <v>Bâtiment industriel, structure métallique, France continentale, Base Carbone; kgCO2e/m²</v>
      </c>
      <c r="I17" s="1100" t="s">
        <v>2398</v>
      </c>
      <c r="J17" s="1048" t="s">
        <v>2006</v>
      </c>
      <c r="K17" s="1119" t="s">
        <v>1567</v>
      </c>
      <c r="L17" s="1048" t="s">
        <v>1571</v>
      </c>
      <c r="M17" s="1033">
        <v>0.5</v>
      </c>
      <c r="N17" s="1048"/>
      <c r="O17" s="1036">
        <v>275</v>
      </c>
      <c r="P17" s="1980">
        <v>275</v>
      </c>
      <c r="Q17" s="1980">
        <v>0</v>
      </c>
      <c r="R17" s="1980">
        <v>0</v>
      </c>
      <c r="S17" s="1980">
        <v>0</v>
      </c>
      <c r="T17" s="1980">
        <v>0</v>
      </c>
      <c r="U17" s="2036">
        <v>0</v>
      </c>
    </row>
    <row r="18" spans="2:21" hidden="1" outlineLevel="2">
      <c r="B18" s="1050">
        <v>5</v>
      </c>
      <c r="C18" s="1050" t="str">
        <f t="shared" si="0"/>
        <v>Bâtiments de bureaux , France continentale, Base Carbone</v>
      </c>
      <c r="D18" s="1051">
        <f t="shared" si="1"/>
        <v>5</v>
      </c>
      <c r="E18" s="1051" t="str">
        <f>IF(COUNTIF(E$13:E17,F18)&gt;0,"",F18)</f>
        <v>Bâtiments de bureaux , France continentale, Base Carbone</v>
      </c>
      <c r="F18" s="1051" t="str">
        <f t="shared" si="2"/>
        <v>Bâtiments de bureaux , France continentale, Base Carbone</v>
      </c>
      <c r="G18" s="1055" t="str">
        <f t="shared" si="3"/>
        <v>Bâtiments de bureaux , France continentale, Base Carbone; kgCO2e/m²</v>
      </c>
      <c r="I18" s="1100" t="s">
        <v>2016</v>
      </c>
      <c r="J18" s="1048" t="s">
        <v>2006</v>
      </c>
      <c r="K18" s="1119" t="s">
        <v>1567</v>
      </c>
      <c r="L18" s="1048" t="s">
        <v>1571</v>
      </c>
      <c r="M18" s="1033">
        <v>0.5</v>
      </c>
      <c r="N18" s="1048"/>
      <c r="O18" s="1036">
        <v>650</v>
      </c>
      <c r="P18" s="1980">
        <v>650</v>
      </c>
      <c r="Q18" s="1980">
        <v>0</v>
      </c>
      <c r="R18" s="1980">
        <v>0</v>
      </c>
      <c r="S18" s="1980">
        <v>0</v>
      </c>
      <c r="T18" s="1980">
        <v>0</v>
      </c>
      <c r="U18" s="2036">
        <v>0</v>
      </c>
    </row>
    <row r="19" spans="2:21" hidden="1" outlineLevel="2">
      <c r="B19" s="1050">
        <v>6</v>
      </c>
      <c r="C19" s="1050" t="str">
        <f t="shared" si="0"/>
        <v>Centre de loisir, structure en béton, France continentale, Base Carbone</v>
      </c>
      <c r="D19" s="1051">
        <f t="shared" si="1"/>
        <v>6</v>
      </c>
      <c r="E19" s="1051" t="str">
        <f>IF(COUNTIF(E$13:E18,F19)&gt;0,"",F19)</f>
        <v>Centre de loisir, structure en béton, France continentale, Base Carbone</v>
      </c>
      <c r="F19" s="1051" t="str">
        <f t="shared" si="2"/>
        <v>Centre de loisir, structure en béton, France continentale, Base Carbone</v>
      </c>
      <c r="G19" s="1055" t="str">
        <f t="shared" si="3"/>
        <v>Centre de loisir, structure en béton, France continentale, Base Carbone; kgCO2e/m²</v>
      </c>
      <c r="I19" s="1100" t="s">
        <v>2399</v>
      </c>
      <c r="J19" s="1048" t="s">
        <v>2006</v>
      </c>
      <c r="K19" s="1119" t="s">
        <v>1567</v>
      </c>
      <c r="L19" s="1048" t="s">
        <v>1571</v>
      </c>
      <c r="M19" s="1033">
        <v>0.5</v>
      </c>
      <c r="N19" s="1048"/>
      <c r="O19" s="1036">
        <v>506</v>
      </c>
      <c r="P19" s="1980">
        <v>506</v>
      </c>
      <c r="Q19" s="1980">
        <v>0</v>
      </c>
      <c r="R19" s="1980">
        <v>0</v>
      </c>
      <c r="S19" s="1980">
        <v>0</v>
      </c>
      <c r="T19" s="1980">
        <v>0</v>
      </c>
      <c r="U19" s="2036">
        <v>0</v>
      </c>
    </row>
    <row r="20" spans="2:21" hidden="1" outlineLevel="2">
      <c r="B20" s="1050">
        <v>7</v>
      </c>
      <c r="C20" s="1050" t="str">
        <f t="shared" si="0"/>
        <v>Centre de loisir, structure métallique, France continentale, Base Carbone</v>
      </c>
      <c r="D20" s="1051">
        <f t="shared" si="1"/>
        <v>7</v>
      </c>
      <c r="E20" s="1051" t="str">
        <f>IF(COUNTIF(E$13:E19,F20)&gt;0,"",F20)</f>
        <v>Centre de loisir, structure métallique, France continentale, Base Carbone</v>
      </c>
      <c r="F20" s="1051" t="str">
        <f t="shared" si="2"/>
        <v>Centre de loisir, structure métallique, France continentale, Base Carbone</v>
      </c>
      <c r="G20" s="1055" t="str">
        <f t="shared" si="3"/>
        <v>Centre de loisir, structure métallique, France continentale, Base Carbone; kgCO2e/m²</v>
      </c>
      <c r="I20" s="1100" t="s">
        <v>2400</v>
      </c>
      <c r="J20" s="1048" t="s">
        <v>2006</v>
      </c>
      <c r="K20" s="1119" t="s">
        <v>1567</v>
      </c>
      <c r="L20" s="1048" t="s">
        <v>1571</v>
      </c>
      <c r="M20" s="1033">
        <v>0.5</v>
      </c>
      <c r="N20" s="1048"/>
      <c r="O20" s="1036">
        <v>169</v>
      </c>
      <c r="P20" s="1980">
        <v>169</v>
      </c>
      <c r="Q20" s="1980">
        <v>0</v>
      </c>
      <c r="R20" s="1980">
        <v>0</v>
      </c>
      <c r="S20" s="1980">
        <v>0</v>
      </c>
      <c r="T20" s="1980">
        <v>0</v>
      </c>
      <c r="U20" s="2036">
        <v>0</v>
      </c>
    </row>
    <row r="21" spans="2:21" hidden="1" outlineLevel="2">
      <c r="B21" s="1050">
        <v>8</v>
      </c>
      <c r="C21" s="1050" t="str">
        <f t="shared" si="0"/>
        <v>Commerce, structure en béton, France continentale, Base Carbone</v>
      </c>
      <c r="D21" s="1051">
        <f t="shared" si="1"/>
        <v>8</v>
      </c>
      <c r="E21" s="1051" t="str">
        <f>IF(COUNTIF(E$13:E20,F21)&gt;0,"",F21)</f>
        <v>Commerce, structure en béton, France continentale, Base Carbone</v>
      </c>
      <c r="F21" s="1051" t="str">
        <f t="shared" si="2"/>
        <v>Commerce, structure en béton, France continentale, Base Carbone</v>
      </c>
      <c r="G21" s="1055" t="str">
        <f t="shared" si="3"/>
        <v>Commerce, structure en béton, France continentale, Base Carbone; kgCO2e/m²</v>
      </c>
      <c r="I21" s="1100" t="s">
        <v>2401</v>
      </c>
      <c r="J21" s="1048" t="s">
        <v>2006</v>
      </c>
      <c r="K21" s="1119" t="s">
        <v>1567</v>
      </c>
      <c r="L21" s="1048" t="s">
        <v>1571</v>
      </c>
      <c r="M21" s="1033">
        <v>0.5</v>
      </c>
      <c r="N21" s="1048"/>
      <c r="O21" s="1036">
        <v>550</v>
      </c>
      <c r="P21" s="1980">
        <v>550</v>
      </c>
      <c r="Q21" s="1980">
        <v>0</v>
      </c>
      <c r="R21" s="1980">
        <v>0</v>
      </c>
      <c r="S21" s="1980">
        <v>0</v>
      </c>
      <c r="T21" s="1980">
        <v>0</v>
      </c>
      <c r="U21" s="2036">
        <v>0</v>
      </c>
    </row>
    <row r="22" spans="2:21" hidden="1" outlineLevel="2">
      <c r="B22" s="1050">
        <v>9</v>
      </c>
      <c r="C22" s="1050" t="str">
        <f t="shared" si="0"/>
        <v>Commerce, structure métallique, France continentale, Base Carbone</v>
      </c>
      <c r="D22" s="1051">
        <f t="shared" si="1"/>
        <v>9</v>
      </c>
      <c r="E22" s="1051" t="str">
        <f>IF(COUNTIF(E$13:E21,F22)&gt;0,"",F22)</f>
        <v>Commerce, structure métallique, France continentale, Base Carbone</v>
      </c>
      <c r="F22" s="1051" t="str">
        <f t="shared" si="2"/>
        <v>Commerce, structure métallique, France continentale, Base Carbone</v>
      </c>
      <c r="G22" s="1055" t="str">
        <f t="shared" si="3"/>
        <v>Commerce, structure métallique, France continentale, Base Carbone; kgCO2e/m²</v>
      </c>
      <c r="I22" s="1100" t="s">
        <v>2402</v>
      </c>
      <c r="J22" s="1048" t="s">
        <v>2006</v>
      </c>
      <c r="K22" s="1119" t="s">
        <v>1567</v>
      </c>
      <c r="L22" s="1048" t="s">
        <v>1571</v>
      </c>
      <c r="M22" s="1033">
        <v>0.5</v>
      </c>
      <c r="N22" s="1048"/>
      <c r="O22" s="1036">
        <v>183</v>
      </c>
      <c r="P22" s="1980">
        <v>183</v>
      </c>
      <c r="Q22" s="1980">
        <v>0</v>
      </c>
      <c r="R22" s="1980">
        <v>0</v>
      </c>
      <c r="S22" s="1980">
        <v>0</v>
      </c>
      <c r="T22" s="1980">
        <v>0</v>
      </c>
      <c r="U22" s="2036">
        <v>0</v>
      </c>
    </row>
    <row r="23" spans="2:21" hidden="1" outlineLevel="2">
      <c r="B23" s="1050">
        <v>10</v>
      </c>
      <c r="C23" s="1050" t="str">
        <f t="shared" si="0"/>
        <v>Etablissement d'enseignement, structure en béton, France continentale, Base Carbone</v>
      </c>
      <c r="D23" s="1051">
        <f t="shared" si="1"/>
        <v>10</v>
      </c>
      <c r="E23" s="1051" t="str">
        <f>IF(COUNTIF(E$13:E22,F23)&gt;0,"",F23)</f>
        <v>Etablissement d'enseignement, structure en béton, France continentale, Base Carbone</v>
      </c>
      <c r="F23" s="1051" t="str">
        <f t="shared" si="2"/>
        <v>Etablissement d'enseignement, structure en béton, France continentale, Base Carbone</v>
      </c>
      <c r="G23" s="1055" t="str">
        <f t="shared" si="3"/>
        <v>Etablissement d'enseignement, structure en béton, France continentale, Base Carbone; kgCO2e/m²</v>
      </c>
      <c r="I23" s="1100" t="s">
        <v>2403</v>
      </c>
      <c r="J23" s="1048" t="s">
        <v>2006</v>
      </c>
      <c r="K23" s="1119" t="s">
        <v>1567</v>
      </c>
      <c r="L23" s="1048" t="s">
        <v>1571</v>
      </c>
      <c r="M23" s="1033">
        <v>0.5</v>
      </c>
      <c r="N23" s="1048"/>
      <c r="O23" s="1036">
        <v>440</v>
      </c>
      <c r="P23" s="1980">
        <v>440</v>
      </c>
      <c r="Q23" s="1980">
        <v>0</v>
      </c>
      <c r="R23" s="1980">
        <v>0</v>
      </c>
      <c r="S23" s="1980">
        <v>0</v>
      </c>
      <c r="T23" s="1980">
        <v>0</v>
      </c>
      <c r="U23" s="2036">
        <v>0</v>
      </c>
    </row>
    <row r="24" spans="2:21" hidden="1" outlineLevel="2">
      <c r="B24" s="1050">
        <v>11</v>
      </c>
      <c r="C24" s="1050" t="str">
        <f t="shared" si="0"/>
        <v>Etablissement de santé, structure en béton, France continentale, Base Carbone</v>
      </c>
      <c r="D24" s="1051">
        <f t="shared" si="1"/>
        <v>11</v>
      </c>
      <c r="E24" s="1051" t="str">
        <f>IF(COUNTIF(E$13:E23,F24)&gt;0,"",F24)</f>
        <v>Etablissement de santé, structure en béton, France continentale, Base Carbone</v>
      </c>
      <c r="F24" s="1051" t="str">
        <f t="shared" si="2"/>
        <v>Etablissement de santé, structure en béton, France continentale, Base Carbone</v>
      </c>
      <c r="G24" s="1055" t="str">
        <f t="shared" si="3"/>
        <v>Etablissement de santé, structure en béton, France continentale, Base Carbone; kgCO2e/m²</v>
      </c>
      <c r="I24" s="1100" t="s">
        <v>2404</v>
      </c>
      <c r="J24" s="1048" t="s">
        <v>2006</v>
      </c>
      <c r="K24" s="1119" t="s">
        <v>1567</v>
      </c>
      <c r="L24" s="1048" t="s">
        <v>1571</v>
      </c>
      <c r="M24" s="1033">
        <v>0.5</v>
      </c>
      <c r="N24" s="1048"/>
      <c r="O24" s="1036">
        <v>440</v>
      </c>
      <c r="P24" s="1980">
        <v>440</v>
      </c>
      <c r="Q24" s="1980">
        <v>0</v>
      </c>
      <c r="R24" s="1980">
        <v>0</v>
      </c>
      <c r="S24" s="1980">
        <v>0</v>
      </c>
      <c r="T24" s="1980">
        <v>0</v>
      </c>
      <c r="U24" s="2036">
        <v>0</v>
      </c>
    </row>
    <row r="25" spans="2:21" hidden="1" outlineLevel="2">
      <c r="B25" s="1050">
        <v>12</v>
      </c>
      <c r="C25" s="1050" t="str">
        <f t="shared" si="0"/>
        <v>Garage, structure en béton, France continentale, Base Carbone</v>
      </c>
      <c r="D25" s="1051">
        <f t="shared" si="1"/>
        <v>12</v>
      </c>
      <c r="E25" s="1051" t="str">
        <f>IF(COUNTIF(E$13:E24,F25)&gt;0,"",F25)</f>
        <v>Garage, structure en béton, France continentale, Base Carbone</v>
      </c>
      <c r="F25" s="1051" t="str">
        <f t="shared" si="2"/>
        <v>Garage, structure en béton, France continentale, Base Carbone</v>
      </c>
      <c r="G25" s="1055" t="str">
        <f t="shared" si="3"/>
        <v>Garage, structure en béton, France continentale, Base Carbone; kgCO2e/m²</v>
      </c>
      <c r="I25" s="1100" t="s">
        <v>2405</v>
      </c>
      <c r="J25" s="1048" t="s">
        <v>2006</v>
      </c>
      <c r="K25" s="1119" t="s">
        <v>1567</v>
      </c>
      <c r="L25" s="1048" t="s">
        <v>1571</v>
      </c>
      <c r="M25" s="1033">
        <v>0.5</v>
      </c>
      <c r="N25" s="1048"/>
      <c r="O25" s="1036">
        <v>656</v>
      </c>
      <c r="P25" s="1980">
        <v>656</v>
      </c>
      <c r="Q25" s="1980">
        <v>0</v>
      </c>
      <c r="R25" s="1980">
        <v>0</v>
      </c>
      <c r="S25" s="1980">
        <v>0</v>
      </c>
      <c r="T25" s="1980">
        <v>0</v>
      </c>
      <c r="U25" s="2036">
        <v>0</v>
      </c>
    </row>
    <row r="26" spans="2:21" hidden="1" outlineLevel="2">
      <c r="B26" s="1050">
        <v>13</v>
      </c>
      <c r="C26" s="1050" t="str">
        <f t="shared" si="0"/>
        <v>Garage, structure métallique, France continentale, Base Carbone</v>
      </c>
      <c r="D26" s="1051">
        <f t="shared" si="1"/>
        <v>13</v>
      </c>
      <c r="E26" s="1051" t="str">
        <f>IF(COUNTIF(E$13:E25,F26)&gt;0,"",F26)</f>
        <v>Garage, structure métallique, France continentale, Base Carbone</v>
      </c>
      <c r="F26" s="1051" t="str">
        <f t="shared" si="2"/>
        <v>Garage, structure métallique, France continentale, Base Carbone</v>
      </c>
      <c r="G26" s="1055" t="str">
        <f t="shared" si="3"/>
        <v>Garage, structure métallique, France continentale, Base Carbone; kgCO2e/m²</v>
      </c>
      <c r="I26" s="1100" t="s">
        <v>2406</v>
      </c>
      <c r="J26" s="1048" t="s">
        <v>2006</v>
      </c>
      <c r="K26" s="1119" t="s">
        <v>1567</v>
      </c>
      <c r="L26" s="1048" t="s">
        <v>1571</v>
      </c>
      <c r="M26" s="1033">
        <v>0.5</v>
      </c>
      <c r="N26" s="1048"/>
      <c r="O26" s="1036">
        <v>220</v>
      </c>
      <c r="P26" s="1980">
        <v>220</v>
      </c>
      <c r="Q26" s="1980">
        <v>0</v>
      </c>
      <c r="R26" s="1980">
        <v>0</v>
      </c>
      <c r="S26" s="1980">
        <v>0</v>
      </c>
      <c r="T26" s="1980">
        <v>0</v>
      </c>
      <c r="U26" s="2036">
        <v>0</v>
      </c>
    </row>
    <row r="27" spans="2:21" hidden="1" outlineLevel="2">
      <c r="B27" s="1050">
        <v>14</v>
      </c>
      <c r="C27" s="1050" t="str">
        <f t="shared" si="0"/>
        <v>Immeubles de logements collectifs (IC), France continentale, Base Carbone</v>
      </c>
      <c r="D27" s="1051">
        <f t="shared" si="1"/>
        <v>14</v>
      </c>
      <c r="E27" s="1051" t="str">
        <f>IF(COUNTIF(E$13:E26,F27)&gt;0,"",F27)</f>
        <v>Immeubles de logements collectifs (IC), France continentale, Base Carbone</v>
      </c>
      <c r="F27" s="1051" t="str">
        <f t="shared" si="2"/>
        <v>Immeubles de logements collectifs (IC), France continentale, Base Carbone</v>
      </c>
      <c r="G27" s="1055" t="str">
        <f t="shared" si="3"/>
        <v>Immeubles de logements collectifs (IC), France continentale, Base Carbone; kgCO2e/m²</v>
      </c>
      <c r="I27" s="1100" t="s">
        <v>2023</v>
      </c>
      <c r="J27" s="1048" t="s">
        <v>2006</v>
      </c>
      <c r="K27" s="1119" t="s">
        <v>1567</v>
      </c>
      <c r="L27" s="1048" t="s">
        <v>1571</v>
      </c>
      <c r="M27" s="1033">
        <v>0.5</v>
      </c>
      <c r="N27" s="1048"/>
      <c r="O27" s="1036">
        <v>525</v>
      </c>
      <c r="P27" s="1980">
        <v>525</v>
      </c>
      <c r="Q27" s="1980">
        <v>0</v>
      </c>
      <c r="R27" s="1980">
        <v>0</v>
      </c>
      <c r="S27" s="1980">
        <v>0</v>
      </c>
      <c r="T27" s="1980">
        <v>0</v>
      </c>
      <c r="U27" s="2036">
        <v>0</v>
      </c>
    </row>
    <row r="28" spans="2:21" hidden="1" outlineLevel="2">
      <c r="B28" s="1050">
        <v>15</v>
      </c>
      <c r="C28" s="1050" t="str">
        <f t="shared" si="0"/>
        <v>Maison éco-construite « bois, paille, pierre, terre », Ardèche, Base Carbone</v>
      </c>
      <c r="D28" s="1051">
        <f t="shared" si="1"/>
        <v>15</v>
      </c>
      <c r="E28" s="1051" t="str">
        <f>IF(COUNTIF(E$13:E27,F28)&gt;0,"",F28)</f>
        <v>Maison éco-construite « bois, paille, pierre, terre », Ardèche, Base Carbone</v>
      </c>
      <c r="F28" s="1051" t="str">
        <f t="shared" si="2"/>
        <v>Maison éco-construite « bois, paille, pierre, terre », Ardèche, Base Carbone</v>
      </c>
      <c r="G28" s="1055" t="str">
        <f t="shared" si="3"/>
        <v>Maison éco-construite « bois, paille, pierre, terre », Ardèche, Base Carbone; kgCO2e/m²</v>
      </c>
      <c r="I28" s="1100" t="s">
        <v>2024</v>
      </c>
      <c r="J28" s="1048" t="s">
        <v>2006</v>
      </c>
      <c r="K28" s="1119" t="s">
        <v>1567</v>
      </c>
      <c r="L28" s="1048" t="s">
        <v>2038</v>
      </c>
      <c r="M28" s="1033">
        <v>0.3</v>
      </c>
      <c r="N28" s="1048"/>
      <c r="O28" s="1036">
        <v>144</v>
      </c>
      <c r="P28" s="1036">
        <v>144</v>
      </c>
      <c r="Q28" s="1036">
        <v>0</v>
      </c>
      <c r="R28" s="1036">
        <v>0</v>
      </c>
      <c r="S28" s="1036">
        <v>0</v>
      </c>
      <c r="T28" s="1036">
        <v>0</v>
      </c>
      <c r="U28" s="1037">
        <v>-456</v>
      </c>
    </row>
    <row r="29" spans="2:21" hidden="1" outlineLevel="2">
      <c r="B29" s="1050">
        <v>16</v>
      </c>
      <c r="C29" s="1050" t="str">
        <f t="shared" si="0"/>
        <v>Maisons individuelles (MI), France continentale, Base Carbone</v>
      </c>
      <c r="D29" s="1051">
        <f t="shared" si="1"/>
        <v>16</v>
      </c>
      <c r="E29" s="1051" t="str">
        <f>IF(COUNTIF(E$13:E28,F29)&gt;0,"",F29)</f>
        <v>Maisons individuelles (MI), France continentale, Base Carbone</v>
      </c>
      <c r="F29" s="1051" t="str">
        <f t="shared" si="2"/>
        <v>Maisons individuelles (MI), France continentale, Base Carbone</v>
      </c>
      <c r="G29" s="1055" t="str">
        <f t="shared" si="3"/>
        <v>Maisons individuelles (MI), France continentale, Base Carbone; kgCO2e/m²</v>
      </c>
      <c r="I29" s="1100" t="s">
        <v>2025</v>
      </c>
      <c r="J29" s="1048" t="s">
        <v>2006</v>
      </c>
      <c r="K29" s="1119" t="s">
        <v>1567</v>
      </c>
      <c r="L29" s="1048" t="s">
        <v>1571</v>
      </c>
      <c r="M29" s="1033">
        <v>0.5</v>
      </c>
      <c r="N29" s="1048"/>
      <c r="O29" s="1036">
        <v>425</v>
      </c>
      <c r="P29" s="1980">
        <v>425</v>
      </c>
      <c r="Q29" s="1980">
        <v>0</v>
      </c>
      <c r="R29" s="1980">
        <v>0</v>
      </c>
      <c r="S29" s="1980">
        <v>0</v>
      </c>
      <c r="T29" s="1980">
        <v>0</v>
      </c>
      <c r="U29" s="2036">
        <v>0</v>
      </c>
    </row>
    <row r="30" spans="2:21" hidden="1" outlineLevel="2">
      <c r="B30" s="1050">
        <v>17</v>
      </c>
      <c r="C30" s="1050" t="str">
        <f t="shared" si="0"/>
        <v>-</v>
      </c>
      <c r="D30" s="1051">
        <f t="shared" si="1"/>
        <v>16</v>
      </c>
      <c r="E30" s="1051" t="str">
        <f>IF(COUNTIF(E$13:E29,F30)&gt;0,"",F30)</f>
        <v/>
      </c>
      <c r="F30" s="1051" t="str">
        <f t="shared" si="2"/>
        <v/>
      </c>
      <c r="G30" s="1055" t="str">
        <f t="shared" si="3"/>
        <v/>
      </c>
      <c r="I30" s="1100"/>
      <c r="J30" s="1048"/>
      <c r="K30" s="1119"/>
      <c r="L30" s="1048"/>
      <c r="M30" s="1048"/>
      <c r="N30" s="1048"/>
      <c r="O30" s="1048"/>
      <c r="P30" s="1048"/>
      <c r="Q30" s="1048"/>
      <c r="R30" s="1048"/>
      <c r="S30" s="1048"/>
      <c r="T30" s="1048"/>
      <c r="U30" s="1102"/>
    </row>
    <row r="31" spans="2:21" hidden="1" outlineLevel="2">
      <c r="B31" s="1050">
        <v>18</v>
      </c>
      <c r="C31" s="1050" t="str">
        <f t="shared" si="0"/>
        <v>-</v>
      </c>
      <c r="D31" s="1051">
        <f t="shared" si="1"/>
        <v>16</v>
      </c>
      <c r="E31" s="1051" t="str">
        <f>IF(COUNTIF(E$13:E30,F31)&gt;0,"",F31)</f>
        <v/>
      </c>
      <c r="F31" s="1051" t="str">
        <f t="shared" si="2"/>
        <v/>
      </c>
      <c r="G31" s="1055" t="str">
        <f t="shared" si="3"/>
        <v/>
      </c>
      <c r="I31" s="1100"/>
      <c r="J31" s="1048"/>
      <c r="K31" s="1048"/>
      <c r="L31" s="1048"/>
      <c r="M31" s="1048"/>
      <c r="N31" s="1048"/>
      <c r="O31" s="1048"/>
      <c r="P31" s="1048"/>
      <c r="Q31" s="1048"/>
      <c r="R31" s="1048"/>
      <c r="S31" s="1048"/>
      <c r="T31" s="1048"/>
      <c r="U31" s="1102"/>
    </row>
    <row r="32" spans="2:21" hidden="1" outlineLevel="2">
      <c r="B32" s="1050">
        <v>19</v>
      </c>
      <c r="C32" s="1050" t="str">
        <f t="shared" si="0"/>
        <v>-</v>
      </c>
      <c r="D32" s="1051">
        <f t="shared" si="1"/>
        <v>16</v>
      </c>
      <c r="E32" s="1051" t="str">
        <f>IF(COUNTIF(E$13:E31,F32)&gt;0,"",F32)</f>
        <v/>
      </c>
      <c r="F32" s="1051" t="str">
        <f t="shared" si="2"/>
        <v/>
      </c>
      <c r="G32" s="1055" t="str">
        <f t="shared" si="3"/>
        <v/>
      </c>
      <c r="I32" s="1100"/>
      <c r="J32" s="1048"/>
      <c r="K32" s="1048"/>
      <c r="L32" s="1048"/>
      <c r="M32" s="1048"/>
      <c r="N32" s="1048"/>
      <c r="O32" s="1048"/>
      <c r="P32" s="1048"/>
      <c r="Q32" s="1048"/>
      <c r="R32" s="1048"/>
      <c r="S32" s="1048"/>
      <c r="T32" s="1048"/>
      <c r="U32" s="1102"/>
    </row>
    <row r="33" spans="2:21" hidden="1" outlineLevel="2">
      <c r="B33" s="1050">
        <v>20</v>
      </c>
      <c r="C33" s="1050" t="str">
        <f t="shared" si="0"/>
        <v>-</v>
      </c>
      <c r="D33" s="1051">
        <f t="shared" si="1"/>
        <v>16</v>
      </c>
      <c r="E33" s="1051" t="str">
        <f>IF(COUNTIF(E$13:E32,F33)&gt;0,"",F33)</f>
        <v/>
      </c>
      <c r="F33" s="1051" t="str">
        <f t="shared" si="2"/>
        <v/>
      </c>
      <c r="G33" s="1055" t="str">
        <f t="shared" si="3"/>
        <v/>
      </c>
      <c r="I33" s="1100"/>
      <c r="J33" s="1048"/>
      <c r="K33" s="1048"/>
      <c r="L33" s="1048"/>
      <c r="M33" s="1048"/>
      <c r="N33" s="1048"/>
      <c r="O33" s="1048"/>
      <c r="P33" s="1048"/>
      <c r="Q33" s="1048"/>
      <c r="R33" s="1048"/>
      <c r="S33" s="1048"/>
      <c r="T33" s="1048"/>
      <c r="U33" s="1102"/>
    </row>
    <row r="34" spans="2:21" hidden="1" outlineLevel="2">
      <c r="B34" s="1050">
        <v>21</v>
      </c>
      <c r="C34" s="1050" t="str">
        <f t="shared" si="0"/>
        <v>-</v>
      </c>
      <c r="D34" s="1051">
        <f t="shared" si="1"/>
        <v>16</v>
      </c>
      <c r="E34" s="1051" t="str">
        <f>IF(COUNTIF(E$13:E33,F34)&gt;0,"",F34)</f>
        <v/>
      </c>
      <c r="F34" s="1051" t="str">
        <f t="shared" si="2"/>
        <v/>
      </c>
      <c r="G34" s="1055" t="str">
        <f t="shared" si="3"/>
        <v/>
      </c>
      <c r="I34" s="1100"/>
      <c r="J34" s="1048"/>
      <c r="K34" s="1048"/>
      <c r="L34" s="1048"/>
      <c r="M34" s="1048"/>
      <c r="N34" s="1048"/>
      <c r="O34" s="1048"/>
      <c r="P34" s="1048"/>
      <c r="Q34" s="1048"/>
      <c r="R34" s="1048"/>
      <c r="S34" s="1048"/>
      <c r="T34" s="1048"/>
      <c r="U34" s="1102"/>
    </row>
    <row r="35" spans="2:21" hidden="1" outlineLevel="2">
      <c r="B35" s="1050">
        <v>22</v>
      </c>
      <c r="C35" s="1050" t="str">
        <f t="shared" si="0"/>
        <v>-</v>
      </c>
      <c r="D35" s="1051">
        <f t="shared" si="1"/>
        <v>16</v>
      </c>
      <c r="E35" s="1051" t="str">
        <f>IF(COUNTIF(E$13:E34,F35)&gt;0,"",F35)</f>
        <v/>
      </c>
      <c r="F35" s="1051" t="str">
        <f t="shared" si="2"/>
        <v/>
      </c>
      <c r="G35" s="1055" t="str">
        <f t="shared" si="3"/>
        <v/>
      </c>
      <c r="I35" s="1100"/>
      <c r="J35" s="1048"/>
      <c r="K35" s="1048"/>
      <c r="L35" s="1048"/>
      <c r="M35" s="1048"/>
      <c r="N35" s="1048"/>
      <c r="O35" s="1048"/>
      <c r="P35" s="1048"/>
      <c r="Q35" s="1048"/>
      <c r="R35" s="1048"/>
      <c r="S35" s="1048"/>
      <c r="T35" s="1048"/>
      <c r="U35" s="1102"/>
    </row>
    <row r="36" spans="2:21" hidden="1" outlineLevel="2">
      <c r="B36" s="1050">
        <v>23</v>
      </c>
      <c r="C36" s="1050" t="str">
        <f t="shared" si="0"/>
        <v>-</v>
      </c>
      <c r="D36" s="1051">
        <f t="shared" si="1"/>
        <v>16</v>
      </c>
      <c r="E36" s="1051" t="str">
        <f>IF(COUNTIF(E$13:E35,F36)&gt;0,"",F36)</f>
        <v/>
      </c>
      <c r="F36" s="1051" t="str">
        <f t="shared" si="2"/>
        <v/>
      </c>
      <c r="G36" s="1055" t="str">
        <f t="shared" si="3"/>
        <v/>
      </c>
      <c r="I36" s="1100"/>
      <c r="J36" s="1048"/>
      <c r="K36" s="1048"/>
      <c r="L36" s="1048"/>
      <c r="M36" s="1048"/>
      <c r="N36" s="1048"/>
      <c r="O36" s="1048"/>
      <c r="P36" s="1048"/>
      <c r="Q36" s="1048"/>
      <c r="R36" s="1048"/>
      <c r="S36" s="1048"/>
      <c r="T36" s="1048"/>
      <c r="U36" s="1102"/>
    </row>
    <row r="37" spans="2:21" hidden="1" outlineLevel="1">
      <c r="I37" s="1711"/>
      <c r="J37" s="1712"/>
      <c r="K37" s="1712"/>
      <c r="L37" s="1712"/>
      <c r="M37" s="1712"/>
      <c r="N37" s="1712"/>
      <c r="O37" s="1712"/>
      <c r="P37" s="1712"/>
      <c r="Q37" s="1712"/>
      <c r="R37" s="1712"/>
      <c r="S37" s="1712"/>
      <c r="T37" s="1712"/>
      <c r="U37" s="1714"/>
    </row>
    <row r="38" spans="2:21" s="1045" customFormat="1" ht="12.75" hidden="1" customHeight="1" outlineLevel="1" collapsed="1">
      <c r="B38" s="3156" t="s">
        <v>2407</v>
      </c>
      <c r="C38" s="3156"/>
      <c r="D38" s="1051">
        <v>0</v>
      </c>
      <c r="E38" s="1051"/>
      <c r="F38" s="1051"/>
      <c r="G38" s="1054"/>
      <c r="H38" s="1046"/>
      <c r="I38" s="1746"/>
      <c r="J38" s="1742"/>
      <c r="K38" s="1743"/>
      <c r="L38" s="1743"/>
      <c r="M38" s="1744"/>
      <c r="N38" s="1742"/>
      <c r="O38" s="1745"/>
      <c r="P38" s="1743"/>
      <c r="Q38" s="1743"/>
      <c r="R38" s="1745"/>
      <c r="S38" s="1745"/>
      <c r="T38" s="1743"/>
      <c r="U38" s="1747"/>
    </row>
    <row r="39" spans="2:21" hidden="1" outlineLevel="2">
      <c r="B39" s="1050">
        <v>1</v>
      </c>
      <c r="C39" s="1050" t="str">
        <f t="shared" ref="C39:C56" si="4">IF(ISNA(VLOOKUP(B39,$D$38:$E$56,2,FALSE)),"-",VLOOKUP(B39,$D$38:$E$56,2,FALSE))</f>
        <v>Canalisations PVC, France continentale, Base Carbone</v>
      </c>
      <c r="D39" s="1051">
        <f>D38+IF(LEN(E39)&gt;0,1,0)</f>
        <v>1</v>
      </c>
      <c r="E39" s="1051" t="str">
        <f>IF(COUNTIF(E$38:E38,F39)&gt;0,"",F39)</f>
        <v>Canalisations PVC, France continentale, Base Carbone</v>
      </c>
      <c r="F39" s="1051" t="str">
        <f>IF(I39&lt;&gt;"",I39&amp;IF(N39&lt;&gt;""," "&amp;N39,)&amp;IF(L39&lt;&gt;"",", "&amp;L39,"")&amp;IF(K39&lt;&gt;"",", "&amp;K39,""),"")</f>
        <v>Canalisations PVC, France continentale, Base Carbone</v>
      </c>
      <c r="G39" s="1055" t="str">
        <f>IF(F39&lt;&gt;"",F39&amp;IF(J39&lt;&gt;"","; "&amp;J39&amp;IF(N39&lt;&gt;"",", "&amp;N39,),""),"")</f>
        <v>Canalisations PVC, France continentale, Base Carbone; kgCO2e/mL</v>
      </c>
      <c r="I39" s="1031" t="s">
        <v>1211</v>
      </c>
      <c r="J39" s="1048" t="s">
        <v>2004</v>
      </c>
      <c r="K39" s="1119" t="s">
        <v>1567</v>
      </c>
      <c r="L39" s="1032" t="s">
        <v>1571</v>
      </c>
      <c r="M39" s="1033">
        <v>0.1</v>
      </c>
      <c r="N39" s="1048"/>
      <c r="O39" s="1626">
        <v>2.4700000000000002</v>
      </c>
      <c r="P39" s="2047">
        <v>2.4700000000000002</v>
      </c>
      <c r="Q39" s="1980">
        <v>0</v>
      </c>
      <c r="R39" s="2047">
        <v>0</v>
      </c>
      <c r="S39" s="1980">
        <v>0</v>
      </c>
      <c r="T39" s="1980">
        <v>0</v>
      </c>
      <c r="U39" s="2053">
        <v>0</v>
      </c>
    </row>
    <row r="40" spans="2:21" hidden="1" outlineLevel="2">
      <c r="B40" s="1050">
        <v>2</v>
      </c>
      <c r="C40" s="1050" t="str">
        <f t="shared" si="4"/>
        <v>Complexe de doublage d'isol. Therm., France continentale, Base Carbone</v>
      </c>
      <c r="D40" s="1051">
        <f t="shared" ref="D40:D55" si="5">D39+IF(LEN(E40)&gt;0,1,0)</f>
        <v>2</v>
      </c>
      <c r="E40" s="1051" t="str">
        <f>IF(COUNTIF(E$38:E39,F40)&gt;0,"",F40)</f>
        <v>Complexe de doublage d'isol. Therm., France continentale, Base Carbone</v>
      </c>
      <c r="F40" s="1051" t="str">
        <f t="shared" ref="F40:F55" si="6">IF(I40&lt;&gt;"",I40&amp;IF(N40&lt;&gt;""," "&amp;N40,)&amp;IF(L40&lt;&gt;"",", "&amp;L40,"")&amp;IF(K40&lt;&gt;"",", "&amp;K40,""),"")</f>
        <v>Complexe de doublage d'isol. Therm., France continentale, Base Carbone</v>
      </c>
      <c r="G40" s="1055" t="str">
        <f t="shared" ref="G40:G55" si="7">IF(F40&lt;&gt;"",F40&amp;IF(J40&lt;&gt;"","; "&amp;J40&amp;IF(N40&lt;&gt;"",", "&amp;N40,),""),"")</f>
        <v>Complexe de doublage d'isol. Therm., France continentale, Base Carbone; kgCO2e/m² de paroi</v>
      </c>
      <c r="I40" s="1100" t="s">
        <v>1213</v>
      </c>
      <c r="J40" s="1048" t="s">
        <v>2005</v>
      </c>
      <c r="K40" s="1119" t="s">
        <v>1567</v>
      </c>
      <c r="L40" s="1048" t="s">
        <v>1571</v>
      </c>
      <c r="M40" s="1033">
        <v>0.1</v>
      </c>
      <c r="N40" s="1048"/>
      <c r="O40" s="1626">
        <v>5.79</v>
      </c>
      <c r="P40" s="2047">
        <v>5.79</v>
      </c>
      <c r="Q40" s="1980">
        <v>0</v>
      </c>
      <c r="R40" s="2047">
        <v>0</v>
      </c>
      <c r="S40" s="1980">
        <v>0</v>
      </c>
      <c r="T40" s="1980">
        <v>0</v>
      </c>
      <c r="U40" s="2053">
        <v>0</v>
      </c>
    </row>
    <row r="41" spans="2:21" hidden="1" outlineLevel="2">
      <c r="B41" s="1050">
        <v>3</v>
      </c>
      <c r="C41" s="1050" t="str">
        <f t="shared" si="4"/>
        <v>Monomur terre cuite, France continentale, Base Carbone</v>
      </c>
      <c r="D41" s="1051">
        <f t="shared" si="5"/>
        <v>3</v>
      </c>
      <c r="E41" s="1051" t="str">
        <f>IF(COUNTIF(E$38:E40,F41)&gt;0,"",F41)</f>
        <v>Monomur terre cuite, France continentale, Base Carbone</v>
      </c>
      <c r="F41" s="1051" t="str">
        <f t="shared" si="6"/>
        <v>Monomur terre cuite, France continentale, Base Carbone</v>
      </c>
      <c r="G41" s="1055" t="str">
        <f t="shared" si="7"/>
        <v>Monomur terre cuite, France continentale, Base Carbone; kgCO2e/m²</v>
      </c>
      <c r="I41" s="1100" t="s">
        <v>1214</v>
      </c>
      <c r="J41" s="1048" t="s">
        <v>2006</v>
      </c>
      <c r="K41" s="1119" t="s">
        <v>1567</v>
      </c>
      <c r="L41" s="1048" t="s">
        <v>1571</v>
      </c>
      <c r="M41" s="1033">
        <v>0.1</v>
      </c>
      <c r="N41" s="1048"/>
      <c r="O41" s="1628">
        <v>44.3</v>
      </c>
      <c r="P41" s="2054">
        <v>44.3</v>
      </c>
      <c r="Q41" s="2055">
        <v>0</v>
      </c>
      <c r="R41" s="2054">
        <v>0</v>
      </c>
      <c r="S41" s="2047">
        <v>0</v>
      </c>
      <c r="T41" s="2047">
        <v>0</v>
      </c>
      <c r="U41" s="2056">
        <v>0</v>
      </c>
    </row>
    <row r="42" spans="2:21" hidden="1" outlineLevel="2">
      <c r="B42" s="1050">
        <v>4</v>
      </c>
      <c r="C42" s="1050" t="str">
        <f t="shared" si="4"/>
        <v>Mur, bardage, France continentale, Base Carbone</v>
      </c>
      <c r="D42" s="1051">
        <f t="shared" si="5"/>
        <v>4</v>
      </c>
      <c r="E42" s="1051" t="str">
        <f>IF(COUNTIF(E$38:E41,F42)&gt;0,"",F42)</f>
        <v>Mur, bardage, France continentale, Base Carbone</v>
      </c>
      <c r="F42" s="1051" t="str">
        <f t="shared" si="6"/>
        <v>Mur, bardage, France continentale, Base Carbone</v>
      </c>
      <c r="G42" s="1055" t="str">
        <f t="shared" si="7"/>
        <v>Mur, bardage, France continentale, Base Carbone; kgCO2e/m² de paroi</v>
      </c>
      <c r="I42" s="1100" t="s">
        <v>1998</v>
      </c>
      <c r="J42" s="1048" t="s">
        <v>2005</v>
      </c>
      <c r="K42" s="1119" t="s">
        <v>1567</v>
      </c>
      <c r="L42" s="1048" t="s">
        <v>1571</v>
      </c>
      <c r="M42" s="1033">
        <v>0.1</v>
      </c>
      <c r="N42" s="1048"/>
      <c r="O42" s="1628">
        <v>7.82</v>
      </c>
      <c r="P42" s="2054">
        <v>7.82</v>
      </c>
      <c r="Q42" s="2055">
        <v>0</v>
      </c>
      <c r="R42" s="2054">
        <v>0</v>
      </c>
      <c r="S42" s="2047">
        <v>0</v>
      </c>
      <c r="T42" s="2047">
        <v>0</v>
      </c>
      <c r="U42" s="2056">
        <v>0</v>
      </c>
    </row>
    <row r="43" spans="2:21" hidden="1" outlineLevel="2">
      <c r="B43" s="1050">
        <v>5</v>
      </c>
      <c r="C43" s="1050" t="str">
        <f t="shared" si="4"/>
        <v>Mur, béton, France continentale, Base Carbone</v>
      </c>
      <c r="D43" s="1051">
        <f t="shared" si="5"/>
        <v>5</v>
      </c>
      <c r="E43" s="1051" t="str">
        <f>IF(COUNTIF(E$38:E42,F43)&gt;0,"",F43)</f>
        <v>Mur, béton, France continentale, Base Carbone</v>
      </c>
      <c r="F43" s="1051" t="str">
        <f t="shared" si="6"/>
        <v>Mur, béton, France continentale, Base Carbone</v>
      </c>
      <c r="G43" s="1055" t="str">
        <f t="shared" si="7"/>
        <v>Mur, béton, France continentale, Base Carbone; kgCO2e/m²</v>
      </c>
      <c r="I43" s="1100" t="s">
        <v>1999</v>
      </c>
      <c r="J43" s="1048" t="s">
        <v>2006</v>
      </c>
      <c r="K43" s="1119" t="s">
        <v>1567</v>
      </c>
      <c r="L43" s="1048" t="s">
        <v>1571</v>
      </c>
      <c r="M43" s="1033">
        <v>0.1</v>
      </c>
      <c r="N43" s="1048"/>
      <c r="O43" s="1628">
        <v>11.1</v>
      </c>
      <c r="P43" s="2054">
        <v>11.1</v>
      </c>
      <c r="Q43" s="2055">
        <v>0</v>
      </c>
      <c r="R43" s="2054">
        <v>0</v>
      </c>
      <c r="S43" s="2047">
        <v>0</v>
      </c>
      <c r="T43" s="2047">
        <v>0</v>
      </c>
      <c r="U43" s="2056">
        <v>0</v>
      </c>
    </row>
    <row r="44" spans="2:21" hidden="1" outlineLevel="2">
      <c r="B44" s="1050">
        <v>6</v>
      </c>
      <c r="C44" s="1050" t="str">
        <f t="shared" si="4"/>
        <v>Panneau de plafond suspendu, France continentale, Base Carbone</v>
      </c>
      <c r="D44" s="1051">
        <f t="shared" si="5"/>
        <v>6</v>
      </c>
      <c r="E44" s="1051" t="str">
        <f>IF(COUNTIF(E$38:E43,F44)&gt;0,"",F44)</f>
        <v>Panneau de plafond suspendu, France continentale, Base Carbone</v>
      </c>
      <c r="F44" s="1051" t="str">
        <f t="shared" si="6"/>
        <v>Panneau de plafond suspendu, France continentale, Base Carbone</v>
      </c>
      <c r="G44" s="1055" t="str">
        <f t="shared" si="7"/>
        <v>Panneau de plafond suspendu, France continentale, Base Carbone; kgCO2e/m²</v>
      </c>
      <c r="I44" s="1100" t="s">
        <v>2000</v>
      </c>
      <c r="J44" s="1048" t="s">
        <v>2006</v>
      </c>
      <c r="K44" s="1119" t="s">
        <v>1567</v>
      </c>
      <c r="L44" s="1048" t="s">
        <v>1571</v>
      </c>
      <c r="M44" s="1033">
        <v>0.1</v>
      </c>
      <c r="N44" s="1048"/>
      <c r="O44" s="1628">
        <v>3.95</v>
      </c>
      <c r="P44" s="2054">
        <v>3.95</v>
      </c>
      <c r="Q44" s="1980">
        <v>0</v>
      </c>
      <c r="R44" s="2047">
        <v>0</v>
      </c>
      <c r="S44" s="2047">
        <v>0</v>
      </c>
      <c r="T44" s="2047">
        <v>0</v>
      </c>
      <c r="U44" s="2056">
        <v>0</v>
      </c>
    </row>
    <row r="45" spans="2:21" hidden="1" outlineLevel="2">
      <c r="B45" s="1050">
        <v>7</v>
      </c>
      <c r="C45" s="1050" t="str">
        <f t="shared" si="4"/>
        <v>Poutrelle en béton, France continentale, Base Carbone</v>
      </c>
      <c r="D45" s="1051">
        <f t="shared" si="5"/>
        <v>7</v>
      </c>
      <c r="E45" s="1051" t="str">
        <f>IF(COUNTIF(E$38:E44,F45)&gt;0,"",F45)</f>
        <v>Poutrelle en béton, France continentale, Base Carbone</v>
      </c>
      <c r="F45" s="1051" t="str">
        <f t="shared" si="6"/>
        <v>Poutrelle en béton, France continentale, Base Carbone</v>
      </c>
      <c r="G45" s="1055" t="str">
        <f t="shared" si="7"/>
        <v>Poutrelle en béton, France continentale, Base Carbone; kgCO2e/mL</v>
      </c>
      <c r="I45" s="1100" t="s">
        <v>2001</v>
      </c>
      <c r="J45" s="1048" t="s">
        <v>2004</v>
      </c>
      <c r="K45" s="1119" t="s">
        <v>1567</v>
      </c>
      <c r="L45" s="1048" t="s">
        <v>1571</v>
      </c>
      <c r="M45" s="1033">
        <v>0.1</v>
      </c>
      <c r="N45" s="1048"/>
      <c r="O45" s="1628">
        <v>3.22</v>
      </c>
      <c r="P45" s="2054">
        <v>3.22</v>
      </c>
      <c r="Q45" s="1980">
        <v>0</v>
      </c>
      <c r="R45" s="2047">
        <v>0</v>
      </c>
      <c r="S45" s="2047">
        <v>0</v>
      </c>
      <c r="T45" s="2047">
        <v>0</v>
      </c>
      <c r="U45" s="2056">
        <v>0</v>
      </c>
    </row>
    <row r="46" spans="2:21" hidden="1" outlineLevel="2">
      <c r="B46" s="1050">
        <v>8</v>
      </c>
      <c r="C46" s="1050" t="str">
        <f t="shared" si="4"/>
        <v>Recyclage en place à chaud (REC), France continentale, Base Carbone</v>
      </c>
      <c r="D46" s="1051">
        <f t="shared" si="5"/>
        <v>8</v>
      </c>
      <c r="E46" s="1051" t="str">
        <f>IF(COUNTIF(E$38:E45,F46)&gt;0,"",F46)</f>
        <v>Recyclage en place à chaud (REC), France continentale, Base Carbone</v>
      </c>
      <c r="F46" s="1051" t="str">
        <f t="shared" si="6"/>
        <v>Recyclage en place à chaud (REC), France continentale, Base Carbone</v>
      </c>
      <c r="G46" s="1055" t="str">
        <f t="shared" si="7"/>
        <v>Recyclage en place à chaud (REC), France continentale, Base Carbone; kgCO2e/tonne</v>
      </c>
      <c r="I46" s="1100" t="s">
        <v>1216</v>
      </c>
      <c r="J46" s="1048" t="s">
        <v>1585</v>
      </c>
      <c r="K46" s="1119" t="s">
        <v>1567</v>
      </c>
      <c r="L46" s="1048" t="s">
        <v>1571</v>
      </c>
      <c r="M46" s="1033">
        <v>0.2</v>
      </c>
      <c r="N46" s="1048"/>
      <c r="O46" s="1628">
        <v>42</v>
      </c>
      <c r="P46" s="2054">
        <v>42</v>
      </c>
      <c r="Q46" s="1980">
        <v>0</v>
      </c>
      <c r="R46" s="2047">
        <v>0</v>
      </c>
      <c r="S46" s="2047">
        <v>0</v>
      </c>
      <c r="T46" s="2047">
        <v>0</v>
      </c>
      <c r="U46" s="2056">
        <v>0</v>
      </c>
    </row>
    <row r="47" spans="2:21" hidden="1" outlineLevel="2">
      <c r="B47" s="1050">
        <v>9</v>
      </c>
      <c r="C47" s="1050" t="str">
        <f t="shared" si="4"/>
        <v>Recyclage en place à l'émulsion, France continentale, Base Carbone</v>
      </c>
      <c r="D47" s="1051">
        <f t="shared" si="5"/>
        <v>9</v>
      </c>
      <c r="E47" s="1051" t="str">
        <f>IF(COUNTIF(E$38:E46,F47)&gt;0,"",F47)</f>
        <v>Recyclage en place à l'émulsion, France continentale, Base Carbone</v>
      </c>
      <c r="F47" s="1051" t="str">
        <f t="shared" si="6"/>
        <v>Recyclage en place à l'émulsion, France continentale, Base Carbone</v>
      </c>
      <c r="G47" s="1055" t="str">
        <f t="shared" si="7"/>
        <v>Recyclage en place à l'émulsion, France continentale, Base Carbone; kgCO2e/tonne</v>
      </c>
      <c r="I47" s="1100" t="s">
        <v>1217</v>
      </c>
      <c r="J47" s="1048" t="s">
        <v>1585</v>
      </c>
      <c r="K47" s="1119" t="s">
        <v>1567</v>
      </c>
      <c r="L47" s="1048" t="s">
        <v>1571</v>
      </c>
      <c r="M47" s="1033">
        <v>0.2</v>
      </c>
      <c r="N47" s="1048"/>
      <c r="O47" s="1628">
        <v>10.5</v>
      </c>
      <c r="P47" s="2054">
        <v>10.5</v>
      </c>
      <c r="Q47" s="1980">
        <v>0</v>
      </c>
      <c r="R47" s="2047">
        <v>0</v>
      </c>
      <c r="S47" s="2047">
        <v>0</v>
      </c>
      <c r="T47" s="2047">
        <v>0</v>
      </c>
      <c r="U47" s="2056">
        <v>0</v>
      </c>
    </row>
    <row r="48" spans="2:21" hidden="1" outlineLevel="2">
      <c r="B48" s="1050">
        <v>10</v>
      </c>
      <c r="C48" s="1050" t="str">
        <f t="shared" si="4"/>
        <v>Sol, carreaux de plâtre, France continentale, Base Carbone</v>
      </c>
      <c r="D48" s="1051">
        <f t="shared" si="5"/>
        <v>10</v>
      </c>
      <c r="E48" s="1051" t="str">
        <f>IF(COUNTIF(E$38:E47,F48)&gt;0,"",F48)</f>
        <v>Sol, carreaux de plâtre, France continentale, Base Carbone</v>
      </c>
      <c r="F48" s="1051" t="str">
        <f t="shared" si="6"/>
        <v>Sol, carreaux de plâtre, France continentale, Base Carbone</v>
      </c>
      <c r="G48" s="1055" t="str">
        <f t="shared" si="7"/>
        <v>Sol, carreaux de plâtre, France continentale, Base Carbone; kgCO2e/m² de paroi</v>
      </c>
      <c r="I48" s="1100" t="s">
        <v>2002</v>
      </c>
      <c r="J48" s="1048" t="s">
        <v>2005</v>
      </c>
      <c r="K48" s="1119" t="s">
        <v>1567</v>
      </c>
      <c r="L48" s="1048" t="s">
        <v>1571</v>
      </c>
      <c r="M48" s="1033">
        <v>0.1</v>
      </c>
      <c r="N48" s="1048"/>
      <c r="O48" s="1628">
        <v>15.3</v>
      </c>
      <c r="P48" s="2054">
        <v>15.3</v>
      </c>
      <c r="Q48" s="1980">
        <v>0</v>
      </c>
      <c r="R48" s="2047">
        <v>0</v>
      </c>
      <c r="S48" s="2047">
        <v>0</v>
      </c>
      <c r="T48" s="2047">
        <v>0</v>
      </c>
      <c r="U48" s="2056">
        <v>0</v>
      </c>
    </row>
    <row r="49" spans="2:21" hidden="1" outlineLevel="2">
      <c r="B49" s="1050">
        <v>11</v>
      </c>
      <c r="C49" s="1050" t="str">
        <f t="shared" si="4"/>
        <v>Sol, revêtement PVC homogène, France continentale, Base Carbone</v>
      </c>
      <c r="D49" s="1051">
        <f t="shared" si="5"/>
        <v>11</v>
      </c>
      <c r="E49" s="1051" t="str">
        <f>IF(COUNTIF(E$38:E48,F49)&gt;0,"",F49)</f>
        <v>Sol, revêtement PVC homogène, France continentale, Base Carbone</v>
      </c>
      <c r="F49" s="1051" t="str">
        <f t="shared" si="6"/>
        <v>Sol, revêtement PVC homogène, France continentale, Base Carbone</v>
      </c>
      <c r="G49" s="1055" t="str">
        <f t="shared" si="7"/>
        <v>Sol, revêtement PVC homogène, France continentale, Base Carbone; kgCO2e/m² de sol</v>
      </c>
      <c r="I49" s="1100" t="s">
        <v>2003</v>
      </c>
      <c r="J49" s="1048" t="s">
        <v>2007</v>
      </c>
      <c r="K49" s="1119" t="s">
        <v>1567</v>
      </c>
      <c r="L49" s="1048" t="s">
        <v>1571</v>
      </c>
      <c r="M49" s="1033">
        <v>0.1</v>
      </c>
      <c r="N49" s="1048"/>
      <c r="O49" s="1628">
        <v>5.55</v>
      </c>
      <c r="P49" s="2054">
        <v>5.55</v>
      </c>
      <c r="Q49" s="1980">
        <v>0</v>
      </c>
      <c r="R49" s="2047">
        <v>0</v>
      </c>
      <c r="S49" s="2047">
        <v>0</v>
      </c>
      <c r="T49" s="2047">
        <v>0</v>
      </c>
      <c r="U49" s="2056">
        <v>0</v>
      </c>
    </row>
    <row r="50" spans="2:21" hidden="1" outlineLevel="2">
      <c r="B50" s="1050">
        <v>12</v>
      </c>
      <c r="C50" s="1050" t="str">
        <f t="shared" si="4"/>
        <v>Tuile béton, France continentale, Base Carbone</v>
      </c>
      <c r="D50" s="1051">
        <f t="shared" si="5"/>
        <v>12</v>
      </c>
      <c r="E50" s="1051" t="str">
        <f>IF(COUNTIF(E$38:E49,F50)&gt;0,"",F50)</f>
        <v>Tuile béton, France continentale, Base Carbone</v>
      </c>
      <c r="F50" s="1051" t="str">
        <f t="shared" si="6"/>
        <v>Tuile béton, France continentale, Base Carbone</v>
      </c>
      <c r="G50" s="1055" t="str">
        <f t="shared" si="7"/>
        <v>Tuile béton, France continentale, Base Carbone; kgCO2e/m² de toiture</v>
      </c>
      <c r="I50" s="1100" t="s">
        <v>1215</v>
      </c>
      <c r="J50" s="1048" t="s">
        <v>2008</v>
      </c>
      <c r="K50" s="1119" t="s">
        <v>1567</v>
      </c>
      <c r="L50" s="1048" t="s">
        <v>1571</v>
      </c>
      <c r="M50" s="1033">
        <v>0.1</v>
      </c>
      <c r="N50" s="1048"/>
      <c r="O50" s="1628">
        <v>9.6999999999999993</v>
      </c>
      <c r="P50" s="2054">
        <v>9.6999999999999993</v>
      </c>
      <c r="Q50" s="1980">
        <v>0</v>
      </c>
      <c r="R50" s="2047">
        <v>0</v>
      </c>
      <c r="S50" s="2047">
        <v>0</v>
      </c>
      <c r="T50" s="2047">
        <v>0</v>
      </c>
      <c r="U50" s="2056">
        <v>0</v>
      </c>
    </row>
    <row r="51" spans="2:21" hidden="1" outlineLevel="2">
      <c r="B51" s="1050">
        <v>13</v>
      </c>
      <c r="C51" s="1050" t="str">
        <f t="shared" si="4"/>
        <v>-</v>
      </c>
      <c r="D51" s="1051">
        <f t="shared" si="5"/>
        <v>12</v>
      </c>
      <c r="E51" s="1051" t="str">
        <f>IF(COUNTIF(E$38:E50,F51)&gt;0,"",F51)</f>
        <v/>
      </c>
      <c r="F51" s="1051" t="str">
        <f t="shared" si="6"/>
        <v/>
      </c>
      <c r="G51" s="1055" t="str">
        <f t="shared" si="7"/>
        <v/>
      </c>
      <c r="I51" s="1100"/>
      <c r="J51" s="1048"/>
      <c r="K51" s="1048"/>
      <c r="L51" s="1048"/>
      <c r="M51" s="2300"/>
      <c r="N51" s="1048"/>
      <c r="O51" s="1192"/>
      <c r="P51" s="2055"/>
      <c r="Q51" s="1980"/>
      <c r="R51" s="2047"/>
      <c r="S51" s="2047"/>
      <c r="T51" s="2047"/>
      <c r="U51" s="2056"/>
    </row>
    <row r="52" spans="2:21" hidden="1" outlineLevel="2">
      <c r="B52" s="1050">
        <v>14</v>
      </c>
      <c r="C52" s="1050" t="str">
        <f t="shared" si="4"/>
        <v>-</v>
      </c>
      <c r="D52" s="1051">
        <f t="shared" si="5"/>
        <v>12</v>
      </c>
      <c r="E52" s="1051" t="str">
        <f>IF(COUNTIF(E$38:E51,F52)&gt;0,"",F52)</f>
        <v/>
      </c>
      <c r="F52" s="1051" t="str">
        <f t="shared" si="6"/>
        <v/>
      </c>
      <c r="G52" s="1055" t="str">
        <f t="shared" si="7"/>
        <v/>
      </c>
      <c r="I52" s="1100"/>
      <c r="J52" s="1048"/>
      <c r="K52" s="1048"/>
      <c r="L52" s="1048"/>
      <c r="M52" s="2300"/>
      <c r="N52" s="1048"/>
      <c r="O52" s="1192"/>
      <c r="P52" s="2055"/>
      <c r="Q52" s="1980"/>
      <c r="R52" s="2047"/>
      <c r="S52" s="2047"/>
      <c r="T52" s="2047"/>
      <c r="U52" s="2056"/>
    </row>
    <row r="53" spans="2:21" hidden="1" outlineLevel="2">
      <c r="B53" s="1050">
        <v>15</v>
      </c>
      <c r="C53" s="1050" t="str">
        <f t="shared" si="4"/>
        <v>-</v>
      </c>
      <c r="D53" s="1051">
        <f t="shared" si="5"/>
        <v>12</v>
      </c>
      <c r="E53" s="1051" t="str">
        <f>IF(COUNTIF(E$38:E52,F53)&gt;0,"",F53)</f>
        <v/>
      </c>
      <c r="F53" s="1051" t="str">
        <f t="shared" si="6"/>
        <v/>
      </c>
      <c r="G53" s="1055" t="str">
        <f t="shared" si="7"/>
        <v/>
      </c>
      <c r="I53" s="1100"/>
      <c r="J53" s="1048"/>
      <c r="K53" s="1048"/>
      <c r="L53" s="1048"/>
      <c r="M53" s="2300"/>
      <c r="N53" s="1048"/>
      <c r="O53" s="1192"/>
      <c r="P53" s="2055"/>
      <c r="Q53" s="1980"/>
      <c r="R53" s="2047"/>
      <c r="S53" s="2047"/>
      <c r="T53" s="2047"/>
      <c r="U53" s="2056"/>
    </row>
    <row r="54" spans="2:21" hidden="1" outlineLevel="2">
      <c r="B54" s="1050">
        <v>16</v>
      </c>
      <c r="C54" s="1050" t="str">
        <f t="shared" si="4"/>
        <v>-</v>
      </c>
      <c r="D54" s="1051">
        <f t="shared" si="5"/>
        <v>12</v>
      </c>
      <c r="E54" s="1051" t="str">
        <f>IF(COUNTIF(E$38:E53,F54)&gt;0,"",F54)</f>
        <v/>
      </c>
      <c r="F54" s="1051" t="str">
        <f t="shared" si="6"/>
        <v/>
      </c>
      <c r="G54" s="1055" t="str">
        <f t="shared" si="7"/>
        <v/>
      </c>
      <c r="I54" s="1100"/>
      <c r="J54" s="1048"/>
      <c r="K54" s="1048"/>
      <c r="L54" s="1048"/>
      <c r="M54" s="2300"/>
      <c r="N54" s="1048"/>
      <c r="O54" s="1192"/>
      <c r="P54" s="2055"/>
      <c r="Q54" s="1980"/>
      <c r="R54" s="2047"/>
      <c r="S54" s="2047"/>
      <c r="T54" s="2047"/>
      <c r="U54" s="2056"/>
    </row>
    <row r="55" spans="2:21" hidden="1" outlineLevel="2">
      <c r="B55" s="1050">
        <v>17</v>
      </c>
      <c r="C55" s="1050" t="str">
        <f t="shared" si="4"/>
        <v>-</v>
      </c>
      <c r="D55" s="1051">
        <f t="shared" si="5"/>
        <v>12</v>
      </c>
      <c r="E55" s="1051" t="str">
        <f>IF(COUNTIF(E$38:E54,F55)&gt;0,"",F55)</f>
        <v/>
      </c>
      <c r="F55" s="1051" t="str">
        <f t="shared" si="6"/>
        <v/>
      </c>
      <c r="G55" s="1055" t="str">
        <f t="shared" si="7"/>
        <v/>
      </c>
      <c r="I55" s="1100"/>
      <c r="J55" s="1048"/>
      <c r="K55" s="1048"/>
      <c r="L55" s="1048"/>
      <c r="M55" s="2300"/>
      <c r="N55" s="1048"/>
      <c r="O55" s="1192"/>
      <c r="P55" s="2055"/>
      <c r="Q55" s="1980"/>
      <c r="R55" s="2047"/>
      <c r="S55" s="2047"/>
      <c r="T55" s="2047"/>
      <c r="U55" s="2056"/>
    </row>
    <row r="56" spans="2:21" hidden="1" outlineLevel="2">
      <c r="B56" s="1050">
        <v>18</v>
      </c>
      <c r="C56" s="1050" t="str">
        <f t="shared" si="4"/>
        <v>-</v>
      </c>
      <c r="D56" s="1051">
        <f t="shared" ref="D56" si="8">D55+IF(LEN(E56)&gt;0,1,0)</f>
        <v>12</v>
      </c>
      <c r="E56" s="1051" t="str">
        <f>IF(COUNTIF(E$38:E55,F56)&gt;0,"",F56)</f>
        <v/>
      </c>
      <c r="F56" s="1051" t="str">
        <f t="shared" ref="F56" si="9">IF(I56&lt;&gt;"",I56&amp;IF(N56&lt;&gt;""," "&amp;N56,)&amp;IF(L56&lt;&gt;"",", "&amp;L56,"")&amp;IF(K56&lt;&gt;"",", "&amp;K56,""),"")</f>
        <v/>
      </c>
      <c r="G56" s="1055" t="str">
        <f t="shared" ref="G56" si="10">IF(F56&lt;&gt;"",F56&amp;IF(J56&lt;&gt;"","; "&amp;J56&amp;IF(N56&lt;&gt;"",", "&amp;N56,),""),"")</f>
        <v/>
      </c>
      <c r="I56" s="1100"/>
      <c r="J56" s="1048"/>
      <c r="K56" s="1048"/>
      <c r="L56" s="1048"/>
      <c r="M56" s="1048"/>
      <c r="N56" s="1048"/>
      <c r="O56" s="1048"/>
      <c r="P56" s="1048"/>
      <c r="Q56" s="1048"/>
      <c r="R56" s="1048"/>
      <c r="S56" s="1048"/>
      <c r="T56" s="1048"/>
      <c r="U56" s="1102"/>
    </row>
    <row r="57" spans="2:21" hidden="1" outlineLevel="1">
      <c r="I57" s="1711"/>
      <c r="J57" s="1712"/>
      <c r="K57" s="1712"/>
      <c r="L57" s="1712"/>
      <c r="M57" s="1712"/>
      <c r="N57" s="1712"/>
      <c r="O57" s="1712"/>
      <c r="P57" s="1712"/>
      <c r="Q57" s="1712"/>
      <c r="R57" s="1712"/>
      <c r="S57" s="1712"/>
      <c r="T57" s="1712"/>
      <c r="U57" s="1714"/>
    </row>
    <row r="58" spans="2:21" s="1045" customFormat="1" ht="12.75" hidden="1" customHeight="1" outlineLevel="1">
      <c r="B58" s="3156" t="s">
        <v>2413</v>
      </c>
      <c r="C58" s="3156"/>
      <c r="D58" s="1051">
        <v>0</v>
      </c>
      <c r="E58" s="1051"/>
      <c r="F58" s="1051"/>
      <c r="G58" s="1054"/>
      <c r="H58" s="1046"/>
      <c r="I58" s="1765"/>
      <c r="J58" s="1766"/>
      <c r="K58" s="1767"/>
      <c r="L58" s="1767"/>
      <c r="M58" s="1768"/>
      <c r="N58" s="1766"/>
      <c r="O58" s="1769"/>
      <c r="P58" s="1767"/>
      <c r="Q58" s="1767"/>
      <c r="R58" s="1769"/>
      <c r="S58" s="1769"/>
      <c r="T58" s="1767"/>
      <c r="U58" s="1770"/>
    </row>
    <row r="59" spans="2:21" s="1045" customFormat="1" hidden="1" outlineLevel="1" collapsed="1">
      <c r="B59" s="1050">
        <v>1</v>
      </c>
      <c r="C59" s="1050" t="str">
        <f>IF(ISNA(VLOOKUP(B59,$D$58:$E$83,2,FALSE)),"-",VLOOKUP(B59,$D$58:$E$83,2,FALSE))</f>
        <v>Béton, France continentale, Base Carbone</v>
      </c>
      <c r="D59" s="1051">
        <f>D58+IF(LEN(E59)&gt;0,1,0)</f>
        <v>1</v>
      </c>
      <c r="E59" s="1051" t="str">
        <f>IF(COUNTIF(E58:E$58,F59)&gt;0,"",F59)</f>
        <v>Béton, France continentale, Base Carbone</v>
      </c>
      <c r="F59" s="1051" t="str">
        <f>IF(I59&lt;&gt;"",I59&amp;IF(L59&lt;&gt;"",", "&amp;L59,"")&amp;IF(K59&lt;&gt;"",", "&amp;K59,""),"")</f>
        <v>Béton, France continentale, Base Carbone</v>
      </c>
      <c r="G59" s="1055" t="str">
        <f>IF(F59&lt;&gt;"",F59&amp;IF(J59&lt;&gt;"","; "&amp;J59&amp;IF(N59&lt;&gt;"",", "&amp;N59,),""),"")</f>
        <v>Béton, France continentale, Base Carbone; kgCO2e/tonne, C25/30CEM II</v>
      </c>
      <c r="H59" s="1046"/>
      <c r="I59" s="2018" t="s">
        <v>3293</v>
      </c>
      <c r="J59" s="1045" t="s">
        <v>1585</v>
      </c>
      <c r="K59" s="1045" t="s">
        <v>1567</v>
      </c>
      <c r="L59" s="1045" t="s">
        <v>1571</v>
      </c>
      <c r="M59" s="2301">
        <v>0.2</v>
      </c>
      <c r="N59" s="1045" t="s">
        <v>3768</v>
      </c>
      <c r="O59" s="1045">
        <v>88</v>
      </c>
      <c r="P59" s="2302">
        <v>88</v>
      </c>
      <c r="Q59" s="1980">
        <v>0</v>
      </c>
      <c r="R59" s="1980">
        <v>0</v>
      </c>
      <c r="S59" s="1980">
        <v>0</v>
      </c>
      <c r="T59" s="1980">
        <v>0</v>
      </c>
      <c r="U59" s="2036">
        <v>0</v>
      </c>
    </row>
    <row r="60" spans="2:21" hidden="1" outlineLevel="2">
      <c r="B60" s="1050">
        <v>2</v>
      </c>
      <c r="C60" s="1050" t="str">
        <f t="shared" ref="C60:C82" si="11">IF(ISNA(VLOOKUP(B60,$D$58:$E$83,2,FALSE)),"-",VLOOKUP(B60,$D$58:$E$83,2,FALSE))</f>
        <v>Béton armé continu, routier, France continentale, Base Carbone</v>
      </c>
      <c r="D60" s="1051">
        <f t="shared" ref="D60:D82" si="12">D59+IF(LEN(E60)&gt;0,1,0)</f>
        <v>2</v>
      </c>
      <c r="E60" s="1051" t="str">
        <f>IF(COUNTIF(E$58:E59,F60)&gt;0,"",F60)</f>
        <v>Béton armé continu, routier, France continentale, Base Carbone</v>
      </c>
      <c r="F60" s="1051" t="str">
        <f t="shared" ref="F60:F82" si="13">IF(I60&lt;&gt;"",I60&amp;IF(L60&lt;&gt;"",", "&amp;L60,"")&amp;IF(K60&lt;&gt;"",", "&amp;K60,""),"")</f>
        <v>Béton armé continu, routier, France continentale, Base Carbone</v>
      </c>
      <c r="G60" s="1055" t="str">
        <f t="shared" ref="G60:G82" si="14">IF(F60&lt;&gt;"",F60&amp;IF(J60&lt;&gt;"","; "&amp;J60&amp;IF(N60&lt;&gt;"",", "&amp;N60,),""),"")</f>
        <v>Béton armé continu, routier, France continentale, Base Carbone; kgCO2e/tonne</v>
      </c>
      <c r="I60" s="1031" t="s">
        <v>2414</v>
      </c>
      <c r="J60" s="1048" t="s">
        <v>1585</v>
      </c>
      <c r="K60" s="1119" t="s">
        <v>1567</v>
      </c>
      <c r="L60" s="1032" t="s">
        <v>1571</v>
      </c>
      <c r="M60" s="1033">
        <v>0.2</v>
      </c>
      <c r="N60" s="1048"/>
      <c r="O60" s="1549">
        <v>200</v>
      </c>
      <c r="P60" s="1980">
        <v>200</v>
      </c>
      <c r="Q60" s="1980">
        <v>0</v>
      </c>
      <c r="R60" s="1980">
        <v>0</v>
      </c>
      <c r="S60" s="1980">
        <v>0</v>
      </c>
      <c r="T60" s="1980">
        <v>0</v>
      </c>
      <c r="U60" s="2036">
        <v>0</v>
      </c>
    </row>
    <row r="61" spans="2:21" hidden="1" outlineLevel="2">
      <c r="B61" s="1050">
        <v>3</v>
      </c>
      <c r="C61" s="1050" t="str">
        <f t="shared" si="11"/>
        <v>Béton de ciment, routier, France continentale, Base Carbone</v>
      </c>
      <c r="D61" s="1051">
        <f t="shared" si="12"/>
        <v>3</v>
      </c>
      <c r="E61" s="1051" t="str">
        <f>IF(COUNTIF(E$58:E60,F61)&gt;0,"",F61)</f>
        <v>Béton de ciment, routier, France continentale, Base Carbone</v>
      </c>
      <c r="F61" s="1051" t="str">
        <f t="shared" si="13"/>
        <v>Béton de ciment, routier, France continentale, Base Carbone</v>
      </c>
      <c r="G61" s="1055" t="str">
        <f t="shared" si="14"/>
        <v>Béton de ciment, routier, France continentale, Base Carbone; kgCO2e/tonne</v>
      </c>
      <c r="I61" s="1100" t="s">
        <v>2415</v>
      </c>
      <c r="J61" s="1048" t="s">
        <v>1585</v>
      </c>
      <c r="K61" s="1119" t="s">
        <v>1567</v>
      </c>
      <c r="L61" s="1048" t="s">
        <v>1571</v>
      </c>
      <c r="M61" s="1033">
        <v>0.2</v>
      </c>
      <c r="N61" s="1048"/>
      <c r="O61" s="1549">
        <v>134</v>
      </c>
      <c r="P61" s="1980">
        <v>134</v>
      </c>
      <c r="Q61" s="1980">
        <v>0</v>
      </c>
      <c r="R61" s="1980">
        <v>0</v>
      </c>
      <c r="S61" s="1980">
        <v>0</v>
      </c>
      <c r="T61" s="1980">
        <v>0</v>
      </c>
      <c r="U61" s="2036">
        <v>0</v>
      </c>
    </row>
    <row r="62" spans="2:21" hidden="1" outlineLevel="2">
      <c r="B62" s="1050">
        <v>4</v>
      </c>
      <c r="C62" s="1050" t="str">
        <f t="shared" si="11"/>
        <v>Enrobé, à module élevé, France continentale, Base Carbone</v>
      </c>
      <c r="D62" s="1051">
        <f t="shared" si="12"/>
        <v>4</v>
      </c>
      <c r="E62" s="1051" t="str">
        <f>IF(COUNTIF(E$58:E61,F62)&gt;0,"",F62)</f>
        <v>Enrobé, à module élevé, France continentale, Base Carbone</v>
      </c>
      <c r="F62" s="1051" t="str">
        <f t="shared" si="13"/>
        <v>Enrobé, à module élevé, France continentale, Base Carbone</v>
      </c>
      <c r="G62" s="1055" t="str">
        <f t="shared" si="14"/>
        <v>Enrobé, à module élevé, France continentale, Base Carbone; kgCO2e/tonne</v>
      </c>
      <c r="I62" s="1100" t="s">
        <v>2416</v>
      </c>
      <c r="J62" s="1048" t="s">
        <v>1585</v>
      </c>
      <c r="K62" s="1119" t="s">
        <v>1567</v>
      </c>
      <c r="L62" s="1048" t="s">
        <v>1571</v>
      </c>
      <c r="M62" s="1033">
        <v>0.2</v>
      </c>
      <c r="N62" s="1048"/>
      <c r="O62" s="1048">
        <v>55.1</v>
      </c>
      <c r="P62" s="2055">
        <v>55.1</v>
      </c>
      <c r="Q62" s="1980">
        <v>0</v>
      </c>
      <c r="R62" s="2055">
        <v>0</v>
      </c>
      <c r="S62" s="1980">
        <v>0</v>
      </c>
      <c r="T62" s="1980">
        <v>0</v>
      </c>
      <c r="U62" s="2057">
        <v>0</v>
      </c>
    </row>
    <row r="63" spans="2:21" hidden="1" outlineLevel="2">
      <c r="B63" s="1050">
        <v>5</v>
      </c>
      <c r="C63" s="1050" t="str">
        <f t="shared" si="11"/>
        <v>Enrobé, tiède, France continentale, Base Carbone</v>
      </c>
      <c r="D63" s="1051">
        <f t="shared" si="12"/>
        <v>5</v>
      </c>
      <c r="E63" s="1051" t="str">
        <f>IF(COUNTIF(E$58:E62,F63)&gt;0,"",F63)</f>
        <v>Enrobé, tiède, France continentale, Base Carbone</v>
      </c>
      <c r="F63" s="1051" t="str">
        <f t="shared" si="13"/>
        <v>Enrobé, tiède, France continentale, Base Carbone</v>
      </c>
      <c r="G63" s="1055" t="str">
        <f t="shared" si="14"/>
        <v>Enrobé, tiède, France continentale, Base Carbone; kgCO2e/tonne</v>
      </c>
      <c r="I63" s="1100" t="s">
        <v>2417</v>
      </c>
      <c r="J63" s="1048" t="s">
        <v>1585</v>
      </c>
      <c r="K63" s="1119" t="s">
        <v>1567</v>
      </c>
      <c r="L63" s="1048" t="s">
        <v>1571</v>
      </c>
      <c r="M63" s="1033">
        <v>0.2</v>
      </c>
      <c r="N63" s="1048"/>
      <c r="O63" s="1048">
        <v>52.8</v>
      </c>
      <c r="P63" s="2055">
        <v>52.8</v>
      </c>
      <c r="Q63" s="1980">
        <v>0</v>
      </c>
      <c r="R63" s="2055">
        <v>0</v>
      </c>
      <c r="S63" s="1980">
        <v>0</v>
      </c>
      <c r="T63" s="1980">
        <v>0</v>
      </c>
      <c r="U63" s="2057">
        <v>0</v>
      </c>
    </row>
    <row r="64" spans="2:21" hidden="1" outlineLevel="2">
      <c r="B64" s="1050">
        <v>6</v>
      </c>
      <c r="C64" s="1050" t="str">
        <f t="shared" si="11"/>
        <v>Enrobés bitumineux, France continentale, Base Carbone</v>
      </c>
      <c r="D64" s="1051">
        <f t="shared" si="12"/>
        <v>6</v>
      </c>
      <c r="E64" s="1051" t="str">
        <f>IF(COUNTIF(E$58:E63,F64)&gt;0,"",F64)</f>
        <v>Enrobés bitumineux, France continentale, Base Carbone</v>
      </c>
      <c r="F64" s="1051" t="str">
        <f t="shared" si="13"/>
        <v>Enrobés bitumineux, France continentale, Base Carbone</v>
      </c>
      <c r="G64" s="1055" t="str">
        <f t="shared" si="14"/>
        <v>Enrobés bitumineux, France continentale, Base Carbone; kgCO2e/tonne</v>
      </c>
      <c r="I64" s="1100" t="s">
        <v>2043</v>
      </c>
      <c r="J64" s="1048" t="s">
        <v>1585</v>
      </c>
      <c r="K64" s="1119" t="s">
        <v>1567</v>
      </c>
      <c r="L64" s="1048" t="s">
        <v>1571</v>
      </c>
      <c r="M64" s="1033">
        <v>0.2</v>
      </c>
      <c r="N64" s="1048"/>
      <c r="O64" s="1048">
        <v>53.3</v>
      </c>
      <c r="P64" s="2055">
        <v>53.3</v>
      </c>
      <c r="Q64" s="1980">
        <v>0</v>
      </c>
      <c r="R64" s="2055">
        <v>0</v>
      </c>
      <c r="S64" s="1980">
        <v>0</v>
      </c>
      <c r="T64" s="1980">
        <v>0</v>
      </c>
      <c r="U64" s="2057">
        <v>0</v>
      </c>
    </row>
    <row r="65" spans="2:21" hidden="1" outlineLevel="2">
      <c r="B65" s="1050">
        <v>7</v>
      </c>
      <c r="C65" s="1050" t="str">
        <f t="shared" si="11"/>
        <v>Enrobés bitumineux, à froid, France continentale, Base Carbone</v>
      </c>
      <c r="D65" s="1051">
        <f t="shared" si="12"/>
        <v>7</v>
      </c>
      <c r="E65" s="1051" t="str">
        <f>IF(COUNTIF(E$58:E64,F65)&gt;0,"",F65)</f>
        <v>Enrobés bitumineux, à froid, France continentale, Base Carbone</v>
      </c>
      <c r="F65" s="1051" t="str">
        <f t="shared" si="13"/>
        <v>Enrobés bitumineux, à froid, France continentale, Base Carbone</v>
      </c>
      <c r="G65" s="1055" t="str">
        <f t="shared" si="14"/>
        <v>Enrobés bitumineux, à froid, France continentale, Base Carbone; kgCO2e/tonne</v>
      </c>
      <c r="I65" s="1100" t="s">
        <v>2418</v>
      </c>
      <c r="J65" s="1048" t="s">
        <v>1585</v>
      </c>
      <c r="K65" s="1119" t="s">
        <v>1567</v>
      </c>
      <c r="L65" s="1048" t="s">
        <v>1571</v>
      </c>
      <c r="M65" s="1033">
        <v>0.2</v>
      </c>
      <c r="N65" s="1048"/>
      <c r="O65" s="1048">
        <v>36.200000000000003</v>
      </c>
      <c r="P65" s="2055">
        <v>36.200000000000003</v>
      </c>
      <c r="Q65" s="1980">
        <v>0</v>
      </c>
      <c r="R65" s="1980">
        <v>0</v>
      </c>
      <c r="S65" s="1980">
        <v>0</v>
      </c>
      <c r="T65" s="1980">
        <v>0</v>
      </c>
      <c r="U65" s="2057">
        <v>0</v>
      </c>
    </row>
    <row r="66" spans="2:21" hidden="1" outlineLevel="2">
      <c r="B66" s="1050">
        <v>8</v>
      </c>
      <c r="C66" s="1050" t="str">
        <f t="shared" si="11"/>
        <v>Enrobés bitumineux, avec 10% REC, France continentale, Base Carbone</v>
      </c>
      <c r="D66" s="1051">
        <f t="shared" si="12"/>
        <v>8</v>
      </c>
      <c r="E66" s="1051" t="str">
        <f>IF(COUNTIF(E$58:E65,F66)&gt;0,"",F66)</f>
        <v>Enrobés bitumineux, avec 10% REC, France continentale, Base Carbone</v>
      </c>
      <c r="F66" s="1051" t="str">
        <f t="shared" si="13"/>
        <v>Enrobés bitumineux, avec 10% REC, France continentale, Base Carbone</v>
      </c>
      <c r="G66" s="1055" t="str">
        <f t="shared" si="14"/>
        <v>Enrobés bitumineux, avec 10% REC, France continentale, Base Carbone; kgCO2e/tonne</v>
      </c>
      <c r="I66" s="1100" t="s">
        <v>2419</v>
      </c>
      <c r="J66" s="1048" t="s">
        <v>1585</v>
      </c>
      <c r="K66" s="1119" t="s">
        <v>1567</v>
      </c>
      <c r="L66" s="1048" t="s">
        <v>1571</v>
      </c>
      <c r="M66" s="1033">
        <v>0.2</v>
      </c>
      <c r="N66" s="1048"/>
      <c r="O66" s="1048">
        <v>51.1</v>
      </c>
      <c r="P66" s="2055">
        <v>51.1</v>
      </c>
      <c r="Q66" s="1980">
        <v>0</v>
      </c>
      <c r="R66" s="1980">
        <v>0</v>
      </c>
      <c r="S66" s="1980">
        <v>0</v>
      </c>
      <c r="T66" s="1980">
        <v>0</v>
      </c>
      <c r="U66" s="2057">
        <v>0</v>
      </c>
    </row>
    <row r="67" spans="2:21" hidden="1" outlineLevel="2">
      <c r="B67" s="1050">
        <v>9</v>
      </c>
      <c r="C67" s="1050" t="str">
        <f t="shared" si="11"/>
        <v>Enrobés bitumineux, avec 20% REC, France continentale, Base Carbone</v>
      </c>
      <c r="D67" s="1051">
        <f t="shared" si="12"/>
        <v>9</v>
      </c>
      <c r="E67" s="1051" t="str">
        <f>IF(COUNTIF(E$58:E66,F67)&gt;0,"",F67)</f>
        <v>Enrobés bitumineux, avec 20% REC, France continentale, Base Carbone</v>
      </c>
      <c r="F67" s="1051" t="str">
        <f t="shared" si="13"/>
        <v>Enrobés bitumineux, avec 20% REC, France continentale, Base Carbone</v>
      </c>
      <c r="G67" s="1055" t="str">
        <f t="shared" si="14"/>
        <v>Enrobés bitumineux, avec 20% REC, France continentale, Base Carbone; kgCO2e/tonne</v>
      </c>
      <c r="I67" s="1100" t="s">
        <v>2420</v>
      </c>
      <c r="J67" s="1048" t="s">
        <v>1585</v>
      </c>
      <c r="K67" s="1119" t="s">
        <v>1567</v>
      </c>
      <c r="L67" s="1048" t="s">
        <v>1571</v>
      </c>
      <c r="M67" s="1033">
        <v>0.2</v>
      </c>
      <c r="N67" s="1048"/>
      <c r="O67" s="1048">
        <v>43.7</v>
      </c>
      <c r="P67" s="2055">
        <v>43.7</v>
      </c>
      <c r="Q67" s="1980">
        <v>0</v>
      </c>
      <c r="R67" s="1980">
        <v>0</v>
      </c>
      <c r="S67" s="1980">
        <v>0</v>
      </c>
      <c r="T67" s="1980">
        <v>0</v>
      </c>
      <c r="U67" s="2057">
        <v>0</v>
      </c>
    </row>
    <row r="68" spans="2:21" hidden="1" outlineLevel="2">
      <c r="B68" s="1050">
        <v>10</v>
      </c>
      <c r="C68" s="1050" t="str">
        <f t="shared" si="11"/>
        <v>Enrobés bitumineux, avec 30% REC, France continentale, Base Carbone</v>
      </c>
      <c r="D68" s="1051">
        <f t="shared" si="12"/>
        <v>10</v>
      </c>
      <c r="E68" s="1051" t="str">
        <f>IF(COUNTIF(E$58:E67,F68)&gt;0,"",F68)</f>
        <v>Enrobés bitumineux, avec 30% REC, France continentale, Base Carbone</v>
      </c>
      <c r="F68" s="1051" t="str">
        <f t="shared" si="13"/>
        <v>Enrobés bitumineux, avec 30% REC, France continentale, Base Carbone</v>
      </c>
      <c r="G68" s="1055" t="str">
        <f t="shared" si="14"/>
        <v>Enrobés bitumineux, avec 30% REC, France continentale, Base Carbone; kgCO2e/tonne</v>
      </c>
      <c r="I68" s="1100" t="s">
        <v>2421</v>
      </c>
      <c r="J68" s="1048" t="s">
        <v>1585</v>
      </c>
      <c r="K68" s="1119" t="s">
        <v>1567</v>
      </c>
      <c r="L68" s="1048" t="s">
        <v>1571</v>
      </c>
      <c r="M68" s="1033">
        <v>0.2</v>
      </c>
      <c r="N68" s="1048"/>
      <c r="O68" s="1048">
        <v>41.5</v>
      </c>
      <c r="P68" s="2055">
        <v>41.5</v>
      </c>
      <c r="Q68" s="1980">
        <v>0</v>
      </c>
      <c r="R68" s="1980">
        <v>0</v>
      </c>
      <c r="S68" s="1980">
        <v>0</v>
      </c>
      <c r="T68" s="1980">
        <v>0</v>
      </c>
      <c r="U68" s="2057">
        <v>0</v>
      </c>
    </row>
    <row r="69" spans="2:21" hidden="1" outlineLevel="2">
      <c r="B69" s="1050">
        <v>11</v>
      </c>
      <c r="C69" s="1050" t="str">
        <f t="shared" si="11"/>
        <v>Enrobés bitumineux, avec 50% REC, France continentale, Base Carbone</v>
      </c>
      <c r="D69" s="1051">
        <f t="shared" si="12"/>
        <v>11</v>
      </c>
      <c r="E69" s="1051" t="str">
        <f>IF(COUNTIF(E$58:E68,F69)&gt;0,"",F69)</f>
        <v>Enrobés bitumineux, avec 50% REC, France continentale, Base Carbone</v>
      </c>
      <c r="F69" s="1051" t="str">
        <f t="shared" si="13"/>
        <v>Enrobés bitumineux, avec 50% REC, France continentale, Base Carbone</v>
      </c>
      <c r="G69" s="1055" t="str">
        <f t="shared" si="14"/>
        <v>Enrobés bitumineux, avec 50% REC, France continentale, Base Carbone; kgCO2e/tonne</v>
      </c>
      <c r="I69" s="1100" t="s">
        <v>2422</v>
      </c>
      <c r="J69" s="1048" t="s">
        <v>1585</v>
      </c>
      <c r="K69" s="1119" t="s">
        <v>1567</v>
      </c>
      <c r="L69" s="1048" t="s">
        <v>1571</v>
      </c>
      <c r="M69" s="1033">
        <v>0.2</v>
      </c>
      <c r="N69" s="1048"/>
      <c r="O69" s="1048">
        <v>36.9</v>
      </c>
      <c r="P69" s="2055">
        <v>36.9</v>
      </c>
      <c r="Q69" s="1980">
        <v>0</v>
      </c>
      <c r="R69" s="1980">
        <v>0</v>
      </c>
      <c r="S69" s="1980">
        <v>0</v>
      </c>
      <c r="T69" s="1980">
        <v>0</v>
      </c>
      <c r="U69" s="2057">
        <v>0</v>
      </c>
    </row>
    <row r="70" spans="2:21" hidden="1" outlineLevel="2">
      <c r="B70" s="1050">
        <v>12</v>
      </c>
      <c r="C70" s="1050" t="str">
        <f t="shared" si="11"/>
        <v>Granulat, sortie carrière, France continentale, Base Carbone</v>
      </c>
      <c r="D70" s="1051">
        <f t="shared" si="12"/>
        <v>12</v>
      </c>
      <c r="E70" s="1051" t="str">
        <f>IF(COUNTIF(E$58:E69,F70)&gt;0,"",F70)</f>
        <v>Granulat, sortie carrière, France continentale, Base Carbone</v>
      </c>
      <c r="F70" s="1051" t="str">
        <f t="shared" si="13"/>
        <v>Granulat, sortie carrière, France continentale, Base Carbone</v>
      </c>
      <c r="G70" s="1055" t="str">
        <f t="shared" si="14"/>
        <v>Granulat, sortie carrière, France continentale, Base Carbone; kgCO2e/tonne</v>
      </c>
      <c r="I70" s="2018" t="s">
        <v>3101</v>
      </c>
      <c r="J70" s="1135" t="s">
        <v>1585</v>
      </c>
      <c r="K70" s="1119" t="s">
        <v>1567</v>
      </c>
      <c r="L70" s="1135" t="s">
        <v>1571</v>
      </c>
      <c r="M70" s="1033">
        <v>0.5</v>
      </c>
      <c r="N70" s="1135"/>
      <c r="O70" s="1135">
        <v>4</v>
      </c>
      <c r="P70" s="1980">
        <v>4</v>
      </c>
      <c r="Q70" s="1980">
        <v>0</v>
      </c>
      <c r="R70" s="1980">
        <v>0</v>
      </c>
      <c r="S70" s="1980">
        <v>0</v>
      </c>
      <c r="T70" s="1980">
        <v>0</v>
      </c>
      <c r="U70" s="2036">
        <v>0</v>
      </c>
    </row>
    <row r="71" spans="2:21" hidden="1" outlineLevel="2">
      <c r="B71" s="1050">
        <v>13</v>
      </c>
      <c r="C71" s="1050" t="str">
        <f t="shared" si="11"/>
        <v>Granulat (recyclés), sortie carrière, France continentale, Base Carbone</v>
      </c>
      <c r="D71" s="1051">
        <f t="shared" si="12"/>
        <v>13</v>
      </c>
      <c r="E71" s="1051" t="str">
        <f>IF(COUNTIF(E$58:E70,F71)&gt;0,"",F71)</f>
        <v>Granulat (recyclés), sortie carrière, France continentale, Base Carbone</v>
      </c>
      <c r="F71" s="1051" t="str">
        <f t="shared" si="13"/>
        <v>Granulat (recyclés), sortie carrière, France continentale, Base Carbone</v>
      </c>
      <c r="G71" s="1055" t="str">
        <f t="shared" si="14"/>
        <v>Granulat (recyclés), sortie carrière, France continentale, Base Carbone; kgCO2e/tonne</v>
      </c>
      <c r="I71" s="2018" t="s">
        <v>3102</v>
      </c>
      <c r="J71" s="1135" t="s">
        <v>1585</v>
      </c>
      <c r="K71" s="1119" t="s">
        <v>1567</v>
      </c>
      <c r="L71" s="1135" t="s">
        <v>1571</v>
      </c>
      <c r="M71" s="1033">
        <v>0.5</v>
      </c>
      <c r="N71" s="1135"/>
      <c r="O71" s="1135">
        <v>3</v>
      </c>
      <c r="P71" s="1980">
        <v>3</v>
      </c>
      <c r="Q71" s="1980">
        <v>0</v>
      </c>
      <c r="R71" s="1980">
        <v>0</v>
      </c>
      <c r="S71" s="1980">
        <v>0</v>
      </c>
      <c r="T71" s="1980">
        <v>0</v>
      </c>
      <c r="U71" s="2036">
        <v>0</v>
      </c>
    </row>
    <row r="72" spans="2:21" hidden="1" outlineLevel="2">
      <c r="B72" s="1050">
        <v>14</v>
      </c>
      <c r="C72" s="1050" t="str">
        <f t="shared" si="11"/>
        <v>Grave, bitume 3, France continentale, Base Carbone</v>
      </c>
      <c r="D72" s="1051">
        <f t="shared" si="12"/>
        <v>14</v>
      </c>
      <c r="E72" s="1051" t="str">
        <f>IF(COUNTIF(E$58:E71,F72)&gt;0,"",F72)</f>
        <v>Grave, bitume 3, France continentale, Base Carbone</v>
      </c>
      <c r="F72" s="1051" t="str">
        <f t="shared" si="13"/>
        <v>Grave, bitume 3, France continentale, Base Carbone</v>
      </c>
      <c r="G72" s="1055" t="str">
        <f t="shared" si="14"/>
        <v>Grave, bitume 3, France continentale, Base Carbone; kgCO2e/tonne</v>
      </c>
      <c r="I72" s="1100" t="s">
        <v>2044</v>
      </c>
      <c r="J72" s="1048" t="s">
        <v>1585</v>
      </c>
      <c r="K72" s="1119" t="s">
        <v>1567</v>
      </c>
      <c r="L72" s="1048" t="s">
        <v>1571</v>
      </c>
      <c r="M72" s="1033">
        <v>0.2</v>
      </c>
      <c r="N72" s="1048"/>
      <c r="O72" s="1048">
        <v>46.5</v>
      </c>
      <c r="P72" s="2055">
        <v>46.5</v>
      </c>
      <c r="Q72" s="1980">
        <v>0</v>
      </c>
      <c r="R72" s="1980">
        <v>0</v>
      </c>
      <c r="S72" s="1980">
        <v>0</v>
      </c>
      <c r="T72" s="1980">
        <v>0</v>
      </c>
      <c r="U72" s="2057">
        <v>0</v>
      </c>
    </row>
    <row r="73" spans="2:21" hidden="1" outlineLevel="2">
      <c r="B73" s="1050">
        <v>15</v>
      </c>
      <c r="C73" s="1050" t="str">
        <f t="shared" si="11"/>
        <v>Grave, ciment préfissurée, France continentale, Base Carbone</v>
      </c>
      <c r="D73" s="1051">
        <f t="shared" si="12"/>
        <v>15</v>
      </c>
      <c r="E73" s="1051" t="str">
        <f>IF(COUNTIF(E$58:E72,F73)&gt;0,"",F73)</f>
        <v>Grave, ciment préfissurée, France continentale, Base Carbone</v>
      </c>
      <c r="F73" s="1051" t="str">
        <f t="shared" si="13"/>
        <v>Grave, ciment préfissurée, France continentale, Base Carbone</v>
      </c>
      <c r="G73" s="1055" t="str">
        <f t="shared" si="14"/>
        <v>Grave, ciment préfissurée, France continentale, Base Carbone; kgCO2e/tonne</v>
      </c>
      <c r="I73" s="1100" t="s">
        <v>2045</v>
      </c>
      <c r="J73" s="1048" t="s">
        <v>1585</v>
      </c>
      <c r="K73" s="1119" t="s">
        <v>1567</v>
      </c>
      <c r="L73" s="1048" t="s">
        <v>1571</v>
      </c>
      <c r="M73" s="1033">
        <v>0.2</v>
      </c>
      <c r="N73" s="1048"/>
      <c r="O73" s="1048">
        <v>51.6</v>
      </c>
      <c r="P73" s="2055">
        <v>51.6</v>
      </c>
      <c r="Q73" s="1980">
        <v>0</v>
      </c>
      <c r="R73" s="1980">
        <v>0</v>
      </c>
      <c r="S73" s="1980">
        <v>0</v>
      </c>
      <c r="T73" s="1980">
        <v>0</v>
      </c>
      <c r="U73" s="2057">
        <v>0</v>
      </c>
    </row>
    <row r="74" spans="2:21" hidden="1" outlineLevel="2">
      <c r="B74" s="1050">
        <v>16</v>
      </c>
      <c r="C74" s="1050" t="str">
        <f t="shared" si="11"/>
        <v>Grave, émulsion, France continentale, Base Carbone</v>
      </c>
      <c r="D74" s="1051">
        <f t="shared" si="12"/>
        <v>16</v>
      </c>
      <c r="E74" s="1051" t="str">
        <f>IF(COUNTIF(E$58:E73,F74)&gt;0,"",F74)</f>
        <v>Grave, émulsion, France continentale, Base Carbone</v>
      </c>
      <c r="F74" s="1051" t="str">
        <f t="shared" si="13"/>
        <v>Grave, émulsion, France continentale, Base Carbone</v>
      </c>
      <c r="G74" s="1055" t="str">
        <f t="shared" si="14"/>
        <v>Grave, émulsion, France continentale, Base Carbone; kgCO2e/tonne</v>
      </c>
      <c r="I74" s="1100" t="s">
        <v>2046</v>
      </c>
      <c r="J74" s="1048" t="s">
        <v>1585</v>
      </c>
      <c r="K74" s="1119" t="s">
        <v>1567</v>
      </c>
      <c r="L74" s="1048" t="s">
        <v>1571</v>
      </c>
      <c r="M74" s="1033">
        <v>0.2</v>
      </c>
      <c r="N74" s="1048"/>
      <c r="O74" s="1048">
        <v>30.2</v>
      </c>
      <c r="P74" s="2055">
        <v>30.2</v>
      </c>
      <c r="Q74" s="1980">
        <v>0</v>
      </c>
      <c r="R74" s="1980">
        <v>0</v>
      </c>
      <c r="S74" s="1980">
        <v>0</v>
      </c>
      <c r="T74" s="1980">
        <v>0</v>
      </c>
      <c r="U74" s="2057">
        <v>0</v>
      </c>
    </row>
    <row r="75" spans="2:21" hidden="1" outlineLevel="2">
      <c r="B75" s="1050">
        <v>17</v>
      </c>
      <c r="C75" s="1050" t="str">
        <f t="shared" si="11"/>
        <v>Grave, liant hydraulique, France continentale, Base Carbone</v>
      </c>
      <c r="D75" s="1051">
        <f t="shared" si="12"/>
        <v>17</v>
      </c>
      <c r="E75" s="1051" t="str">
        <f>IF(COUNTIF(E$58:E74,F75)&gt;0,"",F75)</f>
        <v>Grave, liant hydraulique, France continentale, Base Carbone</v>
      </c>
      <c r="F75" s="1051" t="str">
        <f t="shared" si="13"/>
        <v>Grave, liant hydraulique, France continentale, Base Carbone</v>
      </c>
      <c r="G75" s="1055" t="str">
        <f t="shared" si="14"/>
        <v>Grave, liant hydraulique, France continentale, Base Carbone; kgCO2e/tonne</v>
      </c>
      <c r="I75" s="1100" t="s">
        <v>2047</v>
      </c>
      <c r="J75" s="1048" t="s">
        <v>1585</v>
      </c>
      <c r="K75" s="1119" t="s">
        <v>1567</v>
      </c>
      <c r="L75" s="1048" t="s">
        <v>1571</v>
      </c>
      <c r="M75" s="1033">
        <v>0.2</v>
      </c>
      <c r="N75" s="1048"/>
      <c r="O75" s="1048">
        <v>20.6</v>
      </c>
      <c r="P75" s="2055">
        <v>20.6</v>
      </c>
      <c r="Q75" s="1980">
        <v>0</v>
      </c>
      <c r="R75" s="1980">
        <v>0</v>
      </c>
      <c r="S75" s="1980">
        <v>0</v>
      </c>
      <c r="T75" s="1980">
        <v>0</v>
      </c>
      <c r="U75" s="2057">
        <v>0</v>
      </c>
    </row>
    <row r="76" spans="2:21" hidden="1" outlineLevel="2">
      <c r="B76" s="1050">
        <v>18</v>
      </c>
      <c r="C76" s="1050" t="str">
        <f t="shared" si="11"/>
        <v>Grave, liant routier préfissurée, France continentale, Base Carbone</v>
      </c>
      <c r="D76" s="1051">
        <f t="shared" si="12"/>
        <v>18</v>
      </c>
      <c r="E76" s="1051" t="str">
        <f>IF(COUNTIF(E$58:E75,F76)&gt;0,"",F76)</f>
        <v>Grave, liant routier préfissurée, France continentale, Base Carbone</v>
      </c>
      <c r="F76" s="1051" t="str">
        <f t="shared" si="13"/>
        <v>Grave, liant routier préfissurée, France continentale, Base Carbone</v>
      </c>
      <c r="G76" s="1055" t="str">
        <f t="shared" si="14"/>
        <v>Grave, liant routier préfissurée, France continentale, Base Carbone; kgCO2e/tonne</v>
      </c>
      <c r="I76" s="1100" t="s">
        <v>2048</v>
      </c>
      <c r="J76" s="1048" t="s">
        <v>1585</v>
      </c>
      <c r="K76" s="1119" t="s">
        <v>1567</v>
      </c>
      <c r="L76" s="1048" t="s">
        <v>1571</v>
      </c>
      <c r="M76" s="1033">
        <v>0.2</v>
      </c>
      <c r="N76" s="1048"/>
      <c r="O76" s="1048">
        <v>21.6</v>
      </c>
      <c r="P76" s="2055">
        <v>21.6</v>
      </c>
      <c r="Q76" s="1980">
        <v>0</v>
      </c>
      <c r="R76" s="1980">
        <v>0</v>
      </c>
      <c r="S76" s="1980">
        <v>0</v>
      </c>
      <c r="T76" s="1980">
        <v>0</v>
      </c>
      <c r="U76" s="2057">
        <v>0</v>
      </c>
    </row>
    <row r="77" spans="2:21" hidden="1" outlineLevel="2">
      <c r="B77" s="1050">
        <v>19</v>
      </c>
      <c r="C77" s="1050" t="str">
        <f t="shared" si="11"/>
        <v>Grave, non traitée, France continentale, Base Carbone</v>
      </c>
      <c r="D77" s="1051">
        <f t="shared" si="12"/>
        <v>19</v>
      </c>
      <c r="E77" s="1051" t="str">
        <f>IF(COUNTIF(E$58:E76,F77)&gt;0,"",F77)</f>
        <v>Grave, non traitée, France continentale, Base Carbone</v>
      </c>
      <c r="F77" s="1051" t="str">
        <f t="shared" si="13"/>
        <v>Grave, non traitée, France continentale, Base Carbone</v>
      </c>
      <c r="G77" s="1055" t="str">
        <f t="shared" si="14"/>
        <v>Grave, non traitée, France continentale, Base Carbone; kgCO2e/tonne</v>
      </c>
      <c r="I77" s="1100" t="s">
        <v>2049</v>
      </c>
      <c r="J77" s="1048" t="s">
        <v>1585</v>
      </c>
      <c r="K77" s="1119" t="s">
        <v>1567</v>
      </c>
      <c r="L77" s="1048" t="s">
        <v>1571</v>
      </c>
      <c r="M77" s="1033">
        <v>0.2</v>
      </c>
      <c r="N77" s="1048"/>
      <c r="O77" s="1048">
        <v>14.5</v>
      </c>
      <c r="P77" s="2055">
        <v>14.5</v>
      </c>
      <c r="Q77" s="1980">
        <v>0</v>
      </c>
      <c r="R77" s="1980">
        <v>0</v>
      </c>
      <c r="S77" s="1980">
        <v>0</v>
      </c>
      <c r="T77" s="1980">
        <v>0</v>
      </c>
      <c r="U77" s="2057">
        <v>0</v>
      </c>
    </row>
    <row r="78" spans="2:21" hidden="1" outlineLevel="2">
      <c r="B78" s="1050">
        <v>20</v>
      </c>
      <c r="C78" s="1050" t="str">
        <f t="shared" si="11"/>
        <v>Sol traité liant routier, France continentale, Base Carbone</v>
      </c>
      <c r="D78" s="1051">
        <f t="shared" si="12"/>
        <v>20</v>
      </c>
      <c r="E78" s="1051" t="str">
        <f>IF(COUNTIF(E$58:E77,F78)&gt;0,"",F78)</f>
        <v>Sol traité liant routier, France continentale, Base Carbone</v>
      </c>
      <c r="F78" s="1051" t="str">
        <f t="shared" si="13"/>
        <v>Sol traité liant routier, France continentale, Base Carbone</v>
      </c>
      <c r="G78" s="1055" t="str">
        <f t="shared" si="14"/>
        <v>Sol traité liant routier, France continentale, Base Carbone; kgCO2e/tonne</v>
      </c>
      <c r="I78" s="1100" t="s">
        <v>1218</v>
      </c>
      <c r="J78" s="1048" t="s">
        <v>1585</v>
      </c>
      <c r="K78" s="1119" t="s">
        <v>1567</v>
      </c>
      <c r="L78" s="1048" t="s">
        <v>1571</v>
      </c>
      <c r="M78" s="1033">
        <v>0.2</v>
      </c>
      <c r="N78" s="1048"/>
      <c r="O78" s="1048">
        <v>13.6</v>
      </c>
      <c r="P78" s="2055">
        <v>13.6</v>
      </c>
      <c r="Q78" s="1980">
        <v>0</v>
      </c>
      <c r="R78" s="1980">
        <v>0</v>
      </c>
      <c r="S78" s="1980">
        <v>0</v>
      </c>
      <c r="T78" s="1980">
        <v>0</v>
      </c>
      <c r="U78" s="2057">
        <v>0</v>
      </c>
    </row>
    <row r="79" spans="2:21" hidden="1" outlineLevel="2">
      <c r="B79" s="1050">
        <v>21</v>
      </c>
      <c r="C79" s="1050" t="str">
        <f t="shared" si="11"/>
        <v>-</v>
      </c>
      <c r="D79" s="1051">
        <f t="shared" si="12"/>
        <v>20</v>
      </c>
      <c r="E79" s="1051" t="str">
        <f>IF(COUNTIF(E$58:E78,F79)&gt;0,"",F79)</f>
        <v/>
      </c>
      <c r="F79" s="1051" t="str">
        <f t="shared" si="13"/>
        <v/>
      </c>
      <c r="G79" s="1055" t="str">
        <f t="shared" si="14"/>
        <v/>
      </c>
      <c r="I79" s="1100"/>
      <c r="J79" s="1048"/>
      <c r="K79" s="1048"/>
      <c r="L79" s="1048"/>
      <c r="M79" s="1048"/>
      <c r="N79" s="1048"/>
      <c r="O79" s="1048"/>
      <c r="P79" s="1048"/>
      <c r="Q79" s="1048"/>
      <c r="R79" s="1192"/>
      <c r="S79" s="1192"/>
      <c r="T79" s="1192"/>
      <c r="U79" s="1764"/>
    </row>
    <row r="80" spans="2:21" hidden="1" outlineLevel="2">
      <c r="B80" s="1050">
        <v>22</v>
      </c>
      <c r="C80" s="1050" t="str">
        <f t="shared" si="11"/>
        <v>-</v>
      </c>
      <c r="D80" s="1051">
        <f t="shared" si="12"/>
        <v>20</v>
      </c>
      <c r="E80" s="1051" t="str">
        <f>IF(COUNTIF(E$58:E79,F80)&gt;0,"",F80)</f>
        <v/>
      </c>
      <c r="F80" s="1051" t="str">
        <f t="shared" si="13"/>
        <v/>
      </c>
      <c r="G80" s="1055" t="str">
        <f t="shared" si="14"/>
        <v/>
      </c>
      <c r="I80" s="1100"/>
      <c r="J80" s="1048"/>
      <c r="K80" s="1048"/>
      <c r="L80" s="1048"/>
      <c r="M80" s="1048"/>
      <c r="N80" s="1048"/>
      <c r="O80" s="1048"/>
      <c r="P80" s="1048"/>
      <c r="Q80" s="1048"/>
      <c r="R80" s="1048"/>
      <c r="S80" s="1048"/>
      <c r="T80" s="1048"/>
      <c r="U80" s="1102"/>
    </row>
    <row r="81" spans="2:22" hidden="1" outlineLevel="2">
      <c r="B81" s="1050">
        <v>23</v>
      </c>
      <c r="C81" s="1050" t="str">
        <f t="shared" si="11"/>
        <v>-</v>
      </c>
      <c r="D81" s="1051">
        <f t="shared" si="12"/>
        <v>20</v>
      </c>
      <c r="E81" s="1051" t="str">
        <f>IF(COUNTIF(E$58:E80,F81)&gt;0,"",F81)</f>
        <v/>
      </c>
      <c r="F81" s="1051" t="str">
        <f t="shared" si="13"/>
        <v/>
      </c>
      <c r="G81" s="1055" t="str">
        <f t="shared" si="14"/>
        <v/>
      </c>
      <c r="I81" s="1100"/>
      <c r="J81" s="1048"/>
      <c r="K81" s="1048"/>
      <c r="L81" s="1048"/>
      <c r="M81" s="1048"/>
      <c r="N81" s="1048"/>
      <c r="O81" s="1048"/>
      <c r="P81" s="1048"/>
      <c r="Q81" s="1048"/>
      <c r="R81" s="1048"/>
      <c r="S81" s="1048"/>
      <c r="T81" s="1048"/>
      <c r="U81" s="1102"/>
    </row>
    <row r="82" spans="2:22" hidden="1" outlineLevel="2">
      <c r="B82" s="1050">
        <v>24</v>
      </c>
      <c r="C82" s="1050" t="str">
        <f t="shared" si="11"/>
        <v>-</v>
      </c>
      <c r="D82" s="1051">
        <f t="shared" si="12"/>
        <v>20</v>
      </c>
      <c r="E82" s="1051" t="str">
        <f>IF(COUNTIF(E$58:E81,F82)&gt;0,"",F82)</f>
        <v/>
      </c>
      <c r="F82" s="1051" t="str">
        <f t="shared" si="13"/>
        <v/>
      </c>
      <c r="G82" s="1055" t="str">
        <f t="shared" si="14"/>
        <v/>
      </c>
      <c r="I82" s="1103"/>
      <c r="J82" s="1104"/>
      <c r="K82" s="1104"/>
      <c r="L82" s="1104"/>
      <c r="M82" s="1104"/>
      <c r="N82" s="1104"/>
      <c r="O82" s="1104"/>
      <c r="P82" s="1104"/>
      <c r="Q82" s="1104"/>
      <c r="R82" s="1104"/>
      <c r="S82" s="1104"/>
      <c r="T82" s="1104"/>
      <c r="U82" s="1106"/>
    </row>
    <row r="83" spans="2:22"/>
    <row r="84" spans="2:22" ht="15.6" collapsed="1">
      <c r="I84" s="3167" t="s">
        <v>2428</v>
      </c>
      <c r="J84" s="3168"/>
      <c r="K84" s="3168"/>
      <c r="L84" s="3168"/>
      <c r="M84" s="3168"/>
      <c r="N84" s="3168"/>
      <c r="O84" s="3168"/>
      <c r="P84" s="3168"/>
      <c r="Q84" s="3168"/>
      <c r="R84" s="3168"/>
      <c r="S84" s="3168"/>
      <c r="T84" s="3168"/>
      <c r="U84" s="3169"/>
    </row>
    <row r="85" spans="2:22" hidden="1" outlineLevel="1">
      <c r="R85" s="1083"/>
    </row>
    <row r="86" spans="2:22" ht="12.75" hidden="1" customHeight="1" outlineLevel="1">
      <c r="B86" s="3154" t="s">
        <v>1617</v>
      </c>
      <c r="C86" s="3154"/>
      <c r="D86" s="3157" t="s">
        <v>1619</v>
      </c>
      <c r="E86" s="3157"/>
      <c r="F86" s="1151" t="s">
        <v>1616</v>
      </c>
      <c r="G86" s="1053" t="s">
        <v>1618</v>
      </c>
      <c r="H86" s="1044"/>
      <c r="I86" s="1038" t="s">
        <v>1557</v>
      </c>
      <c r="J86" s="1040" t="s">
        <v>1266</v>
      </c>
      <c r="K86" s="1043" t="s">
        <v>224</v>
      </c>
      <c r="L86" s="1043" t="s">
        <v>1558</v>
      </c>
      <c r="M86" s="1039" t="s">
        <v>366</v>
      </c>
      <c r="N86" s="1040" t="s">
        <v>1559</v>
      </c>
      <c r="O86" s="1041" t="s">
        <v>1560</v>
      </c>
      <c r="P86" s="1043" t="s">
        <v>211</v>
      </c>
      <c r="Q86" s="1043" t="s">
        <v>1561</v>
      </c>
      <c r="R86" s="1041" t="s">
        <v>1562</v>
      </c>
      <c r="S86" s="1041" t="s">
        <v>267</v>
      </c>
      <c r="T86" s="1043" t="s">
        <v>1563</v>
      </c>
      <c r="U86" s="1042" t="s">
        <v>1564</v>
      </c>
    </row>
    <row r="87" spans="2:22" s="1045" customFormat="1" ht="12.75" hidden="1" customHeight="1" outlineLevel="1">
      <c r="B87" s="3156" t="s">
        <v>2011</v>
      </c>
      <c r="C87" s="3156"/>
      <c r="D87" s="1051">
        <v>0</v>
      </c>
      <c r="E87" s="1051"/>
      <c r="F87" s="1051"/>
      <c r="G87" s="1054"/>
      <c r="H87" s="1046"/>
      <c r="I87" s="1688"/>
      <c r="J87" s="1689"/>
      <c r="K87" s="1690"/>
      <c r="L87" s="1690"/>
      <c r="M87" s="1691"/>
      <c r="N87" s="1689"/>
      <c r="O87" s="1692"/>
      <c r="P87" s="1690"/>
      <c r="Q87" s="1690"/>
      <c r="R87" s="1692"/>
      <c r="S87" s="1692"/>
      <c r="T87" s="1690"/>
      <c r="U87" s="1693"/>
    </row>
    <row r="88" spans="2:22" hidden="1" outlineLevel="1">
      <c r="B88" s="1050">
        <v>1</v>
      </c>
      <c r="C88" s="1050" t="str">
        <f>IF(ISNA(VLOOKUP(B88,$D$87:$E$131,2,FALSE)),"-",VLOOKUP(B88,$D$87:$E$131,2,FALSE))</f>
        <v>Glissière de sécurité, pour voirie de type TC5, France continentale, Base Carbone</v>
      </c>
      <c r="D88" s="1051">
        <f>D87+IF(LEN(E88)&gt;0,1,0)</f>
        <v>1</v>
      </c>
      <c r="E88" s="1051" t="str">
        <f>IF(COUNTIF(E$87:E87,F88)&gt;0,"",F88)</f>
        <v>Glissière de sécurité, pour voirie de type TC5, France continentale, Base Carbone</v>
      </c>
      <c r="F88" s="1051" t="str">
        <f>IF(I88&lt;&gt;"",I88&amp;IF(L88&lt;&gt;"",", "&amp;L88,"")&amp;IF(K88&lt;&gt;"",", "&amp;K88,""),"")</f>
        <v>Glissière de sécurité, pour voirie de type TC5, France continentale, Base Carbone</v>
      </c>
      <c r="G88" s="1055" t="str">
        <f>IF(F88&lt;&gt;"",F88&amp;IF(J88&lt;&gt;"","; "&amp;J88&amp;IF(N88&lt;&gt;"",", "&amp;N88,),""),"")</f>
        <v>Glissière de sécurité, pour voirie de type TC5, France continentale, Base Carbone; kgCO2e/m</v>
      </c>
      <c r="I88" s="1100" t="s">
        <v>2429</v>
      </c>
      <c r="J88" s="1048" t="s">
        <v>2030</v>
      </c>
      <c r="K88" s="1119" t="s">
        <v>1567</v>
      </c>
      <c r="L88" s="1032" t="s">
        <v>1571</v>
      </c>
      <c r="M88" s="1033">
        <v>0.15</v>
      </c>
      <c r="N88" s="1048"/>
      <c r="O88" s="1036">
        <v>321</v>
      </c>
      <c r="P88" s="1036"/>
      <c r="Q88" s="1036"/>
      <c r="R88" s="1036"/>
      <c r="S88" s="1036"/>
      <c r="T88" s="1036"/>
      <c r="U88" s="1037"/>
    </row>
    <row r="89" spans="2:22" hidden="1" outlineLevel="1">
      <c r="B89" s="1050">
        <v>2</v>
      </c>
      <c r="C89" s="1050" t="str">
        <f t="shared" ref="C89:C121" si="15">IF(ISNA(VLOOKUP(B89,$D$87:$E$131,2,FALSE)),"-",VLOOKUP(B89,$D$87:$E$131,2,FALSE))</f>
        <v>Glissière de sécurité, pour voirie de type TC6, France continentale, Base Carbone</v>
      </c>
      <c r="D89" s="1051">
        <f t="shared" ref="D89:D131" si="16">D88+IF(LEN(E89)&gt;0,1,0)</f>
        <v>2</v>
      </c>
      <c r="E89" s="1051" t="str">
        <f>IF(COUNTIF(E$87:E88,F89)&gt;0,"",F89)</f>
        <v>Glissière de sécurité, pour voirie de type TC6, France continentale, Base Carbone</v>
      </c>
      <c r="F89" s="1051" t="str">
        <f t="shared" ref="F89:F131" si="17">IF(I89&lt;&gt;"",I89&amp;IF(L89&lt;&gt;"",", "&amp;L89,"")&amp;IF(K89&lt;&gt;"",", "&amp;K89,""),"")</f>
        <v>Glissière de sécurité, pour voirie de type TC6, France continentale, Base Carbone</v>
      </c>
      <c r="G89" s="1055" t="str">
        <f t="shared" ref="G89:G131" si="18">IF(F89&lt;&gt;"",F89&amp;IF(J89&lt;&gt;"","; "&amp;J89&amp;IF(N89&lt;&gt;"",", "&amp;N89,),""),"")</f>
        <v>Glissière de sécurité, pour voirie de type TC6, France continentale, Base Carbone; kgCO2e/m</v>
      </c>
      <c r="I89" s="1100" t="s">
        <v>2430</v>
      </c>
      <c r="J89" s="1048" t="s">
        <v>2030</v>
      </c>
      <c r="K89" s="1119" t="s">
        <v>1567</v>
      </c>
      <c r="L89" s="1048" t="s">
        <v>1571</v>
      </c>
      <c r="M89" s="1033">
        <v>0.15</v>
      </c>
      <c r="N89" s="1048"/>
      <c r="O89" s="1036">
        <v>1030</v>
      </c>
      <c r="P89" s="1036"/>
      <c r="Q89" s="1036"/>
      <c r="R89" s="1036"/>
      <c r="S89" s="1036"/>
      <c r="T89" s="1036"/>
      <c r="U89" s="1037"/>
    </row>
    <row r="90" spans="2:22" hidden="1" outlineLevel="1">
      <c r="B90" s="1050">
        <v>3</v>
      </c>
      <c r="C90" s="1050" t="str">
        <f t="shared" si="15"/>
        <v>Glissière de sécurité, pour voirie de type TC7, France continentale, Base Carbone</v>
      </c>
      <c r="D90" s="1051">
        <f t="shared" si="16"/>
        <v>3</v>
      </c>
      <c r="E90" s="1051" t="str">
        <f>IF(COUNTIF(E$87:E89,F90)&gt;0,"",F90)</f>
        <v>Glissière de sécurité, pour voirie de type TC7, France continentale, Base Carbone</v>
      </c>
      <c r="F90" s="1051" t="str">
        <f t="shared" si="17"/>
        <v>Glissière de sécurité, pour voirie de type TC7, France continentale, Base Carbone</v>
      </c>
      <c r="G90" s="1055" t="str">
        <f t="shared" si="18"/>
        <v>Glissière de sécurité, pour voirie de type TC7, France continentale, Base Carbone; kgCO2e/m</v>
      </c>
      <c r="I90" s="1100" t="s">
        <v>2431</v>
      </c>
      <c r="J90" s="1048" t="s">
        <v>2030</v>
      </c>
      <c r="K90" s="1119" t="s">
        <v>1567</v>
      </c>
      <c r="L90" s="1048" t="s">
        <v>1571</v>
      </c>
      <c r="M90" s="1033">
        <v>0.15</v>
      </c>
      <c r="N90" s="1048"/>
      <c r="O90" s="1036">
        <v>1030</v>
      </c>
      <c r="P90" s="1048"/>
      <c r="Q90" s="1048"/>
      <c r="R90" s="1048"/>
      <c r="S90" s="1048"/>
      <c r="T90" s="1048"/>
      <c r="U90" s="1102"/>
    </row>
    <row r="91" spans="2:22" hidden="1" outlineLevel="1">
      <c r="B91" s="1050">
        <v>4</v>
      </c>
      <c r="C91" s="1050" t="str">
        <f t="shared" si="15"/>
        <v>Parking, aire de repos d'autoroute - béton armé, France continentale, Base Carbone</v>
      </c>
      <c r="D91" s="1051">
        <f t="shared" si="16"/>
        <v>4</v>
      </c>
      <c r="E91" s="1051" t="str">
        <f>IF(COUNTIF(E$87:E90,F91)&gt;0,"",F91)</f>
        <v>Parking, aire de repos d'autoroute - béton armé, France continentale, Base Carbone</v>
      </c>
      <c r="F91" s="1051" t="str">
        <f t="shared" si="17"/>
        <v>Parking, aire de repos d'autoroute - béton armé, France continentale, Base Carbone</v>
      </c>
      <c r="G91" s="1055" t="str">
        <f t="shared" si="18"/>
        <v>Parking, aire de repos d'autoroute - béton armé, France continentale, Base Carbone; kgCO2e/m²</v>
      </c>
      <c r="I91" s="2018" t="s">
        <v>2831</v>
      </c>
      <c r="J91" s="1135" t="s">
        <v>2006</v>
      </c>
      <c r="K91" s="1119" t="s">
        <v>1567</v>
      </c>
      <c r="L91" s="1135" t="s">
        <v>1571</v>
      </c>
      <c r="M91" s="1033">
        <v>0.15</v>
      </c>
      <c r="N91" s="1135"/>
      <c r="O91" s="1036">
        <v>337</v>
      </c>
      <c r="P91" s="1048"/>
      <c r="Q91" s="1048"/>
      <c r="R91" s="1048"/>
      <c r="S91" s="1048"/>
      <c r="T91" s="1048"/>
      <c r="U91" s="1102"/>
    </row>
    <row r="92" spans="2:22" hidden="1" outlineLevel="1">
      <c r="B92" s="1050">
        <v>5</v>
      </c>
      <c r="C92" s="1050" t="str">
        <f t="shared" si="15"/>
        <v>Parking, aire de repos d'autoroute - bitume, France continentale, Base Carbone</v>
      </c>
      <c r="D92" s="1051">
        <f t="shared" si="16"/>
        <v>5</v>
      </c>
      <c r="E92" s="1051" t="str">
        <f>IF(COUNTIF(E$87:E91,F92)&gt;0,"",F92)</f>
        <v>Parking, aire de repos d'autoroute - bitume, France continentale, Base Carbone</v>
      </c>
      <c r="F92" s="1051" t="str">
        <f t="shared" si="17"/>
        <v>Parking, aire de repos d'autoroute - bitume, France continentale, Base Carbone</v>
      </c>
      <c r="G92" s="1055" t="str">
        <f t="shared" si="18"/>
        <v>Parking, aire de repos d'autoroute - bitume, France continentale, Base Carbone; kgCO2e/m²</v>
      </c>
      <c r="I92" s="2018" t="s">
        <v>2832</v>
      </c>
      <c r="J92" s="1135" t="s">
        <v>2006</v>
      </c>
      <c r="K92" s="1119" t="s">
        <v>1567</v>
      </c>
      <c r="L92" s="1135" t="s">
        <v>1571</v>
      </c>
      <c r="M92" s="1033">
        <v>0.15</v>
      </c>
      <c r="N92" s="1135"/>
      <c r="O92" s="1036">
        <v>92</v>
      </c>
      <c r="P92" s="1048"/>
      <c r="Q92" s="1048"/>
      <c r="R92" s="1048"/>
      <c r="S92" s="1048"/>
      <c r="T92" s="1048"/>
      <c r="U92" s="1102"/>
      <c r="V92" s="1611" t="s">
        <v>651</v>
      </c>
    </row>
    <row r="93" spans="2:22" hidden="1" outlineLevel="1">
      <c r="B93" s="1050">
        <v>6</v>
      </c>
      <c r="C93" s="1050" t="str">
        <f t="shared" si="15"/>
        <v>Parking, aire de repos d'autoroute - Semi rigide, France continentale, Base Carbone</v>
      </c>
      <c r="D93" s="1051">
        <f t="shared" si="16"/>
        <v>6</v>
      </c>
      <c r="E93" s="1051" t="str">
        <f>IF(COUNTIF(E$87:E92,F93)&gt;0,"",F93)</f>
        <v>Parking, aire de repos d'autoroute - Semi rigide, France continentale, Base Carbone</v>
      </c>
      <c r="F93" s="1051" t="str">
        <f t="shared" si="17"/>
        <v>Parking, aire de repos d'autoroute - Semi rigide, France continentale, Base Carbone</v>
      </c>
      <c r="G93" s="1055" t="str">
        <f t="shared" si="18"/>
        <v>Parking, aire de repos d'autoroute - Semi rigide, France continentale, Base Carbone; kgCO2e/m²</v>
      </c>
      <c r="I93" s="2018" t="s">
        <v>2833</v>
      </c>
      <c r="J93" s="1135" t="s">
        <v>2006</v>
      </c>
      <c r="K93" s="1119" t="s">
        <v>1567</v>
      </c>
      <c r="L93" s="1135" t="s">
        <v>1571</v>
      </c>
      <c r="M93" s="1033">
        <v>0.15</v>
      </c>
      <c r="N93" s="1135"/>
      <c r="O93" s="1036">
        <v>165</v>
      </c>
      <c r="P93" s="1048"/>
      <c r="Q93" s="1048"/>
      <c r="R93" s="1048"/>
      <c r="S93" s="1048"/>
      <c r="T93" s="1048"/>
      <c r="U93" s="1102"/>
      <c r="V93" s="1611"/>
    </row>
    <row r="94" spans="2:22" hidden="1" outlineLevel="1">
      <c r="B94" s="1050">
        <v>7</v>
      </c>
      <c r="C94" s="1050" t="str">
        <f t="shared" si="15"/>
        <v>Parking, classique - béton armé, France continentale, Base Carbone</v>
      </c>
      <c r="D94" s="1051">
        <f t="shared" si="16"/>
        <v>7</v>
      </c>
      <c r="E94" s="1051" t="str">
        <f>IF(COUNTIF(E$87:E93,F94)&gt;0,"",F94)</f>
        <v>Parking, classique - béton armé, France continentale, Base Carbone</v>
      </c>
      <c r="F94" s="1051" t="str">
        <f t="shared" si="17"/>
        <v>Parking, classique - béton armé, France continentale, Base Carbone</v>
      </c>
      <c r="G94" s="1055" t="str">
        <f t="shared" si="18"/>
        <v>Parking, classique - béton armé, France continentale, Base Carbone; kgCO2e/m²</v>
      </c>
      <c r="I94" s="2018" t="s">
        <v>2834</v>
      </c>
      <c r="J94" s="1135" t="s">
        <v>2006</v>
      </c>
      <c r="K94" s="1119" t="s">
        <v>1567</v>
      </c>
      <c r="L94" s="1135" t="s">
        <v>1571</v>
      </c>
      <c r="M94" s="1033">
        <v>0.15</v>
      </c>
      <c r="N94" s="1135"/>
      <c r="O94" s="1036">
        <v>319</v>
      </c>
      <c r="P94" s="1048"/>
      <c r="Q94" s="1048"/>
      <c r="R94" s="1048"/>
      <c r="S94" s="1048"/>
      <c r="T94" s="1048"/>
      <c r="U94" s="1102"/>
      <c r="V94" s="1611"/>
    </row>
    <row r="95" spans="2:22" hidden="1" outlineLevel="1">
      <c r="B95" s="1050">
        <v>8</v>
      </c>
      <c r="C95" s="1050" t="str">
        <f t="shared" si="15"/>
        <v>Parking, classique - bitume, France continentale, Base Carbone</v>
      </c>
      <c r="D95" s="1051">
        <f t="shared" si="16"/>
        <v>8</v>
      </c>
      <c r="E95" s="1051" t="str">
        <f>IF(COUNTIF(E$87:E94,F95)&gt;0,"",F95)</f>
        <v>Parking, classique - bitume, France continentale, Base Carbone</v>
      </c>
      <c r="F95" s="1051" t="str">
        <f t="shared" si="17"/>
        <v>Parking, classique - bitume, France continentale, Base Carbone</v>
      </c>
      <c r="G95" s="1055" t="str">
        <f t="shared" si="18"/>
        <v>Parking, classique - bitume, France continentale, Base Carbone; kgCO2e/m²</v>
      </c>
      <c r="I95" s="2018" t="s">
        <v>2835</v>
      </c>
      <c r="J95" s="1135" t="s">
        <v>2006</v>
      </c>
      <c r="K95" s="1119" t="s">
        <v>1567</v>
      </c>
      <c r="L95" s="1135" t="s">
        <v>1571</v>
      </c>
      <c r="M95" s="1033">
        <v>0.15</v>
      </c>
      <c r="N95" s="1135"/>
      <c r="O95" s="1036">
        <v>73</v>
      </c>
      <c r="P95" s="1048"/>
      <c r="Q95" s="1048"/>
      <c r="R95" s="1048"/>
      <c r="S95" s="1048"/>
      <c r="T95" s="1048"/>
      <c r="U95" s="1102"/>
      <c r="V95" s="1611"/>
    </row>
    <row r="96" spans="2:22" hidden="1" outlineLevel="1">
      <c r="B96" s="1050">
        <v>9</v>
      </c>
      <c r="C96" s="1050" t="str">
        <f t="shared" si="15"/>
        <v>Parking, classique - Semi rigide, France continentale, Base Carbone</v>
      </c>
      <c r="D96" s="1051">
        <f t="shared" si="16"/>
        <v>9</v>
      </c>
      <c r="E96" s="1051" t="str">
        <f>IF(COUNTIF(E$87:E95,F96)&gt;0,"",F96)</f>
        <v>Parking, classique - Semi rigide, France continentale, Base Carbone</v>
      </c>
      <c r="F96" s="1051" t="str">
        <f t="shared" si="17"/>
        <v>Parking, classique - Semi rigide, France continentale, Base Carbone</v>
      </c>
      <c r="G96" s="1055" t="str">
        <f t="shared" si="18"/>
        <v>Parking, classique - Semi rigide, France continentale, Base Carbone; kgCO2e/m²</v>
      </c>
      <c r="I96" s="2018" t="s">
        <v>2836</v>
      </c>
      <c r="J96" s="1135" t="s">
        <v>2006</v>
      </c>
      <c r="K96" s="1119" t="s">
        <v>1567</v>
      </c>
      <c r="L96" s="1135" t="s">
        <v>1571</v>
      </c>
      <c r="M96" s="1033">
        <v>0.15</v>
      </c>
      <c r="N96" s="1135"/>
      <c r="O96" s="1036">
        <v>165</v>
      </c>
      <c r="P96" s="1048"/>
      <c r="Q96" s="1048"/>
      <c r="R96" s="1048"/>
      <c r="S96" s="1048"/>
      <c r="T96" s="1048"/>
      <c r="U96" s="1102"/>
      <c r="V96" s="1611"/>
    </row>
    <row r="97" spans="2:22" hidden="1" outlineLevel="1">
      <c r="B97" s="1050">
        <v>10</v>
      </c>
      <c r="C97" s="1050" t="str">
        <f t="shared" si="15"/>
        <v>Voirie de type TC1 - béton armé, France continentale, Base Carbone</v>
      </c>
      <c r="D97" s="1051">
        <f t="shared" si="16"/>
        <v>10</v>
      </c>
      <c r="E97" s="1051" t="str">
        <f>IF(COUNTIF(E$87:E96,F97)&gt;0,"",F97)</f>
        <v>Voirie de type TC1 - béton armé, France continentale, Base Carbone</v>
      </c>
      <c r="F97" s="1051" t="str">
        <f t="shared" si="17"/>
        <v>Voirie de type TC1 - béton armé, France continentale, Base Carbone</v>
      </c>
      <c r="G97" s="1055" t="str">
        <f t="shared" si="18"/>
        <v>Voirie de type TC1 - béton armé, France continentale, Base Carbone; kgCO2e/m²</v>
      </c>
      <c r="I97" s="2018" t="s">
        <v>2837</v>
      </c>
      <c r="J97" s="1135" t="s">
        <v>2006</v>
      </c>
      <c r="K97" s="1119" t="s">
        <v>1567</v>
      </c>
      <c r="L97" s="1135" t="s">
        <v>1571</v>
      </c>
      <c r="M97" s="1033">
        <v>0.15</v>
      </c>
      <c r="N97" s="1135"/>
      <c r="O97" s="1036">
        <v>312</v>
      </c>
      <c r="P97" s="1048"/>
      <c r="Q97" s="1048"/>
      <c r="R97" s="1048"/>
      <c r="S97" s="1048"/>
      <c r="T97" s="1048"/>
      <c r="U97" s="1102"/>
      <c r="V97" s="1612" t="s">
        <v>354</v>
      </c>
    </row>
    <row r="98" spans="2:22" hidden="1" outlineLevel="1">
      <c r="B98" s="1050">
        <v>11</v>
      </c>
      <c r="C98" s="1050" t="str">
        <f t="shared" si="15"/>
        <v>Voirie de type TC1 - bitume, France continentale, Base Carbone</v>
      </c>
      <c r="D98" s="1051">
        <f t="shared" si="16"/>
        <v>11</v>
      </c>
      <c r="E98" s="1051" t="str">
        <f>IF(COUNTIF(E$87:E97,F98)&gt;0,"",F98)</f>
        <v>Voirie de type TC1 - bitume, France continentale, Base Carbone</v>
      </c>
      <c r="F98" s="1051" t="str">
        <f t="shared" si="17"/>
        <v>Voirie de type TC1 - bitume, France continentale, Base Carbone</v>
      </c>
      <c r="G98" s="1055" t="str">
        <f t="shared" si="18"/>
        <v>Voirie de type TC1 - bitume, France continentale, Base Carbone; kgCO2e/m²</v>
      </c>
      <c r="I98" s="2018" t="s">
        <v>2838</v>
      </c>
      <c r="J98" s="1135" t="s">
        <v>2006</v>
      </c>
      <c r="K98" s="1119" t="s">
        <v>1567</v>
      </c>
      <c r="L98" s="1135" t="s">
        <v>1571</v>
      </c>
      <c r="M98" s="1033">
        <v>0.15</v>
      </c>
      <c r="N98" s="1135"/>
      <c r="O98" s="1036">
        <v>55</v>
      </c>
      <c r="P98" s="1048"/>
      <c r="Q98" s="1048"/>
      <c r="R98" s="1048"/>
      <c r="S98" s="1048"/>
      <c r="T98" s="1048"/>
      <c r="U98" s="1102"/>
      <c r="V98" s="1612" t="s">
        <v>25</v>
      </c>
    </row>
    <row r="99" spans="2:22" hidden="1" outlineLevel="1">
      <c r="B99" s="1050">
        <v>12</v>
      </c>
      <c r="C99" s="1050" t="str">
        <f t="shared" si="15"/>
        <v>Voirie de type TC1 - Semi rigide, France continentale, Base Carbone</v>
      </c>
      <c r="D99" s="1051">
        <f t="shared" si="16"/>
        <v>12</v>
      </c>
      <c r="E99" s="1051" t="str">
        <f>IF(COUNTIF(E$87:E98,F99)&gt;0,"",F99)</f>
        <v>Voirie de type TC1 - Semi rigide, France continentale, Base Carbone</v>
      </c>
      <c r="F99" s="1051" t="str">
        <f t="shared" si="17"/>
        <v>Voirie de type TC1 - Semi rigide, France continentale, Base Carbone</v>
      </c>
      <c r="G99" s="1055" t="str">
        <f t="shared" si="18"/>
        <v>Voirie de type TC1 - Semi rigide, France continentale, Base Carbone; kgCO2e/m²</v>
      </c>
      <c r="I99" s="2018" t="s">
        <v>2839</v>
      </c>
      <c r="J99" s="1135" t="s">
        <v>2006</v>
      </c>
      <c r="K99" s="1119" t="s">
        <v>1567</v>
      </c>
      <c r="L99" s="1135" t="s">
        <v>1571</v>
      </c>
      <c r="M99" s="1033">
        <v>0.15</v>
      </c>
      <c r="N99" s="1135"/>
      <c r="O99" s="1036">
        <v>147</v>
      </c>
      <c r="P99" s="1048"/>
      <c r="Q99" s="1048"/>
      <c r="R99" s="1048"/>
      <c r="S99" s="1048"/>
      <c r="T99" s="1048"/>
      <c r="U99" s="1102"/>
      <c r="V99" s="1612" t="s">
        <v>161</v>
      </c>
    </row>
    <row r="100" spans="2:22" hidden="1" outlineLevel="1">
      <c r="B100" s="1050">
        <v>13</v>
      </c>
      <c r="C100" s="1050" t="str">
        <f t="shared" si="15"/>
        <v>Voirie de type TC2 - béton armé, France continentale, Base Carbone</v>
      </c>
      <c r="D100" s="1051">
        <f t="shared" si="16"/>
        <v>13</v>
      </c>
      <c r="E100" s="1051" t="str">
        <f>IF(COUNTIF(E$87:E99,F100)&gt;0,"",F100)</f>
        <v>Voirie de type TC2 - béton armé, France continentale, Base Carbone</v>
      </c>
      <c r="F100" s="1051" t="str">
        <f t="shared" si="17"/>
        <v>Voirie de type TC2 - béton armé, France continentale, Base Carbone</v>
      </c>
      <c r="G100" s="1055" t="str">
        <f t="shared" si="18"/>
        <v>Voirie de type TC2 - béton armé, France continentale, Base Carbone; kgCO2e/m²</v>
      </c>
      <c r="I100" s="2018" t="s">
        <v>2840</v>
      </c>
      <c r="J100" s="1135" t="s">
        <v>2006</v>
      </c>
      <c r="K100" s="1119" t="s">
        <v>1567</v>
      </c>
      <c r="L100" s="1135" t="s">
        <v>1571</v>
      </c>
      <c r="M100" s="1033">
        <v>0.15</v>
      </c>
      <c r="N100" s="1135"/>
      <c r="O100" s="1036">
        <v>319</v>
      </c>
      <c r="P100" s="1048"/>
      <c r="Q100" s="1048"/>
      <c r="R100" s="1048"/>
      <c r="S100" s="1048"/>
      <c r="T100" s="1048"/>
      <c r="U100" s="1102"/>
      <c r="V100" s="1612" t="s">
        <v>253</v>
      </c>
    </row>
    <row r="101" spans="2:22" hidden="1" outlineLevel="1">
      <c r="B101" s="1050">
        <v>14</v>
      </c>
      <c r="C101" s="1050" t="str">
        <f t="shared" si="15"/>
        <v>Voirie de type TC2 - bitume, France continentale, Base Carbone</v>
      </c>
      <c r="D101" s="1051">
        <f t="shared" si="16"/>
        <v>14</v>
      </c>
      <c r="E101" s="1051" t="str">
        <f>IF(COUNTIF(E$87:E100,F101)&gt;0,"",F101)</f>
        <v>Voirie de type TC2 - bitume, France continentale, Base Carbone</v>
      </c>
      <c r="F101" s="1051" t="str">
        <f t="shared" si="17"/>
        <v>Voirie de type TC2 - bitume, France continentale, Base Carbone</v>
      </c>
      <c r="G101" s="1055" t="str">
        <f t="shared" si="18"/>
        <v>Voirie de type TC2 - bitume, France continentale, Base Carbone; kgCO2e/m²</v>
      </c>
      <c r="I101" s="2018" t="s">
        <v>2841</v>
      </c>
      <c r="J101" s="1135" t="s">
        <v>2006</v>
      </c>
      <c r="K101" s="1119" t="s">
        <v>1567</v>
      </c>
      <c r="L101" s="1135" t="s">
        <v>1571</v>
      </c>
      <c r="M101" s="1033">
        <v>0.15</v>
      </c>
      <c r="N101" s="1135"/>
      <c r="O101" s="1036">
        <v>73</v>
      </c>
      <c r="P101" s="1048"/>
      <c r="Q101" s="1048"/>
      <c r="R101" s="1048"/>
      <c r="S101" s="1048"/>
      <c r="T101" s="1048"/>
      <c r="U101" s="1102"/>
      <c r="V101" s="1612" t="s">
        <v>254</v>
      </c>
    </row>
    <row r="102" spans="2:22" hidden="1" outlineLevel="1">
      <c r="B102" s="1050">
        <v>15</v>
      </c>
      <c r="C102" s="1050" t="str">
        <f t="shared" si="15"/>
        <v>Voirie de type TC2 - Semi rigide, France continentale, Base Carbone</v>
      </c>
      <c r="D102" s="1051">
        <f t="shared" si="16"/>
        <v>15</v>
      </c>
      <c r="E102" s="1051" t="str">
        <f>IF(COUNTIF(E$87:E101,F102)&gt;0,"",F102)</f>
        <v>Voirie de type TC2 - Semi rigide, France continentale, Base Carbone</v>
      </c>
      <c r="F102" s="1051" t="str">
        <f t="shared" si="17"/>
        <v>Voirie de type TC2 - Semi rigide, France continentale, Base Carbone</v>
      </c>
      <c r="G102" s="1055" t="str">
        <f t="shared" si="18"/>
        <v>Voirie de type TC2 - Semi rigide, France continentale, Base Carbone; kgCO2e/m²</v>
      </c>
      <c r="I102" s="2018" t="s">
        <v>2842</v>
      </c>
      <c r="J102" s="1135" t="s">
        <v>2006</v>
      </c>
      <c r="K102" s="1119" t="s">
        <v>1567</v>
      </c>
      <c r="L102" s="1135" t="s">
        <v>1571</v>
      </c>
      <c r="M102" s="1033">
        <v>0.15</v>
      </c>
      <c r="N102" s="1135"/>
      <c r="O102" s="1036">
        <v>165</v>
      </c>
      <c r="P102" s="1048"/>
      <c r="Q102" s="1048"/>
      <c r="R102" s="1048"/>
      <c r="S102" s="1048"/>
      <c r="T102" s="1048"/>
      <c r="U102" s="1102"/>
      <c r="V102" s="1612" t="s">
        <v>255</v>
      </c>
    </row>
    <row r="103" spans="2:22" hidden="1" outlineLevel="1">
      <c r="B103" s="1050">
        <v>16</v>
      </c>
      <c r="C103" s="1050" t="str">
        <f t="shared" si="15"/>
        <v>Voirie de type TC3 - béton armé, France continentale, Base Carbone</v>
      </c>
      <c r="D103" s="1051">
        <f t="shared" si="16"/>
        <v>16</v>
      </c>
      <c r="E103" s="1051" t="str">
        <f>IF(COUNTIF(E$87:E102,F103)&gt;0,"",F103)</f>
        <v>Voirie de type TC3 - béton armé, France continentale, Base Carbone</v>
      </c>
      <c r="F103" s="1051" t="str">
        <f t="shared" si="17"/>
        <v>Voirie de type TC3 - béton armé, France continentale, Base Carbone</v>
      </c>
      <c r="G103" s="1055" t="str">
        <f t="shared" si="18"/>
        <v>Voirie de type TC3 - béton armé, France continentale, Base Carbone; kgCO2e/m²</v>
      </c>
      <c r="I103" s="2018" t="s">
        <v>2843</v>
      </c>
      <c r="J103" s="1135" t="s">
        <v>2006</v>
      </c>
      <c r="K103" s="1119" t="s">
        <v>1567</v>
      </c>
      <c r="L103" s="1135" t="s">
        <v>1571</v>
      </c>
      <c r="M103" s="1033">
        <v>0.15</v>
      </c>
      <c r="N103" s="1135"/>
      <c r="O103" s="1036">
        <v>337</v>
      </c>
      <c r="P103" s="1048"/>
      <c r="Q103" s="1048"/>
      <c r="R103" s="1048"/>
      <c r="S103" s="1048"/>
      <c r="T103" s="1048"/>
      <c r="U103" s="1102"/>
      <c r="V103" s="1612" t="s">
        <v>256</v>
      </c>
    </row>
    <row r="104" spans="2:22" hidden="1" outlineLevel="1">
      <c r="B104" s="1050">
        <v>17</v>
      </c>
      <c r="C104" s="1050" t="str">
        <f t="shared" si="15"/>
        <v>Voirie de type TC3 - bitume, France continentale, Base Carbone</v>
      </c>
      <c r="D104" s="1051">
        <f t="shared" si="16"/>
        <v>17</v>
      </c>
      <c r="E104" s="1051" t="str">
        <f>IF(COUNTIF(E$87:E103,F104)&gt;0,"",F104)</f>
        <v>Voirie de type TC3 - bitume, France continentale, Base Carbone</v>
      </c>
      <c r="F104" s="1051" t="str">
        <f t="shared" si="17"/>
        <v>Voirie de type TC3 - bitume, France continentale, Base Carbone</v>
      </c>
      <c r="G104" s="1055" t="str">
        <f t="shared" si="18"/>
        <v>Voirie de type TC3 - bitume, France continentale, Base Carbone; kgCO2e/m²</v>
      </c>
      <c r="I104" s="2018" t="s">
        <v>2844</v>
      </c>
      <c r="J104" s="1135" t="s">
        <v>2006</v>
      </c>
      <c r="K104" s="1119" t="s">
        <v>1567</v>
      </c>
      <c r="L104" s="1135" t="s">
        <v>1571</v>
      </c>
      <c r="M104" s="1033">
        <v>0.15</v>
      </c>
      <c r="N104" s="1135"/>
      <c r="O104" s="2046">
        <v>92</v>
      </c>
      <c r="P104" s="1048"/>
      <c r="Q104" s="1048"/>
      <c r="R104" s="1048"/>
      <c r="S104" s="1048"/>
      <c r="T104" s="1048"/>
      <c r="U104" s="1102"/>
    </row>
    <row r="105" spans="2:22" hidden="1" outlineLevel="1">
      <c r="B105" s="1050">
        <v>18</v>
      </c>
      <c r="C105" s="1050" t="str">
        <f>IF(ISNA(VLOOKUP(B105,$D$87:$E$131,2,FALSE)),"-",VLOOKUP(B105,$D$87:$E$131,2,FALSE))</f>
        <v>Voirie de type TC3 - Semi rigide, France continentale, Base Carbone</v>
      </c>
      <c r="D105" s="1051">
        <f t="shared" si="16"/>
        <v>18</v>
      </c>
      <c r="E105" s="1051" t="str">
        <f>IF(COUNTIF(E$87:E104,F105)&gt;0,"",F105)</f>
        <v>Voirie de type TC3 - Semi rigide, France continentale, Base Carbone</v>
      </c>
      <c r="F105" s="1051" t="str">
        <f t="shared" si="17"/>
        <v>Voirie de type TC3 - Semi rigide, France continentale, Base Carbone</v>
      </c>
      <c r="G105" s="1055" t="str">
        <f t="shared" si="18"/>
        <v>Voirie de type TC3 - Semi rigide, France continentale, Base Carbone; kgCO2e/m²</v>
      </c>
      <c r="I105" s="2018" t="s">
        <v>2845</v>
      </c>
      <c r="J105" s="1135" t="s">
        <v>2006</v>
      </c>
      <c r="K105" s="1119" t="s">
        <v>1567</v>
      </c>
      <c r="L105" s="1135" t="s">
        <v>1571</v>
      </c>
      <c r="M105" s="1033">
        <v>0.15</v>
      </c>
      <c r="N105" s="1135"/>
      <c r="O105" s="2046">
        <v>165</v>
      </c>
      <c r="P105" s="1048"/>
      <c r="Q105" s="1048"/>
      <c r="R105" s="1048"/>
      <c r="S105" s="1048"/>
      <c r="T105" s="1048"/>
      <c r="U105" s="1102"/>
    </row>
    <row r="106" spans="2:22" hidden="1" outlineLevel="1">
      <c r="B106" s="1050">
        <v>19</v>
      </c>
      <c r="C106" s="1050" t="str">
        <f t="shared" si="15"/>
        <v>Voirie de type TC4 - béton armé, France continentale, Base Carbone</v>
      </c>
      <c r="D106" s="1051">
        <f t="shared" si="16"/>
        <v>19</v>
      </c>
      <c r="E106" s="1051" t="str">
        <f>IF(COUNTIF(E$87:E105,F106)&gt;0,"",F106)</f>
        <v>Voirie de type TC4 - béton armé, France continentale, Base Carbone</v>
      </c>
      <c r="F106" s="1051" t="str">
        <f t="shared" si="17"/>
        <v>Voirie de type TC4 - béton armé, France continentale, Base Carbone</v>
      </c>
      <c r="G106" s="1055" t="str">
        <f t="shared" si="18"/>
        <v>Voirie de type TC4 - béton armé, France continentale, Base Carbone; kgCO2e/m²</v>
      </c>
      <c r="I106" s="2018" t="s">
        <v>2846</v>
      </c>
      <c r="J106" s="1135" t="s">
        <v>2006</v>
      </c>
      <c r="K106" s="1119" t="s">
        <v>1567</v>
      </c>
      <c r="L106" s="1135" t="s">
        <v>1571</v>
      </c>
      <c r="M106" s="1033">
        <v>0.15</v>
      </c>
      <c r="N106" s="1135"/>
      <c r="O106" s="2046">
        <v>367</v>
      </c>
      <c r="P106" s="1048"/>
      <c r="Q106" s="1048"/>
      <c r="R106" s="1048"/>
      <c r="S106" s="1048"/>
      <c r="T106" s="1048"/>
      <c r="U106" s="1102"/>
    </row>
    <row r="107" spans="2:22" hidden="1" outlineLevel="1">
      <c r="B107" s="1050">
        <v>20</v>
      </c>
      <c r="C107" s="1050" t="str">
        <f t="shared" si="15"/>
        <v>Voirie de type TC4 - bitume, France continentale, Base Carbone</v>
      </c>
      <c r="D107" s="1051">
        <f t="shared" si="16"/>
        <v>20</v>
      </c>
      <c r="E107" s="1051" t="str">
        <f>IF(COUNTIF(E$87:E106,F107)&gt;0,"",F107)</f>
        <v>Voirie de type TC4 - bitume, France continentale, Base Carbone</v>
      </c>
      <c r="F107" s="1051" t="str">
        <f t="shared" si="17"/>
        <v>Voirie de type TC4 - bitume, France continentale, Base Carbone</v>
      </c>
      <c r="G107" s="1055" t="str">
        <f t="shared" si="18"/>
        <v>Voirie de type TC4 - bitume, France continentale, Base Carbone; kgCO2e/m²</v>
      </c>
      <c r="I107" s="2018" t="s">
        <v>2847</v>
      </c>
      <c r="J107" s="1135" t="s">
        <v>2006</v>
      </c>
      <c r="K107" s="1119" t="s">
        <v>1567</v>
      </c>
      <c r="L107" s="1135" t="s">
        <v>1571</v>
      </c>
      <c r="M107" s="1033">
        <v>0.15</v>
      </c>
      <c r="N107" s="1135"/>
      <c r="O107" s="2046">
        <v>103</v>
      </c>
      <c r="P107" s="1048"/>
      <c r="Q107" s="1048"/>
      <c r="R107" s="1048"/>
      <c r="S107" s="1048"/>
      <c r="T107" s="1048"/>
      <c r="U107" s="1102"/>
    </row>
    <row r="108" spans="2:22" hidden="1" outlineLevel="1">
      <c r="B108" s="1050">
        <v>21</v>
      </c>
      <c r="C108" s="1050" t="str">
        <f t="shared" si="15"/>
        <v>Voirie de type TC4 - Semi rigide, France continentale, Base Carbone</v>
      </c>
      <c r="D108" s="1051">
        <f t="shared" si="16"/>
        <v>21</v>
      </c>
      <c r="E108" s="1051" t="str">
        <f>IF(COUNTIF(E$87:E107,F108)&gt;0,"",F108)</f>
        <v>Voirie de type TC4 - Semi rigide, France continentale, Base Carbone</v>
      </c>
      <c r="F108" s="1051" t="str">
        <f t="shared" si="17"/>
        <v>Voirie de type TC4 - Semi rigide, France continentale, Base Carbone</v>
      </c>
      <c r="G108" s="1055" t="str">
        <f t="shared" si="18"/>
        <v>Voirie de type TC4 - Semi rigide, France continentale, Base Carbone; kgCO2e/m²</v>
      </c>
      <c r="I108" s="2018" t="s">
        <v>2848</v>
      </c>
      <c r="J108" s="1135" t="s">
        <v>2006</v>
      </c>
      <c r="K108" s="1119" t="s">
        <v>1567</v>
      </c>
      <c r="L108" s="1135" t="s">
        <v>1571</v>
      </c>
      <c r="M108" s="1033">
        <v>0.15</v>
      </c>
      <c r="N108" s="1135"/>
      <c r="O108" s="2046">
        <v>198</v>
      </c>
      <c r="P108" s="1048"/>
      <c r="Q108" s="1048"/>
      <c r="R108" s="1048"/>
      <c r="S108" s="1048"/>
      <c r="T108" s="1048"/>
      <c r="U108" s="1102"/>
    </row>
    <row r="109" spans="2:22" hidden="1" outlineLevel="1">
      <c r="B109" s="1050">
        <v>22</v>
      </c>
      <c r="C109" s="1050" t="str">
        <f>IF(ISNA(VLOOKUP(B109,$D$87:$E$131,2,FALSE)),"-",VLOOKUP(B109,$D$87:$E$131,2,FALSE))</f>
        <v>Voirie de type TC5 - béton armé, France continentale, Base Carbone</v>
      </c>
      <c r="D109" s="1051">
        <f t="shared" si="16"/>
        <v>22</v>
      </c>
      <c r="E109" s="1051" t="str">
        <f>IF(COUNTIF(E$87:E108,F109)&gt;0,"",F109)</f>
        <v>Voirie de type TC5 - béton armé, France continentale, Base Carbone</v>
      </c>
      <c r="F109" s="1051" t="str">
        <f t="shared" si="17"/>
        <v>Voirie de type TC5 - béton armé, France continentale, Base Carbone</v>
      </c>
      <c r="G109" s="1055" t="str">
        <f t="shared" si="18"/>
        <v>Voirie de type TC5 - béton armé, France continentale, Base Carbone; kgCO2e/m²</v>
      </c>
      <c r="I109" s="2018" t="s">
        <v>2849</v>
      </c>
      <c r="J109" s="1135" t="s">
        <v>2006</v>
      </c>
      <c r="K109" s="1119" t="s">
        <v>1567</v>
      </c>
      <c r="L109" s="1135" t="s">
        <v>1571</v>
      </c>
      <c r="M109" s="1033">
        <v>0.15</v>
      </c>
      <c r="N109" s="1135"/>
      <c r="O109" s="2046">
        <v>385</v>
      </c>
      <c r="P109" s="1048"/>
      <c r="Q109" s="1048"/>
      <c r="R109" s="1048"/>
      <c r="S109" s="1048"/>
      <c r="T109" s="1048"/>
      <c r="U109" s="1102"/>
    </row>
    <row r="110" spans="2:22" hidden="1" outlineLevel="1">
      <c r="B110" s="1050">
        <v>23</v>
      </c>
      <c r="C110" s="1050" t="str">
        <f t="shared" si="15"/>
        <v>Voirie de type TC5 - bitume, France continentale, Base Carbone</v>
      </c>
      <c r="D110" s="1051">
        <f t="shared" si="16"/>
        <v>23</v>
      </c>
      <c r="E110" s="1051" t="str">
        <f>IF(COUNTIF(E$87:E109,F110)&gt;0,"",F110)</f>
        <v>Voirie de type TC5 - bitume, France continentale, Base Carbone</v>
      </c>
      <c r="F110" s="1051" t="str">
        <f t="shared" si="17"/>
        <v>Voirie de type TC5 - bitume, France continentale, Base Carbone</v>
      </c>
      <c r="G110" s="1055" t="str">
        <f t="shared" si="18"/>
        <v>Voirie de type TC5 - bitume, France continentale, Base Carbone; kgCO2e/m²</v>
      </c>
      <c r="I110" s="2018" t="s">
        <v>2850</v>
      </c>
      <c r="J110" s="1135" t="s">
        <v>2006</v>
      </c>
      <c r="K110" s="1119" t="s">
        <v>1567</v>
      </c>
      <c r="L110" s="1135" t="s">
        <v>1571</v>
      </c>
      <c r="M110" s="1033">
        <v>0.15</v>
      </c>
      <c r="N110" s="1135"/>
      <c r="O110" s="2046">
        <v>117</v>
      </c>
      <c r="P110" s="1048"/>
      <c r="Q110" s="1048"/>
      <c r="R110" s="1048"/>
      <c r="S110" s="1048"/>
      <c r="T110" s="1048"/>
      <c r="U110" s="1102"/>
    </row>
    <row r="111" spans="2:22" hidden="1" outlineLevel="1">
      <c r="B111" s="1050">
        <v>24</v>
      </c>
      <c r="C111" s="1050" t="str">
        <f t="shared" si="15"/>
        <v>Voirie de type TC5 - Semi rigide, France continentale, Base Carbone</v>
      </c>
      <c r="D111" s="1051">
        <f t="shared" si="16"/>
        <v>24</v>
      </c>
      <c r="E111" s="1051" t="str">
        <f>IF(COUNTIF(E$87:E110,F111)&gt;0,"",F111)</f>
        <v>Voirie de type TC5 - Semi rigide, France continentale, Base Carbone</v>
      </c>
      <c r="F111" s="1051" t="str">
        <f t="shared" si="17"/>
        <v>Voirie de type TC5 - Semi rigide, France continentale, Base Carbone</v>
      </c>
      <c r="G111" s="1055" t="str">
        <f t="shared" si="18"/>
        <v>Voirie de type TC5 - Semi rigide, France continentale, Base Carbone; kgCO2e/m²</v>
      </c>
      <c r="I111" s="2018" t="s">
        <v>2851</v>
      </c>
      <c r="J111" s="1135" t="s">
        <v>2006</v>
      </c>
      <c r="K111" s="1119" t="s">
        <v>1567</v>
      </c>
      <c r="L111" s="1135" t="s">
        <v>1571</v>
      </c>
      <c r="M111" s="1033">
        <v>0.15</v>
      </c>
      <c r="N111" s="1135"/>
      <c r="O111" s="2046">
        <v>209</v>
      </c>
      <c r="P111" s="1048"/>
      <c r="Q111" s="1048"/>
      <c r="R111" s="1048"/>
      <c r="S111" s="1048"/>
      <c r="T111" s="1048"/>
      <c r="U111" s="1102"/>
    </row>
    <row r="112" spans="2:22" hidden="1" outlineLevel="1">
      <c r="B112" s="1050">
        <v>25</v>
      </c>
      <c r="C112" s="1050" t="str">
        <f t="shared" si="15"/>
        <v>Voirie de type TC6 - béton armé, France continentale, Base Carbone</v>
      </c>
      <c r="D112" s="1051">
        <f t="shared" si="16"/>
        <v>25</v>
      </c>
      <c r="E112" s="1051" t="str">
        <f>IF(COUNTIF(E$87:E111,F112)&gt;0,"",F112)</f>
        <v>Voirie de type TC6 - béton armé, France continentale, Base Carbone</v>
      </c>
      <c r="F112" s="1051" t="str">
        <f t="shared" si="17"/>
        <v>Voirie de type TC6 - béton armé, France continentale, Base Carbone</v>
      </c>
      <c r="G112" s="1055" t="str">
        <f t="shared" si="18"/>
        <v>Voirie de type TC6 - béton armé, France continentale, Base Carbone; kgCO2e/m²</v>
      </c>
      <c r="I112" s="2018" t="s">
        <v>2852</v>
      </c>
      <c r="J112" s="1135" t="s">
        <v>2006</v>
      </c>
      <c r="K112" s="1119" t="s">
        <v>1567</v>
      </c>
      <c r="L112" s="1135" t="s">
        <v>1571</v>
      </c>
      <c r="M112" s="1033">
        <v>0.15</v>
      </c>
      <c r="N112" s="1135"/>
      <c r="O112" s="2046">
        <v>422</v>
      </c>
      <c r="P112" s="1048"/>
      <c r="Q112" s="1048"/>
      <c r="R112" s="1048"/>
      <c r="S112" s="1048"/>
      <c r="T112" s="1048"/>
      <c r="U112" s="1102"/>
    </row>
    <row r="113" spans="2:21" hidden="1" outlineLevel="1">
      <c r="B113" s="1050">
        <v>26</v>
      </c>
      <c r="C113" s="1050" t="str">
        <f t="shared" si="15"/>
        <v>Voirie de type TC6 - bitume, France continentale, Base Carbone</v>
      </c>
      <c r="D113" s="1051">
        <f t="shared" si="16"/>
        <v>26</v>
      </c>
      <c r="E113" s="1051" t="str">
        <f>IF(COUNTIF(E$87:E112,F113)&gt;0,"",F113)</f>
        <v>Voirie de type TC6 - bitume, France continentale, Base Carbone</v>
      </c>
      <c r="F113" s="1051" t="str">
        <f t="shared" si="17"/>
        <v>Voirie de type TC6 - bitume, France continentale, Base Carbone</v>
      </c>
      <c r="G113" s="1055" t="str">
        <f t="shared" si="18"/>
        <v>Voirie de type TC6 - bitume, France continentale, Base Carbone; kgCO2e/m²</v>
      </c>
      <c r="I113" s="2018" t="s">
        <v>2853</v>
      </c>
      <c r="J113" s="1135" t="s">
        <v>2006</v>
      </c>
      <c r="K113" s="1119" t="s">
        <v>1567</v>
      </c>
      <c r="L113" s="1135" t="s">
        <v>1571</v>
      </c>
      <c r="M113" s="1033">
        <v>0.15</v>
      </c>
      <c r="N113" s="1135"/>
      <c r="O113" s="2046">
        <v>136</v>
      </c>
      <c r="P113" s="1048"/>
      <c r="Q113" s="1048"/>
      <c r="R113" s="1048"/>
      <c r="S113" s="1048"/>
      <c r="T113" s="1048"/>
      <c r="U113" s="1102"/>
    </row>
    <row r="114" spans="2:21" hidden="1" outlineLevel="1">
      <c r="B114" s="1050">
        <v>27</v>
      </c>
      <c r="C114" s="1050" t="str">
        <f t="shared" si="15"/>
        <v>Voirie de type TC6 - Semi rigide, France continentale, Base Carbone</v>
      </c>
      <c r="D114" s="1051">
        <f t="shared" si="16"/>
        <v>27</v>
      </c>
      <c r="E114" s="1051" t="str">
        <f>IF(COUNTIF(E$87:E113,F114)&gt;0,"",F114)</f>
        <v>Voirie de type TC6 - Semi rigide, France continentale, Base Carbone</v>
      </c>
      <c r="F114" s="1051" t="str">
        <f t="shared" si="17"/>
        <v>Voirie de type TC6 - Semi rigide, France continentale, Base Carbone</v>
      </c>
      <c r="G114" s="1055" t="str">
        <f t="shared" si="18"/>
        <v>Voirie de type TC6 - Semi rigide, France continentale, Base Carbone; kgCO2e/m²</v>
      </c>
      <c r="I114" s="2018" t="s">
        <v>2854</v>
      </c>
      <c r="J114" s="1135" t="s">
        <v>2006</v>
      </c>
      <c r="K114" s="1119" t="s">
        <v>1567</v>
      </c>
      <c r="L114" s="1135" t="s">
        <v>1571</v>
      </c>
      <c r="M114" s="1033">
        <v>0.15</v>
      </c>
      <c r="N114" s="1135"/>
      <c r="O114" s="2046">
        <v>220</v>
      </c>
      <c r="P114" s="1048"/>
      <c r="Q114" s="1048"/>
      <c r="R114" s="1048"/>
      <c r="S114" s="1048"/>
      <c r="T114" s="1048"/>
      <c r="U114" s="1102"/>
    </row>
    <row r="115" spans="2:21" hidden="1" outlineLevel="1">
      <c r="B115" s="1050">
        <v>28</v>
      </c>
      <c r="C115" s="1050" t="str">
        <f t="shared" si="15"/>
        <v>Voirie de type TC7 - béton armé, France continentale, Base Carbone</v>
      </c>
      <c r="D115" s="1051">
        <f t="shared" si="16"/>
        <v>28</v>
      </c>
      <c r="E115" s="1051" t="str">
        <f>IF(COUNTIF(E$87:E114,F115)&gt;0,"",F115)</f>
        <v>Voirie de type TC7 - béton armé, France continentale, Base Carbone</v>
      </c>
      <c r="F115" s="1051" t="str">
        <f t="shared" si="17"/>
        <v>Voirie de type TC7 - béton armé, France continentale, Base Carbone</v>
      </c>
      <c r="G115" s="1055" t="str">
        <f t="shared" si="18"/>
        <v>Voirie de type TC7 - béton armé, France continentale, Base Carbone; kgCO2e/m²</v>
      </c>
      <c r="I115" s="2018" t="s">
        <v>2855</v>
      </c>
      <c r="J115" s="1135" t="s">
        <v>2006</v>
      </c>
      <c r="K115" s="1119" t="s">
        <v>1567</v>
      </c>
      <c r="L115" s="1135" t="s">
        <v>1571</v>
      </c>
      <c r="M115" s="1033">
        <v>0.15</v>
      </c>
      <c r="N115" s="1135"/>
      <c r="O115" s="2046">
        <v>458</v>
      </c>
      <c r="P115" s="1048"/>
      <c r="Q115" s="1048"/>
      <c r="R115" s="1048"/>
      <c r="S115" s="1048"/>
      <c r="T115" s="1048"/>
      <c r="U115" s="1102"/>
    </row>
    <row r="116" spans="2:21" hidden="1" outlineLevel="1">
      <c r="B116" s="1050">
        <v>29</v>
      </c>
      <c r="C116" s="1050" t="str">
        <f t="shared" si="15"/>
        <v>Voirie de type TC7 - bitume, France continentale, Base Carbone</v>
      </c>
      <c r="D116" s="1051">
        <f t="shared" si="16"/>
        <v>29</v>
      </c>
      <c r="E116" s="1051" t="str">
        <f>IF(COUNTIF(E$87:E115,F116)&gt;0,"",F116)</f>
        <v>Voirie de type TC7 - bitume, France continentale, Base Carbone</v>
      </c>
      <c r="F116" s="1051" t="str">
        <f t="shared" si="17"/>
        <v>Voirie de type TC7 - bitume, France continentale, Base Carbone</v>
      </c>
      <c r="G116" s="1055" t="str">
        <f t="shared" si="18"/>
        <v>Voirie de type TC7 - bitume, France continentale, Base Carbone; kgCO2e/m²</v>
      </c>
      <c r="I116" s="2018" t="s">
        <v>2856</v>
      </c>
      <c r="J116" s="1135" t="s">
        <v>2006</v>
      </c>
      <c r="K116" s="1119" t="s">
        <v>1567</v>
      </c>
      <c r="L116" s="1135" t="s">
        <v>1571</v>
      </c>
      <c r="M116" s="1033">
        <v>0.15</v>
      </c>
      <c r="N116" s="1135"/>
      <c r="O116" s="2046">
        <v>147</v>
      </c>
      <c r="P116" s="1048"/>
      <c r="Q116" s="1048"/>
      <c r="R116" s="1048"/>
      <c r="S116" s="1048"/>
      <c r="T116" s="1048"/>
      <c r="U116" s="1102"/>
    </row>
    <row r="117" spans="2:21" hidden="1" outlineLevel="1">
      <c r="B117" s="1050">
        <v>30</v>
      </c>
      <c r="C117" s="1050" t="str">
        <f t="shared" si="15"/>
        <v>Voirie de type TC7 - Semi rigide, France continentale, Base Carbone</v>
      </c>
      <c r="D117" s="1051">
        <f t="shared" si="16"/>
        <v>30</v>
      </c>
      <c r="E117" s="1051" t="str">
        <f>IF(COUNTIF(E$87:E116,F117)&gt;0,"",F117)</f>
        <v>Voirie de type TC7 - Semi rigide, France continentale, Base Carbone</v>
      </c>
      <c r="F117" s="1051" t="str">
        <f t="shared" si="17"/>
        <v>Voirie de type TC7 - Semi rigide, France continentale, Base Carbone</v>
      </c>
      <c r="G117" s="1055" t="str">
        <f t="shared" si="18"/>
        <v>Voirie de type TC7 - Semi rigide, France continentale, Base Carbone; kgCO2e/m²</v>
      </c>
      <c r="I117" s="2018" t="s">
        <v>2857</v>
      </c>
      <c r="J117" s="1135" t="s">
        <v>2006</v>
      </c>
      <c r="K117" s="1119" t="s">
        <v>1567</v>
      </c>
      <c r="L117" s="1135" t="s">
        <v>1571</v>
      </c>
      <c r="M117" s="1033">
        <v>0.15</v>
      </c>
      <c r="N117" s="1135"/>
      <c r="O117" s="2046">
        <v>238</v>
      </c>
      <c r="P117" s="1048"/>
      <c r="Q117" s="1048"/>
      <c r="R117" s="1048"/>
      <c r="S117" s="1048"/>
      <c r="T117" s="1048"/>
      <c r="U117" s="1102"/>
    </row>
    <row r="118" spans="2:21" hidden="1" outlineLevel="1">
      <c r="B118" s="1050">
        <v>31</v>
      </c>
      <c r="C118" s="1050" t="str">
        <f t="shared" si="15"/>
        <v>-</v>
      </c>
      <c r="D118" s="1051">
        <f t="shared" si="16"/>
        <v>30</v>
      </c>
      <c r="E118" s="1051" t="str">
        <f>IF(COUNTIF(E$87:E117,F118)&gt;0,"",F118)</f>
        <v/>
      </c>
      <c r="F118" s="1051" t="str">
        <f t="shared" si="17"/>
        <v/>
      </c>
      <c r="G118" s="1055" t="str">
        <f t="shared" si="18"/>
        <v/>
      </c>
      <c r="I118" s="1100"/>
      <c r="J118" s="1048"/>
      <c r="K118" s="1048"/>
      <c r="L118" s="1048"/>
      <c r="M118" s="1048"/>
      <c r="N118" s="1048"/>
      <c r="O118" s="1048"/>
      <c r="P118" s="1048"/>
      <c r="Q118" s="1048"/>
      <c r="R118" s="1048"/>
      <c r="S118" s="1048"/>
      <c r="T118" s="1048"/>
      <c r="U118" s="1102"/>
    </row>
    <row r="119" spans="2:21" hidden="1" outlineLevel="1">
      <c r="B119" s="1050">
        <v>32</v>
      </c>
      <c r="C119" s="1050" t="str">
        <f>IF(ISNA(VLOOKUP(B119,$D$87:$E$131,2,FALSE)),"-",VLOOKUP(B119,$D$87:$E$131,2,FALSE))</f>
        <v>-</v>
      </c>
      <c r="D119" s="1051">
        <f t="shared" si="16"/>
        <v>30</v>
      </c>
      <c r="E119" s="1051" t="str">
        <f>IF(COUNTIF(E$87:E118,F119)&gt;0,"",F119)</f>
        <v/>
      </c>
      <c r="F119" s="1051" t="str">
        <f t="shared" si="17"/>
        <v/>
      </c>
      <c r="G119" s="1055" t="str">
        <f t="shared" si="18"/>
        <v/>
      </c>
      <c r="I119" s="1100"/>
      <c r="J119" s="1048"/>
      <c r="K119" s="1048"/>
      <c r="L119" s="1048"/>
      <c r="M119" s="1048"/>
      <c r="N119" s="1048"/>
      <c r="O119" s="1048"/>
      <c r="P119" s="1048"/>
      <c r="Q119" s="1048"/>
      <c r="R119" s="1048"/>
      <c r="S119" s="1048"/>
      <c r="T119" s="1048"/>
      <c r="U119" s="1102"/>
    </row>
    <row r="120" spans="2:21" hidden="1" outlineLevel="1">
      <c r="B120" s="1050">
        <v>33</v>
      </c>
      <c r="C120" s="1050" t="str">
        <f t="shared" si="15"/>
        <v>-</v>
      </c>
      <c r="D120" s="1051">
        <f t="shared" si="16"/>
        <v>30</v>
      </c>
      <c r="E120" s="1051" t="str">
        <f>IF(COUNTIF(E$87:E119,F120)&gt;0,"",F120)</f>
        <v/>
      </c>
      <c r="F120" s="1051" t="str">
        <f t="shared" si="17"/>
        <v/>
      </c>
      <c r="G120" s="1055" t="str">
        <f t="shared" si="18"/>
        <v/>
      </c>
      <c r="I120" s="1100"/>
      <c r="J120" s="1048"/>
      <c r="K120" s="1048"/>
      <c r="L120" s="1048"/>
      <c r="M120" s="1048"/>
      <c r="N120" s="1048"/>
      <c r="O120" s="1048"/>
      <c r="P120" s="1048"/>
      <c r="Q120" s="1048"/>
      <c r="R120" s="1048"/>
      <c r="S120" s="1048"/>
      <c r="T120" s="1048"/>
      <c r="U120" s="1102"/>
    </row>
    <row r="121" spans="2:21" hidden="1" outlineLevel="1">
      <c r="B121" s="1050">
        <v>34</v>
      </c>
      <c r="C121" s="1050" t="str">
        <f t="shared" si="15"/>
        <v>-</v>
      </c>
      <c r="D121" s="1051">
        <f t="shared" si="16"/>
        <v>30</v>
      </c>
      <c r="E121" s="1051" t="str">
        <f>IF(COUNTIF(E$87:E120,F121)&gt;0,"",F121)</f>
        <v/>
      </c>
      <c r="F121" s="1051" t="str">
        <f t="shared" si="17"/>
        <v/>
      </c>
      <c r="G121" s="1055" t="str">
        <f t="shared" si="18"/>
        <v/>
      </c>
      <c r="I121" s="1100"/>
      <c r="J121" s="1048"/>
      <c r="K121" s="1048"/>
      <c r="L121" s="1048"/>
      <c r="M121" s="1048"/>
      <c r="N121" s="1048"/>
      <c r="O121" s="1048"/>
      <c r="P121" s="1048"/>
      <c r="Q121" s="1048"/>
      <c r="R121" s="1048"/>
      <c r="S121" s="1048"/>
      <c r="T121" s="1048"/>
      <c r="U121" s="1102"/>
    </row>
    <row r="122" spans="2:21" hidden="1" outlineLevel="1">
      <c r="B122" s="1050"/>
      <c r="C122" s="1050"/>
      <c r="D122" s="1051">
        <f t="shared" si="16"/>
        <v>30</v>
      </c>
      <c r="E122" s="1051" t="str">
        <f>IF(COUNTIF(E$87:E121,F122)&gt;0,"",F122)</f>
        <v/>
      </c>
      <c r="F122" s="1051" t="str">
        <f t="shared" si="17"/>
        <v/>
      </c>
      <c r="G122" s="1055" t="str">
        <f t="shared" si="18"/>
        <v/>
      </c>
      <c r="I122" s="1100"/>
      <c r="J122" s="1048"/>
      <c r="K122" s="1048"/>
      <c r="L122" s="1048"/>
      <c r="M122" s="1048"/>
      <c r="N122" s="1048"/>
      <c r="O122" s="1048"/>
      <c r="P122" s="1048"/>
      <c r="Q122" s="1048"/>
      <c r="R122" s="1048"/>
      <c r="S122" s="1048"/>
      <c r="T122" s="1048"/>
      <c r="U122" s="1102"/>
    </row>
    <row r="123" spans="2:21" hidden="1" outlineLevel="1">
      <c r="B123" s="1050"/>
      <c r="C123" s="1050"/>
      <c r="D123" s="1051">
        <f t="shared" si="16"/>
        <v>30</v>
      </c>
      <c r="E123" s="1051" t="str">
        <f>IF(COUNTIF(E$87:E122,F123)&gt;0,"",F123)</f>
        <v/>
      </c>
      <c r="F123" s="1051" t="str">
        <f t="shared" si="17"/>
        <v/>
      </c>
      <c r="G123" s="1055" t="str">
        <f t="shared" si="18"/>
        <v/>
      </c>
      <c r="I123" s="1100"/>
      <c r="J123" s="1048"/>
      <c r="K123" s="1048"/>
      <c r="L123" s="1048"/>
      <c r="M123" s="1048"/>
      <c r="N123" s="1048"/>
      <c r="O123" s="1048"/>
      <c r="P123" s="1048"/>
      <c r="Q123" s="1048"/>
      <c r="R123" s="1048"/>
      <c r="S123" s="1048"/>
      <c r="T123" s="1048"/>
      <c r="U123" s="1102"/>
    </row>
    <row r="124" spans="2:21" hidden="1" outlineLevel="1">
      <c r="B124" s="1050"/>
      <c r="C124" s="1050"/>
      <c r="D124" s="1051">
        <f t="shared" si="16"/>
        <v>30</v>
      </c>
      <c r="E124" s="1051" t="str">
        <f>IF(COUNTIF(E$87:E123,F124)&gt;0,"",F124)</f>
        <v/>
      </c>
      <c r="F124" s="1051" t="str">
        <f t="shared" si="17"/>
        <v/>
      </c>
      <c r="G124" s="1055" t="str">
        <f t="shared" si="18"/>
        <v/>
      </c>
      <c r="I124" s="1100"/>
      <c r="J124" s="1048"/>
      <c r="K124" s="1048"/>
      <c r="L124" s="1048"/>
      <c r="M124" s="1048"/>
      <c r="N124" s="1048"/>
      <c r="O124" s="1048"/>
      <c r="P124" s="1048"/>
      <c r="Q124" s="1048"/>
      <c r="R124" s="1048"/>
      <c r="S124" s="1048"/>
      <c r="T124" s="1048"/>
      <c r="U124" s="1102"/>
    </row>
    <row r="125" spans="2:21" hidden="1" outlineLevel="1">
      <c r="B125" s="1050"/>
      <c r="C125" s="1050"/>
      <c r="D125" s="1051">
        <f t="shared" si="16"/>
        <v>30</v>
      </c>
      <c r="E125" s="1051" t="str">
        <f>IF(COUNTIF(E$87:E124,F125)&gt;0,"",F125)</f>
        <v/>
      </c>
      <c r="F125" s="1051" t="str">
        <f t="shared" si="17"/>
        <v/>
      </c>
      <c r="G125" s="1055" t="str">
        <f t="shared" si="18"/>
        <v/>
      </c>
      <c r="I125" s="1100"/>
      <c r="J125" s="1048"/>
      <c r="K125" s="1048"/>
      <c r="L125" s="1048"/>
      <c r="M125" s="1048"/>
      <c r="N125" s="1048"/>
      <c r="O125" s="1048"/>
      <c r="P125" s="1048"/>
      <c r="Q125" s="1048"/>
      <c r="R125" s="1048"/>
      <c r="S125" s="1048"/>
      <c r="T125" s="1048"/>
      <c r="U125" s="1102"/>
    </row>
    <row r="126" spans="2:21" hidden="1" outlineLevel="1">
      <c r="B126" s="1050"/>
      <c r="C126" s="1050"/>
      <c r="D126" s="1051">
        <f t="shared" si="16"/>
        <v>30</v>
      </c>
      <c r="E126" s="1051" t="str">
        <f>IF(COUNTIF(E$87:E125,F126)&gt;0,"",F126)</f>
        <v/>
      </c>
      <c r="F126" s="1051" t="str">
        <f t="shared" si="17"/>
        <v/>
      </c>
      <c r="G126" s="1055" t="str">
        <f t="shared" si="18"/>
        <v/>
      </c>
      <c r="I126" s="1100"/>
      <c r="J126" s="1048"/>
      <c r="K126" s="1048"/>
      <c r="L126" s="1048"/>
      <c r="M126" s="1048"/>
      <c r="N126" s="1048"/>
      <c r="O126" s="1048"/>
      <c r="P126" s="1048"/>
      <c r="Q126" s="1048"/>
      <c r="R126" s="1048"/>
      <c r="S126" s="1048"/>
      <c r="T126" s="1048"/>
      <c r="U126" s="1102"/>
    </row>
    <row r="127" spans="2:21" hidden="1" outlineLevel="1">
      <c r="B127" s="1050"/>
      <c r="C127" s="1050"/>
      <c r="D127" s="1051">
        <f t="shared" si="16"/>
        <v>30</v>
      </c>
      <c r="E127" s="1051" t="str">
        <f>IF(COUNTIF(E$87:E126,F127)&gt;0,"",F127)</f>
        <v/>
      </c>
      <c r="F127" s="1051" t="str">
        <f t="shared" si="17"/>
        <v/>
      </c>
      <c r="G127" s="1055" t="str">
        <f t="shared" si="18"/>
        <v/>
      </c>
      <c r="I127" s="1100"/>
      <c r="J127" s="1048"/>
      <c r="K127" s="1048"/>
      <c r="L127" s="1048"/>
      <c r="M127" s="1048"/>
      <c r="N127" s="1048"/>
      <c r="O127" s="1048"/>
      <c r="P127" s="1048"/>
      <c r="Q127" s="1048"/>
      <c r="R127" s="1048"/>
      <c r="S127" s="1048"/>
      <c r="T127" s="1048"/>
      <c r="U127" s="1102"/>
    </row>
    <row r="128" spans="2:21" hidden="1" outlineLevel="1">
      <c r="B128" s="1050"/>
      <c r="C128" s="1050"/>
      <c r="D128" s="1051">
        <f t="shared" si="16"/>
        <v>30</v>
      </c>
      <c r="E128" s="1051" t="str">
        <f>IF(COUNTIF(E$87:E127,F128)&gt;0,"",F128)</f>
        <v/>
      </c>
      <c r="F128" s="1051" t="str">
        <f t="shared" si="17"/>
        <v/>
      </c>
      <c r="G128" s="1055" t="str">
        <f t="shared" si="18"/>
        <v/>
      </c>
      <c r="I128" s="1100"/>
      <c r="J128" s="1048"/>
      <c r="K128" s="1048"/>
      <c r="L128" s="1048"/>
      <c r="M128" s="1048"/>
      <c r="N128" s="1048"/>
      <c r="O128" s="1048"/>
      <c r="P128" s="1048"/>
      <c r="Q128" s="1048"/>
      <c r="R128" s="1048"/>
      <c r="S128" s="1048"/>
      <c r="T128" s="1048"/>
      <c r="U128" s="1102"/>
    </row>
    <row r="129" spans="2:21" hidden="1" outlineLevel="1">
      <c r="B129" s="1050"/>
      <c r="C129" s="1050"/>
      <c r="D129" s="1051">
        <f t="shared" si="16"/>
        <v>30</v>
      </c>
      <c r="E129" s="1051" t="str">
        <f>IF(COUNTIF(E$87:E128,F129)&gt;0,"",F129)</f>
        <v/>
      </c>
      <c r="F129" s="1051" t="str">
        <f t="shared" si="17"/>
        <v/>
      </c>
      <c r="G129" s="1055" t="str">
        <f t="shared" si="18"/>
        <v/>
      </c>
      <c r="I129" s="1100"/>
      <c r="J129" s="1048"/>
      <c r="K129" s="1048"/>
      <c r="L129" s="1048"/>
      <c r="M129" s="1048"/>
      <c r="N129" s="1048"/>
      <c r="O129" s="1048"/>
      <c r="P129" s="1048"/>
      <c r="Q129" s="1048"/>
      <c r="R129" s="1048"/>
      <c r="S129" s="1048"/>
      <c r="T129" s="1048"/>
      <c r="U129" s="1102"/>
    </row>
    <row r="130" spans="2:21" hidden="1" outlineLevel="1">
      <c r="B130" s="1050"/>
      <c r="C130" s="1050"/>
      <c r="D130" s="1051">
        <f t="shared" si="16"/>
        <v>30</v>
      </c>
      <c r="E130" s="1051" t="str">
        <f>IF(COUNTIF(E$87:E129,F130)&gt;0,"",F130)</f>
        <v/>
      </c>
      <c r="F130" s="1051" t="str">
        <f t="shared" si="17"/>
        <v/>
      </c>
      <c r="G130" s="1055" t="str">
        <f t="shared" si="18"/>
        <v/>
      </c>
      <c r="I130" s="1100"/>
      <c r="J130" s="1048"/>
      <c r="K130" s="1048"/>
      <c r="L130" s="1048"/>
      <c r="M130" s="1048"/>
      <c r="N130" s="1048"/>
      <c r="O130" s="1048"/>
      <c r="P130" s="1048"/>
      <c r="Q130" s="1048"/>
      <c r="R130" s="1048"/>
      <c r="S130" s="1048"/>
      <c r="T130" s="1048"/>
      <c r="U130" s="1102"/>
    </row>
    <row r="131" spans="2:21" hidden="1" outlineLevel="1">
      <c r="B131" s="1050"/>
      <c r="C131" s="1050"/>
      <c r="D131" s="1051">
        <f t="shared" si="16"/>
        <v>30</v>
      </c>
      <c r="E131" s="1051" t="str">
        <f>IF(COUNTIF(E$87:E130,F131)&gt;0,"",F131)</f>
        <v/>
      </c>
      <c r="F131" s="1051" t="str">
        <f t="shared" si="17"/>
        <v/>
      </c>
      <c r="G131" s="1055" t="str">
        <f t="shared" si="18"/>
        <v/>
      </c>
      <c r="I131" s="1103"/>
      <c r="J131" s="1104"/>
      <c r="K131" s="1104"/>
      <c r="L131" s="1104"/>
      <c r="M131" s="1104"/>
      <c r="N131" s="1104"/>
      <c r="O131" s="1104"/>
      <c r="P131" s="1104"/>
      <c r="Q131" s="1104"/>
      <c r="R131" s="1104"/>
      <c r="S131" s="1104"/>
      <c r="T131" s="1104"/>
      <c r="U131" s="1106"/>
    </row>
    <row r="132" spans="2:21"/>
    <row r="133" spans="2:21" ht="15.6" collapsed="1">
      <c r="I133" s="3167" t="s">
        <v>2434</v>
      </c>
      <c r="J133" s="3168"/>
      <c r="K133" s="3168"/>
      <c r="L133" s="3168"/>
      <c r="M133" s="3168"/>
      <c r="N133" s="3168"/>
      <c r="O133" s="3168"/>
      <c r="P133" s="3168"/>
      <c r="Q133" s="3168"/>
      <c r="R133" s="3168"/>
      <c r="S133" s="3168"/>
      <c r="T133" s="3168"/>
      <c r="U133" s="3169"/>
    </row>
    <row r="134" spans="2:21" hidden="1" outlineLevel="1">
      <c r="R134" s="1083"/>
    </row>
    <row r="135" spans="2:21" ht="12.75" hidden="1" customHeight="1" outlineLevel="1">
      <c r="B135" s="3154" t="s">
        <v>1617</v>
      </c>
      <c r="C135" s="3154"/>
      <c r="D135" s="3157" t="s">
        <v>1619</v>
      </c>
      <c r="E135" s="3157"/>
      <c r="F135" s="1151" t="s">
        <v>1616</v>
      </c>
      <c r="G135" s="1053" t="s">
        <v>1618</v>
      </c>
      <c r="H135" s="1044"/>
      <c r="I135" s="1038" t="s">
        <v>1557</v>
      </c>
      <c r="J135" s="1040" t="s">
        <v>1266</v>
      </c>
      <c r="K135" s="1043" t="s">
        <v>224</v>
      </c>
      <c r="L135" s="1043" t="s">
        <v>1558</v>
      </c>
      <c r="M135" s="1039" t="s">
        <v>366</v>
      </c>
      <c r="N135" s="1040" t="s">
        <v>1559</v>
      </c>
      <c r="O135" s="1041" t="s">
        <v>1560</v>
      </c>
      <c r="P135" s="1043" t="s">
        <v>211</v>
      </c>
      <c r="Q135" s="1043" t="s">
        <v>1561</v>
      </c>
      <c r="R135" s="1041" t="s">
        <v>1562</v>
      </c>
      <c r="S135" s="1041" t="s">
        <v>267</v>
      </c>
      <c r="T135" s="1043" t="s">
        <v>1563</v>
      </c>
      <c r="U135" s="1042" t="s">
        <v>1564</v>
      </c>
    </row>
    <row r="136" spans="2:21" s="1045" customFormat="1" ht="12.75" hidden="1" customHeight="1" outlineLevel="1">
      <c r="B136" s="3156" t="s">
        <v>2435</v>
      </c>
      <c r="C136" s="3156"/>
      <c r="D136" s="1051">
        <v>0</v>
      </c>
      <c r="E136" s="1051"/>
      <c r="F136" s="1051"/>
      <c r="G136" s="1054"/>
      <c r="H136" s="1046"/>
      <c r="I136" s="1688"/>
      <c r="J136" s="1689"/>
      <c r="K136" s="1690"/>
      <c r="L136" s="1690"/>
      <c r="M136" s="1691"/>
      <c r="N136" s="1689"/>
      <c r="O136" s="1692"/>
      <c r="P136" s="1690"/>
      <c r="Q136" s="1690"/>
      <c r="R136" s="1692"/>
      <c r="S136" s="1692"/>
      <c r="T136" s="1690"/>
      <c r="U136" s="1693"/>
    </row>
    <row r="137" spans="2:21" hidden="1" outlineLevel="1">
      <c r="B137" s="1050">
        <v>1</v>
      </c>
      <c r="C137" s="1050" t="str">
        <f t="shared" ref="C137:C142" si="19">IF(ISNA(VLOOKUP(B137,$D$136:$E$142,2,FALSE)),"-",VLOOKUP(B137,$D$136:$E$142,2,FALSE))</f>
        <v>Machines, France continentale, Base Carbone</v>
      </c>
      <c r="D137" s="1051">
        <f t="shared" ref="D137:D142" si="20">D136+IF(LEN(E137)&gt;0,1,0)</f>
        <v>1</v>
      </c>
      <c r="E137" s="1051" t="str">
        <f>IF(COUNTIF(E$136:E136,F137)&gt;0,"",F137)</f>
        <v>Machines, France continentale, Base Carbone</v>
      </c>
      <c r="F137" s="1051" t="str">
        <f t="shared" ref="F137:F142" si="21">IF(I137&lt;&gt;"",I137&amp;IF(L137&lt;&gt;"",", "&amp;L137,"")&amp;IF(K137&lt;&gt;"",", "&amp;K137,""),"")</f>
        <v>Machines, France continentale, Base Carbone</v>
      </c>
      <c r="G137" s="1055" t="str">
        <f t="shared" ref="G137:G142" si="22">IF(F137&lt;&gt;"",F137&amp;IF(J137&lt;&gt;"","; "&amp;J137&amp;IF(N137&lt;&gt;"",", "&amp;N137,),""),"")</f>
        <v>Machines, France continentale, Base Carbone; kgCO2e/tonne</v>
      </c>
      <c r="I137" s="1100" t="s">
        <v>1222</v>
      </c>
      <c r="J137" s="1048" t="s">
        <v>1585</v>
      </c>
      <c r="K137" s="1119" t="s">
        <v>1567</v>
      </c>
      <c r="L137" s="1032" t="s">
        <v>1571</v>
      </c>
      <c r="M137" s="1033">
        <v>0.5</v>
      </c>
      <c r="N137" s="1119"/>
      <c r="O137" s="1036">
        <v>5500</v>
      </c>
      <c r="P137" s="1036"/>
      <c r="Q137" s="1036"/>
      <c r="R137" s="1036"/>
      <c r="S137" s="1036"/>
      <c r="T137" s="1036"/>
      <c r="U137" s="1037"/>
    </row>
    <row r="138" spans="2:21" hidden="1" outlineLevel="1">
      <c r="B138" s="1050">
        <v>2</v>
      </c>
      <c r="C138" s="1050" t="str">
        <f t="shared" si="19"/>
        <v>Mobilier, France continentale, Base Carbone</v>
      </c>
      <c r="D138" s="1051">
        <f t="shared" si="20"/>
        <v>2</v>
      </c>
      <c r="E138" s="1051" t="str">
        <f>IF(COUNTIF(E$136:E137,F138)&gt;0,"",F138)</f>
        <v>Mobilier, France continentale, Base Carbone</v>
      </c>
      <c r="F138" s="1051" t="str">
        <f t="shared" si="21"/>
        <v>Mobilier, France continentale, Base Carbone</v>
      </c>
      <c r="G138" s="1055" t="str">
        <f t="shared" si="22"/>
        <v>Mobilier, France continentale, Base Carbone; kgCO2e/tonne</v>
      </c>
      <c r="I138" s="1100" t="s">
        <v>1223</v>
      </c>
      <c r="J138" s="1048" t="s">
        <v>1585</v>
      </c>
      <c r="K138" s="1119" t="s">
        <v>1567</v>
      </c>
      <c r="L138" s="1048" t="s">
        <v>1571</v>
      </c>
      <c r="M138" s="1033">
        <v>0.5</v>
      </c>
      <c r="N138" s="1135"/>
      <c r="O138" s="1036">
        <v>1830</v>
      </c>
      <c r="P138" s="1036"/>
      <c r="Q138" s="1036"/>
      <c r="R138" s="1036"/>
      <c r="S138" s="1036"/>
      <c r="T138" s="1036"/>
      <c r="U138" s="1037"/>
    </row>
    <row r="139" spans="2:21" hidden="1" outlineLevel="1">
      <c r="B139" s="1050">
        <v>3</v>
      </c>
      <c r="C139" s="1050" t="str">
        <f t="shared" si="19"/>
        <v>Véhicules, France continentale, Base Carbone</v>
      </c>
      <c r="D139" s="1051">
        <f t="shared" si="20"/>
        <v>3</v>
      </c>
      <c r="E139" s="1051" t="str">
        <f>IF(COUNTIF(E$136:E138,F139)&gt;0,"",F139)</f>
        <v>Véhicules, France continentale, Base Carbone</v>
      </c>
      <c r="F139" s="1051" t="str">
        <f t="shared" si="21"/>
        <v>Véhicules, France continentale, Base Carbone</v>
      </c>
      <c r="G139" s="1055" t="str">
        <f t="shared" si="22"/>
        <v>Véhicules, France continentale, Base Carbone; kgCO2e/tonne</v>
      </c>
      <c r="I139" s="1100" t="s">
        <v>1221</v>
      </c>
      <c r="J139" s="1048" t="s">
        <v>1585</v>
      </c>
      <c r="K139" s="1119" t="s">
        <v>1567</v>
      </c>
      <c r="L139" s="1048" t="s">
        <v>1571</v>
      </c>
      <c r="M139" s="1033">
        <v>0.5</v>
      </c>
      <c r="N139" s="1135"/>
      <c r="O139" s="1036">
        <v>5500</v>
      </c>
      <c r="P139" s="1048"/>
      <c r="Q139" s="1048"/>
      <c r="R139" s="1048"/>
      <c r="S139" s="1048"/>
      <c r="T139" s="1048"/>
      <c r="U139" s="1102"/>
    </row>
    <row r="140" spans="2:21" hidden="1" outlineLevel="1">
      <c r="B140" s="1050">
        <v>4</v>
      </c>
      <c r="C140" s="1050" t="str">
        <f t="shared" si="19"/>
        <v>-</v>
      </c>
      <c r="D140" s="1051">
        <f t="shared" si="20"/>
        <v>3</v>
      </c>
      <c r="E140" s="1051" t="str">
        <f>IF(COUNTIF(E$136:E139,F140)&gt;0,"",F140)</f>
        <v/>
      </c>
      <c r="F140" s="1051" t="str">
        <f t="shared" si="21"/>
        <v/>
      </c>
      <c r="G140" s="1055" t="str">
        <f t="shared" si="22"/>
        <v/>
      </c>
      <c r="I140" s="1100"/>
      <c r="J140" s="1048"/>
      <c r="K140" s="1048"/>
      <c r="L140" s="1048"/>
      <c r="M140" s="1048"/>
      <c r="N140" s="1048"/>
      <c r="O140" s="1048"/>
      <c r="P140" s="1048"/>
      <c r="Q140" s="1048"/>
      <c r="R140" s="1048"/>
      <c r="S140" s="1048"/>
      <c r="T140" s="1048"/>
      <c r="U140" s="1102"/>
    </row>
    <row r="141" spans="2:21" hidden="1" outlineLevel="1">
      <c r="B141" s="1050">
        <v>5</v>
      </c>
      <c r="C141" s="1050" t="str">
        <f t="shared" si="19"/>
        <v>-</v>
      </c>
      <c r="D141" s="1051">
        <f t="shared" si="20"/>
        <v>3</v>
      </c>
      <c r="E141" s="1051" t="str">
        <f>IF(COUNTIF(E$136:E140,F141)&gt;0,"",F141)</f>
        <v/>
      </c>
      <c r="F141" s="1051" t="str">
        <f t="shared" si="21"/>
        <v/>
      </c>
      <c r="G141" s="1055" t="str">
        <f t="shared" si="22"/>
        <v/>
      </c>
      <c r="I141" s="1100"/>
      <c r="J141" s="1048"/>
      <c r="K141" s="1048"/>
      <c r="L141" s="1048"/>
      <c r="M141" s="1048"/>
      <c r="N141" s="1048"/>
      <c r="O141" s="1048"/>
      <c r="P141" s="1048"/>
      <c r="Q141" s="1048"/>
      <c r="R141" s="1048"/>
      <c r="S141" s="1048"/>
      <c r="T141" s="1048"/>
      <c r="U141" s="1102"/>
    </row>
    <row r="142" spans="2:21" hidden="1" outlineLevel="1">
      <c r="B142" s="1050">
        <v>6</v>
      </c>
      <c r="C142" s="1050" t="str">
        <f t="shared" si="19"/>
        <v>-</v>
      </c>
      <c r="D142" s="1051">
        <f t="shared" si="20"/>
        <v>3</v>
      </c>
      <c r="E142" s="1051" t="str">
        <f>IF(COUNTIF(E$136:E141,F142)&gt;0,"",F142)</f>
        <v/>
      </c>
      <c r="F142" s="1051" t="str">
        <f t="shared" si="21"/>
        <v/>
      </c>
      <c r="G142" s="1055" t="str">
        <f t="shared" si="22"/>
        <v/>
      </c>
      <c r="I142" s="1103"/>
      <c r="J142" s="1104"/>
      <c r="K142" s="1104"/>
      <c r="L142" s="1104"/>
      <c r="M142" s="1104"/>
      <c r="N142" s="1104"/>
      <c r="O142" s="1104"/>
      <c r="P142" s="1104"/>
      <c r="Q142" s="1104"/>
      <c r="R142" s="1104"/>
      <c r="S142" s="1104"/>
      <c r="T142" s="1104"/>
      <c r="U142" s="1106"/>
    </row>
    <row r="143" spans="2:21"/>
    <row r="144" spans="2:21" ht="15.6" collapsed="1">
      <c r="I144" s="3167" t="s">
        <v>420</v>
      </c>
      <c r="J144" s="3168"/>
      <c r="K144" s="3168"/>
      <c r="L144" s="3168"/>
      <c r="M144" s="3168"/>
      <c r="N144" s="3168"/>
      <c r="O144" s="3168"/>
      <c r="P144" s="3168"/>
      <c r="Q144" s="3168"/>
      <c r="R144" s="3168"/>
      <c r="S144" s="3168"/>
      <c r="T144" s="3168"/>
      <c r="U144" s="3169"/>
    </row>
    <row r="145" spans="2:21" hidden="1" outlineLevel="1">
      <c r="R145" s="1083"/>
    </row>
    <row r="146" spans="2:21" ht="12.75" hidden="1" customHeight="1" outlineLevel="1">
      <c r="B146" s="3154" t="s">
        <v>1617</v>
      </c>
      <c r="C146" s="3154"/>
      <c r="D146" s="3157" t="s">
        <v>1619</v>
      </c>
      <c r="E146" s="3157"/>
      <c r="F146" s="1151" t="s">
        <v>3663</v>
      </c>
      <c r="G146" s="1053" t="s">
        <v>1992</v>
      </c>
      <c r="H146" s="1044"/>
      <c r="I146" s="1038" t="s">
        <v>1557</v>
      </c>
      <c r="J146" s="1040" t="s">
        <v>1266</v>
      </c>
      <c r="K146" s="1043" t="s">
        <v>224</v>
      </c>
      <c r="L146" s="1043" t="s">
        <v>1558</v>
      </c>
      <c r="M146" s="1039" t="s">
        <v>366</v>
      </c>
      <c r="N146" s="1040" t="s">
        <v>1559</v>
      </c>
      <c r="O146" s="1041" t="s">
        <v>1560</v>
      </c>
      <c r="P146" s="1043" t="s">
        <v>211</v>
      </c>
      <c r="Q146" s="1043" t="s">
        <v>1561</v>
      </c>
      <c r="R146" s="1041" t="s">
        <v>1562</v>
      </c>
      <c r="S146" s="1041" t="s">
        <v>267</v>
      </c>
      <c r="T146" s="1043" t="s">
        <v>1563</v>
      </c>
      <c r="U146" s="1042" t="s">
        <v>1564</v>
      </c>
    </row>
    <row r="147" spans="2:21" s="1045" customFormat="1" ht="12.75" hidden="1" customHeight="1" outlineLevel="1">
      <c r="B147" s="3156" t="s">
        <v>420</v>
      </c>
      <c r="C147" s="3156"/>
      <c r="D147" s="1051">
        <v>0</v>
      </c>
      <c r="E147" s="1051"/>
      <c r="F147" s="1051"/>
      <c r="G147" s="1054"/>
      <c r="H147" s="1046"/>
      <c r="I147" s="1688"/>
      <c r="J147" s="1689"/>
      <c r="K147" s="1690"/>
      <c r="L147" s="1690"/>
      <c r="M147" s="1691"/>
      <c r="N147" s="1689"/>
      <c r="O147" s="1783"/>
      <c r="P147" s="1784"/>
      <c r="Q147" s="1784"/>
      <c r="R147" s="1783"/>
      <c r="S147" s="1783"/>
      <c r="T147" s="1784"/>
      <c r="U147" s="1785"/>
    </row>
    <row r="148" spans="2:21" hidden="1" outlineLevel="1">
      <c r="B148" s="1050">
        <v>1</v>
      </c>
      <c r="C148" s="1050" t="str">
        <f>IF(ISNA(VLOOKUP(B148,$D$147:$E$216,2,FALSE)),"-",VLOOKUP(B148,$D$147:$E$216,2,FALSE))</f>
        <v>Ecran 21,5 pouces, France continentale, Base Carbone</v>
      </c>
      <c r="D148" s="1051">
        <f>D147+IF(LEN(E148)&gt;0,1,0)</f>
        <v>1</v>
      </c>
      <c r="E148" s="1051" t="str">
        <f>IF(COUNTIF(E$147:E147,F148)&gt;0,"",F148)</f>
        <v>Ecran 21,5 pouces, France continentale, Base Carbone</v>
      </c>
      <c r="F148" s="1051" t="str">
        <f>IF(I148&lt;&gt;"",I148&amp;IF(L148&lt;&gt;"",", "&amp;L148,"")&amp;IF(K148&lt;&gt;"",", "&amp;K148,""),"")</f>
        <v>Ecran 21,5 pouces, France continentale, Base Carbone</v>
      </c>
      <c r="G148" s="1055" t="str">
        <f>IF(F148&lt;&gt;"",F148&amp;IF(J148&lt;&gt;"","; "&amp;J148&amp;IF(N148&lt;&gt;"",", "&amp;N148,),""),"")</f>
        <v>Ecran 21,5 pouces, France continentale, Base Carbone; kgCO2e/unité, Matières premières</v>
      </c>
      <c r="I148" s="1100" t="s">
        <v>3176</v>
      </c>
      <c r="J148" s="1048" t="s">
        <v>1994</v>
      </c>
      <c r="K148" s="1119" t="s">
        <v>1567</v>
      </c>
      <c r="L148" s="1119" t="s">
        <v>1571</v>
      </c>
      <c r="M148" s="1033">
        <v>0.5</v>
      </c>
      <c r="N148" s="1119" t="s">
        <v>3135</v>
      </c>
      <c r="O148" s="1626">
        <v>205</v>
      </c>
      <c r="P148" s="2047">
        <v>205</v>
      </c>
      <c r="Q148" s="2047">
        <v>0</v>
      </c>
      <c r="R148" s="2047">
        <v>0</v>
      </c>
      <c r="S148" s="2047">
        <v>0</v>
      </c>
      <c r="T148" s="2047">
        <v>0</v>
      </c>
      <c r="U148" s="2053">
        <v>0</v>
      </c>
    </row>
    <row r="149" spans="2:21" hidden="1" outlineLevel="1">
      <c r="B149" s="1050">
        <v>2</v>
      </c>
      <c r="C149" s="1050" t="str">
        <f t="shared" ref="C149:C167" si="23">IF(ISNA(VLOOKUP(B149,$D$147:$E$216,2,FALSE)),"-",VLOOKUP(B149,$D$147:$E$216,2,FALSE))</f>
        <v>Ecran 23,8 pouces, France continentale, Base Carbone</v>
      </c>
      <c r="D149" s="1051">
        <f t="shared" ref="D149:D212" si="24">D148+IF(LEN(E149)&gt;0,1,0)</f>
        <v>1</v>
      </c>
      <c r="E149" s="1051" t="str">
        <f>IF(COUNTIF(E$147:E148,F149)&gt;0,"",F149)</f>
        <v/>
      </c>
      <c r="F149" s="1051" t="str">
        <f t="shared" ref="F149:F212" si="25">IF(I149&lt;&gt;"",I149&amp;IF(L149&lt;&gt;"",", "&amp;L149,"")&amp;IF(K149&lt;&gt;"",", "&amp;K149,""),"")</f>
        <v>Ecran 21,5 pouces, France continentale, Base Carbone</v>
      </c>
      <c r="G149" s="1055" t="str">
        <f t="shared" ref="G149:G212" si="26">IF(F149&lt;&gt;"",F149&amp;IF(J149&lt;&gt;"","; "&amp;J149&amp;IF(N149&lt;&gt;"",", "&amp;N149,),""),"")</f>
        <v>Ecran 21,5 pouces, France continentale, Base Carbone; kgCO2e/unité, Approvisionnement</v>
      </c>
      <c r="I149" s="1100" t="s">
        <v>3176</v>
      </c>
      <c r="J149" s="1048" t="s">
        <v>1994</v>
      </c>
      <c r="K149" s="1119" t="s">
        <v>1567</v>
      </c>
      <c r="L149" s="1119" t="s">
        <v>1571</v>
      </c>
      <c r="M149" s="1033">
        <v>0.5</v>
      </c>
      <c r="N149" s="1135" t="s">
        <v>3136</v>
      </c>
      <c r="O149" s="1626">
        <v>4.26</v>
      </c>
      <c r="P149" s="2047">
        <v>4.26</v>
      </c>
      <c r="Q149" s="2047">
        <v>0</v>
      </c>
      <c r="R149" s="2047">
        <v>0</v>
      </c>
      <c r="S149" s="2047">
        <v>0</v>
      </c>
      <c r="T149" s="2047">
        <v>0</v>
      </c>
      <c r="U149" s="2053">
        <v>0</v>
      </c>
    </row>
    <row r="150" spans="2:21" hidden="1" outlineLevel="1">
      <c r="B150" s="1050">
        <v>3</v>
      </c>
      <c r="C150" s="1050" t="str">
        <f t="shared" si="23"/>
        <v>Ecran public 2m², France continentale, Base Carbone</v>
      </c>
      <c r="D150" s="1051">
        <f t="shared" si="24"/>
        <v>1</v>
      </c>
      <c r="E150" s="1051" t="str">
        <f>IF(COUNTIF(E$147:E149,F150)&gt;0,"",F150)</f>
        <v/>
      </c>
      <c r="F150" s="1051" t="str">
        <f t="shared" si="25"/>
        <v>Ecran 21,5 pouces, France continentale, Base Carbone</v>
      </c>
      <c r="G150" s="1055" t="str">
        <f t="shared" si="26"/>
        <v>Ecran 21,5 pouces, France continentale, Base Carbone; kgCO2e/unité, Mise en forme</v>
      </c>
      <c r="I150" s="1100" t="s">
        <v>3176</v>
      </c>
      <c r="J150" s="1048" t="s">
        <v>1994</v>
      </c>
      <c r="K150" s="1119" t="s">
        <v>1567</v>
      </c>
      <c r="L150" s="1119" t="s">
        <v>1571</v>
      </c>
      <c r="M150" s="1033">
        <v>0.5</v>
      </c>
      <c r="N150" s="1048" t="s">
        <v>3141</v>
      </c>
      <c r="O150" s="1628">
        <v>1.9</v>
      </c>
      <c r="P150" s="2054">
        <v>1.9</v>
      </c>
      <c r="Q150" s="2054">
        <v>0</v>
      </c>
      <c r="R150" s="2054">
        <v>0</v>
      </c>
      <c r="S150" s="2054">
        <v>0</v>
      </c>
      <c r="T150" s="2047">
        <v>0</v>
      </c>
      <c r="U150" s="2056">
        <v>0</v>
      </c>
    </row>
    <row r="151" spans="2:21" hidden="1" outlineLevel="1">
      <c r="B151" s="1050">
        <v>4</v>
      </c>
      <c r="C151" s="1050" t="str">
        <f t="shared" si="23"/>
        <v>Ecran public 2m² (sans casing), France continentale, Base Carbone</v>
      </c>
      <c r="D151" s="1051">
        <f t="shared" si="24"/>
        <v>1</v>
      </c>
      <c r="E151" s="1051" t="str">
        <f>IF(COUNTIF(E$147:E150,F151)&gt;0,"",F151)</f>
        <v/>
      </c>
      <c r="F151" s="1051" t="str">
        <f t="shared" si="25"/>
        <v>Ecran 21,5 pouces, France continentale, Base Carbone</v>
      </c>
      <c r="G151" s="1055" t="str">
        <f t="shared" si="26"/>
        <v>Ecran 21,5 pouces, France continentale, Base Carbone; kgCO2e/unité, Assemblage</v>
      </c>
      <c r="I151" s="1100" t="s">
        <v>3176</v>
      </c>
      <c r="J151" s="1048" t="s">
        <v>1994</v>
      </c>
      <c r="K151" s="1119" t="s">
        <v>1567</v>
      </c>
      <c r="L151" s="1119" t="s">
        <v>1571</v>
      </c>
      <c r="M151" s="1033">
        <v>0.5</v>
      </c>
      <c r="N151" s="1048" t="s">
        <v>3137</v>
      </c>
      <c r="O151" s="1628">
        <v>2.17</v>
      </c>
      <c r="P151" s="2054">
        <v>2.17</v>
      </c>
      <c r="Q151" s="2054">
        <v>0</v>
      </c>
      <c r="R151" s="2054">
        <v>0</v>
      </c>
      <c r="S151" s="2054">
        <v>0</v>
      </c>
      <c r="T151" s="2047">
        <v>0</v>
      </c>
      <c r="U151" s="2056">
        <v>0</v>
      </c>
    </row>
    <row r="152" spans="2:21" hidden="1" outlineLevel="1">
      <c r="B152" s="1050">
        <v>5</v>
      </c>
      <c r="C152" s="1050" t="str">
        <f t="shared" si="23"/>
        <v>Imprimante jet d'encre, France continentale, Base Carbone</v>
      </c>
      <c r="D152" s="1051">
        <f t="shared" si="24"/>
        <v>1</v>
      </c>
      <c r="E152" s="1051" t="str">
        <f>IF(COUNTIF(E$147:E151,F152)&gt;0,"",F152)</f>
        <v/>
      </c>
      <c r="F152" s="1051" t="str">
        <f t="shared" si="25"/>
        <v>Ecran 21,5 pouces, France continentale, Base Carbone</v>
      </c>
      <c r="G152" s="1055" t="str">
        <f t="shared" si="26"/>
        <v>Ecran 21,5 pouces, France continentale, Base Carbone; kgCO2e/unité, Distribution</v>
      </c>
      <c r="I152" s="1100" t="s">
        <v>3176</v>
      </c>
      <c r="J152" s="1048" t="s">
        <v>1994</v>
      </c>
      <c r="K152" s="1119" t="s">
        <v>1567</v>
      </c>
      <c r="L152" s="1119" t="s">
        <v>1571</v>
      </c>
      <c r="M152" s="1033">
        <v>0.5</v>
      </c>
      <c r="N152" s="1048" t="s">
        <v>3138</v>
      </c>
      <c r="O152" s="1628">
        <v>7.98</v>
      </c>
      <c r="P152" s="2054">
        <v>7.98</v>
      </c>
      <c r="Q152" s="2054">
        <v>0</v>
      </c>
      <c r="R152" s="2054">
        <v>0</v>
      </c>
      <c r="S152" s="2054">
        <v>0</v>
      </c>
      <c r="T152" s="2047">
        <v>0</v>
      </c>
      <c r="U152" s="2056">
        <v>0</v>
      </c>
    </row>
    <row r="153" spans="2:21" hidden="1" outlineLevel="1">
      <c r="B153" s="1050">
        <v>6</v>
      </c>
      <c r="C153" s="1050" t="str">
        <f t="shared" si="23"/>
        <v>Imprimante laser, France continentale, Base Carbone</v>
      </c>
      <c r="D153" s="1051">
        <f t="shared" si="24"/>
        <v>2</v>
      </c>
      <c r="E153" s="1051" t="str">
        <f>IF(COUNTIF(E$147:E152,F153)&gt;0,"",F153)</f>
        <v>Ecran 23,8 pouces, France continentale, Base Carbone</v>
      </c>
      <c r="F153" s="1051" t="str">
        <f t="shared" si="25"/>
        <v>Ecran 23,8 pouces, France continentale, Base Carbone</v>
      </c>
      <c r="G153" s="1055" t="str">
        <f t="shared" si="26"/>
        <v>Ecran 23,8 pouces, France continentale, Base Carbone; kgCO2e/unité, Matières premières</v>
      </c>
      <c r="I153" s="1100" t="s">
        <v>3177</v>
      </c>
      <c r="J153" s="1048" t="s">
        <v>1994</v>
      </c>
      <c r="K153" s="1119" t="s">
        <v>1567</v>
      </c>
      <c r="L153" s="1119" t="s">
        <v>1571</v>
      </c>
      <c r="M153" s="1033">
        <v>0.5</v>
      </c>
      <c r="N153" s="1048" t="s">
        <v>3135</v>
      </c>
      <c r="O153" s="1628">
        <v>229</v>
      </c>
      <c r="P153" s="2047">
        <v>229</v>
      </c>
      <c r="Q153" s="2047">
        <v>0</v>
      </c>
      <c r="R153" s="2047">
        <v>0</v>
      </c>
      <c r="S153" s="2047">
        <v>0</v>
      </c>
      <c r="T153" s="2047">
        <v>0</v>
      </c>
      <c r="U153" s="2053">
        <v>0</v>
      </c>
    </row>
    <row r="154" spans="2:21" hidden="1" outlineLevel="1">
      <c r="B154" s="1050">
        <v>7</v>
      </c>
      <c r="C154" s="1050" t="str">
        <f t="shared" si="23"/>
        <v>Imprimante multi-fonction, France continentale, Base Carbone</v>
      </c>
      <c r="D154" s="1051">
        <f t="shared" si="24"/>
        <v>2</v>
      </c>
      <c r="E154" s="1051" t="str">
        <f>IF(COUNTIF(E$147:E153,F154)&gt;0,"",F154)</f>
        <v/>
      </c>
      <c r="F154" s="1051" t="str">
        <f t="shared" si="25"/>
        <v>Ecran 23,8 pouces, France continentale, Base Carbone</v>
      </c>
      <c r="G154" s="1055" t="str">
        <f t="shared" si="26"/>
        <v>Ecran 23,8 pouces, France continentale, Base Carbone; kgCO2e/unité, Approvisionnement</v>
      </c>
      <c r="I154" s="1100" t="s">
        <v>3177</v>
      </c>
      <c r="J154" s="1048" t="s">
        <v>1994</v>
      </c>
      <c r="K154" s="1119" t="s">
        <v>1567</v>
      </c>
      <c r="L154" s="1119" t="s">
        <v>1571</v>
      </c>
      <c r="M154" s="1033">
        <v>0.5</v>
      </c>
      <c r="N154" s="1048" t="s">
        <v>3136</v>
      </c>
      <c r="O154" s="1628">
        <v>4.9400000000000004</v>
      </c>
      <c r="P154" s="2047">
        <v>4.9400000000000004</v>
      </c>
      <c r="Q154" s="2047">
        <v>0</v>
      </c>
      <c r="R154" s="2047">
        <v>0</v>
      </c>
      <c r="S154" s="2047">
        <v>0</v>
      </c>
      <c r="T154" s="2047">
        <v>0</v>
      </c>
      <c r="U154" s="2053">
        <v>0</v>
      </c>
    </row>
    <row r="155" spans="2:21" hidden="1" outlineLevel="1">
      <c r="B155" s="1050">
        <v>8</v>
      </c>
      <c r="C155" s="1050" t="str">
        <f t="shared" si="23"/>
        <v>Ordinateur fixe - bureautique, France continentale, Base Carbone</v>
      </c>
      <c r="D155" s="1051">
        <f t="shared" si="24"/>
        <v>2</v>
      </c>
      <c r="E155" s="1051" t="str">
        <f>IF(COUNTIF(E$147:E154,F155)&gt;0,"",F155)</f>
        <v/>
      </c>
      <c r="F155" s="1051" t="str">
        <f t="shared" si="25"/>
        <v>Ecran 23,8 pouces, France continentale, Base Carbone</v>
      </c>
      <c r="G155" s="1055" t="str">
        <f t="shared" si="26"/>
        <v>Ecran 23,8 pouces, France continentale, Base Carbone; kgCO2e/unité, Mise en forme</v>
      </c>
      <c r="I155" s="1100" t="s">
        <v>3177</v>
      </c>
      <c r="J155" s="1048" t="s">
        <v>1994</v>
      </c>
      <c r="K155" s="1119" t="s">
        <v>1567</v>
      </c>
      <c r="L155" s="1119" t="s">
        <v>1571</v>
      </c>
      <c r="M155" s="1033">
        <v>0.5</v>
      </c>
      <c r="N155" s="1048" t="s">
        <v>3141</v>
      </c>
      <c r="O155" s="1628">
        <v>2.5499999999999998</v>
      </c>
      <c r="P155" s="2047">
        <v>2.5499999999999998</v>
      </c>
      <c r="Q155" s="2047">
        <v>0</v>
      </c>
      <c r="R155" s="2047">
        <v>0</v>
      </c>
      <c r="S155" s="2047">
        <v>0</v>
      </c>
      <c r="T155" s="2047">
        <v>0</v>
      </c>
      <c r="U155" s="2053">
        <v>0</v>
      </c>
    </row>
    <row r="156" spans="2:21" hidden="1" outlineLevel="1">
      <c r="B156" s="1050">
        <v>9</v>
      </c>
      <c r="C156" s="1050" t="str">
        <f t="shared" si="23"/>
        <v>Ordinateur fixe - haute performance, France continentale, Base Carbone</v>
      </c>
      <c r="D156" s="1051">
        <f t="shared" si="24"/>
        <v>2</v>
      </c>
      <c r="E156" s="1051" t="str">
        <f>IF(COUNTIF(E$147:E155,F156)&gt;0,"",F156)</f>
        <v/>
      </c>
      <c r="F156" s="1051" t="str">
        <f t="shared" si="25"/>
        <v>Ecran 23,8 pouces, France continentale, Base Carbone</v>
      </c>
      <c r="G156" s="1055" t="str">
        <f t="shared" si="26"/>
        <v>Ecran 23,8 pouces, France continentale, Base Carbone; kgCO2e/unité, Assemblage</v>
      </c>
      <c r="I156" s="1100" t="s">
        <v>3177</v>
      </c>
      <c r="J156" s="1048" t="s">
        <v>1994</v>
      </c>
      <c r="K156" s="1119" t="s">
        <v>1567</v>
      </c>
      <c r="L156" s="1119" t="s">
        <v>1571</v>
      </c>
      <c r="M156" s="1033">
        <v>0.5</v>
      </c>
      <c r="N156" s="1048" t="s">
        <v>3137</v>
      </c>
      <c r="O156" s="1628">
        <v>2.48</v>
      </c>
      <c r="P156" s="2047">
        <v>2.48</v>
      </c>
      <c r="Q156" s="2047">
        <v>0</v>
      </c>
      <c r="R156" s="2047">
        <v>0</v>
      </c>
      <c r="S156" s="2047">
        <v>0</v>
      </c>
      <c r="T156" s="2047">
        <v>0</v>
      </c>
      <c r="U156" s="2053">
        <v>0</v>
      </c>
    </row>
    <row r="157" spans="2:21" hidden="1" outlineLevel="1">
      <c r="B157" s="1050">
        <v>10</v>
      </c>
      <c r="C157" s="1050" t="str">
        <f t="shared" si="23"/>
        <v>Ordinateur portable, France continentale, Base Carbone</v>
      </c>
      <c r="D157" s="1051">
        <f t="shared" si="24"/>
        <v>2</v>
      </c>
      <c r="E157" s="1051" t="str">
        <f>IF(COUNTIF(E$147:E156,F157)&gt;0,"",F157)</f>
        <v/>
      </c>
      <c r="F157" s="1051" t="str">
        <f t="shared" si="25"/>
        <v>Ecran 23,8 pouces, France continentale, Base Carbone</v>
      </c>
      <c r="G157" s="1055" t="str">
        <f t="shared" si="26"/>
        <v>Ecran 23,8 pouces, France continentale, Base Carbone; kgCO2e/unité, Distribution</v>
      </c>
      <c r="I157" s="1100" t="s">
        <v>3177</v>
      </c>
      <c r="J157" s="1048" t="s">
        <v>1994</v>
      </c>
      <c r="K157" s="1119" t="s">
        <v>1567</v>
      </c>
      <c r="L157" s="1119" t="s">
        <v>1571</v>
      </c>
      <c r="M157" s="1033">
        <v>0.5</v>
      </c>
      <c r="N157" s="1048" t="s">
        <v>3138</v>
      </c>
      <c r="O157" s="1628">
        <v>9.2100000000000009</v>
      </c>
      <c r="P157" s="2054">
        <v>9.2100000000000009</v>
      </c>
      <c r="Q157" s="2054">
        <v>0</v>
      </c>
      <c r="R157" s="2054">
        <v>0</v>
      </c>
      <c r="S157" s="2054">
        <v>0</v>
      </c>
      <c r="T157" s="2047">
        <v>0</v>
      </c>
      <c r="U157" s="2056">
        <v>0</v>
      </c>
    </row>
    <row r="158" spans="2:21" hidden="1" outlineLevel="1">
      <c r="B158" s="1050">
        <v>11</v>
      </c>
      <c r="C158" s="1050" t="str">
        <f t="shared" si="23"/>
        <v>Photocopieurs, Monde, Base Carbone</v>
      </c>
      <c r="D158" s="1051">
        <f t="shared" si="24"/>
        <v>3</v>
      </c>
      <c r="E158" s="1051" t="str">
        <f>IF(COUNTIF(E$147:E157,F158)&gt;0,"",F158)</f>
        <v>Ecran public 2m², France continentale, Base Carbone</v>
      </c>
      <c r="F158" s="1051" t="str">
        <f t="shared" si="25"/>
        <v>Ecran public 2m², France continentale, Base Carbone</v>
      </c>
      <c r="G158" s="1055" t="str">
        <f t="shared" si="26"/>
        <v>Ecran public 2m², France continentale, Base Carbone; kgCO2e/unité, Matières premières</v>
      </c>
      <c r="I158" s="2018" t="s">
        <v>4128</v>
      </c>
      <c r="J158" s="1135" t="s">
        <v>1994</v>
      </c>
      <c r="K158" s="1135" t="s">
        <v>1567</v>
      </c>
      <c r="L158" s="1135" t="s">
        <v>1571</v>
      </c>
      <c r="M158" s="2062">
        <v>0.5</v>
      </c>
      <c r="N158" s="1135" t="s">
        <v>3135</v>
      </c>
      <c r="O158" s="2046">
        <v>1199</v>
      </c>
      <c r="P158" s="1977">
        <v>1199</v>
      </c>
      <c r="Q158" s="1980">
        <v>0</v>
      </c>
      <c r="R158" s="1980">
        <v>0</v>
      </c>
      <c r="S158" s="1980">
        <v>0</v>
      </c>
      <c r="T158" s="1980">
        <v>0</v>
      </c>
      <c r="U158" s="2036">
        <v>0</v>
      </c>
    </row>
    <row r="159" spans="2:21" hidden="1" outlineLevel="1">
      <c r="B159" s="1050">
        <v>12</v>
      </c>
      <c r="C159" s="1050" t="str">
        <f t="shared" si="23"/>
        <v>Serveurs informatiques, Monde, Base Carbone</v>
      </c>
      <c r="D159" s="1051">
        <f t="shared" si="24"/>
        <v>3</v>
      </c>
      <c r="E159" s="1051" t="str">
        <f>IF(COUNTIF(E$147:E158,F159)&gt;0,"",F159)</f>
        <v/>
      </c>
      <c r="F159" s="1051" t="str">
        <f t="shared" si="25"/>
        <v>Ecran public 2m², France continentale, Base Carbone</v>
      </c>
      <c r="G159" s="1055" t="str">
        <f t="shared" si="26"/>
        <v>Ecran public 2m², France continentale, Base Carbone; kgCO2e/unité, Approvisionnement</v>
      </c>
      <c r="I159" s="2018" t="s">
        <v>4128</v>
      </c>
      <c r="J159" s="1135" t="s">
        <v>1994</v>
      </c>
      <c r="K159" s="1135" t="s">
        <v>1567</v>
      </c>
      <c r="L159" s="1135" t="s">
        <v>1571</v>
      </c>
      <c r="M159" s="2062">
        <v>0.5</v>
      </c>
      <c r="N159" s="1135" t="s">
        <v>3136</v>
      </c>
      <c r="O159" s="2046">
        <v>47.4</v>
      </c>
      <c r="P159" s="1977">
        <v>47.4</v>
      </c>
      <c r="Q159" s="1980">
        <v>0</v>
      </c>
      <c r="R159" s="1980">
        <v>0</v>
      </c>
      <c r="S159" s="1980">
        <v>0</v>
      </c>
      <c r="T159" s="1980">
        <v>0</v>
      </c>
      <c r="U159" s="2036">
        <v>0</v>
      </c>
    </row>
    <row r="160" spans="2:21" hidden="1" outlineLevel="1">
      <c r="B160" s="1050">
        <v>13</v>
      </c>
      <c r="C160" s="1050" t="str">
        <f t="shared" si="23"/>
        <v>Vidéo-projecteur, France continentale, Base Carbone</v>
      </c>
      <c r="D160" s="1051">
        <f t="shared" si="24"/>
        <v>3</v>
      </c>
      <c r="E160" s="1051" t="str">
        <f>IF(COUNTIF(E$147:E159,F160)&gt;0,"",F160)</f>
        <v/>
      </c>
      <c r="F160" s="1051" t="str">
        <f t="shared" si="25"/>
        <v>Ecran public 2m², France continentale, Base Carbone</v>
      </c>
      <c r="G160" s="1055" t="str">
        <f t="shared" si="26"/>
        <v>Ecran public 2m², France continentale, Base Carbone; kgCO2e/unité, Mise en forme</v>
      </c>
      <c r="I160" s="2018" t="s">
        <v>4128</v>
      </c>
      <c r="J160" s="1135" t="s">
        <v>1994</v>
      </c>
      <c r="K160" s="1135" t="s">
        <v>1567</v>
      </c>
      <c r="L160" s="1135" t="s">
        <v>1571</v>
      </c>
      <c r="M160" s="2062">
        <v>0.5</v>
      </c>
      <c r="N160" s="1135" t="s">
        <v>3141</v>
      </c>
      <c r="O160" s="2046">
        <v>21.5</v>
      </c>
      <c r="P160" s="1977">
        <v>21.5</v>
      </c>
      <c r="Q160" s="1980">
        <v>0</v>
      </c>
      <c r="R160" s="1980">
        <v>0</v>
      </c>
      <c r="S160" s="1980">
        <v>0</v>
      </c>
      <c r="T160" s="1980">
        <v>0</v>
      </c>
      <c r="U160" s="2036">
        <v>0</v>
      </c>
    </row>
    <row r="161" spans="2:21" hidden="1" outlineLevel="1">
      <c r="B161" s="1050">
        <v>14</v>
      </c>
      <c r="C161" s="1050" t="str">
        <f t="shared" si="23"/>
        <v>-</v>
      </c>
      <c r="D161" s="1051">
        <f t="shared" si="24"/>
        <v>3</v>
      </c>
      <c r="E161" s="1051" t="str">
        <f>IF(COUNTIF(E$147:E160,F161)&gt;0,"",F161)</f>
        <v/>
      </c>
      <c r="F161" s="1051" t="str">
        <f t="shared" si="25"/>
        <v>Ecran public 2m², France continentale, Base Carbone</v>
      </c>
      <c r="G161" s="1055" t="str">
        <f t="shared" si="26"/>
        <v>Ecran public 2m², France continentale, Base Carbone; kgCO2e/unité, Assemblage</v>
      </c>
      <c r="I161" s="2018" t="s">
        <v>4128</v>
      </c>
      <c r="J161" s="1135" t="s">
        <v>1994</v>
      </c>
      <c r="K161" s="1135" t="s">
        <v>1567</v>
      </c>
      <c r="L161" s="1135" t="s">
        <v>1571</v>
      </c>
      <c r="M161" s="2062">
        <v>0.5</v>
      </c>
      <c r="N161" s="1135" t="s">
        <v>3137</v>
      </c>
      <c r="O161" s="2046">
        <v>9.33</v>
      </c>
      <c r="P161" s="1977">
        <v>9.33</v>
      </c>
      <c r="Q161" s="1980">
        <v>0</v>
      </c>
      <c r="R161" s="1980">
        <v>0</v>
      </c>
      <c r="S161" s="1980">
        <v>0</v>
      </c>
      <c r="T161" s="1980">
        <v>0</v>
      </c>
      <c r="U161" s="2036">
        <v>0</v>
      </c>
    </row>
    <row r="162" spans="2:21" hidden="1" outlineLevel="1">
      <c r="B162" s="1050">
        <v>15</v>
      </c>
      <c r="C162" s="1050" t="str">
        <f t="shared" si="23"/>
        <v>-</v>
      </c>
      <c r="D162" s="1051">
        <f t="shared" si="24"/>
        <v>3</v>
      </c>
      <c r="E162" s="1051" t="str">
        <f>IF(COUNTIF(E$147:E161,F162)&gt;0,"",F162)</f>
        <v/>
      </c>
      <c r="F162" s="1051" t="str">
        <f t="shared" si="25"/>
        <v>Ecran public 2m², France continentale, Base Carbone</v>
      </c>
      <c r="G162" s="1055" t="str">
        <f t="shared" si="26"/>
        <v>Ecran public 2m², France continentale, Base Carbone; kgCO2e/unité, Distribution</v>
      </c>
      <c r="I162" s="2018" t="s">
        <v>4128</v>
      </c>
      <c r="J162" s="1135" t="s">
        <v>1994</v>
      </c>
      <c r="K162" s="1135" t="s">
        <v>1567</v>
      </c>
      <c r="L162" s="1135" t="s">
        <v>1571</v>
      </c>
      <c r="M162" s="2062">
        <v>0.5</v>
      </c>
      <c r="N162" s="1135" t="s">
        <v>3138</v>
      </c>
      <c r="O162" s="2046">
        <v>44.4</v>
      </c>
      <c r="P162" s="1977">
        <v>44.4</v>
      </c>
      <c r="Q162" s="1980">
        <v>0</v>
      </c>
      <c r="R162" s="1980">
        <v>0</v>
      </c>
      <c r="S162" s="1980">
        <v>0</v>
      </c>
      <c r="T162" s="1980">
        <v>0</v>
      </c>
      <c r="U162" s="2036">
        <v>0</v>
      </c>
    </row>
    <row r="163" spans="2:21" hidden="1" outlineLevel="1">
      <c r="B163" s="1050">
        <v>16</v>
      </c>
      <c r="C163" s="1050" t="str">
        <f t="shared" si="23"/>
        <v>-</v>
      </c>
      <c r="D163" s="1051">
        <f t="shared" si="24"/>
        <v>4</v>
      </c>
      <c r="E163" s="1051" t="str">
        <f>IF(COUNTIF(E$147:E162,F163)&gt;0,"",F163)</f>
        <v>Ecran public 2m² (sans casing), France continentale, Base Carbone</v>
      </c>
      <c r="F163" s="1051" t="str">
        <f t="shared" si="25"/>
        <v>Ecran public 2m² (sans casing), France continentale, Base Carbone</v>
      </c>
      <c r="G163" s="1055" t="str">
        <f t="shared" si="26"/>
        <v>Ecran public 2m² (sans casing), France continentale, Base Carbone; kgCO2e/unité, Matières premières</v>
      </c>
      <c r="I163" s="2018" t="s">
        <v>4129</v>
      </c>
      <c r="J163" s="1135" t="s">
        <v>1994</v>
      </c>
      <c r="K163" s="1135" t="s">
        <v>1567</v>
      </c>
      <c r="L163" s="1135" t="s">
        <v>1571</v>
      </c>
      <c r="M163" s="2062">
        <v>0.5</v>
      </c>
      <c r="N163" s="1135" t="s">
        <v>3135</v>
      </c>
      <c r="O163" s="2046">
        <v>994</v>
      </c>
      <c r="P163" s="1977">
        <v>994</v>
      </c>
      <c r="Q163" s="1980">
        <v>0</v>
      </c>
      <c r="R163" s="1980">
        <v>0</v>
      </c>
      <c r="S163" s="1980">
        <v>0</v>
      </c>
      <c r="T163" s="1980">
        <v>0</v>
      </c>
      <c r="U163" s="2036">
        <v>0</v>
      </c>
    </row>
    <row r="164" spans="2:21" hidden="1" outlineLevel="1">
      <c r="B164" s="1050">
        <v>17</v>
      </c>
      <c r="C164" s="1050" t="str">
        <f t="shared" si="23"/>
        <v>-</v>
      </c>
      <c r="D164" s="1051">
        <f t="shared" si="24"/>
        <v>4</v>
      </c>
      <c r="E164" s="1051" t="str">
        <f>IF(COUNTIF(E$147:E163,F164)&gt;0,"",F164)</f>
        <v/>
      </c>
      <c r="F164" s="1051" t="str">
        <f t="shared" si="25"/>
        <v>Ecran public 2m² (sans casing), France continentale, Base Carbone</v>
      </c>
      <c r="G164" s="1055" t="str">
        <f t="shared" si="26"/>
        <v>Ecran public 2m² (sans casing), France continentale, Base Carbone; kgCO2e/unité, Approvisionnement</v>
      </c>
      <c r="I164" s="2018" t="s">
        <v>4129</v>
      </c>
      <c r="J164" s="1135" t="s">
        <v>1994</v>
      </c>
      <c r="K164" s="1135" t="s">
        <v>1567</v>
      </c>
      <c r="L164" s="1135" t="s">
        <v>1571</v>
      </c>
      <c r="M164" s="2062">
        <v>0.5</v>
      </c>
      <c r="N164" s="1135" t="s">
        <v>3136</v>
      </c>
      <c r="O164" s="2046">
        <v>32.6</v>
      </c>
      <c r="P164" s="1977">
        <v>32.6</v>
      </c>
      <c r="Q164" s="1980">
        <v>0</v>
      </c>
      <c r="R164" s="1980">
        <v>0</v>
      </c>
      <c r="S164" s="1980">
        <v>0</v>
      </c>
      <c r="T164" s="1980">
        <v>0</v>
      </c>
      <c r="U164" s="2036">
        <v>0</v>
      </c>
    </row>
    <row r="165" spans="2:21" hidden="1" outlineLevel="1">
      <c r="B165" s="1050">
        <v>18</v>
      </c>
      <c r="C165" s="1050" t="str">
        <f t="shared" si="23"/>
        <v>-</v>
      </c>
      <c r="D165" s="1051">
        <f t="shared" si="24"/>
        <v>4</v>
      </c>
      <c r="E165" s="1051" t="str">
        <f>IF(COUNTIF(E$147:E164,F165)&gt;0,"",F165)</f>
        <v/>
      </c>
      <c r="F165" s="1051" t="str">
        <f t="shared" si="25"/>
        <v>Ecran public 2m² (sans casing), France continentale, Base Carbone</v>
      </c>
      <c r="G165" s="1055" t="str">
        <f t="shared" si="26"/>
        <v>Ecran public 2m² (sans casing), France continentale, Base Carbone; kgCO2e/unité, Mise en forme</v>
      </c>
      <c r="I165" s="2018" t="s">
        <v>4129</v>
      </c>
      <c r="J165" s="1135" t="s">
        <v>1994</v>
      </c>
      <c r="K165" s="1135" t="s">
        <v>1567</v>
      </c>
      <c r="L165" s="1135" t="s">
        <v>1571</v>
      </c>
      <c r="M165" s="2062">
        <v>0.5</v>
      </c>
      <c r="N165" s="1135" t="s">
        <v>3141</v>
      </c>
      <c r="O165" s="2046">
        <v>17.2</v>
      </c>
      <c r="P165" s="1977">
        <v>17.2</v>
      </c>
      <c r="Q165" s="1980">
        <v>0</v>
      </c>
      <c r="R165" s="1980">
        <v>0</v>
      </c>
      <c r="S165" s="1980">
        <v>0</v>
      </c>
      <c r="T165" s="1980">
        <v>0</v>
      </c>
      <c r="U165" s="2036">
        <v>0</v>
      </c>
    </row>
    <row r="166" spans="2:21" hidden="1" outlineLevel="1">
      <c r="B166" s="1050">
        <v>19</v>
      </c>
      <c r="C166" s="1050" t="str">
        <f t="shared" si="23"/>
        <v>-</v>
      </c>
      <c r="D166" s="1051">
        <f t="shared" si="24"/>
        <v>4</v>
      </c>
      <c r="E166" s="1051" t="str">
        <f>IF(COUNTIF(E$147:E165,F166)&gt;0,"",F166)</f>
        <v/>
      </c>
      <c r="F166" s="1051" t="str">
        <f t="shared" si="25"/>
        <v>Ecran public 2m² (sans casing), France continentale, Base Carbone</v>
      </c>
      <c r="G166" s="1055" t="str">
        <f t="shared" si="26"/>
        <v>Ecran public 2m² (sans casing), France continentale, Base Carbone; kgCO2e/unité, Assemblage</v>
      </c>
      <c r="I166" s="2018" t="s">
        <v>4129</v>
      </c>
      <c r="J166" s="1135" t="s">
        <v>1994</v>
      </c>
      <c r="K166" s="1135" t="s">
        <v>1567</v>
      </c>
      <c r="L166" s="1135" t="s">
        <v>1571</v>
      </c>
      <c r="M166" s="2062">
        <v>0.5</v>
      </c>
      <c r="N166" s="1135" t="s">
        <v>3137</v>
      </c>
      <c r="O166" s="2046">
        <v>9.33</v>
      </c>
      <c r="P166" s="1977">
        <v>9.33</v>
      </c>
      <c r="Q166" s="1980">
        <v>0</v>
      </c>
      <c r="R166" s="1980">
        <v>0</v>
      </c>
      <c r="S166" s="1980">
        <v>0</v>
      </c>
      <c r="T166" s="1980">
        <v>0</v>
      </c>
      <c r="U166" s="2036">
        <v>0</v>
      </c>
    </row>
    <row r="167" spans="2:21" hidden="1" outlineLevel="1">
      <c r="B167" s="1050">
        <v>20</v>
      </c>
      <c r="C167" s="1050" t="str">
        <f t="shared" si="23"/>
        <v>-</v>
      </c>
      <c r="D167" s="1051">
        <f t="shared" si="24"/>
        <v>4</v>
      </c>
      <c r="E167" s="1051" t="str">
        <f>IF(COUNTIF(E$147:E166,F167)&gt;0,"",F167)</f>
        <v/>
      </c>
      <c r="F167" s="1051" t="str">
        <f t="shared" si="25"/>
        <v>Ecran public 2m² (sans casing), France continentale, Base Carbone</v>
      </c>
      <c r="G167" s="1055" t="str">
        <f t="shared" si="26"/>
        <v>Ecran public 2m² (sans casing), France continentale, Base Carbone; kgCO2e/unité, Distribution</v>
      </c>
      <c r="I167" s="2018" t="s">
        <v>4129</v>
      </c>
      <c r="J167" s="1135" t="s">
        <v>1994</v>
      </c>
      <c r="K167" s="1135" t="s">
        <v>1567</v>
      </c>
      <c r="L167" s="1135" t="s">
        <v>1571</v>
      </c>
      <c r="M167" s="2062">
        <v>0.5</v>
      </c>
      <c r="N167" s="1135" t="s">
        <v>3138</v>
      </c>
      <c r="O167" s="2046">
        <v>30.2</v>
      </c>
      <c r="P167" s="1977">
        <v>30.2</v>
      </c>
      <c r="Q167" s="1980">
        <v>0</v>
      </c>
      <c r="R167" s="1980">
        <v>0</v>
      </c>
      <c r="S167" s="1980">
        <v>0</v>
      </c>
      <c r="T167" s="1980">
        <v>0</v>
      </c>
      <c r="U167" s="2036">
        <v>0</v>
      </c>
    </row>
    <row r="168" spans="2:21" hidden="1" outlineLevel="1">
      <c r="B168" s="1045"/>
      <c r="C168" s="1045"/>
      <c r="D168" s="1051">
        <f t="shared" si="24"/>
        <v>5</v>
      </c>
      <c r="E168" s="1051" t="str">
        <f>IF(COUNTIF(E$147:E167,F168)&gt;0,"",F168)</f>
        <v>Imprimante jet d'encre, France continentale, Base Carbone</v>
      </c>
      <c r="F168" s="1051" t="str">
        <f t="shared" si="25"/>
        <v>Imprimante jet d'encre, France continentale, Base Carbone</v>
      </c>
      <c r="G168" s="1055" t="str">
        <f t="shared" si="26"/>
        <v>Imprimante jet d'encre, France continentale, Base Carbone; kgCO2e/unité, Matières premières</v>
      </c>
      <c r="I168" s="1100" t="s">
        <v>3180</v>
      </c>
      <c r="J168" s="1048" t="s">
        <v>1994</v>
      </c>
      <c r="K168" s="1119" t="s">
        <v>1567</v>
      </c>
      <c r="L168" s="1119" t="s">
        <v>1571</v>
      </c>
      <c r="M168" s="1033">
        <v>0.5</v>
      </c>
      <c r="N168" s="1048" t="s">
        <v>3135</v>
      </c>
      <c r="O168" s="1628">
        <v>61.2</v>
      </c>
      <c r="P168" s="2047">
        <v>61.2</v>
      </c>
      <c r="Q168" s="2047">
        <v>0</v>
      </c>
      <c r="R168" s="2047">
        <v>0</v>
      </c>
      <c r="S168" s="2047">
        <v>0</v>
      </c>
      <c r="T168" s="2047">
        <v>0</v>
      </c>
      <c r="U168" s="2053">
        <v>0</v>
      </c>
    </row>
    <row r="169" spans="2:21" hidden="1" outlineLevel="1">
      <c r="B169" s="1045"/>
      <c r="C169" s="1045"/>
      <c r="D169" s="1051">
        <f t="shared" si="24"/>
        <v>5</v>
      </c>
      <c r="E169" s="1051" t="str">
        <f>IF(COUNTIF(E$147:E168,F169)&gt;0,"",F169)</f>
        <v/>
      </c>
      <c r="F169" s="1051" t="str">
        <f t="shared" si="25"/>
        <v>Imprimante jet d'encre, France continentale, Base Carbone</v>
      </c>
      <c r="G169" s="1055" t="str">
        <f t="shared" si="26"/>
        <v>Imprimante jet d'encre, France continentale, Base Carbone; kgCO2e/unité, Approvisionnement</v>
      </c>
      <c r="I169" s="1100" t="s">
        <v>3180</v>
      </c>
      <c r="J169" s="1135" t="s">
        <v>1994</v>
      </c>
      <c r="K169" s="1119" t="s">
        <v>1567</v>
      </c>
      <c r="L169" s="1119" t="s">
        <v>1571</v>
      </c>
      <c r="M169" s="2043">
        <v>0.5</v>
      </c>
      <c r="N169" s="1048" t="s">
        <v>3136</v>
      </c>
      <c r="O169" s="1192">
        <v>6.44</v>
      </c>
      <c r="P169" s="2055">
        <v>6.44</v>
      </c>
      <c r="Q169" s="2055">
        <v>0</v>
      </c>
      <c r="R169" s="2055">
        <v>0</v>
      </c>
      <c r="S169" s="2055">
        <v>0</v>
      </c>
      <c r="T169" s="2055">
        <v>0</v>
      </c>
      <c r="U169" s="2057">
        <v>0</v>
      </c>
    </row>
    <row r="170" spans="2:21" hidden="1" outlineLevel="1">
      <c r="B170" s="1045"/>
      <c r="C170" s="1045"/>
      <c r="D170" s="1051">
        <f t="shared" si="24"/>
        <v>5</v>
      </c>
      <c r="E170" s="1051" t="str">
        <f>IF(COUNTIF(E$147:E169,F170)&gt;0,"",F170)</f>
        <v/>
      </c>
      <c r="F170" s="1051" t="str">
        <f t="shared" si="25"/>
        <v>Imprimante jet d'encre, France continentale, Base Carbone</v>
      </c>
      <c r="G170" s="1055" t="str">
        <f t="shared" si="26"/>
        <v>Imprimante jet d'encre, France continentale, Base Carbone; kgCO2e/unité, Mise en forme</v>
      </c>
      <c r="I170" s="1100" t="s">
        <v>3180</v>
      </c>
      <c r="J170" s="1135" t="s">
        <v>1994</v>
      </c>
      <c r="K170" s="1119" t="s">
        <v>1567</v>
      </c>
      <c r="L170" s="1119" t="s">
        <v>1571</v>
      </c>
      <c r="M170" s="2061">
        <v>0.5</v>
      </c>
      <c r="N170" s="1048" t="s">
        <v>3141</v>
      </c>
      <c r="O170" s="1192">
        <v>5.24</v>
      </c>
      <c r="P170" s="2055">
        <v>5.24</v>
      </c>
      <c r="Q170" s="2055">
        <v>0</v>
      </c>
      <c r="R170" s="2055">
        <v>0</v>
      </c>
      <c r="S170" s="2055">
        <v>0</v>
      </c>
      <c r="T170" s="2055">
        <v>0</v>
      </c>
      <c r="U170" s="2057">
        <v>0</v>
      </c>
    </row>
    <row r="171" spans="2:21" hidden="1" outlineLevel="1">
      <c r="B171" s="1045"/>
      <c r="C171" s="1045"/>
      <c r="D171" s="1051">
        <f t="shared" si="24"/>
        <v>5</v>
      </c>
      <c r="E171" s="1051" t="str">
        <f>IF(COUNTIF(E$147:E170,F171)&gt;0,"",F171)</f>
        <v/>
      </c>
      <c r="F171" s="1051" t="str">
        <f t="shared" si="25"/>
        <v>Imprimante jet d'encre, France continentale, Base Carbone</v>
      </c>
      <c r="G171" s="1055" t="str">
        <f t="shared" si="26"/>
        <v>Imprimante jet d'encre, France continentale, Base Carbone; kgCO2e/unité, Assemblage</v>
      </c>
      <c r="I171" s="1100" t="s">
        <v>3180</v>
      </c>
      <c r="J171" s="1135" t="s">
        <v>1994</v>
      </c>
      <c r="K171" s="1119" t="s">
        <v>1567</v>
      </c>
      <c r="L171" s="1119" t="s">
        <v>1571</v>
      </c>
      <c r="M171" s="2061">
        <v>0.5</v>
      </c>
      <c r="N171" s="1048" t="s">
        <v>3137</v>
      </c>
      <c r="O171" s="1192">
        <v>3.11</v>
      </c>
      <c r="P171" s="2055">
        <v>3.11</v>
      </c>
      <c r="Q171" s="2055">
        <v>0</v>
      </c>
      <c r="R171" s="2055">
        <v>0</v>
      </c>
      <c r="S171" s="2055">
        <v>0</v>
      </c>
      <c r="T171" s="2055">
        <v>0</v>
      </c>
      <c r="U171" s="2057">
        <v>0</v>
      </c>
    </row>
    <row r="172" spans="2:21" hidden="1" outlineLevel="1">
      <c r="B172" s="1045"/>
      <c r="C172" s="1045"/>
      <c r="D172" s="1051">
        <f t="shared" si="24"/>
        <v>5</v>
      </c>
      <c r="E172" s="1051" t="str">
        <f>IF(COUNTIF(E$147:E171,F172)&gt;0,"",F172)</f>
        <v/>
      </c>
      <c r="F172" s="1051" t="str">
        <f t="shared" si="25"/>
        <v>Imprimante jet d'encre, France continentale, Base Carbone</v>
      </c>
      <c r="G172" s="1055" t="str">
        <f t="shared" si="26"/>
        <v>Imprimante jet d'encre, France continentale, Base Carbone; kgCO2e/unité, Distribution</v>
      </c>
      <c r="I172" s="1100" t="s">
        <v>3180</v>
      </c>
      <c r="J172" s="1135" t="s">
        <v>1994</v>
      </c>
      <c r="K172" s="1119" t="s">
        <v>1567</v>
      </c>
      <c r="L172" s="1119" t="s">
        <v>1571</v>
      </c>
      <c r="M172" s="2061">
        <v>0.5</v>
      </c>
      <c r="N172" s="1048" t="s">
        <v>3138</v>
      </c>
      <c r="O172" s="1192">
        <v>12.2</v>
      </c>
      <c r="P172" s="2055">
        <v>12.2</v>
      </c>
      <c r="Q172" s="2055">
        <v>0</v>
      </c>
      <c r="R172" s="2055">
        <v>0</v>
      </c>
      <c r="S172" s="2055">
        <v>0</v>
      </c>
      <c r="T172" s="2055">
        <v>0</v>
      </c>
      <c r="U172" s="2057">
        <v>0</v>
      </c>
    </row>
    <row r="173" spans="2:21" hidden="1" outlineLevel="1">
      <c r="B173" s="1045"/>
      <c r="C173" s="1045"/>
      <c r="D173" s="1051">
        <f t="shared" si="24"/>
        <v>6</v>
      </c>
      <c r="E173" s="1051" t="str">
        <f>IF(COUNTIF(E$147:E172,F173)&gt;0,"",F173)</f>
        <v>Imprimante laser, France continentale, Base Carbone</v>
      </c>
      <c r="F173" s="1051" t="str">
        <f t="shared" si="25"/>
        <v>Imprimante laser, France continentale, Base Carbone</v>
      </c>
      <c r="G173" s="1055" t="str">
        <f t="shared" si="26"/>
        <v>Imprimante laser, France continentale, Base Carbone; kgCO2e/unité, Matières premières</v>
      </c>
      <c r="I173" s="1100" t="s">
        <v>3181</v>
      </c>
      <c r="J173" s="1135" t="s">
        <v>1994</v>
      </c>
      <c r="K173" s="1119" t="s">
        <v>1567</v>
      </c>
      <c r="L173" s="1119" t="s">
        <v>1571</v>
      </c>
      <c r="M173" s="2061">
        <v>0.5</v>
      </c>
      <c r="N173" s="1048" t="s">
        <v>3135</v>
      </c>
      <c r="O173" s="1192">
        <v>139</v>
      </c>
      <c r="P173" s="2055">
        <v>139</v>
      </c>
      <c r="Q173" s="2055">
        <v>0</v>
      </c>
      <c r="R173" s="2055">
        <v>0</v>
      </c>
      <c r="S173" s="2055">
        <v>0</v>
      </c>
      <c r="T173" s="2055">
        <v>0</v>
      </c>
      <c r="U173" s="2057">
        <v>0</v>
      </c>
    </row>
    <row r="174" spans="2:21" hidden="1" outlineLevel="1">
      <c r="B174" s="1045"/>
      <c r="C174" s="1045"/>
      <c r="D174" s="1051">
        <f t="shared" si="24"/>
        <v>6</v>
      </c>
      <c r="E174" s="1051" t="str">
        <f>IF(COUNTIF(E$147:E173,F174)&gt;0,"",F174)</f>
        <v/>
      </c>
      <c r="F174" s="1051" t="str">
        <f t="shared" si="25"/>
        <v>Imprimante laser, France continentale, Base Carbone</v>
      </c>
      <c r="G174" s="1055" t="str">
        <f t="shared" si="26"/>
        <v>Imprimante laser, France continentale, Base Carbone; kgCO2e/unité, Approvisionnement</v>
      </c>
      <c r="I174" s="1100" t="s">
        <v>3181</v>
      </c>
      <c r="J174" s="1135" t="s">
        <v>1994</v>
      </c>
      <c r="K174" s="1119" t="s">
        <v>1567</v>
      </c>
      <c r="L174" s="1119" t="s">
        <v>1571</v>
      </c>
      <c r="M174" s="2061">
        <v>0.5</v>
      </c>
      <c r="N174" s="1048" t="s">
        <v>3136</v>
      </c>
      <c r="O174" s="1192">
        <v>13.3</v>
      </c>
      <c r="P174" s="2055">
        <v>13.3</v>
      </c>
      <c r="Q174" s="2055">
        <v>0</v>
      </c>
      <c r="R174" s="2055">
        <v>0</v>
      </c>
      <c r="S174" s="2055">
        <v>0</v>
      </c>
      <c r="T174" s="2055">
        <v>0</v>
      </c>
      <c r="U174" s="2057">
        <v>0</v>
      </c>
    </row>
    <row r="175" spans="2:21" hidden="1" outlineLevel="1">
      <c r="B175" s="1045"/>
      <c r="C175" s="1045"/>
      <c r="D175" s="1051">
        <f t="shared" si="24"/>
        <v>6</v>
      </c>
      <c r="E175" s="1051" t="str">
        <f>IF(COUNTIF(E$147:E174,F175)&gt;0,"",F175)</f>
        <v/>
      </c>
      <c r="F175" s="1051" t="str">
        <f t="shared" si="25"/>
        <v>Imprimante laser, France continentale, Base Carbone</v>
      </c>
      <c r="G175" s="1055" t="str">
        <f t="shared" si="26"/>
        <v>Imprimante laser, France continentale, Base Carbone; kgCO2e/unité, Mise en forme</v>
      </c>
      <c r="I175" s="1100" t="s">
        <v>3181</v>
      </c>
      <c r="J175" s="1135" t="s">
        <v>1994</v>
      </c>
      <c r="K175" s="1119" t="s">
        <v>1567</v>
      </c>
      <c r="L175" s="1119" t="s">
        <v>1571</v>
      </c>
      <c r="M175" s="2061">
        <v>0.5</v>
      </c>
      <c r="N175" s="1048" t="s">
        <v>3141</v>
      </c>
      <c r="O175" s="1192">
        <v>13.9</v>
      </c>
      <c r="P175" s="2055">
        <v>13.9</v>
      </c>
      <c r="Q175" s="2055">
        <v>0</v>
      </c>
      <c r="R175" s="2055">
        <v>0</v>
      </c>
      <c r="S175" s="2055">
        <v>0</v>
      </c>
      <c r="T175" s="2055">
        <v>0</v>
      </c>
      <c r="U175" s="2057">
        <v>0</v>
      </c>
    </row>
    <row r="176" spans="2:21" hidden="1" outlineLevel="1">
      <c r="B176" s="1045"/>
      <c r="C176" s="1045"/>
      <c r="D176" s="1051">
        <f t="shared" si="24"/>
        <v>6</v>
      </c>
      <c r="E176" s="1051" t="str">
        <f>IF(COUNTIF(E$147:E175,F176)&gt;0,"",F176)</f>
        <v/>
      </c>
      <c r="F176" s="1051" t="str">
        <f t="shared" si="25"/>
        <v>Imprimante laser, France continentale, Base Carbone</v>
      </c>
      <c r="G176" s="1055" t="str">
        <f t="shared" si="26"/>
        <v>Imprimante laser, France continentale, Base Carbone; kgCO2e/unité, Assemblage</v>
      </c>
      <c r="I176" s="1100" t="s">
        <v>3181</v>
      </c>
      <c r="J176" s="1135" t="s">
        <v>1994</v>
      </c>
      <c r="K176" s="1119" t="s">
        <v>1567</v>
      </c>
      <c r="L176" s="1119" t="s">
        <v>1571</v>
      </c>
      <c r="M176" s="2061">
        <v>0.5</v>
      </c>
      <c r="N176" s="1048" t="s">
        <v>3137</v>
      </c>
      <c r="O176" s="1192">
        <v>6.22</v>
      </c>
      <c r="P176" s="2055">
        <v>6.22</v>
      </c>
      <c r="Q176" s="2055">
        <v>0</v>
      </c>
      <c r="R176" s="2055">
        <v>0</v>
      </c>
      <c r="S176" s="2055">
        <v>0</v>
      </c>
      <c r="T176" s="2055">
        <v>0</v>
      </c>
      <c r="U176" s="2057">
        <v>0</v>
      </c>
    </row>
    <row r="177" spans="2:21" hidden="1" outlineLevel="1">
      <c r="B177" s="1045"/>
      <c r="C177" s="1045"/>
      <c r="D177" s="1051">
        <f t="shared" si="24"/>
        <v>6</v>
      </c>
      <c r="E177" s="1051" t="str">
        <f>IF(COUNTIF(E$147:E176,F177)&gt;0,"",F177)</f>
        <v/>
      </c>
      <c r="F177" s="1051" t="str">
        <f t="shared" si="25"/>
        <v>Imprimante laser, France continentale, Base Carbone</v>
      </c>
      <c r="G177" s="1055" t="str">
        <f t="shared" si="26"/>
        <v>Imprimante laser, France continentale, Base Carbone; kgCO2e/unité, Distribution</v>
      </c>
      <c r="I177" s="1100" t="s">
        <v>3181</v>
      </c>
      <c r="J177" s="1135" t="s">
        <v>1994</v>
      </c>
      <c r="K177" s="1119" t="s">
        <v>1567</v>
      </c>
      <c r="L177" s="1119" t="s">
        <v>1571</v>
      </c>
      <c r="M177" s="2061">
        <v>0.5</v>
      </c>
      <c r="N177" s="1048" t="s">
        <v>3138</v>
      </c>
      <c r="O177" s="1192">
        <v>24.3</v>
      </c>
      <c r="P177" s="2055">
        <v>24.3</v>
      </c>
      <c r="Q177" s="2055">
        <v>0</v>
      </c>
      <c r="R177" s="2055">
        <v>0</v>
      </c>
      <c r="S177" s="2055">
        <v>0</v>
      </c>
      <c r="T177" s="2055">
        <v>0</v>
      </c>
      <c r="U177" s="2057">
        <v>0</v>
      </c>
    </row>
    <row r="178" spans="2:21" hidden="1" outlineLevel="1">
      <c r="B178" s="1045"/>
      <c r="C178" s="1045"/>
      <c r="D178" s="1051">
        <f t="shared" si="24"/>
        <v>7</v>
      </c>
      <c r="E178" s="1051" t="str">
        <f>IF(COUNTIF(E$147:E177,F178)&gt;0,"",F178)</f>
        <v>Imprimante multi-fonction, France continentale, Base Carbone</v>
      </c>
      <c r="F178" s="1051" t="str">
        <f t="shared" si="25"/>
        <v>Imprimante multi-fonction, France continentale, Base Carbone</v>
      </c>
      <c r="G178" s="1055" t="str">
        <f t="shared" si="26"/>
        <v>Imprimante multi-fonction, France continentale, Base Carbone; kgCO2e/unité, Matières premières</v>
      </c>
      <c r="I178" s="1100" t="s">
        <v>3182</v>
      </c>
      <c r="J178" s="1135" t="s">
        <v>1994</v>
      </c>
      <c r="K178" s="1119" t="s">
        <v>1567</v>
      </c>
      <c r="L178" s="1119" t="s">
        <v>1571</v>
      </c>
      <c r="M178" s="2061">
        <v>0.5</v>
      </c>
      <c r="N178" s="1048" t="s">
        <v>3135</v>
      </c>
      <c r="O178" s="1192">
        <v>66.900000000000006</v>
      </c>
      <c r="P178" s="2055">
        <v>66.900000000000006</v>
      </c>
      <c r="Q178" s="2055">
        <v>0</v>
      </c>
      <c r="R178" s="2055">
        <v>0</v>
      </c>
      <c r="S178" s="2055">
        <v>0</v>
      </c>
      <c r="T178" s="2055">
        <v>0</v>
      </c>
      <c r="U178" s="2057">
        <v>0</v>
      </c>
    </row>
    <row r="179" spans="2:21" hidden="1" outlineLevel="1">
      <c r="B179" s="1045"/>
      <c r="C179" s="1045"/>
      <c r="D179" s="1051">
        <f t="shared" si="24"/>
        <v>7</v>
      </c>
      <c r="E179" s="1051" t="str">
        <f>IF(COUNTIF(E$147:E178,F179)&gt;0,"",F179)</f>
        <v/>
      </c>
      <c r="F179" s="1051" t="str">
        <f t="shared" si="25"/>
        <v>Imprimante multi-fonction, France continentale, Base Carbone</v>
      </c>
      <c r="G179" s="1055" t="str">
        <f t="shared" si="26"/>
        <v>Imprimante multi-fonction, France continentale, Base Carbone; kgCO2e/unité, Approvisionnement</v>
      </c>
      <c r="I179" s="1100" t="s">
        <v>3182</v>
      </c>
      <c r="J179" s="1135" t="s">
        <v>1994</v>
      </c>
      <c r="K179" s="1119" t="s">
        <v>1567</v>
      </c>
      <c r="L179" s="1119" t="s">
        <v>1571</v>
      </c>
      <c r="M179" s="2061">
        <v>0.5</v>
      </c>
      <c r="N179" s="1048" t="s">
        <v>3136</v>
      </c>
      <c r="O179" s="1192">
        <v>4.95</v>
      </c>
      <c r="P179" s="2055">
        <v>4.95</v>
      </c>
      <c r="Q179" s="2055">
        <v>0</v>
      </c>
      <c r="R179" s="2055">
        <v>0</v>
      </c>
      <c r="S179" s="2055">
        <v>0</v>
      </c>
      <c r="T179" s="2055">
        <v>0</v>
      </c>
      <c r="U179" s="2057">
        <v>0</v>
      </c>
    </row>
    <row r="180" spans="2:21" hidden="1" outlineLevel="1">
      <c r="B180" s="1045"/>
      <c r="C180" s="1045"/>
      <c r="D180" s="1051">
        <f t="shared" si="24"/>
        <v>7</v>
      </c>
      <c r="E180" s="1051" t="str">
        <f>IF(COUNTIF(E$147:E179,F180)&gt;0,"",F180)</f>
        <v/>
      </c>
      <c r="F180" s="1051" t="str">
        <f t="shared" si="25"/>
        <v>Imprimante multi-fonction, France continentale, Base Carbone</v>
      </c>
      <c r="G180" s="1055" t="str">
        <f t="shared" si="26"/>
        <v>Imprimante multi-fonction, France continentale, Base Carbone; kgCO2e/unité, Mise en forme</v>
      </c>
      <c r="I180" s="1100" t="s">
        <v>3182</v>
      </c>
      <c r="J180" s="1135" t="s">
        <v>1994</v>
      </c>
      <c r="K180" s="1119" t="s">
        <v>1567</v>
      </c>
      <c r="L180" s="1119" t="s">
        <v>1571</v>
      </c>
      <c r="M180" s="2061">
        <v>0.5</v>
      </c>
      <c r="N180" s="1048" t="s">
        <v>3141</v>
      </c>
      <c r="O180" s="1192">
        <v>4.4400000000000004</v>
      </c>
      <c r="P180" s="2055">
        <v>4.4400000000000004</v>
      </c>
      <c r="Q180" s="2055">
        <v>0</v>
      </c>
      <c r="R180" s="2055">
        <v>0</v>
      </c>
      <c r="S180" s="2055">
        <v>0</v>
      </c>
      <c r="T180" s="2055">
        <v>0</v>
      </c>
      <c r="U180" s="2057">
        <v>0</v>
      </c>
    </row>
    <row r="181" spans="2:21" hidden="1" outlineLevel="1">
      <c r="B181" s="1045"/>
      <c r="C181" s="1045"/>
      <c r="D181" s="1051">
        <f t="shared" si="24"/>
        <v>7</v>
      </c>
      <c r="E181" s="1051" t="str">
        <f>IF(COUNTIF(E$147:E180,F181)&gt;0,"",F181)</f>
        <v/>
      </c>
      <c r="F181" s="1051" t="str">
        <f t="shared" si="25"/>
        <v>Imprimante multi-fonction, France continentale, Base Carbone</v>
      </c>
      <c r="G181" s="1055" t="str">
        <f t="shared" si="26"/>
        <v>Imprimante multi-fonction, France continentale, Base Carbone; kgCO2e/unité, Assemblage</v>
      </c>
      <c r="I181" s="1100" t="s">
        <v>3182</v>
      </c>
      <c r="J181" s="1135" t="s">
        <v>1994</v>
      </c>
      <c r="K181" s="1119" t="s">
        <v>1567</v>
      </c>
      <c r="L181" s="1119" t="s">
        <v>1571</v>
      </c>
      <c r="M181" s="2061">
        <v>0.5</v>
      </c>
      <c r="N181" s="1048" t="s">
        <v>3137</v>
      </c>
      <c r="O181" s="1192">
        <v>2.31</v>
      </c>
      <c r="P181" s="2055">
        <v>2.31</v>
      </c>
      <c r="Q181" s="2055">
        <v>0</v>
      </c>
      <c r="R181" s="2055">
        <v>0</v>
      </c>
      <c r="S181" s="2055">
        <v>0</v>
      </c>
      <c r="T181" s="2055">
        <v>0</v>
      </c>
      <c r="U181" s="2057">
        <v>0</v>
      </c>
    </row>
    <row r="182" spans="2:21" hidden="1" outlineLevel="1">
      <c r="B182" s="1045"/>
      <c r="C182" s="1045"/>
      <c r="D182" s="1051">
        <f t="shared" si="24"/>
        <v>7</v>
      </c>
      <c r="E182" s="1051" t="str">
        <f>IF(COUNTIF(E$147:E181,F182)&gt;0,"",F182)</f>
        <v/>
      </c>
      <c r="F182" s="1051" t="str">
        <f t="shared" si="25"/>
        <v>Imprimante multi-fonction, France continentale, Base Carbone</v>
      </c>
      <c r="G182" s="1055" t="str">
        <f t="shared" si="26"/>
        <v>Imprimante multi-fonction, France continentale, Base Carbone; kgCO2e/unité, Distribution</v>
      </c>
      <c r="I182" s="1100" t="s">
        <v>3182</v>
      </c>
      <c r="J182" s="1135" t="s">
        <v>1994</v>
      </c>
      <c r="K182" s="1119" t="s">
        <v>1567</v>
      </c>
      <c r="L182" s="1119" t="s">
        <v>1571</v>
      </c>
      <c r="M182" s="2061">
        <v>0.5</v>
      </c>
      <c r="N182" s="1048" t="s">
        <v>3138</v>
      </c>
      <c r="O182" s="1192">
        <v>9.24</v>
      </c>
      <c r="P182" s="2055">
        <v>9.24</v>
      </c>
      <c r="Q182" s="2055">
        <v>0</v>
      </c>
      <c r="R182" s="2055">
        <v>0</v>
      </c>
      <c r="S182" s="2055">
        <v>0</v>
      </c>
      <c r="T182" s="2055">
        <v>0</v>
      </c>
      <c r="U182" s="2057">
        <v>0</v>
      </c>
    </row>
    <row r="183" spans="2:21" hidden="1" outlineLevel="1">
      <c r="B183" s="1045"/>
      <c r="C183" s="1045"/>
      <c r="D183" s="1051">
        <f t="shared" si="24"/>
        <v>8</v>
      </c>
      <c r="E183" s="1051" t="str">
        <f>IF(COUNTIF(E$147:E182,F183)&gt;0,"",F183)</f>
        <v>Ordinateur fixe - bureautique, France continentale, Base Carbone</v>
      </c>
      <c r="F183" s="1051" t="str">
        <f t="shared" si="25"/>
        <v>Ordinateur fixe - bureautique, France continentale, Base Carbone</v>
      </c>
      <c r="G183" s="1055" t="str">
        <f t="shared" si="26"/>
        <v>Ordinateur fixe - bureautique, France continentale, Base Carbone; kgCO2e/unité, Matières premières</v>
      </c>
      <c r="I183" s="1100" t="s">
        <v>3691</v>
      </c>
      <c r="J183" s="1135" t="s">
        <v>1994</v>
      </c>
      <c r="K183" s="1119" t="s">
        <v>1567</v>
      </c>
      <c r="L183" s="1119" t="s">
        <v>1571</v>
      </c>
      <c r="M183" s="2061">
        <v>0.5</v>
      </c>
      <c r="N183" s="1048" t="s">
        <v>3135</v>
      </c>
      <c r="O183" s="1192">
        <v>82.9</v>
      </c>
      <c r="P183" s="2055">
        <v>82.9</v>
      </c>
      <c r="Q183" s="2055">
        <v>0</v>
      </c>
      <c r="R183" s="2055">
        <v>0</v>
      </c>
      <c r="S183" s="2055">
        <v>0</v>
      </c>
      <c r="T183" s="2055">
        <v>0</v>
      </c>
      <c r="U183" s="2057">
        <v>0</v>
      </c>
    </row>
    <row r="184" spans="2:21" hidden="1" outlineLevel="1">
      <c r="B184" s="1045"/>
      <c r="C184" s="1045"/>
      <c r="D184" s="1051">
        <f t="shared" si="24"/>
        <v>8</v>
      </c>
      <c r="E184" s="1051" t="str">
        <f>IF(COUNTIF(E$147:E183,F184)&gt;0,"",F184)</f>
        <v/>
      </c>
      <c r="F184" s="1051" t="str">
        <f t="shared" si="25"/>
        <v>Ordinateur fixe - bureautique, France continentale, Base Carbone</v>
      </c>
      <c r="G184" s="1055" t="str">
        <f t="shared" si="26"/>
        <v>Ordinateur fixe - bureautique, France continentale, Base Carbone; kgCO2e/unité, Approvisionnement</v>
      </c>
      <c r="I184" s="1100" t="s">
        <v>3691</v>
      </c>
      <c r="J184" s="1135" t="s">
        <v>1994</v>
      </c>
      <c r="K184" s="1119" t="s">
        <v>1567</v>
      </c>
      <c r="L184" s="1119" t="s">
        <v>1571</v>
      </c>
      <c r="M184" s="2061">
        <v>0.5</v>
      </c>
      <c r="N184" s="1048" t="s">
        <v>3136</v>
      </c>
      <c r="O184" s="1192">
        <v>4.75</v>
      </c>
      <c r="P184" s="2055">
        <v>4.75</v>
      </c>
      <c r="Q184" s="2055">
        <v>0</v>
      </c>
      <c r="R184" s="2055">
        <v>0</v>
      </c>
      <c r="S184" s="2055">
        <v>0</v>
      </c>
      <c r="T184" s="2055">
        <v>0</v>
      </c>
      <c r="U184" s="2057">
        <v>0</v>
      </c>
    </row>
    <row r="185" spans="2:21" hidden="1" outlineLevel="1">
      <c r="B185" s="1045"/>
      <c r="C185" s="1045"/>
      <c r="D185" s="1051">
        <f t="shared" si="24"/>
        <v>8</v>
      </c>
      <c r="E185" s="1051" t="str">
        <f>IF(COUNTIF(E$147:E184,F185)&gt;0,"",F185)</f>
        <v/>
      </c>
      <c r="F185" s="1051" t="str">
        <f t="shared" si="25"/>
        <v>Ordinateur fixe - bureautique, France continentale, Base Carbone</v>
      </c>
      <c r="G185" s="1055" t="str">
        <f t="shared" si="26"/>
        <v>Ordinateur fixe - bureautique, France continentale, Base Carbone; kgCO2e/unité, Mise en forme</v>
      </c>
      <c r="I185" s="1100" t="s">
        <v>3691</v>
      </c>
      <c r="J185" s="1135" t="s">
        <v>1994</v>
      </c>
      <c r="K185" s="1119" t="s">
        <v>1567</v>
      </c>
      <c r="L185" s="1119" t="s">
        <v>1571</v>
      </c>
      <c r="M185" s="2061">
        <v>0.5</v>
      </c>
      <c r="N185" s="1048" t="s">
        <v>3141</v>
      </c>
      <c r="O185" s="1192">
        <v>4.1900000000000004</v>
      </c>
      <c r="P185" s="2055">
        <v>4.1900000000000004</v>
      </c>
      <c r="Q185" s="2055">
        <v>0</v>
      </c>
      <c r="R185" s="2055">
        <v>0</v>
      </c>
      <c r="S185" s="2055">
        <v>0</v>
      </c>
      <c r="T185" s="2055">
        <v>0</v>
      </c>
      <c r="U185" s="2057">
        <v>0</v>
      </c>
    </row>
    <row r="186" spans="2:21" hidden="1" outlineLevel="1">
      <c r="B186" s="1045"/>
      <c r="C186" s="1045"/>
      <c r="D186" s="1051">
        <f t="shared" si="24"/>
        <v>8</v>
      </c>
      <c r="E186" s="1051" t="str">
        <f>IF(COUNTIF(E$147:E185,F186)&gt;0,"",F186)</f>
        <v/>
      </c>
      <c r="F186" s="1051" t="str">
        <f t="shared" si="25"/>
        <v>Ordinateur fixe - bureautique, France continentale, Base Carbone</v>
      </c>
      <c r="G186" s="1055" t="str">
        <f t="shared" si="26"/>
        <v>Ordinateur fixe - bureautique, France continentale, Base Carbone; kgCO2e/unité, Assemblage</v>
      </c>
      <c r="I186" s="1100" t="s">
        <v>3691</v>
      </c>
      <c r="J186" s="1135" t="s">
        <v>1994</v>
      </c>
      <c r="K186" s="1119" t="s">
        <v>1567</v>
      </c>
      <c r="L186" s="1119" t="s">
        <v>1571</v>
      </c>
      <c r="M186" s="2061">
        <v>0.5</v>
      </c>
      <c r="N186" s="1048" t="s">
        <v>3137</v>
      </c>
      <c r="O186" s="1192">
        <v>1.76</v>
      </c>
      <c r="P186" s="2055">
        <v>1.76</v>
      </c>
      <c r="Q186" s="2055">
        <v>0</v>
      </c>
      <c r="R186" s="2055">
        <v>0</v>
      </c>
      <c r="S186" s="2055">
        <v>0</v>
      </c>
      <c r="T186" s="2055">
        <v>0</v>
      </c>
      <c r="U186" s="2057">
        <v>0</v>
      </c>
    </row>
    <row r="187" spans="2:21" hidden="1" outlineLevel="1">
      <c r="B187" s="1045"/>
      <c r="C187" s="1045"/>
      <c r="D187" s="1051">
        <f t="shared" si="24"/>
        <v>8</v>
      </c>
      <c r="E187" s="1051" t="str">
        <f>IF(COUNTIF(E$147:E186,F187)&gt;0,"",F187)</f>
        <v/>
      </c>
      <c r="F187" s="1051" t="str">
        <f t="shared" si="25"/>
        <v>Ordinateur fixe - bureautique, France continentale, Base Carbone</v>
      </c>
      <c r="G187" s="1055" t="str">
        <f t="shared" si="26"/>
        <v>Ordinateur fixe - bureautique, France continentale, Base Carbone; kgCO2e/unité, Distribution</v>
      </c>
      <c r="I187" s="1100" t="s">
        <v>3691</v>
      </c>
      <c r="J187" s="1135" t="s">
        <v>1994</v>
      </c>
      <c r="K187" s="1119" t="s">
        <v>1567</v>
      </c>
      <c r="L187" s="1119" t="s">
        <v>1571</v>
      </c>
      <c r="M187" s="2061">
        <v>0.5</v>
      </c>
      <c r="N187" s="1048" t="s">
        <v>3138</v>
      </c>
      <c r="O187" s="1192">
        <v>75.400000000000006</v>
      </c>
      <c r="P187" s="2055">
        <v>75.400000000000006</v>
      </c>
      <c r="Q187" s="2055">
        <v>0</v>
      </c>
      <c r="R187" s="2055">
        <v>0</v>
      </c>
      <c r="S187" s="2055">
        <v>0</v>
      </c>
      <c r="T187" s="2055">
        <v>0</v>
      </c>
      <c r="U187" s="2057">
        <v>0</v>
      </c>
    </row>
    <row r="188" spans="2:21" hidden="1" outlineLevel="1">
      <c r="B188" s="1045"/>
      <c r="C188" s="1045"/>
      <c r="D188" s="1051">
        <f t="shared" si="24"/>
        <v>9</v>
      </c>
      <c r="E188" s="1051" t="str">
        <f>IF(COUNTIF(E$147:E187,F188)&gt;0,"",F188)</f>
        <v>Ordinateur fixe - haute performance, France continentale, Base Carbone</v>
      </c>
      <c r="F188" s="1051" t="str">
        <f t="shared" si="25"/>
        <v>Ordinateur fixe - haute performance, France continentale, Base Carbone</v>
      </c>
      <c r="G188" s="1055" t="str">
        <f t="shared" si="26"/>
        <v>Ordinateur fixe - haute performance, France continentale, Base Carbone; kgCO2e/unité, Matières premières</v>
      </c>
      <c r="I188" s="1100" t="s">
        <v>3187</v>
      </c>
      <c r="J188" s="1135" t="s">
        <v>1994</v>
      </c>
      <c r="K188" s="1119" t="s">
        <v>1567</v>
      </c>
      <c r="L188" s="1119" t="s">
        <v>1571</v>
      </c>
      <c r="M188" s="2061">
        <v>0.5</v>
      </c>
      <c r="N188" s="1048" t="s">
        <v>3135</v>
      </c>
      <c r="O188" s="1192">
        <v>153</v>
      </c>
      <c r="P188" s="2055">
        <v>153</v>
      </c>
      <c r="Q188" s="2055">
        <v>0</v>
      </c>
      <c r="R188" s="2055">
        <v>0</v>
      </c>
      <c r="S188" s="2055">
        <v>0</v>
      </c>
      <c r="T188" s="2055">
        <v>0</v>
      </c>
      <c r="U188" s="2057">
        <v>0</v>
      </c>
    </row>
    <row r="189" spans="2:21" hidden="1" outlineLevel="1">
      <c r="B189" s="1045"/>
      <c r="C189" s="1045"/>
      <c r="D189" s="1051">
        <f t="shared" si="24"/>
        <v>9</v>
      </c>
      <c r="E189" s="1051" t="str">
        <f>IF(COUNTIF(E$147:E188,F189)&gt;0,"",F189)</f>
        <v/>
      </c>
      <c r="F189" s="1051" t="str">
        <f t="shared" si="25"/>
        <v>Ordinateur fixe - haute performance, France continentale, Base Carbone</v>
      </c>
      <c r="G189" s="1055" t="str">
        <f t="shared" si="26"/>
        <v>Ordinateur fixe - haute performance, France continentale, Base Carbone; kgCO2e/unité, Approvisionnement</v>
      </c>
      <c r="I189" s="1100" t="s">
        <v>3187</v>
      </c>
      <c r="J189" s="1135" t="s">
        <v>1994</v>
      </c>
      <c r="K189" s="1119" t="s">
        <v>1567</v>
      </c>
      <c r="L189" s="1119" t="s">
        <v>1571</v>
      </c>
      <c r="M189" s="2061">
        <v>0.5</v>
      </c>
      <c r="N189" s="1048" t="s">
        <v>3136</v>
      </c>
      <c r="O189" s="1192">
        <v>7.95</v>
      </c>
      <c r="P189" s="2055">
        <v>7.95</v>
      </c>
      <c r="Q189" s="2055">
        <v>0</v>
      </c>
      <c r="R189" s="2055">
        <v>0</v>
      </c>
      <c r="S189" s="2055">
        <v>0</v>
      </c>
      <c r="T189" s="2055">
        <v>0</v>
      </c>
      <c r="U189" s="2057">
        <v>0</v>
      </c>
    </row>
    <row r="190" spans="2:21" hidden="1" outlineLevel="1">
      <c r="B190" s="1045"/>
      <c r="C190" s="1045"/>
      <c r="D190" s="1051">
        <f t="shared" si="24"/>
        <v>9</v>
      </c>
      <c r="E190" s="1051" t="str">
        <f>IF(COUNTIF(E$147:E189,F190)&gt;0,"",F190)</f>
        <v/>
      </c>
      <c r="F190" s="1051" t="str">
        <f t="shared" si="25"/>
        <v>Ordinateur fixe - haute performance, France continentale, Base Carbone</v>
      </c>
      <c r="G190" s="1055" t="str">
        <f t="shared" si="26"/>
        <v>Ordinateur fixe - haute performance, France continentale, Base Carbone; kgCO2e/unité, Mise en forme</v>
      </c>
      <c r="I190" s="1100" t="s">
        <v>3187</v>
      </c>
      <c r="J190" s="1135" t="s">
        <v>1994</v>
      </c>
      <c r="K190" s="1119" t="s">
        <v>1567</v>
      </c>
      <c r="L190" s="1119" t="s">
        <v>1571</v>
      </c>
      <c r="M190" s="2061">
        <v>0.5</v>
      </c>
      <c r="N190" s="1048" t="s">
        <v>3141</v>
      </c>
      <c r="O190" s="1192">
        <v>7.36</v>
      </c>
      <c r="P190" s="2055">
        <v>7.36</v>
      </c>
      <c r="Q190" s="2055">
        <v>0</v>
      </c>
      <c r="R190" s="2055">
        <v>0</v>
      </c>
      <c r="S190" s="2055">
        <v>0</v>
      </c>
      <c r="T190" s="2055">
        <v>0</v>
      </c>
      <c r="U190" s="2057">
        <v>0</v>
      </c>
    </row>
    <row r="191" spans="2:21" hidden="1" outlineLevel="1">
      <c r="B191" s="1045"/>
      <c r="C191" s="1045"/>
      <c r="D191" s="1051">
        <f t="shared" si="24"/>
        <v>9</v>
      </c>
      <c r="E191" s="1051" t="str">
        <f>IF(COUNTIF(E$147:E190,F191)&gt;0,"",F191)</f>
        <v/>
      </c>
      <c r="F191" s="1051" t="str">
        <f t="shared" si="25"/>
        <v>Ordinateur fixe - haute performance, France continentale, Base Carbone</v>
      </c>
      <c r="G191" s="1055" t="str">
        <f t="shared" si="26"/>
        <v>Ordinateur fixe - haute performance, France continentale, Base Carbone; kgCO2e/unité, Assemblage</v>
      </c>
      <c r="I191" s="1100" t="s">
        <v>3187</v>
      </c>
      <c r="J191" s="1135" t="s">
        <v>1994</v>
      </c>
      <c r="K191" s="1119" t="s">
        <v>1567</v>
      </c>
      <c r="L191" s="1119" t="s">
        <v>1571</v>
      </c>
      <c r="M191" s="2061">
        <v>0.5</v>
      </c>
      <c r="N191" s="1048" t="s">
        <v>3137</v>
      </c>
      <c r="O191" s="1192">
        <v>2.9</v>
      </c>
      <c r="P191" s="2055">
        <v>2.9</v>
      </c>
      <c r="Q191" s="2055">
        <v>0</v>
      </c>
      <c r="R191" s="2055">
        <v>0</v>
      </c>
      <c r="S191" s="2055">
        <v>0</v>
      </c>
      <c r="T191" s="2055">
        <v>0</v>
      </c>
      <c r="U191" s="2057">
        <v>0</v>
      </c>
    </row>
    <row r="192" spans="2:21" hidden="1" outlineLevel="1">
      <c r="B192" s="1045"/>
      <c r="C192" s="1045"/>
      <c r="D192" s="1051">
        <f t="shared" si="24"/>
        <v>9</v>
      </c>
      <c r="E192" s="1051" t="str">
        <f>IF(COUNTIF(E$147:E191,F192)&gt;0,"",F192)</f>
        <v/>
      </c>
      <c r="F192" s="1051" t="str">
        <f t="shared" si="25"/>
        <v>Ordinateur fixe - haute performance, France continentale, Base Carbone</v>
      </c>
      <c r="G192" s="1055" t="str">
        <f t="shared" si="26"/>
        <v>Ordinateur fixe - haute performance, France continentale, Base Carbone; kgCO2e/unité, Distribution</v>
      </c>
      <c r="I192" s="1100" t="s">
        <v>3187</v>
      </c>
      <c r="J192" s="1135" t="s">
        <v>1994</v>
      </c>
      <c r="K192" s="1119" t="s">
        <v>1567</v>
      </c>
      <c r="L192" s="1119" t="s">
        <v>1571</v>
      </c>
      <c r="M192" s="2061">
        <v>0.5</v>
      </c>
      <c r="N192" s="1048" t="s">
        <v>3138</v>
      </c>
      <c r="O192" s="1192">
        <v>124</v>
      </c>
      <c r="P192" s="2055">
        <v>124</v>
      </c>
      <c r="Q192" s="2055">
        <v>0</v>
      </c>
      <c r="R192" s="2055">
        <v>0</v>
      </c>
      <c r="S192" s="2055">
        <v>0</v>
      </c>
      <c r="T192" s="2055">
        <v>0</v>
      </c>
      <c r="U192" s="2057">
        <v>0</v>
      </c>
    </row>
    <row r="193" spans="2:21" hidden="1" outlineLevel="1">
      <c r="B193" s="1045"/>
      <c r="C193" s="1045"/>
      <c r="D193" s="1051">
        <f t="shared" si="24"/>
        <v>10</v>
      </c>
      <c r="E193" s="1051" t="str">
        <f>IF(COUNTIF(E$147:E192,F193)&gt;0,"",F193)</f>
        <v>Ordinateur portable, France continentale, Base Carbone</v>
      </c>
      <c r="F193" s="1051" t="str">
        <f t="shared" si="25"/>
        <v>Ordinateur portable, France continentale, Base Carbone</v>
      </c>
      <c r="G193" s="1055" t="str">
        <f t="shared" si="26"/>
        <v>Ordinateur portable, France continentale, Base Carbone; kgCO2e/unité, Matières premières</v>
      </c>
      <c r="I193" s="1100" t="s">
        <v>3692</v>
      </c>
      <c r="J193" s="1135" t="s">
        <v>1994</v>
      </c>
      <c r="K193" s="1119" t="s">
        <v>1567</v>
      </c>
      <c r="L193" s="1119" t="s">
        <v>1571</v>
      </c>
      <c r="M193" s="2061">
        <v>0.5</v>
      </c>
      <c r="N193" s="1048" t="s">
        <v>3135</v>
      </c>
      <c r="O193" s="1192">
        <v>120</v>
      </c>
      <c r="P193" s="2055">
        <v>120</v>
      </c>
      <c r="Q193" s="2055">
        <v>0</v>
      </c>
      <c r="R193" s="2055">
        <v>0</v>
      </c>
      <c r="S193" s="2055">
        <v>0</v>
      </c>
      <c r="T193" s="2055">
        <v>0</v>
      </c>
      <c r="U193" s="2057">
        <v>0</v>
      </c>
    </row>
    <row r="194" spans="2:21" hidden="1" outlineLevel="1">
      <c r="B194" s="1045"/>
      <c r="C194" s="1045"/>
      <c r="D194" s="1051">
        <f t="shared" si="24"/>
        <v>10</v>
      </c>
      <c r="E194" s="1051" t="str">
        <f>IF(COUNTIF(E$147:E193,F194)&gt;0,"",F194)</f>
        <v/>
      </c>
      <c r="F194" s="1051" t="str">
        <f t="shared" si="25"/>
        <v>Ordinateur portable, France continentale, Base Carbone</v>
      </c>
      <c r="G194" s="1055" t="str">
        <f t="shared" si="26"/>
        <v>Ordinateur portable, France continentale, Base Carbone; kgCO2e/unité, Approvisionnement</v>
      </c>
      <c r="I194" s="1100" t="s">
        <v>3692</v>
      </c>
      <c r="J194" s="1135" t="s">
        <v>1994</v>
      </c>
      <c r="K194" s="1119" t="s">
        <v>1567</v>
      </c>
      <c r="L194" s="1119" t="s">
        <v>1571</v>
      </c>
      <c r="M194" s="2061">
        <v>0.5</v>
      </c>
      <c r="N194" s="1048" t="s">
        <v>3136</v>
      </c>
      <c r="O194" s="1192">
        <v>1.89</v>
      </c>
      <c r="P194" s="2055">
        <v>1.89</v>
      </c>
      <c r="Q194" s="2055">
        <v>0</v>
      </c>
      <c r="R194" s="2055">
        <v>0</v>
      </c>
      <c r="S194" s="2055">
        <v>0</v>
      </c>
      <c r="T194" s="2055">
        <v>0</v>
      </c>
      <c r="U194" s="2057">
        <v>0</v>
      </c>
    </row>
    <row r="195" spans="2:21" hidden="1" outlineLevel="1">
      <c r="B195" s="1045"/>
      <c r="C195" s="1045"/>
      <c r="D195" s="1051">
        <f t="shared" si="24"/>
        <v>10</v>
      </c>
      <c r="E195" s="1051" t="str">
        <f>IF(COUNTIF(E$147:E194,F195)&gt;0,"",F195)</f>
        <v/>
      </c>
      <c r="F195" s="1051" t="str">
        <f t="shared" si="25"/>
        <v>Ordinateur portable, France continentale, Base Carbone</v>
      </c>
      <c r="G195" s="1055" t="str">
        <f t="shared" si="26"/>
        <v>Ordinateur portable, France continentale, Base Carbone; kgCO2e/unité, Mise en forme</v>
      </c>
      <c r="I195" s="1100" t="s">
        <v>3692</v>
      </c>
      <c r="J195" s="1135" t="s">
        <v>1994</v>
      </c>
      <c r="K195" s="1119" t="s">
        <v>1567</v>
      </c>
      <c r="L195" s="1119" t="s">
        <v>1571</v>
      </c>
      <c r="M195" s="2061">
        <v>0.5</v>
      </c>
      <c r="N195" s="1048" t="s">
        <v>3141</v>
      </c>
      <c r="O195" s="1192">
        <v>0.75</v>
      </c>
      <c r="P195" s="2055">
        <v>0.75</v>
      </c>
      <c r="Q195" s="2055">
        <v>0</v>
      </c>
      <c r="R195" s="2055">
        <v>0</v>
      </c>
      <c r="S195" s="2055">
        <v>0</v>
      </c>
      <c r="T195" s="2055">
        <v>0</v>
      </c>
      <c r="U195" s="2057">
        <v>0</v>
      </c>
    </row>
    <row r="196" spans="2:21" hidden="1" outlineLevel="1">
      <c r="B196" s="1045"/>
      <c r="C196" s="1045"/>
      <c r="D196" s="1051">
        <f t="shared" si="24"/>
        <v>10</v>
      </c>
      <c r="E196" s="1051" t="str">
        <f>IF(COUNTIF(E$147:E195,F196)&gt;0,"",F196)</f>
        <v/>
      </c>
      <c r="F196" s="1051" t="str">
        <f t="shared" si="25"/>
        <v>Ordinateur portable, France continentale, Base Carbone</v>
      </c>
      <c r="G196" s="1055" t="str">
        <f t="shared" si="26"/>
        <v>Ordinateur portable, France continentale, Base Carbone; kgCO2e/unité, Assemblage</v>
      </c>
      <c r="I196" s="1100" t="s">
        <v>3692</v>
      </c>
      <c r="J196" s="1135" t="s">
        <v>1994</v>
      </c>
      <c r="K196" s="1119" t="s">
        <v>1567</v>
      </c>
      <c r="L196" s="1119" t="s">
        <v>1571</v>
      </c>
      <c r="M196" s="2061">
        <v>0.5</v>
      </c>
      <c r="N196" s="1048" t="s">
        <v>3137</v>
      </c>
      <c r="O196" s="1192">
        <v>1.9</v>
      </c>
      <c r="P196" s="2055">
        <v>1.9</v>
      </c>
      <c r="Q196" s="2055">
        <v>0</v>
      </c>
      <c r="R196" s="2055">
        <v>0</v>
      </c>
      <c r="S196" s="2055">
        <v>0</v>
      </c>
      <c r="T196" s="2055">
        <v>0</v>
      </c>
      <c r="U196" s="2057">
        <v>0</v>
      </c>
    </row>
    <row r="197" spans="2:21" hidden="1" outlineLevel="1">
      <c r="B197" s="1045"/>
      <c r="C197" s="1045"/>
      <c r="D197" s="1051">
        <f t="shared" si="24"/>
        <v>10</v>
      </c>
      <c r="E197" s="1051" t="str">
        <f>IF(COUNTIF(E$147:E196,F197)&gt;0,"",F197)</f>
        <v/>
      </c>
      <c r="F197" s="1051" t="str">
        <f t="shared" si="25"/>
        <v>Ordinateur portable, France continentale, Base Carbone</v>
      </c>
      <c r="G197" s="1055" t="str">
        <f t="shared" si="26"/>
        <v>Ordinateur portable, France continentale, Base Carbone; kgCO2e/unité, Distribution</v>
      </c>
      <c r="I197" s="1100" t="s">
        <v>3692</v>
      </c>
      <c r="J197" s="1135" t="s">
        <v>1994</v>
      </c>
      <c r="K197" s="1119" t="s">
        <v>1567</v>
      </c>
      <c r="L197" s="1119" t="s">
        <v>1571</v>
      </c>
      <c r="M197" s="2061">
        <v>0.5</v>
      </c>
      <c r="N197" s="1048" t="s">
        <v>3138</v>
      </c>
      <c r="O197" s="1192">
        <v>31.7</v>
      </c>
      <c r="P197" s="2055">
        <v>31.7</v>
      </c>
      <c r="Q197" s="2055">
        <v>0</v>
      </c>
      <c r="R197" s="2055">
        <v>0</v>
      </c>
      <c r="S197" s="2055">
        <v>0</v>
      </c>
      <c r="T197" s="2055">
        <v>0</v>
      </c>
      <c r="U197" s="2057">
        <v>0</v>
      </c>
    </row>
    <row r="198" spans="2:21" hidden="1" outlineLevel="1">
      <c r="B198" s="1045"/>
      <c r="C198" s="1045"/>
      <c r="D198" s="1051">
        <f t="shared" si="24"/>
        <v>11</v>
      </c>
      <c r="E198" s="1051" t="str">
        <f>IF(COUNTIF(E$147:E197,F198)&gt;0,"",F198)</f>
        <v>Photocopieurs, Monde, Base Carbone</v>
      </c>
      <c r="F198" s="1051" t="str">
        <f t="shared" si="25"/>
        <v>Photocopieurs, Monde, Base Carbone</v>
      </c>
      <c r="G198" s="1055" t="str">
        <f t="shared" si="26"/>
        <v>Photocopieurs, Monde, Base Carbone; kgCO2e/unité, Matières premières</v>
      </c>
      <c r="I198" s="1100" t="s">
        <v>3690</v>
      </c>
      <c r="J198" s="1135" t="s">
        <v>1994</v>
      </c>
      <c r="K198" s="1119" t="s">
        <v>1567</v>
      </c>
      <c r="L198" s="1119" t="s">
        <v>2089</v>
      </c>
      <c r="M198" s="2061">
        <v>0.5</v>
      </c>
      <c r="N198" s="2017" t="s">
        <v>3135</v>
      </c>
      <c r="O198" s="2046">
        <v>2935</v>
      </c>
      <c r="P198" s="1980">
        <v>2935</v>
      </c>
      <c r="Q198" s="1980">
        <v>0</v>
      </c>
      <c r="R198" s="1980">
        <v>0</v>
      </c>
      <c r="S198" s="1980">
        <v>0</v>
      </c>
      <c r="T198" s="1980">
        <v>0</v>
      </c>
      <c r="U198" s="2057">
        <v>0</v>
      </c>
    </row>
    <row r="199" spans="2:21" hidden="1" outlineLevel="1">
      <c r="B199" s="1045"/>
      <c r="C199" s="1045"/>
      <c r="D199" s="1051">
        <f t="shared" si="24"/>
        <v>12</v>
      </c>
      <c r="E199" s="1051" t="str">
        <f>IF(COUNTIF(E$147:E198,F199)&gt;0,"",F199)</f>
        <v>Serveurs informatiques, Monde, Base Carbone</v>
      </c>
      <c r="F199" s="1051" t="str">
        <f t="shared" si="25"/>
        <v>Serveurs informatiques, Monde, Base Carbone</v>
      </c>
      <c r="G199" s="1055" t="str">
        <f t="shared" si="26"/>
        <v>Serveurs informatiques, Monde, Base Carbone; kgCO2e/unité, Matières premières</v>
      </c>
      <c r="I199" s="1100" t="s">
        <v>3720</v>
      </c>
      <c r="J199" s="1048" t="s">
        <v>1994</v>
      </c>
      <c r="K199" s="1048" t="s">
        <v>1567</v>
      </c>
      <c r="L199" s="1048" t="s">
        <v>2089</v>
      </c>
      <c r="M199" s="2300">
        <v>0.8</v>
      </c>
      <c r="N199" s="1233" t="s">
        <v>3135</v>
      </c>
      <c r="O199" s="1192">
        <v>600</v>
      </c>
      <c r="P199" s="2055">
        <v>600</v>
      </c>
      <c r="Q199" s="2055">
        <v>0</v>
      </c>
      <c r="R199" s="2055">
        <v>0</v>
      </c>
      <c r="S199" s="2055">
        <v>0</v>
      </c>
      <c r="T199" s="2055">
        <v>0</v>
      </c>
      <c r="U199" s="2057">
        <v>0</v>
      </c>
    </row>
    <row r="200" spans="2:21" hidden="1" outlineLevel="1">
      <c r="B200" s="1045"/>
      <c r="C200" s="1045"/>
      <c r="D200" s="1051">
        <f t="shared" si="24"/>
        <v>13</v>
      </c>
      <c r="E200" s="1051" t="str">
        <f>IF(COUNTIF(E$147:E199,F200)&gt;0,"",F200)</f>
        <v>Vidéo-projecteur, France continentale, Base Carbone</v>
      </c>
      <c r="F200" s="1051" t="str">
        <f t="shared" si="25"/>
        <v>Vidéo-projecteur, France continentale, Base Carbone</v>
      </c>
      <c r="G200" s="1055" t="str">
        <f t="shared" si="26"/>
        <v>Vidéo-projecteur, France continentale, Base Carbone; kgCO2e/unité, Matières premières</v>
      </c>
      <c r="I200" s="1100" t="s">
        <v>4126</v>
      </c>
      <c r="J200" s="1048" t="s">
        <v>1994</v>
      </c>
      <c r="K200" s="1048" t="s">
        <v>1567</v>
      </c>
      <c r="L200" s="1048" t="s">
        <v>1571</v>
      </c>
      <c r="M200" s="2300">
        <v>0.5</v>
      </c>
      <c r="N200" s="1119" t="s">
        <v>3135</v>
      </c>
      <c r="O200" s="2046">
        <v>127</v>
      </c>
      <c r="P200" s="1977">
        <v>127</v>
      </c>
      <c r="Q200" s="2055">
        <v>0</v>
      </c>
      <c r="R200" s="2055">
        <v>0</v>
      </c>
      <c r="S200" s="2055">
        <v>0</v>
      </c>
      <c r="T200" s="2055">
        <v>0</v>
      </c>
      <c r="U200" s="2057">
        <v>0</v>
      </c>
    </row>
    <row r="201" spans="2:21" hidden="1" outlineLevel="1">
      <c r="B201" s="1045"/>
      <c r="C201" s="1045"/>
      <c r="D201" s="1051">
        <f t="shared" si="24"/>
        <v>13</v>
      </c>
      <c r="E201" s="1051" t="str">
        <f>IF(COUNTIF(E$147:E200,F201)&gt;0,"",F201)</f>
        <v/>
      </c>
      <c r="F201" s="1051" t="str">
        <f t="shared" si="25"/>
        <v>Vidéo-projecteur, France continentale, Base Carbone</v>
      </c>
      <c r="G201" s="1055" t="str">
        <f t="shared" si="26"/>
        <v>Vidéo-projecteur, France continentale, Base Carbone; kgCO2e/unité, Approvisionnement</v>
      </c>
      <c r="I201" s="1100" t="s">
        <v>4126</v>
      </c>
      <c r="J201" s="1048" t="s">
        <v>1994</v>
      </c>
      <c r="K201" s="1048" t="s">
        <v>1567</v>
      </c>
      <c r="L201" s="1048" t="s">
        <v>1571</v>
      </c>
      <c r="M201" s="2300">
        <v>0.5</v>
      </c>
      <c r="N201" s="1119" t="s">
        <v>3136</v>
      </c>
      <c r="O201" s="2046">
        <v>0.7</v>
      </c>
      <c r="P201" s="1977">
        <v>0.7</v>
      </c>
      <c r="Q201" s="2055">
        <v>0</v>
      </c>
      <c r="R201" s="2055">
        <v>0</v>
      </c>
      <c r="S201" s="2055">
        <v>0</v>
      </c>
      <c r="T201" s="2055">
        <v>0</v>
      </c>
      <c r="U201" s="2057">
        <v>0</v>
      </c>
    </row>
    <row r="202" spans="2:21" hidden="1" outlineLevel="1">
      <c r="B202" s="1045"/>
      <c r="C202" s="1045"/>
      <c r="D202" s="1051">
        <f t="shared" si="24"/>
        <v>13</v>
      </c>
      <c r="E202" s="1051" t="str">
        <f>IF(COUNTIF(E$147:E201,F202)&gt;0,"",F202)</f>
        <v/>
      </c>
      <c r="F202" s="1051" t="str">
        <f t="shared" si="25"/>
        <v>Vidéo-projecteur, France continentale, Base Carbone</v>
      </c>
      <c r="G202" s="1055" t="str">
        <f t="shared" si="26"/>
        <v>Vidéo-projecteur, France continentale, Base Carbone; kgCO2e/unité, Mise en forme</v>
      </c>
      <c r="I202" s="1100" t="s">
        <v>4126</v>
      </c>
      <c r="J202" s="1048" t="s">
        <v>1994</v>
      </c>
      <c r="K202" s="1048" t="s">
        <v>1567</v>
      </c>
      <c r="L202" s="1048" t="s">
        <v>1571</v>
      </c>
      <c r="M202" s="2300">
        <v>0.5</v>
      </c>
      <c r="N202" s="1119" t="s">
        <v>3141</v>
      </c>
      <c r="O202" s="2046">
        <v>1.4</v>
      </c>
      <c r="P202" s="1977">
        <v>1.4</v>
      </c>
      <c r="Q202" s="2055">
        <v>0</v>
      </c>
      <c r="R202" s="2055">
        <v>0</v>
      </c>
      <c r="S202" s="2055">
        <v>0</v>
      </c>
      <c r="T202" s="2055">
        <v>0</v>
      </c>
      <c r="U202" s="2057">
        <v>0</v>
      </c>
    </row>
    <row r="203" spans="2:21" hidden="1" outlineLevel="1">
      <c r="B203" s="1045"/>
      <c r="C203" s="1045"/>
      <c r="D203" s="1051">
        <f t="shared" si="24"/>
        <v>13</v>
      </c>
      <c r="E203" s="1051" t="str">
        <f>IF(COUNTIF(E$147:E202,F203)&gt;0,"",F203)</f>
        <v/>
      </c>
      <c r="F203" s="1051" t="str">
        <f t="shared" si="25"/>
        <v>Vidéo-projecteur, France continentale, Base Carbone</v>
      </c>
      <c r="G203" s="1055" t="str">
        <f t="shared" si="26"/>
        <v>Vidéo-projecteur, France continentale, Base Carbone; kgCO2e/unité, Assemblage</v>
      </c>
      <c r="I203" s="1100" t="s">
        <v>4126</v>
      </c>
      <c r="J203" s="1048" t="s">
        <v>1994</v>
      </c>
      <c r="K203" s="1048" t="s">
        <v>1567</v>
      </c>
      <c r="L203" s="1048" t="s">
        <v>1571</v>
      </c>
      <c r="M203" s="2300">
        <v>0.5</v>
      </c>
      <c r="N203" s="1119" t="s">
        <v>3137</v>
      </c>
      <c r="O203" s="2046">
        <v>10.1</v>
      </c>
      <c r="P203" s="1977">
        <v>10.1</v>
      </c>
      <c r="Q203" s="2055">
        <v>0</v>
      </c>
      <c r="R203" s="2055">
        <v>0</v>
      </c>
      <c r="S203" s="2055">
        <v>0</v>
      </c>
      <c r="T203" s="2055">
        <v>0</v>
      </c>
      <c r="U203" s="2057">
        <v>0</v>
      </c>
    </row>
    <row r="204" spans="2:21" hidden="1" outlineLevel="1">
      <c r="B204" s="1045"/>
      <c r="C204" s="1045"/>
      <c r="D204" s="1051">
        <f t="shared" si="24"/>
        <v>13</v>
      </c>
      <c r="E204" s="1051" t="str">
        <f>IF(COUNTIF(E$147:E203,F204)&gt;0,"",F204)</f>
        <v/>
      </c>
      <c r="F204" s="1051" t="str">
        <f t="shared" si="25"/>
        <v>Vidéo-projecteur, France continentale, Base Carbone</v>
      </c>
      <c r="G204" s="1055" t="str">
        <f t="shared" si="26"/>
        <v>Vidéo-projecteur, France continentale, Base Carbone; kgCO2e/unité, Distribution</v>
      </c>
      <c r="I204" s="1100" t="s">
        <v>4126</v>
      </c>
      <c r="J204" s="1048" t="s">
        <v>1994</v>
      </c>
      <c r="K204" s="1048" t="s">
        <v>1567</v>
      </c>
      <c r="L204" s="1048" t="s">
        <v>1571</v>
      </c>
      <c r="M204" s="2300">
        <v>0.5</v>
      </c>
      <c r="N204" s="1119" t="s">
        <v>3138</v>
      </c>
      <c r="O204" s="2046">
        <v>6.1</v>
      </c>
      <c r="P204" s="1977">
        <v>6.1</v>
      </c>
      <c r="Q204" s="2055">
        <v>0</v>
      </c>
      <c r="R204" s="2055">
        <v>0</v>
      </c>
      <c r="S204" s="2055">
        <v>0</v>
      </c>
      <c r="T204" s="2055">
        <v>0</v>
      </c>
      <c r="U204" s="2057">
        <v>0</v>
      </c>
    </row>
    <row r="205" spans="2:21" hidden="1" outlineLevel="1">
      <c r="B205" s="1045"/>
      <c r="C205" s="1045"/>
      <c r="D205" s="1051">
        <f t="shared" si="24"/>
        <v>13</v>
      </c>
      <c r="E205" s="1051" t="str">
        <f>IF(COUNTIF(E$147:E204,F205)&gt;0,"",F205)</f>
        <v/>
      </c>
      <c r="F205" s="1051" t="str">
        <f t="shared" si="25"/>
        <v/>
      </c>
      <c r="G205" s="1055" t="str">
        <f t="shared" si="26"/>
        <v/>
      </c>
      <c r="I205" s="1100"/>
      <c r="J205" s="1048"/>
      <c r="K205" s="1048"/>
      <c r="L205" s="1048"/>
      <c r="M205" s="1048"/>
      <c r="N205" s="1048"/>
      <c r="O205" s="1048"/>
      <c r="P205" s="1048"/>
      <c r="Q205" s="1048"/>
      <c r="R205" s="1048"/>
      <c r="S205" s="1048"/>
      <c r="T205" s="1048"/>
      <c r="U205" s="1102"/>
    </row>
    <row r="206" spans="2:21" hidden="1" outlineLevel="1">
      <c r="B206" s="1045"/>
      <c r="C206" s="1045"/>
      <c r="D206" s="1051">
        <f t="shared" si="24"/>
        <v>13</v>
      </c>
      <c r="E206" s="1051" t="str">
        <f>IF(COUNTIF(E$147:E205,F206)&gt;0,"",F206)</f>
        <v/>
      </c>
      <c r="F206" s="1051" t="str">
        <f t="shared" si="25"/>
        <v/>
      </c>
      <c r="G206" s="1055" t="str">
        <f t="shared" si="26"/>
        <v/>
      </c>
      <c r="I206" s="1100"/>
      <c r="J206" s="1048"/>
      <c r="K206" s="1048"/>
      <c r="L206" s="1048"/>
      <c r="M206" s="1048"/>
      <c r="N206" s="1048"/>
      <c r="O206" s="1048"/>
      <c r="P206" s="1048"/>
      <c r="Q206" s="1048"/>
      <c r="R206" s="1048"/>
      <c r="S206" s="1048"/>
      <c r="T206" s="1048"/>
      <c r="U206" s="1102"/>
    </row>
    <row r="207" spans="2:21" hidden="1" outlineLevel="1">
      <c r="B207" s="1045"/>
      <c r="C207" s="1045"/>
      <c r="D207" s="1051">
        <f t="shared" si="24"/>
        <v>13</v>
      </c>
      <c r="E207" s="1051" t="str">
        <f>IF(COUNTIF(E$147:E206,F207)&gt;0,"",F207)</f>
        <v/>
      </c>
      <c r="F207" s="1051" t="str">
        <f t="shared" si="25"/>
        <v/>
      </c>
      <c r="G207" s="1055" t="str">
        <f t="shared" si="26"/>
        <v/>
      </c>
      <c r="I207" s="1100"/>
      <c r="J207" s="1048"/>
      <c r="K207" s="1048"/>
      <c r="L207" s="1048"/>
      <c r="M207" s="1048"/>
      <c r="N207" s="1048"/>
      <c r="O207" s="1048"/>
      <c r="P207" s="1048"/>
      <c r="Q207" s="1048"/>
      <c r="R207" s="1048"/>
      <c r="S207" s="1048"/>
      <c r="T207" s="1048"/>
      <c r="U207" s="1102"/>
    </row>
    <row r="208" spans="2:21" hidden="1" outlineLevel="1">
      <c r="B208" s="1045"/>
      <c r="C208" s="1045"/>
      <c r="D208" s="1051">
        <f t="shared" si="24"/>
        <v>13</v>
      </c>
      <c r="E208" s="1051" t="str">
        <f>IF(COUNTIF(E$147:E207,F208)&gt;0,"",F208)</f>
        <v/>
      </c>
      <c r="F208" s="1051" t="str">
        <f t="shared" si="25"/>
        <v/>
      </c>
      <c r="G208" s="1055" t="str">
        <f t="shared" si="26"/>
        <v/>
      </c>
      <c r="I208" s="1100"/>
      <c r="J208" s="1048"/>
      <c r="K208" s="1048"/>
      <c r="L208" s="1048"/>
      <c r="M208" s="1048"/>
      <c r="N208" s="1048"/>
      <c r="O208" s="1048"/>
      <c r="P208" s="1048"/>
      <c r="Q208" s="1048"/>
      <c r="R208" s="1048"/>
      <c r="S208" s="1048"/>
      <c r="T208" s="1048"/>
      <c r="U208" s="1102"/>
    </row>
    <row r="209" spans="2:21" hidden="1" outlineLevel="1">
      <c r="B209" s="1045"/>
      <c r="C209" s="1045"/>
      <c r="D209" s="1051">
        <f t="shared" si="24"/>
        <v>13</v>
      </c>
      <c r="E209" s="1051" t="str">
        <f>IF(COUNTIF(E$147:E208,F209)&gt;0,"",F209)</f>
        <v/>
      </c>
      <c r="F209" s="1051" t="str">
        <f t="shared" si="25"/>
        <v/>
      </c>
      <c r="G209" s="1055" t="str">
        <f t="shared" si="26"/>
        <v/>
      </c>
      <c r="I209" s="1100"/>
      <c r="J209" s="1048"/>
      <c r="K209" s="1048"/>
      <c r="L209" s="1048"/>
      <c r="M209" s="1048"/>
      <c r="N209" s="1048"/>
      <c r="O209" s="1048"/>
      <c r="P209" s="1048"/>
      <c r="Q209" s="1048"/>
      <c r="R209" s="1048"/>
      <c r="S209" s="1048"/>
      <c r="T209" s="1048"/>
      <c r="U209" s="1102"/>
    </row>
    <row r="210" spans="2:21" hidden="1" outlineLevel="1">
      <c r="B210" s="1045"/>
      <c r="C210" s="1045"/>
      <c r="D210" s="1051">
        <f t="shared" si="24"/>
        <v>13</v>
      </c>
      <c r="E210" s="1051" t="str">
        <f>IF(COUNTIF(E$147:E209,F210)&gt;0,"",F210)</f>
        <v/>
      </c>
      <c r="F210" s="1051" t="str">
        <f t="shared" si="25"/>
        <v/>
      </c>
      <c r="G210" s="1055" t="str">
        <f t="shared" si="26"/>
        <v/>
      </c>
      <c r="I210" s="1100"/>
      <c r="J210" s="1048"/>
      <c r="K210" s="1048"/>
      <c r="L210" s="1048"/>
      <c r="M210" s="1048"/>
      <c r="N210" s="1048"/>
      <c r="O210" s="1048"/>
      <c r="P210" s="1048"/>
      <c r="Q210" s="1048"/>
      <c r="R210" s="1048"/>
      <c r="S210" s="1048"/>
      <c r="T210" s="1048"/>
      <c r="U210" s="1102"/>
    </row>
    <row r="211" spans="2:21" hidden="1" outlineLevel="1">
      <c r="B211" s="1045"/>
      <c r="C211" s="1045"/>
      <c r="D211" s="1051">
        <f t="shared" si="24"/>
        <v>13</v>
      </c>
      <c r="E211" s="1051" t="str">
        <f>IF(COUNTIF(E$147:E210,F211)&gt;0,"",F211)</f>
        <v/>
      </c>
      <c r="F211" s="1051" t="str">
        <f t="shared" si="25"/>
        <v/>
      </c>
      <c r="G211" s="1055" t="str">
        <f t="shared" si="26"/>
        <v/>
      </c>
      <c r="I211" s="1100"/>
      <c r="J211" s="1048"/>
      <c r="K211" s="1048"/>
      <c r="L211" s="1048"/>
      <c r="M211" s="1048"/>
      <c r="N211" s="1048"/>
      <c r="O211" s="1048"/>
      <c r="P211" s="1048"/>
      <c r="Q211" s="1048"/>
      <c r="R211" s="1048"/>
      <c r="S211" s="1048"/>
      <c r="T211" s="1048"/>
      <c r="U211" s="1102"/>
    </row>
    <row r="212" spans="2:21" hidden="1" outlineLevel="1">
      <c r="B212" s="1045"/>
      <c r="C212" s="1045"/>
      <c r="D212" s="1051">
        <f t="shared" si="24"/>
        <v>13</v>
      </c>
      <c r="E212" s="1051" t="str">
        <f>IF(COUNTIF(E$147:E211,F212)&gt;0,"",F212)</f>
        <v/>
      </c>
      <c r="F212" s="1051" t="str">
        <f t="shared" si="25"/>
        <v/>
      </c>
      <c r="G212" s="1055" t="str">
        <f t="shared" si="26"/>
        <v/>
      </c>
      <c r="I212" s="1100"/>
      <c r="J212" s="1048"/>
      <c r="K212" s="1048"/>
      <c r="L212" s="1048"/>
      <c r="M212" s="1048"/>
      <c r="N212" s="1048"/>
      <c r="O212" s="1048"/>
      <c r="P212" s="1048"/>
      <c r="Q212" s="1048"/>
      <c r="R212" s="1048"/>
      <c r="S212" s="1048"/>
      <c r="T212" s="1048"/>
      <c r="U212" s="1102"/>
    </row>
    <row r="213" spans="2:21" hidden="1" outlineLevel="1">
      <c r="B213" s="1045"/>
      <c r="C213" s="1045"/>
      <c r="D213" s="1051">
        <f t="shared" ref="D213:D214" si="27">D212+IF(LEN(E213)&gt;0,1,0)</f>
        <v>13</v>
      </c>
      <c r="E213" s="1051" t="str">
        <f>IF(COUNTIF(E$147:E212,F213)&gt;0,"",F213)</f>
        <v/>
      </c>
      <c r="F213" s="1051" t="str">
        <f t="shared" ref="F213:F214" si="28">IF(I213&lt;&gt;"",I213&amp;IF(L213&lt;&gt;"",", "&amp;L213,"")&amp;IF(K213&lt;&gt;"",", "&amp;K213,""),"")</f>
        <v/>
      </c>
      <c r="G213" s="1055" t="str">
        <f t="shared" ref="G213:G214" si="29">IF(F213&lt;&gt;"",F213&amp;IF(J213&lt;&gt;"","; "&amp;J213&amp;IF(N213&lt;&gt;"",", "&amp;N213,),""),"")</f>
        <v/>
      </c>
      <c r="I213" s="1100"/>
      <c r="J213" s="1048"/>
      <c r="K213" s="1048"/>
      <c r="L213" s="1048"/>
      <c r="M213" s="1048"/>
      <c r="N213" s="1048"/>
      <c r="O213" s="1048"/>
      <c r="P213" s="1048"/>
      <c r="Q213" s="1048"/>
      <c r="R213" s="1048"/>
      <c r="S213" s="1048"/>
      <c r="T213" s="1048"/>
      <c r="U213" s="1102"/>
    </row>
    <row r="214" spans="2:21" hidden="1" outlineLevel="1">
      <c r="B214" s="1045"/>
      <c r="C214" s="1045"/>
      <c r="D214" s="1051">
        <f t="shared" si="27"/>
        <v>13</v>
      </c>
      <c r="E214" s="1051" t="str">
        <f>IF(COUNTIF(E$147:E213,F214)&gt;0,"",F214)</f>
        <v/>
      </c>
      <c r="F214" s="1051" t="str">
        <f t="shared" si="28"/>
        <v/>
      </c>
      <c r="G214" s="1055" t="str">
        <f t="shared" si="29"/>
        <v/>
      </c>
      <c r="I214" s="1103"/>
      <c r="J214" s="1104"/>
      <c r="K214" s="1104"/>
      <c r="L214" s="1104"/>
      <c r="M214" s="1104"/>
      <c r="N214" s="1104"/>
      <c r="O214" s="1104"/>
      <c r="P214" s="1104"/>
      <c r="Q214" s="1104"/>
      <c r="R214" s="1104"/>
      <c r="S214" s="1104"/>
      <c r="T214" s="1104"/>
      <c r="U214" s="1106"/>
    </row>
    <row r="215" spans="2:21" hidden="1" outlineLevel="1"/>
    <row r="216" spans="2:21" hidden="1" outlineLevel="1">
      <c r="I216" s="1632" t="s">
        <v>1220</v>
      </c>
      <c r="J216" s="1633" t="s">
        <v>2111</v>
      </c>
      <c r="K216" s="1633" t="s">
        <v>1567</v>
      </c>
      <c r="L216" s="1633" t="s">
        <v>2089</v>
      </c>
      <c r="M216" s="1634">
        <v>0.5</v>
      </c>
      <c r="N216" s="1633"/>
      <c r="O216" s="1633">
        <v>917</v>
      </c>
      <c r="P216" s="1633"/>
      <c r="Q216" s="1633"/>
      <c r="R216" s="1633"/>
      <c r="S216" s="1633"/>
      <c r="T216" s="1633"/>
      <c r="U216" s="1611"/>
    </row>
    <row r="217" spans="2:21"/>
    <row r="218" spans="2:21" ht="15.6" collapsed="1">
      <c r="I218" s="3167" t="s">
        <v>39</v>
      </c>
      <c r="J218" s="3168"/>
      <c r="K218" s="3168"/>
      <c r="L218" s="3168"/>
      <c r="M218" s="3168"/>
      <c r="N218" s="3168"/>
      <c r="O218" s="3168"/>
      <c r="P218" s="3168"/>
      <c r="Q218" s="3168"/>
      <c r="R218" s="3168"/>
      <c r="S218" s="3168"/>
      <c r="T218" s="3168"/>
      <c r="U218" s="3169"/>
    </row>
    <row r="219" spans="2:21" hidden="1" outlineLevel="1">
      <c r="R219" s="1083"/>
    </row>
    <row r="220" spans="2:21" ht="12.75" hidden="1" customHeight="1" outlineLevel="1">
      <c r="B220" s="3154" t="s">
        <v>1617</v>
      </c>
      <c r="C220" s="3154"/>
      <c r="D220" s="3157" t="s">
        <v>1619</v>
      </c>
      <c r="E220" s="3157"/>
      <c r="F220" s="1151" t="s">
        <v>1616</v>
      </c>
      <c r="G220" s="1053" t="s">
        <v>1618</v>
      </c>
      <c r="H220" s="1044"/>
      <c r="I220" s="1038" t="s">
        <v>1557</v>
      </c>
      <c r="J220" s="1040" t="s">
        <v>1266</v>
      </c>
      <c r="K220" s="1043" t="s">
        <v>224</v>
      </c>
      <c r="L220" s="1043" t="s">
        <v>1558</v>
      </c>
      <c r="M220" s="1039" t="s">
        <v>366</v>
      </c>
      <c r="N220" s="1040" t="s">
        <v>1559</v>
      </c>
      <c r="O220" s="1041" t="s">
        <v>1560</v>
      </c>
      <c r="P220" s="1043" t="s">
        <v>211</v>
      </c>
      <c r="Q220" s="1043" t="s">
        <v>1561</v>
      </c>
      <c r="R220" s="1041" t="s">
        <v>1562</v>
      </c>
      <c r="S220" s="1041" t="s">
        <v>267</v>
      </c>
      <c r="T220" s="1043" t="s">
        <v>1563</v>
      </c>
      <c r="U220" s="1042" t="s">
        <v>1564</v>
      </c>
    </row>
    <row r="221" spans="2:21" s="1045" customFormat="1" ht="12.75" hidden="1" customHeight="1" outlineLevel="1">
      <c r="B221" s="3156" t="s">
        <v>39</v>
      </c>
      <c r="C221" s="3156"/>
      <c r="D221" s="1051">
        <v>0</v>
      </c>
      <c r="E221" s="1051"/>
      <c r="F221" s="1051"/>
      <c r="G221" s="1054"/>
      <c r="H221" s="1046"/>
      <c r="I221" s="1688"/>
      <c r="J221" s="1689"/>
      <c r="K221" s="1690"/>
      <c r="L221" s="1690"/>
      <c r="M221" s="1691"/>
      <c r="N221" s="1689"/>
      <c r="O221" s="1783"/>
      <c r="P221" s="1784"/>
      <c r="Q221" s="1784"/>
      <c r="R221" s="1783"/>
      <c r="S221" s="1783"/>
      <c r="T221" s="1784"/>
      <c r="U221" s="1785"/>
    </row>
    <row r="222" spans="2:21" hidden="1" outlineLevel="1">
      <c r="B222" s="1050">
        <v>1</v>
      </c>
      <c r="C222" s="1050" t="str">
        <f>IF(ISNA(VLOOKUP(B222,$D$221:$E$238,2,FALSE)),"-",VLOOKUP(B222,$D$221:$E$238,2,FALSE))</f>
        <v>Construction, France continentale, Base Carbone</v>
      </c>
      <c r="D222" s="1051">
        <f>D221+IF(LEN(E222)&gt;0,1,0)</f>
        <v>1</v>
      </c>
      <c r="E222" s="1051" t="str">
        <f>IF(COUNTIF(E$221:E221,F222)&gt;0,"",F222)</f>
        <v>Construction, France continentale, Base Carbone</v>
      </c>
      <c r="F222" s="1051" t="str">
        <f t="shared" ref="F222" si="30">IF(I222&lt;&gt;"",I222&amp;IF(L222&lt;&gt;"",", "&amp;L222,"")&amp;IF(K222&lt;&gt;"",", "&amp;K222,""),"")</f>
        <v>Construction, France continentale, Base Carbone</v>
      </c>
      <c r="G222" s="1055" t="str">
        <f t="shared" ref="G222" si="31">IF(F222&lt;&gt;"",F222&amp;IF(J222&lt;&gt;"","; "&amp;J222&amp;IF(N222&lt;&gt;"",", "&amp;N222,),""),"")</f>
        <v>Construction, France continentale, Base Carbone; kgCO2e/keuro</v>
      </c>
      <c r="I222" s="1100" t="s">
        <v>548</v>
      </c>
      <c r="J222" s="1048" t="s">
        <v>2111</v>
      </c>
      <c r="K222" s="1119" t="s">
        <v>1567</v>
      </c>
      <c r="L222" s="1048" t="s">
        <v>1571</v>
      </c>
      <c r="M222" s="1033">
        <v>0.8</v>
      </c>
      <c r="N222" s="1048"/>
      <c r="O222" s="1048">
        <v>360</v>
      </c>
      <c r="P222" s="1626"/>
      <c r="Q222" s="1626"/>
      <c r="R222" s="1626"/>
      <c r="S222" s="1626"/>
      <c r="T222" s="1626"/>
      <c r="U222" s="1627"/>
    </row>
    <row r="223" spans="2:21" hidden="1" outlineLevel="1">
      <c r="B223" s="1050">
        <v>2</v>
      </c>
      <c r="C223" s="1050" t="str">
        <f t="shared" ref="C223:C237" si="32">IF(ISNA(VLOOKUP(B223,$D$221:$E$238,2,FALSE)),"-",VLOOKUP(B223,$D$221:$E$238,2,FALSE))</f>
        <v>Entreposage et services auxiliaires des transports, France continentale, Base Carbone</v>
      </c>
      <c r="D223" s="1051">
        <f t="shared" ref="D223:D237" si="33">D222+IF(LEN(E223)&gt;0,1,0)</f>
        <v>2</v>
      </c>
      <c r="E223" s="1051" t="str">
        <f>IF(COUNTIF(E$221:E222,F223)&gt;0,"",F223)</f>
        <v>Entreposage et services auxiliaires des transports, France continentale, Base Carbone</v>
      </c>
      <c r="F223" s="1051" t="str">
        <f t="shared" ref="F223:F237" si="34">IF(I223&lt;&gt;"",I223&amp;IF(L223&lt;&gt;"",", "&amp;L223,"")&amp;IF(K223&lt;&gt;"",", "&amp;K223,""),"")</f>
        <v>Entreposage et services auxiliaires des transports, France continentale, Base Carbone</v>
      </c>
      <c r="G223" s="1055" t="str">
        <f t="shared" ref="G223:G237" si="35">IF(F223&lt;&gt;"",F223&amp;IF(J223&lt;&gt;"","; "&amp;J223&amp;IF(N223&lt;&gt;"",", "&amp;N223,),""),"")</f>
        <v>Entreposage et services auxiliaires des transports, France continentale, Base Carbone; kgCO2e/keuro</v>
      </c>
      <c r="I223" s="1100" t="s">
        <v>1236</v>
      </c>
      <c r="J223" s="1048" t="s">
        <v>2111</v>
      </c>
      <c r="K223" s="1119" t="s">
        <v>1567</v>
      </c>
      <c r="L223" s="1048" t="s">
        <v>1571</v>
      </c>
      <c r="M223" s="1033">
        <v>0.8</v>
      </c>
      <c r="N223" s="1048"/>
      <c r="O223" s="1048">
        <v>170</v>
      </c>
      <c r="P223" s="1628"/>
      <c r="Q223" s="1628"/>
      <c r="R223" s="1628"/>
      <c r="S223" s="1628"/>
      <c r="T223" s="1626"/>
      <c r="U223" s="1629"/>
    </row>
    <row r="224" spans="2:21" hidden="1" outlineLevel="1">
      <c r="B224" s="1050">
        <v>3</v>
      </c>
      <c r="C224" s="1050" t="str">
        <f t="shared" si="32"/>
        <v>Machines et équipements, France continentale, Base Carbone</v>
      </c>
      <c r="D224" s="1051">
        <f t="shared" si="33"/>
        <v>3</v>
      </c>
      <c r="E224" s="1051" t="str">
        <f>IF(COUNTIF(E$221:E223,F224)&gt;0,"",F224)</f>
        <v>Machines et équipements, France continentale, Base Carbone</v>
      </c>
      <c r="F224" s="1051" t="str">
        <f t="shared" si="34"/>
        <v>Machines et équipements, France continentale, Base Carbone</v>
      </c>
      <c r="G224" s="1055" t="str">
        <f t="shared" si="35"/>
        <v>Machines et équipements, France continentale, Base Carbone; kgCO2e/keuro</v>
      </c>
      <c r="I224" s="1100" t="s">
        <v>1239</v>
      </c>
      <c r="J224" s="1048" t="s">
        <v>2111</v>
      </c>
      <c r="K224" s="1119" t="s">
        <v>1567</v>
      </c>
      <c r="L224" s="1048" t="s">
        <v>1571</v>
      </c>
      <c r="M224" s="1033">
        <v>0.8</v>
      </c>
      <c r="N224" s="1048"/>
      <c r="O224" s="1048">
        <v>700</v>
      </c>
      <c r="P224" s="1628"/>
      <c r="Q224" s="1628"/>
      <c r="R224" s="1628"/>
      <c r="S224" s="1628"/>
      <c r="T224" s="1626"/>
      <c r="U224" s="1629"/>
    </row>
    <row r="225" spans="2:21" hidden="1" outlineLevel="1">
      <c r="B225" s="1050">
        <v>4</v>
      </c>
      <c r="C225" s="1050" t="str">
        <f t="shared" si="32"/>
        <v>Matériel de transport, France continentale, Base Carbone</v>
      </c>
      <c r="D225" s="1051">
        <f t="shared" si="33"/>
        <v>4</v>
      </c>
      <c r="E225" s="1051" t="str">
        <f>IF(COUNTIF(E$221:E224,F225)&gt;0,"",F225)</f>
        <v>Matériel de transport, France continentale, Base Carbone</v>
      </c>
      <c r="F225" s="1051" t="str">
        <f t="shared" si="34"/>
        <v>Matériel de transport, France continentale, Base Carbone</v>
      </c>
      <c r="G225" s="1055" t="str">
        <f t="shared" si="35"/>
        <v>Matériel de transport, France continentale, Base Carbone; kgCO2e/keuro</v>
      </c>
      <c r="I225" s="1100" t="s">
        <v>1240</v>
      </c>
      <c r="J225" s="1048" t="s">
        <v>2111</v>
      </c>
      <c r="K225" s="1119" t="s">
        <v>1567</v>
      </c>
      <c r="L225" s="1048" t="s">
        <v>1571</v>
      </c>
      <c r="M225" s="1033">
        <v>0.8</v>
      </c>
      <c r="N225" s="1048"/>
      <c r="O225" s="1048">
        <v>700</v>
      </c>
      <c r="P225" s="1628"/>
      <c r="Q225" s="1628"/>
      <c r="R225" s="1628"/>
      <c r="S225" s="1628"/>
      <c r="T225" s="1626"/>
      <c r="U225" s="1629"/>
    </row>
    <row r="226" spans="2:21" hidden="1" outlineLevel="1">
      <c r="B226" s="1050">
        <v>5</v>
      </c>
      <c r="C226" s="1050" t="str">
        <f t="shared" si="32"/>
        <v>Meubles et autres biens manufacturés, France continentale, Base Carbone</v>
      </c>
      <c r="D226" s="1051">
        <f t="shared" si="33"/>
        <v>5</v>
      </c>
      <c r="E226" s="1051" t="str">
        <f>IF(COUNTIF(E$221:E225,F226)&gt;0,"",F226)</f>
        <v>Meubles et autres biens manufacturés, France continentale, Base Carbone</v>
      </c>
      <c r="F226" s="1051" t="str">
        <f t="shared" si="34"/>
        <v>Meubles et autres biens manufacturés, France continentale, Base Carbone</v>
      </c>
      <c r="G226" s="1055" t="str">
        <f t="shared" si="35"/>
        <v>Meubles et autres biens manufacturés, France continentale, Base Carbone; kgCO2e/keuro</v>
      </c>
      <c r="I226" s="1100" t="s">
        <v>1242</v>
      </c>
      <c r="J226" s="1048" t="s">
        <v>2111</v>
      </c>
      <c r="K226" s="1119" t="s">
        <v>1567</v>
      </c>
      <c r="L226" s="1048" t="s">
        <v>1571</v>
      </c>
      <c r="M226" s="1033">
        <v>0.8</v>
      </c>
      <c r="N226" s="1048"/>
      <c r="O226" s="1135">
        <v>600</v>
      </c>
      <c r="P226" s="1628"/>
      <c r="Q226" s="1628"/>
      <c r="R226" s="1628"/>
      <c r="S226" s="1628"/>
      <c r="T226" s="1626"/>
      <c r="U226" s="1629"/>
    </row>
    <row r="227" spans="2:21" hidden="1" outlineLevel="1">
      <c r="B227" s="1050">
        <v>6</v>
      </c>
      <c r="C227" s="1050" t="str">
        <f t="shared" si="32"/>
        <v>Métaux (aluminium, cuivre, acier, etc.), France continentale, Base Carbone</v>
      </c>
      <c r="D227" s="1051">
        <f t="shared" si="33"/>
        <v>6</v>
      </c>
      <c r="E227" s="1051" t="str">
        <f>IF(COUNTIF(E$221:E226,F227)&gt;0,"",F227)</f>
        <v>Métaux (aluminium, cuivre, acier, etc.), France continentale, Base Carbone</v>
      </c>
      <c r="F227" s="1051" t="str">
        <f t="shared" si="34"/>
        <v>Métaux (aluminium, cuivre, acier, etc.), France continentale, Base Carbone</v>
      </c>
      <c r="G227" s="1055" t="str">
        <f t="shared" si="35"/>
        <v>Métaux (aluminium, cuivre, acier, etc.), France continentale, Base Carbone; kgCO2e/keuro</v>
      </c>
      <c r="I227" s="1100" t="s">
        <v>1241</v>
      </c>
      <c r="J227" s="1048" t="s">
        <v>2111</v>
      </c>
      <c r="K227" s="1119" t="s">
        <v>1567</v>
      </c>
      <c r="L227" s="1048" t="s">
        <v>1571</v>
      </c>
      <c r="M227" s="1033">
        <v>0.8</v>
      </c>
      <c r="N227" s="1048"/>
      <c r="O227" s="1048">
        <v>1700</v>
      </c>
      <c r="P227" s="1630"/>
      <c r="Q227" s="1630"/>
      <c r="R227" s="1630"/>
      <c r="S227" s="1630"/>
      <c r="T227" s="1630"/>
      <c r="U227" s="1631"/>
    </row>
    <row r="228" spans="2:21" hidden="1" outlineLevel="1">
      <c r="B228" s="1050">
        <v>7</v>
      </c>
      <c r="C228" s="1050" t="str">
        <f t="shared" si="32"/>
        <v>Plastiques et caoutchouc, France continentale, Base Carbone</v>
      </c>
      <c r="D228" s="1051">
        <f t="shared" si="33"/>
        <v>7</v>
      </c>
      <c r="E228" s="1051" t="str">
        <f>IF(COUNTIF(E$221:E227,F228)&gt;0,"",F228)</f>
        <v>Plastiques et caoutchouc, France continentale, Base Carbone</v>
      </c>
      <c r="F228" s="1051" t="str">
        <f t="shared" si="34"/>
        <v>Plastiques et caoutchouc, France continentale, Base Carbone</v>
      </c>
      <c r="G228" s="1055" t="str">
        <f t="shared" si="35"/>
        <v>Plastiques et caoutchouc, France continentale, Base Carbone; kgCO2e/keuro</v>
      </c>
      <c r="I228" s="1100" t="s">
        <v>1244</v>
      </c>
      <c r="J228" s="1048" t="s">
        <v>2111</v>
      </c>
      <c r="K228" s="1119" t="s">
        <v>1567</v>
      </c>
      <c r="L228" s="1048" t="s">
        <v>1571</v>
      </c>
      <c r="M228" s="1033">
        <v>0.8</v>
      </c>
      <c r="N228" s="1048"/>
      <c r="O228" s="1048">
        <v>800</v>
      </c>
      <c r="P228" s="1630"/>
      <c r="Q228" s="1630"/>
      <c r="R228" s="1630"/>
      <c r="S228" s="1630"/>
      <c r="T228" s="1630"/>
      <c r="U228" s="1631"/>
    </row>
    <row r="229" spans="2:21" hidden="1" outlineLevel="1">
      <c r="B229" s="1050">
        <v>8</v>
      </c>
      <c r="C229" s="1050" t="str">
        <f t="shared" si="32"/>
        <v>Produit minéraux (ciment, verre, etc.), France continentale, Base Carbone</v>
      </c>
      <c r="D229" s="1051">
        <f t="shared" si="33"/>
        <v>8</v>
      </c>
      <c r="E229" s="1051" t="str">
        <f>IF(COUNTIF(E$221:E228,F229)&gt;0,"",F229)</f>
        <v>Produit minéraux (ciment, verre, etc.), France continentale, Base Carbone</v>
      </c>
      <c r="F229" s="1051" t="str">
        <f t="shared" si="34"/>
        <v>Produit minéraux (ciment, verre, etc.), France continentale, Base Carbone</v>
      </c>
      <c r="G229" s="1055" t="str">
        <f t="shared" si="35"/>
        <v>Produit minéraux (ciment, verre, etc.), France continentale, Base Carbone; kgCO2e/keuro</v>
      </c>
      <c r="I229" s="1100" t="s">
        <v>1246</v>
      </c>
      <c r="J229" s="1048" t="s">
        <v>2111</v>
      </c>
      <c r="K229" s="1119" t="s">
        <v>1567</v>
      </c>
      <c r="L229" s="1048" t="s">
        <v>1571</v>
      </c>
      <c r="M229" s="1033">
        <v>0.8</v>
      </c>
      <c r="N229" s="1048"/>
      <c r="O229" s="1048">
        <v>1800</v>
      </c>
      <c r="P229" s="1630"/>
      <c r="Q229" s="1630"/>
      <c r="R229" s="1630"/>
      <c r="S229" s="1630"/>
      <c r="T229" s="1630"/>
      <c r="U229" s="1631"/>
    </row>
    <row r="230" spans="2:21" hidden="1" outlineLevel="1">
      <c r="B230" s="1050">
        <v>9</v>
      </c>
      <c r="C230" s="1050" t="str">
        <f t="shared" si="32"/>
        <v>Produits métalliques, sauf machines et équipements, France continentale, Base Carbone</v>
      </c>
      <c r="D230" s="1051">
        <f t="shared" si="33"/>
        <v>9</v>
      </c>
      <c r="E230" s="1051" t="str">
        <f>IF(COUNTIF(E$221:E229,F230)&gt;0,"",F230)</f>
        <v>Produits métalliques, sauf machines et équipements, France continentale, Base Carbone</v>
      </c>
      <c r="F230" s="1051" t="str">
        <f t="shared" si="34"/>
        <v>Produits métalliques, sauf machines et équipements, France continentale, Base Carbone</v>
      </c>
      <c r="G230" s="1055" t="str">
        <f t="shared" si="35"/>
        <v>Produits métalliques, sauf machines et équipements, France continentale, Base Carbone; kgCO2e/keuro</v>
      </c>
      <c r="I230" s="1100" t="s">
        <v>1249</v>
      </c>
      <c r="J230" s="1048" t="s">
        <v>2111</v>
      </c>
      <c r="K230" s="1119" t="s">
        <v>1567</v>
      </c>
      <c r="L230" s="1048" t="s">
        <v>1571</v>
      </c>
      <c r="M230" s="1033">
        <v>0.8</v>
      </c>
      <c r="N230" s="1048"/>
      <c r="O230" s="1048">
        <v>600</v>
      </c>
      <c r="P230" s="1630"/>
      <c r="Q230" s="1630"/>
      <c r="R230" s="1630"/>
      <c r="S230" s="1630"/>
      <c r="T230" s="1630"/>
      <c r="U230" s="1631"/>
    </row>
    <row r="231" spans="2:21" hidden="1" outlineLevel="1">
      <c r="B231" s="1050">
        <v>10</v>
      </c>
      <c r="C231" s="1050" t="str">
        <f t="shared" si="32"/>
        <v>Réparation et installation de machines et d'équipements, France continentale, Base Carbone</v>
      </c>
      <c r="D231" s="1051">
        <f t="shared" si="33"/>
        <v>10</v>
      </c>
      <c r="E231" s="1051" t="str">
        <f>IF(COUNTIF(E$221:E230,F231)&gt;0,"",F231)</f>
        <v>Réparation et installation de machines et d'équipements, France continentale, Base Carbone</v>
      </c>
      <c r="F231" s="1051" t="str">
        <f t="shared" si="34"/>
        <v>Réparation et installation de machines et d'équipements, France continentale, Base Carbone</v>
      </c>
      <c r="G231" s="1055" t="str">
        <f t="shared" si="35"/>
        <v>Réparation et installation de machines et d'équipements, France continentale, Base Carbone; kgCO2e/keuro</v>
      </c>
      <c r="I231" s="1100" t="s">
        <v>1252</v>
      </c>
      <c r="J231" s="1048" t="s">
        <v>2111</v>
      </c>
      <c r="K231" s="1119" t="s">
        <v>1567</v>
      </c>
      <c r="L231" s="1048" t="s">
        <v>1571</v>
      </c>
      <c r="M231" s="1033">
        <v>0.8</v>
      </c>
      <c r="N231" s="1048"/>
      <c r="O231" s="1048">
        <v>390</v>
      </c>
      <c r="P231" s="1628"/>
      <c r="Q231" s="1628"/>
      <c r="R231" s="1628"/>
      <c r="S231" s="1628"/>
      <c r="T231" s="1626"/>
      <c r="U231" s="1629"/>
    </row>
    <row r="232" spans="2:21" hidden="1" outlineLevel="1">
      <c r="B232" s="1050">
        <v>11</v>
      </c>
      <c r="C232" s="1050" t="str">
        <f t="shared" si="32"/>
        <v>Services (imprimerie, publicité, architecture et ingénierie, maintenance multi-technique des bâtimen, France continentale, Base Carbone</v>
      </c>
      <c r="D232" s="1051">
        <f t="shared" si="33"/>
        <v>11</v>
      </c>
      <c r="E232" s="1051" t="str">
        <f>IF(COUNTIF(E$221:E231,F232)&gt;0,"",F232)</f>
        <v>Services (imprimerie, publicité, architecture et ingénierie, maintenance multi-technique des bâtimen, France continentale, Base Carbone</v>
      </c>
      <c r="F232" s="1051" t="str">
        <f t="shared" si="34"/>
        <v>Services (imprimerie, publicité, architecture et ingénierie, maintenance multi-technique des bâtimen, France continentale, Base Carbone</v>
      </c>
      <c r="G232" s="1055" t="str">
        <f t="shared" si="35"/>
        <v>Services (imprimerie, publicité, architecture et ingénierie, maintenance multi-technique des bâtimen, France continentale, Base Carbone; kgCO2e/keuro</v>
      </c>
      <c r="I232" s="1100" t="s">
        <v>1253</v>
      </c>
      <c r="J232" s="1048" t="s">
        <v>2111</v>
      </c>
      <c r="K232" s="1119" t="s">
        <v>1567</v>
      </c>
      <c r="L232" s="1048" t="s">
        <v>1571</v>
      </c>
      <c r="M232" s="1033">
        <v>0.8</v>
      </c>
      <c r="N232" s="1048"/>
      <c r="O232" s="1048">
        <v>170</v>
      </c>
      <c r="P232" s="1626"/>
      <c r="Q232" s="1626"/>
      <c r="R232" s="1626"/>
      <c r="S232" s="1626"/>
      <c r="T232" s="1626"/>
      <c r="U232" s="1627"/>
    </row>
    <row r="233" spans="2:21" hidden="1" outlineLevel="1">
      <c r="B233" s="1050">
        <v>12</v>
      </c>
      <c r="C233" s="1050" t="str">
        <f t="shared" si="32"/>
        <v>-</v>
      </c>
      <c r="D233" s="1051">
        <f t="shared" si="33"/>
        <v>11</v>
      </c>
      <c r="E233" s="1051" t="str">
        <f>IF(COUNTIF(E$221:E232,F233)&gt;0,"",F233)</f>
        <v/>
      </c>
      <c r="F233" s="1051" t="str">
        <f t="shared" si="34"/>
        <v/>
      </c>
      <c r="G233" s="1055" t="str">
        <f t="shared" si="35"/>
        <v/>
      </c>
      <c r="I233" s="1100"/>
      <c r="J233" s="1048"/>
      <c r="K233" s="1048"/>
      <c r="L233" s="1048"/>
      <c r="M233" s="1048"/>
      <c r="N233" s="1048"/>
      <c r="O233" s="1048"/>
      <c r="P233" s="1048"/>
      <c r="Q233" s="1048"/>
      <c r="R233" s="1048"/>
      <c r="S233" s="1048"/>
      <c r="T233" s="1048"/>
      <c r="U233" s="1102"/>
    </row>
    <row r="234" spans="2:21" hidden="1" outlineLevel="1">
      <c r="B234" s="1050">
        <v>13</v>
      </c>
      <c r="C234" s="1050" t="str">
        <f t="shared" si="32"/>
        <v>-</v>
      </c>
      <c r="D234" s="1051">
        <f t="shared" si="33"/>
        <v>11</v>
      </c>
      <c r="E234" s="1051" t="str">
        <f>IF(COUNTIF(E$221:E233,F234)&gt;0,"",F234)</f>
        <v/>
      </c>
      <c r="F234" s="1051" t="str">
        <f t="shared" si="34"/>
        <v/>
      </c>
      <c r="G234" s="1055" t="str">
        <f t="shared" si="35"/>
        <v/>
      </c>
      <c r="I234" s="1100"/>
      <c r="J234" s="1048"/>
      <c r="K234" s="1048"/>
      <c r="L234" s="1048"/>
      <c r="M234" s="1048"/>
      <c r="N234" s="1048"/>
      <c r="O234" s="1048"/>
      <c r="P234" s="1048"/>
      <c r="Q234" s="1048"/>
      <c r="R234" s="1048"/>
      <c r="S234" s="1048"/>
      <c r="T234" s="1048"/>
      <c r="U234" s="1102"/>
    </row>
    <row r="235" spans="2:21" hidden="1" outlineLevel="1">
      <c r="B235" s="1050">
        <v>14</v>
      </c>
      <c r="C235" s="1050" t="str">
        <f t="shared" si="32"/>
        <v>-</v>
      </c>
      <c r="D235" s="1051">
        <f t="shared" si="33"/>
        <v>11</v>
      </c>
      <c r="E235" s="1051" t="str">
        <f>IF(COUNTIF(E$221:E234,F235)&gt;0,"",F235)</f>
        <v/>
      </c>
      <c r="F235" s="1051" t="str">
        <f t="shared" si="34"/>
        <v/>
      </c>
      <c r="G235" s="1055" t="str">
        <f t="shared" si="35"/>
        <v/>
      </c>
      <c r="I235" s="1100"/>
      <c r="J235" s="1048"/>
      <c r="K235" s="1048"/>
      <c r="L235" s="1048"/>
      <c r="M235" s="1048"/>
      <c r="N235" s="1048"/>
      <c r="O235" s="1048"/>
      <c r="P235" s="1048"/>
      <c r="Q235" s="1048"/>
      <c r="R235" s="1048"/>
      <c r="S235" s="1048"/>
      <c r="T235" s="1048"/>
      <c r="U235" s="1102"/>
    </row>
    <row r="236" spans="2:21" hidden="1" outlineLevel="1">
      <c r="B236" s="1050">
        <v>15</v>
      </c>
      <c r="C236" s="1050" t="str">
        <f t="shared" si="32"/>
        <v>-</v>
      </c>
      <c r="D236" s="1051">
        <f t="shared" si="33"/>
        <v>11</v>
      </c>
      <c r="E236" s="1051" t="str">
        <f>IF(COUNTIF(E$221:E235,F236)&gt;0,"",F236)</f>
        <v/>
      </c>
      <c r="F236" s="1051" t="str">
        <f t="shared" si="34"/>
        <v/>
      </c>
      <c r="G236" s="1055" t="str">
        <f t="shared" si="35"/>
        <v/>
      </c>
      <c r="I236" s="1100"/>
      <c r="J236" s="1048"/>
      <c r="K236" s="1048"/>
      <c r="L236" s="1048"/>
      <c r="M236" s="1048"/>
      <c r="N236" s="1048"/>
      <c r="O236" s="1048"/>
      <c r="P236" s="1048"/>
      <c r="Q236" s="1048"/>
      <c r="R236" s="1048"/>
      <c r="S236" s="1048"/>
      <c r="T236" s="1048"/>
      <c r="U236" s="1102"/>
    </row>
    <row r="237" spans="2:21" hidden="1" outlineLevel="1">
      <c r="B237" s="1050">
        <v>16</v>
      </c>
      <c r="C237" s="1050" t="str">
        <f t="shared" si="32"/>
        <v>-</v>
      </c>
      <c r="D237" s="1051">
        <f t="shared" si="33"/>
        <v>11</v>
      </c>
      <c r="E237" s="1051" t="str">
        <f>IF(COUNTIF(E$221:E236,F237)&gt;0,"",F237)</f>
        <v/>
      </c>
      <c r="F237" s="1051" t="str">
        <f t="shared" si="34"/>
        <v/>
      </c>
      <c r="G237" s="1055" t="str">
        <f t="shared" si="35"/>
        <v/>
      </c>
      <c r="I237" s="1103" t="str">
        <f>J237&amp;IF(K237&lt;&gt;"",", "&amp;K237,)</f>
        <v/>
      </c>
      <c r="J237" s="1104"/>
      <c r="K237" s="1104"/>
      <c r="L237" s="1104"/>
      <c r="M237" s="1104"/>
      <c r="N237" s="1104"/>
      <c r="O237" s="1104"/>
      <c r="P237" s="1104"/>
      <c r="Q237" s="1104"/>
      <c r="R237" s="1104"/>
      <c r="S237" s="1104"/>
      <c r="T237" s="1104"/>
      <c r="U237" s="1106"/>
    </row>
    <row r="238" spans="2:21" hidden="1" outlineLevel="1"/>
    <row r="239" spans="2:21"/>
    <row r="240" spans="2:21" ht="15.6" collapsed="1">
      <c r="I240" s="2916" t="s">
        <v>821</v>
      </c>
      <c r="J240" s="2917"/>
      <c r="K240" s="2917"/>
      <c r="L240" s="2917"/>
      <c r="M240" s="2917"/>
      <c r="N240" s="2917"/>
      <c r="O240" s="2917"/>
      <c r="P240" s="2917"/>
      <c r="Q240" s="2917"/>
      <c r="R240" s="2917"/>
      <c r="S240" s="2917"/>
      <c r="T240" s="2917"/>
      <c r="U240" s="2918"/>
    </row>
    <row r="241" spans="9:21" ht="13.2" hidden="1" outlineLevel="1">
      <c r="I241" s="91"/>
      <c r="J241" s="91"/>
      <c r="K241" s="91"/>
      <c r="L241" s="91"/>
      <c r="M241" s="91"/>
      <c r="N241" s="91"/>
      <c r="O241" s="91"/>
      <c r="P241" s="91"/>
      <c r="Q241" s="91"/>
      <c r="R241" s="1083"/>
    </row>
    <row r="242" spans="9:21" ht="12.75" hidden="1" customHeight="1" outlineLevel="1">
      <c r="I242" s="1675" t="s">
        <v>822</v>
      </c>
      <c r="J242" s="3173" t="s">
        <v>823</v>
      </c>
      <c r="K242" s="3174"/>
      <c r="L242" s="3173" t="s">
        <v>824</v>
      </c>
      <c r="M242" s="3174"/>
      <c r="N242" s="3173" t="s">
        <v>825</v>
      </c>
      <c r="O242" s="3174"/>
      <c r="P242" s="3175" t="s">
        <v>826</v>
      </c>
      <c r="Q242" s="3176"/>
      <c r="R242" s="3176"/>
      <c r="S242" s="3176"/>
      <c r="T242" s="3176"/>
      <c r="U242" s="3176"/>
    </row>
    <row r="243" spans="9:21" ht="12.75" hidden="1" customHeight="1" outlineLevel="1">
      <c r="I243" s="998" t="s">
        <v>1567</v>
      </c>
      <c r="J243" s="3182" t="s">
        <v>827</v>
      </c>
      <c r="K243" s="3183"/>
      <c r="L243" s="3177" t="s">
        <v>5127</v>
      </c>
      <c r="M243" s="3178"/>
      <c r="N243" s="3182" t="s">
        <v>828</v>
      </c>
      <c r="O243" s="3183"/>
      <c r="P243" s="3186" t="s">
        <v>901</v>
      </c>
      <c r="Q243" s="3187"/>
      <c r="R243" s="3187"/>
      <c r="S243" s="3187"/>
      <c r="T243" s="3187"/>
      <c r="U243" s="3188"/>
    </row>
    <row r="244" spans="9:21" ht="12.75" hidden="1" customHeight="1" outlineLevel="1">
      <c r="I244" s="998" t="s">
        <v>1784</v>
      </c>
      <c r="J244" s="3184"/>
      <c r="K244" s="3185"/>
      <c r="L244" s="3177" t="s">
        <v>1224</v>
      </c>
      <c r="M244" s="3178"/>
      <c r="N244" s="3184"/>
      <c r="O244" s="3185"/>
      <c r="P244" s="3189"/>
      <c r="Q244" s="3190"/>
      <c r="R244" s="3190"/>
      <c r="S244" s="3190"/>
      <c r="T244" s="3190"/>
      <c r="U244" s="3191"/>
    </row>
    <row r="245" spans="9:21" ht="12.75" hidden="1" customHeight="1" outlineLevel="1">
      <c r="I245" s="998" t="s">
        <v>829</v>
      </c>
      <c r="J245" s="3177" t="s">
        <v>829</v>
      </c>
      <c r="K245" s="3178"/>
      <c r="L245" s="3177" t="s">
        <v>850</v>
      </c>
      <c r="M245" s="3178"/>
      <c r="N245" s="3177" t="s">
        <v>851</v>
      </c>
      <c r="O245" s="3178"/>
      <c r="P245" s="3179" t="s">
        <v>830</v>
      </c>
      <c r="Q245" s="3180"/>
      <c r="R245" s="3180"/>
      <c r="S245" s="3180"/>
      <c r="T245" s="3180"/>
      <c r="U245" s="3181"/>
    </row>
    <row r="246" spans="9:21" ht="12.75" hidden="1" customHeight="1" outlineLevel="1">
      <c r="I246" s="998" t="s">
        <v>832</v>
      </c>
      <c r="J246" s="3177" t="s">
        <v>832</v>
      </c>
      <c r="K246" s="3178"/>
      <c r="L246" s="3177" t="s">
        <v>833</v>
      </c>
      <c r="M246" s="3178"/>
      <c r="N246" s="3177" t="s">
        <v>1553</v>
      </c>
      <c r="O246" s="3178"/>
      <c r="P246" s="3179" t="s">
        <v>834</v>
      </c>
      <c r="Q246" s="3180"/>
      <c r="R246" s="3180"/>
      <c r="S246" s="3180"/>
      <c r="T246" s="3180"/>
      <c r="U246" s="3181"/>
    </row>
    <row r="247" spans="9:21" ht="12.75" hidden="1" customHeight="1" outlineLevel="1">
      <c r="I247" s="998"/>
      <c r="J247" s="3177"/>
      <c r="K247" s="3178"/>
      <c r="L247" s="3177"/>
      <c r="M247" s="3178"/>
      <c r="N247" s="3177"/>
      <c r="O247" s="3178"/>
      <c r="P247" s="3179"/>
      <c r="Q247" s="3180"/>
      <c r="R247" s="3180"/>
      <c r="S247" s="3180"/>
      <c r="T247" s="3180"/>
      <c r="U247" s="3181"/>
    </row>
    <row r="248" spans="9:21" ht="12.75" hidden="1" customHeight="1" outlineLevel="1">
      <c r="I248" s="998"/>
      <c r="J248" s="3177"/>
      <c r="K248" s="3178"/>
      <c r="L248" s="3177"/>
      <c r="M248" s="3178"/>
      <c r="N248" s="3177"/>
      <c r="O248" s="3178"/>
      <c r="P248" s="3179"/>
      <c r="Q248" s="3180"/>
      <c r="R248" s="3180"/>
      <c r="S248" s="3180"/>
      <c r="T248" s="3180"/>
      <c r="U248" s="3181"/>
    </row>
    <row r="249" spans="9:21" ht="12.75" hidden="1" customHeight="1" outlineLevel="1">
      <c r="I249" s="998"/>
      <c r="J249" s="3177"/>
      <c r="K249" s="3178"/>
      <c r="L249" s="3177"/>
      <c r="M249" s="3178"/>
      <c r="N249" s="3177"/>
      <c r="O249" s="3178"/>
      <c r="P249" s="3179"/>
      <c r="Q249" s="3180"/>
      <c r="R249" s="3180"/>
      <c r="S249" s="3180"/>
      <c r="T249" s="3180"/>
      <c r="U249" s="3181"/>
    </row>
    <row r="250" spans="9:21" ht="12.75" hidden="1" customHeight="1" outlineLevel="1">
      <c r="I250" s="998"/>
      <c r="J250" s="3177"/>
      <c r="K250" s="3178"/>
      <c r="L250" s="3177"/>
      <c r="M250" s="3178"/>
      <c r="N250" s="3177"/>
      <c r="O250" s="3178"/>
      <c r="P250" s="3179"/>
      <c r="Q250" s="3180"/>
      <c r="R250" s="3180"/>
      <c r="S250" s="3180"/>
      <c r="T250" s="3180"/>
      <c r="U250" s="3181"/>
    </row>
    <row r="251" spans="9:21">
      <c r="R251" s="1083"/>
    </row>
    <row r="252" spans="9:21"/>
    <row r="253" spans="9:21"/>
    <row r="254" spans="9:21"/>
    <row r="255" spans="9:21"/>
    <row r="256" spans="9:2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sheetData>
  <mergeCells count="60">
    <mergeCell ref="J249:K249"/>
    <mergeCell ref="L249:M249"/>
    <mergeCell ref="N249:O249"/>
    <mergeCell ref="P249:U249"/>
    <mergeCell ref="J250:K250"/>
    <mergeCell ref="L250:M250"/>
    <mergeCell ref="N250:O250"/>
    <mergeCell ref="P250:U250"/>
    <mergeCell ref="J247:K247"/>
    <mergeCell ref="L247:M247"/>
    <mergeCell ref="N247:O247"/>
    <mergeCell ref="P247:U247"/>
    <mergeCell ref="J248:K248"/>
    <mergeCell ref="L248:M248"/>
    <mergeCell ref="N248:O248"/>
    <mergeCell ref="P248:U248"/>
    <mergeCell ref="J245:K245"/>
    <mergeCell ref="L245:M245"/>
    <mergeCell ref="N245:O245"/>
    <mergeCell ref="P245:U245"/>
    <mergeCell ref="J246:K246"/>
    <mergeCell ref="L246:M246"/>
    <mergeCell ref="N246:O246"/>
    <mergeCell ref="P246:U246"/>
    <mergeCell ref="J243:K244"/>
    <mergeCell ref="L243:M243"/>
    <mergeCell ref="N243:O244"/>
    <mergeCell ref="P243:U244"/>
    <mergeCell ref="L244:M244"/>
    <mergeCell ref="B2:C2"/>
    <mergeCell ref="J2:U5"/>
    <mergeCell ref="B3:C3"/>
    <mergeCell ref="I240:U240"/>
    <mergeCell ref="J242:K242"/>
    <mergeCell ref="L242:M242"/>
    <mergeCell ref="N242:O242"/>
    <mergeCell ref="P242:U242"/>
    <mergeCell ref="I144:U144"/>
    <mergeCell ref="B146:C146"/>
    <mergeCell ref="D146:E146"/>
    <mergeCell ref="B147:C147"/>
    <mergeCell ref="B87:C87"/>
    <mergeCell ref="B58:C58"/>
    <mergeCell ref="B86:C86"/>
    <mergeCell ref="D86:E86"/>
    <mergeCell ref="I218:U218"/>
    <mergeCell ref="B220:C220"/>
    <mergeCell ref="D220:E220"/>
    <mergeCell ref="B221:C221"/>
    <mergeCell ref="I8:U8"/>
    <mergeCell ref="I10:U10"/>
    <mergeCell ref="B12:C12"/>
    <mergeCell ref="D12:E12"/>
    <mergeCell ref="B13:C13"/>
    <mergeCell ref="I133:U133"/>
    <mergeCell ref="B135:C135"/>
    <mergeCell ref="D135:E135"/>
    <mergeCell ref="B136:C136"/>
    <mergeCell ref="B38:C38"/>
    <mergeCell ref="I84:U84"/>
  </mergeCells>
  <hyperlinks>
    <hyperlink ref="P245" r:id="rId1" xr:uid="{00000000-0004-0000-1C00-000000000000}"/>
    <hyperlink ref="P246" r:id="rId2" xr:uid="{00000000-0004-0000-1C00-000001000000}"/>
    <hyperlink ref="P243" r:id="rId3" xr:uid="{00000000-0004-0000-1C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ummaryRight="0"/>
  </sheetPr>
  <dimension ref="A1:BG375"/>
  <sheetViews>
    <sheetView showGridLines="0" zoomScale="85" zoomScaleNormal="85" workbookViewId="0">
      <pane xSplit="3" ySplit="6" topLeftCell="D7" activePane="bottomRight" state="frozen"/>
      <selection pane="topRight" activeCell="D1" sqref="D1"/>
      <selection pane="bottomLeft" activeCell="A7" sqref="A7"/>
      <selection pane="bottomRight" activeCell="E246" sqref="E246"/>
    </sheetView>
  </sheetViews>
  <sheetFormatPr baseColWidth="10" defaultColWidth="0" defaultRowHeight="11.4" zeroHeight="1" outlineLevelRow="1" outlineLevelCol="1"/>
  <cols>
    <col min="1" max="1" width="2.75" customWidth="1"/>
    <col min="2" max="2" width="52.75" customWidth="1"/>
    <col min="3" max="3" width="2.75" customWidth="1"/>
    <col min="4" max="4" width="18" customWidth="1"/>
    <col min="5" max="5" width="14.25" customWidth="1"/>
    <col min="6" max="7" width="11.375" customWidth="1"/>
    <col min="8" max="8" width="22.25" bestFit="1" customWidth="1"/>
    <col min="9" max="9" width="11.375" customWidth="1"/>
    <col min="10" max="10" width="17.875" bestFit="1" customWidth="1"/>
    <col min="11" max="11" width="11.375" customWidth="1"/>
    <col min="12" max="12" width="13.375" customWidth="1"/>
    <col min="13" max="18" width="11.375" customWidth="1"/>
    <col min="19" max="19" width="11.375" customWidth="1" collapsed="1"/>
    <col min="20" max="21" width="11.375" hidden="1" customWidth="1" outlineLevel="1"/>
    <col min="22" max="24" width="11.375" customWidth="1"/>
    <col min="25" max="25" width="11.375" customWidth="1" collapsed="1"/>
    <col min="26" max="28" width="11.375" hidden="1" customWidth="1" outlineLevel="1"/>
    <col min="29" max="29" width="11.375" customWidth="1"/>
    <col min="30" max="30" width="11.375" customWidth="1" collapsed="1"/>
    <col min="31" max="42" width="11.375" hidden="1" customWidth="1" outlineLevel="1"/>
    <col min="43" max="43" width="11.375" customWidth="1" collapsed="1"/>
    <col min="44" max="55" width="11.375" hidden="1" customWidth="1" outlineLevel="1"/>
    <col min="56" max="56" width="3.125" customWidth="1"/>
    <col min="57" max="16384" width="11.375" hidden="1"/>
  </cols>
  <sheetData>
    <row r="1" spans="1:56" s="418" customFormat="1" ht="22.8">
      <c r="A1" s="113"/>
      <c r="B1" s="113"/>
      <c r="C1" s="113"/>
      <c r="D1" s="113"/>
      <c r="E1" s="113"/>
      <c r="F1" s="113"/>
      <c r="G1" s="113"/>
      <c r="H1" s="113"/>
      <c r="I1" s="113"/>
      <c r="J1" s="113"/>
      <c r="K1" s="113"/>
      <c r="L1" s="113"/>
      <c r="M1" s="113"/>
      <c r="N1" s="113"/>
      <c r="O1" s="113"/>
      <c r="P1" s="113"/>
      <c r="Q1" s="113"/>
      <c r="R1" s="113"/>
      <c r="S1" s="1646" t="s">
        <v>2487</v>
      </c>
      <c r="T1" s="113"/>
      <c r="U1" s="113"/>
      <c r="V1" s="113"/>
      <c r="W1" s="113"/>
      <c r="X1" s="113"/>
      <c r="Y1" s="1646" t="s">
        <v>2442</v>
      </c>
      <c r="Z1" s="817"/>
      <c r="AA1" s="113"/>
      <c r="AB1" s="113"/>
      <c r="AC1" s="113"/>
      <c r="AD1" s="1645" t="s">
        <v>2441</v>
      </c>
      <c r="AE1" s="113"/>
      <c r="AF1" s="576"/>
      <c r="AG1" s="576"/>
      <c r="AH1" s="576"/>
      <c r="AI1" s="576"/>
      <c r="AJ1" s="576"/>
      <c r="AK1" s="576"/>
      <c r="AL1" s="576"/>
      <c r="AM1" s="576"/>
      <c r="AN1" s="1240"/>
      <c r="AO1" s="1240"/>
      <c r="AP1" s="576"/>
      <c r="AQ1" s="1644" t="s">
        <v>2440</v>
      </c>
      <c r="AR1" s="113"/>
      <c r="AS1" s="113"/>
      <c r="AT1" s="113"/>
      <c r="AU1" s="113"/>
      <c r="AV1" s="113"/>
      <c r="AW1" s="113"/>
      <c r="AX1" s="113"/>
      <c r="AY1" s="113"/>
      <c r="AZ1" s="113"/>
      <c r="BA1" s="113"/>
      <c r="BB1" s="113"/>
      <c r="BC1" s="113"/>
      <c r="BD1" s="113"/>
    </row>
    <row r="2" spans="1:56" s="418" customFormat="1" ht="30" customHeight="1">
      <c r="A2" s="113"/>
      <c r="B2" s="2602" t="str">
        <f>Descriptif!C24</f>
        <v>Energie 2</v>
      </c>
      <c r="C2" s="2603"/>
      <c r="D2" s="2603"/>
      <c r="E2" s="2603"/>
      <c r="F2" s="2603"/>
      <c r="G2" s="2603"/>
      <c r="H2" s="2603"/>
      <c r="I2" s="2603"/>
      <c r="J2" s="2603"/>
      <c r="K2" s="2603"/>
      <c r="L2" s="2603"/>
      <c r="M2" s="2603"/>
      <c r="N2" s="2603"/>
      <c r="O2" s="2604"/>
      <c r="P2" s="113"/>
      <c r="Q2" s="113"/>
      <c r="R2" s="113"/>
      <c r="S2" s="113"/>
      <c r="T2" s="113"/>
      <c r="U2" s="113"/>
      <c r="V2" s="113"/>
      <c r="W2" s="113"/>
      <c r="X2" s="113"/>
      <c r="Y2" s="817"/>
      <c r="Z2" s="817"/>
      <c r="AA2" s="113"/>
      <c r="AB2" s="113"/>
      <c r="AC2" s="113"/>
      <c r="AE2" s="113"/>
      <c r="AF2" s="576"/>
      <c r="AG2" s="576"/>
      <c r="AH2" s="576"/>
      <c r="AI2" s="576"/>
      <c r="AJ2" s="576"/>
      <c r="AK2" s="576"/>
      <c r="AL2" s="576"/>
      <c r="AM2" s="576"/>
      <c r="AN2" s="1240"/>
      <c r="AO2" s="1240"/>
      <c r="AP2" s="576"/>
      <c r="AQ2" s="576"/>
      <c r="AR2" s="113"/>
      <c r="AS2" s="113"/>
      <c r="AT2" s="113"/>
      <c r="AU2" s="113"/>
      <c r="AV2" s="113"/>
      <c r="AW2" s="113"/>
      <c r="AX2" s="113"/>
      <c r="AY2" s="113"/>
      <c r="AZ2" s="113"/>
      <c r="BA2" s="113"/>
      <c r="BB2" s="113"/>
      <c r="BC2" s="113"/>
      <c r="BD2" s="113"/>
    </row>
    <row r="3" spans="1:56" s="116" customFormat="1" ht="13.8">
      <c r="A3" s="114"/>
      <c r="B3" s="2622"/>
      <c r="C3" s="2622"/>
      <c r="D3" s="114"/>
      <c r="E3" s="114"/>
      <c r="F3" s="114"/>
      <c r="G3" s="114"/>
      <c r="H3" s="114"/>
      <c r="I3" s="114"/>
      <c r="J3" s="114"/>
      <c r="K3" s="114"/>
      <c r="L3" s="114"/>
      <c r="M3" s="114"/>
      <c r="N3" s="114"/>
      <c r="O3" s="114"/>
      <c r="P3" s="114"/>
      <c r="Q3" s="114"/>
      <c r="R3" s="114"/>
      <c r="S3" s="114"/>
      <c r="T3" s="114"/>
      <c r="U3" s="114"/>
      <c r="V3" s="114"/>
      <c r="W3" s="114"/>
      <c r="X3" s="114"/>
      <c r="Y3" s="126"/>
      <c r="Z3" s="126"/>
      <c r="AA3" s="114"/>
      <c r="AB3" s="114"/>
      <c r="AC3" s="114"/>
      <c r="AE3" s="114"/>
      <c r="AF3" s="441"/>
      <c r="AG3" s="441"/>
      <c r="AH3" s="441"/>
      <c r="AI3" s="441"/>
      <c r="AJ3" s="441"/>
      <c r="AK3" s="441"/>
      <c r="AL3" s="441"/>
      <c r="AM3" s="441"/>
      <c r="AN3" s="444"/>
      <c r="AO3" s="444"/>
      <c r="AP3" s="441"/>
      <c r="AQ3" s="441"/>
      <c r="AR3" s="114"/>
      <c r="AS3" s="114"/>
      <c r="AT3" s="114"/>
      <c r="AU3" s="114"/>
      <c r="AV3" s="114"/>
      <c r="AW3" s="114"/>
      <c r="AX3" s="114"/>
      <c r="AY3" s="114"/>
      <c r="AZ3" s="114"/>
      <c r="BA3" s="114"/>
      <c r="BB3" s="114"/>
      <c r="BC3" s="114"/>
      <c r="BD3" s="114"/>
    </row>
    <row r="4" spans="1:56" s="116" customFormat="1" ht="13.8">
      <c r="A4" s="114"/>
      <c r="B4" s="1844" t="s">
        <v>536</v>
      </c>
      <c r="C4" s="1845"/>
      <c r="D4" s="2623" t="s">
        <v>226</v>
      </c>
      <c r="E4" s="2623"/>
      <c r="F4" s="2623" t="s">
        <v>18</v>
      </c>
      <c r="G4" s="2623"/>
      <c r="H4" s="2623" t="s">
        <v>333</v>
      </c>
      <c r="I4" s="2623"/>
      <c r="J4" s="1846"/>
      <c r="K4" s="1846"/>
      <c r="L4" s="1846"/>
      <c r="M4" s="1846"/>
      <c r="N4" s="2624" t="s">
        <v>893</v>
      </c>
      <c r="O4" s="2625"/>
      <c r="P4" s="114"/>
      <c r="Q4" s="114"/>
      <c r="R4" s="114"/>
      <c r="S4" s="114"/>
      <c r="T4" s="114"/>
      <c r="U4" s="114"/>
      <c r="V4" s="114"/>
      <c r="W4" s="114"/>
      <c r="X4" s="114"/>
      <c r="Y4" s="126"/>
      <c r="Z4" s="126"/>
      <c r="AA4" s="114"/>
      <c r="AB4" s="114"/>
      <c r="AC4" s="114"/>
      <c r="AE4" s="114"/>
      <c r="AF4" s="441"/>
      <c r="AG4" s="441"/>
      <c r="AH4" s="441"/>
      <c r="AI4" s="441"/>
      <c r="AJ4" s="441"/>
      <c r="AK4" s="441"/>
      <c r="AL4" s="441"/>
      <c r="AM4" s="441"/>
      <c r="AN4" s="444"/>
      <c r="AO4" s="444"/>
      <c r="AP4" s="441"/>
      <c r="AQ4" s="441"/>
      <c r="AR4" s="114"/>
      <c r="AS4" s="114"/>
      <c r="AT4" s="114"/>
      <c r="AU4" s="114"/>
      <c r="AV4" s="114"/>
      <c r="AW4" s="114"/>
      <c r="AX4" s="114"/>
      <c r="AY4" s="114"/>
      <c r="AZ4" s="114"/>
      <c r="BA4" s="114"/>
      <c r="BB4" s="114"/>
      <c r="BC4" s="114"/>
      <c r="BD4" s="114"/>
    </row>
    <row r="5" spans="1:56" s="116" customFormat="1" ht="13.8">
      <c r="A5" s="114"/>
      <c r="B5" s="1847" t="s">
        <v>521</v>
      </c>
      <c r="C5" s="1848"/>
      <c r="D5" s="2619" t="s">
        <v>212</v>
      </c>
      <c r="E5" s="2619"/>
      <c r="F5" s="2619" t="s">
        <v>428</v>
      </c>
      <c r="G5" s="2619"/>
      <c r="H5" s="2619" t="s">
        <v>484</v>
      </c>
      <c r="I5" s="2619"/>
      <c r="J5" s="2619" t="s">
        <v>758</v>
      </c>
      <c r="K5" s="2619"/>
      <c r="L5" s="2619" t="s">
        <v>818</v>
      </c>
      <c r="M5" s="2619"/>
      <c r="N5" s="2620" t="s">
        <v>2444</v>
      </c>
      <c r="O5" s="2621"/>
      <c r="P5" s="114"/>
      <c r="Q5" s="114"/>
      <c r="R5" s="114"/>
      <c r="S5" s="114"/>
      <c r="T5" s="114"/>
      <c r="U5" s="114"/>
      <c r="V5" s="114"/>
      <c r="W5" s="114"/>
      <c r="X5" s="114"/>
      <c r="Y5" s="126"/>
      <c r="Z5" s="126"/>
      <c r="AA5" s="114"/>
      <c r="AB5" s="114"/>
      <c r="AC5" s="114"/>
      <c r="AE5" s="114"/>
      <c r="AF5" s="441"/>
      <c r="AG5" s="441"/>
      <c r="AH5" s="441"/>
      <c r="AI5" s="441"/>
      <c r="AJ5" s="441"/>
      <c r="AK5" s="441"/>
      <c r="AL5" s="441"/>
      <c r="AM5" s="441"/>
      <c r="AN5" s="444"/>
      <c r="AO5" s="444"/>
      <c r="AP5" s="441"/>
      <c r="AQ5" s="441"/>
      <c r="AR5" s="114"/>
      <c r="AS5" s="114"/>
      <c r="AT5" s="114"/>
      <c r="AU5" s="114"/>
      <c r="AV5" s="114"/>
      <c r="AW5" s="114"/>
      <c r="AX5" s="114"/>
      <c r="AY5" s="114"/>
      <c r="AZ5" s="114"/>
      <c r="BA5" s="114"/>
      <c r="BB5" s="114"/>
      <c r="BC5" s="114"/>
      <c r="BD5" s="114"/>
    </row>
    <row r="6" spans="1:56" s="116" customFormat="1" ht="13.8">
      <c r="A6" s="114"/>
      <c r="B6" s="115"/>
      <c r="C6" s="115"/>
      <c r="D6" s="115"/>
      <c r="E6" s="115"/>
      <c r="F6" s="115"/>
      <c r="G6" s="115"/>
      <c r="H6" s="109"/>
      <c r="I6" s="109"/>
      <c r="J6" s="109"/>
      <c r="K6" s="114"/>
      <c r="L6" s="114"/>
      <c r="M6" s="114"/>
      <c r="N6" s="114"/>
      <c r="O6" s="114"/>
      <c r="P6" s="114"/>
      <c r="Q6" s="114"/>
      <c r="R6" s="114"/>
      <c r="S6" s="114"/>
      <c r="T6" s="114"/>
      <c r="U6" s="114"/>
      <c r="V6" s="114"/>
      <c r="W6" s="114"/>
      <c r="X6" s="114"/>
      <c r="Y6" s="126"/>
      <c r="Z6" s="126"/>
      <c r="AA6" s="114"/>
      <c r="AB6" s="114"/>
      <c r="AC6" s="114"/>
      <c r="AE6" s="114"/>
      <c r="AF6" s="441"/>
      <c r="AG6" s="441"/>
      <c r="AH6" s="441"/>
      <c r="AI6" s="441"/>
      <c r="AJ6" s="441"/>
      <c r="AK6" s="441"/>
      <c r="AL6" s="441"/>
      <c r="AM6" s="441"/>
      <c r="AN6" s="444"/>
      <c r="AO6" s="444"/>
      <c r="AP6" s="441"/>
      <c r="AQ6" s="441"/>
      <c r="AR6" s="114"/>
      <c r="AS6" s="114"/>
      <c r="AT6" s="114"/>
      <c r="AU6" s="114"/>
      <c r="AV6" s="114"/>
      <c r="AW6" s="114"/>
      <c r="AX6" s="114"/>
      <c r="AY6" s="114"/>
      <c r="AZ6" s="114"/>
      <c r="BA6" s="114"/>
      <c r="BB6" s="114"/>
      <c r="BC6" s="114"/>
      <c r="BD6" s="114"/>
    </row>
    <row r="7" spans="1:56" s="418" customFormat="1" ht="15.6" collapsed="1">
      <c r="A7" s="113"/>
      <c r="B7" s="2633" t="s">
        <v>215</v>
      </c>
      <c r="C7" s="2634"/>
      <c r="D7" s="2634"/>
      <c r="E7" s="2634"/>
      <c r="F7" s="2634"/>
      <c r="G7" s="2634"/>
      <c r="H7" s="2634"/>
      <c r="I7" s="2634"/>
      <c r="J7" s="2634"/>
      <c r="K7" s="2634"/>
      <c r="L7" s="2634"/>
      <c r="M7" s="2634"/>
      <c r="N7" s="2634"/>
      <c r="O7" s="2635"/>
      <c r="P7" s="113"/>
      <c r="Q7" s="113"/>
      <c r="R7" s="113"/>
      <c r="S7" s="113"/>
      <c r="T7" s="113"/>
      <c r="U7" s="113"/>
      <c r="V7" s="113"/>
      <c r="W7" s="113"/>
      <c r="X7" s="113"/>
      <c r="Y7" s="817"/>
      <c r="Z7" s="817"/>
      <c r="AA7" s="113"/>
      <c r="AB7" s="113"/>
      <c r="AC7" s="113"/>
      <c r="AE7" s="113"/>
      <c r="AF7" s="576"/>
      <c r="AG7" s="576"/>
      <c r="AH7" s="576"/>
      <c r="AI7" s="576"/>
      <c r="AJ7" s="576"/>
      <c r="AK7" s="576"/>
      <c r="AL7" s="576"/>
      <c r="AM7" s="576"/>
      <c r="AN7" s="1240"/>
      <c r="AO7" s="1240"/>
      <c r="AP7" s="576"/>
      <c r="AQ7" s="576"/>
      <c r="AR7" s="113"/>
      <c r="AS7" s="113"/>
      <c r="AT7" s="113"/>
      <c r="AU7" s="113"/>
      <c r="AV7" s="113"/>
      <c r="AW7" s="113"/>
      <c r="AX7" s="113"/>
      <c r="AY7" s="113"/>
      <c r="AZ7" s="113"/>
      <c r="BA7" s="113"/>
      <c r="BB7" s="113"/>
      <c r="BC7" s="113"/>
      <c r="BD7" s="113"/>
    </row>
    <row r="8" spans="1:56" s="116" customFormat="1" ht="12.75" hidden="1" customHeight="1" outlineLevel="1">
      <c r="A8" s="114"/>
      <c r="B8" s="114"/>
      <c r="C8" s="114"/>
      <c r="D8" s="114"/>
      <c r="E8" s="114"/>
      <c r="F8" s="114"/>
      <c r="G8" s="114"/>
      <c r="H8" s="114"/>
      <c r="I8" s="114"/>
      <c r="J8" s="114"/>
      <c r="K8" s="114"/>
      <c r="L8" s="114"/>
      <c r="M8" s="114"/>
      <c r="N8" s="114"/>
      <c r="O8" s="114"/>
      <c r="P8" s="114"/>
      <c r="Q8" s="114"/>
      <c r="R8" s="114"/>
      <c r="S8" s="114"/>
      <c r="T8" s="114"/>
      <c r="U8" s="114"/>
      <c r="V8" s="114"/>
      <c r="W8" s="114"/>
      <c r="X8" s="126"/>
      <c r="Y8" s="126"/>
      <c r="Z8" s="114"/>
      <c r="AA8" s="114"/>
      <c r="AB8" s="114"/>
      <c r="AC8" s="114"/>
      <c r="AE8" s="441"/>
      <c r="AF8" s="441"/>
      <c r="AG8" s="441"/>
      <c r="AH8" s="441"/>
      <c r="AI8" s="441"/>
      <c r="AJ8" s="441"/>
      <c r="AK8" s="441"/>
      <c r="AL8" s="441"/>
      <c r="AM8" s="576"/>
      <c r="AN8" s="444"/>
      <c r="AO8" s="444"/>
      <c r="AP8" s="441"/>
      <c r="AQ8" s="114"/>
      <c r="AR8" s="114"/>
      <c r="AS8" s="114"/>
      <c r="AT8" s="114"/>
      <c r="AU8" s="114"/>
      <c r="AV8" s="114"/>
      <c r="AW8" s="114"/>
      <c r="AX8" s="114"/>
      <c r="AY8" s="114"/>
      <c r="AZ8" s="114"/>
      <c r="BA8" s="114"/>
      <c r="BB8" s="114"/>
      <c r="BC8" s="114"/>
    </row>
    <row r="9" spans="1:56" s="116" customFormat="1" ht="12.75" hidden="1" customHeight="1" outlineLevel="1">
      <c r="B9" s="139" t="s">
        <v>349</v>
      </c>
      <c r="C9" s="140"/>
      <c r="D9" s="141"/>
      <c r="E9" s="1808"/>
      <c r="F9" s="141"/>
      <c r="G9" s="141"/>
      <c r="H9" s="141"/>
      <c r="I9" s="141"/>
      <c r="J9" s="141"/>
      <c r="K9" s="141"/>
      <c r="L9" s="141"/>
      <c r="M9" s="141"/>
      <c r="N9" s="141"/>
      <c r="O9" s="141"/>
      <c r="P9" s="141"/>
      <c r="Q9" s="141"/>
      <c r="R9" s="141"/>
      <c r="S9" s="142"/>
      <c r="T9" s="114"/>
      <c r="U9" s="114"/>
      <c r="V9" s="114"/>
      <c r="W9" s="2636" t="s">
        <v>366</v>
      </c>
      <c r="X9" s="2637"/>
      <c r="Y9" s="2637"/>
      <c r="Z9" s="2637"/>
      <c r="AA9" s="2637"/>
      <c r="AB9" s="2637"/>
      <c r="AC9" s="2638"/>
      <c r="AE9" s="2639" t="s">
        <v>441</v>
      </c>
      <c r="AF9" s="2640"/>
      <c r="AG9" s="2640"/>
      <c r="AH9" s="2640"/>
      <c r="AI9" s="2640"/>
      <c r="AJ9" s="2640"/>
      <c r="AK9" s="2640"/>
      <c r="AL9" s="2640"/>
      <c r="AM9" s="2640"/>
      <c r="AN9" s="2640"/>
      <c r="AO9" s="2640"/>
      <c r="AP9" s="2641"/>
    </row>
    <row r="10" spans="1:56" s="116" customFormat="1" ht="12.75" hidden="1" customHeight="1" outlineLevel="1">
      <c r="A10" s="114"/>
      <c r="B10" s="143"/>
      <c r="C10" s="144"/>
      <c r="D10" s="1812" t="s">
        <v>308</v>
      </c>
      <c r="E10" s="1801"/>
      <c r="F10" s="144"/>
      <c r="G10" s="144"/>
      <c r="H10" s="144"/>
      <c r="I10" s="144"/>
      <c r="J10" s="144"/>
      <c r="K10" s="144"/>
      <c r="L10" s="144"/>
      <c r="M10" s="144"/>
      <c r="N10" s="144"/>
      <c r="O10" s="144"/>
      <c r="P10" s="144"/>
      <c r="Q10" s="144"/>
      <c r="R10" s="144"/>
      <c r="S10" s="145"/>
      <c r="T10" s="114"/>
      <c r="U10" s="114"/>
      <c r="V10" s="114"/>
      <c r="W10" s="1170"/>
      <c r="X10" s="1813"/>
      <c r="Y10" s="1813"/>
      <c r="Z10" s="141"/>
      <c r="AA10" s="141"/>
      <c r="AB10" s="141"/>
      <c r="AC10" s="142"/>
      <c r="AE10" s="2642" t="s">
        <v>444</v>
      </c>
      <c r="AF10" s="2643"/>
      <c r="AG10" s="2643"/>
      <c r="AH10" s="2643"/>
      <c r="AI10" s="2643"/>
      <c r="AJ10" s="2643"/>
      <c r="AK10" s="2643"/>
      <c r="AL10" s="2643"/>
      <c r="AM10" s="2643" t="s">
        <v>444</v>
      </c>
      <c r="AN10" s="2644"/>
      <c r="AO10" s="1081"/>
      <c r="AP10" s="578"/>
      <c r="AQ10" s="114"/>
      <c r="AR10" s="2616" t="s">
        <v>1648</v>
      </c>
      <c r="AS10" s="2617"/>
      <c r="AT10" s="2617"/>
      <c r="AU10" s="2617"/>
      <c r="AV10" s="2617"/>
      <c r="AW10" s="2617"/>
      <c r="AX10" s="2617"/>
      <c r="AY10" s="2617"/>
      <c r="AZ10" s="2617"/>
      <c r="BA10" s="2617"/>
      <c r="BB10" s="2617"/>
      <c r="BC10" s="2618"/>
    </row>
    <row r="11" spans="1:56" s="127" customFormat="1" ht="12.75" hidden="1" customHeight="1" outlineLevel="1">
      <c r="A11" s="109"/>
      <c r="B11" s="1800" t="s">
        <v>383</v>
      </c>
      <c r="C11" s="144"/>
      <c r="D11" s="1812" t="s">
        <v>409</v>
      </c>
      <c r="E11" s="147" t="s">
        <v>452</v>
      </c>
      <c r="F11" s="147" t="s">
        <v>343</v>
      </c>
      <c r="G11" s="2626" t="s">
        <v>1572</v>
      </c>
      <c r="H11" s="2627"/>
      <c r="I11" s="147" t="s">
        <v>343</v>
      </c>
      <c r="J11" s="2626" t="s">
        <v>1573</v>
      </c>
      <c r="K11" s="2627"/>
      <c r="L11" s="147" t="s">
        <v>343</v>
      </c>
      <c r="M11" s="2626" t="s">
        <v>1575</v>
      </c>
      <c r="N11" s="2627"/>
      <c r="O11" s="147" t="s">
        <v>343</v>
      </c>
      <c r="P11" s="2626" t="s">
        <v>1574</v>
      </c>
      <c r="Q11" s="2628"/>
      <c r="R11" s="1812" t="s">
        <v>444</v>
      </c>
      <c r="S11" s="1814" t="s">
        <v>444</v>
      </c>
      <c r="T11" s="114"/>
      <c r="U11" s="114"/>
      <c r="V11" s="114"/>
      <c r="W11" s="1800" t="s">
        <v>316</v>
      </c>
      <c r="X11" s="2629" t="s">
        <v>316</v>
      </c>
      <c r="Y11" s="2630"/>
      <c r="Z11" s="1801" t="s">
        <v>444</v>
      </c>
      <c r="AA11" s="1801" t="s">
        <v>444</v>
      </c>
      <c r="AB11" s="1801"/>
      <c r="AC11" s="1814" t="s">
        <v>444</v>
      </c>
      <c r="AE11" s="2631" t="s">
        <v>211</v>
      </c>
      <c r="AF11" s="2632"/>
      <c r="AG11" s="2632" t="s">
        <v>442</v>
      </c>
      <c r="AH11" s="2632"/>
      <c r="AI11" s="2632" t="s">
        <v>267</v>
      </c>
      <c r="AJ11" s="2632"/>
      <c r="AK11" s="2632" t="s">
        <v>443</v>
      </c>
      <c r="AL11" s="2632"/>
      <c r="AM11" s="2648" t="s">
        <v>327</v>
      </c>
      <c r="AN11" s="2649"/>
      <c r="AO11" s="2631" t="s">
        <v>636</v>
      </c>
      <c r="AP11" s="2650"/>
      <c r="AQ11" s="109"/>
      <c r="AR11" s="2614" t="s">
        <v>1646</v>
      </c>
      <c r="AS11" s="2645"/>
      <c r="AT11" s="2645"/>
      <c r="AU11" s="2615"/>
      <c r="AV11" s="2614" t="s">
        <v>1644</v>
      </c>
      <c r="AW11" s="2645"/>
      <c r="AX11" s="2645"/>
      <c r="AY11" s="2615"/>
      <c r="AZ11" s="2614" t="s">
        <v>1645</v>
      </c>
      <c r="BA11" s="2645"/>
      <c r="BB11" s="2645"/>
      <c r="BC11" s="2615"/>
    </row>
    <row r="12" spans="1:56" s="127" customFormat="1" ht="12.75" hidden="1" customHeight="1" outlineLevel="1">
      <c r="A12" s="109"/>
      <c r="B12" s="536" t="s">
        <v>1624</v>
      </c>
      <c r="C12" s="144"/>
      <c r="D12" s="1805" t="s">
        <v>444</v>
      </c>
      <c r="E12" s="1811" t="s">
        <v>453</v>
      </c>
      <c r="F12" s="1811" t="s">
        <v>1621</v>
      </c>
      <c r="G12" s="1662" t="s">
        <v>411</v>
      </c>
      <c r="H12" s="1662" t="s">
        <v>257</v>
      </c>
      <c r="I12" s="1811" t="s">
        <v>790</v>
      </c>
      <c r="J12" s="1662" t="s">
        <v>411</v>
      </c>
      <c r="K12" s="1662" t="s">
        <v>257</v>
      </c>
      <c r="L12" s="1811" t="s">
        <v>791</v>
      </c>
      <c r="M12" s="1662" t="s">
        <v>411</v>
      </c>
      <c r="N12" s="1662" t="s">
        <v>257</v>
      </c>
      <c r="O12" s="1811" t="s">
        <v>213</v>
      </c>
      <c r="P12" s="1662" t="s">
        <v>411</v>
      </c>
      <c r="Q12" s="1662" t="s">
        <v>257</v>
      </c>
      <c r="R12" s="1805" t="s">
        <v>411</v>
      </c>
      <c r="S12" s="220" t="s">
        <v>257</v>
      </c>
      <c r="T12" s="114"/>
      <c r="U12" s="114"/>
      <c r="V12" s="114"/>
      <c r="W12" s="1800" t="s">
        <v>1649</v>
      </c>
      <c r="X12" s="2646" t="s">
        <v>1650</v>
      </c>
      <c r="Y12" s="2647"/>
      <c r="Z12" s="227" t="s">
        <v>411</v>
      </c>
      <c r="AA12" s="1662" t="s">
        <v>257</v>
      </c>
      <c r="AB12" s="1662"/>
      <c r="AC12" s="162" t="s">
        <v>327</v>
      </c>
      <c r="AE12" s="1818" t="s">
        <v>411</v>
      </c>
      <c r="AF12" s="1819" t="s">
        <v>257</v>
      </c>
      <c r="AG12" s="1819" t="s">
        <v>411</v>
      </c>
      <c r="AH12" s="1819" t="s">
        <v>257</v>
      </c>
      <c r="AI12" s="1819" t="s">
        <v>411</v>
      </c>
      <c r="AJ12" s="1819" t="s">
        <v>257</v>
      </c>
      <c r="AK12" s="1819" t="s">
        <v>411</v>
      </c>
      <c r="AL12" s="1819" t="s">
        <v>257</v>
      </c>
      <c r="AM12" s="581" t="s">
        <v>411</v>
      </c>
      <c r="AN12" s="582" t="s">
        <v>257</v>
      </c>
      <c r="AO12" s="1818" t="s">
        <v>411</v>
      </c>
      <c r="AP12" s="1820" t="s">
        <v>257</v>
      </c>
      <c r="AQ12" s="109"/>
      <c r="AR12" s="1815" t="s">
        <v>1643</v>
      </c>
      <c r="AS12" s="1816" t="s">
        <v>1640</v>
      </c>
      <c r="AT12" s="1816" t="s">
        <v>1641</v>
      </c>
      <c r="AU12" s="1817" t="s">
        <v>1642</v>
      </c>
      <c r="AV12" s="1816" t="s">
        <v>1643</v>
      </c>
      <c r="AW12" s="1816" t="s">
        <v>1640</v>
      </c>
      <c r="AX12" s="1816" t="s">
        <v>1641</v>
      </c>
      <c r="AY12" s="1817" t="s">
        <v>1642</v>
      </c>
      <c r="AZ12" s="1815" t="s">
        <v>1643</v>
      </c>
      <c r="BA12" s="1816" t="s">
        <v>1640</v>
      </c>
      <c r="BB12" s="1816" t="s">
        <v>1641</v>
      </c>
      <c r="BC12" s="1817" t="s">
        <v>1642</v>
      </c>
    </row>
    <row r="13" spans="1:56" s="116" customFormat="1" ht="12.75" hidden="1" customHeight="1" outlineLevel="1">
      <c r="A13" s="114"/>
      <c r="B13" s="143" t="s">
        <v>1620</v>
      </c>
      <c r="C13" s="144"/>
      <c r="D13" s="315">
        <f>SUM(R13,S13)</f>
        <v>0</v>
      </c>
      <c r="E13" s="343"/>
      <c r="F13" s="1547"/>
      <c r="G13" s="335">
        <f>VLOOKUP($B13&amp;"; "&amp;$G$11&amp;", "&amp;G$12,'FE Energie'!$G:$U,9,FALSE)</f>
        <v>0.505</v>
      </c>
      <c r="H13" s="335">
        <f>VLOOKUP($B13&amp;"; "&amp;$G$11&amp;", "&amp;H$12,'FE Energie'!$G:$U,9,FALSE)</f>
        <v>3.02</v>
      </c>
      <c r="I13" s="1547"/>
      <c r="J13" s="223">
        <f>VLOOKUP($B13&amp;"; "&amp;$J$11&amp;", "&amp;J$12,'FE Energie'!$G:$U,9,FALSE)</f>
        <v>0.04</v>
      </c>
      <c r="K13" s="223">
        <f>VLOOKUP($B13&amp;"; "&amp;$J$11&amp;", "&amp;K$12,'FE Energie'!$G:$U,9,FALSE)</f>
        <v>0.23</v>
      </c>
      <c r="L13" s="1547"/>
      <c r="M13" s="217">
        <f>VLOOKUP($B13&amp;"; "&amp;$M$11&amp;", "&amp;M$12,'FE Energie'!$G:$U,9,FALSE)</f>
        <v>448</v>
      </c>
      <c r="N13" s="217">
        <f>VLOOKUP($B13&amp;"; "&amp;$M$11&amp;", "&amp;N$12,'FE Energie'!$G:$U,9,FALSE)</f>
        <v>2680</v>
      </c>
      <c r="O13" s="1547"/>
      <c r="P13" s="223">
        <f>VLOOKUP($B13&amp;"; "&amp;$P$11&amp;", "&amp;P$12,'FE Energie'!$G:$U,9,FALSE)</f>
        <v>0.28100000000000003</v>
      </c>
      <c r="Q13" s="223">
        <f>VLOOKUP($B13&amp;"; "&amp;$P$11&amp;", "&amp;Q$12,'FE Energie'!$G:$U,9,FALSE)</f>
        <v>1.76</v>
      </c>
      <c r="R13" s="566">
        <f>IF(ISNA(F13*G13),0,F13*G13)+IF(ISNA(I13*J13),0,I13*J13)+IF(ISNA(L13*M13),0,L13*M13)+IF(ISNA(O13*P13),0,O13*P13)</f>
        <v>0</v>
      </c>
      <c r="S13" s="567">
        <f>IF(ISNA(F13*H13),0,F13*H13)+IF(ISNA(I13*K13),0,I13*K13)+IF(ISNA(L13*N13),0,L13*N13)+IF(ISNA(O13*Q13),0,O13*Q13)</f>
        <v>0</v>
      </c>
      <c r="T13" s="114"/>
      <c r="U13" s="114"/>
      <c r="V13" s="114"/>
      <c r="W13" s="1092">
        <f>IF(AC13=0,AC13,AC13/(R13+S13))</f>
        <v>0</v>
      </c>
      <c r="X13" s="343"/>
      <c r="Y13" s="820"/>
      <c r="Z13" s="1801">
        <f>SQRT(SUMSQ(IF(ISNA($F13*G13*AV13),0,$F13*G13*AV13),IF(ISNA($I13*J13*AW13),0,$I13*J13*AW13),IF(ISNA($L13*M13*AX13),0,$L13*M13*AX13),IF(ISNA($O13*P13*AY13),0,$O13*P13*AY13)))</f>
        <v>0</v>
      </c>
      <c r="AA13" s="1801">
        <f>SQRT(SUMSQ(IF(ISNA($F13*H13*AZ13),0,$F13*H13*AZ13),IF(ISNA($I13*K13*BA13),0,$I13*K13*BA13),IF(ISNA($L13*N13*BB13),0,$L13*N13*BB13),IF(ISNA($O13*Q13*BC13),0,$O13*Q13*BC13)))</f>
        <v>0</v>
      </c>
      <c r="AB13" s="1801"/>
      <c r="AC13" s="152">
        <f>SQRT(SUMSQ(Z13,AA13))</f>
        <v>0</v>
      </c>
      <c r="AE13" s="564">
        <f>$F13*IF(ISNA(VLOOKUP($B13&amp;"; "&amp;$G$11&amp;", "&amp;G$12,'FE Energie'!$G:$U,10,FALSE)),0,VLOOKUP($B13&amp;"; "&amp;$G$11&amp;", "&amp;G$12,'FE Energie'!$G:$U,10,FALSE))
+$I13*IF(ISNA(VLOOKUP($B13&amp;"; "&amp;$J$11&amp;", "&amp;G$12,'FE Energie'!$G:$U,10,FALSE)),0,VLOOKUP($B13&amp;"; "&amp;$J$11&amp;", "&amp;G$12,'FE Energie'!$G:$U,10,FALSE))
+$L13*IF(ISNA(VLOOKUP($B13&amp;"; "&amp;$M$11&amp;", "&amp;G$12,'FE Energie'!$G:$U,10,FALSE)),0,VLOOKUP($B13&amp;"; "&amp;$M$11&amp;", "&amp;G$12,'FE Energie'!$G:$U,10,FALSE))
+$O13*IF(ISNA(VLOOKUP($B13&amp;"; "&amp;$P$11&amp;", "&amp;G$12,'FE Energie'!$G:$U,10,FALSE)),0,VLOOKUP($B13&amp;"; "&amp;$P$11&amp;", "&amp;G$12,'FE Energie'!$G:$U,10,FALSE))</f>
        <v>0</v>
      </c>
      <c r="AF13" s="565">
        <f>$F13*IF(ISNA(VLOOKUP($B13&amp;"; "&amp;$G$11&amp;", "&amp;H$12,'FE Energie'!$G:$U,10,FALSE)),0,VLOOKUP($B13&amp;"; "&amp;$G$11&amp;", "&amp;H$12,'FE Energie'!$G:$U,10,FALSE))
+$I13*IF(ISNA(VLOOKUP($B13&amp;"; "&amp;$J$11&amp;", "&amp;H$12,'FE Energie'!$G:$U,10,FALSE)),0,VLOOKUP($B13&amp;"; "&amp;$J$11&amp;", "&amp;H$12,'FE Energie'!$G:$U,10,FALSE))
+$L13*IF(ISNA(VLOOKUP($B13&amp;"; "&amp;$M$11&amp;", "&amp;H$12,'FE Energie'!$G:$U,10,FALSE)),0,VLOOKUP($B13&amp;"; "&amp;$M$11&amp;", "&amp;H$12,'FE Energie'!$G:$U,10,FALSE))
+$O13*IF(ISNA(VLOOKUP($B13&amp;"; "&amp;$P$11&amp;", "&amp;H$12,'FE Energie'!$G:$U,10,FALSE)),0,VLOOKUP($B13&amp;"; "&amp;$P$11&amp;", "&amp;H$12,'FE Energie'!$G:$U,10,FALSE))</f>
        <v>0</v>
      </c>
      <c r="AG13" s="620">
        <f>$F13*IF(ISNA((VLOOKUP($B13&amp;"; "&amp;$G$11&amp;", "&amp;G$12,'FE Energie'!$G:$U,12,FALSE)+VLOOKUP($B13&amp;"; "&amp;$G$11&amp;", "&amp;G$12,'FE Energie'!$G:$U,11,FALSE))),0,(VLOOKUP($B13&amp;"; "&amp;$G$11&amp;", "&amp;G$12,'FE Energie'!$G:$U,12,FALSE)+VLOOKUP($B13&amp;"; "&amp;$G$11&amp;", "&amp;G$12,'FE Energie'!$G:$U,11,FALSE)))
+$I13*IF(ISNA((VLOOKUP($B13&amp;"; "&amp;$J$11&amp;", "&amp;G$12,'FE Energie'!$G:$U,12,FALSE)+VLOOKUP($B13&amp;"; "&amp;$J$11&amp;", "&amp;G$12,'FE Energie'!$G:$U,11,FALSE))),0,(VLOOKUP($B13&amp;"; "&amp;$J$11&amp;", "&amp;G$12,'FE Energie'!$G:$U,12,FALSE)+VLOOKUP($B13&amp;"; "&amp;$J$11&amp;", "&amp;G$12,'FE Energie'!$G:$U,11,FALSE)))
+$L13*IF(ISNA((VLOOKUP($B13&amp;"; "&amp;$M$11&amp;", "&amp;G$12,'FE Energie'!$G:$U,12,FALSE)+VLOOKUP($B13&amp;"; "&amp;$M$11&amp;", "&amp;G$12,'FE Energie'!$G:$U,11,FALSE))),0,(VLOOKUP($B13&amp;"; "&amp;$M$11&amp;", "&amp;G$12,'FE Energie'!$G:$U,12,FALSE)+VLOOKUP($B13&amp;"; "&amp;$M$11&amp;", "&amp;G$12,'FE Energie'!$G:$U,11,FALSE)))
+$O13*IF(ISNA((VLOOKUP($B13&amp;"; "&amp;$P$11&amp;", "&amp;G$12,'FE Energie'!$G:$U,12,FALSE)+VLOOKUP($B13&amp;"; "&amp;$P$11&amp;", "&amp;G$12,'FE Energie'!$G:$U,11,FALSE))),0,(VLOOKUP($B13&amp;"; "&amp;$P$11&amp;", "&amp;G$12,'FE Energie'!$G:$U,12,FALSE)+VLOOKUP($B13&amp;"; "&amp;$P$11&amp;", "&amp;G$12,'FE Energie'!$G:$U,11,FALSE)))</f>
        <v>0</v>
      </c>
      <c r="AH13" s="620">
        <f>$F13*IF(ISNA((VLOOKUP($B13&amp;"; "&amp;$G$11&amp;", "&amp;H$12,'FE Energie'!$G:$U,12,FALSE)+VLOOKUP($B13&amp;"; "&amp;$G$11&amp;", "&amp;H$12,'FE Energie'!$G:$U,11,FALSE))),0,(VLOOKUP($B13&amp;"; "&amp;$G$11&amp;", "&amp;H$12,'FE Energie'!$G:$U,12,FALSE)+VLOOKUP($B13&amp;"; "&amp;$G$11&amp;", "&amp;H$12,'FE Energie'!$G:$U,11,FALSE)))
+$I13*IF(ISNA((VLOOKUP($B13&amp;"; "&amp;$J$11&amp;", "&amp;H$12,'FE Energie'!$G:$U,12,FALSE)+VLOOKUP($B13&amp;"; "&amp;$J$11&amp;", "&amp;H$12,'FE Energie'!$G:$U,11,FALSE))),0,(VLOOKUP($B13&amp;"; "&amp;$J$11&amp;", "&amp;H$12,'FE Energie'!$G:$U,12,FALSE)+VLOOKUP($B13&amp;"; "&amp;$J$11&amp;", "&amp;H$12,'FE Energie'!$G:$U,11,FALSE)))
+$L13*IF(ISNA((VLOOKUP($B13&amp;"; "&amp;$M$11&amp;", "&amp;H$12,'FE Energie'!$G:$U,12,FALSE)+VLOOKUP($B13&amp;"; "&amp;$M$11&amp;", "&amp;H$12,'FE Energie'!$G:$U,11,FALSE))),0,(VLOOKUP($B13&amp;"; "&amp;$M$11&amp;", "&amp;H$12,'FE Energie'!$G:$U,12,FALSE)+VLOOKUP($B13&amp;"; "&amp;$M$11&amp;", "&amp;H$12,'FE Energie'!$G:$U,11,FALSE)))
+$O13*IF(ISNA((VLOOKUP($B13&amp;"; "&amp;$P$11&amp;", "&amp;H$12,'FE Energie'!$G:$U,12,FALSE)+VLOOKUP($B13&amp;"; "&amp;$P$11&amp;", "&amp;H$12,'FE Energie'!$G:$U,11,FALSE))),0,(VLOOKUP($B13&amp;"; "&amp;$P$11&amp;", "&amp;H$12,'FE Energie'!$G:$U,12,FALSE)+VLOOKUP($B13&amp;"; "&amp;$P$11&amp;", "&amp;H$12,'FE Energie'!$G:$U,11,FALSE)))</f>
        <v>0</v>
      </c>
      <c r="AI13" s="620">
        <f>$F13*IF(ISNA(VLOOKUP($B13&amp;"; "&amp;$G$11&amp;", "&amp;G$12,'FE Energie'!$G:$U,13,FALSE)),0,VLOOKUP($B13&amp;"; "&amp;$G$11&amp;", "&amp;G$12,'FE Energie'!$G:$U,13,FALSE))
+$I13*IF(ISNA(VLOOKUP($B13&amp;"; "&amp;$J$11&amp;", "&amp;G$12,'FE Energie'!$G:$U,13,FALSE)),0,VLOOKUP($B13&amp;"; "&amp;$J$11&amp;", "&amp;G$12,'FE Energie'!$G:$U,13,FALSE))
+$L13*IF(ISNA(VLOOKUP($B13&amp;"; "&amp;$M$11&amp;", "&amp;G$12,'FE Energie'!$G:$U,13,FALSE)),0,VLOOKUP($B13&amp;"; "&amp;$M$11&amp;", "&amp;G$12,'FE Energie'!$G:$U,13,FALSE))
+$O13*IF(ISNA(VLOOKUP($B13&amp;"; "&amp;$P$11&amp;", "&amp;G$12,'FE Energie'!$G:$U,13,FALSE)),0,VLOOKUP($B13&amp;"; "&amp;$P$11&amp;", "&amp;G$12,'FE Energie'!$G:$U,13,FALSE))</f>
        <v>0</v>
      </c>
      <c r="AJ13" s="620">
        <f>$F13*IF(ISNA(VLOOKUP($B13&amp;"; "&amp;$G$11&amp;", "&amp;H$12,'FE Energie'!$G:$U,13,FALSE)),0,VLOOKUP($B13&amp;"; "&amp;$G$11&amp;", "&amp;H$12,'FE Energie'!$G:$U,13,FALSE))
+$I13*IF(ISNA(VLOOKUP($B13&amp;"; "&amp;$J$11&amp;", "&amp;H$12,'FE Energie'!$G:$U,13,FALSE)),0,VLOOKUP($B13&amp;"; "&amp;$J$11&amp;", "&amp;H$12,'FE Energie'!$G:$U,13,FALSE))
+$L13*IF(ISNA(VLOOKUP($B13&amp;"; "&amp;$M$11&amp;", "&amp;H$12,'FE Energie'!$G:$U,13,FALSE)),0,VLOOKUP($B13&amp;"; "&amp;$M$11&amp;", "&amp;H$12,'FE Energie'!$G:$U,13,FALSE))
+$O13*IF(ISNA(VLOOKUP($B13&amp;"; "&amp;$P$11&amp;", "&amp;H$12,'FE Energie'!$G:$U,13,FALSE)),0,VLOOKUP($B13&amp;"; "&amp;$P$11&amp;", "&amp;H$12,'FE Energie'!$G:$U,13,FALSE))</f>
        <v>0</v>
      </c>
      <c r="AK13" s="565">
        <f>$F13*IF(ISNA(VLOOKUP($B13&amp;"; "&amp;$G$11&amp;", "&amp;G$12,'FE Energie'!$G:$U,14,FALSE)),0,VLOOKUP($B13&amp;"; "&amp;$G$11&amp;", "&amp;G$12,'FE Energie'!$G:$U,14,FALSE))
+$I13*IF(ISNA(VLOOKUP($B13&amp;"; "&amp;$J$11&amp;", "&amp;G$12,'FE Energie'!$G:$U,14,FALSE)),0,VLOOKUP($B13&amp;"; "&amp;$J$11&amp;", "&amp;G$12,'FE Energie'!$G:$U,14,FALSE))
+$L13*IF(ISNA(VLOOKUP($B13&amp;"; "&amp;$M$11&amp;", "&amp;G$12,'FE Energie'!$G:$U,14,FALSE)),0,VLOOKUP($B13&amp;"; "&amp;$M$11&amp;", "&amp;G$12,'FE Energie'!$G:$U,14,FALSE))
+$O13*IF(ISNA(VLOOKUP($B13&amp;"; "&amp;$P$11&amp;", "&amp;G$12,'FE Energie'!$G:$U,14,FALSE)),0,VLOOKUP($B13&amp;"; "&amp;$P$11&amp;", "&amp;G$12,'FE Energie'!$G:$U,14,FALSE))</f>
        <v>0</v>
      </c>
      <c r="AL13" s="565">
        <f>$F13*IF(ISNA(VLOOKUP($B13&amp;"; "&amp;$G$11&amp;", "&amp;H$12,'FE Energie'!$G:$U,14,FALSE)),0,VLOOKUP($B13&amp;"; "&amp;$G$11&amp;", "&amp;H$12,'FE Energie'!$G:$U,14,FALSE))
+$I13*IF(ISNA(VLOOKUP($B13&amp;"; "&amp;$J$11&amp;", "&amp;H$12,'FE Energie'!$G:$U,14,FALSE)),0,VLOOKUP($B13&amp;"; "&amp;$J$11&amp;", "&amp;H$12,'FE Energie'!$G:$U,14,FALSE))
+$L13*IF(ISNA(VLOOKUP($B13&amp;"; "&amp;$M$11&amp;", "&amp;H$12,'FE Energie'!$G:$U,14,FALSE)),0,VLOOKUP($B13&amp;"; "&amp;$M$11&amp;", "&amp;H$12,'FE Energie'!$G:$U,14,FALSE))
+$O13*IF(ISNA(VLOOKUP($B13&amp;"; "&amp;$P$11&amp;", "&amp;H$12,'FE Energie'!$G:$U,14,FALSE)),0,VLOOKUP($B13&amp;"; "&amp;$P$11&amp;", "&amp;H$12,'FE Energie'!$G:$U,14,FALSE))</f>
        <v>0</v>
      </c>
      <c r="AM13" s="566">
        <f>SUM(AE13,AG13,AI13,AK13)</f>
        <v>0</v>
      </c>
      <c r="AN13" s="566">
        <f>SUM(AF13,AH13,AJ13,AL13)</f>
        <v>0</v>
      </c>
      <c r="AO13" s="564">
        <f>$F13*IF(ISNA(VLOOKUP($B13&amp;"; "&amp;$G$11&amp;", "&amp;G$12,'FE Energie'!$G:$U,15,FALSE)),0,VLOOKUP($B13&amp;"; "&amp;$G$11&amp;", "&amp;G$12,'FE Energie'!$G:$U,15,FALSE))
+$I13*IF(ISNA(VLOOKUP($B13&amp;"; "&amp;$J$11&amp;", "&amp;G$12,'FE Energie'!$G:$U,15,FALSE)),0,VLOOKUP($B13&amp;"; "&amp;$J$11&amp;", "&amp;G$12,'FE Energie'!$G:$U,15,FALSE))
+$L13*IF(ISNA(VLOOKUP($B13&amp;"; "&amp;$M$11&amp;", "&amp;G$12,'FE Energie'!$G:$U,15,FALSE)),0,VLOOKUP($B13&amp;"; "&amp;$M$11&amp;", "&amp;G$12,'FE Energie'!$G:$U,15,FALSE))
+$O13*IF(ISNA(VLOOKUP($B13&amp;"; "&amp;$P$11&amp;", "&amp;G$12,'FE Energie'!$G:$U,15,FALSE)),0,VLOOKUP($B13&amp;"; "&amp;$P$11&amp;", "&amp;G$12,'FE Energie'!$G:$U,15,FALSE))</f>
        <v>0</v>
      </c>
      <c r="AP13" s="568">
        <f>$F13*IF(ISNA(VLOOKUP($B13&amp;"; "&amp;$G$11&amp;", "&amp;H$12,'FE Energie'!$G:$U,15,FALSE)),0,VLOOKUP($B13&amp;"; "&amp;$G$11&amp;", "&amp;H$12,'FE Energie'!$G:$U,15,FALSE))
+$I13*IF(ISNA(VLOOKUP($B13&amp;"; "&amp;$J$11&amp;", "&amp;H$12,'FE Energie'!$G:$U,15,FALSE)),0,VLOOKUP($B13&amp;"; "&amp;$J$11&amp;", "&amp;H$12,'FE Energie'!$G:$U,15,FALSE))
+$L13*IF(ISNA(VLOOKUP($B13&amp;"; "&amp;$M$11&amp;", "&amp;H$12,'FE Energie'!$G:$U,15,FALSE)),0,VLOOKUP($B13&amp;"; "&amp;$M$11&amp;", "&amp;H$12,'FE Energie'!$G:$U,15,FALSE))
+$O13*IF(ISNA(VLOOKUP($B13&amp;"; "&amp;$P$11&amp;", "&amp;H$12,'FE Energie'!$G:$U,15,FALSE)),0,VLOOKUP($B13&amp;"; "&amp;$P$11&amp;", "&amp;H$12,'FE Energie'!$G:$U,15,FALSE))</f>
        <v>0</v>
      </c>
      <c r="AQ13" s="114"/>
      <c r="AR13" s="1065">
        <f>IF($X13&lt;&gt;"votre valeur :",IF(ISNA(VLOOKUP($X13,Utilitaires!$N$566:$O$571,2,FALSE)),,VLOOKUP($X13,Utilitaires!$N$566:$O$571,2,FALSE)),$Y13)</f>
        <v>0</v>
      </c>
      <c r="AS13" s="1065">
        <f>IF($X13&lt;&gt;"votre valeur :",IF(ISNA(VLOOKUP($X13,Utilitaires!$N$566:$O$571,2,FALSE)),,VLOOKUP($X13,Utilitaires!$N$566:$O$571,2,FALSE)),$Y13)</f>
        <v>0</v>
      </c>
      <c r="AT13" s="1065">
        <f>IF($X13&lt;&gt;"votre valeur :",IF(ISNA(VLOOKUP($X13,Utilitaires!$N$566:$O$571,2,FALSE)),,VLOOKUP($X13,Utilitaires!$N$566:$O$571,2,FALSE)),$Y13)</f>
        <v>0</v>
      </c>
      <c r="AU13" s="1167">
        <f>IF($X13&lt;&gt;"votre valeur :",IF(ISNA(VLOOKUP($X13,Utilitaires!$N$566:$O$571,2,FALSE)),,VLOOKUP($X13,Utilitaires!$N$566:$O$571,2,FALSE)),$Y13)</f>
        <v>0</v>
      </c>
      <c r="AV13" s="1068">
        <f>IF(ISNA(SQRT(SUMSQ(VLOOKUP($B13&amp;"; "&amp;$G$11&amp;", "&amp;$G$12,'FE Energie'!$G:$U,7,FALSE),$AR13))),0,SQRT(SUMSQ(VLOOKUP($B13&amp;"; "&amp;$G$11&amp;", "&amp;$G$12,'FE Energie'!$G:$U,7,FALSE),$AR13)))</f>
        <v>0.05</v>
      </c>
      <c r="AW13" s="1068">
        <f>IF(ISNA(SQRT(SUMSQ(VLOOKUP($B13&amp;"; "&amp;$J$11&amp;", "&amp;$J$12,'FE Energie'!$G:$U,7,FALSE),$AS13))),0,SQRT(SUMSQ(VLOOKUP($B13&amp;"; "&amp;$J$11&amp;", "&amp;$J$12,'FE Energie'!$G:$U,7,FALSE),$AS13)))</f>
        <v>0.05</v>
      </c>
      <c r="AX13" s="1068">
        <f>IF(ISNA(SQRT(SUMSQ(VLOOKUP($B13&amp;"; "&amp;$M$11&amp;", "&amp;$M$12,'FE Energie'!$G:$U,7,FALSE),$AT13))),0,SQRT(SUMSQ(VLOOKUP($B13&amp;"; "&amp;$M$11&amp;", "&amp;$M$12,'FE Energie'!$G:$U,7,FALSE),$AT13)))</f>
        <v>0.05</v>
      </c>
      <c r="AY13" s="1068">
        <f>IF(ISNA(SQRT(SUMSQ(VLOOKUP($B13&amp;"; "&amp;$P$11&amp;", "&amp;$P$12,'FE Energie'!$G:$U,7,FALSE),$AU13))),0,SQRT(SUMSQ(VLOOKUP($B13&amp;"; "&amp;$P$11&amp;", "&amp;$P$12,'FE Energie'!$G:$U,7,FALSE),$AU13)))</f>
        <v>0.05</v>
      </c>
      <c r="AZ13" s="1069">
        <f>IF(ISNA(SQRT(SUMSQ(VLOOKUP($B13&amp;"; "&amp;$G$11&amp;", "&amp;$H$12,'FE Energie'!$G:$U,7,FALSE),$AR13))),0,SQRT(SUMSQ(VLOOKUP($B13&amp;"; "&amp;$G$11&amp;", "&amp;$H$12,'FE Energie'!$G:$U,7,FALSE),$AR13)))</f>
        <v>0.05</v>
      </c>
      <c r="BA13" s="1070">
        <f>IF(ISNA(SQRT(SUMSQ(VLOOKUP($B13&amp;"; "&amp;$J$11&amp;", "&amp;$K$12,'FE Energie'!$G:$U,7,FALSE),$AS13))),0,SQRT(SUMSQ(VLOOKUP($B13&amp;"; "&amp;$J$11&amp;", "&amp;$K$12,'FE Energie'!$G:$U,7,FALSE),$AS13)))</f>
        <v>0.05</v>
      </c>
      <c r="BB13" s="1070">
        <f>IF(ISNA(SQRT(SUMSQ(VLOOKUP($B13&amp;"; "&amp;$M$11&amp;", "&amp;$N$12,'FE Energie'!$G:$U,7,FALSE),$AT13))),0,SQRT(SUMSQ(VLOOKUP($B13&amp;"; "&amp;$M$11&amp;", "&amp;$N$12,'FE Energie'!$G:$U,7,FALSE),$AT13)))</f>
        <v>0.05</v>
      </c>
      <c r="BC13" s="1071">
        <f>IF(ISNA(SQRT(SUMSQ(VLOOKUP($B13&amp;"; "&amp;$P$11&amp;", "&amp;$Q$12,'FE Energie'!$G:$U,7,FALSE),$AU13))),0,SQRT(SUMSQ(VLOOKUP($B13&amp;"; "&amp;$P$11&amp;", "&amp;$Q$12,'FE Energie'!$G:$U,7,FALSE),$AU13)))</f>
        <v>0.05</v>
      </c>
    </row>
    <row r="14" spans="1:56" s="116" customFormat="1" ht="12.75" hidden="1" customHeight="1" outlineLevel="1">
      <c r="A14" s="114"/>
      <c r="B14" s="143" t="s">
        <v>1623</v>
      </c>
      <c r="C14" s="144"/>
      <c r="D14" s="315">
        <f>SUM(R14,S14)</f>
        <v>0</v>
      </c>
      <c r="E14" s="345"/>
      <c r="F14" s="1548"/>
      <c r="G14" s="335">
        <f>VLOOKUP($B14&amp;"; "&amp;$G$11&amp;", "&amp;G$12,'FE Energie'!$G:$U,9,FALSE)</f>
        <v>0.48699999999999999</v>
      </c>
      <c r="H14" s="335">
        <f>VLOOKUP($B14&amp;"; "&amp;$G$11&amp;", "&amp;H$12,'FE Energie'!$G:$U,9,FALSE)</f>
        <v>2.97</v>
      </c>
      <c r="I14" s="1548"/>
      <c r="J14" s="223">
        <f>VLOOKUP($B14&amp;"; "&amp;$J$11&amp;", "&amp;J$12,'FE Energie'!$G:$U,9,FALSE)</f>
        <v>3.9E-2</v>
      </c>
      <c r="K14" s="223">
        <f>VLOOKUP($B14&amp;"; "&amp;$J$11&amp;", "&amp;K$12,'FE Energie'!$G:$U,9,FALSE)</f>
        <v>0.23300000000000001</v>
      </c>
      <c r="L14" s="1548"/>
      <c r="M14" s="217">
        <f>VLOOKUP($B14&amp;"; "&amp;$M$11&amp;", "&amp;M$12,'FE Energie'!$G:$U,9,FALSE)</f>
        <v>445</v>
      </c>
      <c r="N14" s="217">
        <f>VLOOKUP($B14&amp;"; "&amp;$M$11&amp;", "&amp;N$12,'FE Energie'!$G:$U,9,FALSE)</f>
        <v>2720</v>
      </c>
      <c r="O14" s="1548"/>
      <c r="P14" s="223">
        <f>VLOOKUP($B14&amp;"; "&amp;$P$11&amp;", "&amp;P$12,'FE Energie'!$G:$U,9,FALSE)</f>
        <v>0.25600000000000001</v>
      </c>
      <c r="Q14" s="223">
        <f>VLOOKUP($B14&amp;"; "&amp;$P$11&amp;", "&amp;Q$12,'FE Energie'!$G:$U,9,FALSE)</f>
        <v>1.54</v>
      </c>
      <c r="R14" s="566">
        <f>IF(ISNA(F14*G14),0,F14*G14)+IF(ISNA(I14*J14),0,I14*J14)+IF(ISNA(L14*M14),0,L14*M14)+IF(ISNA(O14*P14),0,O14*P14)</f>
        <v>0</v>
      </c>
      <c r="S14" s="567">
        <f>IF(ISNA(F14*H14),0,F14*H14)+IF(ISNA(I14*K14),0,I14*K14)+IF(ISNA(L14*N14),0,L14*N14)+IF(ISNA(O14*Q14),0,O14*Q14)</f>
        <v>0</v>
      </c>
      <c r="T14" s="114"/>
      <c r="U14" s="114"/>
      <c r="V14" s="114"/>
      <c r="W14" s="1092">
        <f>IF(AC14=0,AC14,AC14/(R14+S14))</f>
        <v>0</v>
      </c>
      <c r="X14" s="345"/>
      <c r="Y14" s="820"/>
      <c r="Z14" s="1801">
        <f>SQRT(SUMSQ(IF(ISNA($F14*G14*AV14),0,$F14*G14*AV14),IF(ISNA($I14*J14*AW14),0,$I14*J14*AW14),IF(ISNA($L14*M14*AX14),0,$L14*M14*AX14),IF(ISNA($O14*P14*AY14),0,$O14*P14*AY14)))</f>
        <v>0</v>
      </c>
      <c r="AA14" s="1801">
        <f>SQRT(SUMSQ(IF(ISNA($F14*H14*AZ14),0,$F14*H14*AZ14),IF(ISNA($I14*K14*BA14),0,$I14*K14*BA14),IF(ISNA($L14*N14*BB14),0,$L14*N14*BB14),IF(ISNA($O14*Q14*BC14),0,$O14*Q14*BC14)))</f>
        <v>0</v>
      </c>
      <c r="AB14" s="1801"/>
      <c r="AC14" s="152">
        <f>SQRT(SUMSQ(Z14,AA14))</f>
        <v>0</v>
      </c>
      <c r="AE14" s="564">
        <f>$F14*IF(ISNA(VLOOKUP($B14&amp;"; "&amp;$G$11&amp;", "&amp;G$12,'FE Energie'!$G:$U,10,FALSE)),0,VLOOKUP($B14&amp;"; "&amp;$G$11&amp;", "&amp;G$12,'FE Energie'!$G:$U,10,FALSE))
+$I14*IF(ISNA(VLOOKUP($B14&amp;"; "&amp;$J$11&amp;", "&amp;G$12,'FE Energie'!$G:$U,10,FALSE)),0,VLOOKUP($B14&amp;"; "&amp;$J$11&amp;", "&amp;G$12,'FE Energie'!$G:$U,10,FALSE))
+$L14*IF(ISNA(VLOOKUP($B14&amp;"; "&amp;$M$11&amp;", "&amp;G$12,'FE Energie'!$G:$U,10,FALSE)),0,VLOOKUP($B14&amp;"; "&amp;$M$11&amp;", "&amp;G$12,'FE Energie'!$G:$U,10,FALSE))
+$O14*IF(ISNA(VLOOKUP($B14&amp;"; "&amp;$P$11&amp;", "&amp;G$12,'FE Energie'!$G:$U,10,FALSE)),0,VLOOKUP($B14&amp;"; "&amp;$P$11&amp;", "&amp;G$12,'FE Energie'!$G:$U,10,FALSE))</f>
        <v>0</v>
      </c>
      <c r="AF14" s="565">
        <f>$F14*IF(ISNA(VLOOKUP($B14&amp;"; "&amp;$G$11&amp;", "&amp;H$12,'FE Energie'!$G:$U,10,FALSE)),0,VLOOKUP($B14&amp;"; "&amp;$G$11&amp;", "&amp;H$12,'FE Energie'!$G:$U,10,FALSE))
+$I14*IF(ISNA(VLOOKUP($B14&amp;"; "&amp;$J$11&amp;", "&amp;H$12,'FE Energie'!$G:$U,10,FALSE)),0,VLOOKUP($B14&amp;"; "&amp;$J$11&amp;", "&amp;H$12,'FE Energie'!$G:$U,10,FALSE))
+$L14*IF(ISNA(VLOOKUP($B14&amp;"; "&amp;$M$11&amp;", "&amp;H$12,'FE Energie'!$G:$U,10,FALSE)),0,VLOOKUP($B14&amp;"; "&amp;$M$11&amp;", "&amp;H$12,'FE Energie'!$G:$U,10,FALSE))
+$O14*IF(ISNA(VLOOKUP($B14&amp;"; "&amp;$P$11&amp;", "&amp;H$12,'FE Energie'!$G:$U,10,FALSE)),0,VLOOKUP($B14&amp;"; "&amp;$P$11&amp;", "&amp;H$12,'FE Energie'!$G:$U,10,FALSE))</f>
        <v>0</v>
      </c>
      <c r="AG14" s="620">
        <f>$F14*IF(ISNA((VLOOKUP($B14&amp;"; "&amp;$G$11&amp;", "&amp;G$12,'FE Energie'!$G:$U,12,FALSE)+VLOOKUP($B14&amp;"; "&amp;$G$11&amp;", "&amp;G$12,'FE Energie'!$G:$U,11,FALSE))),0,(VLOOKUP($B14&amp;"; "&amp;$G$11&amp;", "&amp;G$12,'FE Energie'!$G:$U,12,FALSE)+VLOOKUP($B14&amp;"; "&amp;$G$11&amp;", "&amp;G$12,'FE Energie'!$G:$U,11,FALSE)))
+$I14*IF(ISNA((VLOOKUP($B14&amp;"; "&amp;$J$11&amp;", "&amp;G$12,'FE Energie'!$G:$U,12,FALSE)+VLOOKUP($B14&amp;"; "&amp;$J$11&amp;", "&amp;G$12,'FE Energie'!$G:$U,11,FALSE))),0,(VLOOKUP($B14&amp;"; "&amp;$J$11&amp;", "&amp;G$12,'FE Energie'!$G:$U,12,FALSE)+VLOOKUP($B14&amp;"; "&amp;$J$11&amp;", "&amp;G$12,'FE Energie'!$G:$U,11,FALSE)))
+$L14*IF(ISNA((VLOOKUP($B14&amp;"; "&amp;$M$11&amp;", "&amp;G$12,'FE Energie'!$G:$U,12,FALSE)+VLOOKUP($B14&amp;"; "&amp;$M$11&amp;", "&amp;G$12,'FE Energie'!$G:$U,11,FALSE))),0,(VLOOKUP($B14&amp;"; "&amp;$M$11&amp;", "&amp;G$12,'FE Energie'!$G:$U,12,FALSE)+VLOOKUP($B14&amp;"; "&amp;$M$11&amp;", "&amp;G$12,'FE Energie'!$G:$U,11,FALSE)))
+$O14*IF(ISNA((VLOOKUP($B14&amp;"; "&amp;$P$11&amp;", "&amp;G$12,'FE Energie'!$G:$U,12,FALSE)+VLOOKUP($B14&amp;"; "&amp;$P$11&amp;", "&amp;G$12,'FE Energie'!$G:$U,11,FALSE))),0,(VLOOKUP($B14&amp;"; "&amp;$P$11&amp;", "&amp;G$12,'FE Energie'!$G:$U,12,FALSE)+VLOOKUP($B14&amp;"; "&amp;$P$11&amp;", "&amp;G$12,'FE Energie'!$G:$U,11,FALSE)))</f>
        <v>0</v>
      </c>
      <c r="AH14" s="620">
        <f>$F14*IF(ISNA((VLOOKUP($B14&amp;"; "&amp;$G$11&amp;", "&amp;H$12,'FE Energie'!$G:$U,12,FALSE)+VLOOKUP($B14&amp;"; "&amp;$G$11&amp;", "&amp;H$12,'FE Energie'!$G:$U,11,FALSE))),0,(VLOOKUP($B14&amp;"; "&amp;$G$11&amp;", "&amp;H$12,'FE Energie'!$G:$U,12,FALSE)+VLOOKUP($B14&amp;"; "&amp;$G$11&amp;", "&amp;H$12,'FE Energie'!$G:$U,11,FALSE)))
+$I14*IF(ISNA((VLOOKUP($B14&amp;"; "&amp;$J$11&amp;", "&amp;H$12,'FE Energie'!$G:$U,12,FALSE)+VLOOKUP($B14&amp;"; "&amp;$J$11&amp;", "&amp;H$12,'FE Energie'!$G:$U,11,FALSE))),0,(VLOOKUP($B14&amp;"; "&amp;$J$11&amp;", "&amp;H$12,'FE Energie'!$G:$U,12,FALSE)+VLOOKUP($B14&amp;"; "&amp;$J$11&amp;", "&amp;H$12,'FE Energie'!$G:$U,11,FALSE)))
+$L14*IF(ISNA((VLOOKUP($B14&amp;"; "&amp;$M$11&amp;", "&amp;H$12,'FE Energie'!$G:$U,12,FALSE)+VLOOKUP($B14&amp;"; "&amp;$M$11&amp;", "&amp;H$12,'FE Energie'!$G:$U,11,FALSE))),0,(VLOOKUP($B14&amp;"; "&amp;$M$11&amp;", "&amp;H$12,'FE Energie'!$G:$U,12,FALSE)+VLOOKUP($B14&amp;"; "&amp;$M$11&amp;", "&amp;H$12,'FE Energie'!$G:$U,11,FALSE)))
+$O14*IF(ISNA((VLOOKUP($B14&amp;"; "&amp;$P$11&amp;", "&amp;H$12,'FE Energie'!$G:$U,12,FALSE)+VLOOKUP($B14&amp;"; "&amp;$P$11&amp;", "&amp;H$12,'FE Energie'!$G:$U,11,FALSE))),0,(VLOOKUP($B14&amp;"; "&amp;$P$11&amp;", "&amp;H$12,'FE Energie'!$G:$U,12,FALSE)+VLOOKUP($B14&amp;"; "&amp;$P$11&amp;", "&amp;H$12,'FE Energie'!$G:$U,11,FALSE)))</f>
        <v>0</v>
      </c>
      <c r="AI14" s="620">
        <f>$F14*IF(ISNA(VLOOKUP($B14&amp;"; "&amp;$G$11&amp;", "&amp;G$12,'FE Energie'!$G:$U,13,FALSE)),0,VLOOKUP($B14&amp;"; "&amp;$G$11&amp;", "&amp;G$12,'FE Energie'!$G:$U,13,FALSE))
+$I14*IF(ISNA(VLOOKUP($B14&amp;"; "&amp;$J$11&amp;", "&amp;G$12,'FE Energie'!$G:$U,13,FALSE)),0,VLOOKUP($B14&amp;"; "&amp;$J$11&amp;", "&amp;G$12,'FE Energie'!$G:$U,13,FALSE))
+$L14*IF(ISNA(VLOOKUP($B14&amp;"; "&amp;$M$11&amp;", "&amp;G$12,'FE Energie'!$G:$U,13,FALSE)),0,VLOOKUP($B14&amp;"; "&amp;$M$11&amp;", "&amp;G$12,'FE Energie'!$G:$U,13,FALSE))
+$O14*IF(ISNA(VLOOKUP($B14&amp;"; "&amp;$P$11&amp;", "&amp;G$12,'FE Energie'!$G:$U,13,FALSE)),0,VLOOKUP($B14&amp;"; "&amp;$P$11&amp;", "&amp;G$12,'FE Energie'!$G:$U,13,FALSE))</f>
        <v>0</v>
      </c>
      <c r="AJ14" s="620">
        <f>$F14*IF(ISNA(VLOOKUP($B14&amp;"; "&amp;$G$11&amp;", "&amp;H$12,'FE Energie'!$G:$U,13,FALSE)),0,VLOOKUP($B14&amp;"; "&amp;$G$11&amp;", "&amp;H$12,'FE Energie'!$G:$U,13,FALSE))
+$I14*IF(ISNA(VLOOKUP($B14&amp;"; "&amp;$J$11&amp;", "&amp;H$12,'FE Energie'!$G:$U,13,FALSE)),0,VLOOKUP($B14&amp;"; "&amp;$J$11&amp;", "&amp;H$12,'FE Energie'!$G:$U,13,FALSE))
+$L14*IF(ISNA(VLOOKUP($B14&amp;"; "&amp;$M$11&amp;", "&amp;H$12,'FE Energie'!$G:$U,13,FALSE)),0,VLOOKUP($B14&amp;"; "&amp;$M$11&amp;", "&amp;H$12,'FE Energie'!$G:$U,13,FALSE))
+$O14*IF(ISNA(VLOOKUP($B14&amp;"; "&amp;$P$11&amp;", "&amp;H$12,'FE Energie'!$G:$U,13,FALSE)),0,VLOOKUP($B14&amp;"; "&amp;$P$11&amp;", "&amp;H$12,'FE Energie'!$G:$U,13,FALSE))</f>
        <v>0</v>
      </c>
      <c r="AK14" s="565">
        <f>$F14*IF(ISNA(VLOOKUP($B14&amp;"; "&amp;$G$11&amp;", "&amp;G$12,'FE Energie'!$G:$U,14,FALSE)),0,VLOOKUP($B14&amp;"; "&amp;$G$11&amp;", "&amp;G$12,'FE Energie'!$G:$U,14,FALSE))
+$I14*IF(ISNA(VLOOKUP($B14&amp;"; "&amp;$J$11&amp;", "&amp;G$12,'FE Energie'!$G:$U,14,FALSE)),0,VLOOKUP($B14&amp;"; "&amp;$J$11&amp;", "&amp;G$12,'FE Energie'!$G:$U,14,FALSE))
+$L14*IF(ISNA(VLOOKUP($B14&amp;"; "&amp;$M$11&amp;", "&amp;G$12,'FE Energie'!$G:$U,14,FALSE)),0,VLOOKUP($B14&amp;"; "&amp;$M$11&amp;", "&amp;G$12,'FE Energie'!$G:$U,14,FALSE))
+$O14*IF(ISNA(VLOOKUP($B14&amp;"; "&amp;$P$11&amp;", "&amp;G$12,'FE Energie'!$G:$U,14,FALSE)),0,VLOOKUP($B14&amp;"; "&amp;$P$11&amp;", "&amp;G$12,'FE Energie'!$G:$U,14,FALSE))</f>
        <v>0</v>
      </c>
      <c r="AL14" s="565">
        <f>$F14*IF(ISNA(VLOOKUP($B14&amp;"; "&amp;$G$11&amp;", "&amp;H$12,'FE Energie'!$G:$U,14,FALSE)),0,VLOOKUP($B14&amp;"; "&amp;$G$11&amp;", "&amp;H$12,'FE Energie'!$G:$U,14,FALSE))
+$I14*IF(ISNA(VLOOKUP($B14&amp;"; "&amp;$J$11&amp;", "&amp;H$12,'FE Energie'!$G:$U,14,FALSE)),0,VLOOKUP($B14&amp;"; "&amp;$J$11&amp;", "&amp;H$12,'FE Energie'!$G:$U,14,FALSE))
+$L14*IF(ISNA(VLOOKUP($B14&amp;"; "&amp;$M$11&amp;", "&amp;H$12,'FE Energie'!$G:$U,14,FALSE)),0,VLOOKUP($B14&amp;"; "&amp;$M$11&amp;", "&amp;H$12,'FE Energie'!$G:$U,14,FALSE))
+$O14*IF(ISNA(VLOOKUP($B14&amp;"; "&amp;$P$11&amp;", "&amp;H$12,'FE Energie'!$G:$U,14,FALSE)),0,VLOOKUP($B14&amp;"; "&amp;$P$11&amp;", "&amp;H$12,'FE Energie'!$G:$U,14,FALSE))</f>
        <v>0</v>
      </c>
      <c r="AM14" s="566">
        <f t="shared" ref="AM14:AN26" si="0">SUM(AE14,AG14,AI14,AK14)</f>
        <v>0</v>
      </c>
      <c r="AN14" s="566">
        <f t="shared" si="0"/>
        <v>0</v>
      </c>
      <c r="AO14" s="564">
        <f>$F14*IF(ISNA(VLOOKUP($B14&amp;"; "&amp;$G$11&amp;", "&amp;G$12,'FE Energie'!$G:$U,15,FALSE)),0,VLOOKUP($B14&amp;"; "&amp;$G$11&amp;", "&amp;G$12,'FE Energie'!$G:$U,15,FALSE))
+$I14*IF(ISNA(VLOOKUP($B14&amp;"; "&amp;$J$11&amp;", "&amp;G$12,'FE Energie'!$G:$U,15,FALSE)),0,VLOOKUP($B14&amp;"; "&amp;$J$11&amp;", "&amp;G$12,'FE Energie'!$G:$U,15,FALSE))
+$L14*IF(ISNA(VLOOKUP($B14&amp;"; "&amp;$M$11&amp;", "&amp;G$12,'FE Energie'!$G:$U,15,FALSE)),0,VLOOKUP($B14&amp;"; "&amp;$M$11&amp;", "&amp;G$12,'FE Energie'!$G:$U,15,FALSE))
+$O14*IF(ISNA(VLOOKUP($B14&amp;"; "&amp;$P$11&amp;", "&amp;G$12,'FE Energie'!$G:$U,15,FALSE)),0,VLOOKUP($B14&amp;"; "&amp;$P$11&amp;", "&amp;G$12,'FE Energie'!$G:$U,15,FALSE))</f>
        <v>0</v>
      </c>
      <c r="AP14" s="568">
        <f>$F14*IF(ISNA(VLOOKUP($B14&amp;"; "&amp;$G$11&amp;", "&amp;H$12,'FE Energie'!$G:$U,15,FALSE)),0,VLOOKUP($B14&amp;"; "&amp;$G$11&amp;", "&amp;H$12,'FE Energie'!$G:$U,15,FALSE))
+$I14*IF(ISNA(VLOOKUP($B14&amp;"; "&amp;$J$11&amp;", "&amp;H$12,'FE Energie'!$G:$U,15,FALSE)),0,VLOOKUP($B14&amp;"; "&amp;$J$11&amp;", "&amp;H$12,'FE Energie'!$G:$U,15,FALSE))
+$L14*IF(ISNA(VLOOKUP($B14&amp;"; "&amp;$M$11&amp;", "&amp;H$12,'FE Energie'!$G:$U,15,FALSE)),0,VLOOKUP($B14&amp;"; "&amp;$M$11&amp;", "&amp;H$12,'FE Energie'!$G:$U,15,FALSE))
+$O14*IF(ISNA(VLOOKUP($B14&amp;"; "&amp;$P$11&amp;", "&amp;H$12,'FE Energie'!$G:$U,15,FALSE)),0,VLOOKUP($B14&amp;"; "&amp;$P$11&amp;", "&amp;H$12,'FE Energie'!$G:$U,15,FALSE))</f>
        <v>0</v>
      </c>
      <c r="AQ14" s="114"/>
      <c r="AR14" s="1065">
        <f>IF($X14&lt;&gt;"votre valeur :",IF(ISNA(VLOOKUP($X14,Utilitaires!$N$566:$O$571,2,FALSE)),,VLOOKUP($X14,Utilitaires!$N$566:$O$571,2,FALSE)),$Y14)</f>
        <v>0</v>
      </c>
      <c r="AS14" s="1065">
        <f>IF($X14&lt;&gt;"votre valeur :",IF(ISNA(VLOOKUP($X14,Utilitaires!$N$566:$O$571,2,FALSE)),,VLOOKUP($X14,Utilitaires!$N$566:$O$571,2,FALSE)),$Y14)</f>
        <v>0</v>
      </c>
      <c r="AT14" s="1065">
        <f>IF($X14&lt;&gt;"votre valeur :",IF(ISNA(VLOOKUP($X14,Utilitaires!$N$566:$O$571,2,FALSE)),,VLOOKUP($X14,Utilitaires!$N$566:$O$571,2,FALSE)),$Y14)</f>
        <v>0</v>
      </c>
      <c r="AU14" s="1167">
        <f>IF($X14&lt;&gt;"votre valeur :",IF(ISNA(VLOOKUP($X14,Utilitaires!$N$566:$O$571,2,FALSE)),,VLOOKUP($X14,Utilitaires!$N$566:$O$571,2,FALSE)),$Y14)</f>
        <v>0</v>
      </c>
      <c r="AV14" s="1068">
        <f>IF(ISNA(SQRT(SUMSQ(VLOOKUP($B14&amp;"; "&amp;$G$11&amp;", "&amp;$G$12,'FE Energie'!$G:$U,7,FALSE),$AR14))),0,SQRT(SUMSQ(VLOOKUP($B14&amp;"; "&amp;$G$11&amp;", "&amp;$G$12,'FE Energie'!$G:$U,7,FALSE),$AR14)))</f>
        <v>0.05</v>
      </c>
      <c r="AW14" s="1068">
        <f>IF(ISNA(SQRT(SUMSQ(VLOOKUP($B14&amp;"; "&amp;$J$11&amp;", "&amp;$J$12,'FE Energie'!$G:$U,7,FALSE),$AS14))),0,SQRT(SUMSQ(VLOOKUP($B14&amp;"; "&amp;$J$11&amp;", "&amp;$J$12,'FE Energie'!$G:$U,7,FALSE),$AS14)))</f>
        <v>0.05</v>
      </c>
      <c r="AX14" s="1068">
        <f>IF(ISNA(SQRT(SUMSQ(VLOOKUP($B14&amp;"; "&amp;$M$11&amp;", "&amp;$M$12,'FE Energie'!$G:$U,7,FALSE),$AT14))),0,SQRT(SUMSQ(VLOOKUP($B14&amp;"; "&amp;$M$11&amp;", "&amp;$M$12,'FE Energie'!$G:$U,7,FALSE),$AT14)))</f>
        <v>0.05</v>
      </c>
      <c r="AY14" s="1068">
        <f>IF(ISNA(SQRT(SUMSQ(VLOOKUP($B14&amp;"; "&amp;$P$11&amp;", "&amp;$P$12,'FE Energie'!$G:$U,7,FALSE),$AU14))),0,SQRT(SUMSQ(VLOOKUP($B14&amp;"; "&amp;$P$11&amp;", "&amp;$P$12,'FE Energie'!$G:$U,7,FALSE),$AU14)))</f>
        <v>0.05</v>
      </c>
      <c r="AZ14" s="1069">
        <f>IF(ISNA(SQRT(SUMSQ(VLOOKUP($B14&amp;"; "&amp;$G$11&amp;", "&amp;$H$12,'FE Energie'!$G:$U,7,FALSE),$AR14))),0,SQRT(SUMSQ(VLOOKUP($B14&amp;"; "&amp;$G$11&amp;", "&amp;$H$12,'FE Energie'!$G:$U,7,FALSE),$AR14)))</f>
        <v>0.05</v>
      </c>
      <c r="BA14" s="1070">
        <f>IF(ISNA(SQRT(SUMSQ(VLOOKUP($B14&amp;"; "&amp;$J$11&amp;", "&amp;$K$12,'FE Energie'!$G:$U,7,FALSE),$AS14))),0,SQRT(SUMSQ(VLOOKUP($B14&amp;"; "&amp;$J$11&amp;", "&amp;$K$12,'FE Energie'!$G:$U,7,FALSE),$AS14)))</f>
        <v>0.05</v>
      </c>
      <c r="BB14" s="1070">
        <f>IF(ISNA(SQRT(SUMSQ(VLOOKUP($B14&amp;"; "&amp;$M$11&amp;", "&amp;$N$12,'FE Energie'!$G:$U,7,FALSE),$AT14))),0,SQRT(SUMSQ(VLOOKUP($B14&amp;"; "&amp;$M$11&amp;", "&amp;$N$12,'FE Energie'!$G:$U,7,FALSE),$AT14)))</f>
        <v>0.05</v>
      </c>
      <c r="BC14" s="1071">
        <f>IF(ISNA(SQRT(SUMSQ(VLOOKUP($B14&amp;"; "&amp;$P$11&amp;", "&amp;$Q$12,'FE Energie'!$G:$U,7,FALSE),$AU14))),0,SQRT(SUMSQ(VLOOKUP($B14&amp;"; "&amp;$P$11&amp;", "&amp;$Q$12,'FE Energie'!$G:$U,7,FALSE),$AU14)))</f>
        <v>0.05</v>
      </c>
    </row>
    <row r="15" spans="1:56" s="116" customFormat="1" ht="12.75" hidden="1" customHeight="1" outlineLevel="1">
      <c r="A15" s="114"/>
      <c r="B15" s="536" t="s">
        <v>1637</v>
      </c>
      <c r="C15" s="144"/>
      <c r="D15" s="315"/>
      <c r="E15" s="822"/>
      <c r="F15" s="1583"/>
      <c r="G15" s="335"/>
      <c r="H15" s="335"/>
      <c r="I15" s="1583"/>
      <c r="J15" s="223"/>
      <c r="K15" s="223"/>
      <c r="L15" s="1583"/>
      <c r="M15" s="217"/>
      <c r="N15" s="217"/>
      <c r="O15" s="1583"/>
      <c r="P15" s="223"/>
      <c r="Q15" s="223"/>
      <c r="R15" s="566"/>
      <c r="S15" s="567"/>
      <c r="T15" s="114"/>
      <c r="U15" s="114"/>
      <c r="V15" s="114"/>
      <c r="W15" s="1092"/>
      <c r="X15" s="820"/>
      <c r="Y15" s="820"/>
      <c r="Z15" s="1801"/>
      <c r="AA15" s="1801"/>
      <c r="AB15" s="1801"/>
      <c r="AC15" s="152"/>
      <c r="AE15" s="564"/>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6" s="116" customFormat="1" ht="12.75" hidden="1" customHeight="1" outlineLevel="1">
      <c r="A16" s="114"/>
      <c r="B16" s="143" t="s">
        <v>3253</v>
      </c>
      <c r="C16" s="144"/>
      <c r="D16" s="315">
        <f>SUM(R16,S16)</f>
        <v>0</v>
      </c>
      <c r="E16" s="343"/>
      <c r="F16" s="1547"/>
      <c r="G16" s="335" t="e">
        <f>VLOOKUP($B16&amp;"; "&amp;$G$11&amp;", "&amp;G$12,'FE Energie'!$G:$U,9,FALSE)</f>
        <v>#N/A</v>
      </c>
      <c r="H16" s="335" t="e">
        <f>VLOOKUP($B16&amp;"; "&amp;$G$11&amp;", "&amp;H$12,'FE Energie'!$G:$U,9,FALSE)</f>
        <v>#N/A</v>
      </c>
      <c r="I16" s="1547"/>
      <c r="J16" s="223">
        <f>VLOOKUP($B16&amp;"; "&amp;$J$11&amp;", "&amp;J$12,'FE Energie'!$G:$U,9,FALSE)</f>
        <v>3.9699999999999999E-2</v>
      </c>
      <c r="K16" s="223">
        <f>VLOOKUP($B16&amp;"; "&amp;$J$11&amp;", "&amp;K$12,'FE Energie'!$G:$U,9,FALSE)</f>
        <v>0.187</v>
      </c>
      <c r="L16" s="1547"/>
      <c r="M16" s="217">
        <f>VLOOKUP($B16&amp;"; "&amp;$M$11&amp;", "&amp;M$12,'FE Energie'!$G:$U,9,FALSE)</f>
        <v>462</v>
      </c>
      <c r="N16" s="217">
        <f>VLOOKUP($B16&amp;"; "&amp;$M$11&amp;", "&amp;N$12,'FE Energie'!$G:$U,9,FALSE)</f>
        <v>2180</v>
      </c>
      <c r="O16" s="1547"/>
      <c r="P16" s="223" t="e">
        <f>VLOOKUP($B16&amp;"; "&amp;$P$11&amp;", "&amp;P$12,'FE Energie'!$G:$U,9,FALSE)</f>
        <v>#N/A</v>
      </c>
      <c r="Q16" s="223" t="e">
        <f>VLOOKUP($B16&amp;"; "&amp;$P$11&amp;", "&amp;Q$12,'FE Energie'!$G:$U,9,FALSE)</f>
        <v>#N/A</v>
      </c>
      <c r="R16" s="566">
        <f>IF(ISNA(F16*G16),0,F16*G16)+IF(ISNA(I16*J16),0,I16*J16)+IF(ISNA(L16*M16),0,L16*M16)+IF(ISNA(O16*P16),0,O16*P16)</f>
        <v>0</v>
      </c>
      <c r="S16" s="567">
        <f>IF(ISNA(F16*H16),0,F16*H16)+IF(ISNA(I16*K16),0,I16*K16)+IF(ISNA(L16*N16),0,L16*N16)+IF(ISNA(O16*Q16),0,O16*Q16)</f>
        <v>0</v>
      </c>
      <c r="T16" s="114"/>
      <c r="U16" s="114"/>
      <c r="V16" s="114"/>
      <c r="W16" s="1092">
        <f>IF(AC16=0,AC16,AC16/(R16+S16))</f>
        <v>0</v>
      </c>
      <c r="X16" s="343"/>
      <c r="Y16" s="820"/>
      <c r="Z16" s="1801">
        <f>SQRT(SUMSQ(IF(ISNA($F16*G16*AV16),0,$F16*G16*AV16),IF(ISNA($I16*J16*AW16),0,$I16*J16*AW16),IF(ISNA($L16*M16*AX16),0,$L16*M16*AX16),IF(ISNA($O16*P16*AY16),0,$O16*P16*AY16)))</f>
        <v>0</v>
      </c>
      <c r="AA16" s="1801">
        <f>SQRT(SUMSQ(IF(ISNA($F16*H16*AZ16),0,$F16*H16*AZ16),IF(ISNA($I16*K16*BA16),0,$I16*K16*BA16),IF(ISNA($L16*N16*BB16),0,$L16*N16*BB16),IF(ISNA($O16*Q16*BC16),0,$O16*Q16*BC16)))</f>
        <v>0</v>
      </c>
      <c r="AB16" s="1801"/>
      <c r="AC16" s="152">
        <f>SQRT(SUMSQ(Z16,AA16))</f>
        <v>0</v>
      </c>
      <c r="AE16" s="564">
        <f>$F16*IF(ISNA(VLOOKUP($B16&amp;"; "&amp;$G$11&amp;", "&amp;G$12,'FE Energie'!$G:$U,10,FALSE)),0,VLOOKUP($B16&amp;"; "&amp;$G$11&amp;", "&amp;G$12,'FE Energie'!$G:$U,10,FALSE))
+$I16*IF(ISNA(VLOOKUP($B16&amp;"; "&amp;$J$11&amp;", "&amp;G$12,'FE Energie'!$G:$U,10,FALSE)),0,VLOOKUP($B16&amp;"; "&amp;$J$11&amp;", "&amp;G$12,'FE Energie'!$G:$U,10,FALSE))
+$L16*IF(ISNA(VLOOKUP($B16&amp;"; "&amp;$M$11&amp;", "&amp;G$12,'FE Energie'!$G:$U,10,FALSE)),0,VLOOKUP($B16&amp;"; "&amp;$M$11&amp;", "&amp;G$12,'FE Energie'!$G:$U,10,FALSE))
+$O16*IF(ISNA(VLOOKUP($B16&amp;"; "&amp;$P$11&amp;", "&amp;G$12,'FE Energie'!$G:$U,10,FALSE)),0,VLOOKUP($B16&amp;"; "&amp;$P$11&amp;", "&amp;G$12,'FE Energie'!$G:$U,10,FALSE))</f>
        <v>0</v>
      </c>
      <c r="AF16" s="565">
        <f>$F16*IF(ISNA(VLOOKUP($B16&amp;"; "&amp;$G$11&amp;", "&amp;H$12,'FE Energie'!$G:$U,10,FALSE)),0,VLOOKUP($B16&amp;"; "&amp;$G$11&amp;", "&amp;H$12,'FE Energie'!$G:$U,10,FALSE))
+$I16*IF(ISNA(VLOOKUP($B16&amp;"; "&amp;$J$11&amp;", "&amp;H$12,'FE Energie'!$G:$U,10,FALSE)),0,VLOOKUP($B16&amp;"; "&amp;$J$11&amp;", "&amp;H$12,'FE Energie'!$G:$U,10,FALSE))
+$L16*IF(ISNA(VLOOKUP($B16&amp;"; "&amp;$M$11&amp;", "&amp;H$12,'FE Energie'!$G:$U,10,FALSE)),0,VLOOKUP($B16&amp;"; "&amp;$M$11&amp;", "&amp;H$12,'FE Energie'!$G:$U,10,FALSE))
+$O16*IF(ISNA(VLOOKUP($B16&amp;"; "&amp;$P$11&amp;", "&amp;H$12,'FE Energie'!$G:$U,10,FALSE)),0,VLOOKUP($B16&amp;"; "&amp;$P$11&amp;", "&amp;H$12,'FE Energie'!$G:$U,10,FALSE))</f>
        <v>0</v>
      </c>
      <c r="AG16" s="620">
        <f>$F16*IF(ISNA((VLOOKUP($B16&amp;"; "&amp;$G$11&amp;", "&amp;G$12,'FE Energie'!$G:$U,12,FALSE)+VLOOKUP($B16&amp;"; "&amp;$G$11&amp;", "&amp;G$12,'FE Energie'!$G:$U,11,FALSE))),0,(VLOOKUP($B16&amp;"; "&amp;$G$11&amp;", "&amp;G$12,'FE Energie'!$G:$U,12,FALSE)+VLOOKUP($B16&amp;"; "&amp;$G$11&amp;", "&amp;G$12,'FE Energie'!$G:$U,11,FALSE)))
+$I16*IF(ISNA((VLOOKUP($B16&amp;"; "&amp;$J$11&amp;", "&amp;G$12,'FE Energie'!$G:$U,12,FALSE)+VLOOKUP($B16&amp;"; "&amp;$J$11&amp;", "&amp;G$12,'FE Energie'!$G:$U,11,FALSE))),0,(VLOOKUP($B16&amp;"; "&amp;$J$11&amp;", "&amp;G$12,'FE Energie'!$G:$U,12,FALSE)+VLOOKUP($B16&amp;"; "&amp;$J$11&amp;", "&amp;G$12,'FE Energie'!$G:$U,11,FALSE)))
+$L16*IF(ISNA((VLOOKUP($B16&amp;"; "&amp;$M$11&amp;", "&amp;G$12,'FE Energie'!$G:$U,12,FALSE)+VLOOKUP($B16&amp;"; "&amp;$M$11&amp;", "&amp;G$12,'FE Energie'!$G:$U,11,FALSE))),0,(VLOOKUP($B16&amp;"; "&amp;$M$11&amp;", "&amp;G$12,'FE Energie'!$G:$U,12,FALSE)+VLOOKUP($B16&amp;"; "&amp;$M$11&amp;", "&amp;G$12,'FE Energie'!$G:$U,11,FALSE)))
+$O16*IF(ISNA((VLOOKUP($B16&amp;"; "&amp;$P$11&amp;", "&amp;G$12,'FE Energie'!$G:$U,12,FALSE)+VLOOKUP($B16&amp;"; "&amp;$P$11&amp;", "&amp;G$12,'FE Energie'!$G:$U,11,FALSE))),0,(VLOOKUP($B16&amp;"; "&amp;$P$11&amp;", "&amp;G$12,'FE Energie'!$G:$U,12,FALSE)+VLOOKUP($B16&amp;"; "&amp;$P$11&amp;", "&amp;G$12,'FE Energie'!$G:$U,11,FALSE)))</f>
        <v>0</v>
      </c>
      <c r="AH16" s="620">
        <f>$F16*IF(ISNA((VLOOKUP($B16&amp;"; "&amp;$G$11&amp;", "&amp;H$12,'FE Energie'!$G:$U,12,FALSE)+VLOOKUP($B16&amp;"; "&amp;$G$11&amp;", "&amp;H$12,'FE Energie'!$G:$U,11,FALSE))),0,(VLOOKUP($B16&amp;"; "&amp;$G$11&amp;", "&amp;H$12,'FE Energie'!$G:$U,12,FALSE)+VLOOKUP($B16&amp;"; "&amp;$G$11&amp;", "&amp;H$12,'FE Energie'!$G:$U,11,FALSE)))
+$I16*IF(ISNA((VLOOKUP($B16&amp;"; "&amp;$J$11&amp;", "&amp;H$12,'FE Energie'!$G:$U,12,FALSE)+VLOOKUP($B16&amp;"; "&amp;$J$11&amp;", "&amp;H$12,'FE Energie'!$G:$U,11,FALSE))),0,(VLOOKUP($B16&amp;"; "&amp;$J$11&amp;", "&amp;H$12,'FE Energie'!$G:$U,12,FALSE)+VLOOKUP($B16&amp;"; "&amp;$J$11&amp;", "&amp;H$12,'FE Energie'!$G:$U,11,FALSE)))
+$L16*IF(ISNA((VLOOKUP($B16&amp;"; "&amp;$M$11&amp;", "&amp;H$12,'FE Energie'!$G:$U,12,FALSE)+VLOOKUP($B16&amp;"; "&amp;$M$11&amp;", "&amp;H$12,'FE Energie'!$G:$U,11,FALSE))),0,(VLOOKUP($B16&amp;"; "&amp;$M$11&amp;", "&amp;H$12,'FE Energie'!$G:$U,12,FALSE)+VLOOKUP($B16&amp;"; "&amp;$M$11&amp;", "&amp;H$12,'FE Energie'!$G:$U,11,FALSE)))
+$O16*IF(ISNA((VLOOKUP($B16&amp;"; "&amp;$P$11&amp;", "&amp;H$12,'FE Energie'!$G:$U,12,FALSE)+VLOOKUP($B16&amp;"; "&amp;$P$11&amp;", "&amp;H$12,'FE Energie'!$G:$U,11,FALSE))),0,(VLOOKUP($B16&amp;"; "&amp;$P$11&amp;", "&amp;H$12,'FE Energie'!$G:$U,12,FALSE)+VLOOKUP($B16&amp;"; "&amp;$P$11&amp;", "&amp;H$12,'FE Energie'!$G:$U,11,FALSE)))</f>
        <v>0</v>
      </c>
      <c r="AI16" s="620">
        <f>$F16*IF(ISNA(VLOOKUP($B16&amp;"; "&amp;$G$11&amp;", "&amp;G$12,'FE Energie'!$G:$U,13,FALSE)),0,VLOOKUP($B16&amp;"; "&amp;$G$11&amp;", "&amp;G$12,'FE Energie'!$G:$U,13,FALSE))
+$I16*IF(ISNA(VLOOKUP($B16&amp;"; "&amp;$J$11&amp;", "&amp;G$12,'FE Energie'!$G:$U,13,FALSE)),0,VLOOKUP($B16&amp;"; "&amp;$J$11&amp;", "&amp;G$12,'FE Energie'!$G:$U,13,FALSE))
+$L16*IF(ISNA(VLOOKUP($B16&amp;"; "&amp;$M$11&amp;", "&amp;G$12,'FE Energie'!$G:$U,13,FALSE)),0,VLOOKUP($B16&amp;"; "&amp;$M$11&amp;", "&amp;G$12,'FE Energie'!$G:$U,13,FALSE))
+$O16*IF(ISNA(VLOOKUP($B16&amp;"; "&amp;$P$11&amp;", "&amp;G$12,'FE Energie'!$G:$U,13,FALSE)),0,VLOOKUP($B16&amp;"; "&amp;$P$11&amp;", "&amp;G$12,'FE Energie'!$G:$U,13,FALSE))</f>
        <v>0</v>
      </c>
      <c r="AJ16" s="620">
        <f>$F16*IF(ISNA(VLOOKUP($B16&amp;"; "&amp;$G$11&amp;", "&amp;H$12,'FE Energie'!$G:$U,13,FALSE)),0,VLOOKUP($B16&amp;"; "&amp;$G$11&amp;", "&amp;H$12,'FE Energie'!$G:$U,13,FALSE))
+$I16*IF(ISNA(VLOOKUP($B16&amp;"; "&amp;$J$11&amp;", "&amp;H$12,'FE Energie'!$G:$U,13,FALSE)),0,VLOOKUP($B16&amp;"; "&amp;$J$11&amp;", "&amp;H$12,'FE Energie'!$G:$U,13,FALSE))
+$L16*IF(ISNA(VLOOKUP($B16&amp;"; "&amp;$M$11&amp;", "&amp;H$12,'FE Energie'!$G:$U,13,FALSE)),0,VLOOKUP($B16&amp;"; "&amp;$M$11&amp;", "&amp;H$12,'FE Energie'!$G:$U,13,FALSE))
+$O16*IF(ISNA(VLOOKUP($B16&amp;"; "&amp;$P$11&amp;", "&amp;H$12,'FE Energie'!$G:$U,13,FALSE)),0,VLOOKUP($B16&amp;"; "&amp;$P$11&amp;", "&amp;H$12,'FE Energie'!$G:$U,13,FALSE))</f>
        <v>0</v>
      </c>
      <c r="AK16" s="565">
        <f>$F16*IF(ISNA(VLOOKUP($B16&amp;"; "&amp;$G$11&amp;", "&amp;G$12,'FE Energie'!$G:$U,14,FALSE)),0,VLOOKUP($B16&amp;"; "&amp;$G$11&amp;", "&amp;G$12,'FE Energie'!$G:$U,14,FALSE))
+$I16*IF(ISNA(VLOOKUP($B16&amp;"; "&amp;$J$11&amp;", "&amp;G$12,'FE Energie'!$G:$U,14,FALSE)),0,VLOOKUP($B16&amp;"; "&amp;$J$11&amp;", "&amp;G$12,'FE Energie'!$G:$U,14,FALSE))
+$L16*IF(ISNA(VLOOKUP($B16&amp;"; "&amp;$M$11&amp;", "&amp;G$12,'FE Energie'!$G:$U,14,FALSE)),0,VLOOKUP($B16&amp;"; "&amp;$M$11&amp;", "&amp;G$12,'FE Energie'!$G:$U,14,FALSE))
+$O16*IF(ISNA(VLOOKUP($B16&amp;"; "&amp;$P$11&amp;", "&amp;G$12,'FE Energie'!$G:$U,14,FALSE)),0,VLOOKUP($B16&amp;"; "&amp;$P$11&amp;", "&amp;G$12,'FE Energie'!$G:$U,14,FALSE))</f>
        <v>0</v>
      </c>
      <c r="AL16" s="565">
        <f>$F16*IF(ISNA(VLOOKUP($B16&amp;"; "&amp;$G$11&amp;", "&amp;H$12,'FE Energie'!$G:$U,14,FALSE)),0,VLOOKUP($B16&amp;"; "&amp;$G$11&amp;", "&amp;H$12,'FE Energie'!$G:$U,14,FALSE))
+$I16*IF(ISNA(VLOOKUP($B16&amp;"; "&amp;$J$11&amp;", "&amp;H$12,'FE Energie'!$G:$U,14,FALSE)),0,VLOOKUP($B16&amp;"; "&amp;$J$11&amp;", "&amp;H$12,'FE Energie'!$G:$U,14,FALSE))
+$L16*IF(ISNA(VLOOKUP($B16&amp;"; "&amp;$M$11&amp;", "&amp;H$12,'FE Energie'!$G:$U,14,FALSE)),0,VLOOKUP($B16&amp;"; "&amp;$M$11&amp;", "&amp;H$12,'FE Energie'!$G:$U,14,FALSE))
+$O16*IF(ISNA(VLOOKUP($B16&amp;"; "&amp;$P$11&amp;", "&amp;H$12,'FE Energie'!$G:$U,14,FALSE)),0,VLOOKUP($B16&amp;"; "&amp;$P$11&amp;", "&amp;H$12,'FE Energie'!$G:$U,14,FALSE))</f>
        <v>0</v>
      </c>
      <c r="AM16" s="566">
        <f t="shared" si="0"/>
        <v>0</v>
      </c>
      <c r="AN16" s="566">
        <f t="shared" si="0"/>
        <v>0</v>
      </c>
      <c r="AO16" s="564">
        <f>$F16*IF(ISNA(VLOOKUP($B16&amp;"; "&amp;$G$11&amp;", "&amp;G$12,'FE Energie'!$G:$U,15,FALSE)),0,VLOOKUP($B16&amp;"; "&amp;$G$11&amp;", "&amp;G$12,'FE Energie'!$G:$U,15,FALSE))
+$I16*IF(ISNA(VLOOKUP($B16&amp;"; "&amp;$J$11&amp;", "&amp;G$12,'FE Energie'!$G:$U,15,FALSE)),0,VLOOKUP($B16&amp;"; "&amp;$J$11&amp;", "&amp;G$12,'FE Energie'!$G:$U,15,FALSE))
+$L16*IF(ISNA(VLOOKUP($B16&amp;"; "&amp;$M$11&amp;", "&amp;G$12,'FE Energie'!$G:$U,15,FALSE)),0,VLOOKUP($B16&amp;"; "&amp;$M$11&amp;", "&amp;G$12,'FE Energie'!$G:$U,15,FALSE))
+$O16*IF(ISNA(VLOOKUP($B16&amp;"; "&amp;$P$11&amp;", "&amp;G$12,'FE Energie'!$G:$U,15,FALSE)),0,VLOOKUP($B16&amp;"; "&amp;$P$11&amp;", "&amp;G$12,'FE Energie'!$G:$U,15,FALSE))</f>
        <v>0</v>
      </c>
      <c r="AP16" s="568">
        <f>$F16*IF(ISNA(VLOOKUP($B16&amp;"; "&amp;$G$11&amp;", "&amp;H$12,'FE Energie'!$G:$U,15,FALSE)),0,VLOOKUP($B16&amp;"; "&amp;$G$11&amp;", "&amp;H$12,'FE Energie'!$G:$U,15,FALSE))
+$I16*IF(ISNA(VLOOKUP($B16&amp;"; "&amp;$J$11&amp;", "&amp;H$12,'FE Energie'!$G:$U,15,FALSE)),0,VLOOKUP($B16&amp;"; "&amp;$J$11&amp;", "&amp;H$12,'FE Energie'!$G:$U,15,FALSE))
+$L16*IF(ISNA(VLOOKUP($B16&amp;"; "&amp;$M$11&amp;", "&amp;H$12,'FE Energie'!$G:$U,15,FALSE)),0,VLOOKUP($B16&amp;"; "&amp;$M$11&amp;", "&amp;H$12,'FE Energie'!$G:$U,15,FALSE))
+$O16*IF(ISNA(VLOOKUP($B16&amp;"; "&amp;$P$11&amp;", "&amp;H$12,'FE Energie'!$G:$U,15,FALSE)),0,VLOOKUP($B16&amp;"; "&amp;$P$11&amp;", "&amp;H$12,'FE Energie'!$G:$U,15,FALSE))</f>
        <v>0</v>
      </c>
      <c r="AQ16" s="114"/>
      <c r="AR16" s="1065">
        <f>IF($X16&lt;&gt;"votre valeur :",IF(ISNA(VLOOKUP($X16,Utilitaires!$N$566:$O$571,2,FALSE)),,VLOOKUP($X16,Utilitaires!$N$566:$O$571,2,FALSE)),$Y16)</f>
        <v>0</v>
      </c>
      <c r="AS16" s="1065">
        <f>IF($X16&lt;&gt;"votre valeur :",IF(ISNA(VLOOKUP($X16,Utilitaires!$N$566:$O$571,2,FALSE)),,VLOOKUP($X16,Utilitaires!$N$566:$O$571,2,FALSE)),$Y16)</f>
        <v>0</v>
      </c>
      <c r="AT16" s="1065">
        <f>IF($X16&lt;&gt;"votre valeur :",IF(ISNA(VLOOKUP($X16,Utilitaires!$N$566:$O$571,2,FALSE)),,VLOOKUP($X16,Utilitaires!$N$566:$O$571,2,FALSE)),$Y16)</f>
        <v>0</v>
      </c>
      <c r="AU16" s="1167">
        <f>IF($X16&lt;&gt;"votre valeur :",IF(ISNA(VLOOKUP($X16,Utilitaires!$N$566:$O$571,2,FALSE)),,VLOOKUP($X16,Utilitaires!$N$566:$O$571,2,FALSE)),$Y16)</f>
        <v>0</v>
      </c>
      <c r="AV16" s="1068">
        <f>IF(ISNA(SQRT(SUMSQ(VLOOKUP($B16&amp;"; "&amp;$G$11&amp;", "&amp;$G$12,'FE Energie'!$G:$U,7,FALSE),$AR16))),0,SQRT(SUMSQ(VLOOKUP($B16&amp;"; "&amp;$G$11&amp;", "&amp;$G$12,'FE Energie'!$G:$U,7,FALSE),$AR16)))</f>
        <v>0</v>
      </c>
      <c r="AW16" s="1068">
        <f>IF(ISNA(SQRT(SUMSQ(VLOOKUP($B16&amp;"; "&amp;$J$11&amp;", "&amp;$J$12,'FE Energie'!$G:$U,7,FALSE),$AS16))),0,SQRT(SUMSQ(VLOOKUP($B16&amp;"; "&amp;$J$11&amp;", "&amp;$J$12,'FE Energie'!$G:$U,7,FALSE),$AS16)))</f>
        <v>0.05</v>
      </c>
      <c r="AX16" s="1068">
        <f>IF(ISNA(SQRT(SUMSQ(VLOOKUP($B16&amp;"; "&amp;$M$11&amp;", "&amp;$M$12,'FE Energie'!$G:$U,7,FALSE),$AT16))),0,SQRT(SUMSQ(VLOOKUP($B16&amp;"; "&amp;$M$11&amp;", "&amp;$M$12,'FE Energie'!$G:$U,7,FALSE),$AT16)))</f>
        <v>0.05</v>
      </c>
      <c r="AY16" s="1068">
        <f>IF(ISNA(SQRT(SUMSQ(VLOOKUP($B16&amp;"; "&amp;$P$11&amp;", "&amp;$P$12,'FE Energie'!$G:$U,7,FALSE),$AU16))),0,SQRT(SUMSQ(VLOOKUP($B16&amp;"; "&amp;$P$11&amp;", "&amp;$P$12,'FE Energie'!$G:$U,7,FALSE),$AU16)))</f>
        <v>0</v>
      </c>
      <c r="AZ16" s="1069">
        <f>IF(ISNA(SQRT(SUMSQ(VLOOKUP($B16&amp;"; "&amp;$G$11&amp;", "&amp;$H$12,'FE Energie'!$G:$U,7,FALSE),$AR16))),0,SQRT(SUMSQ(VLOOKUP($B16&amp;"; "&amp;$G$11&amp;", "&amp;$H$12,'FE Energie'!$G:$U,7,FALSE),$AR16)))</f>
        <v>0</v>
      </c>
      <c r="BA16" s="1070">
        <f>IF(ISNA(SQRT(SUMSQ(VLOOKUP($B16&amp;"; "&amp;$J$11&amp;", "&amp;$K$12,'FE Energie'!$G:$U,7,FALSE),$AS16))),0,SQRT(SUMSQ(VLOOKUP($B16&amp;"; "&amp;$J$11&amp;", "&amp;$K$12,'FE Energie'!$G:$U,7,FALSE),$AS16)))</f>
        <v>0.05</v>
      </c>
      <c r="BB16" s="1070">
        <f>IF(ISNA(SQRT(SUMSQ(VLOOKUP($B16&amp;"; "&amp;$M$11&amp;", "&amp;$N$12,'FE Energie'!$G:$U,7,FALSE),$AT16))),0,SQRT(SUMSQ(VLOOKUP($B16&amp;"; "&amp;$M$11&amp;", "&amp;$N$12,'FE Energie'!$G:$U,7,FALSE),$AT16)))</f>
        <v>0.05</v>
      </c>
      <c r="BC16" s="1071">
        <f>IF(ISNA(SQRT(SUMSQ(VLOOKUP($B16&amp;"; "&amp;$P$11&amp;", "&amp;$Q$12,'FE Energie'!$G:$U,7,FALSE),$AU16))),0,SQRT(SUMSQ(VLOOKUP($B16&amp;"; "&amp;$P$11&amp;", "&amp;$Q$12,'FE Energie'!$G:$U,7,FALSE),$AU16)))</f>
        <v>0</v>
      </c>
    </row>
    <row r="17" spans="1:55" s="116" customFormat="1" ht="12.75" hidden="1" customHeight="1" outlineLevel="1">
      <c r="A17" s="114"/>
      <c r="B17" s="143" t="s">
        <v>1627</v>
      </c>
      <c r="C17" s="144"/>
      <c r="D17" s="315">
        <f>SUM(R17,S17)</f>
        <v>0</v>
      </c>
      <c r="E17" s="345"/>
      <c r="F17" s="1548"/>
      <c r="G17" s="335" t="e">
        <f>VLOOKUP($B17&amp;"; "&amp;$G$11&amp;", "&amp;G$12,'FE Energie'!$G:$U,9,FALSE)</f>
        <v>#N/A</v>
      </c>
      <c r="H17" s="335" t="e">
        <f>VLOOKUP($B17&amp;"; "&amp;$G$11&amp;", "&amp;H$12,'FE Energie'!$G:$U,9,FALSE)</f>
        <v>#N/A</v>
      </c>
      <c r="I17" s="1548"/>
      <c r="J17" s="223" t="e">
        <f>VLOOKUP($B17&amp;"; "&amp;$J$11&amp;", "&amp;J$12,'FE Energie'!$G:$U,9,FALSE)</f>
        <v>#N/A</v>
      </c>
      <c r="K17" s="223" t="e">
        <f>VLOOKUP($B17&amp;"; "&amp;$J$11&amp;", "&amp;K$12,'FE Energie'!$G:$U,9,FALSE)</f>
        <v>#N/A</v>
      </c>
      <c r="L17" s="1548"/>
      <c r="M17" s="217" t="e">
        <f>VLOOKUP($B17&amp;"; "&amp;$M$11&amp;", "&amp;M$12,'FE Energie'!$G:$U,9,FALSE)</f>
        <v>#N/A</v>
      </c>
      <c r="N17" s="217" t="e">
        <f>VLOOKUP($B17&amp;"; "&amp;$M$11&amp;", "&amp;N$12,'FE Energie'!$G:$U,9,FALSE)</f>
        <v>#N/A</v>
      </c>
      <c r="O17" s="1548"/>
      <c r="P17" s="223" t="e">
        <f>VLOOKUP($B17&amp;"; "&amp;$P$11&amp;", "&amp;P$12,'FE Energie'!$G:$U,9,FALSE)</f>
        <v>#N/A</v>
      </c>
      <c r="Q17" s="223" t="e">
        <f>VLOOKUP($B17&amp;"; "&amp;$P$11&amp;", "&amp;Q$12,'FE Energie'!$G:$U,9,FALSE)</f>
        <v>#N/A</v>
      </c>
      <c r="R17" s="566">
        <f>IF(ISNA(F17*G17),0,F17*G17)+IF(ISNA(I17*J17),0,I17*J17)+IF(ISNA(L17*M17),0,L17*M17)+IF(ISNA(O17*P17),0,O17*P17)</f>
        <v>0</v>
      </c>
      <c r="S17" s="567">
        <f>IF(ISNA(F17*H17),0,F17*H17)+IF(ISNA(I17*K17),0,I17*K17)+IF(ISNA(L17*N17),0,L17*N17)+IF(ISNA(O17*Q17),0,O17*Q17)</f>
        <v>0</v>
      </c>
      <c r="T17" s="114"/>
      <c r="U17" s="114"/>
      <c r="V17" s="114"/>
      <c r="W17" s="1092">
        <f>IF(AC17=0,AC17,AC17/(R17+S17))</f>
        <v>0</v>
      </c>
      <c r="X17" s="345"/>
      <c r="Y17" s="820"/>
      <c r="Z17" s="1801">
        <f>SQRT(SUMSQ(IF(ISNA($F17*G17*AV17),0,$F17*G17*AV17),IF(ISNA($I17*J17*AW17),0,$I17*J17*AW17),IF(ISNA($L17*M17*AX17),0,$L17*M17*AX17),IF(ISNA($O17*P17*AY17),0,$O17*P17*AY17)))</f>
        <v>0</v>
      </c>
      <c r="AA17" s="1801">
        <f>SQRT(SUMSQ(IF(ISNA($F17*H17*AZ17),0,$F17*H17*AZ17),IF(ISNA($I17*K17*BA17),0,$I17*K17*BA17),IF(ISNA($L17*N17*BB17),0,$L17*N17*BB17),IF(ISNA($O17*Q17*BC17),0,$O17*Q17*BC17)))</f>
        <v>0</v>
      </c>
      <c r="AB17" s="1801"/>
      <c r="AC17" s="152">
        <f>SQRT(SUMSQ(Z17,AA17))</f>
        <v>0</v>
      </c>
      <c r="AE17" s="564">
        <f>$F17*IF(ISNA(VLOOKUP($B17&amp;"; "&amp;$G$11&amp;", "&amp;G$12,'FE Energie'!$G:$U,10,FALSE)),0,VLOOKUP($B17&amp;"; "&amp;$G$11&amp;", "&amp;G$12,'FE Energie'!$G:$U,10,FALSE))
+$I17*IF(ISNA(VLOOKUP($B17&amp;"; "&amp;$J$11&amp;", "&amp;G$12,'FE Energie'!$G:$U,10,FALSE)),0,VLOOKUP($B17&amp;"; "&amp;$J$11&amp;", "&amp;G$12,'FE Energie'!$G:$U,10,FALSE))
+$L17*IF(ISNA(VLOOKUP($B17&amp;"; "&amp;$M$11&amp;", "&amp;G$12,'FE Energie'!$G:$U,10,FALSE)),0,VLOOKUP($B17&amp;"; "&amp;$M$11&amp;", "&amp;G$12,'FE Energie'!$G:$U,10,FALSE))
+$O17*IF(ISNA(VLOOKUP($B17&amp;"; "&amp;$P$11&amp;", "&amp;G$12,'FE Energie'!$G:$U,10,FALSE)),0,VLOOKUP($B17&amp;"; "&amp;$P$11&amp;", "&amp;G$12,'FE Energie'!$G:$U,10,FALSE))</f>
        <v>0</v>
      </c>
      <c r="AF17" s="565">
        <f>$F17*IF(ISNA(VLOOKUP($B17&amp;"; "&amp;$G$11&amp;", "&amp;H$12,'FE Energie'!$G:$U,10,FALSE)),0,VLOOKUP($B17&amp;"; "&amp;$G$11&amp;", "&amp;H$12,'FE Energie'!$G:$U,10,FALSE))
+$I17*IF(ISNA(VLOOKUP($B17&amp;"; "&amp;$J$11&amp;", "&amp;H$12,'FE Energie'!$G:$U,10,FALSE)),0,VLOOKUP($B17&amp;"; "&amp;$J$11&amp;", "&amp;H$12,'FE Energie'!$G:$U,10,FALSE))
+$L17*IF(ISNA(VLOOKUP($B17&amp;"; "&amp;$M$11&amp;", "&amp;H$12,'FE Energie'!$G:$U,10,FALSE)),0,VLOOKUP($B17&amp;"; "&amp;$M$11&amp;", "&amp;H$12,'FE Energie'!$G:$U,10,FALSE))
+$O17*IF(ISNA(VLOOKUP($B17&amp;"; "&amp;$P$11&amp;", "&amp;H$12,'FE Energie'!$G:$U,10,FALSE)),0,VLOOKUP($B17&amp;"; "&amp;$P$11&amp;", "&amp;H$12,'FE Energie'!$G:$U,10,FALSE))</f>
        <v>0</v>
      </c>
      <c r="AG17" s="620">
        <f>$F17*IF(ISNA((VLOOKUP($B17&amp;"; "&amp;$G$11&amp;", "&amp;G$12,'FE Energie'!$G:$U,12,FALSE)+VLOOKUP($B17&amp;"; "&amp;$G$11&amp;", "&amp;G$12,'FE Energie'!$G:$U,11,FALSE))),0,(VLOOKUP($B17&amp;"; "&amp;$G$11&amp;", "&amp;G$12,'FE Energie'!$G:$U,12,FALSE)+VLOOKUP($B17&amp;"; "&amp;$G$11&amp;", "&amp;G$12,'FE Energie'!$G:$U,11,FALSE)))
+$I17*IF(ISNA((VLOOKUP($B17&amp;"; "&amp;$J$11&amp;", "&amp;G$12,'FE Energie'!$G:$U,12,FALSE)+VLOOKUP($B17&amp;"; "&amp;$J$11&amp;", "&amp;G$12,'FE Energie'!$G:$U,11,FALSE))),0,(VLOOKUP($B17&amp;"; "&amp;$J$11&amp;", "&amp;G$12,'FE Energie'!$G:$U,12,FALSE)+VLOOKUP($B17&amp;"; "&amp;$J$11&amp;", "&amp;G$12,'FE Energie'!$G:$U,11,FALSE)))
+$L17*IF(ISNA((VLOOKUP($B17&amp;"; "&amp;$M$11&amp;", "&amp;G$12,'FE Energie'!$G:$U,12,FALSE)+VLOOKUP($B17&amp;"; "&amp;$M$11&amp;", "&amp;G$12,'FE Energie'!$G:$U,11,FALSE))),0,(VLOOKUP($B17&amp;"; "&amp;$M$11&amp;", "&amp;G$12,'FE Energie'!$G:$U,12,FALSE)+VLOOKUP($B17&amp;"; "&amp;$M$11&amp;", "&amp;G$12,'FE Energie'!$G:$U,11,FALSE)))
+$O17*IF(ISNA((VLOOKUP($B17&amp;"; "&amp;$P$11&amp;", "&amp;G$12,'FE Energie'!$G:$U,12,FALSE)+VLOOKUP($B17&amp;"; "&amp;$P$11&amp;", "&amp;G$12,'FE Energie'!$G:$U,11,FALSE))),0,(VLOOKUP($B17&amp;"; "&amp;$P$11&amp;", "&amp;G$12,'FE Energie'!$G:$U,12,FALSE)+VLOOKUP($B17&amp;"; "&amp;$P$11&amp;", "&amp;G$12,'FE Energie'!$G:$U,11,FALSE)))</f>
        <v>0</v>
      </c>
      <c r="AH17" s="620">
        <f>$F17*IF(ISNA((VLOOKUP($B17&amp;"; "&amp;$G$11&amp;", "&amp;H$12,'FE Energie'!$G:$U,12,FALSE)+VLOOKUP($B17&amp;"; "&amp;$G$11&amp;", "&amp;H$12,'FE Energie'!$G:$U,11,FALSE))),0,(VLOOKUP($B17&amp;"; "&amp;$G$11&amp;", "&amp;H$12,'FE Energie'!$G:$U,12,FALSE)+VLOOKUP($B17&amp;"; "&amp;$G$11&amp;", "&amp;H$12,'FE Energie'!$G:$U,11,FALSE)))
+$I17*IF(ISNA((VLOOKUP($B17&amp;"; "&amp;$J$11&amp;", "&amp;H$12,'FE Energie'!$G:$U,12,FALSE)+VLOOKUP($B17&amp;"; "&amp;$J$11&amp;", "&amp;H$12,'FE Energie'!$G:$U,11,FALSE))),0,(VLOOKUP($B17&amp;"; "&amp;$J$11&amp;", "&amp;H$12,'FE Energie'!$G:$U,12,FALSE)+VLOOKUP($B17&amp;"; "&amp;$J$11&amp;", "&amp;H$12,'FE Energie'!$G:$U,11,FALSE)))
+$L17*IF(ISNA((VLOOKUP($B17&amp;"; "&amp;$M$11&amp;", "&amp;H$12,'FE Energie'!$G:$U,12,FALSE)+VLOOKUP($B17&amp;"; "&amp;$M$11&amp;", "&amp;H$12,'FE Energie'!$G:$U,11,FALSE))),0,(VLOOKUP($B17&amp;"; "&amp;$M$11&amp;", "&amp;H$12,'FE Energie'!$G:$U,12,FALSE)+VLOOKUP($B17&amp;"; "&amp;$M$11&amp;", "&amp;H$12,'FE Energie'!$G:$U,11,FALSE)))
+$O17*IF(ISNA((VLOOKUP($B17&amp;"; "&amp;$P$11&amp;", "&amp;H$12,'FE Energie'!$G:$U,12,FALSE)+VLOOKUP($B17&amp;"; "&amp;$P$11&amp;", "&amp;H$12,'FE Energie'!$G:$U,11,FALSE))),0,(VLOOKUP($B17&amp;"; "&amp;$P$11&amp;", "&amp;H$12,'FE Energie'!$G:$U,12,FALSE)+VLOOKUP($B17&amp;"; "&amp;$P$11&amp;", "&amp;H$12,'FE Energie'!$G:$U,11,FALSE)))</f>
        <v>0</v>
      </c>
      <c r="AI17" s="620">
        <f>$F17*IF(ISNA(VLOOKUP($B17&amp;"; "&amp;$G$11&amp;", "&amp;G$12,'FE Energie'!$G:$U,13,FALSE)),0,VLOOKUP($B17&amp;"; "&amp;$G$11&amp;", "&amp;G$12,'FE Energie'!$G:$U,13,FALSE))
+$I17*IF(ISNA(VLOOKUP($B17&amp;"; "&amp;$J$11&amp;", "&amp;G$12,'FE Energie'!$G:$U,13,FALSE)),0,VLOOKUP($B17&amp;"; "&amp;$J$11&amp;", "&amp;G$12,'FE Energie'!$G:$U,13,FALSE))
+$L17*IF(ISNA(VLOOKUP($B17&amp;"; "&amp;$M$11&amp;", "&amp;G$12,'FE Energie'!$G:$U,13,FALSE)),0,VLOOKUP($B17&amp;"; "&amp;$M$11&amp;", "&amp;G$12,'FE Energie'!$G:$U,13,FALSE))
+$O17*IF(ISNA(VLOOKUP($B17&amp;"; "&amp;$P$11&amp;", "&amp;G$12,'FE Energie'!$G:$U,13,FALSE)),0,VLOOKUP($B17&amp;"; "&amp;$P$11&amp;", "&amp;G$12,'FE Energie'!$G:$U,13,FALSE))</f>
        <v>0</v>
      </c>
      <c r="AJ17" s="620">
        <f>$F17*IF(ISNA(VLOOKUP($B17&amp;"; "&amp;$G$11&amp;", "&amp;H$12,'FE Energie'!$G:$U,13,FALSE)),0,VLOOKUP($B17&amp;"; "&amp;$G$11&amp;", "&amp;H$12,'FE Energie'!$G:$U,13,FALSE))
+$I17*IF(ISNA(VLOOKUP($B17&amp;"; "&amp;$J$11&amp;", "&amp;H$12,'FE Energie'!$G:$U,13,FALSE)),0,VLOOKUP($B17&amp;"; "&amp;$J$11&amp;", "&amp;H$12,'FE Energie'!$G:$U,13,FALSE))
+$L17*IF(ISNA(VLOOKUP($B17&amp;"; "&amp;$M$11&amp;", "&amp;H$12,'FE Energie'!$G:$U,13,FALSE)),0,VLOOKUP($B17&amp;"; "&amp;$M$11&amp;", "&amp;H$12,'FE Energie'!$G:$U,13,FALSE))
+$O17*IF(ISNA(VLOOKUP($B17&amp;"; "&amp;$P$11&amp;", "&amp;H$12,'FE Energie'!$G:$U,13,FALSE)),0,VLOOKUP($B17&amp;"; "&amp;$P$11&amp;", "&amp;H$12,'FE Energie'!$G:$U,13,FALSE))</f>
        <v>0</v>
      </c>
      <c r="AK17" s="565">
        <f>$F17*IF(ISNA(VLOOKUP($B17&amp;"; "&amp;$G$11&amp;", "&amp;G$12,'FE Energie'!$G:$U,14,FALSE)),0,VLOOKUP($B17&amp;"; "&amp;$G$11&amp;", "&amp;G$12,'FE Energie'!$G:$U,14,FALSE))
+$I17*IF(ISNA(VLOOKUP($B17&amp;"; "&amp;$J$11&amp;", "&amp;G$12,'FE Energie'!$G:$U,14,FALSE)),0,VLOOKUP($B17&amp;"; "&amp;$J$11&amp;", "&amp;G$12,'FE Energie'!$G:$U,14,FALSE))
+$L17*IF(ISNA(VLOOKUP($B17&amp;"; "&amp;$M$11&amp;", "&amp;G$12,'FE Energie'!$G:$U,14,FALSE)),0,VLOOKUP($B17&amp;"; "&amp;$M$11&amp;", "&amp;G$12,'FE Energie'!$G:$U,14,FALSE))
+$O17*IF(ISNA(VLOOKUP($B17&amp;"; "&amp;$P$11&amp;", "&amp;G$12,'FE Energie'!$G:$U,14,FALSE)),0,VLOOKUP($B17&amp;"; "&amp;$P$11&amp;", "&amp;G$12,'FE Energie'!$G:$U,14,FALSE))</f>
        <v>0</v>
      </c>
      <c r="AL17" s="565">
        <f>$F17*IF(ISNA(VLOOKUP($B17&amp;"; "&amp;$G$11&amp;", "&amp;H$12,'FE Energie'!$G:$U,14,FALSE)),0,VLOOKUP($B17&amp;"; "&amp;$G$11&amp;", "&amp;H$12,'FE Energie'!$G:$U,14,FALSE))
+$I17*IF(ISNA(VLOOKUP($B17&amp;"; "&amp;$J$11&amp;", "&amp;H$12,'FE Energie'!$G:$U,14,FALSE)),0,VLOOKUP($B17&amp;"; "&amp;$J$11&amp;", "&amp;H$12,'FE Energie'!$G:$U,14,FALSE))
+$L17*IF(ISNA(VLOOKUP($B17&amp;"; "&amp;$M$11&amp;", "&amp;H$12,'FE Energie'!$G:$U,14,FALSE)),0,VLOOKUP($B17&amp;"; "&amp;$M$11&amp;", "&amp;H$12,'FE Energie'!$G:$U,14,FALSE))
+$O17*IF(ISNA(VLOOKUP($B17&amp;"; "&amp;$P$11&amp;", "&amp;H$12,'FE Energie'!$G:$U,14,FALSE)),0,VLOOKUP($B17&amp;"; "&amp;$P$11&amp;", "&amp;H$12,'FE Energie'!$G:$U,14,FALSE))</f>
        <v>0</v>
      </c>
      <c r="AM17" s="566">
        <f t="shared" si="0"/>
        <v>0</v>
      </c>
      <c r="AN17" s="566">
        <f t="shared" si="0"/>
        <v>0</v>
      </c>
      <c r="AO17" s="564">
        <f>$F17*IF(ISNA(VLOOKUP($B17&amp;"; "&amp;$G$11&amp;", "&amp;G$12,'FE Energie'!$G:$U,15,FALSE)),0,VLOOKUP($B17&amp;"; "&amp;$G$11&amp;", "&amp;G$12,'FE Energie'!$G:$U,15,FALSE))
+$I17*IF(ISNA(VLOOKUP($B17&amp;"; "&amp;$J$11&amp;", "&amp;G$12,'FE Energie'!$G:$U,15,FALSE)),0,VLOOKUP($B17&amp;"; "&amp;$J$11&amp;", "&amp;G$12,'FE Energie'!$G:$U,15,FALSE))
+$L17*IF(ISNA(VLOOKUP($B17&amp;"; "&amp;$M$11&amp;", "&amp;G$12,'FE Energie'!$G:$U,15,FALSE)),0,VLOOKUP($B17&amp;"; "&amp;$M$11&amp;", "&amp;G$12,'FE Energie'!$G:$U,15,FALSE))
+$O17*IF(ISNA(VLOOKUP($B17&amp;"; "&amp;$P$11&amp;", "&amp;G$12,'FE Energie'!$G:$U,15,FALSE)),0,VLOOKUP($B17&amp;"; "&amp;$P$11&amp;", "&amp;G$12,'FE Energie'!$G:$U,15,FALSE))</f>
        <v>0</v>
      </c>
      <c r="AP17" s="568">
        <f>$F17*IF(ISNA(VLOOKUP($B17&amp;"; "&amp;$G$11&amp;", "&amp;H$12,'FE Energie'!$G:$U,15,FALSE)),0,VLOOKUP($B17&amp;"; "&amp;$G$11&amp;", "&amp;H$12,'FE Energie'!$G:$U,15,FALSE))
+$I17*IF(ISNA(VLOOKUP($B17&amp;"; "&amp;$J$11&amp;", "&amp;H$12,'FE Energie'!$G:$U,15,FALSE)),0,VLOOKUP($B17&amp;"; "&amp;$J$11&amp;", "&amp;H$12,'FE Energie'!$G:$U,15,FALSE))
+$L17*IF(ISNA(VLOOKUP($B17&amp;"; "&amp;$M$11&amp;", "&amp;H$12,'FE Energie'!$G:$U,15,FALSE)),0,VLOOKUP($B17&amp;"; "&amp;$M$11&amp;", "&amp;H$12,'FE Energie'!$G:$U,15,FALSE))
+$O17*IF(ISNA(VLOOKUP($B17&amp;"; "&amp;$P$11&amp;", "&amp;H$12,'FE Energie'!$G:$U,15,FALSE)),0,VLOOKUP($B17&amp;"; "&amp;$P$11&amp;", "&amp;H$12,'FE Energie'!$G:$U,15,FALSE))</f>
        <v>0</v>
      </c>
      <c r="AQ17" s="114"/>
      <c r="AR17" s="1065">
        <f>IF($X17&lt;&gt;"votre valeur :",IF(ISNA(VLOOKUP($X17,Utilitaires!$N$566:$O$571,2,FALSE)),,VLOOKUP($X17,Utilitaires!$N$566:$O$571,2,FALSE)),$Y17)</f>
        <v>0</v>
      </c>
      <c r="AS17" s="1065">
        <f>IF($X17&lt;&gt;"votre valeur :",IF(ISNA(VLOOKUP($X17,Utilitaires!$N$566:$O$571,2,FALSE)),,VLOOKUP($X17,Utilitaires!$N$566:$O$571,2,FALSE)),$Y17)</f>
        <v>0</v>
      </c>
      <c r="AT17" s="1065">
        <f>IF($X17&lt;&gt;"votre valeur :",IF(ISNA(VLOOKUP($X17,Utilitaires!$N$566:$O$571,2,FALSE)),,VLOOKUP($X17,Utilitaires!$N$566:$O$571,2,FALSE)),$Y17)</f>
        <v>0</v>
      </c>
      <c r="AU17" s="1167">
        <f>IF($X17&lt;&gt;"votre valeur :",IF(ISNA(VLOOKUP($X17,Utilitaires!$N$566:$O$571,2,FALSE)),,VLOOKUP($X17,Utilitaires!$N$566:$O$571,2,FALSE)),$Y17)</f>
        <v>0</v>
      </c>
      <c r="AV17" s="1068">
        <f>IF(ISNA(SQRT(SUMSQ(VLOOKUP($B17&amp;"; "&amp;$G$11&amp;", "&amp;$G$12,'FE Energie'!$G:$U,7,FALSE),$AR17))),0,SQRT(SUMSQ(VLOOKUP($B17&amp;"; "&amp;$G$11&amp;", "&amp;$G$12,'FE Energie'!$G:$U,7,FALSE),$AR17)))</f>
        <v>0</v>
      </c>
      <c r="AW17" s="1068">
        <f>IF(ISNA(SQRT(SUMSQ(VLOOKUP($B17&amp;"; "&amp;$J$11&amp;", "&amp;$J$12,'FE Energie'!$G:$U,7,FALSE),$AS17))),0,SQRT(SUMSQ(VLOOKUP($B17&amp;"; "&amp;$J$11&amp;", "&amp;$J$12,'FE Energie'!$G:$U,7,FALSE),$AS17)))</f>
        <v>0</v>
      </c>
      <c r="AX17" s="1068">
        <f>IF(ISNA(SQRT(SUMSQ(VLOOKUP($B17&amp;"; "&amp;$M$11&amp;", "&amp;$M$12,'FE Energie'!$G:$U,7,FALSE),$AT17))),0,SQRT(SUMSQ(VLOOKUP($B17&amp;"; "&amp;$M$11&amp;", "&amp;$M$12,'FE Energie'!$G:$U,7,FALSE),$AT17)))</f>
        <v>0</v>
      </c>
      <c r="AY17" s="1068">
        <f>IF(ISNA(SQRT(SUMSQ(VLOOKUP($B17&amp;"; "&amp;$P$11&amp;", "&amp;$P$12,'FE Energie'!$G:$U,7,FALSE),$AU17))),0,SQRT(SUMSQ(VLOOKUP($B17&amp;"; "&amp;$P$11&amp;", "&amp;$P$12,'FE Energie'!$G:$U,7,FALSE),$AU17)))</f>
        <v>0</v>
      </c>
      <c r="AZ17" s="1069">
        <f>IF(ISNA(SQRT(SUMSQ(VLOOKUP($B17&amp;"; "&amp;$G$11&amp;", "&amp;$H$12,'FE Energie'!$G:$U,7,FALSE),$AR17))),0,SQRT(SUMSQ(VLOOKUP($B17&amp;"; "&amp;$G$11&amp;", "&amp;$H$12,'FE Energie'!$G:$U,7,FALSE),$AR17)))</f>
        <v>0</v>
      </c>
      <c r="BA17" s="1070">
        <f>IF(ISNA(SQRT(SUMSQ(VLOOKUP($B17&amp;"; "&amp;$J$11&amp;", "&amp;$K$12,'FE Energie'!$G:$U,7,FALSE),$AS17))),0,SQRT(SUMSQ(VLOOKUP($B17&amp;"; "&amp;$J$11&amp;", "&amp;$K$12,'FE Energie'!$G:$U,7,FALSE),$AS17)))</f>
        <v>0</v>
      </c>
      <c r="BB17" s="1070">
        <f>IF(ISNA(SQRT(SUMSQ(VLOOKUP($B17&amp;"; "&amp;$M$11&amp;", "&amp;$N$12,'FE Energie'!$G:$U,7,FALSE),$AT17))),0,SQRT(SUMSQ(VLOOKUP($B17&amp;"; "&amp;$M$11&amp;", "&amp;$N$12,'FE Energie'!$G:$U,7,FALSE),$AT17)))</f>
        <v>0</v>
      </c>
      <c r="BC17" s="1071">
        <f>IF(ISNA(SQRT(SUMSQ(VLOOKUP($B17&amp;"; "&amp;$P$11&amp;", "&amp;$Q$12,'FE Energie'!$G:$U,7,FALSE),$AU17))),0,SQRT(SUMSQ(VLOOKUP($B17&amp;"; "&amp;$P$11&amp;", "&amp;$Q$12,'FE Energie'!$G:$U,7,FALSE),$AU17)))</f>
        <v>0</v>
      </c>
    </row>
    <row r="18" spans="1:55" s="116" customFormat="1" ht="12.75" hidden="1" customHeight="1" outlineLevel="1">
      <c r="A18" s="114"/>
      <c r="B18" s="536" t="s">
        <v>1628</v>
      </c>
      <c r="C18" s="144"/>
      <c r="D18" s="315"/>
      <c r="E18" s="822"/>
      <c r="F18" s="1583"/>
      <c r="G18" s="335"/>
      <c r="H18" s="335"/>
      <c r="I18" s="1583"/>
      <c r="J18" s="223"/>
      <c r="K18" s="223"/>
      <c r="L18" s="1583"/>
      <c r="M18" s="217"/>
      <c r="N18" s="217"/>
      <c r="O18" s="1583"/>
      <c r="P18" s="223"/>
      <c r="Q18" s="223"/>
      <c r="R18" s="566"/>
      <c r="S18" s="567"/>
      <c r="T18" s="114"/>
      <c r="U18" s="114"/>
      <c r="V18" s="114"/>
      <c r="W18" s="1092"/>
      <c r="X18" s="820"/>
      <c r="Y18" s="820"/>
      <c r="Z18" s="1801"/>
      <c r="AA18" s="1801"/>
      <c r="AB18" s="1801"/>
      <c r="AC18" s="152"/>
      <c r="AE18" s="564"/>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hidden="1" customHeight="1" outlineLevel="1">
      <c r="A19" s="114"/>
      <c r="B19" s="143" t="s">
        <v>5129</v>
      </c>
      <c r="C19" s="144"/>
      <c r="D19" s="315">
        <f>SUM(R19,S19)</f>
        <v>0</v>
      </c>
      <c r="E19" s="344"/>
      <c r="F19" s="1584"/>
      <c r="G19" s="335" t="e">
        <f>VLOOKUP($B19&amp;"; "&amp;$G$11&amp;", "&amp;G$12,'FE Energie'!$G:$U,9,FALSE)</f>
        <v>#N/A</v>
      </c>
      <c r="H19" s="335" t="e">
        <f>VLOOKUP($B19&amp;"; "&amp;$G$11&amp;", "&amp;H$12,'FE Energie'!$G:$U,9,FALSE)</f>
        <v>#N/A</v>
      </c>
      <c r="I19" s="1584"/>
      <c r="J19" s="223">
        <f>VLOOKUP($B19&amp;"; "&amp;$J$11&amp;", "&amp;J$12,'FE Energie'!$G:$U,9,FALSE)</f>
        <v>6.4600000000000005E-2</v>
      </c>
      <c r="K19" s="223">
        <f>VLOOKUP($B19&amp;"; "&amp;$J$11&amp;", "&amp;K$12,'FE Energie'!$G:$U,9,FALSE)</f>
        <v>0.254</v>
      </c>
      <c r="L19" s="1584"/>
      <c r="M19" s="217">
        <f>VLOOKUP($B19&amp;"; "&amp;$M$11&amp;", "&amp;M$12,'FE Energie'!$G:$U,9,FALSE)</f>
        <v>725</v>
      </c>
      <c r="N19" s="217">
        <f>VLOOKUP($B19&amp;"; "&amp;$M$11&amp;", "&amp;N$12,'FE Energie'!$G:$U,9,FALSE)</f>
        <v>2968</v>
      </c>
      <c r="O19" s="1584"/>
      <c r="P19" s="223">
        <f>VLOOKUP($B19&amp;"; "&amp;$P$11&amp;", "&amp;P$12,'FE Energie'!$G:$U,9,FALSE)</f>
        <v>0.60899999999999999</v>
      </c>
      <c r="Q19" s="223">
        <f>VLOOKUP($B19&amp;"; "&amp;$P$11&amp;", "&amp;Q$12,'FE Energie'!$G:$U,9,FALSE)</f>
        <v>2.4900000000000002</v>
      </c>
      <c r="R19" s="566">
        <f>IF(ISNA(F19*G19),0,F19*G19)+IF(ISNA(I19*J19),0,I19*J19)+IF(ISNA(L19*M19),0,L19*M19)+IF(ISNA(O19*P19),0,O19*P19)</f>
        <v>0</v>
      </c>
      <c r="S19" s="567">
        <f>IF(ISNA(F19*H19),0,F19*H19)+IF(ISNA(I19*K19),0,I19*K19)+IF(ISNA(L19*N19),0,L19*N19)+IF(ISNA(O19*Q19),0,O19*Q19)</f>
        <v>0</v>
      </c>
      <c r="T19" s="114"/>
      <c r="U19" s="114"/>
      <c r="V19" s="114"/>
      <c r="W19" s="1092">
        <f>IF(AC19=0,AC19,AC19/(R19+S19))</f>
        <v>0</v>
      </c>
      <c r="X19" s="343"/>
      <c r="Y19" s="820"/>
      <c r="Z19" s="1801">
        <f>SQRT(SUMSQ(IF(ISNA($F19*G19*AV19),0,$F19*G19*AV19),IF(ISNA($I19*J19*AW19),0,$I19*J19*AW19),IF(ISNA($L19*M19*AX19),0,$L19*M19*AX19),IF(ISNA($O19*P19*AY19),0,$O19*P19*AY19)))</f>
        <v>0</v>
      </c>
      <c r="AA19" s="1801">
        <f>SQRT(SUMSQ(IF(ISNA($F19*H19*AZ19),0,$F19*H19*AZ19),IF(ISNA($I19*K19*BA19),0,$I19*K19*BA19),IF(ISNA($L19*N19*BB19),0,$L19*N19*BB19),IF(ISNA($O19*Q19*BC19),0,$O19*Q19*BC19)))</f>
        <v>0</v>
      </c>
      <c r="AB19" s="1801"/>
      <c r="AC19" s="152">
        <f>SQRT(SUMSQ(Z19,AA19))</f>
        <v>0</v>
      </c>
      <c r="AE19" s="564">
        <f>$F19*IF(ISNA(VLOOKUP($B19&amp;"; "&amp;$G$11&amp;", "&amp;G$12,'FE Energie'!$G:$U,10,FALSE)),0,VLOOKUP($B19&amp;"; "&amp;$G$11&amp;", "&amp;G$12,'FE Energie'!$G:$U,10,FALSE))
+$I19*IF(ISNA(VLOOKUP($B19&amp;"; "&amp;$J$11&amp;", "&amp;G$12,'FE Energie'!$G:$U,10,FALSE)),0,VLOOKUP($B19&amp;"; "&amp;$J$11&amp;", "&amp;G$12,'FE Energie'!$G:$U,10,FALSE))
+$L19*IF(ISNA(VLOOKUP($B19&amp;"; "&amp;$M$11&amp;", "&amp;G$12,'FE Energie'!$G:$U,10,FALSE)),0,VLOOKUP($B19&amp;"; "&amp;$M$11&amp;", "&amp;G$12,'FE Energie'!$G:$U,10,FALSE))
+$O19*IF(ISNA(VLOOKUP($B19&amp;"; "&amp;$P$11&amp;", "&amp;G$12,'FE Energie'!$G:$U,10,FALSE)),0,VLOOKUP($B19&amp;"; "&amp;$P$11&amp;", "&amp;G$12,'FE Energie'!$G:$U,10,FALSE))</f>
        <v>0</v>
      </c>
      <c r="AF19" s="565">
        <f>$F19*IF(ISNA(VLOOKUP($B19&amp;"; "&amp;$G$11&amp;", "&amp;H$12,'FE Energie'!$G:$U,10,FALSE)),0,VLOOKUP($B19&amp;"; "&amp;$G$11&amp;", "&amp;H$12,'FE Energie'!$G:$U,10,FALSE))
+$I19*IF(ISNA(VLOOKUP($B19&amp;"; "&amp;$J$11&amp;", "&amp;H$12,'FE Energie'!$G:$U,10,FALSE)),0,VLOOKUP($B19&amp;"; "&amp;$J$11&amp;", "&amp;H$12,'FE Energie'!$G:$U,10,FALSE))
+$L19*IF(ISNA(VLOOKUP($B19&amp;"; "&amp;$M$11&amp;", "&amp;H$12,'FE Energie'!$G:$U,10,FALSE)),0,VLOOKUP($B19&amp;"; "&amp;$M$11&amp;", "&amp;H$12,'FE Energie'!$G:$U,10,FALSE))
+$O19*IF(ISNA(VLOOKUP($B19&amp;"; "&amp;$P$11&amp;", "&amp;H$12,'FE Energie'!$G:$U,10,FALSE)),0,VLOOKUP($B19&amp;"; "&amp;$P$11&amp;", "&amp;H$12,'FE Energie'!$G:$U,10,FALSE))</f>
        <v>0</v>
      </c>
      <c r="AG19" s="620">
        <f>$F19*IF(ISNA((VLOOKUP($B19&amp;"; "&amp;$G$11&amp;", "&amp;G$12,'FE Energie'!$G:$U,12,FALSE)+VLOOKUP($B19&amp;"; "&amp;$G$11&amp;", "&amp;G$12,'FE Energie'!$G:$U,11,FALSE))),0,(VLOOKUP($B19&amp;"; "&amp;$G$11&amp;", "&amp;G$12,'FE Energie'!$G:$U,12,FALSE)+VLOOKUP($B19&amp;"; "&amp;$G$11&amp;", "&amp;G$12,'FE Energie'!$G:$U,11,FALSE)))
+$I19*IF(ISNA((VLOOKUP($B19&amp;"; "&amp;$J$11&amp;", "&amp;G$12,'FE Energie'!$G:$U,12,FALSE)+VLOOKUP($B19&amp;"; "&amp;$J$11&amp;", "&amp;G$12,'FE Energie'!$G:$U,11,FALSE))),0,(VLOOKUP($B19&amp;"; "&amp;$J$11&amp;", "&amp;G$12,'FE Energie'!$G:$U,12,FALSE)+VLOOKUP($B19&amp;"; "&amp;$J$11&amp;", "&amp;G$12,'FE Energie'!$G:$U,11,FALSE)))
+$L19*IF(ISNA((VLOOKUP($B19&amp;"; "&amp;$M$11&amp;", "&amp;G$12,'FE Energie'!$G:$U,12,FALSE)+VLOOKUP($B19&amp;"; "&amp;$M$11&amp;", "&amp;G$12,'FE Energie'!$G:$U,11,FALSE))),0,(VLOOKUP($B19&amp;"; "&amp;$M$11&amp;", "&amp;G$12,'FE Energie'!$G:$U,12,FALSE)+VLOOKUP($B19&amp;"; "&amp;$M$11&amp;", "&amp;G$12,'FE Energie'!$G:$U,11,FALSE)))
+$O19*IF(ISNA((VLOOKUP($B19&amp;"; "&amp;$P$11&amp;", "&amp;G$12,'FE Energie'!$G:$U,12,FALSE)+VLOOKUP($B19&amp;"; "&amp;$P$11&amp;", "&amp;G$12,'FE Energie'!$G:$U,11,FALSE))),0,(VLOOKUP($B19&amp;"; "&amp;$P$11&amp;", "&amp;G$12,'FE Energie'!$G:$U,12,FALSE)+VLOOKUP($B19&amp;"; "&amp;$P$11&amp;", "&amp;G$12,'FE Energie'!$G:$U,11,FALSE)))</f>
        <v>0</v>
      </c>
      <c r="AH19" s="620">
        <f>$F19*IF(ISNA((VLOOKUP($B19&amp;"; "&amp;$G$11&amp;", "&amp;H$12,'FE Energie'!$G:$U,12,FALSE)+VLOOKUP($B19&amp;"; "&amp;$G$11&amp;", "&amp;H$12,'FE Energie'!$G:$U,11,FALSE))),0,(VLOOKUP($B19&amp;"; "&amp;$G$11&amp;", "&amp;H$12,'FE Energie'!$G:$U,12,FALSE)+VLOOKUP($B19&amp;"; "&amp;$G$11&amp;", "&amp;H$12,'FE Energie'!$G:$U,11,FALSE)))
+$I19*IF(ISNA((VLOOKUP($B19&amp;"; "&amp;$J$11&amp;", "&amp;H$12,'FE Energie'!$G:$U,12,FALSE)+VLOOKUP($B19&amp;"; "&amp;$J$11&amp;", "&amp;H$12,'FE Energie'!$G:$U,11,FALSE))),0,(VLOOKUP($B19&amp;"; "&amp;$J$11&amp;", "&amp;H$12,'FE Energie'!$G:$U,12,FALSE)+VLOOKUP($B19&amp;"; "&amp;$J$11&amp;", "&amp;H$12,'FE Energie'!$G:$U,11,FALSE)))
+$L19*IF(ISNA((VLOOKUP($B19&amp;"; "&amp;$M$11&amp;", "&amp;H$12,'FE Energie'!$G:$U,12,FALSE)+VLOOKUP($B19&amp;"; "&amp;$M$11&amp;", "&amp;H$12,'FE Energie'!$G:$U,11,FALSE))),0,(VLOOKUP($B19&amp;"; "&amp;$M$11&amp;", "&amp;H$12,'FE Energie'!$G:$U,12,FALSE)+VLOOKUP($B19&amp;"; "&amp;$M$11&amp;", "&amp;H$12,'FE Energie'!$G:$U,11,FALSE)))
+$O19*IF(ISNA((VLOOKUP($B19&amp;"; "&amp;$P$11&amp;", "&amp;H$12,'FE Energie'!$G:$U,12,FALSE)+VLOOKUP($B19&amp;"; "&amp;$P$11&amp;", "&amp;H$12,'FE Energie'!$G:$U,11,FALSE))),0,(VLOOKUP($B19&amp;"; "&amp;$P$11&amp;", "&amp;H$12,'FE Energie'!$G:$U,12,FALSE)+VLOOKUP($B19&amp;"; "&amp;$P$11&amp;", "&amp;H$12,'FE Energie'!$G:$U,11,FALSE)))</f>
        <v>0</v>
      </c>
      <c r="AI19" s="620">
        <f>$F19*IF(ISNA(VLOOKUP($B19&amp;"; "&amp;$G$11&amp;", "&amp;G$12,'FE Energie'!$G:$U,13,FALSE)),0,VLOOKUP($B19&amp;"; "&amp;$G$11&amp;", "&amp;G$12,'FE Energie'!$G:$U,13,FALSE))
+$I19*IF(ISNA(VLOOKUP($B19&amp;"; "&amp;$J$11&amp;", "&amp;G$12,'FE Energie'!$G:$U,13,FALSE)),0,VLOOKUP($B19&amp;"; "&amp;$J$11&amp;", "&amp;G$12,'FE Energie'!$G:$U,13,FALSE))
+$L19*IF(ISNA(VLOOKUP($B19&amp;"; "&amp;$M$11&amp;", "&amp;G$12,'FE Energie'!$G:$U,13,FALSE)),0,VLOOKUP($B19&amp;"; "&amp;$M$11&amp;", "&amp;G$12,'FE Energie'!$G:$U,13,FALSE))
+$O19*IF(ISNA(VLOOKUP($B19&amp;"; "&amp;$P$11&amp;", "&amp;G$12,'FE Energie'!$G:$U,13,FALSE)),0,VLOOKUP($B19&amp;"; "&amp;$P$11&amp;", "&amp;G$12,'FE Energie'!$G:$U,13,FALSE))</f>
        <v>0</v>
      </c>
      <c r="AJ19" s="620">
        <f>$F19*IF(ISNA(VLOOKUP($B19&amp;"; "&amp;$G$11&amp;", "&amp;H$12,'FE Energie'!$G:$U,13,FALSE)),0,VLOOKUP($B19&amp;"; "&amp;$G$11&amp;", "&amp;H$12,'FE Energie'!$G:$U,13,FALSE))
+$I19*IF(ISNA(VLOOKUP($B19&amp;"; "&amp;$J$11&amp;", "&amp;H$12,'FE Energie'!$G:$U,13,FALSE)),0,VLOOKUP($B19&amp;"; "&amp;$J$11&amp;", "&amp;H$12,'FE Energie'!$G:$U,13,FALSE))
+$L19*IF(ISNA(VLOOKUP($B19&amp;"; "&amp;$M$11&amp;", "&amp;H$12,'FE Energie'!$G:$U,13,FALSE)),0,VLOOKUP($B19&amp;"; "&amp;$M$11&amp;", "&amp;H$12,'FE Energie'!$G:$U,13,FALSE))
+$O19*IF(ISNA(VLOOKUP($B19&amp;"; "&amp;$P$11&amp;", "&amp;H$12,'FE Energie'!$G:$U,13,FALSE)),0,VLOOKUP($B19&amp;"; "&amp;$P$11&amp;", "&amp;H$12,'FE Energie'!$G:$U,13,FALSE))</f>
        <v>0</v>
      </c>
      <c r="AK19" s="565">
        <f>$F19*IF(ISNA(VLOOKUP($B19&amp;"; "&amp;$G$11&amp;", "&amp;G$12,'FE Energie'!$G:$U,14,FALSE)),0,VLOOKUP($B19&amp;"; "&amp;$G$11&amp;", "&amp;G$12,'FE Energie'!$G:$U,14,FALSE))
+$I19*IF(ISNA(VLOOKUP($B19&amp;"; "&amp;$J$11&amp;", "&amp;G$12,'FE Energie'!$G:$U,14,FALSE)),0,VLOOKUP($B19&amp;"; "&amp;$J$11&amp;", "&amp;G$12,'FE Energie'!$G:$U,14,FALSE))
+$L19*IF(ISNA(VLOOKUP($B19&amp;"; "&amp;$M$11&amp;", "&amp;G$12,'FE Energie'!$G:$U,14,FALSE)),0,VLOOKUP($B19&amp;"; "&amp;$M$11&amp;", "&amp;G$12,'FE Energie'!$G:$U,14,FALSE))
+$O19*IF(ISNA(VLOOKUP($B19&amp;"; "&amp;$P$11&amp;", "&amp;G$12,'FE Energie'!$G:$U,14,FALSE)),0,VLOOKUP($B19&amp;"; "&amp;$P$11&amp;", "&amp;G$12,'FE Energie'!$G:$U,14,FALSE))</f>
        <v>0</v>
      </c>
      <c r="AL19" s="565">
        <f>$F19*IF(ISNA(VLOOKUP($B19&amp;"; "&amp;$G$11&amp;", "&amp;H$12,'FE Energie'!$G:$U,14,FALSE)),0,VLOOKUP($B19&amp;"; "&amp;$G$11&amp;", "&amp;H$12,'FE Energie'!$G:$U,14,FALSE))
+$I19*IF(ISNA(VLOOKUP($B19&amp;"; "&amp;$J$11&amp;", "&amp;H$12,'FE Energie'!$G:$U,14,FALSE)),0,VLOOKUP($B19&amp;"; "&amp;$J$11&amp;", "&amp;H$12,'FE Energie'!$G:$U,14,FALSE))
+$L19*IF(ISNA(VLOOKUP($B19&amp;"; "&amp;$M$11&amp;", "&amp;H$12,'FE Energie'!$G:$U,14,FALSE)),0,VLOOKUP($B19&amp;"; "&amp;$M$11&amp;", "&amp;H$12,'FE Energie'!$G:$U,14,FALSE))
+$O19*IF(ISNA(VLOOKUP($B19&amp;"; "&amp;$P$11&amp;", "&amp;H$12,'FE Energie'!$G:$U,14,FALSE)),0,VLOOKUP($B19&amp;"; "&amp;$P$11&amp;", "&amp;H$12,'FE Energie'!$G:$U,14,FALSE))</f>
        <v>0</v>
      </c>
      <c r="AM19" s="566">
        <f t="shared" si="0"/>
        <v>0</v>
      </c>
      <c r="AN19" s="566">
        <f t="shared" si="0"/>
        <v>0</v>
      </c>
      <c r="AO19" s="564">
        <f>$F19*IF(ISNA(VLOOKUP($B19&amp;"; "&amp;$G$11&amp;", "&amp;G$12,'FE Energie'!$G:$U,15,FALSE)),0,VLOOKUP($B19&amp;"; "&amp;$G$11&amp;", "&amp;G$12,'FE Energie'!$G:$U,15,FALSE))
+$I19*IF(ISNA(VLOOKUP($B19&amp;"; "&amp;$J$11&amp;", "&amp;G$12,'FE Energie'!$G:$U,15,FALSE)),0,VLOOKUP($B19&amp;"; "&amp;$J$11&amp;", "&amp;G$12,'FE Energie'!$G:$U,15,FALSE))
+$L19*IF(ISNA(VLOOKUP($B19&amp;"; "&amp;$M$11&amp;", "&amp;G$12,'FE Energie'!$G:$U,15,FALSE)),0,VLOOKUP($B19&amp;"; "&amp;$M$11&amp;", "&amp;G$12,'FE Energie'!$G:$U,15,FALSE))
+$O19*IF(ISNA(VLOOKUP($B19&amp;"; "&amp;$P$11&amp;", "&amp;G$12,'FE Energie'!$G:$U,15,FALSE)),0,VLOOKUP($B19&amp;"; "&amp;$P$11&amp;", "&amp;G$12,'FE Energie'!$G:$U,15,FALSE))</f>
        <v>0</v>
      </c>
      <c r="AP19" s="568">
        <f>$F19*IF(ISNA(VLOOKUP($B19&amp;"; "&amp;$G$11&amp;", "&amp;H$12,'FE Energie'!$G:$U,15,FALSE)),0,VLOOKUP($B19&amp;"; "&amp;$G$11&amp;", "&amp;H$12,'FE Energie'!$G:$U,15,FALSE))
+$I19*IF(ISNA(VLOOKUP($B19&amp;"; "&amp;$J$11&amp;", "&amp;H$12,'FE Energie'!$G:$U,15,FALSE)),0,VLOOKUP($B19&amp;"; "&amp;$J$11&amp;", "&amp;H$12,'FE Energie'!$G:$U,15,FALSE))
+$L19*IF(ISNA(VLOOKUP($B19&amp;"; "&amp;$M$11&amp;", "&amp;H$12,'FE Energie'!$G:$U,15,FALSE)),0,VLOOKUP($B19&amp;"; "&amp;$M$11&amp;", "&amp;H$12,'FE Energie'!$G:$U,15,FALSE))
+$O19*IF(ISNA(VLOOKUP($B19&amp;"; "&amp;$P$11&amp;", "&amp;H$12,'FE Energie'!$G:$U,15,FALSE)),0,VLOOKUP($B19&amp;"; "&amp;$P$11&amp;", "&amp;H$12,'FE Energie'!$G:$U,15,FALSE))</f>
        <v>0</v>
      </c>
      <c r="AQ19" s="114"/>
      <c r="AR19" s="1065">
        <f>IF($X19&lt;&gt;"votre valeur :",IF(ISNA(VLOOKUP($X19,Utilitaires!$N$566:$O$571,2,FALSE)),,VLOOKUP($X19,Utilitaires!$N$566:$O$571,2,FALSE)),$Y19)</f>
        <v>0</v>
      </c>
      <c r="AS19" s="1065">
        <f>IF($X19&lt;&gt;"votre valeur :",IF(ISNA(VLOOKUP($X19,Utilitaires!$N$566:$O$571,2,FALSE)),,VLOOKUP($X19,Utilitaires!$N$566:$O$571,2,FALSE)),$Y19)</f>
        <v>0</v>
      </c>
      <c r="AT19" s="1065">
        <f>IF($X19&lt;&gt;"votre valeur :",IF(ISNA(VLOOKUP($X19,Utilitaires!$N$566:$O$571,2,FALSE)),,VLOOKUP($X19,Utilitaires!$N$566:$O$571,2,FALSE)),$Y19)</f>
        <v>0</v>
      </c>
      <c r="AU19" s="1167">
        <f>IF($X19&lt;&gt;"votre valeur :",IF(ISNA(VLOOKUP($X19,Utilitaires!$N$566:$O$571,2,FALSE)),,VLOOKUP($X19,Utilitaires!$N$566:$O$571,2,FALSE)),$Y19)</f>
        <v>0</v>
      </c>
      <c r="AV19" s="1068">
        <f>IF(ISNA(SQRT(SUMSQ(VLOOKUP($B19&amp;"; "&amp;$G$11&amp;", "&amp;$G$12,'FE Energie'!$G:$U,7,FALSE),$AR19))),0,SQRT(SUMSQ(VLOOKUP($B19&amp;"; "&amp;$G$11&amp;", "&amp;$G$12,'FE Energie'!$G:$U,7,FALSE),$AR19)))</f>
        <v>0</v>
      </c>
      <c r="AW19" s="1068">
        <f>IF(ISNA(SQRT(SUMSQ(VLOOKUP($B19&amp;"; "&amp;$J$11&amp;", "&amp;$J$12,'FE Energie'!$G:$U,7,FALSE),$AS19))),0,SQRT(SUMSQ(VLOOKUP($B19&amp;"; "&amp;$J$11&amp;", "&amp;$J$12,'FE Energie'!$G:$U,7,FALSE),$AS19)))</f>
        <v>0.05</v>
      </c>
      <c r="AX19" s="1068">
        <f>IF(ISNA(SQRT(SUMSQ(VLOOKUP($B19&amp;"; "&amp;$M$11&amp;", "&amp;$M$12,'FE Energie'!$G:$U,7,FALSE),$AT19))),0,SQRT(SUMSQ(VLOOKUP($B19&amp;"; "&amp;$M$11&amp;", "&amp;$M$12,'FE Energie'!$G:$U,7,FALSE),$AT19)))</f>
        <v>0.05</v>
      </c>
      <c r="AY19" s="1068">
        <f>IF(ISNA(SQRT(SUMSQ(VLOOKUP($B19&amp;"; "&amp;$P$11&amp;", "&amp;$P$12,'FE Energie'!$G:$U,7,FALSE),$AU19))),0,SQRT(SUMSQ(VLOOKUP($B19&amp;"; "&amp;$P$11&amp;", "&amp;$P$12,'FE Energie'!$G:$U,7,FALSE),$AU19)))</f>
        <v>0.1</v>
      </c>
      <c r="AZ19" s="1069">
        <f>IF(ISNA(SQRT(SUMSQ(VLOOKUP($B19&amp;"; "&amp;$G$11&amp;", "&amp;$H$12,'FE Energie'!$G:$U,7,FALSE),$AR19))),0,SQRT(SUMSQ(VLOOKUP($B19&amp;"; "&amp;$G$11&amp;", "&amp;$H$12,'FE Energie'!$G:$U,7,FALSE),$AR19)))</f>
        <v>0</v>
      </c>
      <c r="BA19" s="1070">
        <f>IF(ISNA(SQRT(SUMSQ(VLOOKUP($B19&amp;"; "&amp;$J$11&amp;", "&amp;$K$12,'FE Energie'!$G:$U,7,FALSE),$AS19))),0,SQRT(SUMSQ(VLOOKUP($B19&amp;"; "&amp;$J$11&amp;", "&amp;$K$12,'FE Energie'!$G:$U,7,FALSE),$AS19)))</f>
        <v>0.05</v>
      </c>
      <c r="BB19" s="1070">
        <f>IF(ISNA(SQRT(SUMSQ(VLOOKUP($B19&amp;"; "&amp;$M$11&amp;", "&amp;$N$12,'FE Energie'!$G:$U,7,FALSE),$AT19))),0,SQRT(SUMSQ(VLOOKUP($B19&amp;"; "&amp;$M$11&amp;", "&amp;$N$12,'FE Energie'!$G:$U,7,FALSE),$AT19)))</f>
        <v>0.05</v>
      </c>
      <c r="BC19" s="1071">
        <f>IF(ISNA(SQRT(SUMSQ(VLOOKUP($B19&amp;"; "&amp;$P$11&amp;", "&amp;$Q$12,'FE Energie'!$G:$U,7,FALSE),$AU19))),0,SQRT(SUMSQ(VLOOKUP($B19&amp;"; "&amp;$P$11&amp;", "&amp;$Q$12,'FE Energie'!$G:$U,7,FALSE),$AU19)))</f>
        <v>0.1</v>
      </c>
    </row>
    <row r="20" spans="1:55" s="116" customFormat="1" ht="12.75" hidden="1" customHeight="1" outlineLevel="1">
      <c r="A20" s="114"/>
      <c r="B20" s="143" t="s">
        <v>1631</v>
      </c>
      <c r="C20" s="144"/>
      <c r="D20" s="315">
        <f>SUM(R20,S20)</f>
        <v>0</v>
      </c>
      <c r="E20" s="345"/>
      <c r="F20" s="1548"/>
      <c r="G20" s="335">
        <f>VLOOKUP($B20&amp;"; "&amp;$G$11&amp;", "&amp;G$12,'FE Energie'!$G:$U,9,FALSE)</f>
        <v>0.27</v>
      </c>
      <c r="H20" s="335">
        <f>VLOOKUP($B20&amp;"; "&amp;$G$11&amp;", "&amp;H$12,'FE Energie'!$G:$U,9,FALSE)</f>
        <v>3.07</v>
      </c>
      <c r="I20" s="1548"/>
      <c r="J20" s="223" t="e">
        <f>VLOOKUP($B20&amp;"; "&amp;$J$11&amp;", "&amp;J$12,'FE Energie'!$G:$U,9,FALSE)</f>
        <v>#N/A</v>
      </c>
      <c r="K20" s="223" t="e">
        <f>VLOOKUP($B20&amp;"; "&amp;$J$11&amp;", "&amp;K$12,'FE Energie'!$G:$U,9,FALSE)</f>
        <v>#N/A</v>
      </c>
      <c r="L20" s="1548"/>
      <c r="M20" s="217" t="e">
        <f>VLOOKUP($B20&amp;"; "&amp;$M$11&amp;", "&amp;M$12,'FE Energie'!$G:$U,9,FALSE)</f>
        <v>#N/A</v>
      </c>
      <c r="N20" s="217" t="e">
        <f>VLOOKUP($B20&amp;"; "&amp;$M$11&amp;", "&amp;N$12,'FE Energie'!$G:$U,9,FALSE)</f>
        <v>#N/A</v>
      </c>
      <c r="O20" s="1548"/>
      <c r="P20" s="223" t="e">
        <f>VLOOKUP($B20&amp;"; "&amp;$P$11&amp;", "&amp;P$12,'FE Energie'!$G:$U,9,FALSE)</f>
        <v>#N/A</v>
      </c>
      <c r="Q20" s="223" t="e">
        <f>VLOOKUP($B20&amp;"; "&amp;$P$11&amp;", "&amp;Q$12,'FE Energie'!$G:$U,9,FALSE)</f>
        <v>#N/A</v>
      </c>
      <c r="R20" s="566">
        <f>IF(ISNA(F20*G20),0,F20*G20)+IF(ISNA(I20*J20),0,I20*J20)+IF(ISNA(L20*M20),0,L20*M20)+IF(ISNA(O20*P20),0,O20*P20)</f>
        <v>0</v>
      </c>
      <c r="S20" s="567">
        <f>IF(ISNA(F20*H20),0,F20*H20)+IF(ISNA(I20*K20),0,I20*K20)+IF(ISNA(L20*N20),0,L20*N20)+IF(ISNA(O20*Q20),0,O20*Q20)</f>
        <v>0</v>
      </c>
      <c r="T20" s="114"/>
      <c r="U20" s="114"/>
      <c r="V20" s="114"/>
      <c r="W20" s="1092">
        <f>IF(AC20=0,AC20,AC20/(R20+S20))</f>
        <v>0</v>
      </c>
      <c r="X20" s="345"/>
      <c r="Y20" s="820"/>
      <c r="Z20" s="1801">
        <f>SQRT(SUMSQ(IF(ISNA($F20*G20*AV20),0,$F20*G20*AV20),IF(ISNA($I20*J20*AW20),0,$I20*J20*AW20),IF(ISNA($L20*M20*AX20),0,$L20*M20*AX20),IF(ISNA($O20*P20*AY20),0,$O20*P20*AY20)))</f>
        <v>0</v>
      </c>
      <c r="AA20" s="1801">
        <f>SQRT(SUMSQ(IF(ISNA($F20*H20*AZ20),0,$F20*H20*AZ20),IF(ISNA($I20*K20*BA20),0,$I20*K20*BA20),IF(ISNA($L20*N20*BB20),0,$L20*N20*BB20),IF(ISNA($O20*Q20*BC20),0,$O20*Q20*BC20)))</f>
        <v>0</v>
      </c>
      <c r="AB20" s="1801"/>
      <c r="AC20" s="152">
        <f>SQRT(SUMSQ(Z20,AA20))</f>
        <v>0</v>
      </c>
      <c r="AE20" s="564">
        <f>$F20*IF(ISNA(VLOOKUP($B20&amp;"; "&amp;$G$11&amp;", "&amp;G$12,'FE Energie'!$G:$U,10,FALSE)),0,VLOOKUP($B20&amp;"; "&amp;$G$11&amp;", "&amp;G$12,'FE Energie'!$G:$U,10,FALSE))
+$I20*IF(ISNA(VLOOKUP($B20&amp;"; "&amp;$J$11&amp;", "&amp;G$12,'FE Energie'!$G:$U,10,FALSE)),0,VLOOKUP($B20&amp;"; "&amp;$J$11&amp;", "&amp;G$12,'FE Energie'!$G:$U,10,FALSE))
+$L20*IF(ISNA(VLOOKUP($B20&amp;"; "&amp;$M$11&amp;", "&amp;G$12,'FE Energie'!$G:$U,10,FALSE)),0,VLOOKUP($B20&amp;"; "&amp;$M$11&amp;", "&amp;G$12,'FE Energie'!$G:$U,10,FALSE))
+$O20*IF(ISNA(VLOOKUP($B20&amp;"; "&amp;$P$11&amp;", "&amp;G$12,'FE Energie'!$G:$U,10,FALSE)),0,VLOOKUP($B20&amp;"; "&amp;$P$11&amp;", "&amp;G$12,'FE Energie'!$G:$U,10,FALSE))</f>
        <v>0</v>
      </c>
      <c r="AF20" s="565">
        <f>$F20*IF(ISNA(VLOOKUP($B20&amp;"; "&amp;$G$11&amp;", "&amp;H$12,'FE Energie'!$G:$U,10,FALSE)),0,VLOOKUP($B20&amp;"; "&amp;$G$11&amp;", "&amp;H$12,'FE Energie'!$G:$U,10,FALSE))
+$I20*IF(ISNA(VLOOKUP($B20&amp;"; "&amp;$J$11&amp;", "&amp;H$12,'FE Energie'!$G:$U,10,FALSE)),0,VLOOKUP($B20&amp;"; "&amp;$J$11&amp;", "&amp;H$12,'FE Energie'!$G:$U,10,FALSE))
+$L20*IF(ISNA(VLOOKUP($B20&amp;"; "&amp;$M$11&amp;", "&amp;H$12,'FE Energie'!$G:$U,10,FALSE)),0,VLOOKUP($B20&amp;"; "&amp;$M$11&amp;", "&amp;H$12,'FE Energie'!$G:$U,10,FALSE))
+$O20*IF(ISNA(VLOOKUP($B20&amp;"; "&amp;$P$11&amp;", "&amp;H$12,'FE Energie'!$G:$U,10,FALSE)),0,VLOOKUP($B20&amp;"; "&amp;$P$11&amp;", "&amp;H$12,'FE Energie'!$G:$U,10,FALSE))</f>
        <v>0</v>
      </c>
      <c r="AG20" s="620">
        <f>$F20*IF(ISNA((VLOOKUP($B20&amp;"; "&amp;$G$11&amp;", "&amp;G$12,'FE Energie'!$G:$U,12,FALSE)+VLOOKUP($B20&amp;"; "&amp;$G$11&amp;", "&amp;G$12,'FE Energie'!$G:$U,11,FALSE))),0,(VLOOKUP($B20&amp;"; "&amp;$G$11&amp;", "&amp;G$12,'FE Energie'!$G:$U,12,FALSE)+VLOOKUP($B20&amp;"; "&amp;$G$11&amp;", "&amp;G$12,'FE Energie'!$G:$U,11,FALSE)))
+$I20*IF(ISNA((VLOOKUP($B20&amp;"; "&amp;$J$11&amp;", "&amp;G$12,'FE Energie'!$G:$U,12,FALSE)+VLOOKUP($B20&amp;"; "&amp;$J$11&amp;", "&amp;G$12,'FE Energie'!$G:$U,11,FALSE))),0,(VLOOKUP($B20&amp;"; "&amp;$J$11&amp;", "&amp;G$12,'FE Energie'!$G:$U,12,FALSE)+VLOOKUP($B20&amp;"; "&amp;$J$11&amp;", "&amp;G$12,'FE Energie'!$G:$U,11,FALSE)))
+$L20*IF(ISNA((VLOOKUP($B20&amp;"; "&amp;$M$11&amp;", "&amp;G$12,'FE Energie'!$G:$U,12,FALSE)+VLOOKUP($B20&amp;"; "&amp;$M$11&amp;", "&amp;G$12,'FE Energie'!$G:$U,11,FALSE))),0,(VLOOKUP($B20&amp;"; "&amp;$M$11&amp;", "&amp;G$12,'FE Energie'!$G:$U,12,FALSE)+VLOOKUP($B20&amp;"; "&amp;$M$11&amp;", "&amp;G$12,'FE Energie'!$G:$U,11,FALSE)))
+$O20*IF(ISNA((VLOOKUP($B20&amp;"; "&amp;$P$11&amp;", "&amp;G$12,'FE Energie'!$G:$U,12,FALSE)+VLOOKUP($B20&amp;"; "&amp;$P$11&amp;", "&amp;G$12,'FE Energie'!$G:$U,11,FALSE))),0,(VLOOKUP($B20&amp;"; "&amp;$P$11&amp;", "&amp;G$12,'FE Energie'!$G:$U,12,FALSE)+VLOOKUP($B20&amp;"; "&amp;$P$11&amp;", "&amp;G$12,'FE Energie'!$G:$U,11,FALSE)))</f>
        <v>0</v>
      </c>
      <c r="AH20" s="620">
        <f>$F20*IF(ISNA((VLOOKUP($B20&amp;"; "&amp;$G$11&amp;", "&amp;H$12,'FE Energie'!$G:$U,12,FALSE)+VLOOKUP($B20&amp;"; "&amp;$G$11&amp;", "&amp;H$12,'FE Energie'!$G:$U,11,FALSE))),0,(VLOOKUP($B20&amp;"; "&amp;$G$11&amp;", "&amp;H$12,'FE Energie'!$G:$U,12,FALSE)+VLOOKUP($B20&amp;"; "&amp;$G$11&amp;", "&amp;H$12,'FE Energie'!$G:$U,11,FALSE)))
+$I20*IF(ISNA((VLOOKUP($B20&amp;"; "&amp;$J$11&amp;", "&amp;H$12,'FE Energie'!$G:$U,12,FALSE)+VLOOKUP($B20&amp;"; "&amp;$J$11&amp;", "&amp;H$12,'FE Energie'!$G:$U,11,FALSE))),0,(VLOOKUP($B20&amp;"; "&amp;$J$11&amp;", "&amp;H$12,'FE Energie'!$G:$U,12,FALSE)+VLOOKUP($B20&amp;"; "&amp;$J$11&amp;", "&amp;H$12,'FE Energie'!$G:$U,11,FALSE)))
+$L20*IF(ISNA((VLOOKUP($B20&amp;"; "&amp;$M$11&amp;", "&amp;H$12,'FE Energie'!$G:$U,12,FALSE)+VLOOKUP($B20&amp;"; "&amp;$M$11&amp;", "&amp;H$12,'FE Energie'!$G:$U,11,FALSE))),0,(VLOOKUP($B20&amp;"; "&amp;$M$11&amp;", "&amp;H$12,'FE Energie'!$G:$U,12,FALSE)+VLOOKUP($B20&amp;"; "&amp;$M$11&amp;", "&amp;H$12,'FE Energie'!$G:$U,11,FALSE)))
+$O20*IF(ISNA((VLOOKUP($B20&amp;"; "&amp;$P$11&amp;", "&amp;H$12,'FE Energie'!$G:$U,12,FALSE)+VLOOKUP($B20&amp;"; "&amp;$P$11&amp;", "&amp;H$12,'FE Energie'!$G:$U,11,FALSE))),0,(VLOOKUP($B20&amp;"; "&amp;$P$11&amp;", "&amp;H$12,'FE Energie'!$G:$U,12,FALSE)+VLOOKUP($B20&amp;"; "&amp;$P$11&amp;", "&amp;H$12,'FE Energie'!$G:$U,11,FALSE)))</f>
        <v>0</v>
      </c>
      <c r="AI20" s="620">
        <f>$F20*IF(ISNA(VLOOKUP($B20&amp;"; "&amp;$G$11&amp;", "&amp;G$12,'FE Energie'!$G:$U,13,FALSE)),0,VLOOKUP($B20&amp;"; "&amp;$G$11&amp;", "&amp;G$12,'FE Energie'!$G:$U,13,FALSE))
+$I20*IF(ISNA(VLOOKUP($B20&amp;"; "&amp;$J$11&amp;", "&amp;G$12,'FE Energie'!$G:$U,13,FALSE)),0,VLOOKUP($B20&amp;"; "&amp;$J$11&amp;", "&amp;G$12,'FE Energie'!$G:$U,13,FALSE))
+$L20*IF(ISNA(VLOOKUP($B20&amp;"; "&amp;$M$11&amp;", "&amp;G$12,'FE Energie'!$G:$U,13,FALSE)),0,VLOOKUP($B20&amp;"; "&amp;$M$11&amp;", "&amp;G$12,'FE Energie'!$G:$U,13,FALSE))
+$O20*IF(ISNA(VLOOKUP($B20&amp;"; "&amp;$P$11&amp;", "&amp;G$12,'FE Energie'!$G:$U,13,FALSE)),0,VLOOKUP($B20&amp;"; "&amp;$P$11&amp;", "&amp;G$12,'FE Energie'!$G:$U,13,FALSE))</f>
        <v>0</v>
      </c>
      <c r="AJ20" s="620">
        <f>$F20*IF(ISNA(VLOOKUP($B20&amp;"; "&amp;$G$11&amp;", "&amp;H$12,'FE Energie'!$G:$U,13,FALSE)),0,VLOOKUP($B20&amp;"; "&amp;$G$11&amp;", "&amp;H$12,'FE Energie'!$G:$U,13,FALSE))
+$I20*IF(ISNA(VLOOKUP($B20&amp;"; "&amp;$J$11&amp;", "&amp;H$12,'FE Energie'!$G:$U,13,FALSE)),0,VLOOKUP($B20&amp;"; "&amp;$J$11&amp;", "&amp;H$12,'FE Energie'!$G:$U,13,FALSE))
+$L20*IF(ISNA(VLOOKUP($B20&amp;"; "&amp;$M$11&amp;", "&amp;H$12,'FE Energie'!$G:$U,13,FALSE)),0,VLOOKUP($B20&amp;"; "&amp;$M$11&amp;", "&amp;H$12,'FE Energie'!$G:$U,13,FALSE))
+$O20*IF(ISNA(VLOOKUP($B20&amp;"; "&amp;$P$11&amp;", "&amp;H$12,'FE Energie'!$G:$U,13,FALSE)),0,VLOOKUP($B20&amp;"; "&amp;$P$11&amp;", "&amp;H$12,'FE Energie'!$G:$U,13,FALSE))</f>
        <v>0</v>
      </c>
      <c r="AK20" s="565">
        <f>$F20*IF(ISNA(VLOOKUP($B20&amp;"; "&amp;$G$11&amp;", "&amp;G$12,'FE Energie'!$G:$U,14,FALSE)),0,VLOOKUP($B20&amp;"; "&amp;$G$11&amp;", "&amp;G$12,'FE Energie'!$G:$U,14,FALSE))
+$I20*IF(ISNA(VLOOKUP($B20&amp;"; "&amp;$J$11&amp;", "&amp;G$12,'FE Energie'!$G:$U,14,FALSE)),0,VLOOKUP($B20&amp;"; "&amp;$J$11&amp;", "&amp;G$12,'FE Energie'!$G:$U,14,FALSE))
+$L20*IF(ISNA(VLOOKUP($B20&amp;"; "&amp;$M$11&amp;", "&amp;G$12,'FE Energie'!$G:$U,14,FALSE)),0,VLOOKUP($B20&amp;"; "&amp;$M$11&amp;", "&amp;G$12,'FE Energie'!$G:$U,14,FALSE))
+$O20*IF(ISNA(VLOOKUP($B20&amp;"; "&amp;$P$11&amp;", "&amp;G$12,'FE Energie'!$G:$U,14,FALSE)),0,VLOOKUP($B20&amp;"; "&amp;$P$11&amp;", "&amp;G$12,'FE Energie'!$G:$U,14,FALSE))</f>
        <v>0</v>
      </c>
      <c r="AL20" s="565">
        <f>$F20*IF(ISNA(VLOOKUP($B20&amp;"; "&amp;$G$11&amp;", "&amp;H$12,'FE Energie'!$G:$U,14,FALSE)),0,VLOOKUP($B20&amp;"; "&amp;$G$11&amp;", "&amp;H$12,'FE Energie'!$G:$U,14,FALSE))
+$I20*IF(ISNA(VLOOKUP($B20&amp;"; "&amp;$J$11&amp;", "&amp;H$12,'FE Energie'!$G:$U,14,FALSE)),0,VLOOKUP($B20&amp;"; "&amp;$J$11&amp;", "&amp;H$12,'FE Energie'!$G:$U,14,FALSE))
+$L20*IF(ISNA(VLOOKUP($B20&amp;"; "&amp;$M$11&amp;", "&amp;H$12,'FE Energie'!$G:$U,14,FALSE)),0,VLOOKUP($B20&amp;"; "&amp;$M$11&amp;", "&amp;H$12,'FE Energie'!$G:$U,14,FALSE))
+$O20*IF(ISNA(VLOOKUP($B20&amp;"; "&amp;$P$11&amp;", "&amp;H$12,'FE Energie'!$G:$U,14,FALSE)),0,VLOOKUP($B20&amp;"; "&amp;$P$11&amp;", "&amp;H$12,'FE Energie'!$G:$U,14,FALSE))</f>
        <v>0</v>
      </c>
      <c r="AM20" s="566">
        <f t="shared" si="0"/>
        <v>0</v>
      </c>
      <c r="AN20" s="566">
        <f t="shared" si="0"/>
        <v>0</v>
      </c>
      <c r="AO20" s="564">
        <f>$F20*IF(ISNA(VLOOKUP($B20&amp;"; "&amp;$G$11&amp;", "&amp;G$12,'FE Energie'!$G:$U,15,FALSE)),0,VLOOKUP($B20&amp;"; "&amp;$G$11&amp;", "&amp;G$12,'FE Energie'!$G:$U,15,FALSE))
+$I20*IF(ISNA(VLOOKUP($B20&amp;"; "&amp;$J$11&amp;", "&amp;G$12,'FE Energie'!$G:$U,15,FALSE)),0,VLOOKUP($B20&amp;"; "&amp;$J$11&amp;", "&amp;G$12,'FE Energie'!$G:$U,15,FALSE))
+$L20*IF(ISNA(VLOOKUP($B20&amp;"; "&amp;$M$11&amp;", "&amp;G$12,'FE Energie'!$G:$U,15,FALSE)),0,VLOOKUP($B20&amp;"; "&amp;$M$11&amp;", "&amp;G$12,'FE Energie'!$G:$U,15,FALSE))
+$O20*IF(ISNA(VLOOKUP($B20&amp;"; "&amp;$P$11&amp;", "&amp;G$12,'FE Energie'!$G:$U,15,FALSE)),0,VLOOKUP($B20&amp;"; "&amp;$P$11&amp;", "&amp;G$12,'FE Energie'!$G:$U,15,FALSE))</f>
        <v>0</v>
      </c>
      <c r="AP20" s="568">
        <f>$F20*IF(ISNA(VLOOKUP($B20&amp;"; "&amp;$G$11&amp;", "&amp;H$12,'FE Energie'!$G:$U,15,FALSE)),0,VLOOKUP($B20&amp;"; "&amp;$G$11&amp;", "&amp;H$12,'FE Energie'!$G:$U,15,FALSE))
+$I20*IF(ISNA(VLOOKUP($B20&amp;"; "&amp;$J$11&amp;", "&amp;H$12,'FE Energie'!$G:$U,15,FALSE)),0,VLOOKUP($B20&amp;"; "&amp;$J$11&amp;", "&amp;H$12,'FE Energie'!$G:$U,15,FALSE))
+$L20*IF(ISNA(VLOOKUP($B20&amp;"; "&amp;$M$11&amp;", "&amp;H$12,'FE Energie'!$G:$U,15,FALSE)),0,VLOOKUP($B20&amp;"; "&amp;$M$11&amp;", "&amp;H$12,'FE Energie'!$G:$U,15,FALSE))
+$O20*IF(ISNA(VLOOKUP($B20&amp;"; "&amp;$P$11&amp;", "&amp;H$12,'FE Energie'!$G:$U,15,FALSE)),0,VLOOKUP($B20&amp;"; "&amp;$P$11&amp;", "&amp;H$12,'FE Energie'!$G:$U,15,FALSE))</f>
        <v>0</v>
      </c>
      <c r="AQ20" s="114"/>
      <c r="AR20" s="1065">
        <f>IF($X20&lt;&gt;"votre valeur :",IF(ISNA(VLOOKUP($X20,Utilitaires!$N$566:$O$571,2,FALSE)),,VLOOKUP($X20,Utilitaires!$N$566:$O$571,2,FALSE)),$Y20)</f>
        <v>0</v>
      </c>
      <c r="AS20" s="1065">
        <f>IF($X20&lt;&gt;"votre valeur :",IF(ISNA(VLOOKUP($X20,Utilitaires!$N$566:$O$571,2,FALSE)),,VLOOKUP($X20,Utilitaires!$N$566:$O$571,2,FALSE)),$Y20)</f>
        <v>0</v>
      </c>
      <c r="AT20" s="1065">
        <f>IF($X20&lt;&gt;"votre valeur :",IF(ISNA(VLOOKUP($X20,Utilitaires!$N$566:$O$571,2,FALSE)),,VLOOKUP($X20,Utilitaires!$N$566:$O$571,2,FALSE)),$Y20)</f>
        <v>0</v>
      </c>
      <c r="AU20" s="1167">
        <f>IF($X20&lt;&gt;"votre valeur :",IF(ISNA(VLOOKUP($X20,Utilitaires!$N$566:$O$571,2,FALSE)),,VLOOKUP($X20,Utilitaires!$N$566:$O$571,2,FALSE)),$Y20)</f>
        <v>0</v>
      </c>
      <c r="AV20" s="1068">
        <f>IF(ISNA(SQRT(SUMSQ(VLOOKUP($B20&amp;"; "&amp;$G$11&amp;", "&amp;$G$12,'FE Energie'!$G:$U,7,FALSE),$AR20))),0,SQRT(SUMSQ(VLOOKUP($B20&amp;"; "&amp;$G$11&amp;", "&amp;$G$12,'FE Energie'!$G:$U,7,FALSE),$AR20)))</f>
        <v>0.05</v>
      </c>
      <c r="AW20" s="1068">
        <f>IF(ISNA(SQRT(SUMSQ(VLOOKUP($B20&amp;"; "&amp;$J$11&amp;", "&amp;$J$12,'FE Energie'!$G:$U,7,FALSE),$AS20))),0,SQRT(SUMSQ(VLOOKUP($B20&amp;"; "&amp;$J$11&amp;", "&amp;$J$12,'FE Energie'!$G:$U,7,FALSE),$AS20)))</f>
        <v>0</v>
      </c>
      <c r="AX20" s="1068">
        <f>IF(ISNA(SQRT(SUMSQ(VLOOKUP($B20&amp;"; "&amp;$M$11&amp;", "&amp;$M$12,'FE Energie'!$G:$U,7,FALSE),$AT20))),0,SQRT(SUMSQ(VLOOKUP($B20&amp;"; "&amp;$M$11&amp;", "&amp;$M$12,'FE Energie'!$G:$U,7,FALSE),$AT20)))</f>
        <v>0</v>
      </c>
      <c r="AY20" s="1068">
        <f>IF(ISNA(SQRT(SUMSQ(VLOOKUP($B20&amp;"; "&amp;$P$11&amp;", "&amp;$P$12,'FE Energie'!$G:$U,7,FALSE),$AU20))),0,SQRT(SUMSQ(VLOOKUP($B20&amp;"; "&amp;$P$11&amp;", "&amp;$P$12,'FE Energie'!$G:$U,7,FALSE),$AU20)))</f>
        <v>0</v>
      </c>
      <c r="AZ20" s="1069">
        <f>IF(ISNA(SQRT(SUMSQ(VLOOKUP($B20&amp;"; "&amp;$G$11&amp;", "&amp;$H$12,'FE Energie'!$G:$U,7,FALSE),$AR20))),0,SQRT(SUMSQ(VLOOKUP($B20&amp;"; "&amp;$G$11&amp;", "&amp;$H$12,'FE Energie'!$G:$U,7,FALSE),$AR20)))</f>
        <v>0.05</v>
      </c>
      <c r="BA20" s="1070">
        <f>IF(ISNA(SQRT(SUMSQ(VLOOKUP($B20&amp;"; "&amp;$J$11&amp;", "&amp;$K$12,'FE Energie'!$G:$U,7,FALSE),$AS20))),0,SQRT(SUMSQ(VLOOKUP($B20&amp;"; "&amp;$J$11&amp;", "&amp;$K$12,'FE Energie'!$G:$U,7,FALSE),$AS20)))</f>
        <v>0</v>
      </c>
      <c r="BB20" s="1070">
        <f>IF(ISNA(SQRT(SUMSQ(VLOOKUP($B20&amp;"; "&amp;$M$11&amp;", "&amp;$N$12,'FE Energie'!$G:$U,7,FALSE),$AT20))),0,SQRT(SUMSQ(VLOOKUP($B20&amp;"; "&amp;$M$11&amp;", "&amp;$N$12,'FE Energie'!$G:$U,7,FALSE),$AT20)))</f>
        <v>0</v>
      </c>
      <c r="BC20" s="1071">
        <f>IF(ISNA(SQRT(SUMSQ(VLOOKUP($B20&amp;"; "&amp;$P$11&amp;", "&amp;$Q$12,'FE Energie'!$G:$U,7,FALSE),$AU20))),0,SQRT(SUMSQ(VLOOKUP($B20&amp;"; "&amp;$P$11&amp;", "&amp;$Q$12,'FE Energie'!$G:$U,7,FALSE),$AU20)))</f>
        <v>0</v>
      </c>
    </row>
    <row r="21" spans="1:55" s="116" customFormat="1" ht="12.75" hidden="1" customHeight="1" outlineLevel="1">
      <c r="A21" s="114"/>
      <c r="B21" s="536" t="s">
        <v>1632</v>
      </c>
      <c r="C21" s="144"/>
      <c r="D21" s="315"/>
      <c r="E21" s="822"/>
      <c r="F21" s="1583"/>
      <c r="G21" s="335"/>
      <c r="H21" s="335"/>
      <c r="I21" s="1583"/>
      <c r="J21" s="223"/>
      <c r="K21" s="223"/>
      <c r="L21" s="1583"/>
      <c r="M21" s="217"/>
      <c r="N21" s="217"/>
      <c r="O21" s="1583"/>
      <c r="P21" s="223"/>
      <c r="Q21" s="223"/>
      <c r="R21" s="566"/>
      <c r="S21" s="567"/>
      <c r="T21" s="114"/>
      <c r="U21" s="114"/>
      <c r="V21" s="114"/>
      <c r="W21" s="1092"/>
      <c r="X21" s="820"/>
      <c r="Y21" s="820"/>
      <c r="Z21" s="1801"/>
      <c r="AA21" s="1801"/>
      <c r="AB21" s="1801"/>
      <c r="AC21" s="152"/>
      <c r="AE21" s="564"/>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hidden="1" customHeight="1" outlineLevel="1">
      <c r="A22" s="114"/>
      <c r="B22" s="143" t="s">
        <v>1634</v>
      </c>
      <c r="C22" s="144"/>
      <c r="D22" s="315">
        <f>SUM(R22,S22)</f>
        <v>0</v>
      </c>
      <c r="E22" s="343"/>
      <c r="F22" s="1547"/>
      <c r="G22" s="335">
        <f>VLOOKUP($B22&amp;"; "&amp;$G$11&amp;", "&amp;G$12,'FE Energie'!$G:$U,9,FALSE)</f>
        <v>0.28399999999999997</v>
      </c>
      <c r="H22" s="335">
        <f>VLOOKUP($B22&amp;"; "&amp;$G$11&amp;", "&amp;H$12,'FE Energie'!$G:$U,9,FALSE)</f>
        <v>3.07</v>
      </c>
      <c r="I22" s="1547"/>
      <c r="J22" s="223">
        <f>VLOOKUP($B22&amp;"; "&amp;$J$11&amp;", "&amp;J$12,'FE Energie'!$G:$U,9,FALSE)</f>
        <v>3.1899999999999998E-2</v>
      </c>
      <c r="K22" s="223">
        <f>VLOOKUP($B22&amp;"; "&amp;$J$11&amp;", "&amp;K$12,'FE Energie'!$G:$U,9,FALSE)</f>
        <v>0.34499999999999997</v>
      </c>
      <c r="L22" s="1547"/>
      <c r="M22" s="217">
        <f>VLOOKUP($B22&amp;"; "&amp;$M$11&amp;", "&amp;M$12,'FE Energie'!$G:$U,9,FALSE)</f>
        <v>372</v>
      </c>
      <c r="N22" s="217">
        <f>VLOOKUP($B22&amp;"; "&amp;$M$11&amp;", "&amp;N$12,'FE Energie'!$G:$U,9,FALSE)</f>
        <v>4020</v>
      </c>
      <c r="O22" s="1547"/>
      <c r="P22" s="223" t="e">
        <f>VLOOKUP($B22&amp;"; "&amp;$P$11&amp;", "&amp;P$12,'FE Energie'!$G:$U,9,FALSE)</f>
        <v>#N/A</v>
      </c>
      <c r="Q22" s="223" t="e">
        <f>VLOOKUP($B22&amp;"; "&amp;$P$11&amp;", "&amp;Q$12,'FE Energie'!$G:$U,9,FALSE)</f>
        <v>#N/A</v>
      </c>
      <c r="R22" s="566">
        <f>IF(ISNA(F22*G22),0,F22*G22)+IF(ISNA(I22*J22),0,I22*J22)+IF(ISNA(L22*M22),0,L22*M22)+IF(ISNA(O22*P22),0,O22*P22)</f>
        <v>0</v>
      </c>
      <c r="S22" s="567">
        <f>IF(ISNA(F22*H22),0,F22*H22)+IF(ISNA(I22*K22),0,I22*K22)+IF(ISNA(L22*N22),0,L22*N22)+IF(ISNA(O22*Q22),0,O22*Q22)</f>
        <v>0</v>
      </c>
      <c r="T22" s="114"/>
      <c r="U22" s="114"/>
      <c r="V22" s="114"/>
      <c r="W22" s="1092">
        <f>IF(AC22=0,AC22,AC22/(R22+S22))</f>
        <v>0</v>
      </c>
      <c r="X22" s="343"/>
      <c r="Y22" s="820"/>
      <c r="Z22" s="1801">
        <f>SQRT(SUMSQ(IF(ISNA($F22*G22*AV22),0,$F22*G22*AV22),IF(ISNA($I22*J22*AW22),0,$I22*J22*AW22),IF(ISNA($L22*M22*AX22),0,$L22*M22*AX22),IF(ISNA($O22*P22*AY22),0,$O22*P22*AY22)))</f>
        <v>0</v>
      </c>
      <c r="AA22" s="1801">
        <f>SQRT(SUMSQ(IF(ISNA($F22*H22*AZ22),0,$F22*H22*AZ22),IF(ISNA($I22*K22*BA22),0,$I22*K22*BA22),IF(ISNA($L22*N22*BB22),0,$L22*N22*BB22),IF(ISNA($O22*Q22*BC22),0,$O22*Q22*BC22)))</f>
        <v>0</v>
      </c>
      <c r="AB22" s="1801"/>
      <c r="AC22" s="152">
        <f>SQRT(SUMSQ(Z22,AA22))</f>
        <v>0</v>
      </c>
      <c r="AE22" s="564">
        <f>$F22*IF(ISNA(VLOOKUP($B22&amp;"; "&amp;$G$11&amp;", "&amp;G$12,'FE Energie'!$G:$U,10,FALSE)),0,VLOOKUP($B22&amp;"; "&amp;$G$11&amp;", "&amp;G$12,'FE Energie'!$G:$U,10,FALSE))
+$I22*IF(ISNA(VLOOKUP($B22&amp;"; "&amp;$J$11&amp;", "&amp;G$12,'FE Energie'!$G:$U,10,FALSE)),0,VLOOKUP($B22&amp;"; "&amp;$J$11&amp;", "&amp;G$12,'FE Energie'!$G:$U,10,FALSE))
+$L22*IF(ISNA(VLOOKUP($B22&amp;"; "&amp;$M$11&amp;", "&amp;G$12,'FE Energie'!$G:$U,10,FALSE)),0,VLOOKUP($B22&amp;"; "&amp;$M$11&amp;", "&amp;G$12,'FE Energie'!$G:$U,10,FALSE))
+$O22*IF(ISNA(VLOOKUP($B22&amp;"; "&amp;$P$11&amp;", "&amp;G$12,'FE Energie'!$G:$U,10,FALSE)),0,VLOOKUP($B22&amp;"; "&amp;$P$11&amp;", "&amp;G$12,'FE Energie'!$G:$U,10,FALSE))</f>
        <v>0</v>
      </c>
      <c r="AF22" s="565">
        <f>$F22*IF(ISNA(VLOOKUP($B22&amp;"; "&amp;$G$11&amp;", "&amp;H$12,'FE Energie'!$G:$U,10,FALSE)),0,VLOOKUP($B22&amp;"; "&amp;$G$11&amp;", "&amp;H$12,'FE Energie'!$G:$U,10,FALSE))
+$I22*IF(ISNA(VLOOKUP($B22&amp;"; "&amp;$J$11&amp;", "&amp;H$12,'FE Energie'!$G:$U,10,FALSE)),0,VLOOKUP($B22&amp;"; "&amp;$J$11&amp;", "&amp;H$12,'FE Energie'!$G:$U,10,FALSE))
+$L22*IF(ISNA(VLOOKUP($B22&amp;"; "&amp;$M$11&amp;", "&amp;H$12,'FE Energie'!$G:$U,10,FALSE)),0,VLOOKUP($B22&amp;"; "&amp;$M$11&amp;", "&amp;H$12,'FE Energie'!$G:$U,10,FALSE))
+$O22*IF(ISNA(VLOOKUP($B22&amp;"; "&amp;$P$11&amp;", "&amp;H$12,'FE Energie'!$G:$U,10,FALSE)),0,VLOOKUP($B22&amp;"; "&amp;$P$11&amp;", "&amp;H$12,'FE Energie'!$G:$U,10,FALSE))</f>
        <v>0</v>
      </c>
      <c r="AG22" s="620">
        <f>$F22*IF(ISNA((VLOOKUP($B22&amp;"; "&amp;$G$11&amp;", "&amp;G$12,'FE Energie'!$G:$U,12,FALSE)+VLOOKUP($B22&amp;"; "&amp;$G$11&amp;", "&amp;G$12,'FE Energie'!$G:$U,11,FALSE))),0,(VLOOKUP($B22&amp;"; "&amp;$G$11&amp;", "&amp;G$12,'FE Energie'!$G:$U,12,FALSE)+VLOOKUP($B22&amp;"; "&amp;$G$11&amp;", "&amp;G$12,'FE Energie'!$G:$U,11,FALSE)))
+$I22*IF(ISNA((VLOOKUP($B22&amp;"; "&amp;$J$11&amp;", "&amp;G$12,'FE Energie'!$G:$U,12,FALSE)+VLOOKUP($B22&amp;"; "&amp;$J$11&amp;", "&amp;G$12,'FE Energie'!$G:$U,11,FALSE))),0,(VLOOKUP($B22&amp;"; "&amp;$J$11&amp;", "&amp;G$12,'FE Energie'!$G:$U,12,FALSE)+VLOOKUP($B22&amp;"; "&amp;$J$11&amp;", "&amp;G$12,'FE Energie'!$G:$U,11,FALSE)))
+$L22*IF(ISNA((VLOOKUP($B22&amp;"; "&amp;$M$11&amp;", "&amp;G$12,'FE Energie'!$G:$U,12,FALSE)+VLOOKUP($B22&amp;"; "&amp;$M$11&amp;", "&amp;G$12,'FE Energie'!$G:$U,11,FALSE))),0,(VLOOKUP($B22&amp;"; "&amp;$M$11&amp;", "&amp;G$12,'FE Energie'!$G:$U,12,FALSE)+VLOOKUP($B22&amp;"; "&amp;$M$11&amp;", "&amp;G$12,'FE Energie'!$G:$U,11,FALSE)))
+$O22*IF(ISNA((VLOOKUP($B22&amp;"; "&amp;$P$11&amp;", "&amp;G$12,'FE Energie'!$G:$U,12,FALSE)+VLOOKUP($B22&amp;"; "&amp;$P$11&amp;", "&amp;G$12,'FE Energie'!$G:$U,11,FALSE))),0,(VLOOKUP($B22&amp;"; "&amp;$P$11&amp;", "&amp;G$12,'FE Energie'!$G:$U,12,FALSE)+VLOOKUP($B22&amp;"; "&amp;$P$11&amp;", "&amp;G$12,'FE Energie'!$G:$U,11,FALSE)))</f>
        <v>0</v>
      </c>
      <c r="AH22" s="620">
        <f>$F22*IF(ISNA((VLOOKUP($B22&amp;"; "&amp;$G$11&amp;", "&amp;H$12,'FE Energie'!$G:$U,12,FALSE)+VLOOKUP($B22&amp;"; "&amp;$G$11&amp;", "&amp;H$12,'FE Energie'!$G:$U,11,FALSE))),0,(VLOOKUP($B22&amp;"; "&amp;$G$11&amp;", "&amp;H$12,'FE Energie'!$G:$U,12,FALSE)+VLOOKUP($B22&amp;"; "&amp;$G$11&amp;", "&amp;H$12,'FE Energie'!$G:$U,11,FALSE)))
+$I22*IF(ISNA((VLOOKUP($B22&amp;"; "&amp;$J$11&amp;", "&amp;H$12,'FE Energie'!$G:$U,12,FALSE)+VLOOKUP($B22&amp;"; "&amp;$J$11&amp;", "&amp;H$12,'FE Energie'!$G:$U,11,FALSE))),0,(VLOOKUP($B22&amp;"; "&amp;$J$11&amp;", "&amp;H$12,'FE Energie'!$G:$U,12,FALSE)+VLOOKUP($B22&amp;"; "&amp;$J$11&amp;", "&amp;H$12,'FE Energie'!$G:$U,11,FALSE)))
+$L22*IF(ISNA((VLOOKUP($B22&amp;"; "&amp;$M$11&amp;", "&amp;H$12,'FE Energie'!$G:$U,12,FALSE)+VLOOKUP($B22&amp;"; "&amp;$M$11&amp;", "&amp;H$12,'FE Energie'!$G:$U,11,FALSE))),0,(VLOOKUP($B22&amp;"; "&amp;$M$11&amp;", "&amp;H$12,'FE Energie'!$G:$U,12,FALSE)+VLOOKUP($B22&amp;"; "&amp;$M$11&amp;", "&amp;H$12,'FE Energie'!$G:$U,11,FALSE)))
+$O22*IF(ISNA((VLOOKUP($B22&amp;"; "&amp;$P$11&amp;", "&amp;H$12,'FE Energie'!$G:$U,12,FALSE)+VLOOKUP($B22&amp;"; "&amp;$P$11&amp;", "&amp;H$12,'FE Energie'!$G:$U,11,FALSE))),0,(VLOOKUP($B22&amp;"; "&amp;$P$11&amp;", "&amp;H$12,'FE Energie'!$G:$U,12,FALSE)+VLOOKUP($B22&amp;"; "&amp;$P$11&amp;", "&amp;H$12,'FE Energie'!$G:$U,11,FALSE)))</f>
        <v>0</v>
      </c>
      <c r="AI22" s="620">
        <f>$F22*IF(ISNA(VLOOKUP($B22&amp;"; "&amp;$G$11&amp;", "&amp;G$12,'FE Energie'!$G:$U,13,FALSE)),0,VLOOKUP($B22&amp;"; "&amp;$G$11&amp;", "&amp;G$12,'FE Energie'!$G:$U,13,FALSE))
+$I22*IF(ISNA(VLOOKUP($B22&amp;"; "&amp;$J$11&amp;", "&amp;G$12,'FE Energie'!$G:$U,13,FALSE)),0,VLOOKUP($B22&amp;"; "&amp;$J$11&amp;", "&amp;G$12,'FE Energie'!$G:$U,13,FALSE))
+$L22*IF(ISNA(VLOOKUP($B22&amp;"; "&amp;$M$11&amp;", "&amp;G$12,'FE Energie'!$G:$U,13,FALSE)),0,VLOOKUP($B22&amp;"; "&amp;$M$11&amp;", "&amp;G$12,'FE Energie'!$G:$U,13,FALSE))
+$O22*IF(ISNA(VLOOKUP($B22&amp;"; "&amp;$P$11&amp;", "&amp;G$12,'FE Energie'!$G:$U,13,FALSE)),0,VLOOKUP($B22&amp;"; "&amp;$P$11&amp;", "&amp;G$12,'FE Energie'!$G:$U,13,FALSE))</f>
        <v>0</v>
      </c>
      <c r="AJ22" s="620">
        <f>$F22*IF(ISNA(VLOOKUP($B22&amp;"; "&amp;$G$11&amp;", "&amp;H$12,'FE Energie'!$G:$U,13,FALSE)),0,VLOOKUP($B22&amp;"; "&amp;$G$11&amp;", "&amp;H$12,'FE Energie'!$G:$U,13,FALSE))
+$I22*IF(ISNA(VLOOKUP($B22&amp;"; "&amp;$J$11&amp;", "&amp;H$12,'FE Energie'!$G:$U,13,FALSE)),0,VLOOKUP($B22&amp;"; "&amp;$J$11&amp;", "&amp;H$12,'FE Energie'!$G:$U,13,FALSE))
+$L22*IF(ISNA(VLOOKUP($B22&amp;"; "&amp;$M$11&amp;", "&amp;H$12,'FE Energie'!$G:$U,13,FALSE)),0,VLOOKUP($B22&amp;"; "&amp;$M$11&amp;", "&amp;H$12,'FE Energie'!$G:$U,13,FALSE))
+$O22*IF(ISNA(VLOOKUP($B22&amp;"; "&amp;$P$11&amp;", "&amp;H$12,'FE Energie'!$G:$U,13,FALSE)),0,VLOOKUP($B22&amp;"; "&amp;$P$11&amp;", "&amp;H$12,'FE Energie'!$G:$U,13,FALSE))</f>
        <v>0</v>
      </c>
      <c r="AK22" s="565">
        <f>$F22*IF(ISNA(VLOOKUP($B22&amp;"; "&amp;$G$11&amp;", "&amp;G$12,'FE Energie'!$G:$U,14,FALSE)),0,VLOOKUP($B22&amp;"; "&amp;$G$11&amp;", "&amp;G$12,'FE Energie'!$G:$U,14,FALSE))
+$I22*IF(ISNA(VLOOKUP($B22&amp;"; "&amp;$J$11&amp;", "&amp;G$12,'FE Energie'!$G:$U,14,FALSE)),0,VLOOKUP($B22&amp;"; "&amp;$J$11&amp;", "&amp;G$12,'FE Energie'!$G:$U,14,FALSE))
+$L22*IF(ISNA(VLOOKUP($B22&amp;"; "&amp;$M$11&amp;", "&amp;G$12,'FE Energie'!$G:$U,14,FALSE)),0,VLOOKUP($B22&amp;"; "&amp;$M$11&amp;", "&amp;G$12,'FE Energie'!$G:$U,14,FALSE))
+$O22*IF(ISNA(VLOOKUP($B22&amp;"; "&amp;$P$11&amp;", "&amp;G$12,'FE Energie'!$G:$U,14,FALSE)),0,VLOOKUP($B22&amp;"; "&amp;$P$11&amp;", "&amp;G$12,'FE Energie'!$G:$U,14,FALSE))</f>
        <v>0</v>
      </c>
      <c r="AL22" s="565">
        <f>$F22*IF(ISNA(VLOOKUP($B22&amp;"; "&amp;$G$11&amp;", "&amp;H$12,'FE Energie'!$G:$U,14,FALSE)),0,VLOOKUP($B22&amp;"; "&amp;$G$11&amp;", "&amp;H$12,'FE Energie'!$G:$U,14,FALSE))
+$I22*IF(ISNA(VLOOKUP($B22&amp;"; "&amp;$J$11&amp;", "&amp;H$12,'FE Energie'!$G:$U,14,FALSE)),0,VLOOKUP($B22&amp;"; "&amp;$J$11&amp;", "&amp;H$12,'FE Energie'!$G:$U,14,FALSE))
+$L22*IF(ISNA(VLOOKUP($B22&amp;"; "&amp;$M$11&amp;", "&amp;H$12,'FE Energie'!$G:$U,14,FALSE)),0,VLOOKUP($B22&amp;"; "&amp;$M$11&amp;", "&amp;H$12,'FE Energie'!$G:$U,14,FALSE))
+$O22*IF(ISNA(VLOOKUP($B22&amp;"; "&amp;$P$11&amp;", "&amp;H$12,'FE Energie'!$G:$U,14,FALSE)),0,VLOOKUP($B22&amp;"; "&amp;$P$11&amp;", "&amp;H$12,'FE Energie'!$G:$U,14,FALSE))</f>
        <v>0</v>
      </c>
      <c r="AM22" s="566">
        <f t="shared" si="0"/>
        <v>0</v>
      </c>
      <c r="AN22" s="566">
        <f t="shared" si="0"/>
        <v>0</v>
      </c>
      <c r="AO22" s="564">
        <f>$F22*IF(ISNA(VLOOKUP($B22&amp;"; "&amp;$G$11&amp;", "&amp;G$12,'FE Energie'!$G:$U,15,FALSE)),0,VLOOKUP($B22&amp;"; "&amp;$G$11&amp;", "&amp;G$12,'FE Energie'!$G:$U,15,FALSE))
+$I22*IF(ISNA(VLOOKUP($B22&amp;"; "&amp;$J$11&amp;", "&amp;G$12,'FE Energie'!$G:$U,15,FALSE)),0,VLOOKUP($B22&amp;"; "&amp;$J$11&amp;", "&amp;G$12,'FE Energie'!$G:$U,15,FALSE))
+$L22*IF(ISNA(VLOOKUP($B22&amp;"; "&amp;$M$11&amp;", "&amp;G$12,'FE Energie'!$G:$U,15,FALSE)),0,VLOOKUP($B22&amp;"; "&amp;$M$11&amp;", "&amp;G$12,'FE Energie'!$G:$U,15,FALSE))
+$O22*IF(ISNA(VLOOKUP($B22&amp;"; "&amp;$P$11&amp;", "&amp;G$12,'FE Energie'!$G:$U,15,FALSE)),0,VLOOKUP($B22&amp;"; "&amp;$P$11&amp;", "&amp;G$12,'FE Energie'!$G:$U,15,FALSE))</f>
        <v>0</v>
      </c>
      <c r="AP22" s="568">
        <f>$F22*IF(ISNA(VLOOKUP($B22&amp;"; "&amp;$G$11&amp;", "&amp;H$12,'FE Energie'!$G:$U,15,FALSE)),0,VLOOKUP($B22&amp;"; "&amp;$G$11&amp;", "&amp;H$12,'FE Energie'!$G:$U,15,FALSE))
+$I22*IF(ISNA(VLOOKUP($B22&amp;"; "&amp;$J$11&amp;", "&amp;H$12,'FE Energie'!$G:$U,15,FALSE)),0,VLOOKUP($B22&amp;"; "&amp;$J$11&amp;", "&amp;H$12,'FE Energie'!$G:$U,15,FALSE))
+$L22*IF(ISNA(VLOOKUP($B22&amp;"; "&amp;$M$11&amp;", "&amp;H$12,'FE Energie'!$G:$U,15,FALSE)),0,VLOOKUP($B22&amp;"; "&amp;$M$11&amp;", "&amp;H$12,'FE Energie'!$G:$U,15,FALSE))
+$O22*IF(ISNA(VLOOKUP($B22&amp;"; "&amp;$P$11&amp;", "&amp;H$12,'FE Energie'!$G:$U,15,FALSE)),0,VLOOKUP($B22&amp;"; "&amp;$P$11&amp;", "&amp;H$12,'FE Energie'!$G:$U,15,FALSE))</f>
        <v>0</v>
      </c>
      <c r="AQ22" s="114"/>
      <c r="AR22" s="1065">
        <f>IF($X22&lt;&gt;"votre valeur :",IF(ISNA(VLOOKUP($X22,Utilitaires!$N$566:$O$571,2,FALSE)),,VLOOKUP($X22,Utilitaires!$N$566:$O$571,2,FALSE)),$Y22)</f>
        <v>0</v>
      </c>
      <c r="AS22" s="1065">
        <f>IF($X22&lt;&gt;"votre valeur :",IF(ISNA(VLOOKUP($X22,Utilitaires!$N$566:$O$571,2,FALSE)),,VLOOKUP($X22,Utilitaires!$N$566:$O$571,2,FALSE)),$Y22)</f>
        <v>0</v>
      </c>
      <c r="AT22" s="1065">
        <f>IF($X22&lt;&gt;"votre valeur :",IF(ISNA(VLOOKUP($X22,Utilitaires!$N$566:$O$571,2,FALSE)),,VLOOKUP($X22,Utilitaires!$N$566:$O$571,2,FALSE)),$Y22)</f>
        <v>0</v>
      </c>
      <c r="AU22" s="1167">
        <f>IF($X22&lt;&gt;"votre valeur :",IF(ISNA(VLOOKUP($X22,Utilitaires!$N$566:$O$571,2,FALSE)),,VLOOKUP($X22,Utilitaires!$N$566:$O$571,2,FALSE)),$Y22)</f>
        <v>0</v>
      </c>
      <c r="AV22" s="1068">
        <f>IF(ISNA(SQRT(SUMSQ(VLOOKUP($B22&amp;"; "&amp;$G$11&amp;", "&amp;$G$12,'FE Energie'!$G:$U,7,FALSE),$AR22))),0,SQRT(SUMSQ(VLOOKUP($B22&amp;"; "&amp;$G$11&amp;", "&amp;$G$12,'FE Energie'!$G:$U,7,FALSE),$AR22)))</f>
        <v>0.2</v>
      </c>
      <c r="AW22" s="1068">
        <f>IF(ISNA(SQRT(SUMSQ(VLOOKUP($B22&amp;"; "&amp;$J$11&amp;", "&amp;$J$12,'FE Energie'!$G:$U,7,FALSE),$AS22))),0,SQRT(SUMSQ(VLOOKUP($B22&amp;"; "&amp;$J$11&amp;", "&amp;$J$12,'FE Energie'!$G:$U,7,FALSE),$AS22)))</f>
        <v>0.2</v>
      </c>
      <c r="AX22" s="1068">
        <f>IF(ISNA(SQRT(SUMSQ(VLOOKUP($B22&amp;"; "&amp;$M$11&amp;", "&amp;$M$12,'FE Energie'!$G:$U,7,FALSE),$AT22))),0,SQRT(SUMSQ(VLOOKUP($B22&amp;"; "&amp;$M$11&amp;", "&amp;$M$12,'FE Energie'!$G:$U,7,FALSE),$AT22)))</f>
        <v>0.2</v>
      </c>
      <c r="AY22" s="1068">
        <f>IF(ISNA(SQRT(SUMSQ(VLOOKUP($B22&amp;"; "&amp;$P$11&amp;", "&amp;$P$12,'FE Energie'!$G:$U,7,FALSE),$AU22))),0,SQRT(SUMSQ(VLOOKUP($B22&amp;"; "&amp;$P$11&amp;", "&amp;$P$12,'FE Energie'!$G:$U,7,FALSE),$AU22)))</f>
        <v>0</v>
      </c>
      <c r="AZ22" s="1069">
        <f>IF(ISNA(SQRT(SUMSQ(VLOOKUP($B22&amp;"; "&amp;$G$11&amp;", "&amp;$H$12,'FE Energie'!$G:$U,7,FALSE),$AR22))),0,SQRT(SUMSQ(VLOOKUP($B22&amp;"; "&amp;$G$11&amp;", "&amp;$H$12,'FE Energie'!$G:$U,7,FALSE),$AR22)))</f>
        <v>0.2</v>
      </c>
      <c r="BA22" s="1070">
        <f>IF(ISNA(SQRT(SUMSQ(VLOOKUP($B22&amp;"; "&amp;$J$11&amp;", "&amp;$K$12,'FE Energie'!$G:$U,7,FALSE),$AS22))),0,SQRT(SUMSQ(VLOOKUP($B22&amp;"; "&amp;$J$11&amp;", "&amp;$K$12,'FE Energie'!$G:$U,7,FALSE),$AS22)))</f>
        <v>0.2</v>
      </c>
      <c r="BB22" s="1070">
        <f>IF(ISNA(SQRT(SUMSQ(VLOOKUP($B22&amp;"; "&amp;$M$11&amp;", "&amp;$N$12,'FE Energie'!$G:$U,7,FALSE),$AT22))),0,SQRT(SUMSQ(VLOOKUP($B22&amp;"; "&amp;$M$11&amp;", "&amp;$N$12,'FE Energie'!$G:$U,7,FALSE),$AT22)))</f>
        <v>0.2</v>
      </c>
      <c r="BC22" s="1071">
        <f>IF(ISNA(SQRT(SUMSQ(VLOOKUP($B22&amp;"; "&amp;$P$11&amp;", "&amp;$Q$12,'FE Energie'!$G:$U,7,FALSE),$AU22))),0,SQRT(SUMSQ(VLOOKUP($B22&amp;"; "&amp;$P$11&amp;", "&amp;$Q$12,'FE Energie'!$G:$U,7,FALSE),$AU22)))</f>
        <v>0</v>
      </c>
    </row>
    <row r="23" spans="1:55" s="116" customFormat="1" ht="12.75" hidden="1" customHeight="1" outlineLevel="1">
      <c r="A23" s="114"/>
      <c r="B23" s="143" t="s">
        <v>1635</v>
      </c>
      <c r="C23" s="144"/>
      <c r="D23" s="315">
        <f>SUM(R23,S23)</f>
        <v>0</v>
      </c>
      <c r="E23" s="345"/>
      <c r="F23" s="1548"/>
      <c r="G23" s="335">
        <f>VLOOKUP($B23&amp;"; "&amp;$G$11&amp;", "&amp;G$12,'FE Energie'!$G:$U,9,FALSE)</f>
        <v>0.10299999999999999</v>
      </c>
      <c r="H23" s="335">
        <f>VLOOKUP($B23&amp;"; "&amp;$G$11&amp;", "&amp;H$12,'FE Energie'!$G:$U,9,FALSE)</f>
        <v>1.28</v>
      </c>
      <c r="I23" s="1548"/>
      <c r="J23" s="223">
        <f>VLOOKUP($B23&amp;"; "&amp;$J$11&amp;", "&amp;J$12,'FE Energie'!$G:$U,9,FALSE)</f>
        <v>3.1899999999999998E-2</v>
      </c>
      <c r="K23" s="223">
        <f>VLOOKUP($B23&amp;"; "&amp;$J$11&amp;", "&amp;K$12,'FE Energie'!$G:$U,9,FALSE)</f>
        <v>0.39800000000000002</v>
      </c>
      <c r="L23" s="1548"/>
      <c r="M23" s="217">
        <f>VLOOKUP($B23&amp;"; "&amp;$M$11&amp;", "&amp;M$12,'FE Energie'!$G:$U,9,FALSE)</f>
        <v>373</v>
      </c>
      <c r="N23" s="217">
        <f>VLOOKUP($B23&amp;"; "&amp;$M$11&amp;", "&amp;N$12,'FE Energie'!$G:$U,9,FALSE)</f>
        <v>4640</v>
      </c>
      <c r="O23" s="1548"/>
      <c r="P23" s="223" t="e">
        <f>VLOOKUP($B23&amp;"; "&amp;$P$11&amp;", "&amp;P$12,'FE Energie'!$G:$U,9,FALSE)</f>
        <v>#N/A</v>
      </c>
      <c r="Q23" s="223" t="e">
        <f>VLOOKUP($B23&amp;"; "&amp;$P$11&amp;", "&amp;Q$12,'FE Energie'!$G:$U,9,FALSE)</f>
        <v>#N/A</v>
      </c>
      <c r="R23" s="566">
        <f>IF(ISNA(F23*G23),0,F23*G23)+IF(ISNA(I23*J23),0,I23*J23)+IF(ISNA(L23*M23),0,L23*M23)+IF(ISNA(O23*P23),0,O23*P23)</f>
        <v>0</v>
      </c>
      <c r="S23" s="567">
        <f>IF(ISNA(F23*H23),0,F23*H23)+IF(ISNA(I23*K23),0,I23*K23)+IF(ISNA(L23*N23),0,L23*N23)+IF(ISNA(O23*Q23),0,O23*Q23)</f>
        <v>0</v>
      </c>
      <c r="T23" s="114"/>
      <c r="U23" s="114"/>
      <c r="V23" s="114"/>
      <c r="W23" s="1092">
        <f>IF(AC23=0,AC23,AC23/(R23+S23))</f>
        <v>0</v>
      </c>
      <c r="X23" s="345"/>
      <c r="Y23" s="820"/>
      <c r="Z23" s="1801">
        <f>SQRT(SUMSQ(IF(ISNA($F23*G23*AV23),0,$F23*G23*AV23),IF(ISNA($I23*J23*AW23),0,$I23*J23*AW23),IF(ISNA($L23*M23*AX23),0,$L23*M23*AX23),IF(ISNA($O23*P23*AY23),0,$O23*P23*AY23)))</f>
        <v>0</v>
      </c>
      <c r="AA23" s="1801">
        <f>SQRT(SUMSQ(IF(ISNA($F23*H23*AZ23),0,$F23*H23*AZ23),IF(ISNA($I23*K23*BA23),0,$I23*K23*BA23),IF(ISNA($L23*N23*BB23),0,$L23*N23*BB23),IF(ISNA($O23*Q23*BC23),0,$O23*Q23*BC23)))</f>
        <v>0</v>
      </c>
      <c r="AB23" s="1801"/>
      <c r="AC23" s="152">
        <f>SQRT(SUMSQ(Z23,AA23))</f>
        <v>0</v>
      </c>
      <c r="AE23" s="564">
        <f>$F23*IF(ISNA(VLOOKUP($B23&amp;"; "&amp;$G$11&amp;", "&amp;G$12,'FE Energie'!$G:$U,10,FALSE)),0,VLOOKUP($B23&amp;"; "&amp;$G$11&amp;", "&amp;G$12,'FE Energie'!$G:$U,10,FALSE))
+$I23*IF(ISNA(VLOOKUP($B23&amp;"; "&amp;$J$11&amp;", "&amp;G$12,'FE Energie'!$G:$U,10,FALSE)),0,VLOOKUP($B23&amp;"; "&amp;$J$11&amp;", "&amp;G$12,'FE Energie'!$G:$U,10,FALSE))
+$L23*IF(ISNA(VLOOKUP($B23&amp;"; "&amp;$M$11&amp;", "&amp;G$12,'FE Energie'!$G:$U,10,FALSE)),0,VLOOKUP($B23&amp;"; "&amp;$M$11&amp;", "&amp;G$12,'FE Energie'!$G:$U,10,FALSE))
+$O23*IF(ISNA(VLOOKUP($B23&amp;"; "&amp;$P$11&amp;", "&amp;G$12,'FE Energie'!$G:$U,10,FALSE)),0,VLOOKUP($B23&amp;"; "&amp;$P$11&amp;", "&amp;G$12,'FE Energie'!$G:$U,10,FALSE))</f>
        <v>0</v>
      </c>
      <c r="AF23" s="565">
        <f>$F23*IF(ISNA(VLOOKUP($B23&amp;"; "&amp;$G$11&amp;", "&amp;H$12,'FE Energie'!$G:$U,10,FALSE)),0,VLOOKUP($B23&amp;"; "&amp;$G$11&amp;", "&amp;H$12,'FE Energie'!$G:$U,10,FALSE))
+$I23*IF(ISNA(VLOOKUP($B23&amp;"; "&amp;$J$11&amp;", "&amp;H$12,'FE Energie'!$G:$U,10,FALSE)),0,VLOOKUP($B23&amp;"; "&amp;$J$11&amp;", "&amp;H$12,'FE Energie'!$G:$U,10,FALSE))
+$L23*IF(ISNA(VLOOKUP($B23&amp;"; "&amp;$M$11&amp;", "&amp;H$12,'FE Energie'!$G:$U,10,FALSE)),0,VLOOKUP($B23&amp;"; "&amp;$M$11&amp;", "&amp;H$12,'FE Energie'!$G:$U,10,FALSE))
+$O23*IF(ISNA(VLOOKUP($B23&amp;"; "&amp;$P$11&amp;", "&amp;H$12,'FE Energie'!$G:$U,10,FALSE)),0,VLOOKUP($B23&amp;"; "&amp;$P$11&amp;", "&amp;H$12,'FE Energie'!$G:$U,10,FALSE))</f>
        <v>0</v>
      </c>
      <c r="AG23" s="620">
        <f>$F23*IF(ISNA((VLOOKUP($B23&amp;"; "&amp;$G$11&amp;", "&amp;G$12,'FE Energie'!$G:$U,12,FALSE)+VLOOKUP($B23&amp;"; "&amp;$G$11&amp;", "&amp;G$12,'FE Energie'!$G:$U,11,FALSE))),0,(VLOOKUP($B23&amp;"; "&amp;$G$11&amp;", "&amp;G$12,'FE Energie'!$G:$U,12,FALSE)+VLOOKUP($B23&amp;"; "&amp;$G$11&amp;", "&amp;G$12,'FE Energie'!$G:$U,11,FALSE)))
+$I23*IF(ISNA((VLOOKUP($B23&amp;"; "&amp;$J$11&amp;", "&amp;G$12,'FE Energie'!$G:$U,12,FALSE)+VLOOKUP($B23&amp;"; "&amp;$J$11&amp;", "&amp;G$12,'FE Energie'!$G:$U,11,FALSE))),0,(VLOOKUP($B23&amp;"; "&amp;$J$11&amp;", "&amp;G$12,'FE Energie'!$G:$U,12,FALSE)+VLOOKUP($B23&amp;"; "&amp;$J$11&amp;", "&amp;G$12,'FE Energie'!$G:$U,11,FALSE)))
+$L23*IF(ISNA((VLOOKUP($B23&amp;"; "&amp;$M$11&amp;", "&amp;G$12,'FE Energie'!$G:$U,12,FALSE)+VLOOKUP($B23&amp;"; "&amp;$M$11&amp;", "&amp;G$12,'FE Energie'!$G:$U,11,FALSE))),0,(VLOOKUP($B23&amp;"; "&amp;$M$11&amp;", "&amp;G$12,'FE Energie'!$G:$U,12,FALSE)+VLOOKUP($B23&amp;"; "&amp;$M$11&amp;", "&amp;G$12,'FE Energie'!$G:$U,11,FALSE)))
+$O23*IF(ISNA((VLOOKUP($B23&amp;"; "&amp;$P$11&amp;", "&amp;G$12,'FE Energie'!$G:$U,12,FALSE)+VLOOKUP($B23&amp;"; "&amp;$P$11&amp;", "&amp;G$12,'FE Energie'!$G:$U,11,FALSE))),0,(VLOOKUP($B23&amp;"; "&amp;$P$11&amp;", "&amp;G$12,'FE Energie'!$G:$U,12,FALSE)+VLOOKUP($B23&amp;"; "&amp;$P$11&amp;", "&amp;G$12,'FE Energie'!$G:$U,11,FALSE)))</f>
        <v>0</v>
      </c>
      <c r="AH23" s="620">
        <f>$F23*IF(ISNA((VLOOKUP($B23&amp;"; "&amp;$G$11&amp;", "&amp;H$12,'FE Energie'!$G:$U,12,FALSE)+VLOOKUP($B23&amp;"; "&amp;$G$11&amp;", "&amp;H$12,'FE Energie'!$G:$U,11,FALSE))),0,(VLOOKUP($B23&amp;"; "&amp;$G$11&amp;", "&amp;H$12,'FE Energie'!$G:$U,12,FALSE)+VLOOKUP($B23&amp;"; "&amp;$G$11&amp;", "&amp;H$12,'FE Energie'!$G:$U,11,FALSE)))
+$I23*IF(ISNA((VLOOKUP($B23&amp;"; "&amp;$J$11&amp;", "&amp;H$12,'FE Energie'!$G:$U,12,FALSE)+VLOOKUP($B23&amp;"; "&amp;$J$11&amp;", "&amp;H$12,'FE Energie'!$G:$U,11,FALSE))),0,(VLOOKUP($B23&amp;"; "&amp;$J$11&amp;", "&amp;H$12,'FE Energie'!$G:$U,12,FALSE)+VLOOKUP($B23&amp;"; "&amp;$J$11&amp;", "&amp;H$12,'FE Energie'!$G:$U,11,FALSE)))
+$L23*IF(ISNA((VLOOKUP($B23&amp;"; "&amp;$M$11&amp;", "&amp;H$12,'FE Energie'!$G:$U,12,FALSE)+VLOOKUP($B23&amp;"; "&amp;$M$11&amp;", "&amp;H$12,'FE Energie'!$G:$U,11,FALSE))),0,(VLOOKUP($B23&amp;"; "&amp;$M$11&amp;", "&amp;H$12,'FE Energie'!$G:$U,12,FALSE)+VLOOKUP($B23&amp;"; "&amp;$M$11&amp;", "&amp;H$12,'FE Energie'!$G:$U,11,FALSE)))
+$O23*IF(ISNA((VLOOKUP($B23&amp;"; "&amp;$P$11&amp;", "&amp;H$12,'FE Energie'!$G:$U,12,FALSE)+VLOOKUP($B23&amp;"; "&amp;$P$11&amp;", "&amp;H$12,'FE Energie'!$G:$U,11,FALSE))),0,(VLOOKUP($B23&amp;"; "&amp;$P$11&amp;", "&amp;H$12,'FE Energie'!$G:$U,12,FALSE)+VLOOKUP($B23&amp;"; "&amp;$P$11&amp;", "&amp;H$12,'FE Energie'!$G:$U,11,FALSE)))</f>
        <v>0</v>
      </c>
      <c r="AI23" s="620">
        <f>$F23*IF(ISNA(VLOOKUP($B23&amp;"; "&amp;$G$11&amp;", "&amp;G$12,'FE Energie'!$G:$U,13,FALSE)),0,VLOOKUP($B23&amp;"; "&amp;$G$11&amp;", "&amp;G$12,'FE Energie'!$G:$U,13,FALSE))
+$I23*IF(ISNA(VLOOKUP($B23&amp;"; "&amp;$J$11&amp;", "&amp;G$12,'FE Energie'!$G:$U,13,FALSE)),0,VLOOKUP($B23&amp;"; "&amp;$J$11&amp;", "&amp;G$12,'FE Energie'!$G:$U,13,FALSE))
+$L23*IF(ISNA(VLOOKUP($B23&amp;"; "&amp;$M$11&amp;", "&amp;G$12,'FE Energie'!$G:$U,13,FALSE)),0,VLOOKUP($B23&amp;"; "&amp;$M$11&amp;", "&amp;G$12,'FE Energie'!$G:$U,13,FALSE))
+$O23*IF(ISNA(VLOOKUP($B23&amp;"; "&amp;$P$11&amp;", "&amp;G$12,'FE Energie'!$G:$U,13,FALSE)),0,VLOOKUP($B23&amp;"; "&amp;$P$11&amp;", "&amp;G$12,'FE Energie'!$G:$U,13,FALSE))</f>
        <v>0</v>
      </c>
      <c r="AJ23" s="620">
        <f>$F23*IF(ISNA(VLOOKUP($B23&amp;"; "&amp;$G$11&amp;", "&amp;H$12,'FE Energie'!$G:$U,13,FALSE)),0,VLOOKUP($B23&amp;"; "&amp;$G$11&amp;", "&amp;H$12,'FE Energie'!$G:$U,13,FALSE))
+$I23*IF(ISNA(VLOOKUP($B23&amp;"; "&amp;$J$11&amp;", "&amp;H$12,'FE Energie'!$G:$U,13,FALSE)),0,VLOOKUP($B23&amp;"; "&amp;$J$11&amp;", "&amp;H$12,'FE Energie'!$G:$U,13,FALSE))
+$L23*IF(ISNA(VLOOKUP($B23&amp;"; "&amp;$M$11&amp;", "&amp;H$12,'FE Energie'!$G:$U,13,FALSE)),0,VLOOKUP($B23&amp;"; "&amp;$M$11&amp;", "&amp;H$12,'FE Energie'!$G:$U,13,FALSE))
+$O23*IF(ISNA(VLOOKUP($B23&amp;"; "&amp;$P$11&amp;", "&amp;H$12,'FE Energie'!$G:$U,13,FALSE)),0,VLOOKUP($B23&amp;"; "&amp;$P$11&amp;", "&amp;H$12,'FE Energie'!$G:$U,13,FALSE))</f>
        <v>0</v>
      </c>
      <c r="AK23" s="565">
        <f>$F23*IF(ISNA(VLOOKUP($B23&amp;"; "&amp;$G$11&amp;", "&amp;G$12,'FE Energie'!$G:$U,14,FALSE)),0,VLOOKUP($B23&amp;"; "&amp;$G$11&amp;", "&amp;G$12,'FE Energie'!$G:$U,14,FALSE))
+$I23*IF(ISNA(VLOOKUP($B23&amp;"; "&amp;$J$11&amp;", "&amp;G$12,'FE Energie'!$G:$U,14,FALSE)),0,VLOOKUP($B23&amp;"; "&amp;$J$11&amp;", "&amp;G$12,'FE Energie'!$G:$U,14,FALSE))
+$L23*IF(ISNA(VLOOKUP($B23&amp;"; "&amp;$M$11&amp;", "&amp;G$12,'FE Energie'!$G:$U,14,FALSE)),0,VLOOKUP($B23&amp;"; "&amp;$M$11&amp;", "&amp;G$12,'FE Energie'!$G:$U,14,FALSE))
+$O23*IF(ISNA(VLOOKUP($B23&amp;"; "&amp;$P$11&amp;", "&amp;G$12,'FE Energie'!$G:$U,14,FALSE)),0,VLOOKUP($B23&amp;"; "&amp;$P$11&amp;", "&amp;G$12,'FE Energie'!$G:$U,14,FALSE))</f>
        <v>0</v>
      </c>
      <c r="AL23" s="565">
        <f>$F23*IF(ISNA(VLOOKUP($B23&amp;"; "&amp;$G$11&amp;", "&amp;H$12,'FE Energie'!$G:$U,14,FALSE)),0,VLOOKUP($B23&amp;"; "&amp;$G$11&amp;", "&amp;H$12,'FE Energie'!$G:$U,14,FALSE))
+$I23*IF(ISNA(VLOOKUP($B23&amp;"; "&amp;$J$11&amp;", "&amp;H$12,'FE Energie'!$G:$U,14,FALSE)),0,VLOOKUP($B23&amp;"; "&amp;$J$11&amp;", "&amp;H$12,'FE Energie'!$G:$U,14,FALSE))
+$L23*IF(ISNA(VLOOKUP($B23&amp;"; "&amp;$M$11&amp;", "&amp;H$12,'FE Energie'!$G:$U,14,FALSE)),0,VLOOKUP($B23&amp;"; "&amp;$M$11&amp;", "&amp;H$12,'FE Energie'!$G:$U,14,FALSE))
+$O23*IF(ISNA(VLOOKUP($B23&amp;"; "&amp;$P$11&amp;", "&amp;H$12,'FE Energie'!$G:$U,14,FALSE)),0,VLOOKUP($B23&amp;"; "&amp;$P$11&amp;", "&amp;H$12,'FE Energie'!$G:$U,14,FALSE))</f>
        <v>0</v>
      </c>
      <c r="AM23" s="566">
        <f t="shared" si="0"/>
        <v>0</v>
      </c>
      <c r="AN23" s="566">
        <f t="shared" si="0"/>
        <v>0</v>
      </c>
      <c r="AO23" s="564">
        <f>$F23*IF(ISNA(VLOOKUP($B23&amp;"; "&amp;$G$11&amp;", "&amp;G$12,'FE Energie'!$G:$U,15,FALSE)),0,VLOOKUP($B23&amp;"; "&amp;$G$11&amp;", "&amp;G$12,'FE Energie'!$G:$U,15,FALSE))
+$I23*IF(ISNA(VLOOKUP($B23&amp;"; "&amp;$J$11&amp;", "&amp;G$12,'FE Energie'!$G:$U,15,FALSE)),0,VLOOKUP($B23&amp;"; "&amp;$J$11&amp;", "&amp;G$12,'FE Energie'!$G:$U,15,FALSE))
+$L23*IF(ISNA(VLOOKUP($B23&amp;"; "&amp;$M$11&amp;", "&amp;G$12,'FE Energie'!$G:$U,15,FALSE)),0,VLOOKUP($B23&amp;"; "&amp;$M$11&amp;", "&amp;G$12,'FE Energie'!$G:$U,15,FALSE))
+$O23*IF(ISNA(VLOOKUP($B23&amp;"; "&amp;$P$11&amp;", "&amp;G$12,'FE Energie'!$G:$U,15,FALSE)),0,VLOOKUP($B23&amp;"; "&amp;$P$11&amp;", "&amp;G$12,'FE Energie'!$G:$U,15,FALSE))</f>
        <v>0</v>
      </c>
      <c r="AP23" s="568">
        <f>$F23*IF(ISNA(VLOOKUP($B23&amp;"; "&amp;$G$11&amp;", "&amp;H$12,'FE Energie'!$G:$U,15,FALSE)),0,VLOOKUP($B23&amp;"; "&amp;$G$11&amp;", "&amp;H$12,'FE Energie'!$G:$U,15,FALSE))
+$I23*IF(ISNA(VLOOKUP($B23&amp;"; "&amp;$J$11&amp;", "&amp;H$12,'FE Energie'!$G:$U,15,FALSE)),0,VLOOKUP($B23&amp;"; "&amp;$J$11&amp;", "&amp;H$12,'FE Energie'!$G:$U,15,FALSE))
+$L23*IF(ISNA(VLOOKUP($B23&amp;"; "&amp;$M$11&amp;", "&amp;H$12,'FE Energie'!$G:$U,15,FALSE)),0,VLOOKUP($B23&amp;"; "&amp;$M$11&amp;", "&amp;H$12,'FE Energie'!$G:$U,15,FALSE))
+$O23*IF(ISNA(VLOOKUP($B23&amp;"; "&amp;$P$11&amp;", "&amp;H$12,'FE Energie'!$G:$U,15,FALSE)),0,VLOOKUP($B23&amp;"; "&amp;$P$11&amp;", "&amp;H$12,'FE Energie'!$G:$U,15,FALSE))</f>
        <v>0</v>
      </c>
      <c r="AQ23" s="114"/>
      <c r="AR23" s="1065">
        <f>IF($X23&lt;&gt;"votre valeur :",IF(ISNA(VLOOKUP($X23,Utilitaires!$N$566:$O$571,2,FALSE)),,VLOOKUP($X23,Utilitaires!$N$566:$O$571,2,FALSE)),$Y23)</f>
        <v>0</v>
      </c>
      <c r="AS23" s="1065">
        <f>IF($X23&lt;&gt;"votre valeur :",IF(ISNA(VLOOKUP($X23,Utilitaires!$N$566:$O$571,2,FALSE)),,VLOOKUP($X23,Utilitaires!$N$566:$O$571,2,FALSE)),$Y23)</f>
        <v>0</v>
      </c>
      <c r="AT23" s="1065">
        <f>IF($X23&lt;&gt;"votre valeur :",IF(ISNA(VLOOKUP($X23,Utilitaires!$N$566:$O$571,2,FALSE)),,VLOOKUP($X23,Utilitaires!$N$566:$O$571,2,FALSE)),$Y23)</f>
        <v>0</v>
      </c>
      <c r="AU23" s="1167">
        <f>IF($X23&lt;&gt;"votre valeur :",IF(ISNA(VLOOKUP($X23,Utilitaires!$N$566:$O$571,2,FALSE)),,VLOOKUP($X23,Utilitaires!$N$566:$O$571,2,FALSE)),$Y23)</f>
        <v>0</v>
      </c>
      <c r="AV23" s="1068">
        <f>IF(ISNA(SQRT(SUMSQ(VLOOKUP($B23&amp;"; "&amp;$G$11&amp;", "&amp;$G$12,'FE Energie'!$G:$U,7,FALSE),$AR23))),0,SQRT(SUMSQ(VLOOKUP($B23&amp;"; "&amp;$G$11&amp;", "&amp;$G$12,'FE Energie'!$G:$U,7,FALSE),$AR23)))</f>
        <v>0.2</v>
      </c>
      <c r="AW23" s="1068">
        <f>IF(ISNA(SQRT(SUMSQ(VLOOKUP($B23&amp;"; "&amp;$J$11&amp;", "&amp;$J$12,'FE Energie'!$G:$U,7,FALSE),$AS23))),0,SQRT(SUMSQ(VLOOKUP($B23&amp;"; "&amp;$J$11&amp;", "&amp;$J$12,'FE Energie'!$G:$U,7,FALSE),$AS23)))</f>
        <v>0.2</v>
      </c>
      <c r="AX23" s="1068">
        <f>IF(ISNA(SQRT(SUMSQ(VLOOKUP($B23&amp;"; "&amp;$M$11&amp;", "&amp;$M$12,'FE Energie'!$G:$U,7,FALSE),$AT23))),0,SQRT(SUMSQ(VLOOKUP($B23&amp;"; "&amp;$M$11&amp;", "&amp;$M$12,'FE Energie'!$G:$U,7,FALSE),$AT23)))</f>
        <v>0.2</v>
      </c>
      <c r="AY23" s="1068">
        <f>IF(ISNA(SQRT(SUMSQ(VLOOKUP($B23&amp;"; "&amp;$P$11&amp;", "&amp;$P$12,'FE Energie'!$G:$U,7,FALSE),$AU23))),0,SQRT(SUMSQ(VLOOKUP($B23&amp;"; "&amp;$P$11&amp;", "&amp;$P$12,'FE Energie'!$G:$U,7,FALSE),$AU23)))</f>
        <v>0</v>
      </c>
      <c r="AZ23" s="1069">
        <f>IF(ISNA(SQRT(SUMSQ(VLOOKUP($B23&amp;"; "&amp;$G$11&amp;", "&amp;$H$12,'FE Energie'!$G:$U,7,FALSE),$AR23))),0,SQRT(SUMSQ(VLOOKUP($B23&amp;"; "&amp;$G$11&amp;", "&amp;$H$12,'FE Energie'!$G:$U,7,FALSE),$AR23)))</f>
        <v>0.2</v>
      </c>
      <c r="BA23" s="1070">
        <f>IF(ISNA(SQRT(SUMSQ(VLOOKUP($B23&amp;"; "&amp;$J$11&amp;", "&amp;$K$12,'FE Energie'!$G:$U,7,FALSE),$AS23))),0,SQRT(SUMSQ(VLOOKUP($B23&amp;"; "&amp;$J$11&amp;", "&amp;$K$12,'FE Energie'!$G:$U,7,FALSE),$AS23)))</f>
        <v>0.2</v>
      </c>
      <c r="BB23" s="1070">
        <f>IF(ISNA(SQRT(SUMSQ(VLOOKUP($B23&amp;"; "&amp;$M$11&amp;", "&amp;$N$12,'FE Energie'!$G:$U,7,FALSE),$AT23))),0,SQRT(SUMSQ(VLOOKUP($B23&amp;"; "&amp;$M$11&amp;", "&amp;$N$12,'FE Energie'!$G:$U,7,FALSE),$AT23)))</f>
        <v>0.2</v>
      </c>
      <c r="BC23" s="1071">
        <f>IF(ISNA(SQRT(SUMSQ(VLOOKUP($B23&amp;"; "&amp;$P$11&amp;", "&amp;$Q$12,'FE Energie'!$G:$U,7,FALSE),$AU23))),0,SQRT(SUMSQ(VLOOKUP($B23&amp;"; "&amp;$P$11&amp;", "&amp;$Q$12,'FE Energie'!$G:$U,7,FALSE),$AU23)))</f>
        <v>0</v>
      </c>
    </row>
    <row r="24" spans="1:55" s="116" customFormat="1" ht="12.75" hidden="1" customHeight="1" outlineLevel="1">
      <c r="A24" s="114"/>
      <c r="B24" s="536" t="s">
        <v>1636</v>
      </c>
      <c r="C24" s="144"/>
      <c r="D24" s="315"/>
      <c r="E24" s="822"/>
      <c r="F24" s="1583"/>
      <c r="G24" s="335"/>
      <c r="H24" s="335"/>
      <c r="I24" s="1583"/>
      <c r="J24" s="223"/>
      <c r="K24" s="223"/>
      <c r="L24" s="1583"/>
      <c r="M24" s="217"/>
      <c r="N24" s="217"/>
      <c r="O24" s="1583"/>
      <c r="P24" s="223"/>
      <c r="Q24" s="223"/>
      <c r="R24" s="566"/>
      <c r="S24" s="567"/>
      <c r="T24" s="114"/>
      <c r="U24" s="114"/>
      <c r="V24" s="114"/>
      <c r="W24" s="1092"/>
      <c r="X24" s="820"/>
      <c r="Y24" s="820"/>
      <c r="Z24" s="1801"/>
      <c r="AA24" s="1801"/>
      <c r="AB24" s="1801"/>
      <c r="AC24" s="152"/>
      <c r="AE24" s="564"/>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hidden="1" customHeight="1" outlineLevel="1">
      <c r="A25" s="114"/>
      <c r="B25" s="143" t="s">
        <v>1638</v>
      </c>
      <c r="C25" s="144"/>
      <c r="D25" s="315">
        <f>SUM(R25,S25)</f>
        <v>0</v>
      </c>
      <c r="E25" s="344"/>
      <c r="F25" s="1584"/>
      <c r="G25" s="335">
        <f>VLOOKUP($B25&amp;"; "&amp;$G$11&amp;", "&amp;G$12,'FE Energie'!$G:$U,9,FALSE)</f>
        <v>0.247</v>
      </c>
      <c r="H25" s="335">
        <f>VLOOKUP($B25&amp;"; "&amp;$G$11&amp;", "&amp;H$12,'FE Energie'!$G:$U,9,FALSE)</f>
        <v>3.03</v>
      </c>
      <c r="I25" s="1584"/>
      <c r="J25" s="223">
        <f>VLOOKUP($B25&amp;"; "&amp;$J$11&amp;", "&amp;J$12,'FE Energie'!$G:$U,9,FALSE)</f>
        <v>3.1899999999999998E-2</v>
      </c>
      <c r="K25" s="223">
        <f>VLOOKUP($B25&amp;"; "&amp;$J$11&amp;", "&amp;K$12,'FE Energie'!$G:$U,9,FALSE)</f>
        <v>0.38900000000000001</v>
      </c>
      <c r="L25" s="1584"/>
      <c r="M25" s="217">
        <f>VLOOKUP($B25&amp;"; "&amp;$M$11&amp;", "&amp;M$12,'FE Energie'!$G:$U,9,FALSE)</f>
        <v>372</v>
      </c>
      <c r="N25" s="217">
        <f>VLOOKUP($B25&amp;"; "&amp;$M$11&amp;", "&amp;N$12,'FE Energie'!$G:$U,9,FALSE)</f>
        <v>4540</v>
      </c>
      <c r="O25" s="1584"/>
      <c r="P25" s="223" t="e">
        <f>VLOOKUP($B25&amp;"; "&amp;$P$11&amp;", "&amp;P$12,'FE Energie'!$G:$U,9,FALSE)</f>
        <v>#N/A</v>
      </c>
      <c r="Q25" s="223" t="e">
        <f>VLOOKUP($B25&amp;"; "&amp;$P$11&amp;", "&amp;Q$12,'FE Energie'!$G:$U,9,FALSE)</f>
        <v>#N/A</v>
      </c>
      <c r="R25" s="566">
        <f>IF(ISNA(F25*G25),0,F25*G25)+IF(ISNA(I25*J25),0,I25*J25)+IF(ISNA(L25*M25),0,L25*M25)+IF(ISNA(O25*P25),0,O25*P25)</f>
        <v>0</v>
      </c>
      <c r="S25" s="567">
        <f>IF(ISNA(F25*H25),0,F25*H25)+IF(ISNA(I25*K25),0,I25*K25)+IF(ISNA(L25*N25),0,L25*N25)+IF(ISNA(O25*Q25),0,O25*Q25)</f>
        <v>0</v>
      </c>
      <c r="T25" s="114"/>
      <c r="U25" s="114"/>
      <c r="V25" s="114"/>
      <c r="W25" s="1092">
        <f>IF(AC25=0,AC25,AC25/(R25+S25))</f>
        <v>0</v>
      </c>
      <c r="X25" s="343"/>
      <c r="Y25" s="820"/>
      <c r="Z25" s="1801">
        <f>SQRT(SUMSQ(IF(ISNA($F25*G25*AV25),0,$F25*G25*AV25),IF(ISNA($I25*J25*AW25),0,$I25*J25*AW25),IF(ISNA($L25*M25*AX25),0,$L25*M25*AX25),IF(ISNA($O25*P25*AY25),0,$O25*P25*AY25)))</f>
        <v>0</v>
      </c>
      <c r="AA25" s="1801">
        <f>SQRT(SUMSQ(IF(ISNA($F25*H25*AZ25),0,$F25*H25*AZ25),IF(ISNA($I25*K25*BA25),0,$I25*K25*BA25),IF(ISNA($L25*N25*BB25),0,$L25*N25*BB25),IF(ISNA($O25*Q25*BC25),0,$O25*Q25*BC25)))</f>
        <v>0</v>
      </c>
      <c r="AB25" s="1801"/>
      <c r="AC25" s="152">
        <f>SQRT(SUMSQ(Z25,AA25))</f>
        <v>0</v>
      </c>
      <c r="AE25" s="564">
        <f>$F25*IF(ISNA(VLOOKUP($B25&amp;"; "&amp;$G$11&amp;", "&amp;G$12,'FE Energie'!$G:$U,10,FALSE)),0,VLOOKUP($B25&amp;"; "&amp;$G$11&amp;", "&amp;G$12,'FE Energie'!$G:$U,10,FALSE))
+$I25*IF(ISNA(VLOOKUP($B25&amp;"; "&amp;$J$11&amp;", "&amp;G$12,'FE Energie'!$G:$U,10,FALSE)),0,VLOOKUP($B25&amp;"; "&amp;$J$11&amp;", "&amp;G$12,'FE Energie'!$G:$U,10,FALSE))
+$L25*IF(ISNA(VLOOKUP($B25&amp;"; "&amp;$M$11&amp;", "&amp;G$12,'FE Energie'!$G:$U,10,FALSE)),0,VLOOKUP($B25&amp;"; "&amp;$M$11&amp;", "&amp;G$12,'FE Energie'!$G:$U,10,FALSE))
+$O25*IF(ISNA(VLOOKUP($B25&amp;"; "&amp;$P$11&amp;", "&amp;G$12,'FE Energie'!$G:$U,10,FALSE)),0,VLOOKUP($B25&amp;"; "&amp;$P$11&amp;", "&amp;G$12,'FE Energie'!$G:$U,10,FALSE))</f>
        <v>0</v>
      </c>
      <c r="AF25" s="565">
        <f>$F25*IF(ISNA(VLOOKUP($B25&amp;"; "&amp;$G$11&amp;", "&amp;H$12,'FE Energie'!$G:$U,10,FALSE)),0,VLOOKUP($B25&amp;"; "&amp;$G$11&amp;", "&amp;H$12,'FE Energie'!$G:$U,10,FALSE))
+$I25*IF(ISNA(VLOOKUP($B25&amp;"; "&amp;$J$11&amp;", "&amp;H$12,'FE Energie'!$G:$U,10,FALSE)),0,VLOOKUP($B25&amp;"; "&amp;$J$11&amp;", "&amp;H$12,'FE Energie'!$G:$U,10,FALSE))
+$L25*IF(ISNA(VLOOKUP($B25&amp;"; "&amp;$M$11&amp;", "&amp;H$12,'FE Energie'!$G:$U,10,FALSE)),0,VLOOKUP($B25&amp;"; "&amp;$M$11&amp;", "&amp;H$12,'FE Energie'!$G:$U,10,FALSE))
+$O25*IF(ISNA(VLOOKUP($B25&amp;"; "&amp;$P$11&amp;", "&amp;H$12,'FE Energie'!$G:$U,10,FALSE)),0,VLOOKUP($B25&amp;"; "&amp;$P$11&amp;", "&amp;H$12,'FE Energie'!$G:$U,10,FALSE))</f>
        <v>0</v>
      </c>
      <c r="AG25" s="620">
        <f>$F25*IF(ISNA((VLOOKUP($B25&amp;"; "&amp;$G$11&amp;", "&amp;G$12,'FE Energie'!$G:$U,12,FALSE)+VLOOKUP($B25&amp;"; "&amp;$G$11&amp;", "&amp;G$12,'FE Energie'!$G:$U,11,FALSE))),0,(VLOOKUP($B25&amp;"; "&amp;$G$11&amp;", "&amp;G$12,'FE Energie'!$G:$U,12,FALSE)+VLOOKUP($B25&amp;"; "&amp;$G$11&amp;", "&amp;G$12,'FE Energie'!$G:$U,11,FALSE)))
+$I25*IF(ISNA((VLOOKUP($B25&amp;"; "&amp;$J$11&amp;", "&amp;G$12,'FE Energie'!$G:$U,12,FALSE)+VLOOKUP($B25&amp;"; "&amp;$J$11&amp;", "&amp;G$12,'FE Energie'!$G:$U,11,FALSE))),0,(VLOOKUP($B25&amp;"; "&amp;$J$11&amp;", "&amp;G$12,'FE Energie'!$G:$U,12,FALSE)+VLOOKUP($B25&amp;"; "&amp;$J$11&amp;", "&amp;G$12,'FE Energie'!$G:$U,11,FALSE)))
+$L25*IF(ISNA((VLOOKUP($B25&amp;"; "&amp;$M$11&amp;", "&amp;G$12,'FE Energie'!$G:$U,12,FALSE)+VLOOKUP($B25&amp;"; "&amp;$M$11&amp;", "&amp;G$12,'FE Energie'!$G:$U,11,FALSE))),0,(VLOOKUP($B25&amp;"; "&amp;$M$11&amp;", "&amp;G$12,'FE Energie'!$G:$U,12,FALSE)+VLOOKUP($B25&amp;"; "&amp;$M$11&amp;", "&amp;G$12,'FE Energie'!$G:$U,11,FALSE)))
+$O25*IF(ISNA((VLOOKUP($B25&amp;"; "&amp;$P$11&amp;", "&amp;G$12,'FE Energie'!$G:$U,12,FALSE)+VLOOKUP($B25&amp;"; "&amp;$P$11&amp;", "&amp;G$12,'FE Energie'!$G:$U,11,FALSE))),0,(VLOOKUP($B25&amp;"; "&amp;$P$11&amp;", "&amp;G$12,'FE Energie'!$G:$U,12,FALSE)+VLOOKUP($B25&amp;"; "&amp;$P$11&amp;", "&amp;G$12,'FE Energie'!$G:$U,11,FALSE)))</f>
        <v>0</v>
      </c>
      <c r="AH25" s="620">
        <f>$F25*IF(ISNA((VLOOKUP($B25&amp;"; "&amp;$G$11&amp;", "&amp;H$12,'FE Energie'!$G:$U,12,FALSE)+VLOOKUP($B25&amp;"; "&amp;$G$11&amp;", "&amp;H$12,'FE Energie'!$G:$U,11,FALSE))),0,(VLOOKUP($B25&amp;"; "&amp;$G$11&amp;", "&amp;H$12,'FE Energie'!$G:$U,12,FALSE)+VLOOKUP($B25&amp;"; "&amp;$G$11&amp;", "&amp;H$12,'FE Energie'!$G:$U,11,FALSE)))
+$I25*IF(ISNA((VLOOKUP($B25&amp;"; "&amp;$J$11&amp;", "&amp;H$12,'FE Energie'!$G:$U,12,FALSE)+VLOOKUP($B25&amp;"; "&amp;$J$11&amp;", "&amp;H$12,'FE Energie'!$G:$U,11,FALSE))),0,(VLOOKUP($B25&amp;"; "&amp;$J$11&amp;", "&amp;H$12,'FE Energie'!$G:$U,12,FALSE)+VLOOKUP($B25&amp;"; "&amp;$J$11&amp;", "&amp;H$12,'FE Energie'!$G:$U,11,FALSE)))
+$L25*IF(ISNA((VLOOKUP($B25&amp;"; "&amp;$M$11&amp;", "&amp;H$12,'FE Energie'!$G:$U,12,FALSE)+VLOOKUP($B25&amp;"; "&amp;$M$11&amp;", "&amp;H$12,'FE Energie'!$G:$U,11,FALSE))),0,(VLOOKUP($B25&amp;"; "&amp;$M$11&amp;", "&amp;H$12,'FE Energie'!$G:$U,12,FALSE)+VLOOKUP($B25&amp;"; "&amp;$M$11&amp;", "&amp;H$12,'FE Energie'!$G:$U,11,FALSE)))
+$O25*IF(ISNA((VLOOKUP($B25&amp;"; "&amp;$P$11&amp;", "&amp;H$12,'FE Energie'!$G:$U,12,FALSE)+VLOOKUP($B25&amp;"; "&amp;$P$11&amp;", "&amp;H$12,'FE Energie'!$G:$U,11,FALSE))),0,(VLOOKUP($B25&amp;"; "&amp;$P$11&amp;", "&amp;H$12,'FE Energie'!$G:$U,12,FALSE)+VLOOKUP($B25&amp;"; "&amp;$P$11&amp;", "&amp;H$12,'FE Energie'!$G:$U,11,FALSE)))</f>
        <v>0</v>
      </c>
      <c r="AI25" s="620">
        <f>$F25*IF(ISNA(VLOOKUP($B25&amp;"; "&amp;$G$11&amp;", "&amp;G$12,'FE Energie'!$G:$U,13,FALSE)),0,VLOOKUP($B25&amp;"; "&amp;$G$11&amp;", "&amp;G$12,'FE Energie'!$G:$U,13,FALSE))
+$I25*IF(ISNA(VLOOKUP($B25&amp;"; "&amp;$J$11&amp;", "&amp;G$12,'FE Energie'!$G:$U,13,FALSE)),0,VLOOKUP($B25&amp;"; "&amp;$J$11&amp;", "&amp;G$12,'FE Energie'!$G:$U,13,FALSE))
+$L25*IF(ISNA(VLOOKUP($B25&amp;"; "&amp;$M$11&amp;", "&amp;G$12,'FE Energie'!$G:$U,13,FALSE)),0,VLOOKUP($B25&amp;"; "&amp;$M$11&amp;", "&amp;G$12,'FE Energie'!$G:$U,13,FALSE))
+$O25*IF(ISNA(VLOOKUP($B25&amp;"; "&amp;$P$11&amp;", "&amp;G$12,'FE Energie'!$G:$U,13,FALSE)),0,VLOOKUP($B25&amp;"; "&amp;$P$11&amp;", "&amp;G$12,'FE Energie'!$G:$U,13,FALSE))</f>
        <v>0</v>
      </c>
      <c r="AJ25" s="620">
        <f>$F25*IF(ISNA(VLOOKUP($B25&amp;"; "&amp;$G$11&amp;", "&amp;H$12,'FE Energie'!$G:$U,13,FALSE)),0,VLOOKUP($B25&amp;"; "&amp;$G$11&amp;", "&amp;H$12,'FE Energie'!$G:$U,13,FALSE))
+$I25*IF(ISNA(VLOOKUP($B25&amp;"; "&amp;$J$11&amp;", "&amp;H$12,'FE Energie'!$G:$U,13,FALSE)),0,VLOOKUP($B25&amp;"; "&amp;$J$11&amp;", "&amp;H$12,'FE Energie'!$G:$U,13,FALSE))
+$L25*IF(ISNA(VLOOKUP($B25&amp;"; "&amp;$M$11&amp;", "&amp;H$12,'FE Energie'!$G:$U,13,FALSE)),0,VLOOKUP($B25&amp;"; "&amp;$M$11&amp;", "&amp;H$12,'FE Energie'!$G:$U,13,FALSE))
+$O25*IF(ISNA(VLOOKUP($B25&amp;"; "&amp;$P$11&amp;", "&amp;H$12,'FE Energie'!$G:$U,13,FALSE)),0,VLOOKUP($B25&amp;"; "&amp;$P$11&amp;", "&amp;H$12,'FE Energie'!$G:$U,13,FALSE))</f>
        <v>0</v>
      </c>
      <c r="AK25" s="565">
        <f>$F25*IF(ISNA(VLOOKUP($B25&amp;"; "&amp;$G$11&amp;", "&amp;G$12,'FE Energie'!$G:$U,14,FALSE)),0,VLOOKUP($B25&amp;"; "&amp;$G$11&amp;", "&amp;G$12,'FE Energie'!$G:$U,14,FALSE))
+$I25*IF(ISNA(VLOOKUP($B25&amp;"; "&amp;$J$11&amp;", "&amp;G$12,'FE Energie'!$G:$U,14,FALSE)),0,VLOOKUP($B25&amp;"; "&amp;$J$11&amp;", "&amp;G$12,'FE Energie'!$G:$U,14,FALSE))
+$L25*IF(ISNA(VLOOKUP($B25&amp;"; "&amp;$M$11&amp;", "&amp;G$12,'FE Energie'!$G:$U,14,FALSE)),0,VLOOKUP($B25&amp;"; "&amp;$M$11&amp;", "&amp;G$12,'FE Energie'!$G:$U,14,FALSE))
+$O25*IF(ISNA(VLOOKUP($B25&amp;"; "&amp;$P$11&amp;", "&amp;G$12,'FE Energie'!$G:$U,14,FALSE)),0,VLOOKUP($B25&amp;"; "&amp;$P$11&amp;", "&amp;G$12,'FE Energie'!$G:$U,14,FALSE))</f>
        <v>0</v>
      </c>
      <c r="AL25" s="565">
        <f>$F25*IF(ISNA(VLOOKUP($B25&amp;"; "&amp;$G$11&amp;", "&amp;H$12,'FE Energie'!$G:$U,14,FALSE)),0,VLOOKUP($B25&amp;"; "&amp;$G$11&amp;", "&amp;H$12,'FE Energie'!$G:$U,14,FALSE))
+$I25*IF(ISNA(VLOOKUP($B25&amp;"; "&amp;$J$11&amp;", "&amp;H$12,'FE Energie'!$G:$U,14,FALSE)),0,VLOOKUP($B25&amp;"; "&amp;$J$11&amp;", "&amp;H$12,'FE Energie'!$G:$U,14,FALSE))
+$L25*IF(ISNA(VLOOKUP($B25&amp;"; "&amp;$M$11&amp;", "&amp;H$12,'FE Energie'!$G:$U,14,FALSE)),0,VLOOKUP($B25&amp;"; "&amp;$M$11&amp;", "&amp;H$12,'FE Energie'!$G:$U,14,FALSE))
+$O25*IF(ISNA(VLOOKUP($B25&amp;"; "&amp;$P$11&amp;", "&amp;H$12,'FE Energie'!$G:$U,14,FALSE)),0,VLOOKUP($B25&amp;"; "&amp;$P$11&amp;", "&amp;H$12,'FE Energie'!$G:$U,14,FALSE))</f>
        <v>0</v>
      </c>
      <c r="AM25" s="566">
        <f t="shared" si="0"/>
        <v>0</v>
      </c>
      <c r="AN25" s="566">
        <f t="shared" si="0"/>
        <v>0</v>
      </c>
      <c r="AO25" s="564">
        <f>$F25*IF(ISNA(VLOOKUP($B25&amp;"; "&amp;$G$11&amp;", "&amp;G$12,'FE Energie'!$G:$U,15,FALSE)),0,VLOOKUP($B25&amp;"; "&amp;$G$11&amp;", "&amp;G$12,'FE Energie'!$G:$U,15,FALSE))
+$I25*IF(ISNA(VLOOKUP($B25&amp;"; "&amp;$J$11&amp;", "&amp;G$12,'FE Energie'!$G:$U,15,FALSE)),0,VLOOKUP($B25&amp;"; "&amp;$J$11&amp;", "&amp;G$12,'FE Energie'!$G:$U,15,FALSE))
+$L25*IF(ISNA(VLOOKUP($B25&amp;"; "&amp;$M$11&amp;", "&amp;G$12,'FE Energie'!$G:$U,15,FALSE)),0,VLOOKUP($B25&amp;"; "&amp;$M$11&amp;", "&amp;G$12,'FE Energie'!$G:$U,15,FALSE))
+$O25*IF(ISNA(VLOOKUP($B25&amp;"; "&amp;$P$11&amp;", "&amp;G$12,'FE Energie'!$G:$U,15,FALSE)),0,VLOOKUP($B25&amp;"; "&amp;$P$11&amp;", "&amp;G$12,'FE Energie'!$G:$U,15,FALSE))</f>
        <v>0</v>
      </c>
      <c r="AP25" s="568">
        <f>$F25*IF(ISNA(VLOOKUP($B25&amp;"; "&amp;$G$11&amp;", "&amp;H$12,'FE Energie'!$G:$U,15,FALSE)),0,VLOOKUP($B25&amp;"; "&amp;$G$11&amp;", "&amp;H$12,'FE Energie'!$G:$U,15,FALSE))
+$I25*IF(ISNA(VLOOKUP($B25&amp;"; "&amp;$J$11&amp;", "&amp;H$12,'FE Energie'!$G:$U,15,FALSE)),0,VLOOKUP($B25&amp;"; "&amp;$J$11&amp;", "&amp;H$12,'FE Energie'!$G:$U,15,FALSE))
+$L25*IF(ISNA(VLOOKUP($B25&amp;"; "&amp;$M$11&amp;", "&amp;H$12,'FE Energie'!$G:$U,15,FALSE)),0,VLOOKUP($B25&amp;"; "&amp;$M$11&amp;", "&amp;H$12,'FE Energie'!$G:$U,15,FALSE))
+$O25*IF(ISNA(VLOOKUP($B25&amp;"; "&amp;$P$11&amp;", "&amp;H$12,'FE Energie'!$G:$U,15,FALSE)),0,VLOOKUP($B25&amp;"; "&amp;$P$11&amp;", "&amp;H$12,'FE Energie'!$G:$U,15,FALSE))</f>
        <v>0</v>
      </c>
      <c r="AQ25" s="114"/>
      <c r="AR25" s="1065">
        <f>IF($X25&lt;&gt;"votre valeur :",IF(ISNA(VLOOKUP($X25,Utilitaires!$N$566:$O$571,2,FALSE)),,VLOOKUP($X25,Utilitaires!$N$566:$O$571,2,FALSE)),$Y25)</f>
        <v>0</v>
      </c>
      <c r="AS25" s="1065">
        <f>IF($X25&lt;&gt;"votre valeur :",IF(ISNA(VLOOKUP($X25,Utilitaires!$N$566:$O$571,2,FALSE)),,VLOOKUP($X25,Utilitaires!$N$566:$O$571,2,FALSE)),$Y25)</f>
        <v>0</v>
      </c>
      <c r="AT25" s="1065">
        <f>IF($X25&lt;&gt;"votre valeur :",IF(ISNA(VLOOKUP($X25,Utilitaires!$N$566:$O$571,2,FALSE)),,VLOOKUP($X25,Utilitaires!$N$566:$O$571,2,FALSE)),$Y25)</f>
        <v>0</v>
      </c>
      <c r="AU25" s="1167">
        <f>IF($X25&lt;&gt;"votre valeur :",IF(ISNA(VLOOKUP($X25,Utilitaires!$N$566:$O$571,2,FALSE)),,VLOOKUP($X25,Utilitaires!$N$566:$O$571,2,FALSE)),$Y25)</f>
        <v>0</v>
      </c>
      <c r="AV25" s="1068">
        <f>IF(ISNA(SQRT(SUMSQ(VLOOKUP($B25&amp;"; "&amp;$G$11&amp;", "&amp;$G$12,'FE Energie'!$G:$U,7,FALSE),$AR25))),0,SQRT(SUMSQ(VLOOKUP($B25&amp;"; "&amp;$G$11&amp;", "&amp;$G$12,'FE Energie'!$G:$U,7,FALSE),$AR25)))</f>
        <v>0.2</v>
      </c>
      <c r="AW25" s="1068">
        <f>IF(ISNA(SQRT(SUMSQ(VLOOKUP($B25&amp;"; "&amp;$J$11&amp;", "&amp;$J$12,'FE Energie'!$G:$U,7,FALSE),$AS25))),0,SQRT(SUMSQ(VLOOKUP($B25&amp;"; "&amp;$J$11&amp;", "&amp;$J$12,'FE Energie'!$G:$U,7,FALSE),$AS25)))</f>
        <v>0.2</v>
      </c>
      <c r="AX25" s="1068">
        <f>IF(ISNA(SQRT(SUMSQ(VLOOKUP($B25&amp;"; "&amp;$M$11&amp;", "&amp;$M$12,'FE Energie'!$G:$U,7,FALSE),$AT25))),0,SQRT(SUMSQ(VLOOKUP($B25&amp;"; "&amp;$M$11&amp;", "&amp;$M$12,'FE Energie'!$G:$U,7,FALSE),$AT25)))</f>
        <v>0.2</v>
      </c>
      <c r="AY25" s="1068">
        <f>IF(ISNA(SQRT(SUMSQ(VLOOKUP($B25&amp;"; "&amp;$P$11&amp;", "&amp;$P$12,'FE Energie'!$G:$U,7,FALSE),$AU25))),0,SQRT(SUMSQ(VLOOKUP($B25&amp;"; "&amp;$P$11&amp;", "&amp;$P$12,'FE Energie'!$G:$U,7,FALSE),$AU25)))</f>
        <v>0</v>
      </c>
      <c r="AZ25" s="1069">
        <f>IF(ISNA(SQRT(SUMSQ(VLOOKUP($B25&amp;"; "&amp;$G$11&amp;", "&amp;$H$12,'FE Energie'!$G:$U,7,FALSE),$AR25))),0,SQRT(SUMSQ(VLOOKUP($B25&amp;"; "&amp;$G$11&amp;", "&amp;$H$12,'FE Energie'!$G:$U,7,FALSE),$AR25)))</f>
        <v>0.2</v>
      </c>
      <c r="BA25" s="1070">
        <f>IF(ISNA(SQRT(SUMSQ(VLOOKUP($B25&amp;"; "&amp;$J$11&amp;", "&amp;$K$12,'FE Energie'!$G:$U,7,FALSE),$AS25))),0,SQRT(SUMSQ(VLOOKUP($B25&amp;"; "&amp;$J$11&amp;", "&amp;$K$12,'FE Energie'!$G:$U,7,FALSE),$AS25)))</f>
        <v>0.2</v>
      </c>
      <c r="BB25" s="1070">
        <f>IF(ISNA(SQRT(SUMSQ(VLOOKUP($B25&amp;"; "&amp;$M$11&amp;", "&amp;$N$12,'FE Energie'!$G:$U,7,FALSE),$AT25))),0,SQRT(SUMSQ(VLOOKUP($B25&amp;"; "&amp;$M$11&amp;", "&amp;$N$12,'FE Energie'!$G:$U,7,FALSE),$AT25)))</f>
        <v>0.2</v>
      </c>
      <c r="BC25" s="1071">
        <f>IF(ISNA(SQRT(SUMSQ(VLOOKUP($B25&amp;"; "&amp;$P$11&amp;", "&amp;$Q$12,'FE Energie'!$G:$U,7,FALSE),$AU25))),0,SQRT(SUMSQ(VLOOKUP($B25&amp;"; "&amp;$P$11&amp;", "&amp;$Q$12,'FE Energie'!$G:$U,7,FALSE),$AU25)))</f>
        <v>0</v>
      </c>
    </row>
    <row r="26" spans="1:55" s="116" customFormat="1" ht="12.75" hidden="1" customHeight="1" outlineLevel="1">
      <c r="A26" s="114"/>
      <c r="B26" s="143" t="s">
        <v>1639</v>
      </c>
      <c r="C26" s="144"/>
      <c r="D26" s="315">
        <f>SUM(R26,S26)</f>
        <v>0</v>
      </c>
      <c r="E26" s="345"/>
      <c r="F26" s="1548"/>
      <c r="G26" s="335" t="e">
        <f>VLOOKUP($B26&amp;"; "&amp;$G$11&amp;", "&amp;G$12,'FE Energie'!$G:$U,9,FALSE)</f>
        <v>#N/A</v>
      </c>
      <c r="H26" s="335" t="e">
        <f>VLOOKUP($B26&amp;"; "&amp;$G$11&amp;", "&amp;H$12,'FE Energie'!$G:$U,9,FALSE)</f>
        <v>#N/A</v>
      </c>
      <c r="I26" s="1548"/>
      <c r="J26" s="223" t="e">
        <f>VLOOKUP($B26&amp;"; "&amp;$J$11&amp;", "&amp;J$12,'FE Energie'!$G:$U,9,FALSE)</f>
        <v>#N/A</v>
      </c>
      <c r="K26" s="223" t="e">
        <f>VLOOKUP($B26&amp;"; "&amp;$J$11&amp;", "&amp;K$12,'FE Energie'!$G:$U,9,FALSE)</f>
        <v>#N/A</v>
      </c>
      <c r="L26" s="1548"/>
      <c r="M26" s="217" t="e">
        <f>VLOOKUP($B26&amp;"; "&amp;$M$11&amp;", "&amp;M$12,'FE Energie'!$G:$U,9,FALSE)</f>
        <v>#N/A</v>
      </c>
      <c r="N26" s="217" t="e">
        <f>VLOOKUP($B26&amp;"; "&amp;$M$11&amp;", "&amp;N$12,'FE Energie'!$G:$U,9,FALSE)</f>
        <v>#N/A</v>
      </c>
      <c r="O26" s="1548"/>
      <c r="P26" s="223" t="e">
        <f>VLOOKUP($B26&amp;"; "&amp;$P$11&amp;", "&amp;P$12,'FE Energie'!$G:$U,9,FALSE)</f>
        <v>#N/A</v>
      </c>
      <c r="Q26" s="223" t="e">
        <f>VLOOKUP($B26&amp;"; "&amp;$P$11&amp;", "&amp;Q$12,'FE Energie'!$G:$U,9,FALSE)</f>
        <v>#N/A</v>
      </c>
      <c r="R26" s="566">
        <f>IF(ISNA(F26*G26),0,F26*G26)+IF(ISNA(I26*J26),0,I26*J26)+IF(ISNA(L26*M26),0,L26*M26)+IF(ISNA(O26*P26),0,O26*P26)</f>
        <v>0</v>
      </c>
      <c r="S26" s="567">
        <f>IF(ISNA(F26*H26),0,F26*H26)+IF(ISNA(I26*K26),0,I26*K26)+IF(ISNA(L26*N26),0,L26*N26)+IF(ISNA(O26*Q26),0,O26*Q26)</f>
        <v>0</v>
      </c>
      <c r="T26" s="114"/>
      <c r="U26" s="114"/>
      <c r="V26" s="114"/>
      <c r="W26" s="1092">
        <f>IF(AC26=0,AC26,AC26/(R26+S26))</f>
        <v>0</v>
      </c>
      <c r="X26" s="345"/>
      <c r="Y26" s="820"/>
      <c r="Z26" s="1801">
        <f>SQRT(SUMSQ(IF(ISNA($F26*G26*AV26),0,$F26*G26*AV26),IF(ISNA($I26*J26*AW26),0,$I26*J26*AW26),IF(ISNA($L26*M26*AX26),0,$L26*M26*AX26),IF(ISNA($O26*P26*AY26),0,$O26*P26*AY26)))</f>
        <v>0</v>
      </c>
      <c r="AA26" s="1801">
        <f>SQRT(SUMSQ(IF(ISNA($F26*H26*AZ26),0,$F26*H26*AZ26),IF(ISNA($I26*K26*BA26),0,$I26*K26*BA26),IF(ISNA($L26*N26*BB26),0,$L26*N26*BB26),IF(ISNA($O26*Q26*BC26),0,$O26*Q26*BC26)))</f>
        <v>0</v>
      </c>
      <c r="AB26" s="1801"/>
      <c r="AC26" s="152">
        <f>SQRT(SUMSQ(Z26,AA26))</f>
        <v>0</v>
      </c>
      <c r="AE26" s="564">
        <f>$F26*IF(ISNA(VLOOKUP($B26&amp;"; "&amp;$G$11&amp;", "&amp;G$12,'FE Energie'!$G:$U,10,FALSE)),0,VLOOKUP($B26&amp;"; "&amp;$G$11&amp;", "&amp;G$12,'FE Energie'!$G:$U,10,FALSE))
+$I26*IF(ISNA(VLOOKUP($B26&amp;"; "&amp;$J$11&amp;", "&amp;G$12,'FE Energie'!$G:$U,10,FALSE)),0,VLOOKUP($B26&amp;"; "&amp;$J$11&amp;", "&amp;G$12,'FE Energie'!$G:$U,10,FALSE))
+$L26*IF(ISNA(VLOOKUP($B26&amp;"; "&amp;$M$11&amp;", "&amp;G$12,'FE Energie'!$G:$U,10,FALSE)),0,VLOOKUP($B26&amp;"; "&amp;$M$11&amp;", "&amp;G$12,'FE Energie'!$G:$U,10,FALSE))
+$O26*IF(ISNA(VLOOKUP($B26&amp;"; "&amp;$P$11&amp;", "&amp;G$12,'FE Energie'!$G:$U,10,FALSE)),0,VLOOKUP($B26&amp;"; "&amp;$P$11&amp;", "&amp;G$12,'FE Energie'!$G:$U,10,FALSE))</f>
        <v>0</v>
      </c>
      <c r="AF26" s="565">
        <f>$F26*IF(ISNA(VLOOKUP($B26&amp;"; "&amp;$G$11&amp;", "&amp;H$12,'FE Energie'!$G:$U,10,FALSE)),0,VLOOKUP($B26&amp;"; "&amp;$G$11&amp;", "&amp;H$12,'FE Energie'!$G:$U,10,FALSE))
+$I26*IF(ISNA(VLOOKUP($B26&amp;"; "&amp;$J$11&amp;", "&amp;H$12,'FE Energie'!$G:$U,10,FALSE)),0,VLOOKUP($B26&amp;"; "&amp;$J$11&amp;", "&amp;H$12,'FE Energie'!$G:$U,10,FALSE))
+$L26*IF(ISNA(VLOOKUP($B26&amp;"; "&amp;$M$11&amp;", "&amp;H$12,'FE Energie'!$G:$U,10,FALSE)),0,VLOOKUP($B26&amp;"; "&amp;$M$11&amp;", "&amp;H$12,'FE Energie'!$G:$U,10,FALSE))
+$O26*IF(ISNA(VLOOKUP($B26&amp;"; "&amp;$P$11&amp;", "&amp;H$12,'FE Energie'!$G:$U,10,FALSE)),0,VLOOKUP($B26&amp;"; "&amp;$P$11&amp;", "&amp;H$12,'FE Energie'!$G:$U,10,FALSE))</f>
        <v>0</v>
      </c>
      <c r="AG26" s="620">
        <f>$F26*IF(ISNA((VLOOKUP($B26&amp;"; "&amp;$G$11&amp;", "&amp;G$12,'FE Energie'!$G:$U,12,FALSE)+VLOOKUP($B26&amp;"; "&amp;$G$11&amp;", "&amp;G$12,'FE Energie'!$G:$U,11,FALSE))),0,(VLOOKUP($B26&amp;"; "&amp;$G$11&amp;", "&amp;G$12,'FE Energie'!$G:$U,12,FALSE)+VLOOKUP($B26&amp;"; "&amp;$G$11&amp;", "&amp;G$12,'FE Energie'!$G:$U,11,FALSE)))
+$I26*IF(ISNA((VLOOKUP($B26&amp;"; "&amp;$J$11&amp;", "&amp;G$12,'FE Energie'!$G:$U,12,FALSE)+VLOOKUP($B26&amp;"; "&amp;$J$11&amp;", "&amp;G$12,'FE Energie'!$G:$U,11,FALSE))),0,(VLOOKUP($B26&amp;"; "&amp;$J$11&amp;", "&amp;G$12,'FE Energie'!$G:$U,12,FALSE)+VLOOKUP($B26&amp;"; "&amp;$J$11&amp;", "&amp;G$12,'FE Energie'!$G:$U,11,FALSE)))
+$L26*IF(ISNA((VLOOKUP($B26&amp;"; "&amp;$M$11&amp;", "&amp;G$12,'FE Energie'!$G:$U,12,FALSE)+VLOOKUP($B26&amp;"; "&amp;$M$11&amp;", "&amp;G$12,'FE Energie'!$G:$U,11,FALSE))),0,(VLOOKUP($B26&amp;"; "&amp;$M$11&amp;", "&amp;G$12,'FE Energie'!$G:$U,12,FALSE)+VLOOKUP($B26&amp;"; "&amp;$M$11&amp;", "&amp;G$12,'FE Energie'!$G:$U,11,FALSE)))
+$O26*IF(ISNA((VLOOKUP($B26&amp;"; "&amp;$P$11&amp;", "&amp;G$12,'FE Energie'!$G:$U,12,FALSE)+VLOOKUP($B26&amp;"; "&amp;$P$11&amp;", "&amp;G$12,'FE Energie'!$G:$U,11,FALSE))),0,(VLOOKUP($B26&amp;"; "&amp;$P$11&amp;", "&amp;G$12,'FE Energie'!$G:$U,12,FALSE)+VLOOKUP($B26&amp;"; "&amp;$P$11&amp;", "&amp;G$12,'FE Energie'!$G:$U,11,FALSE)))</f>
        <v>0</v>
      </c>
      <c r="AH26" s="620">
        <f>$F26*IF(ISNA((VLOOKUP($B26&amp;"; "&amp;$G$11&amp;", "&amp;H$12,'FE Energie'!$G:$U,12,FALSE)+VLOOKUP($B26&amp;"; "&amp;$G$11&amp;", "&amp;H$12,'FE Energie'!$G:$U,11,FALSE))),0,(VLOOKUP($B26&amp;"; "&amp;$G$11&amp;", "&amp;H$12,'FE Energie'!$G:$U,12,FALSE)+VLOOKUP($B26&amp;"; "&amp;$G$11&amp;", "&amp;H$12,'FE Energie'!$G:$U,11,FALSE)))
+$I26*IF(ISNA((VLOOKUP($B26&amp;"; "&amp;$J$11&amp;", "&amp;H$12,'FE Energie'!$G:$U,12,FALSE)+VLOOKUP($B26&amp;"; "&amp;$J$11&amp;", "&amp;H$12,'FE Energie'!$G:$U,11,FALSE))),0,(VLOOKUP($B26&amp;"; "&amp;$J$11&amp;", "&amp;H$12,'FE Energie'!$G:$U,12,FALSE)+VLOOKUP($B26&amp;"; "&amp;$J$11&amp;", "&amp;H$12,'FE Energie'!$G:$U,11,FALSE)))
+$L26*IF(ISNA((VLOOKUP($B26&amp;"; "&amp;$M$11&amp;", "&amp;H$12,'FE Energie'!$G:$U,12,FALSE)+VLOOKUP($B26&amp;"; "&amp;$M$11&amp;", "&amp;H$12,'FE Energie'!$G:$U,11,FALSE))),0,(VLOOKUP($B26&amp;"; "&amp;$M$11&amp;", "&amp;H$12,'FE Energie'!$G:$U,12,FALSE)+VLOOKUP($B26&amp;"; "&amp;$M$11&amp;", "&amp;H$12,'FE Energie'!$G:$U,11,FALSE)))
+$O26*IF(ISNA((VLOOKUP($B26&amp;"; "&amp;$P$11&amp;", "&amp;H$12,'FE Energie'!$G:$U,12,FALSE)+VLOOKUP($B26&amp;"; "&amp;$P$11&amp;", "&amp;H$12,'FE Energie'!$G:$U,11,FALSE))),0,(VLOOKUP($B26&amp;"; "&amp;$P$11&amp;", "&amp;H$12,'FE Energie'!$G:$U,12,FALSE)+VLOOKUP($B26&amp;"; "&amp;$P$11&amp;", "&amp;H$12,'FE Energie'!$G:$U,11,FALSE)))</f>
        <v>0</v>
      </c>
      <c r="AI26" s="620">
        <f>$F26*IF(ISNA(VLOOKUP($B26&amp;"; "&amp;$G$11&amp;", "&amp;G$12,'FE Energie'!$G:$U,13,FALSE)),0,VLOOKUP($B26&amp;"; "&amp;$G$11&amp;", "&amp;G$12,'FE Energie'!$G:$U,13,FALSE))
+$I26*IF(ISNA(VLOOKUP($B26&amp;"; "&amp;$J$11&amp;", "&amp;G$12,'FE Energie'!$G:$U,13,FALSE)),0,VLOOKUP($B26&amp;"; "&amp;$J$11&amp;", "&amp;G$12,'FE Energie'!$G:$U,13,FALSE))
+$L26*IF(ISNA(VLOOKUP($B26&amp;"; "&amp;$M$11&amp;", "&amp;G$12,'FE Energie'!$G:$U,13,FALSE)),0,VLOOKUP($B26&amp;"; "&amp;$M$11&amp;", "&amp;G$12,'FE Energie'!$G:$U,13,FALSE))
+$O26*IF(ISNA(VLOOKUP($B26&amp;"; "&amp;$P$11&amp;", "&amp;G$12,'FE Energie'!$G:$U,13,FALSE)),0,VLOOKUP($B26&amp;"; "&amp;$P$11&amp;", "&amp;G$12,'FE Energie'!$G:$U,13,FALSE))</f>
        <v>0</v>
      </c>
      <c r="AJ26" s="620">
        <f>$F26*IF(ISNA(VLOOKUP($B26&amp;"; "&amp;$G$11&amp;", "&amp;H$12,'FE Energie'!$G:$U,13,FALSE)),0,VLOOKUP($B26&amp;"; "&amp;$G$11&amp;", "&amp;H$12,'FE Energie'!$G:$U,13,FALSE))
+$I26*IF(ISNA(VLOOKUP($B26&amp;"; "&amp;$J$11&amp;", "&amp;H$12,'FE Energie'!$G:$U,13,FALSE)),0,VLOOKUP($B26&amp;"; "&amp;$J$11&amp;", "&amp;H$12,'FE Energie'!$G:$U,13,FALSE))
+$L26*IF(ISNA(VLOOKUP($B26&amp;"; "&amp;$M$11&amp;", "&amp;H$12,'FE Energie'!$G:$U,13,FALSE)),0,VLOOKUP($B26&amp;"; "&amp;$M$11&amp;", "&amp;H$12,'FE Energie'!$G:$U,13,FALSE))
+$O26*IF(ISNA(VLOOKUP($B26&amp;"; "&amp;$P$11&amp;", "&amp;H$12,'FE Energie'!$G:$U,13,FALSE)),0,VLOOKUP($B26&amp;"; "&amp;$P$11&amp;", "&amp;H$12,'FE Energie'!$G:$U,13,FALSE))</f>
        <v>0</v>
      </c>
      <c r="AK26" s="565">
        <f>$F26*IF(ISNA(VLOOKUP($B26&amp;"; "&amp;$G$11&amp;", "&amp;G$12,'FE Energie'!$G:$U,14,FALSE)),0,VLOOKUP($B26&amp;"; "&amp;$G$11&amp;", "&amp;G$12,'FE Energie'!$G:$U,14,FALSE))
+$I26*IF(ISNA(VLOOKUP($B26&amp;"; "&amp;$J$11&amp;", "&amp;G$12,'FE Energie'!$G:$U,14,FALSE)),0,VLOOKUP($B26&amp;"; "&amp;$J$11&amp;", "&amp;G$12,'FE Energie'!$G:$U,14,FALSE))
+$L26*IF(ISNA(VLOOKUP($B26&amp;"; "&amp;$M$11&amp;", "&amp;G$12,'FE Energie'!$G:$U,14,FALSE)),0,VLOOKUP($B26&amp;"; "&amp;$M$11&amp;", "&amp;G$12,'FE Energie'!$G:$U,14,FALSE))
+$O26*IF(ISNA(VLOOKUP($B26&amp;"; "&amp;$P$11&amp;", "&amp;G$12,'FE Energie'!$G:$U,14,FALSE)),0,VLOOKUP($B26&amp;"; "&amp;$P$11&amp;", "&amp;G$12,'FE Energie'!$G:$U,14,FALSE))</f>
        <v>0</v>
      </c>
      <c r="AL26" s="565">
        <f>$F26*IF(ISNA(VLOOKUP($B26&amp;"; "&amp;$G$11&amp;", "&amp;H$12,'FE Energie'!$G:$U,14,FALSE)),0,VLOOKUP($B26&amp;"; "&amp;$G$11&amp;", "&amp;H$12,'FE Energie'!$G:$U,14,FALSE))
+$I26*IF(ISNA(VLOOKUP($B26&amp;"; "&amp;$J$11&amp;", "&amp;H$12,'FE Energie'!$G:$U,14,FALSE)),0,VLOOKUP($B26&amp;"; "&amp;$J$11&amp;", "&amp;H$12,'FE Energie'!$G:$U,14,FALSE))
+$L26*IF(ISNA(VLOOKUP($B26&amp;"; "&amp;$M$11&amp;", "&amp;H$12,'FE Energie'!$G:$U,14,FALSE)),0,VLOOKUP($B26&amp;"; "&amp;$M$11&amp;", "&amp;H$12,'FE Energie'!$G:$U,14,FALSE))
+$O26*IF(ISNA(VLOOKUP($B26&amp;"; "&amp;$P$11&amp;", "&amp;H$12,'FE Energie'!$G:$U,14,FALSE)),0,VLOOKUP($B26&amp;"; "&amp;$P$11&amp;", "&amp;H$12,'FE Energie'!$G:$U,14,FALSE))</f>
        <v>0</v>
      </c>
      <c r="AM26" s="566">
        <f t="shared" si="0"/>
        <v>0</v>
      </c>
      <c r="AN26" s="566">
        <f t="shared" si="0"/>
        <v>0</v>
      </c>
      <c r="AO26" s="564">
        <f>$F26*IF(ISNA(VLOOKUP($B26&amp;"; "&amp;$G$11&amp;", "&amp;G$12,'FE Energie'!$G:$U,15,FALSE)),0,VLOOKUP($B26&amp;"; "&amp;$G$11&amp;", "&amp;G$12,'FE Energie'!$G:$U,15,FALSE))
+$I26*IF(ISNA(VLOOKUP($B26&amp;"; "&amp;$J$11&amp;", "&amp;G$12,'FE Energie'!$G:$U,15,FALSE)),0,VLOOKUP($B26&amp;"; "&amp;$J$11&amp;", "&amp;G$12,'FE Energie'!$G:$U,15,FALSE))
+$L26*IF(ISNA(VLOOKUP($B26&amp;"; "&amp;$M$11&amp;", "&amp;G$12,'FE Energie'!$G:$U,15,FALSE)),0,VLOOKUP($B26&amp;"; "&amp;$M$11&amp;", "&amp;G$12,'FE Energie'!$G:$U,15,FALSE))
+$O26*IF(ISNA(VLOOKUP($B26&amp;"; "&amp;$P$11&amp;", "&amp;G$12,'FE Energie'!$G:$U,15,FALSE)),0,VLOOKUP($B26&amp;"; "&amp;$P$11&amp;", "&amp;G$12,'FE Energie'!$G:$U,15,FALSE))</f>
        <v>0</v>
      </c>
      <c r="AP26" s="568">
        <f>$F26*IF(ISNA(VLOOKUP($B26&amp;"; "&amp;$G$11&amp;", "&amp;H$12,'FE Energie'!$G:$U,15,FALSE)),0,VLOOKUP($B26&amp;"; "&amp;$G$11&amp;", "&amp;H$12,'FE Energie'!$G:$U,15,FALSE))
+$I26*IF(ISNA(VLOOKUP($B26&amp;"; "&amp;$J$11&amp;", "&amp;H$12,'FE Energie'!$G:$U,15,FALSE)),0,VLOOKUP($B26&amp;"; "&amp;$J$11&amp;", "&amp;H$12,'FE Energie'!$G:$U,15,FALSE))
+$L26*IF(ISNA(VLOOKUP($B26&amp;"; "&amp;$M$11&amp;", "&amp;H$12,'FE Energie'!$G:$U,15,FALSE)),0,VLOOKUP($B26&amp;"; "&amp;$M$11&amp;", "&amp;H$12,'FE Energie'!$G:$U,15,FALSE))
+$O26*IF(ISNA(VLOOKUP($B26&amp;"; "&amp;$P$11&amp;", "&amp;H$12,'FE Energie'!$G:$U,15,FALSE)),0,VLOOKUP($B26&amp;"; "&amp;$P$11&amp;", "&amp;H$12,'FE Energie'!$G:$U,15,FALSE))</f>
        <v>0</v>
      </c>
      <c r="AQ26" s="114"/>
      <c r="AR26" s="1065">
        <f>IF($X26&lt;&gt;"votre valeur :",IF(ISNA(VLOOKUP($X26,Utilitaires!$N$566:$O$571,2,FALSE)),,VLOOKUP($X26,Utilitaires!$N$566:$O$571,2,FALSE)),$Y26)</f>
        <v>0</v>
      </c>
      <c r="AS26" s="1065">
        <f>IF($X26&lt;&gt;"votre valeur :",IF(ISNA(VLOOKUP($X26,Utilitaires!$N$566:$O$571,2,FALSE)),,VLOOKUP($X26,Utilitaires!$N$566:$O$571,2,FALSE)),$Y26)</f>
        <v>0</v>
      </c>
      <c r="AT26" s="1065">
        <f>IF($X26&lt;&gt;"votre valeur :",IF(ISNA(VLOOKUP($X26,Utilitaires!$N$566:$O$571,2,FALSE)),,VLOOKUP($X26,Utilitaires!$N$566:$O$571,2,FALSE)),$Y26)</f>
        <v>0</v>
      </c>
      <c r="AU26" s="1167">
        <f>IF($X26&lt;&gt;"votre valeur :",IF(ISNA(VLOOKUP($X26,Utilitaires!$N$566:$O$571,2,FALSE)),,VLOOKUP($X26,Utilitaires!$N$566:$O$571,2,FALSE)),$Y26)</f>
        <v>0</v>
      </c>
      <c r="AV26" s="1068">
        <f>IF(ISNA(SQRT(SUMSQ(VLOOKUP($B26&amp;"; "&amp;$G$11&amp;", "&amp;$G$12,'FE Energie'!$G:$U,7,FALSE),$AR26))),0,SQRT(SUMSQ(VLOOKUP($B26&amp;"; "&amp;$G$11&amp;", "&amp;$G$12,'FE Energie'!$G:$U,7,FALSE),$AR26)))</f>
        <v>0</v>
      </c>
      <c r="AW26" s="1068">
        <f>IF(ISNA(SQRT(SUMSQ(VLOOKUP($B26&amp;"; "&amp;$J$11&amp;", "&amp;$J$12,'FE Energie'!$G:$U,7,FALSE),$AS26))),0,SQRT(SUMSQ(VLOOKUP($B26&amp;"; "&amp;$J$11&amp;", "&amp;$J$12,'FE Energie'!$G:$U,7,FALSE),$AS26)))</f>
        <v>0</v>
      </c>
      <c r="AX26" s="1068">
        <f>IF(ISNA(SQRT(SUMSQ(VLOOKUP($B26&amp;"; "&amp;$M$11&amp;", "&amp;$M$12,'FE Energie'!$G:$U,7,FALSE),$AT26))),0,SQRT(SUMSQ(VLOOKUP($B26&amp;"; "&amp;$M$11&amp;", "&amp;$M$12,'FE Energie'!$G:$U,7,FALSE),$AT26)))</f>
        <v>0</v>
      </c>
      <c r="AY26" s="1068">
        <f>IF(ISNA(SQRT(SUMSQ(VLOOKUP($B26&amp;"; "&amp;$P$11&amp;", "&amp;$P$12,'FE Energie'!$G:$U,7,FALSE),$AU26))),0,SQRT(SUMSQ(VLOOKUP($B26&amp;"; "&amp;$P$11&amp;", "&amp;$P$12,'FE Energie'!$G:$U,7,FALSE),$AU26)))</f>
        <v>0</v>
      </c>
      <c r="AZ26" s="1069">
        <f>IF(ISNA(SQRT(SUMSQ(VLOOKUP($B26&amp;"; "&amp;$G$11&amp;", "&amp;$H$12,'FE Energie'!$G:$U,7,FALSE),$AR26))),0,SQRT(SUMSQ(VLOOKUP($B26&amp;"; "&amp;$G$11&amp;", "&amp;$H$12,'FE Energie'!$G:$U,7,FALSE),$AR26)))</f>
        <v>0</v>
      </c>
      <c r="BA26" s="1070">
        <f>IF(ISNA(SQRT(SUMSQ(VLOOKUP($B26&amp;"; "&amp;$J$11&amp;", "&amp;$K$12,'FE Energie'!$G:$U,7,FALSE),$AS26))),0,SQRT(SUMSQ(VLOOKUP($B26&amp;"; "&amp;$J$11&amp;", "&amp;$K$12,'FE Energie'!$G:$U,7,FALSE),$AS26)))</f>
        <v>0</v>
      </c>
      <c r="BB26" s="1070">
        <f>IF(ISNA(SQRT(SUMSQ(VLOOKUP($B26&amp;"; "&amp;$M$11&amp;", "&amp;$N$12,'FE Energie'!$G:$U,7,FALSE),$AT26))),0,SQRT(SUMSQ(VLOOKUP($B26&amp;"; "&amp;$M$11&amp;", "&amp;$N$12,'FE Energie'!$G:$U,7,FALSE),$AT26)))</f>
        <v>0</v>
      </c>
      <c r="BC26" s="1071">
        <f>IF(ISNA(SQRT(SUMSQ(VLOOKUP($B26&amp;"; "&amp;$P$11&amp;", "&amp;$Q$12,'FE Energie'!$G:$U,7,FALSE),$AU26))),0,SQRT(SUMSQ(VLOOKUP($B26&amp;"; "&amp;$P$11&amp;", "&amp;$Q$12,'FE Energie'!$G:$U,7,FALSE),$AU26)))</f>
        <v>0</v>
      </c>
    </row>
    <row r="27" spans="1:55" s="116" customFormat="1" ht="12.75" hidden="1" customHeight="1" outlineLevel="1">
      <c r="A27" s="114"/>
      <c r="B27" s="143"/>
      <c r="C27" s="144"/>
      <c r="D27" s="315"/>
      <c r="E27" s="822"/>
      <c r="F27" s="822"/>
      <c r="G27" s="335"/>
      <c r="H27" s="335"/>
      <c r="I27" s="822"/>
      <c r="J27" s="223"/>
      <c r="K27" s="223"/>
      <c r="L27" s="822"/>
      <c r="M27" s="217"/>
      <c r="N27" s="217"/>
      <c r="O27" s="822"/>
      <c r="P27" s="223"/>
      <c r="Q27" s="223"/>
      <c r="R27" s="566"/>
      <c r="S27" s="567"/>
      <c r="T27" s="114"/>
      <c r="U27" s="114"/>
      <c r="V27" s="114"/>
      <c r="W27" s="1647"/>
      <c r="X27" s="822"/>
      <c r="Y27" s="822"/>
      <c r="Z27" s="329"/>
      <c r="AA27" s="329"/>
      <c r="AB27" s="329"/>
      <c r="AC27" s="156"/>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hidden="1" customHeight="1" outlineLevel="1">
      <c r="A28" s="114"/>
      <c r="B28" s="196" t="s">
        <v>348</v>
      </c>
      <c r="C28" s="197"/>
      <c r="D28" s="202">
        <f>SUM(D13:D27)</f>
        <v>0</v>
      </c>
      <c r="E28" s="198"/>
      <c r="F28" s="199"/>
      <c r="G28" s="199"/>
      <c r="H28" s="199"/>
      <c r="I28" s="199"/>
      <c r="J28" s="199"/>
      <c r="K28" s="199"/>
      <c r="L28" s="199"/>
      <c r="M28" s="199"/>
      <c r="N28" s="199"/>
      <c r="O28" s="199"/>
      <c r="P28" s="199"/>
      <c r="Q28" s="199"/>
      <c r="R28" s="202">
        <f>SUM(R13:R27)</f>
        <v>0</v>
      </c>
      <c r="S28" s="200">
        <f>SUM(S13:S27)</f>
        <v>0</v>
      </c>
      <c r="T28" s="114"/>
      <c r="U28" s="114"/>
      <c r="V28" s="114"/>
      <c r="W28" s="1093">
        <f>IF(AC28=0,AC28,AC28/(R28+S28))</f>
        <v>0</v>
      </c>
      <c r="X28" s="821"/>
      <c r="Y28" s="1636"/>
      <c r="Z28" s="1636">
        <f>SQRT(SUMSQ(Z13:Z27))</f>
        <v>0</v>
      </c>
      <c r="AA28" s="1636">
        <f>SQRT(SUMSQ(AA13:AA27))</f>
        <v>0</v>
      </c>
      <c r="AB28" s="1636"/>
      <c r="AC28" s="200">
        <f>SQRT(SUMSQ(AC13:AC27))</f>
        <v>0</v>
      </c>
      <c r="AE28" s="1082">
        <f t="shared" ref="AE28:AP28" si="1">SUM(AE13:AE27)</f>
        <v>0</v>
      </c>
      <c r="AF28" s="572">
        <f t="shared" si="1"/>
        <v>0</v>
      </c>
      <c r="AG28" s="621">
        <f t="shared" si="1"/>
        <v>0</v>
      </c>
      <c r="AH28" s="621">
        <f t="shared" si="1"/>
        <v>0</v>
      </c>
      <c r="AI28" s="621">
        <f t="shared" si="1"/>
        <v>0</v>
      </c>
      <c r="AJ28" s="621">
        <f t="shared" si="1"/>
        <v>0</v>
      </c>
      <c r="AK28" s="572">
        <f t="shared" si="1"/>
        <v>0</v>
      </c>
      <c r="AL28" s="572">
        <f t="shared" si="1"/>
        <v>0</v>
      </c>
      <c r="AM28" s="573">
        <f t="shared" si="1"/>
        <v>0</v>
      </c>
      <c r="AN28" s="574">
        <f t="shared" si="1"/>
        <v>0</v>
      </c>
      <c r="AO28" s="572">
        <f t="shared" si="1"/>
        <v>0</v>
      </c>
      <c r="AP28" s="575">
        <f t="shared" si="1"/>
        <v>0</v>
      </c>
      <c r="AQ28" s="114"/>
      <c r="AR28" s="114"/>
      <c r="AS28" s="114"/>
      <c r="AT28" s="114"/>
      <c r="AU28" s="114"/>
      <c r="AV28" s="114"/>
      <c r="AW28" s="114"/>
      <c r="AX28" s="114"/>
      <c r="AY28" s="114"/>
      <c r="AZ28" s="114"/>
      <c r="BA28" s="114"/>
      <c r="BB28" s="114"/>
      <c r="BC28" s="114"/>
    </row>
    <row r="29" spans="1:55" s="116" customFormat="1" ht="12.75" hidden="1"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26"/>
      <c r="Y29" s="126"/>
      <c r="Z29" s="114"/>
      <c r="AA29" s="114"/>
      <c r="AB29" s="114"/>
      <c r="AC29" s="114"/>
      <c r="AE29" s="441"/>
      <c r="AF29" s="441"/>
      <c r="AG29" s="441"/>
      <c r="AH29" s="441"/>
      <c r="AI29" s="441"/>
      <c r="AJ29" s="441"/>
      <c r="AK29" s="441"/>
      <c r="AL29" s="441"/>
      <c r="AM29" s="441"/>
      <c r="AN29" s="444"/>
      <c r="AO29" s="444"/>
      <c r="AP29" s="441"/>
      <c r="AQ29" s="114"/>
      <c r="AR29" s="114"/>
      <c r="AS29" s="114"/>
      <c r="AT29" s="114"/>
      <c r="AU29" s="114"/>
      <c r="AV29" s="114"/>
      <c r="AW29" s="114"/>
      <c r="AX29" s="114"/>
      <c r="AY29" s="114"/>
      <c r="AZ29" s="114"/>
      <c r="BA29" s="114"/>
      <c r="BB29" s="114"/>
      <c r="BC29" s="114"/>
    </row>
    <row r="30" spans="1:55" s="116" customFormat="1" ht="12.75" hidden="1" customHeight="1" outlineLevel="1">
      <c r="A30" s="114"/>
      <c r="B30" s="139" t="s">
        <v>426</v>
      </c>
      <c r="C30" s="140"/>
      <c r="D30" s="141"/>
      <c r="E30" s="1808"/>
      <c r="F30" s="141"/>
      <c r="G30" s="141"/>
      <c r="H30" s="141"/>
      <c r="I30" s="141"/>
      <c r="J30" s="141"/>
      <c r="K30" s="141"/>
      <c r="L30" s="141"/>
      <c r="M30" s="141"/>
      <c r="N30" s="141"/>
      <c r="O30" s="141"/>
      <c r="P30" s="141"/>
      <c r="Q30" s="141"/>
      <c r="R30" s="141"/>
      <c r="S30" s="142"/>
      <c r="T30" s="114"/>
      <c r="U30" s="114"/>
      <c r="V30" s="114"/>
      <c r="W30" s="2636" t="s">
        <v>366</v>
      </c>
      <c r="X30" s="2637"/>
      <c r="Y30" s="2637"/>
      <c r="Z30" s="2637"/>
      <c r="AA30" s="2637"/>
      <c r="AB30" s="2637"/>
      <c r="AC30" s="2638"/>
      <c r="AE30" s="2639" t="s">
        <v>441</v>
      </c>
      <c r="AF30" s="2640"/>
      <c r="AG30" s="2640"/>
      <c r="AH30" s="2640"/>
      <c r="AI30" s="2640"/>
      <c r="AJ30" s="2640"/>
      <c r="AK30" s="2640"/>
      <c r="AL30" s="2640"/>
      <c r="AM30" s="2640"/>
      <c r="AN30" s="2640"/>
      <c r="AO30" s="2640"/>
      <c r="AP30" s="2641"/>
      <c r="AQ30" s="114"/>
      <c r="AR30" s="114"/>
      <c r="AS30" s="114"/>
      <c r="AT30" s="114"/>
      <c r="AU30" s="114"/>
      <c r="AV30" s="114"/>
      <c r="AW30" s="114"/>
      <c r="AX30" s="114"/>
      <c r="AY30" s="114"/>
      <c r="AZ30" s="114"/>
      <c r="BA30" s="114"/>
      <c r="BB30" s="114"/>
      <c r="BC30" s="114"/>
    </row>
    <row r="31" spans="1:55" s="116" customFormat="1" ht="12.75" hidden="1" customHeight="1" outlineLevel="1">
      <c r="A31" s="114"/>
      <c r="B31" s="143"/>
      <c r="C31" s="144"/>
      <c r="D31" s="1812" t="s">
        <v>308</v>
      </c>
      <c r="E31" s="1801"/>
      <c r="F31" s="144"/>
      <c r="G31" s="144"/>
      <c r="H31" s="144"/>
      <c r="I31" s="144"/>
      <c r="J31" s="144"/>
      <c r="K31" s="144"/>
      <c r="L31" s="144"/>
      <c r="M31" s="144"/>
      <c r="N31" s="144"/>
      <c r="O31" s="144"/>
      <c r="P31" s="144"/>
      <c r="Q31" s="144"/>
      <c r="R31" s="144"/>
      <c r="S31" s="145"/>
      <c r="T31" s="114"/>
      <c r="U31" s="114"/>
      <c r="V31" s="114"/>
      <c r="W31" s="159"/>
      <c r="X31" s="1813"/>
      <c r="Y31" s="1813"/>
      <c r="Z31" s="1803"/>
      <c r="AA31" s="1803"/>
      <c r="AB31" s="1803"/>
      <c r="AC31" s="142"/>
      <c r="AE31" s="2642" t="s">
        <v>444</v>
      </c>
      <c r="AF31" s="2643"/>
      <c r="AG31" s="2643"/>
      <c r="AH31" s="2643"/>
      <c r="AI31" s="2643"/>
      <c r="AJ31" s="2643"/>
      <c r="AK31" s="2643"/>
      <c r="AL31" s="2643"/>
      <c r="AM31" s="2643" t="s">
        <v>444</v>
      </c>
      <c r="AN31" s="2644"/>
      <c r="AO31" s="577"/>
      <c r="AP31" s="578"/>
      <c r="AQ31" s="114"/>
      <c r="AR31" s="2616" t="s">
        <v>1648</v>
      </c>
      <c r="AS31" s="2617"/>
      <c r="AT31" s="2617"/>
      <c r="AU31" s="2617"/>
      <c r="AV31" s="2617"/>
      <c r="AW31" s="2617"/>
      <c r="AX31" s="2617"/>
      <c r="AY31" s="2617"/>
      <c r="AZ31" s="2617"/>
      <c r="BA31" s="2617"/>
      <c r="BB31" s="2617"/>
      <c r="BC31" s="2618"/>
    </row>
    <row r="32" spans="1:55" s="127" customFormat="1" ht="12.75" hidden="1" customHeight="1" outlineLevel="1">
      <c r="A32" s="114"/>
      <c r="B32" s="1800" t="s">
        <v>383</v>
      </c>
      <c r="C32" s="1801"/>
      <c r="D32" s="1812" t="s">
        <v>409</v>
      </c>
      <c r="E32" s="147" t="s">
        <v>452</v>
      </c>
      <c r="F32" s="147" t="s">
        <v>343</v>
      </c>
      <c r="G32" s="2626" t="s">
        <v>1585</v>
      </c>
      <c r="H32" s="2627"/>
      <c r="I32" s="147" t="s">
        <v>343</v>
      </c>
      <c r="J32" s="2626" t="s">
        <v>1573</v>
      </c>
      <c r="K32" s="2627"/>
      <c r="L32" s="147" t="s">
        <v>343</v>
      </c>
      <c r="M32" s="2626" t="s">
        <v>1575</v>
      </c>
      <c r="N32" s="2627"/>
      <c r="O32" s="147" t="s">
        <v>343</v>
      </c>
      <c r="P32" s="2626" t="s">
        <v>1574</v>
      </c>
      <c r="Q32" s="2628"/>
      <c r="R32" s="1812" t="s">
        <v>444</v>
      </c>
      <c r="S32" s="1814" t="s">
        <v>444</v>
      </c>
      <c r="T32" s="109"/>
      <c r="U32" s="109"/>
      <c r="V32" s="109"/>
      <c r="W32" s="1800" t="s">
        <v>316</v>
      </c>
      <c r="X32" s="2629" t="s">
        <v>316</v>
      </c>
      <c r="Y32" s="2630"/>
      <c r="Z32" s="1801" t="s">
        <v>444</v>
      </c>
      <c r="AA32" s="1801" t="s">
        <v>444</v>
      </c>
      <c r="AB32" s="1801"/>
      <c r="AC32" s="1814" t="s">
        <v>444</v>
      </c>
      <c r="AE32" s="2631" t="s">
        <v>211</v>
      </c>
      <c r="AF32" s="2632"/>
      <c r="AG32" s="2632" t="s">
        <v>442</v>
      </c>
      <c r="AH32" s="2632"/>
      <c r="AI32" s="2632" t="s">
        <v>267</v>
      </c>
      <c r="AJ32" s="2632"/>
      <c r="AK32" s="2632" t="s">
        <v>443</v>
      </c>
      <c r="AL32" s="2632"/>
      <c r="AM32" s="2648" t="s">
        <v>327</v>
      </c>
      <c r="AN32" s="2649"/>
      <c r="AO32" s="2631" t="s">
        <v>636</v>
      </c>
      <c r="AP32" s="2650"/>
      <c r="AQ32" s="109"/>
      <c r="AR32" s="2614" t="s">
        <v>1646</v>
      </c>
      <c r="AS32" s="2645"/>
      <c r="AT32" s="2645"/>
      <c r="AU32" s="2615"/>
      <c r="AV32" s="2614" t="s">
        <v>1644</v>
      </c>
      <c r="AW32" s="2645"/>
      <c r="AX32" s="2645"/>
      <c r="AY32" s="2615"/>
      <c r="AZ32" s="2614" t="s">
        <v>1645</v>
      </c>
      <c r="BA32" s="2645"/>
      <c r="BB32" s="2645"/>
      <c r="BC32" s="2615"/>
    </row>
    <row r="33" spans="1:55" s="127" customFormat="1" ht="12.75" hidden="1" customHeight="1" outlineLevel="1">
      <c r="A33" s="114"/>
      <c r="B33" s="536" t="s">
        <v>4810</v>
      </c>
      <c r="C33" s="1801"/>
      <c r="D33" s="1805" t="s">
        <v>444</v>
      </c>
      <c r="E33" s="1811" t="s">
        <v>453</v>
      </c>
      <c r="F33" s="153" t="s">
        <v>287</v>
      </c>
      <c r="G33" s="1662" t="s">
        <v>411</v>
      </c>
      <c r="H33" s="1662" t="s">
        <v>257</v>
      </c>
      <c r="I33" s="1811" t="s">
        <v>790</v>
      </c>
      <c r="J33" s="1662" t="s">
        <v>411</v>
      </c>
      <c r="K33" s="1662" t="s">
        <v>257</v>
      </c>
      <c r="L33" s="1811" t="s">
        <v>791</v>
      </c>
      <c r="M33" s="1662" t="s">
        <v>411</v>
      </c>
      <c r="N33" s="1662" t="s">
        <v>257</v>
      </c>
      <c r="O33" s="1811" t="s">
        <v>213</v>
      </c>
      <c r="P33" s="1662" t="s">
        <v>411</v>
      </c>
      <c r="Q33" s="1662" t="s">
        <v>257</v>
      </c>
      <c r="R33" s="1805" t="s">
        <v>411</v>
      </c>
      <c r="S33" s="220" t="s">
        <v>257</v>
      </c>
      <c r="T33" s="109"/>
      <c r="U33" s="109"/>
      <c r="V33" s="109"/>
      <c r="W33" s="1800" t="s">
        <v>1649</v>
      </c>
      <c r="X33" s="2646" t="s">
        <v>1650</v>
      </c>
      <c r="Y33" s="2647"/>
      <c r="Z33" s="227" t="s">
        <v>411</v>
      </c>
      <c r="AA33" s="1662" t="s">
        <v>257</v>
      </c>
      <c r="AB33" s="1662"/>
      <c r="AC33" s="162" t="s">
        <v>327</v>
      </c>
      <c r="AE33" s="1818" t="s">
        <v>411</v>
      </c>
      <c r="AF33" s="1819" t="s">
        <v>257</v>
      </c>
      <c r="AG33" s="1819" t="s">
        <v>411</v>
      </c>
      <c r="AH33" s="1819" t="s">
        <v>257</v>
      </c>
      <c r="AI33" s="1819" t="s">
        <v>411</v>
      </c>
      <c r="AJ33" s="1819" t="s">
        <v>257</v>
      </c>
      <c r="AK33" s="1819" t="s">
        <v>411</v>
      </c>
      <c r="AL33" s="1819" t="s">
        <v>257</v>
      </c>
      <c r="AM33" s="581" t="s">
        <v>411</v>
      </c>
      <c r="AN33" s="582" t="s">
        <v>257</v>
      </c>
      <c r="AO33" s="1818" t="s">
        <v>411</v>
      </c>
      <c r="AP33" s="1820" t="s">
        <v>257</v>
      </c>
      <c r="AQ33" s="109"/>
      <c r="AR33" s="1815" t="s">
        <v>1670</v>
      </c>
      <c r="AS33" s="1816" t="s">
        <v>1640</v>
      </c>
      <c r="AT33" s="1816" t="s">
        <v>1641</v>
      </c>
      <c r="AU33" s="1817" t="s">
        <v>1642</v>
      </c>
      <c r="AV33" s="1090" t="s">
        <v>1667</v>
      </c>
      <c r="AW33" s="1816" t="s">
        <v>1640</v>
      </c>
      <c r="AX33" s="1816" t="s">
        <v>1641</v>
      </c>
      <c r="AY33" s="1817" t="s">
        <v>1642</v>
      </c>
      <c r="AZ33" s="1815" t="s">
        <v>1670</v>
      </c>
      <c r="BA33" s="1816" t="s">
        <v>1640</v>
      </c>
      <c r="BB33" s="1816" t="s">
        <v>1641</v>
      </c>
      <c r="BC33" s="1817" t="s">
        <v>1642</v>
      </c>
    </row>
    <row r="34" spans="1:55" s="116" customFormat="1" ht="12.75" hidden="1" customHeight="1" outlineLevel="1">
      <c r="A34" s="114"/>
      <c r="B34" s="143" t="s">
        <v>4811</v>
      </c>
      <c r="C34" s="144"/>
      <c r="D34" s="315">
        <f>R34+S34</f>
        <v>0</v>
      </c>
      <c r="E34" s="343"/>
      <c r="F34" s="1547"/>
      <c r="G34" s="335" t="e">
        <f>VLOOKUP($B34&amp;"; "&amp;$G$32&amp;", "&amp;G$33,'FE Energie'!$G:$U,9,FALSE)</f>
        <v>#N/A</v>
      </c>
      <c r="H34" s="335" t="e">
        <f>VLOOKUP($B34&amp;"; "&amp;$G$32&amp;", "&amp;H$33,'FE Energie'!$G:$U,9,FALSE)</f>
        <v>#N/A</v>
      </c>
      <c r="I34" s="1547"/>
      <c r="J34" s="223">
        <f>VLOOKUP($B34&amp;"; "&amp;$J$32&amp;", "&amp;J$33,'FE Energie'!$G:$U,9,FALSE)</f>
        <v>4.5499999999999999E-2</v>
      </c>
      <c r="K34" s="223">
        <f>VLOOKUP($B34&amp;"; "&amp;$J$32&amp;", "&amp;K$33,'FE Energie'!$G:$U,9,FALSE)</f>
        <v>2.0100000000000001E-3</v>
      </c>
      <c r="L34" s="1547"/>
      <c r="M34" s="217">
        <f>VLOOKUP($B34&amp;"; "&amp;$M$11&amp;", "&amp;M$12,'FE Energie'!$G:$U,9,FALSE)</f>
        <v>533</v>
      </c>
      <c r="N34" s="217">
        <f>VLOOKUP($B34&amp;"; "&amp;$M$32&amp;", "&amp;N$33,'FE Energie'!$G:$U,9,FALSE)</f>
        <v>18.100000000000001</v>
      </c>
      <c r="O34" s="1547"/>
      <c r="P34" s="223" t="e">
        <f>VLOOKUP($B34&amp;"; "&amp;$P$32&amp;", "&amp;P$33,'FE Energie'!$G:$U,9,FALSE)</f>
        <v>#N/A</v>
      </c>
      <c r="Q34" s="223" t="e">
        <f>VLOOKUP($B34&amp;"; "&amp;$P$32&amp;", "&amp;Q$33,'FE Energie'!$G:$U,9,FALSE)</f>
        <v>#N/A</v>
      </c>
      <c r="R34" s="566">
        <f>IF(ISNA(F34*G34),0,F34*G34)+IF(ISNA(I34*J34),0,I34*J34)+IF(ISNA(L34*M34),0,L34*M34)+IF(ISNA(O34*P34),0,O34*P34)</f>
        <v>0</v>
      </c>
      <c r="S34" s="567">
        <f>IF(ISNA(F34*H34),0,F34*H34)+IF(ISNA(I34*K34),0,I34*K34)+IF(ISNA(L34*N34),0,L34*N34)+IF(ISNA(O34*Q34),0,O34*Q34)</f>
        <v>0</v>
      </c>
      <c r="T34" s="114"/>
      <c r="U34" s="114"/>
      <c r="V34" s="114"/>
      <c r="W34" s="1092">
        <f>IF(AC34=0,AC34,AC34/(R34+S34))</f>
        <v>0</v>
      </c>
      <c r="X34" s="343"/>
      <c r="Y34" s="820"/>
      <c r="Z34" s="1801">
        <f>SQRT(SUMSQ(IF(ISNA($F34*G34*AV34),0,$F34*G34*AV34),IF(ISNA($I34*J34*AW34),0,$I34*J34*AW34),IF(ISNA($L34*M34*AX34),0,$L34*M34*AX34),IF(ISNA($O34*P34*AY34),0,$O34*P34*AY34)))</f>
        <v>0</v>
      </c>
      <c r="AA34" s="1801">
        <f>SQRT(SUMSQ(IF(ISNA($F34*H34*AZ34),0,$F34*H34*AZ34),IF(ISNA($I34*K34*BA34),0,$I34*K34*BA34),IF(ISNA($L34*N34*BB34),0,$L34*N34*BB34),IF(ISNA($O34*Q34*BC34),0,$O34*Q34*BC34)))</f>
        <v>0</v>
      </c>
      <c r="AB34" s="1801"/>
      <c r="AC34" s="152">
        <f>SQRT(SUMSQ(Z34,AA34))</f>
        <v>0</v>
      </c>
      <c r="AE34" s="564">
        <f>$F34*IF(ISNA(VLOOKUP($B34&amp;"; "&amp;$G$32&amp;", "&amp;G$33,'FE Energie'!$G:$U,10,FALSE)),0,VLOOKUP($B34&amp;"; "&amp;$G$32&amp;", "&amp;G$33,'FE Energie'!$G:$U,10,FALSE))
+$I34*IF(ISNA(VLOOKUP($B34&amp;"; "&amp;$J$32&amp;", "&amp;G$33,'FE Energie'!$G:$U,10,FALSE)),0,VLOOKUP($B34&amp;"; "&amp;$J$32&amp;", "&amp;G$33,'FE Energie'!$G:$U,10,FALSE))
+$L34*IF(ISNA(VLOOKUP($B34&amp;"; "&amp;$M$32&amp;", "&amp;G$33,'FE Energie'!$G:$U,10,FALSE)),0,VLOOKUP($B34&amp;"; "&amp;$M$32&amp;", "&amp;G$33,'FE Energie'!$G:$U,10,FALSE))
+$O34*IF(ISNA(VLOOKUP($B34&amp;"; "&amp;$P$32&amp;", "&amp;G$33,'FE Energie'!$G:$U,10,FALSE)),0,VLOOKUP($B34&amp;"; "&amp;$P$32&amp;", "&amp;G$33,'FE Energie'!$G:$U,10,FALSE))</f>
        <v>0</v>
      </c>
      <c r="AF34" s="565">
        <f>$F34*IF(ISNA(VLOOKUP($B34&amp;"; "&amp;$G$32&amp;", "&amp;H$33,'FE Energie'!$G:$U,10,FALSE)),0,VLOOKUP($B34&amp;"; "&amp;$G$32&amp;", "&amp;H$33,'FE Energie'!$G:$U,10,FALSE))
+$I34*IF(ISNA(VLOOKUP($B34&amp;"; "&amp;$J$32&amp;", "&amp;H$33,'FE Energie'!$G:$U,10,FALSE)),0,VLOOKUP($B34&amp;"; "&amp;$J$32&amp;", "&amp;H$33,'FE Energie'!$G:$U,10,FALSE))
+$L34*IF(ISNA(VLOOKUP($B34&amp;"; "&amp;$M$32&amp;", "&amp;H$33,'FE Energie'!$G:$U,10,FALSE)),0,VLOOKUP($B34&amp;"; "&amp;$M$32&amp;", "&amp;H$33,'FE Energie'!$G:$U,10,FALSE))
+$O34*IF(ISNA(VLOOKUP($B34&amp;"; "&amp;$P$32&amp;", "&amp;H$33,'FE Energie'!$G:$U,10,FALSE)),0,VLOOKUP($B34&amp;"; "&amp;$P$32&amp;", "&amp;H$33,'FE Energie'!$G:$U,10,FALSE))</f>
        <v>0</v>
      </c>
      <c r="AG34" s="620">
        <f>$F34*IF(ISNA((VLOOKUP($B34&amp;"; "&amp;$G$32&amp;", "&amp;G$33,'FE Energie'!$G:$U,12,FALSE)+VLOOKUP($B34&amp;"; "&amp;$G$32&amp;", "&amp;G$33,'FE Energie'!$G:$U,11,FALSE))),0,(VLOOKUP($B34&amp;"; "&amp;$G$32&amp;", "&amp;G$33,'FE Energie'!$G:$U,12,FALSE)+VLOOKUP($B34&amp;"; "&amp;$G$32&amp;", "&amp;G$33,'FE Energie'!$G:$U,11,FALSE)))
+$I34*IF(ISNA((VLOOKUP($B34&amp;"; "&amp;$J$32&amp;", "&amp;G$33,'FE Energie'!$G:$U,12,FALSE)+VLOOKUP($B34&amp;"; "&amp;$J$32&amp;", "&amp;G$33,'FE Energie'!$G:$U,11,FALSE))),0,(VLOOKUP($B34&amp;"; "&amp;$J$32&amp;", "&amp;G$33,'FE Energie'!$G:$U,12,FALSE)+VLOOKUP($B34&amp;"; "&amp;$J$32&amp;", "&amp;G$33,'FE Energie'!$G:$U,11,FALSE)))
+$L34*IF(ISNA((VLOOKUP($B34&amp;"; "&amp;$M$32&amp;", "&amp;G$33,'FE Energie'!$G:$U,12,FALSE)+VLOOKUP($B34&amp;"; "&amp;$M$32&amp;", "&amp;G$33,'FE Energie'!$G:$U,11,FALSE))),0,(VLOOKUP($B34&amp;"; "&amp;$M$32&amp;", "&amp;G$33,'FE Energie'!$G:$U,12,FALSE)+VLOOKUP($B34&amp;"; "&amp;$M$32&amp;", "&amp;G$33,'FE Energie'!$G:$U,11,FALSE)))
+$O34*IF(ISNA((VLOOKUP($B34&amp;"; "&amp;$P$32&amp;", "&amp;G$33,'FE Energie'!$G:$U,12,FALSE)+VLOOKUP($B34&amp;"; "&amp;$P$32&amp;", "&amp;G$33,'FE Energie'!$G:$U,11,FALSE))),0,(VLOOKUP($B34&amp;"; "&amp;$P$32&amp;", "&amp;G$33,'FE Energie'!$G:$U,12,FALSE)+VLOOKUP($B34&amp;"; "&amp;$P$32&amp;", "&amp;G$33,'FE Energie'!$G:$U,11,FALSE)))</f>
        <v>0</v>
      </c>
      <c r="AH34" s="620">
        <f>$F34*IF(ISNA((VLOOKUP($B34&amp;"; "&amp;$G$32&amp;", "&amp;H$33,'FE Energie'!$G:$U,12,FALSE)+VLOOKUP($B34&amp;"; "&amp;$G$32&amp;", "&amp;H$33,'FE Energie'!$G:$U,11,FALSE))),0,(VLOOKUP($B34&amp;"; "&amp;$G$32&amp;", "&amp;H$33,'FE Energie'!$G:$U,12,FALSE)+VLOOKUP($B34&amp;"; "&amp;$G$32&amp;", "&amp;H$33,'FE Energie'!$G:$U,11,FALSE)))
+$I34*IF(ISNA((VLOOKUP($B34&amp;"; "&amp;$J$32&amp;", "&amp;H$33,'FE Energie'!$G:$U,12,FALSE)+VLOOKUP($B34&amp;"; "&amp;$J$32&amp;", "&amp;H$33,'FE Energie'!$G:$U,11,FALSE))),0,(VLOOKUP($B34&amp;"; "&amp;$J$32&amp;", "&amp;H$33,'FE Energie'!$G:$U,12,FALSE)+VLOOKUP($B34&amp;"; "&amp;$J$32&amp;", "&amp;H$33,'FE Energie'!$G:$U,11,FALSE)))
+$L34*IF(ISNA((VLOOKUP($B34&amp;"; "&amp;$M$32&amp;", "&amp;H$33,'FE Energie'!$G:$U,12,FALSE)+VLOOKUP($B34&amp;"; "&amp;$M$32&amp;", "&amp;H$33,'FE Energie'!$G:$U,11,FALSE))),0,(VLOOKUP($B34&amp;"; "&amp;$M$32&amp;", "&amp;H$33,'FE Energie'!$G:$U,12,FALSE)+VLOOKUP($B34&amp;"; "&amp;$M$32&amp;", "&amp;H$33,'FE Energie'!$G:$U,11,FALSE)))
+$O34*IF(ISNA((VLOOKUP($B34&amp;"; "&amp;$P$32&amp;", "&amp;H$33,'FE Energie'!$G:$U,12,FALSE)+VLOOKUP($B34&amp;"; "&amp;$P$32&amp;", "&amp;H$33,'FE Energie'!$G:$U,11,FALSE))),0,(VLOOKUP($B34&amp;"; "&amp;$P$32&amp;", "&amp;H$33,'FE Energie'!$G:$U,12,FALSE)+VLOOKUP($B34&amp;"; "&amp;$P$32&amp;", "&amp;H$33,'FE Energie'!$G:$U,11,FALSE)))</f>
        <v>0</v>
      </c>
      <c r="AI34" s="620">
        <f>$F34*IF(ISNA(VLOOKUP($B34&amp;"; "&amp;$G$32&amp;", "&amp;G$33,'FE Energie'!$G:$U,13,FALSE)),0,VLOOKUP($B34&amp;"; "&amp;$G$32&amp;", "&amp;G$33,'FE Energie'!$G:$U,13,FALSE))
+$I34*IF(ISNA(VLOOKUP($B34&amp;"; "&amp;$J$32&amp;", "&amp;G$33,'FE Energie'!$G:$U,13,FALSE)),0,VLOOKUP($B34&amp;"; "&amp;$J$32&amp;", "&amp;G$33,'FE Energie'!$G:$U,13,FALSE))
+$L34*IF(ISNA(VLOOKUP($B34&amp;"; "&amp;$M$32&amp;", "&amp;G$33,'FE Energie'!$G:$U,13,FALSE)),0,VLOOKUP($B34&amp;"; "&amp;$M$32&amp;", "&amp;G$33,'FE Energie'!$G:$U,13,FALSE))
+$O34*IF(ISNA(VLOOKUP($B34&amp;"; "&amp;$P$32&amp;", "&amp;G$33,'FE Energie'!$G:$U,13,FALSE)),0,VLOOKUP($B34&amp;"; "&amp;$P$32&amp;", "&amp;G$33,'FE Energie'!$G:$U,13,FALSE))</f>
        <v>0</v>
      </c>
      <c r="AJ34" s="620">
        <f>$F34*IF(ISNA(VLOOKUP($B34&amp;"; "&amp;$G$32&amp;", "&amp;H$33,'FE Energie'!$G:$U,13,FALSE)),0,VLOOKUP($B34&amp;"; "&amp;$G$32&amp;", "&amp;H$33,'FE Energie'!$G:$U,13,FALSE))
+$I34*IF(ISNA(VLOOKUP($B34&amp;"; "&amp;$J$32&amp;", "&amp;H$33,'FE Energie'!$G:$U,13,FALSE)),0,VLOOKUP($B34&amp;"; "&amp;$J$32&amp;", "&amp;H$33,'FE Energie'!$G:$U,13,FALSE))
+$L34*IF(ISNA(VLOOKUP($B34&amp;"; "&amp;$M$32&amp;", "&amp;H$33,'FE Energie'!$G:$U,13,FALSE)),0,VLOOKUP($B34&amp;"; "&amp;$M$32&amp;", "&amp;H$33,'FE Energie'!$G:$U,13,FALSE))
+$O34*IF(ISNA(VLOOKUP($B34&amp;"; "&amp;$P$32&amp;", "&amp;H$33,'FE Energie'!$G:$U,13,FALSE)),0,VLOOKUP($B34&amp;"; "&amp;$P$32&amp;", "&amp;H$33,'FE Energie'!$G:$U,13,FALSE))</f>
        <v>0</v>
      </c>
      <c r="AK34" s="565">
        <f>$F34*IF(ISNA(VLOOKUP($B34&amp;"; "&amp;$G$32&amp;", "&amp;G$33,'FE Energie'!$G:$U,14,FALSE)),0,VLOOKUP($B34&amp;"; "&amp;$G$32&amp;", "&amp;G$33,'FE Energie'!$G:$U,14,FALSE))
+$I34*IF(ISNA(VLOOKUP($B34&amp;"; "&amp;$J$32&amp;", "&amp;G$33,'FE Energie'!$G:$U,14,FALSE)),0,VLOOKUP($B34&amp;"; "&amp;$J$32&amp;", "&amp;G$33,'FE Energie'!$G:$U,14,FALSE))
+$L34*IF(ISNA(VLOOKUP($B34&amp;"; "&amp;$M$32&amp;", "&amp;G$33,'FE Energie'!$G:$U,14,FALSE)),0,VLOOKUP($B34&amp;"; "&amp;$M$32&amp;", "&amp;G$33,'FE Energie'!$G:$U,14,FALSE))
+$O34*IF(ISNA(VLOOKUP($B34&amp;"; "&amp;$P$32&amp;", "&amp;G$33,'FE Energie'!$G:$U,14,FALSE)),0,VLOOKUP($B34&amp;"; "&amp;$P$32&amp;", "&amp;G$33,'FE Energie'!$G:$U,14,FALSE))</f>
        <v>0</v>
      </c>
      <c r="AL34" s="565">
        <f>$F34*IF(ISNA(VLOOKUP($B34&amp;"; "&amp;$G$32&amp;", "&amp;H$33,'FE Energie'!$G:$U,14,FALSE)),0,VLOOKUP($B34&amp;"; "&amp;$G$32&amp;", "&amp;H$33,'FE Energie'!$G:$U,14,FALSE))
+$I34*IF(ISNA(VLOOKUP($B34&amp;"; "&amp;$J$32&amp;", "&amp;H$33,'FE Energie'!$G:$U,14,FALSE)),0,VLOOKUP($B34&amp;"; "&amp;$J$32&amp;", "&amp;H$33,'FE Energie'!$G:$U,14,FALSE))
+$L34*IF(ISNA(VLOOKUP($B34&amp;"; "&amp;$M$32&amp;", "&amp;H$33,'FE Energie'!$G:$U,14,FALSE)),0,VLOOKUP($B34&amp;"; "&amp;$M$32&amp;", "&amp;H$33,'FE Energie'!$G:$U,14,FALSE))
+$O34*IF(ISNA(VLOOKUP($B34&amp;"; "&amp;$P$32&amp;", "&amp;H$33,'FE Energie'!$G:$U,14,FALSE)),0,VLOOKUP($B34&amp;"; "&amp;$P$32&amp;", "&amp;H$33,'FE Energie'!$G:$U,14,FALSE))</f>
        <v>0</v>
      </c>
      <c r="AM34" s="566">
        <f>SUM(AE34,AG34,AI34,AK34)</f>
        <v>0</v>
      </c>
      <c r="AN34" s="566">
        <f>SUM(AF34,AH34,AJ34,AL34)</f>
        <v>0</v>
      </c>
      <c r="AO34" s="564">
        <f>$F34*IF(ISNA(VLOOKUP($B34&amp;"; "&amp;$G$32&amp;", "&amp;G$33,'FE Energie'!$G:$U,15,FALSE)),0,VLOOKUP($B34&amp;"; "&amp;$G$32&amp;", "&amp;G$33,'FE Energie'!$G:$U,15,FALSE))
+$I34*IF(ISNA(VLOOKUP($B34&amp;"; "&amp;$J$32&amp;", "&amp;G$33,'FE Energie'!$G:$U,15,FALSE)),0,VLOOKUP($B34&amp;"; "&amp;$J$32&amp;", "&amp;G$33,'FE Energie'!$G:$U,15,FALSE))
+$L34*IF(ISNA(VLOOKUP($B34&amp;"; "&amp;$M$32&amp;", "&amp;G$33,'FE Energie'!$G:$U,15,FALSE)),0,VLOOKUP($B34&amp;"; "&amp;$M$32&amp;", "&amp;G$33,'FE Energie'!$G:$U,15,FALSE))
+$O34*IF(ISNA(VLOOKUP($B34&amp;"; "&amp;$P$32&amp;", "&amp;G$33,'FE Energie'!$G:$U,15,FALSE)),0,VLOOKUP($B34&amp;"; "&amp;$P$32&amp;", "&amp;G$33,'FE Energie'!$G:$U,15,FALSE))</f>
        <v>0</v>
      </c>
      <c r="AP34" s="568">
        <f>$F34*IF(ISNA(VLOOKUP($B34&amp;"; "&amp;$G$11&amp;", "&amp;H$33,'FE Energie'!$G:$U,15,FALSE)),0,VLOOKUP($B34&amp;"; "&amp;$G$11&amp;", "&amp;H$33,'FE Energie'!$G:$U,15,FALSE))
+$I34*IF(ISNA(VLOOKUP($B34&amp;"; "&amp;$J$11&amp;", "&amp;H$33,'FE Energie'!$G:$U,15,FALSE)),0,VLOOKUP($B34&amp;"; "&amp;$J$11&amp;", "&amp;H$33,'FE Energie'!$G:$U,15,FALSE))
+$L34*IF(ISNA(VLOOKUP($B34&amp;"; "&amp;$M$11&amp;", "&amp;H$33,'FE Energie'!$G:$U,15,FALSE)),0,VLOOKUP($B34&amp;"; "&amp;$M$11&amp;", "&amp;H$33,'FE Energie'!$G:$U,15,FALSE))
+$O34*IF(ISNA(VLOOKUP($B34&amp;"; "&amp;$P$11&amp;", "&amp;H$33,'FE Energie'!$G:$U,15,FALSE)),0,VLOOKUP($B34&amp;"; "&amp;$P$11&amp;", "&amp;H$33,'FE Energie'!$G:$U,15,FALSE))</f>
        <v>0</v>
      </c>
      <c r="AQ34" s="114"/>
      <c r="AR34" s="1065">
        <f>IF($X34&lt;&gt;"votre valeur :",IF(ISNA(VLOOKUP($X34,Utilitaires!$N$566:$O$571,2,FALSE)),,VLOOKUP($X34,Utilitaires!$N$566:$O$571,2,FALSE)),$Y34)</f>
        <v>0</v>
      </c>
      <c r="AS34" s="1065">
        <f>IF($X34&lt;&gt;"votre valeur :",IF(ISNA(VLOOKUP($X34,Utilitaires!$N$566:$O$571,2,FALSE)),,VLOOKUP($X34,Utilitaires!$N$566:$O$571,2,FALSE)),$Y34)</f>
        <v>0</v>
      </c>
      <c r="AT34" s="1065">
        <f>IF($X34&lt;&gt;"votre valeur :",IF(ISNA(VLOOKUP($X34,Utilitaires!$N$566:$O$571,2,FALSE)),,VLOOKUP($X34,Utilitaires!$N$566:$O$571,2,FALSE)),$Y34)</f>
        <v>0</v>
      </c>
      <c r="AU34" s="1065">
        <f>IF($X34&lt;&gt;"votre valeur :",IF(ISNA(VLOOKUP($X34,Utilitaires!$N$566:$O$571,2,FALSE)),,VLOOKUP($X34,Utilitaires!$N$566:$O$571,2,FALSE)),$Y34)</f>
        <v>0</v>
      </c>
      <c r="AV34" s="1068">
        <f>IF(ISNA(SQRT(SUMSQ(VLOOKUP($B34&amp;"; "&amp;$G$32&amp;", "&amp;$G$33,'FE Energie'!$G:$U,7,FALSE),$AR34))),0,SQRT(SUMSQ(VLOOKUP($B34&amp;"; "&amp;$G$32&amp;", "&amp;$G$33,'FE Energie'!$G:$U,7,FALSE),$AR34)))</f>
        <v>0</v>
      </c>
      <c r="AW34" s="1068">
        <f>IF(ISNA(SQRT(SUMSQ(VLOOKUP($B34&amp;"; "&amp;$J$32&amp;", "&amp;$J$33,'FE Energie'!$G:$U,7,FALSE),$AS34))),0,SQRT(SUMSQ(VLOOKUP($B34&amp;"; "&amp;$J$32&amp;", "&amp;$J$33,'FE Energie'!$G:$U,7,FALSE),$AS34)))</f>
        <v>0.7</v>
      </c>
      <c r="AX34" s="1068">
        <f>IF(ISNA(SQRT(SUMSQ(VLOOKUP($B34&amp;"; "&amp;$M$32&amp;", "&amp;$M$33,'FE Energie'!$G:$U,7,FALSE),$AT34))),0,SQRT(SUMSQ(VLOOKUP($B34&amp;"; "&amp;$M$32&amp;", "&amp;$M$33,'FE Energie'!$G:$U,7,FALSE),$AT34)))</f>
        <v>0.7</v>
      </c>
      <c r="AY34" s="1068">
        <f>IF(ISNA(SQRT(SUMSQ(VLOOKUP($B34&amp;"; "&amp;$P$32&amp;", "&amp;$P$33,'FE Energie'!$G:$U,7,FALSE),$AU34))),0,SQRT(SUMSQ(VLOOKUP($B34&amp;"; "&amp;$P$32&amp;", "&amp;$P$33,'FE Energie'!$G:$U,7,FALSE),$AU34)))</f>
        <v>0</v>
      </c>
      <c r="AZ34" s="1069">
        <f>IF(ISNA(SQRT(SUMSQ(VLOOKUP($B34&amp;"; "&amp;$G$32&amp;", "&amp;$H$33,'FE Energie'!$G:$U,7,FALSE),$AR34))),0,SQRT(SUMSQ(VLOOKUP($B34&amp;"; "&amp;$G$32&amp;", "&amp;$H$33,'FE Energie'!$G:$U,7,FALSE),$AR34)))</f>
        <v>0</v>
      </c>
      <c r="BA34" s="1070">
        <f>IF(ISNA(SQRT(SUMSQ(VLOOKUP($B34&amp;"; "&amp;$J$32&amp;", "&amp;$K$33,'FE Energie'!$G:$U,7,FALSE),$AS34))),0,SQRT(SUMSQ(VLOOKUP($B34&amp;"; "&amp;$J$32&amp;", "&amp;$K$33,'FE Energie'!$G:$U,7,FALSE),$AS34)))</f>
        <v>0.7</v>
      </c>
      <c r="BB34" s="1070">
        <f>IF(ISNA(SQRT(SUMSQ(VLOOKUP($B34&amp;"; "&amp;$M$32&amp;", "&amp;$N$33,'FE Energie'!$G:$U,7,FALSE),$AT34))),0,SQRT(SUMSQ(VLOOKUP($B34&amp;"; "&amp;$M$32&amp;", "&amp;$N$33,'FE Energie'!$G:$U,7,FALSE),$AT34)))</f>
        <v>0.7</v>
      </c>
      <c r="BC34" s="1071">
        <f>IF(ISNA(SQRT(SUMSQ(VLOOKUP($B34&amp;"; "&amp;$P$32&amp;", "&amp;$Q$33,'FE Energie'!$G:$U,7,FALSE),$AU34))),0,SQRT(SUMSQ(VLOOKUP($B34&amp;"; "&amp;$P$32&amp;", "&amp;$Q$33,'FE Energie'!$G:$U,7,FALSE),$AU34)))</f>
        <v>0</v>
      </c>
    </row>
    <row r="35" spans="1:55" s="116" customFormat="1" ht="12.75" hidden="1" customHeight="1" outlineLevel="1">
      <c r="A35" s="114"/>
      <c r="B35" s="143" t="s">
        <v>4813</v>
      </c>
      <c r="C35" s="144"/>
      <c r="D35" s="315">
        <f>R35+S35</f>
        <v>0</v>
      </c>
      <c r="E35" s="345"/>
      <c r="F35" s="1548"/>
      <c r="G35" s="335" t="e">
        <f>VLOOKUP($B35&amp;"; "&amp;$G$32&amp;", "&amp;G$33,'FE Energie'!$G:$U,9,FALSE)</f>
        <v>#N/A</v>
      </c>
      <c r="H35" s="335" t="e">
        <f>VLOOKUP($B35&amp;"; "&amp;$G$32&amp;", "&amp;H$33,'FE Energie'!$G:$U,9,FALSE)</f>
        <v>#N/A</v>
      </c>
      <c r="I35" s="1548"/>
      <c r="J35" s="223">
        <f>VLOOKUP($B35&amp;"; "&amp;$J$32&amp;", "&amp;J$33,'FE Energie'!$G:$U,9,FALSE)</f>
        <v>7.3999999999999996E-2</v>
      </c>
      <c r="K35" s="223">
        <f>VLOOKUP($B35&amp;"; "&amp;$J$32&amp;", "&amp;K$33,'FE Energie'!$G:$U,9,FALSE)</f>
        <v>0</v>
      </c>
      <c r="L35" s="1548"/>
      <c r="M35" s="217">
        <f>VLOOKUP($B35&amp;"; "&amp;$M$11&amp;", "&amp;M$12,'FE Energie'!$G:$U,9,FALSE)</f>
        <v>863</v>
      </c>
      <c r="N35" s="217">
        <f>VLOOKUP($B35&amp;"; "&amp;$M$32&amp;", "&amp;N$33,'FE Energie'!$G:$U,9,FALSE)</f>
        <v>0</v>
      </c>
      <c r="O35" s="1548"/>
      <c r="P35" s="223">
        <f>VLOOKUP($B35&amp;"; "&amp;$P$32&amp;", "&amp;P$33,'FE Energie'!$G:$U,9,FALSE)</f>
        <v>0.49</v>
      </c>
      <c r="Q35" s="223">
        <f>VLOOKUP($B35&amp;"; "&amp;$P$32&amp;", "&amp;Q$33,'FE Energie'!$G:$U,9,FALSE)</f>
        <v>0</v>
      </c>
      <c r="R35" s="566">
        <f>IF(ISNA(F35*G35),0,F35*G35)+IF(ISNA(I35*J35),0,I35*J35)+IF(ISNA(L35*M35),0,L35*M35)+IF(ISNA(O35*P35),0,O35*P35)</f>
        <v>0</v>
      </c>
      <c r="S35" s="567">
        <f>IF(ISNA(F35*H35),0,F35*H35)+IF(ISNA(I35*K35),0,I35*K35)+IF(ISNA(L35*N35),0,L35*N35)+IF(ISNA(O35*Q35),0,O35*Q35)</f>
        <v>0</v>
      </c>
      <c r="T35" s="114"/>
      <c r="U35" s="114"/>
      <c r="V35" s="114"/>
      <c r="W35" s="1092">
        <f>IF(AC35=0,AC35,AC35/(R35+S35))</f>
        <v>0</v>
      </c>
      <c r="X35" s="345"/>
      <c r="Y35" s="820"/>
      <c r="Z35" s="1801">
        <f>SQRT(SUMSQ(IF(ISNA($F35*G35*AV35),0,$F35*G35*AV35),IF(ISNA($I35*J35*AW35),0,$I35*J35*AW35),IF(ISNA($L35*M35*AX35),0,$L35*M35*AX35),IF(ISNA($O35*P35*AY35),0,$O35*P35*AY35)))</f>
        <v>0</v>
      </c>
      <c r="AA35" s="1801">
        <f>SQRT(SUMSQ(IF(ISNA($F35*H35*AZ35),0,$F35*H35*AZ35),IF(ISNA($I35*K35*BA35),0,$I35*K35*BA35),IF(ISNA($L35*N35*BB35),0,$L35*N35*BB35),IF(ISNA($O35*Q35*BC35),0,$O35*Q35*BC35)))</f>
        <v>0</v>
      </c>
      <c r="AB35" s="1801"/>
      <c r="AC35" s="152">
        <f>SQRT(SUMSQ(Z35,AA35))</f>
        <v>0</v>
      </c>
      <c r="AE35" s="564">
        <f>$F35*IF(ISNA(VLOOKUP($B35&amp;"; "&amp;$G$32&amp;", "&amp;G$33,'FE Energie'!$G:$U,10,FALSE)),0,VLOOKUP($B35&amp;"; "&amp;$G$32&amp;", "&amp;G$33,'FE Energie'!$G:$U,10,FALSE))
+$I35*IF(ISNA(VLOOKUP($B35&amp;"; "&amp;$J$32&amp;", "&amp;G$33,'FE Energie'!$G:$U,10,FALSE)),0,VLOOKUP($B35&amp;"; "&amp;$J$32&amp;", "&amp;G$33,'FE Energie'!$G:$U,10,FALSE))
+$L35*IF(ISNA(VLOOKUP($B35&amp;"; "&amp;$M$32&amp;", "&amp;G$33,'FE Energie'!$G:$U,10,FALSE)),0,VLOOKUP($B35&amp;"; "&amp;$M$32&amp;", "&amp;G$33,'FE Energie'!$G:$U,10,FALSE))
+$O35*IF(ISNA(VLOOKUP($B35&amp;"; "&amp;$P$32&amp;", "&amp;G$33,'FE Energie'!$G:$U,10,FALSE)),0,VLOOKUP($B35&amp;"; "&amp;$P$32&amp;", "&amp;G$33,'FE Energie'!$G:$U,10,FALSE))</f>
        <v>0</v>
      </c>
      <c r="AF35" s="565">
        <f>$F35*IF(ISNA(VLOOKUP($B35&amp;"; "&amp;$G$32&amp;", "&amp;H$33,'FE Energie'!$G:$U,10,FALSE)),0,VLOOKUP($B35&amp;"; "&amp;$G$32&amp;", "&amp;H$33,'FE Energie'!$G:$U,10,FALSE))
+$I35*IF(ISNA(VLOOKUP($B35&amp;"; "&amp;$J$32&amp;", "&amp;H$33,'FE Energie'!$G:$U,10,FALSE)),0,VLOOKUP($B35&amp;"; "&amp;$J$32&amp;", "&amp;H$33,'FE Energie'!$G:$U,10,FALSE))
+$L35*IF(ISNA(VLOOKUP($B35&amp;"; "&amp;$M$32&amp;", "&amp;H$33,'FE Energie'!$G:$U,10,FALSE)),0,VLOOKUP($B35&amp;"; "&amp;$M$32&amp;", "&amp;H$33,'FE Energie'!$G:$U,10,FALSE))
+$O35*IF(ISNA(VLOOKUP($B35&amp;"; "&amp;$P$32&amp;", "&amp;H$33,'FE Energie'!$G:$U,10,FALSE)),0,VLOOKUP($B35&amp;"; "&amp;$P$32&amp;", "&amp;H$33,'FE Energie'!$G:$U,10,FALSE))</f>
        <v>0</v>
      </c>
      <c r="AG35" s="620">
        <f>$F35*IF(ISNA((VLOOKUP($B35&amp;"; "&amp;$G$32&amp;", "&amp;G$33,'FE Energie'!$G:$U,12,FALSE)+VLOOKUP($B35&amp;"; "&amp;$G$32&amp;", "&amp;G$33,'FE Energie'!$G:$U,11,FALSE))),0,(VLOOKUP($B35&amp;"; "&amp;$G$32&amp;", "&amp;G$33,'FE Energie'!$G:$U,12,FALSE)+VLOOKUP($B35&amp;"; "&amp;$G$32&amp;", "&amp;G$33,'FE Energie'!$G:$U,11,FALSE)))
+$I35*IF(ISNA((VLOOKUP($B35&amp;"; "&amp;$J$32&amp;", "&amp;G$33,'FE Energie'!$G:$U,12,FALSE)+VLOOKUP($B35&amp;"; "&amp;$J$32&amp;", "&amp;G$33,'FE Energie'!$G:$U,11,FALSE))),0,(VLOOKUP($B35&amp;"; "&amp;$J$32&amp;", "&amp;G$33,'FE Energie'!$G:$U,12,FALSE)+VLOOKUP($B35&amp;"; "&amp;$J$32&amp;", "&amp;G$33,'FE Energie'!$G:$U,11,FALSE)))
+$L35*IF(ISNA((VLOOKUP($B35&amp;"; "&amp;$M$32&amp;", "&amp;G$33,'FE Energie'!$G:$U,12,FALSE)+VLOOKUP($B35&amp;"; "&amp;$M$32&amp;", "&amp;G$33,'FE Energie'!$G:$U,11,FALSE))),0,(VLOOKUP($B35&amp;"; "&amp;$M$32&amp;", "&amp;G$33,'FE Energie'!$G:$U,12,FALSE)+VLOOKUP($B35&amp;"; "&amp;$M$32&amp;", "&amp;G$33,'FE Energie'!$G:$U,11,FALSE)))
+$O35*IF(ISNA((VLOOKUP($B35&amp;"; "&amp;$P$32&amp;", "&amp;G$33,'FE Energie'!$G:$U,12,FALSE)+VLOOKUP($B35&amp;"; "&amp;$P$32&amp;", "&amp;G$33,'FE Energie'!$G:$U,11,FALSE))),0,(VLOOKUP($B35&amp;"; "&amp;$P$32&amp;", "&amp;G$33,'FE Energie'!$G:$U,12,FALSE)+VLOOKUP($B35&amp;"; "&amp;$P$32&amp;", "&amp;G$33,'FE Energie'!$G:$U,11,FALSE)))</f>
        <v>0</v>
      </c>
      <c r="AH35" s="620">
        <f>$F35*IF(ISNA((VLOOKUP($B35&amp;"; "&amp;$G$32&amp;", "&amp;H$33,'FE Energie'!$G:$U,12,FALSE)+VLOOKUP($B35&amp;"; "&amp;$G$32&amp;", "&amp;H$33,'FE Energie'!$G:$U,11,FALSE))),0,(VLOOKUP($B35&amp;"; "&amp;$G$32&amp;", "&amp;H$33,'FE Energie'!$G:$U,12,FALSE)+VLOOKUP($B35&amp;"; "&amp;$G$32&amp;", "&amp;H$33,'FE Energie'!$G:$U,11,FALSE)))
+$I35*IF(ISNA((VLOOKUP($B35&amp;"; "&amp;$J$32&amp;", "&amp;H$33,'FE Energie'!$G:$U,12,FALSE)+VLOOKUP($B35&amp;"; "&amp;$J$32&amp;", "&amp;H$33,'FE Energie'!$G:$U,11,FALSE))),0,(VLOOKUP($B35&amp;"; "&amp;$J$32&amp;", "&amp;H$33,'FE Energie'!$G:$U,12,FALSE)+VLOOKUP($B35&amp;"; "&amp;$J$32&amp;", "&amp;H$33,'FE Energie'!$G:$U,11,FALSE)))
+$L35*IF(ISNA((VLOOKUP($B35&amp;"; "&amp;$M$32&amp;", "&amp;H$33,'FE Energie'!$G:$U,12,FALSE)+VLOOKUP($B35&amp;"; "&amp;$M$32&amp;", "&amp;H$33,'FE Energie'!$G:$U,11,FALSE))),0,(VLOOKUP($B35&amp;"; "&amp;$M$32&amp;", "&amp;H$33,'FE Energie'!$G:$U,12,FALSE)+VLOOKUP($B35&amp;"; "&amp;$M$32&amp;", "&amp;H$33,'FE Energie'!$G:$U,11,FALSE)))
+$O35*IF(ISNA((VLOOKUP($B35&amp;"; "&amp;$P$32&amp;", "&amp;H$33,'FE Energie'!$G:$U,12,FALSE)+VLOOKUP($B35&amp;"; "&amp;$P$32&amp;", "&amp;H$33,'FE Energie'!$G:$U,11,FALSE))),0,(VLOOKUP($B35&amp;"; "&amp;$P$32&amp;", "&amp;H$33,'FE Energie'!$G:$U,12,FALSE)+VLOOKUP($B35&amp;"; "&amp;$P$32&amp;", "&amp;H$33,'FE Energie'!$G:$U,11,FALSE)))</f>
        <v>0</v>
      </c>
      <c r="AI35" s="620">
        <f>$F35*IF(ISNA(VLOOKUP($B35&amp;"; "&amp;$G$32&amp;", "&amp;G$33,'FE Energie'!$G:$U,13,FALSE)),0,VLOOKUP($B35&amp;"; "&amp;$G$32&amp;", "&amp;G$33,'FE Energie'!$G:$U,13,FALSE))
+$I35*IF(ISNA(VLOOKUP($B35&amp;"; "&amp;$J$32&amp;", "&amp;G$33,'FE Energie'!$G:$U,13,FALSE)),0,VLOOKUP($B35&amp;"; "&amp;$J$32&amp;", "&amp;G$33,'FE Energie'!$G:$U,13,FALSE))
+$L35*IF(ISNA(VLOOKUP($B35&amp;"; "&amp;$M$32&amp;", "&amp;G$33,'FE Energie'!$G:$U,13,FALSE)),0,VLOOKUP($B35&amp;"; "&amp;$M$32&amp;", "&amp;G$33,'FE Energie'!$G:$U,13,FALSE))
+$O35*IF(ISNA(VLOOKUP($B35&amp;"; "&amp;$P$32&amp;", "&amp;G$33,'FE Energie'!$G:$U,13,FALSE)),0,VLOOKUP($B35&amp;"; "&amp;$P$32&amp;", "&amp;G$33,'FE Energie'!$G:$U,13,FALSE))</f>
        <v>0</v>
      </c>
      <c r="AJ35" s="620">
        <f>$F35*IF(ISNA(VLOOKUP($B35&amp;"; "&amp;$G$32&amp;", "&amp;H$33,'FE Energie'!$G:$U,13,FALSE)),0,VLOOKUP($B35&amp;"; "&amp;$G$32&amp;", "&amp;H$33,'FE Energie'!$G:$U,13,FALSE))
+$I35*IF(ISNA(VLOOKUP($B35&amp;"; "&amp;$J$32&amp;", "&amp;H$33,'FE Energie'!$G:$U,13,FALSE)),0,VLOOKUP($B35&amp;"; "&amp;$J$32&amp;", "&amp;H$33,'FE Energie'!$G:$U,13,FALSE))
+$L35*IF(ISNA(VLOOKUP($B35&amp;"; "&amp;$M$32&amp;", "&amp;H$33,'FE Energie'!$G:$U,13,FALSE)),0,VLOOKUP($B35&amp;"; "&amp;$M$32&amp;", "&amp;H$33,'FE Energie'!$G:$U,13,FALSE))
+$O35*IF(ISNA(VLOOKUP($B35&amp;"; "&amp;$P$32&amp;", "&amp;H$33,'FE Energie'!$G:$U,13,FALSE)),0,VLOOKUP($B35&amp;"; "&amp;$P$32&amp;", "&amp;H$33,'FE Energie'!$G:$U,13,FALSE))</f>
        <v>0</v>
      </c>
      <c r="AK35" s="565">
        <f>$F35*IF(ISNA(VLOOKUP($B35&amp;"; "&amp;$G$32&amp;", "&amp;G$33,'FE Energie'!$G:$U,14,FALSE)),0,VLOOKUP($B35&amp;"; "&amp;$G$32&amp;", "&amp;G$33,'FE Energie'!$G:$U,14,FALSE))
+$I35*IF(ISNA(VLOOKUP($B35&amp;"; "&amp;$J$32&amp;", "&amp;G$33,'FE Energie'!$G:$U,14,FALSE)),0,VLOOKUP($B35&amp;"; "&amp;$J$32&amp;", "&amp;G$33,'FE Energie'!$G:$U,14,FALSE))
+$L35*IF(ISNA(VLOOKUP($B35&amp;"; "&amp;$M$32&amp;", "&amp;G$33,'FE Energie'!$G:$U,14,FALSE)),0,VLOOKUP($B35&amp;"; "&amp;$M$32&amp;", "&amp;G$33,'FE Energie'!$G:$U,14,FALSE))
+$O35*IF(ISNA(VLOOKUP($B35&amp;"; "&amp;$P$32&amp;", "&amp;G$33,'FE Energie'!$G:$U,14,FALSE)),0,VLOOKUP($B35&amp;"; "&amp;$P$32&amp;", "&amp;G$33,'FE Energie'!$G:$U,14,FALSE))</f>
        <v>0</v>
      </c>
      <c r="AL35" s="565">
        <f>$F35*IF(ISNA(VLOOKUP($B35&amp;"; "&amp;$G$32&amp;", "&amp;H$33,'FE Energie'!$G:$U,14,FALSE)),0,VLOOKUP($B35&amp;"; "&amp;$G$32&amp;", "&amp;H$33,'FE Energie'!$G:$U,14,FALSE))
+$I35*IF(ISNA(VLOOKUP($B35&amp;"; "&amp;$J$32&amp;", "&amp;H$33,'FE Energie'!$G:$U,14,FALSE)),0,VLOOKUP($B35&amp;"; "&amp;$J$32&amp;", "&amp;H$33,'FE Energie'!$G:$U,14,FALSE))
+$L35*IF(ISNA(VLOOKUP($B35&amp;"; "&amp;$M$32&amp;", "&amp;H$33,'FE Energie'!$G:$U,14,FALSE)),0,VLOOKUP($B35&amp;"; "&amp;$M$32&amp;", "&amp;H$33,'FE Energie'!$G:$U,14,FALSE))
+$O35*IF(ISNA(VLOOKUP($B35&amp;"; "&amp;$P$32&amp;", "&amp;H$33,'FE Energie'!$G:$U,14,FALSE)),0,VLOOKUP($B35&amp;"; "&amp;$P$32&amp;", "&amp;H$33,'FE Energie'!$G:$U,14,FALSE))</f>
        <v>0</v>
      </c>
      <c r="AM35" s="566">
        <f>SUM(AE35,AG35,AI35,AK35)</f>
        <v>0</v>
      </c>
      <c r="AN35" s="566">
        <f>SUM(AF35,AH35,AJ35,AL35)</f>
        <v>0</v>
      </c>
      <c r="AO35" s="564">
        <f>$F35*IF(ISNA(VLOOKUP($B35&amp;"; "&amp;$G$32&amp;", "&amp;G$33,'FE Energie'!$G:$U,15,FALSE)),0,VLOOKUP($B35&amp;"; "&amp;$G$32&amp;", "&amp;G$33,'FE Energie'!$G:$U,15,FALSE))
+$I35*IF(ISNA(VLOOKUP($B35&amp;"; "&amp;$J$32&amp;", "&amp;G$33,'FE Energie'!$G:$U,15,FALSE)),0,VLOOKUP($B35&amp;"; "&amp;$J$32&amp;", "&amp;G$33,'FE Energie'!$G:$U,15,FALSE))
+$L35*IF(ISNA(VLOOKUP($B35&amp;"; "&amp;$M$32&amp;", "&amp;G$33,'FE Energie'!$G:$U,15,FALSE)),0,VLOOKUP($B35&amp;"; "&amp;$M$32&amp;", "&amp;G$33,'FE Energie'!$G:$U,15,FALSE))
+$O35*IF(ISNA(VLOOKUP($B35&amp;"; "&amp;$P$32&amp;", "&amp;G$33,'FE Energie'!$G:$U,15,FALSE)),0,VLOOKUP($B35&amp;"; "&amp;$P$32&amp;", "&amp;G$33,'FE Energie'!$G:$U,15,FALSE))</f>
        <v>0</v>
      </c>
      <c r="AP35" s="568">
        <f>$F35*IF(ISNA(VLOOKUP($B35&amp;"; "&amp;$G$11&amp;", "&amp;H$33,'FE Energie'!$G:$U,15,FALSE)),0,VLOOKUP($B35&amp;"; "&amp;$G$11&amp;", "&amp;H$33,'FE Energie'!$G:$U,15,FALSE))
+$I35*IF(ISNA(VLOOKUP($B35&amp;"; "&amp;$J$11&amp;", "&amp;H$33,'FE Energie'!$G:$U,15,FALSE)),0,VLOOKUP($B35&amp;"; "&amp;$J$11&amp;", "&amp;H$33,'FE Energie'!$G:$U,15,FALSE))
+$L35*IF(ISNA(VLOOKUP($B35&amp;"; "&amp;$M$11&amp;", "&amp;H$33,'FE Energie'!$G:$U,15,FALSE)),0,VLOOKUP($B35&amp;"; "&amp;$M$11&amp;", "&amp;H$33,'FE Energie'!$G:$U,15,FALSE))
+$O35*IF(ISNA(VLOOKUP($B35&amp;"; "&amp;$P$11&amp;", "&amp;H$33,'FE Energie'!$G:$U,15,FALSE)),0,VLOOKUP($B35&amp;"; "&amp;$P$11&amp;", "&amp;H$33,'FE Energie'!$G:$U,15,FALSE))</f>
        <v>0</v>
      </c>
      <c r="AQ35" s="114"/>
      <c r="AR35" s="1065">
        <f>IF($X35&lt;&gt;"votre valeur :",IF(ISNA(VLOOKUP($X35,Utilitaires!$N$566:$O$571,2,FALSE)),,VLOOKUP($X35,Utilitaires!$N$566:$O$571,2,FALSE)),$Y35)</f>
        <v>0</v>
      </c>
      <c r="AS35" s="1065">
        <f>IF($X35&lt;&gt;"votre valeur :",IF(ISNA(VLOOKUP($X35,Utilitaires!$N$566:$O$571,2,FALSE)),,VLOOKUP($X35,Utilitaires!$N$566:$O$571,2,FALSE)),$Y35)</f>
        <v>0</v>
      </c>
      <c r="AT35" s="1065">
        <f>IF($X35&lt;&gt;"votre valeur :",IF(ISNA(VLOOKUP($X35,Utilitaires!$N$566:$O$571,2,FALSE)),,VLOOKUP($X35,Utilitaires!$N$566:$O$571,2,FALSE)),$Y35)</f>
        <v>0</v>
      </c>
      <c r="AU35" s="1065">
        <f>IF($X35&lt;&gt;"votre valeur :",IF(ISNA(VLOOKUP($X35,Utilitaires!$N$566:$O$571,2,FALSE)),,VLOOKUP($X35,Utilitaires!$N$566:$O$571,2,FALSE)),$Y35)</f>
        <v>0</v>
      </c>
      <c r="AV35" s="1068">
        <f>IF(ISNA(SQRT(SUMSQ(VLOOKUP($B35&amp;"; "&amp;$G$32&amp;", "&amp;$G$33,'FE Energie'!$G:$U,7,FALSE),$AR35))),0,SQRT(SUMSQ(VLOOKUP($B35&amp;"; "&amp;$G$32&amp;", "&amp;$G$33,'FE Energie'!$G:$U,7,FALSE),$AR35)))</f>
        <v>0</v>
      </c>
      <c r="AW35" s="1068">
        <f>IF(ISNA(SQRT(SUMSQ(VLOOKUP($B35&amp;"; "&amp;$J$32&amp;", "&amp;$J$33,'FE Energie'!$G:$U,7,FALSE),$AS35))),0,SQRT(SUMSQ(VLOOKUP($B35&amp;"; "&amp;$J$32&amp;", "&amp;$J$33,'FE Energie'!$G:$U,7,FALSE),$AS35)))</f>
        <v>0.2</v>
      </c>
      <c r="AX35" s="1068">
        <f>IF(ISNA(SQRT(SUMSQ(VLOOKUP($B35&amp;"; "&amp;$M$32&amp;", "&amp;$M$33,'FE Energie'!$G:$U,7,FALSE),$AT35))),0,SQRT(SUMSQ(VLOOKUP($B35&amp;"; "&amp;$M$32&amp;", "&amp;$M$33,'FE Energie'!$G:$U,7,FALSE),$AT35)))</f>
        <v>0.2</v>
      </c>
      <c r="AY35" s="1068">
        <f>IF(ISNA(SQRT(SUMSQ(VLOOKUP($B35&amp;"; "&amp;$P$32&amp;", "&amp;$P$33,'FE Energie'!$G:$U,7,FALSE),$AU35))),0,SQRT(SUMSQ(VLOOKUP($B35&amp;"; "&amp;$P$32&amp;", "&amp;$P$33,'FE Energie'!$G:$U,7,FALSE),$AU35)))</f>
        <v>0.2</v>
      </c>
      <c r="AZ35" s="1069">
        <f>IF(ISNA(SQRT(SUMSQ(VLOOKUP($B35&amp;"; "&amp;$G$32&amp;", "&amp;$H$33,'FE Energie'!$G:$U,7,FALSE),$AR35))),0,SQRT(SUMSQ(VLOOKUP($B35&amp;"; "&amp;$G$32&amp;", "&amp;$H$33,'FE Energie'!$G:$U,7,FALSE),$AR35)))</f>
        <v>0</v>
      </c>
      <c r="BA35" s="1070">
        <f>IF(ISNA(SQRT(SUMSQ(VLOOKUP($B35&amp;"; "&amp;$J$32&amp;", "&amp;$K$33,'FE Energie'!$G:$U,7,FALSE),$AS35))),0,SQRT(SUMSQ(VLOOKUP($B35&amp;"; "&amp;$J$32&amp;", "&amp;$K$33,'FE Energie'!$G:$U,7,FALSE),$AS35)))</f>
        <v>0.2</v>
      </c>
      <c r="BB35" s="1070">
        <f>IF(ISNA(SQRT(SUMSQ(VLOOKUP($B35&amp;"; "&amp;$M$32&amp;", "&amp;$N$33,'FE Energie'!$G:$U,7,FALSE),$AT35))),0,SQRT(SUMSQ(VLOOKUP($B35&amp;"; "&amp;$M$32&amp;", "&amp;$N$33,'FE Energie'!$G:$U,7,FALSE),$AT35)))</f>
        <v>0.2</v>
      </c>
      <c r="BC35" s="1071">
        <f>IF(ISNA(SQRT(SUMSQ(VLOOKUP($B35&amp;"; "&amp;$P$32&amp;", "&amp;$Q$33,'FE Energie'!$G:$U,7,FALSE),$AU35))),0,SQRT(SUMSQ(VLOOKUP($B35&amp;"; "&amp;$P$32&amp;", "&amp;$Q$33,'FE Energie'!$G:$U,7,FALSE),$AU35)))</f>
        <v>0.2</v>
      </c>
    </row>
    <row r="36" spans="1:55" s="116" customFormat="1" ht="12.75" hidden="1" customHeight="1" outlineLevel="1">
      <c r="A36" s="114"/>
      <c r="B36" s="536" t="s">
        <v>121</v>
      </c>
      <c r="C36" s="144"/>
      <c r="D36" s="315"/>
      <c r="E36" s="822"/>
      <c r="F36" s="1853" t="s">
        <v>1621</v>
      </c>
      <c r="G36" s="2628" t="s">
        <v>1572</v>
      </c>
      <c r="H36" s="2628"/>
      <c r="I36" s="1583"/>
      <c r="J36" s="223"/>
      <c r="K36" s="223"/>
      <c r="L36" s="1583"/>
      <c r="M36" s="217"/>
      <c r="N36" s="217"/>
      <c r="O36" s="1583"/>
      <c r="P36" s="223"/>
      <c r="Q36" s="223"/>
      <c r="R36" s="566"/>
      <c r="S36" s="567"/>
      <c r="T36" s="114"/>
      <c r="U36" s="114"/>
      <c r="V36" s="114"/>
      <c r="W36" s="1092"/>
      <c r="X36" s="164"/>
      <c r="Y36" s="820"/>
      <c r="Z36" s="1801"/>
      <c r="AA36" s="1801"/>
      <c r="AB36" s="1801"/>
      <c r="AC36" s="152"/>
      <c r="AE36" s="564"/>
      <c r="AF36" s="565"/>
      <c r="AG36" s="620"/>
      <c r="AH36" s="620"/>
      <c r="AI36" s="620"/>
      <c r="AJ36" s="620"/>
      <c r="AK36" s="565"/>
      <c r="AL36" s="565"/>
      <c r="AM36" s="566"/>
      <c r="AN36" s="566"/>
      <c r="AO36" s="564"/>
      <c r="AP36" s="568"/>
      <c r="AQ36" s="114"/>
      <c r="AR36" s="1815" t="s">
        <v>1670</v>
      </c>
      <c r="AS36" s="1816" t="s">
        <v>1640</v>
      </c>
      <c r="AT36" s="1816" t="s">
        <v>1641</v>
      </c>
      <c r="AU36" s="1817" t="s">
        <v>1642</v>
      </c>
      <c r="AV36" s="1816" t="s">
        <v>1643</v>
      </c>
      <c r="AW36" s="1816" t="s">
        <v>1640</v>
      </c>
      <c r="AX36" s="1816" t="s">
        <v>1641</v>
      </c>
      <c r="AY36" s="1817" t="s">
        <v>1642</v>
      </c>
      <c r="AZ36" s="1815" t="s">
        <v>1643</v>
      </c>
      <c r="BA36" s="1816" t="s">
        <v>1640</v>
      </c>
      <c r="BB36" s="1816" t="s">
        <v>1641</v>
      </c>
      <c r="BC36" s="1817" t="s">
        <v>1642</v>
      </c>
    </row>
    <row r="37" spans="1:55" s="116" customFormat="1" ht="12.75" hidden="1" customHeight="1" outlineLevel="1">
      <c r="A37" s="114"/>
      <c r="B37" s="143" t="s">
        <v>1665</v>
      </c>
      <c r="C37" s="1801"/>
      <c r="D37" s="315">
        <f>R37+S37</f>
        <v>0</v>
      </c>
      <c r="E37" s="1047"/>
      <c r="F37" s="1547"/>
      <c r="G37" s="335">
        <f>VLOOKUP($B37&amp;"; "&amp;$G$36&amp;", "&amp;G$33,'FE Energie'!$G:$U,9,FALSE)</f>
        <v>4.1200000000000001E-2</v>
      </c>
      <c r="H37" s="335">
        <f>VLOOKUP($B37&amp;"; "&amp;$G$36&amp;", "&amp;H$33,'FE Energie'!$G:$U,9,FALSE)</f>
        <v>7.2599999999999998E-2</v>
      </c>
      <c r="I37" s="1547"/>
      <c r="J37" s="223">
        <f>VLOOKUP($B37&amp;"; "&amp;$J$32&amp;", "&amp;J$33,'FE Energie'!$G:$U,9,FALSE)</f>
        <v>1.0699999999999999E-2</v>
      </c>
      <c r="K37" s="223">
        <f>VLOOKUP($B37&amp;"; "&amp;$J$32&amp;", "&amp;K$33,'FE Energie'!$G:$U,9,FALSE)</f>
        <v>1.8800000000000001E-2</v>
      </c>
      <c r="L37" s="1547"/>
      <c r="M37" s="217" t="e">
        <f>VLOOKUP($B37&amp;"; "&amp;$M$11&amp;", "&amp;M$12,'FE Energie'!$G:$U,9,FALSE)</f>
        <v>#N/A</v>
      </c>
      <c r="N37" s="217" t="e">
        <f>VLOOKUP($B37&amp;"; "&amp;$M$32&amp;", "&amp;N$33,'FE Energie'!$G:$U,9,FALSE)</f>
        <v>#N/A</v>
      </c>
      <c r="O37" s="1547"/>
      <c r="P37" s="223" t="e">
        <f>VLOOKUP($B37&amp;"; "&amp;$P$32&amp;", "&amp;P$33,'FE Energie'!$G:$U,9,FALSE)</f>
        <v>#N/A</v>
      </c>
      <c r="Q37" s="223" t="e">
        <f>VLOOKUP($B37&amp;"; "&amp;$P$32&amp;", "&amp;Q$33,'FE Energie'!$G:$U,9,FALSE)</f>
        <v>#N/A</v>
      </c>
      <c r="R37" s="566">
        <f>IF(ISNA(F37*G37),0,F37*G37)+IF(ISNA(I37*J37),0,I37*J37)+IF(ISNA(L37*M37),0,L37*M37)+IF(ISNA(O37*P37),0,O37*P37)</f>
        <v>0</v>
      </c>
      <c r="S37" s="567">
        <f>IF(ISNA(F37*H37),0,F37*H37)+IF(ISNA(I37*K37),0,I37*K37)+IF(ISNA(L37*N37),0,L37*N37)+IF(ISNA(O37*Q37),0,O37*Q37)</f>
        <v>0</v>
      </c>
      <c r="T37" s="114"/>
      <c r="U37" s="114"/>
      <c r="V37" s="114"/>
      <c r="W37" s="1092">
        <f>IF(AC37=0,AC37,AC37/(R37+S37))</f>
        <v>0</v>
      </c>
      <c r="X37" s="343"/>
      <c r="Y37" s="820"/>
      <c r="Z37" s="1801">
        <f>SQRT(SUMSQ(IF(ISNA($F37*G37*AV37),0,$F37*G37*AV37),IF(ISNA($I37*J37*AW37),0,$I37*J37*AW37),IF(ISNA($L37*M37*AX37),0,$L37*M37*AX37),IF(ISNA($O37*P37*AY37),0,$O37*P37*AY37)))</f>
        <v>0</v>
      </c>
      <c r="AA37" s="1801">
        <f>SQRT(SUMSQ(IF(ISNA($F37*H37*AZ37),0,$F37*H37*AZ37),IF(ISNA($I37*K37*BA37),0,$I37*K37*BA37),IF(ISNA($L37*N37*BB37),0,$L37*N37*BB37),IF(ISNA($O37*Q37*BC37),0,$O37*Q37*BC37)))</f>
        <v>0</v>
      </c>
      <c r="AB37" s="1801"/>
      <c r="AC37" s="152">
        <f>SQRT(SUMSQ(Z37,AA37))</f>
        <v>0</v>
      </c>
      <c r="AE37" s="564">
        <f>$F37*IF(ISNA(VLOOKUP($B37&amp;"; "&amp;$G$36&amp;", "&amp;G$33,'FE Energie'!$G:$U,10,FALSE)),0,VLOOKUP($B37&amp;"; "&amp;$G$36&amp;", "&amp;G$33,'FE Energie'!$G:$U,10,FALSE))
+$I37*IF(ISNA(VLOOKUP($B37&amp;"; "&amp;$J$32&amp;", "&amp;G$33,'FE Energie'!$G:$U,10,FALSE)),0,VLOOKUP($B37&amp;"; "&amp;$J$32&amp;", "&amp;G$33,'FE Energie'!$G:$U,10,FALSE))
+$L37*IF(ISNA(VLOOKUP($B37&amp;"; "&amp;$M$32&amp;", "&amp;G$33,'FE Energie'!$G:$U,10,FALSE)),0,VLOOKUP($B37&amp;"; "&amp;$M$32&amp;", "&amp;G$33,'FE Energie'!$G:$U,10,FALSE))
+$O37*IF(ISNA(VLOOKUP($B37&amp;"; "&amp;$P$32&amp;", "&amp;G$33,'FE Energie'!$G:$U,10,FALSE)),0,VLOOKUP($B37&amp;"; "&amp;$P$32&amp;", "&amp;G$33,'FE Energie'!$G:$U,10,FALSE))</f>
        <v>0</v>
      </c>
      <c r="AF37" s="565">
        <f>$F37*IF(ISNA(VLOOKUP($B37&amp;"; "&amp;$G$36&amp;", "&amp;H$33,'FE Energie'!$G:$U,10,FALSE)),0,VLOOKUP($B37&amp;"; "&amp;$G$36&amp;", "&amp;H$33,'FE Energie'!$G:$U,10,FALSE))
+$I37*IF(ISNA(VLOOKUP($B37&amp;"; "&amp;$J$32&amp;", "&amp;H$33,'FE Energie'!$G:$U,10,FALSE)),0,VLOOKUP($B37&amp;"; "&amp;$J$32&amp;", "&amp;H$33,'FE Energie'!$G:$U,10,FALSE))
+$L37*IF(ISNA(VLOOKUP($B37&amp;"; "&amp;$M$32&amp;", "&amp;H$33,'FE Energie'!$G:$U,10,FALSE)),0,VLOOKUP($B37&amp;"; "&amp;$M$32&amp;", "&amp;H$33,'FE Energie'!$G:$U,10,FALSE))
+$O37*IF(ISNA(VLOOKUP($B37&amp;"; "&amp;$P$32&amp;", "&amp;H$33,'FE Energie'!$G:$U,10,FALSE)),0,VLOOKUP($B37&amp;"; "&amp;$P$32&amp;", "&amp;H$33,'FE Energie'!$G:$U,10,FALSE))</f>
        <v>0</v>
      </c>
      <c r="AG37" s="620">
        <f>$F37*IF(ISNA((VLOOKUP($B37&amp;"; "&amp;$G$36&amp;", "&amp;G$33,'FE Energie'!$G:$U,12,FALSE)+VLOOKUP($B37&amp;"; "&amp;$G$36&amp;", "&amp;G$33,'FE Energie'!$G:$U,11,FALSE))),0,(VLOOKUP($B37&amp;"; "&amp;$G$36&amp;", "&amp;G$33,'FE Energie'!$G:$U,12,FALSE)+VLOOKUP($B37&amp;"; "&amp;$G$36&amp;", "&amp;G$33,'FE Energie'!$G:$U,11,FALSE)))
+$I37*IF(ISNA((VLOOKUP($B37&amp;"; "&amp;$J$32&amp;", "&amp;G$33,'FE Energie'!$G:$U,12,FALSE)+VLOOKUP($B37&amp;"; "&amp;$J$32&amp;", "&amp;G$33,'FE Energie'!$G:$U,11,FALSE))),0,(VLOOKUP($B37&amp;"; "&amp;$J$32&amp;", "&amp;G$33,'FE Energie'!$G:$U,12,FALSE)+VLOOKUP($B37&amp;"; "&amp;$J$32&amp;", "&amp;G$33,'FE Energie'!$G:$U,11,FALSE)))
+$L37*IF(ISNA((VLOOKUP($B37&amp;"; "&amp;$M$32&amp;", "&amp;G$33,'FE Energie'!$G:$U,12,FALSE)+VLOOKUP($B37&amp;"; "&amp;$M$32&amp;", "&amp;G$33,'FE Energie'!$G:$U,11,FALSE))),0,(VLOOKUP($B37&amp;"; "&amp;$M$32&amp;", "&amp;G$33,'FE Energie'!$G:$U,12,FALSE)+VLOOKUP($B37&amp;"; "&amp;$M$32&amp;", "&amp;G$33,'FE Energie'!$G:$U,11,FALSE)))
+$O37*IF(ISNA((VLOOKUP($B37&amp;"; "&amp;$P$32&amp;", "&amp;G$33,'FE Energie'!$G:$U,12,FALSE)+VLOOKUP($B37&amp;"; "&amp;$P$32&amp;", "&amp;G$33,'FE Energie'!$G:$U,11,FALSE))),0,(VLOOKUP($B37&amp;"; "&amp;$P$32&amp;", "&amp;G$33,'FE Energie'!$G:$U,12,FALSE)+VLOOKUP($B37&amp;"; "&amp;$P$32&amp;", "&amp;G$33,'FE Energie'!$G:$U,11,FALSE)))</f>
        <v>0</v>
      </c>
      <c r="AH37" s="620">
        <f>$F37*IF(ISNA((VLOOKUP($B37&amp;"; "&amp;$G$36&amp;", "&amp;H$33,'FE Energie'!$G:$U,12,FALSE)+VLOOKUP($B37&amp;"; "&amp;$G$36&amp;", "&amp;H$33,'FE Energie'!$G:$U,11,FALSE))),0,(VLOOKUP($B37&amp;"; "&amp;$G$36&amp;", "&amp;H$33,'FE Energie'!$G:$U,12,FALSE)+VLOOKUP($B37&amp;"; "&amp;$G$36&amp;", "&amp;H$33,'FE Energie'!$G:$U,11,FALSE)))
+$I37*IF(ISNA((VLOOKUP($B37&amp;"; "&amp;$J$32&amp;", "&amp;H$33,'FE Energie'!$G:$U,12,FALSE)+VLOOKUP($B37&amp;"; "&amp;$J$32&amp;", "&amp;H$33,'FE Energie'!$G:$U,11,FALSE))),0,(VLOOKUP($B37&amp;"; "&amp;$J$32&amp;", "&amp;H$33,'FE Energie'!$G:$U,12,FALSE)+VLOOKUP($B37&amp;"; "&amp;$J$32&amp;", "&amp;H$33,'FE Energie'!$G:$U,11,FALSE)))
+$L37*IF(ISNA((VLOOKUP($B37&amp;"; "&amp;$M$32&amp;", "&amp;H$33,'FE Energie'!$G:$U,12,FALSE)+VLOOKUP($B37&amp;"; "&amp;$M$32&amp;", "&amp;H$33,'FE Energie'!$G:$U,11,FALSE))),0,(VLOOKUP($B37&amp;"; "&amp;$M$32&amp;", "&amp;H$33,'FE Energie'!$G:$U,12,FALSE)+VLOOKUP($B37&amp;"; "&amp;$M$32&amp;", "&amp;H$33,'FE Energie'!$G:$U,11,FALSE)))
+$O37*IF(ISNA((VLOOKUP($B37&amp;"; "&amp;$P$32&amp;", "&amp;H$33,'FE Energie'!$G:$U,12,FALSE)+VLOOKUP($B37&amp;"; "&amp;$P$32&amp;", "&amp;H$33,'FE Energie'!$G:$U,11,FALSE))),0,(VLOOKUP($B37&amp;"; "&amp;$P$32&amp;", "&amp;H$33,'FE Energie'!$G:$U,12,FALSE)+VLOOKUP($B37&amp;"; "&amp;$P$32&amp;", "&amp;H$33,'FE Energie'!$G:$U,11,FALSE)))</f>
        <v>0</v>
      </c>
      <c r="AI37" s="620">
        <f>$F37*IF(ISNA(VLOOKUP($B37&amp;"; "&amp;$G$36&amp;", "&amp;G$33,'FE Energie'!$G:$U,13,FALSE)),0,VLOOKUP($B37&amp;"; "&amp;$G$36&amp;", "&amp;G$33,'FE Energie'!$G:$U,13,FALSE))
+$I37*IF(ISNA(VLOOKUP($B37&amp;"; "&amp;$J$32&amp;", "&amp;G$33,'FE Energie'!$G:$U,13,FALSE)),0,VLOOKUP($B37&amp;"; "&amp;$J$32&amp;", "&amp;G$33,'FE Energie'!$G:$U,13,FALSE))
+$L37*IF(ISNA(VLOOKUP($B37&amp;"; "&amp;$M$32&amp;", "&amp;G$33,'FE Energie'!$G:$U,13,FALSE)),0,VLOOKUP($B37&amp;"; "&amp;$M$32&amp;", "&amp;G$33,'FE Energie'!$G:$U,13,FALSE))
+$O37*IF(ISNA(VLOOKUP($B37&amp;"; "&amp;$P$32&amp;", "&amp;G$33,'FE Energie'!$G:$U,13,FALSE)),0,VLOOKUP($B37&amp;"; "&amp;$P$32&amp;", "&amp;G$33,'FE Energie'!$G:$U,13,FALSE))</f>
        <v>0</v>
      </c>
      <c r="AJ37" s="620">
        <f>$F37*IF(ISNA(VLOOKUP($B37&amp;"; "&amp;$G$36&amp;", "&amp;H$33,'FE Energie'!$G:$U,13,FALSE)),0,VLOOKUP($B37&amp;"; "&amp;$G$36&amp;", "&amp;H$33,'FE Energie'!$G:$U,13,FALSE))
+$I37*IF(ISNA(VLOOKUP($B37&amp;"; "&amp;$J$32&amp;", "&amp;H$33,'FE Energie'!$G:$U,13,FALSE)),0,VLOOKUP($B37&amp;"; "&amp;$J$32&amp;", "&amp;H$33,'FE Energie'!$G:$U,13,FALSE))
+$L37*IF(ISNA(VLOOKUP($B37&amp;"; "&amp;$M$32&amp;", "&amp;H$33,'FE Energie'!$G:$U,13,FALSE)),0,VLOOKUP($B37&amp;"; "&amp;$M$32&amp;", "&amp;H$33,'FE Energie'!$G:$U,13,FALSE))
+$O37*IF(ISNA(VLOOKUP($B37&amp;"; "&amp;$P$32&amp;", "&amp;H$33,'FE Energie'!$G:$U,13,FALSE)),0,VLOOKUP($B37&amp;"; "&amp;$P$32&amp;", "&amp;H$33,'FE Energie'!$G:$U,13,FALSE))</f>
        <v>0</v>
      </c>
      <c r="AK37" s="565">
        <f>$F37*IF(ISNA(VLOOKUP($B37&amp;"; "&amp;$G$36&amp;", "&amp;G$33,'FE Energie'!$G:$U,14,FALSE)),0,VLOOKUP($B37&amp;"; "&amp;$G$36&amp;", "&amp;G$33,'FE Energie'!$G:$U,14,FALSE))
+$I37*IF(ISNA(VLOOKUP($B37&amp;"; "&amp;$J$32&amp;", "&amp;G$33,'FE Energie'!$G:$U,14,FALSE)),0,VLOOKUP($B37&amp;"; "&amp;$J$32&amp;", "&amp;G$33,'FE Energie'!$G:$U,14,FALSE))
+$L37*IF(ISNA(VLOOKUP($B37&amp;"; "&amp;$M$32&amp;", "&amp;G$33,'FE Energie'!$G:$U,14,FALSE)),0,VLOOKUP($B37&amp;"; "&amp;$M$32&amp;", "&amp;G$33,'FE Energie'!$G:$U,14,FALSE))
+$O37*IF(ISNA(VLOOKUP($B37&amp;"; "&amp;$P$32&amp;", "&amp;G$33,'FE Energie'!$G:$U,14,FALSE)),0,VLOOKUP($B37&amp;"; "&amp;$P$32&amp;", "&amp;G$33,'FE Energie'!$G:$U,14,FALSE))</f>
        <v>0</v>
      </c>
      <c r="AL37" s="565">
        <f>$F37*IF(ISNA(VLOOKUP($B37&amp;"; "&amp;$G$36&amp;", "&amp;H$33,'FE Energie'!$G:$U,14,FALSE)),0,VLOOKUP($B37&amp;"; "&amp;$G$36&amp;", "&amp;H$33,'FE Energie'!$G:$U,14,FALSE))
+$I37*IF(ISNA(VLOOKUP($B37&amp;"; "&amp;$J$32&amp;", "&amp;H$33,'FE Energie'!$G:$U,14,FALSE)),0,VLOOKUP($B37&amp;"; "&amp;$J$32&amp;", "&amp;H$33,'FE Energie'!$G:$U,14,FALSE))
+$L37*IF(ISNA(VLOOKUP($B37&amp;"; "&amp;$M$32&amp;", "&amp;H$33,'FE Energie'!$G:$U,14,FALSE)),0,VLOOKUP($B37&amp;"; "&amp;$M$32&amp;", "&amp;H$33,'FE Energie'!$G:$U,14,FALSE))
+$O37*IF(ISNA(VLOOKUP($B37&amp;"; "&amp;$P$32&amp;", "&amp;H$33,'FE Energie'!$G:$U,14,FALSE)),0,VLOOKUP($B37&amp;"; "&amp;$P$32&amp;", "&amp;H$33,'FE Energie'!$G:$U,14,FALSE))</f>
        <v>0</v>
      </c>
      <c r="AM37" s="566">
        <f>SUM(AE37,AG37,AI37,AK37)</f>
        <v>0</v>
      </c>
      <c r="AN37" s="566">
        <f>SUM(AF37,AH37,AJ37,AL37)</f>
        <v>0</v>
      </c>
      <c r="AO37" s="564">
        <f>$F37*IF(ISNA(VLOOKUP($B37&amp;"; "&amp;$G$36&amp;", "&amp;G$33,'FE Energie'!$G:$U,15,FALSE)),0,VLOOKUP($B37&amp;"; "&amp;$G$36&amp;", "&amp;G$33,'FE Energie'!$G:$U,15,FALSE))
+$I37*IF(ISNA(VLOOKUP($B37&amp;"; "&amp;$J$32&amp;", "&amp;G$33,'FE Energie'!$G:$U,15,FALSE)),0,VLOOKUP($B37&amp;"; "&amp;$J$32&amp;", "&amp;G$33,'FE Energie'!$G:$U,15,FALSE))
+$L37*IF(ISNA(VLOOKUP($B37&amp;"; "&amp;$M$32&amp;", "&amp;G$33,'FE Energie'!$G:$U,15,FALSE)),0,VLOOKUP($B37&amp;"; "&amp;$M$32&amp;", "&amp;G$33,'FE Energie'!$G:$U,15,FALSE))
+$O37*IF(ISNA(VLOOKUP($B37&amp;"; "&amp;$P$32&amp;", "&amp;G$33,'FE Energie'!$G:$U,15,FALSE)),0,VLOOKUP($B37&amp;"; "&amp;$P$32&amp;", "&amp;G$33,'FE Energie'!$G:$U,15,FALSE))</f>
        <v>0</v>
      </c>
      <c r="AP37" s="568">
        <f>$F37*IF(ISNA(VLOOKUP($B37&amp;"; "&amp;$G$36&amp;", "&amp;H$33,'FE Energie'!$G:$U,15,FALSE)),0,VLOOKUP($B37&amp;"; "&amp;$G$36&amp;", "&amp;H$33,'FE Energie'!$G:$U,15,FALSE))
+$I37*IF(ISNA(VLOOKUP($B37&amp;"; "&amp;$J$32&amp;", "&amp;H$33,'FE Energie'!$G:$U,15,FALSE)),0,VLOOKUP($B37&amp;"; "&amp;$J$32&amp;", "&amp;H$33,'FE Energie'!$G:$U,15,FALSE))
+$L37*IF(ISNA(VLOOKUP($B37&amp;"; "&amp;$M$32&amp;", "&amp;H$33,'FE Energie'!$G:$U,15,FALSE)),0,VLOOKUP($B37&amp;"; "&amp;$M$32&amp;", "&amp;H$33,'FE Energie'!$G:$U,15,FALSE))
+$O37*IF(ISNA(VLOOKUP($B37&amp;"; "&amp;$P$32&amp;", "&amp;H$33,'FE Energie'!$G:$U,15,FALSE)),0,VLOOKUP($B37&amp;"; "&amp;$P$32&amp;", "&amp;H$33,'FE Energie'!$G:$U,15,FALSE))</f>
        <v>0</v>
      </c>
      <c r="AQ37" s="114"/>
      <c r="AR37" s="1065">
        <f>IF($X37&lt;&gt;"votre valeur :",IF(ISNA(VLOOKUP($X37,Utilitaires!$N$566:$O$571,2,FALSE)),,VLOOKUP($X37,Utilitaires!$N$566:$O$571,2,FALSE)),$Y37)</f>
        <v>0</v>
      </c>
      <c r="AS37" s="1065">
        <f>IF($X37&lt;&gt;"votre valeur :",IF(ISNA(VLOOKUP($X37,Utilitaires!$N$566:$O$571,2,FALSE)),,VLOOKUP($X37,Utilitaires!$N$566:$O$571,2,FALSE)),$Y37)</f>
        <v>0</v>
      </c>
      <c r="AT37" s="1065">
        <f>IF($X37&lt;&gt;"votre valeur :",IF(ISNA(VLOOKUP($X37,Utilitaires!$N$566:$O$571,2,FALSE)),,VLOOKUP($X37,Utilitaires!$N$566:$O$571,2,FALSE)),$Y37)</f>
        <v>0</v>
      </c>
      <c r="AU37" s="1065">
        <f>IF($X37&lt;&gt;"votre valeur :",IF(ISNA(VLOOKUP($X37,Utilitaires!$N$566:$O$571,2,FALSE)),,VLOOKUP($X37,Utilitaires!$N$566:$O$571,2,FALSE)),$Y37)</f>
        <v>0</v>
      </c>
      <c r="AV37" s="1068">
        <f>IF(ISNA(SQRT(SUMSQ(VLOOKUP($B37&amp;"; "&amp;$G$36&amp;", "&amp;$G$33,'FE Energie'!$G:$U,7,FALSE),$AR37))),0,SQRT(SUMSQ(VLOOKUP($B37&amp;"; "&amp;$G$36&amp;", "&amp;$G$33,'FE Energie'!$G:$U,7,FALSE),$AR37)))</f>
        <v>0.5</v>
      </c>
      <c r="AW37" s="1068">
        <f>IF(ISNA(SQRT(SUMSQ(VLOOKUP($B37&amp;"; "&amp;$J$32&amp;", "&amp;$J$33,'FE Energie'!$G:$U,7,FALSE),$AS37))),0,SQRT(SUMSQ(VLOOKUP($B37&amp;"; "&amp;$J$32&amp;", "&amp;$J$33,'FE Energie'!$G:$U,7,FALSE),$AS37)))</f>
        <v>0.5</v>
      </c>
      <c r="AX37" s="1068">
        <f>IF(ISNA(SQRT(SUMSQ(VLOOKUP($B37&amp;"; "&amp;$M$32&amp;", "&amp;$M$33,'FE Energie'!$G:$U,7,FALSE),$AT37))),0,SQRT(SUMSQ(VLOOKUP($B37&amp;"; "&amp;$M$32&amp;", "&amp;$M$33,'FE Energie'!$G:$U,7,FALSE),$AT37)))</f>
        <v>0</v>
      </c>
      <c r="AY37" s="1068">
        <f>IF(ISNA(SQRT(SUMSQ(VLOOKUP($B37&amp;"; "&amp;$P$32&amp;", "&amp;$P$33,'FE Energie'!$G:$U,7,FALSE),$AU37))),0,SQRT(SUMSQ(VLOOKUP($B37&amp;"; "&amp;$P$32&amp;", "&amp;$P$33,'FE Energie'!$G:$U,7,FALSE),$AU37)))</f>
        <v>0</v>
      </c>
      <c r="AZ37" s="1069">
        <f>IF(ISNA(SQRT(SUMSQ(VLOOKUP($B37&amp;"; "&amp;$G$32&amp;", "&amp;$H$33,'FE Energie'!$G:$U,7,FALSE),$AR37))),0,SQRT(SUMSQ(VLOOKUP($B37&amp;"; "&amp;$G$32&amp;", "&amp;$H$33,'FE Energie'!$G:$U,7,FALSE),$AR37)))</f>
        <v>0</v>
      </c>
      <c r="BA37" s="1070">
        <f>IF(ISNA(SQRT(SUMSQ(VLOOKUP($B37&amp;"; "&amp;$J$32&amp;", "&amp;$K$33,'FE Energie'!$G:$U,7,FALSE),$AS37))),0,SQRT(SUMSQ(VLOOKUP($B37&amp;"; "&amp;$J$32&amp;", "&amp;$K$33,'FE Energie'!$G:$U,7,FALSE),$AS37)))</f>
        <v>0.5</v>
      </c>
      <c r="BB37" s="1070">
        <f>IF(ISNA(SQRT(SUMSQ(VLOOKUP($B37&amp;"; "&amp;$M$32&amp;", "&amp;$N$33,'FE Energie'!$G:$U,7,FALSE),$AT37))),0,SQRT(SUMSQ(VLOOKUP($B37&amp;"; "&amp;$M$32&amp;", "&amp;$N$33,'FE Energie'!$G:$U,7,FALSE),$AT37)))</f>
        <v>0</v>
      </c>
      <c r="BC37" s="1071">
        <f>IF(ISNA(SQRT(SUMSQ(VLOOKUP($B37&amp;"; "&amp;$P$32&amp;", "&amp;$Q$33,'FE Energie'!$G:$U,7,FALSE),$AU37))),0,SQRT(SUMSQ(VLOOKUP($B37&amp;"; "&amp;$P$32&amp;", "&amp;$Q$33,'FE Energie'!$G:$U,7,FALSE),$AU37)))</f>
        <v>0</v>
      </c>
    </row>
    <row r="38" spans="1:55" s="116" customFormat="1" ht="12.75" hidden="1" customHeight="1" outlineLevel="1">
      <c r="A38" s="114"/>
      <c r="B38" s="143" t="s">
        <v>1666</v>
      </c>
      <c r="C38" s="1801"/>
      <c r="D38" s="315">
        <f>R38+S38</f>
        <v>0</v>
      </c>
      <c r="E38" s="123"/>
      <c r="F38" s="1548"/>
      <c r="G38" s="335">
        <f>VLOOKUP($B38&amp;"; "&amp;$G$36&amp;", "&amp;G$33,'FE Energie'!$G:$U,9,FALSE)</f>
        <v>4.07E-2</v>
      </c>
      <c r="H38" s="335">
        <f>VLOOKUP($B38&amp;"; "&amp;$G$36&amp;", "&amp;H$33,'FE Energie'!$G:$U,9,FALSE)</f>
        <v>4.82E-2</v>
      </c>
      <c r="I38" s="1548"/>
      <c r="J38" s="223">
        <f>VLOOKUP($B38&amp;"; "&amp;$J$32&amp;", "&amp;J$33,'FE Energie'!$G:$U,9,FALSE)</f>
        <v>1.12E-2</v>
      </c>
      <c r="K38" s="223">
        <f>VLOOKUP($B38&amp;"; "&amp;$J$32&amp;", "&amp;K$33,'FE Energie'!$G:$U,9,FALSE)</f>
        <v>1.32E-2</v>
      </c>
      <c r="L38" s="1548"/>
      <c r="M38" s="217" t="e">
        <f>VLOOKUP($B38&amp;"; "&amp;$M$11&amp;", "&amp;M$12,'FE Energie'!$G:$U,9,FALSE)</f>
        <v>#N/A</v>
      </c>
      <c r="N38" s="217" t="e">
        <f>VLOOKUP($B38&amp;"; "&amp;$M$32&amp;", "&amp;N$33,'FE Energie'!$G:$U,9,FALSE)</f>
        <v>#N/A</v>
      </c>
      <c r="O38" s="1548"/>
      <c r="P38" s="223" t="e">
        <f>VLOOKUP($B38&amp;"; "&amp;$P$32&amp;", "&amp;P$33,'FE Energie'!$G:$U,9,FALSE)</f>
        <v>#N/A</v>
      </c>
      <c r="Q38" s="223" t="e">
        <f>VLOOKUP($B38&amp;"; "&amp;$P$32&amp;", "&amp;Q$33,'FE Energie'!$G:$U,9,FALSE)</f>
        <v>#N/A</v>
      </c>
      <c r="R38" s="566">
        <f>IF(ISNA(F38*G38),0,F38*G38)+IF(ISNA(I38*J38),0,I38*J38)+IF(ISNA(L38*M38),0,L38*M38)+IF(ISNA(O38*P38),0,O38*P38)</f>
        <v>0</v>
      </c>
      <c r="S38" s="567">
        <f>IF(ISNA(F38*H38),0,F38*H38)+IF(ISNA(I38*K38),0,I38*K38)+IF(ISNA(L38*N38),0,L38*N38)+IF(ISNA(O38*Q38),0,O38*Q38)</f>
        <v>0</v>
      </c>
      <c r="T38" s="114"/>
      <c r="U38" s="114"/>
      <c r="V38" s="114"/>
      <c r="W38" s="1092">
        <f>IF(AC38=0,AC38,AC38/(R38+S38))</f>
        <v>0</v>
      </c>
      <c r="X38" s="345"/>
      <c r="Y38" s="820"/>
      <c r="Z38" s="1801">
        <f>SQRT(SUMSQ(IF(ISNA($F38*G38*AV38),0,$F38*G38*AV38),IF(ISNA($I38*J38*AW38),0,$I38*J38*AW38),IF(ISNA($L38*M38*AX38),0,$L38*M38*AX38),IF(ISNA($O38*P38*AY38),0,$O38*P38*AY38)))</f>
        <v>0</v>
      </c>
      <c r="AA38" s="1801">
        <f>SQRT(SUMSQ(IF(ISNA($F38*H38*AZ38),0,$F38*H38*AZ38),IF(ISNA($I38*K38*BA38),0,$I38*K38*BA38),IF(ISNA($L38*N38*BB38),0,$L38*N38*BB38),IF(ISNA($O38*Q38*BC38),0,$O38*Q38*BC38)))</f>
        <v>0</v>
      </c>
      <c r="AB38" s="1801"/>
      <c r="AC38" s="152">
        <f>SQRT(SUMSQ(Z38,AA38))</f>
        <v>0</v>
      </c>
      <c r="AE38" s="564">
        <f>$F38*IF(ISNA(VLOOKUP($B38&amp;"; "&amp;$G$36&amp;", "&amp;G$33,'FE Energie'!$G:$U,10,FALSE)),0,VLOOKUP($B38&amp;"; "&amp;$G$36&amp;", "&amp;G$33,'FE Energie'!$G:$U,10,FALSE))
+$I38*IF(ISNA(VLOOKUP($B38&amp;"; "&amp;$J$32&amp;", "&amp;G$33,'FE Energie'!$G:$U,10,FALSE)),0,VLOOKUP($B38&amp;"; "&amp;$J$32&amp;", "&amp;G$33,'FE Energie'!$G:$U,10,FALSE))
+$L38*IF(ISNA(VLOOKUP($B38&amp;"; "&amp;$M$32&amp;", "&amp;G$33,'FE Energie'!$G:$U,10,FALSE)),0,VLOOKUP($B38&amp;"; "&amp;$M$32&amp;", "&amp;G$33,'FE Energie'!$G:$U,10,FALSE))
+$O38*IF(ISNA(VLOOKUP($B38&amp;"; "&amp;$P$32&amp;", "&amp;G$33,'FE Energie'!$G:$U,10,FALSE)),0,VLOOKUP($B38&amp;"; "&amp;$P$32&amp;", "&amp;G$33,'FE Energie'!$G:$U,10,FALSE))</f>
        <v>0</v>
      </c>
      <c r="AF38" s="565">
        <f>$F38*IF(ISNA(VLOOKUP($B38&amp;"; "&amp;$G$36&amp;", "&amp;H$33,'FE Energie'!$G:$U,10,FALSE)),0,VLOOKUP($B38&amp;"; "&amp;$G$36&amp;", "&amp;H$33,'FE Energie'!$G:$U,10,FALSE))
+$I38*IF(ISNA(VLOOKUP($B38&amp;"; "&amp;$J$32&amp;", "&amp;H$33,'FE Energie'!$G:$U,10,FALSE)),0,VLOOKUP($B38&amp;"; "&amp;$J$32&amp;", "&amp;H$33,'FE Energie'!$G:$U,10,FALSE))
+$L38*IF(ISNA(VLOOKUP($B38&amp;"; "&amp;$M$32&amp;", "&amp;H$33,'FE Energie'!$G:$U,10,FALSE)),0,VLOOKUP($B38&amp;"; "&amp;$M$32&amp;", "&amp;H$33,'FE Energie'!$G:$U,10,FALSE))
+$O38*IF(ISNA(VLOOKUP($B38&amp;"; "&amp;$P$32&amp;", "&amp;H$33,'FE Energie'!$G:$U,10,FALSE)),0,VLOOKUP($B38&amp;"; "&amp;$P$32&amp;", "&amp;H$33,'FE Energie'!$G:$U,10,FALSE))</f>
        <v>0</v>
      </c>
      <c r="AG38" s="620">
        <f>$F38*IF(ISNA((VLOOKUP($B38&amp;"; "&amp;$G$36&amp;", "&amp;G$33,'FE Energie'!$G:$U,12,FALSE)+VLOOKUP($B38&amp;"; "&amp;$G$36&amp;", "&amp;G$33,'FE Energie'!$G:$U,11,FALSE))),0,(VLOOKUP($B38&amp;"; "&amp;$G$36&amp;", "&amp;G$33,'FE Energie'!$G:$U,12,FALSE)+VLOOKUP($B38&amp;"; "&amp;$G$36&amp;", "&amp;G$33,'FE Energie'!$G:$U,11,FALSE)))
+$I38*IF(ISNA((VLOOKUP($B38&amp;"; "&amp;$J$32&amp;", "&amp;G$33,'FE Energie'!$G:$U,12,FALSE)+VLOOKUP($B38&amp;"; "&amp;$J$32&amp;", "&amp;G$33,'FE Energie'!$G:$U,11,FALSE))),0,(VLOOKUP($B38&amp;"; "&amp;$J$32&amp;", "&amp;G$33,'FE Energie'!$G:$U,12,FALSE)+VLOOKUP($B38&amp;"; "&amp;$J$32&amp;", "&amp;G$33,'FE Energie'!$G:$U,11,FALSE)))
+$L38*IF(ISNA((VLOOKUP($B38&amp;"; "&amp;$M$32&amp;", "&amp;G$33,'FE Energie'!$G:$U,12,FALSE)+VLOOKUP($B38&amp;"; "&amp;$M$32&amp;", "&amp;G$33,'FE Energie'!$G:$U,11,FALSE))),0,(VLOOKUP($B38&amp;"; "&amp;$M$32&amp;", "&amp;G$33,'FE Energie'!$G:$U,12,FALSE)+VLOOKUP($B38&amp;"; "&amp;$M$32&amp;", "&amp;G$33,'FE Energie'!$G:$U,11,FALSE)))
+$O38*IF(ISNA((VLOOKUP($B38&amp;"; "&amp;$P$32&amp;", "&amp;G$33,'FE Energie'!$G:$U,12,FALSE)+VLOOKUP($B38&amp;"; "&amp;$P$32&amp;", "&amp;G$33,'FE Energie'!$G:$U,11,FALSE))),0,(VLOOKUP($B38&amp;"; "&amp;$P$32&amp;", "&amp;G$33,'FE Energie'!$G:$U,12,FALSE)+VLOOKUP($B38&amp;"; "&amp;$P$32&amp;", "&amp;G$33,'FE Energie'!$G:$U,11,FALSE)))</f>
        <v>0</v>
      </c>
      <c r="AH38" s="620">
        <f>$F38*IF(ISNA((VLOOKUP($B38&amp;"; "&amp;$G$36&amp;", "&amp;H$33,'FE Energie'!$G:$U,12,FALSE)+VLOOKUP($B38&amp;"; "&amp;$G$36&amp;", "&amp;H$33,'FE Energie'!$G:$U,11,FALSE))),0,(VLOOKUP($B38&amp;"; "&amp;$G$36&amp;", "&amp;H$33,'FE Energie'!$G:$U,12,FALSE)+VLOOKUP($B38&amp;"; "&amp;$G$36&amp;", "&amp;H$33,'FE Energie'!$G:$U,11,FALSE)))
+$I38*IF(ISNA((VLOOKUP($B38&amp;"; "&amp;$J$32&amp;", "&amp;H$33,'FE Energie'!$G:$U,12,FALSE)+VLOOKUP($B38&amp;"; "&amp;$J$32&amp;", "&amp;H$33,'FE Energie'!$G:$U,11,FALSE))),0,(VLOOKUP($B38&amp;"; "&amp;$J$32&amp;", "&amp;H$33,'FE Energie'!$G:$U,12,FALSE)+VLOOKUP($B38&amp;"; "&amp;$J$32&amp;", "&amp;H$33,'FE Energie'!$G:$U,11,FALSE)))
+$L38*IF(ISNA((VLOOKUP($B38&amp;"; "&amp;$M$32&amp;", "&amp;H$33,'FE Energie'!$G:$U,12,FALSE)+VLOOKUP($B38&amp;"; "&amp;$M$32&amp;", "&amp;H$33,'FE Energie'!$G:$U,11,FALSE))),0,(VLOOKUP($B38&amp;"; "&amp;$M$32&amp;", "&amp;H$33,'FE Energie'!$G:$U,12,FALSE)+VLOOKUP($B38&amp;"; "&amp;$M$32&amp;", "&amp;H$33,'FE Energie'!$G:$U,11,FALSE)))
+$O38*IF(ISNA((VLOOKUP($B38&amp;"; "&amp;$P$32&amp;", "&amp;H$33,'FE Energie'!$G:$U,12,FALSE)+VLOOKUP($B38&amp;"; "&amp;$P$32&amp;", "&amp;H$33,'FE Energie'!$G:$U,11,FALSE))),0,(VLOOKUP($B38&amp;"; "&amp;$P$32&amp;", "&amp;H$33,'FE Energie'!$G:$U,12,FALSE)+VLOOKUP($B38&amp;"; "&amp;$P$32&amp;", "&amp;H$33,'FE Energie'!$G:$U,11,FALSE)))</f>
        <v>0</v>
      </c>
      <c r="AI38" s="620">
        <f>$F38*IF(ISNA(VLOOKUP($B38&amp;"; "&amp;$G$36&amp;", "&amp;G$33,'FE Energie'!$G:$U,13,FALSE)),0,VLOOKUP($B38&amp;"; "&amp;$G$36&amp;", "&amp;G$33,'FE Energie'!$G:$U,13,FALSE))
+$I38*IF(ISNA(VLOOKUP($B38&amp;"; "&amp;$J$32&amp;", "&amp;G$33,'FE Energie'!$G:$U,13,FALSE)),0,VLOOKUP($B38&amp;"; "&amp;$J$32&amp;", "&amp;G$33,'FE Energie'!$G:$U,13,FALSE))
+$L38*IF(ISNA(VLOOKUP($B38&amp;"; "&amp;$M$32&amp;", "&amp;G$33,'FE Energie'!$G:$U,13,FALSE)),0,VLOOKUP($B38&amp;"; "&amp;$M$32&amp;", "&amp;G$33,'FE Energie'!$G:$U,13,FALSE))
+$O38*IF(ISNA(VLOOKUP($B38&amp;"; "&amp;$P$32&amp;", "&amp;G$33,'FE Energie'!$G:$U,13,FALSE)),0,VLOOKUP($B38&amp;"; "&amp;$P$32&amp;", "&amp;G$33,'FE Energie'!$G:$U,13,FALSE))</f>
        <v>0</v>
      </c>
      <c r="AJ38" s="620">
        <f>$F38*IF(ISNA(VLOOKUP($B38&amp;"; "&amp;$G$36&amp;", "&amp;H$33,'FE Energie'!$G:$U,13,FALSE)),0,VLOOKUP($B38&amp;"; "&amp;$G$36&amp;", "&amp;H$33,'FE Energie'!$G:$U,13,FALSE))
+$I38*IF(ISNA(VLOOKUP($B38&amp;"; "&amp;$J$32&amp;", "&amp;H$33,'FE Energie'!$G:$U,13,FALSE)),0,VLOOKUP($B38&amp;"; "&amp;$J$32&amp;", "&amp;H$33,'FE Energie'!$G:$U,13,FALSE))
+$L38*IF(ISNA(VLOOKUP($B38&amp;"; "&amp;$M$32&amp;", "&amp;H$33,'FE Energie'!$G:$U,13,FALSE)),0,VLOOKUP($B38&amp;"; "&amp;$M$32&amp;", "&amp;H$33,'FE Energie'!$G:$U,13,FALSE))
+$O38*IF(ISNA(VLOOKUP($B38&amp;"; "&amp;$P$32&amp;", "&amp;H$33,'FE Energie'!$G:$U,13,FALSE)),0,VLOOKUP($B38&amp;"; "&amp;$P$32&amp;", "&amp;H$33,'FE Energie'!$G:$U,13,FALSE))</f>
        <v>0</v>
      </c>
      <c r="AK38" s="565">
        <f>$F38*IF(ISNA(VLOOKUP($B38&amp;"; "&amp;$G$36&amp;", "&amp;G$33,'FE Energie'!$G:$U,14,FALSE)),0,VLOOKUP($B38&amp;"; "&amp;$G$36&amp;", "&amp;G$33,'FE Energie'!$G:$U,14,FALSE))
+$I38*IF(ISNA(VLOOKUP($B38&amp;"; "&amp;$J$32&amp;", "&amp;G$33,'FE Energie'!$G:$U,14,FALSE)),0,VLOOKUP($B38&amp;"; "&amp;$J$32&amp;", "&amp;G$33,'FE Energie'!$G:$U,14,FALSE))
+$L38*IF(ISNA(VLOOKUP($B38&amp;"; "&amp;$M$32&amp;", "&amp;G$33,'FE Energie'!$G:$U,14,FALSE)),0,VLOOKUP($B38&amp;"; "&amp;$M$32&amp;", "&amp;G$33,'FE Energie'!$G:$U,14,FALSE))
+$O38*IF(ISNA(VLOOKUP($B38&amp;"; "&amp;$P$32&amp;", "&amp;G$33,'FE Energie'!$G:$U,14,FALSE)),0,VLOOKUP($B38&amp;"; "&amp;$P$32&amp;", "&amp;G$33,'FE Energie'!$G:$U,14,FALSE))</f>
        <v>0</v>
      </c>
      <c r="AL38" s="565">
        <f>$F38*IF(ISNA(VLOOKUP($B38&amp;"; "&amp;$G$36&amp;", "&amp;H$33,'FE Energie'!$G:$U,14,FALSE)),0,VLOOKUP($B38&amp;"; "&amp;$G$36&amp;", "&amp;H$33,'FE Energie'!$G:$U,14,FALSE))
+$I38*IF(ISNA(VLOOKUP($B38&amp;"; "&amp;$J$32&amp;", "&amp;H$33,'FE Energie'!$G:$U,14,FALSE)),0,VLOOKUP($B38&amp;"; "&amp;$J$32&amp;", "&amp;H$33,'FE Energie'!$G:$U,14,FALSE))
+$L38*IF(ISNA(VLOOKUP($B38&amp;"; "&amp;$M$32&amp;", "&amp;H$33,'FE Energie'!$G:$U,14,FALSE)),0,VLOOKUP($B38&amp;"; "&amp;$M$32&amp;", "&amp;H$33,'FE Energie'!$G:$U,14,FALSE))
+$O38*IF(ISNA(VLOOKUP($B38&amp;"; "&amp;$P$32&amp;", "&amp;H$33,'FE Energie'!$G:$U,14,FALSE)),0,VLOOKUP($B38&amp;"; "&amp;$P$32&amp;", "&amp;H$33,'FE Energie'!$G:$U,14,FALSE))</f>
        <v>0</v>
      </c>
      <c r="AM38" s="566">
        <f>SUM(AE38,AG38,AI38,AK38)</f>
        <v>0</v>
      </c>
      <c r="AN38" s="566">
        <f>SUM(AF38,AH38,AJ38,AL38)</f>
        <v>0</v>
      </c>
      <c r="AO38" s="564">
        <f>$F38*IF(ISNA(VLOOKUP($B38&amp;"; "&amp;$G$36&amp;", "&amp;G$33,'FE Energie'!$G:$U,15,FALSE)),0,VLOOKUP($B38&amp;"; "&amp;$G$36&amp;", "&amp;G$33,'FE Energie'!$G:$U,15,FALSE))
+$I38*IF(ISNA(VLOOKUP($B38&amp;"; "&amp;$J$32&amp;", "&amp;G$33,'FE Energie'!$G:$U,15,FALSE)),0,VLOOKUP($B38&amp;"; "&amp;$J$32&amp;", "&amp;G$33,'FE Energie'!$G:$U,15,FALSE))
+$L38*IF(ISNA(VLOOKUP($B38&amp;"; "&amp;$M$32&amp;", "&amp;G$33,'FE Energie'!$G:$U,15,FALSE)),0,VLOOKUP($B38&amp;"; "&amp;$M$32&amp;", "&amp;G$33,'FE Energie'!$G:$U,15,FALSE))
+$O38*IF(ISNA(VLOOKUP($B38&amp;"; "&amp;$P$32&amp;", "&amp;G$33,'FE Energie'!$G:$U,15,FALSE)),0,VLOOKUP($B38&amp;"; "&amp;$P$32&amp;", "&amp;G$33,'FE Energie'!$G:$U,15,FALSE))</f>
        <v>0</v>
      </c>
      <c r="AP38" s="568">
        <f>$F38*IF(ISNA(VLOOKUP($B38&amp;"; "&amp;$G$36&amp;", "&amp;H$33,'FE Energie'!$G:$U,15,FALSE)),0,VLOOKUP($B38&amp;"; "&amp;$G$36&amp;", "&amp;H$33,'FE Energie'!$G:$U,15,FALSE))
+$I38*IF(ISNA(VLOOKUP($B38&amp;"; "&amp;$J$32&amp;", "&amp;H$33,'FE Energie'!$G:$U,15,FALSE)),0,VLOOKUP($B38&amp;"; "&amp;$J$32&amp;", "&amp;H$33,'FE Energie'!$G:$U,15,FALSE))
+$L38*IF(ISNA(VLOOKUP($B38&amp;"; "&amp;$M$32&amp;", "&amp;H$33,'FE Energie'!$G:$U,15,FALSE)),0,VLOOKUP($B38&amp;"; "&amp;$M$32&amp;", "&amp;H$33,'FE Energie'!$G:$U,15,FALSE))
+$O38*IF(ISNA(VLOOKUP($B38&amp;"; "&amp;$P$32&amp;", "&amp;H$33,'FE Energie'!$G:$U,15,FALSE)),0,VLOOKUP($B38&amp;"; "&amp;$P$32&amp;", "&amp;H$33,'FE Energie'!$G:$U,15,FALSE))</f>
        <v>0</v>
      </c>
      <c r="AQ38" s="114"/>
      <c r="AR38" s="1065">
        <f>IF($X38&lt;&gt;"votre valeur :",IF(ISNA(VLOOKUP($X38,Utilitaires!$N$566:$O$571,2,FALSE)),,VLOOKUP($X38,Utilitaires!$N$566:$O$571,2,FALSE)),$Y38)</f>
        <v>0</v>
      </c>
      <c r="AS38" s="1065">
        <f>IF($X38&lt;&gt;"votre valeur :",IF(ISNA(VLOOKUP($X38,Utilitaires!$N$566:$O$571,2,FALSE)),,VLOOKUP($X38,Utilitaires!$N$566:$O$571,2,FALSE)),$Y38)</f>
        <v>0</v>
      </c>
      <c r="AT38" s="1065">
        <f>IF($X38&lt;&gt;"votre valeur :",IF(ISNA(VLOOKUP($X38,Utilitaires!$N$566:$O$571,2,FALSE)),,VLOOKUP($X38,Utilitaires!$N$566:$O$571,2,FALSE)),$Y38)</f>
        <v>0</v>
      </c>
      <c r="AU38" s="1065">
        <f>IF($X38&lt;&gt;"votre valeur :",IF(ISNA(VLOOKUP($X38,Utilitaires!$N$566:$O$571,2,FALSE)),,VLOOKUP($X38,Utilitaires!$N$566:$O$571,2,FALSE)),$Y38)</f>
        <v>0</v>
      </c>
      <c r="AV38" s="1068">
        <f>IF(ISNA(SQRT(SUMSQ(VLOOKUP($B38&amp;"; "&amp;$G$36&amp;", "&amp;$G$33,'FE Energie'!$G:$U,7,FALSE),$AR38))),0,SQRT(SUMSQ(VLOOKUP($B38&amp;"; "&amp;$G$36&amp;", "&amp;$G$33,'FE Energie'!$G:$U,7,FALSE),$AR38)))</f>
        <v>0.5</v>
      </c>
      <c r="AW38" s="1068">
        <f>IF(ISNA(SQRT(SUMSQ(VLOOKUP($B38&amp;"; "&amp;$J$32&amp;", "&amp;$J$33,'FE Energie'!$G:$U,7,FALSE),$AS38))),0,SQRT(SUMSQ(VLOOKUP($B38&amp;"; "&amp;$J$32&amp;", "&amp;$J$33,'FE Energie'!$G:$U,7,FALSE),$AS38)))</f>
        <v>0.5</v>
      </c>
      <c r="AX38" s="1068">
        <f>IF(ISNA(SQRT(SUMSQ(VLOOKUP($B38&amp;"; "&amp;$M$32&amp;", "&amp;$M$33,'FE Energie'!$G:$U,7,FALSE),$AT38))),0,SQRT(SUMSQ(VLOOKUP($B38&amp;"; "&amp;$M$32&amp;", "&amp;$M$33,'FE Energie'!$G:$U,7,FALSE),$AT38)))</f>
        <v>0</v>
      </c>
      <c r="AY38" s="1068">
        <f>IF(ISNA(SQRT(SUMSQ(VLOOKUP($B38&amp;"; "&amp;$P$32&amp;", "&amp;$P$33,'FE Energie'!$G:$U,7,FALSE),$AU38))),0,SQRT(SUMSQ(VLOOKUP($B38&amp;"; "&amp;$P$32&amp;", "&amp;$P$33,'FE Energie'!$G:$U,7,FALSE),$AU38)))</f>
        <v>0</v>
      </c>
      <c r="AZ38" s="1069">
        <f>IF(ISNA(SQRT(SUMSQ(VLOOKUP($B38&amp;"; "&amp;$G$32&amp;", "&amp;$H$33,'FE Energie'!$G:$U,7,FALSE),$AR38))),0,SQRT(SUMSQ(VLOOKUP($B38&amp;"; "&amp;$G$32&amp;", "&amp;$H$33,'FE Energie'!$G:$U,7,FALSE),$AR38)))</f>
        <v>0</v>
      </c>
      <c r="BA38" s="1070">
        <f>IF(ISNA(SQRT(SUMSQ(VLOOKUP($B38&amp;"; "&amp;$J$32&amp;", "&amp;$K$33,'FE Energie'!$G:$U,7,FALSE),$AS38))),0,SQRT(SUMSQ(VLOOKUP($B38&amp;"; "&amp;$J$32&amp;", "&amp;$K$33,'FE Energie'!$G:$U,7,FALSE),$AS38)))</f>
        <v>0.5</v>
      </c>
      <c r="BB38" s="1070">
        <f>IF(ISNA(SQRT(SUMSQ(VLOOKUP($B38&amp;"; "&amp;$M$32&amp;", "&amp;$N$33,'FE Energie'!$G:$U,7,FALSE),$AT38))),0,SQRT(SUMSQ(VLOOKUP($B38&amp;"; "&amp;$M$32&amp;", "&amp;$N$33,'FE Energie'!$G:$U,7,FALSE),$AT38)))</f>
        <v>0</v>
      </c>
      <c r="BC38" s="1071">
        <f>IF(ISNA(SQRT(SUMSQ(VLOOKUP($B38&amp;"; "&amp;$P$32&amp;", "&amp;$Q$33,'FE Energie'!$G:$U,7,FALSE),$AU38))),0,SQRT(SUMSQ(VLOOKUP($B38&amp;"; "&amp;$P$32&amp;", "&amp;$Q$33,'FE Energie'!$G:$U,7,FALSE),$AU38)))</f>
        <v>0</v>
      </c>
    </row>
    <row r="39" spans="1:55" s="116" customFormat="1" ht="12.75" hidden="1" customHeight="1" outlineLevel="1">
      <c r="A39" s="114"/>
      <c r="B39" s="154"/>
      <c r="C39" s="155"/>
      <c r="D39" s="315"/>
      <c r="E39" s="155"/>
      <c r="F39" s="155"/>
      <c r="G39" s="155"/>
      <c r="H39" s="155"/>
      <c r="I39" s="155"/>
      <c r="J39" s="155"/>
      <c r="K39" s="155"/>
      <c r="L39" s="155"/>
      <c r="M39" s="155"/>
      <c r="N39" s="155"/>
      <c r="O39" s="144"/>
      <c r="P39" s="144"/>
      <c r="Q39" s="144"/>
      <c r="R39" s="155"/>
      <c r="S39" s="156"/>
      <c r="T39" s="114"/>
      <c r="U39" s="114"/>
      <c r="V39" s="114"/>
      <c r="W39" s="154"/>
      <c r="X39" s="822"/>
      <c r="Y39" s="822"/>
      <c r="Z39" s="1801"/>
      <c r="AA39" s="1801"/>
      <c r="AB39" s="1801"/>
      <c r="AC39" s="156"/>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hidden="1" customHeight="1" outlineLevel="1">
      <c r="A40" s="114"/>
      <c r="B40" s="196" t="s">
        <v>348</v>
      </c>
      <c r="C40" s="197"/>
      <c r="D40" s="202">
        <f>SUM(D34:D39)</f>
        <v>0</v>
      </c>
      <c r="E40" s="198"/>
      <c r="F40" s="199"/>
      <c r="G40" s="199"/>
      <c r="H40" s="199"/>
      <c r="I40" s="199"/>
      <c r="J40" s="199"/>
      <c r="K40" s="199"/>
      <c r="L40" s="199"/>
      <c r="M40" s="199"/>
      <c r="N40" s="199"/>
      <c r="O40" s="199"/>
      <c r="P40" s="199"/>
      <c r="Q40" s="199"/>
      <c r="R40" s="202">
        <f>SUM(R34:R39)</f>
        <v>0</v>
      </c>
      <c r="S40" s="200">
        <f>SUM(S34:S39)</f>
        <v>0</v>
      </c>
      <c r="T40" s="114"/>
      <c r="U40" s="114"/>
      <c r="V40" s="114"/>
      <c r="W40" s="1093">
        <f>IF(AC40=0,AC40,AC40/(R40+S40))</f>
        <v>0</v>
      </c>
      <c r="X40" s="821"/>
      <c r="Y40" s="1636"/>
      <c r="Z40" s="1636">
        <f>SQRT(SUMSQ(Z34:Z39))</f>
        <v>0</v>
      </c>
      <c r="AA40" s="1636">
        <f>SQRT(SUMSQ(AA34:AA39))</f>
        <v>0</v>
      </c>
      <c r="AB40" s="1636"/>
      <c r="AC40" s="200">
        <f>SQRT(SUMSQ(AC34:AC39))</f>
        <v>0</v>
      </c>
      <c r="AE40" s="623">
        <f t="shared" ref="AE40:AP40" si="2">SUM(AE34:AE39)</f>
        <v>0</v>
      </c>
      <c r="AF40" s="621">
        <f t="shared" si="2"/>
        <v>0</v>
      </c>
      <c r="AG40" s="621">
        <f t="shared" si="2"/>
        <v>0</v>
      </c>
      <c r="AH40" s="621">
        <f t="shared" si="2"/>
        <v>0</v>
      </c>
      <c r="AI40" s="621">
        <f t="shared" si="2"/>
        <v>0</v>
      </c>
      <c r="AJ40" s="621">
        <f t="shared" si="2"/>
        <v>0</v>
      </c>
      <c r="AK40" s="572">
        <f t="shared" si="2"/>
        <v>0</v>
      </c>
      <c r="AL40" s="572">
        <f t="shared" si="2"/>
        <v>0</v>
      </c>
      <c r="AM40" s="573">
        <f t="shared" si="2"/>
        <v>0</v>
      </c>
      <c r="AN40" s="574">
        <f t="shared" si="2"/>
        <v>0</v>
      </c>
      <c r="AO40" s="572">
        <f t="shared" si="2"/>
        <v>0</v>
      </c>
      <c r="AP40" s="575">
        <f t="shared" si="2"/>
        <v>0</v>
      </c>
      <c r="AQ40" s="114"/>
      <c r="AR40" s="114"/>
      <c r="AS40" s="114"/>
      <c r="AT40" s="114"/>
      <c r="AU40" s="114"/>
      <c r="AV40" s="114"/>
      <c r="AW40" s="114"/>
      <c r="AX40" s="114"/>
      <c r="AY40" s="114"/>
      <c r="AZ40" s="114"/>
      <c r="BA40" s="114"/>
      <c r="BB40" s="114"/>
      <c r="BC40" s="114"/>
    </row>
    <row r="41" spans="1:55" s="116" customFormat="1" ht="12.75" hidden="1" customHeight="1" outlineLevel="1">
      <c r="A41" s="114"/>
      <c r="B41" s="114"/>
      <c r="C41" s="114"/>
      <c r="D41" s="114"/>
      <c r="E41" s="114"/>
      <c r="F41" s="114"/>
      <c r="G41" s="114"/>
      <c r="H41" s="114"/>
      <c r="I41" s="114"/>
      <c r="J41" s="126"/>
      <c r="K41" s="114"/>
      <c r="L41" s="114"/>
      <c r="M41" s="114"/>
      <c r="N41" s="114"/>
      <c r="O41" s="114"/>
      <c r="P41" s="114"/>
      <c r="Q41" s="114"/>
      <c r="R41" s="114"/>
      <c r="S41" s="114"/>
      <c r="T41" s="114"/>
      <c r="U41" s="114"/>
      <c r="V41" s="114"/>
      <c r="W41" s="114"/>
      <c r="X41" s="126"/>
      <c r="Y41" s="126"/>
      <c r="Z41" s="114"/>
      <c r="AA41" s="114"/>
      <c r="AB41" s="114"/>
      <c r="AC41" s="114"/>
      <c r="AE41" s="441"/>
      <c r="AF41" s="441"/>
      <c r="AG41" s="441"/>
      <c r="AH41" s="441"/>
      <c r="AI41" s="441"/>
      <c r="AJ41" s="441"/>
      <c r="AK41" s="441"/>
      <c r="AL41" s="441"/>
      <c r="AM41" s="441"/>
      <c r="AN41" s="444"/>
      <c r="AO41" s="444"/>
      <c r="AP41" s="441"/>
      <c r="AQ41" s="114"/>
      <c r="AR41" s="114"/>
      <c r="AS41" s="114"/>
      <c r="AT41" s="114"/>
      <c r="AU41" s="114"/>
      <c r="AV41" s="114"/>
      <c r="AW41" s="114"/>
      <c r="AX41" s="114"/>
      <c r="AY41" s="114"/>
      <c r="AZ41" s="114"/>
      <c r="BA41" s="114"/>
      <c r="BB41" s="114"/>
      <c r="BC41" s="114"/>
    </row>
    <row r="42" spans="1:55" s="116" customFormat="1" ht="14.25" hidden="1" customHeight="1" outlineLevel="1">
      <c r="A42" s="114"/>
      <c r="B42" s="1091" t="s">
        <v>446</v>
      </c>
      <c r="C42" s="140"/>
      <c r="D42" s="141"/>
      <c r="E42" s="1808"/>
      <c r="F42" s="141"/>
      <c r="G42" s="141"/>
      <c r="H42" s="2651"/>
      <c r="I42" s="2651"/>
      <c r="J42" s="141"/>
      <c r="K42" s="141"/>
      <c r="L42" s="157"/>
      <c r="M42" s="158"/>
      <c r="T42" s="114"/>
      <c r="U42" s="114"/>
      <c r="V42" s="114"/>
      <c r="W42" s="2636" t="s">
        <v>366</v>
      </c>
      <c r="X42" s="2637"/>
      <c r="Y42" s="2637"/>
      <c r="Z42" s="2637"/>
      <c r="AA42" s="2637"/>
      <c r="AB42" s="2637"/>
      <c r="AC42" s="2638"/>
      <c r="AE42" s="2639" t="s">
        <v>441</v>
      </c>
      <c r="AF42" s="2640"/>
      <c r="AG42" s="2640"/>
      <c r="AH42" s="2640"/>
      <c r="AI42" s="2640"/>
      <c r="AJ42" s="2640"/>
      <c r="AK42" s="2640"/>
      <c r="AL42" s="2640"/>
      <c r="AM42" s="2640"/>
      <c r="AN42" s="2640"/>
      <c r="AO42" s="2640"/>
      <c r="AP42" s="2641"/>
      <c r="AQ42" s="114"/>
      <c r="AR42" s="114"/>
      <c r="AS42" s="114"/>
      <c r="AT42" s="114"/>
      <c r="AU42" s="114"/>
      <c r="AV42" s="114"/>
      <c r="AW42" s="114"/>
      <c r="AX42" s="114"/>
      <c r="AY42" s="114"/>
      <c r="AZ42" s="114"/>
      <c r="BA42" s="114"/>
      <c r="BB42" s="114"/>
      <c r="BC42" s="114"/>
    </row>
    <row r="43" spans="1:55" s="116" customFormat="1" ht="14.1" hidden="1" customHeight="1" outlineLevel="1">
      <c r="A43" s="114"/>
      <c r="B43" s="143"/>
      <c r="C43" s="144"/>
      <c r="D43" s="1812" t="s">
        <v>308</v>
      </c>
      <c r="E43" s="1801"/>
      <c r="F43" s="144"/>
      <c r="G43" s="144"/>
      <c r="H43" s="2655" t="s">
        <v>411</v>
      </c>
      <c r="I43" s="2655"/>
      <c r="J43" s="2655" t="s">
        <v>257</v>
      </c>
      <c r="K43" s="2655"/>
      <c r="L43" s="1805"/>
      <c r="M43" s="220"/>
      <c r="T43" s="114"/>
      <c r="U43" s="114"/>
      <c r="V43" s="114"/>
      <c r="W43" s="159"/>
      <c r="X43" s="1813"/>
      <c r="Y43" s="1813"/>
      <c r="Z43" s="1803"/>
      <c r="AA43" s="1803"/>
      <c r="AB43" s="1803"/>
      <c r="AC43" s="142"/>
      <c r="AE43" s="2642" t="s">
        <v>444</v>
      </c>
      <c r="AF43" s="2643"/>
      <c r="AG43" s="2643"/>
      <c r="AH43" s="2643"/>
      <c r="AI43" s="2643"/>
      <c r="AJ43" s="2643"/>
      <c r="AK43" s="2643"/>
      <c r="AL43" s="2643"/>
      <c r="AM43" s="2643" t="s">
        <v>444</v>
      </c>
      <c r="AN43" s="2644"/>
      <c r="AO43" s="624"/>
      <c r="AP43" s="578"/>
      <c r="AQ43" s="114"/>
      <c r="AR43" s="2616" t="s">
        <v>1648</v>
      </c>
      <c r="AS43" s="2617"/>
      <c r="AT43" s="2617"/>
      <c r="AU43" s="2617"/>
      <c r="AV43" s="2617"/>
      <c r="AW43" s="2617"/>
      <c r="AX43" s="2617"/>
      <c r="AY43" s="2617"/>
      <c r="AZ43" s="2617"/>
      <c r="BA43" s="2617"/>
      <c r="BB43" s="2617"/>
      <c r="BC43" s="2618"/>
    </row>
    <row r="44" spans="1:55" s="127" customFormat="1" ht="12.75" hidden="1" customHeight="1" outlineLevel="1">
      <c r="A44" s="114"/>
      <c r="B44" s="1800" t="s">
        <v>329</v>
      </c>
      <c r="C44" s="1801"/>
      <c r="D44" s="1812" t="s">
        <v>409</v>
      </c>
      <c r="E44" s="1810" t="s">
        <v>452</v>
      </c>
      <c r="F44" s="1810" t="s">
        <v>13</v>
      </c>
      <c r="G44" s="1810" t="s">
        <v>1</v>
      </c>
      <c r="H44" s="181" t="s">
        <v>1573</v>
      </c>
      <c r="I44" s="1801" t="s">
        <v>444</v>
      </c>
      <c r="J44" s="181" t="s">
        <v>1573</v>
      </c>
      <c r="K44" s="1801" t="s">
        <v>444</v>
      </c>
      <c r="L44" s="1812" t="s">
        <v>444</v>
      </c>
      <c r="M44" s="1814" t="s">
        <v>444</v>
      </c>
      <c r="T44" s="109"/>
      <c r="U44" s="109"/>
      <c r="V44" s="109"/>
      <c r="W44" s="1800" t="s">
        <v>316</v>
      </c>
      <c r="X44" s="2629" t="s">
        <v>316</v>
      </c>
      <c r="Y44" s="2630"/>
      <c r="Z44" s="1801" t="s">
        <v>444</v>
      </c>
      <c r="AA44" s="1801" t="s">
        <v>444</v>
      </c>
      <c r="AB44" s="1801"/>
      <c r="AC44" s="1814" t="s">
        <v>444</v>
      </c>
      <c r="AD44" s="116"/>
      <c r="AE44" s="2631" t="s">
        <v>211</v>
      </c>
      <c r="AF44" s="2632"/>
      <c r="AG44" s="2632" t="s">
        <v>442</v>
      </c>
      <c r="AH44" s="2632"/>
      <c r="AI44" s="2632" t="s">
        <v>267</v>
      </c>
      <c r="AJ44" s="2632"/>
      <c r="AK44" s="2632" t="s">
        <v>443</v>
      </c>
      <c r="AL44" s="2632"/>
      <c r="AM44" s="2648" t="s">
        <v>327</v>
      </c>
      <c r="AN44" s="2649"/>
      <c r="AO44" s="2631" t="s">
        <v>636</v>
      </c>
      <c r="AP44" s="2650"/>
      <c r="AQ44" s="109"/>
      <c r="AR44" s="2614" t="s">
        <v>1646</v>
      </c>
      <c r="AS44" s="2645"/>
      <c r="AT44" s="2645"/>
      <c r="AU44" s="2615"/>
      <c r="AV44" s="2614" t="s">
        <v>1644</v>
      </c>
      <c r="AW44" s="2645"/>
      <c r="AX44" s="2645"/>
      <c r="AY44" s="2615"/>
      <c r="AZ44" s="2614" t="s">
        <v>1645</v>
      </c>
      <c r="BA44" s="2645"/>
      <c r="BB44" s="2645"/>
      <c r="BC44" s="2615"/>
    </row>
    <row r="45" spans="1:55" s="127" customFormat="1" ht="12.75" hidden="1" customHeight="1" outlineLevel="1">
      <c r="A45" s="114"/>
      <c r="B45" s="536" t="s">
        <v>1624</v>
      </c>
      <c r="C45" s="1801"/>
      <c r="D45" s="1805" t="s">
        <v>444</v>
      </c>
      <c r="E45" s="1811" t="s">
        <v>453</v>
      </c>
      <c r="F45" s="153" t="s">
        <v>170</v>
      </c>
      <c r="G45" s="1811" t="s">
        <v>311</v>
      </c>
      <c r="H45" s="1801"/>
      <c r="I45" s="1801" t="s">
        <v>33</v>
      </c>
      <c r="J45" s="1801"/>
      <c r="K45" s="1801" t="s">
        <v>33</v>
      </c>
      <c r="L45" s="1805" t="s">
        <v>411</v>
      </c>
      <c r="M45" s="220" t="s">
        <v>257</v>
      </c>
      <c r="T45" s="109"/>
      <c r="U45" s="109"/>
      <c r="V45" s="109"/>
      <c r="W45" s="1800" t="s">
        <v>1649</v>
      </c>
      <c r="X45" s="2646" t="s">
        <v>1650</v>
      </c>
      <c r="Y45" s="2647"/>
      <c r="Z45" s="227" t="s">
        <v>411</v>
      </c>
      <c r="AA45" s="1662" t="s">
        <v>257</v>
      </c>
      <c r="AB45" s="1662"/>
      <c r="AC45" s="162" t="s">
        <v>327</v>
      </c>
      <c r="AD45" s="116"/>
      <c r="AE45" s="1818" t="s">
        <v>411</v>
      </c>
      <c r="AF45" s="1819" t="s">
        <v>257</v>
      </c>
      <c r="AG45" s="1819" t="s">
        <v>411</v>
      </c>
      <c r="AH45" s="1819" t="s">
        <v>257</v>
      </c>
      <c r="AI45" s="1819" t="s">
        <v>411</v>
      </c>
      <c r="AJ45" s="1819" t="s">
        <v>257</v>
      </c>
      <c r="AK45" s="1819" t="s">
        <v>411</v>
      </c>
      <c r="AL45" s="1819" t="s">
        <v>257</v>
      </c>
      <c r="AM45" s="581" t="s">
        <v>411</v>
      </c>
      <c r="AN45" s="582" t="s">
        <v>257</v>
      </c>
      <c r="AO45" s="1819" t="s">
        <v>411</v>
      </c>
      <c r="AP45" s="1820" t="s">
        <v>257</v>
      </c>
      <c r="AQ45" s="109"/>
      <c r="AR45" s="1815" t="s">
        <v>1643</v>
      </c>
      <c r="AS45" s="1816" t="s">
        <v>1640</v>
      </c>
      <c r="AT45" s="1816" t="s">
        <v>1641</v>
      </c>
      <c r="AU45" s="1817" t="s">
        <v>1642</v>
      </c>
      <c r="AV45" s="1816" t="s">
        <v>1643</v>
      </c>
      <c r="AW45" s="1816" t="s">
        <v>1640</v>
      </c>
      <c r="AX45" s="1816" t="s">
        <v>1641</v>
      </c>
      <c r="AY45" s="1817" t="s">
        <v>1642</v>
      </c>
      <c r="AZ45" s="1815" t="s">
        <v>1643</v>
      </c>
      <c r="BA45" s="1816" t="s">
        <v>1640</v>
      </c>
      <c r="BB45" s="1816" t="s">
        <v>1641</v>
      </c>
      <c r="BC45" s="1817" t="s">
        <v>1642</v>
      </c>
    </row>
    <row r="46" spans="1:55" s="116" customFormat="1" ht="12" hidden="1" customHeight="1" outlineLevel="1">
      <c r="A46" s="114"/>
      <c r="B46" s="143" t="s">
        <v>1620</v>
      </c>
      <c r="C46" s="1801"/>
      <c r="D46" s="315">
        <f>L46+M46</f>
        <v>0</v>
      </c>
      <c r="E46" s="117"/>
      <c r="F46" s="117"/>
      <c r="G46" s="117"/>
      <c r="H46" s="218">
        <f>VLOOKUP($B46&amp;"; "&amp;$H$44&amp;", "&amp;H$43,'FE Energie'!$G:$U,9,FALSE)</f>
        <v>0.04</v>
      </c>
      <c r="I46" s="224">
        <f>F46*H46</f>
        <v>0</v>
      </c>
      <c r="J46" s="218">
        <f>VLOOKUP($B46&amp;"; "&amp;$J$44&amp;", "&amp;J$43,'FE Energie'!$G:$U,9,FALSE)</f>
        <v>0.23</v>
      </c>
      <c r="K46" s="224">
        <f>F46*J46</f>
        <v>0</v>
      </c>
      <c r="L46" s="151">
        <f>G46*I46</f>
        <v>0</v>
      </c>
      <c r="M46" s="152">
        <f>G46*K46</f>
        <v>0</v>
      </c>
      <c r="T46" s="114"/>
      <c r="U46" s="114"/>
      <c r="V46" s="114"/>
      <c r="W46" s="1092">
        <f>IF(AC46=0,AC46,AC46/(L46+M46))</f>
        <v>0</v>
      </c>
      <c r="X46" s="1094"/>
      <c r="Y46" s="820"/>
      <c r="Z46" s="1801">
        <f>SQRT(SUMSQ(IF(ISNA($F46*G46*H46*AW46),0,$F46*G46*H46*AW46)))</f>
        <v>0</v>
      </c>
      <c r="AA46" s="1801">
        <f>SQRT(SUMSQ(IF(ISNA($F46*G46*J46*BA46),0,$F46*G46*J46*BA46)))</f>
        <v>0</v>
      </c>
      <c r="AB46" s="1801"/>
      <c r="AC46" s="152">
        <f>SQRT(Z46^2+AA46^2)</f>
        <v>0</v>
      </c>
      <c r="AE46" s="564">
        <f>$F46*$G46*IF(ISNA(VLOOKUP($B46&amp;"; "&amp;$H$44&amp;", "&amp;H$43,'FE Energie'!$G:$U,10,FALSE)),0,VLOOKUP($B46&amp;"; "&amp;$H$44&amp;", "&amp;H$43,'FE Energie'!$G:$U,10,FALSE))</f>
        <v>0</v>
      </c>
      <c r="AF46" s="565">
        <f>$F46*$G46*IF(ISNA(VLOOKUP($B46&amp;"; "&amp;$J$44&amp;", "&amp;J$43,'FE Energie'!$G:$U,10,FALSE)),0,VLOOKUP($B46&amp;"; "&amp;$J$44&amp;", "&amp;J$43,'FE Energie'!$G:$U,10,FALSE))</f>
        <v>0</v>
      </c>
      <c r="AG46" s="565">
        <f>$F46*$G46*IF(ISNA((VLOOKUP($B46&amp;"; "&amp;$H$44&amp;", "&amp;H$43,'FE Energie'!$G:$U,12,FALSE)+VLOOKUP($B46&amp;"; "&amp;$H$44&amp;", "&amp;H$43,'FE Energie'!$G:$U,11,FALSE))),0,(VLOOKUP($B46&amp;"; "&amp;$H$44&amp;", "&amp;H$43,'FE Energie'!$G:$U,12,FALSE)+VLOOKUP($B46&amp;"; "&amp;$H$44&amp;", "&amp;H$43,'FE Energie'!$G:$U,11,FALSE)))</f>
        <v>0</v>
      </c>
      <c r="AH46" s="565">
        <f>$F46*$G46*IF(ISNA((VLOOKUP($B46&amp;"; "&amp;$H$44&amp;", "&amp;J$43,'FE Energie'!$G:$U,12,FALSE)+VLOOKUP($B46&amp;"; "&amp;$H$44&amp;", "&amp;J$43,'FE Energie'!$G:$U,11,FALSE))),0,(VLOOKUP($B46&amp;"; "&amp;$H$44&amp;", "&amp;J$43,'FE Energie'!$G:$U,12,FALSE)+VLOOKUP($B46&amp;"; "&amp;$H$44&amp;", "&amp;J$43,'FE Energie'!$G:$U,11,FALSE)))</f>
        <v>0</v>
      </c>
      <c r="AI46" s="565">
        <f>$F46*$G46*IF(ISNA(VLOOKUP($B46&amp;"; "&amp;$H$44&amp;", "&amp;H$43,'FE Energie'!$G:$U,13,FALSE)),0,VLOOKUP($B46&amp;"; "&amp;$J$32&amp;", "&amp;H$43,'FE Energie'!$G:$U,13,FALSE))</f>
        <v>0</v>
      </c>
      <c r="AJ46" s="565">
        <f>$F46*$G46*IF(ISNA(VLOOKUP($B46&amp;"; "&amp;$H$44&amp;", "&amp;J$43,'FE Energie'!$G:$U,13,FALSE)),0,VLOOKUP($B46&amp;"; "&amp;$J$32&amp;", "&amp;J$43,'FE Energie'!$G:$U,13,FALSE))</f>
        <v>0</v>
      </c>
      <c r="AK46" s="565">
        <f>$F46*$G46*IF(ISNA(VLOOKUP($B46&amp;"; "&amp;$H$44&amp;", "&amp;H$43,'FE Energie'!$G:$U,14,FALSE)),0,VLOOKUP($B46&amp;"; "&amp;$H$44&amp;", "&amp;H$43,'FE Energie'!$G:$U,14,FALSE))</f>
        <v>0</v>
      </c>
      <c r="AL46" s="565">
        <f>$F46*$G46*IF(ISNA(VLOOKUP($B46&amp;"; "&amp;$H$44&amp;", "&amp;J$43,'FE Energie'!$G:$U,14,FALSE)),0,VLOOKUP($B46&amp;"; "&amp;$H$44&amp;", "&amp;J$43,'FE Energie'!$G:$U,14,FALSE))</f>
        <v>0</v>
      </c>
      <c r="AM46" s="566">
        <f>L46</f>
        <v>0</v>
      </c>
      <c r="AN46" s="567">
        <f>M46</f>
        <v>0</v>
      </c>
      <c r="AO46" s="565">
        <f>$F46*$G46*IF(ISNA(VLOOKUP($B46&amp;"; "&amp;$H$44&amp;", "&amp;H$43,'FE Energie'!$G:$U,15,FALSE)),0,VLOOKUP($B46&amp;"; "&amp;$H$44&amp;", "&amp;H$43,'FE Energie'!$G:$U,15,FALSE))</f>
        <v>0</v>
      </c>
      <c r="AP46" s="568">
        <f>$F46*$G46*IF(ISNA(VLOOKUP($B46&amp;"; "&amp;$H$44&amp;", "&amp;J$43,'FE Energie'!$G:$U,15,FALSE)),0,VLOOKUP($B46&amp;"; "&amp;$H$44&amp;", "&amp;J$43,'FE Energie'!$G:$U,15,FALSE))</f>
        <v>0</v>
      </c>
      <c r="AQ46" s="114"/>
      <c r="AR46" s="1065"/>
      <c r="AS46" s="1066">
        <f>IF($X46&lt;&gt;"votre valeur :",IF(ISNA(VLOOKUP($X46,Utilitaires!$N$566:$O$571,2,FALSE)),,VLOOKUP($X46,Utilitaires!$N$566:$O$571,2,FALSE)),$Y46)</f>
        <v>0</v>
      </c>
      <c r="AT46" s="1066"/>
      <c r="AU46" s="1067"/>
      <c r="AV46" s="1068"/>
      <c r="AW46" s="1068">
        <f>IF(ISNA(SQRT(SUMSQ(VLOOKUP($B46&amp;"; "&amp;$H$44&amp;", "&amp;$H$43,'FE Energie'!$G:$U,7,FALSE),$AS46))),0,SQRT(SUMSQ(VLOOKUP($B46&amp;"; "&amp;$H$44&amp;", "&amp;$H$43,'FE Energie'!$G:$U,7,FALSE),$AS46)))</f>
        <v>0.05</v>
      </c>
      <c r="AX46" s="1068"/>
      <c r="AY46" s="1068"/>
      <c r="AZ46" s="1069"/>
      <c r="BA46" s="1070">
        <f>IF(ISNA(SQRT(SUMSQ(VLOOKUP($B46&amp;"; "&amp;$J$44&amp;", "&amp;$J$43,'FE Energie'!$G:$U,7,FALSE),$AS46))),0,SQRT(SUMSQ(VLOOKUP($B46&amp;"; "&amp;$J$44&amp;", "&amp;$J$43,'FE Energie'!$G:$U,7,FALSE),$AS46)))</f>
        <v>0.05</v>
      </c>
      <c r="BB46" s="1070"/>
      <c r="BC46" s="1071"/>
    </row>
    <row r="47" spans="1:55" s="116" customFormat="1" ht="12" hidden="1" customHeight="1" outlineLevel="1">
      <c r="A47" s="114"/>
      <c r="B47" s="536" t="s">
        <v>1668</v>
      </c>
      <c r="C47" s="1801"/>
      <c r="D47" s="315"/>
      <c r="E47" s="1047"/>
      <c r="F47" s="1047"/>
      <c r="G47" s="1047"/>
      <c r="H47" s="218"/>
      <c r="I47" s="224"/>
      <c r="J47" s="218"/>
      <c r="K47" s="224"/>
      <c r="L47" s="151"/>
      <c r="M47" s="152"/>
      <c r="T47" s="114"/>
      <c r="U47" s="114"/>
      <c r="V47" s="114"/>
      <c r="W47" s="1092"/>
      <c r="X47" s="820"/>
      <c r="Y47" s="820"/>
      <c r="Z47" s="1801"/>
      <c r="AA47" s="1801"/>
      <c r="AB47" s="1801"/>
      <c r="AC47" s="152"/>
      <c r="AE47" s="564"/>
      <c r="AF47" s="565"/>
      <c r="AG47" s="565"/>
      <c r="AH47" s="565"/>
      <c r="AI47" s="565"/>
      <c r="AJ47" s="565"/>
      <c r="AK47" s="565"/>
      <c r="AL47" s="565"/>
      <c r="AM47" s="566"/>
      <c r="AN47" s="567"/>
      <c r="AO47" s="565"/>
      <c r="AP47" s="568"/>
      <c r="AQ47" s="114"/>
      <c r="AR47" s="1065"/>
      <c r="AS47" s="1066"/>
      <c r="AT47" s="1066"/>
      <c r="AU47" s="1067"/>
      <c r="AV47" s="1068"/>
      <c r="AW47" s="1068"/>
      <c r="AX47" s="1068"/>
      <c r="AY47" s="1068"/>
      <c r="AZ47" s="1069"/>
      <c r="BA47" s="1070"/>
      <c r="BB47" s="1070"/>
      <c r="BC47" s="1071"/>
    </row>
    <row r="48" spans="1:55" s="116" customFormat="1" ht="12" hidden="1" customHeight="1" outlineLevel="1">
      <c r="A48" s="114"/>
      <c r="B48" s="143" t="s">
        <v>3300</v>
      </c>
      <c r="C48" s="1801"/>
      <c r="D48" s="315">
        <f>L48+M48</f>
        <v>0</v>
      </c>
      <c r="E48" s="120"/>
      <c r="F48" s="120"/>
      <c r="G48" s="120"/>
      <c r="H48" s="2031">
        <f>IF(ISNA(VLOOKUP($B48&amp;"; "&amp;$H$44&amp;", "&amp;H$43,'FE Energie'!$G:$U,9,FALSE)),0,VLOOKUP($B48&amp;"; "&amp;$H$44&amp;", "&amp;H$43,'FE Energie'!$G:$U,9,FALSE))</f>
        <v>0</v>
      </c>
      <c r="I48" s="2032">
        <f>F48*H48</f>
        <v>0</v>
      </c>
      <c r="J48" s="218">
        <f>IF(ISNA(VLOOKUP($B48&amp;"; "&amp;$J$44&amp;", "&amp;J$43,'FE Energie'!$G:$U,9,FALSE)),0,VLOOKUP($B48&amp;"; "&amp;$J$44&amp;", "&amp;J$43,'FE Energie'!$G:$U,9,FALSE))</f>
        <v>0</v>
      </c>
      <c r="K48" s="224">
        <f>F48*J48</f>
        <v>0</v>
      </c>
      <c r="L48" s="151">
        <f>G48*I48</f>
        <v>0</v>
      </c>
      <c r="M48" s="152">
        <f>G48*K48</f>
        <v>0</v>
      </c>
      <c r="T48" s="114"/>
      <c r="U48" s="114"/>
      <c r="V48" s="114"/>
      <c r="W48" s="1092">
        <f>IF(AC35=0,AC35,AC35/(R35+S35))</f>
        <v>0</v>
      </c>
      <c r="X48" s="1094"/>
      <c r="Y48" s="820"/>
      <c r="Z48" s="1801">
        <f>SQRT(SUMSQ(IF(ISNA($F48*G48*H48*AW48),0,$F48*G48*H48*AW48)))</f>
        <v>0</v>
      </c>
      <c r="AA48" s="1801">
        <f>SQRT(SUMSQ(IF(ISNA($F48*G48*J48*BA48),0,$F48*G48*J48*BA48)))</f>
        <v>0</v>
      </c>
      <c r="AB48" s="1801"/>
      <c r="AC48" s="152">
        <f>SQRT(Z48^2+AA48^2)</f>
        <v>0</v>
      </c>
      <c r="AE48" s="564">
        <f>$F48*$G48*IF(ISNA(VLOOKUP($B48&amp;"; "&amp;$H$44&amp;", "&amp;H$43,'FE Energie'!$G:$U,10,FALSE)),0,VLOOKUP($B48&amp;"; "&amp;$H$44&amp;", "&amp;H$43,'FE Energie'!$G:$U,10,FALSE))</f>
        <v>0</v>
      </c>
      <c r="AF48" s="565">
        <f>$F48*$G48*IF(ISNA(VLOOKUP($B48&amp;"; "&amp;$J$44&amp;", "&amp;J$43,'FE Energie'!$G:$U,10,FALSE)),0,VLOOKUP($B48&amp;"; "&amp;$J$44&amp;", "&amp;J$43,'FE Energie'!$G:$U,10,FALSE))</f>
        <v>0</v>
      </c>
      <c r="AG48" s="565">
        <f>$F48*$G48*IF(ISNA((VLOOKUP($B48&amp;"; "&amp;$H$44&amp;", "&amp;H$43,'FE Energie'!$G:$U,12,FALSE)+VLOOKUP($B48&amp;"; "&amp;$H$44&amp;", "&amp;H$43,'FE Energie'!$G:$U,11,FALSE))),0,(VLOOKUP($B48&amp;"; "&amp;$H$44&amp;", "&amp;H$43,'FE Energie'!$G:$U,12,FALSE)+VLOOKUP($B48&amp;"; "&amp;$H$44&amp;", "&amp;H$43,'FE Energie'!$G:$U,11,FALSE)))</f>
        <v>0</v>
      </c>
      <c r="AH48" s="565">
        <f>$F48*$G48*IF(ISNA((VLOOKUP($B48&amp;"; "&amp;$H$44&amp;", "&amp;J$43,'FE Energie'!$G:$U,12,FALSE)+VLOOKUP($B48&amp;"; "&amp;$H$44&amp;", "&amp;J$43,'FE Energie'!$G:$U,11,FALSE))),0,(VLOOKUP($B48&amp;"; "&amp;$H$44&amp;", "&amp;J$43,'FE Energie'!$G:$U,12,FALSE)+VLOOKUP($B48&amp;"; "&amp;$H$44&amp;", "&amp;J$43,'FE Energie'!$G:$U,11,FALSE)))</f>
        <v>0</v>
      </c>
      <c r="AI48" s="565">
        <f>$F48*$G48*IF(ISNA(VLOOKUP($B48&amp;"; "&amp;$H$44&amp;", "&amp;H$43,'FE Energie'!$G:$U,13,FALSE)),0,VLOOKUP($B48&amp;"; "&amp;$J$32&amp;", "&amp;H$43,'FE Energie'!$G:$U,13,FALSE))</f>
        <v>0</v>
      </c>
      <c r="AJ48" s="565">
        <f>$F48*$G48*IF(ISNA(VLOOKUP($B48&amp;"; "&amp;$H$44&amp;", "&amp;J$43,'FE Energie'!$G:$U,13,FALSE)),0,VLOOKUP($B48&amp;"; "&amp;$J$32&amp;", "&amp;J$43,'FE Energie'!$G:$U,13,FALSE))</f>
        <v>0</v>
      </c>
      <c r="AK48" s="565">
        <f>$F48*$G48*IF(ISNA(VLOOKUP($B48&amp;"; "&amp;$H$44&amp;", "&amp;H$43,'FE Energie'!$G:$U,14,FALSE)),0,VLOOKUP($B48&amp;"; "&amp;$H$44&amp;", "&amp;H$43,'FE Energie'!$G:$U,14,FALSE))</f>
        <v>0</v>
      </c>
      <c r="AL48" s="565">
        <f>$F48*$G48*IF(ISNA(VLOOKUP($B48&amp;"; "&amp;$H$44&amp;", "&amp;J$43,'FE Energie'!$G:$U,14,FALSE)),0,VLOOKUP($B48&amp;"; "&amp;$H$44&amp;", "&amp;J$43,'FE Energie'!$G:$U,14,FALSE))</f>
        <v>0</v>
      </c>
      <c r="AM48" s="566">
        <f>L48</f>
        <v>0</v>
      </c>
      <c r="AN48" s="567">
        <f>M48</f>
        <v>0</v>
      </c>
      <c r="AO48" s="565">
        <f>$F48*$G48*IF(ISNA(VLOOKUP($B48&amp;"; "&amp;$H$44&amp;", "&amp;H$43,'FE Energie'!$G:$U,15,FALSE)),0,VLOOKUP($B48&amp;"; "&amp;$H$44&amp;", "&amp;H$43,'FE Energie'!$G:$U,15,FALSE))</f>
        <v>0</v>
      </c>
      <c r="AP48" s="568">
        <f>$F48*$G48*IF(ISNA(VLOOKUP($B48&amp;"; "&amp;$H$44&amp;", "&amp;J$43,'FE Energie'!$G:$U,15,FALSE)),0,VLOOKUP($B48&amp;"; "&amp;$H$44&amp;", "&amp;J$43,'FE Energie'!$G:$U,15,FALSE))</f>
        <v>0</v>
      </c>
      <c r="AQ48" s="114"/>
      <c r="AR48" s="1065"/>
      <c r="AS48" s="1066">
        <f>IF($X48&lt;&gt;"votre valeur :",IF(ISNA(VLOOKUP($X48,Utilitaires!$N$566:$O$571,2,FALSE)),,VLOOKUP($X48,Utilitaires!$N$566:$O$571,2,FALSE)),$Y48)</f>
        <v>0</v>
      </c>
      <c r="AT48" s="1066"/>
      <c r="AU48" s="1067"/>
      <c r="AV48" s="1068"/>
      <c r="AW48" s="1068">
        <f>IF(ISNA(SQRT(SUMSQ(VLOOKUP($B48&amp;"; "&amp;$H$44&amp;", "&amp;$H$43,'FE Energie'!$G:$U,7,FALSE),$AS48))),0,SQRT(SUMSQ(VLOOKUP($B48&amp;"; "&amp;$H$44&amp;", "&amp;$H$43,'FE Energie'!$G:$U,7,FALSE),$AS48)))</f>
        <v>0</v>
      </c>
      <c r="AX48" s="1068"/>
      <c r="AY48" s="1068"/>
      <c r="AZ48" s="1069"/>
      <c r="BA48" s="1070">
        <f>IF(ISNA(SQRT(SUMSQ(VLOOKUP($B48&amp;"; "&amp;$J$44&amp;", "&amp;$J$43,'FE Energie'!$G:$U,7,FALSE),$AS48))),0,SQRT(SUMSQ(VLOOKUP($B48&amp;"; "&amp;$J$44&amp;", "&amp;$J$43,'FE Energie'!$G:$U,7,FALSE),$AS48)))</f>
        <v>0</v>
      </c>
      <c r="BB48" s="1070"/>
      <c r="BC48" s="1071"/>
    </row>
    <row r="49" spans="1:56" s="116" customFormat="1" ht="12" hidden="1" customHeight="1" outlineLevel="1">
      <c r="A49" s="114"/>
      <c r="B49" s="536" t="s">
        <v>1628</v>
      </c>
      <c r="C49" s="1801"/>
      <c r="D49" s="315"/>
      <c r="E49" s="120"/>
      <c r="F49" s="120"/>
      <c r="G49" s="120"/>
      <c r="H49" s="218"/>
      <c r="I49" s="224"/>
      <c r="J49" s="218"/>
      <c r="K49" s="224"/>
      <c r="L49" s="151"/>
      <c r="M49" s="152"/>
      <c r="T49" s="114"/>
      <c r="U49" s="114"/>
      <c r="V49" s="114"/>
      <c r="W49" s="1092"/>
      <c r="X49" s="820"/>
      <c r="Y49" s="820"/>
      <c r="Z49" s="1801"/>
      <c r="AA49" s="1801"/>
      <c r="AB49" s="1801"/>
      <c r="AC49" s="152"/>
      <c r="AE49" s="564"/>
      <c r="AF49" s="565"/>
      <c r="AG49" s="565"/>
      <c r="AH49" s="565"/>
      <c r="AI49" s="565"/>
      <c r="AJ49" s="565"/>
      <c r="AK49" s="565"/>
      <c r="AL49" s="565"/>
      <c r="AM49" s="566"/>
      <c r="AN49" s="567"/>
      <c r="AO49" s="565"/>
      <c r="AP49" s="568"/>
      <c r="AQ49" s="114"/>
      <c r="AR49" s="1815"/>
      <c r="AS49" s="1066"/>
      <c r="AT49" s="1816"/>
      <c r="AU49" s="1817"/>
      <c r="AV49" s="1816"/>
      <c r="AW49" s="1068"/>
      <c r="AX49" s="1816"/>
      <c r="AY49" s="1817"/>
      <c r="AZ49" s="1815"/>
      <c r="BA49" s="1070"/>
      <c r="BB49" s="1816"/>
      <c r="BC49" s="1817"/>
    </row>
    <row r="50" spans="1:56" s="116" customFormat="1" ht="12" hidden="1" customHeight="1" outlineLevel="1">
      <c r="A50" s="114"/>
      <c r="B50" s="143" t="s">
        <v>1629</v>
      </c>
      <c r="C50" s="1801"/>
      <c r="D50" s="315">
        <f>L50+M50</f>
        <v>0</v>
      </c>
      <c r="E50" s="120"/>
      <c r="F50" s="120"/>
      <c r="G50" s="120"/>
      <c r="H50" s="218">
        <f>VLOOKUP($B50&amp;"; "&amp;$H$44&amp;", "&amp;H$43,'FE Energie'!$G:$U,9,FALSE)</f>
        <v>5.2699999999999997E-2</v>
      </c>
      <c r="I50" s="224">
        <f>F50*H50</f>
        <v>0</v>
      </c>
      <c r="J50" s="218">
        <f>VLOOKUP($B50&amp;"; "&amp;$J$44&amp;", "&amp;J$43,'FE Energie'!$G:$U,9,FALSE)</f>
        <v>0.27200000000000002</v>
      </c>
      <c r="K50" s="224">
        <f>F50*J50</f>
        <v>0</v>
      </c>
      <c r="L50" s="151">
        <f>G50*I50</f>
        <v>0</v>
      </c>
      <c r="M50" s="152">
        <f>G50*K50</f>
        <v>0</v>
      </c>
      <c r="T50" s="114"/>
      <c r="U50" s="114"/>
      <c r="V50" s="114"/>
      <c r="W50" s="1092">
        <f>IF(AC37=0,AC37,AC37/(R37+S37))</f>
        <v>0</v>
      </c>
      <c r="X50" s="1094"/>
      <c r="Y50" s="820"/>
      <c r="Z50" s="1801">
        <f>SQRT(SUMSQ(IF(ISNA($F50*G50*H50*AW50),0,$F50*G50*H50*AW50)))</f>
        <v>0</v>
      </c>
      <c r="AA50" s="1801">
        <f>SQRT(SUMSQ(IF(ISNA($F50*G50*J50*BA50),0,$F50*G50*J50*BA50)))</f>
        <v>0</v>
      </c>
      <c r="AB50" s="1801"/>
      <c r="AC50" s="152">
        <f>SQRT(Z50^2+AA50^2)</f>
        <v>0</v>
      </c>
      <c r="AE50" s="564">
        <f>$F50*$G50*IF(ISNA(VLOOKUP($B50&amp;"; "&amp;$H$44&amp;", "&amp;H$43,'FE Energie'!$G:$U,10,FALSE)),0,VLOOKUP($B50&amp;"; "&amp;$H$44&amp;", "&amp;H$43,'FE Energie'!$G:$U,10,FALSE))</f>
        <v>0</v>
      </c>
      <c r="AF50" s="565">
        <f>$F50*$G50*IF(ISNA(VLOOKUP($B50&amp;"; "&amp;$J$44&amp;", "&amp;J$43,'FE Energie'!$G:$U,10,FALSE)),0,VLOOKUP($B50&amp;"; "&amp;$J$44&amp;", "&amp;J$43,'FE Energie'!$G:$U,10,FALSE))</f>
        <v>0</v>
      </c>
      <c r="AG50" s="565">
        <f>$F50*$G50*IF(ISNA((VLOOKUP($B50&amp;"; "&amp;$H$44&amp;", "&amp;H$43,'FE Energie'!$G:$U,12,FALSE)+VLOOKUP($B50&amp;"; "&amp;$H$44&amp;", "&amp;H$43,'FE Energie'!$G:$U,11,FALSE))),0,(VLOOKUP($B50&amp;"; "&amp;$H$44&amp;", "&amp;H$43,'FE Energie'!$G:$U,12,FALSE)+VLOOKUP($B50&amp;"; "&amp;$H$44&amp;", "&amp;H$43,'FE Energie'!$G:$U,11,FALSE)))</f>
        <v>0</v>
      </c>
      <c r="AH50" s="565">
        <f>$F50*$G50*IF(ISNA((VLOOKUP($B50&amp;"; "&amp;$H$44&amp;", "&amp;J$43,'FE Energie'!$G:$U,12,FALSE)+VLOOKUP($B50&amp;"; "&amp;$H$44&amp;", "&amp;J$43,'FE Energie'!$G:$U,11,FALSE))),0,(VLOOKUP($B50&amp;"; "&amp;$H$44&amp;", "&amp;J$43,'FE Energie'!$G:$U,12,FALSE)+VLOOKUP($B50&amp;"; "&amp;$H$44&amp;", "&amp;J$43,'FE Energie'!$G:$U,11,FALSE)))</f>
        <v>0</v>
      </c>
      <c r="AI50" s="565">
        <f>$F50*$G50*IF(ISNA(VLOOKUP($B50&amp;"; "&amp;$H$44&amp;", "&amp;H$43,'FE Energie'!$G:$U,13,FALSE)),0,VLOOKUP($B50&amp;"; "&amp;$J$32&amp;", "&amp;H$43,'FE Energie'!$G:$U,13,FALSE))</f>
        <v>0</v>
      </c>
      <c r="AJ50" s="565">
        <f>$F50*$G50*IF(ISNA(VLOOKUP($B50&amp;"; "&amp;$H$44&amp;", "&amp;J$43,'FE Energie'!$G:$U,13,FALSE)),0,VLOOKUP($B50&amp;"; "&amp;$J$32&amp;", "&amp;J$43,'FE Energie'!$G:$U,13,FALSE))</f>
        <v>0</v>
      </c>
      <c r="AK50" s="565">
        <f>$F50*$G50*IF(ISNA(VLOOKUP($B50&amp;"; "&amp;$H$44&amp;", "&amp;H$43,'FE Energie'!$G:$U,14,FALSE)),0,VLOOKUP($B50&amp;"; "&amp;$H$44&amp;", "&amp;H$43,'FE Energie'!$G:$U,14,FALSE))</f>
        <v>0</v>
      </c>
      <c r="AL50" s="565">
        <f>$F50*$G50*IF(ISNA(VLOOKUP($B50&amp;"; "&amp;$H$44&amp;", "&amp;J$43,'FE Energie'!$G:$U,14,FALSE)),0,VLOOKUP($B50&amp;"; "&amp;$H$44&amp;", "&amp;J$43,'FE Energie'!$G:$U,14,FALSE))</f>
        <v>0</v>
      </c>
      <c r="AM50" s="566">
        <f>L50</f>
        <v>0</v>
      </c>
      <c r="AN50" s="567">
        <f>M50</f>
        <v>0</v>
      </c>
      <c r="AO50" s="565">
        <f>$F50*$G50*IF(ISNA(VLOOKUP($B50&amp;"; "&amp;$H$44&amp;", "&amp;H$43,'FE Energie'!$G:$U,15,FALSE)),0,VLOOKUP($B50&amp;"; "&amp;$H$44&amp;", "&amp;H$43,'FE Energie'!$G:$U,15,FALSE))</f>
        <v>0</v>
      </c>
      <c r="AP50" s="568">
        <f>$F50*$G50*IF(ISNA(VLOOKUP($B50&amp;"; "&amp;$H$44&amp;", "&amp;J$43,'FE Energie'!$G:$U,15,FALSE)),0,VLOOKUP($B50&amp;"; "&amp;$H$44&amp;", "&amp;J$43,'FE Energie'!$G:$U,15,FALSE))</f>
        <v>0</v>
      </c>
      <c r="AQ50" s="114"/>
      <c r="AR50" s="1065"/>
      <c r="AS50" s="1066">
        <f>IF($X50&lt;&gt;"votre valeur :",IF(ISNA(VLOOKUP($X50,Utilitaires!$N$566:$O$571,2,FALSE)),,VLOOKUP($X50,Utilitaires!$N$566:$O$571,2,FALSE)),$Y50)</f>
        <v>0</v>
      </c>
      <c r="AT50" s="1066"/>
      <c r="AU50" s="1067"/>
      <c r="AV50" s="1068"/>
      <c r="AW50" s="1068">
        <f>IF(ISNA(SQRT(SUMSQ(VLOOKUP($B50&amp;"; "&amp;$H$44&amp;", "&amp;$H$43,'FE Energie'!$G:$U,7,FALSE),$AS50))),0,SQRT(SUMSQ(VLOOKUP($B50&amp;"; "&amp;$H$44&amp;", "&amp;$H$43,'FE Energie'!$G:$U,7,FALSE),$AS50)))</f>
        <v>0.05</v>
      </c>
      <c r="AX50" s="1068"/>
      <c r="AY50" s="1068"/>
      <c r="AZ50" s="1069"/>
      <c r="BA50" s="1070">
        <f>IF(ISNA(SQRT(SUMSQ(VLOOKUP($B50&amp;"; "&amp;$J$44&amp;", "&amp;$J$43,'FE Energie'!$G:$U,7,FALSE),$AS50))),0,SQRT(SUMSQ(VLOOKUP($B50&amp;"; "&amp;$J$44&amp;", "&amp;$J$43,'FE Energie'!$G:$U,7,FALSE),$AS50)))</f>
        <v>0.05</v>
      </c>
      <c r="BB50" s="1070"/>
      <c r="BC50" s="1071"/>
    </row>
    <row r="51" spans="1:56" s="116" customFormat="1" ht="12" hidden="1" customHeight="1" outlineLevel="1">
      <c r="A51" s="114"/>
      <c r="B51" s="536" t="s">
        <v>1632</v>
      </c>
      <c r="C51" s="1801"/>
      <c r="D51" s="315"/>
      <c r="E51" s="398"/>
      <c r="F51" s="398"/>
      <c r="G51" s="398"/>
      <c r="H51" s="218"/>
      <c r="I51" s="224"/>
      <c r="J51" s="218"/>
      <c r="K51" s="224"/>
      <c r="L51" s="151"/>
      <c r="M51" s="152"/>
      <c r="T51" s="114"/>
      <c r="U51" s="114"/>
      <c r="V51" s="114"/>
      <c r="W51" s="1092"/>
      <c r="X51" s="820"/>
      <c r="Y51" s="820"/>
      <c r="Z51" s="1801"/>
      <c r="AA51" s="1801"/>
      <c r="AB51" s="1801"/>
      <c r="AC51" s="152"/>
      <c r="AE51" s="564"/>
      <c r="AF51" s="565"/>
      <c r="AG51" s="565"/>
      <c r="AH51" s="565"/>
      <c r="AI51" s="565"/>
      <c r="AJ51" s="565"/>
      <c r="AK51" s="565"/>
      <c r="AL51" s="565"/>
      <c r="AM51" s="566"/>
      <c r="AN51" s="567"/>
      <c r="AO51" s="565"/>
      <c r="AP51" s="568"/>
      <c r="AQ51" s="114"/>
      <c r="AR51" s="1065"/>
      <c r="AS51" s="1066"/>
      <c r="AT51" s="1066"/>
      <c r="AU51" s="1067"/>
      <c r="AV51" s="1068"/>
      <c r="AW51" s="1068"/>
      <c r="AX51" s="1068"/>
      <c r="AY51" s="1068"/>
      <c r="AZ51" s="1069"/>
      <c r="BA51" s="1070"/>
      <c r="BB51" s="1070"/>
      <c r="BC51" s="1071"/>
    </row>
    <row r="52" spans="1:56" s="116" customFormat="1" ht="12" hidden="1" customHeight="1" outlineLevel="1">
      <c r="A52" s="114"/>
      <c r="B52" s="143" t="s">
        <v>1669</v>
      </c>
      <c r="C52" s="1801"/>
      <c r="D52" s="315">
        <f>L52+M52</f>
        <v>0</v>
      </c>
      <c r="E52" s="123"/>
      <c r="F52" s="123"/>
      <c r="G52" s="123"/>
      <c r="H52" s="218">
        <f>VLOOKUP($B52&amp;"; "&amp;$H$44&amp;", "&amp;H$43,'FE Energie'!$G:$U,9,FALSE)</f>
        <v>3.1899999999999998E-2</v>
      </c>
      <c r="I52" s="224">
        <f>F52*H52</f>
        <v>0</v>
      </c>
      <c r="J52" s="218">
        <f>VLOOKUP($B52&amp;"; "&amp;$J$44&amp;", "&amp;J$43,'FE Energie'!$G:$U,9,FALSE)</f>
        <v>0.35599999999999998</v>
      </c>
      <c r="K52" s="224">
        <f>F52*J52</f>
        <v>0</v>
      </c>
      <c r="L52" s="151">
        <f>G52*I52</f>
        <v>0</v>
      </c>
      <c r="M52" s="152">
        <f>G52*K52</f>
        <v>0</v>
      </c>
      <c r="T52" s="114"/>
      <c r="U52" s="114"/>
      <c r="V52" s="114"/>
      <c r="W52" s="1092">
        <f>IF(AC38=0,AC38,AC38/(R38+S38))</f>
        <v>0</v>
      </c>
      <c r="X52" s="1094"/>
      <c r="Y52" s="820"/>
      <c r="Z52" s="1801">
        <f>SQRT(SUMSQ(IF(ISNA($F52*G52*H52*AW52),0,$F52*G52*H52*AW52)))</f>
        <v>0</v>
      </c>
      <c r="AA52" s="1801">
        <f>SQRT(SUMSQ(IF(ISNA($F52*G52*J52*BA52),0,$F52*G52*J52*BA52)))</f>
        <v>0</v>
      </c>
      <c r="AB52" s="1801"/>
      <c r="AC52" s="152">
        <f>SQRT(Z52^2+AA52^2)</f>
        <v>0</v>
      </c>
      <c r="AE52" s="564">
        <f>$F52*$G52*IF(ISNA(VLOOKUP($B52&amp;"; "&amp;$H$44&amp;", "&amp;H$43,'FE Energie'!$G:$U,10,FALSE)),0,VLOOKUP($B52&amp;"; "&amp;$H$44&amp;", "&amp;H$43,'FE Energie'!$G:$U,10,FALSE))</f>
        <v>0</v>
      </c>
      <c r="AF52" s="565">
        <f>$F52*$G52*IF(ISNA(VLOOKUP($B52&amp;"; "&amp;$J$44&amp;", "&amp;J$43,'FE Energie'!$G:$U,10,FALSE)),0,VLOOKUP($B52&amp;"; "&amp;$J$44&amp;", "&amp;J$43,'FE Energie'!$G:$U,10,FALSE))</f>
        <v>0</v>
      </c>
      <c r="AG52" s="565">
        <f>$F52*$G52*IF(ISNA((VLOOKUP($B52&amp;"; "&amp;$H$44&amp;", "&amp;H$43,'FE Energie'!$G:$U,12,FALSE)+VLOOKUP($B52&amp;"; "&amp;$H$44&amp;", "&amp;H$43,'FE Energie'!$G:$U,11,FALSE))),0,(VLOOKUP($B52&amp;"; "&amp;$H$44&amp;", "&amp;H$43,'FE Energie'!$G:$U,12,FALSE)+VLOOKUP($B52&amp;"; "&amp;$H$44&amp;", "&amp;H$43,'FE Energie'!$G:$U,11,FALSE)))</f>
        <v>0</v>
      </c>
      <c r="AH52" s="565">
        <f>$F52*$G52*IF(ISNA((VLOOKUP($B52&amp;"; "&amp;$H$44&amp;", "&amp;J$43,'FE Energie'!$G:$U,12,FALSE)+VLOOKUP($B52&amp;"; "&amp;$H$44&amp;", "&amp;J$43,'FE Energie'!$G:$U,11,FALSE))),0,(VLOOKUP($B52&amp;"; "&amp;$H$44&amp;", "&amp;J$43,'FE Energie'!$G:$U,12,FALSE)+VLOOKUP($B52&amp;"; "&amp;$H$44&amp;", "&amp;J$43,'FE Energie'!$G:$U,11,FALSE)))</f>
        <v>0</v>
      </c>
      <c r="AI52" s="565">
        <f>$F52*$G52*IF(ISNA(VLOOKUP($B52&amp;"; "&amp;$H$44&amp;", "&amp;H$43,'FE Energie'!$G:$U,13,FALSE)),0,VLOOKUP($B52&amp;"; "&amp;$J$32&amp;", "&amp;H$43,'FE Energie'!$G:$U,13,FALSE))</f>
        <v>0</v>
      </c>
      <c r="AJ52" s="565">
        <f>$F52*$G52*IF(ISNA(VLOOKUP($B52&amp;"; "&amp;$H$44&amp;", "&amp;J$43,'FE Energie'!$G:$U,13,FALSE)),0,VLOOKUP($B52&amp;"; "&amp;$J$32&amp;", "&amp;J$43,'FE Energie'!$G:$U,13,FALSE))</f>
        <v>0</v>
      </c>
      <c r="AK52" s="565">
        <f>$F52*$G52*IF(ISNA(VLOOKUP($B52&amp;"; "&amp;$H$44&amp;", "&amp;H$43,'FE Energie'!$G:$U,14,FALSE)),0,VLOOKUP($B52&amp;"; "&amp;$H$44&amp;", "&amp;H$43,'FE Energie'!$G:$U,14,FALSE))</f>
        <v>0</v>
      </c>
      <c r="AL52" s="565">
        <f>$F52*$G52*IF(ISNA(VLOOKUP($B52&amp;"; "&amp;$H$44&amp;", "&amp;J$43,'FE Energie'!$G:$U,14,FALSE)),0,VLOOKUP($B52&amp;"; "&amp;$H$44&amp;", "&amp;J$43,'FE Energie'!$G:$U,14,FALSE))</f>
        <v>0</v>
      </c>
      <c r="AM52" s="566">
        <f>L52</f>
        <v>0</v>
      </c>
      <c r="AN52" s="567">
        <f>M52</f>
        <v>0</v>
      </c>
      <c r="AO52" s="565">
        <f>$F52*$G52*IF(ISNA(VLOOKUP($B52&amp;"; "&amp;$H$44&amp;", "&amp;H$43,'FE Energie'!$G:$U,15,FALSE)),0,VLOOKUP($B52&amp;"; "&amp;$H$44&amp;", "&amp;H$43,'FE Energie'!$G:$U,15,FALSE))</f>
        <v>0</v>
      </c>
      <c r="AP52" s="568">
        <f>$F52*$G52*IF(ISNA(VLOOKUP($B52&amp;"; "&amp;$H$44&amp;", "&amp;J$43,'FE Energie'!$G:$U,15,FALSE)),0,VLOOKUP($B52&amp;"; "&amp;$H$44&amp;", "&amp;J$43,'FE Energie'!$G:$U,15,FALSE))</f>
        <v>0</v>
      </c>
      <c r="AQ52" s="114"/>
      <c r="AR52" s="1065"/>
      <c r="AS52" s="1066">
        <f>IF($X52&lt;&gt;"votre valeur :",IF(ISNA(VLOOKUP($X52,Utilitaires!$N$566:$O$571,2,FALSE)),,VLOOKUP($X52,Utilitaires!$N$566:$O$571,2,FALSE)),$Y52)</f>
        <v>0</v>
      </c>
      <c r="AT52" s="1066"/>
      <c r="AU52" s="1067"/>
      <c r="AV52" s="1068"/>
      <c r="AW52" s="1068">
        <f>IF(ISNA(SQRT(SUMSQ(VLOOKUP($B52&amp;"; "&amp;$H$44&amp;", "&amp;$H$43,'FE Energie'!$G:$U,7,FALSE),$AS52))),0,SQRT(SUMSQ(VLOOKUP($B52&amp;"; "&amp;$H$44&amp;", "&amp;$H$43,'FE Energie'!$G:$U,7,FALSE),$AS52)))</f>
        <v>0.2</v>
      </c>
      <c r="AX52" s="1068"/>
      <c r="AY52" s="1068"/>
      <c r="AZ52" s="1069"/>
      <c r="BA52" s="1070">
        <f>IF(ISNA(SQRT(SUMSQ(VLOOKUP($B52&amp;"; "&amp;$J$44&amp;", "&amp;$J$43,'FE Energie'!$G:$U,7,FALSE),$AS52))),0,SQRT(SUMSQ(VLOOKUP($B52&amp;"; "&amp;$J$44&amp;", "&amp;$J$43,'FE Energie'!$G:$U,7,FALSE),$AS52)))</f>
        <v>0.2</v>
      </c>
      <c r="BB52" s="1070"/>
      <c r="BC52" s="1071"/>
    </row>
    <row r="53" spans="1:56" s="116" customFormat="1" ht="12.75" hidden="1" customHeight="1" outlineLevel="1">
      <c r="A53" s="114"/>
      <c r="B53" s="154"/>
      <c r="C53" s="155"/>
      <c r="D53" s="315"/>
      <c r="E53" s="155"/>
      <c r="F53" s="155"/>
      <c r="G53" s="155"/>
      <c r="H53" s="155"/>
      <c r="I53" s="155"/>
      <c r="J53" s="155"/>
      <c r="K53" s="155"/>
      <c r="L53" s="215"/>
      <c r="M53" s="156"/>
      <c r="T53" s="114"/>
      <c r="U53" s="114"/>
      <c r="V53" s="114"/>
      <c r="W53" s="143"/>
      <c r="X53" s="820"/>
      <c r="Y53" s="820"/>
      <c r="Z53" s="1801"/>
      <c r="AA53" s="1801"/>
      <c r="AB53" s="1801"/>
      <c r="AC53" s="152"/>
      <c r="AE53" s="569"/>
      <c r="AF53" s="625"/>
      <c r="AG53" s="625"/>
      <c r="AH53" s="625"/>
      <c r="AI53" s="625"/>
      <c r="AJ53" s="625"/>
      <c r="AK53" s="625"/>
      <c r="AL53" s="625"/>
      <c r="AM53" s="1313"/>
      <c r="AN53" s="1314"/>
      <c r="AO53" s="625"/>
      <c r="AP53" s="570"/>
      <c r="AQ53" s="114"/>
      <c r="AR53" s="1087"/>
      <c r="AS53" s="1088"/>
      <c r="AT53" s="1088"/>
      <c r="AU53" s="1089"/>
      <c r="AV53" s="1073"/>
      <c r="AW53" s="1073"/>
      <c r="AX53" s="1073"/>
      <c r="AY53" s="1073"/>
      <c r="AZ53" s="1075"/>
      <c r="BA53" s="1076"/>
      <c r="BB53" s="1076"/>
      <c r="BC53" s="1077"/>
    </row>
    <row r="54" spans="1:56" s="116" customFormat="1" ht="12.75" hidden="1" customHeight="1" outlineLevel="1">
      <c r="A54" s="114"/>
      <c r="B54" s="196" t="s">
        <v>348</v>
      </c>
      <c r="C54" s="197"/>
      <c r="D54" s="202">
        <f>SUM(D46:D53)</f>
        <v>0</v>
      </c>
      <c r="E54" s="198"/>
      <c r="F54" s="199"/>
      <c r="G54" s="199"/>
      <c r="H54" s="199"/>
      <c r="I54" s="199"/>
      <c r="J54" s="199"/>
      <c r="K54" s="199"/>
      <c r="L54" s="202">
        <f>SUM(L46:L53)</f>
        <v>0</v>
      </c>
      <c r="M54" s="200">
        <f>SUM(M46:M53)</f>
        <v>0</v>
      </c>
      <c r="T54" s="114"/>
      <c r="U54" s="114"/>
      <c r="V54" s="114"/>
      <c r="W54" s="1093">
        <f>IF(AC54=0,AC54,AC54/(L54+M54))</f>
        <v>0</v>
      </c>
      <c r="X54" s="821"/>
      <c r="Y54" s="821"/>
      <c r="Z54" s="1637">
        <f>SQRT(SUMSQ(Z46:Z53))</f>
        <v>0</v>
      </c>
      <c r="AA54" s="1637">
        <f>SQRT(SUMSQ(AA46:AA53))</f>
        <v>0</v>
      </c>
      <c r="AB54" s="1637"/>
      <c r="AC54" s="200">
        <f>SQRT(SUMSQ(AC46:AC53))</f>
        <v>0</v>
      </c>
      <c r="AE54" s="1308">
        <f t="shared" ref="AE54:AP54" si="3">SUM(AE46:AE53)</f>
        <v>0</v>
      </c>
      <c r="AF54" s="1309">
        <f t="shared" si="3"/>
        <v>0</v>
      </c>
      <c r="AG54" s="1309">
        <f t="shared" si="3"/>
        <v>0</v>
      </c>
      <c r="AH54" s="1309">
        <f t="shared" si="3"/>
        <v>0</v>
      </c>
      <c r="AI54" s="1309">
        <f t="shared" si="3"/>
        <v>0</v>
      </c>
      <c r="AJ54" s="1309">
        <f t="shared" si="3"/>
        <v>0</v>
      </c>
      <c r="AK54" s="1309">
        <f t="shared" si="3"/>
        <v>0</v>
      </c>
      <c r="AL54" s="1309">
        <f t="shared" si="3"/>
        <v>0</v>
      </c>
      <c r="AM54" s="1312">
        <f t="shared" si="3"/>
        <v>0</v>
      </c>
      <c r="AN54" s="1488">
        <f t="shared" si="3"/>
        <v>0</v>
      </c>
      <c r="AO54" s="572">
        <f t="shared" si="3"/>
        <v>0</v>
      </c>
      <c r="AP54" s="575">
        <f t="shared" si="3"/>
        <v>0</v>
      </c>
      <c r="AQ54" s="114"/>
      <c r="AR54" s="114"/>
      <c r="AS54" s="114"/>
      <c r="AT54" s="114"/>
      <c r="AU54" s="114"/>
      <c r="AV54" s="114"/>
      <c r="AW54" s="114"/>
      <c r="AX54" s="114"/>
      <c r="AY54" s="114"/>
      <c r="AZ54" s="114"/>
      <c r="BA54" s="114"/>
      <c r="BB54" s="114"/>
      <c r="BC54" s="114"/>
    </row>
    <row r="55" spans="1:56" s="116" customFormat="1" ht="12.75" hidden="1" customHeight="1" outlineLevel="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26"/>
      <c r="Y55" s="126"/>
      <c r="Z55" s="114"/>
      <c r="AA55" s="114"/>
      <c r="AB55" s="114"/>
      <c r="AC55" s="114"/>
      <c r="AE55" s="441"/>
      <c r="AF55" s="441"/>
      <c r="AG55" s="441"/>
      <c r="AH55" s="441"/>
      <c r="AI55" s="441"/>
      <c r="AJ55" s="441"/>
      <c r="AK55" s="441"/>
      <c r="AL55" s="441"/>
      <c r="AM55" s="444"/>
      <c r="AN55" s="444"/>
      <c r="AO55" s="444"/>
      <c r="AP55" s="441"/>
      <c r="AQ55" s="114"/>
      <c r="AR55" s="114"/>
      <c r="AS55" s="114"/>
      <c r="AT55" s="114"/>
      <c r="AU55" s="114"/>
      <c r="AV55" s="114"/>
      <c r="AW55" s="114"/>
      <c r="AX55" s="114"/>
      <c r="AY55" s="114"/>
      <c r="AZ55" s="114"/>
      <c r="BA55" s="114"/>
      <c r="BB55" s="114"/>
      <c r="BC55" s="114"/>
    </row>
    <row r="56" spans="1:56" s="116" customFormat="1" ht="13.2" collapsed="1">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26"/>
      <c r="Y56" s="126"/>
      <c r="Z56" s="114"/>
      <c r="AA56" s="114"/>
      <c r="AB56" s="114"/>
      <c r="AC56" s="114"/>
      <c r="AE56" s="441"/>
      <c r="AF56" s="441"/>
      <c r="AG56" s="441"/>
      <c r="AH56" s="441"/>
      <c r="AI56" s="441"/>
      <c r="AJ56" s="441"/>
      <c r="AK56" s="441"/>
      <c r="AL56" s="441"/>
      <c r="AM56" s="444"/>
      <c r="AN56" s="444"/>
      <c r="AO56" s="444"/>
      <c r="AP56" s="441"/>
      <c r="AQ56" s="114"/>
      <c r="AR56" s="114"/>
      <c r="AS56" s="114"/>
      <c r="AT56" s="114"/>
      <c r="AU56" s="114"/>
      <c r="AV56" s="114"/>
      <c r="AW56" s="114"/>
      <c r="AX56" s="114"/>
      <c r="AY56" s="114"/>
      <c r="AZ56" s="114"/>
      <c r="BA56" s="114"/>
      <c r="BB56" s="114"/>
      <c r="BC56" s="114"/>
    </row>
    <row r="57" spans="1:56" s="418" customFormat="1" ht="15.6" collapsed="1">
      <c r="A57" s="114"/>
      <c r="B57" s="2652" t="s">
        <v>520</v>
      </c>
      <c r="C57" s="2653"/>
      <c r="D57" s="2653"/>
      <c r="E57" s="2653"/>
      <c r="F57" s="2653"/>
      <c r="G57" s="2653"/>
      <c r="H57" s="2653"/>
      <c r="I57" s="2653"/>
      <c r="J57" s="2653"/>
      <c r="K57" s="2653"/>
      <c r="L57" s="2653"/>
      <c r="M57" s="2653"/>
      <c r="N57" s="2653"/>
      <c r="O57" s="2654"/>
      <c r="P57" s="113"/>
      <c r="Q57" s="113"/>
      <c r="R57" s="113"/>
      <c r="S57" s="113"/>
      <c r="T57" s="113"/>
      <c r="U57" s="113"/>
      <c r="V57" s="113"/>
      <c r="W57" s="113"/>
      <c r="X57" s="113"/>
      <c r="Y57" s="817"/>
      <c r="Z57" s="817"/>
      <c r="AA57" s="113"/>
      <c r="AB57" s="113"/>
      <c r="AC57" s="113"/>
      <c r="AE57" s="113"/>
      <c r="AF57" s="441"/>
      <c r="AG57" s="576"/>
      <c r="AH57" s="576"/>
      <c r="AI57" s="576"/>
      <c r="AJ57" s="576"/>
      <c r="AK57" s="576"/>
      <c r="AL57" s="576"/>
      <c r="AM57" s="1240"/>
      <c r="AN57" s="1240"/>
      <c r="AO57" s="1240"/>
      <c r="AP57" s="441"/>
      <c r="AQ57" s="441"/>
      <c r="AR57" s="113"/>
      <c r="AS57" s="113"/>
      <c r="AT57" s="113"/>
      <c r="AU57" s="113"/>
      <c r="AV57" s="113"/>
      <c r="AW57" s="113"/>
      <c r="AX57" s="113"/>
      <c r="AY57" s="113"/>
      <c r="AZ57" s="113"/>
      <c r="BA57" s="113"/>
      <c r="BB57" s="113"/>
      <c r="BC57" s="113"/>
      <c r="BD57" s="113"/>
    </row>
    <row r="58" spans="1:56" s="116" customFormat="1" ht="12.75" hidden="1" customHeight="1" outlineLevel="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26"/>
      <c r="Y58" s="126"/>
      <c r="Z58" s="114"/>
      <c r="AA58" s="114"/>
      <c r="AB58" s="114"/>
      <c r="AC58" s="114"/>
      <c r="AE58" s="441"/>
      <c r="AF58" s="441"/>
      <c r="AG58" s="441"/>
      <c r="AH58" s="441"/>
      <c r="AI58" s="441"/>
      <c r="AJ58" s="441"/>
      <c r="AK58" s="441"/>
      <c r="AL58" s="441"/>
      <c r="AM58" s="444"/>
      <c r="AN58" s="444"/>
      <c r="AO58" s="1240"/>
      <c r="AP58" s="576"/>
      <c r="AQ58" s="114"/>
      <c r="AR58" s="114"/>
      <c r="AS58" s="114"/>
      <c r="AT58" s="114"/>
      <c r="AU58" s="114"/>
      <c r="AV58" s="114"/>
      <c r="AW58" s="114"/>
      <c r="AX58" s="114"/>
      <c r="AY58" s="114"/>
      <c r="AZ58" s="114"/>
      <c r="BA58" s="114"/>
      <c r="BB58" s="114"/>
      <c r="BC58" s="114"/>
    </row>
    <row r="59" spans="1:56" s="116" customFormat="1" ht="12.75" hidden="1" customHeight="1" outlineLevel="1">
      <c r="A59" s="114"/>
      <c r="B59" s="139" t="s">
        <v>262</v>
      </c>
      <c r="C59" s="140"/>
      <c r="D59" s="141"/>
      <c r="E59" s="1808"/>
      <c r="F59" s="141"/>
      <c r="G59" s="141"/>
      <c r="H59" s="141"/>
      <c r="I59" s="141"/>
      <c r="J59" s="141"/>
      <c r="K59" s="141"/>
      <c r="L59" s="141"/>
      <c r="M59" s="142"/>
      <c r="T59" s="114"/>
      <c r="U59" s="114"/>
      <c r="V59" s="114"/>
      <c r="W59" s="2636" t="s">
        <v>366</v>
      </c>
      <c r="X59" s="2637"/>
      <c r="Y59" s="2637"/>
      <c r="Z59" s="2637"/>
      <c r="AA59" s="2637"/>
      <c r="AB59" s="2637"/>
      <c r="AC59" s="2638"/>
      <c r="AE59" s="2639" t="s">
        <v>441</v>
      </c>
      <c r="AF59" s="2640"/>
      <c r="AG59" s="2640"/>
      <c r="AH59" s="2640"/>
      <c r="AI59" s="2641"/>
      <c r="AJ59" s="441"/>
      <c r="AK59" s="441"/>
      <c r="AL59" s="441"/>
      <c r="AM59" s="444"/>
      <c r="AN59" s="444"/>
      <c r="AO59" s="444"/>
      <c r="AP59" s="441"/>
      <c r="AQ59" s="114"/>
      <c r="AR59" s="114"/>
      <c r="AS59" s="114"/>
      <c r="AT59" s="114"/>
      <c r="AU59" s="114"/>
      <c r="AV59" s="114"/>
      <c r="AW59" s="114"/>
      <c r="AX59" s="114"/>
      <c r="AY59" s="114"/>
      <c r="AZ59" s="114"/>
      <c r="BA59" s="114"/>
      <c r="BB59" s="114"/>
      <c r="BC59" s="114"/>
    </row>
    <row r="60" spans="1:56" s="116" customFormat="1" ht="12.75" hidden="1" customHeight="1" outlineLevel="1">
      <c r="A60" s="114"/>
      <c r="B60" s="143"/>
      <c r="C60" s="144"/>
      <c r="D60" s="1812" t="s">
        <v>308</v>
      </c>
      <c r="E60" s="1801"/>
      <c r="F60" s="144"/>
      <c r="G60" s="144"/>
      <c r="H60" s="144"/>
      <c r="I60" s="144"/>
      <c r="J60" s="144"/>
      <c r="K60" s="144"/>
      <c r="L60" s="144"/>
      <c r="M60" s="145"/>
      <c r="T60" s="114"/>
      <c r="U60" s="114"/>
      <c r="V60" s="114"/>
      <c r="W60" s="1800"/>
      <c r="X60" s="819"/>
      <c r="Y60" s="819"/>
      <c r="Z60" s="144"/>
      <c r="AA60" s="144"/>
      <c r="AB60" s="144"/>
      <c r="AC60" s="145"/>
      <c r="AE60" s="584"/>
      <c r="AF60" s="585"/>
      <c r="AG60" s="585"/>
      <c r="AH60" s="585"/>
      <c r="AI60" s="586"/>
      <c r="AK60" s="441"/>
      <c r="AL60" s="441"/>
      <c r="AM60" s="444"/>
      <c r="AN60" s="444"/>
      <c r="AO60" s="444"/>
      <c r="AP60" s="441"/>
      <c r="AQ60" s="114"/>
      <c r="AR60" s="2616" t="s">
        <v>1648</v>
      </c>
      <c r="AS60" s="2617"/>
      <c r="AT60" s="2617"/>
      <c r="AU60" s="2617"/>
      <c r="AV60" s="2617"/>
      <c r="AW60" s="2617"/>
      <c r="AX60" s="2617"/>
      <c r="AY60" s="2617"/>
      <c r="AZ60" s="2617"/>
      <c r="BA60" s="2617"/>
      <c r="BB60" s="2617"/>
      <c r="BC60" s="2618"/>
    </row>
    <row r="61" spans="1:56" s="127" customFormat="1" ht="12.75" hidden="1" customHeight="1" outlineLevel="1">
      <c r="A61" s="114"/>
      <c r="B61" s="1800" t="s">
        <v>19</v>
      </c>
      <c r="C61" s="1801"/>
      <c r="D61" s="1812" t="s">
        <v>409</v>
      </c>
      <c r="E61" s="147" t="s">
        <v>452</v>
      </c>
      <c r="F61" s="147" t="s">
        <v>343</v>
      </c>
      <c r="G61" s="1801" t="s">
        <v>444</v>
      </c>
      <c r="H61" s="147" t="s">
        <v>343</v>
      </c>
      <c r="I61" s="1801" t="s">
        <v>1681</v>
      </c>
      <c r="J61" s="147" t="s">
        <v>343</v>
      </c>
      <c r="K61" s="1801" t="s">
        <v>444</v>
      </c>
      <c r="L61" s="1801" t="s">
        <v>575</v>
      </c>
      <c r="M61" s="1814" t="s">
        <v>444</v>
      </c>
      <c r="T61" s="109"/>
      <c r="U61" s="109"/>
      <c r="V61" s="109"/>
      <c r="W61" s="1800" t="s">
        <v>316</v>
      </c>
      <c r="X61" s="2629" t="s">
        <v>316</v>
      </c>
      <c r="Y61" s="2630"/>
      <c r="Z61" s="1801"/>
      <c r="AA61" s="1801"/>
      <c r="AB61" s="1801"/>
      <c r="AC61" s="1814" t="s">
        <v>444</v>
      </c>
      <c r="AE61" s="2657" t="s">
        <v>444</v>
      </c>
      <c r="AF61" s="2658"/>
      <c r="AG61" s="2658"/>
      <c r="AH61" s="2659"/>
      <c r="AI61" s="587"/>
      <c r="AK61" s="588"/>
      <c r="AL61" s="588"/>
      <c r="AM61" s="1639"/>
      <c r="AN61" s="444"/>
      <c r="AO61" s="444"/>
      <c r="AP61" s="588"/>
      <c r="AQ61" s="109"/>
      <c r="AR61" s="2614" t="s">
        <v>1646</v>
      </c>
      <c r="AS61" s="2645"/>
      <c r="AT61" s="2645"/>
      <c r="AU61" s="2615"/>
      <c r="AV61" s="2614" t="s">
        <v>1684</v>
      </c>
      <c r="AW61" s="2645"/>
      <c r="AX61" s="2645"/>
      <c r="AY61" s="2615"/>
      <c r="AZ61" s="2614"/>
      <c r="BA61" s="2645"/>
      <c r="BB61" s="2645"/>
      <c r="BC61" s="2615"/>
    </row>
    <row r="62" spans="1:56" s="127" customFormat="1" ht="12.75" hidden="1" customHeight="1" outlineLevel="1">
      <c r="A62" s="114"/>
      <c r="B62" s="1800"/>
      <c r="C62" s="1801"/>
      <c r="D62" s="1805" t="s">
        <v>444</v>
      </c>
      <c r="E62" s="1811" t="s">
        <v>453</v>
      </c>
      <c r="F62" s="1811" t="s">
        <v>287</v>
      </c>
      <c r="G62" s="1801" t="s">
        <v>269</v>
      </c>
      <c r="H62" s="1811" t="s">
        <v>533</v>
      </c>
      <c r="I62" s="1801"/>
      <c r="J62" s="1811" t="s">
        <v>243</v>
      </c>
      <c r="K62" s="1801" t="s">
        <v>299</v>
      </c>
      <c r="L62" s="1801" t="s">
        <v>353</v>
      </c>
      <c r="M62" s="1814"/>
      <c r="T62" s="109"/>
      <c r="U62" s="109"/>
      <c r="V62" s="109"/>
      <c r="W62" s="1800" t="s">
        <v>1649</v>
      </c>
      <c r="X62" s="2646" t="s">
        <v>1650</v>
      </c>
      <c r="Y62" s="2647"/>
      <c r="Z62" s="1801"/>
      <c r="AA62" s="1801"/>
      <c r="AB62" s="1801"/>
      <c r="AC62" s="1814"/>
      <c r="AE62" s="1802" t="s">
        <v>211</v>
      </c>
      <c r="AF62" s="1804" t="s">
        <v>442</v>
      </c>
      <c r="AG62" s="1804" t="s">
        <v>267</v>
      </c>
      <c r="AH62" s="1804" t="s">
        <v>443</v>
      </c>
      <c r="AI62" s="589" t="s">
        <v>636</v>
      </c>
      <c r="AK62" s="588"/>
      <c r="AL62" s="588"/>
      <c r="AM62" s="1639"/>
      <c r="AN62" s="1639"/>
      <c r="AO62" s="1639"/>
      <c r="AP62" s="588"/>
      <c r="AQ62" s="109"/>
      <c r="AR62" s="1815" t="s">
        <v>1670</v>
      </c>
      <c r="AS62" s="1816" t="s">
        <v>1640</v>
      </c>
      <c r="AT62" s="1816" t="s">
        <v>1641</v>
      </c>
      <c r="AU62" s="1817" t="s">
        <v>1642</v>
      </c>
      <c r="AV62" s="1090" t="s">
        <v>1667</v>
      </c>
      <c r="AW62" s="1816" t="s">
        <v>1640</v>
      </c>
      <c r="AX62" s="1816" t="s">
        <v>1641</v>
      </c>
      <c r="AY62" s="1817" t="s">
        <v>1642</v>
      </c>
      <c r="AZ62" s="1815"/>
      <c r="BA62" s="1816"/>
      <c r="BB62" s="1816"/>
      <c r="BC62" s="1817"/>
    </row>
    <row r="63" spans="1:56" s="116" customFormat="1" ht="12.75" hidden="1" customHeight="1" outlineLevel="1">
      <c r="A63" s="114"/>
      <c r="B63" s="143" t="s">
        <v>3038</v>
      </c>
      <c r="C63" s="1801"/>
      <c r="D63" s="315">
        <f>M63</f>
        <v>0</v>
      </c>
      <c r="E63" s="117"/>
      <c r="F63" s="117"/>
      <c r="G63" s="217">
        <f>I63*700</f>
        <v>98.699999999999989</v>
      </c>
      <c r="H63" s="117"/>
      <c r="I63" s="223">
        <f>VLOOKUP($B63&amp;"; "&amp;$I$61,'FE Energie'!$G:$U,9,FALSE)</f>
        <v>0.14099999999999999</v>
      </c>
      <c r="J63" s="117"/>
      <c r="K63" s="217">
        <f>I63*Utilitaires!$P$20</f>
        <v>1639.5166666666664</v>
      </c>
      <c r="L63" s="342">
        <v>0.1</v>
      </c>
      <c r="M63" s="152">
        <f>(F63*G63+H63*I63+J63*K63)*(1+L63)</f>
        <v>0</v>
      </c>
      <c r="T63" s="114"/>
      <c r="U63" s="114"/>
      <c r="V63" s="114"/>
      <c r="W63" s="1117">
        <f>IF(AC63=0,AC63,AC63/M63)</f>
        <v>0</v>
      </c>
      <c r="X63" s="343"/>
      <c r="Y63" s="820"/>
      <c r="Z63" s="342"/>
      <c r="AA63" s="342"/>
      <c r="AB63" s="342"/>
      <c r="AC63" s="152">
        <f>SQRT(SUMSQ(IF(ISNA($F63*G63*AV63),0,$F63*G63*AV63),IF(ISNA($H63*I63*AW63),0,$H63*I63*AW63),IF(ISNA($J63*K63*AX63),0,$J63*K63*AX63)))</f>
        <v>0</v>
      </c>
      <c r="AE63" s="564">
        <f>M63</f>
        <v>0</v>
      </c>
      <c r="AF63" s="565"/>
      <c r="AG63" s="565"/>
      <c r="AH63" s="565"/>
      <c r="AI63" s="590"/>
      <c r="AK63" s="441"/>
      <c r="AL63" s="441"/>
      <c r="AM63" s="444"/>
      <c r="AN63" s="1639"/>
      <c r="AO63" s="1639"/>
      <c r="AP63" s="441"/>
      <c r="AQ63" s="114"/>
      <c r="AR63" s="1065">
        <f>AS63</f>
        <v>0</v>
      </c>
      <c r="AS63" s="1066">
        <f>IF($X63&lt;&gt;"votre valeur :",IF(ISNA(VLOOKUP($X63,Utilitaires!$N$566:$O$571,2,FALSE)),,VLOOKUP($X63,Utilitaires!$N$566:$O$571,2,FALSE)),$Y63)</f>
        <v>0</v>
      </c>
      <c r="AT63" s="1066">
        <f>AS63</f>
        <v>0</v>
      </c>
      <c r="AU63" s="1067"/>
      <c r="AV63" s="1068">
        <f>AW63</f>
        <v>0.3</v>
      </c>
      <c r="AW63" s="1068">
        <f>IF(ISNA(SQRT(SUMSQ(VLOOKUP($B63&amp;"; "&amp;$I$61,'FE Energie'!$G:$U,7,FALSE),$AS63))),0,SQRT(SUMSQ(VLOOKUP($B63&amp;"; "&amp;$I$61,'FE Energie'!$G:$U,7,FALSE),$AS63)))</f>
        <v>0.3</v>
      </c>
      <c r="AX63" s="1068">
        <f>AW63</f>
        <v>0.3</v>
      </c>
      <c r="AY63" s="1068"/>
      <c r="AZ63" s="1069"/>
      <c r="BA63" s="1070"/>
      <c r="BB63" s="1070"/>
      <c r="BC63" s="1071"/>
    </row>
    <row r="64" spans="1:56" s="116" customFormat="1" ht="12.75" hidden="1" customHeight="1" outlineLevel="1">
      <c r="A64" s="114"/>
      <c r="B64" s="143" t="s">
        <v>3041</v>
      </c>
      <c r="C64" s="1801"/>
      <c r="D64" s="315">
        <f>M64</f>
        <v>0</v>
      </c>
      <c r="E64" s="120"/>
      <c r="F64" s="120"/>
      <c r="G64" s="217">
        <f>I64*700</f>
        <v>0</v>
      </c>
      <c r="H64" s="120"/>
      <c r="I64" s="223">
        <f>VLOOKUP($B64&amp;"; "&amp;$I$61,'FE Energie'!$G:$U,9,FALSE)</f>
        <v>0</v>
      </c>
      <c r="J64" s="120"/>
      <c r="K64" s="217">
        <f>I64*Utilitaires!$P$20</f>
        <v>0</v>
      </c>
      <c r="L64" s="342">
        <v>0.1</v>
      </c>
      <c r="M64" s="152">
        <f>(F64*G64+H64*I64+J64*K64)*(1+L64)</f>
        <v>0</v>
      </c>
      <c r="T64" s="114"/>
      <c r="U64" s="114"/>
      <c r="V64" s="114"/>
      <c r="W64" s="1117">
        <f>IF(AC64=0,AC64,AC64/M64)</f>
        <v>0</v>
      </c>
      <c r="X64" s="344"/>
      <c r="Y64" s="820"/>
      <c r="Z64" s="342"/>
      <c r="AA64" s="342"/>
      <c r="AB64" s="342"/>
      <c r="AC64" s="152">
        <f>SQRT(SUMSQ(IF(ISNA($F64*G64*AV64),0,$F64*G64*AV64),IF(ISNA($H64*I64*AW64),0,$H64*I64*AW64),IF(ISNA($J64*K64*AX64),0,$J64*K64*AX64)))</f>
        <v>0</v>
      </c>
      <c r="AE64" s="564">
        <f>M64</f>
        <v>0</v>
      </c>
      <c r="AF64" s="565"/>
      <c r="AG64" s="565"/>
      <c r="AH64" s="565"/>
      <c r="AI64" s="590"/>
      <c r="AK64" s="441"/>
      <c r="AL64" s="441"/>
      <c r="AM64" s="444"/>
      <c r="AN64" s="444"/>
      <c r="AO64" s="444"/>
      <c r="AP64" s="441"/>
      <c r="AQ64" s="114"/>
      <c r="AR64" s="1065">
        <f>AS64</f>
        <v>0</v>
      </c>
      <c r="AS64" s="1066">
        <f>IF($X64&lt;&gt;"votre valeur :",IF(ISNA(VLOOKUP($X64,Utilitaires!$N$566:$O$571,2,FALSE)),,VLOOKUP($X64,Utilitaires!$N$566:$O$571,2,FALSE)),$Y64)</f>
        <v>0</v>
      </c>
      <c r="AT64" s="1066">
        <f>AS64</f>
        <v>0</v>
      </c>
      <c r="AU64" s="1067"/>
      <c r="AV64" s="1068">
        <f>AW64</f>
        <v>0.3</v>
      </c>
      <c r="AW64" s="1068">
        <f>IF(ISNA(SQRT(SUMSQ(VLOOKUP($B64&amp;"; "&amp;$I$61,'FE Energie'!$G:$U,7,FALSE),$AS64))),0,SQRT(SUMSQ(VLOOKUP($B64&amp;"; "&amp;$I$61,'FE Energie'!$G:$U,7,FALSE),$AS64)))</f>
        <v>0.3</v>
      </c>
      <c r="AX64" s="1068">
        <f>AW64</f>
        <v>0.3</v>
      </c>
      <c r="AY64" s="1068"/>
      <c r="AZ64" s="1069"/>
      <c r="BA64" s="1070"/>
      <c r="BB64" s="1070"/>
      <c r="BC64" s="1071"/>
    </row>
    <row r="65" spans="1:57" s="116" customFormat="1" ht="12.75" hidden="1" customHeight="1" outlineLevel="1">
      <c r="A65" s="114"/>
      <c r="B65" s="143" t="s">
        <v>3659</v>
      </c>
      <c r="C65" s="1801"/>
      <c r="D65" s="315">
        <f>M65</f>
        <v>0</v>
      </c>
      <c r="E65" s="123"/>
      <c r="F65" s="123"/>
      <c r="G65" s="217">
        <f>I65*700</f>
        <v>11.200000000000001</v>
      </c>
      <c r="H65" s="123"/>
      <c r="I65" s="223">
        <f>VLOOKUP($B65&amp;"; "&amp;$I$61,'FE Energie'!$G:$U,9,FALSE)</f>
        <v>1.6E-2</v>
      </c>
      <c r="J65" s="123"/>
      <c r="K65" s="217">
        <f>I65*Utilitaires!$P$20</f>
        <v>186.04444444444445</v>
      </c>
      <c r="L65" s="342">
        <v>0.1</v>
      </c>
      <c r="M65" s="152">
        <f>(F65*G65+H65*I65+J65*K65)*(1+L65)</f>
        <v>0</v>
      </c>
      <c r="T65" s="114"/>
      <c r="U65" s="114"/>
      <c r="V65" s="114"/>
      <c r="W65" s="1117">
        <f>IF(AC65=0,AC65,AC65/M65)</f>
        <v>0</v>
      </c>
      <c r="X65" s="345"/>
      <c r="Y65" s="820"/>
      <c r="Z65" s="342"/>
      <c r="AA65" s="342"/>
      <c r="AB65" s="342"/>
      <c r="AC65" s="152">
        <f>SQRT(SUMSQ(IF(ISNA($F65*G65*AV65),0,$F65*G65*AV65),IF(ISNA($H65*I65*AW65),0,$H65*I65*AW65),IF(ISNA($J65*K65*AX65),0,$J65*K65*AX65)))</f>
        <v>0</v>
      </c>
      <c r="AE65" s="564">
        <f>M65</f>
        <v>0</v>
      </c>
      <c r="AF65" s="565"/>
      <c r="AG65" s="565"/>
      <c r="AH65" s="565"/>
      <c r="AI65" s="590"/>
      <c r="AK65" s="441"/>
      <c r="AL65" s="441"/>
      <c r="AM65" s="444"/>
      <c r="AN65" s="444"/>
      <c r="AO65" s="444"/>
      <c r="AP65" s="441"/>
      <c r="AQ65" s="114"/>
      <c r="AR65" s="1065">
        <f>AS65</f>
        <v>0</v>
      </c>
      <c r="AS65" s="1066">
        <f>IF($X65&lt;&gt;"votre valeur :",IF(ISNA(VLOOKUP($X65,Utilitaires!$N$566:$O$571,2,FALSE)),,VLOOKUP($X65,Utilitaires!$N$566:$O$571,2,FALSE)),$Y65)</f>
        <v>0</v>
      </c>
      <c r="AT65" s="1066">
        <f>AS65</f>
        <v>0</v>
      </c>
      <c r="AU65" s="1067"/>
      <c r="AV65" s="1068">
        <f>AW65</f>
        <v>0.3</v>
      </c>
      <c r="AW65" s="1068">
        <f>IF(ISNA(SQRT(SUMSQ(VLOOKUP($B65&amp;"; "&amp;$I$61,'FE Energie'!$G:$U,7,FALSE),$AS65))),0,SQRT(SUMSQ(VLOOKUP($B65&amp;"; "&amp;$I$61,'FE Energie'!$G:$U,7,FALSE),$AS65)))</f>
        <v>0.3</v>
      </c>
      <c r="AX65" s="1068">
        <f>AW65</f>
        <v>0.3</v>
      </c>
      <c r="AY65" s="1068"/>
      <c r="AZ65" s="1069"/>
      <c r="BA65" s="1070"/>
      <c r="BB65" s="1070"/>
      <c r="BC65" s="1071"/>
    </row>
    <row r="66" spans="1:57" s="116" customFormat="1" ht="12.75" hidden="1" customHeight="1" outlineLevel="1">
      <c r="A66" s="114"/>
      <c r="B66" s="143"/>
      <c r="C66" s="144"/>
      <c r="D66" s="315"/>
      <c r="E66" s="155"/>
      <c r="F66" s="144"/>
      <c r="G66" s="144"/>
      <c r="H66" s="144"/>
      <c r="I66" s="144"/>
      <c r="J66" s="144"/>
      <c r="K66" s="144"/>
      <c r="L66" s="144"/>
      <c r="M66" s="152"/>
      <c r="T66" s="114"/>
      <c r="U66" s="114"/>
      <c r="V66" s="114"/>
      <c r="W66" s="143"/>
      <c r="X66" s="820"/>
      <c r="Y66" s="820"/>
      <c r="Z66" s="144"/>
      <c r="AA66" s="144"/>
      <c r="AB66" s="144"/>
      <c r="AC66" s="165"/>
      <c r="AE66" s="564"/>
      <c r="AF66" s="565"/>
      <c r="AG66" s="565"/>
      <c r="AH66" s="565"/>
      <c r="AI66" s="591"/>
      <c r="AK66" s="441"/>
      <c r="AL66" s="441"/>
      <c r="AM66" s="444"/>
      <c r="AN66" s="444"/>
      <c r="AO66" s="444"/>
      <c r="AP66" s="441"/>
      <c r="AQ66" s="114"/>
      <c r="AR66" s="1087"/>
      <c r="AS66" s="1088"/>
      <c r="AT66" s="1088"/>
      <c r="AU66" s="1089"/>
      <c r="AV66" s="1073"/>
      <c r="AW66" s="1073"/>
      <c r="AX66" s="1073"/>
      <c r="AY66" s="1073"/>
      <c r="AZ66" s="1075"/>
      <c r="BA66" s="1076"/>
      <c r="BB66" s="1076"/>
      <c r="BC66" s="1077"/>
    </row>
    <row r="67" spans="1:57" s="116" customFormat="1" ht="12.75" hidden="1" customHeight="1" outlineLevel="1">
      <c r="A67" s="114"/>
      <c r="B67" s="196" t="s">
        <v>348</v>
      </c>
      <c r="C67" s="197"/>
      <c r="D67" s="202">
        <f>SUM(D63:D66)</f>
        <v>0</v>
      </c>
      <c r="E67" s="198"/>
      <c r="F67" s="199"/>
      <c r="G67" s="199"/>
      <c r="H67" s="199"/>
      <c r="I67" s="199"/>
      <c r="J67" s="199"/>
      <c r="K67" s="199"/>
      <c r="L67" s="199"/>
      <c r="M67" s="200">
        <f>SUM(M63:M66)</f>
        <v>0</v>
      </c>
      <c r="T67" s="114"/>
      <c r="U67" s="114"/>
      <c r="V67" s="114"/>
      <c r="W67" s="1203">
        <f>IF(AC67=0,AC67,AC67/M67)</f>
        <v>0</v>
      </c>
      <c r="X67" s="821"/>
      <c r="Y67" s="821"/>
      <c r="Z67" s="199"/>
      <c r="AA67" s="199"/>
      <c r="AB67" s="199"/>
      <c r="AC67" s="200">
        <f>SQRT(SUMSQ(AC63:AC66))</f>
        <v>0</v>
      </c>
      <c r="AE67" s="571">
        <f>SUM(AE63:AE66)</f>
        <v>0</v>
      </c>
      <c r="AF67" s="572">
        <f>SUM(AF63:AF66)</f>
        <v>0</v>
      </c>
      <c r="AG67" s="572">
        <f>SUM(AG63:AG66)</f>
        <v>0</v>
      </c>
      <c r="AH67" s="572">
        <f>SUM(AH63:AH66)</f>
        <v>0</v>
      </c>
      <c r="AI67" s="592">
        <f>SUM(AI63:AI66)</f>
        <v>0</v>
      </c>
      <c r="AK67" s="441"/>
      <c r="AL67" s="441"/>
      <c r="AM67" s="444"/>
      <c r="AN67" s="444"/>
      <c r="AO67" s="444"/>
      <c r="AP67" s="441"/>
      <c r="AQ67" s="114"/>
      <c r="AR67" s="114"/>
      <c r="AS67" s="114"/>
      <c r="AT67" s="114"/>
      <c r="AU67" s="114"/>
      <c r="AV67" s="114"/>
      <c r="AW67" s="114"/>
      <c r="AX67" s="114"/>
      <c r="AY67" s="114"/>
      <c r="AZ67" s="114"/>
      <c r="BA67" s="114"/>
      <c r="BB67" s="114"/>
      <c r="BC67" s="114"/>
    </row>
    <row r="68" spans="1:57" s="116" customFormat="1" ht="12.75" hidden="1" customHeight="1" outlineLevel="1">
      <c r="A68" s="114"/>
      <c r="B68" s="114"/>
      <c r="C68" s="114"/>
      <c r="D68" s="114"/>
      <c r="E68" s="114"/>
      <c r="F68" s="114"/>
      <c r="G68" s="114"/>
      <c r="H68" s="114"/>
      <c r="I68" s="114"/>
      <c r="J68" s="114"/>
      <c r="K68" s="114"/>
      <c r="L68" s="114"/>
      <c r="M68" s="114"/>
      <c r="T68" s="114"/>
      <c r="U68" s="114"/>
      <c r="V68" s="114"/>
      <c r="W68" s="114"/>
      <c r="X68" s="126"/>
      <c r="Y68" s="126"/>
      <c r="AA68" s="114"/>
      <c r="AB68" s="114"/>
      <c r="AC68" s="114"/>
      <c r="AE68" s="441"/>
      <c r="AF68" s="441"/>
      <c r="AG68" s="441"/>
      <c r="AH68" s="441"/>
      <c r="AI68" s="441"/>
      <c r="AJ68" s="441"/>
      <c r="AK68" s="441"/>
      <c r="AL68" s="441"/>
      <c r="AM68" s="444"/>
      <c r="AN68" s="444"/>
      <c r="AO68" s="444"/>
      <c r="AP68" s="441"/>
      <c r="AQ68" s="114"/>
      <c r="AR68" s="114"/>
      <c r="AS68" s="114"/>
      <c r="AT68" s="114"/>
      <c r="AU68" s="114"/>
      <c r="AV68" s="114"/>
      <c r="AW68" s="114"/>
      <c r="AX68" s="114"/>
      <c r="AY68" s="114"/>
      <c r="AZ68" s="114"/>
      <c r="BA68" s="114"/>
      <c r="BB68" s="114"/>
      <c r="BC68" s="114"/>
    </row>
    <row r="69" spans="1:57" s="116" customFormat="1" ht="12.75" hidden="1" customHeight="1" outlineLevel="1">
      <c r="A69" s="114"/>
      <c r="B69" s="139" t="s">
        <v>20</v>
      </c>
      <c r="C69" s="140"/>
      <c r="D69" s="141"/>
      <c r="E69" s="1808"/>
      <c r="F69" s="141"/>
      <c r="G69" s="141"/>
      <c r="H69" s="141"/>
      <c r="I69" s="142"/>
      <c r="T69" s="114"/>
      <c r="U69" s="114"/>
      <c r="V69" s="114"/>
      <c r="W69" s="2636" t="s">
        <v>366</v>
      </c>
      <c r="X69" s="2637"/>
      <c r="Y69" s="2637"/>
      <c r="Z69" s="2637"/>
      <c r="AA69" s="2637"/>
      <c r="AB69" s="2637"/>
      <c r="AC69" s="2638"/>
      <c r="AE69" s="2639" t="s">
        <v>441</v>
      </c>
      <c r="AF69" s="2640"/>
      <c r="AG69" s="2640"/>
      <c r="AH69" s="2640"/>
      <c r="AI69" s="2641"/>
      <c r="AJ69" s="441"/>
      <c r="AK69" s="441"/>
      <c r="AL69" s="441"/>
      <c r="AM69" s="444"/>
      <c r="AN69" s="444"/>
      <c r="AO69" s="444"/>
      <c r="AP69" s="441"/>
      <c r="AQ69" s="114"/>
      <c r="AR69" s="114"/>
      <c r="AS69" s="114"/>
      <c r="AT69" s="114"/>
      <c r="AU69" s="114"/>
      <c r="AV69" s="114"/>
      <c r="AW69" s="114"/>
      <c r="AX69" s="114"/>
      <c r="AY69" s="114"/>
      <c r="AZ69" s="114"/>
      <c r="BA69" s="114"/>
      <c r="BB69" s="114"/>
      <c r="BC69" s="114"/>
    </row>
    <row r="70" spans="1:57" s="116" customFormat="1" ht="12.75" hidden="1" customHeight="1" outlineLevel="1">
      <c r="A70" s="114"/>
      <c r="B70" s="143"/>
      <c r="C70" s="144"/>
      <c r="D70" s="1812" t="s">
        <v>308</v>
      </c>
      <c r="E70" s="1801"/>
      <c r="F70" s="144"/>
      <c r="G70" s="144"/>
      <c r="H70" s="144"/>
      <c r="I70" s="145"/>
      <c r="T70" s="114"/>
      <c r="U70" s="114"/>
      <c r="V70" s="114"/>
      <c r="W70" s="1800"/>
      <c r="X70" s="819"/>
      <c r="Y70" s="819"/>
      <c r="Z70" s="144"/>
      <c r="AA70" s="144"/>
      <c r="AB70" s="144"/>
      <c r="AC70" s="145"/>
      <c r="AE70" s="584"/>
      <c r="AF70" s="585"/>
      <c r="AG70" s="585"/>
      <c r="AH70" s="585"/>
      <c r="AI70" s="586"/>
      <c r="AK70" s="441"/>
      <c r="AL70" s="441"/>
      <c r="AM70" s="444"/>
      <c r="AN70" s="444"/>
      <c r="AO70" s="444"/>
      <c r="AP70" s="441"/>
      <c r="AQ70" s="114"/>
      <c r="AR70" s="2616" t="s">
        <v>1648</v>
      </c>
      <c r="AS70" s="2617"/>
      <c r="AT70" s="2617"/>
      <c r="AU70" s="2617"/>
      <c r="AV70" s="2617"/>
      <c r="AW70" s="2617"/>
      <c r="AX70" s="2617"/>
      <c r="AY70" s="2617"/>
      <c r="AZ70" s="2617"/>
      <c r="BA70" s="2617"/>
      <c r="BB70" s="2617"/>
      <c r="BC70" s="2618"/>
    </row>
    <row r="71" spans="1:57" s="127" customFormat="1" ht="12.75" hidden="1" customHeight="1" outlineLevel="1">
      <c r="A71" s="114"/>
      <c r="B71" s="1800" t="s">
        <v>19</v>
      </c>
      <c r="C71" s="1801"/>
      <c r="D71" s="1812" t="s">
        <v>409</v>
      </c>
      <c r="E71" s="147" t="s">
        <v>452</v>
      </c>
      <c r="F71" s="147" t="s">
        <v>343</v>
      </c>
      <c r="G71" s="1801" t="s">
        <v>1681</v>
      </c>
      <c r="H71" s="1801" t="s">
        <v>575</v>
      </c>
      <c r="I71" s="1814" t="s">
        <v>444</v>
      </c>
      <c r="T71" s="109"/>
      <c r="U71" s="109"/>
      <c r="V71" s="109"/>
      <c r="W71" s="1800" t="s">
        <v>316</v>
      </c>
      <c r="X71" s="2629" t="s">
        <v>316</v>
      </c>
      <c r="Y71" s="2630"/>
      <c r="Z71" s="1801"/>
      <c r="AA71" s="1801"/>
      <c r="AB71" s="1801"/>
      <c r="AC71" s="1814" t="s">
        <v>444</v>
      </c>
      <c r="AE71" s="2657" t="s">
        <v>444</v>
      </c>
      <c r="AF71" s="2658"/>
      <c r="AG71" s="2658"/>
      <c r="AH71" s="2659"/>
      <c r="AI71" s="587"/>
      <c r="AK71" s="588"/>
      <c r="AL71" s="588"/>
      <c r="AM71" s="1639"/>
      <c r="AN71" s="444"/>
      <c r="AO71" s="444"/>
      <c r="AP71" s="588"/>
      <c r="AQ71" s="109"/>
      <c r="AR71" s="2614" t="s">
        <v>1646</v>
      </c>
      <c r="AS71" s="2645"/>
      <c r="AT71" s="2645"/>
      <c r="AU71" s="2615"/>
      <c r="AV71" s="2614" t="s">
        <v>1684</v>
      </c>
      <c r="AW71" s="2645"/>
      <c r="AX71" s="2645"/>
      <c r="AY71" s="2615"/>
      <c r="AZ71" s="2614"/>
      <c r="BA71" s="2645"/>
      <c r="BB71" s="2645"/>
      <c r="BC71" s="2615"/>
    </row>
    <row r="72" spans="1:57" s="127" customFormat="1" ht="12.75" hidden="1" customHeight="1" outlineLevel="1">
      <c r="A72" s="114"/>
      <c r="B72" s="1800"/>
      <c r="C72" s="1801"/>
      <c r="D72" s="1805" t="s">
        <v>444</v>
      </c>
      <c r="E72" s="1811" t="s">
        <v>453</v>
      </c>
      <c r="F72" s="1811" t="s">
        <v>533</v>
      </c>
      <c r="G72" s="1801" t="s">
        <v>2555</v>
      </c>
      <c r="H72" s="1801" t="s">
        <v>353</v>
      </c>
      <c r="I72" s="1814"/>
      <c r="T72" s="109"/>
      <c r="U72" s="109"/>
      <c r="V72" s="109"/>
      <c r="W72" s="1800" t="s">
        <v>1649</v>
      </c>
      <c r="X72" s="2646" t="s">
        <v>1650</v>
      </c>
      <c r="Y72" s="2647"/>
      <c r="Z72" s="1801"/>
      <c r="AA72" s="1801"/>
      <c r="AB72" s="1801"/>
      <c r="AC72" s="1814"/>
      <c r="AE72" s="1802" t="s">
        <v>211</v>
      </c>
      <c r="AF72" s="1804" t="s">
        <v>442</v>
      </c>
      <c r="AG72" s="1804" t="s">
        <v>267</v>
      </c>
      <c r="AH72" s="1804" t="s">
        <v>443</v>
      </c>
      <c r="AI72" s="589" t="s">
        <v>636</v>
      </c>
      <c r="AK72" s="588"/>
      <c r="AL72" s="588"/>
      <c r="AM72" s="1639"/>
      <c r="AN72" s="1639"/>
      <c r="AO72" s="1639"/>
      <c r="AP72" s="588"/>
      <c r="AQ72" s="109"/>
      <c r="AR72" s="1815" t="s">
        <v>1670</v>
      </c>
      <c r="AS72" s="1816" t="s">
        <v>1640</v>
      </c>
      <c r="AT72" s="1816" t="s">
        <v>1641</v>
      </c>
      <c r="AU72" s="1817" t="s">
        <v>1642</v>
      </c>
      <c r="AV72" s="1090" t="s">
        <v>1667</v>
      </c>
      <c r="AW72" s="1816" t="s">
        <v>1640</v>
      </c>
      <c r="AX72" s="1816" t="s">
        <v>1641</v>
      </c>
      <c r="AY72" s="1817" t="s">
        <v>1642</v>
      </c>
      <c r="AZ72" s="1815"/>
      <c r="BA72" s="1816"/>
      <c r="BB72" s="1816"/>
      <c r="BC72" s="1817"/>
    </row>
    <row r="73" spans="1:57" s="116" customFormat="1" ht="12.75" hidden="1" customHeight="1" outlineLevel="1">
      <c r="A73" s="114"/>
      <c r="B73" s="143" t="s">
        <v>3040</v>
      </c>
      <c r="C73" s="1801"/>
      <c r="D73" s="315">
        <f>I73</f>
        <v>0</v>
      </c>
      <c r="E73" s="117"/>
      <c r="F73" s="117"/>
      <c r="G73" s="223">
        <f>VLOOKUP($B73&amp;"; "&amp;$G$71&amp;", "&amp;$G$72,'FE Energie'!$G:$U,9,FALSE)</f>
        <v>0.01</v>
      </c>
      <c r="H73" s="342">
        <v>0.1</v>
      </c>
      <c r="I73" s="152">
        <f>IF(ISNA(F73*G73),0,(F73*G73))*(1+H73)</f>
        <v>0</v>
      </c>
      <c r="T73" s="114"/>
      <c r="U73" s="114"/>
      <c r="V73" s="114"/>
      <c r="W73" s="1117">
        <f>IF(AC73=0,AC73,AC73/I73)</f>
        <v>0</v>
      </c>
      <c r="X73" s="343"/>
      <c r="Y73" s="820"/>
      <c r="Z73" s="342"/>
      <c r="AA73" s="342"/>
      <c r="AB73" s="342"/>
      <c r="AC73" s="152">
        <f>SQRT(SUMSQ(IF(ISNA($F73*G73*AW73),0,$F73*G73*AW73)))</f>
        <v>0</v>
      </c>
      <c r="AE73" s="564">
        <f>I73</f>
        <v>0</v>
      </c>
      <c r="AF73" s="565"/>
      <c r="AG73" s="565"/>
      <c r="AH73" s="565"/>
      <c r="AI73" s="590"/>
      <c r="AK73" s="441"/>
      <c r="AL73" s="441"/>
      <c r="AM73" s="444"/>
      <c r="AN73" s="1639"/>
      <c r="AO73" s="1639"/>
      <c r="AP73" s="441"/>
      <c r="AQ73" s="114"/>
      <c r="AR73" s="1065"/>
      <c r="AS73" s="1066">
        <f>IF($X73&lt;&gt;"votre valeur :",IF(ISNA(VLOOKUP($X73,Utilitaires!$N$566:$O$571,2,FALSE)),,VLOOKUP($X73,Utilitaires!$N$566:$O$571,2,FALSE)),$Y73)</f>
        <v>0</v>
      </c>
      <c r="AT73" s="1066"/>
      <c r="AU73" s="1067"/>
      <c r="AV73" s="1068"/>
      <c r="AW73" s="1068">
        <f>IF(ISNA(SQRT(SUMSQ(VLOOKUP($B73&amp;"; "&amp;$G$71&amp;", "&amp;$G$72,'FE Energie'!$G:$U,7,FALSE),$AS73))),0,SQRT(SUMSQ(VLOOKUP($B73&amp;"; "&amp;$G$71&amp;", "&amp;$G$72,'FE Energie'!$G:$U,7,FALSE),$AS73)))</f>
        <v>0.3</v>
      </c>
      <c r="AX73" s="1068"/>
      <c r="AY73" s="1068"/>
      <c r="AZ73" s="1069"/>
      <c r="BA73" s="1070"/>
      <c r="BB73" s="1070"/>
      <c r="BC73" s="1071"/>
    </row>
    <row r="74" spans="1:57" s="116" customFormat="1" ht="12.75" hidden="1" customHeight="1" outlineLevel="1">
      <c r="A74" s="114"/>
      <c r="B74" s="143" t="s">
        <v>3661</v>
      </c>
      <c r="C74" s="1801"/>
      <c r="D74" s="315">
        <f>I74</f>
        <v>0</v>
      </c>
      <c r="E74" s="120"/>
      <c r="F74" s="120"/>
      <c r="G74" s="223">
        <f>VLOOKUP($B74&amp;"; "&amp;$G$71&amp;", "&amp;$G$72,'FE Energie'!$G:$U,9,FALSE)</f>
        <v>1.2999999999999999E-2</v>
      </c>
      <c r="H74" s="342">
        <v>0.1</v>
      </c>
      <c r="I74" s="152">
        <f>IF(ISNA(F74*G74),0,(F74*G74))*(1+H74)</f>
        <v>0</v>
      </c>
      <c r="T74" s="114"/>
      <c r="U74" s="114"/>
      <c r="V74" s="114"/>
      <c r="W74" s="1117">
        <f>IF(AC74=0,AC74,AC74/I74)</f>
        <v>0</v>
      </c>
      <c r="X74" s="344"/>
      <c r="Y74" s="820"/>
      <c r="Z74" s="1635"/>
      <c r="AA74" s="342"/>
      <c r="AB74" s="342"/>
      <c r="AC74" s="152">
        <f>SQRT(SUMSQ(IF(ISNA($F74*G74*AW74),0,$F74*G74*AW74)))</f>
        <v>0</v>
      </c>
      <c r="AE74" s="564">
        <f>I74</f>
        <v>0</v>
      </c>
      <c r="AF74" s="565"/>
      <c r="AG74" s="565"/>
      <c r="AH74" s="565"/>
      <c r="AI74" s="590"/>
      <c r="AK74" s="441"/>
      <c r="AL74" s="441"/>
      <c r="AM74" s="444"/>
      <c r="AN74" s="444"/>
      <c r="AO74" s="444"/>
      <c r="AP74" s="441"/>
      <c r="AQ74" s="114"/>
      <c r="AR74" s="1065"/>
      <c r="AS74" s="1066">
        <f>IF($X74&lt;&gt;"votre valeur :",IF(ISNA(VLOOKUP($X74,Utilitaires!$N$566:$O$571,2,FALSE)),,VLOOKUP($X74,Utilitaires!$N$566:$O$571,2,FALSE)),$Y74)</f>
        <v>0</v>
      </c>
      <c r="AT74" s="1066"/>
      <c r="AU74" s="1067"/>
      <c r="AV74" s="1068"/>
      <c r="AW74" s="1068">
        <f>IF(ISNA(SQRT(SUMSQ(VLOOKUP($B74&amp;"; "&amp;$G$71&amp;", "&amp;$G$72,'FE Energie'!$G:$U,7,FALSE),$AS74))),0,SQRT(SUMSQ(VLOOKUP($B74&amp;"; "&amp;$G$71&amp;", "&amp;$G$72,'FE Energie'!$G:$U,7,FALSE),$AS74)))</f>
        <v>0.3</v>
      </c>
      <c r="AX74" s="1068"/>
      <c r="AY74" s="1068"/>
      <c r="AZ74" s="1069"/>
      <c r="BA74" s="1070"/>
      <c r="BB74" s="1070"/>
      <c r="BC74" s="1071"/>
    </row>
    <row r="75" spans="1:57" s="116" customFormat="1" ht="12.75" hidden="1" customHeight="1" outlineLevel="1">
      <c r="A75" s="114"/>
      <c r="B75" s="143" t="s">
        <v>3042</v>
      </c>
      <c r="C75" s="1801"/>
      <c r="D75" s="315">
        <f>I75</f>
        <v>0</v>
      </c>
      <c r="E75" s="123"/>
      <c r="F75" s="123"/>
      <c r="G75" s="223">
        <f>VLOOKUP($B75&amp;"; "&amp;$G$71&amp;", "&amp;$G$72,'FE Energie'!$G:$U,9,FALSE)</f>
        <v>8.0000000000000002E-3</v>
      </c>
      <c r="H75" s="342">
        <v>0.1</v>
      </c>
      <c r="I75" s="152">
        <f>IF(ISNA(F75*G75),0,(F75*G75))*(1+H75)</f>
        <v>0</v>
      </c>
      <c r="T75" s="114"/>
      <c r="U75" s="114"/>
      <c r="V75" s="114"/>
      <c r="W75" s="1117">
        <f>IF(AC75=0,AC75,AC75/I75)</f>
        <v>0</v>
      </c>
      <c r="X75" s="345"/>
      <c r="Y75" s="820"/>
      <c r="Z75" s="342"/>
      <c r="AA75" s="342"/>
      <c r="AB75" s="342"/>
      <c r="AC75" s="152">
        <f>SQRT(SUMSQ(IF(ISNA($F75*G75*AW75),0,$F75*G75*AW75)))</f>
        <v>0</v>
      </c>
      <c r="AE75" s="564">
        <f>I75</f>
        <v>0</v>
      </c>
      <c r="AF75" s="565"/>
      <c r="AG75" s="565"/>
      <c r="AH75" s="565"/>
      <c r="AI75" s="590"/>
      <c r="AK75" s="441"/>
      <c r="AL75" s="441"/>
      <c r="AM75" s="444"/>
      <c r="AN75" s="444"/>
      <c r="AO75" s="444"/>
      <c r="AP75" s="441"/>
      <c r="AQ75" s="114"/>
      <c r="AR75" s="1065"/>
      <c r="AS75" s="1066">
        <f>IF($X75&lt;&gt;"votre valeur :",IF(ISNA(VLOOKUP($X75,Utilitaires!$N$566:$O$571,2,FALSE)),,VLOOKUP($X75,Utilitaires!$N$566:$O$571,2,FALSE)),$Y75)</f>
        <v>0</v>
      </c>
      <c r="AT75" s="1066"/>
      <c r="AU75" s="1067"/>
      <c r="AV75" s="1068"/>
      <c r="AW75" s="1068">
        <f>IF(ISNA(SQRT(SUMSQ(VLOOKUP($B75&amp;"; "&amp;$G$71&amp;", "&amp;$G$72,'FE Energie'!$G:$U,7,FALSE),$AS75))),0,SQRT(SUMSQ(VLOOKUP($B75&amp;"; "&amp;$G$71&amp;", "&amp;$G$72,'FE Energie'!$G:$U,7,FALSE),$AS75)))</f>
        <v>0.3</v>
      </c>
      <c r="AX75" s="1068"/>
      <c r="AY75" s="1068"/>
      <c r="AZ75" s="1069"/>
      <c r="BA75" s="1070"/>
      <c r="BB75" s="1070"/>
      <c r="BC75" s="1071"/>
    </row>
    <row r="76" spans="1:57" s="116" customFormat="1" ht="12.75" hidden="1" customHeight="1" outlineLevel="1">
      <c r="A76" s="114"/>
      <c r="B76" s="143"/>
      <c r="C76" s="144"/>
      <c r="D76" s="315"/>
      <c r="E76" s="155"/>
      <c r="F76" s="144"/>
      <c r="G76" s="144"/>
      <c r="H76" s="144"/>
      <c r="I76" s="152"/>
      <c r="T76" s="114"/>
      <c r="U76" s="114"/>
      <c r="V76" s="114"/>
      <c r="W76" s="143"/>
      <c r="X76" s="820"/>
      <c r="Y76" s="820"/>
      <c r="Z76" s="144"/>
      <c r="AA76" s="144"/>
      <c r="AB76" s="144"/>
      <c r="AC76" s="165"/>
      <c r="AE76" s="564"/>
      <c r="AF76" s="565"/>
      <c r="AG76" s="565"/>
      <c r="AH76" s="565"/>
      <c r="AI76" s="591"/>
      <c r="AK76" s="441"/>
      <c r="AL76" s="441"/>
      <c r="AM76" s="444"/>
      <c r="AN76" s="444"/>
      <c r="AO76" s="444"/>
      <c r="AP76" s="441"/>
      <c r="AQ76" s="114"/>
      <c r="AR76" s="1087"/>
      <c r="AS76" s="1088"/>
      <c r="AT76" s="1088"/>
      <c r="AU76" s="1089"/>
      <c r="AV76" s="1073"/>
      <c r="AW76" s="1073"/>
      <c r="AX76" s="1073"/>
      <c r="AY76" s="1073"/>
      <c r="AZ76" s="1075"/>
      <c r="BA76" s="1076"/>
      <c r="BB76" s="1076"/>
      <c r="BC76" s="1077"/>
    </row>
    <row r="77" spans="1:57" s="116" customFormat="1" ht="12.75" hidden="1" customHeight="1" outlineLevel="1">
      <c r="A77" s="114"/>
      <c r="B77" s="196" t="s">
        <v>348</v>
      </c>
      <c r="C77" s="197"/>
      <c r="D77" s="202">
        <f>SUM(D73:D76)</f>
        <v>0</v>
      </c>
      <c r="E77" s="198"/>
      <c r="F77" s="199"/>
      <c r="G77" s="199"/>
      <c r="H77" s="199"/>
      <c r="I77" s="200">
        <f>SUM(I73:I76)</f>
        <v>0</v>
      </c>
      <c r="T77" s="114"/>
      <c r="U77" s="114"/>
      <c r="V77" s="114"/>
      <c r="W77" s="1203">
        <f>IF(AC77=0,AC77,AC77/I77)</f>
        <v>0</v>
      </c>
      <c r="X77" s="821"/>
      <c r="Y77" s="821"/>
      <c r="Z77" s="199"/>
      <c r="AA77" s="199"/>
      <c r="AB77" s="199"/>
      <c r="AC77" s="200">
        <f>SQRT(SUMSQ(AC73:AC76))</f>
        <v>0</v>
      </c>
      <c r="AE77" s="571">
        <f>SUM(AE73:AE76)</f>
        <v>0</v>
      </c>
      <c r="AF77" s="572">
        <f>SUM(AF73:AF76)</f>
        <v>0</v>
      </c>
      <c r="AG77" s="572">
        <f>SUM(AG73:AG76)</f>
        <v>0</v>
      </c>
      <c r="AH77" s="572">
        <f>SUM(AH73:AH76)</f>
        <v>0</v>
      </c>
      <c r="AI77" s="592">
        <f>SUM(AI73:AI76)</f>
        <v>0</v>
      </c>
      <c r="AK77" s="441"/>
      <c r="AL77" s="441"/>
      <c r="AM77" s="444"/>
      <c r="AN77" s="444"/>
      <c r="AO77" s="444"/>
      <c r="AP77" s="441"/>
      <c r="AQ77" s="114"/>
      <c r="AR77" s="114"/>
      <c r="AS77" s="114"/>
      <c r="AT77" s="114"/>
      <c r="AU77" s="114"/>
      <c r="AV77" s="114"/>
      <c r="AW77" s="114"/>
      <c r="AX77" s="114"/>
      <c r="AY77" s="114"/>
      <c r="AZ77" s="114"/>
      <c r="BA77" s="114"/>
      <c r="BB77" s="114"/>
      <c r="BC77" s="114"/>
    </row>
    <row r="78" spans="1:57" s="116" customFormat="1" ht="12.75" hidden="1" customHeight="1" outlineLevel="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26"/>
      <c r="Y78" s="126"/>
      <c r="Z78" s="114"/>
      <c r="AA78" s="114"/>
      <c r="AB78" s="114"/>
      <c r="AC78" s="114"/>
      <c r="AE78" s="441"/>
      <c r="AF78" s="441"/>
      <c r="AG78" s="441"/>
      <c r="AH78" s="441"/>
      <c r="AI78" s="441"/>
      <c r="AJ78" s="441"/>
      <c r="AK78" s="441"/>
      <c r="AL78" s="441"/>
      <c r="AM78" s="444"/>
      <c r="AN78" s="444"/>
      <c r="AO78" s="444"/>
      <c r="AP78" s="441"/>
      <c r="AQ78" s="114"/>
      <c r="AR78" s="114"/>
      <c r="AS78" s="114"/>
      <c r="AT78" s="114"/>
      <c r="AU78" s="114"/>
      <c r="AV78" s="114"/>
      <c r="AW78" s="114"/>
      <c r="AX78" s="114"/>
      <c r="AY78" s="114"/>
      <c r="AZ78" s="114"/>
      <c r="BA78" s="114"/>
      <c r="BB78" s="114"/>
      <c r="BC78" s="114"/>
    </row>
    <row r="79" spans="1:57" s="116" customFormat="1" ht="13.2" collapsed="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26"/>
      <c r="Y79" s="126"/>
      <c r="Z79" s="114"/>
      <c r="AA79" s="114"/>
      <c r="AB79" s="114"/>
      <c r="AC79" s="114"/>
      <c r="AE79" s="441"/>
      <c r="AF79" s="441"/>
      <c r="AG79" s="441"/>
      <c r="AH79" s="441"/>
      <c r="AI79" s="441"/>
      <c r="AJ79" s="441"/>
      <c r="AK79" s="441"/>
      <c r="AL79" s="441"/>
      <c r="AM79" s="444"/>
      <c r="AN79" s="444"/>
      <c r="AO79" s="444"/>
      <c r="AP79" s="441"/>
      <c r="AQ79" s="114"/>
      <c r="AR79" s="114"/>
      <c r="AS79" s="114"/>
      <c r="AT79" s="114"/>
      <c r="AU79" s="114"/>
      <c r="AV79" s="114"/>
      <c r="AW79" s="114"/>
      <c r="AX79" s="114"/>
      <c r="AY79" s="114"/>
      <c r="AZ79" s="114"/>
      <c r="BA79" s="114"/>
      <c r="BB79" s="114"/>
      <c r="BC79" s="114"/>
    </row>
    <row r="80" spans="1:57" s="418" customFormat="1" ht="15.6" collapsed="1">
      <c r="A80" s="114"/>
      <c r="B80" s="2652" t="s">
        <v>205</v>
      </c>
      <c r="C80" s="2653"/>
      <c r="D80" s="2653"/>
      <c r="E80" s="2653"/>
      <c r="F80" s="2653"/>
      <c r="G80" s="2653"/>
      <c r="H80" s="2653"/>
      <c r="I80" s="2653"/>
      <c r="J80" s="2653"/>
      <c r="K80" s="2653"/>
      <c r="L80" s="2653"/>
      <c r="M80" s="2653"/>
      <c r="N80" s="2653"/>
      <c r="O80" s="2654"/>
      <c r="P80" s="113"/>
      <c r="Q80" s="113"/>
      <c r="R80" s="113"/>
      <c r="S80" s="113"/>
      <c r="T80" s="113"/>
      <c r="U80" s="113"/>
      <c r="V80" s="113"/>
      <c r="W80" s="113"/>
      <c r="X80" s="113"/>
      <c r="Y80" s="817"/>
      <c r="Z80" s="817"/>
      <c r="AA80" s="113"/>
      <c r="AB80" s="113"/>
      <c r="AC80" s="113"/>
      <c r="AE80" s="113"/>
      <c r="AF80" s="441"/>
      <c r="AG80" s="576"/>
      <c r="AH80" s="576"/>
      <c r="AI80" s="576"/>
      <c r="AJ80" s="576"/>
      <c r="AK80" s="576"/>
      <c r="AL80" s="576"/>
      <c r="AM80" s="1240"/>
      <c r="AN80" s="1240"/>
      <c r="AO80" s="1240"/>
      <c r="AP80" s="441"/>
      <c r="AQ80" s="441"/>
      <c r="AR80" s="113"/>
      <c r="AS80" s="114"/>
      <c r="AT80" s="114"/>
      <c r="AU80" s="114"/>
      <c r="AV80" s="114"/>
      <c r="AW80" s="114"/>
      <c r="AX80" s="114"/>
      <c r="AY80" s="114"/>
      <c r="AZ80" s="114"/>
      <c r="BA80" s="114"/>
      <c r="BB80" s="114"/>
      <c r="BC80" s="114"/>
      <c r="BD80" s="114"/>
      <c r="BE80" s="116"/>
    </row>
    <row r="81" spans="1:59" s="116" customFormat="1" ht="12.75" hidden="1" customHeight="1" outlineLevel="1">
      <c r="A81" s="114"/>
      <c r="O81" s="114"/>
      <c r="P81" s="114"/>
      <c r="Q81" s="114"/>
      <c r="R81" s="114"/>
      <c r="S81" s="114"/>
      <c r="T81" s="114"/>
      <c r="U81" s="114"/>
      <c r="V81" s="114"/>
      <c r="W81" s="114"/>
      <c r="X81" s="126"/>
      <c r="Y81" s="126"/>
      <c r="Z81" s="114"/>
      <c r="AA81" s="114"/>
      <c r="AB81" s="114"/>
      <c r="AC81" s="114"/>
      <c r="AE81" s="441"/>
      <c r="AF81" s="441"/>
      <c r="AG81" s="441"/>
      <c r="AH81" s="441"/>
      <c r="AI81" s="441"/>
      <c r="AJ81" s="441"/>
      <c r="AK81" s="441"/>
      <c r="AL81" s="441"/>
      <c r="AM81" s="444"/>
      <c r="AN81" s="444"/>
      <c r="AO81" s="1240"/>
      <c r="AP81" s="576"/>
      <c r="AQ81" s="114"/>
      <c r="AR81" s="114"/>
      <c r="AS81" s="114"/>
      <c r="AT81" s="114"/>
      <c r="AU81" s="114"/>
      <c r="AV81" s="114"/>
      <c r="AW81" s="114"/>
      <c r="AX81" s="114"/>
      <c r="AY81" s="114"/>
      <c r="AZ81" s="114"/>
      <c r="BA81" s="114"/>
      <c r="BB81" s="114"/>
      <c r="BC81" s="114"/>
    </row>
    <row r="82" spans="1:59" s="116" customFormat="1" ht="12.75" hidden="1" customHeight="1" outlineLevel="1">
      <c r="A82" s="114"/>
      <c r="B82" s="139" t="s">
        <v>849</v>
      </c>
      <c r="C82" s="140"/>
      <c r="D82" s="141"/>
      <c r="E82" s="1808"/>
      <c r="F82" s="141"/>
      <c r="G82" s="141"/>
      <c r="H82" s="141"/>
      <c r="I82" s="141"/>
      <c r="J82" s="141"/>
      <c r="K82" s="141"/>
      <c r="L82" s="142"/>
      <c r="T82" s="1610"/>
      <c r="V82" s="114"/>
      <c r="W82" s="2636" t="s">
        <v>366</v>
      </c>
      <c r="X82" s="2637"/>
      <c r="Y82" s="2637"/>
      <c r="Z82" s="2637"/>
      <c r="AA82" s="2637"/>
      <c r="AB82" s="2637"/>
      <c r="AC82" s="2638"/>
      <c r="AE82" s="2639" t="s">
        <v>441</v>
      </c>
      <c r="AF82" s="2640"/>
      <c r="AG82" s="2640"/>
      <c r="AH82" s="2640"/>
      <c r="AI82" s="2640"/>
      <c r="AJ82" s="2640"/>
      <c r="AK82" s="2640"/>
      <c r="AL82" s="2640"/>
      <c r="AM82" s="2640"/>
      <c r="AN82" s="2640"/>
      <c r="AO82" s="2640"/>
      <c r="AP82" s="2641"/>
      <c r="AQ82" s="113"/>
    </row>
    <row r="83" spans="1:59" s="116" customFormat="1" ht="12.75" hidden="1" customHeight="1" outlineLevel="1">
      <c r="A83" s="114"/>
      <c r="B83" s="143"/>
      <c r="C83" s="144"/>
      <c r="D83" s="1812" t="s">
        <v>308</v>
      </c>
      <c r="E83" s="1801"/>
      <c r="F83" s="144"/>
      <c r="G83" s="144"/>
      <c r="H83" s="144"/>
      <c r="I83" s="144"/>
      <c r="J83" s="144"/>
      <c r="K83" s="144"/>
      <c r="L83" s="145"/>
      <c r="T83" s="1872"/>
      <c r="V83" s="114"/>
      <c r="W83" s="159"/>
      <c r="X83" s="1813"/>
      <c r="Y83" s="1813"/>
      <c r="Z83" s="1803"/>
      <c r="AA83" s="1803"/>
      <c r="AB83" s="144"/>
      <c r="AC83" s="142"/>
      <c r="AE83" s="2642" t="s">
        <v>444</v>
      </c>
      <c r="AF83" s="2643"/>
      <c r="AG83" s="2643"/>
      <c r="AH83" s="2643"/>
      <c r="AI83" s="2643"/>
      <c r="AJ83" s="2643"/>
      <c r="AK83" s="2643"/>
      <c r="AL83" s="2643"/>
      <c r="AM83" s="2643" t="s">
        <v>444</v>
      </c>
      <c r="AN83" s="2644"/>
      <c r="AO83" s="1081"/>
      <c r="AP83" s="578"/>
      <c r="AR83" s="2616" t="s">
        <v>1648</v>
      </c>
      <c r="AS83" s="2617"/>
      <c r="AT83" s="2617"/>
      <c r="AU83" s="2617"/>
      <c r="AV83" s="2617"/>
      <c r="AW83" s="2617"/>
      <c r="AX83" s="2617"/>
      <c r="AY83" s="2617"/>
      <c r="AZ83" s="2617"/>
      <c r="BA83" s="2617"/>
      <c r="BB83" s="2617"/>
      <c r="BC83" s="2618"/>
    </row>
    <row r="84" spans="1:59" s="116" customFormat="1" ht="12.75" hidden="1" customHeight="1" outlineLevel="1">
      <c r="A84" s="114"/>
      <c r="B84" s="1800"/>
      <c r="C84" s="1801"/>
      <c r="D84" s="1812" t="s">
        <v>409</v>
      </c>
      <c r="E84" s="147" t="s">
        <v>452</v>
      </c>
      <c r="F84" s="147" t="s">
        <v>343</v>
      </c>
      <c r="G84" s="2626" t="s">
        <v>1681</v>
      </c>
      <c r="H84" s="2628"/>
      <c r="I84" s="2628"/>
      <c r="J84" s="1812"/>
      <c r="K84" s="1812" t="s">
        <v>444</v>
      </c>
      <c r="L84" s="1814" t="s">
        <v>444</v>
      </c>
      <c r="T84" s="1873" t="s">
        <v>444</v>
      </c>
      <c r="V84" s="114"/>
      <c r="W84" s="1800" t="s">
        <v>316</v>
      </c>
      <c r="X84" s="2629" t="s">
        <v>316</v>
      </c>
      <c r="Y84" s="2630"/>
      <c r="Z84" s="1801" t="s">
        <v>444</v>
      </c>
      <c r="AA84" s="1801" t="s">
        <v>444</v>
      </c>
      <c r="AB84" s="1801"/>
      <c r="AC84" s="1814" t="s">
        <v>444</v>
      </c>
      <c r="AE84" s="2631" t="s">
        <v>211</v>
      </c>
      <c r="AF84" s="2632"/>
      <c r="AG84" s="2632" t="s">
        <v>442</v>
      </c>
      <c r="AH84" s="2632"/>
      <c r="AI84" s="2632" t="s">
        <v>267</v>
      </c>
      <c r="AJ84" s="2632"/>
      <c r="AK84" s="2632" t="s">
        <v>443</v>
      </c>
      <c r="AL84" s="2632"/>
      <c r="AM84" s="2648" t="s">
        <v>327</v>
      </c>
      <c r="AN84" s="2649"/>
      <c r="AO84" s="2631" t="s">
        <v>636</v>
      </c>
      <c r="AP84" s="2650"/>
      <c r="AR84" s="2614" t="s">
        <v>1646</v>
      </c>
      <c r="AS84" s="2645"/>
      <c r="AT84" s="2645"/>
      <c r="AU84" s="2615"/>
      <c r="AV84" s="2614" t="s">
        <v>1644</v>
      </c>
      <c r="AW84" s="2645"/>
      <c r="AX84" s="2645"/>
      <c r="AY84" s="2615"/>
      <c r="AZ84" s="2614" t="s">
        <v>1645</v>
      </c>
      <c r="BA84" s="2645"/>
      <c r="BB84" s="2645"/>
      <c r="BC84" s="2615"/>
    </row>
    <row r="85" spans="1:59" s="116" customFormat="1" ht="12.75" hidden="1" customHeight="1" outlineLevel="1">
      <c r="A85" s="114"/>
      <c r="B85" s="1002" t="s">
        <v>5019</v>
      </c>
      <c r="C85" s="1801"/>
      <c r="D85" s="1805" t="s">
        <v>444</v>
      </c>
      <c r="E85" s="1811" t="s">
        <v>453</v>
      </c>
      <c r="F85" s="1811" t="s">
        <v>533</v>
      </c>
      <c r="G85" s="1662" t="s">
        <v>411</v>
      </c>
      <c r="H85" s="1120" t="s">
        <v>1771</v>
      </c>
      <c r="I85" s="1662" t="s">
        <v>885</v>
      </c>
      <c r="J85" s="1805"/>
      <c r="K85" s="1805" t="s">
        <v>411</v>
      </c>
      <c r="L85" s="220" t="s">
        <v>777</v>
      </c>
      <c r="T85" s="1874" t="s">
        <v>885</v>
      </c>
      <c r="V85" s="114"/>
      <c r="W85" s="1800" t="s">
        <v>1649</v>
      </c>
      <c r="X85" s="2646" t="s">
        <v>1650</v>
      </c>
      <c r="Y85" s="2647"/>
      <c r="Z85" s="227" t="s">
        <v>411</v>
      </c>
      <c r="AA85" s="1662" t="s">
        <v>257</v>
      </c>
      <c r="AB85" s="1801"/>
      <c r="AC85" s="162" t="s">
        <v>327</v>
      </c>
      <c r="AE85" s="1818" t="s">
        <v>411</v>
      </c>
      <c r="AF85" s="1819" t="s">
        <v>777</v>
      </c>
      <c r="AG85" s="1819" t="s">
        <v>411</v>
      </c>
      <c r="AH85" s="1819" t="s">
        <v>777</v>
      </c>
      <c r="AI85" s="1819" t="s">
        <v>411</v>
      </c>
      <c r="AJ85" s="1819" t="s">
        <v>777</v>
      </c>
      <c r="AK85" s="1819" t="s">
        <v>411</v>
      </c>
      <c r="AL85" s="1819" t="s">
        <v>777</v>
      </c>
      <c r="AM85" s="581" t="s">
        <v>411</v>
      </c>
      <c r="AN85" s="582" t="s">
        <v>777</v>
      </c>
      <c r="AO85" s="1818" t="s">
        <v>411</v>
      </c>
      <c r="AP85" s="1820" t="s">
        <v>777</v>
      </c>
      <c r="AR85" s="1815" t="s">
        <v>1643</v>
      </c>
      <c r="AS85" s="1816" t="s">
        <v>1640</v>
      </c>
      <c r="AT85" s="1816" t="s">
        <v>1641</v>
      </c>
      <c r="AU85" s="1817" t="s">
        <v>1642</v>
      </c>
      <c r="AV85" s="1816" t="s">
        <v>1643</v>
      </c>
      <c r="AW85" s="1816" t="s">
        <v>1640</v>
      </c>
      <c r="AX85" s="1816" t="s">
        <v>1641</v>
      </c>
      <c r="AY85" s="1817" t="s">
        <v>1642</v>
      </c>
      <c r="AZ85" s="1815" t="s">
        <v>1643</v>
      </c>
      <c r="BA85" s="1816" t="s">
        <v>1640</v>
      </c>
      <c r="BB85" s="1816" t="s">
        <v>1641</v>
      </c>
      <c r="BC85" s="1817" t="s">
        <v>1642</v>
      </c>
    </row>
    <row r="86" spans="1:59" s="116" customFormat="1" ht="12.75" hidden="1" customHeight="1" outlineLevel="1">
      <c r="A86" s="114"/>
      <c r="B86" s="143" t="s">
        <v>1769</v>
      </c>
      <c r="C86" s="2398"/>
      <c r="D86" s="315">
        <f>K86+L86</f>
        <v>0</v>
      </c>
      <c r="E86" s="117"/>
      <c r="F86" s="117"/>
      <c r="G86" s="223">
        <f>VLOOKUP($B86&amp;"; "&amp;$G$84&amp;", "&amp;G$85,'FE Energie'!$G:$U,9,FALSE)</f>
        <v>1.01E-2</v>
      </c>
      <c r="H86" s="223">
        <f>VLOOKUP($B86&amp;"; "&amp;$G$84&amp;", "&amp;H$85,'FE Energie'!$G:$U,9,FALSE)</f>
        <v>3.3300000000000003E-2</v>
      </c>
      <c r="I86" s="223">
        <f>VLOOKUP($B86&amp;"; "&amp;$G$84&amp;", "&amp;I$85,'FE Energie'!$G:$U,9,FALSE)</f>
        <v>6.0000000000000001E-3</v>
      </c>
      <c r="J86" s="566"/>
      <c r="K86" s="566">
        <f>IF(ISNA(G86),0,F86*G86)</f>
        <v>0</v>
      </c>
      <c r="L86" s="567">
        <f>IF(ISNA(H86),0,F86*H86)</f>
        <v>0</v>
      </c>
      <c r="T86" s="587">
        <f>IF(ISNA(I86),(100+'FE Energie'!$L$2231)*D86,F86*I86)</f>
        <v>0</v>
      </c>
      <c r="V86" s="114"/>
      <c r="W86" s="226">
        <f>IF(AC86=0,AC86,AC86/(K86+L86))</f>
        <v>0</v>
      </c>
      <c r="X86" s="343"/>
      <c r="Y86" s="820"/>
      <c r="Z86" s="2398">
        <f>SQRT(SUMSQ(IF(ISNA($F86*G86*AW86),0,$F86*G86*AW86)))</f>
        <v>0</v>
      </c>
      <c r="AA86" s="2398">
        <f>SQRT(SUMSQ(IF(ISNA($F86*H86*BA86),0,$F86*H86*BA86)))</f>
        <v>0</v>
      </c>
      <c r="AB86" s="342"/>
      <c r="AC86" s="152">
        <f>SQRT(Z86^2+AA86^2)</f>
        <v>0</v>
      </c>
      <c r="AE86" s="564">
        <f t="shared" ref="AE86:AE88" si="4">K86</f>
        <v>0</v>
      </c>
      <c r="AF86" s="565">
        <f t="shared" ref="AF86:AF88" si="5">L86</f>
        <v>0</v>
      </c>
      <c r="AG86" s="565"/>
      <c r="AH86" s="565"/>
      <c r="AI86" s="565"/>
      <c r="AJ86" s="565"/>
      <c r="AK86" s="565"/>
      <c r="AL86" s="565"/>
      <c r="AM86" s="566">
        <f>K86</f>
        <v>0</v>
      </c>
      <c r="AN86" s="566">
        <f>L86</f>
        <v>0</v>
      </c>
      <c r="AO86" s="564"/>
      <c r="AP86" s="568"/>
      <c r="AR86" s="2399"/>
      <c r="AS86" s="1066">
        <f>IF($X86&lt;&gt;"votre valeur :",IF(ISNA(VLOOKUP($X86,Utilitaires!$N$566:$O$571,2,FALSE)),,VLOOKUP($X86,Utilitaires!$N$566:$O$571,2,FALSE)),$Y86)</f>
        <v>0</v>
      </c>
      <c r="AT86" s="1066"/>
      <c r="AU86" s="2400"/>
      <c r="AV86" s="1068"/>
      <c r="AW86" s="1068">
        <f>IF(ISNA(SQRT(SUMSQ(VLOOKUP($B86&amp;"; "&amp;$G$84&amp;", "&amp;$G$85,'FE Energie'!$G:$U,7,FALSE),$AS86))),0,SQRT(SUMSQ(VLOOKUP($B86&amp;"; "&amp;$G$84&amp;", "&amp;$G$85,'FE Energie'!$G:$U,7,FALSE),$AS86)))</f>
        <v>0.3</v>
      </c>
      <c r="AX86" s="1068"/>
      <c r="AY86" s="1068"/>
      <c r="AZ86" s="1069"/>
      <c r="BA86" s="1070">
        <f>IF(ISNA(SQRT(SUMSQ(VLOOKUP($B86&amp;"; "&amp;$G$84&amp;", "&amp;$H$85,'FE Energie'!$G:$U,7,FALSE),$AS86))),0,SQRT(SUMSQ(VLOOKUP($B86&amp;"; "&amp;$G$84&amp;", "&amp;$H$85,'FE Energie'!$G:$U,7,FALSE),$AS86)))</f>
        <v>0.3</v>
      </c>
      <c r="BB86" s="1070"/>
      <c r="BC86" s="1071"/>
    </row>
    <row r="87" spans="1:59" s="116" customFormat="1" ht="12.75" hidden="1" customHeight="1" outlineLevel="1">
      <c r="A87" s="114"/>
      <c r="B87" s="143" t="s">
        <v>1770</v>
      </c>
      <c r="C87" s="2398"/>
      <c r="D87" s="315">
        <f>K87+L87</f>
        <v>0</v>
      </c>
      <c r="E87" s="120"/>
      <c r="F87" s="120"/>
      <c r="G87" s="223">
        <f>VLOOKUP($B87&amp;"; "&amp;$G$84&amp;", "&amp;G$85,'FE Energie'!$G:$U,9,FALSE)</f>
        <v>0.01</v>
      </c>
      <c r="H87" s="223">
        <f>VLOOKUP($B87&amp;"; "&amp;$G$84&amp;", "&amp;H$85,'FE Energie'!$G:$U,9,FALSE)</f>
        <v>3.2199999999999999E-2</v>
      </c>
      <c r="I87" s="223">
        <f>VLOOKUP($B87&amp;"; "&amp;$G$84&amp;", "&amp;I$85,'FE Energie'!$G:$U,9,FALSE)</f>
        <v>6.0000000000000001E-3</v>
      </c>
      <c r="J87" s="566"/>
      <c r="K87" s="566">
        <f t="shared" ref="K87:K88" si="6">IF(ISNA(G87),0,F87*G87)</f>
        <v>0</v>
      </c>
      <c r="L87" s="567">
        <f t="shared" ref="L87:L88" si="7">IF(ISNA(H87),0,F87*H87)</f>
        <v>0</v>
      </c>
      <c r="T87" s="587">
        <f>IF(ISNA(I87),(100+'FE Energie'!$L$2231)*D87,F87*I87)</f>
        <v>0</v>
      </c>
      <c r="V87" s="114"/>
      <c r="W87" s="226">
        <f>IF(AC87=0,AC87,AC87/(K87+L87))</f>
        <v>0</v>
      </c>
      <c r="X87" s="344"/>
      <c r="Y87" s="820"/>
      <c r="Z87" s="2398">
        <f>SQRT(SUMSQ(IF(ISNA($F87*G87*AW87),0,$F87*G87*AW87)))</f>
        <v>0</v>
      </c>
      <c r="AA87" s="2398">
        <f>SQRT(SUMSQ(IF(ISNA($F87*H87*BA87),0,$F87*H87*BA87)))</f>
        <v>0</v>
      </c>
      <c r="AB87" s="342"/>
      <c r="AC87" s="152">
        <f>SQRT(Z87^2+AA87^2)</f>
        <v>0</v>
      </c>
      <c r="AE87" s="564">
        <f t="shared" si="4"/>
        <v>0</v>
      </c>
      <c r="AF87" s="565">
        <f t="shared" si="5"/>
        <v>0</v>
      </c>
      <c r="AG87" s="565"/>
      <c r="AH87" s="565"/>
      <c r="AI87" s="565"/>
      <c r="AJ87" s="565"/>
      <c r="AK87" s="565"/>
      <c r="AL87" s="565"/>
      <c r="AM87" s="566">
        <f t="shared" ref="AM87:AM88" si="8">K87</f>
        <v>0</v>
      </c>
      <c r="AN87" s="566">
        <f t="shared" ref="AN87:AN88" si="9">L87</f>
        <v>0</v>
      </c>
      <c r="AO87" s="564"/>
      <c r="AP87" s="568"/>
      <c r="AR87" s="2399"/>
      <c r="AS87" s="1066">
        <f>IF($X87&lt;&gt;"votre valeur :",IF(ISNA(VLOOKUP($X87,Utilitaires!$N$566:$O$571,2,FALSE)),,VLOOKUP($X87,Utilitaires!$N$566:$O$571,2,FALSE)),$Y87)</f>
        <v>0</v>
      </c>
      <c r="AT87" s="1066"/>
      <c r="AU87" s="2400"/>
      <c r="AV87" s="1068"/>
      <c r="AW87" s="1068">
        <f>IF(ISNA(SQRT(SUMSQ(VLOOKUP($B87&amp;"; "&amp;$G$84&amp;", "&amp;$G$85,'FE Energie'!$G:$U,7,FALSE),$AS87))),0,SQRT(SUMSQ(VLOOKUP($B87&amp;"; "&amp;$G$84&amp;", "&amp;$G$85,'FE Energie'!$G:$U,7,FALSE),$AS87)))</f>
        <v>0.3</v>
      </c>
      <c r="AX87" s="1068"/>
      <c r="AY87" s="1068"/>
      <c r="AZ87" s="1069"/>
      <c r="BA87" s="1070">
        <f>IF(ISNA(SQRT(SUMSQ(VLOOKUP($B87&amp;"; "&amp;$G$84&amp;", "&amp;$H$85,'FE Energie'!$G:$U,7,FALSE),$AS87))),0,SQRT(SUMSQ(VLOOKUP($B87&amp;"; "&amp;$G$84&amp;", "&amp;$H$85,'FE Energie'!$G:$U,7,FALSE),$AS87)))</f>
        <v>0.3</v>
      </c>
      <c r="BB87" s="1070"/>
      <c r="BC87" s="1071"/>
    </row>
    <row r="88" spans="1:59" s="116" customFormat="1" ht="12.75" hidden="1" customHeight="1" outlineLevel="1">
      <c r="A88" s="114"/>
      <c r="B88" s="143" t="s">
        <v>5038</v>
      </c>
      <c r="C88" s="2398"/>
      <c r="D88" s="315">
        <f>K88+L88</f>
        <v>0</v>
      </c>
      <c r="E88" s="123"/>
      <c r="F88" s="123"/>
      <c r="G88" s="223">
        <f>VLOOKUP($B88&amp;"; "&amp;$G$84&amp;", "&amp;G$85,'FE Energie'!$G:$U,9,FALSE)</f>
        <v>1.3899999999999999E-2</v>
      </c>
      <c r="H88" s="223">
        <f>VLOOKUP($B88&amp;"; "&amp;$G$84&amp;", "&amp;H$85,'FE Energie'!$G:$U,9,FALSE)</f>
        <v>4.0099999999999997E-2</v>
      </c>
      <c r="I88" s="223">
        <f>VLOOKUP($B88&amp;"; "&amp;$G$84&amp;", "&amp;I$85,'FE Energie'!$G:$U,9,FALSE)</f>
        <v>4.4799999999999996E-3</v>
      </c>
      <c r="J88" s="566"/>
      <c r="K88" s="566">
        <f t="shared" si="6"/>
        <v>0</v>
      </c>
      <c r="L88" s="567">
        <f t="shared" si="7"/>
        <v>0</v>
      </c>
      <c r="T88" s="587">
        <f>IF(ISNA(I88),(100+'FE Energie'!$L$2231)*D88,F88*I88)</f>
        <v>0</v>
      </c>
      <c r="V88" s="114"/>
      <c r="W88" s="226">
        <f>IF(AC88=0,AC88,AC88/(K88+L88))</f>
        <v>0</v>
      </c>
      <c r="X88" s="345"/>
      <c r="Y88" s="820"/>
      <c r="Z88" s="2398">
        <f>SQRT(SUMSQ(IF(ISNA($F88*G88*AW88),0,$F88*G88*AW88)))</f>
        <v>0</v>
      </c>
      <c r="AA88" s="2398">
        <f>SQRT(SUMSQ(IF(ISNA($F88*H88*BA88),0,$F88*H88*BA88)))</f>
        <v>0</v>
      </c>
      <c r="AB88" s="342"/>
      <c r="AC88" s="152">
        <f>SQRT(Z88^2+AA88^2)</f>
        <v>0</v>
      </c>
      <c r="AE88" s="564">
        <f t="shared" si="4"/>
        <v>0</v>
      </c>
      <c r="AF88" s="565">
        <f t="shared" si="5"/>
        <v>0</v>
      </c>
      <c r="AG88" s="565"/>
      <c r="AH88" s="565"/>
      <c r="AI88" s="565"/>
      <c r="AJ88" s="565"/>
      <c r="AK88" s="565"/>
      <c r="AL88" s="565"/>
      <c r="AM88" s="566">
        <f t="shared" si="8"/>
        <v>0</v>
      </c>
      <c r="AN88" s="566">
        <f t="shared" si="9"/>
        <v>0</v>
      </c>
      <c r="AO88" s="564"/>
      <c r="AP88" s="568"/>
      <c r="AR88" s="2399"/>
      <c r="AS88" s="1066">
        <f>IF($X88&lt;&gt;"votre valeur :",IF(ISNA(VLOOKUP($X88,Utilitaires!$N$566:$O$571,2,FALSE)),,VLOOKUP($X88,Utilitaires!$N$566:$O$571,2,FALSE)),$Y88)</f>
        <v>0</v>
      </c>
      <c r="AT88" s="1066"/>
      <c r="AU88" s="2400"/>
      <c r="AV88" s="1068"/>
      <c r="AW88" s="1068">
        <f>IF(ISNA(SQRT(SUMSQ(VLOOKUP($B88&amp;"; "&amp;$G$84&amp;", "&amp;$G$85,'FE Energie'!$G:$U,7,FALSE),$AS88))),0,SQRT(SUMSQ(VLOOKUP($B88&amp;"; "&amp;$G$84&amp;", "&amp;$G$85,'FE Energie'!$G:$U,7,FALSE),$AS88)))</f>
        <v>0.3</v>
      </c>
      <c r="AX88" s="1068"/>
      <c r="AY88" s="1068"/>
      <c r="AZ88" s="1069"/>
      <c r="BA88" s="1070">
        <f>IF(ISNA(SQRT(SUMSQ(VLOOKUP($B88&amp;"; "&amp;$G$84&amp;", "&amp;$H$85,'FE Energie'!$G:$U,7,FALSE),$AS88))),0,SQRT(SUMSQ(VLOOKUP($B88&amp;"; "&amp;$G$84&amp;", "&amp;$H$85,'FE Energie'!$G:$U,7,FALSE),$AS88)))</f>
        <v>0.3</v>
      </c>
      <c r="BB88" s="1070"/>
      <c r="BC88" s="1071"/>
    </row>
    <row r="89" spans="1:59" s="116" customFormat="1" ht="12.75" hidden="1" customHeight="1" outlineLevel="1">
      <c r="A89" s="114"/>
      <c r="B89" s="143"/>
      <c r="C89" s="2398"/>
      <c r="D89" s="315"/>
      <c r="E89" s="820"/>
      <c r="F89" s="144"/>
      <c r="G89" s="223"/>
      <c r="H89" s="223"/>
      <c r="I89" s="223"/>
      <c r="J89" s="566"/>
      <c r="K89" s="566"/>
      <c r="L89" s="567"/>
      <c r="T89" s="587"/>
      <c r="V89" s="114"/>
      <c r="W89" s="226"/>
      <c r="X89" s="820"/>
      <c r="Y89" s="820"/>
      <c r="Z89" s="2398"/>
      <c r="AA89" s="2398"/>
      <c r="AB89" s="342"/>
      <c r="AC89" s="152"/>
      <c r="AE89" s="564"/>
      <c r="AF89" s="565"/>
      <c r="AG89" s="565"/>
      <c r="AH89" s="565"/>
      <c r="AI89" s="565"/>
      <c r="AJ89" s="565"/>
      <c r="AK89" s="565"/>
      <c r="AL89" s="565"/>
      <c r="AM89" s="566"/>
      <c r="AN89" s="566"/>
      <c r="AO89" s="564"/>
      <c r="AP89" s="568"/>
      <c r="AR89" s="2399"/>
      <c r="AS89" s="1066"/>
      <c r="AT89" s="1066"/>
      <c r="AU89" s="2400"/>
      <c r="AV89" s="1068"/>
      <c r="AW89" s="1068"/>
      <c r="AX89" s="1068"/>
      <c r="AY89" s="1068"/>
      <c r="AZ89" s="1069"/>
      <c r="BA89" s="1070"/>
      <c r="BB89" s="1070"/>
      <c r="BC89" s="1071"/>
    </row>
    <row r="90" spans="1:59" s="116" customFormat="1" ht="12.75" hidden="1" customHeight="1" outlineLevel="1">
      <c r="A90" s="114"/>
      <c r="B90" s="1002" t="s">
        <v>5046</v>
      </c>
      <c r="C90" s="144"/>
      <c r="D90" s="315"/>
      <c r="E90" s="155"/>
      <c r="F90" s="144"/>
      <c r="G90" s="144"/>
      <c r="H90" s="144"/>
      <c r="I90" s="144"/>
      <c r="J90" s="566"/>
      <c r="K90" s="566"/>
      <c r="L90" s="567"/>
      <c r="T90" s="1776"/>
      <c r="V90" s="114"/>
      <c r="W90" s="143"/>
      <c r="X90" s="820"/>
      <c r="Y90" s="820"/>
      <c r="Z90" s="2398"/>
      <c r="AA90" s="2398"/>
      <c r="AB90" s="144"/>
      <c r="AC90" s="165"/>
      <c r="AE90" s="564"/>
      <c r="AF90" s="565"/>
      <c r="AG90" s="565"/>
      <c r="AH90" s="565"/>
      <c r="AI90" s="565"/>
      <c r="AJ90" s="565"/>
      <c r="AK90" s="565"/>
      <c r="AL90" s="565"/>
      <c r="AM90" s="566"/>
      <c r="AN90" s="566"/>
      <c r="AO90" s="564"/>
      <c r="AP90" s="568"/>
      <c r="AR90" s="2399"/>
      <c r="AS90" s="1066"/>
      <c r="AT90" s="1066"/>
      <c r="AU90" s="2400"/>
      <c r="AV90" s="1068"/>
      <c r="AW90" s="1068"/>
      <c r="AX90" s="1068"/>
      <c r="AY90" s="1068"/>
      <c r="AZ90" s="1069"/>
      <c r="BA90" s="1070"/>
      <c r="BB90" s="1070"/>
      <c r="BC90" s="1071"/>
    </row>
    <row r="91" spans="1:59" s="116" customFormat="1" ht="12.75" hidden="1" customHeight="1" outlineLevel="1">
      <c r="A91" s="114"/>
      <c r="B91" s="143" t="s">
        <v>1769</v>
      </c>
      <c r="C91" s="1801"/>
      <c r="D91" s="315">
        <f>K91+L91</f>
        <v>0</v>
      </c>
      <c r="E91" s="117"/>
      <c r="F91" s="117"/>
      <c r="G91" s="223">
        <f>VLOOKUP($B91&amp;"; "&amp;$G$84&amp;", "&amp;G$85,'FE Energie'!$G:$U,9,FALSE)</f>
        <v>1.01E-2</v>
      </c>
      <c r="H91" s="223">
        <f>VLOOKUP($B91&amp;"; "&amp;$G$84&amp;", "&amp;H$85,'FE Energie'!$G:$U,9,FALSE)</f>
        <v>3.3300000000000003E-2</v>
      </c>
      <c r="I91" s="223">
        <f>VLOOKUP($B91&amp;"; "&amp;$G$84&amp;", "&amp;I$85,'FE Energie'!$G:$U,9,FALSE)</f>
        <v>6.0000000000000001E-3</v>
      </c>
      <c r="J91" s="566"/>
      <c r="K91" s="566">
        <f>IF(ISNA(G91),0,F91*G91)</f>
        <v>0</v>
      </c>
      <c r="L91" s="567">
        <f>IF(ISNA(H91),0,F91*H91)</f>
        <v>0</v>
      </c>
      <c r="T91" s="587">
        <f>IF(ISNA(I91),(100+'FE Energie'!$L$2231)*D91,F91*I91)</f>
        <v>0</v>
      </c>
      <c r="V91" s="114"/>
      <c r="W91" s="226">
        <f>IF(AC91=0,AC91,AC91/(K91+L91))</f>
        <v>0</v>
      </c>
      <c r="X91" s="343"/>
      <c r="Y91" s="820"/>
      <c r="Z91" s="1801">
        <f>SQRT(SUMSQ(IF(ISNA($F91*G91*AW91),0,$F91*G91*AW91)))</f>
        <v>0</v>
      </c>
      <c r="AA91" s="1801">
        <f>SQRT(SUMSQ(IF(ISNA($F91*H91*BA91),0,$F91*H91*BA91)))</f>
        <v>0</v>
      </c>
      <c r="AB91" s="342"/>
      <c r="AC91" s="152">
        <f>SQRT(Z91^2+AA91^2)</f>
        <v>0</v>
      </c>
      <c r="AE91" s="564">
        <f t="shared" ref="AE91:AF93" si="10">K91</f>
        <v>0</v>
      </c>
      <c r="AF91" s="565">
        <f t="shared" si="10"/>
        <v>0</v>
      </c>
      <c r="AG91" s="565"/>
      <c r="AH91" s="565"/>
      <c r="AI91" s="565"/>
      <c r="AJ91" s="565"/>
      <c r="AK91" s="565"/>
      <c r="AL91" s="565"/>
      <c r="AM91" s="566">
        <f>K91</f>
        <v>0</v>
      </c>
      <c r="AN91" s="566">
        <f>L91</f>
        <v>0</v>
      </c>
      <c r="AO91" s="564"/>
      <c r="AP91" s="568"/>
      <c r="AR91" s="1065"/>
      <c r="AS91" s="1066">
        <f>IF($X91&lt;&gt;"votre valeur :",IF(ISNA(VLOOKUP($X91,Utilitaires!$N$566:$O$571,2,FALSE)),,VLOOKUP($X91,Utilitaires!$N$566:$O$571,2,FALSE)),$Y91)</f>
        <v>0</v>
      </c>
      <c r="AT91" s="1066"/>
      <c r="AU91" s="1067"/>
      <c r="AV91" s="1068"/>
      <c r="AW91" s="1068">
        <f>IF(ISNA(SQRT(SUMSQ(VLOOKUP($B91&amp;"; "&amp;$G$84&amp;", "&amp;$G$85,'FE Energie'!$G:$U,7,FALSE),$AS91))),0,SQRT(SUMSQ(VLOOKUP($B91&amp;"; "&amp;$G$84&amp;", "&amp;$G$85,'FE Energie'!$G:$U,7,FALSE),$AS91)))</f>
        <v>0.3</v>
      </c>
      <c r="AX91" s="1068"/>
      <c r="AY91" s="1068"/>
      <c r="AZ91" s="1069"/>
      <c r="BA91" s="1070">
        <f>IF(ISNA(SQRT(SUMSQ(VLOOKUP($B91&amp;"; "&amp;$G$84&amp;", "&amp;$H$85,'FE Energie'!$G:$U,7,FALSE),$AS91))),0,SQRT(SUMSQ(VLOOKUP($B91&amp;"; "&amp;$G$84&amp;", "&amp;$H$85,'FE Energie'!$G:$U,7,FALSE),$AS91)))</f>
        <v>0.3</v>
      </c>
      <c r="BB91" s="1070"/>
      <c r="BC91" s="1071"/>
    </row>
    <row r="92" spans="1:59" s="116" customFormat="1" ht="12.75" hidden="1" customHeight="1" outlineLevel="1">
      <c r="A92" s="114"/>
      <c r="B92" s="143" t="s">
        <v>1770</v>
      </c>
      <c r="C92" s="1801"/>
      <c r="D92" s="315">
        <f>K92+L92</f>
        <v>0</v>
      </c>
      <c r="E92" s="120"/>
      <c r="F92" s="120"/>
      <c r="G92" s="223">
        <f>VLOOKUP($B92&amp;"; "&amp;$G$84&amp;", "&amp;G$85,'FE Energie'!$G:$U,9,FALSE)</f>
        <v>0.01</v>
      </c>
      <c r="H92" s="223">
        <f>VLOOKUP($B92&amp;"; "&amp;$G$84&amp;", "&amp;H$85,'FE Energie'!$G:$U,9,FALSE)</f>
        <v>3.2199999999999999E-2</v>
      </c>
      <c r="I92" s="223">
        <f>VLOOKUP($B92&amp;"; "&amp;$G$84&amp;", "&amp;I$85,'FE Energie'!$G:$U,9,FALSE)</f>
        <v>6.0000000000000001E-3</v>
      </c>
      <c r="J92" s="566"/>
      <c r="K92" s="566">
        <f t="shared" ref="K92:K93" si="11">IF(ISNA(G92),0,F92*G92)</f>
        <v>0</v>
      </c>
      <c r="L92" s="567">
        <f t="shared" ref="L92:L93" si="12">IF(ISNA(H92),0,F92*H92)</f>
        <v>0</v>
      </c>
      <c r="T92" s="587">
        <f>IF(ISNA(I92),(100+'FE Energie'!$L$2231)*D92,F92*I92)</f>
        <v>0</v>
      </c>
      <c r="V92" s="114"/>
      <c r="W92" s="226">
        <f>IF(AC92=0,AC92,AC92/(K92+L92))</f>
        <v>0</v>
      </c>
      <c r="X92" s="344"/>
      <c r="Y92" s="820"/>
      <c r="Z92" s="1801">
        <f>SQRT(SUMSQ(IF(ISNA($F92*G92*AW92),0,$F92*G92*AW92)))</f>
        <v>0</v>
      </c>
      <c r="AA92" s="1801">
        <f>SQRT(SUMSQ(IF(ISNA($F92*H92*BA92),0,$F92*H92*BA92)))</f>
        <v>0</v>
      </c>
      <c r="AB92" s="342"/>
      <c r="AC92" s="152">
        <f>SQRT(Z92^2+AA92^2)</f>
        <v>0</v>
      </c>
      <c r="AE92" s="564">
        <f t="shared" si="10"/>
        <v>0</v>
      </c>
      <c r="AF92" s="565">
        <f t="shared" si="10"/>
        <v>0</v>
      </c>
      <c r="AG92" s="565"/>
      <c r="AH92" s="565"/>
      <c r="AI92" s="565"/>
      <c r="AJ92" s="565"/>
      <c r="AK92" s="565"/>
      <c r="AL92" s="565"/>
      <c r="AM92" s="566">
        <f t="shared" ref="AM92:AM93" si="13">K92</f>
        <v>0</v>
      </c>
      <c r="AN92" s="566">
        <f t="shared" ref="AN92:AN93" si="14">L92</f>
        <v>0</v>
      </c>
      <c r="AO92" s="564"/>
      <c r="AP92" s="568"/>
      <c r="AR92" s="1065"/>
      <c r="AS92" s="1066">
        <f>IF($X92&lt;&gt;"votre valeur :",IF(ISNA(VLOOKUP($X92,Utilitaires!$N$566:$O$571,2,FALSE)),,VLOOKUP($X92,Utilitaires!$N$566:$O$571,2,FALSE)),$Y92)</f>
        <v>0</v>
      </c>
      <c r="AT92" s="1066"/>
      <c r="AU92" s="1067"/>
      <c r="AV92" s="1068"/>
      <c r="AW92" s="1068">
        <f>IF(ISNA(SQRT(SUMSQ(VLOOKUP($B92&amp;"; "&amp;$G$84&amp;", "&amp;$G$85,'FE Energie'!$G:$U,7,FALSE),$AS92))),0,SQRT(SUMSQ(VLOOKUP($B92&amp;"; "&amp;$G$84&amp;", "&amp;$G$85,'FE Energie'!$G:$U,7,FALSE),$AS92)))</f>
        <v>0.3</v>
      </c>
      <c r="AX92" s="1068"/>
      <c r="AY92" s="1068"/>
      <c r="AZ92" s="1069"/>
      <c r="BA92" s="1070">
        <f>IF(ISNA(SQRT(SUMSQ(VLOOKUP($B92&amp;"; "&amp;$G$84&amp;", "&amp;$H$85,'FE Energie'!$G:$U,7,FALSE),$AS92))),0,SQRT(SUMSQ(VLOOKUP($B92&amp;"; "&amp;$G$84&amp;", "&amp;$H$85,'FE Energie'!$G:$U,7,FALSE),$AS92)))</f>
        <v>0.3</v>
      </c>
      <c r="BB92" s="1070"/>
      <c r="BC92" s="1071"/>
    </row>
    <row r="93" spans="1:59" s="116" customFormat="1" ht="12.75" hidden="1" customHeight="1" outlineLevel="1">
      <c r="A93" s="114"/>
      <c r="B93" s="143" t="s">
        <v>3301</v>
      </c>
      <c r="C93" s="1801"/>
      <c r="D93" s="315">
        <f>K93+L93</f>
        <v>0</v>
      </c>
      <c r="E93" s="123"/>
      <c r="F93" s="123"/>
      <c r="G93" s="223">
        <f>VLOOKUP($B93&amp;"; "&amp;$G$84&amp;", "&amp;G$85,'FE Energie'!$G:$U,9,FALSE)</f>
        <v>2.3699999999999999E-2</v>
      </c>
      <c r="H93" s="223">
        <f>VLOOKUP($B93&amp;"; "&amp;$G$84&amp;", "&amp;H$85,'FE Energie'!$G:$U,9,FALSE)</f>
        <v>0.11899999999999999</v>
      </c>
      <c r="I93" s="223">
        <f>VLOOKUP($B93&amp;"; "&amp;$G$84&amp;", "&amp;I$85,'FE Energie'!$G:$U,9,FALSE)</f>
        <v>4.4000000000000003E-3</v>
      </c>
      <c r="J93" s="566"/>
      <c r="K93" s="566">
        <f t="shared" si="11"/>
        <v>0</v>
      </c>
      <c r="L93" s="567">
        <f t="shared" si="12"/>
        <v>0</v>
      </c>
      <c r="T93" s="587">
        <f>IF(ISNA(I93),(100+'FE Energie'!$L$2231)*D93,F93*I93)</f>
        <v>0</v>
      </c>
      <c r="V93" s="114"/>
      <c r="W93" s="226">
        <f>IF(AC93=0,AC93,AC93/(K93+L93))</f>
        <v>0</v>
      </c>
      <c r="X93" s="345"/>
      <c r="Y93" s="820"/>
      <c r="Z93" s="1801">
        <f>SQRT(SUMSQ(IF(ISNA($F93*G93*AW93),0,$F93*G93*AW93)))</f>
        <v>0</v>
      </c>
      <c r="AA93" s="1801">
        <f>SQRT(SUMSQ(IF(ISNA($F93*H93*BA93),0,$F93*H93*BA93)))</f>
        <v>0</v>
      </c>
      <c r="AB93" s="342"/>
      <c r="AC93" s="152">
        <f>SQRT(Z93^2+AA93^2)</f>
        <v>0</v>
      </c>
      <c r="AE93" s="564">
        <f t="shared" si="10"/>
        <v>0</v>
      </c>
      <c r="AF93" s="565">
        <f t="shared" si="10"/>
        <v>0</v>
      </c>
      <c r="AG93" s="565"/>
      <c r="AH93" s="565"/>
      <c r="AI93" s="565"/>
      <c r="AJ93" s="565"/>
      <c r="AK93" s="565"/>
      <c r="AL93" s="565"/>
      <c r="AM93" s="566">
        <f t="shared" si="13"/>
        <v>0</v>
      </c>
      <c r="AN93" s="566">
        <f t="shared" si="14"/>
        <v>0</v>
      </c>
      <c r="AO93" s="564"/>
      <c r="AP93" s="568"/>
      <c r="AR93" s="1065"/>
      <c r="AS93" s="1066">
        <f>IF($X93&lt;&gt;"votre valeur :",IF(ISNA(VLOOKUP($X93,Utilitaires!$N$566:$O$571,2,FALSE)),,VLOOKUP($X93,Utilitaires!$N$566:$O$571,2,FALSE)),$Y93)</f>
        <v>0</v>
      </c>
      <c r="AT93" s="1066"/>
      <c r="AU93" s="1067"/>
      <c r="AV93" s="1068"/>
      <c r="AW93" s="1068">
        <f>IF(ISNA(SQRT(SUMSQ(VLOOKUP($B93&amp;"; "&amp;$G$84&amp;", "&amp;$G$85,'FE Energie'!$G:$U,7,FALSE),$AS93))),0,SQRT(SUMSQ(VLOOKUP($B93&amp;"; "&amp;$G$84&amp;", "&amp;$G$85,'FE Energie'!$G:$U,7,FALSE),$AS93)))</f>
        <v>0.3</v>
      </c>
      <c r="AX93" s="1068"/>
      <c r="AY93" s="1068"/>
      <c r="AZ93" s="1069"/>
      <c r="BA93" s="1070">
        <f>IF(ISNA(SQRT(SUMSQ(VLOOKUP($B93&amp;"; "&amp;$G$84&amp;", "&amp;$H$85,'FE Energie'!$G:$U,7,FALSE),$AS93))),0,SQRT(SUMSQ(VLOOKUP($B93&amp;"; "&amp;$G$84&amp;", "&amp;$H$85,'FE Energie'!$G:$U,7,FALSE),$AS93)))</f>
        <v>0.3</v>
      </c>
      <c r="BB93" s="1070"/>
      <c r="BC93" s="1071"/>
    </row>
    <row r="94" spans="1:59" s="116" customFormat="1" ht="12.75" hidden="1" customHeight="1" outlineLevel="1">
      <c r="A94" s="114"/>
      <c r="B94" s="143"/>
      <c r="C94" s="144"/>
      <c r="D94" s="315"/>
      <c r="E94" s="155"/>
      <c r="F94" s="144"/>
      <c r="G94" s="144"/>
      <c r="H94" s="144"/>
      <c r="I94" s="144"/>
      <c r="J94" s="155"/>
      <c r="K94" s="155"/>
      <c r="L94" s="156"/>
      <c r="T94" s="1776"/>
      <c r="V94" s="114"/>
      <c r="W94" s="143"/>
      <c r="X94" s="820"/>
      <c r="Y94" s="820"/>
      <c r="Z94" s="1801"/>
      <c r="AA94" s="1801"/>
      <c r="AB94" s="144"/>
      <c r="AC94" s="165"/>
      <c r="AE94" s="564"/>
      <c r="AF94" s="565"/>
      <c r="AG94" s="565"/>
      <c r="AH94" s="565"/>
      <c r="AI94" s="565"/>
      <c r="AJ94" s="565"/>
      <c r="AK94" s="565"/>
      <c r="AL94" s="565"/>
      <c r="AM94" s="566"/>
      <c r="AN94" s="566"/>
      <c r="AO94" s="569"/>
      <c r="AP94" s="570"/>
      <c r="AR94" s="1087"/>
      <c r="AS94" s="1088"/>
      <c r="AT94" s="1088"/>
      <c r="AU94" s="1089"/>
      <c r="AV94" s="1073"/>
      <c r="AW94" s="1073"/>
      <c r="AX94" s="1073"/>
      <c r="AY94" s="1073"/>
      <c r="AZ94" s="1075"/>
      <c r="BA94" s="1076"/>
      <c r="BB94" s="1076"/>
      <c r="BC94" s="1077"/>
    </row>
    <row r="95" spans="1:59" s="116" customFormat="1" ht="12.75" hidden="1" customHeight="1" outlineLevel="1">
      <c r="A95" s="114"/>
      <c r="B95" s="196" t="s">
        <v>348</v>
      </c>
      <c r="C95" s="197"/>
      <c r="D95" s="202">
        <f>SUM(D86:D94)</f>
        <v>0</v>
      </c>
      <c r="E95" s="198"/>
      <c r="F95" s="199"/>
      <c r="G95" s="199"/>
      <c r="H95" s="199"/>
      <c r="I95" s="199"/>
      <c r="J95" s="202"/>
      <c r="K95" s="202">
        <f>SUM(K86:K94)</f>
        <v>0</v>
      </c>
      <c r="L95" s="200">
        <f>SUM(L86:L94)</f>
        <v>0</v>
      </c>
      <c r="T95" s="1310">
        <f>SUM(T91:T94)</f>
        <v>0</v>
      </c>
      <c r="V95" s="114"/>
      <c r="W95" s="1203">
        <f>IF(AC95=0,AC95,AC95/(K95+L95))</f>
        <v>0</v>
      </c>
      <c r="X95" s="1637"/>
      <c r="Y95" s="1637"/>
      <c r="Z95" s="1637">
        <f>SQRT(SUMSQ(Z86:Z94))</f>
        <v>0</v>
      </c>
      <c r="AA95" s="1637">
        <f>SQRT(SUMSQ(AA86:AA94))</f>
        <v>0</v>
      </c>
      <c r="AB95" s="199"/>
      <c r="AC95" s="200">
        <f>SQRT(SUMSQ(AC86:AC94))</f>
        <v>0</v>
      </c>
      <c r="AE95" s="571">
        <f t="shared" ref="AE95:AP95" si="15">SUM(AE86:AE94)</f>
        <v>0</v>
      </c>
      <c r="AF95" s="572">
        <f t="shared" si="15"/>
        <v>0</v>
      </c>
      <c r="AG95" s="572">
        <f t="shared" si="15"/>
        <v>0</v>
      </c>
      <c r="AH95" s="572">
        <f t="shared" si="15"/>
        <v>0</v>
      </c>
      <c r="AI95" s="572">
        <f t="shared" si="15"/>
        <v>0</v>
      </c>
      <c r="AJ95" s="572">
        <f t="shared" si="15"/>
        <v>0</v>
      </c>
      <c r="AK95" s="572">
        <f t="shared" si="15"/>
        <v>0</v>
      </c>
      <c r="AL95" s="572">
        <f t="shared" si="15"/>
        <v>0</v>
      </c>
      <c r="AM95" s="573">
        <f t="shared" si="15"/>
        <v>0</v>
      </c>
      <c r="AN95" s="574">
        <f t="shared" si="15"/>
        <v>0</v>
      </c>
      <c r="AO95" s="572">
        <f t="shared" si="15"/>
        <v>0</v>
      </c>
      <c r="AP95" s="575">
        <f t="shared" si="15"/>
        <v>0</v>
      </c>
      <c r="AQ95" s="114"/>
      <c r="AR95" s="114"/>
      <c r="AS95" s="114"/>
      <c r="AT95" s="114"/>
      <c r="AU95" s="114"/>
      <c r="AV95" s="114"/>
      <c r="AW95" s="114"/>
      <c r="AX95" s="114"/>
      <c r="AY95" s="114"/>
      <c r="AZ95" s="114"/>
      <c r="BA95" s="114"/>
      <c r="BB95" s="114"/>
      <c r="BC95" s="114"/>
    </row>
    <row r="96" spans="1:59" s="116" customFormat="1" ht="12.75" hidden="1" customHeight="1" outlineLevel="1">
      <c r="A96" s="114"/>
      <c r="V96" s="114"/>
      <c r="W96" s="114"/>
      <c r="X96" s="126"/>
      <c r="Y96" s="126"/>
      <c r="Z96" s="114"/>
      <c r="AA96" s="114"/>
      <c r="AB96" s="114"/>
      <c r="AC96" s="114"/>
      <c r="AD96" s="256"/>
      <c r="AE96" s="441"/>
      <c r="AF96" s="441"/>
      <c r="AG96" s="441"/>
      <c r="AH96" s="441"/>
      <c r="AI96" s="441"/>
      <c r="AJ96" s="441"/>
      <c r="AK96" s="441"/>
      <c r="AL96" s="441"/>
      <c r="AM96" s="441"/>
      <c r="AN96" s="444"/>
      <c r="AO96" s="1240"/>
      <c r="AP96" s="576"/>
      <c r="AQ96" s="114"/>
      <c r="AR96" s="114"/>
      <c r="AS96" s="114"/>
      <c r="AT96" s="114"/>
      <c r="AU96" s="114"/>
      <c r="AV96" s="114"/>
      <c r="AW96" s="114"/>
      <c r="AX96" s="114"/>
      <c r="AY96" s="114"/>
      <c r="AZ96" s="114"/>
      <c r="BA96" s="114"/>
      <c r="BB96" s="114"/>
      <c r="BC96" s="114"/>
      <c r="BD96" s="114"/>
      <c r="BE96" s="114"/>
      <c r="BF96" s="114"/>
      <c r="BG96" s="114"/>
    </row>
    <row r="97" spans="1:59" s="116" customFormat="1" ht="12.75" hidden="1" customHeight="1" outlineLevel="1">
      <c r="A97" s="114"/>
      <c r="B97" s="139" t="s">
        <v>792</v>
      </c>
      <c r="C97" s="140"/>
      <c r="D97" s="141"/>
      <c r="E97" s="1808"/>
      <c r="F97" s="141"/>
      <c r="G97" s="141"/>
      <c r="H97" s="141"/>
      <c r="I97" s="141"/>
      <c r="J97" s="141"/>
      <c r="K97" s="141"/>
      <c r="L97" s="142"/>
      <c r="T97" s="1871"/>
      <c r="U97" s="142"/>
      <c r="V97" s="114"/>
      <c r="W97" s="2636" t="s">
        <v>366</v>
      </c>
      <c r="X97" s="2637"/>
      <c r="Y97" s="2637"/>
      <c r="Z97" s="2637"/>
      <c r="AA97" s="2637"/>
      <c r="AB97" s="2637"/>
      <c r="AC97" s="2638"/>
      <c r="AD97" s="1643"/>
      <c r="AE97" s="2640" t="s">
        <v>441</v>
      </c>
      <c r="AF97" s="2640"/>
      <c r="AG97" s="2640"/>
      <c r="AH97" s="2640"/>
      <c r="AI97" s="2640"/>
      <c r="AJ97" s="2640"/>
      <c r="AK97" s="2640"/>
      <c r="AL97" s="2640"/>
      <c r="AM97" s="2640"/>
      <c r="AN97" s="2640"/>
      <c r="AO97" s="2640"/>
      <c r="AP97" s="2641"/>
      <c r="AQ97" s="114"/>
      <c r="AR97" s="114"/>
      <c r="AS97" s="114"/>
      <c r="AT97" s="114"/>
      <c r="AU97" s="114"/>
      <c r="AV97" s="113"/>
      <c r="AW97" s="114"/>
      <c r="AX97" s="114"/>
      <c r="AY97" s="114"/>
      <c r="AZ97" s="114"/>
      <c r="BA97" s="114"/>
      <c r="BB97" s="114"/>
      <c r="BC97" s="114"/>
      <c r="BD97" s="114"/>
      <c r="BE97" s="114"/>
      <c r="BF97" s="114"/>
      <c r="BG97" s="114"/>
    </row>
    <row r="98" spans="1:59" s="116" customFormat="1" ht="12.75" hidden="1" customHeight="1" outlineLevel="1">
      <c r="A98" s="114"/>
      <c r="B98" s="143"/>
      <c r="C98" s="144"/>
      <c r="D98" s="1812" t="s">
        <v>308</v>
      </c>
      <c r="E98" s="1801"/>
      <c r="F98" s="144"/>
      <c r="G98" s="144"/>
      <c r="H98" s="144"/>
      <c r="I98" s="144"/>
      <c r="J98" s="144"/>
      <c r="K98" s="144"/>
      <c r="L98" s="145"/>
      <c r="T98" s="143"/>
      <c r="U98" s="145"/>
      <c r="V98" s="114"/>
      <c r="W98" s="1170"/>
      <c r="X98" s="1813"/>
      <c r="Y98" s="1813"/>
      <c r="Z98" s="1803"/>
      <c r="AA98" s="1803"/>
      <c r="AB98" s="1803"/>
      <c r="AC98" s="142"/>
      <c r="AD98" s="256"/>
      <c r="AE98" s="2643" t="s">
        <v>444</v>
      </c>
      <c r="AF98" s="2643"/>
      <c r="AG98" s="2643"/>
      <c r="AH98" s="2643"/>
      <c r="AI98" s="2643"/>
      <c r="AJ98" s="2643"/>
      <c r="AK98" s="2643"/>
      <c r="AL98" s="2643"/>
      <c r="AM98" s="2643" t="s">
        <v>444</v>
      </c>
      <c r="AN98" s="2644"/>
      <c r="AO98" s="1081"/>
      <c r="AP98" s="578"/>
      <c r="AQ98" s="114"/>
      <c r="AR98" s="2616" t="s">
        <v>1648</v>
      </c>
      <c r="AS98" s="2617"/>
      <c r="AT98" s="2617"/>
      <c r="AU98" s="2617"/>
      <c r="AV98" s="2617"/>
      <c r="AW98" s="2617"/>
      <c r="AX98" s="2617"/>
      <c r="AY98" s="2618"/>
      <c r="AZ98" s="113"/>
      <c r="BA98" s="113"/>
    </row>
    <row r="99" spans="1:59" s="116" customFormat="1" ht="12.75" hidden="1" customHeight="1" outlineLevel="1">
      <c r="A99" s="114"/>
      <c r="B99" s="1800"/>
      <c r="C99" s="1801"/>
      <c r="D99" s="1812" t="s">
        <v>409</v>
      </c>
      <c r="E99" s="147" t="s">
        <v>452</v>
      </c>
      <c r="F99" s="147" t="s">
        <v>343</v>
      </c>
      <c r="G99" s="2626" t="s">
        <v>1681</v>
      </c>
      <c r="H99" s="2628"/>
      <c r="I99" s="2628"/>
      <c r="J99" s="2628"/>
      <c r="K99" s="1812" t="s">
        <v>444</v>
      </c>
      <c r="L99" s="1814" t="s">
        <v>444</v>
      </c>
      <c r="T99" s="536" t="s">
        <v>444</v>
      </c>
      <c r="U99" s="1861" t="s">
        <v>444</v>
      </c>
      <c r="V99" s="114"/>
      <c r="W99" s="1800" t="s">
        <v>316</v>
      </c>
      <c r="X99" s="2629" t="s">
        <v>316</v>
      </c>
      <c r="Y99" s="2630"/>
      <c r="Z99" s="1801" t="s">
        <v>444</v>
      </c>
      <c r="AA99" s="1801" t="s">
        <v>444</v>
      </c>
      <c r="AB99" s="1801"/>
      <c r="AC99" s="1814" t="s">
        <v>444</v>
      </c>
      <c r="AD99" s="256"/>
      <c r="AE99" s="2632" t="s">
        <v>211</v>
      </c>
      <c r="AF99" s="2632"/>
      <c r="AG99" s="2632" t="s">
        <v>442</v>
      </c>
      <c r="AH99" s="2632"/>
      <c r="AI99" s="2632" t="s">
        <v>267</v>
      </c>
      <c r="AJ99" s="2632"/>
      <c r="AK99" s="2632" t="s">
        <v>443</v>
      </c>
      <c r="AL99" s="2632"/>
      <c r="AM99" s="2648" t="s">
        <v>327</v>
      </c>
      <c r="AN99" s="2649"/>
      <c r="AO99" s="2631" t="s">
        <v>636</v>
      </c>
      <c r="AP99" s="2650"/>
      <c r="AQ99" s="114"/>
      <c r="AR99" s="1140" t="s">
        <v>1646</v>
      </c>
      <c r="AS99" s="1870"/>
      <c r="AT99" s="2614" t="s">
        <v>1644</v>
      </c>
      <c r="AU99" s="2615"/>
      <c r="AV99" s="2614" t="s">
        <v>1645</v>
      </c>
      <c r="AW99" s="2615"/>
      <c r="AX99" s="2614" t="s">
        <v>1776</v>
      </c>
      <c r="AY99" s="2615"/>
    </row>
    <row r="100" spans="1:59" s="116" customFormat="1" ht="12.75" hidden="1" customHeight="1" outlineLevel="1">
      <c r="A100" s="114"/>
      <c r="B100" s="536" t="s">
        <v>1773</v>
      </c>
      <c r="C100" s="1801"/>
      <c r="D100" s="1805" t="s">
        <v>444</v>
      </c>
      <c r="E100" s="1811" t="s">
        <v>453</v>
      </c>
      <c r="F100" s="1811" t="s">
        <v>533</v>
      </c>
      <c r="G100" s="1662" t="s">
        <v>1765</v>
      </c>
      <c r="H100" s="1120" t="s">
        <v>1771</v>
      </c>
      <c r="I100" s="1662" t="s">
        <v>885</v>
      </c>
      <c r="J100" s="1662"/>
      <c r="K100" s="1805" t="s">
        <v>411</v>
      </c>
      <c r="L100" s="220" t="s">
        <v>777</v>
      </c>
      <c r="T100" s="1875" t="s">
        <v>885</v>
      </c>
      <c r="U100" s="220" t="s">
        <v>1775</v>
      </c>
      <c r="V100" s="114"/>
      <c r="W100" s="1800" t="s">
        <v>1649</v>
      </c>
      <c r="X100" s="2646" t="s">
        <v>1650</v>
      </c>
      <c r="Y100" s="2647"/>
      <c r="Z100" s="227" t="s">
        <v>411</v>
      </c>
      <c r="AA100" s="1662" t="s">
        <v>777</v>
      </c>
      <c r="AB100" s="1662" t="s">
        <v>1775</v>
      </c>
      <c r="AC100" s="162" t="s">
        <v>327</v>
      </c>
      <c r="AE100" s="1818" t="s">
        <v>411</v>
      </c>
      <c r="AF100" s="1819" t="s">
        <v>777</v>
      </c>
      <c r="AG100" s="1819" t="s">
        <v>411</v>
      </c>
      <c r="AH100" s="1819" t="s">
        <v>777</v>
      </c>
      <c r="AI100" s="1819" t="s">
        <v>411</v>
      </c>
      <c r="AJ100" s="1819" t="s">
        <v>777</v>
      </c>
      <c r="AK100" s="1819" t="s">
        <v>411</v>
      </c>
      <c r="AL100" s="1819" t="s">
        <v>777</v>
      </c>
      <c r="AM100" s="581" t="s">
        <v>411</v>
      </c>
      <c r="AN100" s="582" t="s">
        <v>777</v>
      </c>
      <c r="AO100" s="1818" t="s">
        <v>411</v>
      </c>
      <c r="AP100" s="1820" t="s">
        <v>777</v>
      </c>
      <c r="AQ100" s="114"/>
      <c r="AR100" s="2612" t="s">
        <v>1640</v>
      </c>
      <c r="AS100" s="2613"/>
      <c r="AT100" s="2612" t="s">
        <v>1640</v>
      </c>
      <c r="AU100" s="2613"/>
      <c r="AV100" s="2612" t="s">
        <v>1640</v>
      </c>
      <c r="AW100" s="2613"/>
      <c r="AX100" s="2612" t="s">
        <v>309</v>
      </c>
      <c r="AY100" s="2613"/>
    </row>
    <row r="101" spans="1:59" s="116" customFormat="1" ht="12.75" hidden="1" customHeight="1" outlineLevel="1">
      <c r="A101" s="114"/>
      <c r="B101" s="143" t="s">
        <v>4124</v>
      </c>
      <c r="C101" s="1801"/>
      <c r="D101" s="315">
        <f>K101+L101</f>
        <v>0</v>
      </c>
      <c r="E101" s="117"/>
      <c r="F101" s="117"/>
      <c r="G101" s="223">
        <f>VLOOKUP($B101&amp;"; "&amp;$G$99&amp;", "&amp;G$100,'FE Energie'!$G:$U,9,FALSE)</f>
        <v>1.38E-2</v>
      </c>
      <c r="H101" s="223">
        <f>VLOOKUP($B101&amp;"; "&amp;$G$99&amp;", "&amp;H$100,'FE Energie'!$G:$U,9,FALSE)</f>
        <v>4.07E-2</v>
      </c>
      <c r="I101" s="223">
        <f>VLOOKUP($B101&amp;"; "&amp;$G$99&amp;", "&amp;I$100,'FE Energie'!$G:$U,9,FALSE)</f>
        <v>5.4000000000000003E-3</v>
      </c>
      <c r="J101" s="223"/>
      <c r="K101" s="566">
        <f>IF(ISNA(G101),0,F101*G101)</f>
        <v>0</v>
      </c>
      <c r="L101" s="567">
        <f>F101*H101</f>
        <v>0</v>
      </c>
      <c r="T101" s="1288">
        <f>IF(ISNA(I101),0,F101*I101)</f>
        <v>0</v>
      </c>
      <c r="U101" s="567"/>
      <c r="V101" s="114"/>
      <c r="W101" s="226">
        <f>IF(AC101=0,AC101,AC101/(K101+L101))</f>
        <v>0</v>
      </c>
      <c r="X101" s="343"/>
      <c r="Y101" s="820"/>
      <c r="Z101" s="1801">
        <f>SQRT(SUMSQ(IF(ISNA($F101*G101*AT101),0,$F101*G101*AT101)))</f>
        <v>0</v>
      </c>
      <c r="AA101" s="1801">
        <f>SQRT(SUMSQ(IF(ISNA($F101*H101*AV101),0,$F101*H101*AV101)))</f>
        <v>0</v>
      </c>
      <c r="AB101" s="164"/>
      <c r="AC101" s="152">
        <f>SQRT(SUMSQ(Z101,AA101,AB101))</f>
        <v>0</v>
      </c>
      <c r="AE101" s="564">
        <f t="shared" ref="AE101:AF103" si="16">K101</f>
        <v>0</v>
      </c>
      <c r="AF101" s="565">
        <f t="shared" si="16"/>
        <v>0</v>
      </c>
      <c r="AG101" s="565"/>
      <c r="AH101" s="565"/>
      <c r="AI101" s="565"/>
      <c r="AJ101" s="565"/>
      <c r="AK101" s="565"/>
      <c r="AL101" s="565"/>
      <c r="AM101" s="566">
        <f t="shared" ref="AM101:AN103" si="17">K101</f>
        <v>0</v>
      </c>
      <c r="AN101" s="566">
        <f t="shared" si="17"/>
        <v>0</v>
      </c>
      <c r="AO101" s="564"/>
      <c r="AP101" s="568"/>
      <c r="AQ101" s="114"/>
      <c r="AR101" s="2612">
        <f>IF($X101&lt;&gt;"votre valeur :",IF(ISNA(VLOOKUP($X101,Utilitaires!$N$566:$O$571,2,FALSE)),,VLOOKUP($X101,Utilitaires!$N$566:$O$571,2,FALSE)),$Y101)</f>
        <v>0</v>
      </c>
      <c r="AS101" s="2613"/>
      <c r="AT101" s="2741">
        <f>IF(ISNA(SQRT(SUMSQ(VLOOKUP($B101&amp;"; "&amp;$G$99&amp;", "&amp;$G$100,'FE Energie'!$G:$U,7,FALSE),$AR101))),0,SQRT(SUMSQ(VLOOKUP($B101&amp;"; "&amp;$G$99&amp;", "&amp;$G$100,'FE Energie'!$G:$U,7,FALSE),$AR101)))</f>
        <v>0.1</v>
      </c>
      <c r="AU101" s="2742"/>
      <c r="AV101" s="2741">
        <f>IF(ISNA(SQRT(SUMSQ(VLOOKUP($B101&amp;"; "&amp;$G$99&amp;", "&amp;$H$100,'FE Energie'!$G:$U,7,FALSE),$AR101))),0,SQRT(SUMSQ(VLOOKUP($B101&amp;"; "&amp;$G$99&amp;", "&amp;$H$100,'FE Energie'!$G:$U,7,FALSE),$AR101)))</f>
        <v>0.1</v>
      </c>
      <c r="AW101" s="2742"/>
      <c r="AX101" s="2612"/>
      <c r="AY101" s="2613"/>
    </row>
    <row r="102" spans="1:59" s="116" customFormat="1" ht="12.75" hidden="1" customHeight="1" outlineLevel="1">
      <c r="A102" s="114"/>
      <c r="B102" s="143" t="s">
        <v>4125</v>
      </c>
      <c r="C102" s="1801"/>
      <c r="D102" s="315">
        <f>K102+L102</f>
        <v>0</v>
      </c>
      <c r="E102" s="120"/>
      <c r="F102" s="120"/>
      <c r="G102" s="223">
        <f>VLOOKUP($B102&amp;"; "&amp;$G$99&amp;", "&amp;G$100,'FE Energie'!$G:$U,9,FALSE)</f>
        <v>1.35E-2</v>
      </c>
      <c r="H102" s="223">
        <f>VLOOKUP($B102&amp;"; "&amp;$G$99&amp;", "&amp;H$100,'FE Energie'!$G:$U,9,FALSE)</f>
        <v>4.1799999999999997E-2</v>
      </c>
      <c r="I102" s="223">
        <f>VLOOKUP($B102&amp;"; "&amp;$G$99&amp;", "&amp;I$100,'FE Energie'!$G:$U,9,FALSE)</f>
        <v>5.4000000000000003E-3</v>
      </c>
      <c r="J102" s="223"/>
      <c r="K102" s="566">
        <f t="shared" ref="K102:K103" si="18">IF(ISNA(G102),0,F102*G102)</f>
        <v>0</v>
      </c>
      <c r="L102" s="567">
        <f>F102*H102</f>
        <v>0</v>
      </c>
      <c r="T102" s="1288">
        <f t="shared" ref="T102:T103" si="19">IF(ISNA(I102),0,F102*I102)</f>
        <v>0</v>
      </c>
      <c r="U102" s="567"/>
      <c r="V102" s="114"/>
      <c r="W102" s="226">
        <f>IF(AC102=0,AC102,AC102/(K102+L102))</f>
        <v>0</v>
      </c>
      <c r="X102" s="344"/>
      <c r="Y102" s="820"/>
      <c r="Z102" s="1801">
        <f>SQRT(SUMSQ(IF(ISNA($F102*G102*AT102),0,$F102*G102*AT102)))</f>
        <v>0</v>
      </c>
      <c r="AA102" s="1801">
        <f>SQRT(SUMSQ(IF(ISNA($F102*H102*AV102),0,$F102*H102*AV102)))</f>
        <v>0</v>
      </c>
      <c r="AB102" s="164"/>
      <c r="AC102" s="152">
        <f>SQRT(SUMSQ(Z102,AA102,AB102))</f>
        <v>0</v>
      </c>
      <c r="AE102" s="564">
        <f t="shared" si="16"/>
        <v>0</v>
      </c>
      <c r="AF102" s="565">
        <f t="shared" si="16"/>
        <v>0</v>
      </c>
      <c r="AG102" s="565"/>
      <c r="AH102" s="565"/>
      <c r="AI102" s="565"/>
      <c r="AJ102" s="565"/>
      <c r="AK102" s="565"/>
      <c r="AL102" s="565"/>
      <c r="AM102" s="566">
        <f t="shared" si="17"/>
        <v>0</v>
      </c>
      <c r="AN102" s="566">
        <f t="shared" si="17"/>
        <v>0</v>
      </c>
      <c r="AO102" s="564"/>
      <c r="AP102" s="568"/>
      <c r="AQ102" s="114"/>
      <c r="AR102" s="2612">
        <f>IF($X102&lt;&gt;"votre valeur :",IF(ISNA(VLOOKUP($X102,Utilitaires!$N$566:$O$571,2,FALSE)),,VLOOKUP($X102,Utilitaires!$N$566:$O$571,2,FALSE)),$Y102)</f>
        <v>0</v>
      </c>
      <c r="AS102" s="2613"/>
      <c r="AT102" s="2741">
        <f>IF(ISNA(SQRT(SUMSQ(VLOOKUP($B102&amp;"; "&amp;$G$99&amp;", "&amp;$G$100,'FE Energie'!$G:$U,7,FALSE),$AR102))),0,SQRT(SUMSQ(VLOOKUP($B102&amp;"; "&amp;$G$99&amp;", "&amp;$G$100,'FE Energie'!$G:$U,7,FALSE),$AR102)))</f>
        <v>0.1</v>
      </c>
      <c r="AU102" s="2742"/>
      <c r="AV102" s="2741">
        <f>IF(ISNA(SQRT(SUMSQ(VLOOKUP($B102&amp;"; "&amp;$G$99&amp;", "&amp;$H$100,'FE Energie'!$G:$U,7,FALSE),$AR102))),0,SQRT(SUMSQ(VLOOKUP($B102&amp;"; "&amp;$G$99&amp;", "&amp;$H$100,'FE Energie'!$G:$U,7,FALSE),$AR102)))</f>
        <v>0.1</v>
      </c>
      <c r="AW102" s="2742"/>
      <c r="AX102" s="2612"/>
      <c r="AY102" s="2613"/>
    </row>
    <row r="103" spans="1:59" s="116" customFormat="1" ht="12.75" hidden="1" customHeight="1" outlineLevel="1">
      <c r="A103" s="114"/>
      <c r="B103" s="143" t="s">
        <v>3256</v>
      </c>
      <c r="C103" s="1801"/>
      <c r="D103" s="315">
        <f>K103+L103</f>
        <v>0</v>
      </c>
      <c r="E103" s="123"/>
      <c r="F103" s="123"/>
      <c r="G103" s="223">
        <f>VLOOKUP($B103&amp;"; "&amp;$G$99&amp;", "&amp;G$100,'FE Energie'!$G:$U,9,FALSE)</f>
        <v>1.2500000000000001E-2</v>
      </c>
      <c r="H103" s="223">
        <f>VLOOKUP($B103&amp;"; "&amp;$G$99&amp;", "&amp;H$100,'FE Energie'!$G:$U,9,FALSE)</f>
        <v>3.95E-2</v>
      </c>
      <c r="I103" s="223">
        <f>VLOOKUP($B103&amp;"; "&amp;$G$99&amp;", "&amp;I$100,'FE Energie'!$G:$U,9,FALSE)</f>
        <v>5.1000000000000004E-3</v>
      </c>
      <c r="J103" s="223"/>
      <c r="K103" s="566">
        <f t="shared" si="18"/>
        <v>0</v>
      </c>
      <c r="L103" s="567">
        <f>F103*H103</f>
        <v>0</v>
      </c>
      <c r="T103" s="1288">
        <f t="shared" si="19"/>
        <v>0</v>
      </c>
      <c r="U103" s="567"/>
      <c r="V103" s="114"/>
      <c r="W103" s="226">
        <f>IF(AC103=0,AC103,AC103/(K103+L103))</f>
        <v>0</v>
      </c>
      <c r="X103" s="345"/>
      <c r="Y103" s="820"/>
      <c r="Z103" s="1801">
        <f>SQRT(SUMSQ(IF(ISNA($F103*G103*AT103),0,$F103*G103*AT103)))</f>
        <v>0</v>
      </c>
      <c r="AA103" s="1801">
        <f>SQRT(SUMSQ(IF(ISNA($F103*H103*AV103),0,$F103*H103*AV103)))</f>
        <v>0</v>
      </c>
      <c r="AB103" s="164"/>
      <c r="AC103" s="152">
        <f>SQRT(SUMSQ(Z103,AA103,AB103))</f>
        <v>0</v>
      </c>
      <c r="AE103" s="564">
        <f t="shared" si="16"/>
        <v>0</v>
      </c>
      <c r="AF103" s="565">
        <f t="shared" si="16"/>
        <v>0</v>
      </c>
      <c r="AG103" s="565"/>
      <c r="AH103" s="565"/>
      <c r="AI103" s="565"/>
      <c r="AJ103" s="565"/>
      <c r="AK103" s="565"/>
      <c r="AL103" s="565"/>
      <c r="AM103" s="566">
        <f t="shared" si="17"/>
        <v>0</v>
      </c>
      <c r="AN103" s="567">
        <f t="shared" si="17"/>
        <v>0</v>
      </c>
      <c r="AO103" s="564"/>
      <c r="AP103" s="568"/>
      <c r="AQ103" s="114"/>
      <c r="AR103" s="2612">
        <f>IF($X103&lt;&gt;"votre valeur :",IF(ISNA(VLOOKUP($X103,Utilitaires!$N$566:$O$571,2,FALSE)),,VLOOKUP($X103,Utilitaires!$N$566:$O$571,2,FALSE)),$Y103)</f>
        <v>0</v>
      </c>
      <c r="AS103" s="2613"/>
      <c r="AT103" s="2741">
        <f>IF(ISNA(SQRT(SUMSQ(VLOOKUP($B103&amp;"; "&amp;$G$99&amp;", "&amp;$G$100,'FE Energie'!$G:$U,7,FALSE),$AR103))),0,SQRT(SUMSQ(VLOOKUP($B103&amp;"; "&amp;$G$99&amp;", "&amp;$G$100,'FE Energie'!$G:$U,7,FALSE),$AR103)))</f>
        <v>0.1</v>
      </c>
      <c r="AU103" s="2742"/>
      <c r="AV103" s="2741">
        <f>IF(ISNA(SQRT(SUMSQ(VLOOKUP($B103&amp;"; "&amp;$G$99&amp;", "&amp;$H$100,'FE Energie'!$G:$U,7,FALSE),$AR103))),0,SQRT(SUMSQ(VLOOKUP($B103&amp;"; "&amp;$G$99&amp;", "&amp;$H$100,'FE Energie'!$G:$U,7,FALSE),$AR103)))</f>
        <v>0.1</v>
      </c>
      <c r="AW103" s="2742"/>
      <c r="AX103" s="2612"/>
      <c r="AY103" s="2613"/>
    </row>
    <row r="104" spans="1:59" s="116" customFormat="1" ht="12.75" hidden="1" customHeight="1" outlineLevel="1">
      <c r="A104" s="114"/>
      <c r="B104" s="536" t="s">
        <v>1774</v>
      </c>
      <c r="C104" s="1801"/>
      <c r="D104" s="315"/>
      <c r="E104" s="144"/>
      <c r="F104" s="144"/>
      <c r="G104" s="1122" t="s">
        <v>411</v>
      </c>
      <c r="H104" s="223"/>
      <c r="I104" s="223"/>
      <c r="J104" s="1123" t="s">
        <v>1764</v>
      </c>
      <c r="K104" s="566"/>
      <c r="L104" s="567"/>
      <c r="T104" s="1288"/>
      <c r="U104" s="567"/>
      <c r="V104" s="114"/>
      <c r="W104" s="226"/>
      <c r="X104" s="820"/>
      <c r="Y104" s="820"/>
      <c r="Z104" s="1801"/>
      <c r="AA104" s="1801"/>
      <c r="AB104" s="164"/>
      <c r="AC104" s="152"/>
      <c r="AE104" s="564"/>
      <c r="AF104" s="565"/>
      <c r="AG104" s="565"/>
      <c r="AH104" s="565"/>
      <c r="AI104" s="565"/>
      <c r="AJ104" s="565"/>
      <c r="AK104" s="565"/>
      <c r="AL104" s="565"/>
      <c r="AM104" s="566"/>
      <c r="AN104" s="567"/>
      <c r="AO104" s="564"/>
      <c r="AP104" s="568"/>
      <c r="AQ104" s="114"/>
      <c r="AR104" s="2612"/>
      <c r="AS104" s="2613"/>
      <c r="AT104" s="2741"/>
      <c r="AU104" s="2742"/>
      <c r="AV104" s="2741"/>
      <c r="AW104" s="2742"/>
      <c r="AX104" s="2612"/>
      <c r="AY104" s="2613"/>
    </row>
    <row r="105" spans="1:59" s="116" customFormat="1" ht="12.75" hidden="1" customHeight="1" outlineLevel="1">
      <c r="A105" s="114"/>
      <c r="B105" s="143" t="s">
        <v>5050</v>
      </c>
      <c r="C105" s="1801"/>
      <c r="D105" s="315">
        <f>K105+L105</f>
        <v>0</v>
      </c>
      <c r="E105" s="1121"/>
      <c r="F105" s="1121"/>
      <c r="G105" s="223">
        <f>IF(ISNA(VLOOKUP($B105&amp;"; "&amp;$G$99&amp;", "&amp;G$104,'FE Energie'!$G:$U,9,FALSE)),0,VLOOKUP($B105&amp;"; "&amp;$G$99&amp;", "&amp;G$104,'FE Energie'!$G:$U,9,FALSE))</f>
        <v>3.9E-2</v>
      </c>
      <c r="H105" s="223">
        <f>VLOOKUP($B105&amp;"; "&amp;$G$99&amp;", "&amp;H$100,'FE Energie'!$G:$U,9,FALSE)</f>
        <v>0.314</v>
      </c>
      <c r="I105" s="223">
        <f>IF(ISNA(VLOOKUP($B105&amp;"; "&amp;$G$99&amp;", "&amp;I$100,'FE Energie'!$G:$U,9,FALSE)),$G$190*SUM(G105,H105,J105),VLOOKUP($B105&amp;"; "&amp;$G$99&amp;", "&amp;I$100,'FE Energie'!$G:$U,9,FALSE))</f>
        <v>8.5445096322241676E-2</v>
      </c>
      <c r="J105" s="223">
        <f>IF(ISNA(VLOOKUP($B105&amp;"; "&amp;$G$99&amp;", "&amp;J$104,'FE Energie'!$G:$U,9,FALSE)),0,VLOOKUP($B105&amp;"; "&amp;$G$99&amp;", "&amp;J$104,'FE Energie'!$G:$U,9,FALSE))</f>
        <v>0.60365000000000002</v>
      </c>
      <c r="K105" s="566">
        <f>F105*G105</f>
        <v>0</v>
      </c>
      <c r="L105" s="567">
        <f>F105*H105</f>
        <v>0</v>
      </c>
      <c r="T105" s="1288">
        <f>IF(ISNA(F105*I105),0,F105*I105)</f>
        <v>0</v>
      </c>
      <c r="U105" s="567">
        <f>F105*J105</f>
        <v>0</v>
      </c>
      <c r="V105" s="114"/>
      <c r="W105" s="226">
        <f>IF(AC105=0,AC105,AC105/(K105+L105+U105))</f>
        <v>0</v>
      </c>
      <c r="X105" s="343"/>
      <c r="Y105" s="820"/>
      <c r="Z105" s="1801">
        <f>SQRT(SUMSQ(IF(ISNA($F105*G105*AT105),0,$F105*G105*AT105)))</f>
        <v>0</v>
      </c>
      <c r="AA105" s="1801">
        <f>SQRT(SUMSQ(IF(ISNA($F105*H105*AV105),0,$F105*H105*AV105)))</f>
        <v>0</v>
      </c>
      <c r="AB105" s="164">
        <f>SQRT(SUMSQ(IF(ISNA($F105*J105*AX105),0,$F105*J105*AX105)))</f>
        <v>0</v>
      </c>
      <c r="AC105" s="152">
        <f>SQRT(SUMSQ(Z105,AA105,AB105))</f>
        <v>0</v>
      </c>
      <c r="AE105" s="564">
        <f>$F105*IF(ISNA(VLOOKUP($B105&amp;"; "&amp;$G$99&amp;", "&amp;G$104,'FE Energie'!$G:$U,10,FALSE)),0,VLOOKUP($B105&amp;"; "&amp;$G$99&amp;", "&amp;G$104,'FE Energie'!$G:$U,10,FALSE))</f>
        <v>0</v>
      </c>
      <c r="AF105" s="565">
        <f>$F105*IF(ISNA(VLOOKUP($B105&amp;"; "&amp;$G$99&amp;", "&amp;H$100,'FE Energie'!$G:$U,10,FALSE)),0,VLOOKUP($B105&amp;"; "&amp;$G$99&amp;", "&amp;H$100,'FE Energie'!$G:$U,10,FALSE))</f>
        <v>0</v>
      </c>
      <c r="AG105" s="565">
        <f>$F105*IF(ISNA(VLOOKUP($B105&amp;"; "&amp;$G$99&amp;", "&amp;G$104,'FE Energie'!$G:$U,11,FALSE)),0,VLOOKUP($B105&amp;"; "&amp;$G$99&amp;", "&amp;G$104,'FE Energie'!$G:$U,11,FALSE))+$F105*IF(ISNA(VLOOKUP($B105&amp;"; "&amp;$G$99&amp;", "&amp;G$104,'FE Energie'!$G:$U,12,FALSE)),0,VLOOKUP($B105&amp;"; "&amp;$G$99&amp;", "&amp;G$104,'FE Energie'!$G:$U,12,FALSE))</f>
        <v>0</v>
      </c>
      <c r="AH105" s="565">
        <f>$F105*IF(ISNA(VLOOKUP($B105&amp;"; "&amp;$G$99&amp;", "&amp;H$100,'FE Energie'!$G:$U,11,FALSE)),0,VLOOKUP($B105&amp;"; "&amp;$G$99&amp;", "&amp;H$100,'FE Energie'!$G:$U,11,FALSE))+$F105*IF(ISNA(VLOOKUP($B105&amp;"; "&amp;$G$99&amp;", "&amp;H$100,'FE Energie'!$G:$U,12,FALSE)),0,VLOOKUP($B105&amp;"; "&amp;$G$99&amp;", "&amp;H$100,'FE Energie'!$G:$U,12,FALSE))</f>
        <v>0</v>
      </c>
      <c r="AI105" s="565">
        <f>$F105*IF(ISNA(VLOOKUP($B105&amp;"; "&amp;$G$99&amp;", "&amp;G$104,'FE Energie'!$G:$U,13,FALSE)),0,VLOOKUP($B105&amp;"; "&amp;$G$99&amp;", "&amp;G$104,'FE Energie'!$G:$U,13,FALSE))</f>
        <v>0</v>
      </c>
      <c r="AJ105" s="565">
        <f>$F105*IF(ISNA(VLOOKUP($B105&amp;"; "&amp;$G$99&amp;", "&amp;H$100,'FE Energie'!$G:$U,13,FALSE)),0,VLOOKUP($B105&amp;"; "&amp;$G$99&amp;", "&amp;H$100,'FE Energie'!$G:$U,13,FALSE))</f>
        <v>0</v>
      </c>
      <c r="AK105" s="565">
        <f>$F105*IF(ISNA(VLOOKUP($B105&amp;"; "&amp;$G$99&amp;", "&amp;G$104,'FE Energie'!$G:$U,14,FALSE)),0,VLOOKUP($B105&amp;"; "&amp;$G$99&amp;", "&amp;G$104,'FE Energie'!$G:$U,14,FALSE))</f>
        <v>0</v>
      </c>
      <c r="AL105" s="565">
        <f>$F105*IF(ISNA(VLOOKUP($B105&amp;"; "&amp;$G$99&amp;", "&amp;H$100,'FE Energie'!$G:$U,14,FALSE)),0,VLOOKUP($B105&amp;"; "&amp;$G$99&amp;", "&amp;H$100,'FE Energie'!$G:$U,14,FALSE))</f>
        <v>0</v>
      </c>
      <c r="AM105" s="566">
        <f t="shared" ref="AM105:AN107" si="20">SUM(AE105,AG105,AI105,AK105)</f>
        <v>0</v>
      </c>
      <c r="AN105" s="567">
        <f t="shared" si="20"/>
        <v>0</v>
      </c>
      <c r="AO105" s="564">
        <f>$F105*IF(ISNA(VLOOKUP($B105&amp;"; "&amp;$G$99&amp;", "&amp;G$104,'FE Energie'!$G:$U,15,FALSE)),0,VLOOKUP($B105&amp;"; "&amp;$G$99&amp;", "&amp;G$104,'FE Energie'!$G:$U,15,FALSE))</f>
        <v>0</v>
      </c>
      <c r="AP105" s="568">
        <f>$F105*IF(ISNA(VLOOKUP($B105&amp;"; "&amp;$G$99&amp;", "&amp;H$100,'FE Energie'!$G:$U,15,FALSE)),0,VLOOKUP($B105&amp;"; "&amp;$G$99&amp;", "&amp;H$100,'FE Energie'!$G:$U,15,FALSE))</f>
        <v>0</v>
      </c>
      <c r="AQ105" s="114"/>
      <c r="AR105" s="2612">
        <f>IF($X105&lt;&gt;"votre valeur :",IF(ISNA(VLOOKUP($X105,Utilitaires!$N$566:$O$571,2,FALSE)),,VLOOKUP($X105,Utilitaires!$N$566:$O$571,2,FALSE)),$Y105)</f>
        <v>0</v>
      </c>
      <c r="AS105" s="2613"/>
      <c r="AT105" s="2741">
        <f>IF(ISNA(SQRT(SUMSQ(VLOOKUP($B105&amp;"; "&amp;$G$99&amp;", "&amp;$G$104,'FE Energie'!$G:$U,7,FALSE),$AR105))),0,SQRT(SUMSQ(VLOOKUP($B105&amp;"; "&amp;$G$99&amp;", "&amp;$G$104,'FE Energie'!$G:$U,7,FALSE),$AR105)))</f>
        <v>0.15</v>
      </c>
      <c r="AU105" s="2742"/>
      <c r="AV105" s="2741">
        <f>IF(ISNA(SQRT(SUMSQ(VLOOKUP($B105&amp;"; "&amp;$G$99&amp;", "&amp;$H$100,'FE Energie'!$G:$U,7,FALSE),$AR105))),0,SQRT(SUMSQ(VLOOKUP($B105&amp;"; "&amp;$G$99&amp;", "&amp;$H$100,'FE Energie'!$G:$U,7,FALSE),$AR105)))</f>
        <v>0.15</v>
      </c>
      <c r="AW105" s="2742"/>
      <c r="AX105" s="2741">
        <f>IF(ISNA(SQRT(SUMSQ(VLOOKUP($B105&amp;"; "&amp;$G$99&amp;", "&amp;$J$104,'FE Energie'!$G:$U,7,FALSE),$AR105))),0,SQRT(SUMSQ(VLOOKUP($B105&amp;"; "&amp;$G$99&amp;", "&amp;$J$104,'FE Energie'!$G:$U,7,FALSE),$AR105)))</f>
        <v>0.15</v>
      </c>
      <c r="AY105" s="2742"/>
    </row>
    <row r="106" spans="1:59" s="116" customFormat="1" ht="12.75" hidden="1" customHeight="1" outlineLevel="1">
      <c r="A106" s="114"/>
      <c r="B106" s="143" t="s">
        <v>5077</v>
      </c>
      <c r="C106" s="1801"/>
      <c r="D106" s="315">
        <f>K106+L106</f>
        <v>0</v>
      </c>
      <c r="E106" s="398"/>
      <c r="F106" s="398"/>
      <c r="G106" s="223">
        <f>IF(ISNA(VLOOKUP($B106&amp;"; "&amp;$G$99&amp;", "&amp;G$104,'FE Energie'!$G:$U,9,FALSE)),0,VLOOKUP($B106&amp;"; "&amp;$G$99&amp;", "&amp;G$104,'FE Energie'!$G:$U,9,FALSE))</f>
        <v>0.11600000000000001</v>
      </c>
      <c r="H106" s="223">
        <f>VLOOKUP($B106&amp;"; "&amp;$G$99&amp;", "&amp;H$100,'FE Energie'!$G:$U,9,FALSE)</f>
        <v>0.71599999999999997</v>
      </c>
      <c r="I106" s="223">
        <f>IF(ISNA(VLOOKUP($B106&amp;"; "&amp;$G$99&amp;", "&amp;I$100,'FE Energie'!$G:$U,9,FALSE)),$G$190*SUM(G106,H106,J106),VLOOKUP($B106&amp;"; "&amp;$G$99&amp;", "&amp;I$100,'FE Energie'!$G:$U,9,FALSE))</f>
        <v>7.4983397548161107E-2</v>
      </c>
      <c r="J106" s="223">
        <f>IF(ISNA(VLOOKUP($B106&amp;"; "&amp;$G$99&amp;", "&amp;J$104,'FE Energie'!$G:$U,9,FALSE)),0,VLOOKUP($B106&amp;"; "&amp;$G$99&amp;", "&amp;J$104,'FE Energie'!$G:$U,9,FALSE))</f>
        <v>7.5199999999999998E-3</v>
      </c>
      <c r="K106" s="566">
        <f>F106*G106</f>
        <v>0</v>
      </c>
      <c r="L106" s="567">
        <f>F106*H106</f>
        <v>0</v>
      </c>
      <c r="T106" s="1288">
        <f>IF(ISNA(F106*I106),0,F106*I106)</f>
        <v>0</v>
      </c>
      <c r="U106" s="567">
        <f>F106*J106</f>
        <v>0</v>
      </c>
      <c r="V106" s="114"/>
      <c r="W106" s="226">
        <f>IF(AC106=0,AC106,AC106/(K106+L106+U106))</f>
        <v>0</v>
      </c>
      <c r="X106" s="344"/>
      <c r="Y106" s="820"/>
      <c r="Z106" s="1801">
        <f>SQRT(SUMSQ(IF(ISNA($F106*G106*AT106),0,$F106*G106*AT106)))</f>
        <v>0</v>
      </c>
      <c r="AA106" s="1801">
        <f>SQRT(SUMSQ(IF(ISNA($F106*H106*AV106),0,$F106*H106*AV106)))</f>
        <v>0</v>
      </c>
      <c r="AB106" s="164">
        <f>SQRT(SUMSQ(IF(ISNA($F106*J106*AX106),0,$F106*J106*AX106)))</f>
        <v>0</v>
      </c>
      <c r="AC106" s="152">
        <f>SQRT(SUMSQ(Z106,AA106,AB106))</f>
        <v>0</v>
      </c>
      <c r="AE106" s="564">
        <f>$F106*IF(ISNA(VLOOKUP($B106&amp;"; "&amp;$G$99&amp;", "&amp;G$104,'FE Energie'!$G:$U,10,FALSE)),0,VLOOKUP($B106&amp;"; "&amp;$G$99&amp;", "&amp;G$104,'FE Energie'!$G:$U,10,FALSE))</f>
        <v>0</v>
      </c>
      <c r="AF106" s="565">
        <f>$F106*IF(ISNA(VLOOKUP($B106&amp;"; "&amp;$G$99&amp;", "&amp;H$100,'FE Energie'!$G:$U,10,FALSE)),0,VLOOKUP($B106&amp;"; "&amp;$G$99&amp;", "&amp;H$100,'FE Energie'!$G:$U,10,FALSE))</f>
        <v>0</v>
      </c>
      <c r="AG106" s="565">
        <f>$F106*IF(ISNA(VLOOKUP($B106&amp;"; "&amp;$G$99&amp;", "&amp;G$104,'FE Energie'!$G:$U,11,FALSE)),0,VLOOKUP($B106&amp;"; "&amp;$G$99&amp;", "&amp;G$104,'FE Energie'!$G:$U,11,FALSE))+$F106*IF(ISNA(VLOOKUP($B106&amp;"; "&amp;$G$99&amp;", "&amp;G$104,'FE Energie'!$G:$U,12,FALSE)),0,VLOOKUP($B106&amp;"; "&amp;$G$99&amp;", "&amp;G$104,'FE Energie'!$G:$U,12,FALSE))</f>
        <v>0</v>
      </c>
      <c r="AH106" s="565">
        <f>$F106*IF(ISNA(VLOOKUP($B106&amp;"; "&amp;$G$99&amp;", "&amp;H$100,'FE Energie'!$G:$U,11,FALSE)),0,VLOOKUP($B106&amp;"; "&amp;$G$99&amp;", "&amp;H$100,'FE Energie'!$G:$U,11,FALSE))+$F106*IF(ISNA(VLOOKUP($B106&amp;"; "&amp;$G$99&amp;", "&amp;H$100,'FE Energie'!$G:$U,12,FALSE)),0,VLOOKUP($B106&amp;"; "&amp;$G$99&amp;", "&amp;H$100,'FE Energie'!$G:$U,12,FALSE))</f>
        <v>0</v>
      </c>
      <c r="AI106" s="565">
        <f>$F106*IF(ISNA(VLOOKUP($B106&amp;"; "&amp;$G$99&amp;", "&amp;G$104,'FE Energie'!$G:$U,13,FALSE)),0,VLOOKUP($B106&amp;"; "&amp;$G$99&amp;", "&amp;G$104,'FE Energie'!$G:$U,13,FALSE))</f>
        <v>0</v>
      </c>
      <c r="AJ106" s="565">
        <f>$F106*IF(ISNA(VLOOKUP($B106&amp;"; "&amp;$G$99&amp;", "&amp;H$100,'FE Energie'!$G:$U,13,FALSE)),0,VLOOKUP($B106&amp;"; "&amp;$G$99&amp;", "&amp;H$100,'FE Energie'!$G:$U,13,FALSE))</f>
        <v>0</v>
      </c>
      <c r="AK106" s="565">
        <f>$F106*IF(ISNA(VLOOKUP($B106&amp;"; "&amp;$G$99&amp;", "&amp;G$104,'FE Energie'!$G:$U,14,FALSE)),0,VLOOKUP($B106&amp;"; "&amp;$G$99&amp;", "&amp;G$104,'FE Energie'!$G:$U,14,FALSE))</f>
        <v>0</v>
      </c>
      <c r="AL106" s="565">
        <f>$F106*IF(ISNA(VLOOKUP($B106&amp;"; "&amp;$G$99&amp;", "&amp;H$100,'FE Energie'!$G:$U,14,FALSE)),0,VLOOKUP($B106&amp;"; "&amp;$G$99&amp;", "&amp;H$100,'FE Energie'!$G:$U,14,FALSE))</f>
        <v>0</v>
      </c>
      <c r="AM106" s="566">
        <f t="shared" si="20"/>
        <v>0</v>
      </c>
      <c r="AN106" s="567">
        <f t="shared" si="20"/>
        <v>0</v>
      </c>
      <c r="AO106" s="564">
        <f>$F106*IF(ISNA(VLOOKUP($B106&amp;"; "&amp;$G$99&amp;", "&amp;G$104,'FE Energie'!$G:$U,15,FALSE)),0,VLOOKUP($B106&amp;"; "&amp;$G$99&amp;", "&amp;G$104,'FE Energie'!$G:$U,15,FALSE))</f>
        <v>0</v>
      </c>
      <c r="AP106" s="568">
        <f>$F106*IF(ISNA(VLOOKUP($B106&amp;"; "&amp;$G$99&amp;", "&amp;H$100,'FE Energie'!$G:$U,15,FALSE)),0,VLOOKUP($B106&amp;"; "&amp;$G$99&amp;", "&amp;H$100,'FE Energie'!$G:$U,15,FALSE))</f>
        <v>0</v>
      </c>
      <c r="AQ106" s="114"/>
      <c r="AR106" s="2612">
        <f>IF($X106&lt;&gt;"votre valeur :",IF(ISNA(VLOOKUP($X106,Utilitaires!$N$566:$O$571,2,FALSE)),,VLOOKUP($X106,Utilitaires!$N$566:$O$571,2,FALSE)),$Y106)</f>
        <v>0</v>
      </c>
      <c r="AS106" s="2613"/>
      <c r="AT106" s="2741">
        <f>IF(ISNA(SQRT(SUMSQ(VLOOKUP($B106&amp;"; "&amp;$G$99&amp;", "&amp;$G$104,'FE Energie'!$G:$U,7,FALSE),$AR106))),0,SQRT(SUMSQ(VLOOKUP($B106&amp;"; "&amp;$G$99&amp;", "&amp;$G$104,'FE Energie'!$G:$U,7,FALSE),$AR106)))</f>
        <v>0.15</v>
      </c>
      <c r="AU106" s="2742"/>
      <c r="AV106" s="2741">
        <f>IF(ISNA(SQRT(SUMSQ(VLOOKUP($B106&amp;"; "&amp;$G$99&amp;", "&amp;$H$100,'FE Energie'!$G:$U,7,FALSE),$AR106))),0,SQRT(SUMSQ(VLOOKUP($B106&amp;"; "&amp;$G$99&amp;", "&amp;$H$100,'FE Energie'!$G:$U,7,FALSE),$AR106)))</f>
        <v>0.15</v>
      </c>
      <c r="AW106" s="2742"/>
      <c r="AX106" s="2741">
        <f>IF(ISNA(SQRT(SUMSQ(VLOOKUP($B106&amp;"; "&amp;$G$99&amp;", "&amp;$J$104,'FE Energie'!$G:$U,7,FALSE),$AR106))),0,SQRT(SUMSQ(VLOOKUP($B106&amp;"; "&amp;$G$99&amp;", "&amp;$J$104,'FE Energie'!$G:$U,7,FALSE),$AR106)))</f>
        <v>0.15</v>
      </c>
      <c r="AY106" s="2742"/>
    </row>
    <row r="107" spans="1:59" s="116" customFormat="1" ht="12.75" hidden="1" customHeight="1" outlineLevel="1">
      <c r="A107" s="114"/>
      <c r="B107" s="143" t="s">
        <v>5076</v>
      </c>
      <c r="C107" s="1801"/>
      <c r="D107" s="315">
        <f>K107+L107</f>
        <v>0</v>
      </c>
      <c r="E107" s="123"/>
      <c r="F107" s="123"/>
      <c r="G107" s="223">
        <f>IF(ISNA(VLOOKUP($B107&amp;"; "&amp;$G$99&amp;", "&amp;G$104,'FE Energie'!$G:$U,9,FALSE)),0,VLOOKUP($B107&amp;"; "&amp;$G$99&amp;", "&amp;G$104,'FE Energie'!$G:$U,9,FALSE))</f>
        <v>8.2900000000000001E-2</v>
      </c>
      <c r="H107" s="223">
        <f>VLOOKUP($B107&amp;"; "&amp;$G$99&amp;", "&amp;H$100,'FE Energie'!$G:$U,9,FALSE)</f>
        <v>0.41099999999999998</v>
      </c>
      <c r="I107" s="223">
        <f>IF(ISNA(VLOOKUP($B107&amp;"; "&amp;$G$99&amp;", "&amp;I$100,'FE Energie'!$G:$U,9,FALSE)),$G$190*SUM(G107,H107,J107),VLOOKUP($B107&amp;"; "&amp;$G$99&amp;", "&amp;I$100,'FE Energie'!$G:$U,9,FALSE))</f>
        <v>4.9299999999999997E-2</v>
      </c>
      <c r="J107" s="223">
        <f>IF(ISNA(VLOOKUP($B107&amp;"; "&amp;$G$99&amp;", "&amp;J$104,'FE Energie'!$G:$U,9,FALSE)),0,VLOOKUP($B107&amp;"; "&amp;$G$99&amp;", "&amp;J$104,'FE Energie'!$G:$U,9,FALSE))</f>
        <v>0</v>
      </c>
      <c r="K107" s="566">
        <f>F107*G107</f>
        <v>0</v>
      </c>
      <c r="L107" s="567">
        <f>F107*H107</f>
        <v>0</v>
      </c>
      <c r="T107" s="1288">
        <f>IF(ISNA(F107*I107),0,F107*I107)</f>
        <v>0</v>
      </c>
      <c r="U107" s="567">
        <f>F107*J107</f>
        <v>0</v>
      </c>
      <c r="V107" s="114"/>
      <c r="W107" s="226">
        <f>IF(AC107=0,AC107,AC107/(K107+L107+U107))</f>
        <v>0</v>
      </c>
      <c r="X107" s="345"/>
      <c r="Y107" s="820"/>
      <c r="Z107" s="1801">
        <f>SQRT(SUMSQ(IF(ISNA($F107*G107*AT107),0,$F107*G107*AT107)))</f>
        <v>0</v>
      </c>
      <c r="AA107" s="1801">
        <f>SQRT(SUMSQ(IF(ISNA($F107*H107*AV107),0,$F107*H107*AV107)))</f>
        <v>0</v>
      </c>
      <c r="AB107" s="164">
        <f>SQRT(SUMSQ(IF(ISNA($F107*J107*AX107),0,$F107*J107*AX107)))</f>
        <v>0</v>
      </c>
      <c r="AC107" s="152">
        <f>SQRT(SUMSQ(Z107,AA107,AB107))</f>
        <v>0</v>
      </c>
      <c r="AE107" s="564">
        <f>$F107*IF(ISNA(VLOOKUP($B107&amp;"; "&amp;$G$99&amp;", "&amp;G$104,'FE Energie'!$G:$U,10,FALSE)),0,VLOOKUP($B107&amp;"; "&amp;$G$99&amp;", "&amp;G$104,'FE Energie'!$G:$U,10,FALSE))</f>
        <v>0</v>
      </c>
      <c r="AF107" s="565">
        <f>$F107*IF(ISNA(VLOOKUP($B107&amp;"; "&amp;$G$99&amp;", "&amp;H$100,'FE Energie'!$G:$U,10,FALSE)),0,VLOOKUP($B107&amp;"; "&amp;$G$99&amp;", "&amp;H$100,'FE Energie'!$G:$U,10,FALSE))</f>
        <v>0</v>
      </c>
      <c r="AG107" s="565">
        <f>$F107*IF(ISNA(VLOOKUP($B107&amp;"; "&amp;$G$99&amp;", "&amp;G$104,'FE Energie'!$G:$U,11,FALSE)),0,VLOOKUP($B107&amp;"; "&amp;$G$99&amp;", "&amp;G$104,'FE Energie'!$G:$U,11,FALSE))+$F107*IF(ISNA(VLOOKUP($B107&amp;"; "&amp;$G$99&amp;", "&amp;G$104,'FE Energie'!$G:$U,12,FALSE)),0,VLOOKUP($B107&amp;"; "&amp;$G$99&amp;", "&amp;G$104,'FE Energie'!$G:$U,12,FALSE))</f>
        <v>0</v>
      </c>
      <c r="AH107" s="565">
        <f>$F107*IF(ISNA(VLOOKUP($B107&amp;"; "&amp;$G$99&amp;", "&amp;H$100,'FE Energie'!$G:$U,11,FALSE)),0,VLOOKUP($B107&amp;"; "&amp;$G$99&amp;", "&amp;H$100,'FE Energie'!$G:$U,11,FALSE))+$F107*IF(ISNA(VLOOKUP($B107&amp;"; "&amp;$G$99&amp;", "&amp;H$100,'FE Energie'!$G:$U,12,FALSE)),0,VLOOKUP($B107&amp;"; "&amp;$G$99&amp;", "&amp;H$100,'FE Energie'!$G:$U,12,FALSE))</f>
        <v>0</v>
      </c>
      <c r="AI107" s="565">
        <f>$F107*IF(ISNA(VLOOKUP($B107&amp;"; "&amp;$G$99&amp;", "&amp;G$104,'FE Energie'!$G:$U,13,FALSE)),0,VLOOKUP($B107&amp;"; "&amp;$G$99&amp;", "&amp;G$104,'FE Energie'!$G:$U,13,FALSE))</f>
        <v>0</v>
      </c>
      <c r="AJ107" s="565">
        <f>$F107*IF(ISNA(VLOOKUP($B107&amp;"; "&amp;$G$99&amp;", "&amp;H$100,'FE Energie'!$G:$U,13,FALSE)),0,VLOOKUP($B107&amp;"; "&amp;$G$99&amp;", "&amp;H$100,'FE Energie'!$G:$U,13,FALSE))</f>
        <v>0</v>
      </c>
      <c r="AK107" s="565">
        <f>$F107*IF(ISNA(VLOOKUP($B107&amp;"; "&amp;$G$99&amp;", "&amp;G$104,'FE Energie'!$G:$U,14,FALSE)),0,VLOOKUP($B107&amp;"; "&amp;$G$99&amp;", "&amp;G$104,'FE Energie'!$G:$U,14,FALSE))</f>
        <v>0</v>
      </c>
      <c r="AL107" s="565">
        <f>$F107*IF(ISNA(VLOOKUP($B107&amp;"; "&amp;$G$99&amp;", "&amp;H$100,'FE Energie'!$G:$U,14,FALSE)),0,VLOOKUP($B107&amp;"; "&amp;$G$99&amp;", "&amp;H$100,'FE Energie'!$G:$U,14,FALSE))</f>
        <v>0</v>
      </c>
      <c r="AM107" s="566">
        <f t="shared" si="20"/>
        <v>0</v>
      </c>
      <c r="AN107" s="567">
        <f t="shared" si="20"/>
        <v>0</v>
      </c>
      <c r="AO107" s="564">
        <f>$F107*IF(ISNA(VLOOKUP($B107&amp;"; "&amp;$G$99&amp;", "&amp;G$104,'FE Energie'!$G:$U,15,FALSE)),0,VLOOKUP($B107&amp;"; "&amp;$G$99&amp;", "&amp;G$104,'FE Energie'!$G:$U,15,FALSE))</f>
        <v>0</v>
      </c>
      <c r="AP107" s="568">
        <f>$F107*IF(ISNA(VLOOKUP($B107&amp;"; "&amp;$G$99&amp;", "&amp;H$100,'FE Energie'!$G:$U,15,FALSE)),0,VLOOKUP($B107&amp;"; "&amp;$G$99&amp;", "&amp;H$100,'FE Energie'!$G:$U,15,FALSE))</f>
        <v>0</v>
      </c>
      <c r="AQ107" s="114"/>
      <c r="AR107" s="2612">
        <f>IF($X107&lt;&gt;"votre valeur :",IF(ISNA(VLOOKUP($X107,Utilitaires!$N$566:$O$571,2,FALSE)),,VLOOKUP($X107,Utilitaires!$N$566:$O$571,2,FALSE)),$Y107)</f>
        <v>0</v>
      </c>
      <c r="AS107" s="2613"/>
      <c r="AT107" s="2741">
        <f>IF(ISNA(SQRT(SUMSQ(VLOOKUP($B107&amp;"; "&amp;$G$99&amp;", "&amp;$G$104,'FE Energie'!$G:$U,7,FALSE),$AR107))),0,SQRT(SUMSQ(VLOOKUP($B107&amp;"; "&amp;$G$99&amp;", "&amp;$G$104,'FE Energie'!$G:$U,7,FALSE),$AR107)))</f>
        <v>0.15</v>
      </c>
      <c r="AU107" s="2742"/>
      <c r="AV107" s="2741">
        <f>IF(ISNA(SQRT(SUMSQ(VLOOKUP($B107&amp;"; "&amp;$G$99&amp;", "&amp;$H$100,'FE Energie'!$G:$U,7,FALSE),$AR107))),0,SQRT(SUMSQ(VLOOKUP($B107&amp;"; "&amp;$G$99&amp;", "&amp;$H$100,'FE Energie'!$G:$U,7,FALSE),$AR107)))</f>
        <v>0.15</v>
      </c>
      <c r="AW107" s="2742"/>
      <c r="AX107" s="2741">
        <f>IF(ISNA(SQRT(SUMSQ(VLOOKUP($B107&amp;"; "&amp;$G$99&amp;", "&amp;$J$104,'FE Energie'!$G:$U,7,FALSE),$AR107))),0,SQRT(SUMSQ(VLOOKUP($B107&amp;"; "&amp;$G$99&amp;", "&amp;$J$104,'FE Energie'!$G:$U,7,FALSE),$AR107)))</f>
        <v>0</v>
      </c>
      <c r="AY107" s="2742"/>
    </row>
    <row r="108" spans="1:59" s="116" customFormat="1" ht="12.75" hidden="1" customHeight="1" outlineLevel="1">
      <c r="A108" s="114"/>
      <c r="B108" s="143"/>
      <c r="C108" s="144"/>
      <c r="D108" s="315"/>
      <c r="E108" s="155"/>
      <c r="F108" s="144"/>
      <c r="G108" s="144"/>
      <c r="H108" s="144"/>
      <c r="I108" s="144"/>
      <c r="J108" s="144"/>
      <c r="K108" s="155"/>
      <c r="L108" s="156"/>
      <c r="T108" s="154"/>
      <c r="U108" s="156"/>
      <c r="V108" s="114"/>
      <c r="W108" s="143"/>
      <c r="X108" s="820"/>
      <c r="Y108" s="820"/>
      <c r="Z108" s="1801"/>
      <c r="AA108" s="1801"/>
      <c r="AB108" s="164"/>
      <c r="AC108" s="152"/>
      <c r="AE108" s="564"/>
      <c r="AF108" s="565"/>
      <c r="AG108" s="565"/>
      <c r="AH108" s="565"/>
      <c r="AI108" s="565"/>
      <c r="AJ108" s="565"/>
      <c r="AK108" s="565"/>
      <c r="AL108" s="565"/>
      <c r="AM108" s="566"/>
      <c r="AN108" s="567"/>
      <c r="AO108" s="569"/>
      <c r="AP108" s="570"/>
      <c r="AQ108" s="114"/>
      <c r="AR108" s="2608"/>
      <c r="AS108" s="2609"/>
      <c r="AT108" s="2743"/>
      <c r="AU108" s="2744"/>
      <c r="AV108" s="2743"/>
      <c r="AW108" s="2744"/>
      <c r="AX108" s="2608"/>
      <c r="AY108" s="2609"/>
    </row>
    <row r="109" spans="1:59" s="116" customFormat="1" ht="12.75" hidden="1" customHeight="1" outlineLevel="1">
      <c r="A109" s="114"/>
      <c r="B109" s="196" t="s">
        <v>348</v>
      </c>
      <c r="C109" s="197"/>
      <c r="D109" s="202">
        <f>SUM(D101:D108)</f>
        <v>0</v>
      </c>
      <c r="E109" s="198"/>
      <c r="F109" s="199"/>
      <c r="G109" s="199"/>
      <c r="H109" s="199"/>
      <c r="I109" s="199"/>
      <c r="J109" s="199"/>
      <c r="K109" s="202">
        <f>SUM(K101:K108)</f>
        <v>0</v>
      </c>
      <c r="L109" s="200">
        <f>SUM(L101:L108)</f>
        <v>0</v>
      </c>
      <c r="T109" s="1876">
        <f>SUM(T101:T108)</f>
        <v>0</v>
      </c>
      <c r="U109" s="200">
        <f>SUM(U101:U108)</f>
        <v>0</v>
      </c>
      <c r="V109" s="114"/>
      <c r="W109" s="1204">
        <f>IF(AC109=0,AC109,AC109/(K109+L109))</f>
        <v>0</v>
      </c>
      <c r="X109" s="821"/>
      <c r="Y109" s="1636"/>
      <c r="Z109" s="1636">
        <f>SQRT(SUMSQ(Z101:Z108))</f>
        <v>0</v>
      </c>
      <c r="AA109" s="1636">
        <f>SQRT(SUMSQ(AA101:AA108))</f>
        <v>0</v>
      </c>
      <c r="AB109" s="203">
        <f>SQRT(SUMSQ(AB101:AB108))</f>
        <v>0</v>
      </c>
      <c r="AC109" s="200">
        <f>SQRT(SUMSQ(AC101:AC108))</f>
        <v>0</v>
      </c>
      <c r="AE109" s="571">
        <f t="shared" ref="AE109:AP109" si="21">SUM(AE98:AE108)</f>
        <v>0</v>
      </c>
      <c r="AF109" s="572">
        <f t="shared" si="21"/>
        <v>0</v>
      </c>
      <c r="AG109" s="572">
        <f t="shared" si="21"/>
        <v>0</v>
      </c>
      <c r="AH109" s="572">
        <f t="shared" si="21"/>
        <v>0</v>
      </c>
      <c r="AI109" s="572">
        <f t="shared" si="21"/>
        <v>0</v>
      </c>
      <c r="AJ109" s="572">
        <f t="shared" si="21"/>
        <v>0</v>
      </c>
      <c r="AK109" s="572">
        <f t="shared" si="21"/>
        <v>0</v>
      </c>
      <c r="AL109" s="572">
        <f t="shared" si="21"/>
        <v>0</v>
      </c>
      <c r="AM109" s="573">
        <f t="shared" si="21"/>
        <v>0</v>
      </c>
      <c r="AN109" s="574">
        <f t="shared" si="21"/>
        <v>0</v>
      </c>
      <c r="AO109" s="572">
        <f t="shared" si="21"/>
        <v>0</v>
      </c>
      <c r="AP109" s="575">
        <f t="shared" si="21"/>
        <v>0</v>
      </c>
      <c r="AQ109" s="114"/>
      <c r="AR109" s="114"/>
      <c r="AS109" s="114"/>
      <c r="AT109" s="114"/>
      <c r="AU109" s="114"/>
      <c r="AV109" s="114"/>
      <c r="AW109" s="114"/>
      <c r="AX109" s="114"/>
      <c r="AY109" s="114"/>
    </row>
    <row r="110" spans="1:59" s="116" customFormat="1" ht="12.75" hidden="1" customHeight="1" outlineLevel="1">
      <c r="A110" s="114"/>
      <c r="O110" s="114"/>
      <c r="P110" s="114"/>
      <c r="Q110" s="114"/>
      <c r="V110" s="114"/>
      <c r="W110" s="114"/>
      <c r="X110" s="126"/>
      <c r="Y110" s="126"/>
      <c r="Z110" s="114"/>
      <c r="AA110" s="114"/>
      <c r="AB110" s="114"/>
      <c r="AC110" s="114"/>
      <c r="AE110" s="441"/>
      <c r="AF110" s="441"/>
      <c r="AG110" s="441"/>
      <c r="AH110" s="441"/>
      <c r="AI110" s="441"/>
      <c r="AJ110" s="441"/>
      <c r="AK110" s="441"/>
      <c r="AL110" s="441"/>
      <c r="AM110" s="441"/>
      <c r="AN110" s="444"/>
      <c r="AO110" s="1240"/>
      <c r="AP110" s="576"/>
      <c r="AQ110" s="114"/>
      <c r="AR110" s="114"/>
      <c r="AS110" s="114"/>
      <c r="AT110" s="114"/>
      <c r="AU110" s="114"/>
      <c r="AV110" s="114"/>
      <c r="AW110" s="114"/>
      <c r="AX110" s="114"/>
      <c r="AY110" s="114"/>
      <c r="AZ110" s="114"/>
      <c r="BA110" s="114"/>
      <c r="BB110" s="114"/>
      <c r="BC110" s="114"/>
    </row>
    <row r="111" spans="1:59" s="116" customFormat="1" ht="12.75" hidden="1" customHeight="1" outlineLevel="1">
      <c r="A111" s="114"/>
      <c r="B111" s="139" t="s">
        <v>2388</v>
      </c>
      <c r="C111" s="140"/>
      <c r="D111" s="141"/>
      <c r="E111" s="1808"/>
      <c r="F111" s="141"/>
      <c r="G111" s="141"/>
      <c r="H111" s="142"/>
      <c r="T111" s="114"/>
      <c r="U111" s="114"/>
      <c r="V111" s="114"/>
      <c r="W111" s="2636" t="s">
        <v>366</v>
      </c>
      <c r="X111" s="2637"/>
      <c r="Y111" s="2637"/>
      <c r="Z111" s="2637"/>
      <c r="AA111" s="2637"/>
      <c r="AB111" s="2637"/>
      <c r="AC111" s="2638"/>
      <c r="AE111" s="1132" t="s">
        <v>441</v>
      </c>
      <c r="AF111" s="1127"/>
      <c r="AG111" s="1127"/>
      <c r="AH111" s="1127"/>
      <c r="AI111" s="1128"/>
      <c r="AJ111" s="441"/>
      <c r="AK111" s="441"/>
      <c r="AL111" s="576"/>
      <c r="AM111" s="444"/>
      <c r="AN111" s="444"/>
      <c r="AO111" s="444"/>
      <c r="AP111" s="114"/>
      <c r="AQ111" s="114"/>
      <c r="AR111" s="114"/>
      <c r="AS111" s="114"/>
      <c r="AT111" s="114"/>
      <c r="AU111" s="114"/>
      <c r="AV111" s="114"/>
      <c r="AW111" s="114"/>
      <c r="AX111" s="114"/>
      <c r="AY111" s="114"/>
      <c r="AZ111" s="114"/>
      <c r="BA111" s="114"/>
      <c r="BB111" s="114"/>
    </row>
    <row r="112" spans="1:59" s="116" customFormat="1" ht="12.75" hidden="1" customHeight="1" outlineLevel="1">
      <c r="A112" s="114"/>
      <c r="B112" s="143"/>
      <c r="C112" s="144"/>
      <c r="D112" s="1812" t="s">
        <v>308</v>
      </c>
      <c r="E112" s="1801"/>
      <c r="F112" s="144"/>
      <c r="G112" s="144"/>
      <c r="H112" s="145"/>
      <c r="T112" s="114"/>
      <c r="U112" s="114"/>
      <c r="V112" s="114"/>
      <c r="W112" s="1800"/>
      <c r="X112" s="819"/>
      <c r="Y112" s="819"/>
      <c r="Z112" s="819"/>
      <c r="AA112" s="819"/>
      <c r="AB112" s="819"/>
      <c r="AC112" s="145"/>
      <c r="AE112" s="584"/>
      <c r="AF112" s="585"/>
      <c r="AG112" s="585"/>
      <c r="AH112" s="585"/>
      <c r="AI112" s="586"/>
      <c r="AJ112" s="441"/>
      <c r="AK112" s="441"/>
      <c r="AL112" s="114"/>
      <c r="AM112" s="444"/>
      <c r="AN112" s="444"/>
      <c r="AO112" s="444"/>
      <c r="AP112" s="114"/>
      <c r="AQ112" s="114"/>
      <c r="AR112" s="2616" t="s">
        <v>1648</v>
      </c>
      <c r="AS112" s="2617"/>
      <c r="AT112" s="2617"/>
      <c r="AU112" s="2617"/>
      <c r="AV112" s="2617"/>
      <c r="AW112" s="2617"/>
      <c r="AX112" s="2617"/>
      <c r="AY112" s="2618"/>
    </row>
    <row r="113" spans="1:55" s="127" customFormat="1" ht="12.75" hidden="1" customHeight="1" outlineLevel="1">
      <c r="A113" s="114"/>
      <c r="B113" s="1800" t="s">
        <v>345</v>
      </c>
      <c r="C113" s="1801"/>
      <c r="D113" s="1812" t="s">
        <v>409</v>
      </c>
      <c r="E113" s="147" t="s">
        <v>452</v>
      </c>
      <c r="F113" s="147" t="s">
        <v>343</v>
      </c>
      <c r="G113" s="1801" t="s">
        <v>1681</v>
      </c>
      <c r="H113" s="1814" t="s">
        <v>444</v>
      </c>
      <c r="T113" s="1013"/>
      <c r="U113" s="1013"/>
      <c r="V113" s="109"/>
      <c r="W113" s="1800" t="s">
        <v>316</v>
      </c>
      <c r="X113" s="2629" t="s">
        <v>316</v>
      </c>
      <c r="Y113" s="2630"/>
      <c r="Z113" s="144"/>
      <c r="AA113" s="144"/>
      <c r="AB113" s="144"/>
      <c r="AC113" s="1814" t="s">
        <v>444</v>
      </c>
      <c r="AE113" s="2657" t="s">
        <v>444</v>
      </c>
      <c r="AF113" s="2658"/>
      <c r="AG113" s="2658"/>
      <c r="AH113" s="2659"/>
      <c r="AI113" s="587"/>
      <c r="AJ113" s="588"/>
      <c r="AK113" s="588"/>
      <c r="AL113" s="114"/>
      <c r="AM113" s="444"/>
      <c r="AN113" s="444"/>
      <c r="AO113" s="1639"/>
      <c r="AP113" s="109"/>
      <c r="AQ113" s="109"/>
      <c r="AR113" s="2614" t="s">
        <v>1646</v>
      </c>
      <c r="AS113" s="2645"/>
      <c r="AT113" s="2645"/>
      <c r="AU113" s="2615"/>
      <c r="AV113" s="2614" t="s">
        <v>1844</v>
      </c>
      <c r="AW113" s="2645"/>
      <c r="AX113" s="2645"/>
      <c r="AY113" s="2615"/>
    </row>
    <row r="114" spans="1:55" s="127" customFormat="1" ht="12.75" hidden="1" customHeight="1" outlineLevel="1">
      <c r="A114" s="114"/>
      <c r="B114" s="1800"/>
      <c r="C114" s="1801"/>
      <c r="D114" s="1805" t="s">
        <v>444</v>
      </c>
      <c r="E114" s="1811" t="s">
        <v>453</v>
      </c>
      <c r="F114" s="1811" t="s">
        <v>533</v>
      </c>
      <c r="G114" s="1801"/>
      <c r="H114" s="1814"/>
      <c r="T114" s="1014"/>
      <c r="U114" s="1014"/>
      <c r="V114" s="109"/>
      <c r="W114" s="1800" t="s">
        <v>1649</v>
      </c>
      <c r="X114" s="2646" t="s">
        <v>1650</v>
      </c>
      <c r="Y114" s="2647"/>
      <c r="Z114" s="1801"/>
      <c r="AA114" s="1801"/>
      <c r="AB114" s="1801"/>
      <c r="AC114" s="1814"/>
      <c r="AE114" s="1802" t="s">
        <v>211</v>
      </c>
      <c r="AF114" s="1804" t="s">
        <v>442</v>
      </c>
      <c r="AG114" s="1804" t="s">
        <v>267</v>
      </c>
      <c r="AH114" s="1804" t="s">
        <v>443</v>
      </c>
      <c r="AI114" s="589" t="s">
        <v>636</v>
      </c>
      <c r="AJ114" s="588"/>
      <c r="AK114" s="588"/>
      <c r="AL114" s="109"/>
      <c r="AM114" s="1639"/>
      <c r="AN114" s="1639"/>
      <c r="AO114" s="1639"/>
      <c r="AP114" s="109"/>
      <c r="AQ114" s="109"/>
      <c r="AR114" s="1815" t="s">
        <v>1643</v>
      </c>
      <c r="AS114" s="1816" t="s">
        <v>1640</v>
      </c>
      <c r="AT114" s="1816" t="s">
        <v>1641</v>
      </c>
      <c r="AU114" s="1816" t="s">
        <v>1642</v>
      </c>
      <c r="AV114" s="1815" t="s">
        <v>1643</v>
      </c>
      <c r="AW114" s="1816" t="s">
        <v>1640</v>
      </c>
      <c r="AX114" s="1816" t="s">
        <v>1641</v>
      </c>
      <c r="AY114" s="1817" t="s">
        <v>1642</v>
      </c>
    </row>
    <row r="115" spans="1:55" s="116" customFormat="1" ht="12.75" hidden="1" customHeight="1" outlineLevel="1">
      <c r="A115" s="114"/>
      <c r="B115" s="143" t="s">
        <v>1906</v>
      </c>
      <c r="C115" s="1801"/>
      <c r="D115" s="315">
        <f>H115</f>
        <v>0</v>
      </c>
      <c r="E115" s="117"/>
      <c r="F115" s="117"/>
      <c r="G115" s="218">
        <f>VLOOKUP($B115&amp;"; "&amp;$G$113,'FE Energie'!$G:$U,9,FALSE)</f>
        <v>0.186</v>
      </c>
      <c r="H115" s="152">
        <f>F115*G115</f>
        <v>0</v>
      </c>
      <c r="T115" s="114"/>
      <c r="U115" s="114"/>
      <c r="V115" s="114"/>
      <c r="W115" s="226">
        <f>IF(AC115=0,AC115,AC115/H115)</f>
        <v>0</v>
      </c>
      <c r="X115" s="343"/>
      <c r="Y115" s="820"/>
      <c r="Z115" s="1801"/>
      <c r="AA115" s="1801"/>
      <c r="AB115" s="1801"/>
      <c r="AC115" s="152">
        <f>SQRT(SUMSQ(IF(ISNA($F115*G115*AW115),0,$F115*G115*AW115)))</f>
        <v>0</v>
      </c>
      <c r="AE115" s="564">
        <f>H115</f>
        <v>0</v>
      </c>
      <c r="AF115" s="620"/>
      <c r="AG115" s="620"/>
      <c r="AH115" s="565"/>
      <c r="AI115" s="590"/>
      <c r="AJ115" s="441"/>
      <c r="AK115" s="441"/>
      <c r="AL115" s="109"/>
      <c r="AM115" s="1639"/>
      <c r="AN115" s="1639"/>
      <c r="AO115" s="444"/>
      <c r="AP115" s="114"/>
      <c r="AQ115" s="114"/>
      <c r="AR115" s="1065"/>
      <c r="AS115" s="1066">
        <f>IF($X115&lt;&gt;"votre valeur :",IF(ISNA(VLOOKUP($X115,Utilitaires!$N$566:$O$571,2,FALSE)),,VLOOKUP($X115,Utilitaires!$N$566:$O$571,2,FALSE)),$Y115)</f>
        <v>0</v>
      </c>
      <c r="AT115" s="1066"/>
      <c r="AU115" s="1066"/>
      <c r="AV115" s="1124"/>
      <c r="AW115" s="1068">
        <f>IF(ISNA(SQRT(SUMSQ(VLOOKUP($B115&amp;"; "&amp;$G$113,'FE Energie'!$G:$U,7,FALSE),$AS115))),0,SQRT(SUMSQ(VLOOKUP($B115&amp;"; "&amp;$G$113,'FE Energie'!$G:$U,7,FALSE),$AS115)))</f>
        <v>0.1</v>
      </c>
      <c r="AX115" s="1068"/>
      <c r="AY115" s="1125"/>
    </row>
    <row r="116" spans="1:55" s="116" customFormat="1" ht="12.75" hidden="1" customHeight="1" outlineLevel="1">
      <c r="A116" s="114"/>
      <c r="B116" s="143" t="s">
        <v>1907</v>
      </c>
      <c r="C116" s="1801"/>
      <c r="D116" s="315">
        <f>H116</f>
        <v>0</v>
      </c>
      <c r="E116" s="120"/>
      <c r="F116" s="120"/>
      <c r="G116" s="218">
        <f>VLOOKUP($B116&amp;"; "&amp;$G$113,'FE Energie'!$G:$U,9,FALSE)</f>
        <v>0.52200000000000002</v>
      </c>
      <c r="H116" s="152">
        <f>F116*G116</f>
        <v>0</v>
      </c>
      <c r="T116" s="114"/>
      <c r="U116" s="114"/>
      <c r="V116" s="114"/>
      <c r="W116" s="226">
        <f>IF(AC116=0,AC116,AC116/H116)</f>
        <v>0</v>
      </c>
      <c r="X116" s="344"/>
      <c r="Y116" s="820"/>
      <c r="Z116" s="342"/>
      <c r="AA116" s="342"/>
      <c r="AB116" s="342"/>
      <c r="AC116" s="152">
        <f>SQRT(SUMSQ(IF(ISNA($F116*G116*AW116),0,$F116*G116*AW116)))</f>
        <v>0</v>
      </c>
      <c r="AE116" s="564">
        <f>H116</f>
        <v>0</v>
      </c>
      <c r="AF116" s="620"/>
      <c r="AG116" s="620"/>
      <c r="AH116" s="565"/>
      <c r="AI116" s="590"/>
      <c r="AJ116" s="441"/>
      <c r="AK116" s="441"/>
      <c r="AL116" s="114"/>
      <c r="AM116" s="444"/>
      <c r="AN116" s="444"/>
      <c r="AO116" s="444"/>
      <c r="AP116" s="114"/>
      <c r="AQ116" s="114"/>
      <c r="AR116" s="1065"/>
      <c r="AS116" s="1066">
        <f>IF($X116&lt;&gt;"votre valeur :",IF(ISNA(VLOOKUP($X116,Utilitaires!$N$566:$O$571,2,FALSE)),,VLOOKUP($X116,Utilitaires!$N$566:$O$571,2,FALSE)),$Y116)</f>
        <v>0</v>
      </c>
      <c r="AT116" s="1066"/>
      <c r="AU116" s="1066"/>
      <c r="AV116" s="1124"/>
      <c r="AW116" s="1068">
        <f>IF(ISNA(SQRT(SUMSQ(VLOOKUP($B116&amp;"; "&amp;$G$113,'FE Energie'!$G:$U,7,FALSE),$AS116))),0,SQRT(SUMSQ(VLOOKUP($B116&amp;"; "&amp;$G$113,'FE Energie'!$G:$U,7,FALSE),$AS116)))</f>
        <v>0.1</v>
      </c>
      <c r="AX116" s="1068"/>
      <c r="AY116" s="1125"/>
    </row>
    <row r="117" spans="1:55" s="116" customFormat="1" ht="12.75" hidden="1" customHeight="1" outlineLevel="1">
      <c r="A117" s="114"/>
      <c r="B117" s="143" t="s">
        <v>1909</v>
      </c>
      <c r="C117" s="1801"/>
      <c r="D117" s="315">
        <f>H117</f>
        <v>0</v>
      </c>
      <c r="E117" s="120"/>
      <c r="F117" s="120"/>
      <c r="G117" s="218">
        <f>VLOOKUP($B117&amp;"; "&amp;$G$113,'FE Energie'!$G:$U,9,FALSE)</f>
        <v>0.42</v>
      </c>
      <c r="H117" s="152">
        <f>F117*G117</f>
        <v>0</v>
      </c>
      <c r="T117" s="114"/>
      <c r="U117" s="114"/>
      <c r="V117" s="114"/>
      <c r="W117" s="226">
        <f>IF(AC117=0,AC117,AC117/H117)</f>
        <v>0</v>
      </c>
      <c r="X117" s="344"/>
      <c r="Y117" s="820"/>
      <c r="Z117" s="342"/>
      <c r="AA117" s="342"/>
      <c r="AB117" s="342"/>
      <c r="AC117" s="152">
        <f>SQRT(SUMSQ(IF(ISNA($F117*G117*AW117),0,$F117*G117*AW117)))</f>
        <v>0</v>
      </c>
      <c r="AE117" s="564">
        <f>H117</f>
        <v>0</v>
      </c>
      <c r="AF117" s="620"/>
      <c r="AG117" s="620"/>
      <c r="AH117" s="565"/>
      <c r="AI117" s="590"/>
      <c r="AJ117" s="441"/>
      <c r="AK117" s="441"/>
      <c r="AL117" s="114"/>
      <c r="AM117" s="444"/>
      <c r="AN117" s="444"/>
      <c r="AO117" s="444"/>
      <c r="AP117" s="114"/>
      <c r="AQ117" s="114"/>
      <c r="AR117" s="1065"/>
      <c r="AS117" s="1066">
        <f>IF($X117&lt;&gt;"votre valeur :",IF(ISNA(VLOOKUP($X117,Utilitaires!$N$566:$O$571,2,FALSE)),,VLOOKUP($X117,Utilitaires!$N$566:$O$571,2,FALSE)),$Y117)</f>
        <v>0</v>
      </c>
      <c r="AT117" s="1066"/>
      <c r="AU117" s="1066"/>
      <c r="AV117" s="1124"/>
      <c r="AW117" s="1068">
        <f>IF(ISNA(SQRT(SUMSQ(VLOOKUP($B117&amp;"; "&amp;$G$113,'FE Energie'!$G:$U,7,FALSE),$AS117))),0,SQRT(SUMSQ(VLOOKUP($B117&amp;"; "&amp;$G$113,'FE Energie'!$G:$U,7,FALSE),$AS117)))</f>
        <v>0.1</v>
      </c>
      <c r="AX117" s="1068"/>
      <c r="AY117" s="1125"/>
    </row>
    <row r="118" spans="1:55" s="116" customFormat="1" ht="12.75" hidden="1" customHeight="1" outlineLevel="1">
      <c r="A118" s="114"/>
      <c r="B118" s="143" t="s">
        <v>1908</v>
      </c>
      <c r="C118" s="1801"/>
      <c r="D118" s="315">
        <f>H118</f>
        <v>0</v>
      </c>
      <c r="E118" s="123"/>
      <c r="F118" s="123"/>
      <c r="G118" s="218">
        <f>VLOOKUP($B118&amp;"; "&amp;$G$113,'FE Energie'!$G:$U,9,FALSE)</f>
        <v>0.65500000000000003</v>
      </c>
      <c r="H118" s="152">
        <f>F118*G118</f>
        <v>0</v>
      </c>
      <c r="T118" s="114"/>
      <c r="U118" s="114"/>
      <c r="V118" s="114"/>
      <c r="W118" s="226">
        <f>IF(AC118=0,AC118,AC118/H118)</f>
        <v>0</v>
      </c>
      <c r="X118" s="345"/>
      <c r="Y118" s="820"/>
      <c r="Z118" s="342"/>
      <c r="AA118" s="342"/>
      <c r="AB118" s="342"/>
      <c r="AC118" s="152">
        <f>SQRT(SUMSQ(IF(ISNA($F118*G118*AW118),0,$F118*G118*AW118)))</f>
        <v>0</v>
      </c>
      <c r="AE118" s="564">
        <f>H118</f>
        <v>0</v>
      </c>
      <c r="AF118" s="620"/>
      <c r="AG118" s="620"/>
      <c r="AH118" s="565"/>
      <c r="AI118" s="590"/>
      <c r="AJ118" s="441"/>
      <c r="AK118" s="441"/>
      <c r="AL118" s="114"/>
      <c r="AM118" s="444"/>
      <c r="AN118" s="444"/>
      <c r="AO118" s="444"/>
      <c r="AP118" s="114"/>
      <c r="AQ118" s="114"/>
      <c r="AR118" s="1065"/>
      <c r="AS118" s="1066">
        <f>IF($X118&lt;&gt;"votre valeur :",IF(ISNA(VLOOKUP($X118,Utilitaires!$N$566:$O$571,2,FALSE)),,VLOOKUP($X118,Utilitaires!$N$566:$O$571,2,FALSE)),$Y118)</f>
        <v>0</v>
      </c>
      <c r="AT118" s="1066"/>
      <c r="AU118" s="1066"/>
      <c r="AV118" s="1124"/>
      <c r="AW118" s="1068">
        <f>IF(ISNA(SQRT(SUMSQ(VLOOKUP($B118&amp;"; "&amp;$G$113,'FE Energie'!$G:$U,7,FALSE),$AS118))),0,SQRT(SUMSQ(VLOOKUP($B118&amp;"; "&amp;$G$113,'FE Energie'!$G:$U,7,FALSE),$AS118)))</f>
        <v>0.1</v>
      </c>
      <c r="AX118" s="1068"/>
      <c r="AY118" s="1125"/>
    </row>
    <row r="119" spans="1:55" s="116" customFormat="1" ht="12.75" hidden="1" customHeight="1" outlineLevel="1">
      <c r="A119" s="114"/>
      <c r="B119" s="143"/>
      <c r="C119" s="144"/>
      <c r="D119" s="315"/>
      <c r="E119" s="155"/>
      <c r="F119" s="144"/>
      <c r="G119" s="144"/>
      <c r="H119" s="168"/>
      <c r="T119" s="114"/>
      <c r="U119" s="114"/>
      <c r="V119" s="114"/>
      <c r="W119" s="143"/>
      <c r="X119" s="823"/>
      <c r="Y119" s="823"/>
      <c r="Z119" s="144"/>
      <c r="AA119" s="144"/>
      <c r="AB119" s="144"/>
      <c r="AC119" s="165"/>
      <c r="AE119" s="564"/>
      <c r="AF119" s="565"/>
      <c r="AG119" s="565"/>
      <c r="AH119" s="565"/>
      <c r="AI119" s="591"/>
      <c r="AJ119" s="441"/>
      <c r="AK119" s="441"/>
      <c r="AL119" s="114"/>
      <c r="AM119" s="444"/>
      <c r="AN119" s="444"/>
      <c r="AO119" s="444"/>
      <c r="AP119" s="114"/>
      <c r="AQ119" s="114"/>
      <c r="AR119" s="1087"/>
      <c r="AS119" s="1088"/>
      <c r="AT119" s="1088"/>
      <c r="AU119" s="1088"/>
      <c r="AV119" s="1126"/>
      <c r="AW119" s="1073"/>
      <c r="AX119" s="1073"/>
      <c r="AY119" s="1074"/>
    </row>
    <row r="120" spans="1:55" s="116" customFormat="1" ht="12.75" hidden="1" customHeight="1" outlineLevel="1">
      <c r="A120" s="114"/>
      <c r="B120" s="196" t="s">
        <v>348</v>
      </c>
      <c r="C120" s="197"/>
      <c r="D120" s="202">
        <f>SUM(D115:D119)</f>
        <v>0</v>
      </c>
      <c r="E120" s="198"/>
      <c r="F120" s="199"/>
      <c r="G120" s="199"/>
      <c r="H120" s="200">
        <f>SUM(H115:H119)</f>
        <v>0</v>
      </c>
      <c r="T120" s="114"/>
      <c r="U120" s="114"/>
      <c r="V120" s="114"/>
      <c r="W120" s="1204">
        <f>IF(AC120=0,AC120,AC120/H120)</f>
        <v>0</v>
      </c>
      <c r="X120" s="821"/>
      <c r="Y120" s="821"/>
      <c r="Z120" s="199"/>
      <c r="AA120" s="199"/>
      <c r="AB120" s="199"/>
      <c r="AC120" s="200">
        <f>SQRT(SUMSQ(AC115:AC119))</f>
        <v>0</v>
      </c>
      <c r="AE120" s="571">
        <f>SUM(AE115:AE119)</f>
        <v>0</v>
      </c>
      <c r="AF120" s="831">
        <f>SUM(AF115:AF119)</f>
        <v>0</v>
      </c>
      <c r="AG120" s="831">
        <f>SUM(AG115:AG119)</f>
        <v>0</v>
      </c>
      <c r="AH120" s="572">
        <f>SUM(AH115:AH119)</f>
        <v>0</v>
      </c>
      <c r="AI120" s="592">
        <f>SUM(AI115:AI119)</f>
        <v>0</v>
      </c>
      <c r="AJ120" s="441"/>
      <c r="AK120" s="441"/>
      <c r="AL120" s="114"/>
      <c r="AM120" s="444"/>
      <c r="AN120" s="444"/>
      <c r="AO120" s="444"/>
      <c r="AP120" s="114"/>
      <c r="AQ120" s="114"/>
      <c r="AR120" s="114"/>
      <c r="AS120" s="114"/>
      <c r="AT120" s="114"/>
      <c r="AU120" s="114"/>
      <c r="AV120" s="114"/>
      <c r="AW120" s="114"/>
      <c r="AX120" s="114"/>
      <c r="AY120" s="114"/>
      <c r="AZ120" s="114"/>
      <c r="BA120" s="114"/>
      <c r="BB120" s="114"/>
      <c r="BC120" s="114"/>
    </row>
    <row r="121" spans="1:55" s="116" customFormat="1" ht="12.75" hidden="1" customHeight="1" outlineLevel="1">
      <c r="A121" s="114"/>
      <c r="E121" s="114"/>
      <c r="H121" s="114"/>
      <c r="T121" s="114"/>
      <c r="U121" s="114"/>
      <c r="V121" s="114"/>
      <c r="X121" s="488"/>
      <c r="Y121" s="488"/>
      <c r="AA121" s="114"/>
      <c r="AB121" s="114"/>
      <c r="AC121" s="114"/>
      <c r="AE121" s="441"/>
      <c r="AF121" s="441"/>
      <c r="AG121" s="441"/>
      <c r="AH121" s="441"/>
      <c r="AI121" s="441"/>
      <c r="AJ121" s="441"/>
      <c r="AK121" s="441"/>
      <c r="AL121" s="114"/>
      <c r="AM121" s="444"/>
      <c r="AN121" s="444"/>
      <c r="AO121" s="444"/>
      <c r="AP121" s="441"/>
      <c r="AQ121" s="114"/>
      <c r="AR121" s="114"/>
      <c r="AS121" s="114"/>
      <c r="AT121" s="114"/>
      <c r="AU121" s="114"/>
      <c r="AV121" s="114"/>
      <c r="AW121" s="114"/>
      <c r="AX121" s="114"/>
      <c r="AY121" s="114"/>
      <c r="AZ121" s="114"/>
      <c r="BA121" s="114"/>
      <c r="BB121" s="114"/>
      <c r="BC121" s="114"/>
    </row>
    <row r="122" spans="1:55" s="116" customFormat="1" ht="12.75" hidden="1" customHeight="1" outlineLevel="1">
      <c r="A122" s="114"/>
      <c r="B122" s="139" t="s">
        <v>2389</v>
      </c>
      <c r="C122" s="140"/>
      <c r="D122" s="141"/>
      <c r="E122" s="1808"/>
      <c r="F122" s="141"/>
      <c r="G122" s="141"/>
      <c r="H122" s="142"/>
      <c r="T122" s="114"/>
      <c r="U122" s="114"/>
      <c r="V122" s="114"/>
      <c r="W122" s="2636" t="s">
        <v>366</v>
      </c>
      <c r="X122" s="2637"/>
      <c r="Y122" s="2637"/>
      <c r="Z122" s="2637"/>
      <c r="AA122" s="2637"/>
      <c r="AB122" s="2637"/>
      <c r="AC122" s="2638"/>
      <c r="AE122" s="2639" t="s">
        <v>441</v>
      </c>
      <c r="AF122" s="2640"/>
      <c r="AG122" s="2640"/>
      <c r="AH122" s="2640"/>
      <c r="AI122" s="2641"/>
      <c r="AJ122" s="441"/>
      <c r="AK122" s="441"/>
      <c r="AL122" s="441"/>
      <c r="AM122" s="444"/>
      <c r="AN122" s="444"/>
      <c r="AO122" s="444"/>
      <c r="AP122" s="114"/>
      <c r="AQ122" s="114"/>
      <c r="AZ122" s="114"/>
      <c r="BA122" s="114"/>
      <c r="BB122" s="114"/>
    </row>
    <row r="123" spans="1:55" s="116" customFormat="1" ht="12.75" hidden="1" customHeight="1" outlineLevel="1">
      <c r="A123" s="114"/>
      <c r="B123" s="143"/>
      <c r="C123" s="144"/>
      <c r="D123" s="1812" t="s">
        <v>308</v>
      </c>
      <c r="E123" s="1801"/>
      <c r="F123" s="144"/>
      <c r="G123" s="144"/>
      <c r="H123" s="145"/>
      <c r="T123" s="114"/>
      <c r="U123" s="114"/>
      <c r="V123" s="114"/>
      <c r="W123" s="1800"/>
      <c r="X123" s="819"/>
      <c r="Y123" s="819"/>
      <c r="Z123" s="819"/>
      <c r="AA123" s="819"/>
      <c r="AB123" s="819"/>
      <c r="AC123" s="145"/>
      <c r="AE123" s="584"/>
      <c r="AF123" s="585"/>
      <c r="AG123" s="585"/>
      <c r="AH123" s="585"/>
      <c r="AI123" s="586"/>
      <c r="AJ123" s="441"/>
      <c r="AK123" s="441"/>
      <c r="AL123" s="441"/>
      <c r="AM123" s="444"/>
      <c r="AN123" s="444"/>
      <c r="AO123" s="444"/>
      <c r="AP123" s="114"/>
      <c r="AR123" s="2616" t="s">
        <v>1648</v>
      </c>
      <c r="AS123" s="2617"/>
      <c r="AT123" s="2617"/>
      <c r="AU123" s="2617"/>
      <c r="AV123" s="2617"/>
      <c r="AW123" s="2617"/>
      <c r="AX123" s="2617"/>
      <c r="AY123" s="2618"/>
      <c r="AZ123" s="114"/>
      <c r="BA123" s="114"/>
      <c r="BB123" s="114"/>
    </row>
    <row r="124" spans="1:55" s="116" customFormat="1" ht="12.75" hidden="1" customHeight="1" outlineLevel="1">
      <c r="A124" s="114"/>
      <c r="B124" s="1800" t="s">
        <v>238</v>
      </c>
      <c r="C124" s="1801"/>
      <c r="D124" s="1812" t="s">
        <v>409</v>
      </c>
      <c r="E124" s="147" t="s">
        <v>452</v>
      </c>
      <c r="F124" s="147" t="s">
        <v>343</v>
      </c>
      <c r="G124" s="1801" t="s">
        <v>1681</v>
      </c>
      <c r="H124" s="1814" t="s">
        <v>444</v>
      </c>
      <c r="T124" s="114"/>
      <c r="U124" s="114"/>
      <c r="V124" s="114"/>
      <c r="W124" s="1800" t="s">
        <v>316</v>
      </c>
      <c r="X124" s="2629" t="s">
        <v>316</v>
      </c>
      <c r="Y124" s="2630"/>
      <c r="Z124" s="819"/>
      <c r="AA124" s="819"/>
      <c r="AB124" s="819"/>
      <c r="AC124" s="1814" t="s">
        <v>444</v>
      </c>
      <c r="AE124" s="2657" t="s">
        <v>444</v>
      </c>
      <c r="AF124" s="2658"/>
      <c r="AG124" s="2658"/>
      <c r="AH124" s="2659"/>
      <c r="AI124" s="587"/>
      <c r="AJ124" s="441"/>
      <c r="AK124" s="441"/>
      <c r="AL124" s="441"/>
      <c r="AM124" s="444"/>
      <c r="AN124" s="444"/>
      <c r="AO124" s="444"/>
      <c r="AP124" s="114"/>
      <c r="AR124" s="2614" t="s">
        <v>1646</v>
      </c>
      <c r="AS124" s="2645"/>
      <c r="AT124" s="2645"/>
      <c r="AU124" s="2615"/>
      <c r="AV124" s="2614" t="s">
        <v>1844</v>
      </c>
      <c r="AW124" s="2645"/>
      <c r="AX124" s="2645"/>
      <c r="AY124" s="2615"/>
      <c r="AZ124" s="114"/>
      <c r="BA124" s="114"/>
      <c r="BB124" s="114"/>
    </row>
    <row r="125" spans="1:55" s="116" customFormat="1" ht="12.75" hidden="1" customHeight="1" outlineLevel="1">
      <c r="A125" s="114"/>
      <c r="B125" s="1800"/>
      <c r="C125" s="1801"/>
      <c r="D125" s="1805" t="s">
        <v>444</v>
      </c>
      <c r="E125" s="1811" t="s">
        <v>453</v>
      </c>
      <c r="F125" s="1811" t="s">
        <v>533</v>
      </c>
      <c r="G125" s="1801"/>
      <c r="H125" s="1814"/>
      <c r="T125" s="114"/>
      <c r="U125" s="114"/>
      <c r="V125" s="114"/>
      <c r="W125" s="1800" t="s">
        <v>1649</v>
      </c>
      <c r="X125" s="2646" t="s">
        <v>1650</v>
      </c>
      <c r="Y125" s="2647"/>
      <c r="Z125" s="144"/>
      <c r="AA125" s="144"/>
      <c r="AB125" s="144"/>
      <c r="AC125" s="1814"/>
      <c r="AE125" s="1802" t="s">
        <v>211</v>
      </c>
      <c r="AF125" s="1804" t="s">
        <v>442</v>
      </c>
      <c r="AG125" s="1804" t="s">
        <v>267</v>
      </c>
      <c r="AH125" s="1804" t="s">
        <v>443</v>
      </c>
      <c r="AI125" s="589" t="s">
        <v>636</v>
      </c>
      <c r="AJ125" s="441"/>
      <c r="AK125" s="441"/>
      <c r="AL125" s="441"/>
      <c r="AM125" s="444"/>
      <c r="AN125" s="444"/>
      <c r="AO125" s="444"/>
      <c r="AP125" s="114"/>
      <c r="AR125" s="1815" t="s">
        <v>1643</v>
      </c>
      <c r="AS125" s="1816" t="s">
        <v>1640</v>
      </c>
      <c r="AT125" s="1816" t="s">
        <v>1641</v>
      </c>
      <c r="AU125" s="1816" t="s">
        <v>1642</v>
      </c>
      <c r="AV125" s="1815" t="s">
        <v>1643</v>
      </c>
      <c r="AW125" s="1816" t="s">
        <v>1640</v>
      </c>
      <c r="AX125" s="1816" t="s">
        <v>1641</v>
      </c>
      <c r="AY125" s="1817" t="s">
        <v>1642</v>
      </c>
      <c r="AZ125" s="114"/>
      <c r="BA125" s="114"/>
      <c r="BB125" s="114"/>
    </row>
    <row r="126" spans="1:55" s="116" customFormat="1" ht="12.75" hidden="1" customHeight="1" outlineLevel="1">
      <c r="A126" s="114"/>
      <c r="B126" s="143" t="s">
        <v>2475</v>
      </c>
      <c r="C126" s="1801"/>
      <c r="D126" s="315">
        <f>H126</f>
        <v>0</v>
      </c>
      <c r="E126" s="117"/>
      <c r="F126" s="117"/>
      <c r="G126" s="218">
        <f>VLOOKUP($B126&amp;"; "&amp;$G$124,'FE Energie'!$G:$U,9,FALSE)</f>
        <v>8.1000000000000003E-2</v>
      </c>
      <c r="H126" s="152">
        <f>F126*G126</f>
        <v>0</v>
      </c>
      <c r="T126" s="114"/>
      <c r="U126" s="114"/>
      <c r="V126" s="114"/>
      <c r="W126" s="226">
        <f>IF(AC126=0,AC126,AC126/H126)</f>
        <v>0</v>
      </c>
      <c r="X126" s="343"/>
      <c r="Y126" s="820"/>
      <c r="Z126" s="1801"/>
      <c r="AA126" s="1801"/>
      <c r="AB126" s="1801"/>
      <c r="AC126" s="152">
        <f>SQRT(SUMSQ(IF(ISNA($F126*G126*AW126),0,$F126*G126*AW126)))</f>
        <v>0</v>
      </c>
      <c r="AE126" s="564">
        <f>H126</f>
        <v>0</v>
      </c>
      <c r="AF126" s="565"/>
      <c r="AG126" s="565"/>
      <c r="AH126" s="565"/>
      <c r="AI126" s="590"/>
      <c r="AJ126" s="441"/>
      <c r="AK126" s="441"/>
      <c r="AL126" s="441"/>
      <c r="AM126" s="444"/>
      <c r="AN126" s="444"/>
      <c r="AO126" s="444"/>
      <c r="AP126" s="114"/>
      <c r="AR126" s="1065"/>
      <c r="AS126" s="1066">
        <f>IF($X126&lt;&gt;"votre valeur :",IF(ISNA(VLOOKUP($X126,Utilitaires!$N$566:$O$571,2,FALSE)),,VLOOKUP($X126,Utilitaires!$N$566:$O$571,2,FALSE)),$Y126)</f>
        <v>0</v>
      </c>
      <c r="AT126" s="1066"/>
      <c r="AU126" s="1066"/>
      <c r="AV126" s="1124"/>
      <c r="AW126" s="1068">
        <f>IF(ISNA(SQRT(SUMSQ(VLOOKUP($B126&amp;"; "&amp;$G$124,'FE Energie'!$G:$U,7,FALSE),$AS126))),0,SQRT(SUMSQ(VLOOKUP($B126&amp;"; "&amp;$G$124,'FE Energie'!$G:$U,7,FALSE),$AS126)))</f>
        <v>0.15</v>
      </c>
      <c r="AX126" s="1068"/>
      <c r="AY126" s="1125"/>
      <c r="AZ126" s="114"/>
      <c r="BA126" s="114"/>
      <c r="BB126" s="114"/>
    </row>
    <row r="127" spans="1:55" s="116" customFormat="1" ht="12.75" hidden="1" customHeight="1" outlineLevel="1">
      <c r="A127" s="114"/>
      <c r="B127" s="143" t="s">
        <v>2476</v>
      </c>
      <c r="C127" s="1801"/>
      <c r="D127" s="315">
        <f>H127</f>
        <v>0</v>
      </c>
      <c r="E127" s="120"/>
      <c r="F127" s="120"/>
      <c r="G127" s="218">
        <f>VLOOKUP($B127&amp;"; "&amp;$G$124,'FE Energie'!$G:$U,9,FALSE)</f>
        <v>0.436</v>
      </c>
      <c r="H127" s="152">
        <f>F127*G127</f>
        <v>0</v>
      </c>
      <c r="T127" s="114"/>
      <c r="U127" s="114"/>
      <c r="V127" s="114"/>
      <c r="W127" s="226">
        <f>IF(AC127=0,AC127,AC127/H127)</f>
        <v>0</v>
      </c>
      <c r="X127" s="344"/>
      <c r="Y127" s="820"/>
      <c r="Z127" s="1801"/>
      <c r="AA127" s="1801"/>
      <c r="AB127" s="1801"/>
      <c r="AC127" s="152">
        <f>SQRT(SUMSQ(IF(ISNA($F127*G127*AW127),0,$F127*G127*AW127)))</f>
        <v>0</v>
      </c>
      <c r="AE127" s="564">
        <f>H127</f>
        <v>0</v>
      </c>
      <c r="AF127" s="565"/>
      <c r="AG127" s="565"/>
      <c r="AH127" s="565"/>
      <c r="AI127" s="590"/>
      <c r="AJ127" s="441"/>
      <c r="AK127" s="441"/>
      <c r="AL127" s="441"/>
      <c r="AM127" s="444"/>
      <c r="AN127" s="444"/>
      <c r="AO127" s="444"/>
      <c r="AP127" s="114"/>
      <c r="AR127" s="1065"/>
      <c r="AS127" s="1066">
        <f>IF($X127&lt;&gt;"votre valeur :",IF(ISNA(VLOOKUP($X127,Utilitaires!$N$566:$O$571,2,FALSE)),,VLOOKUP($X127,Utilitaires!$N$566:$O$571,2,FALSE)),$Y127)</f>
        <v>0</v>
      </c>
      <c r="AT127" s="1066"/>
      <c r="AU127" s="1066"/>
      <c r="AV127" s="1124"/>
      <c r="AW127" s="1068">
        <f>IF(ISNA(SQRT(SUMSQ(VLOOKUP($B127&amp;"; "&amp;$G$124,'FE Energie'!$G:$U,7,FALSE),$AS127))),0,SQRT(SUMSQ(VLOOKUP($B127&amp;"; "&amp;$G$124,'FE Energie'!$G:$U,7,FALSE),$AS127)))</f>
        <v>0.15</v>
      </c>
      <c r="AX127" s="1068"/>
      <c r="AY127" s="1125"/>
      <c r="AZ127" s="114"/>
      <c r="BA127" s="114"/>
      <c r="BB127" s="114"/>
    </row>
    <row r="128" spans="1:55" s="116" customFormat="1" ht="12.75" hidden="1" customHeight="1" outlineLevel="1">
      <c r="A128" s="114"/>
      <c r="B128" s="143" t="s">
        <v>1791</v>
      </c>
      <c r="C128" s="1801"/>
      <c r="D128" s="315">
        <f>H128</f>
        <v>0</v>
      </c>
      <c r="E128" s="120"/>
      <c r="F128" s="120"/>
      <c r="G128" s="218">
        <f>VLOOKUP($B128&amp;"; "&amp;$G$124,'FE Energie'!$G:$U,9,FALSE)</f>
        <v>0.33</v>
      </c>
      <c r="H128" s="152">
        <f>F128*G128</f>
        <v>0</v>
      </c>
      <c r="T128" s="114"/>
      <c r="U128" s="114"/>
      <c r="V128" s="114"/>
      <c r="W128" s="226">
        <f>IF(AC128=0,AC128,AC128/H128)</f>
        <v>0</v>
      </c>
      <c r="X128" s="344"/>
      <c r="Y128" s="820"/>
      <c r="Z128" s="342"/>
      <c r="AA128" s="342"/>
      <c r="AB128" s="342"/>
      <c r="AC128" s="152">
        <f>SQRT(SUMSQ(IF(ISNA($F128*G128*AW128),0,$F128*G128*AW128)))</f>
        <v>0</v>
      </c>
      <c r="AE128" s="564">
        <f>H128</f>
        <v>0</v>
      </c>
      <c r="AF128" s="565"/>
      <c r="AG128" s="565"/>
      <c r="AH128" s="565"/>
      <c r="AI128" s="590"/>
      <c r="AJ128" s="441"/>
      <c r="AK128" s="441"/>
      <c r="AL128" s="441"/>
      <c r="AM128" s="444"/>
      <c r="AN128" s="444"/>
      <c r="AO128" s="444"/>
      <c r="AP128" s="114"/>
      <c r="AR128" s="1065"/>
      <c r="AS128" s="1066">
        <f>IF($X128&lt;&gt;"votre valeur :",IF(ISNA(VLOOKUP($X128,Utilitaires!$N$566:$O$571,2,FALSE)),,VLOOKUP($X128,Utilitaires!$N$566:$O$571,2,FALSE)),$Y128)</f>
        <v>0</v>
      </c>
      <c r="AT128" s="1066"/>
      <c r="AU128" s="1066"/>
      <c r="AV128" s="1124"/>
      <c r="AW128" s="1068">
        <f>IF(ISNA(SQRT(SUMSQ(VLOOKUP($B128&amp;"; "&amp;$G$124,'FE Energie'!$G:$U,7,FALSE),$AS128))),0,SQRT(SUMSQ(VLOOKUP($B128&amp;"; "&amp;$G$124,'FE Energie'!$G:$U,7,FALSE),$AS128)))</f>
        <v>0.15</v>
      </c>
      <c r="AX128" s="1068"/>
      <c r="AY128" s="1125"/>
      <c r="AZ128" s="114"/>
      <c r="BA128" s="114"/>
      <c r="BB128" s="114"/>
    </row>
    <row r="129" spans="1:55" s="116" customFormat="1" ht="12.75" hidden="1" customHeight="1" outlineLevel="1">
      <c r="A129" s="114"/>
      <c r="B129" s="143" t="s">
        <v>2477</v>
      </c>
      <c r="C129" s="1801"/>
      <c r="D129" s="315">
        <f>H129</f>
        <v>0</v>
      </c>
      <c r="E129" s="120"/>
      <c r="F129" s="120"/>
      <c r="G129" s="218">
        <f>VLOOKUP($B129&amp;"; "&amp;$G$124,'FE Energie'!$G:$U,9,FALSE)</f>
        <v>0.72099999999999997</v>
      </c>
      <c r="H129" s="152">
        <f>F129*G129</f>
        <v>0</v>
      </c>
      <c r="T129" s="114"/>
      <c r="U129" s="114"/>
      <c r="V129" s="114"/>
      <c r="W129" s="226">
        <f>IF(AC129=0,AC129,AC129/H129)</f>
        <v>0</v>
      </c>
      <c r="X129" s="344"/>
      <c r="Y129" s="820"/>
      <c r="Z129" s="342"/>
      <c r="AA129" s="342"/>
      <c r="AB129" s="342"/>
      <c r="AC129" s="152">
        <f>SQRT(SUMSQ(IF(ISNA($F129*G129*AW129),0,$F129*G129*AW129)))</f>
        <v>0</v>
      </c>
      <c r="AE129" s="564">
        <f>H129</f>
        <v>0</v>
      </c>
      <c r="AF129" s="565"/>
      <c r="AG129" s="565"/>
      <c r="AH129" s="565"/>
      <c r="AI129" s="590"/>
      <c r="AJ129" s="441"/>
      <c r="AK129" s="441"/>
      <c r="AL129" s="441"/>
      <c r="AM129" s="444"/>
      <c r="AN129" s="444"/>
      <c r="AO129" s="444"/>
      <c r="AP129" s="114"/>
      <c r="AR129" s="1065"/>
      <c r="AS129" s="1066">
        <f>IF($X129&lt;&gt;"votre valeur :",IF(ISNA(VLOOKUP($X129,Utilitaires!$N$566:$O$571,2,FALSE)),,VLOOKUP($X129,Utilitaires!$N$566:$O$571,2,FALSE)),$Y129)</f>
        <v>0</v>
      </c>
      <c r="AT129" s="1066"/>
      <c r="AU129" s="1066"/>
      <c r="AV129" s="1124"/>
      <c r="AW129" s="1068">
        <f>IF(ISNA(SQRT(SUMSQ(VLOOKUP($B129&amp;"; "&amp;$G$124,'FE Energie'!$G:$U,7,FALSE),$AS129))),0,SQRT(SUMSQ(VLOOKUP($B129&amp;"; "&amp;$G$124,'FE Energie'!$G:$U,7,FALSE),$AS129)))</f>
        <v>0.15</v>
      </c>
      <c r="AX129" s="1068"/>
      <c r="AY129" s="1125"/>
      <c r="AZ129" s="114"/>
      <c r="BA129" s="114"/>
      <c r="BB129" s="114"/>
    </row>
    <row r="130" spans="1:55" s="116" customFormat="1" ht="12.75" hidden="1" customHeight="1" outlineLevel="1">
      <c r="A130" s="114"/>
      <c r="B130" s="143" t="s">
        <v>2478</v>
      </c>
      <c r="C130" s="1801"/>
      <c r="D130" s="315">
        <f>H130</f>
        <v>0</v>
      </c>
      <c r="E130" s="123"/>
      <c r="F130" s="123"/>
      <c r="G130" s="218">
        <f>VLOOKUP($B130&amp;"; "&amp;$G$124,'FE Energie'!$G:$U,9,FALSE)</f>
        <v>0.35</v>
      </c>
      <c r="H130" s="152">
        <f>F130*G130</f>
        <v>0</v>
      </c>
      <c r="T130" s="114"/>
      <c r="U130" s="114"/>
      <c r="V130" s="114"/>
      <c r="W130" s="226">
        <f>IF(AC130=0,AC130,AC130/H130)</f>
        <v>0</v>
      </c>
      <c r="X130" s="345"/>
      <c r="Y130" s="820"/>
      <c r="Z130" s="342"/>
      <c r="AA130" s="342"/>
      <c r="AB130" s="342"/>
      <c r="AC130" s="152">
        <f>SQRT(SUMSQ(IF(ISNA($F130*G130*AW130),0,$F130*G130*AW130)))</f>
        <v>0</v>
      </c>
      <c r="AE130" s="564">
        <f>H130</f>
        <v>0</v>
      </c>
      <c r="AF130" s="565"/>
      <c r="AG130" s="565"/>
      <c r="AH130" s="565"/>
      <c r="AI130" s="590"/>
      <c r="AJ130" s="441"/>
      <c r="AK130" s="441"/>
      <c r="AL130" s="441"/>
      <c r="AM130" s="444"/>
      <c r="AN130" s="444"/>
      <c r="AO130" s="444"/>
      <c r="AP130" s="114"/>
      <c r="AR130" s="1065"/>
      <c r="AS130" s="1066">
        <f>IF($X130&lt;&gt;"votre valeur :",IF(ISNA(VLOOKUP($X130,Utilitaires!$N$566:$O$571,2,FALSE)),,VLOOKUP($X130,Utilitaires!$N$566:$O$571,2,FALSE)),$Y130)</f>
        <v>0</v>
      </c>
      <c r="AT130" s="1066"/>
      <c r="AU130" s="1066"/>
      <c r="AV130" s="1124"/>
      <c r="AW130" s="1068">
        <f>IF(ISNA(SQRT(SUMSQ(VLOOKUP($B130&amp;"; "&amp;$G$124,'FE Energie'!$G:$U,7,FALSE),$AS130))),0,SQRT(SUMSQ(VLOOKUP($B130&amp;"; "&amp;$G$124,'FE Energie'!$G:$U,7,FALSE),$AS130)))</f>
        <v>0.15</v>
      </c>
      <c r="AX130" s="1068"/>
      <c r="AY130" s="1125"/>
      <c r="AZ130" s="114"/>
      <c r="BA130" s="114"/>
      <c r="BB130" s="114"/>
    </row>
    <row r="131" spans="1:55" s="116" customFormat="1" ht="12.75" hidden="1" customHeight="1" outlineLevel="1">
      <c r="A131" s="114"/>
      <c r="B131" s="143"/>
      <c r="C131" s="144"/>
      <c r="D131" s="315"/>
      <c r="E131" s="155"/>
      <c r="F131" s="144"/>
      <c r="G131" s="144"/>
      <c r="H131" s="152"/>
      <c r="T131" s="114"/>
      <c r="U131" s="114"/>
      <c r="V131" s="114"/>
      <c r="W131" s="143"/>
      <c r="X131" s="823"/>
      <c r="Y131" s="823"/>
      <c r="Z131" s="144"/>
      <c r="AA131" s="144"/>
      <c r="AB131" s="144"/>
      <c r="AC131" s="165"/>
      <c r="AE131" s="564"/>
      <c r="AF131" s="565"/>
      <c r="AG131" s="565"/>
      <c r="AH131" s="565"/>
      <c r="AI131" s="591"/>
      <c r="AJ131" s="441"/>
      <c r="AK131" s="441"/>
      <c r="AL131" s="441"/>
      <c r="AM131" s="444"/>
      <c r="AN131" s="444"/>
      <c r="AO131" s="444"/>
      <c r="AP131" s="114"/>
      <c r="AQ131" s="114"/>
      <c r="AR131" s="1087"/>
      <c r="AS131" s="1088"/>
      <c r="AT131" s="1088"/>
      <c r="AU131" s="1088"/>
      <c r="AV131" s="1126"/>
      <c r="AW131" s="1073"/>
      <c r="AX131" s="1073"/>
      <c r="AY131" s="1074"/>
      <c r="AZ131" s="114"/>
      <c r="BA131" s="114"/>
      <c r="BB131" s="114"/>
    </row>
    <row r="132" spans="1:55" s="116" customFormat="1" ht="12.75" hidden="1" customHeight="1" outlineLevel="1">
      <c r="A132" s="114"/>
      <c r="B132" s="196" t="s">
        <v>348</v>
      </c>
      <c r="C132" s="197"/>
      <c r="D132" s="202">
        <f>SUM(D126:D131)</f>
        <v>0</v>
      </c>
      <c r="E132" s="198"/>
      <c r="F132" s="199"/>
      <c r="G132" s="199"/>
      <c r="H132" s="200">
        <f>SUM(H126:H131)</f>
        <v>0</v>
      </c>
      <c r="T132" s="114"/>
      <c r="U132" s="114"/>
      <c r="V132" s="114"/>
      <c r="W132" s="1203">
        <f>IF(AC132=0,AC132,AC132/H132)</f>
        <v>0</v>
      </c>
      <c r="X132" s="821"/>
      <c r="Y132" s="821"/>
      <c r="Z132" s="199"/>
      <c r="AA132" s="199"/>
      <c r="AB132" s="199"/>
      <c r="AC132" s="200">
        <f>SQRT(SUMSQ(AC126:AC131))</f>
        <v>0</v>
      </c>
      <c r="AE132" s="571">
        <f>SUM(AE126:AE131)</f>
        <v>0</v>
      </c>
      <c r="AF132" s="572">
        <f>SUM(AF126:AF131)</f>
        <v>0</v>
      </c>
      <c r="AG132" s="572">
        <f>SUM(AG126:AG131)</f>
        <v>0</v>
      </c>
      <c r="AH132" s="572">
        <f>SUM(AH126:AH131)</f>
        <v>0</v>
      </c>
      <c r="AI132" s="592">
        <f>SUM(AI126:AI131)</f>
        <v>0</v>
      </c>
      <c r="AJ132" s="441"/>
      <c r="AK132" s="441"/>
      <c r="AL132" s="441"/>
      <c r="AM132" s="444"/>
      <c r="AN132" s="444"/>
      <c r="AO132" s="444"/>
      <c r="AP132" s="114"/>
      <c r="AQ132" s="114"/>
      <c r="AR132" s="114"/>
      <c r="AS132" s="114"/>
      <c r="AT132" s="114"/>
      <c r="AU132" s="114"/>
      <c r="AV132" s="114"/>
      <c r="AW132" s="114"/>
      <c r="AX132" s="114"/>
      <c r="AY132" s="114"/>
      <c r="AZ132" s="114"/>
      <c r="BA132" s="114"/>
      <c r="BB132" s="114"/>
    </row>
    <row r="133" spans="1:55" s="116" customFormat="1" ht="12.75" hidden="1" customHeight="1" outlineLevel="1">
      <c r="A133" s="114"/>
      <c r="B133" s="114"/>
      <c r="C133" s="114"/>
      <c r="D133" s="114"/>
      <c r="E133" s="114"/>
      <c r="F133" s="114"/>
      <c r="G133" s="114"/>
      <c r="H133" s="114"/>
      <c r="T133" s="114"/>
      <c r="U133" s="114"/>
      <c r="V133" s="114"/>
      <c r="W133" s="114"/>
      <c r="X133" s="126"/>
      <c r="Y133" s="126"/>
      <c r="Z133" s="114"/>
      <c r="AA133" s="114"/>
      <c r="AB133" s="114"/>
      <c r="AC133" s="114"/>
      <c r="AE133" s="441"/>
      <c r="AF133" s="441"/>
      <c r="AG133" s="441"/>
      <c r="AH133" s="441"/>
      <c r="AI133" s="441"/>
      <c r="AJ133" s="441"/>
      <c r="AK133" s="441"/>
      <c r="AL133" s="441"/>
      <c r="AM133" s="444"/>
      <c r="AN133" s="444"/>
      <c r="AO133" s="444"/>
      <c r="AP133" s="441"/>
      <c r="AQ133" s="114"/>
      <c r="AR133" s="114"/>
      <c r="AS133" s="114"/>
      <c r="AT133" s="114"/>
      <c r="AU133" s="114"/>
      <c r="AV133" s="114"/>
      <c r="AW133" s="114"/>
      <c r="AX133" s="114"/>
      <c r="AY133" s="114"/>
      <c r="AZ133" s="114"/>
      <c r="BA133" s="114"/>
      <c r="BB133" s="114"/>
      <c r="BC133" s="114"/>
    </row>
    <row r="134" spans="1:55" s="116" customFormat="1" ht="12.75" hidden="1" customHeight="1" outlineLevel="1">
      <c r="A134" s="114"/>
      <c r="B134" s="139" t="s">
        <v>2390</v>
      </c>
      <c r="C134" s="140"/>
      <c r="D134" s="141"/>
      <c r="E134" s="1808"/>
      <c r="F134" s="141"/>
      <c r="G134" s="141"/>
      <c r="H134" s="142"/>
      <c r="T134" s="114"/>
      <c r="U134" s="114"/>
      <c r="V134" s="114"/>
      <c r="W134" s="2636" t="s">
        <v>366</v>
      </c>
      <c r="X134" s="2637"/>
      <c r="Y134" s="2637"/>
      <c r="Z134" s="2637"/>
      <c r="AA134" s="2637"/>
      <c r="AB134" s="2637"/>
      <c r="AC134" s="2638"/>
      <c r="AE134" s="2639" t="s">
        <v>441</v>
      </c>
      <c r="AF134" s="2640"/>
      <c r="AG134" s="2640"/>
      <c r="AH134" s="2640"/>
      <c r="AI134" s="2641"/>
      <c r="AJ134" s="441"/>
      <c r="AK134" s="441"/>
      <c r="AL134" s="441"/>
      <c r="AM134" s="444"/>
      <c r="AN134" s="444"/>
      <c r="AO134" s="444"/>
      <c r="AP134" s="114"/>
      <c r="AQ134" s="114"/>
      <c r="AR134" s="114"/>
      <c r="AS134" s="114"/>
      <c r="AT134" s="114"/>
      <c r="AU134" s="114"/>
      <c r="AV134" s="114"/>
      <c r="AW134" s="114"/>
      <c r="AX134" s="114"/>
      <c r="AY134" s="114"/>
      <c r="AZ134" s="114"/>
      <c r="BA134" s="114"/>
      <c r="BB134" s="114"/>
    </row>
    <row r="135" spans="1:55" s="116" customFormat="1" ht="12.75" hidden="1" customHeight="1" outlineLevel="1">
      <c r="A135" s="114"/>
      <c r="B135" s="143"/>
      <c r="C135" s="144"/>
      <c r="D135" s="1812" t="s">
        <v>308</v>
      </c>
      <c r="E135" s="1801"/>
      <c r="F135" s="144"/>
      <c r="G135" s="144"/>
      <c r="H135" s="145"/>
      <c r="T135" s="114"/>
      <c r="U135" s="114"/>
      <c r="V135" s="114"/>
      <c r="W135" s="1800"/>
      <c r="X135" s="819"/>
      <c r="Y135" s="819"/>
      <c r="Z135" s="819"/>
      <c r="AA135" s="819"/>
      <c r="AB135" s="819"/>
      <c r="AC135" s="145"/>
      <c r="AE135" s="584"/>
      <c r="AF135" s="585"/>
      <c r="AG135" s="585"/>
      <c r="AH135" s="585"/>
      <c r="AI135" s="586"/>
      <c r="AJ135" s="441"/>
      <c r="AK135" s="441"/>
      <c r="AL135" s="441"/>
      <c r="AM135" s="444"/>
      <c r="AN135" s="444"/>
      <c r="AO135" s="444"/>
      <c r="AP135" s="114"/>
      <c r="AQ135" s="114"/>
      <c r="AR135" s="2616" t="s">
        <v>1648</v>
      </c>
      <c r="AS135" s="2617"/>
      <c r="AT135" s="2617"/>
      <c r="AU135" s="2617"/>
      <c r="AV135" s="2617"/>
      <c r="AW135" s="2617"/>
      <c r="AX135" s="2617"/>
      <c r="AY135" s="2618"/>
      <c r="AZ135" s="114"/>
      <c r="BA135" s="114"/>
      <c r="BB135" s="114"/>
    </row>
    <row r="136" spans="1:55" s="116" customFormat="1" ht="12.75" hidden="1" customHeight="1" outlineLevel="1">
      <c r="A136" s="114"/>
      <c r="B136" s="1800" t="s">
        <v>640</v>
      </c>
      <c r="C136" s="1801"/>
      <c r="D136" s="1812" t="s">
        <v>409</v>
      </c>
      <c r="E136" s="147" t="s">
        <v>452</v>
      </c>
      <c r="F136" s="147" t="s">
        <v>343</v>
      </c>
      <c r="G136" s="1801" t="s">
        <v>1681</v>
      </c>
      <c r="H136" s="1814" t="s">
        <v>444</v>
      </c>
      <c r="T136" s="114"/>
      <c r="U136" s="114"/>
      <c r="V136" s="114"/>
      <c r="W136" s="1800" t="s">
        <v>316</v>
      </c>
      <c r="X136" s="2629" t="s">
        <v>316</v>
      </c>
      <c r="Y136" s="2630"/>
      <c r="Z136" s="819"/>
      <c r="AA136" s="819"/>
      <c r="AB136" s="819"/>
      <c r="AC136" s="1814" t="s">
        <v>444</v>
      </c>
      <c r="AE136" s="2657" t="s">
        <v>444</v>
      </c>
      <c r="AF136" s="2658"/>
      <c r="AG136" s="2658"/>
      <c r="AH136" s="2659"/>
      <c r="AI136" s="587"/>
      <c r="AJ136" s="441"/>
      <c r="AK136" s="441"/>
      <c r="AL136" s="441"/>
      <c r="AM136" s="444"/>
      <c r="AN136" s="444"/>
      <c r="AO136" s="444"/>
      <c r="AP136" s="114"/>
      <c r="AQ136" s="114"/>
      <c r="AR136" s="2614" t="s">
        <v>1646</v>
      </c>
      <c r="AS136" s="2645"/>
      <c r="AT136" s="2645"/>
      <c r="AU136" s="2615"/>
      <c r="AV136" s="2614" t="s">
        <v>1844</v>
      </c>
      <c r="AW136" s="2645"/>
      <c r="AX136" s="2645"/>
      <c r="AY136" s="2615"/>
      <c r="AZ136" s="114"/>
      <c r="BA136" s="114"/>
      <c r="BB136" s="114"/>
    </row>
    <row r="137" spans="1:55" s="116" customFormat="1" ht="12.75" hidden="1" customHeight="1" outlineLevel="1">
      <c r="A137" s="114"/>
      <c r="B137" s="1800"/>
      <c r="C137" s="1801"/>
      <c r="D137" s="1805" t="s">
        <v>444</v>
      </c>
      <c r="E137" s="1811" t="s">
        <v>453</v>
      </c>
      <c r="F137" s="153" t="s">
        <v>533</v>
      </c>
      <c r="G137" s="1801"/>
      <c r="H137" s="1814"/>
      <c r="T137" s="114"/>
      <c r="U137" s="114"/>
      <c r="V137" s="114"/>
      <c r="W137" s="1800" t="s">
        <v>1649</v>
      </c>
      <c r="X137" s="2646" t="s">
        <v>1650</v>
      </c>
      <c r="Y137" s="2647"/>
      <c r="Z137" s="819"/>
      <c r="AA137" s="819"/>
      <c r="AB137" s="819"/>
      <c r="AC137" s="1814"/>
      <c r="AE137" s="1802" t="s">
        <v>211</v>
      </c>
      <c r="AF137" s="1804" t="s">
        <v>442</v>
      </c>
      <c r="AG137" s="1804" t="s">
        <v>267</v>
      </c>
      <c r="AH137" s="1804" t="s">
        <v>443</v>
      </c>
      <c r="AI137" s="589" t="s">
        <v>636</v>
      </c>
      <c r="AJ137" s="441"/>
      <c r="AK137" s="441"/>
      <c r="AL137" s="441"/>
      <c r="AM137" s="444"/>
      <c r="AN137" s="444"/>
      <c r="AO137" s="444"/>
      <c r="AP137" s="114"/>
      <c r="AQ137" s="114"/>
      <c r="AR137" s="1815" t="s">
        <v>1643</v>
      </c>
      <c r="AS137" s="1816" t="s">
        <v>1640</v>
      </c>
      <c r="AT137" s="1816" t="s">
        <v>1641</v>
      </c>
      <c r="AU137" s="1816" t="s">
        <v>1642</v>
      </c>
      <c r="AV137" s="1815" t="s">
        <v>1643</v>
      </c>
      <c r="AW137" s="1816" t="s">
        <v>1640</v>
      </c>
      <c r="AX137" s="1816" t="s">
        <v>1641</v>
      </c>
      <c r="AY137" s="1817" t="s">
        <v>1642</v>
      </c>
      <c r="AZ137" s="114"/>
      <c r="BA137" s="114"/>
      <c r="BB137" s="114"/>
    </row>
    <row r="138" spans="1:55" s="116" customFormat="1" ht="12.75" hidden="1" customHeight="1" outlineLevel="1">
      <c r="A138" s="114"/>
      <c r="B138" s="178" t="s">
        <v>1910</v>
      </c>
      <c r="C138" s="1801"/>
      <c r="D138" s="315">
        <f t="shared" ref="D138:D149" si="22">H138</f>
        <v>0</v>
      </c>
      <c r="E138" s="117"/>
      <c r="F138" s="117"/>
      <c r="G138" s="218">
        <f>VLOOKUP($B138&amp;"; "&amp;$G$136,'FE Energie'!$G:$U,9,FALSE)</f>
        <v>3.1E-2</v>
      </c>
      <c r="H138" s="152">
        <f t="shared" ref="H138:H149" si="23">F138*G138</f>
        <v>0</v>
      </c>
      <c r="T138" s="114"/>
      <c r="U138" s="114"/>
      <c r="V138" s="114"/>
      <c r="W138" s="226">
        <f t="shared" ref="W138:W149" si="24">IF(AC138=0,AC138,AC138/H138)</f>
        <v>0</v>
      </c>
      <c r="X138" s="343"/>
      <c r="Y138" s="820"/>
      <c r="Z138" s="819"/>
      <c r="AA138" s="819"/>
      <c r="AB138" s="819"/>
      <c r="AC138" s="152">
        <f t="shared" ref="AC138:AC149" si="25">SQRT(SUMSQ(IF(ISNA($F138*G138*AW138),0,$F138*G138*AW138)))</f>
        <v>0</v>
      </c>
      <c r="AE138" s="564">
        <f t="shared" ref="AE138:AE149" si="26">H138</f>
        <v>0</v>
      </c>
      <c r="AF138" s="565"/>
      <c r="AG138" s="565"/>
      <c r="AH138" s="565"/>
      <c r="AI138" s="590"/>
      <c r="AJ138" s="441"/>
      <c r="AK138" s="441"/>
      <c r="AL138" s="441"/>
      <c r="AM138" s="444"/>
      <c r="AN138" s="444"/>
      <c r="AO138" s="444"/>
      <c r="AP138" s="114"/>
      <c r="AQ138" s="114"/>
      <c r="AR138" s="1065"/>
      <c r="AS138" s="1066">
        <f>IF($X138&lt;&gt;"votre valeur :",IF(ISNA(VLOOKUP($X138,Utilitaires!$N$566:$O$571,2,FALSE)),,VLOOKUP($X138,Utilitaires!$N$566:$O$571,2,FALSE)),$Y138)</f>
        <v>0</v>
      </c>
      <c r="AT138" s="1066"/>
      <c r="AU138" s="1066"/>
      <c r="AV138" s="1124"/>
      <c r="AW138" s="1068">
        <f>IF(ISNA(SQRT(SUMSQ(VLOOKUP($B138&amp;"; "&amp;$G$136,'FE Energie'!$G:$U,7,FALSE),$AS138))),0,SQRT(SUMSQ(VLOOKUP($B138&amp;"; "&amp;$G$136,'FE Energie'!$G:$U,7,FALSE),$AS138)))</f>
        <v>0.1</v>
      </c>
      <c r="AX138" s="1068"/>
      <c r="AY138" s="1125"/>
      <c r="AZ138" s="114"/>
      <c r="BA138" s="114"/>
      <c r="BB138" s="114"/>
    </row>
    <row r="139" spans="1:55" s="116" customFormat="1" ht="12.75" hidden="1" customHeight="1" outlineLevel="1">
      <c r="A139" s="114"/>
      <c r="B139" s="178" t="s">
        <v>1911</v>
      </c>
      <c r="C139" s="1801"/>
      <c r="D139" s="315">
        <f t="shared" si="22"/>
        <v>0</v>
      </c>
      <c r="E139" s="120"/>
      <c r="F139" s="120"/>
      <c r="G139" s="218">
        <f>VLOOKUP($B139&amp;"; "&amp;$G$136,'FE Energie'!$G:$U,9,FALSE)</f>
        <v>4.1000000000000002E-2</v>
      </c>
      <c r="H139" s="152">
        <f t="shared" si="23"/>
        <v>0</v>
      </c>
      <c r="T139" s="114"/>
      <c r="U139" s="114"/>
      <c r="V139" s="114"/>
      <c r="W139" s="226">
        <f t="shared" si="24"/>
        <v>0</v>
      </c>
      <c r="X139" s="344"/>
      <c r="Y139" s="820"/>
      <c r="Z139" s="819"/>
      <c r="AA139" s="819"/>
      <c r="AB139" s="819"/>
      <c r="AC139" s="152">
        <f t="shared" si="25"/>
        <v>0</v>
      </c>
      <c r="AE139" s="564">
        <f t="shared" si="26"/>
        <v>0</v>
      </c>
      <c r="AF139" s="565"/>
      <c r="AG139" s="565"/>
      <c r="AH139" s="565"/>
      <c r="AI139" s="590"/>
      <c r="AJ139" s="441"/>
      <c r="AK139" s="441"/>
      <c r="AL139" s="441"/>
      <c r="AM139" s="444"/>
      <c r="AN139" s="444"/>
      <c r="AO139" s="444"/>
      <c r="AP139" s="114"/>
      <c r="AQ139" s="114"/>
      <c r="AR139" s="1065"/>
      <c r="AS139" s="1066">
        <f>IF($X139&lt;&gt;"votre valeur :",IF(ISNA(VLOOKUP($X139,Utilitaires!$N$566:$O$571,2,FALSE)),,VLOOKUP($X139,Utilitaires!$N$566:$O$571,2,FALSE)),$Y139)</f>
        <v>0</v>
      </c>
      <c r="AT139" s="1066"/>
      <c r="AU139" s="1066"/>
      <c r="AV139" s="1124"/>
      <c r="AW139" s="1068">
        <f>IF(ISNA(SQRT(SUMSQ(VLOOKUP($B139&amp;"; "&amp;$G$136,'FE Energie'!$G:$U,7,FALSE),$AS139))),0,SQRT(SUMSQ(VLOOKUP($B139&amp;"; "&amp;$G$136,'FE Energie'!$G:$U,7,FALSE),$AS139)))</f>
        <v>0.1</v>
      </c>
      <c r="AX139" s="1068"/>
      <c r="AY139" s="1125"/>
      <c r="AZ139" s="114"/>
      <c r="BA139" s="114"/>
      <c r="BB139" s="114"/>
    </row>
    <row r="140" spans="1:55" s="116" customFormat="1" ht="12.75" hidden="1" customHeight="1" outlineLevel="1">
      <c r="A140" s="114"/>
      <c r="B140" s="178" t="s">
        <v>1912</v>
      </c>
      <c r="C140" s="1801"/>
      <c r="D140" s="315">
        <f t="shared" si="22"/>
        <v>0</v>
      </c>
      <c r="E140" s="120"/>
      <c r="F140" s="120"/>
      <c r="G140" s="218">
        <f>VLOOKUP($B140&amp;"; "&amp;$G$136,'FE Energie'!$G:$U,9,FALSE)</f>
        <v>0.04</v>
      </c>
      <c r="H140" s="152">
        <f t="shared" si="23"/>
        <v>0</v>
      </c>
      <c r="T140" s="114"/>
      <c r="U140" s="114"/>
      <c r="V140" s="114"/>
      <c r="W140" s="226">
        <f t="shared" si="24"/>
        <v>0</v>
      </c>
      <c r="X140" s="344"/>
      <c r="Y140" s="820"/>
      <c r="Z140" s="819"/>
      <c r="AA140" s="819"/>
      <c r="AB140" s="819"/>
      <c r="AC140" s="152">
        <f t="shared" si="25"/>
        <v>0</v>
      </c>
      <c r="AE140" s="564">
        <f t="shared" si="26"/>
        <v>0</v>
      </c>
      <c r="AF140" s="565"/>
      <c r="AG140" s="565"/>
      <c r="AH140" s="565"/>
      <c r="AI140" s="590"/>
      <c r="AJ140" s="441"/>
      <c r="AK140" s="441"/>
      <c r="AL140" s="441"/>
      <c r="AM140" s="444"/>
      <c r="AN140" s="444"/>
      <c r="AO140" s="444"/>
      <c r="AP140" s="114"/>
      <c r="AQ140" s="114"/>
      <c r="AR140" s="1065"/>
      <c r="AS140" s="1066">
        <f>IF($X140&lt;&gt;"votre valeur :",IF(ISNA(VLOOKUP($X140,Utilitaires!$N$566:$O$571,2,FALSE)),,VLOOKUP($X140,Utilitaires!$N$566:$O$571,2,FALSE)),$Y140)</f>
        <v>0</v>
      </c>
      <c r="AT140" s="1066"/>
      <c r="AU140" s="1066"/>
      <c r="AV140" s="1124"/>
      <c r="AW140" s="1068">
        <f>IF(ISNA(SQRT(SUMSQ(VLOOKUP($B140&amp;"; "&amp;$G$136,'FE Energie'!$G:$U,7,FALSE),$AS140))),0,SQRT(SUMSQ(VLOOKUP($B140&amp;"; "&amp;$G$136,'FE Energie'!$G:$U,7,FALSE),$AS140)))</f>
        <v>0.1</v>
      </c>
      <c r="AX140" s="1068"/>
      <c r="AY140" s="1125"/>
      <c r="AZ140" s="114"/>
      <c r="BA140" s="114"/>
      <c r="BB140" s="114"/>
    </row>
    <row r="141" spans="1:55" s="116" customFormat="1" ht="12.75" hidden="1" customHeight="1" outlineLevel="1">
      <c r="A141" s="114"/>
      <c r="B141" s="178" t="s">
        <v>1914</v>
      </c>
      <c r="C141" s="1801"/>
      <c r="D141" s="315">
        <f t="shared" si="22"/>
        <v>0</v>
      </c>
      <c r="E141" s="120"/>
      <c r="F141" s="120"/>
      <c r="G141" s="218">
        <f>VLOOKUP($B141&amp;"; "&amp;$G$136,'FE Energie'!$G:$U,9,FALSE)</f>
        <v>2.7E-2</v>
      </c>
      <c r="H141" s="152">
        <f t="shared" si="23"/>
        <v>0</v>
      </c>
      <c r="T141" s="114"/>
      <c r="U141" s="114"/>
      <c r="V141" s="114"/>
      <c r="W141" s="226">
        <f t="shared" si="24"/>
        <v>0</v>
      </c>
      <c r="X141" s="344"/>
      <c r="Y141" s="820"/>
      <c r="Z141" s="819"/>
      <c r="AA141" s="819"/>
      <c r="AB141" s="819"/>
      <c r="AC141" s="152">
        <f t="shared" si="25"/>
        <v>0</v>
      </c>
      <c r="AE141" s="564">
        <f t="shared" si="26"/>
        <v>0</v>
      </c>
      <c r="AF141" s="565"/>
      <c r="AG141" s="565"/>
      <c r="AH141" s="565"/>
      <c r="AI141" s="590"/>
      <c r="AJ141" s="441"/>
      <c r="AK141" s="441"/>
      <c r="AL141" s="441"/>
      <c r="AM141" s="444"/>
      <c r="AN141" s="444"/>
      <c r="AO141" s="444"/>
      <c r="AP141" s="114"/>
      <c r="AQ141" s="114"/>
      <c r="AR141" s="1065"/>
      <c r="AS141" s="1066">
        <f>IF($X141&lt;&gt;"votre valeur :",IF(ISNA(VLOOKUP($X141,Utilitaires!$N$566:$O$571,2,FALSE)),,VLOOKUP($X141,Utilitaires!$N$566:$O$571,2,FALSE)),$Y141)</f>
        <v>0</v>
      </c>
      <c r="AT141" s="1066"/>
      <c r="AU141" s="1066"/>
      <c r="AV141" s="1124"/>
      <c r="AW141" s="1068">
        <f>IF(ISNA(SQRT(SUMSQ(VLOOKUP($B141&amp;"; "&amp;$G$136,'FE Energie'!$G:$U,7,FALSE),$AS141))),0,SQRT(SUMSQ(VLOOKUP($B141&amp;"; "&amp;$G$136,'FE Energie'!$G:$U,7,FALSE),$AS141)))</f>
        <v>0.1</v>
      </c>
      <c r="AX141" s="1068"/>
      <c r="AY141" s="1125"/>
      <c r="AZ141" s="114"/>
      <c r="BA141" s="114"/>
      <c r="BB141" s="114"/>
    </row>
    <row r="142" spans="1:55" s="116" customFormat="1" ht="12.75" hidden="1" customHeight="1" outlineLevel="1">
      <c r="A142" s="114"/>
      <c r="B142" s="178" t="s">
        <v>1915</v>
      </c>
      <c r="C142" s="1801"/>
      <c r="D142" s="315">
        <f t="shared" si="22"/>
        <v>0</v>
      </c>
      <c r="E142" s="120"/>
      <c r="F142" s="120"/>
      <c r="G142" s="218">
        <f>VLOOKUP($B142&amp;"; "&amp;$G$136,'FE Energie'!$G:$U,9,FALSE)</f>
        <v>3.3000000000000002E-2</v>
      </c>
      <c r="H142" s="152">
        <f t="shared" si="23"/>
        <v>0</v>
      </c>
      <c r="T142" s="114"/>
      <c r="U142" s="114"/>
      <c r="V142" s="114"/>
      <c r="W142" s="226">
        <f t="shared" si="24"/>
        <v>0</v>
      </c>
      <c r="X142" s="344"/>
      <c r="Y142" s="820"/>
      <c r="Z142" s="819"/>
      <c r="AA142" s="819"/>
      <c r="AB142" s="819"/>
      <c r="AC142" s="152">
        <f t="shared" si="25"/>
        <v>0</v>
      </c>
      <c r="AE142" s="564">
        <f t="shared" si="26"/>
        <v>0</v>
      </c>
      <c r="AF142" s="565"/>
      <c r="AG142" s="565"/>
      <c r="AH142" s="565"/>
      <c r="AI142" s="590"/>
      <c r="AJ142" s="441"/>
      <c r="AK142" s="441"/>
      <c r="AL142" s="441"/>
      <c r="AM142" s="444"/>
      <c r="AN142" s="444"/>
      <c r="AO142" s="444"/>
      <c r="AP142" s="114"/>
      <c r="AQ142" s="114"/>
      <c r="AR142" s="1065"/>
      <c r="AS142" s="1066">
        <f>IF($X142&lt;&gt;"votre valeur :",IF(ISNA(VLOOKUP($X142,Utilitaires!$N$566:$O$571,2,FALSE)),,VLOOKUP($X142,Utilitaires!$N$566:$O$571,2,FALSE)),$Y142)</f>
        <v>0</v>
      </c>
      <c r="AT142" s="1066"/>
      <c r="AU142" s="1066"/>
      <c r="AV142" s="1124"/>
      <c r="AW142" s="1068">
        <f>IF(ISNA(SQRT(SUMSQ(VLOOKUP($B142&amp;"; "&amp;$G$136,'FE Energie'!$G:$U,7,FALSE),$AS142))),0,SQRT(SUMSQ(VLOOKUP($B142&amp;"; "&amp;$G$136,'FE Energie'!$G:$U,7,FALSE),$AS142)))</f>
        <v>0.1</v>
      </c>
      <c r="AX142" s="1068"/>
      <c r="AY142" s="1125"/>
      <c r="AZ142" s="114"/>
      <c r="BA142" s="114"/>
      <c r="BB142" s="114"/>
    </row>
    <row r="143" spans="1:55" s="116" customFormat="1" ht="12.75" hidden="1" customHeight="1" outlineLevel="1">
      <c r="A143" s="114"/>
      <c r="B143" s="178" t="s">
        <v>1913</v>
      </c>
      <c r="C143" s="1801"/>
      <c r="D143" s="315">
        <f t="shared" si="22"/>
        <v>0</v>
      </c>
      <c r="E143" s="120"/>
      <c r="F143" s="120"/>
      <c r="G143" s="218">
        <f>VLOOKUP($B143&amp;"; "&amp;$G$136,'FE Energie'!$G:$U,9,FALSE)</f>
        <v>2.1999999999999999E-2</v>
      </c>
      <c r="H143" s="152">
        <f t="shared" si="23"/>
        <v>0</v>
      </c>
      <c r="T143" s="114"/>
      <c r="U143" s="114"/>
      <c r="V143" s="114"/>
      <c r="W143" s="226">
        <f t="shared" si="24"/>
        <v>0</v>
      </c>
      <c r="X143" s="344"/>
      <c r="Y143" s="820"/>
      <c r="Z143" s="819"/>
      <c r="AA143" s="819"/>
      <c r="AB143" s="819"/>
      <c r="AC143" s="152">
        <f t="shared" si="25"/>
        <v>0</v>
      </c>
      <c r="AE143" s="564">
        <f t="shared" si="26"/>
        <v>0</v>
      </c>
      <c r="AF143" s="565"/>
      <c r="AG143" s="565"/>
      <c r="AH143" s="565"/>
      <c r="AI143" s="590"/>
      <c r="AJ143" s="441"/>
      <c r="AK143" s="441"/>
      <c r="AL143" s="441"/>
      <c r="AM143" s="444"/>
      <c r="AN143" s="444"/>
      <c r="AO143" s="444"/>
      <c r="AP143" s="114"/>
      <c r="AQ143" s="114"/>
      <c r="AR143" s="1065"/>
      <c r="AS143" s="1066">
        <f>IF($X143&lt;&gt;"votre valeur :",IF(ISNA(VLOOKUP($X143,Utilitaires!$N$566:$O$571,2,FALSE)),,VLOOKUP($X143,Utilitaires!$N$566:$O$571,2,FALSE)),$Y143)</f>
        <v>0</v>
      </c>
      <c r="AT143" s="1066"/>
      <c r="AU143" s="1066"/>
      <c r="AV143" s="1124"/>
      <c r="AW143" s="1068">
        <f>IF(ISNA(SQRT(SUMSQ(VLOOKUP($B143&amp;"; "&amp;$G$136,'FE Energie'!$G:$U,7,FALSE),$AS143))),0,SQRT(SUMSQ(VLOOKUP($B143&amp;"; "&amp;$G$136,'FE Energie'!$G:$U,7,FALSE),$AS143)))</f>
        <v>0.1</v>
      </c>
      <c r="AX143" s="1068"/>
      <c r="AY143" s="1125"/>
      <c r="AZ143" s="114"/>
      <c r="BA143" s="114"/>
      <c r="BB143" s="114"/>
    </row>
    <row r="144" spans="1:55" s="116" customFormat="1" ht="12.75" hidden="1" customHeight="1" outlineLevel="1">
      <c r="A144" s="114"/>
      <c r="B144" s="178" t="s">
        <v>1916</v>
      </c>
      <c r="C144" s="1801"/>
      <c r="D144" s="315">
        <f t="shared" si="22"/>
        <v>0</v>
      </c>
      <c r="E144" s="120"/>
      <c r="F144" s="120"/>
      <c r="G144" s="218">
        <f>VLOOKUP($B144&amp;"; "&amp;$G$136,'FE Energie'!$G:$U,9,FALSE)</f>
        <v>1.4999999999999999E-2</v>
      </c>
      <c r="H144" s="152">
        <f t="shared" si="23"/>
        <v>0</v>
      </c>
      <c r="T144" s="114"/>
      <c r="U144" s="114"/>
      <c r="V144" s="114"/>
      <c r="W144" s="226">
        <f t="shared" si="24"/>
        <v>0</v>
      </c>
      <c r="X144" s="344"/>
      <c r="Y144" s="820"/>
      <c r="Z144" s="819"/>
      <c r="AA144" s="819"/>
      <c r="AB144" s="819"/>
      <c r="AC144" s="152">
        <f t="shared" si="25"/>
        <v>0</v>
      </c>
      <c r="AE144" s="564">
        <f t="shared" si="26"/>
        <v>0</v>
      </c>
      <c r="AF144" s="565"/>
      <c r="AG144" s="565"/>
      <c r="AH144" s="565"/>
      <c r="AI144" s="590"/>
      <c r="AJ144" s="441"/>
      <c r="AK144" s="441"/>
      <c r="AL144" s="441"/>
      <c r="AM144" s="444"/>
      <c r="AN144" s="444"/>
      <c r="AO144" s="444"/>
      <c r="AP144" s="114"/>
      <c r="AQ144" s="114"/>
      <c r="AR144" s="1065"/>
      <c r="AS144" s="1066">
        <f>IF($X144&lt;&gt;"votre valeur :",IF(ISNA(VLOOKUP($X144,Utilitaires!$N$566:$O$571,2,FALSE)),,VLOOKUP($X144,Utilitaires!$N$566:$O$571,2,FALSE)),$Y144)</f>
        <v>0</v>
      </c>
      <c r="AT144" s="1066"/>
      <c r="AU144" s="1066"/>
      <c r="AV144" s="1124"/>
      <c r="AW144" s="1068">
        <f>IF(ISNA(SQRT(SUMSQ(VLOOKUP($B144&amp;"; "&amp;$G$136,'FE Energie'!$G:$U,7,FALSE),$AS144))),0,SQRT(SUMSQ(VLOOKUP($B144&amp;"; "&amp;$G$136,'FE Energie'!$G:$U,7,FALSE),$AS144)))</f>
        <v>0.1</v>
      </c>
      <c r="AX144" s="1068"/>
      <c r="AY144" s="1125"/>
      <c r="AZ144" s="114"/>
      <c r="BA144" s="114"/>
      <c r="BB144" s="114"/>
    </row>
    <row r="145" spans="1:56" s="116" customFormat="1" ht="12.75" hidden="1" customHeight="1" outlineLevel="1">
      <c r="A145" s="114"/>
      <c r="B145" s="178" t="s">
        <v>1917</v>
      </c>
      <c r="C145" s="1801"/>
      <c r="D145" s="315">
        <f t="shared" si="22"/>
        <v>0</v>
      </c>
      <c r="E145" s="120"/>
      <c r="F145" s="120"/>
      <c r="G145" s="218">
        <f>VLOOKUP($B145&amp;"; "&amp;$G$136,'FE Energie'!$G:$U,9,FALSE)</f>
        <v>1.7000000000000001E-2</v>
      </c>
      <c r="H145" s="152">
        <f t="shared" si="23"/>
        <v>0</v>
      </c>
      <c r="T145" s="114"/>
      <c r="U145" s="114"/>
      <c r="V145" s="114"/>
      <c r="W145" s="226">
        <f t="shared" si="24"/>
        <v>0</v>
      </c>
      <c r="X145" s="344"/>
      <c r="Y145" s="820"/>
      <c r="Z145" s="819"/>
      <c r="AA145" s="819"/>
      <c r="AB145" s="819"/>
      <c r="AC145" s="152">
        <f t="shared" si="25"/>
        <v>0</v>
      </c>
      <c r="AE145" s="564">
        <f t="shared" si="26"/>
        <v>0</v>
      </c>
      <c r="AF145" s="565"/>
      <c r="AG145" s="565"/>
      <c r="AH145" s="565"/>
      <c r="AI145" s="590"/>
      <c r="AJ145" s="441"/>
      <c r="AK145" s="441"/>
      <c r="AL145" s="441"/>
      <c r="AM145" s="444"/>
      <c r="AN145" s="444"/>
      <c r="AO145" s="444"/>
      <c r="AP145" s="114"/>
      <c r="AQ145" s="114"/>
      <c r="AR145" s="1065"/>
      <c r="AS145" s="1066">
        <f>IF($X145&lt;&gt;"votre valeur :",IF(ISNA(VLOOKUP($X145,Utilitaires!$N$566:$O$571,2,FALSE)),,VLOOKUP($X145,Utilitaires!$N$566:$O$571,2,FALSE)),$Y145)</f>
        <v>0</v>
      </c>
      <c r="AT145" s="1066"/>
      <c r="AU145" s="1066"/>
      <c r="AV145" s="1124"/>
      <c r="AW145" s="1068">
        <f>IF(ISNA(SQRT(SUMSQ(VLOOKUP($B145&amp;"; "&amp;$G$136,'FE Energie'!$G:$U,7,FALSE),$AS145))),0,SQRT(SUMSQ(VLOOKUP($B145&amp;"; "&amp;$G$136,'FE Energie'!$G:$U,7,FALSE),$AS145)))</f>
        <v>0.1</v>
      </c>
      <c r="AX145" s="1068"/>
      <c r="AY145" s="1125"/>
      <c r="AZ145" s="114"/>
      <c r="BA145" s="114"/>
      <c r="BB145" s="114"/>
    </row>
    <row r="146" spans="1:56" s="116" customFormat="1" ht="12.75" hidden="1" customHeight="1" outlineLevel="1">
      <c r="A146" s="114"/>
      <c r="B146" s="178" t="s">
        <v>1918</v>
      </c>
      <c r="C146" s="1801"/>
      <c r="D146" s="315">
        <f t="shared" si="22"/>
        <v>0</v>
      </c>
      <c r="E146" s="120"/>
      <c r="F146" s="120"/>
      <c r="G146" s="218">
        <f>VLOOKUP($B146&amp;"; "&amp;$G$136,'FE Energie'!$G:$U,9,FALSE)</f>
        <v>4.8000000000000001E-2</v>
      </c>
      <c r="H146" s="152">
        <f t="shared" si="23"/>
        <v>0</v>
      </c>
      <c r="T146" s="114"/>
      <c r="U146" s="114"/>
      <c r="V146" s="114"/>
      <c r="W146" s="226">
        <f t="shared" si="24"/>
        <v>0</v>
      </c>
      <c r="X146" s="344"/>
      <c r="Y146" s="820"/>
      <c r="Z146" s="819"/>
      <c r="AA146" s="819"/>
      <c r="AB146" s="819"/>
      <c r="AC146" s="152">
        <f t="shared" si="25"/>
        <v>0</v>
      </c>
      <c r="AE146" s="564">
        <f t="shared" si="26"/>
        <v>0</v>
      </c>
      <c r="AF146" s="565"/>
      <c r="AG146" s="565"/>
      <c r="AH146" s="565"/>
      <c r="AI146" s="590"/>
      <c r="AJ146" s="441"/>
      <c r="AK146" s="441"/>
      <c r="AL146" s="441"/>
      <c r="AM146" s="444"/>
      <c r="AN146" s="444"/>
      <c r="AO146" s="444"/>
      <c r="AP146" s="114"/>
      <c r="AQ146" s="114"/>
      <c r="AR146" s="1065"/>
      <c r="AS146" s="1066">
        <f>IF($X146&lt;&gt;"votre valeur :",IF(ISNA(VLOOKUP($X146,Utilitaires!$N$566:$O$571,2,FALSE)),,VLOOKUP($X146,Utilitaires!$N$566:$O$571,2,FALSE)),$Y146)</f>
        <v>0</v>
      </c>
      <c r="AT146" s="1066"/>
      <c r="AU146" s="1066"/>
      <c r="AV146" s="1124"/>
      <c r="AW146" s="1068">
        <f>IF(ISNA(SQRT(SUMSQ(VLOOKUP($B146&amp;"; "&amp;$G$136,'FE Energie'!$G:$U,7,FALSE),$AS146))),0,SQRT(SUMSQ(VLOOKUP($B146&amp;"; "&amp;$G$136,'FE Energie'!$G:$U,7,FALSE),$AS146)))</f>
        <v>0.1</v>
      </c>
      <c r="AX146" s="1068"/>
      <c r="AY146" s="1125"/>
      <c r="AZ146" s="114"/>
      <c r="BA146" s="114"/>
      <c r="BB146" s="114"/>
    </row>
    <row r="147" spans="1:56" s="116" customFormat="1" ht="12.75" hidden="1" customHeight="1" outlineLevel="1">
      <c r="A147" s="114"/>
      <c r="B147" s="178" t="s">
        <v>1919</v>
      </c>
      <c r="C147" s="1801"/>
      <c r="D147" s="315">
        <f t="shared" si="22"/>
        <v>0</v>
      </c>
      <c r="E147" s="120"/>
      <c r="F147" s="120"/>
      <c r="G147" s="218">
        <f>VLOOKUP($B147&amp;"; "&amp;$G$136,'FE Energie'!$G:$U,9,FALSE)</f>
        <v>4.8000000000000001E-2</v>
      </c>
      <c r="H147" s="152">
        <f t="shared" si="23"/>
        <v>0</v>
      </c>
      <c r="T147" s="114"/>
      <c r="U147" s="114"/>
      <c r="V147" s="114"/>
      <c r="W147" s="226">
        <f t="shared" si="24"/>
        <v>0</v>
      </c>
      <c r="X147" s="344"/>
      <c r="Y147" s="820"/>
      <c r="Z147" s="819"/>
      <c r="AA147" s="819"/>
      <c r="AB147" s="819"/>
      <c r="AC147" s="152">
        <f t="shared" si="25"/>
        <v>0</v>
      </c>
      <c r="AE147" s="564">
        <f t="shared" si="26"/>
        <v>0</v>
      </c>
      <c r="AF147" s="565"/>
      <c r="AG147" s="565"/>
      <c r="AH147" s="565"/>
      <c r="AI147" s="590"/>
      <c r="AJ147" s="441"/>
      <c r="AK147" s="441"/>
      <c r="AL147" s="441"/>
      <c r="AM147" s="444"/>
      <c r="AN147" s="444"/>
      <c r="AO147" s="444"/>
      <c r="AP147" s="114"/>
      <c r="AQ147" s="114"/>
      <c r="AR147" s="1065"/>
      <c r="AS147" s="1066">
        <f>IF($X147&lt;&gt;"votre valeur :",IF(ISNA(VLOOKUP($X147,Utilitaires!$N$566:$O$571,2,FALSE)),,VLOOKUP($X147,Utilitaires!$N$566:$O$571,2,FALSE)),$Y147)</f>
        <v>0</v>
      </c>
      <c r="AT147" s="1066"/>
      <c r="AU147" s="1066"/>
      <c r="AV147" s="1124"/>
      <c r="AW147" s="1068">
        <f>IF(ISNA(SQRT(SUMSQ(VLOOKUP($B147&amp;"; "&amp;$G$136,'FE Energie'!$G:$U,7,FALSE),$AS147))),0,SQRT(SUMSQ(VLOOKUP($B147&amp;"; "&amp;$G$136,'FE Energie'!$G:$U,7,FALSE),$AS147)))</f>
        <v>0.1</v>
      </c>
      <c r="AX147" s="1068"/>
      <c r="AY147" s="1125"/>
      <c r="AZ147" s="114"/>
      <c r="BA147" s="114"/>
      <c r="BB147" s="114"/>
    </row>
    <row r="148" spans="1:56" s="116" customFormat="1" ht="12.75" hidden="1" customHeight="1" outlineLevel="1">
      <c r="A148" s="114"/>
      <c r="B148" s="178" t="s">
        <v>1920</v>
      </c>
      <c r="C148" s="1801"/>
      <c r="D148" s="315">
        <f t="shared" si="22"/>
        <v>0</v>
      </c>
      <c r="E148" s="120"/>
      <c r="F148" s="120"/>
      <c r="G148" s="218">
        <f>VLOOKUP($B148&amp;"; "&amp;$G$136,'FE Energie'!$G:$U,9,FALSE)</f>
        <v>5.6000000000000001E-2</v>
      </c>
      <c r="H148" s="152">
        <f t="shared" si="23"/>
        <v>0</v>
      </c>
      <c r="T148" s="114"/>
      <c r="U148" s="114"/>
      <c r="V148" s="114"/>
      <c r="W148" s="226">
        <f t="shared" si="24"/>
        <v>0</v>
      </c>
      <c r="X148" s="344"/>
      <c r="Y148" s="820"/>
      <c r="Z148" s="819"/>
      <c r="AA148" s="819"/>
      <c r="AB148" s="819"/>
      <c r="AC148" s="152">
        <f t="shared" si="25"/>
        <v>0</v>
      </c>
      <c r="AE148" s="564">
        <f t="shared" si="26"/>
        <v>0</v>
      </c>
      <c r="AF148" s="565"/>
      <c r="AG148" s="565"/>
      <c r="AH148" s="565"/>
      <c r="AI148" s="590"/>
      <c r="AJ148" s="441"/>
      <c r="AK148" s="441"/>
      <c r="AL148" s="441"/>
      <c r="AM148" s="444"/>
      <c r="AN148" s="444"/>
      <c r="AO148" s="444"/>
      <c r="AP148" s="114"/>
      <c r="AQ148" s="114"/>
      <c r="AR148" s="1065"/>
      <c r="AS148" s="1066">
        <f>IF($X148&lt;&gt;"votre valeur :",IF(ISNA(VLOOKUP($X148,Utilitaires!$N$566:$O$571,2,FALSE)),,VLOOKUP($X148,Utilitaires!$N$566:$O$571,2,FALSE)),$Y148)</f>
        <v>0</v>
      </c>
      <c r="AT148" s="1066"/>
      <c r="AU148" s="1066"/>
      <c r="AV148" s="1124"/>
      <c r="AW148" s="1068">
        <f>IF(ISNA(SQRT(SUMSQ(VLOOKUP($B148&amp;"; "&amp;$G$136,'FE Energie'!$G:$U,7,FALSE),$AS148))),0,SQRT(SUMSQ(VLOOKUP($B148&amp;"; "&amp;$G$136,'FE Energie'!$G:$U,7,FALSE),$AS148)))</f>
        <v>0.1</v>
      </c>
      <c r="AX148" s="1068"/>
      <c r="AY148" s="1125"/>
      <c r="AZ148" s="114"/>
      <c r="BA148" s="114"/>
      <c r="BB148" s="114"/>
    </row>
    <row r="149" spans="1:56" s="116" customFormat="1" ht="12.75" hidden="1" customHeight="1" outlineLevel="1">
      <c r="A149" s="114"/>
      <c r="B149" s="178" t="s">
        <v>1921</v>
      </c>
      <c r="C149" s="1801"/>
      <c r="D149" s="315">
        <f t="shared" si="22"/>
        <v>0</v>
      </c>
      <c r="E149" s="123"/>
      <c r="F149" s="123"/>
      <c r="G149" s="218">
        <f>VLOOKUP($B149&amp;"; "&amp;$G$136,'FE Energie'!$G:$U,9,FALSE)</f>
        <v>2.7E-2</v>
      </c>
      <c r="H149" s="152">
        <f t="shared" si="23"/>
        <v>0</v>
      </c>
      <c r="T149" s="114"/>
      <c r="U149" s="114"/>
      <c r="V149" s="114"/>
      <c r="W149" s="226">
        <f t="shared" si="24"/>
        <v>0</v>
      </c>
      <c r="X149" s="345"/>
      <c r="Y149" s="820"/>
      <c r="Z149" s="819"/>
      <c r="AA149" s="819"/>
      <c r="AB149" s="819"/>
      <c r="AC149" s="152">
        <f t="shared" si="25"/>
        <v>0</v>
      </c>
      <c r="AE149" s="564">
        <f t="shared" si="26"/>
        <v>0</v>
      </c>
      <c r="AF149" s="565"/>
      <c r="AG149" s="565"/>
      <c r="AH149" s="565"/>
      <c r="AI149" s="590"/>
      <c r="AJ149" s="441"/>
      <c r="AK149" s="441"/>
      <c r="AL149" s="441"/>
      <c r="AM149" s="444"/>
      <c r="AN149" s="444"/>
      <c r="AO149" s="444"/>
      <c r="AP149" s="114"/>
      <c r="AQ149" s="114"/>
      <c r="AR149" s="1065"/>
      <c r="AS149" s="1066">
        <f>IF($X149&lt;&gt;"votre valeur :",IF(ISNA(VLOOKUP($X149,Utilitaires!$N$566:$O$571,2,FALSE)),,VLOOKUP($X149,Utilitaires!$N$566:$O$571,2,FALSE)),$Y149)</f>
        <v>0</v>
      </c>
      <c r="AT149" s="1066"/>
      <c r="AU149" s="1066"/>
      <c r="AV149" s="1124"/>
      <c r="AW149" s="1068">
        <f>IF(ISNA(SQRT(SUMSQ(VLOOKUP($B149&amp;"; "&amp;$G$136,'FE Energie'!$G:$U,7,FALSE),$AS149))),0,SQRT(SUMSQ(VLOOKUP($B149&amp;"; "&amp;$G$136,'FE Energie'!$G:$U,7,FALSE),$AS149)))</f>
        <v>0.1</v>
      </c>
      <c r="AX149" s="1068"/>
      <c r="AY149" s="1125"/>
      <c r="AZ149" s="114"/>
      <c r="BA149" s="114"/>
      <c r="BB149" s="114"/>
    </row>
    <row r="150" spans="1:56" s="116" customFormat="1" ht="12.75" hidden="1" customHeight="1" outlineLevel="1">
      <c r="A150" s="114"/>
      <c r="B150" s="143"/>
      <c r="C150" s="1801"/>
      <c r="D150" s="315"/>
      <c r="E150" s="150"/>
      <c r="F150" s="150"/>
      <c r="G150" s="150"/>
      <c r="H150" s="152"/>
      <c r="T150" s="114"/>
      <c r="U150" s="114"/>
      <c r="V150" s="114"/>
      <c r="W150" s="163"/>
      <c r="X150" s="820"/>
      <c r="Y150" s="820"/>
      <c r="Z150" s="819"/>
      <c r="AA150" s="819"/>
      <c r="AB150" s="819"/>
      <c r="AC150" s="165"/>
      <c r="AE150" s="564"/>
      <c r="AF150" s="565"/>
      <c r="AG150" s="565"/>
      <c r="AH150" s="565"/>
      <c r="AI150" s="590"/>
      <c r="AJ150" s="441"/>
      <c r="AK150" s="441"/>
      <c r="AL150" s="441"/>
      <c r="AM150" s="444"/>
      <c r="AN150" s="444"/>
      <c r="AO150" s="444"/>
      <c r="AP150" s="114"/>
      <c r="AQ150" s="114"/>
      <c r="AR150" s="1087"/>
      <c r="AS150" s="1088"/>
      <c r="AT150" s="1088"/>
      <c r="AU150" s="1088"/>
      <c r="AV150" s="1126"/>
      <c r="AW150" s="1073"/>
      <c r="AX150" s="1073"/>
      <c r="AY150" s="1074"/>
      <c r="AZ150" s="114"/>
      <c r="BA150" s="114"/>
      <c r="BB150" s="114"/>
    </row>
    <row r="151" spans="1:56" s="116" customFormat="1" ht="12.75" hidden="1" customHeight="1" outlineLevel="1">
      <c r="A151" s="114"/>
      <c r="B151" s="143" t="s">
        <v>535</v>
      </c>
      <c r="C151" s="144"/>
      <c r="D151" s="315"/>
      <c r="E151" s="144"/>
      <c r="F151" s="164">
        <f>SUM(F138:F149)</f>
        <v>0</v>
      </c>
      <c r="G151" s="144"/>
      <c r="H151" s="165"/>
      <c r="T151" s="114"/>
      <c r="U151" s="114"/>
      <c r="V151" s="114"/>
      <c r="W151" s="143"/>
      <c r="X151" s="820"/>
      <c r="Y151" s="820"/>
      <c r="Z151" s="819"/>
      <c r="AA151" s="819"/>
      <c r="AB151" s="819"/>
      <c r="AC151" s="165"/>
      <c r="AE151" s="564"/>
      <c r="AF151" s="565"/>
      <c r="AG151" s="565"/>
      <c r="AH151" s="565"/>
      <c r="AI151" s="591"/>
      <c r="AJ151" s="441"/>
      <c r="AK151" s="441"/>
      <c r="AL151" s="441"/>
      <c r="AM151" s="444"/>
      <c r="AN151" s="444"/>
      <c r="AO151" s="444"/>
      <c r="AP151" s="114"/>
      <c r="AQ151" s="114"/>
      <c r="AR151" s="114"/>
      <c r="AS151" s="114"/>
      <c r="AT151" s="114"/>
      <c r="AU151" s="114"/>
      <c r="AV151" s="114"/>
      <c r="AW151" s="114"/>
      <c r="AX151" s="114"/>
      <c r="AY151" s="114"/>
      <c r="AZ151" s="114"/>
      <c r="BA151" s="114"/>
      <c r="BB151" s="114"/>
    </row>
    <row r="152" spans="1:56" s="116" customFormat="1" ht="12.75" hidden="1" customHeight="1" outlineLevel="1">
      <c r="A152" s="114"/>
      <c r="B152" s="196" t="s">
        <v>319</v>
      </c>
      <c r="C152" s="197"/>
      <c r="D152" s="202">
        <f>SUM(D138:D151)</f>
        <v>0</v>
      </c>
      <c r="E152" s="197"/>
      <c r="F152" s="197"/>
      <c r="G152" s="197"/>
      <c r="H152" s="200">
        <f>SUM(H138:H151)</f>
        <v>0</v>
      </c>
      <c r="T152" s="114"/>
      <c r="U152" s="114"/>
      <c r="V152" s="114"/>
      <c r="W152" s="1203">
        <f>IF(AC152=0,AC152,AC152/H152)</f>
        <v>0</v>
      </c>
      <c r="X152" s="821"/>
      <c r="Y152" s="821"/>
      <c r="Z152" s="821"/>
      <c r="AA152" s="821"/>
      <c r="AB152" s="821"/>
      <c r="AC152" s="200">
        <f>SQRT(SUMSQ(AC138:AC151))</f>
        <v>0</v>
      </c>
      <c r="AE152" s="571">
        <f>SUM(AE138:AE151)</f>
        <v>0</v>
      </c>
      <c r="AF152" s="572">
        <f>SUM(AF138:AF151)</f>
        <v>0</v>
      </c>
      <c r="AG152" s="572">
        <f>SUM(AG138:AG151)</f>
        <v>0</v>
      </c>
      <c r="AH152" s="572">
        <f>SUM(AH138:AH151)</f>
        <v>0</v>
      </c>
      <c r="AI152" s="592">
        <f>SUM(AI138:AI151)</f>
        <v>0</v>
      </c>
      <c r="AJ152" s="441"/>
      <c r="AK152" s="441"/>
      <c r="AL152" s="441"/>
      <c r="AM152" s="444"/>
      <c r="AN152" s="444"/>
      <c r="AO152" s="444"/>
      <c r="AP152" s="114"/>
      <c r="AQ152" s="114"/>
      <c r="AR152" s="114"/>
      <c r="AS152" s="114"/>
      <c r="AT152" s="114"/>
      <c r="AU152" s="114"/>
      <c r="AV152" s="114"/>
      <c r="AW152" s="114"/>
      <c r="AX152" s="114"/>
      <c r="AY152" s="114"/>
      <c r="AZ152" s="114"/>
      <c r="BA152" s="114"/>
      <c r="BB152" s="114"/>
    </row>
    <row r="153" spans="1:56" s="116" customFormat="1" ht="12.75" hidden="1" customHeight="1" outlineLevel="1">
      <c r="A153" s="114"/>
      <c r="B153" s="114"/>
      <c r="C153" s="114"/>
      <c r="D153" s="114"/>
      <c r="E153" s="114"/>
      <c r="F153" s="114"/>
      <c r="G153" s="114"/>
      <c r="H153" s="114"/>
      <c r="J153" s="114"/>
      <c r="K153" s="114"/>
      <c r="L153" s="114"/>
      <c r="M153" s="114"/>
      <c r="N153" s="114"/>
      <c r="O153" s="114"/>
      <c r="P153" s="114"/>
      <c r="Q153" s="114"/>
      <c r="S153" s="114"/>
      <c r="T153" s="114"/>
      <c r="U153" s="114"/>
      <c r="V153" s="114"/>
      <c r="W153" s="114"/>
      <c r="X153" s="126"/>
      <c r="Y153" s="126"/>
      <c r="AA153" s="114"/>
      <c r="AB153" s="114"/>
      <c r="AC153" s="114"/>
      <c r="AE153" s="441"/>
      <c r="AF153" s="441"/>
      <c r="AG153" s="441"/>
      <c r="AH153" s="441"/>
      <c r="AI153" s="441"/>
      <c r="AJ153" s="441"/>
      <c r="AK153" s="441"/>
      <c r="AL153" s="441"/>
      <c r="AM153" s="444"/>
      <c r="AN153" s="444"/>
      <c r="AO153" s="444"/>
      <c r="AP153" s="441"/>
      <c r="AQ153" s="114"/>
      <c r="AR153" s="109"/>
      <c r="AS153" s="109"/>
      <c r="AT153" s="109"/>
      <c r="AU153" s="109"/>
      <c r="AV153" s="109"/>
      <c r="AW153" s="109"/>
      <c r="AX153" s="109"/>
      <c r="AY153" s="109"/>
      <c r="AZ153" s="109"/>
      <c r="BA153" s="109"/>
      <c r="BB153" s="109"/>
      <c r="BC153" s="109"/>
      <c r="BD153" s="127"/>
    </row>
    <row r="154" spans="1:56" s="116" customFormat="1" ht="12.75" hidden="1" customHeight="1" outlineLevel="1">
      <c r="A154" s="114"/>
      <c r="B154" s="139" t="s">
        <v>2391</v>
      </c>
      <c r="C154" s="140"/>
      <c r="D154" s="141"/>
      <c r="E154" s="1808"/>
      <c r="F154" s="141"/>
      <c r="G154" s="141"/>
      <c r="H154" s="141"/>
      <c r="I154" s="141"/>
      <c r="J154" s="141"/>
      <c r="K154" s="179"/>
      <c r="T154" s="114"/>
      <c r="U154" s="114"/>
      <c r="V154" s="114"/>
      <c r="W154" s="2636" t="s">
        <v>366</v>
      </c>
      <c r="X154" s="2637"/>
      <c r="Y154" s="2637"/>
      <c r="Z154" s="2637"/>
      <c r="AA154" s="2637"/>
      <c r="AB154" s="2637"/>
      <c r="AC154" s="2638"/>
      <c r="AE154" s="1132" t="s">
        <v>441</v>
      </c>
      <c r="AF154" s="1127"/>
      <c r="AG154" s="1127"/>
      <c r="AH154" s="1127"/>
      <c r="AI154" s="1128"/>
      <c r="AJ154" s="441"/>
      <c r="AK154" s="441"/>
      <c r="AL154" s="441"/>
      <c r="AM154" s="444"/>
      <c r="AN154" s="444"/>
      <c r="AO154" s="444"/>
      <c r="AP154" s="114"/>
      <c r="AQ154" s="109"/>
      <c r="AR154" s="109"/>
      <c r="AS154" s="109"/>
      <c r="AT154" s="109"/>
      <c r="AU154" s="109"/>
      <c r="AV154" s="109"/>
      <c r="AW154" s="109"/>
      <c r="AX154" s="109"/>
      <c r="AY154" s="109"/>
      <c r="AZ154" s="109"/>
      <c r="BA154" s="109"/>
      <c r="BB154" s="109"/>
      <c r="BC154" s="127"/>
    </row>
    <row r="155" spans="1:56" s="116" customFormat="1" ht="12.75" hidden="1" customHeight="1" outlineLevel="1">
      <c r="A155" s="114"/>
      <c r="B155" s="143" t="s">
        <v>26</v>
      </c>
      <c r="C155" s="144"/>
      <c r="D155" s="1812" t="s">
        <v>308</v>
      </c>
      <c r="E155" s="1801"/>
      <c r="F155" s="144"/>
      <c r="G155" s="144"/>
      <c r="H155" s="144"/>
      <c r="I155" s="144"/>
      <c r="J155" s="144"/>
      <c r="K155" s="168"/>
      <c r="T155" s="114"/>
      <c r="U155" s="114"/>
      <c r="V155" s="114"/>
      <c r="W155" s="1800"/>
      <c r="X155" s="819"/>
      <c r="Y155" s="819"/>
      <c r="Z155" s="819"/>
      <c r="AA155" s="819"/>
      <c r="AB155" s="819"/>
      <c r="AC155" s="145"/>
      <c r="AE155" s="584"/>
      <c r="AF155" s="585"/>
      <c r="AG155" s="585"/>
      <c r="AH155" s="585"/>
      <c r="AI155" s="586"/>
      <c r="AJ155" s="441"/>
      <c r="AK155" s="441"/>
      <c r="AL155" s="441"/>
      <c r="AM155" s="444"/>
      <c r="AN155" s="444"/>
      <c r="AO155" s="444"/>
      <c r="AP155" s="114"/>
      <c r="AQ155" s="114"/>
      <c r="AR155" s="2616" t="s">
        <v>1648</v>
      </c>
      <c r="AS155" s="2617"/>
      <c r="AT155" s="2617"/>
      <c r="AU155" s="2617"/>
      <c r="AV155" s="2617"/>
      <c r="AW155" s="2617"/>
      <c r="AX155" s="2617"/>
      <c r="AY155" s="2618"/>
      <c r="AZ155" s="114"/>
      <c r="BA155" s="114"/>
      <c r="BB155" s="114"/>
    </row>
    <row r="156" spans="1:56" s="127" customFormat="1" ht="12.75" hidden="1" customHeight="1" outlineLevel="1">
      <c r="A156" s="114"/>
      <c r="B156" s="180" t="s">
        <v>27</v>
      </c>
      <c r="C156" s="181"/>
      <c r="D156" s="1812" t="s">
        <v>409</v>
      </c>
      <c r="E156" s="147" t="s">
        <v>452</v>
      </c>
      <c r="F156" s="147" t="s">
        <v>455</v>
      </c>
      <c r="G156" s="147" t="s">
        <v>1</v>
      </c>
      <c r="H156" s="1801" t="s">
        <v>1681</v>
      </c>
      <c r="I156" s="1801" t="s">
        <v>309</v>
      </c>
      <c r="J156" s="1801" t="s">
        <v>444</v>
      </c>
      <c r="K156" s="1814" t="s">
        <v>444</v>
      </c>
      <c r="T156" s="109"/>
      <c r="U156" s="109"/>
      <c r="V156" s="114"/>
      <c r="W156" s="1800" t="s">
        <v>316</v>
      </c>
      <c r="X156" s="2629" t="s">
        <v>316</v>
      </c>
      <c r="Y156" s="2630"/>
      <c r="Z156" s="819"/>
      <c r="AA156" s="819"/>
      <c r="AB156" s="819"/>
      <c r="AC156" s="1814" t="s">
        <v>444</v>
      </c>
      <c r="AE156" s="2657" t="s">
        <v>444</v>
      </c>
      <c r="AF156" s="2658"/>
      <c r="AG156" s="2658"/>
      <c r="AH156" s="2659"/>
      <c r="AI156" s="587"/>
      <c r="AJ156" s="588"/>
      <c r="AK156" s="588"/>
      <c r="AL156" s="588"/>
      <c r="AM156" s="444"/>
      <c r="AN156" s="444"/>
      <c r="AO156" s="1639"/>
      <c r="AP156" s="109"/>
      <c r="AQ156" s="114"/>
      <c r="AR156" s="2614" t="s">
        <v>1646</v>
      </c>
      <c r="AS156" s="2645"/>
      <c r="AT156" s="2645"/>
      <c r="AU156" s="2615"/>
      <c r="AV156" s="2614" t="s">
        <v>1844</v>
      </c>
      <c r="AW156" s="2645"/>
      <c r="AX156" s="2645"/>
      <c r="AY156" s="2615"/>
      <c r="AZ156" s="114"/>
      <c r="BA156" s="114"/>
      <c r="BB156" s="114"/>
      <c r="BC156" s="116"/>
    </row>
    <row r="157" spans="1:56" s="127" customFormat="1" ht="12.75" hidden="1" customHeight="1" outlineLevel="1">
      <c r="A157" s="114"/>
      <c r="B157" s="1800"/>
      <c r="C157" s="181"/>
      <c r="D157" s="1805" t="s">
        <v>444</v>
      </c>
      <c r="E157" s="1811" t="s">
        <v>453</v>
      </c>
      <c r="F157" s="1811" t="s">
        <v>429</v>
      </c>
      <c r="G157" s="153" t="s">
        <v>315</v>
      </c>
      <c r="H157" s="1801"/>
      <c r="I157" s="1801" t="s">
        <v>33</v>
      </c>
      <c r="J157" s="1801" t="s">
        <v>33</v>
      </c>
      <c r="K157" s="1814"/>
      <c r="T157" s="109"/>
      <c r="U157" s="109"/>
      <c r="V157" s="114"/>
      <c r="W157" s="1800" t="s">
        <v>1649</v>
      </c>
      <c r="X157" s="2646" t="s">
        <v>1650</v>
      </c>
      <c r="Y157" s="2647"/>
      <c r="Z157" s="819"/>
      <c r="AA157" s="819"/>
      <c r="AB157" s="819"/>
      <c r="AC157" s="1814"/>
      <c r="AE157" s="1802" t="s">
        <v>211</v>
      </c>
      <c r="AF157" s="1804" t="s">
        <v>442</v>
      </c>
      <c r="AG157" s="1804" t="s">
        <v>267</v>
      </c>
      <c r="AH157" s="1804" t="s">
        <v>443</v>
      </c>
      <c r="AI157" s="589" t="s">
        <v>636</v>
      </c>
      <c r="AJ157" s="588"/>
      <c r="AK157" s="588"/>
      <c r="AL157" s="588"/>
      <c r="AM157" s="1639"/>
      <c r="AN157" s="1639"/>
      <c r="AO157" s="1639"/>
      <c r="AP157" s="109"/>
      <c r="AQ157" s="114"/>
      <c r="AR157" s="1815" t="s">
        <v>1643</v>
      </c>
      <c r="AS157" s="1816" t="s">
        <v>1640</v>
      </c>
      <c r="AT157" s="1816" t="s">
        <v>1641</v>
      </c>
      <c r="AU157" s="1816" t="s">
        <v>1642</v>
      </c>
      <c r="AV157" s="1815" t="s">
        <v>1643</v>
      </c>
      <c r="AW157" s="1816" t="s">
        <v>1640</v>
      </c>
      <c r="AX157" s="1816" t="s">
        <v>1641</v>
      </c>
      <c r="AY157" s="1817" t="s">
        <v>1642</v>
      </c>
      <c r="AZ157" s="114"/>
      <c r="BA157" s="114"/>
      <c r="BB157" s="114"/>
      <c r="BC157" s="116"/>
    </row>
    <row r="158" spans="1:56" s="116" customFormat="1" ht="12" hidden="1" customHeight="1" outlineLevel="1">
      <c r="A158" s="114"/>
      <c r="B158" s="143" t="s">
        <v>1291</v>
      </c>
      <c r="C158" s="181"/>
      <c r="D158" s="315">
        <f>K158</f>
        <v>0</v>
      </c>
      <c r="E158" s="117"/>
      <c r="F158" s="117" t="s">
        <v>1907</v>
      </c>
      <c r="G158" s="117"/>
      <c r="H158" s="218">
        <f>VLOOKUP($F158&amp;"; "&amp;$H$156,'FE Energie'!$G:$U,9,FALSE)</f>
        <v>0.52200000000000002</v>
      </c>
      <c r="I158" s="222">
        <f>IF(ISNA(VLOOKUP($B158&amp;", "&amp;F158,Utilitaires!$B$159:$E$213,2,FALSE)),VLOOKUP($B158&amp;", France",Utilitaires!$B$159:$E$213,2,FALSE),VLOOKUP($B158&amp;", "&amp;F158,Utilitaires!$B$159:$E$213,2,FALSE))</f>
        <v>121</v>
      </c>
      <c r="J158" s="224">
        <f>H158*I158</f>
        <v>63.161999999999999</v>
      </c>
      <c r="K158" s="152">
        <f>G158*J158</f>
        <v>0</v>
      </c>
      <c r="T158" s="114"/>
      <c r="U158" s="114"/>
      <c r="V158" s="114"/>
      <c r="W158" s="226">
        <f>IF(AC158=0,AC158,AC158/K158)</f>
        <v>0</v>
      </c>
      <c r="X158" s="343"/>
      <c r="Y158" s="820"/>
      <c r="Z158" s="819"/>
      <c r="AA158" s="819"/>
      <c r="AB158" s="819"/>
      <c r="AC158" s="152">
        <f>SQRT(SUMSQ(IF(ISNA($J158*G158*AW158),0,$J158*G158*AW158)))</f>
        <v>0</v>
      </c>
      <c r="AE158" s="564">
        <f>K158</f>
        <v>0</v>
      </c>
      <c r="AF158" s="565"/>
      <c r="AG158" s="565"/>
      <c r="AH158" s="565"/>
      <c r="AI158" s="590"/>
      <c r="AJ158" s="441"/>
      <c r="AK158" s="441"/>
      <c r="AL158" s="441"/>
      <c r="AM158" s="1639"/>
      <c r="AN158" s="1639"/>
      <c r="AO158" s="444"/>
      <c r="AP158" s="114"/>
      <c r="AQ158" s="114"/>
      <c r="AR158" s="1065"/>
      <c r="AS158" s="1066">
        <f>IF($X158&lt;&gt;"votre valeur :",IF(ISNA(VLOOKUP($X158,Utilitaires!$N$566:$O$571,2,FALSE)),,VLOOKUP($X158,Utilitaires!$N$566:$O$571,2,FALSE)),$Y158)</f>
        <v>0</v>
      </c>
      <c r="AT158" s="1066"/>
      <c r="AU158" s="1066"/>
      <c r="AV158" s="1124"/>
      <c r="AW158" s="1068">
        <f>IF(ISNA(SQRT(SUMSQ(VLOOKUP($F158&amp;"; "&amp;$H$156,'FE Energie'!$G:$U,7,FALSE),$AS158))),0,SQRT(SUMSQ(VLOOKUP($F158&amp;"; "&amp;$H$156,'FE Energie'!$G:$U,7,FALSE),$AS158)))</f>
        <v>0.1</v>
      </c>
      <c r="AX158" s="1068"/>
      <c r="AY158" s="1125"/>
      <c r="AZ158" s="114"/>
      <c r="BA158" s="114"/>
      <c r="BB158" s="114"/>
    </row>
    <row r="159" spans="1:56" s="116" customFormat="1" ht="12" hidden="1" customHeight="1" outlineLevel="1">
      <c r="A159" s="114"/>
      <c r="B159" s="143" t="s">
        <v>1292</v>
      </c>
      <c r="C159" s="181"/>
      <c r="D159" s="315">
        <f>K159</f>
        <v>0</v>
      </c>
      <c r="E159" s="120"/>
      <c r="F159" s="120" t="s">
        <v>1922</v>
      </c>
      <c r="G159" s="120"/>
      <c r="H159" s="218">
        <f>VLOOKUP($F159&amp;"; "&amp;$H$156,'FE Energie'!$G:$U,9,FALSE)</f>
        <v>7.9100000000000004E-2</v>
      </c>
      <c r="I159" s="222">
        <f>IF(ISNA(VLOOKUP($B159&amp;", "&amp;F159,Utilitaires!$B$159:$E$213,2,FALSE)),VLOOKUP($B159&amp;", France",Utilitaires!$B$159:$E$213,2,FALSE),VLOOKUP($B159&amp;", "&amp;F159,Utilitaires!$B$159:$E$213,2,FALSE))</f>
        <v>126</v>
      </c>
      <c r="J159" s="224">
        <f>H159*I159</f>
        <v>9.9665999999999997</v>
      </c>
      <c r="K159" s="152">
        <f>G159*J159</f>
        <v>0</v>
      </c>
      <c r="T159" s="114"/>
      <c r="U159" s="114"/>
      <c r="V159" s="114"/>
      <c r="W159" s="226">
        <f>IF(AC159=0,AC159,AC159/K159)</f>
        <v>0</v>
      </c>
      <c r="X159" s="344"/>
      <c r="Y159" s="820"/>
      <c r="Z159" s="819"/>
      <c r="AA159" s="819"/>
      <c r="AB159" s="819"/>
      <c r="AC159" s="152">
        <f>SQRT(SUMSQ(IF(ISNA($J159*G159*AW159),0,$J159*G159*AW159)))</f>
        <v>0</v>
      </c>
      <c r="AE159" s="564">
        <f>K159</f>
        <v>0</v>
      </c>
      <c r="AF159" s="565"/>
      <c r="AG159" s="565"/>
      <c r="AH159" s="565"/>
      <c r="AI159" s="590"/>
      <c r="AJ159" s="441"/>
      <c r="AK159" s="441"/>
      <c r="AL159" s="441"/>
      <c r="AM159" s="444"/>
      <c r="AN159" s="444"/>
      <c r="AO159" s="444"/>
      <c r="AP159" s="114"/>
      <c r="AQ159" s="114"/>
      <c r="AR159" s="1065"/>
      <c r="AS159" s="1066">
        <f>IF($X159&lt;&gt;"votre valeur :",IF(ISNA(VLOOKUP($X159,Utilitaires!$N$566:$O$571,2,FALSE)),,VLOOKUP($X159,Utilitaires!$N$566:$O$571,2,FALSE)),$Y159)</f>
        <v>0</v>
      </c>
      <c r="AT159" s="1066"/>
      <c r="AU159" s="1066"/>
      <c r="AV159" s="1124"/>
      <c r="AW159" s="1068">
        <f>IF(ISNA(SQRT(SUMSQ(VLOOKUP($F159&amp;"; "&amp;$H$156,'FE Energie'!$G:$U,7,FALSE),$AS159))),0,SQRT(SUMSQ(VLOOKUP($F159&amp;"; "&amp;$H$156,'FE Energie'!$G:$U,7,FALSE),$AS159)))</f>
        <v>0.1</v>
      </c>
      <c r="AX159" s="1068"/>
      <c r="AY159" s="1125"/>
      <c r="AZ159" s="114"/>
      <c r="BA159" s="114"/>
      <c r="BB159" s="114"/>
    </row>
    <row r="160" spans="1:56" s="116" customFormat="1" ht="12" hidden="1" customHeight="1" outlineLevel="1">
      <c r="A160" s="114"/>
      <c r="B160" s="143" t="s">
        <v>1293</v>
      </c>
      <c r="C160" s="181"/>
      <c r="D160" s="315">
        <f>K160</f>
        <v>0</v>
      </c>
      <c r="E160" s="120"/>
      <c r="F160" s="120" t="s">
        <v>1923</v>
      </c>
      <c r="G160" s="120"/>
      <c r="H160" s="218">
        <f>VLOOKUP($F160&amp;"; "&amp;$H$156,'FE Energie'!$G:$U,9,FALSE)</f>
        <v>0.46100000000000002</v>
      </c>
      <c r="I160" s="222">
        <f>IF(ISNA(VLOOKUP($B160&amp;", "&amp;F160,Utilitaires!$B$159:$E$213,2,FALSE)),VLOOKUP($B160&amp;", France",Utilitaires!$B$159:$E$213,2,FALSE),VLOOKUP($B160&amp;", "&amp;F160,Utilitaires!$B$159:$E$213,2,FALSE))</f>
        <v>67</v>
      </c>
      <c r="J160" s="224">
        <f>H160*I160</f>
        <v>30.887</v>
      </c>
      <c r="K160" s="152">
        <f>G160*J160</f>
        <v>0</v>
      </c>
      <c r="T160" s="114"/>
      <c r="U160" s="114"/>
      <c r="V160" s="114"/>
      <c r="W160" s="226">
        <f>IF(AC160=0,AC160,AC160/K160)</f>
        <v>0</v>
      </c>
      <c r="X160" s="344"/>
      <c r="Y160" s="820"/>
      <c r="Z160" s="819"/>
      <c r="AA160" s="819"/>
      <c r="AB160" s="819"/>
      <c r="AC160" s="152">
        <f>SQRT(SUMSQ(IF(ISNA($J160*G160*AW160),0,$J160*G160*AW160)))</f>
        <v>0</v>
      </c>
      <c r="AE160" s="564">
        <f>K160</f>
        <v>0</v>
      </c>
      <c r="AF160" s="565"/>
      <c r="AG160" s="565"/>
      <c r="AH160" s="565"/>
      <c r="AI160" s="590"/>
      <c r="AJ160" s="441"/>
      <c r="AK160" s="441"/>
      <c r="AL160" s="441"/>
      <c r="AM160" s="444"/>
      <c r="AN160" s="444"/>
      <c r="AO160" s="444"/>
      <c r="AP160" s="114"/>
      <c r="AQ160" s="114"/>
      <c r="AR160" s="1065"/>
      <c r="AS160" s="1066">
        <f>IF($X160&lt;&gt;"votre valeur :",IF(ISNA(VLOOKUP($X160,Utilitaires!$N$566:$O$571,2,FALSE)),,VLOOKUP($X160,Utilitaires!$N$566:$O$571,2,FALSE)),$Y160)</f>
        <v>0</v>
      </c>
      <c r="AT160" s="1066"/>
      <c r="AU160" s="1066"/>
      <c r="AV160" s="1124"/>
      <c r="AW160" s="1068">
        <f>IF(ISNA(SQRT(SUMSQ(VLOOKUP($F160&amp;"; "&amp;$H$156,'FE Energie'!$G:$U,7,FALSE),$AS160))),0,SQRT(SUMSQ(VLOOKUP($F160&amp;"; "&amp;$H$156,'FE Energie'!$G:$U,7,FALSE),$AS160)))</f>
        <v>0.1</v>
      </c>
      <c r="AX160" s="1068"/>
      <c r="AY160" s="1125"/>
      <c r="AZ160" s="114"/>
      <c r="BA160" s="114"/>
      <c r="BB160" s="114"/>
    </row>
    <row r="161" spans="1:56" s="116" customFormat="1" ht="12" hidden="1" customHeight="1" outlineLevel="1">
      <c r="A161" s="114"/>
      <c r="B161" s="143" t="s">
        <v>1294</v>
      </c>
      <c r="C161" s="181"/>
      <c r="D161" s="315">
        <f>K161</f>
        <v>0</v>
      </c>
      <c r="E161" s="123"/>
      <c r="F161" s="123" t="s">
        <v>1924</v>
      </c>
      <c r="G161" s="123"/>
      <c r="H161" s="218">
        <f>VLOOKUP($F161&amp;"; "&amp;$H$156,'FE Energie'!$G:$U,9,FALSE)</f>
        <v>0.23799999999999999</v>
      </c>
      <c r="I161" s="222">
        <f>IF(ISNA(VLOOKUP($B161&amp;", "&amp;F161,Utilitaires!$B$159:$E$213,2,FALSE)),VLOOKUP($B161&amp;", France",Utilitaires!$B$159:$E$213,2,FALSE),VLOOKUP($B161&amp;", "&amp;F161,Utilitaires!$B$159:$E$213,2,FALSE))</f>
        <v>83</v>
      </c>
      <c r="J161" s="224">
        <f>H161*I161</f>
        <v>19.753999999999998</v>
      </c>
      <c r="K161" s="152">
        <f>G161*J161</f>
        <v>0</v>
      </c>
      <c r="T161" s="114"/>
      <c r="U161" s="114"/>
      <c r="V161" s="114"/>
      <c r="W161" s="226">
        <f>IF(AC161=0,AC161,AC161/K161)</f>
        <v>0</v>
      </c>
      <c r="X161" s="345"/>
      <c r="Y161" s="820"/>
      <c r="Z161" s="819"/>
      <c r="AA161" s="819"/>
      <c r="AB161" s="819"/>
      <c r="AC161" s="152">
        <f>SQRT(SUMSQ(IF(ISNA($J161*G161*AW161),0,$J161*G161*AW161)))</f>
        <v>0</v>
      </c>
      <c r="AE161" s="564">
        <f>K161</f>
        <v>0</v>
      </c>
      <c r="AF161" s="565"/>
      <c r="AG161" s="565"/>
      <c r="AH161" s="565"/>
      <c r="AI161" s="590"/>
      <c r="AJ161" s="441"/>
      <c r="AK161" s="441"/>
      <c r="AL161" s="441"/>
      <c r="AM161" s="444"/>
      <c r="AN161" s="444"/>
      <c r="AO161" s="444"/>
      <c r="AP161" s="114"/>
      <c r="AQ161" s="114"/>
      <c r="AR161" s="1065"/>
      <c r="AS161" s="1066">
        <f>IF($X161&lt;&gt;"votre valeur :",IF(ISNA(VLOOKUP($X161,Utilitaires!$N$566:$O$571,2,FALSE)),,VLOOKUP($X161,Utilitaires!$N$566:$O$571,2,FALSE)),$Y161)</f>
        <v>0</v>
      </c>
      <c r="AT161" s="1066"/>
      <c r="AU161" s="1066"/>
      <c r="AV161" s="1124"/>
      <c r="AW161" s="1068">
        <f>IF(ISNA(SQRT(SUMSQ(VLOOKUP($F161&amp;"; "&amp;$H$156,'FE Energie'!$G:$U,7,FALSE),$AS161))),0,SQRT(SUMSQ(VLOOKUP($F161&amp;"; "&amp;$H$156,'FE Energie'!$G:$U,7,FALSE),$AS161)))</f>
        <v>0.1</v>
      </c>
      <c r="AX161" s="1068"/>
      <c r="AY161" s="1125"/>
      <c r="AZ161" s="114"/>
      <c r="BA161" s="114"/>
      <c r="BB161" s="114"/>
    </row>
    <row r="162" spans="1:56" s="116" customFormat="1" ht="12.75" hidden="1" customHeight="1" outlineLevel="1">
      <c r="A162" s="114"/>
      <c r="B162" s="143"/>
      <c r="C162" s="144"/>
      <c r="D162" s="315"/>
      <c r="E162" s="155"/>
      <c r="F162" s="144"/>
      <c r="G162" s="144"/>
      <c r="H162" s="144"/>
      <c r="I162" s="144"/>
      <c r="J162" s="144"/>
      <c r="K162" s="152"/>
      <c r="T162" s="114"/>
      <c r="U162" s="114"/>
      <c r="V162" s="114"/>
      <c r="W162" s="143"/>
      <c r="X162" s="823"/>
      <c r="Y162" s="823"/>
      <c r="Z162" s="819"/>
      <c r="AA162" s="819"/>
      <c r="AB162" s="819"/>
      <c r="AC162" s="165"/>
      <c r="AE162" s="564"/>
      <c r="AF162" s="565"/>
      <c r="AG162" s="565"/>
      <c r="AH162" s="565"/>
      <c r="AI162" s="591"/>
      <c r="AJ162" s="441"/>
      <c r="AK162" s="441"/>
      <c r="AL162" s="441"/>
      <c r="AM162" s="444"/>
      <c r="AN162" s="444"/>
      <c r="AO162" s="444"/>
      <c r="AP162" s="114"/>
      <c r="AQ162" s="114"/>
      <c r="AR162" s="1087"/>
      <c r="AS162" s="1088"/>
      <c r="AT162" s="1088"/>
      <c r="AU162" s="1088"/>
      <c r="AV162" s="1126"/>
      <c r="AW162" s="1073"/>
      <c r="AX162" s="1073"/>
      <c r="AY162" s="1074"/>
      <c r="AZ162" s="114"/>
      <c r="BA162" s="114"/>
      <c r="BB162" s="114"/>
    </row>
    <row r="163" spans="1:56" s="116" customFormat="1" ht="12.75" hidden="1" customHeight="1" outlineLevel="1">
      <c r="A163" s="114"/>
      <c r="B163" s="196" t="s">
        <v>348</v>
      </c>
      <c r="C163" s="197"/>
      <c r="D163" s="202">
        <f>SUM(D158:D162)</f>
        <v>0</v>
      </c>
      <c r="E163" s="198"/>
      <c r="F163" s="199"/>
      <c r="G163" s="199"/>
      <c r="H163" s="199"/>
      <c r="I163" s="199"/>
      <c r="J163" s="199"/>
      <c r="K163" s="200">
        <f>SUM(K158:K162)</f>
        <v>0</v>
      </c>
      <c r="T163" s="114"/>
      <c r="U163" s="114"/>
      <c r="V163" s="114"/>
      <c r="W163" s="1203">
        <f>IF(AC163=0,AC163,AC163/K163)</f>
        <v>0</v>
      </c>
      <c r="X163" s="821"/>
      <c r="Y163" s="821"/>
      <c r="Z163" s="821"/>
      <c r="AA163" s="821"/>
      <c r="AB163" s="821"/>
      <c r="AC163" s="200">
        <f>SQRT(SUMSQ(AC158:AC162))</f>
        <v>0</v>
      </c>
      <c r="AE163" s="571">
        <f>SUM(AE158:AE162)</f>
        <v>0</v>
      </c>
      <c r="AF163" s="572">
        <f>SUM(AF158:AF162)</f>
        <v>0</v>
      </c>
      <c r="AG163" s="572">
        <f>SUM(AG158:AG162)</f>
        <v>0</v>
      </c>
      <c r="AH163" s="572">
        <f>SUM(AH158:AH162)</f>
        <v>0</v>
      </c>
      <c r="AI163" s="592">
        <f>SUM(AI158:AI162)</f>
        <v>0</v>
      </c>
      <c r="AJ163" s="441"/>
      <c r="AK163" s="441"/>
      <c r="AL163" s="441"/>
      <c r="AM163" s="444"/>
      <c r="AN163" s="444"/>
      <c r="AO163" s="444"/>
      <c r="AP163" s="114"/>
      <c r="AQ163" s="114"/>
      <c r="AR163" s="114"/>
      <c r="AS163" s="114"/>
      <c r="AT163" s="114"/>
      <c r="AU163" s="114"/>
      <c r="AV163" s="114"/>
      <c r="AW163" s="114"/>
      <c r="AX163" s="114"/>
      <c r="AY163" s="114"/>
      <c r="AZ163" s="114"/>
      <c r="BA163" s="114"/>
      <c r="BB163" s="114"/>
    </row>
    <row r="164" spans="1:56" s="116" customFormat="1" ht="12.75" hidden="1" customHeight="1" outlineLevel="1">
      <c r="A164" s="114"/>
      <c r="B164" s="114"/>
      <c r="C164" s="114"/>
      <c r="D164" s="114"/>
      <c r="E164" s="114"/>
      <c r="F164" s="114"/>
      <c r="G164" s="114"/>
      <c r="H164" s="114"/>
      <c r="I164" s="114"/>
      <c r="K164" s="114"/>
      <c r="T164" s="114"/>
      <c r="U164" s="114"/>
      <c r="V164" s="114"/>
      <c r="W164" s="114"/>
      <c r="X164" s="488"/>
      <c r="Y164" s="488"/>
      <c r="AA164" s="114"/>
      <c r="AB164" s="114"/>
      <c r="AC164" s="114"/>
      <c r="AE164" s="441"/>
      <c r="AF164" s="441"/>
      <c r="AG164" s="441"/>
      <c r="AH164" s="441"/>
      <c r="AI164" s="441"/>
      <c r="AJ164" s="441"/>
      <c r="AK164" s="441"/>
      <c r="AL164" s="441"/>
      <c r="AM164" s="444"/>
      <c r="AN164" s="444"/>
      <c r="AO164" s="444"/>
      <c r="AP164" s="441"/>
      <c r="AQ164" s="114"/>
      <c r="AR164" s="109"/>
      <c r="AS164" s="109"/>
      <c r="AT164" s="109"/>
      <c r="AU164" s="109"/>
      <c r="AV164" s="109"/>
      <c r="AW164" s="109"/>
      <c r="AX164" s="109"/>
      <c r="AY164" s="109"/>
      <c r="AZ164" s="109"/>
      <c r="BA164" s="109"/>
      <c r="BB164" s="109"/>
      <c r="BC164" s="109"/>
      <c r="BD164" s="127"/>
    </row>
    <row r="165" spans="1:56" s="116" customFormat="1" ht="12.75" hidden="1" customHeight="1" outlineLevel="1">
      <c r="A165" s="114"/>
      <c r="B165" s="139" t="s">
        <v>2392</v>
      </c>
      <c r="C165" s="140"/>
      <c r="D165" s="141"/>
      <c r="E165" s="1808"/>
      <c r="F165" s="141"/>
      <c r="G165" s="141"/>
      <c r="H165" s="141"/>
      <c r="I165" s="141"/>
      <c r="J165" s="141"/>
      <c r="K165" s="179"/>
      <c r="T165" s="114"/>
      <c r="U165" s="114"/>
      <c r="V165" s="114"/>
      <c r="W165" s="2636" t="s">
        <v>366</v>
      </c>
      <c r="X165" s="2637"/>
      <c r="Y165" s="2637"/>
      <c r="Z165" s="2637"/>
      <c r="AA165" s="2637"/>
      <c r="AB165" s="2637"/>
      <c r="AC165" s="2638"/>
      <c r="AE165" s="1132" t="s">
        <v>441</v>
      </c>
      <c r="AF165" s="1127"/>
      <c r="AG165" s="1127"/>
      <c r="AH165" s="1127"/>
      <c r="AI165" s="1128"/>
      <c r="AJ165" s="441"/>
      <c r="AK165" s="441"/>
      <c r="AL165" s="441"/>
      <c r="AM165" s="444"/>
      <c r="AN165" s="444"/>
      <c r="AO165" s="444"/>
      <c r="AP165" s="114"/>
      <c r="AQ165" s="109"/>
      <c r="AR165" s="109"/>
      <c r="AS165" s="109"/>
      <c r="AT165" s="109"/>
      <c r="AU165" s="109"/>
      <c r="AV165" s="109"/>
      <c r="AW165" s="109"/>
      <c r="AX165" s="109"/>
      <c r="AY165" s="109"/>
      <c r="AZ165" s="109"/>
      <c r="BA165" s="109"/>
      <c r="BB165" s="109"/>
      <c r="BC165" s="127"/>
    </row>
    <row r="166" spans="1:56" s="116" customFormat="1" ht="12.75" hidden="1" customHeight="1" outlineLevel="1">
      <c r="A166" s="114"/>
      <c r="B166" s="143" t="s">
        <v>365</v>
      </c>
      <c r="C166" s="144"/>
      <c r="D166" s="1812" t="s">
        <v>308</v>
      </c>
      <c r="E166" s="1801"/>
      <c r="F166" s="144"/>
      <c r="G166" s="144"/>
      <c r="H166" s="144"/>
      <c r="I166" s="144"/>
      <c r="J166" s="144"/>
      <c r="K166" s="168"/>
      <c r="T166" s="114"/>
      <c r="U166" s="114"/>
      <c r="V166" s="114"/>
      <c r="W166" s="1800"/>
      <c r="X166" s="819"/>
      <c r="Y166" s="819"/>
      <c r="Z166" s="819"/>
      <c r="AA166" s="819"/>
      <c r="AB166" s="819"/>
      <c r="AC166" s="145"/>
      <c r="AE166" s="584"/>
      <c r="AF166" s="585"/>
      <c r="AG166" s="585"/>
      <c r="AH166" s="585"/>
      <c r="AI166" s="586"/>
      <c r="AJ166" s="441"/>
      <c r="AK166" s="441"/>
      <c r="AL166" s="441"/>
      <c r="AM166" s="444"/>
      <c r="AN166" s="444"/>
      <c r="AO166" s="444"/>
      <c r="AP166" s="114"/>
      <c r="AQ166" s="114"/>
      <c r="AR166" s="2616" t="s">
        <v>1648</v>
      </c>
      <c r="AS166" s="2617"/>
      <c r="AT166" s="2617"/>
      <c r="AU166" s="2617"/>
      <c r="AV166" s="2617"/>
      <c r="AW166" s="2617"/>
      <c r="AX166" s="2617"/>
      <c r="AY166" s="2618"/>
      <c r="AZ166" s="114"/>
      <c r="BA166" s="114"/>
      <c r="BB166" s="114"/>
    </row>
    <row r="167" spans="1:56" s="127" customFormat="1" ht="12.75" hidden="1" customHeight="1" outlineLevel="1">
      <c r="A167" s="114"/>
      <c r="B167" s="180" t="s">
        <v>27</v>
      </c>
      <c r="C167" s="181"/>
      <c r="D167" s="1812" t="s">
        <v>409</v>
      </c>
      <c r="E167" s="147" t="s">
        <v>452</v>
      </c>
      <c r="F167" s="147" t="s">
        <v>455</v>
      </c>
      <c r="G167" s="147" t="s">
        <v>1</v>
      </c>
      <c r="H167" s="1801" t="s">
        <v>1681</v>
      </c>
      <c r="I167" s="1801" t="s">
        <v>309</v>
      </c>
      <c r="J167" s="1801" t="s">
        <v>444</v>
      </c>
      <c r="K167" s="1814" t="s">
        <v>444</v>
      </c>
      <c r="T167" s="109"/>
      <c r="U167" s="109"/>
      <c r="V167" s="114"/>
      <c r="W167" s="1800" t="s">
        <v>316</v>
      </c>
      <c r="X167" s="2629" t="s">
        <v>316</v>
      </c>
      <c r="Y167" s="2630"/>
      <c r="Z167" s="819"/>
      <c r="AA167" s="819"/>
      <c r="AB167" s="819"/>
      <c r="AC167" s="1814" t="s">
        <v>444</v>
      </c>
      <c r="AE167" s="2657" t="s">
        <v>444</v>
      </c>
      <c r="AF167" s="2658"/>
      <c r="AG167" s="2658"/>
      <c r="AH167" s="2659"/>
      <c r="AI167" s="587"/>
      <c r="AJ167" s="588"/>
      <c r="AK167" s="588"/>
      <c r="AL167" s="588"/>
      <c r="AM167" s="444"/>
      <c r="AN167" s="444"/>
      <c r="AO167" s="1639"/>
      <c r="AP167" s="109"/>
      <c r="AQ167" s="114"/>
      <c r="AR167" s="2614" t="s">
        <v>1646</v>
      </c>
      <c r="AS167" s="2645"/>
      <c r="AT167" s="2645"/>
      <c r="AU167" s="2615"/>
      <c r="AV167" s="2614" t="s">
        <v>1844</v>
      </c>
      <c r="AW167" s="2645"/>
      <c r="AX167" s="2645"/>
      <c r="AY167" s="2615"/>
      <c r="AZ167" s="114"/>
      <c r="BA167" s="114"/>
      <c r="BB167" s="114"/>
      <c r="BC167" s="116"/>
    </row>
    <row r="168" spans="1:56" s="127" customFormat="1" ht="12.75" hidden="1" customHeight="1" outlineLevel="1">
      <c r="A168" s="114"/>
      <c r="B168" s="1800"/>
      <c r="C168" s="1801"/>
      <c r="D168" s="1805" t="s">
        <v>444</v>
      </c>
      <c r="E168" s="1811" t="s">
        <v>453</v>
      </c>
      <c r="F168" s="153" t="s">
        <v>429</v>
      </c>
      <c r="G168" s="153" t="s">
        <v>315</v>
      </c>
      <c r="H168" s="1801"/>
      <c r="I168" s="1801" t="s">
        <v>33</v>
      </c>
      <c r="J168" s="1801" t="s">
        <v>33</v>
      </c>
      <c r="K168" s="1814"/>
      <c r="T168" s="109"/>
      <c r="U168" s="109"/>
      <c r="V168" s="114"/>
      <c r="W168" s="1800" t="s">
        <v>1649</v>
      </c>
      <c r="X168" s="2646" t="s">
        <v>1650</v>
      </c>
      <c r="Y168" s="2647"/>
      <c r="Z168" s="819"/>
      <c r="AA168" s="819"/>
      <c r="AB168" s="819"/>
      <c r="AC168" s="1814"/>
      <c r="AE168" s="1802" t="s">
        <v>211</v>
      </c>
      <c r="AF168" s="1804" t="s">
        <v>442</v>
      </c>
      <c r="AG168" s="1804" t="s">
        <v>267</v>
      </c>
      <c r="AH168" s="1804" t="s">
        <v>443</v>
      </c>
      <c r="AI168" s="589" t="s">
        <v>636</v>
      </c>
      <c r="AJ168" s="588"/>
      <c r="AK168" s="588"/>
      <c r="AL168" s="588"/>
      <c r="AM168" s="1639"/>
      <c r="AN168" s="1639"/>
      <c r="AO168" s="1639"/>
      <c r="AP168" s="109"/>
      <c r="AQ168" s="114"/>
      <c r="AR168" s="1815" t="s">
        <v>1643</v>
      </c>
      <c r="AS168" s="1816" t="s">
        <v>1640</v>
      </c>
      <c r="AT168" s="1816" t="s">
        <v>1641</v>
      </c>
      <c r="AU168" s="1816" t="s">
        <v>1642</v>
      </c>
      <c r="AV168" s="1815" t="s">
        <v>1643</v>
      </c>
      <c r="AW168" s="1816" t="s">
        <v>1640</v>
      </c>
      <c r="AX168" s="1816" t="s">
        <v>1641</v>
      </c>
      <c r="AY168" s="1817" t="s">
        <v>1642</v>
      </c>
      <c r="AZ168" s="114"/>
      <c r="BA168" s="114"/>
      <c r="BB168" s="114"/>
      <c r="BC168" s="116"/>
    </row>
    <row r="169" spans="1:56" s="116" customFormat="1" ht="12" hidden="1" customHeight="1" outlineLevel="1">
      <c r="A169" s="114"/>
      <c r="B169" s="143" t="s">
        <v>1291</v>
      </c>
      <c r="C169" s="1801"/>
      <c r="D169" s="315">
        <f>K169</f>
        <v>0</v>
      </c>
      <c r="E169" s="117"/>
      <c r="F169" s="117" t="s">
        <v>1906</v>
      </c>
      <c r="G169" s="117"/>
      <c r="H169" s="218">
        <f>VLOOKUP($F169&amp;"; "&amp;$H$167,'FE Energie'!$G:$U,9,FALSE)</f>
        <v>0.186</v>
      </c>
      <c r="I169" s="222">
        <f>IF(ISNA(VLOOKUP($B169&amp;", "&amp;F169,Utilitaires!$B$159:$E$213,3,FALSE)),VLOOKUP($B169&amp;", France",Utilitaires!$B$159:$E$213,3,FALSE),VLOOKUP($B169&amp;", "&amp;F169,Utilitaires!$B$159:$E$213,3,FALSE))</f>
        <v>283</v>
      </c>
      <c r="J169" s="224">
        <f>H169*I169</f>
        <v>52.637999999999998</v>
      </c>
      <c r="K169" s="152">
        <f>G169*J169</f>
        <v>0</v>
      </c>
      <c r="T169" s="114"/>
      <c r="U169" s="114"/>
      <c r="V169" s="114"/>
      <c r="W169" s="226">
        <f>IF(AC169=0,AC169,AC169/K169)</f>
        <v>0</v>
      </c>
      <c r="X169" s="343"/>
      <c r="Y169" s="820"/>
      <c r="Z169" s="819"/>
      <c r="AA169" s="819"/>
      <c r="AB169" s="819"/>
      <c r="AC169" s="152">
        <f>SQRT(SUMSQ(IF(ISNA($J169*G169*AW169),0,$J169*G169*AW169)))</f>
        <v>0</v>
      </c>
      <c r="AE169" s="564">
        <f>K169</f>
        <v>0</v>
      </c>
      <c r="AF169" s="565"/>
      <c r="AG169" s="565"/>
      <c r="AH169" s="565"/>
      <c r="AI169" s="590"/>
      <c r="AJ169" s="441"/>
      <c r="AK169" s="441"/>
      <c r="AL169" s="441"/>
      <c r="AM169" s="1639"/>
      <c r="AN169" s="1639"/>
      <c r="AO169" s="444"/>
      <c r="AP169" s="114"/>
      <c r="AQ169" s="114"/>
      <c r="AR169" s="1065"/>
      <c r="AS169" s="1066">
        <f>IF($X169&lt;&gt;"votre valeur :",IF(ISNA(VLOOKUP($X169,Utilitaires!$N$566:$O$571,2,FALSE)),,VLOOKUP($X169,Utilitaires!$N$566:$O$571,2,FALSE)),$Y169)</f>
        <v>0</v>
      </c>
      <c r="AT169" s="1066"/>
      <c r="AU169" s="1066"/>
      <c r="AV169" s="1124"/>
      <c r="AW169" s="1068">
        <f>IF(ISNA(SQRT(SUMSQ(VLOOKUP($F169&amp;"; "&amp;$H$167,'FE Energie'!$G:$U,7,FALSE),$AS169))),0,SQRT(SUMSQ(VLOOKUP($F169&amp;"; "&amp;$H$167,'FE Energie'!$G:$U,7,FALSE),$AS169)))</f>
        <v>0.1</v>
      </c>
      <c r="AX169" s="1068"/>
      <c r="AY169" s="1125"/>
      <c r="AZ169" s="114"/>
      <c r="BA169" s="114"/>
      <c r="BB169" s="114"/>
    </row>
    <row r="170" spans="1:56" s="116" customFormat="1" ht="12" hidden="1" customHeight="1" outlineLevel="1">
      <c r="A170" s="114"/>
      <c r="B170" s="143" t="s">
        <v>1292</v>
      </c>
      <c r="C170" s="1801"/>
      <c r="D170" s="315">
        <f>K170</f>
        <v>0</v>
      </c>
      <c r="E170" s="120"/>
      <c r="F170" s="120" t="s">
        <v>1925</v>
      </c>
      <c r="G170" s="120"/>
      <c r="H170" s="218">
        <f>VLOOKUP($F170&amp;"; "&amp;$H$167,'FE Energie'!$G:$U,9,FALSE)</f>
        <v>0.84099999999999997</v>
      </c>
      <c r="I170" s="222">
        <f>IF(ISNA(VLOOKUP($B170&amp;", "&amp;F170,Utilitaires!$B$159:$E$213,3,FALSE)),VLOOKUP($B170&amp;", France",Utilitaires!$B$159:$E$213,3,FALSE),VLOOKUP($B170&amp;", "&amp;F170,Utilitaires!$B$159:$E$213,3,FALSE))</f>
        <v>243</v>
      </c>
      <c r="J170" s="224">
        <f>H170*I170</f>
        <v>204.363</v>
      </c>
      <c r="K170" s="152">
        <f>G170*J170</f>
        <v>0</v>
      </c>
      <c r="T170" s="114"/>
      <c r="U170" s="114"/>
      <c r="V170" s="114"/>
      <c r="W170" s="226">
        <f>IF(AC170=0,AC170,AC170/K170)</f>
        <v>0</v>
      </c>
      <c r="X170" s="344"/>
      <c r="Y170" s="820"/>
      <c r="Z170" s="819"/>
      <c r="AA170" s="819"/>
      <c r="AB170" s="819"/>
      <c r="AC170" s="152">
        <f>SQRT(SUMSQ(IF(ISNA($J170*G170*AW170),0,$J170*G170*AW170)))</f>
        <v>0</v>
      </c>
      <c r="AE170" s="564">
        <f>K170</f>
        <v>0</v>
      </c>
      <c r="AF170" s="565"/>
      <c r="AG170" s="565"/>
      <c r="AH170" s="565"/>
      <c r="AI170" s="590"/>
      <c r="AJ170" s="441"/>
      <c r="AK170" s="441"/>
      <c r="AL170" s="441"/>
      <c r="AM170" s="444"/>
      <c r="AN170" s="444"/>
      <c r="AO170" s="444"/>
      <c r="AP170" s="114"/>
      <c r="AQ170" s="114"/>
      <c r="AR170" s="1065"/>
      <c r="AS170" s="1066">
        <f>IF($X170&lt;&gt;"votre valeur :",IF(ISNA(VLOOKUP($X170,Utilitaires!$N$566:$O$571,2,FALSE)),,VLOOKUP($X170,Utilitaires!$N$566:$O$571,2,FALSE)),$Y170)</f>
        <v>0</v>
      </c>
      <c r="AT170" s="1066"/>
      <c r="AU170" s="1066"/>
      <c r="AV170" s="1124"/>
      <c r="AW170" s="1068">
        <f>IF(ISNA(SQRT(SUMSQ(VLOOKUP($F170&amp;"; "&amp;$H$167,'FE Energie'!$G:$U,7,FALSE),$AS170))),0,SQRT(SUMSQ(VLOOKUP($F170&amp;"; "&amp;$H$167,'FE Energie'!$G:$U,7,FALSE),$AS170)))</f>
        <v>0.1</v>
      </c>
      <c r="AX170" s="1068"/>
      <c r="AY170" s="1125"/>
      <c r="AZ170" s="114"/>
      <c r="BA170" s="114"/>
      <c r="BB170" s="114"/>
    </row>
    <row r="171" spans="1:56" s="116" customFormat="1" ht="12" hidden="1" customHeight="1" outlineLevel="1">
      <c r="A171" s="114"/>
      <c r="B171" s="143" t="s">
        <v>1293</v>
      </c>
      <c r="C171" s="1801"/>
      <c r="D171" s="315">
        <f>K171</f>
        <v>0</v>
      </c>
      <c r="E171" s="120"/>
      <c r="F171" s="120" t="s">
        <v>1926</v>
      </c>
      <c r="G171" s="120"/>
      <c r="H171" s="218">
        <f>VLOOKUP($F171&amp;"; "&amp;$H$167,'FE Energie'!$G:$U,9,FALSE)</f>
        <v>0.68899999999999995</v>
      </c>
      <c r="I171" s="222">
        <f>IF(ISNA(VLOOKUP($B171&amp;", "&amp;F171,Utilitaires!$B$159:$E$213,3,FALSE)),VLOOKUP($B171&amp;", France",Utilitaires!$B$159:$E$213,3,FALSE),VLOOKUP($B171&amp;", "&amp;F171,Utilitaires!$B$159:$E$213,3,FALSE))</f>
        <v>221</v>
      </c>
      <c r="J171" s="224">
        <f>H171*I171</f>
        <v>152.26899999999998</v>
      </c>
      <c r="K171" s="152">
        <f>G171*J171</f>
        <v>0</v>
      </c>
      <c r="T171" s="114"/>
      <c r="U171" s="114"/>
      <c r="V171" s="114"/>
      <c r="W171" s="226">
        <f>IF(AC171=0,AC171,AC171/K171)</f>
        <v>0</v>
      </c>
      <c r="X171" s="344"/>
      <c r="Y171" s="820"/>
      <c r="Z171" s="819"/>
      <c r="AA171" s="819"/>
      <c r="AB171" s="819"/>
      <c r="AC171" s="152">
        <f>SQRT(SUMSQ(IF(ISNA($J171*G171*AW171),0,$J171*G171*AW171)))</f>
        <v>0</v>
      </c>
      <c r="AE171" s="564">
        <f>K171</f>
        <v>0</v>
      </c>
      <c r="AF171" s="565"/>
      <c r="AG171" s="565"/>
      <c r="AH171" s="565"/>
      <c r="AI171" s="590"/>
      <c r="AJ171" s="441"/>
      <c r="AK171" s="441"/>
      <c r="AL171" s="441"/>
      <c r="AM171" s="444"/>
      <c r="AN171" s="444"/>
      <c r="AO171" s="444"/>
      <c r="AP171" s="114"/>
      <c r="AQ171" s="114"/>
      <c r="AR171" s="1065"/>
      <c r="AS171" s="1066">
        <f>IF($X171&lt;&gt;"votre valeur :",IF(ISNA(VLOOKUP($X171,Utilitaires!$N$566:$O$571,2,FALSE)),,VLOOKUP($X171,Utilitaires!$N$566:$O$571,2,FALSE)),$Y171)</f>
        <v>0</v>
      </c>
      <c r="AT171" s="1066"/>
      <c r="AU171" s="1066"/>
      <c r="AV171" s="1124"/>
      <c r="AW171" s="1068">
        <f>IF(ISNA(SQRT(SUMSQ(VLOOKUP($F171&amp;"; "&amp;$H$167,'FE Energie'!$G:$U,7,FALSE),$AS171))),0,SQRT(SUMSQ(VLOOKUP($F171&amp;"; "&amp;$H$167,'FE Energie'!$G:$U,7,FALSE),$AS171)))</f>
        <v>0.1</v>
      </c>
      <c r="AX171" s="1068"/>
      <c r="AY171" s="1125"/>
      <c r="AZ171" s="114"/>
      <c r="BA171" s="114"/>
      <c r="BB171" s="114"/>
    </row>
    <row r="172" spans="1:56" s="116" customFormat="1" ht="12" hidden="1" customHeight="1" outlineLevel="1">
      <c r="A172" s="114"/>
      <c r="B172" s="143" t="s">
        <v>1294</v>
      </c>
      <c r="C172" s="1801"/>
      <c r="D172" s="315">
        <f>K172</f>
        <v>0</v>
      </c>
      <c r="E172" s="123"/>
      <c r="F172" s="123" t="s">
        <v>1927</v>
      </c>
      <c r="G172" s="123"/>
      <c r="H172" s="218">
        <f>VLOOKUP($F172&amp;"; "&amp;$H$167,'FE Energie'!$G:$U,9,FALSE)</f>
        <v>0.53300000000000003</v>
      </c>
      <c r="I172" s="222">
        <f>IF(ISNA(VLOOKUP($B172&amp;", "&amp;F172,Utilitaires!$B$159:$E$213,3,FALSE)),VLOOKUP($B172&amp;", France",Utilitaires!$B$159:$E$213,3,FALSE),VLOOKUP($B172&amp;", "&amp;F172,Utilitaires!$B$159:$E$213,3,FALSE))</f>
        <v>222</v>
      </c>
      <c r="J172" s="224">
        <f>H172*I172</f>
        <v>118.32600000000001</v>
      </c>
      <c r="K172" s="152">
        <f>G172*J172</f>
        <v>0</v>
      </c>
      <c r="T172" s="114"/>
      <c r="U172" s="114"/>
      <c r="V172" s="114"/>
      <c r="W172" s="226">
        <f>IF(AC172=0,AC172,AC172/K172)</f>
        <v>0</v>
      </c>
      <c r="X172" s="345"/>
      <c r="Y172" s="820"/>
      <c r="Z172" s="819"/>
      <c r="AA172" s="819"/>
      <c r="AB172" s="819"/>
      <c r="AC172" s="152">
        <f>SQRT(SUMSQ(IF(ISNA($J172*G172*AW172),0,$J172*G172*AW172)))</f>
        <v>0</v>
      </c>
      <c r="AE172" s="564">
        <f>K172</f>
        <v>0</v>
      </c>
      <c r="AF172" s="565"/>
      <c r="AG172" s="565"/>
      <c r="AH172" s="565"/>
      <c r="AI172" s="590"/>
      <c r="AJ172" s="441"/>
      <c r="AK172" s="441"/>
      <c r="AL172" s="441"/>
      <c r="AM172" s="444"/>
      <c r="AN172" s="444"/>
      <c r="AO172" s="444"/>
      <c r="AP172" s="114"/>
      <c r="AQ172" s="114"/>
      <c r="AR172" s="1065"/>
      <c r="AS172" s="1066">
        <f>IF($X172&lt;&gt;"votre valeur :",IF(ISNA(VLOOKUP($X172,Utilitaires!$N$566:$O$571,2,FALSE)),,VLOOKUP($X172,Utilitaires!$N$566:$O$571,2,FALSE)),$Y172)</f>
        <v>0</v>
      </c>
      <c r="AT172" s="1066"/>
      <c r="AU172" s="1066"/>
      <c r="AV172" s="1124"/>
      <c r="AW172" s="1068">
        <f>IF(ISNA(SQRT(SUMSQ(VLOOKUP($F172&amp;"; "&amp;$H$167,'FE Energie'!$G:$U,7,FALSE),$AS172))),0,SQRT(SUMSQ(VLOOKUP($F172&amp;"; "&amp;$H$167,'FE Energie'!$G:$U,7,FALSE),$AS172)))</f>
        <v>0.1</v>
      </c>
      <c r="AX172" s="1068"/>
      <c r="AY172" s="1125"/>
      <c r="AZ172" s="114"/>
      <c r="BA172" s="114"/>
      <c r="BB172" s="114"/>
    </row>
    <row r="173" spans="1:56" s="116" customFormat="1" ht="12.75" hidden="1" customHeight="1" outlineLevel="1">
      <c r="A173" s="114"/>
      <c r="B173" s="143"/>
      <c r="C173" s="144"/>
      <c r="D173" s="315"/>
      <c r="E173" s="155"/>
      <c r="F173" s="144"/>
      <c r="G173" s="144"/>
      <c r="H173" s="144"/>
      <c r="I173" s="144"/>
      <c r="J173" s="144"/>
      <c r="K173" s="152"/>
      <c r="T173" s="114"/>
      <c r="U173" s="114"/>
      <c r="V173" s="114"/>
      <c r="W173" s="143"/>
      <c r="X173" s="823"/>
      <c r="Y173" s="823"/>
      <c r="Z173" s="819"/>
      <c r="AA173" s="819"/>
      <c r="AB173" s="819"/>
      <c r="AC173" s="165"/>
      <c r="AE173" s="564"/>
      <c r="AF173" s="565"/>
      <c r="AG173" s="565"/>
      <c r="AH173" s="565"/>
      <c r="AI173" s="591"/>
      <c r="AJ173" s="441"/>
      <c r="AK173" s="441"/>
      <c r="AL173" s="441"/>
      <c r="AM173" s="444"/>
      <c r="AN173" s="444"/>
      <c r="AO173" s="444"/>
      <c r="AP173" s="114"/>
      <c r="AR173" s="1087"/>
      <c r="AS173" s="1088"/>
      <c r="AT173" s="1088"/>
      <c r="AU173" s="1088"/>
      <c r="AV173" s="1126"/>
      <c r="AW173" s="1073"/>
      <c r="AX173" s="1073"/>
      <c r="AY173" s="1074"/>
    </row>
    <row r="174" spans="1:56" s="116" customFormat="1" ht="12.75" hidden="1" customHeight="1" outlineLevel="1">
      <c r="A174" s="114"/>
      <c r="B174" s="196" t="s">
        <v>348</v>
      </c>
      <c r="C174" s="197"/>
      <c r="D174" s="202">
        <f>SUM(D169:D173)</f>
        <v>0</v>
      </c>
      <c r="E174" s="198"/>
      <c r="F174" s="199"/>
      <c r="G174" s="199"/>
      <c r="H174" s="199"/>
      <c r="I174" s="199"/>
      <c r="J174" s="199"/>
      <c r="K174" s="200">
        <f>SUM(K169:K173)</f>
        <v>0</v>
      </c>
      <c r="T174" s="114"/>
      <c r="U174" s="114"/>
      <c r="V174" s="114"/>
      <c r="W174" s="1203">
        <f>IF(AC174=0,AC174,AC174/K174)</f>
        <v>0</v>
      </c>
      <c r="X174" s="821"/>
      <c r="Y174" s="821"/>
      <c r="Z174" s="821"/>
      <c r="AA174" s="821"/>
      <c r="AB174" s="821"/>
      <c r="AC174" s="200">
        <f>SQRT(SUMSQ(AC169:AC173))</f>
        <v>0</v>
      </c>
      <c r="AE174" s="571">
        <f>SUM(AE169:AE173)</f>
        <v>0</v>
      </c>
      <c r="AF174" s="572">
        <f>SUM(AF169:AF173)</f>
        <v>0</v>
      </c>
      <c r="AG174" s="572">
        <f>SUM(AG169:AG173)</f>
        <v>0</v>
      </c>
      <c r="AH174" s="572">
        <f>SUM(AH169:AH173)</f>
        <v>0</v>
      </c>
      <c r="AI174" s="592">
        <f>SUM(AI169:AI173)</f>
        <v>0</v>
      </c>
      <c r="AJ174" s="441"/>
      <c r="AK174" s="441"/>
      <c r="AL174" s="441"/>
      <c r="AM174" s="444"/>
      <c r="AN174" s="444"/>
      <c r="AO174" s="444"/>
      <c r="AP174" s="114"/>
    </row>
    <row r="175" spans="1:56" s="116" customFormat="1" ht="12.75" hidden="1" customHeight="1" outlineLevel="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26"/>
      <c r="Y175" s="126"/>
      <c r="Z175" s="114"/>
      <c r="AA175" s="114"/>
      <c r="AB175" s="114"/>
      <c r="AC175" s="114"/>
      <c r="AE175" s="441"/>
      <c r="AF175" s="441"/>
      <c r="AG175" s="441"/>
      <c r="AH175" s="441"/>
      <c r="AI175" s="441"/>
      <c r="AJ175" s="441"/>
      <c r="AK175" s="441"/>
      <c r="AL175" s="441"/>
      <c r="AM175" s="444"/>
      <c r="AN175" s="444"/>
      <c r="AO175" s="444"/>
      <c r="AP175" s="441"/>
      <c r="AQ175" s="114"/>
    </row>
    <row r="176" spans="1:56" s="116" customFormat="1" ht="12.75" hidden="1" customHeight="1" outlineLevel="1">
      <c r="A176" s="114"/>
      <c r="B176" s="139" t="s">
        <v>2488</v>
      </c>
      <c r="C176" s="140"/>
      <c r="D176" s="141"/>
      <c r="E176" s="1808"/>
      <c r="F176" s="141"/>
      <c r="G176" s="141"/>
      <c r="H176" s="141"/>
      <c r="I176" s="141"/>
      <c r="J176" s="142"/>
      <c r="V176" s="114"/>
      <c r="W176" s="2636" t="s">
        <v>366</v>
      </c>
      <c r="X176" s="2637"/>
      <c r="Y176" s="2637"/>
      <c r="Z176" s="2637"/>
      <c r="AA176" s="2637"/>
      <c r="AB176" s="2637"/>
      <c r="AC176" s="2638"/>
      <c r="AE176" s="2639" t="s">
        <v>441</v>
      </c>
      <c r="AF176" s="2640"/>
      <c r="AG176" s="2640"/>
      <c r="AH176" s="2640"/>
      <c r="AI176" s="2640"/>
      <c r="AJ176" s="2640"/>
      <c r="AK176" s="2640"/>
      <c r="AL176" s="2640"/>
      <c r="AM176" s="2640"/>
      <c r="AN176" s="2640"/>
      <c r="AO176" s="2640"/>
      <c r="AP176" s="2641"/>
      <c r="AQ176" s="113"/>
    </row>
    <row r="177" spans="1:56" s="116" customFormat="1" ht="12.75" hidden="1" customHeight="1" outlineLevel="1">
      <c r="A177" s="114"/>
      <c r="B177" s="143"/>
      <c r="C177" s="144"/>
      <c r="D177" s="1812" t="s">
        <v>308</v>
      </c>
      <c r="E177" s="1801"/>
      <c r="F177" s="144"/>
      <c r="G177" s="144"/>
      <c r="H177" s="144"/>
      <c r="I177" s="144"/>
      <c r="J177" s="145"/>
      <c r="V177" s="114"/>
      <c r="W177" s="1800"/>
      <c r="X177" s="819"/>
      <c r="Y177" s="819"/>
      <c r="Z177" s="819"/>
      <c r="AA177" s="819"/>
      <c r="AB177" s="819"/>
      <c r="AC177" s="145"/>
      <c r="AE177" s="2642" t="s">
        <v>444</v>
      </c>
      <c r="AF177" s="2643"/>
      <c r="AG177" s="2643"/>
      <c r="AH177" s="2643"/>
      <c r="AI177" s="2643"/>
      <c r="AJ177" s="2643"/>
      <c r="AK177" s="2643"/>
      <c r="AL177" s="2643"/>
      <c r="AM177" s="624" t="s">
        <v>444</v>
      </c>
      <c r="AN177" s="624"/>
      <c r="AO177" s="1081"/>
      <c r="AP177" s="578"/>
      <c r="AR177" s="2616" t="s">
        <v>1648</v>
      </c>
      <c r="AS177" s="2617"/>
      <c r="AT177" s="2617"/>
      <c r="AU177" s="2617"/>
      <c r="AV177" s="2617"/>
      <c r="AW177" s="2617"/>
      <c r="AX177" s="2617"/>
      <c r="AY177" s="2617"/>
      <c r="AZ177" s="2617"/>
      <c r="BA177" s="2617"/>
      <c r="BB177" s="2617"/>
      <c r="BC177" s="2618"/>
    </row>
    <row r="178" spans="1:56" s="116" customFormat="1" ht="12.75" hidden="1" customHeight="1" outlineLevel="1">
      <c r="A178" s="114"/>
      <c r="B178" s="1800" t="s">
        <v>1777</v>
      </c>
      <c r="C178" s="1801"/>
      <c r="D178" s="1812" t="s">
        <v>409</v>
      </c>
      <c r="E178" s="147" t="s">
        <v>452</v>
      </c>
      <c r="F178" s="147" t="s">
        <v>343</v>
      </c>
      <c r="G178" s="2626" t="s">
        <v>1681</v>
      </c>
      <c r="H178" s="2628"/>
      <c r="I178" s="1812" t="s">
        <v>444</v>
      </c>
      <c r="J178" s="1814" t="s">
        <v>444</v>
      </c>
      <c r="V178" s="114"/>
      <c r="W178" s="1800" t="s">
        <v>316</v>
      </c>
      <c r="X178" s="2629" t="s">
        <v>316</v>
      </c>
      <c r="Y178" s="2630"/>
      <c r="Z178" s="819" t="s">
        <v>444</v>
      </c>
      <c r="AA178" s="819" t="s">
        <v>444</v>
      </c>
      <c r="AB178" s="819"/>
      <c r="AC178" s="1814" t="s">
        <v>444</v>
      </c>
      <c r="AE178" s="2631" t="s">
        <v>211</v>
      </c>
      <c r="AF178" s="2632"/>
      <c r="AG178" s="2632" t="s">
        <v>442</v>
      </c>
      <c r="AH178" s="2632"/>
      <c r="AI178" s="2632" t="s">
        <v>267</v>
      </c>
      <c r="AJ178" s="2632"/>
      <c r="AK178" s="2632" t="s">
        <v>443</v>
      </c>
      <c r="AL178" s="2632"/>
      <c r="AM178" s="1640" t="s">
        <v>327</v>
      </c>
      <c r="AN178" s="1640"/>
      <c r="AO178" s="2631" t="s">
        <v>636</v>
      </c>
      <c r="AP178" s="2650"/>
      <c r="AR178" s="2614" t="s">
        <v>1646</v>
      </c>
      <c r="AS178" s="2645"/>
      <c r="AT178" s="2645"/>
      <c r="AU178" s="2615"/>
      <c r="AV178" s="2614" t="s">
        <v>1644</v>
      </c>
      <c r="AW178" s="2645"/>
      <c r="AX178" s="2645"/>
      <c r="AY178" s="2615"/>
      <c r="AZ178" s="2614" t="s">
        <v>1645</v>
      </c>
      <c r="BA178" s="2645"/>
      <c r="BB178" s="2645"/>
      <c r="BC178" s="2615"/>
    </row>
    <row r="179" spans="1:56" s="116" customFormat="1" ht="12.75" hidden="1" customHeight="1" outlineLevel="1">
      <c r="A179" s="114"/>
      <c r="B179" s="1800"/>
      <c r="C179" s="1801"/>
      <c r="D179" s="1805" t="s">
        <v>444</v>
      </c>
      <c r="E179" s="1811" t="s">
        <v>453</v>
      </c>
      <c r="F179" s="1811" t="s">
        <v>533</v>
      </c>
      <c r="G179" s="1662" t="s">
        <v>411</v>
      </c>
      <c r="H179" s="1120" t="s">
        <v>257</v>
      </c>
      <c r="I179" s="1805" t="s">
        <v>411</v>
      </c>
      <c r="J179" s="220" t="s">
        <v>777</v>
      </c>
      <c r="V179" s="114"/>
      <c r="W179" s="1800" t="s">
        <v>1649</v>
      </c>
      <c r="X179" s="2646" t="s">
        <v>1650</v>
      </c>
      <c r="Y179" s="2647"/>
      <c r="Z179" s="227" t="s">
        <v>411</v>
      </c>
      <c r="AA179" s="1662" t="s">
        <v>257</v>
      </c>
      <c r="AB179" s="1662"/>
      <c r="AC179" s="162" t="s">
        <v>327</v>
      </c>
      <c r="AE179" s="1818" t="s">
        <v>411</v>
      </c>
      <c r="AF179" s="1819" t="s">
        <v>777</v>
      </c>
      <c r="AG179" s="1819" t="s">
        <v>411</v>
      </c>
      <c r="AH179" s="1819" t="s">
        <v>777</v>
      </c>
      <c r="AI179" s="1819" t="s">
        <v>411</v>
      </c>
      <c r="AJ179" s="1819" t="s">
        <v>777</v>
      </c>
      <c r="AK179" s="1819" t="s">
        <v>411</v>
      </c>
      <c r="AL179" s="1819" t="s">
        <v>777</v>
      </c>
      <c r="AM179" s="581" t="s">
        <v>411</v>
      </c>
      <c r="AN179" s="581" t="s">
        <v>777</v>
      </c>
      <c r="AO179" s="1818" t="s">
        <v>411</v>
      </c>
      <c r="AP179" s="1820" t="s">
        <v>777</v>
      </c>
      <c r="AR179" s="1815" t="s">
        <v>1643</v>
      </c>
      <c r="AS179" s="1816" t="s">
        <v>1640</v>
      </c>
      <c r="AT179" s="1816" t="s">
        <v>1641</v>
      </c>
      <c r="AU179" s="1817" t="s">
        <v>1642</v>
      </c>
      <c r="AV179" s="1816" t="s">
        <v>1643</v>
      </c>
      <c r="AW179" s="1816" t="s">
        <v>1640</v>
      </c>
      <c r="AX179" s="1816" t="s">
        <v>1641</v>
      </c>
      <c r="AY179" s="1817" t="s">
        <v>1642</v>
      </c>
      <c r="AZ179" s="1815" t="s">
        <v>1643</v>
      </c>
      <c r="BA179" s="1816" t="s">
        <v>1640</v>
      </c>
      <c r="BB179" s="1816" t="s">
        <v>1641</v>
      </c>
      <c r="BC179" s="1817" t="s">
        <v>1642</v>
      </c>
    </row>
    <row r="180" spans="1:56" s="116" customFormat="1" ht="12.75" hidden="1" customHeight="1" outlineLevel="1">
      <c r="A180" s="114"/>
      <c r="B180" s="143" t="s">
        <v>5018</v>
      </c>
      <c r="C180" s="1801"/>
      <c r="D180" s="315">
        <f>I180+J180</f>
        <v>0</v>
      </c>
      <c r="E180" s="117"/>
      <c r="F180" s="117"/>
      <c r="G180" s="223">
        <f>VLOOKUP($B180&amp;"; "&amp;$G$178&amp;", "&amp;G$179,'FE Energie'!$G:$U,9,FALSE)</f>
        <v>4.3900000000000002E-2</v>
      </c>
      <c r="H180" s="223">
        <f>VLOOKUP($B180&amp;"; "&amp;$G$178&amp;", "&amp;H$179,'FE Energie'!$G:$U,9,FALSE)</f>
        <v>0</v>
      </c>
      <c r="I180" s="566">
        <f>F180*G180</f>
        <v>0</v>
      </c>
      <c r="J180" s="567">
        <f>F180*H180</f>
        <v>0</v>
      </c>
      <c r="V180" s="114"/>
      <c r="W180" s="226">
        <f>IF(AC180=0,AC180,AC180/(I180+J180))</f>
        <v>0</v>
      </c>
      <c r="X180" s="343"/>
      <c r="Y180" s="820"/>
      <c r="Z180" s="819">
        <f>SQRT(SUMSQ(IF(ISNA($F180*G180*AW180),0,$F180*G180*AW180)))</f>
        <v>0</v>
      </c>
      <c r="AA180" s="819">
        <f>SQRT(SUMSQ(IF(ISNA($F180*H180*BA180),0,$F180*H180*BA180)))</f>
        <v>0</v>
      </c>
      <c r="AB180" s="819"/>
      <c r="AC180" s="152">
        <f>SQRT(Z180^2+AA180^2)</f>
        <v>0</v>
      </c>
      <c r="AE180" s="564">
        <f t="shared" ref="AE180:AF182" si="27">I180</f>
        <v>0</v>
      </c>
      <c r="AF180" s="565">
        <f t="shared" si="27"/>
        <v>0</v>
      </c>
      <c r="AG180" s="565"/>
      <c r="AH180" s="565"/>
      <c r="AI180" s="565"/>
      <c r="AJ180" s="565"/>
      <c r="AK180" s="565"/>
      <c r="AL180" s="565"/>
      <c r="AM180" s="566">
        <f>I180</f>
        <v>0</v>
      </c>
      <c r="AN180" s="566">
        <f>J180</f>
        <v>0</v>
      </c>
      <c r="AO180" s="564"/>
      <c r="AP180" s="568"/>
      <c r="AR180" s="1065"/>
      <c r="AS180" s="1066">
        <f>IF($X180&lt;&gt;"votre valeur :",IF(ISNA(VLOOKUP($X180,Utilitaires!$N$566:$O$571,2,FALSE)),,VLOOKUP($X180,Utilitaires!$N$566:$O$571,2,FALSE)),$Y180)</f>
        <v>0</v>
      </c>
      <c r="AT180" s="1066"/>
      <c r="AU180" s="1067"/>
      <c r="AV180" s="1068"/>
      <c r="AW180" s="1068">
        <f>IF(ISNA(SQRT(SUMSQ(VLOOKUP($B180&amp;"; "&amp;$G$178&amp;", "&amp;$G$179,'FE Energie'!$G:$U,7,FALSE),$AS180))),0,SQRT(SUMSQ(VLOOKUP($B180&amp;"; "&amp;$G$178&amp;", "&amp;$G$179,'FE Energie'!$G:$U,7,FALSE),$AS180)))</f>
        <v>0.3</v>
      </c>
      <c r="AX180" s="1068"/>
      <c r="AY180" s="1068"/>
      <c r="AZ180" s="1069"/>
      <c r="BA180" s="1070">
        <f>IF(ISNA(SQRT(SUMSQ(VLOOKUP($B180&amp;"; "&amp;$G$178&amp;", "&amp;$H$179,'FE Energie'!$G:$U,7,FALSE),$AS180))),0,SQRT(SUMSQ(VLOOKUP($B180&amp;"; "&amp;$G$178&amp;", "&amp;$H$179,'FE Energie'!$G:$U,7,FALSE),$AS180)))</f>
        <v>0.3</v>
      </c>
      <c r="BB180" s="1070"/>
      <c r="BC180" s="1071"/>
    </row>
    <row r="181" spans="1:56" s="116" customFormat="1" ht="12.75" hidden="1" customHeight="1" outlineLevel="1">
      <c r="A181" s="114"/>
      <c r="B181" s="143" t="s">
        <v>2810</v>
      </c>
      <c r="C181" s="1801"/>
      <c r="D181" s="315">
        <f>I181+J181</f>
        <v>0</v>
      </c>
      <c r="E181" s="120"/>
      <c r="F181" s="120"/>
      <c r="G181" s="223">
        <f>VLOOKUP($B181&amp;"; "&amp;$G$178&amp;", "&amp;G$179,'FE Energie'!$G:$U,9,FALSE)</f>
        <v>1.41E-2</v>
      </c>
      <c r="H181" s="223">
        <f>VLOOKUP($B181&amp;"; "&amp;$G$178&amp;", "&amp;H$179,'FE Energie'!$G:$U,9,FALSE)</f>
        <v>0</v>
      </c>
      <c r="I181" s="566">
        <f>F181*G181</f>
        <v>0</v>
      </c>
      <c r="J181" s="567">
        <f>F181*H181</f>
        <v>0</v>
      </c>
      <c r="V181" s="114"/>
      <c r="W181" s="226">
        <f>IF(AC181=0,AC181,AC181/(I181+J181))</f>
        <v>0</v>
      </c>
      <c r="X181" s="344"/>
      <c r="Y181" s="820"/>
      <c r="Z181" s="819">
        <f>SQRT(SUMSQ(IF(ISNA($F181*G181*AW181),0,$F181*G181*AW181)))</f>
        <v>0</v>
      </c>
      <c r="AA181" s="819">
        <f>SQRT(SUMSQ(IF(ISNA($F181*H181*BA181),0,$F181*H181*BA181)))</f>
        <v>0</v>
      </c>
      <c r="AB181" s="819"/>
      <c r="AC181" s="152">
        <f>SQRT(Z181^2+AA181^2)</f>
        <v>0</v>
      </c>
      <c r="AE181" s="564">
        <f t="shared" si="27"/>
        <v>0</v>
      </c>
      <c r="AF181" s="565">
        <f t="shared" si="27"/>
        <v>0</v>
      </c>
      <c r="AG181" s="565"/>
      <c r="AH181" s="565"/>
      <c r="AI181" s="565"/>
      <c r="AJ181" s="565"/>
      <c r="AK181" s="565"/>
      <c r="AL181" s="565"/>
      <c r="AM181" s="566"/>
      <c r="AN181" s="566"/>
      <c r="AO181" s="564"/>
      <c r="AP181" s="568"/>
      <c r="AR181" s="1065"/>
      <c r="AS181" s="1066">
        <f>IF($X181&lt;&gt;"votre valeur :",IF(ISNA(VLOOKUP($X181,Utilitaires!$N$566:$O$571,2,FALSE)),,VLOOKUP($X181,Utilitaires!$N$566:$O$571,2,FALSE)),$Y181)</f>
        <v>0</v>
      </c>
      <c r="AT181" s="1066"/>
      <c r="AU181" s="1067"/>
      <c r="AV181" s="1068"/>
      <c r="AW181" s="1068">
        <f>IF(ISNA(SQRT(SUMSQ(VLOOKUP($B181&amp;"; "&amp;$G$178&amp;", "&amp;$G$179,'FE Energie'!$G:$U,7,FALSE),$AS181))),0,SQRT(SUMSQ(VLOOKUP($B181&amp;"; "&amp;$G$178&amp;", "&amp;$G$179,'FE Energie'!$G:$U,7,FALSE),$AS181)))</f>
        <v>0.5</v>
      </c>
      <c r="AX181" s="1068"/>
      <c r="AY181" s="1068"/>
      <c r="AZ181" s="1069"/>
      <c r="BA181" s="1070">
        <f>IF(ISNA(SQRT(SUMSQ(VLOOKUP($B181&amp;"; "&amp;$G$178&amp;", "&amp;$H$179,'FE Energie'!$G:$U,7,FALSE),$AS181))),0,SQRT(SUMSQ(VLOOKUP($B181&amp;"; "&amp;$G$178&amp;", "&amp;$H$179,'FE Energie'!$G:$U,7,FALSE),$AS181)))</f>
        <v>0.5</v>
      </c>
      <c r="BB181" s="1070"/>
      <c r="BC181" s="1071"/>
    </row>
    <row r="182" spans="1:56" s="116" customFormat="1" ht="12.75" hidden="1" customHeight="1" outlineLevel="1">
      <c r="A182" s="114"/>
      <c r="B182" s="143" t="s">
        <v>2489</v>
      </c>
      <c r="C182" s="1801"/>
      <c r="D182" s="315">
        <f>I182+J182</f>
        <v>0</v>
      </c>
      <c r="E182" s="123"/>
      <c r="F182" s="123"/>
      <c r="G182" s="223">
        <f>VLOOKUP($B182&amp;"; "&amp;$G$178&amp;", "&amp;G$179,'FE Energie'!$G:$U,9,FALSE)</f>
        <v>6.0000000000000001E-3</v>
      </c>
      <c r="H182" s="223">
        <f>VLOOKUP($B182&amp;"; "&amp;$G$178&amp;", "&amp;H$179,'FE Energie'!$G:$U,9,FALSE)</f>
        <v>0</v>
      </c>
      <c r="I182" s="566">
        <f>F182*G182</f>
        <v>0</v>
      </c>
      <c r="J182" s="567">
        <f>F182*H182</f>
        <v>0</v>
      </c>
      <c r="V182" s="114"/>
      <c r="W182" s="226">
        <f>IF(AC182=0,AC182,AC182/(I182+J182))</f>
        <v>0</v>
      </c>
      <c r="X182" s="345"/>
      <c r="Y182" s="820"/>
      <c r="Z182" s="819">
        <f>SQRT(SUMSQ(IF(ISNA($F182*G182*AW182),0,$F182*G182*AW182)))</f>
        <v>0</v>
      </c>
      <c r="AA182" s="819">
        <f>SQRT(SUMSQ(IF(ISNA($F182*H182*BA182),0,$F182*H182*BA182)))</f>
        <v>0</v>
      </c>
      <c r="AB182" s="819"/>
      <c r="AC182" s="152">
        <f>SQRT(Z182^2+AA182^2)</f>
        <v>0</v>
      </c>
      <c r="AE182" s="564">
        <f t="shared" si="27"/>
        <v>0</v>
      </c>
      <c r="AF182" s="565">
        <f t="shared" si="27"/>
        <v>0</v>
      </c>
      <c r="AG182" s="565"/>
      <c r="AH182" s="565"/>
      <c r="AI182" s="565"/>
      <c r="AJ182" s="565"/>
      <c r="AK182" s="565"/>
      <c r="AL182" s="565"/>
      <c r="AM182" s="566"/>
      <c r="AN182" s="566"/>
      <c r="AO182" s="564"/>
      <c r="AP182" s="568"/>
      <c r="AR182" s="1065"/>
      <c r="AS182" s="1066">
        <f>IF($X182&lt;&gt;"votre valeur :",IF(ISNA(VLOOKUP($X182,Utilitaires!$N$566:$O$571,2,FALSE)),,VLOOKUP($X182,Utilitaires!$N$566:$O$571,2,FALSE)),$Y182)</f>
        <v>0</v>
      </c>
      <c r="AT182" s="1066"/>
      <c r="AU182" s="1067"/>
      <c r="AV182" s="1068"/>
      <c r="AW182" s="1068">
        <f>IF(ISNA(SQRT(SUMSQ(VLOOKUP($B182&amp;"; "&amp;$G$178&amp;", "&amp;$G$179,'FE Energie'!$G:$U,7,FALSE),$AS182))),0,SQRT(SUMSQ(VLOOKUP($B182&amp;"; "&amp;$G$178&amp;", "&amp;$G$179,'FE Energie'!$G:$U,7,FALSE),$AS182)))</f>
        <v>0.5</v>
      </c>
      <c r="AX182" s="1068"/>
      <c r="AY182" s="1068"/>
      <c r="AZ182" s="1069"/>
      <c r="BA182" s="1070">
        <f>IF(ISNA(SQRT(SUMSQ(VLOOKUP($B182&amp;"; "&amp;$G$178&amp;", "&amp;$H$179,'FE Energie'!$G:$U,7,FALSE),$AS182))),0,SQRT(SUMSQ(VLOOKUP($B182&amp;"; "&amp;$G$178&amp;", "&amp;$H$179,'FE Energie'!$G:$U,7,FALSE),$AS182)))</f>
        <v>0.5</v>
      </c>
      <c r="BB182" s="1070"/>
      <c r="BC182" s="1071"/>
    </row>
    <row r="183" spans="1:56" s="116" customFormat="1" ht="12.75" hidden="1" customHeight="1" outlineLevel="1">
      <c r="A183" s="114"/>
      <c r="B183" s="143"/>
      <c r="C183" s="144"/>
      <c r="D183" s="315"/>
      <c r="E183" s="155"/>
      <c r="F183" s="144"/>
      <c r="G183" s="144"/>
      <c r="H183" s="144"/>
      <c r="I183" s="155"/>
      <c r="J183" s="156"/>
      <c r="V183" s="114"/>
      <c r="W183" s="143"/>
      <c r="X183" s="820"/>
      <c r="Y183" s="820"/>
      <c r="Z183" s="819"/>
      <c r="AA183" s="819"/>
      <c r="AB183" s="819"/>
      <c r="AC183" s="152"/>
      <c r="AE183" s="564"/>
      <c r="AF183" s="565"/>
      <c r="AG183" s="565"/>
      <c r="AH183" s="565"/>
      <c r="AI183" s="565"/>
      <c r="AJ183" s="565"/>
      <c r="AK183" s="565"/>
      <c r="AL183" s="565"/>
      <c r="AM183" s="566"/>
      <c r="AN183" s="566"/>
      <c r="AO183" s="569"/>
      <c r="AP183" s="570"/>
      <c r="AR183" s="1087"/>
      <c r="AS183" s="1088"/>
      <c r="AT183" s="1088"/>
      <c r="AU183" s="1089"/>
      <c r="AV183" s="1073"/>
      <c r="AW183" s="1073"/>
      <c r="AX183" s="1073"/>
      <c r="AY183" s="1073"/>
      <c r="AZ183" s="1075"/>
      <c r="BA183" s="1076"/>
      <c r="BB183" s="1076"/>
      <c r="BC183" s="1077"/>
    </row>
    <row r="184" spans="1:56" s="116" customFormat="1" ht="12.75" hidden="1" customHeight="1" outlineLevel="1">
      <c r="A184" s="114"/>
      <c r="B184" s="196" t="s">
        <v>348</v>
      </c>
      <c r="C184" s="197"/>
      <c r="D184" s="202">
        <f>SUM(D180:D183)</f>
        <v>0</v>
      </c>
      <c r="E184" s="198"/>
      <c r="F184" s="199"/>
      <c r="G184" s="199"/>
      <c r="H184" s="199"/>
      <c r="I184" s="202">
        <f>SUM(I180:I183)</f>
        <v>0</v>
      </c>
      <c r="J184" s="200">
        <f>SUM(J180:J183)</f>
        <v>0</v>
      </c>
      <c r="V184" s="114"/>
      <c r="W184" s="1203">
        <f>IF(AC184=0,AC184,AC184/(J184+I184))</f>
        <v>0</v>
      </c>
      <c r="X184" s="821"/>
      <c r="Y184" s="1636"/>
      <c r="Z184" s="1636">
        <f>SQRT(SUMSQ(Z180:Z183))</f>
        <v>0</v>
      </c>
      <c r="AA184" s="1636">
        <f>SQRT(SUMSQ(AA180:AA183))</f>
        <v>0</v>
      </c>
      <c r="AB184" s="1636"/>
      <c r="AC184" s="200">
        <f>SQRT(SUMSQ(AC180:AC183))</f>
        <v>0</v>
      </c>
      <c r="AE184" s="571">
        <f t="shared" ref="AE184:AP184" si="28">SUM(AE177:AE183)</f>
        <v>0</v>
      </c>
      <c r="AF184" s="572">
        <f t="shared" si="28"/>
        <v>0</v>
      </c>
      <c r="AG184" s="572">
        <f t="shared" si="28"/>
        <v>0</v>
      </c>
      <c r="AH184" s="572">
        <f t="shared" si="28"/>
        <v>0</v>
      </c>
      <c r="AI184" s="572">
        <f t="shared" si="28"/>
        <v>0</v>
      </c>
      <c r="AJ184" s="572">
        <f t="shared" si="28"/>
        <v>0</v>
      </c>
      <c r="AK184" s="572">
        <f t="shared" si="28"/>
        <v>0</v>
      </c>
      <c r="AL184" s="572">
        <f t="shared" si="28"/>
        <v>0</v>
      </c>
      <c r="AM184" s="573">
        <f t="shared" si="28"/>
        <v>0</v>
      </c>
      <c r="AN184" s="574">
        <f t="shared" si="28"/>
        <v>0</v>
      </c>
      <c r="AO184" s="572">
        <f t="shared" si="28"/>
        <v>0</v>
      </c>
      <c r="AP184" s="575">
        <f t="shared" si="28"/>
        <v>0</v>
      </c>
      <c r="AQ184" s="114"/>
      <c r="AR184" s="114"/>
      <c r="AS184" s="114"/>
      <c r="AT184" s="114"/>
      <c r="AU184" s="114"/>
      <c r="AV184" s="114"/>
      <c r="AW184" s="114"/>
      <c r="AX184" s="114"/>
      <c r="AY184" s="114"/>
      <c r="AZ184" s="114"/>
      <c r="BA184" s="114"/>
      <c r="BB184" s="114"/>
      <c r="BC184" s="114"/>
    </row>
    <row r="185" spans="1:56" s="116" customFormat="1" ht="12.75" hidden="1" customHeight="1" outlineLevel="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26"/>
      <c r="Y185" s="126"/>
      <c r="Z185" s="114"/>
      <c r="AA185" s="114"/>
      <c r="AB185" s="114"/>
      <c r="AC185" s="114"/>
      <c r="AE185" s="441"/>
      <c r="AF185" s="441"/>
      <c r="AG185" s="441"/>
      <c r="AH185" s="441"/>
      <c r="AI185" s="441"/>
      <c r="AJ185" s="441"/>
      <c r="AK185" s="441"/>
      <c r="AL185" s="441"/>
      <c r="AM185" s="444"/>
      <c r="AN185" s="444"/>
      <c r="AO185" s="444"/>
      <c r="AP185" s="441"/>
      <c r="AQ185" s="114"/>
      <c r="AR185" s="114"/>
      <c r="AS185" s="114"/>
      <c r="AT185" s="114"/>
      <c r="AU185" s="114"/>
      <c r="AV185" s="114"/>
      <c r="AW185" s="114"/>
      <c r="AX185" s="114"/>
      <c r="AY185" s="114"/>
      <c r="AZ185" s="114"/>
      <c r="BA185" s="114"/>
      <c r="BB185" s="114"/>
      <c r="BC185" s="114"/>
    </row>
    <row r="186" spans="1:56" s="116" customFormat="1" ht="12.75" hidden="1" customHeight="1" outlineLevel="1">
      <c r="A186" s="114"/>
      <c r="B186" s="139" t="s">
        <v>326</v>
      </c>
      <c r="C186" s="140"/>
      <c r="D186" s="141"/>
      <c r="E186" s="141"/>
      <c r="F186" s="141"/>
      <c r="G186" s="141"/>
      <c r="H186" s="179"/>
      <c r="T186" s="114"/>
      <c r="U186" s="114"/>
      <c r="V186" s="114"/>
      <c r="W186" s="2636" t="s">
        <v>366</v>
      </c>
      <c r="X186" s="2637"/>
      <c r="Y186" s="2637"/>
      <c r="Z186" s="2637"/>
      <c r="AA186" s="2637"/>
      <c r="AB186" s="2637"/>
      <c r="AC186" s="2638"/>
      <c r="AE186" s="2639" t="s">
        <v>441</v>
      </c>
      <c r="AF186" s="2640"/>
      <c r="AG186" s="2640"/>
      <c r="AH186" s="2640"/>
      <c r="AI186" s="2641"/>
      <c r="AJ186" s="441"/>
      <c r="AK186" s="441"/>
      <c r="AL186" s="441"/>
      <c r="AM186" s="444"/>
      <c r="AN186" s="444"/>
      <c r="AO186" s="444"/>
      <c r="AP186" s="441"/>
      <c r="AQ186" s="114"/>
      <c r="AR186" s="109"/>
      <c r="AS186" s="109"/>
      <c r="AT186" s="109"/>
      <c r="AU186" s="109"/>
      <c r="AV186" s="109"/>
      <c r="AW186" s="109"/>
      <c r="AX186" s="109"/>
      <c r="AY186" s="109"/>
      <c r="AZ186" s="109"/>
      <c r="BA186" s="109"/>
      <c r="BB186" s="109"/>
      <c r="BC186" s="109"/>
      <c r="BD186" s="127"/>
    </row>
    <row r="187" spans="1:56" s="116" customFormat="1" ht="12.75" hidden="1" customHeight="1" outlineLevel="1">
      <c r="A187" s="114"/>
      <c r="B187" s="143"/>
      <c r="C187" s="144"/>
      <c r="D187" s="1812" t="s">
        <v>308</v>
      </c>
      <c r="E187" s="144"/>
      <c r="F187" s="144"/>
      <c r="G187" s="144"/>
      <c r="H187" s="168"/>
      <c r="T187" s="114"/>
      <c r="U187" s="114"/>
      <c r="V187" s="114"/>
      <c r="W187" s="1800"/>
      <c r="X187" s="819"/>
      <c r="Y187" s="819"/>
      <c r="Z187" s="819"/>
      <c r="AA187" s="819"/>
      <c r="AB187" s="819"/>
      <c r="AC187" s="145"/>
      <c r="AE187" s="584"/>
      <c r="AF187" s="585"/>
      <c r="AG187" s="585"/>
      <c r="AH187" s="585"/>
      <c r="AI187" s="586"/>
      <c r="AK187" s="441"/>
      <c r="AL187" s="441"/>
      <c r="AM187" s="444"/>
      <c r="AN187" s="444"/>
      <c r="AO187" s="444"/>
      <c r="AP187" s="441"/>
      <c r="AQ187" s="114"/>
      <c r="AR187" s="109"/>
      <c r="AS187" s="109"/>
      <c r="AT187" s="109"/>
      <c r="AU187" s="109"/>
      <c r="AV187" s="109"/>
      <c r="AW187" s="109"/>
      <c r="AX187" s="109"/>
      <c r="AY187" s="109"/>
      <c r="AZ187" s="109"/>
      <c r="BA187" s="109"/>
      <c r="BB187" s="109"/>
      <c r="BC187" s="109"/>
      <c r="BD187" s="127"/>
    </row>
    <row r="188" spans="1:56" s="116" customFormat="1" ht="12.75" hidden="1" customHeight="1" outlineLevel="1">
      <c r="A188" s="114"/>
      <c r="B188" s="1800"/>
      <c r="C188" s="1801"/>
      <c r="D188" s="1812" t="s">
        <v>409</v>
      </c>
      <c r="E188" s="147" t="s">
        <v>308</v>
      </c>
      <c r="F188" s="147" t="s">
        <v>308</v>
      </c>
      <c r="G188" s="1801" t="s">
        <v>8</v>
      </c>
      <c r="H188" s="1814" t="s">
        <v>444</v>
      </c>
      <c r="T188" s="114"/>
      <c r="U188" s="114"/>
      <c r="V188" s="114"/>
      <c r="W188" s="1800"/>
      <c r="X188" s="819"/>
      <c r="Y188" s="819"/>
      <c r="Z188" s="819"/>
      <c r="AA188" s="819"/>
      <c r="AB188" s="819"/>
      <c r="AC188" s="1814" t="s">
        <v>444</v>
      </c>
      <c r="AE188" s="2657" t="s">
        <v>444</v>
      </c>
      <c r="AF188" s="2658"/>
      <c r="AG188" s="2658"/>
      <c r="AH188" s="2659"/>
      <c r="AI188" s="587"/>
      <c r="AK188" s="441"/>
      <c r="AL188" s="441"/>
      <c r="AM188" s="444"/>
      <c r="AN188" s="444"/>
      <c r="AO188" s="444"/>
      <c r="AP188" s="441"/>
      <c r="AQ188" s="114"/>
      <c r="AR188" s="114"/>
      <c r="AS188" s="114"/>
      <c r="AT188" s="114"/>
      <c r="AU188" s="114"/>
      <c r="AV188" s="114"/>
      <c r="AW188" s="114"/>
      <c r="AX188" s="114"/>
      <c r="AY188" s="114"/>
      <c r="AZ188" s="114"/>
      <c r="BA188" s="114"/>
      <c r="BB188" s="114"/>
      <c r="BC188" s="114"/>
    </row>
    <row r="189" spans="1:56" s="127" customFormat="1" ht="12.75" hidden="1" customHeight="1" outlineLevel="1">
      <c r="A189" s="114"/>
      <c r="B189" s="1800"/>
      <c r="C189" s="1801"/>
      <c r="D189" s="1805" t="s">
        <v>444</v>
      </c>
      <c r="E189" s="1811" t="s">
        <v>532</v>
      </c>
      <c r="F189" s="1811" t="s">
        <v>444</v>
      </c>
      <c r="G189" s="1801" t="s">
        <v>183</v>
      </c>
      <c r="H189" s="1814"/>
      <c r="T189" s="109"/>
      <c r="U189" s="109"/>
      <c r="V189" s="114"/>
      <c r="W189" s="1800"/>
      <c r="X189" s="819"/>
      <c r="Y189" s="819"/>
      <c r="Z189" s="819"/>
      <c r="AA189" s="819"/>
      <c r="AB189" s="819"/>
      <c r="AC189" s="1814"/>
      <c r="AE189" s="1802" t="s">
        <v>211</v>
      </c>
      <c r="AF189" s="1804" t="s">
        <v>442</v>
      </c>
      <c r="AG189" s="1804" t="s">
        <v>267</v>
      </c>
      <c r="AH189" s="1804" t="s">
        <v>443</v>
      </c>
      <c r="AI189" s="589" t="s">
        <v>636</v>
      </c>
      <c r="AK189" s="588"/>
      <c r="AL189" s="588"/>
      <c r="AM189" s="1639"/>
      <c r="AN189" s="444"/>
      <c r="AO189" s="444"/>
      <c r="AP189" s="588"/>
      <c r="AQ189" s="109"/>
      <c r="AR189" s="114"/>
      <c r="AS189" s="114"/>
      <c r="AT189" s="114"/>
      <c r="AU189" s="114"/>
      <c r="AV189" s="114"/>
      <c r="AW189" s="114"/>
      <c r="AX189" s="114"/>
      <c r="AY189" s="114"/>
      <c r="AZ189" s="114"/>
      <c r="BA189" s="114"/>
      <c r="BB189" s="114"/>
      <c r="BC189" s="114"/>
      <c r="BD189" s="116"/>
    </row>
    <row r="190" spans="1:56" s="127" customFormat="1" ht="12.75" hidden="1" customHeight="1" outlineLevel="1">
      <c r="A190" s="114"/>
      <c r="B190" s="143" t="s">
        <v>831</v>
      </c>
      <c r="C190" s="1801"/>
      <c r="D190" s="315">
        <f>H190</f>
        <v>0</v>
      </c>
      <c r="E190" s="182">
        <f>SUM(F91:F93)+SUM(F101:F107)+SUM(F115:F118)+SUM(F126:F130)+F151+SUMPRODUCT(I158:I161,G158:G161)+SUMPRODUCT(I169:I172,G169:G172)</f>
        <v>0</v>
      </c>
      <c r="F190" s="182">
        <f>K95+L95+K109+L109+H152+H132+H120+K163+K174+I184+J184+U109</f>
        <v>0</v>
      </c>
      <c r="G190" s="1901">
        <f>'FE Energie'!$L$2231</f>
        <v>8.9316987740805598E-2</v>
      </c>
      <c r="H190" s="152">
        <f>(F190-K95-L95-K109-L109-U109)*G190+T109+T95</f>
        <v>0</v>
      </c>
      <c r="T190" s="109"/>
      <c r="U190" s="109"/>
      <c r="V190" s="114"/>
      <c r="W190" s="1800"/>
      <c r="X190" s="1902">
        <f>0.1/SQRT(SUMSQ(0.1,0.1,0.1))</f>
        <v>0.57735026918962573</v>
      </c>
      <c r="Y190" s="825"/>
      <c r="Z190" s="820"/>
      <c r="AA190" s="820"/>
      <c r="AB190" s="820"/>
      <c r="AC190" s="152">
        <f>IF(ISNUMBER(X190),H190*X190,0)</f>
        <v>0</v>
      </c>
      <c r="AE190" s="564">
        <f>H190</f>
        <v>0</v>
      </c>
      <c r="AF190" s="565"/>
      <c r="AG190" s="565"/>
      <c r="AH190" s="565"/>
      <c r="AI190" s="590"/>
      <c r="AK190" s="588"/>
      <c r="AL190" s="588"/>
      <c r="AM190" s="1639"/>
      <c r="AN190" s="1639"/>
      <c r="AO190" s="1639"/>
      <c r="AP190" s="588"/>
      <c r="AQ190" s="109"/>
      <c r="AR190" s="114"/>
      <c r="AS190" s="114"/>
      <c r="AT190" s="114"/>
      <c r="AU190" s="114"/>
      <c r="AV190" s="114"/>
      <c r="AW190" s="114"/>
      <c r="AX190" s="114"/>
      <c r="AY190" s="114"/>
      <c r="AZ190" s="114"/>
      <c r="BA190" s="114"/>
      <c r="BB190" s="114"/>
      <c r="BC190" s="114"/>
      <c r="BD190" s="116"/>
    </row>
    <row r="191" spans="1:56" s="116" customFormat="1" ht="12" hidden="1" customHeight="1" outlineLevel="1">
      <c r="A191" s="114"/>
      <c r="B191" s="143"/>
      <c r="C191" s="144"/>
      <c r="D191" s="315"/>
      <c r="E191" s="144"/>
      <c r="F191" s="144"/>
      <c r="G191" s="144"/>
      <c r="H191" s="152"/>
      <c r="T191" s="114"/>
      <c r="U191" s="114"/>
      <c r="V191" s="114"/>
      <c r="W191" s="143"/>
      <c r="X191" s="823"/>
      <c r="Y191" s="823"/>
      <c r="Z191" s="823"/>
      <c r="AA191" s="823"/>
      <c r="AB191" s="823"/>
      <c r="AC191" s="165"/>
      <c r="AE191" s="564"/>
      <c r="AF191" s="565"/>
      <c r="AG191" s="565"/>
      <c r="AH191" s="565"/>
      <c r="AI191" s="591"/>
      <c r="AK191" s="441"/>
      <c r="AL191" s="441"/>
      <c r="AM191" s="444"/>
      <c r="AN191" s="1639"/>
      <c r="AO191" s="1639"/>
      <c r="AP191" s="441"/>
      <c r="AQ191" s="114"/>
      <c r="AR191" s="114"/>
      <c r="AS191" s="114"/>
      <c r="AT191" s="114"/>
      <c r="AU191" s="114"/>
      <c r="AV191" s="114"/>
      <c r="AW191" s="114"/>
      <c r="AX191" s="114"/>
      <c r="AY191" s="114"/>
      <c r="AZ191" s="114"/>
      <c r="BA191" s="114"/>
      <c r="BB191" s="114"/>
      <c r="BC191" s="114"/>
    </row>
    <row r="192" spans="1:56" s="116" customFormat="1" ht="12.75" hidden="1" customHeight="1" outlineLevel="1">
      <c r="A192" s="114"/>
      <c r="B192" s="196" t="s">
        <v>348</v>
      </c>
      <c r="C192" s="197"/>
      <c r="D192" s="202">
        <f>SUM(D190:D191)</f>
        <v>0</v>
      </c>
      <c r="E192" s="199"/>
      <c r="F192" s="199"/>
      <c r="G192" s="199"/>
      <c r="H192" s="200">
        <f>SUM(H190:H191)</f>
        <v>0</v>
      </c>
      <c r="T192" s="114"/>
      <c r="U192" s="114"/>
      <c r="V192" s="114"/>
      <c r="W192" s="201"/>
      <c r="X192" s="821"/>
      <c r="Y192" s="821"/>
      <c r="Z192" s="821"/>
      <c r="AA192" s="821"/>
      <c r="AB192" s="821"/>
      <c r="AC192" s="200">
        <f>SQRT(SUMSQ(AC190:AC191))</f>
        <v>0</v>
      </c>
      <c r="AE192" s="571">
        <f>SUM(AE190:AE191)</f>
        <v>0</v>
      </c>
      <c r="AF192" s="572">
        <f>SUM(AF190:AF191)</f>
        <v>0</v>
      </c>
      <c r="AG192" s="572">
        <f>SUM(AG190:AG191)</f>
        <v>0</v>
      </c>
      <c r="AH192" s="572">
        <f>SUM(AH190:AH191)</f>
        <v>0</v>
      </c>
      <c r="AI192" s="592">
        <f>SUM(AI190:AI191)</f>
        <v>0</v>
      </c>
      <c r="AK192" s="441"/>
      <c r="AL192" s="441"/>
      <c r="AM192" s="444"/>
      <c r="AN192" s="444"/>
      <c r="AO192" s="444"/>
      <c r="AP192" s="441"/>
      <c r="AQ192" s="114"/>
      <c r="AR192" s="114"/>
      <c r="AS192" s="114"/>
      <c r="AT192" s="114"/>
      <c r="AU192" s="114"/>
      <c r="AV192" s="114"/>
      <c r="AW192" s="114"/>
      <c r="AX192" s="114"/>
      <c r="AY192" s="114"/>
      <c r="AZ192" s="114"/>
      <c r="BA192" s="114"/>
      <c r="BB192" s="114"/>
      <c r="BC192" s="114"/>
    </row>
    <row r="193" spans="1:57" s="116" customFormat="1" ht="12.75" hidden="1" customHeight="1" outlineLevel="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26"/>
      <c r="Y193" s="126"/>
      <c r="Z193" s="114"/>
      <c r="AA193" s="114"/>
      <c r="AB193" s="114"/>
      <c r="AC193" s="114"/>
      <c r="AE193" s="441"/>
      <c r="AF193" s="441"/>
      <c r="AG193" s="441"/>
      <c r="AH193" s="441"/>
      <c r="AI193" s="441"/>
      <c r="AJ193" s="441"/>
      <c r="AK193" s="441"/>
      <c r="AL193" s="441"/>
      <c r="AM193" s="444"/>
      <c r="AN193" s="444"/>
      <c r="AO193" s="444"/>
      <c r="AP193" s="441"/>
      <c r="AQ193" s="114"/>
      <c r="AR193" s="114"/>
      <c r="AS193" s="114"/>
      <c r="AT193" s="114"/>
      <c r="AU193" s="114"/>
      <c r="AV193" s="114"/>
      <c r="AW193" s="114"/>
      <c r="AX193" s="114"/>
      <c r="AY193" s="114"/>
      <c r="AZ193" s="114"/>
      <c r="BA193" s="114"/>
      <c r="BB193" s="114"/>
      <c r="BC193" s="114"/>
    </row>
    <row r="194" spans="1:57" s="116" customFormat="1" ht="13.2" collapsed="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26"/>
      <c r="Y194" s="126"/>
      <c r="Z194" s="114"/>
      <c r="AA194" s="114"/>
      <c r="AB194" s="114"/>
      <c r="AC194" s="114"/>
      <c r="AE194" s="441"/>
      <c r="AF194" s="588"/>
      <c r="AG194" s="588"/>
      <c r="AH194" s="588"/>
      <c r="AI194" s="588"/>
      <c r="AJ194" s="576"/>
      <c r="AK194" s="441"/>
      <c r="AL194" s="441"/>
      <c r="AM194" s="444"/>
      <c r="AN194" s="444"/>
      <c r="AO194" s="444"/>
      <c r="AP194" s="441"/>
      <c r="AQ194" s="114"/>
      <c r="AR194" s="113"/>
      <c r="AS194" s="113"/>
      <c r="AT194" s="113"/>
      <c r="AU194" s="113"/>
      <c r="AV194" s="113"/>
      <c r="AW194" s="113"/>
      <c r="AX194" s="113"/>
      <c r="AY194" s="113"/>
      <c r="AZ194" s="113"/>
      <c r="BA194" s="113"/>
      <c r="BB194" s="113"/>
      <c r="BC194" s="113"/>
      <c r="BD194" s="418"/>
    </row>
    <row r="195" spans="1:57" s="418" customFormat="1" ht="20.100000000000001" customHeight="1">
      <c r="A195" s="113"/>
      <c r="B195" s="2664" t="s">
        <v>518</v>
      </c>
      <c r="C195" s="2665"/>
      <c r="D195" s="2665"/>
      <c r="E195" s="2665"/>
      <c r="F195" s="2665"/>
      <c r="G195" s="2665"/>
      <c r="H195" s="2665"/>
      <c r="I195" s="2665"/>
      <c r="J195" s="2665"/>
      <c r="K195" s="2665"/>
      <c r="L195" s="2665"/>
      <c r="M195" s="2665"/>
      <c r="N195" s="2665"/>
      <c r="O195" s="2666"/>
      <c r="P195" s="113"/>
      <c r="Q195" s="113"/>
      <c r="R195" s="113"/>
      <c r="S195" s="113"/>
      <c r="T195" s="113"/>
      <c r="U195" s="113"/>
      <c r="V195" s="113"/>
      <c r="W195" s="113"/>
      <c r="X195" s="113"/>
      <c r="Y195" s="817"/>
      <c r="Z195" s="817"/>
      <c r="AA195" s="113"/>
      <c r="AB195" s="113"/>
      <c r="AC195" s="113"/>
      <c r="AE195" s="113"/>
      <c r="AF195" s="441"/>
      <c r="AG195" s="588"/>
      <c r="AH195" s="588"/>
      <c r="AI195" s="588"/>
      <c r="AJ195" s="588"/>
      <c r="AK195" s="441"/>
      <c r="AL195" s="576"/>
      <c r="AM195" s="1240"/>
      <c r="AN195" s="1240"/>
      <c r="AO195" s="1240"/>
      <c r="AP195" s="441"/>
      <c r="AQ195" s="441"/>
      <c r="AR195" s="113"/>
      <c r="AS195" s="114"/>
      <c r="AT195" s="114"/>
      <c r="AU195" s="114"/>
      <c r="AV195" s="114"/>
      <c r="AW195" s="114"/>
      <c r="AX195" s="114"/>
      <c r="AY195" s="114"/>
      <c r="AZ195" s="114"/>
      <c r="BA195" s="114"/>
      <c r="BB195" s="114"/>
      <c r="BC195" s="114"/>
      <c r="BD195" s="114"/>
      <c r="BE195" s="116"/>
    </row>
    <row r="196" spans="1:57" s="116" customFormat="1" ht="13.2">
      <c r="A196" s="114"/>
      <c r="B196" s="128"/>
      <c r="C196" s="128"/>
      <c r="D196" s="128"/>
      <c r="E196" s="128"/>
      <c r="F196" s="128"/>
      <c r="G196" s="128"/>
      <c r="H196" s="128"/>
      <c r="I196" s="128"/>
      <c r="J196" s="128"/>
      <c r="K196" s="128"/>
      <c r="L196" s="128"/>
      <c r="M196" s="128"/>
      <c r="N196" s="128"/>
      <c r="O196" s="128"/>
      <c r="P196" s="114"/>
      <c r="Q196" s="114"/>
      <c r="R196" s="114"/>
      <c r="S196" s="114"/>
      <c r="T196" s="114"/>
      <c r="U196" s="114"/>
      <c r="V196" s="114"/>
      <c r="W196" s="114"/>
      <c r="X196" s="114"/>
      <c r="Y196" s="126"/>
      <c r="Z196" s="126"/>
      <c r="AA196" s="114"/>
      <c r="AB196" s="114"/>
      <c r="AC196" s="114"/>
      <c r="AE196" s="114"/>
      <c r="AF196" s="441"/>
      <c r="AG196" s="441"/>
      <c r="AH196" s="441"/>
      <c r="AI196" s="441"/>
      <c r="AJ196" s="441"/>
      <c r="AK196" s="441"/>
      <c r="AL196" s="441"/>
      <c r="AM196" s="444"/>
      <c r="AN196" s="444"/>
      <c r="AO196" s="444"/>
      <c r="AP196" s="441"/>
      <c r="AQ196" s="576"/>
      <c r="AR196" s="113"/>
      <c r="AS196" s="114"/>
      <c r="AT196" s="114"/>
      <c r="AU196" s="114"/>
      <c r="AV196" s="114"/>
      <c r="AW196" s="114"/>
      <c r="AX196" s="114"/>
      <c r="AY196" s="114"/>
      <c r="AZ196" s="114"/>
      <c r="BA196" s="114"/>
      <c r="BB196" s="114"/>
      <c r="BC196" s="114"/>
      <c r="BD196" s="114"/>
    </row>
    <row r="197" spans="1:57" s="116" customFormat="1" ht="12.75" customHeight="1">
      <c r="A197" s="114"/>
      <c r="B197" s="2667" t="str">
        <f>Descriptif!C24</f>
        <v>Energie 2</v>
      </c>
      <c r="C197" s="2668"/>
      <c r="D197" s="2671" t="s">
        <v>409</v>
      </c>
      <c r="E197" s="2672"/>
      <c r="F197" s="2673"/>
      <c r="G197" s="129"/>
      <c r="H197" s="2671" t="s">
        <v>159</v>
      </c>
      <c r="I197" s="2673"/>
      <c r="J197" s="170"/>
      <c r="K197" s="2674" t="s">
        <v>499</v>
      </c>
      <c r="L197" s="2675"/>
      <c r="M197" s="2675"/>
      <c r="N197" s="2676"/>
      <c r="O197" s="1641"/>
      <c r="P197" s="1641"/>
      <c r="Q197" s="114"/>
      <c r="R197" s="114"/>
      <c r="S197" s="126"/>
      <c r="T197" s="126"/>
      <c r="U197" s="114"/>
      <c r="V197" s="114"/>
      <c r="W197" s="114"/>
      <c r="Y197" s="114"/>
      <c r="Z197" s="588"/>
      <c r="AA197" s="441"/>
      <c r="AB197" s="441"/>
      <c r="AC197" s="441"/>
      <c r="AD197" s="441"/>
      <c r="AE197" s="441"/>
      <c r="AF197" s="441"/>
      <c r="AG197" s="444"/>
      <c r="AH197" s="444"/>
      <c r="AI197" s="444"/>
      <c r="AJ197" s="441"/>
      <c r="AK197" s="441"/>
      <c r="AL197" s="114"/>
      <c r="AM197" s="114"/>
      <c r="AN197" s="114"/>
      <c r="AO197" s="114"/>
      <c r="AP197" s="114"/>
      <c r="AQ197" s="114"/>
      <c r="AR197" s="114"/>
      <c r="AS197" s="114"/>
      <c r="AT197" s="114"/>
      <c r="AU197" s="114"/>
      <c r="AV197" s="114"/>
      <c r="AW197" s="114"/>
      <c r="AX197" s="114"/>
    </row>
    <row r="198" spans="1:57" s="116" customFormat="1" ht="12.75" customHeight="1">
      <c r="A198" s="114"/>
      <c r="B198" s="2669"/>
      <c r="C198" s="2670"/>
      <c r="D198" s="1806" t="s">
        <v>444</v>
      </c>
      <c r="E198" s="1809" t="s">
        <v>500</v>
      </c>
      <c r="F198" s="1806" t="s">
        <v>524</v>
      </c>
      <c r="G198" s="129"/>
      <c r="H198" s="1806" t="s">
        <v>444</v>
      </c>
      <c r="I198" s="1806" t="s">
        <v>355</v>
      </c>
      <c r="J198" s="170"/>
      <c r="K198" s="1807" t="s">
        <v>43</v>
      </c>
      <c r="L198" s="1807" t="s">
        <v>522</v>
      </c>
      <c r="M198" s="1807" t="s">
        <v>522</v>
      </c>
      <c r="N198" s="1807" t="s">
        <v>523</v>
      </c>
      <c r="O198" s="1641"/>
      <c r="P198" s="1641"/>
      <c r="Q198" s="114"/>
      <c r="R198" s="114"/>
      <c r="S198" s="126"/>
      <c r="T198" s="126"/>
      <c r="U198" s="114"/>
      <c r="V198" s="114"/>
      <c r="W198" s="114"/>
      <c r="Y198" s="114"/>
      <c r="Z198" s="588"/>
      <c r="AA198" s="441"/>
      <c r="AB198" s="441"/>
      <c r="AC198" s="441"/>
      <c r="AD198" s="441"/>
      <c r="AE198" s="441"/>
      <c r="AF198" s="441"/>
      <c r="AG198" s="444"/>
      <c r="AH198" s="444"/>
      <c r="AI198" s="444"/>
      <c r="AJ198" s="441"/>
      <c r="AK198" s="441"/>
      <c r="AL198" s="114"/>
      <c r="AM198" s="114"/>
      <c r="AN198" s="114"/>
      <c r="AO198" s="114"/>
      <c r="AP198" s="114"/>
      <c r="AQ198" s="114"/>
      <c r="AR198" s="114"/>
      <c r="AS198" s="114"/>
      <c r="AT198" s="114"/>
      <c r="AU198" s="114"/>
      <c r="AV198" s="114"/>
      <c r="AW198" s="114"/>
      <c r="AX198" s="114"/>
    </row>
    <row r="199" spans="1:57" s="116" customFormat="1" ht="13.2">
      <c r="A199" s="114"/>
      <c r="B199" s="2660" t="s">
        <v>184</v>
      </c>
      <c r="C199" s="2661"/>
      <c r="D199" s="183">
        <f>D28+D40</f>
        <v>0</v>
      </c>
      <c r="E199" s="184">
        <f>D199/1000</f>
        <v>0</v>
      </c>
      <c r="F199" s="185" t="str">
        <f t="shared" ref="F199:F204" si="29">IF($D$204=0,"",D199/$D$204)</f>
        <v/>
      </c>
      <c r="G199" s="128"/>
      <c r="H199" s="136">
        <f>SQRT(AC28^2+AC40^2)</f>
        <v>0</v>
      </c>
      <c r="I199" s="185" t="str">
        <f t="shared" ref="I199:I204" si="30">IF(D199=0,"",H199/D199)</f>
        <v/>
      </c>
      <c r="J199" s="170"/>
      <c r="K199" s="187">
        <f t="shared" ref="K199:K204" si="31">(D199-H199)/1000</f>
        <v>0</v>
      </c>
      <c r="L199" s="187">
        <f t="shared" ref="L199:L204" si="32">E199</f>
        <v>0</v>
      </c>
      <c r="M199" s="187">
        <f t="shared" ref="M199:M204" si="33">E199</f>
        <v>0</v>
      </c>
      <c r="N199" s="187">
        <f t="shared" ref="N199:N204" si="34">(D199+H199)/1000</f>
        <v>0</v>
      </c>
      <c r="O199" s="1642"/>
      <c r="P199" s="1642"/>
      <c r="Q199" s="114"/>
      <c r="R199" s="114"/>
      <c r="S199" s="126"/>
      <c r="T199" s="126"/>
      <c r="U199" s="114"/>
      <c r="V199" s="114"/>
      <c r="W199" s="114"/>
      <c r="Y199" s="114"/>
      <c r="Z199" s="441"/>
      <c r="AA199" s="441"/>
      <c r="AB199" s="441"/>
      <c r="AC199" s="441"/>
      <c r="AD199" s="441"/>
      <c r="AE199" s="441"/>
      <c r="AF199" s="441"/>
      <c r="AG199" s="444"/>
      <c r="AH199" s="444"/>
      <c r="AI199" s="444"/>
      <c r="AJ199" s="441"/>
      <c r="AK199" s="441"/>
      <c r="AL199" s="114"/>
      <c r="AM199" s="114"/>
      <c r="AN199" s="114"/>
      <c r="AO199" s="114"/>
      <c r="AP199" s="114"/>
      <c r="AQ199" s="114"/>
      <c r="AR199" s="114"/>
      <c r="AS199" s="114"/>
      <c r="AT199" s="114"/>
      <c r="AU199" s="114"/>
      <c r="AV199" s="114"/>
      <c r="AW199" s="114"/>
      <c r="AX199" s="114"/>
    </row>
    <row r="200" spans="1:57" s="116" customFormat="1" ht="13.2">
      <c r="A200" s="114"/>
      <c r="B200" s="2660" t="s">
        <v>23</v>
      </c>
      <c r="C200" s="2661"/>
      <c r="D200" s="136">
        <f>M54+L54</f>
        <v>0</v>
      </c>
      <c r="E200" s="186">
        <f>D200/1000</f>
        <v>0</v>
      </c>
      <c r="F200" s="185" t="str">
        <f t="shared" si="29"/>
        <v/>
      </c>
      <c r="G200" s="128"/>
      <c r="H200" s="136">
        <f>AC54</f>
        <v>0</v>
      </c>
      <c r="I200" s="185" t="str">
        <f t="shared" si="30"/>
        <v/>
      </c>
      <c r="J200" s="170"/>
      <c r="K200" s="187">
        <f t="shared" si="31"/>
        <v>0</v>
      </c>
      <c r="L200" s="187">
        <f t="shared" si="32"/>
        <v>0</v>
      </c>
      <c r="M200" s="187">
        <f t="shared" si="33"/>
        <v>0</v>
      </c>
      <c r="N200" s="187">
        <f t="shared" si="34"/>
        <v>0</v>
      </c>
      <c r="O200" s="1642"/>
      <c r="P200" s="1642"/>
      <c r="Q200" s="114"/>
      <c r="R200" s="114"/>
      <c r="S200" s="126"/>
      <c r="T200" s="126"/>
      <c r="U200" s="114"/>
      <c r="V200" s="114"/>
      <c r="W200" s="114"/>
      <c r="Y200" s="114"/>
      <c r="Z200" s="576"/>
      <c r="AA200" s="576"/>
      <c r="AB200" s="576"/>
      <c r="AC200" s="576"/>
      <c r="AD200" s="576"/>
      <c r="AE200" s="441"/>
      <c r="AF200" s="441"/>
      <c r="AG200" s="444"/>
      <c r="AH200" s="444"/>
      <c r="AI200" s="444"/>
      <c r="AJ200" s="441"/>
      <c r="AK200" s="441"/>
      <c r="AL200" s="114"/>
      <c r="AM200" s="114"/>
      <c r="AN200" s="114"/>
      <c r="AO200" s="114"/>
      <c r="AP200" s="114"/>
      <c r="AQ200" s="114"/>
      <c r="AR200" s="114"/>
      <c r="AS200" s="114"/>
      <c r="AT200" s="114"/>
      <c r="AU200" s="114"/>
      <c r="AV200" s="114"/>
      <c r="AW200" s="114"/>
      <c r="AX200" s="114"/>
    </row>
    <row r="201" spans="1:57" s="116" customFormat="1" ht="13.2">
      <c r="A201" s="114"/>
      <c r="B201" s="2660" t="s">
        <v>24</v>
      </c>
      <c r="C201" s="2661"/>
      <c r="D201" s="136">
        <f>M67</f>
        <v>0</v>
      </c>
      <c r="E201" s="186">
        <f>D201/1000</f>
        <v>0</v>
      </c>
      <c r="F201" s="185" t="str">
        <f t="shared" si="29"/>
        <v/>
      </c>
      <c r="G201" s="128"/>
      <c r="H201" s="136">
        <f>AC67</f>
        <v>0</v>
      </c>
      <c r="I201" s="185" t="str">
        <f t="shared" si="30"/>
        <v/>
      </c>
      <c r="J201" s="170"/>
      <c r="K201" s="187">
        <f t="shared" si="31"/>
        <v>0</v>
      </c>
      <c r="L201" s="187">
        <f t="shared" si="32"/>
        <v>0</v>
      </c>
      <c r="M201" s="187">
        <f t="shared" si="33"/>
        <v>0</v>
      </c>
      <c r="N201" s="187">
        <f t="shared" si="34"/>
        <v>0</v>
      </c>
      <c r="O201" s="1642"/>
      <c r="P201" s="1642"/>
      <c r="Q201" s="114"/>
      <c r="R201" s="114"/>
      <c r="S201" s="126"/>
      <c r="T201" s="126"/>
      <c r="U201" s="114"/>
      <c r="V201" s="114"/>
      <c r="W201" s="114"/>
      <c r="Y201" s="114"/>
      <c r="Z201" s="441"/>
      <c r="AA201" s="441"/>
      <c r="AB201" s="441"/>
      <c r="AC201" s="441"/>
      <c r="AD201" s="441"/>
      <c r="AE201" s="441"/>
      <c r="AF201" s="441"/>
      <c r="AG201" s="441"/>
      <c r="AH201" s="444"/>
      <c r="AI201" s="444"/>
      <c r="AJ201" s="441"/>
      <c r="AK201" s="441"/>
      <c r="AL201" s="114"/>
      <c r="AM201" s="113"/>
      <c r="AN201" s="113"/>
      <c r="AO201" s="113"/>
      <c r="AP201" s="113"/>
      <c r="AQ201" s="113"/>
      <c r="AR201" s="113"/>
      <c r="AS201" s="113"/>
      <c r="AT201" s="113"/>
      <c r="AU201" s="113"/>
      <c r="AV201" s="113"/>
      <c r="AW201" s="113"/>
      <c r="AX201" s="113"/>
      <c r="AY201" s="418"/>
    </row>
    <row r="202" spans="1:57" s="116" customFormat="1" ht="13.2">
      <c r="A202" s="114"/>
      <c r="B202" s="2660" t="s">
        <v>434</v>
      </c>
      <c r="C202" s="2661"/>
      <c r="D202" s="136">
        <f>I77</f>
        <v>0</v>
      </c>
      <c r="E202" s="186">
        <f>D202/1000</f>
        <v>0</v>
      </c>
      <c r="F202" s="185" t="str">
        <f t="shared" si="29"/>
        <v/>
      </c>
      <c r="G202" s="128"/>
      <c r="H202" s="136">
        <f>AC77</f>
        <v>0</v>
      </c>
      <c r="I202" s="185" t="str">
        <f t="shared" si="30"/>
        <v/>
      </c>
      <c r="J202" s="170"/>
      <c r="K202" s="187">
        <f t="shared" si="31"/>
        <v>0</v>
      </c>
      <c r="L202" s="187">
        <f t="shared" si="32"/>
        <v>0</v>
      </c>
      <c r="M202" s="187">
        <f t="shared" si="33"/>
        <v>0</v>
      </c>
      <c r="N202" s="187">
        <f t="shared" si="34"/>
        <v>0</v>
      </c>
      <c r="O202" s="1642"/>
      <c r="P202" s="1642"/>
      <c r="Q202" s="114"/>
      <c r="R202" s="114"/>
      <c r="S202" s="126"/>
      <c r="T202" s="126"/>
      <c r="U202" s="114"/>
      <c r="V202" s="114"/>
      <c r="W202" s="114"/>
      <c r="Y202" s="114"/>
      <c r="Z202" s="441"/>
      <c r="AA202" s="441"/>
      <c r="AB202" s="441"/>
      <c r="AC202" s="441"/>
      <c r="AD202" s="441"/>
      <c r="AE202" s="441"/>
      <c r="AF202" s="441"/>
      <c r="AG202" s="441"/>
      <c r="AH202" s="444"/>
      <c r="AI202" s="444"/>
      <c r="AJ202" s="441"/>
      <c r="AK202" s="441"/>
      <c r="AL202" s="114"/>
      <c r="AM202" s="113"/>
      <c r="AN202" s="113"/>
      <c r="AO202" s="113"/>
      <c r="AP202" s="113"/>
      <c r="AQ202" s="113"/>
      <c r="AR202" s="113"/>
      <c r="AS202" s="113"/>
      <c r="AT202" s="113"/>
      <c r="AU202" s="113"/>
      <c r="AV202" s="113"/>
      <c r="AW202" s="113"/>
      <c r="AX202" s="113"/>
      <c r="AY202" s="418"/>
    </row>
    <row r="203" spans="1:57" s="116" customFormat="1" ht="15">
      <c r="A203" s="114"/>
      <c r="B203" s="2660" t="s">
        <v>1845</v>
      </c>
      <c r="C203" s="2661"/>
      <c r="D203" s="136">
        <f>K95+L95+H120+H132+H152+K163+K174+H192+K109+L109+U109+I184+J184</f>
        <v>0</v>
      </c>
      <c r="E203" s="186">
        <f>D203/1000</f>
        <v>0</v>
      </c>
      <c r="F203" s="185" t="str">
        <f t="shared" si="29"/>
        <v/>
      </c>
      <c r="G203" s="128"/>
      <c r="H203" s="136">
        <f>SQRT(AC95^2+AC120^2+AC132^2+AC152^2+AC163^2+AC174^2+AC192^2+AC184^2+AC109^2)</f>
        <v>0</v>
      </c>
      <c r="I203" s="185" t="str">
        <f t="shared" si="30"/>
        <v/>
      </c>
      <c r="J203" s="170"/>
      <c r="K203" s="187">
        <f t="shared" si="31"/>
        <v>0</v>
      </c>
      <c r="L203" s="187">
        <f t="shared" si="32"/>
        <v>0</v>
      </c>
      <c r="M203" s="187">
        <f t="shared" si="33"/>
        <v>0</v>
      </c>
      <c r="N203" s="187">
        <f t="shared" si="34"/>
        <v>0</v>
      </c>
      <c r="O203" s="1642"/>
      <c r="P203" s="1642"/>
      <c r="Q203" s="114"/>
      <c r="R203" s="114"/>
      <c r="S203" s="126"/>
      <c r="T203" s="126"/>
      <c r="U203" s="114"/>
      <c r="V203" s="114"/>
      <c r="W203" s="114"/>
      <c r="Y203" s="114"/>
      <c r="Z203" s="441"/>
      <c r="AA203" s="441"/>
      <c r="AB203" s="441"/>
      <c r="AC203" s="441"/>
      <c r="AD203" s="441"/>
      <c r="AE203" s="593"/>
      <c r="AF203" s="441"/>
      <c r="AG203" s="441"/>
      <c r="AH203" s="444"/>
      <c r="AI203" s="444"/>
      <c r="AJ203" s="441"/>
      <c r="AK203" s="441"/>
      <c r="AL203" s="114"/>
      <c r="AM203" s="113"/>
      <c r="AN203" s="113"/>
      <c r="AO203" s="113"/>
      <c r="AP203" s="113"/>
      <c r="AQ203" s="113"/>
      <c r="AR203" s="113"/>
      <c r="AS203" s="113"/>
      <c r="AT203" s="113"/>
      <c r="AU203" s="113"/>
      <c r="AV203" s="113"/>
      <c r="AW203" s="113"/>
      <c r="AX203" s="113"/>
      <c r="AY203" s="418"/>
    </row>
    <row r="204" spans="1:57" s="418" customFormat="1" ht="15">
      <c r="A204" s="113"/>
      <c r="B204" s="2662" t="s">
        <v>348</v>
      </c>
      <c r="C204" s="2663"/>
      <c r="D204" s="188">
        <f>SUM(D199:D203)</f>
        <v>0</v>
      </c>
      <c r="E204" s="189">
        <f>SUM(E199:E203)</f>
        <v>0</v>
      </c>
      <c r="F204" s="190" t="str">
        <f t="shared" si="29"/>
        <v/>
      </c>
      <c r="G204" s="191"/>
      <c r="H204" s="188">
        <f>SQRT(SUMSQ(H199:H203))</f>
        <v>0</v>
      </c>
      <c r="I204" s="190" t="str">
        <f t="shared" si="30"/>
        <v/>
      </c>
      <c r="J204" s="192"/>
      <c r="K204" s="187">
        <f t="shared" si="31"/>
        <v>0</v>
      </c>
      <c r="L204" s="187">
        <f t="shared" si="32"/>
        <v>0</v>
      </c>
      <c r="M204" s="187">
        <f t="shared" si="33"/>
        <v>0</v>
      </c>
      <c r="N204" s="187">
        <f t="shared" si="34"/>
        <v>0</v>
      </c>
      <c r="O204" s="1642"/>
      <c r="P204" s="1642"/>
      <c r="Q204" s="130"/>
      <c r="R204" s="130"/>
      <c r="S204" s="824"/>
      <c r="T204" s="824"/>
      <c r="U204" s="130"/>
      <c r="V204" s="130"/>
      <c r="W204" s="130"/>
      <c r="X204" s="1238"/>
      <c r="Y204" s="113"/>
      <c r="Z204" s="593"/>
      <c r="AA204" s="593"/>
      <c r="AB204" s="593"/>
      <c r="AC204" s="593"/>
      <c r="AD204" s="593"/>
      <c r="AE204" s="593"/>
      <c r="AF204" s="576"/>
      <c r="AG204" s="576"/>
      <c r="AH204" s="1240"/>
      <c r="AI204" s="1240"/>
      <c r="AJ204" s="576"/>
      <c r="AK204" s="576"/>
      <c r="AL204" s="113"/>
      <c r="AM204" s="132"/>
      <c r="AN204" s="132"/>
      <c r="AO204" s="132"/>
      <c r="AP204" s="132"/>
      <c r="AQ204" s="132"/>
      <c r="AR204" s="132"/>
      <c r="AS204" s="132"/>
      <c r="AT204" s="132"/>
      <c r="AU204" s="132"/>
      <c r="AV204" s="132"/>
      <c r="AW204" s="132"/>
      <c r="AX204" s="132"/>
      <c r="AY204" s="261"/>
    </row>
    <row r="205" spans="1:57" s="418" customFormat="1" ht="12">
      <c r="A205" s="113"/>
      <c r="B205" s="131"/>
      <c r="C205" s="131"/>
      <c r="D205" s="131"/>
      <c r="E205" s="131"/>
      <c r="F205" s="131"/>
      <c r="G205" s="131"/>
      <c r="H205" s="172"/>
      <c r="I205" s="172"/>
      <c r="J205" s="173"/>
      <c r="K205" s="173"/>
      <c r="L205" s="173"/>
      <c r="M205" s="173"/>
      <c r="N205" s="173"/>
      <c r="O205" s="173"/>
      <c r="P205" s="173"/>
      <c r="Q205" s="113"/>
      <c r="R205" s="113"/>
      <c r="S205" s="817"/>
      <c r="T205" s="817"/>
      <c r="U205" s="113"/>
      <c r="V205" s="113"/>
      <c r="W205" s="113"/>
      <c r="Y205" s="113"/>
      <c r="Z205" s="576"/>
      <c r="AA205" s="576"/>
      <c r="AB205" s="576"/>
      <c r="AC205" s="576"/>
      <c r="AD205" s="576"/>
      <c r="AE205" s="576"/>
      <c r="AF205" s="576"/>
      <c r="AG205" s="576"/>
      <c r="AH205" s="1240"/>
      <c r="AI205" s="1240"/>
      <c r="AJ205" s="576"/>
      <c r="AK205" s="576"/>
      <c r="AL205" s="113"/>
      <c r="AM205" s="132"/>
      <c r="AN205" s="132"/>
      <c r="AO205" s="132"/>
      <c r="AP205" s="132"/>
      <c r="AQ205" s="132"/>
      <c r="AR205" s="132"/>
      <c r="AS205" s="132"/>
      <c r="AT205" s="132"/>
      <c r="AU205" s="132"/>
      <c r="AV205" s="132"/>
      <c r="AW205" s="132"/>
      <c r="AX205" s="132"/>
      <c r="AY205" s="261"/>
    </row>
    <row r="206" spans="1:57" s="418" customForma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817"/>
      <c r="Z206" s="817"/>
      <c r="AA206" s="113"/>
      <c r="AB206" s="113"/>
      <c r="AC206" s="113"/>
      <c r="AE206" s="113"/>
      <c r="AF206" s="576"/>
      <c r="AG206" s="576"/>
      <c r="AH206" s="576"/>
      <c r="AI206" s="576"/>
      <c r="AJ206" s="576"/>
      <c r="AK206" s="576"/>
      <c r="AL206" s="576"/>
      <c r="AM206" s="576"/>
      <c r="AN206" s="1240"/>
      <c r="AO206" s="1240"/>
      <c r="AP206" s="576"/>
      <c r="AQ206" s="576"/>
      <c r="AR206" s="113"/>
      <c r="AS206" s="113"/>
      <c r="AT206" s="113"/>
      <c r="AU206" s="113"/>
      <c r="AV206" s="113"/>
      <c r="AW206" s="113"/>
      <c r="AX206" s="113"/>
      <c r="AY206" s="113"/>
      <c r="AZ206" s="113"/>
      <c r="BA206" s="113"/>
      <c r="BB206" s="113"/>
      <c r="BC206" s="113"/>
      <c r="BD206" s="113"/>
    </row>
    <row r="207" spans="1:57" s="418" customFormat="1" ht="15.6" collapsed="1">
      <c r="A207" s="113"/>
      <c r="B207" s="2677" t="s">
        <v>519</v>
      </c>
      <c r="C207" s="2678"/>
      <c r="D207" s="2678"/>
      <c r="E207" s="2678"/>
      <c r="F207" s="2678"/>
      <c r="G207" s="2678"/>
      <c r="H207" s="2678"/>
      <c r="I207" s="2678"/>
      <c r="J207" s="2678"/>
      <c r="K207" s="2678"/>
      <c r="L207" s="2678"/>
      <c r="M207" s="2678"/>
      <c r="N207" s="2678"/>
      <c r="O207" s="2679"/>
      <c r="P207" s="113"/>
      <c r="Q207" s="113"/>
      <c r="R207" s="113"/>
      <c r="S207" s="113"/>
      <c r="T207" s="113"/>
      <c r="U207" s="113"/>
      <c r="V207" s="113"/>
      <c r="W207" s="113"/>
      <c r="X207" s="113"/>
      <c r="Y207" s="817"/>
      <c r="Z207" s="817"/>
      <c r="AA207" s="113"/>
      <c r="AB207" s="113"/>
      <c r="AC207" s="113"/>
      <c r="AE207" s="113"/>
      <c r="AF207" s="576"/>
      <c r="AG207" s="576"/>
      <c r="AH207" s="576"/>
      <c r="AI207" s="576"/>
      <c r="AJ207" s="576"/>
      <c r="AK207" s="576"/>
      <c r="AL207" s="576"/>
      <c r="AM207" s="576"/>
      <c r="AN207" s="1240"/>
      <c r="AO207" s="1240"/>
      <c r="AP207" s="576"/>
      <c r="AQ207" s="576"/>
      <c r="AR207" s="113"/>
      <c r="AS207" s="114"/>
      <c r="AT207" s="114"/>
      <c r="AU207" s="114"/>
      <c r="AV207" s="114"/>
      <c r="AW207" s="114"/>
      <c r="AX207" s="114"/>
      <c r="AY207" s="114"/>
      <c r="AZ207" s="114"/>
      <c r="BA207" s="114"/>
      <c r="BB207" s="114"/>
      <c r="BC207" s="114"/>
      <c r="BD207" s="114"/>
      <c r="BE207" s="116"/>
    </row>
    <row r="208" spans="1:57" s="418" customFormat="1" ht="12.75" hidden="1" customHeight="1" outlineLevel="1">
      <c r="A208" s="113"/>
      <c r="B208" s="113"/>
      <c r="C208" s="113"/>
      <c r="D208" s="113"/>
      <c r="E208" s="113"/>
      <c r="F208" s="113"/>
      <c r="G208" s="113"/>
      <c r="H208" s="113"/>
      <c r="I208" s="113"/>
      <c r="J208" s="113"/>
      <c r="K208" s="113"/>
      <c r="L208" s="113"/>
      <c r="M208" s="113"/>
      <c r="N208" s="113"/>
      <c r="O208" s="113"/>
      <c r="P208" s="113"/>
      <c r="Q208" s="113"/>
      <c r="R208" s="113"/>
      <c r="S208" s="113"/>
      <c r="T208" s="817"/>
      <c r="U208" s="817"/>
      <c r="V208" s="113"/>
      <c r="W208" s="113"/>
      <c r="X208" s="113"/>
      <c r="Z208" s="113"/>
      <c r="AA208" s="576"/>
      <c r="AB208" s="576"/>
      <c r="AC208" s="576"/>
      <c r="AD208" s="576"/>
      <c r="AE208" s="576"/>
      <c r="AF208" s="441"/>
      <c r="AG208" s="576"/>
      <c r="AH208" s="576"/>
      <c r="AI208" s="1240"/>
      <c r="AJ208" s="1240"/>
      <c r="AK208" s="576"/>
      <c r="AL208" s="576"/>
      <c r="AM208" s="113"/>
      <c r="AN208" s="114"/>
      <c r="AO208" s="114"/>
      <c r="AP208" s="114"/>
      <c r="AQ208" s="114"/>
      <c r="AR208" s="114"/>
      <c r="AS208" s="114"/>
      <c r="AT208" s="114"/>
      <c r="AU208" s="114"/>
      <c r="AV208" s="114"/>
      <c r="AW208" s="114"/>
      <c r="AX208" s="114"/>
      <c r="AY208" s="114"/>
      <c r="AZ208" s="116"/>
    </row>
    <row r="209" spans="1:56" s="116" customFormat="1" ht="12.75" hidden="1" customHeight="1" outlineLevel="1">
      <c r="A209" s="114"/>
      <c r="B209" s="2667" t="str">
        <f>B197</f>
        <v>Energie 2</v>
      </c>
      <c r="C209" s="2668"/>
      <c r="D209" s="2671" t="s">
        <v>409</v>
      </c>
      <c r="E209" s="2672"/>
      <c r="F209" s="2673"/>
      <c r="G209" s="170"/>
      <c r="H209" s="2671" t="s">
        <v>159</v>
      </c>
      <c r="I209" s="2673"/>
      <c r="J209" s="170"/>
      <c r="K209" s="170"/>
      <c r="L209" s="114"/>
      <c r="M209" s="114"/>
      <c r="N209" s="114"/>
      <c r="O209" s="114"/>
      <c r="P209" s="114"/>
      <c r="Q209" s="114"/>
      <c r="R209" s="114"/>
      <c r="S209" s="114"/>
      <c r="T209" s="126"/>
      <c r="U209" s="126"/>
      <c r="V209" s="114"/>
      <c r="W209" s="114"/>
      <c r="X209" s="114"/>
      <c r="Z209" s="114"/>
      <c r="AA209" s="441"/>
      <c r="AB209" s="576"/>
      <c r="AC209" s="576"/>
      <c r="AD209" s="576"/>
      <c r="AE209" s="576"/>
      <c r="AF209" s="576"/>
      <c r="AG209" s="441"/>
      <c r="AH209" s="441"/>
      <c r="AI209" s="444"/>
      <c r="AJ209" s="444"/>
      <c r="AK209" s="441"/>
      <c r="AL209" s="576"/>
      <c r="AM209" s="113"/>
      <c r="AN209" s="114"/>
      <c r="AO209" s="114"/>
      <c r="AP209" s="114"/>
      <c r="AQ209" s="114"/>
      <c r="AR209" s="114"/>
      <c r="AS209" s="114"/>
      <c r="AT209" s="114"/>
      <c r="AU209" s="114"/>
      <c r="AV209" s="114"/>
      <c r="AW209" s="114"/>
      <c r="AX209" s="114"/>
      <c r="AY209" s="114"/>
    </row>
    <row r="210" spans="1:56" s="116" customFormat="1" ht="15" hidden="1" customHeight="1" outlineLevel="1">
      <c r="A210" s="114"/>
      <c r="B210" s="2669"/>
      <c r="C210" s="2670"/>
      <c r="D210" s="171" t="s">
        <v>444</v>
      </c>
      <c r="E210" s="171" t="s">
        <v>500</v>
      </c>
      <c r="F210" s="171" t="s">
        <v>524</v>
      </c>
      <c r="G210" s="176"/>
      <c r="H210" s="1806" t="s">
        <v>444</v>
      </c>
      <c r="I210" s="1806" t="s">
        <v>355</v>
      </c>
      <c r="J210" s="170"/>
      <c r="K210" s="170"/>
      <c r="L210" s="114"/>
      <c r="M210" s="114"/>
      <c r="N210" s="114"/>
      <c r="O210" s="114"/>
      <c r="P210" s="114"/>
      <c r="Q210" s="114"/>
      <c r="R210" s="114"/>
      <c r="S210" s="114"/>
      <c r="T210" s="126"/>
      <c r="U210" s="126"/>
      <c r="V210" s="114"/>
      <c r="W210" s="114"/>
      <c r="X210" s="114"/>
      <c r="Z210" s="114"/>
      <c r="AA210" s="441"/>
      <c r="AB210" s="576"/>
      <c r="AC210" s="576"/>
      <c r="AD210" s="576"/>
      <c r="AE210" s="576"/>
      <c r="AF210" s="576"/>
      <c r="AG210" s="441"/>
      <c r="AH210" s="441"/>
      <c r="AI210" s="444"/>
      <c r="AJ210" s="444"/>
      <c r="AK210" s="441"/>
      <c r="AL210" s="441"/>
      <c r="AM210" s="114"/>
      <c r="AN210" s="114"/>
      <c r="AO210" s="114"/>
      <c r="AP210" s="114"/>
      <c r="AQ210" s="114"/>
      <c r="AR210" s="114"/>
      <c r="AS210" s="114"/>
      <c r="AT210" s="114"/>
      <c r="AU210" s="114"/>
      <c r="AV210" s="114"/>
      <c r="AW210" s="114"/>
      <c r="AX210" s="114"/>
      <c r="AY210" s="114"/>
    </row>
    <row r="211" spans="1:56" s="116" customFormat="1" ht="12.75" hidden="1" customHeight="1" outlineLevel="1">
      <c r="A211" s="114"/>
      <c r="B211" s="2660" t="s">
        <v>16</v>
      </c>
      <c r="C211" s="2661"/>
      <c r="D211" s="136">
        <f>S28+S40</f>
        <v>0</v>
      </c>
      <c r="E211" s="136">
        <f t="shared" ref="E211:E218" si="35">D211/1000</f>
        <v>0</v>
      </c>
      <c r="F211" s="185" t="str">
        <f>IF($D$219=0,"",D211/$D$219)</f>
        <v/>
      </c>
      <c r="G211" s="170"/>
      <c r="H211" s="136">
        <f>SQRT(AA28^2+AA40^2)</f>
        <v>0</v>
      </c>
      <c r="I211" s="185" t="str">
        <f t="shared" ref="I211:I219" si="36">IF(D211=0,"",H211/D211)</f>
        <v/>
      </c>
      <c r="J211" s="170"/>
      <c r="K211" s="170"/>
      <c r="L211" s="114"/>
      <c r="M211" s="114"/>
      <c r="N211" s="114"/>
      <c r="O211" s="114"/>
      <c r="P211" s="114"/>
      <c r="Q211" s="114"/>
      <c r="R211" s="114"/>
      <c r="S211" s="114"/>
      <c r="T211" s="126"/>
      <c r="U211" s="126"/>
      <c r="V211" s="114"/>
      <c r="W211" s="114"/>
      <c r="X211" s="114"/>
      <c r="Z211" s="114"/>
      <c r="AA211" s="441"/>
      <c r="AB211" s="576"/>
      <c r="AC211" s="576"/>
      <c r="AD211" s="576"/>
      <c r="AE211" s="576"/>
      <c r="AF211" s="576"/>
      <c r="AG211" s="441"/>
      <c r="AH211" s="441"/>
      <c r="AI211" s="444"/>
      <c r="AJ211" s="444"/>
      <c r="AK211" s="441"/>
      <c r="AL211" s="441"/>
      <c r="AM211" s="114"/>
      <c r="AN211" s="114"/>
      <c r="AO211" s="114"/>
      <c r="AP211" s="114"/>
      <c r="AQ211" s="114"/>
      <c r="AR211" s="114"/>
      <c r="AS211" s="114"/>
      <c r="AT211" s="114"/>
      <c r="AU211" s="114"/>
      <c r="AV211" s="114"/>
      <c r="AW211" s="114"/>
      <c r="AX211" s="114"/>
      <c r="AY211" s="114"/>
    </row>
    <row r="212" spans="1:56" s="116" customFormat="1" ht="12.75" hidden="1" customHeight="1" outlineLevel="1">
      <c r="A212" s="114"/>
      <c r="B212" s="2660" t="s">
        <v>414</v>
      </c>
      <c r="C212" s="2661"/>
      <c r="D212" s="136">
        <f>R28+R40</f>
        <v>0</v>
      </c>
      <c r="E212" s="136">
        <f t="shared" si="35"/>
        <v>0</v>
      </c>
      <c r="F212" s="185" t="str">
        <f t="shared" ref="F212:F219" si="37">IF($D$219=0,"",D212/$D$219)</f>
        <v/>
      </c>
      <c r="G212" s="170"/>
      <c r="H212" s="136">
        <f>SQRT(Z28^2+Z40^2)</f>
        <v>0</v>
      </c>
      <c r="I212" s="185" t="str">
        <f t="shared" si="36"/>
        <v/>
      </c>
      <c r="J212" s="170"/>
      <c r="K212" s="170"/>
      <c r="L212" s="114"/>
      <c r="M212" s="114"/>
      <c r="N212" s="114"/>
      <c r="O212" s="114"/>
      <c r="P212" s="114"/>
      <c r="Q212" s="114"/>
      <c r="R212" s="114"/>
      <c r="S212" s="114"/>
      <c r="T212" s="126"/>
      <c r="U212" s="126"/>
      <c r="V212" s="114"/>
      <c r="W212" s="114"/>
      <c r="X212" s="114"/>
      <c r="Z212" s="114"/>
      <c r="AA212" s="441"/>
      <c r="AB212" s="576"/>
      <c r="AC212" s="576"/>
      <c r="AD212" s="576"/>
      <c r="AE212" s="576"/>
      <c r="AF212" s="576"/>
      <c r="AG212" s="441"/>
      <c r="AH212" s="441"/>
      <c r="AI212" s="444"/>
      <c r="AJ212" s="444"/>
      <c r="AK212" s="441"/>
      <c r="AL212" s="441"/>
      <c r="AM212" s="114"/>
      <c r="AN212" s="114"/>
      <c r="AO212" s="114"/>
      <c r="AP212" s="114"/>
      <c r="AQ212" s="114"/>
      <c r="AR212" s="114"/>
      <c r="AS212" s="114"/>
      <c r="AT212" s="114"/>
      <c r="AU212" s="114"/>
      <c r="AV212" s="114"/>
      <c r="AW212" s="114"/>
      <c r="AX212" s="114"/>
      <c r="AY212" s="114"/>
    </row>
    <row r="213" spans="1:56" s="116" customFormat="1" ht="12.75" hidden="1" customHeight="1" outlineLevel="1">
      <c r="A213" s="114"/>
      <c r="B213" s="2660" t="s">
        <v>301</v>
      </c>
      <c r="C213" s="2661"/>
      <c r="D213" s="136">
        <f>M54</f>
        <v>0</v>
      </c>
      <c r="E213" s="136">
        <f t="shared" si="35"/>
        <v>0</v>
      </c>
      <c r="F213" s="185" t="str">
        <f t="shared" si="37"/>
        <v/>
      </c>
      <c r="G213" s="170"/>
      <c r="H213" s="136">
        <f>AA54</f>
        <v>0</v>
      </c>
      <c r="I213" s="185" t="str">
        <f t="shared" si="36"/>
        <v/>
      </c>
      <c r="J213" s="170"/>
      <c r="K213" s="170"/>
      <c r="L213" s="114"/>
      <c r="M213" s="114"/>
      <c r="N213" s="114"/>
      <c r="O213" s="114"/>
      <c r="P213" s="114"/>
      <c r="Q213" s="114"/>
      <c r="R213" s="114"/>
      <c r="S213" s="114"/>
      <c r="T213" s="126"/>
      <c r="U213" s="126"/>
      <c r="V213" s="114"/>
      <c r="W213" s="114"/>
      <c r="X213" s="114"/>
      <c r="Z213" s="114"/>
      <c r="AA213" s="441"/>
      <c r="AB213" s="576"/>
      <c r="AC213" s="576"/>
      <c r="AD213" s="576"/>
      <c r="AE213" s="576"/>
      <c r="AF213" s="576"/>
      <c r="AG213" s="441"/>
      <c r="AH213" s="441"/>
      <c r="AI213" s="444"/>
      <c r="AJ213" s="444"/>
      <c r="AK213" s="441"/>
      <c r="AL213" s="441"/>
      <c r="AM213" s="114"/>
      <c r="AN213" s="114"/>
      <c r="AO213" s="114"/>
      <c r="AP213" s="114"/>
      <c r="AQ213" s="114"/>
      <c r="AR213" s="114"/>
      <c r="AS213" s="114"/>
      <c r="AT213" s="114"/>
      <c r="AU213" s="114"/>
      <c r="AV213" s="114"/>
      <c r="AW213" s="114"/>
      <c r="AX213" s="114"/>
      <c r="AY213" s="114"/>
    </row>
    <row r="214" spans="1:56" s="116" customFormat="1" ht="12.75" hidden="1" customHeight="1" outlineLevel="1">
      <c r="A214" s="114"/>
      <c r="B214" s="2660" t="s">
        <v>123</v>
      </c>
      <c r="C214" s="2661"/>
      <c r="D214" s="136">
        <f>L54</f>
        <v>0</v>
      </c>
      <c r="E214" s="136">
        <f t="shared" si="35"/>
        <v>0</v>
      </c>
      <c r="F214" s="185" t="str">
        <f t="shared" si="37"/>
        <v/>
      </c>
      <c r="G214" s="170"/>
      <c r="H214" s="136">
        <f>Z54</f>
        <v>0</v>
      </c>
      <c r="I214" s="185" t="str">
        <f t="shared" si="36"/>
        <v/>
      </c>
      <c r="J214" s="170"/>
      <c r="K214" s="170"/>
      <c r="L214" s="114"/>
      <c r="M214" s="114"/>
      <c r="N214" s="114"/>
      <c r="O214" s="114"/>
      <c r="P214" s="114"/>
      <c r="Q214" s="114"/>
      <c r="R214" s="114"/>
      <c r="S214" s="114"/>
      <c r="T214" s="126"/>
      <c r="U214" s="126"/>
      <c r="V214" s="114"/>
      <c r="W214" s="114"/>
      <c r="X214" s="114"/>
      <c r="Z214" s="114"/>
      <c r="AA214" s="441"/>
      <c r="AB214" s="441"/>
      <c r="AC214" s="441"/>
      <c r="AD214" s="441"/>
      <c r="AE214" s="441"/>
      <c r="AF214" s="441"/>
      <c r="AG214" s="441"/>
      <c r="AH214" s="441"/>
      <c r="AI214" s="444"/>
      <c r="AJ214" s="444"/>
      <c r="AK214" s="441"/>
      <c r="AL214" s="441"/>
      <c r="AM214" s="114"/>
      <c r="AN214" s="114"/>
      <c r="AO214" s="114"/>
      <c r="AP214" s="114"/>
      <c r="AQ214" s="114"/>
      <c r="AR214" s="114"/>
      <c r="AS214" s="114"/>
      <c r="AT214" s="114"/>
      <c r="AU214" s="114"/>
      <c r="AV214" s="114"/>
      <c r="AW214" s="114"/>
      <c r="AX214" s="114"/>
      <c r="AY214" s="114"/>
    </row>
    <row r="215" spans="1:56" s="116" customFormat="1" ht="12.75" hidden="1" customHeight="1" outlineLevel="1">
      <c r="A215" s="114"/>
      <c r="B215" s="2660" t="s">
        <v>330</v>
      </c>
      <c r="C215" s="2661"/>
      <c r="D215" s="136">
        <f>M67</f>
        <v>0</v>
      </c>
      <c r="E215" s="136">
        <f t="shared" si="35"/>
        <v>0</v>
      </c>
      <c r="F215" s="185" t="str">
        <f t="shared" si="37"/>
        <v/>
      </c>
      <c r="G215" s="170"/>
      <c r="H215" s="136">
        <f>AC67</f>
        <v>0</v>
      </c>
      <c r="I215" s="185" t="str">
        <f t="shared" si="36"/>
        <v/>
      </c>
      <c r="J215" s="170"/>
      <c r="K215" s="170"/>
      <c r="L215" s="114"/>
      <c r="M215" s="114"/>
      <c r="N215" s="114"/>
      <c r="O215" s="114"/>
      <c r="P215" s="114"/>
      <c r="Q215" s="114"/>
      <c r="R215" s="114"/>
      <c r="S215" s="114"/>
      <c r="T215" s="126"/>
      <c r="U215" s="126"/>
      <c r="V215" s="114"/>
      <c r="W215" s="114"/>
      <c r="X215" s="114"/>
      <c r="Z215" s="114"/>
      <c r="AA215" s="441"/>
      <c r="AB215" s="441"/>
      <c r="AC215" s="441"/>
      <c r="AD215" s="441"/>
      <c r="AE215" s="441"/>
      <c r="AF215" s="441"/>
      <c r="AG215" s="441"/>
      <c r="AH215" s="441"/>
      <c r="AI215" s="444"/>
      <c r="AJ215" s="444"/>
      <c r="AK215" s="441"/>
      <c r="AL215" s="441"/>
      <c r="AM215" s="114"/>
      <c r="AN215" s="114"/>
      <c r="AO215" s="114"/>
      <c r="AP215" s="114"/>
      <c r="AQ215" s="114"/>
      <c r="AR215" s="114"/>
      <c r="AS215" s="114"/>
      <c r="AT215" s="114"/>
      <c r="AU215" s="114"/>
      <c r="AV215" s="114"/>
      <c r="AW215" s="114"/>
      <c r="AX215" s="114"/>
      <c r="AY215" s="114"/>
    </row>
    <row r="216" spans="1:56" s="116" customFormat="1" ht="12.75" hidden="1" customHeight="1" outlineLevel="1">
      <c r="A216" s="114"/>
      <c r="B216" s="2660" t="s">
        <v>20</v>
      </c>
      <c r="C216" s="2661"/>
      <c r="D216" s="136">
        <f>I77</f>
        <v>0</v>
      </c>
      <c r="E216" s="136">
        <f t="shared" si="35"/>
        <v>0</v>
      </c>
      <c r="F216" s="185" t="str">
        <f t="shared" si="37"/>
        <v/>
      </c>
      <c r="G216" s="170"/>
      <c r="H216" s="136">
        <f>AC77</f>
        <v>0</v>
      </c>
      <c r="I216" s="185" t="str">
        <f t="shared" si="36"/>
        <v/>
      </c>
      <c r="J216" s="170"/>
      <c r="K216" s="170"/>
      <c r="L216" s="114"/>
      <c r="M216" s="114"/>
      <c r="N216" s="114"/>
      <c r="O216" s="114"/>
      <c r="P216" s="114"/>
      <c r="Q216" s="114"/>
      <c r="R216" s="114"/>
      <c r="S216" s="114"/>
      <c r="T216" s="126"/>
      <c r="U216" s="126"/>
      <c r="V216" s="114"/>
      <c r="W216" s="114"/>
      <c r="X216" s="114"/>
      <c r="Z216" s="114"/>
      <c r="AA216" s="441"/>
      <c r="AB216" s="441"/>
      <c r="AC216" s="441"/>
      <c r="AD216" s="441"/>
      <c r="AE216" s="441"/>
      <c r="AF216" s="441"/>
      <c r="AG216" s="441"/>
      <c r="AH216" s="441"/>
      <c r="AI216" s="444"/>
      <c r="AJ216" s="444"/>
      <c r="AK216" s="441"/>
      <c r="AL216" s="441"/>
      <c r="AM216" s="114"/>
      <c r="AN216" s="211"/>
      <c r="AO216" s="211"/>
      <c r="AP216" s="211"/>
      <c r="AQ216" s="211"/>
      <c r="AR216" s="211"/>
      <c r="AS216" s="211"/>
      <c r="AT216" s="211"/>
      <c r="AU216" s="211"/>
      <c r="AV216" s="211"/>
      <c r="AW216" s="211"/>
      <c r="AX216" s="211"/>
      <c r="AY216" s="211"/>
      <c r="AZ216" s="1084"/>
    </row>
    <row r="217" spans="1:56" s="116" customFormat="1" ht="12.75" hidden="1" customHeight="1" outlineLevel="1">
      <c r="A217" s="114"/>
      <c r="B217" s="2660" t="s">
        <v>205</v>
      </c>
      <c r="C217" s="2661"/>
      <c r="D217" s="136">
        <f>K95+L95+H120+H132+H152+K163+K174+K109+L109+I184+J184+U109</f>
        <v>0</v>
      </c>
      <c r="E217" s="136">
        <f t="shared" si="35"/>
        <v>0</v>
      </c>
      <c r="F217" s="185" t="str">
        <f>IF($D$219=0,"",D217/$D$219)</f>
        <v/>
      </c>
      <c r="G217" s="170"/>
      <c r="H217" s="136">
        <f>SQRT(AC95^2+AC120^2+AC132^2+AC152^2+AC163^2+AC174^2+AC109^2)</f>
        <v>0</v>
      </c>
      <c r="I217" s="185" t="str">
        <f>IF(D217=0,"",H217/D217)</f>
        <v/>
      </c>
      <c r="J217" s="170"/>
      <c r="K217" s="170"/>
      <c r="L217" s="114"/>
      <c r="M217" s="114"/>
      <c r="N217" s="114"/>
      <c r="O217" s="114"/>
      <c r="P217" s="114"/>
      <c r="Q217" s="114"/>
      <c r="R217" s="114"/>
      <c r="S217" s="114"/>
      <c r="T217" s="126"/>
      <c r="U217" s="126"/>
      <c r="V217" s="114"/>
      <c r="W217" s="114"/>
      <c r="X217" s="114"/>
      <c r="Z217" s="114"/>
      <c r="AA217" s="441"/>
      <c r="AB217" s="441"/>
      <c r="AC217" s="441"/>
      <c r="AD217" s="441"/>
      <c r="AE217" s="441"/>
      <c r="AF217" s="441"/>
      <c r="AG217" s="441"/>
      <c r="AH217" s="441"/>
      <c r="AI217" s="444"/>
      <c r="AJ217" s="444"/>
      <c r="AK217" s="441"/>
      <c r="AL217" s="441"/>
      <c r="AM217" s="114"/>
      <c r="AN217" s="113"/>
      <c r="AO217" s="113"/>
      <c r="AP217" s="113"/>
      <c r="AQ217" s="113"/>
      <c r="AR217" s="113"/>
      <c r="AS217" s="113"/>
      <c r="AT217" s="113"/>
      <c r="AU217" s="113"/>
      <c r="AV217" s="113"/>
      <c r="AW217" s="113"/>
      <c r="AX217" s="113"/>
      <c r="AY217" s="113"/>
      <c r="AZ217" s="418"/>
    </row>
    <row r="218" spans="1:56" s="116" customFormat="1" ht="15" hidden="1" customHeight="1" outlineLevel="1">
      <c r="A218" s="114"/>
      <c r="B218" s="2660" t="s">
        <v>326</v>
      </c>
      <c r="C218" s="2661"/>
      <c r="D218" s="136">
        <f>H192</f>
        <v>0</v>
      </c>
      <c r="E218" s="136">
        <f t="shared" si="35"/>
        <v>0</v>
      </c>
      <c r="F218" s="185" t="str">
        <f t="shared" si="37"/>
        <v/>
      </c>
      <c r="G218" s="170"/>
      <c r="H218" s="136">
        <f>AC192</f>
        <v>0</v>
      </c>
      <c r="I218" s="185" t="str">
        <f t="shared" si="36"/>
        <v/>
      </c>
      <c r="J218" s="170"/>
      <c r="K218" s="170"/>
      <c r="L218" s="114"/>
      <c r="M218" s="114"/>
      <c r="N218" s="114"/>
      <c r="O218" s="114"/>
      <c r="P218" s="114"/>
      <c r="Q218" s="114"/>
      <c r="R218" s="114"/>
      <c r="S218" s="114"/>
      <c r="T218" s="126"/>
      <c r="U218" s="126"/>
      <c r="V218" s="114"/>
      <c r="W218" s="114"/>
      <c r="X218" s="114"/>
      <c r="Z218" s="114"/>
      <c r="AA218" s="441"/>
      <c r="AB218" s="441"/>
      <c r="AC218" s="441"/>
      <c r="AD218" s="441"/>
      <c r="AE218" s="441"/>
      <c r="AF218" s="441"/>
      <c r="AG218" s="593"/>
      <c r="AH218" s="441"/>
      <c r="AI218" s="444"/>
      <c r="AJ218" s="444"/>
      <c r="AK218" s="441"/>
      <c r="AL218" s="441"/>
      <c r="AM218" s="114"/>
      <c r="AN218" s="113"/>
      <c r="AO218" s="113"/>
      <c r="AP218" s="113"/>
      <c r="AQ218" s="113"/>
      <c r="AR218" s="113"/>
      <c r="AS218" s="113"/>
      <c r="AT218" s="113"/>
      <c r="AU218" s="113"/>
      <c r="AV218" s="113"/>
      <c r="AW218" s="113"/>
      <c r="AX218" s="113"/>
      <c r="AY218" s="113"/>
      <c r="AZ218" s="418"/>
    </row>
    <row r="219" spans="1:56" s="1084" customFormat="1" ht="15" hidden="1" customHeight="1" outlineLevel="1">
      <c r="A219" s="211"/>
      <c r="B219" s="2662" t="s">
        <v>348</v>
      </c>
      <c r="C219" s="2663"/>
      <c r="D219" s="188">
        <f>SUM(D211:D218)</f>
        <v>0</v>
      </c>
      <c r="E219" s="238">
        <f>SUM(E211:E218)</f>
        <v>0</v>
      </c>
      <c r="F219" s="190" t="str">
        <f t="shared" si="37"/>
        <v/>
      </c>
      <c r="G219" s="192"/>
      <c r="H219" s="188">
        <f>SQRT(SUMSQ(H211:H218))</f>
        <v>0</v>
      </c>
      <c r="I219" s="190" t="str">
        <f t="shared" si="36"/>
        <v/>
      </c>
      <c r="J219" s="192"/>
      <c r="K219" s="192"/>
      <c r="L219" s="211"/>
      <c r="M219" s="211"/>
      <c r="N219" s="211"/>
      <c r="O219" s="211"/>
      <c r="P219" s="211"/>
      <c r="Q219" s="211"/>
      <c r="R219" s="211"/>
      <c r="S219" s="211"/>
      <c r="T219" s="446"/>
      <c r="U219" s="446"/>
      <c r="V219" s="211"/>
      <c r="W219" s="211"/>
      <c r="X219" s="211"/>
      <c r="Z219" s="211"/>
      <c r="AA219" s="445"/>
      <c r="AB219" s="445"/>
      <c r="AC219" s="445"/>
      <c r="AD219" s="445"/>
      <c r="AE219" s="445"/>
      <c r="AF219" s="445"/>
      <c r="AG219" s="445"/>
      <c r="AH219" s="445"/>
      <c r="AI219" s="447"/>
      <c r="AJ219" s="447"/>
      <c r="AK219" s="445"/>
      <c r="AL219" s="445"/>
      <c r="AM219" s="211"/>
      <c r="AN219" s="113"/>
      <c r="AO219" s="113"/>
      <c r="AP219" s="113"/>
      <c r="AQ219" s="113"/>
      <c r="AR219" s="113"/>
      <c r="AS219" s="113"/>
      <c r="AT219" s="113"/>
      <c r="AU219" s="113"/>
      <c r="AV219" s="113"/>
      <c r="AW219" s="113"/>
      <c r="AX219" s="113"/>
      <c r="AY219" s="113"/>
      <c r="AZ219" s="418"/>
    </row>
    <row r="220" spans="1:56" s="418" customFormat="1" ht="12.75" customHeight="1" collapsed="1">
      <c r="A220" s="113"/>
      <c r="B220" s="173"/>
      <c r="C220" s="173"/>
      <c r="D220" s="173"/>
      <c r="E220" s="173"/>
      <c r="F220" s="173"/>
      <c r="G220" s="173"/>
      <c r="H220" s="173"/>
      <c r="I220" s="173"/>
      <c r="J220" s="173"/>
      <c r="K220" s="173"/>
      <c r="L220" s="113"/>
      <c r="M220" s="113"/>
      <c r="N220" s="113"/>
      <c r="O220" s="113"/>
      <c r="P220" s="113"/>
      <c r="Q220" s="113"/>
      <c r="R220" s="113"/>
      <c r="S220" s="113"/>
      <c r="T220" s="817"/>
      <c r="U220" s="817"/>
      <c r="V220" s="113"/>
      <c r="W220" s="113"/>
      <c r="X220" s="113"/>
      <c r="Z220" s="113"/>
      <c r="AA220" s="576"/>
      <c r="AB220" s="441"/>
      <c r="AC220" s="441"/>
      <c r="AD220" s="441"/>
      <c r="AE220" s="441"/>
      <c r="AF220" s="441"/>
      <c r="AG220" s="576"/>
      <c r="AH220" s="576"/>
      <c r="AI220" s="1240"/>
      <c r="AJ220" s="1240"/>
      <c r="AK220" s="576"/>
      <c r="AL220" s="576"/>
      <c r="AM220" s="113"/>
      <c r="AN220" s="113"/>
      <c r="AO220" s="113"/>
      <c r="AP220" s="113"/>
      <c r="AQ220" s="113"/>
      <c r="AR220" s="114"/>
      <c r="AS220" s="114"/>
      <c r="AT220" s="114"/>
      <c r="AU220" s="114"/>
      <c r="AV220" s="114"/>
      <c r="AW220" s="114"/>
      <c r="AX220" s="114"/>
      <c r="AY220" s="114"/>
      <c r="AZ220" s="116"/>
    </row>
    <row r="221" spans="1:56" s="418" customFormat="1" ht="15.6">
      <c r="A221" s="113"/>
      <c r="B221" s="2688" t="s">
        <v>525</v>
      </c>
      <c r="C221" s="2689"/>
      <c r="D221" s="2689"/>
      <c r="E221" s="2689"/>
      <c r="F221" s="2689"/>
      <c r="G221" s="2689"/>
      <c r="H221" s="2689"/>
      <c r="I221" s="2689"/>
      <c r="J221" s="2689"/>
      <c r="K221" s="2689"/>
      <c r="L221" s="2689"/>
      <c r="M221" s="2689"/>
      <c r="N221" s="2689"/>
      <c r="O221" s="2690"/>
      <c r="P221" s="113"/>
      <c r="Q221" s="113"/>
      <c r="R221" s="113"/>
      <c r="S221" s="113"/>
      <c r="T221" s="113"/>
      <c r="U221" s="113"/>
      <c r="V221" s="113"/>
      <c r="W221" s="113"/>
      <c r="X221" s="113"/>
      <c r="Y221" s="817"/>
      <c r="Z221" s="817"/>
      <c r="AA221" s="113"/>
      <c r="AB221" s="113"/>
      <c r="AC221" s="113"/>
      <c r="AE221" s="113"/>
      <c r="AF221" s="576"/>
      <c r="AG221" s="576"/>
      <c r="AH221" s="576"/>
      <c r="AI221" s="576"/>
      <c r="AJ221" s="576"/>
      <c r="AK221" s="576"/>
      <c r="AL221" s="576"/>
      <c r="AM221" s="576"/>
      <c r="AN221" s="1240"/>
      <c r="AO221" s="1240"/>
      <c r="AP221" s="576"/>
      <c r="AQ221" s="576"/>
      <c r="AR221" s="113"/>
      <c r="AS221" s="113"/>
      <c r="AT221" s="113"/>
      <c r="AU221" s="113"/>
      <c r="AV221" s="113"/>
      <c r="AW221" s="113"/>
      <c r="AX221" s="113"/>
      <c r="AY221" s="113"/>
      <c r="AZ221" s="113"/>
      <c r="BA221" s="113"/>
      <c r="BB221" s="113"/>
      <c r="BC221" s="113"/>
      <c r="BD221" s="113"/>
    </row>
    <row r="222" spans="1:56" s="418" customFormat="1" ht="12" customHeight="1" outlineLevel="1">
      <c r="A222" s="113"/>
      <c r="B222" s="175"/>
      <c r="C222" s="175"/>
      <c r="D222" s="175"/>
      <c r="E222" s="175"/>
      <c r="F222" s="175"/>
      <c r="G222" s="175"/>
      <c r="H222" s="175"/>
      <c r="I222" s="175"/>
      <c r="J222" s="175"/>
      <c r="K222" s="175"/>
      <c r="L222" s="175"/>
      <c r="M222" s="175"/>
      <c r="N222" s="175"/>
      <c r="O222" s="175"/>
      <c r="P222" s="113"/>
      <c r="Q222" s="113"/>
      <c r="R222" s="113"/>
      <c r="S222" s="113"/>
      <c r="T222" s="113"/>
      <c r="U222" s="113"/>
      <c r="V222" s="113"/>
      <c r="W222" s="113"/>
      <c r="X222" s="113"/>
      <c r="Y222" s="817"/>
      <c r="Z222" s="817"/>
      <c r="AA222" s="113"/>
      <c r="AB222" s="113"/>
      <c r="AC222" s="113"/>
      <c r="AE222" s="113"/>
      <c r="AF222" s="576"/>
      <c r="AG222" s="576"/>
      <c r="AH222" s="576"/>
      <c r="AI222" s="576"/>
      <c r="AJ222" s="576"/>
      <c r="AK222" s="576"/>
      <c r="AL222" s="576"/>
      <c r="AM222" s="576"/>
      <c r="AN222" s="1240"/>
      <c r="AO222" s="1240"/>
      <c r="AP222" s="576"/>
      <c r="AQ222" s="576"/>
      <c r="AR222" s="113"/>
      <c r="AS222" s="113"/>
      <c r="AT222" s="113"/>
      <c r="AU222" s="113"/>
      <c r="AV222" s="113"/>
      <c r="AW222" s="113"/>
      <c r="AX222" s="113"/>
      <c r="AY222" s="113"/>
      <c r="AZ222" s="113"/>
      <c r="BA222" s="113"/>
      <c r="BB222" s="113"/>
      <c r="BC222" s="113"/>
      <c r="BD222" s="113"/>
    </row>
    <row r="223" spans="1:56" s="418" customFormat="1" ht="38.25" customHeight="1" outlineLevel="1">
      <c r="A223" s="113"/>
      <c r="B223" s="205"/>
      <c r="C223" s="205"/>
      <c r="D223" s="205"/>
      <c r="E223" s="2691" t="s">
        <v>448</v>
      </c>
      <c r="F223" s="2692"/>
      <c r="G223" s="2692"/>
      <c r="H223" s="2692"/>
      <c r="I223" s="2692"/>
      <c r="J223" s="2692"/>
      <c r="K223" s="2693"/>
      <c r="L223" s="101" t="s">
        <v>440</v>
      </c>
      <c r="M223" s="175"/>
      <c r="N223" s="175"/>
      <c r="O223" s="851"/>
      <c r="P223" s="113"/>
      <c r="Q223" s="113"/>
      <c r="R223" s="113"/>
      <c r="S223" s="113"/>
      <c r="T223" s="113"/>
      <c r="U223" s="113"/>
      <c r="V223" s="113"/>
      <c r="W223" s="113"/>
      <c r="X223" s="113"/>
      <c r="Y223" s="817"/>
      <c r="Z223" s="817"/>
      <c r="AA223" s="113"/>
      <c r="AB223" s="113"/>
      <c r="AC223" s="113"/>
      <c r="AE223" s="113"/>
      <c r="AF223" s="576"/>
      <c r="AG223" s="576"/>
      <c r="AH223" s="576"/>
      <c r="AI223" s="576"/>
      <c r="AJ223" s="576"/>
      <c r="AK223" s="576"/>
      <c r="AL223" s="576"/>
      <c r="AM223" s="576"/>
      <c r="AN223" s="1240"/>
      <c r="AO223" s="1240"/>
      <c r="AP223" s="576"/>
      <c r="AQ223" s="576"/>
      <c r="AR223" s="113"/>
      <c r="AS223" s="113"/>
      <c r="AT223" s="113"/>
      <c r="AU223" s="113"/>
      <c r="AV223" s="113"/>
      <c r="AW223" s="113"/>
      <c r="AX223" s="113"/>
      <c r="AY223" s="113"/>
      <c r="AZ223" s="113"/>
      <c r="BA223" s="113"/>
      <c r="BB223" s="113"/>
      <c r="BC223" s="113"/>
      <c r="BD223" s="113"/>
    </row>
    <row r="224" spans="1:56" s="418" customFormat="1" ht="25.5" customHeight="1" outlineLevel="1">
      <c r="A224" s="113"/>
      <c r="B224" s="2691" t="s">
        <v>438</v>
      </c>
      <c r="C224" s="2693"/>
      <c r="D224" s="110" t="s">
        <v>458</v>
      </c>
      <c r="E224" s="111" t="s">
        <v>853</v>
      </c>
      <c r="F224" s="111" t="s">
        <v>854</v>
      </c>
      <c r="G224" s="111" t="s">
        <v>855</v>
      </c>
      <c r="H224" s="111" t="s">
        <v>852</v>
      </c>
      <c r="I224" s="110" t="s">
        <v>513</v>
      </c>
      <c r="J224" s="111" t="s">
        <v>856</v>
      </c>
      <c r="K224" s="112" t="s">
        <v>514</v>
      </c>
      <c r="L224" s="110" t="s">
        <v>857</v>
      </c>
      <c r="M224" s="175"/>
      <c r="N224" s="175"/>
      <c r="O224" s="851"/>
      <c r="P224" s="113"/>
      <c r="Q224" s="113"/>
      <c r="R224" s="113"/>
      <c r="S224" s="113"/>
      <c r="T224" s="113"/>
      <c r="U224" s="113"/>
      <c r="V224" s="113"/>
      <c r="W224" s="113"/>
      <c r="X224" s="113"/>
      <c r="Y224" s="817"/>
      <c r="Z224" s="817"/>
      <c r="AA224" s="113"/>
      <c r="AB224" s="113"/>
      <c r="AC224" s="113"/>
      <c r="AE224" s="113"/>
      <c r="AF224" s="576"/>
      <c r="AG224" s="576"/>
      <c r="AH224" s="576"/>
      <c r="AI224" s="576"/>
      <c r="AJ224" s="576"/>
      <c r="AK224" s="576"/>
      <c r="AL224" s="576"/>
      <c r="AM224" s="576"/>
      <c r="AN224" s="1240"/>
      <c r="AO224" s="1240"/>
      <c r="AP224" s="576"/>
      <c r="AQ224" s="576"/>
      <c r="AR224" s="113"/>
      <c r="AS224" s="113"/>
      <c r="AT224" s="113"/>
      <c r="AU224" s="113"/>
      <c r="AV224" s="113"/>
      <c r="AW224" s="113"/>
      <c r="AX224" s="113"/>
      <c r="AY224" s="113"/>
      <c r="AZ224" s="113"/>
      <c r="BA224" s="113"/>
      <c r="BB224" s="113"/>
      <c r="BC224" s="113"/>
      <c r="BD224" s="113"/>
    </row>
    <row r="225" spans="1:56" s="418" customFormat="1" ht="12.75" customHeight="1" outlineLevel="1">
      <c r="A225" s="113"/>
      <c r="B225" s="2680" t="s">
        <v>459</v>
      </c>
      <c r="C225" s="2681"/>
      <c r="D225" s="206">
        <v>1</v>
      </c>
      <c r="E225" s="631">
        <f>SUMIF($E$9:$E$52,Utilitaires!$C$572,AF9:AF52)+SUMIF($E$9:$E$52,Utilitaires!$C$577,AF9:AF52)</f>
        <v>0</v>
      </c>
      <c r="F225" s="631">
        <f>SUMIF($E$9:$E$52,Utilitaires!$C$572,AH9:AH52)+SUMIF($E$9:$E$52,Utilitaires!$C$577,AH9:AH52)</f>
        <v>0</v>
      </c>
      <c r="G225" s="631">
        <f>SUMIF($E$9:$E$52,Utilitaires!$C$572,AJ9:AJ52)+SUMIF($E$9:$E$52,Utilitaires!$C$577,AJ9:AJ52)</f>
        <v>0</v>
      </c>
      <c r="H225" s="631">
        <f>SUMIF($E$9:$E$52,Utilitaires!$C$572,AL9:AL52)+SUMIF($E$9:$E$52,Utilitaires!$C$577,AL9:AL52)</f>
        <v>0</v>
      </c>
      <c r="I225" s="631">
        <f>SUM(E225:H225)</f>
        <v>0</v>
      </c>
      <c r="J225" s="631">
        <f>SUMIF($E$9:$E$40,Utilitaires!$C$572,AP9:AP40)+SUMIF($E$9:$E$40,Utilitaires!$C$577,AP9:AP40)</f>
        <v>0</v>
      </c>
      <c r="K225" s="632">
        <f>SQRT(SUMPRODUCT(($E$9:$E$53=Utilitaires!$C$572)*1,AA9:AA53,AA9:AA53)+SUMPRODUCT(($E$9:$E$53=Utilitaires!$C$577)*1,AA9:AA53,AA9:AA53))</f>
        <v>0</v>
      </c>
      <c r="L225" s="633"/>
      <c r="M225" s="175"/>
      <c r="N225" s="851"/>
      <c r="O225" s="175"/>
      <c r="P225" s="113"/>
      <c r="Q225" s="113"/>
      <c r="R225" s="113"/>
      <c r="S225" s="113"/>
      <c r="T225" s="113"/>
      <c r="U225" s="113"/>
      <c r="V225" s="113"/>
      <c r="W225" s="113"/>
      <c r="X225" s="113"/>
      <c r="Y225" s="817"/>
      <c r="Z225" s="817"/>
      <c r="AA225" s="113"/>
      <c r="AB225" s="113"/>
      <c r="AC225" s="113"/>
      <c r="AE225" s="113"/>
      <c r="AF225" s="576"/>
      <c r="AG225" s="576"/>
      <c r="AH225" s="576"/>
      <c r="AI225" s="576"/>
      <c r="AJ225" s="576"/>
      <c r="AK225" s="576"/>
      <c r="AL225" s="576"/>
      <c r="AM225" s="576"/>
      <c r="AN225" s="1240"/>
      <c r="AO225" s="1240"/>
      <c r="AP225" s="576"/>
      <c r="AQ225" s="576"/>
      <c r="AR225" s="113"/>
      <c r="AS225" s="113"/>
      <c r="AT225" s="113"/>
      <c r="AU225" s="113"/>
      <c r="AV225" s="113"/>
      <c r="AW225" s="113"/>
      <c r="AX225" s="113"/>
      <c r="AY225" s="113"/>
      <c r="AZ225" s="113"/>
      <c r="BA225" s="113"/>
      <c r="BB225" s="113"/>
      <c r="BC225" s="113"/>
      <c r="BD225" s="113"/>
    </row>
    <row r="226" spans="1:56" s="418" customFormat="1" ht="12.75" customHeight="1" outlineLevel="1">
      <c r="A226" s="113"/>
      <c r="B226" s="2680" t="s">
        <v>460</v>
      </c>
      <c r="C226" s="2681"/>
      <c r="D226" s="206">
        <v>2</v>
      </c>
      <c r="E226" s="631"/>
      <c r="F226" s="631"/>
      <c r="G226" s="631"/>
      <c r="H226" s="631"/>
      <c r="I226" s="631"/>
      <c r="J226" s="631"/>
      <c r="K226" s="632"/>
      <c r="L226" s="633"/>
      <c r="M226" s="113"/>
      <c r="N226" s="113"/>
      <c r="O226" s="113"/>
      <c r="P226" s="113"/>
      <c r="Q226" s="113"/>
      <c r="R226" s="113"/>
      <c r="S226" s="113"/>
      <c r="T226" s="113"/>
      <c r="U226" s="113"/>
      <c r="V226" s="113"/>
      <c r="W226" s="113"/>
      <c r="X226" s="113"/>
      <c r="Y226" s="113"/>
      <c r="Z226" s="113"/>
      <c r="AA226" s="113"/>
      <c r="AB226" s="113"/>
      <c r="AC226" s="113"/>
      <c r="AE226" s="113"/>
      <c r="AF226" s="113"/>
      <c r="AG226" s="113"/>
      <c r="AH226" s="113"/>
      <c r="AI226" s="113"/>
      <c r="AJ226" s="113"/>
      <c r="AK226" s="113"/>
      <c r="AL226" s="113"/>
      <c r="AM226" s="113"/>
      <c r="AP226" s="113"/>
      <c r="AQ226" s="113"/>
      <c r="AR226" s="113"/>
      <c r="AS226" s="113"/>
      <c r="AT226" s="113"/>
      <c r="AU226" s="113"/>
      <c r="AV226" s="113"/>
      <c r="AW226" s="113"/>
      <c r="AX226" s="113"/>
      <c r="AY226" s="113"/>
      <c r="AZ226" s="113"/>
      <c r="BA226" s="113"/>
      <c r="BB226" s="113"/>
      <c r="BC226" s="113"/>
      <c r="BD226" s="113"/>
    </row>
    <row r="227" spans="1:56" s="418" customFormat="1" ht="12.75" customHeight="1" outlineLevel="1">
      <c r="A227" s="113"/>
      <c r="B227" s="2680" t="s">
        <v>461</v>
      </c>
      <c r="C227" s="2681"/>
      <c r="D227" s="206">
        <v>3</v>
      </c>
      <c r="E227" s="631"/>
      <c r="F227" s="631"/>
      <c r="G227" s="631"/>
      <c r="H227" s="631"/>
      <c r="I227" s="631"/>
      <c r="J227" s="631"/>
      <c r="K227" s="632"/>
      <c r="L227" s="633"/>
      <c r="M227" s="113"/>
      <c r="N227" s="113"/>
      <c r="O227" s="113"/>
      <c r="P227" s="113"/>
      <c r="Q227" s="113"/>
      <c r="R227" s="113"/>
      <c r="S227" s="113"/>
      <c r="T227" s="113"/>
      <c r="U227" s="113"/>
      <c r="V227" s="113"/>
      <c r="W227" s="113"/>
      <c r="X227" s="113"/>
      <c r="Y227" s="113"/>
      <c r="Z227" s="113"/>
      <c r="AA227" s="113"/>
      <c r="AB227" s="113"/>
      <c r="AC227" s="113"/>
      <c r="AE227" s="113"/>
      <c r="AF227" s="113"/>
      <c r="AG227" s="113"/>
      <c r="AH227" s="113"/>
      <c r="AI227" s="113"/>
      <c r="AJ227" s="113"/>
      <c r="AK227" s="113"/>
      <c r="AL227" s="113"/>
      <c r="AM227" s="113"/>
      <c r="AP227" s="113"/>
      <c r="AQ227" s="113"/>
      <c r="AR227" s="113"/>
      <c r="AS227" s="113"/>
      <c r="AT227" s="113"/>
      <c r="AU227" s="113"/>
      <c r="AV227" s="113"/>
      <c r="AW227" s="113"/>
      <c r="AX227" s="113"/>
      <c r="AY227" s="113"/>
      <c r="AZ227" s="113"/>
      <c r="BA227" s="113"/>
      <c r="BB227" s="113"/>
      <c r="BC227" s="113"/>
      <c r="BD227" s="113"/>
    </row>
    <row r="228" spans="1:56" s="418" customFormat="1" ht="12.75" customHeight="1" outlineLevel="1">
      <c r="A228" s="113"/>
      <c r="B228" s="2680" t="s">
        <v>462</v>
      </c>
      <c r="C228" s="2681"/>
      <c r="D228" s="206">
        <v>4</v>
      </c>
      <c r="E228" s="631">
        <f>SUMIF($E$101:$E$107,Utilitaires!$C$572,U101:U107)+SUMIF($E$101:$E$107,Utilitaires!$C$577,U101:U107)</f>
        <v>0</v>
      </c>
      <c r="F228" s="631">
        <v>0</v>
      </c>
      <c r="G228" s="631">
        <v>0</v>
      </c>
      <c r="H228" s="631">
        <v>0</v>
      </c>
      <c r="I228" s="631">
        <f>E228</f>
        <v>0</v>
      </c>
      <c r="J228" s="631">
        <v>0</v>
      </c>
      <c r="K228" s="632">
        <f>SQRT(SUMPRODUCT(($E$105:$E$107=Utilitaires!$C$572)*1,AB105:AB107,AB105:AB107)+SUMPRODUCT(($E$105:$E$107=Utilitaires!$C$577)*1,AB105:AB107,AB105:AB107))</f>
        <v>0</v>
      </c>
      <c r="L228" s="633"/>
      <c r="M228" s="113"/>
      <c r="N228" s="113"/>
      <c r="O228" s="113"/>
      <c r="P228" s="113"/>
      <c r="Q228" s="113"/>
      <c r="R228" s="113"/>
      <c r="S228" s="113"/>
      <c r="T228" s="113"/>
      <c r="U228" s="113"/>
      <c r="V228" s="113"/>
      <c r="W228" s="113"/>
      <c r="X228" s="113"/>
      <c r="Y228" s="113"/>
      <c r="Z228" s="113"/>
      <c r="AA228" s="113"/>
      <c r="AB228" s="113"/>
      <c r="AC228" s="113"/>
      <c r="AE228" s="113"/>
      <c r="AF228" s="113"/>
      <c r="AG228" s="113"/>
      <c r="AH228" s="113"/>
      <c r="AI228" s="113"/>
      <c r="AJ228" s="113"/>
      <c r="AK228" s="113"/>
      <c r="AL228" s="113"/>
      <c r="AM228" s="113"/>
      <c r="AP228" s="113"/>
      <c r="AQ228" s="113"/>
      <c r="AR228" s="113"/>
      <c r="AS228" s="113"/>
      <c r="AT228" s="113"/>
      <c r="AU228" s="113"/>
      <c r="AV228" s="113"/>
      <c r="AW228" s="113"/>
      <c r="AX228" s="113"/>
      <c r="AY228" s="113"/>
      <c r="AZ228" s="113"/>
      <c r="BA228" s="113"/>
      <c r="BB228" s="113"/>
      <c r="BC228" s="113"/>
      <c r="BD228" s="113"/>
    </row>
    <row r="229" spans="1:56" s="418" customFormat="1" ht="12.75" customHeight="1" outlineLevel="1">
      <c r="A229" s="113"/>
      <c r="B229" s="2680" t="s">
        <v>463</v>
      </c>
      <c r="C229" s="2681"/>
      <c r="D229" s="206">
        <v>5</v>
      </c>
      <c r="E229" s="631"/>
      <c r="F229" s="631"/>
      <c r="G229" s="631"/>
      <c r="H229" s="631"/>
      <c r="I229" s="631"/>
      <c r="J229" s="631"/>
      <c r="K229" s="632"/>
      <c r="L229" s="633"/>
      <c r="M229" s="113"/>
      <c r="N229" s="113"/>
      <c r="O229" s="113"/>
      <c r="P229" s="113"/>
      <c r="Q229" s="113"/>
      <c r="R229" s="113"/>
      <c r="S229" s="113"/>
      <c r="T229" s="113"/>
      <c r="U229" s="113"/>
      <c r="V229" s="113"/>
      <c r="W229" s="113"/>
      <c r="X229" s="113"/>
      <c r="Y229" s="113"/>
      <c r="Z229" s="113"/>
      <c r="AA229" s="113"/>
      <c r="AB229" s="113"/>
      <c r="AC229" s="113"/>
      <c r="AE229" s="113"/>
      <c r="AF229" s="113"/>
      <c r="AG229" s="113"/>
      <c r="AH229" s="113"/>
      <c r="AI229" s="113"/>
      <c r="AJ229" s="113"/>
      <c r="AK229" s="113"/>
      <c r="AL229" s="113"/>
      <c r="AM229" s="113"/>
      <c r="AP229" s="113"/>
      <c r="AQ229" s="113"/>
      <c r="AR229" s="113"/>
      <c r="AS229" s="113"/>
      <c r="AT229" s="113"/>
      <c r="AU229" s="113"/>
      <c r="AV229" s="113"/>
      <c r="AW229" s="113"/>
      <c r="AX229" s="113"/>
      <c r="AY229" s="113"/>
      <c r="AZ229" s="113"/>
      <c r="BA229" s="113"/>
      <c r="BB229" s="113"/>
      <c r="BC229" s="113"/>
      <c r="BD229" s="113"/>
    </row>
    <row r="230" spans="1:56" s="418" customFormat="1" ht="12.75" customHeight="1" outlineLevel="1">
      <c r="A230" s="113"/>
      <c r="B230" s="2682"/>
      <c r="C230" s="2683"/>
      <c r="D230" s="133" t="s">
        <v>439</v>
      </c>
      <c r="E230" s="634">
        <f t="shared" ref="E230:L230" si="38">SUM(E225:E229)</f>
        <v>0</v>
      </c>
      <c r="F230" s="634">
        <f t="shared" si="38"/>
        <v>0</v>
      </c>
      <c r="G230" s="634">
        <f t="shared" si="38"/>
        <v>0</v>
      </c>
      <c r="H230" s="634">
        <f t="shared" si="38"/>
        <v>0</v>
      </c>
      <c r="I230" s="634">
        <f t="shared" si="38"/>
        <v>0</v>
      </c>
      <c r="J230" s="634">
        <f>SUM(J225:J229)</f>
        <v>0</v>
      </c>
      <c r="K230" s="635">
        <f>SQRT(SUMSQ(K225:K229))</f>
        <v>0</v>
      </c>
      <c r="L230" s="636">
        <f t="shared" si="38"/>
        <v>0</v>
      </c>
      <c r="M230" s="114"/>
      <c r="N230" s="260"/>
      <c r="O230" s="260"/>
      <c r="P230" s="260"/>
      <c r="Q230" s="113"/>
      <c r="R230" s="113"/>
      <c r="S230" s="113"/>
      <c r="T230" s="113"/>
      <c r="U230" s="113"/>
      <c r="V230" s="113"/>
      <c r="W230" s="113"/>
      <c r="X230" s="113"/>
      <c r="Y230" s="113"/>
      <c r="Z230" s="113"/>
      <c r="AA230" s="113"/>
      <c r="AB230" s="113"/>
      <c r="AC230" s="113"/>
      <c r="AE230" s="113"/>
      <c r="AF230" s="113"/>
      <c r="AG230" s="113"/>
      <c r="AH230" s="113"/>
      <c r="AI230" s="113"/>
      <c r="AJ230" s="113"/>
      <c r="AK230" s="113"/>
      <c r="AL230" s="113"/>
      <c r="AM230" s="113"/>
      <c r="AP230" s="113"/>
      <c r="AQ230" s="113"/>
      <c r="AR230" s="113"/>
      <c r="AS230" s="113"/>
      <c r="AT230" s="113"/>
      <c r="AU230" s="113"/>
      <c r="AV230" s="113"/>
      <c r="AW230" s="113"/>
      <c r="AX230" s="113"/>
      <c r="AY230" s="113"/>
      <c r="AZ230" s="113"/>
      <c r="BA230" s="113"/>
      <c r="BB230" s="113"/>
      <c r="BC230" s="113"/>
      <c r="BD230" s="113"/>
    </row>
    <row r="231" spans="1:56" s="418" customFormat="1" ht="12.75" customHeight="1" outlineLevel="1">
      <c r="A231" s="113"/>
      <c r="B231" s="2684" t="s">
        <v>464</v>
      </c>
      <c r="C231" s="2685"/>
      <c r="D231" s="207">
        <v>6</v>
      </c>
      <c r="E231" s="637">
        <f>SUMIF($E$82:$E$109,Utilitaires!$C$572,AF82:AF109)+SUMIF($E$82:$E$109,Utilitaires!$C$577,AF82:AF109)+
SUMIF($E$111:$E$174,Utilitaires!$C$572,AE111:AE174)+SUMIF($E$111:$E$174,Utilitaires!$C$577,AE111:AE174)+
SUMIF($E$180:$E$182,Utilitaires!$C$577,AF180:AF184)+SUMIF($E$180:$E$182,Utilitaires!$C$572,AF180:AF184)</f>
        <v>0</v>
      </c>
      <c r="F231" s="637">
        <f>SUMIF($E$82:$E$109,Utilitaires!$C$572,AH82:AH109)+SUMIF($E$82:$E$109,Utilitaires!$C$577,AH82:AH109)+SUMIF($E$111:$E$174,Utilitaires!$C$572,AF111:AF174)+SUMIF($E$111:$E$174,Utilitaires!$C$577,AF111:AF174)+SUMIF($E$180:$E$182,Utilitaires!$C$577,AH180:AH182)+SUMIF($E$180:$E$182,Utilitaires!$C$572,AH180:AH182)</f>
        <v>0</v>
      </c>
      <c r="G231" s="637">
        <f>SUMIF($E$82:$E$109,Utilitaires!$C$572,AJ82:AJ109)+SUMIF($E$82:$E$109,Utilitaires!$C$577,AJ82:AJ109)+SUMIF($E$111:$E$174,Utilitaires!$C$572,AG111:AG174)+SUMIF($E$111:$E$174,Utilitaires!$C$577,AG111:AG174)+SUMIF($E$176:$E$182,Utilitaires!$C$572,AJ176:AJ182)+SUMIF($E$176:$E$182,Utilitaires!$C$577,AJ176:AJ182)</f>
        <v>0</v>
      </c>
      <c r="H231" s="637">
        <v>0</v>
      </c>
      <c r="I231" s="637">
        <f>SUM(E231:H231)</f>
        <v>0</v>
      </c>
      <c r="J231" s="637">
        <f>SUMIF($E$82:$E$109,Utilitaires!$C$572,AP82:AP109)+SUMIF($E$82:$E$109,Utilitaires!$C$577,AP82:AP109)+SUMIF($E$111:$E$174,Utilitaires!$C$572,AJ111:AJ174)+SUMIF($E$111:$E$174,Utilitaires!$C$577,AJ111:AJ174)</f>
        <v>0</v>
      </c>
      <c r="K231" s="632">
        <f>SQRT(SUMPRODUCT(($E$82:$E$109=Utilitaires!$C$572)*1,AA82:AA109,AA82:AA109)+SUMPRODUCT(($E$82:$E$109=Utilitaires!$C$577)*1,AA82:AA109,AA82:AA109)+SUMPRODUCT(($E$111:$E$174=Utilitaires!$C$572)*1,AC111:AC174,AC111:AC174)+SUMPRODUCT(($E$111:$E$174=Utilitaires!$C$577)*1,AC111:AC174,AC111:AC174)+SUMPRODUCT(($E$180:$E$182=Utilitaires!$C$572)*1,AA180:AA182,AA180:AA182)+SUMPRODUCT(($E$180:$E$182=Utilitaires!$C$577)*1,AA180:AA182,AA180:AA182))</f>
        <v>0</v>
      </c>
      <c r="L231" s="638"/>
      <c r="M231" s="114"/>
      <c r="N231" s="441"/>
      <c r="O231" s="441"/>
      <c r="P231" s="441"/>
      <c r="Q231" s="113"/>
      <c r="R231" s="113"/>
      <c r="S231" s="113"/>
      <c r="T231" s="113"/>
      <c r="U231" s="113"/>
      <c r="V231" s="113"/>
      <c r="W231" s="113"/>
      <c r="X231" s="113"/>
      <c r="Y231" s="113"/>
      <c r="Z231" s="113"/>
      <c r="AA231" s="113"/>
      <c r="AB231" s="113"/>
      <c r="AC231" s="113"/>
      <c r="AE231" s="113"/>
      <c r="AF231" s="113"/>
      <c r="AG231" s="113"/>
      <c r="AH231" s="113"/>
      <c r="AI231" s="113"/>
      <c r="AJ231" s="113"/>
      <c r="AK231" s="113"/>
      <c r="AL231" s="113"/>
      <c r="AM231" s="113"/>
      <c r="AP231" s="113"/>
      <c r="AQ231" s="113"/>
      <c r="AR231" s="113"/>
      <c r="AS231" s="113"/>
      <c r="AT231" s="113"/>
      <c r="AU231" s="113"/>
      <c r="AV231" s="113"/>
      <c r="AW231" s="113"/>
      <c r="AX231" s="113"/>
      <c r="AY231" s="113"/>
      <c r="AZ231" s="113"/>
      <c r="BA231" s="113"/>
      <c r="BB231" s="113"/>
      <c r="BC231" s="113"/>
      <c r="BD231" s="113"/>
    </row>
    <row r="232" spans="1:56" s="418" customFormat="1" ht="12.75" customHeight="1" outlineLevel="1">
      <c r="A232" s="113"/>
      <c r="B232" s="2686" t="s">
        <v>465</v>
      </c>
      <c r="C232" s="2687"/>
      <c r="D232" s="207">
        <v>7</v>
      </c>
      <c r="E232" s="637">
        <f>(1/(1+10%))*SUMIF($E$59:$E$77,Utilitaires!$C$572,AE59:AE77)+(1/(1+10%))*SUMIF($E$59:$E$77,Utilitaires!$C$577,AE59:AE77)</f>
        <v>0</v>
      </c>
      <c r="F232" s="637">
        <f>(1/(1+10%))*SUMIF($E$59:$E$77,Utilitaires!$C$572,AF59:AF77)+(1/(1+10%))*SUMIF($E$59:$E$77,Utilitaires!$C$577,AF59:AF77)</f>
        <v>0</v>
      </c>
      <c r="G232" s="637">
        <f>(1/(1+10%))*SUMIF($E$59:$E$77,Utilitaires!$C$572,AG59:AG77)+(1/(1+10%))*SUMIF($E$59:$E$77,Utilitaires!$C$577,AG59:AG77)</f>
        <v>0</v>
      </c>
      <c r="H232" s="637">
        <v>0</v>
      </c>
      <c r="I232" s="637">
        <f>SUM(E232:H232)</f>
        <v>0</v>
      </c>
      <c r="J232" s="637">
        <f>(1/(1+10%))*SUMIF($E$59:$E$77,Utilitaires!$C$572,AJ59:AJ77)+(1/(1+10%))*SUMIF($E$59:$E$77,Utilitaires!$C$577,AJ59:AJ77)</f>
        <v>0</v>
      </c>
      <c r="K232" s="632">
        <f>(1/SQRT((1+10%^2)))*SQRT(SUMPRODUCT(($E$59:$E$67=Utilitaires!$C$572)*1,AB59:AB67,AB59:AB67)+SUMPRODUCT(($E$59:$E$67=Utilitaires!$C$577)*1,AB59:AB67,AB59:AB67)+SUMPRODUCT(($E$69:$E$77=Utilitaires!$C$572)*1,AB69:AB77,AB69:AB77)+SUMPRODUCT(($E$69:$E$77=Utilitaires!$C$577)*1,AB69:AB77,AB69:AB77))</f>
        <v>0</v>
      </c>
      <c r="L232" s="638"/>
      <c r="M232" s="114"/>
      <c r="N232" s="441"/>
      <c r="O232" s="441"/>
      <c r="P232" s="441"/>
      <c r="Q232" s="113"/>
      <c r="R232" s="113"/>
      <c r="S232" s="113"/>
      <c r="T232" s="113"/>
      <c r="U232" s="113"/>
      <c r="V232" s="113"/>
      <c r="W232" s="113"/>
      <c r="X232" s="113"/>
      <c r="Y232" s="113"/>
      <c r="Z232" s="113"/>
      <c r="AA232" s="113"/>
      <c r="AB232" s="113"/>
      <c r="AC232" s="113"/>
      <c r="AE232" s="113"/>
      <c r="AF232" s="113"/>
      <c r="AG232" s="113"/>
      <c r="AH232" s="113"/>
      <c r="AI232" s="113"/>
      <c r="AJ232" s="113"/>
      <c r="AK232" s="113"/>
      <c r="AL232" s="113"/>
      <c r="AM232" s="113"/>
      <c r="AP232" s="113"/>
      <c r="AQ232" s="113"/>
      <c r="AR232" s="113"/>
      <c r="AS232" s="113"/>
      <c r="AT232" s="113"/>
      <c r="AU232" s="113"/>
      <c r="AV232" s="113"/>
      <c r="AW232" s="113"/>
      <c r="AX232" s="113"/>
      <c r="AY232" s="113"/>
      <c r="AZ232" s="113"/>
      <c r="BA232" s="113"/>
      <c r="BB232" s="113"/>
      <c r="BC232" s="113"/>
      <c r="BD232" s="113"/>
    </row>
    <row r="233" spans="1:56" s="418" customFormat="1" ht="12.75" customHeight="1" outlineLevel="1">
      <c r="A233" s="113"/>
      <c r="B233" s="2696"/>
      <c r="C233" s="2697"/>
      <c r="D233" s="134" t="s">
        <v>439</v>
      </c>
      <c r="E233" s="639">
        <f t="shared" ref="E233:L233" si="39">SUM(E231:E232)</f>
        <v>0</v>
      </c>
      <c r="F233" s="639">
        <f t="shared" si="39"/>
        <v>0</v>
      </c>
      <c r="G233" s="639">
        <f t="shared" si="39"/>
        <v>0</v>
      </c>
      <c r="H233" s="639">
        <f t="shared" si="39"/>
        <v>0</v>
      </c>
      <c r="I233" s="639">
        <f t="shared" si="39"/>
        <v>0</v>
      </c>
      <c r="J233" s="639">
        <f t="shared" si="39"/>
        <v>0</v>
      </c>
      <c r="K233" s="635">
        <f>SQRT(SUMSQ(K231:K232))</f>
        <v>0</v>
      </c>
      <c r="L233" s="640">
        <f t="shared" si="39"/>
        <v>0</v>
      </c>
      <c r="M233" s="113"/>
      <c r="N233" s="113"/>
      <c r="O233" s="113"/>
      <c r="P233" s="237"/>
      <c r="Q233" s="113"/>
      <c r="R233" s="113"/>
      <c r="S233" s="113"/>
      <c r="T233" s="113"/>
      <c r="U233" s="113"/>
      <c r="V233" s="113"/>
      <c r="W233" s="113"/>
      <c r="X233" s="113"/>
      <c r="Y233" s="113"/>
      <c r="Z233" s="113"/>
      <c r="AA233" s="113"/>
      <c r="AB233" s="113"/>
      <c r="AC233" s="113"/>
      <c r="AE233" s="113"/>
      <c r="AF233" s="113"/>
      <c r="AG233" s="113"/>
      <c r="AH233" s="113"/>
      <c r="AI233" s="113"/>
      <c r="AJ233" s="113"/>
      <c r="AK233" s="113"/>
      <c r="AL233" s="113"/>
      <c r="AM233" s="113"/>
      <c r="AP233" s="113"/>
      <c r="AQ233" s="113"/>
      <c r="AR233" s="113"/>
      <c r="AS233" s="113"/>
      <c r="AT233" s="113"/>
      <c r="AU233" s="113"/>
      <c r="AV233" s="113"/>
      <c r="AW233" s="113"/>
      <c r="AX233" s="113"/>
      <c r="AY233" s="113"/>
      <c r="AZ233" s="113"/>
      <c r="BA233" s="113"/>
      <c r="BB233" s="113"/>
      <c r="BC233" s="113"/>
      <c r="BD233" s="113"/>
    </row>
    <row r="234" spans="1:56" s="418" customFormat="1" ht="12.75" customHeight="1" outlineLevel="1">
      <c r="A234" s="113"/>
      <c r="B234" s="2694" t="s">
        <v>466</v>
      </c>
      <c r="C234" s="2695"/>
      <c r="D234" s="208">
        <v>8</v>
      </c>
      <c r="E234" s="801">
        <f>SUMIF($E$9:$E$52,Utilitaires!$C$572,AE9:AE52)+SUMIF($E$9:$E$52,Utilitaires!$C$577,AE9:AE52)+(10%/(1+10%))*SUMIF($E$59:$E$77,Utilitaires!$C$572,AE59:AE77)+(10%/(1+10%))*SUMIF($E$59:$E$77,Utilitaires!$C$577,AE59:AE77)+
SUMIF($E$82:$E$109,Utilitaires!$C$572,AE82:AE109)+SUMIF($E$82:$E$109,Utilitaires!$C$577,AE82:AE109)+
SUMIF($E$82:$E$109,Utilitaires!$C$572,T82:T109)+SUMIF($E$82:$E$109,Utilitaires!$C$577,T82:T109)+
$G190*(SUMIF($E$111:$E$184,Utilitaires!$C$572,AE111:AE184)+SUMIF($E$111:$E$184,Utilitaires!$C$577,AE111:AE184)+SUMIF($E$180:$E$184,Utilitaires!$C$577,AF180:AF184)+SUMIF($E$180:$E$184,Utilitaires!$C$572,AF180:AF184))</f>
        <v>0</v>
      </c>
      <c r="F234" s="801">
        <f>SUMIF($E$9:$E$40,Utilitaires!$C$572,AG9:AG40)+SUMIF($E$9:$E$40,Utilitaires!$C$577,AG9:AG40)+
SUMIF($E$82:$E$109,Utilitaires!$C$572,AG82:AG109)+SUMIF($E$82:$E$109,Utilitaires!$C$577,AG82:AG109)+
$G190*SUMIF($E$111:$E$174,Utilitaires!$C$572,AF111:AF174)+$G190*SUMIF($E$111:$E$174,Utilitaires!$C$577,AF111:AF174)+
$G190*SUMIF($E$180:$E$184,Utilitaires!$C$572,AG180:AG184)+$G190*SUMIF($E$180:$E$184,Utilitaires!$C$572,AH180:AH184)+
$G190*SUMIF($E$180:$E$184,Utilitaires!$C$577,AG180:AG184)+$G190*SUMIF($E$180:$E$184,Utilitaires!$C$577,AH180:AH184)+
(10%/(1+10%))*SUMIF($E$59:$E$77,Utilitaires!$C$572,AF59:AF77)+(10%/(1+10%))*SUMIF($E$59:$E$77,Utilitaires!$C$577,AF59:AF77)</f>
        <v>0</v>
      </c>
      <c r="G234" s="801">
        <f>SUMIF($E$9:$E$40,Utilitaires!$C$572,AI9:AI40)+SUMIF($E$9:$E$40,Utilitaires!$C$577,AI9:AI40)+SUMIF($E$82:$E$109,Utilitaires!$C$572,AI82:AI109)+SUMIF($E$82:$E$109,Utilitaires!$C$577,AI82:AI109)+$G190*SUMIF($E$111:$E$174,Utilitaires!$C$572,AG111:AG174)+$G190*SUMIF($E$111:$E$174,Utilitaires!$C$577,AG111:AG174)+$G190*SUMIF($E$180:$E$184,Utilitaires!$C$572,AI180:AI184)+$G190*SUMIF($E$180:$E$184,Utilitaires!$C$577,AJ180:AJ184)+$G190*SUMIF($E$180:$E$184,Utilitaires!$C$577,AI180:AI184)+$G190*SUMIF($E$180:$E$184,Utilitaires!$C$572,AJ180:AJ184)
+(10%/(1+10%))*SUMIF($E$59:$E$77,Utilitaires!$C$572,AG59:AG77)+(10%/(1+10%))*SUMIF($E$59:$E$77,Utilitaires!$C$577,AG59:AG77)</f>
        <v>0</v>
      </c>
      <c r="H234" s="801">
        <f>SUMIF($E$9:$E$40,Utilitaires!$C$572,AK9:AK40)+
SUMIF($E$9:$E$40,Utilitaires!$C$577,AK9:AK40)+
SUMIF($E$82:$E$109,Utilitaires!$C$572,AK82:AK109)+
SUMIF($E$82:$E$109,Utilitaires!$C$577,AK82:AK109)+
$G190*SUMIF($E$111:$E$174,Utilitaires!$C$572,AH111:AH174)+
$G190*SUMIF($E$111:$E$174,Utilitaires!$C$577,AH111:AH174)+
$G190*SUMIF($E$180:$E$184,Utilitaires!$C$572,AK180:AK184)+
$G190*SUMIF($E$180:$E$184,Utilitaires!$C$577,AL180:AL184)+
$G190*SUMIF($E$180:$E$184,Utilitaires!$C$577,AK180:AK184)+
$G190*SUMIF($E$180:$E$184,Utilitaires!$C$572,AL180:AL184)
+(10%/(1+10%))*SUMIF($E$59:$E$77,Utilitaires!$C$572,AH59:AH77)+
(10%/(1+10%))*SUMIF($E$59:$E$77,Utilitaires!$C$577,AH59:AH77)</f>
        <v>0</v>
      </c>
      <c r="I234" s="801">
        <f>SUM(E234:H234)</f>
        <v>0</v>
      </c>
      <c r="J234" s="801">
        <f>SUMIF($E$9:$E$40,Utilitaires!$C$572,AO9:AO40)+SUMIF($E$9:$E$40,Utilitaires!$C$577,AO9:AO40)+SUMIF($E$97:$E$109,Utilitaires!$C$572,AO97:AO109)+SUMIF($E$97:$E$109,Utilitaires!$C$577,AO97:AO109)+$G190*SUMIF($E$111:$E$174,Utilitaires!$C$572,AI111:AI174)+$G190*SUMIF($E$111:$E$174,Utilitaires!$C$577,AI111:AI174)
+(10%/(1+10%))*SUMIF($E$59:$E$77,Utilitaires!$C$572,AJ59:AJ77)+(10%/(1+10%))*SUMIF($E$59:$E$77,Utilitaires!$C$577,AJ59:AJ77)</f>
        <v>0</v>
      </c>
      <c r="K234" s="632">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+SUMPRODUCT(($E$59:$E$67=Utilitaires!$C$572)*1,AB59:AB67,AB59:AB67)+SUMPRODUCT(($E$59:$E$67=Utilitaires!$C$577)*1,AB59:AB67,AB59:AB67)+SUMPRODUCT(($E$69:$E$77=Utilitaires!$C$572)*1,AB69:AB77,AB69:AB77)+SUMPRODUCT(($E$69:$E$77=Utilitaires!$C$577)*1,AB69:AB77,AB69:AB77)-K232^2
+(1+$G190^2)*(SUMPRODUCT(($E$82:$E$109=Utilitaires!$C$572)*1,Z82:Z109,Z82:Z109)+SUMPRODUCT(($E$82:$E$109=Utilitaires!$C$577)*1,Z82:Z109,Z82:Z109)+SUMPRODUCT(($E$180:$E$184=Utilitaires!$C$572)*1,Z180:Z184,Z180:Z184)+SUMPRODUCT(($E$180:$E$184=Utilitaires!$C$577)*1,Z180:Z184,Z180:Z184))
+$G190^2*(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L234" s="801"/>
      <c r="M234" s="113"/>
      <c r="N234" s="576"/>
      <c r="O234" s="113"/>
      <c r="P234" s="113"/>
      <c r="Q234" s="113"/>
      <c r="R234" s="113"/>
      <c r="S234" s="113"/>
      <c r="T234" s="113"/>
      <c r="U234" s="113"/>
      <c r="V234" s="113"/>
      <c r="W234" s="113"/>
      <c r="X234" s="113"/>
      <c r="Y234" s="113"/>
      <c r="Z234" s="113"/>
      <c r="AA234" s="113"/>
      <c r="AB234" s="113"/>
      <c r="AC234" s="113"/>
      <c r="AE234" s="113"/>
      <c r="AF234" s="113"/>
      <c r="AG234" s="113"/>
      <c r="AH234" s="113"/>
      <c r="AI234" s="113"/>
      <c r="AJ234" s="113"/>
      <c r="AK234" s="113"/>
      <c r="AL234" s="113"/>
      <c r="AM234" s="113"/>
      <c r="AP234" s="113"/>
      <c r="AQ234" s="113"/>
      <c r="AR234" s="113"/>
      <c r="AS234" s="113"/>
      <c r="AT234" s="113"/>
      <c r="AU234" s="113"/>
      <c r="AV234" s="113"/>
      <c r="AW234" s="113"/>
      <c r="AX234" s="113"/>
      <c r="AY234" s="113"/>
      <c r="AZ234" s="113"/>
      <c r="BA234" s="113"/>
      <c r="BB234" s="113"/>
      <c r="BC234" s="113"/>
      <c r="BD234" s="113"/>
    </row>
    <row r="235" spans="1:56" s="418" customFormat="1" ht="12.75" customHeight="1" outlineLevel="1">
      <c r="A235" s="113"/>
      <c r="B235" s="2694" t="s">
        <v>467</v>
      </c>
      <c r="C235" s="2695"/>
      <c r="D235" s="208">
        <v>9</v>
      </c>
      <c r="E235" s="801"/>
      <c r="F235" s="801"/>
      <c r="G235" s="801"/>
      <c r="H235" s="801"/>
      <c r="I235" s="801"/>
      <c r="J235" s="801"/>
      <c r="K235" s="632"/>
      <c r="L235" s="801"/>
      <c r="M235" s="576"/>
      <c r="N235" s="113"/>
      <c r="O235" s="113"/>
      <c r="P235" s="113"/>
      <c r="Q235" s="113"/>
      <c r="R235" s="113"/>
      <c r="S235" s="113"/>
      <c r="T235" s="113"/>
      <c r="U235" s="113"/>
      <c r="V235" s="113"/>
      <c r="W235" s="113"/>
      <c r="X235" s="113"/>
      <c r="Y235" s="113"/>
      <c r="Z235" s="113"/>
      <c r="AA235" s="113"/>
      <c r="AB235" s="113"/>
      <c r="AC235" s="113"/>
      <c r="AE235" s="113"/>
      <c r="AF235" s="113"/>
      <c r="AG235" s="113"/>
      <c r="AH235" s="113"/>
      <c r="AI235" s="113"/>
      <c r="AJ235" s="113"/>
      <c r="AK235" s="113"/>
      <c r="AL235" s="113"/>
      <c r="AM235" s="113"/>
      <c r="AP235" s="113"/>
      <c r="AQ235" s="113"/>
      <c r="AR235" s="113"/>
      <c r="AS235" s="113"/>
      <c r="AT235" s="113"/>
      <c r="AU235" s="113"/>
      <c r="AV235" s="113"/>
      <c r="AW235" s="113"/>
      <c r="AX235" s="113"/>
      <c r="AY235" s="113"/>
      <c r="AZ235" s="113"/>
      <c r="BA235" s="113"/>
      <c r="BB235" s="113"/>
      <c r="BC235" s="113"/>
      <c r="BD235" s="113"/>
    </row>
    <row r="236" spans="1:56" s="418" customFormat="1" ht="12.75" customHeight="1" outlineLevel="1">
      <c r="A236" s="113"/>
      <c r="B236" s="2694" t="s">
        <v>468</v>
      </c>
      <c r="C236" s="2695"/>
      <c r="D236" s="208">
        <v>10</v>
      </c>
      <c r="E236" s="801"/>
      <c r="F236" s="801"/>
      <c r="G236" s="801"/>
      <c r="H236" s="801"/>
      <c r="I236" s="801"/>
      <c r="J236" s="801"/>
      <c r="K236" s="632"/>
      <c r="L236" s="801"/>
      <c r="M236" s="113"/>
      <c r="N236" s="113"/>
      <c r="O236" s="113"/>
      <c r="P236" s="113"/>
      <c r="Q236" s="113"/>
      <c r="R236" s="113"/>
      <c r="S236" s="113"/>
      <c r="T236" s="113"/>
      <c r="U236" s="113"/>
      <c r="V236" s="113"/>
      <c r="W236" s="113"/>
      <c r="X236" s="113"/>
      <c r="Y236" s="113"/>
      <c r="Z236" s="113"/>
      <c r="AA236" s="113"/>
      <c r="AB236" s="113"/>
      <c r="AC236" s="113"/>
      <c r="AE236" s="113"/>
      <c r="AF236" s="113"/>
      <c r="AG236" s="113"/>
      <c r="AH236" s="113"/>
      <c r="AI236" s="113"/>
      <c r="AJ236" s="113"/>
      <c r="AK236" s="113"/>
      <c r="AL236" s="113"/>
      <c r="AM236" s="113"/>
      <c r="AP236" s="113"/>
      <c r="AQ236" s="113"/>
      <c r="AR236" s="113"/>
      <c r="AS236" s="113"/>
      <c r="AT236" s="113"/>
      <c r="AU236" s="113"/>
      <c r="AV236" s="113"/>
      <c r="AW236" s="113"/>
      <c r="AX236" s="113"/>
      <c r="AY236" s="113"/>
      <c r="AZ236" s="113"/>
      <c r="BA236" s="113"/>
      <c r="BB236" s="113"/>
      <c r="BC236" s="113"/>
      <c r="BD236" s="113"/>
    </row>
    <row r="237" spans="1:56" s="418" customFormat="1" ht="12.75" customHeight="1" outlineLevel="1">
      <c r="A237" s="113"/>
      <c r="B237" s="2694" t="s">
        <v>386</v>
      </c>
      <c r="C237" s="2695"/>
      <c r="D237" s="208">
        <v>11</v>
      </c>
      <c r="E237" s="801"/>
      <c r="F237" s="801"/>
      <c r="G237" s="801"/>
      <c r="H237" s="801"/>
      <c r="I237" s="801"/>
      <c r="J237" s="801"/>
      <c r="K237" s="632"/>
      <c r="L237" s="801"/>
      <c r="M237" s="113"/>
      <c r="N237" s="113"/>
      <c r="O237" s="113"/>
      <c r="P237" s="113"/>
      <c r="Q237" s="113"/>
      <c r="R237" s="113"/>
      <c r="S237" s="113"/>
      <c r="T237" s="113"/>
      <c r="U237" s="113"/>
      <c r="V237" s="113"/>
      <c r="W237" s="113"/>
      <c r="X237" s="113"/>
      <c r="Y237" s="113"/>
      <c r="Z237" s="113"/>
      <c r="AA237" s="113"/>
      <c r="AB237" s="113"/>
      <c r="AC237" s="113"/>
      <c r="AE237" s="113"/>
      <c r="AF237" s="113"/>
      <c r="AG237" s="113"/>
      <c r="AH237" s="113"/>
      <c r="AI237" s="113"/>
      <c r="AJ237" s="113"/>
      <c r="AK237" s="113"/>
      <c r="AL237" s="113"/>
      <c r="AM237" s="113"/>
      <c r="AP237" s="113"/>
      <c r="AQ237" s="113"/>
      <c r="AR237" s="113"/>
      <c r="AS237" s="113"/>
      <c r="AT237" s="113"/>
      <c r="AU237" s="113"/>
      <c r="AV237" s="113"/>
      <c r="AW237" s="113"/>
      <c r="AX237" s="113"/>
      <c r="AY237" s="113"/>
      <c r="AZ237" s="113"/>
      <c r="BA237" s="113"/>
      <c r="BB237" s="113"/>
      <c r="BC237" s="113"/>
      <c r="BD237" s="113"/>
    </row>
    <row r="238" spans="1:56" s="418" customFormat="1" ht="12.75" customHeight="1" outlineLevel="1">
      <c r="A238" s="113"/>
      <c r="B238" s="2694" t="s">
        <v>469</v>
      </c>
      <c r="C238" s="2695"/>
      <c r="D238" s="208">
        <v>12</v>
      </c>
      <c r="E238" s="801"/>
      <c r="F238" s="801"/>
      <c r="G238" s="801"/>
      <c r="H238" s="801"/>
      <c r="I238" s="801"/>
      <c r="J238" s="801"/>
      <c r="K238" s="632"/>
      <c r="L238" s="801"/>
      <c r="M238" s="113"/>
      <c r="N238" s="113"/>
      <c r="O238" s="113"/>
      <c r="P238" s="113"/>
      <c r="Q238" s="113"/>
      <c r="R238" s="113"/>
      <c r="S238" s="113"/>
      <c r="T238" s="113"/>
      <c r="U238" s="113"/>
      <c r="V238" s="113"/>
      <c r="W238" s="113"/>
      <c r="X238" s="113"/>
      <c r="Y238" s="113"/>
      <c r="Z238" s="113"/>
      <c r="AA238" s="113"/>
      <c r="AB238" s="113"/>
      <c r="AC238" s="113"/>
      <c r="AE238" s="113"/>
      <c r="AF238" s="113"/>
      <c r="AG238" s="113"/>
      <c r="AH238" s="113"/>
      <c r="AI238" s="113"/>
      <c r="AJ238" s="113"/>
      <c r="AK238" s="113"/>
      <c r="AL238" s="113"/>
      <c r="AM238" s="113"/>
      <c r="AP238" s="113"/>
      <c r="AQ238" s="113"/>
      <c r="AR238" s="113"/>
      <c r="AS238" s="113"/>
      <c r="AT238" s="113"/>
      <c r="AU238" s="113"/>
      <c r="AV238" s="113"/>
      <c r="AW238" s="113"/>
      <c r="AX238" s="113"/>
      <c r="AY238" s="113"/>
      <c r="AZ238" s="113"/>
      <c r="BA238" s="113"/>
      <c r="BB238" s="113"/>
      <c r="BC238" s="113"/>
      <c r="BD238" s="113"/>
    </row>
    <row r="239" spans="1:56" s="418" customFormat="1" ht="12.75" customHeight="1" outlineLevel="1">
      <c r="A239" s="113"/>
      <c r="B239" s="2694" t="s">
        <v>470</v>
      </c>
      <c r="C239" s="2695"/>
      <c r="D239" s="208">
        <v>13</v>
      </c>
      <c r="E239" s="801"/>
      <c r="F239" s="801"/>
      <c r="G239" s="801"/>
      <c r="H239" s="801"/>
      <c r="I239" s="801"/>
      <c r="J239" s="801"/>
      <c r="K239" s="632"/>
      <c r="L239" s="801"/>
      <c r="M239" s="113"/>
      <c r="N239" s="113"/>
      <c r="O239" s="113"/>
      <c r="P239" s="113"/>
      <c r="Q239" s="113"/>
      <c r="R239" s="113"/>
      <c r="S239" s="113"/>
      <c r="T239" s="113"/>
      <c r="U239" s="113"/>
      <c r="V239" s="113"/>
      <c r="W239" s="113"/>
      <c r="X239" s="113"/>
      <c r="Y239" s="113"/>
      <c r="Z239" s="113"/>
      <c r="AA239" s="113"/>
      <c r="AB239" s="113"/>
      <c r="AC239" s="113"/>
      <c r="AE239" s="113"/>
      <c r="AF239" s="113"/>
      <c r="AG239" s="113"/>
      <c r="AH239" s="113"/>
      <c r="AI239" s="113"/>
      <c r="AJ239" s="113"/>
      <c r="AK239" s="113"/>
      <c r="AL239" s="113"/>
      <c r="AM239" s="113"/>
      <c r="AP239" s="113"/>
      <c r="AQ239" s="113"/>
      <c r="AR239" s="113"/>
      <c r="AS239" s="113"/>
      <c r="AT239" s="113"/>
      <c r="AU239" s="113"/>
      <c r="AV239" s="113"/>
      <c r="AW239" s="113"/>
      <c r="AX239" s="113"/>
      <c r="AY239" s="113"/>
      <c r="AZ239" s="113"/>
      <c r="BA239" s="113"/>
      <c r="BB239" s="113"/>
      <c r="BC239" s="113"/>
      <c r="BD239" s="113"/>
    </row>
    <row r="240" spans="1:56" s="418" customFormat="1" ht="12.75" customHeight="1" outlineLevel="1">
      <c r="A240" s="113"/>
      <c r="B240" s="2694" t="s">
        <v>471</v>
      </c>
      <c r="C240" s="2695"/>
      <c r="D240" s="208">
        <v>14</v>
      </c>
      <c r="E240" s="801">
        <f>SUMIF($E$9:$E$54,Utilitaires!$C$573,AE9:AE54)+SUMIF($E$9:$E$54,Utilitaires!$C$573,AF9:AF54)+SUMIF($E$59:$E$77,Utilitaires!$C$573,AE59:AE77)+
SUMIF($E$82:$E$109,Utilitaires!$C$573,AE82:AE109)+SUMIF($E$82:$E$109,Utilitaires!$C$573,AF82:AF109)+SUMIF($E$82:$E$109,Utilitaires!$C$573,T82:T109)+
(1+$G190)*SUMIF($E$111:$E$174,Utilitaires!$C$573,AE111:AE174)+(1+$G190)*SUMIF($E$180:$E$184,Utilitaires!$C$573,AF180:AF184)+(1+$G190)*SUMIF($E$180:$E$184,Utilitaires!$C$573,AE180:AE184)</f>
        <v>0</v>
      </c>
      <c r="F240" s="801">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40" s="801">
        <f>SUMIF($E$9:$E$54,Utilitaires!$C$573,AI9:AI54)+SUMIF($E$9:$E$54,Utilitaires!$C$573,AJ9:AJ54)+SUMIF($E$59:$E$77,Utilitaires!$C$573,AG59:AG77)+SUMIF($E$82:$E$109,Utilitaires!$C$573,AI82:AI109)+SUMIF($E$82:$E$109,Utilitaires!$C$573,AJ82:AJ109)+(1+$G190)*SUMIF($E$111:$E$174,Utilitaires!$C$573,AG111:AG174)+(1+$G190)*SUMIF($E$180:$E$184,Utilitaires!$C$573,AJ180:AJ184)+(1+$G190)*SUMIF($E$180:$E$184,Utilitaires!$C$573,AI180:AI184)</f>
        <v>0</v>
      </c>
      <c r="H240" s="801">
        <f>SUMIF($E$9:$E$54,Utilitaires!$C$573,AK9:AK54)+SUMIF($E$9:$E$54,Utilitaires!$C$573,AL9:AL54)+SUMIF($E$59:$E$77,Utilitaires!$C$573,AH59:AH77)+SUMIF($E$82:$E$109,Utilitaires!$C$573,AK82:AK109)+SUMIF($E$82:$E$109,Utilitaires!$C$573,AL82:AL109)+(1+$G190)*SUMIF($E$111:$E$174,Utilitaires!$C$573,AH111:AH174)+(1+$G190)*SUMIF($E$180:$E$184,Utilitaires!$C$573,AK180:AK184)+(1+$G190)*SUMIF($E$180:$E$184,Utilitaires!$C$573,AL180:AL184)</f>
        <v>0</v>
      </c>
      <c r="I240" s="801">
        <f>SUM(E240:H240)</f>
        <v>0</v>
      </c>
      <c r="J240" s="801">
        <f>SUMIF($E$9:$E$54,Utilitaires!$C$573,AO9:AO54)+SUMIF($E$9:$E$54,Utilitaires!$C$573,AP9:AP54)+SUMIF($E$59:$E$77,Utilitaires!$C$573,AJ59:AJ77)+(1+$G190)*SUMIF($E$97:$E$109,Utilitaires!$C$573,AO97:AO109)+(1+$G190)*SUMIF($E$97:$E$109,Utilitaires!$C$573,AP97:AP109)+(1+$G190)*SUMIF($E$111:$E$174,Utilitaires!$C$573,AI111:AI174)</f>
        <v>0</v>
      </c>
      <c r="K240" s="632">
        <f>SQRT(SUMPRODUCT(($E$9:$E$54=Utilitaires!$C$573)*1,Z9:Z54,Z9:Z54)+SUMPRODUCT(($E$9:$E$54=Utilitaires!$C$573)*1,AA9:AA54,AA9:AA54)+SUMPRODUCT(($E$59:$E$77=Utilitaires!$C$573)*1,AB59:AB77,AB59:AB77)
+(1+$G190^2)*(SUMPRODUCT(($E$82:$E$109=Utilitaires!$C$573)*1,Z82:Z109,Z82:Z109)
+SUMPRODUCT(($E$82:$E$109=Utilitaires!$C$573)*1,AA82:AA109,AA82:AA109)
+SUMPRODUCT(($E$111:$E$174=Utilitaires!$C$573)*1,AC111:AC174,AC111:AC174))+SUMPRODUCT(($E$180:$E$182=Utilitaires!$C$573)*1,AA180:AA182,AA180:AA182)+SUMPRODUCT(($E$180:$E$182=Utilitaires!$C$573)*1,Z180:Z182,AA180:AA182))</f>
        <v>0</v>
      </c>
      <c r="L240" s="801"/>
      <c r="M240" s="113"/>
      <c r="N240" s="113"/>
      <c r="O240" s="113"/>
      <c r="P240" s="113"/>
      <c r="Q240" s="113"/>
      <c r="R240" s="113"/>
      <c r="S240" s="113"/>
      <c r="T240" s="113"/>
      <c r="U240" s="113"/>
      <c r="V240" s="113"/>
      <c r="W240" s="113"/>
      <c r="X240" s="113"/>
      <c r="Y240" s="817"/>
      <c r="Z240" s="817"/>
      <c r="AA240" s="113"/>
      <c r="AB240" s="113"/>
      <c r="AC240" s="113"/>
      <c r="AE240" s="113"/>
      <c r="AF240" s="576"/>
      <c r="AG240" s="576"/>
      <c r="AH240" s="576"/>
      <c r="AI240" s="576"/>
      <c r="AJ240" s="576"/>
      <c r="AK240" s="576"/>
      <c r="AL240" s="576"/>
      <c r="AM240" s="576"/>
      <c r="AN240" s="1240"/>
      <c r="AO240" s="1240"/>
      <c r="AP240" s="576"/>
      <c r="AQ240" s="576"/>
      <c r="AR240" s="113"/>
      <c r="AS240" s="113"/>
      <c r="AT240" s="113"/>
      <c r="AU240" s="113"/>
      <c r="AV240" s="113"/>
      <c r="AW240" s="113"/>
      <c r="AX240" s="113"/>
      <c r="AY240" s="113"/>
      <c r="AZ240" s="113"/>
      <c r="BA240" s="113"/>
      <c r="BB240" s="113"/>
      <c r="BC240" s="113"/>
      <c r="BD240" s="113"/>
    </row>
    <row r="241" spans="1:56" s="418" customFormat="1" ht="12.75" customHeight="1" outlineLevel="1">
      <c r="A241" s="113"/>
      <c r="B241" s="2694" t="s">
        <v>472</v>
      </c>
      <c r="C241" s="2695"/>
      <c r="D241" s="208">
        <v>15</v>
      </c>
      <c r="E241" s="801"/>
      <c r="F241" s="801"/>
      <c r="G241" s="801"/>
      <c r="H241" s="801"/>
      <c r="I241" s="801"/>
      <c r="J241" s="801"/>
      <c r="K241" s="632"/>
      <c r="L241" s="801"/>
      <c r="M241" s="113"/>
      <c r="N241" s="113"/>
      <c r="O241" s="113"/>
      <c r="P241" s="113"/>
      <c r="Q241" s="113"/>
      <c r="R241" s="113"/>
      <c r="S241" s="113"/>
      <c r="T241" s="113"/>
      <c r="U241" s="113"/>
      <c r="V241" s="113"/>
      <c r="W241" s="113"/>
      <c r="X241" s="113"/>
      <c r="Y241" s="817"/>
      <c r="Z241" s="817"/>
      <c r="AA241" s="113"/>
      <c r="AB241" s="113"/>
      <c r="AC241" s="113"/>
      <c r="AE241" s="113"/>
      <c r="AF241" s="576"/>
      <c r="AG241" s="576"/>
      <c r="AH241" s="576"/>
      <c r="AI241" s="576"/>
      <c r="AJ241" s="576"/>
      <c r="AK241" s="576"/>
      <c r="AL241" s="576"/>
      <c r="AM241" s="576"/>
      <c r="AN241" s="1240"/>
      <c r="AO241" s="1240"/>
      <c r="AP241" s="576"/>
      <c r="AQ241" s="576"/>
      <c r="AR241" s="113"/>
      <c r="AS241" s="113"/>
      <c r="AT241" s="113"/>
      <c r="AU241" s="113"/>
      <c r="AV241" s="113"/>
      <c r="AW241" s="113"/>
      <c r="AX241" s="113"/>
      <c r="AY241" s="113"/>
      <c r="AZ241" s="113"/>
      <c r="BA241" s="113"/>
      <c r="BB241" s="113"/>
      <c r="BC241" s="113"/>
      <c r="BD241" s="113"/>
    </row>
    <row r="242" spans="1:56" s="418" customFormat="1" ht="12.75" customHeight="1" outlineLevel="1">
      <c r="A242" s="113"/>
      <c r="B242" s="2694" t="s">
        <v>473</v>
      </c>
      <c r="C242" s="2695"/>
      <c r="D242" s="208">
        <v>16</v>
      </c>
      <c r="E242" s="801"/>
      <c r="F242" s="801"/>
      <c r="G242" s="801"/>
      <c r="H242" s="801"/>
      <c r="I242" s="801"/>
      <c r="J242" s="801"/>
      <c r="K242" s="632"/>
      <c r="L242" s="801"/>
      <c r="M242" s="175"/>
      <c r="N242" s="576"/>
      <c r="O242" s="576"/>
      <c r="P242" s="113"/>
      <c r="Q242" s="113"/>
      <c r="R242" s="113"/>
      <c r="S242" s="113"/>
      <c r="T242" s="113"/>
      <c r="U242" s="113"/>
      <c r="V242" s="113"/>
      <c r="W242" s="113"/>
      <c r="X242" s="113"/>
      <c r="Y242" s="817"/>
      <c r="Z242" s="817"/>
      <c r="AA242" s="113"/>
      <c r="AB242" s="113"/>
      <c r="AC242" s="113"/>
      <c r="AE242" s="113"/>
      <c r="AF242" s="576"/>
      <c r="AG242" s="576"/>
      <c r="AH242" s="576"/>
      <c r="AI242" s="576"/>
      <c r="AJ242" s="576"/>
      <c r="AK242" s="576"/>
      <c r="AL242" s="576"/>
      <c r="AM242" s="576"/>
      <c r="AN242" s="1240"/>
      <c r="AO242" s="1240"/>
      <c r="AP242" s="576"/>
      <c r="AQ242" s="576"/>
      <c r="AR242" s="113"/>
      <c r="AS242" s="113"/>
      <c r="AT242" s="113"/>
      <c r="AU242" s="113"/>
      <c r="AV242" s="113"/>
      <c r="AW242" s="113"/>
      <c r="AX242" s="113"/>
      <c r="AY242" s="113"/>
      <c r="AZ242" s="113"/>
      <c r="BA242" s="113"/>
      <c r="BB242" s="113"/>
      <c r="BC242" s="113"/>
      <c r="BD242" s="113"/>
    </row>
    <row r="243" spans="1:56" s="418" customFormat="1" ht="12.75" customHeight="1" outlineLevel="1">
      <c r="A243" s="113"/>
      <c r="B243" s="2694" t="s">
        <v>474</v>
      </c>
      <c r="C243" s="2695"/>
      <c r="D243" s="208">
        <v>17</v>
      </c>
      <c r="E243" s="801"/>
      <c r="F243" s="801"/>
      <c r="G243" s="801"/>
      <c r="H243" s="801"/>
      <c r="I243" s="801"/>
      <c r="J243" s="801"/>
      <c r="K243" s="632"/>
      <c r="L243" s="801"/>
      <c r="M243" s="175"/>
      <c r="N243" s="576"/>
      <c r="O243" s="576"/>
      <c r="P243" s="113"/>
      <c r="Q243" s="113"/>
      <c r="R243" s="113"/>
      <c r="S243" s="113"/>
      <c r="T243" s="113"/>
      <c r="U243" s="113"/>
      <c r="V243" s="113"/>
      <c r="W243" s="113"/>
      <c r="X243" s="113"/>
      <c r="Y243" s="817"/>
      <c r="Z243" s="817"/>
      <c r="AA243" s="113"/>
      <c r="AB243" s="113"/>
      <c r="AC243" s="113"/>
      <c r="AE243" s="113"/>
      <c r="AF243" s="576"/>
      <c r="AG243" s="576"/>
      <c r="AH243" s="576"/>
      <c r="AI243" s="576"/>
      <c r="AJ243" s="576"/>
      <c r="AK243" s="576"/>
      <c r="AL243" s="576"/>
      <c r="AM243" s="576"/>
      <c r="AN243" s="1240"/>
      <c r="AO243" s="1240"/>
      <c r="AP243" s="576"/>
      <c r="AQ243" s="576"/>
      <c r="AR243" s="113"/>
      <c r="AS243" s="113"/>
      <c r="AT243" s="113"/>
      <c r="AU243" s="113"/>
      <c r="AV243" s="113"/>
      <c r="AW243" s="113"/>
      <c r="AX243" s="113"/>
      <c r="AY243" s="113"/>
      <c r="AZ243" s="113"/>
      <c r="BA243" s="113"/>
      <c r="BB243" s="113"/>
      <c r="BC243" s="113"/>
      <c r="BD243" s="113"/>
    </row>
    <row r="244" spans="1:56" s="418" customFormat="1" ht="12.75" customHeight="1" outlineLevel="1">
      <c r="A244" s="113"/>
      <c r="B244" s="2694" t="s">
        <v>475</v>
      </c>
      <c r="C244" s="2695"/>
      <c r="D244" s="208">
        <v>18</v>
      </c>
      <c r="E244" s="801"/>
      <c r="F244" s="801"/>
      <c r="G244" s="801"/>
      <c r="H244" s="801"/>
      <c r="I244" s="801"/>
      <c r="J244" s="801"/>
      <c r="K244" s="632"/>
      <c r="L244" s="801"/>
      <c r="M244" s="175"/>
      <c r="N244" s="576"/>
      <c r="O244" s="576"/>
      <c r="P244" s="113"/>
      <c r="Q244" s="113"/>
      <c r="R244" s="113"/>
      <c r="S244" s="113"/>
      <c r="T244" s="113"/>
      <c r="U244" s="113"/>
      <c r="V244" s="113"/>
      <c r="W244" s="113"/>
      <c r="X244" s="113"/>
      <c r="Y244" s="817"/>
      <c r="Z244" s="817"/>
      <c r="AA244" s="113"/>
      <c r="AB244" s="113"/>
      <c r="AC244" s="113"/>
      <c r="AE244" s="113"/>
      <c r="AF244" s="576"/>
      <c r="AG244" s="576"/>
      <c r="AH244" s="576"/>
      <c r="AI244" s="576"/>
      <c r="AJ244" s="576"/>
      <c r="AK244" s="576"/>
      <c r="AL244" s="576"/>
      <c r="AM244" s="576"/>
      <c r="AN244" s="1240"/>
      <c r="AO244" s="1240"/>
      <c r="AP244" s="576"/>
      <c r="AQ244" s="576"/>
      <c r="AR244" s="113"/>
      <c r="AS244" s="113"/>
      <c r="AT244" s="113"/>
      <c r="AU244" s="113"/>
      <c r="AV244" s="113"/>
      <c r="AW244" s="113"/>
      <c r="AX244" s="113"/>
      <c r="AY244" s="113"/>
      <c r="AZ244" s="113"/>
      <c r="BA244" s="113"/>
      <c r="BB244" s="113"/>
      <c r="BC244" s="113"/>
      <c r="BD244" s="113"/>
    </row>
    <row r="245" spans="1:56" s="418" customFormat="1" ht="12.75" customHeight="1" outlineLevel="1">
      <c r="A245" s="113"/>
      <c r="B245" s="2694" t="s">
        <v>476</v>
      </c>
      <c r="C245" s="2695"/>
      <c r="D245" s="208">
        <v>19</v>
      </c>
      <c r="E245" s="801">
        <v>0</v>
      </c>
      <c r="F245" s="801"/>
      <c r="G245" s="801"/>
      <c r="H245" s="801"/>
      <c r="I245" s="801"/>
      <c r="J245" s="801"/>
      <c r="K245" s="632"/>
      <c r="L245" s="801"/>
      <c r="M245" s="175"/>
      <c r="N245" s="576"/>
      <c r="O245" s="576"/>
      <c r="P245" s="113"/>
      <c r="Q245" s="113"/>
      <c r="R245" s="113"/>
      <c r="S245" s="113"/>
      <c r="T245" s="113"/>
      <c r="U245" s="113"/>
      <c r="V245" s="113"/>
      <c r="W245" s="113"/>
      <c r="X245" s="113"/>
      <c r="Y245" s="817"/>
      <c r="Z245" s="817"/>
      <c r="AA245" s="113"/>
      <c r="AB245" s="113"/>
      <c r="AC245" s="113"/>
      <c r="AE245" s="113"/>
      <c r="AF245" s="576"/>
      <c r="AG245" s="576"/>
      <c r="AH245" s="576"/>
      <c r="AI245" s="576"/>
      <c r="AJ245" s="576"/>
      <c r="AK245" s="576"/>
      <c r="AL245" s="576"/>
      <c r="AM245" s="576"/>
      <c r="AN245" s="1240"/>
      <c r="AO245" s="1240"/>
      <c r="AP245" s="576"/>
      <c r="AQ245" s="576"/>
      <c r="AR245" s="113"/>
      <c r="AS245" s="113"/>
      <c r="AT245" s="113"/>
      <c r="AU245" s="113"/>
      <c r="AV245" s="113"/>
      <c r="AW245" s="113"/>
      <c r="AX245" s="113"/>
      <c r="AY245" s="113"/>
      <c r="AZ245" s="113"/>
      <c r="BA245" s="113"/>
      <c r="BB245" s="113"/>
      <c r="BC245" s="113"/>
      <c r="BD245" s="113"/>
    </row>
    <row r="246" spans="1:56" s="418" customFormat="1" ht="12.75" customHeight="1" outlineLevel="1">
      <c r="A246" s="113"/>
      <c r="B246" s="2694" t="s">
        <v>477</v>
      </c>
      <c r="C246" s="2695"/>
      <c r="D246" s="208">
        <v>20</v>
      </c>
      <c r="E246" s="801"/>
      <c r="F246" s="801"/>
      <c r="G246" s="801"/>
      <c r="H246" s="801"/>
      <c r="I246" s="801"/>
      <c r="J246" s="801"/>
      <c r="K246" s="632"/>
      <c r="L246" s="801"/>
      <c r="M246" s="175"/>
      <c r="N246" s="576"/>
      <c r="O246" s="576"/>
      <c r="P246" s="113"/>
      <c r="Q246" s="113"/>
      <c r="R246" s="113"/>
      <c r="S246" s="113"/>
      <c r="T246" s="113"/>
      <c r="U246" s="113"/>
      <c r="V246" s="113"/>
      <c r="W246" s="113"/>
      <c r="X246" s="113"/>
      <c r="Y246" s="817"/>
      <c r="Z246" s="817"/>
      <c r="AA246" s="113"/>
      <c r="AB246" s="113"/>
      <c r="AC246" s="113"/>
      <c r="AE246" s="113"/>
      <c r="AF246" s="576"/>
      <c r="AG246" s="576"/>
      <c r="AH246" s="576"/>
      <c r="AI246" s="576"/>
      <c r="AJ246" s="576"/>
      <c r="AK246" s="576"/>
      <c r="AL246" s="576"/>
      <c r="AM246" s="576"/>
      <c r="AN246" s="1240"/>
      <c r="AO246" s="1240"/>
      <c r="AP246" s="576"/>
      <c r="AQ246" s="576"/>
      <c r="AR246" s="113"/>
      <c r="AS246" s="113"/>
      <c r="AT246" s="113"/>
      <c r="AU246" s="113"/>
      <c r="AV246" s="113"/>
      <c r="AW246" s="113"/>
      <c r="AX246" s="113"/>
      <c r="AY246" s="113"/>
      <c r="AZ246" s="113"/>
      <c r="BA246" s="113"/>
      <c r="BB246" s="113"/>
      <c r="BC246" s="113"/>
      <c r="BD246" s="113"/>
    </row>
    <row r="247" spans="1:56" s="418" customFormat="1" ht="12.75" customHeight="1" outlineLevel="1">
      <c r="A247" s="113"/>
      <c r="B247" s="2694" t="s">
        <v>478</v>
      </c>
      <c r="C247" s="2695"/>
      <c r="D247" s="208">
        <v>21</v>
      </c>
      <c r="E247" s="801"/>
      <c r="F247" s="801"/>
      <c r="G247" s="801"/>
      <c r="H247" s="801"/>
      <c r="I247" s="801"/>
      <c r="J247" s="801"/>
      <c r="K247" s="632"/>
      <c r="L247" s="801"/>
      <c r="M247" s="175"/>
      <c r="N247" s="576"/>
      <c r="O247" s="576"/>
      <c r="P247" s="113"/>
      <c r="Q247" s="113"/>
      <c r="R247" s="113"/>
      <c r="S247" s="113"/>
      <c r="T247" s="113"/>
      <c r="U247" s="113"/>
      <c r="V247" s="113"/>
      <c r="W247" s="113"/>
      <c r="X247" s="113"/>
      <c r="Y247" s="817"/>
      <c r="Z247" s="817"/>
      <c r="AA247" s="113"/>
      <c r="AB247" s="113"/>
      <c r="AC247" s="113"/>
      <c r="AE247" s="113"/>
      <c r="AF247" s="576"/>
      <c r="AG247" s="576"/>
      <c r="AH247" s="576"/>
      <c r="AI247" s="576"/>
      <c r="AJ247" s="576"/>
      <c r="AK247" s="576"/>
      <c r="AL247" s="576"/>
      <c r="AM247" s="576"/>
      <c r="AN247" s="1240"/>
      <c r="AO247" s="1240"/>
      <c r="AP247" s="576"/>
      <c r="AQ247" s="576"/>
      <c r="AR247" s="113"/>
      <c r="AS247" s="113"/>
      <c r="AT247" s="113"/>
      <c r="AU247" s="113"/>
      <c r="AV247" s="113"/>
      <c r="AW247" s="113"/>
      <c r="AX247" s="113"/>
      <c r="AY247" s="113"/>
      <c r="AZ247" s="113"/>
      <c r="BA247" s="113"/>
      <c r="BB247" s="113"/>
      <c r="BC247" s="113"/>
      <c r="BD247" s="113"/>
    </row>
    <row r="248" spans="1:56" s="418" customFormat="1" ht="12.75" customHeight="1" outlineLevel="1">
      <c r="A248" s="113"/>
      <c r="B248" s="2694" t="s">
        <v>479</v>
      </c>
      <c r="C248" s="2695"/>
      <c r="D248" s="208">
        <v>22</v>
      </c>
      <c r="E248" s="801"/>
      <c r="F248" s="801"/>
      <c r="G248" s="801"/>
      <c r="H248" s="801"/>
      <c r="I248" s="801"/>
      <c r="J248" s="801"/>
      <c r="K248" s="632"/>
      <c r="L248" s="801"/>
      <c r="M248" s="175"/>
      <c r="N248" s="576"/>
      <c r="O248" s="576"/>
      <c r="P248" s="113"/>
      <c r="Q248" s="113"/>
      <c r="R248" s="113"/>
      <c r="S248" s="113"/>
      <c r="T248" s="113"/>
      <c r="U248" s="113"/>
      <c r="V248" s="113"/>
      <c r="W248" s="113"/>
      <c r="X248" s="113"/>
      <c r="Y248" s="817"/>
      <c r="Z248" s="817"/>
      <c r="AA248" s="113"/>
      <c r="AB248" s="113"/>
      <c r="AC248" s="113"/>
      <c r="AE248" s="113"/>
      <c r="AF248" s="576"/>
      <c r="AG248" s="576"/>
      <c r="AH248" s="576"/>
      <c r="AI248" s="576"/>
      <c r="AJ248" s="576"/>
      <c r="AK248" s="576"/>
      <c r="AL248" s="576"/>
      <c r="AM248" s="576"/>
      <c r="AN248" s="1240"/>
      <c r="AO248" s="1240"/>
      <c r="AP248" s="576"/>
      <c r="AQ248" s="576"/>
      <c r="AR248" s="113"/>
      <c r="AS248" s="113"/>
      <c r="AT248" s="113"/>
      <c r="AU248" s="113"/>
      <c r="AV248" s="113"/>
      <c r="AW248" s="113"/>
      <c r="AX248" s="113"/>
      <c r="AY248" s="113"/>
      <c r="AZ248" s="113"/>
      <c r="BA248" s="113"/>
      <c r="BB248" s="113"/>
      <c r="BC248" s="113"/>
      <c r="BD248" s="113"/>
    </row>
    <row r="249" spans="1:56" s="418" customFormat="1" ht="12.75" customHeight="1" outlineLevel="1">
      <c r="A249" s="113"/>
      <c r="B249" s="2694" t="s">
        <v>449</v>
      </c>
      <c r="C249" s="2695"/>
      <c r="D249" s="208">
        <v>23</v>
      </c>
      <c r="E249" s="801">
        <f>SUMIF($E$9:$E$54,Utilitaires!$C$574,AE9:AE54)+SUMIF($E$9:$E$54,Utilitaires!$C$574,AF9:AF54)+SUMIF($E$9:$E$54,Utilitaires!$C$578,AE9:AE54)+SUMIF($E$9:$E$54,Utilitaires!$C$578,AF9:AF54)+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(1+$G190)*SUMIF($E$180:$E$184,Utilitaires!$C$574,AE180:AE184)+(1+$G190)*SUMIF($E$180:$E$184,Utilitaires!$C$578,AF180:AF184)+
(1+$G190)*SUMIF($E$180:$E$184,Utilitaires!$C$578,AE180:AE184)+(1+$G190)*SUMIF($E$180:$E$184,Utilitaires!$C$574,AF180:AF184)</f>
        <v>0</v>
      </c>
      <c r="F249" s="801">
        <f>SUMIF($E$9:$E$54,Utilitaires!$C$574,AG9:AG54)+SUMIF($E$9:$E$54,Utilitaires!$C$574,AH9:AH54)+SUMIF($E$9:$E$54,Utilitaires!$C$578,AG9:AG54)+SUMIF($E$9:$E$54,Utilitaires!$C$578,AH9:AH54)+SUMIF($E$59:$E$77,Utilitaires!$C$574,AF59:AF77)+SUMIF($E$59:$E$77,Utilitaires!$C$578,AF59:AF77)+SUMIF($E$82:$E$109,Utilitaires!$C$574,AG82:AG109)+SUMIF($E$82:$E$109,Utilitaires!$C$578,AG82:AG109)+SUMIF($E$82:$E$109,Utilitaires!$C$574,AH82:AH109)+SUMIF($E$82:$E$109,Utilitaires!$C$578,AH82:AH109)+(1+$G190)*SUMIF($E$111:$E$174,Utilitaires!$C$574,AF111:AF174)+(1+$G190)*SUMIF($E$111:$E$174,Utilitaires!$C$578,AF111:AF174)+(1+$G190)*SUMIF($E$180:$E$184,Utilitaires!$C$574,AG180:AG184)+(1+$G190)*SUMIF($E$180:$E$184,Utilitaires!$C$578,AH180:AH184)+(1+$G190)*SUMIF($E$180:$E$184,Utilitaires!$C$578,AG180:AG184)+(1+$G190)*SUMIF($E$180:$E$184,Utilitaires!$C$574,AH180:AH184)</f>
        <v>0</v>
      </c>
      <c r="G249" s="801">
        <f>SUMIF($E$9:$E$54,Utilitaires!$C$574,AI9:AI54)+SUMIF($E$9:$E$54,Utilitaires!$C$574,AJ9:AJ54)+SUMIF($E$9:$E$54,Utilitaires!$C$578,AI9:AI54)+SUMIF($E$9:$E$54,Utilitaires!$C$578,AJ9:AJ54)+SUMIF($E$59:$E$77,Utilitaires!$C$574,AG59:AG77)+SUMIF($E$59:$E$77,Utilitaires!$C$578,AG59:AG77)+SUMIF($E$82:$E$109,Utilitaires!$C$574,AI82:AI109)+SUMIF($E$82:$E$109,Utilitaires!$C$578,AI82:AI109)+SUMIF($E$82:$E$109,Utilitaires!$C$574,AJ82:AJ109)+SUMIF($E$82:$E$109,Utilitaires!$C$578,AJ82:AJ109)+(1+$G190)*SUMIF($E$111:$E$174,Utilitaires!$C$574,AG111:AG174)+(1+$G190)*SUMIF($E$111:$E$174,Utilitaires!$C$578,AG111:AG174)+(1+$G190)*SUMIF($E$180:$E$184,Utilitaires!$C$574,AI180:AI184)+(1+$G190)*SUMIF($E$180:$E$184,Utilitaires!$C$578,AI180:AI184)+(1+$G190)*SUMIF($E$180:$E$184,Utilitaires!$C$578,AJ180:AJ184)+(1+$G190)*SUMIF($E$180:$E$184,Utilitaires!$C$574,AJ180:AJ184)</f>
        <v>0</v>
      </c>
      <c r="H249" s="801">
        <f>SUMIF($E$9:$E$54,Utilitaires!$C$574,AK9:AK54)+SUMIF($E$9:$E$54,Utilitaires!$C$574,AL9:AL54)+SUMIF($E$9:$E$54,Utilitaires!$C$578,AK9:AK54)+SUMIF($E$9:$E$54,Utilitaires!$C$578,AL9:AL54)+SUMIF($E$59:$E$77,Utilitaires!$C$574,AH59:AH77)+SUMIF($E$59:$E$77,Utilitaires!$C$578,AH59:AH77)+SUMIF($E$82:$E$109,Utilitaires!$C$574,AK82:AK109)+SUMIF($E$82:$E$109,Utilitaires!$C$578,AK82:AK109)+SUMIF($E$82:$E$109,Utilitaires!$C$574,AL82:AL109)+SUMIF($E$82:$E$109,Utilitaires!$C$578,AL82:AL109)+(1+$G190)*SUMIF($E$111:$E$174,Utilitaires!$C$574,AH111:AH174)+(1+$G190)*SUMIF($E$111:$E$174,Utilitaires!$C$578,AH111:AH174)</f>
        <v>0</v>
      </c>
      <c r="I249" s="801">
        <f>SUM(E249:H249)</f>
        <v>0</v>
      </c>
      <c r="J249" s="801">
        <f>SUMIF($E$9:$E$54,Utilitaires!$C$574,AO9:AO54)+SUMIF($E$9:$E$54,Utilitaires!$C$574,AP9:AP54)+SUMIF($E$9:$E$54,Utilitaires!$C$578,AO9:AO54)+SUMIF($E$9:$E$54,Utilitaires!$C$578,AP9:AP54)+SUMIF($E$59:$E$77,Utilitaires!$C$574,AJ59:AJ77)+SUMIF($E$59:$E$77,Utilitaires!$C$578,AJ59:AJ77)+SUMIF($E$97:$E$109,Utilitaires!$C$574,AO97:AO109)+SUMIF($E$97:$E$109,Utilitaires!$C$578,AO97:AO109)+SUMIF($E$97:$E$109,Utilitaires!$C$574,AP97:AP109)+SUMIF($E$97:$E$109,Utilitaires!$C$578,AP97:AP109)+(1+$G190)*SUMIF($E$111:$E$174,Utilitaires!$C$574,AJ111:AJ174)+(1+$G190)*SUMIF($E$111:$E$174,Utilitaires!$C$578,AJ111:AJ174)</f>
        <v>0</v>
      </c>
      <c r="K249" s="632">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+SUMPRODUCT(($E$111:$E$174=Utilitaires!$C$574)*1,AC111:AC174,AC111:AC174)+SUMPRODUCT(($E$111:$E$174=Utilitaires!$C$578)*1,AC111:AC174,AC111:AC174)))</f>
        <v>0</v>
      </c>
      <c r="L249" s="801"/>
      <c r="M249" s="576"/>
      <c r="N249" s="576"/>
      <c r="O249" s="576"/>
      <c r="P249" s="113"/>
      <c r="Q249" s="113"/>
      <c r="R249" s="113"/>
      <c r="S249" s="113"/>
      <c r="T249" s="113"/>
      <c r="U249" s="113"/>
      <c r="V249" s="113"/>
      <c r="W249" s="113"/>
      <c r="X249" s="113"/>
      <c r="Y249" s="817"/>
      <c r="Z249" s="817"/>
      <c r="AA249" s="113"/>
      <c r="AB249" s="113"/>
      <c r="AC249" s="113"/>
      <c r="AE249" s="113"/>
      <c r="AF249" s="576"/>
      <c r="AG249" s="576"/>
      <c r="AH249" s="576"/>
      <c r="AI249" s="576"/>
      <c r="AJ249" s="576"/>
      <c r="AK249" s="576"/>
      <c r="AL249" s="576"/>
      <c r="AM249" s="576"/>
      <c r="AN249" s="1240"/>
      <c r="AO249" s="1240"/>
      <c r="AP249" s="576"/>
      <c r="AQ249" s="576"/>
      <c r="AR249" s="113"/>
      <c r="AS249" s="113"/>
      <c r="AT249" s="113"/>
      <c r="AU249" s="113"/>
      <c r="AV249" s="113"/>
      <c r="AW249" s="113"/>
      <c r="AX249" s="113"/>
      <c r="AY249" s="113"/>
      <c r="AZ249" s="113"/>
      <c r="BA249" s="113"/>
      <c r="BB249" s="113"/>
      <c r="BC249" s="113"/>
      <c r="BD249" s="113"/>
    </row>
    <row r="250" spans="1:56" s="418" customFormat="1" ht="12.75" customHeight="1" outlineLevel="1">
      <c r="A250" s="113"/>
      <c r="B250" s="2706"/>
      <c r="C250" s="2707"/>
      <c r="D250" s="135" t="s">
        <v>439</v>
      </c>
      <c r="E250" s="642">
        <f t="shared" ref="E250:J250" si="40">SUM(E234:E249)</f>
        <v>0</v>
      </c>
      <c r="F250" s="642">
        <f t="shared" si="40"/>
        <v>0</v>
      </c>
      <c r="G250" s="642">
        <f t="shared" si="40"/>
        <v>0</v>
      </c>
      <c r="H250" s="642">
        <f t="shared" si="40"/>
        <v>0</v>
      </c>
      <c r="I250" s="642">
        <f t="shared" si="40"/>
        <v>0</v>
      </c>
      <c r="J250" s="642">
        <f t="shared" si="40"/>
        <v>0</v>
      </c>
      <c r="K250" s="635">
        <f>SQRT(SUMSQ(K234:K249))</f>
        <v>0</v>
      </c>
      <c r="L250" s="642">
        <f>SUM(L234:L249)</f>
        <v>0</v>
      </c>
      <c r="M250" s="933"/>
      <c r="N250" s="933"/>
      <c r="O250" s="933"/>
      <c r="P250" s="113"/>
      <c r="Q250" s="113"/>
      <c r="R250" s="113"/>
      <c r="S250" s="113"/>
      <c r="T250" s="113"/>
      <c r="U250" s="113"/>
      <c r="V250" s="113"/>
      <c r="W250" s="113"/>
      <c r="X250" s="113"/>
      <c r="Y250" s="817"/>
      <c r="Z250" s="817"/>
      <c r="AA250" s="113"/>
      <c r="AB250" s="113"/>
      <c r="AC250" s="113"/>
      <c r="AE250" s="113"/>
      <c r="AF250" s="576"/>
      <c r="AG250" s="576"/>
      <c r="AH250" s="576"/>
      <c r="AI250" s="576"/>
      <c r="AJ250" s="576"/>
      <c r="AK250" s="576"/>
      <c r="AL250" s="576"/>
      <c r="AM250" s="576"/>
      <c r="AN250" s="1240"/>
      <c r="AO250" s="1240"/>
      <c r="AP250" s="576"/>
      <c r="AQ250" s="576"/>
      <c r="AR250" s="113"/>
      <c r="AS250" s="113"/>
      <c r="AT250" s="113"/>
      <c r="AU250" s="113"/>
      <c r="AV250" s="113"/>
      <c r="AW250" s="113"/>
      <c r="AX250" s="113"/>
      <c r="AY250" s="113"/>
      <c r="AZ250" s="113"/>
      <c r="BA250" s="113"/>
      <c r="BB250" s="113"/>
      <c r="BC250" s="113"/>
      <c r="BD250" s="113"/>
    </row>
    <row r="251" spans="1:56" s="418" customFormat="1" ht="14.25" customHeight="1" outlineLevel="1">
      <c r="A251" s="113"/>
      <c r="B251" s="137"/>
      <c r="C251" s="137"/>
      <c r="D251" s="137"/>
      <c r="E251" s="137"/>
      <c r="F251" s="138"/>
      <c r="G251" s="138"/>
      <c r="H251" s="138"/>
      <c r="I251" s="137"/>
      <c r="J251" s="137"/>
      <c r="K251" s="138"/>
      <c r="L251" s="138"/>
      <c r="M251" s="138"/>
      <c r="N251" s="138"/>
      <c r="O251" s="113"/>
      <c r="P251" s="113"/>
      <c r="Q251" s="113"/>
      <c r="R251" s="113"/>
      <c r="S251" s="113"/>
      <c r="T251" s="113"/>
      <c r="U251" s="113"/>
      <c r="V251" s="113"/>
      <c r="W251" s="113"/>
      <c r="X251" s="113"/>
      <c r="Y251" s="817"/>
      <c r="Z251" s="817"/>
      <c r="AA251" s="113"/>
      <c r="AB251" s="113"/>
      <c r="AC251" s="113"/>
      <c r="AE251" s="113"/>
      <c r="AF251" s="576"/>
      <c r="AG251" s="576"/>
      <c r="AH251" s="576"/>
      <c r="AI251" s="576"/>
      <c r="AJ251" s="576"/>
      <c r="AK251" s="576"/>
      <c r="AL251" s="576"/>
      <c r="AM251" s="576"/>
      <c r="AN251" s="1240"/>
      <c r="AO251" s="1240"/>
      <c r="AP251" s="576"/>
      <c r="AQ251" s="576"/>
      <c r="AR251" s="113"/>
      <c r="AS251" s="113"/>
      <c r="AT251" s="113"/>
      <c r="AU251" s="113"/>
      <c r="AV251" s="113"/>
      <c r="AW251" s="113"/>
      <c r="AX251" s="113"/>
      <c r="AY251" s="113"/>
      <c r="AZ251" s="113"/>
      <c r="BA251" s="113"/>
      <c r="BB251" s="113"/>
      <c r="BC251" s="113"/>
      <c r="BD251" s="113"/>
    </row>
    <row r="252" spans="1:56" s="418" customFormat="1" collapsed="1">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817"/>
      <c r="Z252" s="817"/>
      <c r="AA252" s="113"/>
      <c r="AB252" s="113"/>
      <c r="AC252" s="113"/>
      <c r="AE252" s="113"/>
      <c r="AF252" s="576"/>
      <c r="AG252" s="576"/>
      <c r="AH252" s="576"/>
      <c r="AI252" s="576"/>
      <c r="AJ252" s="576"/>
      <c r="AK252" s="576"/>
      <c r="AL252" s="576"/>
      <c r="AM252" s="576"/>
      <c r="AN252" s="1240"/>
      <c r="AO252" s="1240"/>
      <c r="AP252" s="576"/>
      <c r="AQ252" s="576"/>
      <c r="AR252" s="113"/>
      <c r="AS252" s="113"/>
      <c r="AT252" s="113"/>
      <c r="AU252" s="113"/>
      <c r="AV252" s="113"/>
      <c r="AW252" s="113"/>
      <c r="AX252" s="113"/>
      <c r="AY252" s="113"/>
      <c r="AZ252" s="113"/>
      <c r="BA252" s="113"/>
      <c r="BB252" s="113"/>
      <c r="BC252" s="113"/>
      <c r="BD252" s="113"/>
    </row>
    <row r="253" spans="1:56" s="418" customFormat="1" ht="15.6" collapsed="1">
      <c r="A253" s="113"/>
      <c r="B253" s="2698" t="s">
        <v>721</v>
      </c>
      <c r="C253" s="2699"/>
      <c r="D253" s="2699"/>
      <c r="E253" s="2699"/>
      <c r="F253" s="2699"/>
      <c r="G253" s="2699"/>
      <c r="H253" s="2699"/>
      <c r="I253" s="2699"/>
      <c r="J253" s="2699"/>
      <c r="K253" s="2699"/>
      <c r="L253" s="2699"/>
      <c r="M253" s="2699"/>
      <c r="N253" s="2699"/>
      <c r="O253" s="2700"/>
      <c r="P253" s="113"/>
      <c r="Q253" s="113"/>
      <c r="R253" s="113"/>
      <c r="S253" s="113"/>
      <c r="T253" s="113"/>
      <c r="U253" s="113"/>
      <c r="V253" s="113"/>
      <c r="W253" s="113"/>
      <c r="X253" s="113"/>
      <c r="Y253" s="817"/>
      <c r="Z253" s="817"/>
      <c r="AA253" s="113"/>
      <c r="AB253" s="113"/>
      <c r="AC253" s="113"/>
      <c r="AE253" s="113"/>
      <c r="AF253" s="576"/>
      <c r="AG253" s="576"/>
      <c r="AH253" s="576"/>
      <c r="AI253" s="576"/>
      <c r="AJ253" s="576"/>
      <c r="AK253" s="576"/>
      <c r="AL253" s="576"/>
      <c r="AM253" s="576"/>
      <c r="AN253" s="1240"/>
      <c r="AO253" s="1240"/>
      <c r="AP253" s="576"/>
      <c r="AQ253" s="576"/>
      <c r="AR253" s="113"/>
      <c r="AS253" s="576"/>
      <c r="AT253" s="576"/>
      <c r="AU253" s="576"/>
      <c r="AV253" s="576"/>
      <c r="AW253" s="576"/>
      <c r="AX253" s="576"/>
      <c r="AY253" s="113"/>
      <c r="AZ253" s="113"/>
      <c r="BA253" s="113"/>
      <c r="BB253" s="113"/>
      <c r="BC253" s="113"/>
      <c r="BD253" s="113"/>
    </row>
    <row r="254" spans="1:56" s="418" customFormat="1" hidden="1" outlineLevel="1">
      <c r="A254" s="113"/>
      <c r="B254" s="113"/>
      <c r="C254" s="113"/>
      <c r="D254" s="113"/>
      <c r="E254" s="113"/>
      <c r="F254" s="113"/>
      <c r="G254" s="113"/>
      <c r="H254" s="113"/>
      <c r="I254" s="113"/>
      <c r="J254" s="113"/>
      <c r="K254" s="113"/>
      <c r="L254" s="113"/>
      <c r="M254" s="113"/>
      <c r="N254" s="113"/>
      <c r="O254" s="113"/>
      <c r="P254" s="113"/>
      <c r="Q254" s="908"/>
      <c r="R254" s="908"/>
      <c r="S254" s="113"/>
      <c r="T254" s="113"/>
      <c r="U254" s="113"/>
      <c r="V254" s="113"/>
      <c r="W254" s="113"/>
      <c r="X254" s="113"/>
      <c r="Y254" s="817"/>
      <c r="Z254" s="817"/>
      <c r="AA254" s="113"/>
      <c r="AB254" s="113"/>
      <c r="AC254" s="113"/>
      <c r="AE254" s="113"/>
      <c r="AF254" s="576"/>
      <c r="AG254" s="576"/>
      <c r="AH254" s="576"/>
      <c r="AI254" s="576"/>
      <c r="AJ254" s="576"/>
      <c r="AK254" s="576"/>
      <c r="AL254" s="576"/>
      <c r="AM254" s="576"/>
      <c r="AN254" s="1240"/>
      <c r="AO254" s="1240"/>
      <c r="AP254" s="576"/>
      <c r="AQ254" s="576"/>
      <c r="AR254" s="113"/>
      <c r="AS254" s="576"/>
      <c r="AT254" s="576"/>
      <c r="AU254" s="576"/>
      <c r="AV254" s="576"/>
      <c r="AW254" s="576"/>
      <c r="AX254" s="576"/>
      <c r="AY254" s="113"/>
      <c r="AZ254" s="113"/>
      <c r="BA254" s="113"/>
      <c r="BB254" s="113"/>
      <c r="BC254" s="113"/>
      <c r="BD254" s="113"/>
    </row>
    <row r="255" spans="1:56" s="418" customFormat="1" ht="38.25" hidden="1" customHeight="1" outlineLevel="1">
      <c r="A255" s="113"/>
      <c r="B255" s="205"/>
      <c r="C255" s="205"/>
      <c r="D255" s="205"/>
      <c r="E255" s="2701" t="s">
        <v>448</v>
      </c>
      <c r="F255" s="2702"/>
      <c r="G255" s="2702"/>
      <c r="H255" s="2702"/>
      <c r="I255" s="2702"/>
      <c r="J255" s="2702"/>
      <c r="K255" s="2702"/>
      <c r="L255" s="2702"/>
      <c r="M255" s="2702"/>
      <c r="N255" s="2703"/>
      <c r="O255" s="1821" t="s">
        <v>440</v>
      </c>
      <c r="P255" s="113"/>
      <c r="Q255" s="908"/>
      <c r="R255" s="908"/>
      <c r="S255" s="113"/>
      <c r="T255" s="113"/>
      <c r="U255" s="113"/>
      <c r="V255" s="113"/>
      <c r="W255" s="113"/>
      <c r="X255" s="113"/>
      <c r="Y255" s="817"/>
      <c r="Z255" s="817"/>
      <c r="AA255" s="113"/>
      <c r="AB255" s="113"/>
      <c r="AC255" s="113"/>
      <c r="AE255" s="113"/>
      <c r="AF255" s="576"/>
      <c r="AG255" s="576"/>
      <c r="AH255" s="576"/>
      <c r="AI255" s="576"/>
      <c r="AJ255" s="576"/>
      <c r="AK255" s="576"/>
      <c r="AL255" s="576"/>
      <c r="AM255" s="576"/>
      <c r="AN255" s="1240"/>
      <c r="AO255" s="1240"/>
      <c r="AP255" s="576"/>
      <c r="AQ255" s="576"/>
      <c r="AR255" s="113"/>
      <c r="AS255" s="576"/>
      <c r="AT255" s="576"/>
      <c r="AU255" s="576"/>
      <c r="AV255" s="576"/>
      <c r="AW255" s="576"/>
      <c r="AX255" s="576"/>
      <c r="AY255" s="113"/>
      <c r="AZ255" s="113"/>
      <c r="BA255" s="113"/>
      <c r="BB255" s="113"/>
      <c r="BC255" s="113"/>
      <c r="BD255" s="113"/>
    </row>
    <row r="256" spans="1:56" s="418" customFormat="1" ht="25.5" hidden="1" customHeight="1" outlineLevel="1">
      <c r="A256" s="113"/>
      <c r="B256" s="2701" t="s">
        <v>438</v>
      </c>
      <c r="C256" s="2703"/>
      <c r="D256" s="867" t="s">
        <v>458</v>
      </c>
      <c r="E256" s="866" t="s">
        <v>853</v>
      </c>
      <c r="F256" s="866" t="s">
        <v>854</v>
      </c>
      <c r="G256" s="866" t="s">
        <v>855</v>
      </c>
      <c r="H256" s="866" t="s">
        <v>858</v>
      </c>
      <c r="I256" s="866" t="s">
        <v>859</v>
      </c>
      <c r="J256" s="866" t="s">
        <v>860</v>
      </c>
      <c r="K256" s="866" t="s">
        <v>852</v>
      </c>
      <c r="L256" s="867" t="s">
        <v>513</v>
      </c>
      <c r="M256" s="866" t="s">
        <v>856</v>
      </c>
      <c r="N256" s="866" t="s">
        <v>514</v>
      </c>
      <c r="O256" s="867" t="s">
        <v>513</v>
      </c>
      <c r="P256" s="113"/>
      <c r="Q256" s="908"/>
      <c r="R256" s="908"/>
      <c r="S256" s="113"/>
      <c r="T256" s="113"/>
      <c r="U256" s="113"/>
      <c r="V256" s="113"/>
      <c r="W256" s="113"/>
      <c r="X256" s="113"/>
      <c r="Y256" s="113"/>
      <c r="Z256" s="113"/>
      <c r="AA256" s="113"/>
      <c r="AB256" s="113"/>
      <c r="AC256" s="817"/>
      <c r="AD256" s="1638"/>
      <c r="AE256" s="113"/>
      <c r="AF256" s="113"/>
      <c r="AG256" s="113"/>
      <c r="AH256" s="113"/>
      <c r="AI256" s="576"/>
      <c r="AJ256" s="576"/>
      <c r="AK256" s="576"/>
      <c r="AL256" s="576"/>
      <c r="AM256" s="576"/>
      <c r="AN256" s="1240"/>
      <c r="AO256" s="1240"/>
      <c r="AP256" s="576"/>
      <c r="AQ256" s="576"/>
      <c r="AR256" s="576"/>
      <c r="AS256" s="576"/>
      <c r="AT256" s="576"/>
      <c r="AU256" s="576"/>
      <c r="AV256" s="576"/>
      <c r="AW256" s="576"/>
      <c r="AX256" s="576"/>
      <c r="AY256" s="113"/>
      <c r="AZ256" s="113"/>
      <c r="BA256" s="113"/>
      <c r="BB256" s="113"/>
      <c r="BC256" s="113"/>
      <c r="BD256" s="113"/>
    </row>
    <row r="257" spans="1:56" s="418" customFormat="1" ht="12.75" hidden="1" customHeight="1" outlineLevel="1">
      <c r="A257" s="113"/>
      <c r="B257" s="2704" t="s">
        <v>459</v>
      </c>
      <c r="C257" s="2705"/>
      <c r="D257" s="861" t="s">
        <v>727</v>
      </c>
      <c r="E257" s="855">
        <f>SUMIF($E$9:$E$52,Utilitaires!$C$572,AF9:AF52)+SUMIF($E$9:$E$52,Utilitaires!$C$577,AF9:AF52)</f>
        <v>0</v>
      </c>
      <c r="F257" s="855">
        <f>SUMIF($E$9:$E$52,Utilitaires!$C$572,AH9:AH52)+SUMIF($E$9:$E$52,Utilitaires!$C$577,AH9:AH52)</f>
        <v>0</v>
      </c>
      <c r="G257" s="855">
        <f>SUMIF($E$9:$E$52,Utilitaires!$C$572,AJ9:AJ52)+SUMIF($E$9:$E$52,Utilitaires!$C$577,AJ9:AJ52)</f>
        <v>0</v>
      </c>
      <c r="H257" s="855">
        <v>0</v>
      </c>
      <c r="I257" s="855">
        <v>0</v>
      </c>
      <c r="J257" s="855">
        <v>0</v>
      </c>
      <c r="K257" s="855">
        <v>0</v>
      </c>
      <c r="L257" s="864">
        <f>SUM(E257:K257)</f>
        <v>0</v>
      </c>
      <c r="M257" s="853">
        <f ca="1">SUMIF($E$9:$E$52,Utilitaires!$C$572,AP9:AP40)+SUMIF($E$9:$E$52,Utilitaires!$C$577,AP9:AP40)</f>
        <v>0</v>
      </c>
      <c r="N257" s="858">
        <f>SQRT(SUMPRODUCT(($E$9:$E$52=Utilitaires!$C$572)*1,AA9:AA52,AA9:AA52)+SUMPRODUCT(($E$9:$E$52=Utilitaires!$C$577)*1,AA9:AA52,AA9:AA52))</f>
        <v>0</v>
      </c>
      <c r="O257" s="857"/>
      <c r="P257" s="113"/>
      <c r="Q257" s="113"/>
      <c r="R257" s="113"/>
      <c r="S257" s="113"/>
      <c r="T257" s="113"/>
      <c r="U257" s="113"/>
      <c r="V257" s="113"/>
      <c r="W257" s="113"/>
      <c r="X257" s="113"/>
      <c r="Y257" s="113"/>
      <c r="Z257" s="113"/>
      <c r="AA257" s="113"/>
      <c r="AB257" s="113"/>
      <c r="AC257" s="817"/>
      <c r="AD257" s="1638"/>
      <c r="AE257" s="113"/>
      <c r="AF257" s="113"/>
      <c r="AG257" s="113"/>
      <c r="AH257" s="113"/>
      <c r="AI257" s="576"/>
      <c r="AJ257" s="576"/>
      <c r="AK257" s="576"/>
      <c r="AL257" s="576"/>
      <c r="AM257" s="576"/>
      <c r="AN257" s="1240"/>
      <c r="AO257" s="1240"/>
      <c r="AP257" s="576"/>
      <c r="AQ257" s="576"/>
      <c r="AR257" s="576"/>
      <c r="AS257" s="576"/>
      <c r="AT257" s="576"/>
      <c r="AU257" s="576"/>
      <c r="AV257" s="576"/>
      <c r="AW257" s="576"/>
      <c r="AX257" s="576"/>
      <c r="AY257" s="113"/>
      <c r="AZ257" s="113"/>
      <c r="BA257" s="113"/>
      <c r="BB257" s="113"/>
      <c r="BC257" s="113"/>
      <c r="BD257" s="113"/>
    </row>
    <row r="258" spans="1:56" s="418" customFormat="1" ht="12.75" hidden="1" customHeight="1" outlineLevel="1">
      <c r="A258" s="113"/>
      <c r="B258" s="2704" t="s">
        <v>722</v>
      </c>
      <c r="C258" s="2705"/>
      <c r="D258" s="862" t="s">
        <v>728</v>
      </c>
      <c r="E258" s="855"/>
      <c r="F258" s="855"/>
      <c r="G258" s="855"/>
      <c r="H258" s="855"/>
      <c r="I258" s="855"/>
      <c r="J258" s="855"/>
      <c r="K258" s="855"/>
      <c r="L258" s="864"/>
      <c r="M258" s="853"/>
      <c r="N258" s="858"/>
      <c r="O258" s="857"/>
      <c r="P258" s="113"/>
      <c r="Q258" s="113"/>
      <c r="R258" s="113"/>
      <c r="S258" s="113"/>
      <c r="T258" s="113"/>
      <c r="U258" s="113"/>
      <c r="V258" s="113"/>
      <c r="W258" s="113"/>
      <c r="X258" s="113"/>
      <c r="Y258" s="113"/>
      <c r="Z258" s="113"/>
      <c r="AA258" s="113"/>
      <c r="AB258" s="113"/>
      <c r="AC258" s="817"/>
      <c r="AD258" s="1638"/>
      <c r="AE258" s="113"/>
      <c r="AF258" s="113"/>
      <c r="AG258" s="113"/>
      <c r="AH258" s="113"/>
      <c r="AI258" s="576"/>
      <c r="AJ258" s="576"/>
      <c r="AK258" s="576"/>
      <c r="AL258" s="576"/>
      <c r="AM258" s="576"/>
      <c r="AN258" s="1240"/>
      <c r="AO258" s="1240"/>
      <c r="AP258" s="576"/>
      <c r="AQ258" s="576"/>
      <c r="AR258" s="576"/>
      <c r="AS258" s="576"/>
      <c r="AT258" s="576"/>
      <c r="AU258" s="576"/>
      <c r="AV258" s="576"/>
      <c r="AW258" s="576"/>
      <c r="AX258" s="576"/>
      <c r="AY258" s="113"/>
      <c r="AZ258" s="113"/>
      <c r="BA258" s="113"/>
      <c r="BB258" s="113"/>
      <c r="BC258" s="113"/>
      <c r="BD258" s="113"/>
    </row>
    <row r="259" spans="1:56" s="418" customFormat="1" ht="12.75" hidden="1" customHeight="1" outlineLevel="1">
      <c r="A259" s="113"/>
      <c r="B259" s="2704" t="s">
        <v>723</v>
      </c>
      <c r="C259" s="2705"/>
      <c r="D259" s="862" t="s">
        <v>729</v>
      </c>
      <c r="E259" s="855"/>
      <c r="F259" s="855"/>
      <c r="G259" s="855"/>
      <c r="H259" s="855"/>
      <c r="I259" s="855"/>
      <c r="J259" s="855"/>
      <c r="K259" s="855"/>
      <c r="L259" s="864"/>
      <c r="M259" s="853"/>
      <c r="N259" s="858"/>
      <c r="O259" s="857"/>
      <c r="P259" s="576"/>
      <c r="Q259" s="113"/>
      <c r="R259" s="113"/>
      <c r="S259" s="113"/>
      <c r="T259" s="113"/>
      <c r="U259" s="113"/>
      <c r="V259" s="113"/>
      <c r="W259" s="113"/>
      <c r="X259" s="113"/>
      <c r="Y259" s="113"/>
      <c r="Z259" s="113"/>
      <c r="AA259" s="113"/>
      <c r="AB259" s="113"/>
      <c r="AC259" s="817"/>
      <c r="AD259" s="1638"/>
      <c r="AE259" s="113"/>
      <c r="AF259" s="113"/>
      <c r="AG259" s="113"/>
      <c r="AH259" s="113"/>
      <c r="AI259" s="576"/>
      <c r="AJ259" s="576"/>
      <c r="AK259" s="576"/>
      <c r="AL259" s="576"/>
      <c r="AM259" s="576"/>
      <c r="AN259" s="1240"/>
      <c r="AO259" s="1240"/>
      <c r="AP259" s="576"/>
      <c r="AQ259" s="576"/>
      <c r="AR259" s="576"/>
      <c r="AS259" s="576"/>
      <c r="AT259" s="576"/>
      <c r="AU259" s="576"/>
      <c r="AV259" s="576"/>
      <c r="AW259" s="576"/>
      <c r="AX259" s="576"/>
      <c r="AY259" s="113"/>
      <c r="AZ259" s="113"/>
      <c r="BA259" s="113"/>
      <c r="BB259" s="113"/>
      <c r="BC259" s="113"/>
      <c r="BD259" s="113"/>
    </row>
    <row r="260" spans="1:56" s="418" customFormat="1" ht="12.75" hidden="1" customHeight="1" outlineLevel="1">
      <c r="A260" s="113"/>
      <c r="B260" s="2704" t="s">
        <v>462</v>
      </c>
      <c r="C260" s="2705"/>
      <c r="D260" s="862" t="s">
        <v>730</v>
      </c>
      <c r="E260" s="855"/>
      <c r="F260" s="855"/>
      <c r="G260" s="855"/>
      <c r="H260" s="855"/>
      <c r="I260" s="855"/>
      <c r="J260" s="855"/>
      <c r="K260" s="855"/>
      <c r="L260" s="864"/>
      <c r="M260" s="853"/>
      <c r="N260" s="858"/>
      <c r="O260" s="857"/>
      <c r="P260" s="113"/>
      <c r="Q260" s="113"/>
      <c r="R260" s="113"/>
      <c r="S260" s="113"/>
      <c r="T260" s="113"/>
      <c r="U260" s="113"/>
      <c r="V260" s="113"/>
      <c r="W260" s="113"/>
      <c r="X260" s="113"/>
      <c r="Y260" s="113"/>
      <c r="Z260" s="113"/>
      <c r="AA260" s="113"/>
      <c r="AB260" s="113"/>
      <c r="AC260" s="817"/>
      <c r="AD260" s="1638"/>
      <c r="AE260" s="113"/>
      <c r="AF260" s="113"/>
      <c r="AG260" s="113"/>
      <c r="AH260" s="113"/>
      <c r="AI260" s="576"/>
      <c r="AJ260" s="576"/>
      <c r="AK260" s="576"/>
      <c r="AL260" s="576"/>
      <c r="AM260" s="576"/>
      <c r="AN260" s="1240"/>
      <c r="AO260" s="1240"/>
      <c r="AP260" s="576"/>
      <c r="AQ260" s="576"/>
      <c r="AR260" s="576"/>
      <c r="AS260" s="576"/>
      <c r="AT260" s="576"/>
      <c r="AU260" s="576"/>
      <c r="AV260" s="576"/>
      <c r="AW260" s="576"/>
      <c r="AX260" s="576"/>
      <c r="AY260" s="113"/>
      <c r="AZ260" s="113"/>
      <c r="BA260" s="113"/>
      <c r="BB260" s="113"/>
      <c r="BC260" s="113"/>
      <c r="BD260" s="113"/>
    </row>
    <row r="261" spans="1:56" s="418" customFormat="1" ht="12.75" hidden="1" customHeight="1" outlineLevel="1">
      <c r="A261" s="113"/>
      <c r="B261" s="2710" t="s">
        <v>726</v>
      </c>
      <c r="C261" s="2711"/>
      <c r="D261" s="2712"/>
      <c r="E261" s="852">
        <f t="shared" ref="E261:O261" si="41">SUM(E257:E260)</f>
        <v>0</v>
      </c>
      <c r="F261" s="852">
        <f t="shared" si="41"/>
        <v>0</v>
      </c>
      <c r="G261" s="852">
        <f t="shared" si="41"/>
        <v>0</v>
      </c>
      <c r="H261" s="852">
        <f t="shared" si="41"/>
        <v>0</v>
      </c>
      <c r="I261" s="852">
        <f t="shared" si="41"/>
        <v>0</v>
      </c>
      <c r="J261" s="852">
        <f t="shared" si="41"/>
        <v>0</v>
      </c>
      <c r="K261" s="852">
        <f t="shared" si="41"/>
        <v>0</v>
      </c>
      <c r="L261" s="852">
        <f t="shared" si="41"/>
        <v>0</v>
      </c>
      <c r="M261" s="863">
        <f t="shared" ca="1" si="41"/>
        <v>0</v>
      </c>
      <c r="N261" s="859">
        <f>SQRT(SUMSQ(N257:N260))</f>
        <v>0</v>
      </c>
      <c r="O261" s="860">
        <f t="shared" si="41"/>
        <v>0</v>
      </c>
      <c r="P261" s="113"/>
      <c r="Q261" s="113"/>
      <c r="R261" s="113"/>
      <c r="S261" s="113"/>
      <c r="T261" s="113"/>
      <c r="U261" s="113"/>
      <c r="V261" s="113"/>
      <c r="W261" s="113"/>
      <c r="X261" s="113"/>
      <c r="Y261" s="113"/>
      <c r="Z261" s="113"/>
      <c r="AA261" s="113"/>
      <c r="AB261" s="113"/>
      <c r="AC261" s="817"/>
      <c r="AD261" s="1638"/>
      <c r="AE261" s="113"/>
      <c r="AF261" s="113"/>
      <c r="AG261" s="113"/>
      <c r="AH261" s="113"/>
      <c r="AI261" s="576"/>
      <c r="AJ261" s="576"/>
      <c r="AK261" s="576"/>
      <c r="AL261" s="576"/>
      <c r="AM261" s="576"/>
      <c r="AN261" s="1240"/>
      <c r="AO261" s="1240"/>
      <c r="AP261" s="576"/>
      <c r="AQ261" s="576"/>
      <c r="AR261" s="576"/>
      <c r="AS261" s="576"/>
      <c r="AT261" s="576"/>
      <c r="AU261" s="576"/>
      <c r="AV261" s="576"/>
      <c r="AW261" s="576"/>
      <c r="AX261" s="576"/>
      <c r="AY261" s="113"/>
      <c r="AZ261" s="113"/>
      <c r="BA261" s="113"/>
      <c r="BB261" s="113"/>
      <c r="BC261" s="113"/>
      <c r="BD261" s="113"/>
    </row>
    <row r="262" spans="1:56" s="418" customFormat="1" ht="12.75" hidden="1" customHeight="1" outlineLevel="1">
      <c r="A262" s="113"/>
      <c r="B262" s="2704" t="s">
        <v>464</v>
      </c>
      <c r="C262" s="2705"/>
      <c r="D262" s="862" t="s">
        <v>731</v>
      </c>
      <c r="E262" s="855">
        <f>SUMIF($E$82:$E$109,Utilitaires!$C$572,AF82:AF109)+SUMIF($E$82:$E$109,Utilitaires!$C$577,AF82:AF109)+
SUMIF($E$111:$E$174,Utilitaires!$C$572,AE111:AE174)+SUMIF($E$111:$E$174,Utilitaires!$C$577,AE111:AE174)+
SUMIF($E$180:$E$184,Utilitaires!$C$572,AF180:AF184)+SUMIF($E$180:$E$184,Utilitaires!$C$577,AF180:AF184)</f>
        <v>0</v>
      </c>
      <c r="F262" s="855">
        <f>SUMIF($E$82:$E$109,Utilitaires!$C$572,AH82:AH109)+SUMIF($E$82:$E$109,Utilitaires!$C$577,AH82:AH109)+SUMIF($E$111:$E$174,Utilitaires!$C$572,AF111:AF174)+SUMIF($E$111:$E$174,Utilitaires!$C$577,AF111:AF174)+SUMIF($E$180:$E$184,Utilitaires!$C$572,AH180:AH184)+SUMIF($E$180:$E$184,Utilitaires!$C$577,AH180:AH184)</f>
        <v>0</v>
      </c>
      <c r="G262" s="855">
        <f>SUMIF($E$82:$E$109,Utilitaires!$C$572,AJ82:AJ109)+SUMIF($E$82:$E$109,Utilitaires!$C$577,AJ82:AJ109)+SUMIF($E$111:$E$174,Utilitaires!$C$572,AG111:AG174)+SUMIF($E$111:$E$174,Utilitaires!$C$577,AG111:AG174)+SUMIF($E$180:$E$184,Utilitaires!$C$572,AJ180:AJ184)+SUMIF($E$180:$E$184,Utilitaires!$C$577,AJ180:AJ184)</f>
        <v>0</v>
      </c>
      <c r="H262" s="855">
        <v>0</v>
      </c>
      <c r="I262" s="855">
        <v>0</v>
      </c>
      <c r="J262" s="855">
        <v>0</v>
      </c>
      <c r="K262" s="855">
        <v>0</v>
      </c>
      <c r="L262" s="864">
        <f>SUM(E262:K262)</f>
        <v>0</v>
      </c>
      <c r="M262" s="853">
        <f>SUMIF($E$82:$E$109,Utilitaires!$C$572,AP82:AP109)+SUMIF($E$82:$E$109,Utilitaires!$C$577,AP82:AP109)+SUMIF($E$111:$E$174,Utilitaires!$C$572,AJ111:AJ174)+SUMIF($E$111:$E$174,Utilitaires!$C$577,AJ111:AJ174)+SUMIF($E$180:$E$184,Utilitaires!$C$572,AP180:AP184)+SUMIF($E$180:$E$184,Utilitaires!$C$577,AP180:AP184)</f>
        <v>0</v>
      </c>
      <c r="N262" s="858">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O262" s="856"/>
      <c r="P262" s="113"/>
      <c r="Q262" s="113"/>
      <c r="R262" s="113"/>
      <c r="S262" s="113"/>
      <c r="T262" s="113"/>
      <c r="U262" s="113"/>
      <c r="V262" s="113"/>
      <c r="W262" s="113"/>
      <c r="X262" s="113"/>
      <c r="Y262" s="113"/>
      <c r="Z262" s="113"/>
      <c r="AA262" s="113"/>
      <c r="AB262" s="113"/>
      <c r="AC262" s="817"/>
      <c r="AD262" s="1638"/>
      <c r="AE262" s="113"/>
      <c r="AF262" s="113"/>
      <c r="AG262" s="113"/>
      <c r="AH262" s="113"/>
      <c r="AI262" s="576"/>
      <c r="AJ262" s="576"/>
      <c r="AK262" s="576"/>
      <c r="AL262" s="576"/>
      <c r="AM262" s="576"/>
      <c r="AN262" s="1240"/>
      <c r="AO262" s="1240"/>
      <c r="AP262" s="576"/>
      <c r="AQ262" s="576"/>
      <c r="AR262" s="576"/>
      <c r="AS262" s="576"/>
      <c r="AT262" s="576"/>
      <c r="AU262" s="576"/>
      <c r="AV262" s="576"/>
      <c r="AW262" s="576"/>
      <c r="AX262" s="576"/>
      <c r="AY262" s="113"/>
      <c r="AZ262" s="113"/>
      <c r="BA262" s="113"/>
      <c r="BB262" s="113"/>
      <c r="BC262" s="113"/>
      <c r="BD262" s="113"/>
    </row>
    <row r="263" spans="1:56" s="418" customFormat="1" ht="12.75" hidden="1" customHeight="1" outlineLevel="1">
      <c r="A263" s="113"/>
      <c r="B263" s="2708" t="s">
        <v>465</v>
      </c>
      <c r="C263" s="2709"/>
      <c r="D263" s="862" t="s">
        <v>732</v>
      </c>
      <c r="E263" s="855">
        <f>(1/(1+10%))*SUMIF($E$59:$E$77,Utilitaires!$C$572,AE59:AE77)+(1/(1+10%))*SUMIF($E$59:$E$77,Utilitaires!$C$577,AE59:AE77)</f>
        <v>0</v>
      </c>
      <c r="F263" s="855">
        <f>(1/(1+10%))*SUMIF($E$59:$E$77,Utilitaires!$C$572,AF59:AF77)+(1/(1+10%))*SUMIF($E$59:$E$77,Utilitaires!$C$577,AF59:AF77)</f>
        <v>0</v>
      </c>
      <c r="G263" s="855">
        <f>(1/(1+10%))*SUMIF($E$59:$E$77,Utilitaires!$C$572,AG59:AG77)+(1/(1+10%))*SUMIF($E$59:$E$77,Utilitaires!$C$577,AG59:AG77)</f>
        <v>0</v>
      </c>
      <c r="H263" s="855">
        <v>0</v>
      </c>
      <c r="I263" s="855">
        <v>0</v>
      </c>
      <c r="J263" s="855">
        <v>0</v>
      </c>
      <c r="K263" s="855">
        <v>0</v>
      </c>
      <c r="L263" s="864">
        <f>SUM(E263:K263)</f>
        <v>0</v>
      </c>
      <c r="M263" s="853">
        <f>(1/(1+10%))*SUMIF($E$59:$E$77,Utilitaires!$C$572,AJ59:AJ77)+(1/(1+10%))*SUMIF($E$59:$E$77,Utilitaires!$C$577,AJ59:AJ77)</f>
        <v>0</v>
      </c>
      <c r="N263" s="858">
        <f>(1/SQRT((1+10%^2)))*SQRT(SUMPRODUCT(($E$59:$E$67=Utilitaires!$C$572)*1,AB59:AB67,AB59:AB67)+SUMPRODUCT(($E$59:$E$67=Utilitaires!$C$577)*1,AB59:AB67,AB59:AB67)+SUMPRODUCT(($E$69:$E$77=Utilitaires!$C$572)*1,AB69:AB77,AB69:AB77)+SUMPRODUCT(($E$69:$E$77=Utilitaires!$C$577)*1,AB69:AB77,AB69:AB77))</f>
        <v>0</v>
      </c>
      <c r="O263" s="856"/>
      <c r="P263" s="817"/>
      <c r="Q263" s="113"/>
      <c r="R263" s="113"/>
      <c r="S263" s="113"/>
      <c r="T263" s="113"/>
      <c r="U263" s="113"/>
      <c r="V263" s="113"/>
      <c r="W263" s="113"/>
      <c r="X263" s="113"/>
      <c r="Y263" s="113"/>
      <c r="Z263" s="113"/>
      <c r="AA263" s="113"/>
      <c r="AB263" s="113"/>
      <c r="AC263" s="817"/>
      <c r="AD263" s="1638"/>
      <c r="AE263" s="113"/>
      <c r="AF263" s="113"/>
      <c r="AG263" s="113"/>
      <c r="AH263" s="113"/>
      <c r="AI263" s="576"/>
      <c r="AJ263" s="576"/>
      <c r="AK263" s="576"/>
      <c r="AL263" s="576"/>
      <c r="AM263" s="576"/>
      <c r="AN263" s="1240"/>
      <c r="AO263" s="1240"/>
      <c r="AP263" s="576"/>
      <c r="AQ263" s="576"/>
      <c r="AR263" s="576"/>
      <c r="AS263" s="576"/>
      <c r="AT263" s="576"/>
      <c r="AU263" s="576"/>
      <c r="AV263" s="576"/>
      <c r="AW263" s="576"/>
      <c r="AX263" s="576"/>
      <c r="AY263" s="113"/>
      <c r="AZ263" s="113"/>
      <c r="BA263" s="113"/>
      <c r="BB263" s="113"/>
      <c r="BC263" s="113"/>
      <c r="BD263" s="113"/>
    </row>
    <row r="264" spans="1:56" s="418" customFormat="1" ht="12.75" hidden="1" customHeight="1" outlineLevel="1">
      <c r="A264" s="113"/>
      <c r="B264" s="2710" t="s">
        <v>725</v>
      </c>
      <c r="C264" s="2711"/>
      <c r="D264" s="2712"/>
      <c r="E264" s="852">
        <f t="shared" ref="E264:K264" si="42">SUM(E262:E263)</f>
        <v>0</v>
      </c>
      <c r="F264" s="852">
        <f t="shared" si="42"/>
        <v>0</v>
      </c>
      <c r="G264" s="852">
        <f t="shared" si="42"/>
        <v>0</v>
      </c>
      <c r="H264" s="852">
        <f t="shared" si="42"/>
        <v>0</v>
      </c>
      <c r="I264" s="852">
        <f t="shared" si="42"/>
        <v>0</v>
      </c>
      <c r="J264" s="852">
        <f t="shared" si="42"/>
        <v>0</v>
      </c>
      <c r="K264" s="852">
        <f t="shared" si="42"/>
        <v>0</v>
      </c>
      <c r="L264" s="852">
        <f>SUM(L262:L263)</f>
        <v>0</v>
      </c>
      <c r="M264" s="863">
        <f>SUM(M262:M263)</f>
        <v>0</v>
      </c>
      <c r="N264" s="859">
        <f>SQRT(SUMSQ(N262:N263))</f>
        <v>0</v>
      </c>
      <c r="O264" s="860">
        <f>SUM(O262:O263)</f>
        <v>0</v>
      </c>
      <c r="P264" s="817"/>
      <c r="Q264" s="113"/>
      <c r="R264" s="113"/>
      <c r="S264" s="113"/>
      <c r="T264" s="113"/>
      <c r="U264" s="113"/>
      <c r="V264" s="113"/>
      <c r="W264" s="113"/>
      <c r="X264" s="113"/>
      <c r="Y264" s="113"/>
      <c r="Z264" s="113"/>
      <c r="AA264" s="113"/>
      <c r="AB264" s="113"/>
      <c r="AC264" s="817"/>
      <c r="AD264" s="1638"/>
      <c r="AE264" s="113"/>
      <c r="AF264" s="113"/>
      <c r="AG264" s="113"/>
      <c r="AH264" s="113"/>
      <c r="AI264" s="576"/>
      <c r="AJ264" s="576"/>
      <c r="AK264" s="576"/>
      <c r="AL264" s="576"/>
      <c r="AM264" s="576"/>
      <c r="AN264" s="1240"/>
      <c r="AO264" s="1240"/>
      <c r="AP264" s="576"/>
      <c r="AQ264" s="576"/>
      <c r="AR264" s="576"/>
      <c r="AS264" s="576"/>
      <c r="AT264" s="576"/>
      <c r="AU264" s="576"/>
      <c r="AV264" s="576"/>
      <c r="AW264" s="576"/>
      <c r="AX264" s="576"/>
      <c r="AY264" s="113"/>
      <c r="AZ264" s="113"/>
      <c r="BA264" s="113"/>
      <c r="BB264" s="113"/>
      <c r="BC264" s="113"/>
      <c r="BD264" s="113"/>
    </row>
    <row r="265" spans="1:56" s="418" customFormat="1" ht="12.75" hidden="1" customHeight="1" outlineLevel="1">
      <c r="A265" s="113"/>
      <c r="B265" s="2713" t="s">
        <v>757</v>
      </c>
      <c r="C265" s="2714"/>
      <c r="D265" s="2714"/>
      <c r="E265" s="2714"/>
      <c r="F265" s="2714"/>
      <c r="G265" s="2714"/>
      <c r="H265" s="2714"/>
      <c r="I265" s="2714"/>
      <c r="J265" s="2714"/>
      <c r="K265" s="2714"/>
      <c r="L265" s="2714"/>
      <c r="M265" s="2714"/>
      <c r="N265" s="2714"/>
      <c r="O265" s="2715"/>
      <c r="P265" s="817"/>
      <c r="Q265" s="113"/>
      <c r="R265" s="113"/>
      <c r="S265" s="113"/>
      <c r="T265" s="113"/>
      <c r="U265" s="113"/>
      <c r="V265" s="113"/>
      <c r="W265" s="113"/>
      <c r="X265" s="113"/>
      <c r="Y265" s="113"/>
      <c r="Z265" s="113"/>
      <c r="AA265" s="113"/>
      <c r="AB265" s="113"/>
      <c r="AC265" s="817"/>
      <c r="AD265" s="1638"/>
      <c r="AE265" s="113"/>
      <c r="AF265" s="113"/>
      <c r="AG265" s="113"/>
      <c r="AH265" s="113"/>
      <c r="AI265" s="576"/>
      <c r="AJ265" s="576"/>
      <c r="AK265" s="576"/>
      <c r="AL265" s="576"/>
      <c r="AM265" s="576"/>
      <c r="AN265" s="1240"/>
      <c r="AO265" s="1240"/>
      <c r="AP265" s="576"/>
      <c r="AQ265" s="576"/>
      <c r="AR265" s="576"/>
      <c r="AS265" s="576"/>
      <c r="AT265" s="576"/>
      <c r="AU265" s="576"/>
      <c r="AV265" s="576"/>
      <c r="AW265" s="576"/>
      <c r="AX265" s="576"/>
      <c r="AY265" s="113"/>
      <c r="AZ265" s="113"/>
      <c r="BA265" s="113"/>
      <c r="BB265" s="113"/>
      <c r="BC265" s="113"/>
      <c r="BD265" s="113"/>
    </row>
    <row r="266" spans="1:56" s="418" customFormat="1" ht="12.75" hidden="1" customHeight="1" outlineLevel="1">
      <c r="A266" s="113"/>
      <c r="B266" s="2704" t="s">
        <v>733</v>
      </c>
      <c r="C266" s="2705"/>
      <c r="D266" s="862" t="s">
        <v>741</v>
      </c>
      <c r="E266" s="855"/>
      <c r="F266" s="855"/>
      <c r="G266" s="855"/>
      <c r="H266" s="855"/>
      <c r="I266" s="855"/>
      <c r="J266" s="855"/>
      <c r="K266" s="855"/>
      <c r="L266" s="864"/>
      <c r="M266" s="853"/>
      <c r="N266" s="858"/>
      <c r="O266" s="856"/>
      <c r="P266" s="817"/>
      <c r="Q266" s="283"/>
      <c r="R266" s="935"/>
      <c r="S266" s="935"/>
      <c r="T266" s="113"/>
      <c r="U266" s="113"/>
      <c r="V266" s="113"/>
      <c r="W266" s="113"/>
      <c r="X266" s="113"/>
      <c r="Y266" s="113"/>
      <c r="Z266" s="113"/>
      <c r="AA266" s="113"/>
      <c r="AB266" s="113"/>
      <c r="AC266" s="817"/>
      <c r="AD266" s="1638"/>
      <c r="AE266" s="113"/>
      <c r="AF266" s="113"/>
      <c r="AG266" s="113"/>
      <c r="AH266" s="113"/>
      <c r="AI266" s="576"/>
      <c r="AJ266" s="576"/>
      <c r="AK266" s="576"/>
      <c r="AL266" s="576"/>
      <c r="AM266" s="576"/>
      <c r="AN266" s="1240"/>
      <c r="AO266" s="1240"/>
      <c r="AP266" s="576"/>
      <c r="AQ266" s="576"/>
      <c r="AR266" s="576"/>
      <c r="AS266" s="576"/>
      <c r="AT266" s="576"/>
      <c r="AU266" s="576"/>
      <c r="AV266" s="576"/>
      <c r="AW266" s="576"/>
      <c r="AX266" s="576"/>
      <c r="AY266" s="113"/>
      <c r="AZ266" s="113"/>
      <c r="BA266" s="113"/>
      <c r="BB266" s="113"/>
      <c r="BC266" s="113"/>
      <c r="BD266" s="113"/>
    </row>
    <row r="267" spans="1:56" s="418" customFormat="1" ht="12.75" hidden="1" customHeight="1" outlineLevel="1">
      <c r="A267" s="113"/>
      <c r="B267" s="2704" t="s">
        <v>734</v>
      </c>
      <c r="C267" s="2705"/>
      <c r="D267" s="862" t="s">
        <v>742</v>
      </c>
      <c r="E267" s="855"/>
      <c r="F267" s="855"/>
      <c r="G267" s="855"/>
      <c r="H267" s="855"/>
      <c r="I267" s="855"/>
      <c r="J267" s="855"/>
      <c r="K267" s="855"/>
      <c r="L267" s="864"/>
      <c r="M267" s="853"/>
      <c r="N267" s="858"/>
      <c r="O267" s="856"/>
      <c r="P267" s="817"/>
      <c r="Q267" s="936"/>
      <c r="R267" s="937"/>
      <c r="S267" s="937"/>
      <c r="T267" s="817"/>
      <c r="U267" s="817"/>
      <c r="V267" s="817"/>
      <c r="W267" s="113"/>
      <c r="X267" s="113"/>
      <c r="Y267" s="113"/>
      <c r="Z267" s="113"/>
      <c r="AA267" s="113"/>
      <c r="AB267" s="113"/>
      <c r="AC267" s="817"/>
      <c r="AD267" s="1638"/>
      <c r="AE267" s="113"/>
      <c r="AF267" s="113"/>
      <c r="AG267" s="113"/>
      <c r="AH267" s="113"/>
      <c r="AI267" s="576"/>
      <c r="AJ267" s="576"/>
      <c r="AK267" s="576"/>
      <c r="AL267" s="576"/>
      <c r="AM267" s="576"/>
      <c r="AN267" s="1240"/>
      <c r="AO267" s="1240"/>
      <c r="AP267" s="576"/>
      <c r="AQ267" s="576"/>
      <c r="AR267" s="576"/>
      <c r="AS267" s="576"/>
      <c r="AT267" s="576"/>
      <c r="AU267" s="576"/>
      <c r="AV267" s="576"/>
      <c r="AW267" s="576"/>
      <c r="AX267" s="576"/>
      <c r="AY267" s="113"/>
      <c r="AZ267" s="113"/>
      <c r="BA267" s="113"/>
      <c r="BB267" s="113"/>
      <c r="BC267" s="113"/>
      <c r="BD267" s="113"/>
    </row>
    <row r="268" spans="1:56" s="418" customFormat="1" ht="12.75" hidden="1" customHeight="1" outlineLevel="1">
      <c r="A268" s="113"/>
      <c r="B268" s="2708" t="s">
        <v>735</v>
      </c>
      <c r="C268" s="2709"/>
      <c r="D268" s="862" t="s">
        <v>743</v>
      </c>
      <c r="E268" s="855">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268" s="855">
        <f>SUMIF($E$9:$E$40,Utilitaires!$C$572,AG9:AG40)+SUMIF($E$9:$E$40,Utilitaires!$C$577,AG9:AG40)+
SUMIF($E$82:$E$109,Utilitaires!$C$572,AG82:AG109)+SUMIF($E$82:$E$109,Utilitaires!$C$577,AG82:AG109)+
$G190*SUMIF($E$111:$E$174,Utilitaires!$C$572,AF111:AF174)+$G190*SUMIF($E$111:$E$174,Utilitaires!$C$577,AF111:AF174)+(1+$G190)*SUMIF($E$180:$E$184,Utilitaires!$C$572,AG180:AG184)+(1+$G190)*SUMIF($E$180:$E$184,Utilitaires!$C$577,AG180:AG184)+$G190*SUMIF($E$180:$E$184,Utilitaires!$C$572,AH180:AH184)+$G190*SUMIF($E$180:$E$184,Utilitaires!$C$577,AH180:AH184)
+(10%/(1+10%))*SUMIF($E$59:$E$77,Utilitaires!$C$572,AF59:AF77)+(10%/(1+10%))*SUMIF($E$59:$E$77,Utilitaires!$C$577,AF59:AF77)</f>
        <v>0</v>
      </c>
      <c r="G268" s="855">
        <f>SUMIF($E$9:$E$40,Utilitaires!$C$572,AI9:AI40)+SUMIF($E$9:$E$40,Utilitaires!$C$577,AI9:AI40)+SUMIF($E$82:$E$109,Utilitaires!$C$572,AI82:AI109)+SUMIF($E$82:$E$109,Utilitaires!$C$577,AI82:AI109)+$G190*SUMIF($E$111:$E$174,Utilitaires!$C$572,AG111:AG174)+$G190*SUMIF($E$111:$E$174,Utilitaires!$C$577,AG111:AG174)+(1+$G190)*SUMIF($E$180:$E$184,Utilitaires!$C$572,AI180:AI184)+(1+$G190)*SUMIF($E$180:$E$184,Utilitaires!$C$577,AI180:AI184)+$G190*SUMIF($E$180:$E$184,Utilitaires!$C$572,AJ180:AJ184)+$G190*SUMIF($E$180:$E$184,Utilitaires!$C$577,AJ180:AJ184)
+(10%/(1+10%))*SUMIF($E$59:$E$77,Utilitaires!$C$572,AG59:AG77)+(10%/(1+10%))*SUMIF($E$59:$E$77,Utilitaires!$C$577,AG59:AG77)</f>
        <v>0</v>
      </c>
      <c r="H268" s="855">
        <v>0</v>
      </c>
      <c r="I268" s="855">
        <v>0</v>
      </c>
      <c r="J268" s="855">
        <v>0</v>
      </c>
      <c r="K268" s="855">
        <f>SUMIF($E$9:$E$40,Utilitaires!$C$572,AK9:AK40)+SUMIF($E$9:$E$40,Utilitaires!$C$577,AK9:AK40)+SUMIF($E$82:$E$109,Utilitaires!$C$572,AK82:AK109)+SUMIF($E$82:$E$109,Utilitaires!$C$577,AK82:AK109)+$G190*SUMIF($E$111:$E$174,Utilitaires!$C$572,AH111:AH174)+$G190*SUMIF($E$111:$E$174,Utilitaires!$C$577,AH111:AH174)+(1+$G190)*SUMIF($E$180:$E$184,Utilitaires!$C$572,AK180:AK184)+(1+$G190)*SUMIF($E$180:$E$184,Utilitaires!$C$577,AK180:AK184)+$G190*SUMIF($E$180:$E$184,Utilitaires!$C$572,AL180:AL184)+$G190*SUMIF($E$180:$E$184,Utilitaires!$C$577,AL180:AL184)
+(10%/(1+10%))*SUMIF($E$59:$E$77,Utilitaires!$C$572,AH59:AH77)+(10%/(1+10%))*SUMIF($E$59:$E$77,Utilitaires!$C$577,AH59:AH77)</f>
        <v>0</v>
      </c>
      <c r="L268" s="864">
        <f>SUM(E268:K268)</f>
        <v>0</v>
      </c>
      <c r="M268" s="853">
        <f>SUMIF($E$9:$E$40,Utilitaires!$C$572,AO9:AO40)+SUMIF($E$9:$E$40,Utilitaires!$C$577,AO9:AO40)+SUMIF($E$97:$E$109,Utilitaires!$C$572,AO97:AO109)+SUMIF($E$97:$E$109,Utilitaires!$C$577,AO97:AO109)+$G190*SUMIF($E$111:$E$174,Utilitaires!$C$572,AJ111:AJ174)+$G190*SUMIF($E$111:$E$174,Utilitaires!$C$577,AJ111:AJ174)+(1+$G190)*SUMIF($E$180:$E$184,Utilitaires!$C$572,AO180:AO184)+(1+$G190)*SUMIF($E$180:$E$184,Utilitaires!$C$577,AO180:AO184)+$G190*SUMIF($E$180:$E$184,Utilitaires!$C$572,AP180:AP184)+$G190*SUMIF($E$180:$E$184,Utilitaires!$C$577,AP180:AP184)
+(10%/(1+10%))*SUMIF($E$59:$E$77,Utilitaires!$C$572,AJ59:AJ77)+(10%/(1+10%))*SUMIF($E$59:$E$77,Utilitaires!$C$577,AJ59:AJ77)</f>
        <v>0</v>
      </c>
      <c r="N268" s="858">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+SUMPRODUCT(($E$59:$E$67=Utilitaires!$C$572)*1,AB59:AB67,AB59:AB67)+SUMPRODUCT(($E$59:$E$67=Utilitaires!$C$577)*1,AB59:AB67,AB59:AB67)+SUMPRODUCT(($E$69:$E$77=Utilitaires!$C$572)*1,AB69:AB77,AB69:AB77)+SUMPRODUCT(($E$69:$E$77=Utilitaires!$C$577)*1,AB69:AB77,AB69:AB77)-N263^2+
(1+$G190^2)*(SUMPRODUCT(($E$82:$E$109=Utilitaires!$C$572)*1,Z82:Z109,Z82:Z109)+SUMPRODUCT(($E$82:$E$109=Utilitaires!$C$577)*1,Z82:Z109,Z82:Z109))
+$G190^2*(SUMPRODUCT(($E$82:$E$109=Utilitaires!$C$572)*1,AA82:AA109,AA82:AA109)+SUMPRODUCT(($E$82:$E$109=Utilitaires!$C$577)*1,AA82:AA109,AA82:AA109)
+SUMPRODUCT(($E$111:$E$174=Utilitaires!$C$572)*1,Z111:Z174,Z111:Z174)+SUMPRODUCT(($E$111:$E$174=Utilitaires!$C$577)*1,Z111:Z174,Z111:Z174))
+(1+$G190^2)*(SUMPRODUCT(($E$180:$E$184=Utilitaires!$C$572)*1,Z180:Z184,Z180:Z184)+SUMPRODUCT(($E$180:$E$184=Utilitaires!$C$577)*1,Z180:Z184,Z180:Z184))
+$G190^2*(SUMPRODUCT(($E$180:$E$184=Utilitaires!$C$572)*1,AA180:AA184,AA180:AA184)+SUMPRODUCT(($E$180:$E$184=Utilitaires!$C$577)*1,AA180:AA184,AA180:AA184)))</f>
        <v>0</v>
      </c>
      <c r="O268" s="856"/>
      <c r="P268" s="817"/>
      <c r="Q268" s="938"/>
      <c r="R268" s="937"/>
      <c r="S268" s="937"/>
      <c r="T268" s="817"/>
      <c r="U268" s="817"/>
      <c r="V268" s="817"/>
      <c r="W268" s="113"/>
      <c r="X268" s="113"/>
      <c r="Y268" s="113"/>
      <c r="Z268" s="113"/>
      <c r="AA268" s="113"/>
      <c r="AB268" s="113"/>
      <c r="AC268" s="817"/>
      <c r="AD268" s="1638"/>
      <c r="AE268" s="113"/>
      <c r="AF268" s="113"/>
      <c r="AG268" s="113"/>
      <c r="AH268" s="113"/>
      <c r="AI268" s="576"/>
      <c r="AJ268" s="576"/>
      <c r="AK268" s="576"/>
      <c r="AL268" s="576"/>
      <c r="AM268" s="576"/>
      <c r="AN268" s="1240"/>
      <c r="AO268" s="1240"/>
      <c r="AP268" s="576"/>
      <c r="AQ268" s="576"/>
      <c r="AR268" s="576"/>
      <c r="AS268" s="576"/>
      <c r="AT268" s="576"/>
      <c r="AU268" s="576"/>
      <c r="AV268" s="576"/>
      <c r="AW268" s="576"/>
      <c r="AX268" s="576"/>
      <c r="AY268" s="113"/>
      <c r="AZ268" s="113"/>
      <c r="BA268" s="113"/>
      <c r="BB268" s="113"/>
      <c r="BC268" s="113"/>
      <c r="BD268" s="113"/>
    </row>
    <row r="269" spans="1:56" s="418" customFormat="1" ht="12.75" hidden="1" customHeight="1" outlineLevel="1">
      <c r="A269" s="113"/>
      <c r="B269" s="2704" t="s">
        <v>815</v>
      </c>
      <c r="C269" s="2705"/>
      <c r="D269" s="862" t="s">
        <v>744</v>
      </c>
      <c r="E269" s="855"/>
      <c r="F269" s="855"/>
      <c r="G269" s="855"/>
      <c r="H269" s="855"/>
      <c r="I269" s="855"/>
      <c r="J269" s="855"/>
      <c r="K269" s="855"/>
      <c r="L269" s="864"/>
      <c r="M269" s="853"/>
      <c r="N269" s="858"/>
      <c r="O269" s="856"/>
      <c r="P269" s="113"/>
      <c r="Q269" s="936"/>
      <c r="R269" s="937"/>
      <c r="S269" s="937"/>
      <c r="T269" s="817"/>
      <c r="U269" s="817"/>
      <c r="V269" s="817"/>
      <c r="W269" s="113"/>
      <c r="X269" s="113"/>
      <c r="Y269" s="113"/>
      <c r="Z269" s="113"/>
      <c r="AA269" s="113"/>
      <c r="AB269" s="113"/>
      <c r="AC269" s="817"/>
      <c r="AD269" s="1638"/>
      <c r="AE269" s="113"/>
      <c r="AF269" s="113"/>
      <c r="AG269" s="113"/>
      <c r="AH269" s="113"/>
      <c r="AI269" s="576"/>
      <c r="AJ269" s="576"/>
      <c r="AK269" s="576"/>
      <c r="AL269" s="576"/>
      <c r="AM269" s="576"/>
      <c r="AN269" s="1240"/>
      <c r="AO269" s="1240"/>
      <c r="AP269" s="576"/>
      <c r="AQ269" s="576"/>
      <c r="AR269" s="576"/>
      <c r="AS269" s="576"/>
      <c r="AT269" s="576"/>
      <c r="AU269" s="576"/>
      <c r="AV269" s="576"/>
      <c r="AW269" s="576"/>
      <c r="AX269" s="576"/>
      <c r="AY269" s="113"/>
      <c r="AZ269" s="113"/>
      <c r="BA269" s="113"/>
      <c r="BB269" s="113"/>
      <c r="BC269" s="113"/>
      <c r="BD269" s="113"/>
    </row>
    <row r="270" spans="1:56" s="418" customFormat="1" ht="12.75" hidden="1" customHeight="1" outlineLevel="1">
      <c r="A270" s="113"/>
      <c r="B270" s="2704" t="s">
        <v>736</v>
      </c>
      <c r="C270" s="2705"/>
      <c r="D270" s="862" t="s">
        <v>745</v>
      </c>
      <c r="E270" s="855"/>
      <c r="F270" s="855"/>
      <c r="G270" s="855"/>
      <c r="H270" s="855"/>
      <c r="I270" s="855"/>
      <c r="J270" s="855"/>
      <c r="K270" s="855"/>
      <c r="L270" s="864"/>
      <c r="M270" s="853"/>
      <c r="N270" s="858"/>
      <c r="O270" s="856"/>
      <c r="P270" s="934"/>
      <c r="Q270" s="113"/>
      <c r="R270" s="113"/>
      <c r="S270" s="113"/>
      <c r="T270" s="113"/>
      <c r="U270" s="113"/>
      <c r="V270" s="113"/>
      <c r="W270" s="113"/>
      <c r="X270" s="113"/>
      <c r="Y270" s="113"/>
      <c r="Z270" s="113"/>
      <c r="AA270" s="113"/>
      <c r="AB270" s="113"/>
      <c r="AC270" s="817"/>
      <c r="AD270" s="1638"/>
      <c r="AE270" s="113"/>
      <c r="AF270" s="113"/>
      <c r="AG270" s="113"/>
      <c r="AH270" s="113"/>
      <c r="AI270" s="576"/>
      <c r="AJ270" s="576"/>
      <c r="AK270" s="576"/>
      <c r="AL270" s="576"/>
      <c r="AM270" s="576"/>
      <c r="AN270" s="1240"/>
      <c r="AO270" s="1240"/>
      <c r="AP270" s="576"/>
      <c r="AQ270" s="576"/>
      <c r="AR270" s="576"/>
      <c r="AS270" s="576"/>
      <c r="AT270" s="576"/>
      <c r="AU270" s="576"/>
      <c r="AV270" s="576"/>
      <c r="AW270" s="576"/>
      <c r="AX270" s="576"/>
      <c r="AY270" s="113"/>
      <c r="AZ270" s="113"/>
      <c r="BA270" s="113"/>
      <c r="BB270" s="113"/>
      <c r="BC270" s="113"/>
      <c r="BD270" s="113"/>
    </row>
    <row r="271" spans="1:56" s="418" customFormat="1" ht="12.75" hidden="1" customHeight="1" outlineLevel="1">
      <c r="A271" s="113"/>
      <c r="B271" s="2704" t="s">
        <v>470</v>
      </c>
      <c r="C271" s="2705"/>
      <c r="D271" s="862" t="s">
        <v>746</v>
      </c>
      <c r="E271" s="855"/>
      <c r="F271" s="855"/>
      <c r="G271" s="855"/>
      <c r="H271" s="855"/>
      <c r="I271" s="855"/>
      <c r="J271" s="855"/>
      <c r="K271" s="855"/>
      <c r="L271" s="864"/>
      <c r="M271" s="853"/>
      <c r="N271" s="858"/>
      <c r="O271" s="856"/>
      <c r="P271" s="113"/>
      <c r="Q271" s="237"/>
      <c r="R271" s="113"/>
      <c r="S271" s="113"/>
      <c r="T271" s="113"/>
      <c r="U271" s="113"/>
      <c r="V271" s="113"/>
      <c r="W271" s="113"/>
      <c r="X271" s="113"/>
      <c r="Y271" s="113"/>
      <c r="Z271" s="113"/>
      <c r="AA271" s="113"/>
      <c r="AB271" s="113"/>
      <c r="AC271" s="817"/>
      <c r="AD271" s="1638"/>
      <c r="AE271" s="113"/>
      <c r="AF271" s="113"/>
      <c r="AG271" s="113"/>
      <c r="AH271" s="113"/>
      <c r="AI271" s="576"/>
      <c r="AJ271" s="576"/>
      <c r="AK271" s="576"/>
      <c r="AL271" s="576"/>
      <c r="AM271" s="576"/>
      <c r="AN271" s="1240"/>
      <c r="AO271" s="1240"/>
      <c r="AP271" s="576"/>
      <c r="AQ271" s="576"/>
      <c r="AR271" s="576"/>
      <c r="AS271" s="576"/>
      <c r="AT271" s="576"/>
      <c r="AU271" s="576"/>
      <c r="AV271" s="576"/>
      <c r="AW271" s="576"/>
      <c r="AX271" s="576"/>
      <c r="AY271" s="113"/>
      <c r="AZ271" s="113"/>
      <c r="BA271" s="113"/>
      <c r="BB271" s="113"/>
      <c r="BC271" s="113"/>
      <c r="BD271" s="113"/>
    </row>
    <row r="272" spans="1:56" s="418" customFormat="1" ht="12.75" hidden="1" customHeight="1" outlineLevel="1">
      <c r="A272" s="113"/>
      <c r="B272" s="2704" t="s">
        <v>479</v>
      </c>
      <c r="C272" s="2705"/>
      <c r="D272" s="862" t="s">
        <v>747</v>
      </c>
      <c r="E272" s="855"/>
      <c r="F272" s="855"/>
      <c r="G272" s="855"/>
      <c r="H272" s="855"/>
      <c r="I272" s="855"/>
      <c r="J272" s="855"/>
      <c r="K272" s="855"/>
      <c r="L272" s="864"/>
      <c r="M272" s="853"/>
      <c r="N272" s="858"/>
      <c r="O272" s="856"/>
      <c r="P272" s="113"/>
      <c r="Q272" s="113"/>
      <c r="R272" s="113"/>
      <c r="S272" s="113"/>
      <c r="T272" s="113"/>
      <c r="U272" s="113"/>
      <c r="V272" s="113"/>
      <c r="W272" s="113"/>
      <c r="X272" s="113"/>
      <c r="Y272" s="113"/>
      <c r="Z272" s="113"/>
      <c r="AA272" s="113"/>
      <c r="AB272" s="113"/>
      <c r="AC272" s="817"/>
      <c r="AD272" s="1638"/>
      <c r="AE272" s="113"/>
      <c r="AF272" s="113"/>
      <c r="AG272" s="113"/>
      <c r="AH272" s="113"/>
      <c r="AI272" s="576"/>
      <c r="AJ272" s="576"/>
      <c r="AK272" s="576"/>
      <c r="AL272" s="576"/>
      <c r="AM272" s="576"/>
      <c r="AN272" s="1240"/>
      <c r="AO272" s="1240"/>
      <c r="AP272" s="576"/>
      <c r="AQ272" s="576"/>
      <c r="AR272" s="576"/>
      <c r="AS272" s="576"/>
      <c r="AT272" s="576"/>
      <c r="AU272" s="576"/>
      <c r="AV272" s="576"/>
      <c r="AW272" s="576"/>
      <c r="AX272" s="576"/>
      <c r="AY272" s="113"/>
      <c r="AZ272" s="113"/>
      <c r="BA272" s="113"/>
      <c r="BB272" s="113"/>
      <c r="BC272" s="113"/>
      <c r="BD272" s="113"/>
    </row>
    <row r="273" spans="1:56" s="418" customFormat="1" ht="12.75" hidden="1" customHeight="1" outlineLevel="1">
      <c r="A273" s="113"/>
      <c r="B273" s="2704" t="s">
        <v>471</v>
      </c>
      <c r="C273" s="2705"/>
      <c r="D273" s="862" t="s">
        <v>748</v>
      </c>
      <c r="E273" s="855">
        <f>SUMIF($E$9:$E$54,Utilitaires!$C$573,AE9:AE54)+SUMIF($E$9:$E$54,Utilitaires!$C$573,AF9:AF54)+
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273" s="855">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73" s="855">
        <f>SUMIF($E$9:$E$54,Utilitaires!$C$573,AI9:AI54)+SUMIF($E$9:$E$54,Utilitaires!$C$573,AJ9:AJ54)+SUMIF($E$59:$E$77,Utilitaires!$C$573,AG59:AG77)+SUMIF($E$82:$E$109,Utilitaires!$C$573,AI82:AI109)+SUMIF($E$82:$E$109,Utilitaires!$C$573,AJ82:AJ109)+(1+$G190)*SUMIF($E$111:$E$174,Utilitaires!$C$573,AG111:AG174)+(1+$G190)*SUMIF($E$180:$E$184,Utilitaires!$C$573,AI180:AI184)+(1+$G190)*SUMIF($E$180:$E$184,Utilitaires!$C$573,AJ180:AJ184)</f>
        <v>0</v>
      </c>
      <c r="H273" s="855">
        <v>0</v>
      </c>
      <c r="I273" s="855">
        <v>0</v>
      </c>
      <c r="J273" s="855">
        <v>0</v>
      </c>
      <c r="K273" s="855">
        <v>0</v>
      </c>
      <c r="L273" s="864">
        <f>SUM(E273:K273)</f>
        <v>0</v>
      </c>
      <c r="M273" s="853">
        <f>SUMIF($E$9:$E$54,Utilitaires!$C$573,AO9:AO54)+SUMIF($E$9:$E$54,Utilitaires!$C$573,AP9:AP54)+SUMIF($E$59:$E$77,Utilitaires!$C$573,AJ59:AJ77)+SUMIF($E$97:$E$109,Utilitaires!$C$573,AO97:AO109)+SUMIF($E$97:$E$109,Utilitaires!$C$573,AP97:AP109)+(1+$G190)*SUMIF($E$111:$E$174,Utilitaires!$C$573,AJ111:AJ174)+(1+$G190)*SUMIF($E$180:$E$184,Utilitaires!$C$573,AO180:AO184)+(1+$G190)*SUMIF($E$180:$E$184,Utilitaires!$C$573,AP180:AP184)</f>
        <v>0</v>
      </c>
      <c r="N273" s="858">
        <f>SQRT(SUMPRODUCT(($E$9:$E$54=Utilitaires!$C$573)*1,Z9:Z54,Z9:Z54)+SUMPRODUCT(($E$9:$E$54=Utilitaires!$C$573)*1,AA9:AA54,AA9:AA54)+SUMPRODUCT(($E$59:$E$77=Utilitaires!$C$573)*1,AB59:AB77,AB59:AB77)
+(1+$G190^2)*(SUMPRODUCT(($E$82:$E$109=Utilitaires!$C$573)*1,Z82:Z109,Z82:Z109)
+SUMPRODUCT(($E$82:$E$109=Utilitaires!$C$573)*1,AA82:AA109,AA82:AA109)+
SUMPRODUCT(($E$180:$E$184=Utilitaires!$C$573)*1,Z180:Z184,Z180:Z184)+SUMPRODUCT(($E$180:$E$184=Utilitaires!$C$573)*1,AA180:AA184,AA180:AA184)
+SUMPRODUCT(($E$111:$E$174=Utilitaires!$C$573)*1,AC111:AC174,AC111:AC174))
)</f>
        <v>0</v>
      </c>
      <c r="O273" s="856"/>
      <c r="P273" s="113"/>
      <c r="Q273" s="113"/>
      <c r="R273" s="113"/>
      <c r="S273" s="113"/>
      <c r="T273" s="113"/>
      <c r="U273" s="113"/>
      <c r="V273" s="113"/>
      <c r="W273" s="113"/>
      <c r="X273" s="113"/>
      <c r="Y273" s="113"/>
      <c r="Z273" s="113"/>
      <c r="AA273" s="113"/>
      <c r="AB273" s="113"/>
      <c r="AC273" s="817"/>
      <c r="AD273" s="1638"/>
      <c r="AE273" s="113"/>
      <c r="AF273" s="113"/>
      <c r="AG273" s="113"/>
      <c r="AH273" s="113"/>
      <c r="AI273" s="576"/>
      <c r="AJ273" s="576"/>
      <c r="AK273" s="576"/>
      <c r="AL273" s="576"/>
      <c r="AM273" s="576"/>
      <c r="AN273" s="1240"/>
      <c r="AO273" s="1240"/>
      <c r="AP273" s="576"/>
      <c r="AQ273" s="576"/>
      <c r="AR273" s="576"/>
      <c r="AS273" s="576"/>
      <c r="AT273" s="576"/>
      <c r="AU273" s="576"/>
      <c r="AV273" s="576"/>
      <c r="AW273" s="576"/>
      <c r="AX273" s="576"/>
      <c r="AY273" s="113"/>
      <c r="AZ273" s="113"/>
      <c r="BA273" s="113"/>
      <c r="BB273" s="113"/>
      <c r="BC273" s="113"/>
      <c r="BD273" s="113"/>
    </row>
    <row r="274" spans="1:56" s="418" customFormat="1" ht="12.75" hidden="1" customHeight="1" outlineLevel="1">
      <c r="A274" s="113"/>
      <c r="B274" s="2704" t="s">
        <v>762</v>
      </c>
      <c r="C274" s="2705"/>
      <c r="D274" s="854"/>
      <c r="E274" s="855">
        <f>SUMIF($E$9:$E$54,Utilitaires!$C$574,AE9:AE54)+SUMIF($E$9:$E$54,Utilitaires!$C$574,AF9:AF54)+
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
(1+$G190)*SUMIF($E$180:$E$184,Utilitaires!$C$574,AF180:AF184)+(1+$G190)*SUMIF($E$180:$E$184,Utilitaires!$C$578,AF180:AF184)</f>
        <v>0</v>
      </c>
      <c r="F274" s="855">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274" s="855">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274" s="855">
        <v>0</v>
      </c>
      <c r="I274" s="855">
        <v>0</v>
      </c>
      <c r="J274" s="855">
        <v>0</v>
      </c>
      <c r="K274" s="855">
        <v>0</v>
      </c>
      <c r="L274" s="864">
        <f>SUM(E274:K274)</f>
        <v>0</v>
      </c>
      <c r="M274" s="853">
        <f>SUMIF($E$9:$E$54,Utilitaires!$C$574,AO9:AO54)+SUMIF($E$9:$E$54,Utilitaires!$C$574,AP9:AP54)+SUMIF($E$9:$E$54,Utilitaires!$C$578,AO9:AO54)+SUMIF($E$9:$E$54,Utilitaires!$C$578,AP9:AP54)+
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N274" s="858">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+SUMPRODUCT(($E$111:$E$174=Utilitaires!$C$574)*1,AC111:AC174,AC111:AC174)+SUMPRODUCT(($E$111:$E$174=Utilitaires!$C$578)*1,AC111:AC174,AC111:AC174))
)</f>
        <v>0</v>
      </c>
      <c r="O274" s="856"/>
      <c r="P274" s="113"/>
      <c r="Q274" s="113"/>
      <c r="R274" s="113"/>
      <c r="S274" s="113"/>
      <c r="T274" s="113"/>
      <c r="U274" s="113"/>
      <c r="V274" s="113"/>
      <c r="W274" s="113"/>
      <c r="X274" s="113"/>
      <c r="Y274" s="113"/>
      <c r="Z274" s="113"/>
      <c r="AA274" s="113"/>
      <c r="AB274" s="113"/>
      <c r="AC274" s="817"/>
      <c r="AD274" s="1638"/>
      <c r="AE274" s="113"/>
      <c r="AF274" s="113"/>
      <c r="AG274" s="113"/>
      <c r="AH274" s="113"/>
      <c r="AI274" s="576"/>
      <c r="AJ274" s="576"/>
      <c r="AK274" s="576"/>
      <c r="AL274" s="576"/>
      <c r="AM274" s="576"/>
      <c r="AN274" s="1240"/>
      <c r="AO274" s="1240"/>
      <c r="AP274" s="576"/>
      <c r="AQ274" s="576"/>
      <c r="AR274" s="576"/>
      <c r="AS274" s="576"/>
      <c r="AT274" s="576"/>
      <c r="AU274" s="576"/>
      <c r="AV274" s="576"/>
      <c r="AW274" s="576"/>
      <c r="AX274" s="576"/>
      <c r="AY274" s="113"/>
      <c r="AZ274" s="113"/>
      <c r="BA274" s="113"/>
      <c r="BB274" s="113"/>
      <c r="BC274" s="113"/>
      <c r="BD274" s="113"/>
    </row>
    <row r="275" spans="1:56" s="418" customFormat="1" ht="12.75" hidden="1" customHeight="1" outlineLevel="1">
      <c r="A275" s="113"/>
      <c r="B275" s="2713" t="s">
        <v>756</v>
      </c>
      <c r="C275" s="2714"/>
      <c r="D275" s="2714"/>
      <c r="E275" s="2714"/>
      <c r="F275" s="2714"/>
      <c r="G275" s="2714"/>
      <c r="H275" s="2714"/>
      <c r="I275" s="2714"/>
      <c r="J275" s="2714"/>
      <c r="K275" s="2714"/>
      <c r="L275" s="2714"/>
      <c r="M275" s="2714"/>
      <c r="N275" s="2714"/>
      <c r="O275" s="2715"/>
      <c r="P275" s="113"/>
      <c r="Q275" s="113"/>
      <c r="R275" s="113"/>
      <c r="S275" s="113"/>
      <c r="T275" s="113"/>
      <c r="U275" s="113"/>
      <c r="V275" s="113"/>
      <c r="W275" s="113"/>
      <c r="X275" s="113"/>
      <c r="Y275" s="113"/>
      <c r="Z275" s="113"/>
      <c r="AA275" s="113"/>
      <c r="AB275" s="113"/>
      <c r="AC275" s="817"/>
      <c r="AD275" s="1638"/>
      <c r="AE275" s="113"/>
      <c r="AF275" s="113"/>
      <c r="AG275" s="113"/>
      <c r="AH275" s="113"/>
      <c r="AI275" s="576"/>
      <c r="AJ275" s="576"/>
      <c r="AK275" s="576"/>
      <c r="AL275" s="576"/>
      <c r="AM275" s="576"/>
      <c r="AN275" s="1240"/>
      <c r="AO275" s="1240"/>
      <c r="AP275" s="576"/>
      <c r="AQ275" s="576"/>
      <c r="AR275" s="576"/>
      <c r="AS275" s="576"/>
      <c r="AT275" s="576"/>
      <c r="AU275" s="576"/>
      <c r="AV275" s="576"/>
      <c r="AW275" s="576"/>
      <c r="AX275" s="576"/>
      <c r="AY275" s="113"/>
      <c r="AZ275" s="113"/>
      <c r="BA275" s="113"/>
      <c r="BB275" s="113"/>
      <c r="BC275" s="113"/>
      <c r="BD275" s="113"/>
    </row>
    <row r="276" spans="1:56" s="418" customFormat="1" ht="12.75" hidden="1" customHeight="1" outlineLevel="1">
      <c r="A276" s="113"/>
      <c r="B276" s="2704" t="s">
        <v>737</v>
      </c>
      <c r="C276" s="2705"/>
      <c r="D276" s="862" t="s">
        <v>749</v>
      </c>
      <c r="E276" s="855"/>
      <c r="F276" s="855"/>
      <c r="G276" s="855"/>
      <c r="H276" s="855"/>
      <c r="I276" s="855"/>
      <c r="J276" s="855"/>
      <c r="K276" s="855"/>
      <c r="L276" s="864"/>
      <c r="M276" s="853"/>
      <c r="N276" s="858"/>
      <c r="O276" s="856"/>
      <c r="P276" s="113"/>
      <c r="Q276" s="113"/>
      <c r="R276" s="113"/>
      <c r="S276" s="113"/>
      <c r="T276" s="113"/>
      <c r="U276" s="113"/>
      <c r="V276" s="113"/>
      <c r="W276" s="113"/>
      <c r="X276" s="113"/>
      <c r="Y276" s="113"/>
      <c r="Z276" s="113"/>
      <c r="AA276" s="113"/>
      <c r="AB276" s="113"/>
      <c r="AC276" s="817"/>
      <c r="AD276" s="1638"/>
      <c r="AE276" s="113"/>
      <c r="AF276" s="113"/>
      <c r="AG276" s="113"/>
      <c r="AH276" s="113"/>
      <c r="AI276" s="576"/>
      <c r="AJ276" s="576"/>
      <c r="AK276" s="576"/>
      <c r="AL276" s="576"/>
      <c r="AM276" s="576"/>
      <c r="AN276" s="1240"/>
      <c r="AO276" s="1240"/>
      <c r="AP276" s="576"/>
      <c r="AQ276" s="576"/>
      <c r="AR276" s="576"/>
      <c r="AS276" s="576"/>
      <c r="AT276" s="576"/>
      <c r="AU276" s="576"/>
      <c r="AV276" s="576"/>
      <c r="AW276" s="576"/>
      <c r="AX276" s="576"/>
      <c r="AY276" s="113"/>
      <c r="AZ276" s="113"/>
      <c r="BA276" s="113"/>
      <c r="BB276" s="113"/>
      <c r="BC276" s="113"/>
      <c r="BD276" s="113"/>
    </row>
    <row r="277" spans="1:56" s="418" customFormat="1" ht="12.75" hidden="1" customHeight="1" outlineLevel="1">
      <c r="A277" s="113"/>
      <c r="B277" s="2704" t="s">
        <v>738</v>
      </c>
      <c r="C277" s="2705"/>
      <c r="D277" s="862" t="s">
        <v>750</v>
      </c>
      <c r="E277" s="855"/>
      <c r="F277" s="855"/>
      <c r="G277" s="855"/>
      <c r="H277" s="855"/>
      <c r="I277" s="855"/>
      <c r="J277" s="855"/>
      <c r="K277" s="855"/>
      <c r="L277" s="864"/>
      <c r="M277" s="853"/>
      <c r="N277" s="858"/>
      <c r="O277" s="856"/>
      <c r="P277" s="113"/>
      <c r="Q277" s="113"/>
      <c r="R277" s="113"/>
      <c r="S277" s="113"/>
      <c r="T277" s="113"/>
      <c r="U277" s="113"/>
      <c r="V277" s="113"/>
      <c r="W277" s="113"/>
      <c r="X277" s="113"/>
      <c r="Y277" s="113"/>
      <c r="Z277" s="113"/>
      <c r="AA277" s="113"/>
      <c r="AB277" s="113"/>
      <c r="AC277" s="817"/>
      <c r="AD277" s="1638"/>
      <c r="AE277" s="113"/>
      <c r="AF277" s="113"/>
      <c r="AG277" s="113"/>
      <c r="AH277" s="113"/>
      <c r="AI277" s="576"/>
      <c r="AJ277" s="576"/>
      <c r="AK277" s="576"/>
      <c r="AL277" s="576"/>
      <c r="AM277" s="576"/>
      <c r="AN277" s="1240"/>
      <c r="AO277" s="1240"/>
      <c r="AP277" s="576"/>
      <c r="AQ277" s="576"/>
      <c r="AR277" s="576"/>
      <c r="AS277" s="576"/>
      <c r="AT277" s="576"/>
      <c r="AU277" s="576"/>
      <c r="AV277" s="576"/>
      <c r="AW277" s="576"/>
      <c r="AX277" s="576"/>
      <c r="AY277" s="113"/>
      <c r="AZ277" s="113"/>
      <c r="BA277" s="113"/>
      <c r="BB277" s="113"/>
      <c r="BC277" s="113"/>
      <c r="BD277" s="113"/>
    </row>
    <row r="278" spans="1:56" s="418" customFormat="1" ht="12.75" hidden="1" customHeight="1" outlineLevel="1">
      <c r="A278" s="113"/>
      <c r="B278" s="2704" t="s">
        <v>475</v>
      </c>
      <c r="C278" s="2705"/>
      <c r="D278" s="862" t="s">
        <v>751</v>
      </c>
      <c r="E278" s="855"/>
      <c r="F278" s="855"/>
      <c r="G278" s="855"/>
      <c r="H278" s="855"/>
      <c r="I278" s="855"/>
      <c r="J278" s="855"/>
      <c r="K278" s="855"/>
      <c r="L278" s="864"/>
      <c r="M278" s="853"/>
      <c r="N278" s="858"/>
      <c r="O278" s="856"/>
      <c r="P278" s="113"/>
      <c r="Q278" s="113"/>
      <c r="R278" s="113"/>
      <c r="S278" s="113"/>
      <c r="T278" s="113"/>
      <c r="U278" s="113"/>
      <c r="V278" s="113"/>
      <c r="W278" s="113"/>
      <c r="X278" s="113"/>
      <c r="Y278" s="113"/>
      <c r="Z278" s="113"/>
      <c r="AA278" s="113"/>
      <c r="AB278" s="113"/>
      <c r="AC278" s="817"/>
      <c r="AD278" s="1638"/>
      <c r="AE278" s="113"/>
      <c r="AF278" s="113"/>
      <c r="AG278" s="113"/>
      <c r="AH278" s="113"/>
      <c r="AI278" s="576"/>
      <c r="AJ278" s="576"/>
      <c r="AK278" s="576"/>
      <c r="AL278" s="576"/>
      <c r="AM278" s="576"/>
      <c r="AN278" s="1240"/>
      <c r="AO278" s="1240"/>
      <c r="AP278" s="576"/>
      <c r="AQ278" s="576"/>
      <c r="AR278" s="576"/>
      <c r="AS278" s="576"/>
      <c r="AT278" s="576"/>
      <c r="AU278" s="576"/>
      <c r="AV278" s="576"/>
      <c r="AW278" s="576"/>
      <c r="AX278" s="576"/>
      <c r="AY278" s="113"/>
      <c r="AZ278" s="113"/>
      <c r="BA278" s="113"/>
      <c r="BB278" s="113"/>
      <c r="BC278" s="113"/>
      <c r="BD278" s="113"/>
    </row>
    <row r="279" spans="1:56" s="418" customFormat="1" ht="12.75" hidden="1" customHeight="1" outlineLevel="1">
      <c r="A279" s="113"/>
      <c r="B279" s="2704" t="s">
        <v>476</v>
      </c>
      <c r="C279" s="2705"/>
      <c r="D279" s="862" t="s">
        <v>752</v>
      </c>
      <c r="E279" s="855"/>
      <c r="F279" s="855"/>
      <c r="G279" s="855"/>
      <c r="H279" s="855"/>
      <c r="I279" s="855"/>
      <c r="J279" s="855"/>
      <c r="K279" s="855"/>
      <c r="L279" s="864"/>
      <c r="M279" s="853"/>
      <c r="N279" s="858"/>
      <c r="O279" s="856"/>
      <c r="P279" s="113"/>
      <c r="Q279" s="113"/>
      <c r="R279" s="113"/>
      <c r="S279" s="113"/>
      <c r="T279" s="113"/>
      <c r="U279" s="113"/>
      <c r="V279" s="113"/>
      <c r="W279" s="113"/>
      <c r="X279" s="113"/>
      <c r="Y279" s="113"/>
      <c r="Z279" s="113"/>
      <c r="AA279" s="113"/>
      <c r="AB279" s="113"/>
      <c r="AC279" s="817"/>
      <c r="AD279" s="1638"/>
      <c r="AE279" s="113"/>
      <c r="AF279" s="113"/>
      <c r="AG279" s="113"/>
      <c r="AH279" s="113"/>
      <c r="AI279" s="576"/>
      <c r="AJ279" s="576"/>
      <c r="AK279" s="576"/>
      <c r="AL279" s="576"/>
      <c r="AM279" s="576"/>
      <c r="AN279" s="1240"/>
      <c r="AO279" s="1240"/>
      <c r="AP279" s="576"/>
      <c r="AQ279" s="576"/>
      <c r="AR279" s="576"/>
      <c r="AS279" s="576"/>
      <c r="AT279" s="576"/>
      <c r="AU279" s="576"/>
      <c r="AV279" s="576"/>
      <c r="AW279" s="576"/>
      <c r="AX279" s="576"/>
      <c r="AY279" s="113"/>
      <c r="AZ279" s="113"/>
      <c r="BA279" s="113"/>
      <c r="BB279" s="113"/>
      <c r="BC279" s="113"/>
      <c r="BD279" s="113"/>
    </row>
    <row r="280" spans="1:56" s="418" customFormat="1" ht="12.75" hidden="1" customHeight="1" outlineLevel="1">
      <c r="A280" s="113"/>
      <c r="B280" s="2704" t="s">
        <v>739</v>
      </c>
      <c r="C280" s="2705"/>
      <c r="D280" s="862" t="s">
        <v>753</v>
      </c>
      <c r="E280" s="855"/>
      <c r="F280" s="855"/>
      <c r="G280" s="855"/>
      <c r="H280" s="855"/>
      <c r="I280" s="855"/>
      <c r="J280" s="855"/>
      <c r="K280" s="855"/>
      <c r="L280" s="864"/>
      <c r="M280" s="853"/>
      <c r="N280" s="858"/>
      <c r="O280" s="856"/>
      <c r="P280" s="113"/>
      <c r="Q280" s="113"/>
      <c r="R280" s="113"/>
      <c r="S280" s="113"/>
      <c r="T280" s="113"/>
      <c r="U280" s="113"/>
      <c r="V280" s="113"/>
      <c r="W280" s="113"/>
      <c r="X280" s="113"/>
      <c r="Y280" s="113"/>
      <c r="Z280" s="113"/>
      <c r="AA280" s="113"/>
      <c r="AB280" s="113"/>
      <c r="AC280" s="817"/>
      <c r="AD280" s="1638"/>
      <c r="AE280" s="113"/>
      <c r="AF280" s="113"/>
      <c r="AG280" s="113"/>
      <c r="AH280" s="113"/>
      <c r="AI280" s="576"/>
      <c r="AJ280" s="576"/>
      <c r="AK280" s="576"/>
      <c r="AL280" s="576"/>
      <c r="AM280" s="576"/>
      <c r="AN280" s="1240"/>
      <c r="AO280" s="1240"/>
      <c r="AP280" s="576"/>
      <c r="AQ280" s="576"/>
      <c r="AR280" s="576"/>
      <c r="AS280" s="576"/>
      <c r="AT280" s="576"/>
      <c r="AU280" s="576"/>
      <c r="AV280" s="576"/>
      <c r="AW280" s="576"/>
      <c r="AX280" s="576"/>
      <c r="AY280" s="113"/>
      <c r="AZ280" s="113"/>
      <c r="BA280" s="113"/>
      <c r="BB280" s="113"/>
      <c r="BC280" s="113"/>
      <c r="BD280" s="113"/>
    </row>
    <row r="281" spans="1:56" s="418" customFormat="1" ht="12.75" hidden="1" customHeight="1" outlineLevel="1">
      <c r="A281" s="113"/>
      <c r="B281" s="2704" t="s">
        <v>740</v>
      </c>
      <c r="C281" s="2705"/>
      <c r="D281" s="862" t="s">
        <v>754</v>
      </c>
      <c r="E281" s="855"/>
      <c r="F281" s="855"/>
      <c r="G281" s="855"/>
      <c r="H281" s="855"/>
      <c r="I281" s="855"/>
      <c r="J281" s="855"/>
      <c r="K281" s="855"/>
      <c r="L281" s="864"/>
      <c r="M281" s="853"/>
      <c r="N281" s="858"/>
      <c r="O281" s="856"/>
      <c r="P281" s="113"/>
      <c r="Q281" s="113"/>
      <c r="R281" s="113"/>
      <c r="S281" s="113"/>
      <c r="T281" s="113"/>
      <c r="U281" s="113"/>
      <c r="V281" s="113"/>
      <c r="W281" s="113"/>
      <c r="X281" s="113"/>
      <c r="Y281" s="113"/>
      <c r="Z281" s="113"/>
      <c r="AA281" s="113"/>
      <c r="AB281" s="113"/>
      <c r="AC281" s="817"/>
      <c r="AD281" s="1638"/>
      <c r="AE281" s="113"/>
      <c r="AF281" s="113"/>
      <c r="AG281" s="113"/>
      <c r="AH281" s="113"/>
      <c r="AI281" s="576"/>
      <c r="AJ281" s="576"/>
      <c r="AK281" s="576"/>
      <c r="AL281" s="576"/>
      <c r="AM281" s="576"/>
      <c r="AN281" s="1240"/>
      <c r="AO281" s="1240"/>
      <c r="AP281" s="576"/>
      <c r="AQ281" s="576"/>
      <c r="AR281" s="576"/>
      <c r="AS281" s="576"/>
      <c r="AT281" s="576"/>
      <c r="AU281" s="576"/>
      <c r="AV281" s="576"/>
      <c r="AW281" s="576"/>
      <c r="AX281" s="576"/>
      <c r="AY281" s="113"/>
      <c r="AZ281" s="113"/>
      <c r="BA281" s="113"/>
      <c r="BB281" s="113"/>
      <c r="BC281" s="113"/>
      <c r="BD281" s="113"/>
    </row>
    <row r="282" spans="1:56" s="418" customFormat="1" ht="12.75" hidden="1" customHeight="1" outlineLevel="1">
      <c r="A282" s="113"/>
      <c r="B282" s="2704" t="s">
        <v>472</v>
      </c>
      <c r="C282" s="2705"/>
      <c r="D282" s="862" t="s">
        <v>755</v>
      </c>
      <c r="E282" s="855"/>
      <c r="F282" s="855"/>
      <c r="G282" s="855"/>
      <c r="H282" s="855"/>
      <c r="I282" s="855"/>
      <c r="J282" s="855"/>
      <c r="K282" s="855"/>
      <c r="L282" s="864"/>
      <c r="M282" s="853"/>
      <c r="N282" s="858"/>
      <c r="O282" s="856"/>
      <c r="P282" s="113"/>
      <c r="Q282" s="113"/>
      <c r="R282" s="113"/>
      <c r="S282" s="113"/>
      <c r="T282" s="113"/>
      <c r="U282" s="113"/>
      <c r="V282" s="113"/>
      <c r="W282" s="113"/>
      <c r="X282" s="113"/>
      <c r="Y282" s="113"/>
      <c r="Z282" s="113"/>
      <c r="AA282" s="113"/>
      <c r="AB282" s="113"/>
      <c r="AC282" s="817"/>
      <c r="AD282" s="1638"/>
      <c r="AE282" s="113"/>
      <c r="AF282" s="113"/>
      <c r="AG282" s="113"/>
      <c r="AH282" s="113"/>
      <c r="AI282" s="576"/>
      <c r="AJ282" s="576"/>
      <c r="AK282" s="576"/>
      <c r="AL282" s="576"/>
      <c r="AM282" s="576"/>
      <c r="AN282" s="1240"/>
      <c r="AO282" s="1240"/>
      <c r="AP282" s="576"/>
      <c r="AQ282" s="576"/>
      <c r="AR282" s="576"/>
      <c r="AS282" s="113"/>
      <c r="AT282" s="113"/>
      <c r="AU282" s="113"/>
      <c r="AV282" s="113"/>
      <c r="AW282" s="113"/>
      <c r="AX282" s="113"/>
      <c r="AY282" s="113"/>
      <c r="AZ282" s="113"/>
      <c r="BA282" s="113"/>
      <c r="BB282" s="113"/>
      <c r="BC282" s="113"/>
      <c r="BD282" s="113"/>
    </row>
    <row r="283" spans="1:56" s="418" customFormat="1" ht="12.75" hidden="1" customHeight="1" outlineLevel="1">
      <c r="A283" s="113"/>
      <c r="B283" s="2704" t="s">
        <v>763</v>
      </c>
      <c r="C283" s="2705"/>
      <c r="D283" s="854"/>
      <c r="E283" s="855"/>
      <c r="F283" s="855"/>
      <c r="G283" s="855"/>
      <c r="H283" s="855"/>
      <c r="I283" s="855"/>
      <c r="J283" s="855"/>
      <c r="K283" s="855"/>
      <c r="L283" s="864"/>
      <c r="M283" s="853"/>
      <c r="N283" s="858"/>
      <c r="O283" s="856"/>
      <c r="P283" s="113"/>
      <c r="Q283" s="113"/>
      <c r="R283" s="113"/>
      <c r="S283" s="113"/>
      <c r="T283" s="113"/>
      <c r="U283" s="113"/>
      <c r="V283" s="113"/>
      <c r="W283" s="113"/>
      <c r="X283" s="113"/>
      <c r="Y283" s="113"/>
      <c r="Z283" s="113"/>
      <c r="AA283" s="113"/>
      <c r="AB283" s="113"/>
      <c r="AC283" s="817"/>
      <c r="AD283" s="1638"/>
      <c r="AE283" s="113"/>
      <c r="AF283" s="113"/>
      <c r="AG283" s="113"/>
      <c r="AH283" s="113"/>
      <c r="AI283" s="576"/>
      <c r="AJ283" s="576"/>
      <c r="AK283" s="576"/>
      <c r="AL283" s="576"/>
      <c r="AM283" s="576"/>
      <c r="AN283" s="1240"/>
      <c r="AO283" s="1240"/>
      <c r="AP283" s="576"/>
      <c r="AQ283" s="576"/>
      <c r="AR283" s="576"/>
      <c r="AS283" s="113"/>
      <c r="AT283" s="113"/>
      <c r="AU283" s="113"/>
      <c r="AV283" s="113"/>
      <c r="AW283" s="113"/>
      <c r="AX283" s="113"/>
      <c r="AY283" s="113"/>
      <c r="AZ283" s="113"/>
      <c r="BA283" s="113"/>
      <c r="BB283" s="113"/>
      <c r="BC283" s="113"/>
      <c r="BD283" s="113"/>
    </row>
    <row r="284" spans="1:56" s="418" customFormat="1" ht="12.75" hidden="1" customHeight="1" outlineLevel="1">
      <c r="A284" s="113"/>
      <c r="B284" s="2710" t="s">
        <v>724</v>
      </c>
      <c r="C284" s="2711"/>
      <c r="D284" s="2712"/>
      <c r="E284" s="852">
        <f t="shared" ref="E284:O284" si="43">SUM(E266:E283)</f>
        <v>0</v>
      </c>
      <c r="F284" s="852">
        <f t="shared" si="43"/>
        <v>0</v>
      </c>
      <c r="G284" s="852">
        <f t="shared" si="43"/>
        <v>0</v>
      </c>
      <c r="H284" s="852">
        <f t="shared" si="43"/>
        <v>0</v>
      </c>
      <c r="I284" s="852">
        <f t="shared" si="43"/>
        <v>0</v>
      </c>
      <c r="J284" s="852">
        <f t="shared" si="43"/>
        <v>0</v>
      </c>
      <c r="K284" s="852">
        <f t="shared" si="43"/>
        <v>0</v>
      </c>
      <c r="L284" s="852">
        <f t="shared" si="43"/>
        <v>0</v>
      </c>
      <c r="M284" s="863">
        <f t="shared" si="43"/>
        <v>0</v>
      </c>
      <c r="N284" s="859">
        <f>SQRT(SUMSQ(N266:N283))</f>
        <v>0</v>
      </c>
      <c r="O284" s="860">
        <f t="shared" si="43"/>
        <v>0</v>
      </c>
      <c r="P284" s="113"/>
      <c r="Q284" s="113"/>
      <c r="R284" s="113"/>
      <c r="S284" s="113"/>
      <c r="T284" s="113"/>
      <c r="U284" s="113"/>
      <c r="V284" s="113"/>
      <c r="W284" s="113"/>
      <c r="X284" s="113"/>
      <c r="Y284" s="113"/>
      <c r="Z284" s="113"/>
      <c r="AA284" s="113"/>
      <c r="AB284" s="113"/>
      <c r="AC284" s="817"/>
      <c r="AD284" s="1638"/>
      <c r="AE284" s="113"/>
      <c r="AF284" s="113"/>
      <c r="AG284" s="113"/>
      <c r="AH284" s="113"/>
      <c r="AI284" s="576"/>
      <c r="AJ284" s="576"/>
      <c r="AK284" s="576"/>
      <c r="AL284" s="576"/>
      <c r="AM284" s="576"/>
      <c r="AN284" s="1240"/>
      <c r="AO284" s="1240"/>
      <c r="AP284" s="576"/>
      <c r="AQ284" s="576"/>
      <c r="AR284" s="576"/>
      <c r="AS284" s="113"/>
      <c r="AT284" s="113"/>
      <c r="AU284" s="113"/>
      <c r="AV284" s="113"/>
      <c r="AW284" s="113"/>
      <c r="AX284" s="113"/>
      <c r="AY284" s="113"/>
      <c r="AZ284" s="113"/>
      <c r="BA284" s="113"/>
      <c r="BB284" s="113"/>
      <c r="BC284" s="113"/>
      <c r="BD284" s="113"/>
    </row>
    <row r="285" spans="1:56" s="418" customFormat="1" hidden="1" outlineLevel="1">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817"/>
      <c r="Z285" s="817"/>
      <c r="AA285" s="113"/>
      <c r="AB285" s="113"/>
      <c r="AC285" s="113"/>
      <c r="AE285" s="113"/>
      <c r="AF285" s="576"/>
      <c r="AG285" s="576"/>
      <c r="AH285" s="576"/>
      <c r="AI285" s="576"/>
      <c r="AJ285" s="576"/>
      <c r="AK285" s="576"/>
      <c r="AL285" s="576"/>
      <c r="AM285" s="576"/>
      <c r="AN285" s="1240"/>
      <c r="AO285" s="1240"/>
      <c r="AP285" s="576"/>
      <c r="AQ285" s="576"/>
      <c r="AR285" s="113"/>
      <c r="AS285" s="113"/>
      <c r="AT285" s="113"/>
      <c r="AU285" s="113"/>
      <c r="AV285" s="113"/>
      <c r="AW285" s="113"/>
      <c r="AX285" s="113"/>
      <c r="AY285" s="113"/>
      <c r="AZ285" s="113"/>
      <c r="BA285" s="113"/>
      <c r="BB285" s="113"/>
      <c r="BC285" s="113"/>
      <c r="BD285" s="113"/>
    </row>
    <row r="286" spans="1:56" s="418" customFormat="1" collapsed="1">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817"/>
      <c r="Z286" s="817"/>
      <c r="AA286" s="113"/>
      <c r="AB286" s="113"/>
      <c r="AC286" s="113"/>
      <c r="AE286" s="113"/>
      <c r="AF286" s="576"/>
      <c r="AG286" s="576"/>
      <c r="AH286" s="576"/>
      <c r="AI286" s="576"/>
      <c r="AJ286" s="576"/>
      <c r="AK286" s="576"/>
      <c r="AL286" s="576"/>
      <c r="AM286" s="576"/>
      <c r="AN286" s="1240"/>
      <c r="AO286" s="1240"/>
      <c r="AP286" s="576"/>
      <c r="AQ286" s="576"/>
      <c r="AR286" s="113"/>
      <c r="AS286" s="113"/>
      <c r="AT286" s="113"/>
      <c r="AU286" s="113"/>
      <c r="AV286" s="113"/>
      <c r="AW286" s="113"/>
      <c r="AX286" s="113"/>
      <c r="AY286" s="113"/>
      <c r="AZ286" s="113"/>
      <c r="BA286" s="113"/>
      <c r="BB286" s="113"/>
      <c r="BC286" s="113"/>
      <c r="BD286" s="113"/>
    </row>
    <row r="287" spans="1:56" s="418" customFormat="1" ht="15.75" customHeight="1" collapsed="1">
      <c r="A287" s="113"/>
      <c r="B287" s="2716" t="s">
        <v>810</v>
      </c>
      <c r="C287" s="2717"/>
      <c r="D287" s="2717"/>
      <c r="E287" s="2717"/>
      <c r="F287" s="2717"/>
      <c r="G287" s="2717"/>
      <c r="H287" s="2717"/>
      <c r="I287" s="2717"/>
      <c r="J287" s="2717"/>
      <c r="K287" s="2717"/>
      <c r="L287" s="2717"/>
      <c r="M287" s="2717"/>
      <c r="N287" s="2717"/>
      <c r="O287" s="2718"/>
      <c r="P287" s="113"/>
      <c r="Q287" s="113"/>
      <c r="R287" s="113"/>
      <c r="S287" s="113"/>
      <c r="T287" s="113"/>
      <c r="U287" s="113"/>
      <c r="V287" s="113"/>
      <c r="W287" s="113"/>
      <c r="X287" s="113"/>
      <c r="Y287" s="817"/>
      <c r="Z287" s="817"/>
      <c r="AA287" s="113"/>
      <c r="AB287" s="113"/>
      <c r="AC287" s="113"/>
      <c r="AE287" s="113"/>
      <c r="AF287" s="576"/>
      <c r="AG287" s="576"/>
      <c r="AH287" s="576"/>
      <c r="AI287" s="576"/>
      <c r="AJ287" s="576"/>
      <c r="AK287" s="576"/>
      <c r="AL287" s="576"/>
      <c r="AM287" s="576"/>
      <c r="AN287" s="1240"/>
      <c r="AO287" s="1240"/>
      <c r="AP287" s="576"/>
      <c r="AQ287" s="576"/>
      <c r="AR287" s="113"/>
      <c r="AS287" s="113"/>
      <c r="AT287" s="113"/>
      <c r="AU287" s="113"/>
      <c r="AV287" s="113"/>
      <c r="AW287" s="113"/>
      <c r="AX287" s="113"/>
      <c r="AY287" s="113"/>
      <c r="AZ287" s="113"/>
      <c r="BA287" s="113"/>
      <c r="BB287" s="113"/>
      <c r="BC287" s="113"/>
      <c r="BD287" s="113"/>
    </row>
    <row r="288" spans="1:56" s="418" customFormat="1" hidden="1" outlineLevel="1">
      <c r="A288" s="113"/>
      <c r="B288" s="113"/>
      <c r="C288" s="113"/>
      <c r="D288" s="113"/>
      <c r="E288" s="113"/>
      <c r="F288" s="113"/>
      <c r="G288" s="113"/>
      <c r="H288" s="113"/>
      <c r="I288" s="113"/>
      <c r="J288" s="113"/>
      <c r="K288" s="113"/>
      <c r="L288" s="113"/>
      <c r="M288" s="113"/>
      <c r="N288" s="113"/>
      <c r="O288" s="113"/>
      <c r="P288" s="113"/>
      <c r="Q288" s="908"/>
      <c r="R288" s="908"/>
      <c r="S288" s="113"/>
      <c r="T288" s="113"/>
      <c r="U288" s="113"/>
      <c r="V288" s="113"/>
      <c r="W288" s="113"/>
      <c r="X288" s="113"/>
      <c r="Y288" s="817"/>
      <c r="Z288" s="817"/>
      <c r="AA288" s="113"/>
      <c r="AB288" s="113"/>
      <c r="AC288" s="113"/>
      <c r="AE288" s="113"/>
      <c r="AF288" s="576"/>
      <c r="AG288" s="576"/>
      <c r="AH288" s="576"/>
      <c r="AI288" s="576"/>
      <c r="AJ288" s="576"/>
      <c r="AK288" s="576"/>
      <c r="AL288" s="576"/>
      <c r="AM288" s="576"/>
      <c r="AN288" s="1240"/>
      <c r="AO288" s="1240"/>
      <c r="AP288" s="576"/>
      <c r="AQ288" s="576"/>
      <c r="AR288" s="113"/>
      <c r="AS288" s="113"/>
      <c r="AT288" s="113"/>
      <c r="AU288" s="113"/>
      <c r="AV288" s="113"/>
      <c r="AW288" s="113"/>
      <c r="AX288" s="113"/>
      <c r="AY288" s="113"/>
      <c r="AZ288" s="113"/>
      <c r="BA288" s="113"/>
      <c r="BB288" s="113"/>
      <c r="BC288" s="113"/>
      <c r="BD288" s="113"/>
    </row>
    <row r="289" spans="1:56" s="418" customFormat="1" ht="38.25" hidden="1" customHeight="1" outlineLevel="1">
      <c r="A289" s="113"/>
      <c r="B289" s="205"/>
      <c r="C289" s="205"/>
      <c r="D289" s="205"/>
      <c r="E289" s="2719" t="s">
        <v>448</v>
      </c>
      <c r="F289" s="2720"/>
      <c r="G289" s="2720"/>
      <c r="H289" s="2720"/>
      <c r="I289" s="2720"/>
      <c r="J289" s="2720"/>
      <c r="K289" s="2720"/>
      <c r="L289" s="2720"/>
      <c r="M289" s="2721"/>
      <c r="N289" s="971" t="s">
        <v>811</v>
      </c>
      <c r="O289" s="968" t="s">
        <v>440</v>
      </c>
      <c r="P289" s="113"/>
      <c r="Q289" s="908"/>
      <c r="R289" s="908"/>
      <c r="S289" s="113"/>
      <c r="T289" s="113"/>
      <c r="U289" s="113"/>
      <c r="V289" s="113"/>
      <c r="W289" s="113"/>
      <c r="X289" s="113"/>
      <c r="Y289" s="817"/>
      <c r="Z289" s="817"/>
      <c r="AA289" s="113"/>
      <c r="AB289" s="113"/>
      <c r="AC289" s="113"/>
      <c r="AE289" s="113"/>
      <c r="AF289" s="576"/>
      <c r="AG289" s="576"/>
      <c r="AH289" s="576"/>
      <c r="AI289" s="576"/>
      <c r="AJ289" s="576"/>
      <c r="AK289" s="576"/>
      <c r="AL289" s="576"/>
      <c r="AM289" s="576"/>
      <c r="AN289" s="1240"/>
      <c r="AO289" s="1240"/>
      <c r="AP289" s="576"/>
      <c r="AQ289" s="576"/>
      <c r="AR289" s="113"/>
      <c r="AS289" s="113"/>
      <c r="AT289" s="113"/>
      <c r="AU289" s="113"/>
      <c r="AV289" s="113"/>
      <c r="AW289" s="113"/>
      <c r="AX289" s="113"/>
      <c r="AY289" s="113"/>
      <c r="AZ289" s="113"/>
      <c r="BA289" s="113"/>
      <c r="BB289" s="113"/>
      <c r="BC289" s="113"/>
      <c r="BD289" s="113"/>
    </row>
    <row r="290" spans="1:56" s="418" customFormat="1" ht="38.25" hidden="1" customHeight="1" outlineLevel="1">
      <c r="A290" s="113"/>
      <c r="B290" s="2719" t="s">
        <v>438</v>
      </c>
      <c r="C290" s="2721"/>
      <c r="D290" s="970" t="s">
        <v>458</v>
      </c>
      <c r="E290" s="969" t="s">
        <v>853</v>
      </c>
      <c r="F290" s="969" t="s">
        <v>854</v>
      </c>
      <c r="G290" s="969" t="s">
        <v>855</v>
      </c>
      <c r="H290" s="969" t="s">
        <v>861</v>
      </c>
      <c r="I290" s="969" t="s">
        <v>852</v>
      </c>
      <c r="J290" s="970" t="s">
        <v>513</v>
      </c>
      <c r="K290" s="969" t="s">
        <v>862</v>
      </c>
      <c r="L290" s="969" t="s">
        <v>863</v>
      </c>
      <c r="M290" s="969" t="s">
        <v>514</v>
      </c>
      <c r="N290" s="972" t="s">
        <v>856</v>
      </c>
      <c r="O290" s="974" t="s">
        <v>513</v>
      </c>
      <c r="P290" s="113"/>
      <c r="Q290" s="908"/>
      <c r="R290" s="908"/>
      <c r="S290" s="113"/>
      <c r="T290" s="113"/>
      <c r="U290" s="113"/>
      <c r="V290" s="113"/>
      <c r="W290" s="113"/>
      <c r="X290" s="113"/>
      <c r="Y290" s="817"/>
      <c r="Z290" s="817"/>
      <c r="AA290" s="113"/>
      <c r="AB290" s="113"/>
      <c r="AC290" s="113"/>
      <c r="AE290" s="113"/>
      <c r="AF290" s="576"/>
      <c r="AG290" s="576"/>
      <c r="AH290" s="576"/>
      <c r="AI290" s="576"/>
      <c r="AJ290" s="576"/>
      <c r="AK290" s="576"/>
      <c r="AL290" s="576"/>
      <c r="AM290" s="576"/>
      <c r="AN290" s="1240"/>
      <c r="AO290" s="1240"/>
      <c r="AP290" s="576"/>
      <c r="AQ290" s="576"/>
      <c r="AR290" s="113"/>
      <c r="AS290" s="113"/>
      <c r="AT290" s="113"/>
      <c r="AU290" s="113"/>
      <c r="AV290" s="113"/>
      <c r="AW290" s="113"/>
      <c r="AX290" s="113"/>
      <c r="AY290" s="113"/>
      <c r="AZ290" s="113"/>
      <c r="BA290" s="113"/>
      <c r="BB290" s="113"/>
      <c r="BC290" s="113"/>
      <c r="BD290" s="113"/>
    </row>
    <row r="291" spans="1:56" s="418" customFormat="1" ht="12.75" hidden="1" customHeight="1" outlineLevel="1">
      <c r="A291" s="113"/>
      <c r="B291" s="2722" t="s">
        <v>459</v>
      </c>
      <c r="C291" s="2723"/>
      <c r="D291" s="973">
        <v>1</v>
      </c>
      <c r="E291" s="980">
        <f>SUMIF($E$9:$E$40,Utilitaires!$C$572,AF9:AF40)+SUMIF($E$9:$E$40,Utilitaires!$C$577,AF9:AF40)</f>
        <v>0</v>
      </c>
      <c r="F291" s="980">
        <f>SUMIF($E$9:$E$40,Utilitaires!$C$572,AH9:AH40)+SUMIF($E$9:$E$40,Utilitaires!$C$577,AH9:AH40)</f>
        <v>0</v>
      </c>
      <c r="G291" s="980">
        <f>SUMIF($E$9:$E$40,Utilitaires!$C$572,AJ9:AJ40)+SUMIF($E$9:$E$40,Utilitaires!$C$577,AJ9:AJ40)</f>
        <v>0</v>
      </c>
      <c r="H291" s="980">
        <v>0</v>
      </c>
      <c r="I291" s="980">
        <v>0</v>
      </c>
      <c r="J291" s="981">
        <f>SUM(E291:I291)</f>
        <v>0</v>
      </c>
      <c r="K291" s="982">
        <f>SUMIF($E$9:$E$40,Utilitaires!$C$572,AP9:AP40)+SUMIF($E$9:$E$40,Utilitaires!$C$577,AP9:AP40)</f>
        <v>0</v>
      </c>
      <c r="L291" s="982">
        <v>0</v>
      </c>
      <c r="M291" s="983">
        <f>SQRT(SUMPRODUCT(($E$9:$E$40=Utilitaires!$C$572)*1,AA9:AA40,AA9:AA40)+SUMPRODUCT(($E$9:$E$40=Utilitaires!$C$577)*1,AA9:AA40,AA9:AA40))</f>
        <v>0</v>
      </c>
      <c r="N291" s="984"/>
      <c r="O291" s="2724" t="s">
        <v>817</v>
      </c>
      <c r="P291" s="113"/>
      <c r="Q291" s="908"/>
      <c r="R291" s="908"/>
      <c r="S291" s="113"/>
      <c r="T291" s="113"/>
      <c r="U291" s="113"/>
      <c r="V291" s="113"/>
      <c r="W291" s="113"/>
      <c r="X291" s="113"/>
      <c r="Y291" s="817"/>
      <c r="Z291" s="817"/>
      <c r="AA291" s="113"/>
      <c r="AB291" s="113"/>
      <c r="AC291" s="113"/>
      <c r="AE291" s="113"/>
      <c r="AF291" s="576"/>
      <c r="AG291" s="576"/>
      <c r="AH291" s="576"/>
      <c r="AI291" s="576"/>
      <c r="AJ291" s="576"/>
      <c r="AK291" s="576"/>
      <c r="AL291" s="576"/>
      <c r="AM291" s="576"/>
      <c r="AN291" s="1240"/>
      <c r="AO291" s="1240"/>
      <c r="AP291" s="576"/>
      <c r="AQ291" s="576"/>
      <c r="AR291" s="113"/>
      <c r="AS291" s="113"/>
      <c r="AT291" s="113"/>
      <c r="AU291" s="113"/>
      <c r="AV291" s="113"/>
      <c r="AW291" s="113"/>
      <c r="AX291" s="113"/>
      <c r="AY291" s="113"/>
      <c r="AZ291" s="113"/>
      <c r="BA291" s="113"/>
      <c r="BB291" s="113"/>
      <c r="BC291" s="113"/>
      <c r="BD291" s="113"/>
    </row>
    <row r="292" spans="1:56" s="418" customFormat="1" ht="12.75" hidden="1" customHeight="1" outlineLevel="1">
      <c r="A292" s="113"/>
      <c r="B292" s="2722" t="s">
        <v>722</v>
      </c>
      <c r="C292" s="2723"/>
      <c r="D292" s="973">
        <v>2</v>
      </c>
      <c r="E292" s="980"/>
      <c r="F292" s="980"/>
      <c r="G292" s="980"/>
      <c r="H292" s="980"/>
      <c r="I292" s="980"/>
      <c r="J292" s="981"/>
      <c r="K292" s="982"/>
      <c r="L292" s="982"/>
      <c r="M292" s="983"/>
      <c r="N292" s="984"/>
      <c r="O292" s="2725"/>
      <c r="P292" s="113"/>
      <c r="Q292" s="908"/>
      <c r="R292" s="908"/>
      <c r="S292" s="113"/>
      <c r="T292" s="113"/>
      <c r="U292" s="113"/>
      <c r="V292" s="113"/>
      <c r="W292" s="113"/>
      <c r="X292" s="113"/>
      <c r="Y292" s="817"/>
      <c r="Z292" s="817"/>
      <c r="AA292" s="113"/>
      <c r="AB292" s="113"/>
      <c r="AC292" s="113"/>
      <c r="AE292" s="113"/>
      <c r="AF292" s="576"/>
      <c r="AG292" s="576"/>
      <c r="AH292" s="576"/>
      <c r="AI292" s="576"/>
      <c r="AJ292" s="576"/>
      <c r="AK292" s="576"/>
      <c r="AL292" s="576"/>
      <c r="AM292" s="576"/>
      <c r="AN292" s="1240"/>
      <c r="AO292" s="1240"/>
      <c r="AP292" s="576"/>
      <c r="AQ292" s="576"/>
      <c r="AR292" s="113"/>
      <c r="AS292" s="113"/>
      <c r="AT292" s="113"/>
      <c r="AU292" s="113"/>
      <c r="AV292" s="113"/>
      <c r="AW292" s="113"/>
      <c r="AX292" s="113"/>
      <c r="AY292" s="113"/>
      <c r="AZ292" s="113"/>
      <c r="BA292" s="113"/>
      <c r="BB292" s="113"/>
      <c r="BC292" s="113"/>
      <c r="BD292" s="113"/>
    </row>
    <row r="293" spans="1:56" s="418" customFormat="1" ht="12.75" hidden="1" customHeight="1" outlineLevel="1">
      <c r="A293" s="113"/>
      <c r="B293" s="2722" t="s">
        <v>723</v>
      </c>
      <c r="C293" s="2723"/>
      <c r="D293" s="973">
        <v>3</v>
      </c>
      <c r="E293" s="980"/>
      <c r="F293" s="980"/>
      <c r="G293" s="980"/>
      <c r="H293" s="980"/>
      <c r="I293" s="980"/>
      <c r="J293" s="981"/>
      <c r="K293" s="982"/>
      <c r="L293" s="982"/>
      <c r="M293" s="983"/>
      <c r="N293" s="984"/>
      <c r="O293" s="2725"/>
      <c r="P293" s="113"/>
      <c r="Q293" s="908"/>
      <c r="R293" s="908"/>
      <c r="S293" s="113"/>
      <c r="T293" s="113"/>
      <c r="U293" s="113"/>
      <c r="V293" s="113"/>
      <c r="W293" s="113"/>
      <c r="X293" s="113"/>
      <c r="Y293" s="817"/>
      <c r="Z293" s="817"/>
      <c r="AA293" s="113"/>
      <c r="AB293" s="113"/>
      <c r="AC293" s="113"/>
      <c r="AE293" s="113"/>
      <c r="AF293" s="576"/>
      <c r="AG293" s="576"/>
      <c r="AH293" s="576"/>
      <c r="AI293" s="576"/>
      <c r="AJ293" s="576"/>
      <c r="AK293" s="576"/>
      <c r="AL293" s="576"/>
      <c r="AM293" s="576"/>
      <c r="AN293" s="1240"/>
      <c r="AO293" s="1240"/>
      <c r="AP293" s="576"/>
      <c r="AQ293" s="576"/>
      <c r="AR293" s="113"/>
      <c r="AS293" s="113"/>
      <c r="AT293" s="113"/>
      <c r="AU293" s="113"/>
      <c r="AV293" s="113"/>
      <c r="AW293" s="113"/>
      <c r="AX293" s="113"/>
      <c r="AY293" s="113"/>
      <c r="AZ293" s="113"/>
      <c r="BA293" s="113"/>
      <c r="BB293" s="113"/>
      <c r="BC293" s="113"/>
      <c r="BD293" s="113"/>
    </row>
    <row r="294" spans="1:56" s="418" customFormat="1" ht="12.75" hidden="1" customHeight="1" outlineLevel="1">
      <c r="A294" s="113"/>
      <c r="B294" s="2722" t="s">
        <v>462</v>
      </c>
      <c r="C294" s="2723"/>
      <c r="D294" s="973">
        <v>4</v>
      </c>
      <c r="E294" s="980"/>
      <c r="F294" s="980"/>
      <c r="G294" s="980"/>
      <c r="H294" s="980"/>
      <c r="I294" s="980"/>
      <c r="J294" s="981"/>
      <c r="K294" s="982"/>
      <c r="L294" s="982"/>
      <c r="M294" s="983"/>
      <c r="N294" s="984"/>
      <c r="O294" s="2725"/>
      <c r="P294" s="113"/>
      <c r="Q294" s="908"/>
      <c r="R294" s="908"/>
      <c r="S294" s="113"/>
      <c r="T294" s="113"/>
      <c r="U294" s="113"/>
      <c r="V294" s="113"/>
      <c r="W294" s="113"/>
      <c r="X294" s="113"/>
      <c r="Y294" s="817"/>
      <c r="Z294" s="817"/>
      <c r="AA294" s="113"/>
      <c r="AB294" s="113"/>
      <c r="AC294" s="113"/>
      <c r="AE294" s="113"/>
      <c r="AF294" s="576"/>
      <c r="AG294" s="576"/>
      <c r="AH294" s="576"/>
      <c r="AI294" s="576"/>
      <c r="AJ294" s="576"/>
      <c r="AK294" s="576"/>
      <c r="AL294" s="576"/>
      <c r="AM294" s="576"/>
      <c r="AN294" s="1240"/>
      <c r="AO294" s="1240"/>
      <c r="AP294" s="576"/>
      <c r="AQ294" s="576"/>
      <c r="AR294" s="113"/>
      <c r="AS294" s="113"/>
      <c r="AT294" s="113"/>
      <c r="AU294" s="113"/>
      <c r="AV294" s="113"/>
      <c r="AW294" s="113"/>
      <c r="AX294" s="113"/>
      <c r="AY294" s="113"/>
      <c r="AZ294" s="113"/>
      <c r="BA294" s="113"/>
      <c r="BB294" s="113"/>
      <c r="BC294" s="113"/>
      <c r="BD294" s="113"/>
    </row>
    <row r="295" spans="1:56" s="418" customFormat="1" ht="12.75" hidden="1" customHeight="1" outlineLevel="1">
      <c r="A295" s="113"/>
      <c r="B295" s="2722" t="s">
        <v>812</v>
      </c>
      <c r="C295" s="2723"/>
      <c r="D295" s="973">
        <v>5</v>
      </c>
      <c r="E295" s="980"/>
      <c r="F295" s="980"/>
      <c r="G295" s="980"/>
      <c r="H295" s="980"/>
      <c r="I295" s="980"/>
      <c r="J295" s="981"/>
      <c r="K295" s="982"/>
      <c r="L295" s="982"/>
      <c r="M295" s="983"/>
      <c r="N295" s="985"/>
      <c r="O295" s="2725"/>
      <c r="P295" s="113"/>
      <c r="Q295" s="908"/>
      <c r="R295" s="908"/>
      <c r="S295" s="113"/>
      <c r="T295" s="113"/>
      <c r="U295" s="113"/>
      <c r="V295" s="113"/>
      <c r="W295" s="113"/>
      <c r="X295" s="113"/>
      <c r="Y295" s="817"/>
      <c r="Z295" s="817"/>
      <c r="AA295" s="113"/>
      <c r="AB295" s="113"/>
      <c r="AC295" s="113"/>
      <c r="AE295" s="113"/>
      <c r="AF295" s="576"/>
      <c r="AG295" s="576"/>
      <c r="AH295" s="576"/>
      <c r="AI295" s="576"/>
      <c r="AJ295" s="576"/>
      <c r="AK295" s="576"/>
      <c r="AL295" s="576"/>
      <c r="AM295" s="576"/>
      <c r="AN295" s="1240"/>
      <c r="AO295" s="1240"/>
      <c r="AP295" s="576"/>
      <c r="AQ295" s="576"/>
      <c r="AR295" s="113"/>
      <c r="AS295" s="113"/>
      <c r="AT295" s="113"/>
      <c r="AU295" s="113"/>
      <c r="AV295" s="113"/>
      <c r="AW295" s="113"/>
      <c r="AX295" s="113"/>
      <c r="AY295" s="113"/>
      <c r="AZ295" s="113"/>
      <c r="BA295" s="113"/>
      <c r="BB295" s="113"/>
      <c r="BC295" s="113"/>
      <c r="BD295" s="113"/>
    </row>
    <row r="296" spans="1:56" s="418" customFormat="1" ht="12.75" hidden="1" customHeight="1" outlineLevel="1">
      <c r="A296" s="113"/>
      <c r="B296" s="2727" t="s">
        <v>726</v>
      </c>
      <c r="C296" s="2728"/>
      <c r="D296" s="2729"/>
      <c r="E296" s="986">
        <f>SUM(E291:E295)</f>
        <v>0</v>
      </c>
      <c r="F296" s="986">
        <f t="shared" ref="F296:N296" si="44">SUM(F291:F295)</f>
        <v>0</v>
      </c>
      <c r="G296" s="986">
        <f t="shared" si="44"/>
        <v>0</v>
      </c>
      <c r="H296" s="986">
        <f t="shared" si="44"/>
        <v>0</v>
      </c>
      <c r="I296" s="986">
        <f t="shared" si="44"/>
        <v>0</v>
      </c>
      <c r="J296" s="986">
        <f t="shared" si="44"/>
        <v>0</v>
      </c>
      <c r="K296" s="987">
        <f t="shared" si="44"/>
        <v>0</v>
      </c>
      <c r="L296" s="987">
        <f t="shared" si="44"/>
        <v>0</v>
      </c>
      <c r="M296" s="988">
        <f>SQRT(SUMSQ(M291:M295))</f>
        <v>0</v>
      </c>
      <c r="N296" s="989">
        <f t="shared" si="44"/>
        <v>0</v>
      </c>
      <c r="O296" s="2726"/>
      <c r="P296" s="113"/>
      <c r="Q296" s="908"/>
      <c r="R296" s="908"/>
      <c r="S296" s="113"/>
      <c r="T296" s="113"/>
      <c r="U296" s="113"/>
      <c r="V296" s="113"/>
      <c r="W296" s="113"/>
      <c r="X296" s="113"/>
      <c r="Y296" s="817"/>
      <c r="Z296" s="817"/>
      <c r="AA296" s="113"/>
      <c r="AB296" s="113"/>
      <c r="AC296" s="113"/>
      <c r="AE296" s="113"/>
      <c r="AF296" s="576"/>
      <c r="AG296" s="576"/>
      <c r="AH296" s="576"/>
      <c r="AI296" s="576"/>
      <c r="AJ296" s="576"/>
      <c r="AK296" s="576"/>
      <c r="AL296" s="576"/>
      <c r="AM296" s="576"/>
      <c r="AN296" s="1240"/>
      <c r="AO296" s="1240"/>
      <c r="AP296" s="576"/>
      <c r="AQ296" s="576"/>
      <c r="AR296" s="113"/>
      <c r="AS296" s="113"/>
      <c r="AT296" s="113"/>
      <c r="AU296" s="113"/>
      <c r="AV296" s="113"/>
      <c r="AW296" s="113"/>
      <c r="AX296" s="113"/>
      <c r="AY296" s="113"/>
      <c r="AZ296" s="113"/>
      <c r="BA296" s="113"/>
      <c r="BB296" s="113"/>
      <c r="BC296" s="113"/>
      <c r="BD296" s="113"/>
    </row>
    <row r="297" spans="1:56" s="418" customFormat="1" ht="12.75" hidden="1" customHeight="1" outlineLevel="1">
      <c r="A297" s="113"/>
      <c r="B297" s="2722" t="s">
        <v>464</v>
      </c>
      <c r="C297" s="2723"/>
      <c r="D297" s="973">
        <v>6</v>
      </c>
      <c r="E297" s="980">
        <f>SUMIF($E$82:$E$109,Utilitaires!$C$572,AF82:AF109)+SUMIF($E$82:$E$109,Utilitaires!$C$577,AF82:AF109)+SUMIF($E$111:$E$174,Utilitaires!$C$572,AE111:AE174)+SUMIF($E$111:$E$174,Utilitaires!$C$577,AE111:AE174)+SUMIF($E$180:$E$184,Utilitaires!$C$572,AF180:AF184)+SUMIF($E$180:$E$184,Utilitaires!$C$577,AF180:AF184)</f>
        <v>0</v>
      </c>
      <c r="F297" s="980">
        <f>SUMIF($E$82:$E$109,Utilitaires!$C$572,AH82:AH109)+SUMIF($E$82:$E$109,Utilitaires!$C$577,AH82:AH109)+SUMIF($E$111:$E$174,Utilitaires!$C$572,AF111:AF174)+SUMIF($E$111:$E$174,Utilitaires!$C$577,AF111:AF174)+SUMIF($E$180:$E$184,Utilitaires!$C$572,AH180:AH184)+SUMIF($E$180:$E$184,Utilitaires!$C$577,AH180:AH184)</f>
        <v>0</v>
      </c>
      <c r="G297" s="980">
        <f>SUMIF($E$82:$E$109,Utilitaires!$C$572,AJ82:AJ109)+SUMIF($E$82:$E$109,Utilitaires!$C$577,AJ82:AJ109)+SUMIF($E$111:$E$174,Utilitaires!$C$572,AG111:AG174)+SUMIF($E$111:$E$174,Utilitaires!$C$577,AG111:AG174)+SUMIF($E$180:$E$184,Utilitaires!$C$572,AJ180:APF184)+SUMIF($E$180:$E$184,Utilitaires!$C$577,AJ180:AJ184)</f>
        <v>0</v>
      </c>
      <c r="H297" s="980">
        <v>0</v>
      </c>
      <c r="I297" s="980">
        <v>0</v>
      </c>
      <c r="J297" s="981">
        <f>SUM(E297:I297)</f>
        <v>0</v>
      </c>
      <c r="K297" s="982">
        <f>SUMIF($E$82:$E$109,Utilitaires!$C$572,AP82:AP109)+SUMIF($E$82:$E$109,Utilitaires!$C$577,AP82:AP109)+SUMIF($E$111:$E$174,Utilitaires!$C$572,AJ111:AJ174)+SUMIF($E$111:$E$174,Utilitaires!$C$577,AJ111:AJ174)+SUMIF($E$180:$E$184,Utilitaires!$C$572,AP180:AP184)+SUMIF($E$180:$E$184,Utilitaires!$C$577,AP180:AP184)</f>
        <v>0</v>
      </c>
      <c r="L297" s="982">
        <v>0</v>
      </c>
      <c r="M297" s="983">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N297" s="984"/>
      <c r="O297" s="990"/>
      <c r="P297" s="113"/>
      <c r="Q297" s="908"/>
      <c r="R297" s="908"/>
      <c r="S297" s="113"/>
      <c r="T297" s="113"/>
      <c r="U297" s="113"/>
      <c r="V297" s="113"/>
      <c r="W297" s="113"/>
      <c r="X297" s="113"/>
      <c r="Y297" s="817"/>
      <c r="Z297" s="817"/>
      <c r="AA297" s="113"/>
      <c r="AB297" s="113"/>
      <c r="AC297" s="113"/>
      <c r="AE297" s="113"/>
      <c r="AF297" s="576"/>
      <c r="AG297" s="576"/>
      <c r="AH297" s="576"/>
      <c r="AI297" s="576"/>
      <c r="AJ297" s="576"/>
      <c r="AK297" s="576"/>
      <c r="AL297" s="576"/>
      <c r="AM297" s="576"/>
      <c r="AN297" s="1240"/>
      <c r="AO297" s="1240"/>
      <c r="AP297" s="576"/>
      <c r="AQ297" s="576"/>
      <c r="AR297" s="113"/>
      <c r="AS297" s="113"/>
      <c r="AT297" s="113"/>
      <c r="AU297" s="113"/>
      <c r="AV297" s="113"/>
      <c r="AW297" s="113"/>
      <c r="AX297" s="113"/>
      <c r="AY297" s="113"/>
      <c r="AZ297" s="113"/>
      <c r="BA297" s="113"/>
      <c r="BB297" s="113"/>
      <c r="BC297" s="113"/>
      <c r="BD297" s="113"/>
    </row>
    <row r="298" spans="1:56" s="418" customFormat="1" ht="12.75" hidden="1" customHeight="1" outlineLevel="1">
      <c r="A298" s="113"/>
      <c r="B298" s="2722" t="s">
        <v>813</v>
      </c>
      <c r="C298" s="2723"/>
      <c r="D298" s="973">
        <v>7</v>
      </c>
      <c r="E298" s="980">
        <f>(1/(1+10%))*SUMIF($E$59:$E$77,Utilitaires!$C$572,AE59:AE77)+(1/(1+10%))*SUMIF($E$59:$E$77,Utilitaires!$C$577,AE59:AE77)</f>
        <v>0</v>
      </c>
      <c r="F298" s="980">
        <f>(1/(1+10%))*SUMIF($E$59:$E$77,Utilitaires!$C$572,AF59:AF77)+(1/(1+10%))*SUMIF($E$59:$E$77,Utilitaires!$C$577,AF59:AF77)</f>
        <v>0</v>
      </c>
      <c r="G298" s="980">
        <f>(1/(1+10%))*SUMIF($E$59:$E$77,Utilitaires!$C$572,AG59:AG77)+(1/(1+10%))*SUMIF($E$59:$E$77,Utilitaires!$C$577,AG59:AG77)</f>
        <v>0</v>
      </c>
      <c r="H298" s="980">
        <v>0</v>
      </c>
      <c r="I298" s="980">
        <v>0</v>
      </c>
      <c r="J298" s="981">
        <f>SUM(E298:I298)</f>
        <v>0</v>
      </c>
      <c r="K298" s="982">
        <f>(1/(1+10%))*SUMIF($E$59:$E$77,Utilitaires!$C$572,AJ59:AJ77)+(1/(1+10%))*SUMIF($E$59:$E$77,Utilitaires!$C$577,AJ59:AJ77)</f>
        <v>0</v>
      </c>
      <c r="L298" s="982">
        <v>0</v>
      </c>
      <c r="M298" s="983">
        <f>(1/SQRT((1+10%^2)))*SQRT(SUMPRODUCT(($E$59:$E$67=Utilitaires!$C$572)*1,AB59:AB67,AB59:AB67)+SUMPRODUCT(($E$59:$E$67=Utilitaires!$C$577)*1,AB59:AB67,AB59:AB67)+SUMPRODUCT(($E$69:$E$77=Utilitaires!$C$572)*1,AB69:AB77,AB69:AB77)+SUMPRODUCT(($E$69:$E$77=Utilitaires!$C$577)*1,AB69:AB77,AB69:AB77))</f>
        <v>0</v>
      </c>
      <c r="N298" s="984"/>
      <c r="O298" s="984"/>
      <c r="P298" s="113"/>
      <c r="Q298" s="908"/>
      <c r="R298" s="908"/>
      <c r="S298" s="113"/>
      <c r="T298" s="113"/>
      <c r="U298" s="113"/>
      <c r="V298" s="113"/>
      <c r="W298" s="113"/>
      <c r="X298" s="113"/>
      <c r="Y298" s="817"/>
      <c r="Z298" s="817"/>
      <c r="AA298" s="113"/>
      <c r="AB298" s="113"/>
      <c r="AC298" s="113"/>
      <c r="AE298" s="113"/>
      <c r="AF298" s="576"/>
      <c r="AG298" s="576"/>
      <c r="AH298" s="576"/>
      <c r="AI298" s="576"/>
      <c r="AJ298" s="576"/>
      <c r="AK298" s="576"/>
      <c r="AL298" s="576"/>
      <c r="AM298" s="576"/>
      <c r="AN298" s="1240"/>
      <c r="AO298" s="1240"/>
      <c r="AP298" s="576"/>
      <c r="AQ298" s="576"/>
      <c r="AR298" s="113"/>
      <c r="AS298" s="113"/>
      <c r="AT298" s="113"/>
      <c r="AU298" s="113"/>
      <c r="AV298" s="113"/>
      <c r="AW298" s="113"/>
      <c r="AX298" s="113"/>
      <c r="AY298" s="113"/>
      <c r="AZ298" s="113"/>
      <c r="BA298" s="113"/>
      <c r="BB298" s="113"/>
      <c r="BC298" s="113"/>
      <c r="BD298" s="113"/>
    </row>
    <row r="299" spans="1:56" s="418" customFormat="1" ht="12.75" hidden="1" customHeight="1" outlineLevel="1">
      <c r="A299" s="113"/>
      <c r="B299" s="2727" t="s">
        <v>725</v>
      </c>
      <c r="C299" s="2728"/>
      <c r="D299" s="2729"/>
      <c r="E299" s="986">
        <f>SUM(E297:E298)</f>
        <v>0</v>
      </c>
      <c r="F299" s="986">
        <f t="shared" ref="F299:O299" si="45">SUM(F297:F298)</f>
        <v>0</v>
      </c>
      <c r="G299" s="986">
        <f t="shared" si="45"/>
        <v>0</v>
      </c>
      <c r="H299" s="986">
        <f t="shared" si="45"/>
        <v>0</v>
      </c>
      <c r="I299" s="986">
        <f t="shared" si="45"/>
        <v>0</v>
      </c>
      <c r="J299" s="986">
        <f t="shared" si="45"/>
        <v>0</v>
      </c>
      <c r="K299" s="987">
        <f t="shared" si="45"/>
        <v>0</v>
      </c>
      <c r="L299" s="987">
        <f t="shared" si="45"/>
        <v>0</v>
      </c>
      <c r="M299" s="988">
        <f>SQRT(SUMSQ(M297:M298))</f>
        <v>0</v>
      </c>
      <c r="N299" s="989">
        <f t="shared" si="45"/>
        <v>0</v>
      </c>
      <c r="O299" s="989">
        <f t="shared" si="45"/>
        <v>0</v>
      </c>
      <c r="P299" s="113"/>
      <c r="Q299" s="908"/>
      <c r="R299" s="908"/>
      <c r="S299" s="113"/>
      <c r="T299" s="113"/>
      <c r="U299" s="113"/>
      <c r="V299" s="113"/>
      <c r="W299" s="113"/>
      <c r="X299" s="113"/>
      <c r="Y299" s="817"/>
      <c r="Z299" s="817"/>
      <c r="AA299" s="113"/>
      <c r="AB299" s="113"/>
      <c r="AC299" s="113"/>
      <c r="AE299" s="113"/>
      <c r="AF299" s="576"/>
      <c r="AG299" s="576"/>
      <c r="AH299" s="576"/>
      <c r="AI299" s="576"/>
      <c r="AJ299" s="576"/>
      <c r="AK299" s="576"/>
      <c r="AL299" s="576"/>
      <c r="AM299" s="576"/>
      <c r="AN299" s="1240"/>
      <c r="AO299" s="1240"/>
      <c r="AP299" s="576"/>
      <c r="AQ299" s="576"/>
      <c r="AR299" s="113"/>
      <c r="AS299" s="113"/>
      <c r="AT299" s="113"/>
      <c r="AU299" s="113"/>
      <c r="AV299" s="113"/>
      <c r="AW299" s="113"/>
      <c r="AX299" s="113"/>
      <c r="AY299" s="113"/>
      <c r="AZ299" s="113"/>
      <c r="BA299" s="113"/>
      <c r="BB299" s="113"/>
      <c r="BC299" s="113"/>
      <c r="BD299" s="113"/>
    </row>
    <row r="300" spans="1:56" s="418" customFormat="1" ht="12.75" hidden="1" customHeight="1" outlineLevel="1">
      <c r="A300" s="113"/>
      <c r="B300" s="2722" t="s">
        <v>466</v>
      </c>
      <c r="C300" s="2723"/>
      <c r="D300" s="973">
        <v>8</v>
      </c>
      <c r="E300" s="980">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300" s="980">
        <f>SUMIF($E$9:$E$40,Utilitaires!$C$572,AG9:AG40)+SUMIF($E$9:$E$40,Utilitaires!$C$577,AG9:AG40)+
SUMIF($E$82:$E$109,Utilitaires!$C$572,AG82:AG109)+SUMIF($E$82:$E$109,Utilitaires!$C$577,AG82:AG109)+
$G190*SUMIF($E$111:$E$174,Utilitaires!$C$572,AF111:AF174)+$G190*SUMIF($E$111:$E$174,Utilitaires!$C$577,AF111:AF174)+
(1+$G190)*SUMIF($E$180:$E$184,Utilitaires!$C$572,AG180:AG184)+(1+$G190)*SUMIF($E$180:$E$184,Utilitaires!$C$577,AG180:AG184)+$G190*SUMIF($E$180:$E$184,Utilitaires!$C$572,AH180:AH184)+$G190*SUMIF($E$180:$E$184,Utilitaires!$C$577,AH180:AH184)
+(10%/(1+10%))*SUMIF($E$59:$E$77,Utilitaires!$C$572,AF59:AF77)+(10%/(1+10%))*SUMIF($E$59:$E$77,Utilitaires!$C$577,AF59:AF77)</f>
        <v>0</v>
      </c>
      <c r="G300" s="980">
        <f>SUMIF($E$9:$E$40,Utilitaires!$C$572,AI9:AI40)+SUMIF($E$9:$E$40,Utilitaires!$C$577,AI9:AI40)+
SUMIF($E$82:$E$109,Utilitaires!$C$572,AI82:AI109)+SUMIF($E$82:$E$109,Utilitaires!$C$577,AI82:AI109)+
$G190*SUMIF($E$111:$E$174,Utilitaires!$C$572,AG111:AG174)+$G190*SUMIF($E$111:$E$174,Utilitaires!$C$577,AG111:AG174)+
(1+$G190)*SUMIF($E$180:$E$184,Utilitaires!$C$572,AI180:AI184)+(1+$G190)*SUMIF($E$180:$E$184,Utilitaires!$C$577,AI180:AI184)+$G190*SUMIF($E$180:$E$184,Utilitaires!$C$572,AJ180:AJ184)+$G190*SUMIF($E$180:$E$184,Utilitaires!$C$577,AJ180:AJ184)
+(10%/(1+10%))*SUMIF($E$59:$E$77,Utilitaires!$C$572,AG59:AG77)+(10%/(1+10%))*SUMIF($E$59:$E$77,Utilitaires!$C$577,AG59:AG77)</f>
        <v>0</v>
      </c>
      <c r="H300" s="980">
        <v>0</v>
      </c>
      <c r="I300" s="980">
        <v>0</v>
      </c>
      <c r="J300" s="981">
        <f>SUM(E300:I300)</f>
        <v>0</v>
      </c>
      <c r="K300" s="982">
        <f>SUMIF($E$9:$E$40,Utilitaires!$C$572,AO9:AO40)+SUMIF($E$9:$E$40,Utilitaires!$C$577,AO9:AO40)+
SUMIF($E$97:$E$109,Utilitaires!$C$572,AO97:AO109)+SUMIF($E$97:$E$109,Utilitaires!$C$577,AO97:AO109)+
$G190*SUMIF($E$111:$E$174,Utilitaires!$C$572,AJ111:AJ174)+$G190*SUMIF($E$111:$E$174,Utilitaires!$C$577,AJ111:AJ174)+
(1+$G190)*SUMIF($E$180:$E$184,Utilitaires!$C$572,AO180:AO184)+(1+$G190)*SUMIF($E$180:$E$184,Utilitaires!$C$577,AO180:AO184)+$G190*SUMIF($E$180:$E$184,Utilitaires!$C$572,AP180:AP184)+$G190*SUMIF($E$180:$E$184,Utilitaires!$C$577,AP180:AP184)
+(10%/(1+10%))*SUMIF($E$59:$E$77,Utilitaires!$C$572,AJ59:AJ77)+(10%/(1+10%))*SUMIF($E$59:$E$77,Utilitaires!$C$577,AJ59:AJ77)</f>
        <v>0</v>
      </c>
      <c r="L300" s="982">
        <v>0</v>
      </c>
      <c r="M300" s="983">
        <f>SQRT(
SUMPRODUCT(($E$9:$E$40=Utilitaires!$C$572)*1,Z9:Z40,Z9:Z40)+SUMPRODUCT(($E$9:$E$40=Utilitaires!$C$577)*1,Z9:Z40,Z9:Z40)+
SUMPRODUCT(($E$59:$E$67=Utilitaires!$C$572)*1,AB59:AB67,AB59:AB67)+SUMPRODUCT(($E$59:$E$67=Utilitaires!$C$577)*1,AB59:AB67,AB59:AB67)+
SUMPRODUCT(($E$69:$E$77=Utilitaires!$C$572)*1,AB69:AB77,AB69:AB77)+SUMPRODUCT(($E$69:$E$77=Utilitaires!$C$577)*1,AB69:AB77,AB69:AB77)-M298^2
+(1+$G190^2)*(SUMPRODUCT(($E$82:$E$109=Utilitaires!$C$572)*1,Z82:Z109,Z82:Z109)+SUMPRODUCT(($E$82:$E$109=Utilitaires!$C$577)*1,Z82:Z109,Z82:Z109))
+$G190^2*(SUMPRODUCT(($E$82:$E$109=Utilitaires!$C$572)*1,AA82:AA109,AA82:AA109)+SUMPRODUCT(($E$82:$E$109=Utilitaires!$C$577)*1,AA82:AA109,AA82:AA109))
+(1+$G190^2)*(SUMPRODUCT(($E$180:$E$184=Utilitaires!$C$572)*1,Z180:Z184,Z180:Z184)+SUMPRODUCT(($E$180:$E$184=Utilitaires!$C$577)*1,Z180:Z184,Z180:Z184))
+$G190^2*(SUMPRODUCT(($E$180:$E$184=Utilitaires!$C$572)*1,AA180:AA184,AA180:AA184)+SUMPRODUCT(($E$180:$E$184=Utilitaires!$C$577)*1,AA180:AA184,AA180:AA184))
+$G190^2*(SUMPRODUCT(($E$111:$E$174=Utilitaires!$C$572)*1,AC111:AC174,AC111:AC174)+SUMPRODUCT(($E$111:$E$174=Utilitaires!$C$577)*1,AC111:AC174,AC111:AC174)))</f>
        <v>0</v>
      </c>
      <c r="N300" s="984"/>
      <c r="O300" s="984"/>
      <c r="P300" s="113"/>
      <c r="Q300" s="908"/>
      <c r="R300" s="908"/>
      <c r="S300" s="113"/>
      <c r="T300" s="113"/>
      <c r="U300" s="113"/>
      <c r="V300" s="113"/>
      <c r="W300" s="113"/>
      <c r="X300" s="113"/>
      <c r="Y300" s="817"/>
      <c r="Z300" s="817"/>
      <c r="AA300" s="113"/>
      <c r="AB300" s="113"/>
      <c r="AC300" s="113"/>
      <c r="AE300" s="113"/>
      <c r="AF300" s="576"/>
      <c r="AG300" s="576"/>
      <c r="AH300" s="576"/>
      <c r="AI300" s="576"/>
      <c r="AJ300" s="576"/>
      <c r="AK300" s="576"/>
      <c r="AL300" s="576"/>
      <c r="AM300" s="576"/>
      <c r="AN300" s="1240"/>
      <c r="AO300" s="1240"/>
      <c r="AP300" s="576"/>
      <c r="AQ300" s="576"/>
      <c r="AR300" s="113"/>
      <c r="AS300" s="113"/>
      <c r="AT300" s="113"/>
      <c r="AU300" s="113"/>
      <c r="AV300" s="113"/>
      <c r="AW300" s="113"/>
      <c r="AX300" s="113"/>
      <c r="AY300" s="113"/>
      <c r="AZ300" s="113"/>
      <c r="BA300" s="113"/>
      <c r="BB300" s="113"/>
      <c r="BC300" s="113"/>
      <c r="BD300" s="113"/>
    </row>
    <row r="301" spans="1:56" s="418" customFormat="1" ht="12.75" hidden="1" customHeight="1" outlineLevel="1">
      <c r="A301" s="113"/>
      <c r="B301" s="2722" t="s">
        <v>814</v>
      </c>
      <c r="C301" s="2723"/>
      <c r="D301" s="973">
        <v>9</v>
      </c>
      <c r="E301" s="980"/>
      <c r="F301" s="980"/>
      <c r="G301" s="980"/>
      <c r="H301" s="980"/>
      <c r="I301" s="980"/>
      <c r="J301" s="981"/>
      <c r="K301" s="982"/>
      <c r="L301" s="982"/>
      <c r="M301" s="983"/>
      <c r="N301" s="984"/>
      <c r="O301" s="984"/>
      <c r="P301" s="113"/>
      <c r="Q301" s="908"/>
      <c r="R301" s="908"/>
      <c r="S301" s="113"/>
      <c r="T301" s="113"/>
      <c r="U301" s="113"/>
      <c r="V301" s="113"/>
      <c r="W301" s="113"/>
      <c r="X301" s="113"/>
      <c r="Y301" s="817"/>
      <c r="Z301" s="817"/>
      <c r="AA301" s="113"/>
      <c r="AB301" s="113"/>
      <c r="AC301" s="113"/>
      <c r="AE301" s="113"/>
      <c r="AF301" s="576"/>
      <c r="AG301" s="576"/>
      <c r="AH301" s="576"/>
      <c r="AI301" s="576"/>
      <c r="AJ301" s="576"/>
      <c r="AK301" s="576"/>
      <c r="AL301" s="576"/>
      <c r="AM301" s="576"/>
      <c r="AN301" s="1240"/>
      <c r="AO301" s="1240"/>
      <c r="AP301" s="576"/>
      <c r="AQ301" s="576"/>
      <c r="AR301" s="113"/>
      <c r="AS301" s="113"/>
      <c r="AT301" s="113"/>
      <c r="AU301" s="113"/>
      <c r="AV301" s="113"/>
      <c r="AW301" s="113"/>
      <c r="AX301" s="113"/>
      <c r="AY301" s="113"/>
      <c r="AZ301" s="113"/>
      <c r="BA301" s="113"/>
      <c r="BB301" s="113"/>
      <c r="BC301" s="113"/>
      <c r="BD301" s="113"/>
    </row>
    <row r="302" spans="1:56" s="418" customFormat="1" ht="12.75" hidden="1" customHeight="1" outlineLevel="1">
      <c r="A302" s="113"/>
      <c r="B302" s="2722" t="s">
        <v>734</v>
      </c>
      <c r="C302" s="2723"/>
      <c r="D302" s="973">
        <v>10</v>
      </c>
      <c r="E302" s="980"/>
      <c r="F302" s="980"/>
      <c r="G302" s="980"/>
      <c r="H302" s="980"/>
      <c r="I302" s="980"/>
      <c r="J302" s="981"/>
      <c r="K302" s="982"/>
      <c r="L302" s="982"/>
      <c r="M302" s="983"/>
      <c r="N302" s="984"/>
      <c r="O302" s="984"/>
      <c r="P302" s="113"/>
      <c r="Q302" s="908"/>
      <c r="R302" s="908"/>
      <c r="S302" s="113"/>
      <c r="T302" s="113"/>
      <c r="U302" s="113"/>
      <c r="V302" s="113"/>
      <c r="W302" s="113"/>
      <c r="X302" s="113"/>
      <c r="Y302" s="817"/>
      <c r="Z302" s="817"/>
      <c r="AA302" s="113"/>
      <c r="AB302" s="113"/>
      <c r="AC302" s="113"/>
      <c r="AE302" s="113"/>
      <c r="AF302" s="576"/>
      <c r="AG302" s="576"/>
      <c r="AH302" s="576"/>
      <c r="AI302" s="576"/>
      <c r="AJ302" s="576"/>
      <c r="AK302" s="576"/>
      <c r="AL302" s="576"/>
      <c r="AM302" s="576"/>
      <c r="AN302" s="1240"/>
      <c r="AO302" s="1240"/>
      <c r="AP302" s="576"/>
      <c r="AQ302" s="576"/>
      <c r="AR302" s="113"/>
      <c r="AS302" s="113"/>
      <c r="AT302" s="113"/>
      <c r="AU302" s="113"/>
      <c r="AV302" s="113"/>
      <c r="AW302" s="113"/>
      <c r="AX302" s="113"/>
      <c r="AY302" s="113"/>
      <c r="AZ302" s="113"/>
      <c r="BA302" s="113"/>
      <c r="BB302" s="113"/>
      <c r="BC302" s="113"/>
      <c r="BD302" s="113"/>
    </row>
    <row r="303" spans="1:56" s="418" customFormat="1" ht="12.75" hidden="1" customHeight="1" outlineLevel="1">
      <c r="A303" s="113"/>
      <c r="B303" s="2722" t="s">
        <v>736</v>
      </c>
      <c r="C303" s="2723"/>
      <c r="D303" s="973">
        <v>11</v>
      </c>
      <c r="E303" s="980"/>
      <c r="F303" s="980"/>
      <c r="G303" s="980"/>
      <c r="H303" s="980"/>
      <c r="I303" s="980"/>
      <c r="J303" s="981"/>
      <c r="K303" s="982"/>
      <c r="L303" s="982"/>
      <c r="M303" s="983"/>
      <c r="N303" s="984"/>
      <c r="O303" s="984"/>
      <c r="P303" s="113"/>
      <c r="Q303" s="908"/>
      <c r="R303" s="908"/>
      <c r="S303" s="113"/>
      <c r="T303" s="113"/>
      <c r="U303" s="113"/>
      <c r="V303" s="113"/>
      <c r="W303" s="113"/>
      <c r="X303" s="113"/>
      <c r="Y303" s="817"/>
      <c r="Z303" s="817"/>
      <c r="AA303" s="113"/>
      <c r="AB303" s="113"/>
      <c r="AC303" s="113"/>
      <c r="AE303" s="113"/>
      <c r="AF303" s="576"/>
      <c r="AG303" s="576"/>
      <c r="AH303" s="576"/>
      <c r="AI303" s="576"/>
      <c r="AJ303" s="576"/>
      <c r="AK303" s="576"/>
      <c r="AL303" s="576"/>
      <c r="AM303" s="576"/>
      <c r="AN303" s="1240"/>
      <c r="AO303" s="1240"/>
      <c r="AP303" s="576"/>
      <c r="AQ303" s="576"/>
      <c r="AR303" s="113"/>
      <c r="AS303" s="113"/>
      <c r="AT303" s="113"/>
      <c r="AU303" s="113"/>
      <c r="AV303" s="113"/>
      <c r="AW303" s="113"/>
      <c r="AX303" s="113"/>
      <c r="AY303" s="113"/>
      <c r="AZ303" s="113"/>
      <c r="BA303" s="113"/>
      <c r="BB303" s="113"/>
      <c r="BC303" s="113"/>
      <c r="BD303" s="113"/>
    </row>
    <row r="304" spans="1:56" s="418" customFormat="1" ht="12.75" hidden="1" customHeight="1" outlineLevel="1">
      <c r="A304" s="113"/>
      <c r="B304" s="2722" t="s">
        <v>815</v>
      </c>
      <c r="C304" s="2723"/>
      <c r="D304" s="973">
        <v>12</v>
      </c>
      <c r="E304" s="980"/>
      <c r="F304" s="980"/>
      <c r="G304" s="980"/>
      <c r="H304" s="980"/>
      <c r="I304" s="980"/>
      <c r="J304" s="981"/>
      <c r="K304" s="982"/>
      <c r="L304" s="982"/>
      <c r="M304" s="983"/>
      <c r="N304" s="984"/>
      <c r="O304" s="984"/>
      <c r="P304" s="113"/>
      <c r="Q304" s="908"/>
      <c r="R304" s="908"/>
      <c r="S304" s="113"/>
      <c r="T304" s="113"/>
      <c r="U304" s="113"/>
      <c r="V304" s="113"/>
      <c r="W304" s="113"/>
      <c r="X304" s="113"/>
      <c r="Y304" s="817"/>
      <c r="Z304" s="817"/>
      <c r="AA304" s="113"/>
      <c r="AB304" s="113"/>
      <c r="AC304" s="113"/>
      <c r="AE304" s="113"/>
      <c r="AF304" s="576"/>
      <c r="AG304" s="576"/>
      <c r="AH304" s="576"/>
      <c r="AI304" s="576"/>
      <c r="AJ304" s="576"/>
      <c r="AK304" s="576"/>
      <c r="AL304" s="576"/>
      <c r="AM304" s="576"/>
      <c r="AN304" s="1240"/>
      <c r="AO304" s="1240"/>
      <c r="AP304" s="576"/>
      <c r="AQ304" s="576"/>
      <c r="AR304" s="113"/>
      <c r="AS304" s="113"/>
      <c r="AT304" s="113"/>
      <c r="AU304" s="113"/>
      <c r="AV304" s="113"/>
      <c r="AW304" s="113"/>
      <c r="AX304" s="113"/>
      <c r="AY304" s="113"/>
      <c r="AZ304" s="113"/>
      <c r="BA304" s="113"/>
      <c r="BB304" s="113"/>
      <c r="BC304" s="113"/>
      <c r="BD304" s="113"/>
    </row>
    <row r="305" spans="1:56" s="418" customFormat="1" ht="12.75" hidden="1" customHeight="1" outlineLevel="1">
      <c r="A305" s="113"/>
      <c r="B305" s="2722" t="s">
        <v>470</v>
      </c>
      <c r="C305" s="2723"/>
      <c r="D305" s="973">
        <v>13</v>
      </c>
      <c r="E305" s="980"/>
      <c r="F305" s="980"/>
      <c r="G305" s="980"/>
      <c r="H305" s="980"/>
      <c r="I305" s="980"/>
      <c r="J305" s="981"/>
      <c r="K305" s="982"/>
      <c r="L305" s="982"/>
      <c r="M305" s="983"/>
      <c r="N305" s="984"/>
      <c r="O305" s="984"/>
      <c r="P305" s="113"/>
      <c r="Q305" s="908"/>
      <c r="R305" s="908"/>
      <c r="S305" s="113"/>
      <c r="T305" s="113"/>
      <c r="U305" s="113"/>
      <c r="V305" s="113"/>
      <c r="W305" s="113"/>
      <c r="X305" s="113"/>
      <c r="Y305" s="817"/>
      <c r="Z305" s="817"/>
      <c r="AA305" s="113"/>
      <c r="AB305" s="113"/>
      <c r="AC305" s="113"/>
      <c r="AE305" s="113"/>
      <c r="AF305" s="576"/>
      <c r="AG305" s="576"/>
      <c r="AH305" s="576"/>
      <c r="AI305" s="576"/>
      <c r="AJ305" s="576"/>
      <c r="AK305" s="576"/>
      <c r="AL305" s="576"/>
      <c r="AM305" s="576"/>
      <c r="AN305" s="1240"/>
      <c r="AO305" s="1240"/>
      <c r="AP305" s="576"/>
      <c r="AQ305" s="576"/>
      <c r="AR305" s="113"/>
      <c r="AS305" s="113"/>
      <c r="AT305" s="113"/>
      <c r="AU305" s="113"/>
      <c r="AV305" s="113"/>
      <c r="AW305" s="113"/>
      <c r="AX305" s="113"/>
      <c r="AY305" s="113"/>
      <c r="AZ305" s="113"/>
      <c r="BA305" s="113"/>
      <c r="BB305" s="113"/>
      <c r="BC305" s="113"/>
      <c r="BD305" s="113"/>
    </row>
    <row r="306" spans="1:56" s="418" customFormat="1" ht="12.75" hidden="1" customHeight="1" outlineLevel="1">
      <c r="A306" s="113"/>
      <c r="B306" s="2722" t="s">
        <v>471</v>
      </c>
      <c r="C306" s="2723"/>
      <c r="D306" s="973">
        <v>14</v>
      </c>
      <c r="E306" s="980">
        <f>SUMIF($E$9:$E$54,Utilitaires!$C$573,AE9:AE54)+SUMIF($E$9:$E$54,Utilitaires!$C$573,AF9:AF54)+SUMIF($E$59:$E$77,Utilitaires!$C$573,AE59:AE77)+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306" s="980">
        <f>SUMIF($E$9:$E$54,Utilitaires!$C$573,AG9:AG54)+SUMIF($E$9:$E$54,Utilitaires!$C$573,AH9:AH54)+
SUMIF($E$59:$E$77,Utilitaires!$C$573,AF59:AF77)+
SUMIF($E$82:$E$109,Utilitaires!$C$573,AG82:AG109)+SUMIF($E$82:$E$109,Utilitaires!$C$573,AH82:AH109)+
(1+$G190)*SUMIF($E$111:$E$174,Utilitaires!$C$573,AF111:AF174)+(1+$G190)*SUMIF($E$180:$E$184,Utilitaires!$C$573,AG180:AG184)+(1+$G190)*SUMIF($E$180:$E$184,Utilitaires!$C$573,AH180:AH184)</f>
        <v>0</v>
      </c>
      <c r="G306" s="980">
        <f>SUMIF($E$9:$E$54,Utilitaires!$C$573,AI9:AI54)+SUMIF($E$9:$E$54,Utilitaires!$C$573,AJ9:AJ54)+
SUMIF($E$59:$E$77,Utilitaires!$C$573,AG59:AG77)+
SUMIF($E$82:$E$109,Utilitaires!$C$573,AI82:AI109)+SUMIF($E$82:$E$109,Utilitaires!$C$573,AJ82:AJ109)+
(1+$G190)*SUMIF($E$111:$E$174,Utilitaires!$C$573,AG111:AG174)+
(1+$G190)*SUMIF($E$180:$E$184,Utilitaires!$C$573,AI180:AI184)+(1+$G190)*SUMIF($E$180:$E$184,Utilitaires!$C$573,AJ180:AJ184)</f>
        <v>0</v>
      </c>
      <c r="H306" s="980">
        <v>0</v>
      </c>
      <c r="I306" s="980">
        <v>0</v>
      </c>
      <c r="J306" s="981">
        <f>SUM(E306:I306)</f>
        <v>0</v>
      </c>
      <c r="K306" s="982">
        <f>SUMIF($E$9:$E$54,Utilitaires!$C$573,AO9:AO54)+SUMIF($E$9:$E$54,Utilitaires!$C$573,AP9:AP54)+SUMIF($E$59:$E$77,Utilitaires!$C$573,AJ59:AJ77)+SUMIF($E$97:$E$109,Utilitaires!$C$573,AO97:AO109)+SUMIF($E$97:$E$109,Utilitaires!$C$573,AP97:AP109)+(1+$G190)*SUMIF($E$111:$E$174,Utilitaires!$C$573,AJ111:AJ174)+(1+$G190)*SUMIF($E$180:$E$184,Utilitaires!$C$573,AO180:AO184)+$G190*SUMIF($E$180:$E$184,Utilitaires!$C$573,AP180:AP184)</f>
        <v>0</v>
      </c>
      <c r="L306" s="982">
        <v>0</v>
      </c>
      <c r="M306" s="983">
        <f>SQRT(
SUMPRODUCT(($E$9:$E$54=Utilitaires!$C$573)*1,Z9:Z54,Z9:Z54)+SUMPRODUCT(($E$9:$E$54=Utilitaires!$C$573)*1,AA9:AA54,AA9:AA54)+SUMPRODUCT(($E$59:$E$77=Utilitaires!$C$573)*1,AB59:AB77,AB59:AB77)
+(1+$G190^2)*(
SUMPRODUCT(($E$82:$E$109=Utilitaires!$C$573)*1,Z82:Z109,Z82:Z109)
+SUMPRODUCT(($E$82:$E$109=Utilitaires!$C$573)*1,AA82:AA109,AA82:AA109)
+SUMPRODUCT(($E$180:$E$184=Utilitaires!$C$573)*1,Z180:Z184,Z180:Z184)
+SUMPRODUCT(($E$180:$E$184=Utilitaires!$C$573)*1,AA180:AA184,AA180:AA184)
+SUMPRODUCT(($E$111:$E$174=Utilitaires!$C$573)*1,AC111:AC174,AC111:AC174)))</f>
        <v>0</v>
      </c>
      <c r="N306" s="984"/>
      <c r="O306" s="984"/>
      <c r="P306" s="113"/>
      <c r="Q306" s="908"/>
      <c r="R306" s="908"/>
      <c r="S306" s="113"/>
      <c r="T306" s="113"/>
      <c r="U306" s="113"/>
      <c r="V306" s="113"/>
      <c r="W306" s="113"/>
      <c r="X306" s="113"/>
      <c r="Y306" s="817"/>
      <c r="Z306" s="817"/>
      <c r="AA306" s="113"/>
      <c r="AB306" s="113"/>
      <c r="AC306" s="113"/>
      <c r="AE306" s="113"/>
      <c r="AF306" s="576"/>
      <c r="AG306" s="576"/>
      <c r="AH306" s="576"/>
      <c r="AI306" s="576"/>
      <c r="AJ306" s="576"/>
      <c r="AK306" s="576"/>
      <c r="AL306" s="576"/>
      <c r="AM306" s="576"/>
      <c r="AN306" s="1240"/>
      <c r="AO306" s="1240"/>
      <c r="AP306" s="576"/>
      <c r="AQ306" s="576"/>
      <c r="AR306" s="113"/>
      <c r="AS306" s="113"/>
      <c r="AT306" s="113"/>
      <c r="AU306" s="113"/>
      <c r="AV306" s="113"/>
      <c r="AW306" s="113"/>
      <c r="AX306" s="113"/>
      <c r="AY306" s="113"/>
      <c r="AZ306" s="113"/>
      <c r="BA306" s="113"/>
      <c r="BB306" s="113"/>
      <c r="BC306" s="113"/>
      <c r="BD306" s="113"/>
    </row>
    <row r="307" spans="1:56" s="418" customFormat="1" ht="12.75" hidden="1" customHeight="1" outlineLevel="1">
      <c r="A307" s="113"/>
      <c r="B307" s="2722" t="s">
        <v>472</v>
      </c>
      <c r="C307" s="2723"/>
      <c r="D307" s="973">
        <v>15</v>
      </c>
      <c r="E307" s="980"/>
      <c r="F307" s="980"/>
      <c r="G307" s="980"/>
      <c r="H307" s="980"/>
      <c r="I307" s="980"/>
      <c r="J307" s="981"/>
      <c r="K307" s="982"/>
      <c r="L307" s="982"/>
      <c r="M307" s="983"/>
      <c r="N307" s="984"/>
      <c r="O307" s="984"/>
      <c r="P307" s="113"/>
      <c r="Q307" s="908"/>
      <c r="R307" s="908"/>
      <c r="S307" s="113"/>
      <c r="T307" s="113"/>
      <c r="U307" s="113"/>
      <c r="V307" s="113"/>
      <c r="W307" s="113"/>
      <c r="X307" s="113"/>
      <c r="Y307" s="817"/>
      <c r="Z307" s="817"/>
      <c r="AA307" s="113"/>
      <c r="AB307" s="113"/>
      <c r="AC307" s="113"/>
      <c r="AE307" s="113"/>
      <c r="AF307" s="576"/>
      <c r="AG307" s="576"/>
      <c r="AH307" s="576"/>
      <c r="AI307" s="576"/>
      <c r="AJ307" s="576"/>
      <c r="AK307" s="576"/>
      <c r="AL307" s="576"/>
      <c r="AM307" s="576"/>
      <c r="AN307" s="1240"/>
      <c r="AO307" s="1240"/>
      <c r="AP307" s="576"/>
      <c r="AQ307" s="576"/>
      <c r="AR307" s="113"/>
      <c r="AS307" s="113"/>
      <c r="AT307" s="113"/>
      <c r="AU307" s="113"/>
      <c r="AV307" s="113"/>
      <c r="AW307" s="113"/>
      <c r="AX307" s="113"/>
      <c r="AY307" s="113"/>
      <c r="AZ307" s="113"/>
      <c r="BA307" s="113"/>
      <c r="BB307" s="113"/>
      <c r="BC307" s="113"/>
      <c r="BD307" s="113"/>
    </row>
    <row r="308" spans="1:56" s="418" customFormat="1" ht="12.75" hidden="1" customHeight="1" outlineLevel="1">
      <c r="A308" s="113"/>
      <c r="B308" s="2722" t="s">
        <v>473</v>
      </c>
      <c r="C308" s="2723"/>
      <c r="D308" s="973">
        <v>16</v>
      </c>
      <c r="E308" s="980"/>
      <c r="F308" s="980"/>
      <c r="G308" s="980"/>
      <c r="H308" s="980"/>
      <c r="I308" s="980"/>
      <c r="J308" s="981"/>
      <c r="K308" s="982"/>
      <c r="L308" s="982"/>
      <c r="M308" s="983"/>
      <c r="N308" s="984"/>
      <c r="O308" s="984"/>
      <c r="P308" s="113"/>
      <c r="Q308" s="908"/>
      <c r="R308" s="908"/>
      <c r="S308" s="113"/>
      <c r="T308" s="113"/>
      <c r="U308" s="113"/>
      <c r="V308" s="113"/>
      <c r="W308" s="113"/>
      <c r="X308" s="113"/>
      <c r="Y308" s="817"/>
      <c r="Z308" s="817"/>
      <c r="AA308" s="113"/>
      <c r="AB308" s="113"/>
      <c r="AC308" s="113"/>
      <c r="AE308" s="113"/>
      <c r="AF308" s="576"/>
      <c r="AG308" s="576"/>
      <c r="AH308" s="576"/>
      <c r="AI308" s="576"/>
      <c r="AJ308" s="576"/>
      <c r="AK308" s="576"/>
      <c r="AL308" s="576"/>
      <c r="AM308" s="576"/>
      <c r="AN308" s="1240"/>
      <c r="AO308" s="1240"/>
      <c r="AP308" s="576"/>
      <c r="AQ308" s="576"/>
      <c r="AR308" s="113"/>
      <c r="AS308" s="113"/>
      <c r="AT308" s="113"/>
      <c r="AU308" s="113"/>
      <c r="AV308" s="113"/>
      <c r="AW308" s="113"/>
      <c r="AX308" s="113"/>
      <c r="AY308" s="113"/>
      <c r="AZ308" s="113"/>
      <c r="BA308" s="113"/>
      <c r="BB308" s="113"/>
      <c r="BC308" s="113"/>
      <c r="BD308" s="113"/>
    </row>
    <row r="309" spans="1:56" s="418" customFormat="1" ht="12.75" hidden="1" customHeight="1" outlineLevel="1">
      <c r="A309" s="113"/>
      <c r="B309" s="2722" t="s">
        <v>737</v>
      </c>
      <c r="C309" s="2723"/>
      <c r="D309" s="973">
        <v>17</v>
      </c>
      <c r="E309" s="980"/>
      <c r="F309" s="980"/>
      <c r="G309" s="980"/>
      <c r="H309" s="980"/>
      <c r="I309" s="980"/>
      <c r="J309" s="981"/>
      <c r="K309" s="982"/>
      <c r="L309" s="982"/>
      <c r="M309" s="983"/>
      <c r="N309" s="984"/>
      <c r="O309" s="984"/>
      <c r="P309" s="113"/>
      <c r="Q309" s="908"/>
      <c r="R309" s="908"/>
      <c r="S309" s="113"/>
      <c r="T309" s="113"/>
      <c r="U309" s="113"/>
      <c r="V309" s="113"/>
      <c r="W309" s="113"/>
      <c r="X309" s="113"/>
      <c r="Y309" s="817"/>
      <c r="Z309" s="817"/>
      <c r="AA309" s="113"/>
      <c r="AB309" s="113"/>
      <c r="AC309" s="113"/>
      <c r="AE309" s="113"/>
      <c r="AF309" s="576"/>
      <c r="AG309" s="576"/>
      <c r="AH309" s="576"/>
      <c r="AI309" s="576"/>
      <c r="AJ309" s="576"/>
      <c r="AK309" s="576"/>
      <c r="AL309" s="576"/>
      <c r="AM309" s="576"/>
      <c r="AN309" s="1240"/>
      <c r="AO309" s="1240"/>
      <c r="AP309" s="576"/>
      <c r="AQ309" s="576"/>
      <c r="AR309" s="113"/>
      <c r="AS309" s="113"/>
      <c r="AT309" s="113"/>
      <c r="AU309" s="113"/>
      <c r="AV309" s="113"/>
      <c r="AW309" s="113"/>
      <c r="AX309" s="113"/>
      <c r="AY309" s="113"/>
      <c r="AZ309" s="113"/>
      <c r="BA309" s="113"/>
      <c r="BB309" s="113"/>
      <c r="BC309" s="113"/>
      <c r="BD309" s="113"/>
    </row>
    <row r="310" spans="1:56" s="418" customFormat="1" ht="12.75" hidden="1" customHeight="1" outlineLevel="1">
      <c r="A310" s="113"/>
      <c r="B310" s="2722" t="s">
        <v>475</v>
      </c>
      <c r="C310" s="2723"/>
      <c r="D310" s="973">
        <v>18</v>
      </c>
      <c r="E310" s="980"/>
      <c r="F310" s="980"/>
      <c r="G310" s="980"/>
      <c r="H310" s="980"/>
      <c r="I310" s="980"/>
      <c r="J310" s="981"/>
      <c r="K310" s="982"/>
      <c r="L310" s="982"/>
      <c r="M310" s="983"/>
      <c r="N310" s="984"/>
      <c r="O310" s="984"/>
      <c r="P310" s="113"/>
      <c r="Q310" s="908"/>
      <c r="R310" s="908"/>
      <c r="S310" s="113"/>
      <c r="T310" s="113"/>
      <c r="U310" s="113"/>
      <c r="V310" s="113"/>
      <c r="W310" s="113"/>
      <c r="X310" s="113"/>
      <c r="Y310" s="817"/>
      <c r="Z310" s="817"/>
      <c r="AA310" s="113"/>
      <c r="AB310" s="113"/>
      <c r="AC310" s="113"/>
      <c r="AE310" s="113"/>
      <c r="AF310" s="576"/>
      <c r="AG310" s="576"/>
      <c r="AH310" s="576"/>
      <c r="AI310" s="576"/>
      <c r="AJ310" s="576"/>
      <c r="AK310" s="576"/>
      <c r="AL310" s="576"/>
      <c r="AM310" s="576"/>
      <c r="AN310" s="1240"/>
      <c r="AO310" s="1240"/>
      <c r="AP310" s="576"/>
      <c r="AQ310" s="576"/>
      <c r="AR310" s="113"/>
      <c r="AS310" s="113"/>
      <c r="AT310" s="113"/>
      <c r="AU310" s="113"/>
      <c r="AV310" s="113"/>
      <c r="AW310" s="113"/>
      <c r="AX310" s="113"/>
      <c r="AY310" s="113"/>
      <c r="AZ310" s="113"/>
      <c r="BA310" s="113"/>
      <c r="BB310" s="113"/>
      <c r="BC310" s="113"/>
      <c r="BD310" s="113"/>
    </row>
    <row r="311" spans="1:56" s="418" customFormat="1" ht="12.75" hidden="1" customHeight="1" outlineLevel="1">
      <c r="A311" s="113"/>
      <c r="B311" s="2722" t="s">
        <v>476</v>
      </c>
      <c r="C311" s="2723"/>
      <c r="D311" s="973">
        <v>19</v>
      </c>
      <c r="E311" s="980"/>
      <c r="F311" s="980"/>
      <c r="G311" s="980"/>
      <c r="H311" s="980"/>
      <c r="I311" s="980"/>
      <c r="J311" s="981"/>
      <c r="K311" s="982"/>
      <c r="L311" s="982"/>
      <c r="M311" s="983"/>
      <c r="N311" s="984"/>
      <c r="O311" s="984"/>
      <c r="P311" s="113"/>
      <c r="Q311" s="908"/>
      <c r="R311" s="908"/>
      <c r="S311" s="113"/>
      <c r="T311" s="113"/>
      <c r="U311" s="113"/>
      <c r="V311" s="113"/>
      <c r="W311" s="113"/>
      <c r="X311" s="113"/>
      <c r="Y311" s="817"/>
      <c r="Z311" s="817"/>
      <c r="AA311" s="113"/>
      <c r="AB311" s="113"/>
      <c r="AC311" s="113"/>
      <c r="AE311" s="113"/>
      <c r="AF311" s="576"/>
      <c r="AG311" s="576"/>
      <c r="AH311" s="576"/>
      <c r="AI311" s="576"/>
      <c r="AJ311" s="576"/>
      <c r="AK311" s="576"/>
      <c r="AL311" s="576"/>
      <c r="AM311" s="576"/>
      <c r="AN311" s="1240"/>
      <c r="AO311" s="1240"/>
      <c r="AP311" s="576"/>
      <c r="AQ311" s="576"/>
      <c r="AR311" s="113"/>
      <c r="AS311" s="113"/>
      <c r="AT311" s="113"/>
      <c r="AU311" s="113"/>
      <c r="AV311" s="113"/>
      <c r="AW311" s="113"/>
      <c r="AX311" s="113"/>
      <c r="AY311" s="113"/>
      <c r="AZ311" s="113"/>
      <c r="BA311" s="113"/>
      <c r="BB311" s="113"/>
      <c r="BC311" s="113"/>
      <c r="BD311" s="113"/>
    </row>
    <row r="312" spans="1:56" s="418" customFormat="1" ht="12.75" hidden="1" customHeight="1" outlineLevel="1">
      <c r="A312" s="113"/>
      <c r="B312" s="2722" t="s">
        <v>477</v>
      </c>
      <c r="C312" s="2723"/>
      <c r="D312" s="973">
        <v>20</v>
      </c>
      <c r="E312" s="980"/>
      <c r="F312" s="980"/>
      <c r="G312" s="980"/>
      <c r="H312" s="980"/>
      <c r="I312" s="980"/>
      <c r="J312" s="981"/>
      <c r="K312" s="982"/>
      <c r="L312" s="982"/>
      <c r="M312" s="983"/>
      <c r="N312" s="984"/>
      <c r="O312" s="984"/>
      <c r="P312" s="113"/>
      <c r="Q312" s="908"/>
      <c r="R312" s="908"/>
      <c r="S312" s="113"/>
      <c r="T312" s="113"/>
      <c r="U312" s="113"/>
      <c r="V312" s="113"/>
      <c r="W312" s="113"/>
      <c r="X312" s="113"/>
      <c r="Y312" s="817"/>
      <c r="Z312" s="817"/>
      <c r="AA312" s="113"/>
      <c r="AB312" s="113"/>
      <c r="AC312" s="113"/>
      <c r="AE312" s="113"/>
      <c r="AF312" s="576"/>
      <c r="AG312" s="576"/>
      <c r="AH312" s="576"/>
      <c r="AI312" s="576"/>
      <c r="AJ312" s="576"/>
      <c r="AK312" s="576"/>
      <c r="AL312" s="576"/>
      <c r="AM312" s="576"/>
      <c r="AN312" s="1240"/>
      <c r="AO312" s="1240"/>
      <c r="AP312" s="576"/>
      <c r="AQ312" s="576"/>
      <c r="AR312" s="113"/>
      <c r="AS312" s="113"/>
      <c r="AT312" s="113"/>
      <c r="AU312" s="113"/>
      <c r="AV312" s="113"/>
      <c r="AW312" s="113"/>
      <c r="AX312" s="113"/>
      <c r="AY312" s="113"/>
      <c r="AZ312" s="113"/>
      <c r="BA312" s="113"/>
      <c r="BB312" s="113"/>
      <c r="BC312" s="113"/>
      <c r="BD312" s="113"/>
    </row>
    <row r="313" spans="1:56" s="418" customFormat="1" ht="12.75" hidden="1" customHeight="1" outlineLevel="1">
      <c r="A313" s="113"/>
      <c r="B313" s="2722" t="s">
        <v>478</v>
      </c>
      <c r="C313" s="2723"/>
      <c r="D313" s="973">
        <v>21</v>
      </c>
      <c r="E313" s="980"/>
      <c r="F313" s="980"/>
      <c r="G313" s="980"/>
      <c r="H313" s="980"/>
      <c r="I313" s="980"/>
      <c r="J313" s="981"/>
      <c r="K313" s="982"/>
      <c r="L313" s="982"/>
      <c r="M313" s="983"/>
      <c r="N313" s="984"/>
      <c r="O313" s="984"/>
      <c r="P313" s="113"/>
      <c r="Q313" s="908"/>
      <c r="R313" s="908"/>
      <c r="S313" s="113"/>
      <c r="T313" s="113"/>
      <c r="U313" s="113"/>
      <c r="V313" s="113"/>
      <c r="W313" s="113"/>
      <c r="X313" s="113"/>
      <c r="Y313" s="817"/>
      <c r="Z313" s="817"/>
      <c r="AA313" s="113"/>
      <c r="AB313" s="113"/>
      <c r="AC313" s="113"/>
      <c r="AE313" s="113"/>
      <c r="AF313" s="576"/>
      <c r="AG313" s="576"/>
      <c r="AH313" s="576"/>
      <c r="AI313" s="576"/>
      <c r="AJ313" s="576"/>
      <c r="AK313" s="576"/>
      <c r="AL313" s="576"/>
      <c r="AM313" s="576"/>
      <c r="AN313" s="1240"/>
      <c r="AO313" s="1240"/>
      <c r="AP313" s="576"/>
      <c r="AQ313" s="576"/>
      <c r="AR313" s="113"/>
      <c r="AS313" s="113"/>
      <c r="AT313" s="113"/>
      <c r="AU313" s="113"/>
      <c r="AV313" s="113"/>
      <c r="AW313" s="113"/>
      <c r="AX313" s="113"/>
      <c r="AY313" s="113"/>
      <c r="AZ313" s="113"/>
      <c r="BA313" s="113"/>
      <c r="BB313" s="113"/>
      <c r="BC313" s="113"/>
      <c r="BD313" s="113"/>
    </row>
    <row r="314" spans="1:56" s="418" customFormat="1" ht="12.75" hidden="1" customHeight="1" outlineLevel="1">
      <c r="A314" s="113"/>
      <c r="B314" s="2722" t="s">
        <v>479</v>
      </c>
      <c r="C314" s="2723"/>
      <c r="D314" s="973">
        <v>22</v>
      </c>
      <c r="E314" s="980"/>
      <c r="F314" s="980"/>
      <c r="G314" s="980"/>
      <c r="H314" s="980"/>
      <c r="I314" s="980"/>
      <c r="J314" s="981"/>
      <c r="K314" s="982"/>
      <c r="L314" s="982"/>
      <c r="M314" s="983"/>
      <c r="N314" s="984"/>
      <c r="O314" s="984"/>
      <c r="P314" s="113"/>
      <c r="Q314" s="908"/>
      <c r="R314" s="908"/>
      <c r="S314" s="113"/>
      <c r="T314" s="113"/>
      <c r="U314" s="113"/>
      <c r="V314" s="113"/>
      <c r="W314" s="113"/>
      <c r="X314" s="113"/>
      <c r="Y314" s="817"/>
      <c r="Z314" s="817"/>
      <c r="AA314" s="113"/>
      <c r="AB314" s="113"/>
      <c r="AC314" s="113"/>
      <c r="AE314" s="113"/>
      <c r="AF314" s="576"/>
      <c r="AG314" s="576"/>
      <c r="AH314" s="576"/>
      <c r="AI314" s="576"/>
      <c r="AJ314" s="576"/>
      <c r="AK314" s="576"/>
      <c r="AL314" s="576"/>
      <c r="AM314" s="576"/>
      <c r="AN314" s="1240"/>
      <c r="AO314" s="1240"/>
      <c r="AP314" s="576"/>
      <c r="AQ314" s="576"/>
      <c r="AR314" s="113"/>
      <c r="AS314" s="113"/>
      <c r="AT314" s="113"/>
      <c r="AU314" s="113"/>
      <c r="AV314" s="113"/>
      <c r="AW314" s="113"/>
      <c r="AX314" s="113"/>
      <c r="AY314" s="113"/>
      <c r="AZ314" s="113"/>
      <c r="BA314" s="113"/>
      <c r="BB314" s="113"/>
      <c r="BC314" s="113"/>
      <c r="BD314" s="113"/>
    </row>
    <row r="315" spans="1:56" s="418" customFormat="1" ht="12.75" hidden="1" customHeight="1" outlineLevel="1">
      <c r="A315" s="113"/>
      <c r="B315" s="2722" t="s">
        <v>449</v>
      </c>
      <c r="C315" s="2723"/>
      <c r="D315" s="973">
        <v>23</v>
      </c>
      <c r="E315" s="980">
        <f>SUMIF($E$9:$E$54,Utilitaires!$C$574,AE9:AE54)+SUMIF($E$9:$E$54,Utilitaires!$C$574,AF9:AF54)+SUMIF($E$9:$E$54,Utilitaires!$C$578,AE9:AE54)+SUMIF($E$9:$E$54,Utilitaires!$C$578,AF9:AF54)+SUMIF($E$59:$E$77,Utilitaires!$C$574,AE59:AE77)+SUMIF($E$59:$E$77,Utilitaires!$C$578,AE59:AE77)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(1+$G190)*SUMIF($E$180:$E$184,Utilitaires!$C$574,AE180:AE184)+(1+$G190)*SUMIF($E$180:$E$184,Utilitaires!$C$578,AE180:AE184)+(1+$G190)*SUMIF($E$180:$E$184,Utilitaires!$C$574,AF180:AF184)+(1+$G190)*SUMIF($E$180:$E$184,Utilitaires!$C$578,AF180:AF184)</f>
        <v>0</v>
      </c>
      <c r="F315" s="980">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315" s="980">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315" s="980">
        <v>0</v>
      </c>
      <c r="I315" s="980">
        <v>0</v>
      </c>
      <c r="J315" s="981">
        <f>SUM(E315:I315)</f>
        <v>0</v>
      </c>
      <c r="K315" s="982">
        <f>SUMIF($E$9:$E$54,Utilitaires!$C$574,AO9:AO54)+SUMIF($E$9:$E$54,Utilitaires!$C$574,AP9:AP54)+SUMIF($E$9:$E$54,Utilitaires!$C$578,AO9:AO54)+SUMIF($E$9:$E$54,Utilitaires!$C$578,AP9:AP54)+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L315" s="982">
        <v>0</v>
      </c>
      <c r="M315" s="983">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+SUMPRODUCT(($E$111:$E$174=Utilitaires!$C$574)*1,AC111:AC174,AC111:AC174)+SUMPRODUCT(($E$111:$E$174=Utilitaires!$C$578)*1,AC112:AC175,AC111:AC174)))</f>
        <v>0</v>
      </c>
      <c r="N315" s="984"/>
      <c r="O315" s="984"/>
      <c r="P315" s="113"/>
      <c r="Q315" s="908"/>
      <c r="R315" s="908"/>
      <c r="S315" s="113"/>
      <c r="T315" s="113"/>
      <c r="U315" s="113"/>
      <c r="V315" s="113"/>
      <c r="W315" s="113"/>
      <c r="X315" s="113"/>
      <c r="Y315" s="817"/>
      <c r="Z315" s="817"/>
      <c r="AA315" s="113"/>
      <c r="AB315" s="113"/>
      <c r="AC315" s="113"/>
      <c r="AE315" s="113"/>
      <c r="AF315" s="576"/>
      <c r="AG315" s="576"/>
      <c r="AH315" s="576"/>
      <c r="AI315" s="576"/>
      <c r="AJ315" s="576"/>
      <c r="AK315" s="576"/>
      <c r="AL315" s="576"/>
      <c r="AM315" s="576"/>
      <c r="AN315" s="1240"/>
      <c r="AO315" s="1240"/>
      <c r="AP315" s="576"/>
      <c r="AQ315" s="576"/>
      <c r="AR315" s="113"/>
      <c r="AS315" s="113"/>
      <c r="AT315" s="113"/>
      <c r="AU315" s="113"/>
      <c r="AV315" s="113"/>
      <c r="AW315" s="113"/>
      <c r="AX315" s="113"/>
      <c r="AY315" s="113"/>
      <c r="AZ315" s="113"/>
      <c r="BA315" s="113"/>
      <c r="BB315" s="113"/>
      <c r="BC315" s="113"/>
      <c r="BD315" s="113"/>
    </row>
    <row r="316" spans="1:56" s="418" customFormat="1" ht="12.75" hidden="1" customHeight="1" outlineLevel="1">
      <c r="A316" s="113"/>
      <c r="B316" s="2727" t="s">
        <v>724</v>
      </c>
      <c r="C316" s="2728"/>
      <c r="D316" s="2729"/>
      <c r="E316" s="986">
        <f t="shared" ref="E316:O316" si="46">SUM(E300:E315)</f>
        <v>0</v>
      </c>
      <c r="F316" s="986">
        <f t="shared" si="46"/>
        <v>0</v>
      </c>
      <c r="G316" s="986">
        <f t="shared" si="46"/>
        <v>0</v>
      </c>
      <c r="H316" s="986">
        <f t="shared" si="46"/>
        <v>0</v>
      </c>
      <c r="I316" s="986">
        <f t="shared" si="46"/>
        <v>0</v>
      </c>
      <c r="J316" s="986">
        <f t="shared" si="46"/>
        <v>0</v>
      </c>
      <c r="K316" s="987">
        <f t="shared" si="46"/>
        <v>0</v>
      </c>
      <c r="L316" s="987">
        <f t="shared" si="46"/>
        <v>0</v>
      </c>
      <c r="M316" s="988">
        <f>SQRT(SUMSQ(M300:M315))</f>
        <v>0</v>
      </c>
      <c r="N316" s="989">
        <f t="shared" si="46"/>
        <v>0</v>
      </c>
      <c r="O316" s="989">
        <f t="shared" si="46"/>
        <v>0</v>
      </c>
      <c r="P316" s="113"/>
      <c r="Q316" s="908"/>
      <c r="R316" s="908"/>
      <c r="S316" s="113"/>
      <c r="T316" s="113"/>
      <c r="U316" s="113"/>
      <c r="V316" s="113"/>
      <c r="W316" s="113"/>
      <c r="X316" s="113"/>
      <c r="Y316" s="817"/>
      <c r="Z316" s="817"/>
      <c r="AA316" s="113"/>
      <c r="AB316" s="113"/>
      <c r="AC316" s="113"/>
      <c r="AE316" s="113"/>
      <c r="AF316" s="576"/>
      <c r="AG316" s="576"/>
      <c r="AH316" s="576"/>
      <c r="AI316" s="576"/>
      <c r="AJ316" s="576"/>
      <c r="AK316" s="576"/>
      <c r="AL316" s="576"/>
      <c r="AM316" s="576"/>
      <c r="AN316" s="1240"/>
      <c r="AO316" s="1240"/>
      <c r="AP316" s="576"/>
      <c r="AQ316" s="576"/>
      <c r="AR316" s="113"/>
      <c r="AS316" s="113"/>
      <c r="AT316" s="113"/>
      <c r="AU316" s="113"/>
      <c r="AV316" s="113"/>
      <c r="AW316" s="113"/>
      <c r="AX316" s="113"/>
      <c r="AY316" s="113"/>
      <c r="AZ316" s="113"/>
      <c r="BA316" s="113"/>
      <c r="BB316" s="113"/>
      <c r="BC316" s="113"/>
      <c r="BD316" s="113"/>
    </row>
    <row r="317" spans="1:56" s="418" customFormat="1" hidden="1" outlineLevel="1">
      <c r="A317" s="113"/>
      <c r="B317" s="113"/>
      <c r="C317" s="113"/>
      <c r="D317" s="113"/>
      <c r="E317" s="113"/>
      <c r="F317" s="113"/>
      <c r="G317" s="113"/>
      <c r="H317" s="113"/>
      <c r="I317" s="113"/>
      <c r="J317" s="113"/>
      <c r="K317" s="113"/>
      <c r="L317" s="113"/>
      <c r="M317" s="113"/>
      <c r="N317" s="113"/>
      <c r="O317" s="113"/>
      <c r="P317" s="113"/>
      <c r="Q317" s="908"/>
      <c r="R317" s="908"/>
      <c r="S317" s="113"/>
      <c r="T317" s="113"/>
      <c r="U317" s="113"/>
      <c r="V317" s="113"/>
      <c r="W317" s="113"/>
      <c r="X317" s="113"/>
      <c r="Y317" s="817"/>
      <c r="Z317" s="817"/>
      <c r="AA317" s="113"/>
      <c r="AB317" s="113"/>
      <c r="AC317" s="113"/>
      <c r="AE317" s="113"/>
      <c r="AF317" s="576"/>
      <c r="AG317" s="576"/>
      <c r="AH317" s="576"/>
      <c r="AI317" s="576"/>
      <c r="AJ317" s="576"/>
      <c r="AK317" s="576"/>
      <c r="AL317" s="576"/>
      <c r="AM317" s="576"/>
      <c r="AN317" s="1240"/>
      <c r="AO317" s="1240"/>
      <c r="AP317" s="576"/>
      <c r="AQ317" s="576"/>
      <c r="AR317" s="113"/>
      <c r="AS317" s="113"/>
      <c r="AT317" s="113"/>
      <c r="AU317" s="113"/>
      <c r="AV317" s="113"/>
      <c r="AW317" s="113"/>
      <c r="AX317" s="113"/>
      <c r="AY317" s="113"/>
      <c r="AZ317" s="113"/>
      <c r="BA317" s="113"/>
      <c r="BB317" s="113"/>
      <c r="BC317" s="113"/>
      <c r="BD317" s="113"/>
    </row>
    <row r="318" spans="1:56" s="418" customFormat="1" collapsed="1">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E318" s="113"/>
      <c r="AF318" s="113"/>
      <c r="AG318" s="113"/>
      <c r="AH318" s="113"/>
      <c r="AI318" s="113"/>
      <c r="AJ318" s="113"/>
      <c r="AK318" s="113"/>
      <c r="AL318" s="113"/>
      <c r="AM318" s="113"/>
      <c r="AP318" s="113"/>
      <c r="AQ318" s="113"/>
      <c r="AR318" s="113"/>
      <c r="AS318" s="113"/>
      <c r="AT318" s="113"/>
      <c r="AU318" s="113"/>
      <c r="AV318" s="113"/>
      <c r="AW318" s="113"/>
      <c r="AX318" s="113"/>
      <c r="AY318" s="113"/>
      <c r="AZ318" s="113"/>
      <c r="BA318" s="113"/>
      <c r="BB318" s="113"/>
      <c r="BC318" s="113"/>
      <c r="BD318" s="113"/>
    </row>
    <row r="319" spans="1:56" s="418" customFormat="1" ht="15.75" hidden="1" customHeight="1" collapsed="1">
      <c r="A319" s="113"/>
      <c r="B319" s="2730" t="s">
        <v>2443</v>
      </c>
      <c r="C319" s="2731"/>
      <c r="D319" s="2731"/>
      <c r="E319" s="2731"/>
      <c r="F319" s="2731"/>
      <c r="G319" s="2731"/>
      <c r="H319" s="2731"/>
      <c r="I319" s="2731"/>
      <c r="J319" s="2731"/>
      <c r="K319" s="2731"/>
      <c r="L319" s="2731"/>
      <c r="M319" s="2731"/>
      <c r="N319" s="2731"/>
      <c r="O319" s="2732"/>
      <c r="P319" s="113"/>
      <c r="Q319" s="113"/>
      <c r="R319" s="113"/>
      <c r="S319" s="113"/>
      <c r="T319" s="113"/>
      <c r="U319" s="113"/>
      <c r="V319" s="113"/>
      <c r="W319" s="113"/>
      <c r="X319" s="113"/>
      <c r="Y319" s="113"/>
      <c r="Z319" s="113"/>
      <c r="AA319" s="113"/>
      <c r="AB319" s="113"/>
      <c r="AC319" s="113"/>
      <c r="AE319" s="113"/>
      <c r="AF319" s="113"/>
      <c r="AG319" s="113"/>
      <c r="AH319" s="113"/>
      <c r="AI319" s="113"/>
      <c r="AJ319" s="113"/>
      <c r="AK319" s="113"/>
      <c r="AL319" s="113"/>
      <c r="AM319" s="113"/>
      <c r="AP319" s="113"/>
      <c r="AQ319" s="113"/>
      <c r="AR319" s="113"/>
      <c r="AS319" s="113"/>
      <c r="AT319" s="113"/>
      <c r="AU319" s="113"/>
      <c r="AV319" s="113"/>
      <c r="AW319" s="113"/>
      <c r="AX319" s="113"/>
      <c r="AY319" s="113"/>
      <c r="AZ319" s="113"/>
      <c r="BA319" s="113"/>
      <c r="BB319" s="113"/>
      <c r="BC319" s="113"/>
      <c r="BD319" s="113"/>
    </row>
    <row r="320" spans="1:56" s="418" customFormat="1" hidden="1" outlineLevel="1">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E320" s="113"/>
      <c r="AF320" s="113"/>
      <c r="AG320" s="113"/>
      <c r="AH320" s="113"/>
      <c r="AI320" s="113"/>
      <c r="AJ320" s="113"/>
      <c r="AK320" s="113"/>
      <c r="AL320" s="113"/>
      <c r="AM320" s="113"/>
      <c r="AP320" s="113"/>
      <c r="AQ320" s="113"/>
      <c r="AR320" s="113"/>
      <c r="AS320" s="113"/>
      <c r="AT320" s="113"/>
      <c r="AU320" s="113"/>
      <c r="AV320" s="113"/>
      <c r="AW320" s="113"/>
      <c r="AX320" s="113"/>
      <c r="AY320" s="113"/>
      <c r="AZ320" s="113"/>
      <c r="BA320" s="113"/>
      <c r="BB320" s="113"/>
      <c r="BC320" s="113"/>
      <c r="BD320" s="113"/>
    </row>
    <row r="321" spans="1:56" s="418" customFormat="1" hidden="1" outlineLevel="1">
      <c r="A321" s="113"/>
      <c r="B321" s="113" t="s">
        <v>2547</v>
      </c>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E321" s="113"/>
      <c r="AF321" s="113"/>
      <c r="AG321" s="113"/>
      <c r="AH321" s="113"/>
      <c r="AI321" s="113"/>
      <c r="AJ321" s="113"/>
      <c r="AK321" s="113"/>
      <c r="AL321" s="113"/>
      <c r="AM321" s="113"/>
      <c r="AP321" s="113"/>
      <c r="AQ321" s="113"/>
      <c r="AR321" s="113"/>
      <c r="AS321" s="113"/>
      <c r="AT321" s="113"/>
      <c r="AU321" s="113"/>
      <c r="AV321" s="113"/>
      <c r="AW321" s="113"/>
      <c r="AX321" s="113"/>
      <c r="AY321" s="113"/>
      <c r="AZ321" s="113"/>
      <c r="BA321" s="113"/>
      <c r="BB321" s="113"/>
      <c r="BC321" s="113"/>
      <c r="BD321" s="113"/>
    </row>
    <row r="322" spans="1:56" s="418" customFormat="1" hidden="1" outlineLevel="1">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E322" s="113"/>
      <c r="AF322" s="113"/>
      <c r="AG322" s="113"/>
      <c r="AH322" s="113"/>
      <c r="AI322" s="113"/>
      <c r="AJ322" s="113"/>
      <c r="AK322" s="113"/>
      <c r="AL322" s="113"/>
      <c r="AM322" s="113"/>
      <c r="AP322" s="113"/>
      <c r="AQ322" s="113"/>
      <c r="AR322" s="113"/>
      <c r="AS322" s="113"/>
      <c r="AT322" s="113"/>
      <c r="AU322" s="113"/>
      <c r="AV322" s="113"/>
      <c r="AW322" s="113"/>
      <c r="AX322" s="113"/>
      <c r="AY322" s="113"/>
      <c r="AZ322" s="113"/>
      <c r="BA322" s="113"/>
      <c r="BB322" s="113"/>
      <c r="BC322" s="113"/>
      <c r="BD322" s="113"/>
    </row>
    <row r="323" spans="1:56" s="418" customFormat="1" hidden="1" outlineLevel="1">
      <c r="A323" s="113"/>
      <c r="B323" s="113" t="s">
        <v>2548</v>
      </c>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E323" s="113"/>
      <c r="AF323" s="113"/>
      <c r="AG323" s="113"/>
      <c r="AH323" s="113"/>
      <c r="AI323" s="113"/>
      <c r="AJ323" s="113"/>
      <c r="AK323" s="113"/>
      <c r="AL323" s="113"/>
      <c r="AM323" s="113"/>
      <c r="AP323" s="113"/>
      <c r="AQ323" s="113"/>
      <c r="AR323" s="113"/>
      <c r="AS323" s="113"/>
      <c r="AT323" s="113"/>
      <c r="AU323" s="113"/>
      <c r="AV323" s="113"/>
      <c r="AW323" s="113"/>
      <c r="AX323" s="113"/>
      <c r="AY323" s="113"/>
      <c r="AZ323" s="113"/>
      <c r="BA323" s="113"/>
      <c r="BB323" s="113"/>
      <c r="BC323" s="113"/>
      <c r="BD323" s="113"/>
    </row>
    <row r="324" spans="1:56" s="418" customFormat="1" hidden="1" outlineLevel="1">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E324" s="113"/>
      <c r="AF324" s="113"/>
      <c r="AG324" s="113"/>
      <c r="AH324" s="113"/>
      <c r="AI324" s="113"/>
      <c r="AJ324" s="113"/>
      <c r="AK324" s="113"/>
      <c r="AL324" s="113"/>
      <c r="AM324" s="113"/>
      <c r="AP324" s="113"/>
      <c r="AQ324" s="113"/>
      <c r="AR324" s="113"/>
      <c r="AS324" s="113"/>
      <c r="AT324" s="113"/>
      <c r="AU324" s="113"/>
      <c r="AV324" s="113"/>
      <c r="AW324" s="113"/>
      <c r="AX324" s="113"/>
      <c r="AY324" s="113"/>
      <c r="AZ324" s="113"/>
      <c r="BA324" s="113"/>
      <c r="BB324" s="113"/>
      <c r="BC324" s="113"/>
      <c r="BD324" s="113"/>
    </row>
    <row r="325" spans="1:56" s="418" customFormat="1" hidden="1" outlineLevel="1">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E325" s="113"/>
      <c r="AF325" s="113"/>
      <c r="AG325" s="113"/>
      <c r="AH325" s="113"/>
      <c r="AI325" s="113"/>
      <c r="AJ325" s="113"/>
      <c r="AK325" s="113"/>
      <c r="AL325" s="113"/>
      <c r="AM325" s="113"/>
      <c r="AP325" s="113"/>
      <c r="AQ325" s="113"/>
      <c r="AR325" s="113"/>
      <c r="AS325" s="113"/>
      <c r="AT325" s="113"/>
      <c r="AU325" s="113"/>
      <c r="AV325" s="113"/>
      <c r="AW325" s="113"/>
      <c r="AX325" s="113"/>
      <c r="AY325" s="113"/>
      <c r="AZ325" s="113"/>
      <c r="BA325" s="113"/>
      <c r="BB325" s="113"/>
      <c r="BC325" s="113"/>
      <c r="BD325" s="113"/>
    </row>
    <row r="326" spans="1:56" s="418" customFormat="1" hidden="1" outlineLevel="1">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E326" s="113"/>
      <c r="AF326" s="113"/>
      <c r="AG326" s="113"/>
      <c r="AH326" s="113"/>
      <c r="AI326" s="113"/>
      <c r="AJ326" s="113"/>
      <c r="AK326" s="113"/>
      <c r="AL326" s="113"/>
      <c r="AM326" s="113"/>
      <c r="AP326" s="113"/>
      <c r="AQ326" s="113"/>
      <c r="AR326" s="113"/>
      <c r="AS326" s="113"/>
      <c r="AT326" s="113"/>
      <c r="AU326" s="113"/>
      <c r="AV326" s="113"/>
      <c r="AW326" s="113"/>
      <c r="AX326" s="113"/>
      <c r="AY326" s="113"/>
      <c r="AZ326" s="113"/>
      <c r="BA326" s="113"/>
      <c r="BB326" s="113"/>
      <c r="BC326" s="113"/>
      <c r="BD326" s="113"/>
    </row>
    <row r="327" spans="1:56" s="418" customFormat="1" hidden="1" outlineLevel="1">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E327" s="113"/>
      <c r="AF327" s="113"/>
      <c r="AG327" s="113"/>
      <c r="AH327" s="113"/>
      <c r="AI327" s="113"/>
      <c r="AJ327" s="113"/>
      <c r="AK327" s="113"/>
      <c r="AL327" s="113"/>
      <c r="AM327" s="113"/>
      <c r="AP327" s="113"/>
      <c r="AQ327" s="113"/>
      <c r="AR327" s="113"/>
      <c r="AS327" s="113"/>
      <c r="AT327" s="113"/>
      <c r="AU327" s="113"/>
      <c r="AV327" s="113"/>
      <c r="AW327" s="113"/>
      <c r="AX327" s="113"/>
      <c r="AY327" s="113"/>
      <c r="AZ327" s="113"/>
      <c r="BA327" s="113"/>
      <c r="BB327" s="113"/>
      <c r="BC327" s="113"/>
      <c r="BD327" s="113"/>
    </row>
    <row r="328" spans="1:56" s="418" customFormat="1" hidden="1" collapsed="1">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E328" s="113"/>
      <c r="AF328" s="113"/>
      <c r="AG328" s="113"/>
      <c r="AH328" s="113"/>
      <c r="AI328" s="113"/>
      <c r="AJ328" s="113"/>
      <c r="AK328" s="113"/>
      <c r="AL328" s="113"/>
      <c r="AM328" s="113"/>
      <c r="AP328" s="113"/>
      <c r="AQ328" s="113"/>
      <c r="AR328" s="113"/>
      <c r="AS328" s="113"/>
      <c r="AT328" s="113"/>
      <c r="AU328" s="113"/>
      <c r="AV328" s="113"/>
      <c r="AW328" s="113"/>
      <c r="AX328" s="113"/>
      <c r="AY328" s="113"/>
      <c r="AZ328" s="113"/>
      <c r="BA328" s="113"/>
      <c r="BB328" s="113"/>
      <c r="BC328" s="113"/>
      <c r="BD328" s="113"/>
    </row>
    <row r="329" spans="1:56" s="418" customFormat="1" ht="15.6" collapsed="1">
      <c r="A329" s="113"/>
      <c r="B329" s="2733" t="s">
        <v>2554</v>
      </c>
      <c r="C329" s="2734"/>
      <c r="D329" s="2734"/>
      <c r="E329" s="2734"/>
      <c r="F329" s="2734"/>
      <c r="G329" s="2734"/>
      <c r="H329" s="2734"/>
      <c r="I329" s="2734"/>
      <c r="J329" s="2734"/>
      <c r="K329" s="2734"/>
      <c r="L329" s="2734"/>
      <c r="M329" s="2734"/>
      <c r="N329" s="2734"/>
      <c r="O329" s="2735"/>
      <c r="P329" s="113"/>
      <c r="Q329" s="113"/>
      <c r="R329" s="113"/>
      <c r="S329" s="113"/>
      <c r="T329" s="113"/>
      <c r="U329" s="113"/>
      <c r="V329" s="113"/>
      <c r="W329" s="113"/>
      <c r="X329" s="113"/>
      <c r="Y329" s="113"/>
      <c r="Z329" s="113"/>
      <c r="AA329" s="113"/>
      <c r="AB329" s="113"/>
      <c r="AC329" s="113"/>
      <c r="AE329" s="113"/>
      <c r="AF329" s="113"/>
      <c r="AG329" s="113"/>
      <c r="AH329" s="113"/>
      <c r="AI329" s="113"/>
      <c r="AJ329" s="113"/>
      <c r="AK329" s="113"/>
      <c r="AL329" s="113"/>
      <c r="AM329" s="113"/>
      <c r="AP329" s="113"/>
      <c r="AQ329" s="113"/>
      <c r="AR329" s="113"/>
      <c r="AS329" s="113"/>
      <c r="AT329" s="113"/>
      <c r="AU329" s="113"/>
      <c r="AV329" s="113"/>
      <c r="AW329" s="113"/>
      <c r="AX329" s="113"/>
      <c r="AY329" s="113"/>
      <c r="AZ329" s="113"/>
      <c r="BA329" s="113"/>
      <c r="BB329" s="113"/>
      <c r="BC329" s="113"/>
      <c r="BD329" s="113"/>
    </row>
    <row r="330" spans="1:56" s="418" customFormat="1" hidden="1" outlineLevel="1">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56" s="113" customFormat="1" ht="38.25" hidden="1" customHeight="1" outlineLevel="1">
      <c r="B331" s="205"/>
      <c r="C331" s="205"/>
      <c r="D331" s="205"/>
      <c r="E331" s="2736" t="s">
        <v>448</v>
      </c>
      <c r="F331" s="2737"/>
      <c r="G331" s="2737"/>
      <c r="H331" s="2737"/>
      <c r="I331" s="2737"/>
      <c r="J331" s="2737"/>
      <c r="K331" s="2737"/>
      <c r="L331" s="2737"/>
      <c r="M331" s="2738"/>
      <c r="N331" s="1794" t="s">
        <v>811</v>
      </c>
      <c r="O331" s="1795" t="s">
        <v>440</v>
      </c>
      <c r="Q331" s="908"/>
      <c r="R331" s="908"/>
      <c r="W331" s="817"/>
      <c r="AB331" s="576"/>
      <c r="AC331" s="576"/>
      <c r="AD331" s="576"/>
      <c r="AE331" s="576"/>
      <c r="AF331" s="576"/>
      <c r="AG331" s="576"/>
      <c r="AH331" s="576"/>
      <c r="AI331" s="576"/>
      <c r="AJ331" s="576"/>
      <c r="AK331" s="576"/>
      <c r="AL331" s="576"/>
      <c r="AM331" s="576"/>
    </row>
    <row r="332" spans="1:56" s="113" customFormat="1" ht="38.25" hidden="1" customHeight="1" outlineLevel="1">
      <c r="B332" s="2736" t="s">
        <v>438</v>
      </c>
      <c r="C332" s="2738"/>
      <c r="D332" s="1795" t="s">
        <v>2510</v>
      </c>
      <c r="E332" s="1796" t="s">
        <v>853</v>
      </c>
      <c r="F332" s="1796" t="s">
        <v>854</v>
      </c>
      <c r="G332" s="1796" t="s">
        <v>855</v>
      </c>
      <c r="H332" s="1796" t="s">
        <v>861</v>
      </c>
      <c r="I332" s="1796" t="s">
        <v>852</v>
      </c>
      <c r="J332" s="1797" t="s">
        <v>513</v>
      </c>
      <c r="K332" s="1796" t="s">
        <v>862</v>
      </c>
      <c r="L332" s="1796" t="s">
        <v>863</v>
      </c>
      <c r="M332" s="1796" t="s">
        <v>514</v>
      </c>
      <c r="N332" s="1798" t="s">
        <v>856</v>
      </c>
      <c r="O332" s="1799" t="s">
        <v>513</v>
      </c>
      <c r="Q332" s="908"/>
      <c r="R332" s="908"/>
      <c r="W332" s="817"/>
      <c r="AB332" s="576"/>
      <c r="AC332" s="576"/>
      <c r="AD332" s="576"/>
      <c r="AE332" s="576"/>
      <c r="AF332" s="576"/>
      <c r="AG332" s="576"/>
      <c r="AH332" s="576"/>
      <c r="AI332" s="576"/>
      <c r="AJ332" s="576"/>
      <c r="AK332" s="576"/>
      <c r="AL332" s="576"/>
      <c r="AM332" s="576"/>
    </row>
    <row r="333" spans="1:56" s="113" customFormat="1" ht="12.75" hidden="1" customHeight="1" outlineLevel="1">
      <c r="B333" s="2722" t="s">
        <v>2481</v>
      </c>
      <c r="C333" s="2723"/>
      <c r="D333" s="973" t="s">
        <v>2503</v>
      </c>
      <c r="E333" s="980">
        <f>SUM(E291:E295)</f>
        <v>0</v>
      </c>
      <c r="F333" s="980">
        <f t="shared" ref="F333:I333" si="47">SUM(F291:F295)</f>
        <v>0</v>
      </c>
      <c r="G333" s="980">
        <f t="shared" si="47"/>
        <v>0</v>
      </c>
      <c r="H333" s="980">
        <f t="shared" si="47"/>
        <v>0</v>
      </c>
      <c r="I333" s="980">
        <f t="shared" si="47"/>
        <v>0</v>
      </c>
      <c r="J333" s="981">
        <f>SUM(E333:I333)</f>
        <v>0</v>
      </c>
      <c r="K333" s="982">
        <f>SUM(K291:K295)</f>
        <v>0</v>
      </c>
      <c r="L333" s="982">
        <v>0</v>
      </c>
      <c r="M333" s="983">
        <f>M291</f>
        <v>0</v>
      </c>
      <c r="N333" s="984"/>
      <c r="O333" s="1886" t="s">
        <v>817</v>
      </c>
      <c r="Q333" s="908"/>
      <c r="R333" s="908"/>
      <c r="W333" s="817"/>
      <c r="AB333" s="576"/>
      <c r="AC333" s="576"/>
      <c r="AD333" s="576"/>
      <c r="AE333" s="576"/>
      <c r="AF333" s="576"/>
      <c r="AG333" s="576"/>
      <c r="AH333" s="576"/>
      <c r="AI333" s="576"/>
      <c r="AJ333" s="576"/>
      <c r="AK333" s="576"/>
      <c r="AL333" s="576"/>
      <c r="AM333" s="576"/>
    </row>
    <row r="334" spans="1:56" s="113" customFormat="1" ht="12.75" hidden="1" customHeight="1" outlineLevel="1">
      <c r="B334" s="2722" t="s">
        <v>2482</v>
      </c>
      <c r="C334" s="2723"/>
      <c r="D334" s="1896" t="s">
        <v>2504</v>
      </c>
      <c r="E334" s="980">
        <f>E297+E298</f>
        <v>0</v>
      </c>
      <c r="F334" s="980">
        <f t="shared" ref="F334:I334" si="48">F297+F298</f>
        <v>0</v>
      </c>
      <c r="G334" s="980">
        <f t="shared" si="48"/>
        <v>0</v>
      </c>
      <c r="H334" s="980">
        <f t="shared" si="48"/>
        <v>0</v>
      </c>
      <c r="I334" s="980">
        <f t="shared" si="48"/>
        <v>0</v>
      </c>
      <c r="J334" s="981">
        <f>SUM(E334:I334)</f>
        <v>0</v>
      </c>
      <c r="K334" s="982">
        <f>K297+K298</f>
        <v>0</v>
      </c>
      <c r="L334" s="982">
        <v>0</v>
      </c>
      <c r="M334" s="983">
        <f>SQRT(SUMPRODUCT(M297:M298,M297:M298))</f>
        <v>0</v>
      </c>
      <c r="N334" s="984"/>
      <c r="O334" s="990"/>
      <c r="Q334" s="908"/>
      <c r="R334" s="908"/>
      <c r="W334" s="817"/>
      <c r="AB334" s="576"/>
      <c r="AC334" s="576"/>
      <c r="AD334" s="576"/>
      <c r="AE334" s="576"/>
      <c r="AF334" s="576"/>
      <c r="AG334" s="576"/>
      <c r="AH334" s="576"/>
      <c r="AI334" s="576"/>
      <c r="AJ334" s="576"/>
      <c r="AK334" s="576"/>
      <c r="AL334" s="576"/>
      <c r="AM334" s="576"/>
    </row>
    <row r="335" spans="1:56" s="113" customFormat="1" ht="12.75" hidden="1" customHeight="1" outlineLevel="1">
      <c r="B335" s="2722" t="s">
        <v>2483</v>
      </c>
      <c r="C335" s="2723"/>
      <c r="D335" s="973" t="s">
        <v>2505</v>
      </c>
      <c r="E335" s="980"/>
      <c r="F335" s="980"/>
      <c r="G335" s="980"/>
      <c r="H335" s="980"/>
      <c r="I335" s="980"/>
      <c r="J335" s="981"/>
      <c r="K335" s="982"/>
      <c r="L335" s="982"/>
      <c r="M335" s="983"/>
      <c r="N335" s="984"/>
      <c r="O335" s="984"/>
      <c r="Q335" s="908"/>
      <c r="R335" s="908"/>
      <c r="W335" s="817"/>
      <c r="AB335" s="576"/>
      <c r="AC335" s="576"/>
      <c r="AD335" s="576"/>
      <c r="AE335" s="576"/>
      <c r="AF335" s="576"/>
      <c r="AG335" s="576"/>
      <c r="AH335" s="576"/>
      <c r="AI335" s="576"/>
      <c r="AJ335" s="576"/>
      <c r="AK335" s="576"/>
      <c r="AL335" s="576"/>
      <c r="AM335" s="576"/>
    </row>
    <row r="336" spans="1:56" s="113" customFormat="1" ht="26.25" hidden="1" customHeight="1" outlineLevel="1">
      <c r="B336" s="2739" t="s">
        <v>2485</v>
      </c>
      <c r="C336" s="2740"/>
      <c r="D336" s="1896" t="s">
        <v>2506</v>
      </c>
      <c r="E336" s="980"/>
      <c r="F336" s="980"/>
      <c r="G336" s="980"/>
      <c r="H336" s="980"/>
      <c r="I336" s="980"/>
      <c r="J336" s="981"/>
      <c r="K336" s="982"/>
      <c r="L336" s="982"/>
      <c r="M336" s="983"/>
      <c r="N336" s="984"/>
      <c r="O336" s="984"/>
      <c r="Q336" s="908"/>
      <c r="R336" s="908"/>
      <c r="W336" s="817"/>
      <c r="AB336" s="576"/>
      <c r="AC336" s="576"/>
      <c r="AD336" s="576"/>
      <c r="AE336" s="576"/>
      <c r="AF336" s="576"/>
      <c r="AG336" s="576"/>
      <c r="AH336" s="576"/>
      <c r="AI336" s="576"/>
      <c r="AJ336" s="576"/>
      <c r="AK336" s="576"/>
      <c r="AL336" s="576"/>
      <c r="AM336" s="576"/>
    </row>
    <row r="337" spans="1:56" s="113" customFormat="1" ht="26.25" hidden="1" customHeight="1" outlineLevel="1">
      <c r="B337" s="2739" t="s">
        <v>2484</v>
      </c>
      <c r="C337" s="2740"/>
      <c r="D337" s="1897" t="s">
        <v>2507</v>
      </c>
      <c r="E337" s="980">
        <f>E303+E306</f>
        <v>0</v>
      </c>
      <c r="F337" s="980">
        <f t="shared" ref="F337:I337" si="49">F303+F306</f>
        <v>0</v>
      </c>
      <c r="G337" s="980">
        <f t="shared" si="49"/>
        <v>0</v>
      </c>
      <c r="H337" s="980">
        <f t="shared" si="49"/>
        <v>0</v>
      </c>
      <c r="I337" s="980">
        <f t="shared" si="49"/>
        <v>0</v>
      </c>
      <c r="J337" s="981">
        <f>SUM(E337:I337)</f>
        <v>0</v>
      </c>
      <c r="K337" s="982">
        <f>K303+K306</f>
        <v>0</v>
      </c>
      <c r="L337" s="982">
        <v>0</v>
      </c>
      <c r="M337" s="983">
        <f>M306</f>
        <v>0</v>
      </c>
      <c r="N337" s="984"/>
      <c r="O337" s="984"/>
      <c r="Q337" s="908"/>
      <c r="R337" s="908"/>
      <c r="W337" s="817"/>
      <c r="AB337" s="576"/>
      <c r="AC337" s="576"/>
      <c r="AD337" s="576"/>
      <c r="AE337" s="576"/>
      <c r="AF337" s="576"/>
      <c r="AG337" s="576"/>
      <c r="AH337" s="576"/>
      <c r="AI337" s="576"/>
      <c r="AJ337" s="576"/>
      <c r="AK337" s="576"/>
      <c r="AL337" s="576"/>
      <c r="AM337" s="576"/>
    </row>
    <row r="338" spans="1:56" s="113" customFormat="1" ht="26.25" hidden="1" customHeight="1" outlineLevel="1">
      <c r="B338" s="2739" t="s">
        <v>2486</v>
      </c>
      <c r="C338" s="2740"/>
      <c r="D338" s="973" t="s">
        <v>2508</v>
      </c>
      <c r="E338" s="980"/>
      <c r="F338" s="980"/>
      <c r="G338" s="980"/>
      <c r="H338" s="980"/>
      <c r="I338" s="980"/>
      <c r="J338" s="981"/>
      <c r="K338" s="982"/>
      <c r="L338" s="982"/>
      <c r="M338" s="983"/>
      <c r="N338" s="984"/>
      <c r="O338" s="984"/>
      <c r="Q338" s="908"/>
      <c r="R338" s="908"/>
      <c r="W338" s="817"/>
      <c r="AB338" s="576"/>
      <c r="AC338" s="576"/>
      <c r="AD338" s="576"/>
      <c r="AE338" s="576"/>
      <c r="AF338" s="576"/>
      <c r="AG338" s="576"/>
      <c r="AH338" s="576"/>
      <c r="AI338" s="576"/>
      <c r="AJ338" s="576"/>
      <c r="AK338" s="576"/>
      <c r="AL338" s="576"/>
      <c r="AM338" s="576"/>
    </row>
    <row r="339" spans="1:56" s="113" customFormat="1" ht="12.75" hidden="1" customHeight="1" outlineLevel="1">
      <c r="B339" s="2722" t="s">
        <v>449</v>
      </c>
      <c r="C339" s="2723"/>
      <c r="D339" s="1898" t="s">
        <v>2509</v>
      </c>
      <c r="E339" s="980">
        <f>E300+E307+E312+E315</f>
        <v>0</v>
      </c>
      <c r="F339" s="980">
        <f t="shared" ref="F339:I339" si="50">F300+F307+F312+F315</f>
        <v>0</v>
      </c>
      <c r="G339" s="980">
        <f t="shared" si="50"/>
        <v>0</v>
      </c>
      <c r="H339" s="980">
        <f t="shared" si="50"/>
        <v>0</v>
      </c>
      <c r="I339" s="980">
        <f t="shared" si="50"/>
        <v>0</v>
      </c>
      <c r="J339" s="981">
        <f>SUM(E339:I339)</f>
        <v>0</v>
      </c>
      <c r="K339" s="982">
        <f>K300+K307+K312+K315</f>
        <v>0</v>
      </c>
      <c r="L339" s="982">
        <v>0</v>
      </c>
      <c r="M339" s="983">
        <f>SQRT(SUM(M300^2,M315^2))</f>
        <v>0</v>
      </c>
      <c r="N339" s="984"/>
      <c r="O339" s="984"/>
      <c r="Q339" s="908"/>
      <c r="R339" s="908"/>
      <c r="W339" s="817"/>
      <c r="AB339" s="576"/>
      <c r="AC339" s="576"/>
      <c r="AD339" s="576"/>
      <c r="AE339" s="576"/>
      <c r="AF339" s="576"/>
      <c r="AG339" s="576"/>
      <c r="AH339" s="576"/>
      <c r="AI339" s="576"/>
      <c r="AJ339" s="576"/>
      <c r="AK339" s="576"/>
      <c r="AL339" s="576"/>
      <c r="AM339" s="576"/>
    </row>
    <row r="340" spans="1:56" s="418" customFormat="1" hidden="1" outlineLevel="1">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E340" s="113"/>
      <c r="AF340" s="113"/>
      <c r="AG340" s="113"/>
      <c r="AH340" s="113"/>
      <c r="AI340" s="113"/>
      <c r="AJ340" s="113"/>
      <c r="AK340" s="113"/>
      <c r="AL340" s="113"/>
      <c r="AM340" s="113"/>
      <c r="AP340" s="113"/>
      <c r="AQ340" s="113"/>
      <c r="AR340" s="113"/>
      <c r="AS340" s="113"/>
      <c r="AT340" s="113"/>
      <c r="AU340" s="113"/>
      <c r="AV340" s="113"/>
      <c r="AW340" s="113"/>
      <c r="AX340" s="113"/>
      <c r="AY340" s="113"/>
      <c r="AZ340" s="113"/>
      <c r="BA340" s="113"/>
      <c r="BB340" s="113"/>
      <c r="BC340" s="113"/>
      <c r="BD340" s="113"/>
    </row>
    <row r="341" spans="1:56" s="418" customFormat="1" collapsed="1">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E341" s="113"/>
      <c r="AF341" s="113"/>
      <c r="AG341" s="113"/>
      <c r="AH341" s="113"/>
      <c r="AI341" s="113"/>
      <c r="AJ341" s="113"/>
      <c r="AK341" s="113"/>
      <c r="AL341" s="113"/>
      <c r="AM341" s="113"/>
      <c r="AP341" s="113"/>
      <c r="AQ341" s="113"/>
      <c r="AR341" s="113"/>
      <c r="AS341" s="113"/>
      <c r="AT341" s="113"/>
      <c r="AU341" s="113"/>
      <c r="AV341" s="113"/>
      <c r="AW341" s="113"/>
      <c r="AX341" s="113"/>
      <c r="AY341" s="113"/>
      <c r="AZ341" s="113"/>
      <c r="BA341" s="113"/>
      <c r="BB341" s="113"/>
      <c r="BC341" s="113"/>
      <c r="BD341" s="113"/>
    </row>
    <row r="342" spans="1:56"/>
    <row r="343" spans="1:56"/>
    <row r="344" spans="1:56"/>
    <row r="345" spans="1:56"/>
    <row r="346" spans="1:56"/>
    <row r="347" spans="1:56"/>
    <row r="348" spans="1:56"/>
    <row r="349" spans="1:56"/>
    <row r="350" spans="1:56"/>
    <row r="351" spans="1:56"/>
    <row r="352" spans="1:56"/>
    <row r="353"/>
    <row r="354"/>
    <row r="355"/>
    <row r="356"/>
    <row r="357"/>
    <row r="358"/>
    <row r="359"/>
    <row r="360"/>
    <row r="361"/>
    <row r="362"/>
    <row r="363"/>
    <row r="364"/>
    <row r="365"/>
    <row r="366"/>
    <row r="367"/>
    <row r="368"/>
    <row r="369"/>
    <row r="370"/>
    <row r="371"/>
    <row r="372"/>
    <row r="373"/>
    <row r="374"/>
    <row r="375"/>
  </sheetData>
  <mergeCells count="343">
    <mergeCell ref="AR10:BC10"/>
    <mergeCell ref="D5:E5"/>
    <mergeCell ref="F5:G5"/>
    <mergeCell ref="H5:I5"/>
    <mergeCell ref="J5:K5"/>
    <mergeCell ref="L5:M5"/>
    <mergeCell ref="N5:O5"/>
    <mergeCell ref="B2:O2"/>
    <mergeCell ref="B3:C3"/>
    <mergeCell ref="D4:E4"/>
    <mergeCell ref="F4:G4"/>
    <mergeCell ref="H4:I4"/>
    <mergeCell ref="N4:O4"/>
    <mergeCell ref="G11:H11"/>
    <mergeCell ref="J11:K11"/>
    <mergeCell ref="M11:N11"/>
    <mergeCell ref="P11:Q11"/>
    <mergeCell ref="X11:Y11"/>
    <mergeCell ref="AE11:AF11"/>
    <mergeCell ref="B7:O7"/>
    <mergeCell ref="W9:AC9"/>
    <mergeCell ref="AE9:AP9"/>
    <mergeCell ref="AE10:AL10"/>
    <mergeCell ref="AM10:AN10"/>
    <mergeCell ref="AV11:AY11"/>
    <mergeCell ref="AZ11:BC11"/>
    <mergeCell ref="X12:Y12"/>
    <mergeCell ref="W30:AC30"/>
    <mergeCell ref="AE30:AP30"/>
    <mergeCell ref="AE31:AL31"/>
    <mergeCell ref="AM31:AN31"/>
    <mergeCell ref="AR31:BC31"/>
    <mergeCell ref="AG11:AH11"/>
    <mergeCell ref="AI11:AJ11"/>
    <mergeCell ref="AK11:AL11"/>
    <mergeCell ref="AM11:AN11"/>
    <mergeCell ref="AO11:AP11"/>
    <mergeCell ref="AR11:AU11"/>
    <mergeCell ref="AV32:AY32"/>
    <mergeCell ref="AZ32:BC32"/>
    <mergeCell ref="X33:Y33"/>
    <mergeCell ref="G36:H36"/>
    <mergeCell ref="H42:I42"/>
    <mergeCell ref="W42:AC42"/>
    <mergeCell ref="AE42:AP42"/>
    <mergeCell ref="AG32:AH32"/>
    <mergeCell ref="AI32:AJ32"/>
    <mergeCell ref="AK32:AL32"/>
    <mergeCell ref="AM32:AN32"/>
    <mergeCell ref="AO32:AP32"/>
    <mergeCell ref="AR32:AU32"/>
    <mergeCell ref="G32:H32"/>
    <mergeCell ref="J32:K32"/>
    <mergeCell ref="M32:N32"/>
    <mergeCell ref="P32:Q32"/>
    <mergeCell ref="X32:Y32"/>
    <mergeCell ref="AE32:AF32"/>
    <mergeCell ref="AV44:AY44"/>
    <mergeCell ref="AZ44:BC44"/>
    <mergeCell ref="X45:Y45"/>
    <mergeCell ref="B57:O57"/>
    <mergeCell ref="W59:AC59"/>
    <mergeCell ref="AE59:AI59"/>
    <mergeCell ref="AM43:AN43"/>
    <mergeCell ref="AR43:BC43"/>
    <mergeCell ref="X44:Y44"/>
    <mergeCell ref="AE44:AF44"/>
    <mergeCell ref="AG44:AH44"/>
    <mergeCell ref="AI44:AJ44"/>
    <mergeCell ref="AK44:AL44"/>
    <mergeCell ref="AM44:AN44"/>
    <mergeCell ref="AO44:AP44"/>
    <mergeCell ref="AR44:AU44"/>
    <mergeCell ref="H43:I43"/>
    <mergeCell ref="J43:K43"/>
    <mergeCell ref="AE43:AL43"/>
    <mergeCell ref="AR70:BC70"/>
    <mergeCell ref="X71:Y71"/>
    <mergeCell ref="AE71:AH71"/>
    <mergeCell ref="AR71:AU71"/>
    <mergeCell ref="AV71:AY71"/>
    <mergeCell ref="AZ71:BC71"/>
    <mergeCell ref="AR60:BC60"/>
    <mergeCell ref="X61:Y61"/>
    <mergeCell ref="AE61:AH61"/>
    <mergeCell ref="AR61:AU61"/>
    <mergeCell ref="AV61:AY61"/>
    <mergeCell ref="AZ61:BC61"/>
    <mergeCell ref="X72:Y72"/>
    <mergeCell ref="B80:O80"/>
    <mergeCell ref="W82:AC82"/>
    <mergeCell ref="AE82:AP82"/>
    <mergeCell ref="AE83:AL83"/>
    <mergeCell ref="AM83:AN83"/>
    <mergeCell ref="X62:Y62"/>
    <mergeCell ref="W69:AC69"/>
    <mergeCell ref="AE69:AI69"/>
    <mergeCell ref="AV84:AY84"/>
    <mergeCell ref="AZ84:BC84"/>
    <mergeCell ref="X85:Y85"/>
    <mergeCell ref="W97:AC97"/>
    <mergeCell ref="AE97:AP97"/>
    <mergeCell ref="AE98:AL98"/>
    <mergeCell ref="AM98:AN98"/>
    <mergeCell ref="AR83:BC83"/>
    <mergeCell ref="G84:I84"/>
    <mergeCell ref="X84:Y84"/>
    <mergeCell ref="AE84:AF84"/>
    <mergeCell ref="AG84:AH84"/>
    <mergeCell ref="AI84:AJ84"/>
    <mergeCell ref="AK84:AL84"/>
    <mergeCell ref="AM84:AN84"/>
    <mergeCell ref="AO84:AP84"/>
    <mergeCell ref="AR84:AU84"/>
    <mergeCell ref="AM99:AN99"/>
    <mergeCell ref="AO99:AP99"/>
    <mergeCell ref="X100:Y100"/>
    <mergeCell ref="G99:J99"/>
    <mergeCell ref="X99:Y99"/>
    <mergeCell ref="AE99:AF99"/>
    <mergeCell ref="AG99:AH99"/>
    <mergeCell ref="AI99:AJ99"/>
    <mergeCell ref="AK99:AL99"/>
    <mergeCell ref="X114:Y114"/>
    <mergeCell ref="W122:AC122"/>
    <mergeCell ref="AE122:AI122"/>
    <mergeCell ref="AR123:AY123"/>
    <mergeCell ref="X124:Y124"/>
    <mergeCell ref="AE124:AH124"/>
    <mergeCell ref="AR124:AU124"/>
    <mergeCell ref="AV124:AY124"/>
    <mergeCell ref="W111:AC111"/>
    <mergeCell ref="AR112:AY112"/>
    <mergeCell ref="X113:Y113"/>
    <mergeCell ref="AE113:AH113"/>
    <mergeCell ref="AR113:AU113"/>
    <mergeCell ref="AV113:AY113"/>
    <mergeCell ref="X137:Y137"/>
    <mergeCell ref="W154:AC154"/>
    <mergeCell ref="AR155:AY155"/>
    <mergeCell ref="X156:Y156"/>
    <mergeCell ref="AE156:AH156"/>
    <mergeCell ref="AR156:AU156"/>
    <mergeCell ref="AV156:AY156"/>
    <mergeCell ref="X125:Y125"/>
    <mergeCell ref="W134:AC134"/>
    <mergeCell ref="AE134:AI134"/>
    <mergeCell ref="AR135:AY135"/>
    <mergeCell ref="X136:Y136"/>
    <mergeCell ref="AE136:AH136"/>
    <mergeCell ref="AR136:AU136"/>
    <mergeCell ref="AV136:AY136"/>
    <mergeCell ref="X157:Y157"/>
    <mergeCell ref="W165:AC165"/>
    <mergeCell ref="AR166:AY166"/>
    <mergeCell ref="X167:Y167"/>
    <mergeCell ref="AE167:AH167"/>
    <mergeCell ref="AR167:AU167"/>
    <mergeCell ref="AV167:AY167"/>
    <mergeCell ref="AK178:AL178"/>
    <mergeCell ref="AO178:AP178"/>
    <mergeCell ref="AR178:AU178"/>
    <mergeCell ref="AV178:AY178"/>
    <mergeCell ref="AZ178:BC178"/>
    <mergeCell ref="X179:Y179"/>
    <mergeCell ref="X168:Y168"/>
    <mergeCell ref="W176:AC176"/>
    <mergeCell ref="AE176:AP176"/>
    <mergeCell ref="AE177:AL177"/>
    <mergeCell ref="AR177:BC177"/>
    <mergeCell ref="B199:C199"/>
    <mergeCell ref="B200:C200"/>
    <mergeCell ref="G178:H178"/>
    <mergeCell ref="X178:Y178"/>
    <mergeCell ref="AE178:AF178"/>
    <mergeCell ref="AG178:AH178"/>
    <mergeCell ref="AI178:AJ178"/>
    <mergeCell ref="B201:C201"/>
    <mergeCell ref="B202:C202"/>
    <mergeCell ref="B203:C203"/>
    <mergeCell ref="B204:C204"/>
    <mergeCell ref="W186:AC186"/>
    <mergeCell ref="AE186:AI186"/>
    <mergeCell ref="AE188:AH188"/>
    <mergeCell ref="B195:O195"/>
    <mergeCell ref="B197:C198"/>
    <mergeCell ref="D197:F197"/>
    <mergeCell ref="H197:I197"/>
    <mergeCell ref="K197:N197"/>
    <mergeCell ref="B213:C213"/>
    <mergeCell ref="B214:C214"/>
    <mergeCell ref="B215:C215"/>
    <mergeCell ref="B216:C216"/>
    <mergeCell ref="B217:C217"/>
    <mergeCell ref="B218:C218"/>
    <mergeCell ref="B207:O207"/>
    <mergeCell ref="B209:C210"/>
    <mergeCell ref="D209:F209"/>
    <mergeCell ref="H209:I209"/>
    <mergeCell ref="B211:C211"/>
    <mergeCell ref="B212:C212"/>
    <mergeCell ref="B227:C227"/>
    <mergeCell ref="B228:C228"/>
    <mergeCell ref="B229:C229"/>
    <mergeCell ref="B230:C230"/>
    <mergeCell ref="B231:C231"/>
    <mergeCell ref="B232:C232"/>
    <mergeCell ref="B219:C219"/>
    <mergeCell ref="B221:O221"/>
    <mergeCell ref="E223:K223"/>
    <mergeCell ref="B224:C224"/>
    <mergeCell ref="B225:C225"/>
    <mergeCell ref="B226:C226"/>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53:O253"/>
    <mergeCell ref="E255:N255"/>
    <mergeCell ref="B256:C256"/>
    <mergeCell ref="B257:C257"/>
    <mergeCell ref="B258:C258"/>
    <mergeCell ref="B259:C259"/>
    <mergeCell ref="B245:C245"/>
    <mergeCell ref="B246:C246"/>
    <mergeCell ref="B247:C247"/>
    <mergeCell ref="B248:C248"/>
    <mergeCell ref="B249:C249"/>
    <mergeCell ref="B250:C250"/>
    <mergeCell ref="B266:C266"/>
    <mergeCell ref="B267:C267"/>
    <mergeCell ref="B268:C268"/>
    <mergeCell ref="B269:C269"/>
    <mergeCell ref="B270:C270"/>
    <mergeCell ref="B271:C271"/>
    <mergeCell ref="B260:C260"/>
    <mergeCell ref="B261:D261"/>
    <mergeCell ref="B262:C262"/>
    <mergeCell ref="B263:C263"/>
    <mergeCell ref="B264:D264"/>
    <mergeCell ref="B265:O265"/>
    <mergeCell ref="B278:C278"/>
    <mergeCell ref="B279:C279"/>
    <mergeCell ref="B280:C280"/>
    <mergeCell ref="B281:C281"/>
    <mergeCell ref="B282:C282"/>
    <mergeCell ref="B283:C283"/>
    <mergeCell ref="B272:C272"/>
    <mergeCell ref="B273:C273"/>
    <mergeCell ref="B274:C274"/>
    <mergeCell ref="B275:O275"/>
    <mergeCell ref="B276:C276"/>
    <mergeCell ref="B277:C277"/>
    <mergeCell ref="B284:D284"/>
    <mergeCell ref="B287:O287"/>
    <mergeCell ref="E289:M289"/>
    <mergeCell ref="B290:C290"/>
    <mergeCell ref="B291:C291"/>
    <mergeCell ref="O291:O296"/>
    <mergeCell ref="B292:C292"/>
    <mergeCell ref="B293:C293"/>
    <mergeCell ref="B294:C294"/>
    <mergeCell ref="B295:C295"/>
    <mergeCell ref="B302:C302"/>
    <mergeCell ref="B303:C303"/>
    <mergeCell ref="B304:C304"/>
    <mergeCell ref="B305:C305"/>
    <mergeCell ref="B306:C306"/>
    <mergeCell ref="B307:C307"/>
    <mergeCell ref="B296:D296"/>
    <mergeCell ref="B297:C297"/>
    <mergeCell ref="B298:C298"/>
    <mergeCell ref="B299:D299"/>
    <mergeCell ref="B300:C300"/>
    <mergeCell ref="B301:C301"/>
    <mergeCell ref="B314:C314"/>
    <mergeCell ref="B315:C315"/>
    <mergeCell ref="B316:D316"/>
    <mergeCell ref="B319:O319"/>
    <mergeCell ref="B329:O329"/>
    <mergeCell ref="B308:C308"/>
    <mergeCell ref="B309:C309"/>
    <mergeCell ref="B310:C310"/>
    <mergeCell ref="B311:C311"/>
    <mergeCell ref="B312:C312"/>
    <mergeCell ref="B313:C313"/>
    <mergeCell ref="B339:C339"/>
    <mergeCell ref="B337:C337"/>
    <mergeCell ref="B338:C338"/>
    <mergeCell ref="B336:C336"/>
    <mergeCell ref="B334:C334"/>
    <mergeCell ref="B335:C335"/>
    <mergeCell ref="E331:M331"/>
    <mergeCell ref="B332:C332"/>
    <mergeCell ref="B333:C333"/>
    <mergeCell ref="AT102:AU102"/>
    <mergeCell ref="AT103:AU103"/>
    <mergeCell ref="AT104:AU104"/>
    <mergeCell ref="AT105:AU105"/>
    <mergeCell ref="AT106:AU106"/>
    <mergeCell ref="AT107:AU107"/>
    <mergeCell ref="AT108:AU108"/>
    <mergeCell ref="AR100:AS100"/>
    <mergeCell ref="AR101:AS101"/>
    <mergeCell ref="AR102:AS102"/>
    <mergeCell ref="AR103:AS103"/>
    <mergeCell ref="AR104:AS104"/>
    <mergeCell ref="AR105:AS105"/>
    <mergeCell ref="AR106:AS106"/>
    <mergeCell ref="AR107:AS107"/>
    <mergeCell ref="AR108:AS108"/>
    <mergeCell ref="AX108:AY108"/>
    <mergeCell ref="AT99:AU99"/>
    <mergeCell ref="AV99:AW99"/>
    <mergeCell ref="AR98:AY98"/>
    <mergeCell ref="AX99:AY99"/>
    <mergeCell ref="AX100:AY100"/>
    <mergeCell ref="AX101:AY101"/>
    <mergeCell ref="AX102:AY102"/>
    <mergeCell ref="AX103:AY103"/>
    <mergeCell ref="AX104:AY104"/>
    <mergeCell ref="AX105:AY105"/>
    <mergeCell ref="AX106:AY106"/>
    <mergeCell ref="AX107:AY107"/>
    <mergeCell ref="AV100:AW100"/>
    <mergeCell ref="AV101:AW101"/>
    <mergeCell ref="AV102:AW102"/>
    <mergeCell ref="AV103:AW103"/>
    <mergeCell ref="AV104:AW104"/>
    <mergeCell ref="AV105:AW105"/>
    <mergeCell ref="AV106:AW106"/>
    <mergeCell ref="AV107:AW107"/>
    <mergeCell ref="AV108:AW108"/>
    <mergeCell ref="AT100:AU100"/>
    <mergeCell ref="AT101:AU101"/>
  </mergeCells>
  <conditionalFormatting sqref="G9:Q10 G13:H27 J13:K27 M13:N27 P13:Q27 G34:H35 J34:K38 M34:N38 P34:Q38 G37:H38 G12:Q12 G11 I11:J11 L11:M11 O11:P11">
    <cfRule type="containsErrors" dxfId="476" priority="62">
      <formula>ISERROR(G9)</formula>
    </cfRule>
  </conditionalFormatting>
  <conditionalFormatting sqref="J32">
    <cfRule type="containsErrors" dxfId="475" priority="61">
      <formula>ISERROR(J32)</formula>
    </cfRule>
  </conditionalFormatting>
  <conditionalFormatting sqref="M32">
    <cfRule type="containsErrors" dxfId="474" priority="60">
      <formula>ISERROR(M32)</formula>
    </cfRule>
  </conditionalFormatting>
  <conditionalFormatting sqref="P32">
    <cfRule type="containsErrors" dxfId="473" priority="59">
      <formula>ISERROR(P32)</formula>
    </cfRule>
  </conditionalFormatting>
  <conditionalFormatting sqref="H42">
    <cfRule type="containsErrors" dxfId="472" priority="58">
      <formula>ISERROR(H42)</formula>
    </cfRule>
  </conditionalFormatting>
  <conditionalFormatting sqref="G101:I103 I104:I107">
    <cfRule type="containsErrors" dxfId="471" priority="4">
      <formula>ISERROR(G101)</formula>
    </cfRule>
  </conditionalFormatting>
  <dataValidations count="20">
    <dataValidation type="list" allowBlank="1" showInputMessage="1" showErrorMessage="1" sqref="B37:B38" xr:uid="{00000000-0002-0000-0200-000000000000}">
      <formula1>FE_Energie_Bois</formula1>
    </dataValidation>
    <dataValidation type="list" allowBlank="1" showInputMessage="1" showErrorMessage="1" sqref="B34:B35" xr:uid="{00000000-0002-0000-0200-000001000000}">
      <formula1>FE_Energie_Biocarburants_liquide_gazeux</formula1>
    </dataValidation>
    <dataValidation type="list" allowBlank="1" showInputMessage="1" showErrorMessage="1" sqref="X13:X14 X16:X17 X19:X20 X22:X23 X25:X26 X46 X48 X50 X52 X63:X65 X73:X75 X91:X93 X101:X103 X105:X107 X115:X118 X126:X130 X138:X149 X158:X161 X169:X172 X180:X182 X34:X35 X37:X38 X86:X89" xr:uid="{00000000-0002-0000-0200-000002000000}">
      <formula1>Choix_Incertitudes</formula1>
    </dataValidation>
    <dataValidation type="list" allowBlank="1" showInputMessage="1" showErrorMessage="1" sqref="B25:B26" xr:uid="{00000000-0002-0000-0200-000003000000}">
      <formula1>FE_Energie_Coke_Déchets</formula1>
    </dataValidation>
    <dataValidation type="list" allowBlank="1" showInputMessage="1" showErrorMessage="1" sqref="B138:B149" xr:uid="{00000000-0002-0000-0200-000004000000}">
      <formula1>FE_Energie_Elec_EDF</formula1>
    </dataValidation>
    <dataValidation type="list" allowBlank="1" showInputMessage="1" showErrorMessage="1" sqref="B126:B130" xr:uid="{00000000-0002-0000-0200-000005000000}">
      <formula1>FE_Energie_Elec_Producteurs</formula1>
    </dataValidation>
    <dataValidation type="list" allowBlank="1" showInputMessage="1" showErrorMessage="1" sqref="B115:B118 F158:F161 F169:F172" xr:uid="{00000000-0002-0000-0200-000006000000}">
      <formula1>FE_Energie_Elec_AutresPays</formula1>
    </dataValidation>
    <dataValidation type="list" allowBlank="1" showInputMessage="1" showErrorMessage="1" sqref="B180:B182" xr:uid="{00000000-0002-0000-0200-000007000000}">
      <formula1>FE_Energie_Elec_Production</formula1>
    </dataValidation>
    <dataValidation type="list" allowBlank="1" showInputMessage="1" showErrorMessage="1" sqref="B105:B107" xr:uid="{00000000-0002-0000-0200-000008000000}">
      <formula1>FE_Energie_Elec_MoyOutreMer</formula1>
    </dataValidation>
    <dataValidation type="list" allowBlank="1" showInputMessage="1" showErrorMessage="1" sqref="B101:B103" xr:uid="{00000000-0002-0000-0200-000009000000}">
      <formula1>FE_Energie_Elec_MoyNatio</formula1>
    </dataValidation>
    <dataValidation type="list" allowBlank="1" showInputMessage="1" showErrorMessage="1" sqref="B91:B93 B86:B89" xr:uid="{00000000-0002-0000-0200-00000A000000}">
      <formula1>FE_Energie_Elec_Usage_saisonnalisé</formula1>
    </dataValidation>
    <dataValidation type="list" allowBlank="1" showInputMessage="1" showErrorMessage="1" sqref="B73:B75" xr:uid="{00000000-0002-0000-0200-00000B000000}">
      <formula1>FE_Energie_Réseaux_Froid</formula1>
    </dataValidation>
    <dataValidation type="list" allowBlank="1" showInputMessage="1" showErrorMessage="1" sqref="B63:B65" xr:uid="{00000000-0002-0000-0200-00000C000000}">
      <formula1>FE_Energie_Réseaux_Chaleur</formula1>
    </dataValidation>
    <dataValidation type="list" allowBlank="1" showInputMessage="1" showErrorMessage="1" sqref="B50 B19:B20" xr:uid="{00000000-0002-0000-0200-00000D000000}">
      <formula1>FE_Energie_Liquides</formula1>
    </dataValidation>
    <dataValidation type="list" allowBlank="1" showInputMessage="1" showErrorMessage="1" sqref="B48 B16:B17" xr:uid="{00000000-0002-0000-0200-00000E000000}">
      <formula1>FE_Energie_Autres_Gaz</formula1>
    </dataValidation>
    <dataValidation type="list" allowBlank="1" showInputMessage="1" showErrorMessage="1" sqref="B27 B46 B13:B14" xr:uid="{00000000-0002-0000-0200-00000F000000}">
      <formula1>FE_Energie_Butane_Propane</formula1>
    </dataValidation>
    <dataValidation type="list" allowBlank="1" showInputMessage="1" showErrorMessage="1" sqref="E46:E52" xr:uid="{00000000-0002-0000-0200-000010000000}">
      <formula1>Liste_Energie_bis</formula1>
    </dataValidation>
    <dataValidation type="list" allowBlank="1" showInputMessage="1" showErrorMessage="1" sqref="E63:E65 E91:E93 E169:E172 E126:E130 E73:E75 E115:E118 E158:E161 E101:E107 E138:E149 E180:E182 E13:E27 E34:E38 E86:E88" xr:uid="{00000000-0002-0000-0200-000011000000}">
      <formula1>Liste_Energie</formula1>
    </dataValidation>
    <dataValidation type="list" allowBlank="1" showInputMessage="1" showErrorMessage="1" sqref="B169:B172 B158:B161" xr:uid="{00000000-0002-0000-0200-000012000000}">
      <formula1>tertiaire_electricite2</formula1>
    </dataValidation>
    <dataValidation type="list" allowBlank="1" showInputMessage="1" showErrorMessage="1" sqref="B52 B22:B23" xr:uid="{00000000-0002-0000-0200-000013000000}">
      <formula1>FE_Energie_Charbons</formula1>
    </dataValidation>
  </dataValidations>
  <hyperlinks>
    <hyperlink ref="D4" location="energie1_combustibles" display="combustibles" xr:uid="{00000000-0004-0000-0200-000000000000}"/>
    <hyperlink ref="F4" location="energie1_vapeur" display="vapeur" xr:uid="{00000000-0004-0000-0200-000001000000}"/>
    <hyperlink ref="H4" location="energie1_électricité" display="électricité" xr:uid="{00000000-0004-0000-0200-000002000000}"/>
    <hyperlink ref="D5" location="energie1_total" display="total" xr:uid="{00000000-0004-0000-0200-000003000000}"/>
    <hyperlink ref="F5" location="energie1_sous_postes" display="sous-postes" xr:uid="{00000000-0004-0000-0200-000004000000}"/>
    <hyperlink ref="H5" location="energie1_bilanGES" display="bilan GES" xr:uid="{00000000-0004-0000-0200-000005000000}"/>
    <hyperlink ref="J5" location="energie1_GHGProtocol" display="GHG Protocol" xr:uid="{00000000-0004-0000-0200-000006000000}"/>
    <hyperlink ref="D4:E4" location="'Energie 2'!B7" display="Combustibles" xr:uid="{00000000-0004-0000-0200-000007000000}"/>
    <hyperlink ref="D5:E5" location="'Energie 2'!B195" display="Postes" xr:uid="{00000000-0004-0000-0200-000008000000}"/>
    <hyperlink ref="F4:G4" location="'Energie 2'!B57" display="Vapeur et froid" xr:uid="{00000000-0004-0000-0200-000009000000}"/>
    <hyperlink ref="F5:G5" location="'Energie 2'!B207" display="Sous-postes" xr:uid="{00000000-0004-0000-0200-00000A000000}"/>
    <hyperlink ref="H4:I4" location="'Energie 2'!B80" display="Electricité" xr:uid="{00000000-0004-0000-0200-00000B000000}"/>
    <hyperlink ref="H5:I5" location="'Energie 2'!B221" display="Bilan GES" xr:uid="{00000000-0004-0000-0200-00000C000000}"/>
    <hyperlink ref="J5:K5" location="'Energie 2'!B253" display="GHG Protocol" xr:uid="{00000000-0004-0000-0200-00000D000000}"/>
    <hyperlink ref="L5:M5" location="'Energie 2'!B287" display="ISO 14069" xr:uid="{00000000-0004-0000-0200-00000E000000}"/>
    <hyperlink ref="N5:O5" location="'CDP 2018'!A1" display="CDP" xr:uid="{00000000-0004-0000-0200-00000F000000}"/>
    <hyperlink ref="N4:O4" location="Descriptif!A1" display="Descriptif" xr:uid="{00000000-0004-0000-0200-000010000000}"/>
  </hyperlinks>
  <pageMargins left="0.7" right="0.7" top="0.75" bottom="0.75" header="0.3" footer="0.3"/>
  <pageSetup paperSize="9" orientation="portrait" r:id="rId1"/>
  <ignoredErrors>
    <ignoredError sqref="AE102 I233 K233 K230" formula="1"/>
    <ignoredError sqref="J17:K17 G16:G17 H16:H17 M17:N17 P16:P17 Q16:Q17 J20:K20 M20:N20 P20:Q20 G26:H26 J26:K26 M26:N26 P22:Q26 H34:H35 N34:N38 K34:K35 M37:M38 P37:Q38 Q34:Q35" evalError="1"/>
  </ignoredErrors>
  <extLst>
    <ext xmlns:x14="http://schemas.microsoft.com/office/spreadsheetml/2009/9/main" uri="{78C0D931-6437-407d-A8EE-F0AAD7539E65}">
      <x14:conditionalFormattings>
        <x14:conditionalFormatting xmlns:xm="http://schemas.microsoft.com/office/excel/2006/main">
          <x14:cfRule type="expression" priority="57" id="{B50223A6-48F3-494F-96E0-5F4329F25CA8}">
            <xm:f>$X13=Utilitaires!$N$572</xm:f>
            <x14:dxf>
              <fill>
                <patternFill>
                  <bgColor theme="0"/>
                </patternFill>
              </fill>
              <border>
                <left style="thin">
                  <color auto="1"/>
                </left>
                <right style="thin">
                  <color auto="1"/>
                </right>
                <top style="thin">
                  <color auto="1"/>
                </top>
                <bottom style="thin">
                  <color auto="1"/>
                </bottom>
                <vertical/>
                <horizontal/>
              </border>
            </x14:dxf>
          </x14:cfRule>
          <xm:sqref>Y13</xm:sqref>
        </x14:conditionalFormatting>
        <x14:conditionalFormatting xmlns:xm="http://schemas.microsoft.com/office/excel/2006/main">
          <x14:cfRule type="expression" priority="56" id="{C423DF19-93B9-4C8A-9518-866E37E7A903}">
            <xm:f>$X14=Utilitaires!$N$572</xm:f>
            <x14:dxf>
              <fill>
                <patternFill>
                  <bgColor theme="0"/>
                </patternFill>
              </fill>
              <border>
                <left style="thin">
                  <color auto="1"/>
                </left>
                <right style="thin">
                  <color auto="1"/>
                </right>
                <top style="thin">
                  <color auto="1"/>
                </top>
                <bottom style="thin">
                  <color auto="1"/>
                </bottom>
                <vertical/>
                <horizontal/>
              </border>
            </x14:dxf>
          </x14:cfRule>
          <xm:sqref>Y14</xm:sqref>
        </x14:conditionalFormatting>
        <x14:conditionalFormatting xmlns:xm="http://schemas.microsoft.com/office/excel/2006/main">
          <x14:cfRule type="expression" priority="55" id="{140C8A8E-86D7-4F21-BCC7-01EC7D757867}">
            <xm:f>$X16=Utilitaires!$N$572</xm:f>
            <x14:dxf>
              <fill>
                <patternFill>
                  <bgColor theme="0"/>
                </patternFill>
              </fill>
              <border>
                <left style="thin">
                  <color auto="1"/>
                </left>
                <right style="thin">
                  <color auto="1"/>
                </right>
                <top style="thin">
                  <color auto="1"/>
                </top>
                <bottom style="thin">
                  <color auto="1"/>
                </bottom>
                <vertical/>
                <horizontal/>
              </border>
            </x14:dxf>
          </x14:cfRule>
          <xm:sqref>Y16</xm:sqref>
        </x14:conditionalFormatting>
        <x14:conditionalFormatting xmlns:xm="http://schemas.microsoft.com/office/excel/2006/main">
          <x14:cfRule type="expression" priority="54" id="{DA0B648C-BC85-432B-900D-A311CD91F5F7}">
            <xm:f>$X17=Utilitaires!$N$572</xm:f>
            <x14:dxf>
              <fill>
                <patternFill>
                  <bgColor theme="0"/>
                </patternFill>
              </fill>
              <border>
                <left style="thin">
                  <color auto="1"/>
                </left>
                <right style="thin">
                  <color auto="1"/>
                </right>
                <top style="thin">
                  <color auto="1"/>
                </top>
                <bottom style="thin">
                  <color auto="1"/>
                </bottom>
                <vertical/>
                <horizontal/>
              </border>
            </x14:dxf>
          </x14:cfRule>
          <xm:sqref>Y17</xm:sqref>
        </x14:conditionalFormatting>
        <x14:conditionalFormatting xmlns:xm="http://schemas.microsoft.com/office/excel/2006/main">
          <x14:cfRule type="expression" priority="53" id="{C4D1080F-2BE7-447C-8301-1F40C3BA4568}">
            <xm:f>$X19=Utilitaires!$N$572</xm:f>
            <x14:dxf>
              <fill>
                <patternFill>
                  <bgColor theme="0"/>
                </patternFill>
              </fill>
              <border>
                <left style="thin">
                  <color auto="1"/>
                </left>
                <right style="thin">
                  <color auto="1"/>
                </right>
                <top style="thin">
                  <color auto="1"/>
                </top>
                <bottom style="thin">
                  <color auto="1"/>
                </bottom>
                <vertical/>
                <horizontal/>
              </border>
            </x14:dxf>
          </x14:cfRule>
          <xm:sqref>Y19</xm:sqref>
        </x14:conditionalFormatting>
        <x14:conditionalFormatting xmlns:xm="http://schemas.microsoft.com/office/excel/2006/main">
          <x14:cfRule type="expression" priority="52" id="{55A7EC2C-1CDD-4065-8FF5-C446FB5C6E00}">
            <xm:f>$X20=Utilitaires!$N$572</xm:f>
            <x14:dxf>
              <fill>
                <patternFill>
                  <bgColor theme="0"/>
                </patternFill>
              </fill>
              <border>
                <left style="thin">
                  <color auto="1"/>
                </left>
                <right style="thin">
                  <color auto="1"/>
                </right>
                <top style="thin">
                  <color auto="1"/>
                </top>
                <bottom style="thin">
                  <color auto="1"/>
                </bottom>
                <vertical/>
                <horizontal/>
              </border>
            </x14:dxf>
          </x14:cfRule>
          <xm:sqref>Y20</xm:sqref>
        </x14:conditionalFormatting>
        <x14:conditionalFormatting xmlns:xm="http://schemas.microsoft.com/office/excel/2006/main">
          <x14:cfRule type="expression" priority="51" id="{FB892A0F-46CF-4D84-AB04-95C0B56B4263}">
            <xm:f>$X22=Utilitaires!$N$572</xm:f>
            <x14:dxf>
              <fill>
                <patternFill>
                  <bgColor theme="0"/>
                </patternFill>
              </fill>
              <border>
                <left style="thin">
                  <color auto="1"/>
                </left>
                <right style="thin">
                  <color auto="1"/>
                </right>
                <top style="thin">
                  <color auto="1"/>
                </top>
                <bottom style="thin">
                  <color auto="1"/>
                </bottom>
                <vertical/>
                <horizontal/>
              </border>
            </x14:dxf>
          </x14:cfRule>
          <xm:sqref>Y22</xm:sqref>
        </x14:conditionalFormatting>
        <x14:conditionalFormatting xmlns:xm="http://schemas.microsoft.com/office/excel/2006/main">
          <x14:cfRule type="expression" priority="50" id="{DBBEA072-AE01-4E06-89F5-E1629D7D48F5}">
            <xm:f>$X23=Utilitaires!$N$572</xm:f>
            <x14:dxf>
              <fill>
                <patternFill>
                  <bgColor theme="0"/>
                </patternFill>
              </fill>
              <border>
                <left style="thin">
                  <color auto="1"/>
                </left>
                <right style="thin">
                  <color auto="1"/>
                </right>
                <top style="thin">
                  <color auto="1"/>
                </top>
                <bottom style="thin">
                  <color auto="1"/>
                </bottom>
                <vertical/>
                <horizontal/>
              </border>
            </x14:dxf>
          </x14:cfRule>
          <xm:sqref>Y23</xm:sqref>
        </x14:conditionalFormatting>
        <x14:conditionalFormatting xmlns:xm="http://schemas.microsoft.com/office/excel/2006/main">
          <x14:cfRule type="expression" priority="49" id="{20ED8ACF-EFC5-43A4-83E8-1F4AAC0978FA}">
            <xm:f>$X25=Utilitaires!$N$572</xm:f>
            <x14:dxf>
              <fill>
                <patternFill>
                  <bgColor theme="0"/>
                </patternFill>
              </fill>
              <border>
                <left style="thin">
                  <color auto="1"/>
                </left>
                <right style="thin">
                  <color auto="1"/>
                </right>
                <top style="thin">
                  <color auto="1"/>
                </top>
                <bottom style="thin">
                  <color auto="1"/>
                </bottom>
                <vertical/>
                <horizontal/>
              </border>
            </x14:dxf>
          </x14:cfRule>
          <xm:sqref>Y25</xm:sqref>
        </x14:conditionalFormatting>
        <x14:conditionalFormatting xmlns:xm="http://schemas.microsoft.com/office/excel/2006/main">
          <x14:cfRule type="expression" priority="48" id="{72E4BFAC-4C74-40FD-9697-23321A848542}">
            <xm:f>$X26=Utilitaires!$N$572</xm:f>
            <x14:dxf>
              <fill>
                <patternFill>
                  <bgColor theme="0"/>
                </patternFill>
              </fill>
              <border>
                <left style="thin">
                  <color auto="1"/>
                </left>
                <right style="thin">
                  <color auto="1"/>
                </right>
                <top style="thin">
                  <color auto="1"/>
                </top>
                <bottom style="thin">
                  <color auto="1"/>
                </bottom>
                <vertical/>
                <horizontal/>
              </border>
            </x14:dxf>
          </x14:cfRule>
          <xm:sqref>Y26</xm:sqref>
        </x14:conditionalFormatting>
        <x14:conditionalFormatting xmlns:xm="http://schemas.microsoft.com/office/excel/2006/main">
          <x14:cfRule type="expression" priority="47" id="{59C290EF-D959-4FAB-BD1B-34C1A9F438C3}">
            <xm:f>$X34=Utilitaires!$N$572</xm:f>
            <x14:dxf>
              <fill>
                <patternFill>
                  <bgColor theme="0"/>
                </patternFill>
              </fill>
              <border>
                <left style="thin">
                  <color auto="1"/>
                </left>
                <right style="thin">
                  <color auto="1"/>
                </right>
                <top style="thin">
                  <color auto="1"/>
                </top>
                <bottom style="thin">
                  <color auto="1"/>
                </bottom>
                <vertical/>
                <horizontal/>
              </border>
            </x14:dxf>
          </x14:cfRule>
          <xm:sqref>Y34</xm:sqref>
        </x14:conditionalFormatting>
        <x14:conditionalFormatting xmlns:xm="http://schemas.microsoft.com/office/excel/2006/main">
          <x14:cfRule type="expression" priority="46" id="{C12A72FA-7A43-42DA-8F8E-B871654ECAFC}">
            <xm:f>$X35=Utilitaires!$N$572</xm:f>
            <x14:dxf>
              <fill>
                <patternFill>
                  <bgColor theme="0"/>
                </patternFill>
              </fill>
              <border>
                <left style="thin">
                  <color auto="1"/>
                </left>
                <right style="thin">
                  <color auto="1"/>
                </right>
                <top style="thin">
                  <color auto="1"/>
                </top>
                <bottom style="thin">
                  <color auto="1"/>
                </bottom>
                <vertical/>
                <horizontal/>
              </border>
            </x14:dxf>
          </x14:cfRule>
          <xm:sqref>Y35</xm:sqref>
        </x14:conditionalFormatting>
        <x14:conditionalFormatting xmlns:xm="http://schemas.microsoft.com/office/excel/2006/main">
          <x14:cfRule type="expression" priority="45" id="{04737FE9-DD7A-4C4C-B642-0AFC7C37D922}">
            <xm:f>$X37=Utilitaires!$N$572</xm:f>
            <x14:dxf>
              <fill>
                <patternFill>
                  <bgColor theme="0"/>
                </patternFill>
              </fill>
              <border>
                <left style="thin">
                  <color auto="1"/>
                </left>
                <right style="thin">
                  <color auto="1"/>
                </right>
                <top style="thin">
                  <color auto="1"/>
                </top>
                <bottom style="thin">
                  <color auto="1"/>
                </bottom>
                <vertical/>
                <horizontal/>
              </border>
            </x14:dxf>
          </x14:cfRule>
          <xm:sqref>Y37</xm:sqref>
        </x14:conditionalFormatting>
        <x14:conditionalFormatting xmlns:xm="http://schemas.microsoft.com/office/excel/2006/main">
          <x14:cfRule type="expression" priority="44" id="{3B8CAC0B-FFE7-499A-AFD9-4CD2E96F15A2}">
            <xm:f>$X38=Utilitaires!$N$572</xm:f>
            <x14:dxf>
              <fill>
                <patternFill>
                  <bgColor theme="0"/>
                </patternFill>
              </fill>
              <border>
                <left style="thin">
                  <color auto="1"/>
                </left>
                <right style="thin">
                  <color auto="1"/>
                </right>
                <top style="thin">
                  <color auto="1"/>
                </top>
                <bottom style="thin">
                  <color auto="1"/>
                </bottom>
                <vertical/>
                <horizontal/>
              </border>
            </x14:dxf>
          </x14:cfRule>
          <xm:sqref>Y38</xm:sqref>
        </x14:conditionalFormatting>
        <x14:conditionalFormatting xmlns:xm="http://schemas.microsoft.com/office/excel/2006/main">
          <x14:cfRule type="expression" priority="43" id="{7D3B740C-7F38-409D-BF43-9A88657246A4}">
            <xm:f>$X46=Utilitaires!$N$572</xm:f>
            <x14:dxf>
              <fill>
                <patternFill>
                  <bgColor theme="0"/>
                </patternFill>
              </fill>
              <border>
                <left style="thin">
                  <color auto="1"/>
                </left>
                <right style="thin">
                  <color auto="1"/>
                </right>
                <top style="thin">
                  <color auto="1"/>
                </top>
                <bottom style="thin">
                  <color auto="1"/>
                </bottom>
                <vertical/>
                <horizontal/>
              </border>
            </x14:dxf>
          </x14:cfRule>
          <xm:sqref>Y46</xm:sqref>
        </x14:conditionalFormatting>
        <x14:conditionalFormatting xmlns:xm="http://schemas.microsoft.com/office/excel/2006/main">
          <x14:cfRule type="expression" priority="42" id="{4CE93274-3316-44E1-AF7C-2900877B4469}">
            <xm:f>$X48=Utilitaires!$N$572</xm:f>
            <x14:dxf>
              <fill>
                <patternFill>
                  <bgColor theme="0"/>
                </patternFill>
              </fill>
              <border>
                <left style="thin">
                  <color auto="1"/>
                </left>
                <right style="thin">
                  <color auto="1"/>
                </right>
                <top style="thin">
                  <color auto="1"/>
                </top>
                <bottom style="thin">
                  <color auto="1"/>
                </bottom>
                <vertical/>
                <horizontal/>
              </border>
            </x14:dxf>
          </x14:cfRule>
          <xm:sqref>Y48</xm:sqref>
        </x14:conditionalFormatting>
        <x14:conditionalFormatting xmlns:xm="http://schemas.microsoft.com/office/excel/2006/main">
          <x14:cfRule type="expression" priority="41" id="{D237B6CF-C6BE-4E9B-AC00-593B2D4CFDE1}">
            <xm:f>$X50=Utilitaires!$N$572</xm:f>
            <x14:dxf>
              <fill>
                <patternFill>
                  <bgColor theme="0"/>
                </patternFill>
              </fill>
              <border>
                <left style="thin">
                  <color auto="1"/>
                </left>
                <right style="thin">
                  <color auto="1"/>
                </right>
                <top style="thin">
                  <color auto="1"/>
                </top>
                <bottom style="thin">
                  <color auto="1"/>
                </bottom>
                <vertical/>
                <horizontal/>
              </border>
            </x14:dxf>
          </x14:cfRule>
          <xm:sqref>Y50</xm:sqref>
        </x14:conditionalFormatting>
        <x14:conditionalFormatting xmlns:xm="http://schemas.microsoft.com/office/excel/2006/main">
          <x14:cfRule type="expression" priority="40" id="{4C0B4C26-A5FA-4612-858E-6446E9A44F27}">
            <xm:f>$X52=Utilitaires!$N$572</xm:f>
            <x14:dxf>
              <fill>
                <patternFill>
                  <bgColor theme="0"/>
                </patternFill>
              </fill>
              <border>
                <left style="thin">
                  <color auto="1"/>
                </left>
                <right style="thin">
                  <color auto="1"/>
                </right>
                <top style="thin">
                  <color auto="1"/>
                </top>
                <bottom style="thin">
                  <color auto="1"/>
                </bottom>
                <vertical/>
                <horizontal/>
              </border>
            </x14:dxf>
          </x14:cfRule>
          <xm:sqref>Y52</xm:sqref>
        </x14:conditionalFormatting>
        <x14:conditionalFormatting xmlns:xm="http://schemas.microsoft.com/office/excel/2006/main">
          <x14:cfRule type="expression" priority="39" id="{495C5F85-63DE-48E7-844E-EE32BC0BD27B}">
            <xm:f>$X63=Utilitaires!$N$572</xm:f>
            <x14:dxf>
              <fill>
                <patternFill>
                  <bgColor theme="0"/>
                </patternFill>
              </fill>
              <border>
                <left style="thin">
                  <color auto="1"/>
                </left>
                <right style="thin">
                  <color auto="1"/>
                </right>
                <top style="thin">
                  <color auto="1"/>
                </top>
                <bottom style="thin">
                  <color auto="1"/>
                </bottom>
                <vertical/>
                <horizontal/>
              </border>
            </x14:dxf>
          </x14:cfRule>
          <xm:sqref>Y63</xm:sqref>
        </x14:conditionalFormatting>
        <x14:conditionalFormatting xmlns:xm="http://schemas.microsoft.com/office/excel/2006/main">
          <x14:cfRule type="expression" priority="38" id="{0BFD6153-3F04-4C4C-8101-199E2D60C52E}">
            <xm:f>$X64=Utilitaires!$N$572</xm:f>
            <x14:dxf>
              <fill>
                <patternFill>
                  <bgColor theme="0"/>
                </patternFill>
              </fill>
              <border>
                <left style="thin">
                  <color auto="1"/>
                </left>
                <right style="thin">
                  <color auto="1"/>
                </right>
                <top style="thin">
                  <color auto="1"/>
                </top>
                <bottom style="thin">
                  <color auto="1"/>
                </bottom>
                <vertical/>
                <horizontal/>
              </border>
            </x14:dxf>
          </x14:cfRule>
          <xm:sqref>Y64</xm:sqref>
        </x14:conditionalFormatting>
        <x14:conditionalFormatting xmlns:xm="http://schemas.microsoft.com/office/excel/2006/main">
          <x14:cfRule type="expression" priority="37" id="{E831CF9F-33B7-4F42-952D-86C890F73A2C}">
            <xm:f>$X65=Utilitaires!$N$572</xm:f>
            <x14:dxf>
              <fill>
                <patternFill>
                  <bgColor theme="0"/>
                </patternFill>
              </fill>
              <border>
                <left style="thin">
                  <color auto="1"/>
                </left>
                <right style="thin">
                  <color auto="1"/>
                </right>
                <top style="thin">
                  <color auto="1"/>
                </top>
                <bottom style="thin">
                  <color auto="1"/>
                </bottom>
                <vertical/>
                <horizontal/>
              </border>
            </x14:dxf>
          </x14:cfRule>
          <xm:sqref>Y65</xm:sqref>
        </x14:conditionalFormatting>
        <x14:conditionalFormatting xmlns:xm="http://schemas.microsoft.com/office/excel/2006/main">
          <x14:cfRule type="expression" priority="36" id="{01616851-97BC-4165-8BA3-143F31175193}">
            <xm:f>$X73=Utilitaires!$N$572</xm:f>
            <x14:dxf>
              <fill>
                <patternFill>
                  <bgColor theme="0"/>
                </patternFill>
              </fill>
              <border>
                <left style="thin">
                  <color auto="1"/>
                </left>
                <right style="thin">
                  <color auto="1"/>
                </right>
                <top style="thin">
                  <color auto="1"/>
                </top>
                <bottom style="thin">
                  <color auto="1"/>
                </bottom>
                <vertical/>
                <horizontal/>
              </border>
            </x14:dxf>
          </x14:cfRule>
          <xm:sqref>Y73</xm:sqref>
        </x14:conditionalFormatting>
        <x14:conditionalFormatting xmlns:xm="http://schemas.microsoft.com/office/excel/2006/main">
          <x14:cfRule type="expression" priority="35" id="{2C23EDA0-61CE-4396-9744-4C3434A040DA}">
            <xm:f>$X74=Utilitaires!$N$572</xm:f>
            <x14:dxf>
              <fill>
                <patternFill>
                  <bgColor theme="0"/>
                </patternFill>
              </fill>
              <border>
                <left style="thin">
                  <color auto="1"/>
                </left>
                <right style="thin">
                  <color auto="1"/>
                </right>
                <top style="thin">
                  <color auto="1"/>
                </top>
                <bottom style="thin">
                  <color auto="1"/>
                </bottom>
                <vertical/>
                <horizontal/>
              </border>
            </x14:dxf>
          </x14:cfRule>
          <xm:sqref>Y74</xm:sqref>
        </x14:conditionalFormatting>
        <x14:conditionalFormatting xmlns:xm="http://schemas.microsoft.com/office/excel/2006/main">
          <x14:cfRule type="expression" priority="34" id="{C3580AC3-8F96-436D-8BA0-B86EBA152345}">
            <xm:f>$X75=Utilitaires!$N$572</xm:f>
            <x14:dxf>
              <fill>
                <patternFill>
                  <bgColor theme="0"/>
                </patternFill>
              </fill>
              <border>
                <left style="thin">
                  <color auto="1"/>
                </left>
                <right style="thin">
                  <color auto="1"/>
                </right>
                <top style="thin">
                  <color auto="1"/>
                </top>
                <bottom style="thin">
                  <color auto="1"/>
                </bottom>
                <vertical/>
                <horizontal/>
              </border>
            </x14:dxf>
          </x14:cfRule>
          <xm:sqref>Y75</xm:sqref>
        </x14:conditionalFormatting>
        <x14:conditionalFormatting xmlns:xm="http://schemas.microsoft.com/office/excel/2006/main">
          <x14:cfRule type="expression" priority="33" id="{CA76AFC0-6032-45DB-AAF1-1528AB67EE9A}">
            <xm:f>$X91=Utilitaires!$N$572</xm:f>
            <x14:dxf>
              <fill>
                <patternFill>
                  <bgColor theme="0"/>
                </patternFill>
              </fill>
              <border>
                <left style="thin">
                  <color auto="1"/>
                </left>
                <right style="thin">
                  <color auto="1"/>
                </right>
                <top style="thin">
                  <color auto="1"/>
                </top>
                <bottom style="thin">
                  <color auto="1"/>
                </bottom>
                <vertical/>
                <horizontal/>
              </border>
            </x14:dxf>
          </x14:cfRule>
          <xm:sqref>Y91</xm:sqref>
        </x14:conditionalFormatting>
        <x14:conditionalFormatting xmlns:xm="http://schemas.microsoft.com/office/excel/2006/main">
          <x14:cfRule type="expression" priority="32" id="{DB7F77A1-6869-459A-BC10-83B0C31CEEBC}">
            <xm:f>$X92=Utilitaires!$N$572</xm:f>
            <x14:dxf>
              <fill>
                <patternFill>
                  <bgColor theme="0"/>
                </patternFill>
              </fill>
              <border>
                <left style="thin">
                  <color auto="1"/>
                </left>
                <right style="thin">
                  <color auto="1"/>
                </right>
                <top style="thin">
                  <color auto="1"/>
                </top>
                <bottom style="thin">
                  <color auto="1"/>
                </bottom>
                <vertical/>
                <horizontal/>
              </border>
            </x14:dxf>
          </x14:cfRule>
          <xm:sqref>Y92</xm:sqref>
        </x14:conditionalFormatting>
        <x14:conditionalFormatting xmlns:xm="http://schemas.microsoft.com/office/excel/2006/main">
          <x14:cfRule type="expression" priority="31" id="{D2223577-B06B-46F0-B3E9-BC4134057A48}">
            <xm:f>$X93=Utilitaires!$N$572</xm:f>
            <x14:dxf>
              <fill>
                <patternFill>
                  <bgColor theme="0"/>
                </patternFill>
              </fill>
              <border>
                <left style="thin">
                  <color auto="1"/>
                </left>
                <right style="thin">
                  <color auto="1"/>
                </right>
                <top style="thin">
                  <color auto="1"/>
                </top>
                <bottom style="thin">
                  <color auto="1"/>
                </bottom>
                <vertical/>
                <horizontal/>
              </border>
            </x14:dxf>
          </x14:cfRule>
          <xm:sqref>Y93</xm:sqref>
        </x14:conditionalFormatting>
        <x14:conditionalFormatting xmlns:xm="http://schemas.microsoft.com/office/excel/2006/main">
          <x14:cfRule type="expression" priority="30" id="{47491A65-D78F-4803-9789-3C7D7888CCD9}">
            <xm:f>$X101=Utilitaires!$N$572</xm:f>
            <x14:dxf>
              <fill>
                <patternFill>
                  <bgColor theme="0"/>
                </patternFill>
              </fill>
              <border>
                <left style="thin">
                  <color auto="1"/>
                </left>
                <right style="thin">
                  <color auto="1"/>
                </right>
                <top style="thin">
                  <color auto="1"/>
                </top>
                <bottom style="thin">
                  <color auto="1"/>
                </bottom>
                <vertical/>
                <horizontal/>
              </border>
            </x14:dxf>
          </x14:cfRule>
          <xm:sqref>Y101</xm:sqref>
        </x14:conditionalFormatting>
        <x14:conditionalFormatting xmlns:xm="http://schemas.microsoft.com/office/excel/2006/main">
          <x14:cfRule type="expression" priority="29" id="{06B3C3E4-0001-42DF-9FF6-1131A088FB9A}">
            <xm:f>$X102=Utilitaires!$N$572</xm:f>
            <x14:dxf>
              <fill>
                <patternFill>
                  <bgColor theme="0"/>
                </patternFill>
              </fill>
              <border>
                <left style="thin">
                  <color auto="1"/>
                </left>
                <right style="thin">
                  <color auto="1"/>
                </right>
                <top style="thin">
                  <color auto="1"/>
                </top>
                <bottom style="thin">
                  <color auto="1"/>
                </bottom>
                <vertical/>
                <horizontal/>
              </border>
            </x14:dxf>
          </x14:cfRule>
          <xm:sqref>Y102</xm:sqref>
        </x14:conditionalFormatting>
        <x14:conditionalFormatting xmlns:xm="http://schemas.microsoft.com/office/excel/2006/main">
          <x14:cfRule type="expression" priority="28" id="{6373EBF3-9DA4-4243-AD6E-1DA3D0A0C9D5}">
            <xm:f>$X103=Utilitaires!$N$572</xm:f>
            <x14:dxf>
              <fill>
                <patternFill>
                  <bgColor theme="0"/>
                </patternFill>
              </fill>
              <border>
                <left style="thin">
                  <color auto="1"/>
                </left>
                <right style="thin">
                  <color auto="1"/>
                </right>
                <top style="thin">
                  <color auto="1"/>
                </top>
                <bottom style="thin">
                  <color auto="1"/>
                </bottom>
                <vertical/>
                <horizontal/>
              </border>
            </x14:dxf>
          </x14:cfRule>
          <xm:sqref>Y103</xm:sqref>
        </x14:conditionalFormatting>
        <x14:conditionalFormatting xmlns:xm="http://schemas.microsoft.com/office/excel/2006/main">
          <x14:cfRule type="expression" priority="27" id="{D7B028C2-2D79-4BB3-84A7-9B7F0B161494}">
            <xm:f>$X105=Utilitaires!$N$572</xm:f>
            <x14:dxf>
              <fill>
                <patternFill>
                  <bgColor theme="0"/>
                </patternFill>
              </fill>
              <border>
                <left style="thin">
                  <color auto="1"/>
                </left>
                <right style="thin">
                  <color auto="1"/>
                </right>
                <top style="thin">
                  <color auto="1"/>
                </top>
                <bottom style="thin">
                  <color auto="1"/>
                </bottom>
                <vertical/>
                <horizontal/>
              </border>
            </x14:dxf>
          </x14:cfRule>
          <xm:sqref>Y105</xm:sqref>
        </x14:conditionalFormatting>
        <x14:conditionalFormatting xmlns:xm="http://schemas.microsoft.com/office/excel/2006/main">
          <x14:cfRule type="expression" priority="26" id="{EF95C62B-958E-4A2E-8598-E6188D0FD25E}">
            <xm:f>$X106=Utilitaires!$N$572</xm:f>
            <x14:dxf>
              <fill>
                <patternFill>
                  <bgColor theme="0"/>
                </patternFill>
              </fill>
              <border>
                <left style="thin">
                  <color auto="1"/>
                </left>
                <right style="thin">
                  <color auto="1"/>
                </right>
                <top style="thin">
                  <color auto="1"/>
                </top>
                <bottom style="thin">
                  <color auto="1"/>
                </bottom>
                <vertical/>
                <horizontal/>
              </border>
            </x14:dxf>
          </x14:cfRule>
          <xm:sqref>Y106</xm:sqref>
        </x14:conditionalFormatting>
        <x14:conditionalFormatting xmlns:xm="http://schemas.microsoft.com/office/excel/2006/main">
          <x14:cfRule type="expression" priority="25" id="{EC47D14C-2A63-4FD9-9E6C-963F3E8CA1BB}">
            <xm:f>$X107=Utilitaires!$N$572</xm:f>
            <x14:dxf>
              <fill>
                <patternFill>
                  <bgColor theme="0"/>
                </patternFill>
              </fill>
              <border>
                <left style="thin">
                  <color auto="1"/>
                </left>
                <right style="thin">
                  <color auto="1"/>
                </right>
                <top style="thin">
                  <color auto="1"/>
                </top>
                <bottom style="thin">
                  <color auto="1"/>
                </bottom>
                <vertical/>
                <horizontal/>
              </border>
            </x14:dxf>
          </x14:cfRule>
          <xm:sqref>Y107</xm:sqref>
        </x14:conditionalFormatting>
        <x14:conditionalFormatting xmlns:xm="http://schemas.microsoft.com/office/excel/2006/main">
          <x14:cfRule type="expression" priority="24" id="{0CC5EA3A-73E5-4429-9E97-435B8A016FB8}">
            <xm:f>$X115=Utilitaires!$N$572</xm:f>
            <x14:dxf>
              <fill>
                <patternFill>
                  <bgColor theme="0"/>
                </patternFill>
              </fill>
              <border>
                <left style="thin">
                  <color auto="1"/>
                </left>
                <right style="thin">
                  <color auto="1"/>
                </right>
                <top style="thin">
                  <color auto="1"/>
                </top>
                <bottom style="thin">
                  <color auto="1"/>
                </bottom>
                <vertical/>
                <horizontal/>
              </border>
            </x14:dxf>
          </x14:cfRule>
          <xm:sqref>Y115</xm:sqref>
        </x14:conditionalFormatting>
        <x14:conditionalFormatting xmlns:xm="http://schemas.microsoft.com/office/excel/2006/main">
          <x14:cfRule type="expression" priority="23" id="{3825DA5E-6B8B-4ED6-ABEE-9858E959CA8B}">
            <xm:f>$X116=Utilitaires!$N$572</xm:f>
            <x14:dxf>
              <fill>
                <patternFill>
                  <bgColor theme="0"/>
                </patternFill>
              </fill>
              <border>
                <left style="thin">
                  <color auto="1"/>
                </left>
                <right style="thin">
                  <color auto="1"/>
                </right>
                <top style="thin">
                  <color auto="1"/>
                </top>
                <bottom style="thin">
                  <color auto="1"/>
                </bottom>
                <vertical/>
                <horizontal/>
              </border>
            </x14:dxf>
          </x14:cfRule>
          <xm:sqref>Y116</xm:sqref>
        </x14:conditionalFormatting>
        <x14:conditionalFormatting xmlns:xm="http://schemas.microsoft.com/office/excel/2006/main">
          <x14:cfRule type="expression" priority="22" id="{FE9463D7-85EA-40F9-BCCE-C550AF73382D}">
            <xm:f>$X117=Utilitaires!$N$572</xm:f>
            <x14:dxf>
              <fill>
                <patternFill>
                  <bgColor theme="0"/>
                </patternFill>
              </fill>
              <border>
                <left style="thin">
                  <color auto="1"/>
                </left>
                <right style="thin">
                  <color auto="1"/>
                </right>
                <top style="thin">
                  <color auto="1"/>
                </top>
                <bottom style="thin">
                  <color auto="1"/>
                </bottom>
                <vertical/>
                <horizontal/>
              </border>
            </x14:dxf>
          </x14:cfRule>
          <xm:sqref>Y117</xm:sqref>
        </x14:conditionalFormatting>
        <x14:conditionalFormatting xmlns:xm="http://schemas.microsoft.com/office/excel/2006/main">
          <x14:cfRule type="expression" priority="21" id="{C08CFCA2-33B3-4107-AB90-4C856D9C469D}">
            <xm:f>$X118=Utilitaires!$N$572</xm:f>
            <x14:dxf>
              <fill>
                <patternFill>
                  <bgColor theme="0"/>
                </patternFill>
              </fill>
              <border>
                <left style="thin">
                  <color auto="1"/>
                </left>
                <right style="thin">
                  <color auto="1"/>
                </right>
                <top style="thin">
                  <color auto="1"/>
                </top>
                <bottom style="thin">
                  <color auto="1"/>
                </bottom>
                <vertical/>
                <horizontal/>
              </border>
            </x14:dxf>
          </x14:cfRule>
          <xm:sqref>Y118</xm:sqref>
        </x14:conditionalFormatting>
        <x14:conditionalFormatting xmlns:xm="http://schemas.microsoft.com/office/excel/2006/main">
          <x14:cfRule type="expression" priority="20" id="{AED132E7-ECF1-4362-9FB4-8E8CF9BDD30E}">
            <xm:f>$X126=Utilitaires!$N$572</xm:f>
            <x14:dxf>
              <fill>
                <patternFill>
                  <bgColor theme="0"/>
                </patternFill>
              </fill>
              <border>
                <left style="thin">
                  <color auto="1"/>
                </left>
                <right style="thin">
                  <color auto="1"/>
                </right>
                <top style="thin">
                  <color auto="1"/>
                </top>
                <bottom style="thin">
                  <color auto="1"/>
                </bottom>
                <vertical/>
                <horizontal/>
              </border>
            </x14:dxf>
          </x14:cfRule>
          <xm:sqref>Y126:Y130</xm:sqref>
        </x14:conditionalFormatting>
        <x14:conditionalFormatting xmlns:xm="http://schemas.microsoft.com/office/excel/2006/main">
          <x14:cfRule type="expression" priority="19" id="{12D250CE-9DAC-4285-B33B-83F2C4B74530}">
            <xm:f>$X138=Utilitaires!$N$572</xm:f>
            <x14:dxf>
              <fill>
                <patternFill>
                  <bgColor theme="0"/>
                </patternFill>
              </fill>
              <border>
                <left style="thin">
                  <color auto="1"/>
                </left>
                <right style="thin">
                  <color auto="1"/>
                </right>
                <top style="thin">
                  <color auto="1"/>
                </top>
                <bottom style="thin">
                  <color auto="1"/>
                </bottom>
                <vertical/>
                <horizontal/>
              </border>
            </x14:dxf>
          </x14:cfRule>
          <xm:sqref>Y138:Y142</xm:sqref>
        </x14:conditionalFormatting>
        <x14:conditionalFormatting xmlns:xm="http://schemas.microsoft.com/office/excel/2006/main">
          <x14:cfRule type="expression" priority="18" id="{35EEBDF1-67A3-47BF-B612-1EA47418200F}">
            <xm:f>$X143=Utilitaires!$N$572</xm:f>
            <x14:dxf>
              <fill>
                <patternFill>
                  <bgColor theme="0"/>
                </patternFill>
              </fill>
              <border>
                <left style="thin">
                  <color auto="1"/>
                </left>
                <right style="thin">
                  <color auto="1"/>
                </right>
                <top style="thin">
                  <color auto="1"/>
                </top>
                <bottom style="thin">
                  <color auto="1"/>
                </bottom>
                <vertical/>
                <horizontal/>
              </border>
            </x14:dxf>
          </x14:cfRule>
          <xm:sqref>Y143:Y147</xm:sqref>
        </x14:conditionalFormatting>
        <x14:conditionalFormatting xmlns:xm="http://schemas.microsoft.com/office/excel/2006/main">
          <x14:cfRule type="expression" priority="17" id="{BBE20B2A-DF67-41D2-AEC5-A1DC3FEFE54B}">
            <xm:f>$X148=Utilitaires!$N$572</xm:f>
            <x14:dxf>
              <fill>
                <patternFill>
                  <bgColor theme="0"/>
                </patternFill>
              </fill>
              <border>
                <left style="thin">
                  <color auto="1"/>
                </left>
                <right style="thin">
                  <color auto="1"/>
                </right>
                <top style="thin">
                  <color auto="1"/>
                </top>
                <bottom style="thin">
                  <color auto="1"/>
                </bottom>
                <vertical/>
                <horizontal/>
              </border>
            </x14:dxf>
          </x14:cfRule>
          <xm:sqref>Y148</xm:sqref>
        </x14:conditionalFormatting>
        <x14:conditionalFormatting xmlns:xm="http://schemas.microsoft.com/office/excel/2006/main">
          <x14:cfRule type="expression" priority="16" id="{3CAA56DF-0BE9-4D78-8428-485CC430A4CB}">
            <xm:f>$X149=Utilitaires!$N$572</xm:f>
            <x14:dxf>
              <fill>
                <patternFill>
                  <bgColor theme="0"/>
                </patternFill>
              </fill>
              <border>
                <left style="thin">
                  <color auto="1"/>
                </left>
                <right style="thin">
                  <color auto="1"/>
                </right>
                <top style="thin">
                  <color auto="1"/>
                </top>
                <bottom style="thin">
                  <color auto="1"/>
                </bottom>
                <vertical/>
                <horizontal/>
              </border>
            </x14:dxf>
          </x14:cfRule>
          <xm:sqref>Y149</xm:sqref>
        </x14:conditionalFormatting>
        <x14:conditionalFormatting xmlns:xm="http://schemas.microsoft.com/office/excel/2006/main">
          <x14:cfRule type="expression" priority="15" id="{153CE131-7992-4CF7-BAEE-8CDDCF2E281B}">
            <xm:f>$X158=Utilitaires!$N$572</xm:f>
            <x14:dxf>
              <fill>
                <patternFill>
                  <bgColor theme="0"/>
                </patternFill>
              </fill>
              <border>
                <left style="thin">
                  <color auto="1"/>
                </left>
                <right style="thin">
                  <color auto="1"/>
                </right>
                <top style="thin">
                  <color auto="1"/>
                </top>
                <bottom style="thin">
                  <color auto="1"/>
                </bottom>
                <vertical/>
                <horizontal/>
              </border>
            </x14:dxf>
          </x14:cfRule>
          <xm:sqref>Y158</xm:sqref>
        </x14:conditionalFormatting>
        <x14:conditionalFormatting xmlns:xm="http://schemas.microsoft.com/office/excel/2006/main">
          <x14:cfRule type="expression" priority="14" id="{BFF8EA39-08D6-4581-A284-5F40723BEF7D}">
            <xm:f>$X159=Utilitaires!$N$572</xm:f>
            <x14:dxf>
              <fill>
                <patternFill>
                  <bgColor theme="0"/>
                </patternFill>
              </fill>
              <border>
                <left style="thin">
                  <color auto="1"/>
                </left>
                <right style="thin">
                  <color auto="1"/>
                </right>
                <top style="thin">
                  <color auto="1"/>
                </top>
                <bottom style="thin">
                  <color auto="1"/>
                </bottom>
                <vertical/>
                <horizontal/>
              </border>
            </x14:dxf>
          </x14:cfRule>
          <xm:sqref>Y159</xm:sqref>
        </x14:conditionalFormatting>
        <x14:conditionalFormatting xmlns:xm="http://schemas.microsoft.com/office/excel/2006/main">
          <x14:cfRule type="expression" priority="13" id="{738EB7A7-EC3E-42AD-B055-E72DABCA2451}">
            <xm:f>$X160=Utilitaires!$N$572</xm:f>
            <x14:dxf>
              <fill>
                <patternFill>
                  <bgColor theme="0"/>
                </patternFill>
              </fill>
              <border>
                <left style="thin">
                  <color auto="1"/>
                </left>
                <right style="thin">
                  <color auto="1"/>
                </right>
                <top style="thin">
                  <color auto="1"/>
                </top>
                <bottom style="thin">
                  <color auto="1"/>
                </bottom>
                <vertical/>
                <horizontal/>
              </border>
            </x14:dxf>
          </x14:cfRule>
          <xm:sqref>Y160</xm:sqref>
        </x14:conditionalFormatting>
        <x14:conditionalFormatting xmlns:xm="http://schemas.microsoft.com/office/excel/2006/main">
          <x14:cfRule type="expression" priority="12" id="{D2977A9E-4A2B-43D0-97D9-BC80C35D400D}">
            <xm:f>$X161=Utilitaires!$N$572</xm:f>
            <x14:dxf>
              <fill>
                <patternFill>
                  <bgColor theme="0"/>
                </patternFill>
              </fill>
              <border>
                <left style="thin">
                  <color auto="1"/>
                </left>
                <right style="thin">
                  <color auto="1"/>
                </right>
                <top style="thin">
                  <color auto="1"/>
                </top>
                <bottom style="thin">
                  <color auto="1"/>
                </bottom>
                <vertical/>
                <horizontal/>
              </border>
            </x14:dxf>
          </x14:cfRule>
          <xm:sqref>Y161</xm:sqref>
        </x14:conditionalFormatting>
        <x14:conditionalFormatting xmlns:xm="http://schemas.microsoft.com/office/excel/2006/main">
          <x14:cfRule type="expression" priority="11" id="{FC66C322-6A7A-4720-8CE0-3C9539FE8610}">
            <xm:f>$X169=Utilitaires!$N$572</xm:f>
            <x14:dxf>
              <fill>
                <patternFill>
                  <bgColor theme="0"/>
                </patternFill>
              </fill>
              <border>
                <left style="thin">
                  <color auto="1"/>
                </left>
                <right style="thin">
                  <color auto="1"/>
                </right>
                <top style="thin">
                  <color auto="1"/>
                </top>
                <bottom style="thin">
                  <color auto="1"/>
                </bottom>
                <vertical/>
                <horizontal/>
              </border>
            </x14:dxf>
          </x14:cfRule>
          <xm:sqref>Y169</xm:sqref>
        </x14:conditionalFormatting>
        <x14:conditionalFormatting xmlns:xm="http://schemas.microsoft.com/office/excel/2006/main">
          <x14:cfRule type="expression" priority="10" id="{242D3B9C-4874-4004-982D-B6238B63A5D8}">
            <xm:f>$X170=Utilitaires!$N$572</xm:f>
            <x14:dxf>
              <fill>
                <patternFill>
                  <bgColor theme="0"/>
                </patternFill>
              </fill>
              <border>
                <left style="thin">
                  <color auto="1"/>
                </left>
                <right style="thin">
                  <color auto="1"/>
                </right>
                <top style="thin">
                  <color auto="1"/>
                </top>
                <bottom style="thin">
                  <color auto="1"/>
                </bottom>
                <vertical/>
                <horizontal/>
              </border>
            </x14:dxf>
          </x14:cfRule>
          <xm:sqref>Y170</xm:sqref>
        </x14:conditionalFormatting>
        <x14:conditionalFormatting xmlns:xm="http://schemas.microsoft.com/office/excel/2006/main">
          <x14:cfRule type="expression" priority="9" id="{51675FDC-BD87-453E-BDA4-8B50C90B4D27}">
            <xm:f>$X171=Utilitaires!$N$572</xm:f>
            <x14:dxf>
              <fill>
                <patternFill>
                  <bgColor theme="0"/>
                </patternFill>
              </fill>
              <border>
                <left style="thin">
                  <color auto="1"/>
                </left>
                <right style="thin">
                  <color auto="1"/>
                </right>
                <top style="thin">
                  <color auto="1"/>
                </top>
                <bottom style="thin">
                  <color auto="1"/>
                </bottom>
                <vertical/>
                <horizontal/>
              </border>
            </x14:dxf>
          </x14:cfRule>
          <xm:sqref>Y171</xm:sqref>
        </x14:conditionalFormatting>
        <x14:conditionalFormatting xmlns:xm="http://schemas.microsoft.com/office/excel/2006/main">
          <x14:cfRule type="expression" priority="8" id="{F6024439-4908-4AEF-B3CC-753037849F63}">
            <xm:f>$X172=Utilitaires!$N$572</xm:f>
            <x14:dxf>
              <fill>
                <patternFill>
                  <bgColor theme="0"/>
                </patternFill>
              </fill>
              <border>
                <left style="thin">
                  <color auto="1"/>
                </left>
                <right style="thin">
                  <color auto="1"/>
                </right>
                <top style="thin">
                  <color auto="1"/>
                </top>
                <bottom style="thin">
                  <color auto="1"/>
                </bottom>
                <vertical/>
                <horizontal/>
              </border>
            </x14:dxf>
          </x14:cfRule>
          <xm:sqref>Y172</xm:sqref>
        </x14:conditionalFormatting>
        <x14:conditionalFormatting xmlns:xm="http://schemas.microsoft.com/office/excel/2006/main">
          <x14:cfRule type="expression" priority="7" id="{F4FD8CB3-89F9-4CA0-AF4D-A5471734420F}">
            <xm:f>$X180=Utilitaires!$N$572</xm:f>
            <x14:dxf>
              <fill>
                <patternFill>
                  <bgColor theme="0"/>
                </patternFill>
              </fill>
              <border>
                <left style="thin">
                  <color auto="1"/>
                </left>
                <right style="thin">
                  <color auto="1"/>
                </right>
                <top style="thin">
                  <color auto="1"/>
                </top>
                <bottom style="thin">
                  <color auto="1"/>
                </bottom>
                <vertical/>
                <horizontal/>
              </border>
            </x14:dxf>
          </x14:cfRule>
          <xm:sqref>Y180</xm:sqref>
        </x14:conditionalFormatting>
        <x14:conditionalFormatting xmlns:xm="http://schemas.microsoft.com/office/excel/2006/main">
          <x14:cfRule type="expression" priority="6" id="{19F0C0F0-C0F2-434F-BD51-901D5C23A710}">
            <xm:f>$X181=Utilitaires!$N$572</xm:f>
            <x14:dxf>
              <fill>
                <patternFill>
                  <bgColor theme="0"/>
                </patternFill>
              </fill>
              <border>
                <left style="thin">
                  <color auto="1"/>
                </left>
                <right style="thin">
                  <color auto="1"/>
                </right>
                <top style="thin">
                  <color auto="1"/>
                </top>
                <bottom style="thin">
                  <color auto="1"/>
                </bottom>
                <vertical/>
                <horizontal/>
              </border>
            </x14:dxf>
          </x14:cfRule>
          <xm:sqref>Y181</xm:sqref>
        </x14:conditionalFormatting>
        <x14:conditionalFormatting xmlns:xm="http://schemas.microsoft.com/office/excel/2006/main">
          <x14:cfRule type="expression" priority="5" id="{7C787723-C406-4792-B7CD-9E86FF75F713}">
            <xm:f>$X182=Utilitaires!$N$572</xm:f>
            <x14:dxf>
              <font>
                <color auto="1"/>
              </font>
              <fill>
                <patternFill>
                  <bgColor theme="0"/>
                </patternFill>
              </fill>
              <border>
                <left style="thin">
                  <color auto="1"/>
                </left>
                <right style="thin">
                  <color auto="1"/>
                </right>
                <top style="thin">
                  <color auto="1"/>
                </top>
                <bottom style="thin">
                  <color auto="1"/>
                </bottom>
                <vertical/>
                <horizontal/>
              </border>
            </x14:dxf>
          </x14:cfRule>
          <xm:sqref>Y182</xm:sqref>
        </x14:conditionalFormatting>
        <x14:conditionalFormatting xmlns:xm="http://schemas.microsoft.com/office/excel/2006/main">
          <x14:cfRule type="expression" priority="3" id="{DE1D3206-73B7-40C7-BC07-C8947DD8C8D3}">
            <xm:f>$X86=Utilitaires!$N$572</xm:f>
            <x14:dxf>
              <fill>
                <patternFill>
                  <bgColor theme="0"/>
                </patternFill>
              </fill>
              <border>
                <left style="thin">
                  <color auto="1"/>
                </left>
                <right style="thin">
                  <color auto="1"/>
                </right>
                <top style="thin">
                  <color auto="1"/>
                </top>
                <bottom style="thin">
                  <color auto="1"/>
                </bottom>
                <vertical/>
                <horizontal/>
              </border>
            </x14:dxf>
          </x14:cfRule>
          <xm:sqref>Y86</xm:sqref>
        </x14:conditionalFormatting>
        <x14:conditionalFormatting xmlns:xm="http://schemas.microsoft.com/office/excel/2006/main">
          <x14:cfRule type="expression" priority="2" id="{A090E214-4F09-4D74-8FDD-017B2674B667}">
            <xm:f>$X87=Utilitaires!$N$572</xm:f>
            <x14:dxf>
              <fill>
                <patternFill>
                  <bgColor theme="0"/>
                </patternFill>
              </fill>
              <border>
                <left style="thin">
                  <color auto="1"/>
                </left>
                <right style="thin">
                  <color auto="1"/>
                </right>
                <top style="thin">
                  <color auto="1"/>
                </top>
                <bottom style="thin">
                  <color auto="1"/>
                </bottom>
                <vertical/>
                <horizontal/>
              </border>
            </x14:dxf>
          </x14:cfRule>
          <xm:sqref>Y87</xm:sqref>
        </x14:conditionalFormatting>
        <x14:conditionalFormatting xmlns:xm="http://schemas.microsoft.com/office/excel/2006/main">
          <x14:cfRule type="expression" priority="1" id="{D5FFA17F-F960-4077-8363-574943712417}">
            <xm:f>$X88=Utilitaires!$N$572</xm:f>
            <x14:dxf>
              <fill>
                <patternFill>
                  <bgColor theme="0"/>
                </patternFill>
              </fill>
              <border>
                <left style="thin">
                  <color auto="1"/>
                </left>
                <right style="thin">
                  <color auto="1"/>
                </right>
                <top style="thin">
                  <color auto="1"/>
                </top>
                <bottom style="thin">
                  <color auto="1"/>
                </bottom>
                <vertical/>
                <horizontal/>
              </border>
            </x14:dxf>
          </x14:cfRule>
          <xm:sqref>Y88:Y89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14000000}">
          <x14:formula1>
            <xm:f>Utilitaires!$N$567:$N$571</xm:f>
          </x14:formula1>
          <xm:sqref>X27:Y27 X18 X21 X24 X15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3"/>
  <dimension ref="A1:P156"/>
  <sheetViews>
    <sheetView showGridLines="0" zoomScale="90" zoomScaleNormal="90" workbookViewId="0">
      <pane xSplit="4" ySplit="5" topLeftCell="E90" activePane="bottomRight" state="frozenSplit"/>
      <selection activeCell="H4" sqref="H4"/>
      <selection pane="topRight" activeCell="H4" sqref="H4"/>
      <selection pane="bottomLeft" activeCell="H4" sqref="H4"/>
      <selection pane="bottomRight"/>
    </sheetView>
  </sheetViews>
  <sheetFormatPr baseColWidth="10" defaultColWidth="0" defaultRowHeight="13.2" zeroHeight="1"/>
  <cols>
    <col min="1" max="1" width="2.75" style="91" customWidth="1"/>
    <col min="2" max="2" width="49.875" style="4" bestFit="1" customWidth="1"/>
    <col min="3" max="3" width="15.25" style="4" customWidth="1"/>
    <col min="4" max="4" width="9.125" style="94" bestFit="1" customWidth="1"/>
    <col min="5" max="5" width="18.25" style="4" customWidth="1"/>
    <col min="6" max="6" width="5.75" style="6" customWidth="1"/>
    <col min="7" max="8" width="18.25" style="4" customWidth="1"/>
    <col min="9" max="9" width="5.75" style="4" customWidth="1"/>
    <col min="10" max="10" width="2.75" style="4" customWidth="1"/>
    <col min="11" max="11" width="13" style="4" hidden="1" customWidth="1"/>
    <col min="12" max="16384" width="10.875" style="4" hidden="1"/>
  </cols>
  <sheetData>
    <row r="1" spans="2:12" s="114" customFormat="1"/>
    <row r="2" spans="2:12" s="114" customFormat="1" ht="30" customHeight="1">
      <c r="B2" s="2602" t="s">
        <v>647</v>
      </c>
      <c r="C2" s="2603"/>
      <c r="D2" s="2603"/>
      <c r="E2" s="2603"/>
      <c r="F2" s="2603"/>
      <c r="G2" s="2603"/>
      <c r="H2" s="2603"/>
      <c r="I2" s="2604"/>
    </row>
    <row r="3" spans="2:12" s="114" customFormat="1" ht="13.8">
      <c r="J3" s="73"/>
      <c r="K3" s="73"/>
      <c r="L3" s="73"/>
    </row>
    <row r="4" spans="2:12" s="114" customFormat="1"/>
    <row r="5" spans="2:12" s="560" customFormat="1" ht="35.1" customHeight="1">
      <c r="B5" s="558" t="s">
        <v>212</v>
      </c>
      <c r="C5" s="559" t="s">
        <v>503</v>
      </c>
      <c r="D5" s="556" t="s">
        <v>622</v>
      </c>
      <c r="E5" s="559" t="s">
        <v>511</v>
      </c>
      <c r="F5" s="561"/>
      <c r="G5" s="559" t="s">
        <v>504</v>
      </c>
      <c r="H5" s="559" t="s">
        <v>511</v>
      </c>
      <c r="I5" s="21"/>
      <c r="J5" s="562"/>
    </row>
    <row r="6" spans="2:12" s="16" customFormat="1" ht="12.75" customHeight="1">
      <c r="B6" s="494" t="str">
        <f>'Energie 1'!B197</f>
        <v>Energie 1</v>
      </c>
      <c r="C6" s="495">
        <f>SUM(C7:C11)</f>
        <v>398538.22810000001</v>
      </c>
      <c r="D6" s="546"/>
      <c r="E6" s="495">
        <f>SUM(E7:E11)</f>
        <v>398538.22810000001</v>
      </c>
      <c r="F6" s="5"/>
      <c r="G6" s="495">
        <f>SQRT(SUMSQ(G7:G11))</f>
        <v>15288.625615065173</v>
      </c>
      <c r="H6" s="495">
        <f>SUM(H7:H11)</f>
        <v>17596.510837412552</v>
      </c>
      <c r="I6" s="4"/>
    </row>
    <row r="7" spans="2:12" s="16" customFormat="1" ht="12.75" customHeight="1">
      <c r="B7" s="429" t="str">
        <f>'Energie 1'!B199</f>
        <v>Combustibles, comptabilisation directe</v>
      </c>
      <c r="C7" s="467">
        <f>'Energie 1'!D199</f>
        <v>370148.3236</v>
      </c>
      <c r="D7" s="540">
        <v>1</v>
      </c>
      <c r="E7" s="467">
        <f>C7*D7</f>
        <v>370148.3236</v>
      </c>
      <c r="F7" s="5"/>
      <c r="G7" s="467">
        <f>'Energie 1'!H199</f>
        <v>15080.11327972312</v>
      </c>
      <c r="H7" s="467">
        <f>$D7*G7</f>
        <v>15080.11327972312</v>
      </c>
      <c r="I7" s="4"/>
    </row>
    <row r="8" spans="2:12" s="16" customFormat="1" ht="12.75" customHeight="1">
      <c r="B8" s="429" t="str">
        <f>'Energie 1'!B200</f>
        <v>Chauffage fossile estimé</v>
      </c>
      <c r="C8" s="467">
        <f>'Energie 1'!D200</f>
        <v>0</v>
      </c>
      <c r="D8" s="540">
        <v>1</v>
      </c>
      <c r="E8" s="467">
        <f>C8*D8</f>
        <v>0</v>
      </c>
      <c r="F8" s="5"/>
      <c r="G8" s="467">
        <f>'Energie 1'!H200</f>
        <v>0</v>
      </c>
      <c r="H8" s="467">
        <f>$D8*G8</f>
        <v>0</v>
      </c>
      <c r="I8" s="4"/>
    </row>
    <row r="9" spans="2:12" s="16" customFormat="1" ht="12.75" customHeight="1">
      <c r="B9" s="429" t="str">
        <f>'Energie 1'!B201</f>
        <v>Vapeur achetée</v>
      </c>
      <c r="C9" s="467">
        <f>'Energie 1'!D201</f>
        <v>0</v>
      </c>
      <c r="D9" s="540">
        <v>1</v>
      </c>
      <c r="E9" s="467">
        <f>C9*D9</f>
        <v>0</v>
      </c>
      <c r="F9" s="5"/>
      <c r="G9" s="467">
        <f>'Energie 1'!H201</f>
        <v>0</v>
      </c>
      <c r="H9" s="467">
        <f>$D9*G9</f>
        <v>0</v>
      </c>
      <c r="I9" s="4"/>
    </row>
    <row r="10" spans="2:12" s="16" customFormat="1" ht="12.75" customHeight="1">
      <c r="B10" s="429" t="str">
        <f>'Energie 1'!B202</f>
        <v>Froid acheté</v>
      </c>
      <c r="C10" s="467">
        <f>'Energie 1'!D202</f>
        <v>0</v>
      </c>
      <c r="D10" s="540">
        <v>1</v>
      </c>
      <c r="E10" s="467">
        <f>C10*D10</f>
        <v>0</v>
      </c>
      <c r="F10" s="5"/>
      <c r="G10" s="467">
        <f>'Energie 1'!H202</f>
        <v>0</v>
      </c>
      <c r="H10" s="467">
        <f>$D10*G10</f>
        <v>0</v>
      </c>
      <c r="I10" s="4"/>
    </row>
    <row r="11" spans="2:12" s="16" customFormat="1" ht="12.75" customHeight="1">
      <c r="B11" s="429" t="str">
        <f>'Energie 1'!B203</f>
        <v>Electricité achetée &amp; produite</v>
      </c>
      <c r="C11" s="467">
        <f>'Energie 1'!D203</f>
        <v>28389.904499999997</v>
      </c>
      <c r="D11" s="540">
        <v>1</v>
      </c>
      <c r="E11" s="467">
        <f>C11*D11</f>
        <v>28389.904499999997</v>
      </c>
      <c r="F11" s="5"/>
      <c r="G11" s="467">
        <f>'Energie 1'!H203</f>
        <v>2516.3975576894309</v>
      </c>
      <c r="H11" s="467">
        <f>$D11*G11</f>
        <v>2516.3975576894309</v>
      </c>
      <c r="I11" s="4"/>
    </row>
    <row r="12" spans="2:12" s="16" customFormat="1" ht="12.75" customHeight="1">
      <c r="B12" s="499"/>
      <c r="C12" s="442"/>
      <c r="D12" s="541"/>
      <c r="E12" s="442"/>
      <c r="F12" s="5"/>
      <c r="G12" s="442"/>
      <c r="H12" s="442"/>
      <c r="I12" s="4"/>
    </row>
    <row r="13" spans="2:12" s="16" customFormat="1" ht="12.75" customHeight="1">
      <c r="B13" s="500" t="str">
        <f>'Energie 2'!B197</f>
        <v>Energie 2</v>
      </c>
      <c r="C13" s="501">
        <f>SUM(C14:C18)</f>
        <v>0</v>
      </c>
      <c r="D13" s="546"/>
      <c r="E13" s="501">
        <f>SUM(E14:E18)</f>
        <v>0</v>
      </c>
      <c r="F13" s="5"/>
      <c r="G13" s="501">
        <f>SQRT(SUMSQ(G14:G18))</f>
        <v>0</v>
      </c>
      <c r="H13" s="501">
        <f>SUM(H14:H18)</f>
        <v>0</v>
      </c>
      <c r="I13" s="4"/>
    </row>
    <row r="14" spans="2:12" s="16" customFormat="1" ht="12.75" customHeight="1">
      <c r="B14" s="465" t="str">
        <f>'Energie 2'!B199</f>
        <v>Combustibles, comptabilisation directe</v>
      </c>
      <c r="C14" s="466">
        <f>'Energie 2'!D199</f>
        <v>0</v>
      </c>
      <c r="D14" s="540">
        <v>1</v>
      </c>
      <c r="E14" s="466">
        <f>C14*D14</f>
        <v>0</v>
      </c>
      <c r="F14" s="5"/>
      <c r="G14" s="466">
        <f>'Energie 2'!H199</f>
        <v>0</v>
      </c>
      <c r="H14" s="466">
        <f>$D14*G14</f>
        <v>0</v>
      </c>
      <c r="I14" s="4"/>
    </row>
    <row r="15" spans="2:12" s="16" customFormat="1" ht="12.75" customHeight="1">
      <c r="B15" s="465" t="str">
        <f>'Energie 2'!B200</f>
        <v>Chauffage fossile estimé</v>
      </c>
      <c r="C15" s="466">
        <f>'Energie 2'!D200</f>
        <v>0</v>
      </c>
      <c r="D15" s="540">
        <v>1</v>
      </c>
      <c r="E15" s="466">
        <f>C15*D15</f>
        <v>0</v>
      </c>
      <c r="F15" s="5"/>
      <c r="G15" s="466">
        <f>'Energie 2'!H200</f>
        <v>0</v>
      </c>
      <c r="H15" s="466">
        <f>$D15*G15</f>
        <v>0</v>
      </c>
      <c r="I15" s="4"/>
    </row>
    <row r="16" spans="2:12" s="16" customFormat="1" ht="12.75" customHeight="1">
      <c r="B16" s="465" t="str">
        <f>'Energie 2'!B201</f>
        <v>Vapeur achetée</v>
      </c>
      <c r="C16" s="466">
        <f>'Energie 2'!D201</f>
        <v>0</v>
      </c>
      <c r="D16" s="540">
        <v>1</v>
      </c>
      <c r="E16" s="466">
        <f>C16*D16</f>
        <v>0</v>
      </c>
      <c r="F16" s="5"/>
      <c r="G16" s="466">
        <f>'Energie 2'!H201</f>
        <v>0</v>
      </c>
      <c r="H16" s="466">
        <f>$D16*G16</f>
        <v>0</v>
      </c>
      <c r="I16" s="4"/>
    </row>
    <row r="17" spans="2:9" s="16" customFormat="1" ht="12.75" customHeight="1">
      <c r="B17" s="465" t="str">
        <f>'Energie 2'!B202</f>
        <v>Froid acheté</v>
      </c>
      <c r="C17" s="466">
        <f>'Energie 2'!D202</f>
        <v>0</v>
      </c>
      <c r="D17" s="540">
        <v>1</v>
      </c>
      <c r="E17" s="466">
        <f>C17*D17</f>
        <v>0</v>
      </c>
      <c r="F17" s="5"/>
      <c r="G17" s="466">
        <f>'Energie 2'!H202</f>
        <v>0</v>
      </c>
      <c r="H17" s="466">
        <f>$D17*G17</f>
        <v>0</v>
      </c>
      <c r="I17" s="4"/>
    </row>
    <row r="18" spans="2:9" s="16" customFormat="1" ht="12.75" customHeight="1">
      <c r="B18" s="465" t="str">
        <f>'Energie 2'!B203</f>
        <v>Electricité achetée &amp; produite</v>
      </c>
      <c r="C18" s="466">
        <f>'Energie 2'!D203</f>
        <v>0</v>
      </c>
      <c r="D18" s="540">
        <v>1</v>
      </c>
      <c r="E18" s="466">
        <f>C18*D18</f>
        <v>0</v>
      </c>
      <c r="F18" s="5"/>
      <c r="G18" s="466">
        <f>'Energie 2'!H203</f>
        <v>0</v>
      </c>
      <c r="H18" s="466">
        <f>$D18*G18</f>
        <v>0</v>
      </c>
      <c r="I18" s="4"/>
    </row>
    <row r="19" spans="2:9" s="16" customFormat="1" ht="12.75" customHeight="1">
      <c r="B19" s="254"/>
      <c r="C19" s="442"/>
      <c r="D19" s="541"/>
      <c r="E19" s="442"/>
      <c r="F19" s="5"/>
      <c r="G19" s="442"/>
      <c r="H19" s="442"/>
      <c r="I19" s="4"/>
    </row>
    <row r="20" spans="2:9" s="16" customFormat="1" ht="12.75" customHeight="1">
      <c r="B20" s="494" t="str">
        <f>'Hors énergie 1'!B107</f>
        <v>Hors énergie 1</v>
      </c>
      <c r="C20" s="495">
        <f>SUM(C21:C25)</f>
        <v>486</v>
      </c>
      <c r="D20" s="546"/>
      <c r="E20" s="495">
        <f>SUM(E21:E25)</f>
        <v>486</v>
      </c>
      <c r="F20" s="5"/>
      <c r="G20" s="495">
        <f>SQRT(SUMSQ(G21:G25))</f>
        <v>283.38426208948158</v>
      </c>
      <c r="H20" s="495">
        <f>SUM(H21:H25)</f>
        <v>283.38426208948158</v>
      </c>
      <c r="I20" s="4"/>
    </row>
    <row r="21" spans="2:9" s="16" customFormat="1" ht="12.75" customHeight="1">
      <c r="B21" s="429" t="str">
        <f>'Hors énergie 1'!B109</f>
        <v>CO2 hors énergie</v>
      </c>
      <c r="C21" s="467">
        <f>'Hors énergie 1'!D109</f>
        <v>0</v>
      </c>
      <c r="D21" s="540">
        <v>1</v>
      </c>
      <c r="E21" s="467">
        <f t="shared" ref="E21:E26" si="0">C21*D21</f>
        <v>0</v>
      </c>
      <c r="F21" s="5"/>
      <c r="G21" s="467">
        <f>'Hors énergie 1'!H109</f>
        <v>0</v>
      </c>
      <c r="H21" s="467">
        <f t="shared" ref="H21:H26" si="1">$D21*G21</f>
        <v>0</v>
      </c>
      <c r="I21" s="4"/>
    </row>
    <row r="22" spans="2:9" s="16" customFormat="1" ht="12.75" customHeight="1">
      <c r="B22" s="429" t="str">
        <f>'Hors énergie 1'!B110</f>
        <v>Protoxyde d'azote</v>
      </c>
      <c r="C22" s="467">
        <f>'Hors énergie 1'!D110</f>
        <v>0</v>
      </c>
      <c r="D22" s="540">
        <v>1</v>
      </c>
      <c r="E22" s="467">
        <f t="shared" si="0"/>
        <v>0</v>
      </c>
      <c r="F22" s="5"/>
      <c r="G22" s="467">
        <f>'Hors énergie 1'!H110</f>
        <v>0</v>
      </c>
      <c r="H22" s="467">
        <f t="shared" si="1"/>
        <v>0</v>
      </c>
      <c r="I22" s="4"/>
    </row>
    <row r="23" spans="2:9" s="16" customFormat="1" ht="12.75" customHeight="1">
      <c r="B23" s="429" t="str">
        <f>'Hors énergie 1'!B111</f>
        <v>Méthane</v>
      </c>
      <c r="C23" s="467">
        <f>'Hors énergie 1'!D111</f>
        <v>0</v>
      </c>
      <c r="D23" s="540">
        <v>1</v>
      </c>
      <c r="E23" s="467">
        <f t="shared" si="0"/>
        <v>0</v>
      </c>
      <c r="F23" s="5"/>
      <c r="G23" s="467">
        <f>'Hors énergie 1'!H111</f>
        <v>0</v>
      </c>
      <c r="H23" s="467">
        <f t="shared" si="1"/>
        <v>0</v>
      </c>
      <c r="I23" s="4"/>
    </row>
    <row r="24" spans="2:9" s="16" customFormat="1" ht="12.75" customHeight="1">
      <c r="B24" s="429" t="str">
        <f>'Hors énergie 1'!B112</f>
        <v>Halocarbures de Kyoto</v>
      </c>
      <c r="C24" s="467">
        <f>'Hors énergie 1'!D112</f>
        <v>486</v>
      </c>
      <c r="D24" s="540">
        <v>1</v>
      </c>
      <c r="E24" s="467">
        <f t="shared" si="0"/>
        <v>486</v>
      </c>
      <c r="F24" s="5"/>
      <c r="G24" s="467">
        <f>'Hors énergie 1'!H112</f>
        <v>283.38426208948158</v>
      </c>
      <c r="H24" s="467">
        <f t="shared" si="1"/>
        <v>283.38426208948158</v>
      </c>
      <c r="I24" s="4"/>
    </row>
    <row r="25" spans="2:9" s="16" customFormat="1" ht="12.75" customHeight="1">
      <c r="B25" s="429" t="str">
        <f>'Hors énergie 1'!B113</f>
        <v>Gaz hors Kyoto</v>
      </c>
      <c r="C25" s="467">
        <f>'Hors énergie 1'!D113</f>
        <v>0</v>
      </c>
      <c r="D25" s="540">
        <v>1</v>
      </c>
      <c r="E25" s="467">
        <f t="shared" si="0"/>
        <v>0</v>
      </c>
      <c r="F25" s="5"/>
      <c r="G25" s="467">
        <f>'Hors énergie 1'!H113</f>
        <v>0</v>
      </c>
      <c r="H25" s="467">
        <f t="shared" si="1"/>
        <v>0</v>
      </c>
      <c r="I25" s="4"/>
    </row>
    <row r="26" spans="2:9" s="16" customFormat="1" ht="12.75" customHeight="1">
      <c r="B26" s="429" t="str">
        <f>'Hors énergie 1'!B114</f>
        <v>Agriculture</v>
      </c>
      <c r="C26" s="467">
        <f>'Hors énergie 1'!D114</f>
        <v>0</v>
      </c>
      <c r="D26" s="540">
        <v>1</v>
      </c>
      <c r="E26" s="467">
        <f t="shared" si="0"/>
        <v>0</v>
      </c>
      <c r="F26" s="92"/>
      <c r="G26" s="467">
        <f>'Hors énergie 1'!H114</f>
        <v>0</v>
      </c>
      <c r="H26" s="467">
        <f t="shared" si="1"/>
        <v>0</v>
      </c>
      <c r="I26" s="91"/>
    </row>
    <row r="27" spans="2:9" s="16" customFormat="1" ht="12.75" customHeight="1">
      <c r="B27" s="114"/>
      <c r="C27" s="441"/>
      <c r="D27" s="541"/>
      <c r="E27" s="441"/>
      <c r="F27" s="5"/>
      <c r="G27" s="441"/>
      <c r="H27" s="441"/>
      <c r="I27" s="4"/>
    </row>
    <row r="28" spans="2:9" s="16" customFormat="1" ht="12.75" customHeight="1">
      <c r="B28" s="500" t="str">
        <f>'Hors énergie 2'!B107</f>
        <v>Hors énergie 2</v>
      </c>
      <c r="C28" s="501">
        <f>SUM(C29:C33)</f>
        <v>0</v>
      </c>
      <c r="D28" s="546"/>
      <c r="E28" s="501">
        <f>SUM(E29:E33)</f>
        <v>0</v>
      </c>
      <c r="F28" s="5"/>
      <c r="G28" s="501">
        <f>SQRT(SUMSQ(G29:G33))</f>
        <v>0</v>
      </c>
      <c r="H28" s="501">
        <f>SUM(H29:H33)</f>
        <v>0</v>
      </c>
      <c r="I28" s="4"/>
    </row>
    <row r="29" spans="2:9" s="16" customFormat="1" ht="12.75" customHeight="1">
      <c r="B29" s="465" t="str">
        <f>'Hors énergie 2'!B109</f>
        <v>CO2 hors énergie</v>
      </c>
      <c r="C29" s="466">
        <f>'Hors énergie 2'!D109</f>
        <v>0</v>
      </c>
      <c r="D29" s="540">
        <v>1</v>
      </c>
      <c r="E29" s="466">
        <f t="shared" ref="E29:E34" si="2">C29*D29</f>
        <v>0</v>
      </c>
      <c r="F29" s="5"/>
      <c r="G29" s="466">
        <f>'Hors énergie 2'!H109</f>
        <v>0</v>
      </c>
      <c r="H29" s="466">
        <f t="shared" ref="H29:H34" si="3">$D29*G29</f>
        <v>0</v>
      </c>
      <c r="I29" s="4"/>
    </row>
    <row r="30" spans="2:9" s="16" customFormat="1" ht="12.75" customHeight="1">
      <c r="B30" s="465" t="str">
        <f>'Hors énergie 2'!B110</f>
        <v>Protoxyde d'azote</v>
      </c>
      <c r="C30" s="466">
        <f>'Hors énergie 2'!D110</f>
        <v>0</v>
      </c>
      <c r="D30" s="540">
        <v>1</v>
      </c>
      <c r="E30" s="466">
        <f t="shared" si="2"/>
        <v>0</v>
      </c>
      <c r="F30" s="5"/>
      <c r="G30" s="466">
        <f>'Hors énergie 2'!H110</f>
        <v>0</v>
      </c>
      <c r="H30" s="466">
        <f t="shared" si="3"/>
        <v>0</v>
      </c>
      <c r="I30" s="4"/>
    </row>
    <row r="31" spans="2:9" s="16" customFormat="1" ht="12.75" customHeight="1">
      <c r="B31" s="465" t="str">
        <f>'Hors énergie 2'!B111</f>
        <v>Méthane</v>
      </c>
      <c r="C31" s="466">
        <f>'Hors énergie 2'!D111</f>
        <v>0</v>
      </c>
      <c r="D31" s="540">
        <v>1</v>
      </c>
      <c r="E31" s="466">
        <f t="shared" si="2"/>
        <v>0</v>
      </c>
      <c r="F31" s="5"/>
      <c r="G31" s="466">
        <f>'Hors énergie 2'!H111</f>
        <v>0</v>
      </c>
      <c r="H31" s="466">
        <f t="shared" si="3"/>
        <v>0</v>
      </c>
      <c r="I31" s="4"/>
    </row>
    <row r="32" spans="2:9" s="16" customFormat="1" ht="12.75" customHeight="1">
      <c r="B32" s="465" t="str">
        <f>'Hors énergie 2'!B112</f>
        <v>Halocarbures de Kyoto</v>
      </c>
      <c r="C32" s="466">
        <f>'Hors énergie 2'!D112</f>
        <v>0</v>
      </c>
      <c r="D32" s="540">
        <v>1</v>
      </c>
      <c r="E32" s="466">
        <f t="shared" si="2"/>
        <v>0</v>
      </c>
      <c r="F32" s="5"/>
      <c r="G32" s="466">
        <f>'Hors énergie 2'!H112</f>
        <v>0</v>
      </c>
      <c r="H32" s="466">
        <f t="shared" si="3"/>
        <v>0</v>
      </c>
      <c r="I32" s="4"/>
    </row>
    <row r="33" spans="2:9" s="16" customFormat="1" ht="12.75" customHeight="1">
      <c r="B33" s="465" t="str">
        <f>'Hors énergie 2'!B113</f>
        <v>Gaz hors Kyoto</v>
      </c>
      <c r="C33" s="466">
        <f>'Hors énergie 2'!D113</f>
        <v>0</v>
      </c>
      <c r="D33" s="540">
        <v>1</v>
      </c>
      <c r="E33" s="466">
        <f t="shared" si="2"/>
        <v>0</v>
      </c>
      <c r="F33" s="5"/>
      <c r="G33" s="466">
        <f>'Hors énergie 2'!H113</f>
        <v>0</v>
      </c>
      <c r="H33" s="466">
        <f t="shared" si="3"/>
        <v>0</v>
      </c>
      <c r="I33" s="4"/>
    </row>
    <row r="34" spans="2:9" s="16" customFormat="1" ht="12.75" customHeight="1">
      <c r="B34" s="465" t="str">
        <f>'Hors énergie 2'!B114</f>
        <v>Agriculture</v>
      </c>
      <c r="C34" s="466">
        <f>'Hors énergie 2'!D114</f>
        <v>0</v>
      </c>
      <c r="D34" s="540">
        <v>1</v>
      </c>
      <c r="E34" s="466">
        <f t="shared" si="2"/>
        <v>0</v>
      </c>
      <c r="F34" s="92"/>
      <c r="G34" s="466">
        <f>'Hors énergie 2'!H114</f>
        <v>0</v>
      </c>
      <c r="H34" s="466">
        <f t="shared" si="3"/>
        <v>0</v>
      </c>
      <c r="I34" s="91"/>
    </row>
    <row r="35" spans="2:9" s="16" customFormat="1" ht="12.75" customHeight="1">
      <c r="B35" s="266"/>
      <c r="C35" s="504"/>
      <c r="D35" s="542"/>
      <c r="E35" s="504"/>
      <c r="F35" s="5"/>
      <c r="G35" s="504"/>
      <c r="H35" s="504"/>
      <c r="I35" s="4"/>
    </row>
    <row r="36" spans="2:9" s="16" customFormat="1" ht="12.75" customHeight="1">
      <c r="B36" s="494" t="str">
        <f>'Intrants 1'!B323</f>
        <v>Intrants 1</v>
      </c>
      <c r="C36" s="495">
        <f>SUM(C37:C46)</f>
        <v>2658182</v>
      </c>
      <c r="D36" s="546"/>
      <c r="E36" s="495">
        <f>SUM(E37:E46)</f>
        <v>2658182</v>
      </c>
      <c r="F36" s="5"/>
      <c r="G36" s="495">
        <f>SQRT(SUMSQ(G37:G46))</f>
        <v>384846.50731551414</v>
      </c>
      <c r="H36" s="495">
        <f>SUM(H37:H46)</f>
        <v>550735.17003239889</v>
      </c>
      <c r="I36" s="4"/>
    </row>
    <row r="37" spans="2:9" s="16" customFormat="1" ht="12.75" customHeight="1">
      <c r="B37" s="429" t="str">
        <f>'Intrants 1'!B325</f>
        <v>Métaux</v>
      </c>
      <c r="C37" s="467">
        <f>'Intrants 1'!D325</f>
        <v>2126670</v>
      </c>
      <c r="D37" s="540">
        <v>1</v>
      </c>
      <c r="E37" s="467">
        <f t="shared" ref="E37:E44" si="4">C37*D37</f>
        <v>2126670</v>
      </c>
      <c r="F37" s="5"/>
      <c r="G37" s="467">
        <f>'Intrants 1'!H325</f>
        <v>369984.32643728307</v>
      </c>
      <c r="H37" s="467">
        <f t="shared" ref="H37:H44" si="5">$D37*G37</f>
        <v>369984.32643728307</v>
      </c>
      <c r="I37" s="4"/>
    </row>
    <row r="38" spans="2:9" s="16" customFormat="1" ht="12.75" customHeight="1">
      <c r="B38" s="429" t="str">
        <f>'Intrants 1'!B326</f>
        <v>Plastiques</v>
      </c>
      <c r="C38" s="467">
        <f>'Intrants 1'!D326</f>
        <v>370260</v>
      </c>
      <c r="D38" s="540">
        <v>1</v>
      </c>
      <c r="E38" s="467">
        <f t="shared" si="4"/>
        <v>370260</v>
      </c>
      <c r="F38" s="5"/>
      <c r="G38" s="467">
        <f>'Intrants 1'!H326</f>
        <v>92565</v>
      </c>
      <c r="H38" s="467">
        <f t="shared" si="5"/>
        <v>92565</v>
      </c>
      <c r="I38" s="4"/>
    </row>
    <row r="39" spans="2:9" s="16" customFormat="1" ht="12.75" customHeight="1">
      <c r="B39" s="429" t="str">
        <f>'Intrants 1'!B327</f>
        <v>Verre</v>
      </c>
      <c r="C39" s="467">
        <f>'Intrants 1'!D327</f>
        <v>83070</v>
      </c>
      <c r="D39" s="540">
        <v>1</v>
      </c>
      <c r="E39" s="467">
        <f t="shared" si="4"/>
        <v>83070</v>
      </c>
      <c r="F39" s="5"/>
      <c r="G39" s="467">
        <f>'Intrants 1'!H327</f>
        <v>43363.813084759975</v>
      </c>
      <c r="H39" s="467">
        <f t="shared" si="5"/>
        <v>43363.813084759975</v>
      </c>
      <c r="I39" s="4"/>
    </row>
    <row r="40" spans="2:9" s="16" customFormat="1" ht="12.75" customHeight="1">
      <c r="B40" s="429" t="str">
        <f>'Intrants 1'!B328</f>
        <v>Papiers &amp; cartons</v>
      </c>
      <c r="C40" s="467">
        <f>'Intrants 1'!D328</f>
        <v>0</v>
      </c>
      <c r="D40" s="540">
        <v>1</v>
      </c>
      <c r="E40" s="467">
        <f t="shared" si="4"/>
        <v>0</v>
      </c>
      <c r="F40" s="5"/>
      <c r="G40" s="467">
        <f>'Intrants 1'!H328</f>
        <v>0</v>
      </c>
      <c r="H40" s="467">
        <f t="shared" si="5"/>
        <v>0</v>
      </c>
      <c r="I40" s="4"/>
    </row>
    <row r="41" spans="2:9" s="16" customFormat="1" ht="12.75" customHeight="1">
      <c r="B41" s="429" t="str">
        <f>'Intrants 1'!B329</f>
        <v>Matériaux de construction</v>
      </c>
      <c r="C41" s="467">
        <f>'Intrants 1'!D329</f>
        <v>0</v>
      </c>
      <c r="D41" s="540">
        <v>1</v>
      </c>
      <c r="E41" s="467">
        <f t="shared" si="4"/>
        <v>0</v>
      </c>
      <c r="F41" s="5"/>
      <c r="G41" s="467">
        <f>'Intrants 1'!H329</f>
        <v>0</v>
      </c>
      <c r="H41" s="467">
        <f t="shared" si="5"/>
        <v>0</v>
      </c>
      <c r="I41" s="4"/>
    </row>
    <row r="42" spans="2:9" s="16" customFormat="1" ht="12.75" customHeight="1">
      <c r="B42" s="429" t="str">
        <f>'Intrants 1'!B330</f>
        <v>Produits chimiques</v>
      </c>
      <c r="C42" s="467">
        <f>'Intrants 1'!D330</f>
        <v>0</v>
      </c>
      <c r="D42" s="540">
        <v>1</v>
      </c>
      <c r="E42" s="467">
        <f t="shared" si="4"/>
        <v>0</v>
      </c>
      <c r="F42" s="5"/>
      <c r="G42" s="467">
        <f>'Intrants 1'!H330</f>
        <v>0</v>
      </c>
      <c r="H42" s="467">
        <f t="shared" si="5"/>
        <v>0</v>
      </c>
      <c r="I42" s="4"/>
    </row>
    <row r="43" spans="2:9" s="16" customFormat="1" ht="12.75" customHeight="1">
      <c r="B43" s="429" t="str">
        <f>'Intrants 1'!B331</f>
        <v>Nourriture</v>
      </c>
      <c r="C43" s="467">
        <f>'Intrants 1'!D331</f>
        <v>0</v>
      </c>
      <c r="D43" s="540">
        <v>1</v>
      </c>
      <c r="E43" s="467">
        <f t="shared" si="4"/>
        <v>0</v>
      </c>
      <c r="F43" s="5"/>
      <c r="G43" s="467">
        <f>'Intrants 1'!H331</f>
        <v>0</v>
      </c>
      <c r="H43" s="467">
        <f t="shared" si="5"/>
        <v>0</v>
      </c>
      <c r="I43" s="4"/>
    </row>
    <row r="44" spans="2:9" s="16" customFormat="1" ht="12.75" customHeight="1">
      <c r="B44" s="429" t="str">
        <f>'Intrants 1'!B332</f>
        <v>Autres intrants</v>
      </c>
      <c r="C44" s="467">
        <f>'Intrants 1'!D332</f>
        <v>27525.000000000004</v>
      </c>
      <c r="D44" s="540">
        <v>1</v>
      </c>
      <c r="E44" s="467">
        <f t="shared" si="4"/>
        <v>27525.000000000004</v>
      </c>
      <c r="F44" s="5"/>
      <c r="G44" s="467">
        <f>'Intrants 1'!H332</f>
        <v>13762.500000000002</v>
      </c>
      <c r="H44" s="467">
        <f t="shared" si="5"/>
        <v>13762.500000000002</v>
      </c>
      <c r="I44" s="4"/>
    </row>
    <row r="45" spans="2:9" s="16" customFormat="1" ht="12.75" customHeight="1">
      <c r="B45" s="429" t="str">
        <f>'Intrants 1'!B333</f>
        <v>Ratios monétaires</v>
      </c>
      <c r="C45" s="467">
        <f>'Intrants 1'!D333</f>
        <v>31730</v>
      </c>
      <c r="D45" s="540">
        <v>1</v>
      </c>
      <c r="E45" s="467">
        <f t="shared" ref="E45:E46" si="6">C45*D45</f>
        <v>31730</v>
      </c>
      <c r="F45" s="92"/>
      <c r="G45" s="467">
        <f>'Intrants 1'!H333</f>
        <v>22529.02412444889</v>
      </c>
      <c r="H45" s="467">
        <f t="shared" ref="H45:H46" si="7">$D45*G45</f>
        <v>22529.02412444889</v>
      </c>
      <c r="I45" s="91"/>
    </row>
    <row r="46" spans="2:9" s="16" customFormat="1" ht="12.75" customHeight="1">
      <c r="B46" s="429" t="str">
        <f>'Intrants 1'!B334</f>
        <v>Investissements</v>
      </c>
      <c r="C46" s="467">
        <f>'Intrants 1'!D334</f>
        <v>18927</v>
      </c>
      <c r="D46" s="540">
        <v>1</v>
      </c>
      <c r="E46" s="467">
        <f t="shared" si="6"/>
        <v>18927</v>
      </c>
      <c r="F46" s="92"/>
      <c r="G46" s="467">
        <f>'Intrants 1'!H334</f>
        <v>8530.5063859069924</v>
      </c>
      <c r="H46" s="467">
        <f t="shared" si="7"/>
        <v>8530.5063859069924</v>
      </c>
      <c r="I46" s="4"/>
    </row>
    <row r="47" spans="2:9" s="16" customFormat="1" ht="12.75" customHeight="1">
      <c r="B47" s="266"/>
      <c r="C47" s="504"/>
      <c r="D47" s="542"/>
      <c r="E47" s="504"/>
      <c r="F47" s="5"/>
      <c r="G47" s="504"/>
      <c r="H47" s="504"/>
      <c r="I47" s="4"/>
    </row>
    <row r="48" spans="2:9" s="16" customFormat="1" ht="12.75" customHeight="1">
      <c r="B48" s="494" t="str">
        <f>'Intrants 2'!B321</f>
        <v>Intrants 2</v>
      </c>
      <c r="C48" s="495">
        <f>SUM(C49:C58)</f>
        <v>0</v>
      </c>
      <c r="D48" s="546"/>
      <c r="E48" s="495">
        <f>SUM(E49:E58)</f>
        <v>0</v>
      </c>
      <c r="F48" s="92"/>
      <c r="G48" s="495">
        <f>SQRT(SUMSQ(G49:G58))</f>
        <v>0</v>
      </c>
      <c r="H48" s="495">
        <f>SUM(H49:H58)</f>
        <v>0</v>
      </c>
      <c r="I48" s="91"/>
    </row>
    <row r="49" spans="2:9" s="16" customFormat="1" ht="12.75" customHeight="1">
      <c r="B49" s="429" t="str">
        <f>'Intrants 2'!B323</f>
        <v>Métaux</v>
      </c>
      <c r="C49" s="467">
        <f>'Intrants 2'!D323</f>
        <v>0</v>
      </c>
      <c r="D49" s="540">
        <v>1</v>
      </c>
      <c r="E49" s="467">
        <f t="shared" ref="E49:E56" si="8">C49*D49</f>
        <v>0</v>
      </c>
      <c r="F49" s="92"/>
      <c r="G49" s="467">
        <f>'Intrants 2'!H323</f>
        <v>0</v>
      </c>
      <c r="H49" s="467">
        <f t="shared" ref="H49:H56" si="9">$D49*G49</f>
        <v>0</v>
      </c>
      <c r="I49" s="91"/>
    </row>
    <row r="50" spans="2:9" s="16" customFormat="1" ht="12.75" customHeight="1">
      <c r="B50" s="429" t="str">
        <f>'Intrants 2'!B324</f>
        <v>Plastiques</v>
      </c>
      <c r="C50" s="467">
        <f>'Intrants 2'!D324</f>
        <v>0</v>
      </c>
      <c r="D50" s="540">
        <v>1</v>
      </c>
      <c r="E50" s="467">
        <f t="shared" si="8"/>
        <v>0</v>
      </c>
      <c r="F50" s="92"/>
      <c r="G50" s="467">
        <f>'Intrants 2'!H324</f>
        <v>0</v>
      </c>
      <c r="H50" s="467">
        <f t="shared" si="9"/>
        <v>0</v>
      </c>
      <c r="I50" s="91"/>
    </row>
    <row r="51" spans="2:9" s="16" customFormat="1" ht="12.75" customHeight="1">
      <c r="B51" s="429" t="str">
        <f>'Intrants 2'!B325</f>
        <v>Verre</v>
      </c>
      <c r="C51" s="467">
        <f>'Intrants 2'!D325</f>
        <v>0</v>
      </c>
      <c r="D51" s="540">
        <v>1</v>
      </c>
      <c r="E51" s="467">
        <f t="shared" si="8"/>
        <v>0</v>
      </c>
      <c r="F51" s="92"/>
      <c r="G51" s="467">
        <f>'Intrants 2'!H325</f>
        <v>0</v>
      </c>
      <c r="H51" s="467">
        <f t="shared" si="9"/>
        <v>0</v>
      </c>
      <c r="I51" s="91"/>
    </row>
    <row r="52" spans="2:9" s="16" customFormat="1" ht="12.75" customHeight="1">
      <c r="B52" s="429" t="str">
        <f>'Intrants 2'!B326</f>
        <v>Papiers &amp; cartons</v>
      </c>
      <c r="C52" s="467">
        <f>'Intrants 2'!D326</f>
        <v>0</v>
      </c>
      <c r="D52" s="540">
        <v>1</v>
      </c>
      <c r="E52" s="467">
        <f t="shared" si="8"/>
        <v>0</v>
      </c>
      <c r="F52" s="92"/>
      <c r="G52" s="467">
        <f>'Intrants 2'!H326</f>
        <v>0</v>
      </c>
      <c r="H52" s="467">
        <f t="shared" si="9"/>
        <v>0</v>
      </c>
      <c r="I52" s="91"/>
    </row>
    <row r="53" spans="2:9" s="16" customFormat="1" ht="12.75" customHeight="1">
      <c r="B53" s="429" t="str">
        <f>'Intrants 2'!B327</f>
        <v>Matériaux de construction</v>
      </c>
      <c r="C53" s="467">
        <f>'Intrants 2'!D327</f>
        <v>0</v>
      </c>
      <c r="D53" s="540">
        <v>1</v>
      </c>
      <c r="E53" s="467">
        <f t="shared" si="8"/>
        <v>0</v>
      </c>
      <c r="F53" s="92"/>
      <c r="G53" s="467">
        <f>'Intrants 2'!H327</f>
        <v>0</v>
      </c>
      <c r="H53" s="467">
        <f t="shared" si="9"/>
        <v>0</v>
      </c>
      <c r="I53" s="91"/>
    </row>
    <row r="54" spans="2:9" s="16" customFormat="1" ht="12.75" customHeight="1">
      <c r="B54" s="429" t="str">
        <f>'Intrants 2'!B328</f>
        <v>Produits chimiques</v>
      </c>
      <c r="C54" s="467">
        <f>'Intrants 2'!D328</f>
        <v>0</v>
      </c>
      <c r="D54" s="540">
        <v>1</v>
      </c>
      <c r="E54" s="467">
        <f t="shared" si="8"/>
        <v>0</v>
      </c>
      <c r="F54" s="92"/>
      <c r="G54" s="467">
        <f>'Intrants 2'!H328</f>
        <v>0</v>
      </c>
      <c r="H54" s="467">
        <f t="shared" si="9"/>
        <v>0</v>
      </c>
      <c r="I54" s="91"/>
    </row>
    <row r="55" spans="2:9" s="16" customFormat="1" ht="12.75" customHeight="1">
      <c r="B55" s="429" t="str">
        <f>'Intrants 2'!B329</f>
        <v>Nourriture</v>
      </c>
      <c r="C55" s="467">
        <f>'Intrants 2'!D329</f>
        <v>0</v>
      </c>
      <c r="D55" s="540">
        <v>1</v>
      </c>
      <c r="E55" s="467">
        <f t="shared" si="8"/>
        <v>0</v>
      </c>
      <c r="F55" s="92"/>
      <c r="G55" s="467">
        <f>'Intrants 2'!H329</f>
        <v>0</v>
      </c>
      <c r="H55" s="467">
        <f t="shared" si="9"/>
        <v>0</v>
      </c>
      <c r="I55" s="91"/>
    </row>
    <row r="56" spans="2:9" s="16" customFormat="1" ht="12.75" customHeight="1">
      <c r="B56" s="429" t="str">
        <f>'Intrants 2'!B330</f>
        <v>Autres intrants</v>
      </c>
      <c r="C56" s="467">
        <f>'Intrants 2'!D330</f>
        <v>0</v>
      </c>
      <c r="D56" s="540">
        <v>1</v>
      </c>
      <c r="E56" s="467">
        <f t="shared" si="8"/>
        <v>0</v>
      </c>
      <c r="F56" s="92"/>
      <c r="G56" s="467">
        <f>'Intrants 2'!H330</f>
        <v>0</v>
      </c>
      <c r="H56" s="467">
        <f t="shared" si="9"/>
        <v>0</v>
      </c>
      <c r="I56" s="91"/>
    </row>
    <row r="57" spans="2:9" s="16" customFormat="1" ht="12.75" customHeight="1">
      <c r="B57" s="429" t="str">
        <f>'Intrants 2'!B331</f>
        <v>Ratios monétaires</v>
      </c>
      <c r="C57" s="467">
        <f>'Intrants 2'!D331</f>
        <v>0</v>
      </c>
      <c r="D57" s="540">
        <v>1</v>
      </c>
      <c r="E57" s="467">
        <f t="shared" ref="E57:E58" si="10">C57*D57</f>
        <v>0</v>
      </c>
      <c r="F57" s="92"/>
      <c r="G57" s="467">
        <f>'Intrants 2'!H331</f>
        <v>0</v>
      </c>
      <c r="H57" s="467">
        <f t="shared" ref="H57:H58" si="11">$D57*G57</f>
        <v>0</v>
      </c>
      <c r="I57" s="91"/>
    </row>
    <row r="58" spans="2:9" s="16" customFormat="1" ht="12.75" customHeight="1">
      <c r="B58" s="429" t="str">
        <f>'Intrants 2'!B332</f>
        <v>Investissements</v>
      </c>
      <c r="C58" s="467">
        <f>'Intrants 2'!D332</f>
        <v>0</v>
      </c>
      <c r="D58" s="540">
        <v>1</v>
      </c>
      <c r="E58" s="467">
        <f t="shared" si="10"/>
        <v>0</v>
      </c>
      <c r="F58" s="92"/>
      <c r="G58" s="467">
        <f>'Intrants 2'!H332</f>
        <v>0</v>
      </c>
      <c r="H58" s="467">
        <f t="shared" si="11"/>
        <v>0</v>
      </c>
      <c r="I58" s="91"/>
    </row>
    <row r="59" spans="2:9" s="16" customFormat="1" ht="12.75" customHeight="1">
      <c r="B59" s="266"/>
      <c r="C59" s="504"/>
      <c r="D59" s="542"/>
      <c r="E59" s="504"/>
      <c r="F59" s="92"/>
      <c r="G59" s="504"/>
      <c r="H59" s="504"/>
      <c r="I59" s="91"/>
    </row>
    <row r="60" spans="2:9" s="16" customFormat="1" ht="12.75" customHeight="1">
      <c r="B60" s="500" t="str">
        <f>'Futurs emballages'!B75</f>
        <v>Futurs emballages</v>
      </c>
      <c r="C60" s="501">
        <f>SUM(C61:C68)</f>
        <v>309180</v>
      </c>
      <c r="D60" s="546"/>
      <c r="E60" s="501">
        <f>SUM(E61:E68)</f>
        <v>309180</v>
      </c>
      <c r="F60" s="5"/>
      <c r="G60" s="501">
        <f>SQRT(SUMSQ(G61:G68))</f>
        <v>32514.390660136934</v>
      </c>
      <c r="H60" s="501">
        <f>SUM(H61:H68)</f>
        <v>45941.294868907993</v>
      </c>
      <c r="I60" s="4"/>
    </row>
    <row r="61" spans="2:9" s="16" customFormat="1" ht="12.75" customHeight="1">
      <c r="B61" s="465" t="str">
        <f>'Futurs emballages'!B77</f>
        <v>Métaux</v>
      </c>
      <c r="C61" s="466">
        <f>'Futurs emballages'!F77</f>
        <v>0</v>
      </c>
      <c r="D61" s="540">
        <v>1</v>
      </c>
      <c r="E61" s="466">
        <f t="shared" ref="E61:E64" si="12">C61*D61</f>
        <v>0</v>
      </c>
      <c r="F61" s="5"/>
      <c r="G61" s="466">
        <f>'Futurs emballages'!J77</f>
        <v>0</v>
      </c>
      <c r="H61" s="466">
        <f t="shared" ref="H61:H64" si="13">$D61*G61</f>
        <v>0</v>
      </c>
      <c r="I61" s="4"/>
    </row>
    <row r="62" spans="2:9" s="16" customFormat="1" ht="12.75" customHeight="1">
      <c r="B62" s="465" t="str">
        <f>'Futurs emballages'!B78</f>
        <v>Plastiques</v>
      </c>
      <c r="C62" s="466">
        <f>'Futurs emballages'!F78</f>
        <v>142980</v>
      </c>
      <c r="D62" s="540">
        <v>1</v>
      </c>
      <c r="E62" s="466">
        <f t="shared" si="12"/>
        <v>142980</v>
      </c>
      <c r="F62" s="5"/>
      <c r="G62" s="466">
        <f>'Futurs emballages'!J78</f>
        <v>22000</v>
      </c>
      <c r="H62" s="466">
        <f t="shared" si="13"/>
        <v>22000</v>
      </c>
      <c r="I62" s="4"/>
    </row>
    <row r="63" spans="2:9" s="16" customFormat="1" ht="12.75" customHeight="1">
      <c r="B63" s="465" t="str">
        <f>'Futurs emballages'!B79</f>
        <v>Verre</v>
      </c>
      <c r="C63" s="466">
        <f>'Futurs emballages'!F79</f>
        <v>0</v>
      </c>
      <c r="D63" s="540">
        <v>1</v>
      </c>
      <c r="E63" s="466">
        <f t="shared" si="12"/>
        <v>0</v>
      </c>
      <c r="F63" s="5"/>
      <c r="G63" s="466">
        <f>'Futurs emballages'!J79</f>
        <v>0</v>
      </c>
      <c r="H63" s="466">
        <f t="shared" si="13"/>
        <v>0</v>
      </c>
      <c r="I63" s="4"/>
    </row>
    <row r="64" spans="2:9" s="16" customFormat="1" ht="12.75" customHeight="1">
      <c r="B64" s="465" t="str">
        <f>'Futurs emballages'!B80</f>
        <v>Papiers et cartons</v>
      </c>
      <c r="C64" s="466">
        <f>'Futurs emballages'!F80</f>
        <v>166200</v>
      </c>
      <c r="D64" s="540">
        <v>1</v>
      </c>
      <c r="E64" s="466">
        <f t="shared" si="12"/>
        <v>166200</v>
      </c>
      <c r="F64" s="5"/>
      <c r="G64" s="466">
        <f>'Futurs emballages'!J80</f>
        <v>23941.294868907989</v>
      </c>
      <c r="H64" s="466">
        <f t="shared" si="13"/>
        <v>23941.294868907989</v>
      </c>
      <c r="I64" s="4"/>
    </row>
    <row r="65" spans="2:9" s="16" customFormat="1" ht="12.75" customHeight="1">
      <c r="B65" s="465"/>
      <c r="C65" s="466"/>
      <c r="D65" s="540"/>
      <c r="E65" s="466"/>
      <c r="F65" s="5"/>
      <c r="G65" s="466"/>
      <c r="H65" s="466"/>
      <c r="I65" s="4"/>
    </row>
    <row r="66" spans="2:9" s="16" customFormat="1" ht="12.75" customHeight="1">
      <c r="B66" s="465"/>
      <c r="C66" s="466"/>
      <c r="D66" s="540"/>
      <c r="E66" s="466"/>
      <c r="F66" s="5"/>
      <c r="G66" s="466"/>
      <c r="H66" s="466"/>
      <c r="I66" s="4"/>
    </row>
    <row r="67" spans="2:9" s="16" customFormat="1" ht="12.75" customHeight="1">
      <c r="B67" s="465"/>
      <c r="C67" s="466"/>
      <c r="D67" s="540"/>
      <c r="E67" s="466"/>
      <c r="F67" s="5"/>
      <c r="G67" s="466"/>
      <c r="H67" s="466"/>
      <c r="I67" s="4"/>
    </row>
    <row r="68" spans="2:9" s="16" customFormat="1" ht="12.75" customHeight="1">
      <c r="B68" s="465"/>
      <c r="C68" s="466"/>
      <c r="D68" s="540"/>
      <c r="E68" s="466"/>
      <c r="F68" s="5"/>
      <c r="G68" s="466"/>
      <c r="H68" s="466"/>
      <c r="I68" s="4"/>
    </row>
    <row r="69" spans="2:9" s="16" customFormat="1" ht="12.75" customHeight="1">
      <c r="B69" s="266"/>
      <c r="C69" s="504"/>
      <c r="D69" s="542"/>
      <c r="E69" s="504"/>
      <c r="F69" s="5"/>
      <c r="G69" s="504"/>
      <c r="H69" s="504"/>
      <c r="I69" s="4"/>
    </row>
    <row r="70" spans="2:9" s="16" customFormat="1" ht="12.75" customHeight="1">
      <c r="B70" s="494" t="str">
        <f>Fret!B562</f>
        <v>Fret</v>
      </c>
      <c r="C70" s="495">
        <f>SUM(C71:C82)</f>
        <v>295739.83500000002</v>
      </c>
      <c r="D70" s="546"/>
      <c r="E70" s="495">
        <f>SUM(E71:E82)</f>
        <v>295739.83500000002</v>
      </c>
      <c r="F70" s="5"/>
      <c r="G70" s="495">
        <f>SQRT(SUMSQ(G71:G82))</f>
        <v>80538.449101336722</v>
      </c>
      <c r="H70" s="495">
        <f>SUM(H71:H82)</f>
        <v>125557.29154684981</v>
      </c>
      <c r="I70" s="4"/>
    </row>
    <row r="71" spans="2:9" s="16" customFormat="1" ht="12.75" customHeight="1">
      <c r="B71" s="429" t="str">
        <f>Fret!B564</f>
        <v>Fret routier entrant</v>
      </c>
      <c r="C71" s="467">
        <f>Fret!D564</f>
        <v>93036.035000000003</v>
      </c>
      <c r="D71" s="540">
        <v>1</v>
      </c>
      <c r="E71" s="467">
        <f>C71*D71</f>
        <v>93036.035000000003</v>
      </c>
      <c r="F71" s="5"/>
      <c r="G71" s="467">
        <f>Fret!H564</f>
        <v>38301.610075583791</v>
      </c>
      <c r="H71" s="467">
        <f>$D71*G71</f>
        <v>38301.610075583791</v>
      </c>
      <c r="I71" s="4"/>
    </row>
    <row r="72" spans="2:9" s="16" customFormat="1" ht="12.75" customHeight="1">
      <c r="B72" s="429" t="str">
        <f>Fret!B565</f>
        <v>Fret aérien entrant</v>
      </c>
      <c r="C72" s="467">
        <f>Fret!D565</f>
        <v>0</v>
      </c>
      <c r="D72" s="540">
        <v>1</v>
      </c>
      <c r="E72" s="467">
        <f>C72*D72</f>
        <v>0</v>
      </c>
      <c r="F72" s="5"/>
      <c r="G72" s="467">
        <f>Fret!H565</f>
        <v>0</v>
      </c>
      <c r="H72" s="467">
        <f>$D72*G72</f>
        <v>0</v>
      </c>
      <c r="I72" s="4"/>
    </row>
    <row r="73" spans="2:9" s="16" customFormat="1" ht="12.75" customHeight="1">
      <c r="B73" s="429" t="str">
        <f>Fret!B566</f>
        <v>Fret ferroviaire entrant</v>
      </c>
      <c r="C73" s="467">
        <f>Fret!D566</f>
        <v>0</v>
      </c>
      <c r="D73" s="540">
        <v>1</v>
      </c>
      <c r="E73" s="467">
        <f>C73*D73</f>
        <v>0</v>
      </c>
      <c r="F73" s="5"/>
      <c r="G73" s="467">
        <f>Fret!H566</f>
        <v>0</v>
      </c>
      <c r="H73" s="467">
        <f>$D73*G73</f>
        <v>0</v>
      </c>
      <c r="I73" s="4"/>
    </row>
    <row r="74" spans="2:9" s="16" customFormat="1" ht="12.75" customHeight="1">
      <c r="B74" s="429" t="str">
        <f>Fret!B567</f>
        <v>Fret maritime et fluvial entrant</v>
      </c>
      <c r="C74" s="467">
        <f>Fret!D567</f>
        <v>48206</v>
      </c>
      <c r="D74" s="540">
        <v>1</v>
      </c>
      <c r="E74" s="467">
        <f>C74*D74</f>
        <v>48206</v>
      </c>
      <c r="F74" s="5"/>
      <c r="G74" s="467">
        <f>Fret!H567</f>
        <v>19004.1582860173</v>
      </c>
      <c r="H74" s="467">
        <f>$D74*G74</f>
        <v>19004.1582860173</v>
      </c>
      <c r="I74" s="4"/>
    </row>
    <row r="75" spans="2:9" s="16" customFormat="1" ht="12.75" customHeight="1">
      <c r="B75" s="429" t="str">
        <f>Fret!B568</f>
        <v>Fret routier interne</v>
      </c>
      <c r="C75" s="467">
        <f>Fret!D568</f>
        <v>0</v>
      </c>
      <c r="D75" s="540">
        <v>1</v>
      </c>
      <c r="E75" s="467">
        <f>C75*D75</f>
        <v>0</v>
      </c>
      <c r="F75" s="5"/>
      <c r="G75" s="467">
        <f>Fret!H568</f>
        <v>0</v>
      </c>
      <c r="H75" s="467">
        <f>$D75*G75</f>
        <v>0</v>
      </c>
      <c r="I75" s="4"/>
    </row>
    <row r="76" spans="2:9" s="16" customFormat="1" ht="12.75" customHeight="1">
      <c r="B76" s="429" t="str">
        <f>Fret!B569</f>
        <v>Fret aérien interne</v>
      </c>
      <c r="C76" s="467">
        <f>Fret!D569</f>
        <v>0</v>
      </c>
      <c r="D76" s="540">
        <v>1</v>
      </c>
      <c r="E76" s="467">
        <f t="shared" ref="E76:E82" si="14">C76*D76</f>
        <v>0</v>
      </c>
      <c r="F76" s="5"/>
      <c r="G76" s="467">
        <f>Fret!H569</f>
        <v>0</v>
      </c>
      <c r="H76" s="467">
        <f t="shared" ref="H76:H82" si="15">$D76*G76</f>
        <v>0</v>
      </c>
      <c r="I76" s="4"/>
    </row>
    <row r="77" spans="2:9" s="16" customFormat="1" ht="12.75" customHeight="1">
      <c r="B77" s="429" t="str">
        <f>Fret!B570</f>
        <v>Fret ferroviaire interne</v>
      </c>
      <c r="C77" s="467">
        <f>Fret!D570</f>
        <v>0</v>
      </c>
      <c r="D77" s="540">
        <v>1</v>
      </c>
      <c r="E77" s="467">
        <f t="shared" si="14"/>
        <v>0</v>
      </c>
      <c r="F77" s="5"/>
      <c r="G77" s="467">
        <f>Fret!H570</f>
        <v>0</v>
      </c>
      <c r="H77" s="467">
        <f t="shared" si="15"/>
        <v>0</v>
      </c>
      <c r="I77" s="4"/>
    </row>
    <row r="78" spans="2:9" s="16" customFormat="1" ht="12.75" customHeight="1">
      <c r="B78" s="429" t="str">
        <f>Fret!B571</f>
        <v>Fret maritime et fluvial interne</v>
      </c>
      <c r="C78" s="467">
        <f>Fret!D571</f>
        <v>0</v>
      </c>
      <c r="D78" s="540">
        <v>1</v>
      </c>
      <c r="E78" s="467">
        <f t="shared" si="14"/>
        <v>0</v>
      </c>
      <c r="F78" s="5"/>
      <c r="G78" s="467">
        <f>Fret!H571</f>
        <v>0</v>
      </c>
      <c r="H78" s="467">
        <f t="shared" si="15"/>
        <v>0</v>
      </c>
      <c r="I78" s="4"/>
    </row>
    <row r="79" spans="2:9" s="16" customFormat="1" ht="12.75" customHeight="1">
      <c r="B79" s="429" t="str">
        <f>Fret!B572</f>
        <v>Fret routier sortant</v>
      </c>
      <c r="C79" s="467">
        <f>Fret!D572</f>
        <v>154497.80000000002</v>
      </c>
      <c r="D79" s="540">
        <v>1</v>
      </c>
      <c r="E79" s="467">
        <f t="shared" si="14"/>
        <v>154497.80000000002</v>
      </c>
      <c r="F79" s="5"/>
      <c r="G79" s="467">
        <f>Fret!H572</f>
        <v>68251.52318524872</v>
      </c>
      <c r="H79" s="467">
        <f t="shared" si="15"/>
        <v>68251.52318524872</v>
      </c>
      <c r="I79" s="4"/>
    </row>
    <row r="80" spans="2:9" s="16" customFormat="1" ht="12.75" customHeight="1">
      <c r="B80" s="429" t="str">
        <f>Fret!B573</f>
        <v>Fret aérien sortant</v>
      </c>
      <c r="C80" s="467">
        <f>Fret!D573</f>
        <v>0</v>
      </c>
      <c r="D80" s="540">
        <v>1</v>
      </c>
      <c r="E80" s="467">
        <f t="shared" si="14"/>
        <v>0</v>
      </c>
      <c r="F80" s="5"/>
      <c r="G80" s="467">
        <f>Fret!H573</f>
        <v>0</v>
      </c>
      <c r="H80" s="467">
        <f t="shared" si="15"/>
        <v>0</v>
      </c>
      <c r="I80" s="4"/>
    </row>
    <row r="81" spans="2:9" s="16" customFormat="1" ht="12.75" customHeight="1">
      <c r="B81" s="429" t="str">
        <f>Fret!B574</f>
        <v>Fret ferroviaire sortant</v>
      </c>
      <c r="C81" s="467">
        <f>Fret!D574</f>
        <v>0</v>
      </c>
      <c r="D81" s="540">
        <v>1</v>
      </c>
      <c r="E81" s="467">
        <f t="shared" si="14"/>
        <v>0</v>
      </c>
      <c r="F81" s="5"/>
      <c r="G81" s="467">
        <f>Fret!H574</f>
        <v>0</v>
      </c>
      <c r="H81" s="467">
        <f t="shared" si="15"/>
        <v>0</v>
      </c>
      <c r="I81" s="4"/>
    </row>
    <row r="82" spans="2:9" s="16" customFormat="1" ht="12.75" customHeight="1">
      <c r="B82" s="429" t="str">
        <f>Fret!B575</f>
        <v>Fret maritime et fluvial sortant</v>
      </c>
      <c r="C82" s="467">
        <f>Fret!D575</f>
        <v>0</v>
      </c>
      <c r="D82" s="540">
        <v>1</v>
      </c>
      <c r="E82" s="467">
        <f t="shared" si="14"/>
        <v>0</v>
      </c>
      <c r="F82" s="5"/>
      <c r="G82" s="467">
        <f>Fret!H575</f>
        <v>0</v>
      </c>
      <c r="H82" s="467">
        <f t="shared" si="15"/>
        <v>0</v>
      </c>
      <c r="I82" s="4"/>
    </row>
    <row r="83" spans="2:9">
      <c r="B83" s="114"/>
      <c r="C83" s="441"/>
      <c r="E83" s="441"/>
      <c r="G83" s="441"/>
      <c r="H83" s="441"/>
    </row>
    <row r="84" spans="2:9" s="16" customFormat="1" ht="12.75" customHeight="1">
      <c r="B84" s="500" t="str">
        <f>Déplacements!B439</f>
        <v>Déplacements</v>
      </c>
      <c r="C84" s="501">
        <f>SUM(C85:C91)</f>
        <v>123694.97360000001</v>
      </c>
      <c r="D84" s="546"/>
      <c r="E84" s="501">
        <f>SUM(E85:E91)</f>
        <v>123694.97360000001</v>
      </c>
      <c r="F84" s="5"/>
      <c r="G84" s="501">
        <f>SQRT(SUMSQ(G85:G91))</f>
        <v>19958.100753395196</v>
      </c>
      <c r="H84" s="501">
        <f>SUM(H85:H91)</f>
        <v>22646.187631270404</v>
      </c>
      <c r="I84" s="4"/>
    </row>
    <row r="85" spans="2:9" s="16" customFormat="1" ht="12.75" customHeight="1">
      <c r="B85" s="465" t="str">
        <f>Déplacements!B441</f>
        <v>Domicile-travail</v>
      </c>
      <c r="C85" s="466">
        <f>Déplacements!D441</f>
        <v>82747.526600000012</v>
      </c>
      <c r="D85" s="540">
        <v>1</v>
      </c>
      <c r="E85" s="466">
        <f t="shared" ref="E85:E91" si="16">C85*D85</f>
        <v>82747.526600000012</v>
      </c>
      <c r="F85" s="5"/>
      <c r="G85" s="466">
        <f>Déplacements!H441</f>
        <v>19859.199601136224</v>
      </c>
      <c r="H85" s="466">
        <f t="shared" ref="H85:H91" si="17">$D85*G85</f>
        <v>19859.199601136224</v>
      </c>
      <c r="I85" s="4"/>
    </row>
    <row r="86" spans="2:9" s="16" customFormat="1" ht="12.75" customHeight="1">
      <c r="B86" s="465" t="str">
        <f>Déplacements!B442</f>
        <v>Employés, voiture</v>
      </c>
      <c r="C86" s="466">
        <f>Déplacements!D442</f>
        <v>38257.154999999999</v>
      </c>
      <c r="D86" s="540">
        <v>1</v>
      </c>
      <c r="E86" s="466">
        <f t="shared" si="16"/>
        <v>38257.154999999999</v>
      </c>
      <c r="F86" s="5"/>
      <c r="G86" s="466">
        <f>Déplacements!H442</f>
        <v>1582.254007494945</v>
      </c>
      <c r="H86" s="466">
        <f t="shared" si="17"/>
        <v>1582.254007494945</v>
      </c>
      <c r="I86" s="4"/>
    </row>
    <row r="87" spans="2:9" s="16" customFormat="1" ht="12.75" customHeight="1">
      <c r="B87" s="465" t="str">
        <f>Déplacements!B443</f>
        <v>Employés, autre route</v>
      </c>
      <c r="C87" s="466">
        <f>Déplacements!D443</f>
        <v>0</v>
      </c>
      <c r="D87" s="540">
        <v>1</v>
      </c>
      <c r="E87" s="466">
        <f t="shared" si="16"/>
        <v>0</v>
      </c>
      <c r="F87" s="5"/>
      <c r="G87" s="466">
        <f>Déplacements!H443</f>
        <v>0</v>
      </c>
      <c r="H87" s="466">
        <f t="shared" si="17"/>
        <v>0</v>
      </c>
      <c r="I87" s="4"/>
    </row>
    <row r="88" spans="2:9" s="16" customFormat="1" ht="12.75" customHeight="1">
      <c r="B88" s="465" t="str">
        <f>Déplacements!B444</f>
        <v>Employés, train</v>
      </c>
      <c r="C88" s="466">
        <f>Déplacements!D444</f>
        <v>45.311999999999998</v>
      </c>
      <c r="D88" s="540">
        <v>1</v>
      </c>
      <c r="E88" s="466">
        <f t="shared" si="16"/>
        <v>45.311999999999998</v>
      </c>
      <c r="F88" s="5"/>
      <c r="G88" s="466">
        <f>Déplacements!H444</f>
        <v>7.0699812503287456</v>
      </c>
      <c r="H88" s="466">
        <f t="shared" si="17"/>
        <v>7.0699812503287456</v>
      </c>
      <c r="I88" s="4"/>
    </row>
    <row r="89" spans="2:9" s="16" customFormat="1" ht="12.75" customHeight="1">
      <c r="B89" s="465" t="str">
        <f>Déplacements!B445</f>
        <v>Employés, avion</v>
      </c>
      <c r="C89" s="466">
        <f>Déplacements!D445</f>
        <v>2644.98</v>
      </c>
      <c r="D89" s="540">
        <v>1</v>
      </c>
      <c r="E89" s="466">
        <f t="shared" si="16"/>
        <v>2644.98</v>
      </c>
      <c r="F89" s="5"/>
      <c r="G89" s="466">
        <f>Déplacements!H445</f>
        <v>1197.6640413889029</v>
      </c>
      <c r="H89" s="466">
        <f t="shared" si="17"/>
        <v>1197.6640413889029</v>
      </c>
      <c r="I89" s="4"/>
    </row>
    <row r="90" spans="2:9" s="16" customFormat="1" ht="12.75" customHeight="1">
      <c r="B90" s="465" t="str">
        <f>Déplacements!B446</f>
        <v>Employés, bateau</v>
      </c>
      <c r="C90" s="466">
        <f>Déplacements!D446</f>
        <v>0</v>
      </c>
      <c r="D90" s="540">
        <v>1</v>
      </c>
      <c r="E90" s="466">
        <f t="shared" si="16"/>
        <v>0</v>
      </c>
      <c r="F90" s="5"/>
      <c r="G90" s="466">
        <f>Déplacements!H446</f>
        <v>0</v>
      </c>
      <c r="H90" s="466">
        <f t="shared" si="17"/>
        <v>0</v>
      </c>
      <c r="I90" s="4"/>
    </row>
    <row r="91" spans="2:9" s="16" customFormat="1" ht="12.75" customHeight="1">
      <c r="B91" s="465" t="str">
        <f>Déplacements!B447</f>
        <v>Visiteurs, tous modes</v>
      </c>
      <c r="C91" s="466">
        <f>Déplacements!D447</f>
        <v>0</v>
      </c>
      <c r="D91" s="540">
        <v>1</v>
      </c>
      <c r="E91" s="466">
        <f t="shared" si="16"/>
        <v>0</v>
      </c>
      <c r="F91" s="5"/>
      <c r="G91" s="466">
        <f>Déplacements!H447</f>
        <v>0</v>
      </c>
      <c r="H91" s="466">
        <f t="shared" si="17"/>
        <v>0</v>
      </c>
      <c r="I91" s="4"/>
    </row>
    <row r="92" spans="2:9" s="16" customFormat="1" ht="12.75" customHeight="1">
      <c r="B92" s="506"/>
      <c r="C92" s="504"/>
      <c r="D92" s="542"/>
      <c r="E92" s="504"/>
      <c r="F92" s="5"/>
      <c r="G92" s="504"/>
      <c r="H92" s="504"/>
      <c r="I92" s="4"/>
    </row>
    <row r="93" spans="2:9" s="16" customFormat="1" ht="12.75" customHeight="1">
      <c r="B93" s="494" t="str">
        <f>'Déchets directs'!B218</f>
        <v>Déchets directs</v>
      </c>
      <c r="C93" s="495">
        <f>SUM(C94:C100)</f>
        <v>39170</v>
      </c>
      <c r="D93" s="546"/>
      <c r="E93" s="495">
        <f>SUM(E94:E100)</f>
        <v>39170</v>
      </c>
      <c r="F93" s="5"/>
      <c r="G93" s="495">
        <f>SQRT(SUMSQ(G94:G100))</f>
        <v>5911.8223180335863</v>
      </c>
      <c r="H93" s="495">
        <f>SUM(H94:H100)</f>
        <v>5911.8223180335863</v>
      </c>
      <c r="I93" s="4"/>
    </row>
    <row r="94" spans="2:9" s="16" customFormat="1" ht="12.75" customHeight="1">
      <c r="B94" s="429" t="str">
        <f>'Déchets directs'!B220</f>
        <v>Déchets d'emballages ménages</v>
      </c>
      <c r="C94" s="467">
        <f>'Déchets directs'!D220</f>
        <v>39170</v>
      </c>
      <c r="D94" s="540">
        <v>1</v>
      </c>
      <c r="E94" s="467">
        <f t="shared" ref="E94:E99" si="18">C94*D94</f>
        <v>39170</v>
      </c>
      <c r="F94" s="5"/>
      <c r="G94" s="467">
        <f>'Déchets directs'!H220</f>
        <v>5911.8223180335863</v>
      </c>
      <c r="H94" s="467">
        <f t="shared" ref="H94:H99" si="19">$D94*G94</f>
        <v>5911.8223180335863</v>
      </c>
      <c r="I94" s="4"/>
    </row>
    <row r="95" spans="2:9" s="16" customFormat="1" ht="12.75" customHeight="1">
      <c r="B95" s="429" t="str">
        <f>'Déchets directs'!B221</f>
        <v>Déchets organiques et ordures ménagères</v>
      </c>
      <c r="C95" s="467">
        <f>'Déchets directs'!D221</f>
        <v>0</v>
      </c>
      <c r="D95" s="540">
        <v>1</v>
      </c>
      <c r="E95" s="467">
        <f t="shared" ref="E95" si="20">C95*D95</f>
        <v>0</v>
      </c>
      <c r="F95" s="92"/>
      <c r="G95" s="467">
        <f>'Déchets directs'!H221</f>
        <v>0</v>
      </c>
      <c r="H95" s="467">
        <f t="shared" ref="H95" si="21">$D95*G95</f>
        <v>0</v>
      </c>
      <c r="I95" s="91"/>
    </row>
    <row r="96" spans="2:9" s="16" customFormat="1" ht="12.75" customHeight="1">
      <c r="B96" s="429" t="str">
        <f>'Déchets directs'!B222</f>
        <v>Déchets piles, accumulateurs et DEEE</v>
      </c>
      <c r="C96" s="467">
        <f>'Déchets directs'!D222</f>
        <v>0</v>
      </c>
      <c r="D96" s="540">
        <v>1</v>
      </c>
      <c r="E96" s="467">
        <f t="shared" si="18"/>
        <v>0</v>
      </c>
      <c r="F96" s="5"/>
      <c r="G96" s="467">
        <f>'Déchets directs'!H222</f>
        <v>0</v>
      </c>
      <c r="H96" s="467">
        <f t="shared" si="19"/>
        <v>0</v>
      </c>
      <c r="I96" s="4"/>
    </row>
    <row r="97" spans="2:9" s="16" customFormat="1" ht="12.75" customHeight="1">
      <c r="B97" s="429" t="str">
        <f>'Déchets directs'!B223</f>
        <v>Déchets d'éléments d'ameublement et textiles</v>
      </c>
      <c r="C97" s="467">
        <f>'Déchets directs'!D223</f>
        <v>0</v>
      </c>
      <c r="D97" s="540">
        <v>1</v>
      </c>
      <c r="E97" s="467">
        <f t="shared" si="18"/>
        <v>0</v>
      </c>
      <c r="F97" s="5"/>
      <c r="G97" s="467">
        <f>'Déchets directs'!H223</f>
        <v>0</v>
      </c>
      <c r="H97" s="467">
        <f t="shared" si="19"/>
        <v>0</v>
      </c>
      <c r="I97" s="4"/>
    </row>
    <row r="98" spans="2:9" s="16" customFormat="1" ht="12.75" customHeight="1">
      <c r="B98" s="429" t="str">
        <f>'Déchets directs'!B224</f>
        <v>Déchets dangereux</v>
      </c>
      <c r="C98" s="467">
        <f>'Déchets directs'!D224</f>
        <v>0</v>
      </c>
      <c r="D98" s="540">
        <v>1</v>
      </c>
      <c r="E98" s="467">
        <f t="shared" si="18"/>
        <v>0</v>
      </c>
      <c r="F98" s="5"/>
      <c r="G98" s="467">
        <f>'Déchets directs'!H224</f>
        <v>0</v>
      </c>
      <c r="H98" s="467">
        <f t="shared" si="19"/>
        <v>0</v>
      </c>
      <c r="I98" s="4"/>
    </row>
    <row r="99" spans="2:9" s="16" customFormat="1" ht="12.75" customHeight="1">
      <c r="B99" s="429" t="str">
        <f>'Déchets directs'!B225</f>
        <v>Déchets banals des acteurs économiques</v>
      </c>
      <c r="C99" s="467">
        <f>'Déchets directs'!D225</f>
        <v>0</v>
      </c>
      <c r="D99" s="540">
        <v>1</v>
      </c>
      <c r="E99" s="467">
        <f t="shared" si="18"/>
        <v>0</v>
      </c>
      <c r="F99" s="5"/>
      <c r="G99" s="467">
        <f>'Déchets directs'!H225</f>
        <v>0</v>
      </c>
      <c r="H99" s="467">
        <f t="shared" si="19"/>
        <v>0</v>
      </c>
      <c r="I99" s="4"/>
    </row>
    <row r="100" spans="2:9" s="16" customFormat="1" ht="12.75" customHeight="1">
      <c r="B100" s="429" t="str">
        <f>'Déchets directs'!B226</f>
        <v>Déchets bâtiments</v>
      </c>
      <c r="C100" s="467">
        <f>'Déchets directs'!D226</f>
        <v>0</v>
      </c>
      <c r="D100" s="540">
        <v>1</v>
      </c>
      <c r="E100" s="467">
        <f t="shared" ref="E100:E102" si="22">C100*D100</f>
        <v>0</v>
      </c>
      <c r="F100" s="92"/>
      <c r="G100" s="467">
        <f>'Déchets directs'!H226</f>
        <v>0</v>
      </c>
      <c r="H100" s="467">
        <f t="shared" ref="H100:H102" si="23">$D100*G100</f>
        <v>0</v>
      </c>
      <c r="I100" s="4"/>
    </row>
    <row r="101" spans="2:9" s="16" customFormat="1" ht="12.75" customHeight="1">
      <c r="B101" s="429" t="str">
        <f>'Déchets directs'!B227</f>
        <v>Fuites</v>
      </c>
      <c r="C101" s="467">
        <f>'Déchets directs'!D227</f>
        <v>0</v>
      </c>
      <c r="D101" s="540">
        <v>1</v>
      </c>
      <c r="E101" s="467">
        <f t="shared" si="22"/>
        <v>0</v>
      </c>
      <c r="F101" s="92"/>
      <c r="G101" s="467">
        <f>'Déchets directs'!H227</f>
        <v>0</v>
      </c>
      <c r="H101" s="467">
        <f t="shared" si="23"/>
        <v>0</v>
      </c>
      <c r="I101" s="91"/>
    </row>
    <row r="102" spans="2:9" s="16" customFormat="1" ht="12.75" customHeight="1">
      <c r="B102" s="429" t="str">
        <f>'Déchets directs'!B228</f>
        <v>Eaux usées</v>
      </c>
      <c r="C102" s="467">
        <f>'Déchets directs'!D228</f>
        <v>0</v>
      </c>
      <c r="D102" s="540">
        <v>1</v>
      </c>
      <c r="E102" s="467">
        <f t="shared" si="22"/>
        <v>0</v>
      </c>
      <c r="F102" s="92"/>
      <c r="G102" s="467">
        <f>'Déchets directs'!H228</f>
        <v>0</v>
      </c>
      <c r="H102" s="467">
        <f t="shared" si="23"/>
        <v>0</v>
      </c>
      <c r="I102" s="91"/>
    </row>
    <row r="103" spans="2:9">
      <c r="B103" s="114"/>
      <c r="C103" s="442"/>
      <c r="D103" s="543"/>
      <c r="E103" s="442"/>
      <c r="F103" s="5"/>
      <c r="G103" s="442"/>
      <c r="H103" s="442"/>
    </row>
    <row r="104" spans="2:9" ht="13.8">
      <c r="B104" s="500" t="str">
        <f>Immobilisations!B248</f>
        <v>Immobilisations</v>
      </c>
      <c r="C104" s="501">
        <f>SUM(C105:C108)</f>
        <v>43928.386666666665</v>
      </c>
      <c r="D104" s="547"/>
      <c r="E104" s="501">
        <f>SUM(E105:E108)</f>
        <v>43928.386666666665</v>
      </c>
      <c r="F104" s="5"/>
      <c r="G104" s="501">
        <f>SQRT(SUMSQ(G105:G108))</f>
        <v>12133.395140725817</v>
      </c>
      <c r="H104" s="501">
        <f>SUM(H105:H108)</f>
        <v>17520.697014403442</v>
      </c>
    </row>
    <row r="105" spans="2:9">
      <c r="B105" s="465" t="str">
        <f>Immobilisations!B250</f>
        <v>Bâtiments</v>
      </c>
      <c r="C105" s="466">
        <f>Immobilisations!D250</f>
        <v>20625</v>
      </c>
      <c r="D105" s="540">
        <v>1</v>
      </c>
      <c r="E105" s="466">
        <f>C105*D105</f>
        <v>20625</v>
      </c>
      <c r="F105" s="5"/>
      <c r="G105" s="466">
        <f>Immobilisations!H250</f>
        <v>10312.5</v>
      </c>
      <c r="H105" s="466">
        <f>$D105*G105</f>
        <v>10312.5</v>
      </c>
    </row>
    <row r="106" spans="2:9">
      <c r="B106" s="465" t="str">
        <f>Immobilisations!B251</f>
        <v>Infra hors bâtiments</v>
      </c>
      <c r="C106" s="466">
        <f>Immobilisations!D251</f>
        <v>1825</v>
      </c>
      <c r="D106" s="540">
        <v>1</v>
      </c>
      <c r="E106" s="466">
        <f>C106*D106</f>
        <v>1825</v>
      </c>
      <c r="F106" s="5"/>
      <c r="G106" s="466">
        <f>Immobilisations!H251</f>
        <v>273.75</v>
      </c>
      <c r="H106" s="466">
        <f>$D106*G106</f>
        <v>273.75</v>
      </c>
    </row>
    <row r="107" spans="2:9">
      <c r="B107" s="465" t="str">
        <f>Immobilisations!B252</f>
        <v>Véhicules, machines, mobilier</v>
      </c>
      <c r="C107" s="466">
        <f>Immobilisations!D252</f>
        <v>19740</v>
      </c>
      <c r="D107" s="540">
        <v>1</v>
      </c>
      <c r="E107" s="466">
        <f>C107*D107</f>
        <v>19740</v>
      </c>
      <c r="F107" s="5"/>
      <c r="G107" s="466">
        <f>Immobilisations!H252</f>
        <v>6361.4768332518515</v>
      </c>
      <c r="H107" s="466">
        <f>$D107*G107</f>
        <v>6361.4768332518515</v>
      </c>
    </row>
    <row r="108" spans="2:9">
      <c r="B108" s="465" t="str">
        <f>Immobilisations!B253</f>
        <v>Informatique</v>
      </c>
      <c r="C108" s="466">
        <f>Immobilisations!D253</f>
        <v>1738.3866666666668</v>
      </c>
      <c r="D108" s="540">
        <v>1</v>
      </c>
      <c r="E108" s="466">
        <f>C108*D108</f>
        <v>1738.3866666666668</v>
      </c>
      <c r="F108" s="5"/>
      <c r="G108" s="466">
        <f>Immobilisations!H253</f>
        <v>572.97018115159267</v>
      </c>
      <c r="H108" s="466">
        <f>$D108*G108</f>
        <v>572.97018115159267</v>
      </c>
    </row>
    <row r="109" spans="2:9" ht="13.8">
      <c r="B109" s="114"/>
      <c r="C109" s="445"/>
      <c r="D109" s="544"/>
      <c r="E109" s="445"/>
      <c r="F109" s="5"/>
      <c r="G109" s="445"/>
      <c r="H109" s="445"/>
    </row>
    <row r="110" spans="2:9" ht="13.8">
      <c r="B110" s="494" t="str">
        <f>Utilisation!B120</f>
        <v>Utilisation</v>
      </c>
      <c r="C110" s="495">
        <f>SUM(C111:C114)</f>
        <v>5331.4577495621716</v>
      </c>
      <c r="D110" s="547"/>
      <c r="E110" s="495">
        <f>SUM(E111:E114)</f>
        <v>5331.4577495621716</v>
      </c>
      <c r="F110" s="5"/>
      <c r="G110" s="495">
        <f>SQRT(SUMSQ(G111:G114))</f>
        <v>550.67377355516669</v>
      </c>
      <c r="H110" s="495">
        <f>SUM(H111:H114)</f>
        <v>550.67377355516669</v>
      </c>
    </row>
    <row r="111" spans="2:9">
      <c r="B111" s="429" t="str">
        <f>Utilisation!B122</f>
        <v>Combustibles</v>
      </c>
      <c r="C111" s="467">
        <f>Utilisation!D122</f>
        <v>0</v>
      </c>
      <c r="D111" s="540">
        <v>1</v>
      </c>
      <c r="E111" s="467">
        <f>C111*D111</f>
        <v>0</v>
      </c>
      <c r="F111" s="5"/>
      <c r="G111" s="467">
        <f>Utilisation!H122</f>
        <v>0</v>
      </c>
      <c r="H111" s="467">
        <f>$D111*G111</f>
        <v>0</v>
      </c>
    </row>
    <row r="112" spans="2:9">
      <c r="B112" s="429" t="str">
        <f>Utilisation!B123</f>
        <v>Vapeur et froid</v>
      </c>
      <c r="C112" s="467">
        <f>Utilisation!D123</f>
        <v>0</v>
      </c>
      <c r="D112" s="540">
        <v>1</v>
      </c>
      <c r="E112" s="467">
        <f>C112*D112</f>
        <v>0</v>
      </c>
      <c r="F112" s="5"/>
      <c r="G112" s="467">
        <f>Utilisation!H123</f>
        <v>0</v>
      </c>
      <c r="H112" s="467">
        <f>$D112*G112</f>
        <v>0</v>
      </c>
    </row>
    <row r="113" spans="2:8">
      <c r="B113" s="429" t="str">
        <f>Utilisation!B124</f>
        <v>Electricité</v>
      </c>
      <c r="C113" s="467">
        <f>Utilisation!D124</f>
        <v>5331.4577495621716</v>
      </c>
      <c r="D113" s="540">
        <v>1</v>
      </c>
      <c r="E113" s="467">
        <f>C113*D113</f>
        <v>5331.4577495621716</v>
      </c>
      <c r="F113" s="5"/>
      <c r="G113" s="467">
        <f>Utilisation!H124</f>
        <v>550.67377355516669</v>
      </c>
      <c r="H113" s="467">
        <f>$D113*G113</f>
        <v>550.67377355516669</v>
      </c>
    </row>
    <row r="114" spans="2:8">
      <c r="B114" s="429" t="str">
        <f>Utilisation!B125</f>
        <v>Emissions non énergétiques</v>
      </c>
      <c r="C114" s="467">
        <f>Utilisation!D125</f>
        <v>0</v>
      </c>
      <c r="D114" s="540">
        <v>1</v>
      </c>
      <c r="E114" s="467">
        <f>C114*D114</f>
        <v>0</v>
      </c>
      <c r="F114" s="5"/>
      <c r="G114" s="467">
        <f>Utilisation!H125</f>
        <v>0</v>
      </c>
      <c r="H114" s="467">
        <f>$D114*G114</f>
        <v>0</v>
      </c>
    </row>
    <row r="115" spans="2:8">
      <c r="B115" s="254"/>
      <c r="C115" s="441"/>
      <c r="D115" s="543"/>
      <c r="E115" s="441"/>
      <c r="F115" s="5"/>
      <c r="G115" s="441"/>
      <c r="H115" s="441"/>
    </row>
    <row r="116" spans="2:8" ht="13.8">
      <c r="B116" s="500" t="str">
        <f>'Fin de vie'!B240</f>
        <v>Fin de vie</v>
      </c>
      <c r="C116" s="501">
        <f>SUM(C118:C126)</f>
        <v>958133</v>
      </c>
      <c r="D116" s="547"/>
      <c r="E116" s="501">
        <f>SUM(E118:E126)</f>
        <v>958133</v>
      </c>
      <c r="F116" s="5"/>
      <c r="G116" s="501">
        <f>SQRT(SUMSQ(G118:G126))</f>
        <v>177139.20000000001</v>
      </c>
      <c r="H116" s="501">
        <f>SUM(H118:H126)</f>
        <v>177139.20000000001</v>
      </c>
    </row>
    <row r="117" spans="2:8" s="91" customFormat="1" ht="12.75" customHeight="1">
      <c r="B117" s="465" t="str">
        <f>'Fin de vie'!B242</f>
        <v>Combustibles</v>
      </c>
      <c r="C117" s="466">
        <f>'Fin de vie'!D242</f>
        <v>0</v>
      </c>
      <c r="D117" s="540">
        <v>1</v>
      </c>
      <c r="E117" s="466">
        <f t="shared" ref="E117" si="24">C117*D117</f>
        <v>0</v>
      </c>
      <c r="F117" s="92"/>
      <c r="G117" s="466">
        <f>'Fin de vie'!H242</f>
        <v>0</v>
      </c>
      <c r="H117" s="466">
        <f t="shared" ref="H117" si="25">$D117*G117</f>
        <v>0</v>
      </c>
    </row>
    <row r="118" spans="2:8">
      <c r="B118" s="465" t="str">
        <f>'Fin de vie'!B243</f>
        <v>Déchets d'emballages ménages</v>
      </c>
      <c r="C118" s="466">
        <f>'Fin de vie'!D243</f>
        <v>958133</v>
      </c>
      <c r="D118" s="540">
        <v>1</v>
      </c>
      <c r="E118" s="466">
        <f t="shared" ref="E118:E122" si="26">C118*D118</f>
        <v>958133</v>
      </c>
      <c r="F118" s="5"/>
      <c r="G118" s="466">
        <f>'Fin de vie'!H243</f>
        <v>177139.20000000001</v>
      </c>
      <c r="H118" s="466">
        <f t="shared" ref="H118:H122" si="27">$D118*G118</f>
        <v>177139.20000000001</v>
      </c>
    </row>
    <row r="119" spans="2:8">
      <c r="B119" s="465" t="str">
        <f>'Fin de vie'!B244</f>
        <v>Déchets organiques et ordures ménagères</v>
      </c>
      <c r="C119" s="466">
        <f>'Fin de vie'!D244</f>
        <v>0</v>
      </c>
      <c r="D119" s="540">
        <v>1</v>
      </c>
      <c r="E119" s="466">
        <f t="shared" si="26"/>
        <v>0</v>
      </c>
      <c r="F119" s="5"/>
      <c r="G119" s="466">
        <f>'Fin de vie'!H244</f>
        <v>0</v>
      </c>
      <c r="H119" s="466">
        <f t="shared" si="27"/>
        <v>0</v>
      </c>
    </row>
    <row r="120" spans="2:8">
      <c r="B120" s="465" t="str">
        <f>'Fin de vie'!B245</f>
        <v>Piles, accumulateurs et DEEE</v>
      </c>
      <c r="C120" s="466">
        <f>'Fin de vie'!D245</f>
        <v>0</v>
      </c>
      <c r="D120" s="540">
        <v>1</v>
      </c>
      <c r="E120" s="466">
        <f t="shared" si="26"/>
        <v>0</v>
      </c>
      <c r="F120" s="5"/>
      <c r="G120" s="466">
        <f>'Fin de vie'!H245</f>
        <v>0</v>
      </c>
      <c r="H120" s="466">
        <f t="shared" si="27"/>
        <v>0</v>
      </c>
    </row>
    <row r="121" spans="2:8" hidden="1">
      <c r="B121" s="465">
        <f>'Fin de vie'!B246</f>
        <v>0</v>
      </c>
      <c r="C121" s="466">
        <f>'Fin de vie'!D246</f>
        <v>0</v>
      </c>
      <c r="D121" s="540">
        <v>1</v>
      </c>
      <c r="E121" s="466">
        <f t="shared" si="26"/>
        <v>0</v>
      </c>
      <c r="F121" s="5"/>
      <c r="G121" s="466">
        <f>'Fin de vie'!H246</f>
        <v>0</v>
      </c>
      <c r="H121" s="466">
        <f t="shared" si="27"/>
        <v>0</v>
      </c>
    </row>
    <row r="122" spans="2:8">
      <c r="B122" s="465" t="str">
        <f>'Fin de vie'!B247</f>
        <v>Ameublements et textiles</v>
      </c>
      <c r="C122" s="466">
        <f>'Fin de vie'!D247</f>
        <v>0</v>
      </c>
      <c r="D122" s="540">
        <v>1</v>
      </c>
      <c r="E122" s="466">
        <f t="shared" si="26"/>
        <v>0</v>
      </c>
      <c r="F122" s="5"/>
      <c r="G122" s="466">
        <f>'Fin de vie'!H247</f>
        <v>0</v>
      </c>
      <c r="H122" s="466">
        <f t="shared" si="27"/>
        <v>0</v>
      </c>
    </row>
    <row r="123" spans="2:8">
      <c r="B123" s="465" t="str">
        <f>'Fin de vie'!B248</f>
        <v>Fuites et non énergétique</v>
      </c>
      <c r="C123" s="466">
        <f>'Fin de vie'!D248</f>
        <v>0</v>
      </c>
      <c r="D123" s="540">
        <v>1</v>
      </c>
      <c r="E123" s="466">
        <f t="shared" ref="E123:E126" si="28">C123*D123</f>
        <v>0</v>
      </c>
      <c r="F123" s="92"/>
      <c r="G123" s="466">
        <f>'Fin de vie'!H248</f>
        <v>0</v>
      </c>
      <c r="H123" s="466">
        <f t="shared" ref="H123:H126" si="29">$D123*G123</f>
        <v>0</v>
      </c>
    </row>
    <row r="124" spans="2:8">
      <c r="B124" s="465" t="str">
        <f>'Fin de vie'!B249</f>
        <v>Déchets dangereux</v>
      </c>
      <c r="C124" s="466">
        <f>'Fin de vie'!D249</f>
        <v>0</v>
      </c>
      <c r="D124" s="540">
        <v>1</v>
      </c>
      <c r="E124" s="466">
        <f t="shared" si="28"/>
        <v>0</v>
      </c>
      <c r="F124" s="92"/>
      <c r="G124" s="466">
        <f>'Fin de vie'!H249</f>
        <v>0</v>
      </c>
      <c r="H124" s="466">
        <f t="shared" si="29"/>
        <v>0</v>
      </c>
    </row>
    <row r="125" spans="2:8" s="91" customFormat="1">
      <c r="B125" s="465" t="str">
        <f>'Fin de vie'!B250</f>
        <v>Déchets banals des acteurs économiques</v>
      </c>
      <c r="C125" s="466">
        <f>'Fin de vie'!D250</f>
        <v>0</v>
      </c>
      <c r="D125" s="540">
        <v>1</v>
      </c>
      <c r="E125" s="466">
        <f t="shared" si="28"/>
        <v>0</v>
      </c>
      <c r="F125" s="92"/>
      <c r="G125" s="466">
        <f>'Fin de vie'!H250</f>
        <v>0</v>
      </c>
      <c r="H125" s="466">
        <f t="shared" si="29"/>
        <v>0</v>
      </c>
    </row>
    <row r="126" spans="2:8">
      <c r="B126" s="465" t="str">
        <f>'Fin de vie'!B251</f>
        <v>Déchets bâtiments</v>
      </c>
      <c r="C126" s="466">
        <f>'Fin de vie'!D251</f>
        <v>0</v>
      </c>
      <c r="D126" s="540">
        <v>1</v>
      </c>
      <c r="E126" s="466">
        <f t="shared" si="28"/>
        <v>0</v>
      </c>
      <c r="F126" s="92"/>
      <c r="G126" s="466">
        <f>'Fin de vie'!H251</f>
        <v>0</v>
      </c>
      <c r="H126" s="466">
        <f t="shared" si="29"/>
        <v>0</v>
      </c>
    </row>
    <row r="127" spans="2:8">
      <c r="B127" s="11"/>
      <c r="C127" s="5"/>
      <c r="D127" s="545"/>
      <c r="E127" s="5"/>
      <c r="F127" s="5"/>
      <c r="G127" s="5"/>
      <c r="H127" s="5"/>
    </row>
    <row r="128" spans="2:8">
      <c r="B128" s="11"/>
      <c r="C128" s="5"/>
      <c r="D128" s="545"/>
      <c r="E128" s="5"/>
      <c r="F128" s="5"/>
      <c r="G128" s="5"/>
      <c r="H128" s="5"/>
    </row>
    <row r="129" spans="1:10" s="560" customFormat="1" ht="35.1" customHeight="1">
      <c r="B129" s="558" t="s">
        <v>643</v>
      </c>
      <c r="C129" s="559" t="s">
        <v>506</v>
      </c>
      <c r="D129" s="556"/>
      <c r="E129" s="559" t="s">
        <v>644</v>
      </c>
      <c r="F129" s="561"/>
      <c r="G129" s="559" t="s">
        <v>646</v>
      </c>
      <c r="H129" s="559" t="s">
        <v>644</v>
      </c>
      <c r="I129" s="21"/>
      <c r="J129" s="562"/>
    </row>
    <row r="130" spans="1:10" ht="14.1" customHeight="1">
      <c r="B130" s="507" t="str">
        <f>B6</f>
        <v>Energie 1</v>
      </c>
      <c r="C130" s="491">
        <f>C6/1000</f>
        <v>398.53822810000003</v>
      </c>
      <c r="D130" s="545"/>
      <c r="E130" s="491">
        <f>E6/1000</f>
        <v>398.53822810000003</v>
      </c>
      <c r="F130" s="5"/>
      <c r="G130" s="491">
        <f>G6/1000</f>
        <v>15.288625615065174</v>
      </c>
      <c r="H130" s="491">
        <f>H6/1000</f>
        <v>17.596510837412552</v>
      </c>
    </row>
    <row r="131" spans="1:10" ht="14.1" customHeight="1">
      <c r="B131" s="508" t="str">
        <f>B13</f>
        <v>Energie 2</v>
      </c>
      <c r="C131" s="463">
        <f>C13/1000</f>
        <v>0</v>
      </c>
      <c r="D131" s="545"/>
      <c r="E131" s="463">
        <f>E13/1000</f>
        <v>0</v>
      </c>
      <c r="F131" s="5"/>
      <c r="G131" s="463">
        <f>G13/1000</f>
        <v>0</v>
      </c>
      <c r="H131" s="463">
        <f>H13/1000</f>
        <v>0</v>
      </c>
    </row>
    <row r="132" spans="1:10" ht="14.1" customHeight="1">
      <c r="B132" s="507" t="str">
        <f>B20</f>
        <v>Hors énergie 1</v>
      </c>
      <c r="C132" s="491">
        <f>C20/1000</f>
        <v>0.48599999999999999</v>
      </c>
      <c r="D132" s="545"/>
      <c r="E132" s="491">
        <f>E20/1000</f>
        <v>0.48599999999999999</v>
      </c>
      <c r="F132" s="5"/>
      <c r="G132" s="491">
        <f>G20/1000</f>
        <v>0.28338426208948159</v>
      </c>
      <c r="H132" s="491">
        <f>H20/1000</f>
        <v>0.28338426208948159</v>
      </c>
    </row>
    <row r="133" spans="1:10" ht="14.1" customHeight="1">
      <c r="B133" s="508" t="str">
        <f>B28</f>
        <v>Hors énergie 2</v>
      </c>
      <c r="C133" s="463">
        <f>C28/1000</f>
        <v>0</v>
      </c>
      <c r="D133" s="545"/>
      <c r="E133" s="463">
        <f>E28/1000</f>
        <v>0</v>
      </c>
      <c r="F133" s="5"/>
      <c r="G133" s="463">
        <f>G28/1000</f>
        <v>0</v>
      </c>
      <c r="H133" s="463">
        <f>H28/1000</f>
        <v>0</v>
      </c>
    </row>
    <row r="134" spans="1:10" ht="14.1" customHeight="1">
      <c r="B134" s="507" t="str">
        <f>B36</f>
        <v>Intrants 1</v>
      </c>
      <c r="C134" s="491">
        <f>C36/1000</f>
        <v>2658.1819999999998</v>
      </c>
      <c r="D134" s="545"/>
      <c r="E134" s="491">
        <f>E36/1000</f>
        <v>2658.1819999999998</v>
      </c>
      <c r="F134" s="5"/>
      <c r="G134" s="491">
        <f>G36/1000</f>
        <v>384.84650731551415</v>
      </c>
      <c r="H134" s="491">
        <f>H36/1000</f>
        <v>550.73517003239886</v>
      </c>
    </row>
    <row r="135" spans="1:10" s="91" customFormat="1" ht="14.1" customHeight="1">
      <c r="B135" s="508" t="str">
        <f>B48</f>
        <v>Intrants 2</v>
      </c>
      <c r="C135" s="463">
        <f>C48/1000</f>
        <v>0</v>
      </c>
      <c r="D135" s="545"/>
      <c r="E135" s="463">
        <f>E48/1000</f>
        <v>0</v>
      </c>
      <c r="F135" s="92"/>
      <c r="G135" s="463">
        <f>G48/1000</f>
        <v>0</v>
      </c>
      <c r="H135" s="463">
        <f>H48/1000</f>
        <v>0</v>
      </c>
    </row>
    <row r="136" spans="1:10" ht="14.1" customHeight="1">
      <c r="B136" s="507" t="str">
        <f>B60</f>
        <v>Futurs emballages</v>
      </c>
      <c r="C136" s="491">
        <f>C60/1000</f>
        <v>309.18</v>
      </c>
      <c r="D136" s="545"/>
      <c r="E136" s="491">
        <f>E60/1000</f>
        <v>309.18</v>
      </c>
      <c r="F136" s="92"/>
      <c r="G136" s="491">
        <f>G60/1000</f>
        <v>32.514390660136932</v>
      </c>
      <c r="H136" s="491">
        <f>H60/1000</f>
        <v>45.941294868907995</v>
      </c>
      <c r="I136" s="91"/>
    </row>
    <row r="137" spans="1:10" ht="14.1" customHeight="1">
      <c r="B137" s="508" t="str">
        <f>B70</f>
        <v>Fret</v>
      </c>
      <c r="C137" s="463">
        <f>C70/1000</f>
        <v>295.73983500000003</v>
      </c>
      <c r="D137" s="545"/>
      <c r="E137" s="463">
        <f>E70/1000</f>
        <v>295.73983500000003</v>
      </c>
      <c r="F137" s="92"/>
      <c r="G137" s="463">
        <f>G70/1000</f>
        <v>80.538449101336724</v>
      </c>
      <c r="H137" s="463">
        <f>H70/1000</f>
        <v>125.55729154684981</v>
      </c>
      <c r="I137" s="91"/>
    </row>
    <row r="138" spans="1:10" ht="14.1" customHeight="1">
      <c r="B138" s="507" t="str">
        <f>B84</f>
        <v>Déplacements</v>
      </c>
      <c r="C138" s="491">
        <f>C84/1000</f>
        <v>123.69497360000001</v>
      </c>
      <c r="D138" s="545"/>
      <c r="E138" s="491">
        <f>E84/1000</f>
        <v>123.69497360000001</v>
      </c>
      <c r="F138" s="92"/>
      <c r="G138" s="491">
        <f>G84/1000</f>
        <v>19.958100753395197</v>
      </c>
      <c r="H138" s="491">
        <f>H84/1000</f>
        <v>22.646187631270404</v>
      </c>
      <c r="I138" s="91"/>
    </row>
    <row r="139" spans="1:10" ht="14.1" customHeight="1">
      <c r="B139" s="508" t="str">
        <f>B93</f>
        <v>Déchets directs</v>
      </c>
      <c r="C139" s="463">
        <f>C93/1000</f>
        <v>39.17</v>
      </c>
      <c r="D139" s="545"/>
      <c r="E139" s="463">
        <f>E93/1000</f>
        <v>39.17</v>
      </c>
      <c r="F139" s="92"/>
      <c r="G139" s="463">
        <f>G93/1000</f>
        <v>5.911822318033586</v>
      </c>
      <c r="H139" s="463">
        <f>H93/1000</f>
        <v>5.911822318033586</v>
      </c>
      <c r="I139" s="91"/>
    </row>
    <row r="140" spans="1:10" ht="14.1" customHeight="1">
      <c r="B140" s="507" t="str">
        <f>B104</f>
        <v>Immobilisations</v>
      </c>
      <c r="C140" s="491">
        <f>C104/1000</f>
        <v>43.928386666666668</v>
      </c>
      <c r="D140" s="545"/>
      <c r="E140" s="491">
        <f>E104/1000</f>
        <v>43.928386666666668</v>
      </c>
      <c r="F140" s="92"/>
      <c r="G140" s="491">
        <f>G104/1000</f>
        <v>12.133395140725817</v>
      </c>
      <c r="H140" s="491">
        <f>H104/1000</f>
        <v>17.520697014403442</v>
      </c>
      <c r="I140" s="91"/>
    </row>
    <row r="141" spans="1:10" ht="14.1" customHeight="1">
      <c r="B141" s="508" t="str">
        <f>B110</f>
        <v>Utilisation</v>
      </c>
      <c r="C141" s="463">
        <f>C110/1000</f>
        <v>5.3314577495621718</v>
      </c>
      <c r="D141" s="545"/>
      <c r="E141" s="463">
        <f>E110/1000</f>
        <v>5.3314577495621718</v>
      </c>
      <c r="F141" s="92"/>
      <c r="G141" s="463">
        <f>G110/1000</f>
        <v>0.55067377355516667</v>
      </c>
      <c r="H141" s="463">
        <f>H110/1000</f>
        <v>0.55067377355516667</v>
      </c>
      <c r="I141" s="91"/>
    </row>
    <row r="142" spans="1:10" ht="14.1" customHeight="1">
      <c r="B142" s="507" t="str">
        <f>B116</f>
        <v>Fin de vie</v>
      </c>
      <c r="C142" s="491">
        <f>C116/1000</f>
        <v>958.13300000000004</v>
      </c>
      <c r="D142" s="545"/>
      <c r="E142" s="491">
        <f>E116/1000</f>
        <v>958.13300000000004</v>
      </c>
      <c r="F142" s="92"/>
      <c r="G142" s="491">
        <f>G116/1000</f>
        <v>177.13920000000002</v>
      </c>
      <c r="H142" s="491">
        <f>H116/1000</f>
        <v>177.13920000000002</v>
      </c>
      <c r="I142" s="91"/>
    </row>
    <row r="143" spans="1:10" s="13" customFormat="1" ht="15">
      <c r="A143" s="98"/>
      <c r="B143" s="509" t="s">
        <v>348</v>
      </c>
      <c r="C143" s="481">
        <f>SUM(C130:C142)</f>
        <v>4832.3838811162286</v>
      </c>
      <c r="D143" s="545"/>
      <c r="E143" s="481">
        <f>SUM(E130:E142)</f>
        <v>4832.3838811162286</v>
      </c>
      <c r="F143" s="5"/>
      <c r="G143" s="834">
        <f>SQRT(SUMSQ(G130:G142))</f>
        <v>433.40901938137472</v>
      </c>
      <c r="H143" s="481">
        <f>SUM(H130:H142)</f>
        <v>963.88223228492143</v>
      </c>
      <c r="I143" s="4"/>
    </row>
    <row r="144" spans="1:10">
      <c r="C144" s="5"/>
      <c r="D144" s="545"/>
      <c r="E144" s="5"/>
      <c r="F144" s="5"/>
      <c r="G144" s="9"/>
      <c r="H144" s="5"/>
    </row>
    <row r="145" spans="2:16">
      <c r="B145" s="6"/>
      <c r="C145" s="6"/>
    </row>
    <row r="146" spans="2:16"/>
    <row r="156" spans="2:16" hidden="1">
      <c r="M156" s="5"/>
      <c r="P156" s="5"/>
    </row>
  </sheetData>
  <mergeCells count="1">
    <mergeCell ref="B2:I2"/>
  </mergeCells>
  <phoneticPr fontId="11" type="noConversion"/>
  <hyperlinks>
    <hyperlink ref="B13" location="energie2_recap" display="energie2_recap" xr:uid="{00000000-0004-0000-1D00-000000000000}"/>
    <hyperlink ref="B20" location="procedes1_recap" display="procedes1_recap" xr:uid="{00000000-0004-0000-1D00-000001000000}"/>
    <hyperlink ref="B70" location="fret_recap" display="fret_recap" xr:uid="{00000000-0004-0000-1D00-000002000000}"/>
    <hyperlink ref="B84" location="deplacements_recap" display="deplacements_recap" xr:uid="{00000000-0004-0000-1D00-000003000000}"/>
    <hyperlink ref="B36" location="intrants_total" display="intrants_total" xr:uid="{00000000-0004-0000-1D00-000004000000}"/>
    <hyperlink ref="B60" location="emballages_recap" display="emballages_recap" xr:uid="{00000000-0004-0000-1D00-000005000000}"/>
    <hyperlink ref="B93" location="dechets_recap" display="dechets_recap" xr:uid="{00000000-0004-0000-1D00-000006000000}"/>
    <hyperlink ref="B104" location="immos_recap" display="immos_recap" xr:uid="{00000000-0004-0000-1D00-000007000000}"/>
    <hyperlink ref="B110" location="utilisation_recap" display="utilisation_recap" xr:uid="{00000000-0004-0000-1D00-000008000000}"/>
    <hyperlink ref="B116" location="fin_de_vie_recap" display="fin_de_vie_recap" xr:uid="{00000000-0004-0000-1D00-000009000000}"/>
    <hyperlink ref="B48" location="'Intrants 2'!A1" display="'Intrants 2'!A1" xr:uid="{00000000-0004-0000-1D00-00000A000000}"/>
    <hyperlink ref="B6" location="energie2_recap" display="energie2_recap" xr:uid="{00000000-0004-0000-1D00-00000B000000}"/>
    <hyperlink ref="B28" location="'Hors énergie 2'!A1" display="'Hors énergie 2'!A1" xr:uid="{00000000-0004-0000-1D00-00000C000000}"/>
  </hyperlinks>
  <pageMargins left="0.78740157499999996" right="0.78740157499999996" top="0.984251969" bottom="0.984251969" header="0.5" footer="0.5"/>
  <pageSetup paperSize="9" orientation="portrait" horizontalDpi="4294967292" verticalDpi="4294967292"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4"/>
  <dimension ref="A1:U235"/>
  <sheetViews>
    <sheetView showGridLines="0" zoomScale="90" zoomScaleNormal="90" workbookViewId="0">
      <pane xSplit="2" ySplit="5" topLeftCell="C6" activePane="bottomRight" state="frozenSplit"/>
      <selection activeCell="H4" sqref="H4"/>
      <selection pane="topRight" activeCell="H4" sqref="H4"/>
      <selection pane="bottomLeft" activeCell="H4" sqref="H4"/>
      <selection pane="bottomRight"/>
    </sheetView>
  </sheetViews>
  <sheetFormatPr baseColWidth="10" defaultColWidth="0" defaultRowHeight="13.2" zeroHeight="1"/>
  <cols>
    <col min="1" max="1" width="2.75" style="91" customWidth="1"/>
    <col min="2" max="2" width="73.375" style="4" bestFit="1" customWidth="1"/>
    <col min="3" max="3" width="17.75" style="4" customWidth="1"/>
    <col min="4" max="4" width="9.125" style="4" customWidth="1"/>
    <col min="5" max="5" width="17.75" style="4" customWidth="1"/>
    <col min="6" max="6" width="5.75" style="4" customWidth="1"/>
    <col min="7" max="8" width="17.75" style="4" customWidth="1"/>
    <col min="9" max="9" width="5.75" style="4" customWidth="1"/>
    <col min="10" max="11" width="17.75" style="4" hidden="1" customWidth="1"/>
    <col min="12" max="12" width="17.75" style="91" hidden="1" customWidth="1"/>
    <col min="13" max="13" width="5.75" style="91" hidden="1" customWidth="1"/>
    <col min="14" max="14" width="18.25" style="91" hidden="1" customWidth="1"/>
    <col min="15" max="16" width="17.75" style="91" hidden="1" customWidth="1"/>
    <col min="17" max="17" width="2.75" style="91" hidden="1" customWidth="1"/>
    <col min="18" max="19" width="0" style="91" hidden="1" customWidth="1"/>
    <col min="20" max="21" width="0" style="4" hidden="1" customWidth="1"/>
    <col min="22" max="16384" width="10.875" style="4" hidden="1"/>
  </cols>
  <sheetData>
    <row r="1" spans="2:19" s="114" customFormat="1"/>
    <row r="2" spans="2:19" s="114" customFormat="1" ht="30" customHeight="1">
      <c r="B2" s="2602" t="s">
        <v>648</v>
      </c>
      <c r="C2" s="2603"/>
      <c r="D2" s="2603"/>
      <c r="E2" s="2603"/>
      <c r="F2" s="2603"/>
      <c r="G2" s="2603"/>
      <c r="H2" s="2603"/>
      <c r="I2" s="2603"/>
      <c r="J2" s="2604"/>
    </row>
    <row r="3" spans="2:19" s="114" customFormat="1" ht="13.8">
      <c r="L3" s="557"/>
      <c r="M3" s="557"/>
      <c r="N3" s="557"/>
      <c r="O3" s="557"/>
      <c r="P3" s="557"/>
      <c r="Q3" s="557"/>
      <c r="R3" s="557"/>
      <c r="S3" s="557"/>
    </row>
    <row r="4" spans="2:19" s="114" customFormat="1"/>
    <row r="5" spans="2:19" s="560" customFormat="1" ht="35.1" customHeight="1">
      <c r="B5" s="558" t="s">
        <v>428</v>
      </c>
      <c r="C5" s="559" t="s">
        <v>503</v>
      </c>
      <c r="D5" s="556" t="s">
        <v>622</v>
      </c>
      <c r="E5" s="559" t="s">
        <v>511</v>
      </c>
      <c r="F5" s="561"/>
      <c r="G5" s="559" t="s">
        <v>504</v>
      </c>
      <c r="H5" s="559" t="s">
        <v>511</v>
      </c>
      <c r="I5" s="21"/>
      <c r="J5" s="559" t="s">
        <v>510</v>
      </c>
      <c r="K5" s="559" t="s">
        <v>511</v>
      </c>
      <c r="L5" s="470" t="s">
        <v>509</v>
      </c>
      <c r="N5" s="559" t="s">
        <v>505</v>
      </c>
      <c r="O5" s="559" t="s">
        <v>511</v>
      </c>
      <c r="P5" s="470" t="s">
        <v>509</v>
      </c>
      <c r="Q5" s="562"/>
    </row>
    <row r="6" spans="2:19" s="16" customFormat="1" ht="12.75" customHeight="1">
      <c r="B6" s="548" t="str">
        <f>'Energie 1'!B197</f>
        <v>Energie 1</v>
      </c>
      <c r="C6" s="495">
        <f>SUM(C7:C14)</f>
        <v>398538.22810000001</v>
      </c>
      <c r="D6" s="24"/>
      <c r="E6" s="495">
        <f>SUM(E7:E14)</f>
        <v>398538.22810000001</v>
      </c>
      <c r="F6" s="34"/>
      <c r="G6" s="495">
        <f>SQRT(SUMSQ(G7:G14))</f>
        <v>15288.62561506517</v>
      </c>
      <c r="H6" s="495">
        <f>SUM(H7:H14)</f>
        <v>21405.997773294344</v>
      </c>
      <c r="I6" s="34"/>
      <c r="J6" s="495" t="e">
        <f>SUM(J7:J14)</f>
        <v>#REF!</v>
      </c>
      <c r="K6" s="495" t="e">
        <f>SUM(K7:K14)</f>
        <v>#REF!</v>
      </c>
      <c r="L6" s="510" t="e">
        <f>SUM(L7:L14)</f>
        <v>#REF!</v>
      </c>
      <c r="N6" s="495" t="e">
        <f>SUM(N7:N14)</f>
        <v>#REF!</v>
      </c>
      <c r="O6" s="495" t="e">
        <f>SUM(O7:O14)</f>
        <v>#REF!</v>
      </c>
      <c r="P6" s="510" t="e">
        <f>SUM(P7:P14)</f>
        <v>#REF!</v>
      </c>
    </row>
    <row r="7" spans="2:19" s="16" customFormat="1" ht="12.75" customHeight="1">
      <c r="B7" s="429" t="str">
        <f>'Energie 1'!B211</f>
        <v>Combustion sur place</v>
      </c>
      <c r="C7" s="467">
        <f>'Energie 1'!D211</f>
        <v>305142.59600000002</v>
      </c>
      <c r="D7" s="555">
        <f>'export postes'!D7</f>
        <v>1</v>
      </c>
      <c r="E7" s="467">
        <f>C7*D7</f>
        <v>305142.59600000002</v>
      </c>
      <c r="F7" s="34"/>
      <c r="G7" s="467">
        <f>'Energie 1'!H211</f>
        <v>14749.06855465958</v>
      </c>
      <c r="H7" s="467">
        <f t="shared" ref="H7:H14" si="0">G7*D7</f>
        <v>14749.06855465958</v>
      </c>
      <c r="I7" s="23"/>
      <c r="J7" s="467" t="e">
        <f>#REF!</f>
        <v>#REF!</v>
      </c>
      <c r="K7" s="467" t="e">
        <f t="shared" ref="K7:K14" si="1">J7*D7</f>
        <v>#REF!</v>
      </c>
      <c r="L7" s="471" t="e">
        <f t="shared" ref="L7:L14" si="2">K7*12/44</f>
        <v>#REF!</v>
      </c>
      <c r="N7" s="467" t="e">
        <f>#REF!</f>
        <v>#REF!</v>
      </c>
      <c r="O7" s="467" t="e">
        <f t="shared" ref="O7:O14" si="3">N7*D7</f>
        <v>#REF!</v>
      </c>
      <c r="P7" s="471" t="e">
        <f t="shared" ref="P7:P14" si="4">O7*12/44</f>
        <v>#REF!</v>
      </c>
    </row>
    <row r="8" spans="2:19" s="16" customFormat="1" ht="12.75" customHeight="1">
      <c r="B8" s="429" t="str">
        <f>'Energie 1'!B212</f>
        <v>Emissions amont des combustibles utilisés</v>
      </c>
      <c r="C8" s="467">
        <f>'Energie 1'!D212</f>
        <v>65005.727599999991</v>
      </c>
      <c r="D8" s="555">
        <f>'export postes'!D7</f>
        <v>1</v>
      </c>
      <c r="E8" s="467">
        <f t="shared" ref="E8:E14" si="5">C8*D8</f>
        <v>65005.727599999991</v>
      </c>
      <c r="F8" s="23"/>
      <c r="G8" s="467">
        <f>'Energie 1'!H212</f>
        <v>3142.4183838619429</v>
      </c>
      <c r="H8" s="467">
        <f t="shared" si="0"/>
        <v>3142.4183838619429</v>
      </c>
      <c r="I8" s="23"/>
      <c r="J8" s="467" t="e">
        <f>#REF!</f>
        <v>#REF!</v>
      </c>
      <c r="K8" s="467" t="e">
        <f t="shared" si="1"/>
        <v>#REF!</v>
      </c>
      <c r="L8" s="471" t="e">
        <f t="shared" si="2"/>
        <v>#REF!</v>
      </c>
      <c r="N8" s="467" t="e">
        <f>#REF!</f>
        <v>#REF!</v>
      </c>
      <c r="O8" s="467" t="e">
        <f t="shared" si="3"/>
        <v>#REF!</v>
      </c>
      <c r="P8" s="471" t="e">
        <f t="shared" si="4"/>
        <v>#REF!</v>
      </c>
    </row>
    <row r="9" spans="2:19" s="16" customFormat="1" ht="12.75" customHeight="1">
      <c r="B9" s="429" t="str">
        <f>'Energie 1'!B213</f>
        <v>Chauffage estimé</v>
      </c>
      <c r="C9" s="467">
        <f>'Energie 1'!D213</f>
        <v>0</v>
      </c>
      <c r="D9" s="555">
        <f>'export postes'!D8</f>
        <v>1</v>
      </c>
      <c r="E9" s="467">
        <f t="shared" si="5"/>
        <v>0</v>
      </c>
      <c r="F9" s="23"/>
      <c r="G9" s="467">
        <f>'Energie 1'!H213</f>
        <v>0</v>
      </c>
      <c r="H9" s="467">
        <f t="shared" si="0"/>
        <v>0</v>
      </c>
      <c r="I9" s="23"/>
      <c r="J9" s="467" t="e">
        <f>#REF!</f>
        <v>#REF!</v>
      </c>
      <c r="K9" s="467" t="e">
        <f t="shared" si="1"/>
        <v>#REF!</v>
      </c>
      <c r="L9" s="471" t="e">
        <f t="shared" si="2"/>
        <v>#REF!</v>
      </c>
      <c r="N9" s="467" t="e">
        <f>#REF!</f>
        <v>#REF!</v>
      </c>
      <c r="O9" s="467" t="e">
        <f t="shared" si="3"/>
        <v>#REF!</v>
      </c>
      <c r="P9" s="471" t="e">
        <f t="shared" si="4"/>
        <v>#REF!</v>
      </c>
    </row>
    <row r="10" spans="2:19" s="16" customFormat="1" ht="12.75" customHeight="1">
      <c r="B10" s="429" t="str">
        <f>'Energie 1'!B214</f>
        <v>Chauffage estimé, émissions amont</v>
      </c>
      <c r="C10" s="467">
        <f>'Energie 1'!D214</f>
        <v>0</v>
      </c>
      <c r="D10" s="555">
        <f>'export postes'!D8</f>
        <v>1</v>
      </c>
      <c r="E10" s="467">
        <f t="shared" si="5"/>
        <v>0</v>
      </c>
      <c r="F10" s="23"/>
      <c r="G10" s="467">
        <f>'Energie 1'!H214</f>
        <v>0</v>
      </c>
      <c r="H10" s="467">
        <f t="shared" si="0"/>
        <v>0</v>
      </c>
      <c r="I10" s="23"/>
      <c r="J10" s="467" t="e">
        <f>#REF!</f>
        <v>#REF!</v>
      </c>
      <c r="K10" s="467" t="e">
        <f t="shared" si="1"/>
        <v>#REF!</v>
      </c>
      <c r="L10" s="471" t="e">
        <f t="shared" si="2"/>
        <v>#REF!</v>
      </c>
      <c r="N10" s="467" t="e">
        <f>#REF!</f>
        <v>#REF!</v>
      </c>
      <c r="O10" s="467" t="e">
        <f t="shared" si="3"/>
        <v>#REF!</v>
      </c>
      <c r="P10" s="471" t="e">
        <f t="shared" si="4"/>
        <v>#REF!</v>
      </c>
    </row>
    <row r="11" spans="2:19" s="16" customFormat="1" ht="12.75" customHeight="1">
      <c r="B11" s="429" t="str">
        <f>'Energie 1'!B215</f>
        <v>Achats de vapeur (produite à l'extérieur)</v>
      </c>
      <c r="C11" s="467">
        <f>'Energie 1'!D215</f>
        <v>0</v>
      </c>
      <c r="D11" s="555">
        <f>'export postes'!D9</f>
        <v>1</v>
      </c>
      <c r="E11" s="467">
        <f t="shared" si="5"/>
        <v>0</v>
      </c>
      <c r="F11" s="23"/>
      <c r="G11" s="467">
        <f>'Energie 1'!H215</f>
        <v>0</v>
      </c>
      <c r="H11" s="467">
        <f t="shared" si="0"/>
        <v>0</v>
      </c>
      <c r="I11" s="23"/>
      <c r="J11" s="467" t="e">
        <f>#REF!</f>
        <v>#REF!</v>
      </c>
      <c r="K11" s="467" t="e">
        <f t="shared" si="1"/>
        <v>#REF!</v>
      </c>
      <c r="L11" s="471" t="e">
        <f t="shared" si="2"/>
        <v>#REF!</v>
      </c>
      <c r="N11" s="467" t="e">
        <f>#REF!</f>
        <v>#REF!</v>
      </c>
      <c r="O11" s="467" t="e">
        <f t="shared" si="3"/>
        <v>#REF!</v>
      </c>
      <c r="P11" s="471" t="e">
        <f t="shared" si="4"/>
        <v>#REF!</v>
      </c>
    </row>
    <row r="12" spans="2:19" s="16" customFormat="1" ht="12.75" customHeight="1">
      <c r="B12" s="429" t="str">
        <f>'Energie 1'!B216</f>
        <v>Achats de froid</v>
      </c>
      <c r="C12" s="467">
        <f>'Energie 1'!D216</f>
        <v>0</v>
      </c>
      <c r="D12" s="555">
        <f>'export postes'!D10</f>
        <v>1</v>
      </c>
      <c r="E12" s="467">
        <f t="shared" si="5"/>
        <v>0</v>
      </c>
      <c r="F12" s="34"/>
      <c r="G12" s="467">
        <f>'Energie 1'!H216</f>
        <v>0</v>
      </c>
      <c r="H12" s="467">
        <f t="shared" si="0"/>
        <v>0</v>
      </c>
      <c r="I12" s="23"/>
      <c r="J12" s="467" t="e">
        <f>#REF!</f>
        <v>#REF!</v>
      </c>
      <c r="K12" s="467" t="e">
        <f t="shared" si="1"/>
        <v>#REF!</v>
      </c>
      <c r="L12" s="471" t="e">
        <f t="shared" si="2"/>
        <v>#REF!</v>
      </c>
      <c r="N12" s="467" t="e">
        <f>#REF!</f>
        <v>#REF!</v>
      </c>
      <c r="O12" s="467" t="e">
        <f t="shared" si="3"/>
        <v>#REF!</v>
      </c>
      <c r="P12" s="471" t="e">
        <f t="shared" si="4"/>
        <v>#REF!</v>
      </c>
    </row>
    <row r="13" spans="2:19" s="16" customFormat="1" ht="12.75" customHeight="1">
      <c r="B13" s="429" t="str">
        <f>'Energie 1'!B217</f>
        <v>Achats d'électricité</v>
      </c>
      <c r="C13" s="467">
        <f>'Energie 1'!D217</f>
        <v>25830.547500000001</v>
      </c>
      <c r="D13" s="555">
        <f>'export postes'!D11</f>
        <v>1</v>
      </c>
      <c r="E13" s="467">
        <f t="shared" si="5"/>
        <v>25830.547500000001</v>
      </c>
      <c r="F13" s="23"/>
      <c r="G13" s="467">
        <f>'Energie 1'!H217</f>
        <v>2036.8653818704693</v>
      </c>
      <c r="H13" s="467">
        <f t="shared" si="0"/>
        <v>2036.8653818704693</v>
      </c>
      <c r="I13" s="23"/>
      <c r="J13" s="467" t="e">
        <f>#REF!</f>
        <v>#REF!</v>
      </c>
      <c r="K13" s="467" t="e">
        <f t="shared" si="1"/>
        <v>#REF!</v>
      </c>
      <c r="L13" s="471" t="e">
        <f t="shared" si="2"/>
        <v>#REF!</v>
      </c>
      <c r="N13" s="467" t="e">
        <f>#REF!</f>
        <v>#REF!</v>
      </c>
      <c r="O13" s="467" t="e">
        <f t="shared" si="3"/>
        <v>#REF!</v>
      </c>
      <c r="P13" s="471" t="e">
        <f t="shared" si="4"/>
        <v>#REF!</v>
      </c>
    </row>
    <row r="14" spans="2:19" s="16" customFormat="1" ht="12.75" customHeight="1">
      <c r="B14" s="429" t="str">
        <f>'Energie 1'!B218</f>
        <v>Pertes en ligne de l'électricité</v>
      </c>
      <c r="C14" s="467">
        <f>'Energie 1'!D218</f>
        <v>2559.3570000000004</v>
      </c>
      <c r="D14" s="555">
        <f>'export postes'!D11</f>
        <v>1</v>
      </c>
      <c r="E14" s="467">
        <f t="shared" si="5"/>
        <v>2559.3570000000004</v>
      </c>
      <c r="F14" s="23"/>
      <c r="G14" s="467">
        <f>'Energie 1'!H218</f>
        <v>1477.6454529023531</v>
      </c>
      <c r="H14" s="467">
        <f t="shared" si="0"/>
        <v>1477.6454529023531</v>
      </c>
      <c r="I14" s="23"/>
      <c r="J14" s="467" t="e">
        <f>#REF!</f>
        <v>#REF!</v>
      </c>
      <c r="K14" s="467" t="e">
        <f t="shared" si="1"/>
        <v>#REF!</v>
      </c>
      <c r="L14" s="471" t="e">
        <f t="shared" si="2"/>
        <v>#REF!</v>
      </c>
      <c r="N14" s="467" t="e">
        <f>#REF!</f>
        <v>#REF!</v>
      </c>
      <c r="O14" s="467" t="e">
        <f t="shared" si="3"/>
        <v>#REF!</v>
      </c>
      <c r="P14" s="471" t="e">
        <f t="shared" si="4"/>
        <v>#REF!</v>
      </c>
    </row>
    <row r="15" spans="2:19" s="19" customFormat="1" ht="12.75" customHeight="1">
      <c r="B15" s="516"/>
      <c r="C15" s="442"/>
      <c r="D15" s="29"/>
      <c r="E15" s="442"/>
      <c r="F15" s="17"/>
      <c r="G15" s="442"/>
      <c r="H15" s="442"/>
      <c r="I15" s="17"/>
      <c r="J15" s="442"/>
      <c r="K15" s="442"/>
      <c r="L15" s="442"/>
      <c r="N15" s="442"/>
      <c r="O15" s="442"/>
      <c r="P15" s="442"/>
    </row>
    <row r="16" spans="2:19" s="16" customFormat="1" ht="12.75" customHeight="1">
      <c r="B16" s="549" t="str">
        <f>'Energie 2'!B197</f>
        <v>Energie 2</v>
      </c>
      <c r="C16" s="501">
        <f>SUM(C17:C24)</f>
        <v>0</v>
      </c>
      <c r="D16" s="25"/>
      <c r="E16" s="501">
        <f>SUM(E17:E24)</f>
        <v>0</v>
      </c>
      <c r="F16" s="23"/>
      <c r="G16" s="501">
        <f>SQRT(SUMSQ(G17:G24))</f>
        <v>0</v>
      </c>
      <c r="H16" s="501">
        <f>SUM(H17:H24)</f>
        <v>0</v>
      </c>
      <c r="I16" s="23"/>
      <c r="J16" s="501" t="e">
        <f>SUM(J17:J24)</f>
        <v>#REF!</v>
      </c>
      <c r="K16" s="501" t="e">
        <f>SUM(K17:K24)</f>
        <v>#REF!</v>
      </c>
      <c r="L16" s="511" t="e">
        <f>SUM(L17:L24)</f>
        <v>#REF!</v>
      </c>
      <c r="N16" s="501" t="e">
        <f>SUM(N17:N24)</f>
        <v>#REF!</v>
      </c>
      <c r="O16" s="501" t="e">
        <f>SUM(O17:O24)</f>
        <v>#REF!</v>
      </c>
      <c r="P16" s="511" t="e">
        <f>SUM(P17:P24)</f>
        <v>#REF!</v>
      </c>
    </row>
    <row r="17" spans="2:16" s="16" customFormat="1" ht="12.75" customHeight="1">
      <c r="B17" s="465" t="str">
        <f>'Energie 2'!B211</f>
        <v>Combustion sur place</v>
      </c>
      <c r="C17" s="466">
        <f>'Energie 2'!D211</f>
        <v>0</v>
      </c>
      <c r="D17" s="554">
        <f>'export postes'!D14</f>
        <v>1</v>
      </c>
      <c r="E17" s="466">
        <f t="shared" ref="E17:E24" si="6">C17*D17</f>
        <v>0</v>
      </c>
      <c r="F17" s="23"/>
      <c r="G17" s="466">
        <f>'Energie 2'!H211</f>
        <v>0</v>
      </c>
      <c r="H17" s="466">
        <f t="shared" ref="H17:H24" si="7">G17*D17</f>
        <v>0</v>
      </c>
      <c r="I17" s="23"/>
      <c r="J17" s="466" t="e">
        <f>#REF!</f>
        <v>#REF!</v>
      </c>
      <c r="K17" s="466" t="e">
        <f t="shared" ref="K17:K24" si="8">J17*D17</f>
        <v>#REF!</v>
      </c>
      <c r="L17" s="472" t="e">
        <f t="shared" ref="L17:L24" si="9">K17*12/44</f>
        <v>#REF!</v>
      </c>
      <c r="N17" s="466" t="e">
        <f>#REF!</f>
        <v>#REF!</v>
      </c>
      <c r="O17" s="466" t="e">
        <f t="shared" ref="O17:O24" si="10">N17*D17</f>
        <v>#REF!</v>
      </c>
      <c r="P17" s="472" t="e">
        <f t="shared" ref="P17:P24" si="11">O17*12/44</f>
        <v>#REF!</v>
      </c>
    </row>
    <row r="18" spans="2:16" s="16" customFormat="1" ht="12.75" customHeight="1">
      <c r="B18" s="465" t="str">
        <f>'Energie 2'!B212</f>
        <v>Emissions amont des combustibles utilisés</v>
      </c>
      <c r="C18" s="466">
        <f>'Energie 2'!D212</f>
        <v>0</v>
      </c>
      <c r="D18" s="554">
        <f>'export postes'!D14</f>
        <v>1</v>
      </c>
      <c r="E18" s="466">
        <f t="shared" si="6"/>
        <v>0</v>
      </c>
      <c r="F18" s="23"/>
      <c r="G18" s="466">
        <f>'Energie 2'!H212</f>
        <v>0</v>
      </c>
      <c r="H18" s="466">
        <f t="shared" si="7"/>
        <v>0</v>
      </c>
      <c r="I18" s="23"/>
      <c r="J18" s="466" t="e">
        <f>#REF!</f>
        <v>#REF!</v>
      </c>
      <c r="K18" s="466" t="e">
        <f t="shared" si="8"/>
        <v>#REF!</v>
      </c>
      <c r="L18" s="472" t="e">
        <f t="shared" si="9"/>
        <v>#REF!</v>
      </c>
      <c r="N18" s="466" t="e">
        <f>#REF!</f>
        <v>#REF!</v>
      </c>
      <c r="O18" s="466" t="e">
        <f t="shared" si="10"/>
        <v>#REF!</v>
      </c>
      <c r="P18" s="472" t="e">
        <f t="shared" si="11"/>
        <v>#REF!</v>
      </c>
    </row>
    <row r="19" spans="2:16" s="16" customFormat="1" ht="12.75" customHeight="1">
      <c r="B19" s="465" t="str">
        <f>'Energie 2'!B213</f>
        <v>Chauffage estimé</v>
      </c>
      <c r="C19" s="466">
        <f>'Energie 2'!D213</f>
        <v>0</v>
      </c>
      <c r="D19" s="554">
        <f>'export postes'!D15</f>
        <v>1</v>
      </c>
      <c r="E19" s="466">
        <f t="shared" si="6"/>
        <v>0</v>
      </c>
      <c r="F19" s="23"/>
      <c r="G19" s="466">
        <f>'Energie 2'!H213</f>
        <v>0</v>
      </c>
      <c r="H19" s="466">
        <f t="shared" si="7"/>
        <v>0</v>
      </c>
      <c r="I19" s="23"/>
      <c r="J19" s="466" t="e">
        <f>#REF!</f>
        <v>#REF!</v>
      </c>
      <c r="K19" s="466" t="e">
        <f t="shared" si="8"/>
        <v>#REF!</v>
      </c>
      <c r="L19" s="472" t="e">
        <f t="shared" si="9"/>
        <v>#REF!</v>
      </c>
      <c r="N19" s="466" t="e">
        <f>#REF!</f>
        <v>#REF!</v>
      </c>
      <c r="O19" s="466" t="e">
        <f t="shared" si="10"/>
        <v>#REF!</v>
      </c>
      <c r="P19" s="472" t="e">
        <f t="shared" si="11"/>
        <v>#REF!</v>
      </c>
    </row>
    <row r="20" spans="2:16" s="16" customFormat="1" ht="12.75" customHeight="1">
      <c r="B20" s="465" t="str">
        <f>'Energie 2'!B214</f>
        <v>Chauffage estimé, émissions amont</v>
      </c>
      <c r="C20" s="466">
        <f>'Energie 2'!D214</f>
        <v>0</v>
      </c>
      <c r="D20" s="554">
        <f>'export postes'!D15</f>
        <v>1</v>
      </c>
      <c r="E20" s="466">
        <f t="shared" si="6"/>
        <v>0</v>
      </c>
      <c r="F20" s="23"/>
      <c r="G20" s="466">
        <f>'Energie 2'!H214</f>
        <v>0</v>
      </c>
      <c r="H20" s="466">
        <f t="shared" si="7"/>
        <v>0</v>
      </c>
      <c r="I20" s="23"/>
      <c r="J20" s="466" t="e">
        <f>#REF!</f>
        <v>#REF!</v>
      </c>
      <c r="K20" s="466" t="e">
        <f t="shared" si="8"/>
        <v>#REF!</v>
      </c>
      <c r="L20" s="472" t="e">
        <f t="shared" si="9"/>
        <v>#REF!</v>
      </c>
      <c r="N20" s="466" t="e">
        <f>#REF!</f>
        <v>#REF!</v>
      </c>
      <c r="O20" s="466" t="e">
        <f t="shared" si="10"/>
        <v>#REF!</v>
      </c>
      <c r="P20" s="472" t="e">
        <f t="shared" si="11"/>
        <v>#REF!</v>
      </c>
    </row>
    <row r="21" spans="2:16" s="16" customFormat="1" ht="12.75" customHeight="1">
      <c r="B21" s="465" t="str">
        <f>'Energie 2'!B215</f>
        <v>Achats de vapeur (produite à l'extérieur)</v>
      </c>
      <c r="C21" s="466">
        <f>'Energie 2'!D215</f>
        <v>0</v>
      </c>
      <c r="D21" s="554">
        <f>'export postes'!D16</f>
        <v>1</v>
      </c>
      <c r="E21" s="466">
        <f t="shared" si="6"/>
        <v>0</v>
      </c>
      <c r="F21" s="23"/>
      <c r="G21" s="466">
        <f>'Energie 2'!H215</f>
        <v>0</v>
      </c>
      <c r="H21" s="466">
        <f t="shared" si="7"/>
        <v>0</v>
      </c>
      <c r="I21" s="23"/>
      <c r="J21" s="466" t="e">
        <f>#REF!</f>
        <v>#REF!</v>
      </c>
      <c r="K21" s="466" t="e">
        <f t="shared" si="8"/>
        <v>#REF!</v>
      </c>
      <c r="L21" s="472" t="e">
        <f t="shared" si="9"/>
        <v>#REF!</v>
      </c>
      <c r="N21" s="466" t="e">
        <f>#REF!</f>
        <v>#REF!</v>
      </c>
      <c r="O21" s="466" t="e">
        <f t="shared" si="10"/>
        <v>#REF!</v>
      </c>
      <c r="P21" s="472" t="e">
        <f t="shared" si="11"/>
        <v>#REF!</v>
      </c>
    </row>
    <row r="22" spans="2:16" s="16" customFormat="1" ht="12.75" customHeight="1">
      <c r="B22" s="465" t="str">
        <f>'Energie 2'!B216</f>
        <v>Achats de froid</v>
      </c>
      <c r="C22" s="466">
        <f>'Energie 2'!D216</f>
        <v>0</v>
      </c>
      <c r="D22" s="554">
        <f>'export postes'!D17</f>
        <v>1</v>
      </c>
      <c r="E22" s="466">
        <f t="shared" si="6"/>
        <v>0</v>
      </c>
      <c r="F22" s="23"/>
      <c r="G22" s="466">
        <f>'Energie 2'!H216</f>
        <v>0</v>
      </c>
      <c r="H22" s="466">
        <f t="shared" si="7"/>
        <v>0</v>
      </c>
      <c r="I22" s="23"/>
      <c r="J22" s="466" t="e">
        <f>#REF!</f>
        <v>#REF!</v>
      </c>
      <c r="K22" s="466" t="e">
        <f t="shared" si="8"/>
        <v>#REF!</v>
      </c>
      <c r="L22" s="472" t="e">
        <f t="shared" si="9"/>
        <v>#REF!</v>
      </c>
      <c r="N22" s="466" t="e">
        <f>#REF!</f>
        <v>#REF!</v>
      </c>
      <c r="O22" s="466" t="e">
        <f t="shared" si="10"/>
        <v>#REF!</v>
      </c>
      <c r="P22" s="472" t="e">
        <f t="shared" si="11"/>
        <v>#REF!</v>
      </c>
    </row>
    <row r="23" spans="2:16" s="16" customFormat="1" ht="12.75" customHeight="1">
      <c r="B23" s="465" t="str">
        <f>'Energie 2'!B217</f>
        <v>Achats d'électricité</v>
      </c>
      <c r="C23" s="466">
        <f>'Energie 2'!D217</f>
        <v>0</v>
      </c>
      <c r="D23" s="554">
        <f>'export postes'!D18</f>
        <v>1</v>
      </c>
      <c r="E23" s="466">
        <f t="shared" si="6"/>
        <v>0</v>
      </c>
      <c r="F23" s="23"/>
      <c r="G23" s="466">
        <f>'Energie 2'!H217</f>
        <v>0</v>
      </c>
      <c r="H23" s="466">
        <f t="shared" si="7"/>
        <v>0</v>
      </c>
      <c r="I23" s="23"/>
      <c r="J23" s="466" t="e">
        <f>#REF!</f>
        <v>#REF!</v>
      </c>
      <c r="K23" s="466" t="e">
        <f t="shared" si="8"/>
        <v>#REF!</v>
      </c>
      <c r="L23" s="472" t="e">
        <f t="shared" si="9"/>
        <v>#REF!</v>
      </c>
      <c r="N23" s="466" t="e">
        <f>#REF!</f>
        <v>#REF!</v>
      </c>
      <c r="O23" s="466" t="e">
        <f t="shared" si="10"/>
        <v>#REF!</v>
      </c>
      <c r="P23" s="472" t="e">
        <f t="shared" si="11"/>
        <v>#REF!</v>
      </c>
    </row>
    <row r="24" spans="2:16" s="16" customFormat="1" ht="12.75" customHeight="1">
      <c r="B24" s="465" t="str">
        <f>'Energie 2'!B218</f>
        <v>Pertes en ligne de l'électricité</v>
      </c>
      <c r="C24" s="466">
        <f>'Energie 2'!D218</f>
        <v>0</v>
      </c>
      <c r="D24" s="554">
        <f>'export postes'!D18</f>
        <v>1</v>
      </c>
      <c r="E24" s="466">
        <f t="shared" si="6"/>
        <v>0</v>
      </c>
      <c r="F24" s="23"/>
      <c r="G24" s="466">
        <f>'Energie 2'!H218</f>
        <v>0</v>
      </c>
      <c r="H24" s="466">
        <f t="shared" si="7"/>
        <v>0</v>
      </c>
      <c r="I24" s="23"/>
      <c r="J24" s="466" t="e">
        <f>#REF!</f>
        <v>#REF!</v>
      </c>
      <c r="K24" s="466" t="e">
        <f t="shared" si="8"/>
        <v>#REF!</v>
      </c>
      <c r="L24" s="472" t="e">
        <f t="shared" si="9"/>
        <v>#REF!</v>
      </c>
      <c r="N24" s="466" t="e">
        <f>#REF!</f>
        <v>#REF!</v>
      </c>
      <c r="O24" s="466" t="e">
        <f t="shared" si="10"/>
        <v>#REF!</v>
      </c>
      <c r="P24" s="472" t="e">
        <f t="shared" si="11"/>
        <v>#REF!</v>
      </c>
    </row>
    <row r="25" spans="2:16" s="19" customFormat="1" ht="12.75" customHeight="1">
      <c r="B25" s="516"/>
      <c r="C25" s="552"/>
      <c r="D25" s="29"/>
      <c r="E25" s="552"/>
      <c r="F25" s="17"/>
      <c r="G25" s="552"/>
      <c r="H25" s="552"/>
      <c r="I25" s="17"/>
      <c r="J25" s="552"/>
      <c r="K25" s="552"/>
      <c r="L25" s="552"/>
      <c r="N25" s="552"/>
      <c r="O25" s="552"/>
      <c r="P25" s="552"/>
    </row>
    <row r="26" spans="2:16" s="16" customFormat="1" ht="12.75" customHeight="1">
      <c r="B26" s="548" t="str">
        <f>'Hors énergie 1'!B107</f>
        <v>Hors énergie 1</v>
      </c>
      <c r="C26" s="495">
        <f>SUM(C27:C31)</f>
        <v>486</v>
      </c>
      <c r="D26" s="25"/>
      <c r="E26" s="495">
        <f>SUM(E27:E31)</f>
        <v>486</v>
      </c>
      <c r="F26" s="23"/>
      <c r="G26" s="495">
        <f>SQRT(SUMSQ(G27:G31))</f>
        <v>283.38426208948158</v>
      </c>
      <c r="H26" s="495">
        <f>SUM(H27:H31)</f>
        <v>283.38426208948158</v>
      </c>
      <c r="I26" s="23"/>
      <c r="J26" s="495" t="e">
        <f>SUM(J27:J31)</f>
        <v>#REF!</v>
      </c>
      <c r="K26" s="495" t="e">
        <f>SUM(K27:K31)</f>
        <v>#REF!</v>
      </c>
      <c r="L26" s="510" t="e">
        <f>SUM(L27:L31)</f>
        <v>#REF!</v>
      </c>
      <c r="N26" s="495" t="e">
        <f>SUM(N27:N31)</f>
        <v>#REF!</v>
      </c>
      <c r="O26" s="495" t="e">
        <f>SUM(O27:O31)</f>
        <v>#REF!</v>
      </c>
      <c r="P26" s="510" t="e">
        <f>SUM(P27:P31)</f>
        <v>#REF!</v>
      </c>
    </row>
    <row r="27" spans="2:16" s="16" customFormat="1" ht="12.75" customHeight="1">
      <c r="B27" s="429" t="str">
        <f>'Hors énergie 1'!B109</f>
        <v>CO2 hors énergie</v>
      </c>
      <c r="C27" s="467">
        <f>'Hors énergie 1'!D109</f>
        <v>0</v>
      </c>
      <c r="D27" s="555">
        <f>'export postes'!D21</f>
        <v>1</v>
      </c>
      <c r="E27" s="467">
        <f t="shared" ref="E27:E32" si="12">C27*D27</f>
        <v>0</v>
      </c>
      <c r="F27" s="23"/>
      <c r="G27" s="467">
        <f>'Hors énergie 1'!H109</f>
        <v>0</v>
      </c>
      <c r="H27" s="467">
        <f t="shared" ref="H27:H32" si="13">G27*D27</f>
        <v>0</v>
      </c>
      <c r="I27" s="23"/>
      <c r="J27" s="467" t="e">
        <f>'Hors énergie 1'!#REF!</f>
        <v>#REF!</v>
      </c>
      <c r="K27" s="467" t="e">
        <f>J27*D27</f>
        <v>#REF!</v>
      </c>
      <c r="L27" s="471" t="e">
        <f>K27*12/44</f>
        <v>#REF!</v>
      </c>
      <c r="N27" s="467" t="e">
        <f>'Hors énergie 1'!#REF!</f>
        <v>#REF!</v>
      </c>
      <c r="O27" s="467" t="e">
        <f>N27*D27</f>
        <v>#REF!</v>
      </c>
      <c r="P27" s="471" t="e">
        <f>O27*12/44</f>
        <v>#REF!</v>
      </c>
    </row>
    <row r="28" spans="2:16" s="16" customFormat="1" ht="12.75" customHeight="1">
      <c r="B28" s="429" t="str">
        <f>'Hors énergie 1'!B110</f>
        <v>Protoxyde d'azote</v>
      </c>
      <c r="C28" s="467">
        <f>'Hors énergie 1'!D110</f>
        <v>0</v>
      </c>
      <c r="D28" s="555">
        <f>'export postes'!D22</f>
        <v>1</v>
      </c>
      <c r="E28" s="467">
        <f t="shared" si="12"/>
        <v>0</v>
      </c>
      <c r="F28" s="23"/>
      <c r="G28" s="467">
        <f>'Hors énergie 1'!H110</f>
        <v>0</v>
      </c>
      <c r="H28" s="467">
        <f t="shared" si="13"/>
        <v>0</v>
      </c>
      <c r="I28" s="23"/>
      <c r="J28" s="467" t="e">
        <f>'Hors énergie 1'!#REF!</f>
        <v>#REF!</v>
      </c>
      <c r="K28" s="467" t="e">
        <f>J28*D28</f>
        <v>#REF!</v>
      </c>
      <c r="L28" s="471" t="e">
        <f>K28*12/44</f>
        <v>#REF!</v>
      </c>
      <c r="N28" s="467" t="e">
        <f>'Hors énergie 1'!#REF!</f>
        <v>#REF!</v>
      </c>
      <c r="O28" s="467" t="e">
        <f>N28*D28</f>
        <v>#REF!</v>
      </c>
      <c r="P28" s="471" t="e">
        <f>O28*12/44</f>
        <v>#REF!</v>
      </c>
    </row>
    <row r="29" spans="2:16" s="16" customFormat="1" ht="12.75" customHeight="1">
      <c r="B29" s="429" t="str">
        <f>'Hors énergie 1'!B111</f>
        <v>Méthane</v>
      </c>
      <c r="C29" s="467">
        <f>'Hors énergie 1'!D111</f>
        <v>0</v>
      </c>
      <c r="D29" s="555">
        <f>'export postes'!D23</f>
        <v>1</v>
      </c>
      <c r="E29" s="467">
        <f t="shared" si="12"/>
        <v>0</v>
      </c>
      <c r="F29" s="23"/>
      <c r="G29" s="467">
        <f>'Hors énergie 1'!H111</f>
        <v>0</v>
      </c>
      <c r="H29" s="467">
        <f t="shared" si="13"/>
        <v>0</v>
      </c>
      <c r="I29" s="23"/>
      <c r="J29" s="467" t="e">
        <f>'Hors énergie 1'!#REF!</f>
        <v>#REF!</v>
      </c>
      <c r="K29" s="467" t="e">
        <f>J29*D29</f>
        <v>#REF!</v>
      </c>
      <c r="L29" s="471" t="e">
        <f>K29*12/44</f>
        <v>#REF!</v>
      </c>
      <c r="N29" s="467" t="e">
        <f>'Hors énergie 1'!#REF!</f>
        <v>#REF!</v>
      </c>
      <c r="O29" s="467" t="e">
        <f>N29*D29</f>
        <v>#REF!</v>
      </c>
      <c r="P29" s="471" t="e">
        <f>O29*12/44</f>
        <v>#REF!</v>
      </c>
    </row>
    <row r="30" spans="2:16" s="16" customFormat="1" ht="12.75" customHeight="1">
      <c r="B30" s="429" t="str">
        <f>'Hors énergie 1'!B112</f>
        <v>Halocarbures de Kyoto</v>
      </c>
      <c r="C30" s="467">
        <f>'Hors énergie 1'!D112</f>
        <v>486</v>
      </c>
      <c r="D30" s="555">
        <f>'export postes'!D24</f>
        <v>1</v>
      </c>
      <c r="E30" s="467">
        <f t="shared" si="12"/>
        <v>486</v>
      </c>
      <c r="F30" s="23"/>
      <c r="G30" s="467">
        <f>'Hors énergie 1'!H112</f>
        <v>283.38426208948158</v>
      </c>
      <c r="H30" s="467">
        <f t="shared" si="13"/>
        <v>283.38426208948158</v>
      </c>
      <c r="I30" s="23"/>
      <c r="J30" s="467" t="e">
        <f>'Hors énergie 1'!#REF!</f>
        <v>#REF!</v>
      </c>
      <c r="K30" s="467" t="e">
        <f>J30*D30</f>
        <v>#REF!</v>
      </c>
      <c r="L30" s="471" t="e">
        <f>K30*12/44</f>
        <v>#REF!</v>
      </c>
      <c r="N30" s="467" t="e">
        <f>'Hors énergie 1'!#REF!</f>
        <v>#REF!</v>
      </c>
      <c r="O30" s="467" t="e">
        <f>N30*D30</f>
        <v>#REF!</v>
      </c>
      <c r="P30" s="471" t="e">
        <f>O30*12/44</f>
        <v>#REF!</v>
      </c>
    </row>
    <row r="31" spans="2:16" s="16" customFormat="1" ht="12.75" customHeight="1">
      <c r="B31" s="429" t="str">
        <f>'Hors énergie 1'!B113</f>
        <v>Gaz hors Kyoto</v>
      </c>
      <c r="C31" s="467">
        <f>'Hors énergie 1'!D113</f>
        <v>0</v>
      </c>
      <c r="D31" s="555">
        <f>'export postes'!D25</f>
        <v>1</v>
      </c>
      <c r="E31" s="467">
        <f t="shared" si="12"/>
        <v>0</v>
      </c>
      <c r="F31" s="23"/>
      <c r="G31" s="467">
        <f>'Hors énergie 1'!H113</f>
        <v>0</v>
      </c>
      <c r="H31" s="467">
        <f t="shared" si="13"/>
        <v>0</v>
      </c>
      <c r="I31" s="23"/>
      <c r="J31" s="467" t="e">
        <f>'Hors énergie 1'!#REF!</f>
        <v>#REF!</v>
      </c>
      <c r="K31" s="467" t="e">
        <f>J31*D31</f>
        <v>#REF!</v>
      </c>
      <c r="L31" s="471" t="e">
        <f>K31*12/44</f>
        <v>#REF!</v>
      </c>
      <c r="N31" s="467" t="e">
        <f>'Hors énergie 1'!#REF!</f>
        <v>#REF!</v>
      </c>
      <c r="O31" s="467" t="e">
        <f>N31*D31</f>
        <v>#REF!</v>
      </c>
      <c r="P31" s="471" t="e">
        <f>O31*12/44</f>
        <v>#REF!</v>
      </c>
    </row>
    <row r="32" spans="2:16" s="16" customFormat="1" ht="12.75" customHeight="1">
      <c r="B32" s="429" t="str">
        <f>'Hors énergie 1'!B114</f>
        <v>Agriculture</v>
      </c>
      <c r="C32" s="467">
        <f>'Hors énergie 1'!D114</f>
        <v>0</v>
      </c>
      <c r="D32" s="555">
        <f>'export postes'!D26</f>
        <v>1</v>
      </c>
      <c r="E32" s="467">
        <f t="shared" si="12"/>
        <v>0</v>
      </c>
      <c r="F32" s="23"/>
      <c r="G32" s="467">
        <f>'Hors énergie 1'!H114</f>
        <v>0</v>
      </c>
      <c r="H32" s="467">
        <f t="shared" si="13"/>
        <v>0</v>
      </c>
      <c r="I32" s="23"/>
      <c r="J32" s="2296"/>
      <c r="K32" s="2296"/>
      <c r="L32" s="2298"/>
      <c r="N32" s="2296"/>
      <c r="O32" s="2296"/>
      <c r="P32" s="2298"/>
    </row>
    <row r="33" spans="2:16" s="19" customFormat="1" ht="12.75" customHeight="1">
      <c r="B33" s="114"/>
      <c r="C33" s="441"/>
      <c r="D33" s="30"/>
      <c r="E33" s="441"/>
      <c r="G33" s="441"/>
      <c r="H33" s="441"/>
      <c r="J33" s="441"/>
      <c r="K33" s="441"/>
      <c r="L33" s="441"/>
      <c r="N33" s="441"/>
      <c r="O33" s="441"/>
      <c r="P33" s="441"/>
    </row>
    <row r="34" spans="2:16" s="16" customFormat="1" ht="12.75" customHeight="1">
      <c r="B34" s="549" t="str">
        <f>'Hors énergie 2'!B107</f>
        <v>Hors énergie 2</v>
      </c>
      <c r="C34" s="501">
        <f>SUM(C35:C39)</f>
        <v>0</v>
      </c>
      <c r="D34" s="25"/>
      <c r="E34" s="501">
        <f>SUM(E35:E39)</f>
        <v>0</v>
      </c>
      <c r="F34" s="23"/>
      <c r="G34" s="501">
        <f>SQRT(SUMSQ(G35:G39))</f>
        <v>0</v>
      </c>
      <c r="H34" s="501">
        <f>SUM(H35:H39)</f>
        <v>0</v>
      </c>
      <c r="I34" s="23"/>
      <c r="J34" s="501" t="e">
        <f>SUM(J35:J39)</f>
        <v>#REF!</v>
      </c>
      <c r="K34" s="501" t="e">
        <f>SUM(K35:K39)</f>
        <v>#REF!</v>
      </c>
      <c r="L34" s="511" t="e">
        <f>SUM(L35:L39)</f>
        <v>#REF!</v>
      </c>
      <c r="N34" s="501" t="e">
        <f>SUM(N35:N39)</f>
        <v>#REF!</v>
      </c>
      <c r="O34" s="501" t="e">
        <f>SUM(O35:O39)</f>
        <v>#REF!</v>
      </c>
      <c r="P34" s="511" t="e">
        <f>SUM(P35:P39)</f>
        <v>#REF!</v>
      </c>
    </row>
    <row r="35" spans="2:16" s="16" customFormat="1" ht="12.75" customHeight="1">
      <c r="B35" s="465" t="str">
        <f>'Hors énergie 2'!B109</f>
        <v>CO2 hors énergie</v>
      </c>
      <c r="C35" s="466">
        <f>'Hors énergie 2'!D109</f>
        <v>0</v>
      </c>
      <c r="D35" s="554">
        <f>'export postes'!D29</f>
        <v>1</v>
      </c>
      <c r="E35" s="466">
        <f t="shared" ref="E35:E40" si="14">C35*D35</f>
        <v>0</v>
      </c>
      <c r="F35" s="23"/>
      <c r="G35" s="466">
        <f>'Hors énergie 2'!H109</f>
        <v>0</v>
      </c>
      <c r="H35" s="466">
        <f t="shared" ref="H35:H40" si="15">G35*D35</f>
        <v>0</v>
      </c>
      <c r="I35" s="23"/>
      <c r="J35" s="466" t="e">
        <f>#REF!</f>
        <v>#REF!</v>
      </c>
      <c r="K35" s="466" t="e">
        <f>J35*D35</f>
        <v>#REF!</v>
      </c>
      <c r="L35" s="472" t="e">
        <f>K35*12/44</f>
        <v>#REF!</v>
      </c>
      <c r="N35" s="466" t="e">
        <f>#REF!</f>
        <v>#REF!</v>
      </c>
      <c r="O35" s="466" t="e">
        <f>N35*D35</f>
        <v>#REF!</v>
      </c>
      <c r="P35" s="472" t="e">
        <f>O35*12/44</f>
        <v>#REF!</v>
      </c>
    </row>
    <row r="36" spans="2:16" s="16" customFormat="1" ht="12.75" customHeight="1">
      <c r="B36" s="465" t="str">
        <f>'Hors énergie 2'!B110</f>
        <v>Protoxyde d'azote</v>
      </c>
      <c r="C36" s="466">
        <f>'Hors énergie 2'!D110</f>
        <v>0</v>
      </c>
      <c r="D36" s="554">
        <f>'export postes'!D30</f>
        <v>1</v>
      </c>
      <c r="E36" s="466">
        <f t="shared" si="14"/>
        <v>0</v>
      </c>
      <c r="F36" s="23"/>
      <c r="G36" s="466">
        <f>'Hors énergie 2'!H110</f>
        <v>0</v>
      </c>
      <c r="H36" s="466">
        <f t="shared" si="15"/>
        <v>0</v>
      </c>
      <c r="I36" s="23"/>
      <c r="J36" s="466" t="e">
        <f>#REF!</f>
        <v>#REF!</v>
      </c>
      <c r="K36" s="466" t="e">
        <f>J36*D36</f>
        <v>#REF!</v>
      </c>
      <c r="L36" s="472" t="e">
        <f>K36*12/44</f>
        <v>#REF!</v>
      </c>
      <c r="N36" s="466" t="e">
        <f>#REF!</f>
        <v>#REF!</v>
      </c>
      <c r="O36" s="466" t="e">
        <f>N36*D36</f>
        <v>#REF!</v>
      </c>
      <c r="P36" s="472" t="e">
        <f>O36*12/44</f>
        <v>#REF!</v>
      </c>
    </row>
    <row r="37" spans="2:16" s="16" customFormat="1" ht="12.75" customHeight="1">
      <c r="B37" s="465" t="str">
        <f>'Hors énergie 2'!B111</f>
        <v>Méthane</v>
      </c>
      <c r="C37" s="466">
        <f>'Hors énergie 2'!D111</f>
        <v>0</v>
      </c>
      <c r="D37" s="554">
        <f>'export postes'!D31</f>
        <v>1</v>
      </c>
      <c r="E37" s="466">
        <f t="shared" si="14"/>
        <v>0</v>
      </c>
      <c r="F37" s="23"/>
      <c r="G37" s="466">
        <f>'Hors énergie 2'!H111</f>
        <v>0</v>
      </c>
      <c r="H37" s="466">
        <f t="shared" si="15"/>
        <v>0</v>
      </c>
      <c r="I37" s="23"/>
      <c r="J37" s="466" t="e">
        <f>#REF!</f>
        <v>#REF!</v>
      </c>
      <c r="K37" s="466" t="e">
        <f>J37*D37</f>
        <v>#REF!</v>
      </c>
      <c r="L37" s="472" t="e">
        <f>K37*12/44</f>
        <v>#REF!</v>
      </c>
      <c r="M37" s="23"/>
      <c r="N37" s="466" t="e">
        <f>#REF!</f>
        <v>#REF!</v>
      </c>
      <c r="O37" s="466" t="e">
        <f>N37*D37</f>
        <v>#REF!</v>
      </c>
      <c r="P37" s="472" t="e">
        <f>O37*12/44</f>
        <v>#REF!</v>
      </c>
    </row>
    <row r="38" spans="2:16" s="16" customFormat="1" ht="12.75" customHeight="1">
      <c r="B38" s="465" t="str">
        <f>'Hors énergie 2'!B112</f>
        <v>Halocarbures de Kyoto</v>
      </c>
      <c r="C38" s="466">
        <f>'Hors énergie 2'!D112</f>
        <v>0</v>
      </c>
      <c r="D38" s="554">
        <f>'export postes'!D32</f>
        <v>1</v>
      </c>
      <c r="E38" s="466">
        <f t="shared" si="14"/>
        <v>0</v>
      </c>
      <c r="F38" s="23"/>
      <c r="G38" s="466">
        <f>'Hors énergie 2'!H112</f>
        <v>0</v>
      </c>
      <c r="H38" s="466">
        <f t="shared" si="15"/>
        <v>0</v>
      </c>
      <c r="I38" s="23"/>
      <c r="J38" s="466" t="e">
        <f>#REF!</f>
        <v>#REF!</v>
      </c>
      <c r="K38" s="466" t="e">
        <f>J38*D38</f>
        <v>#REF!</v>
      </c>
      <c r="L38" s="472" t="e">
        <f>K38*12/44</f>
        <v>#REF!</v>
      </c>
      <c r="M38" s="18"/>
      <c r="N38" s="466" t="e">
        <f>#REF!</f>
        <v>#REF!</v>
      </c>
      <c r="O38" s="466" t="e">
        <f>N38*D38</f>
        <v>#REF!</v>
      </c>
      <c r="P38" s="472" t="e">
        <f>O38*12/44</f>
        <v>#REF!</v>
      </c>
    </row>
    <row r="39" spans="2:16" s="16" customFormat="1" ht="12.75" customHeight="1">
      <c r="B39" s="465" t="str">
        <f>'Hors énergie 2'!B113</f>
        <v>Gaz hors Kyoto</v>
      </c>
      <c r="C39" s="466">
        <f>'Hors énergie 2'!D113</f>
        <v>0</v>
      </c>
      <c r="D39" s="554">
        <f>'export postes'!D33</f>
        <v>1</v>
      </c>
      <c r="E39" s="466">
        <f t="shared" si="14"/>
        <v>0</v>
      </c>
      <c r="F39" s="23"/>
      <c r="G39" s="466">
        <f>'Hors énergie 2'!H113</f>
        <v>0</v>
      </c>
      <c r="H39" s="466">
        <f t="shared" si="15"/>
        <v>0</v>
      </c>
      <c r="I39" s="23"/>
      <c r="J39" s="466" t="e">
        <f>#REF!</f>
        <v>#REF!</v>
      </c>
      <c r="K39" s="466" t="e">
        <f>J39*D39</f>
        <v>#REF!</v>
      </c>
      <c r="L39" s="472" t="e">
        <f>K39*12/44</f>
        <v>#REF!</v>
      </c>
      <c r="M39" s="18"/>
      <c r="N39" s="466" t="e">
        <f>#REF!</f>
        <v>#REF!</v>
      </c>
      <c r="O39" s="466" t="e">
        <f>N39*D39</f>
        <v>#REF!</v>
      </c>
      <c r="P39" s="472" t="e">
        <f>O39*12/44</f>
        <v>#REF!</v>
      </c>
    </row>
    <row r="40" spans="2:16" s="16" customFormat="1" ht="12.75" customHeight="1">
      <c r="B40" s="465" t="str">
        <f>'Hors énergie 2'!B114</f>
        <v>Agriculture</v>
      </c>
      <c r="C40" s="466">
        <f>'Hors énergie 2'!D114</f>
        <v>0</v>
      </c>
      <c r="D40" s="554">
        <f>'export postes'!D34</f>
        <v>1</v>
      </c>
      <c r="E40" s="466">
        <f t="shared" si="14"/>
        <v>0</v>
      </c>
      <c r="F40" s="23"/>
      <c r="G40" s="466">
        <f>'Hors énergie 2'!H114</f>
        <v>0</v>
      </c>
      <c r="H40" s="466">
        <f t="shared" si="15"/>
        <v>0</v>
      </c>
      <c r="I40" s="23"/>
      <c r="J40" s="2297"/>
      <c r="K40" s="2297"/>
      <c r="L40" s="2299"/>
      <c r="M40" s="18"/>
      <c r="N40" s="2297"/>
      <c r="O40" s="2297"/>
      <c r="P40" s="2299"/>
    </row>
    <row r="41" spans="2:16" s="19" customFormat="1" ht="12.75" customHeight="1">
      <c r="B41" s="235"/>
      <c r="C41" s="553"/>
      <c r="D41" s="31"/>
      <c r="E41" s="553"/>
      <c r="F41" s="31"/>
      <c r="G41" s="553"/>
      <c r="H41" s="553"/>
      <c r="J41" s="553"/>
      <c r="K41" s="553"/>
      <c r="L41" s="553"/>
      <c r="N41" s="553"/>
      <c r="O41" s="553"/>
      <c r="P41" s="553"/>
    </row>
    <row r="42" spans="2:16" s="16" customFormat="1" ht="12.75" customHeight="1">
      <c r="B42" s="548" t="str">
        <f>'Intrants 1'!B323</f>
        <v>Intrants 1</v>
      </c>
      <c r="C42" s="495">
        <f>SUM(C43:C52)</f>
        <v>2658182</v>
      </c>
      <c r="D42" s="25"/>
      <c r="E42" s="495">
        <f>SUM(E43:E52)</f>
        <v>2658182</v>
      </c>
      <c r="F42" s="23"/>
      <c r="G42" s="495">
        <f>SQRT(SUMSQ(G43:G52))</f>
        <v>384846.50731551414</v>
      </c>
      <c r="H42" s="495">
        <f>SUM(H43:H52)</f>
        <v>550735.17003239889</v>
      </c>
      <c r="I42" s="23"/>
      <c r="J42" s="495" t="e">
        <f>SUM(J43:J52)</f>
        <v>#REF!</v>
      </c>
      <c r="K42" s="495" t="e">
        <f>SUM(K43:K52)</f>
        <v>#REF!</v>
      </c>
      <c r="L42" s="510" t="e">
        <f>SUM(L43:L52)</f>
        <v>#REF!</v>
      </c>
      <c r="N42" s="495" t="e">
        <f>SUM(N43:N52)</f>
        <v>#REF!</v>
      </c>
      <c r="O42" s="495" t="e">
        <f>SUM(O43:O52)</f>
        <v>#REF!</v>
      </c>
      <c r="P42" s="510" t="e">
        <f>SUM(P43:P52)</f>
        <v>#REF!</v>
      </c>
    </row>
    <row r="43" spans="2:16" s="16" customFormat="1" ht="12.75" customHeight="1">
      <c r="B43" s="429" t="str">
        <f>'Intrants 1'!B325</f>
        <v>Métaux</v>
      </c>
      <c r="C43" s="467">
        <f>'Intrants 1'!D325</f>
        <v>2126670</v>
      </c>
      <c r="D43" s="555">
        <f>'export postes'!D37</f>
        <v>1</v>
      </c>
      <c r="E43" s="467">
        <f t="shared" ref="E43:E50" si="16">C43*D43</f>
        <v>2126670</v>
      </c>
      <c r="F43" s="23"/>
      <c r="G43" s="467">
        <f>'Intrants 1'!H325</f>
        <v>369984.32643728307</v>
      </c>
      <c r="H43" s="467">
        <f t="shared" ref="H43:H50" si="17">G43*D43</f>
        <v>369984.32643728307</v>
      </c>
      <c r="I43" s="23"/>
      <c r="J43" s="467" t="e">
        <f>'Intrants 1'!#REF!</f>
        <v>#REF!</v>
      </c>
      <c r="K43" s="467" t="e">
        <f t="shared" ref="K43:K52" si="18">J43*D43</f>
        <v>#REF!</v>
      </c>
      <c r="L43" s="471" t="e">
        <f t="shared" ref="L43:L52" si="19">K43*12/44</f>
        <v>#REF!</v>
      </c>
      <c r="N43" s="467" t="e">
        <f>'Intrants 1'!#REF!</f>
        <v>#REF!</v>
      </c>
      <c r="O43" s="467" t="e">
        <f t="shared" ref="O43:O52" si="20">N43*D43</f>
        <v>#REF!</v>
      </c>
      <c r="P43" s="471" t="e">
        <f t="shared" ref="P43:P52" si="21">O43*12/44</f>
        <v>#REF!</v>
      </c>
    </row>
    <row r="44" spans="2:16" s="16" customFormat="1" ht="12.75" customHeight="1">
      <c r="B44" s="429" t="str">
        <f>'Intrants 1'!B326</f>
        <v>Plastiques</v>
      </c>
      <c r="C44" s="467">
        <f>'Intrants 1'!D326</f>
        <v>370260</v>
      </c>
      <c r="D44" s="555">
        <f>'export postes'!D38</f>
        <v>1</v>
      </c>
      <c r="E44" s="467">
        <f t="shared" si="16"/>
        <v>370260</v>
      </c>
      <c r="F44" s="23"/>
      <c r="G44" s="467">
        <f>'Intrants 1'!H326</f>
        <v>92565</v>
      </c>
      <c r="H44" s="467">
        <f t="shared" si="17"/>
        <v>92565</v>
      </c>
      <c r="I44" s="23"/>
      <c r="J44" s="467" t="e">
        <f>'Intrants 1'!#REF!</f>
        <v>#REF!</v>
      </c>
      <c r="K44" s="467" t="e">
        <f t="shared" si="18"/>
        <v>#REF!</v>
      </c>
      <c r="L44" s="471" t="e">
        <f t="shared" si="19"/>
        <v>#REF!</v>
      </c>
      <c r="N44" s="467" t="e">
        <f>'Intrants 1'!#REF!</f>
        <v>#REF!</v>
      </c>
      <c r="O44" s="467" t="e">
        <f t="shared" si="20"/>
        <v>#REF!</v>
      </c>
      <c r="P44" s="471" t="e">
        <f t="shared" si="21"/>
        <v>#REF!</v>
      </c>
    </row>
    <row r="45" spans="2:16" s="16" customFormat="1" ht="12.75" customHeight="1">
      <c r="B45" s="429" t="str">
        <f>'Intrants 1'!B327</f>
        <v>Verre</v>
      </c>
      <c r="C45" s="467">
        <f>'Intrants 1'!D327</f>
        <v>83070</v>
      </c>
      <c r="D45" s="555">
        <f>'export postes'!D39</f>
        <v>1</v>
      </c>
      <c r="E45" s="467">
        <f t="shared" si="16"/>
        <v>83070</v>
      </c>
      <c r="F45" s="23"/>
      <c r="G45" s="467">
        <f>'Intrants 1'!H327</f>
        <v>43363.813084759975</v>
      </c>
      <c r="H45" s="467">
        <f t="shared" si="17"/>
        <v>43363.813084759975</v>
      </c>
      <c r="I45" s="23"/>
      <c r="J45" s="467" t="e">
        <f>'Intrants 1'!#REF!</f>
        <v>#REF!</v>
      </c>
      <c r="K45" s="467" t="e">
        <f t="shared" si="18"/>
        <v>#REF!</v>
      </c>
      <c r="L45" s="471" t="e">
        <f t="shared" si="19"/>
        <v>#REF!</v>
      </c>
      <c r="N45" s="467" t="e">
        <f>'Intrants 1'!#REF!</f>
        <v>#REF!</v>
      </c>
      <c r="O45" s="467" t="e">
        <f t="shared" si="20"/>
        <v>#REF!</v>
      </c>
      <c r="P45" s="471" t="e">
        <f t="shared" si="21"/>
        <v>#REF!</v>
      </c>
    </row>
    <row r="46" spans="2:16" s="16" customFormat="1" ht="12.75" customHeight="1">
      <c r="B46" s="429" t="str">
        <f>'Intrants 1'!B328</f>
        <v>Papiers &amp; cartons</v>
      </c>
      <c r="C46" s="467">
        <f>'Intrants 1'!D328</f>
        <v>0</v>
      </c>
      <c r="D46" s="555">
        <f>'export postes'!D40</f>
        <v>1</v>
      </c>
      <c r="E46" s="467">
        <f t="shared" si="16"/>
        <v>0</v>
      </c>
      <c r="F46" s="23"/>
      <c r="G46" s="467">
        <f>'Intrants 1'!H328</f>
        <v>0</v>
      </c>
      <c r="H46" s="467">
        <f t="shared" si="17"/>
        <v>0</v>
      </c>
      <c r="I46" s="23"/>
      <c r="J46" s="467" t="e">
        <f>'Intrants 1'!#REF!</f>
        <v>#REF!</v>
      </c>
      <c r="K46" s="467" t="e">
        <f t="shared" si="18"/>
        <v>#REF!</v>
      </c>
      <c r="L46" s="471" t="e">
        <f t="shared" si="19"/>
        <v>#REF!</v>
      </c>
      <c r="N46" s="467" t="e">
        <f>'Intrants 1'!#REF!</f>
        <v>#REF!</v>
      </c>
      <c r="O46" s="467" t="e">
        <f t="shared" si="20"/>
        <v>#REF!</v>
      </c>
      <c r="P46" s="471" t="e">
        <f t="shared" si="21"/>
        <v>#REF!</v>
      </c>
    </row>
    <row r="47" spans="2:16" s="16" customFormat="1" ht="12.75" customHeight="1">
      <c r="B47" s="429" t="str">
        <f>'Intrants 1'!B329</f>
        <v>Matériaux de construction</v>
      </c>
      <c r="C47" s="467">
        <f>'Intrants 1'!D329</f>
        <v>0</v>
      </c>
      <c r="D47" s="555">
        <f>'export postes'!D41</f>
        <v>1</v>
      </c>
      <c r="E47" s="467">
        <f t="shared" si="16"/>
        <v>0</v>
      </c>
      <c r="F47" s="23"/>
      <c r="G47" s="467">
        <f>'Intrants 1'!H329</f>
        <v>0</v>
      </c>
      <c r="H47" s="467">
        <f t="shared" si="17"/>
        <v>0</v>
      </c>
      <c r="I47" s="23"/>
      <c r="J47" s="467" t="e">
        <f>'Intrants 1'!#REF!</f>
        <v>#REF!</v>
      </c>
      <c r="K47" s="467" t="e">
        <f t="shared" si="18"/>
        <v>#REF!</v>
      </c>
      <c r="L47" s="471" t="e">
        <f t="shared" si="19"/>
        <v>#REF!</v>
      </c>
      <c r="N47" s="467" t="e">
        <f>'Intrants 1'!#REF!</f>
        <v>#REF!</v>
      </c>
      <c r="O47" s="467" t="e">
        <f t="shared" si="20"/>
        <v>#REF!</v>
      </c>
      <c r="P47" s="471" t="e">
        <f t="shared" si="21"/>
        <v>#REF!</v>
      </c>
    </row>
    <row r="48" spans="2:16" s="16" customFormat="1" ht="12.75" customHeight="1">
      <c r="B48" s="429" t="str">
        <f>'Intrants 1'!B330</f>
        <v>Produits chimiques</v>
      </c>
      <c r="C48" s="467">
        <f>'Intrants 1'!D330</f>
        <v>0</v>
      </c>
      <c r="D48" s="555">
        <f>'export postes'!D42</f>
        <v>1</v>
      </c>
      <c r="E48" s="467">
        <f t="shared" si="16"/>
        <v>0</v>
      </c>
      <c r="F48" s="23"/>
      <c r="G48" s="467">
        <f>'Intrants 1'!H330</f>
        <v>0</v>
      </c>
      <c r="H48" s="467">
        <f t="shared" si="17"/>
        <v>0</v>
      </c>
      <c r="I48" s="23"/>
      <c r="J48" s="467" t="e">
        <f>'Intrants 1'!#REF!</f>
        <v>#REF!</v>
      </c>
      <c r="K48" s="467" t="e">
        <f t="shared" si="18"/>
        <v>#REF!</v>
      </c>
      <c r="L48" s="471" t="e">
        <f t="shared" si="19"/>
        <v>#REF!</v>
      </c>
      <c r="N48" s="467" t="e">
        <f>'Intrants 1'!#REF!</f>
        <v>#REF!</v>
      </c>
      <c r="O48" s="467" t="e">
        <f t="shared" si="20"/>
        <v>#REF!</v>
      </c>
      <c r="P48" s="471" t="e">
        <f t="shared" si="21"/>
        <v>#REF!</v>
      </c>
    </row>
    <row r="49" spans="2:16" s="16" customFormat="1" ht="12.75" customHeight="1">
      <c r="B49" s="429" t="str">
        <f>'Intrants 1'!B331</f>
        <v>Nourriture</v>
      </c>
      <c r="C49" s="467">
        <f>'Intrants 1'!D331</f>
        <v>0</v>
      </c>
      <c r="D49" s="555">
        <f>'export postes'!D43</f>
        <v>1</v>
      </c>
      <c r="E49" s="467">
        <f t="shared" si="16"/>
        <v>0</v>
      </c>
      <c r="F49" s="23"/>
      <c r="G49" s="467">
        <f>'Intrants 1'!H331</f>
        <v>0</v>
      </c>
      <c r="H49" s="467">
        <f t="shared" si="17"/>
        <v>0</v>
      </c>
      <c r="I49" s="23"/>
      <c r="J49" s="467" t="e">
        <f>'Intrants 1'!#REF!</f>
        <v>#REF!</v>
      </c>
      <c r="K49" s="467" t="e">
        <f t="shared" si="18"/>
        <v>#REF!</v>
      </c>
      <c r="L49" s="471" t="e">
        <f t="shared" si="19"/>
        <v>#REF!</v>
      </c>
      <c r="N49" s="467" t="e">
        <f>'Intrants 1'!#REF!</f>
        <v>#REF!</v>
      </c>
      <c r="O49" s="467" t="e">
        <f t="shared" si="20"/>
        <v>#REF!</v>
      </c>
      <c r="P49" s="471" t="e">
        <f t="shared" si="21"/>
        <v>#REF!</v>
      </c>
    </row>
    <row r="50" spans="2:16" s="16" customFormat="1" ht="12.75" customHeight="1">
      <c r="B50" s="429" t="str">
        <f>'Intrants 1'!B332</f>
        <v>Autres intrants</v>
      </c>
      <c r="C50" s="467">
        <f>'Intrants 1'!D332</f>
        <v>27525.000000000004</v>
      </c>
      <c r="D50" s="555">
        <f>'export postes'!D44</f>
        <v>1</v>
      </c>
      <c r="E50" s="467">
        <f t="shared" si="16"/>
        <v>27525.000000000004</v>
      </c>
      <c r="F50" s="23"/>
      <c r="G50" s="467">
        <f>'Intrants 1'!H332</f>
        <v>13762.500000000002</v>
      </c>
      <c r="H50" s="467">
        <f t="shared" si="17"/>
        <v>13762.500000000002</v>
      </c>
      <c r="I50" s="23"/>
      <c r="J50" s="467" t="e">
        <f>'Intrants 1'!#REF!</f>
        <v>#REF!</v>
      </c>
      <c r="K50" s="467" t="e">
        <f t="shared" si="18"/>
        <v>#REF!</v>
      </c>
      <c r="L50" s="471" t="e">
        <f t="shared" si="19"/>
        <v>#REF!</v>
      </c>
      <c r="N50" s="467" t="e">
        <f>'Intrants 1'!#REF!</f>
        <v>#REF!</v>
      </c>
      <c r="O50" s="467" t="e">
        <f t="shared" si="20"/>
        <v>#REF!</v>
      </c>
      <c r="P50" s="471" t="e">
        <f t="shared" si="21"/>
        <v>#REF!</v>
      </c>
    </row>
    <row r="51" spans="2:16" s="16" customFormat="1" ht="12.75" customHeight="1">
      <c r="B51" s="429" t="str">
        <f>'Intrants 1'!B333</f>
        <v>Ratios monétaires</v>
      </c>
      <c r="C51" s="467">
        <f>'Intrants 1'!D333</f>
        <v>31730</v>
      </c>
      <c r="D51" s="555">
        <f>'export postes'!D45</f>
        <v>1</v>
      </c>
      <c r="E51" s="467">
        <f t="shared" ref="E51:E52" si="22">C51*D51</f>
        <v>31730</v>
      </c>
      <c r="F51" s="23"/>
      <c r="G51" s="467">
        <f>'Intrants 1'!H333</f>
        <v>22529.02412444889</v>
      </c>
      <c r="H51" s="467">
        <f t="shared" ref="H51:H52" si="23">G51*D51</f>
        <v>22529.02412444889</v>
      </c>
      <c r="I51" s="23"/>
      <c r="J51" s="2182"/>
      <c r="K51" s="2182"/>
      <c r="L51" s="2183"/>
      <c r="N51" s="2182"/>
      <c r="O51" s="2182"/>
      <c r="P51" s="2183"/>
    </row>
    <row r="52" spans="2:16" s="16" customFormat="1" ht="12.75" customHeight="1">
      <c r="B52" s="429" t="str">
        <f>'Intrants 1'!B334</f>
        <v>Investissements</v>
      </c>
      <c r="C52" s="467">
        <f>'Intrants 1'!D334</f>
        <v>18927</v>
      </c>
      <c r="D52" s="555">
        <f>'export postes'!D46</f>
        <v>1</v>
      </c>
      <c r="E52" s="467">
        <f t="shared" si="22"/>
        <v>18927</v>
      </c>
      <c r="F52" s="23"/>
      <c r="G52" s="467">
        <f>'Intrants 1'!H334</f>
        <v>8530.5063859069924</v>
      </c>
      <c r="H52" s="467">
        <f t="shared" si="23"/>
        <v>8530.5063859069924</v>
      </c>
      <c r="I52" s="23"/>
      <c r="J52" s="467" t="e">
        <f>'Intrants 1'!#REF!</f>
        <v>#REF!</v>
      </c>
      <c r="K52" s="467" t="e">
        <f t="shared" si="18"/>
        <v>#REF!</v>
      </c>
      <c r="L52" s="471" t="e">
        <f t="shared" si="19"/>
        <v>#REF!</v>
      </c>
      <c r="N52" s="467" t="e">
        <f>'Intrants 1'!#REF!</f>
        <v>#REF!</v>
      </c>
      <c r="O52" s="467" t="e">
        <f t="shared" si="20"/>
        <v>#REF!</v>
      </c>
      <c r="P52" s="471" t="e">
        <f t="shared" si="21"/>
        <v>#REF!</v>
      </c>
    </row>
    <row r="53" spans="2:16" s="19" customFormat="1" ht="12.75" customHeight="1">
      <c r="B53" s="235"/>
      <c r="C53" s="553"/>
      <c r="D53" s="25"/>
      <c r="E53" s="553"/>
      <c r="F53" s="31"/>
      <c r="G53" s="553"/>
      <c r="H53" s="553"/>
      <c r="J53" s="553"/>
      <c r="K53" s="553"/>
      <c r="L53" s="553"/>
      <c r="N53" s="553"/>
      <c r="O53" s="553"/>
      <c r="P53" s="553"/>
    </row>
    <row r="54" spans="2:16" s="16" customFormat="1" ht="12.75" customHeight="1">
      <c r="B54" s="548" t="str">
        <f>'Intrants 2'!B321</f>
        <v>Intrants 2</v>
      </c>
      <c r="C54" s="495">
        <f>SUM(C55:C64)</f>
        <v>0</v>
      </c>
      <c r="D54" s="25"/>
      <c r="E54" s="495">
        <f>SUM(E55:E64)</f>
        <v>0</v>
      </c>
      <c r="F54" s="23"/>
      <c r="G54" s="495">
        <f>SQRT(SUMSQ(G55:G64))</f>
        <v>0</v>
      </c>
      <c r="H54" s="495">
        <f>SUM(H55:H64)</f>
        <v>0</v>
      </c>
      <c r="I54" s="23"/>
      <c r="J54" s="495" t="e">
        <f>SUM(J55:J64)</f>
        <v>#REF!</v>
      </c>
      <c r="K54" s="495" t="e">
        <f>SUM(K55:K64)</f>
        <v>#REF!</v>
      </c>
      <c r="L54" s="510" t="e">
        <f>SUM(L55:L64)</f>
        <v>#REF!</v>
      </c>
      <c r="N54" s="495" t="e">
        <f>SUM(N55:N64)</f>
        <v>#REF!</v>
      </c>
      <c r="O54" s="495" t="e">
        <f>SUM(O55:O64)</f>
        <v>#REF!</v>
      </c>
      <c r="P54" s="510" t="e">
        <f>SUM(P55:P64)</f>
        <v>#REF!</v>
      </c>
    </row>
    <row r="55" spans="2:16" s="16" customFormat="1" ht="12.75" customHeight="1">
      <c r="B55" s="429" t="str">
        <f>'Intrants 2'!B323</f>
        <v>Métaux</v>
      </c>
      <c r="C55" s="467">
        <f>'Intrants 2'!D323</f>
        <v>0</v>
      </c>
      <c r="D55" s="555">
        <f>'export postes'!D49</f>
        <v>1</v>
      </c>
      <c r="E55" s="467">
        <f t="shared" ref="E55:E62" si="24">C55*D55</f>
        <v>0</v>
      </c>
      <c r="F55" s="23"/>
      <c r="G55" s="467">
        <f>'Intrants 2'!H323</f>
        <v>0</v>
      </c>
      <c r="H55" s="467">
        <f t="shared" ref="H55:H62" si="25">G55*D55</f>
        <v>0</v>
      </c>
      <c r="I55" s="23"/>
      <c r="J55" s="467" t="e">
        <f>#REF!</f>
        <v>#REF!</v>
      </c>
      <c r="K55" s="467" t="e">
        <f t="shared" ref="K55:K64" si="26">J55*D55</f>
        <v>#REF!</v>
      </c>
      <c r="L55" s="471" t="e">
        <f t="shared" ref="L55:L64" si="27">K55*12/44</f>
        <v>#REF!</v>
      </c>
      <c r="N55" s="467" t="e">
        <f>#REF!</f>
        <v>#REF!</v>
      </c>
      <c r="O55" s="467" t="e">
        <f t="shared" ref="O55:O64" si="28">N55*D55</f>
        <v>#REF!</v>
      </c>
      <c r="P55" s="471" t="e">
        <f t="shared" ref="P55:P64" si="29">O55*12/44</f>
        <v>#REF!</v>
      </c>
    </row>
    <row r="56" spans="2:16" s="16" customFormat="1" ht="12.75" customHeight="1">
      <c r="B56" s="429" t="str">
        <f>'Intrants 2'!B324</f>
        <v>Plastiques</v>
      </c>
      <c r="C56" s="467">
        <f>'Intrants 2'!D324</f>
        <v>0</v>
      </c>
      <c r="D56" s="555">
        <f>'export postes'!D50</f>
        <v>1</v>
      </c>
      <c r="E56" s="467">
        <f t="shared" si="24"/>
        <v>0</v>
      </c>
      <c r="F56" s="23"/>
      <c r="G56" s="467">
        <f>'Intrants 2'!H324</f>
        <v>0</v>
      </c>
      <c r="H56" s="467">
        <f t="shared" si="25"/>
        <v>0</v>
      </c>
      <c r="I56" s="23"/>
      <c r="J56" s="467" t="e">
        <f>#REF!</f>
        <v>#REF!</v>
      </c>
      <c r="K56" s="467" t="e">
        <f t="shared" si="26"/>
        <v>#REF!</v>
      </c>
      <c r="L56" s="471" t="e">
        <f t="shared" si="27"/>
        <v>#REF!</v>
      </c>
      <c r="N56" s="467" t="e">
        <f>#REF!</f>
        <v>#REF!</v>
      </c>
      <c r="O56" s="467" t="e">
        <f t="shared" si="28"/>
        <v>#REF!</v>
      </c>
      <c r="P56" s="471" t="e">
        <f t="shared" si="29"/>
        <v>#REF!</v>
      </c>
    </row>
    <row r="57" spans="2:16" s="16" customFormat="1" ht="12.75" customHeight="1">
      <c r="B57" s="429" t="str">
        <f>'Intrants 2'!B325</f>
        <v>Verre</v>
      </c>
      <c r="C57" s="467">
        <f>'Intrants 2'!D325</f>
        <v>0</v>
      </c>
      <c r="D57" s="555">
        <f>'export postes'!D51</f>
        <v>1</v>
      </c>
      <c r="E57" s="467">
        <f t="shared" si="24"/>
        <v>0</v>
      </c>
      <c r="F57" s="23"/>
      <c r="G57" s="467">
        <f>'Intrants 2'!H325</f>
        <v>0</v>
      </c>
      <c r="H57" s="467">
        <f t="shared" si="25"/>
        <v>0</v>
      </c>
      <c r="I57" s="23"/>
      <c r="J57" s="467" t="e">
        <f>#REF!</f>
        <v>#REF!</v>
      </c>
      <c r="K57" s="467" t="e">
        <f t="shared" si="26"/>
        <v>#REF!</v>
      </c>
      <c r="L57" s="471" t="e">
        <f t="shared" si="27"/>
        <v>#REF!</v>
      </c>
      <c r="N57" s="467" t="e">
        <f>#REF!</f>
        <v>#REF!</v>
      </c>
      <c r="O57" s="467" t="e">
        <f t="shared" si="28"/>
        <v>#REF!</v>
      </c>
      <c r="P57" s="471" t="e">
        <f t="shared" si="29"/>
        <v>#REF!</v>
      </c>
    </row>
    <row r="58" spans="2:16" s="16" customFormat="1" ht="12.75" customHeight="1">
      <c r="B58" s="429" t="str">
        <f>'Intrants 2'!B326</f>
        <v>Papiers &amp; cartons</v>
      </c>
      <c r="C58" s="467">
        <f>'Intrants 2'!D326</f>
        <v>0</v>
      </c>
      <c r="D58" s="555">
        <f>'export postes'!D52</f>
        <v>1</v>
      </c>
      <c r="E58" s="467">
        <f t="shared" si="24"/>
        <v>0</v>
      </c>
      <c r="F58" s="23"/>
      <c r="G58" s="467">
        <f>'Intrants 2'!H326</f>
        <v>0</v>
      </c>
      <c r="H58" s="467">
        <f t="shared" si="25"/>
        <v>0</v>
      </c>
      <c r="I58" s="23"/>
      <c r="J58" s="467" t="e">
        <f>#REF!</f>
        <v>#REF!</v>
      </c>
      <c r="K58" s="467" t="e">
        <f t="shared" si="26"/>
        <v>#REF!</v>
      </c>
      <c r="L58" s="471" t="e">
        <f t="shared" si="27"/>
        <v>#REF!</v>
      </c>
      <c r="N58" s="467" t="e">
        <f>#REF!</f>
        <v>#REF!</v>
      </c>
      <c r="O58" s="467" t="e">
        <f t="shared" si="28"/>
        <v>#REF!</v>
      </c>
      <c r="P58" s="471" t="e">
        <f t="shared" si="29"/>
        <v>#REF!</v>
      </c>
    </row>
    <row r="59" spans="2:16" s="16" customFormat="1" ht="12.75" customHeight="1">
      <c r="B59" s="429" t="str">
        <f>'Intrants 2'!B327</f>
        <v>Matériaux de construction</v>
      </c>
      <c r="C59" s="467">
        <f>'Intrants 2'!D327</f>
        <v>0</v>
      </c>
      <c r="D59" s="555">
        <f>'export postes'!D53</f>
        <v>1</v>
      </c>
      <c r="E59" s="467">
        <f t="shared" si="24"/>
        <v>0</v>
      </c>
      <c r="F59" s="23"/>
      <c r="G59" s="467">
        <f>'Intrants 2'!H327</f>
        <v>0</v>
      </c>
      <c r="H59" s="467">
        <f t="shared" si="25"/>
        <v>0</v>
      </c>
      <c r="I59" s="23"/>
      <c r="J59" s="467" t="e">
        <f>#REF!</f>
        <v>#REF!</v>
      </c>
      <c r="K59" s="467" t="e">
        <f t="shared" si="26"/>
        <v>#REF!</v>
      </c>
      <c r="L59" s="471" t="e">
        <f t="shared" si="27"/>
        <v>#REF!</v>
      </c>
      <c r="N59" s="467" t="e">
        <f>#REF!</f>
        <v>#REF!</v>
      </c>
      <c r="O59" s="467" t="e">
        <f t="shared" si="28"/>
        <v>#REF!</v>
      </c>
      <c r="P59" s="471" t="e">
        <f t="shared" si="29"/>
        <v>#REF!</v>
      </c>
    </row>
    <row r="60" spans="2:16" s="16" customFormat="1" ht="12.75" customHeight="1">
      <c r="B60" s="429" t="str">
        <f>'Intrants 2'!B328</f>
        <v>Produits chimiques</v>
      </c>
      <c r="C60" s="467">
        <f>'Intrants 2'!D328</f>
        <v>0</v>
      </c>
      <c r="D60" s="555">
        <f>'export postes'!D54</f>
        <v>1</v>
      </c>
      <c r="E60" s="467">
        <f t="shared" si="24"/>
        <v>0</v>
      </c>
      <c r="F60" s="23"/>
      <c r="G60" s="467">
        <f>'Intrants 2'!H328</f>
        <v>0</v>
      </c>
      <c r="H60" s="467">
        <f t="shared" si="25"/>
        <v>0</v>
      </c>
      <c r="I60" s="23"/>
      <c r="J60" s="467" t="e">
        <f>#REF!</f>
        <v>#REF!</v>
      </c>
      <c r="K60" s="467" t="e">
        <f t="shared" si="26"/>
        <v>#REF!</v>
      </c>
      <c r="L60" s="471" t="e">
        <f t="shared" si="27"/>
        <v>#REF!</v>
      </c>
      <c r="N60" s="467" t="e">
        <f>#REF!</f>
        <v>#REF!</v>
      </c>
      <c r="O60" s="467" t="e">
        <f t="shared" si="28"/>
        <v>#REF!</v>
      </c>
      <c r="P60" s="471" t="e">
        <f t="shared" si="29"/>
        <v>#REF!</v>
      </c>
    </row>
    <row r="61" spans="2:16" s="16" customFormat="1" ht="12.75" customHeight="1">
      <c r="B61" s="429" t="str">
        <f>'Intrants 2'!B329</f>
        <v>Nourriture</v>
      </c>
      <c r="C61" s="467">
        <f>'Intrants 2'!D329</f>
        <v>0</v>
      </c>
      <c r="D61" s="555">
        <f>'export postes'!D55</f>
        <v>1</v>
      </c>
      <c r="E61" s="467">
        <f t="shared" si="24"/>
        <v>0</v>
      </c>
      <c r="F61" s="23"/>
      <c r="G61" s="467">
        <f>'Intrants 2'!H329</f>
        <v>0</v>
      </c>
      <c r="H61" s="467">
        <f t="shared" si="25"/>
        <v>0</v>
      </c>
      <c r="I61" s="23"/>
      <c r="J61" s="467" t="e">
        <f>#REF!</f>
        <v>#REF!</v>
      </c>
      <c r="K61" s="467" t="e">
        <f t="shared" si="26"/>
        <v>#REF!</v>
      </c>
      <c r="L61" s="471" t="e">
        <f t="shared" si="27"/>
        <v>#REF!</v>
      </c>
      <c r="N61" s="467" t="e">
        <f>#REF!</f>
        <v>#REF!</v>
      </c>
      <c r="O61" s="467" t="e">
        <f t="shared" si="28"/>
        <v>#REF!</v>
      </c>
      <c r="P61" s="471" t="e">
        <f t="shared" si="29"/>
        <v>#REF!</v>
      </c>
    </row>
    <row r="62" spans="2:16" s="16" customFormat="1" ht="12.75" customHeight="1">
      <c r="B62" s="429" t="str">
        <f>'Intrants 2'!B330</f>
        <v>Autres intrants</v>
      </c>
      <c r="C62" s="467">
        <f>'Intrants 2'!D330</f>
        <v>0</v>
      </c>
      <c r="D62" s="555">
        <f>'export postes'!D56</f>
        <v>1</v>
      </c>
      <c r="E62" s="467">
        <f t="shared" si="24"/>
        <v>0</v>
      </c>
      <c r="F62" s="23"/>
      <c r="G62" s="467">
        <f>'Intrants 2'!H330</f>
        <v>0</v>
      </c>
      <c r="H62" s="467">
        <f t="shared" si="25"/>
        <v>0</v>
      </c>
      <c r="I62" s="23"/>
      <c r="J62" s="467" t="e">
        <f>#REF!</f>
        <v>#REF!</v>
      </c>
      <c r="K62" s="467" t="e">
        <f t="shared" si="26"/>
        <v>#REF!</v>
      </c>
      <c r="L62" s="471" t="e">
        <f t="shared" si="27"/>
        <v>#REF!</v>
      </c>
      <c r="N62" s="467" t="e">
        <f>#REF!</f>
        <v>#REF!</v>
      </c>
      <c r="O62" s="467" t="e">
        <f t="shared" si="28"/>
        <v>#REF!</v>
      </c>
      <c r="P62" s="471" t="e">
        <f t="shared" si="29"/>
        <v>#REF!</v>
      </c>
    </row>
    <row r="63" spans="2:16" s="16" customFormat="1" ht="12.75" customHeight="1">
      <c r="B63" s="429" t="str">
        <f>'Intrants 2'!B331</f>
        <v>Ratios monétaires</v>
      </c>
      <c r="C63" s="467">
        <f>'Intrants 2'!D331</f>
        <v>0</v>
      </c>
      <c r="D63" s="555">
        <f>'export postes'!D57</f>
        <v>1</v>
      </c>
      <c r="E63" s="467">
        <f t="shared" ref="E63:E64" si="30">C63*D63</f>
        <v>0</v>
      </c>
      <c r="F63" s="23"/>
      <c r="G63" s="467">
        <f>'Intrants 2'!H331</f>
        <v>0</v>
      </c>
      <c r="H63" s="467">
        <f t="shared" ref="H63:H64" si="31">G63*D63</f>
        <v>0</v>
      </c>
      <c r="I63" s="23"/>
      <c r="J63" s="2182"/>
      <c r="K63" s="2182"/>
      <c r="L63" s="2183"/>
      <c r="N63" s="2182"/>
      <c r="O63" s="2182"/>
      <c r="P63" s="2183"/>
    </row>
    <row r="64" spans="2:16" s="16" customFormat="1" ht="12.75" customHeight="1">
      <c r="B64" s="429" t="str">
        <f>'Intrants 2'!B332</f>
        <v>Investissements</v>
      </c>
      <c r="C64" s="467">
        <f>'Intrants 2'!D332</f>
        <v>0</v>
      </c>
      <c r="D64" s="555">
        <f>'export postes'!D58</f>
        <v>1</v>
      </c>
      <c r="E64" s="467">
        <f t="shared" si="30"/>
        <v>0</v>
      </c>
      <c r="F64" s="23"/>
      <c r="G64" s="467">
        <f>'Intrants 2'!H332</f>
        <v>0</v>
      </c>
      <c r="H64" s="467">
        <f t="shared" si="31"/>
        <v>0</v>
      </c>
      <c r="I64" s="23"/>
      <c r="J64" s="467" t="e">
        <f>#REF!</f>
        <v>#REF!</v>
      </c>
      <c r="K64" s="467" t="e">
        <f t="shared" si="26"/>
        <v>#REF!</v>
      </c>
      <c r="L64" s="471" t="e">
        <f t="shared" si="27"/>
        <v>#REF!</v>
      </c>
      <c r="N64" s="467" t="e">
        <f>#REF!</f>
        <v>#REF!</v>
      </c>
      <c r="O64" s="467" t="e">
        <f t="shared" si="28"/>
        <v>#REF!</v>
      </c>
      <c r="P64" s="471" t="e">
        <f t="shared" si="29"/>
        <v>#REF!</v>
      </c>
    </row>
    <row r="65" spans="2:16" s="19" customFormat="1" ht="12.75" customHeight="1">
      <c r="B65" s="235"/>
      <c r="C65" s="553"/>
      <c r="D65" s="25"/>
      <c r="E65" s="553"/>
      <c r="F65" s="31"/>
      <c r="G65" s="553"/>
      <c r="H65" s="553"/>
      <c r="J65" s="553"/>
      <c r="K65" s="553"/>
      <c r="L65" s="553"/>
      <c r="N65" s="553"/>
      <c r="O65" s="553"/>
      <c r="P65" s="553"/>
    </row>
    <row r="66" spans="2:16" s="16" customFormat="1" ht="12.75" customHeight="1">
      <c r="B66" s="549" t="str">
        <f>'Futurs emballages'!B85</f>
        <v>Futurs emballages</v>
      </c>
      <c r="C66" s="501">
        <f>SUM(C67:C79)</f>
        <v>309180</v>
      </c>
      <c r="D66" s="26"/>
      <c r="E66" s="501">
        <f>SUM(E67:E79)</f>
        <v>309180</v>
      </c>
      <c r="F66" s="23"/>
      <c r="G66" s="501">
        <f>SQRT(SUMSQ(G67:G79))</f>
        <v>32514.390660136934</v>
      </c>
      <c r="H66" s="501">
        <f>SUM(H67:H79)</f>
        <v>55240</v>
      </c>
      <c r="I66" s="23"/>
      <c r="J66" s="501" t="e">
        <f>SUM(J67:J79)</f>
        <v>#REF!</v>
      </c>
      <c r="K66" s="501" t="e">
        <f>SUM(K67:K79)</f>
        <v>#REF!</v>
      </c>
      <c r="L66" s="511" t="e">
        <f>SUM(L67:L79)</f>
        <v>#REF!</v>
      </c>
      <c r="N66" s="501" t="e">
        <f>SUM(N67:N79)</f>
        <v>#REF!</v>
      </c>
      <c r="O66" s="501" t="e">
        <f>SUM(O67:O79)</f>
        <v>#REF!</v>
      </c>
      <c r="P66" s="511" t="e">
        <f>SUM(P67:P79)</f>
        <v>#REF!</v>
      </c>
    </row>
    <row r="67" spans="2:16" s="16" customFormat="1" ht="12.75" customHeight="1">
      <c r="B67" s="465" t="str">
        <f>'Futurs emballages'!B87</f>
        <v>Métaux, fabrication</v>
      </c>
      <c r="C67" s="466">
        <f>'Futurs emballages'!D87</f>
        <v>0</v>
      </c>
      <c r="D67" s="554">
        <f>'export postes'!D61</f>
        <v>1</v>
      </c>
      <c r="E67" s="466">
        <f t="shared" ref="E67:E78" si="32">C67*D67</f>
        <v>0</v>
      </c>
      <c r="F67" s="23"/>
      <c r="G67" s="466">
        <f>'Futurs emballages'!H87</f>
        <v>0</v>
      </c>
      <c r="H67" s="466">
        <f>G67*D67</f>
        <v>0</v>
      </c>
      <c r="I67" s="23"/>
      <c r="J67" s="466" t="e">
        <f>'Futurs emballages'!#REF!</f>
        <v>#REF!</v>
      </c>
      <c r="K67" s="466" t="e">
        <f>J67*D67</f>
        <v>#REF!</v>
      </c>
      <c r="L67" s="472" t="e">
        <f t="shared" ref="L67:L78" si="33">K67*12/44</f>
        <v>#REF!</v>
      </c>
      <c r="N67" s="466" t="e">
        <f>'Futurs emballages'!#REF!</f>
        <v>#REF!</v>
      </c>
      <c r="O67" s="466" t="e">
        <f>N67*D67</f>
        <v>#REF!</v>
      </c>
      <c r="P67" s="472" t="e">
        <f t="shared" ref="P67:P78" si="34">O67*12/44</f>
        <v>#REF!</v>
      </c>
    </row>
    <row r="68" spans="2:16" s="16" customFormat="1" ht="12.75" customHeight="1">
      <c r="B68" s="465" t="str">
        <f>'Futurs emballages'!B88</f>
        <v>Plastiques, fabrication</v>
      </c>
      <c r="C68" s="466">
        <f>'Futurs emballages'!D88</f>
        <v>110000</v>
      </c>
      <c r="D68" s="554">
        <f>'export postes'!D62</f>
        <v>1</v>
      </c>
      <c r="E68" s="466">
        <f t="shared" si="32"/>
        <v>110000</v>
      </c>
      <c r="F68" s="23"/>
      <c r="G68" s="466">
        <f>'Futurs emballages'!H88</f>
        <v>22000</v>
      </c>
      <c r="H68" s="466">
        <f>G68*D68</f>
        <v>22000</v>
      </c>
      <c r="I68" s="23"/>
      <c r="J68" s="466" t="e">
        <f>'Futurs emballages'!#REF!</f>
        <v>#REF!</v>
      </c>
      <c r="K68" s="466" t="e">
        <f>J68*D68</f>
        <v>#REF!</v>
      </c>
      <c r="L68" s="472" t="e">
        <f t="shared" si="33"/>
        <v>#REF!</v>
      </c>
      <c r="N68" s="466" t="e">
        <f>'Futurs emballages'!#REF!</f>
        <v>#REF!</v>
      </c>
      <c r="O68" s="466" t="e">
        <f>N68*D68</f>
        <v>#REF!</v>
      </c>
      <c r="P68" s="472" t="e">
        <f t="shared" si="34"/>
        <v>#REF!</v>
      </c>
    </row>
    <row r="69" spans="2:16" s="16" customFormat="1" ht="12.75" customHeight="1">
      <c r="B69" s="465" t="str">
        <f>'Futurs emballages'!B89</f>
        <v>Verre, fabrication</v>
      </c>
      <c r="C69" s="466">
        <f>'Futurs emballages'!D89</f>
        <v>0</v>
      </c>
      <c r="D69" s="554">
        <f>'export postes'!D63</f>
        <v>1</v>
      </c>
      <c r="E69" s="466">
        <f t="shared" si="32"/>
        <v>0</v>
      </c>
      <c r="F69" s="23"/>
      <c r="G69" s="466">
        <f>'Futurs emballages'!H89</f>
        <v>0</v>
      </c>
      <c r="H69" s="466">
        <f>G69*D69</f>
        <v>0</v>
      </c>
      <c r="I69" s="23"/>
      <c r="J69" s="466" t="e">
        <f>'Futurs emballages'!#REF!</f>
        <v>#REF!</v>
      </c>
      <c r="K69" s="466" t="e">
        <f>J69*D69</f>
        <v>#REF!</v>
      </c>
      <c r="L69" s="472" t="e">
        <f t="shared" si="33"/>
        <v>#REF!</v>
      </c>
      <c r="N69" s="466" t="e">
        <f>'Futurs emballages'!#REF!</f>
        <v>#REF!</v>
      </c>
      <c r="O69" s="466" t="e">
        <f>N69*D69</f>
        <v>#REF!</v>
      </c>
      <c r="P69" s="472" t="e">
        <f t="shared" si="34"/>
        <v>#REF!</v>
      </c>
    </row>
    <row r="70" spans="2:16" s="16" customFormat="1" ht="12.75" customHeight="1">
      <c r="B70" s="465" t="str">
        <f>'Futurs emballages'!B90</f>
        <v>Papiers et cartons, fabrication</v>
      </c>
      <c r="C70" s="466">
        <f>'Futurs emballages'!D90</f>
        <v>67000</v>
      </c>
      <c r="D70" s="554">
        <f>'export postes'!D64</f>
        <v>1</v>
      </c>
      <c r="E70" s="466">
        <f t="shared" si="32"/>
        <v>67000</v>
      </c>
      <c r="F70" s="23"/>
      <c r="G70" s="466">
        <f>'Futurs emballages'!H90</f>
        <v>13400</v>
      </c>
      <c r="H70" s="466">
        <f>G70*D70</f>
        <v>13400</v>
      </c>
      <c r="I70" s="23"/>
      <c r="J70" s="466" t="e">
        <f>'Futurs emballages'!#REF!</f>
        <v>#REF!</v>
      </c>
      <c r="K70" s="466" t="e">
        <f>J70*D70</f>
        <v>#REF!</v>
      </c>
      <c r="L70" s="472" t="e">
        <f t="shared" si="33"/>
        <v>#REF!</v>
      </c>
      <c r="N70" s="466" t="e">
        <f>'Futurs emballages'!#REF!</f>
        <v>#REF!</v>
      </c>
      <c r="O70" s="466" t="e">
        <f>N70*D70</f>
        <v>#REF!</v>
      </c>
      <c r="P70" s="472" t="e">
        <f t="shared" si="34"/>
        <v>#REF!</v>
      </c>
    </row>
    <row r="71" spans="2:16" s="16" customFormat="1" ht="12.75" hidden="1" customHeight="1">
      <c r="B71" s="465"/>
      <c r="C71" s="466"/>
      <c r="D71" s="554"/>
      <c r="E71" s="466"/>
      <c r="F71" s="23"/>
      <c r="G71" s="466"/>
      <c r="H71" s="466"/>
      <c r="I71" s="23"/>
      <c r="J71" s="466"/>
      <c r="K71" s="466"/>
      <c r="L71" s="472"/>
      <c r="N71" s="466"/>
      <c r="O71" s="466"/>
      <c r="P71" s="472"/>
    </row>
    <row r="72" spans="2:16" s="16" customFormat="1" ht="12.75" hidden="1" customHeight="1">
      <c r="B72" s="465"/>
      <c r="C72" s="466"/>
      <c r="D72" s="554"/>
      <c r="E72" s="466"/>
      <c r="F72" s="23"/>
      <c r="G72" s="466"/>
      <c r="H72" s="466"/>
      <c r="I72" s="23"/>
      <c r="J72" s="466"/>
      <c r="K72" s="466"/>
      <c r="L72" s="472"/>
      <c r="N72" s="466"/>
      <c r="O72" s="466"/>
      <c r="P72" s="472"/>
    </row>
    <row r="73" spans="2:16" s="16" customFormat="1" ht="12.75" hidden="1" customHeight="1">
      <c r="B73" s="465"/>
      <c r="C73" s="466"/>
      <c r="D73" s="554"/>
      <c r="E73" s="466"/>
      <c r="F73" s="23"/>
      <c r="G73" s="466"/>
      <c r="H73" s="466"/>
      <c r="I73" s="23"/>
      <c r="J73" s="466"/>
      <c r="K73" s="466"/>
      <c r="L73" s="472"/>
      <c r="N73" s="466"/>
      <c r="O73" s="466"/>
      <c r="P73" s="472"/>
    </row>
    <row r="74" spans="2:16" s="16" customFormat="1" ht="12.75" hidden="1" customHeight="1">
      <c r="B74" s="465"/>
      <c r="C74" s="466"/>
      <c r="D74" s="554"/>
      <c r="E74" s="466"/>
      <c r="F74" s="23"/>
      <c r="G74" s="466"/>
      <c r="H74" s="466"/>
      <c r="I74" s="23"/>
      <c r="J74" s="466"/>
      <c r="K74" s="466"/>
      <c r="L74" s="472"/>
      <c r="N74" s="466"/>
      <c r="O74" s="466"/>
      <c r="P74" s="472"/>
    </row>
    <row r="75" spans="2:16" s="16" customFormat="1" ht="12.75" customHeight="1">
      <c r="B75" s="465" t="str">
        <f>'Futurs emballages'!B91</f>
        <v>Métaux, fin de vie</v>
      </c>
      <c r="C75" s="466">
        <f>'Futurs emballages'!D91</f>
        <v>0</v>
      </c>
      <c r="D75" s="554">
        <f>'export postes'!D61</f>
        <v>1</v>
      </c>
      <c r="E75" s="466">
        <f t="shared" si="32"/>
        <v>0</v>
      </c>
      <c r="F75" s="23"/>
      <c r="G75" s="466">
        <f>'Futurs emballages'!H91</f>
        <v>0</v>
      </c>
      <c r="H75" s="466">
        <f>G75*D75</f>
        <v>0</v>
      </c>
      <c r="I75" s="23"/>
      <c r="J75" s="466" t="e">
        <f>'Futurs emballages'!#REF!</f>
        <v>#REF!</v>
      </c>
      <c r="K75" s="466" t="e">
        <f>J75*D75</f>
        <v>#REF!</v>
      </c>
      <c r="L75" s="472" t="e">
        <f t="shared" si="33"/>
        <v>#REF!</v>
      </c>
      <c r="N75" s="466" t="e">
        <f>'Futurs emballages'!#REF!</f>
        <v>#REF!</v>
      </c>
      <c r="O75" s="466" t="e">
        <f>N75*D75</f>
        <v>#REF!</v>
      </c>
      <c r="P75" s="472" t="e">
        <f t="shared" si="34"/>
        <v>#REF!</v>
      </c>
    </row>
    <row r="76" spans="2:16" s="16" customFormat="1" ht="12.75" customHeight="1">
      <c r="B76" s="465" t="str">
        <f>'Futurs emballages'!B92</f>
        <v>Plastiques, fin de vie</v>
      </c>
      <c r="C76" s="466">
        <f>'Futurs emballages'!D92</f>
        <v>32980</v>
      </c>
      <c r="D76" s="554">
        <f>'export postes'!D62</f>
        <v>1</v>
      </c>
      <c r="E76" s="466">
        <f t="shared" si="32"/>
        <v>32980</v>
      </c>
      <c r="F76" s="23"/>
      <c r="G76" s="466">
        <f>'Futurs emballages'!H92</f>
        <v>0</v>
      </c>
      <c r="H76" s="466">
        <f>G76*D76</f>
        <v>0</v>
      </c>
      <c r="I76" s="23"/>
      <c r="J76" s="466" t="e">
        <f>'Futurs emballages'!#REF!</f>
        <v>#REF!</v>
      </c>
      <c r="K76" s="466" t="e">
        <f>J76*D76</f>
        <v>#REF!</v>
      </c>
      <c r="L76" s="472" t="e">
        <f t="shared" si="33"/>
        <v>#REF!</v>
      </c>
      <c r="N76" s="466" t="e">
        <f>'Futurs emballages'!#REF!</f>
        <v>#REF!</v>
      </c>
      <c r="O76" s="466" t="e">
        <f>N76*D76</f>
        <v>#REF!</v>
      </c>
      <c r="P76" s="472" t="e">
        <f t="shared" si="34"/>
        <v>#REF!</v>
      </c>
    </row>
    <row r="77" spans="2:16" s="16" customFormat="1" ht="12.75" customHeight="1">
      <c r="B77" s="465" t="str">
        <f>'Futurs emballages'!B93</f>
        <v>Verre, fin de vie</v>
      </c>
      <c r="C77" s="466">
        <f>'Futurs emballages'!D93</f>
        <v>0</v>
      </c>
      <c r="D77" s="554">
        <f>'export postes'!D63</f>
        <v>1</v>
      </c>
      <c r="E77" s="466">
        <f t="shared" si="32"/>
        <v>0</v>
      </c>
      <c r="F77" s="23"/>
      <c r="G77" s="466">
        <f>'Futurs emballages'!H93</f>
        <v>0</v>
      </c>
      <c r="H77" s="466">
        <f>G77*D77</f>
        <v>0</v>
      </c>
      <c r="I77" s="23"/>
      <c r="J77" s="466" t="e">
        <f>'Futurs emballages'!#REF!</f>
        <v>#REF!</v>
      </c>
      <c r="K77" s="466" t="e">
        <f>J77*D77</f>
        <v>#REF!</v>
      </c>
      <c r="L77" s="472" t="e">
        <f t="shared" si="33"/>
        <v>#REF!</v>
      </c>
      <c r="N77" s="466" t="e">
        <f>'Futurs emballages'!#REF!</f>
        <v>#REF!</v>
      </c>
      <c r="O77" s="466" t="e">
        <f>N77*D77</f>
        <v>#REF!</v>
      </c>
      <c r="P77" s="472" t="e">
        <f t="shared" si="34"/>
        <v>#REF!</v>
      </c>
    </row>
    <row r="78" spans="2:16" s="16" customFormat="1" ht="12.75" customHeight="1">
      <c r="B78" s="465" t="str">
        <f>'Futurs emballages'!B94</f>
        <v>Papiers et cartons, fin de vie</v>
      </c>
      <c r="C78" s="466">
        <f>'Futurs emballages'!D94</f>
        <v>99200</v>
      </c>
      <c r="D78" s="554">
        <f>'export postes'!D64</f>
        <v>1</v>
      </c>
      <c r="E78" s="466">
        <f t="shared" si="32"/>
        <v>99200</v>
      </c>
      <c r="F78" s="23"/>
      <c r="G78" s="466">
        <f>'Futurs emballages'!H94</f>
        <v>19840</v>
      </c>
      <c r="H78" s="466">
        <f>G78*D78</f>
        <v>19840</v>
      </c>
      <c r="I78" s="23"/>
      <c r="J78" s="466" t="e">
        <f>'Futurs emballages'!#REF!</f>
        <v>#REF!</v>
      </c>
      <c r="K78" s="466" t="e">
        <f>J78*D78</f>
        <v>#REF!</v>
      </c>
      <c r="L78" s="472" t="e">
        <f t="shared" si="33"/>
        <v>#REF!</v>
      </c>
      <c r="N78" s="466" t="e">
        <f>'Futurs emballages'!#REF!</f>
        <v>#REF!</v>
      </c>
      <c r="O78" s="466" t="e">
        <f>N78*D78</f>
        <v>#REF!</v>
      </c>
      <c r="P78" s="472" t="e">
        <f t="shared" si="34"/>
        <v>#REF!</v>
      </c>
    </row>
    <row r="79" spans="2:16" s="16" customFormat="1" ht="12.75" hidden="1" customHeight="1">
      <c r="B79" s="465"/>
      <c r="C79" s="466"/>
      <c r="D79" s="554"/>
      <c r="E79" s="466"/>
      <c r="F79" s="23"/>
      <c r="G79" s="466"/>
      <c r="H79" s="466"/>
      <c r="I79" s="23"/>
      <c r="J79" s="466"/>
      <c r="K79" s="466"/>
      <c r="L79" s="472"/>
      <c r="N79" s="466"/>
      <c r="O79" s="466"/>
      <c r="P79" s="472"/>
    </row>
    <row r="80" spans="2:16" s="19" customFormat="1" ht="12.75" customHeight="1">
      <c r="B80" s="235"/>
      <c r="C80" s="553"/>
      <c r="D80" s="31"/>
      <c r="E80" s="553"/>
      <c r="F80" s="31"/>
      <c r="G80" s="553"/>
      <c r="H80" s="553"/>
      <c r="I80" s="31"/>
      <c r="J80" s="553"/>
      <c r="K80" s="553"/>
      <c r="L80" s="553"/>
      <c r="N80" s="553"/>
      <c r="O80" s="553"/>
      <c r="P80" s="553"/>
    </row>
    <row r="81" spans="2:16" s="16" customFormat="1" ht="12.75" customHeight="1">
      <c r="B81" s="548" t="str">
        <f>Fret!B589</f>
        <v>Fret</v>
      </c>
      <c r="C81" s="495">
        <f>SUM(C82:C126)</f>
        <v>295739.83500000002</v>
      </c>
      <c r="D81" s="25"/>
      <c r="E81" s="495">
        <f>SUM(E82:E126)</f>
        <v>295739.83500000002</v>
      </c>
      <c r="F81" s="34"/>
      <c r="G81" s="495">
        <f>SQRT(SUMSQ(G82:G126))</f>
        <v>80538.449101336722</v>
      </c>
      <c r="H81" s="495">
        <f>SUM(H82:H126)</f>
        <v>156925.91316177836</v>
      </c>
      <c r="I81" s="23"/>
      <c r="J81" s="495" t="e">
        <f>SUM(J82:J126)</f>
        <v>#REF!</v>
      </c>
      <c r="K81" s="495" t="e">
        <f>SUM(K82:K126)</f>
        <v>#REF!</v>
      </c>
      <c r="L81" s="510" t="e">
        <f>SUM(L82:L126)</f>
        <v>#REF!</v>
      </c>
      <c r="N81" s="495" t="e">
        <f>SUM(N82:N126)</f>
        <v>#REF!</v>
      </c>
      <c r="O81" s="495" t="e">
        <f>SUM(O82:O126)</f>
        <v>#REF!</v>
      </c>
      <c r="P81" s="510" t="e">
        <f>SUM(P82:P126)</f>
        <v>#REF!</v>
      </c>
    </row>
    <row r="82" spans="2:16" s="16" customFormat="1" ht="12.75" customHeight="1">
      <c r="B82" s="429" t="str">
        <f>Fret!B591</f>
        <v>Fret routier entrant, véhicules possédés ou opérés, combustion seule</v>
      </c>
      <c r="C82" s="467">
        <f>Fret!E591</f>
        <v>0</v>
      </c>
      <c r="D82" s="555">
        <f>'export postes'!D71</f>
        <v>1</v>
      </c>
      <c r="E82" s="467">
        <f t="shared" ref="E82:E98" si="35">C82*D82</f>
        <v>0</v>
      </c>
      <c r="F82" s="23"/>
      <c r="G82" s="467">
        <f>Fret!I591</f>
        <v>0</v>
      </c>
      <c r="H82" s="467">
        <f t="shared" ref="H82:H126" si="36">G82*D82</f>
        <v>0</v>
      </c>
      <c r="I82" s="23"/>
      <c r="J82" s="467" t="e">
        <f>Fret!#REF!</f>
        <v>#REF!</v>
      </c>
      <c r="K82" s="467" t="e">
        <f t="shared" ref="K82:K126" si="37">J82*D82</f>
        <v>#REF!</v>
      </c>
      <c r="L82" s="471" t="e">
        <f t="shared" ref="L82:L126" si="38">K82*12/44</f>
        <v>#REF!</v>
      </c>
      <c r="N82" s="467" t="e">
        <f>Fret!#REF!</f>
        <v>#REF!</v>
      </c>
      <c r="O82" s="467" t="e">
        <f t="shared" ref="O82:O126" si="39">N82*D82</f>
        <v>#REF!</v>
      </c>
      <c r="P82" s="471" t="e">
        <f t="shared" ref="P82:P126" si="40">O82*12/44</f>
        <v>#REF!</v>
      </c>
    </row>
    <row r="83" spans="2:16" s="16" customFormat="1" ht="12.75" customHeight="1">
      <c r="B83" s="429" t="str">
        <f>Fret!B592</f>
        <v>Fret routier entrant, véhicules non possédé, combustion seule</v>
      </c>
      <c r="C83" s="467">
        <f>Fret!E592</f>
        <v>71331.395000000004</v>
      </c>
      <c r="D83" s="555">
        <f>'export postes'!D71</f>
        <v>1</v>
      </c>
      <c r="E83" s="467">
        <f t="shared" si="35"/>
        <v>71331.395000000004</v>
      </c>
      <c r="F83" s="23"/>
      <c r="G83" s="467">
        <f>Fret!I592</f>
        <v>37145.951147992593</v>
      </c>
      <c r="H83" s="467">
        <f t="shared" si="36"/>
        <v>37145.951147992593</v>
      </c>
      <c r="I83" s="23"/>
      <c r="J83" s="467" t="e">
        <f>Fret!#REF!</f>
        <v>#REF!</v>
      </c>
      <c r="K83" s="467" t="e">
        <f t="shared" si="37"/>
        <v>#REF!</v>
      </c>
      <c r="L83" s="471" t="e">
        <f t="shared" si="38"/>
        <v>#REF!</v>
      </c>
      <c r="N83" s="467" t="e">
        <f>Fret!#REF!</f>
        <v>#REF!</v>
      </c>
      <c r="O83" s="467" t="e">
        <f t="shared" si="39"/>
        <v>#REF!</v>
      </c>
      <c r="P83" s="471" t="e">
        <f t="shared" si="40"/>
        <v>#REF!</v>
      </c>
    </row>
    <row r="84" spans="2:16" s="16" customFormat="1" ht="12.75" customHeight="1">
      <c r="B84" s="429" t="str">
        <f>Fret!B593</f>
        <v>Fret routier entrant, émissions amont du carburant</v>
      </c>
      <c r="C84" s="467">
        <f>Fret!E593</f>
        <v>17408.93</v>
      </c>
      <c r="D84" s="555">
        <f>'export postes'!D71</f>
        <v>1</v>
      </c>
      <c r="E84" s="467">
        <f t="shared" si="35"/>
        <v>17408.93</v>
      </c>
      <c r="F84" s="23"/>
      <c r="G84" s="467">
        <f>Fret!I593</f>
        <v>9065.731341982344</v>
      </c>
      <c r="H84" s="467">
        <f t="shared" si="36"/>
        <v>9065.731341982344</v>
      </c>
      <c r="I84" s="23"/>
      <c r="J84" s="467" t="e">
        <f>Fret!#REF!</f>
        <v>#REF!</v>
      </c>
      <c r="K84" s="467" t="e">
        <f t="shared" si="37"/>
        <v>#REF!</v>
      </c>
      <c r="L84" s="471" t="e">
        <f t="shared" si="38"/>
        <v>#REF!</v>
      </c>
      <c r="N84" s="467" t="e">
        <f>Fret!#REF!</f>
        <v>#REF!</v>
      </c>
      <c r="O84" s="467" t="e">
        <f t="shared" si="39"/>
        <v>#REF!</v>
      </c>
      <c r="P84" s="471" t="e">
        <f t="shared" si="40"/>
        <v>#REF!</v>
      </c>
    </row>
    <row r="85" spans="2:16" s="16" customFormat="1" ht="12.75" customHeight="1">
      <c r="B85" s="429" t="str">
        <f>Fret!B594</f>
        <v>Fret routier entrant, amortissement des véhicules</v>
      </c>
      <c r="C85" s="467">
        <f>Fret!E594</f>
        <v>4295.71</v>
      </c>
      <c r="D85" s="555">
        <f>'export postes'!D71</f>
        <v>1</v>
      </c>
      <c r="E85" s="467">
        <f t="shared" si="35"/>
        <v>4295.71</v>
      </c>
      <c r="F85" s="23"/>
      <c r="G85" s="467">
        <f>Fret!I594</f>
        <v>2236.9986428268121</v>
      </c>
      <c r="H85" s="467">
        <f t="shared" si="36"/>
        <v>2236.9986428268121</v>
      </c>
      <c r="I85" s="23"/>
      <c r="J85" s="467" t="e">
        <f>Fret!#REF!</f>
        <v>#REF!</v>
      </c>
      <c r="K85" s="467" t="e">
        <f t="shared" si="37"/>
        <v>#REF!</v>
      </c>
      <c r="L85" s="471" t="e">
        <f t="shared" si="38"/>
        <v>#REF!</v>
      </c>
      <c r="N85" s="467" t="e">
        <f>Fret!#REF!</f>
        <v>#REF!</v>
      </c>
      <c r="O85" s="467" t="e">
        <f t="shared" si="39"/>
        <v>#REF!</v>
      </c>
      <c r="P85" s="471" t="e">
        <f t="shared" si="40"/>
        <v>#REF!</v>
      </c>
    </row>
    <row r="86" spans="2:16" s="16" customFormat="1" ht="12.75" customHeight="1">
      <c r="B86" s="429" t="str">
        <f>Fret!B595</f>
        <v>Fret aérien entrant, avions possédés ou opérés, combustion seule</v>
      </c>
      <c r="C86" s="467">
        <f>Fret!E595</f>
        <v>0</v>
      </c>
      <c r="D86" s="555">
        <f>'export postes'!D72</f>
        <v>1</v>
      </c>
      <c r="E86" s="467">
        <f t="shared" si="35"/>
        <v>0</v>
      </c>
      <c r="F86" s="23"/>
      <c r="G86" s="467">
        <f>Fret!I595</f>
        <v>0</v>
      </c>
      <c r="H86" s="467">
        <f t="shared" si="36"/>
        <v>0</v>
      </c>
      <c r="I86" s="23"/>
      <c r="J86" s="467" t="e">
        <f>Fret!#REF!</f>
        <v>#REF!</v>
      </c>
      <c r="K86" s="467" t="e">
        <f t="shared" si="37"/>
        <v>#REF!</v>
      </c>
      <c r="L86" s="471" t="e">
        <f t="shared" si="38"/>
        <v>#REF!</v>
      </c>
      <c r="N86" s="467" t="e">
        <f>Fret!#REF!</f>
        <v>#REF!</v>
      </c>
      <c r="O86" s="467" t="e">
        <f t="shared" si="39"/>
        <v>#REF!</v>
      </c>
      <c r="P86" s="471" t="e">
        <f t="shared" si="40"/>
        <v>#REF!</v>
      </c>
    </row>
    <row r="87" spans="2:16" s="16" customFormat="1" ht="12.75" customHeight="1">
      <c r="B87" s="429" t="str">
        <f>Fret!B596</f>
        <v>Fret aérien entrant, avions non possédés, combustion seule</v>
      </c>
      <c r="C87" s="467">
        <f>Fret!E596</f>
        <v>0</v>
      </c>
      <c r="D87" s="555">
        <f>'export postes'!D72</f>
        <v>1</v>
      </c>
      <c r="E87" s="467">
        <f t="shared" si="35"/>
        <v>0</v>
      </c>
      <c r="F87" s="23"/>
      <c r="G87" s="467">
        <f>Fret!I596</f>
        <v>0</v>
      </c>
      <c r="H87" s="467">
        <f t="shared" si="36"/>
        <v>0</v>
      </c>
      <c r="I87" s="23"/>
      <c r="J87" s="467" t="e">
        <f>Fret!#REF!</f>
        <v>#REF!</v>
      </c>
      <c r="K87" s="467" t="e">
        <f t="shared" si="37"/>
        <v>#REF!</v>
      </c>
      <c r="L87" s="471" t="e">
        <f t="shared" si="38"/>
        <v>#REF!</v>
      </c>
      <c r="N87" s="467" t="e">
        <f>Fret!#REF!</f>
        <v>#REF!</v>
      </c>
      <c r="O87" s="467" t="e">
        <f t="shared" si="39"/>
        <v>#REF!</v>
      </c>
      <c r="P87" s="471" t="e">
        <f t="shared" si="40"/>
        <v>#REF!</v>
      </c>
    </row>
    <row r="88" spans="2:16" s="16" customFormat="1" ht="12.75" customHeight="1">
      <c r="B88" s="429" t="str">
        <f>Fret!B597</f>
        <v>Fret aérien entrant, émissions amont du combustible</v>
      </c>
      <c r="C88" s="467">
        <f>Fret!E597</f>
        <v>0</v>
      </c>
      <c r="D88" s="555">
        <f>'export postes'!D72</f>
        <v>1</v>
      </c>
      <c r="E88" s="467">
        <f t="shared" si="35"/>
        <v>0</v>
      </c>
      <c r="F88" s="23"/>
      <c r="G88" s="467">
        <f>Fret!I597</f>
        <v>0</v>
      </c>
      <c r="H88" s="467">
        <f t="shared" si="36"/>
        <v>0</v>
      </c>
      <c r="I88" s="23"/>
      <c r="J88" s="467" t="e">
        <f>Fret!#REF!</f>
        <v>#REF!</v>
      </c>
      <c r="K88" s="467" t="e">
        <f t="shared" si="37"/>
        <v>#REF!</v>
      </c>
      <c r="L88" s="471" t="e">
        <f t="shared" si="38"/>
        <v>#REF!</v>
      </c>
      <c r="N88" s="467" t="e">
        <f>Fret!#REF!</f>
        <v>#REF!</v>
      </c>
      <c r="O88" s="467" t="e">
        <f t="shared" si="39"/>
        <v>#REF!</v>
      </c>
      <c r="P88" s="471" t="e">
        <f t="shared" si="40"/>
        <v>#REF!</v>
      </c>
    </row>
    <row r="89" spans="2:16" s="16" customFormat="1" ht="12.75" customHeight="1">
      <c r="B89" s="429" t="str">
        <f>Fret!B598</f>
        <v>Fret aérien entrant, émissions hors Kyoto</v>
      </c>
      <c r="C89" s="467">
        <f>Fret!E598</f>
        <v>0</v>
      </c>
      <c r="D89" s="555">
        <f>'export postes'!D72</f>
        <v>1</v>
      </c>
      <c r="E89" s="467">
        <f t="shared" si="35"/>
        <v>0</v>
      </c>
      <c r="F89" s="23"/>
      <c r="G89" s="467">
        <f>Fret!I598</f>
        <v>0</v>
      </c>
      <c r="H89" s="467">
        <f t="shared" si="36"/>
        <v>0</v>
      </c>
      <c r="I89" s="23"/>
      <c r="J89" s="467" t="e">
        <f>Fret!#REF!</f>
        <v>#REF!</v>
      </c>
      <c r="K89" s="467" t="e">
        <f t="shared" si="37"/>
        <v>#REF!</v>
      </c>
      <c r="L89" s="471" t="e">
        <f t="shared" si="38"/>
        <v>#REF!</v>
      </c>
      <c r="N89" s="467" t="e">
        <f>Fret!#REF!</f>
        <v>#REF!</v>
      </c>
      <c r="O89" s="467" t="e">
        <f t="shared" si="39"/>
        <v>#REF!</v>
      </c>
      <c r="P89" s="471" t="e">
        <f t="shared" si="40"/>
        <v>#REF!</v>
      </c>
    </row>
    <row r="90" spans="2:16" s="16" customFormat="1" ht="12.75" customHeight="1">
      <c r="B90" s="429" t="str">
        <f>Fret!B599</f>
        <v>Fret ferroviaire entrant, électricité pour trains possédés</v>
      </c>
      <c r="C90" s="467">
        <f>Fret!E599</f>
        <v>0</v>
      </c>
      <c r="D90" s="555">
        <f>'export postes'!D73</f>
        <v>1</v>
      </c>
      <c r="E90" s="467">
        <f t="shared" si="35"/>
        <v>0</v>
      </c>
      <c r="F90" s="23"/>
      <c r="G90" s="467">
        <f>Fret!I599</f>
        <v>0</v>
      </c>
      <c r="H90" s="467">
        <f t="shared" si="36"/>
        <v>0</v>
      </c>
      <c r="I90" s="23"/>
      <c r="J90" s="467" t="e">
        <f>Fret!#REF!</f>
        <v>#REF!</v>
      </c>
      <c r="K90" s="467" t="e">
        <f t="shared" si="37"/>
        <v>#REF!</v>
      </c>
      <c r="L90" s="471" t="e">
        <f t="shared" si="38"/>
        <v>#REF!</v>
      </c>
      <c r="N90" s="467" t="e">
        <f>Fret!#REF!</f>
        <v>#REF!</v>
      </c>
      <c r="O90" s="467" t="e">
        <f t="shared" si="39"/>
        <v>#REF!</v>
      </c>
      <c r="P90" s="471" t="e">
        <f t="shared" si="40"/>
        <v>#REF!</v>
      </c>
    </row>
    <row r="91" spans="2:16" s="16" customFormat="1" ht="12.75" customHeight="1">
      <c r="B91" s="429" t="str">
        <f>Fret!B600</f>
        <v>Fret ferroviaire entrant, trains électriques possédés, pertes en ligne de l'électricité</v>
      </c>
      <c r="C91" s="467">
        <f>Fret!E600</f>
        <v>0</v>
      </c>
      <c r="D91" s="555">
        <f>'export postes'!D73</f>
        <v>1</v>
      </c>
      <c r="E91" s="467">
        <f t="shared" si="35"/>
        <v>0</v>
      </c>
      <c r="F91" s="23"/>
      <c r="G91" s="467">
        <f>Fret!I600</f>
        <v>0</v>
      </c>
      <c r="H91" s="467">
        <f t="shared" si="36"/>
        <v>0</v>
      </c>
      <c r="I91" s="23"/>
      <c r="J91" s="467" t="e">
        <f>Fret!#REF!</f>
        <v>#REF!</v>
      </c>
      <c r="K91" s="467" t="e">
        <f t="shared" si="37"/>
        <v>#REF!</v>
      </c>
      <c r="L91" s="471" t="e">
        <f t="shared" si="38"/>
        <v>#REF!</v>
      </c>
      <c r="N91" s="467" t="e">
        <f>Fret!#REF!</f>
        <v>#REF!</v>
      </c>
      <c r="O91" s="467" t="e">
        <f t="shared" si="39"/>
        <v>#REF!</v>
      </c>
      <c r="P91" s="471" t="e">
        <f t="shared" si="40"/>
        <v>#REF!</v>
      </c>
    </row>
    <row r="92" spans="2:16" s="16" customFormat="1" ht="12.75" customHeight="1">
      <c r="B92" s="429" t="str">
        <f>Fret!B601</f>
        <v>Fret ferroviaire entrant, trains possédés, combustion seule des combustibles</v>
      </c>
      <c r="C92" s="467">
        <f>Fret!E601</f>
        <v>0</v>
      </c>
      <c r="D92" s="555">
        <f>'export postes'!D73</f>
        <v>1</v>
      </c>
      <c r="E92" s="467">
        <f t="shared" si="35"/>
        <v>0</v>
      </c>
      <c r="F92" s="23"/>
      <c r="G92" s="467">
        <f>Fret!I601</f>
        <v>0</v>
      </c>
      <c r="H92" s="467">
        <f t="shared" si="36"/>
        <v>0</v>
      </c>
      <c r="I92" s="23"/>
      <c r="J92" s="467" t="e">
        <f>Fret!#REF!</f>
        <v>#REF!</v>
      </c>
      <c r="K92" s="467" t="e">
        <f t="shared" si="37"/>
        <v>#REF!</v>
      </c>
      <c r="L92" s="471" t="e">
        <f t="shared" si="38"/>
        <v>#REF!</v>
      </c>
      <c r="N92" s="467" t="e">
        <f>Fret!#REF!</f>
        <v>#REF!</v>
      </c>
      <c r="O92" s="467" t="e">
        <f t="shared" si="39"/>
        <v>#REF!</v>
      </c>
      <c r="P92" s="471" t="e">
        <f t="shared" si="40"/>
        <v>#REF!</v>
      </c>
    </row>
    <row r="93" spans="2:16" s="16" customFormat="1" ht="12.75" customHeight="1">
      <c r="B93" s="429" t="str">
        <f>Fret!B602</f>
        <v>Fret ferroviaire entrant, trains possédés, émissions amont du combustible</v>
      </c>
      <c r="C93" s="467">
        <f>Fret!E602</f>
        <v>0</v>
      </c>
      <c r="D93" s="555">
        <f>'export postes'!D73</f>
        <v>1</v>
      </c>
      <c r="E93" s="467">
        <f t="shared" si="35"/>
        <v>0</v>
      </c>
      <c r="F93" s="23"/>
      <c r="G93" s="467">
        <f>Fret!I602</f>
        <v>0</v>
      </c>
      <c r="H93" s="467">
        <f t="shared" si="36"/>
        <v>0</v>
      </c>
      <c r="I93" s="23"/>
      <c r="J93" s="467" t="e">
        <f>Fret!#REF!</f>
        <v>#REF!</v>
      </c>
      <c r="K93" s="467" t="e">
        <f t="shared" si="37"/>
        <v>#REF!</v>
      </c>
      <c r="L93" s="471" t="e">
        <f t="shared" si="38"/>
        <v>#REF!</v>
      </c>
      <c r="N93" s="467" t="e">
        <f>Fret!#REF!</f>
        <v>#REF!</v>
      </c>
      <c r="O93" s="467" t="e">
        <f t="shared" si="39"/>
        <v>#REF!</v>
      </c>
      <c r="P93" s="471" t="e">
        <f t="shared" si="40"/>
        <v>#REF!</v>
      </c>
    </row>
    <row r="94" spans="2:16" s="16" customFormat="1" ht="12.75" customHeight="1">
      <c r="B94" s="429" t="str">
        <f>Fret!B603</f>
        <v>Fret ferroviaire entrant, trains non possédés</v>
      </c>
      <c r="C94" s="467">
        <f>Fret!E603</f>
        <v>0</v>
      </c>
      <c r="D94" s="555">
        <f>'export postes'!D73</f>
        <v>1</v>
      </c>
      <c r="E94" s="467">
        <f t="shared" si="35"/>
        <v>0</v>
      </c>
      <c r="F94" s="23"/>
      <c r="G94" s="467">
        <f>Fret!I603</f>
        <v>0</v>
      </c>
      <c r="H94" s="467">
        <f t="shared" si="36"/>
        <v>0</v>
      </c>
      <c r="I94" s="23"/>
      <c r="J94" s="467" t="e">
        <f>Fret!#REF!</f>
        <v>#REF!</v>
      </c>
      <c r="K94" s="467" t="e">
        <f t="shared" si="37"/>
        <v>#REF!</v>
      </c>
      <c r="L94" s="471" t="e">
        <f t="shared" si="38"/>
        <v>#REF!</v>
      </c>
      <c r="N94" s="467" t="e">
        <f>Fret!#REF!</f>
        <v>#REF!</v>
      </c>
      <c r="O94" s="467" t="e">
        <f t="shared" si="39"/>
        <v>#REF!</v>
      </c>
      <c r="P94" s="471" t="e">
        <f t="shared" si="40"/>
        <v>#REF!</v>
      </c>
    </row>
    <row r="95" spans="2:16" s="16" customFormat="1" ht="12.75" customHeight="1">
      <c r="B95" s="429" t="str">
        <f>Fret!B604</f>
        <v>Fret maritime et fluvial entrant, bateaux possédés, combustion seule</v>
      </c>
      <c r="C95" s="467">
        <f>Fret!E604</f>
        <v>0</v>
      </c>
      <c r="D95" s="555">
        <f>'export postes'!D74</f>
        <v>1</v>
      </c>
      <c r="E95" s="467">
        <f t="shared" si="35"/>
        <v>0</v>
      </c>
      <c r="F95" s="23"/>
      <c r="G95" s="467">
        <f>Fret!I604</f>
        <v>0</v>
      </c>
      <c r="H95" s="467">
        <f t="shared" si="36"/>
        <v>0</v>
      </c>
      <c r="I95" s="23"/>
      <c r="J95" s="467" t="e">
        <f>Fret!#REF!</f>
        <v>#REF!</v>
      </c>
      <c r="K95" s="467" t="e">
        <f t="shared" si="37"/>
        <v>#REF!</v>
      </c>
      <c r="L95" s="471" t="e">
        <f t="shared" si="38"/>
        <v>#REF!</v>
      </c>
      <c r="N95" s="467" t="e">
        <f>Fret!#REF!</f>
        <v>#REF!</v>
      </c>
      <c r="O95" s="467" t="e">
        <f t="shared" si="39"/>
        <v>#REF!</v>
      </c>
      <c r="P95" s="471" t="e">
        <f t="shared" si="40"/>
        <v>#REF!</v>
      </c>
    </row>
    <row r="96" spans="2:16" s="16" customFormat="1" ht="12.75" customHeight="1">
      <c r="B96" s="429" t="str">
        <f>Fret!B605</f>
        <v>Fret maritime et fluvial entrant, bateaux non possédés, combustion seule</v>
      </c>
      <c r="C96" s="467">
        <f>Fret!E605</f>
        <v>44390</v>
      </c>
      <c r="D96" s="555">
        <f>'export postes'!D74</f>
        <v>1</v>
      </c>
      <c r="E96" s="467">
        <f t="shared" si="35"/>
        <v>44390</v>
      </c>
      <c r="F96" s="23"/>
      <c r="G96" s="467">
        <f>Fret!I605</f>
        <v>18934.369701682706</v>
      </c>
      <c r="H96" s="467">
        <f t="shared" si="36"/>
        <v>18934.369701682706</v>
      </c>
      <c r="I96" s="23"/>
      <c r="J96" s="467" t="e">
        <f>Fret!#REF!</f>
        <v>#REF!</v>
      </c>
      <c r="K96" s="467" t="e">
        <f t="shared" si="37"/>
        <v>#REF!</v>
      </c>
      <c r="L96" s="471" t="e">
        <f t="shared" si="38"/>
        <v>#REF!</v>
      </c>
      <c r="N96" s="467" t="e">
        <f>Fret!#REF!</f>
        <v>#REF!</v>
      </c>
      <c r="O96" s="467" t="e">
        <f t="shared" si="39"/>
        <v>#REF!</v>
      </c>
      <c r="P96" s="471" t="e">
        <f t="shared" si="40"/>
        <v>#REF!</v>
      </c>
    </row>
    <row r="97" spans="2:16" s="16" customFormat="1" ht="12.75" customHeight="1">
      <c r="B97" s="429" t="str">
        <f>Fret!B606</f>
        <v>Fret maritime et fluvial entrant, émissions amont du combustible</v>
      </c>
      <c r="C97" s="467">
        <f>Fret!E606</f>
        <v>3816</v>
      </c>
      <c r="D97" s="555">
        <f>'export postes'!D74</f>
        <v>1</v>
      </c>
      <c r="E97" s="467">
        <f t="shared" si="35"/>
        <v>3816</v>
      </c>
      <c r="F97" s="23"/>
      <c r="G97" s="467">
        <f>Fret!I606</f>
        <v>1627.1681412810417</v>
      </c>
      <c r="H97" s="467">
        <f t="shared" si="36"/>
        <v>1627.1681412810417</v>
      </c>
      <c r="I97" s="23"/>
      <c r="J97" s="467" t="e">
        <f>Fret!#REF!</f>
        <v>#REF!</v>
      </c>
      <c r="K97" s="467" t="e">
        <f t="shared" si="37"/>
        <v>#REF!</v>
      </c>
      <c r="L97" s="471" t="e">
        <f t="shared" si="38"/>
        <v>#REF!</v>
      </c>
      <c r="N97" s="467" t="e">
        <f>Fret!#REF!</f>
        <v>#REF!</v>
      </c>
      <c r="O97" s="467" t="e">
        <f t="shared" si="39"/>
        <v>#REF!</v>
      </c>
      <c r="P97" s="471" t="e">
        <f t="shared" si="40"/>
        <v>#REF!</v>
      </c>
    </row>
    <row r="98" spans="2:16" s="16" customFormat="1" ht="12.75" customHeight="1">
      <c r="B98" s="429" t="str">
        <f>Fret!B607</f>
        <v>Fret routier interne, véhicules possédés ou opérés, combustion seule</v>
      </c>
      <c r="C98" s="467">
        <f>Fret!E607</f>
        <v>0</v>
      </c>
      <c r="D98" s="555">
        <f>'export postes'!D75</f>
        <v>1</v>
      </c>
      <c r="E98" s="467">
        <f t="shared" si="35"/>
        <v>0</v>
      </c>
      <c r="F98" s="23"/>
      <c r="G98" s="467">
        <f>Fret!I607</f>
        <v>0</v>
      </c>
      <c r="H98" s="467">
        <f t="shared" si="36"/>
        <v>0</v>
      </c>
      <c r="I98" s="23"/>
      <c r="J98" s="467" t="e">
        <f>Fret!#REF!</f>
        <v>#REF!</v>
      </c>
      <c r="K98" s="467" t="e">
        <f t="shared" si="37"/>
        <v>#REF!</v>
      </c>
      <c r="L98" s="471" t="e">
        <f t="shared" si="38"/>
        <v>#REF!</v>
      </c>
      <c r="N98" s="467" t="e">
        <f>Fret!#REF!</f>
        <v>#REF!</v>
      </c>
      <c r="O98" s="467" t="e">
        <f t="shared" si="39"/>
        <v>#REF!</v>
      </c>
      <c r="P98" s="471" t="e">
        <f t="shared" si="40"/>
        <v>#REF!</v>
      </c>
    </row>
    <row r="99" spans="2:16" s="16" customFormat="1" ht="12.75" customHeight="1">
      <c r="B99" s="429" t="str">
        <f>Fret!B608</f>
        <v>Fret routier interne, véhicules non possédés, combustion seule</v>
      </c>
      <c r="C99" s="467">
        <f>Fret!E608</f>
        <v>0</v>
      </c>
      <c r="D99" s="555">
        <f>'export postes'!D75</f>
        <v>1</v>
      </c>
      <c r="E99" s="467">
        <f t="shared" ref="E99:E126" si="41">C99*D99</f>
        <v>0</v>
      </c>
      <c r="F99" s="23"/>
      <c r="G99" s="467">
        <f>Fret!I608</f>
        <v>0</v>
      </c>
      <c r="H99" s="467">
        <f t="shared" si="36"/>
        <v>0</v>
      </c>
      <c r="I99" s="23"/>
      <c r="J99" s="467" t="e">
        <f>Fret!#REF!</f>
        <v>#REF!</v>
      </c>
      <c r="K99" s="467" t="e">
        <f t="shared" si="37"/>
        <v>#REF!</v>
      </c>
      <c r="L99" s="471" t="e">
        <f t="shared" si="38"/>
        <v>#REF!</v>
      </c>
      <c r="N99" s="467" t="e">
        <f>Fret!#REF!</f>
        <v>#REF!</v>
      </c>
      <c r="O99" s="467" t="e">
        <f t="shared" si="39"/>
        <v>#REF!</v>
      </c>
      <c r="P99" s="471" t="e">
        <f t="shared" si="40"/>
        <v>#REF!</v>
      </c>
    </row>
    <row r="100" spans="2:16" s="16" customFormat="1" ht="12.75" customHeight="1">
      <c r="B100" s="429" t="str">
        <f>Fret!B609</f>
        <v>Fret aérien interne, avions possédés ou opérés, combustion seule</v>
      </c>
      <c r="C100" s="467">
        <f>Fret!E609</f>
        <v>0</v>
      </c>
      <c r="D100" s="555">
        <f>'export postes'!D76</f>
        <v>1</v>
      </c>
      <c r="E100" s="467">
        <f t="shared" si="41"/>
        <v>0</v>
      </c>
      <c r="F100" s="23"/>
      <c r="G100" s="467">
        <f>Fret!I609</f>
        <v>0</v>
      </c>
      <c r="H100" s="467">
        <f t="shared" si="36"/>
        <v>0</v>
      </c>
      <c r="I100" s="23"/>
      <c r="J100" s="467" t="e">
        <f>Fret!#REF!</f>
        <v>#REF!</v>
      </c>
      <c r="K100" s="467" t="e">
        <f t="shared" si="37"/>
        <v>#REF!</v>
      </c>
      <c r="L100" s="471" t="e">
        <f t="shared" si="38"/>
        <v>#REF!</v>
      </c>
      <c r="N100" s="467" t="e">
        <f>Fret!#REF!</f>
        <v>#REF!</v>
      </c>
      <c r="O100" s="467" t="e">
        <f t="shared" si="39"/>
        <v>#REF!</v>
      </c>
      <c r="P100" s="471" t="e">
        <f t="shared" si="40"/>
        <v>#REF!</v>
      </c>
    </row>
    <row r="101" spans="2:16" s="16" customFormat="1" ht="12.75" customHeight="1">
      <c r="B101" s="429" t="str">
        <f>Fret!B610</f>
        <v>Fret aérien interne, avions non possédés, combustion seule</v>
      </c>
      <c r="C101" s="467">
        <f>Fret!E610</f>
        <v>0</v>
      </c>
      <c r="D101" s="555">
        <f>'export postes'!D76</f>
        <v>1</v>
      </c>
      <c r="E101" s="467">
        <f t="shared" si="41"/>
        <v>0</v>
      </c>
      <c r="F101" s="23"/>
      <c r="G101" s="467">
        <f>Fret!I610</f>
        <v>0</v>
      </c>
      <c r="H101" s="467">
        <f t="shared" si="36"/>
        <v>0</v>
      </c>
      <c r="I101" s="23"/>
      <c r="J101" s="467" t="e">
        <f>Fret!#REF!</f>
        <v>#REF!</v>
      </c>
      <c r="K101" s="467" t="e">
        <f t="shared" si="37"/>
        <v>#REF!</v>
      </c>
      <c r="L101" s="471" t="e">
        <f t="shared" si="38"/>
        <v>#REF!</v>
      </c>
      <c r="N101" s="467" t="e">
        <f>Fret!#REF!</f>
        <v>#REF!</v>
      </c>
      <c r="O101" s="467" t="e">
        <f t="shared" si="39"/>
        <v>#REF!</v>
      </c>
      <c r="P101" s="471" t="e">
        <f t="shared" si="40"/>
        <v>#REF!</v>
      </c>
    </row>
    <row r="102" spans="2:16" s="16" customFormat="1" ht="12.75" customHeight="1">
      <c r="B102" s="429" t="str">
        <f>Fret!B611</f>
        <v>Fret ferroviaire interne, trains possédés ou opérés, combustion seule</v>
      </c>
      <c r="C102" s="467">
        <f>Fret!E611</f>
        <v>0</v>
      </c>
      <c r="D102" s="555">
        <f>'export postes'!D77</f>
        <v>1</v>
      </c>
      <c r="E102" s="467">
        <f t="shared" si="41"/>
        <v>0</v>
      </c>
      <c r="F102" s="23"/>
      <c r="G102" s="467">
        <f>Fret!I611</f>
        <v>0</v>
      </c>
      <c r="H102" s="467">
        <f t="shared" si="36"/>
        <v>0</v>
      </c>
      <c r="I102" s="23"/>
      <c r="J102" s="467" t="e">
        <f>Fret!#REF!</f>
        <v>#REF!</v>
      </c>
      <c r="K102" s="467" t="e">
        <f t="shared" si="37"/>
        <v>#REF!</v>
      </c>
      <c r="L102" s="471" t="e">
        <f t="shared" si="38"/>
        <v>#REF!</v>
      </c>
      <c r="N102" s="467" t="e">
        <f>Fret!#REF!</f>
        <v>#REF!</v>
      </c>
      <c r="O102" s="467" t="e">
        <f t="shared" si="39"/>
        <v>#REF!</v>
      </c>
      <c r="P102" s="471" t="e">
        <f t="shared" si="40"/>
        <v>#REF!</v>
      </c>
    </row>
    <row r="103" spans="2:16" s="16" customFormat="1" ht="12.75" customHeight="1">
      <c r="B103" s="429" t="str">
        <f>Fret!B612</f>
        <v>Fret ferroviaire interne, trains non possédés, energie seule</v>
      </c>
      <c r="C103" s="467">
        <f>Fret!E612</f>
        <v>0</v>
      </c>
      <c r="D103" s="555">
        <f>'export postes'!D77</f>
        <v>1</v>
      </c>
      <c r="E103" s="467">
        <f t="shared" si="41"/>
        <v>0</v>
      </c>
      <c r="F103" s="23"/>
      <c r="G103" s="467">
        <f>Fret!I612</f>
        <v>0</v>
      </c>
      <c r="H103" s="467">
        <f t="shared" si="36"/>
        <v>0</v>
      </c>
      <c r="I103" s="23"/>
      <c r="J103" s="467" t="e">
        <f>Fret!#REF!</f>
        <v>#REF!</v>
      </c>
      <c r="K103" s="467" t="e">
        <f t="shared" si="37"/>
        <v>#REF!</v>
      </c>
      <c r="L103" s="471" t="e">
        <f t="shared" si="38"/>
        <v>#REF!</v>
      </c>
      <c r="N103" s="467" t="e">
        <f>Fret!#REF!</f>
        <v>#REF!</v>
      </c>
      <c r="O103" s="467" t="e">
        <f t="shared" si="39"/>
        <v>#REF!</v>
      </c>
      <c r="P103" s="471" t="e">
        <f t="shared" si="40"/>
        <v>#REF!</v>
      </c>
    </row>
    <row r="104" spans="2:16" s="16" customFormat="1" ht="12.75" customHeight="1">
      <c r="B104" s="429" t="str">
        <f>Fret!B613</f>
        <v>Fret maritime interne, bateaux possédés ou opérés, combustion seule</v>
      </c>
      <c r="C104" s="467">
        <f>Fret!E613</f>
        <v>0</v>
      </c>
      <c r="D104" s="555">
        <f>'export postes'!D78</f>
        <v>1</v>
      </c>
      <c r="E104" s="467">
        <f t="shared" si="41"/>
        <v>0</v>
      </c>
      <c r="F104" s="23"/>
      <c r="G104" s="467">
        <f>Fret!I613</f>
        <v>0</v>
      </c>
      <c r="H104" s="467">
        <f t="shared" si="36"/>
        <v>0</v>
      </c>
      <c r="I104" s="23"/>
      <c r="J104" s="467" t="e">
        <f>Fret!#REF!</f>
        <v>#REF!</v>
      </c>
      <c r="K104" s="467" t="e">
        <f t="shared" si="37"/>
        <v>#REF!</v>
      </c>
      <c r="L104" s="471" t="e">
        <f t="shared" si="38"/>
        <v>#REF!</v>
      </c>
      <c r="N104" s="467" t="e">
        <f>Fret!#REF!</f>
        <v>#REF!</v>
      </c>
      <c r="O104" s="467" t="e">
        <f t="shared" si="39"/>
        <v>#REF!</v>
      </c>
      <c r="P104" s="471" t="e">
        <f t="shared" si="40"/>
        <v>#REF!</v>
      </c>
    </row>
    <row r="105" spans="2:16" s="16" customFormat="1" ht="12.75" customHeight="1">
      <c r="B105" s="429" t="str">
        <f>Fret!B614</f>
        <v>Fret maritime interne, bateaux non possédés, combustion seule</v>
      </c>
      <c r="C105" s="467">
        <f>Fret!E614</f>
        <v>0</v>
      </c>
      <c r="D105" s="555">
        <f>'export postes'!D78</f>
        <v>1</v>
      </c>
      <c r="E105" s="467">
        <f t="shared" si="41"/>
        <v>0</v>
      </c>
      <c r="F105" s="23"/>
      <c r="G105" s="467">
        <f>Fret!I614</f>
        <v>0</v>
      </c>
      <c r="H105" s="467">
        <f t="shared" si="36"/>
        <v>0</v>
      </c>
      <c r="I105" s="23"/>
      <c r="J105" s="467" t="e">
        <f>Fret!#REF!</f>
        <v>#REF!</v>
      </c>
      <c r="K105" s="467" t="e">
        <f t="shared" si="37"/>
        <v>#REF!</v>
      </c>
      <c r="L105" s="471" t="e">
        <f t="shared" si="38"/>
        <v>#REF!</v>
      </c>
      <c r="N105" s="467" t="e">
        <f>Fret!#REF!</f>
        <v>#REF!</v>
      </c>
      <c r="O105" s="467" t="e">
        <f t="shared" si="39"/>
        <v>#REF!</v>
      </c>
      <c r="P105" s="471" t="e">
        <f t="shared" si="40"/>
        <v>#REF!</v>
      </c>
    </row>
    <row r="106" spans="2:16" s="16" customFormat="1" ht="12.75" customHeight="1">
      <c r="B106" s="429" t="str">
        <f>Fret!B615</f>
        <v>Fret interne, émissions amont du combustible</v>
      </c>
      <c r="C106" s="467">
        <f>Fret!E615</f>
        <v>0</v>
      </c>
      <c r="D106" s="555">
        <f>IF(SUM('export postes'!C75:C78)=0,0,SUMPRODUCT('export postes'!C75:C78,'export postes'!D75:D78)/SUM('export postes'!C75:C78))</f>
        <v>0</v>
      </c>
      <c r="E106" s="467">
        <f t="shared" si="41"/>
        <v>0</v>
      </c>
      <c r="F106" s="23"/>
      <c r="G106" s="467">
        <f>Fret!I615</f>
        <v>0</v>
      </c>
      <c r="H106" s="467">
        <f t="shared" si="36"/>
        <v>0</v>
      </c>
      <c r="I106" s="23"/>
      <c r="J106" s="467" t="e">
        <f>Fret!#REF!</f>
        <v>#REF!</v>
      </c>
      <c r="K106" s="467" t="e">
        <f t="shared" si="37"/>
        <v>#REF!</v>
      </c>
      <c r="L106" s="471" t="e">
        <f t="shared" si="38"/>
        <v>#REF!</v>
      </c>
      <c r="N106" s="467" t="e">
        <f>Fret!#REF!</f>
        <v>#REF!</v>
      </c>
      <c r="O106" s="467" t="e">
        <f t="shared" si="39"/>
        <v>#REF!</v>
      </c>
      <c r="P106" s="471" t="e">
        <f t="shared" si="40"/>
        <v>#REF!</v>
      </c>
    </row>
    <row r="107" spans="2:16" s="16" customFormat="1" ht="12.75" customHeight="1">
      <c r="B107" s="429" t="str">
        <f>Fret!B616</f>
        <v>Fret interne, électricité pour transports possédés</v>
      </c>
      <c r="C107" s="467">
        <f>Fret!E616</f>
        <v>0</v>
      </c>
      <c r="D107" s="555">
        <f>'export postes'!D77</f>
        <v>1</v>
      </c>
      <c r="E107" s="467">
        <f t="shared" si="41"/>
        <v>0</v>
      </c>
      <c r="F107" s="23"/>
      <c r="G107" s="467">
        <f>Fret!I616</f>
        <v>0</v>
      </c>
      <c r="H107" s="467">
        <f t="shared" si="36"/>
        <v>0</v>
      </c>
      <c r="I107" s="23"/>
      <c r="J107" s="467" t="e">
        <f>Fret!#REF!</f>
        <v>#REF!</v>
      </c>
      <c r="K107" s="467" t="e">
        <f t="shared" si="37"/>
        <v>#REF!</v>
      </c>
      <c r="L107" s="471" t="e">
        <f t="shared" si="38"/>
        <v>#REF!</v>
      </c>
      <c r="N107" s="467" t="e">
        <f>Fret!#REF!</f>
        <v>#REF!</v>
      </c>
      <c r="O107" s="467" t="e">
        <f t="shared" si="39"/>
        <v>#REF!</v>
      </c>
      <c r="P107" s="471" t="e">
        <f t="shared" si="40"/>
        <v>#REF!</v>
      </c>
    </row>
    <row r="108" spans="2:16" s="16" customFormat="1" ht="12.75" customHeight="1">
      <c r="B108" s="429" t="str">
        <f>Fret!B617</f>
        <v>Fret interne, perte en ligne de l'électricité</v>
      </c>
      <c r="C108" s="467">
        <f>Fret!E617</f>
        <v>0</v>
      </c>
      <c r="D108" s="555">
        <f>'export postes'!D77</f>
        <v>1</v>
      </c>
      <c r="E108" s="467">
        <f t="shared" si="41"/>
        <v>0</v>
      </c>
      <c r="F108" s="23"/>
      <c r="G108" s="467">
        <f>Fret!I617</f>
        <v>0</v>
      </c>
      <c r="H108" s="467">
        <f t="shared" si="36"/>
        <v>0</v>
      </c>
      <c r="I108" s="23"/>
      <c r="J108" s="467" t="e">
        <f>Fret!#REF!</f>
        <v>#REF!</v>
      </c>
      <c r="K108" s="467" t="e">
        <f t="shared" si="37"/>
        <v>#REF!</v>
      </c>
      <c r="L108" s="471" t="e">
        <f t="shared" si="38"/>
        <v>#REF!</v>
      </c>
      <c r="N108" s="467" t="e">
        <f>Fret!#REF!</f>
        <v>#REF!</v>
      </c>
      <c r="O108" s="467" t="e">
        <f t="shared" si="39"/>
        <v>#REF!</v>
      </c>
      <c r="P108" s="471" t="e">
        <f t="shared" si="40"/>
        <v>#REF!</v>
      </c>
    </row>
    <row r="109" spans="2:16" s="16" customFormat="1" ht="12.75" customHeight="1">
      <c r="B109" s="429" t="str">
        <f>Fret!B618</f>
        <v>Fret interne, amortissements</v>
      </c>
      <c r="C109" s="467">
        <f>Fret!E618</f>
        <v>0</v>
      </c>
      <c r="D109" s="555">
        <f>'export postes'!D75</f>
        <v>1</v>
      </c>
      <c r="E109" s="467">
        <f t="shared" si="41"/>
        <v>0</v>
      </c>
      <c r="F109" s="23"/>
      <c r="G109" s="467">
        <f>Fret!I618</f>
        <v>0</v>
      </c>
      <c r="H109" s="467">
        <f t="shared" si="36"/>
        <v>0</v>
      </c>
      <c r="I109" s="23"/>
      <c r="J109" s="467" t="e">
        <f>Fret!#REF!</f>
        <v>#REF!</v>
      </c>
      <c r="K109" s="467" t="e">
        <f t="shared" si="37"/>
        <v>#REF!</v>
      </c>
      <c r="L109" s="471" t="e">
        <f t="shared" si="38"/>
        <v>#REF!</v>
      </c>
      <c r="N109" s="467" t="e">
        <f>Fret!#REF!</f>
        <v>#REF!</v>
      </c>
      <c r="O109" s="467" t="e">
        <f t="shared" si="39"/>
        <v>#REF!</v>
      </c>
      <c r="P109" s="471" t="e">
        <f t="shared" si="40"/>
        <v>#REF!</v>
      </c>
    </row>
    <row r="110" spans="2:16" s="16" customFormat="1" ht="12.75" customHeight="1">
      <c r="B110" s="429" t="str">
        <f>Fret!B619</f>
        <v>Fret aérien interne, émissions hors Kyoto</v>
      </c>
      <c r="C110" s="467">
        <f>Fret!E619</f>
        <v>0</v>
      </c>
      <c r="D110" s="555">
        <f>'export postes'!D76</f>
        <v>1</v>
      </c>
      <c r="E110" s="467">
        <f t="shared" si="41"/>
        <v>0</v>
      </c>
      <c r="F110" s="23"/>
      <c r="G110" s="467">
        <f>Fret!I619</f>
        <v>0</v>
      </c>
      <c r="H110" s="467">
        <f t="shared" si="36"/>
        <v>0</v>
      </c>
      <c r="I110" s="23"/>
      <c r="J110" s="467" t="e">
        <f>Fret!#REF!</f>
        <v>#REF!</v>
      </c>
      <c r="K110" s="467" t="e">
        <f t="shared" si="37"/>
        <v>#REF!</v>
      </c>
      <c r="L110" s="471" t="e">
        <f t="shared" si="38"/>
        <v>#REF!</v>
      </c>
      <c r="N110" s="467" t="e">
        <f>Fret!#REF!</f>
        <v>#REF!</v>
      </c>
      <c r="O110" s="467" t="e">
        <f t="shared" si="39"/>
        <v>#REF!</v>
      </c>
      <c r="P110" s="471" t="e">
        <f t="shared" si="40"/>
        <v>#REF!</v>
      </c>
    </row>
    <row r="111" spans="2:16" s="16" customFormat="1" ht="12.75" customHeight="1">
      <c r="B111" s="429" t="str">
        <f>Fret!B620</f>
        <v>Fret routier sortant, véhicules possédés ou opérés, combustion seule</v>
      </c>
      <c r="C111" s="467">
        <f>Fret!E620</f>
        <v>0</v>
      </c>
      <c r="D111" s="555">
        <f>'export postes'!D79</f>
        <v>1</v>
      </c>
      <c r="E111" s="467">
        <f t="shared" si="41"/>
        <v>0</v>
      </c>
      <c r="F111" s="23"/>
      <c r="G111" s="467">
        <f>Fret!I620</f>
        <v>0</v>
      </c>
      <c r="H111" s="467">
        <f t="shared" si="36"/>
        <v>0</v>
      </c>
      <c r="I111" s="23"/>
      <c r="J111" s="467" t="e">
        <f>Fret!#REF!</f>
        <v>#REF!</v>
      </c>
      <c r="K111" s="467" t="e">
        <f t="shared" si="37"/>
        <v>#REF!</v>
      </c>
      <c r="L111" s="471" t="e">
        <f t="shared" si="38"/>
        <v>#REF!</v>
      </c>
      <c r="N111" s="467" t="e">
        <f>Fret!#REF!</f>
        <v>#REF!</v>
      </c>
      <c r="O111" s="467" t="e">
        <f t="shared" si="39"/>
        <v>#REF!</v>
      </c>
      <c r="P111" s="471" t="e">
        <f t="shared" si="40"/>
        <v>#REF!</v>
      </c>
    </row>
    <row r="112" spans="2:16" s="16" customFormat="1" ht="12.75" customHeight="1">
      <c r="B112" s="429" t="str">
        <f>Fret!B621</f>
        <v>Fret routier sortant, véhicules non possédé, combustion seule</v>
      </c>
      <c r="C112" s="467">
        <f>Fret!E621</f>
        <v>116609.04000000001</v>
      </c>
      <c r="D112" s="555">
        <f>'export postes'!D79</f>
        <v>1</v>
      </c>
      <c r="E112" s="467">
        <f t="shared" si="41"/>
        <v>116609.04000000001</v>
      </c>
      <c r="F112" s="23"/>
      <c r="G112" s="467">
        <f>Fret!I621</f>
        <v>66070.922804218673</v>
      </c>
      <c r="H112" s="467">
        <f t="shared" si="36"/>
        <v>66070.922804218673</v>
      </c>
      <c r="I112" s="23"/>
      <c r="J112" s="467" t="e">
        <f>Fret!#REF!</f>
        <v>#REF!</v>
      </c>
      <c r="K112" s="467" t="e">
        <f t="shared" si="37"/>
        <v>#REF!</v>
      </c>
      <c r="L112" s="471" t="e">
        <f t="shared" si="38"/>
        <v>#REF!</v>
      </c>
      <c r="N112" s="467" t="e">
        <f>Fret!#REF!</f>
        <v>#REF!</v>
      </c>
      <c r="O112" s="467" t="e">
        <f t="shared" si="39"/>
        <v>#REF!</v>
      </c>
      <c r="P112" s="471" t="e">
        <f t="shared" si="40"/>
        <v>#REF!</v>
      </c>
    </row>
    <row r="113" spans="2:16" s="16" customFormat="1" ht="12.75" customHeight="1">
      <c r="B113" s="429" t="str">
        <f>Fret!B622</f>
        <v>Fret routier sortant, émissions amont du carburant</v>
      </c>
      <c r="C113" s="467">
        <f>Fret!E622</f>
        <v>28479.079999999998</v>
      </c>
      <c r="D113" s="555">
        <f>'export postes'!D79</f>
        <v>1</v>
      </c>
      <c r="E113" s="467">
        <f t="shared" si="41"/>
        <v>28479.079999999998</v>
      </c>
      <c r="F113" s="23"/>
      <c r="G113" s="467">
        <f>Fret!I622</f>
        <v>16133.266544653627</v>
      </c>
      <c r="H113" s="467">
        <f t="shared" si="36"/>
        <v>16133.266544653627</v>
      </c>
      <c r="I113" s="23"/>
      <c r="J113" s="467" t="e">
        <f>Fret!#REF!</f>
        <v>#REF!</v>
      </c>
      <c r="K113" s="467" t="e">
        <f t="shared" si="37"/>
        <v>#REF!</v>
      </c>
      <c r="L113" s="471" t="e">
        <f t="shared" si="38"/>
        <v>#REF!</v>
      </c>
      <c r="N113" s="467" t="e">
        <f>Fret!#REF!</f>
        <v>#REF!</v>
      </c>
      <c r="O113" s="467" t="e">
        <f t="shared" si="39"/>
        <v>#REF!</v>
      </c>
      <c r="P113" s="471" t="e">
        <f t="shared" si="40"/>
        <v>#REF!</v>
      </c>
    </row>
    <row r="114" spans="2:16" s="16" customFormat="1" ht="12.75" customHeight="1">
      <c r="B114" s="429" t="str">
        <f>Fret!B623</f>
        <v>Fret routier sortant, amortissement des véhicules</v>
      </c>
      <c r="C114" s="467">
        <f>Fret!E623</f>
        <v>9409.68</v>
      </c>
      <c r="D114" s="555">
        <f>'export postes'!D79</f>
        <v>1</v>
      </c>
      <c r="E114" s="467">
        <f t="shared" si="41"/>
        <v>9409.68</v>
      </c>
      <c r="F114" s="23"/>
      <c r="G114" s="467">
        <f>Fret!I623</f>
        <v>5711.5048371405592</v>
      </c>
      <c r="H114" s="467">
        <f t="shared" si="36"/>
        <v>5711.5048371405592</v>
      </c>
      <c r="I114" s="23"/>
      <c r="J114" s="467" t="e">
        <f>Fret!#REF!</f>
        <v>#REF!</v>
      </c>
      <c r="K114" s="467" t="e">
        <f t="shared" si="37"/>
        <v>#REF!</v>
      </c>
      <c r="L114" s="471" t="e">
        <f t="shared" si="38"/>
        <v>#REF!</v>
      </c>
      <c r="N114" s="467" t="e">
        <f>Fret!#REF!</f>
        <v>#REF!</v>
      </c>
      <c r="O114" s="467" t="e">
        <f t="shared" si="39"/>
        <v>#REF!</v>
      </c>
      <c r="P114" s="471" t="e">
        <f t="shared" si="40"/>
        <v>#REF!</v>
      </c>
    </row>
    <row r="115" spans="2:16" s="16" customFormat="1" ht="12.75" customHeight="1">
      <c r="B115" s="429" t="str">
        <f>Fret!B624</f>
        <v>Fret aérien sortant, avions possédés ou opérés, combustion seule</v>
      </c>
      <c r="C115" s="467">
        <f>Fret!E624</f>
        <v>0</v>
      </c>
      <c r="D115" s="555">
        <f>'export postes'!D80</f>
        <v>1</v>
      </c>
      <c r="E115" s="467">
        <f t="shared" si="41"/>
        <v>0</v>
      </c>
      <c r="F115" s="23"/>
      <c r="G115" s="467">
        <f>Fret!I624</f>
        <v>0</v>
      </c>
      <c r="H115" s="467">
        <f t="shared" si="36"/>
        <v>0</v>
      </c>
      <c r="I115" s="23"/>
      <c r="J115" s="467" t="e">
        <f>Fret!#REF!</f>
        <v>#REF!</v>
      </c>
      <c r="K115" s="467" t="e">
        <f t="shared" si="37"/>
        <v>#REF!</v>
      </c>
      <c r="L115" s="471" t="e">
        <f t="shared" si="38"/>
        <v>#REF!</v>
      </c>
      <c r="N115" s="467" t="e">
        <f>Fret!#REF!</f>
        <v>#REF!</v>
      </c>
      <c r="O115" s="467" t="e">
        <f t="shared" si="39"/>
        <v>#REF!</v>
      </c>
      <c r="P115" s="471" t="e">
        <f t="shared" si="40"/>
        <v>#REF!</v>
      </c>
    </row>
    <row r="116" spans="2:16" s="16" customFormat="1" ht="12.75" customHeight="1">
      <c r="B116" s="429" t="str">
        <f>Fret!B625</f>
        <v>Fret aérien sortant, avions non possédés, combustion seule</v>
      </c>
      <c r="C116" s="467">
        <f>Fret!E625</f>
        <v>0</v>
      </c>
      <c r="D116" s="555">
        <f>'export postes'!D80</f>
        <v>1</v>
      </c>
      <c r="E116" s="467">
        <f t="shared" si="41"/>
        <v>0</v>
      </c>
      <c r="F116" s="23"/>
      <c r="G116" s="467">
        <f>Fret!I625</f>
        <v>0</v>
      </c>
      <c r="H116" s="467">
        <f t="shared" si="36"/>
        <v>0</v>
      </c>
      <c r="I116" s="23"/>
      <c r="J116" s="467" t="e">
        <f>Fret!#REF!</f>
        <v>#REF!</v>
      </c>
      <c r="K116" s="467" t="e">
        <f t="shared" si="37"/>
        <v>#REF!</v>
      </c>
      <c r="L116" s="471" t="e">
        <f t="shared" si="38"/>
        <v>#REF!</v>
      </c>
      <c r="N116" s="467" t="e">
        <f>Fret!#REF!</f>
        <v>#REF!</v>
      </c>
      <c r="O116" s="467" t="e">
        <f t="shared" si="39"/>
        <v>#REF!</v>
      </c>
      <c r="P116" s="471" t="e">
        <f t="shared" si="40"/>
        <v>#REF!</v>
      </c>
    </row>
    <row r="117" spans="2:16" s="16" customFormat="1" ht="12.75" customHeight="1">
      <c r="B117" s="429" t="str">
        <f>Fret!B626</f>
        <v>Fret aérien sortant, émissions amont du combustible</v>
      </c>
      <c r="C117" s="467">
        <f>Fret!E626</f>
        <v>0</v>
      </c>
      <c r="D117" s="555">
        <f>'export postes'!D80</f>
        <v>1</v>
      </c>
      <c r="E117" s="467">
        <f t="shared" si="41"/>
        <v>0</v>
      </c>
      <c r="F117" s="23"/>
      <c r="G117" s="467">
        <f>Fret!I626</f>
        <v>0</v>
      </c>
      <c r="H117" s="467">
        <f t="shared" si="36"/>
        <v>0</v>
      </c>
      <c r="I117" s="23"/>
      <c r="J117" s="467" t="e">
        <f>Fret!#REF!</f>
        <v>#REF!</v>
      </c>
      <c r="K117" s="467" t="e">
        <f t="shared" si="37"/>
        <v>#REF!</v>
      </c>
      <c r="L117" s="471" t="e">
        <f t="shared" si="38"/>
        <v>#REF!</v>
      </c>
      <c r="N117" s="467" t="e">
        <f>Fret!#REF!</f>
        <v>#REF!</v>
      </c>
      <c r="O117" s="467" t="e">
        <f t="shared" si="39"/>
        <v>#REF!</v>
      </c>
      <c r="P117" s="471" t="e">
        <f t="shared" si="40"/>
        <v>#REF!</v>
      </c>
    </row>
    <row r="118" spans="2:16" s="16" customFormat="1" ht="12.75" customHeight="1">
      <c r="B118" s="429" t="str">
        <f>Fret!B627</f>
        <v>Fret aérien sortant, émissions hors Kyoto</v>
      </c>
      <c r="C118" s="467">
        <f>Fret!E627</f>
        <v>0</v>
      </c>
      <c r="D118" s="555">
        <f>'export postes'!D80</f>
        <v>1</v>
      </c>
      <c r="E118" s="467">
        <f t="shared" si="41"/>
        <v>0</v>
      </c>
      <c r="F118" s="23"/>
      <c r="G118" s="467">
        <f>Fret!I627</f>
        <v>0</v>
      </c>
      <c r="H118" s="467">
        <f t="shared" si="36"/>
        <v>0</v>
      </c>
      <c r="I118" s="23"/>
      <c r="J118" s="467" t="e">
        <f>Fret!#REF!</f>
        <v>#REF!</v>
      </c>
      <c r="K118" s="467" t="e">
        <f t="shared" si="37"/>
        <v>#REF!</v>
      </c>
      <c r="L118" s="471" t="e">
        <f t="shared" si="38"/>
        <v>#REF!</v>
      </c>
      <c r="N118" s="467" t="e">
        <f>Fret!#REF!</f>
        <v>#REF!</v>
      </c>
      <c r="O118" s="467" t="e">
        <f t="shared" si="39"/>
        <v>#REF!</v>
      </c>
      <c r="P118" s="471" t="e">
        <f t="shared" si="40"/>
        <v>#REF!</v>
      </c>
    </row>
    <row r="119" spans="2:16" s="16" customFormat="1" ht="12.75" customHeight="1">
      <c r="B119" s="429" t="str">
        <f>Fret!B628</f>
        <v>Fret ferroviaire sortant, électricité pour trains possédés</v>
      </c>
      <c r="C119" s="467">
        <f>Fret!E628</f>
        <v>0</v>
      </c>
      <c r="D119" s="555">
        <f>'export postes'!D81</f>
        <v>1</v>
      </c>
      <c r="E119" s="467">
        <f t="shared" si="41"/>
        <v>0</v>
      </c>
      <c r="F119" s="23"/>
      <c r="G119" s="467">
        <f>Fret!I628</f>
        <v>0</v>
      </c>
      <c r="H119" s="467">
        <f t="shared" si="36"/>
        <v>0</v>
      </c>
      <c r="I119" s="23"/>
      <c r="J119" s="467" t="e">
        <f>Fret!#REF!</f>
        <v>#REF!</v>
      </c>
      <c r="K119" s="467" t="e">
        <f t="shared" si="37"/>
        <v>#REF!</v>
      </c>
      <c r="L119" s="471" t="e">
        <f t="shared" si="38"/>
        <v>#REF!</v>
      </c>
      <c r="N119" s="467" t="e">
        <f>Fret!#REF!</f>
        <v>#REF!</v>
      </c>
      <c r="O119" s="467" t="e">
        <f t="shared" si="39"/>
        <v>#REF!</v>
      </c>
      <c r="P119" s="471" t="e">
        <f t="shared" si="40"/>
        <v>#REF!</v>
      </c>
    </row>
    <row r="120" spans="2:16" s="16" customFormat="1" ht="12.75" customHeight="1">
      <c r="B120" s="429" t="str">
        <f>Fret!B629</f>
        <v>Fret ferroviaire sortant, trains électriques possédés, pertes en ligne de l'électricité</v>
      </c>
      <c r="C120" s="467">
        <f>Fret!E629</f>
        <v>0</v>
      </c>
      <c r="D120" s="555">
        <f>'export postes'!D81</f>
        <v>1</v>
      </c>
      <c r="E120" s="467">
        <f t="shared" si="41"/>
        <v>0</v>
      </c>
      <c r="F120" s="23"/>
      <c r="G120" s="467">
        <f>Fret!I629</f>
        <v>0</v>
      </c>
      <c r="H120" s="467">
        <f t="shared" si="36"/>
        <v>0</v>
      </c>
      <c r="I120" s="23"/>
      <c r="J120" s="467" t="e">
        <f>Fret!#REF!</f>
        <v>#REF!</v>
      </c>
      <c r="K120" s="467" t="e">
        <f t="shared" si="37"/>
        <v>#REF!</v>
      </c>
      <c r="L120" s="471" t="e">
        <f t="shared" si="38"/>
        <v>#REF!</v>
      </c>
      <c r="N120" s="467" t="e">
        <f>Fret!#REF!</f>
        <v>#REF!</v>
      </c>
      <c r="O120" s="467" t="e">
        <f t="shared" si="39"/>
        <v>#REF!</v>
      </c>
      <c r="P120" s="471" t="e">
        <f t="shared" si="40"/>
        <v>#REF!</v>
      </c>
    </row>
    <row r="121" spans="2:16" s="16" customFormat="1" ht="12.75" customHeight="1">
      <c r="B121" s="429" t="str">
        <f>Fret!B630</f>
        <v>Fret ferroviaire sortant, trains possédés, combustion seule des combustibles</v>
      </c>
      <c r="C121" s="467">
        <f>Fret!E630</f>
        <v>0</v>
      </c>
      <c r="D121" s="555">
        <f>'export postes'!D81</f>
        <v>1</v>
      </c>
      <c r="E121" s="467">
        <f t="shared" si="41"/>
        <v>0</v>
      </c>
      <c r="F121" s="23"/>
      <c r="G121" s="467">
        <f>Fret!I630</f>
        <v>0</v>
      </c>
      <c r="H121" s="467">
        <f t="shared" si="36"/>
        <v>0</v>
      </c>
      <c r="I121" s="23"/>
      <c r="J121" s="467" t="e">
        <f>Fret!#REF!</f>
        <v>#REF!</v>
      </c>
      <c r="K121" s="467" t="e">
        <f t="shared" si="37"/>
        <v>#REF!</v>
      </c>
      <c r="L121" s="471" t="e">
        <f t="shared" si="38"/>
        <v>#REF!</v>
      </c>
      <c r="N121" s="467" t="e">
        <f>Fret!#REF!</f>
        <v>#REF!</v>
      </c>
      <c r="O121" s="467" t="e">
        <f t="shared" si="39"/>
        <v>#REF!</v>
      </c>
      <c r="P121" s="471" t="e">
        <f t="shared" si="40"/>
        <v>#REF!</v>
      </c>
    </row>
    <row r="122" spans="2:16" s="16" customFormat="1" ht="12.75" customHeight="1">
      <c r="B122" s="429" t="str">
        <f>Fret!B631</f>
        <v>Fret ferroviaire sortant, trains possédés, émissions amont du combustible</v>
      </c>
      <c r="C122" s="467">
        <f>Fret!E631</f>
        <v>0</v>
      </c>
      <c r="D122" s="555">
        <f>'export postes'!D81</f>
        <v>1</v>
      </c>
      <c r="E122" s="467">
        <f t="shared" si="41"/>
        <v>0</v>
      </c>
      <c r="F122" s="23"/>
      <c r="G122" s="467">
        <f>Fret!I631</f>
        <v>0</v>
      </c>
      <c r="H122" s="467">
        <f t="shared" si="36"/>
        <v>0</v>
      </c>
      <c r="I122" s="23"/>
      <c r="J122" s="467" t="e">
        <f>Fret!#REF!</f>
        <v>#REF!</v>
      </c>
      <c r="K122" s="467" t="e">
        <f t="shared" si="37"/>
        <v>#REF!</v>
      </c>
      <c r="L122" s="471" t="e">
        <f t="shared" si="38"/>
        <v>#REF!</v>
      </c>
      <c r="N122" s="467" t="e">
        <f>Fret!#REF!</f>
        <v>#REF!</v>
      </c>
      <c r="O122" s="467" t="e">
        <f t="shared" si="39"/>
        <v>#REF!</v>
      </c>
      <c r="P122" s="471" t="e">
        <f t="shared" si="40"/>
        <v>#REF!</v>
      </c>
    </row>
    <row r="123" spans="2:16" s="16" customFormat="1" ht="12.75" customHeight="1">
      <c r="B123" s="429" t="str">
        <f>Fret!B632</f>
        <v>Fret ferroviaire sortant, trains non possédés</v>
      </c>
      <c r="C123" s="467">
        <f>Fret!E632</f>
        <v>0</v>
      </c>
      <c r="D123" s="555">
        <f>'export postes'!D81</f>
        <v>1</v>
      </c>
      <c r="E123" s="467">
        <f t="shared" si="41"/>
        <v>0</v>
      </c>
      <c r="F123" s="23"/>
      <c r="G123" s="467">
        <f>Fret!I632</f>
        <v>0</v>
      </c>
      <c r="H123" s="467">
        <f t="shared" si="36"/>
        <v>0</v>
      </c>
      <c r="I123" s="23"/>
      <c r="J123" s="467" t="e">
        <f>Fret!#REF!</f>
        <v>#REF!</v>
      </c>
      <c r="K123" s="467" t="e">
        <f t="shared" si="37"/>
        <v>#REF!</v>
      </c>
      <c r="L123" s="471" t="e">
        <f t="shared" si="38"/>
        <v>#REF!</v>
      </c>
      <c r="N123" s="467" t="e">
        <f>Fret!#REF!</f>
        <v>#REF!</v>
      </c>
      <c r="O123" s="467" t="e">
        <f t="shared" si="39"/>
        <v>#REF!</v>
      </c>
      <c r="P123" s="471" t="e">
        <f t="shared" si="40"/>
        <v>#REF!</v>
      </c>
    </row>
    <row r="124" spans="2:16" s="16" customFormat="1" ht="12.75" customHeight="1">
      <c r="B124" s="429" t="str">
        <f>Fret!B633</f>
        <v>Fret maritime et fluvial sortant, bateaux possédés, combustion seule</v>
      </c>
      <c r="C124" s="467">
        <f>Fret!E633</f>
        <v>0</v>
      </c>
      <c r="D124" s="555">
        <f>'export postes'!D82</f>
        <v>1</v>
      </c>
      <c r="E124" s="467">
        <f t="shared" si="41"/>
        <v>0</v>
      </c>
      <c r="F124" s="23"/>
      <c r="G124" s="467">
        <f>Fret!I633</f>
        <v>0</v>
      </c>
      <c r="H124" s="467">
        <f t="shared" si="36"/>
        <v>0</v>
      </c>
      <c r="I124" s="23"/>
      <c r="J124" s="467" t="e">
        <f>Fret!#REF!</f>
        <v>#REF!</v>
      </c>
      <c r="K124" s="467" t="e">
        <f t="shared" si="37"/>
        <v>#REF!</v>
      </c>
      <c r="L124" s="471" t="e">
        <f t="shared" si="38"/>
        <v>#REF!</v>
      </c>
      <c r="N124" s="467" t="e">
        <f>Fret!#REF!</f>
        <v>#REF!</v>
      </c>
      <c r="O124" s="467" t="e">
        <f t="shared" si="39"/>
        <v>#REF!</v>
      </c>
      <c r="P124" s="471" t="e">
        <f t="shared" si="40"/>
        <v>#REF!</v>
      </c>
    </row>
    <row r="125" spans="2:16" s="16" customFormat="1" ht="12.75" customHeight="1">
      <c r="B125" s="429" t="str">
        <f>Fret!B634</f>
        <v>Fret maritime et fluvial sortant, bateaux non possédés, combustion seule</v>
      </c>
      <c r="C125" s="467">
        <f>Fret!E634</f>
        <v>0</v>
      </c>
      <c r="D125" s="555">
        <f>'export postes'!D82</f>
        <v>1</v>
      </c>
      <c r="E125" s="467">
        <f t="shared" si="41"/>
        <v>0</v>
      </c>
      <c r="F125" s="23"/>
      <c r="G125" s="467">
        <f>Fret!I634</f>
        <v>0</v>
      </c>
      <c r="H125" s="467">
        <f t="shared" si="36"/>
        <v>0</v>
      </c>
      <c r="I125" s="23"/>
      <c r="J125" s="467" t="e">
        <f>Fret!#REF!</f>
        <v>#REF!</v>
      </c>
      <c r="K125" s="467" t="e">
        <f t="shared" si="37"/>
        <v>#REF!</v>
      </c>
      <c r="L125" s="471" t="e">
        <f t="shared" si="38"/>
        <v>#REF!</v>
      </c>
      <c r="N125" s="467" t="e">
        <f>Fret!#REF!</f>
        <v>#REF!</v>
      </c>
      <c r="O125" s="467" t="e">
        <f t="shared" si="39"/>
        <v>#REF!</v>
      </c>
      <c r="P125" s="471" t="e">
        <f t="shared" si="40"/>
        <v>#REF!</v>
      </c>
    </row>
    <row r="126" spans="2:16" s="16" customFormat="1" ht="12.75" customHeight="1">
      <c r="B126" s="429" t="str">
        <f>Fret!B635</f>
        <v>Fret maritime et fluvial sortant, émissions amont du combustible</v>
      </c>
      <c r="C126" s="467">
        <f>Fret!E635</f>
        <v>0</v>
      </c>
      <c r="D126" s="555">
        <f>'export postes'!D82</f>
        <v>1</v>
      </c>
      <c r="E126" s="467">
        <f t="shared" si="41"/>
        <v>0</v>
      </c>
      <c r="F126" s="23"/>
      <c r="G126" s="467">
        <f>Fret!I635</f>
        <v>0</v>
      </c>
      <c r="H126" s="467">
        <f t="shared" si="36"/>
        <v>0</v>
      </c>
      <c r="I126" s="23"/>
      <c r="J126" s="467" t="e">
        <f>Fret!#REF!</f>
        <v>#REF!</v>
      </c>
      <c r="K126" s="467" t="e">
        <f t="shared" si="37"/>
        <v>#REF!</v>
      </c>
      <c r="L126" s="471" t="e">
        <f t="shared" si="38"/>
        <v>#REF!</v>
      </c>
      <c r="N126" s="467" t="e">
        <f>Fret!#REF!</f>
        <v>#REF!</v>
      </c>
      <c r="O126" s="467" t="e">
        <f t="shared" si="39"/>
        <v>#REF!</v>
      </c>
      <c r="P126" s="471" t="e">
        <f t="shared" si="40"/>
        <v>#REF!</v>
      </c>
    </row>
    <row r="127" spans="2:16">
      <c r="B127" s="235"/>
      <c r="C127" s="553"/>
      <c r="E127" s="553"/>
      <c r="G127" s="553"/>
      <c r="H127" s="553"/>
      <c r="J127" s="553"/>
      <c r="K127" s="553"/>
      <c r="L127" s="553"/>
      <c r="N127" s="553"/>
      <c r="O127" s="553"/>
      <c r="P127" s="553"/>
    </row>
    <row r="128" spans="2:16" s="16" customFormat="1" ht="12.75" customHeight="1">
      <c r="B128" s="549" t="str">
        <f>Déplacements!B461</f>
        <v>Déplacements</v>
      </c>
      <c r="C128" s="501">
        <f>SUM(C129:C155)</f>
        <v>123692.3936</v>
      </c>
      <c r="D128" s="25"/>
      <c r="E128" s="501">
        <f>SUM(E129:E155)</f>
        <v>123692.3936</v>
      </c>
      <c r="F128" s="23"/>
      <c r="G128" s="501">
        <f>SQRT(SUMSQ(G129:G155))</f>
        <v>19902.383232623939</v>
      </c>
      <c r="H128" s="501">
        <f>SUM(H129:H155)</f>
        <v>31930.783555944865</v>
      </c>
      <c r="I128" s="34"/>
      <c r="J128" s="501" t="e">
        <f>SUM(J129:J155)</f>
        <v>#REF!</v>
      </c>
      <c r="K128" s="501" t="e">
        <f>SUM(K129:K155)</f>
        <v>#REF!</v>
      </c>
      <c r="L128" s="511" t="e">
        <f>SUM(L129:L155)</f>
        <v>#REF!</v>
      </c>
      <c r="N128" s="501" t="e">
        <f>SUM(N129:N155)</f>
        <v>#REF!</v>
      </c>
      <c r="O128" s="501" t="e">
        <f>SUM(O129:O155)</f>
        <v>#REF!</v>
      </c>
      <c r="P128" s="511" t="e">
        <f>SUM(P129:P155)</f>
        <v>#REF!</v>
      </c>
    </row>
    <row r="129" spans="2:16" s="16" customFormat="1" ht="12.75" customHeight="1">
      <c r="B129" s="465" t="str">
        <f>Déplacements!B463</f>
        <v>Domicile travail, véhicules possédés, combustion seule</v>
      </c>
      <c r="C129" s="466">
        <f>Déplacements!E463</f>
        <v>0</v>
      </c>
      <c r="D129" s="554">
        <f>'export postes'!D85</f>
        <v>1</v>
      </c>
      <c r="E129" s="466">
        <f t="shared" ref="E129:E155" si="42">C129*D129</f>
        <v>0</v>
      </c>
      <c r="F129" s="23"/>
      <c r="G129" s="466">
        <f>Déplacements!I463</f>
        <v>0</v>
      </c>
      <c r="H129" s="466">
        <f t="shared" ref="H129:H155" si="43">G129*D129</f>
        <v>0</v>
      </c>
      <c r="I129" s="23"/>
      <c r="J129" s="466" t="e">
        <f>Déplacements!#REF!</f>
        <v>#REF!</v>
      </c>
      <c r="K129" s="466" t="e">
        <f t="shared" ref="K129:K155" si="44">J129*D129</f>
        <v>#REF!</v>
      </c>
      <c r="L129" s="472" t="e">
        <f t="shared" ref="L129:L155" si="45">K129*12/44</f>
        <v>#REF!</v>
      </c>
      <c r="N129" s="466" t="e">
        <f>Déplacements!#REF!</f>
        <v>#REF!</v>
      </c>
      <c r="O129" s="466" t="e">
        <f t="shared" ref="O129:O155" si="46">N129*D129</f>
        <v>#REF!</v>
      </c>
      <c r="P129" s="472" t="e">
        <f t="shared" ref="P129:P155" si="47">O129*12/44</f>
        <v>#REF!</v>
      </c>
    </row>
    <row r="130" spans="2:16" s="16" customFormat="1" ht="12.75" customHeight="1">
      <c r="B130" s="465" t="str">
        <f>Déplacements!B464</f>
        <v>Domicile travail, véhicules non possédés, combustion seule</v>
      </c>
      <c r="C130" s="466">
        <f>Déplacements!E464</f>
        <v>52127.811000000002</v>
      </c>
      <c r="D130" s="554">
        <f>'export postes'!D85</f>
        <v>1</v>
      </c>
      <c r="E130" s="466">
        <f t="shared" si="42"/>
        <v>52127.811000000002</v>
      </c>
      <c r="F130" s="23"/>
      <c r="G130" s="466">
        <f>Déplacements!I464</f>
        <v>18112.377797596131</v>
      </c>
      <c r="H130" s="466">
        <f t="shared" si="43"/>
        <v>18112.377797596131</v>
      </c>
      <c r="I130" s="23"/>
      <c r="J130" s="466" t="e">
        <f>Déplacements!#REF!</f>
        <v>#REF!</v>
      </c>
      <c r="K130" s="466" t="e">
        <f t="shared" si="44"/>
        <v>#REF!</v>
      </c>
      <c r="L130" s="472" t="e">
        <f t="shared" si="45"/>
        <v>#REF!</v>
      </c>
      <c r="N130" s="466" t="e">
        <f>Déplacements!#REF!</f>
        <v>#REF!</v>
      </c>
      <c r="O130" s="466" t="e">
        <f t="shared" si="46"/>
        <v>#REF!</v>
      </c>
      <c r="P130" s="472" t="e">
        <f t="shared" si="47"/>
        <v>#REF!</v>
      </c>
    </row>
    <row r="131" spans="2:16" s="16" customFormat="1" ht="12.75" customHeight="1">
      <c r="B131" s="465" t="str">
        <f>Déplacements!B465</f>
        <v>Domicile travail, émissions amont du combustible</v>
      </c>
      <c r="C131" s="466">
        <f>Déplacements!E465</f>
        <v>12229.6484</v>
      </c>
      <c r="D131" s="554">
        <f>'export postes'!D85</f>
        <v>1</v>
      </c>
      <c r="E131" s="466">
        <f t="shared" si="42"/>
        <v>12229.6484</v>
      </c>
      <c r="F131" s="23"/>
      <c r="G131" s="466">
        <f>Déplacements!I465</f>
        <v>4283.3040610674743</v>
      </c>
      <c r="H131" s="466">
        <f t="shared" si="43"/>
        <v>4283.3040610674743</v>
      </c>
      <c r="I131" s="23"/>
      <c r="J131" s="466" t="e">
        <f>Déplacements!#REF!</f>
        <v>#REF!</v>
      </c>
      <c r="K131" s="466" t="e">
        <f t="shared" si="44"/>
        <v>#REF!</v>
      </c>
      <c r="L131" s="472" t="e">
        <f t="shared" si="45"/>
        <v>#REF!</v>
      </c>
      <c r="N131" s="466" t="e">
        <f>Déplacements!#REF!</f>
        <v>#REF!</v>
      </c>
      <c r="O131" s="466" t="e">
        <f t="shared" si="46"/>
        <v>#REF!</v>
      </c>
      <c r="P131" s="472" t="e">
        <f t="shared" si="47"/>
        <v>#REF!</v>
      </c>
    </row>
    <row r="132" spans="2:16" s="16" customFormat="1" ht="12.75" customHeight="1">
      <c r="B132" s="465" t="str">
        <f>Déplacements!B466</f>
        <v>Domicile travail, amortissements</v>
      </c>
      <c r="C132" s="466">
        <f>Déplacements!E466</f>
        <v>18390.067200000001</v>
      </c>
      <c r="D132" s="554">
        <f>'export postes'!D85</f>
        <v>1</v>
      </c>
      <c r="E132" s="466">
        <f t="shared" si="42"/>
        <v>18390.067200000001</v>
      </c>
      <c r="F132" s="23"/>
      <c r="G132" s="466">
        <f>Déplacements!I466</f>
        <v>6926.9679972812582</v>
      </c>
      <c r="H132" s="466">
        <f t="shared" si="43"/>
        <v>6926.9679972812582</v>
      </c>
      <c r="I132" s="23"/>
      <c r="J132" s="466" t="e">
        <f>Déplacements!#REF!</f>
        <v>#REF!</v>
      </c>
      <c r="K132" s="466" t="e">
        <f t="shared" si="44"/>
        <v>#REF!</v>
      </c>
      <c r="L132" s="472" t="e">
        <f t="shared" si="45"/>
        <v>#REF!</v>
      </c>
      <c r="N132" s="466" t="e">
        <f>Déplacements!#REF!</f>
        <v>#REF!</v>
      </c>
      <c r="O132" s="466" t="e">
        <f t="shared" si="46"/>
        <v>#REF!</v>
      </c>
      <c r="P132" s="472" t="e">
        <f t="shared" si="47"/>
        <v>#REF!</v>
      </c>
    </row>
    <row r="133" spans="2:16" s="16" customFormat="1" ht="12.75" customHeight="1">
      <c r="B133" s="465" t="str">
        <f>Déplacements!B467</f>
        <v>Employés en voiture possédée, combustion seule</v>
      </c>
      <c r="C133" s="466">
        <f>Déplacements!E467</f>
        <v>0</v>
      </c>
      <c r="D133" s="554">
        <f>'export postes'!D86</f>
        <v>1</v>
      </c>
      <c r="E133" s="466">
        <f t="shared" si="42"/>
        <v>0</v>
      </c>
      <c r="F133" s="23"/>
      <c r="G133" s="466">
        <f>Déplacements!I467</f>
        <v>0</v>
      </c>
      <c r="H133" s="466">
        <f t="shared" si="43"/>
        <v>0</v>
      </c>
      <c r="I133" s="23"/>
      <c r="J133" s="466" t="e">
        <f>Déplacements!#REF!</f>
        <v>#REF!</v>
      </c>
      <c r="K133" s="466" t="e">
        <f t="shared" si="44"/>
        <v>#REF!</v>
      </c>
      <c r="L133" s="472" t="e">
        <f t="shared" si="45"/>
        <v>#REF!</v>
      </c>
      <c r="N133" s="466" t="e">
        <f>Déplacements!#REF!</f>
        <v>#REF!</v>
      </c>
      <c r="O133" s="466" t="e">
        <f t="shared" si="46"/>
        <v>#REF!</v>
      </c>
      <c r="P133" s="472" t="e">
        <f t="shared" si="47"/>
        <v>#REF!</v>
      </c>
    </row>
    <row r="134" spans="2:16" s="16" customFormat="1" ht="12.75" customHeight="1">
      <c r="B134" s="465" t="str">
        <f>Déplacements!B468</f>
        <v>Employés en voiture non possédée, combustion seule</v>
      </c>
      <c r="C134" s="466">
        <f>Déplacements!E468</f>
        <v>30739.050000000003</v>
      </c>
      <c r="D134" s="554">
        <f>'export postes'!D86</f>
        <v>1</v>
      </c>
      <c r="E134" s="466">
        <f t="shared" si="42"/>
        <v>30739.050000000003</v>
      </c>
      <c r="F134" s="23"/>
      <c r="G134" s="466">
        <f>Déplacements!I468</f>
        <v>375.90525000000002</v>
      </c>
      <c r="H134" s="466">
        <f t="shared" si="43"/>
        <v>375.90525000000002</v>
      </c>
      <c r="I134" s="23"/>
      <c r="J134" s="466" t="e">
        <f>Déplacements!#REF!</f>
        <v>#REF!</v>
      </c>
      <c r="K134" s="466" t="e">
        <f t="shared" si="44"/>
        <v>#REF!</v>
      </c>
      <c r="L134" s="472" t="e">
        <f t="shared" si="45"/>
        <v>#REF!</v>
      </c>
      <c r="N134" s="466" t="e">
        <f>Déplacements!#REF!</f>
        <v>#REF!</v>
      </c>
      <c r="O134" s="466" t="e">
        <f t="shared" si="46"/>
        <v>#REF!</v>
      </c>
      <c r="P134" s="472" t="e">
        <f t="shared" si="47"/>
        <v>#REF!</v>
      </c>
    </row>
    <row r="135" spans="2:16" s="16" customFormat="1" ht="12.75" customHeight="1">
      <c r="B135" s="465" t="str">
        <f>Déplacements!B469</f>
        <v>Employés en voiture, émissions amont du combustible</v>
      </c>
      <c r="C135" s="466">
        <f>Déplacements!E469</f>
        <v>7518.1049999999996</v>
      </c>
      <c r="D135" s="554">
        <f>'export postes'!D86</f>
        <v>1</v>
      </c>
      <c r="E135" s="466">
        <f t="shared" si="42"/>
        <v>7518.1049999999996</v>
      </c>
      <c r="F135" s="23"/>
      <c r="G135" s="466">
        <f>Déplacements!I469</f>
        <v>375.90525000000002</v>
      </c>
      <c r="H135" s="466">
        <f t="shared" si="43"/>
        <v>375.90525000000002</v>
      </c>
      <c r="I135" s="23"/>
      <c r="J135" s="466" t="e">
        <f>Déplacements!#REF!</f>
        <v>#REF!</v>
      </c>
      <c r="K135" s="466" t="e">
        <f t="shared" si="44"/>
        <v>#REF!</v>
      </c>
      <c r="L135" s="472" t="e">
        <f t="shared" si="45"/>
        <v>#REF!</v>
      </c>
      <c r="N135" s="466" t="e">
        <f>Déplacements!#REF!</f>
        <v>#REF!</v>
      </c>
      <c r="O135" s="466" t="e">
        <f t="shared" si="46"/>
        <v>#REF!</v>
      </c>
      <c r="P135" s="472" t="e">
        <f t="shared" si="47"/>
        <v>#REF!</v>
      </c>
    </row>
    <row r="136" spans="2:16" s="16" customFormat="1" ht="12.75" customHeight="1">
      <c r="B136" s="465" t="str">
        <f>Déplacements!B470</f>
        <v>Employés en voiture, amortissements</v>
      </c>
      <c r="C136" s="466">
        <f>Déplacements!E470</f>
        <v>0</v>
      </c>
      <c r="D136" s="554">
        <f>'export postes'!D86</f>
        <v>1</v>
      </c>
      <c r="E136" s="466">
        <f t="shared" si="42"/>
        <v>0</v>
      </c>
      <c r="F136" s="23"/>
      <c r="G136" s="466">
        <f>Déplacements!I470</f>
        <v>0</v>
      </c>
      <c r="H136" s="466">
        <f t="shared" si="43"/>
        <v>0</v>
      </c>
      <c r="I136" s="23"/>
      <c r="J136" s="466" t="e">
        <f>Déplacements!#REF!</f>
        <v>#REF!</v>
      </c>
      <c r="K136" s="466" t="e">
        <f t="shared" si="44"/>
        <v>#REF!</v>
      </c>
      <c r="L136" s="472" t="e">
        <f t="shared" si="45"/>
        <v>#REF!</v>
      </c>
      <c r="N136" s="466" t="e">
        <f>Déplacements!#REF!</f>
        <v>#REF!</v>
      </c>
      <c r="O136" s="466" t="e">
        <f t="shared" si="46"/>
        <v>#REF!</v>
      </c>
      <c r="P136" s="472" t="e">
        <f t="shared" si="47"/>
        <v>#REF!</v>
      </c>
    </row>
    <row r="137" spans="2:16" s="16" customFormat="1" ht="12.75" customHeight="1">
      <c r="B137" s="465" t="str">
        <f>Déplacements!B471</f>
        <v>Employés autres modes routiers possédés, combustion seule</v>
      </c>
      <c r="C137" s="466">
        <f>Déplacements!E471</f>
        <v>0</v>
      </c>
      <c r="D137" s="554">
        <f>'export postes'!D87</f>
        <v>1</v>
      </c>
      <c r="E137" s="466">
        <f t="shared" si="42"/>
        <v>0</v>
      </c>
      <c r="F137" s="23"/>
      <c r="G137" s="466">
        <f>Déplacements!I471</f>
        <v>0</v>
      </c>
      <c r="H137" s="466">
        <f t="shared" si="43"/>
        <v>0</v>
      </c>
      <c r="I137" s="23"/>
      <c r="J137" s="466" t="e">
        <f>Déplacements!#REF!</f>
        <v>#REF!</v>
      </c>
      <c r="K137" s="466" t="e">
        <f t="shared" si="44"/>
        <v>#REF!</v>
      </c>
      <c r="L137" s="472" t="e">
        <f t="shared" si="45"/>
        <v>#REF!</v>
      </c>
      <c r="N137" s="466" t="e">
        <f>Déplacements!#REF!</f>
        <v>#REF!</v>
      </c>
      <c r="O137" s="466" t="e">
        <f t="shared" si="46"/>
        <v>#REF!</v>
      </c>
      <c r="P137" s="472" t="e">
        <f t="shared" si="47"/>
        <v>#REF!</v>
      </c>
    </row>
    <row r="138" spans="2:16" s="16" customFormat="1" ht="12.75" customHeight="1">
      <c r="B138" s="465" t="str">
        <f>Déplacements!B472</f>
        <v>Employés autres modes routiers non possédés, combustion seule</v>
      </c>
      <c r="C138" s="466">
        <f>Déplacements!E472</f>
        <v>0</v>
      </c>
      <c r="D138" s="554">
        <f>'export postes'!D87</f>
        <v>1</v>
      </c>
      <c r="E138" s="466">
        <f t="shared" si="42"/>
        <v>0</v>
      </c>
      <c r="F138" s="23"/>
      <c r="G138" s="466">
        <f>Déplacements!I472</f>
        <v>0</v>
      </c>
      <c r="H138" s="466">
        <f t="shared" si="43"/>
        <v>0</v>
      </c>
      <c r="I138" s="23"/>
      <c r="J138" s="466" t="e">
        <f>Déplacements!#REF!</f>
        <v>#REF!</v>
      </c>
      <c r="K138" s="466" t="e">
        <f t="shared" si="44"/>
        <v>#REF!</v>
      </c>
      <c r="L138" s="472" t="e">
        <f t="shared" si="45"/>
        <v>#REF!</v>
      </c>
      <c r="N138" s="466" t="e">
        <f>Déplacements!#REF!</f>
        <v>#REF!</v>
      </c>
      <c r="O138" s="466" t="e">
        <f t="shared" si="46"/>
        <v>#REF!</v>
      </c>
      <c r="P138" s="472" t="e">
        <f t="shared" si="47"/>
        <v>#REF!</v>
      </c>
    </row>
    <row r="139" spans="2:16" s="16" customFormat="1" ht="12.75" customHeight="1">
      <c r="B139" s="465" t="str">
        <f>Déplacements!B473</f>
        <v>Employés autres modes routiers, émissions amont du combustible</v>
      </c>
      <c r="C139" s="466">
        <f>Déplacements!E473</f>
        <v>0</v>
      </c>
      <c r="D139" s="554">
        <f>'export postes'!D87</f>
        <v>1</v>
      </c>
      <c r="E139" s="466">
        <f t="shared" si="42"/>
        <v>0</v>
      </c>
      <c r="F139" s="23"/>
      <c r="G139" s="466">
        <f>Déplacements!I473</f>
        <v>0</v>
      </c>
      <c r="H139" s="466">
        <f t="shared" si="43"/>
        <v>0</v>
      </c>
      <c r="I139" s="23"/>
      <c r="J139" s="466" t="e">
        <f>Déplacements!#REF!</f>
        <v>#REF!</v>
      </c>
      <c r="K139" s="466" t="e">
        <f t="shared" si="44"/>
        <v>#REF!</v>
      </c>
      <c r="L139" s="472" t="e">
        <f t="shared" si="45"/>
        <v>#REF!</v>
      </c>
      <c r="N139" s="466" t="e">
        <f>Déplacements!#REF!</f>
        <v>#REF!</v>
      </c>
      <c r="O139" s="466" t="e">
        <f t="shared" si="46"/>
        <v>#REF!</v>
      </c>
      <c r="P139" s="472" t="e">
        <f t="shared" si="47"/>
        <v>#REF!</v>
      </c>
    </row>
    <row r="140" spans="2:16" s="16" customFormat="1" ht="12.75" customHeight="1">
      <c r="B140" s="465" t="str">
        <f>Déplacements!B474</f>
        <v>Employés autres modes routiers, amortissements</v>
      </c>
      <c r="C140" s="466">
        <f>Déplacements!E474</f>
        <v>0</v>
      </c>
      <c r="D140" s="554">
        <f>'export postes'!D87</f>
        <v>1</v>
      </c>
      <c r="E140" s="466">
        <f t="shared" si="42"/>
        <v>0</v>
      </c>
      <c r="F140" s="23"/>
      <c r="G140" s="466">
        <f>Déplacements!I474</f>
        <v>0</v>
      </c>
      <c r="H140" s="466">
        <f t="shared" si="43"/>
        <v>0</v>
      </c>
      <c r="I140" s="23"/>
      <c r="J140" s="466" t="e">
        <f>Déplacements!#REF!</f>
        <v>#REF!</v>
      </c>
      <c r="K140" s="466" t="e">
        <f t="shared" si="44"/>
        <v>#REF!</v>
      </c>
      <c r="L140" s="472" t="e">
        <f t="shared" si="45"/>
        <v>#REF!</v>
      </c>
      <c r="N140" s="466" t="e">
        <f>Déplacements!#REF!</f>
        <v>#REF!</v>
      </c>
      <c r="O140" s="466" t="e">
        <f t="shared" si="46"/>
        <v>#REF!</v>
      </c>
      <c r="P140" s="472" t="e">
        <f t="shared" si="47"/>
        <v>#REF!</v>
      </c>
    </row>
    <row r="141" spans="2:16" s="16" customFormat="1" ht="12.75" customHeight="1">
      <c r="B141" s="465" t="str">
        <f>Déplacements!B475</f>
        <v>Employés en trains électriques possédés ou opérés</v>
      </c>
      <c r="C141" s="466">
        <f>Déplacements!E475</f>
        <v>0</v>
      </c>
      <c r="D141" s="554">
        <f>'export postes'!D88</f>
        <v>1</v>
      </c>
      <c r="E141" s="466">
        <f t="shared" si="42"/>
        <v>0</v>
      </c>
      <c r="F141" s="23"/>
      <c r="G141" s="466">
        <f>Déplacements!I475</f>
        <v>0</v>
      </c>
      <c r="H141" s="466">
        <f t="shared" si="43"/>
        <v>0</v>
      </c>
      <c r="I141" s="23"/>
      <c r="J141" s="466" t="e">
        <f>Déplacements!#REF!</f>
        <v>#REF!</v>
      </c>
      <c r="K141" s="466" t="e">
        <f t="shared" si="44"/>
        <v>#REF!</v>
      </c>
      <c r="L141" s="472" t="e">
        <f t="shared" si="45"/>
        <v>#REF!</v>
      </c>
      <c r="N141" s="466" t="e">
        <f>Déplacements!#REF!</f>
        <v>#REF!</v>
      </c>
      <c r="O141" s="466" t="e">
        <f t="shared" si="46"/>
        <v>#REF!</v>
      </c>
      <c r="P141" s="472" t="e">
        <f t="shared" si="47"/>
        <v>#REF!</v>
      </c>
    </row>
    <row r="142" spans="2:16" s="16" customFormat="1" ht="12.75" customHeight="1">
      <c r="B142" s="465" t="str">
        <f>Déplacements!B476</f>
        <v>Employés en train électrique non possédé</v>
      </c>
      <c r="C142" s="466">
        <f>Déplacements!E476</f>
        <v>45.311999999999998</v>
      </c>
      <c r="D142" s="554">
        <f>'export postes'!D88</f>
        <v>1</v>
      </c>
      <c r="E142" s="466">
        <f t="shared" si="42"/>
        <v>45.311999999999998</v>
      </c>
      <c r="F142" s="23"/>
      <c r="G142" s="466">
        <f>Déplacements!I476</f>
        <v>6.6432000000000002</v>
      </c>
      <c r="H142" s="466">
        <f t="shared" si="43"/>
        <v>6.6432000000000002</v>
      </c>
      <c r="I142" s="23"/>
      <c r="J142" s="466" t="e">
        <f>Déplacements!#REF!</f>
        <v>#REF!</v>
      </c>
      <c r="K142" s="466" t="e">
        <f t="shared" si="44"/>
        <v>#REF!</v>
      </c>
      <c r="L142" s="472" t="e">
        <f t="shared" si="45"/>
        <v>#REF!</v>
      </c>
      <c r="N142" s="466" t="e">
        <f>Déplacements!#REF!</f>
        <v>#REF!</v>
      </c>
      <c r="O142" s="466" t="e">
        <f t="shared" si="46"/>
        <v>#REF!</v>
      </c>
      <c r="P142" s="472" t="e">
        <f t="shared" si="47"/>
        <v>#REF!</v>
      </c>
    </row>
    <row r="143" spans="2:16" s="16" customFormat="1" ht="12.75" customHeight="1">
      <c r="B143" s="465" t="str">
        <f>Déplacements!B477</f>
        <v>Pertes en ligne de l'électricité</v>
      </c>
      <c r="C143" s="466">
        <f>Déplacements!E477</f>
        <v>0</v>
      </c>
      <c r="D143" s="554">
        <f>'export postes'!D88</f>
        <v>1</v>
      </c>
      <c r="E143" s="466">
        <f t="shared" si="42"/>
        <v>0</v>
      </c>
      <c r="F143" s="23"/>
      <c r="G143" s="466">
        <f>Déplacements!I477</f>
        <v>0</v>
      </c>
      <c r="H143" s="466">
        <f t="shared" si="43"/>
        <v>0</v>
      </c>
      <c r="I143" s="23"/>
      <c r="J143" s="466" t="e">
        <f>Déplacements!#REF!</f>
        <v>#REF!</v>
      </c>
      <c r="K143" s="466" t="e">
        <f t="shared" si="44"/>
        <v>#REF!</v>
      </c>
      <c r="L143" s="472" t="e">
        <f t="shared" si="45"/>
        <v>#REF!</v>
      </c>
      <c r="N143" s="466" t="e">
        <f>Déplacements!#REF!</f>
        <v>#REF!</v>
      </c>
      <c r="O143" s="466" t="e">
        <f t="shared" si="46"/>
        <v>#REF!</v>
      </c>
      <c r="P143" s="472" t="e">
        <f t="shared" si="47"/>
        <v>#REF!</v>
      </c>
    </row>
    <row r="144" spans="2:16" s="16" customFormat="1" ht="12.75" customHeight="1">
      <c r="B144" s="465" t="str">
        <f>Déplacements!B478</f>
        <v>Employés en avion possédé, combustion seule</v>
      </c>
      <c r="C144" s="466">
        <f>Déplacements!E478</f>
        <v>0</v>
      </c>
      <c r="D144" s="554">
        <f>'export postes'!D89</f>
        <v>1</v>
      </c>
      <c r="E144" s="466">
        <f t="shared" si="42"/>
        <v>0</v>
      </c>
      <c r="F144" s="23"/>
      <c r="G144" s="466">
        <f>Déplacements!I478</f>
        <v>0</v>
      </c>
      <c r="H144" s="466">
        <f t="shared" si="43"/>
        <v>0</v>
      </c>
      <c r="I144" s="23"/>
      <c r="J144" s="466" t="e">
        <f>Déplacements!#REF!</f>
        <v>#REF!</v>
      </c>
      <c r="K144" s="466" t="e">
        <f t="shared" si="44"/>
        <v>#REF!</v>
      </c>
      <c r="L144" s="472" t="e">
        <f t="shared" si="45"/>
        <v>#REF!</v>
      </c>
      <c r="N144" s="466" t="e">
        <f>Déplacements!#REF!</f>
        <v>#REF!</v>
      </c>
      <c r="O144" s="466" t="e">
        <f t="shared" si="46"/>
        <v>#REF!</v>
      </c>
      <c r="P144" s="472" t="e">
        <f t="shared" si="47"/>
        <v>#REF!</v>
      </c>
    </row>
    <row r="145" spans="2:16" s="16" customFormat="1" ht="12.75" customHeight="1">
      <c r="B145" s="465" t="str">
        <f>Déplacements!B479</f>
        <v>Employés en avion non possédé, combustion seule</v>
      </c>
      <c r="C145" s="466">
        <f>Déplacements!E479</f>
        <v>1194</v>
      </c>
      <c r="D145" s="554">
        <f>'export postes'!D89</f>
        <v>1</v>
      </c>
      <c r="E145" s="466">
        <f t="shared" si="42"/>
        <v>1194</v>
      </c>
      <c r="F145" s="23"/>
      <c r="G145" s="466">
        <f>Déplacements!I479</f>
        <v>835.8</v>
      </c>
      <c r="H145" s="466">
        <f t="shared" si="43"/>
        <v>835.8</v>
      </c>
      <c r="I145" s="23"/>
      <c r="J145" s="466" t="e">
        <f>Déplacements!#REF!</f>
        <v>#REF!</v>
      </c>
      <c r="K145" s="466" t="e">
        <f t="shared" si="44"/>
        <v>#REF!</v>
      </c>
      <c r="L145" s="472" t="e">
        <f t="shared" si="45"/>
        <v>#REF!</v>
      </c>
      <c r="N145" s="466" t="e">
        <f>Déplacements!#REF!</f>
        <v>#REF!</v>
      </c>
      <c r="O145" s="466" t="e">
        <f t="shared" si="46"/>
        <v>#REF!</v>
      </c>
      <c r="P145" s="472" t="e">
        <f t="shared" si="47"/>
        <v>#REF!</v>
      </c>
    </row>
    <row r="146" spans="2:16" s="16" customFormat="1" ht="12.75" customHeight="1">
      <c r="B146" s="465" t="str">
        <f>Déplacements!B480</f>
        <v>Employés en avion, émissions amont du combustible</v>
      </c>
      <c r="C146" s="466">
        <f>Déplacements!E480</f>
        <v>248.4</v>
      </c>
      <c r="D146" s="554">
        <f>'export postes'!D89</f>
        <v>1</v>
      </c>
      <c r="E146" s="466">
        <f t="shared" si="42"/>
        <v>248.4</v>
      </c>
      <c r="F146" s="23"/>
      <c r="G146" s="466">
        <f>Déplacements!I480</f>
        <v>173.88</v>
      </c>
      <c r="H146" s="466">
        <f t="shared" si="43"/>
        <v>173.88</v>
      </c>
      <c r="I146" s="23"/>
      <c r="J146" s="466" t="e">
        <f>Déplacements!#REF!</f>
        <v>#REF!</v>
      </c>
      <c r="K146" s="466" t="e">
        <f t="shared" si="44"/>
        <v>#REF!</v>
      </c>
      <c r="L146" s="472" t="e">
        <f t="shared" si="45"/>
        <v>#REF!</v>
      </c>
      <c r="N146" s="466" t="e">
        <f>Déplacements!#REF!</f>
        <v>#REF!</v>
      </c>
      <c r="O146" s="466" t="e">
        <f t="shared" si="46"/>
        <v>#REF!</v>
      </c>
      <c r="P146" s="472" t="e">
        <f t="shared" si="47"/>
        <v>#REF!</v>
      </c>
    </row>
    <row r="147" spans="2:16" s="16" customFormat="1" ht="12.75" customHeight="1">
      <c r="B147" s="465" t="str">
        <f>Déplacements!B481</f>
        <v>Employés en avion, émissions hors Kyoto</v>
      </c>
      <c r="C147" s="466">
        <f>Déplacements!E481</f>
        <v>1200</v>
      </c>
      <c r="D147" s="554">
        <f>'export postes'!D89</f>
        <v>1</v>
      </c>
      <c r="E147" s="466">
        <f t="shared" si="42"/>
        <v>1200</v>
      </c>
      <c r="F147" s="23"/>
      <c r="G147" s="466">
        <f>Déplacements!I481</f>
        <v>840</v>
      </c>
      <c r="H147" s="466">
        <f t="shared" si="43"/>
        <v>840</v>
      </c>
      <c r="I147" s="23"/>
      <c r="J147" s="466" t="e">
        <f>Déplacements!#REF!</f>
        <v>#REF!</v>
      </c>
      <c r="K147" s="466" t="e">
        <f t="shared" si="44"/>
        <v>#REF!</v>
      </c>
      <c r="L147" s="472" t="e">
        <f t="shared" si="45"/>
        <v>#REF!</v>
      </c>
      <c r="N147" s="466" t="e">
        <f>Déplacements!#REF!</f>
        <v>#REF!</v>
      </c>
      <c r="O147" s="466" t="e">
        <f t="shared" si="46"/>
        <v>#REF!</v>
      </c>
      <c r="P147" s="472" t="e">
        <f t="shared" si="47"/>
        <v>#REF!</v>
      </c>
    </row>
    <row r="148" spans="2:16" s="16" customFormat="1" ht="12.75" customHeight="1">
      <c r="B148" s="465" t="str">
        <f>Déplacements!B482</f>
        <v>Employés en bateau possédé, combustion seule</v>
      </c>
      <c r="C148" s="466">
        <f>Déplacements!E482</f>
        <v>0</v>
      </c>
      <c r="D148" s="554">
        <f>'export postes'!D90</f>
        <v>1</v>
      </c>
      <c r="E148" s="466">
        <f t="shared" si="42"/>
        <v>0</v>
      </c>
      <c r="F148" s="23"/>
      <c r="G148" s="466">
        <f>Déplacements!I482</f>
        <v>0</v>
      </c>
      <c r="H148" s="466">
        <f t="shared" si="43"/>
        <v>0</v>
      </c>
      <c r="I148" s="23"/>
      <c r="J148" s="466" t="e">
        <f>Déplacements!#REF!</f>
        <v>#REF!</v>
      </c>
      <c r="K148" s="466" t="e">
        <f t="shared" si="44"/>
        <v>#REF!</v>
      </c>
      <c r="L148" s="472" t="e">
        <f t="shared" si="45"/>
        <v>#REF!</v>
      </c>
      <c r="N148" s="466" t="e">
        <f>Déplacements!#REF!</f>
        <v>#REF!</v>
      </c>
      <c r="O148" s="466" t="e">
        <f t="shared" si="46"/>
        <v>#REF!</v>
      </c>
      <c r="P148" s="472" t="e">
        <f t="shared" si="47"/>
        <v>#REF!</v>
      </c>
    </row>
    <row r="149" spans="2:16" s="16" customFormat="1" ht="12.75" customHeight="1">
      <c r="B149" s="465" t="str">
        <f>Déplacements!B483</f>
        <v>Employés en bateau non possédé, combustion seule</v>
      </c>
      <c r="C149" s="466">
        <f>Déplacements!E483</f>
        <v>0</v>
      </c>
      <c r="D149" s="554">
        <f>'export postes'!D90</f>
        <v>1</v>
      </c>
      <c r="E149" s="466">
        <f t="shared" si="42"/>
        <v>0</v>
      </c>
      <c r="F149" s="23"/>
      <c r="G149" s="466">
        <f>Déplacements!I483</f>
        <v>0</v>
      </c>
      <c r="H149" s="466">
        <f t="shared" si="43"/>
        <v>0</v>
      </c>
      <c r="I149" s="23"/>
      <c r="J149" s="466" t="e">
        <f>Déplacements!#REF!</f>
        <v>#REF!</v>
      </c>
      <c r="K149" s="466" t="e">
        <f t="shared" si="44"/>
        <v>#REF!</v>
      </c>
      <c r="L149" s="472" t="e">
        <f t="shared" si="45"/>
        <v>#REF!</v>
      </c>
      <c r="N149" s="466" t="e">
        <f>Déplacements!#REF!</f>
        <v>#REF!</v>
      </c>
      <c r="O149" s="466" t="e">
        <f t="shared" si="46"/>
        <v>#REF!</v>
      </c>
      <c r="P149" s="472" t="e">
        <f t="shared" si="47"/>
        <v>#REF!</v>
      </c>
    </row>
    <row r="150" spans="2:16" s="16" customFormat="1" ht="12.75" customHeight="1">
      <c r="B150" s="465" t="str">
        <f>Déplacements!B484</f>
        <v>Employés en bateau, émissions amont du combustible</v>
      </c>
      <c r="C150" s="466">
        <f>Déplacements!E484</f>
        <v>0</v>
      </c>
      <c r="D150" s="554">
        <f>'export postes'!D90</f>
        <v>1</v>
      </c>
      <c r="E150" s="466">
        <f t="shared" si="42"/>
        <v>0</v>
      </c>
      <c r="F150" s="23"/>
      <c r="G150" s="466">
        <f>Déplacements!I484</f>
        <v>0</v>
      </c>
      <c r="H150" s="466">
        <f t="shared" si="43"/>
        <v>0</v>
      </c>
      <c r="I150" s="23"/>
      <c r="J150" s="466" t="e">
        <f>Déplacements!#REF!</f>
        <v>#REF!</v>
      </c>
      <c r="K150" s="466" t="e">
        <f t="shared" si="44"/>
        <v>#REF!</v>
      </c>
      <c r="L150" s="472" t="e">
        <f t="shared" si="45"/>
        <v>#REF!</v>
      </c>
      <c r="N150" s="466" t="e">
        <f>Déplacements!#REF!</f>
        <v>#REF!</v>
      </c>
      <c r="O150" s="466" t="e">
        <f t="shared" si="46"/>
        <v>#REF!</v>
      </c>
      <c r="P150" s="472" t="e">
        <f t="shared" si="47"/>
        <v>#REF!</v>
      </c>
    </row>
    <row r="151" spans="2:16" s="16" customFormat="1" ht="12.75" customHeight="1">
      <c r="B151" s="465" t="str">
        <f>Déplacements!B485</f>
        <v>Visiteurs, moyens détenus ou opérés, combustion seule</v>
      </c>
      <c r="C151" s="466">
        <f>Déplacements!E485</f>
        <v>0</v>
      </c>
      <c r="D151" s="554">
        <f>'export postes'!D91</f>
        <v>1</v>
      </c>
      <c r="E151" s="466">
        <f t="shared" si="42"/>
        <v>0</v>
      </c>
      <c r="F151" s="23"/>
      <c r="G151" s="466">
        <f>Déplacements!I485</f>
        <v>0</v>
      </c>
      <c r="H151" s="466">
        <f t="shared" si="43"/>
        <v>0</v>
      </c>
      <c r="I151" s="23"/>
      <c r="J151" s="466" t="e">
        <f>Déplacements!#REF!</f>
        <v>#REF!</v>
      </c>
      <c r="K151" s="466" t="e">
        <f t="shared" si="44"/>
        <v>#REF!</v>
      </c>
      <c r="L151" s="472" t="e">
        <f t="shared" si="45"/>
        <v>#REF!</v>
      </c>
      <c r="N151" s="466" t="e">
        <f>Déplacements!#REF!</f>
        <v>#REF!</v>
      </c>
      <c r="O151" s="466" t="e">
        <f t="shared" si="46"/>
        <v>#REF!</v>
      </c>
      <c r="P151" s="472" t="e">
        <f t="shared" si="47"/>
        <v>#REF!</v>
      </c>
    </row>
    <row r="152" spans="2:16" s="16" customFormat="1" ht="12.75" customHeight="1">
      <c r="B152" s="465" t="str">
        <f>Déplacements!B486</f>
        <v>Visiteurs, moyens non détenus, énergie seule</v>
      </c>
      <c r="C152" s="466">
        <f>Déplacements!E486</f>
        <v>0</v>
      </c>
      <c r="D152" s="554">
        <f>'export postes'!D91</f>
        <v>1</v>
      </c>
      <c r="E152" s="466">
        <f t="shared" si="42"/>
        <v>0</v>
      </c>
      <c r="F152" s="23"/>
      <c r="G152" s="466">
        <f>Déplacements!I486</f>
        <v>0</v>
      </c>
      <c r="H152" s="466">
        <f t="shared" si="43"/>
        <v>0</v>
      </c>
      <c r="I152" s="23"/>
      <c r="J152" s="466" t="e">
        <f>Déplacements!#REF!</f>
        <v>#REF!</v>
      </c>
      <c r="K152" s="466" t="e">
        <f t="shared" si="44"/>
        <v>#REF!</v>
      </c>
      <c r="L152" s="472" t="e">
        <f t="shared" si="45"/>
        <v>#REF!</v>
      </c>
      <c r="N152" s="466" t="e">
        <f>Déplacements!#REF!</f>
        <v>#REF!</v>
      </c>
      <c r="O152" s="466" t="e">
        <f t="shared" si="46"/>
        <v>#REF!</v>
      </c>
      <c r="P152" s="472" t="e">
        <f t="shared" si="47"/>
        <v>#REF!</v>
      </c>
    </row>
    <row r="153" spans="2:16" s="16" customFormat="1" ht="12.75" customHeight="1">
      <c r="B153" s="465" t="str">
        <f>Déplacements!B487</f>
        <v>Visiteurs, émissions amont du combustible</v>
      </c>
      <c r="C153" s="466">
        <f>Déplacements!E487</f>
        <v>0</v>
      </c>
      <c r="D153" s="554">
        <f>'export postes'!D91</f>
        <v>1</v>
      </c>
      <c r="E153" s="466">
        <f t="shared" si="42"/>
        <v>0</v>
      </c>
      <c r="F153" s="23"/>
      <c r="G153" s="466">
        <f>Déplacements!I487</f>
        <v>0</v>
      </c>
      <c r="H153" s="466">
        <f t="shared" si="43"/>
        <v>0</v>
      </c>
      <c r="I153" s="23"/>
      <c r="J153" s="466" t="e">
        <f>Déplacements!#REF!</f>
        <v>#REF!</v>
      </c>
      <c r="K153" s="466" t="e">
        <f t="shared" si="44"/>
        <v>#REF!</v>
      </c>
      <c r="L153" s="472" t="e">
        <f t="shared" si="45"/>
        <v>#REF!</v>
      </c>
      <c r="N153" s="466" t="e">
        <f>Déplacements!#REF!</f>
        <v>#REF!</v>
      </c>
      <c r="O153" s="466" t="e">
        <f t="shared" si="46"/>
        <v>#REF!</v>
      </c>
      <c r="P153" s="472" t="e">
        <f t="shared" si="47"/>
        <v>#REF!</v>
      </c>
    </row>
    <row r="154" spans="2:16" s="16" customFormat="1" ht="12.75" customHeight="1">
      <c r="B154" s="465" t="str">
        <f>Déplacements!B488</f>
        <v>Visiteurs, amortissements</v>
      </c>
      <c r="C154" s="466">
        <f>Déplacements!E488</f>
        <v>0</v>
      </c>
      <c r="D154" s="554">
        <f>'export postes'!D91</f>
        <v>1</v>
      </c>
      <c r="E154" s="466">
        <f t="shared" si="42"/>
        <v>0</v>
      </c>
      <c r="F154" s="23"/>
      <c r="G154" s="466">
        <f>Déplacements!I488</f>
        <v>0</v>
      </c>
      <c r="H154" s="466">
        <f t="shared" si="43"/>
        <v>0</v>
      </c>
      <c r="I154" s="23"/>
      <c r="J154" s="466" t="e">
        <f>Déplacements!#REF!</f>
        <v>#REF!</v>
      </c>
      <c r="K154" s="466" t="e">
        <f t="shared" si="44"/>
        <v>#REF!</v>
      </c>
      <c r="L154" s="472" t="e">
        <f t="shared" si="45"/>
        <v>#REF!</v>
      </c>
      <c r="N154" s="466" t="e">
        <f>Déplacements!#REF!</f>
        <v>#REF!</v>
      </c>
      <c r="O154" s="466" t="e">
        <f t="shared" si="46"/>
        <v>#REF!</v>
      </c>
      <c r="P154" s="472" t="e">
        <f t="shared" si="47"/>
        <v>#REF!</v>
      </c>
    </row>
    <row r="155" spans="2:16" s="16" customFormat="1" ht="12.75" customHeight="1">
      <c r="B155" s="465" t="str">
        <f>Déplacements!B489</f>
        <v>Visiteurs, émissions hors Kyoto</v>
      </c>
      <c r="C155" s="466">
        <f>Déplacements!E489</f>
        <v>0</v>
      </c>
      <c r="D155" s="554">
        <f>'export postes'!D91</f>
        <v>1</v>
      </c>
      <c r="E155" s="466">
        <f t="shared" si="42"/>
        <v>0</v>
      </c>
      <c r="F155" s="23"/>
      <c r="G155" s="466">
        <f>Déplacements!I489</f>
        <v>0</v>
      </c>
      <c r="H155" s="466">
        <f t="shared" si="43"/>
        <v>0</v>
      </c>
      <c r="I155" s="23"/>
      <c r="J155" s="466" t="e">
        <f>Déplacements!#REF!</f>
        <v>#REF!</v>
      </c>
      <c r="K155" s="466" t="e">
        <f t="shared" si="44"/>
        <v>#REF!</v>
      </c>
      <c r="L155" s="472" t="e">
        <f t="shared" si="45"/>
        <v>#REF!</v>
      </c>
      <c r="N155" s="466" t="e">
        <f>Déplacements!#REF!</f>
        <v>#REF!</v>
      </c>
      <c r="O155" s="466" t="e">
        <f t="shared" si="46"/>
        <v>#REF!</v>
      </c>
      <c r="P155" s="472" t="e">
        <f t="shared" si="47"/>
        <v>#REF!</v>
      </c>
    </row>
    <row r="156" spans="2:16" s="19" customFormat="1" ht="12.75" customHeight="1">
      <c r="B156" s="550"/>
      <c r="C156" s="553"/>
      <c r="D156" s="31"/>
      <c r="E156" s="553"/>
      <c r="F156" s="32"/>
      <c r="G156" s="553"/>
      <c r="H156" s="553"/>
      <c r="I156" s="32"/>
      <c r="J156" s="553"/>
      <c r="K156" s="553"/>
      <c r="L156" s="553"/>
      <c r="N156" s="553"/>
      <c r="O156" s="553"/>
      <c r="P156" s="553"/>
    </row>
    <row r="157" spans="2:16" s="16" customFormat="1" ht="12.75" customHeight="1">
      <c r="B157" s="548" t="str">
        <f>'Déchets directs'!B233</f>
        <v>Déchets directs</v>
      </c>
      <c r="C157" s="495">
        <f>SUM(C158:C166)</f>
        <v>39170</v>
      </c>
      <c r="D157" s="25"/>
      <c r="E157" s="495">
        <f>SUM(E158:E166)</f>
        <v>39170</v>
      </c>
      <c r="F157" s="23"/>
      <c r="G157" s="495">
        <f>SQRT(SUMSQ(G158:G166))</f>
        <v>5911.8223180335863</v>
      </c>
      <c r="H157" s="495">
        <f>SUM(H158:H166)</f>
        <v>5911.8223180335863</v>
      </c>
      <c r="I157" s="23"/>
      <c r="J157" s="495" t="e">
        <f>SUM(J158:J166)</f>
        <v>#REF!</v>
      </c>
      <c r="K157" s="495" t="e">
        <f>SUM(K158:K166)</f>
        <v>#REF!</v>
      </c>
      <c r="L157" s="510" t="e">
        <f>SUM(L158:L166)</f>
        <v>#REF!</v>
      </c>
      <c r="N157" s="495" t="e">
        <f>SUM(N158:N166)</f>
        <v>#REF!</v>
      </c>
      <c r="O157" s="495" t="e">
        <f>SUM(O158:O166)</f>
        <v>#REF!</v>
      </c>
      <c r="P157" s="510" t="e">
        <f>SUM(P158:P166)</f>
        <v>#REF!</v>
      </c>
    </row>
    <row r="158" spans="2:16" s="16" customFormat="1" ht="12.75" customHeight="1">
      <c r="B158" s="429" t="str">
        <f>'Déchets directs'!B235</f>
        <v>Déchets d'emballages ménages</v>
      </c>
      <c r="C158" s="467">
        <f>'Déchets directs'!D235</f>
        <v>39170</v>
      </c>
      <c r="D158" s="555">
        <f>'export postes'!D94</f>
        <v>1</v>
      </c>
      <c r="E158" s="467">
        <f t="shared" ref="E158:E163" si="48">C158*D158</f>
        <v>39170</v>
      </c>
      <c r="F158" s="23"/>
      <c r="G158" s="467">
        <f>'Déchets directs'!H235</f>
        <v>5911.8223180335863</v>
      </c>
      <c r="H158" s="467">
        <f t="shared" ref="H158:H163" si="49">G158*D158</f>
        <v>5911.8223180335863</v>
      </c>
      <c r="I158" s="23"/>
      <c r="J158" s="467" t="e">
        <f>'Déchets directs'!#REF!</f>
        <v>#REF!</v>
      </c>
      <c r="K158" s="467" t="e">
        <f t="shared" ref="K158:K166" si="50">J158*D158</f>
        <v>#REF!</v>
      </c>
      <c r="L158" s="471" t="e">
        <f t="shared" ref="L158:L166" si="51">K158*12/44</f>
        <v>#REF!</v>
      </c>
      <c r="N158" s="467" t="e">
        <f>'Déchets directs'!#REF!</f>
        <v>#REF!</v>
      </c>
      <c r="O158" s="467" t="e">
        <f t="shared" ref="O158:O166" si="52">N158*D158</f>
        <v>#REF!</v>
      </c>
      <c r="P158" s="471" t="e">
        <f t="shared" ref="P158:P166" si="53">O158*12/44</f>
        <v>#REF!</v>
      </c>
    </row>
    <row r="159" spans="2:16" s="16" customFormat="1" ht="12.75" customHeight="1">
      <c r="B159" s="429" t="str">
        <f>'Déchets directs'!B236</f>
        <v>Déchets organiques et ordures ménagères</v>
      </c>
      <c r="C159" s="467">
        <f>'Déchets directs'!D236</f>
        <v>0</v>
      </c>
      <c r="D159" s="555">
        <f>'export postes'!D95</f>
        <v>1</v>
      </c>
      <c r="E159" s="467">
        <f t="shared" ref="E159" si="54">C159*D159</f>
        <v>0</v>
      </c>
      <c r="F159" s="23"/>
      <c r="G159" s="467">
        <f>'Déchets directs'!H236</f>
        <v>0</v>
      </c>
      <c r="H159" s="467">
        <f t="shared" ref="H159" si="55">G159*D159</f>
        <v>0</v>
      </c>
      <c r="I159" s="23"/>
      <c r="J159" s="2182"/>
      <c r="K159" s="2182"/>
      <c r="L159" s="2183"/>
      <c r="N159" s="2182"/>
      <c r="O159" s="2182"/>
      <c r="P159" s="2183"/>
    </row>
    <row r="160" spans="2:16" s="16" customFormat="1" ht="12.75" customHeight="1">
      <c r="B160" s="429" t="str">
        <f>'Déchets directs'!B237</f>
        <v>Déchets piles, accumulateurs et DEEE</v>
      </c>
      <c r="C160" s="467">
        <f>'Déchets directs'!D237</f>
        <v>0</v>
      </c>
      <c r="D160" s="555">
        <f>'export postes'!D96</f>
        <v>1</v>
      </c>
      <c r="E160" s="467">
        <f t="shared" si="48"/>
        <v>0</v>
      </c>
      <c r="F160" s="23"/>
      <c r="G160" s="467">
        <f>'Déchets directs'!H237</f>
        <v>0</v>
      </c>
      <c r="H160" s="467">
        <f t="shared" si="49"/>
        <v>0</v>
      </c>
      <c r="I160" s="23"/>
      <c r="J160" s="467" t="e">
        <f>'Déchets directs'!#REF!</f>
        <v>#REF!</v>
      </c>
      <c r="K160" s="467" t="e">
        <f t="shared" si="50"/>
        <v>#REF!</v>
      </c>
      <c r="L160" s="471" t="e">
        <f t="shared" si="51"/>
        <v>#REF!</v>
      </c>
      <c r="N160" s="467" t="e">
        <f>'Déchets directs'!#REF!</f>
        <v>#REF!</v>
      </c>
      <c r="O160" s="467" t="e">
        <f t="shared" si="52"/>
        <v>#REF!</v>
      </c>
      <c r="P160" s="471" t="e">
        <f t="shared" si="53"/>
        <v>#REF!</v>
      </c>
    </row>
    <row r="161" spans="1:19" s="16" customFormat="1" ht="12.75" customHeight="1">
      <c r="B161" s="429" t="str">
        <f>'Déchets directs'!B238</f>
        <v>Déchets d'éléments d'ameublement et textiles</v>
      </c>
      <c r="C161" s="467">
        <f>'Déchets directs'!D238</f>
        <v>0</v>
      </c>
      <c r="D161" s="555">
        <f>'export postes'!D97</f>
        <v>1</v>
      </c>
      <c r="E161" s="467">
        <f t="shared" si="48"/>
        <v>0</v>
      </c>
      <c r="F161" s="23"/>
      <c r="G161" s="467">
        <f>'Déchets directs'!H238</f>
        <v>0</v>
      </c>
      <c r="H161" s="467">
        <f t="shared" si="49"/>
        <v>0</v>
      </c>
      <c r="I161" s="23"/>
      <c r="J161" s="467" t="e">
        <f>'Déchets directs'!#REF!</f>
        <v>#REF!</v>
      </c>
      <c r="K161" s="467" t="e">
        <f t="shared" si="50"/>
        <v>#REF!</v>
      </c>
      <c r="L161" s="471" t="e">
        <f t="shared" si="51"/>
        <v>#REF!</v>
      </c>
      <c r="N161" s="467" t="e">
        <f>'Déchets directs'!#REF!</f>
        <v>#REF!</v>
      </c>
      <c r="O161" s="467" t="e">
        <f t="shared" si="52"/>
        <v>#REF!</v>
      </c>
      <c r="P161" s="471" t="e">
        <f t="shared" si="53"/>
        <v>#REF!</v>
      </c>
    </row>
    <row r="162" spans="1:19" s="16" customFormat="1" ht="12.75" customHeight="1">
      <c r="B162" s="429" t="str">
        <f>'Déchets directs'!B239</f>
        <v>Déchets dangereux</v>
      </c>
      <c r="C162" s="467">
        <f>'Déchets directs'!D239</f>
        <v>0</v>
      </c>
      <c r="D162" s="555">
        <f>'export postes'!D98</f>
        <v>1</v>
      </c>
      <c r="E162" s="467">
        <f t="shared" si="48"/>
        <v>0</v>
      </c>
      <c r="F162" s="23"/>
      <c r="G162" s="467">
        <f>'Déchets directs'!H239</f>
        <v>0</v>
      </c>
      <c r="H162" s="467">
        <f t="shared" si="49"/>
        <v>0</v>
      </c>
      <c r="I162" s="23"/>
      <c r="J162" s="467" t="e">
        <f>'Déchets directs'!#REF!</f>
        <v>#REF!</v>
      </c>
      <c r="K162" s="467" t="e">
        <f t="shared" si="50"/>
        <v>#REF!</v>
      </c>
      <c r="L162" s="471" t="e">
        <f t="shared" si="51"/>
        <v>#REF!</v>
      </c>
      <c r="N162" s="467" t="e">
        <f>'Déchets directs'!#REF!</f>
        <v>#REF!</v>
      </c>
      <c r="O162" s="467" t="e">
        <f t="shared" si="52"/>
        <v>#REF!</v>
      </c>
      <c r="P162" s="471" t="e">
        <f t="shared" si="53"/>
        <v>#REF!</v>
      </c>
    </row>
    <row r="163" spans="1:19" s="16" customFormat="1" ht="12.75" customHeight="1">
      <c r="B163" s="429" t="str">
        <f>'Déchets directs'!B240</f>
        <v>Déchets banals des acteurs économiques</v>
      </c>
      <c r="C163" s="467">
        <f>'Déchets directs'!D240</f>
        <v>0</v>
      </c>
      <c r="D163" s="555">
        <f>'export postes'!D99</f>
        <v>1</v>
      </c>
      <c r="E163" s="467">
        <f t="shared" si="48"/>
        <v>0</v>
      </c>
      <c r="F163" s="23"/>
      <c r="G163" s="467">
        <f>'Déchets directs'!H240</f>
        <v>0</v>
      </c>
      <c r="H163" s="467">
        <f t="shared" si="49"/>
        <v>0</v>
      </c>
      <c r="I163" s="23"/>
      <c r="J163" s="467" t="e">
        <f>'Déchets directs'!#REF!</f>
        <v>#REF!</v>
      </c>
      <c r="K163" s="467" t="e">
        <f t="shared" si="50"/>
        <v>#REF!</v>
      </c>
      <c r="L163" s="471" t="e">
        <f t="shared" si="51"/>
        <v>#REF!</v>
      </c>
      <c r="N163" s="467" t="e">
        <f>'Déchets directs'!#REF!</f>
        <v>#REF!</v>
      </c>
      <c r="O163" s="467" t="e">
        <f t="shared" si="52"/>
        <v>#REF!</v>
      </c>
      <c r="P163" s="471" t="e">
        <f t="shared" si="53"/>
        <v>#REF!</v>
      </c>
    </row>
    <row r="164" spans="1:19" s="16" customFormat="1" ht="12.75" customHeight="1">
      <c r="B164" s="429" t="str">
        <f>'Déchets directs'!B241</f>
        <v>Déchets bâtiments</v>
      </c>
      <c r="C164" s="467">
        <f>'Déchets directs'!D241</f>
        <v>0</v>
      </c>
      <c r="D164" s="555">
        <f>'export postes'!D100</f>
        <v>1</v>
      </c>
      <c r="E164" s="467">
        <f t="shared" ref="E164:E166" si="56">C164*D164</f>
        <v>0</v>
      </c>
      <c r="F164" s="23"/>
      <c r="G164" s="467">
        <f>'Déchets directs'!H241</f>
        <v>0</v>
      </c>
      <c r="H164" s="467">
        <f t="shared" ref="H164:H166" si="57">G164*D164</f>
        <v>0</v>
      </c>
      <c r="I164" s="23"/>
      <c r="J164" s="467" t="e">
        <f>'Déchets directs'!#REF!</f>
        <v>#REF!</v>
      </c>
      <c r="K164" s="467" t="e">
        <f t="shared" si="50"/>
        <v>#REF!</v>
      </c>
      <c r="L164" s="471" t="e">
        <f t="shared" si="51"/>
        <v>#REF!</v>
      </c>
      <c r="N164" s="467" t="e">
        <f>'Déchets directs'!#REF!</f>
        <v>#REF!</v>
      </c>
      <c r="O164" s="467" t="e">
        <f t="shared" si="52"/>
        <v>#REF!</v>
      </c>
      <c r="P164" s="471" t="e">
        <f t="shared" si="53"/>
        <v>#REF!</v>
      </c>
    </row>
    <row r="165" spans="1:19" s="16" customFormat="1" ht="12.75" customHeight="1">
      <c r="B165" s="429" t="str">
        <f>'Déchets directs'!B242</f>
        <v>Fuites</v>
      </c>
      <c r="C165" s="467">
        <f>'Déchets directs'!D242</f>
        <v>0</v>
      </c>
      <c r="D165" s="555">
        <f>'export postes'!D101</f>
        <v>1</v>
      </c>
      <c r="E165" s="467">
        <f t="shared" si="56"/>
        <v>0</v>
      </c>
      <c r="F165" s="23"/>
      <c r="G165" s="467">
        <f>'Déchets directs'!H242</f>
        <v>0</v>
      </c>
      <c r="H165" s="467">
        <f t="shared" si="57"/>
        <v>0</v>
      </c>
      <c r="I165" s="23"/>
      <c r="J165" s="2182"/>
      <c r="K165" s="2182"/>
      <c r="L165" s="2183"/>
      <c r="N165" s="2182"/>
      <c r="O165" s="2182"/>
      <c r="P165" s="2183"/>
    </row>
    <row r="166" spans="1:19" s="16" customFormat="1" ht="12.75" customHeight="1">
      <c r="B166" s="429" t="str">
        <f>'Déchets directs'!B243</f>
        <v>Eaux usées</v>
      </c>
      <c r="C166" s="467">
        <f>'Déchets directs'!D243</f>
        <v>0</v>
      </c>
      <c r="D166" s="555">
        <f>'export postes'!D102</f>
        <v>1</v>
      </c>
      <c r="E166" s="467">
        <f t="shared" si="56"/>
        <v>0</v>
      </c>
      <c r="F166" s="23"/>
      <c r="G166" s="467">
        <f>'Déchets directs'!H243</f>
        <v>0</v>
      </c>
      <c r="H166" s="467">
        <f t="shared" si="57"/>
        <v>0</v>
      </c>
      <c r="I166" s="23"/>
      <c r="J166" s="467" t="e">
        <f>'Déchets directs'!#REF!</f>
        <v>#REF!</v>
      </c>
      <c r="K166" s="467" t="e">
        <f t="shared" si="50"/>
        <v>#REF!</v>
      </c>
      <c r="L166" s="471" t="e">
        <f t="shared" si="51"/>
        <v>#REF!</v>
      </c>
      <c r="N166" s="467" t="e">
        <f>'Déchets directs'!#REF!</f>
        <v>#REF!</v>
      </c>
      <c r="O166" s="467" t="e">
        <f t="shared" si="52"/>
        <v>#REF!</v>
      </c>
      <c r="P166" s="471" t="e">
        <f t="shared" si="53"/>
        <v>#REF!</v>
      </c>
    </row>
    <row r="167" spans="1:19" s="6" customFormat="1">
      <c r="A167" s="93"/>
      <c r="B167" s="551"/>
      <c r="C167" s="552"/>
      <c r="D167" s="33"/>
      <c r="E167" s="552"/>
      <c r="F167" s="20"/>
      <c r="G167" s="552"/>
      <c r="H167" s="552"/>
      <c r="I167" s="20"/>
      <c r="J167" s="552"/>
      <c r="K167" s="552"/>
      <c r="L167" s="552"/>
      <c r="M167" s="93"/>
      <c r="N167" s="552"/>
      <c r="O167" s="552"/>
      <c r="P167" s="552"/>
      <c r="Q167" s="93"/>
      <c r="R167" s="93"/>
      <c r="S167" s="93"/>
    </row>
    <row r="168" spans="1:19" ht="13.8">
      <c r="B168" s="549" t="str">
        <f>Immobilisations!B259</f>
        <v>Immobilisations</v>
      </c>
      <c r="C168" s="501">
        <f>SUM(C169:C187)</f>
        <v>43928.386666666665</v>
      </c>
      <c r="D168" s="27"/>
      <c r="E168" s="501">
        <f>SUM(E169:E187)</f>
        <v>43928.386666666665</v>
      </c>
      <c r="F168" s="11"/>
      <c r="G168" s="501">
        <f>SQRT(SUMSQ(G169:G187))</f>
        <v>12133.395140725817</v>
      </c>
      <c r="H168" s="501">
        <f>SUM(H169:H187)</f>
        <v>17520.697014403442</v>
      </c>
      <c r="I168" s="11"/>
      <c r="J168" s="501" t="e">
        <f>SUM(J169:J187)</f>
        <v>#REF!</v>
      </c>
      <c r="K168" s="501" t="e">
        <f>SUM(K169:K187)</f>
        <v>#REF!</v>
      </c>
      <c r="L168" s="511" t="e">
        <f>SUM(L169:L187)</f>
        <v>#REF!</v>
      </c>
      <c r="N168" s="501" t="e">
        <f>SUM(N169:N187)</f>
        <v>#REF!</v>
      </c>
      <c r="O168" s="501" t="e">
        <f>SUM(O169:O187)</f>
        <v>#REF!</v>
      </c>
      <c r="P168" s="511" t="e">
        <f>SUM(P169:P187)</f>
        <v>#REF!</v>
      </c>
    </row>
    <row r="169" spans="1:19">
      <c r="B169" s="465" t="str">
        <f>Immobilisations!B261</f>
        <v>Bâtiments, approche par les surfaces</v>
      </c>
      <c r="C169" s="466">
        <f>Immobilisations!E261</f>
        <v>20625</v>
      </c>
      <c r="D169" s="554">
        <f>'export postes'!D105</f>
        <v>1</v>
      </c>
      <c r="E169" s="466">
        <f t="shared" ref="E169:E187" si="58">C169*D169</f>
        <v>20625</v>
      </c>
      <c r="F169" s="11"/>
      <c r="G169" s="466">
        <f>Immobilisations!I261</f>
        <v>10312.5</v>
      </c>
      <c r="H169" s="466">
        <f t="shared" ref="H169:H187" si="59">G169*D169</f>
        <v>10312.5</v>
      </c>
      <c r="I169" s="11"/>
      <c r="J169" s="466" t="e">
        <f>Immobilisations!#REF!</f>
        <v>#REF!</v>
      </c>
      <c r="K169" s="466" t="e">
        <f t="shared" ref="K169:K187" si="60">J169*D169</f>
        <v>#REF!</v>
      </c>
      <c r="L169" s="472" t="e">
        <f t="shared" ref="L169:L187" si="61">K169*12/44</f>
        <v>#REF!</v>
      </c>
      <c r="N169" s="466" t="e">
        <f>Immobilisations!#REF!</f>
        <v>#REF!</v>
      </c>
      <c r="O169" s="466" t="e">
        <f t="shared" ref="O169:O187" si="62">N169*D169</f>
        <v>#REF!</v>
      </c>
      <c r="P169" s="472" t="e">
        <f t="shared" ref="P169:P187" si="63">O169*12/44</f>
        <v>#REF!</v>
      </c>
    </row>
    <row r="170" spans="1:19">
      <c r="B170" s="465" t="str">
        <f>Immobilisations!B262</f>
        <v>Bâtiments, engins de chantier, véhicules possédés, combustion seule</v>
      </c>
      <c r="C170" s="466">
        <f>Immobilisations!E262</f>
        <v>0</v>
      </c>
      <c r="D170" s="554">
        <f>'export postes'!D105</f>
        <v>1</v>
      </c>
      <c r="E170" s="466">
        <f t="shared" si="58"/>
        <v>0</v>
      </c>
      <c r="F170" s="11"/>
      <c r="G170" s="466">
        <f>Immobilisations!I262</f>
        <v>0</v>
      </c>
      <c r="H170" s="466">
        <f t="shared" si="59"/>
        <v>0</v>
      </c>
      <c r="I170" s="11"/>
      <c r="J170" s="466" t="e">
        <f>Immobilisations!#REF!</f>
        <v>#REF!</v>
      </c>
      <c r="K170" s="466" t="e">
        <f t="shared" si="60"/>
        <v>#REF!</v>
      </c>
      <c r="L170" s="472" t="e">
        <f t="shared" si="61"/>
        <v>#REF!</v>
      </c>
      <c r="N170" s="466" t="e">
        <f>Immobilisations!#REF!</f>
        <v>#REF!</v>
      </c>
      <c r="O170" s="466" t="e">
        <f t="shared" si="62"/>
        <v>#REF!</v>
      </c>
      <c r="P170" s="472" t="e">
        <f t="shared" si="63"/>
        <v>#REF!</v>
      </c>
    </row>
    <row r="171" spans="1:19">
      <c r="B171" s="465" t="str">
        <f>Immobilisations!B263</f>
        <v>Bâtiments, engins de chantier, véhicules non possédés, énergie seule</v>
      </c>
      <c r="C171" s="466">
        <f>Immobilisations!E263</f>
        <v>0</v>
      </c>
      <c r="D171" s="554">
        <f>'export postes'!D105</f>
        <v>1</v>
      </c>
      <c r="E171" s="466">
        <f t="shared" si="58"/>
        <v>0</v>
      </c>
      <c r="F171" s="11"/>
      <c r="G171" s="466">
        <f>Immobilisations!I263</f>
        <v>0</v>
      </c>
      <c r="H171" s="466">
        <f t="shared" si="59"/>
        <v>0</v>
      </c>
      <c r="I171" s="11"/>
      <c r="J171" s="466" t="e">
        <f>Immobilisations!#REF!</f>
        <v>#REF!</v>
      </c>
      <c r="K171" s="466" t="e">
        <f t="shared" si="60"/>
        <v>#REF!</v>
      </c>
      <c r="L171" s="472" t="e">
        <f t="shared" si="61"/>
        <v>#REF!</v>
      </c>
      <c r="N171" s="466" t="e">
        <f>Immobilisations!#REF!</f>
        <v>#REF!</v>
      </c>
      <c r="O171" s="466" t="e">
        <f t="shared" si="62"/>
        <v>#REF!</v>
      </c>
      <c r="P171" s="472" t="e">
        <f t="shared" si="63"/>
        <v>#REF!</v>
      </c>
    </row>
    <row r="172" spans="1:19">
      <c r="B172" s="465" t="str">
        <f>Immobilisations!B264</f>
        <v>Bâtiments, engins de chantier, émissions amont du combustible</v>
      </c>
      <c r="C172" s="466">
        <f>Immobilisations!E264</f>
        <v>0</v>
      </c>
      <c r="D172" s="554">
        <f>'export postes'!D105</f>
        <v>1</v>
      </c>
      <c r="E172" s="466">
        <f t="shared" si="58"/>
        <v>0</v>
      </c>
      <c r="F172" s="11"/>
      <c r="G172" s="466">
        <f>Immobilisations!I264</f>
        <v>0</v>
      </c>
      <c r="H172" s="466">
        <f t="shared" si="59"/>
        <v>0</v>
      </c>
      <c r="I172" s="11"/>
      <c r="J172" s="466" t="e">
        <f>Immobilisations!#REF!</f>
        <v>#REF!</v>
      </c>
      <c r="K172" s="466" t="e">
        <f t="shared" si="60"/>
        <v>#REF!</v>
      </c>
      <c r="L172" s="472" t="e">
        <f t="shared" si="61"/>
        <v>#REF!</v>
      </c>
      <c r="N172" s="466" t="e">
        <f>Immobilisations!#REF!</f>
        <v>#REF!</v>
      </c>
      <c r="O172" s="466" t="e">
        <f t="shared" si="62"/>
        <v>#REF!</v>
      </c>
      <c r="P172" s="472" t="e">
        <f t="shared" si="63"/>
        <v>#REF!</v>
      </c>
    </row>
    <row r="173" spans="1:19">
      <c r="B173" s="465" t="str">
        <f>Immobilisations!B265</f>
        <v>Bâtiments, matériaux de construction</v>
      </c>
      <c r="C173" s="466">
        <f>Immobilisations!E265</f>
        <v>0</v>
      </c>
      <c r="D173" s="554">
        <f>'export postes'!D105</f>
        <v>1</v>
      </c>
      <c r="E173" s="466">
        <f t="shared" si="58"/>
        <v>0</v>
      </c>
      <c r="F173" s="11"/>
      <c r="G173" s="466">
        <f>Immobilisations!I265</f>
        <v>0</v>
      </c>
      <c r="H173" s="466">
        <f t="shared" si="59"/>
        <v>0</v>
      </c>
      <c r="I173" s="11"/>
      <c r="J173" s="466" t="e">
        <f>Immobilisations!#REF!</f>
        <v>#REF!</v>
      </c>
      <c r="K173" s="466" t="e">
        <f t="shared" si="60"/>
        <v>#REF!</v>
      </c>
      <c r="L173" s="472" t="e">
        <f t="shared" si="61"/>
        <v>#REF!</v>
      </c>
      <c r="N173" s="466" t="e">
        <f>Immobilisations!#REF!</f>
        <v>#REF!</v>
      </c>
      <c r="O173" s="466" t="e">
        <f t="shared" si="62"/>
        <v>#REF!</v>
      </c>
      <c r="P173" s="472" t="e">
        <f t="shared" si="63"/>
        <v>#REF!</v>
      </c>
    </row>
    <row r="174" spans="1:19">
      <c r="B174" s="465" t="str">
        <f>Immobilisations!B266</f>
        <v>Bâtiments, métaux</v>
      </c>
      <c r="C174" s="466">
        <f>Immobilisations!E266</f>
        <v>0</v>
      </c>
      <c r="D174" s="554">
        <f>'export postes'!D105</f>
        <v>1</v>
      </c>
      <c r="E174" s="466">
        <f t="shared" si="58"/>
        <v>0</v>
      </c>
      <c r="F174" s="11"/>
      <c r="G174" s="466">
        <f>Immobilisations!I266</f>
        <v>0</v>
      </c>
      <c r="H174" s="466">
        <f t="shared" si="59"/>
        <v>0</v>
      </c>
      <c r="I174" s="11"/>
      <c r="J174" s="466" t="e">
        <f>Immobilisations!#REF!</f>
        <v>#REF!</v>
      </c>
      <c r="K174" s="466" t="e">
        <f t="shared" si="60"/>
        <v>#REF!</v>
      </c>
      <c r="L174" s="472" t="e">
        <f t="shared" si="61"/>
        <v>#REF!</v>
      </c>
      <c r="N174" s="466" t="e">
        <f>Immobilisations!#REF!</f>
        <v>#REF!</v>
      </c>
      <c r="O174" s="466" t="e">
        <f t="shared" si="62"/>
        <v>#REF!</v>
      </c>
      <c r="P174" s="472" t="e">
        <f t="shared" si="63"/>
        <v>#REF!</v>
      </c>
    </row>
    <row r="175" spans="1:19">
      <c r="B175" s="465" t="str">
        <f>Immobilisations!B267</f>
        <v>Bâtiments, plastiques</v>
      </c>
      <c r="C175" s="466">
        <f>Immobilisations!E267</f>
        <v>0</v>
      </c>
      <c r="D175" s="554">
        <f>'export postes'!D105</f>
        <v>1</v>
      </c>
      <c r="E175" s="466">
        <f t="shared" si="58"/>
        <v>0</v>
      </c>
      <c r="F175" s="11"/>
      <c r="G175" s="466">
        <f>Immobilisations!I267</f>
        <v>0</v>
      </c>
      <c r="H175" s="466">
        <f t="shared" si="59"/>
        <v>0</v>
      </c>
      <c r="I175" s="11"/>
      <c r="J175" s="466" t="e">
        <f>Immobilisations!#REF!</f>
        <v>#REF!</v>
      </c>
      <c r="K175" s="466" t="e">
        <f t="shared" si="60"/>
        <v>#REF!</v>
      </c>
      <c r="L175" s="472" t="e">
        <f t="shared" si="61"/>
        <v>#REF!</v>
      </c>
      <c r="N175" s="466" t="e">
        <f>Immobilisations!#REF!</f>
        <v>#REF!</v>
      </c>
      <c r="O175" s="466" t="e">
        <f t="shared" si="62"/>
        <v>#REF!</v>
      </c>
      <c r="P175" s="472" t="e">
        <f t="shared" si="63"/>
        <v>#REF!</v>
      </c>
    </row>
    <row r="176" spans="1:19">
      <c r="B176" s="465" t="str">
        <f>Immobilisations!B268</f>
        <v>Bâtiments, verre</v>
      </c>
      <c r="C176" s="466">
        <f>Immobilisations!E268</f>
        <v>0</v>
      </c>
      <c r="D176" s="554">
        <f>'export postes'!D105</f>
        <v>1</v>
      </c>
      <c r="E176" s="466">
        <f t="shared" si="58"/>
        <v>0</v>
      </c>
      <c r="F176" s="11"/>
      <c r="G176" s="466">
        <f>Immobilisations!I268</f>
        <v>0</v>
      </c>
      <c r="H176" s="466">
        <f t="shared" si="59"/>
        <v>0</v>
      </c>
      <c r="I176" s="11"/>
      <c r="J176" s="466" t="e">
        <f>Immobilisations!#REF!</f>
        <v>#REF!</v>
      </c>
      <c r="K176" s="466" t="e">
        <f t="shared" si="60"/>
        <v>#REF!</v>
      </c>
      <c r="L176" s="472" t="e">
        <f t="shared" si="61"/>
        <v>#REF!</v>
      </c>
      <c r="N176" s="466" t="e">
        <f>Immobilisations!#REF!</f>
        <v>#REF!</v>
      </c>
      <c r="O176" s="466" t="e">
        <f t="shared" si="62"/>
        <v>#REF!</v>
      </c>
      <c r="P176" s="472" t="e">
        <f t="shared" si="63"/>
        <v>#REF!</v>
      </c>
    </row>
    <row r="177" spans="1:19">
      <c r="B177" s="465" t="str">
        <f>Immobilisations!B269</f>
        <v>Infra hors bât, engins de chantier, véhicules possédés, combustion seule</v>
      </c>
      <c r="C177" s="466">
        <f>Immobilisations!E269</f>
        <v>0</v>
      </c>
      <c r="D177" s="554">
        <f>'export postes'!D106</f>
        <v>1</v>
      </c>
      <c r="E177" s="466">
        <f t="shared" si="58"/>
        <v>0</v>
      </c>
      <c r="F177" s="11"/>
      <c r="G177" s="466">
        <f>Immobilisations!I269</f>
        <v>0</v>
      </c>
      <c r="H177" s="466">
        <f t="shared" si="59"/>
        <v>0</v>
      </c>
      <c r="I177" s="11"/>
      <c r="J177" s="466" t="e">
        <f>Immobilisations!#REF!</f>
        <v>#REF!</v>
      </c>
      <c r="K177" s="466" t="e">
        <f t="shared" si="60"/>
        <v>#REF!</v>
      </c>
      <c r="L177" s="472" t="e">
        <f t="shared" si="61"/>
        <v>#REF!</v>
      </c>
      <c r="N177" s="466" t="e">
        <f>Immobilisations!#REF!</f>
        <v>#REF!</v>
      </c>
      <c r="O177" s="466" t="e">
        <f t="shared" si="62"/>
        <v>#REF!</v>
      </c>
      <c r="P177" s="472" t="e">
        <f t="shared" si="63"/>
        <v>#REF!</v>
      </c>
    </row>
    <row r="178" spans="1:19">
      <c r="B178" s="465" t="str">
        <f>Immobilisations!B270</f>
        <v>Infra hors bât, engins de chantier, véhicules non possédés, combustion seule</v>
      </c>
      <c r="C178" s="466">
        <f>Immobilisations!E270</f>
        <v>0</v>
      </c>
      <c r="D178" s="554">
        <f>'export postes'!D106</f>
        <v>1</v>
      </c>
      <c r="E178" s="466">
        <f t="shared" si="58"/>
        <v>0</v>
      </c>
      <c r="F178" s="11"/>
      <c r="G178" s="466">
        <f>Immobilisations!I270</f>
        <v>0</v>
      </c>
      <c r="H178" s="466">
        <f t="shared" si="59"/>
        <v>0</v>
      </c>
      <c r="I178" s="11"/>
      <c r="J178" s="466" t="e">
        <f>Immobilisations!#REF!</f>
        <v>#REF!</v>
      </c>
      <c r="K178" s="466" t="e">
        <f t="shared" si="60"/>
        <v>#REF!</v>
      </c>
      <c r="L178" s="472" t="e">
        <f t="shared" si="61"/>
        <v>#REF!</v>
      </c>
      <c r="N178" s="466" t="e">
        <f>Immobilisations!#REF!</f>
        <v>#REF!</v>
      </c>
      <c r="O178" s="466" t="e">
        <f t="shared" si="62"/>
        <v>#REF!</v>
      </c>
      <c r="P178" s="472" t="e">
        <f t="shared" si="63"/>
        <v>#REF!</v>
      </c>
    </row>
    <row r="179" spans="1:19">
      <c r="B179" s="465" t="str">
        <f>Immobilisations!B271</f>
        <v>Infra hors bât, engins de chantier, émissions amont du combustible</v>
      </c>
      <c r="C179" s="466">
        <f>Immobilisations!E271</f>
        <v>0</v>
      </c>
      <c r="D179" s="554">
        <f>'export postes'!D106</f>
        <v>1</v>
      </c>
      <c r="E179" s="466">
        <f t="shared" si="58"/>
        <v>0</v>
      </c>
      <c r="F179" s="11"/>
      <c r="G179" s="466">
        <f>Immobilisations!I271</f>
        <v>0</v>
      </c>
      <c r="H179" s="466">
        <f t="shared" si="59"/>
        <v>0</v>
      </c>
      <c r="I179" s="11"/>
      <c r="J179" s="466" t="e">
        <f>Immobilisations!#REF!</f>
        <v>#REF!</v>
      </c>
      <c r="K179" s="466" t="e">
        <f t="shared" si="60"/>
        <v>#REF!</v>
      </c>
      <c r="L179" s="472" t="e">
        <f t="shared" si="61"/>
        <v>#REF!</v>
      </c>
      <c r="N179" s="466" t="e">
        <f>Immobilisations!#REF!</f>
        <v>#REF!</v>
      </c>
      <c r="O179" s="466" t="e">
        <f t="shared" si="62"/>
        <v>#REF!</v>
      </c>
      <c r="P179" s="472" t="e">
        <f t="shared" si="63"/>
        <v>#REF!</v>
      </c>
    </row>
    <row r="180" spans="1:19">
      <c r="B180" s="465" t="str">
        <f>Immobilisations!B272</f>
        <v>Infra hors bât, routes approchées par surfaces</v>
      </c>
      <c r="C180" s="466">
        <f>Immobilisations!E272</f>
        <v>1825</v>
      </c>
      <c r="D180" s="554">
        <f>'export postes'!D106</f>
        <v>1</v>
      </c>
      <c r="E180" s="466">
        <f t="shared" si="58"/>
        <v>1825</v>
      </c>
      <c r="F180" s="11"/>
      <c r="G180" s="466">
        <f>Immobilisations!I272</f>
        <v>273.75</v>
      </c>
      <c r="H180" s="466">
        <f t="shared" si="59"/>
        <v>273.75</v>
      </c>
      <c r="I180" s="11"/>
      <c r="J180" s="466" t="e">
        <f>Immobilisations!#REF!</f>
        <v>#REF!</v>
      </c>
      <c r="K180" s="466" t="e">
        <f t="shared" si="60"/>
        <v>#REF!</v>
      </c>
      <c r="L180" s="472" t="e">
        <f t="shared" si="61"/>
        <v>#REF!</v>
      </c>
      <c r="N180" s="466" t="e">
        <f>Immobilisations!#REF!</f>
        <v>#REF!</v>
      </c>
      <c r="O180" s="466" t="e">
        <f t="shared" si="62"/>
        <v>#REF!</v>
      </c>
      <c r="P180" s="472" t="e">
        <f t="shared" si="63"/>
        <v>#REF!</v>
      </c>
    </row>
    <row r="181" spans="1:19" hidden="1">
      <c r="B181" s="465"/>
      <c r="C181" s="466">
        <f>Immobilisations!E273</f>
        <v>0</v>
      </c>
      <c r="D181" s="554">
        <f>'export postes'!D106</f>
        <v>1</v>
      </c>
      <c r="E181" s="466">
        <f t="shared" si="58"/>
        <v>0</v>
      </c>
      <c r="F181" s="11"/>
      <c r="G181" s="466">
        <f>Immobilisations!I273</f>
        <v>0</v>
      </c>
      <c r="H181" s="466">
        <f t="shared" si="59"/>
        <v>0</v>
      </c>
      <c r="I181" s="11"/>
      <c r="J181" s="466" t="e">
        <f>Immobilisations!#REF!</f>
        <v>#REF!</v>
      </c>
      <c r="K181" s="466" t="e">
        <f t="shared" si="60"/>
        <v>#REF!</v>
      </c>
      <c r="L181" s="472" t="e">
        <f t="shared" si="61"/>
        <v>#REF!</v>
      </c>
      <c r="N181" s="466" t="e">
        <f>Immobilisations!#REF!</f>
        <v>#REF!</v>
      </c>
      <c r="O181" s="466" t="e">
        <f t="shared" si="62"/>
        <v>#REF!</v>
      </c>
      <c r="P181" s="472" t="e">
        <f t="shared" si="63"/>
        <v>#REF!</v>
      </c>
    </row>
    <row r="182" spans="1:19">
      <c r="B182" s="465" t="str">
        <f>Immobilisations!B274</f>
        <v>Infra hors bât, matériaux routiers</v>
      </c>
      <c r="C182" s="466">
        <f>Immobilisations!E274</f>
        <v>0</v>
      </c>
      <c r="D182" s="554">
        <f>'export postes'!D106</f>
        <v>1</v>
      </c>
      <c r="E182" s="466">
        <f t="shared" si="58"/>
        <v>0</v>
      </c>
      <c r="F182" s="11"/>
      <c r="G182" s="466">
        <f>Immobilisations!I274</f>
        <v>0</v>
      </c>
      <c r="H182" s="466">
        <f t="shared" si="59"/>
        <v>0</v>
      </c>
      <c r="I182" s="11"/>
      <c r="J182" s="466" t="e">
        <f>Immobilisations!#REF!</f>
        <v>#REF!</v>
      </c>
      <c r="K182" s="466" t="e">
        <f t="shared" si="60"/>
        <v>#REF!</v>
      </c>
      <c r="L182" s="472" t="e">
        <f t="shared" si="61"/>
        <v>#REF!</v>
      </c>
      <c r="N182" s="466" t="e">
        <f>Immobilisations!#REF!</f>
        <v>#REF!</v>
      </c>
      <c r="O182" s="466" t="e">
        <f t="shared" si="62"/>
        <v>#REF!</v>
      </c>
      <c r="P182" s="472" t="e">
        <f t="shared" si="63"/>
        <v>#REF!</v>
      </c>
    </row>
    <row r="183" spans="1:19">
      <c r="B183" s="465" t="str">
        <f>Immobilisations!B275</f>
        <v>Infra hors bât, métaux</v>
      </c>
      <c r="C183" s="466">
        <f>Immobilisations!E275</f>
        <v>0</v>
      </c>
      <c r="D183" s="554">
        <f>'export postes'!D106</f>
        <v>1</v>
      </c>
      <c r="E183" s="466">
        <f t="shared" si="58"/>
        <v>0</v>
      </c>
      <c r="F183" s="11"/>
      <c r="G183" s="466">
        <f>Immobilisations!I275</f>
        <v>0</v>
      </c>
      <c r="H183" s="466">
        <f t="shared" si="59"/>
        <v>0</v>
      </c>
      <c r="I183" s="11"/>
      <c r="J183" s="466" t="e">
        <f>Immobilisations!#REF!</f>
        <v>#REF!</v>
      </c>
      <c r="K183" s="466" t="e">
        <f t="shared" si="60"/>
        <v>#REF!</v>
      </c>
      <c r="L183" s="472" t="e">
        <f t="shared" si="61"/>
        <v>#REF!</v>
      </c>
      <c r="N183" s="466" t="e">
        <f>Immobilisations!#REF!</f>
        <v>#REF!</v>
      </c>
      <c r="O183" s="466" t="e">
        <f t="shared" si="62"/>
        <v>#REF!</v>
      </c>
      <c r="P183" s="472" t="e">
        <f t="shared" si="63"/>
        <v>#REF!</v>
      </c>
    </row>
    <row r="184" spans="1:19">
      <c r="B184" s="465" t="str">
        <f>Immobilisations!B276</f>
        <v>Infra hors bât, plastiques</v>
      </c>
      <c r="C184" s="466">
        <f>Immobilisations!E276</f>
        <v>0</v>
      </c>
      <c r="D184" s="554">
        <f>'export postes'!D106</f>
        <v>1</v>
      </c>
      <c r="E184" s="466">
        <f t="shared" si="58"/>
        <v>0</v>
      </c>
      <c r="F184" s="11"/>
      <c r="G184" s="466">
        <f>Immobilisations!I276</f>
        <v>0</v>
      </c>
      <c r="H184" s="466">
        <f t="shared" si="59"/>
        <v>0</v>
      </c>
      <c r="I184" s="11"/>
      <c r="J184" s="466" t="e">
        <f>Immobilisations!#REF!</f>
        <v>#REF!</v>
      </c>
      <c r="K184" s="466" t="e">
        <f t="shared" si="60"/>
        <v>#REF!</v>
      </c>
      <c r="L184" s="472" t="e">
        <f t="shared" si="61"/>
        <v>#REF!</v>
      </c>
      <c r="N184" s="466" t="e">
        <f>Immobilisations!#REF!</f>
        <v>#REF!</v>
      </c>
      <c r="O184" s="466" t="e">
        <f t="shared" si="62"/>
        <v>#REF!</v>
      </c>
      <c r="P184" s="472" t="e">
        <f t="shared" si="63"/>
        <v>#REF!</v>
      </c>
    </row>
    <row r="185" spans="1:19">
      <c r="B185" s="465" t="str">
        <f>Immobilisations!B277</f>
        <v>Infra hors bât, verre</v>
      </c>
      <c r="C185" s="466">
        <f>Immobilisations!E277</f>
        <v>0</v>
      </c>
      <c r="D185" s="554">
        <f>'export postes'!D106</f>
        <v>1</v>
      </c>
      <c r="E185" s="466">
        <f t="shared" si="58"/>
        <v>0</v>
      </c>
      <c r="F185" s="11"/>
      <c r="G185" s="466">
        <f>Immobilisations!I277</f>
        <v>0</v>
      </c>
      <c r="H185" s="466">
        <f t="shared" si="59"/>
        <v>0</v>
      </c>
      <c r="I185" s="11"/>
      <c r="J185" s="466" t="e">
        <f>Immobilisations!#REF!</f>
        <v>#REF!</v>
      </c>
      <c r="K185" s="466" t="e">
        <f t="shared" si="60"/>
        <v>#REF!</v>
      </c>
      <c r="L185" s="472" t="e">
        <f t="shared" si="61"/>
        <v>#REF!</v>
      </c>
      <c r="N185" s="466" t="e">
        <f>Immobilisations!#REF!</f>
        <v>#REF!</v>
      </c>
      <c r="O185" s="466" t="e">
        <f t="shared" si="62"/>
        <v>#REF!</v>
      </c>
      <c r="P185" s="472" t="e">
        <f t="shared" si="63"/>
        <v>#REF!</v>
      </c>
    </row>
    <row r="186" spans="1:19">
      <c r="B186" s="465" t="str">
        <f>Immobilisations!B278</f>
        <v>Outils et machines</v>
      </c>
      <c r="C186" s="466">
        <f>Immobilisations!E278</f>
        <v>19740</v>
      </c>
      <c r="D186" s="554">
        <f>'export postes'!D107</f>
        <v>1</v>
      </c>
      <c r="E186" s="466">
        <f t="shared" si="58"/>
        <v>19740</v>
      </c>
      <c r="F186" s="11"/>
      <c r="G186" s="466">
        <f>Immobilisations!I278</f>
        <v>6361.4768332518515</v>
      </c>
      <c r="H186" s="466">
        <f t="shared" si="59"/>
        <v>6361.4768332518515</v>
      </c>
      <c r="I186" s="11"/>
      <c r="J186" s="466" t="e">
        <f>Immobilisations!#REF!</f>
        <v>#REF!</v>
      </c>
      <c r="K186" s="466" t="e">
        <f t="shared" si="60"/>
        <v>#REF!</v>
      </c>
      <c r="L186" s="472" t="e">
        <f t="shared" si="61"/>
        <v>#REF!</v>
      </c>
      <c r="N186" s="466" t="e">
        <f>Immobilisations!#REF!</f>
        <v>#REF!</v>
      </c>
      <c r="O186" s="466" t="e">
        <f t="shared" si="62"/>
        <v>#REF!</v>
      </c>
      <c r="P186" s="472" t="e">
        <f t="shared" si="63"/>
        <v>#REF!</v>
      </c>
    </row>
    <row r="187" spans="1:19">
      <c r="B187" s="465" t="str">
        <f>Immobilisations!B279</f>
        <v>Informatique</v>
      </c>
      <c r="C187" s="466">
        <f>Immobilisations!E279</f>
        <v>1738.3866666666668</v>
      </c>
      <c r="D187" s="554">
        <f>'export postes'!D108</f>
        <v>1</v>
      </c>
      <c r="E187" s="466">
        <f t="shared" si="58"/>
        <v>1738.3866666666668</v>
      </c>
      <c r="F187" s="11"/>
      <c r="G187" s="466">
        <f>Immobilisations!I279</f>
        <v>572.97018115159267</v>
      </c>
      <c r="H187" s="466">
        <f t="shared" si="59"/>
        <v>572.97018115159267</v>
      </c>
      <c r="I187" s="11"/>
      <c r="J187" s="466" t="e">
        <f>Immobilisations!#REF!</f>
        <v>#REF!</v>
      </c>
      <c r="K187" s="466" t="e">
        <f t="shared" si="60"/>
        <v>#REF!</v>
      </c>
      <c r="L187" s="472" t="e">
        <f t="shared" si="61"/>
        <v>#REF!</v>
      </c>
      <c r="N187" s="466" t="e">
        <f>Immobilisations!#REF!</f>
        <v>#REF!</v>
      </c>
      <c r="O187" s="466" t="e">
        <f t="shared" si="62"/>
        <v>#REF!</v>
      </c>
      <c r="P187" s="472" t="e">
        <f t="shared" si="63"/>
        <v>#REF!</v>
      </c>
    </row>
    <row r="188" spans="1:19" s="6" customFormat="1">
      <c r="A188" s="93"/>
      <c r="B188" s="516"/>
      <c r="C188" s="552"/>
      <c r="D188" s="33"/>
      <c r="E188" s="552"/>
      <c r="F188" s="20"/>
      <c r="G188" s="552"/>
      <c r="H188" s="552"/>
      <c r="I188" s="20"/>
      <c r="J188" s="552"/>
      <c r="K188" s="552"/>
      <c r="L188" s="552"/>
      <c r="M188" s="93"/>
      <c r="N188" s="552"/>
      <c r="O188" s="552"/>
      <c r="P188" s="552"/>
      <c r="Q188" s="93"/>
      <c r="R188" s="93"/>
      <c r="S188" s="93"/>
    </row>
    <row r="189" spans="1:19" ht="13.8">
      <c r="B189" s="548" t="str">
        <f>Utilisation!B131</f>
        <v>Utilisation</v>
      </c>
      <c r="C189" s="495">
        <f>SUM(C190:C196)</f>
        <v>5331.4577495621716</v>
      </c>
      <c r="D189" s="27"/>
      <c r="E189" s="495">
        <f>SUM(E190:E196)</f>
        <v>5331.4577495621716</v>
      </c>
      <c r="F189" s="11"/>
      <c r="G189" s="495">
        <f>SQRT(SUMSQ(G190:G196))</f>
        <v>550.67377355516669</v>
      </c>
      <c r="H189" s="495">
        <f>SUM(H190:H196)</f>
        <v>741.81717750968596</v>
      </c>
      <c r="I189" s="11"/>
      <c r="J189" s="495" t="e">
        <f>SUM(J190:J196)</f>
        <v>#REF!</v>
      </c>
      <c r="K189" s="495" t="e">
        <f>SUM(K190:K196)</f>
        <v>#REF!</v>
      </c>
      <c r="L189" s="510" t="e">
        <f>SUM(L190:L196)</f>
        <v>#REF!</v>
      </c>
      <c r="N189" s="495" t="e">
        <f>SUM(N190:N196)</f>
        <v>#REF!</v>
      </c>
      <c r="O189" s="495" t="e">
        <f>SUM(O190:O196)</f>
        <v>#REF!</v>
      </c>
      <c r="P189" s="510" t="e">
        <f>SUM(P190:P196)</f>
        <v>#REF!</v>
      </c>
    </row>
    <row r="190" spans="1:19">
      <c r="B190" s="429" t="str">
        <f>Utilisation!B133</f>
        <v>Combustibles utilisés pour le fonctionnement</v>
      </c>
      <c r="C190" s="467">
        <f>Utilisation!D133</f>
        <v>0</v>
      </c>
      <c r="D190" s="555">
        <f>'export postes'!D111</f>
        <v>1</v>
      </c>
      <c r="E190" s="467">
        <f t="shared" ref="E190:E196" si="64">C190*D190</f>
        <v>0</v>
      </c>
      <c r="F190" s="11"/>
      <c r="G190" s="467">
        <f>Utilisation!H133</f>
        <v>0</v>
      </c>
      <c r="H190" s="467">
        <f t="shared" ref="H190:H196" si="65">G190*D190</f>
        <v>0</v>
      </c>
      <c r="I190" s="11"/>
      <c r="J190" s="467" t="e">
        <f>Utilisation!#REF!</f>
        <v>#REF!</v>
      </c>
      <c r="K190" s="467" t="e">
        <f t="shared" ref="K190:K196" si="66">J190*D190</f>
        <v>#REF!</v>
      </c>
      <c r="L190" s="471" t="e">
        <f t="shared" ref="L190:L196" si="67">K190*12/44</f>
        <v>#REF!</v>
      </c>
      <c r="N190" s="467" t="e">
        <f>Utilisation!#REF!</f>
        <v>#REF!</v>
      </c>
      <c r="O190" s="467" t="e">
        <f t="shared" ref="O190:O196" si="68">N190*D190</f>
        <v>#REF!</v>
      </c>
      <c r="P190" s="471" t="e">
        <f t="shared" ref="P190:P196" si="69">O190*12/44</f>
        <v>#REF!</v>
      </c>
    </row>
    <row r="191" spans="1:19">
      <c r="B191" s="429" t="str">
        <f>Utilisation!B134</f>
        <v>Emissions amont des combustibles utilisés</v>
      </c>
      <c r="C191" s="467">
        <f>Utilisation!D134</f>
        <v>0</v>
      </c>
      <c r="D191" s="555">
        <f>'export postes'!D111</f>
        <v>1</v>
      </c>
      <c r="E191" s="467">
        <f t="shared" si="64"/>
        <v>0</v>
      </c>
      <c r="F191" s="11"/>
      <c r="G191" s="467">
        <f>Utilisation!H134</f>
        <v>0</v>
      </c>
      <c r="H191" s="467">
        <f t="shared" si="65"/>
        <v>0</v>
      </c>
      <c r="I191" s="11"/>
      <c r="J191" s="467" t="e">
        <f>Utilisation!#REF!</f>
        <v>#REF!</v>
      </c>
      <c r="K191" s="467" t="e">
        <f t="shared" si="66"/>
        <v>#REF!</v>
      </c>
      <c r="L191" s="471" t="e">
        <f t="shared" si="67"/>
        <v>#REF!</v>
      </c>
      <c r="N191" s="467" t="e">
        <f>Utilisation!#REF!</f>
        <v>#REF!</v>
      </c>
      <c r="O191" s="467" t="e">
        <f t="shared" si="68"/>
        <v>#REF!</v>
      </c>
      <c r="P191" s="471" t="e">
        <f t="shared" si="69"/>
        <v>#REF!</v>
      </c>
    </row>
    <row r="192" spans="1:19">
      <c r="B192" s="429" t="str">
        <f>Utilisation!B135</f>
        <v>Vapeur &amp; froid consommés pour le fonctionnement</v>
      </c>
      <c r="C192" s="467">
        <f>Utilisation!D135</f>
        <v>0</v>
      </c>
      <c r="D192" s="555">
        <f>'export postes'!D112</f>
        <v>1</v>
      </c>
      <c r="E192" s="467">
        <f t="shared" si="64"/>
        <v>0</v>
      </c>
      <c r="F192" s="11"/>
      <c r="G192" s="467">
        <f>Utilisation!H135</f>
        <v>0</v>
      </c>
      <c r="H192" s="467">
        <f t="shared" si="65"/>
        <v>0</v>
      </c>
      <c r="I192" s="11"/>
      <c r="J192" s="467" t="e">
        <f>Utilisation!#REF!</f>
        <v>#REF!</v>
      </c>
      <c r="K192" s="467" t="e">
        <f t="shared" si="66"/>
        <v>#REF!</v>
      </c>
      <c r="L192" s="471" t="e">
        <f t="shared" si="67"/>
        <v>#REF!</v>
      </c>
      <c r="N192" s="467" t="e">
        <f>Utilisation!#REF!</f>
        <v>#REF!</v>
      </c>
      <c r="O192" s="467" t="e">
        <f t="shared" si="68"/>
        <v>#REF!</v>
      </c>
      <c r="P192" s="471" t="e">
        <f t="shared" si="69"/>
        <v>#REF!</v>
      </c>
    </row>
    <row r="193" spans="1:19">
      <c r="B193" s="429" t="str">
        <f>Utilisation!B136</f>
        <v>Electricité consommée pour le fonctionnement</v>
      </c>
      <c r="C193" s="467">
        <f>Utilisation!D136</f>
        <v>4894.3125</v>
      </c>
      <c r="D193" s="555">
        <f>'export postes'!D113</f>
        <v>1</v>
      </c>
      <c r="E193" s="467">
        <f t="shared" si="64"/>
        <v>4894.3125</v>
      </c>
      <c r="F193" s="11"/>
      <c r="G193" s="467">
        <f>Utilisation!H136</f>
        <v>489.43125000000003</v>
      </c>
      <c r="H193" s="467">
        <f t="shared" si="65"/>
        <v>489.43125000000003</v>
      </c>
      <c r="I193" s="11"/>
      <c r="J193" s="467" t="e">
        <f>Utilisation!#REF!</f>
        <v>#REF!</v>
      </c>
      <c r="K193" s="467" t="e">
        <f t="shared" si="66"/>
        <v>#REF!</v>
      </c>
      <c r="L193" s="471" t="e">
        <f t="shared" si="67"/>
        <v>#REF!</v>
      </c>
      <c r="N193" s="467" t="e">
        <f>Utilisation!#REF!</f>
        <v>#REF!</v>
      </c>
      <c r="O193" s="467" t="e">
        <f t="shared" si="68"/>
        <v>#REF!</v>
      </c>
      <c r="P193" s="471" t="e">
        <f t="shared" si="69"/>
        <v>#REF!</v>
      </c>
    </row>
    <row r="194" spans="1:19">
      <c r="B194" s="429" t="str">
        <f>Utilisation!B137</f>
        <v>Pertes en ligne de l'électricité</v>
      </c>
      <c r="C194" s="467">
        <f>Utilisation!D137</f>
        <v>437.14524956217161</v>
      </c>
      <c r="D194" s="555">
        <f>'export postes'!D113</f>
        <v>1</v>
      </c>
      <c r="E194" s="467">
        <f t="shared" si="64"/>
        <v>437.14524956217161</v>
      </c>
      <c r="F194" s="11"/>
      <c r="G194" s="467">
        <f>Utilisation!H137</f>
        <v>252.3859275096859</v>
      </c>
      <c r="H194" s="467">
        <f t="shared" si="65"/>
        <v>252.3859275096859</v>
      </c>
      <c r="I194" s="11"/>
      <c r="J194" s="467" t="e">
        <f>Utilisation!#REF!</f>
        <v>#REF!</v>
      </c>
      <c r="K194" s="467" t="e">
        <f t="shared" si="66"/>
        <v>#REF!</v>
      </c>
      <c r="L194" s="471" t="e">
        <f t="shared" si="67"/>
        <v>#REF!</v>
      </c>
      <c r="N194" s="467" t="e">
        <f>Utilisation!#REF!</f>
        <v>#REF!</v>
      </c>
      <c r="O194" s="467" t="e">
        <f t="shared" si="68"/>
        <v>#REF!</v>
      </c>
      <c r="P194" s="471" t="e">
        <f t="shared" si="69"/>
        <v>#REF!</v>
      </c>
    </row>
    <row r="195" spans="1:19">
      <c r="B195" s="429" t="str">
        <f>Utilisation!B138</f>
        <v>Emissions hors énergie, Kyoto</v>
      </c>
      <c r="C195" s="467">
        <f>Utilisation!D138</f>
        <v>0</v>
      </c>
      <c r="D195" s="555">
        <f>'export postes'!D114</f>
        <v>1</v>
      </c>
      <c r="E195" s="467">
        <f t="shared" si="64"/>
        <v>0</v>
      </c>
      <c r="F195" s="11"/>
      <c r="G195" s="467">
        <f>Utilisation!H138</f>
        <v>0</v>
      </c>
      <c r="H195" s="467">
        <f t="shared" si="65"/>
        <v>0</v>
      </c>
      <c r="I195" s="11"/>
      <c r="J195" s="467" t="e">
        <f>Utilisation!#REF!</f>
        <v>#REF!</v>
      </c>
      <c r="K195" s="467" t="e">
        <f t="shared" si="66"/>
        <v>#REF!</v>
      </c>
      <c r="L195" s="471" t="e">
        <f t="shared" si="67"/>
        <v>#REF!</v>
      </c>
      <c r="N195" s="467" t="e">
        <f>Utilisation!#REF!</f>
        <v>#REF!</v>
      </c>
      <c r="O195" s="467" t="e">
        <f t="shared" si="68"/>
        <v>#REF!</v>
      </c>
      <c r="P195" s="471" t="e">
        <f t="shared" si="69"/>
        <v>#REF!</v>
      </c>
    </row>
    <row r="196" spans="1:19">
      <c r="B196" s="429" t="str">
        <f>Utilisation!B139</f>
        <v>Emissions hors énergie, hors Kyoto</v>
      </c>
      <c r="C196" s="467">
        <f>Utilisation!D139</f>
        <v>0</v>
      </c>
      <c r="D196" s="555">
        <f>'export postes'!D114</f>
        <v>1</v>
      </c>
      <c r="E196" s="467">
        <f t="shared" si="64"/>
        <v>0</v>
      </c>
      <c r="F196" s="11"/>
      <c r="G196" s="467">
        <f>Utilisation!H139</f>
        <v>0</v>
      </c>
      <c r="H196" s="467">
        <f t="shared" si="65"/>
        <v>0</v>
      </c>
      <c r="I196" s="11"/>
      <c r="J196" s="467" t="e">
        <f>Utilisation!#REF!</f>
        <v>#REF!</v>
      </c>
      <c r="K196" s="467" t="e">
        <f t="shared" si="66"/>
        <v>#REF!</v>
      </c>
      <c r="L196" s="471" t="e">
        <f t="shared" si="67"/>
        <v>#REF!</v>
      </c>
      <c r="N196" s="467" t="e">
        <f>Utilisation!#REF!</f>
        <v>#REF!</v>
      </c>
      <c r="O196" s="467" t="e">
        <f t="shared" si="68"/>
        <v>#REF!</v>
      </c>
      <c r="P196" s="471" t="e">
        <f t="shared" si="69"/>
        <v>#REF!</v>
      </c>
    </row>
    <row r="197" spans="1:19" s="6" customFormat="1">
      <c r="A197" s="93"/>
      <c r="B197" s="552"/>
      <c r="C197" s="552"/>
      <c r="D197" s="33"/>
      <c r="E197" s="552"/>
      <c r="F197" s="20"/>
      <c r="G197" s="552"/>
      <c r="H197" s="552"/>
      <c r="I197" s="20"/>
      <c r="J197" s="552"/>
      <c r="K197" s="552"/>
      <c r="L197" s="552"/>
      <c r="M197" s="93"/>
      <c r="N197" s="552"/>
      <c r="O197" s="552"/>
      <c r="P197" s="552"/>
      <c r="Q197" s="93"/>
      <c r="R197" s="93"/>
      <c r="S197" s="93"/>
    </row>
    <row r="198" spans="1:19" ht="13.8">
      <c r="B198" s="549" t="str">
        <f>'Fin de vie'!B256</f>
        <v>Fin de vie</v>
      </c>
      <c r="C198" s="501">
        <f>SUM(C199:C210)</f>
        <v>958133</v>
      </c>
      <c r="D198" s="27"/>
      <c r="E198" s="501">
        <f>SUM(E199:E210)</f>
        <v>958133</v>
      </c>
      <c r="F198" s="11"/>
      <c r="G198" s="501">
        <f>SQRT(SUMSQ(G199:G210))</f>
        <v>177139.20000000001</v>
      </c>
      <c r="H198" s="501">
        <f>SUM(H199:H210)</f>
        <v>177139.20000000001</v>
      </c>
      <c r="I198" s="11"/>
      <c r="J198" s="501" t="e">
        <f>SUM(J199:J210)</f>
        <v>#REF!</v>
      </c>
      <c r="K198" s="501" t="e">
        <f>SUM(K199:K210)</f>
        <v>#REF!</v>
      </c>
      <c r="L198" s="511" t="e">
        <f>SUM(L199:L210)</f>
        <v>#REF!</v>
      </c>
      <c r="N198" s="501" t="e">
        <f>SUM(N199:N210)</f>
        <v>#REF!</v>
      </c>
      <c r="O198" s="501" t="e">
        <f>SUM(O199:O210)</f>
        <v>#REF!</v>
      </c>
      <c r="P198" s="511" t="e">
        <f>SUM(P199:P210)</f>
        <v>#REF!</v>
      </c>
    </row>
    <row r="199" spans="1:19">
      <c r="B199" s="465" t="str">
        <f>'Fin de vie'!B258</f>
        <v>Combustibles, combustion sur place</v>
      </c>
      <c r="C199" s="466">
        <f>'Fin de vie'!D258</f>
        <v>0</v>
      </c>
      <c r="D199" s="554">
        <f>'export postes'!D118</f>
        <v>1</v>
      </c>
      <c r="E199" s="466">
        <f t="shared" ref="E199:E208" si="70">C199*D199</f>
        <v>0</v>
      </c>
      <c r="F199" s="11"/>
      <c r="G199" s="466">
        <f>'Fin de vie'!H258</f>
        <v>0</v>
      </c>
      <c r="H199" s="466">
        <f>G199*D199</f>
        <v>0</v>
      </c>
      <c r="I199" s="11"/>
      <c r="J199" s="466" t="e">
        <f>'Fin de vie'!#REF!</f>
        <v>#REF!</v>
      </c>
      <c r="K199" s="466" t="e">
        <f>J199*D199</f>
        <v>#REF!</v>
      </c>
      <c r="L199" s="472" t="e">
        <f t="shared" ref="L199:L210" si="71">K199*12/44</f>
        <v>#REF!</v>
      </c>
      <c r="N199" s="466" t="e">
        <f>'Fin de vie'!#REF!</f>
        <v>#REF!</v>
      </c>
      <c r="O199" s="466" t="e">
        <f>N199*D199</f>
        <v>#REF!</v>
      </c>
      <c r="P199" s="472" t="e">
        <f t="shared" ref="P199:P210" si="72">O199*12/44</f>
        <v>#REF!</v>
      </c>
    </row>
    <row r="200" spans="1:19">
      <c r="B200" s="465" t="str">
        <f>'Fin de vie'!B259</f>
        <v>Emissions amont des combustibles</v>
      </c>
      <c r="C200" s="466">
        <f>'Fin de vie'!D259</f>
        <v>0</v>
      </c>
      <c r="D200" s="554">
        <f>'export postes'!D118</f>
        <v>1</v>
      </c>
      <c r="E200" s="466">
        <f t="shared" si="70"/>
        <v>0</v>
      </c>
      <c r="F200" s="11"/>
      <c r="G200" s="466">
        <f>'Fin de vie'!H259</f>
        <v>0</v>
      </c>
      <c r="H200" s="466">
        <f>G200*D200</f>
        <v>0</v>
      </c>
      <c r="I200" s="11"/>
      <c r="J200" s="466" t="e">
        <f>'Fin de vie'!#REF!</f>
        <v>#REF!</v>
      </c>
      <c r="K200" s="466" t="e">
        <f>J200*D200</f>
        <v>#REF!</v>
      </c>
      <c r="L200" s="472" t="e">
        <f t="shared" si="71"/>
        <v>#REF!</v>
      </c>
      <c r="N200" s="466" t="e">
        <f>'Fin de vie'!#REF!</f>
        <v>#REF!</v>
      </c>
      <c r="O200" s="466" t="e">
        <f>N200*D200</f>
        <v>#REF!</v>
      </c>
      <c r="P200" s="472" t="e">
        <f t="shared" si="72"/>
        <v>#REF!</v>
      </c>
    </row>
    <row r="201" spans="1:19" s="91" customFormat="1">
      <c r="B201" s="465" t="str">
        <f>'Fin de vie'!B260</f>
        <v>Déchets d'emballages ménages</v>
      </c>
      <c r="C201" s="466">
        <f>'Fin de vie'!D260</f>
        <v>958133</v>
      </c>
      <c r="D201" s="554">
        <f>'export postes'!D119</f>
        <v>1</v>
      </c>
      <c r="E201" s="466">
        <f t="shared" ref="E201" si="73">C201*D201</f>
        <v>958133</v>
      </c>
      <c r="F201" s="11"/>
      <c r="G201" s="466">
        <f>'Fin de vie'!H260</f>
        <v>177139.20000000001</v>
      </c>
      <c r="H201" s="466">
        <f>G201*D201</f>
        <v>177139.20000000001</v>
      </c>
      <c r="I201" s="11"/>
      <c r="J201" s="2184"/>
      <c r="K201" s="2184"/>
      <c r="L201" s="2185"/>
      <c r="N201" s="2184"/>
      <c r="O201" s="2184"/>
      <c r="P201" s="2185"/>
    </row>
    <row r="202" spans="1:19">
      <c r="B202" s="465" t="str">
        <f>'Fin de vie'!B261</f>
        <v>Déchets organiques et ordures ménagères</v>
      </c>
      <c r="C202" s="466">
        <f>'Fin de vie'!D261</f>
        <v>0</v>
      </c>
      <c r="D202" s="554">
        <f>'export postes'!D119</f>
        <v>1</v>
      </c>
      <c r="E202" s="466">
        <f t="shared" si="70"/>
        <v>0</v>
      </c>
      <c r="F202" s="11"/>
      <c r="G202" s="466">
        <f>'Fin de vie'!H261</f>
        <v>0</v>
      </c>
      <c r="H202" s="466">
        <f>G202*D202</f>
        <v>0</v>
      </c>
      <c r="I202" s="11"/>
      <c r="J202" s="466" t="e">
        <f>'Fin de vie'!#REF!</f>
        <v>#REF!</v>
      </c>
      <c r="K202" s="466" t="e">
        <f>J202*D202</f>
        <v>#REF!</v>
      </c>
      <c r="L202" s="472" t="e">
        <f t="shared" si="71"/>
        <v>#REF!</v>
      </c>
      <c r="N202" s="466" t="e">
        <f>'Fin de vie'!#REF!</f>
        <v>#REF!</v>
      </c>
      <c r="O202" s="466" t="e">
        <f>N202*D202</f>
        <v>#REF!</v>
      </c>
      <c r="P202" s="472" t="e">
        <f t="shared" si="72"/>
        <v>#REF!</v>
      </c>
    </row>
    <row r="203" spans="1:19">
      <c r="B203" s="465" t="str">
        <f>'Fin de vie'!B262</f>
        <v>Piles, accumulateurs et DEEE</v>
      </c>
      <c r="C203" s="466">
        <f>'Fin de vie'!D262</f>
        <v>0</v>
      </c>
      <c r="D203" s="554">
        <f>'export postes'!D120</f>
        <v>1</v>
      </c>
      <c r="E203" s="466">
        <f t="shared" si="70"/>
        <v>0</v>
      </c>
      <c r="F203" s="11"/>
      <c r="G203" s="466">
        <f>'Fin de vie'!H262</f>
        <v>0</v>
      </c>
      <c r="H203" s="466">
        <f>G203*D203</f>
        <v>0</v>
      </c>
      <c r="I203" s="11"/>
      <c r="J203" s="466" t="e">
        <f>'Fin de vie'!#REF!</f>
        <v>#REF!</v>
      </c>
      <c r="K203" s="466" t="e">
        <f>J203*D203</f>
        <v>#REF!</v>
      </c>
      <c r="L203" s="472" t="e">
        <f t="shared" si="71"/>
        <v>#REF!</v>
      </c>
      <c r="N203" s="466" t="e">
        <f>'Fin de vie'!#REF!</f>
        <v>#REF!</v>
      </c>
      <c r="O203" s="466" t="e">
        <f>N203*D203</f>
        <v>#REF!</v>
      </c>
      <c r="P203" s="472" t="e">
        <f t="shared" si="72"/>
        <v>#REF!</v>
      </c>
    </row>
    <row r="204" spans="1:19" hidden="1">
      <c r="B204" s="465"/>
      <c r="C204" s="466"/>
      <c r="D204" s="554"/>
      <c r="E204" s="466"/>
      <c r="F204" s="11"/>
      <c r="G204" s="466"/>
      <c r="H204" s="466"/>
      <c r="I204" s="11"/>
      <c r="J204" s="466"/>
      <c r="K204" s="466"/>
      <c r="L204" s="472"/>
      <c r="N204" s="466"/>
      <c r="O204" s="466"/>
      <c r="P204" s="472"/>
    </row>
    <row r="205" spans="1:19">
      <c r="B205" s="465" t="str">
        <f>'Fin de vie'!B264</f>
        <v>Ameublements et textiles</v>
      </c>
      <c r="C205" s="466">
        <f>'Fin de vie'!D264</f>
        <v>0</v>
      </c>
      <c r="D205" s="554">
        <f>'export postes'!D122</f>
        <v>1</v>
      </c>
      <c r="E205" s="466">
        <f t="shared" si="70"/>
        <v>0</v>
      </c>
      <c r="F205" s="11"/>
      <c r="G205" s="466">
        <f>'Fin de vie'!H264</f>
        <v>0</v>
      </c>
      <c r="H205" s="466">
        <f>G205*D205</f>
        <v>0</v>
      </c>
      <c r="I205" s="11"/>
      <c r="J205" s="466" t="e">
        <f>'Fin de vie'!#REF!</f>
        <v>#REF!</v>
      </c>
      <c r="K205" s="466" t="e">
        <f>J205*D205</f>
        <v>#REF!</v>
      </c>
      <c r="L205" s="472" t="e">
        <f t="shared" si="71"/>
        <v>#REF!</v>
      </c>
      <c r="N205" s="466" t="e">
        <f>'Fin de vie'!#REF!</f>
        <v>#REF!</v>
      </c>
      <c r="O205" s="466" t="e">
        <f>N205*D205</f>
        <v>#REF!</v>
      </c>
      <c r="P205" s="472" t="e">
        <f t="shared" si="72"/>
        <v>#REF!</v>
      </c>
    </row>
    <row r="206" spans="1:19">
      <c r="B206" s="465" t="str">
        <f>'Fin de vie'!B265</f>
        <v>Fuites et émissions de fin de vie, Kyoto</v>
      </c>
      <c r="C206" s="466">
        <f>'Fin de vie'!D265</f>
        <v>0</v>
      </c>
      <c r="D206" s="554">
        <f>'export postes'!D123</f>
        <v>1</v>
      </c>
      <c r="E206" s="466">
        <f>C206*D206</f>
        <v>0</v>
      </c>
      <c r="F206" s="11"/>
      <c r="G206" s="466">
        <f>'Fin de vie'!H265</f>
        <v>0</v>
      </c>
      <c r="H206" s="466">
        <f>G206*D206</f>
        <v>0</v>
      </c>
      <c r="I206" s="11"/>
      <c r="J206" s="466" t="e">
        <f>'Fin de vie'!#REF!</f>
        <v>#REF!</v>
      </c>
      <c r="K206" s="466" t="e">
        <f>J206*D206</f>
        <v>#REF!</v>
      </c>
      <c r="L206" s="472" t="e">
        <f t="shared" si="71"/>
        <v>#REF!</v>
      </c>
      <c r="N206" s="466" t="e">
        <f>'Fin de vie'!#REF!</f>
        <v>#REF!</v>
      </c>
      <c r="O206" s="466" t="e">
        <f>N206*D206</f>
        <v>#REF!</v>
      </c>
      <c r="P206" s="472" t="e">
        <f t="shared" si="72"/>
        <v>#REF!</v>
      </c>
    </row>
    <row r="207" spans="1:19">
      <c r="B207" s="465" t="str">
        <f>'Fin de vie'!B266</f>
        <v>Fuites et émissions de fin de vie, hors Kyoto</v>
      </c>
      <c r="C207" s="466">
        <f>'Fin de vie'!D266</f>
        <v>0</v>
      </c>
      <c r="D207" s="554">
        <f>'export postes'!D124</f>
        <v>1</v>
      </c>
      <c r="E207" s="466">
        <f t="shared" si="70"/>
        <v>0</v>
      </c>
      <c r="F207" s="11"/>
      <c r="G207" s="466">
        <f>'Fin de vie'!H266</f>
        <v>0</v>
      </c>
      <c r="H207" s="466">
        <f>G207*D207</f>
        <v>0</v>
      </c>
      <c r="I207" s="11"/>
      <c r="J207" s="466" t="e">
        <f>'Fin de vie'!#REF!</f>
        <v>#REF!</v>
      </c>
      <c r="K207" s="466" t="e">
        <f>J207*D207</f>
        <v>#REF!</v>
      </c>
      <c r="L207" s="472" t="e">
        <f t="shared" si="71"/>
        <v>#REF!</v>
      </c>
      <c r="N207" s="466" t="e">
        <f>'Fin de vie'!#REF!</f>
        <v>#REF!</v>
      </c>
      <c r="O207" s="466" t="e">
        <f>N207*D207</f>
        <v>#REF!</v>
      </c>
      <c r="P207" s="472" t="e">
        <f t="shared" si="72"/>
        <v>#REF!</v>
      </c>
    </row>
    <row r="208" spans="1:19">
      <c r="B208" s="465" t="str">
        <f>'Fin de vie'!B267</f>
        <v>Déchets dangereux</v>
      </c>
      <c r="C208" s="466">
        <f>'Fin de vie'!D267</f>
        <v>0</v>
      </c>
      <c r="D208" s="554">
        <f>'export postes'!D124</f>
        <v>1</v>
      </c>
      <c r="E208" s="466">
        <f t="shared" si="70"/>
        <v>0</v>
      </c>
      <c r="F208" s="11"/>
      <c r="G208" s="466">
        <f>'Fin de vie'!H267</f>
        <v>0</v>
      </c>
      <c r="H208" s="466">
        <f>G208*D208</f>
        <v>0</v>
      </c>
      <c r="I208" s="11"/>
      <c r="J208" s="466" t="e">
        <f>'Fin de vie'!#REF!</f>
        <v>#REF!</v>
      </c>
      <c r="K208" s="466" t="e">
        <f>J208*D208</f>
        <v>#REF!</v>
      </c>
      <c r="L208" s="472" t="e">
        <f t="shared" si="71"/>
        <v>#REF!</v>
      </c>
      <c r="N208" s="466" t="e">
        <f>'Fin de vie'!#REF!</f>
        <v>#REF!</v>
      </c>
      <c r="O208" s="466" t="e">
        <f>N208*D208</f>
        <v>#REF!</v>
      </c>
      <c r="P208" s="472" t="e">
        <f t="shared" si="72"/>
        <v>#REF!</v>
      </c>
    </row>
    <row r="209" spans="2:17" s="91" customFormat="1">
      <c r="B209" s="465" t="str">
        <f>'Fin de vie'!B268</f>
        <v>Déchets banals des acteurs économiques</v>
      </c>
      <c r="C209" s="466">
        <f>'Fin de vie'!D268</f>
        <v>0</v>
      </c>
      <c r="D209" s="554">
        <f>'export postes'!D125</f>
        <v>1</v>
      </c>
      <c r="E209" s="466">
        <f t="shared" ref="E209:E210" si="74">C209*D209</f>
        <v>0</v>
      </c>
      <c r="F209" s="11"/>
      <c r="G209" s="466">
        <f>'Fin de vie'!H268</f>
        <v>0</v>
      </c>
      <c r="H209" s="466">
        <f t="shared" ref="H209:H210" si="75">G209*D209</f>
        <v>0</v>
      </c>
      <c r="I209" s="11"/>
      <c r="J209" s="2184"/>
      <c r="K209" s="2184"/>
      <c r="L209" s="2185"/>
      <c r="N209" s="2184"/>
      <c r="O209" s="2184"/>
      <c r="P209" s="2185"/>
    </row>
    <row r="210" spans="2:17">
      <c r="B210" s="465" t="str">
        <f>'Fin de vie'!B269</f>
        <v>Déchets bâtiments</v>
      </c>
      <c r="C210" s="466">
        <f>'Fin de vie'!D269</f>
        <v>0</v>
      </c>
      <c r="D210" s="554">
        <f>'export postes'!D126</f>
        <v>1</v>
      </c>
      <c r="E210" s="466">
        <f t="shared" si="74"/>
        <v>0</v>
      </c>
      <c r="F210" s="11"/>
      <c r="G210" s="466">
        <f>'Fin de vie'!H269</f>
        <v>0</v>
      </c>
      <c r="H210" s="466">
        <f t="shared" si="75"/>
        <v>0</v>
      </c>
      <c r="I210" s="11"/>
      <c r="J210" s="466" t="e">
        <f>'Fin de vie'!#REF!</f>
        <v>#REF!</v>
      </c>
      <c r="K210" s="466" t="e">
        <f>J210*D210</f>
        <v>#REF!</v>
      </c>
      <c r="L210" s="472" t="e">
        <f t="shared" si="71"/>
        <v>#REF!</v>
      </c>
      <c r="N210" s="466" t="e">
        <f>'Fin de vie'!#REF!</f>
        <v>#REF!</v>
      </c>
      <c r="O210" s="466" t="e">
        <f>N210*D210</f>
        <v>#REF!</v>
      </c>
      <c r="P210" s="472" t="e">
        <f t="shared" si="72"/>
        <v>#REF!</v>
      </c>
    </row>
    <row r="211" spans="2:17">
      <c r="B211" s="11"/>
      <c r="C211" s="11"/>
      <c r="D211" s="11"/>
      <c r="E211" s="11"/>
      <c r="F211" s="11"/>
      <c r="G211" s="11"/>
      <c r="H211" s="11"/>
      <c r="I211" s="11"/>
    </row>
    <row r="212" spans="2:17" s="91" customFormat="1">
      <c r="B212" s="11"/>
      <c r="C212" s="11"/>
      <c r="D212" s="11"/>
      <c r="E212" s="11"/>
      <c r="F212" s="11"/>
      <c r="G212" s="11"/>
      <c r="H212" s="11"/>
      <c r="I212" s="11"/>
    </row>
    <row r="213" spans="2:17" s="560" customFormat="1" ht="35.1" customHeight="1">
      <c r="B213" s="558" t="s">
        <v>643</v>
      </c>
      <c r="C213" s="559" t="s">
        <v>506</v>
      </c>
      <c r="D213" s="556"/>
      <c r="E213" s="559" t="s">
        <v>644</v>
      </c>
      <c r="F213" s="561"/>
      <c r="G213" s="559" t="s">
        <v>646</v>
      </c>
      <c r="H213" s="559" t="s">
        <v>644</v>
      </c>
      <c r="I213" s="21"/>
      <c r="J213" s="559" t="s">
        <v>507</v>
      </c>
      <c r="K213" s="559" t="s">
        <v>644</v>
      </c>
      <c r="L213" s="470" t="s">
        <v>645</v>
      </c>
      <c r="N213" s="559" t="s">
        <v>512</v>
      </c>
      <c r="O213" s="559" t="s">
        <v>644</v>
      </c>
      <c r="P213" s="470" t="s">
        <v>645</v>
      </c>
      <c r="Q213" s="562"/>
    </row>
    <row r="214" spans="2:17" s="91" customFormat="1" ht="14.1" customHeight="1">
      <c r="B214" s="507" t="str">
        <f>'Recap CO2e'!B131</f>
        <v>Energie 1</v>
      </c>
      <c r="C214" s="491">
        <f>C6/1000</f>
        <v>398.53822810000003</v>
      </c>
      <c r="D214" s="545"/>
      <c r="E214" s="491">
        <f>E6/1000</f>
        <v>398.53822810000003</v>
      </c>
      <c r="F214" s="92"/>
      <c r="G214" s="491">
        <f>G6/1000</f>
        <v>15.28862561506517</v>
      </c>
      <c r="H214" s="491">
        <f>H6/1000</f>
        <v>21.405997773294345</v>
      </c>
      <c r="J214" s="491" t="e">
        <f>J6/1000</f>
        <v>#REF!</v>
      </c>
      <c r="K214" s="491" t="e">
        <f>K6/1000</f>
        <v>#REF!</v>
      </c>
      <c r="L214" s="512" t="e">
        <f>L6/1000</f>
        <v>#REF!</v>
      </c>
      <c r="N214" s="491" t="e">
        <f>N6/1000</f>
        <v>#REF!</v>
      </c>
      <c r="O214" s="491" t="e">
        <f>O6/1000</f>
        <v>#REF!</v>
      </c>
      <c r="P214" s="512" t="e">
        <f>P6/1000</f>
        <v>#REF!</v>
      </c>
    </row>
    <row r="215" spans="2:17" s="91" customFormat="1" ht="14.1" customHeight="1">
      <c r="B215" s="508" t="str">
        <f>'Recap CO2e'!B132</f>
        <v>Energie 2</v>
      </c>
      <c r="C215" s="463">
        <f>C16/1000</f>
        <v>0</v>
      </c>
      <c r="D215" s="545"/>
      <c r="E215" s="463">
        <f>E16/1000</f>
        <v>0</v>
      </c>
      <c r="F215" s="92"/>
      <c r="G215" s="463">
        <f>G16/1000</f>
        <v>0</v>
      </c>
      <c r="H215" s="463">
        <f>H16/1000</f>
        <v>0</v>
      </c>
      <c r="J215" s="463" t="e">
        <f>J16/1000</f>
        <v>#REF!</v>
      </c>
      <c r="K215" s="463" t="e">
        <f>K16/1000</f>
        <v>#REF!</v>
      </c>
      <c r="L215" s="462" t="e">
        <f>L16/1000</f>
        <v>#REF!</v>
      </c>
      <c r="N215" s="463" t="e">
        <f>N16/1000</f>
        <v>#REF!</v>
      </c>
      <c r="O215" s="463" t="e">
        <f>O16/1000</f>
        <v>#REF!</v>
      </c>
      <c r="P215" s="462" t="e">
        <f>P16/1000</f>
        <v>#REF!</v>
      </c>
    </row>
    <row r="216" spans="2:17" s="91" customFormat="1" ht="14.1" customHeight="1">
      <c r="B216" s="507" t="str">
        <f>'Recap CO2e'!B133</f>
        <v>Hors énergie 1</v>
      </c>
      <c r="C216" s="491">
        <f>C26/1000</f>
        <v>0.48599999999999999</v>
      </c>
      <c r="D216" s="545"/>
      <c r="E216" s="491">
        <f>E26/1000</f>
        <v>0.48599999999999999</v>
      </c>
      <c r="F216" s="92"/>
      <c r="G216" s="491">
        <f>G26/1000</f>
        <v>0.28338426208948159</v>
      </c>
      <c r="H216" s="491">
        <f>H26/1000</f>
        <v>0.28338426208948159</v>
      </c>
      <c r="J216" s="491" t="e">
        <f>J26/1000</f>
        <v>#REF!</v>
      </c>
      <c r="K216" s="491" t="e">
        <f>K26/1000</f>
        <v>#REF!</v>
      </c>
      <c r="L216" s="512" t="e">
        <f>L26/1000</f>
        <v>#REF!</v>
      </c>
      <c r="N216" s="491" t="e">
        <f>N26/1000</f>
        <v>#REF!</v>
      </c>
      <c r="O216" s="491" t="e">
        <f>O26/1000</f>
        <v>#REF!</v>
      </c>
      <c r="P216" s="512" t="e">
        <f>P26/1000</f>
        <v>#REF!</v>
      </c>
    </row>
    <row r="217" spans="2:17" s="91" customFormat="1" ht="14.1" customHeight="1">
      <c r="B217" s="508" t="str">
        <f>'Recap CO2e'!B134</f>
        <v>Hors énergie 2</v>
      </c>
      <c r="C217" s="463">
        <f>C34/1000</f>
        <v>0</v>
      </c>
      <c r="D217" s="545"/>
      <c r="E217" s="463">
        <f>E34/1000</f>
        <v>0</v>
      </c>
      <c r="F217" s="92"/>
      <c r="G217" s="463">
        <f>G34/1000</f>
        <v>0</v>
      </c>
      <c r="H217" s="463">
        <f>H34/1000</f>
        <v>0</v>
      </c>
      <c r="J217" s="463" t="e">
        <f>J34/1000</f>
        <v>#REF!</v>
      </c>
      <c r="K217" s="463" t="e">
        <f>K34/1000</f>
        <v>#REF!</v>
      </c>
      <c r="L217" s="462" t="e">
        <f>L34/1000</f>
        <v>#REF!</v>
      </c>
      <c r="N217" s="463" t="e">
        <f>N34/1000</f>
        <v>#REF!</v>
      </c>
      <c r="O217" s="463" t="e">
        <f>O34/1000</f>
        <v>#REF!</v>
      </c>
      <c r="P217" s="462" t="e">
        <f>P34/1000</f>
        <v>#REF!</v>
      </c>
    </row>
    <row r="218" spans="2:17" s="91" customFormat="1" ht="14.1" customHeight="1">
      <c r="B218" s="507" t="str">
        <f>'Recap CO2e'!B135</f>
        <v>Intrants 1</v>
      </c>
      <c r="C218" s="491">
        <f>C42/1000</f>
        <v>2658.1819999999998</v>
      </c>
      <c r="D218" s="545"/>
      <c r="E218" s="491">
        <f>E42/1000</f>
        <v>2658.1819999999998</v>
      </c>
      <c r="F218" s="92"/>
      <c r="G218" s="491">
        <f>G42/1000</f>
        <v>384.84650731551415</v>
      </c>
      <c r="H218" s="491">
        <f>H42/1000</f>
        <v>550.73517003239886</v>
      </c>
      <c r="J218" s="491" t="e">
        <f>J42/1000</f>
        <v>#REF!</v>
      </c>
      <c r="K218" s="491" t="e">
        <f>K42/1000</f>
        <v>#REF!</v>
      </c>
      <c r="L218" s="512" t="e">
        <f>L42/1000</f>
        <v>#REF!</v>
      </c>
      <c r="N218" s="491" t="e">
        <f>N42/1000</f>
        <v>#REF!</v>
      </c>
      <c r="O218" s="491" t="e">
        <f>O42/1000</f>
        <v>#REF!</v>
      </c>
      <c r="P218" s="512" t="e">
        <f>P42/1000</f>
        <v>#REF!</v>
      </c>
    </row>
    <row r="219" spans="2:17" s="91" customFormat="1" ht="14.1" customHeight="1">
      <c r="B219" s="508" t="str">
        <f>'Recap CO2e'!B136</f>
        <v>Intrants 2</v>
      </c>
      <c r="C219" s="463">
        <f>C54/1000</f>
        <v>0</v>
      </c>
      <c r="D219" s="545"/>
      <c r="E219" s="463">
        <f>E54/1000</f>
        <v>0</v>
      </c>
      <c r="F219" s="92"/>
      <c r="G219" s="463">
        <f>G54/1000</f>
        <v>0</v>
      </c>
      <c r="H219" s="463">
        <f>H54/1000</f>
        <v>0</v>
      </c>
      <c r="J219" s="463" t="e">
        <f>J54/1000</f>
        <v>#REF!</v>
      </c>
      <c r="K219" s="463" t="e">
        <f>K54/1000</f>
        <v>#REF!</v>
      </c>
      <c r="L219" s="462" t="e">
        <f>L54/1000</f>
        <v>#REF!</v>
      </c>
      <c r="N219" s="463" t="e">
        <f>N54/1000</f>
        <v>#REF!</v>
      </c>
      <c r="O219" s="463" t="e">
        <f>O54/1000</f>
        <v>#REF!</v>
      </c>
      <c r="P219" s="462" t="e">
        <f>P54/1000</f>
        <v>#REF!</v>
      </c>
    </row>
    <row r="220" spans="2:17" s="91" customFormat="1" ht="14.1" customHeight="1">
      <c r="B220" s="507" t="str">
        <f>'Recap CO2e'!B137</f>
        <v>Futurs emballages</v>
      </c>
      <c r="C220" s="491">
        <f>C66/1000</f>
        <v>309.18</v>
      </c>
      <c r="D220" s="545"/>
      <c r="E220" s="491">
        <f>E66/1000</f>
        <v>309.18</v>
      </c>
      <c r="F220" s="92"/>
      <c r="G220" s="491">
        <f>G66/1000</f>
        <v>32.514390660136932</v>
      </c>
      <c r="H220" s="491">
        <f>H66/1000</f>
        <v>55.24</v>
      </c>
      <c r="J220" s="491" t="e">
        <f>J66/1000</f>
        <v>#REF!</v>
      </c>
      <c r="K220" s="491" t="e">
        <f>K66/1000</f>
        <v>#REF!</v>
      </c>
      <c r="L220" s="512" t="e">
        <f>L66/1000</f>
        <v>#REF!</v>
      </c>
      <c r="N220" s="491" t="e">
        <f>N66/1000</f>
        <v>#REF!</v>
      </c>
      <c r="O220" s="491" t="e">
        <f>O66/1000</f>
        <v>#REF!</v>
      </c>
      <c r="P220" s="512" t="e">
        <f>P66/1000</f>
        <v>#REF!</v>
      </c>
    </row>
    <row r="221" spans="2:17" s="91" customFormat="1" ht="14.1" customHeight="1">
      <c r="B221" s="508" t="str">
        <f>'Recap CO2e'!B138</f>
        <v>Fret</v>
      </c>
      <c r="C221" s="463">
        <f>C81/1000</f>
        <v>295.73983500000003</v>
      </c>
      <c r="D221" s="545"/>
      <c r="E221" s="463">
        <f>E81/1000</f>
        <v>295.73983500000003</v>
      </c>
      <c r="F221" s="92"/>
      <c r="G221" s="463">
        <f>G81/1000</f>
        <v>80.538449101336724</v>
      </c>
      <c r="H221" s="463">
        <f>H81/1000</f>
        <v>156.92591316177837</v>
      </c>
      <c r="J221" s="463" t="e">
        <f>J81/1000</f>
        <v>#REF!</v>
      </c>
      <c r="K221" s="463" t="e">
        <f>K81/1000</f>
        <v>#REF!</v>
      </c>
      <c r="L221" s="462" t="e">
        <f>L81/1000</f>
        <v>#REF!</v>
      </c>
      <c r="N221" s="463" t="e">
        <f>N81/1000</f>
        <v>#REF!</v>
      </c>
      <c r="O221" s="463" t="e">
        <f>O81/1000</f>
        <v>#REF!</v>
      </c>
      <c r="P221" s="462" t="e">
        <f>P81/1000</f>
        <v>#REF!</v>
      </c>
    </row>
    <row r="222" spans="2:17" s="91" customFormat="1" ht="14.1" customHeight="1">
      <c r="B222" s="507" t="str">
        <f>'Recap CO2e'!B139</f>
        <v>Déplacements</v>
      </c>
      <c r="C222" s="491">
        <f>C128/1000</f>
        <v>123.6923936</v>
      </c>
      <c r="D222" s="545"/>
      <c r="E222" s="491">
        <f>E128/1000</f>
        <v>123.6923936</v>
      </c>
      <c r="F222" s="92"/>
      <c r="G222" s="491">
        <f>G128/1000</f>
        <v>19.90238323262394</v>
      </c>
      <c r="H222" s="491">
        <f>H128/1000</f>
        <v>31.930783555944863</v>
      </c>
      <c r="J222" s="491" t="e">
        <f>J128/1000</f>
        <v>#REF!</v>
      </c>
      <c r="K222" s="491" t="e">
        <f>K128/1000</f>
        <v>#REF!</v>
      </c>
      <c r="L222" s="512" t="e">
        <f>L128/1000</f>
        <v>#REF!</v>
      </c>
      <c r="N222" s="491" t="e">
        <f>N128/1000</f>
        <v>#REF!</v>
      </c>
      <c r="O222" s="491" t="e">
        <f>O128/1000</f>
        <v>#REF!</v>
      </c>
      <c r="P222" s="512" t="e">
        <f>P128/1000</f>
        <v>#REF!</v>
      </c>
    </row>
    <row r="223" spans="2:17" s="91" customFormat="1" ht="14.1" customHeight="1">
      <c r="B223" s="508" t="str">
        <f>'Recap CO2e'!B140</f>
        <v>Déchets directs</v>
      </c>
      <c r="C223" s="463">
        <f>C157/1000</f>
        <v>39.17</v>
      </c>
      <c r="D223" s="545"/>
      <c r="E223" s="463">
        <f>E157/1000</f>
        <v>39.17</v>
      </c>
      <c r="F223" s="92"/>
      <c r="G223" s="463">
        <f>G157/1000</f>
        <v>5.911822318033586</v>
      </c>
      <c r="H223" s="463">
        <f>H157/1000</f>
        <v>5.911822318033586</v>
      </c>
      <c r="J223" s="463" t="e">
        <f>J157/1000</f>
        <v>#REF!</v>
      </c>
      <c r="K223" s="463" t="e">
        <f>K157/1000</f>
        <v>#REF!</v>
      </c>
      <c r="L223" s="462" t="e">
        <f>L157/1000</f>
        <v>#REF!</v>
      </c>
      <c r="N223" s="463" t="e">
        <f>N157/1000</f>
        <v>#REF!</v>
      </c>
      <c r="O223" s="463" t="e">
        <f>O157/1000</f>
        <v>#REF!</v>
      </c>
      <c r="P223" s="462" t="e">
        <f>P157/1000</f>
        <v>#REF!</v>
      </c>
    </row>
    <row r="224" spans="2:17" s="91" customFormat="1" ht="14.1" customHeight="1">
      <c r="B224" s="507" t="str">
        <f>'Recap CO2e'!B141</f>
        <v>Immobilisations</v>
      </c>
      <c r="C224" s="491">
        <f>C168/1000</f>
        <v>43.928386666666668</v>
      </c>
      <c r="D224" s="545"/>
      <c r="E224" s="491">
        <f>E168/1000</f>
        <v>43.928386666666668</v>
      </c>
      <c r="F224" s="92"/>
      <c r="G224" s="491">
        <f>G168/1000</f>
        <v>12.133395140725817</v>
      </c>
      <c r="H224" s="491">
        <f>H168/1000</f>
        <v>17.520697014403442</v>
      </c>
      <c r="J224" s="491" t="e">
        <f>J168/1000</f>
        <v>#REF!</v>
      </c>
      <c r="K224" s="491" t="e">
        <f>K168/1000</f>
        <v>#REF!</v>
      </c>
      <c r="L224" s="512" t="e">
        <f>L168/1000</f>
        <v>#REF!</v>
      </c>
      <c r="N224" s="491" t="e">
        <f>N168/1000</f>
        <v>#REF!</v>
      </c>
      <c r="O224" s="491" t="e">
        <f>O168/1000</f>
        <v>#REF!</v>
      </c>
      <c r="P224" s="512" t="e">
        <f>P168/1000</f>
        <v>#REF!</v>
      </c>
    </row>
    <row r="225" spans="2:16" s="91" customFormat="1" ht="14.1" customHeight="1">
      <c r="B225" s="508" t="str">
        <f>'Recap CO2e'!B142</f>
        <v>Utilisation</v>
      </c>
      <c r="C225" s="463">
        <f>C189/1000</f>
        <v>5.3314577495621718</v>
      </c>
      <c r="D225" s="545"/>
      <c r="E225" s="463">
        <f>E189/1000</f>
        <v>5.3314577495621718</v>
      </c>
      <c r="F225" s="92"/>
      <c r="G225" s="463">
        <f>G189/1000</f>
        <v>0.55067377355516667</v>
      </c>
      <c r="H225" s="463">
        <f>H189/1000</f>
        <v>0.74181717750968601</v>
      </c>
      <c r="J225" s="463" t="e">
        <f>J189/1000</f>
        <v>#REF!</v>
      </c>
      <c r="K225" s="463" t="e">
        <f>K189/1000</f>
        <v>#REF!</v>
      </c>
      <c r="L225" s="462" t="e">
        <f>L189/1000</f>
        <v>#REF!</v>
      </c>
      <c r="N225" s="463" t="e">
        <f>N189/1000</f>
        <v>#REF!</v>
      </c>
      <c r="O225" s="463" t="e">
        <f>O189/1000</f>
        <v>#REF!</v>
      </c>
      <c r="P225" s="462" t="e">
        <f>P189/1000</f>
        <v>#REF!</v>
      </c>
    </row>
    <row r="226" spans="2:16" s="91" customFormat="1" ht="14.1" customHeight="1">
      <c r="B226" s="507" t="str">
        <f>'Recap CO2e'!B143</f>
        <v>Fin de vie</v>
      </c>
      <c r="C226" s="491">
        <f>C198/1000</f>
        <v>958.13300000000004</v>
      </c>
      <c r="D226" s="545"/>
      <c r="E226" s="491">
        <f>E198/1000</f>
        <v>958.13300000000004</v>
      </c>
      <c r="F226" s="92"/>
      <c r="G226" s="491">
        <f>G198/1000</f>
        <v>177.13920000000002</v>
      </c>
      <c r="H226" s="491">
        <f>H198/1000</f>
        <v>177.13920000000002</v>
      </c>
      <c r="J226" s="491" t="e">
        <f>J198/1000</f>
        <v>#REF!</v>
      </c>
      <c r="K226" s="491" t="e">
        <f>K198/1000</f>
        <v>#REF!</v>
      </c>
      <c r="L226" s="512" t="e">
        <f>L198/1000</f>
        <v>#REF!</v>
      </c>
      <c r="N226" s="491" t="e">
        <f>N198/1000</f>
        <v>#REF!</v>
      </c>
      <c r="O226" s="491" t="e">
        <f>O198/1000</f>
        <v>#REF!</v>
      </c>
      <c r="P226" s="512" t="e">
        <f>P198/1000</f>
        <v>#REF!</v>
      </c>
    </row>
    <row r="227" spans="2:16" s="98" customFormat="1" ht="15">
      <c r="B227" s="509" t="s">
        <v>348</v>
      </c>
      <c r="C227" s="481">
        <f>SUM(C214:C226)</f>
        <v>4832.3813011162283</v>
      </c>
      <c r="D227" s="545"/>
      <c r="E227" s="481">
        <f>SUM(E214:E226)</f>
        <v>4832.3813011162283</v>
      </c>
      <c r="F227" s="92"/>
      <c r="G227" s="834">
        <f>SQRT(SUMSQ(G214:G226))</f>
        <v>433.40645721283431</v>
      </c>
      <c r="H227" s="481">
        <f>SUM(H214:H226)</f>
        <v>1017.8347852954528</v>
      </c>
      <c r="I227" s="91"/>
      <c r="J227" s="481" t="e">
        <f>SUM(J214:J226)</f>
        <v>#REF!</v>
      </c>
      <c r="K227" s="481" t="e">
        <f>SUM(K214:K226)</f>
        <v>#REF!</v>
      </c>
      <c r="L227" s="483" t="e">
        <f>SUM(L214:L226)</f>
        <v>#REF!</v>
      </c>
      <c r="N227" s="481" t="e">
        <f>SUM(N214:N226)</f>
        <v>#REF!</v>
      </c>
      <c r="O227" s="481" t="e">
        <f>SUM(O214:O226)</f>
        <v>#REF!</v>
      </c>
      <c r="P227" s="483" t="e">
        <f>SUM(P214:P226)</f>
        <v>#REF!</v>
      </c>
    </row>
    <row r="228" spans="2:16" s="91" customFormat="1">
      <c r="C228" s="92"/>
      <c r="D228" s="545"/>
      <c r="E228" s="92"/>
      <c r="F228" s="92"/>
      <c r="G228" s="9"/>
      <c r="H228" s="92"/>
      <c r="J228" s="9"/>
      <c r="K228" s="92"/>
      <c r="L228" s="92"/>
      <c r="N228" s="9"/>
      <c r="O228" s="92"/>
      <c r="P228" s="92"/>
    </row>
    <row r="229" spans="2:16">
      <c r="E229" s="28"/>
    </row>
    <row r="230" spans="2:16" ht="12.75" hidden="1" customHeight="1">
      <c r="E230" s="28"/>
    </row>
    <row r="231" spans="2:16" ht="12.75" hidden="1" customHeight="1">
      <c r="E231" s="28"/>
    </row>
    <row r="232" spans="2:16" ht="12.75" hidden="1" customHeight="1">
      <c r="E232" s="28"/>
    </row>
    <row r="233" spans="2:16" ht="12.75" hidden="1" customHeight="1">
      <c r="E233" s="28"/>
    </row>
    <row r="234" spans="2:16" ht="12.75" hidden="1" customHeight="1">
      <c r="E234" s="28"/>
    </row>
    <row r="235" spans="2:16" ht="12.75" hidden="1" customHeight="1">
      <c r="E235" s="28"/>
    </row>
  </sheetData>
  <mergeCells count="1">
    <mergeCell ref="B2:J2"/>
  </mergeCells>
  <phoneticPr fontId="11" type="noConversion"/>
  <hyperlinks>
    <hyperlink ref="B16" location="'Energie 2'!B202" display="'Energie 2'!B202" xr:uid="{00000000-0004-0000-1E00-000000000000}"/>
    <hyperlink ref="B26" location="procedes1_recap" display="procedes1_recap" xr:uid="{00000000-0004-0000-1E00-000001000000}"/>
    <hyperlink ref="B34" location="'Hors énergie 2'!A1" display="'Hors énergie 2'!A1" xr:uid="{00000000-0004-0000-1E00-000002000000}"/>
    <hyperlink ref="B42" location="intrants_total" display="intrants_total" xr:uid="{00000000-0004-0000-1E00-000003000000}"/>
    <hyperlink ref="B66" location="emballages_sous_postes" display="emballages_sous_postes" xr:uid="{00000000-0004-0000-1E00-000004000000}"/>
    <hyperlink ref="B81" location="fret_sous_postes" display="fret_sous_postes" xr:uid="{00000000-0004-0000-1E00-000005000000}"/>
    <hyperlink ref="B128" location="deplacements_sous_postes" display="deplacements_sous_postes" xr:uid="{00000000-0004-0000-1E00-000006000000}"/>
    <hyperlink ref="B157" location="dechets_sous_postes" display="dechets_sous_postes" xr:uid="{00000000-0004-0000-1E00-000007000000}"/>
    <hyperlink ref="B168" location="immos_sous_postes" display="immos_sous_postes" xr:uid="{00000000-0004-0000-1E00-000008000000}"/>
    <hyperlink ref="B189" location="utilisation_sous_postes" display="utilisation_sous_postes" xr:uid="{00000000-0004-0000-1E00-000009000000}"/>
    <hyperlink ref="B198" location="fin_de_vie_sous_postes" display="fin_de_vie_sous_postes" xr:uid="{00000000-0004-0000-1E00-00000A000000}"/>
    <hyperlink ref="B54" location="'Intrants 2'!A1" display="'Intrants 2'!A1" xr:uid="{00000000-0004-0000-1E00-00000B000000}"/>
    <hyperlink ref="B6" location="'Energie 1'!B202" display="'Energie 1'!B202" xr:uid="{00000000-0004-0000-1E00-00000C000000}"/>
  </hyperlinks>
  <pageMargins left="0.78740157499999996" right="0.78740157499999996" top="0.984251969" bottom="0.984251969" header="0.5" footer="0.5"/>
  <pageSetup paperSize="9" orientation="portrait" horizontalDpi="4294967292" vertic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theme="5"/>
    <outlinePr summaryBelow="0" summaryRight="0"/>
  </sheetPr>
  <dimension ref="A1:LH295"/>
  <sheetViews>
    <sheetView showGridLines="0" tabSelected="1" zoomScale="85" zoomScaleNormal="85" workbookViewId="0">
      <pane xSplit="3" ySplit="6" topLeftCell="D18" activePane="bottomRight" state="frozenSplit"/>
      <selection activeCell="E9" sqref="E9"/>
      <selection pane="topRight" activeCell="E9" sqref="E9"/>
      <selection pane="bottomLeft" activeCell="E9" sqref="E9"/>
      <selection pane="bottomRight" activeCell="G55" sqref="G55"/>
    </sheetView>
  </sheetViews>
  <sheetFormatPr baseColWidth="10" defaultColWidth="0" defaultRowHeight="11.4" zeroHeight="1" outlineLevelRow="1" outlineLevelCol="1"/>
  <cols>
    <col min="1" max="1" width="2.75" style="90" customWidth="1"/>
    <col min="2" max="2" width="52.75" style="2" customWidth="1"/>
    <col min="3" max="3" width="2.375" style="2" customWidth="1"/>
    <col min="4" max="4" width="14.125" style="2" bestFit="1" customWidth="1"/>
    <col min="5" max="5" width="12.25" style="2" customWidth="1"/>
    <col min="6" max="6" width="15.75" style="2" bestFit="1" customWidth="1"/>
    <col min="7" max="7" width="13" style="3" bestFit="1" customWidth="1"/>
    <col min="8" max="8" width="16.375" style="2" bestFit="1" customWidth="1"/>
    <col min="9" max="9" width="15.25" style="2" bestFit="1" customWidth="1"/>
    <col min="10" max="10" width="13.375" style="2" bestFit="1" customWidth="1"/>
    <col min="11" max="12" width="12.25" style="2" customWidth="1"/>
    <col min="13" max="13" width="16.375" style="830" bestFit="1" customWidth="1"/>
    <col min="14" max="14" width="12.25" style="830" customWidth="1"/>
    <col min="15" max="16" width="12.25" style="2" customWidth="1"/>
    <col min="17" max="17" width="12.25" style="830" customWidth="1" collapsed="1"/>
    <col min="18" max="21" width="12.25" style="2" hidden="1" customWidth="1" outlineLevel="1"/>
    <col min="22" max="23" width="12.25" style="594" hidden="1" customWidth="1" outlineLevel="1"/>
    <col min="24" max="24" width="12.25" style="594" customWidth="1" collapsed="1"/>
    <col min="25" max="25" width="12.25" style="594" hidden="1" customWidth="1" outlineLevel="1"/>
    <col min="26" max="26" width="12.375" style="594" hidden="1" customWidth="1" outlineLevel="1"/>
    <col min="27" max="27" width="1.875" style="594" customWidth="1"/>
    <col min="28" max="28" width="12.25" style="2" hidden="1" customWidth="1"/>
    <col min="29" max="319" width="10.875" style="2" hidden="1" customWidth="1"/>
    <col min="320" max="320" width="11.375" style="2" hidden="1" customWidth="1"/>
    <col min="321" max="16384" width="10.875" style="2" hidden="1"/>
  </cols>
  <sheetData>
    <row r="1" spans="1:27" s="90" customFormat="1" ht="22.8">
      <c r="A1" s="113"/>
      <c r="B1" s="113"/>
      <c r="C1" s="113"/>
      <c r="D1" s="113"/>
      <c r="E1" s="113"/>
      <c r="F1" s="113"/>
      <c r="G1" s="113"/>
      <c r="H1" s="113"/>
      <c r="I1" s="113"/>
      <c r="J1" s="113"/>
      <c r="K1" s="113"/>
      <c r="L1" s="113"/>
      <c r="M1" s="817"/>
      <c r="N1" s="817"/>
      <c r="O1" s="113"/>
      <c r="P1" s="113"/>
      <c r="Q1" s="1645" t="s">
        <v>2441</v>
      </c>
      <c r="R1" s="594"/>
      <c r="S1" s="594"/>
      <c r="T1" s="594"/>
      <c r="U1" s="594"/>
      <c r="V1" s="594"/>
      <c r="W1" s="594"/>
      <c r="X1" s="1644" t="s">
        <v>2440</v>
      </c>
    </row>
    <row r="2" spans="1:27" ht="30" customHeight="1">
      <c r="A2" s="113"/>
      <c r="B2" s="2602" t="str">
        <f>Descriptif!C25</f>
        <v>Hors énergie 1</v>
      </c>
      <c r="C2" s="2603"/>
      <c r="D2" s="2603"/>
      <c r="E2" s="2603"/>
      <c r="F2" s="2603"/>
      <c r="G2" s="2603"/>
      <c r="H2" s="2603"/>
      <c r="I2" s="2603"/>
      <c r="J2" s="2603"/>
      <c r="K2" s="2603"/>
      <c r="L2" s="2603"/>
      <c r="M2" s="2603"/>
      <c r="N2" s="2603"/>
      <c r="O2" s="2603"/>
      <c r="P2" s="2604"/>
      <c r="Q2" s="2"/>
      <c r="R2" s="594"/>
      <c r="S2" s="594"/>
      <c r="T2" s="594"/>
      <c r="U2" s="594"/>
      <c r="X2" s="2"/>
      <c r="Y2" s="2"/>
      <c r="Z2" s="2"/>
      <c r="AA2" s="2"/>
    </row>
    <row r="3" spans="1:27" s="4" customFormat="1" ht="13.2">
      <c r="A3" s="114"/>
      <c r="B3" s="114"/>
      <c r="C3" s="114"/>
      <c r="D3" s="114"/>
      <c r="E3" s="114"/>
      <c r="F3" s="114"/>
      <c r="G3" s="114"/>
      <c r="H3" s="114"/>
      <c r="I3" s="114"/>
      <c r="J3" s="114"/>
      <c r="K3" s="114"/>
      <c r="L3" s="114"/>
      <c r="M3" s="126"/>
      <c r="N3" s="126"/>
      <c r="O3" s="114"/>
      <c r="P3" s="114"/>
      <c r="R3" s="595"/>
      <c r="S3" s="595"/>
      <c r="T3" s="595"/>
      <c r="U3" s="595"/>
      <c r="V3" s="595"/>
      <c r="W3" s="595"/>
    </row>
    <row r="4" spans="1:27" s="91" customFormat="1" ht="13.8">
      <c r="A4" s="114"/>
      <c r="B4" s="1001" t="s">
        <v>536</v>
      </c>
      <c r="C4" s="210"/>
      <c r="D4" s="2760" t="s">
        <v>211</v>
      </c>
      <c r="E4" s="2760"/>
      <c r="F4" s="2760" t="s">
        <v>267</v>
      </c>
      <c r="G4" s="2760"/>
      <c r="H4" s="2760" t="s">
        <v>442</v>
      </c>
      <c r="I4" s="2760"/>
      <c r="J4" s="2760" t="s">
        <v>307</v>
      </c>
      <c r="K4" s="2760"/>
      <c r="L4" s="2760" t="s">
        <v>40</v>
      </c>
      <c r="M4" s="2760"/>
      <c r="N4" s="2571"/>
      <c r="O4" s="2761" t="s">
        <v>893</v>
      </c>
      <c r="P4" s="2762"/>
      <c r="R4" s="595"/>
      <c r="S4" s="595"/>
      <c r="T4" s="595"/>
      <c r="U4" s="595"/>
      <c r="V4" s="595"/>
      <c r="W4" s="595"/>
    </row>
    <row r="5" spans="1:27" s="91" customFormat="1" ht="13.8">
      <c r="A5" s="114"/>
      <c r="B5" s="194" t="s">
        <v>521</v>
      </c>
      <c r="C5" s="195"/>
      <c r="D5" s="2745" t="s">
        <v>212</v>
      </c>
      <c r="E5" s="2745"/>
      <c r="F5" s="2745" t="s">
        <v>484</v>
      </c>
      <c r="G5" s="2745"/>
      <c r="H5" s="2745" t="s">
        <v>758</v>
      </c>
      <c r="I5" s="2745"/>
      <c r="J5" s="2745" t="s">
        <v>818</v>
      </c>
      <c r="K5" s="2745"/>
      <c r="L5" s="2745" t="s">
        <v>2444</v>
      </c>
      <c r="M5" s="2745"/>
      <c r="N5" s="826"/>
      <c r="O5" s="1684"/>
      <c r="P5" s="1685"/>
      <c r="R5" s="595"/>
      <c r="S5" s="595"/>
      <c r="T5" s="595"/>
      <c r="U5" s="595"/>
      <c r="V5" s="595"/>
      <c r="W5" s="595"/>
    </row>
    <row r="6" spans="1:27" s="91" customFormat="1" ht="13.8">
      <c r="A6" s="114"/>
      <c r="B6" s="115"/>
      <c r="C6" s="115"/>
      <c r="D6" s="115"/>
      <c r="E6" s="115"/>
      <c r="F6" s="115"/>
      <c r="G6" s="115"/>
      <c r="H6" s="109"/>
      <c r="I6" s="109"/>
      <c r="J6" s="109"/>
      <c r="K6" s="114"/>
      <c r="L6" s="114"/>
      <c r="M6" s="126"/>
      <c r="N6" s="126"/>
      <c r="O6" s="114"/>
      <c r="P6" s="114"/>
      <c r="R6" s="595"/>
      <c r="S6" s="595"/>
      <c r="T6" s="595"/>
      <c r="U6" s="595"/>
      <c r="V6" s="595"/>
      <c r="W6" s="595"/>
    </row>
    <row r="7" spans="1:27" s="4" customFormat="1" ht="15.6" collapsed="1">
      <c r="A7" s="91"/>
      <c r="B7" s="2652" t="s">
        <v>543</v>
      </c>
      <c r="C7" s="2653"/>
      <c r="D7" s="2653"/>
      <c r="E7" s="2653"/>
      <c r="F7" s="2653"/>
      <c r="G7" s="2653"/>
      <c r="H7" s="2653"/>
      <c r="I7" s="2653"/>
      <c r="J7" s="2653"/>
      <c r="K7" s="2653"/>
      <c r="L7" s="2653"/>
      <c r="M7" s="2653"/>
      <c r="N7" s="2653"/>
      <c r="O7" s="2653"/>
      <c r="P7" s="2654"/>
      <c r="R7" s="595"/>
      <c r="S7" s="595"/>
      <c r="T7" s="595"/>
      <c r="U7" s="595"/>
      <c r="V7" s="595"/>
      <c r="W7" s="595"/>
    </row>
    <row r="8" spans="1:27" s="4" customFormat="1" ht="13.2" hidden="1" outlineLevel="1">
      <c r="A8" s="91"/>
      <c r="B8" s="15"/>
      <c r="C8" s="15"/>
      <c r="D8" s="15"/>
      <c r="E8" s="99"/>
      <c r="F8" s="15"/>
      <c r="G8" s="7"/>
      <c r="H8" s="5"/>
      <c r="M8" s="9"/>
      <c r="N8" s="9"/>
      <c r="R8" s="595"/>
      <c r="S8" s="595"/>
      <c r="T8" s="595"/>
      <c r="U8" s="595"/>
      <c r="V8" s="595"/>
      <c r="W8" s="595"/>
    </row>
    <row r="9" spans="1:27" s="4" customFormat="1" ht="12.75" hidden="1" customHeight="1" outlineLevel="1">
      <c r="A9" s="91"/>
      <c r="B9" s="294" t="s">
        <v>118</v>
      </c>
      <c r="C9" s="295"/>
      <c r="D9" s="1164"/>
      <c r="E9" s="1624"/>
      <c r="F9" s="296"/>
      <c r="G9" s="296"/>
      <c r="H9" s="296"/>
      <c r="I9" s="297"/>
      <c r="J9" s="7"/>
      <c r="K9" s="7"/>
      <c r="L9" s="2748" t="s">
        <v>366</v>
      </c>
      <c r="M9" s="2749"/>
      <c r="N9" s="2749"/>
      <c r="O9" s="2750"/>
      <c r="P9" s="7"/>
      <c r="R9" s="2751" t="s">
        <v>441</v>
      </c>
      <c r="S9" s="2752"/>
      <c r="T9" s="2752"/>
      <c r="U9" s="2752"/>
      <c r="V9" s="2752"/>
      <c r="W9" s="2753"/>
    </row>
    <row r="10" spans="1:27" s="4" customFormat="1" ht="12.75" hidden="1" customHeight="1" outlineLevel="1">
      <c r="A10" s="91"/>
      <c r="B10" s="298"/>
      <c r="C10" s="299"/>
      <c r="D10" s="537" t="s">
        <v>308</v>
      </c>
      <c r="E10" s="1625"/>
      <c r="F10" s="299"/>
      <c r="G10" s="299"/>
      <c r="H10" s="299"/>
      <c r="I10" s="300"/>
      <c r="J10" s="7"/>
      <c r="K10" s="7"/>
      <c r="L10" s="298"/>
      <c r="M10" s="827"/>
      <c r="N10" s="827"/>
      <c r="O10" s="308"/>
      <c r="P10" s="7"/>
      <c r="R10" s="596"/>
      <c r="S10" s="597"/>
      <c r="T10" s="597"/>
      <c r="U10" s="597"/>
      <c r="V10" s="598"/>
      <c r="W10" s="599"/>
      <c r="Y10" s="2616" t="s">
        <v>1648</v>
      </c>
      <c r="Z10" s="2618"/>
    </row>
    <row r="11" spans="1:27" s="4" customFormat="1" ht="12.75" hidden="1" customHeight="1" outlineLevel="1">
      <c r="A11" s="91"/>
      <c r="B11" s="298"/>
      <c r="C11" s="299"/>
      <c r="D11" s="1163" t="s">
        <v>409</v>
      </c>
      <c r="E11" s="1622"/>
      <c r="F11" s="147" t="s">
        <v>452</v>
      </c>
      <c r="G11" s="147" t="s">
        <v>1849</v>
      </c>
      <c r="H11" s="299" t="s">
        <v>1847</v>
      </c>
      <c r="I11" s="302" t="s">
        <v>444</v>
      </c>
      <c r="K11" s="7"/>
      <c r="L11" s="1137" t="s">
        <v>316</v>
      </c>
      <c r="M11" s="2629" t="s">
        <v>316</v>
      </c>
      <c r="N11" s="2630"/>
      <c r="O11" s="302" t="s">
        <v>444</v>
      </c>
      <c r="P11" s="7"/>
      <c r="R11" s="2754" t="s">
        <v>444</v>
      </c>
      <c r="S11" s="2755"/>
      <c r="T11" s="2755"/>
      <c r="U11" s="2755"/>
      <c r="V11" s="600" t="s">
        <v>444</v>
      </c>
      <c r="W11" s="601"/>
      <c r="Y11" s="1140" t="s">
        <v>1646</v>
      </c>
      <c r="Z11" s="1141" t="s">
        <v>1844</v>
      </c>
    </row>
    <row r="12" spans="1:27" s="4" customFormat="1" ht="12.75" hidden="1" customHeight="1" outlineLevel="1">
      <c r="A12" s="91"/>
      <c r="B12" s="298"/>
      <c r="C12" s="299"/>
      <c r="D12" s="1163" t="s">
        <v>444</v>
      </c>
      <c r="E12" s="1622"/>
      <c r="F12" s="149" t="s">
        <v>702</v>
      </c>
      <c r="G12" s="149" t="s">
        <v>1848</v>
      </c>
      <c r="H12" s="299"/>
      <c r="I12" s="302"/>
      <c r="K12" s="7"/>
      <c r="L12" s="1137" t="s">
        <v>1649</v>
      </c>
      <c r="M12" s="2646" t="s">
        <v>1650</v>
      </c>
      <c r="N12" s="2647"/>
      <c r="O12" s="302"/>
      <c r="R12" s="602" t="s">
        <v>211</v>
      </c>
      <c r="S12" s="603" t="s">
        <v>442</v>
      </c>
      <c r="T12" s="603" t="s">
        <v>267</v>
      </c>
      <c r="U12" s="603" t="s">
        <v>443</v>
      </c>
      <c r="V12" s="604" t="s">
        <v>327</v>
      </c>
      <c r="W12" s="605" t="s">
        <v>636</v>
      </c>
      <c r="Y12" s="1062"/>
      <c r="Z12" s="1129"/>
    </row>
    <row r="13" spans="1:27" s="4" customFormat="1" ht="13.2" hidden="1" outlineLevel="1">
      <c r="A13" s="91"/>
      <c r="B13" s="304" t="s">
        <v>325</v>
      </c>
      <c r="C13" s="305"/>
      <c r="D13" s="315">
        <f>I13</f>
        <v>0</v>
      </c>
      <c r="E13" s="315"/>
      <c r="F13" s="843"/>
      <c r="G13" s="96"/>
      <c r="H13" s="317">
        <v>1</v>
      </c>
      <c r="I13" s="306">
        <f>G13*H13</f>
        <v>0</v>
      </c>
      <c r="L13" s="319">
        <f>IF(O13=0,O13,O13/I13)</f>
        <v>0</v>
      </c>
      <c r="M13" s="816"/>
      <c r="N13" s="820"/>
      <c r="O13" s="306">
        <f>SQRT(SUMSQ(IF(ISNA($G13*H13*Z13),0,$G13*H13*Z13)))</f>
        <v>0</v>
      </c>
      <c r="R13" s="606">
        <f>I13</f>
        <v>0</v>
      </c>
      <c r="S13" s="607">
        <v>0</v>
      </c>
      <c r="T13" s="607">
        <v>0</v>
      </c>
      <c r="U13" s="607">
        <v>0</v>
      </c>
      <c r="V13" s="608">
        <f>I13</f>
        <v>0</v>
      </c>
      <c r="W13" s="609">
        <v>0</v>
      </c>
      <c r="Y13" s="1065">
        <f>IF($M13&lt;&gt;"votre valeur :",IF(ISNA(VLOOKUP($M13,Utilitaires!$N$566:$O$571,2,FALSE)),,VLOOKUP($M13,Utilitaires!$N$566:$O$571,2,FALSE)),$N13)</f>
        <v>0</v>
      </c>
      <c r="Z13" s="1130">
        <f>SQRT(SUMSQ(0,$Y13))</f>
        <v>0</v>
      </c>
    </row>
    <row r="14" spans="1:27" s="4" customFormat="1" ht="13.2" hidden="1" outlineLevel="1">
      <c r="A14" s="91"/>
      <c r="B14" s="304"/>
      <c r="C14" s="305"/>
      <c r="D14" s="315"/>
      <c r="E14" s="315"/>
      <c r="F14" s="305"/>
      <c r="G14" s="299"/>
      <c r="H14" s="305"/>
      <c r="I14" s="307"/>
      <c r="L14" s="304"/>
      <c r="M14" s="828"/>
      <c r="N14" s="828"/>
      <c r="O14" s="306"/>
      <c r="R14" s="606"/>
      <c r="S14" s="607"/>
      <c r="T14" s="607"/>
      <c r="U14" s="607"/>
      <c r="V14" s="608"/>
      <c r="W14" s="610"/>
      <c r="Y14" s="1142"/>
      <c r="Z14" s="1143"/>
    </row>
    <row r="15" spans="1:27" s="4" customFormat="1" ht="13.2" hidden="1" outlineLevel="1">
      <c r="A15" s="91"/>
      <c r="B15" s="320" t="s">
        <v>348</v>
      </c>
      <c r="C15" s="321"/>
      <c r="D15" s="322">
        <f>SUM(D13:D14)</f>
        <v>0</v>
      </c>
      <c r="E15" s="322"/>
      <c r="F15" s="321"/>
      <c r="G15" s="323"/>
      <c r="H15" s="321"/>
      <c r="I15" s="324">
        <f>SUM(I13:I14)</f>
        <v>0</v>
      </c>
      <c r="L15" s="1202">
        <f>IF(O15=0,O15,O15/I15)</f>
        <v>0</v>
      </c>
      <c r="M15" s="829"/>
      <c r="N15" s="829"/>
      <c r="O15" s="324">
        <f>SQRT(SUMSQ(O13:O14))</f>
        <v>0</v>
      </c>
      <c r="R15" s="611">
        <f t="shared" ref="R15:W15" si="0">SUM(R13:R14)</f>
        <v>0</v>
      </c>
      <c r="S15" s="612">
        <f t="shared" si="0"/>
        <v>0</v>
      </c>
      <c r="T15" s="612">
        <f t="shared" si="0"/>
        <v>0</v>
      </c>
      <c r="U15" s="612">
        <f t="shared" si="0"/>
        <v>0</v>
      </c>
      <c r="V15" s="613">
        <f t="shared" si="0"/>
        <v>0</v>
      </c>
      <c r="W15" s="614">
        <f t="shared" si="0"/>
        <v>0</v>
      </c>
    </row>
    <row r="16" spans="1:27" s="4" customFormat="1" ht="13.2" hidden="1" outlineLevel="1">
      <c r="A16" s="91"/>
      <c r="B16" s="15"/>
      <c r="C16" s="15"/>
      <c r="D16" s="15"/>
      <c r="E16" s="99"/>
      <c r="F16" s="15"/>
      <c r="G16" s="7"/>
      <c r="H16" s="5"/>
      <c r="M16" s="9"/>
      <c r="N16" s="9"/>
      <c r="R16" s="595"/>
      <c r="S16" s="595"/>
      <c r="T16" s="595"/>
      <c r="U16" s="595"/>
      <c r="V16" s="595"/>
      <c r="W16" s="595"/>
    </row>
    <row r="17" spans="1:26" s="4" customFormat="1" ht="13.2">
      <c r="A17" s="91"/>
      <c r="B17" s="15"/>
      <c r="C17" s="15"/>
      <c r="D17" s="15"/>
      <c r="E17" s="99"/>
      <c r="F17" s="15"/>
      <c r="G17" s="7"/>
      <c r="H17" s="5"/>
      <c r="M17" s="9"/>
      <c r="N17" s="9"/>
      <c r="R17" s="595"/>
      <c r="S17" s="595"/>
      <c r="T17" s="595"/>
      <c r="U17" s="595"/>
      <c r="V17" s="595"/>
      <c r="W17" s="595"/>
    </row>
    <row r="18" spans="1:26" s="4" customFormat="1" ht="15.6" collapsed="1">
      <c r="A18" s="91"/>
      <c r="B18" s="2652" t="s">
        <v>542</v>
      </c>
      <c r="C18" s="2653"/>
      <c r="D18" s="2653"/>
      <c r="E18" s="2653"/>
      <c r="F18" s="2653"/>
      <c r="G18" s="2653"/>
      <c r="H18" s="2653"/>
      <c r="I18" s="2653"/>
      <c r="J18" s="2653"/>
      <c r="K18" s="2653"/>
      <c r="L18" s="2653"/>
      <c r="M18" s="2653"/>
      <c r="N18" s="2653"/>
      <c r="O18" s="2653"/>
      <c r="P18" s="2654"/>
      <c r="R18" s="595"/>
      <c r="S18" s="595"/>
      <c r="T18" s="595"/>
      <c r="U18" s="595"/>
      <c r="V18" s="595"/>
      <c r="W18" s="595"/>
    </row>
    <row r="19" spans="1:26" s="4" customFormat="1" ht="13.2" hidden="1" outlineLevel="1">
      <c r="A19" s="91"/>
      <c r="E19" s="91"/>
      <c r="G19" s="7"/>
      <c r="M19" s="9"/>
      <c r="N19" s="9"/>
      <c r="R19" s="595"/>
      <c r="S19" s="595"/>
      <c r="T19" s="595"/>
      <c r="U19" s="595"/>
      <c r="V19" s="595"/>
      <c r="W19" s="595"/>
    </row>
    <row r="20" spans="1:26" s="4" customFormat="1" ht="12.75" hidden="1" customHeight="1" outlineLevel="1">
      <c r="A20" s="91"/>
      <c r="B20" s="294" t="s">
        <v>44</v>
      </c>
      <c r="C20" s="295"/>
      <c r="D20" s="1164"/>
      <c r="E20" s="1624"/>
      <c r="F20" s="296"/>
      <c r="G20" s="296"/>
      <c r="H20" s="296"/>
      <c r="I20" s="296"/>
      <c r="J20" s="297"/>
      <c r="K20" s="7"/>
      <c r="L20" s="2748" t="s">
        <v>366</v>
      </c>
      <c r="M20" s="2749"/>
      <c r="N20" s="2749"/>
      <c r="O20" s="2750"/>
      <c r="R20" s="2751" t="s">
        <v>441</v>
      </c>
      <c r="S20" s="2752"/>
      <c r="T20" s="2752"/>
      <c r="U20" s="2752"/>
      <c r="V20" s="2752"/>
      <c r="W20" s="2753"/>
    </row>
    <row r="21" spans="1:26" s="4" customFormat="1" ht="12.75" hidden="1" customHeight="1" outlineLevel="1">
      <c r="A21" s="91"/>
      <c r="B21" s="298"/>
      <c r="C21" s="299"/>
      <c r="D21" s="537" t="s">
        <v>308</v>
      </c>
      <c r="E21" s="1625"/>
      <c r="F21" s="299"/>
      <c r="G21" s="299"/>
      <c r="H21" s="299" t="s">
        <v>563</v>
      </c>
      <c r="I21" s="299"/>
      <c r="J21" s="300"/>
      <c r="K21" s="7"/>
      <c r="L21" s="298"/>
      <c r="M21" s="827"/>
      <c r="N21" s="827"/>
      <c r="O21" s="307"/>
      <c r="R21" s="596"/>
      <c r="S21" s="597"/>
      <c r="T21" s="597"/>
      <c r="U21" s="597"/>
      <c r="V21" s="598"/>
      <c r="W21" s="599"/>
      <c r="Y21" s="2616" t="s">
        <v>1648</v>
      </c>
      <c r="Z21" s="2618"/>
    </row>
    <row r="22" spans="1:26" s="4" customFormat="1" ht="12.75" hidden="1" customHeight="1" outlineLevel="1">
      <c r="A22" s="91"/>
      <c r="B22" s="298"/>
      <c r="C22" s="299"/>
      <c r="D22" s="1163" t="s">
        <v>409</v>
      </c>
      <c r="E22" s="1622"/>
      <c r="F22" s="147" t="s">
        <v>452</v>
      </c>
      <c r="G22" s="301" t="s">
        <v>1850</v>
      </c>
      <c r="H22" s="299" t="s">
        <v>564</v>
      </c>
      <c r="I22" s="299" t="s">
        <v>1851</v>
      </c>
      <c r="J22" s="302" t="s">
        <v>444</v>
      </c>
      <c r="L22" s="1138" t="s">
        <v>316</v>
      </c>
      <c r="M22" s="2629" t="s">
        <v>316</v>
      </c>
      <c r="N22" s="2630"/>
      <c r="O22" s="302" t="s">
        <v>444</v>
      </c>
      <c r="R22" s="2754" t="s">
        <v>444</v>
      </c>
      <c r="S22" s="2755"/>
      <c r="T22" s="2755"/>
      <c r="U22" s="2755"/>
      <c r="V22" s="600" t="s">
        <v>444</v>
      </c>
      <c r="W22" s="601"/>
      <c r="Y22" s="1140" t="s">
        <v>1646</v>
      </c>
      <c r="Z22" s="1141" t="s">
        <v>1844</v>
      </c>
    </row>
    <row r="23" spans="1:26" s="4" customFormat="1" ht="12.75" hidden="1" customHeight="1" outlineLevel="1">
      <c r="A23" s="91"/>
      <c r="B23" s="298"/>
      <c r="C23" s="299"/>
      <c r="D23" s="1163" t="s">
        <v>444</v>
      </c>
      <c r="E23" s="1622"/>
      <c r="F23" s="149" t="s">
        <v>702</v>
      </c>
      <c r="G23" s="303" t="s">
        <v>562</v>
      </c>
      <c r="H23" s="299" t="s">
        <v>565</v>
      </c>
      <c r="I23" s="299"/>
      <c r="J23" s="302"/>
      <c r="L23" s="1138" t="s">
        <v>1649</v>
      </c>
      <c r="M23" s="2646" t="s">
        <v>1650</v>
      </c>
      <c r="N23" s="2647"/>
      <c r="O23" s="302"/>
      <c r="R23" s="602" t="s">
        <v>211</v>
      </c>
      <c r="S23" s="603" t="s">
        <v>442</v>
      </c>
      <c r="T23" s="603" t="s">
        <v>267</v>
      </c>
      <c r="U23" s="603" t="s">
        <v>443</v>
      </c>
      <c r="V23" s="604" t="s">
        <v>327</v>
      </c>
      <c r="W23" s="605" t="s">
        <v>636</v>
      </c>
      <c r="Y23" s="1062"/>
      <c r="Z23" s="1129"/>
    </row>
    <row r="24" spans="1:26" s="4" customFormat="1" ht="13.2" hidden="1" outlineLevel="1">
      <c r="A24" s="91"/>
      <c r="B24" s="304" t="s">
        <v>298</v>
      </c>
      <c r="C24" s="305"/>
      <c r="D24" s="315">
        <f>J24</f>
        <v>0</v>
      </c>
      <c r="E24" s="315"/>
      <c r="F24" s="843"/>
      <c r="G24" s="96"/>
      <c r="H24" s="1160">
        <f>'FE Hors Energie'!K84</f>
        <v>2.0900000000000002E-2</v>
      </c>
      <c r="I24" s="1161">
        <f>'FE Hors Energie'!$O$92</f>
        <v>265</v>
      </c>
      <c r="J24" s="306">
        <f>G24*H24*I24</f>
        <v>0</v>
      </c>
      <c r="L24" s="319">
        <f>IF(O24=0,O24,O24/J24)</f>
        <v>0</v>
      </c>
      <c r="M24" s="816"/>
      <c r="N24" s="820"/>
      <c r="O24" s="306">
        <f>SQRT(SUMSQ(IF(ISNA(J24*Z24),0,J24*Z24)))</f>
        <v>0</v>
      </c>
      <c r="R24" s="606">
        <v>0</v>
      </c>
      <c r="S24" s="607">
        <v>0</v>
      </c>
      <c r="T24" s="607">
        <f>J24</f>
        <v>0</v>
      </c>
      <c r="U24" s="607">
        <v>0</v>
      </c>
      <c r="V24" s="608">
        <f>J24</f>
        <v>0</v>
      </c>
      <c r="W24" s="609">
        <v>0</v>
      </c>
      <c r="Y24" s="1065">
        <f>IF($M24&lt;&gt;"votre valeur :",IF(ISNA(VLOOKUP($M24,Utilitaires!$N$566:$O$571,2,FALSE)),,VLOOKUP($M24,Utilitaires!$N$566:$O$571,2,FALSE)),$N24)</f>
        <v>0</v>
      </c>
      <c r="Z24" s="1130">
        <f>SQRT(SUMSQ(0.3,Y24))</f>
        <v>0.3</v>
      </c>
    </row>
    <row r="25" spans="1:26" s="4" customFormat="1" ht="13.2" hidden="1" outlineLevel="1">
      <c r="A25" s="91"/>
      <c r="B25" s="304"/>
      <c r="C25" s="305"/>
      <c r="D25" s="315"/>
      <c r="E25" s="315"/>
      <c r="F25" s="305"/>
      <c r="G25" s="299"/>
      <c r="H25" s="305"/>
      <c r="I25" s="305"/>
      <c r="J25" s="307"/>
      <c r="L25" s="304"/>
      <c r="M25" s="828"/>
      <c r="N25" s="828"/>
      <c r="O25" s="306"/>
      <c r="R25" s="606"/>
      <c r="S25" s="607"/>
      <c r="T25" s="607"/>
      <c r="U25" s="607"/>
      <c r="V25" s="608"/>
      <c r="W25" s="610"/>
      <c r="Y25" s="1142"/>
      <c r="Z25" s="1143"/>
    </row>
    <row r="26" spans="1:26" s="4" customFormat="1" ht="13.2" hidden="1" outlineLevel="1">
      <c r="A26" s="91"/>
      <c r="B26" s="320" t="s">
        <v>348</v>
      </c>
      <c r="C26" s="321"/>
      <c r="D26" s="322">
        <f>SUM(D24:D25)</f>
        <v>0</v>
      </c>
      <c r="E26" s="322"/>
      <c r="F26" s="321"/>
      <c r="G26" s="323"/>
      <c r="H26" s="321"/>
      <c r="I26" s="321"/>
      <c r="J26" s="324">
        <f>SUM(J24:J25)</f>
        <v>0</v>
      </c>
      <c r="L26" s="1202">
        <f>IF(O26=0,O26,O26/I26)</f>
        <v>0</v>
      </c>
      <c r="M26" s="829"/>
      <c r="N26" s="829"/>
      <c r="O26" s="324">
        <f>SQRT(SUMSQ(O24:O25))</f>
        <v>0</v>
      </c>
      <c r="R26" s="611">
        <f t="shared" ref="R26:W26" si="1">SUM(R24:R25)</f>
        <v>0</v>
      </c>
      <c r="S26" s="612">
        <f t="shared" si="1"/>
        <v>0</v>
      </c>
      <c r="T26" s="612">
        <f t="shared" si="1"/>
        <v>0</v>
      </c>
      <c r="U26" s="612">
        <f t="shared" si="1"/>
        <v>0</v>
      </c>
      <c r="V26" s="613">
        <f t="shared" si="1"/>
        <v>0</v>
      </c>
      <c r="W26" s="614">
        <f t="shared" si="1"/>
        <v>0</v>
      </c>
    </row>
    <row r="27" spans="1:26" s="4" customFormat="1" ht="13.2" hidden="1" outlineLevel="1">
      <c r="A27" s="91"/>
      <c r="B27" s="5"/>
      <c r="C27" s="5"/>
      <c r="D27" s="5"/>
      <c r="E27" s="92"/>
      <c r="F27" s="5"/>
      <c r="G27" s="36"/>
      <c r="H27" s="5"/>
      <c r="M27" s="9"/>
      <c r="N27" s="9"/>
      <c r="R27" s="595"/>
      <c r="S27" s="595"/>
      <c r="T27" s="595"/>
      <c r="U27" s="595"/>
      <c r="V27" s="595"/>
      <c r="W27" s="595"/>
    </row>
    <row r="28" spans="1:26" s="4" customFormat="1" ht="12.75" hidden="1" customHeight="1" outlineLevel="1">
      <c r="A28" s="91"/>
      <c r="B28" s="294" t="s">
        <v>1889</v>
      </c>
      <c r="C28" s="295"/>
      <c r="D28" s="1164"/>
      <c r="E28" s="1624"/>
      <c r="F28" s="296"/>
      <c r="G28" s="296"/>
      <c r="H28" s="296"/>
      <c r="I28" s="297"/>
      <c r="J28" s="7"/>
      <c r="K28" s="7"/>
      <c r="L28" s="2748" t="s">
        <v>366</v>
      </c>
      <c r="M28" s="2749"/>
      <c r="N28" s="2749"/>
      <c r="O28" s="2750"/>
      <c r="R28" s="2751" t="s">
        <v>441</v>
      </c>
      <c r="S28" s="2752"/>
      <c r="T28" s="2752"/>
      <c r="U28" s="2752"/>
      <c r="V28" s="2752"/>
      <c r="W28" s="2753"/>
    </row>
    <row r="29" spans="1:26" s="4" customFormat="1" ht="12.75" hidden="1" customHeight="1" outlineLevel="1">
      <c r="A29" s="91"/>
      <c r="B29" s="298"/>
      <c r="C29" s="299"/>
      <c r="D29" s="537" t="s">
        <v>308</v>
      </c>
      <c r="E29" s="1625"/>
      <c r="F29" s="299"/>
      <c r="G29" s="299"/>
      <c r="H29" s="299"/>
      <c r="I29" s="300"/>
      <c r="J29" s="7"/>
      <c r="K29" s="7"/>
      <c r="L29" s="298"/>
      <c r="M29" s="827"/>
      <c r="N29" s="827"/>
      <c r="O29" s="307"/>
      <c r="R29" s="596"/>
      <c r="S29" s="597"/>
      <c r="T29" s="597"/>
      <c r="U29" s="597"/>
      <c r="V29" s="598"/>
      <c r="W29" s="599"/>
      <c r="Y29" s="2616" t="s">
        <v>1648</v>
      </c>
      <c r="Z29" s="2618"/>
    </row>
    <row r="30" spans="1:26" s="4" customFormat="1" ht="12.75" hidden="1" customHeight="1" outlineLevel="1">
      <c r="A30" s="91"/>
      <c r="B30" s="298"/>
      <c r="C30" s="299"/>
      <c r="D30" s="1163" t="s">
        <v>409</v>
      </c>
      <c r="E30" s="1622"/>
      <c r="F30" s="147" t="s">
        <v>452</v>
      </c>
      <c r="G30" s="301" t="s">
        <v>1850</v>
      </c>
      <c r="H30" s="299" t="s">
        <v>1851</v>
      </c>
      <c r="I30" s="302" t="s">
        <v>444</v>
      </c>
      <c r="J30" s="7"/>
      <c r="K30" s="7"/>
      <c r="L30" s="1138" t="s">
        <v>316</v>
      </c>
      <c r="M30" s="2629" t="s">
        <v>316</v>
      </c>
      <c r="N30" s="2630"/>
      <c r="O30" s="302" t="s">
        <v>444</v>
      </c>
      <c r="R30" s="2754" t="s">
        <v>444</v>
      </c>
      <c r="S30" s="2755"/>
      <c r="T30" s="2755"/>
      <c r="U30" s="2755"/>
      <c r="V30" s="600" t="s">
        <v>444</v>
      </c>
      <c r="W30" s="601"/>
      <c r="Y30" s="1140" t="s">
        <v>1646</v>
      </c>
      <c r="Z30" s="1141" t="s">
        <v>1844</v>
      </c>
    </row>
    <row r="31" spans="1:26" s="4" customFormat="1" ht="12.75" hidden="1" customHeight="1" outlineLevel="1">
      <c r="A31" s="91"/>
      <c r="B31" s="298"/>
      <c r="C31" s="299"/>
      <c r="D31" s="1163" t="s">
        <v>444</v>
      </c>
      <c r="E31" s="1622"/>
      <c r="F31" s="149" t="s">
        <v>702</v>
      </c>
      <c r="G31" s="303" t="s">
        <v>561</v>
      </c>
      <c r="H31" s="299"/>
      <c r="I31" s="302"/>
      <c r="K31" s="7"/>
      <c r="L31" s="1138" t="s">
        <v>1649</v>
      </c>
      <c r="M31" s="2646" t="s">
        <v>1650</v>
      </c>
      <c r="N31" s="2647"/>
      <c r="O31" s="302"/>
      <c r="R31" s="602" t="s">
        <v>211</v>
      </c>
      <c r="S31" s="603" t="s">
        <v>442</v>
      </c>
      <c r="T31" s="603" t="s">
        <v>267</v>
      </c>
      <c r="U31" s="603" t="s">
        <v>443</v>
      </c>
      <c r="V31" s="604" t="s">
        <v>327</v>
      </c>
      <c r="W31" s="605" t="s">
        <v>636</v>
      </c>
      <c r="Y31" s="1062"/>
      <c r="Z31" s="1129"/>
    </row>
    <row r="32" spans="1:26" s="4" customFormat="1" ht="13.2" hidden="1" outlineLevel="1">
      <c r="A32" s="91"/>
      <c r="B32" s="304" t="s">
        <v>298</v>
      </c>
      <c r="C32" s="305"/>
      <c r="D32" s="315">
        <f>I32</f>
        <v>0</v>
      </c>
      <c r="E32" s="315"/>
      <c r="F32" s="843"/>
      <c r="G32" s="96"/>
      <c r="H32" s="1161">
        <f>'FE Hors Energie'!$O$92</f>
        <v>265</v>
      </c>
      <c r="I32" s="306">
        <f>G32*H32</f>
        <v>0</v>
      </c>
      <c r="L32" s="319">
        <f>IF(O32=0,O32,O32/I32)</f>
        <v>0</v>
      </c>
      <c r="M32" s="816"/>
      <c r="N32" s="820"/>
      <c r="O32" s="306">
        <f>SQRT(SUMSQ(IF(ISNA(I32*Z32),0,I32*Z32)))</f>
        <v>0</v>
      </c>
      <c r="R32" s="606">
        <v>0</v>
      </c>
      <c r="S32" s="607">
        <v>0</v>
      </c>
      <c r="T32" s="607">
        <f>I32</f>
        <v>0</v>
      </c>
      <c r="U32" s="607">
        <v>0</v>
      </c>
      <c r="V32" s="608">
        <f>I32</f>
        <v>0</v>
      </c>
      <c r="W32" s="609">
        <v>0</v>
      </c>
      <c r="Y32" s="1065">
        <f>IF($M32&lt;&gt;"votre valeur :",IF(ISNA(VLOOKUP($M32,Utilitaires!$N$566:$O$571,2,FALSE)),,VLOOKUP($M32,Utilitaires!$N$566:$O$571,2,FALSE)),$N32)</f>
        <v>0</v>
      </c>
      <c r="Z32" s="1130">
        <f>SQRT(SUMSQ(0.3,Y32))</f>
        <v>0.3</v>
      </c>
    </row>
    <row r="33" spans="1:26" s="4" customFormat="1" ht="13.2" hidden="1" outlineLevel="1">
      <c r="A33" s="91"/>
      <c r="B33" s="304"/>
      <c r="C33" s="305"/>
      <c r="D33" s="315"/>
      <c r="E33" s="315"/>
      <c r="F33" s="305"/>
      <c r="G33" s="299"/>
      <c r="H33" s="305"/>
      <c r="I33" s="307"/>
      <c r="L33" s="304"/>
      <c r="M33" s="828"/>
      <c r="N33" s="828"/>
      <c r="O33" s="306"/>
      <c r="R33" s="606"/>
      <c r="S33" s="607"/>
      <c r="T33" s="607"/>
      <c r="U33" s="607"/>
      <c r="V33" s="608"/>
      <c r="W33" s="610"/>
      <c r="Y33" s="1142"/>
      <c r="Z33" s="1143"/>
    </row>
    <row r="34" spans="1:26" s="4" customFormat="1" ht="13.2" hidden="1" outlineLevel="1">
      <c r="A34" s="91"/>
      <c r="B34" s="320" t="s">
        <v>348</v>
      </c>
      <c r="C34" s="321"/>
      <c r="D34" s="322">
        <f>SUM(D32:D33)</f>
        <v>0</v>
      </c>
      <c r="E34" s="322"/>
      <c r="F34" s="321"/>
      <c r="G34" s="323"/>
      <c r="H34" s="321"/>
      <c r="I34" s="324">
        <f>SUM(I32:I33)</f>
        <v>0</v>
      </c>
      <c r="L34" s="1202">
        <f>IF(O34=0,O34,O34/I34)</f>
        <v>0</v>
      </c>
      <c r="M34" s="829"/>
      <c r="N34" s="829"/>
      <c r="O34" s="324">
        <f>SQRT(SUMSQ(O32:O33))</f>
        <v>0</v>
      </c>
      <c r="R34" s="611">
        <f t="shared" ref="R34:W34" si="2">SUM(R32:R33)</f>
        <v>0</v>
      </c>
      <c r="S34" s="612">
        <f t="shared" si="2"/>
        <v>0</v>
      </c>
      <c r="T34" s="612">
        <f t="shared" si="2"/>
        <v>0</v>
      </c>
      <c r="U34" s="612">
        <f t="shared" si="2"/>
        <v>0</v>
      </c>
      <c r="V34" s="613">
        <f t="shared" si="2"/>
        <v>0</v>
      </c>
      <c r="W34" s="614">
        <f t="shared" si="2"/>
        <v>0</v>
      </c>
    </row>
    <row r="35" spans="1:26" s="4" customFormat="1" ht="13.2" hidden="1" outlineLevel="1">
      <c r="A35" s="91"/>
      <c r="E35" s="91"/>
      <c r="G35" s="7"/>
      <c r="M35" s="9"/>
      <c r="N35" s="9"/>
      <c r="P35" s="12"/>
      <c r="R35" s="595"/>
      <c r="S35" s="595"/>
      <c r="T35" s="595"/>
      <c r="U35" s="595"/>
      <c r="V35" s="595"/>
      <c r="W35" s="595"/>
    </row>
    <row r="36" spans="1:26" s="91" customFormat="1" ht="13.2">
      <c r="G36" s="1165"/>
      <c r="M36" s="9"/>
      <c r="N36" s="9"/>
      <c r="P36" s="97"/>
      <c r="R36" s="595"/>
      <c r="S36" s="595"/>
      <c r="T36" s="595"/>
      <c r="U36" s="595"/>
      <c r="V36" s="595"/>
      <c r="W36" s="595"/>
    </row>
    <row r="37" spans="1:26" s="4" customFormat="1" ht="15.6" collapsed="1">
      <c r="A37" s="91"/>
      <c r="B37" s="2652" t="s">
        <v>544</v>
      </c>
      <c r="C37" s="2653"/>
      <c r="D37" s="2653"/>
      <c r="E37" s="2653"/>
      <c r="F37" s="2653"/>
      <c r="G37" s="2653"/>
      <c r="H37" s="2653"/>
      <c r="I37" s="2653"/>
      <c r="J37" s="2653"/>
      <c r="K37" s="2653"/>
      <c r="L37" s="2653"/>
      <c r="M37" s="2653"/>
      <c r="N37" s="2653"/>
      <c r="O37" s="2653"/>
      <c r="P37" s="2654"/>
      <c r="R37" s="595"/>
      <c r="S37" s="595"/>
      <c r="T37" s="595"/>
      <c r="U37" s="595"/>
      <c r="V37" s="595"/>
      <c r="W37" s="595"/>
    </row>
    <row r="38" spans="1:26" s="4" customFormat="1" ht="13.2" hidden="1" outlineLevel="1">
      <c r="A38" s="91"/>
      <c r="E38" s="91"/>
      <c r="G38" s="7"/>
      <c r="M38" s="9"/>
      <c r="N38" s="9"/>
      <c r="R38" s="595"/>
      <c r="S38" s="595"/>
      <c r="T38" s="595"/>
      <c r="U38" s="595"/>
      <c r="V38" s="595"/>
      <c r="W38" s="595"/>
    </row>
    <row r="39" spans="1:26" s="4" customFormat="1" ht="12.75" hidden="1" customHeight="1" outlineLevel="1">
      <c r="A39" s="91"/>
      <c r="B39" s="294" t="s">
        <v>64</v>
      </c>
      <c r="C39" s="295"/>
      <c r="D39" s="284"/>
      <c r="E39" s="1624"/>
      <c r="F39" s="296"/>
      <c r="G39" s="296"/>
      <c r="H39" s="296"/>
      <c r="I39" s="297"/>
      <c r="J39" s="7"/>
      <c r="K39" s="7"/>
      <c r="L39" s="2748" t="s">
        <v>366</v>
      </c>
      <c r="M39" s="2749"/>
      <c r="N39" s="2749"/>
      <c r="O39" s="2750"/>
      <c r="R39" s="2751" t="s">
        <v>441</v>
      </c>
      <c r="S39" s="2752"/>
      <c r="T39" s="2752"/>
      <c r="U39" s="2752"/>
      <c r="V39" s="2752"/>
      <c r="W39" s="2753"/>
    </row>
    <row r="40" spans="1:26" s="4" customFormat="1" ht="12.75" hidden="1" customHeight="1" outlineLevel="1">
      <c r="A40" s="91"/>
      <c r="B40" s="298"/>
      <c r="C40" s="299"/>
      <c r="D40" s="286" t="s">
        <v>308</v>
      </c>
      <c r="E40" s="1625"/>
      <c r="F40" s="299"/>
      <c r="G40" s="299"/>
      <c r="H40" s="299"/>
      <c r="I40" s="300"/>
      <c r="J40" s="7"/>
      <c r="K40" s="7"/>
      <c r="L40" s="298"/>
      <c r="M40" s="827"/>
      <c r="N40" s="827"/>
      <c r="O40" s="307"/>
      <c r="R40" s="596"/>
      <c r="S40" s="597"/>
      <c r="T40" s="597"/>
      <c r="U40" s="597"/>
      <c r="V40" s="598"/>
      <c r="W40" s="599"/>
      <c r="Y40" s="2616" t="s">
        <v>1648</v>
      </c>
      <c r="Z40" s="2618"/>
    </row>
    <row r="41" spans="1:26" s="4" customFormat="1" ht="12.75" hidden="1" customHeight="1" outlineLevel="1">
      <c r="A41" s="91"/>
      <c r="B41" s="298"/>
      <c r="C41" s="299"/>
      <c r="D41" s="285" t="s">
        <v>409</v>
      </c>
      <c r="E41" s="1622"/>
      <c r="F41" s="147" t="s">
        <v>452</v>
      </c>
      <c r="G41" s="301" t="s">
        <v>1850</v>
      </c>
      <c r="H41" s="2626" t="s">
        <v>1971</v>
      </c>
      <c r="I41" s="302" t="s">
        <v>444</v>
      </c>
      <c r="K41" s="7"/>
      <c r="L41" s="1162" t="s">
        <v>316</v>
      </c>
      <c r="M41" s="2629" t="s">
        <v>316</v>
      </c>
      <c r="N41" s="2630"/>
      <c r="O41" s="302" t="s">
        <v>444</v>
      </c>
      <c r="R41" s="2754" t="s">
        <v>444</v>
      </c>
      <c r="S41" s="2755"/>
      <c r="T41" s="2755"/>
      <c r="U41" s="2755"/>
      <c r="V41" s="600" t="s">
        <v>444</v>
      </c>
      <c r="W41" s="601"/>
      <c r="Y41" s="1140" t="s">
        <v>1646</v>
      </c>
      <c r="Z41" s="1141" t="s">
        <v>1844</v>
      </c>
    </row>
    <row r="42" spans="1:26" s="4" customFormat="1" ht="12.75" hidden="1" customHeight="1" outlineLevel="1">
      <c r="A42" s="91"/>
      <c r="B42" s="298"/>
      <c r="C42" s="299"/>
      <c r="D42" s="285" t="s">
        <v>444</v>
      </c>
      <c r="E42" s="1622"/>
      <c r="F42" s="149" t="s">
        <v>702</v>
      </c>
      <c r="G42" s="303" t="s">
        <v>566</v>
      </c>
      <c r="H42" s="2626"/>
      <c r="I42" s="302"/>
      <c r="K42" s="7"/>
      <c r="L42" s="1162" t="s">
        <v>1649</v>
      </c>
      <c r="M42" s="2646" t="s">
        <v>1650</v>
      </c>
      <c r="N42" s="2647"/>
      <c r="O42" s="302"/>
      <c r="R42" s="602" t="s">
        <v>211</v>
      </c>
      <c r="S42" s="603" t="s">
        <v>442</v>
      </c>
      <c r="T42" s="603" t="s">
        <v>267</v>
      </c>
      <c r="U42" s="603" t="s">
        <v>443</v>
      </c>
      <c r="V42" s="604" t="s">
        <v>327</v>
      </c>
      <c r="W42" s="605" t="s">
        <v>636</v>
      </c>
      <c r="Y42" s="1062"/>
      <c r="Z42" s="1129"/>
    </row>
    <row r="43" spans="1:26" s="4" customFormat="1" ht="13.2" hidden="1" outlineLevel="1">
      <c r="A43" s="91"/>
      <c r="B43" s="304" t="s">
        <v>847</v>
      </c>
      <c r="C43" s="305"/>
      <c r="D43" s="315">
        <f>I43</f>
        <v>0</v>
      </c>
      <c r="E43" s="315"/>
      <c r="F43" s="117"/>
      <c r="G43" s="117"/>
      <c r="H43" s="317">
        <f>'FE Hors Energie'!$Q$91</f>
        <v>30</v>
      </c>
      <c r="I43" s="306">
        <f>G43*H43</f>
        <v>0</v>
      </c>
      <c r="L43" s="319">
        <f>IF(O43=0,O43,O43/I43)</f>
        <v>0</v>
      </c>
      <c r="M43" s="117"/>
      <c r="N43" s="820"/>
      <c r="O43" s="306">
        <f>SQRT(SUMSQ(IF(ISNA(I43*Z43),0,I43*Z43)))</f>
        <v>0</v>
      </c>
      <c r="P43" s="91"/>
      <c r="R43" s="606">
        <v>0</v>
      </c>
      <c r="S43" s="607">
        <f>I43</f>
        <v>0</v>
      </c>
      <c r="T43" s="607">
        <v>0</v>
      </c>
      <c r="U43" s="607">
        <v>0</v>
      </c>
      <c r="V43" s="608">
        <f>I43</f>
        <v>0</v>
      </c>
      <c r="W43" s="609">
        <v>0</v>
      </c>
      <c r="Y43" s="1065">
        <f>IF($M43&lt;&gt;"votre valeur :",IF(ISNA(VLOOKUP($M43,Utilitaires!$N$566:$O$571,2,FALSE)),,VLOOKUP($M43,Utilitaires!$N$566:$O$571,2,FALSE)),$N43)</f>
        <v>0</v>
      </c>
      <c r="Z43" s="1130">
        <f>SQRT(SUMSQ('FE Hors Energie'!M90,Y43))</f>
        <v>0.3</v>
      </c>
    </row>
    <row r="44" spans="1:26" s="91" customFormat="1" ht="13.2" hidden="1" outlineLevel="1">
      <c r="B44" s="304" t="s">
        <v>848</v>
      </c>
      <c r="C44" s="305"/>
      <c r="D44" s="315">
        <f>I44</f>
        <v>0</v>
      </c>
      <c r="E44" s="315"/>
      <c r="F44" s="123"/>
      <c r="G44" s="123"/>
      <c r="H44" s="317">
        <f>'FE Hors Energie'!$R$90</f>
        <v>28</v>
      </c>
      <c r="I44" s="306">
        <f>G44*H44</f>
        <v>0</v>
      </c>
      <c r="L44" s="319">
        <f>IF(O44=0,O44,O44/I44)</f>
        <v>0</v>
      </c>
      <c r="M44" s="123"/>
      <c r="N44" s="820"/>
      <c r="O44" s="306">
        <f>SQRT(SUMSQ(IF(ISNA(I44*Z44),0,I44*Z44)))</f>
        <v>0</v>
      </c>
      <c r="R44" s="606">
        <v>0</v>
      </c>
      <c r="S44" s="607">
        <f>I44</f>
        <v>0</v>
      </c>
      <c r="T44" s="607">
        <v>0</v>
      </c>
      <c r="U44" s="607">
        <v>0</v>
      </c>
      <c r="V44" s="608">
        <f>I44</f>
        <v>0</v>
      </c>
      <c r="W44" s="609">
        <v>0</v>
      </c>
      <c r="Y44" s="1065">
        <f>IF($M44&lt;&gt;"votre valeur :",IF(ISNA(VLOOKUP($M44,Utilitaires!$N$566:$O$571,2,FALSE)),,VLOOKUP($M44,Utilitaires!$N$566:$O$571,2,FALSE)),$N44)</f>
        <v>0</v>
      </c>
      <c r="Z44" s="1130">
        <f>SQRT(SUMSQ('FE Hors Energie'!M91,Y44))</f>
        <v>0.3</v>
      </c>
    </row>
    <row r="45" spans="1:26" s="4" customFormat="1" ht="13.2" hidden="1" outlineLevel="1">
      <c r="A45" s="91"/>
      <c r="B45" s="304"/>
      <c r="C45" s="305"/>
      <c r="D45" s="316"/>
      <c r="E45" s="316"/>
      <c r="F45" s="305"/>
      <c r="G45" s="299"/>
      <c r="H45" s="305"/>
      <c r="I45" s="307"/>
      <c r="L45" s="304"/>
      <c r="M45" s="828"/>
      <c r="N45" s="828"/>
      <c r="O45" s="306"/>
      <c r="R45" s="606"/>
      <c r="S45" s="607"/>
      <c r="T45" s="607"/>
      <c r="U45" s="607"/>
      <c r="V45" s="608"/>
      <c r="W45" s="610"/>
      <c r="Y45" s="1087"/>
      <c r="Z45" s="1153"/>
    </row>
    <row r="46" spans="1:26" s="4" customFormat="1" ht="13.2" hidden="1" outlineLevel="1">
      <c r="A46" s="91"/>
      <c r="B46" s="320" t="s">
        <v>348</v>
      </c>
      <c r="C46" s="321"/>
      <c r="D46" s="322">
        <f>SUM(D43:D45)</f>
        <v>0</v>
      </c>
      <c r="E46" s="322"/>
      <c r="F46" s="321"/>
      <c r="G46" s="323"/>
      <c r="H46" s="321"/>
      <c r="I46" s="324">
        <f>SUM(I43:I45)</f>
        <v>0</v>
      </c>
      <c r="L46" s="1202">
        <f>IF(O46=0,O46,O46/I46)</f>
        <v>0</v>
      </c>
      <c r="M46" s="829"/>
      <c r="N46" s="829"/>
      <c r="O46" s="324">
        <f>SQRT(SUMSQ(O43:O45))</f>
        <v>0</v>
      </c>
      <c r="R46" s="611">
        <f t="shared" ref="R46:W46" si="3">SUM(R43:R45)</f>
        <v>0</v>
      </c>
      <c r="S46" s="612">
        <f t="shared" si="3"/>
        <v>0</v>
      </c>
      <c r="T46" s="612">
        <f t="shared" si="3"/>
        <v>0</v>
      </c>
      <c r="U46" s="612">
        <f t="shared" si="3"/>
        <v>0</v>
      </c>
      <c r="V46" s="613">
        <f t="shared" si="3"/>
        <v>0</v>
      </c>
      <c r="W46" s="614">
        <f t="shared" si="3"/>
        <v>0</v>
      </c>
    </row>
    <row r="47" spans="1:26" s="4" customFormat="1" ht="13.2" hidden="1" outlineLevel="1">
      <c r="A47" s="91"/>
      <c r="B47" s="5"/>
      <c r="C47" s="5"/>
      <c r="D47" s="5"/>
      <c r="E47" s="92"/>
      <c r="F47" s="5"/>
      <c r="G47" s="36"/>
      <c r="H47" s="5"/>
      <c r="M47" s="9"/>
      <c r="N47" s="9"/>
      <c r="R47" s="615"/>
      <c r="S47" s="615"/>
      <c r="T47" s="615"/>
      <c r="U47" s="615"/>
      <c r="V47" s="616"/>
      <c r="W47" s="615"/>
    </row>
    <row r="48" spans="1:26" s="4" customFormat="1" ht="13.2">
      <c r="A48" s="91"/>
      <c r="B48" s="5"/>
      <c r="C48" s="5"/>
      <c r="D48" s="5"/>
      <c r="E48" s="5"/>
      <c r="F48" s="5"/>
      <c r="G48" s="36"/>
      <c r="H48" s="5"/>
      <c r="M48" s="9"/>
      <c r="N48" s="9"/>
      <c r="R48" s="615"/>
      <c r="S48" s="615"/>
      <c r="T48" s="615"/>
      <c r="U48" s="615"/>
      <c r="V48" s="616"/>
      <c r="W48" s="615"/>
    </row>
    <row r="49" spans="1:26" s="4" customFormat="1" ht="15.6">
      <c r="A49" s="91"/>
      <c r="B49" s="2652" t="s">
        <v>41</v>
      </c>
      <c r="C49" s="2653"/>
      <c r="D49" s="2653"/>
      <c r="E49" s="2653"/>
      <c r="F49" s="2653"/>
      <c r="G49" s="2653"/>
      <c r="H49" s="2653"/>
      <c r="I49" s="2653"/>
      <c r="J49" s="2653"/>
      <c r="K49" s="2653"/>
      <c r="L49" s="2653"/>
      <c r="M49" s="2653"/>
      <c r="N49" s="2653"/>
      <c r="O49" s="2653"/>
      <c r="P49" s="2654"/>
      <c r="R49" s="595"/>
      <c r="S49" s="595"/>
      <c r="T49" s="595"/>
      <c r="U49" s="595"/>
      <c r="V49" s="595"/>
      <c r="W49" s="595"/>
    </row>
    <row r="50" spans="1:26" s="4" customFormat="1" ht="13.2" outlineLevel="1">
      <c r="A50" s="91"/>
      <c r="B50" s="16"/>
      <c r="C50" s="16"/>
      <c r="E50" s="91"/>
      <c r="G50" s="35"/>
      <c r="J50" s="1"/>
      <c r="M50" s="9"/>
      <c r="N50" s="9"/>
      <c r="R50" s="595"/>
      <c r="S50" s="595"/>
      <c r="T50" s="595"/>
      <c r="U50" s="595"/>
      <c r="V50" s="595"/>
      <c r="W50" s="595"/>
    </row>
    <row r="51" spans="1:26" s="4" customFormat="1" ht="12.75" customHeight="1" outlineLevel="1">
      <c r="A51" s="91"/>
      <c r="B51" s="294" t="s">
        <v>587</v>
      </c>
      <c r="C51" s="295"/>
      <c r="D51" s="284"/>
      <c r="E51" s="1624"/>
      <c r="F51" s="296"/>
      <c r="G51" s="296"/>
      <c r="H51" s="296"/>
      <c r="I51" s="297"/>
      <c r="K51" s="7"/>
      <c r="L51" s="2748" t="s">
        <v>366</v>
      </c>
      <c r="M51" s="2749"/>
      <c r="N51" s="2749"/>
      <c r="O51" s="2750"/>
      <c r="P51" s="7"/>
      <c r="R51" s="2751" t="s">
        <v>441</v>
      </c>
      <c r="S51" s="2752"/>
      <c r="T51" s="2752"/>
      <c r="U51" s="2752"/>
      <c r="V51" s="2752"/>
      <c r="W51" s="2753"/>
    </row>
    <row r="52" spans="1:26" s="4" customFormat="1" ht="12.75" customHeight="1" outlineLevel="1">
      <c r="A52" s="91"/>
      <c r="B52" s="298"/>
      <c r="C52" s="299"/>
      <c r="D52" s="286" t="s">
        <v>308</v>
      </c>
      <c r="E52" s="1625"/>
      <c r="F52" s="299"/>
      <c r="G52" s="299"/>
      <c r="H52" s="299"/>
      <c r="I52" s="300"/>
      <c r="K52" s="7"/>
      <c r="L52" s="298"/>
      <c r="M52" s="827"/>
      <c r="N52" s="827"/>
      <c r="O52" s="307"/>
      <c r="P52" s="7"/>
      <c r="R52" s="596"/>
      <c r="S52" s="597"/>
      <c r="T52" s="597"/>
      <c r="U52" s="597"/>
      <c r="V52" s="598"/>
      <c r="W52" s="599"/>
      <c r="Y52" s="2616" t="s">
        <v>1648</v>
      </c>
      <c r="Z52" s="2618"/>
    </row>
    <row r="53" spans="1:26" s="4" customFormat="1" ht="12.75" customHeight="1" outlineLevel="1">
      <c r="A53" s="91"/>
      <c r="B53" s="298"/>
      <c r="C53" s="299"/>
      <c r="D53" s="285" t="s">
        <v>409</v>
      </c>
      <c r="E53" s="1622"/>
      <c r="F53" s="147" t="s">
        <v>452</v>
      </c>
      <c r="G53" s="147" t="s">
        <v>1849</v>
      </c>
      <c r="H53" s="2626" t="s">
        <v>1572</v>
      </c>
      <c r="I53" s="302" t="s">
        <v>444</v>
      </c>
      <c r="K53" s="7"/>
      <c r="L53" s="1166" t="s">
        <v>316</v>
      </c>
      <c r="M53" s="2629" t="s">
        <v>316</v>
      </c>
      <c r="N53" s="2630"/>
      <c r="O53" s="302" t="s">
        <v>444</v>
      </c>
      <c r="P53" s="7"/>
      <c r="R53" s="2754" t="s">
        <v>444</v>
      </c>
      <c r="S53" s="2755"/>
      <c r="T53" s="2755"/>
      <c r="U53" s="2755"/>
      <c r="V53" s="600" t="s">
        <v>444</v>
      </c>
      <c r="W53" s="601"/>
      <c r="Y53" s="1140" t="s">
        <v>1646</v>
      </c>
      <c r="Z53" s="1141" t="s">
        <v>1844</v>
      </c>
    </row>
    <row r="54" spans="1:26" s="4" customFormat="1" ht="12.75" customHeight="1" outlineLevel="1">
      <c r="A54" s="91"/>
      <c r="B54" s="298"/>
      <c r="C54" s="299"/>
      <c r="D54" s="285" t="s">
        <v>444</v>
      </c>
      <c r="E54" s="1622"/>
      <c r="F54" s="149" t="s">
        <v>702</v>
      </c>
      <c r="G54" s="149" t="s">
        <v>1848</v>
      </c>
      <c r="H54" s="2626"/>
      <c r="I54" s="302"/>
      <c r="K54" s="7"/>
      <c r="L54" s="1166" t="s">
        <v>1649</v>
      </c>
      <c r="M54" s="2646" t="s">
        <v>1650</v>
      </c>
      <c r="N54" s="2647"/>
      <c r="O54" s="302"/>
      <c r="R54" s="602" t="s">
        <v>211</v>
      </c>
      <c r="S54" s="603" t="s">
        <v>442</v>
      </c>
      <c r="T54" s="603" t="s">
        <v>267</v>
      </c>
      <c r="U54" s="603" t="s">
        <v>443</v>
      </c>
      <c r="V54" s="604" t="s">
        <v>327</v>
      </c>
      <c r="W54" s="605" t="s">
        <v>636</v>
      </c>
      <c r="Y54" s="1062"/>
      <c r="Z54" s="1129"/>
    </row>
    <row r="55" spans="1:26" s="4" customFormat="1" ht="13.2" outlineLevel="1">
      <c r="A55" s="91"/>
      <c r="B55" s="304" t="s">
        <v>5223</v>
      </c>
      <c r="C55" s="305"/>
      <c r="D55" s="315">
        <f>I55</f>
        <v>486</v>
      </c>
      <c r="E55" s="315"/>
      <c r="F55" s="117" t="s">
        <v>705</v>
      </c>
      <c r="G55" s="117">
        <v>0.3</v>
      </c>
      <c r="H55" s="317">
        <f>VLOOKUP($B55&amp;"; "&amp;$H$53,'FE Hors Energie'!$G:$U,9,FALSE)</f>
        <v>1620</v>
      </c>
      <c r="I55" s="306">
        <f>G55*H55</f>
        <v>486</v>
      </c>
      <c r="L55" s="319">
        <f>IF(O55=0,O55,O55/I55)</f>
        <v>0.58309518948452999</v>
      </c>
      <c r="M55" s="117" t="s">
        <v>1970</v>
      </c>
      <c r="N55" s="820"/>
      <c r="O55" s="306">
        <f>SQRT(SUMSQ(IF(ISNA(I55*Z55),0,I55*Z55)))</f>
        <v>283.38426208948158</v>
      </c>
      <c r="P55" s="5"/>
      <c r="R55" s="606">
        <v>0</v>
      </c>
      <c r="S55" s="607">
        <v>0</v>
      </c>
      <c r="T55" s="607">
        <v>0</v>
      </c>
      <c r="U55" s="607">
        <f>I55</f>
        <v>486</v>
      </c>
      <c r="V55" s="608">
        <f>I55</f>
        <v>486</v>
      </c>
      <c r="W55" s="609">
        <v>0</v>
      </c>
      <c r="Y55" s="1065">
        <f>IF($M55&lt;&gt;"votre valeur :",IF(ISNA(VLOOKUP($M55,Utilitaires!$N$566:$O$571,2,FALSE)),,VLOOKUP($M55,Utilitaires!$N$566:$O$571,2,FALSE)),$N55)</f>
        <v>0.5</v>
      </c>
      <c r="Z55" s="1130">
        <f>IF(ISNA(SQRT(SUMSQ(VLOOKUP($B55&amp;"; "&amp;$H$53,'FE Hors Energie'!$G:$U,7,FALSE),$Y55))),0,SQRT(SUMSQ(VLOOKUP($B55&amp;"; "&amp;$H$53,'FE Hors Energie'!$G:$U,7,FALSE),$Y55)))</f>
        <v>0.58309518948452999</v>
      </c>
    </row>
    <row r="56" spans="1:26" s="4" customFormat="1" ht="13.2" outlineLevel="1">
      <c r="A56" s="91"/>
      <c r="B56" s="304" t="s">
        <v>1981</v>
      </c>
      <c r="C56" s="305"/>
      <c r="D56" s="315">
        <f>I56</f>
        <v>0</v>
      </c>
      <c r="E56" s="315"/>
      <c r="F56" s="120"/>
      <c r="G56" s="120"/>
      <c r="H56" s="317">
        <f>VLOOKUP($B56&amp;"; "&amp;$H$53,'FE Hors Energie'!$G:$U,9,FALSE)</f>
        <v>23500</v>
      </c>
      <c r="I56" s="306">
        <f t="shared" ref="I56:I57" si="4">G56*H56</f>
        <v>0</v>
      </c>
      <c r="L56" s="319">
        <f>IF(O56=0,O56,O56/I56)</f>
        <v>0</v>
      </c>
      <c r="M56" s="120"/>
      <c r="N56" s="820"/>
      <c r="O56" s="306">
        <f>SQRT(SUMSQ(IF(ISNA(I56*Z56),0,I56*Z56)))</f>
        <v>0</v>
      </c>
      <c r="P56" s="5"/>
      <c r="R56" s="606">
        <v>0</v>
      </c>
      <c r="S56" s="607">
        <v>0</v>
      </c>
      <c r="T56" s="607">
        <v>0</v>
      </c>
      <c r="U56" s="607">
        <f>I56</f>
        <v>0</v>
      </c>
      <c r="V56" s="608">
        <f>I56</f>
        <v>0</v>
      </c>
      <c r="W56" s="609">
        <v>0</v>
      </c>
      <c r="Y56" s="1065">
        <f>IF($M56&lt;&gt;"votre valeur :",IF(ISNA(VLOOKUP($M56,Utilitaires!$N$566:$O$571,2,FALSE)),,VLOOKUP($M56,Utilitaires!$N$566:$O$571,2,FALSE)),$N56)</f>
        <v>0</v>
      </c>
      <c r="Z56" s="1130">
        <f>IF(ISNA(SQRT(SUMSQ(VLOOKUP($B56&amp;"; "&amp;$H$53,'FE Hors Energie'!$G:$U,7,FALSE),$Y56))),0,SQRT(SUMSQ(VLOOKUP($B56&amp;"; "&amp;$H$53,'FE Hors Energie'!$G:$U,7,FALSE),$Y56)))</f>
        <v>0.3</v>
      </c>
    </row>
    <row r="57" spans="1:26" s="4" customFormat="1" ht="13.2" outlineLevel="1">
      <c r="A57" s="91"/>
      <c r="B57" s="304" t="s">
        <v>1975</v>
      </c>
      <c r="C57" s="305"/>
      <c r="D57" s="315">
        <f>I57</f>
        <v>0</v>
      </c>
      <c r="E57" s="315"/>
      <c r="F57" s="123"/>
      <c r="G57" s="123"/>
      <c r="H57" s="317">
        <f>VLOOKUP($B57&amp;"; "&amp;$H$53,'FE Hors Energie'!$G:$U,9,FALSE)</f>
        <v>3170</v>
      </c>
      <c r="I57" s="306">
        <f t="shared" si="4"/>
        <v>0</v>
      </c>
      <c r="L57" s="319">
        <f>IF(O57=0,O57,O57/I57)</f>
        <v>0</v>
      </c>
      <c r="M57" s="123"/>
      <c r="N57" s="820"/>
      <c r="O57" s="306">
        <f>SQRT(SUMSQ(IF(ISNA(I57*Z57),0,I57*Z57)))</f>
        <v>0</v>
      </c>
      <c r="R57" s="606">
        <v>0</v>
      </c>
      <c r="S57" s="607">
        <v>0</v>
      </c>
      <c r="T57" s="607">
        <v>0</v>
      </c>
      <c r="U57" s="607">
        <f>I57</f>
        <v>0</v>
      </c>
      <c r="V57" s="608">
        <f>I57</f>
        <v>0</v>
      </c>
      <c r="W57" s="609">
        <v>0</v>
      </c>
      <c r="Y57" s="1065">
        <f>IF($M57&lt;&gt;"votre valeur :",IF(ISNA(VLOOKUP($M57,Utilitaires!$N$566:$O$571,2,FALSE)),,VLOOKUP($M57,Utilitaires!$N$566:$O$571,2,FALSE)),$N57)</f>
        <v>0</v>
      </c>
      <c r="Z57" s="1130">
        <f>IF(ISNA(SQRT(SUMSQ(VLOOKUP($B57&amp;"; "&amp;$H$53,'FE Hors Energie'!$G:$U,7,FALSE),$Y57))),0,SQRT(SUMSQ(VLOOKUP($B57&amp;"; "&amp;$H$53,'FE Hors Energie'!$G:$U,7,FALSE),$Y57)))</f>
        <v>0.3</v>
      </c>
    </row>
    <row r="58" spans="1:26" s="4" customFormat="1" ht="13.2" outlineLevel="1">
      <c r="A58" s="91"/>
      <c r="B58" s="304"/>
      <c r="C58" s="305"/>
      <c r="D58" s="316"/>
      <c r="E58" s="316"/>
      <c r="F58" s="305"/>
      <c r="G58" s="299"/>
      <c r="H58" s="305"/>
      <c r="I58" s="307"/>
      <c r="L58" s="304"/>
      <c r="M58" s="828"/>
      <c r="N58" s="828"/>
      <c r="O58" s="306"/>
      <c r="R58" s="606"/>
      <c r="S58" s="607"/>
      <c r="T58" s="607"/>
      <c r="U58" s="607"/>
      <c r="V58" s="608"/>
      <c r="W58" s="610"/>
      <c r="Y58" s="1087"/>
      <c r="Z58" s="1153"/>
    </row>
    <row r="59" spans="1:26" s="4" customFormat="1" ht="13.2" outlineLevel="1">
      <c r="A59" s="91"/>
      <c r="B59" s="320" t="s">
        <v>348</v>
      </c>
      <c r="C59" s="321"/>
      <c r="D59" s="322">
        <f>SUM(D55:D58)</f>
        <v>486</v>
      </c>
      <c r="E59" s="322"/>
      <c r="F59" s="321"/>
      <c r="G59" s="323"/>
      <c r="H59" s="321"/>
      <c r="I59" s="324">
        <f>SUM(I55:I58)</f>
        <v>486</v>
      </c>
      <c r="L59" s="1202">
        <f>IF(O59=0,O59,O59/I59)</f>
        <v>0.58309518948452999</v>
      </c>
      <c r="M59" s="829"/>
      <c r="N59" s="829"/>
      <c r="O59" s="324">
        <f>SQRT(SUMSQ(O55:O58))</f>
        <v>283.38426208948158</v>
      </c>
      <c r="R59" s="611">
        <f t="shared" ref="R59:W59" si="5">SUM(R55:R58)</f>
        <v>0</v>
      </c>
      <c r="S59" s="612">
        <f t="shared" si="5"/>
        <v>0</v>
      </c>
      <c r="T59" s="612">
        <f t="shared" si="5"/>
        <v>0</v>
      </c>
      <c r="U59" s="612">
        <f t="shared" si="5"/>
        <v>486</v>
      </c>
      <c r="V59" s="613">
        <f t="shared" si="5"/>
        <v>486</v>
      </c>
      <c r="W59" s="614">
        <f t="shared" si="5"/>
        <v>0</v>
      </c>
    </row>
    <row r="60" spans="1:26" s="4" customFormat="1" ht="13.2" outlineLevel="1">
      <c r="A60" s="91"/>
      <c r="E60" s="91"/>
      <c r="G60" s="7"/>
      <c r="M60" s="9"/>
      <c r="N60" s="9"/>
      <c r="R60" s="595"/>
      <c r="S60" s="595"/>
      <c r="T60" s="595"/>
      <c r="U60" s="595"/>
      <c r="V60" s="595"/>
      <c r="W60" s="595"/>
    </row>
    <row r="61" spans="1:26" s="4" customFormat="1" ht="13.2">
      <c r="A61" s="91"/>
      <c r="B61" s="5"/>
      <c r="C61" s="5"/>
      <c r="D61" s="5"/>
      <c r="E61" s="92"/>
      <c r="F61" s="5"/>
      <c r="G61" s="36"/>
      <c r="H61" s="5"/>
      <c r="M61" s="9"/>
      <c r="N61" s="9"/>
      <c r="R61" s="595"/>
      <c r="S61" s="595"/>
      <c r="T61" s="595"/>
      <c r="U61" s="595"/>
      <c r="V61" s="595"/>
      <c r="W61" s="595"/>
    </row>
    <row r="62" spans="1:26" s="91" customFormat="1" ht="15.6" collapsed="1">
      <c r="B62" s="2652" t="s">
        <v>1888</v>
      </c>
      <c r="C62" s="2653"/>
      <c r="D62" s="2653"/>
      <c r="E62" s="2653"/>
      <c r="F62" s="2653"/>
      <c r="G62" s="2653"/>
      <c r="H62" s="2653"/>
      <c r="I62" s="2653"/>
      <c r="J62" s="2653"/>
      <c r="K62" s="2653"/>
      <c r="L62" s="2653"/>
      <c r="M62" s="2653"/>
      <c r="N62" s="2653"/>
      <c r="O62" s="2653"/>
      <c r="P62" s="2654"/>
      <c r="R62" s="595"/>
      <c r="S62" s="595"/>
      <c r="T62" s="595"/>
      <c r="U62" s="595"/>
      <c r="V62" s="595"/>
      <c r="W62" s="595"/>
    </row>
    <row r="63" spans="1:26" s="91" customFormat="1" ht="13.2" hidden="1" outlineLevel="1">
      <c r="G63" s="1139"/>
      <c r="M63" s="9"/>
      <c r="N63" s="9"/>
      <c r="P63" s="97"/>
      <c r="R63" s="595"/>
      <c r="S63" s="595"/>
      <c r="T63" s="595"/>
      <c r="U63" s="595"/>
      <c r="V63" s="595"/>
      <c r="W63" s="595"/>
    </row>
    <row r="64" spans="1:26" s="4" customFormat="1" ht="12.75" hidden="1" customHeight="1" outlineLevel="1">
      <c r="A64" s="91"/>
      <c r="B64" s="294" t="s">
        <v>1898</v>
      </c>
      <c r="C64" s="295"/>
      <c r="D64" s="1164"/>
      <c r="E64" s="1624"/>
      <c r="F64" s="296"/>
      <c r="G64" s="296"/>
      <c r="H64" s="295"/>
      <c r="I64" s="297"/>
      <c r="L64" s="2748" t="s">
        <v>366</v>
      </c>
      <c r="M64" s="2749"/>
      <c r="N64" s="2749"/>
      <c r="O64" s="2750"/>
      <c r="R64" s="2751" t="s">
        <v>441</v>
      </c>
      <c r="S64" s="2752"/>
      <c r="T64" s="2752"/>
      <c r="U64" s="2752"/>
      <c r="V64" s="2752"/>
      <c r="W64" s="2753"/>
    </row>
    <row r="65" spans="1:26" s="4" customFormat="1" ht="12.75" hidden="1" customHeight="1" outlineLevel="1">
      <c r="A65" s="91"/>
      <c r="B65" s="298"/>
      <c r="C65" s="299"/>
      <c r="D65" s="537" t="s">
        <v>308</v>
      </c>
      <c r="E65" s="1625"/>
      <c r="F65" s="299"/>
      <c r="G65" s="299"/>
      <c r="H65" s="299"/>
      <c r="I65" s="300"/>
      <c r="J65" s="8"/>
      <c r="L65" s="298"/>
      <c r="M65" s="827"/>
      <c r="N65" s="827"/>
      <c r="O65" s="307"/>
      <c r="R65" s="596"/>
      <c r="S65" s="597"/>
      <c r="T65" s="597"/>
      <c r="U65" s="597"/>
      <c r="V65" s="598"/>
      <c r="W65" s="599"/>
      <c r="Y65" s="2616" t="s">
        <v>1648</v>
      </c>
      <c r="Z65" s="2618"/>
    </row>
    <row r="66" spans="1:26" s="4" customFormat="1" ht="12.75" hidden="1" customHeight="1" outlineLevel="1">
      <c r="A66" s="91"/>
      <c r="B66" s="298"/>
      <c r="C66" s="299"/>
      <c r="D66" s="1163" t="s">
        <v>409</v>
      </c>
      <c r="E66" s="1622"/>
      <c r="F66" s="147" t="s">
        <v>452</v>
      </c>
      <c r="G66" s="301" t="s">
        <v>368</v>
      </c>
      <c r="H66" s="299" t="s">
        <v>1852</v>
      </c>
      <c r="I66" s="302" t="s">
        <v>444</v>
      </c>
      <c r="J66" s="8"/>
      <c r="L66" s="1162" t="s">
        <v>316</v>
      </c>
      <c r="M66" s="2629" t="s">
        <v>316</v>
      </c>
      <c r="N66" s="2630"/>
      <c r="O66" s="302" t="s">
        <v>444</v>
      </c>
      <c r="R66" s="2754" t="s">
        <v>444</v>
      </c>
      <c r="S66" s="2755"/>
      <c r="T66" s="2755"/>
      <c r="U66" s="2755"/>
      <c r="V66" s="600" t="s">
        <v>444</v>
      </c>
      <c r="W66" s="601"/>
      <c r="Y66" s="1140" t="s">
        <v>1646</v>
      </c>
      <c r="Z66" s="1141" t="s">
        <v>1844</v>
      </c>
    </row>
    <row r="67" spans="1:26" s="4" customFormat="1" ht="12.75" hidden="1" customHeight="1" outlineLevel="1">
      <c r="A67" s="91"/>
      <c r="B67" s="298"/>
      <c r="C67" s="299"/>
      <c r="D67" s="1163" t="s">
        <v>444</v>
      </c>
      <c r="E67" s="1622"/>
      <c r="F67" s="149" t="s">
        <v>702</v>
      </c>
      <c r="G67" s="303" t="s">
        <v>234</v>
      </c>
      <c r="H67" s="299"/>
      <c r="I67" s="302"/>
      <c r="L67" s="1162" t="s">
        <v>1649</v>
      </c>
      <c r="M67" s="2646" t="s">
        <v>1650</v>
      </c>
      <c r="N67" s="2647"/>
      <c r="O67" s="302"/>
      <c r="R67" s="602" t="s">
        <v>211</v>
      </c>
      <c r="S67" s="603" t="s">
        <v>442</v>
      </c>
      <c r="T67" s="603" t="s">
        <v>267</v>
      </c>
      <c r="U67" s="603" t="s">
        <v>443</v>
      </c>
      <c r="V67" s="604" t="s">
        <v>327</v>
      </c>
      <c r="W67" s="605" t="s">
        <v>636</v>
      </c>
      <c r="Y67" s="1062"/>
      <c r="Z67" s="1129"/>
    </row>
    <row r="68" spans="1:26" s="4" customFormat="1" ht="13.2" hidden="1" outlineLevel="1">
      <c r="A68" s="91"/>
      <c r="B68" s="304" t="s">
        <v>1882</v>
      </c>
      <c r="C68" s="305"/>
      <c r="D68" s="315">
        <f t="shared" ref="D68:D73" si="6">I68</f>
        <v>0</v>
      </c>
      <c r="E68" s="315"/>
      <c r="F68" s="117"/>
      <c r="G68" s="117"/>
      <c r="H68" s="318">
        <f>VLOOKUP($B68&amp;"; "&amp;$H$66&amp;", digestion et déjections",'FE Hors Energie'!$G:$U,9,FALSE)+VLOOKUP($B68&amp;"; "&amp;$H$66&amp;", alimentation",'FE Hors Energie'!$G:$U,9,FALSE)</f>
        <v>99.305113588000012</v>
      </c>
      <c r="I68" s="306">
        <f t="shared" ref="I68:I73" si="7">H68*G68</f>
        <v>0</v>
      </c>
      <c r="L68" s="319">
        <f t="shared" ref="L68:L73" si="8">IF(O68=0,O68,O68/I68)</f>
        <v>0</v>
      </c>
      <c r="M68" s="117"/>
      <c r="N68" s="820"/>
      <c r="O68" s="306">
        <f t="shared" ref="O68:O73" si="9">SQRT(SUMSQ(IF(ISNA(I68*Z68),0,I68*Z68)))</f>
        <v>0</v>
      </c>
      <c r="R68" s="606">
        <f>$G68*IF(ISNA(VLOOKUP($B68&amp;"; "&amp;$H$66&amp;", digestion et déjections",'FE Hors Energie'!$G:$U,10,FALSE)+VLOOKUP($B68&amp;"; "&amp;$H$66&amp;", alimentation",'FE Hors Energie'!$G:$U,10,FALSE)),0,VLOOKUP($B68&amp;"; "&amp;$H$66&amp;", digestion et déjections",'FE Hors Energie'!$G:$U,10,FALSE)+VLOOKUP($B68&amp;"; "&amp;$H$66&amp;", alimentation",'FE Hors Energie'!$G:$U,10,FALSE))</f>
        <v>0</v>
      </c>
      <c r="S68" s="607">
        <f>$G68*IF(ISNA(VLOOKUP($B68&amp;"; "&amp;$H$66&amp;", digestion et déjections",'FE Hors Energie'!$G:$U,12,FALSE)+VLOOKUP($B68&amp;"; "&amp;$H$66&amp;", alimentation",'FE Hors Energie'!$G:$U,12,FALSE)),0,VLOOKUP($B68&amp;"; "&amp;$H$66&amp;", digestion et déjections",'FE Hors Energie'!$G:$U,12,FALSE)+VLOOKUP($B68&amp;"; "&amp;$H$66&amp;", alimentation",'FE Hors Energie'!$G:$U,12,FALSE))</f>
        <v>0</v>
      </c>
      <c r="T68" s="607">
        <f>$G68*IF(ISNA(VLOOKUP($B68&amp;"; "&amp;$H$66&amp;", digestion et déjections",'FE Hors Energie'!$G:$U,13,FALSE)+VLOOKUP($B68&amp;"; "&amp;$H$66&amp;", alimentation",'FE Hors Energie'!$G:$U,13,FALSE)),0,VLOOKUP($B68&amp;"; "&amp;$H$66&amp;", digestion et déjections",'FE Hors Energie'!$G:$U,13,FALSE)+VLOOKUP($B68&amp;"; "&amp;$H$66&amp;", alimentation",'FE Hors Energie'!$G:$U,13,FALSE))</f>
        <v>0</v>
      </c>
      <c r="U68" s="607">
        <f>$G68*IF(ISNA(VLOOKUP($B68&amp;"; "&amp;$H$66&amp;", digestion et déjections",'FE Hors Energie'!$G:$U,14,FALSE)+VLOOKUP($B68&amp;"; "&amp;$H$66&amp;", alimentation",'FE Hors Energie'!$G:$U,14,FALSE)),0,VLOOKUP($B68&amp;"; "&amp;$H$66&amp;", digestion et déjections",'FE Hors Energie'!$G:$U,14,FALSE)+VLOOKUP($B68&amp;"; "&amp;$H$66&amp;", alimentation",'FE Hors Energie'!$G:$U,14,FALSE))</f>
        <v>0</v>
      </c>
      <c r="V68" s="608">
        <f t="shared" ref="V68:V73" si="10">SUM(R68:U68)</f>
        <v>0</v>
      </c>
      <c r="W68" s="609">
        <f>$G68*IF(ISNA(VLOOKUP($B68&amp;"; "&amp;$H$66&amp;", digestion et déjections",'FE Hors Energie'!$G:$U,15,FALSE)+VLOOKUP($B68&amp;"; "&amp;$H$66&amp;", alimentation",'FE Hors Energie'!$G:$U,15,FALSE)),0,VLOOKUP($B68&amp;"; "&amp;$H$66&amp;", digestion et déjections",'FE Hors Energie'!$G:$U,15,FALSE)+VLOOKUP($B68&amp;"; "&amp;$H$66&amp;", alimentation",'FE Hors Energie'!$G:$U,15,FALSE))</f>
        <v>0</v>
      </c>
      <c r="Y68" s="1065">
        <f>IF($M68&lt;&gt;"votre valeur :",IF(ISNA(VLOOKUP($M68,Utilitaires!$N$566:$O$571,2,FALSE)),,VLOOKUP($M68,Utilitaires!$N$566:$O$571,2,FALSE)),$N68)</f>
        <v>0</v>
      </c>
      <c r="Z68" s="1130">
        <f>IF(
ISNA(
SQRT(SUMSQ(VLOOKUP($B68&amp;"; "&amp;$H$66&amp;", digestion et déjections",'FE Hors Energie'!$G:$U,7,FALSE),VLOOKUP($B68&amp;"; "&amp;$H$66&amp;", alimentation",'FE Hors Energie'!$G:$U,7,FALSE),Y68))),0,SQRT(SUMSQ(VLOOKUP($B68&amp;"; "&amp;$H$66&amp;", digestion et déjections",'FE Hors Energie'!$G:$U,7,FALSE),VLOOKUP($B68&amp;"; "&amp;$H$66&amp;", alimentation",'FE Hors Energie'!$G:$U,7,FALSE),Y68)))</f>
        <v>0.70710678118654757</v>
      </c>
    </row>
    <row r="69" spans="1:26" s="4" customFormat="1" ht="13.2" hidden="1" outlineLevel="1">
      <c r="A69" s="91"/>
      <c r="B69" s="304" t="s">
        <v>1883</v>
      </c>
      <c r="C69" s="305"/>
      <c r="D69" s="315">
        <f t="shared" si="6"/>
        <v>0</v>
      </c>
      <c r="E69" s="315"/>
      <c r="F69" s="120"/>
      <c r="G69" s="120"/>
      <c r="H69" s="318">
        <f>VLOOKUP($B69&amp;"; "&amp;$H$66&amp;", digestion et déjections",'FE Hors Energie'!$G:$U,9,FALSE)+VLOOKUP($B69&amp;"; "&amp;$H$66&amp;", alimentation",'FE Hors Energie'!$G:$U,9,FALSE)</f>
        <v>694.31542634600009</v>
      </c>
      <c r="I69" s="306">
        <f t="shared" si="7"/>
        <v>0</v>
      </c>
      <c r="L69" s="319">
        <f t="shared" si="8"/>
        <v>0</v>
      </c>
      <c r="M69" s="120"/>
      <c r="N69" s="820"/>
      <c r="O69" s="306">
        <f t="shared" si="9"/>
        <v>0</v>
      </c>
      <c r="R69" s="606">
        <f>$G69*IF(ISNA(VLOOKUP($B69&amp;"; "&amp;$H$66&amp;", digestion et déjections",'FE Hors Energie'!$G:$U,10,FALSE)+VLOOKUP($B69&amp;"; "&amp;$H$66&amp;", alimentation",'FE Hors Energie'!$G:$U,10,FALSE)),0,VLOOKUP($B69&amp;"; "&amp;$H$66&amp;", digestion et déjections",'FE Hors Energie'!$G:$U,10,FALSE)+VLOOKUP($B69&amp;"; "&amp;$H$66&amp;", alimentation",'FE Hors Energie'!$G:$U,10,FALSE))</f>
        <v>0</v>
      </c>
      <c r="S69" s="607">
        <f>$G69*IF(ISNA(VLOOKUP($B69&amp;"; "&amp;$H$66&amp;", digestion et déjections",'FE Hors Energie'!$G:$U,12,FALSE)+VLOOKUP($B69&amp;"; "&amp;$H$66&amp;", alimentation",'FE Hors Energie'!$G:$U,12,FALSE)),0,VLOOKUP($B69&amp;"; "&amp;$H$66&amp;", digestion et déjections",'FE Hors Energie'!$G:$U,12,FALSE)+VLOOKUP($B69&amp;"; "&amp;$H$66&amp;", alimentation",'FE Hors Energie'!$G:$U,12,FALSE))</f>
        <v>0</v>
      </c>
      <c r="T69" s="607">
        <f>$G69*IF(ISNA(VLOOKUP($B69&amp;"; "&amp;$H$66&amp;", digestion et déjections",'FE Hors Energie'!$G:$U,13,FALSE)+VLOOKUP($B69&amp;"; "&amp;$H$66&amp;", alimentation",'FE Hors Energie'!$G:$U,13,FALSE)),0,VLOOKUP($B69&amp;"; "&amp;$H$66&amp;", digestion et déjections",'FE Hors Energie'!$G:$U,13,FALSE)+VLOOKUP($B69&amp;"; "&amp;$H$66&amp;", alimentation",'FE Hors Energie'!$G:$U,13,FALSE))</f>
        <v>0</v>
      </c>
      <c r="U69" s="607">
        <f>$G69*IF(ISNA(VLOOKUP($B69&amp;"; "&amp;$H$66&amp;", digestion et déjections",'FE Hors Energie'!$G:$U,14,FALSE)+VLOOKUP($B69&amp;"; "&amp;$H$66&amp;", alimentation",'FE Hors Energie'!$G:$U,14,FALSE)),0,VLOOKUP($B69&amp;"; "&amp;$H$66&amp;", digestion et déjections",'FE Hors Energie'!$G:$U,14,FALSE)+VLOOKUP($B69&amp;"; "&amp;$H$66&amp;", alimentation",'FE Hors Energie'!$G:$U,14,FALSE))</f>
        <v>0</v>
      </c>
      <c r="V69" s="608">
        <f t="shared" si="10"/>
        <v>0</v>
      </c>
      <c r="W69" s="609">
        <f>$G69*IF(ISNA(VLOOKUP($B69&amp;"; "&amp;$H$66&amp;", digestion et déjections",'FE Hors Energie'!$G:$U,15,FALSE)+VLOOKUP($B69&amp;"; "&amp;$H$66&amp;", alimentation",'FE Hors Energie'!$G:$U,15,FALSE)),0,VLOOKUP($B69&amp;"; "&amp;$H$66&amp;", digestion et déjections",'FE Hors Energie'!$G:$U,15,FALSE)+VLOOKUP($B69&amp;"; "&amp;$H$66&amp;", alimentation",'FE Hors Energie'!$G:$U,15,FALSE))</f>
        <v>0</v>
      </c>
      <c r="Y69" s="1065">
        <f>IF($M69&lt;&gt;"votre valeur :",IF(ISNA(VLOOKUP($M69,Utilitaires!$N$566:$O$571,2,FALSE)),,VLOOKUP($M69,Utilitaires!$N$566:$O$571,2,FALSE)),$N69)</f>
        <v>0</v>
      </c>
      <c r="Z69" s="1130">
        <f>IF(
ISNA(
SQRT(SUMSQ(VLOOKUP($B69&amp;"; "&amp;$H$66&amp;", digestion et déjections",'FE Hors Energie'!$G:$U,7,FALSE),VLOOKUP($B69&amp;"; "&amp;$H$66&amp;", alimentation",'FE Hors Energie'!$G:$U,7,FALSE),Y69))),0,SQRT(SUMSQ(VLOOKUP($B69&amp;"; "&amp;$H$66&amp;", digestion et déjections",'FE Hors Energie'!$G:$U,7,FALSE),VLOOKUP($B69&amp;"; "&amp;$H$66&amp;", alimentation",'FE Hors Energie'!$G:$U,7,FALSE),Y69)))</f>
        <v>0.70710678118654757</v>
      </c>
    </row>
    <row r="70" spans="1:26" s="4" customFormat="1" ht="13.2" hidden="1" outlineLevel="1">
      <c r="A70" s="91"/>
      <c r="B70" s="304" t="s">
        <v>1884</v>
      </c>
      <c r="C70" s="305"/>
      <c r="D70" s="315">
        <f t="shared" si="6"/>
        <v>0</v>
      </c>
      <c r="E70" s="315"/>
      <c r="F70" s="120"/>
      <c r="G70" s="120"/>
      <c r="H70" s="318">
        <f>VLOOKUP($B70&amp;"; "&amp;$H$66&amp;", digestion et déjections",'FE Hors Energie'!$G:$U,9,FALSE)+VLOOKUP($B70&amp;"; "&amp;$H$66&amp;", alimentation",'FE Hors Energie'!$G:$U,9,FALSE)</f>
        <v>3534.904778999</v>
      </c>
      <c r="I70" s="306">
        <f t="shared" si="7"/>
        <v>0</v>
      </c>
      <c r="L70" s="319">
        <f t="shared" si="8"/>
        <v>0</v>
      </c>
      <c r="M70" s="120"/>
      <c r="N70" s="820"/>
      <c r="O70" s="306">
        <f t="shared" si="9"/>
        <v>0</v>
      </c>
      <c r="R70" s="606">
        <f>$G70*IF(ISNA(VLOOKUP($B70&amp;"; "&amp;$H$66&amp;", digestion et déjections",'FE Hors Energie'!$G:$U,10,FALSE)+VLOOKUP($B70&amp;"; "&amp;$H$66&amp;", alimentation",'FE Hors Energie'!$G:$U,10,FALSE)),0,VLOOKUP($B70&amp;"; "&amp;$H$66&amp;", digestion et déjections",'FE Hors Energie'!$G:$U,10,FALSE)+VLOOKUP($B70&amp;"; "&amp;$H$66&amp;", alimentation",'FE Hors Energie'!$G:$U,10,FALSE))</f>
        <v>0</v>
      </c>
      <c r="S70" s="607">
        <f>$G70*IF(ISNA(VLOOKUP($B70&amp;"; "&amp;$H$66&amp;", digestion et déjections",'FE Hors Energie'!$G:$U,12,FALSE)+VLOOKUP($B70&amp;"; "&amp;$H$66&amp;", alimentation",'FE Hors Energie'!$G:$U,12,FALSE)),0,VLOOKUP($B70&amp;"; "&amp;$H$66&amp;", digestion et déjections",'FE Hors Energie'!$G:$U,12,FALSE)+VLOOKUP($B70&amp;"; "&amp;$H$66&amp;", alimentation",'FE Hors Energie'!$G:$U,12,FALSE))</f>
        <v>0</v>
      </c>
      <c r="T70" s="607">
        <f>$G70*IF(ISNA(VLOOKUP($B70&amp;"; "&amp;$H$66&amp;", digestion et déjections",'FE Hors Energie'!$G:$U,13,FALSE)+VLOOKUP($B70&amp;"; "&amp;$H$66&amp;", alimentation",'FE Hors Energie'!$G:$U,13,FALSE)),0,VLOOKUP($B70&amp;"; "&amp;$H$66&amp;", digestion et déjections",'FE Hors Energie'!$G:$U,13,FALSE)+VLOOKUP($B70&amp;"; "&amp;$H$66&amp;", alimentation",'FE Hors Energie'!$G:$U,13,FALSE))</f>
        <v>0</v>
      </c>
      <c r="U70" s="607">
        <f>$G70*IF(ISNA(VLOOKUP($B70&amp;"; "&amp;$H$66&amp;", digestion et déjections",'FE Hors Energie'!$G:$U,14,FALSE)+VLOOKUP($B70&amp;"; "&amp;$H$66&amp;", alimentation",'FE Hors Energie'!$G:$U,14,FALSE)),0,VLOOKUP($B70&amp;"; "&amp;$H$66&amp;", digestion et déjections",'FE Hors Energie'!$G:$U,14,FALSE)+VLOOKUP($B70&amp;"; "&amp;$H$66&amp;", alimentation",'FE Hors Energie'!$G:$U,14,FALSE))</f>
        <v>0</v>
      </c>
      <c r="V70" s="608">
        <f t="shared" si="10"/>
        <v>0</v>
      </c>
      <c r="W70" s="609">
        <f>$G70*IF(ISNA(VLOOKUP($B70&amp;"; "&amp;$H$66&amp;", digestion et déjections",'FE Hors Energie'!$G:$U,15,FALSE)+VLOOKUP($B70&amp;"; "&amp;$H$66&amp;", alimentation",'FE Hors Energie'!$G:$U,15,FALSE)),0,VLOOKUP($B70&amp;"; "&amp;$H$66&amp;", digestion et déjections",'FE Hors Energie'!$G:$U,15,FALSE)+VLOOKUP($B70&amp;"; "&amp;$H$66&amp;", alimentation",'FE Hors Energie'!$G:$U,15,FALSE))</f>
        <v>0</v>
      </c>
      <c r="Y70" s="1065">
        <f>IF($M70&lt;&gt;"votre valeur :",IF(ISNA(VLOOKUP($M70,Utilitaires!$N$566:$O$571,2,FALSE)),,VLOOKUP($M70,Utilitaires!$N$566:$O$571,2,FALSE)),$N70)</f>
        <v>0</v>
      </c>
      <c r="Z70" s="1130">
        <f>IF(
ISNA(
SQRT(SUMSQ(VLOOKUP($B70&amp;"; "&amp;$H$66&amp;", digestion et déjections",'FE Hors Energie'!$G:$U,7,FALSE),VLOOKUP($B70&amp;"; "&amp;$H$66&amp;", alimentation",'FE Hors Energie'!$G:$U,7,FALSE),Y70))),0,SQRT(SUMSQ(VLOOKUP($B70&amp;"; "&amp;$H$66&amp;", digestion et déjections",'FE Hors Energie'!$G:$U,7,FALSE),VLOOKUP($B70&amp;"; "&amp;$H$66&amp;", alimentation",'FE Hors Energie'!$G:$U,7,FALSE),Y70)))</f>
        <v>0.70710678118654757</v>
      </c>
    </row>
    <row r="71" spans="1:26" s="4" customFormat="1" ht="13.2" hidden="1" outlineLevel="1">
      <c r="A71" s="91"/>
      <c r="B71" s="304" t="s">
        <v>1885</v>
      </c>
      <c r="C71" s="305"/>
      <c r="D71" s="315">
        <f t="shared" si="6"/>
        <v>0</v>
      </c>
      <c r="E71" s="315"/>
      <c r="F71" s="120"/>
      <c r="G71" s="120"/>
      <c r="H71" s="318">
        <f>VLOOKUP($B71&amp;"; "&amp;$H$66&amp;", digestion et déjections",'FE Hors Energie'!$G:$U,9,FALSE)+VLOOKUP($B71&amp;"; "&amp;$H$66&amp;", alimentation",'FE Hors Energie'!$G:$U,9,FALSE)</f>
        <v>28.114999999999998</v>
      </c>
      <c r="I71" s="306">
        <f t="shared" si="7"/>
        <v>0</v>
      </c>
      <c r="L71" s="319">
        <f t="shared" si="8"/>
        <v>0</v>
      </c>
      <c r="M71" s="120"/>
      <c r="N71" s="820"/>
      <c r="O71" s="306">
        <f t="shared" si="9"/>
        <v>0</v>
      </c>
      <c r="R71" s="606">
        <f>$G71*IF(ISNA(VLOOKUP($B71&amp;"; "&amp;$H$66&amp;", digestion et déjections",'FE Hors Energie'!$G:$U,10,FALSE)+VLOOKUP($B71&amp;"; "&amp;$H$66&amp;", alimentation",'FE Hors Energie'!$G:$U,10,FALSE)),0,VLOOKUP($B71&amp;"; "&amp;$H$66&amp;", digestion et déjections",'FE Hors Energie'!$G:$U,10,FALSE)+VLOOKUP($B71&amp;"; "&amp;$H$66&amp;", alimentation",'FE Hors Energie'!$G:$U,10,FALSE))</f>
        <v>0</v>
      </c>
      <c r="S71" s="607">
        <f>$G71*IF(ISNA(VLOOKUP($B71&amp;"; "&amp;$H$66&amp;", digestion et déjections",'FE Hors Energie'!$G:$U,12,FALSE)+VLOOKUP($B71&amp;"; "&amp;$H$66&amp;", alimentation",'FE Hors Energie'!$G:$U,12,FALSE)),0,VLOOKUP($B71&amp;"; "&amp;$H$66&amp;", digestion et déjections",'FE Hors Energie'!$G:$U,12,FALSE)+VLOOKUP($B71&amp;"; "&amp;$H$66&amp;", alimentation",'FE Hors Energie'!$G:$U,12,FALSE))</f>
        <v>0</v>
      </c>
      <c r="T71" s="607">
        <f>$G71*IF(ISNA(VLOOKUP($B71&amp;"; "&amp;$H$66&amp;", digestion et déjections",'FE Hors Energie'!$G:$U,13,FALSE)+VLOOKUP($B71&amp;"; "&amp;$H$66&amp;", alimentation",'FE Hors Energie'!$G:$U,13,FALSE)),0,VLOOKUP($B71&amp;"; "&amp;$H$66&amp;", digestion et déjections",'FE Hors Energie'!$G:$U,13,FALSE)+VLOOKUP($B71&amp;"; "&amp;$H$66&amp;", alimentation",'FE Hors Energie'!$G:$U,13,FALSE))</f>
        <v>0</v>
      </c>
      <c r="U71" s="607">
        <f>$G71*IF(ISNA(VLOOKUP($B71&amp;"; "&amp;$H$66&amp;", digestion et déjections",'FE Hors Energie'!$G:$U,14,FALSE)+VLOOKUP($B71&amp;"; "&amp;$H$66&amp;", alimentation",'FE Hors Energie'!$G:$U,14,FALSE)),0,VLOOKUP($B71&amp;"; "&amp;$H$66&amp;", digestion et déjections",'FE Hors Energie'!$G:$U,14,FALSE)+VLOOKUP($B71&amp;"; "&amp;$H$66&amp;", alimentation",'FE Hors Energie'!$G:$U,14,FALSE))</f>
        <v>0</v>
      </c>
      <c r="V71" s="608">
        <f t="shared" si="10"/>
        <v>0</v>
      </c>
      <c r="W71" s="609">
        <f>$G71*IF(ISNA(VLOOKUP($B71&amp;"; "&amp;$H$66&amp;", digestion et déjections",'FE Hors Energie'!$G:$U,15,FALSE)+VLOOKUP($B71&amp;"; "&amp;$H$66&amp;", alimentation",'FE Hors Energie'!$G:$U,15,FALSE)),0,VLOOKUP($B71&amp;"; "&amp;$H$66&amp;", digestion et déjections",'FE Hors Energie'!$G:$U,15,FALSE)+VLOOKUP($B71&amp;"; "&amp;$H$66&amp;", alimentation",'FE Hors Energie'!$G:$U,15,FALSE))</f>
        <v>0</v>
      </c>
      <c r="Y71" s="1065">
        <f>IF($M71&lt;&gt;"votre valeur :",IF(ISNA(VLOOKUP($M71,Utilitaires!$N$566:$O$571,2,FALSE)),,VLOOKUP($M71,Utilitaires!$N$566:$O$571,2,FALSE)),$N71)</f>
        <v>0</v>
      </c>
      <c r="Z71" s="1130">
        <f>IF(
ISNA(
SQRT(SUMSQ(VLOOKUP($B71&amp;"; "&amp;$H$66&amp;", digestion et déjections",'FE Hors Energie'!$G:$U,7,FALSE),VLOOKUP($B71&amp;"; "&amp;$H$66&amp;", alimentation",'FE Hors Energie'!$G:$U,7,FALSE),Y71))),0,SQRT(SUMSQ(VLOOKUP($B71&amp;"; "&amp;$H$66&amp;", digestion et déjections",'FE Hors Energie'!$G:$U,7,FALSE),VLOOKUP($B71&amp;"; "&amp;$H$66&amp;", alimentation",'FE Hors Energie'!$G:$U,7,FALSE),Y71)))</f>
        <v>0.70710678118654757</v>
      </c>
    </row>
    <row r="72" spans="1:26" s="4" customFormat="1" ht="13.2" hidden="1" outlineLevel="1">
      <c r="A72" s="91"/>
      <c r="B72" s="304" t="s">
        <v>1886</v>
      </c>
      <c r="C72" s="305"/>
      <c r="D72" s="315">
        <f t="shared" si="6"/>
        <v>0</v>
      </c>
      <c r="E72" s="315"/>
      <c r="F72" s="120"/>
      <c r="G72" s="120"/>
      <c r="H72" s="318">
        <f>VLOOKUP($B72&amp;"; "&amp;$H$66&amp;", digestion et déjections",'FE Hors Energie'!$G:$U,9,FALSE)+VLOOKUP($B72&amp;"; "&amp;$H$66&amp;", alimentation",'FE Hors Energie'!$G:$U,9,FALSE)</f>
        <v>1259.0604832669999</v>
      </c>
      <c r="I72" s="306">
        <f t="shared" si="7"/>
        <v>0</v>
      </c>
      <c r="L72" s="319">
        <f t="shared" si="8"/>
        <v>0</v>
      </c>
      <c r="M72" s="120"/>
      <c r="N72" s="820"/>
      <c r="O72" s="306">
        <f t="shared" si="9"/>
        <v>0</v>
      </c>
      <c r="R72" s="606">
        <f>$G72*IF(ISNA(VLOOKUP($B72&amp;"; "&amp;$H$66&amp;", digestion et déjections",'FE Hors Energie'!$G:$U,10,FALSE)+VLOOKUP($B72&amp;"; "&amp;$H$66&amp;", alimentation",'FE Hors Energie'!$G:$U,10,FALSE)),0,VLOOKUP($B72&amp;"; "&amp;$H$66&amp;", digestion et déjections",'FE Hors Energie'!$G:$U,10,FALSE)+VLOOKUP($B72&amp;"; "&amp;$H$66&amp;", alimentation",'FE Hors Energie'!$G:$U,10,FALSE))</f>
        <v>0</v>
      </c>
      <c r="S72" s="607">
        <f>$G72*IF(ISNA(VLOOKUP($B72&amp;"; "&amp;$H$66&amp;", digestion et déjections",'FE Hors Energie'!$G:$U,12,FALSE)+VLOOKUP($B72&amp;"; "&amp;$H$66&amp;", alimentation",'FE Hors Energie'!$G:$U,12,FALSE)),0,VLOOKUP($B72&amp;"; "&amp;$H$66&amp;", digestion et déjections",'FE Hors Energie'!$G:$U,12,FALSE)+VLOOKUP($B72&amp;"; "&amp;$H$66&amp;", alimentation",'FE Hors Energie'!$G:$U,12,FALSE))</f>
        <v>0</v>
      </c>
      <c r="T72" s="607">
        <f>$G72*IF(ISNA(VLOOKUP($B72&amp;"; "&amp;$H$66&amp;", digestion et déjections",'FE Hors Energie'!$G:$U,13,FALSE)+VLOOKUP($B72&amp;"; "&amp;$H$66&amp;", alimentation",'FE Hors Energie'!$G:$U,13,FALSE)),0,VLOOKUP($B72&amp;"; "&amp;$H$66&amp;", digestion et déjections",'FE Hors Energie'!$G:$U,13,FALSE)+VLOOKUP($B72&amp;"; "&amp;$H$66&amp;", alimentation",'FE Hors Energie'!$G:$U,13,FALSE))</f>
        <v>0</v>
      </c>
      <c r="U72" s="607">
        <f>$G72*IF(ISNA(VLOOKUP($B72&amp;"; "&amp;$H$66&amp;", digestion et déjections",'FE Hors Energie'!$G:$U,14,FALSE)+VLOOKUP($B72&amp;"; "&amp;$H$66&amp;", alimentation",'FE Hors Energie'!$G:$U,14,FALSE)),0,VLOOKUP($B72&amp;"; "&amp;$H$66&amp;", digestion et déjections",'FE Hors Energie'!$G:$U,14,FALSE)+VLOOKUP($B72&amp;"; "&amp;$H$66&amp;", alimentation",'FE Hors Energie'!$G:$U,14,FALSE))</f>
        <v>0</v>
      </c>
      <c r="V72" s="608">
        <f t="shared" si="10"/>
        <v>0</v>
      </c>
      <c r="W72" s="609">
        <f>$G72*IF(ISNA(VLOOKUP($B72&amp;"; "&amp;$H$66&amp;", digestion et déjections",'FE Hors Energie'!$G:$U,15,FALSE)+VLOOKUP($B72&amp;"; "&amp;$H$66&amp;", alimentation",'FE Hors Energie'!$G:$U,15,FALSE)),0,VLOOKUP($B72&amp;"; "&amp;$H$66&amp;", digestion et déjections",'FE Hors Energie'!$G:$U,15,FALSE)+VLOOKUP($B72&amp;"; "&amp;$H$66&amp;", alimentation",'FE Hors Energie'!$G:$U,15,FALSE))</f>
        <v>0</v>
      </c>
      <c r="Y72" s="1065">
        <f>IF($M72&lt;&gt;"votre valeur :",IF(ISNA(VLOOKUP($M72,Utilitaires!$N$566:$O$571,2,FALSE)),,VLOOKUP($M72,Utilitaires!$N$566:$O$571,2,FALSE)),$N72)</f>
        <v>0</v>
      </c>
      <c r="Z72" s="1130">
        <f>IF(
ISNA(
SQRT(SUMSQ(VLOOKUP($B72&amp;"; "&amp;$H$66&amp;", digestion et déjections",'FE Hors Energie'!$G:$U,7,FALSE),VLOOKUP($B72&amp;"; "&amp;$H$66&amp;", alimentation",'FE Hors Energie'!$G:$U,7,FALSE),Y72))),0,SQRT(SUMSQ(VLOOKUP($B72&amp;"; "&amp;$H$66&amp;", digestion et déjections",'FE Hors Energie'!$G:$U,7,FALSE),VLOOKUP($B72&amp;"; "&amp;$H$66&amp;", alimentation",'FE Hors Energie'!$G:$U,7,FALSE),Y72)))</f>
        <v>0.70710678118654757</v>
      </c>
    </row>
    <row r="73" spans="1:26" s="4" customFormat="1" ht="13.2" hidden="1" outlineLevel="1">
      <c r="A73" s="91"/>
      <c r="B73" s="304" t="s">
        <v>1887</v>
      </c>
      <c r="C73" s="305"/>
      <c r="D73" s="315">
        <f t="shared" si="6"/>
        <v>0</v>
      </c>
      <c r="E73" s="315"/>
      <c r="F73" s="123"/>
      <c r="G73" s="123"/>
      <c r="H73" s="318">
        <f>VLOOKUP($B73&amp;"; "&amp;$H$66&amp;", digestion et déjections",'FE Hors Energie'!$G:$U,9,FALSE)+VLOOKUP($B73&amp;"; "&amp;$H$66&amp;", alimentation",'FE Hors Energie'!$G:$U,9,FALSE)</f>
        <v>250.80307772799995</v>
      </c>
      <c r="I73" s="306">
        <f t="shared" si="7"/>
        <v>0</v>
      </c>
      <c r="L73" s="319">
        <f t="shared" si="8"/>
        <v>0</v>
      </c>
      <c r="M73" s="123"/>
      <c r="N73" s="820"/>
      <c r="O73" s="306">
        <f t="shared" si="9"/>
        <v>0</v>
      </c>
      <c r="R73" s="606">
        <f>$G73*IF(ISNA(VLOOKUP($B73&amp;"; "&amp;$H$66&amp;", digestion et déjections",'FE Hors Energie'!$G:$U,10,FALSE)+VLOOKUP($B73&amp;"; "&amp;$H$66&amp;", alimentation",'FE Hors Energie'!$G:$U,10,FALSE)),0,VLOOKUP($B73&amp;"; "&amp;$H$66&amp;", digestion et déjections",'FE Hors Energie'!$G:$U,10,FALSE)+VLOOKUP($B73&amp;"; "&amp;$H$66&amp;", alimentation",'FE Hors Energie'!$G:$U,10,FALSE))</f>
        <v>0</v>
      </c>
      <c r="S73" s="607">
        <f>$G73*IF(ISNA(VLOOKUP($B73&amp;"; "&amp;$H$66&amp;", digestion et déjections",'FE Hors Energie'!$G:$U,12,FALSE)+VLOOKUP($B73&amp;"; "&amp;$H$66&amp;", alimentation",'FE Hors Energie'!$G:$U,12,FALSE)),0,VLOOKUP($B73&amp;"; "&amp;$H$66&amp;", digestion et déjections",'FE Hors Energie'!$G:$U,12,FALSE)+VLOOKUP($B73&amp;"; "&amp;$H$66&amp;", alimentation",'FE Hors Energie'!$G:$U,12,FALSE))</f>
        <v>0</v>
      </c>
      <c r="T73" s="607">
        <f>$G73*IF(ISNA(VLOOKUP($B73&amp;"; "&amp;$H$66&amp;", digestion et déjections",'FE Hors Energie'!$G:$U,13,FALSE)+VLOOKUP($B73&amp;"; "&amp;$H$66&amp;", alimentation",'FE Hors Energie'!$G:$U,13,FALSE)),0,VLOOKUP($B73&amp;"; "&amp;$H$66&amp;", digestion et déjections",'FE Hors Energie'!$G:$U,13,FALSE)+VLOOKUP($B73&amp;"; "&amp;$H$66&amp;", alimentation",'FE Hors Energie'!$G:$U,13,FALSE))</f>
        <v>0</v>
      </c>
      <c r="U73" s="607">
        <f>$G73*IF(ISNA(VLOOKUP($B73&amp;"; "&amp;$H$66&amp;", digestion et déjections",'FE Hors Energie'!$G:$U,14,FALSE)+VLOOKUP($B73&amp;"; "&amp;$H$66&amp;", alimentation",'FE Hors Energie'!$G:$U,14,FALSE)),0,VLOOKUP($B73&amp;"; "&amp;$H$66&amp;", digestion et déjections",'FE Hors Energie'!$G:$U,14,FALSE)+VLOOKUP($B73&amp;"; "&amp;$H$66&amp;", alimentation",'FE Hors Energie'!$G:$U,14,FALSE))</f>
        <v>0</v>
      </c>
      <c r="V73" s="608">
        <f t="shared" si="10"/>
        <v>0</v>
      </c>
      <c r="W73" s="609">
        <f>$G73*IF(ISNA(VLOOKUP($B73&amp;"; "&amp;$H$66&amp;", digestion et déjections",'FE Hors Energie'!$G:$U,15,FALSE)+VLOOKUP($B73&amp;"; "&amp;$H$66&amp;", alimentation",'FE Hors Energie'!$G:$U,15,FALSE)),0,VLOOKUP($B73&amp;"; "&amp;$H$66&amp;", digestion et déjections",'FE Hors Energie'!$G:$U,15,FALSE)+VLOOKUP($B73&amp;"; "&amp;$H$66&amp;", alimentation",'FE Hors Energie'!$G:$U,15,FALSE))</f>
        <v>0</v>
      </c>
      <c r="Y73" s="1065">
        <f>IF($M73&lt;&gt;"votre valeur :",IF(ISNA(VLOOKUP($M73,Utilitaires!$N$566:$O$571,2,FALSE)),,VLOOKUP($M73,Utilitaires!$N$566:$O$571,2,FALSE)),$N73)</f>
        <v>0</v>
      </c>
      <c r="Z73" s="1130">
        <f>IF(
ISNA(
SQRT(SUMSQ(VLOOKUP($B73&amp;"; "&amp;$H$66&amp;", digestion et déjections",'FE Hors Energie'!$G:$U,7,FALSE),VLOOKUP($B73&amp;"; "&amp;$H$66&amp;", alimentation",'FE Hors Energie'!$G:$U,7,FALSE),Y73))),0,SQRT(SUMSQ(VLOOKUP($B73&amp;"; "&amp;$H$66&amp;", digestion et déjections",'FE Hors Energie'!$G:$U,7,FALSE),VLOOKUP($B73&amp;"; "&amp;$H$66&amp;", alimentation",'FE Hors Energie'!$G:$U,7,FALSE),Y73)))</f>
        <v>0.70710678118654757</v>
      </c>
    </row>
    <row r="74" spans="1:26" s="4" customFormat="1" ht="13.2" hidden="1" outlineLevel="1">
      <c r="A74" s="91"/>
      <c r="B74" s="309"/>
      <c r="C74" s="305"/>
      <c r="D74" s="315"/>
      <c r="E74" s="315"/>
      <c r="F74" s="310"/>
      <c r="G74" s="311"/>
      <c r="H74" s="310"/>
      <c r="I74" s="312"/>
      <c r="L74" s="304"/>
      <c r="M74" s="828"/>
      <c r="N74" s="828"/>
      <c r="O74" s="306"/>
      <c r="R74" s="606"/>
      <c r="S74" s="607"/>
      <c r="T74" s="607"/>
      <c r="U74" s="607"/>
      <c r="V74" s="608"/>
      <c r="W74" s="610"/>
      <c r="Y74" s="1087"/>
      <c r="Z74" s="1153"/>
    </row>
    <row r="75" spans="1:26" s="4" customFormat="1" ht="13.2" hidden="1" outlineLevel="1">
      <c r="A75" s="91"/>
      <c r="B75" s="320" t="s">
        <v>348</v>
      </c>
      <c r="C75" s="321"/>
      <c r="D75" s="322">
        <f>SUM(D68:D74)</f>
        <v>0</v>
      </c>
      <c r="E75" s="322"/>
      <c r="F75" s="321"/>
      <c r="G75" s="323"/>
      <c r="H75" s="321"/>
      <c r="I75" s="324">
        <f>SUM(I68:I74)</f>
        <v>0</v>
      </c>
      <c r="L75" s="1202">
        <f>IF(O75=0,O75,O75/I75)</f>
        <v>0</v>
      </c>
      <c r="M75" s="829"/>
      <c r="N75" s="829"/>
      <c r="O75" s="324">
        <f>SQRT(SUMSQ(O68:O74))</f>
        <v>0</v>
      </c>
      <c r="R75" s="611">
        <f t="shared" ref="R75:W75" si="11">SUM(R68:R74)</f>
        <v>0</v>
      </c>
      <c r="S75" s="612">
        <f t="shared" si="11"/>
        <v>0</v>
      </c>
      <c r="T75" s="612">
        <f t="shared" si="11"/>
        <v>0</v>
      </c>
      <c r="U75" s="612">
        <f t="shared" si="11"/>
        <v>0</v>
      </c>
      <c r="V75" s="613">
        <f t="shared" si="11"/>
        <v>0</v>
      </c>
      <c r="W75" s="614">
        <f t="shared" si="11"/>
        <v>0</v>
      </c>
    </row>
    <row r="76" spans="1:26" s="91" customFormat="1" ht="13.2" hidden="1" outlineLevel="1">
      <c r="B76" s="92"/>
      <c r="C76" s="92"/>
      <c r="D76" s="92"/>
      <c r="E76" s="92"/>
      <c r="F76" s="92"/>
      <c r="G76" s="100"/>
      <c r="H76" s="92"/>
      <c r="M76" s="9"/>
      <c r="N76" s="9"/>
      <c r="R76" s="595"/>
      <c r="S76" s="595"/>
      <c r="T76" s="595"/>
      <c r="U76" s="595"/>
      <c r="V76" s="595"/>
      <c r="W76" s="595"/>
    </row>
    <row r="77" spans="1:26" s="91" customFormat="1" ht="12.75" hidden="1" customHeight="1" outlineLevel="1">
      <c r="B77" s="294" t="s">
        <v>1899</v>
      </c>
      <c r="C77" s="295"/>
      <c r="D77" s="1164"/>
      <c r="E77" s="1624"/>
      <c r="F77" s="296"/>
      <c r="G77" s="296"/>
      <c r="H77" s="295"/>
      <c r="I77" s="295"/>
      <c r="J77" s="297"/>
      <c r="L77" s="2748" t="s">
        <v>366</v>
      </c>
      <c r="M77" s="2749"/>
      <c r="N77" s="2749"/>
      <c r="O77" s="2750"/>
      <c r="R77" s="2751" t="s">
        <v>441</v>
      </c>
      <c r="S77" s="2752"/>
      <c r="T77" s="2752"/>
      <c r="U77" s="2752"/>
      <c r="V77" s="2752"/>
      <c r="W77" s="2753"/>
    </row>
    <row r="78" spans="1:26" s="91" customFormat="1" ht="12.75" hidden="1" customHeight="1" outlineLevel="1">
      <c r="B78" s="298"/>
      <c r="C78" s="299"/>
      <c r="D78" s="537" t="s">
        <v>308</v>
      </c>
      <c r="E78" s="1625"/>
      <c r="F78" s="299"/>
      <c r="G78" s="299"/>
      <c r="H78" s="299"/>
      <c r="I78" s="299"/>
      <c r="J78" s="300"/>
      <c r="L78" s="298"/>
      <c r="M78" s="827"/>
      <c r="N78" s="827"/>
      <c r="O78" s="307"/>
      <c r="R78" s="596"/>
      <c r="S78" s="597"/>
      <c r="T78" s="597"/>
      <c r="U78" s="597"/>
      <c r="V78" s="598"/>
      <c r="W78" s="599"/>
      <c r="Y78" s="2616" t="s">
        <v>1648</v>
      </c>
      <c r="Z78" s="2618"/>
    </row>
    <row r="79" spans="1:26" s="91" customFormat="1" ht="12.75" hidden="1" customHeight="1" outlineLevel="1">
      <c r="B79" s="298"/>
      <c r="C79" s="299"/>
      <c r="D79" s="1163" t="s">
        <v>409</v>
      </c>
      <c r="E79" s="1622"/>
      <c r="F79" s="147" t="s">
        <v>452</v>
      </c>
      <c r="G79" s="2746" t="s">
        <v>1905</v>
      </c>
      <c r="H79" s="2756" t="s">
        <v>1904</v>
      </c>
      <c r="I79" s="2628" t="s">
        <v>1897</v>
      </c>
      <c r="J79" s="302" t="s">
        <v>444</v>
      </c>
      <c r="L79" s="1162" t="s">
        <v>316</v>
      </c>
      <c r="M79" s="2629" t="s">
        <v>316</v>
      </c>
      <c r="N79" s="2630"/>
      <c r="O79" s="302" t="s">
        <v>444</v>
      </c>
      <c r="R79" s="2754" t="s">
        <v>444</v>
      </c>
      <c r="S79" s="2755"/>
      <c r="T79" s="2755"/>
      <c r="U79" s="2755"/>
      <c r="V79" s="600" t="s">
        <v>444</v>
      </c>
      <c r="W79" s="601"/>
      <c r="Y79" s="1140" t="s">
        <v>1646</v>
      </c>
      <c r="Z79" s="1141" t="s">
        <v>1844</v>
      </c>
    </row>
    <row r="80" spans="1:26" s="91" customFormat="1" ht="12.75" hidden="1" customHeight="1" outlineLevel="1">
      <c r="B80" s="298"/>
      <c r="C80" s="299"/>
      <c r="D80" s="1163" t="s">
        <v>444</v>
      </c>
      <c r="E80" s="1622"/>
      <c r="F80" s="149" t="s">
        <v>702</v>
      </c>
      <c r="G80" s="2747"/>
      <c r="H80" s="2756"/>
      <c r="I80" s="2628"/>
      <c r="J80" s="302"/>
      <c r="L80" s="1162" t="s">
        <v>1649</v>
      </c>
      <c r="M80" s="2646" t="s">
        <v>1650</v>
      </c>
      <c r="N80" s="2647"/>
      <c r="O80" s="302"/>
      <c r="R80" s="602" t="s">
        <v>211</v>
      </c>
      <c r="S80" s="603" t="s">
        <v>442</v>
      </c>
      <c r="T80" s="603" t="s">
        <v>267</v>
      </c>
      <c r="U80" s="603" t="s">
        <v>443</v>
      </c>
      <c r="V80" s="604" t="s">
        <v>327</v>
      </c>
      <c r="W80" s="605" t="s">
        <v>636</v>
      </c>
      <c r="Y80" s="1062"/>
      <c r="Z80" s="1129"/>
    </row>
    <row r="81" spans="1:26" s="91" customFormat="1" ht="13.2" hidden="1" outlineLevel="1">
      <c r="B81" s="304" t="s">
        <v>1900</v>
      </c>
      <c r="C81" s="305"/>
      <c r="D81" s="315">
        <f t="shared" ref="D81:D86" si="12">J81</f>
        <v>0</v>
      </c>
      <c r="E81" s="315"/>
      <c r="F81" s="117"/>
      <c r="G81" s="117"/>
      <c r="H81" s="318">
        <f>IF(ISNA(VLOOKUP($B81&amp;"; "&amp;$H$79,'FE Hors Energie'!$G:$U,9,FALSE)),0,VLOOKUP($B81&amp;"; "&amp;$H$79,'FE Hors Energie'!$G:$U,9,FALSE))</f>
        <v>10.1</v>
      </c>
      <c r="I81" s="318"/>
      <c r="J81" s="306">
        <f>(H81*G81)</f>
        <v>0</v>
      </c>
      <c r="L81" s="319">
        <f t="shared" ref="L81:L86" si="13">IF(O81=0,O81,O81/J81)</f>
        <v>0</v>
      </c>
      <c r="M81" s="117"/>
      <c r="N81" s="820"/>
      <c r="O81" s="306">
        <f>SQRT(SUMSQ(IF(ISNA(J81*Z81),0,J81*Z81)))</f>
        <v>0</v>
      </c>
      <c r="R81" s="606">
        <f>$G81*IF(ISNA(VLOOKUP($B81&amp;"; "&amp;$H$79,'FE Hors Energie'!$G:$U,10,FALSE)),VLOOKUP($B81&amp;"; "&amp;$I$79,'FE Hors Energie'!$G:$U,10,FALSE),VLOOKUP($B81&amp;"; "&amp;$H$79,'FE Hors Energie'!$G:$U,10,FALSE))</f>
        <v>0</v>
      </c>
      <c r="S81" s="607">
        <f>$G81*IF(ISNA(VLOOKUP($B81&amp;"; "&amp;$H$79,'FE Hors Energie'!$G:$U,12,FALSE)),VLOOKUP($B81&amp;"; "&amp;$I$79,'FE Hors Energie'!$G:$U,12,FALSE),VLOOKUP($B81&amp;"; "&amp;$H$79,'FE Hors Energie'!$G:$U,12,FALSE))</f>
        <v>0</v>
      </c>
      <c r="T81" s="607">
        <f>$G81*IF(ISNA(VLOOKUP($B81&amp;"; "&amp;$H$79,'FE Hors Energie'!$G:$U,13,FALSE)),VLOOKUP($B81&amp;"; "&amp;$I$79,'FE Hors Energie'!$G:$U,13,FALSE),VLOOKUP($B81&amp;"; "&amp;$H$79,'FE Hors Energie'!$G:$U,13,FALSE))</f>
        <v>0</v>
      </c>
      <c r="U81" s="607">
        <f>$G81*IF(ISNA(VLOOKUP($B81&amp;"; "&amp;$H$79,'FE Hors Energie'!$G:$U,14,FALSE)),VLOOKUP($B81&amp;"; "&amp;$I$79,'FE Hors Energie'!$G:$U,14,FALSE),VLOOKUP($B81&amp;"; "&amp;$H$79,'FE Hors Energie'!$G:$U,14,FALSE))</f>
        <v>0</v>
      </c>
      <c r="V81" s="608">
        <f>SUM(R81:U81)</f>
        <v>0</v>
      </c>
      <c r="W81" s="609">
        <f>$G81*IF(ISNA(VLOOKUP($B81&amp;"; "&amp;$H$79,'FE Hors Energie'!$G:$U,15,FALSE)),VLOOKUP($B81&amp;"; "&amp;$I$79,'FE Hors Energie'!$G:$U,15,FALSE),VLOOKUP($B81&amp;"; "&amp;$H$79,'FE Hors Energie'!$G:$U,15,FALSE))</f>
        <v>0</v>
      </c>
      <c r="Y81" s="1065">
        <f>IF($M81&lt;&gt;"votre valeur :",IF(ISNA(VLOOKUP($M81,Utilitaires!$N$566:$O$571,2,FALSE)),,VLOOKUP($M81,Utilitaires!$N$566:$O$571,2,FALSE)),$N81)</f>
        <v>0</v>
      </c>
      <c r="Z81" s="1130">
        <f>SQRT(SUMSQ(
IF(ISNA(VLOOKUP($B81&amp;"; "&amp;$H$79,'FE Hors Energie'!$G:$U,7,FALSE)),
VLOOKUP($B81&amp;"; "&amp;$I$79,'FE Hors Energie'!$G:$U,7,FALSE),
VLOOKUP($B81&amp;"; "&amp;$H$79,'FE Hors Energie'!$G:$U,7,FALSE)),
Y81))</f>
        <v>4</v>
      </c>
    </row>
    <row r="82" spans="1:26" s="91" customFormat="1" ht="13.2" hidden="1" outlineLevel="1">
      <c r="B82" s="304" t="s">
        <v>1901</v>
      </c>
      <c r="C82" s="305"/>
      <c r="D82" s="315">
        <f t="shared" si="12"/>
        <v>0</v>
      </c>
      <c r="E82" s="315"/>
      <c r="F82" s="1175"/>
      <c r="G82" s="1175"/>
      <c r="H82" s="318">
        <f>IF(ISNA(VLOOKUP($B82&amp;"; "&amp;$H$79,'FE Hors Energie'!$G:$U,9,FALSE)),0,VLOOKUP($B82&amp;"; "&amp;$H$79,'FE Hors Energie'!$G:$U,9,FALSE))</f>
        <v>5.83</v>
      </c>
      <c r="I82" s="318"/>
      <c r="J82" s="306">
        <f>(H82*G82)</f>
        <v>0</v>
      </c>
      <c r="L82" s="319">
        <f t="shared" si="13"/>
        <v>0</v>
      </c>
      <c r="M82" s="1047"/>
      <c r="N82" s="820"/>
      <c r="O82" s="306">
        <f>SQRT(SUMSQ(IF(ISNA(J82*Z82),0,J82*Z82)))</f>
        <v>0</v>
      </c>
      <c r="R82" s="606">
        <f>$G82*IF(ISNA(VLOOKUP($B82&amp;"; "&amp;$H$79,'FE Hors Energie'!$G:$U,10,FALSE)),VLOOKUP($B82&amp;"; "&amp;$I$79,'FE Hors Energie'!$G:$U,10,FALSE),VLOOKUP($B82&amp;"; "&amp;$H$79,'FE Hors Energie'!$G:$U,10,FALSE))</f>
        <v>0</v>
      </c>
      <c r="S82" s="607">
        <f>$G82*IF(ISNA(VLOOKUP($B82&amp;"; "&amp;$H$79,'FE Hors Energie'!$G:$U,12,FALSE)),VLOOKUP($B82&amp;"; "&amp;$I$79,'FE Hors Energie'!$G:$U,12,FALSE),VLOOKUP($B82&amp;"; "&amp;$H$79,'FE Hors Energie'!$G:$U,12,FALSE))</f>
        <v>0</v>
      </c>
      <c r="T82" s="607">
        <f>$G82*IF(ISNA(VLOOKUP($B82&amp;"; "&amp;$H$79,'FE Hors Energie'!$G:$U,13,FALSE)),VLOOKUP($B82&amp;"; "&amp;$I$79,'FE Hors Energie'!$G:$U,13,FALSE),VLOOKUP($B82&amp;"; "&amp;$H$79,'FE Hors Energie'!$G:$U,13,FALSE))</f>
        <v>0</v>
      </c>
      <c r="U82" s="607">
        <f>$G82*IF(ISNA(VLOOKUP($B82&amp;"; "&amp;$H$79,'FE Hors Energie'!$G:$U,14,FALSE)),VLOOKUP($B82&amp;"; "&amp;$I$79,'FE Hors Energie'!$G:$U,14,FALSE),VLOOKUP($B82&amp;"; "&amp;$H$79,'FE Hors Energie'!$G:$U,14,FALSE))</f>
        <v>0</v>
      </c>
      <c r="V82" s="608">
        <f>SUM(R82:U82)</f>
        <v>0</v>
      </c>
      <c r="W82" s="609">
        <f>$G82*IF(ISNA(VLOOKUP($B82&amp;"; "&amp;$H$79,'FE Hors Energie'!$G:$U,15,FALSE)),VLOOKUP($B82&amp;"; "&amp;$I$79,'FE Hors Energie'!$G:$U,15,FALSE),VLOOKUP($B82&amp;"; "&amp;$H$79,'FE Hors Energie'!$G:$U,15,FALSE))</f>
        <v>0</v>
      </c>
      <c r="Y82" s="1065">
        <f>IF($M82&lt;&gt;"votre valeur :",IF(ISNA(VLOOKUP($M82,Utilitaires!$N$566:$O$571,2,FALSE)),,VLOOKUP($M82,Utilitaires!$N$566:$O$571,2,FALSE)),$N82)</f>
        <v>0</v>
      </c>
      <c r="Z82" s="1130">
        <f>SQRT(SUMSQ(
IF(ISNA(VLOOKUP($B82&amp;"; "&amp;$H$79,'FE Hors Energie'!$G:$U,7,FALSE)),
VLOOKUP($B82&amp;"; "&amp;$I$79,'FE Hors Energie'!$G:$U,7,FALSE),
VLOOKUP($B82&amp;"; "&amp;$H$79,'FE Hors Energie'!$G:$U,7,FALSE)),
Y82))</f>
        <v>4</v>
      </c>
    </row>
    <row r="83" spans="1:26" s="91" customFormat="1" ht="13.2" hidden="1" outlineLevel="1">
      <c r="B83" s="304" t="s">
        <v>1903</v>
      </c>
      <c r="C83" s="305"/>
      <c r="D83" s="315">
        <f t="shared" si="12"/>
        <v>0</v>
      </c>
      <c r="E83" s="315"/>
      <c r="F83" s="123"/>
      <c r="G83" s="123"/>
      <c r="H83" s="318">
        <f>IF(ISNA(VLOOKUP($B83&amp;"; "&amp;$H$79,'FE Hors Energie'!$G:$U,9,FALSE)),0,VLOOKUP($B83&amp;"; "&amp;$H$79,'FE Hors Energie'!$G:$U,9,FALSE))</f>
        <v>5.04</v>
      </c>
      <c r="I83" s="318"/>
      <c r="J83" s="306">
        <f>(H83*G83)</f>
        <v>0</v>
      </c>
      <c r="L83" s="319">
        <f t="shared" si="13"/>
        <v>0</v>
      </c>
      <c r="M83" s="120"/>
      <c r="N83" s="820"/>
      <c r="O83" s="306">
        <f>SQRT(SUMSQ(IF(ISNA(J83*Z83),0,J83*Z83)))</f>
        <v>0</v>
      </c>
      <c r="R83" s="606">
        <f>$G83*IF(ISNA(VLOOKUP($B83&amp;"; "&amp;$H$79,'FE Hors Energie'!$G:$U,10,FALSE)),VLOOKUP($B83&amp;"; "&amp;$I$79,'FE Hors Energie'!$G:$U,10,FALSE),VLOOKUP($B83&amp;"; "&amp;$H$79,'FE Hors Energie'!$G:$U,10,FALSE))</f>
        <v>0</v>
      </c>
      <c r="S83" s="607">
        <f>$G83*IF(ISNA(VLOOKUP($B83&amp;"; "&amp;$H$79,'FE Hors Energie'!$G:$U,12,FALSE)),VLOOKUP($B83&amp;"; "&amp;$I$79,'FE Hors Energie'!$G:$U,12,FALSE),VLOOKUP($B83&amp;"; "&amp;$H$79,'FE Hors Energie'!$G:$U,12,FALSE))</f>
        <v>0</v>
      </c>
      <c r="T83" s="607">
        <f>$G83*IF(ISNA(VLOOKUP($B83&amp;"; "&amp;$H$79,'FE Hors Energie'!$G:$U,13,FALSE)),VLOOKUP($B83&amp;"; "&amp;$I$79,'FE Hors Energie'!$G:$U,13,FALSE),VLOOKUP($B83&amp;"; "&amp;$H$79,'FE Hors Energie'!$G:$U,13,FALSE))</f>
        <v>0</v>
      </c>
      <c r="U83" s="607">
        <f>$G83*IF(ISNA(VLOOKUP($B83&amp;"; "&amp;$H$79,'FE Hors Energie'!$G:$U,14,FALSE)),VLOOKUP($B83&amp;"; "&amp;$I$79,'FE Hors Energie'!$G:$U,14,FALSE),VLOOKUP($B83&amp;"; "&amp;$H$79,'FE Hors Energie'!$G:$U,14,FALSE))</f>
        <v>0</v>
      </c>
      <c r="V83" s="608">
        <f>SUM(R83:U83)</f>
        <v>0</v>
      </c>
      <c r="W83" s="609">
        <f>$G83*IF(ISNA(VLOOKUP($B83&amp;"; "&amp;$H$79,'FE Hors Energie'!$G:$U,15,FALSE)),VLOOKUP($B83&amp;"; "&amp;$I$79,'FE Hors Energie'!$G:$U,15,FALSE),VLOOKUP($B83&amp;"; "&amp;$H$79,'FE Hors Energie'!$G:$U,15,FALSE))</f>
        <v>0</v>
      </c>
      <c r="Y83" s="1065">
        <f>IF($M83&lt;&gt;"votre valeur :",IF(ISNA(VLOOKUP($M83,Utilitaires!$N$566:$O$571,2,FALSE)),,VLOOKUP($M83,Utilitaires!$N$566:$O$571,2,FALSE)),$N83)</f>
        <v>0</v>
      </c>
      <c r="Z83" s="1130">
        <f>SQRT(SUMSQ(
IF(ISNA(VLOOKUP($B83&amp;"; "&amp;$H$79,'FE Hors Energie'!$G:$U,7,FALSE)),
VLOOKUP($B83&amp;"; "&amp;$I$79,'FE Hors Energie'!$G:$U,7,FALSE),
VLOOKUP($B83&amp;"; "&amp;$H$79,'FE Hors Energie'!$G:$U,7,FALSE)),
Y83))</f>
        <v>4</v>
      </c>
    </row>
    <row r="84" spans="1:26" s="91" customFormat="1" ht="13.2" hidden="1" outlineLevel="1">
      <c r="B84" s="304"/>
      <c r="C84" s="305"/>
      <c r="D84" s="315"/>
      <c r="E84" s="315"/>
      <c r="F84" s="1174"/>
      <c r="G84" s="1174" t="s">
        <v>1979</v>
      </c>
      <c r="H84" s="318"/>
      <c r="I84" s="318"/>
      <c r="J84" s="306"/>
      <c r="L84" s="319">
        <f t="shared" si="13"/>
        <v>0</v>
      </c>
      <c r="M84" s="120"/>
      <c r="N84" s="820"/>
      <c r="O84" s="306"/>
      <c r="R84" s="606"/>
      <c r="S84" s="607"/>
      <c r="T84" s="607"/>
      <c r="U84" s="607"/>
      <c r="V84" s="608"/>
      <c r="W84" s="609"/>
      <c r="Y84" s="1065"/>
      <c r="Z84" s="1130"/>
    </row>
    <row r="85" spans="1:26" s="91" customFormat="1" ht="13.2" hidden="1" outlineLevel="1">
      <c r="B85" s="304" t="s">
        <v>1902</v>
      </c>
      <c r="C85" s="305"/>
      <c r="D85" s="315">
        <f t="shared" si="12"/>
        <v>0</v>
      </c>
      <c r="E85" s="315"/>
      <c r="F85" s="1047"/>
      <c r="G85" s="1047"/>
      <c r="H85" s="318"/>
      <c r="I85" s="318">
        <f>IF(ISNA(VLOOKUP($B85&amp;"; "&amp;$I$79,'FE Hors Energie'!$G:$U,9,FALSE)),0,VLOOKUP($B85&amp;"; "&amp;$I$79,'FE Hors Energie'!$G:$U,9,FALSE))</f>
        <v>3450</v>
      </c>
      <c r="J85" s="306">
        <f>G85*I85</f>
        <v>0</v>
      </c>
      <c r="L85" s="319">
        <f t="shared" si="13"/>
        <v>0</v>
      </c>
      <c r="M85" s="120"/>
      <c r="N85" s="820"/>
      <c r="O85" s="306">
        <f>SQRT(SUMSQ(IF(ISNA(J85*Z85),0,J85*Z85)))</f>
        <v>0</v>
      </c>
      <c r="R85" s="606">
        <f>$G85*IF(ISNA(VLOOKUP($B85&amp;"; "&amp;$H$79,'FE Hors Energie'!$G:$U,10,FALSE)),VLOOKUP($B85&amp;"; "&amp;$I$79,'FE Hors Energie'!$G:$U,10,FALSE),VLOOKUP($B85&amp;"; "&amp;$H$79,'FE Hors Energie'!$G:$U,10,FALSE))</f>
        <v>0</v>
      </c>
      <c r="S85" s="607">
        <f>$G85*IF(ISNA(VLOOKUP($B85&amp;"; "&amp;$H$79,'FE Hors Energie'!$G:$U,12,FALSE)),VLOOKUP($B85&amp;"; "&amp;$I$79,'FE Hors Energie'!$G:$U,12,FALSE),VLOOKUP($B85&amp;"; "&amp;$H$79,'FE Hors Energie'!$G:$U,12,FALSE))</f>
        <v>0</v>
      </c>
      <c r="T85" s="607">
        <f>$G85*IF(ISNA(VLOOKUP($B85&amp;"; "&amp;$H$79,'FE Hors Energie'!$G:$U,13,FALSE)),VLOOKUP($B85&amp;"; "&amp;$I$79,'FE Hors Energie'!$G:$U,13,FALSE),VLOOKUP($B85&amp;"; "&amp;$H$79,'FE Hors Energie'!$G:$U,13,FALSE))</f>
        <v>0</v>
      </c>
      <c r="U85" s="607">
        <f>$G85*IF(ISNA(VLOOKUP($B85&amp;"; "&amp;$H$79,'FE Hors Energie'!$G:$U,14,FALSE)),VLOOKUP($B85&amp;"; "&amp;$I$79,'FE Hors Energie'!$G:$U,14,FALSE),VLOOKUP($B85&amp;"; "&amp;$H$79,'FE Hors Energie'!$G:$U,14,FALSE))</f>
        <v>0</v>
      </c>
      <c r="V85" s="608">
        <f>SUM(R85:U85)</f>
        <v>0</v>
      </c>
      <c r="W85" s="609">
        <f>$G85*IF(ISNA(VLOOKUP($B85&amp;"; "&amp;$H$79,'FE Hors Energie'!$G:$U,15,FALSE)),VLOOKUP($B85&amp;"; "&amp;$I$79,'FE Hors Energie'!$G:$U,15,FALSE),VLOOKUP($B85&amp;"; "&amp;$H$79,'FE Hors Energie'!$G:$U,15,FALSE))</f>
        <v>0</v>
      </c>
      <c r="Y85" s="1065">
        <f>IF($M85&lt;&gt;"votre valeur :",IF(ISNA(VLOOKUP($M85,Utilitaires!$N$566:$O$571,2,FALSE)),,VLOOKUP($M85,Utilitaires!$N$566:$O$571,2,FALSE)),$N85)</f>
        <v>0</v>
      </c>
      <c r="Z85" s="1130">
        <f>SQRT(SUMSQ(
IF(ISNA(VLOOKUP($B85&amp;"; "&amp;$H$79,'FE Hors Energie'!$G:$U,7,FALSE)),
VLOOKUP($B85&amp;"; "&amp;$I$79,'FE Hors Energie'!$G:$U,7,FALSE),
VLOOKUP($B85&amp;"; "&amp;$H$79,'FE Hors Energie'!$G:$U,7,FALSE)),
Y85))</f>
        <v>4</v>
      </c>
    </row>
    <row r="86" spans="1:26" s="91" customFormat="1" ht="13.2" hidden="1" outlineLevel="1">
      <c r="B86" s="304" t="s">
        <v>1980</v>
      </c>
      <c r="C86" s="305"/>
      <c r="D86" s="315">
        <f t="shared" si="12"/>
        <v>0</v>
      </c>
      <c r="E86" s="315"/>
      <c r="F86" s="123"/>
      <c r="G86" s="123"/>
      <c r="H86" s="318"/>
      <c r="I86" s="318">
        <f>IF(ISNA(VLOOKUP($B86&amp;"; "&amp;$I$79,'FE Hors Energie'!$G:$U,9,FALSE)),0,VLOOKUP($B86&amp;"; "&amp;$I$79,'FE Hors Energie'!$G:$U,9,FALSE))</f>
        <v>239</v>
      </c>
      <c r="J86" s="306">
        <f>G86*I86</f>
        <v>0</v>
      </c>
      <c r="L86" s="319">
        <f t="shared" si="13"/>
        <v>0</v>
      </c>
      <c r="M86" s="123"/>
      <c r="N86" s="820"/>
      <c r="O86" s="306">
        <f>SQRT(SUMSQ(IF(ISNA(J86*Z86),0,J86*Z86)))</f>
        <v>0</v>
      </c>
      <c r="R86" s="606">
        <f>$G86*IF(ISNA(VLOOKUP($B86&amp;"; "&amp;$H$79,'FE Hors Energie'!$G:$U,10,FALSE)),VLOOKUP($B86&amp;"; "&amp;$I$79,'FE Hors Energie'!$G:$U,10,FALSE),VLOOKUP($B86&amp;"; "&amp;$H$79,'FE Hors Energie'!$G:$U,10,FALSE))</f>
        <v>0</v>
      </c>
      <c r="S86" s="607">
        <f>$G86*IF(ISNA(VLOOKUP($B86&amp;"; "&amp;$H$79,'FE Hors Energie'!$G:$U,12,FALSE)),VLOOKUP($B86&amp;"; "&amp;$I$79,'FE Hors Energie'!$G:$U,12,FALSE),VLOOKUP($B86&amp;"; "&amp;$H$79,'FE Hors Energie'!$G:$U,12,FALSE))</f>
        <v>0</v>
      </c>
      <c r="T86" s="607">
        <f>$G86*IF(ISNA(VLOOKUP($B86&amp;"; "&amp;$H$79,'FE Hors Energie'!$G:$U,13,FALSE)),VLOOKUP($B86&amp;"; "&amp;$I$79,'FE Hors Energie'!$G:$U,13,FALSE),VLOOKUP($B86&amp;"; "&amp;$H$79,'FE Hors Energie'!$G:$U,13,FALSE))</f>
        <v>0</v>
      </c>
      <c r="U86" s="607">
        <f>$G86*IF(ISNA(VLOOKUP($B86&amp;"; "&amp;$H$79,'FE Hors Energie'!$G:$U,14,FALSE)),VLOOKUP($B86&amp;"; "&amp;$I$79,'FE Hors Energie'!$G:$U,14,FALSE),VLOOKUP($B86&amp;"; "&amp;$H$79,'FE Hors Energie'!$G:$U,14,FALSE))</f>
        <v>0</v>
      </c>
      <c r="V86" s="608">
        <f>SUM(R86:U86)</f>
        <v>0</v>
      </c>
      <c r="W86" s="609">
        <f>$G86*IF(ISNA(VLOOKUP($B86&amp;"; "&amp;$H$79,'FE Hors Energie'!$G:$U,15,FALSE)),VLOOKUP($B86&amp;"; "&amp;$I$79,'FE Hors Energie'!$G:$U,15,FALSE),VLOOKUP($B86&amp;"; "&amp;$H$79,'FE Hors Energie'!$G:$U,15,FALSE))</f>
        <v>0</v>
      </c>
      <c r="Y86" s="1065">
        <f>IF($M86&lt;&gt;"votre valeur :",IF(ISNA(VLOOKUP($M86,Utilitaires!$N$566:$O$571,2,FALSE)),,VLOOKUP($M86,Utilitaires!$N$566:$O$571,2,FALSE)),$N86)</f>
        <v>0</v>
      </c>
      <c r="Z86" s="1130">
        <f>SQRT(SUMSQ(
IF(ISNA(VLOOKUP($B86&amp;"; "&amp;$H$79,'FE Hors Energie'!$G:$U,7,FALSE)),
VLOOKUP($B86&amp;"; "&amp;$I$79,'FE Hors Energie'!$G:$U,7,FALSE),
VLOOKUP($B86&amp;"; "&amp;$H$79,'FE Hors Energie'!$G:$U,7,FALSE)),
Y86))</f>
        <v>4</v>
      </c>
    </row>
    <row r="87" spans="1:26" s="91" customFormat="1" ht="13.2" hidden="1" outlineLevel="1">
      <c r="B87" s="309"/>
      <c r="C87" s="305"/>
      <c r="D87" s="315"/>
      <c r="E87" s="315"/>
      <c r="F87" s="310"/>
      <c r="G87" s="311"/>
      <c r="H87" s="310"/>
      <c r="I87" s="310"/>
      <c r="J87" s="312"/>
      <c r="L87" s="304"/>
      <c r="M87" s="828"/>
      <c r="N87" s="828"/>
      <c r="O87" s="306"/>
      <c r="R87" s="606"/>
      <c r="S87" s="607"/>
      <c r="T87" s="607"/>
      <c r="U87" s="607"/>
      <c r="V87" s="608"/>
      <c r="W87" s="610"/>
      <c r="Y87" s="1087"/>
      <c r="Z87" s="1153"/>
    </row>
    <row r="88" spans="1:26" s="91" customFormat="1" ht="13.2" hidden="1" outlineLevel="1">
      <c r="B88" s="320" t="s">
        <v>348</v>
      </c>
      <c r="C88" s="321"/>
      <c r="D88" s="322">
        <f>SUM(D81:D87)</f>
        <v>0</v>
      </c>
      <c r="E88" s="322"/>
      <c r="F88" s="321"/>
      <c r="G88" s="323"/>
      <c r="H88" s="321"/>
      <c r="I88" s="321"/>
      <c r="J88" s="324">
        <f>SUM(J81:J87)</f>
        <v>0</v>
      </c>
      <c r="L88" s="1202">
        <f>IF(O88=0,O88,O88/I88)</f>
        <v>0</v>
      </c>
      <c r="M88" s="829"/>
      <c r="N88" s="829"/>
      <c r="O88" s="324">
        <f>SQRT(SUMSQ(O81:O87))</f>
        <v>0</v>
      </c>
      <c r="R88" s="611">
        <f t="shared" ref="R88:W88" si="14">SUM(R81:R87)</f>
        <v>0</v>
      </c>
      <c r="S88" s="612">
        <f t="shared" si="14"/>
        <v>0</v>
      </c>
      <c r="T88" s="612">
        <f t="shared" si="14"/>
        <v>0</v>
      </c>
      <c r="U88" s="612">
        <f t="shared" si="14"/>
        <v>0</v>
      </c>
      <c r="V88" s="613">
        <f t="shared" si="14"/>
        <v>0</v>
      </c>
      <c r="W88" s="614">
        <f t="shared" si="14"/>
        <v>0</v>
      </c>
    </row>
    <row r="89" spans="1:26" s="4" customFormat="1" ht="13.2">
      <c r="A89" s="91"/>
      <c r="B89" s="5"/>
      <c r="C89" s="5"/>
      <c r="D89" s="5"/>
      <c r="E89" s="92"/>
      <c r="F89" s="5"/>
      <c r="G89" s="36"/>
      <c r="H89" s="5"/>
      <c r="M89" s="9"/>
      <c r="N89" s="9"/>
      <c r="R89" s="595"/>
      <c r="S89" s="595"/>
      <c r="T89" s="595"/>
      <c r="U89" s="595"/>
      <c r="V89" s="595"/>
      <c r="W89" s="595"/>
    </row>
    <row r="90" spans="1:26" s="4" customFormat="1" ht="15.6" collapsed="1">
      <c r="A90" s="91"/>
      <c r="B90" s="2652" t="s">
        <v>588</v>
      </c>
      <c r="C90" s="2653"/>
      <c r="D90" s="2653"/>
      <c r="E90" s="2653"/>
      <c r="F90" s="2653"/>
      <c r="G90" s="2653"/>
      <c r="H90" s="2653"/>
      <c r="I90" s="2653"/>
      <c r="J90" s="2653"/>
      <c r="K90" s="2653"/>
      <c r="L90" s="2653"/>
      <c r="M90" s="2653"/>
      <c r="N90" s="2653"/>
      <c r="O90" s="2653"/>
      <c r="P90" s="2654"/>
      <c r="R90" s="595"/>
      <c r="S90" s="595"/>
      <c r="T90" s="595"/>
      <c r="U90" s="595"/>
      <c r="V90" s="595"/>
      <c r="W90" s="595"/>
    </row>
    <row r="91" spans="1:26" s="4" customFormat="1" ht="13.2" hidden="1" outlineLevel="1">
      <c r="A91" s="91"/>
      <c r="E91" s="91"/>
      <c r="F91" s="5"/>
      <c r="G91" s="7"/>
      <c r="M91" s="9"/>
      <c r="N91" s="9"/>
      <c r="R91" s="595"/>
      <c r="S91" s="595"/>
      <c r="T91" s="595"/>
      <c r="U91" s="595"/>
      <c r="V91" s="595"/>
      <c r="W91" s="595"/>
    </row>
    <row r="92" spans="1:26" s="4" customFormat="1" ht="12.75" hidden="1" customHeight="1" outlineLevel="1">
      <c r="A92" s="91"/>
      <c r="B92" s="294" t="s">
        <v>589</v>
      </c>
      <c r="C92" s="295"/>
      <c r="D92" s="284"/>
      <c r="E92" s="1624"/>
      <c r="F92" s="296"/>
      <c r="G92" s="296"/>
      <c r="H92" s="296"/>
      <c r="I92" s="297"/>
      <c r="L92" s="2748" t="s">
        <v>366</v>
      </c>
      <c r="M92" s="2749"/>
      <c r="N92" s="2749"/>
      <c r="O92" s="2750"/>
      <c r="R92" s="2751" t="s">
        <v>441</v>
      </c>
      <c r="S92" s="2752"/>
      <c r="T92" s="2752"/>
      <c r="U92" s="2752"/>
      <c r="V92" s="2752"/>
      <c r="W92" s="2753"/>
    </row>
    <row r="93" spans="1:26" s="4" customFormat="1" ht="12.75" hidden="1" customHeight="1" outlineLevel="1">
      <c r="A93" s="91"/>
      <c r="B93" s="298"/>
      <c r="C93" s="299"/>
      <c r="D93" s="286" t="s">
        <v>308</v>
      </c>
      <c r="E93" s="1625"/>
      <c r="F93" s="299"/>
      <c r="G93" s="299"/>
      <c r="H93" s="299"/>
      <c r="I93" s="300"/>
      <c r="L93" s="298"/>
      <c r="M93" s="827"/>
      <c r="N93" s="827"/>
      <c r="O93" s="307"/>
      <c r="R93" s="596"/>
      <c r="S93" s="597"/>
      <c r="T93" s="597"/>
      <c r="U93" s="597"/>
      <c r="V93" s="598"/>
      <c r="W93" s="599"/>
      <c r="Y93" s="2616" t="s">
        <v>1648</v>
      </c>
      <c r="Z93" s="2618"/>
    </row>
    <row r="94" spans="1:26" s="4" customFormat="1" ht="12.75" hidden="1" customHeight="1" outlineLevel="1">
      <c r="A94" s="91"/>
      <c r="B94" s="298"/>
      <c r="C94" s="299"/>
      <c r="D94" s="285" t="s">
        <v>409</v>
      </c>
      <c r="E94" s="1622"/>
      <c r="F94" s="147" t="s">
        <v>452</v>
      </c>
      <c r="G94" s="147" t="s">
        <v>1849</v>
      </c>
      <c r="H94" s="2626" t="s">
        <v>1572</v>
      </c>
      <c r="I94" s="302" t="s">
        <v>444</v>
      </c>
      <c r="L94" s="1166" t="s">
        <v>316</v>
      </c>
      <c r="M94" s="2629" t="s">
        <v>316</v>
      </c>
      <c r="N94" s="2630"/>
      <c r="O94" s="302" t="s">
        <v>444</v>
      </c>
      <c r="R94" s="2754" t="s">
        <v>444</v>
      </c>
      <c r="S94" s="2755"/>
      <c r="T94" s="2755"/>
      <c r="U94" s="2755"/>
      <c r="V94" s="600" t="s">
        <v>444</v>
      </c>
      <c r="W94" s="601"/>
      <c r="Y94" s="1140" t="s">
        <v>1646</v>
      </c>
      <c r="Z94" s="1141" t="s">
        <v>1844</v>
      </c>
    </row>
    <row r="95" spans="1:26" s="4" customFormat="1" ht="12.75" hidden="1" customHeight="1" outlineLevel="1">
      <c r="A95" s="91"/>
      <c r="B95" s="298"/>
      <c r="C95" s="299"/>
      <c r="D95" s="285" t="s">
        <v>444</v>
      </c>
      <c r="E95" s="1622"/>
      <c r="F95" s="149" t="s">
        <v>702</v>
      </c>
      <c r="G95" s="149" t="s">
        <v>1848</v>
      </c>
      <c r="H95" s="2626"/>
      <c r="I95" s="302"/>
      <c r="L95" s="1166" t="s">
        <v>1649</v>
      </c>
      <c r="M95" s="2646" t="s">
        <v>1650</v>
      </c>
      <c r="N95" s="2647"/>
      <c r="O95" s="302"/>
      <c r="R95" s="602" t="s">
        <v>211</v>
      </c>
      <c r="S95" s="603" t="s">
        <v>442</v>
      </c>
      <c r="T95" s="603" t="s">
        <v>267</v>
      </c>
      <c r="U95" s="603" t="s">
        <v>443</v>
      </c>
      <c r="V95" s="604" t="s">
        <v>327</v>
      </c>
      <c r="W95" s="605" t="s">
        <v>636</v>
      </c>
      <c r="Y95" s="1062"/>
      <c r="Z95" s="1129"/>
    </row>
    <row r="96" spans="1:26" s="4" customFormat="1" ht="13.2" hidden="1" outlineLevel="1">
      <c r="A96" s="91"/>
      <c r="B96" s="304" t="s">
        <v>4774</v>
      </c>
      <c r="C96" s="305"/>
      <c r="D96" s="315">
        <f>I96</f>
        <v>0</v>
      </c>
      <c r="E96" s="315"/>
      <c r="F96" s="117"/>
      <c r="G96" s="117"/>
      <c r="H96" s="317">
        <f>VLOOKUP($B96&amp;"; "&amp;$H$94,'FE Hors Energie'!$G:$U,9,FALSE)</f>
        <v>1760</v>
      </c>
      <c r="I96" s="306">
        <f>G96*H96</f>
        <v>0</v>
      </c>
      <c r="L96" s="319">
        <f>IF(O96=0,O96,O96/I96)</f>
        <v>0</v>
      </c>
      <c r="M96" s="117"/>
      <c r="N96" s="820"/>
      <c r="O96" s="306">
        <f>SQRT(SUMSQ(IF(ISNA(I96*Z96),0,I96*Z96)))</f>
        <v>0</v>
      </c>
      <c r="R96" s="606">
        <v>0</v>
      </c>
      <c r="S96" s="607">
        <v>0</v>
      </c>
      <c r="T96" s="607">
        <v>0</v>
      </c>
      <c r="U96" s="607">
        <f>I96</f>
        <v>0</v>
      </c>
      <c r="V96" s="608">
        <f>I96</f>
        <v>0</v>
      </c>
      <c r="W96" s="609">
        <v>0</v>
      </c>
      <c r="Y96" s="1065">
        <f>IF($M96&lt;&gt;"votre valeur :",IF(ISNA(VLOOKUP($M96,Utilitaires!$N$566:$O$571,2,FALSE)),,VLOOKUP($M96,Utilitaires!$N$566:$O$571,2,FALSE)),$N96)</f>
        <v>0</v>
      </c>
      <c r="Z96" s="1130">
        <f>IF(ISNA(SQRT(SUMSQ(VLOOKUP($B96&amp;"; "&amp;$H$94,'FE Hors Energie'!$G:$U,7,FALSE),$Y96))),0,SQRT(SUMSQ(VLOOKUP($B96&amp;"; "&amp;$H$94,'FE Hors Energie'!$G:$U,7,FALSE),$Y96)))</f>
        <v>0.3</v>
      </c>
    </row>
    <row r="97" spans="1:27" s="4" customFormat="1" ht="13.2" hidden="1" outlineLevel="1">
      <c r="A97" s="91"/>
      <c r="B97" s="304" t="s">
        <v>1978</v>
      </c>
      <c r="C97" s="305"/>
      <c r="D97" s="315">
        <f>I97</f>
        <v>0</v>
      </c>
      <c r="E97" s="315"/>
      <c r="F97" s="120"/>
      <c r="G97" s="120"/>
      <c r="H97" s="317">
        <f>VLOOKUP($B97&amp;"; "&amp;$H$94,'FE Hors Energie'!$G:$U,9,FALSE)</f>
        <v>160</v>
      </c>
      <c r="I97" s="306">
        <f t="shared" ref="I97:I98" si="15">G97*H97</f>
        <v>0</v>
      </c>
      <c r="L97" s="319">
        <f>IF(O97=0,O97,O97/I97)</f>
        <v>0</v>
      </c>
      <c r="M97" s="120"/>
      <c r="N97" s="820"/>
      <c r="O97" s="306">
        <f>SQRT(SUMSQ(IF(ISNA(I97*Z97),0,I97*Z97)))</f>
        <v>0</v>
      </c>
      <c r="R97" s="606">
        <v>0</v>
      </c>
      <c r="S97" s="607">
        <v>0</v>
      </c>
      <c r="T97" s="607">
        <v>0</v>
      </c>
      <c r="U97" s="607">
        <f>I97</f>
        <v>0</v>
      </c>
      <c r="V97" s="608">
        <f>I97</f>
        <v>0</v>
      </c>
      <c r="W97" s="609">
        <v>0</v>
      </c>
      <c r="Y97" s="1065">
        <f>IF($M97&lt;&gt;"votre valeur :",IF(ISNA(VLOOKUP($M97,Utilitaires!$N$566:$O$571,2,FALSE)),,VLOOKUP($M97,Utilitaires!$N$566:$O$571,2,FALSE)),$N97)</f>
        <v>0</v>
      </c>
      <c r="Z97" s="1130">
        <f>IF(ISNA(SQRT(SUMSQ(VLOOKUP($B97&amp;"; "&amp;$H$94,'FE Hors Energie'!$G:$U,7,FALSE),$Y97))),0,SQRT(SUMSQ(VLOOKUP($B97&amp;"; "&amp;$H$94,'FE Hors Energie'!$G:$U,7,FALSE),$Y97)))</f>
        <v>0.3</v>
      </c>
    </row>
    <row r="98" spans="1:27" s="4" customFormat="1" ht="13.2" hidden="1" outlineLevel="1">
      <c r="A98" s="91"/>
      <c r="B98" s="304" t="s">
        <v>1977</v>
      </c>
      <c r="C98" s="305"/>
      <c r="D98" s="315">
        <f>I98</f>
        <v>0</v>
      </c>
      <c r="E98" s="315"/>
      <c r="F98" s="123"/>
      <c r="G98" s="123"/>
      <c r="H98" s="317">
        <f>VLOOKUP($B98&amp;"; "&amp;$H$94,'FE Hors Energie'!$G:$U,9,FALSE)</f>
        <v>1750</v>
      </c>
      <c r="I98" s="306">
        <f t="shared" si="15"/>
        <v>0</v>
      </c>
      <c r="L98" s="319">
        <f>IF(O98=0,O98,O98/I98)</f>
        <v>0</v>
      </c>
      <c r="M98" s="123"/>
      <c r="N98" s="820"/>
      <c r="O98" s="306">
        <f>SQRT(SUMSQ(IF(ISNA(I98*Z98),0,I98*Z98)))</f>
        <v>0</v>
      </c>
      <c r="R98" s="606">
        <v>0</v>
      </c>
      <c r="S98" s="607">
        <v>0</v>
      </c>
      <c r="T98" s="607">
        <v>0</v>
      </c>
      <c r="U98" s="607">
        <f>I98</f>
        <v>0</v>
      </c>
      <c r="V98" s="608">
        <f>I98</f>
        <v>0</v>
      </c>
      <c r="W98" s="609">
        <v>0</v>
      </c>
      <c r="Y98" s="1065">
        <f>IF($M98&lt;&gt;"votre valeur :",IF(ISNA(VLOOKUP($M98,Utilitaires!$N$566:$O$571,2,FALSE)),,VLOOKUP($M98,Utilitaires!$N$566:$O$571,2,FALSE)),$N98)</f>
        <v>0</v>
      </c>
      <c r="Z98" s="1130">
        <f>IF(ISNA(SQRT(SUMSQ(VLOOKUP($B98&amp;"; "&amp;$H$94,'FE Hors Energie'!$G:$U,7,FALSE),$Y98))),0,SQRT(SUMSQ(VLOOKUP($B98&amp;"; "&amp;$H$94,'FE Hors Energie'!$G:$U,7,FALSE),$Y98)))</f>
        <v>0.3</v>
      </c>
    </row>
    <row r="99" spans="1:27" s="4" customFormat="1" ht="13.2" hidden="1" outlineLevel="1">
      <c r="A99" s="91"/>
      <c r="B99" s="304"/>
      <c r="C99" s="305"/>
      <c r="D99" s="316"/>
      <c r="E99" s="316"/>
      <c r="F99" s="305"/>
      <c r="G99" s="299"/>
      <c r="H99" s="305"/>
      <c r="I99" s="307"/>
      <c r="L99" s="304"/>
      <c r="M99" s="828"/>
      <c r="N99" s="828"/>
      <c r="O99" s="306"/>
      <c r="R99" s="606"/>
      <c r="S99" s="607"/>
      <c r="T99" s="607"/>
      <c r="U99" s="607"/>
      <c r="V99" s="608"/>
      <c r="W99" s="610"/>
      <c r="Y99" s="1087"/>
      <c r="Z99" s="1153"/>
    </row>
    <row r="100" spans="1:27" s="4" customFormat="1" ht="13.2" hidden="1" outlineLevel="1">
      <c r="A100" s="91"/>
      <c r="B100" s="320" t="s">
        <v>348</v>
      </c>
      <c r="C100" s="321"/>
      <c r="D100" s="322">
        <f>SUM(D96:D99)</f>
        <v>0</v>
      </c>
      <c r="E100" s="322"/>
      <c r="F100" s="321"/>
      <c r="G100" s="323"/>
      <c r="H100" s="321"/>
      <c r="I100" s="324">
        <f>SUM(I96:I99)</f>
        <v>0</v>
      </c>
      <c r="L100" s="1202">
        <f>IF(O100=0,O100,O100/I100)</f>
        <v>0</v>
      </c>
      <c r="M100" s="829"/>
      <c r="N100" s="829"/>
      <c r="O100" s="324">
        <f>SQRT(SUMSQ(O96:O99))</f>
        <v>0</v>
      </c>
      <c r="R100" s="611">
        <f t="shared" ref="R100:W100" si="16">SUM(R96:R99)</f>
        <v>0</v>
      </c>
      <c r="S100" s="612">
        <f t="shared" si="16"/>
        <v>0</v>
      </c>
      <c r="T100" s="612">
        <f t="shared" si="16"/>
        <v>0</v>
      </c>
      <c r="U100" s="612">
        <f t="shared" si="16"/>
        <v>0</v>
      </c>
      <c r="V100" s="613">
        <f t="shared" si="16"/>
        <v>0</v>
      </c>
      <c r="W100" s="614">
        <f t="shared" si="16"/>
        <v>0</v>
      </c>
    </row>
    <row r="101" spans="1:27" s="4" customFormat="1" ht="13.2" hidden="1" outlineLevel="1">
      <c r="A101" s="91"/>
      <c r="E101" s="91"/>
      <c r="F101" s="5"/>
      <c r="G101" s="7"/>
      <c r="M101" s="9"/>
      <c r="N101" s="9"/>
      <c r="Q101" s="9"/>
      <c r="V101" s="595"/>
      <c r="W101" s="595"/>
      <c r="X101" s="595"/>
      <c r="Y101" s="595"/>
      <c r="Z101" s="595"/>
      <c r="AA101" s="595"/>
    </row>
    <row r="102" spans="1:27" s="4" customFormat="1" ht="13.2">
      <c r="A102" s="91"/>
      <c r="F102" s="5"/>
      <c r="G102" s="7"/>
      <c r="M102" s="9"/>
      <c r="N102" s="9"/>
      <c r="Q102" s="9"/>
      <c r="V102" s="595"/>
      <c r="W102" s="595"/>
      <c r="X102" s="595"/>
      <c r="Y102" s="595"/>
      <c r="Z102" s="595"/>
      <c r="AA102" s="595"/>
    </row>
    <row r="103" spans="1:27" s="91" customFormat="1" ht="13.2">
      <c r="F103" s="92"/>
      <c r="G103" s="95"/>
      <c r="M103" s="9"/>
      <c r="N103" s="9"/>
      <c r="Q103" s="9"/>
      <c r="V103" s="595"/>
      <c r="W103" s="595"/>
      <c r="X103" s="595"/>
      <c r="Y103" s="595"/>
      <c r="Z103" s="595"/>
      <c r="AA103" s="595"/>
    </row>
    <row r="104" spans="1:27" s="12" customFormat="1" ht="13.2">
      <c r="A104" s="97"/>
      <c r="F104" s="22"/>
      <c r="G104" s="14"/>
      <c r="M104" s="531"/>
      <c r="N104" s="531"/>
      <c r="O104" s="38"/>
      <c r="Q104" s="531"/>
      <c r="R104" s="38"/>
      <c r="T104" s="38"/>
      <c r="V104" s="595"/>
      <c r="W104" s="595"/>
      <c r="X104" s="595"/>
      <c r="Y104" s="595"/>
      <c r="Z104" s="595"/>
      <c r="AA104" s="595"/>
    </row>
    <row r="105" spans="1:27" ht="20.100000000000001" customHeight="1">
      <c r="B105" s="2664" t="s">
        <v>518</v>
      </c>
      <c r="C105" s="2665"/>
      <c r="D105" s="2665"/>
      <c r="E105" s="2665"/>
      <c r="F105" s="2665"/>
      <c r="G105" s="2665"/>
      <c r="H105" s="2665"/>
      <c r="I105" s="2665"/>
      <c r="J105" s="2665"/>
      <c r="K105" s="2665"/>
      <c r="L105" s="2665"/>
      <c r="M105" s="2665"/>
      <c r="N105" s="2665"/>
      <c r="O105" s="2665"/>
      <c r="P105" s="2666"/>
      <c r="V105" s="595"/>
      <c r="W105" s="595"/>
      <c r="X105" s="595"/>
      <c r="Y105" s="595"/>
      <c r="Z105" s="595"/>
      <c r="AA105" s="595"/>
    </row>
    <row r="106" spans="1:27" s="4" customFormat="1" ht="13.2">
      <c r="A106" s="91"/>
      <c r="E106" s="5"/>
      <c r="G106" s="7"/>
      <c r="M106" s="9"/>
      <c r="N106" s="9"/>
      <c r="Q106" s="9"/>
      <c r="V106" s="595"/>
      <c r="W106" s="595"/>
      <c r="X106" s="595"/>
      <c r="Y106" s="595"/>
      <c r="Z106" s="595"/>
      <c r="AA106" s="595"/>
    </row>
    <row r="107" spans="1:27" s="4" customFormat="1" ht="12.75" customHeight="1">
      <c r="A107" s="91"/>
      <c r="B107" s="2667" t="str">
        <f>Descriptif!C25</f>
        <v>Hors énergie 1</v>
      </c>
      <c r="C107" s="2668"/>
      <c r="D107" s="2671" t="s">
        <v>409</v>
      </c>
      <c r="E107" s="2672"/>
      <c r="F107" s="2673"/>
      <c r="G107" s="129"/>
      <c r="H107" s="2671" t="s">
        <v>159</v>
      </c>
      <c r="I107" s="2673"/>
      <c r="J107" s="1682"/>
      <c r="K107" s="2674" t="s">
        <v>499</v>
      </c>
      <c r="L107" s="2675"/>
      <c r="M107" s="2675"/>
      <c r="N107" s="2676"/>
      <c r="O107" s="617"/>
      <c r="P107" s="617"/>
      <c r="Q107" s="617"/>
      <c r="R107" s="617"/>
      <c r="S107" s="617"/>
      <c r="T107" s="595"/>
    </row>
    <row r="108" spans="1:27" s="4" customFormat="1" ht="12.75" customHeight="1">
      <c r="A108" s="91"/>
      <c r="B108" s="2669"/>
      <c r="C108" s="2670"/>
      <c r="D108" s="486" t="s">
        <v>444</v>
      </c>
      <c r="E108" s="487" t="s">
        <v>500</v>
      </c>
      <c r="F108" s="486" t="s">
        <v>524</v>
      </c>
      <c r="G108" s="129"/>
      <c r="H108" s="486" t="s">
        <v>444</v>
      </c>
      <c r="I108" s="486" t="s">
        <v>355</v>
      </c>
      <c r="J108" s="1682"/>
      <c r="K108" s="1623" t="s">
        <v>43</v>
      </c>
      <c r="L108" s="1623" t="s">
        <v>522</v>
      </c>
      <c r="M108" s="1623" t="s">
        <v>522</v>
      </c>
      <c r="N108" s="1623" t="s">
        <v>523</v>
      </c>
      <c r="O108" s="594"/>
      <c r="P108" s="594"/>
      <c r="Q108" s="594"/>
      <c r="R108" s="594"/>
      <c r="S108" s="594"/>
      <c r="T108" s="595"/>
    </row>
    <row r="109" spans="1:27" s="4" customFormat="1" ht="12.75" customHeight="1">
      <c r="A109" s="91"/>
      <c r="B109" s="2660" t="s">
        <v>413</v>
      </c>
      <c r="C109" s="2661"/>
      <c r="D109" s="183">
        <f>D15</f>
        <v>0</v>
      </c>
      <c r="E109" s="184">
        <f t="shared" ref="E109:E114" si="17">D109/1000</f>
        <v>0</v>
      </c>
      <c r="F109" s="185">
        <f t="shared" ref="F109:F115" si="18">IF($D$115=0,"",D109/$D$115)</f>
        <v>0</v>
      </c>
      <c r="G109" s="128"/>
      <c r="H109" s="136">
        <f>O15</f>
        <v>0</v>
      </c>
      <c r="I109" s="185" t="str">
        <f t="shared" ref="I109:I114" si="19">IF(D109=0,"",H109/D109)</f>
        <v/>
      </c>
      <c r="J109" s="1682"/>
      <c r="K109" s="187">
        <f>(D109-H109)/1000</f>
        <v>0</v>
      </c>
      <c r="L109" s="187">
        <f>E109</f>
        <v>0</v>
      </c>
      <c r="M109" s="187">
        <f>E109</f>
        <v>0</v>
      </c>
      <c r="N109" s="187">
        <f>(D109+H109)/1000</f>
        <v>0</v>
      </c>
      <c r="O109" s="594"/>
      <c r="P109" s="594"/>
      <c r="Q109" s="594"/>
      <c r="R109" s="594"/>
      <c r="S109" s="594"/>
      <c r="T109" s="595"/>
    </row>
    <row r="110" spans="1:27" s="4" customFormat="1" ht="12.75" customHeight="1">
      <c r="A110" s="91"/>
      <c r="B110" s="2660" t="s">
        <v>298</v>
      </c>
      <c r="C110" s="2661"/>
      <c r="D110" s="136">
        <f>D26+D34</f>
        <v>0</v>
      </c>
      <c r="E110" s="186">
        <f t="shared" si="17"/>
        <v>0</v>
      </c>
      <c r="F110" s="185">
        <f t="shared" si="18"/>
        <v>0</v>
      </c>
      <c r="G110" s="128"/>
      <c r="H110" s="136">
        <f>SQRT(SUMSQ(O26,O34,O75))</f>
        <v>0</v>
      </c>
      <c r="I110" s="185" t="str">
        <f t="shared" si="19"/>
        <v/>
      </c>
      <c r="J110" s="1682"/>
      <c r="K110" s="187">
        <f t="shared" ref="K110:K114" si="20">(D110-H110)/1000</f>
        <v>0</v>
      </c>
      <c r="L110" s="187">
        <f t="shared" ref="L110:L114" si="21">E110</f>
        <v>0</v>
      </c>
      <c r="M110" s="187">
        <f t="shared" ref="M110:M114" si="22">E110</f>
        <v>0</v>
      </c>
      <c r="N110" s="187">
        <f t="shared" ref="N110:N114" si="23">(D110+H110)/1000</f>
        <v>0</v>
      </c>
      <c r="O110" s="594"/>
      <c r="P110" s="594"/>
      <c r="Q110" s="594"/>
      <c r="R110" s="594"/>
      <c r="S110" s="594"/>
      <c r="T110" s="595"/>
    </row>
    <row r="111" spans="1:27" s="4" customFormat="1" ht="12.75" customHeight="1">
      <c r="A111" s="91"/>
      <c r="B111" s="2660" t="s">
        <v>217</v>
      </c>
      <c r="C111" s="2661"/>
      <c r="D111" s="136">
        <f>I46</f>
        <v>0</v>
      </c>
      <c r="E111" s="186">
        <f t="shared" si="17"/>
        <v>0</v>
      </c>
      <c r="F111" s="185">
        <f t="shared" si="18"/>
        <v>0</v>
      </c>
      <c r="G111" s="128"/>
      <c r="H111" s="136">
        <f>O46</f>
        <v>0</v>
      </c>
      <c r="I111" s="185" t="str">
        <f t="shared" si="19"/>
        <v/>
      </c>
      <c r="J111" s="1682"/>
      <c r="K111" s="187">
        <f t="shared" si="20"/>
        <v>0</v>
      </c>
      <c r="L111" s="187">
        <f t="shared" si="21"/>
        <v>0</v>
      </c>
      <c r="M111" s="187">
        <f t="shared" si="22"/>
        <v>0</v>
      </c>
      <c r="N111" s="187">
        <f t="shared" si="23"/>
        <v>0</v>
      </c>
      <c r="O111" s="594"/>
      <c r="P111" s="594"/>
      <c r="Q111" s="594"/>
      <c r="R111" s="594"/>
      <c r="S111" s="594"/>
      <c r="T111" s="617"/>
    </row>
    <row r="112" spans="1:27" s="4" customFormat="1" ht="12.75" customHeight="1">
      <c r="A112" s="91"/>
      <c r="B112" s="2660" t="s">
        <v>328</v>
      </c>
      <c r="C112" s="2661"/>
      <c r="D112" s="136">
        <f>D59</f>
        <v>486</v>
      </c>
      <c r="E112" s="186">
        <f t="shared" si="17"/>
        <v>0.48599999999999999</v>
      </c>
      <c r="F112" s="185">
        <f t="shared" si="18"/>
        <v>1</v>
      </c>
      <c r="G112" s="128"/>
      <c r="H112" s="136">
        <f>O59</f>
        <v>283.38426208948158</v>
      </c>
      <c r="I112" s="185">
        <f t="shared" si="19"/>
        <v>0.58309518948452999</v>
      </c>
      <c r="J112" s="1682"/>
      <c r="K112" s="187">
        <f t="shared" si="20"/>
        <v>0.20261573791051843</v>
      </c>
      <c r="L112" s="187">
        <f t="shared" si="21"/>
        <v>0.48599999999999999</v>
      </c>
      <c r="M112" s="187">
        <f t="shared" si="22"/>
        <v>0.48599999999999999</v>
      </c>
      <c r="N112" s="187">
        <f t="shared" si="23"/>
        <v>0.76938426208948163</v>
      </c>
      <c r="O112" s="594"/>
      <c r="P112" s="594"/>
      <c r="Q112" s="594"/>
      <c r="R112" s="594"/>
      <c r="S112" s="594"/>
      <c r="T112" s="594"/>
    </row>
    <row r="113" spans="1:27" s="4" customFormat="1" ht="12.75" customHeight="1">
      <c r="A113" s="91"/>
      <c r="B113" s="2660" t="s">
        <v>35</v>
      </c>
      <c r="C113" s="2661"/>
      <c r="D113" s="136">
        <f>D100</f>
        <v>0</v>
      </c>
      <c r="E113" s="186">
        <f t="shared" si="17"/>
        <v>0</v>
      </c>
      <c r="F113" s="185">
        <f t="shared" si="18"/>
        <v>0</v>
      </c>
      <c r="G113" s="128"/>
      <c r="H113" s="136">
        <f>O100</f>
        <v>0</v>
      </c>
      <c r="I113" s="185" t="str">
        <f t="shared" si="19"/>
        <v/>
      </c>
      <c r="J113" s="1682"/>
      <c r="K113" s="187">
        <f t="shared" si="20"/>
        <v>0</v>
      </c>
      <c r="L113" s="187">
        <f t="shared" si="21"/>
        <v>0</v>
      </c>
      <c r="M113" s="187">
        <f t="shared" si="22"/>
        <v>0</v>
      </c>
      <c r="N113" s="187">
        <f t="shared" si="23"/>
        <v>0</v>
      </c>
      <c r="O113" s="594"/>
      <c r="P113" s="594"/>
      <c r="Q113" s="594"/>
      <c r="R113" s="594"/>
      <c r="S113" s="594"/>
      <c r="T113" s="594"/>
    </row>
    <row r="114" spans="1:27" s="91" customFormat="1" ht="12.75" customHeight="1">
      <c r="B114" s="1172" t="s">
        <v>197</v>
      </c>
      <c r="C114" s="1169"/>
      <c r="D114" s="1173">
        <f>D88+D75</f>
        <v>0</v>
      </c>
      <c r="E114" s="186">
        <f t="shared" si="17"/>
        <v>0</v>
      </c>
      <c r="F114" s="185">
        <f t="shared" si="18"/>
        <v>0</v>
      </c>
      <c r="G114" s="128"/>
      <c r="H114" s="1173">
        <f>SQRT(SUMSQ(O75,O88))</f>
        <v>0</v>
      </c>
      <c r="I114" s="185" t="str">
        <f t="shared" si="19"/>
        <v/>
      </c>
      <c r="J114" s="1682"/>
      <c r="K114" s="187">
        <f t="shared" si="20"/>
        <v>0</v>
      </c>
      <c r="L114" s="187">
        <f t="shared" si="21"/>
        <v>0</v>
      </c>
      <c r="M114" s="187">
        <f t="shared" si="22"/>
        <v>0</v>
      </c>
      <c r="N114" s="187">
        <f t="shared" si="23"/>
        <v>0</v>
      </c>
      <c r="O114" s="594"/>
      <c r="P114" s="594"/>
      <c r="Q114" s="594"/>
      <c r="R114" s="594"/>
      <c r="S114" s="594"/>
      <c r="T114" s="594"/>
    </row>
    <row r="115" spans="1:27" s="13" customFormat="1" ht="15">
      <c r="A115" s="98"/>
      <c r="B115" s="2662" t="s">
        <v>348</v>
      </c>
      <c r="C115" s="2663"/>
      <c r="D115" s="188">
        <f>SUM(D109:D114)</f>
        <v>486</v>
      </c>
      <c r="E115" s="189">
        <f>SUM(E109:E114)</f>
        <v>0.48599999999999999</v>
      </c>
      <c r="F115" s="190">
        <f t="shared" si="18"/>
        <v>1</v>
      </c>
      <c r="G115" s="191"/>
      <c r="H115" s="188">
        <f>SQRT(SUMSQ(H109:H114))</f>
        <v>283.38426208948158</v>
      </c>
      <c r="I115" s="190">
        <f>IF(D115=0,"",H115/D115)</f>
        <v>0.58309518948452999</v>
      </c>
      <c r="J115" s="1683"/>
      <c r="K115" s="1686">
        <f t="shared" ref="K115" si="24">(D115-H115)/1000</f>
        <v>0.20261573791051843</v>
      </c>
      <c r="L115" s="1686">
        <f t="shared" ref="L115" si="25">E115</f>
        <v>0.48599999999999999</v>
      </c>
      <c r="M115" s="1686">
        <f t="shared" ref="M115" si="26">E115</f>
        <v>0.48599999999999999</v>
      </c>
      <c r="N115" s="1686">
        <f t="shared" ref="N115" si="27">(D115+H115)/1000</f>
        <v>0.76938426208948163</v>
      </c>
      <c r="O115" s="594"/>
      <c r="P115" s="594"/>
      <c r="Q115" s="594"/>
      <c r="R115" s="594"/>
      <c r="S115" s="594"/>
      <c r="T115" s="594"/>
    </row>
    <row r="116" spans="1:27" ht="12">
      <c r="B116" s="131"/>
      <c r="C116" s="131"/>
      <c r="D116" s="131"/>
      <c r="E116" s="131"/>
      <c r="F116" s="131"/>
      <c r="G116" s="131"/>
      <c r="H116" s="172"/>
      <c r="I116" s="172"/>
      <c r="J116" s="1677"/>
      <c r="K116" s="174"/>
      <c r="L116" s="174"/>
      <c r="M116" s="174"/>
      <c r="N116" s="174"/>
      <c r="O116" s="1678"/>
      <c r="P116" s="594"/>
      <c r="Q116" s="594"/>
      <c r="R116" s="594"/>
      <c r="S116" s="594"/>
      <c r="T116" s="594"/>
      <c r="V116" s="2"/>
      <c r="W116" s="2"/>
      <c r="X116" s="2"/>
      <c r="Y116" s="2"/>
      <c r="Z116" s="2"/>
      <c r="AA116" s="2"/>
    </row>
    <row r="117" spans="1:27" ht="13.2">
      <c r="J117" s="1679"/>
      <c r="K117" s="1679"/>
      <c r="L117" s="1679"/>
      <c r="M117" s="1680"/>
      <c r="N117" s="1680"/>
      <c r="O117" s="1679"/>
      <c r="P117" s="1679"/>
      <c r="Q117" s="1680"/>
      <c r="R117" s="1679"/>
      <c r="S117" s="1679"/>
      <c r="T117" s="1679"/>
      <c r="U117" s="1679"/>
      <c r="V117" s="1681"/>
      <c r="W117" s="595"/>
      <c r="X117" s="595"/>
      <c r="Y117" s="595"/>
      <c r="Z117" s="595"/>
      <c r="AA117" s="595"/>
    </row>
    <row r="118" spans="1:27" ht="15.6">
      <c r="B118" s="2757" t="s">
        <v>525</v>
      </c>
      <c r="C118" s="2758"/>
      <c r="D118" s="2758"/>
      <c r="E118" s="2758"/>
      <c r="F118" s="2758"/>
      <c r="G118" s="2758"/>
      <c r="H118" s="2758"/>
      <c r="I118" s="2758"/>
      <c r="J118" s="2758"/>
      <c r="K118" s="2758"/>
      <c r="L118" s="2758"/>
      <c r="M118" s="2758"/>
      <c r="N118" s="2758"/>
      <c r="O118" s="2758"/>
      <c r="P118" s="2759"/>
    </row>
    <row r="119" spans="1:27" outlineLevel="1">
      <c r="G119" s="2"/>
    </row>
    <row r="120" spans="1:27" ht="24" customHeight="1" outlineLevel="1">
      <c r="A120" s="2"/>
      <c r="B120" s="45"/>
      <c r="C120" s="45"/>
      <c r="D120" s="45"/>
      <c r="E120" s="2691" t="s">
        <v>448</v>
      </c>
      <c r="F120" s="2692"/>
      <c r="G120" s="2692"/>
      <c r="H120" s="2692"/>
      <c r="I120" s="2692"/>
      <c r="J120" s="2692"/>
      <c r="K120" s="2692"/>
      <c r="L120" s="2693"/>
      <c r="M120" s="1030" t="s">
        <v>440</v>
      </c>
      <c r="N120" s="1168"/>
      <c r="V120" s="2"/>
      <c r="W120" s="2"/>
      <c r="X120" s="2"/>
      <c r="Y120" s="2"/>
      <c r="Z120" s="2"/>
      <c r="AA120" s="2"/>
    </row>
    <row r="121" spans="1:27" ht="38.25" customHeight="1" outlineLevel="1">
      <c r="A121" s="2"/>
      <c r="B121" s="2691" t="s">
        <v>438</v>
      </c>
      <c r="C121" s="2693"/>
      <c r="D121" s="46" t="s">
        <v>458</v>
      </c>
      <c r="E121" s="111" t="s">
        <v>853</v>
      </c>
      <c r="F121" s="111" t="s">
        <v>854</v>
      </c>
      <c r="G121" s="111" t="s">
        <v>855</v>
      </c>
      <c r="H121" s="111" t="s">
        <v>852</v>
      </c>
      <c r="I121" s="110" t="s">
        <v>513</v>
      </c>
      <c r="J121" s="111" t="s">
        <v>856</v>
      </c>
      <c r="K121" s="111" t="s">
        <v>891</v>
      </c>
      <c r="L121" s="112" t="s">
        <v>514</v>
      </c>
      <c r="M121" s="110" t="s">
        <v>857</v>
      </c>
      <c r="N121" s="233"/>
      <c r="V121" s="2"/>
      <c r="W121" s="2"/>
      <c r="X121" s="2"/>
      <c r="Y121" s="2"/>
      <c r="Z121" s="2"/>
      <c r="AA121" s="2"/>
    </row>
    <row r="122" spans="1:27" ht="12.75" customHeight="1" outlineLevel="1">
      <c r="A122" s="2"/>
      <c r="B122" s="2680" t="s">
        <v>459</v>
      </c>
      <c r="C122" s="2681"/>
      <c r="D122" s="42">
        <v>1</v>
      </c>
      <c r="E122" s="802"/>
      <c r="F122" s="802"/>
      <c r="G122" s="802"/>
      <c r="H122" s="802"/>
      <c r="I122" s="802"/>
      <c r="J122" s="802"/>
      <c r="K122" s="802"/>
      <c r="L122" s="803"/>
      <c r="M122" s="804"/>
      <c r="N122" s="233"/>
      <c r="V122" s="2"/>
      <c r="W122" s="2"/>
      <c r="X122" s="2"/>
      <c r="Y122" s="2"/>
      <c r="Z122" s="2"/>
      <c r="AA122" s="2"/>
    </row>
    <row r="123" spans="1:27" ht="12.75" customHeight="1" outlineLevel="1">
      <c r="A123" s="2"/>
      <c r="B123" s="2680" t="s">
        <v>460</v>
      </c>
      <c r="C123" s="2681"/>
      <c r="D123" s="42">
        <v>2</v>
      </c>
      <c r="E123" s="802"/>
      <c r="F123" s="802"/>
      <c r="G123" s="802"/>
      <c r="H123" s="802"/>
      <c r="I123" s="802"/>
      <c r="J123" s="802"/>
      <c r="K123" s="802"/>
      <c r="L123" s="803"/>
      <c r="M123" s="804"/>
      <c r="N123" s="233"/>
      <c r="V123" s="2"/>
      <c r="W123" s="2"/>
      <c r="X123" s="2"/>
      <c r="Y123" s="2"/>
      <c r="Z123" s="2"/>
      <c r="AA123" s="2"/>
    </row>
    <row r="124" spans="1:27" ht="12.75" customHeight="1" outlineLevel="1">
      <c r="A124" s="2"/>
      <c r="B124" s="2680" t="s">
        <v>461</v>
      </c>
      <c r="C124" s="2681"/>
      <c r="D124" s="42">
        <v>3</v>
      </c>
      <c r="E124" s="802">
        <f>SUMIF($F$9:$F$88,Utilitaires!$E$572,R$9:R$88)+SUMIF($F$9:$F$88,Utilitaires!$E$577,R$9:R$88)</f>
        <v>0</v>
      </c>
      <c r="F124" s="802">
        <f>SUMIF($F$9:$F$88,Utilitaires!$E$572,S$9:S$88)+SUMIF($F$9:$F$88,Utilitaires!$E$577,S$9:S$88)</f>
        <v>0</v>
      </c>
      <c r="G124" s="802">
        <f>SUMIF($F$9:$F$88,Utilitaires!$E$572,T$9:T$88)+SUMIF($F$9:$F$88,Utilitaires!$E$577,T$9:T$88)</f>
        <v>0</v>
      </c>
      <c r="H124" s="802">
        <f>SUMIF($F$9:$F$88,Utilitaires!$E$572,U$9:U$88)+SUMIF($F$9:$F$88,Utilitaires!$E$577,U$9:U$88)</f>
        <v>0</v>
      </c>
      <c r="I124" s="802">
        <f>SUM(E124:H124,K124)</f>
        <v>0</v>
      </c>
      <c r="J124" s="802">
        <f>SUMIF($F$9:$F$88,Utilitaires!$E$572,W$9:W$88)+SUMIF($F$9:$F$88,Utilitaires!$E$577,W$9:W$88)</f>
        <v>0</v>
      </c>
      <c r="K124" s="802">
        <f>IF('Bilan GES'!E38="Oui",SUMIF($F$96:$F$100,Utilitaires!$E$572,U$96:U$100)+SUMIF($F$96:$F$100,Utilitaires!$E$577,U$96:U$100),0)</f>
        <v>0</v>
      </c>
      <c r="L124" s="803">
        <f>SQRT(SUMPRODUCT(($F$9:(IF('Bilan GES'!E38="Oui",F$100,F$88))=Utilitaires!$E$572)*1,O$9:(IF('Bilan GES'!E38="Oui",O$100,O$88)),O$9:(IF('Bilan GES'!E38="Oui",O$100,O$88)))+SUMPRODUCT(($F$9:(IF('Bilan GES'!E38="Oui",F$100,F$88))=Utilitaires!$E$577)*1,O$9:(IF('Bilan GES'!E38="Oui",O$100,O$88)),O$9:(IF('Bilan GES'!E38="Oui",O$100,O$88))))</f>
        <v>0</v>
      </c>
      <c r="M124" s="804"/>
      <c r="N124" s="233"/>
      <c r="V124" s="2"/>
      <c r="W124" s="2"/>
      <c r="X124" s="2"/>
      <c r="Y124" s="2"/>
      <c r="Z124" s="2"/>
      <c r="AA124" s="2"/>
    </row>
    <row r="125" spans="1:27" ht="12.75" customHeight="1" outlineLevel="1">
      <c r="A125" s="2"/>
      <c r="B125" s="2680" t="s">
        <v>462</v>
      </c>
      <c r="C125" s="2681"/>
      <c r="D125" s="42">
        <v>4</v>
      </c>
      <c r="E125" s="802">
        <f>SUMIF($F$9:$F$88,Utilitaires!$E$573,R$9:R$88)+SUMIF($F$9:$F$88,Utilitaires!$E$578,R$9:R$88)</f>
        <v>0</v>
      </c>
      <c r="F125" s="802">
        <f>SUMIF($F$9:$F$88,Utilitaires!$E$573,S$9:S$88)+SUMIF($F$9:$F$88,Utilitaires!$E$578,S$9:S$88)</f>
        <v>0</v>
      </c>
      <c r="G125" s="802">
        <f>SUMIF($F$9:$F$88,Utilitaires!$E$573,T$9:T$88)+SUMIF($F$9:$F$88,Utilitaires!$E$578,T$9:T$88)</f>
        <v>0</v>
      </c>
      <c r="H125" s="802">
        <f>SUMIF($F$9:$F$88,Utilitaires!$E$573,U$9:U$88)+SUMIF($F$9:$F$88,Utilitaires!$E$578,U$9:U$88)</f>
        <v>486</v>
      </c>
      <c r="I125" s="802">
        <f>SUM(E125:H125,K125)</f>
        <v>486</v>
      </c>
      <c r="J125" s="802">
        <f>SUMIF($F$9:$F$88,Utilitaires!$E$573,W$9:W$88)+SUMIF($F$9:$F$88,Utilitaires!$E$578,W$9:W$88)</f>
        <v>0</v>
      </c>
      <c r="K125" s="802">
        <f>IF('Bilan GES'!E38="Oui",SUMIF($F$96:$F$100,Utilitaires!$E$573,U$96:U$100)+SUMIF($F$96:$F$100,Utilitaires!$E$578,U$96:U$100),0)</f>
        <v>0</v>
      </c>
      <c r="L125" s="803">
        <f>SQRT(SUMPRODUCT(($F$9:(IF('Bilan GES'!E38="Oui",F$100,F$88))=Utilitaires!$E$573)*1,O$9:(IF('Bilan GES'!E38="Oui",O$100,O$88)),O$9:(IF('Bilan GES'!E38="Oui",O$100,O$88)))+SUMPRODUCT(($F$9:(IF('Bilan GES'!E38="Oui",F$100,F$88))=Utilitaires!$E$578)*1,O$9:(IF('Bilan GES'!E38="Oui",O$100,O$88)),O$9:(IF('Bilan GES'!E38="Oui",O$100,O$88))))</f>
        <v>283.38426208948158</v>
      </c>
      <c r="M125" s="804"/>
      <c r="N125" s="233"/>
      <c r="V125" s="2"/>
      <c r="W125" s="2"/>
      <c r="X125" s="2"/>
      <c r="Y125" s="2"/>
      <c r="Z125" s="2"/>
      <c r="AA125" s="2"/>
    </row>
    <row r="126" spans="1:27" ht="12.75" customHeight="1" outlineLevel="1">
      <c r="A126" s="2"/>
      <c r="B126" s="2680" t="s">
        <v>463</v>
      </c>
      <c r="C126" s="2681"/>
      <c r="D126" s="42">
        <v>5</v>
      </c>
      <c r="E126" s="802"/>
      <c r="F126" s="802"/>
      <c r="G126" s="802"/>
      <c r="H126" s="802"/>
      <c r="I126" s="802"/>
      <c r="J126" s="802"/>
      <c r="K126" s="802"/>
      <c r="L126" s="803"/>
      <c r="M126" s="804"/>
      <c r="N126" s="233"/>
      <c r="V126" s="2"/>
      <c r="W126" s="2"/>
      <c r="X126" s="2"/>
      <c r="Y126" s="2"/>
      <c r="Z126" s="2"/>
      <c r="AA126" s="2"/>
    </row>
    <row r="127" spans="1:27" ht="12.75" customHeight="1" outlineLevel="1">
      <c r="A127" s="2"/>
      <c r="B127" s="2682"/>
      <c r="C127" s="2683"/>
      <c r="D127" s="39" t="s">
        <v>439</v>
      </c>
      <c r="E127" s="805">
        <f t="shared" ref="E127:M127" si="28">SUM(E122:E126)</f>
        <v>0</v>
      </c>
      <c r="F127" s="805">
        <f t="shared" si="28"/>
        <v>0</v>
      </c>
      <c r="G127" s="805">
        <f t="shared" si="28"/>
        <v>0</v>
      </c>
      <c r="H127" s="805">
        <f t="shared" si="28"/>
        <v>486</v>
      </c>
      <c r="I127" s="805">
        <f t="shared" si="28"/>
        <v>486</v>
      </c>
      <c r="J127" s="805">
        <f>SUM(J122:J126)</f>
        <v>0</v>
      </c>
      <c r="K127" s="807">
        <f>SUM(K122:K126)</f>
        <v>0</v>
      </c>
      <c r="L127" s="806">
        <f>SQRT(SUMSQ(L122:L126))</f>
        <v>283.38426208948158</v>
      </c>
      <c r="M127" s="807">
        <f t="shared" si="28"/>
        <v>0</v>
      </c>
      <c r="N127" s="233"/>
      <c r="V127" s="2"/>
      <c r="W127" s="2"/>
      <c r="X127" s="2"/>
      <c r="Y127" s="2"/>
      <c r="Z127" s="2"/>
      <c r="AA127" s="2"/>
    </row>
    <row r="128" spans="1:27" ht="12.75" customHeight="1" outlineLevel="1">
      <c r="A128" s="2"/>
      <c r="B128" s="2684" t="s">
        <v>464</v>
      </c>
      <c r="C128" s="2685"/>
      <c r="D128" s="43">
        <v>6</v>
      </c>
      <c r="E128" s="808"/>
      <c r="F128" s="808"/>
      <c r="G128" s="808"/>
      <c r="H128" s="808"/>
      <c r="I128" s="808"/>
      <c r="J128" s="808"/>
      <c r="K128" s="808"/>
      <c r="L128" s="803"/>
      <c r="M128" s="809"/>
      <c r="N128" s="233"/>
      <c r="V128" s="2"/>
      <c r="W128" s="2"/>
      <c r="X128" s="2"/>
      <c r="Y128" s="2"/>
      <c r="Z128" s="2"/>
      <c r="AA128" s="2"/>
    </row>
    <row r="129" spans="1:27" ht="12.75" customHeight="1" outlineLevel="1">
      <c r="A129" s="2"/>
      <c r="B129" s="2686" t="s">
        <v>465</v>
      </c>
      <c r="C129" s="2687"/>
      <c r="D129" s="43">
        <v>7</v>
      </c>
      <c r="E129" s="808"/>
      <c r="F129" s="808"/>
      <c r="G129" s="808"/>
      <c r="H129" s="808"/>
      <c r="I129" s="808"/>
      <c r="J129" s="808"/>
      <c r="K129" s="808"/>
      <c r="L129" s="803"/>
      <c r="M129" s="809"/>
      <c r="N129" s="233"/>
      <c r="V129" s="2"/>
      <c r="W129" s="2"/>
      <c r="X129" s="2"/>
      <c r="Y129" s="2"/>
      <c r="Z129" s="2"/>
      <c r="AA129" s="2"/>
    </row>
    <row r="130" spans="1:27" ht="12.75" customHeight="1" outlineLevel="1">
      <c r="A130" s="2"/>
      <c r="B130" s="2696"/>
      <c r="C130" s="2697"/>
      <c r="D130" s="40" t="s">
        <v>439</v>
      </c>
      <c r="E130" s="810">
        <f t="shared" ref="E130:M130" si="29">SUM(E128:E129)</f>
        <v>0</v>
      </c>
      <c r="F130" s="810">
        <f t="shared" si="29"/>
        <v>0</v>
      </c>
      <c r="G130" s="810">
        <f t="shared" si="29"/>
        <v>0</v>
      </c>
      <c r="H130" s="810">
        <f t="shared" si="29"/>
        <v>0</v>
      </c>
      <c r="I130" s="810">
        <f t="shared" si="29"/>
        <v>0</v>
      </c>
      <c r="J130" s="810">
        <f t="shared" si="29"/>
        <v>0</v>
      </c>
      <c r="K130" s="810">
        <v>0</v>
      </c>
      <c r="L130" s="806">
        <f>SQRT(SUMSQ(L128:L129))</f>
        <v>0</v>
      </c>
      <c r="M130" s="811">
        <f t="shared" si="29"/>
        <v>0</v>
      </c>
      <c r="N130" s="233"/>
      <c r="V130" s="2"/>
      <c r="W130" s="2"/>
      <c r="X130" s="2"/>
      <c r="Y130" s="2"/>
      <c r="Z130" s="2"/>
      <c r="AA130" s="2"/>
    </row>
    <row r="131" spans="1:27" ht="12.75" customHeight="1" outlineLevel="1">
      <c r="A131" s="2"/>
      <c r="B131" s="2694" t="s">
        <v>466</v>
      </c>
      <c r="C131" s="2695"/>
      <c r="D131" s="44">
        <v>8</v>
      </c>
      <c r="E131" s="812"/>
      <c r="F131" s="812"/>
      <c r="G131" s="812"/>
      <c r="H131" s="812"/>
      <c r="I131" s="812"/>
      <c r="J131" s="812"/>
      <c r="K131" s="812"/>
      <c r="L131" s="803"/>
      <c r="M131" s="812"/>
      <c r="N131" s="594"/>
      <c r="O131" s="594"/>
      <c r="P131" s="594"/>
      <c r="Q131" s="594"/>
      <c r="V131" s="2"/>
      <c r="W131" s="2"/>
      <c r="X131" s="2"/>
      <c r="Y131" s="2"/>
      <c r="Z131" s="2"/>
      <c r="AA131" s="2"/>
    </row>
    <row r="132" spans="1:27" ht="12.75" customHeight="1" outlineLevel="1">
      <c r="A132" s="2"/>
      <c r="B132" s="2694" t="s">
        <v>467</v>
      </c>
      <c r="C132" s="2695"/>
      <c r="D132" s="44">
        <v>9</v>
      </c>
      <c r="E132" s="812"/>
      <c r="F132" s="812"/>
      <c r="G132" s="812"/>
      <c r="H132" s="812"/>
      <c r="I132" s="812"/>
      <c r="J132" s="812"/>
      <c r="K132" s="812"/>
      <c r="L132" s="803"/>
      <c r="M132" s="812"/>
      <c r="N132" s="594"/>
      <c r="O132" s="594"/>
      <c r="P132" s="594"/>
      <c r="Q132" s="594"/>
      <c r="V132" s="2"/>
      <c r="W132" s="2"/>
      <c r="X132" s="2"/>
      <c r="Y132" s="2"/>
      <c r="Z132" s="2"/>
      <c r="AA132" s="2"/>
    </row>
    <row r="133" spans="1:27" ht="12.75" customHeight="1" outlineLevel="1">
      <c r="A133" s="2"/>
      <c r="B133" s="2694" t="s">
        <v>468</v>
      </c>
      <c r="C133" s="2695"/>
      <c r="D133" s="44">
        <v>10</v>
      </c>
      <c r="E133" s="812"/>
      <c r="F133" s="812"/>
      <c r="G133" s="812"/>
      <c r="H133" s="812"/>
      <c r="I133" s="812"/>
      <c r="J133" s="812"/>
      <c r="K133" s="812"/>
      <c r="L133" s="803"/>
      <c r="M133" s="812"/>
      <c r="N133" s="233"/>
      <c r="V133" s="2"/>
      <c r="W133" s="2"/>
      <c r="X133" s="2"/>
      <c r="Y133" s="2"/>
      <c r="Z133" s="2"/>
      <c r="AA133" s="2"/>
    </row>
    <row r="134" spans="1:27" ht="12.75" customHeight="1" outlineLevel="1">
      <c r="A134" s="2"/>
      <c r="B134" s="2694" t="s">
        <v>386</v>
      </c>
      <c r="C134" s="2695"/>
      <c r="D134" s="44">
        <v>11</v>
      </c>
      <c r="E134" s="812"/>
      <c r="F134" s="812"/>
      <c r="G134" s="812"/>
      <c r="H134" s="812"/>
      <c r="I134" s="812"/>
      <c r="J134" s="812"/>
      <c r="K134" s="812"/>
      <c r="L134" s="803"/>
      <c r="M134" s="812"/>
      <c r="N134" s="233"/>
      <c r="V134" s="2"/>
      <c r="W134" s="2"/>
      <c r="X134" s="2"/>
      <c r="Y134" s="2"/>
      <c r="Z134" s="2"/>
      <c r="AA134" s="2"/>
    </row>
    <row r="135" spans="1:27" ht="12.75" customHeight="1" outlineLevel="1">
      <c r="A135" s="2"/>
      <c r="B135" s="2694" t="s">
        <v>469</v>
      </c>
      <c r="C135" s="2695"/>
      <c r="D135" s="44">
        <v>12</v>
      </c>
      <c r="E135" s="812"/>
      <c r="F135" s="812"/>
      <c r="G135" s="812"/>
      <c r="H135" s="812"/>
      <c r="I135" s="812"/>
      <c r="J135" s="812"/>
      <c r="K135" s="812"/>
      <c r="L135" s="803"/>
      <c r="M135" s="812"/>
      <c r="N135" s="233"/>
      <c r="V135" s="2"/>
      <c r="W135" s="2"/>
      <c r="X135" s="2"/>
      <c r="Y135" s="2"/>
      <c r="Z135" s="2"/>
      <c r="AA135" s="2"/>
    </row>
    <row r="136" spans="1:27" ht="12.75" customHeight="1" outlineLevel="1">
      <c r="A136" s="2"/>
      <c r="B136" s="2694" t="s">
        <v>470</v>
      </c>
      <c r="C136" s="2695"/>
      <c r="D136" s="44">
        <v>13</v>
      </c>
      <c r="E136" s="812"/>
      <c r="F136" s="812"/>
      <c r="G136" s="812"/>
      <c r="H136" s="812"/>
      <c r="I136" s="812"/>
      <c r="J136" s="812"/>
      <c r="K136" s="812"/>
      <c r="L136" s="803"/>
      <c r="M136" s="812"/>
      <c r="N136" s="233"/>
    </row>
    <row r="137" spans="1:27" ht="12.75" customHeight="1" outlineLevel="1">
      <c r="A137" s="2"/>
      <c r="B137" s="2694" t="s">
        <v>471</v>
      </c>
      <c r="C137" s="2695"/>
      <c r="D137" s="44">
        <v>14</v>
      </c>
      <c r="E137" s="812">
        <f>SUMIF($F$9:$F$100,Utilitaires!$E$574,R$9:R$100)</f>
        <v>0</v>
      </c>
      <c r="F137" s="812">
        <f>SUMIF($F$9:$F$59,Utilitaires!$E$574,S$9:S$59)</f>
        <v>0</v>
      </c>
      <c r="G137" s="812">
        <f>SUMIF($F$9:$F$59,Utilitaires!$E$574,T$9:T$59)</f>
        <v>0</v>
      </c>
      <c r="H137" s="812">
        <f>SUMIF($F$9:$F$59,Utilitaires!$E$574,U$9:U$59)</f>
        <v>0</v>
      </c>
      <c r="I137" s="812">
        <f>SUM(E137:H137,K137)</f>
        <v>0</v>
      </c>
      <c r="J137" s="812">
        <f>SUMIF($F$9:$F$100,Utilitaires!$E$574,W$9:W$100)</f>
        <v>0</v>
      </c>
      <c r="K137" s="812">
        <f>IF('Bilan GES'!E38="Oui",SUMIF($F$96:$F$100,Utilitaires!$E$574,U$96:U$100),0)</f>
        <v>0</v>
      </c>
      <c r="L137" s="803">
        <f>SQRT(SUMPRODUCT(($F$9:(IF('Bilan GES'!E38="Oui",F$100,F$88))=Utilitaires!$E$574)*1,O$9:(IF('Bilan GES'!E38="Oui",O$100,O$88)),O$9:(IF('Bilan GES'!E38="Oui",O$100,O$88))))</f>
        <v>0</v>
      </c>
      <c r="M137" s="812"/>
      <c r="N137" s="233"/>
    </row>
    <row r="138" spans="1:27" ht="12.75" customHeight="1" outlineLevel="1">
      <c r="A138" s="2"/>
      <c r="B138" s="2694" t="s">
        <v>472</v>
      </c>
      <c r="C138" s="2695"/>
      <c r="D138" s="44">
        <v>15</v>
      </c>
      <c r="E138" s="812"/>
      <c r="F138" s="812"/>
      <c r="G138" s="812"/>
      <c r="H138" s="812"/>
      <c r="I138" s="812"/>
      <c r="J138" s="812"/>
      <c r="K138" s="812"/>
      <c r="L138" s="803"/>
      <c r="M138" s="812"/>
      <c r="N138" s="233"/>
    </row>
    <row r="139" spans="1:27" ht="12.75" customHeight="1" outlineLevel="1">
      <c r="A139" s="2"/>
      <c r="B139" s="2694" t="s">
        <v>473</v>
      </c>
      <c r="C139" s="2695"/>
      <c r="D139" s="44">
        <v>16</v>
      </c>
      <c r="E139" s="812"/>
      <c r="F139" s="812"/>
      <c r="G139" s="812"/>
      <c r="H139" s="812"/>
      <c r="I139" s="812"/>
      <c r="J139" s="812"/>
      <c r="K139" s="812"/>
      <c r="L139" s="803"/>
      <c r="M139" s="812"/>
      <c r="N139" s="233"/>
    </row>
    <row r="140" spans="1:27" ht="12.75" customHeight="1" outlineLevel="1">
      <c r="A140" s="2"/>
      <c r="B140" s="2694" t="s">
        <v>474</v>
      </c>
      <c r="C140" s="2695"/>
      <c r="D140" s="44">
        <v>17</v>
      </c>
      <c r="E140" s="812"/>
      <c r="F140" s="812"/>
      <c r="G140" s="812"/>
      <c r="H140" s="812"/>
      <c r="I140" s="812"/>
      <c r="J140" s="812"/>
      <c r="K140" s="812"/>
      <c r="L140" s="803"/>
      <c r="M140" s="812"/>
      <c r="N140" s="233"/>
    </row>
    <row r="141" spans="1:27" ht="12.75" customHeight="1" outlineLevel="1">
      <c r="A141" s="2"/>
      <c r="B141" s="2694" t="s">
        <v>475</v>
      </c>
      <c r="C141" s="2695"/>
      <c r="D141" s="44">
        <v>18</v>
      </c>
      <c r="E141" s="812"/>
      <c r="F141" s="812"/>
      <c r="G141" s="812"/>
      <c r="H141" s="812"/>
      <c r="I141" s="812"/>
      <c r="J141" s="812"/>
      <c r="K141" s="812"/>
      <c r="L141" s="803"/>
      <c r="M141" s="812"/>
      <c r="N141" s="233"/>
    </row>
    <row r="142" spans="1:27" ht="12.75" customHeight="1" outlineLevel="1">
      <c r="A142" s="2"/>
      <c r="B142" s="2694" t="s">
        <v>476</v>
      </c>
      <c r="C142" s="2695"/>
      <c r="D142" s="44">
        <v>19</v>
      </c>
      <c r="E142" s="812">
        <v>0</v>
      </c>
      <c r="F142" s="812"/>
      <c r="G142" s="812"/>
      <c r="H142" s="812"/>
      <c r="I142" s="812"/>
      <c r="J142" s="812"/>
      <c r="K142" s="812"/>
      <c r="L142" s="803"/>
      <c r="M142" s="812"/>
      <c r="N142" s="233"/>
    </row>
    <row r="143" spans="1:27" ht="12.75" customHeight="1" outlineLevel="1">
      <c r="A143" s="2"/>
      <c r="B143" s="2694" t="s">
        <v>477</v>
      </c>
      <c r="C143" s="2695"/>
      <c r="D143" s="44">
        <v>20</v>
      </c>
      <c r="E143" s="812"/>
      <c r="F143" s="812"/>
      <c r="G143" s="812"/>
      <c r="H143" s="812"/>
      <c r="I143" s="812"/>
      <c r="J143" s="812"/>
      <c r="K143" s="812"/>
      <c r="L143" s="803"/>
      <c r="M143" s="812"/>
      <c r="N143" s="233"/>
    </row>
    <row r="144" spans="1:27" ht="12.75" customHeight="1" outlineLevel="1">
      <c r="A144" s="2"/>
      <c r="B144" s="2694" t="s">
        <v>478</v>
      </c>
      <c r="C144" s="2695"/>
      <c r="D144" s="44">
        <v>21</v>
      </c>
      <c r="E144" s="812"/>
      <c r="F144" s="812"/>
      <c r="G144" s="812"/>
      <c r="H144" s="812"/>
      <c r="I144" s="812"/>
      <c r="J144" s="812"/>
      <c r="K144" s="812"/>
      <c r="L144" s="803"/>
      <c r="M144" s="812"/>
      <c r="N144" s="233"/>
    </row>
    <row r="145" spans="1:27" ht="12.75" customHeight="1" outlineLevel="1">
      <c r="A145" s="2"/>
      <c r="B145" s="2694" t="s">
        <v>479</v>
      </c>
      <c r="C145" s="2695"/>
      <c r="D145" s="44">
        <v>22</v>
      </c>
      <c r="E145" s="812"/>
      <c r="F145" s="812"/>
      <c r="G145" s="812"/>
      <c r="H145" s="812"/>
      <c r="I145" s="812"/>
      <c r="J145" s="812"/>
      <c r="K145" s="812"/>
      <c r="L145" s="803"/>
      <c r="M145" s="812"/>
      <c r="N145" s="233"/>
    </row>
    <row r="146" spans="1:27" ht="12.75" customHeight="1" outlineLevel="1">
      <c r="A146" s="2"/>
      <c r="B146" s="2694" t="s">
        <v>449</v>
      </c>
      <c r="C146" s="2695"/>
      <c r="D146" s="44">
        <v>23</v>
      </c>
      <c r="E146" s="812">
        <f>SUMIF($F$9:$F$100,Utilitaires!$E$575,R$9:R$100)+SUMIF($F$9:$F$100,Utilitaires!$E$579,R$9:R$100)</f>
        <v>0</v>
      </c>
      <c r="F146" s="812">
        <f>SUMIF($F$9:$F$100,Utilitaires!$E$575,S$9:S$100)+SUMIF($F$9:$F$100,Utilitaires!$E$579,S$9:S$100)</f>
        <v>0</v>
      </c>
      <c r="G146" s="812">
        <f>SUMIF($F$9:$F$100,Utilitaires!$E$575,T$9:T$100)+SUMIF($F$9:$F$100,Utilitaires!$E$579,T$9:T$100)</f>
        <v>0</v>
      </c>
      <c r="H146" s="812">
        <f>SUMIF($F$9:$F$100,Utilitaires!$E$575,U$9:U$100)+SUMIF($F$9:$F$100,Utilitaires!$E$579,U$9:U$100)</f>
        <v>0</v>
      </c>
      <c r="I146" s="812">
        <f>SUM(E146:H146,K146)</f>
        <v>0</v>
      </c>
      <c r="J146" s="812">
        <f>SUMIF($F$9:$F$100,Utilitaires!$E$575,W$9:W$100)+SUMIF($F$9:$F$100,Utilitaires!$E$579,W$9:W$100)</f>
        <v>0</v>
      </c>
      <c r="K146" s="812">
        <f>IF('Bilan GES'!E38="Oui",SUMIF($F$96:$F$100,Utilitaires!$E$575,U$96:U$100)+SUMIF($F$96:$F$100,Utilitaires!$E$579,U$96:U$100),0)</f>
        <v>0</v>
      </c>
      <c r="L146" s="803">
        <f>SQRT(SUMPRODUCT(($F$9:(IF('Bilan GES'!E38="Oui",F$100,F$88))=Utilitaires!$E$575)*1,O$9:(IF('Bilan GES'!E38="Oui",O$100,O$88)),O$9:(IF('Bilan GES'!E38="Oui",O$100,O$88)))+SUMPRODUCT(($F$9:(IF('Bilan GES'!E38="Oui",F$100,F$88))=Utilitaires!$E$579)*1,O$9:(IF('Bilan GES'!E38="Oui",O$100,O$88)),O$9:(IF('Bilan GES'!E38="Oui",O$100,O$88))))</f>
        <v>0</v>
      </c>
      <c r="M146" s="812"/>
      <c r="N146" s="233"/>
    </row>
    <row r="147" spans="1:27" ht="12.75" customHeight="1" outlineLevel="1">
      <c r="A147" s="2"/>
      <c r="B147" s="2706"/>
      <c r="C147" s="2707"/>
      <c r="D147" s="41" t="s">
        <v>439</v>
      </c>
      <c r="E147" s="813">
        <f t="shared" ref="E147:J147" si="30">SUM(E131:E146)</f>
        <v>0</v>
      </c>
      <c r="F147" s="813">
        <f t="shared" si="30"/>
        <v>0</v>
      </c>
      <c r="G147" s="813">
        <f t="shared" si="30"/>
        <v>0</v>
      </c>
      <c r="H147" s="813">
        <f t="shared" si="30"/>
        <v>0</v>
      </c>
      <c r="I147" s="813">
        <f t="shared" si="30"/>
        <v>0</v>
      </c>
      <c r="J147" s="813">
        <f t="shared" si="30"/>
        <v>0</v>
      </c>
      <c r="K147" s="813">
        <f>SUM(K131:K146)</f>
        <v>0</v>
      </c>
      <c r="L147" s="806">
        <f>SQRT(SUMSQ(L131:L146))</f>
        <v>0</v>
      </c>
      <c r="M147" s="813">
        <f>SUM(M131:M146)</f>
        <v>0</v>
      </c>
      <c r="N147" s="233"/>
    </row>
    <row r="148" spans="1:27" outlineLevel="1">
      <c r="A148" s="2"/>
    </row>
    <row r="149" spans="1:27" s="91" customFormat="1" ht="13.2">
      <c r="G149" s="95"/>
      <c r="M149" s="9"/>
      <c r="N149" s="9"/>
      <c r="Q149" s="9"/>
      <c r="V149" s="595"/>
      <c r="W149" s="595"/>
      <c r="X149" s="595"/>
      <c r="Y149" s="595"/>
      <c r="Z149" s="595"/>
      <c r="AA149" s="595"/>
    </row>
    <row r="150" spans="1:27" s="113" customFormat="1" ht="15.6" collapsed="1">
      <c r="B150" s="2698" t="s">
        <v>721</v>
      </c>
      <c r="C150" s="2699"/>
      <c r="D150" s="2699"/>
      <c r="E150" s="2699"/>
      <c r="F150" s="2699"/>
      <c r="G150" s="2699"/>
      <c r="H150" s="2699"/>
      <c r="I150" s="2699"/>
      <c r="J150" s="2699"/>
      <c r="K150" s="2699"/>
      <c r="L150" s="2699"/>
      <c r="M150" s="2699"/>
      <c r="N150" s="2699"/>
      <c r="O150" s="2699"/>
      <c r="P150" s="2700"/>
      <c r="X150" s="817"/>
    </row>
    <row r="151" spans="1:27" s="113" customFormat="1" hidden="1" outlineLevel="1">
      <c r="X151" s="817"/>
    </row>
    <row r="152" spans="1:27" s="113" customFormat="1" ht="38.25" hidden="1" customHeight="1" outlineLevel="1">
      <c r="B152" s="205"/>
      <c r="C152" s="205"/>
      <c r="D152" s="205"/>
      <c r="E152" s="2701" t="s">
        <v>448</v>
      </c>
      <c r="F152" s="2702"/>
      <c r="G152" s="2702"/>
      <c r="H152" s="2702"/>
      <c r="I152" s="2702"/>
      <c r="J152" s="2702"/>
      <c r="K152" s="2702"/>
      <c r="L152" s="2702"/>
      <c r="M152" s="2702"/>
      <c r="N152" s="2703"/>
      <c r="O152" s="865" t="s">
        <v>440</v>
      </c>
      <c r="X152" s="817"/>
    </row>
    <row r="153" spans="1:27" s="113" customFormat="1" ht="25.5" hidden="1" customHeight="1" outlineLevel="1">
      <c r="B153" s="2701" t="s">
        <v>438</v>
      </c>
      <c r="C153" s="2703"/>
      <c r="D153" s="867" t="s">
        <v>458</v>
      </c>
      <c r="E153" s="866" t="s">
        <v>853</v>
      </c>
      <c r="F153" s="866" t="s">
        <v>854</v>
      </c>
      <c r="G153" s="866" t="s">
        <v>855</v>
      </c>
      <c r="H153" s="866" t="s">
        <v>858</v>
      </c>
      <c r="I153" s="866" t="s">
        <v>859</v>
      </c>
      <c r="J153" s="866" t="s">
        <v>860</v>
      </c>
      <c r="K153" s="866" t="s">
        <v>852</v>
      </c>
      <c r="L153" s="867" t="s">
        <v>513</v>
      </c>
      <c r="M153" s="866" t="s">
        <v>856</v>
      </c>
      <c r="N153" s="866" t="s">
        <v>514</v>
      </c>
      <c r="O153" s="867" t="s">
        <v>513</v>
      </c>
      <c r="AA153" s="817"/>
    </row>
    <row r="154" spans="1:27" s="113" customFormat="1" ht="12.75" hidden="1" customHeight="1" outlineLevel="1">
      <c r="B154" s="2704" t="s">
        <v>459</v>
      </c>
      <c r="C154" s="2705"/>
      <c r="D154" s="861" t="s">
        <v>727</v>
      </c>
      <c r="E154" s="855"/>
      <c r="F154" s="855"/>
      <c r="G154" s="855"/>
      <c r="H154" s="855"/>
      <c r="I154" s="855"/>
      <c r="J154" s="855"/>
      <c r="K154" s="855"/>
      <c r="L154" s="864"/>
      <c r="M154" s="853"/>
      <c r="N154" s="858"/>
      <c r="O154" s="857"/>
      <c r="AA154" s="817"/>
    </row>
    <row r="155" spans="1:27" s="113" customFormat="1" ht="12.75" hidden="1" customHeight="1" outlineLevel="1">
      <c r="B155" s="2704" t="s">
        <v>722</v>
      </c>
      <c r="C155" s="2705"/>
      <c r="D155" s="862" t="s">
        <v>728</v>
      </c>
      <c r="E155" s="855"/>
      <c r="F155" s="855"/>
      <c r="G155" s="855"/>
      <c r="H155" s="855"/>
      <c r="I155" s="855"/>
      <c r="J155" s="855"/>
      <c r="K155" s="855"/>
      <c r="L155" s="864"/>
      <c r="M155" s="853"/>
      <c r="N155" s="858"/>
      <c r="O155" s="857"/>
      <c r="AA155" s="817"/>
    </row>
    <row r="156" spans="1:27" s="113" customFormat="1" ht="12.75" hidden="1" customHeight="1" outlineLevel="1">
      <c r="B156" s="2704" t="s">
        <v>723</v>
      </c>
      <c r="C156" s="2705"/>
      <c r="D156" s="862" t="s">
        <v>729</v>
      </c>
      <c r="E156" s="855">
        <f>SUMIF($F$9:$F$100,Utilitaires!$E$572,R$9:R$100)+SUMIF($F$9:$F$100,Utilitaires!$E$577,R$9:R$100)</f>
        <v>0</v>
      </c>
      <c r="F156" s="855">
        <f>SUMIF($F$9:$F$100,Utilitaires!$E$572,S$9:S$100)+SUMIF($F$9:$F$100,Utilitaires!$E$577,S$9:S$100)</f>
        <v>0</v>
      </c>
      <c r="G156" s="855">
        <f>SUMIF($F$9:$F$100,Utilitaires!$E$572,T$9:T$100)+SUMIF($F$9:$F$100,Utilitaires!$E$577,T$9:T$100)</f>
        <v>0</v>
      </c>
      <c r="H156" s="855">
        <f>SUMPRODUCT(($F$55:$F$58=Utilitaires!$E$572)*(LEFT($B$55:$B$58,3)&lt;&gt;"Per")*(LEFT($B$55:$B$58,3)&lt;&gt;"SF6")*(U$55:U$58))+SUMPRODUCT(($F$55:$F$58=Utilitaires!$E$577)*(LEFT($B$55:$B$58,3)&lt;&gt;"Per")*(LEFT($B$55:$B$58,3)&lt;&gt;"SF6")*(U$55:U$58))</f>
        <v>0</v>
      </c>
      <c r="I156" s="855">
        <f>SUMPRODUCT(($F$55:$F$58=Utilitaires!$E$572)*(LEFT($B$55:$B$58,3)="Per")*(U$55:U$58))+SUMPRODUCT(($F$55:$F$58=Utilitaires!$E$577)*(LEFT($B$55:$B$58,3)="Per")*(U$55:U$58))</f>
        <v>0</v>
      </c>
      <c r="J156" s="855">
        <f>SUMPRODUCT(($F$55:$F$58=Utilitaires!$E$572)*(LEFT($B$55:$B$58,3)="SF6")*(U$55:U$58))+SUMPRODUCT(($F$55:$F$58=Utilitaires!$E$577)*(LEFT($B$55:$B$58,3)="SF6")*(U$55:U$58))</f>
        <v>0</v>
      </c>
      <c r="K156" s="855">
        <f>SUMIF($F$92:$F$100,Utilitaires!$E$572,U$92:U$100)+SUMIF($F$92:$F$100,Utilitaires!$E$577,U$92:U$100)</f>
        <v>0</v>
      </c>
      <c r="L156" s="864">
        <f>SUM(E156:K156)</f>
        <v>0</v>
      </c>
      <c r="M156" s="853">
        <f>SUMIF($F$9:$F$100,Utilitaires!$E$572,W$9:W$100)+SUMIF($F$9:$F$100,Utilitaires!$E$577,W$9:W$100)</f>
        <v>0</v>
      </c>
      <c r="N156" s="858">
        <f>SQRT(SUMPRODUCT(($F$9:$F$100=Utilitaires!$E$572)*1,O$9:O$100,O$9:O$100)+SUMPRODUCT(($F$9:$F$100=Utilitaires!$E$577)*1,O$9:O$100,O$9:O$100))</f>
        <v>0</v>
      </c>
      <c r="O156" s="857"/>
      <c r="AA156" s="817"/>
    </row>
    <row r="157" spans="1:27" s="113" customFormat="1" ht="12.75" hidden="1" customHeight="1" outlineLevel="1">
      <c r="B157" s="2704" t="s">
        <v>462</v>
      </c>
      <c r="C157" s="2705"/>
      <c r="D157" s="862" t="s">
        <v>730</v>
      </c>
      <c r="E157" s="855">
        <f>SUMIF($F$9:$F$100,Utilitaires!$E$573,R$9:R$100)+SUMIF($F$9:$F$100,Utilitaires!$E$578,R$9:R$100)</f>
        <v>0</v>
      </c>
      <c r="F157" s="855">
        <f>SUMIF($F$9:$F$100,Utilitaires!$E$573,S$9:S$100)+SUMIF($F$9:$F$100,Utilitaires!$E$578,S$9:S$100)</f>
        <v>0</v>
      </c>
      <c r="G157" s="855">
        <f>SUMIF($F$9:$F$100,Utilitaires!$E$573,T$9:T$100)+SUMIF($F$9:$F$100,Utilitaires!$E$578,T$9:T$100)</f>
        <v>0</v>
      </c>
      <c r="H157" s="855">
        <f>SUMPRODUCT(($F$55:$F$58=Utilitaires!$E$573)*(LEFT($B$55:$B$58,3)&lt;&gt;"Per")*(LEFT($B$55:$B$58,3)&lt;&gt;"SF6")*(U$55:U$58))+SUMPRODUCT(($F$55:$F$58=Utilitaires!$E$578)*(LEFT($B$55:$B$58,3)&lt;&gt;"Per")*(LEFT($B$55:$B$58,3)&lt;&gt;"SF6")*(U$55:U$58))</f>
        <v>486</v>
      </c>
      <c r="I157" s="855">
        <f>SUMPRODUCT(($F$55:$F$58=Utilitaires!$E$573)*(LEFT($B$55:$B$58,3)="Per")*(U$55:U$58))+SUMPRODUCT(($F$55:$F$58=Utilitaires!$E$578)*(LEFT($B$55:$B$58,3)="Per")*(U$55:U$58))</f>
        <v>0</v>
      </c>
      <c r="J157" s="855">
        <f>SUMPRODUCT(($F$55:$F$58=Utilitaires!$E$573)*(LEFT($B$55:$B$58,3)="SF6")*(U$55:U$58))+SUMPRODUCT(($F$55:$F$58=Utilitaires!$E$578)*(LEFT($B$55:$B$58,3)="SF6")*(U$55:U$58))</f>
        <v>0</v>
      </c>
      <c r="K157" s="855">
        <f>SUMIF($F$92:$F$100,Utilitaires!$E$573,U$92:U$100)+SUMIF($F$92:$F$100,Utilitaires!$E$578,U$92:U$100)</f>
        <v>0</v>
      </c>
      <c r="L157" s="864">
        <f>SUM(E157:K157)</f>
        <v>486</v>
      </c>
      <c r="M157" s="853">
        <f>SUMIF($F$9:$F$100,Utilitaires!$E$573,W$9:W$100)+SUMIF($F$9:$F$100,Utilitaires!$E$578,W$9:W$100)</f>
        <v>0</v>
      </c>
      <c r="N157" s="858">
        <f>SQRT(SUMPRODUCT(($F$9:$F$100=Utilitaires!$E$573)*1,O$9:O$100,O$9:O$100)+SUMPRODUCT(($F$9:$F$100=Utilitaires!$E$578)*1,O$9:O$100,O$9:O$100))</f>
        <v>283.38426208948158</v>
      </c>
      <c r="O157" s="857"/>
      <c r="AA157" s="817"/>
    </row>
    <row r="158" spans="1:27" s="113" customFormat="1" ht="12.75" hidden="1" customHeight="1" outlineLevel="1">
      <c r="B158" s="2710" t="s">
        <v>726</v>
      </c>
      <c r="C158" s="2711"/>
      <c r="D158" s="2712"/>
      <c r="E158" s="852">
        <f t="shared" ref="E158:M158" si="31">SUM(E154:E157)</f>
        <v>0</v>
      </c>
      <c r="F158" s="852">
        <f t="shared" si="31"/>
        <v>0</v>
      </c>
      <c r="G158" s="852">
        <f t="shared" si="31"/>
        <v>0</v>
      </c>
      <c r="H158" s="852">
        <f t="shared" si="31"/>
        <v>486</v>
      </c>
      <c r="I158" s="852">
        <f t="shared" si="31"/>
        <v>0</v>
      </c>
      <c r="J158" s="852">
        <f t="shared" si="31"/>
        <v>0</v>
      </c>
      <c r="K158" s="852">
        <f t="shared" si="31"/>
        <v>0</v>
      </c>
      <c r="L158" s="852">
        <f t="shared" si="31"/>
        <v>486</v>
      </c>
      <c r="M158" s="863">
        <f t="shared" si="31"/>
        <v>0</v>
      </c>
      <c r="N158" s="859">
        <f>SQRT(SUMSQ(N154:N157))</f>
        <v>283.38426208948158</v>
      </c>
      <c r="O158" s="860">
        <f>SUM(O154:O157)</f>
        <v>0</v>
      </c>
      <c r="AA158" s="817"/>
    </row>
    <row r="159" spans="1:27" s="113" customFormat="1" ht="12.75" hidden="1" customHeight="1" outlineLevel="1">
      <c r="B159" s="2704" t="s">
        <v>464</v>
      </c>
      <c r="C159" s="2705"/>
      <c r="D159" s="862" t="s">
        <v>731</v>
      </c>
      <c r="E159" s="855"/>
      <c r="F159" s="855"/>
      <c r="G159" s="855"/>
      <c r="H159" s="855"/>
      <c r="I159" s="855"/>
      <c r="J159" s="855"/>
      <c r="K159" s="855"/>
      <c r="L159" s="864"/>
      <c r="M159" s="853"/>
      <c r="N159" s="858"/>
      <c r="O159" s="856"/>
      <c r="AA159" s="817"/>
    </row>
    <row r="160" spans="1:27" s="113" customFormat="1" ht="12.75" hidden="1" customHeight="1" outlineLevel="1">
      <c r="B160" s="2708" t="s">
        <v>465</v>
      </c>
      <c r="C160" s="2709"/>
      <c r="D160" s="862" t="s">
        <v>732</v>
      </c>
      <c r="E160" s="855"/>
      <c r="F160" s="855"/>
      <c r="G160" s="855"/>
      <c r="H160" s="855"/>
      <c r="I160" s="855"/>
      <c r="J160" s="855"/>
      <c r="K160" s="855"/>
      <c r="L160" s="864"/>
      <c r="M160" s="853"/>
      <c r="N160" s="858"/>
      <c r="O160" s="856"/>
      <c r="AA160" s="817"/>
    </row>
    <row r="161" spans="2:27" s="113" customFormat="1" ht="12.75" hidden="1" customHeight="1" outlineLevel="1">
      <c r="B161" s="2710" t="s">
        <v>725</v>
      </c>
      <c r="C161" s="2711"/>
      <c r="D161" s="2712"/>
      <c r="E161" s="852">
        <f t="shared" ref="E161:L161" si="32">SUM(E159:E160)</f>
        <v>0</v>
      </c>
      <c r="F161" s="852">
        <f t="shared" si="32"/>
        <v>0</v>
      </c>
      <c r="G161" s="852">
        <f t="shared" si="32"/>
        <v>0</v>
      </c>
      <c r="H161" s="852">
        <f t="shared" si="32"/>
        <v>0</v>
      </c>
      <c r="I161" s="852">
        <f t="shared" si="32"/>
        <v>0</v>
      </c>
      <c r="J161" s="852">
        <f t="shared" si="32"/>
        <v>0</v>
      </c>
      <c r="K161" s="852">
        <f t="shared" si="32"/>
        <v>0</v>
      </c>
      <c r="L161" s="852">
        <f t="shared" si="32"/>
        <v>0</v>
      </c>
      <c r="M161" s="863">
        <f>SUM(M159:M160)</f>
        <v>0</v>
      </c>
      <c r="N161" s="859">
        <f>SQRT(SUMSQ(N159:N160))</f>
        <v>0</v>
      </c>
      <c r="O161" s="860">
        <f>SUM(O159:O160)</f>
        <v>0</v>
      </c>
      <c r="AA161" s="817"/>
    </row>
    <row r="162" spans="2:27" s="113" customFormat="1" ht="12.75" hidden="1" customHeight="1" outlineLevel="1">
      <c r="B162" s="2713" t="s">
        <v>757</v>
      </c>
      <c r="C162" s="2714"/>
      <c r="D162" s="2714"/>
      <c r="E162" s="2714"/>
      <c r="F162" s="2714"/>
      <c r="G162" s="2714"/>
      <c r="H162" s="2714"/>
      <c r="I162" s="2714"/>
      <c r="J162" s="2714"/>
      <c r="K162" s="2714"/>
      <c r="L162" s="2714"/>
      <c r="M162" s="2714"/>
      <c r="N162" s="2714"/>
      <c r="O162" s="2715"/>
      <c r="AA162" s="817"/>
    </row>
    <row r="163" spans="2:27" s="113" customFormat="1" ht="12.75" hidden="1" customHeight="1" outlineLevel="1">
      <c r="B163" s="2704" t="s">
        <v>733</v>
      </c>
      <c r="C163" s="2705"/>
      <c r="D163" s="862" t="s">
        <v>741</v>
      </c>
      <c r="E163" s="855"/>
      <c r="F163" s="855"/>
      <c r="G163" s="855"/>
      <c r="H163" s="855"/>
      <c r="I163" s="855"/>
      <c r="J163" s="855"/>
      <c r="K163" s="855"/>
      <c r="L163" s="864"/>
      <c r="M163" s="853"/>
      <c r="N163" s="858"/>
      <c r="O163" s="856"/>
      <c r="AA163" s="817"/>
    </row>
    <row r="164" spans="2:27" s="113" customFormat="1" ht="12.75" hidden="1" customHeight="1" outlineLevel="1">
      <c r="B164" s="2704" t="s">
        <v>734</v>
      </c>
      <c r="C164" s="2705"/>
      <c r="D164" s="862" t="s">
        <v>742</v>
      </c>
      <c r="E164" s="855"/>
      <c r="F164" s="855"/>
      <c r="G164" s="855"/>
      <c r="H164" s="855"/>
      <c r="I164" s="855"/>
      <c r="J164" s="855"/>
      <c r="K164" s="855"/>
      <c r="L164" s="864"/>
      <c r="M164" s="853"/>
      <c r="N164" s="858"/>
      <c r="O164" s="856"/>
      <c r="AA164" s="817"/>
    </row>
    <row r="165" spans="2:27" s="113" customFormat="1" ht="12.75" hidden="1" customHeight="1" outlineLevel="1">
      <c r="B165" s="2708" t="s">
        <v>735</v>
      </c>
      <c r="C165" s="2709"/>
      <c r="D165" s="862" t="s">
        <v>743</v>
      </c>
      <c r="E165" s="855"/>
      <c r="F165" s="855"/>
      <c r="G165" s="855"/>
      <c r="H165" s="855"/>
      <c r="I165" s="855"/>
      <c r="J165" s="855"/>
      <c r="K165" s="855"/>
      <c r="L165" s="864"/>
      <c r="M165" s="853"/>
      <c r="N165" s="858"/>
      <c r="O165" s="856"/>
      <c r="AA165" s="817"/>
    </row>
    <row r="166" spans="2:27" s="113" customFormat="1" ht="12.75" hidden="1" customHeight="1" outlineLevel="1">
      <c r="B166" s="2704" t="s">
        <v>815</v>
      </c>
      <c r="C166" s="2705"/>
      <c r="D166" s="862" t="s">
        <v>744</v>
      </c>
      <c r="E166" s="855"/>
      <c r="F166" s="855"/>
      <c r="G166" s="855"/>
      <c r="H166" s="855"/>
      <c r="I166" s="855"/>
      <c r="J166" s="855"/>
      <c r="K166" s="855"/>
      <c r="L166" s="864"/>
      <c r="M166" s="853"/>
      <c r="N166" s="858"/>
      <c r="O166" s="856"/>
      <c r="AA166" s="817"/>
    </row>
    <row r="167" spans="2:27" s="113" customFormat="1" ht="12.75" hidden="1" customHeight="1" outlineLevel="1">
      <c r="B167" s="2704" t="s">
        <v>736</v>
      </c>
      <c r="C167" s="2705"/>
      <c r="D167" s="862" t="s">
        <v>745</v>
      </c>
      <c r="E167" s="855"/>
      <c r="F167" s="855"/>
      <c r="G167" s="855"/>
      <c r="H167" s="855"/>
      <c r="I167" s="855"/>
      <c r="J167" s="855"/>
      <c r="K167" s="855"/>
      <c r="L167" s="864"/>
      <c r="M167" s="853"/>
      <c r="N167" s="858"/>
      <c r="O167" s="856"/>
      <c r="AA167" s="817"/>
    </row>
    <row r="168" spans="2:27" s="113" customFormat="1" ht="12.75" hidden="1" customHeight="1" outlineLevel="1">
      <c r="B168" s="2704" t="s">
        <v>470</v>
      </c>
      <c r="C168" s="2705"/>
      <c r="D168" s="862" t="s">
        <v>746</v>
      </c>
      <c r="E168" s="855"/>
      <c r="F168" s="855"/>
      <c r="G168" s="855"/>
      <c r="H168" s="855"/>
      <c r="I168" s="855"/>
      <c r="J168" s="855"/>
      <c r="K168" s="855"/>
      <c r="L168" s="864"/>
      <c r="M168" s="853"/>
      <c r="N168" s="858"/>
      <c r="O168" s="856"/>
      <c r="AA168" s="817"/>
    </row>
    <row r="169" spans="2:27" s="113" customFormat="1" ht="12.75" hidden="1" customHeight="1" outlineLevel="1">
      <c r="B169" s="2704" t="s">
        <v>479</v>
      </c>
      <c r="C169" s="2705"/>
      <c r="D169" s="862" t="s">
        <v>747</v>
      </c>
      <c r="E169" s="855"/>
      <c r="F169" s="855"/>
      <c r="G169" s="855"/>
      <c r="H169" s="855"/>
      <c r="I169" s="855"/>
      <c r="J169" s="855"/>
      <c r="K169" s="855"/>
      <c r="L169" s="864"/>
      <c r="M169" s="853"/>
      <c r="N169" s="858"/>
      <c r="O169" s="856"/>
      <c r="AA169" s="817"/>
    </row>
    <row r="170" spans="2:27" s="113" customFormat="1" ht="12.75" hidden="1" customHeight="1" outlineLevel="1">
      <c r="B170" s="2704" t="s">
        <v>471</v>
      </c>
      <c r="C170" s="2705"/>
      <c r="D170" s="862" t="s">
        <v>748</v>
      </c>
      <c r="E170" s="855">
        <f>SUMIF($F$9:$F$100,Utilitaires!$E$574,R$9:R$100)</f>
        <v>0</v>
      </c>
      <c r="F170" s="855">
        <f>SUMIF($F$9:$F$100,Utilitaires!$E$574,S$9:S$100)</f>
        <v>0</v>
      </c>
      <c r="G170" s="855">
        <f>SUMIF($F$9:$F$100,Utilitaires!$E$574,T$9:T$100)</f>
        <v>0</v>
      </c>
      <c r="H170" s="855">
        <f>SUMPRODUCT(($F$55:$F$58=Utilitaires!$E$574)*(LEFT($B$55:$B$58,3)&lt;&gt;"Per")*(LEFT($B$55:$B$58,3)&lt;&gt;"SF6")*(U$55:U$58))</f>
        <v>0</v>
      </c>
      <c r="I170" s="855">
        <f>SUMPRODUCT(($F$55:$F$58=Utilitaires!$E$574)*(LEFT($B$55:$B$58,3)="Per")*(U$55:U$58))</f>
        <v>0</v>
      </c>
      <c r="J170" s="855">
        <f>SUMPRODUCT(($F$55:$F$58=Utilitaires!$E$574)*(LEFT($B$55:$B$58,3)="SF6")*(U$55:U$58))</f>
        <v>0</v>
      </c>
      <c r="K170" s="855">
        <f>SUMIF($F$92:$F$100,Utilitaires!$E$574,U$92:U$100)</f>
        <v>0</v>
      </c>
      <c r="L170" s="864">
        <f>SUM(E170:K170)</f>
        <v>0</v>
      </c>
      <c r="M170" s="853">
        <f>SUMIF($F$9:$F$100,Utilitaires!$E$574,W$9:W$100)</f>
        <v>0</v>
      </c>
      <c r="N170" s="858">
        <f>SQRT(SUMPRODUCT(($F$9:$F$100=Utilitaires!$E$574)*1,O$9:O$100,O$9:O$100))</f>
        <v>0</v>
      </c>
      <c r="O170" s="856"/>
      <c r="AA170" s="817"/>
    </row>
    <row r="171" spans="2:27" s="113" customFormat="1" ht="12.75" hidden="1" customHeight="1" outlineLevel="1">
      <c r="B171" s="2704" t="s">
        <v>762</v>
      </c>
      <c r="C171" s="2705"/>
      <c r="D171" s="854"/>
      <c r="E171" s="855">
        <f>SUMIF($F$9:$F$100,Utilitaires!$E$575,R$9:R$100)+SUMIF($F$9:$F$100,Utilitaires!$E$579,R$9:R$100)</f>
        <v>0</v>
      </c>
      <c r="F171" s="855">
        <f>SUMIF($F$9:$F$100,Utilitaires!$E$575,S$9:S$100)+SUMIF($F$9:$F$100,Utilitaires!$E$579,S$9:S$100)</f>
        <v>0</v>
      </c>
      <c r="G171" s="855">
        <f>SUMIF($F$9:$F$100,Utilitaires!$E$575,T$9:T$100)+SUMIF($F$9:$F$100,Utilitaires!$E$579,T$9:T$100)</f>
        <v>0</v>
      </c>
      <c r="H171" s="855">
        <f>SUMPRODUCT(($F$55:$F$58=Utilitaires!$E$575)*(LEFT($B$55:$B$58,3)&lt;&gt;"Per")*(LEFT($B$55:$B$58,3)&lt;&gt;"SF6")*(U$55:U$58))+SUMPRODUCT(($F$55:$F$58=Utilitaires!$E$579)*(LEFT($B$55:$B$58,3)&lt;&gt;"Per")*(LEFT($B$55:$B$58,3)&lt;&gt;"SF6")*(U$55:U$58))</f>
        <v>0</v>
      </c>
      <c r="I171" s="855">
        <f>SUMPRODUCT(($F$55:$F$58=Utilitaires!$E$575)*(LEFT($B$55:$B$58,3)="Per")*(U$55:U$58))+SUMPRODUCT(($F$55:$F$58=Utilitaires!$E$579)*(LEFT($B$55:$B$58,3)="Per")*(U$55:U$58))</f>
        <v>0</v>
      </c>
      <c r="J171" s="855">
        <f>SUMPRODUCT(($F$55:$F$58=Utilitaires!$E$575)*(LEFT($B$55:$B$58,3)="SF6")*(U$55:U$58))+SUMPRODUCT(($F$55:$F$58=Utilitaires!$E$579)*(LEFT($B$55:$B$58,3)="SF6")*(U$55:U$58))</f>
        <v>0</v>
      </c>
      <c r="K171" s="855">
        <f>SUMIF($F$92:$F$100,Utilitaires!$E$575,U$92:U$100)+SUMIF($F$92:$F$100,Utilitaires!$E$579,U$92:U$100)</f>
        <v>0</v>
      </c>
      <c r="L171" s="864">
        <f>SUM(E171:K171)</f>
        <v>0</v>
      </c>
      <c r="M171" s="853">
        <f>SUMIF($F$9:$F$100,Utilitaires!$E$575,W$9:W$100)+SUMIF($F$9:$F$100,Utilitaires!$E$579,W$9:W$100)</f>
        <v>0</v>
      </c>
      <c r="N171" s="858">
        <f>SQRT(SUMPRODUCT(($F$9:$F$100=Utilitaires!$E$575)*1,O$9:O$100,O$9:O$100)+SUMPRODUCT(($F$9:$F$100=Utilitaires!$E$579)*1,O$9:O$100,O$9:O$100))</f>
        <v>0</v>
      </c>
      <c r="O171" s="856"/>
      <c r="AA171" s="817"/>
    </row>
    <row r="172" spans="2:27" s="113" customFormat="1" ht="12.75" hidden="1" customHeight="1" outlineLevel="1">
      <c r="B172" s="2713" t="s">
        <v>756</v>
      </c>
      <c r="C172" s="2714"/>
      <c r="D172" s="2714"/>
      <c r="E172" s="2714"/>
      <c r="F172" s="2714"/>
      <c r="G172" s="2714"/>
      <c r="H172" s="2714"/>
      <c r="I172" s="2714"/>
      <c r="J172" s="2714"/>
      <c r="K172" s="2714"/>
      <c r="L172" s="2714"/>
      <c r="M172" s="2714"/>
      <c r="N172" s="2714"/>
      <c r="O172" s="2715"/>
      <c r="AA172" s="817"/>
    </row>
    <row r="173" spans="2:27" s="113" customFormat="1" ht="12.75" hidden="1" customHeight="1" outlineLevel="1">
      <c r="B173" s="2704" t="s">
        <v>737</v>
      </c>
      <c r="C173" s="2705"/>
      <c r="D173" s="862" t="s">
        <v>749</v>
      </c>
      <c r="E173" s="855"/>
      <c r="F173" s="855"/>
      <c r="G173" s="855"/>
      <c r="H173" s="855"/>
      <c r="I173" s="855"/>
      <c r="J173" s="855"/>
      <c r="K173" s="855"/>
      <c r="L173" s="864"/>
      <c r="M173" s="853"/>
      <c r="N173" s="858"/>
      <c r="O173" s="856"/>
      <c r="AA173" s="817"/>
    </row>
    <row r="174" spans="2:27" s="113" customFormat="1" ht="12.75" hidden="1" customHeight="1" outlineLevel="1">
      <c r="B174" s="2704" t="s">
        <v>738</v>
      </c>
      <c r="C174" s="2705"/>
      <c r="D174" s="862" t="s">
        <v>750</v>
      </c>
      <c r="E174" s="855"/>
      <c r="F174" s="855"/>
      <c r="G174" s="855"/>
      <c r="H174" s="855"/>
      <c r="I174" s="855"/>
      <c r="J174" s="855"/>
      <c r="K174" s="855"/>
      <c r="L174" s="864"/>
      <c r="M174" s="853"/>
      <c r="N174" s="858"/>
      <c r="O174" s="856"/>
      <c r="AA174" s="817"/>
    </row>
    <row r="175" spans="2:27" s="113" customFormat="1" ht="12.75" hidden="1" customHeight="1" outlineLevel="1">
      <c r="B175" s="2704" t="s">
        <v>475</v>
      </c>
      <c r="C175" s="2705"/>
      <c r="D175" s="862" t="s">
        <v>751</v>
      </c>
      <c r="E175" s="855"/>
      <c r="F175" s="855"/>
      <c r="G175" s="855"/>
      <c r="H175" s="855"/>
      <c r="I175" s="855"/>
      <c r="J175" s="855"/>
      <c r="K175" s="855"/>
      <c r="L175" s="864"/>
      <c r="M175" s="853"/>
      <c r="N175" s="858"/>
      <c r="O175" s="856"/>
      <c r="AA175" s="817"/>
    </row>
    <row r="176" spans="2:27" s="113" customFormat="1" ht="12.75" hidden="1" customHeight="1" outlineLevel="1">
      <c r="B176" s="2704" t="s">
        <v>476</v>
      </c>
      <c r="C176" s="2705"/>
      <c r="D176" s="862" t="s">
        <v>752</v>
      </c>
      <c r="E176" s="855"/>
      <c r="F176" s="855"/>
      <c r="G176" s="855"/>
      <c r="H176" s="855"/>
      <c r="I176" s="855"/>
      <c r="J176" s="855"/>
      <c r="K176" s="855"/>
      <c r="L176" s="864"/>
      <c r="M176" s="853"/>
      <c r="N176" s="858"/>
      <c r="O176" s="856"/>
      <c r="AA176" s="817"/>
    </row>
    <row r="177" spans="1:27" s="113" customFormat="1" ht="12.75" hidden="1" customHeight="1" outlineLevel="1">
      <c r="B177" s="2704" t="s">
        <v>739</v>
      </c>
      <c r="C177" s="2705"/>
      <c r="D177" s="862" t="s">
        <v>753</v>
      </c>
      <c r="E177" s="855"/>
      <c r="F177" s="855"/>
      <c r="G177" s="855"/>
      <c r="H177" s="855"/>
      <c r="I177" s="855"/>
      <c r="J177" s="855"/>
      <c r="K177" s="855"/>
      <c r="L177" s="864"/>
      <c r="M177" s="853"/>
      <c r="N177" s="858"/>
      <c r="O177" s="856"/>
      <c r="AA177" s="817"/>
    </row>
    <row r="178" spans="1:27" s="113" customFormat="1" ht="12.75" hidden="1" customHeight="1" outlineLevel="1">
      <c r="B178" s="2704" t="s">
        <v>740</v>
      </c>
      <c r="C178" s="2705"/>
      <c r="D178" s="862" t="s">
        <v>754</v>
      </c>
      <c r="E178" s="855"/>
      <c r="F178" s="855"/>
      <c r="G178" s="855"/>
      <c r="H178" s="855"/>
      <c r="I178" s="855"/>
      <c r="J178" s="855"/>
      <c r="K178" s="855"/>
      <c r="L178" s="864"/>
      <c r="M178" s="853"/>
      <c r="N178" s="858"/>
      <c r="O178" s="856"/>
      <c r="AA178" s="817"/>
    </row>
    <row r="179" spans="1:27" s="113" customFormat="1" ht="12.75" hidden="1" customHeight="1" outlineLevel="1">
      <c r="B179" s="2704" t="s">
        <v>472</v>
      </c>
      <c r="C179" s="2705"/>
      <c r="D179" s="862" t="s">
        <v>755</v>
      </c>
      <c r="E179" s="855"/>
      <c r="F179" s="855"/>
      <c r="G179" s="855"/>
      <c r="H179" s="855"/>
      <c r="I179" s="855"/>
      <c r="J179" s="855"/>
      <c r="K179" s="855"/>
      <c r="L179" s="864"/>
      <c r="M179" s="853"/>
      <c r="N179" s="858"/>
      <c r="O179" s="856"/>
      <c r="AA179" s="817"/>
    </row>
    <row r="180" spans="1:27" s="113" customFormat="1" ht="12.75" hidden="1" customHeight="1" outlineLevel="1">
      <c r="B180" s="2704" t="s">
        <v>763</v>
      </c>
      <c r="C180" s="2705"/>
      <c r="D180" s="854"/>
      <c r="E180" s="855"/>
      <c r="F180" s="855"/>
      <c r="G180" s="855"/>
      <c r="H180" s="855"/>
      <c r="I180" s="855"/>
      <c r="J180" s="855"/>
      <c r="K180" s="855"/>
      <c r="L180" s="864"/>
      <c r="M180" s="853"/>
      <c r="N180" s="858"/>
      <c r="O180" s="856"/>
      <c r="AA180" s="817"/>
    </row>
    <row r="181" spans="1:27" s="113" customFormat="1" ht="12.75" hidden="1" customHeight="1" outlineLevel="1">
      <c r="B181" s="2710" t="s">
        <v>724</v>
      </c>
      <c r="C181" s="2711"/>
      <c r="D181" s="2712"/>
      <c r="E181" s="852">
        <f t="shared" ref="E181:M181" si="33">SUM(E163:E180)</f>
        <v>0</v>
      </c>
      <c r="F181" s="852">
        <f t="shared" si="33"/>
        <v>0</v>
      </c>
      <c r="G181" s="852">
        <f t="shared" si="33"/>
        <v>0</v>
      </c>
      <c r="H181" s="852">
        <f t="shared" si="33"/>
        <v>0</v>
      </c>
      <c r="I181" s="852">
        <f t="shared" si="33"/>
        <v>0</v>
      </c>
      <c r="J181" s="852">
        <f t="shared" si="33"/>
        <v>0</v>
      </c>
      <c r="K181" s="852">
        <f t="shared" si="33"/>
        <v>0</v>
      </c>
      <c r="L181" s="852">
        <f t="shared" si="33"/>
        <v>0</v>
      </c>
      <c r="M181" s="863">
        <f t="shared" si="33"/>
        <v>0</v>
      </c>
      <c r="N181" s="859">
        <f>SQRT(SUMSQ(N163:N180))</f>
        <v>0</v>
      </c>
      <c r="O181" s="860">
        <f>SUM(O163:O180)</f>
        <v>0</v>
      </c>
      <c r="AA181" s="817"/>
    </row>
    <row r="182" spans="1:27" s="113" customFormat="1" hidden="1" outlineLevel="1">
      <c r="X182" s="817"/>
    </row>
    <row r="183" spans="1:27">
      <c r="A183" s="2"/>
      <c r="G183" s="2"/>
      <c r="M183" s="2"/>
      <c r="N183" s="233"/>
      <c r="Q183" s="2"/>
      <c r="V183" s="2"/>
      <c r="W183" s="2"/>
      <c r="X183" s="2"/>
      <c r="Y183" s="2"/>
      <c r="Z183" s="2"/>
      <c r="AA183" s="2"/>
    </row>
    <row r="184" spans="1:27" s="113" customFormat="1" ht="15.75" customHeight="1" collapsed="1">
      <c r="B184" s="2716" t="s">
        <v>810</v>
      </c>
      <c r="C184" s="2717"/>
      <c r="D184" s="2717"/>
      <c r="E184" s="2717"/>
      <c r="F184" s="2717"/>
      <c r="G184" s="2717"/>
      <c r="H184" s="2717"/>
      <c r="I184" s="2717"/>
      <c r="J184" s="2717"/>
      <c r="K184" s="2717"/>
      <c r="L184" s="2717"/>
      <c r="M184" s="2717"/>
      <c r="N184" s="2717"/>
      <c r="O184" s="2717"/>
      <c r="P184" s="2718"/>
      <c r="X184" s="817"/>
    </row>
    <row r="185" spans="1:27" s="113" customFormat="1" hidden="1" outlineLevel="1">
      <c r="R185" s="908"/>
      <c r="S185" s="908"/>
      <c r="X185" s="817"/>
    </row>
    <row r="186" spans="1:27" s="113" customFormat="1" ht="38.25" hidden="1" customHeight="1" outlineLevel="1">
      <c r="B186" s="205"/>
      <c r="C186" s="205"/>
      <c r="D186" s="205"/>
      <c r="E186" s="2719" t="s">
        <v>448</v>
      </c>
      <c r="F186" s="2720"/>
      <c r="G186" s="2720"/>
      <c r="H186" s="2720"/>
      <c r="I186" s="2720"/>
      <c r="J186" s="2720"/>
      <c r="K186" s="2720"/>
      <c r="L186" s="2720"/>
      <c r="M186" s="2721"/>
      <c r="N186" s="971" t="s">
        <v>811</v>
      </c>
      <c r="O186" s="968" t="s">
        <v>440</v>
      </c>
      <c r="R186" s="908"/>
      <c r="S186" s="908"/>
      <c r="X186" s="817"/>
    </row>
    <row r="187" spans="1:27" s="113" customFormat="1" ht="38.25" hidden="1" customHeight="1" outlineLevel="1">
      <c r="B187" s="2719" t="s">
        <v>438</v>
      </c>
      <c r="C187" s="2721"/>
      <c r="D187" s="970" t="s">
        <v>458</v>
      </c>
      <c r="E187" s="969" t="s">
        <v>853</v>
      </c>
      <c r="F187" s="969" t="s">
        <v>854</v>
      </c>
      <c r="G187" s="969" t="s">
        <v>855</v>
      </c>
      <c r="H187" s="969" t="s">
        <v>861</v>
      </c>
      <c r="I187" s="969" t="s">
        <v>852</v>
      </c>
      <c r="J187" s="970" t="s">
        <v>513</v>
      </c>
      <c r="K187" s="969" t="s">
        <v>862</v>
      </c>
      <c r="L187" s="969" t="s">
        <v>863</v>
      </c>
      <c r="M187" s="969" t="s">
        <v>514</v>
      </c>
      <c r="N187" s="972" t="s">
        <v>856</v>
      </c>
      <c r="O187" s="974" t="s">
        <v>513</v>
      </c>
      <c r="R187" s="908"/>
      <c r="S187" s="908"/>
      <c r="X187" s="817"/>
    </row>
    <row r="188" spans="1:27" s="113" customFormat="1" ht="12.75" hidden="1" customHeight="1" outlineLevel="1">
      <c r="B188" s="2722" t="s">
        <v>459</v>
      </c>
      <c r="C188" s="2723"/>
      <c r="D188" s="973">
        <v>1</v>
      </c>
      <c r="E188" s="980"/>
      <c r="F188" s="980"/>
      <c r="G188" s="980"/>
      <c r="H188" s="980"/>
      <c r="I188" s="980"/>
      <c r="J188" s="981"/>
      <c r="K188" s="982"/>
      <c r="L188" s="982"/>
      <c r="M188" s="983"/>
      <c r="N188" s="984"/>
      <c r="O188" s="2724" t="s">
        <v>817</v>
      </c>
      <c r="R188" s="908"/>
      <c r="S188" s="908"/>
      <c r="X188" s="817"/>
    </row>
    <row r="189" spans="1:27" s="113" customFormat="1" ht="12.75" hidden="1" customHeight="1" outlineLevel="1">
      <c r="B189" s="2722" t="s">
        <v>722</v>
      </c>
      <c r="C189" s="2723"/>
      <c r="D189" s="973">
        <v>2</v>
      </c>
      <c r="E189" s="980"/>
      <c r="F189" s="980"/>
      <c r="G189" s="980"/>
      <c r="H189" s="980"/>
      <c r="I189" s="980"/>
      <c r="J189" s="981"/>
      <c r="K189" s="982"/>
      <c r="L189" s="982"/>
      <c r="M189" s="983"/>
      <c r="N189" s="984"/>
      <c r="O189" s="2725"/>
      <c r="R189" s="908"/>
      <c r="S189" s="908"/>
      <c r="X189" s="817"/>
    </row>
    <row r="190" spans="1:27" s="113" customFormat="1" ht="12.75" hidden="1" customHeight="1" outlineLevel="1">
      <c r="B190" s="2722" t="s">
        <v>723</v>
      </c>
      <c r="C190" s="2723"/>
      <c r="D190" s="973">
        <v>3</v>
      </c>
      <c r="E190" s="980">
        <f>SUMIF($F$9:$F$100,Utilitaires!$E$572,R$9:R$100)+SUMIF($F$9:$F$100,Utilitaires!$E$577,R$9:R$100)</f>
        <v>0</v>
      </c>
      <c r="F190" s="980">
        <f>SUMIF($F$9:$F$100,Utilitaires!$E$572,S$9:S$100)+SUMIF($F$9:$F$100,Utilitaires!$E$577,S$9:S$100)</f>
        <v>0</v>
      </c>
      <c r="G190" s="980">
        <f>SUMIF($F$9:$F$100,Utilitaires!$E$572,T$9:T$100)+SUMIF($F$9:$F$100,Utilitaires!$E$577,T$9:T$100)</f>
        <v>0</v>
      </c>
      <c r="H190" s="980">
        <f>SUMIF($F$51:$F$59,Utilitaires!$E$572,U$51:U$59)+SUMIF($F$51:$F$59,Utilitaires!$E$577,U$51:U$59)</f>
        <v>0</v>
      </c>
      <c r="I190" s="980">
        <f>SUMIF($F$92:$F$100,Utilitaires!$E$572,U$92:U$100)+SUMIF($F$92:$F$100,Utilitaires!$E$577,U$92:U$100)</f>
        <v>0</v>
      </c>
      <c r="J190" s="981">
        <f>SUM(E190:I190)</f>
        <v>0</v>
      </c>
      <c r="K190" s="982">
        <v>0</v>
      </c>
      <c r="L190" s="982">
        <f>SUMIF($F$9:$F$100,Utilitaires!$E$572,W$9:W$100)+SUMIF($F$9:$F$100,Utilitaires!$E$577,W$9:W$100)</f>
        <v>0</v>
      </c>
      <c r="M190" s="983">
        <f>SQRT(SUMPRODUCT(($F$9:$F$100=Utilitaires!$E$572)*1,O$9:O$100,O$9:O$100)+SUMPRODUCT(($F$9:$F$100=Utilitaires!$E$577)*1,O$9:O$100,O$9:O$100))</f>
        <v>0</v>
      </c>
      <c r="N190" s="984"/>
      <c r="O190" s="2725"/>
      <c r="R190" s="908"/>
      <c r="S190" s="908"/>
      <c r="X190" s="817"/>
    </row>
    <row r="191" spans="1:27" s="113" customFormat="1" ht="12.75" hidden="1" customHeight="1" outlineLevel="1">
      <c r="B191" s="2722" t="s">
        <v>462</v>
      </c>
      <c r="C191" s="2723"/>
      <c r="D191" s="973">
        <v>4</v>
      </c>
      <c r="E191" s="980">
        <f>SUMIF($F$9:$F$100,Utilitaires!$E$573,R$9:R$100)+SUMIF($F$9:$F$100,Utilitaires!$E$578,R$9:R$100)</f>
        <v>0</v>
      </c>
      <c r="F191" s="980">
        <f>SUMIF($F$9:$F$100,Utilitaires!$E$573,S$9:S$100)+SUMIF($F$9:$F$100,Utilitaires!$E$578,S$9:S$100)</f>
        <v>0</v>
      </c>
      <c r="G191" s="980">
        <f>SUMIF($F$9:$F$100,Utilitaires!$E$573,T$9:T$100)+SUMIF($F$9:$F$100,Utilitaires!$E$578,T$9:T$100)</f>
        <v>0</v>
      </c>
      <c r="H191" s="980">
        <f>SUMIF($F$51:$F$59,Utilitaires!$E$573,U$51:U$59)+SUMIF($F$51:$F$59,Utilitaires!$E$578,U$51:U$59)</f>
        <v>486</v>
      </c>
      <c r="I191" s="980">
        <f>SUMIF($F$92:$F$100,Utilitaires!$E$573,U$92:U$100)+SUMIF($F$92:$F$100,Utilitaires!$E$578,U$92:U$100)</f>
        <v>0</v>
      </c>
      <c r="J191" s="981">
        <f>SUM(E191:I191)</f>
        <v>486</v>
      </c>
      <c r="K191" s="982">
        <v>0</v>
      </c>
      <c r="L191" s="982">
        <f>SUMIF($F$9:$F$100,Utilitaires!$E$573,W$9:W$100)+SUMIF($F$9:$F$100,Utilitaires!$E$578,W$9:W$100)</f>
        <v>0</v>
      </c>
      <c r="M191" s="983">
        <f>SQRT(SUMPRODUCT(($F$9:$F$100=Utilitaires!$E$573)*1,O$9:O$100,O$9:O$100)+SUMPRODUCT(($F$9:$F$100=Utilitaires!$E$578)*1,O$9:O$100,O$9:O$100))</f>
        <v>283.38426208948158</v>
      </c>
      <c r="N191" s="984"/>
      <c r="O191" s="2725"/>
      <c r="R191" s="908"/>
      <c r="S191" s="908"/>
      <c r="X191" s="817"/>
    </row>
    <row r="192" spans="1:27" s="113" customFormat="1" ht="12.75" hidden="1" customHeight="1" outlineLevel="1">
      <c r="B192" s="2722" t="s">
        <v>812</v>
      </c>
      <c r="C192" s="2723"/>
      <c r="D192" s="973">
        <v>5</v>
      </c>
      <c r="E192" s="980"/>
      <c r="F192" s="980"/>
      <c r="G192" s="980"/>
      <c r="H192" s="980"/>
      <c r="I192" s="980"/>
      <c r="J192" s="981"/>
      <c r="K192" s="982"/>
      <c r="L192" s="982"/>
      <c r="M192" s="983"/>
      <c r="N192" s="985"/>
      <c r="O192" s="2725"/>
      <c r="R192" s="908"/>
      <c r="S192" s="908"/>
      <c r="X192" s="817"/>
    </row>
    <row r="193" spans="2:24" s="113" customFormat="1" ht="12.75" hidden="1" customHeight="1" outlineLevel="1">
      <c r="B193" s="2727" t="s">
        <v>726</v>
      </c>
      <c r="C193" s="2728"/>
      <c r="D193" s="2729"/>
      <c r="E193" s="986">
        <f>SUM(E188:E192)</f>
        <v>0</v>
      </c>
      <c r="F193" s="986">
        <f t="shared" ref="F193:L193" si="34">SUM(F188:F192)</f>
        <v>0</v>
      </c>
      <c r="G193" s="986">
        <f t="shared" si="34"/>
        <v>0</v>
      </c>
      <c r="H193" s="986">
        <f t="shared" si="34"/>
        <v>486</v>
      </c>
      <c r="I193" s="986">
        <f t="shared" si="34"/>
        <v>0</v>
      </c>
      <c r="J193" s="986">
        <f t="shared" si="34"/>
        <v>486</v>
      </c>
      <c r="K193" s="987">
        <f t="shared" si="34"/>
        <v>0</v>
      </c>
      <c r="L193" s="987">
        <f t="shared" si="34"/>
        <v>0</v>
      </c>
      <c r="M193" s="988">
        <f>SQRT(SUMSQ(M188:M192))</f>
        <v>283.38426208948158</v>
      </c>
      <c r="N193" s="989">
        <f>SUM(N188:N192)</f>
        <v>0</v>
      </c>
      <c r="O193" s="2726"/>
      <c r="R193" s="908"/>
      <c r="S193" s="908"/>
      <c r="X193" s="817"/>
    </row>
    <row r="194" spans="2:24" s="113" customFormat="1" ht="12.75" hidden="1" customHeight="1" outlineLevel="1">
      <c r="B194" s="2722" t="s">
        <v>464</v>
      </c>
      <c r="C194" s="2723"/>
      <c r="D194" s="973">
        <v>6</v>
      </c>
      <c r="E194" s="980"/>
      <c r="F194" s="980"/>
      <c r="G194" s="980"/>
      <c r="H194" s="980"/>
      <c r="I194" s="980"/>
      <c r="J194" s="981"/>
      <c r="K194" s="982"/>
      <c r="L194" s="982"/>
      <c r="M194" s="983"/>
      <c r="N194" s="984"/>
      <c r="O194" s="990"/>
      <c r="R194" s="908"/>
      <c r="S194" s="908"/>
      <c r="X194" s="817"/>
    </row>
    <row r="195" spans="2:24" s="113" customFormat="1" ht="12.75" hidden="1" customHeight="1" outlineLevel="1">
      <c r="B195" s="2722" t="s">
        <v>813</v>
      </c>
      <c r="C195" s="2723"/>
      <c r="D195" s="973">
        <v>7</v>
      </c>
      <c r="E195" s="980"/>
      <c r="F195" s="980"/>
      <c r="G195" s="980"/>
      <c r="H195" s="980"/>
      <c r="I195" s="980"/>
      <c r="J195" s="981"/>
      <c r="K195" s="982"/>
      <c r="L195" s="982"/>
      <c r="M195" s="983"/>
      <c r="N195" s="984"/>
      <c r="O195" s="984"/>
      <c r="R195" s="908"/>
      <c r="S195" s="908"/>
      <c r="X195" s="817"/>
    </row>
    <row r="196" spans="2:24" s="113" customFormat="1" ht="12.75" hidden="1" customHeight="1" outlineLevel="1">
      <c r="B196" s="2727" t="s">
        <v>725</v>
      </c>
      <c r="C196" s="2728"/>
      <c r="D196" s="2729"/>
      <c r="E196" s="986">
        <f>SUM(E194:E195)</f>
        <v>0</v>
      </c>
      <c r="F196" s="986">
        <f t="shared" ref="F196:L196" si="35">SUM(F194:F195)</f>
        <v>0</v>
      </c>
      <c r="G196" s="986">
        <f t="shared" si="35"/>
        <v>0</v>
      </c>
      <c r="H196" s="986">
        <f t="shared" si="35"/>
        <v>0</v>
      </c>
      <c r="I196" s="986">
        <f t="shared" si="35"/>
        <v>0</v>
      </c>
      <c r="J196" s="986">
        <f t="shared" si="35"/>
        <v>0</v>
      </c>
      <c r="K196" s="987">
        <f t="shared" si="35"/>
        <v>0</v>
      </c>
      <c r="L196" s="987">
        <f t="shared" si="35"/>
        <v>0</v>
      </c>
      <c r="M196" s="988">
        <f>SQRT(SUMSQ(M194:M195))</f>
        <v>0</v>
      </c>
      <c r="N196" s="989">
        <f>SUM(N194:N195)</f>
        <v>0</v>
      </c>
      <c r="O196" s="989">
        <f>SUM(O194:O195)</f>
        <v>0</v>
      </c>
      <c r="R196" s="908"/>
      <c r="S196" s="908"/>
      <c r="X196" s="817"/>
    </row>
    <row r="197" spans="2:24" s="113" customFormat="1" ht="12.75" hidden="1" customHeight="1" outlineLevel="1">
      <c r="B197" s="2722" t="s">
        <v>466</v>
      </c>
      <c r="C197" s="2723"/>
      <c r="D197" s="973">
        <v>8</v>
      </c>
      <c r="E197" s="980"/>
      <c r="F197" s="980"/>
      <c r="G197" s="980"/>
      <c r="H197" s="980"/>
      <c r="I197" s="980"/>
      <c r="J197" s="981"/>
      <c r="K197" s="982"/>
      <c r="L197" s="982"/>
      <c r="M197" s="983"/>
      <c r="N197" s="984"/>
      <c r="O197" s="984"/>
      <c r="R197" s="908"/>
      <c r="S197" s="908"/>
      <c r="X197" s="817"/>
    </row>
    <row r="198" spans="2:24" s="113" customFormat="1" ht="12.75" hidden="1" customHeight="1" outlineLevel="1">
      <c r="B198" s="2722" t="s">
        <v>814</v>
      </c>
      <c r="C198" s="2723"/>
      <c r="D198" s="973">
        <v>9</v>
      </c>
      <c r="E198" s="980"/>
      <c r="F198" s="980"/>
      <c r="G198" s="980"/>
      <c r="H198" s="980"/>
      <c r="I198" s="980"/>
      <c r="J198" s="981"/>
      <c r="K198" s="982"/>
      <c r="L198" s="982"/>
      <c r="M198" s="983"/>
      <c r="N198" s="984"/>
      <c r="O198" s="984"/>
      <c r="R198" s="908"/>
      <c r="S198" s="908"/>
      <c r="X198" s="817"/>
    </row>
    <row r="199" spans="2:24" s="113" customFormat="1" ht="12.75" hidden="1" customHeight="1" outlineLevel="1">
      <c r="B199" s="2722" t="s">
        <v>734</v>
      </c>
      <c r="C199" s="2723"/>
      <c r="D199" s="973">
        <v>10</v>
      </c>
      <c r="E199" s="980"/>
      <c r="F199" s="980"/>
      <c r="G199" s="980"/>
      <c r="H199" s="980"/>
      <c r="I199" s="980"/>
      <c r="J199" s="981"/>
      <c r="K199" s="982"/>
      <c r="L199" s="982"/>
      <c r="M199" s="983"/>
      <c r="N199" s="984"/>
      <c r="O199" s="984"/>
      <c r="R199" s="908"/>
      <c r="S199" s="908"/>
      <c r="X199" s="817"/>
    </row>
    <row r="200" spans="2:24" s="113" customFormat="1" ht="12.75" hidden="1" customHeight="1" outlineLevel="1">
      <c r="B200" s="2722" t="s">
        <v>736</v>
      </c>
      <c r="C200" s="2723"/>
      <c r="D200" s="973">
        <v>11</v>
      </c>
      <c r="E200" s="980"/>
      <c r="F200" s="980"/>
      <c r="G200" s="980"/>
      <c r="H200" s="980"/>
      <c r="I200" s="980"/>
      <c r="J200" s="981"/>
      <c r="K200" s="982"/>
      <c r="L200" s="982"/>
      <c r="M200" s="983"/>
      <c r="N200" s="984"/>
      <c r="O200" s="984"/>
      <c r="R200" s="908"/>
      <c r="S200" s="908"/>
      <c r="X200" s="817"/>
    </row>
    <row r="201" spans="2:24" s="113" customFormat="1" ht="12.75" hidden="1" customHeight="1" outlineLevel="1">
      <c r="B201" s="2722" t="s">
        <v>815</v>
      </c>
      <c r="C201" s="2723"/>
      <c r="D201" s="973">
        <v>12</v>
      </c>
      <c r="E201" s="980"/>
      <c r="F201" s="980"/>
      <c r="G201" s="980"/>
      <c r="H201" s="980"/>
      <c r="I201" s="980"/>
      <c r="J201" s="981"/>
      <c r="K201" s="982"/>
      <c r="L201" s="982"/>
      <c r="M201" s="983"/>
      <c r="N201" s="984"/>
      <c r="O201" s="984"/>
      <c r="R201" s="908"/>
      <c r="S201" s="908"/>
      <c r="X201" s="817"/>
    </row>
    <row r="202" spans="2:24" s="113" customFormat="1" ht="12.75" hidden="1" customHeight="1" outlineLevel="1">
      <c r="B202" s="2722" t="s">
        <v>470</v>
      </c>
      <c r="C202" s="2723"/>
      <c r="D202" s="973">
        <v>13</v>
      </c>
      <c r="E202" s="980"/>
      <c r="F202" s="980"/>
      <c r="G202" s="980"/>
      <c r="H202" s="980"/>
      <c r="I202" s="980"/>
      <c r="J202" s="981"/>
      <c r="K202" s="982"/>
      <c r="L202" s="982"/>
      <c r="M202" s="983"/>
      <c r="N202" s="984"/>
      <c r="O202" s="984"/>
      <c r="R202" s="908"/>
      <c r="S202" s="908"/>
      <c r="X202" s="817"/>
    </row>
    <row r="203" spans="2:24" s="113" customFormat="1" ht="12.75" hidden="1" customHeight="1" outlineLevel="1">
      <c r="B203" s="2722" t="s">
        <v>471</v>
      </c>
      <c r="C203" s="2723"/>
      <c r="D203" s="973">
        <v>14</v>
      </c>
      <c r="E203" s="980">
        <f>SUMIF($F$9:$F$100,Utilitaires!$E$574,R$9:R$100)</f>
        <v>0</v>
      </c>
      <c r="F203" s="980">
        <f>SUMIF($F$9:$F$100,Utilitaires!$E$574,S$9:S$100)</f>
        <v>0</v>
      </c>
      <c r="G203" s="980">
        <f>SUMIF($F$9:$F$100,Utilitaires!$E$574,T$9:T$100)</f>
        <v>0</v>
      </c>
      <c r="H203" s="980">
        <f>SUMIF($F$51:$F$59,Utilitaires!$E$574,U$51:U$59)</f>
        <v>0</v>
      </c>
      <c r="I203" s="980">
        <f>SUMIF($F$92:$F$100,Utilitaires!$E$574,U$92:U$100)</f>
        <v>0</v>
      </c>
      <c r="J203" s="981">
        <f>SUM(E203:I203)</f>
        <v>0</v>
      </c>
      <c r="K203" s="982">
        <v>0</v>
      </c>
      <c r="L203" s="982">
        <f>SUMIF($F$9:$F$100,Utilitaires!$E$574,W$9:W$100)</f>
        <v>0</v>
      </c>
      <c r="M203" s="983">
        <f>SQRT(SUMPRODUCT(($F$9:$F$100=Utilitaires!$E$574)*1,O$9:O$100,O$9:O$100))</f>
        <v>0</v>
      </c>
      <c r="N203" s="984"/>
      <c r="O203" s="984"/>
      <c r="R203" s="908"/>
      <c r="S203" s="908"/>
      <c r="X203" s="817"/>
    </row>
    <row r="204" spans="2:24" s="113" customFormat="1" ht="12.75" hidden="1" customHeight="1" outlineLevel="1">
      <c r="B204" s="2722" t="s">
        <v>472</v>
      </c>
      <c r="C204" s="2723"/>
      <c r="D204" s="973">
        <v>15</v>
      </c>
      <c r="E204" s="980"/>
      <c r="F204" s="980"/>
      <c r="G204" s="980"/>
      <c r="H204" s="980"/>
      <c r="I204" s="980"/>
      <c r="J204" s="981"/>
      <c r="K204" s="982"/>
      <c r="L204" s="982"/>
      <c r="M204" s="983"/>
      <c r="N204" s="984"/>
      <c r="O204" s="984"/>
      <c r="R204" s="908"/>
      <c r="S204" s="908"/>
      <c r="X204" s="817"/>
    </row>
    <row r="205" spans="2:24" s="113" customFormat="1" ht="12.75" hidden="1" customHeight="1" outlineLevel="1">
      <c r="B205" s="2722" t="s">
        <v>473</v>
      </c>
      <c r="C205" s="2723"/>
      <c r="D205" s="973">
        <v>16</v>
      </c>
      <c r="E205" s="980"/>
      <c r="F205" s="980"/>
      <c r="G205" s="980"/>
      <c r="H205" s="980"/>
      <c r="I205" s="980"/>
      <c r="J205" s="981"/>
      <c r="K205" s="982"/>
      <c r="L205" s="982"/>
      <c r="M205" s="983"/>
      <c r="N205" s="984"/>
      <c r="O205" s="984"/>
      <c r="R205" s="908"/>
      <c r="S205" s="908"/>
      <c r="X205" s="817"/>
    </row>
    <row r="206" spans="2:24" s="113" customFormat="1" ht="12.75" hidden="1" customHeight="1" outlineLevel="1">
      <c r="B206" s="2722" t="s">
        <v>737</v>
      </c>
      <c r="C206" s="2723"/>
      <c r="D206" s="973">
        <v>17</v>
      </c>
      <c r="E206" s="980"/>
      <c r="F206" s="980"/>
      <c r="G206" s="980"/>
      <c r="H206" s="980"/>
      <c r="I206" s="980"/>
      <c r="J206" s="981"/>
      <c r="K206" s="982"/>
      <c r="L206" s="982"/>
      <c r="M206" s="983"/>
      <c r="N206" s="984"/>
      <c r="O206" s="984"/>
      <c r="R206" s="908"/>
      <c r="S206" s="908"/>
      <c r="X206" s="817"/>
    </row>
    <row r="207" spans="2:24" s="113" customFormat="1" ht="12.75" hidden="1" customHeight="1" outlineLevel="1">
      <c r="B207" s="2722" t="s">
        <v>475</v>
      </c>
      <c r="C207" s="2723"/>
      <c r="D207" s="973">
        <v>18</v>
      </c>
      <c r="E207" s="980"/>
      <c r="F207" s="980"/>
      <c r="G207" s="980"/>
      <c r="H207" s="980"/>
      <c r="I207" s="980"/>
      <c r="J207" s="981"/>
      <c r="K207" s="982"/>
      <c r="L207" s="982"/>
      <c r="M207" s="983"/>
      <c r="N207" s="984"/>
      <c r="O207" s="984"/>
      <c r="R207" s="908"/>
      <c r="S207" s="908"/>
      <c r="X207" s="817"/>
    </row>
    <row r="208" spans="2:24" s="113" customFormat="1" ht="12.75" hidden="1" customHeight="1" outlineLevel="1">
      <c r="B208" s="2722" t="s">
        <v>476</v>
      </c>
      <c r="C208" s="2723"/>
      <c r="D208" s="973">
        <v>19</v>
      </c>
      <c r="E208" s="980"/>
      <c r="F208" s="980"/>
      <c r="G208" s="980"/>
      <c r="H208" s="980"/>
      <c r="I208" s="980"/>
      <c r="J208" s="981"/>
      <c r="K208" s="982"/>
      <c r="L208" s="982"/>
      <c r="M208" s="983"/>
      <c r="N208" s="984"/>
      <c r="O208" s="984"/>
      <c r="R208" s="908"/>
      <c r="S208" s="908"/>
      <c r="X208" s="817"/>
    </row>
    <row r="209" spans="1:28" s="113" customFormat="1" ht="12.75" hidden="1" customHeight="1" outlineLevel="1">
      <c r="B209" s="2722" t="s">
        <v>477</v>
      </c>
      <c r="C209" s="2723"/>
      <c r="D209" s="973">
        <v>20</v>
      </c>
      <c r="E209" s="980"/>
      <c r="F209" s="980"/>
      <c r="G209" s="980"/>
      <c r="H209" s="980"/>
      <c r="I209" s="980"/>
      <c r="J209" s="981"/>
      <c r="K209" s="982"/>
      <c r="L209" s="982"/>
      <c r="M209" s="983"/>
      <c r="N209" s="984"/>
      <c r="O209" s="984"/>
      <c r="R209" s="908"/>
      <c r="S209" s="908"/>
      <c r="X209" s="817"/>
    </row>
    <row r="210" spans="1:28" s="113" customFormat="1" ht="12.75" hidden="1" customHeight="1" outlineLevel="1">
      <c r="B210" s="2722" t="s">
        <v>478</v>
      </c>
      <c r="C210" s="2723"/>
      <c r="D210" s="973">
        <v>21</v>
      </c>
      <c r="E210" s="980"/>
      <c r="F210" s="980"/>
      <c r="G210" s="980"/>
      <c r="H210" s="980"/>
      <c r="I210" s="980"/>
      <c r="J210" s="981"/>
      <c r="K210" s="982"/>
      <c r="L210" s="982"/>
      <c r="M210" s="983"/>
      <c r="N210" s="984"/>
      <c r="O210" s="984"/>
      <c r="R210" s="908"/>
      <c r="S210" s="908"/>
      <c r="X210" s="817"/>
    </row>
    <row r="211" spans="1:28" s="113" customFormat="1" ht="12.75" hidden="1" customHeight="1" outlineLevel="1">
      <c r="B211" s="2722" t="s">
        <v>479</v>
      </c>
      <c r="C211" s="2723"/>
      <c r="D211" s="973">
        <v>22</v>
      </c>
      <c r="E211" s="980"/>
      <c r="F211" s="980"/>
      <c r="G211" s="980"/>
      <c r="H211" s="980"/>
      <c r="I211" s="980"/>
      <c r="J211" s="981"/>
      <c r="K211" s="982"/>
      <c r="L211" s="982"/>
      <c r="M211" s="983"/>
      <c r="N211" s="984"/>
      <c r="O211" s="984"/>
      <c r="R211" s="908"/>
      <c r="S211" s="908"/>
      <c r="X211" s="817"/>
    </row>
    <row r="212" spans="1:28" s="113" customFormat="1" ht="12.75" hidden="1" customHeight="1" outlineLevel="1">
      <c r="B212" s="2722" t="s">
        <v>449</v>
      </c>
      <c r="C212" s="2723"/>
      <c r="D212" s="973">
        <v>23</v>
      </c>
      <c r="E212" s="980">
        <f>SUMIF($F$9:$F$100,Utilitaires!$E$575,R$9:R$100)+SUMIF($F$9:$F$100,Utilitaires!$E$579,R$9:R$100)</f>
        <v>0</v>
      </c>
      <c r="F212" s="980">
        <f>SUMIF($F$9:$F$100,Utilitaires!$E$575,S$9:S$100)+SUMIF($F$9:$F$100,Utilitaires!$E$579,S$9:S$100)</f>
        <v>0</v>
      </c>
      <c r="G212" s="980">
        <f>SUMIF($F$9:$F$100,Utilitaires!$E$575,T$9:T$100)+SUMIF($F$9:$F$100,Utilitaires!$E$579,T$9:T$100)</f>
        <v>0</v>
      </c>
      <c r="H212" s="980">
        <f>SUMIF($F$51:$F$59,Utilitaires!$E$575,U$51:U$59)+SUMIF($F$51:$F$59,Utilitaires!$E$579,U$51:U$59)</f>
        <v>0</v>
      </c>
      <c r="I212" s="980">
        <f>SUMIF($F$92:$F$100,Utilitaires!$E$575,U$92:U$100)+SUMIF($F$92:$F$100,Utilitaires!$E$579,U$92:U$100)</f>
        <v>0</v>
      </c>
      <c r="J212" s="981">
        <f>SUM(E212:I212)</f>
        <v>0</v>
      </c>
      <c r="K212" s="982">
        <v>0</v>
      </c>
      <c r="L212" s="982">
        <f>SUMIF($F$9:$F$100,Utilitaires!$E$575,W$9:W$100)+SUMIF($F$9:$F$100,Utilitaires!$E$579,W$9:W$100)</f>
        <v>0</v>
      </c>
      <c r="M212" s="983">
        <f>SQRT(SUMPRODUCT(($F$9:$F$100=Utilitaires!$E$575)*1,O$9:O$100,O$9:O$100)+SUMPRODUCT(($F$9:$F$100=Utilitaires!$E$579)*1,O$9:O$100,O$9:O$100))</f>
        <v>0</v>
      </c>
      <c r="N212" s="984"/>
      <c r="O212" s="984"/>
      <c r="R212" s="908"/>
      <c r="S212" s="908"/>
      <c r="X212" s="817"/>
    </row>
    <row r="213" spans="1:28" s="113" customFormat="1" ht="12.75" hidden="1" customHeight="1" outlineLevel="1">
      <c r="B213" s="2727" t="s">
        <v>724</v>
      </c>
      <c r="C213" s="2728"/>
      <c r="D213" s="2729"/>
      <c r="E213" s="986">
        <f>SUM(E197:E212)</f>
        <v>0</v>
      </c>
      <c r="F213" s="986">
        <f t="shared" ref="F213:L213" si="36">SUM(F197:F212)</f>
        <v>0</v>
      </c>
      <c r="G213" s="986">
        <f t="shared" si="36"/>
        <v>0</v>
      </c>
      <c r="H213" s="986">
        <f t="shared" si="36"/>
        <v>0</v>
      </c>
      <c r="I213" s="986">
        <f t="shared" si="36"/>
        <v>0</v>
      </c>
      <c r="J213" s="986">
        <f t="shared" si="36"/>
        <v>0</v>
      </c>
      <c r="K213" s="987">
        <f t="shared" si="36"/>
        <v>0</v>
      </c>
      <c r="L213" s="987">
        <f t="shared" si="36"/>
        <v>0</v>
      </c>
      <c r="M213" s="988">
        <f>SQRT(SUMSQ(M197:M212))</f>
        <v>0</v>
      </c>
      <c r="N213" s="989">
        <f>SUM(N197:N212)</f>
        <v>0</v>
      </c>
      <c r="O213" s="989">
        <f>SUM(O197:O212)</f>
        <v>0</v>
      </c>
      <c r="R213" s="908"/>
      <c r="S213" s="908"/>
      <c r="X213" s="817"/>
    </row>
    <row r="214" spans="1:28" s="113" customFormat="1" hidden="1" outlineLevel="1">
      <c r="R214" s="908"/>
      <c r="S214" s="908"/>
      <c r="X214" s="817"/>
    </row>
    <row r="215" spans="1:28"/>
    <row r="216" spans="1:28" s="418" customFormat="1" ht="15.75" hidden="1" customHeight="1" collapsed="1">
      <c r="A216" s="113"/>
      <c r="B216" s="2730" t="s">
        <v>2443</v>
      </c>
      <c r="C216" s="2731"/>
      <c r="D216" s="2731"/>
      <c r="E216" s="2731"/>
      <c r="F216" s="2731"/>
      <c r="G216" s="2731"/>
      <c r="H216" s="2731"/>
      <c r="I216" s="2731"/>
      <c r="J216" s="2731"/>
      <c r="K216" s="2731"/>
      <c r="L216" s="2731"/>
      <c r="M216" s="2731"/>
      <c r="N216" s="2731"/>
      <c r="O216" s="2731"/>
      <c r="P216" s="2732"/>
      <c r="Q216" s="113"/>
      <c r="R216" s="113"/>
      <c r="S216" s="113"/>
      <c r="T216" s="113"/>
      <c r="U216" s="113"/>
      <c r="V216" s="113"/>
      <c r="W216" s="113"/>
      <c r="X216" s="113"/>
      <c r="Y216" s="113"/>
      <c r="Z216" s="113"/>
      <c r="AA216" s="113"/>
      <c r="AB216" s="113"/>
    </row>
    <row r="217" spans="1:28" s="418" customFormat="1" hidden="1" outlineLevel="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row>
    <row r="218" spans="1:28" s="418" customFormat="1" hidden="1" outlineLevel="1">
      <c r="A218" s="113"/>
      <c r="B218" s="113" t="s">
        <v>2549</v>
      </c>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row>
    <row r="219" spans="1:28" s="418" customFormat="1" hidden="1" outlineLevel="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row>
    <row r="220" spans="1:28" s="418" customFormat="1" hidden="1" outlineLevel="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row>
    <row r="221" spans="1:28" s="418" customFormat="1" hidden="1" outlineLevel="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row>
    <row r="222" spans="1:28" s="418" customFormat="1" hidden="1" outlineLevel="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row>
    <row r="223" spans="1:28" s="418" customFormat="1" hidden="1" outlineLevel="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row>
    <row r="224" spans="1:28" s="418" customFormat="1" hidden="1" outlineLevel="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row>
    <row r="225" spans="1:39" s="418" customFormat="1" hidden="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row>
    <row r="226" spans="1:39" s="418" customFormat="1" ht="15.6" collapsed="1">
      <c r="A226" s="113"/>
      <c r="B226" s="2733" t="s">
        <v>2554</v>
      </c>
      <c r="C226" s="2734"/>
      <c r="D226" s="2734"/>
      <c r="E226" s="2734"/>
      <c r="F226" s="2734"/>
      <c r="G226" s="2734"/>
      <c r="H226" s="2734"/>
      <c r="I226" s="2734"/>
      <c r="J226" s="2734"/>
      <c r="K226" s="2734"/>
      <c r="L226" s="2734"/>
      <c r="M226" s="2734"/>
      <c r="N226" s="2734"/>
      <c r="O226" s="2734"/>
      <c r="P226" s="2735"/>
      <c r="Q226" s="113"/>
      <c r="R226" s="113"/>
      <c r="S226" s="113"/>
      <c r="T226" s="113"/>
      <c r="U226" s="113"/>
      <c r="V226" s="113"/>
      <c r="W226" s="113"/>
      <c r="X226" s="113"/>
      <c r="Y226" s="113"/>
      <c r="Z226" s="113"/>
      <c r="AA226" s="113"/>
      <c r="AB226" s="113"/>
    </row>
    <row r="227" spans="1:39" s="418" customFormat="1" hidden="1" outlineLevel="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row>
    <row r="228" spans="1:39" s="113" customFormat="1" ht="38.25" hidden="1" customHeight="1" outlineLevel="1">
      <c r="B228" s="205"/>
      <c r="C228" s="205"/>
      <c r="D228" s="205"/>
      <c r="E228" s="2736" t="s">
        <v>448</v>
      </c>
      <c r="F228" s="2737"/>
      <c r="G228" s="2737"/>
      <c r="H228" s="2737"/>
      <c r="I228" s="2737"/>
      <c r="J228" s="2737"/>
      <c r="K228" s="2737"/>
      <c r="L228" s="2737"/>
      <c r="M228" s="2738"/>
      <c r="N228" s="1794" t="s">
        <v>811</v>
      </c>
      <c r="O228" s="1795" t="s">
        <v>440</v>
      </c>
      <c r="Q228" s="908"/>
      <c r="R228" s="908"/>
      <c r="W228" s="817"/>
      <c r="AB228" s="576"/>
      <c r="AC228" s="576"/>
      <c r="AD228" s="576"/>
      <c r="AE228" s="576"/>
      <c r="AF228" s="576"/>
      <c r="AG228" s="576"/>
      <c r="AH228" s="576"/>
      <c r="AI228" s="576"/>
      <c r="AJ228" s="576"/>
      <c r="AK228" s="576"/>
      <c r="AL228" s="576"/>
      <c r="AM228" s="576"/>
    </row>
    <row r="229" spans="1:39" s="113" customFormat="1" ht="38.25" hidden="1" customHeight="1" outlineLevel="1">
      <c r="B229" s="2736" t="s">
        <v>438</v>
      </c>
      <c r="C229" s="2738"/>
      <c r="D229" s="1795" t="s">
        <v>2510</v>
      </c>
      <c r="E229" s="1796" t="s">
        <v>853</v>
      </c>
      <c r="F229" s="1796" t="s">
        <v>854</v>
      </c>
      <c r="G229" s="1796" t="s">
        <v>855</v>
      </c>
      <c r="H229" s="1796" t="s">
        <v>861</v>
      </c>
      <c r="I229" s="1796" t="s">
        <v>852</v>
      </c>
      <c r="J229" s="1797" t="s">
        <v>513</v>
      </c>
      <c r="K229" s="1796" t="s">
        <v>862</v>
      </c>
      <c r="L229" s="1796" t="s">
        <v>863</v>
      </c>
      <c r="M229" s="1796" t="s">
        <v>514</v>
      </c>
      <c r="N229" s="1798" t="s">
        <v>856</v>
      </c>
      <c r="O229" s="1799" t="s">
        <v>513</v>
      </c>
      <c r="Q229" s="908"/>
      <c r="R229" s="908"/>
      <c r="W229" s="817"/>
      <c r="AB229" s="576"/>
      <c r="AC229" s="576"/>
      <c r="AD229" s="576"/>
      <c r="AE229" s="576"/>
      <c r="AF229" s="576"/>
      <c r="AG229" s="576"/>
      <c r="AH229" s="576"/>
      <c r="AI229" s="576"/>
      <c r="AJ229" s="576"/>
      <c r="AK229" s="576"/>
      <c r="AL229" s="576"/>
      <c r="AM229" s="576"/>
    </row>
    <row r="230" spans="1:39" s="113" customFormat="1" ht="12.75" hidden="1" customHeight="1" outlineLevel="1">
      <c r="B230" s="2722" t="s">
        <v>2481</v>
      </c>
      <c r="C230" s="2723"/>
      <c r="D230" s="973" t="s">
        <v>2503</v>
      </c>
      <c r="E230" s="980">
        <f>SUMIF($F$9:$F$100,Utilitaires!$E$572,R$9:R$100)+SUMIF($F$9:$F$100,Utilitaires!$E$577,R$9:R$100)
+SUMIF($F$9:$F$100,Utilitaires!$E$573,R$9:R$100)+SUMIF($F$9:$F$100,Utilitaires!$E$578,R$9:R$100)</f>
        <v>0</v>
      </c>
      <c r="F230" s="980">
        <f>SUMIF($F$9:$F$100,Utilitaires!$E$572,S$9:S$100)+SUMIF($F$9:$F$100,Utilitaires!$E$577,S$9:S$100)
+SUMIF($F$9:$F$100,Utilitaires!$E$573,S$9:S$100)+SUMIF($F$9:$F$100,Utilitaires!$E$578,S$9:S$100)</f>
        <v>0</v>
      </c>
      <c r="G230" s="980">
        <f>SUMIF($F$9:$F$100,Utilitaires!$E$572,T$9:T$100)+SUMIF($F$9:$F$100,Utilitaires!$E$577,T$9:T$100)
+SUMIF($F$9:$F$100,Utilitaires!$E$573,T$9:T$100)+SUMIF($F$9:$F$100,Utilitaires!$E$578,T$9:T$100)</f>
        <v>0</v>
      </c>
      <c r="H230" s="980">
        <f>SUMIF($F$51:$F$59,Utilitaires!$E$572,U$51:U$59)+SUMIF($F$51:$F$59,Utilitaires!$E$577,U$51:U$59)
+SUMIF($F$51:$F$59,Utilitaires!$E$573,U$51:U$59)+SUMIF($F$51:$F$59,Utilitaires!$E$578,U$51:U$59)</f>
        <v>486</v>
      </c>
      <c r="I230" s="980">
        <f>SUMIF($F$92:$F$100,Utilitaires!$E$572,U$92:U$100)+SUMIF($F$92:$F$100,Utilitaires!$E$577,U$92:U$100)
+SUMIF($F$92:$F$100,Utilitaires!$E$573,U$92:U$100)+SUMIF($F$92:$F$100,Utilitaires!$E$578,U$92:U$100)</f>
        <v>0</v>
      </c>
      <c r="J230" s="981">
        <f>SUM(E230:I230)</f>
        <v>486</v>
      </c>
      <c r="K230" s="982">
        <v>0</v>
      </c>
      <c r="L230" s="982">
        <f>SUMIF($F$9:$F$100,Utilitaires!$E$572,W$9:W$100)+SUMIF($F$9:$F$100,Utilitaires!$E$577,W$9:W$100)
+SUMIF($F$9:$F$100,Utilitaires!$E$573,W$9:W$100)+SUMIF($F$9:$F$100,Utilitaires!$E$578,W$9:W$100)</f>
        <v>0</v>
      </c>
      <c r="M230" s="983">
        <f>SQRT(SUMPRODUCT(($F$9:$F$100=Utilitaires!$E$572)*1,O$9:O$100,O$9:O$100)+SUMPRODUCT(($F$9:$F$100=Utilitaires!$E$577)*1,O$9:O$100,O$9:O$100)
+SUMPRODUCT(($F$9:$F$100=Utilitaires!$E$573)*1,O$9:O$100,O$9:O$100)+SUMPRODUCT(($F$9:$F$100=Utilitaires!$E$578)*1,O$9:O$100,O$9:O$100))</f>
        <v>283.38426208948158</v>
      </c>
      <c r="N230" s="984"/>
      <c r="O230" s="1886" t="s">
        <v>817</v>
      </c>
      <c r="Q230" s="908"/>
      <c r="R230" s="908"/>
      <c r="W230" s="817"/>
      <c r="AB230" s="576"/>
      <c r="AC230" s="576"/>
      <c r="AD230" s="576"/>
      <c r="AE230" s="576"/>
      <c r="AF230" s="576"/>
      <c r="AG230" s="576"/>
      <c r="AH230" s="576"/>
      <c r="AI230" s="576"/>
      <c r="AJ230" s="576"/>
      <c r="AK230" s="576"/>
      <c r="AL230" s="576"/>
      <c r="AM230" s="576"/>
    </row>
    <row r="231" spans="1:39" s="113" customFormat="1" ht="12.75" hidden="1" customHeight="1" outlineLevel="1">
      <c r="B231" s="2722" t="s">
        <v>2482</v>
      </c>
      <c r="C231" s="2723"/>
      <c r="D231" s="1896" t="s">
        <v>2504</v>
      </c>
      <c r="E231" s="980"/>
      <c r="F231" s="980"/>
      <c r="G231" s="980"/>
      <c r="H231" s="980"/>
      <c r="I231" s="980"/>
      <c r="J231" s="981"/>
      <c r="K231" s="982"/>
      <c r="L231" s="982"/>
      <c r="M231" s="983"/>
      <c r="N231" s="984"/>
      <c r="O231" s="990"/>
      <c r="Q231" s="908"/>
      <c r="R231" s="908"/>
      <c r="W231" s="817"/>
      <c r="AB231" s="576"/>
      <c r="AC231" s="576"/>
      <c r="AD231" s="576"/>
      <c r="AE231" s="576"/>
      <c r="AF231" s="576"/>
      <c r="AG231" s="576"/>
      <c r="AH231" s="576"/>
      <c r="AI231" s="576"/>
      <c r="AJ231" s="576"/>
      <c r="AK231" s="576"/>
      <c r="AL231" s="576"/>
      <c r="AM231" s="576"/>
    </row>
    <row r="232" spans="1:39" s="113" customFormat="1" ht="12.75" hidden="1" customHeight="1" outlineLevel="1">
      <c r="B232" s="2722" t="s">
        <v>2483</v>
      </c>
      <c r="C232" s="2723"/>
      <c r="D232" s="973" t="s">
        <v>2505</v>
      </c>
      <c r="E232" s="980"/>
      <c r="F232" s="980"/>
      <c r="G232" s="980"/>
      <c r="H232" s="980"/>
      <c r="I232" s="980"/>
      <c r="J232" s="981"/>
      <c r="K232" s="982"/>
      <c r="L232" s="982"/>
      <c r="M232" s="983"/>
      <c r="N232" s="984"/>
      <c r="O232" s="984"/>
      <c r="Q232" s="908"/>
      <c r="R232" s="908"/>
      <c r="W232" s="817"/>
      <c r="AB232" s="576"/>
      <c r="AC232" s="576"/>
      <c r="AD232" s="576"/>
      <c r="AE232" s="576"/>
      <c r="AF232" s="576"/>
      <c r="AG232" s="576"/>
      <c r="AH232" s="576"/>
      <c r="AI232" s="576"/>
      <c r="AJ232" s="576"/>
      <c r="AK232" s="576"/>
      <c r="AL232" s="576"/>
      <c r="AM232" s="576"/>
    </row>
    <row r="233" spans="1:39" s="113" customFormat="1" ht="26.25" hidden="1" customHeight="1" outlineLevel="1">
      <c r="B233" s="2739" t="s">
        <v>2485</v>
      </c>
      <c r="C233" s="2740"/>
      <c r="D233" s="1896" t="s">
        <v>2506</v>
      </c>
      <c r="E233" s="980"/>
      <c r="F233" s="980"/>
      <c r="G233" s="980"/>
      <c r="H233" s="980"/>
      <c r="I233" s="980"/>
      <c r="J233" s="981"/>
      <c r="K233" s="982"/>
      <c r="L233" s="982"/>
      <c r="M233" s="983"/>
      <c r="N233" s="984"/>
      <c r="O233" s="984"/>
      <c r="Q233" s="908"/>
      <c r="R233" s="908"/>
      <c r="W233" s="817"/>
      <c r="AB233" s="576"/>
      <c r="AC233" s="576"/>
      <c r="AD233" s="576"/>
      <c r="AE233" s="576"/>
      <c r="AF233" s="576"/>
      <c r="AG233" s="576"/>
      <c r="AH233" s="576"/>
      <c r="AI233" s="576"/>
      <c r="AJ233" s="576"/>
      <c r="AK233" s="576"/>
      <c r="AL233" s="576"/>
      <c r="AM233" s="576"/>
    </row>
    <row r="234" spans="1:39" s="113" customFormat="1" ht="26.25" hidden="1" customHeight="1" outlineLevel="1">
      <c r="B234" s="2739" t="s">
        <v>2484</v>
      </c>
      <c r="C234" s="2740"/>
      <c r="D234" s="1897" t="s">
        <v>2507</v>
      </c>
      <c r="E234" s="980">
        <f>SUMIF($F$9:$F$100,Utilitaires!$E$574,R$9:R$100)</f>
        <v>0</v>
      </c>
      <c r="F234" s="980">
        <f>SUMIF($F$9:$F$100,Utilitaires!$E$574,S$9:S$100)</f>
        <v>0</v>
      </c>
      <c r="G234" s="980">
        <f>SUMIF($F$9:$F$100,Utilitaires!$E$574,T$9:T$100)</f>
        <v>0</v>
      </c>
      <c r="H234" s="980">
        <f>SUMIF($F$51:$F$59,Utilitaires!$E$574,U$51:U$59)</f>
        <v>0</v>
      </c>
      <c r="I234" s="980">
        <f>SUMIF($F$92:$F$100,Utilitaires!$E$574,U$92:U$100)</f>
        <v>0</v>
      </c>
      <c r="J234" s="981">
        <f>SUM(E234:I234)</f>
        <v>0</v>
      </c>
      <c r="K234" s="982">
        <v>0</v>
      </c>
      <c r="L234" s="982">
        <f>SUMIF($F$9:$F$100,Utilitaires!$E$574,W$9:W$100)</f>
        <v>0</v>
      </c>
      <c r="M234" s="983">
        <f>SQRT(SUMPRODUCT(($F$9:$F$100=Utilitaires!$E$574)*1,O$9:O$100,O$9:O$100))</f>
        <v>0</v>
      </c>
      <c r="N234" s="984"/>
      <c r="O234" s="984"/>
      <c r="Q234" s="908"/>
      <c r="R234" s="908"/>
      <c r="W234" s="817"/>
      <c r="AB234" s="576"/>
      <c r="AC234" s="576"/>
      <c r="AD234" s="576"/>
      <c r="AE234" s="576"/>
      <c r="AF234" s="576"/>
      <c r="AG234" s="576"/>
      <c r="AH234" s="576"/>
      <c r="AI234" s="576"/>
      <c r="AJ234" s="576"/>
      <c r="AK234" s="576"/>
      <c r="AL234" s="576"/>
      <c r="AM234" s="576"/>
    </row>
    <row r="235" spans="1:39" s="113" customFormat="1" ht="26.25" hidden="1" customHeight="1" outlineLevel="1">
      <c r="B235" s="2739" t="s">
        <v>2486</v>
      </c>
      <c r="C235" s="2740"/>
      <c r="D235" s="973" t="s">
        <v>2508</v>
      </c>
      <c r="E235" s="980"/>
      <c r="F235" s="980"/>
      <c r="G235" s="980"/>
      <c r="H235" s="980"/>
      <c r="I235" s="980"/>
      <c r="J235" s="981"/>
      <c r="K235" s="982"/>
      <c r="L235" s="982"/>
      <c r="M235" s="983"/>
      <c r="N235" s="984"/>
      <c r="O235" s="984"/>
      <c r="Q235" s="908"/>
      <c r="R235" s="908"/>
      <c r="W235" s="817"/>
      <c r="AB235" s="576"/>
      <c r="AC235" s="576"/>
      <c r="AD235" s="576"/>
      <c r="AE235" s="576"/>
      <c r="AF235" s="576"/>
      <c r="AG235" s="576"/>
      <c r="AH235" s="576"/>
      <c r="AI235" s="576"/>
      <c r="AJ235" s="576"/>
      <c r="AK235" s="576"/>
      <c r="AL235" s="576"/>
      <c r="AM235" s="576"/>
    </row>
    <row r="236" spans="1:39" s="113" customFormat="1" ht="12.75" hidden="1" customHeight="1" outlineLevel="1">
      <c r="B236" s="2722" t="s">
        <v>449</v>
      </c>
      <c r="C236" s="2723"/>
      <c r="D236" s="1898" t="s">
        <v>2509</v>
      </c>
      <c r="E236" s="980">
        <f>SUMIF($F$9:$F$100,Utilitaires!$E$575,R$9:R$100)+SUMIF($F$9:$F$100,Utilitaires!$E$579,R$9:R$100)</f>
        <v>0</v>
      </c>
      <c r="F236" s="980">
        <f>SUMIF($F$9:$F$100,Utilitaires!$E$575,S$9:S$100)+SUMIF($F$9:$F$100,Utilitaires!$E$579,S$9:S$100)</f>
        <v>0</v>
      </c>
      <c r="G236" s="980">
        <f>SUMIF($F$9:$F$100,Utilitaires!$E$575,T$9:T$100)+SUMIF($F$9:$F$100,Utilitaires!$E$579,T$9:T$100)</f>
        <v>0</v>
      </c>
      <c r="H236" s="980">
        <f>SUMIF($F$51:$F$59,Utilitaires!$E$575,U$51:U$59)+SUMIF($F$51:$F$59,Utilitaires!$E$579,U$51:U$59)</f>
        <v>0</v>
      </c>
      <c r="I236" s="980">
        <f>SUMIF($F$92:$F$100,Utilitaires!$E$575,U$92:U$100)+SUMIF($F$92:$F$100,Utilitaires!$E$579,U$92:U$100)</f>
        <v>0</v>
      </c>
      <c r="J236" s="981">
        <f>SUM(E236:I236)</f>
        <v>0</v>
      </c>
      <c r="K236" s="982">
        <v>0</v>
      </c>
      <c r="L236" s="982">
        <f>SUMIF($F$9:$F$100,Utilitaires!$E$575,W$9:W$100)+SUMIF($F$9:$F$100,Utilitaires!$E$579,W$9:W$100)</f>
        <v>0</v>
      </c>
      <c r="M236" s="983">
        <f>SQRT(SUMPRODUCT(($F$9:$F$100=Utilitaires!$E$575)*1,O$9:O$100,O$9:O$100)+SUMPRODUCT(($F$9:$F$100=Utilitaires!$E$579)*1,O$9:O$100,O$9:O$100))</f>
        <v>0</v>
      </c>
      <c r="N236" s="984"/>
      <c r="O236" s="984"/>
      <c r="Q236" s="908"/>
      <c r="R236" s="908"/>
      <c r="W236" s="817"/>
      <c r="AB236" s="576"/>
      <c r="AC236" s="576"/>
      <c r="AD236" s="576"/>
      <c r="AE236" s="576"/>
      <c r="AF236" s="576"/>
      <c r="AG236" s="576"/>
      <c r="AH236" s="576"/>
      <c r="AI236" s="576"/>
      <c r="AJ236" s="576"/>
      <c r="AK236" s="576"/>
      <c r="AL236" s="576"/>
      <c r="AM236" s="576"/>
    </row>
    <row r="237" spans="1:39" s="418" customFormat="1" hidden="1" outlineLevel="1">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row>
    <row r="238" spans="1:39" s="418" customFormat="1">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row>
    <row r="239" spans="1:39"/>
    <row r="240" spans="1: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sheetData>
  <mergeCells count="184">
    <mergeCell ref="Y93:Z93"/>
    <mergeCell ref="R94:U94"/>
    <mergeCell ref="R53:U53"/>
    <mergeCell ref="R51:W51"/>
    <mergeCell ref="Y10:Z10"/>
    <mergeCell ref="B212:C212"/>
    <mergeCell ref="B213:D213"/>
    <mergeCell ref="B203:C203"/>
    <mergeCell ref="B204:C204"/>
    <mergeCell ref="B205:C205"/>
    <mergeCell ref="B206:C206"/>
    <mergeCell ref="B207:C207"/>
    <mergeCell ref="B208:C208"/>
    <mergeCell ref="B209:C209"/>
    <mergeCell ref="B210:C210"/>
    <mergeCell ref="B211:C211"/>
    <mergeCell ref="B194:C194"/>
    <mergeCell ref="B195:C195"/>
    <mergeCell ref="B196:D196"/>
    <mergeCell ref="B197:C197"/>
    <mergeCell ref="B198:C198"/>
    <mergeCell ref="B199:C199"/>
    <mergeCell ref="B200:C200"/>
    <mergeCell ref="B201:C201"/>
    <mergeCell ref="B202:C202"/>
    <mergeCell ref="B184:P184"/>
    <mergeCell ref="E186:M186"/>
    <mergeCell ref="B187:C187"/>
    <mergeCell ref="B188:C188"/>
    <mergeCell ref="O188:O193"/>
    <mergeCell ref="B189:C189"/>
    <mergeCell ref="B190:C190"/>
    <mergeCell ref="B191:C191"/>
    <mergeCell ref="B192:C192"/>
    <mergeCell ref="B193:D193"/>
    <mergeCell ref="B181:D181"/>
    <mergeCell ref="H5:I5"/>
    <mergeCell ref="B176:C176"/>
    <mergeCell ref="B177:C177"/>
    <mergeCell ref="B178:C178"/>
    <mergeCell ref="B179:C179"/>
    <mergeCell ref="B180:C180"/>
    <mergeCell ref="B171:C171"/>
    <mergeCell ref="B173:C173"/>
    <mergeCell ref="B174:C174"/>
    <mergeCell ref="B175:C175"/>
    <mergeCell ref="B166:C166"/>
    <mergeCell ref="B167:C167"/>
    <mergeCell ref="B168:C168"/>
    <mergeCell ref="B169:C169"/>
    <mergeCell ref="B170:C170"/>
    <mergeCell ref="B161:D161"/>
    <mergeCell ref="B163:C163"/>
    <mergeCell ref="B164:C164"/>
    <mergeCell ref="B165:C165"/>
    <mergeCell ref="B156:C156"/>
    <mergeCell ref="B157:C157"/>
    <mergeCell ref="B158:D158"/>
    <mergeCell ref="B159:C159"/>
    <mergeCell ref="B160:C160"/>
    <mergeCell ref="B150:P150"/>
    <mergeCell ref="B153:C153"/>
    <mergeCell ref="B154:C154"/>
    <mergeCell ref="B155:C155"/>
    <mergeCell ref="E152:N152"/>
    <mergeCell ref="B162:O162"/>
    <mergeCell ref="B131:C131"/>
    <mergeCell ref="B132:C132"/>
    <mergeCell ref="B133:C133"/>
    <mergeCell ref="B145:C145"/>
    <mergeCell ref="B146:C146"/>
    <mergeCell ref="B142:C142"/>
    <mergeCell ref="B143:C143"/>
    <mergeCell ref="B144:C144"/>
    <mergeCell ref="B136:C136"/>
    <mergeCell ref="B137:C137"/>
    <mergeCell ref="B138:C138"/>
    <mergeCell ref="B139:C139"/>
    <mergeCell ref="B140:C140"/>
    <mergeCell ref="B141:C141"/>
    <mergeCell ref="B134:C134"/>
    <mergeCell ref="B2:P2"/>
    <mergeCell ref="D4:E4"/>
    <mergeCell ref="F4:G4"/>
    <mergeCell ref="H4:I4"/>
    <mergeCell ref="D5:E5"/>
    <mergeCell ref="F5:G5"/>
    <mergeCell ref="J4:K4"/>
    <mergeCell ref="L4:M4"/>
    <mergeCell ref="B107:C108"/>
    <mergeCell ref="D107:F107"/>
    <mergeCell ref="J5:K5"/>
    <mergeCell ref="B7:P7"/>
    <mergeCell ref="L28:O28"/>
    <mergeCell ref="O4:P4"/>
    <mergeCell ref="H53:H54"/>
    <mergeCell ref="L92:O92"/>
    <mergeCell ref="H94:H95"/>
    <mergeCell ref="M94:N94"/>
    <mergeCell ref="M95:N95"/>
    <mergeCell ref="L9:O9"/>
    <mergeCell ref="L20:O20"/>
    <mergeCell ref="B18:P18"/>
    <mergeCell ref="B49:P49"/>
    <mergeCell ref="L39:O39"/>
    <mergeCell ref="R92:W92"/>
    <mergeCell ref="K107:N107"/>
    <mergeCell ref="L51:O51"/>
    <mergeCell ref="H107:I107"/>
    <mergeCell ref="B105:P105"/>
    <mergeCell ref="B109:C109"/>
    <mergeCell ref="B110:C110"/>
    <mergeCell ref="B111:C111"/>
    <mergeCell ref="B112:C112"/>
    <mergeCell ref="B90:P90"/>
    <mergeCell ref="M53:N53"/>
    <mergeCell ref="M54:N54"/>
    <mergeCell ref="B127:C127"/>
    <mergeCell ref="B128:C128"/>
    <mergeCell ref="B37:P37"/>
    <mergeCell ref="B113:C113"/>
    <mergeCell ref="B115:C115"/>
    <mergeCell ref="B123:C123"/>
    <mergeCell ref="B124:C124"/>
    <mergeCell ref="B125:C125"/>
    <mergeCell ref="B126:C126"/>
    <mergeCell ref="B118:P118"/>
    <mergeCell ref="R9:W9"/>
    <mergeCell ref="R20:W20"/>
    <mergeCell ref="R28:W28"/>
    <mergeCell ref="R11:U11"/>
    <mergeCell ref="R22:U22"/>
    <mergeCell ref="R66:U66"/>
    <mergeCell ref="R64:W64"/>
    <mergeCell ref="R41:U41"/>
    <mergeCell ref="R30:U30"/>
    <mergeCell ref="R39:W39"/>
    <mergeCell ref="Y21:Z21"/>
    <mergeCell ref="Y65:Z65"/>
    <mergeCell ref="B62:P62"/>
    <mergeCell ref="L77:O77"/>
    <mergeCell ref="R77:W77"/>
    <mergeCell ref="Y78:Z78"/>
    <mergeCell ref="R79:U79"/>
    <mergeCell ref="H79:H80"/>
    <mergeCell ref="I79:I80"/>
    <mergeCell ref="Y29:Z29"/>
    <mergeCell ref="Y40:Z40"/>
    <mergeCell ref="Y52:Z52"/>
    <mergeCell ref="L64:O64"/>
    <mergeCell ref="H41:H42"/>
    <mergeCell ref="B216:P216"/>
    <mergeCell ref="B226:P226"/>
    <mergeCell ref="L5:M5"/>
    <mergeCell ref="B172:O172"/>
    <mergeCell ref="M11:N11"/>
    <mergeCell ref="M12:N12"/>
    <mergeCell ref="M22:N22"/>
    <mergeCell ref="M23:N23"/>
    <mergeCell ref="M30:N30"/>
    <mergeCell ref="M31:N31"/>
    <mergeCell ref="M66:N66"/>
    <mergeCell ref="M67:N67"/>
    <mergeCell ref="M79:N79"/>
    <mergeCell ref="M80:N80"/>
    <mergeCell ref="M41:N41"/>
    <mergeCell ref="M42:N42"/>
    <mergeCell ref="B122:C122"/>
    <mergeCell ref="B121:C121"/>
    <mergeCell ref="E120:L120"/>
    <mergeCell ref="B135:C135"/>
    <mergeCell ref="G79:G80"/>
    <mergeCell ref="B147:C147"/>
    <mergeCell ref="B129:C129"/>
    <mergeCell ref="B130:C130"/>
    <mergeCell ref="B236:C236"/>
    <mergeCell ref="B233:C233"/>
    <mergeCell ref="B234:C234"/>
    <mergeCell ref="B235:C235"/>
    <mergeCell ref="B231:C231"/>
    <mergeCell ref="B232:C232"/>
    <mergeCell ref="E228:M228"/>
    <mergeCell ref="B229:C229"/>
    <mergeCell ref="B230:C230"/>
  </mergeCells>
  <phoneticPr fontId="7"/>
  <dataValidations count="7">
    <dataValidation type="list" allowBlank="1" showInputMessage="1" showErrorMessage="1" sqref="B96:B98" xr:uid="{00000000-0002-0000-0300-000000000000}">
      <formula1>FE_HorsEnergie_PRGHorsKyoto</formula1>
    </dataValidation>
    <dataValidation allowBlank="1" showInputMessage="1" showErrorMessage="1" sqref="C68:C73 C55:C57 C96:C98 C81:C86" xr:uid="{00000000-0002-0000-0300-000001000000}"/>
    <dataValidation type="list" allowBlank="1" showInputMessage="1" showErrorMessage="1" sqref="F13 F24 F68:F73 F32 F43:F44 F55:F57 F96:F98 F81:F86" xr:uid="{00000000-0002-0000-0300-000002000000}">
      <formula1>Liste_Horsenergie</formula1>
    </dataValidation>
    <dataValidation type="list" allowBlank="1" showInputMessage="1" showErrorMessage="1" sqref="B68:B73" xr:uid="{00000000-0002-0000-0300-000003000000}">
      <formula1>FE_HorsEnergie_Alim_Dig_Dej</formula1>
    </dataValidation>
    <dataValidation type="list" allowBlank="1" showInputMessage="1" showErrorMessage="1" sqref="M13 M24 M32 M68:M73 M43:M44 M55:M57 M96:M98 M81:M86" xr:uid="{00000000-0002-0000-0300-000004000000}">
      <formula1>Choix_Incertitudes</formula1>
    </dataValidation>
    <dataValidation type="list" allowBlank="1" showInputMessage="1" showErrorMessage="1" sqref="B55:B57" xr:uid="{00000000-0002-0000-0300-000005000000}">
      <formula1>FE_HorsEnergie_PRGKyoto</formula1>
    </dataValidation>
    <dataValidation type="list" allowBlank="1" showInputMessage="1" showErrorMessage="1" sqref="B81:B84" xr:uid="{00000000-0002-0000-0300-000006000000}">
      <formula1>FE_HorsEnergie_Agriculture</formula1>
    </dataValidation>
  </dataValidations>
  <hyperlinks>
    <hyperlink ref="D4" location="procedes1_haut" display="CO2 hors énergie" xr:uid="{00000000-0004-0000-0300-000000000000}"/>
    <hyperlink ref="H4" location="procedes1_CH4" display="Méthane" xr:uid="{00000000-0004-0000-0300-000001000000}"/>
    <hyperlink ref="D5" location="procedes1_recap" display="total" xr:uid="{00000000-0004-0000-0300-000002000000}"/>
    <hyperlink ref="J4" location="procedes1_halo" display="Halocarbures" xr:uid="{00000000-0004-0000-0300-000003000000}"/>
    <hyperlink ref="L4" location="procedes1_divers" display="Hors Kyoto" xr:uid="{00000000-0004-0000-0300-000004000000}"/>
    <hyperlink ref="F5" location="horsenergie1_bilanGES" display="bilan GES" xr:uid="{00000000-0004-0000-0300-000005000000}"/>
    <hyperlink ref="H5" location="horsenergie1_GHGProtocol" display="GHG Protocol" xr:uid="{00000000-0004-0000-0300-000006000000}"/>
    <hyperlink ref="F4:G4" location="'Hors énergie 1'!B18" display="N2O" xr:uid="{00000000-0004-0000-0300-000007000000}"/>
    <hyperlink ref="J5:K5" location="'Hors énergie 1'!B226" display="ISO 14069" xr:uid="{00000000-0004-0000-0300-000008000000}"/>
    <hyperlink ref="L5:M5" location="'CDP 2018'!A1" display="CDP" xr:uid="{00000000-0004-0000-0300-000009000000}"/>
    <hyperlink ref="O4:P4" location="Descriptif!A1" display="Descriptif" xr:uid="{00000000-0004-0000-0300-00000A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ignoredErrors>
    <ignoredError sqref="D177:D179 D234" twoDigitTextYear="1"/>
    <ignoredError sqref="I124:I125 L127 L147 N158 N161 N181 M193 M196 M213 I146"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5" id="{1E7E37DD-E3F9-4EC3-B5D6-5F84420D6118}">
            <xm:f>$M13=Utilitaires!$N$572</xm:f>
            <x14:dxf>
              <fill>
                <patternFill>
                  <bgColor theme="0"/>
                </patternFill>
              </fill>
              <border>
                <left style="thin">
                  <color auto="1"/>
                </left>
                <right style="thin">
                  <color auto="1"/>
                </right>
                <top style="thin">
                  <color auto="1"/>
                </top>
                <bottom style="thin">
                  <color auto="1"/>
                </bottom>
                <vertical/>
                <horizontal/>
              </border>
            </x14:dxf>
          </x14:cfRule>
          <xm:sqref>N13 N68:N73 N81:N86 N96:N98</xm:sqref>
        </x14:conditionalFormatting>
        <x14:conditionalFormatting xmlns:xm="http://schemas.microsoft.com/office/excel/2006/main">
          <x14:cfRule type="expression" priority="24" id="{625B5620-1D9D-423C-A2F7-E2F0A7FD0CDF}">
            <xm:f>$M24=Utilitaires!$N$572</xm:f>
            <x14:dxf>
              <fill>
                <patternFill>
                  <bgColor theme="0"/>
                </patternFill>
              </fill>
              <border>
                <left style="thin">
                  <color auto="1"/>
                </left>
                <right style="thin">
                  <color auto="1"/>
                </right>
                <top style="thin">
                  <color auto="1"/>
                </top>
                <bottom style="thin">
                  <color auto="1"/>
                </bottom>
                <vertical/>
                <horizontal/>
              </border>
            </x14:dxf>
          </x14:cfRule>
          <xm:sqref>N24</xm:sqref>
        </x14:conditionalFormatting>
        <x14:conditionalFormatting xmlns:xm="http://schemas.microsoft.com/office/excel/2006/main">
          <x14:cfRule type="expression" priority="23" id="{523A429C-621F-4BB7-BF7D-1F0AE8A10B90}">
            <xm:f>$M32=Utilitaires!$N$572</xm:f>
            <x14:dxf>
              <fill>
                <patternFill>
                  <bgColor theme="0"/>
                </patternFill>
              </fill>
              <border>
                <left style="thin">
                  <color auto="1"/>
                </left>
                <right style="thin">
                  <color auto="1"/>
                </right>
                <top style="thin">
                  <color auto="1"/>
                </top>
                <bottom style="thin">
                  <color auto="1"/>
                </bottom>
                <vertical/>
                <horizontal/>
              </border>
            </x14:dxf>
          </x14:cfRule>
          <xm:sqref>N32</xm:sqref>
        </x14:conditionalFormatting>
        <x14:conditionalFormatting xmlns:xm="http://schemas.microsoft.com/office/excel/2006/main">
          <x14:cfRule type="expression" priority="5" id="{063586FB-D651-436E-BD9E-C9F2E8DD40FA}">
            <xm:f>$M57=Utilitaires!$N$572</xm:f>
            <x14:dxf>
              <fill>
                <patternFill>
                  <bgColor theme="0"/>
                </patternFill>
              </fill>
              <border>
                <left style="thin">
                  <color auto="1"/>
                </left>
                <right style="thin">
                  <color auto="1"/>
                </right>
                <top style="thin">
                  <color auto="1"/>
                </top>
                <bottom style="thin">
                  <color auto="1"/>
                </bottom>
                <vertical/>
                <horizontal/>
              </border>
            </x14:dxf>
          </x14:cfRule>
          <xm:sqref>N57</xm:sqref>
        </x14:conditionalFormatting>
        <x14:conditionalFormatting xmlns:xm="http://schemas.microsoft.com/office/excel/2006/main">
          <x14:cfRule type="expression" priority="8" id="{A1725FCA-15C5-477A-AC42-F2576822148D}">
            <xm:f>$M43=Utilitaires!$N$572</xm:f>
            <x14:dxf>
              <fill>
                <patternFill>
                  <bgColor theme="0"/>
                </patternFill>
              </fill>
              <border>
                <left style="thin">
                  <color auto="1"/>
                </left>
                <right style="thin">
                  <color auto="1"/>
                </right>
                <top style="thin">
                  <color auto="1"/>
                </top>
                <bottom style="thin">
                  <color auto="1"/>
                </bottom>
                <vertical/>
                <horizontal/>
              </border>
            </x14:dxf>
          </x14:cfRule>
          <xm:sqref>N43</xm:sqref>
        </x14:conditionalFormatting>
        <x14:conditionalFormatting xmlns:xm="http://schemas.microsoft.com/office/excel/2006/main">
          <x14:cfRule type="expression" priority="7" id="{BE4A3420-177F-4CFC-8A3D-948D09E30553}">
            <xm:f>$M44=Utilitaires!$N$572</xm:f>
            <x14:dxf>
              <fill>
                <patternFill>
                  <bgColor theme="0"/>
                </patternFill>
              </fill>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6" id="{AFA2CE57-9379-4E8C-8BFB-600DF26AFAF0}">
            <xm:f>$M55=Utilitaires!$N$572</xm:f>
            <x14:dxf>
              <fill>
                <patternFill>
                  <bgColor theme="0"/>
                </patternFill>
              </fill>
              <border>
                <left style="thin">
                  <color auto="1"/>
                </left>
                <right style="thin">
                  <color auto="1"/>
                </right>
                <top style="thin">
                  <color auto="1"/>
                </top>
                <bottom style="thin">
                  <color auto="1"/>
                </bottom>
                <vertical/>
                <horizontal/>
              </border>
            </x14:dxf>
          </x14:cfRule>
          <xm:sqref>N55</xm:sqref>
        </x14:conditionalFormatting>
        <x14:conditionalFormatting xmlns:xm="http://schemas.microsoft.com/office/excel/2006/main">
          <x14:cfRule type="expression" priority="4" id="{1E4D1594-B9AD-42C9-B59B-BF24D16295EE}">
            <xm:f>$M56=Utilitaires!$N$572</xm:f>
            <x14:dxf>
              <fill>
                <patternFill>
                  <bgColor theme="0"/>
                </patternFill>
              </fill>
              <border>
                <left style="thin">
                  <color auto="1"/>
                </left>
                <right style="thin">
                  <color auto="1"/>
                </right>
                <top style="thin">
                  <color auto="1"/>
                </top>
                <bottom style="thin">
                  <color auto="1"/>
                </bottom>
                <vertical/>
                <horizontal/>
              </border>
            </x14:dxf>
          </x14:cfRule>
          <xm:sqref>N56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7000000}">
          <x14:formula1>
            <xm:f>'FE Hors Energie'!$F$81:$F$82</xm:f>
          </x14:formula1>
          <xm:sqref>B85:B86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outlinePr summaryBelow="0" summaryRight="0"/>
  </sheetPr>
  <dimension ref="A1:LH295"/>
  <sheetViews>
    <sheetView showGridLines="0" zoomScale="85" zoomScaleNormal="85" workbookViewId="0">
      <pane xSplit="3" ySplit="6" topLeftCell="D123" activePane="bottomRight" state="frozen"/>
      <selection pane="topRight" activeCell="D1" sqref="D1"/>
      <selection pane="bottomLeft" activeCell="A7" sqref="A7"/>
      <selection pane="bottomRight" activeCell="E143" sqref="E143"/>
    </sheetView>
  </sheetViews>
  <sheetFormatPr baseColWidth="10" defaultColWidth="0" defaultRowHeight="11.4" zeroHeight="1" outlineLevelRow="1" outlineLevelCol="1"/>
  <cols>
    <col min="1" max="1" width="2.75" style="233" customWidth="1"/>
    <col min="2" max="2" width="52.75" style="233" customWidth="1"/>
    <col min="3" max="3" width="2.375" style="233" customWidth="1"/>
    <col min="4" max="4" width="14.125" style="233" bestFit="1" customWidth="1"/>
    <col min="5" max="5" width="12.25" style="233" customWidth="1"/>
    <col min="6" max="6" width="15.75" style="233" bestFit="1" customWidth="1"/>
    <col min="7" max="7" width="13" style="3" bestFit="1" customWidth="1"/>
    <col min="8" max="8" width="16.375" style="233" bestFit="1" customWidth="1"/>
    <col min="9" max="9" width="15.25" style="233" bestFit="1" customWidth="1"/>
    <col min="10" max="10" width="13.375" style="233" bestFit="1" customWidth="1"/>
    <col min="11" max="12" width="12.25" style="233" customWidth="1"/>
    <col min="13" max="13" width="16.375" style="830" bestFit="1" customWidth="1"/>
    <col min="14" max="14" width="12.25" style="830" customWidth="1"/>
    <col min="15" max="16" width="12.25" style="233" customWidth="1"/>
    <col min="17" max="17" width="12.25" style="830" customWidth="1" collapsed="1"/>
    <col min="18" max="21" width="12.25" style="233" hidden="1" customWidth="1" outlineLevel="1"/>
    <col min="22" max="23" width="12.25" style="594" hidden="1" customWidth="1" outlineLevel="1"/>
    <col min="24" max="24" width="12.25" style="594" customWidth="1" collapsed="1"/>
    <col min="25" max="25" width="12.25" style="594" hidden="1" customWidth="1" outlineLevel="1"/>
    <col min="26" max="26" width="12.375" style="594" hidden="1" customWidth="1" outlineLevel="1"/>
    <col min="27" max="27" width="1.875" style="594" customWidth="1" collapsed="1"/>
    <col min="28" max="28" width="12.25" style="233" hidden="1" customWidth="1"/>
    <col min="29" max="319" width="10.875" style="233" hidden="1" customWidth="1"/>
    <col min="320" max="320" width="11.375" style="233" hidden="1" customWidth="1"/>
    <col min="321" max="16384" width="10.875" style="233" hidden="1"/>
  </cols>
  <sheetData>
    <row r="1" spans="1:27" ht="22.8">
      <c r="A1" s="113"/>
      <c r="B1" s="113"/>
      <c r="C1" s="113"/>
      <c r="D1" s="113"/>
      <c r="E1" s="113"/>
      <c r="F1" s="113"/>
      <c r="G1" s="113"/>
      <c r="H1" s="113"/>
      <c r="I1" s="113"/>
      <c r="J1" s="113"/>
      <c r="K1" s="113"/>
      <c r="L1" s="113"/>
      <c r="M1" s="817"/>
      <c r="N1" s="817"/>
      <c r="O1" s="113"/>
      <c r="P1" s="113"/>
      <c r="Q1" s="1645" t="s">
        <v>2441</v>
      </c>
      <c r="R1" s="594"/>
      <c r="S1" s="594"/>
      <c r="T1" s="594"/>
      <c r="U1" s="594"/>
      <c r="X1" s="1644" t="s">
        <v>2440</v>
      </c>
      <c r="Y1" s="233"/>
      <c r="Z1" s="233"/>
      <c r="AA1" s="233"/>
    </row>
    <row r="2" spans="1:27" ht="30" customHeight="1">
      <c r="A2" s="113"/>
      <c r="B2" s="2602" t="str">
        <f>Descriptif!C26</f>
        <v>Hors énergie 2</v>
      </c>
      <c r="C2" s="2603"/>
      <c r="D2" s="2603"/>
      <c r="E2" s="2603"/>
      <c r="F2" s="2603"/>
      <c r="G2" s="2603"/>
      <c r="H2" s="2603"/>
      <c r="I2" s="2603"/>
      <c r="J2" s="2603"/>
      <c r="K2" s="2603"/>
      <c r="L2" s="2603"/>
      <c r="M2" s="2603"/>
      <c r="N2" s="2603"/>
      <c r="O2" s="2603"/>
      <c r="P2" s="2604"/>
      <c r="Q2" s="233"/>
      <c r="R2" s="594"/>
      <c r="S2" s="594"/>
      <c r="T2" s="594"/>
      <c r="U2" s="594"/>
      <c r="X2" s="233"/>
      <c r="Y2" s="233"/>
      <c r="Z2" s="233"/>
      <c r="AA2" s="233"/>
    </row>
    <row r="3" spans="1:27" s="91" customFormat="1" ht="13.2">
      <c r="A3" s="114"/>
      <c r="B3" s="114"/>
      <c r="C3" s="114"/>
      <c r="D3" s="114"/>
      <c r="E3" s="114"/>
      <c r="F3" s="114"/>
      <c r="G3" s="114"/>
      <c r="H3" s="114"/>
      <c r="I3" s="114"/>
      <c r="J3" s="114"/>
      <c r="K3" s="114"/>
      <c r="L3" s="114"/>
      <c r="M3" s="126"/>
      <c r="N3" s="126"/>
      <c r="O3" s="114"/>
      <c r="P3" s="114"/>
      <c r="R3" s="595"/>
      <c r="S3" s="595"/>
      <c r="T3" s="595"/>
      <c r="U3" s="595"/>
      <c r="V3" s="595"/>
      <c r="W3" s="595"/>
    </row>
    <row r="4" spans="1:27" s="91" customFormat="1" ht="13.8">
      <c r="A4" s="114"/>
      <c r="B4" s="1001" t="s">
        <v>536</v>
      </c>
      <c r="C4" s="210"/>
      <c r="D4" s="2760" t="s">
        <v>211</v>
      </c>
      <c r="E4" s="2760"/>
      <c r="F4" s="2760" t="s">
        <v>267</v>
      </c>
      <c r="G4" s="2760"/>
      <c r="H4" s="2760" t="s">
        <v>442</v>
      </c>
      <c r="I4" s="2760"/>
      <c r="J4" s="2760" t="s">
        <v>307</v>
      </c>
      <c r="K4" s="2760"/>
      <c r="L4" s="2760" t="s">
        <v>40</v>
      </c>
      <c r="M4" s="2760"/>
      <c r="N4" s="1891"/>
      <c r="O4" s="2761" t="s">
        <v>893</v>
      </c>
      <c r="P4" s="2762"/>
      <c r="R4" s="595"/>
      <c r="S4" s="595"/>
      <c r="T4" s="595"/>
      <c r="U4" s="595"/>
      <c r="V4" s="595"/>
      <c r="W4" s="595"/>
    </row>
    <row r="5" spans="1:27" s="91" customFormat="1" ht="13.8">
      <c r="A5" s="114"/>
      <c r="B5" s="194" t="s">
        <v>521</v>
      </c>
      <c r="C5" s="195"/>
      <c r="D5" s="2745" t="s">
        <v>212</v>
      </c>
      <c r="E5" s="2745"/>
      <c r="F5" s="2745" t="s">
        <v>484</v>
      </c>
      <c r="G5" s="2745"/>
      <c r="H5" s="2745" t="s">
        <v>758</v>
      </c>
      <c r="I5" s="2745"/>
      <c r="J5" s="2745" t="s">
        <v>818</v>
      </c>
      <c r="K5" s="2745"/>
      <c r="L5" s="2745" t="s">
        <v>2444</v>
      </c>
      <c r="M5" s="2745"/>
      <c r="N5" s="826"/>
      <c r="O5" s="1684"/>
      <c r="P5" s="1685"/>
      <c r="R5" s="595"/>
      <c r="S5" s="595"/>
      <c r="T5" s="595"/>
      <c r="U5" s="595"/>
      <c r="V5" s="595"/>
      <c r="W5" s="595"/>
    </row>
    <row r="6" spans="1:27" s="91" customFormat="1" ht="13.8">
      <c r="A6" s="114"/>
      <c r="B6" s="115"/>
      <c r="C6" s="115"/>
      <c r="D6" s="115"/>
      <c r="E6" s="115"/>
      <c r="F6" s="115"/>
      <c r="G6" s="115"/>
      <c r="H6" s="109"/>
      <c r="I6" s="109"/>
      <c r="J6" s="109"/>
      <c r="K6" s="114"/>
      <c r="L6" s="114"/>
      <c r="M6" s="126"/>
      <c r="N6" s="126"/>
      <c r="O6" s="114"/>
      <c r="P6" s="114"/>
      <c r="R6" s="595"/>
      <c r="S6" s="595"/>
      <c r="T6" s="595"/>
      <c r="U6" s="595"/>
      <c r="V6" s="595"/>
      <c r="W6" s="595"/>
    </row>
    <row r="7" spans="1:27" s="91" customFormat="1" ht="15.6" collapsed="1">
      <c r="B7" s="2763" t="s">
        <v>543</v>
      </c>
      <c r="C7" s="2764"/>
      <c r="D7" s="2764"/>
      <c r="E7" s="2764"/>
      <c r="F7" s="2764"/>
      <c r="G7" s="2764"/>
      <c r="H7" s="2764"/>
      <c r="I7" s="2764"/>
      <c r="J7" s="2764"/>
      <c r="K7" s="2764"/>
      <c r="L7" s="2764"/>
      <c r="M7" s="2764"/>
      <c r="N7" s="2764"/>
      <c r="O7" s="2764"/>
      <c r="P7" s="2765"/>
      <c r="R7" s="595"/>
      <c r="S7" s="595"/>
      <c r="T7" s="595"/>
      <c r="U7" s="595"/>
      <c r="V7" s="595"/>
      <c r="W7" s="595"/>
    </row>
    <row r="8" spans="1:27" s="91" customFormat="1" ht="13.2" hidden="1" outlineLevel="1">
      <c r="B8" s="99"/>
      <c r="C8" s="99"/>
      <c r="D8" s="99"/>
      <c r="E8" s="99"/>
      <c r="F8" s="99"/>
      <c r="G8" s="1894"/>
      <c r="H8" s="92"/>
      <c r="M8" s="9"/>
      <c r="N8" s="9"/>
      <c r="R8" s="595"/>
      <c r="S8" s="595"/>
      <c r="T8" s="595"/>
      <c r="U8" s="595"/>
      <c r="V8" s="595"/>
      <c r="W8" s="595"/>
    </row>
    <row r="9" spans="1:27" s="91" customFormat="1" ht="12.75" hidden="1" customHeight="1" outlineLevel="1">
      <c r="B9" s="294" t="s">
        <v>118</v>
      </c>
      <c r="C9" s="295"/>
      <c r="D9" s="1882"/>
      <c r="E9" s="1882"/>
      <c r="F9" s="296"/>
      <c r="G9" s="296"/>
      <c r="H9" s="296"/>
      <c r="I9" s="297"/>
      <c r="J9" s="1894"/>
      <c r="K9" s="1894"/>
      <c r="L9" s="2748" t="s">
        <v>366</v>
      </c>
      <c r="M9" s="2749"/>
      <c r="N9" s="2749"/>
      <c r="O9" s="2750"/>
      <c r="P9" s="1894"/>
      <c r="R9" s="2751" t="s">
        <v>441</v>
      </c>
      <c r="S9" s="2752"/>
      <c r="T9" s="2752"/>
      <c r="U9" s="2752"/>
      <c r="V9" s="2752"/>
      <c r="W9" s="2753"/>
    </row>
    <row r="10" spans="1:27" s="91" customFormat="1" ht="12.75" hidden="1" customHeight="1" outlineLevel="1">
      <c r="B10" s="298"/>
      <c r="C10" s="299"/>
      <c r="D10" s="1892" t="s">
        <v>308</v>
      </c>
      <c r="E10" s="1892"/>
      <c r="F10" s="299"/>
      <c r="G10" s="299"/>
      <c r="H10" s="299"/>
      <c r="I10" s="300"/>
      <c r="J10" s="1894"/>
      <c r="K10" s="1894"/>
      <c r="L10" s="298"/>
      <c r="M10" s="827"/>
      <c r="N10" s="827"/>
      <c r="O10" s="308"/>
      <c r="P10" s="1894"/>
      <c r="R10" s="596"/>
      <c r="S10" s="597"/>
      <c r="T10" s="597"/>
      <c r="U10" s="597"/>
      <c r="V10" s="598"/>
      <c r="W10" s="599"/>
      <c r="Y10" s="2616" t="s">
        <v>1648</v>
      </c>
      <c r="Z10" s="2618"/>
    </row>
    <row r="11" spans="1:27" s="91" customFormat="1" ht="12.75" hidden="1" customHeight="1" outlineLevel="1">
      <c r="B11" s="298"/>
      <c r="C11" s="299"/>
      <c r="D11" s="1880" t="s">
        <v>409</v>
      </c>
      <c r="E11" s="1880"/>
      <c r="F11" s="147" t="s">
        <v>452</v>
      </c>
      <c r="G11" s="147" t="s">
        <v>1849</v>
      </c>
      <c r="H11" s="299" t="s">
        <v>1847</v>
      </c>
      <c r="I11" s="302" t="s">
        <v>444</v>
      </c>
      <c r="K11" s="1894"/>
      <c r="L11" s="1881" t="s">
        <v>316</v>
      </c>
      <c r="M11" s="2629" t="s">
        <v>316</v>
      </c>
      <c r="N11" s="2630"/>
      <c r="O11" s="302" t="s">
        <v>444</v>
      </c>
      <c r="P11" s="1894"/>
      <c r="R11" s="2754" t="s">
        <v>444</v>
      </c>
      <c r="S11" s="2755"/>
      <c r="T11" s="2755"/>
      <c r="U11" s="2755"/>
      <c r="V11" s="600" t="s">
        <v>444</v>
      </c>
      <c r="W11" s="601"/>
      <c r="Y11" s="1140" t="s">
        <v>1646</v>
      </c>
      <c r="Z11" s="1141" t="s">
        <v>1844</v>
      </c>
    </row>
    <row r="12" spans="1:27" s="91" customFormat="1" ht="12.75" hidden="1" customHeight="1" outlineLevel="1">
      <c r="B12" s="298"/>
      <c r="C12" s="299"/>
      <c r="D12" s="1880" t="s">
        <v>444</v>
      </c>
      <c r="E12" s="1880"/>
      <c r="F12" s="1889" t="s">
        <v>702</v>
      </c>
      <c r="G12" s="1889" t="s">
        <v>1848</v>
      </c>
      <c r="H12" s="299"/>
      <c r="I12" s="302"/>
      <c r="K12" s="1894"/>
      <c r="L12" s="1881" t="s">
        <v>1649</v>
      </c>
      <c r="M12" s="2646" t="s">
        <v>1650</v>
      </c>
      <c r="N12" s="2647"/>
      <c r="O12" s="302"/>
      <c r="R12" s="602" t="s">
        <v>211</v>
      </c>
      <c r="S12" s="603" t="s">
        <v>442</v>
      </c>
      <c r="T12" s="603" t="s">
        <v>267</v>
      </c>
      <c r="U12" s="603" t="s">
        <v>443</v>
      </c>
      <c r="V12" s="604" t="s">
        <v>327</v>
      </c>
      <c r="W12" s="605" t="s">
        <v>636</v>
      </c>
      <c r="Y12" s="1878"/>
      <c r="Z12" s="1893"/>
    </row>
    <row r="13" spans="1:27" s="91" customFormat="1" ht="13.2" hidden="1" outlineLevel="1">
      <c r="B13" s="304" t="s">
        <v>325</v>
      </c>
      <c r="C13" s="305"/>
      <c r="D13" s="315">
        <f>I13</f>
        <v>0</v>
      </c>
      <c r="E13" s="315"/>
      <c r="F13" s="843"/>
      <c r="G13" s="96"/>
      <c r="H13" s="317">
        <v>1</v>
      </c>
      <c r="I13" s="306">
        <f>G13*H13</f>
        <v>0</v>
      </c>
      <c r="L13" s="319">
        <f>IF(O13=0,O13,O13/I13)</f>
        <v>0</v>
      </c>
      <c r="M13" s="816"/>
      <c r="N13" s="820"/>
      <c r="O13" s="306">
        <f>SQRT(SUMSQ(IF(ISNA($G13*H13*Z13),0,$G13*H13*Z13)))</f>
        <v>0</v>
      </c>
      <c r="R13" s="606">
        <f>I13</f>
        <v>0</v>
      </c>
      <c r="S13" s="607">
        <v>0</v>
      </c>
      <c r="T13" s="607">
        <v>0</v>
      </c>
      <c r="U13" s="607">
        <v>0</v>
      </c>
      <c r="V13" s="608">
        <f>I13</f>
        <v>0</v>
      </c>
      <c r="W13" s="609">
        <v>0</v>
      </c>
      <c r="Y13" s="1887">
        <f>IF($M13&lt;&gt;"votre valeur :",IF(ISNA(VLOOKUP($M13,Utilitaires!$N$566:$O$571,2,FALSE)),,VLOOKUP($M13,Utilitaires!$N$566:$O$571,2,FALSE)),$N13)</f>
        <v>0</v>
      </c>
      <c r="Z13" s="1130">
        <f>SQRT(SUMSQ(0,$Y13))</f>
        <v>0</v>
      </c>
    </row>
    <row r="14" spans="1:27" s="91" customFormat="1" ht="13.2" hidden="1" outlineLevel="1">
      <c r="B14" s="304"/>
      <c r="C14" s="305"/>
      <c r="D14" s="315"/>
      <c r="E14" s="315"/>
      <c r="F14" s="305"/>
      <c r="G14" s="299"/>
      <c r="H14" s="305"/>
      <c r="I14" s="307"/>
      <c r="L14" s="304"/>
      <c r="M14" s="828"/>
      <c r="N14" s="828"/>
      <c r="O14" s="306"/>
      <c r="R14" s="606"/>
      <c r="S14" s="607"/>
      <c r="T14" s="607"/>
      <c r="U14" s="607"/>
      <c r="V14" s="608"/>
      <c r="W14" s="610"/>
      <c r="Y14" s="1879"/>
      <c r="Z14" s="1143"/>
    </row>
    <row r="15" spans="1:27" s="91" customFormat="1" ht="13.2" hidden="1" outlineLevel="1">
      <c r="B15" s="320" t="s">
        <v>348</v>
      </c>
      <c r="C15" s="321"/>
      <c r="D15" s="322">
        <f>SUM(D13:D14)</f>
        <v>0</v>
      </c>
      <c r="E15" s="322"/>
      <c r="F15" s="321"/>
      <c r="G15" s="323"/>
      <c r="H15" s="321"/>
      <c r="I15" s="324">
        <f>SUM(I13:I14)</f>
        <v>0</v>
      </c>
      <c r="L15" s="1202">
        <f>IF(O15=0,O15,O15/I15)</f>
        <v>0</v>
      </c>
      <c r="M15" s="829"/>
      <c r="N15" s="829"/>
      <c r="O15" s="324">
        <f>SQRT(SUMSQ(O13:O14))</f>
        <v>0</v>
      </c>
      <c r="R15" s="611">
        <f t="shared" ref="R15:W15" si="0">SUM(R13:R14)</f>
        <v>0</v>
      </c>
      <c r="S15" s="612">
        <f t="shared" si="0"/>
        <v>0</v>
      </c>
      <c r="T15" s="612">
        <f t="shared" si="0"/>
        <v>0</v>
      </c>
      <c r="U15" s="612">
        <f t="shared" si="0"/>
        <v>0</v>
      </c>
      <c r="V15" s="613">
        <f t="shared" si="0"/>
        <v>0</v>
      </c>
      <c r="W15" s="614">
        <f t="shared" si="0"/>
        <v>0</v>
      </c>
    </row>
    <row r="16" spans="1:27" s="91" customFormat="1" ht="13.2" hidden="1" outlineLevel="1">
      <c r="B16" s="99"/>
      <c r="C16" s="99"/>
      <c r="D16" s="99"/>
      <c r="E16" s="99"/>
      <c r="F16" s="99"/>
      <c r="G16" s="1894"/>
      <c r="H16" s="92"/>
      <c r="M16" s="9"/>
      <c r="N16" s="9"/>
      <c r="R16" s="595"/>
      <c r="S16" s="595"/>
      <c r="T16" s="595"/>
      <c r="U16" s="595"/>
      <c r="V16" s="595"/>
      <c r="W16" s="595"/>
    </row>
    <row r="17" spans="2:26" s="91" customFormat="1" ht="13.2" collapsed="1">
      <c r="B17" s="99"/>
      <c r="C17" s="99"/>
      <c r="D17" s="99"/>
      <c r="E17" s="99"/>
      <c r="F17" s="99"/>
      <c r="G17" s="1894"/>
      <c r="H17" s="92"/>
      <c r="M17" s="9"/>
      <c r="N17" s="9"/>
      <c r="R17" s="595"/>
      <c r="S17" s="595"/>
      <c r="T17" s="595"/>
      <c r="U17" s="595"/>
      <c r="V17" s="595"/>
      <c r="W17" s="595"/>
    </row>
    <row r="18" spans="2:26" s="91" customFormat="1" ht="15.6" collapsed="1">
      <c r="B18" s="2652" t="s">
        <v>542</v>
      </c>
      <c r="C18" s="2653"/>
      <c r="D18" s="2653"/>
      <c r="E18" s="2653"/>
      <c r="F18" s="2653"/>
      <c r="G18" s="2653"/>
      <c r="H18" s="2653"/>
      <c r="I18" s="2653"/>
      <c r="J18" s="2653"/>
      <c r="K18" s="2653"/>
      <c r="L18" s="2653"/>
      <c r="M18" s="2653"/>
      <c r="N18" s="2653"/>
      <c r="O18" s="2653"/>
      <c r="P18" s="2654"/>
      <c r="R18" s="595"/>
      <c r="S18" s="595"/>
      <c r="T18" s="595"/>
      <c r="U18" s="595"/>
      <c r="V18" s="595"/>
      <c r="W18" s="595"/>
    </row>
    <row r="19" spans="2:26" s="91" customFormat="1" ht="13.2" hidden="1" outlineLevel="1">
      <c r="G19" s="1894"/>
      <c r="M19" s="9"/>
      <c r="N19" s="9"/>
      <c r="R19" s="595"/>
      <c r="S19" s="595"/>
      <c r="T19" s="595"/>
      <c r="U19" s="595"/>
      <c r="V19" s="595"/>
      <c r="W19" s="595"/>
    </row>
    <row r="20" spans="2:26" s="91" customFormat="1" ht="12.75" hidden="1" customHeight="1" outlineLevel="1">
      <c r="B20" s="294" t="s">
        <v>44</v>
      </c>
      <c r="C20" s="295"/>
      <c r="D20" s="1882"/>
      <c r="E20" s="1882"/>
      <c r="F20" s="296"/>
      <c r="G20" s="296"/>
      <c r="H20" s="296"/>
      <c r="I20" s="296"/>
      <c r="J20" s="297"/>
      <c r="K20" s="1894"/>
      <c r="L20" s="2748" t="s">
        <v>366</v>
      </c>
      <c r="M20" s="2749"/>
      <c r="N20" s="2749"/>
      <c r="O20" s="2750"/>
      <c r="R20" s="2751" t="s">
        <v>441</v>
      </c>
      <c r="S20" s="2752"/>
      <c r="T20" s="2752"/>
      <c r="U20" s="2752"/>
      <c r="V20" s="2752"/>
      <c r="W20" s="2753"/>
    </row>
    <row r="21" spans="2:26" s="91" customFormat="1" ht="12.75" hidden="1" customHeight="1" outlineLevel="1">
      <c r="B21" s="298"/>
      <c r="C21" s="299"/>
      <c r="D21" s="1892" t="s">
        <v>308</v>
      </c>
      <c r="E21" s="1892"/>
      <c r="F21" s="299"/>
      <c r="G21" s="299"/>
      <c r="H21" s="299" t="s">
        <v>563</v>
      </c>
      <c r="I21" s="299"/>
      <c r="J21" s="300"/>
      <c r="K21" s="1894"/>
      <c r="L21" s="298"/>
      <c r="M21" s="827"/>
      <c r="N21" s="827"/>
      <c r="O21" s="307"/>
      <c r="R21" s="596"/>
      <c r="S21" s="597"/>
      <c r="T21" s="597"/>
      <c r="U21" s="597"/>
      <c r="V21" s="598"/>
      <c r="W21" s="599"/>
      <c r="Y21" s="2616" t="s">
        <v>1648</v>
      </c>
      <c r="Z21" s="2618"/>
    </row>
    <row r="22" spans="2:26" s="91" customFormat="1" ht="12.75" hidden="1" customHeight="1" outlineLevel="1">
      <c r="B22" s="298"/>
      <c r="C22" s="299"/>
      <c r="D22" s="1880" t="s">
        <v>409</v>
      </c>
      <c r="E22" s="1880"/>
      <c r="F22" s="147" t="s">
        <v>452</v>
      </c>
      <c r="G22" s="301" t="s">
        <v>1850</v>
      </c>
      <c r="H22" s="299" t="s">
        <v>564</v>
      </c>
      <c r="I22" s="299" t="s">
        <v>1851</v>
      </c>
      <c r="J22" s="302" t="s">
        <v>444</v>
      </c>
      <c r="L22" s="1881" t="s">
        <v>316</v>
      </c>
      <c r="M22" s="2629" t="s">
        <v>316</v>
      </c>
      <c r="N22" s="2630"/>
      <c r="O22" s="302" t="s">
        <v>444</v>
      </c>
      <c r="R22" s="2754" t="s">
        <v>444</v>
      </c>
      <c r="S22" s="2755"/>
      <c r="T22" s="2755"/>
      <c r="U22" s="2755"/>
      <c r="V22" s="600" t="s">
        <v>444</v>
      </c>
      <c r="W22" s="601"/>
      <c r="Y22" s="1140" t="s">
        <v>1646</v>
      </c>
      <c r="Z22" s="1141" t="s">
        <v>1844</v>
      </c>
    </row>
    <row r="23" spans="2:26" s="91" customFormat="1" ht="12.75" hidden="1" customHeight="1" outlineLevel="1">
      <c r="B23" s="298"/>
      <c r="C23" s="299"/>
      <c r="D23" s="1880" t="s">
        <v>444</v>
      </c>
      <c r="E23" s="1880"/>
      <c r="F23" s="1889" t="s">
        <v>702</v>
      </c>
      <c r="G23" s="303" t="s">
        <v>562</v>
      </c>
      <c r="H23" s="299" t="s">
        <v>565</v>
      </c>
      <c r="I23" s="299"/>
      <c r="J23" s="302"/>
      <c r="L23" s="1881" t="s">
        <v>1649</v>
      </c>
      <c r="M23" s="2646" t="s">
        <v>1650</v>
      </c>
      <c r="N23" s="2647"/>
      <c r="O23" s="302"/>
      <c r="R23" s="602" t="s">
        <v>211</v>
      </c>
      <c r="S23" s="603" t="s">
        <v>442</v>
      </c>
      <c r="T23" s="603" t="s">
        <v>267</v>
      </c>
      <c r="U23" s="603" t="s">
        <v>443</v>
      </c>
      <c r="V23" s="604" t="s">
        <v>327</v>
      </c>
      <c r="W23" s="605" t="s">
        <v>636</v>
      </c>
      <c r="Y23" s="1878"/>
      <c r="Z23" s="1893"/>
    </row>
    <row r="24" spans="2:26" s="91" customFormat="1" ht="13.2" hidden="1" outlineLevel="1">
      <c r="B24" s="304" t="s">
        <v>298</v>
      </c>
      <c r="C24" s="305"/>
      <c r="D24" s="315">
        <f>J24</f>
        <v>0</v>
      </c>
      <c r="E24" s="315"/>
      <c r="F24" s="843"/>
      <c r="G24" s="96"/>
      <c r="H24" s="1160">
        <f>'FE Hors Energie'!K84</f>
        <v>2.0900000000000002E-2</v>
      </c>
      <c r="I24" s="1161">
        <f>'FE Hors Energie'!$O$92</f>
        <v>265</v>
      </c>
      <c r="J24" s="306">
        <f>G24*H24*I24</f>
        <v>0</v>
      </c>
      <c r="L24" s="319">
        <f>IF(O24=0,O24,O24/J24)</f>
        <v>0</v>
      </c>
      <c r="M24" s="816"/>
      <c r="N24" s="820"/>
      <c r="O24" s="306">
        <f>SQRT(SUMSQ(IF(ISNA(J24*Z24),0,J24*Z24)))</f>
        <v>0</v>
      </c>
      <c r="R24" s="606">
        <v>0</v>
      </c>
      <c r="S24" s="607">
        <v>0</v>
      </c>
      <c r="T24" s="607">
        <f>J24</f>
        <v>0</v>
      </c>
      <c r="U24" s="607">
        <v>0</v>
      </c>
      <c r="V24" s="608">
        <f>J24</f>
        <v>0</v>
      </c>
      <c r="W24" s="609">
        <v>0</v>
      </c>
      <c r="Y24" s="1887">
        <f>IF($M24&lt;&gt;"votre valeur :",IF(ISNA(VLOOKUP($M24,Utilitaires!$N$566:$O$571,2,FALSE)),,VLOOKUP($M24,Utilitaires!$N$566:$O$571,2,FALSE)),$N24)</f>
        <v>0</v>
      </c>
      <c r="Z24" s="1130">
        <f>SQRT(SUMSQ(0.3,Y24))</f>
        <v>0.3</v>
      </c>
    </row>
    <row r="25" spans="2:26" s="91" customFormat="1" ht="13.2" hidden="1" outlineLevel="1">
      <c r="B25" s="304"/>
      <c r="C25" s="305"/>
      <c r="D25" s="315"/>
      <c r="E25" s="315"/>
      <c r="F25" s="305"/>
      <c r="G25" s="299"/>
      <c r="H25" s="305"/>
      <c r="I25" s="305"/>
      <c r="J25" s="307"/>
      <c r="L25" s="304"/>
      <c r="M25" s="828"/>
      <c r="N25" s="828"/>
      <c r="O25" s="306"/>
      <c r="R25" s="606"/>
      <c r="S25" s="607"/>
      <c r="T25" s="607"/>
      <c r="U25" s="607"/>
      <c r="V25" s="608"/>
      <c r="W25" s="610"/>
      <c r="Y25" s="1879"/>
      <c r="Z25" s="1143"/>
    </row>
    <row r="26" spans="2:26" s="91" customFormat="1" ht="13.2" hidden="1" outlineLevel="1">
      <c r="B26" s="320" t="s">
        <v>348</v>
      </c>
      <c r="C26" s="321"/>
      <c r="D26" s="322">
        <f>SUM(D24:D25)</f>
        <v>0</v>
      </c>
      <c r="E26" s="322"/>
      <c r="F26" s="321"/>
      <c r="G26" s="323"/>
      <c r="H26" s="321"/>
      <c r="I26" s="321"/>
      <c r="J26" s="324">
        <f>SUM(J24:J25)</f>
        <v>0</v>
      </c>
      <c r="L26" s="1202">
        <f>IF(O26=0,O26,O26/I26)</f>
        <v>0</v>
      </c>
      <c r="M26" s="829"/>
      <c r="N26" s="829"/>
      <c r="O26" s="324">
        <f>SQRT(SUMSQ(O24:O25))</f>
        <v>0</v>
      </c>
      <c r="R26" s="611">
        <f t="shared" ref="R26:W26" si="1">SUM(R24:R25)</f>
        <v>0</v>
      </c>
      <c r="S26" s="612">
        <f t="shared" si="1"/>
        <v>0</v>
      </c>
      <c r="T26" s="612">
        <f t="shared" si="1"/>
        <v>0</v>
      </c>
      <c r="U26" s="612">
        <f t="shared" si="1"/>
        <v>0</v>
      </c>
      <c r="V26" s="613">
        <f t="shared" si="1"/>
        <v>0</v>
      </c>
      <c r="W26" s="614">
        <f t="shared" si="1"/>
        <v>0</v>
      </c>
    </row>
    <row r="27" spans="2:26" s="91" customFormat="1" ht="13.2" hidden="1" outlineLevel="1">
      <c r="B27" s="92"/>
      <c r="C27" s="92"/>
      <c r="D27" s="92"/>
      <c r="E27" s="92"/>
      <c r="F27" s="92"/>
      <c r="G27" s="100"/>
      <c r="H27" s="92"/>
      <c r="M27" s="9"/>
      <c r="N27" s="9"/>
      <c r="R27" s="595"/>
      <c r="S27" s="595"/>
      <c r="T27" s="595"/>
      <c r="U27" s="595"/>
      <c r="V27" s="595"/>
      <c r="W27" s="595"/>
    </row>
    <row r="28" spans="2:26" s="91" customFormat="1" ht="12.75" hidden="1" customHeight="1" outlineLevel="1">
      <c r="B28" s="294" t="s">
        <v>1889</v>
      </c>
      <c r="C28" s="295"/>
      <c r="D28" s="1882"/>
      <c r="E28" s="1882"/>
      <c r="F28" s="296"/>
      <c r="G28" s="296"/>
      <c r="H28" s="296"/>
      <c r="I28" s="297"/>
      <c r="J28" s="1894"/>
      <c r="K28" s="1894"/>
      <c r="L28" s="2748" t="s">
        <v>366</v>
      </c>
      <c r="M28" s="2749"/>
      <c r="N28" s="2749"/>
      <c r="O28" s="2750"/>
      <c r="R28" s="2751" t="s">
        <v>441</v>
      </c>
      <c r="S28" s="2752"/>
      <c r="T28" s="2752"/>
      <c r="U28" s="2752"/>
      <c r="V28" s="2752"/>
      <c r="W28" s="2753"/>
    </row>
    <row r="29" spans="2:26" s="91" customFormat="1" ht="12.75" hidden="1" customHeight="1" outlineLevel="1">
      <c r="B29" s="298"/>
      <c r="C29" s="299"/>
      <c r="D29" s="1892" t="s">
        <v>308</v>
      </c>
      <c r="E29" s="1892"/>
      <c r="F29" s="299"/>
      <c r="G29" s="299"/>
      <c r="H29" s="299"/>
      <c r="I29" s="300"/>
      <c r="J29" s="1894"/>
      <c r="K29" s="1894"/>
      <c r="L29" s="298"/>
      <c r="M29" s="827"/>
      <c r="N29" s="827"/>
      <c r="O29" s="307"/>
      <c r="R29" s="596"/>
      <c r="S29" s="597"/>
      <c r="T29" s="597"/>
      <c r="U29" s="597"/>
      <c r="V29" s="598"/>
      <c r="W29" s="599"/>
      <c r="Y29" s="2616" t="s">
        <v>1648</v>
      </c>
      <c r="Z29" s="2618"/>
    </row>
    <row r="30" spans="2:26" s="91" customFormat="1" ht="12.75" hidden="1" customHeight="1" outlineLevel="1">
      <c r="B30" s="298"/>
      <c r="C30" s="299"/>
      <c r="D30" s="1880" t="s">
        <v>409</v>
      </c>
      <c r="E30" s="1880"/>
      <c r="F30" s="147" t="s">
        <v>452</v>
      </c>
      <c r="G30" s="301" t="s">
        <v>1850</v>
      </c>
      <c r="H30" s="299" t="s">
        <v>1851</v>
      </c>
      <c r="I30" s="302" t="s">
        <v>444</v>
      </c>
      <c r="J30" s="1894"/>
      <c r="K30" s="1894"/>
      <c r="L30" s="1881" t="s">
        <v>316</v>
      </c>
      <c r="M30" s="2629" t="s">
        <v>316</v>
      </c>
      <c r="N30" s="2630"/>
      <c r="O30" s="302" t="s">
        <v>444</v>
      </c>
      <c r="R30" s="2754" t="s">
        <v>444</v>
      </c>
      <c r="S30" s="2755"/>
      <c r="T30" s="2755"/>
      <c r="U30" s="2755"/>
      <c r="V30" s="600" t="s">
        <v>444</v>
      </c>
      <c r="W30" s="601"/>
      <c r="Y30" s="1140" t="s">
        <v>1646</v>
      </c>
      <c r="Z30" s="1141" t="s">
        <v>1844</v>
      </c>
    </row>
    <row r="31" spans="2:26" s="91" customFormat="1" ht="12.75" hidden="1" customHeight="1" outlineLevel="1">
      <c r="B31" s="298"/>
      <c r="C31" s="299"/>
      <c r="D31" s="1880" t="s">
        <v>444</v>
      </c>
      <c r="E31" s="1880"/>
      <c r="F31" s="1889" t="s">
        <v>702</v>
      </c>
      <c r="G31" s="303" t="s">
        <v>561</v>
      </c>
      <c r="H31" s="299"/>
      <c r="I31" s="302"/>
      <c r="K31" s="1894"/>
      <c r="L31" s="1881" t="s">
        <v>1649</v>
      </c>
      <c r="M31" s="2646" t="s">
        <v>1650</v>
      </c>
      <c r="N31" s="2647"/>
      <c r="O31" s="302"/>
      <c r="R31" s="602" t="s">
        <v>211</v>
      </c>
      <c r="S31" s="603" t="s">
        <v>442</v>
      </c>
      <c r="T31" s="603" t="s">
        <v>267</v>
      </c>
      <c r="U31" s="603" t="s">
        <v>443</v>
      </c>
      <c r="V31" s="604" t="s">
        <v>327</v>
      </c>
      <c r="W31" s="605" t="s">
        <v>636</v>
      </c>
      <c r="Y31" s="1878"/>
      <c r="Z31" s="1893"/>
    </row>
    <row r="32" spans="2:26" s="91" customFormat="1" ht="13.2" hidden="1" outlineLevel="1">
      <c r="B32" s="304" t="s">
        <v>298</v>
      </c>
      <c r="C32" s="305"/>
      <c r="D32" s="315">
        <f>I32</f>
        <v>0</v>
      </c>
      <c r="E32" s="315"/>
      <c r="F32" s="843"/>
      <c r="G32" s="96"/>
      <c r="H32" s="1161">
        <f>'FE Hors Energie'!$O$92</f>
        <v>265</v>
      </c>
      <c r="I32" s="306">
        <f>G32*H32</f>
        <v>0</v>
      </c>
      <c r="L32" s="319">
        <f>IF(O32=0,O32,O32/I32)</f>
        <v>0</v>
      </c>
      <c r="M32" s="816"/>
      <c r="N32" s="820"/>
      <c r="O32" s="306">
        <f>SQRT(SUMSQ(IF(ISNA(I32*Z32),0,I32*Z32)))</f>
        <v>0</v>
      </c>
      <c r="R32" s="606">
        <v>0</v>
      </c>
      <c r="S32" s="607">
        <v>0</v>
      </c>
      <c r="T32" s="607">
        <f>I32</f>
        <v>0</v>
      </c>
      <c r="U32" s="607">
        <v>0</v>
      </c>
      <c r="V32" s="608">
        <f>I32</f>
        <v>0</v>
      </c>
      <c r="W32" s="609">
        <v>0</v>
      </c>
      <c r="Y32" s="1887">
        <f>IF($M32&lt;&gt;"votre valeur :",IF(ISNA(VLOOKUP($M32,Utilitaires!$N$566:$O$571,2,FALSE)),,VLOOKUP($M32,Utilitaires!$N$566:$O$571,2,FALSE)),$N32)</f>
        <v>0</v>
      </c>
      <c r="Z32" s="1130">
        <f>SQRT(SUMSQ(0.3,Y32))</f>
        <v>0.3</v>
      </c>
    </row>
    <row r="33" spans="2:26" s="91" customFormat="1" ht="13.2" hidden="1" outlineLevel="1">
      <c r="B33" s="304"/>
      <c r="C33" s="305"/>
      <c r="D33" s="315"/>
      <c r="E33" s="315"/>
      <c r="F33" s="305"/>
      <c r="G33" s="299"/>
      <c r="H33" s="305"/>
      <c r="I33" s="307"/>
      <c r="L33" s="304"/>
      <c r="M33" s="828"/>
      <c r="N33" s="828"/>
      <c r="O33" s="306"/>
      <c r="R33" s="606"/>
      <c r="S33" s="607"/>
      <c r="T33" s="607"/>
      <c r="U33" s="607"/>
      <c r="V33" s="608"/>
      <c r="W33" s="610"/>
      <c r="Y33" s="1879"/>
      <c r="Z33" s="1143"/>
    </row>
    <row r="34" spans="2:26" s="91" customFormat="1" ht="13.2" hidden="1" outlineLevel="1">
      <c r="B34" s="320" t="s">
        <v>348</v>
      </c>
      <c r="C34" s="321"/>
      <c r="D34" s="322">
        <f>SUM(D32:D33)</f>
        <v>0</v>
      </c>
      <c r="E34" s="322"/>
      <c r="F34" s="321"/>
      <c r="G34" s="323"/>
      <c r="H34" s="321"/>
      <c r="I34" s="324">
        <f>SUM(I32:I33)</f>
        <v>0</v>
      </c>
      <c r="L34" s="1202">
        <f>IF(O34=0,O34,O34/I34)</f>
        <v>0</v>
      </c>
      <c r="M34" s="829"/>
      <c r="N34" s="829"/>
      <c r="O34" s="324">
        <f>SQRT(SUMSQ(O32:O33))</f>
        <v>0</v>
      </c>
      <c r="R34" s="611">
        <f t="shared" ref="R34:W34" si="2">SUM(R32:R33)</f>
        <v>0</v>
      </c>
      <c r="S34" s="612">
        <f t="shared" si="2"/>
        <v>0</v>
      </c>
      <c r="T34" s="612">
        <f t="shared" si="2"/>
        <v>0</v>
      </c>
      <c r="U34" s="612">
        <f t="shared" si="2"/>
        <v>0</v>
      </c>
      <c r="V34" s="613">
        <f t="shared" si="2"/>
        <v>0</v>
      </c>
      <c r="W34" s="614">
        <f t="shared" si="2"/>
        <v>0</v>
      </c>
    </row>
    <row r="35" spans="2:26" s="91" customFormat="1" ht="13.2" hidden="1" outlineLevel="1">
      <c r="G35" s="1894"/>
      <c r="M35" s="9"/>
      <c r="N35" s="9"/>
      <c r="P35" s="97"/>
      <c r="R35" s="595"/>
      <c r="S35" s="595"/>
      <c r="T35" s="595"/>
      <c r="U35" s="595"/>
      <c r="V35" s="595"/>
      <c r="W35" s="595"/>
    </row>
    <row r="36" spans="2:26" s="91" customFormat="1" ht="13.2" collapsed="1">
      <c r="G36" s="1894"/>
      <c r="M36" s="9"/>
      <c r="N36" s="9"/>
      <c r="P36" s="97"/>
      <c r="R36" s="595"/>
      <c r="S36" s="595"/>
      <c r="T36" s="595"/>
      <c r="U36" s="595"/>
      <c r="V36" s="595"/>
      <c r="W36" s="595"/>
    </row>
    <row r="37" spans="2:26" s="91" customFormat="1" ht="15.6" collapsed="1">
      <c r="B37" s="2652" t="s">
        <v>544</v>
      </c>
      <c r="C37" s="2653"/>
      <c r="D37" s="2653"/>
      <c r="E37" s="2653"/>
      <c r="F37" s="2653"/>
      <c r="G37" s="2653"/>
      <c r="H37" s="2653"/>
      <c r="I37" s="2653"/>
      <c r="J37" s="2653"/>
      <c r="K37" s="2653"/>
      <c r="L37" s="2653"/>
      <c r="M37" s="2653"/>
      <c r="N37" s="2653"/>
      <c r="O37" s="2653"/>
      <c r="P37" s="2654"/>
      <c r="R37" s="595"/>
      <c r="S37" s="595"/>
      <c r="T37" s="595"/>
      <c r="U37" s="595"/>
      <c r="V37" s="595"/>
      <c r="W37" s="595"/>
    </row>
    <row r="38" spans="2:26" s="91" customFormat="1" ht="13.2" hidden="1" outlineLevel="1">
      <c r="G38" s="1894"/>
      <c r="M38" s="9"/>
      <c r="N38" s="9"/>
      <c r="R38" s="595"/>
      <c r="S38" s="595"/>
      <c r="T38" s="595"/>
      <c r="U38" s="595"/>
      <c r="V38" s="595"/>
      <c r="W38" s="595"/>
    </row>
    <row r="39" spans="2:26" s="91" customFormat="1" ht="12.75" hidden="1" customHeight="1" outlineLevel="1">
      <c r="B39" s="294" t="s">
        <v>64</v>
      </c>
      <c r="C39" s="295"/>
      <c r="D39" s="1882"/>
      <c r="E39" s="1882"/>
      <c r="F39" s="296"/>
      <c r="G39" s="296"/>
      <c r="H39" s="296"/>
      <c r="I39" s="297"/>
      <c r="J39" s="1894"/>
      <c r="K39" s="1894"/>
      <c r="L39" s="2748" t="s">
        <v>366</v>
      </c>
      <c r="M39" s="2749"/>
      <c r="N39" s="2749"/>
      <c r="O39" s="2750"/>
      <c r="R39" s="2751" t="s">
        <v>441</v>
      </c>
      <c r="S39" s="2752"/>
      <c r="T39" s="2752"/>
      <c r="U39" s="2752"/>
      <c r="V39" s="2752"/>
      <c r="W39" s="2753"/>
    </row>
    <row r="40" spans="2:26" s="91" customFormat="1" ht="12.75" hidden="1" customHeight="1" outlineLevel="1">
      <c r="B40" s="298"/>
      <c r="C40" s="299"/>
      <c r="D40" s="1892" t="s">
        <v>308</v>
      </c>
      <c r="E40" s="1892"/>
      <c r="F40" s="299"/>
      <c r="G40" s="299"/>
      <c r="H40" s="299"/>
      <c r="I40" s="300"/>
      <c r="J40" s="1894"/>
      <c r="K40" s="1894"/>
      <c r="L40" s="298"/>
      <c r="M40" s="827"/>
      <c r="N40" s="827"/>
      <c r="O40" s="307"/>
      <c r="R40" s="596"/>
      <c r="S40" s="597"/>
      <c r="T40" s="597"/>
      <c r="U40" s="597"/>
      <c r="V40" s="598"/>
      <c r="W40" s="599"/>
      <c r="Y40" s="2616" t="s">
        <v>1648</v>
      </c>
      <c r="Z40" s="2618"/>
    </row>
    <row r="41" spans="2:26" s="91" customFormat="1" ht="12.75" hidden="1" customHeight="1" outlineLevel="1">
      <c r="B41" s="298"/>
      <c r="C41" s="299"/>
      <c r="D41" s="1880" t="s">
        <v>409</v>
      </c>
      <c r="E41" s="1880"/>
      <c r="F41" s="147" t="s">
        <v>452</v>
      </c>
      <c r="G41" s="301" t="s">
        <v>1850</v>
      </c>
      <c r="H41" s="2626" t="s">
        <v>1971</v>
      </c>
      <c r="I41" s="302" t="s">
        <v>444</v>
      </c>
      <c r="K41" s="1894"/>
      <c r="L41" s="1881" t="s">
        <v>316</v>
      </c>
      <c r="M41" s="2629" t="s">
        <v>316</v>
      </c>
      <c r="N41" s="2630"/>
      <c r="O41" s="302" t="s">
        <v>444</v>
      </c>
      <c r="R41" s="2754" t="s">
        <v>444</v>
      </c>
      <c r="S41" s="2755"/>
      <c r="T41" s="2755"/>
      <c r="U41" s="2755"/>
      <c r="V41" s="600" t="s">
        <v>444</v>
      </c>
      <c r="W41" s="601"/>
      <c r="Y41" s="1140" t="s">
        <v>1646</v>
      </c>
      <c r="Z41" s="1141" t="s">
        <v>1844</v>
      </c>
    </row>
    <row r="42" spans="2:26" s="91" customFormat="1" ht="12.75" hidden="1" customHeight="1" outlineLevel="1">
      <c r="B42" s="298"/>
      <c r="C42" s="299"/>
      <c r="D42" s="1880" t="s">
        <v>444</v>
      </c>
      <c r="E42" s="1880"/>
      <c r="F42" s="1889" t="s">
        <v>702</v>
      </c>
      <c r="G42" s="303" t="s">
        <v>566</v>
      </c>
      <c r="H42" s="2626"/>
      <c r="I42" s="302"/>
      <c r="K42" s="1894"/>
      <c r="L42" s="1881" t="s">
        <v>1649</v>
      </c>
      <c r="M42" s="2646" t="s">
        <v>1650</v>
      </c>
      <c r="N42" s="2647"/>
      <c r="O42" s="302"/>
      <c r="R42" s="602" t="s">
        <v>211</v>
      </c>
      <c r="S42" s="603" t="s">
        <v>442</v>
      </c>
      <c r="T42" s="603" t="s">
        <v>267</v>
      </c>
      <c r="U42" s="603" t="s">
        <v>443</v>
      </c>
      <c r="V42" s="604" t="s">
        <v>327</v>
      </c>
      <c r="W42" s="605" t="s">
        <v>636</v>
      </c>
      <c r="Y42" s="1878"/>
      <c r="Z42" s="1893"/>
    </row>
    <row r="43" spans="2:26" s="91" customFormat="1" ht="13.2" hidden="1" outlineLevel="1">
      <c r="B43" s="304" t="s">
        <v>847</v>
      </c>
      <c r="C43" s="305"/>
      <c r="D43" s="315">
        <f>I43</f>
        <v>0</v>
      </c>
      <c r="E43" s="315"/>
      <c r="F43" s="117"/>
      <c r="G43" s="117"/>
      <c r="H43" s="317">
        <f>'FE Hors Energie'!$Q$91</f>
        <v>30</v>
      </c>
      <c r="I43" s="306">
        <f>G43*H43</f>
        <v>0</v>
      </c>
      <c r="L43" s="319">
        <f>IF(O43=0,O43,O43/I43)</f>
        <v>0</v>
      </c>
      <c r="M43" s="117"/>
      <c r="N43" s="820"/>
      <c r="O43" s="306">
        <f>SQRT(SUMSQ(IF(ISNA(I43*Z43),0,I43*Z43)))</f>
        <v>0</v>
      </c>
      <c r="R43" s="606">
        <v>0</v>
      </c>
      <c r="S43" s="607">
        <f>I43</f>
        <v>0</v>
      </c>
      <c r="T43" s="607">
        <v>0</v>
      </c>
      <c r="U43" s="607">
        <v>0</v>
      </c>
      <c r="V43" s="608">
        <f>I43</f>
        <v>0</v>
      </c>
      <c r="W43" s="609">
        <v>0</v>
      </c>
      <c r="Y43" s="1887">
        <f>IF($M43&lt;&gt;"votre valeur :",IF(ISNA(VLOOKUP($M43,Utilitaires!$N$566:$O$571,2,FALSE)),,VLOOKUP($M43,Utilitaires!$N$566:$O$571,2,FALSE)),$N43)</f>
        <v>0</v>
      </c>
      <c r="Z43" s="1130">
        <f>SQRT(SUMSQ('FE Hors Energie'!M90,Y43))</f>
        <v>0.3</v>
      </c>
    </row>
    <row r="44" spans="2:26" s="91" customFormat="1" ht="13.2" hidden="1" outlineLevel="1">
      <c r="B44" s="304" t="s">
        <v>848</v>
      </c>
      <c r="C44" s="305"/>
      <c r="D44" s="315">
        <f>I44</f>
        <v>0</v>
      </c>
      <c r="E44" s="315"/>
      <c r="F44" s="123"/>
      <c r="G44" s="123"/>
      <c r="H44" s="317">
        <f>'FE Hors Energie'!$R$90</f>
        <v>28</v>
      </c>
      <c r="I44" s="306">
        <f>G44*H44</f>
        <v>0</v>
      </c>
      <c r="L44" s="319">
        <f>IF(O44=0,O44,O44/I44)</f>
        <v>0</v>
      </c>
      <c r="M44" s="123"/>
      <c r="N44" s="820"/>
      <c r="O44" s="306">
        <f>SQRT(SUMSQ(IF(ISNA(I44*Z44),0,I44*Z44)))</f>
        <v>0</v>
      </c>
      <c r="R44" s="606">
        <v>0</v>
      </c>
      <c r="S44" s="607">
        <f>I44</f>
        <v>0</v>
      </c>
      <c r="T44" s="607">
        <v>0</v>
      </c>
      <c r="U44" s="607">
        <v>0</v>
      </c>
      <c r="V44" s="608">
        <f>I44</f>
        <v>0</v>
      </c>
      <c r="W44" s="609">
        <v>0</v>
      </c>
      <c r="Y44" s="1887">
        <f>IF($M44&lt;&gt;"votre valeur :",IF(ISNA(VLOOKUP($M44,Utilitaires!$N$566:$O$571,2,FALSE)),,VLOOKUP($M44,Utilitaires!$N$566:$O$571,2,FALSE)),$N44)</f>
        <v>0</v>
      </c>
      <c r="Z44" s="1130">
        <f>SQRT(SUMSQ('FE Hors Energie'!M91,Y44))</f>
        <v>0.3</v>
      </c>
    </row>
    <row r="45" spans="2:26" s="91" customFormat="1" ht="13.2" hidden="1" outlineLevel="1">
      <c r="B45" s="304"/>
      <c r="C45" s="305"/>
      <c r="D45" s="316"/>
      <c r="E45" s="316"/>
      <c r="F45" s="305"/>
      <c r="G45" s="299"/>
      <c r="H45" s="305"/>
      <c r="I45" s="307"/>
      <c r="L45" s="304"/>
      <c r="M45" s="828"/>
      <c r="N45" s="828"/>
      <c r="O45" s="306"/>
      <c r="R45" s="606"/>
      <c r="S45" s="607"/>
      <c r="T45" s="607"/>
      <c r="U45" s="607"/>
      <c r="V45" s="608"/>
      <c r="W45" s="610"/>
      <c r="Y45" s="1888"/>
      <c r="Z45" s="1153"/>
    </row>
    <row r="46" spans="2:26" s="91" customFormat="1" ht="13.2" hidden="1" outlineLevel="1">
      <c r="B46" s="320" t="s">
        <v>348</v>
      </c>
      <c r="C46" s="321"/>
      <c r="D46" s="322">
        <f>SUM(D43:D45)</f>
        <v>0</v>
      </c>
      <c r="E46" s="322"/>
      <c r="F46" s="321"/>
      <c r="G46" s="323"/>
      <c r="H46" s="321"/>
      <c r="I46" s="324">
        <f>SUM(I43:I45)</f>
        <v>0</v>
      </c>
      <c r="L46" s="1202">
        <f>IF(O46=0,O46,O46/I46)</f>
        <v>0</v>
      </c>
      <c r="M46" s="829"/>
      <c r="N46" s="829"/>
      <c r="O46" s="324">
        <f>SQRT(SUMSQ(O43:O45))</f>
        <v>0</v>
      </c>
      <c r="R46" s="611">
        <f t="shared" ref="R46:W46" si="3">SUM(R43:R45)</f>
        <v>0</v>
      </c>
      <c r="S46" s="612">
        <f t="shared" si="3"/>
        <v>0</v>
      </c>
      <c r="T46" s="612">
        <f t="shared" si="3"/>
        <v>0</v>
      </c>
      <c r="U46" s="612">
        <f t="shared" si="3"/>
        <v>0</v>
      </c>
      <c r="V46" s="613">
        <f t="shared" si="3"/>
        <v>0</v>
      </c>
      <c r="W46" s="614">
        <f t="shared" si="3"/>
        <v>0</v>
      </c>
    </row>
    <row r="47" spans="2:26" s="91" customFormat="1" ht="13.2" hidden="1" outlineLevel="1">
      <c r="B47" s="92"/>
      <c r="C47" s="92"/>
      <c r="D47" s="92"/>
      <c r="E47" s="92"/>
      <c r="F47" s="92"/>
      <c r="G47" s="100"/>
      <c r="H47" s="92"/>
      <c r="M47" s="9"/>
      <c r="N47" s="9"/>
      <c r="R47" s="615"/>
      <c r="S47" s="615"/>
      <c r="T47" s="615"/>
      <c r="U47" s="615"/>
      <c r="V47" s="616"/>
      <c r="W47" s="615"/>
    </row>
    <row r="48" spans="2:26" s="91" customFormat="1" ht="13.2" collapsed="1">
      <c r="B48" s="92"/>
      <c r="C48" s="92"/>
      <c r="D48" s="92"/>
      <c r="E48" s="92"/>
      <c r="F48" s="92"/>
      <c r="G48" s="100"/>
      <c r="H48" s="92"/>
      <c r="M48" s="9"/>
      <c r="N48" s="9"/>
      <c r="R48" s="615"/>
      <c r="S48" s="615"/>
      <c r="T48" s="615"/>
      <c r="U48" s="615"/>
      <c r="V48" s="616"/>
      <c r="W48" s="615"/>
    </row>
    <row r="49" spans="2:26" s="91" customFormat="1" ht="15.6" collapsed="1">
      <c r="B49" s="2652" t="s">
        <v>41</v>
      </c>
      <c r="C49" s="2653"/>
      <c r="D49" s="2653"/>
      <c r="E49" s="2653"/>
      <c r="F49" s="2653"/>
      <c r="G49" s="2653"/>
      <c r="H49" s="2653"/>
      <c r="I49" s="2653"/>
      <c r="J49" s="2653"/>
      <c r="K49" s="2653"/>
      <c r="L49" s="2653"/>
      <c r="M49" s="2653"/>
      <c r="N49" s="2653"/>
      <c r="O49" s="2653"/>
      <c r="P49" s="2654"/>
      <c r="R49" s="595"/>
      <c r="S49" s="595"/>
      <c r="T49" s="595"/>
      <c r="U49" s="595"/>
      <c r="V49" s="595"/>
      <c r="W49" s="595"/>
    </row>
    <row r="50" spans="2:26" s="91" customFormat="1" ht="13.2" hidden="1" outlineLevel="1">
      <c r="B50" s="16"/>
      <c r="C50" s="16"/>
      <c r="G50" s="35"/>
      <c r="J50" s="1"/>
      <c r="M50" s="9"/>
      <c r="N50" s="9"/>
      <c r="R50" s="595"/>
      <c r="S50" s="595"/>
      <c r="T50" s="595"/>
      <c r="U50" s="595"/>
      <c r="V50" s="595"/>
      <c r="W50" s="595"/>
    </row>
    <row r="51" spans="2:26" s="91" customFormat="1" ht="12.75" hidden="1" customHeight="1" outlineLevel="1">
      <c r="B51" s="294" t="s">
        <v>587</v>
      </c>
      <c r="C51" s="295"/>
      <c r="D51" s="1882"/>
      <c r="E51" s="1882"/>
      <c r="F51" s="296"/>
      <c r="G51" s="296"/>
      <c r="H51" s="296"/>
      <c r="I51" s="297"/>
      <c r="K51" s="1894"/>
      <c r="L51" s="2748" t="s">
        <v>366</v>
      </c>
      <c r="M51" s="2749"/>
      <c r="N51" s="2749"/>
      <c r="O51" s="2750"/>
      <c r="P51" s="1894"/>
      <c r="R51" s="2751" t="s">
        <v>441</v>
      </c>
      <c r="S51" s="2752"/>
      <c r="T51" s="2752"/>
      <c r="U51" s="2752"/>
      <c r="V51" s="2752"/>
      <c r="W51" s="2753"/>
    </row>
    <row r="52" spans="2:26" s="91" customFormat="1" ht="12.75" hidden="1" customHeight="1" outlineLevel="1">
      <c r="B52" s="298"/>
      <c r="C52" s="299"/>
      <c r="D52" s="1892" t="s">
        <v>308</v>
      </c>
      <c r="E52" s="1892"/>
      <c r="F52" s="299"/>
      <c r="G52" s="299"/>
      <c r="H52" s="299"/>
      <c r="I52" s="300"/>
      <c r="K52" s="1894"/>
      <c r="L52" s="298"/>
      <c r="M52" s="827"/>
      <c r="N52" s="827"/>
      <c r="O52" s="307"/>
      <c r="P52" s="1894"/>
      <c r="R52" s="596"/>
      <c r="S52" s="597"/>
      <c r="T52" s="597"/>
      <c r="U52" s="597"/>
      <c r="V52" s="598"/>
      <c r="W52" s="599"/>
      <c r="Y52" s="2616" t="s">
        <v>1648</v>
      </c>
      <c r="Z52" s="2618"/>
    </row>
    <row r="53" spans="2:26" s="91" customFormat="1" ht="12.75" hidden="1" customHeight="1" outlineLevel="1">
      <c r="B53" s="298"/>
      <c r="C53" s="299"/>
      <c r="D53" s="1880" t="s">
        <v>409</v>
      </c>
      <c r="E53" s="1880"/>
      <c r="F53" s="147" t="s">
        <v>452</v>
      </c>
      <c r="G53" s="147" t="s">
        <v>1849</v>
      </c>
      <c r="H53" s="2626" t="s">
        <v>1572</v>
      </c>
      <c r="I53" s="302" t="s">
        <v>444</v>
      </c>
      <c r="K53" s="1894"/>
      <c r="L53" s="1881" t="s">
        <v>316</v>
      </c>
      <c r="M53" s="2629" t="s">
        <v>316</v>
      </c>
      <c r="N53" s="2630"/>
      <c r="O53" s="302" t="s">
        <v>444</v>
      </c>
      <c r="P53" s="1894"/>
      <c r="R53" s="2754" t="s">
        <v>444</v>
      </c>
      <c r="S53" s="2755"/>
      <c r="T53" s="2755"/>
      <c r="U53" s="2755"/>
      <c r="V53" s="600" t="s">
        <v>444</v>
      </c>
      <c r="W53" s="601"/>
      <c r="Y53" s="1140" t="s">
        <v>1646</v>
      </c>
      <c r="Z53" s="1141" t="s">
        <v>1844</v>
      </c>
    </row>
    <row r="54" spans="2:26" s="91" customFormat="1" ht="12.75" hidden="1" customHeight="1" outlineLevel="1">
      <c r="B54" s="298"/>
      <c r="C54" s="299"/>
      <c r="D54" s="1880" t="s">
        <v>444</v>
      </c>
      <c r="E54" s="1880"/>
      <c r="F54" s="1889" t="s">
        <v>702</v>
      </c>
      <c r="G54" s="1889" t="s">
        <v>1848</v>
      </c>
      <c r="H54" s="2626"/>
      <c r="I54" s="302"/>
      <c r="K54" s="1894"/>
      <c r="L54" s="1881" t="s">
        <v>1649</v>
      </c>
      <c r="M54" s="2646" t="s">
        <v>1650</v>
      </c>
      <c r="N54" s="2647"/>
      <c r="O54" s="302"/>
      <c r="R54" s="602" t="s">
        <v>211</v>
      </c>
      <c r="S54" s="603" t="s">
        <v>442</v>
      </c>
      <c r="T54" s="603" t="s">
        <v>267</v>
      </c>
      <c r="U54" s="603" t="s">
        <v>443</v>
      </c>
      <c r="V54" s="604" t="s">
        <v>327</v>
      </c>
      <c r="W54" s="605" t="s">
        <v>636</v>
      </c>
      <c r="Y54" s="1878"/>
      <c r="Z54" s="1893"/>
    </row>
    <row r="55" spans="2:26" s="91" customFormat="1" ht="13.2" hidden="1" outlineLevel="1">
      <c r="B55" s="304" t="s">
        <v>1974</v>
      </c>
      <c r="C55" s="305"/>
      <c r="D55" s="315">
        <f>I55</f>
        <v>0</v>
      </c>
      <c r="E55" s="315"/>
      <c r="F55" s="117"/>
      <c r="G55" s="117"/>
      <c r="H55" s="317">
        <f>VLOOKUP($B55&amp;"; "&amp;$H$53,'FE Hors Energie'!$G:$U,9,FALSE)</f>
        <v>16100</v>
      </c>
      <c r="I55" s="306">
        <f>G55*H55</f>
        <v>0</v>
      </c>
      <c r="L55" s="319">
        <f>IF(O55=0,O55,O55/I55)</f>
        <v>0</v>
      </c>
      <c r="M55" s="117"/>
      <c r="N55" s="820"/>
      <c r="O55" s="306">
        <f>SQRT(SUMSQ(IF(ISNA(I55*Z55),0,I55*Z55)))</f>
        <v>0</v>
      </c>
      <c r="P55" s="92"/>
      <c r="R55" s="606">
        <v>0</v>
      </c>
      <c r="S55" s="607">
        <v>0</v>
      </c>
      <c r="T55" s="607">
        <v>0</v>
      </c>
      <c r="U55" s="607">
        <f>I55</f>
        <v>0</v>
      </c>
      <c r="V55" s="608">
        <f>I55</f>
        <v>0</v>
      </c>
      <c r="W55" s="609">
        <v>0</v>
      </c>
      <c r="Y55" s="1887">
        <f>IF($M55&lt;&gt;"votre valeur :",IF(ISNA(VLOOKUP($M55,Utilitaires!$N$566:$O$571,2,FALSE)),,VLOOKUP($M55,Utilitaires!$N$566:$O$571,2,FALSE)),$N55)</f>
        <v>0</v>
      </c>
      <c r="Z55" s="1130">
        <f>IF(ISNA(SQRT(SUMSQ(VLOOKUP($B55&amp;"; "&amp;$H$53,'FE Hors Energie'!$G:$U,7,FALSE),$Y55))),0,SQRT(SUMSQ(VLOOKUP($B55&amp;"; "&amp;$H$53,'FE Hors Energie'!$G:$U,7,FALSE),$Y55)))</f>
        <v>0.3</v>
      </c>
    </row>
    <row r="56" spans="2:26" s="91" customFormat="1" ht="13.2" hidden="1" outlineLevel="1">
      <c r="B56" s="304" t="s">
        <v>1981</v>
      </c>
      <c r="C56" s="305"/>
      <c r="D56" s="315">
        <f>I56</f>
        <v>0</v>
      </c>
      <c r="E56" s="315"/>
      <c r="F56" s="120"/>
      <c r="G56" s="120"/>
      <c r="H56" s="317">
        <f>VLOOKUP($B56&amp;"; "&amp;$H$53,'FE Hors Energie'!$G:$U,9,FALSE)</f>
        <v>23500</v>
      </c>
      <c r="I56" s="306">
        <f>G56*H56</f>
        <v>0</v>
      </c>
      <c r="L56" s="319">
        <f>IF(O56=0,O56,O56/I56)</f>
        <v>0</v>
      </c>
      <c r="M56" s="120"/>
      <c r="N56" s="820"/>
      <c r="O56" s="306">
        <f>SQRT(SUMSQ(IF(ISNA(I56*Z56),0,I56*Z56)))</f>
        <v>0</v>
      </c>
      <c r="P56" s="92"/>
      <c r="R56" s="606">
        <v>0</v>
      </c>
      <c r="S56" s="607">
        <v>0</v>
      </c>
      <c r="T56" s="607">
        <v>0</v>
      </c>
      <c r="U56" s="607">
        <f>I56</f>
        <v>0</v>
      </c>
      <c r="V56" s="608">
        <f>I56</f>
        <v>0</v>
      </c>
      <c r="W56" s="609">
        <v>0</v>
      </c>
      <c r="Y56" s="1887">
        <f>IF($M56&lt;&gt;"votre valeur :",IF(ISNA(VLOOKUP($M56,Utilitaires!$N$566:$O$571,2,FALSE)),,VLOOKUP($M56,Utilitaires!$N$566:$O$571,2,FALSE)),$N56)</f>
        <v>0</v>
      </c>
      <c r="Z56" s="1130">
        <f>IF(ISNA(SQRT(SUMSQ(VLOOKUP($B56&amp;"; "&amp;$H$53,'FE Hors Energie'!$G:$U,7,FALSE),$Y56))),0,SQRT(SUMSQ(VLOOKUP($B56&amp;"; "&amp;$H$53,'FE Hors Energie'!$G:$U,7,FALSE),$Y56)))</f>
        <v>0.3</v>
      </c>
    </row>
    <row r="57" spans="2:26" s="91" customFormat="1" ht="13.2" hidden="1" outlineLevel="1">
      <c r="B57" s="304" t="s">
        <v>1975</v>
      </c>
      <c r="C57" s="305"/>
      <c r="D57" s="315">
        <f>I57</f>
        <v>0</v>
      </c>
      <c r="E57" s="315"/>
      <c r="F57" s="123"/>
      <c r="G57" s="123"/>
      <c r="H57" s="317">
        <f>VLOOKUP($B57&amp;"; "&amp;$H$53,'FE Hors Energie'!$G:$U,9,FALSE)</f>
        <v>3170</v>
      </c>
      <c r="I57" s="306">
        <f>G57*H57</f>
        <v>0</v>
      </c>
      <c r="L57" s="319">
        <f>IF(O57=0,O57,O57/I57)</f>
        <v>0</v>
      </c>
      <c r="M57" s="123"/>
      <c r="N57" s="820"/>
      <c r="O57" s="306">
        <f>SQRT(SUMSQ(IF(ISNA(I57*Z57),0,I57*Z57)))</f>
        <v>0</v>
      </c>
      <c r="R57" s="606">
        <v>0</v>
      </c>
      <c r="S57" s="607">
        <v>0</v>
      </c>
      <c r="T57" s="607">
        <v>0</v>
      </c>
      <c r="U57" s="607">
        <f>I57</f>
        <v>0</v>
      </c>
      <c r="V57" s="608">
        <f>I57</f>
        <v>0</v>
      </c>
      <c r="W57" s="609">
        <v>0</v>
      </c>
      <c r="Y57" s="1887">
        <f>IF($M57&lt;&gt;"votre valeur :",IF(ISNA(VLOOKUP($M57,Utilitaires!$N$566:$O$571,2,FALSE)),,VLOOKUP($M57,Utilitaires!$N$566:$O$571,2,FALSE)),$N57)</f>
        <v>0</v>
      </c>
      <c r="Z57" s="1130">
        <f>IF(ISNA(SQRT(SUMSQ(VLOOKUP($B57&amp;"; "&amp;$H$53,'FE Hors Energie'!$G:$U,7,FALSE),$Y57))),0,SQRT(SUMSQ(VLOOKUP($B57&amp;"; "&amp;$H$53,'FE Hors Energie'!$G:$U,7,FALSE),$Y57)))</f>
        <v>0.3</v>
      </c>
    </row>
    <row r="58" spans="2:26" s="91" customFormat="1" ht="13.2" hidden="1" outlineLevel="1">
      <c r="B58" s="304"/>
      <c r="C58" s="305"/>
      <c r="D58" s="316"/>
      <c r="E58" s="316"/>
      <c r="F58" s="305"/>
      <c r="G58" s="299"/>
      <c r="H58" s="305"/>
      <c r="I58" s="307"/>
      <c r="L58" s="304"/>
      <c r="M58" s="828"/>
      <c r="N58" s="828"/>
      <c r="O58" s="306"/>
      <c r="R58" s="606"/>
      <c r="S58" s="607"/>
      <c r="T58" s="607"/>
      <c r="U58" s="607"/>
      <c r="V58" s="608"/>
      <c r="W58" s="610"/>
      <c r="Y58" s="1888"/>
      <c r="Z58" s="1153"/>
    </row>
    <row r="59" spans="2:26" s="91" customFormat="1" ht="13.2" hidden="1" outlineLevel="1">
      <c r="B59" s="320" t="s">
        <v>348</v>
      </c>
      <c r="C59" s="321"/>
      <c r="D59" s="322">
        <f>SUM(D55:D58)</f>
        <v>0</v>
      </c>
      <c r="E59" s="322"/>
      <c r="F59" s="321"/>
      <c r="G59" s="323"/>
      <c r="H59" s="321"/>
      <c r="I59" s="324">
        <f>SUM(I55:I58)</f>
        <v>0</v>
      </c>
      <c r="L59" s="1202">
        <f>IF(O59=0,O59,O59/I59)</f>
        <v>0</v>
      </c>
      <c r="M59" s="829"/>
      <c r="N59" s="829"/>
      <c r="O59" s="324">
        <f>SQRT(SUMSQ(O55:O58))</f>
        <v>0</v>
      </c>
      <c r="R59" s="611">
        <f t="shared" ref="R59:W59" si="4">SUM(R55:R58)</f>
        <v>0</v>
      </c>
      <c r="S59" s="612">
        <f t="shared" si="4"/>
        <v>0</v>
      </c>
      <c r="T59" s="612">
        <f t="shared" si="4"/>
        <v>0</v>
      </c>
      <c r="U59" s="612">
        <f t="shared" si="4"/>
        <v>0</v>
      </c>
      <c r="V59" s="613">
        <f t="shared" si="4"/>
        <v>0</v>
      </c>
      <c r="W59" s="614">
        <f t="shared" si="4"/>
        <v>0</v>
      </c>
    </row>
    <row r="60" spans="2:26" s="91" customFormat="1" ht="13.2" hidden="1" outlineLevel="1">
      <c r="G60" s="1894"/>
      <c r="M60" s="9"/>
      <c r="N60" s="9"/>
      <c r="R60" s="595"/>
      <c r="S60" s="595"/>
      <c r="T60" s="595"/>
      <c r="U60" s="595"/>
      <c r="V60" s="595"/>
      <c r="W60" s="595"/>
    </row>
    <row r="61" spans="2:26" s="91" customFormat="1" ht="13.2" collapsed="1">
      <c r="B61" s="92"/>
      <c r="C61" s="92"/>
      <c r="D61" s="92"/>
      <c r="E61" s="92"/>
      <c r="F61" s="92"/>
      <c r="G61" s="100"/>
      <c r="H61" s="92"/>
      <c r="M61" s="9"/>
      <c r="N61" s="9"/>
      <c r="R61" s="595"/>
      <c r="S61" s="595"/>
      <c r="T61" s="595"/>
      <c r="U61" s="595"/>
      <c r="V61" s="595"/>
      <c r="W61" s="595"/>
    </row>
    <row r="62" spans="2:26" s="91" customFormat="1" ht="15.6" collapsed="1">
      <c r="B62" s="2652" t="s">
        <v>1888</v>
      </c>
      <c r="C62" s="2653"/>
      <c r="D62" s="2653"/>
      <c r="E62" s="2653"/>
      <c r="F62" s="2653"/>
      <c r="G62" s="2653"/>
      <c r="H62" s="2653"/>
      <c r="I62" s="2653"/>
      <c r="J62" s="2653"/>
      <c r="K62" s="2653"/>
      <c r="L62" s="2653"/>
      <c r="M62" s="2653"/>
      <c r="N62" s="2653"/>
      <c r="O62" s="2653"/>
      <c r="P62" s="2654"/>
      <c r="R62" s="595"/>
      <c r="S62" s="595"/>
      <c r="T62" s="595"/>
      <c r="U62" s="595"/>
      <c r="V62" s="595"/>
      <c r="W62" s="595"/>
    </row>
    <row r="63" spans="2:26" s="91" customFormat="1" ht="13.2" hidden="1" outlineLevel="1">
      <c r="G63" s="1894"/>
      <c r="M63" s="9"/>
      <c r="N63" s="9"/>
      <c r="P63" s="97"/>
      <c r="R63" s="595"/>
      <c r="S63" s="595"/>
      <c r="T63" s="595"/>
      <c r="U63" s="595"/>
      <c r="V63" s="595"/>
      <c r="W63" s="595"/>
    </row>
    <row r="64" spans="2:26" s="91" customFormat="1" ht="12.75" hidden="1" customHeight="1" outlineLevel="1">
      <c r="B64" s="294" t="s">
        <v>1898</v>
      </c>
      <c r="C64" s="295"/>
      <c r="D64" s="1882"/>
      <c r="E64" s="1882"/>
      <c r="F64" s="296"/>
      <c r="G64" s="296"/>
      <c r="H64" s="295"/>
      <c r="I64" s="297"/>
      <c r="L64" s="2748" t="s">
        <v>366</v>
      </c>
      <c r="M64" s="2749"/>
      <c r="N64" s="2749"/>
      <c r="O64" s="2750"/>
      <c r="R64" s="2751" t="s">
        <v>441</v>
      </c>
      <c r="S64" s="2752"/>
      <c r="T64" s="2752"/>
      <c r="U64" s="2752"/>
      <c r="V64" s="2752"/>
      <c r="W64" s="2753"/>
    </row>
    <row r="65" spans="2:26" s="91" customFormat="1" ht="12.75" hidden="1" customHeight="1" outlineLevel="1">
      <c r="B65" s="298"/>
      <c r="C65" s="299"/>
      <c r="D65" s="1892" t="s">
        <v>308</v>
      </c>
      <c r="E65" s="1892"/>
      <c r="F65" s="299"/>
      <c r="G65" s="299"/>
      <c r="H65" s="299"/>
      <c r="I65" s="300"/>
      <c r="J65" s="8"/>
      <c r="L65" s="298"/>
      <c r="M65" s="827"/>
      <c r="N65" s="827"/>
      <c r="O65" s="307"/>
      <c r="R65" s="596"/>
      <c r="S65" s="597"/>
      <c r="T65" s="597"/>
      <c r="U65" s="597"/>
      <c r="V65" s="598"/>
      <c r="W65" s="599"/>
      <c r="Y65" s="2616" t="s">
        <v>1648</v>
      </c>
      <c r="Z65" s="2618"/>
    </row>
    <row r="66" spans="2:26" s="91" customFormat="1" ht="12.75" hidden="1" customHeight="1" outlineLevel="1">
      <c r="B66" s="298"/>
      <c r="C66" s="299"/>
      <c r="D66" s="1880" t="s">
        <v>409</v>
      </c>
      <c r="E66" s="1880"/>
      <c r="F66" s="147" t="s">
        <v>452</v>
      </c>
      <c r="G66" s="301" t="s">
        <v>368</v>
      </c>
      <c r="H66" s="299" t="s">
        <v>1852</v>
      </c>
      <c r="I66" s="302" t="s">
        <v>444</v>
      </c>
      <c r="J66" s="8"/>
      <c r="L66" s="1881" t="s">
        <v>316</v>
      </c>
      <c r="M66" s="2629" t="s">
        <v>316</v>
      </c>
      <c r="N66" s="2630"/>
      <c r="O66" s="302" t="s">
        <v>444</v>
      </c>
      <c r="R66" s="2754" t="s">
        <v>444</v>
      </c>
      <c r="S66" s="2755"/>
      <c r="T66" s="2755"/>
      <c r="U66" s="2755"/>
      <c r="V66" s="600" t="s">
        <v>444</v>
      </c>
      <c r="W66" s="601"/>
      <c r="Y66" s="1140" t="s">
        <v>1646</v>
      </c>
      <c r="Z66" s="1141" t="s">
        <v>1844</v>
      </c>
    </row>
    <row r="67" spans="2:26" s="91" customFormat="1" ht="12.75" hidden="1" customHeight="1" outlineLevel="1">
      <c r="B67" s="298"/>
      <c r="C67" s="299"/>
      <c r="D67" s="1880" t="s">
        <v>444</v>
      </c>
      <c r="E67" s="1880"/>
      <c r="F67" s="1889" t="s">
        <v>702</v>
      </c>
      <c r="G67" s="303" t="s">
        <v>234</v>
      </c>
      <c r="H67" s="299"/>
      <c r="I67" s="302"/>
      <c r="L67" s="1881" t="s">
        <v>1649</v>
      </c>
      <c r="M67" s="2646" t="s">
        <v>1650</v>
      </c>
      <c r="N67" s="2647"/>
      <c r="O67" s="302"/>
      <c r="R67" s="602" t="s">
        <v>211</v>
      </c>
      <c r="S67" s="603" t="s">
        <v>442</v>
      </c>
      <c r="T67" s="603" t="s">
        <v>267</v>
      </c>
      <c r="U67" s="603" t="s">
        <v>443</v>
      </c>
      <c r="V67" s="604" t="s">
        <v>327</v>
      </c>
      <c r="W67" s="605" t="s">
        <v>636</v>
      </c>
      <c r="Y67" s="1878"/>
      <c r="Z67" s="1893"/>
    </row>
    <row r="68" spans="2:26" s="91" customFormat="1" ht="13.2" hidden="1" outlineLevel="1">
      <c r="B68" s="304" t="s">
        <v>1882</v>
      </c>
      <c r="C68" s="305"/>
      <c r="D68" s="315">
        <f t="shared" ref="D68:D73" si="5">I68</f>
        <v>0</v>
      </c>
      <c r="E68" s="315"/>
      <c r="F68" s="117"/>
      <c r="G68" s="117"/>
      <c r="H68" s="318">
        <f>VLOOKUP($B68&amp;"; "&amp;$H$66&amp;", digestion et déjections",'FE Hors Energie'!$G:$U,9,FALSE)+VLOOKUP($B68&amp;"; "&amp;$H$66&amp;", alimentation",'FE Hors Energie'!$G:$U,9,FALSE)</f>
        <v>99.305113588000012</v>
      </c>
      <c r="I68" s="306">
        <f t="shared" ref="I68:I73" si="6">H68*G68</f>
        <v>0</v>
      </c>
      <c r="L68" s="319">
        <f t="shared" ref="L68:L73" si="7">IF(O68=0,O68,O68/I68)</f>
        <v>0</v>
      </c>
      <c r="M68" s="117"/>
      <c r="N68" s="820"/>
      <c r="O68" s="306">
        <f t="shared" ref="O68:O73" si="8">SQRT(SUMSQ(IF(ISNA(I68*Z68),0,I68*Z68)))</f>
        <v>0</v>
      </c>
      <c r="R68" s="606">
        <f>$G68*IF(ISNA(VLOOKUP($B68&amp;"; "&amp;$H$66&amp;", digestion et déjections",'FE Hors Energie'!$G:$U,10,FALSE)+VLOOKUP($B68&amp;"; "&amp;$H$66&amp;", alimentation",'FE Hors Energie'!$G:$U,10,FALSE)),0,VLOOKUP($B68&amp;"; "&amp;$H$66&amp;", digestion et déjections",'FE Hors Energie'!$G:$U,10,FALSE)+VLOOKUP($B68&amp;"; "&amp;$H$66&amp;", alimentation",'FE Hors Energie'!$G:$U,10,FALSE))</f>
        <v>0</v>
      </c>
      <c r="S68" s="607">
        <f>$G68*IF(ISNA(VLOOKUP($B68&amp;"; "&amp;$H$66&amp;", digestion et déjections",'FE Hors Energie'!$G:$U,12,FALSE)+VLOOKUP($B68&amp;"; "&amp;$H$66&amp;", alimentation",'FE Hors Energie'!$G:$U,12,FALSE)),0,VLOOKUP($B68&amp;"; "&amp;$H$66&amp;", digestion et déjections",'FE Hors Energie'!$G:$U,12,FALSE)+VLOOKUP($B68&amp;"; "&amp;$H$66&amp;", alimentation",'FE Hors Energie'!$G:$U,12,FALSE))</f>
        <v>0</v>
      </c>
      <c r="T68" s="607">
        <f>$G68*IF(ISNA(VLOOKUP($B68&amp;"; "&amp;$H$66&amp;", digestion et déjections",'FE Hors Energie'!$G:$U,13,FALSE)+VLOOKUP($B68&amp;"; "&amp;$H$66&amp;", alimentation",'FE Hors Energie'!$G:$U,13,FALSE)),0,VLOOKUP($B68&amp;"; "&amp;$H$66&amp;", digestion et déjections",'FE Hors Energie'!$G:$U,13,FALSE)+VLOOKUP($B68&amp;"; "&amp;$H$66&amp;", alimentation",'FE Hors Energie'!$G:$U,13,FALSE))</f>
        <v>0</v>
      </c>
      <c r="U68" s="607">
        <f>$G68*IF(ISNA(VLOOKUP($B68&amp;"; "&amp;$H$66&amp;", digestion et déjections",'FE Hors Energie'!$G:$U,14,FALSE)+VLOOKUP($B68&amp;"; "&amp;$H$66&amp;", alimentation",'FE Hors Energie'!$G:$U,14,FALSE)),0,VLOOKUP($B68&amp;"; "&amp;$H$66&amp;", digestion et déjections",'FE Hors Energie'!$G:$U,14,FALSE)+VLOOKUP($B68&amp;"; "&amp;$H$66&amp;", alimentation",'FE Hors Energie'!$G:$U,14,FALSE))</f>
        <v>0</v>
      </c>
      <c r="V68" s="608">
        <f t="shared" ref="V68:V73" si="9">SUM(R68:U68)</f>
        <v>0</v>
      </c>
      <c r="W68" s="609">
        <f>$G68*IF(ISNA(VLOOKUP($B68&amp;"; "&amp;$H$66&amp;", digestion et déjections",'FE Hors Energie'!$G:$U,15,FALSE)+VLOOKUP($B68&amp;"; "&amp;$H$66&amp;", alimentation",'FE Hors Energie'!$G:$U,15,FALSE)),0,VLOOKUP($B68&amp;"; "&amp;$H$66&amp;", digestion et déjections",'FE Hors Energie'!$G:$U,15,FALSE)+VLOOKUP($B68&amp;"; "&amp;$H$66&amp;", alimentation",'FE Hors Energie'!$G:$U,15,FALSE))</f>
        <v>0</v>
      </c>
      <c r="Y68" s="1887">
        <f>IF($M68&lt;&gt;"votre valeur :",IF(ISNA(VLOOKUP($M68,Utilitaires!$N$566:$O$571,2,FALSE)),,VLOOKUP($M68,Utilitaires!$N$566:$O$571,2,FALSE)),$N68)</f>
        <v>0</v>
      </c>
      <c r="Z68" s="1130">
        <f>IF(
ISNA(
SQRT(SUMSQ(VLOOKUP($B68&amp;"; "&amp;$H$66&amp;", digestion et déjections",'FE Hors Energie'!$G:$U,7,FALSE),VLOOKUP($B68&amp;"; "&amp;$H$66&amp;", alimentation",'FE Hors Energie'!$G:$U,7,FALSE),Y68))),0,SQRT(SUMSQ(VLOOKUP($B68&amp;"; "&amp;$H$66&amp;", digestion et déjections",'FE Hors Energie'!$G:$U,7,FALSE),VLOOKUP($B68&amp;"; "&amp;$H$66&amp;", alimentation",'FE Hors Energie'!$G:$U,7,FALSE),Y68)))</f>
        <v>0.70710678118654757</v>
      </c>
    </row>
    <row r="69" spans="2:26" s="91" customFormat="1" ht="13.2" hidden="1" outlineLevel="1">
      <c r="B69" s="304" t="s">
        <v>1883</v>
      </c>
      <c r="C69" s="305"/>
      <c r="D69" s="315">
        <f t="shared" si="5"/>
        <v>0</v>
      </c>
      <c r="E69" s="315"/>
      <c r="F69" s="120"/>
      <c r="G69" s="120"/>
      <c r="H69" s="318">
        <f>VLOOKUP($B69&amp;"; "&amp;$H$66&amp;", digestion et déjections",'FE Hors Energie'!$G:$U,9,FALSE)+VLOOKUP($B69&amp;"; "&amp;$H$66&amp;", alimentation",'FE Hors Energie'!$G:$U,9,FALSE)</f>
        <v>694.31542634600009</v>
      </c>
      <c r="I69" s="306">
        <f t="shared" si="6"/>
        <v>0</v>
      </c>
      <c r="L69" s="319">
        <f t="shared" si="7"/>
        <v>0</v>
      </c>
      <c r="M69" s="120"/>
      <c r="N69" s="820"/>
      <c r="O69" s="306">
        <f t="shared" si="8"/>
        <v>0</v>
      </c>
      <c r="R69" s="606">
        <f>$G69*IF(ISNA(VLOOKUP($B69&amp;"; "&amp;$H$66&amp;", digestion et déjections",'FE Hors Energie'!$G:$U,10,FALSE)+VLOOKUP($B69&amp;"; "&amp;$H$66&amp;", alimentation",'FE Hors Energie'!$G:$U,10,FALSE)),0,VLOOKUP($B69&amp;"; "&amp;$H$66&amp;", digestion et déjections",'FE Hors Energie'!$G:$U,10,FALSE)+VLOOKUP($B69&amp;"; "&amp;$H$66&amp;", alimentation",'FE Hors Energie'!$G:$U,10,FALSE))</f>
        <v>0</v>
      </c>
      <c r="S69" s="607">
        <f>$G69*IF(ISNA(VLOOKUP($B69&amp;"; "&amp;$H$66&amp;", digestion et déjections",'FE Hors Energie'!$G:$U,12,FALSE)+VLOOKUP($B69&amp;"; "&amp;$H$66&amp;", alimentation",'FE Hors Energie'!$G:$U,12,FALSE)),0,VLOOKUP($B69&amp;"; "&amp;$H$66&amp;", digestion et déjections",'FE Hors Energie'!$G:$U,12,FALSE)+VLOOKUP($B69&amp;"; "&amp;$H$66&amp;", alimentation",'FE Hors Energie'!$G:$U,12,FALSE))</f>
        <v>0</v>
      </c>
      <c r="T69" s="607">
        <f>$G69*IF(ISNA(VLOOKUP($B69&amp;"; "&amp;$H$66&amp;", digestion et déjections",'FE Hors Energie'!$G:$U,13,FALSE)+VLOOKUP($B69&amp;"; "&amp;$H$66&amp;", alimentation",'FE Hors Energie'!$G:$U,13,FALSE)),0,VLOOKUP($B69&amp;"; "&amp;$H$66&amp;", digestion et déjections",'FE Hors Energie'!$G:$U,13,FALSE)+VLOOKUP($B69&amp;"; "&amp;$H$66&amp;", alimentation",'FE Hors Energie'!$G:$U,13,FALSE))</f>
        <v>0</v>
      </c>
      <c r="U69" s="607">
        <f>$G69*IF(ISNA(VLOOKUP($B69&amp;"; "&amp;$H$66&amp;", digestion et déjections",'FE Hors Energie'!$G:$U,14,FALSE)+VLOOKUP($B69&amp;"; "&amp;$H$66&amp;", alimentation",'FE Hors Energie'!$G:$U,14,FALSE)),0,VLOOKUP($B69&amp;"; "&amp;$H$66&amp;", digestion et déjections",'FE Hors Energie'!$G:$U,14,FALSE)+VLOOKUP($B69&amp;"; "&amp;$H$66&amp;", alimentation",'FE Hors Energie'!$G:$U,14,FALSE))</f>
        <v>0</v>
      </c>
      <c r="V69" s="608">
        <f t="shared" si="9"/>
        <v>0</v>
      </c>
      <c r="W69" s="609">
        <f>$G69*IF(ISNA(VLOOKUP($B69&amp;"; "&amp;$H$66&amp;", digestion et déjections",'FE Hors Energie'!$G:$U,15,FALSE)+VLOOKUP($B69&amp;"; "&amp;$H$66&amp;", alimentation",'FE Hors Energie'!$G:$U,15,FALSE)),0,VLOOKUP($B69&amp;"; "&amp;$H$66&amp;", digestion et déjections",'FE Hors Energie'!$G:$U,15,FALSE)+VLOOKUP($B69&amp;"; "&amp;$H$66&amp;", alimentation",'FE Hors Energie'!$G:$U,15,FALSE))</f>
        <v>0</v>
      </c>
      <c r="Y69" s="1887">
        <f>IF($M69&lt;&gt;"votre valeur :",IF(ISNA(VLOOKUP($M69,Utilitaires!$N$566:$O$571,2,FALSE)),,VLOOKUP($M69,Utilitaires!$N$566:$O$571,2,FALSE)),$N69)</f>
        <v>0</v>
      </c>
      <c r="Z69" s="1130">
        <f>IF(
ISNA(
SQRT(SUMSQ(VLOOKUP($B69&amp;"; "&amp;$H$66&amp;", digestion et déjections",'FE Hors Energie'!$G:$U,7,FALSE),VLOOKUP($B69&amp;"; "&amp;$H$66&amp;", alimentation",'FE Hors Energie'!$G:$U,7,FALSE),Y69))),0,SQRT(SUMSQ(VLOOKUP($B69&amp;"; "&amp;$H$66&amp;", digestion et déjections",'FE Hors Energie'!$G:$U,7,FALSE),VLOOKUP($B69&amp;"; "&amp;$H$66&amp;", alimentation",'FE Hors Energie'!$G:$U,7,FALSE),Y69)))</f>
        <v>0.70710678118654757</v>
      </c>
    </row>
    <row r="70" spans="2:26" s="91" customFormat="1" ht="13.2" hidden="1" outlineLevel="1">
      <c r="B70" s="304" t="s">
        <v>1884</v>
      </c>
      <c r="C70" s="305"/>
      <c r="D70" s="315">
        <f t="shared" si="5"/>
        <v>0</v>
      </c>
      <c r="E70" s="315"/>
      <c r="F70" s="120"/>
      <c r="G70" s="120"/>
      <c r="H70" s="318">
        <f>VLOOKUP($B70&amp;"; "&amp;$H$66&amp;", digestion et déjections",'FE Hors Energie'!$G:$U,9,FALSE)+VLOOKUP($B70&amp;"; "&amp;$H$66&amp;", alimentation",'FE Hors Energie'!$G:$U,9,FALSE)</f>
        <v>3534.904778999</v>
      </c>
      <c r="I70" s="306">
        <f t="shared" si="6"/>
        <v>0</v>
      </c>
      <c r="L70" s="319">
        <f t="shared" si="7"/>
        <v>0</v>
      </c>
      <c r="M70" s="120"/>
      <c r="N70" s="820"/>
      <c r="O70" s="306">
        <f t="shared" si="8"/>
        <v>0</v>
      </c>
      <c r="R70" s="606">
        <f>$G70*IF(ISNA(VLOOKUP($B70&amp;"; "&amp;$H$66&amp;", digestion et déjections",'FE Hors Energie'!$G:$U,10,FALSE)+VLOOKUP($B70&amp;"; "&amp;$H$66&amp;", alimentation",'FE Hors Energie'!$G:$U,10,FALSE)),0,VLOOKUP($B70&amp;"; "&amp;$H$66&amp;", digestion et déjections",'FE Hors Energie'!$G:$U,10,FALSE)+VLOOKUP($B70&amp;"; "&amp;$H$66&amp;", alimentation",'FE Hors Energie'!$G:$U,10,FALSE))</f>
        <v>0</v>
      </c>
      <c r="S70" s="607">
        <f>$G70*IF(ISNA(VLOOKUP($B70&amp;"; "&amp;$H$66&amp;", digestion et déjections",'FE Hors Energie'!$G:$U,12,FALSE)+VLOOKUP($B70&amp;"; "&amp;$H$66&amp;", alimentation",'FE Hors Energie'!$G:$U,12,FALSE)),0,VLOOKUP($B70&amp;"; "&amp;$H$66&amp;", digestion et déjections",'FE Hors Energie'!$G:$U,12,FALSE)+VLOOKUP($B70&amp;"; "&amp;$H$66&amp;", alimentation",'FE Hors Energie'!$G:$U,12,FALSE))</f>
        <v>0</v>
      </c>
      <c r="T70" s="607">
        <f>$G70*IF(ISNA(VLOOKUP($B70&amp;"; "&amp;$H$66&amp;", digestion et déjections",'FE Hors Energie'!$G:$U,13,FALSE)+VLOOKUP($B70&amp;"; "&amp;$H$66&amp;", alimentation",'FE Hors Energie'!$G:$U,13,FALSE)),0,VLOOKUP($B70&amp;"; "&amp;$H$66&amp;", digestion et déjections",'FE Hors Energie'!$G:$U,13,FALSE)+VLOOKUP($B70&amp;"; "&amp;$H$66&amp;", alimentation",'FE Hors Energie'!$G:$U,13,FALSE))</f>
        <v>0</v>
      </c>
      <c r="U70" s="607">
        <f>$G70*IF(ISNA(VLOOKUP($B70&amp;"; "&amp;$H$66&amp;", digestion et déjections",'FE Hors Energie'!$G:$U,14,FALSE)+VLOOKUP($B70&amp;"; "&amp;$H$66&amp;", alimentation",'FE Hors Energie'!$G:$U,14,FALSE)),0,VLOOKUP($B70&amp;"; "&amp;$H$66&amp;", digestion et déjections",'FE Hors Energie'!$G:$U,14,FALSE)+VLOOKUP($B70&amp;"; "&amp;$H$66&amp;", alimentation",'FE Hors Energie'!$G:$U,14,FALSE))</f>
        <v>0</v>
      </c>
      <c r="V70" s="608">
        <f t="shared" si="9"/>
        <v>0</v>
      </c>
      <c r="W70" s="609">
        <f>$G70*IF(ISNA(VLOOKUP($B70&amp;"; "&amp;$H$66&amp;", digestion et déjections",'FE Hors Energie'!$G:$U,15,FALSE)+VLOOKUP($B70&amp;"; "&amp;$H$66&amp;", alimentation",'FE Hors Energie'!$G:$U,15,FALSE)),0,VLOOKUP($B70&amp;"; "&amp;$H$66&amp;", digestion et déjections",'FE Hors Energie'!$G:$U,15,FALSE)+VLOOKUP($B70&amp;"; "&amp;$H$66&amp;", alimentation",'FE Hors Energie'!$G:$U,15,FALSE))</f>
        <v>0</v>
      </c>
      <c r="Y70" s="1887">
        <f>IF($M70&lt;&gt;"votre valeur :",IF(ISNA(VLOOKUP($M70,Utilitaires!$N$566:$O$571,2,FALSE)),,VLOOKUP($M70,Utilitaires!$N$566:$O$571,2,FALSE)),$N70)</f>
        <v>0</v>
      </c>
      <c r="Z70" s="1130">
        <f>IF(
ISNA(
SQRT(SUMSQ(VLOOKUP($B70&amp;"; "&amp;$H$66&amp;", digestion et déjections",'FE Hors Energie'!$G:$U,7,FALSE),VLOOKUP($B70&amp;"; "&amp;$H$66&amp;", alimentation",'FE Hors Energie'!$G:$U,7,FALSE),Y70))),0,SQRT(SUMSQ(VLOOKUP($B70&amp;"; "&amp;$H$66&amp;", digestion et déjections",'FE Hors Energie'!$G:$U,7,FALSE),VLOOKUP($B70&amp;"; "&amp;$H$66&amp;", alimentation",'FE Hors Energie'!$G:$U,7,FALSE),Y70)))</f>
        <v>0.70710678118654757</v>
      </c>
    </row>
    <row r="71" spans="2:26" s="91" customFormat="1" ht="13.2" hidden="1" outlineLevel="1">
      <c r="B71" s="304" t="s">
        <v>1885</v>
      </c>
      <c r="C71" s="305"/>
      <c r="D71" s="315">
        <f t="shared" si="5"/>
        <v>0</v>
      </c>
      <c r="E71" s="315"/>
      <c r="F71" s="120"/>
      <c r="G71" s="120"/>
      <c r="H71" s="318">
        <f>VLOOKUP($B71&amp;"; "&amp;$H$66&amp;", digestion et déjections",'FE Hors Energie'!$G:$U,9,FALSE)+VLOOKUP($B71&amp;"; "&amp;$H$66&amp;", alimentation",'FE Hors Energie'!$G:$U,9,FALSE)</f>
        <v>28.114999999999998</v>
      </c>
      <c r="I71" s="306">
        <f t="shared" si="6"/>
        <v>0</v>
      </c>
      <c r="L71" s="319">
        <f t="shared" si="7"/>
        <v>0</v>
      </c>
      <c r="M71" s="120"/>
      <c r="N71" s="820"/>
      <c r="O71" s="306">
        <f t="shared" si="8"/>
        <v>0</v>
      </c>
      <c r="R71" s="606">
        <f>$G71*IF(ISNA(VLOOKUP($B71&amp;"; "&amp;$H$66&amp;", digestion et déjections",'FE Hors Energie'!$G:$U,10,FALSE)+VLOOKUP($B71&amp;"; "&amp;$H$66&amp;", alimentation",'FE Hors Energie'!$G:$U,10,FALSE)),0,VLOOKUP($B71&amp;"; "&amp;$H$66&amp;", digestion et déjections",'FE Hors Energie'!$G:$U,10,FALSE)+VLOOKUP($B71&amp;"; "&amp;$H$66&amp;", alimentation",'FE Hors Energie'!$G:$U,10,FALSE))</f>
        <v>0</v>
      </c>
      <c r="S71" s="607">
        <f>$G71*IF(ISNA(VLOOKUP($B71&amp;"; "&amp;$H$66&amp;", digestion et déjections",'FE Hors Energie'!$G:$U,12,FALSE)+VLOOKUP($B71&amp;"; "&amp;$H$66&amp;", alimentation",'FE Hors Energie'!$G:$U,12,FALSE)),0,VLOOKUP($B71&amp;"; "&amp;$H$66&amp;", digestion et déjections",'FE Hors Energie'!$G:$U,12,FALSE)+VLOOKUP($B71&amp;"; "&amp;$H$66&amp;", alimentation",'FE Hors Energie'!$G:$U,12,FALSE))</f>
        <v>0</v>
      </c>
      <c r="T71" s="607">
        <f>$G71*IF(ISNA(VLOOKUP($B71&amp;"; "&amp;$H$66&amp;", digestion et déjections",'FE Hors Energie'!$G:$U,13,FALSE)+VLOOKUP($B71&amp;"; "&amp;$H$66&amp;", alimentation",'FE Hors Energie'!$G:$U,13,FALSE)),0,VLOOKUP($B71&amp;"; "&amp;$H$66&amp;", digestion et déjections",'FE Hors Energie'!$G:$U,13,FALSE)+VLOOKUP($B71&amp;"; "&amp;$H$66&amp;", alimentation",'FE Hors Energie'!$G:$U,13,FALSE))</f>
        <v>0</v>
      </c>
      <c r="U71" s="607">
        <f>$G71*IF(ISNA(VLOOKUP($B71&amp;"; "&amp;$H$66&amp;", digestion et déjections",'FE Hors Energie'!$G:$U,14,FALSE)+VLOOKUP($B71&amp;"; "&amp;$H$66&amp;", alimentation",'FE Hors Energie'!$G:$U,14,FALSE)),0,VLOOKUP($B71&amp;"; "&amp;$H$66&amp;", digestion et déjections",'FE Hors Energie'!$G:$U,14,FALSE)+VLOOKUP($B71&amp;"; "&amp;$H$66&amp;", alimentation",'FE Hors Energie'!$G:$U,14,FALSE))</f>
        <v>0</v>
      </c>
      <c r="V71" s="608">
        <f t="shared" si="9"/>
        <v>0</v>
      </c>
      <c r="W71" s="609">
        <f>$G71*IF(ISNA(VLOOKUP($B71&amp;"; "&amp;$H$66&amp;", digestion et déjections",'FE Hors Energie'!$G:$U,15,FALSE)+VLOOKUP($B71&amp;"; "&amp;$H$66&amp;", alimentation",'FE Hors Energie'!$G:$U,15,FALSE)),0,VLOOKUP($B71&amp;"; "&amp;$H$66&amp;", digestion et déjections",'FE Hors Energie'!$G:$U,15,FALSE)+VLOOKUP($B71&amp;"; "&amp;$H$66&amp;", alimentation",'FE Hors Energie'!$G:$U,15,FALSE))</f>
        <v>0</v>
      </c>
      <c r="Y71" s="1887">
        <f>IF($M71&lt;&gt;"votre valeur :",IF(ISNA(VLOOKUP($M71,Utilitaires!$N$566:$O$571,2,FALSE)),,VLOOKUP($M71,Utilitaires!$N$566:$O$571,2,FALSE)),$N71)</f>
        <v>0</v>
      </c>
      <c r="Z71" s="1130">
        <f>IF(
ISNA(
SQRT(SUMSQ(VLOOKUP($B71&amp;"; "&amp;$H$66&amp;", digestion et déjections",'FE Hors Energie'!$G:$U,7,FALSE),VLOOKUP($B71&amp;"; "&amp;$H$66&amp;", alimentation",'FE Hors Energie'!$G:$U,7,FALSE),Y71))),0,SQRT(SUMSQ(VLOOKUP($B71&amp;"; "&amp;$H$66&amp;", digestion et déjections",'FE Hors Energie'!$G:$U,7,FALSE),VLOOKUP($B71&amp;"; "&amp;$H$66&amp;", alimentation",'FE Hors Energie'!$G:$U,7,FALSE),Y71)))</f>
        <v>0.70710678118654757</v>
      </c>
    </row>
    <row r="72" spans="2:26" s="91" customFormat="1" ht="13.2" hidden="1" outlineLevel="1">
      <c r="B72" s="304" t="s">
        <v>1886</v>
      </c>
      <c r="C72" s="305"/>
      <c r="D72" s="315">
        <f t="shared" si="5"/>
        <v>0</v>
      </c>
      <c r="E72" s="315"/>
      <c r="F72" s="120"/>
      <c r="G72" s="120"/>
      <c r="H72" s="318">
        <f>VLOOKUP($B72&amp;"; "&amp;$H$66&amp;", digestion et déjections",'FE Hors Energie'!$G:$U,9,FALSE)+VLOOKUP($B72&amp;"; "&amp;$H$66&amp;", alimentation",'FE Hors Energie'!$G:$U,9,FALSE)</f>
        <v>1259.0604832669999</v>
      </c>
      <c r="I72" s="306">
        <f t="shared" si="6"/>
        <v>0</v>
      </c>
      <c r="L72" s="319">
        <f t="shared" si="7"/>
        <v>0</v>
      </c>
      <c r="M72" s="120"/>
      <c r="N72" s="820"/>
      <c r="O72" s="306">
        <f t="shared" si="8"/>
        <v>0</v>
      </c>
      <c r="R72" s="606">
        <f>$G72*IF(ISNA(VLOOKUP($B72&amp;"; "&amp;$H$66&amp;", digestion et déjections",'FE Hors Energie'!$G:$U,10,FALSE)+VLOOKUP($B72&amp;"; "&amp;$H$66&amp;", alimentation",'FE Hors Energie'!$G:$U,10,FALSE)),0,VLOOKUP($B72&amp;"; "&amp;$H$66&amp;", digestion et déjections",'FE Hors Energie'!$G:$U,10,FALSE)+VLOOKUP($B72&amp;"; "&amp;$H$66&amp;", alimentation",'FE Hors Energie'!$G:$U,10,FALSE))</f>
        <v>0</v>
      </c>
      <c r="S72" s="607">
        <f>$G72*IF(ISNA(VLOOKUP($B72&amp;"; "&amp;$H$66&amp;", digestion et déjections",'FE Hors Energie'!$G:$U,12,FALSE)+VLOOKUP($B72&amp;"; "&amp;$H$66&amp;", alimentation",'FE Hors Energie'!$G:$U,12,FALSE)),0,VLOOKUP($B72&amp;"; "&amp;$H$66&amp;", digestion et déjections",'FE Hors Energie'!$G:$U,12,FALSE)+VLOOKUP($B72&amp;"; "&amp;$H$66&amp;", alimentation",'FE Hors Energie'!$G:$U,12,FALSE))</f>
        <v>0</v>
      </c>
      <c r="T72" s="607">
        <f>$G72*IF(ISNA(VLOOKUP($B72&amp;"; "&amp;$H$66&amp;", digestion et déjections",'FE Hors Energie'!$G:$U,13,FALSE)+VLOOKUP($B72&amp;"; "&amp;$H$66&amp;", alimentation",'FE Hors Energie'!$G:$U,13,FALSE)),0,VLOOKUP($B72&amp;"; "&amp;$H$66&amp;", digestion et déjections",'FE Hors Energie'!$G:$U,13,FALSE)+VLOOKUP($B72&amp;"; "&amp;$H$66&amp;", alimentation",'FE Hors Energie'!$G:$U,13,FALSE))</f>
        <v>0</v>
      </c>
      <c r="U72" s="607">
        <f>$G72*IF(ISNA(VLOOKUP($B72&amp;"; "&amp;$H$66&amp;", digestion et déjections",'FE Hors Energie'!$G:$U,14,FALSE)+VLOOKUP($B72&amp;"; "&amp;$H$66&amp;", alimentation",'FE Hors Energie'!$G:$U,14,FALSE)),0,VLOOKUP($B72&amp;"; "&amp;$H$66&amp;", digestion et déjections",'FE Hors Energie'!$G:$U,14,FALSE)+VLOOKUP($B72&amp;"; "&amp;$H$66&amp;", alimentation",'FE Hors Energie'!$G:$U,14,FALSE))</f>
        <v>0</v>
      </c>
      <c r="V72" s="608">
        <f t="shared" si="9"/>
        <v>0</v>
      </c>
      <c r="W72" s="609">
        <f>$G72*IF(ISNA(VLOOKUP($B72&amp;"; "&amp;$H$66&amp;", digestion et déjections",'FE Hors Energie'!$G:$U,15,FALSE)+VLOOKUP($B72&amp;"; "&amp;$H$66&amp;", alimentation",'FE Hors Energie'!$G:$U,15,FALSE)),0,VLOOKUP($B72&amp;"; "&amp;$H$66&amp;", digestion et déjections",'FE Hors Energie'!$G:$U,15,FALSE)+VLOOKUP($B72&amp;"; "&amp;$H$66&amp;", alimentation",'FE Hors Energie'!$G:$U,15,FALSE))</f>
        <v>0</v>
      </c>
      <c r="Y72" s="1887">
        <f>IF($M72&lt;&gt;"votre valeur :",IF(ISNA(VLOOKUP($M72,Utilitaires!$N$566:$O$571,2,FALSE)),,VLOOKUP($M72,Utilitaires!$N$566:$O$571,2,FALSE)),$N72)</f>
        <v>0</v>
      </c>
      <c r="Z72" s="1130">
        <f>IF(
ISNA(
SQRT(SUMSQ(VLOOKUP($B72&amp;"; "&amp;$H$66&amp;", digestion et déjections",'FE Hors Energie'!$G:$U,7,FALSE),VLOOKUP($B72&amp;"; "&amp;$H$66&amp;", alimentation",'FE Hors Energie'!$G:$U,7,FALSE),Y72))),0,SQRT(SUMSQ(VLOOKUP($B72&amp;"; "&amp;$H$66&amp;", digestion et déjections",'FE Hors Energie'!$G:$U,7,FALSE),VLOOKUP($B72&amp;"; "&amp;$H$66&amp;", alimentation",'FE Hors Energie'!$G:$U,7,FALSE),Y72)))</f>
        <v>0.70710678118654757</v>
      </c>
    </row>
    <row r="73" spans="2:26" s="91" customFormat="1" ht="13.2" hidden="1" outlineLevel="1">
      <c r="B73" s="304" t="s">
        <v>1887</v>
      </c>
      <c r="C73" s="305"/>
      <c r="D73" s="315">
        <f t="shared" si="5"/>
        <v>0</v>
      </c>
      <c r="E73" s="315"/>
      <c r="F73" s="123"/>
      <c r="G73" s="123"/>
      <c r="H73" s="318">
        <f>VLOOKUP($B73&amp;"; "&amp;$H$66&amp;", digestion et déjections",'FE Hors Energie'!$G:$U,9,FALSE)+VLOOKUP($B73&amp;"; "&amp;$H$66&amp;", alimentation",'FE Hors Energie'!$G:$U,9,FALSE)</f>
        <v>250.80307772799995</v>
      </c>
      <c r="I73" s="306">
        <f t="shared" si="6"/>
        <v>0</v>
      </c>
      <c r="L73" s="319">
        <f t="shared" si="7"/>
        <v>0</v>
      </c>
      <c r="M73" s="123"/>
      <c r="N73" s="820"/>
      <c r="O73" s="306">
        <f t="shared" si="8"/>
        <v>0</v>
      </c>
      <c r="R73" s="606">
        <f>$G73*IF(ISNA(VLOOKUP($B73&amp;"; "&amp;$H$66&amp;", digestion et déjections",'FE Hors Energie'!$G:$U,10,FALSE)+VLOOKUP($B73&amp;"; "&amp;$H$66&amp;", alimentation",'FE Hors Energie'!$G:$U,10,FALSE)),0,VLOOKUP($B73&amp;"; "&amp;$H$66&amp;", digestion et déjections",'FE Hors Energie'!$G:$U,10,FALSE)+VLOOKUP($B73&amp;"; "&amp;$H$66&amp;", alimentation",'FE Hors Energie'!$G:$U,10,FALSE))</f>
        <v>0</v>
      </c>
      <c r="S73" s="607">
        <f>$G73*IF(ISNA(VLOOKUP($B73&amp;"; "&amp;$H$66&amp;", digestion et déjections",'FE Hors Energie'!$G:$U,12,FALSE)+VLOOKUP($B73&amp;"; "&amp;$H$66&amp;", alimentation",'FE Hors Energie'!$G:$U,12,FALSE)),0,VLOOKUP($B73&amp;"; "&amp;$H$66&amp;", digestion et déjections",'FE Hors Energie'!$G:$U,12,FALSE)+VLOOKUP($B73&amp;"; "&amp;$H$66&amp;", alimentation",'FE Hors Energie'!$G:$U,12,FALSE))</f>
        <v>0</v>
      </c>
      <c r="T73" s="607">
        <f>$G73*IF(ISNA(VLOOKUP($B73&amp;"; "&amp;$H$66&amp;", digestion et déjections",'FE Hors Energie'!$G:$U,13,FALSE)+VLOOKUP($B73&amp;"; "&amp;$H$66&amp;", alimentation",'FE Hors Energie'!$G:$U,13,FALSE)),0,VLOOKUP($B73&amp;"; "&amp;$H$66&amp;", digestion et déjections",'FE Hors Energie'!$G:$U,13,FALSE)+VLOOKUP($B73&amp;"; "&amp;$H$66&amp;", alimentation",'FE Hors Energie'!$G:$U,13,FALSE))</f>
        <v>0</v>
      </c>
      <c r="U73" s="607">
        <f>$G73*IF(ISNA(VLOOKUP($B73&amp;"; "&amp;$H$66&amp;", digestion et déjections",'FE Hors Energie'!$G:$U,14,FALSE)+VLOOKUP($B73&amp;"; "&amp;$H$66&amp;", alimentation",'FE Hors Energie'!$G:$U,14,FALSE)),0,VLOOKUP($B73&amp;"; "&amp;$H$66&amp;", digestion et déjections",'FE Hors Energie'!$G:$U,14,FALSE)+VLOOKUP($B73&amp;"; "&amp;$H$66&amp;", alimentation",'FE Hors Energie'!$G:$U,14,FALSE))</f>
        <v>0</v>
      </c>
      <c r="V73" s="608">
        <f t="shared" si="9"/>
        <v>0</v>
      </c>
      <c r="W73" s="609">
        <f>$G73*IF(ISNA(VLOOKUP($B73&amp;"; "&amp;$H$66&amp;", digestion et déjections",'FE Hors Energie'!$G:$U,15,FALSE)+VLOOKUP($B73&amp;"; "&amp;$H$66&amp;", alimentation",'FE Hors Energie'!$G:$U,15,FALSE)),0,VLOOKUP($B73&amp;"; "&amp;$H$66&amp;", digestion et déjections",'FE Hors Energie'!$G:$U,15,FALSE)+VLOOKUP($B73&amp;"; "&amp;$H$66&amp;", alimentation",'FE Hors Energie'!$G:$U,15,FALSE))</f>
        <v>0</v>
      </c>
      <c r="Y73" s="1887">
        <f>IF($M73&lt;&gt;"votre valeur :",IF(ISNA(VLOOKUP($M73,Utilitaires!$N$566:$O$571,2,FALSE)),,VLOOKUP($M73,Utilitaires!$N$566:$O$571,2,FALSE)),$N73)</f>
        <v>0</v>
      </c>
      <c r="Z73" s="1130">
        <f>IF(
ISNA(
SQRT(SUMSQ(VLOOKUP($B73&amp;"; "&amp;$H$66&amp;", digestion et déjections",'FE Hors Energie'!$G:$U,7,FALSE),VLOOKUP($B73&amp;"; "&amp;$H$66&amp;", alimentation",'FE Hors Energie'!$G:$U,7,FALSE),Y73))),0,SQRT(SUMSQ(VLOOKUP($B73&amp;"; "&amp;$H$66&amp;", digestion et déjections",'FE Hors Energie'!$G:$U,7,FALSE),VLOOKUP($B73&amp;"; "&amp;$H$66&amp;", alimentation",'FE Hors Energie'!$G:$U,7,FALSE),Y73)))</f>
        <v>0.70710678118654757</v>
      </c>
    </row>
    <row r="74" spans="2:26" s="91" customFormat="1" ht="13.2" hidden="1" outlineLevel="1">
      <c r="B74" s="309"/>
      <c r="C74" s="305"/>
      <c r="D74" s="315"/>
      <c r="E74" s="315"/>
      <c r="F74" s="310"/>
      <c r="G74" s="311"/>
      <c r="H74" s="310"/>
      <c r="I74" s="312"/>
      <c r="L74" s="304"/>
      <c r="M74" s="828"/>
      <c r="N74" s="828"/>
      <c r="O74" s="306"/>
      <c r="R74" s="606"/>
      <c r="S74" s="607"/>
      <c r="T74" s="607"/>
      <c r="U74" s="607"/>
      <c r="V74" s="608"/>
      <c r="W74" s="610"/>
      <c r="Y74" s="1888"/>
      <c r="Z74" s="1153"/>
    </row>
    <row r="75" spans="2:26" s="91" customFormat="1" ht="13.2" hidden="1" outlineLevel="1">
      <c r="B75" s="320" t="s">
        <v>348</v>
      </c>
      <c r="C75" s="321"/>
      <c r="D75" s="322">
        <f>SUM(D68:D74)</f>
        <v>0</v>
      </c>
      <c r="E75" s="322"/>
      <c r="F75" s="321"/>
      <c r="G75" s="323"/>
      <c r="H75" s="321"/>
      <c r="I75" s="324">
        <f>SUM(I68:I74)</f>
        <v>0</v>
      </c>
      <c r="L75" s="1202">
        <f>IF(O75=0,O75,O75/I75)</f>
        <v>0</v>
      </c>
      <c r="M75" s="829"/>
      <c r="N75" s="829"/>
      <c r="O75" s="324">
        <f>SQRT(SUMSQ(O68:O74))</f>
        <v>0</v>
      </c>
      <c r="R75" s="611">
        <f t="shared" ref="R75:W75" si="10">SUM(R68:R74)</f>
        <v>0</v>
      </c>
      <c r="S75" s="612">
        <f t="shared" si="10"/>
        <v>0</v>
      </c>
      <c r="T75" s="612">
        <f t="shared" si="10"/>
        <v>0</v>
      </c>
      <c r="U75" s="612">
        <f t="shared" si="10"/>
        <v>0</v>
      </c>
      <c r="V75" s="613">
        <f t="shared" si="10"/>
        <v>0</v>
      </c>
      <c r="W75" s="614">
        <f t="shared" si="10"/>
        <v>0</v>
      </c>
    </row>
    <row r="76" spans="2:26" s="91" customFormat="1" ht="13.2" hidden="1" outlineLevel="1">
      <c r="B76" s="92"/>
      <c r="C76" s="92"/>
      <c r="D76" s="92"/>
      <c r="E76" s="92"/>
      <c r="F76" s="92"/>
      <c r="G76" s="100"/>
      <c r="H76" s="92"/>
      <c r="M76" s="9"/>
      <c r="N76" s="9"/>
      <c r="R76" s="595"/>
      <c r="S76" s="595"/>
      <c r="T76" s="595"/>
      <c r="U76" s="595"/>
      <c r="V76" s="595"/>
      <c r="W76" s="595"/>
    </row>
    <row r="77" spans="2:26" s="91" customFormat="1" ht="12.75" hidden="1" customHeight="1" outlineLevel="1">
      <c r="B77" s="294" t="s">
        <v>1899</v>
      </c>
      <c r="C77" s="295"/>
      <c r="D77" s="1882"/>
      <c r="E77" s="1882"/>
      <c r="F77" s="296"/>
      <c r="G77" s="296"/>
      <c r="H77" s="295"/>
      <c r="I77" s="295"/>
      <c r="J77" s="297"/>
      <c r="L77" s="2748" t="s">
        <v>366</v>
      </c>
      <c r="M77" s="2749"/>
      <c r="N77" s="2749"/>
      <c r="O77" s="2750"/>
      <c r="R77" s="2751" t="s">
        <v>441</v>
      </c>
      <c r="S77" s="2752"/>
      <c r="T77" s="2752"/>
      <c r="U77" s="2752"/>
      <c r="V77" s="2752"/>
      <c r="W77" s="2753"/>
    </row>
    <row r="78" spans="2:26" s="91" customFormat="1" ht="12.75" hidden="1" customHeight="1" outlineLevel="1">
      <c r="B78" s="298"/>
      <c r="C78" s="299"/>
      <c r="D78" s="1892" t="s">
        <v>308</v>
      </c>
      <c r="E78" s="1892"/>
      <c r="F78" s="299"/>
      <c r="G78" s="299"/>
      <c r="H78" s="299"/>
      <c r="I78" s="299"/>
      <c r="J78" s="300"/>
      <c r="L78" s="298"/>
      <c r="M78" s="827"/>
      <c r="N78" s="827"/>
      <c r="O78" s="307"/>
      <c r="R78" s="596"/>
      <c r="S78" s="597"/>
      <c r="T78" s="597"/>
      <c r="U78" s="597"/>
      <c r="V78" s="598"/>
      <c r="W78" s="599"/>
      <c r="Y78" s="2616" t="s">
        <v>1648</v>
      </c>
      <c r="Z78" s="2618"/>
    </row>
    <row r="79" spans="2:26" s="91" customFormat="1" ht="12.75" hidden="1" customHeight="1" outlineLevel="1">
      <c r="B79" s="298"/>
      <c r="C79" s="299"/>
      <c r="D79" s="1880" t="s">
        <v>409</v>
      </c>
      <c r="E79" s="1880"/>
      <c r="F79" s="147" t="s">
        <v>452</v>
      </c>
      <c r="G79" s="2746" t="s">
        <v>1905</v>
      </c>
      <c r="H79" s="2756" t="s">
        <v>1904</v>
      </c>
      <c r="I79" s="2628" t="s">
        <v>1897</v>
      </c>
      <c r="J79" s="302" t="s">
        <v>444</v>
      </c>
      <c r="L79" s="1881" t="s">
        <v>316</v>
      </c>
      <c r="M79" s="2629" t="s">
        <v>316</v>
      </c>
      <c r="N79" s="2630"/>
      <c r="O79" s="302" t="s">
        <v>444</v>
      </c>
      <c r="R79" s="2754" t="s">
        <v>444</v>
      </c>
      <c r="S79" s="2755"/>
      <c r="T79" s="2755"/>
      <c r="U79" s="2755"/>
      <c r="V79" s="600" t="s">
        <v>444</v>
      </c>
      <c r="W79" s="601"/>
      <c r="Y79" s="1140" t="s">
        <v>1646</v>
      </c>
      <c r="Z79" s="1141" t="s">
        <v>1844</v>
      </c>
    </row>
    <row r="80" spans="2:26" s="91" customFormat="1" ht="12.75" hidden="1" customHeight="1" outlineLevel="1">
      <c r="B80" s="298"/>
      <c r="C80" s="299"/>
      <c r="D80" s="1880" t="s">
        <v>444</v>
      </c>
      <c r="E80" s="1880"/>
      <c r="F80" s="1889" t="s">
        <v>702</v>
      </c>
      <c r="G80" s="2747"/>
      <c r="H80" s="2756"/>
      <c r="I80" s="2628"/>
      <c r="J80" s="302"/>
      <c r="L80" s="1881" t="s">
        <v>1649</v>
      </c>
      <c r="M80" s="2646" t="s">
        <v>1650</v>
      </c>
      <c r="N80" s="2647"/>
      <c r="O80" s="302"/>
      <c r="R80" s="602" t="s">
        <v>211</v>
      </c>
      <c r="S80" s="603" t="s">
        <v>442</v>
      </c>
      <c r="T80" s="603" t="s">
        <v>267</v>
      </c>
      <c r="U80" s="603" t="s">
        <v>443</v>
      </c>
      <c r="V80" s="604" t="s">
        <v>327</v>
      </c>
      <c r="W80" s="605" t="s">
        <v>636</v>
      </c>
      <c r="Y80" s="1878"/>
      <c r="Z80" s="1893"/>
    </row>
    <row r="81" spans="2:26" s="91" customFormat="1" ht="13.2" hidden="1" outlineLevel="1">
      <c r="B81" s="304" t="s">
        <v>1900</v>
      </c>
      <c r="C81" s="305"/>
      <c r="D81" s="315">
        <f t="shared" ref="D81:D86" si="11">J81</f>
        <v>0</v>
      </c>
      <c r="E81" s="315"/>
      <c r="F81" s="117"/>
      <c r="G81" s="117"/>
      <c r="H81" s="318">
        <f>IF(ISNA(VLOOKUP($B81&amp;"; "&amp;$H$79,'FE Hors Energie'!$G:$U,9,FALSE)),0,VLOOKUP($B81&amp;"; "&amp;$H$79,'FE Hors Energie'!$G:$U,9,FALSE))</f>
        <v>10.1</v>
      </c>
      <c r="I81" s="318"/>
      <c r="J81" s="306">
        <f>(H81*G81)</f>
        <v>0</v>
      </c>
      <c r="L81" s="319">
        <f t="shared" ref="L81:L86" si="12">IF(O81=0,O81,O81/J81)</f>
        <v>0</v>
      </c>
      <c r="M81" s="117"/>
      <c r="N81" s="820"/>
      <c r="O81" s="306">
        <f>SQRT(SUMSQ(IF(ISNA(J81*Z81),0,J81*Z81)))</f>
        <v>0</v>
      </c>
      <c r="R81" s="606">
        <f>$G81*IF(ISNA(VLOOKUP($B81&amp;"; "&amp;$H$79,'FE Hors Energie'!$G:$U,10,FALSE)),VLOOKUP($B81&amp;"; "&amp;$I$79,'FE Hors Energie'!$G:$U,10,FALSE),VLOOKUP($B81&amp;"; "&amp;$H$79,'FE Hors Energie'!$G:$U,10,FALSE))</f>
        <v>0</v>
      </c>
      <c r="S81" s="607">
        <f>$G81*IF(ISNA(VLOOKUP($B81&amp;"; "&amp;$H$79,'FE Hors Energie'!$G:$U,12,FALSE)),VLOOKUP($B81&amp;"; "&amp;$I$79,'FE Hors Energie'!$G:$U,12,FALSE),VLOOKUP($B81&amp;"; "&amp;$H$79,'FE Hors Energie'!$G:$U,12,FALSE))</f>
        <v>0</v>
      </c>
      <c r="T81" s="607">
        <f>$G81*IF(ISNA(VLOOKUP($B81&amp;"; "&amp;$H$79,'FE Hors Energie'!$G:$U,13,FALSE)),VLOOKUP($B81&amp;"; "&amp;$I$79,'FE Hors Energie'!$G:$U,13,FALSE),VLOOKUP($B81&amp;"; "&amp;$H$79,'FE Hors Energie'!$G:$U,13,FALSE))</f>
        <v>0</v>
      </c>
      <c r="U81" s="607">
        <f>$G81*IF(ISNA(VLOOKUP($B81&amp;"; "&amp;$H$79,'FE Hors Energie'!$G:$U,14,FALSE)),VLOOKUP($B81&amp;"; "&amp;$I$79,'FE Hors Energie'!$G:$U,14,FALSE),VLOOKUP($B81&amp;"; "&amp;$H$79,'FE Hors Energie'!$G:$U,14,FALSE))</f>
        <v>0</v>
      </c>
      <c r="V81" s="608">
        <f>SUM(R81:U81)</f>
        <v>0</v>
      </c>
      <c r="W81" s="609">
        <f>$G81*IF(ISNA(VLOOKUP($B81&amp;"; "&amp;$H$79,'FE Hors Energie'!$G:$U,15,FALSE)),VLOOKUP($B81&amp;"; "&amp;$I$79,'FE Hors Energie'!$G:$U,15,FALSE),VLOOKUP($B81&amp;"; "&amp;$H$79,'FE Hors Energie'!$G:$U,15,FALSE))</f>
        <v>0</v>
      </c>
      <c r="Y81" s="1887">
        <f>IF($M81&lt;&gt;"votre valeur :",IF(ISNA(VLOOKUP($M81,Utilitaires!$N$566:$O$571,2,FALSE)),,VLOOKUP($M81,Utilitaires!$N$566:$O$571,2,FALSE)),$N81)</f>
        <v>0</v>
      </c>
      <c r="Z81" s="1130">
        <f>SQRT(SUMSQ(
IF(ISNA(VLOOKUP($B81&amp;"; "&amp;$H$79,'FE Hors Energie'!$G:$U,7,FALSE)),
VLOOKUP($B81&amp;"; "&amp;$I$79,'FE Hors Energie'!$G:$U,7,FALSE),
VLOOKUP($B81&amp;"; "&amp;$H$79,'FE Hors Energie'!$G:$U,7,FALSE)),
Y81))</f>
        <v>4</v>
      </c>
    </row>
    <row r="82" spans="2:26" s="91" customFormat="1" ht="13.2" hidden="1" outlineLevel="1">
      <c r="B82" s="304" t="s">
        <v>1901</v>
      </c>
      <c r="C82" s="305"/>
      <c r="D82" s="315">
        <f t="shared" si="11"/>
        <v>0</v>
      </c>
      <c r="E82" s="315"/>
      <c r="F82" s="1175"/>
      <c r="G82" s="1175"/>
      <c r="H82" s="318">
        <f>IF(ISNA(VLOOKUP($B82&amp;"; "&amp;$H$79,'FE Hors Energie'!$G:$U,9,FALSE)),0,VLOOKUP($B82&amp;"; "&amp;$H$79,'FE Hors Energie'!$G:$U,9,FALSE))</f>
        <v>5.83</v>
      </c>
      <c r="I82" s="318"/>
      <c r="J82" s="306">
        <f>(H82*G82)</f>
        <v>0</v>
      </c>
      <c r="L82" s="319">
        <f t="shared" si="12"/>
        <v>0</v>
      </c>
      <c r="M82" s="1047"/>
      <c r="N82" s="820"/>
      <c r="O82" s="306">
        <f>SQRT(SUMSQ(IF(ISNA(J82*Z82),0,J82*Z82)))</f>
        <v>0</v>
      </c>
      <c r="R82" s="606">
        <f>$G82*IF(ISNA(VLOOKUP($B82&amp;"; "&amp;$H$79,'FE Hors Energie'!$G:$U,10,FALSE)),VLOOKUP($B82&amp;"; "&amp;$I$79,'FE Hors Energie'!$G:$U,10,FALSE),VLOOKUP($B82&amp;"; "&amp;$H$79,'FE Hors Energie'!$G:$U,10,FALSE))</f>
        <v>0</v>
      </c>
      <c r="S82" s="607">
        <f>$G82*IF(ISNA(VLOOKUP($B82&amp;"; "&amp;$H$79,'FE Hors Energie'!$G:$U,12,FALSE)),VLOOKUP($B82&amp;"; "&amp;$I$79,'FE Hors Energie'!$G:$U,12,FALSE),VLOOKUP($B82&amp;"; "&amp;$H$79,'FE Hors Energie'!$G:$U,12,FALSE))</f>
        <v>0</v>
      </c>
      <c r="T82" s="607">
        <f>$G82*IF(ISNA(VLOOKUP($B82&amp;"; "&amp;$H$79,'FE Hors Energie'!$G:$U,13,FALSE)),VLOOKUP($B82&amp;"; "&amp;$I$79,'FE Hors Energie'!$G:$U,13,FALSE),VLOOKUP($B82&amp;"; "&amp;$H$79,'FE Hors Energie'!$G:$U,13,FALSE))</f>
        <v>0</v>
      </c>
      <c r="U82" s="607">
        <f>$G82*IF(ISNA(VLOOKUP($B82&amp;"; "&amp;$H$79,'FE Hors Energie'!$G:$U,14,FALSE)),VLOOKUP($B82&amp;"; "&amp;$I$79,'FE Hors Energie'!$G:$U,14,FALSE),VLOOKUP($B82&amp;"; "&amp;$H$79,'FE Hors Energie'!$G:$U,14,FALSE))</f>
        <v>0</v>
      </c>
      <c r="V82" s="608">
        <f>SUM(R82:U82)</f>
        <v>0</v>
      </c>
      <c r="W82" s="609">
        <f>$G82*IF(ISNA(VLOOKUP($B82&amp;"; "&amp;$H$79,'FE Hors Energie'!$G:$U,15,FALSE)),VLOOKUP($B82&amp;"; "&amp;$I$79,'FE Hors Energie'!$G:$U,15,FALSE),VLOOKUP($B82&amp;"; "&amp;$H$79,'FE Hors Energie'!$G:$U,15,FALSE))</f>
        <v>0</v>
      </c>
      <c r="Y82" s="1887">
        <f>IF($M82&lt;&gt;"votre valeur :",IF(ISNA(VLOOKUP($M82,Utilitaires!$N$566:$O$571,2,FALSE)),,VLOOKUP($M82,Utilitaires!$N$566:$O$571,2,FALSE)),$N82)</f>
        <v>0</v>
      </c>
      <c r="Z82" s="1130">
        <f>SQRT(SUMSQ(
IF(ISNA(VLOOKUP($B82&amp;"; "&amp;$H$79,'FE Hors Energie'!$G:$U,7,FALSE)),
VLOOKUP($B82&amp;"; "&amp;$I$79,'FE Hors Energie'!$G:$U,7,FALSE),
VLOOKUP($B82&amp;"; "&amp;$H$79,'FE Hors Energie'!$G:$U,7,FALSE)),
Y82))</f>
        <v>4</v>
      </c>
    </row>
    <row r="83" spans="2:26" s="91" customFormat="1" ht="13.2" hidden="1" outlineLevel="1">
      <c r="B83" s="304" t="s">
        <v>1903</v>
      </c>
      <c r="C83" s="305"/>
      <c r="D83" s="315">
        <f t="shared" si="11"/>
        <v>0</v>
      </c>
      <c r="E83" s="315"/>
      <c r="F83" s="123"/>
      <c r="G83" s="123"/>
      <c r="H83" s="318">
        <f>IF(ISNA(VLOOKUP($B83&amp;"; "&amp;$H$79,'FE Hors Energie'!$G:$U,9,FALSE)),0,VLOOKUP($B83&amp;"; "&amp;$H$79,'FE Hors Energie'!$G:$U,9,FALSE))</f>
        <v>5.04</v>
      </c>
      <c r="I83" s="318"/>
      <c r="J83" s="306">
        <f>(H83*G83)</f>
        <v>0</v>
      </c>
      <c r="L83" s="319">
        <f t="shared" si="12"/>
        <v>0</v>
      </c>
      <c r="M83" s="120"/>
      <c r="N83" s="820"/>
      <c r="O83" s="306">
        <f>SQRT(SUMSQ(IF(ISNA(J83*Z83),0,J83*Z83)))</f>
        <v>0</v>
      </c>
      <c r="R83" s="606">
        <f>$G83*IF(ISNA(VLOOKUP($B83&amp;"; "&amp;$H$79,'FE Hors Energie'!$G:$U,10,FALSE)),VLOOKUP($B83&amp;"; "&amp;$I$79,'FE Hors Energie'!$G:$U,10,FALSE),VLOOKUP($B83&amp;"; "&amp;$H$79,'FE Hors Energie'!$G:$U,10,FALSE))</f>
        <v>0</v>
      </c>
      <c r="S83" s="607">
        <f>$G83*IF(ISNA(VLOOKUP($B83&amp;"; "&amp;$H$79,'FE Hors Energie'!$G:$U,12,FALSE)),VLOOKUP($B83&amp;"; "&amp;$I$79,'FE Hors Energie'!$G:$U,12,FALSE),VLOOKUP($B83&amp;"; "&amp;$H$79,'FE Hors Energie'!$G:$U,12,FALSE))</f>
        <v>0</v>
      </c>
      <c r="T83" s="607">
        <f>$G83*IF(ISNA(VLOOKUP($B83&amp;"; "&amp;$H$79,'FE Hors Energie'!$G:$U,13,FALSE)),VLOOKUP($B83&amp;"; "&amp;$I$79,'FE Hors Energie'!$G:$U,13,FALSE),VLOOKUP($B83&amp;"; "&amp;$H$79,'FE Hors Energie'!$G:$U,13,FALSE))</f>
        <v>0</v>
      </c>
      <c r="U83" s="607">
        <f>$G83*IF(ISNA(VLOOKUP($B83&amp;"; "&amp;$H$79,'FE Hors Energie'!$G:$U,14,FALSE)),VLOOKUP($B83&amp;"; "&amp;$I$79,'FE Hors Energie'!$G:$U,14,FALSE),VLOOKUP($B83&amp;"; "&amp;$H$79,'FE Hors Energie'!$G:$U,14,FALSE))</f>
        <v>0</v>
      </c>
      <c r="V83" s="608">
        <f>SUM(R83:U83)</f>
        <v>0</v>
      </c>
      <c r="W83" s="609">
        <f>$G83*IF(ISNA(VLOOKUP($B83&amp;"; "&amp;$H$79,'FE Hors Energie'!$G:$U,15,FALSE)),VLOOKUP($B83&amp;"; "&amp;$I$79,'FE Hors Energie'!$G:$U,15,FALSE),VLOOKUP($B83&amp;"; "&amp;$H$79,'FE Hors Energie'!$G:$U,15,FALSE))</f>
        <v>0</v>
      </c>
      <c r="Y83" s="1887">
        <f>IF($M83&lt;&gt;"votre valeur :",IF(ISNA(VLOOKUP($M83,Utilitaires!$N$566:$O$571,2,FALSE)),,VLOOKUP($M83,Utilitaires!$N$566:$O$571,2,FALSE)),$N83)</f>
        <v>0</v>
      </c>
      <c r="Z83" s="1130">
        <f>SQRT(SUMSQ(
IF(ISNA(VLOOKUP($B83&amp;"; "&amp;$H$79,'FE Hors Energie'!$G:$U,7,FALSE)),
VLOOKUP($B83&amp;"; "&amp;$I$79,'FE Hors Energie'!$G:$U,7,FALSE),
VLOOKUP($B83&amp;"; "&amp;$H$79,'FE Hors Energie'!$G:$U,7,FALSE)),
Y83))</f>
        <v>4</v>
      </c>
    </row>
    <row r="84" spans="2:26" s="91" customFormat="1" ht="13.2" hidden="1" outlineLevel="1">
      <c r="B84" s="304"/>
      <c r="C84" s="305"/>
      <c r="D84" s="315"/>
      <c r="E84" s="315"/>
      <c r="F84" s="1174"/>
      <c r="G84" s="1174" t="s">
        <v>1979</v>
      </c>
      <c r="H84" s="318"/>
      <c r="I84" s="318"/>
      <c r="J84" s="306"/>
      <c r="L84" s="319">
        <f t="shared" si="12"/>
        <v>0</v>
      </c>
      <c r="M84" s="120"/>
      <c r="N84" s="820"/>
      <c r="O84" s="306"/>
      <c r="R84" s="606"/>
      <c r="S84" s="607"/>
      <c r="T84" s="607"/>
      <c r="U84" s="607"/>
      <c r="V84" s="608"/>
      <c r="W84" s="609"/>
      <c r="Y84" s="1887"/>
      <c r="Z84" s="1130"/>
    </row>
    <row r="85" spans="2:26" s="91" customFormat="1" ht="13.2" hidden="1" outlineLevel="1">
      <c r="B85" s="304" t="s">
        <v>1902</v>
      </c>
      <c r="C85" s="305"/>
      <c r="D85" s="315">
        <f t="shared" si="11"/>
        <v>0</v>
      </c>
      <c r="E85" s="315"/>
      <c r="F85" s="1047"/>
      <c r="G85" s="1047"/>
      <c r="H85" s="318"/>
      <c r="I85" s="318">
        <f>IF(ISNA(VLOOKUP($B85&amp;"; "&amp;$I$79,'FE Hors Energie'!$G:$U,9,FALSE)),0,VLOOKUP($B85&amp;"; "&amp;$I$79,'FE Hors Energie'!$G:$U,9,FALSE))</f>
        <v>3450</v>
      </c>
      <c r="J85" s="306">
        <f>G85*I85</f>
        <v>0</v>
      </c>
      <c r="L85" s="319">
        <f t="shared" si="12"/>
        <v>0</v>
      </c>
      <c r="M85" s="120"/>
      <c r="N85" s="820"/>
      <c r="O85" s="306">
        <f>SQRT(SUMSQ(IF(ISNA(J85*Z85),0,J85*Z85)))</f>
        <v>0</v>
      </c>
      <c r="R85" s="606">
        <f>$G85*IF(ISNA(VLOOKUP($B85&amp;"; "&amp;$H$79,'FE Hors Energie'!$G:$U,10,FALSE)),VLOOKUP($B85&amp;"; "&amp;$I$79,'FE Hors Energie'!$G:$U,10,FALSE),VLOOKUP($B85&amp;"; "&amp;$H$79,'FE Hors Energie'!$G:$U,10,FALSE))</f>
        <v>0</v>
      </c>
      <c r="S85" s="607">
        <f>$G85*IF(ISNA(VLOOKUP($B85&amp;"; "&amp;$H$79,'FE Hors Energie'!$G:$U,12,FALSE)),VLOOKUP($B85&amp;"; "&amp;$I$79,'FE Hors Energie'!$G:$U,12,FALSE),VLOOKUP($B85&amp;"; "&amp;$H$79,'FE Hors Energie'!$G:$U,12,FALSE))</f>
        <v>0</v>
      </c>
      <c r="T85" s="607">
        <f>$G85*IF(ISNA(VLOOKUP($B85&amp;"; "&amp;$H$79,'FE Hors Energie'!$G:$U,13,FALSE)),VLOOKUP($B85&amp;"; "&amp;$I$79,'FE Hors Energie'!$G:$U,13,FALSE),VLOOKUP($B85&amp;"; "&amp;$H$79,'FE Hors Energie'!$G:$U,13,FALSE))</f>
        <v>0</v>
      </c>
      <c r="U85" s="607">
        <f>$G85*IF(ISNA(VLOOKUP($B85&amp;"; "&amp;$H$79,'FE Hors Energie'!$G:$U,14,FALSE)),VLOOKUP($B85&amp;"; "&amp;$I$79,'FE Hors Energie'!$G:$U,14,FALSE),VLOOKUP($B85&amp;"; "&amp;$H$79,'FE Hors Energie'!$G:$U,14,FALSE))</f>
        <v>0</v>
      </c>
      <c r="V85" s="608">
        <f>SUM(R85:U85)</f>
        <v>0</v>
      </c>
      <c r="W85" s="609">
        <f>$G85*IF(ISNA(VLOOKUP($B85&amp;"; "&amp;$H$79,'FE Hors Energie'!$G:$U,15,FALSE)),VLOOKUP($B85&amp;"; "&amp;$I$79,'FE Hors Energie'!$G:$U,15,FALSE),VLOOKUP($B85&amp;"; "&amp;$H$79,'FE Hors Energie'!$G:$U,15,FALSE))</f>
        <v>0</v>
      </c>
      <c r="Y85" s="1887">
        <f>IF($M85&lt;&gt;"votre valeur :",IF(ISNA(VLOOKUP($M85,Utilitaires!$N$566:$O$571,2,FALSE)),,VLOOKUP($M85,Utilitaires!$N$566:$O$571,2,FALSE)),$N85)</f>
        <v>0</v>
      </c>
      <c r="Z85" s="1130">
        <f>SQRT(SUMSQ(
IF(ISNA(VLOOKUP($B85&amp;"; "&amp;$H$79,'FE Hors Energie'!$G:$U,7,FALSE)),
VLOOKUP($B85&amp;"; "&amp;$I$79,'FE Hors Energie'!$G:$U,7,FALSE),
VLOOKUP($B85&amp;"; "&amp;$H$79,'FE Hors Energie'!$G:$U,7,FALSE)),
Y85))</f>
        <v>4</v>
      </c>
    </row>
    <row r="86" spans="2:26" s="91" customFormat="1" ht="13.2" hidden="1" outlineLevel="1">
      <c r="B86" s="304" t="s">
        <v>1980</v>
      </c>
      <c r="C86" s="305"/>
      <c r="D86" s="315">
        <f t="shared" si="11"/>
        <v>0</v>
      </c>
      <c r="E86" s="315"/>
      <c r="F86" s="123"/>
      <c r="G86" s="123"/>
      <c r="H86" s="318"/>
      <c r="I86" s="318">
        <f>IF(ISNA(VLOOKUP($B86&amp;"; "&amp;$I$79,'FE Hors Energie'!$G:$U,9,FALSE)),0,VLOOKUP($B86&amp;"; "&amp;$I$79,'FE Hors Energie'!$G:$U,9,FALSE))</f>
        <v>239</v>
      </c>
      <c r="J86" s="306">
        <f>G86*I86</f>
        <v>0</v>
      </c>
      <c r="L86" s="319">
        <f t="shared" si="12"/>
        <v>0</v>
      </c>
      <c r="M86" s="123"/>
      <c r="N86" s="820"/>
      <c r="O86" s="306">
        <f>SQRT(SUMSQ(IF(ISNA(J86*Z86),0,J86*Z86)))</f>
        <v>0</v>
      </c>
      <c r="R86" s="606">
        <f>$G86*IF(ISNA(VLOOKUP($B86&amp;"; "&amp;$H$79,'FE Hors Energie'!$G:$U,10,FALSE)),VLOOKUP($B86&amp;"; "&amp;$I$79,'FE Hors Energie'!$G:$U,10,FALSE),VLOOKUP($B86&amp;"; "&amp;$H$79,'FE Hors Energie'!$G:$U,10,FALSE))</f>
        <v>0</v>
      </c>
      <c r="S86" s="607">
        <f>$G86*IF(ISNA(VLOOKUP($B86&amp;"; "&amp;$H$79,'FE Hors Energie'!$G:$U,12,FALSE)),VLOOKUP($B86&amp;"; "&amp;$I$79,'FE Hors Energie'!$G:$U,12,FALSE),VLOOKUP($B86&amp;"; "&amp;$H$79,'FE Hors Energie'!$G:$U,12,FALSE))</f>
        <v>0</v>
      </c>
      <c r="T86" s="607">
        <f>$G86*IF(ISNA(VLOOKUP($B86&amp;"; "&amp;$H$79,'FE Hors Energie'!$G:$U,13,FALSE)),VLOOKUP($B86&amp;"; "&amp;$I$79,'FE Hors Energie'!$G:$U,13,FALSE),VLOOKUP($B86&amp;"; "&amp;$H$79,'FE Hors Energie'!$G:$U,13,FALSE))</f>
        <v>0</v>
      </c>
      <c r="U86" s="607">
        <f>$G86*IF(ISNA(VLOOKUP($B86&amp;"; "&amp;$H$79,'FE Hors Energie'!$G:$U,14,FALSE)),VLOOKUP($B86&amp;"; "&amp;$I$79,'FE Hors Energie'!$G:$U,14,FALSE),VLOOKUP($B86&amp;"; "&amp;$H$79,'FE Hors Energie'!$G:$U,14,FALSE))</f>
        <v>0</v>
      </c>
      <c r="V86" s="608">
        <f>SUM(R86:U86)</f>
        <v>0</v>
      </c>
      <c r="W86" s="609">
        <f>$G86*IF(ISNA(VLOOKUP($B86&amp;"; "&amp;$H$79,'FE Hors Energie'!$G:$U,15,FALSE)),VLOOKUP($B86&amp;"; "&amp;$I$79,'FE Hors Energie'!$G:$U,15,FALSE),VLOOKUP($B86&amp;"; "&amp;$H$79,'FE Hors Energie'!$G:$U,15,FALSE))</f>
        <v>0</v>
      </c>
      <c r="Y86" s="1887">
        <f>IF($M86&lt;&gt;"votre valeur :",IF(ISNA(VLOOKUP($M86,Utilitaires!$N$566:$O$571,2,FALSE)),,VLOOKUP($M86,Utilitaires!$N$566:$O$571,2,FALSE)),$N86)</f>
        <v>0</v>
      </c>
      <c r="Z86" s="1130">
        <f>SQRT(SUMSQ(
IF(ISNA(VLOOKUP($B86&amp;"; "&amp;$H$79,'FE Hors Energie'!$G:$U,7,FALSE)),
VLOOKUP($B86&amp;"; "&amp;$I$79,'FE Hors Energie'!$G:$U,7,FALSE),
VLOOKUP($B86&amp;"; "&amp;$H$79,'FE Hors Energie'!$G:$U,7,FALSE)),
Y86))</f>
        <v>4</v>
      </c>
    </row>
    <row r="87" spans="2:26" s="91" customFormat="1" ht="13.2" hidden="1" outlineLevel="1">
      <c r="B87" s="309"/>
      <c r="C87" s="305"/>
      <c r="D87" s="315"/>
      <c r="E87" s="315"/>
      <c r="F87" s="310"/>
      <c r="G87" s="311"/>
      <c r="H87" s="310"/>
      <c r="I87" s="310"/>
      <c r="J87" s="312"/>
      <c r="L87" s="304"/>
      <c r="M87" s="828"/>
      <c r="N87" s="828"/>
      <c r="O87" s="306"/>
      <c r="R87" s="606"/>
      <c r="S87" s="607"/>
      <c r="T87" s="607"/>
      <c r="U87" s="607"/>
      <c r="V87" s="608"/>
      <c r="W87" s="610"/>
      <c r="Y87" s="1888"/>
      <c r="Z87" s="1153"/>
    </row>
    <row r="88" spans="2:26" s="91" customFormat="1" ht="13.2" hidden="1" outlineLevel="1">
      <c r="B88" s="320" t="s">
        <v>348</v>
      </c>
      <c r="C88" s="321"/>
      <c r="D88" s="322">
        <f>SUM(D81:D87)</f>
        <v>0</v>
      </c>
      <c r="E88" s="322"/>
      <c r="F88" s="321"/>
      <c r="G88" s="323"/>
      <c r="H88" s="321"/>
      <c r="I88" s="321"/>
      <c r="J88" s="324">
        <f>SUM(J81:J87)</f>
        <v>0</v>
      </c>
      <c r="L88" s="1202">
        <f>IF(O88=0,O88,O88/I88)</f>
        <v>0</v>
      </c>
      <c r="M88" s="829"/>
      <c r="N88" s="829"/>
      <c r="O88" s="324">
        <f>SQRT(SUMSQ(O81:O87))</f>
        <v>0</v>
      </c>
      <c r="R88" s="611">
        <f t="shared" ref="R88:W88" si="13">SUM(R81:R87)</f>
        <v>0</v>
      </c>
      <c r="S88" s="612">
        <f t="shared" si="13"/>
        <v>0</v>
      </c>
      <c r="T88" s="612">
        <f t="shared" si="13"/>
        <v>0</v>
      </c>
      <c r="U88" s="612">
        <f t="shared" si="13"/>
        <v>0</v>
      </c>
      <c r="V88" s="613">
        <f t="shared" si="13"/>
        <v>0</v>
      </c>
      <c r="W88" s="614">
        <f t="shared" si="13"/>
        <v>0</v>
      </c>
    </row>
    <row r="89" spans="2:26" s="91" customFormat="1" ht="13.2" collapsed="1">
      <c r="B89" s="92"/>
      <c r="C89" s="92"/>
      <c r="D89" s="92"/>
      <c r="E89" s="92"/>
      <c r="F89" s="92"/>
      <c r="G89" s="100"/>
      <c r="H89" s="92"/>
      <c r="M89" s="9"/>
      <c r="N89" s="9"/>
      <c r="R89" s="595"/>
      <c r="S89" s="595"/>
      <c r="T89" s="595"/>
      <c r="U89" s="595"/>
      <c r="V89" s="595"/>
      <c r="W89" s="595"/>
    </row>
    <row r="90" spans="2:26" s="91" customFormat="1" ht="15.6" collapsed="1">
      <c r="B90" s="2652" t="s">
        <v>588</v>
      </c>
      <c r="C90" s="2653"/>
      <c r="D90" s="2653"/>
      <c r="E90" s="2653"/>
      <c r="F90" s="2653"/>
      <c r="G90" s="2653"/>
      <c r="H90" s="2653"/>
      <c r="I90" s="2653"/>
      <c r="J90" s="2653"/>
      <c r="K90" s="2653"/>
      <c r="L90" s="2653"/>
      <c r="M90" s="2653"/>
      <c r="N90" s="2653"/>
      <c r="O90" s="2653"/>
      <c r="P90" s="2654"/>
      <c r="R90" s="595"/>
      <c r="S90" s="595"/>
      <c r="T90" s="595"/>
      <c r="U90" s="595"/>
      <c r="V90" s="595"/>
      <c r="W90" s="595"/>
    </row>
    <row r="91" spans="2:26" s="91" customFormat="1" ht="13.2" hidden="1" outlineLevel="1">
      <c r="F91" s="92"/>
      <c r="G91" s="1894"/>
      <c r="M91" s="9"/>
      <c r="N91" s="9"/>
      <c r="R91" s="595"/>
      <c r="S91" s="595"/>
      <c r="T91" s="595"/>
      <c r="U91" s="595"/>
      <c r="V91" s="595"/>
      <c r="W91" s="595"/>
    </row>
    <row r="92" spans="2:26" s="91" customFormat="1" ht="12.75" hidden="1" customHeight="1" outlineLevel="1">
      <c r="B92" s="294" t="s">
        <v>589</v>
      </c>
      <c r="C92" s="295"/>
      <c r="D92" s="1882"/>
      <c r="E92" s="1882"/>
      <c r="F92" s="296"/>
      <c r="G92" s="296"/>
      <c r="H92" s="296"/>
      <c r="I92" s="297"/>
      <c r="L92" s="2748" t="s">
        <v>366</v>
      </c>
      <c r="M92" s="2749"/>
      <c r="N92" s="2749"/>
      <c r="O92" s="2750"/>
      <c r="R92" s="2751" t="s">
        <v>441</v>
      </c>
      <c r="S92" s="2752"/>
      <c r="T92" s="2752"/>
      <c r="U92" s="2752"/>
      <c r="V92" s="2752"/>
      <c r="W92" s="2753"/>
    </row>
    <row r="93" spans="2:26" s="91" customFormat="1" ht="12.75" hidden="1" customHeight="1" outlineLevel="1">
      <c r="B93" s="298"/>
      <c r="C93" s="299"/>
      <c r="D93" s="1892" t="s">
        <v>308</v>
      </c>
      <c r="E93" s="1892"/>
      <c r="F93" s="299"/>
      <c r="G93" s="299"/>
      <c r="H93" s="299"/>
      <c r="I93" s="300"/>
      <c r="L93" s="298"/>
      <c r="M93" s="827"/>
      <c r="N93" s="827"/>
      <c r="O93" s="307"/>
      <c r="R93" s="596"/>
      <c r="S93" s="597"/>
      <c r="T93" s="597"/>
      <c r="U93" s="597"/>
      <c r="V93" s="598"/>
      <c r="W93" s="599"/>
      <c r="Y93" s="2616" t="s">
        <v>1648</v>
      </c>
      <c r="Z93" s="2618"/>
    </row>
    <row r="94" spans="2:26" s="91" customFormat="1" ht="12.75" hidden="1" customHeight="1" outlineLevel="1">
      <c r="B94" s="298"/>
      <c r="C94" s="299"/>
      <c r="D94" s="1880" t="s">
        <v>409</v>
      </c>
      <c r="E94" s="1880"/>
      <c r="F94" s="147" t="s">
        <v>452</v>
      </c>
      <c r="G94" s="147" t="s">
        <v>1849</v>
      </c>
      <c r="H94" s="2626" t="s">
        <v>1572</v>
      </c>
      <c r="I94" s="302" t="s">
        <v>444</v>
      </c>
      <c r="L94" s="1881" t="s">
        <v>316</v>
      </c>
      <c r="M94" s="2629" t="s">
        <v>316</v>
      </c>
      <c r="N94" s="2630"/>
      <c r="O94" s="302" t="s">
        <v>444</v>
      </c>
      <c r="R94" s="2754" t="s">
        <v>444</v>
      </c>
      <c r="S94" s="2755"/>
      <c r="T94" s="2755"/>
      <c r="U94" s="2755"/>
      <c r="V94" s="600" t="s">
        <v>444</v>
      </c>
      <c r="W94" s="601"/>
      <c r="Y94" s="1140" t="s">
        <v>1646</v>
      </c>
      <c r="Z94" s="1141" t="s">
        <v>1844</v>
      </c>
    </row>
    <row r="95" spans="2:26" s="91" customFormat="1" ht="12.75" hidden="1" customHeight="1" outlineLevel="1">
      <c r="B95" s="298"/>
      <c r="C95" s="299"/>
      <c r="D95" s="1880" t="s">
        <v>444</v>
      </c>
      <c r="E95" s="1880"/>
      <c r="F95" s="1889" t="s">
        <v>702</v>
      </c>
      <c r="G95" s="1889" t="s">
        <v>1848</v>
      </c>
      <c r="H95" s="2626"/>
      <c r="I95" s="302"/>
      <c r="L95" s="1881" t="s">
        <v>1649</v>
      </c>
      <c r="M95" s="2646" t="s">
        <v>1650</v>
      </c>
      <c r="N95" s="2647"/>
      <c r="O95" s="302"/>
      <c r="R95" s="602" t="s">
        <v>211</v>
      </c>
      <c r="S95" s="603" t="s">
        <v>442</v>
      </c>
      <c r="T95" s="603" t="s">
        <v>267</v>
      </c>
      <c r="U95" s="603" t="s">
        <v>443</v>
      </c>
      <c r="V95" s="604" t="s">
        <v>327</v>
      </c>
      <c r="W95" s="605" t="s">
        <v>636</v>
      </c>
      <c r="Y95" s="1878"/>
      <c r="Z95" s="1893"/>
    </row>
    <row r="96" spans="2:26" s="91" customFormat="1" ht="13.2" hidden="1" outlineLevel="1">
      <c r="B96" s="304" t="s">
        <v>1976</v>
      </c>
      <c r="C96" s="305"/>
      <c r="D96" s="315">
        <f>I96</f>
        <v>0</v>
      </c>
      <c r="E96" s="315"/>
      <c r="F96" s="117"/>
      <c r="G96" s="117"/>
      <c r="H96" s="317">
        <f>VLOOKUP($B96&amp;"; "&amp;$H$94,'FE Hors Energie'!$G:$U,9,FALSE)</f>
        <v>2</v>
      </c>
      <c r="I96" s="306">
        <f>G96*H96</f>
        <v>0</v>
      </c>
      <c r="L96" s="319">
        <f>IF(O96=0,O96,O96/I96)</f>
        <v>0</v>
      </c>
      <c r="M96" s="117"/>
      <c r="N96" s="820"/>
      <c r="O96" s="306">
        <f>SQRT(SUMSQ(IF(ISNA(I96*Z96),0,I96*Z96)))</f>
        <v>0</v>
      </c>
      <c r="R96" s="606">
        <v>0</v>
      </c>
      <c r="S96" s="607">
        <v>0</v>
      </c>
      <c r="T96" s="607">
        <v>0</v>
      </c>
      <c r="U96" s="607">
        <f>I96</f>
        <v>0</v>
      </c>
      <c r="V96" s="608">
        <f>I96</f>
        <v>0</v>
      </c>
      <c r="W96" s="609">
        <v>0</v>
      </c>
      <c r="Y96" s="1887">
        <f>IF($M96&lt;&gt;"votre valeur :",IF(ISNA(VLOOKUP($M96,Utilitaires!$N$566:$O$571,2,FALSE)),,VLOOKUP($M96,Utilitaires!$N$566:$O$571,2,FALSE)),$N96)</f>
        <v>0</v>
      </c>
      <c r="Z96" s="1130">
        <f>IF(ISNA(SQRT(SUMSQ(VLOOKUP($B96&amp;"; "&amp;$H$94,'FE Hors Energie'!$G:$U,7,FALSE),$Y96))),0,SQRT(SUMSQ(VLOOKUP($B96&amp;"; "&amp;$H$94,'FE Hors Energie'!$G:$U,7,FALSE),$Y96)))</f>
        <v>0.3</v>
      </c>
    </row>
    <row r="97" spans="2:27" s="91" customFormat="1" ht="13.2" hidden="1" outlineLevel="1">
      <c r="B97" s="304" t="s">
        <v>1978</v>
      </c>
      <c r="C97" s="305"/>
      <c r="D97" s="315">
        <f>I97</f>
        <v>0</v>
      </c>
      <c r="E97" s="315"/>
      <c r="F97" s="120"/>
      <c r="G97" s="120"/>
      <c r="H97" s="317">
        <f>VLOOKUP($B97&amp;"; "&amp;$H$94,'FE Hors Energie'!$G:$U,9,FALSE)</f>
        <v>160</v>
      </c>
      <c r="I97" s="306">
        <f t="shared" ref="I97:I98" si="14">G97*H97</f>
        <v>0</v>
      </c>
      <c r="L97" s="319">
        <f>IF(O97=0,O97,O97/I97)</f>
        <v>0</v>
      </c>
      <c r="M97" s="120"/>
      <c r="N97" s="820"/>
      <c r="O97" s="306">
        <f>SQRT(SUMSQ(IF(ISNA(I97*Z97),0,I97*Z97)))</f>
        <v>0</v>
      </c>
      <c r="R97" s="606">
        <v>0</v>
      </c>
      <c r="S97" s="607">
        <v>0</v>
      </c>
      <c r="T97" s="607">
        <v>0</v>
      </c>
      <c r="U97" s="607">
        <f>I97</f>
        <v>0</v>
      </c>
      <c r="V97" s="608">
        <f>I97</f>
        <v>0</v>
      </c>
      <c r="W97" s="609">
        <v>0</v>
      </c>
      <c r="Y97" s="1887">
        <f>IF($M97&lt;&gt;"votre valeur :",IF(ISNA(VLOOKUP($M97,Utilitaires!$N$566:$O$571,2,FALSE)),,VLOOKUP($M97,Utilitaires!$N$566:$O$571,2,FALSE)),$N97)</f>
        <v>0</v>
      </c>
      <c r="Z97" s="1130">
        <f>IF(ISNA(SQRT(SUMSQ(VLOOKUP($B97&amp;"; "&amp;$H$94,'FE Hors Energie'!$G:$U,7,FALSE),$Y97))),0,SQRT(SUMSQ(VLOOKUP($B97&amp;"; "&amp;$H$94,'FE Hors Energie'!$G:$U,7,FALSE),$Y97)))</f>
        <v>0.3</v>
      </c>
    </row>
    <row r="98" spans="2:27" s="91" customFormat="1" ht="13.2" hidden="1" outlineLevel="1">
      <c r="B98" s="304" t="s">
        <v>1977</v>
      </c>
      <c r="C98" s="305"/>
      <c r="D98" s="315">
        <f>I98</f>
        <v>0</v>
      </c>
      <c r="E98" s="315"/>
      <c r="F98" s="123"/>
      <c r="G98" s="123"/>
      <c r="H98" s="317">
        <f>VLOOKUP($B98&amp;"; "&amp;$H$94,'FE Hors Energie'!$G:$U,9,FALSE)</f>
        <v>1750</v>
      </c>
      <c r="I98" s="306">
        <f t="shared" si="14"/>
        <v>0</v>
      </c>
      <c r="L98" s="319">
        <f>IF(O98=0,O98,O98/I98)</f>
        <v>0</v>
      </c>
      <c r="M98" s="123"/>
      <c r="N98" s="820"/>
      <c r="O98" s="306">
        <f>SQRT(SUMSQ(IF(ISNA(I98*Z98),0,I98*Z98)))</f>
        <v>0</v>
      </c>
      <c r="R98" s="606">
        <v>0</v>
      </c>
      <c r="S98" s="607">
        <v>0</v>
      </c>
      <c r="T98" s="607">
        <v>0</v>
      </c>
      <c r="U98" s="607">
        <f>I98</f>
        <v>0</v>
      </c>
      <c r="V98" s="608">
        <f>I98</f>
        <v>0</v>
      </c>
      <c r="W98" s="609">
        <v>0</v>
      </c>
      <c r="Y98" s="1887">
        <f>IF($M98&lt;&gt;"votre valeur :",IF(ISNA(VLOOKUP($M98,Utilitaires!$N$566:$O$571,2,FALSE)),,VLOOKUP($M98,Utilitaires!$N$566:$O$571,2,FALSE)),$N98)</f>
        <v>0</v>
      </c>
      <c r="Z98" s="1130">
        <f>IF(ISNA(SQRT(SUMSQ(VLOOKUP($B98&amp;"; "&amp;$H$94,'FE Hors Energie'!$G:$U,7,FALSE),$Y98))),0,SQRT(SUMSQ(VLOOKUP($B98&amp;"; "&amp;$H$94,'FE Hors Energie'!$G:$U,7,FALSE),$Y98)))</f>
        <v>0.3</v>
      </c>
    </row>
    <row r="99" spans="2:27" s="91" customFormat="1" ht="13.2" hidden="1" outlineLevel="1">
      <c r="B99" s="304"/>
      <c r="C99" s="305"/>
      <c r="D99" s="316"/>
      <c r="E99" s="316"/>
      <c r="F99" s="305"/>
      <c r="G99" s="299"/>
      <c r="H99" s="305"/>
      <c r="I99" s="307"/>
      <c r="L99" s="304"/>
      <c r="M99" s="828"/>
      <c r="N99" s="828"/>
      <c r="O99" s="306"/>
      <c r="R99" s="606"/>
      <c r="S99" s="607"/>
      <c r="T99" s="607"/>
      <c r="U99" s="607"/>
      <c r="V99" s="608"/>
      <c r="W99" s="610"/>
      <c r="Y99" s="1888"/>
      <c r="Z99" s="1153"/>
    </row>
    <row r="100" spans="2:27" s="91" customFormat="1" ht="13.2" hidden="1" outlineLevel="1">
      <c r="B100" s="320" t="s">
        <v>348</v>
      </c>
      <c r="C100" s="321"/>
      <c r="D100" s="322">
        <f>SUM(D96:D99)</f>
        <v>0</v>
      </c>
      <c r="E100" s="322"/>
      <c r="F100" s="321"/>
      <c r="G100" s="323"/>
      <c r="H100" s="321"/>
      <c r="I100" s="324">
        <f>SUM(I96:I99)</f>
        <v>0</v>
      </c>
      <c r="L100" s="1202">
        <f>IF(O100=0,O100,O100/I100)</f>
        <v>0</v>
      </c>
      <c r="M100" s="829"/>
      <c r="N100" s="829"/>
      <c r="O100" s="324">
        <f>SQRT(SUMSQ(O96:O99))</f>
        <v>0</v>
      </c>
      <c r="R100" s="611">
        <f t="shared" ref="R100:W100" si="15">SUM(R96:R99)</f>
        <v>0</v>
      </c>
      <c r="S100" s="612">
        <f t="shared" si="15"/>
        <v>0</v>
      </c>
      <c r="T100" s="612">
        <f t="shared" si="15"/>
        <v>0</v>
      </c>
      <c r="U100" s="612">
        <f t="shared" si="15"/>
        <v>0</v>
      </c>
      <c r="V100" s="613">
        <f t="shared" si="15"/>
        <v>0</v>
      </c>
      <c r="W100" s="614">
        <f t="shared" si="15"/>
        <v>0</v>
      </c>
    </row>
    <row r="101" spans="2:27" s="91" customFormat="1" ht="13.2" hidden="1" outlineLevel="1">
      <c r="F101" s="92"/>
      <c r="G101" s="1894"/>
      <c r="M101" s="9"/>
      <c r="N101" s="9"/>
      <c r="Q101" s="9"/>
      <c r="V101" s="595"/>
      <c r="W101" s="595"/>
      <c r="X101" s="595"/>
      <c r="Y101" s="595"/>
      <c r="Z101" s="595"/>
      <c r="AA101" s="595"/>
    </row>
    <row r="102" spans="2:27" s="91" customFormat="1" ht="13.2" collapsed="1">
      <c r="F102" s="92"/>
      <c r="G102" s="1894"/>
      <c r="M102" s="9"/>
      <c r="N102" s="9"/>
      <c r="Q102" s="9"/>
      <c r="V102" s="595"/>
      <c r="W102" s="595"/>
      <c r="X102" s="595"/>
      <c r="Y102" s="595"/>
      <c r="Z102" s="595"/>
      <c r="AA102" s="595"/>
    </row>
    <row r="103" spans="2:27" s="91" customFormat="1" ht="13.2">
      <c r="F103" s="92"/>
      <c r="G103" s="1894"/>
      <c r="M103" s="9"/>
      <c r="N103" s="9"/>
      <c r="Q103" s="9"/>
      <c r="V103" s="595"/>
      <c r="W103" s="595"/>
      <c r="X103" s="595"/>
      <c r="Y103" s="595"/>
      <c r="Z103" s="595"/>
      <c r="AA103" s="595"/>
    </row>
    <row r="104" spans="2:27" s="97" customFormat="1" ht="13.2">
      <c r="F104" s="22"/>
      <c r="G104" s="14"/>
      <c r="M104" s="531"/>
      <c r="N104" s="531"/>
      <c r="O104" s="38"/>
      <c r="Q104" s="531"/>
      <c r="R104" s="38"/>
      <c r="T104" s="38"/>
      <c r="V104" s="595"/>
      <c r="W104" s="595"/>
      <c r="X104" s="595"/>
      <c r="Y104" s="595"/>
      <c r="Z104" s="595"/>
      <c r="AA104" s="595"/>
    </row>
    <row r="105" spans="2:27" ht="20.100000000000001" customHeight="1">
      <c r="B105" s="2664" t="s">
        <v>518</v>
      </c>
      <c r="C105" s="2665"/>
      <c r="D105" s="2665"/>
      <c r="E105" s="2665"/>
      <c r="F105" s="2665"/>
      <c r="G105" s="2665"/>
      <c r="H105" s="2665"/>
      <c r="I105" s="2665"/>
      <c r="J105" s="2665"/>
      <c r="K105" s="2665"/>
      <c r="L105" s="2665"/>
      <c r="M105" s="2665"/>
      <c r="N105" s="2665"/>
      <c r="O105" s="2665"/>
      <c r="P105" s="2666"/>
      <c r="V105" s="595"/>
      <c r="W105" s="595"/>
      <c r="X105" s="595"/>
      <c r="Y105" s="595"/>
      <c r="Z105" s="595"/>
      <c r="AA105" s="595"/>
    </row>
    <row r="106" spans="2:27" s="91" customFormat="1" ht="13.2">
      <c r="E106" s="92"/>
      <c r="G106" s="1894"/>
      <c r="M106" s="9"/>
      <c r="N106" s="9"/>
      <c r="Q106" s="9"/>
      <c r="V106" s="595"/>
      <c r="W106" s="595"/>
      <c r="X106" s="595"/>
      <c r="Y106" s="595"/>
      <c r="Z106" s="595"/>
      <c r="AA106" s="595"/>
    </row>
    <row r="107" spans="2:27" s="91" customFormat="1" ht="12.75" customHeight="1">
      <c r="B107" s="2667" t="str">
        <f>Descriptif!C26</f>
        <v>Hors énergie 2</v>
      </c>
      <c r="C107" s="2668"/>
      <c r="D107" s="2671" t="s">
        <v>409</v>
      </c>
      <c r="E107" s="2672"/>
      <c r="F107" s="2673"/>
      <c r="G107" s="129"/>
      <c r="H107" s="2671" t="s">
        <v>159</v>
      </c>
      <c r="I107" s="2673"/>
      <c r="J107" s="1682"/>
      <c r="K107" s="2674" t="s">
        <v>499</v>
      </c>
      <c r="L107" s="2675"/>
      <c r="M107" s="2675"/>
      <c r="N107" s="2676"/>
      <c r="O107" s="617"/>
      <c r="P107" s="617"/>
      <c r="Q107" s="617"/>
      <c r="R107" s="617"/>
      <c r="S107" s="617"/>
      <c r="T107" s="595"/>
    </row>
    <row r="108" spans="2:27" s="91" customFormat="1" ht="12.75" customHeight="1">
      <c r="B108" s="2669"/>
      <c r="C108" s="2670"/>
      <c r="D108" s="1884" t="s">
        <v>444</v>
      </c>
      <c r="E108" s="1890" t="s">
        <v>500</v>
      </c>
      <c r="F108" s="1884" t="s">
        <v>524</v>
      </c>
      <c r="G108" s="129"/>
      <c r="H108" s="1884" t="s">
        <v>444</v>
      </c>
      <c r="I108" s="1884" t="s">
        <v>355</v>
      </c>
      <c r="J108" s="1682"/>
      <c r="K108" s="1885" t="s">
        <v>43</v>
      </c>
      <c r="L108" s="1885" t="s">
        <v>522</v>
      </c>
      <c r="M108" s="1885" t="s">
        <v>522</v>
      </c>
      <c r="N108" s="1885" t="s">
        <v>523</v>
      </c>
      <c r="O108" s="594"/>
      <c r="P108" s="594"/>
      <c r="Q108" s="594"/>
      <c r="R108" s="594"/>
      <c r="S108" s="594"/>
      <c r="T108" s="595"/>
    </row>
    <row r="109" spans="2:27" s="91" customFormat="1" ht="12.75" customHeight="1">
      <c r="B109" s="2660" t="s">
        <v>413</v>
      </c>
      <c r="C109" s="2661"/>
      <c r="D109" s="183">
        <f>D15</f>
        <v>0</v>
      </c>
      <c r="E109" s="184">
        <f t="shared" ref="E109:E114" si="16">D109/1000</f>
        <v>0</v>
      </c>
      <c r="F109" s="185" t="str">
        <f t="shared" ref="F109:F115" si="17">IF($D$115=0,"",D109/$D$115)</f>
        <v/>
      </c>
      <c r="G109" s="128"/>
      <c r="H109" s="136">
        <f>O15</f>
        <v>0</v>
      </c>
      <c r="I109" s="185" t="str">
        <f t="shared" ref="I109:I114" si="18">IF(D109=0,"",H109/D109)</f>
        <v/>
      </c>
      <c r="J109" s="1682"/>
      <c r="K109" s="187">
        <f>(D109-H109)/1000</f>
        <v>0</v>
      </c>
      <c r="L109" s="187">
        <f>E109</f>
        <v>0</v>
      </c>
      <c r="M109" s="187">
        <f>E109</f>
        <v>0</v>
      </c>
      <c r="N109" s="187">
        <f>(D109+H109)/1000</f>
        <v>0</v>
      </c>
      <c r="O109" s="594"/>
      <c r="P109" s="594"/>
      <c r="Q109" s="594"/>
      <c r="R109" s="594"/>
      <c r="S109" s="594"/>
      <c r="T109" s="595"/>
    </row>
    <row r="110" spans="2:27" s="91" customFormat="1" ht="12.75" customHeight="1">
      <c r="B110" s="2660" t="s">
        <v>298</v>
      </c>
      <c r="C110" s="2661"/>
      <c r="D110" s="136">
        <f>D26+D34</f>
        <v>0</v>
      </c>
      <c r="E110" s="186">
        <f t="shared" si="16"/>
        <v>0</v>
      </c>
      <c r="F110" s="185" t="str">
        <f t="shared" si="17"/>
        <v/>
      </c>
      <c r="G110" s="128"/>
      <c r="H110" s="136">
        <f>SQRT(SUMSQ(O26,O34,O75))</f>
        <v>0</v>
      </c>
      <c r="I110" s="185" t="str">
        <f t="shared" si="18"/>
        <v/>
      </c>
      <c r="J110" s="1682"/>
      <c r="K110" s="187">
        <f t="shared" ref="K110:K115" si="19">(D110-H110)/1000</f>
        <v>0</v>
      </c>
      <c r="L110" s="187">
        <f t="shared" ref="L110:L115" si="20">E110</f>
        <v>0</v>
      </c>
      <c r="M110" s="187">
        <f t="shared" ref="M110:M115" si="21">E110</f>
        <v>0</v>
      </c>
      <c r="N110" s="187">
        <f t="shared" ref="N110:N115" si="22">(D110+H110)/1000</f>
        <v>0</v>
      </c>
      <c r="O110" s="594"/>
      <c r="P110" s="594"/>
      <c r="Q110" s="594"/>
      <c r="R110" s="594"/>
      <c r="S110" s="594"/>
      <c r="T110" s="595"/>
    </row>
    <row r="111" spans="2:27" s="91" customFormat="1" ht="12.75" customHeight="1">
      <c r="B111" s="2660" t="s">
        <v>217</v>
      </c>
      <c r="C111" s="2661"/>
      <c r="D111" s="136">
        <f>I46</f>
        <v>0</v>
      </c>
      <c r="E111" s="186">
        <f t="shared" si="16"/>
        <v>0</v>
      </c>
      <c r="F111" s="185" t="str">
        <f t="shared" si="17"/>
        <v/>
      </c>
      <c r="G111" s="128"/>
      <c r="H111" s="136">
        <f>O46</f>
        <v>0</v>
      </c>
      <c r="I111" s="185" t="str">
        <f t="shared" si="18"/>
        <v/>
      </c>
      <c r="J111" s="1682"/>
      <c r="K111" s="187">
        <f t="shared" si="19"/>
        <v>0</v>
      </c>
      <c r="L111" s="187">
        <f t="shared" si="20"/>
        <v>0</v>
      </c>
      <c r="M111" s="187">
        <f t="shared" si="21"/>
        <v>0</v>
      </c>
      <c r="N111" s="187">
        <f t="shared" si="22"/>
        <v>0</v>
      </c>
      <c r="O111" s="594"/>
      <c r="P111" s="594"/>
      <c r="Q111" s="594"/>
      <c r="R111" s="594"/>
      <c r="S111" s="594"/>
      <c r="T111" s="617"/>
    </row>
    <row r="112" spans="2:27" s="91" customFormat="1" ht="12.75" customHeight="1">
      <c r="B112" s="2660" t="s">
        <v>328</v>
      </c>
      <c r="C112" s="2661"/>
      <c r="D112" s="136">
        <f>D59</f>
        <v>0</v>
      </c>
      <c r="E112" s="186">
        <f t="shared" si="16"/>
        <v>0</v>
      </c>
      <c r="F112" s="185" t="str">
        <f t="shared" si="17"/>
        <v/>
      </c>
      <c r="G112" s="128"/>
      <c r="H112" s="136">
        <f>O59</f>
        <v>0</v>
      </c>
      <c r="I112" s="185" t="str">
        <f t="shared" si="18"/>
        <v/>
      </c>
      <c r="J112" s="1682"/>
      <c r="K112" s="187">
        <f t="shared" si="19"/>
        <v>0</v>
      </c>
      <c r="L112" s="187">
        <f t="shared" si="20"/>
        <v>0</v>
      </c>
      <c r="M112" s="187">
        <f t="shared" si="21"/>
        <v>0</v>
      </c>
      <c r="N112" s="187">
        <f t="shared" si="22"/>
        <v>0</v>
      </c>
      <c r="O112" s="594"/>
      <c r="P112" s="594"/>
      <c r="Q112" s="594"/>
      <c r="R112" s="594"/>
      <c r="S112" s="594"/>
      <c r="T112" s="594"/>
    </row>
    <row r="113" spans="2:27" s="91" customFormat="1" ht="12.75" customHeight="1">
      <c r="B113" s="2660" t="s">
        <v>35</v>
      </c>
      <c r="C113" s="2661"/>
      <c r="D113" s="136">
        <f>D100</f>
        <v>0</v>
      </c>
      <c r="E113" s="186">
        <f t="shared" si="16"/>
        <v>0</v>
      </c>
      <c r="F113" s="185" t="str">
        <f t="shared" si="17"/>
        <v/>
      </c>
      <c r="G113" s="128"/>
      <c r="H113" s="136">
        <f>O100</f>
        <v>0</v>
      </c>
      <c r="I113" s="185" t="str">
        <f t="shared" si="18"/>
        <v/>
      </c>
      <c r="J113" s="1682"/>
      <c r="K113" s="187">
        <f t="shared" si="19"/>
        <v>0</v>
      </c>
      <c r="L113" s="187">
        <f t="shared" si="20"/>
        <v>0</v>
      </c>
      <c r="M113" s="187">
        <f t="shared" si="21"/>
        <v>0</v>
      </c>
      <c r="N113" s="187">
        <f t="shared" si="22"/>
        <v>0</v>
      </c>
      <c r="O113" s="594"/>
      <c r="P113" s="594"/>
      <c r="Q113" s="594"/>
      <c r="R113" s="594"/>
      <c r="S113" s="594"/>
      <c r="T113" s="594"/>
    </row>
    <row r="114" spans="2:27" s="91" customFormat="1" ht="12.75" customHeight="1">
      <c r="B114" s="1172" t="s">
        <v>197</v>
      </c>
      <c r="C114" s="1883"/>
      <c r="D114" s="1173">
        <f>D88+D75</f>
        <v>0</v>
      </c>
      <c r="E114" s="186">
        <f t="shared" si="16"/>
        <v>0</v>
      </c>
      <c r="F114" s="185" t="str">
        <f t="shared" si="17"/>
        <v/>
      </c>
      <c r="G114" s="128"/>
      <c r="H114" s="1173">
        <f>SQRT(SUMSQ(O75,O88))</f>
        <v>0</v>
      </c>
      <c r="I114" s="185" t="str">
        <f t="shared" si="18"/>
        <v/>
      </c>
      <c r="J114" s="1682"/>
      <c r="K114" s="187">
        <f t="shared" si="19"/>
        <v>0</v>
      </c>
      <c r="L114" s="187">
        <f t="shared" si="20"/>
        <v>0</v>
      </c>
      <c r="M114" s="187">
        <f t="shared" si="21"/>
        <v>0</v>
      </c>
      <c r="N114" s="187">
        <f t="shared" si="22"/>
        <v>0</v>
      </c>
      <c r="O114" s="594"/>
      <c r="P114" s="594"/>
      <c r="Q114" s="594"/>
      <c r="R114" s="594"/>
      <c r="S114" s="594"/>
      <c r="T114" s="594"/>
    </row>
    <row r="115" spans="2:27" s="98" customFormat="1" ht="15">
      <c r="B115" s="2662" t="s">
        <v>348</v>
      </c>
      <c r="C115" s="2663"/>
      <c r="D115" s="188">
        <f>SUM(D109:D114)</f>
        <v>0</v>
      </c>
      <c r="E115" s="189">
        <f>SUM(E109:E114)</f>
        <v>0</v>
      </c>
      <c r="F115" s="190" t="str">
        <f t="shared" si="17"/>
        <v/>
      </c>
      <c r="G115" s="191"/>
      <c r="H115" s="188">
        <f>SQRT(SUMSQ(H109:H114))</f>
        <v>0</v>
      </c>
      <c r="I115" s="190" t="str">
        <f>IF(D115=0,"",H115/D115)</f>
        <v/>
      </c>
      <c r="J115" s="1683"/>
      <c r="K115" s="1686">
        <f t="shared" si="19"/>
        <v>0</v>
      </c>
      <c r="L115" s="1686">
        <f t="shared" si="20"/>
        <v>0</v>
      </c>
      <c r="M115" s="1686">
        <f t="shared" si="21"/>
        <v>0</v>
      </c>
      <c r="N115" s="1686">
        <f t="shared" si="22"/>
        <v>0</v>
      </c>
      <c r="O115" s="594"/>
      <c r="P115" s="594"/>
      <c r="Q115" s="594"/>
      <c r="R115" s="594"/>
      <c r="S115" s="594"/>
      <c r="T115" s="594"/>
    </row>
    <row r="116" spans="2:27" ht="12">
      <c r="B116" s="131"/>
      <c r="C116" s="131"/>
      <c r="D116" s="131"/>
      <c r="E116" s="131"/>
      <c r="F116" s="131"/>
      <c r="G116" s="131"/>
      <c r="H116" s="172"/>
      <c r="I116" s="172"/>
      <c r="J116" s="1677"/>
      <c r="K116" s="174"/>
      <c r="L116" s="174"/>
      <c r="M116" s="174"/>
      <c r="N116" s="174"/>
      <c r="O116" s="1678"/>
      <c r="P116" s="594"/>
      <c r="Q116" s="594"/>
      <c r="R116" s="594"/>
      <c r="S116" s="594"/>
      <c r="T116" s="594"/>
      <c r="V116" s="233"/>
      <c r="W116" s="233"/>
      <c r="X116" s="233"/>
      <c r="Y116" s="233"/>
      <c r="Z116" s="233"/>
      <c r="AA116" s="233"/>
    </row>
    <row r="117" spans="2:27" ht="13.2">
      <c r="J117" s="1679"/>
      <c r="K117" s="1679"/>
      <c r="L117" s="1679"/>
      <c r="M117" s="1680"/>
      <c r="N117" s="1680"/>
      <c r="O117" s="1679"/>
      <c r="P117" s="1679"/>
      <c r="Q117" s="1680"/>
      <c r="R117" s="1679"/>
      <c r="S117" s="1679"/>
      <c r="T117" s="1679"/>
      <c r="U117" s="1679"/>
      <c r="V117" s="1681"/>
      <c r="W117" s="595"/>
      <c r="X117" s="595"/>
      <c r="Y117" s="595"/>
      <c r="Z117" s="595"/>
      <c r="AA117" s="595"/>
    </row>
    <row r="118" spans="2:27" ht="15.6">
      <c r="B118" s="2757" t="s">
        <v>525</v>
      </c>
      <c r="C118" s="2758"/>
      <c r="D118" s="2758"/>
      <c r="E118" s="2758"/>
      <c r="F118" s="2758"/>
      <c r="G118" s="2758"/>
      <c r="H118" s="2758"/>
      <c r="I118" s="2758"/>
      <c r="J118" s="2758"/>
      <c r="K118" s="2758"/>
      <c r="L118" s="2758"/>
      <c r="M118" s="2758"/>
      <c r="N118" s="2758"/>
      <c r="O118" s="2758"/>
      <c r="P118" s="2759"/>
    </row>
    <row r="119" spans="2:27" outlineLevel="1">
      <c r="G119" s="233"/>
    </row>
    <row r="120" spans="2:27" ht="24" customHeight="1" outlineLevel="1">
      <c r="B120" s="108"/>
      <c r="C120" s="108"/>
      <c r="D120" s="108"/>
      <c r="E120" s="2691" t="s">
        <v>448</v>
      </c>
      <c r="F120" s="2692"/>
      <c r="G120" s="2692"/>
      <c r="H120" s="2692"/>
      <c r="I120" s="2692"/>
      <c r="J120" s="2692"/>
      <c r="K120" s="2692"/>
      <c r="L120" s="2693"/>
      <c r="M120" s="1030" t="s">
        <v>440</v>
      </c>
      <c r="N120" s="1168"/>
      <c r="V120" s="233"/>
      <c r="W120" s="233"/>
      <c r="X120" s="233"/>
      <c r="Y120" s="233"/>
      <c r="Z120" s="233"/>
      <c r="AA120" s="233"/>
    </row>
    <row r="121" spans="2:27" ht="38.25" customHeight="1" outlineLevel="1">
      <c r="B121" s="2691" t="s">
        <v>438</v>
      </c>
      <c r="C121" s="2693"/>
      <c r="D121" s="110" t="s">
        <v>458</v>
      </c>
      <c r="E121" s="111" t="s">
        <v>853</v>
      </c>
      <c r="F121" s="111" t="s">
        <v>854</v>
      </c>
      <c r="G121" s="111" t="s">
        <v>855</v>
      </c>
      <c r="H121" s="111" t="s">
        <v>852</v>
      </c>
      <c r="I121" s="110" t="s">
        <v>513</v>
      </c>
      <c r="J121" s="111" t="s">
        <v>856</v>
      </c>
      <c r="K121" s="111" t="s">
        <v>891</v>
      </c>
      <c r="L121" s="112" t="s">
        <v>514</v>
      </c>
      <c r="M121" s="110" t="s">
        <v>857</v>
      </c>
      <c r="N121" s="233"/>
      <c r="V121" s="233"/>
      <c r="W121" s="233"/>
      <c r="X121" s="233"/>
      <c r="Y121" s="233"/>
      <c r="Z121" s="233"/>
      <c r="AA121" s="233"/>
    </row>
    <row r="122" spans="2:27" ht="12.75" customHeight="1" outlineLevel="1">
      <c r="B122" s="2680" t="s">
        <v>459</v>
      </c>
      <c r="C122" s="2681"/>
      <c r="D122" s="105">
        <v>1</v>
      </c>
      <c r="E122" s="802"/>
      <c r="F122" s="802"/>
      <c r="G122" s="802"/>
      <c r="H122" s="802"/>
      <c r="I122" s="802"/>
      <c r="J122" s="802"/>
      <c r="K122" s="802"/>
      <c r="L122" s="803"/>
      <c r="M122" s="804"/>
      <c r="N122" s="233"/>
      <c r="V122" s="233"/>
      <c r="W122" s="233"/>
      <c r="X122" s="233"/>
      <c r="Y122" s="233"/>
      <c r="Z122" s="233"/>
      <c r="AA122" s="233"/>
    </row>
    <row r="123" spans="2:27" ht="12.75" customHeight="1" outlineLevel="1">
      <c r="B123" s="2680" t="s">
        <v>460</v>
      </c>
      <c r="C123" s="2681"/>
      <c r="D123" s="105">
        <v>2</v>
      </c>
      <c r="E123" s="802"/>
      <c r="F123" s="802"/>
      <c r="G123" s="802"/>
      <c r="H123" s="802"/>
      <c r="I123" s="802"/>
      <c r="J123" s="802"/>
      <c r="K123" s="802"/>
      <c r="L123" s="803"/>
      <c r="M123" s="804"/>
      <c r="N123" s="233"/>
      <c r="V123" s="233"/>
      <c r="W123" s="233"/>
      <c r="X123" s="233"/>
      <c r="Y123" s="233"/>
      <c r="Z123" s="233"/>
      <c r="AA123" s="233"/>
    </row>
    <row r="124" spans="2:27" ht="12.75" customHeight="1" outlineLevel="1">
      <c r="B124" s="2680" t="s">
        <v>461</v>
      </c>
      <c r="C124" s="2681"/>
      <c r="D124" s="105">
        <v>3</v>
      </c>
      <c r="E124" s="802">
        <f>SUMIF($F$9:$F$88,Utilitaires!$E$572,R$9:R$88)+SUMIF($F$9:$F$88,Utilitaires!$E$577,R$9:R$88)</f>
        <v>0</v>
      </c>
      <c r="F124" s="802">
        <f>SUMIF($F$9:$F$88,Utilitaires!$E$572,S$9:S$88)+SUMIF($F$9:$F$88,Utilitaires!$E$577,S$9:S$88)</f>
        <v>0</v>
      </c>
      <c r="G124" s="802">
        <f>SUMIF($F$9:$F$88,Utilitaires!$E$572,T$9:T$88)+SUMIF($F$9:$F$88,Utilitaires!$E$577,T$9:T$88)</f>
        <v>0</v>
      </c>
      <c r="H124" s="802">
        <f>SUMIF($F$9:$F$88,Utilitaires!$E$572,U$9:U$88)+SUMIF($F$9:$F$88,Utilitaires!$E$577,U$9:U$88)</f>
        <v>0</v>
      </c>
      <c r="I124" s="802">
        <f>SUM(E124:H124,K124)</f>
        <v>0</v>
      </c>
      <c r="J124" s="802">
        <f>SUMIF($F$9:$F$88,Utilitaires!$E$572,W$9:W$88)+SUMIF($F$9:$F$88,Utilitaires!$E$577,W$9:W$88)</f>
        <v>0</v>
      </c>
      <c r="K124" s="802">
        <f>IF('Bilan GES'!E38="Oui",SUMIF($F$96:$F$100,Utilitaires!$E$572,U$96:U$100)+SUMIF($F$96:$F$100,Utilitaires!$E$577,U$96:U$100),0)</f>
        <v>0</v>
      </c>
      <c r="L124" s="803">
        <f>SQRT(SUMPRODUCT(($F$9:(IF('Bilan GES'!E38="Oui",F$100,F$88))=Utilitaires!$E$572)*1,O$9:(IF('Bilan GES'!E38="Oui",O$100,O$88)),O$9:(IF('Bilan GES'!E38="Oui",O$100,O$88)))+SUMPRODUCT(($F$9:(IF('Bilan GES'!E38="Oui",F$100,F$88))=Utilitaires!$E$577)*1,O$9:(IF('Bilan GES'!E38="Oui",O$100,O$88)),O$9:(IF('Bilan GES'!E38="Oui",O$100,O$88))))</f>
        <v>0</v>
      </c>
      <c r="M124" s="804"/>
      <c r="N124" s="233"/>
      <c r="V124" s="233"/>
      <c r="W124" s="233"/>
      <c r="X124" s="233"/>
      <c r="Y124" s="233"/>
      <c r="Z124" s="233"/>
      <c r="AA124" s="233"/>
    </row>
    <row r="125" spans="2:27" ht="12.75" customHeight="1" outlineLevel="1">
      <c r="B125" s="2680" t="s">
        <v>462</v>
      </c>
      <c r="C125" s="2681"/>
      <c r="D125" s="105">
        <v>4</v>
      </c>
      <c r="E125" s="802">
        <f>SUMIF($F$9:$F$88,Utilitaires!$E$573,R$9:R$88)+SUMIF($F$9:$F$88,Utilitaires!$E$578,R$9:R$88)</f>
        <v>0</v>
      </c>
      <c r="F125" s="802">
        <f>SUMIF($F$9:$F$88,Utilitaires!$E$573,S$9:S$88)+SUMIF($F$9:$F$88,Utilitaires!$E$578,S$9:S$88)</f>
        <v>0</v>
      </c>
      <c r="G125" s="802">
        <f>SUMIF($F$9:$F$88,Utilitaires!$E$573,T$9:T$88)+SUMIF($F$9:$F$88,Utilitaires!$E$578,T$9:T$88)</f>
        <v>0</v>
      </c>
      <c r="H125" s="802">
        <f>SUMIF($F$9:$F$88,Utilitaires!$E$573,U$9:U$88)+SUMIF($F$9:$F$88,Utilitaires!$E$578,U$9:U$88)</f>
        <v>0</v>
      </c>
      <c r="I125" s="802">
        <f>SUM(E125:H125,K125)</f>
        <v>0</v>
      </c>
      <c r="J125" s="802">
        <f>SUMIF($F$9:$F$88,Utilitaires!$E$573,W$9:W$88)+SUMIF($F$9:$F$88,Utilitaires!$E$578,W$9:W$88)</f>
        <v>0</v>
      </c>
      <c r="K125" s="802">
        <f>IF('Bilan GES'!E38="Oui",SUMIF($F$96:$F$100,Utilitaires!$E$573,U$96:U$100)+SUMIF($F$96:$F$100,Utilitaires!$E$578,U$96:U$100),0)</f>
        <v>0</v>
      </c>
      <c r="L125" s="803">
        <f>SQRT(SUMPRODUCT(($F$9:(IF('Bilan GES'!E38="Oui",F$100,F$88))=Utilitaires!$E$573)*1,O$9:(IF('Bilan GES'!E38="Oui",O$100,O$88)),O$9:(IF('Bilan GES'!E38="Oui",O$100,O$88)))+SUMPRODUCT(($F$9:(IF('Bilan GES'!E38="Oui",F$100,F$88))=Utilitaires!$E$578)*1,O$9:(IF('Bilan GES'!E38="Oui",O$100,O$88)),O$9:(IF('Bilan GES'!E38="Oui",O$100,O$88))))</f>
        <v>0</v>
      </c>
      <c r="M125" s="804"/>
      <c r="N125" s="233"/>
      <c r="V125" s="233"/>
      <c r="W125" s="233"/>
      <c r="X125" s="233"/>
      <c r="Y125" s="233"/>
      <c r="Z125" s="233"/>
      <c r="AA125" s="233"/>
    </row>
    <row r="126" spans="2:27" ht="12.75" customHeight="1" outlineLevel="1">
      <c r="B126" s="2680" t="s">
        <v>463</v>
      </c>
      <c r="C126" s="2681"/>
      <c r="D126" s="105">
        <v>5</v>
      </c>
      <c r="E126" s="802"/>
      <c r="F126" s="802"/>
      <c r="G126" s="802"/>
      <c r="H126" s="802"/>
      <c r="I126" s="802"/>
      <c r="J126" s="802"/>
      <c r="K126" s="802"/>
      <c r="L126" s="803"/>
      <c r="M126" s="804"/>
      <c r="N126" s="233"/>
      <c r="V126" s="233"/>
      <c r="W126" s="233"/>
      <c r="X126" s="233"/>
      <c r="Y126" s="233"/>
      <c r="Z126" s="233"/>
      <c r="AA126" s="233"/>
    </row>
    <row r="127" spans="2:27" ht="12.75" customHeight="1" outlineLevel="1">
      <c r="B127" s="2682"/>
      <c r="C127" s="2683"/>
      <c r="D127" s="102" t="s">
        <v>439</v>
      </c>
      <c r="E127" s="805">
        <f t="shared" ref="E127:M127" si="23">SUM(E122:E126)</f>
        <v>0</v>
      </c>
      <c r="F127" s="805">
        <f t="shared" si="23"/>
        <v>0</v>
      </c>
      <c r="G127" s="805">
        <f t="shared" si="23"/>
        <v>0</v>
      </c>
      <c r="H127" s="805">
        <f t="shared" si="23"/>
        <v>0</v>
      </c>
      <c r="I127" s="805">
        <f t="shared" si="23"/>
        <v>0</v>
      </c>
      <c r="J127" s="805">
        <f>SUM(J122:J126)</f>
        <v>0</v>
      </c>
      <c r="K127" s="807">
        <f>SUM(K122:K126)</f>
        <v>0</v>
      </c>
      <c r="L127" s="806">
        <f>SQRT(SUMSQ(L122:L126))</f>
        <v>0</v>
      </c>
      <c r="M127" s="807">
        <f t="shared" si="23"/>
        <v>0</v>
      </c>
      <c r="N127" s="233"/>
      <c r="V127" s="233"/>
      <c r="W127" s="233"/>
      <c r="X127" s="233"/>
      <c r="Y127" s="233"/>
      <c r="Z127" s="233"/>
      <c r="AA127" s="233"/>
    </row>
    <row r="128" spans="2:27" ht="12.75" customHeight="1" outlineLevel="1">
      <c r="B128" s="2684" t="s">
        <v>464</v>
      </c>
      <c r="C128" s="2685"/>
      <c r="D128" s="106">
        <v>6</v>
      </c>
      <c r="E128" s="808"/>
      <c r="F128" s="808"/>
      <c r="G128" s="808"/>
      <c r="H128" s="808"/>
      <c r="I128" s="808"/>
      <c r="J128" s="808"/>
      <c r="K128" s="808"/>
      <c r="L128" s="803"/>
      <c r="M128" s="809"/>
      <c r="N128" s="233"/>
      <c r="V128" s="233"/>
      <c r="W128" s="233"/>
      <c r="X128" s="233"/>
      <c r="Y128" s="233"/>
      <c r="Z128" s="233"/>
      <c r="AA128" s="233"/>
    </row>
    <row r="129" spans="2:27" ht="12.75" customHeight="1" outlineLevel="1">
      <c r="B129" s="2686" t="s">
        <v>465</v>
      </c>
      <c r="C129" s="2687"/>
      <c r="D129" s="106">
        <v>7</v>
      </c>
      <c r="E129" s="808"/>
      <c r="F129" s="808"/>
      <c r="G129" s="808"/>
      <c r="H129" s="808"/>
      <c r="I129" s="808"/>
      <c r="J129" s="808"/>
      <c r="K129" s="808"/>
      <c r="L129" s="803"/>
      <c r="M129" s="809"/>
      <c r="N129" s="233"/>
      <c r="V129" s="233"/>
      <c r="W129" s="233"/>
      <c r="X129" s="233"/>
      <c r="Y129" s="233"/>
      <c r="Z129" s="233"/>
      <c r="AA129" s="233"/>
    </row>
    <row r="130" spans="2:27" ht="12.75" customHeight="1" outlineLevel="1">
      <c r="B130" s="2696"/>
      <c r="C130" s="2697"/>
      <c r="D130" s="103" t="s">
        <v>439</v>
      </c>
      <c r="E130" s="810">
        <f t="shared" ref="E130:M130" si="24">SUM(E128:E129)</f>
        <v>0</v>
      </c>
      <c r="F130" s="810">
        <f t="shared" si="24"/>
        <v>0</v>
      </c>
      <c r="G130" s="810">
        <f t="shared" si="24"/>
        <v>0</v>
      </c>
      <c r="H130" s="810">
        <f t="shared" si="24"/>
        <v>0</v>
      </c>
      <c r="I130" s="810">
        <f t="shared" si="24"/>
        <v>0</v>
      </c>
      <c r="J130" s="810">
        <f t="shared" si="24"/>
        <v>0</v>
      </c>
      <c r="K130" s="810">
        <v>0</v>
      </c>
      <c r="L130" s="806">
        <f>SQRT(SUMSQ(L128:L129))</f>
        <v>0</v>
      </c>
      <c r="M130" s="811">
        <f t="shared" si="24"/>
        <v>0</v>
      </c>
      <c r="N130" s="233"/>
      <c r="V130" s="233"/>
      <c r="W130" s="233"/>
      <c r="X130" s="233"/>
      <c r="Y130" s="233"/>
      <c r="Z130" s="233"/>
      <c r="AA130" s="233"/>
    </row>
    <row r="131" spans="2:27" ht="12.75" customHeight="1" outlineLevel="1">
      <c r="B131" s="2694" t="s">
        <v>466</v>
      </c>
      <c r="C131" s="2695"/>
      <c r="D131" s="107">
        <v>8</v>
      </c>
      <c r="E131" s="812"/>
      <c r="F131" s="812"/>
      <c r="G131" s="812"/>
      <c r="H131" s="812"/>
      <c r="I131" s="812"/>
      <c r="J131" s="812"/>
      <c r="K131" s="812"/>
      <c r="L131" s="803"/>
      <c r="M131" s="812"/>
      <c r="N131" s="594"/>
      <c r="O131" s="594"/>
      <c r="P131" s="594"/>
      <c r="Q131" s="594"/>
      <c r="V131" s="233"/>
      <c r="W131" s="233"/>
      <c r="X131" s="233"/>
      <c r="Y131" s="233"/>
      <c r="Z131" s="233"/>
      <c r="AA131" s="233"/>
    </row>
    <row r="132" spans="2:27" ht="12.75" customHeight="1" outlineLevel="1">
      <c r="B132" s="2694" t="s">
        <v>467</v>
      </c>
      <c r="C132" s="2695"/>
      <c r="D132" s="107">
        <v>9</v>
      </c>
      <c r="E132" s="812"/>
      <c r="F132" s="812"/>
      <c r="G132" s="812"/>
      <c r="H132" s="812"/>
      <c r="I132" s="812"/>
      <c r="J132" s="812"/>
      <c r="K132" s="812"/>
      <c r="L132" s="803"/>
      <c r="M132" s="812"/>
      <c r="N132" s="594"/>
      <c r="O132" s="594"/>
      <c r="P132" s="594"/>
      <c r="Q132" s="594"/>
      <c r="V132" s="233"/>
      <c r="W132" s="233"/>
      <c r="X132" s="233"/>
      <c r="Y132" s="233"/>
      <c r="Z132" s="233"/>
      <c r="AA132" s="233"/>
    </row>
    <row r="133" spans="2:27" ht="12.75" customHeight="1" outlineLevel="1">
      <c r="B133" s="2694" t="s">
        <v>468</v>
      </c>
      <c r="C133" s="2695"/>
      <c r="D133" s="107">
        <v>10</v>
      </c>
      <c r="E133" s="812"/>
      <c r="F133" s="812"/>
      <c r="G133" s="812"/>
      <c r="H133" s="812"/>
      <c r="I133" s="812"/>
      <c r="J133" s="812"/>
      <c r="K133" s="812"/>
      <c r="L133" s="803"/>
      <c r="M133" s="812"/>
      <c r="N133" s="233"/>
      <c r="V133" s="233"/>
      <c r="W133" s="233"/>
      <c r="X133" s="233"/>
      <c r="Y133" s="233"/>
      <c r="Z133" s="233"/>
      <c r="AA133" s="233"/>
    </row>
    <row r="134" spans="2:27" ht="12.75" customHeight="1" outlineLevel="1">
      <c r="B134" s="2694" t="s">
        <v>386</v>
      </c>
      <c r="C134" s="2695"/>
      <c r="D134" s="107">
        <v>11</v>
      </c>
      <c r="E134" s="812"/>
      <c r="F134" s="812"/>
      <c r="G134" s="812"/>
      <c r="H134" s="812"/>
      <c r="I134" s="812"/>
      <c r="J134" s="812"/>
      <c r="K134" s="812"/>
      <c r="L134" s="803"/>
      <c r="M134" s="812"/>
      <c r="N134" s="233"/>
      <c r="V134" s="233"/>
      <c r="W134" s="233"/>
      <c r="X134" s="233"/>
      <c r="Y134" s="233"/>
      <c r="Z134" s="233"/>
      <c r="AA134" s="233"/>
    </row>
    <row r="135" spans="2:27" ht="12.75" customHeight="1" outlineLevel="1">
      <c r="B135" s="2694" t="s">
        <v>469</v>
      </c>
      <c r="C135" s="2695"/>
      <c r="D135" s="107">
        <v>12</v>
      </c>
      <c r="E135" s="812"/>
      <c r="F135" s="812"/>
      <c r="G135" s="812"/>
      <c r="H135" s="812"/>
      <c r="I135" s="812"/>
      <c r="J135" s="812"/>
      <c r="K135" s="812"/>
      <c r="L135" s="803"/>
      <c r="M135" s="812"/>
      <c r="N135" s="233"/>
      <c r="V135" s="233"/>
      <c r="W135" s="233"/>
      <c r="X135" s="233"/>
      <c r="Y135" s="233"/>
      <c r="Z135" s="233"/>
      <c r="AA135" s="233"/>
    </row>
    <row r="136" spans="2:27" ht="12.75" customHeight="1" outlineLevel="1">
      <c r="B136" s="2694" t="s">
        <v>470</v>
      </c>
      <c r="C136" s="2695"/>
      <c r="D136" s="107">
        <v>13</v>
      </c>
      <c r="E136" s="812"/>
      <c r="F136" s="812"/>
      <c r="G136" s="812"/>
      <c r="H136" s="812"/>
      <c r="I136" s="812"/>
      <c r="J136" s="812"/>
      <c r="K136" s="812"/>
      <c r="L136" s="803"/>
      <c r="M136" s="812"/>
      <c r="N136" s="233"/>
    </row>
    <row r="137" spans="2:27" ht="12.75" customHeight="1" outlineLevel="1">
      <c r="B137" s="2694" t="s">
        <v>471</v>
      </c>
      <c r="C137" s="2695"/>
      <c r="D137" s="107">
        <v>14</v>
      </c>
      <c r="E137" s="812">
        <f>SUMIF($F$9:$F$100,Utilitaires!$E$574,R$9:R$100)</f>
        <v>0</v>
      </c>
      <c r="F137" s="812">
        <f>SUMIF($F$9:$F$59,Utilitaires!$E$574,S$9:S$59)</f>
        <v>0</v>
      </c>
      <c r="G137" s="812">
        <f>SUMIF($F$9:$F$59,Utilitaires!$E$574,T$9:T$59)</f>
        <v>0</v>
      </c>
      <c r="H137" s="812">
        <f>SUMIF($F$9:$F$59,Utilitaires!$E$574,U$9:U$59)</f>
        <v>0</v>
      </c>
      <c r="I137" s="812">
        <f>SUM(E137:H137,K137)</f>
        <v>0</v>
      </c>
      <c r="J137" s="812">
        <f>SUMIF($F$9:$F$100,Utilitaires!$E$574,W$9:W$100)</f>
        <v>0</v>
      </c>
      <c r="K137" s="812">
        <f>IF('Bilan GES'!E38="Oui",SUMIF($F$96:$F$100,Utilitaires!$E$574,U$96:U$100),0)</f>
        <v>0</v>
      </c>
      <c r="L137" s="803">
        <f>SQRT(SUMPRODUCT(($F$9:(IF('Bilan GES'!E38="Oui",F$100,F$88))=Utilitaires!$E$574)*1,O$9:(IF('Bilan GES'!E38="Oui",O$100,O$88)),O$9:(IF('Bilan GES'!E38="Oui",O$100,O$88))))</f>
        <v>0</v>
      </c>
      <c r="M137" s="812"/>
      <c r="N137" s="233"/>
    </row>
    <row r="138" spans="2:27" ht="12.75" customHeight="1" outlineLevel="1">
      <c r="B138" s="2694" t="s">
        <v>472</v>
      </c>
      <c r="C138" s="2695"/>
      <c r="D138" s="107">
        <v>15</v>
      </c>
      <c r="E138" s="812"/>
      <c r="F138" s="812"/>
      <c r="G138" s="812"/>
      <c r="H138" s="812"/>
      <c r="I138" s="812"/>
      <c r="J138" s="812"/>
      <c r="K138" s="812"/>
      <c r="L138" s="803"/>
      <c r="M138" s="812"/>
      <c r="N138" s="233"/>
    </row>
    <row r="139" spans="2:27" ht="12.75" customHeight="1" outlineLevel="1">
      <c r="B139" s="2694" t="s">
        <v>473</v>
      </c>
      <c r="C139" s="2695"/>
      <c r="D139" s="107">
        <v>16</v>
      </c>
      <c r="E139" s="812"/>
      <c r="F139" s="812"/>
      <c r="G139" s="812"/>
      <c r="H139" s="812"/>
      <c r="I139" s="812"/>
      <c r="J139" s="812"/>
      <c r="K139" s="812"/>
      <c r="L139" s="803"/>
      <c r="M139" s="812"/>
      <c r="N139" s="233"/>
    </row>
    <row r="140" spans="2:27" ht="12.75" customHeight="1" outlineLevel="1">
      <c r="B140" s="2694" t="s">
        <v>474</v>
      </c>
      <c r="C140" s="2695"/>
      <c r="D140" s="107">
        <v>17</v>
      </c>
      <c r="E140" s="812"/>
      <c r="F140" s="812"/>
      <c r="G140" s="812"/>
      <c r="H140" s="812"/>
      <c r="I140" s="812"/>
      <c r="J140" s="812"/>
      <c r="K140" s="812"/>
      <c r="L140" s="803"/>
      <c r="M140" s="812"/>
      <c r="N140" s="233"/>
    </row>
    <row r="141" spans="2:27" ht="12.75" customHeight="1" outlineLevel="1">
      <c r="B141" s="2694" t="s">
        <v>475</v>
      </c>
      <c r="C141" s="2695"/>
      <c r="D141" s="107">
        <v>18</v>
      </c>
      <c r="E141" s="812"/>
      <c r="F141" s="812"/>
      <c r="G141" s="812"/>
      <c r="H141" s="812"/>
      <c r="I141" s="812"/>
      <c r="J141" s="812"/>
      <c r="K141" s="812"/>
      <c r="L141" s="803"/>
      <c r="M141" s="812"/>
      <c r="N141" s="233"/>
    </row>
    <row r="142" spans="2:27" ht="12.75" customHeight="1" outlineLevel="1">
      <c r="B142" s="2694" t="s">
        <v>476</v>
      </c>
      <c r="C142" s="2695"/>
      <c r="D142" s="107">
        <v>19</v>
      </c>
      <c r="E142" s="812">
        <v>0</v>
      </c>
      <c r="F142" s="812"/>
      <c r="G142" s="812"/>
      <c r="H142" s="812"/>
      <c r="I142" s="812"/>
      <c r="J142" s="812"/>
      <c r="K142" s="812"/>
      <c r="L142" s="803"/>
      <c r="M142" s="812"/>
      <c r="N142" s="233"/>
    </row>
    <row r="143" spans="2:27" ht="12.75" customHeight="1" outlineLevel="1">
      <c r="B143" s="2694" t="s">
        <v>477</v>
      </c>
      <c r="C143" s="2695"/>
      <c r="D143" s="107">
        <v>20</v>
      </c>
      <c r="E143" s="812"/>
      <c r="F143" s="812"/>
      <c r="G143" s="812"/>
      <c r="H143" s="812"/>
      <c r="I143" s="812"/>
      <c r="J143" s="812"/>
      <c r="K143" s="812"/>
      <c r="L143" s="803"/>
      <c r="M143" s="812"/>
      <c r="N143" s="233"/>
    </row>
    <row r="144" spans="2:27" ht="12.75" customHeight="1" outlineLevel="1">
      <c r="B144" s="2694" t="s">
        <v>478</v>
      </c>
      <c r="C144" s="2695"/>
      <c r="D144" s="107">
        <v>21</v>
      </c>
      <c r="E144" s="812"/>
      <c r="F144" s="812"/>
      <c r="G144" s="812"/>
      <c r="H144" s="812"/>
      <c r="I144" s="812"/>
      <c r="J144" s="812"/>
      <c r="K144" s="812"/>
      <c r="L144" s="803"/>
      <c r="M144" s="812"/>
      <c r="N144" s="233"/>
    </row>
    <row r="145" spans="2:27" ht="12.75" customHeight="1" outlineLevel="1">
      <c r="B145" s="2694" t="s">
        <v>479</v>
      </c>
      <c r="C145" s="2695"/>
      <c r="D145" s="107">
        <v>22</v>
      </c>
      <c r="E145" s="812"/>
      <c r="F145" s="812"/>
      <c r="G145" s="812"/>
      <c r="H145" s="812"/>
      <c r="I145" s="812"/>
      <c r="J145" s="812"/>
      <c r="K145" s="812"/>
      <c r="L145" s="803"/>
      <c r="M145" s="812"/>
      <c r="N145" s="233"/>
    </row>
    <row r="146" spans="2:27" ht="12.75" customHeight="1" outlineLevel="1">
      <c r="B146" s="2694" t="s">
        <v>449</v>
      </c>
      <c r="C146" s="2695"/>
      <c r="D146" s="107">
        <v>23</v>
      </c>
      <c r="E146" s="812">
        <f>SUMIF($F$9:$F$100,Utilitaires!$E$575,R$9:R$100)+SUMIF($F$9:$F$100,Utilitaires!$E$579,R$9:R$100)</f>
        <v>0</v>
      </c>
      <c r="F146" s="812">
        <f>SUMIF($F$9:$F$100,Utilitaires!$E$575,S$9:S$100)+SUMIF($F$9:$F$100,Utilitaires!$E$579,S$9:S$100)</f>
        <v>0</v>
      </c>
      <c r="G146" s="812">
        <f>SUMIF($F$9:$F$100,Utilitaires!$E$575,T$9:T$100)+SUMIF($F$9:$F$100,Utilitaires!$E$579,T$9:T$100)</f>
        <v>0</v>
      </c>
      <c r="H146" s="812">
        <f>SUMIF($F$9:$F$100,Utilitaires!$E$575,U$9:U$100)+SUMIF($F$9:$F$100,Utilitaires!$E$579,U$9:U$100)</f>
        <v>0</v>
      </c>
      <c r="I146" s="812">
        <f>SUM(E146:H146,K146)</f>
        <v>0</v>
      </c>
      <c r="J146" s="812">
        <f>SUMIF($F$9:$F$100,Utilitaires!$E$575,W$9:W$100)+SUMIF($F$9:$F$100,Utilitaires!$E$579,W$9:W$100)</f>
        <v>0</v>
      </c>
      <c r="K146" s="812">
        <f>IF('Bilan GES'!E38="Oui",SUMIF($F$96:$F$100,Utilitaires!$E$575,U$96:U$100)+SUMIF($F$96:$F$100,Utilitaires!$E$579,U$96:U$100),0)</f>
        <v>0</v>
      </c>
      <c r="L146" s="803">
        <f>SQRT(SUMPRODUCT(($F$9:(IF('Bilan GES'!E38="Oui",F$100,F$88))=Utilitaires!$E$575)*1,O$9:(IF('Bilan GES'!E38="Oui",O$100,O$88)),O$9:(IF('Bilan GES'!E38="Oui",O$100,O$88)))+SUMPRODUCT(($F$9:(IF('Bilan GES'!E38="Oui",F$100,F$88))=Utilitaires!$E$579)*1,O$9:(IF('Bilan GES'!E38="Oui",O$100,O$88)),O$9:(IF('Bilan GES'!E38="Oui",O$100,O$88))))</f>
        <v>0</v>
      </c>
      <c r="M146" s="812"/>
      <c r="N146" s="233"/>
    </row>
    <row r="147" spans="2:27" ht="12.75" customHeight="1" outlineLevel="1">
      <c r="B147" s="2706"/>
      <c r="C147" s="2707"/>
      <c r="D147" s="104" t="s">
        <v>439</v>
      </c>
      <c r="E147" s="813">
        <f t="shared" ref="E147:J147" si="25">SUM(E131:E146)</f>
        <v>0</v>
      </c>
      <c r="F147" s="813">
        <f t="shared" si="25"/>
        <v>0</v>
      </c>
      <c r="G147" s="813">
        <f t="shared" si="25"/>
        <v>0</v>
      </c>
      <c r="H147" s="813">
        <f t="shared" si="25"/>
        <v>0</v>
      </c>
      <c r="I147" s="813">
        <f t="shared" si="25"/>
        <v>0</v>
      </c>
      <c r="J147" s="813">
        <f t="shared" si="25"/>
        <v>0</v>
      </c>
      <c r="K147" s="813">
        <f>SUM(K131:K146)</f>
        <v>0</v>
      </c>
      <c r="L147" s="806">
        <f>SQRT(SUMSQ(L131:L146))</f>
        <v>0</v>
      </c>
      <c r="M147" s="813">
        <f>SUM(M131:M146)</f>
        <v>0</v>
      </c>
      <c r="N147" s="233"/>
    </row>
    <row r="148" spans="2:27" outlineLevel="1"/>
    <row r="149" spans="2:27" s="91" customFormat="1" ht="13.2" collapsed="1">
      <c r="G149" s="1894"/>
      <c r="M149" s="9"/>
      <c r="N149" s="9"/>
      <c r="Q149" s="9"/>
      <c r="V149" s="595"/>
      <c r="W149" s="595"/>
      <c r="X149" s="595"/>
      <c r="Y149" s="595"/>
      <c r="Z149" s="595"/>
      <c r="AA149" s="595"/>
    </row>
    <row r="150" spans="2:27" s="113" customFormat="1" ht="15.6" collapsed="1">
      <c r="B150" s="2698" t="s">
        <v>721</v>
      </c>
      <c r="C150" s="2699"/>
      <c r="D150" s="2699"/>
      <c r="E150" s="2699"/>
      <c r="F150" s="2699"/>
      <c r="G150" s="2699"/>
      <c r="H150" s="2699"/>
      <c r="I150" s="2699"/>
      <c r="J150" s="2699"/>
      <c r="K150" s="2699"/>
      <c r="L150" s="2699"/>
      <c r="M150" s="2699"/>
      <c r="N150" s="2699"/>
      <c r="O150" s="2699"/>
      <c r="P150" s="2700"/>
      <c r="X150" s="817"/>
    </row>
    <row r="151" spans="2:27" s="113" customFormat="1" hidden="1" outlineLevel="1">
      <c r="X151" s="817"/>
    </row>
    <row r="152" spans="2:27" s="113" customFormat="1" ht="38.25" hidden="1" customHeight="1" outlineLevel="1">
      <c r="B152" s="205"/>
      <c r="C152" s="205"/>
      <c r="D152" s="205"/>
      <c r="E152" s="2701" t="s">
        <v>448</v>
      </c>
      <c r="F152" s="2702"/>
      <c r="G152" s="2702"/>
      <c r="H152" s="2702"/>
      <c r="I152" s="2702"/>
      <c r="J152" s="2702"/>
      <c r="K152" s="2702"/>
      <c r="L152" s="2702"/>
      <c r="M152" s="2702"/>
      <c r="N152" s="2703"/>
      <c r="O152" s="1895" t="s">
        <v>440</v>
      </c>
      <c r="X152" s="817"/>
    </row>
    <row r="153" spans="2:27" s="113" customFormat="1" ht="25.5" hidden="1" customHeight="1" outlineLevel="1">
      <c r="B153" s="2701" t="s">
        <v>438</v>
      </c>
      <c r="C153" s="2703"/>
      <c r="D153" s="867" t="s">
        <v>458</v>
      </c>
      <c r="E153" s="866" t="s">
        <v>853</v>
      </c>
      <c r="F153" s="866" t="s">
        <v>854</v>
      </c>
      <c r="G153" s="866" t="s">
        <v>855</v>
      </c>
      <c r="H153" s="866" t="s">
        <v>858</v>
      </c>
      <c r="I153" s="866" t="s">
        <v>859</v>
      </c>
      <c r="J153" s="866" t="s">
        <v>860</v>
      </c>
      <c r="K153" s="866" t="s">
        <v>852</v>
      </c>
      <c r="L153" s="867" t="s">
        <v>513</v>
      </c>
      <c r="M153" s="866" t="s">
        <v>856</v>
      </c>
      <c r="N153" s="866" t="s">
        <v>514</v>
      </c>
      <c r="O153" s="867" t="s">
        <v>513</v>
      </c>
      <c r="AA153" s="817"/>
    </row>
    <row r="154" spans="2:27" s="113" customFormat="1" ht="12.75" hidden="1" customHeight="1" outlineLevel="1">
      <c r="B154" s="2704" t="s">
        <v>459</v>
      </c>
      <c r="C154" s="2705"/>
      <c r="D154" s="861" t="s">
        <v>727</v>
      </c>
      <c r="E154" s="855"/>
      <c r="F154" s="855"/>
      <c r="G154" s="855"/>
      <c r="H154" s="855"/>
      <c r="I154" s="855"/>
      <c r="J154" s="855"/>
      <c r="K154" s="855"/>
      <c r="L154" s="864"/>
      <c r="M154" s="853"/>
      <c r="N154" s="858"/>
      <c r="O154" s="857"/>
      <c r="AA154" s="817"/>
    </row>
    <row r="155" spans="2:27" s="113" customFormat="1" ht="12.75" hidden="1" customHeight="1" outlineLevel="1">
      <c r="B155" s="2704" t="s">
        <v>722</v>
      </c>
      <c r="C155" s="2705"/>
      <c r="D155" s="862" t="s">
        <v>728</v>
      </c>
      <c r="E155" s="855"/>
      <c r="F155" s="855"/>
      <c r="G155" s="855"/>
      <c r="H155" s="855"/>
      <c r="I155" s="855"/>
      <c r="J155" s="855"/>
      <c r="K155" s="855"/>
      <c r="L155" s="864"/>
      <c r="M155" s="853"/>
      <c r="N155" s="858"/>
      <c r="O155" s="857"/>
      <c r="AA155" s="817"/>
    </row>
    <row r="156" spans="2:27" s="113" customFormat="1" ht="12.75" hidden="1" customHeight="1" outlineLevel="1">
      <c r="B156" s="2704" t="s">
        <v>723</v>
      </c>
      <c r="C156" s="2705"/>
      <c r="D156" s="862" t="s">
        <v>729</v>
      </c>
      <c r="E156" s="855">
        <f>SUMIF($F$9:$F$100,Utilitaires!$E$572,R$9:R$100)+SUMIF($F$9:$F$100,Utilitaires!$E$577,R$9:R$100)</f>
        <v>0</v>
      </c>
      <c r="F156" s="855">
        <f>SUMIF($F$9:$F$100,Utilitaires!$E$572,S$9:S$100)+SUMIF($F$9:$F$100,Utilitaires!$E$577,S$9:S$100)</f>
        <v>0</v>
      </c>
      <c r="G156" s="855">
        <f>SUMIF($F$9:$F$100,Utilitaires!$E$572,T$9:T$100)+SUMIF($F$9:$F$100,Utilitaires!$E$577,T$9:T$100)</f>
        <v>0</v>
      </c>
      <c r="H156" s="855">
        <f>SUMPRODUCT(($F$55:$F$58=Utilitaires!$E$572)*(LEFT($B$55:$B$58,3)&lt;&gt;"Per")*(LEFT($B$55:$B$58,3)&lt;&gt;"SF6")*(U$55:U$58))+SUMPRODUCT(($F$55:$F$58=Utilitaires!$E$577)*(LEFT($B$55:$B$58,3)&lt;&gt;"Per")*(LEFT($B$55:$B$58,3)&lt;&gt;"SF6")*(U$55:U$58))</f>
        <v>0</v>
      </c>
      <c r="I156" s="855">
        <f>SUMPRODUCT(($F$55:$F$58=Utilitaires!$E$572)*(LEFT($B$55:$B$58,3)="Per")*(U$55:U$58))+SUMPRODUCT(($F$55:$F$58=Utilitaires!$E$577)*(LEFT($B$55:$B$58,3)="Per")*(U$55:U$58))</f>
        <v>0</v>
      </c>
      <c r="J156" s="855">
        <f>SUMPRODUCT(($F$55:$F$58=Utilitaires!$E$572)*(LEFT($B$55:$B$58,3)="SF6")*(U$55:U$58))+SUMPRODUCT(($F$55:$F$58=Utilitaires!$E$577)*(LEFT($B$55:$B$58,3)="SF6")*(U$55:U$58))</f>
        <v>0</v>
      </c>
      <c r="K156" s="855">
        <f>SUMIF($F$92:$F$100,Utilitaires!$E$572,U$92:U$100)+SUMIF($F$92:$F$100,Utilitaires!$E$577,U$92:U$100)</f>
        <v>0</v>
      </c>
      <c r="L156" s="864">
        <f>SUM(E156:K156)</f>
        <v>0</v>
      </c>
      <c r="M156" s="853">
        <f>SUMIF($F$9:$F$100,Utilitaires!$E$572,W$9:W$100)+SUMIF($F$9:$F$100,Utilitaires!$E$577,W$9:W$100)</f>
        <v>0</v>
      </c>
      <c r="N156" s="858">
        <f>SQRT(SUMPRODUCT(($F$9:$F$100=Utilitaires!$E$572)*1,O$9:O$100,O$9:O$100)+SUMPRODUCT(($F$9:$F$100=Utilitaires!$E$577)*1,O$9:O$100,O$9:O$100))</f>
        <v>0</v>
      </c>
      <c r="O156" s="857"/>
      <c r="AA156" s="817"/>
    </row>
    <row r="157" spans="2:27" s="113" customFormat="1" ht="12.75" hidden="1" customHeight="1" outlineLevel="1">
      <c r="B157" s="2704" t="s">
        <v>462</v>
      </c>
      <c r="C157" s="2705"/>
      <c r="D157" s="862" t="s">
        <v>730</v>
      </c>
      <c r="E157" s="855">
        <f>SUMIF($F$9:$F$100,Utilitaires!$E$573,R$9:R$100)+SUMIF($F$9:$F$100,Utilitaires!$E$578,R$9:R$100)</f>
        <v>0</v>
      </c>
      <c r="F157" s="855">
        <f>SUMIF($F$9:$F$100,Utilitaires!$E$573,S$9:S$100)+SUMIF($F$9:$F$100,Utilitaires!$E$578,S$9:S$100)</f>
        <v>0</v>
      </c>
      <c r="G157" s="855">
        <f>SUMIF($F$9:$F$100,Utilitaires!$E$573,T$9:T$100)+SUMIF($F$9:$F$100,Utilitaires!$E$578,T$9:T$100)</f>
        <v>0</v>
      </c>
      <c r="H157" s="855">
        <f>SUMPRODUCT(($F$55:$F$58=Utilitaires!$E$573)*(LEFT($B$55:$B$58,3)&lt;&gt;"Per")*(LEFT($B$55:$B$58,3)&lt;&gt;"SF6")*(U$55:U$58))+SUMPRODUCT(($F$55:$F$58=Utilitaires!$E$578)*(LEFT($B$55:$B$58,3)&lt;&gt;"Per")*(LEFT($B$55:$B$58,3)&lt;&gt;"SF6")*(U$55:U$58))</f>
        <v>0</v>
      </c>
      <c r="I157" s="855">
        <f>SUMPRODUCT(($F$55:$F$58=Utilitaires!$E$573)*(LEFT($B$55:$B$58,3)="Per")*(U$55:U$58))+SUMPRODUCT(($F$55:$F$58=Utilitaires!$E$578)*(LEFT($B$55:$B$58,3)="Per")*(U$55:U$58))</f>
        <v>0</v>
      </c>
      <c r="J157" s="855">
        <f>SUMPRODUCT(($F$55:$F$58=Utilitaires!$E$573)*(LEFT($B$55:$B$58,3)="SF6")*(U$55:U$58))+SUMPRODUCT(($F$55:$F$58=Utilitaires!$E$578)*(LEFT($B$55:$B$58,3)="SF6")*(U$55:U$58))</f>
        <v>0</v>
      </c>
      <c r="K157" s="855">
        <f>SUMIF($F$92:$F$100,Utilitaires!$E$573,U$92:U$100)+SUMIF($F$92:$F$100,Utilitaires!$E$578,U$92:U$100)</f>
        <v>0</v>
      </c>
      <c r="L157" s="864">
        <f>SUM(E157:K157)</f>
        <v>0</v>
      </c>
      <c r="M157" s="853">
        <f>SUMIF($F$9:$F$100,Utilitaires!$E$573,W$9:W$100)+SUMIF($F$9:$F$100,Utilitaires!$E$578,W$9:W$100)</f>
        <v>0</v>
      </c>
      <c r="N157" s="858">
        <f>SQRT(SUMPRODUCT(($F$9:$F$100=Utilitaires!$E$573)*1,O$9:O$100,O$9:O$100)+SUMPRODUCT(($F$9:$F$100=Utilitaires!$E$578)*1,O$9:O$100,O$9:O$100))</f>
        <v>0</v>
      </c>
      <c r="O157" s="857"/>
      <c r="AA157" s="817"/>
    </row>
    <row r="158" spans="2:27" s="113" customFormat="1" ht="12.75" hidden="1" customHeight="1" outlineLevel="1">
      <c r="B158" s="2710" t="s">
        <v>726</v>
      </c>
      <c r="C158" s="2711"/>
      <c r="D158" s="2712"/>
      <c r="E158" s="852">
        <f t="shared" ref="E158:M158" si="26">SUM(E154:E157)</f>
        <v>0</v>
      </c>
      <c r="F158" s="852">
        <f t="shared" si="26"/>
        <v>0</v>
      </c>
      <c r="G158" s="852">
        <f t="shared" si="26"/>
        <v>0</v>
      </c>
      <c r="H158" s="852">
        <f t="shared" si="26"/>
        <v>0</v>
      </c>
      <c r="I158" s="852">
        <f t="shared" si="26"/>
        <v>0</v>
      </c>
      <c r="J158" s="852">
        <f t="shared" si="26"/>
        <v>0</v>
      </c>
      <c r="K158" s="852">
        <f t="shared" si="26"/>
        <v>0</v>
      </c>
      <c r="L158" s="852">
        <f t="shared" si="26"/>
        <v>0</v>
      </c>
      <c r="M158" s="863">
        <f t="shared" si="26"/>
        <v>0</v>
      </c>
      <c r="N158" s="859">
        <f>SQRT(SUMSQ(N154:N157))</f>
        <v>0</v>
      </c>
      <c r="O158" s="860">
        <f>SUM(O154:O157)</f>
        <v>0</v>
      </c>
      <c r="AA158" s="817"/>
    </row>
    <row r="159" spans="2:27" s="113" customFormat="1" ht="12.75" hidden="1" customHeight="1" outlineLevel="1">
      <c r="B159" s="2704" t="s">
        <v>464</v>
      </c>
      <c r="C159" s="2705"/>
      <c r="D159" s="862" t="s">
        <v>731</v>
      </c>
      <c r="E159" s="855"/>
      <c r="F159" s="855"/>
      <c r="G159" s="855"/>
      <c r="H159" s="855"/>
      <c r="I159" s="855"/>
      <c r="J159" s="855"/>
      <c r="K159" s="855"/>
      <c r="L159" s="864"/>
      <c r="M159" s="853"/>
      <c r="N159" s="858"/>
      <c r="O159" s="856"/>
      <c r="AA159" s="817"/>
    </row>
    <row r="160" spans="2:27" s="113" customFormat="1" ht="12.75" hidden="1" customHeight="1" outlineLevel="1">
      <c r="B160" s="2708" t="s">
        <v>465</v>
      </c>
      <c r="C160" s="2709"/>
      <c r="D160" s="862" t="s">
        <v>732</v>
      </c>
      <c r="E160" s="855"/>
      <c r="F160" s="855"/>
      <c r="G160" s="855"/>
      <c r="H160" s="855"/>
      <c r="I160" s="855"/>
      <c r="J160" s="855"/>
      <c r="K160" s="855"/>
      <c r="L160" s="864"/>
      <c r="M160" s="853"/>
      <c r="N160" s="858"/>
      <c r="O160" s="856"/>
      <c r="AA160" s="817"/>
    </row>
    <row r="161" spans="2:27" s="113" customFormat="1" ht="12.75" hidden="1" customHeight="1" outlineLevel="1">
      <c r="B161" s="2710" t="s">
        <v>725</v>
      </c>
      <c r="C161" s="2711"/>
      <c r="D161" s="2712"/>
      <c r="E161" s="852">
        <f t="shared" ref="E161:L161" si="27">SUM(E159:E160)</f>
        <v>0</v>
      </c>
      <c r="F161" s="852">
        <f t="shared" si="27"/>
        <v>0</v>
      </c>
      <c r="G161" s="852">
        <f t="shared" si="27"/>
        <v>0</v>
      </c>
      <c r="H161" s="852">
        <f t="shared" si="27"/>
        <v>0</v>
      </c>
      <c r="I161" s="852">
        <f t="shared" si="27"/>
        <v>0</v>
      </c>
      <c r="J161" s="852">
        <f t="shared" si="27"/>
        <v>0</v>
      </c>
      <c r="K161" s="852">
        <f t="shared" si="27"/>
        <v>0</v>
      </c>
      <c r="L161" s="852">
        <f t="shared" si="27"/>
        <v>0</v>
      </c>
      <c r="M161" s="863">
        <f>SUM(M159:M160)</f>
        <v>0</v>
      </c>
      <c r="N161" s="859">
        <f>SQRT(SUMSQ(N159:N160))</f>
        <v>0</v>
      </c>
      <c r="O161" s="860">
        <f>SUM(O159:O160)</f>
        <v>0</v>
      </c>
      <c r="AA161" s="817"/>
    </row>
    <row r="162" spans="2:27" s="113" customFormat="1" ht="12.75" hidden="1" customHeight="1" outlineLevel="1">
      <c r="B162" s="2713" t="s">
        <v>757</v>
      </c>
      <c r="C162" s="2714"/>
      <c r="D162" s="2714"/>
      <c r="E162" s="2714"/>
      <c r="F162" s="2714"/>
      <c r="G162" s="2714"/>
      <c r="H162" s="2714"/>
      <c r="I162" s="2714"/>
      <c r="J162" s="2714"/>
      <c r="K162" s="2714"/>
      <c r="L162" s="2714"/>
      <c r="M162" s="2714"/>
      <c r="N162" s="2714"/>
      <c r="O162" s="2715"/>
      <c r="AA162" s="817"/>
    </row>
    <row r="163" spans="2:27" s="113" customFormat="1" ht="12.75" hidden="1" customHeight="1" outlineLevel="1">
      <c r="B163" s="2704" t="s">
        <v>733</v>
      </c>
      <c r="C163" s="2705"/>
      <c r="D163" s="862" t="s">
        <v>741</v>
      </c>
      <c r="E163" s="855"/>
      <c r="F163" s="855"/>
      <c r="G163" s="855"/>
      <c r="H163" s="855"/>
      <c r="I163" s="855"/>
      <c r="J163" s="855"/>
      <c r="K163" s="855"/>
      <c r="L163" s="864"/>
      <c r="M163" s="853"/>
      <c r="N163" s="858"/>
      <c r="O163" s="856"/>
      <c r="AA163" s="817"/>
    </row>
    <row r="164" spans="2:27" s="113" customFormat="1" ht="12.75" hidden="1" customHeight="1" outlineLevel="1">
      <c r="B164" s="2704" t="s">
        <v>734</v>
      </c>
      <c r="C164" s="2705"/>
      <c r="D164" s="862" t="s">
        <v>742</v>
      </c>
      <c r="E164" s="855"/>
      <c r="F164" s="855"/>
      <c r="G164" s="855"/>
      <c r="H164" s="855"/>
      <c r="I164" s="855"/>
      <c r="J164" s="855"/>
      <c r="K164" s="855"/>
      <c r="L164" s="864"/>
      <c r="M164" s="853"/>
      <c r="N164" s="858"/>
      <c r="O164" s="856"/>
      <c r="AA164" s="817"/>
    </row>
    <row r="165" spans="2:27" s="113" customFormat="1" ht="12.75" hidden="1" customHeight="1" outlineLevel="1">
      <c r="B165" s="2708" t="s">
        <v>735</v>
      </c>
      <c r="C165" s="2709"/>
      <c r="D165" s="862" t="s">
        <v>743</v>
      </c>
      <c r="E165" s="855"/>
      <c r="F165" s="855"/>
      <c r="G165" s="855"/>
      <c r="H165" s="855"/>
      <c r="I165" s="855"/>
      <c r="J165" s="855"/>
      <c r="K165" s="855"/>
      <c r="L165" s="864"/>
      <c r="M165" s="853"/>
      <c r="N165" s="858"/>
      <c r="O165" s="856"/>
      <c r="AA165" s="817"/>
    </row>
    <row r="166" spans="2:27" s="113" customFormat="1" ht="12.75" hidden="1" customHeight="1" outlineLevel="1">
      <c r="B166" s="2704" t="s">
        <v>815</v>
      </c>
      <c r="C166" s="2705"/>
      <c r="D166" s="862" t="s">
        <v>744</v>
      </c>
      <c r="E166" s="855"/>
      <c r="F166" s="855"/>
      <c r="G166" s="855"/>
      <c r="H166" s="855"/>
      <c r="I166" s="855"/>
      <c r="J166" s="855"/>
      <c r="K166" s="855"/>
      <c r="L166" s="864"/>
      <c r="M166" s="853"/>
      <c r="N166" s="858"/>
      <c r="O166" s="856"/>
      <c r="AA166" s="817"/>
    </row>
    <row r="167" spans="2:27" s="113" customFormat="1" ht="12.75" hidden="1" customHeight="1" outlineLevel="1">
      <c r="B167" s="2704" t="s">
        <v>736</v>
      </c>
      <c r="C167" s="2705"/>
      <c r="D167" s="862" t="s">
        <v>745</v>
      </c>
      <c r="E167" s="855"/>
      <c r="F167" s="855"/>
      <c r="G167" s="855"/>
      <c r="H167" s="855"/>
      <c r="I167" s="855"/>
      <c r="J167" s="855"/>
      <c r="K167" s="855"/>
      <c r="L167" s="864"/>
      <c r="M167" s="853"/>
      <c r="N167" s="858"/>
      <c r="O167" s="856"/>
      <c r="AA167" s="817"/>
    </row>
    <row r="168" spans="2:27" s="113" customFormat="1" ht="12.75" hidden="1" customHeight="1" outlineLevel="1">
      <c r="B168" s="2704" t="s">
        <v>470</v>
      </c>
      <c r="C168" s="2705"/>
      <c r="D168" s="862" t="s">
        <v>746</v>
      </c>
      <c r="E168" s="855"/>
      <c r="F168" s="855"/>
      <c r="G168" s="855"/>
      <c r="H168" s="855"/>
      <c r="I168" s="855"/>
      <c r="J168" s="855"/>
      <c r="K168" s="855"/>
      <c r="L168" s="864"/>
      <c r="M168" s="853"/>
      <c r="N168" s="858"/>
      <c r="O168" s="856"/>
      <c r="AA168" s="817"/>
    </row>
    <row r="169" spans="2:27" s="113" customFormat="1" ht="12.75" hidden="1" customHeight="1" outlineLevel="1">
      <c r="B169" s="2704" t="s">
        <v>479</v>
      </c>
      <c r="C169" s="2705"/>
      <c r="D169" s="862" t="s">
        <v>747</v>
      </c>
      <c r="E169" s="855"/>
      <c r="F169" s="855"/>
      <c r="G169" s="855"/>
      <c r="H169" s="855"/>
      <c r="I169" s="855"/>
      <c r="J169" s="855"/>
      <c r="K169" s="855"/>
      <c r="L169" s="864"/>
      <c r="M169" s="853"/>
      <c r="N169" s="858"/>
      <c r="O169" s="856"/>
      <c r="AA169" s="817"/>
    </row>
    <row r="170" spans="2:27" s="113" customFormat="1" ht="12.75" hidden="1" customHeight="1" outlineLevel="1">
      <c r="B170" s="2704" t="s">
        <v>471</v>
      </c>
      <c r="C170" s="2705"/>
      <c r="D170" s="862" t="s">
        <v>748</v>
      </c>
      <c r="E170" s="855">
        <f>SUMIF($F$9:$F$100,Utilitaires!$E$574,R$9:R$100)</f>
        <v>0</v>
      </c>
      <c r="F170" s="855">
        <f>SUMIF($F$9:$F$100,Utilitaires!$E$574,S$9:S$100)</f>
        <v>0</v>
      </c>
      <c r="G170" s="855">
        <f>SUMIF($F$9:$F$100,Utilitaires!$E$574,T$9:T$100)</f>
        <v>0</v>
      </c>
      <c r="H170" s="855">
        <f>SUMPRODUCT(($F$55:$F$58=Utilitaires!$E$574)*(LEFT($B$55:$B$58,3)&lt;&gt;"Per")*(LEFT($B$55:$B$58,3)&lt;&gt;"SF6")*(U$55:U$58))</f>
        <v>0</v>
      </c>
      <c r="I170" s="855">
        <f>SUMPRODUCT(($F$55:$F$58=Utilitaires!$E$574)*(LEFT($B$55:$B$58,3)="Per")*(U$55:U$58))</f>
        <v>0</v>
      </c>
      <c r="J170" s="855">
        <f>SUMPRODUCT(($F$55:$F$58=Utilitaires!$E$574)*(LEFT($B$55:$B$58,3)="SF6")*(U$55:U$58))</f>
        <v>0</v>
      </c>
      <c r="K170" s="855">
        <f>SUMIF($F$92:$F$100,Utilitaires!$E$574,U$92:U$100)</f>
        <v>0</v>
      </c>
      <c r="L170" s="864">
        <f>SUM(E170:K170)</f>
        <v>0</v>
      </c>
      <c r="M170" s="853">
        <f>SUMIF($F$9:$F$100,Utilitaires!$E$574,W$9:W$100)</f>
        <v>0</v>
      </c>
      <c r="N170" s="858">
        <f>SQRT(SUMPRODUCT(($F$9:$F$100=Utilitaires!$E$574)*1,O$9:O$100,O$9:O$100))</f>
        <v>0</v>
      </c>
      <c r="O170" s="856"/>
      <c r="AA170" s="817"/>
    </row>
    <row r="171" spans="2:27" s="113" customFormat="1" ht="12.75" hidden="1" customHeight="1" outlineLevel="1">
      <c r="B171" s="2704" t="s">
        <v>762</v>
      </c>
      <c r="C171" s="2705"/>
      <c r="D171" s="854"/>
      <c r="E171" s="855">
        <f>SUMIF($F$9:$F$100,Utilitaires!$E$575,R$9:R$100)+SUMIF($F$9:$F$100,Utilitaires!$E$579,R$9:R$100)</f>
        <v>0</v>
      </c>
      <c r="F171" s="855">
        <f>SUMIF($F$9:$F$100,Utilitaires!$E$575,S$9:S$100)+SUMIF($F$9:$F$100,Utilitaires!$E$579,S$9:S$100)</f>
        <v>0</v>
      </c>
      <c r="G171" s="855">
        <f>SUMIF($F$9:$F$100,Utilitaires!$E$575,T$9:T$100)+SUMIF($F$9:$F$100,Utilitaires!$E$579,T$9:T$100)</f>
        <v>0</v>
      </c>
      <c r="H171" s="855">
        <f>SUMPRODUCT(($F$55:$F$58=Utilitaires!$E$575)*(LEFT($B$55:$B$58,3)&lt;&gt;"Per")*(LEFT($B$55:$B$58,3)&lt;&gt;"SF6")*(U$55:U$58))+SUMPRODUCT(($F$55:$F$58=Utilitaires!$E$579)*(LEFT($B$55:$B$58,3)&lt;&gt;"Per")*(LEFT($B$55:$B$58,3)&lt;&gt;"SF6")*(U$55:U$58))</f>
        <v>0</v>
      </c>
      <c r="I171" s="855">
        <f>SUMPRODUCT(($F$55:$F$58=Utilitaires!$E$575)*(LEFT($B$55:$B$58,3)="Per")*(U$55:U$58))+SUMPRODUCT(($F$55:$F$58=Utilitaires!$E$579)*(LEFT($B$55:$B$58,3)="Per")*(U$55:U$58))</f>
        <v>0</v>
      </c>
      <c r="J171" s="855">
        <f>SUMPRODUCT(($F$55:$F$58=Utilitaires!$E$575)*(LEFT($B$55:$B$58,3)="SF6")*(U$55:U$58))+SUMPRODUCT(($F$55:$F$58=Utilitaires!$E$579)*(LEFT($B$55:$B$58,3)="SF6")*(U$55:U$58))</f>
        <v>0</v>
      </c>
      <c r="K171" s="855">
        <f>SUMIF($F$92:$F$100,Utilitaires!$E$575,U$92:U$100)+SUMIF($F$92:$F$100,Utilitaires!$E$579,U$92:U$100)</f>
        <v>0</v>
      </c>
      <c r="L171" s="864">
        <f>SUM(E171:K171)</f>
        <v>0</v>
      </c>
      <c r="M171" s="853">
        <f>SUMIF($F$9:$F$100,Utilitaires!$E$575,W$9:W$100)+SUMIF($F$9:$F$100,Utilitaires!$E$579,W$9:W$100)</f>
        <v>0</v>
      </c>
      <c r="N171" s="858">
        <f>SQRT(SUMPRODUCT(($F$9:$F$100=Utilitaires!$E$575)*1,O$9:O$100,O$9:O$100)+SUMPRODUCT(($F$9:$F$100=Utilitaires!$E$579)*1,O$9:O$100,O$9:O$100))</f>
        <v>0</v>
      </c>
      <c r="O171" s="856"/>
      <c r="AA171" s="817"/>
    </row>
    <row r="172" spans="2:27" s="113" customFormat="1" ht="12.75" hidden="1" customHeight="1" outlineLevel="1">
      <c r="B172" s="2713" t="s">
        <v>756</v>
      </c>
      <c r="C172" s="2714"/>
      <c r="D172" s="2714"/>
      <c r="E172" s="2714"/>
      <c r="F172" s="2714"/>
      <c r="G172" s="2714"/>
      <c r="H172" s="2714"/>
      <c r="I172" s="2714"/>
      <c r="J172" s="2714"/>
      <c r="K172" s="2714"/>
      <c r="L172" s="2714"/>
      <c r="M172" s="2714"/>
      <c r="N172" s="2714"/>
      <c r="O172" s="2715"/>
      <c r="AA172" s="817"/>
    </row>
    <row r="173" spans="2:27" s="113" customFormat="1" ht="12.75" hidden="1" customHeight="1" outlineLevel="1">
      <c r="B173" s="2704" t="s">
        <v>737</v>
      </c>
      <c r="C173" s="2705"/>
      <c r="D173" s="862" t="s">
        <v>749</v>
      </c>
      <c r="E173" s="855"/>
      <c r="F173" s="855"/>
      <c r="G173" s="855"/>
      <c r="H173" s="855"/>
      <c r="I173" s="855"/>
      <c r="J173" s="855"/>
      <c r="K173" s="855"/>
      <c r="L173" s="864"/>
      <c r="M173" s="853"/>
      <c r="N173" s="858"/>
      <c r="O173" s="856"/>
      <c r="AA173" s="817"/>
    </row>
    <row r="174" spans="2:27" s="113" customFormat="1" ht="12.75" hidden="1" customHeight="1" outlineLevel="1">
      <c r="B174" s="2704" t="s">
        <v>738</v>
      </c>
      <c r="C174" s="2705"/>
      <c r="D174" s="862" t="s">
        <v>750</v>
      </c>
      <c r="E174" s="855"/>
      <c r="F174" s="855"/>
      <c r="G174" s="855"/>
      <c r="H174" s="855"/>
      <c r="I174" s="855"/>
      <c r="J174" s="855"/>
      <c r="K174" s="855"/>
      <c r="L174" s="864"/>
      <c r="M174" s="853"/>
      <c r="N174" s="858"/>
      <c r="O174" s="856"/>
      <c r="AA174" s="817"/>
    </row>
    <row r="175" spans="2:27" s="113" customFormat="1" ht="12.75" hidden="1" customHeight="1" outlineLevel="1">
      <c r="B175" s="2704" t="s">
        <v>475</v>
      </c>
      <c r="C175" s="2705"/>
      <c r="D175" s="862" t="s">
        <v>751</v>
      </c>
      <c r="E175" s="855"/>
      <c r="F175" s="855"/>
      <c r="G175" s="855"/>
      <c r="H175" s="855"/>
      <c r="I175" s="855"/>
      <c r="J175" s="855"/>
      <c r="K175" s="855"/>
      <c r="L175" s="864"/>
      <c r="M175" s="853"/>
      <c r="N175" s="858"/>
      <c r="O175" s="856"/>
      <c r="AA175" s="817"/>
    </row>
    <row r="176" spans="2:27" s="113" customFormat="1" ht="12.75" hidden="1" customHeight="1" outlineLevel="1">
      <c r="B176" s="2704" t="s">
        <v>476</v>
      </c>
      <c r="C176" s="2705"/>
      <c r="D176" s="862" t="s">
        <v>752</v>
      </c>
      <c r="E176" s="855"/>
      <c r="F176" s="855"/>
      <c r="G176" s="855"/>
      <c r="H176" s="855"/>
      <c r="I176" s="855"/>
      <c r="J176" s="855"/>
      <c r="K176" s="855"/>
      <c r="L176" s="864"/>
      <c r="M176" s="853"/>
      <c r="N176" s="858"/>
      <c r="O176" s="856"/>
      <c r="AA176" s="817"/>
    </row>
    <row r="177" spans="2:27" s="113" customFormat="1" ht="12.75" hidden="1" customHeight="1" outlineLevel="1">
      <c r="B177" s="2704" t="s">
        <v>739</v>
      </c>
      <c r="C177" s="2705"/>
      <c r="D177" s="862" t="s">
        <v>753</v>
      </c>
      <c r="E177" s="855"/>
      <c r="F177" s="855"/>
      <c r="G177" s="855"/>
      <c r="H177" s="855"/>
      <c r="I177" s="855"/>
      <c r="J177" s="855"/>
      <c r="K177" s="855"/>
      <c r="L177" s="864"/>
      <c r="M177" s="853"/>
      <c r="N177" s="858"/>
      <c r="O177" s="856"/>
      <c r="AA177" s="817"/>
    </row>
    <row r="178" spans="2:27" s="113" customFormat="1" ht="12.75" hidden="1" customHeight="1" outlineLevel="1">
      <c r="B178" s="2704" t="s">
        <v>740</v>
      </c>
      <c r="C178" s="2705"/>
      <c r="D178" s="862" t="s">
        <v>754</v>
      </c>
      <c r="E178" s="855"/>
      <c r="F178" s="855"/>
      <c r="G178" s="855"/>
      <c r="H178" s="855"/>
      <c r="I178" s="855"/>
      <c r="J178" s="855"/>
      <c r="K178" s="855"/>
      <c r="L178" s="864"/>
      <c r="M178" s="853"/>
      <c r="N178" s="858"/>
      <c r="O178" s="856"/>
      <c r="AA178" s="817"/>
    </row>
    <row r="179" spans="2:27" s="113" customFormat="1" ht="12.75" hidden="1" customHeight="1" outlineLevel="1">
      <c r="B179" s="2704" t="s">
        <v>472</v>
      </c>
      <c r="C179" s="2705"/>
      <c r="D179" s="862" t="s">
        <v>755</v>
      </c>
      <c r="E179" s="855"/>
      <c r="F179" s="855"/>
      <c r="G179" s="855"/>
      <c r="H179" s="855"/>
      <c r="I179" s="855"/>
      <c r="J179" s="855"/>
      <c r="K179" s="855"/>
      <c r="L179" s="864"/>
      <c r="M179" s="853"/>
      <c r="N179" s="858"/>
      <c r="O179" s="856"/>
      <c r="AA179" s="817"/>
    </row>
    <row r="180" spans="2:27" s="113" customFormat="1" ht="12.75" hidden="1" customHeight="1" outlineLevel="1">
      <c r="B180" s="2704" t="s">
        <v>763</v>
      </c>
      <c r="C180" s="2705"/>
      <c r="D180" s="854"/>
      <c r="E180" s="855"/>
      <c r="F180" s="855"/>
      <c r="G180" s="855"/>
      <c r="H180" s="855"/>
      <c r="I180" s="855"/>
      <c r="J180" s="855"/>
      <c r="K180" s="855"/>
      <c r="L180" s="864"/>
      <c r="M180" s="853"/>
      <c r="N180" s="858"/>
      <c r="O180" s="856"/>
      <c r="AA180" s="817"/>
    </row>
    <row r="181" spans="2:27" s="113" customFormat="1" ht="12.75" hidden="1" customHeight="1" outlineLevel="1">
      <c r="B181" s="2710" t="s">
        <v>724</v>
      </c>
      <c r="C181" s="2711"/>
      <c r="D181" s="2712"/>
      <c r="E181" s="852">
        <f t="shared" ref="E181:M181" si="28">SUM(E163:E180)</f>
        <v>0</v>
      </c>
      <c r="F181" s="852">
        <f t="shared" si="28"/>
        <v>0</v>
      </c>
      <c r="G181" s="852">
        <f t="shared" si="28"/>
        <v>0</v>
      </c>
      <c r="H181" s="852">
        <f t="shared" si="28"/>
        <v>0</v>
      </c>
      <c r="I181" s="852">
        <f t="shared" si="28"/>
        <v>0</v>
      </c>
      <c r="J181" s="852">
        <f t="shared" si="28"/>
        <v>0</v>
      </c>
      <c r="K181" s="852">
        <f t="shared" si="28"/>
        <v>0</v>
      </c>
      <c r="L181" s="852">
        <f t="shared" si="28"/>
        <v>0</v>
      </c>
      <c r="M181" s="863">
        <f t="shared" si="28"/>
        <v>0</v>
      </c>
      <c r="N181" s="859">
        <f>SQRT(SUMSQ(N163:N180))</f>
        <v>0</v>
      </c>
      <c r="O181" s="860">
        <f>SUM(O163:O180)</f>
        <v>0</v>
      </c>
      <c r="AA181" s="817"/>
    </row>
    <row r="182" spans="2:27" s="113" customFormat="1" hidden="1" outlineLevel="1">
      <c r="X182" s="817"/>
    </row>
    <row r="183" spans="2:27" collapsed="1">
      <c r="G183" s="233"/>
      <c r="M183" s="233"/>
      <c r="N183" s="233"/>
      <c r="Q183" s="233"/>
      <c r="V183" s="233"/>
      <c r="W183" s="233"/>
      <c r="X183" s="233"/>
      <c r="Y183" s="233"/>
      <c r="Z183" s="233"/>
      <c r="AA183" s="233"/>
    </row>
    <row r="184" spans="2:27" s="113" customFormat="1" ht="15.75" customHeight="1" collapsed="1">
      <c r="B184" s="2716" t="s">
        <v>810</v>
      </c>
      <c r="C184" s="2717"/>
      <c r="D184" s="2717"/>
      <c r="E184" s="2717"/>
      <c r="F184" s="2717"/>
      <c r="G184" s="2717"/>
      <c r="H184" s="2717"/>
      <c r="I184" s="2717"/>
      <c r="J184" s="2717"/>
      <c r="K184" s="2717"/>
      <c r="L184" s="2717"/>
      <c r="M184" s="2717"/>
      <c r="N184" s="2717"/>
      <c r="O184" s="2717"/>
      <c r="P184" s="2718"/>
      <c r="X184" s="817"/>
    </row>
    <row r="185" spans="2:27" s="113" customFormat="1" hidden="1" outlineLevel="1">
      <c r="R185" s="908"/>
      <c r="S185" s="908"/>
      <c r="X185" s="817"/>
    </row>
    <row r="186" spans="2:27" s="113" customFormat="1" ht="38.25" hidden="1" customHeight="1" outlineLevel="1">
      <c r="B186" s="205"/>
      <c r="C186" s="205"/>
      <c r="D186" s="205"/>
      <c r="E186" s="2719" t="s">
        <v>448</v>
      </c>
      <c r="F186" s="2720"/>
      <c r="G186" s="2720"/>
      <c r="H186" s="2720"/>
      <c r="I186" s="2720"/>
      <c r="J186" s="2720"/>
      <c r="K186" s="2720"/>
      <c r="L186" s="2720"/>
      <c r="M186" s="2721"/>
      <c r="N186" s="971" t="s">
        <v>811</v>
      </c>
      <c r="O186" s="968" t="s">
        <v>440</v>
      </c>
      <c r="R186" s="908"/>
      <c r="S186" s="908"/>
      <c r="X186" s="817"/>
    </row>
    <row r="187" spans="2:27" s="113" customFormat="1" ht="38.25" hidden="1" customHeight="1" outlineLevel="1">
      <c r="B187" s="2719" t="s">
        <v>438</v>
      </c>
      <c r="C187" s="2721"/>
      <c r="D187" s="970" t="s">
        <v>458</v>
      </c>
      <c r="E187" s="969" t="s">
        <v>853</v>
      </c>
      <c r="F187" s="969" t="s">
        <v>854</v>
      </c>
      <c r="G187" s="969" t="s">
        <v>855</v>
      </c>
      <c r="H187" s="969" t="s">
        <v>861</v>
      </c>
      <c r="I187" s="969" t="s">
        <v>852</v>
      </c>
      <c r="J187" s="970" t="s">
        <v>513</v>
      </c>
      <c r="K187" s="969" t="s">
        <v>862</v>
      </c>
      <c r="L187" s="969" t="s">
        <v>863</v>
      </c>
      <c r="M187" s="969" t="s">
        <v>514</v>
      </c>
      <c r="N187" s="972" t="s">
        <v>856</v>
      </c>
      <c r="O187" s="974" t="s">
        <v>513</v>
      </c>
      <c r="R187" s="908"/>
      <c r="S187" s="908"/>
      <c r="X187" s="817"/>
    </row>
    <row r="188" spans="2:27" s="113" customFormat="1" ht="12.75" hidden="1" customHeight="1" outlineLevel="1">
      <c r="B188" s="2722" t="s">
        <v>459</v>
      </c>
      <c r="C188" s="2723"/>
      <c r="D188" s="973">
        <v>1</v>
      </c>
      <c r="E188" s="980"/>
      <c r="F188" s="980"/>
      <c r="G188" s="980"/>
      <c r="H188" s="980"/>
      <c r="I188" s="980"/>
      <c r="J188" s="981"/>
      <c r="K188" s="982"/>
      <c r="L188" s="982"/>
      <c r="M188" s="983"/>
      <c r="N188" s="984"/>
      <c r="O188" s="2724" t="s">
        <v>817</v>
      </c>
      <c r="R188" s="908"/>
      <c r="S188" s="908"/>
      <c r="X188" s="817"/>
    </row>
    <row r="189" spans="2:27" s="113" customFormat="1" ht="12.75" hidden="1" customHeight="1" outlineLevel="1">
      <c r="B189" s="2722" t="s">
        <v>722</v>
      </c>
      <c r="C189" s="2723"/>
      <c r="D189" s="973">
        <v>2</v>
      </c>
      <c r="E189" s="980"/>
      <c r="F189" s="980"/>
      <c r="G189" s="980"/>
      <c r="H189" s="980"/>
      <c r="I189" s="980"/>
      <c r="J189" s="981"/>
      <c r="K189" s="982"/>
      <c r="L189" s="982"/>
      <c r="M189" s="983"/>
      <c r="N189" s="984"/>
      <c r="O189" s="2725"/>
      <c r="R189" s="908"/>
      <c r="S189" s="908"/>
      <c r="X189" s="817"/>
    </row>
    <row r="190" spans="2:27" s="113" customFormat="1" ht="12.75" hidden="1" customHeight="1" outlineLevel="1">
      <c r="B190" s="2722" t="s">
        <v>723</v>
      </c>
      <c r="C190" s="2723"/>
      <c r="D190" s="973">
        <v>3</v>
      </c>
      <c r="E190" s="980">
        <f>SUMIF($F$9:$F$100,Utilitaires!$E$572,R$9:R$100)+SUMIF($F$9:$F$100,Utilitaires!$E$577,R$9:R$100)</f>
        <v>0</v>
      </c>
      <c r="F190" s="980">
        <f>SUMIF($F$9:$F$100,Utilitaires!$E$572,S$9:S$100)+SUMIF($F$9:$F$100,Utilitaires!$E$577,S$9:S$100)</f>
        <v>0</v>
      </c>
      <c r="G190" s="980">
        <f>SUMIF($F$9:$F$100,Utilitaires!$E$572,T$9:T$100)+SUMIF($F$9:$F$100,Utilitaires!$E$577,T$9:T$100)</f>
        <v>0</v>
      </c>
      <c r="H190" s="980">
        <f>SUMIF($F$51:$F$59,Utilitaires!$E$572,U$51:U$59)+SUMIF($F$51:$F$59,Utilitaires!$E$577,U$51:U$59)</f>
        <v>0</v>
      </c>
      <c r="I190" s="980">
        <f>SUMIF($F$92:$F$100,Utilitaires!$E$572,U$92:U$100)+SUMIF($F$92:$F$100,Utilitaires!$E$577,U$92:U$100)</f>
        <v>0</v>
      </c>
      <c r="J190" s="981">
        <f>SUM(E190:I190)</f>
        <v>0</v>
      </c>
      <c r="K190" s="982">
        <v>0</v>
      </c>
      <c r="L190" s="982">
        <f>SUMIF($F$9:$F$100,Utilitaires!$E$572,W$9:W$100)+SUMIF($F$9:$F$100,Utilitaires!$E$577,W$9:W$100)</f>
        <v>0</v>
      </c>
      <c r="M190" s="983">
        <f>SQRT(SUMPRODUCT(($F$9:$F$100=Utilitaires!$E$572)*1,O$9:O$100,O$9:O$100)+SUMPRODUCT(($F$9:$F$100=Utilitaires!$E$577)*1,O$9:O$100,O$9:O$100))</f>
        <v>0</v>
      </c>
      <c r="N190" s="984"/>
      <c r="O190" s="2725"/>
      <c r="R190" s="908"/>
      <c r="S190" s="908"/>
      <c r="X190" s="817"/>
    </row>
    <row r="191" spans="2:27" s="113" customFormat="1" ht="12.75" hidden="1" customHeight="1" outlineLevel="1">
      <c r="B191" s="2722" t="s">
        <v>462</v>
      </c>
      <c r="C191" s="2723"/>
      <c r="D191" s="973">
        <v>4</v>
      </c>
      <c r="E191" s="980">
        <f>SUMIF($F$9:$F$100,Utilitaires!$E$573,R$9:R$100)+SUMIF($F$9:$F$100,Utilitaires!$E$578,R$9:R$100)</f>
        <v>0</v>
      </c>
      <c r="F191" s="980">
        <f>SUMIF($F$9:$F$100,Utilitaires!$E$573,S$9:S$100)+SUMIF($F$9:$F$100,Utilitaires!$E$578,S$9:S$100)</f>
        <v>0</v>
      </c>
      <c r="G191" s="980">
        <f>SUMIF($F$9:$F$100,Utilitaires!$E$573,T$9:T$100)+SUMIF($F$9:$F$100,Utilitaires!$E$578,T$9:T$100)</f>
        <v>0</v>
      </c>
      <c r="H191" s="980">
        <f>SUMIF($F$51:$F$59,Utilitaires!$E$573,U$51:U$59)+SUMIF($F$51:$F$59,Utilitaires!$E$578,U$51:U$59)</f>
        <v>0</v>
      </c>
      <c r="I191" s="980">
        <f>SUMIF($F$92:$F$100,Utilitaires!$E$573,U$92:U$100)+SUMIF($F$92:$F$100,Utilitaires!$E$578,U$92:U$100)</f>
        <v>0</v>
      </c>
      <c r="J191" s="981">
        <f>SUM(E191:I191)</f>
        <v>0</v>
      </c>
      <c r="K191" s="982">
        <v>0</v>
      </c>
      <c r="L191" s="982">
        <f>SUMIF($F$9:$F$100,Utilitaires!$E$573,W$9:W$100)+SUMIF($F$9:$F$100,Utilitaires!$E$578,W$9:W$100)</f>
        <v>0</v>
      </c>
      <c r="M191" s="983">
        <f>SQRT(SUMPRODUCT(($F$9:$F$100=Utilitaires!$E$573)*1,O$9:O$100,O$9:O$100)+SUMPRODUCT(($F$9:$F$100=Utilitaires!$E$578)*1,O$9:O$100,O$9:O$100))</f>
        <v>0</v>
      </c>
      <c r="N191" s="984"/>
      <c r="O191" s="2725"/>
      <c r="R191" s="908"/>
      <c r="S191" s="908"/>
      <c r="X191" s="817"/>
    </row>
    <row r="192" spans="2:27" s="113" customFormat="1" ht="12.75" hidden="1" customHeight="1" outlineLevel="1">
      <c r="B192" s="2722" t="s">
        <v>812</v>
      </c>
      <c r="C192" s="2723"/>
      <c r="D192" s="973">
        <v>5</v>
      </c>
      <c r="E192" s="980"/>
      <c r="F192" s="980"/>
      <c r="G192" s="980"/>
      <c r="H192" s="980"/>
      <c r="I192" s="980"/>
      <c r="J192" s="981"/>
      <c r="K192" s="982"/>
      <c r="L192" s="982"/>
      <c r="M192" s="983"/>
      <c r="N192" s="985"/>
      <c r="O192" s="2725"/>
      <c r="R192" s="908"/>
      <c r="S192" s="908"/>
      <c r="X192" s="817"/>
    </row>
    <row r="193" spans="2:24" s="113" customFormat="1" ht="12.75" hidden="1" customHeight="1" outlineLevel="1">
      <c r="B193" s="2727" t="s">
        <v>726</v>
      </c>
      <c r="C193" s="2728"/>
      <c r="D193" s="2729"/>
      <c r="E193" s="986">
        <f>SUM(E188:E192)</f>
        <v>0</v>
      </c>
      <c r="F193" s="986">
        <f t="shared" ref="F193:L193" si="29">SUM(F188:F192)</f>
        <v>0</v>
      </c>
      <c r="G193" s="986">
        <f t="shared" si="29"/>
        <v>0</v>
      </c>
      <c r="H193" s="986">
        <f t="shared" si="29"/>
        <v>0</v>
      </c>
      <c r="I193" s="986">
        <f t="shared" si="29"/>
        <v>0</v>
      </c>
      <c r="J193" s="986">
        <f t="shared" si="29"/>
        <v>0</v>
      </c>
      <c r="K193" s="987">
        <f t="shared" si="29"/>
        <v>0</v>
      </c>
      <c r="L193" s="987">
        <f t="shared" si="29"/>
        <v>0</v>
      </c>
      <c r="M193" s="988">
        <f>SQRT(SUMSQ(M188:M192))</f>
        <v>0</v>
      </c>
      <c r="N193" s="989">
        <f>SUM(N188:N192)</f>
        <v>0</v>
      </c>
      <c r="O193" s="2726"/>
      <c r="R193" s="908"/>
      <c r="S193" s="908"/>
      <c r="X193" s="817"/>
    </row>
    <row r="194" spans="2:24" s="113" customFormat="1" ht="12.75" hidden="1" customHeight="1" outlineLevel="1">
      <c r="B194" s="2722" t="s">
        <v>464</v>
      </c>
      <c r="C194" s="2723"/>
      <c r="D194" s="973">
        <v>6</v>
      </c>
      <c r="E194" s="980"/>
      <c r="F194" s="980"/>
      <c r="G194" s="980"/>
      <c r="H194" s="980"/>
      <c r="I194" s="980"/>
      <c r="J194" s="981"/>
      <c r="K194" s="982"/>
      <c r="L194" s="982"/>
      <c r="M194" s="983"/>
      <c r="N194" s="984"/>
      <c r="O194" s="990"/>
      <c r="R194" s="908"/>
      <c r="S194" s="908"/>
      <c r="X194" s="817"/>
    </row>
    <row r="195" spans="2:24" s="113" customFormat="1" ht="12.75" hidden="1" customHeight="1" outlineLevel="1">
      <c r="B195" s="2722" t="s">
        <v>813</v>
      </c>
      <c r="C195" s="2723"/>
      <c r="D195" s="973">
        <v>7</v>
      </c>
      <c r="E195" s="980"/>
      <c r="F195" s="980"/>
      <c r="G195" s="980"/>
      <c r="H195" s="980"/>
      <c r="I195" s="980"/>
      <c r="J195" s="981"/>
      <c r="K195" s="982"/>
      <c r="L195" s="982"/>
      <c r="M195" s="983"/>
      <c r="N195" s="984"/>
      <c r="O195" s="984"/>
      <c r="R195" s="908"/>
      <c r="S195" s="908"/>
      <c r="X195" s="817"/>
    </row>
    <row r="196" spans="2:24" s="113" customFormat="1" ht="12.75" hidden="1" customHeight="1" outlineLevel="1">
      <c r="B196" s="2727" t="s">
        <v>725</v>
      </c>
      <c r="C196" s="2728"/>
      <c r="D196" s="2729"/>
      <c r="E196" s="986">
        <f>SUM(E194:E195)</f>
        <v>0</v>
      </c>
      <c r="F196" s="986">
        <f t="shared" ref="F196:L196" si="30">SUM(F194:F195)</f>
        <v>0</v>
      </c>
      <c r="G196" s="986">
        <f t="shared" si="30"/>
        <v>0</v>
      </c>
      <c r="H196" s="986">
        <f t="shared" si="30"/>
        <v>0</v>
      </c>
      <c r="I196" s="986">
        <f t="shared" si="30"/>
        <v>0</v>
      </c>
      <c r="J196" s="986">
        <f t="shared" si="30"/>
        <v>0</v>
      </c>
      <c r="K196" s="987">
        <f t="shared" si="30"/>
        <v>0</v>
      </c>
      <c r="L196" s="987">
        <f t="shared" si="30"/>
        <v>0</v>
      </c>
      <c r="M196" s="988">
        <f>SQRT(SUMSQ(M194:M195))</f>
        <v>0</v>
      </c>
      <c r="N196" s="989">
        <f>SUM(N194:N195)</f>
        <v>0</v>
      </c>
      <c r="O196" s="989">
        <f>SUM(O194:O195)</f>
        <v>0</v>
      </c>
      <c r="R196" s="908"/>
      <c r="S196" s="908"/>
      <c r="X196" s="817"/>
    </row>
    <row r="197" spans="2:24" s="113" customFormat="1" ht="12.75" hidden="1" customHeight="1" outlineLevel="1">
      <c r="B197" s="2722" t="s">
        <v>466</v>
      </c>
      <c r="C197" s="2723"/>
      <c r="D197" s="973">
        <v>8</v>
      </c>
      <c r="E197" s="980"/>
      <c r="F197" s="980"/>
      <c r="G197" s="980"/>
      <c r="H197" s="980"/>
      <c r="I197" s="980"/>
      <c r="J197" s="981"/>
      <c r="K197" s="982"/>
      <c r="L197" s="982"/>
      <c r="M197" s="983"/>
      <c r="N197" s="984"/>
      <c r="O197" s="984"/>
      <c r="R197" s="908"/>
      <c r="S197" s="908"/>
      <c r="X197" s="817"/>
    </row>
    <row r="198" spans="2:24" s="113" customFormat="1" ht="12.75" hidden="1" customHeight="1" outlineLevel="1">
      <c r="B198" s="2722" t="s">
        <v>814</v>
      </c>
      <c r="C198" s="2723"/>
      <c r="D198" s="973">
        <v>9</v>
      </c>
      <c r="E198" s="980"/>
      <c r="F198" s="980"/>
      <c r="G198" s="980"/>
      <c r="H198" s="980"/>
      <c r="I198" s="980"/>
      <c r="J198" s="981"/>
      <c r="K198" s="982"/>
      <c r="L198" s="982"/>
      <c r="M198" s="983"/>
      <c r="N198" s="984"/>
      <c r="O198" s="984"/>
      <c r="R198" s="908"/>
      <c r="S198" s="908"/>
      <c r="X198" s="817"/>
    </row>
    <row r="199" spans="2:24" s="113" customFormat="1" ht="12.75" hidden="1" customHeight="1" outlineLevel="1">
      <c r="B199" s="2722" t="s">
        <v>734</v>
      </c>
      <c r="C199" s="2723"/>
      <c r="D199" s="973">
        <v>10</v>
      </c>
      <c r="E199" s="980"/>
      <c r="F199" s="980"/>
      <c r="G199" s="980"/>
      <c r="H199" s="980"/>
      <c r="I199" s="980"/>
      <c r="J199" s="981"/>
      <c r="K199" s="982"/>
      <c r="L199" s="982"/>
      <c r="M199" s="983"/>
      <c r="N199" s="984"/>
      <c r="O199" s="984"/>
      <c r="R199" s="908"/>
      <c r="S199" s="908"/>
      <c r="X199" s="817"/>
    </row>
    <row r="200" spans="2:24" s="113" customFormat="1" ht="12.75" hidden="1" customHeight="1" outlineLevel="1">
      <c r="B200" s="2722" t="s">
        <v>736</v>
      </c>
      <c r="C200" s="2723"/>
      <c r="D200" s="973">
        <v>11</v>
      </c>
      <c r="E200" s="980"/>
      <c r="F200" s="980"/>
      <c r="G200" s="980"/>
      <c r="H200" s="980"/>
      <c r="I200" s="980"/>
      <c r="J200" s="981"/>
      <c r="K200" s="982"/>
      <c r="L200" s="982"/>
      <c r="M200" s="983"/>
      <c r="N200" s="984"/>
      <c r="O200" s="984"/>
      <c r="R200" s="908"/>
      <c r="S200" s="908"/>
      <c r="X200" s="817"/>
    </row>
    <row r="201" spans="2:24" s="113" customFormat="1" ht="12.75" hidden="1" customHeight="1" outlineLevel="1">
      <c r="B201" s="2722" t="s">
        <v>815</v>
      </c>
      <c r="C201" s="2723"/>
      <c r="D201" s="973">
        <v>12</v>
      </c>
      <c r="E201" s="980"/>
      <c r="F201" s="980"/>
      <c r="G201" s="980"/>
      <c r="H201" s="980"/>
      <c r="I201" s="980"/>
      <c r="J201" s="981"/>
      <c r="K201" s="982"/>
      <c r="L201" s="982"/>
      <c r="M201" s="983"/>
      <c r="N201" s="984"/>
      <c r="O201" s="984"/>
      <c r="R201" s="908"/>
      <c r="S201" s="908"/>
      <c r="X201" s="817"/>
    </row>
    <row r="202" spans="2:24" s="113" customFormat="1" ht="12.75" hidden="1" customHeight="1" outlineLevel="1">
      <c r="B202" s="2722" t="s">
        <v>470</v>
      </c>
      <c r="C202" s="2723"/>
      <c r="D202" s="973">
        <v>13</v>
      </c>
      <c r="E202" s="980"/>
      <c r="F202" s="980"/>
      <c r="G202" s="980"/>
      <c r="H202" s="980"/>
      <c r="I202" s="980"/>
      <c r="J202" s="981"/>
      <c r="K202" s="982"/>
      <c r="L202" s="982"/>
      <c r="M202" s="983"/>
      <c r="N202" s="984"/>
      <c r="O202" s="984"/>
      <c r="R202" s="908"/>
      <c r="S202" s="908"/>
      <c r="X202" s="817"/>
    </row>
    <row r="203" spans="2:24" s="113" customFormat="1" ht="12.75" hidden="1" customHeight="1" outlineLevel="1">
      <c r="B203" s="2722" t="s">
        <v>471</v>
      </c>
      <c r="C203" s="2723"/>
      <c r="D203" s="973">
        <v>14</v>
      </c>
      <c r="E203" s="980">
        <f>SUMIF($F$9:$F$100,Utilitaires!$E$574,R$9:R$100)</f>
        <v>0</v>
      </c>
      <c r="F203" s="980">
        <f>SUMIF($F$9:$F$100,Utilitaires!$E$574,S$9:S$100)</f>
        <v>0</v>
      </c>
      <c r="G203" s="980">
        <f>SUMIF($F$9:$F$100,Utilitaires!$E$574,T$9:T$100)</f>
        <v>0</v>
      </c>
      <c r="H203" s="980">
        <f>SUMIF($F$51:$F$59,Utilitaires!$E$574,U$51:U$59)</f>
        <v>0</v>
      </c>
      <c r="I203" s="980">
        <f>SUMIF($F$92:$F$100,Utilitaires!$E$574,U$92:U$100)</f>
        <v>0</v>
      </c>
      <c r="J203" s="981">
        <f>SUM(E203:I203)</f>
        <v>0</v>
      </c>
      <c r="K203" s="982">
        <v>0</v>
      </c>
      <c r="L203" s="982">
        <f>SUMIF($F$9:$F$100,Utilitaires!$E$574,W$9:W$100)</f>
        <v>0</v>
      </c>
      <c r="M203" s="983">
        <f>SQRT(SUMPRODUCT(($F$9:$F$100=Utilitaires!$E$574)*1,O$9:O$100,O$9:O$100))</f>
        <v>0</v>
      </c>
      <c r="N203" s="984"/>
      <c r="O203" s="984"/>
      <c r="R203" s="908"/>
      <c r="S203" s="908"/>
      <c r="X203" s="817"/>
    </row>
    <row r="204" spans="2:24" s="113" customFormat="1" ht="12.75" hidden="1" customHeight="1" outlineLevel="1">
      <c r="B204" s="2722" t="s">
        <v>472</v>
      </c>
      <c r="C204" s="2723"/>
      <c r="D204" s="973">
        <v>15</v>
      </c>
      <c r="E204" s="980"/>
      <c r="F204" s="980"/>
      <c r="G204" s="980"/>
      <c r="H204" s="980"/>
      <c r="I204" s="980"/>
      <c r="J204" s="981"/>
      <c r="K204" s="982"/>
      <c r="L204" s="982"/>
      <c r="M204" s="983"/>
      <c r="N204" s="984"/>
      <c r="O204" s="984"/>
      <c r="R204" s="908"/>
      <c r="S204" s="908"/>
      <c r="X204" s="817"/>
    </row>
    <row r="205" spans="2:24" s="113" customFormat="1" ht="12.75" hidden="1" customHeight="1" outlineLevel="1">
      <c r="B205" s="2722" t="s">
        <v>473</v>
      </c>
      <c r="C205" s="2723"/>
      <c r="D205" s="973">
        <v>16</v>
      </c>
      <c r="E205" s="980"/>
      <c r="F205" s="980"/>
      <c r="G205" s="980"/>
      <c r="H205" s="980"/>
      <c r="I205" s="980"/>
      <c r="J205" s="981"/>
      <c r="K205" s="982"/>
      <c r="L205" s="982"/>
      <c r="M205" s="983"/>
      <c r="N205" s="984"/>
      <c r="O205" s="984"/>
      <c r="R205" s="908"/>
      <c r="S205" s="908"/>
      <c r="X205" s="817"/>
    </row>
    <row r="206" spans="2:24" s="113" customFormat="1" ht="12.75" hidden="1" customHeight="1" outlineLevel="1">
      <c r="B206" s="2722" t="s">
        <v>737</v>
      </c>
      <c r="C206" s="2723"/>
      <c r="D206" s="973">
        <v>17</v>
      </c>
      <c r="E206" s="980"/>
      <c r="F206" s="980"/>
      <c r="G206" s="980"/>
      <c r="H206" s="980"/>
      <c r="I206" s="980"/>
      <c r="J206" s="981"/>
      <c r="K206" s="982"/>
      <c r="L206" s="982"/>
      <c r="M206" s="983"/>
      <c r="N206" s="984"/>
      <c r="O206" s="984"/>
      <c r="R206" s="908"/>
      <c r="S206" s="908"/>
      <c r="X206" s="817"/>
    </row>
    <row r="207" spans="2:24" s="113" customFormat="1" ht="12.75" hidden="1" customHeight="1" outlineLevel="1">
      <c r="B207" s="2722" t="s">
        <v>475</v>
      </c>
      <c r="C207" s="2723"/>
      <c r="D207" s="973">
        <v>18</v>
      </c>
      <c r="E207" s="980"/>
      <c r="F207" s="980"/>
      <c r="G207" s="980"/>
      <c r="H207" s="980"/>
      <c r="I207" s="980"/>
      <c r="J207" s="981"/>
      <c r="K207" s="982"/>
      <c r="L207" s="982"/>
      <c r="M207" s="983"/>
      <c r="N207" s="984"/>
      <c r="O207" s="984"/>
      <c r="R207" s="908"/>
      <c r="S207" s="908"/>
      <c r="X207" s="817"/>
    </row>
    <row r="208" spans="2:24" s="113" customFormat="1" ht="12.75" hidden="1" customHeight="1" outlineLevel="1">
      <c r="B208" s="2722" t="s">
        <v>476</v>
      </c>
      <c r="C208" s="2723"/>
      <c r="D208" s="973">
        <v>19</v>
      </c>
      <c r="E208" s="980"/>
      <c r="F208" s="980"/>
      <c r="G208" s="980"/>
      <c r="H208" s="980"/>
      <c r="I208" s="980"/>
      <c r="J208" s="981"/>
      <c r="K208" s="982"/>
      <c r="L208" s="982"/>
      <c r="M208" s="983"/>
      <c r="N208" s="984"/>
      <c r="O208" s="984"/>
      <c r="R208" s="908"/>
      <c r="S208" s="908"/>
      <c r="X208" s="817"/>
    </row>
    <row r="209" spans="1:28" s="113" customFormat="1" ht="12.75" hidden="1" customHeight="1" outlineLevel="1">
      <c r="B209" s="2722" t="s">
        <v>477</v>
      </c>
      <c r="C209" s="2723"/>
      <c r="D209" s="973">
        <v>20</v>
      </c>
      <c r="E209" s="980"/>
      <c r="F209" s="980"/>
      <c r="G209" s="980"/>
      <c r="H209" s="980"/>
      <c r="I209" s="980"/>
      <c r="J209" s="981"/>
      <c r="K209" s="982"/>
      <c r="L209" s="982"/>
      <c r="M209" s="983"/>
      <c r="N209" s="984"/>
      <c r="O209" s="984"/>
      <c r="R209" s="908"/>
      <c r="S209" s="908"/>
      <c r="X209" s="817"/>
    </row>
    <row r="210" spans="1:28" s="113" customFormat="1" ht="12.75" hidden="1" customHeight="1" outlineLevel="1">
      <c r="B210" s="2722" t="s">
        <v>478</v>
      </c>
      <c r="C210" s="2723"/>
      <c r="D210" s="973">
        <v>21</v>
      </c>
      <c r="E210" s="980"/>
      <c r="F210" s="980"/>
      <c r="G210" s="980"/>
      <c r="H210" s="980"/>
      <c r="I210" s="980"/>
      <c r="J210" s="981"/>
      <c r="K210" s="982"/>
      <c r="L210" s="982"/>
      <c r="M210" s="983"/>
      <c r="N210" s="984"/>
      <c r="O210" s="984"/>
      <c r="R210" s="908"/>
      <c r="S210" s="908"/>
      <c r="X210" s="817"/>
    </row>
    <row r="211" spans="1:28" s="113" customFormat="1" ht="12.75" hidden="1" customHeight="1" outlineLevel="1">
      <c r="B211" s="2722" t="s">
        <v>479</v>
      </c>
      <c r="C211" s="2723"/>
      <c r="D211" s="973">
        <v>22</v>
      </c>
      <c r="E211" s="980"/>
      <c r="F211" s="980"/>
      <c r="G211" s="980"/>
      <c r="H211" s="980"/>
      <c r="I211" s="980"/>
      <c r="J211" s="981"/>
      <c r="K211" s="982"/>
      <c r="L211" s="982"/>
      <c r="M211" s="983"/>
      <c r="N211" s="984"/>
      <c r="O211" s="984"/>
      <c r="R211" s="908"/>
      <c r="S211" s="908"/>
      <c r="X211" s="817"/>
    </row>
    <row r="212" spans="1:28" s="113" customFormat="1" ht="12.75" hidden="1" customHeight="1" outlineLevel="1">
      <c r="B212" s="2722" t="s">
        <v>449</v>
      </c>
      <c r="C212" s="2723"/>
      <c r="D212" s="973">
        <v>23</v>
      </c>
      <c r="E212" s="980">
        <f>SUMIF($F$9:$F$100,Utilitaires!$E$575,R$9:R$100)+SUMIF($F$9:$F$100,Utilitaires!$E$579,R$9:R$100)</f>
        <v>0</v>
      </c>
      <c r="F212" s="980">
        <f>SUMIF($F$9:$F$100,Utilitaires!$E$575,S$9:S$100)+SUMIF($F$9:$F$100,Utilitaires!$E$579,S$9:S$100)</f>
        <v>0</v>
      </c>
      <c r="G212" s="980">
        <f>SUMIF($F$9:$F$100,Utilitaires!$E$575,T$9:T$100)+SUMIF($F$9:$F$100,Utilitaires!$E$579,T$9:T$100)</f>
        <v>0</v>
      </c>
      <c r="H212" s="980">
        <f>SUMIF($F$51:$F$59,Utilitaires!$E$575,U$51:U$59)+SUMIF($F$51:$F$59,Utilitaires!$E$579,U$51:U$59)</f>
        <v>0</v>
      </c>
      <c r="I212" s="980">
        <f>SUMIF($F$92:$F$100,Utilitaires!$E$575,U$92:U$100)+SUMIF($F$92:$F$100,Utilitaires!$E$579,U$92:U$100)</f>
        <v>0</v>
      </c>
      <c r="J212" s="981">
        <f>SUM(E212:I212)</f>
        <v>0</v>
      </c>
      <c r="K212" s="982">
        <v>0</v>
      </c>
      <c r="L212" s="982">
        <f>SUMIF($F$9:$F$100,Utilitaires!$E$575,W$9:W$100)+SUMIF($F$9:$F$100,Utilitaires!$E$579,W$9:W$100)</f>
        <v>0</v>
      </c>
      <c r="M212" s="983">
        <f>SQRT(SUMPRODUCT(($F$9:$F$100=Utilitaires!$E$575)*1,O$9:O$100,O$9:O$100)+SUMPRODUCT(($F$9:$F$100=Utilitaires!$E$579)*1,O$9:O$100,O$9:O$100))</f>
        <v>0</v>
      </c>
      <c r="N212" s="984"/>
      <c r="O212" s="984"/>
      <c r="R212" s="908"/>
      <c r="S212" s="908"/>
      <c r="X212" s="817"/>
    </row>
    <row r="213" spans="1:28" s="113" customFormat="1" ht="12.75" hidden="1" customHeight="1" outlineLevel="1">
      <c r="B213" s="2727" t="s">
        <v>724</v>
      </c>
      <c r="C213" s="2728"/>
      <c r="D213" s="2729"/>
      <c r="E213" s="986">
        <f>SUM(E197:E212)</f>
        <v>0</v>
      </c>
      <c r="F213" s="986">
        <f t="shared" ref="F213:L213" si="31">SUM(F197:F212)</f>
        <v>0</v>
      </c>
      <c r="G213" s="986">
        <f t="shared" si="31"/>
        <v>0</v>
      </c>
      <c r="H213" s="986">
        <f t="shared" si="31"/>
        <v>0</v>
      </c>
      <c r="I213" s="986">
        <f t="shared" si="31"/>
        <v>0</v>
      </c>
      <c r="J213" s="986">
        <f t="shared" si="31"/>
        <v>0</v>
      </c>
      <c r="K213" s="987">
        <f t="shared" si="31"/>
        <v>0</v>
      </c>
      <c r="L213" s="987">
        <f t="shared" si="31"/>
        <v>0</v>
      </c>
      <c r="M213" s="988">
        <f>SQRT(SUMSQ(M197:M212))</f>
        <v>0</v>
      </c>
      <c r="N213" s="989">
        <f>SUM(N197:N212)</f>
        <v>0</v>
      </c>
      <c r="O213" s="989">
        <f>SUM(O197:O212)</f>
        <v>0</v>
      </c>
      <c r="R213" s="908"/>
      <c r="S213" s="908"/>
      <c r="X213" s="817"/>
    </row>
    <row r="214" spans="1:28" s="113" customFormat="1" hidden="1" outlineLevel="1">
      <c r="R214" s="908"/>
      <c r="S214" s="908"/>
      <c r="X214" s="817"/>
    </row>
    <row r="215" spans="1:28" collapsed="1"/>
    <row r="216" spans="1:28" s="418" customFormat="1" ht="15.75" hidden="1" customHeight="1" collapsed="1">
      <c r="A216" s="113"/>
      <c r="B216" s="2730" t="s">
        <v>2443</v>
      </c>
      <c r="C216" s="2731"/>
      <c r="D216" s="2731"/>
      <c r="E216" s="2731"/>
      <c r="F216" s="2731"/>
      <c r="G216" s="2731"/>
      <c r="H216" s="2731"/>
      <c r="I216" s="2731"/>
      <c r="J216" s="2731"/>
      <c r="K216" s="2731"/>
      <c r="L216" s="2731"/>
      <c r="M216" s="2731"/>
      <c r="N216" s="2731"/>
      <c r="O216" s="2731"/>
      <c r="P216" s="2732"/>
      <c r="Q216" s="113"/>
      <c r="R216" s="113"/>
      <c r="S216" s="113"/>
      <c r="T216" s="113"/>
      <c r="U216" s="113"/>
      <c r="V216" s="113"/>
      <c r="W216" s="113"/>
      <c r="X216" s="113"/>
      <c r="Y216" s="113"/>
      <c r="Z216" s="113"/>
      <c r="AA216" s="113"/>
      <c r="AB216" s="113"/>
    </row>
    <row r="217" spans="1:28" s="418" customFormat="1" hidden="1" outlineLevel="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row>
    <row r="218" spans="1:28" s="418" customFormat="1" hidden="1" outlineLevel="1">
      <c r="A218" s="113"/>
      <c r="B218" s="113" t="s">
        <v>2549</v>
      </c>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row>
    <row r="219" spans="1:28" s="418" customFormat="1" hidden="1" outlineLevel="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row>
    <row r="220" spans="1:28" s="418" customFormat="1" hidden="1" outlineLevel="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row>
    <row r="221" spans="1:28" s="418" customFormat="1" hidden="1" outlineLevel="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row>
    <row r="222" spans="1:28" s="418" customFormat="1" hidden="1" outlineLevel="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row>
    <row r="223" spans="1:28" s="418" customFormat="1" hidden="1" outlineLevel="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row>
    <row r="224" spans="1:28" s="418" customFormat="1" hidden="1" outlineLevel="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row>
    <row r="225" spans="1:39" s="418" customFormat="1" hidden="1" collapsed="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row>
    <row r="226" spans="1:39" s="418" customFormat="1" ht="15.6" collapsed="1">
      <c r="A226" s="113"/>
      <c r="B226" s="2733" t="s">
        <v>2554</v>
      </c>
      <c r="C226" s="2734"/>
      <c r="D226" s="2734"/>
      <c r="E226" s="2734"/>
      <c r="F226" s="2734"/>
      <c r="G226" s="2734"/>
      <c r="H226" s="2734"/>
      <c r="I226" s="2734"/>
      <c r="J226" s="2734"/>
      <c r="K226" s="2734"/>
      <c r="L226" s="2734"/>
      <c r="M226" s="2734"/>
      <c r="N226" s="2734"/>
      <c r="O226" s="2734"/>
      <c r="P226" s="2735"/>
      <c r="Q226" s="113"/>
      <c r="R226" s="113"/>
      <c r="S226" s="113"/>
      <c r="T226" s="113"/>
      <c r="U226" s="113"/>
      <c r="V226" s="113"/>
      <c r="W226" s="113"/>
      <c r="X226" s="113"/>
      <c r="Y226" s="113"/>
      <c r="Z226" s="113"/>
      <c r="AA226" s="113"/>
      <c r="AB226" s="113"/>
    </row>
    <row r="227" spans="1:39" s="418" customFormat="1" hidden="1" outlineLevel="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row>
    <row r="228" spans="1:39" s="113" customFormat="1" ht="38.25" hidden="1" customHeight="1" outlineLevel="1">
      <c r="B228" s="205"/>
      <c r="C228" s="205"/>
      <c r="D228" s="205"/>
      <c r="E228" s="2736" t="s">
        <v>448</v>
      </c>
      <c r="F228" s="2737"/>
      <c r="G228" s="2737"/>
      <c r="H228" s="2737"/>
      <c r="I228" s="2737"/>
      <c r="J228" s="2737"/>
      <c r="K228" s="2737"/>
      <c r="L228" s="2737"/>
      <c r="M228" s="2738"/>
      <c r="N228" s="1794" t="s">
        <v>811</v>
      </c>
      <c r="O228" s="1795" t="s">
        <v>440</v>
      </c>
      <c r="Q228" s="908"/>
      <c r="R228" s="908"/>
      <c r="W228" s="817"/>
      <c r="AB228" s="576"/>
      <c r="AC228" s="576"/>
      <c r="AD228" s="576"/>
      <c r="AE228" s="576"/>
      <c r="AF228" s="576"/>
      <c r="AG228" s="576"/>
      <c r="AH228" s="576"/>
      <c r="AI228" s="576"/>
      <c r="AJ228" s="576"/>
      <c r="AK228" s="576"/>
      <c r="AL228" s="576"/>
      <c r="AM228" s="576"/>
    </row>
    <row r="229" spans="1:39" s="113" customFormat="1" ht="38.25" hidden="1" customHeight="1" outlineLevel="1">
      <c r="B229" s="2736" t="s">
        <v>438</v>
      </c>
      <c r="C229" s="2738"/>
      <c r="D229" s="1795" t="s">
        <v>2510</v>
      </c>
      <c r="E229" s="1796" t="s">
        <v>853</v>
      </c>
      <c r="F229" s="1796" t="s">
        <v>854</v>
      </c>
      <c r="G229" s="1796" t="s">
        <v>855</v>
      </c>
      <c r="H229" s="1796" t="s">
        <v>861</v>
      </c>
      <c r="I229" s="1796" t="s">
        <v>852</v>
      </c>
      <c r="J229" s="1797" t="s">
        <v>513</v>
      </c>
      <c r="K229" s="1796" t="s">
        <v>862</v>
      </c>
      <c r="L229" s="1796" t="s">
        <v>863</v>
      </c>
      <c r="M229" s="1796" t="s">
        <v>514</v>
      </c>
      <c r="N229" s="1798" t="s">
        <v>856</v>
      </c>
      <c r="O229" s="1799" t="s">
        <v>513</v>
      </c>
      <c r="Q229" s="908"/>
      <c r="R229" s="908"/>
      <c r="W229" s="817"/>
      <c r="AB229" s="576"/>
      <c r="AC229" s="576"/>
      <c r="AD229" s="576"/>
      <c r="AE229" s="576"/>
      <c r="AF229" s="576"/>
      <c r="AG229" s="576"/>
      <c r="AH229" s="576"/>
      <c r="AI229" s="576"/>
      <c r="AJ229" s="576"/>
      <c r="AK229" s="576"/>
      <c r="AL229" s="576"/>
      <c r="AM229" s="576"/>
    </row>
    <row r="230" spans="1:39" s="113" customFormat="1" ht="12.75" hidden="1" customHeight="1" outlineLevel="1">
      <c r="B230" s="2722" t="s">
        <v>2481</v>
      </c>
      <c r="C230" s="2723"/>
      <c r="D230" s="973" t="s">
        <v>2503</v>
      </c>
      <c r="E230" s="980">
        <f>SUMIF($F$9:$F$100,Utilitaires!$E$572,R$9:R$100)+SUMIF($F$9:$F$100,Utilitaires!$E$577,R$9:R$100)
+SUMIF($F$9:$F$100,Utilitaires!$E$573,R$9:R$100)+SUMIF($F$9:$F$100,Utilitaires!$E$578,R$9:R$100)</f>
        <v>0</v>
      </c>
      <c r="F230" s="980">
        <f>SUMIF($F$9:$F$100,Utilitaires!$E$572,S$9:S$100)+SUMIF($F$9:$F$100,Utilitaires!$E$577,S$9:S$100)
+SUMIF($F$9:$F$100,Utilitaires!$E$573,S$9:S$100)+SUMIF($F$9:$F$100,Utilitaires!$E$578,S$9:S$100)</f>
        <v>0</v>
      </c>
      <c r="G230" s="980">
        <f>SUMIF($F$9:$F$100,Utilitaires!$E$572,T$9:T$100)+SUMIF($F$9:$F$100,Utilitaires!$E$577,T$9:T$100)
+SUMIF($F$9:$F$100,Utilitaires!$E$573,T$9:T$100)+SUMIF($F$9:$F$100,Utilitaires!$E$578,T$9:T$100)</f>
        <v>0</v>
      </c>
      <c r="H230" s="980">
        <f>SUMIF($F$51:$F$59,Utilitaires!$E$572,U$51:U$59)+SUMIF($F$51:$F$59,Utilitaires!$E$577,U$51:U$59)
+SUMIF($F$51:$F$59,Utilitaires!$E$573,U$51:U$59)+SUMIF($F$51:$F$59,Utilitaires!$E$578,U$51:U$59)</f>
        <v>0</v>
      </c>
      <c r="I230" s="980">
        <f>SUMIF($F$92:$F$100,Utilitaires!$E$572,U$92:U$100)+SUMIF($F$92:$F$100,Utilitaires!$E$577,U$92:U$100)
+SUMIF($F$92:$F$100,Utilitaires!$E$573,U$92:U$100)+SUMIF($F$92:$F$100,Utilitaires!$E$578,U$92:U$100)</f>
        <v>0</v>
      </c>
      <c r="J230" s="981">
        <f>SUM(E230:I230)</f>
        <v>0</v>
      </c>
      <c r="K230" s="982">
        <v>0</v>
      </c>
      <c r="L230" s="982">
        <f>SUMIF($F$9:$F$100,Utilitaires!$E$572,W$9:W$100)+SUMIF($F$9:$F$100,Utilitaires!$E$577,W$9:W$100)
+SUMIF($F$9:$F$100,Utilitaires!$E$573,W$9:W$100)+SUMIF($F$9:$F$100,Utilitaires!$E$578,W$9:W$100)</f>
        <v>0</v>
      </c>
      <c r="M230" s="983">
        <f>SQRT(SUMPRODUCT(($F$9:$F$100=Utilitaires!$E$572)*1,O$9:O$100,O$9:O$100)+SUMPRODUCT(($F$9:$F$100=Utilitaires!$E$577)*1,O$9:O$100,O$9:O$100)
+SUMPRODUCT(($F$9:$F$100=Utilitaires!$E$573)*1,O$9:O$100,O$9:O$100)+SUMPRODUCT(($F$9:$F$100=Utilitaires!$E$578)*1,O$9:O$100,O$9:O$100))</f>
        <v>0</v>
      </c>
      <c r="N230" s="984"/>
      <c r="O230" s="1886" t="s">
        <v>817</v>
      </c>
      <c r="Q230" s="908"/>
      <c r="R230" s="908"/>
      <c r="W230" s="817"/>
      <c r="AB230" s="576"/>
      <c r="AC230" s="576"/>
      <c r="AD230" s="576"/>
      <c r="AE230" s="576"/>
      <c r="AF230" s="576"/>
      <c r="AG230" s="576"/>
      <c r="AH230" s="576"/>
      <c r="AI230" s="576"/>
      <c r="AJ230" s="576"/>
      <c r="AK230" s="576"/>
      <c r="AL230" s="576"/>
      <c r="AM230" s="576"/>
    </row>
    <row r="231" spans="1:39" s="113" customFormat="1" ht="12.75" hidden="1" customHeight="1" outlineLevel="1">
      <c r="B231" s="2722" t="s">
        <v>2482</v>
      </c>
      <c r="C231" s="2723"/>
      <c r="D231" s="1896" t="s">
        <v>2504</v>
      </c>
      <c r="E231" s="980"/>
      <c r="F231" s="980"/>
      <c r="G231" s="980"/>
      <c r="H231" s="980"/>
      <c r="I231" s="980"/>
      <c r="J231" s="981"/>
      <c r="K231" s="982"/>
      <c r="L231" s="982"/>
      <c r="M231" s="983"/>
      <c r="N231" s="984"/>
      <c r="O231" s="990"/>
      <c r="Q231" s="908"/>
      <c r="R231" s="908"/>
      <c r="W231" s="817"/>
      <c r="AB231" s="576"/>
      <c r="AC231" s="576"/>
      <c r="AD231" s="576"/>
      <c r="AE231" s="576"/>
      <c r="AF231" s="576"/>
      <c r="AG231" s="576"/>
      <c r="AH231" s="576"/>
      <c r="AI231" s="576"/>
      <c r="AJ231" s="576"/>
      <c r="AK231" s="576"/>
      <c r="AL231" s="576"/>
      <c r="AM231" s="576"/>
    </row>
    <row r="232" spans="1:39" s="113" customFormat="1" ht="12.75" hidden="1" customHeight="1" outlineLevel="1">
      <c r="B232" s="2722" t="s">
        <v>2483</v>
      </c>
      <c r="C232" s="2723"/>
      <c r="D232" s="973" t="s">
        <v>2505</v>
      </c>
      <c r="E232" s="980"/>
      <c r="F232" s="980"/>
      <c r="G232" s="980"/>
      <c r="H232" s="980"/>
      <c r="I232" s="980"/>
      <c r="J232" s="981"/>
      <c r="K232" s="982"/>
      <c r="L232" s="982"/>
      <c r="M232" s="983"/>
      <c r="N232" s="984"/>
      <c r="O232" s="984"/>
      <c r="Q232" s="908"/>
      <c r="R232" s="908"/>
      <c r="W232" s="817"/>
      <c r="AB232" s="576"/>
      <c r="AC232" s="576"/>
      <c r="AD232" s="576"/>
      <c r="AE232" s="576"/>
      <c r="AF232" s="576"/>
      <c r="AG232" s="576"/>
      <c r="AH232" s="576"/>
      <c r="AI232" s="576"/>
      <c r="AJ232" s="576"/>
      <c r="AK232" s="576"/>
      <c r="AL232" s="576"/>
      <c r="AM232" s="576"/>
    </row>
    <row r="233" spans="1:39" s="113" customFormat="1" ht="26.25" hidden="1" customHeight="1" outlineLevel="1">
      <c r="B233" s="2739" t="s">
        <v>2485</v>
      </c>
      <c r="C233" s="2740"/>
      <c r="D233" s="1896" t="s">
        <v>2506</v>
      </c>
      <c r="E233" s="980"/>
      <c r="F233" s="980"/>
      <c r="G233" s="980"/>
      <c r="H233" s="980"/>
      <c r="I233" s="980"/>
      <c r="J233" s="981"/>
      <c r="K233" s="982"/>
      <c r="L233" s="982"/>
      <c r="M233" s="983"/>
      <c r="N233" s="984"/>
      <c r="O233" s="984"/>
      <c r="Q233" s="908"/>
      <c r="R233" s="908"/>
      <c r="W233" s="817"/>
      <c r="AB233" s="576"/>
      <c r="AC233" s="576"/>
      <c r="AD233" s="576"/>
      <c r="AE233" s="576"/>
      <c r="AF233" s="576"/>
      <c r="AG233" s="576"/>
      <c r="AH233" s="576"/>
      <c r="AI233" s="576"/>
      <c r="AJ233" s="576"/>
      <c r="AK233" s="576"/>
      <c r="AL233" s="576"/>
      <c r="AM233" s="576"/>
    </row>
    <row r="234" spans="1:39" s="113" customFormat="1" ht="26.25" hidden="1" customHeight="1" outlineLevel="1">
      <c r="B234" s="2739" t="s">
        <v>2484</v>
      </c>
      <c r="C234" s="2740"/>
      <c r="D234" s="1897" t="s">
        <v>2507</v>
      </c>
      <c r="E234" s="980">
        <f>SUMIF($F$9:$F$100,Utilitaires!$E$574,R$9:R$100)</f>
        <v>0</v>
      </c>
      <c r="F234" s="980">
        <f>SUMIF($F$9:$F$100,Utilitaires!$E$574,S$9:S$100)</f>
        <v>0</v>
      </c>
      <c r="G234" s="980">
        <f>SUMIF($F$9:$F$100,Utilitaires!$E$574,T$9:T$100)</f>
        <v>0</v>
      </c>
      <c r="H234" s="980">
        <f>SUMIF($F$51:$F$59,Utilitaires!$E$574,U$51:U$59)</f>
        <v>0</v>
      </c>
      <c r="I234" s="980">
        <f>SUMIF($F$92:$F$100,Utilitaires!$E$574,U$92:U$100)</f>
        <v>0</v>
      </c>
      <c r="J234" s="981">
        <f>SUM(E234:I234)</f>
        <v>0</v>
      </c>
      <c r="K234" s="982">
        <v>0</v>
      </c>
      <c r="L234" s="982">
        <f>SUMIF($F$9:$F$100,Utilitaires!$E$574,W$9:W$100)</f>
        <v>0</v>
      </c>
      <c r="M234" s="983">
        <f>SQRT(SUMPRODUCT(($F$9:$F$100=Utilitaires!$E$574)*1,O$9:O$100,O$9:O$100))</f>
        <v>0</v>
      </c>
      <c r="N234" s="984"/>
      <c r="O234" s="984"/>
      <c r="Q234" s="908"/>
      <c r="R234" s="908"/>
      <c r="W234" s="817"/>
      <c r="AB234" s="576"/>
      <c r="AC234" s="576"/>
      <c r="AD234" s="576"/>
      <c r="AE234" s="576"/>
      <c r="AF234" s="576"/>
      <c r="AG234" s="576"/>
      <c r="AH234" s="576"/>
      <c r="AI234" s="576"/>
      <c r="AJ234" s="576"/>
      <c r="AK234" s="576"/>
      <c r="AL234" s="576"/>
      <c r="AM234" s="576"/>
    </row>
    <row r="235" spans="1:39" s="113" customFormat="1" ht="26.25" hidden="1" customHeight="1" outlineLevel="1">
      <c r="B235" s="2739" t="s">
        <v>2486</v>
      </c>
      <c r="C235" s="2740"/>
      <c r="D235" s="973" t="s">
        <v>2508</v>
      </c>
      <c r="E235" s="980"/>
      <c r="F235" s="980"/>
      <c r="G235" s="980"/>
      <c r="H235" s="980"/>
      <c r="I235" s="980"/>
      <c r="J235" s="981"/>
      <c r="K235" s="982"/>
      <c r="L235" s="982"/>
      <c r="M235" s="983"/>
      <c r="N235" s="984"/>
      <c r="O235" s="984"/>
      <c r="Q235" s="908"/>
      <c r="R235" s="908"/>
      <c r="W235" s="817"/>
      <c r="AB235" s="576"/>
      <c r="AC235" s="576"/>
      <c r="AD235" s="576"/>
      <c r="AE235" s="576"/>
      <c r="AF235" s="576"/>
      <c r="AG235" s="576"/>
      <c r="AH235" s="576"/>
      <c r="AI235" s="576"/>
      <c r="AJ235" s="576"/>
      <c r="AK235" s="576"/>
      <c r="AL235" s="576"/>
      <c r="AM235" s="576"/>
    </row>
    <row r="236" spans="1:39" s="113" customFormat="1" ht="12.75" hidden="1" customHeight="1" outlineLevel="1">
      <c r="B236" s="2722" t="s">
        <v>449</v>
      </c>
      <c r="C236" s="2723"/>
      <c r="D236" s="1898" t="s">
        <v>2509</v>
      </c>
      <c r="E236" s="980">
        <f>SUMIF($F$9:$F$100,Utilitaires!$E$575,R$9:R$100)+SUMIF($F$9:$F$100,Utilitaires!$E$579,R$9:R$100)</f>
        <v>0</v>
      </c>
      <c r="F236" s="980">
        <f>SUMIF($F$9:$F$100,Utilitaires!$E$575,S$9:S$100)+SUMIF($F$9:$F$100,Utilitaires!$E$579,S$9:S$100)</f>
        <v>0</v>
      </c>
      <c r="G236" s="980">
        <f>SUMIF($F$9:$F$100,Utilitaires!$E$575,T$9:T$100)+SUMIF($F$9:$F$100,Utilitaires!$E$579,T$9:T$100)</f>
        <v>0</v>
      </c>
      <c r="H236" s="980">
        <f>SUMIF($F$51:$F$59,Utilitaires!$E$575,U$51:U$59)+SUMIF($F$51:$F$59,Utilitaires!$E$579,U$51:U$59)</f>
        <v>0</v>
      </c>
      <c r="I236" s="980">
        <f>SUMIF($F$92:$F$100,Utilitaires!$E$575,U$92:U$100)+SUMIF($F$92:$F$100,Utilitaires!$E$579,U$92:U$100)</f>
        <v>0</v>
      </c>
      <c r="J236" s="981">
        <f>SUM(E236:I236)</f>
        <v>0</v>
      </c>
      <c r="K236" s="982">
        <v>0</v>
      </c>
      <c r="L236" s="982">
        <f>SUMIF($F$9:$F$100,Utilitaires!$E$575,W$9:W$100)+SUMIF($F$9:$F$100,Utilitaires!$E$579,W$9:W$100)</f>
        <v>0</v>
      </c>
      <c r="M236" s="983">
        <f>SQRT(SUMPRODUCT(($F$9:$F$100=Utilitaires!$E$575)*1,O$9:O$100,O$9:O$100)+SUMPRODUCT(($F$9:$F$100=Utilitaires!$E$579)*1,O$9:O$100,O$9:O$100))</f>
        <v>0</v>
      </c>
      <c r="N236" s="984"/>
      <c r="O236" s="984"/>
      <c r="Q236" s="908"/>
      <c r="R236" s="908"/>
      <c r="W236" s="817"/>
      <c r="AB236" s="576"/>
      <c r="AC236" s="576"/>
      <c r="AD236" s="576"/>
      <c r="AE236" s="576"/>
      <c r="AF236" s="576"/>
      <c r="AG236" s="576"/>
      <c r="AH236" s="576"/>
      <c r="AI236" s="576"/>
      <c r="AJ236" s="576"/>
      <c r="AK236" s="576"/>
      <c r="AL236" s="576"/>
      <c r="AM236" s="576"/>
    </row>
    <row r="237" spans="1:39" s="418" customFormat="1" hidden="1" outlineLevel="1">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row>
    <row r="238" spans="1:39" s="418" customFormat="1" collapsed="1">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row>
    <row r="239" spans="1:39"/>
    <row r="240" spans="1: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sheetData>
  <mergeCells count="184">
    <mergeCell ref="B2:P2"/>
    <mergeCell ref="D4:E4"/>
    <mergeCell ref="F4:G4"/>
    <mergeCell ref="H4:I4"/>
    <mergeCell ref="J4:K4"/>
    <mergeCell ref="L4:M4"/>
    <mergeCell ref="O4:P4"/>
    <mergeCell ref="L9:O9"/>
    <mergeCell ref="R9:W9"/>
    <mergeCell ref="Y10:Z10"/>
    <mergeCell ref="M11:N11"/>
    <mergeCell ref="R11:U11"/>
    <mergeCell ref="M12:N12"/>
    <mergeCell ref="D5:E5"/>
    <mergeCell ref="F5:G5"/>
    <mergeCell ref="H5:I5"/>
    <mergeCell ref="J5:K5"/>
    <mergeCell ref="L5:M5"/>
    <mergeCell ref="B7:P7"/>
    <mergeCell ref="M23:N23"/>
    <mergeCell ref="L28:O28"/>
    <mergeCell ref="R28:W28"/>
    <mergeCell ref="Y29:Z29"/>
    <mergeCell ref="M30:N30"/>
    <mergeCell ref="R30:U30"/>
    <mergeCell ref="B18:P18"/>
    <mergeCell ref="L20:O20"/>
    <mergeCell ref="R20:W20"/>
    <mergeCell ref="Y21:Z21"/>
    <mergeCell ref="M22:N22"/>
    <mergeCell ref="R22:U22"/>
    <mergeCell ref="M31:N31"/>
    <mergeCell ref="B37:P37"/>
    <mergeCell ref="L39:O39"/>
    <mergeCell ref="R39:W39"/>
    <mergeCell ref="Y40:Z40"/>
    <mergeCell ref="H41:H42"/>
    <mergeCell ref="M41:N41"/>
    <mergeCell ref="R41:U41"/>
    <mergeCell ref="M42:N42"/>
    <mergeCell ref="Y65:Z65"/>
    <mergeCell ref="M66:N66"/>
    <mergeCell ref="R66:U66"/>
    <mergeCell ref="B49:P49"/>
    <mergeCell ref="L51:O51"/>
    <mergeCell ref="R51:W51"/>
    <mergeCell ref="Y52:Z52"/>
    <mergeCell ref="H53:H54"/>
    <mergeCell ref="M53:N53"/>
    <mergeCell ref="R53:U53"/>
    <mergeCell ref="M54:N54"/>
    <mergeCell ref="G79:G80"/>
    <mergeCell ref="H79:H80"/>
    <mergeCell ref="I79:I80"/>
    <mergeCell ref="M79:N79"/>
    <mergeCell ref="R79:U79"/>
    <mergeCell ref="M80:N80"/>
    <mergeCell ref="B62:P62"/>
    <mergeCell ref="L64:O64"/>
    <mergeCell ref="R64:W64"/>
    <mergeCell ref="Y93:Z93"/>
    <mergeCell ref="H94:H95"/>
    <mergeCell ref="M94:N94"/>
    <mergeCell ref="R94:U94"/>
    <mergeCell ref="M95:N95"/>
    <mergeCell ref="M67:N67"/>
    <mergeCell ref="L77:O77"/>
    <mergeCell ref="R77:W77"/>
    <mergeCell ref="Y78:Z78"/>
    <mergeCell ref="B105:P105"/>
    <mergeCell ref="B107:C108"/>
    <mergeCell ref="D107:F107"/>
    <mergeCell ref="H107:I107"/>
    <mergeCell ref="K107:N107"/>
    <mergeCell ref="B109:C109"/>
    <mergeCell ref="B90:P90"/>
    <mergeCell ref="L92:O92"/>
    <mergeCell ref="R92:W92"/>
    <mergeCell ref="E120:L120"/>
    <mergeCell ref="B121:C121"/>
    <mergeCell ref="B122:C122"/>
    <mergeCell ref="B123:C123"/>
    <mergeCell ref="B124:C124"/>
    <mergeCell ref="B125:C125"/>
    <mergeCell ref="B110:C110"/>
    <mergeCell ref="B111:C111"/>
    <mergeCell ref="B112:C112"/>
    <mergeCell ref="B113:C113"/>
    <mergeCell ref="B115:C115"/>
    <mergeCell ref="B118:P118"/>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44:C144"/>
    <mergeCell ref="B145:C145"/>
    <mergeCell ref="B146:C146"/>
    <mergeCell ref="B147:C147"/>
    <mergeCell ref="B150:P150"/>
    <mergeCell ref="E152:N152"/>
    <mergeCell ref="B138:C138"/>
    <mergeCell ref="B139:C139"/>
    <mergeCell ref="B140:C140"/>
    <mergeCell ref="B141:C141"/>
    <mergeCell ref="B142:C142"/>
    <mergeCell ref="B143:C143"/>
    <mergeCell ref="B159:C159"/>
    <mergeCell ref="B160:C160"/>
    <mergeCell ref="B161:D161"/>
    <mergeCell ref="B162:O162"/>
    <mergeCell ref="B163:C163"/>
    <mergeCell ref="B164:C164"/>
    <mergeCell ref="B153:C153"/>
    <mergeCell ref="B154:C154"/>
    <mergeCell ref="B155:C155"/>
    <mergeCell ref="B156:C156"/>
    <mergeCell ref="B157:C157"/>
    <mergeCell ref="B158:D158"/>
    <mergeCell ref="B171:C171"/>
    <mergeCell ref="B172:O172"/>
    <mergeCell ref="B173:C173"/>
    <mergeCell ref="B174:C174"/>
    <mergeCell ref="B175:C175"/>
    <mergeCell ref="B176:C176"/>
    <mergeCell ref="B165:C165"/>
    <mergeCell ref="B166:C166"/>
    <mergeCell ref="B167:C167"/>
    <mergeCell ref="B168:C168"/>
    <mergeCell ref="B169:C169"/>
    <mergeCell ref="B170:C170"/>
    <mergeCell ref="O188:O193"/>
    <mergeCell ref="B189:C189"/>
    <mergeCell ref="B190:C190"/>
    <mergeCell ref="B191:C191"/>
    <mergeCell ref="B192:C192"/>
    <mergeCell ref="B193:D193"/>
    <mergeCell ref="B177:C177"/>
    <mergeCell ref="B178:C178"/>
    <mergeCell ref="B179:C179"/>
    <mergeCell ref="B180:C180"/>
    <mergeCell ref="B181:D181"/>
    <mergeCell ref="B184:P184"/>
    <mergeCell ref="B194:C194"/>
    <mergeCell ref="B195:C195"/>
    <mergeCell ref="B196:D196"/>
    <mergeCell ref="B197:C197"/>
    <mergeCell ref="B198:C198"/>
    <mergeCell ref="B199:C199"/>
    <mergeCell ref="E186:M186"/>
    <mergeCell ref="B187:C187"/>
    <mergeCell ref="B188:C188"/>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35:C235"/>
    <mergeCell ref="B236:C236"/>
    <mergeCell ref="B229:C229"/>
    <mergeCell ref="B230:C230"/>
    <mergeCell ref="B231:C231"/>
    <mergeCell ref="B232:C232"/>
    <mergeCell ref="B233:C233"/>
    <mergeCell ref="B234:C234"/>
    <mergeCell ref="B212:C212"/>
    <mergeCell ref="B213:D213"/>
    <mergeCell ref="B216:P216"/>
    <mergeCell ref="B226:P226"/>
    <mergeCell ref="E228:M228"/>
  </mergeCells>
  <dataValidations count="7">
    <dataValidation type="list" allowBlank="1" showInputMessage="1" showErrorMessage="1" sqref="B81:B84" xr:uid="{00000000-0002-0000-0400-000000000000}">
      <formula1>FE_HorsEnergie_Agriculture</formula1>
    </dataValidation>
    <dataValidation type="list" allowBlank="1" showInputMessage="1" showErrorMessage="1" sqref="B55:B57" xr:uid="{00000000-0002-0000-0400-000001000000}">
      <formula1>FE_HorsEnergie_PRGKyoto</formula1>
    </dataValidation>
    <dataValidation type="list" allowBlank="1" showInputMessage="1" showErrorMessage="1" sqref="M13 M24 M32 M68:M73 M43:M44 M55:M57 M96:M98 M81:M86" xr:uid="{00000000-0002-0000-0400-000002000000}">
      <formula1>Choix_Incertitudes</formula1>
    </dataValidation>
    <dataValidation type="list" allowBlank="1" showInputMessage="1" showErrorMessage="1" sqref="B68:B73" xr:uid="{00000000-0002-0000-0400-000003000000}">
      <formula1>FE_HorsEnergie_Alim_Dig_Dej</formula1>
    </dataValidation>
    <dataValidation type="list" allowBlank="1" showInputMessage="1" showErrorMessage="1" sqref="F13 F24 F68:F73 F32 F43:F44 F55:F57 F96:F98 F81:F86" xr:uid="{00000000-0002-0000-0400-000004000000}">
      <formula1>Liste_Horsenergie</formula1>
    </dataValidation>
    <dataValidation allowBlank="1" showInputMessage="1" showErrorMessage="1" sqref="C68:C73 C55:C57 C96:C98 C81:C86" xr:uid="{00000000-0002-0000-0400-000005000000}"/>
    <dataValidation type="list" allowBlank="1" showInputMessage="1" showErrorMessage="1" sqref="B96:B98" xr:uid="{00000000-0002-0000-0400-000006000000}">
      <formula1>FE_HorsEnergie_PRGHorsKyoto</formula1>
    </dataValidation>
  </dataValidations>
  <hyperlinks>
    <hyperlink ref="D4" location="procedes1_haut" display="CO2 hors énergie" xr:uid="{00000000-0004-0000-0400-000000000000}"/>
    <hyperlink ref="F4" location="procedes1_N2O" display="N2O" xr:uid="{00000000-0004-0000-0400-000001000000}"/>
    <hyperlink ref="H4" location="procedes1_CH4" display="Méthane" xr:uid="{00000000-0004-0000-0400-000002000000}"/>
    <hyperlink ref="D5" location="procedes1_recap" display="total" xr:uid="{00000000-0004-0000-0400-000003000000}"/>
    <hyperlink ref="J4" location="procedes1_halo" display="Halocarbures" xr:uid="{00000000-0004-0000-0400-000004000000}"/>
    <hyperlink ref="L4" location="procedes1_divers" display="Hors Kyoto" xr:uid="{00000000-0004-0000-0400-000005000000}"/>
    <hyperlink ref="F5" location="horsenergie1_bilanGES" display="bilan GES" xr:uid="{00000000-0004-0000-0400-000006000000}"/>
    <hyperlink ref="H5" location="horsenergie1_GHGProtocol" display="GHG Protocol" xr:uid="{00000000-0004-0000-0400-000007000000}"/>
    <hyperlink ref="O4:P4" location="Descriptif!A1" display="Descriptif" xr:uid="{00000000-0004-0000-0400-000008000000}"/>
  </hyperlinks>
  <pageMargins left="0.7" right="0.7" top="0.75" bottom="0.75" header="0.3" footer="0.3"/>
  <ignoredErrors>
    <ignoredError sqref="I146" formula="1"/>
  </ignoredErrors>
  <legacyDrawing r:id="rId1"/>
  <extLst>
    <ext xmlns:x14="http://schemas.microsoft.com/office/spreadsheetml/2009/9/main" uri="{78C0D931-6437-407d-A8EE-F0AAD7539E65}">
      <x14:conditionalFormattings>
        <x14:conditionalFormatting xmlns:xm="http://schemas.microsoft.com/office/excel/2006/main">
          <x14:cfRule type="expression" priority="8" id="{83136AB7-2E58-41D1-9351-26491EDD193D}">
            <xm:f>$M13=Utilitaires!$N$572</xm:f>
            <x14:dxf>
              <fill>
                <patternFill>
                  <bgColor theme="0"/>
                </patternFill>
              </fill>
              <border>
                <left style="thin">
                  <color auto="1"/>
                </left>
                <right style="thin">
                  <color auto="1"/>
                </right>
                <top style="thin">
                  <color auto="1"/>
                </top>
                <bottom style="thin">
                  <color auto="1"/>
                </bottom>
                <vertical/>
                <horizontal/>
              </border>
            </x14:dxf>
          </x14:cfRule>
          <xm:sqref>N13 N68:N73 N81:N86 N96:N98</xm:sqref>
        </x14:conditionalFormatting>
        <x14:conditionalFormatting xmlns:xm="http://schemas.microsoft.com/office/excel/2006/main">
          <x14:cfRule type="expression" priority="7" id="{5D061039-0708-436F-A9E5-3DE052CF9511}">
            <xm:f>$M24=Utilitaires!$N$572</xm:f>
            <x14:dxf>
              <fill>
                <patternFill>
                  <bgColor theme="0"/>
                </patternFill>
              </fill>
              <border>
                <left style="thin">
                  <color auto="1"/>
                </left>
                <right style="thin">
                  <color auto="1"/>
                </right>
                <top style="thin">
                  <color auto="1"/>
                </top>
                <bottom style="thin">
                  <color auto="1"/>
                </bottom>
                <vertical/>
                <horizontal/>
              </border>
            </x14:dxf>
          </x14:cfRule>
          <xm:sqref>N24</xm:sqref>
        </x14:conditionalFormatting>
        <x14:conditionalFormatting xmlns:xm="http://schemas.microsoft.com/office/excel/2006/main">
          <x14:cfRule type="expression" priority="6" id="{65B8CE3F-F6EF-4336-8F28-B2B4C8529D5C}">
            <xm:f>$M32=Utilitaires!$N$572</xm:f>
            <x14:dxf>
              <fill>
                <patternFill>
                  <bgColor theme="0"/>
                </patternFill>
              </fill>
              <border>
                <left style="thin">
                  <color auto="1"/>
                </left>
                <right style="thin">
                  <color auto="1"/>
                </right>
                <top style="thin">
                  <color auto="1"/>
                </top>
                <bottom style="thin">
                  <color auto="1"/>
                </bottom>
                <vertical/>
                <horizontal/>
              </border>
            </x14:dxf>
          </x14:cfRule>
          <xm:sqref>N32</xm:sqref>
        </x14:conditionalFormatting>
        <x14:conditionalFormatting xmlns:xm="http://schemas.microsoft.com/office/excel/2006/main">
          <x14:cfRule type="expression" priority="2" id="{D8FB68E4-99D5-4835-8416-2D52FD799EB0}">
            <xm:f>$M57=Utilitaires!$N$572</xm:f>
            <x14:dxf>
              <fill>
                <patternFill>
                  <bgColor theme="0"/>
                </patternFill>
              </fill>
              <border>
                <left style="thin">
                  <color auto="1"/>
                </left>
                <right style="thin">
                  <color auto="1"/>
                </right>
                <top style="thin">
                  <color auto="1"/>
                </top>
                <bottom style="thin">
                  <color auto="1"/>
                </bottom>
                <vertical/>
                <horizontal/>
              </border>
            </x14:dxf>
          </x14:cfRule>
          <xm:sqref>N57</xm:sqref>
        </x14:conditionalFormatting>
        <x14:conditionalFormatting xmlns:xm="http://schemas.microsoft.com/office/excel/2006/main">
          <x14:cfRule type="expression" priority="5" id="{0730AD37-033E-4CBE-B6E2-806F2764B8C3}">
            <xm:f>$M43=Utilitaires!$N$572</xm:f>
            <x14:dxf>
              <fill>
                <patternFill>
                  <bgColor theme="0"/>
                </patternFill>
              </fill>
              <border>
                <left style="thin">
                  <color auto="1"/>
                </left>
                <right style="thin">
                  <color auto="1"/>
                </right>
                <top style="thin">
                  <color auto="1"/>
                </top>
                <bottom style="thin">
                  <color auto="1"/>
                </bottom>
                <vertical/>
                <horizontal/>
              </border>
            </x14:dxf>
          </x14:cfRule>
          <xm:sqref>N43</xm:sqref>
        </x14:conditionalFormatting>
        <x14:conditionalFormatting xmlns:xm="http://schemas.microsoft.com/office/excel/2006/main">
          <x14:cfRule type="expression" priority="4" id="{26152C96-10E1-419F-8626-860B135BAC54}">
            <xm:f>$M44=Utilitaires!$N$572</xm:f>
            <x14:dxf>
              <fill>
                <patternFill>
                  <bgColor theme="0"/>
                </patternFill>
              </fill>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3" id="{26250003-5E7C-4D51-BE11-FEA256B8E9C8}">
            <xm:f>$M55=Utilitaires!$N$572</xm:f>
            <x14:dxf>
              <fill>
                <patternFill>
                  <bgColor theme="0"/>
                </patternFill>
              </fill>
              <border>
                <left style="thin">
                  <color auto="1"/>
                </left>
                <right style="thin">
                  <color auto="1"/>
                </right>
                <top style="thin">
                  <color auto="1"/>
                </top>
                <bottom style="thin">
                  <color auto="1"/>
                </bottom>
                <vertical/>
                <horizontal/>
              </border>
            </x14:dxf>
          </x14:cfRule>
          <xm:sqref>N55</xm:sqref>
        </x14:conditionalFormatting>
        <x14:conditionalFormatting xmlns:xm="http://schemas.microsoft.com/office/excel/2006/main">
          <x14:cfRule type="expression" priority="1" id="{B60FBA92-0C7D-4F83-96CD-E731D1F7958A}">
            <xm:f>$M56=Utilitaires!$N$572</xm:f>
            <x14:dxf>
              <fill>
                <patternFill>
                  <bgColor theme="0"/>
                </patternFill>
              </fill>
              <border>
                <left style="thin">
                  <color auto="1"/>
                </left>
                <right style="thin">
                  <color auto="1"/>
                </right>
                <top style="thin">
                  <color auto="1"/>
                </top>
                <bottom style="thin">
                  <color auto="1"/>
                </bottom>
                <vertical/>
                <horizontal/>
              </border>
            </x14:dxf>
          </x14:cfRule>
          <xm:sqref>N56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'FE Hors Energie'!$F$81:$F$82</xm:f>
          </x14:formula1>
          <xm:sqref>B85:B86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5"/>
    <outlinePr summaryBelow="0" summaryRight="0"/>
  </sheetPr>
  <dimension ref="A1:AM517"/>
  <sheetViews>
    <sheetView showGridLines="0" zoomScale="85" zoomScaleNormal="85" workbookViewId="0">
      <pane xSplit="3" ySplit="7" topLeftCell="D297" activePane="bottomRight" state="frozenSplit"/>
      <selection activeCell="E9" sqref="E9"/>
      <selection pane="topRight" activeCell="E9" sqref="E9"/>
      <selection pane="bottomLeft" activeCell="E9" sqref="E9"/>
      <selection pane="bottomRight" activeCell="B302" sqref="B302"/>
    </sheetView>
  </sheetViews>
  <sheetFormatPr baseColWidth="10" defaultColWidth="10.875" defaultRowHeight="11.4" zeroHeight="1" outlineLevelRow="1" outlineLevelCol="1"/>
  <cols>
    <col min="1" max="1" width="2.75" style="113" customWidth="1"/>
    <col min="2" max="2" width="52.75" style="113" customWidth="1"/>
    <col min="3" max="3" width="2.375" style="113" customWidth="1"/>
    <col min="4" max="6" width="12.25" style="113" customWidth="1"/>
    <col min="7" max="7" width="13.375" style="113" bestFit="1" customWidth="1"/>
    <col min="8" max="8" width="26" style="113" bestFit="1" customWidth="1"/>
    <col min="9" max="10" width="17.875" style="113" customWidth="1"/>
    <col min="11" max="11" width="13.25" style="113" customWidth="1"/>
    <col min="12" max="15" width="12.25" style="113" customWidth="1"/>
    <col min="16" max="16" width="12.25" style="576" customWidth="1"/>
    <col min="17" max="17" width="12.25" style="113" customWidth="1"/>
    <col min="18" max="20" width="10.875" style="113"/>
    <col min="21" max="21" width="12.25" style="113" customWidth="1" collapsed="1"/>
    <col min="22" max="25" width="12.25" style="113" hidden="1" customWidth="1" outlineLevel="1"/>
    <col min="26" max="27" width="12.25" style="576" hidden="1" customWidth="1" outlineLevel="1"/>
    <col min="28" max="28" width="12.25" style="576" customWidth="1" collapsed="1"/>
    <col min="29" max="29" width="16.75" style="576" hidden="1" customWidth="1" outlineLevel="1"/>
    <col min="30" max="30" width="12.25" style="576" hidden="1" customWidth="1" outlineLevel="1"/>
    <col min="31" max="31" width="10.875" style="113" hidden="1" customWidth="1" outlineLevel="1"/>
    <col min="32" max="16384" width="10.875" style="113"/>
  </cols>
  <sheetData>
    <row r="1" spans="2:30" ht="22.8">
      <c r="B1" s="237"/>
      <c r="U1" s="1645" t="s">
        <v>2441</v>
      </c>
      <c r="AB1" s="1644" t="s">
        <v>2440</v>
      </c>
    </row>
    <row r="2" spans="2:30" ht="30" customHeight="1">
      <c r="B2" s="2602" t="str">
        <f>Descriptif!C27</f>
        <v>Intrants 1</v>
      </c>
      <c r="C2" s="2603"/>
      <c r="D2" s="2603"/>
      <c r="E2" s="2603"/>
      <c r="F2" s="2603"/>
      <c r="G2" s="2603"/>
      <c r="H2" s="2603"/>
      <c r="I2" s="2603"/>
      <c r="J2" s="2603"/>
      <c r="K2" s="2603"/>
      <c r="L2" s="2603"/>
      <c r="M2" s="2603"/>
      <c r="N2" s="2603"/>
      <c r="O2" s="2604"/>
    </row>
    <row r="3" spans="2:30" s="253" customFormat="1" ht="13.8">
      <c r="D3" s="115"/>
      <c r="E3" s="115"/>
      <c r="F3" s="115"/>
      <c r="H3" s="115"/>
      <c r="J3" s="115"/>
      <c r="L3" s="115"/>
      <c r="N3" s="115"/>
      <c r="P3" s="618"/>
      <c r="Z3" s="618"/>
      <c r="AA3" s="618"/>
      <c r="AB3" s="618"/>
      <c r="AC3" s="618"/>
      <c r="AD3" s="618"/>
    </row>
    <row r="4" spans="2:30" s="253" customFormat="1" ht="13.8">
      <c r="B4" s="209" t="s">
        <v>536</v>
      </c>
      <c r="C4" s="287"/>
      <c r="D4" s="2760" t="s">
        <v>3</v>
      </c>
      <c r="E4" s="2760"/>
      <c r="F4" s="2760" t="s">
        <v>207</v>
      </c>
      <c r="G4" s="2760"/>
      <c r="H4" s="2760" t="s">
        <v>297</v>
      </c>
      <c r="I4" s="2760"/>
      <c r="J4" s="2760" t="s">
        <v>367</v>
      </c>
      <c r="K4" s="2760"/>
      <c r="L4" s="2760" t="s">
        <v>548</v>
      </c>
      <c r="M4" s="2760"/>
      <c r="N4" s="2760" t="s">
        <v>549</v>
      </c>
      <c r="O4" s="2771"/>
      <c r="P4" s="618"/>
      <c r="Z4" s="618"/>
      <c r="AA4" s="618"/>
      <c r="AB4" s="618"/>
      <c r="AC4" s="618"/>
      <c r="AD4" s="618"/>
    </row>
    <row r="5" spans="2:30" s="211" customFormat="1" ht="13.8">
      <c r="B5" s="288"/>
      <c r="C5" s="73"/>
      <c r="D5" s="2772" t="s">
        <v>550</v>
      </c>
      <c r="E5" s="2772"/>
      <c r="F5" s="2772" t="s">
        <v>551</v>
      </c>
      <c r="G5" s="2772"/>
      <c r="H5" s="2772" t="s">
        <v>552</v>
      </c>
      <c r="I5" s="2772"/>
      <c r="J5" s="2772"/>
      <c r="K5" s="2772"/>
      <c r="L5" s="2772"/>
      <c r="M5" s="2772"/>
      <c r="N5" s="2772"/>
      <c r="O5" s="2773"/>
      <c r="P5" s="445"/>
      <c r="Z5" s="445"/>
      <c r="AA5" s="445"/>
      <c r="AB5" s="445"/>
      <c r="AC5" s="445"/>
      <c r="AD5" s="445"/>
    </row>
    <row r="6" spans="2:30" s="211" customFormat="1" ht="13.8">
      <c r="B6" s="194" t="s">
        <v>521</v>
      </c>
      <c r="C6" s="195"/>
      <c r="D6" s="2745" t="s">
        <v>212</v>
      </c>
      <c r="E6" s="2745"/>
      <c r="F6" s="2745" t="s">
        <v>484</v>
      </c>
      <c r="G6" s="2745"/>
      <c r="H6" s="2745" t="s">
        <v>758</v>
      </c>
      <c r="I6" s="2745"/>
      <c r="J6" s="2745" t="s">
        <v>818</v>
      </c>
      <c r="K6" s="2745"/>
      <c r="L6" s="2745" t="s">
        <v>2444</v>
      </c>
      <c r="M6" s="2745"/>
      <c r="N6" s="2761" t="s">
        <v>893</v>
      </c>
      <c r="O6" s="2762"/>
      <c r="P6" s="445"/>
      <c r="Z6" s="445"/>
      <c r="AA6" s="445"/>
      <c r="AB6" s="445"/>
      <c r="AC6" s="445"/>
      <c r="AD6" s="445"/>
    </row>
    <row r="7" spans="2:30" s="211" customFormat="1" ht="13.8">
      <c r="B7" s="115"/>
      <c r="C7" s="115"/>
      <c r="D7" s="115"/>
      <c r="E7" s="115"/>
      <c r="F7" s="115"/>
      <c r="P7" s="445"/>
      <c r="Z7" s="445"/>
      <c r="AA7" s="445"/>
      <c r="AB7" s="445"/>
      <c r="AC7" s="445"/>
      <c r="AD7" s="445"/>
    </row>
    <row r="8" spans="2:30" s="114" customFormat="1" ht="15.6">
      <c r="B8" s="2652" t="s">
        <v>3</v>
      </c>
      <c r="C8" s="2653"/>
      <c r="D8" s="2653"/>
      <c r="E8" s="2653"/>
      <c r="F8" s="2653"/>
      <c r="G8" s="2653"/>
      <c r="H8" s="2653"/>
      <c r="I8" s="2653"/>
      <c r="J8" s="2653"/>
      <c r="K8" s="2653"/>
      <c r="L8" s="2653"/>
      <c r="M8" s="2653"/>
      <c r="N8" s="2653"/>
      <c r="O8" s="2654"/>
      <c r="P8" s="441"/>
      <c r="Z8" s="441"/>
      <c r="AA8" s="441"/>
      <c r="AB8" s="441"/>
      <c r="AC8" s="441"/>
      <c r="AD8" s="441"/>
    </row>
    <row r="9" spans="2:30" s="114" customFormat="1" ht="12.75" customHeight="1" outlineLevel="1">
      <c r="P9" s="441"/>
      <c r="Z9" s="441"/>
      <c r="AA9" s="441"/>
      <c r="AB9" s="441"/>
      <c r="AC9" s="441"/>
      <c r="AD9" s="441"/>
    </row>
    <row r="10" spans="2:30" s="114" customFormat="1" ht="12.75" customHeight="1" outlineLevel="1">
      <c r="B10" s="139" t="s">
        <v>3</v>
      </c>
      <c r="C10" s="140"/>
      <c r="D10" s="284"/>
      <c r="E10" s="1624"/>
      <c r="F10" s="141"/>
      <c r="G10" s="141"/>
      <c r="H10" s="141"/>
      <c r="I10" s="141"/>
      <c r="J10" s="142"/>
      <c r="L10" s="2636" t="s">
        <v>366</v>
      </c>
      <c r="M10" s="2637"/>
      <c r="N10" s="2637"/>
      <c r="O10" s="2638"/>
      <c r="V10" s="2639" t="s">
        <v>441</v>
      </c>
      <c r="W10" s="2640"/>
      <c r="X10" s="2640"/>
      <c r="Y10" s="2640"/>
      <c r="Z10" s="2640"/>
      <c r="AA10" s="2641"/>
    </row>
    <row r="11" spans="2:30" s="114" customFormat="1" ht="12.75" customHeight="1" outlineLevel="1">
      <c r="B11" s="332"/>
      <c r="C11" s="167"/>
      <c r="D11" s="286" t="s">
        <v>308</v>
      </c>
      <c r="E11" s="1625"/>
      <c r="F11" s="155"/>
      <c r="G11" s="155"/>
      <c r="H11" s="144"/>
      <c r="I11" s="144"/>
      <c r="J11" s="145"/>
      <c r="L11" s="298"/>
      <c r="M11" s="819"/>
      <c r="N11" s="827"/>
      <c r="O11" s="142"/>
      <c r="P11" s="2070"/>
      <c r="V11" s="2074"/>
      <c r="W11" s="2075"/>
      <c r="X11" s="2075"/>
      <c r="Y11" s="2075"/>
      <c r="Z11" s="2080"/>
      <c r="AA11" s="619"/>
      <c r="AC11" s="2616" t="s">
        <v>1648</v>
      </c>
      <c r="AD11" s="2617"/>
    </row>
    <row r="12" spans="2:30" s="114" customFormat="1" ht="12.75" customHeight="1" outlineLevel="1">
      <c r="B12" s="146"/>
      <c r="C12" s="285"/>
      <c r="D12" s="285" t="s">
        <v>409</v>
      </c>
      <c r="E12" s="1622"/>
      <c r="F12" s="147" t="s">
        <v>199</v>
      </c>
      <c r="G12" s="147" t="s">
        <v>119</v>
      </c>
      <c r="H12" s="2626" t="s">
        <v>1585</v>
      </c>
      <c r="I12" s="2628"/>
      <c r="J12" s="148" t="s">
        <v>444</v>
      </c>
      <c r="L12" s="1176" t="s">
        <v>316</v>
      </c>
      <c r="M12" s="2629" t="s">
        <v>530</v>
      </c>
      <c r="N12" s="2630"/>
      <c r="O12" s="539" t="s">
        <v>444</v>
      </c>
      <c r="P12" s="2079" t="s">
        <v>120</v>
      </c>
      <c r="V12" s="2074" t="s">
        <v>444</v>
      </c>
      <c r="W12" s="2075"/>
      <c r="X12" s="2075"/>
      <c r="Y12" s="2075"/>
      <c r="Z12" s="2080" t="s">
        <v>444</v>
      </c>
      <c r="AA12" s="587"/>
      <c r="AC12" s="2069" t="s">
        <v>2167</v>
      </c>
      <c r="AD12" s="2079" t="s">
        <v>657</v>
      </c>
    </row>
    <row r="13" spans="2:30" s="114" customFormat="1" ht="12.75" customHeight="1" outlineLevel="1">
      <c r="B13" s="146"/>
      <c r="C13" s="285"/>
      <c r="D13" s="285" t="s">
        <v>444</v>
      </c>
      <c r="E13" s="1622"/>
      <c r="F13" s="149" t="s">
        <v>419</v>
      </c>
      <c r="G13" s="149" t="s">
        <v>120</v>
      </c>
      <c r="H13" s="1854" t="s">
        <v>657</v>
      </c>
      <c r="I13" s="1177" t="s">
        <v>120</v>
      </c>
      <c r="J13" s="148"/>
      <c r="L13" s="1176" t="s">
        <v>1649</v>
      </c>
      <c r="M13" s="2646"/>
      <c r="N13" s="2647"/>
      <c r="O13" s="162"/>
      <c r="P13" s="1130"/>
      <c r="V13" s="2071" t="s">
        <v>211</v>
      </c>
      <c r="W13" s="2072" t="s">
        <v>442</v>
      </c>
      <c r="X13" s="2072" t="s">
        <v>267</v>
      </c>
      <c r="Y13" s="2072" t="s">
        <v>443</v>
      </c>
      <c r="Z13" s="2073" t="s">
        <v>327</v>
      </c>
      <c r="AA13" s="589" t="s">
        <v>636</v>
      </c>
      <c r="AC13" s="2077"/>
      <c r="AD13" s="1130"/>
    </row>
    <row r="14" spans="2:30" s="114" customFormat="1" ht="12.75" customHeight="1" outlineLevel="1">
      <c r="B14" s="143" t="s">
        <v>2163</v>
      </c>
      <c r="C14" s="144"/>
      <c r="D14" s="212">
        <f>J14</f>
        <v>1253070</v>
      </c>
      <c r="E14" s="212"/>
      <c r="F14" s="117">
        <v>567</v>
      </c>
      <c r="G14" s="343"/>
      <c r="H14" s="219">
        <f>VLOOKUP($B14&amp;"; "&amp;$H$12&amp;" "&amp;H$13,'FE Intrants'!$G:$U,9,FALSE)</f>
        <v>2210</v>
      </c>
      <c r="I14" s="219">
        <f>IF(ISNA(VLOOKUP($B14&amp;"; "&amp;$H$12&amp;" "&amp;I$13,'FE Intrants'!$G:$U,9,FALSE)),H14,VLOOKUP($B14&amp;"; "&amp;$H$12&amp;" "&amp;I$13,'FE Intrants'!$G:$U,9,FALSE))</f>
        <v>938</v>
      </c>
      <c r="J14" s="152">
        <f>F14*((1-G14)*H14+G14*I14)</f>
        <v>1253070</v>
      </c>
      <c r="L14" s="319">
        <f>IF(O14=0,O14,O14/J14)</f>
        <v>0.18027756377319948</v>
      </c>
      <c r="M14" s="1218" t="s">
        <v>1968</v>
      </c>
      <c r="N14" s="820"/>
      <c r="O14" s="152">
        <f>SQRT(SUMSQ(F14*(1-G14)*H14*AD14,F14*G14*I14*P14))</f>
        <v>225900.40683728308</v>
      </c>
      <c r="P14" s="1130">
        <f>SQRT(SUMSQ(AC14,VLOOKUP(B14&amp;"; "&amp;$H$12&amp;" "&amp;$I$13,'FE Intrants'!G:U,7,FALSE)))</f>
        <v>0.18027756377319948</v>
      </c>
      <c r="V14" s="564">
        <f>D14</f>
        <v>1253070</v>
      </c>
      <c r="W14" s="565"/>
      <c r="X14" s="565"/>
      <c r="Y14" s="565"/>
      <c r="Z14" s="567">
        <f>SUM(V14:Y14)</f>
        <v>1253070</v>
      </c>
      <c r="AA14" s="590"/>
      <c r="AC14" s="2077">
        <f>IF($M14&lt;&gt;"votre valeur :",IF(ISNA(VLOOKUP($M14,Utilitaires!$N$566:$O$571,2,FALSE)),,VLOOKUP($M14,Utilitaires!$N$566:$O$571,2,FALSE)),$N14)</f>
        <v>0.15</v>
      </c>
      <c r="AD14" s="1130">
        <f>SQRT(SUMSQ(AC14,VLOOKUP(B14&amp;"; "&amp;$H$12&amp;" "&amp;$H$13,'FE Intrants'!G:U,7,FALSE)))</f>
        <v>0.18027756377319948</v>
      </c>
    </row>
    <row r="15" spans="2:30" s="114" customFormat="1" ht="12.75" customHeight="1" outlineLevel="1">
      <c r="B15" s="143" t="s">
        <v>2164</v>
      </c>
      <c r="C15" s="144"/>
      <c r="D15" s="212">
        <f>J15</f>
        <v>873600</v>
      </c>
      <c r="E15" s="212"/>
      <c r="F15" s="120">
        <v>112</v>
      </c>
      <c r="G15" s="344"/>
      <c r="H15" s="219">
        <f>VLOOKUP($B15&amp;"; "&amp;$H$12&amp;" "&amp;H$13,'FE Intrants'!$G:$U,9,FALSE)</f>
        <v>7800</v>
      </c>
      <c r="I15" s="219">
        <f>IF(ISNA(VLOOKUP($B15&amp;"; "&amp;$H$12&amp;" "&amp;I$13,'FE Intrants'!$G:$U,9,FALSE)),H15,VLOOKUP($B15&amp;"; "&amp;$H$12&amp;" "&amp;I$13,'FE Intrants'!$G:$U,9,FALSE))</f>
        <v>562</v>
      </c>
      <c r="J15" s="152">
        <f>F15*((1-G15)*H15+G15*I15)</f>
        <v>873600</v>
      </c>
      <c r="L15" s="319">
        <f>IF(O15=0,O15,O15/J15)</f>
        <v>0.33541019662496852</v>
      </c>
      <c r="M15" s="1218" t="s">
        <v>1968</v>
      </c>
      <c r="N15" s="820"/>
      <c r="O15" s="152">
        <f>SQRT(SUMSQ(F15*(1-G15)*H15*AD15,F15*G15*I15*P15))</f>
        <v>293014.34777157247</v>
      </c>
      <c r="P15" s="1130">
        <f>SQRT(SUMSQ(AC15,VLOOKUP(B15&amp;"; "&amp;$H$12&amp;" "&amp;$I$13,'FE Intrants'!G:U,7,FALSE)))</f>
        <v>0.33541019662496846</v>
      </c>
      <c r="V15" s="564">
        <f>D15</f>
        <v>873600</v>
      </c>
      <c r="W15" s="565"/>
      <c r="X15" s="565"/>
      <c r="Y15" s="565"/>
      <c r="Z15" s="567">
        <f>SUM(V15:Y15)</f>
        <v>873600</v>
      </c>
      <c r="AA15" s="590"/>
      <c r="AC15" s="2077">
        <f>IF($M15&lt;&gt;"votre valeur :",IF(ISNA(VLOOKUP($M15,Utilitaires!$N$566:$O$571,2,FALSE)),,VLOOKUP($M15,Utilitaires!$N$566:$O$571,2,FALSE)),$N15)</f>
        <v>0.15</v>
      </c>
      <c r="AD15" s="1130">
        <f>SQRT(SUMSQ(AC15,VLOOKUP(B15&amp;"; "&amp;$H$12&amp;" "&amp;$H$13,'FE Intrants'!G:U,7,FALSE)))</f>
        <v>0.33541019662496846</v>
      </c>
    </row>
    <row r="16" spans="2:30" s="114" customFormat="1" ht="12.75" customHeight="1" outlineLevel="1">
      <c r="B16" s="143" t="s">
        <v>2165</v>
      </c>
      <c r="C16" s="144"/>
      <c r="D16" s="212">
        <f>J16</f>
        <v>0</v>
      </c>
      <c r="E16" s="212"/>
      <c r="F16" s="120"/>
      <c r="G16" s="344"/>
      <c r="H16" s="219">
        <f>VLOOKUP($B16&amp;"; "&amp;$H$12&amp;" "&amp;H$13,'FE Intrants'!$G:$U,9,FALSE)</f>
        <v>1450</v>
      </c>
      <c r="I16" s="219">
        <f>IF(ISNA(VLOOKUP($B16&amp;"; "&amp;$H$12&amp;" "&amp;I$13,'FE Intrants'!$G:$U,9,FALSE)),H16,VLOOKUP($B16&amp;"; "&amp;$H$12&amp;" "&amp;I$13,'FE Intrants'!$G:$U,9,FALSE))</f>
        <v>1300</v>
      </c>
      <c r="J16" s="152">
        <f>F16*((1-G16)*H16+G16*I16)</f>
        <v>0</v>
      </c>
      <c r="L16" s="319">
        <f>IF(O16=0,O16,O16/J16)</f>
        <v>0</v>
      </c>
      <c r="M16" s="1218"/>
      <c r="N16" s="820"/>
      <c r="O16" s="152">
        <f>SQRT(SUMSQ(F16*(1-G16)*H16*AD16,F16*G16*I16*P16))</f>
        <v>0</v>
      </c>
      <c r="P16" s="1130">
        <f>SQRT(SUMSQ(AC16,VLOOKUP(B16&amp;"; "&amp;$H$12&amp;" "&amp;$I$13,'FE Intrants'!G:U,7,FALSE)))</f>
        <v>0.5</v>
      </c>
      <c r="V16" s="564">
        <f>D16</f>
        <v>0</v>
      </c>
      <c r="W16" s="565"/>
      <c r="X16" s="565"/>
      <c r="Y16" s="565"/>
      <c r="Z16" s="567">
        <f>SUM(V16:Y16)</f>
        <v>0</v>
      </c>
      <c r="AA16" s="590"/>
      <c r="AC16" s="2077">
        <f>IF($M16&lt;&gt;"votre valeur :",IF(ISNA(VLOOKUP($M16,Utilitaires!$N$566:$O$571,2,FALSE)),,VLOOKUP($M16,Utilitaires!$N$566:$O$571,2,FALSE)),$N16)</f>
        <v>0</v>
      </c>
      <c r="AD16" s="1130">
        <f>SQRT(SUMSQ(AC16,VLOOKUP(B16&amp;"; "&amp;$H$12&amp;" "&amp;$H$13,'FE Intrants'!G:U,7,FALSE)))</f>
        <v>0.5</v>
      </c>
    </row>
    <row r="17" spans="2:30" s="114" customFormat="1" ht="12.75" customHeight="1" outlineLevel="1">
      <c r="B17" s="143" t="s">
        <v>2166</v>
      </c>
      <c r="C17" s="144"/>
      <c r="D17" s="212">
        <f>J17</f>
        <v>0</v>
      </c>
      <c r="E17" s="212"/>
      <c r="F17" s="123"/>
      <c r="G17" s="345"/>
      <c r="H17" s="219">
        <f>VLOOKUP($B17&amp;"; "&amp;$H$12&amp;" "&amp;H$13,'FE Intrants'!$G:$U,9,FALSE)</f>
        <v>9170</v>
      </c>
      <c r="I17" s="219">
        <f>IF(ISNA(VLOOKUP($B17&amp;"; "&amp;$H$12&amp;" "&amp;I$13,'FE Intrants'!$G:$U,9,FALSE)),H17,VLOOKUP($B17&amp;"; "&amp;$H$12&amp;" "&amp;I$13,'FE Intrants'!$G:$U,9,FALSE))</f>
        <v>9170</v>
      </c>
      <c r="J17" s="152">
        <f>F17*((1-G17)*H17+G17*I17)</f>
        <v>0</v>
      </c>
      <c r="L17" s="319">
        <f>IF(O17=0,O17,O17/J17)</f>
        <v>0</v>
      </c>
      <c r="M17" s="1218"/>
      <c r="N17" s="820"/>
      <c r="O17" s="152">
        <f>SQRT(SUMSQ(F17*(1-G17)*H17*AD17,F17*G17*I17*P17))</f>
        <v>0</v>
      </c>
      <c r="P17" s="1130">
        <f>SQRT(SUMSQ(AC17,VLOOKUP(B17&amp;"; "&amp;$H$12&amp;" "&amp;$I$13,'FE Intrants'!G:U,7,FALSE)))</f>
        <v>0.2</v>
      </c>
      <c r="V17" s="564">
        <f>D17</f>
        <v>0</v>
      </c>
      <c r="W17" s="565"/>
      <c r="X17" s="565"/>
      <c r="Y17" s="565"/>
      <c r="Z17" s="567">
        <f>SUM(V17:Y17)</f>
        <v>0</v>
      </c>
      <c r="AA17" s="590"/>
      <c r="AC17" s="2077">
        <f>IF($M17&lt;&gt;"votre valeur :",IF(ISNA(VLOOKUP($M17,Utilitaires!$N$566:$O$571,2,FALSE)),,VLOOKUP($M17,Utilitaires!$N$566:$O$571,2,FALSE)),$N17)</f>
        <v>0</v>
      </c>
      <c r="AD17" s="1130">
        <f>SQRT(SUMSQ(AC17,VLOOKUP(B17&amp;"; "&amp;$H$12&amp;" "&amp;$H$13,'FE Intrants'!G:U,7,FALSE)))</f>
        <v>0.2</v>
      </c>
    </row>
    <row r="18" spans="2:30" s="114" customFormat="1" ht="12.75" customHeight="1" outlineLevel="1">
      <c r="B18" s="143"/>
      <c r="C18" s="144"/>
      <c r="D18" s="213"/>
      <c r="E18" s="213"/>
      <c r="F18" s="144"/>
      <c r="G18" s="144"/>
      <c r="H18" s="144"/>
      <c r="I18" s="144"/>
      <c r="J18" s="145"/>
      <c r="L18" s="143"/>
      <c r="M18" s="144"/>
      <c r="N18" s="144"/>
      <c r="O18" s="152"/>
      <c r="P18" s="1143"/>
      <c r="V18" s="564"/>
      <c r="W18" s="565"/>
      <c r="X18" s="565"/>
      <c r="Y18" s="565"/>
      <c r="Z18" s="567"/>
      <c r="AA18" s="591"/>
      <c r="AC18" s="2068"/>
      <c r="AD18" s="1143"/>
    </row>
    <row r="19" spans="2:30" s="114" customFormat="1" ht="12.75" customHeight="1" outlineLevel="1">
      <c r="B19" s="196" t="s">
        <v>348</v>
      </c>
      <c r="C19" s="197"/>
      <c r="D19" s="214">
        <f>SUM(D14:D18)</f>
        <v>2126670</v>
      </c>
      <c r="E19" s="214"/>
      <c r="F19" s="199"/>
      <c r="G19" s="199"/>
      <c r="H19" s="199"/>
      <c r="I19" s="199"/>
      <c r="J19" s="200">
        <f>SUM(J14:J18)</f>
        <v>2126670</v>
      </c>
      <c r="L19" s="1204">
        <f>IF(O19=0,O19,O19/J19)</f>
        <v>0.17397354852294106</v>
      </c>
      <c r="M19" s="199"/>
      <c r="N19" s="199"/>
      <c r="O19" s="200">
        <f>SQRT(SUMSQ(O14:O18))</f>
        <v>369984.32643728307</v>
      </c>
      <c r="V19" s="571">
        <f t="shared" ref="V19:AA19" si="0">SUM(V14:V18)</f>
        <v>2126670</v>
      </c>
      <c r="W19" s="572">
        <f t="shared" si="0"/>
        <v>0</v>
      </c>
      <c r="X19" s="572">
        <f t="shared" si="0"/>
        <v>0</v>
      </c>
      <c r="Y19" s="572">
        <f t="shared" si="0"/>
        <v>0</v>
      </c>
      <c r="Z19" s="574">
        <f t="shared" si="0"/>
        <v>2126670</v>
      </c>
      <c r="AA19" s="592">
        <f t="shared" si="0"/>
        <v>0</v>
      </c>
    </row>
    <row r="20" spans="2:30" s="114" customFormat="1" ht="12.75" customHeight="1" outlineLevel="1">
      <c r="L20" s="255"/>
      <c r="M20" s="255"/>
      <c r="V20" s="441"/>
      <c r="W20" s="441"/>
      <c r="X20" s="441"/>
      <c r="Y20" s="441"/>
      <c r="Z20" s="441"/>
      <c r="AA20" s="441"/>
    </row>
    <row r="21" spans="2:30" s="114" customFormat="1" ht="13.2">
      <c r="L21" s="255"/>
      <c r="M21" s="255"/>
      <c r="N21" s="255"/>
      <c r="V21" s="441"/>
      <c r="W21" s="441"/>
      <c r="X21" s="441"/>
      <c r="Y21" s="441"/>
      <c r="Z21" s="441"/>
      <c r="AA21" s="441"/>
    </row>
    <row r="22" spans="2:30" s="114" customFormat="1" ht="15.6">
      <c r="B22" s="2763" t="s">
        <v>207</v>
      </c>
      <c r="C22" s="2764"/>
      <c r="D22" s="2764"/>
      <c r="E22" s="2764"/>
      <c r="F22" s="2764"/>
      <c r="G22" s="2764"/>
      <c r="H22" s="2764"/>
      <c r="I22" s="2764"/>
      <c r="J22" s="2764"/>
      <c r="K22" s="2764"/>
      <c r="L22" s="2764"/>
      <c r="M22" s="2764"/>
      <c r="N22" s="2764"/>
      <c r="O22" s="2765"/>
      <c r="V22" s="441"/>
      <c r="W22" s="441"/>
      <c r="X22" s="441"/>
      <c r="Y22" s="441"/>
      <c r="Z22" s="441"/>
      <c r="AA22" s="441"/>
    </row>
    <row r="23" spans="2:30" s="114" customFormat="1" ht="12.75" customHeight="1" outlineLevel="1">
      <c r="V23" s="441"/>
      <c r="W23" s="441"/>
      <c r="X23" s="441"/>
      <c r="Y23" s="441"/>
      <c r="Z23" s="441"/>
      <c r="AA23" s="441"/>
    </row>
    <row r="24" spans="2:30" s="114" customFormat="1" ht="12.75" customHeight="1" outlineLevel="1">
      <c r="B24" s="139" t="s">
        <v>207</v>
      </c>
      <c r="C24" s="140"/>
      <c r="D24" s="284"/>
      <c r="E24" s="1624"/>
      <c r="F24" s="141"/>
      <c r="G24" s="141"/>
      <c r="H24" s="141"/>
      <c r="I24" s="141"/>
      <c r="J24" s="142"/>
      <c r="L24" s="2636" t="s">
        <v>366</v>
      </c>
      <c r="M24" s="2637"/>
      <c r="N24" s="2637"/>
      <c r="O24" s="2638"/>
      <c r="V24" s="2639" t="s">
        <v>441</v>
      </c>
      <c r="W24" s="2640"/>
      <c r="X24" s="2640"/>
      <c r="Y24" s="2640"/>
      <c r="Z24" s="2640"/>
      <c r="AA24" s="2641"/>
    </row>
    <row r="25" spans="2:30" s="114" customFormat="1" ht="12.75" customHeight="1" outlineLevel="1">
      <c r="B25" s="332"/>
      <c r="C25" s="167"/>
      <c r="D25" s="286" t="s">
        <v>308</v>
      </c>
      <c r="E25" s="1625"/>
      <c r="F25" s="144"/>
      <c r="G25" s="144"/>
      <c r="H25" s="144"/>
      <c r="I25" s="144"/>
      <c r="J25" s="145"/>
      <c r="L25" s="298"/>
      <c r="M25" s="819"/>
      <c r="N25" s="827"/>
      <c r="O25" s="145"/>
      <c r="P25" s="2070"/>
      <c r="V25" s="2074"/>
      <c r="W25" s="2075"/>
      <c r="X25" s="2075"/>
      <c r="Y25" s="2075"/>
      <c r="Z25" s="2080"/>
      <c r="AA25" s="619"/>
      <c r="AC25" s="2616" t="s">
        <v>1648</v>
      </c>
      <c r="AD25" s="2618"/>
    </row>
    <row r="26" spans="2:30" s="114" customFormat="1" ht="12.75" customHeight="1" outlineLevel="1">
      <c r="B26" s="146"/>
      <c r="C26" s="285"/>
      <c r="D26" s="285" t="s">
        <v>409</v>
      </c>
      <c r="E26" s="1622"/>
      <c r="F26" s="147" t="s">
        <v>199</v>
      </c>
      <c r="G26" s="147" t="s">
        <v>119</v>
      </c>
      <c r="H26" s="2626" t="s">
        <v>1585</v>
      </c>
      <c r="I26" s="2628"/>
      <c r="J26" s="148" t="s">
        <v>444</v>
      </c>
      <c r="L26" s="1176" t="s">
        <v>316</v>
      </c>
      <c r="M26" s="2629" t="s">
        <v>530</v>
      </c>
      <c r="N26" s="2630"/>
      <c r="O26" s="148" t="s">
        <v>444</v>
      </c>
      <c r="P26" s="2079" t="s">
        <v>120</v>
      </c>
      <c r="V26" s="2074" t="s">
        <v>444</v>
      </c>
      <c r="W26" s="2075"/>
      <c r="X26" s="2075"/>
      <c r="Y26" s="2075"/>
      <c r="Z26" s="2080" t="s">
        <v>444</v>
      </c>
      <c r="AA26" s="587"/>
      <c r="AC26" s="2069" t="s">
        <v>2167</v>
      </c>
      <c r="AD26" s="2079" t="s">
        <v>657</v>
      </c>
    </row>
    <row r="27" spans="2:30" s="114" customFormat="1" ht="12.75" customHeight="1" outlineLevel="1">
      <c r="B27" s="146"/>
      <c r="C27" s="285"/>
      <c r="D27" s="285" t="s">
        <v>444</v>
      </c>
      <c r="E27" s="1622"/>
      <c r="F27" s="149" t="s">
        <v>419</v>
      </c>
      <c r="G27" s="149" t="s">
        <v>120</v>
      </c>
      <c r="H27" s="1854" t="s">
        <v>657</v>
      </c>
      <c r="I27" s="1177" t="s">
        <v>120</v>
      </c>
      <c r="J27" s="148"/>
      <c r="L27" s="1176" t="s">
        <v>1649</v>
      </c>
      <c r="M27" s="2646"/>
      <c r="N27" s="2647"/>
      <c r="O27" s="148"/>
      <c r="P27" s="1130"/>
      <c r="V27" s="2071" t="s">
        <v>211</v>
      </c>
      <c r="W27" s="2072" t="s">
        <v>442</v>
      </c>
      <c r="X27" s="2072" t="s">
        <v>267</v>
      </c>
      <c r="Y27" s="2072" t="s">
        <v>443</v>
      </c>
      <c r="Z27" s="2073" t="s">
        <v>327</v>
      </c>
      <c r="AA27" s="589" t="s">
        <v>636</v>
      </c>
      <c r="AC27" s="2077"/>
      <c r="AD27" s="1130"/>
    </row>
    <row r="28" spans="2:30" s="114" customFormat="1" ht="12.75" customHeight="1" outlineLevel="1">
      <c r="B28" s="143" t="s">
        <v>2177</v>
      </c>
      <c r="C28" s="144"/>
      <c r="D28" s="212">
        <f>J28</f>
        <v>370260</v>
      </c>
      <c r="E28" s="212"/>
      <c r="F28" s="117">
        <v>198</v>
      </c>
      <c r="G28" s="343"/>
      <c r="H28" s="219">
        <f>VLOOKUP($B28&amp;"; "&amp;$H$26&amp;" "&amp;H$27,'FE Intrants'!$G:$U,9,FALSE)</f>
        <v>1870</v>
      </c>
      <c r="I28" s="219">
        <f>IF(ISNA(VLOOKUP($B28&amp;"; "&amp;$H$26&amp;" "&amp;I$27,'FE Intrants'!$G:$U,9,FALSE)),H28,VLOOKUP($B28&amp;"; "&amp;$H$26&amp;" "&amp;I$27,'FE Intrants'!$G:$U,9,FALSE))</f>
        <v>403</v>
      </c>
      <c r="J28" s="327">
        <f>F28*((1-G28)*H28+G28*I28)</f>
        <v>370260</v>
      </c>
      <c r="L28" s="319">
        <f>IF(O28=0,O28,O28/J28)</f>
        <v>0.25</v>
      </c>
      <c r="M28" s="1218" t="s">
        <v>1968</v>
      </c>
      <c r="N28" s="820"/>
      <c r="O28" s="152">
        <f>SQRT(SUMSQ(F28*(1-G28)*H28*AD28,F28*G28*I28*P28))</f>
        <v>92565</v>
      </c>
      <c r="P28" s="1130">
        <f>IF(ISNA(VLOOKUP(B28&amp;"; "&amp;$H$26&amp;" "&amp;$I$27,'FE Intrants'!G:U,7,FALSE)),0,SQRT(SUMSQ(AC28,VLOOKUP(B28&amp;"; "&amp;$H$26&amp;" "&amp;$I$27,'FE Intrants'!G:U,7,FALSE))))</f>
        <v>0.25</v>
      </c>
      <c r="V28" s="564">
        <f>D28</f>
        <v>370260</v>
      </c>
      <c r="W28" s="565"/>
      <c r="X28" s="565"/>
      <c r="Y28" s="565"/>
      <c r="Z28" s="567">
        <f>SUM(V28:Y28)</f>
        <v>370260</v>
      </c>
      <c r="AA28" s="590"/>
      <c r="AC28" s="2077">
        <f>IF($M28&lt;&gt;"votre valeur :",IF(ISNA(VLOOKUP($M28,Utilitaires!$N$566:$O$571,2,FALSE)),,VLOOKUP($M28,Utilitaires!$N$566:$O$571,2,FALSE)),$N28)</f>
        <v>0.15</v>
      </c>
      <c r="AD28" s="1130">
        <f>SQRT(SUMSQ(AC28,VLOOKUP(B28&amp;"; "&amp;$H$26&amp;" "&amp;$H$27,'FE Intrants'!G:U,7,FALSE)))</f>
        <v>0.25</v>
      </c>
    </row>
    <row r="29" spans="2:30" s="114" customFormat="1" ht="12.75" customHeight="1" outlineLevel="1">
      <c r="B29" s="143" t="s">
        <v>2174</v>
      </c>
      <c r="C29" s="144"/>
      <c r="D29" s="212">
        <f>J29</f>
        <v>0</v>
      </c>
      <c r="E29" s="212"/>
      <c r="F29" s="120"/>
      <c r="G29" s="344"/>
      <c r="H29" s="219">
        <f>VLOOKUP($B29&amp;"; "&amp;$H$26&amp;" "&amp;H$27,'FE Intrants'!$G:$U,9,FALSE)</f>
        <v>7630</v>
      </c>
      <c r="I29" s="219">
        <f>IF(ISNA(VLOOKUP($B29&amp;"; "&amp;$H$26&amp;" "&amp;I$27,'FE Intrants'!$G:$U,9,FALSE)),H29,VLOOKUP($B29&amp;"; "&amp;$H$26&amp;" "&amp;I$27,'FE Intrants'!$G:$U,9,FALSE))</f>
        <v>7630</v>
      </c>
      <c r="J29" s="327">
        <f>F29*((1-G29)*H29+G29*I29)</f>
        <v>0</v>
      </c>
      <c r="L29" s="319">
        <f>IF(O29=0,O29,O29/J29)</f>
        <v>0</v>
      </c>
      <c r="M29" s="1218"/>
      <c r="N29" s="820"/>
      <c r="O29" s="152">
        <f>SQRT(SUMSQ(F29*(1-G29)*H29*AD29,F29*G29*I29*P29))</f>
        <v>0</v>
      </c>
      <c r="P29" s="1130">
        <f>IF(ISNA(VLOOKUP(B29&amp;"; "&amp;$H$26&amp;" "&amp;$I$27,'FE Intrants'!G:U,7,FALSE)),0,SQRT(SUMSQ(AC29,VLOOKUP(B29&amp;"; "&amp;$H$26&amp;" "&amp;$I$27,'FE Intrants'!G:U,7,FALSE))))</f>
        <v>0</v>
      </c>
      <c r="V29" s="564">
        <f>D29</f>
        <v>0</v>
      </c>
      <c r="W29" s="565"/>
      <c r="X29" s="565"/>
      <c r="Y29" s="565"/>
      <c r="Z29" s="567">
        <f>SUM(V29:Y29)</f>
        <v>0</v>
      </c>
      <c r="AA29" s="590"/>
      <c r="AC29" s="2077">
        <f>IF($M29&lt;&gt;"votre valeur :",IF(ISNA(VLOOKUP($M29,Utilitaires!$N$566:$O$571,2,FALSE)),,VLOOKUP($M29,Utilitaires!$N$566:$O$571,2,FALSE)),$N29)</f>
        <v>0</v>
      </c>
      <c r="AD29" s="1130">
        <f>SQRT(SUMSQ(AC29,VLOOKUP(B29&amp;"; "&amp;$H$26&amp;" "&amp;$H$27,'FE Intrants'!G:U,7,FALSE)))</f>
        <v>0.25</v>
      </c>
    </row>
    <row r="30" spans="2:30" s="114" customFormat="1" ht="12.75" customHeight="1" outlineLevel="1">
      <c r="B30" s="143" t="s">
        <v>2176</v>
      </c>
      <c r="C30" s="144"/>
      <c r="D30" s="212">
        <f>J30</f>
        <v>0</v>
      </c>
      <c r="E30" s="212"/>
      <c r="F30" s="120"/>
      <c r="G30" s="344"/>
      <c r="H30" s="219">
        <f>VLOOKUP($B30&amp;"; "&amp;$H$26&amp;" "&amp;H$27,'FE Intrants'!$G:$U,9,FALSE)</f>
        <v>2383</v>
      </c>
      <c r="I30" s="219">
        <f>IF(ISNA(VLOOKUP($B30&amp;"; "&amp;$H$26&amp;" "&amp;I$27,'FE Intrants'!$G:$U,9,FALSE)),H30,VLOOKUP($B30&amp;"; "&amp;$H$26&amp;" "&amp;I$27,'FE Intrants'!$G:$U,9,FALSE))</f>
        <v>202</v>
      </c>
      <c r="J30" s="327">
        <f>F30*((1-G30)*H30+G30*I30)</f>
        <v>0</v>
      </c>
      <c r="L30" s="319">
        <f>IF(O30=0,O30,O30/J30)</f>
        <v>0</v>
      </c>
      <c r="M30" s="1218"/>
      <c r="N30" s="820"/>
      <c r="O30" s="152">
        <f>SQRT(SUMSQ(F30*(1-G30)*H30*AD30,F30*G30*I30*P30))</f>
        <v>0</v>
      </c>
      <c r="P30" s="1130">
        <f>IF(ISNA(VLOOKUP(B30&amp;"; "&amp;$H$26&amp;" "&amp;$I$27,'FE Intrants'!G:U,7,FALSE)),0,SQRT(SUMSQ(AC30,VLOOKUP(B30&amp;"; "&amp;$H$26&amp;" "&amp;$I$27,'FE Intrants'!G:U,7,FALSE))))</f>
        <v>0.2</v>
      </c>
      <c r="V30" s="564">
        <f>D30</f>
        <v>0</v>
      </c>
      <c r="W30" s="565"/>
      <c r="X30" s="565"/>
      <c r="Y30" s="565"/>
      <c r="Z30" s="567">
        <f>SUM(V30:Y30)</f>
        <v>0</v>
      </c>
      <c r="AA30" s="590"/>
      <c r="AC30" s="2077">
        <f>IF($M30&lt;&gt;"votre valeur :",IF(ISNA(VLOOKUP($M30,Utilitaires!$N$566:$O$571,2,FALSE)),,VLOOKUP($M30,Utilitaires!$N$566:$O$571,2,FALSE)),$N30)</f>
        <v>0</v>
      </c>
      <c r="AD30" s="1130">
        <f>SQRT(SUMSQ(AC30,VLOOKUP(B30&amp;"; "&amp;$H$26&amp;" "&amp;$H$27,'FE Intrants'!G:U,7,FALSE)))</f>
        <v>0.2</v>
      </c>
    </row>
    <row r="31" spans="2:30" s="114" customFormat="1" ht="12.75" customHeight="1" outlineLevel="1">
      <c r="B31" s="143" t="s">
        <v>2177</v>
      </c>
      <c r="C31" s="144"/>
      <c r="D31" s="212">
        <f>J31</f>
        <v>0</v>
      </c>
      <c r="E31" s="212"/>
      <c r="F31" s="123"/>
      <c r="G31" s="345"/>
      <c r="H31" s="219">
        <f>VLOOKUP($B31&amp;"; "&amp;$H$26&amp;" "&amp;H$27,'FE Intrants'!$G:$U,9,FALSE)</f>
        <v>1870</v>
      </c>
      <c r="I31" s="219">
        <f>IF(ISNA(VLOOKUP($B31&amp;"; "&amp;$H$26&amp;" "&amp;I$27,'FE Intrants'!$G:$U,9,FALSE)),H31,VLOOKUP($B31&amp;"; "&amp;$H$26&amp;" "&amp;I$27,'FE Intrants'!$G:$U,9,FALSE))</f>
        <v>403</v>
      </c>
      <c r="J31" s="327">
        <f>F31*((1-G31)*H31+G31*I31)</f>
        <v>0</v>
      </c>
      <c r="L31" s="319">
        <f>IF(O31=0,O31,O31/J31)</f>
        <v>0</v>
      </c>
      <c r="M31" s="1218"/>
      <c r="N31" s="820"/>
      <c r="O31" s="152">
        <f>SQRT(SUMSQ(F31*(1-G31)*H31*AD31,F31*G31*I31*P31))</f>
        <v>0</v>
      </c>
      <c r="P31" s="1130">
        <f>IF(ISNA(VLOOKUP(B31&amp;"; "&amp;$H$26&amp;" "&amp;$I$27,'FE Intrants'!G:U,7,FALSE)),0,SQRT(SUMSQ(AC31,VLOOKUP(B31&amp;"; "&amp;$H$26&amp;" "&amp;$I$27,'FE Intrants'!G:U,7,FALSE))))</f>
        <v>0.2</v>
      </c>
      <c r="V31" s="564">
        <f>D31</f>
        <v>0</v>
      </c>
      <c r="W31" s="565"/>
      <c r="X31" s="565"/>
      <c r="Y31" s="565"/>
      <c r="Z31" s="567">
        <f>SUM(V31:Y31)</f>
        <v>0</v>
      </c>
      <c r="AA31" s="590"/>
      <c r="AC31" s="2077">
        <f>IF($M31&lt;&gt;"votre valeur :",IF(ISNA(VLOOKUP($M31,Utilitaires!$N$566:$O$571,2,FALSE)),,VLOOKUP($M31,Utilitaires!$N$566:$O$571,2,FALSE)),$N31)</f>
        <v>0</v>
      </c>
      <c r="AD31" s="1130">
        <f>SQRT(SUMSQ(AC31,VLOOKUP(B31&amp;"; "&amp;$H$26&amp;" "&amp;$H$27,'FE Intrants'!G:U,7,FALSE)))</f>
        <v>0.2</v>
      </c>
    </row>
    <row r="32" spans="2:30" s="114" customFormat="1" ht="12.75" customHeight="1" outlineLevel="1">
      <c r="B32" s="143"/>
      <c r="C32" s="144"/>
      <c r="D32" s="213"/>
      <c r="E32" s="213"/>
      <c r="F32" s="144"/>
      <c r="G32" s="144"/>
      <c r="H32" s="144"/>
      <c r="I32" s="144"/>
      <c r="J32" s="168"/>
      <c r="L32" s="143"/>
      <c r="M32" s="144"/>
      <c r="N32" s="144"/>
      <c r="O32" s="148"/>
      <c r="P32" s="1143"/>
      <c r="V32" s="564"/>
      <c r="W32" s="565"/>
      <c r="X32" s="565"/>
      <c r="Y32" s="565"/>
      <c r="Z32" s="567"/>
      <c r="AA32" s="591"/>
      <c r="AC32" s="2068"/>
      <c r="AD32" s="1143"/>
    </row>
    <row r="33" spans="2:30" s="114" customFormat="1" ht="12.75" customHeight="1" outlineLevel="1">
      <c r="B33" s="196" t="s">
        <v>348</v>
      </c>
      <c r="C33" s="197"/>
      <c r="D33" s="214">
        <f>SUM(D28:D32)</f>
        <v>370260</v>
      </c>
      <c r="E33" s="214"/>
      <c r="F33" s="199"/>
      <c r="G33" s="199"/>
      <c r="H33" s="199"/>
      <c r="I33" s="199"/>
      <c r="J33" s="200">
        <f>SUM(J28:J32)</f>
        <v>370260</v>
      </c>
      <c r="L33" s="1204">
        <f>IF(O33=0,O33,O33/J33)</f>
        <v>0.25</v>
      </c>
      <c r="M33" s="199"/>
      <c r="N33" s="199"/>
      <c r="O33" s="200">
        <f>SQRT(SUMSQ(O28:O32))</f>
        <v>92565</v>
      </c>
      <c r="V33" s="571">
        <f t="shared" ref="V33:AA33" si="1">SUM(V28:V32)</f>
        <v>370260</v>
      </c>
      <c r="W33" s="572">
        <f t="shared" si="1"/>
        <v>0</v>
      </c>
      <c r="X33" s="572">
        <f t="shared" si="1"/>
        <v>0</v>
      </c>
      <c r="Y33" s="572">
        <f t="shared" si="1"/>
        <v>0</v>
      </c>
      <c r="Z33" s="574">
        <f t="shared" si="1"/>
        <v>370260</v>
      </c>
      <c r="AA33" s="592">
        <f t="shared" si="1"/>
        <v>0</v>
      </c>
    </row>
    <row r="34" spans="2:30" s="114" customFormat="1" ht="12.75" customHeight="1" outlineLevel="1">
      <c r="V34" s="441"/>
      <c r="W34" s="441"/>
      <c r="X34" s="441"/>
      <c r="Y34" s="441"/>
      <c r="Z34" s="441"/>
      <c r="AA34" s="441"/>
    </row>
    <row r="35" spans="2:30" s="114" customFormat="1" ht="13.2">
      <c r="V35" s="441"/>
      <c r="W35" s="441"/>
      <c r="X35" s="441"/>
      <c r="Y35" s="441"/>
      <c r="Z35" s="441"/>
      <c r="AA35" s="441"/>
    </row>
    <row r="36" spans="2:30" s="114" customFormat="1" ht="15.6">
      <c r="B36" s="2652" t="s">
        <v>297</v>
      </c>
      <c r="C36" s="2653"/>
      <c r="D36" s="2653"/>
      <c r="E36" s="2653"/>
      <c r="F36" s="2653"/>
      <c r="G36" s="2653"/>
      <c r="H36" s="2653"/>
      <c r="I36" s="2653"/>
      <c r="J36" s="2653"/>
      <c r="K36" s="2653"/>
      <c r="L36" s="2653"/>
      <c r="M36" s="2653"/>
      <c r="N36" s="2653"/>
      <c r="O36" s="2654"/>
      <c r="V36" s="441"/>
      <c r="W36" s="441"/>
      <c r="X36" s="441"/>
      <c r="Y36" s="441"/>
      <c r="Z36" s="441"/>
      <c r="AA36" s="441"/>
    </row>
    <row r="37" spans="2:30" s="114" customFormat="1" ht="12.75" customHeight="1" outlineLevel="1">
      <c r="V37" s="441"/>
      <c r="W37" s="441"/>
      <c r="X37" s="441"/>
      <c r="Y37" s="441"/>
      <c r="Z37" s="441"/>
      <c r="AA37" s="441"/>
    </row>
    <row r="38" spans="2:30" s="114" customFormat="1" ht="12.75" customHeight="1" outlineLevel="1">
      <c r="B38" s="139" t="s">
        <v>297</v>
      </c>
      <c r="C38" s="140"/>
      <c r="D38" s="284"/>
      <c r="E38" s="1624"/>
      <c r="F38" s="141"/>
      <c r="G38" s="141"/>
      <c r="H38" s="142"/>
      <c r="L38" s="2636" t="s">
        <v>366</v>
      </c>
      <c r="M38" s="2637"/>
      <c r="N38" s="2637"/>
      <c r="O38" s="2638"/>
      <c r="V38" s="2639" t="s">
        <v>441</v>
      </c>
      <c r="W38" s="2640"/>
      <c r="X38" s="2640"/>
      <c r="Y38" s="2640"/>
      <c r="Z38" s="2640"/>
      <c r="AA38" s="2641"/>
    </row>
    <row r="39" spans="2:30" s="114" customFormat="1" ht="12.75" customHeight="1" outlineLevel="1">
      <c r="B39" s="332"/>
      <c r="C39" s="167"/>
      <c r="D39" s="286" t="s">
        <v>308</v>
      </c>
      <c r="E39" s="1625"/>
      <c r="F39" s="144"/>
      <c r="G39" s="144"/>
      <c r="H39" s="145"/>
      <c r="L39" s="146"/>
      <c r="M39" s="819"/>
      <c r="N39" s="827"/>
      <c r="O39" s="145"/>
      <c r="V39" s="2074"/>
      <c r="W39" s="2075"/>
      <c r="X39" s="2075"/>
      <c r="Y39" s="2075"/>
      <c r="Z39" s="2080"/>
      <c r="AA39" s="619"/>
      <c r="AC39" s="2766" t="s">
        <v>1648</v>
      </c>
      <c r="AD39" s="2767"/>
    </row>
    <row r="40" spans="2:30" s="114" customFormat="1" ht="12.75" customHeight="1" outlineLevel="1">
      <c r="B40" s="146"/>
      <c r="C40" s="285"/>
      <c r="D40" s="285" t="s">
        <v>409</v>
      </c>
      <c r="E40" s="1622"/>
      <c r="F40" s="147" t="s">
        <v>1849</v>
      </c>
      <c r="G40" s="1177" t="s">
        <v>1572</v>
      </c>
      <c r="H40" s="148" t="s">
        <v>444</v>
      </c>
      <c r="L40" s="1176" t="s">
        <v>316</v>
      </c>
      <c r="M40" s="2629" t="s">
        <v>530</v>
      </c>
      <c r="N40" s="2630"/>
      <c r="O40" s="148" t="s">
        <v>444</v>
      </c>
      <c r="V40" s="2074" t="s">
        <v>444</v>
      </c>
      <c r="W40" s="2075"/>
      <c r="X40" s="2075"/>
      <c r="Y40" s="2075"/>
      <c r="Z40" s="2080" t="s">
        <v>444</v>
      </c>
      <c r="AA40" s="587"/>
      <c r="AC40" s="2069" t="s">
        <v>2167</v>
      </c>
      <c r="AD40" s="2079" t="s">
        <v>2187</v>
      </c>
    </row>
    <row r="41" spans="2:30" s="114" customFormat="1" ht="12.75" customHeight="1" outlineLevel="1">
      <c r="B41" s="146"/>
      <c r="C41" s="285"/>
      <c r="D41" s="285" t="s">
        <v>444</v>
      </c>
      <c r="E41" s="1622"/>
      <c r="F41" s="149" t="s">
        <v>2181</v>
      </c>
      <c r="G41" s="285"/>
      <c r="H41" s="148"/>
      <c r="L41" s="1176" t="s">
        <v>1649</v>
      </c>
      <c r="M41" s="2646"/>
      <c r="N41" s="2647"/>
      <c r="O41" s="148"/>
      <c r="V41" s="2071" t="s">
        <v>211</v>
      </c>
      <c r="W41" s="2072" t="s">
        <v>442</v>
      </c>
      <c r="X41" s="2072" t="s">
        <v>267</v>
      </c>
      <c r="Y41" s="2072" t="s">
        <v>443</v>
      </c>
      <c r="Z41" s="2073" t="s">
        <v>327</v>
      </c>
      <c r="AA41" s="589" t="s">
        <v>636</v>
      </c>
      <c r="AC41" s="2077"/>
      <c r="AD41" s="1130"/>
    </row>
    <row r="42" spans="2:30" s="114" customFormat="1" ht="12.75" customHeight="1" outlineLevel="1">
      <c r="B42" s="143" t="s">
        <v>3096</v>
      </c>
      <c r="C42" s="144"/>
      <c r="D42" s="212">
        <f>H42</f>
        <v>83070</v>
      </c>
      <c r="E42" s="212"/>
      <c r="F42" s="117">
        <v>90000</v>
      </c>
      <c r="G42" s="335">
        <f>VLOOKUP($B42&amp;"; "&amp;$G$40,'FE Intrants'!$G:$U,9,FALSE)</f>
        <v>0.92300000000000004</v>
      </c>
      <c r="H42" s="152">
        <f>F42*G42</f>
        <v>83070</v>
      </c>
      <c r="L42" s="319">
        <f>IF(O42=0,O42,O42/H42)</f>
        <v>0.52201532544552753</v>
      </c>
      <c r="M42" s="1218" t="s">
        <v>1968</v>
      </c>
      <c r="N42" s="820"/>
      <c r="O42" s="152">
        <f>F42*G42*AD42</f>
        <v>43363.813084759975</v>
      </c>
      <c r="V42" s="564">
        <f>IF(ISNA(VLOOKUP($B42&amp;"; "&amp;$G$40, 'FE Intrants'!G:U,10,FALSE)),$D42,VLOOKUP($B42&amp;"; "&amp;$G$40, 'FE Intrants'!G:U,10,FALSE)*$F42)</f>
        <v>83070</v>
      </c>
      <c r="W42" s="565">
        <f>IF(ISNA(VLOOKUP($B42&amp;"; "&amp;$G$40, 'FE Intrants'!G:U,11,FALSE)),0,(VLOOKUP($B42&amp;"; "&amp;$G$40, 'FE Intrants'!G:U,11,FALSE)+VLOOKUP($B42&amp;"; "&amp;$G$40, 'FE Intrants'!G:U,12,FALSE))*$F42)</f>
        <v>0</v>
      </c>
      <c r="X42" s="565">
        <f>IF(ISNA(VLOOKUP($B42&amp;"; "&amp;$G$40, 'FE Intrants'!G:U,13,FALSE)),0,VLOOKUP($B42&amp;"; "&amp;$G$40, 'FE Intrants'!G:U,13,FALSE)*$F42)</f>
        <v>0</v>
      </c>
      <c r="Y42" s="565">
        <f>IF(ISNA(VLOOKUP($B42&amp;"; "&amp;$G$40, 'FE Intrants'!G:U,14,FALSE)),0,VLOOKUP($B42&amp;"; "&amp;$G$40, 'FE Intrants'!G:U,14,FALSE)*$F42)</f>
        <v>0</v>
      </c>
      <c r="Z42" s="567">
        <f>H42</f>
        <v>83070</v>
      </c>
      <c r="AA42" s="590"/>
      <c r="AC42" s="2077">
        <f>IF($M42&lt;&gt;"votre valeur :",IF(ISNA(VLOOKUP($M42,Utilitaires!$N$566:$O$571,2,FALSE)),,VLOOKUP($M42,Utilitaires!$N$566:$O$571,2,FALSE)),$N42)</f>
        <v>0.15</v>
      </c>
      <c r="AD42" s="1130">
        <f>SQRT(SUMSQ(AC42,VLOOKUP(B42&amp;"; "&amp;$G$40,'FE Intrants'!G:U,7,FALSE)))</f>
        <v>0.52201532544552753</v>
      </c>
    </row>
    <row r="43" spans="2:30" s="114" customFormat="1" ht="12.75" customHeight="1" outlineLevel="1">
      <c r="B43" s="143" t="s">
        <v>2179</v>
      </c>
      <c r="C43" s="144"/>
      <c r="D43" s="212">
        <f>H43</f>
        <v>0</v>
      </c>
      <c r="E43" s="212"/>
      <c r="F43" s="120"/>
      <c r="G43" s="335">
        <f>VLOOKUP($B43&amp;"; "&amp;$G$40,'FE Intrants'!$G:$U,9,FALSE)</f>
        <v>2.13</v>
      </c>
      <c r="H43" s="152">
        <f>F43*G43</f>
        <v>0</v>
      </c>
      <c r="L43" s="319">
        <f>IF(O43=0,O43,O43/H43)</f>
        <v>0</v>
      </c>
      <c r="M43" s="1218"/>
      <c r="N43" s="820"/>
      <c r="O43" s="152">
        <f>F43*G43*AD43</f>
        <v>0</v>
      </c>
      <c r="V43" s="564">
        <f>IF(ISNA(VLOOKUP($B43&amp;"; "&amp;$G$40, 'FE Intrants'!G:U,10,FALSE)),$D43,VLOOKUP($B43&amp;"; "&amp;$G$40, 'FE Intrants'!G:U,10,FALSE)*$F43)</f>
        <v>0</v>
      </c>
      <c r="W43" s="565">
        <f>IF(ISNA(VLOOKUP($B43&amp;"; "&amp;$G$40, 'FE Intrants'!G:U,11,FALSE)),0,(VLOOKUP($B43&amp;"; "&amp;$G$40, 'FE Intrants'!G:U,11,FALSE)+VLOOKUP($B43&amp;"; "&amp;$G$40, 'FE Intrants'!G:U,12,FALSE))*$F43)</f>
        <v>0</v>
      </c>
      <c r="X43" s="565">
        <f>IF(ISNA(VLOOKUP($B43&amp;"; "&amp;$G$40, 'FE Intrants'!G:U,13,FALSE)),0,VLOOKUP($B43&amp;"; "&amp;$G$40, 'FE Intrants'!G:U,13,FALSE)*$F43)</f>
        <v>0</v>
      </c>
      <c r="Y43" s="565">
        <f>IF(ISNA(VLOOKUP($B43&amp;"; "&amp;$G$40, 'FE Intrants'!G:U,14,FALSE)),0,VLOOKUP($B43&amp;"; "&amp;$G$40, 'FE Intrants'!G:U,14,FALSE)*$F43)</f>
        <v>0</v>
      </c>
      <c r="Z43" s="567">
        <f>H43</f>
        <v>0</v>
      </c>
      <c r="AA43" s="590"/>
      <c r="AC43" s="2077">
        <f>IF($M43&lt;&gt;"votre valeur :",IF(ISNA(VLOOKUP($M43,Utilitaires!$N$566:$O$571,2,FALSE)),,VLOOKUP($M43,Utilitaires!$N$566:$O$571,2,FALSE)),$N43)</f>
        <v>0</v>
      </c>
      <c r="AD43" s="1130">
        <f>SQRT(SUMSQ(AC43,VLOOKUP(B43&amp;"; "&amp;$G$40,'FE Intrants'!G:U,7,FALSE)))</f>
        <v>0.2</v>
      </c>
    </row>
    <row r="44" spans="2:30" s="114" customFormat="1" ht="12.75" customHeight="1" outlineLevel="1">
      <c r="B44" s="143" t="s">
        <v>2382</v>
      </c>
      <c r="C44" s="144"/>
      <c r="D44" s="212">
        <f>H44</f>
        <v>0</v>
      </c>
      <c r="E44" s="212"/>
      <c r="F44" s="120"/>
      <c r="G44" s="335">
        <f>VLOOKUP($B44&amp;"; "&amp;$G$40,'FE Intrants'!$G:$U,9,FALSE)</f>
        <v>1.26</v>
      </c>
      <c r="H44" s="152">
        <f>F44*G44</f>
        <v>0</v>
      </c>
      <c r="L44" s="319">
        <f>IF(O44=0,O44,O44/H44)</f>
        <v>0</v>
      </c>
      <c r="M44" s="1218"/>
      <c r="N44" s="820"/>
      <c r="O44" s="152">
        <f>F44*G44*AD44</f>
        <v>0</v>
      </c>
      <c r="V44" s="564">
        <f>IF(ISNA(VLOOKUP($B44&amp;"; "&amp;$G$40, 'FE Intrants'!G:U,10,FALSE)),$D44,VLOOKUP($B44&amp;"; "&amp;$G$40, 'FE Intrants'!G:U,10,FALSE)*$F44)</f>
        <v>0</v>
      </c>
      <c r="W44" s="565">
        <f>IF(ISNA(VLOOKUP($B44&amp;"; "&amp;$G$40, 'FE Intrants'!G:U,11,FALSE)),0,(VLOOKUP($B44&amp;"; "&amp;$G$40, 'FE Intrants'!G:U,11,FALSE)+VLOOKUP($B44&amp;"; "&amp;$G$40, 'FE Intrants'!G:U,12,FALSE))*$F44)</f>
        <v>0</v>
      </c>
      <c r="X44" s="565">
        <f>IF(ISNA(VLOOKUP($B44&amp;"; "&amp;$G$40, 'FE Intrants'!G:U,13,FALSE)),0,VLOOKUP($B44&amp;"; "&amp;$G$40, 'FE Intrants'!G:U,13,FALSE)*$F44)</f>
        <v>0</v>
      </c>
      <c r="Y44" s="565">
        <f>IF(ISNA(VLOOKUP($B44&amp;"; "&amp;$G$40, 'FE Intrants'!G:U,14,FALSE)),0,VLOOKUP($B44&amp;"; "&amp;$G$40, 'FE Intrants'!G:U,14,FALSE)*$F44)</f>
        <v>0</v>
      </c>
      <c r="Z44" s="567">
        <f>H44</f>
        <v>0</v>
      </c>
      <c r="AA44" s="590"/>
      <c r="AC44" s="2077">
        <f>IF($M44&lt;&gt;"votre valeur :",IF(ISNA(VLOOKUP($M44,Utilitaires!$N$566:$O$571,2,FALSE)),,VLOOKUP($M44,Utilitaires!$N$566:$O$571,2,FALSE)),$N44)</f>
        <v>0</v>
      </c>
      <c r="AD44" s="1130">
        <f>SQRT(SUMSQ(AC44,VLOOKUP(B44&amp;"; "&amp;$G$40,'FE Intrants'!G:U,7,FALSE)))</f>
        <v>0.2</v>
      </c>
    </row>
    <row r="45" spans="2:30" s="114" customFormat="1" ht="12.75" customHeight="1" outlineLevel="1">
      <c r="B45" s="143" t="s">
        <v>3097</v>
      </c>
      <c r="C45" s="144"/>
      <c r="D45" s="212">
        <f>H45</f>
        <v>0</v>
      </c>
      <c r="E45" s="212"/>
      <c r="F45" s="123"/>
      <c r="G45" s="335">
        <f>VLOOKUP($B45&amp;"; "&amp;$G$40,'FE Intrants'!$G:$U,9,FALSE)</f>
        <v>0.40899999999999997</v>
      </c>
      <c r="H45" s="152">
        <f>F45*G45</f>
        <v>0</v>
      </c>
      <c r="L45" s="319">
        <f>IF(O45=0,O45,O45/H45)</f>
        <v>0</v>
      </c>
      <c r="M45" s="1218"/>
      <c r="N45" s="820"/>
      <c r="O45" s="152">
        <f>F45*G45*AD45</f>
        <v>0</v>
      </c>
      <c r="V45" s="564">
        <f>IF(ISNA(VLOOKUP($B45&amp;"; "&amp;$G$40, 'FE Intrants'!G:U,10,FALSE)),$D45,VLOOKUP($B45&amp;"; "&amp;$G$40, 'FE Intrants'!G:U,10,FALSE)*$F45)</f>
        <v>0</v>
      </c>
      <c r="W45" s="565">
        <f>IF(ISNA(VLOOKUP($B45&amp;"; "&amp;$G$40, 'FE Intrants'!G:U,11,FALSE)),0,(VLOOKUP($B45&amp;"; "&amp;$G$40, 'FE Intrants'!G:U,11,FALSE)+VLOOKUP($B45&amp;"; "&amp;$G$40, 'FE Intrants'!G:U,12,FALSE))*$F45)</f>
        <v>0</v>
      </c>
      <c r="X45" s="565">
        <f>IF(ISNA(VLOOKUP($B45&amp;"; "&amp;$G$40, 'FE Intrants'!G:U,13,FALSE)),0,VLOOKUP($B45&amp;"; "&amp;$G$40, 'FE Intrants'!G:U,13,FALSE)*$F45)</f>
        <v>0</v>
      </c>
      <c r="Y45" s="565">
        <f>IF(ISNA(VLOOKUP($B45&amp;"; "&amp;$G$40, 'FE Intrants'!G:U,14,FALSE)),0,VLOOKUP($B45&amp;"; "&amp;$G$40, 'FE Intrants'!G:U,14,FALSE)*$F45)</f>
        <v>0</v>
      </c>
      <c r="Z45" s="567">
        <f>H45</f>
        <v>0</v>
      </c>
      <c r="AA45" s="590"/>
      <c r="AC45" s="2077">
        <f>IF($M45&lt;&gt;"votre valeur :",IF(ISNA(VLOOKUP($M45,Utilitaires!$N$566:$O$571,2,FALSE)),,VLOOKUP($M45,Utilitaires!$N$566:$O$571,2,FALSE)),$N45)</f>
        <v>0</v>
      </c>
      <c r="AD45" s="1130">
        <f>SQRT(SUMSQ(AC45,VLOOKUP(B45&amp;"; "&amp;$G$40,'FE Intrants'!G:U,7,FALSE)))</f>
        <v>0.5</v>
      </c>
    </row>
    <row r="46" spans="2:30" s="114" customFormat="1" ht="12.75" customHeight="1" outlineLevel="1">
      <c r="B46" s="143"/>
      <c r="C46" s="144"/>
      <c r="D46" s="213"/>
      <c r="E46" s="213"/>
      <c r="F46" s="144"/>
      <c r="G46" s="144"/>
      <c r="H46" s="145"/>
      <c r="L46" s="143"/>
      <c r="M46" s="144"/>
      <c r="N46" s="144"/>
      <c r="O46" s="168"/>
      <c r="V46" s="564"/>
      <c r="W46" s="565"/>
      <c r="X46" s="565"/>
      <c r="Y46" s="565"/>
      <c r="Z46" s="567"/>
      <c r="AA46" s="591"/>
      <c r="AC46" s="2068"/>
      <c r="AD46" s="1143"/>
    </row>
    <row r="47" spans="2:30" s="114" customFormat="1" ht="12.75" customHeight="1" outlineLevel="1">
      <c r="B47" s="196" t="s">
        <v>348</v>
      </c>
      <c r="C47" s="197"/>
      <c r="D47" s="214">
        <f>SUM(D42:D46)</f>
        <v>83070</v>
      </c>
      <c r="E47" s="214"/>
      <c r="F47" s="199"/>
      <c r="G47" s="199"/>
      <c r="H47" s="200">
        <f>SUM(H42:H46)</f>
        <v>83070</v>
      </c>
      <c r="L47" s="1204">
        <f>IF(O47=0,O47,O47/H47)</f>
        <v>0.52201532544552753</v>
      </c>
      <c r="M47" s="199"/>
      <c r="N47" s="199"/>
      <c r="O47" s="200">
        <f>SQRT(SUMSQ(O42:O46))</f>
        <v>43363.813084759975</v>
      </c>
      <c r="V47" s="571">
        <f t="shared" ref="V47:AA47" si="2">SUM(V42:V46)</f>
        <v>83070</v>
      </c>
      <c r="W47" s="572">
        <f t="shared" si="2"/>
        <v>0</v>
      </c>
      <c r="X47" s="572">
        <f t="shared" si="2"/>
        <v>0</v>
      </c>
      <c r="Y47" s="572">
        <f t="shared" si="2"/>
        <v>0</v>
      </c>
      <c r="Z47" s="574">
        <f t="shared" si="2"/>
        <v>83070</v>
      </c>
      <c r="AA47" s="592">
        <f t="shared" si="2"/>
        <v>0</v>
      </c>
    </row>
    <row r="48" spans="2:30" s="114" customFormat="1" ht="12.75" customHeight="1" outlineLevel="1">
      <c r="V48" s="441"/>
      <c r="W48" s="441"/>
      <c r="X48" s="441"/>
      <c r="Y48" s="441"/>
      <c r="Z48" s="441"/>
      <c r="AA48" s="441"/>
    </row>
    <row r="49" spans="2:30" s="114" customFormat="1" ht="13.2">
      <c r="V49" s="441"/>
      <c r="W49" s="441"/>
      <c r="X49" s="441"/>
      <c r="Y49" s="441"/>
      <c r="Z49" s="441"/>
      <c r="AA49" s="441"/>
    </row>
    <row r="50" spans="2:30" s="114" customFormat="1" ht="15.6" collapsed="1">
      <c r="B50" s="2763" t="s">
        <v>431</v>
      </c>
      <c r="C50" s="2764"/>
      <c r="D50" s="2764"/>
      <c r="E50" s="2764"/>
      <c r="F50" s="2764"/>
      <c r="G50" s="2764"/>
      <c r="H50" s="2764"/>
      <c r="I50" s="2764"/>
      <c r="J50" s="2764"/>
      <c r="K50" s="2764"/>
      <c r="L50" s="2764"/>
      <c r="M50" s="2764"/>
      <c r="N50" s="2764"/>
      <c r="O50" s="2765"/>
      <c r="V50" s="441"/>
      <c r="W50" s="441"/>
      <c r="X50" s="441"/>
      <c r="Y50" s="441"/>
      <c r="Z50" s="441"/>
      <c r="AA50" s="441"/>
    </row>
    <row r="51" spans="2:30" s="114" customFormat="1" ht="12.75" hidden="1" customHeight="1" outlineLevel="1">
      <c r="V51" s="441"/>
      <c r="W51" s="441"/>
      <c r="X51" s="441"/>
      <c r="Y51" s="441"/>
      <c r="Z51" s="441"/>
      <c r="AA51" s="441"/>
    </row>
    <row r="52" spans="2:30" s="114" customFormat="1" ht="12.75" hidden="1" customHeight="1" outlineLevel="1">
      <c r="B52" s="139" t="s">
        <v>431</v>
      </c>
      <c r="C52" s="140"/>
      <c r="D52" s="284"/>
      <c r="E52" s="1624"/>
      <c r="F52" s="141"/>
      <c r="G52" s="141"/>
      <c r="H52" s="141"/>
      <c r="I52" s="142"/>
      <c r="L52" s="2636" t="s">
        <v>366</v>
      </c>
      <c r="M52" s="2637"/>
      <c r="N52" s="2637"/>
      <c r="O52" s="2638"/>
      <c r="V52" s="2639" t="s">
        <v>441</v>
      </c>
      <c r="W52" s="2640"/>
      <c r="X52" s="2640"/>
      <c r="Y52" s="2640"/>
      <c r="Z52" s="2640"/>
      <c r="AA52" s="2641"/>
    </row>
    <row r="53" spans="2:30" s="114" customFormat="1" ht="12.75" hidden="1" customHeight="1" outlineLevel="1">
      <c r="B53" s="332"/>
      <c r="C53" s="167"/>
      <c r="D53" s="286" t="s">
        <v>308</v>
      </c>
      <c r="E53" s="1625"/>
      <c r="F53" s="155"/>
      <c r="G53" s="144"/>
      <c r="H53" s="144"/>
      <c r="I53" s="145"/>
      <c r="L53" s="146"/>
      <c r="M53" s="819"/>
      <c r="N53" s="827"/>
      <c r="O53" s="145"/>
      <c r="V53" s="2074"/>
      <c r="W53" s="2075"/>
      <c r="X53" s="2075"/>
      <c r="Y53" s="2075"/>
      <c r="Z53" s="2080"/>
      <c r="AA53" s="619"/>
      <c r="AC53" s="2766" t="s">
        <v>1648</v>
      </c>
      <c r="AD53" s="2767"/>
    </row>
    <row r="54" spans="2:30" s="114" customFormat="1" ht="12.75" hidden="1" customHeight="1" outlineLevel="1">
      <c r="B54" s="146"/>
      <c r="C54" s="285"/>
      <c r="D54" s="285" t="s">
        <v>409</v>
      </c>
      <c r="E54" s="1622"/>
      <c r="F54" s="147" t="s">
        <v>340</v>
      </c>
      <c r="G54" s="1177" t="s">
        <v>2186</v>
      </c>
      <c r="H54" s="147" t="s">
        <v>2185</v>
      </c>
      <c r="I54" s="148" t="s">
        <v>444</v>
      </c>
      <c r="L54" s="1176" t="s">
        <v>316</v>
      </c>
      <c r="M54" s="2629" t="s">
        <v>530</v>
      </c>
      <c r="N54" s="2630"/>
      <c r="O54" s="148" t="s">
        <v>444</v>
      </c>
      <c r="V54" s="2074" t="s">
        <v>444</v>
      </c>
      <c r="W54" s="2075"/>
      <c r="X54" s="2075"/>
      <c r="Y54" s="2075"/>
      <c r="Z54" s="2080" t="s">
        <v>444</v>
      </c>
      <c r="AA54" s="587"/>
      <c r="AC54" s="2069" t="s">
        <v>2167</v>
      </c>
      <c r="AD54" s="2079" t="s">
        <v>2187</v>
      </c>
    </row>
    <row r="55" spans="2:30" s="114" customFormat="1" ht="12.75" hidden="1" customHeight="1" outlineLevel="1">
      <c r="B55" s="146"/>
      <c r="C55" s="285"/>
      <c r="D55" s="285" t="s">
        <v>444</v>
      </c>
      <c r="E55" s="1622"/>
      <c r="F55" s="149" t="s">
        <v>419</v>
      </c>
      <c r="G55" s="285" t="s">
        <v>531</v>
      </c>
      <c r="H55" s="1178" t="s">
        <v>419</v>
      </c>
      <c r="I55" s="148"/>
      <c r="L55" s="1176" t="s">
        <v>1649</v>
      </c>
      <c r="M55" s="2646"/>
      <c r="N55" s="2647"/>
      <c r="O55" s="148"/>
      <c r="V55" s="2071" t="s">
        <v>211</v>
      </c>
      <c r="W55" s="2072" t="s">
        <v>442</v>
      </c>
      <c r="X55" s="2072" t="s">
        <v>267</v>
      </c>
      <c r="Y55" s="2072" t="s">
        <v>443</v>
      </c>
      <c r="Z55" s="2073" t="s">
        <v>327</v>
      </c>
      <c r="AA55" s="589" t="s">
        <v>636</v>
      </c>
      <c r="AC55" s="2077"/>
      <c r="AD55" s="1130"/>
    </row>
    <row r="56" spans="2:30" s="114" customFormat="1" ht="12.75" hidden="1" customHeight="1" outlineLevel="1">
      <c r="B56" s="143" t="s">
        <v>2182</v>
      </c>
      <c r="C56" s="144"/>
      <c r="D56" s="212">
        <f>I56</f>
        <v>0</v>
      </c>
      <c r="E56" s="212"/>
      <c r="F56" s="117"/>
      <c r="G56" s="219">
        <f>VLOOKUP($B56&amp;"; "&amp;H56,'FE Intrants'!$G:$U,9,FALSE)</f>
        <v>390</v>
      </c>
      <c r="H56" s="1205" t="str">
        <f>VLOOKUP(B56,'FE Intrants'!F:U,5,FALSE)</f>
        <v>kgCO2e/tonne</v>
      </c>
      <c r="I56" s="152">
        <f>F56*G56</f>
        <v>0</v>
      </c>
      <c r="L56" s="319">
        <f>IF(O56=0,O56,O56/I56)</f>
        <v>0</v>
      </c>
      <c r="M56" s="1218"/>
      <c r="N56" s="820"/>
      <c r="O56" s="152">
        <f>F56*G56*AD56</f>
        <v>0</v>
      </c>
      <c r="V56" s="564">
        <f>D56</f>
        <v>0</v>
      </c>
      <c r="W56" s="565"/>
      <c r="X56" s="565"/>
      <c r="Y56" s="565"/>
      <c r="Z56" s="567">
        <f>SUM(V56:Y56)</f>
        <v>0</v>
      </c>
      <c r="AA56" s="590"/>
      <c r="AC56" s="2077">
        <f>IF($M56&lt;&gt;"votre valeur :",IF(ISNA(VLOOKUP($M56,Utilitaires!$N$566:$O$571,2,FALSE)),,VLOOKUP($M56,Utilitaires!$N$566:$O$571,2,FALSE)),$N56)</f>
        <v>0</v>
      </c>
      <c r="AD56" s="1130">
        <f>SQRT(SUMSQ(AC56,VLOOKUP(B56&amp;"; "&amp;H56,'FE Intrants'!G:U,7,FALSE)))</f>
        <v>0.2</v>
      </c>
    </row>
    <row r="57" spans="2:30" s="114" customFormat="1" ht="12.75" hidden="1" customHeight="1" outlineLevel="1">
      <c r="B57" s="143" t="s">
        <v>2183</v>
      </c>
      <c r="C57" s="144"/>
      <c r="D57" s="212">
        <f>I57</f>
        <v>0</v>
      </c>
      <c r="E57" s="212"/>
      <c r="F57" s="120"/>
      <c r="G57" s="219">
        <f>VLOOKUP($B57&amp;"; "&amp;H57,'FE Intrants'!$G:$U,9,FALSE)</f>
        <v>670</v>
      </c>
      <c r="H57" s="1206" t="str">
        <f>VLOOKUP(B57,'FE Intrants'!F:U,5,FALSE)</f>
        <v>kgCO2e/tonne</v>
      </c>
      <c r="I57" s="152">
        <f>F57*G57</f>
        <v>0</v>
      </c>
      <c r="L57" s="319">
        <f>IF(O57=0,O57,O57/I57)</f>
        <v>0</v>
      </c>
      <c r="M57" s="1218"/>
      <c r="N57" s="820"/>
      <c r="O57" s="152">
        <f>F57*G57*AD57</f>
        <v>0</v>
      </c>
      <c r="V57" s="564">
        <f>D57</f>
        <v>0</v>
      </c>
      <c r="W57" s="565"/>
      <c r="X57" s="565"/>
      <c r="Y57" s="565"/>
      <c r="Z57" s="567">
        <f>SUM(V57:Y57)</f>
        <v>0</v>
      </c>
      <c r="AA57" s="590"/>
      <c r="AC57" s="2077">
        <f>IF($M57&lt;&gt;"votre valeur :",IF(ISNA(VLOOKUP($M57,Utilitaires!$N$566:$O$571,2,FALSE)),,VLOOKUP($M57,Utilitaires!$N$566:$O$571,2,FALSE)),$N57)</f>
        <v>0</v>
      </c>
      <c r="AD57" s="1130">
        <f>SQRT(SUMSQ(AC57,VLOOKUP(B57&amp;"; "&amp;H57,'FE Intrants'!G:U,7,FALSE)))</f>
        <v>0.2</v>
      </c>
    </row>
    <row r="58" spans="2:30" s="114" customFormat="1" ht="12.75" hidden="1" customHeight="1" outlineLevel="1">
      <c r="B58" s="143" t="s">
        <v>2184</v>
      </c>
      <c r="C58" s="144"/>
      <c r="D58" s="212">
        <f>I58</f>
        <v>0</v>
      </c>
      <c r="E58" s="212"/>
      <c r="F58" s="123"/>
      <c r="G58" s="219">
        <f>VLOOKUP($B58&amp;"; "&amp;H58,'FE Intrants'!$G:$U,9,FALSE)</f>
        <v>2.29</v>
      </c>
      <c r="H58" s="1207" t="str">
        <f>VLOOKUP(B58,'FE Intrants'!F:U,5,FALSE)</f>
        <v>kgCO2e/unité</v>
      </c>
      <c r="I58" s="152">
        <f>F58*G58</f>
        <v>0</v>
      </c>
      <c r="L58" s="319">
        <f>IF(O58=0,O58,O58/I58)</f>
        <v>0</v>
      </c>
      <c r="M58" s="1218"/>
      <c r="N58" s="820"/>
      <c r="O58" s="152">
        <f>F58*G58*AD58</f>
        <v>0</v>
      </c>
      <c r="V58" s="564">
        <f>D58</f>
        <v>0</v>
      </c>
      <c r="W58" s="565"/>
      <c r="X58" s="565"/>
      <c r="Y58" s="565"/>
      <c r="Z58" s="567">
        <f>SUM(V58:Y58)</f>
        <v>0</v>
      </c>
      <c r="AA58" s="590"/>
      <c r="AC58" s="2077">
        <f>IF($M58&lt;&gt;"votre valeur :",IF(ISNA(VLOOKUP($M58,Utilitaires!$N$566:$O$571,2,FALSE)),,VLOOKUP($M58,Utilitaires!$N$566:$O$571,2,FALSE)),$N58)</f>
        <v>0</v>
      </c>
      <c r="AD58" s="1130">
        <f>SQRT(SUMSQ(AC58,VLOOKUP(B58&amp;"; "&amp;H58,'FE Intrants'!G:U,7,FALSE)))</f>
        <v>0.2</v>
      </c>
    </row>
    <row r="59" spans="2:30" s="114" customFormat="1" ht="12.75" hidden="1" customHeight="1" outlineLevel="1">
      <c r="B59" s="143"/>
      <c r="C59" s="144"/>
      <c r="D59" s="213"/>
      <c r="E59" s="213"/>
      <c r="F59" s="144"/>
      <c r="G59" s="144"/>
      <c r="H59" s="144"/>
      <c r="I59" s="152"/>
      <c r="L59" s="143"/>
      <c r="M59" s="144"/>
      <c r="N59" s="144"/>
      <c r="O59" s="168"/>
      <c r="V59" s="564"/>
      <c r="W59" s="565"/>
      <c r="X59" s="565"/>
      <c r="Y59" s="565"/>
      <c r="Z59" s="567"/>
      <c r="AA59" s="591"/>
      <c r="AC59" s="2068"/>
      <c r="AD59" s="1143"/>
    </row>
    <row r="60" spans="2:30" s="114" customFormat="1" ht="12.75" hidden="1" customHeight="1" outlineLevel="1">
      <c r="B60" s="196" t="s">
        <v>348</v>
      </c>
      <c r="C60" s="197"/>
      <c r="D60" s="214">
        <f>SUM(D56:D59)</f>
        <v>0</v>
      </c>
      <c r="E60" s="214"/>
      <c r="F60" s="199"/>
      <c r="G60" s="199"/>
      <c r="H60" s="199"/>
      <c r="I60" s="200">
        <f>SUM(I56:I59)</f>
        <v>0</v>
      </c>
      <c r="L60" s="1204">
        <f>IF(O60=0,O60,O60/I60)</f>
        <v>0</v>
      </c>
      <c r="M60" s="199"/>
      <c r="N60" s="199"/>
      <c r="O60" s="200">
        <f>SQRT(SUMSQ(O56:O59))</f>
        <v>0</v>
      </c>
      <c r="V60" s="571">
        <f t="shared" ref="V60:AA60" si="3">SUM(V56:V59)</f>
        <v>0</v>
      </c>
      <c r="W60" s="572">
        <f t="shared" si="3"/>
        <v>0</v>
      </c>
      <c r="X60" s="572">
        <f t="shared" si="3"/>
        <v>0</v>
      </c>
      <c r="Y60" s="572">
        <f t="shared" si="3"/>
        <v>0</v>
      </c>
      <c r="Z60" s="574">
        <f t="shared" si="3"/>
        <v>0</v>
      </c>
      <c r="AA60" s="592">
        <f t="shared" si="3"/>
        <v>0</v>
      </c>
    </row>
    <row r="61" spans="2:30" s="114" customFormat="1" ht="12.75" hidden="1" customHeight="1" outlineLevel="1">
      <c r="V61" s="441"/>
      <c r="W61" s="441"/>
      <c r="X61" s="441"/>
      <c r="Y61" s="441"/>
      <c r="Z61" s="441"/>
      <c r="AA61" s="441"/>
    </row>
    <row r="62" spans="2:30" s="114" customFormat="1" ht="13.2">
      <c r="V62" s="441"/>
      <c r="W62" s="441"/>
      <c r="X62" s="441"/>
      <c r="Y62" s="441"/>
      <c r="Z62" s="441"/>
      <c r="AA62" s="441"/>
    </row>
    <row r="63" spans="2:30" s="114" customFormat="1" ht="15.6" collapsed="1">
      <c r="B63" s="2652" t="s">
        <v>208</v>
      </c>
      <c r="C63" s="2653"/>
      <c r="D63" s="2653"/>
      <c r="E63" s="2653"/>
      <c r="F63" s="2653"/>
      <c r="G63" s="2653"/>
      <c r="H63" s="2653"/>
      <c r="I63" s="2653"/>
      <c r="J63" s="2653"/>
      <c r="K63" s="2653"/>
      <c r="L63" s="2653"/>
      <c r="M63" s="2653"/>
      <c r="N63" s="2653"/>
      <c r="O63" s="2654"/>
      <c r="V63" s="441"/>
      <c r="W63" s="441"/>
      <c r="X63" s="441"/>
      <c r="Y63" s="441"/>
      <c r="Z63" s="441"/>
      <c r="AA63" s="441"/>
    </row>
    <row r="64" spans="2:30" s="114" customFormat="1" ht="12.75" hidden="1" customHeight="1" outlineLevel="1">
      <c r="V64" s="441"/>
      <c r="W64" s="441"/>
      <c r="X64" s="441"/>
      <c r="Y64" s="441"/>
      <c r="Z64" s="441"/>
      <c r="AA64" s="441"/>
    </row>
    <row r="65" spans="2:30" s="114" customFormat="1" ht="12.75" hidden="1" customHeight="1" outlineLevel="1">
      <c r="B65" s="139" t="s">
        <v>208</v>
      </c>
      <c r="C65" s="140"/>
      <c r="D65" s="284"/>
      <c r="E65" s="1624"/>
      <c r="F65" s="141"/>
      <c r="G65" s="141"/>
      <c r="H65" s="141"/>
      <c r="I65" s="142"/>
      <c r="L65" s="2636" t="s">
        <v>366</v>
      </c>
      <c r="M65" s="2637"/>
      <c r="N65" s="2637"/>
      <c r="O65" s="2638"/>
      <c r="V65" s="2639" t="s">
        <v>441</v>
      </c>
      <c r="W65" s="2640"/>
      <c r="X65" s="2640"/>
      <c r="Y65" s="2640"/>
      <c r="Z65" s="2640"/>
      <c r="AA65" s="2641"/>
    </row>
    <row r="66" spans="2:30" s="114" customFormat="1" ht="12.75" hidden="1" customHeight="1" outlineLevel="1">
      <c r="B66" s="332"/>
      <c r="C66" s="167"/>
      <c r="D66" s="286" t="s">
        <v>308</v>
      </c>
      <c r="E66" s="1625"/>
      <c r="F66" s="155"/>
      <c r="G66" s="144"/>
      <c r="H66" s="144"/>
      <c r="I66" s="145"/>
      <c r="L66" s="1176"/>
      <c r="M66" s="819"/>
      <c r="N66" s="827"/>
      <c r="O66" s="145"/>
      <c r="V66" s="2074"/>
      <c r="W66" s="2075"/>
      <c r="X66" s="2075"/>
      <c r="Y66" s="2075"/>
      <c r="Z66" s="2080"/>
      <c r="AA66" s="619"/>
      <c r="AC66" s="2766" t="s">
        <v>1648</v>
      </c>
      <c r="AD66" s="2767"/>
    </row>
    <row r="67" spans="2:30" s="114" customFormat="1" ht="12.75" hidden="1" customHeight="1" outlineLevel="1">
      <c r="B67" s="146"/>
      <c r="C67" s="285"/>
      <c r="D67" s="285" t="s">
        <v>409</v>
      </c>
      <c r="E67" s="1622"/>
      <c r="F67" s="147" t="s">
        <v>340</v>
      </c>
      <c r="G67" s="285" t="s">
        <v>2186</v>
      </c>
      <c r="H67" s="147" t="s">
        <v>2185</v>
      </c>
      <c r="I67" s="148" t="s">
        <v>444</v>
      </c>
      <c r="L67" s="1176" t="s">
        <v>316</v>
      </c>
      <c r="M67" s="2629" t="s">
        <v>530</v>
      </c>
      <c r="N67" s="2630"/>
      <c r="O67" s="148" t="s">
        <v>444</v>
      </c>
      <c r="V67" s="2074" t="s">
        <v>444</v>
      </c>
      <c r="W67" s="2075"/>
      <c r="X67" s="2075"/>
      <c r="Y67" s="2075"/>
      <c r="Z67" s="2080" t="s">
        <v>444</v>
      </c>
      <c r="AA67" s="587"/>
      <c r="AC67" s="2069" t="s">
        <v>2167</v>
      </c>
      <c r="AD67" s="2079" t="s">
        <v>2187</v>
      </c>
    </row>
    <row r="68" spans="2:30" s="114" customFormat="1" ht="12.75" hidden="1" customHeight="1" outlineLevel="1">
      <c r="B68" s="146"/>
      <c r="C68" s="285"/>
      <c r="D68" s="285" t="s">
        <v>444</v>
      </c>
      <c r="E68" s="1622"/>
      <c r="F68" s="149" t="s">
        <v>419</v>
      </c>
      <c r="G68" s="285" t="s">
        <v>531</v>
      </c>
      <c r="H68" s="1178" t="s">
        <v>419</v>
      </c>
      <c r="I68" s="148"/>
      <c r="L68" s="1176" t="s">
        <v>1649</v>
      </c>
      <c r="M68" s="2646"/>
      <c r="N68" s="2647"/>
      <c r="O68" s="148"/>
      <c r="V68" s="2071" t="s">
        <v>211</v>
      </c>
      <c r="W68" s="2072" t="s">
        <v>442</v>
      </c>
      <c r="X68" s="2072" t="s">
        <v>267</v>
      </c>
      <c r="Y68" s="2072" t="s">
        <v>443</v>
      </c>
      <c r="Z68" s="2073" t="s">
        <v>327</v>
      </c>
      <c r="AA68" s="589" t="s">
        <v>636</v>
      </c>
      <c r="AC68" s="2077"/>
      <c r="AD68" s="1130"/>
    </row>
    <row r="69" spans="2:30" s="114" customFormat="1" ht="12.75" hidden="1" customHeight="1" outlineLevel="1">
      <c r="B69" s="180" t="s">
        <v>2188</v>
      </c>
      <c r="C69" s="181"/>
      <c r="D69" s="212">
        <f>I69</f>
        <v>0</v>
      </c>
      <c r="E69" s="212"/>
      <c r="F69" s="117"/>
      <c r="G69" s="335">
        <f>VLOOKUP($B69&amp;"; "&amp;H69,'FE Intrants'!$G:$U,9,FALSE)</f>
        <v>2.4700000000000002</v>
      </c>
      <c r="H69" s="1205" t="str">
        <f>VLOOKUP(B69,'FE Intrants'!F:U,5,FALSE)</f>
        <v>kgCO2e/mL</v>
      </c>
      <c r="I69" s="152">
        <f>F69*G69</f>
        <v>0</v>
      </c>
      <c r="L69" s="319">
        <f>IF(O69=0,O69,O69/I69)</f>
        <v>0</v>
      </c>
      <c r="M69" s="1218"/>
      <c r="N69" s="820"/>
      <c r="O69" s="152">
        <f>F69*G69*AD69</f>
        <v>0</v>
      </c>
      <c r="V69" s="564">
        <f>D69</f>
        <v>0</v>
      </c>
      <c r="W69" s="565"/>
      <c r="X69" s="565"/>
      <c r="Y69" s="565"/>
      <c r="Z69" s="567">
        <f>SUM(V69:Y69)</f>
        <v>0</v>
      </c>
      <c r="AA69" s="590"/>
      <c r="AC69" s="2077">
        <f>IF($M69&lt;&gt;"votre valeur :",IF(ISNA(VLOOKUP($M69,Utilitaires!$N$566:$O$571,2,FALSE)),,VLOOKUP($M69,Utilitaires!$N$566:$O$571,2,FALSE)),$N69)</f>
        <v>0</v>
      </c>
      <c r="AD69" s="1130">
        <f>SQRT(SUMSQ(AC69,VLOOKUP(B69&amp;"; "&amp;H69,'FE Intrants'!G:U,7,FALSE)))</f>
        <v>0.1</v>
      </c>
    </row>
    <row r="70" spans="2:30" s="114" customFormat="1" ht="12.75" hidden="1" customHeight="1" outlineLevel="1">
      <c r="B70" s="180" t="s">
        <v>2189</v>
      </c>
      <c r="C70" s="181"/>
      <c r="D70" s="212">
        <f>I70</f>
        <v>0</v>
      </c>
      <c r="E70" s="212"/>
      <c r="F70" s="120"/>
      <c r="G70" s="335">
        <f>VLOOKUP($B70&amp;"; "&amp;H70,'FE Intrants'!$G:$U,9,FALSE)</f>
        <v>7.82</v>
      </c>
      <c r="H70" s="1206" t="str">
        <f>VLOOKUP(B70,'FE Intrants'!F:U,5,FALSE)</f>
        <v>kgCO2e/m² de paroi</v>
      </c>
      <c r="I70" s="152">
        <f>F70*G70</f>
        <v>0</v>
      </c>
      <c r="L70" s="319">
        <f>IF(O70=0,O70,O70/I70)</f>
        <v>0</v>
      </c>
      <c r="M70" s="1218"/>
      <c r="N70" s="820"/>
      <c r="O70" s="152">
        <f>F70*G70*AD70</f>
        <v>0</v>
      </c>
      <c r="V70" s="564">
        <f>D70</f>
        <v>0</v>
      </c>
      <c r="W70" s="565"/>
      <c r="X70" s="565"/>
      <c r="Y70" s="565"/>
      <c r="Z70" s="567">
        <f>SUM(V70:Y70)</f>
        <v>0</v>
      </c>
      <c r="AA70" s="590"/>
      <c r="AC70" s="2077">
        <f>IF($M70&lt;&gt;"votre valeur :",IF(ISNA(VLOOKUP($M70,Utilitaires!$N$566:$O$571,2,FALSE)),,VLOOKUP($M70,Utilitaires!$N$566:$O$571,2,FALSE)),$N70)</f>
        <v>0</v>
      </c>
      <c r="AD70" s="1130">
        <f>SQRT(SUMSQ(AC70,VLOOKUP(B70&amp;"; "&amp;H70,'FE Intrants'!G:U,7,FALSE)))</f>
        <v>0.1</v>
      </c>
    </row>
    <row r="71" spans="2:30" s="114" customFormat="1" ht="12.75" hidden="1" customHeight="1" outlineLevel="1">
      <c r="B71" s="180" t="s">
        <v>2190</v>
      </c>
      <c r="C71" s="181"/>
      <c r="D71" s="212">
        <f>I71</f>
        <v>0</v>
      </c>
      <c r="E71" s="212"/>
      <c r="F71" s="120"/>
      <c r="G71" s="335">
        <f>VLOOKUP($B71&amp;"; "&amp;H71,'FE Intrants'!$G:$U,9,FALSE)</f>
        <v>3.95</v>
      </c>
      <c r="H71" s="1206" t="str">
        <f>VLOOKUP(B71,'FE Intrants'!F:U,5,FALSE)</f>
        <v>kgCO2e/m²</v>
      </c>
      <c r="I71" s="152">
        <f>F71*G71</f>
        <v>0</v>
      </c>
      <c r="L71" s="319">
        <f>IF(O71=0,O71,O71/I71)</f>
        <v>0</v>
      </c>
      <c r="M71" s="1218"/>
      <c r="N71" s="820"/>
      <c r="O71" s="152">
        <f>F71*G71*AD71</f>
        <v>0</v>
      </c>
      <c r="V71" s="564">
        <f>D71</f>
        <v>0</v>
      </c>
      <c r="W71" s="565"/>
      <c r="X71" s="565"/>
      <c r="Y71" s="565"/>
      <c r="Z71" s="567">
        <f>SUM(V71:Y71)</f>
        <v>0</v>
      </c>
      <c r="AA71" s="590"/>
      <c r="AC71" s="2077">
        <f>IF($M71&lt;&gt;"votre valeur :",IF(ISNA(VLOOKUP($M71,Utilitaires!$N$566:$O$571,2,FALSE)),,VLOOKUP($M71,Utilitaires!$N$566:$O$571,2,FALSE)),$N71)</f>
        <v>0</v>
      </c>
      <c r="AD71" s="1130">
        <f>SQRT(SUMSQ(AC71,VLOOKUP(B71&amp;"; "&amp;H71,'FE Intrants'!G:U,7,FALSE)))</f>
        <v>0.1</v>
      </c>
    </row>
    <row r="72" spans="2:30" s="114" customFormat="1" ht="12.75" hidden="1" customHeight="1" outlineLevel="1">
      <c r="B72" s="180" t="s">
        <v>2191</v>
      </c>
      <c r="C72" s="181"/>
      <c r="D72" s="212">
        <f>I72</f>
        <v>0</v>
      </c>
      <c r="E72" s="212"/>
      <c r="F72" s="123"/>
      <c r="G72" s="335">
        <f>VLOOKUP($B72&amp;"; "&amp;H72,'FE Intrants'!$G:$U,9,FALSE)</f>
        <v>155</v>
      </c>
      <c r="H72" s="1207" t="str">
        <f>VLOOKUP(B72,'FE Intrants'!F:U,5,FALSE)</f>
        <v>kgCO2e/tonne</v>
      </c>
      <c r="I72" s="152">
        <f>F72*G72</f>
        <v>0</v>
      </c>
      <c r="L72" s="319">
        <f>IF(O72=0,O72,O72/I72)</f>
        <v>0</v>
      </c>
      <c r="M72" s="1218"/>
      <c r="N72" s="820"/>
      <c r="O72" s="152">
        <f>F72*G72*AD72</f>
        <v>0</v>
      </c>
      <c r="V72" s="564">
        <f>D72</f>
        <v>0</v>
      </c>
      <c r="W72" s="565"/>
      <c r="X72" s="565"/>
      <c r="Y72" s="565"/>
      <c r="Z72" s="567">
        <f>SUM(V72:Y72)</f>
        <v>0</v>
      </c>
      <c r="AA72" s="590"/>
      <c r="AC72" s="2077">
        <f>IF($M72&lt;&gt;"votre valeur :",IF(ISNA(VLOOKUP($M72,Utilitaires!$N$566:$O$571,2,FALSE)),,VLOOKUP($M72,Utilitaires!$N$566:$O$571,2,FALSE)),$N72)</f>
        <v>0</v>
      </c>
      <c r="AD72" s="1130">
        <f>SQRT(SUMSQ(AC72,VLOOKUP(B72&amp;"; "&amp;H72,'FE Intrants'!G:U,7,FALSE)))</f>
        <v>0.2</v>
      </c>
    </row>
    <row r="73" spans="2:30" s="114" customFormat="1" ht="12.75" hidden="1" customHeight="1" outlineLevel="1">
      <c r="B73" s="143"/>
      <c r="C73" s="144"/>
      <c r="D73" s="213"/>
      <c r="E73" s="213"/>
      <c r="F73" s="326"/>
      <c r="G73" s="326"/>
      <c r="H73" s="326"/>
      <c r="I73" s="152"/>
      <c r="L73" s="163"/>
      <c r="M73" s="144"/>
      <c r="N73" s="144"/>
      <c r="O73" s="152"/>
      <c r="V73" s="564"/>
      <c r="W73" s="565"/>
      <c r="X73" s="565"/>
      <c r="Y73" s="565"/>
      <c r="Z73" s="567"/>
      <c r="AA73" s="591"/>
      <c r="AC73" s="2068"/>
      <c r="AD73" s="1143"/>
    </row>
    <row r="74" spans="2:30" s="114" customFormat="1" ht="12.75" hidden="1" customHeight="1" outlineLevel="1">
      <c r="B74" s="196" t="s">
        <v>348</v>
      </c>
      <c r="C74" s="197"/>
      <c r="D74" s="214">
        <f>SUM(D69:D73)</f>
        <v>0</v>
      </c>
      <c r="E74" s="214"/>
      <c r="F74" s="199"/>
      <c r="G74" s="199"/>
      <c r="H74" s="199"/>
      <c r="I74" s="200">
        <f>SUM(I69:I73)</f>
        <v>0</v>
      </c>
      <c r="L74" s="1204">
        <f>IF(O74=0,O74,O74/I74)</f>
        <v>0</v>
      </c>
      <c r="M74" s="199"/>
      <c r="N74" s="199"/>
      <c r="O74" s="200">
        <f>SQRT(SUMSQ(O69:O73))</f>
        <v>0</v>
      </c>
      <c r="V74" s="571">
        <f t="shared" ref="V74:AA74" si="4">SUM(V69:V73)</f>
        <v>0</v>
      </c>
      <c r="W74" s="572">
        <f t="shared" si="4"/>
        <v>0</v>
      </c>
      <c r="X74" s="572">
        <f t="shared" si="4"/>
        <v>0</v>
      </c>
      <c r="Y74" s="572">
        <f t="shared" si="4"/>
        <v>0</v>
      </c>
      <c r="Z74" s="574">
        <f t="shared" si="4"/>
        <v>0</v>
      </c>
      <c r="AA74" s="592">
        <f t="shared" si="4"/>
        <v>0</v>
      </c>
    </row>
    <row r="75" spans="2:30" s="114" customFormat="1" ht="12.75" hidden="1" customHeight="1" outlineLevel="1">
      <c r="V75" s="441"/>
      <c r="W75" s="441"/>
      <c r="X75" s="441"/>
      <c r="Y75" s="441"/>
      <c r="Z75" s="441"/>
      <c r="AA75" s="441"/>
    </row>
    <row r="76" spans="2:30" s="114" customFormat="1" ht="13.2">
      <c r="V76" s="441"/>
      <c r="W76" s="441"/>
      <c r="X76" s="441"/>
      <c r="Y76" s="441"/>
      <c r="Z76" s="441"/>
      <c r="AA76" s="441"/>
    </row>
    <row r="77" spans="2:30" s="114" customFormat="1" ht="15.6" collapsed="1">
      <c r="B77" s="2763" t="s">
        <v>4081</v>
      </c>
      <c r="C77" s="2764"/>
      <c r="D77" s="2764"/>
      <c r="E77" s="2764"/>
      <c r="F77" s="2764"/>
      <c r="G77" s="2764"/>
      <c r="H77" s="2764"/>
      <c r="I77" s="2764"/>
      <c r="J77" s="2764"/>
      <c r="K77" s="2764"/>
      <c r="L77" s="2764"/>
      <c r="M77" s="2764"/>
      <c r="N77" s="2764"/>
      <c r="O77" s="2765"/>
      <c r="V77" s="441"/>
      <c r="W77" s="441"/>
      <c r="X77" s="441"/>
      <c r="Y77" s="441"/>
      <c r="Z77" s="441"/>
      <c r="AA77" s="441"/>
    </row>
    <row r="78" spans="2:30" s="114" customFormat="1" ht="12.75" hidden="1" customHeight="1" outlineLevel="1">
      <c r="V78" s="441"/>
      <c r="W78" s="441"/>
      <c r="X78" s="441"/>
      <c r="Y78" s="441"/>
      <c r="Z78" s="441"/>
      <c r="AA78" s="441"/>
    </row>
    <row r="79" spans="2:30" s="114" customFormat="1" ht="12.75" hidden="1" customHeight="1" outlineLevel="1">
      <c r="B79" s="139" t="s">
        <v>9</v>
      </c>
      <c r="C79" s="140"/>
      <c r="D79" s="284"/>
      <c r="E79" s="1624"/>
      <c r="F79" s="141"/>
      <c r="G79" s="141"/>
      <c r="H79" s="141"/>
      <c r="I79" s="2265"/>
      <c r="J79" s="2265"/>
      <c r="K79" s="2265"/>
      <c r="L79" s="2265"/>
      <c r="M79" s="2265"/>
      <c r="N79" s="142"/>
      <c r="Q79" s="2636" t="s">
        <v>366</v>
      </c>
      <c r="R79" s="2637"/>
      <c r="S79" s="2637"/>
      <c r="T79" s="2638"/>
      <c r="V79" s="2639" t="s">
        <v>441</v>
      </c>
      <c r="W79" s="2640"/>
      <c r="X79" s="2640"/>
      <c r="Y79" s="2640"/>
      <c r="Z79" s="2640"/>
      <c r="AA79" s="2641"/>
    </row>
    <row r="80" spans="2:30" s="114" customFormat="1" ht="12.75" hidden="1" customHeight="1" outlineLevel="1">
      <c r="B80" s="332"/>
      <c r="C80" s="167"/>
      <c r="D80" s="286" t="s">
        <v>308</v>
      </c>
      <c r="E80" s="1625"/>
      <c r="F80" s="155"/>
      <c r="G80" s="144"/>
      <c r="H80" s="144"/>
      <c r="I80" s="2312"/>
      <c r="J80" s="2312"/>
      <c r="K80" s="2312"/>
      <c r="L80" s="2312"/>
      <c r="M80" s="2312"/>
      <c r="N80" s="145"/>
      <c r="Q80" s="1179"/>
      <c r="R80" s="819"/>
      <c r="S80" s="827"/>
      <c r="T80" s="145"/>
      <c r="V80" s="2074"/>
      <c r="W80" s="2075"/>
      <c r="X80" s="2075"/>
      <c r="Y80" s="2075"/>
      <c r="Z80" s="2080"/>
      <c r="AA80" s="619"/>
      <c r="AC80" s="2766" t="s">
        <v>1648</v>
      </c>
      <c r="AD80" s="2767"/>
    </row>
    <row r="81" spans="2:30" s="114" customFormat="1" ht="12.75" hidden="1" customHeight="1" outlineLevel="1">
      <c r="B81" s="146"/>
      <c r="C81" s="285"/>
      <c r="D81" s="285" t="s">
        <v>409</v>
      </c>
      <c r="E81" s="1622"/>
      <c r="F81" s="147" t="s">
        <v>340</v>
      </c>
      <c r="G81" s="2774" t="s">
        <v>4104</v>
      </c>
      <c r="H81" s="147" t="s">
        <v>2185</v>
      </c>
      <c r="I81" s="2768"/>
      <c r="J81" s="2768"/>
      <c r="K81" s="2768"/>
      <c r="L81" s="2768"/>
      <c r="M81" s="2768"/>
      <c r="N81" s="148" t="s">
        <v>444</v>
      </c>
      <c r="Q81" s="1179" t="s">
        <v>316</v>
      </c>
      <c r="R81" s="2629" t="s">
        <v>530</v>
      </c>
      <c r="S81" s="2630"/>
      <c r="T81" s="539" t="s">
        <v>444</v>
      </c>
      <c r="V81" s="2074" t="s">
        <v>444</v>
      </c>
      <c r="W81" s="2075"/>
      <c r="X81" s="2075"/>
      <c r="Y81" s="2075"/>
      <c r="Z81" s="2080" t="s">
        <v>444</v>
      </c>
      <c r="AA81" s="587"/>
      <c r="AC81" s="2069" t="s">
        <v>2167</v>
      </c>
      <c r="AD81" s="2079" t="s">
        <v>2187</v>
      </c>
    </row>
    <row r="82" spans="2:30" s="114" customFormat="1" ht="12.75" hidden="1" customHeight="1" outlineLevel="1">
      <c r="B82" s="146"/>
      <c r="C82" s="285"/>
      <c r="D82" s="285" t="s">
        <v>444</v>
      </c>
      <c r="E82" s="1622"/>
      <c r="F82" s="149" t="s">
        <v>419</v>
      </c>
      <c r="G82" s="2774"/>
      <c r="H82" s="1182" t="s">
        <v>419</v>
      </c>
      <c r="I82" s="1662"/>
      <c r="J82" s="1662"/>
      <c r="K82" s="1662"/>
      <c r="L82" s="1662"/>
      <c r="M82" s="1662"/>
      <c r="N82" s="148"/>
      <c r="Q82" s="1179" t="s">
        <v>1649</v>
      </c>
      <c r="R82" s="2646"/>
      <c r="S82" s="2647"/>
      <c r="T82" s="539"/>
      <c r="V82" s="2071" t="s">
        <v>211</v>
      </c>
      <c r="W82" s="2072" t="s">
        <v>442</v>
      </c>
      <c r="X82" s="2072" t="s">
        <v>267</v>
      </c>
      <c r="Y82" s="2072" t="s">
        <v>443</v>
      </c>
      <c r="Z82" s="2073" t="s">
        <v>327</v>
      </c>
      <c r="AA82" s="589" t="s">
        <v>636</v>
      </c>
      <c r="AC82" s="2077"/>
      <c r="AD82" s="1130"/>
    </row>
    <row r="83" spans="2:30" s="114" customFormat="1" ht="12.75" hidden="1" customHeight="1" outlineLevel="1">
      <c r="B83" s="143" t="s">
        <v>2194</v>
      </c>
      <c r="C83" s="144"/>
      <c r="D83" s="212">
        <f>N83</f>
        <v>0</v>
      </c>
      <c r="E83" s="212"/>
      <c r="F83" s="117"/>
      <c r="G83" s="219">
        <f>VLOOKUP($B83&amp;"; "&amp;H83,'FE Intrants'!$G:$U,9,FALSE)</f>
        <v>1200</v>
      </c>
      <c r="H83" s="1205" t="str">
        <f>VLOOKUP(B83,'FE Intrants'!F:U,5,FALSE)</f>
        <v>kgCO2e/tonne</v>
      </c>
      <c r="I83" s="1662"/>
      <c r="J83" s="1662"/>
      <c r="K83" s="1662"/>
      <c r="L83" s="1662"/>
      <c r="M83" s="1662"/>
      <c r="N83" s="152">
        <f>F83*G83</f>
        <v>0</v>
      </c>
      <c r="Q83" s="319">
        <f>IF(T83=0,T83,T83/N83)</f>
        <v>0</v>
      </c>
      <c r="R83" s="1218"/>
      <c r="S83" s="820"/>
      <c r="T83" s="152">
        <f>F83*G83*AD83</f>
        <v>0</v>
      </c>
      <c r="V83" s="564">
        <f>IF($F83*VLOOKUP($B83&amp;"; "&amp;$H83,'FE Intrants'!$G:$U,10,FALSE)=0,N83,$F83*VLOOKUP($B83&amp;"; "&amp;$H83,'FE Intrants'!$G:$U,10,FALSE))</f>
        <v>0</v>
      </c>
      <c r="W83" s="565">
        <f>$F83*(VLOOKUP($B83&amp;"; "&amp;$H83,'FE Intrants'!$G:$U,11,FALSE)+VLOOKUP($B83&amp;"; "&amp;$H83,'FE Intrants'!$G:$U,12,FALSE))</f>
        <v>0</v>
      </c>
      <c r="X83" s="565">
        <f>$F83*VLOOKUP($B83&amp;"; "&amp;$H83,'FE Intrants'!$G:$U,13,FALSE)</f>
        <v>0</v>
      </c>
      <c r="Y83" s="565">
        <f>$F83*VLOOKUP($B83&amp;"; "&amp;$H83,'FE Intrants'!$G:$U,14,FALSE)</f>
        <v>0</v>
      </c>
      <c r="Z83" s="567">
        <f>SUM(V83:Y83)</f>
        <v>0</v>
      </c>
      <c r="AA83" s="590">
        <f>$F83*VLOOKUP($B83&amp;"; "&amp;$H83,'FE Intrants'!$G:$U,15,FALSE)</f>
        <v>0</v>
      </c>
      <c r="AC83" s="2077">
        <f>IF($R83&lt;&gt;"votre valeur :",IF(ISNA(VLOOKUP($R83,Utilitaires!$N$566:$O$571,2,FALSE)),,VLOOKUP($R83,Utilitaires!$N$566:$O$571,2,FALSE)),$S83)</f>
        <v>0</v>
      </c>
      <c r="AD83" s="1130">
        <f>SQRT(SUMSQ(AC83,VLOOKUP(B83&amp;"; "&amp;H83,'FE Intrants'!G:U,7,FALSE)))</f>
        <v>0.5</v>
      </c>
    </row>
    <row r="84" spans="2:30" s="114" customFormat="1" ht="12.75" hidden="1" customHeight="1" outlineLevel="1">
      <c r="B84" s="143" t="s">
        <v>2195</v>
      </c>
      <c r="C84" s="144"/>
      <c r="D84" s="212">
        <f>N84</f>
        <v>0</v>
      </c>
      <c r="E84" s="212"/>
      <c r="F84" s="120"/>
      <c r="G84" s="219">
        <f>VLOOKUP($B84&amp;"; "&amp;H84,'FE Intrants'!$G:$U,9,FALSE)</f>
        <v>148</v>
      </c>
      <c r="H84" s="1206" t="str">
        <f>VLOOKUP(B84,'FE Intrants'!F:U,5,FALSE)</f>
        <v>kgCO2e/tonne</v>
      </c>
      <c r="I84" s="212"/>
      <c r="J84" s="212"/>
      <c r="K84" s="212"/>
      <c r="L84" s="212"/>
      <c r="M84" s="212"/>
      <c r="N84" s="152">
        <f>F84*G84</f>
        <v>0</v>
      </c>
      <c r="Q84" s="319">
        <f>IF(T84=0,T84,T84/N84)</f>
        <v>0</v>
      </c>
      <c r="R84" s="1218"/>
      <c r="S84" s="820"/>
      <c r="T84" s="152">
        <f>F84*G84*AD84</f>
        <v>0</v>
      </c>
      <c r="V84" s="564">
        <f>IF($F84*VLOOKUP($B84&amp;"; "&amp;$H84,'FE Intrants'!$G:$U,10,FALSE)=0,N84,$F84*VLOOKUP($B84&amp;"; "&amp;$H84,'FE Intrants'!$G:$U,10,FALSE))</f>
        <v>0</v>
      </c>
      <c r="W84" s="565">
        <f>$F84*(VLOOKUP($B84&amp;"; "&amp;$H84,'FE Intrants'!$G:$U,11,FALSE)+VLOOKUP($B84&amp;"; "&amp;$H84,'FE Intrants'!$G:$U,12,FALSE))</f>
        <v>0</v>
      </c>
      <c r="X84" s="565">
        <f>$F84*VLOOKUP($B84&amp;"; "&amp;$H84,'FE Intrants'!$G:$U,13,FALSE)</f>
        <v>0</v>
      </c>
      <c r="Y84" s="565">
        <f>$F84*VLOOKUP($B84&amp;"; "&amp;$H84,'FE Intrants'!$G:$U,14,FALSE)</f>
        <v>0</v>
      </c>
      <c r="Z84" s="567">
        <f>SUM(V84:Y84)</f>
        <v>0</v>
      </c>
      <c r="AA84" s="590">
        <f>$F84*VLOOKUP($B84&amp;"; "&amp;$H84,'FE Intrants'!$G:$U,15,FALSE)</f>
        <v>0</v>
      </c>
      <c r="AC84" s="2077">
        <f>IF($R84&lt;&gt;"votre valeur :",IF(ISNA(VLOOKUP($R84,Utilitaires!$N$566:$O$571,2,FALSE)),,VLOOKUP($R84,Utilitaires!$N$566:$O$571,2,FALSE)),$S84)</f>
        <v>0</v>
      </c>
      <c r="AD84" s="1130">
        <f>SQRT(SUMSQ(AC84,VLOOKUP(B84&amp;"; "&amp;H84,'FE Intrants'!G:U,7,FALSE)))</f>
        <v>0.5</v>
      </c>
    </row>
    <row r="85" spans="2:30" s="114" customFormat="1" ht="12.75" hidden="1" customHeight="1" outlineLevel="1">
      <c r="B85" s="143" t="s">
        <v>2196</v>
      </c>
      <c r="C85" s="144"/>
      <c r="D85" s="212">
        <f>N85</f>
        <v>0</v>
      </c>
      <c r="E85" s="212"/>
      <c r="F85" s="120"/>
      <c r="G85" s="219">
        <f>VLOOKUP($B85&amp;"; "&amp;H85,'FE Intrants'!$G:$U,9,FALSE)</f>
        <v>2980</v>
      </c>
      <c r="H85" s="1206" t="str">
        <f>VLOOKUP(B85,'FE Intrants'!F:U,5,FALSE)</f>
        <v>kgCO2e/tonne de N</v>
      </c>
      <c r="I85" s="212"/>
      <c r="J85" s="212"/>
      <c r="K85" s="212"/>
      <c r="L85" s="212"/>
      <c r="M85" s="212"/>
      <c r="N85" s="152">
        <f>F85*G85</f>
        <v>0</v>
      </c>
      <c r="Q85" s="319">
        <f>IF(T85=0,T85,T85/N85)</f>
        <v>0</v>
      </c>
      <c r="R85" s="1218"/>
      <c r="S85" s="820"/>
      <c r="T85" s="152">
        <f>F85*G85*AD85</f>
        <v>0</v>
      </c>
      <c r="V85" s="564">
        <f>IF($F85*VLOOKUP($B85&amp;"; "&amp;$H85,'FE Intrants'!$G:$U,10,FALSE)=0,N85,$F85*VLOOKUP($B85&amp;"; "&amp;$H85,'FE Intrants'!$G:$U,10,FALSE))</f>
        <v>0</v>
      </c>
      <c r="W85" s="565">
        <f>$F85*(VLOOKUP($B85&amp;"; "&amp;$H85,'FE Intrants'!$G:$U,11,FALSE)+VLOOKUP($B85&amp;"; "&amp;$H85,'FE Intrants'!$G:$U,12,FALSE))</f>
        <v>0</v>
      </c>
      <c r="X85" s="565">
        <f>$F85*VLOOKUP($B85&amp;"; "&amp;$H85,'FE Intrants'!$G:$U,13,FALSE)</f>
        <v>0</v>
      </c>
      <c r="Y85" s="565">
        <f>$F85*VLOOKUP($B85&amp;"; "&amp;$H85,'FE Intrants'!$G:$U,14,FALSE)</f>
        <v>0</v>
      </c>
      <c r="Z85" s="567">
        <f>SUM(V85:Y85)</f>
        <v>0</v>
      </c>
      <c r="AA85" s="590">
        <f>$F85*VLOOKUP($B85&amp;"; "&amp;$H85,'FE Intrants'!$G:$U,15,FALSE)</f>
        <v>0</v>
      </c>
      <c r="AC85" s="2077">
        <f>IF($R85&lt;&gt;"votre valeur :",IF(ISNA(VLOOKUP($R85,Utilitaires!$N$566:$O$571,2,FALSE)),,VLOOKUP($R85,Utilitaires!$N$566:$O$571,2,FALSE)),$S85)</f>
        <v>0</v>
      </c>
      <c r="AD85" s="1130">
        <f>SQRT(SUMSQ(AC85,VLOOKUP(B85&amp;"; "&amp;H85,'FE Intrants'!G:U,7,FALSE)))</f>
        <v>0.3</v>
      </c>
    </row>
    <row r="86" spans="2:30" s="114" customFormat="1" ht="12.75" hidden="1" customHeight="1" outlineLevel="1">
      <c r="B86" s="143" t="s">
        <v>2197</v>
      </c>
      <c r="C86" s="144"/>
      <c r="D86" s="212">
        <f>N86</f>
        <v>0</v>
      </c>
      <c r="E86" s="212"/>
      <c r="F86" s="123"/>
      <c r="G86" s="219">
        <f>VLOOKUP($B86&amp;"; "&amp;H86,'FE Intrants'!$G:$U,9,FALSE)</f>
        <v>25.5</v>
      </c>
      <c r="H86" s="1207" t="str">
        <f>VLOOKUP(B86,'FE Intrants'!F:U,5,FALSE)</f>
        <v>kgCO2e/kg de matière active</v>
      </c>
      <c r="I86" s="212"/>
      <c r="J86" s="212"/>
      <c r="K86" s="212"/>
      <c r="L86" s="212"/>
      <c r="M86" s="212"/>
      <c r="N86" s="152">
        <f>F86*G86</f>
        <v>0</v>
      </c>
      <c r="Q86" s="319">
        <f>IF(T86=0,T86,T86/N86)</f>
        <v>0</v>
      </c>
      <c r="R86" s="1218"/>
      <c r="S86" s="820"/>
      <c r="T86" s="152">
        <f>F86*G86*AD86</f>
        <v>0</v>
      </c>
      <c r="V86" s="564">
        <f>IF($F86*VLOOKUP($B86&amp;"; "&amp;$H86,'FE Intrants'!$G:$U,10,FALSE)=0,N86,$F86*VLOOKUP($B86&amp;"; "&amp;$H86,'FE Intrants'!$G:$U,10,FALSE))</f>
        <v>0</v>
      </c>
      <c r="W86" s="565">
        <f>$F86*(VLOOKUP($B86&amp;"; "&amp;$H86,'FE Intrants'!$G:$U,11,FALSE)+VLOOKUP($B86&amp;"; "&amp;$H86,'FE Intrants'!$G:$U,12,FALSE))</f>
        <v>0</v>
      </c>
      <c r="X86" s="565">
        <f>$F86*VLOOKUP($B86&amp;"; "&amp;$H86,'FE Intrants'!$G:$U,13,FALSE)</f>
        <v>0</v>
      </c>
      <c r="Y86" s="565">
        <f>$F86*VLOOKUP($B86&amp;"; "&amp;$H86,'FE Intrants'!$G:$U,14,FALSE)</f>
        <v>0</v>
      </c>
      <c r="Z86" s="567">
        <f>SUM(V86:Y86)</f>
        <v>0</v>
      </c>
      <c r="AA86" s="590">
        <f>$F86*VLOOKUP($B86&amp;"; "&amp;$H86,'FE Intrants'!$G:$U,15,FALSE)</f>
        <v>0</v>
      </c>
      <c r="AC86" s="2077">
        <f>IF($R86&lt;&gt;"votre valeur :",IF(ISNA(VLOOKUP($R86,Utilitaires!$N$566:$O$571,2,FALSE)),,VLOOKUP($R86,Utilitaires!$N$566:$O$571,2,FALSE)),$S86)</f>
        <v>0</v>
      </c>
      <c r="AD86" s="1130">
        <f>SQRT(SUMSQ(AC86,VLOOKUP(B86&amp;"; "&amp;H86,'FE Intrants'!G:U,7,FALSE)))</f>
        <v>0.5</v>
      </c>
    </row>
    <row r="87" spans="2:30" s="114" customFormat="1" ht="12.75" hidden="1" customHeight="1" outlineLevel="1">
      <c r="B87" s="143"/>
      <c r="C87" s="144"/>
      <c r="D87" s="212"/>
      <c r="E87" s="212"/>
      <c r="F87" s="144"/>
      <c r="G87" s="219"/>
      <c r="H87" s="219"/>
      <c r="I87" s="212"/>
      <c r="J87" s="212"/>
      <c r="K87" s="212"/>
      <c r="L87" s="212"/>
      <c r="M87" s="212"/>
      <c r="N87" s="152"/>
      <c r="Q87" s="319"/>
      <c r="R87" s="820"/>
      <c r="S87" s="820"/>
      <c r="T87" s="152"/>
      <c r="V87" s="564"/>
      <c r="W87" s="565"/>
      <c r="X87" s="565"/>
      <c r="Y87" s="565"/>
      <c r="Z87" s="567"/>
      <c r="AA87" s="590"/>
      <c r="AC87" s="2314"/>
      <c r="AD87" s="1130"/>
    </row>
    <row r="88" spans="2:30" s="114" customFormat="1" ht="12.75" hidden="1" customHeight="1" outlineLevel="1">
      <c r="B88" s="332" t="s">
        <v>4098</v>
      </c>
      <c r="C88" s="144"/>
      <c r="D88" s="212"/>
      <c r="E88" s="212"/>
      <c r="F88" s="144"/>
      <c r="G88" s="219"/>
      <c r="H88" s="219"/>
      <c r="I88" s="212"/>
      <c r="J88" s="212"/>
      <c r="K88" s="212"/>
      <c r="L88" s="212"/>
      <c r="M88" s="212"/>
      <c r="N88" s="152"/>
      <c r="Q88" s="319"/>
      <c r="R88" s="2081"/>
      <c r="S88" s="820"/>
      <c r="T88" s="152"/>
      <c r="V88" s="564"/>
      <c r="W88" s="565"/>
      <c r="X88" s="565"/>
      <c r="Y88" s="565"/>
      <c r="Z88" s="567"/>
      <c r="AA88" s="590"/>
      <c r="AC88" s="2314"/>
      <c r="AD88" s="1130"/>
    </row>
    <row r="89" spans="2:30" s="114" customFormat="1" ht="12.75" hidden="1" customHeight="1" outlineLevel="1">
      <c r="B89" s="143"/>
      <c r="C89" s="144"/>
      <c r="D89" s="212"/>
      <c r="E89" s="212"/>
      <c r="F89" s="212"/>
      <c r="G89" s="219"/>
      <c r="H89" s="219"/>
      <c r="I89" s="2770"/>
      <c r="J89" s="2770"/>
      <c r="K89" s="2770"/>
      <c r="L89" s="2770"/>
      <c r="M89" s="212"/>
      <c r="N89" s="152"/>
      <c r="Q89" s="319"/>
      <c r="R89" s="2081"/>
      <c r="S89" s="820"/>
      <c r="T89" s="152"/>
      <c r="V89" s="564"/>
      <c r="W89" s="565"/>
      <c r="X89" s="565"/>
      <c r="Y89" s="565"/>
      <c r="Z89" s="567"/>
      <c r="AA89" s="590"/>
      <c r="AC89" s="2314"/>
      <c r="AD89" s="1130"/>
    </row>
    <row r="90" spans="2:30" s="114" customFormat="1" ht="12.75" hidden="1" customHeight="1" outlineLevel="1">
      <c r="B90" s="143" t="s">
        <v>4099</v>
      </c>
      <c r="C90" s="144"/>
      <c r="D90" s="212"/>
      <c r="E90" s="212"/>
      <c r="F90" s="212"/>
      <c r="G90" s="219"/>
      <c r="H90" s="219"/>
      <c r="I90" s="2082"/>
      <c r="J90" s="2769"/>
      <c r="K90" s="2769"/>
      <c r="L90" s="219"/>
      <c r="M90" s="212"/>
      <c r="N90" s="152"/>
      <c r="Q90" s="319"/>
      <c r="R90" s="2081"/>
      <c r="S90" s="820"/>
      <c r="T90" s="152"/>
      <c r="V90" s="564"/>
      <c r="W90" s="565"/>
      <c r="X90" s="565"/>
      <c r="Y90" s="565"/>
      <c r="Z90" s="567"/>
      <c r="AA90" s="590"/>
      <c r="AC90" s="2314"/>
      <c r="AD90" s="1130"/>
    </row>
    <row r="91" spans="2:30" s="114" customFormat="1" ht="12.75" hidden="1" customHeight="1" outlineLevel="1">
      <c r="B91" s="143" t="s">
        <v>4106</v>
      </c>
      <c r="C91" s="144"/>
      <c r="D91" s="212">
        <f>N91</f>
        <v>0</v>
      </c>
      <c r="E91" s="212"/>
      <c r="F91" s="117"/>
      <c r="G91" s="335">
        <f>VLOOKUP($B91&amp;"; "&amp;H91,'FE Intrants'!$G:$U,9,FALSE)</f>
        <v>0.1</v>
      </c>
      <c r="H91" s="1211" t="str">
        <f>VLOOKUP(B91,'FE Intrants'!F:U,5,FALSE)</f>
        <v>kgCO2e/kgH2</v>
      </c>
      <c r="I91" s="212"/>
      <c r="J91" s="2311"/>
      <c r="K91" s="2311"/>
      <c r="L91" s="2311"/>
      <c r="M91" s="2311"/>
      <c r="N91" s="152">
        <f>F91*G91</f>
        <v>0</v>
      </c>
      <c r="Q91" s="319">
        <f t="shared" ref="Q91:Q102" si="5">IF(T91=0,T91,T91/N91)</f>
        <v>0</v>
      </c>
      <c r="R91" s="1016"/>
      <c r="S91" s="820"/>
      <c r="T91" s="152">
        <f t="shared" ref="T91:T95" si="6">F91*G91*AD91</f>
        <v>0</v>
      </c>
      <c r="V91" s="564">
        <f>IF($F91*VLOOKUP($B91&amp;"; "&amp;$H91,'FE Intrants'!$G:$U,10,FALSE)=0,N91,$F91*VLOOKUP($B91&amp;"; "&amp;$H91,'FE Intrants'!$G:$U,10,FALSE))</f>
        <v>0</v>
      </c>
      <c r="W91" s="565">
        <f>$F91*(VLOOKUP($B91&amp;"; "&amp;$H91,'FE Intrants'!$G:$U,11,FALSE)+VLOOKUP($B91&amp;"; "&amp;$H91,'FE Intrants'!$G:$U,12,FALSE))</f>
        <v>0</v>
      </c>
      <c r="X91" s="565">
        <f>$F91*VLOOKUP($B91&amp;"; "&amp;$H91,'FE Intrants'!$G:$U,13,FALSE)</f>
        <v>0</v>
      </c>
      <c r="Y91" s="565">
        <f>$F91*VLOOKUP($B91&amp;"; "&amp;$H91,'FE Intrants'!$G:$U,14,FALSE)</f>
        <v>0</v>
      </c>
      <c r="Z91" s="567">
        <f t="shared" ref="Z91:Z102" si="7">SUM(V91:Y91)</f>
        <v>0</v>
      </c>
      <c r="AA91" s="590">
        <f>$F91*VLOOKUP($B91&amp;"; "&amp;$H91,'FE Intrants'!$G:$U,15,FALSE)</f>
        <v>0</v>
      </c>
      <c r="AC91" s="2314">
        <f>IF($R91&lt;&gt;"votre valeur :",IF(ISNA(VLOOKUP($R91,Utilitaires!$N$566:$O$571,2,FALSE)),,VLOOKUP($R91,Utilitaires!$N$566:$O$571,2,FALSE)),$S91)</f>
        <v>0</v>
      </c>
      <c r="AD91" s="1130">
        <f>SQRT(SUMSQ(AC91,VLOOKUP(B91&amp;"; "&amp;H91,'FE Intrants'!G:U,7,FALSE)))</f>
        <v>0.3</v>
      </c>
    </row>
    <row r="92" spans="2:30" s="114" customFormat="1" ht="12.75" hidden="1" customHeight="1" outlineLevel="1">
      <c r="B92" s="143" t="s">
        <v>4756</v>
      </c>
      <c r="C92" s="144"/>
      <c r="D92" s="212">
        <f>N92</f>
        <v>0</v>
      </c>
      <c r="E92" s="212"/>
      <c r="F92" s="120"/>
      <c r="G92" s="335">
        <f>VLOOKUP($B92&amp;"; "&amp;H92,'FE Intrants'!$G:$U,9,FALSE)</f>
        <v>1.59</v>
      </c>
      <c r="H92" s="1212" t="str">
        <f>VLOOKUP(B92,'FE Intrants'!F:U,5,FALSE)</f>
        <v>kgCO2e/kgH2</v>
      </c>
      <c r="I92" s="212"/>
      <c r="J92" s="2311"/>
      <c r="K92" s="2311"/>
      <c r="L92" s="2311"/>
      <c r="M92" s="2311"/>
      <c r="N92" s="152">
        <f>F92*G92</f>
        <v>0</v>
      </c>
      <c r="Q92" s="319">
        <f t="shared" si="5"/>
        <v>0</v>
      </c>
      <c r="R92" s="1016"/>
      <c r="S92" s="820"/>
      <c r="T92" s="152">
        <f t="shared" si="6"/>
        <v>0</v>
      </c>
      <c r="V92" s="564">
        <f>IF($F92*VLOOKUP($B92&amp;"; "&amp;$H92,'FE Intrants'!$G:$U,10,FALSE)=0,N92,$F92*VLOOKUP($B92&amp;"; "&amp;$H92,'FE Intrants'!$G:$U,10,FALSE))</f>
        <v>0</v>
      </c>
      <c r="W92" s="565">
        <f>$F92*(VLOOKUP($B92&amp;"; "&amp;$H92,'FE Intrants'!$G:$U,11,FALSE)+VLOOKUP($B92&amp;"; "&amp;$H92,'FE Intrants'!$G:$U,12,FALSE))</f>
        <v>0</v>
      </c>
      <c r="X92" s="565">
        <f>$F92*VLOOKUP($B92&amp;"; "&amp;$H92,'FE Intrants'!$G:$U,13,FALSE)</f>
        <v>0</v>
      </c>
      <c r="Y92" s="565">
        <f>$F92*VLOOKUP($B92&amp;"; "&amp;$H92,'FE Intrants'!$G:$U,14,FALSE)</f>
        <v>0</v>
      </c>
      <c r="Z92" s="567">
        <f t="shared" si="7"/>
        <v>0</v>
      </c>
      <c r="AA92" s="590">
        <f>$F92*VLOOKUP($B92&amp;"; "&amp;$H92,'FE Intrants'!$G:$U,15,FALSE)</f>
        <v>0</v>
      </c>
      <c r="AC92" s="2314">
        <f>IF($R92&lt;&gt;"votre valeur :",IF(ISNA(VLOOKUP($R92,Utilitaires!$N$566:$O$571,2,FALSE)),,VLOOKUP($R92,Utilitaires!$N$566:$O$571,2,FALSE)),$S92)</f>
        <v>0</v>
      </c>
      <c r="AD92" s="1130">
        <f>SQRT(SUMSQ(AC92,VLOOKUP(B92&amp;"; "&amp;H92,'FE Intrants'!G:U,7,FALSE)))</f>
        <v>0.3</v>
      </c>
    </row>
    <row r="93" spans="2:30" s="114" customFormat="1" ht="12.75" hidden="1" customHeight="1" outlineLevel="1">
      <c r="B93" s="143" t="s">
        <v>4759</v>
      </c>
      <c r="C93" s="144"/>
      <c r="D93" s="212">
        <f>N93</f>
        <v>0</v>
      </c>
      <c r="E93" s="212"/>
      <c r="F93" s="120"/>
      <c r="G93" s="335">
        <f>VLOOKUP($B93&amp;"; "&amp;H93,'FE Intrants'!$G:$U,9,FALSE)</f>
        <v>2.77</v>
      </c>
      <c r="H93" s="1212" t="str">
        <f>VLOOKUP(B93,'FE Intrants'!F:U,5,FALSE)</f>
        <v>kgCO2e/kgH2</v>
      </c>
      <c r="I93" s="212"/>
      <c r="J93" s="2311"/>
      <c r="K93" s="2311"/>
      <c r="L93" s="2311"/>
      <c r="M93" s="2311"/>
      <c r="N93" s="152">
        <f>F93*G93</f>
        <v>0</v>
      </c>
      <c r="Q93" s="319">
        <f t="shared" si="5"/>
        <v>0</v>
      </c>
      <c r="R93" s="1016"/>
      <c r="S93" s="820"/>
      <c r="T93" s="152">
        <f t="shared" si="6"/>
        <v>0</v>
      </c>
      <c r="V93" s="564">
        <f>IF($F93*VLOOKUP($B93&amp;"; "&amp;$H93,'FE Intrants'!$G:$U,10,FALSE)=0,N93,$F93*VLOOKUP($B93&amp;"; "&amp;$H93,'FE Intrants'!$G:$U,10,FALSE))</f>
        <v>0</v>
      </c>
      <c r="W93" s="565">
        <f>$F93*(VLOOKUP($B93&amp;"; "&amp;$H93,'FE Intrants'!$G:$U,11,FALSE)+VLOOKUP($B93&amp;"; "&amp;$H93,'FE Intrants'!$G:$U,12,FALSE))</f>
        <v>0</v>
      </c>
      <c r="X93" s="565">
        <f>$F93*VLOOKUP($B93&amp;"; "&amp;$H93,'FE Intrants'!$G:$U,13,FALSE)</f>
        <v>0</v>
      </c>
      <c r="Y93" s="565">
        <f>$F93*VLOOKUP($B93&amp;"; "&amp;$H93,'FE Intrants'!$G:$U,14,FALSE)</f>
        <v>0</v>
      </c>
      <c r="Z93" s="567">
        <f t="shared" si="7"/>
        <v>0</v>
      </c>
      <c r="AA93" s="590">
        <f>$F93*VLOOKUP($B93&amp;"; "&amp;$H93,'FE Intrants'!$G:$U,15,FALSE)</f>
        <v>0</v>
      </c>
      <c r="AC93" s="2314">
        <f>IF($R93&lt;&gt;"votre valeur :",IF(ISNA(VLOOKUP($R93,Utilitaires!$N$566:$O$571,2,FALSE)),,VLOOKUP($R93,Utilitaires!$N$566:$O$571,2,FALSE)),$S93)</f>
        <v>0</v>
      </c>
      <c r="AD93" s="1130">
        <f>SQRT(SUMSQ(AC93,VLOOKUP(B93&amp;"; "&amp;H93,'FE Intrants'!G:U,7,FALSE)))</f>
        <v>0.3</v>
      </c>
    </row>
    <row r="94" spans="2:30" s="114" customFormat="1" ht="12.75" hidden="1" customHeight="1" outlineLevel="1">
      <c r="B94" s="143" t="s">
        <v>4107</v>
      </c>
      <c r="C94" s="144"/>
      <c r="D94" s="212">
        <f>N94</f>
        <v>0</v>
      </c>
      <c r="E94" s="212"/>
      <c r="F94" s="120"/>
      <c r="G94" s="335">
        <f>VLOOKUP($B94&amp;"; "&amp;H94,'FE Intrants'!$G:$U,9,FALSE)</f>
        <v>19.8</v>
      </c>
      <c r="H94" s="1212" t="str">
        <f>VLOOKUP(B94,'FE Intrants'!F:U,5,FALSE)</f>
        <v>kgCO2e/kgH2</v>
      </c>
      <c r="I94" s="212"/>
      <c r="J94" s="2311"/>
      <c r="K94" s="2311"/>
      <c r="L94" s="2311"/>
      <c r="M94" s="2311"/>
      <c r="N94" s="152">
        <f>F94*G94</f>
        <v>0</v>
      </c>
      <c r="Q94" s="319">
        <f t="shared" si="5"/>
        <v>0</v>
      </c>
      <c r="R94" s="1016"/>
      <c r="S94" s="820"/>
      <c r="T94" s="152">
        <f t="shared" si="6"/>
        <v>0</v>
      </c>
      <c r="V94" s="564">
        <f>IF($F94*VLOOKUP($B94&amp;"; "&amp;$H94,'FE Intrants'!$G:$U,10,FALSE)=0,N94,$F94*VLOOKUP($B94&amp;"; "&amp;$H94,'FE Intrants'!$G:$U,10,FALSE))</f>
        <v>0</v>
      </c>
      <c r="W94" s="565">
        <f>$F94*(VLOOKUP($B94&amp;"; "&amp;$H94,'FE Intrants'!$G:$U,11,FALSE)+VLOOKUP($B94&amp;"; "&amp;$H94,'FE Intrants'!$G:$U,12,FALSE))</f>
        <v>0</v>
      </c>
      <c r="X94" s="565">
        <f>$F94*VLOOKUP($B94&amp;"; "&amp;$H94,'FE Intrants'!$G:$U,13,FALSE)</f>
        <v>0</v>
      </c>
      <c r="Y94" s="565">
        <f>$F94*VLOOKUP($B94&amp;"; "&amp;$H94,'FE Intrants'!$G:$U,14,FALSE)</f>
        <v>0</v>
      </c>
      <c r="Z94" s="567">
        <f t="shared" si="7"/>
        <v>0</v>
      </c>
      <c r="AA94" s="590">
        <f>$F94*VLOOKUP($B94&amp;"; "&amp;$H94,'FE Intrants'!$G:$U,15,FALSE)</f>
        <v>0</v>
      </c>
      <c r="AC94" s="2314">
        <f>IF($R94&lt;&gt;"votre valeur :",IF(ISNA(VLOOKUP($R94,Utilitaires!$N$566:$O$571,2,FALSE)),,VLOOKUP($R94,Utilitaires!$N$566:$O$571,2,FALSE)),$S94)</f>
        <v>0</v>
      </c>
      <c r="AD94" s="1130">
        <f>SQRT(SUMSQ(AC94,VLOOKUP(B94&amp;"; "&amp;H94,'FE Intrants'!G:U,7,FALSE)))</f>
        <v>0.3</v>
      </c>
    </row>
    <row r="95" spans="2:30" s="114" customFormat="1" ht="12.75" hidden="1" customHeight="1" outlineLevel="1">
      <c r="B95" s="143" t="s">
        <v>4108</v>
      </c>
      <c r="C95" s="144"/>
      <c r="D95" s="212">
        <f>N95</f>
        <v>0</v>
      </c>
      <c r="E95" s="212"/>
      <c r="F95" s="123"/>
      <c r="G95" s="335">
        <f>VLOOKUP($B95&amp;"; "&amp;H95,'FE Intrants'!$G:$U,9,FALSE)</f>
        <v>2.13</v>
      </c>
      <c r="H95" s="1213" t="str">
        <f>VLOOKUP(B95,'FE Intrants'!F:U,5,FALSE)</f>
        <v>kgCO2e/kgH2</v>
      </c>
      <c r="I95" s="212"/>
      <c r="J95" s="2311"/>
      <c r="K95" s="2311"/>
      <c r="L95" s="2311"/>
      <c r="M95" s="2311"/>
      <c r="N95" s="152">
        <f>F95*G95</f>
        <v>0</v>
      </c>
      <c r="Q95" s="319">
        <f t="shared" si="5"/>
        <v>0</v>
      </c>
      <c r="R95" s="1016"/>
      <c r="S95" s="820"/>
      <c r="T95" s="152">
        <f t="shared" si="6"/>
        <v>0</v>
      </c>
      <c r="V95" s="564">
        <f>IF($F95*VLOOKUP($B95&amp;"; "&amp;$H95,'FE Intrants'!$G:$U,10,FALSE)=0,N95,$F95*VLOOKUP($B95&amp;"; "&amp;$H95,'FE Intrants'!$G:$U,10,FALSE))</f>
        <v>0</v>
      </c>
      <c r="W95" s="565">
        <f>$F95*(VLOOKUP($B95&amp;"; "&amp;$H95,'FE Intrants'!$G:$U,11,FALSE)+VLOOKUP($B95&amp;"; "&amp;$H95,'FE Intrants'!$G:$U,12,FALSE))</f>
        <v>0</v>
      </c>
      <c r="X95" s="565">
        <f>$F95*VLOOKUP($B95&amp;"; "&amp;$H95,'FE Intrants'!$G:$U,13,FALSE)</f>
        <v>0</v>
      </c>
      <c r="Y95" s="565">
        <f>$F95*VLOOKUP($B95&amp;"; "&amp;$H95,'FE Intrants'!$G:$U,14,FALSE)</f>
        <v>0</v>
      </c>
      <c r="Z95" s="567">
        <f t="shared" si="7"/>
        <v>0</v>
      </c>
      <c r="AA95" s="590">
        <f>$F95*VLOOKUP($B95&amp;"; "&amp;$H95,'FE Intrants'!$G:$U,15,FALSE)</f>
        <v>0</v>
      </c>
      <c r="AC95" s="2314">
        <f>IF($R95&lt;&gt;"votre valeur :",IF(ISNA(VLOOKUP($R95,Utilitaires!$N$566:$O$571,2,FALSE)),,VLOOKUP($R95,Utilitaires!$N$566:$O$571,2,FALSE)),$S95)</f>
        <v>0</v>
      </c>
      <c r="AD95" s="1130">
        <f>SQRT(SUMSQ(AC95,VLOOKUP(B95&amp;"; "&amp;H95,'FE Intrants'!G:U,7,FALSE)))</f>
        <v>0.3</v>
      </c>
    </row>
    <row r="96" spans="2:30" s="114" customFormat="1" ht="12.75" hidden="1" customHeight="1" outlineLevel="1">
      <c r="B96" s="143"/>
      <c r="C96" s="144"/>
      <c r="D96" s="212"/>
      <c r="E96" s="212"/>
      <c r="F96" s="212"/>
      <c r="G96" s="219"/>
      <c r="H96" s="219"/>
      <c r="I96" s="2768" t="s">
        <v>4105</v>
      </c>
      <c r="J96" s="2768"/>
      <c r="K96" s="2768"/>
      <c r="L96" s="2768"/>
      <c r="M96" s="2768"/>
      <c r="N96" s="152"/>
      <c r="Q96" s="319"/>
      <c r="R96" s="820"/>
      <c r="S96" s="820"/>
      <c r="T96" s="152"/>
      <c r="V96" s="564"/>
      <c r="W96" s="565"/>
      <c r="X96" s="565"/>
      <c r="Y96" s="565"/>
      <c r="Z96" s="567"/>
      <c r="AA96" s="590"/>
      <c r="AC96" s="2314"/>
      <c r="AD96" s="1130"/>
    </row>
    <row r="97" spans="2:30" s="114" customFormat="1" ht="12.75" hidden="1" customHeight="1" outlineLevel="1">
      <c r="B97" s="2315" t="s">
        <v>4100</v>
      </c>
      <c r="C97" s="144"/>
      <c r="D97" s="212"/>
      <c r="E97" s="212"/>
      <c r="F97" s="212"/>
      <c r="G97" s="219"/>
      <c r="H97" s="219"/>
      <c r="I97" s="2324" t="s">
        <v>4091</v>
      </c>
      <c r="J97" s="2769" t="s">
        <v>4092</v>
      </c>
      <c r="K97" s="2769"/>
      <c r="L97" s="2323" t="s">
        <v>257</v>
      </c>
      <c r="M97" s="2312"/>
      <c r="N97" s="152"/>
      <c r="Q97" s="319"/>
      <c r="R97" s="820"/>
      <c r="S97" s="820"/>
      <c r="T97" s="152"/>
      <c r="V97" s="564"/>
      <c r="W97" s="565"/>
      <c r="X97" s="565"/>
      <c r="Y97" s="565"/>
      <c r="Z97" s="567"/>
      <c r="AA97" s="590"/>
      <c r="AC97" s="2314"/>
      <c r="AD97" s="1130"/>
    </row>
    <row r="98" spans="2:30" s="114" customFormat="1" ht="12.75" hidden="1" customHeight="1" outlineLevel="1">
      <c r="B98" s="143" t="s">
        <v>4757</v>
      </c>
      <c r="C98" s="144"/>
      <c r="D98" s="212">
        <f t="shared" ref="D98:D102" si="8">N98</f>
        <v>0</v>
      </c>
      <c r="E98" s="212"/>
      <c r="F98" s="117"/>
      <c r="G98" s="219"/>
      <c r="H98" s="1211" t="str">
        <f>VLOOKUP(B98,'FE Intrants'!F:U,5,FALSE)</f>
        <v>kgCO2e/kgH2</v>
      </c>
      <c r="I98" s="212">
        <f>VLOOKUP($B98&amp;"; "&amp;$H98&amp;", "&amp;$I$97,'FE Intrants'!$G:$U,9,FALSE)*$F98</f>
        <v>0</v>
      </c>
      <c r="J98" s="212">
        <f>IF(ISNA(VLOOKUP($B98&amp;"; "&amp;$H98&amp;", "&amp;$J$97,'FE Intrants'!$G:$U,9,FALSE)),0,VLOOKUP($B98&amp;"; "&amp;$H98&amp;", "&amp;$J$97,'FE Intrants'!$G:$U,9,FALSE)*$F98)</f>
        <v>0</v>
      </c>
      <c r="K98" s="212"/>
      <c r="L98" s="212">
        <f>IF(ISNA(VLOOKUP($B98&amp;"; "&amp;$H98&amp;", "&amp;$L$97,'FE Intrants'!$G:$U,9,FALSE)),0,VLOOKUP($B98&amp;"; "&amp;$H98&amp;", "&amp;$L$97,'FE Intrants'!$G:$U,9,FALSE)*$F98)</f>
        <v>0</v>
      </c>
      <c r="M98" s="167"/>
      <c r="N98" s="152">
        <f>SUM(I98:L98)</f>
        <v>0</v>
      </c>
      <c r="Q98" s="319">
        <f t="shared" si="5"/>
        <v>0</v>
      </c>
      <c r="R98" s="1016"/>
      <c r="S98" s="820"/>
      <c r="T98" s="152">
        <f>N98*AD98</f>
        <v>0</v>
      </c>
      <c r="V98" s="564">
        <f>IFERROR(F98*SUM((VLOOKUP($B98&amp;"; "&amp;$H98&amp;", "&amp;$I$97,'FE Intrants'!$G:$U,10,FALSE)),
VLOOKUP($B98&amp;"; "&amp;$H98&amp;", "&amp;$J$97,'FE Intrants'!$G:$U,10,FALSE),
VLOOKUP($B98&amp;"; "&amp;$H98&amp;", "&amp;$L$97,'FE Intrants'!$G:$U,10,FALSE)),
F98* VLOOKUP($B98&amp;"; "&amp;$H98&amp;", "&amp;$I$97,'FE Intrants'!$G:$U,10,FALSE))</f>
        <v>0</v>
      </c>
      <c r="W98" s="565">
        <f>IFERROR(F98*SUM((VLOOKUP(B98&amp;"; "&amp;H98&amp;", "&amp;I$97,'FE Intrants'!$G:$U,11,FALSE)+VLOOKUP(B98&amp;"; "&amp;H98&amp;", "&amp;I$97,'FE Intrants'!$G:$U,12,FALSE)),
(VLOOKUP(B98&amp;"; "&amp;H98&amp;", "&amp;J$97,'FE Intrants'!$G:$U,11,FALSE)+VLOOKUP(B98&amp;"; "&amp;H98&amp;", "&amp;J$97,'FE Intrants'!$G:$U,12,FALSE)),
(VLOOKUP(B98&amp;"; "&amp;H98&amp;", "&amp;L$97,'FE Intrants'!$G:$U,11,FALSE)+VLOOKUP(B98&amp;"; "&amp;H98&amp;", "&amp;L$97,'FE Intrants'!$G:$U,12,FALSE))),
F98*VLOOKUP(B98&amp;"; "&amp;H98&amp;", "&amp;I$97,'FE Intrants'!$G:$U,11,FALSE)+VLOOKUP(B98&amp;"; "&amp;H98&amp;", "&amp;I$97,'FE Intrants'!$G:$U,12,FALSE))</f>
        <v>0</v>
      </c>
      <c r="X98" s="565">
        <f>IFERROR(F98*SUM((VLOOKUP($B98&amp;"; "&amp;$H98&amp;", "&amp;$I$97,'FE Intrants'!$G:$U,13,FALSE)),
VLOOKUP($B98&amp;"; "&amp;$H98&amp;", "&amp;$J$97,'FE Intrants'!$G:$U,13,FALSE),
VLOOKUP($B98&amp;"; "&amp;$H98&amp;", "&amp;$L$97,'FE Intrants'!$G:$U,13,FALSE)),
F98* VLOOKUP($B98&amp;"; "&amp;$H98&amp;", "&amp;$I$97,'FE Intrants'!$G:$U,13,FALSE))</f>
        <v>0</v>
      </c>
      <c r="Y98" s="565">
        <f>IFERROR(F98*SUM((VLOOKUP($B98&amp;"; "&amp;$H98&amp;", "&amp;$I$97,'FE Intrants'!$G:$U,14,FALSE)),
VLOOKUP($B98&amp;"; "&amp;$H98&amp;", "&amp;$J$97,'FE Intrants'!$G:$U,14,FALSE),
VLOOKUP($B98&amp;"; "&amp;$H98&amp;", "&amp;$L$97,'FE Intrants'!$G:$U,14,FALSE)),
F98* VLOOKUP($B98&amp;"; "&amp;$H98&amp;", "&amp;$I$97,'FE Intrants'!$G:$U,14,FALSE))</f>
        <v>0</v>
      </c>
      <c r="Z98" s="567">
        <f t="shared" si="7"/>
        <v>0</v>
      </c>
      <c r="AA98" s="590">
        <f>IFERROR(F98*SUM((VLOOKUP($B98&amp;"; "&amp;$H98&amp;", "&amp;$I$97,'FE Intrants'!$G:$U,15,FALSE)),
VLOOKUP($B98&amp;"; "&amp;$H98&amp;", "&amp;$J$97,'FE Intrants'!$G:$U,15,FALSE),
VLOOKUP($B98&amp;"; "&amp;$H98&amp;", "&amp;$L$97,'FE Intrants'!$G:$U,15,FALSE)),
F98* VLOOKUP($B98&amp;"; "&amp;$H98&amp;", "&amp;$I$97,'FE Intrants'!$G:$U,15,FALSE))</f>
        <v>0</v>
      </c>
      <c r="AC98" s="2314">
        <f>IF($R98&lt;&gt;"votre valeur :",IF(ISNA(VLOOKUP($R98,Utilitaires!$N$566:$O$571,2,FALSE)),,VLOOKUP($R98,Utilitaires!$N$566:$O$571,2,FALSE)),$S98)</f>
        <v>0</v>
      </c>
      <c r="AD98" s="1130">
        <f>SQRT(SUMSQ(AC98,VLOOKUP($B98&amp;"; "&amp;$H98&amp;", "&amp;$I$97,'FE Intrants'!G:U,7,FALSE)))</f>
        <v>0.3</v>
      </c>
    </row>
    <row r="99" spans="2:30" s="114" customFormat="1" ht="12.75" hidden="1" customHeight="1" outlineLevel="1">
      <c r="B99" s="143" t="s">
        <v>4758</v>
      </c>
      <c r="C99" s="144"/>
      <c r="D99" s="212">
        <f t="shared" si="8"/>
        <v>0</v>
      </c>
      <c r="E99" s="212"/>
      <c r="F99" s="120"/>
      <c r="G99" s="219"/>
      <c r="H99" s="1212" t="str">
        <f>VLOOKUP(B99,'FE Intrants'!F:U,5,FALSE)</f>
        <v>kgCO2e/kgH2</v>
      </c>
      <c r="I99" s="212">
        <f>VLOOKUP($B99&amp;"; "&amp;$H99&amp;", "&amp;$I$97,'FE Intrants'!$G:$U,9,FALSE)*$F99</f>
        <v>0</v>
      </c>
      <c r="J99" s="212">
        <f>IF(ISNA(VLOOKUP($B99&amp;"; "&amp;$H99&amp;", "&amp;$J$97,'FE Intrants'!$G:$U,9,FALSE)),0,VLOOKUP($B99&amp;"; "&amp;$H99&amp;", "&amp;$J$97,'FE Intrants'!$G:$U,9,FALSE)*$F99)</f>
        <v>0</v>
      </c>
      <c r="K99" s="212"/>
      <c r="L99" s="212">
        <f>IF(ISNA(VLOOKUP($B99&amp;"; "&amp;$H99&amp;", "&amp;$L$97,'FE Intrants'!$G:$U,9,FALSE)),0,VLOOKUP($B99&amp;"; "&amp;$H99&amp;", "&amp;$L$97,'FE Intrants'!$G:$U,9,FALSE)*$F99)</f>
        <v>0</v>
      </c>
      <c r="M99" s="1662"/>
      <c r="N99" s="152">
        <f t="shared" ref="N99:N102" si="9">SUM(I99:L99)</f>
        <v>0</v>
      </c>
      <c r="Q99" s="319">
        <f t="shared" si="5"/>
        <v>0</v>
      </c>
      <c r="R99" s="1016"/>
      <c r="S99" s="820"/>
      <c r="T99" s="152">
        <f t="shared" ref="T99:T102" si="10">N99*AD99</f>
        <v>0</v>
      </c>
      <c r="V99" s="564">
        <f>IFERROR(F99*SUM((VLOOKUP($B99&amp;"; "&amp;$H99&amp;", "&amp;$I$97,'FE Intrants'!$G:$U,10,FALSE)),
VLOOKUP($B99&amp;"; "&amp;$H99&amp;", "&amp;$J$97,'FE Intrants'!$G:$U,10,FALSE),
VLOOKUP($B99&amp;"; "&amp;$H99&amp;", "&amp;$L$97,'FE Intrants'!$G:$U,10,FALSE)),
F99* VLOOKUP($B99&amp;"; "&amp;$H99&amp;", "&amp;$I$97,'FE Intrants'!$G:$U,10,FALSE))</f>
        <v>0</v>
      </c>
      <c r="W99" s="565">
        <f>IFERROR(F99*SUM((VLOOKUP(B99&amp;"; "&amp;H99&amp;", "&amp;I$97,'FE Intrants'!$G:$U,11,FALSE)+VLOOKUP(B99&amp;"; "&amp;H99&amp;", "&amp;I$97,'FE Intrants'!$G:$U,12,FALSE)),
(VLOOKUP(B99&amp;"; "&amp;H99&amp;", "&amp;J$97,'FE Intrants'!$G:$U,11,FALSE)+VLOOKUP(B99&amp;"; "&amp;H99&amp;", "&amp;J$97,'FE Intrants'!$G:$U,12,FALSE)),
(VLOOKUP(B99&amp;"; "&amp;H99&amp;", "&amp;L$97,'FE Intrants'!$G:$U,11,FALSE)+VLOOKUP(B99&amp;"; "&amp;H99&amp;", "&amp;L$97,'FE Intrants'!$G:$U,12,FALSE))),
F99*VLOOKUP(B99&amp;"; "&amp;H99&amp;", "&amp;I$97,'FE Intrants'!$G:$U,11,FALSE)+VLOOKUP(B99&amp;"; "&amp;H99&amp;", "&amp;I$97,'FE Intrants'!$G:$U,12,FALSE))</f>
        <v>0</v>
      </c>
      <c r="X99" s="565">
        <f>IFERROR(F99*SUM((VLOOKUP($B99&amp;"; "&amp;$H99&amp;", "&amp;$I$97,'FE Intrants'!$G:$U,13,FALSE)),
VLOOKUP($B99&amp;"; "&amp;$H99&amp;", "&amp;$J$97,'FE Intrants'!$G:$U,13,FALSE),
VLOOKUP($B99&amp;"; "&amp;$H99&amp;", "&amp;$L$97,'FE Intrants'!$G:$U,13,FALSE)),
F99* VLOOKUP($B99&amp;"; "&amp;$H99&amp;", "&amp;$I$97,'FE Intrants'!$G:$U,13,FALSE))</f>
        <v>0</v>
      </c>
      <c r="Y99" s="565">
        <f>IFERROR(F99*SUM((VLOOKUP($B99&amp;"; "&amp;$H99&amp;", "&amp;$I$97,'FE Intrants'!$G:$U,14,FALSE)),
VLOOKUP($B99&amp;"; "&amp;$H99&amp;", "&amp;$J$97,'FE Intrants'!$G:$U,14,FALSE),
VLOOKUP($B99&amp;"; "&amp;$H99&amp;", "&amp;$L$97,'FE Intrants'!$G:$U,14,FALSE)),
F99* VLOOKUP($B99&amp;"; "&amp;$H99&amp;", "&amp;$I$97,'FE Intrants'!$G:$U,14,FALSE))</f>
        <v>0</v>
      </c>
      <c r="Z99" s="567">
        <f t="shared" si="7"/>
        <v>0</v>
      </c>
      <c r="AA99" s="590">
        <f>IFERROR(F99*SUM((VLOOKUP($B99&amp;"; "&amp;$H99&amp;", "&amp;$I$97,'FE Intrants'!$G:$U,15,FALSE)),
VLOOKUP($B99&amp;"; "&amp;$H99&amp;", "&amp;$J$97,'FE Intrants'!$G:$U,15,FALSE),
VLOOKUP($B99&amp;"; "&amp;$H99&amp;", "&amp;$L$97,'FE Intrants'!$G:$U,15,FALSE)),
F99* VLOOKUP($B99&amp;"; "&amp;$H99&amp;", "&amp;$I$97,'FE Intrants'!$G:$U,15,FALSE))</f>
        <v>0</v>
      </c>
      <c r="AC99" s="2314">
        <f>IF($R99&lt;&gt;"votre valeur :",IF(ISNA(VLOOKUP($R99,Utilitaires!$N$566:$O$571,2,FALSE)),,VLOOKUP($R99,Utilitaires!$N$566:$O$571,2,FALSE)),$S99)</f>
        <v>0</v>
      </c>
      <c r="AD99" s="1130">
        <f>SQRT(SUMSQ(AC99,VLOOKUP($B99&amp;"; "&amp;$H99&amp;", "&amp;$I$97,'FE Intrants'!G:U,7,FALSE)))</f>
        <v>0.3</v>
      </c>
    </row>
    <row r="100" spans="2:30" s="114" customFormat="1" ht="12.75" hidden="1" customHeight="1" outlineLevel="1">
      <c r="B100" s="143" t="s">
        <v>4101</v>
      </c>
      <c r="C100" s="144"/>
      <c r="D100" s="212">
        <f t="shared" si="8"/>
        <v>0</v>
      </c>
      <c r="E100" s="212"/>
      <c r="F100" s="120"/>
      <c r="G100" s="219"/>
      <c r="H100" s="1212" t="str">
        <f>VLOOKUP(B100,'FE Intrants'!F:U,5,FALSE)</f>
        <v>kgCO2e/kgH2</v>
      </c>
      <c r="I100" s="212">
        <f>VLOOKUP($B100&amp;"; "&amp;$H100&amp;", "&amp;$I$97,'FE Intrants'!$G:$U,9,FALSE)*$F100</f>
        <v>0</v>
      </c>
      <c r="J100" s="212">
        <f>IF(ISNA(VLOOKUP($B100&amp;"; "&amp;$H100&amp;", "&amp;$J$97,'FE Intrants'!$G:$U,9,FALSE)),0,VLOOKUP($B100&amp;"; "&amp;$H100&amp;", "&amp;$J$97,'FE Intrants'!$G:$U,9,FALSE)*$F100)</f>
        <v>0</v>
      </c>
      <c r="K100" s="212"/>
      <c r="L100" s="212">
        <f>IF(ISNA(VLOOKUP($B100&amp;"; "&amp;$H100&amp;", "&amp;$L$97,'FE Intrants'!$G:$U,9,FALSE)),0,VLOOKUP($B100&amp;"; "&amp;$H100&amp;", "&amp;$L$97,'FE Intrants'!$G:$U,9,FALSE)*$F100)</f>
        <v>0</v>
      </c>
      <c r="M100" s="1662"/>
      <c r="N100" s="152">
        <f t="shared" si="9"/>
        <v>0</v>
      </c>
      <c r="Q100" s="319">
        <f t="shared" si="5"/>
        <v>0</v>
      </c>
      <c r="R100" s="1016"/>
      <c r="S100" s="820"/>
      <c r="T100" s="152">
        <f t="shared" si="10"/>
        <v>0</v>
      </c>
      <c r="V100" s="564">
        <f>IFERROR(F100*SUM((VLOOKUP($B100&amp;"; "&amp;$H100&amp;", "&amp;$I$97,'FE Intrants'!$G:$U,10,FALSE)),
VLOOKUP($B100&amp;"; "&amp;$H100&amp;", "&amp;$J$97,'FE Intrants'!$G:$U,10,FALSE),
VLOOKUP($B100&amp;"; "&amp;$H100&amp;", "&amp;$L$97,'FE Intrants'!$G:$U,10,FALSE)),
F100* VLOOKUP($B100&amp;"; "&amp;$H100&amp;", "&amp;$I$97,'FE Intrants'!$G:$U,10,FALSE))</f>
        <v>0</v>
      </c>
      <c r="W100" s="565">
        <f>IFERROR(F100*SUM((VLOOKUP(B100&amp;"; "&amp;H100&amp;", "&amp;I$97,'FE Intrants'!$G:$U,11,FALSE)+VLOOKUP(B100&amp;"; "&amp;H100&amp;", "&amp;I$97,'FE Intrants'!$G:$U,12,FALSE)),
(VLOOKUP(B100&amp;"; "&amp;H100&amp;", "&amp;J$97,'FE Intrants'!$G:$U,11,FALSE)+VLOOKUP(B100&amp;"; "&amp;H100&amp;", "&amp;J$97,'FE Intrants'!$G:$U,12,FALSE)),
(VLOOKUP(B100&amp;"; "&amp;H100&amp;", "&amp;L$97,'FE Intrants'!$G:$U,11,FALSE)+VLOOKUP(B100&amp;"; "&amp;H100&amp;", "&amp;L$97,'FE Intrants'!$G:$U,12,FALSE))),
F100*VLOOKUP(B100&amp;"; "&amp;H100&amp;", "&amp;I$97,'FE Intrants'!$G:$U,11,FALSE)+VLOOKUP(B100&amp;"; "&amp;H100&amp;", "&amp;I$97,'FE Intrants'!$G:$U,12,FALSE))</f>
        <v>0</v>
      </c>
      <c r="X100" s="565">
        <f>IFERROR(F100*SUM((VLOOKUP($B100&amp;"; "&amp;$H100&amp;", "&amp;$I$97,'FE Intrants'!$G:$U,13,FALSE)),
VLOOKUP($B100&amp;"; "&amp;$H100&amp;", "&amp;$J$97,'FE Intrants'!$G:$U,13,FALSE),
VLOOKUP($B100&amp;"; "&amp;$H100&amp;", "&amp;$L$97,'FE Intrants'!$G:$U,13,FALSE)),
F100* VLOOKUP($B100&amp;"; "&amp;$H100&amp;", "&amp;$I$97,'FE Intrants'!$G:$U,13,FALSE))</f>
        <v>0</v>
      </c>
      <c r="Y100" s="565">
        <f>IFERROR(F100*SUM((VLOOKUP($B100&amp;"; "&amp;$H100&amp;", "&amp;$I$97,'FE Intrants'!$G:$U,14,FALSE)),
VLOOKUP($B100&amp;"; "&amp;$H100&amp;", "&amp;$J$97,'FE Intrants'!$G:$U,14,FALSE),
VLOOKUP($B100&amp;"; "&amp;$H100&amp;", "&amp;$L$97,'FE Intrants'!$G:$U,14,FALSE)),
F100* VLOOKUP($B100&amp;"; "&amp;$H100&amp;", "&amp;$I$97,'FE Intrants'!$G:$U,14,FALSE))</f>
        <v>0</v>
      </c>
      <c r="Z100" s="567">
        <f t="shared" si="7"/>
        <v>0</v>
      </c>
      <c r="AA100" s="590">
        <f>IFERROR(F100*SUM((VLOOKUP($B100&amp;"; "&amp;$H100&amp;", "&amp;$I$97,'FE Intrants'!$G:$U,15,FALSE)),
VLOOKUP($B100&amp;"; "&amp;$H100&amp;", "&amp;$J$97,'FE Intrants'!$G:$U,15,FALSE),
VLOOKUP($B100&amp;"; "&amp;$H100&amp;", "&amp;$L$97,'FE Intrants'!$G:$U,15,FALSE)),
F100* VLOOKUP($B100&amp;"; "&amp;$H100&amp;", "&amp;$I$97,'FE Intrants'!$G:$U,15,FALSE))</f>
        <v>0</v>
      </c>
      <c r="AC100" s="2314">
        <f>IF($R100&lt;&gt;"votre valeur :",IF(ISNA(VLOOKUP($R100,Utilitaires!$N$566:$O$571,2,FALSE)),,VLOOKUP($R100,Utilitaires!$N$566:$O$571,2,FALSE)),$S100)</f>
        <v>0</v>
      </c>
      <c r="AD100" s="1130">
        <f>SQRT(SUMSQ(AC100,VLOOKUP($B100&amp;"; "&amp;$H100&amp;", "&amp;$I$97,'FE Intrants'!G:U,7,FALSE)))</f>
        <v>0.3</v>
      </c>
    </row>
    <row r="101" spans="2:30" s="114" customFormat="1" ht="12.75" hidden="1" customHeight="1" outlineLevel="1">
      <c r="B101" s="143" t="s">
        <v>4102</v>
      </c>
      <c r="C101" s="144"/>
      <c r="D101" s="212">
        <f t="shared" si="8"/>
        <v>0</v>
      </c>
      <c r="E101" s="212"/>
      <c r="F101" s="120"/>
      <c r="G101" s="219"/>
      <c r="H101" s="1212" t="str">
        <f>VLOOKUP(B101,'FE Intrants'!F:U,5,FALSE)</f>
        <v>kgCO2e/kgH2</v>
      </c>
      <c r="I101" s="212">
        <f>VLOOKUP($B101&amp;"; "&amp;$H101&amp;", "&amp;$I$97,'FE Intrants'!$G:$U,9,FALSE)*$F101</f>
        <v>0</v>
      </c>
      <c r="J101" s="212">
        <f>IF(ISNA(VLOOKUP($B101&amp;"; "&amp;$H101&amp;", "&amp;$J$97,'FE Intrants'!$G:$U,9,FALSE)),0,VLOOKUP($B101&amp;"; "&amp;$H101&amp;", "&amp;$J$97,'FE Intrants'!$G:$U,9,FALSE)*$F101)</f>
        <v>0</v>
      </c>
      <c r="K101" s="212"/>
      <c r="L101" s="212">
        <f>IF(ISNA(VLOOKUP($B101&amp;"; "&amp;$H101&amp;", "&amp;$L$97,'FE Intrants'!$G:$U,9,FALSE)),0,VLOOKUP($B101&amp;"; "&amp;$H101&amp;", "&amp;$L$97,'FE Intrants'!$G:$U,9,FALSE)*$F101)</f>
        <v>0</v>
      </c>
      <c r="M101" s="212"/>
      <c r="N101" s="152">
        <f t="shared" si="9"/>
        <v>0</v>
      </c>
      <c r="Q101" s="319">
        <f t="shared" si="5"/>
        <v>0</v>
      </c>
      <c r="R101" s="1016"/>
      <c r="S101" s="820"/>
      <c r="T101" s="152">
        <f t="shared" si="10"/>
        <v>0</v>
      </c>
      <c r="V101" s="564">
        <f>IFERROR(F101*SUM((VLOOKUP($B101&amp;"; "&amp;$H101&amp;", "&amp;$I$97,'FE Intrants'!$G:$U,10,FALSE)),
VLOOKUP($B101&amp;"; "&amp;$H101&amp;", "&amp;$J$97,'FE Intrants'!$G:$U,10,FALSE),
VLOOKUP($B101&amp;"; "&amp;$H101&amp;", "&amp;$L$97,'FE Intrants'!$G:$U,10,FALSE)),
F101* VLOOKUP($B101&amp;"; "&amp;$H101&amp;", "&amp;$I$97,'FE Intrants'!$G:$U,10,FALSE))</f>
        <v>0</v>
      </c>
      <c r="W101" s="565">
        <f>IFERROR(F101*SUM((VLOOKUP(B101&amp;"; "&amp;H101&amp;", "&amp;I$97,'FE Intrants'!$G:$U,11,FALSE)+VLOOKUP(B101&amp;"; "&amp;H101&amp;", "&amp;I$97,'FE Intrants'!$G:$U,12,FALSE)),
(VLOOKUP(B101&amp;"; "&amp;H101&amp;", "&amp;J$97,'FE Intrants'!$G:$U,11,FALSE)+VLOOKUP(B101&amp;"; "&amp;H101&amp;", "&amp;J$97,'FE Intrants'!$G:$U,12,FALSE)),
(VLOOKUP(B101&amp;"; "&amp;H101&amp;", "&amp;L$97,'FE Intrants'!$G:$U,11,FALSE)+VLOOKUP(B101&amp;"; "&amp;H101&amp;", "&amp;L$97,'FE Intrants'!$G:$U,12,FALSE))),
F101*VLOOKUP(B101&amp;"; "&amp;H101&amp;", "&amp;I$97,'FE Intrants'!$G:$U,11,FALSE)+VLOOKUP(B101&amp;"; "&amp;H101&amp;", "&amp;I$97,'FE Intrants'!$G:$U,12,FALSE))</f>
        <v>0</v>
      </c>
      <c r="X101" s="565">
        <f>IFERROR(F101*SUM((VLOOKUP($B101&amp;"; "&amp;$H101&amp;", "&amp;$I$97,'FE Intrants'!$G:$U,13,FALSE)),
VLOOKUP($B101&amp;"; "&amp;$H101&amp;", "&amp;$J$97,'FE Intrants'!$G:$U,13,FALSE),
VLOOKUP($B101&amp;"; "&amp;$H101&amp;", "&amp;$L$97,'FE Intrants'!$G:$U,13,FALSE)),
F101* VLOOKUP($B101&amp;"; "&amp;$H101&amp;", "&amp;$I$97,'FE Intrants'!$G:$U,13,FALSE))</f>
        <v>0</v>
      </c>
      <c r="Y101" s="565">
        <f>IFERROR(F101*SUM((VLOOKUP($B101&amp;"; "&amp;$H101&amp;", "&amp;$I$97,'FE Intrants'!$G:$U,14,FALSE)),
VLOOKUP($B101&amp;"; "&amp;$H101&amp;", "&amp;$J$97,'FE Intrants'!$G:$U,14,FALSE),
VLOOKUP($B101&amp;"; "&amp;$H101&amp;", "&amp;$L$97,'FE Intrants'!$G:$U,14,FALSE)),
F101* VLOOKUP($B101&amp;"; "&amp;$H101&amp;", "&amp;$I$97,'FE Intrants'!$G:$U,14,FALSE))</f>
        <v>0</v>
      </c>
      <c r="Z101" s="567">
        <f t="shared" si="7"/>
        <v>0</v>
      </c>
      <c r="AA101" s="590">
        <f>IFERROR(F101*SUM((VLOOKUP($B101&amp;"; "&amp;$H101&amp;", "&amp;$I$97,'FE Intrants'!$G:$U,15,FALSE)),
VLOOKUP($B101&amp;"; "&amp;$H101&amp;", "&amp;$J$97,'FE Intrants'!$G:$U,15,FALSE),
VLOOKUP($B101&amp;"; "&amp;$H101&amp;", "&amp;$L$97,'FE Intrants'!$G:$U,15,FALSE)),
F101* VLOOKUP($B101&amp;"; "&amp;$H101&amp;", "&amp;$I$97,'FE Intrants'!$G:$U,15,FALSE))</f>
        <v>0</v>
      </c>
      <c r="AC101" s="2314">
        <f>IF($R101&lt;&gt;"votre valeur :",IF(ISNA(VLOOKUP($R101,Utilitaires!$N$566:$O$571,2,FALSE)),,VLOOKUP($R101,Utilitaires!$N$566:$O$571,2,FALSE)),$S101)</f>
        <v>0</v>
      </c>
      <c r="AD101" s="1130">
        <f>SQRT(SUMSQ(AC101,VLOOKUP($B101&amp;"; "&amp;$H101&amp;", "&amp;$I$97,'FE Intrants'!G:U,7,FALSE)))</f>
        <v>0.3</v>
      </c>
    </row>
    <row r="102" spans="2:30" s="114" customFormat="1" ht="12.75" hidden="1" customHeight="1" outlineLevel="1">
      <c r="B102" s="143" t="s">
        <v>4103</v>
      </c>
      <c r="C102" s="144"/>
      <c r="D102" s="212">
        <f t="shared" si="8"/>
        <v>0</v>
      </c>
      <c r="E102" s="212"/>
      <c r="F102" s="123"/>
      <c r="G102" s="219"/>
      <c r="H102" s="1213" t="str">
        <f>VLOOKUP(B102,'FE Intrants'!F:U,5,FALSE)</f>
        <v>kgCO2/kgH2/100km</v>
      </c>
      <c r="I102" s="212">
        <f>VLOOKUP($B102&amp;"; "&amp;$H102&amp;", "&amp;$I$97,'FE Intrants'!$G:$U,9,FALSE)*$F102</f>
        <v>0</v>
      </c>
      <c r="J102" s="212">
        <f>IF(ISNA(VLOOKUP($B102&amp;"; "&amp;$H102&amp;", "&amp;$J$97,'FE Intrants'!$G:$U,9,FALSE)),0,VLOOKUP($B102&amp;"; "&amp;$H102&amp;", "&amp;$J$97,'FE Intrants'!$G:$U,9,FALSE)*$F102)</f>
        <v>0</v>
      </c>
      <c r="K102" s="212"/>
      <c r="L102" s="212">
        <f>IF(ISNA(VLOOKUP($B102&amp;"; "&amp;$H102&amp;", "&amp;$L$97,'FE Intrants'!$G:$U,9,FALSE)),0,VLOOKUP($B102&amp;"; "&amp;$H102&amp;", "&amp;$L$97,'FE Intrants'!$G:$U,9,FALSE)*$F102)</f>
        <v>0</v>
      </c>
      <c r="M102" s="212"/>
      <c r="N102" s="152">
        <f t="shared" si="9"/>
        <v>0</v>
      </c>
      <c r="Q102" s="319">
        <f t="shared" si="5"/>
        <v>0</v>
      </c>
      <c r="R102" s="1016"/>
      <c r="S102" s="820"/>
      <c r="T102" s="152">
        <f t="shared" si="10"/>
        <v>0</v>
      </c>
      <c r="V102" s="564">
        <f>IFERROR(F102*SUM((VLOOKUP($B102&amp;"; "&amp;$H102&amp;", "&amp;$I$97,'FE Intrants'!$G:$U,10,FALSE)),
VLOOKUP($B102&amp;"; "&amp;$H102&amp;", "&amp;$J$97,'FE Intrants'!$G:$U,10,FALSE),
VLOOKUP($B102&amp;"; "&amp;$H102&amp;", "&amp;$L$97,'FE Intrants'!$G:$U,10,FALSE)),
F102* VLOOKUP($B102&amp;"; "&amp;$H102&amp;", "&amp;$I$97,'FE Intrants'!$G:$U,10,FALSE))</f>
        <v>0</v>
      </c>
      <c r="W102" s="565">
        <f>IFERROR(F102*SUM((VLOOKUP(B102&amp;"; "&amp;H102&amp;", "&amp;I$97,'FE Intrants'!$G:$U,11,FALSE)+VLOOKUP(B102&amp;"; "&amp;H102&amp;", "&amp;I$97,'FE Intrants'!$G:$U,12,FALSE)),
(VLOOKUP(B102&amp;"; "&amp;H102&amp;", "&amp;J$97,'FE Intrants'!$G:$U,11,FALSE)+VLOOKUP(B102&amp;"; "&amp;H102&amp;", "&amp;J$97,'FE Intrants'!$G:$U,12,FALSE)),
(VLOOKUP(B102&amp;"; "&amp;H102&amp;", "&amp;L$97,'FE Intrants'!$G:$U,11,FALSE)+VLOOKUP(B102&amp;"; "&amp;H102&amp;", "&amp;L$97,'FE Intrants'!$G:$U,12,FALSE))),
F102*VLOOKUP(B102&amp;"; "&amp;H102&amp;", "&amp;I$97,'FE Intrants'!$G:$U,11,FALSE)+VLOOKUP(B102&amp;"; "&amp;H102&amp;", "&amp;I$97,'FE Intrants'!$G:$U,12,FALSE))</f>
        <v>0</v>
      </c>
      <c r="X102" s="565">
        <f>IFERROR(F102*SUM((VLOOKUP($B102&amp;"; "&amp;$H102&amp;", "&amp;$I$97,'FE Intrants'!$G:$U,13,FALSE)),
VLOOKUP($B102&amp;"; "&amp;$H102&amp;", "&amp;$J$97,'FE Intrants'!$G:$U,13,FALSE),
VLOOKUP($B102&amp;"; "&amp;$H102&amp;", "&amp;$L$97,'FE Intrants'!$G:$U,13,FALSE)),
F102* VLOOKUP($B102&amp;"; "&amp;$H102&amp;", "&amp;$I$97,'FE Intrants'!$G:$U,13,FALSE))</f>
        <v>0</v>
      </c>
      <c r="Y102" s="565">
        <f>IFERROR(F102*SUM((VLOOKUP($B102&amp;"; "&amp;$H102&amp;", "&amp;$I$97,'FE Intrants'!$G:$U,14,FALSE)),
VLOOKUP($B102&amp;"; "&amp;$H102&amp;", "&amp;$J$97,'FE Intrants'!$G:$U,14,FALSE),
VLOOKUP($B102&amp;"; "&amp;$H102&amp;", "&amp;$L$97,'FE Intrants'!$G:$U,14,FALSE)),
F102* VLOOKUP($B102&amp;"; "&amp;$H102&amp;", "&amp;$I$97,'FE Intrants'!$G:$U,14,FALSE))</f>
        <v>0</v>
      </c>
      <c r="Z102" s="567">
        <f t="shared" si="7"/>
        <v>0</v>
      </c>
      <c r="AA102" s="590">
        <f>IFERROR(F102*SUM((VLOOKUP($B102&amp;"; "&amp;$H102&amp;", "&amp;$I$97,'FE Intrants'!$G:$U,15,FALSE)),
VLOOKUP($B102&amp;"; "&amp;$H102&amp;", "&amp;$J$97,'FE Intrants'!$G:$U,15,FALSE),
VLOOKUP($B102&amp;"; "&amp;$H102&amp;", "&amp;$L$97,'FE Intrants'!$G:$U,15,FALSE)),
F102* VLOOKUP($B102&amp;"; "&amp;$H102&amp;", "&amp;$I$97,'FE Intrants'!$G:$U,15,FALSE))</f>
        <v>0</v>
      </c>
      <c r="AC102" s="2314">
        <f>IF($R102&lt;&gt;"votre valeur :",IF(ISNA(VLOOKUP($R102,Utilitaires!$N$566:$O$571,2,FALSE)),,VLOOKUP($R102,Utilitaires!$N$566:$O$571,2,FALSE)),$S102)</f>
        <v>0</v>
      </c>
      <c r="AD102" s="1130">
        <f>SQRT(SUMSQ(AC102,VLOOKUP($B102&amp;"; "&amp;$H102&amp;", "&amp;$I$97,'FE Intrants'!G:U,7,FALSE)))</f>
        <v>0.3</v>
      </c>
    </row>
    <row r="103" spans="2:30" s="114" customFormat="1" ht="12.75" hidden="1" customHeight="1" outlineLevel="1">
      <c r="B103" s="143"/>
      <c r="C103" s="144"/>
      <c r="D103" s="212"/>
      <c r="E103" s="213"/>
      <c r="F103" s="144"/>
      <c r="G103" s="144"/>
      <c r="H103" s="144"/>
      <c r="I103" s="212"/>
      <c r="J103" s="212"/>
      <c r="K103" s="212"/>
      <c r="L103" s="212"/>
      <c r="M103" s="212"/>
      <c r="N103" s="145"/>
      <c r="Q103" s="163"/>
      <c r="R103" s="144"/>
      <c r="S103" s="144"/>
      <c r="T103" s="152"/>
      <c r="V103" s="564"/>
      <c r="W103" s="565"/>
      <c r="X103" s="565"/>
      <c r="Y103" s="565"/>
      <c r="Z103" s="567"/>
      <c r="AA103" s="591"/>
      <c r="AC103" s="2068"/>
      <c r="AD103" s="1143"/>
    </row>
    <row r="104" spans="2:30" s="114" customFormat="1" ht="12.75" hidden="1" customHeight="1" outlineLevel="1">
      <c r="B104" s="196" t="s">
        <v>348</v>
      </c>
      <c r="C104" s="197"/>
      <c r="D104" s="214">
        <f>SUM(D83:D103)</f>
        <v>0</v>
      </c>
      <c r="E104" s="214"/>
      <c r="F104" s="199"/>
      <c r="G104" s="199"/>
      <c r="H104" s="199"/>
      <c r="I104" s="204"/>
      <c r="J104" s="204"/>
      <c r="K104" s="204"/>
      <c r="L104" s="204"/>
      <c r="M104" s="204"/>
      <c r="N104" s="200">
        <f>SUM(N83:N103)</f>
        <v>0</v>
      </c>
      <c r="Q104" s="1204">
        <f>IF(T104=0,T104,T104/N104)</f>
        <v>0</v>
      </c>
      <c r="R104" s="199"/>
      <c r="S104" s="199"/>
      <c r="T104" s="200">
        <f>SQRT(SUMSQ(T83:T103))</f>
        <v>0</v>
      </c>
      <c r="V104" s="571">
        <f t="shared" ref="V104:AA104" si="11">SUM(V83:V103)</f>
        <v>0</v>
      </c>
      <c r="W104" s="572">
        <f t="shared" si="11"/>
        <v>0</v>
      </c>
      <c r="X104" s="572">
        <f t="shared" si="11"/>
        <v>0</v>
      </c>
      <c r="Y104" s="572">
        <f t="shared" si="11"/>
        <v>0</v>
      </c>
      <c r="Z104" s="574">
        <f t="shared" si="11"/>
        <v>0</v>
      </c>
      <c r="AA104" s="592">
        <f t="shared" si="11"/>
        <v>0</v>
      </c>
    </row>
    <row r="105" spans="2:30" s="114" customFormat="1" ht="12.75" hidden="1" customHeight="1" outlineLevel="1">
      <c r="V105" s="441"/>
      <c r="W105" s="441"/>
      <c r="X105" s="441"/>
      <c r="Y105" s="441"/>
      <c r="Z105" s="441"/>
      <c r="AA105" s="441"/>
    </row>
    <row r="106" spans="2:30" s="114" customFormat="1" ht="13.2">
      <c r="V106" s="441"/>
      <c r="W106" s="441"/>
      <c r="X106" s="441"/>
      <c r="Y106" s="441"/>
      <c r="Z106" s="441"/>
      <c r="AA106" s="441"/>
    </row>
    <row r="107" spans="2:30" s="114" customFormat="1" ht="15.6" collapsed="1">
      <c r="B107" s="2652" t="s">
        <v>2219</v>
      </c>
      <c r="C107" s="2653"/>
      <c r="D107" s="2653"/>
      <c r="E107" s="2653"/>
      <c r="F107" s="2653"/>
      <c r="G107" s="2653"/>
      <c r="H107" s="2653"/>
      <c r="I107" s="2653"/>
      <c r="J107" s="2653"/>
      <c r="K107" s="2653"/>
      <c r="L107" s="2653"/>
      <c r="M107" s="2653"/>
      <c r="N107" s="2653"/>
      <c r="O107" s="2654"/>
      <c r="V107" s="441"/>
      <c r="W107" s="441"/>
      <c r="X107" s="441"/>
      <c r="Y107" s="441"/>
      <c r="Z107" s="441"/>
      <c r="AA107" s="441"/>
    </row>
    <row r="108" spans="2:30" s="114" customFormat="1" ht="12.75" hidden="1" customHeight="1" outlineLevel="1">
      <c r="K108" s="258"/>
      <c r="V108" s="441"/>
      <c r="W108" s="441"/>
      <c r="X108" s="441"/>
      <c r="Y108" s="441"/>
      <c r="Z108" s="441"/>
      <c r="AA108" s="441"/>
    </row>
    <row r="109" spans="2:30" s="114" customFormat="1" ht="12.75" hidden="1" customHeight="1" outlineLevel="1">
      <c r="B109" s="330" t="s">
        <v>2119</v>
      </c>
      <c r="C109" s="331"/>
      <c r="D109" s="284"/>
      <c r="E109" s="1624"/>
      <c r="F109" s="141"/>
      <c r="G109" s="141"/>
      <c r="H109" s="141"/>
      <c r="I109" s="142"/>
      <c r="J109" s="116"/>
      <c r="K109" s="116"/>
      <c r="L109" s="2636" t="s">
        <v>366</v>
      </c>
      <c r="M109" s="2637"/>
      <c r="N109" s="2637"/>
      <c r="O109" s="2638"/>
      <c r="V109" s="2639" t="s">
        <v>441</v>
      </c>
      <c r="W109" s="2640"/>
      <c r="X109" s="2640"/>
      <c r="Y109" s="2640"/>
      <c r="Z109" s="2640"/>
      <c r="AA109" s="2641"/>
    </row>
    <row r="110" spans="2:30" s="114" customFormat="1" ht="12.75" hidden="1" customHeight="1" outlineLevel="1">
      <c r="B110" s="333"/>
      <c r="C110" s="334"/>
      <c r="D110" s="286" t="s">
        <v>308</v>
      </c>
      <c r="E110" s="1625"/>
      <c r="F110" s="155"/>
      <c r="G110" s="144"/>
      <c r="H110" s="144"/>
      <c r="I110" s="145"/>
      <c r="J110" s="116"/>
      <c r="K110" s="116"/>
      <c r="L110" s="1179"/>
      <c r="M110" s="819"/>
      <c r="N110" s="827"/>
      <c r="O110" s="145"/>
      <c r="V110" s="2074"/>
      <c r="W110" s="2075"/>
      <c r="X110" s="2075"/>
      <c r="Y110" s="2075"/>
      <c r="Z110" s="2080"/>
      <c r="AA110" s="619"/>
      <c r="AC110" s="2766" t="s">
        <v>1648</v>
      </c>
      <c r="AD110" s="2767"/>
    </row>
    <row r="111" spans="2:30" s="114" customFormat="1" ht="12.75" hidden="1" customHeight="1" outlineLevel="1">
      <c r="B111" s="146"/>
      <c r="C111" s="285"/>
      <c r="D111" s="285" t="s">
        <v>409</v>
      </c>
      <c r="E111" s="1622"/>
      <c r="F111" s="147" t="s">
        <v>340</v>
      </c>
      <c r="G111" s="1180" t="s">
        <v>2186</v>
      </c>
      <c r="H111" s="147" t="s">
        <v>2185</v>
      </c>
      <c r="I111" s="148" t="s">
        <v>444</v>
      </c>
      <c r="J111" s="116"/>
      <c r="K111" s="116"/>
      <c r="L111" s="1179" t="s">
        <v>316</v>
      </c>
      <c r="M111" s="2629" t="s">
        <v>530</v>
      </c>
      <c r="N111" s="2630"/>
      <c r="O111" s="539" t="s">
        <v>444</v>
      </c>
      <c r="V111" s="2074" t="s">
        <v>444</v>
      </c>
      <c r="W111" s="2075"/>
      <c r="X111" s="2075"/>
      <c r="Y111" s="2075"/>
      <c r="Z111" s="2080" t="s">
        <v>444</v>
      </c>
      <c r="AA111" s="587"/>
      <c r="AC111" s="2069" t="s">
        <v>2167</v>
      </c>
      <c r="AD111" s="2079" t="s">
        <v>2187</v>
      </c>
    </row>
    <row r="112" spans="2:30" s="114" customFormat="1" ht="12.75" hidden="1" customHeight="1" outlineLevel="1">
      <c r="B112" s="1002" t="s">
        <v>877</v>
      </c>
      <c r="C112" s="285"/>
      <c r="D112" s="285" t="s">
        <v>444</v>
      </c>
      <c r="E112" s="1622"/>
      <c r="F112" s="149" t="s">
        <v>419</v>
      </c>
      <c r="G112" s="1180" t="s">
        <v>531</v>
      </c>
      <c r="H112" s="1182" t="s">
        <v>419</v>
      </c>
      <c r="I112" s="148"/>
      <c r="J112" s="116"/>
      <c r="K112" s="116"/>
      <c r="L112" s="1179" t="s">
        <v>1649</v>
      </c>
      <c r="M112" s="2646"/>
      <c r="N112" s="2647"/>
      <c r="O112" s="539"/>
      <c r="V112" s="2071" t="s">
        <v>211</v>
      </c>
      <c r="W112" s="2072" t="s">
        <v>442</v>
      </c>
      <c r="X112" s="2072" t="s">
        <v>267</v>
      </c>
      <c r="Y112" s="2072" t="s">
        <v>443</v>
      </c>
      <c r="Z112" s="2073" t="s">
        <v>327</v>
      </c>
      <c r="AA112" s="589" t="s">
        <v>636</v>
      </c>
      <c r="AC112" s="2077"/>
      <c r="AD112" s="1130"/>
    </row>
    <row r="113" spans="2:30" s="114" customFormat="1" ht="12.75" hidden="1" customHeight="1" outlineLevel="1">
      <c r="B113" s="143" t="s">
        <v>4685</v>
      </c>
      <c r="C113" s="144"/>
      <c r="D113" s="1215">
        <f>I113</f>
        <v>0</v>
      </c>
      <c r="E113" s="1215"/>
      <c r="F113" s="117"/>
      <c r="G113" s="224">
        <f>VLOOKUP($B113&amp;"; "&amp;H113,'FE Intrants'!$G:$U,9,FALSE)</f>
        <v>19.600000000000001</v>
      </c>
      <c r="H113" s="1205" t="str">
        <f>VLOOKUP(B113,'FE Intrants'!F:U,5,FALSE)</f>
        <v>kgCO2e/kg de poids vif</v>
      </c>
      <c r="I113" s="1216">
        <f>F113*G113</f>
        <v>0</v>
      </c>
      <c r="J113" s="116"/>
      <c r="K113" s="116"/>
      <c r="L113" s="319">
        <f>IF(O113=0,O113,O113/I113)</f>
        <v>0</v>
      </c>
      <c r="M113" s="1218"/>
      <c r="N113" s="820"/>
      <c r="O113" s="152">
        <f>F113*G113*AD113</f>
        <v>0</v>
      </c>
      <c r="V113" s="564">
        <f>IF($F113*VLOOKUP($B113&amp;"; "&amp;$H113,'FE Intrants'!$G:$U,10,FALSE)=0,I113,$F113*VLOOKUP($B113&amp;"; "&amp;$H113,'FE Intrants'!$G:$U,10,FALSE))</f>
        <v>0</v>
      </c>
      <c r="W113" s="565">
        <f>$F113*(VLOOKUP($B113&amp;"; "&amp;$H113,'FE Intrants'!$G:$U,11,FALSE)+VLOOKUP($B113&amp;"; "&amp;$H113,'FE Intrants'!$G:$U,12,FALSE))</f>
        <v>0</v>
      </c>
      <c r="X113" s="565">
        <f>$F113*VLOOKUP($B113&amp;"; "&amp;$H113,'FE Intrants'!$G:$U,13,FALSE)</f>
        <v>0</v>
      </c>
      <c r="Y113" s="565">
        <f>$F113*VLOOKUP($B113&amp;"; "&amp;$H113,'FE Intrants'!$G:$U,14,FALSE)</f>
        <v>0</v>
      </c>
      <c r="Z113" s="567">
        <f>SUM(V113:Y113)</f>
        <v>0</v>
      </c>
      <c r="AA113" s="590">
        <f>$F113*VLOOKUP($B113&amp;"; "&amp;$H113,'FE Intrants'!$G:$U,15,FALSE)</f>
        <v>0</v>
      </c>
      <c r="AC113" s="2077">
        <f>IF($M113&lt;&gt;"votre valeur :",IF(ISNA(VLOOKUP($M113,Utilitaires!$N$566:$O$571,2,FALSE)),,VLOOKUP($M113,Utilitaires!$N$566:$O$571,2,FALSE)),$N113)</f>
        <v>0</v>
      </c>
      <c r="AD113" s="1130">
        <f>SQRT(SUMSQ(AC113,VLOOKUP(B113&amp;"; "&amp;H113,'FE Intrants'!G:U,7,FALSE)))</f>
        <v>0.5</v>
      </c>
    </row>
    <row r="114" spans="2:30" s="114" customFormat="1" ht="12.75" hidden="1" customHeight="1" outlineLevel="1">
      <c r="B114" s="143" t="s">
        <v>4686</v>
      </c>
      <c r="C114" s="144"/>
      <c r="D114" s="1215">
        <f>I114</f>
        <v>0</v>
      </c>
      <c r="E114" s="1215"/>
      <c r="F114" s="120"/>
      <c r="G114" s="224">
        <f>VLOOKUP($B114&amp;"; "&amp;H114,'FE Intrants'!$G:$U,9,FALSE)</f>
        <v>17</v>
      </c>
      <c r="H114" s="1206" t="str">
        <f>VLOOKUP(B114,'FE Intrants'!F:U,5,FALSE)</f>
        <v>kgCO2e/kg de poids vif</v>
      </c>
      <c r="I114" s="1216">
        <f>F114*G114</f>
        <v>0</v>
      </c>
      <c r="J114" s="116"/>
      <c r="K114" s="116"/>
      <c r="L114" s="319">
        <f>IF(O114=0,O114,O114/I114)</f>
        <v>0</v>
      </c>
      <c r="M114" s="1218"/>
      <c r="N114" s="820"/>
      <c r="O114" s="152">
        <f>F114*G114*AD114</f>
        <v>0</v>
      </c>
      <c r="V114" s="564">
        <f>IF($F114*VLOOKUP($B114&amp;"; "&amp;$H114,'FE Intrants'!$G:$U,10,FALSE)=0,I114,$F114*VLOOKUP($B114&amp;"; "&amp;$H114,'FE Intrants'!$G:$U,10,FALSE))</f>
        <v>0</v>
      </c>
      <c r="W114" s="565">
        <f>$F114*(VLOOKUP($B114&amp;"; "&amp;$H114,'FE Intrants'!$G:$U,11,FALSE)+VLOOKUP($B114&amp;"; "&amp;$H114,'FE Intrants'!$G:$U,12,FALSE))</f>
        <v>0</v>
      </c>
      <c r="X114" s="565">
        <f>$F114*VLOOKUP($B114&amp;"; "&amp;$H114,'FE Intrants'!$G:$U,13,FALSE)</f>
        <v>0</v>
      </c>
      <c r="Y114" s="565">
        <f>$F114*VLOOKUP($B114&amp;"; "&amp;$H114,'FE Intrants'!$G:$U,14,FALSE)</f>
        <v>0</v>
      </c>
      <c r="Z114" s="567">
        <f t="shared" ref="Z114:Z138" si="12">SUM(V114:Y114)</f>
        <v>0</v>
      </c>
      <c r="AA114" s="590">
        <f>$F114*VLOOKUP($B114&amp;"; "&amp;$H114,'FE Intrants'!$G:$U,15,FALSE)</f>
        <v>0</v>
      </c>
      <c r="AC114" s="2077">
        <f>IF($M114&lt;&gt;"votre valeur :",IF(ISNA(VLOOKUP($M114,Utilitaires!$N$566:$O$571,2,FALSE)),,VLOOKUP($M114,Utilitaires!$N$566:$O$571,2,FALSE)),$N114)</f>
        <v>0</v>
      </c>
      <c r="AD114" s="1130">
        <f>SQRT(SUMSQ(AC114,VLOOKUP(B114&amp;"; "&amp;H114,'FE Intrants'!G:U,7,FALSE)))</f>
        <v>0.5</v>
      </c>
    </row>
    <row r="115" spans="2:30" s="114" customFormat="1" ht="12.75" hidden="1" customHeight="1" outlineLevel="1">
      <c r="B115" s="143" t="s">
        <v>4687</v>
      </c>
      <c r="C115" s="144"/>
      <c r="D115" s="1215">
        <f>I115</f>
        <v>0</v>
      </c>
      <c r="E115" s="1215"/>
      <c r="F115" s="346"/>
      <c r="G115" s="224">
        <f>VLOOKUP($B115&amp;"; "&amp;H115,'FE Intrants'!$G:$U,9,FALSE)</f>
        <v>2.95</v>
      </c>
      <c r="H115" s="1206" t="str">
        <f>VLOOKUP(B115,'FE Intrants'!F:U,5,FALSE)</f>
        <v>kgCO2e/kg de poids vif</v>
      </c>
      <c r="I115" s="1216">
        <f>F115*G115</f>
        <v>0</v>
      </c>
      <c r="J115" s="116"/>
      <c r="K115" s="116"/>
      <c r="L115" s="319">
        <f>IF(O115=0,O115,O115/I115)</f>
        <v>0</v>
      </c>
      <c r="M115" s="1218"/>
      <c r="N115" s="820"/>
      <c r="O115" s="152">
        <f>F115*G115*AD115</f>
        <v>0</v>
      </c>
      <c r="V115" s="564">
        <f>IF($F115*VLOOKUP($B115&amp;"; "&amp;$H115,'FE Intrants'!$G:$U,10,FALSE)=0,I115,$F115*VLOOKUP($B115&amp;"; "&amp;$H115,'FE Intrants'!$G:$U,10,FALSE))</f>
        <v>0</v>
      </c>
      <c r="W115" s="565">
        <f>$F115*(VLOOKUP($B115&amp;"; "&amp;$H115,'FE Intrants'!$G:$U,11,FALSE)+VLOOKUP($B115&amp;"; "&amp;$H115,'FE Intrants'!$G:$U,12,FALSE))</f>
        <v>0</v>
      </c>
      <c r="X115" s="565">
        <f>$F115*VLOOKUP($B115&amp;"; "&amp;$H115,'FE Intrants'!$G:$U,13,FALSE)</f>
        <v>0</v>
      </c>
      <c r="Y115" s="565">
        <f>$F115*VLOOKUP($B115&amp;"; "&amp;$H115,'FE Intrants'!$G:$U,14,FALSE)</f>
        <v>0</v>
      </c>
      <c r="Z115" s="567">
        <f t="shared" si="12"/>
        <v>0</v>
      </c>
      <c r="AA115" s="590">
        <f>$F115*VLOOKUP($B115&amp;"; "&amp;$H115,'FE Intrants'!$G:$U,15,FALSE)</f>
        <v>0</v>
      </c>
      <c r="AC115" s="2077">
        <f>IF($M115&lt;&gt;"votre valeur :",IF(ISNA(VLOOKUP($M115,Utilitaires!$N$566:$O$571,2,FALSE)),,VLOOKUP($M115,Utilitaires!$N$566:$O$571,2,FALSE)),$N115)</f>
        <v>0</v>
      </c>
      <c r="AD115" s="1130">
        <f>SQRT(SUMSQ(AC115,VLOOKUP(B115&amp;"; "&amp;H115,'FE Intrants'!G:U,7,FALSE)))</f>
        <v>0.5</v>
      </c>
    </row>
    <row r="116" spans="2:30" s="114" customFormat="1" ht="12.75" hidden="1" customHeight="1" outlineLevel="1">
      <c r="B116" s="143" t="s">
        <v>4688</v>
      </c>
      <c r="C116" s="144"/>
      <c r="D116" s="1215">
        <f t="shared" ref="D116:D135" si="13">I116</f>
        <v>0</v>
      </c>
      <c r="E116" s="1215"/>
      <c r="F116" s="346"/>
      <c r="G116" s="224">
        <f>VLOOKUP($B116&amp;"; "&amp;H116,'FE Intrants'!$G:$U,9,FALSE)</f>
        <v>1.68</v>
      </c>
      <c r="H116" s="1206" t="str">
        <f>VLOOKUP(B116,'FE Intrants'!F:U,5,FALSE)</f>
        <v>kgCO2e/kg de poids vif</v>
      </c>
      <c r="I116" s="1216">
        <f>F116*G116</f>
        <v>0</v>
      </c>
      <c r="J116" s="116"/>
      <c r="K116" s="116"/>
      <c r="L116" s="319">
        <f>IF(O116=0,O116,O116/I116)</f>
        <v>0</v>
      </c>
      <c r="M116" s="1218"/>
      <c r="N116" s="820"/>
      <c r="O116" s="152">
        <f>F116*G116*AD116</f>
        <v>0</v>
      </c>
      <c r="V116" s="564">
        <f>IF($F116*VLOOKUP($B116&amp;"; "&amp;$H116,'FE Intrants'!$G:$U,10,FALSE)=0,I116,$F116*VLOOKUP($B116&amp;"; "&amp;$H116,'FE Intrants'!$G:$U,10,FALSE))</f>
        <v>0</v>
      </c>
      <c r="W116" s="565">
        <f>$F116*(VLOOKUP($B116&amp;"; "&amp;$H116,'FE Intrants'!$G:$U,11,FALSE)+VLOOKUP($B116&amp;"; "&amp;$H116,'FE Intrants'!$G:$U,12,FALSE))</f>
        <v>0</v>
      </c>
      <c r="X116" s="565">
        <f>$F116*VLOOKUP($B116&amp;"; "&amp;$H116,'FE Intrants'!$G:$U,13,FALSE)</f>
        <v>0</v>
      </c>
      <c r="Y116" s="565">
        <f>$F116*VLOOKUP($B116&amp;"; "&amp;$H116,'FE Intrants'!$G:$U,14,FALSE)</f>
        <v>0</v>
      </c>
      <c r="Z116" s="567">
        <f t="shared" si="12"/>
        <v>0</v>
      </c>
      <c r="AA116" s="590">
        <f>$F116*VLOOKUP($B116&amp;"; "&amp;$H116,'FE Intrants'!$G:$U,15,FALSE)</f>
        <v>0</v>
      </c>
      <c r="AC116" s="2077">
        <f>IF($M116&lt;&gt;"votre valeur :",IF(ISNA(VLOOKUP($M116,Utilitaires!$N$566:$O$571,2,FALSE)),,VLOOKUP($M116,Utilitaires!$N$566:$O$571,2,FALSE)),$N116)</f>
        <v>0</v>
      </c>
      <c r="AD116" s="1130">
        <f>SQRT(SUMSQ(AC116,VLOOKUP(B116&amp;"; "&amp;H116,'FE Intrants'!G:U,7,FALSE)))</f>
        <v>0.5</v>
      </c>
    </row>
    <row r="117" spans="2:30" s="114" customFormat="1" ht="12.75" hidden="1" customHeight="1" outlineLevel="1">
      <c r="B117" s="143" t="s">
        <v>4689</v>
      </c>
      <c r="C117" s="144"/>
      <c r="D117" s="1215">
        <f t="shared" si="13"/>
        <v>0</v>
      </c>
      <c r="E117" s="1215"/>
      <c r="F117" s="347"/>
      <c r="G117" s="224">
        <f>VLOOKUP($B117&amp;"; "&amp;H117,'FE Intrants'!$G:$U,9,FALSE)</f>
        <v>9.15</v>
      </c>
      <c r="H117" s="1207" t="str">
        <f>VLOOKUP(B117,'FE Intrants'!F:U,5,FALSE)</f>
        <v>kgCO2e/kg de poids vif</v>
      </c>
      <c r="I117" s="1216">
        <f>F117*G117</f>
        <v>0</v>
      </c>
      <c r="J117" s="116"/>
      <c r="K117" s="116"/>
      <c r="L117" s="319">
        <f>IF(O117=0,O117,O117/I117)</f>
        <v>0</v>
      </c>
      <c r="M117" s="1218"/>
      <c r="N117" s="820"/>
      <c r="O117" s="152">
        <f>F117*G117*AD117</f>
        <v>0</v>
      </c>
      <c r="V117" s="564">
        <f>IF($F117*VLOOKUP($B117&amp;"; "&amp;$H117,'FE Intrants'!$G:$U,10,FALSE)=0,I117,$F117*VLOOKUP($B117&amp;"; "&amp;$H117,'FE Intrants'!$G:$U,10,FALSE))</f>
        <v>0</v>
      </c>
      <c r="W117" s="565">
        <f>$F117*(VLOOKUP($B117&amp;"; "&amp;$H117,'FE Intrants'!$G:$U,11,FALSE)+VLOOKUP($B117&amp;"; "&amp;$H117,'FE Intrants'!$G:$U,12,FALSE))</f>
        <v>0</v>
      </c>
      <c r="X117" s="565">
        <f>$F117*VLOOKUP($B117&amp;"; "&amp;$H117,'FE Intrants'!$G:$U,13,FALSE)</f>
        <v>0</v>
      </c>
      <c r="Y117" s="565">
        <f>$F117*VLOOKUP($B117&amp;"; "&amp;$H117,'FE Intrants'!$G:$U,14,FALSE)</f>
        <v>0</v>
      </c>
      <c r="Z117" s="567">
        <f t="shared" si="12"/>
        <v>0</v>
      </c>
      <c r="AA117" s="590">
        <f>$F117*VLOOKUP($B117&amp;"; "&amp;$H117,'FE Intrants'!$G:$U,15,FALSE)</f>
        <v>0</v>
      </c>
      <c r="AC117" s="2077">
        <f>IF($M117&lt;&gt;"votre valeur :",IF(ISNA(VLOOKUP($M117,Utilitaires!$N$566:$O$571,2,FALSE)),,VLOOKUP($M117,Utilitaires!$N$566:$O$571,2,FALSE)),$N117)</f>
        <v>0</v>
      </c>
      <c r="AD117" s="1130">
        <f>SQRT(SUMSQ(AC117,VLOOKUP(B117&amp;"; "&amp;H117,'FE Intrants'!G:U,7,FALSE)))</f>
        <v>0.5</v>
      </c>
    </row>
    <row r="118" spans="2:30" s="114" customFormat="1" ht="12.75" hidden="1" customHeight="1" outlineLevel="1">
      <c r="B118" s="143"/>
      <c r="C118" s="144"/>
      <c r="D118" s="222"/>
      <c r="E118" s="222"/>
      <c r="F118" s="144"/>
      <c r="G118" s="1214"/>
      <c r="H118" s="144"/>
      <c r="I118" s="1217"/>
      <c r="J118" s="116"/>
      <c r="K118" s="116"/>
      <c r="L118" s="226"/>
      <c r="M118" s="144"/>
      <c r="N118" s="820"/>
      <c r="O118" s="152"/>
      <c r="V118" s="564"/>
      <c r="W118" s="565"/>
      <c r="X118" s="565"/>
      <c r="Y118" s="565"/>
      <c r="Z118" s="567"/>
      <c r="AA118" s="590"/>
      <c r="AC118" s="2077"/>
      <c r="AD118" s="1130"/>
    </row>
    <row r="119" spans="2:30" s="114" customFormat="1" ht="12.75" hidden="1" customHeight="1" outlineLevel="1">
      <c r="B119" s="1002" t="s">
        <v>2199</v>
      </c>
      <c r="C119" s="144"/>
      <c r="D119" s="222"/>
      <c r="E119" s="222"/>
      <c r="F119" s="144"/>
      <c r="G119" s="1214"/>
      <c r="H119" s="144"/>
      <c r="I119" s="1217"/>
      <c r="J119" s="116"/>
      <c r="K119" s="116"/>
      <c r="L119" s="226"/>
      <c r="M119" s="144"/>
      <c r="N119" s="820"/>
      <c r="O119" s="152"/>
      <c r="V119" s="564"/>
      <c r="W119" s="565"/>
      <c r="X119" s="565"/>
      <c r="Y119" s="565"/>
      <c r="Z119" s="567"/>
      <c r="AA119" s="590"/>
      <c r="AC119" s="2077"/>
      <c r="AD119" s="1130"/>
    </row>
    <row r="120" spans="2:30" s="114" customFormat="1" ht="12.75" hidden="1" customHeight="1" outlineLevel="1">
      <c r="B120" s="143" t="s">
        <v>4690</v>
      </c>
      <c r="C120" s="144"/>
      <c r="D120" s="1215">
        <f t="shared" si="13"/>
        <v>0</v>
      </c>
      <c r="E120" s="1215"/>
      <c r="F120" s="117"/>
      <c r="G120" s="224">
        <f>VLOOKUP($B120&amp;"; "&amp;H120,'FE Intrants'!$G:$U,9,FALSE)</f>
        <v>4.25</v>
      </c>
      <c r="H120" s="1205" t="str">
        <f>VLOOKUP(B120,'FE Intrants'!F:U,5,FALSE)</f>
        <v>kgCO2e/kg de poids vif</v>
      </c>
      <c r="I120" s="1216">
        <f>F120*G120</f>
        <v>0</v>
      </c>
      <c r="J120" s="116"/>
      <c r="K120" s="116"/>
      <c r="L120" s="319">
        <f>IF(O120=0,O120,O120/I120)</f>
        <v>0</v>
      </c>
      <c r="M120" s="1218"/>
      <c r="N120" s="820"/>
      <c r="O120" s="152">
        <f>F120*G120*AD120</f>
        <v>0</v>
      </c>
      <c r="V120" s="564">
        <f>IF($F120*VLOOKUP($B120&amp;"; "&amp;$H120,'FE Intrants'!$G:$U,10,FALSE)=0,I120,$F120*VLOOKUP($B120&amp;"; "&amp;$H120,'FE Intrants'!$G:$U,10,FALSE))</f>
        <v>0</v>
      </c>
      <c r="W120" s="565">
        <f>$F120*(VLOOKUP($B120&amp;"; "&amp;$H120,'FE Intrants'!$G:$U,11,FALSE)+VLOOKUP($B120&amp;"; "&amp;$H120,'FE Intrants'!$G:$U,12,FALSE))</f>
        <v>0</v>
      </c>
      <c r="X120" s="565">
        <f>$F120*VLOOKUP($B120&amp;"; "&amp;$H120,'FE Intrants'!$G:$U,13,FALSE)</f>
        <v>0</v>
      </c>
      <c r="Y120" s="565">
        <f>$F120*VLOOKUP($B120&amp;"; "&amp;$H120,'FE Intrants'!$G:$U,14,FALSE)</f>
        <v>0</v>
      </c>
      <c r="Z120" s="567">
        <f t="shared" si="12"/>
        <v>0</v>
      </c>
      <c r="AA120" s="590">
        <f>$F120*VLOOKUP($B120&amp;"; "&amp;$H120,'FE Intrants'!$G:$U,15,FALSE)</f>
        <v>0</v>
      </c>
      <c r="AC120" s="2077">
        <f>IF($M120&lt;&gt;"votre valeur :",IF(ISNA(VLOOKUP($M120,Utilitaires!$N$566:$O$571,2,FALSE)),,VLOOKUP($M120,Utilitaires!$N$566:$O$571,2,FALSE)),$N120)</f>
        <v>0</v>
      </c>
      <c r="AD120" s="1130">
        <f>SQRT(SUMSQ(AC120,VLOOKUP(B120&amp;"; "&amp;H120,'FE Intrants'!G:U,7,FALSE)))</f>
        <v>0.5</v>
      </c>
    </row>
    <row r="121" spans="2:30" s="114" customFormat="1" ht="12.75" hidden="1" customHeight="1" outlineLevel="1">
      <c r="B121" s="143" t="s">
        <v>4691</v>
      </c>
      <c r="C121" s="144"/>
      <c r="D121" s="1215">
        <f t="shared" si="13"/>
        <v>0</v>
      </c>
      <c r="E121" s="1215"/>
      <c r="F121" s="120"/>
      <c r="G121" s="224">
        <f>VLOOKUP($B121&amp;"; "&amp;H121,'FE Intrants'!$G:$U,9,FALSE)</f>
        <v>4.49</v>
      </c>
      <c r="H121" s="1206" t="str">
        <f>VLOOKUP(B121,'FE Intrants'!F:U,5,FALSE)</f>
        <v>kgCO2e/kg de poids vif</v>
      </c>
      <c r="I121" s="1216">
        <f>F121*G121</f>
        <v>0</v>
      </c>
      <c r="J121" s="116"/>
      <c r="K121" s="116"/>
      <c r="L121" s="319">
        <f>IF(O121=0,O121,O121/I121)</f>
        <v>0</v>
      </c>
      <c r="M121" s="1218"/>
      <c r="N121" s="820"/>
      <c r="O121" s="152">
        <f>F121*G121*AD121</f>
        <v>0</v>
      </c>
      <c r="V121" s="564">
        <f>IF($F121*VLOOKUP($B121&amp;"; "&amp;$H121,'FE Intrants'!$G:$U,10,FALSE)=0,I121,$F121*VLOOKUP($B121&amp;"; "&amp;$H121,'FE Intrants'!$G:$U,10,FALSE))</f>
        <v>0</v>
      </c>
      <c r="W121" s="565">
        <f>$F121*(VLOOKUP($B121&amp;"; "&amp;$H121,'FE Intrants'!$G:$U,11,FALSE)+VLOOKUP($B121&amp;"; "&amp;$H121,'FE Intrants'!$G:$U,12,FALSE))</f>
        <v>0</v>
      </c>
      <c r="X121" s="565">
        <f>$F121*VLOOKUP($B121&amp;"; "&amp;$H121,'FE Intrants'!$G:$U,13,FALSE)</f>
        <v>0</v>
      </c>
      <c r="Y121" s="565">
        <f>$F121*VLOOKUP($B121&amp;"; "&amp;$H121,'FE Intrants'!$G:$U,14,FALSE)</f>
        <v>0</v>
      </c>
      <c r="Z121" s="567">
        <f t="shared" si="12"/>
        <v>0</v>
      </c>
      <c r="AA121" s="590">
        <f>$F121*VLOOKUP($B121&amp;"; "&amp;$H121,'FE Intrants'!$G:$U,15,FALSE)</f>
        <v>0</v>
      </c>
      <c r="AC121" s="2077">
        <f>IF($M121&lt;&gt;"votre valeur :",IF(ISNA(VLOOKUP($M121,Utilitaires!$N$566:$O$571,2,FALSE)),,VLOOKUP($M121,Utilitaires!$N$566:$O$571,2,FALSE)),$N121)</f>
        <v>0</v>
      </c>
      <c r="AD121" s="1130">
        <f>SQRT(SUMSQ(AC121,VLOOKUP(B121&amp;"; "&amp;H121,'FE Intrants'!G:U,7,FALSE)))</f>
        <v>0.5</v>
      </c>
    </row>
    <row r="122" spans="2:30" s="114" customFormat="1" ht="12.75" hidden="1" customHeight="1" outlineLevel="1">
      <c r="B122" s="143" t="s">
        <v>4692</v>
      </c>
      <c r="C122" s="144"/>
      <c r="D122" s="1215">
        <f t="shared" si="13"/>
        <v>0</v>
      </c>
      <c r="E122" s="1215"/>
      <c r="F122" s="120"/>
      <c r="G122" s="224">
        <f>VLOOKUP($B122&amp;"; "&amp;H122,'FE Intrants'!$G:$U,9,FALSE)</f>
        <v>2.15</v>
      </c>
      <c r="H122" s="1206" t="str">
        <f>VLOOKUP(B122,'FE Intrants'!F:U,5,FALSE)</f>
        <v>kgCO2e/kg de poids vif</v>
      </c>
      <c r="I122" s="1216">
        <f>F122*G122</f>
        <v>0</v>
      </c>
      <c r="J122" s="116"/>
      <c r="K122" s="116"/>
      <c r="L122" s="319">
        <f>IF(O122=0,O122,O122/I122)</f>
        <v>0</v>
      </c>
      <c r="M122" s="1218"/>
      <c r="N122" s="820"/>
      <c r="O122" s="152">
        <f>F122*G122*AD122</f>
        <v>0</v>
      </c>
      <c r="V122" s="564">
        <f>IF($F122*VLOOKUP($B122&amp;"; "&amp;$H122,'FE Intrants'!$G:$U,10,FALSE)=0,I122,$F122*VLOOKUP($B122&amp;"; "&amp;$H122,'FE Intrants'!$G:$U,10,FALSE))</f>
        <v>0</v>
      </c>
      <c r="W122" s="565">
        <f>$F122*(VLOOKUP($B122&amp;"; "&amp;$H122,'FE Intrants'!$G:$U,11,FALSE)+VLOOKUP($B122&amp;"; "&amp;$H122,'FE Intrants'!$G:$U,12,FALSE))</f>
        <v>0</v>
      </c>
      <c r="X122" s="565">
        <f>$F122*VLOOKUP($B122&amp;"; "&amp;$H122,'FE Intrants'!$G:$U,13,FALSE)</f>
        <v>0</v>
      </c>
      <c r="Y122" s="565">
        <f>$F122*VLOOKUP($B122&amp;"; "&amp;$H122,'FE Intrants'!$G:$U,14,FALSE)</f>
        <v>0</v>
      </c>
      <c r="Z122" s="567">
        <f t="shared" si="12"/>
        <v>0</v>
      </c>
      <c r="AA122" s="590">
        <f>$F122*VLOOKUP($B122&amp;"; "&amp;$H122,'FE Intrants'!$G:$U,15,FALSE)</f>
        <v>0</v>
      </c>
      <c r="AC122" s="2077">
        <f>IF($M122&lt;&gt;"votre valeur :",IF(ISNA(VLOOKUP($M122,Utilitaires!$N$566:$O$571,2,FALSE)),,VLOOKUP($M122,Utilitaires!$N$566:$O$571,2,FALSE)),$N122)</f>
        <v>0</v>
      </c>
      <c r="AD122" s="1130">
        <f>SQRT(SUMSQ(AC122,VLOOKUP(B122&amp;"; "&amp;H122,'FE Intrants'!G:U,7,FALSE)))</f>
        <v>0.5</v>
      </c>
    </row>
    <row r="123" spans="2:30" s="114" customFormat="1" ht="12.75" hidden="1" customHeight="1" outlineLevel="1">
      <c r="B123" s="143" t="s">
        <v>4693</v>
      </c>
      <c r="C123" s="144"/>
      <c r="D123" s="1215">
        <f t="shared" si="13"/>
        <v>0</v>
      </c>
      <c r="E123" s="1215"/>
      <c r="F123" s="120"/>
      <c r="G123" s="224">
        <f>VLOOKUP($B123&amp;"; "&amp;H123,'FE Intrants'!$G:$U,9,FALSE)</f>
        <v>0.53700000000000003</v>
      </c>
      <c r="H123" s="1206" t="str">
        <f>VLOOKUP(B123,'FE Intrants'!F:U,5,FALSE)</f>
        <v>kgCO2e/kg de poids vif</v>
      </c>
      <c r="I123" s="1216">
        <f>F123*G123</f>
        <v>0</v>
      </c>
      <c r="J123" s="116"/>
      <c r="K123" s="116"/>
      <c r="L123" s="319">
        <f>IF(O123=0,O123,O123/I123)</f>
        <v>0</v>
      </c>
      <c r="M123" s="1218"/>
      <c r="N123" s="820"/>
      <c r="O123" s="152">
        <f>F123*G123*AD123</f>
        <v>0</v>
      </c>
      <c r="V123" s="564">
        <f>IF($F123*VLOOKUP($B123&amp;"; "&amp;$H123,'FE Intrants'!$G:$U,10,FALSE)=0,I123,$F123*VLOOKUP($B123&amp;"; "&amp;$H123,'FE Intrants'!$G:$U,10,FALSE))</f>
        <v>0</v>
      </c>
      <c r="W123" s="565">
        <f>$F123*(VLOOKUP($B123&amp;"; "&amp;$H123,'FE Intrants'!$G:$U,11,FALSE)+VLOOKUP($B123&amp;"; "&amp;$H123,'FE Intrants'!$G:$U,12,FALSE))</f>
        <v>0</v>
      </c>
      <c r="X123" s="565">
        <f>$F123*VLOOKUP($B123&amp;"; "&amp;$H123,'FE Intrants'!$G:$U,13,FALSE)</f>
        <v>0</v>
      </c>
      <c r="Y123" s="565">
        <f>$F123*VLOOKUP($B123&amp;"; "&amp;$H123,'FE Intrants'!$G:$U,14,FALSE)</f>
        <v>0</v>
      </c>
      <c r="Z123" s="567">
        <f t="shared" si="12"/>
        <v>0</v>
      </c>
      <c r="AA123" s="590">
        <f>$F123*VLOOKUP($B123&amp;"; "&amp;$H123,'FE Intrants'!$G:$U,15,FALSE)</f>
        <v>0</v>
      </c>
      <c r="AC123" s="2077">
        <f>IF($M123&lt;&gt;"votre valeur :",IF(ISNA(VLOOKUP($M123,Utilitaires!$N$566:$O$571,2,FALSE)),,VLOOKUP($M123,Utilitaires!$N$566:$O$571,2,FALSE)),$N123)</f>
        <v>0</v>
      </c>
      <c r="AD123" s="1130">
        <f>SQRT(SUMSQ(AC123,VLOOKUP(B123&amp;"; "&amp;H123,'FE Intrants'!G:U,7,FALSE)))</f>
        <v>0.5</v>
      </c>
    </row>
    <row r="124" spans="2:30" s="114" customFormat="1" ht="12.75" hidden="1" customHeight="1" outlineLevel="1">
      <c r="B124" s="143" t="s">
        <v>4694</v>
      </c>
      <c r="C124" s="144"/>
      <c r="D124" s="1215">
        <f t="shared" si="13"/>
        <v>0</v>
      </c>
      <c r="E124" s="1215"/>
      <c r="F124" s="123"/>
      <c r="G124" s="224">
        <f>VLOOKUP($B124&amp;"; "&amp;H124,'FE Intrants'!$G:$U,9,FALSE)</f>
        <v>1.81</v>
      </c>
      <c r="H124" s="1207" t="str">
        <f>VLOOKUP(B124,'FE Intrants'!F:U,5,FALSE)</f>
        <v>kgCO2e/kg de poids vif</v>
      </c>
      <c r="I124" s="1216">
        <f>F124*G124</f>
        <v>0</v>
      </c>
      <c r="J124" s="116"/>
      <c r="K124" s="116"/>
      <c r="L124" s="319">
        <f>IF(O124=0,O124,O124/I124)</f>
        <v>0</v>
      </c>
      <c r="M124" s="1218"/>
      <c r="N124" s="820"/>
      <c r="O124" s="152">
        <f>F124*G124*AD124</f>
        <v>0</v>
      </c>
      <c r="V124" s="564">
        <f>IF($F124*VLOOKUP($B124&amp;"; "&amp;$H124,'FE Intrants'!$G:$U,10,FALSE)=0,I124,$F124*VLOOKUP($B124&amp;"; "&amp;$H124,'FE Intrants'!$G:$U,10,FALSE))</f>
        <v>0</v>
      </c>
      <c r="W124" s="565">
        <f>$F124*(VLOOKUP($B124&amp;"; "&amp;$H124,'FE Intrants'!$G:$U,11,FALSE)+VLOOKUP($B124&amp;"; "&amp;$H124,'FE Intrants'!$G:$U,12,FALSE))</f>
        <v>0</v>
      </c>
      <c r="X124" s="565">
        <f>$F124*VLOOKUP($B124&amp;"; "&amp;$H124,'FE Intrants'!$G:$U,13,FALSE)</f>
        <v>0</v>
      </c>
      <c r="Y124" s="565">
        <f>$F124*VLOOKUP($B124&amp;"; "&amp;$H124,'FE Intrants'!$G:$U,14,FALSE)</f>
        <v>0</v>
      </c>
      <c r="Z124" s="567">
        <f t="shared" si="12"/>
        <v>0</v>
      </c>
      <c r="AA124" s="590">
        <f>$F124*VLOOKUP($B124&amp;"; "&amp;$H124,'FE Intrants'!$G:$U,15,FALSE)</f>
        <v>0</v>
      </c>
      <c r="AC124" s="2077">
        <f>IF($M124&lt;&gt;"votre valeur :",IF(ISNA(VLOOKUP($M124,Utilitaires!$N$566:$O$571,2,FALSE)),,VLOOKUP($M124,Utilitaires!$N$566:$O$571,2,FALSE)),$N124)</f>
        <v>0</v>
      </c>
      <c r="AD124" s="1130">
        <f>SQRT(SUMSQ(AC124,VLOOKUP(B124&amp;"; "&amp;H124,'FE Intrants'!G:U,7,FALSE)))</f>
        <v>0.5</v>
      </c>
    </row>
    <row r="125" spans="2:30" s="114" customFormat="1" ht="12.75" hidden="1" customHeight="1" outlineLevel="1">
      <c r="B125" s="143"/>
      <c r="C125" s="144"/>
      <c r="D125" s="222"/>
      <c r="E125" s="222"/>
      <c r="F125" s="144"/>
      <c r="G125" s="1214"/>
      <c r="H125" s="144"/>
      <c r="I125" s="401"/>
      <c r="J125" s="116"/>
      <c r="K125" s="116"/>
      <c r="L125" s="226"/>
      <c r="M125" s="144"/>
      <c r="N125" s="820"/>
      <c r="O125" s="152"/>
      <c r="V125" s="564"/>
      <c r="W125" s="565"/>
      <c r="X125" s="565"/>
      <c r="Y125" s="565"/>
      <c r="Z125" s="567"/>
      <c r="AA125" s="590"/>
      <c r="AC125" s="2077"/>
      <c r="AD125" s="1130"/>
    </row>
    <row r="126" spans="2:30" s="114" customFormat="1" ht="12.75" hidden="1" customHeight="1" outlineLevel="1">
      <c r="B126" s="1002" t="s">
        <v>878</v>
      </c>
      <c r="C126" s="144"/>
      <c r="D126" s="222"/>
      <c r="E126" s="222"/>
      <c r="F126" s="144"/>
      <c r="G126" s="1214"/>
      <c r="H126" s="144"/>
      <c r="I126" s="401"/>
      <c r="J126" s="116"/>
      <c r="K126" s="116"/>
      <c r="L126" s="226"/>
      <c r="M126" s="144"/>
      <c r="N126" s="820"/>
      <c r="O126" s="152"/>
      <c r="V126" s="564"/>
      <c r="W126" s="565"/>
      <c r="X126" s="565"/>
      <c r="Y126" s="565"/>
      <c r="Z126" s="567"/>
      <c r="AA126" s="590"/>
      <c r="AC126" s="2077"/>
      <c r="AD126" s="1130"/>
    </row>
    <row r="127" spans="2:30" s="114" customFormat="1" ht="12.75" hidden="1" customHeight="1" outlineLevel="1">
      <c r="B127" s="143" t="s">
        <v>4695</v>
      </c>
      <c r="C127" s="144"/>
      <c r="D127" s="1215">
        <f t="shared" si="13"/>
        <v>0</v>
      </c>
      <c r="E127" s="1215"/>
      <c r="F127" s="117"/>
      <c r="G127" s="224">
        <f>VLOOKUP($B127&amp;"; "&amp;H127,'FE Intrants'!$G:$U,9,FALSE)</f>
        <v>0.33400000000000002</v>
      </c>
      <c r="H127" s="1211" t="str">
        <f>VLOOKUP(B127,'FE Intrants'!F:U,5,FALSE)</f>
        <v>kgCO2e/kg</v>
      </c>
      <c r="I127" s="1216">
        <f>F127*G127</f>
        <v>0</v>
      </c>
      <c r="J127" s="116"/>
      <c r="K127" s="116"/>
      <c r="L127" s="319">
        <f t="shared" ref="L127:L138" si="14">IF(O127=0,O127,O127/I127)</f>
        <v>0</v>
      </c>
      <c r="M127" s="1218"/>
      <c r="N127" s="820"/>
      <c r="O127" s="152">
        <f>F127*G127*AD127</f>
        <v>0</v>
      </c>
      <c r="V127" s="564">
        <f>IF($F127*VLOOKUP($B127&amp;"; "&amp;$H127,'FE Intrants'!$G:$U,10,FALSE)=0,I127,$F127*VLOOKUP($B127&amp;"; "&amp;$H127,'FE Intrants'!$G:$U,10,FALSE))</f>
        <v>0</v>
      </c>
      <c r="W127" s="565">
        <f>$F127*(VLOOKUP($B127&amp;"; "&amp;$H127,'FE Intrants'!$G:$U,11,FALSE)+VLOOKUP($B127&amp;"; "&amp;$H127,'FE Intrants'!$G:$U,12,FALSE))</f>
        <v>0</v>
      </c>
      <c r="X127" s="565">
        <f>$F127*VLOOKUP($B127&amp;"; "&amp;$H127,'FE Intrants'!$G:$U,13,FALSE)</f>
        <v>0</v>
      </c>
      <c r="Y127" s="565">
        <f>$F127*VLOOKUP($B127&amp;"; "&amp;$H127,'FE Intrants'!$G:$U,14,FALSE)</f>
        <v>0</v>
      </c>
      <c r="Z127" s="567">
        <f t="shared" si="12"/>
        <v>0</v>
      </c>
      <c r="AA127" s="590">
        <f>$F127*VLOOKUP($B127&amp;"; "&amp;$H127,'FE Intrants'!$G:$U,15,FALSE)</f>
        <v>0</v>
      </c>
      <c r="AC127" s="2077">
        <f>IF($M127&lt;&gt;"votre valeur :",IF(ISNA(VLOOKUP($M127,Utilitaires!$N$566:$O$571,2,FALSE)),,VLOOKUP($M127,Utilitaires!$N$566:$O$571,2,FALSE)),$N127)</f>
        <v>0</v>
      </c>
      <c r="AD127" s="1130">
        <f>SQRT(SUMSQ(AC127,VLOOKUP(B127&amp;"; "&amp;H127,'FE Intrants'!G:U,7,FALSE)))</f>
        <v>0.5</v>
      </c>
    </row>
    <row r="128" spans="2:30" s="114" customFormat="1" ht="12.75" hidden="1" customHeight="1" outlineLevel="1">
      <c r="B128" s="143" t="s">
        <v>4696</v>
      </c>
      <c r="C128" s="144"/>
      <c r="D128" s="1215">
        <f t="shared" si="13"/>
        <v>0</v>
      </c>
      <c r="E128" s="1215"/>
      <c r="F128" s="120"/>
      <c r="G128" s="224">
        <f>VLOOKUP($B128&amp;"; "&amp;H128,'FE Intrants'!$G:$U,9,FALSE)</f>
        <v>0.311</v>
      </c>
      <c r="H128" s="1212" t="str">
        <f>VLOOKUP(B128,'FE Intrants'!F:U,5,FALSE)</f>
        <v>kgCO2e/kg</v>
      </c>
      <c r="I128" s="1216">
        <f>F128*G128</f>
        <v>0</v>
      </c>
      <c r="J128" s="116"/>
      <c r="K128" s="116"/>
      <c r="L128" s="319">
        <f t="shared" si="14"/>
        <v>0</v>
      </c>
      <c r="M128" s="1218"/>
      <c r="N128" s="820"/>
      <c r="O128" s="152">
        <f>F128*G128*AD128</f>
        <v>0</v>
      </c>
      <c r="V128" s="564">
        <f>IF($F128*VLOOKUP($B128&amp;"; "&amp;$H128,'FE Intrants'!$G:$U,10,FALSE)=0,I128,$F128*VLOOKUP($B128&amp;"; "&amp;$H128,'FE Intrants'!$G:$U,10,FALSE))</f>
        <v>0</v>
      </c>
      <c r="W128" s="565">
        <f>$F128*(VLOOKUP($B128&amp;"; "&amp;$H128,'FE Intrants'!$G:$U,11,FALSE)+VLOOKUP($B128&amp;"; "&amp;$H128,'FE Intrants'!$G:$U,12,FALSE))</f>
        <v>0</v>
      </c>
      <c r="X128" s="565">
        <f>$F128*VLOOKUP($B128&amp;"; "&amp;$H128,'FE Intrants'!$G:$U,13,FALSE)</f>
        <v>0</v>
      </c>
      <c r="Y128" s="565">
        <f>$F128*VLOOKUP($B128&amp;"; "&amp;$H128,'FE Intrants'!$G:$U,14,FALSE)</f>
        <v>0</v>
      </c>
      <c r="Z128" s="567">
        <f t="shared" si="12"/>
        <v>0</v>
      </c>
      <c r="AA128" s="590">
        <f>$F128*VLOOKUP($B128&amp;"; "&amp;$H128,'FE Intrants'!$G:$U,15,FALSE)</f>
        <v>0</v>
      </c>
      <c r="AC128" s="2077">
        <f>IF($M128&lt;&gt;"votre valeur :",IF(ISNA(VLOOKUP($M128,Utilitaires!$N$566:$O$571,2,FALSE)),,VLOOKUP($M128,Utilitaires!$N$566:$O$571,2,FALSE)),$N128)</f>
        <v>0</v>
      </c>
      <c r="AD128" s="1130">
        <f>SQRT(SUMSQ(AC128,VLOOKUP(B128&amp;"; "&amp;H128,'FE Intrants'!G:U,7,FALSE)))</f>
        <v>0.5</v>
      </c>
    </row>
    <row r="129" spans="2:30" s="114" customFormat="1" ht="12.75" hidden="1" customHeight="1" outlineLevel="1">
      <c r="B129" s="143" t="s">
        <v>4697</v>
      </c>
      <c r="C129" s="144"/>
      <c r="D129" s="1215">
        <f t="shared" si="13"/>
        <v>0</v>
      </c>
      <c r="E129" s="1215"/>
      <c r="F129" s="346"/>
      <c r="G129" s="224">
        <f>VLOOKUP($B129&amp;"; "&amp;H129,'FE Intrants'!$G:$U,9,FALSE)</f>
        <v>9.2100000000000001E-2</v>
      </c>
      <c r="H129" s="1212" t="str">
        <f>VLOOKUP(B129,'FE Intrants'!F:U,5,FALSE)</f>
        <v>kgCO2e/kg</v>
      </c>
      <c r="I129" s="1216">
        <f>F129*G129</f>
        <v>0</v>
      </c>
      <c r="J129" s="116"/>
      <c r="K129" s="116"/>
      <c r="L129" s="319">
        <f t="shared" si="14"/>
        <v>0</v>
      </c>
      <c r="M129" s="1218"/>
      <c r="N129" s="820"/>
      <c r="O129" s="152">
        <f>F129*G129*AD129</f>
        <v>0</v>
      </c>
      <c r="V129" s="564">
        <f>IF($F129*VLOOKUP($B129&amp;"; "&amp;$H129,'FE Intrants'!$G:$U,10,FALSE)=0,I129,$F129*VLOOKUP($B129&amp;"; "&amp;$H129,'FE Intrants'!$G:$U,10,FALSE))</f>
        <v>0</v>
      </c>
      <c r="W129" s="565">
        <f>$F129*(VLOOKUP($B129&amp;"; "&amp;$H129,'FE Intrants'!$G:$U,11,FALSE)+VLOOKUP($B129&amp;"; "&amp;$H129,'FE Intrants'!$G:$U,12,FALSE))</f>
        <v>0</v>
      </c>
      <c r="X129" s="565">
        <f>$F129*VLOOKUP($B129&amp;"; "&amp;$H129,'FE Intrants'!$G:$U,13,FALSE)</f>
        <v>0</v>
      </c>
      <c r="Y129" s="565">
        <f>$F129*VLOOKUP($B129&amp;"; "&amp;$H129,'FE Intrants'!$G:$U,14,FALSE)</f>
        <v>0</v>
      </c>
      <c r="Z129" s="567">
        <f t="shared" si="12"/>
        <v>0</v>
      </c>
      <c r="AA129" s="590">
        <f>$F129*VLOOKUP($B129&amp;"; "&amp;$H129,'FE Intrants'!$G:$U,15,FALSE)</f>
        <v>0</v>
      </c>
      <c r="AC129" s="2077">
        <f>IF($M129&lt;&gt;"votre valeur :",IF(ISNA(VLOOKUP($M129,Utilitaires!$N$566:$O$571,2,FALSE)),,VLOOKUP($M129,Utilitaires!$N$566:$O$571,2,FALSE)),$N129)</f>
        <v>0</v>
      </c>
      <c r="AD129" s="1130">
        <f>SQRT(SUMSQ(AC129,VLOOKUP(B129&amp;"; "&amp;H129,'FE Intrants'!G:U,7,FALSE)))</f>
        <v>0.5</v>
      </c>
    </row>
    <row r="130" spans="2:30" s="114" customFormat="1" ht="12.75" hidden="1" customHeight="1" outlineLevel="1">
      <c r="B130" s="143" t="s">
        <v>4698</v>
      </c>
      <c r="C130" s="144"/>
      <c r="D130" s="1215">
        <f t="shared" si="13"/>
        <v>0</v>
      </c>
      <c r="E130" s="1215"/>
      <c r="F130" s="346"/>
      <c r="G130" s="224">
        <f>VLOOKUP($B130&amp;"; "&amp;H130,'FE Intrants'!$G:$U,9,FALSE)</f>
        <v>5.8500000000000003E-2</v>
      </c>
      <c r="H130" s="1212" t="str">
        <f>VLOOKUP(B130,'FE Intrants'!F:U,5,FALSE)</f>
        <v>kgCO2e/kg</v>
      </c>
      <c r="I130" s="1216">
        <f>F130*G130</f>
        <v>0</v>
      </c>
      <c r="J130" s="116"/>
      <c r="K130" s="116"/>
      <c r="L130" s="319">
        <f t="shared" si="14"/>
        <v>0</v>
      </c>
      <c r="M130" s="1218"/>
      <c r="N130" s="820"/>
      <c r="O130" s="152">
        <f>F130*G130*AD130</f>
        <v>0</v>
      </c>
      <c r="V130" s="564">
        <f>IF($F130*VLOOKUP($B130&amp;"; "&amp;$H130,'FE Intrants'!$G:$U,10,FALSE)=0,I130,$F130*VLOOKUP($B130&amp;"; "&amp;$H130,'FE Intrants'!$G:$U,10,FALSE))</f>
        <v>0</v>
      </c>
      <c r="W130" s="565">
        <f>$F130*(VLOOKUP($B130&amp;"; "&amp;$H130,'FE Intrants'!$G:$U,11,FALSE)+VLOOKUP($B130&amp;"; "&amp;$H130,'FE Intrants'!$G:$U,12,FALSE))</f>
        <v>0</v>
      </c>
      <c r="X130" s="565">
        <f>$F130*VLOOKUP($B130&amp;"; "&amp;$H130,'FE Intrants'!$G:$U,13,FALSE)</f>
        <v>0</v>
      </c>
      <c r="Y130" s="565">
        <f>$F130*VLOOKUP($B130&amp;"; "&amp;$H130,'FE Intrants'!$G:$U,14,FALSE)</f>
        <v>0</v>
      </c>
      <c r="Z130" s="567">
        <f t="shared" si="12"/>
        <v>0</v>
      </c>
      <c r="AA130" s="590">
        <f>$F130*VLOOKUP($B130&amp;"; "&amp;$H130,'FE Intrants'!$G:$U,15,FALSE)</f>
        <v>0</v>
      </c>
      <c r="AC130" s="2077">
        <f>IF($M130&lt;&gt;"votre valeur :",IF(ISNA(VLOOKUP($M130,Utilitaires!$N$566:$O$571,2,FALSE)),,VLOOKUP($M130,Utilitaires!$N$566:$O$571,2,FALSE)),$N130)</f>
        <v>0</v>
      </c>
      <c r="AD130" s="1130">
        <f>SQRT(SUMSQ(AC130,VLOOKUP(B130&amp;"; "&amp;H130,'FE Intrants'!G:U,7,FALSE)))</f>
        <v>0.5</v>
      </c>
    </row>
    <row r="131" spans="2:30" s="114" customFormat="1" ht="12.75" hidden="1" customHeight="1" outlineLevel="1">
      <c r="B131" s="143" t="s">
        <v>4699</v>
      </c>
      <c r="C131" s="144"/>
      <c r="D131" s="1215">
        <f t="shared" si="13"/>
        <v>0</v>
      </c>
      <c r="E131" s="1215"/>
      <c r="F131" s="347"/>
      <c r="G131" s="224">
        <f>VLOOKUP($B131&amp;"; "&amp;H131,'FE Intrants'!$G:$U,9,FALSE)</f>
        <v>2.36</v>
      </c>
      <c r="H131" s="1213" t="str">
        <f>VLOOKUP(B131,'FE Intrants'!F:U,5,FALSE)</f>
        <v>kgCO2e/kg</v>
      </c>
      <c r="I131" s="1216">
        <f>F131*G131</f>
        <v>0</v>
      </c>
      <c r="J131" s="116"/>
      <c r="K131" s="116"/>
      <c r="L131" s="319">
        <f t="shared" si="14"/>
        <v>0</v>
      </c>
      <c r="M131" s="1218"/>
      <c r="N131" s="820"/>
      <c r="O131" s="152">
        <f>F131*G131*AD131</f>
        <v>0</v>
      </c>
      <c r="V131" s="564">
        <f>IF($F131*VLOOKUP($B131&amp;"; "&amp;$H131,'FE Intrants'!$G:$U,10,FALSE)=0,I131,$F131*VLOOKUP($B131&amp;"; "&amp;$H131,'FE Intrants'!$G:$U,10,FALSE))</f>
        <v>0</v>
      </c>
      <c r="W131" s="565">
        <f>$F131*(VLOOKUP($B131&amp;"; "&amp;$H131,'FE Intrants'!$G:$U,11,FALSE)+VLOOKUP($B131&amp;"; "&amp;$H131,'FE Intrants'!$G:$U,12,FALSE))</f>
        <v>0</v>
      </c>
      <c r="X131" s="565">
        <f>$F131*VLOOKUP($B131&amp;"; "&amp;$H131,'FE Intrants'!$G:$U,13,FALSE)</f>
        <v>0</v>
      </c>
      <c r="Y131" s="565">
        <f>$F131*VLOOKUP($B131&amp;"; "&amp;$H131,'FE Intrants'!$G:$U,14,FALSE)</f>
        <v>0</v>
      </c>
      <c r="Z131" s="567">
        <f t="shared" si="12"/>
        <v>0</v>
      </c>
      <c r="AA131" s="590">
        <f>$F131*VLOOKUP($B131&amp;"; "&amp;$H131,'FE Intrants'!$G:$U,15,FALSE)</f>
        <v>0</v>
      </c>
      <c r="AC131" s="2077">
        <f>IF($M131&lt;&gt;"votre valeur :",IF(ISNA(VLOOKUP($M131,Utilitaires!$N$566:$O$571,2,FALSE)),,VLOOKUP($M131,Utilitaires!$N$566:$O$571,2,FALSE)),$N131)</f>
        <v>0</v>
      </c>
      <c r="AD131" s="1130">
        <f>SQRT(SUMSQ(AC131,VLOOKUP(B131&amp;"; "&amp;H131,'FE Intrants'!G:U,7,FALSE)))</f>
        <v>0.5</v>
      </c>
    </row>
    <row r="132" spans="2:30" s="114" customFormat="1" ht="12.75" hidden="1" customHeight="1" outlineLevel="1">
      <c r="B132" s="143"/>
      <c r="C132" s="144"/>
      <c r="D132" s="222"/>
      <c r="E132" s="222"/>
      <c r="F132" s="144"/>
      <c r="G132" s="1214"/>
      <c r="H132" s="144"/>
      <c r="I132" s="401"/>
      <c r="J132" s="116"/>
      <c r="K132" s="116"/>
      <c r="L132" s="226"/>
      <c r="M132" s="144"/>
      <c r="N132" s="820"/>
      <c r="O132" s="152"/>
      <c r="V132" s="564"/>
      <c r="W132" s="565"/>
      <c r="X132" s="565"/>
      <c r="Y132" s="565"/>
      <c r="Z132" s="567"/>
      <c r="AA132" s="590"/>
      <c r="AC132" s="2077"/>
      <c r="AD132" s="1130"/>
    </row>
    <row r="133" spans="2:30" s="114" customFormat="1" ht="12.75" hidden="1" customHeight="1" outlineLevel="1">
      <c r="B133" s="1002" t="s">
        <v>4683</v>
      </c>
      <c r="C133" s="144"/>
      <c r="D133" s="222"/>
      <c r="E133" s="222"/>
      <c r="F133" s="144"/>
      <c r="G133" s="1214"/>
      <c r="H133" s="144"/>
      <c r="I133" s="401"/>
      <c r="J133" s="116"/>
      <c r="K133" s="116"/>
      <c r="L133" s="226"/>
      <c r="M133" s="144"/>
      <c r="N133" s="820"/>
      <c r="O133" s="152"/>
      <c r="V133" s="564"/>
      <c r="W133" s="565"/>
      <c r="X133" s="565"/>
      <c r="Y133" s="565"/>
      <c r="Z133" s="567"/>
      <c r="AA133" s="590"/>
      <c r="AC133" s="2077"/>
      <c r="AD133" s="1130"/>
    </row>
    <row r="134" spans="2:30" s="114" customFormat="1" ht="12.75" hidden="1" customHeight="1" outlineLevel="1">
      <c r="B134" s="143" t="s">
        <v>4700</v>
      </c>
      <c r="C134" s="144"/>
      <c r="D134" s="1215">
        <f t="shared" si="13"/>
        <v>0</v>
      </c>
      <c r="E134" s="1215"/>
      <c r="F134" s="117"/>
      <c r="G134" s="224">
        <f>VLOOKUP($B134&amp;"; "&amp;H134,'FE Intrants'!$G:$U,9,FALSE)</f>
        <v>0.82</v>
      </c>
      <c r="H134" s="1211" t="str">
        <f>VLOOKUP(B134,'FE Intrants'!F:U,5,FALSE)</f>
        <v>kgCO2e/kg de produit</v>
      </c>
      <c r="I134" s="1216">
        <f>F134*G134</f>
        <v>0</v>
      </c>
      <c r="J134" s="116"/>
      <c r="K134" s="116"/>
      <c r="L134" s="319">
        <f t="shared" si="14"/>
        <v>0</v>
      </c>
      <c r="M134" s="1218"/>
      <c r="N134" s="820"/>
      <c r="O134" s="152">
        <f>F134*G134*AD134</f>
        <v>0</v>
      </c>
      <c r="V134" s="564">
        <f>IF($F134*VLOOKUP($B134&amp;"; "&amp;$H134,'FE Intrants'!$G:$U,10,FALSE)=0,I134,$F134*VLOOKUP($B134&amp;"; "&amp;$H134,'FE Intrants'!$G:$U,10,FALSE))</f>
        <v>0</v>
      </c>
      <c r="W134" s="565">
        <f>$F134*(VLOOKUP($B134&amp;"; "&amp;$H134,'FE Intrants'!$G:$U,11,FALSE)+VLOOKUP($B134&amp;"; "&amp;$H134,'FE Intrants'!$G:$U,12,FALSE))</f>
        <v>0</v>
      </c>
      <c r="X134" s="565">
        <f>$F134*VLOOKUP($B134&amp;"; "&amp;$H134,'FE Intrants'!$G:$U,13,FALSE)</f>
        <v>0</v>
      </c>
      <c r="Y134" s="565">
        <f>$F134*VLOOKUP($B134&amp;"; "&amp;$H134,'FE Intrants'!$G:$U,14,FALSE)</f>
        <v>0</v>
      </c>
      <c r="Z134" s="567">
        <f t="shared" si="12"/>
        <v>0</v>
      </c>
      <c r="AA134" s="590">
        <f>$F134*VLOOKUP($B134&amp;"; "&amp;$H134,'FE Intrants'!$G:$U,15,FALSE)</f>
        <v>0</v>
      </c>
      <c r="AC134" s="2077">
        <f>IF($M134&lt;&gt;"votre valeur :",IF(ISNA(VLOOKUP($M134,Utilitaires!$N$566:$O$571,2,FALSE)),,VLOOKUP($M134,Utilitaires!$N$566:$O$571,2,FALSE)),$N134)</f>
        <v>0</v>
      </c>
      <c r="AD134" s="1130">
        <f>SQRT(SUMSQ(AC134,VLOOKUP(B134&amp;"; "&amp;H134,'FE Intrants'!G:U,7,FALSE)))</f>
        <v>0.5</v>
      </c>
    </row>
    <row r="135" spans="2:30" s="114" customFormat="1" ht="12.75" hidden="1" customHeight="1" outlineLevel="1">
      <c r="B135" s="143" t="s">
        <v>4701</v>
      </c>
      <c r="C135" s="144"/>
      <c r="D135" s="1215">
        <f t="shared" si="13"/>
        <v>0</v>
      </c>
      <c r="E135" s="1215"/>
      <c r="F135" s="346"/>
      <c r="G135" s="224">
        <f>VLOOKUP($B135&amp;"; "&amp;H135,'FE Intrants'!$G:$U,9,FALSE)</f>
        <v>0.872</v>
      </c>
      <c r="H135" s="1212" t="str">
        <f>VLOOKUP(B135,'FE Intrants'!F:U,5,FALSE)</f>
        <v>kgCO2e/kg de produit</v>
      </c>
      <c r="I135" s="1216">
        <f>F135*G135</f>
        <v>0</v>
      </c>
      <c r="J135" s="116"/>
      <c r="K135" s="116"/>
      <c r="L135" s="319">
        <f t="shared" si="14"/>
        <v>0</v>
      </c>
      <c r="M135" s="1218"/>
      <c r="N135" s="820"/>
      <c r="O135" s="152">
        <f>F135*G135*AD135</f>
        <v>0</v>
      </c>
      <c r="V135" s="564">
        <f>IF($F135*VLOOKUP($B135&amp;"; "&amp;$H135,'FE Intrants'!$G:$U,10,FALSE)=0,I135,$F135*VLOOKUP($B135&amp;"; "&amp;$H135,'FE Intrants'!$G:$U,10,FALSE))</f>
        <v>0</v>
      </c>
      <c r="W135" s="565">
        <f>$F135*(VLOOKUP($B135&amp;"; "&amp;$H135,'FE Intrants'!$G:$U,11,FALSE)+VLOOKUP($B135&amp;"; "&amp;$H135,'FE Intrants'!$G:$U,12,FALSE))</f>
        <v>0</v>
      </c>
      <c r="X135" s="565">
        <f>$F135*VLOOKUP($B135&amp;"; "&amp;$H135,'FE Intrants'!$G:$U,13,FALSE)</f>
        <v>0</v>
      </c>
      <c r="Y135" s="565">
        <f>$F135*VLOOKUP($B135&amp;"; "&amp;$H135,'FE Intrants'!$G:$U,14,FALSE)</f>
        <v>0</v>
      </c>
      <c r="Z135" s="567">
        <f t="shared" si="12"/>
        <v>0</v>
      </c>
      <c r="AA135" s="590">
        <f>$F135*VLOOKUP($B135&amp;"; "&amp;$H135,'FE Intrants'!$G:$U,15,FALSE)</f>
        <v>0</v>
      </c>
      <c r="AC135" s="2077">
        <f>IF($M135&lt;&gt;"votre valeur :",IF(ISNA(VLOOKUP($M135,Utilitaires!$N$566:$O$571,2,FALSE)),,VLOOKUP($M135,Utilitaires!$N$566:$O$571,2,FALSE)),$N135)</f>
        <v>0</v>
      </c>
      <c r="AD135" s="1130">
        <f>SQRT(SUMSQ(AC135,VLOOKUP(B135&amp;"; "&amp;H135,'FE Intrants'!G:U,7,FALSE)))</f>
        <v>0.5</v>
      </c>
    </row>
    <row r="136" spans="2:30" s="114" customFormat="1" ht="12.75" hidden="1" customHeight="1" outlineLevel="1">
      <c r="B136" s="143" t="s">
        <v>4702</v>
      </c>
      <c r="C136" s="144"/>
      <c r="D136" s="1215">
        <f>I136</f>
        <v>0</v>
      </c>
      <c r="E136" s="1215"/>
      <c r="F136" s="346"/>
      <c r="G136" s="224">
        <f>VLOOKUP($B136&amp;"; "&amp;H136,'FE Intrants'!$G:$U,9,FALSE)</f>
        <v>0.56000000000000005</v>
      </c>
      <c r="H136" s="1212" t="str">
        <f>VLOOKUP(B136,'FE Intrants'!F:U,5,FALSE)</f>
        <v>kgCO2e/kg de produit</v>
      </c>
      <c r="I136" s="1216">
        <f>F136*G136</f>
        <v>0</v>
      </c>
      <c r="J136" s="116"/>
      <c r="K136" s="116"/>
      <c r="L136" s="319">
        <f t="shared" si="14"/>
        <v>0</v>
      </c>
      <c r="M136" s="1218"/>
      <c r="N136" s="820"/>
      <c r="O136" s="152">
        <f>F136*G136*AD136</f>
        <v>0</v>
      </c>
      <c r="V136" s="564">
        <f>IF($F136*VLOOKUP($B136&amp;"; "&amp;$H136,'FE Intrants'!$G:$U,10,FALSE)=0,I136,$F136*VLOOKUP($B136&amp;"; "&amp;$H136,'FE Intrants'!$G:$U,10,FALSE))</f>
        <v>0</v>
      </c>
      <c r="W136" s="565">
        <f>$F136*(VLOOKUP($B136&amp;"; "&amp;$H136,'FE Intrants'!$G:$U,11,FALSE)+VLOOKUP($B136&amp;"; "&amp;$H136,'FE Intrants'!$G:$U,12,FALSE))</f>
        <v>0</v>
      </c>
      <c r="X136" s="565">
        <f>$F136*VLOOKUP($B136&amp;"; "&amp;$H136,'FE Intrants'!$G:$U,13,FALSE)</f>
        <v>0</v>
      </c>
      <c r="Y136" s="565">
        <f>$F136*VLOOKUP($B136&amp;"; "&amp;$H136,'FE Intrants'!$G:$U,14,FALSE)</f>
        <v>0</v>
      </c>
      <c r="Z136" s="567">
        <f t="shared" si="12"/>
        <v>0</v>
      </c>
      <c r="AA136" s="590">
        <f>$F136*VLOOKUP($B136&amp;"; "&amp;$H136,'FE Intrants'!$G:$U,15,FALSE)</f>
        <v>0</v>
      </c>
      <c r="AC136" s="2077">
        <f>IF($M136&lt;&gt;"votre valeur :",IF(ISNA(VLOOKUP($M136,Utilitaires!$N$566:$O$571,2,FALSE)),,VLOOKUP($M136,Utilitaires!$N$566:$O$571,2,FALSE)),$N136)</f>
        <v>0</v>
      </c>
      <c r="AD136" s="1130">
        <f>SQRT(SUMSQ(AC136,VLOOKUP(B136&amp;"; "&amp;H136,'FE Intrants'!G:U,7,FALSE)))</f>
        <v>0.5</v>
      </c>
    </row>
    <row r="137" spans="2:30" s="114" customFormat="1" ht="12.75" hidden="1" customHeight="1" outlineLevel="1">
      <c r="B137" s="143" t="s">
        <v>4703</v>
      </c>
      <c r="C137" s="144"/>
      <c r="D137" s="1215">
        <f>I137</f>
        <v>0</v>
      </c>
      <c r="E137" s="1215"/>
      <c r="F137" s="346"/>
      <c r="G137" s="224">
        <f>VLOOKUP($B137&amp;"; "&amp;H137,'FE Intrants'!$G:$U,9,FALSE)</f>
        <v>0.68899999999999995</v>
      </c>
      <c r="H137" s="1212" t="str">
        <f>VLOOKUP(B137,'FE Intrants'!F:U,5,FALSE)</f>
        <v>kgCO2e/kg de produit</v>
      </c>
      <c r="I137" s="1216">
        <f>F137*G137</f>
        <v>0</v>
      </c>
      <c r="J137" s="116"/>
      <c r="K137" s="116"/>
      <c r="L137" s="319">
        <f t="shared" si="14"/>
        <v>0</v>
      </c>
      <c r="M137" s="1218"/>
      <c r="N137" s="820"/>
      <c r="O137" s="152">
        <f>F137*G137*AD137</f>
        <v>0</v>
      </c>
      <c r="V137" s="564">
        <f>IF($F137*VLOOKUP($B137&amp;"; "&amp;$H137,'FE Intrants'!$G:$U,10,FALSE)=0,I137,$F137*VLOOKUP($B137&amp;"; "&amp;$H137,'FE Intrants'!$G:$U,10,FALSE))</f>
        <v>0</v>
      </c>
      <c r="W137" s="565">
        <f>$F137*(VLOOKUP($B137&amp;"; "&amp;$H137,'FE Intrants'!$G:$U,11,FALSE)+VLOOKUP($B137&amp;"; "&amp;$H137,'FE Intrants'!$G:$U,12,FALSE))</f>
        <v>0</v>
      </c>
      <c r="X137" s="565">
        <f>$F137*VLOOKUP($B137&amp;"; "&amp;$H137,'FE Intrants'!$G:$U,13,FALSE)</f>
        <v>0</v>
      </c>
      <c r="Y137" s="565">
        <f>$F137*VLOOKUP($B137&amp;"; "&amp;$H137,'FE Intrants'!$G:$U,14,FALSE)</f>
        <v>0</v>
      </c>
      <c r="Z137" s="567">
        <f t="shared" si="12"/>
        <v>0</v>
      </c>
      <c r="AA137" s="590">
        <f>$F137*VLOOKUP($B137&amp;"; "&amp;$H137,'FE Intrants'!$G:$U,15,FALSE)</f>
        <v>0</v>
      </c>
      <c r="AC137" s="2077">
        <f>IF($M137&lt;&gt;"votre valeur :",IF(ISNA(VLOOKUP($M137,Utilitaires!$N$566:$O$571,2,FALSE)),,VLOOKUP($M137,Utilitaires!$N$566:$O$571,2,FALSE)),$N137)</f>
        <v>0</v>
      </c>
      <c r="AD137" s="1130">
        <f>SQRT(SUMSQ(AC137,VLOOKUP(B137&amp;"; "&amp;H137,'FE Intrants'!G:U,7,FALSE)))</f>
        <v>0.5</v>
      </c>
    </row>
    <row r="138" spans="2:30" s="114" customFormat="1" ht="12.75" hidden="1" customHeight="1" outlineLevel="1">
      <c r="B138" s="143" t="s">
        <v>4704</v>
      </c>
      <c r="C138" s="144"/>
      <c r="D138" s="1215">
        <f>I138</f>
        <v>0</v>
      </c>
      <c r="E138" s="1215"/>
      <c r="F138" s="347"/>
      <c r="G138" s="224">
        <f>VLOOKUP($B138&amp;"; "&amp;H138,'FE Intrants'!$G:$U,9,FALSE)</f>
        <v>1.27</v>
      </c>
      <c r="H138" s="1213" t="str">
        <f>VLOOKUP(B138,'FE Intrants'!F:U,5,FALSE)</f>
        <v>kgCO2e/kg de produit</v>
      </c>
      <c r="I138" s="1216">
        <f>F138*G138</f>
        <v>0</v>
      </c>
      <c r="J138" s="116"/>
      <c r="K138" s="116"/>
      <c r="L138" s="319">
        <f t="shared" si="14"/>
        <v>0</v>
      </c>
      <c r="M138" s="1218"/>
      <c r="N138" s="820"/>
      <c r="O138" s="152">
        <f>F138*G138*AD138</f>
        <v>0</v>
      </c>
      <c r="V138" s="564">
        <f>IF($F138*VLOOKUP($B138&amp;"; "&amp;$H138,'FE Intrants'!$G:$U,10,FALSE)=0,I138,$F138*VLOOKUP($B138&amp;"; "&amp;$H138,'FE Intrants'!$G:$U,10,FALSE))</f>
        <v>0</v>
      </c>
      <c r="W138" s="565">
        <f>$F138*(VLOOKUP($B138&amp;"; "&amp;$H138,'FE Intrants'!$G:$U,11,FALSE)+VLOOKUP($B138&amp;"; "&amp;$H138,'FE Intrants'!$G:$U,12,FALSE))</f>
        <v>0</v>
      </c>
      <c r="X138" s="565">
        <f>$F138*VLOOKUP($B138&amp;"; "&amp;$H138,'FE Intrants'!$G:$U,13,FALSE)</f>
        <v>0</v>
      </c>
      <c r="Y138" s="565">
        <f>$F138*VLOOKUP($B138&amp;"; "&amp;$H138,'FE Intrants'!$G:$U,14,FALSE)</f>
        <v>0</v>
      </c>
      <c r="Z138" s="567">
        <f t="shared" si="12"/>
        <v>0</v>
      </c>
      <c r="AA138" s="590">
        <f>$F138*VLOOKUP($B138&amp;"; "&amp;$H138,'FE Intrants'!$G:$U,15,FALSE)</f>
        <v>0</v>
      </c>
      <c r="AC138" s="2077">
        <f>IF($M138&lt;&gt;"votre valeur :",IF(ISNA(VLOOKUP($M138,Utilitaires!$N$566:$O$571,2,FALSE)),,VLOOKUP($M138,Utilitaires!$N$566:$O$571,2,FALSE)),$N138)</f>
        <v>0</v>
      </c>
      <c r="AD138" s="1130">
        <f>SQRT(SUMSQ(AC138,VLOOKUP(B138&amp;"; "&amp;H138,'FE Intrants'!G:U,7,FALSE)))</f>
        <v>0.5</v>
      </c>
    </row>
    <row r="139" spans="2:30" s="114" customFormat="1" ht="12.75" hidden="1" customHeight="1" outlineLevel="1">
      <c r="B139" s="143"/>
      <c r="C139" s="144"/>
      <c r="D139" s="222"/>
      <c r="E139" s="222"/>
      <c r="F139" s="144"/>
      <c r="G139" s="1214"/>
      <c r="H139" s="144"/>
      <c r="I139" s="401"/>
      <c r="J139" s="116"/>
      <c r="K139" s="116"/>
      <c r="L139" s="226"/>
      <c r="M139" s="144"/>
      <c r="N139" s="820"/>
      <c r="O139" s="152"/>
      <c r="V139" s="564"/>
      <c r="W139" s="565"/>
      <c r="X139" s="565"/>
      <c r="Y139" s="565"/>
      <c r="Z139" s="567"/>
      <c r="AA139" s="590"/>
      <c r="AC139" s="2077"/>
      <c r="AD139" s="1130"/>
    </row>
    <row r="140" spans="2:30" s="114" customFormat="1" ht="12.75" hidden="1" customHeight="1" outlineLevel="1">
      <c r="B140" s="1002" t="s">
        <v>4725</v>
      </c>
      <c r="C140" s="144"/>
      <c r="D140" s="222"/>
      <c r="E140" s="222"/>
      <c r="F140" s="144"/>
      <c r="G140" s="1214"/>
      <c r="H140" s="144"/>
      <c r="I140" s="401"/>
      <c r="J140" s="116"/>
      <c r="K140" s="116"/>
      <c r="L140" s="226"/>
      <c r="M140" s="144"/>
      <c r="N140" s="820"/>
      <c r="O140" s="152"/>
      <c r="V140" s="564"/>
      <c r="W140" s="565"/>
      <c r="X140" s="565"/>
      <c r="Y140" s="565"/>
      <c r="Z140" s="567"/>
      <c r="AA140" s="590"/>
      <c r="AC140" s="2077"/>
      <c r="AD140" s="1130"/>
    </row>
    <row r="141" spans="2:30" s="114" customFormat="1" ht="12.75" hidden="1" customHeight="1" outlineLevel="1">
      <c r="B141" s="143" t="s">
        <v>4717</v>
      </c>
      <c r="C141" s="144"/>
      <c r="D141" s="1215">
        <f>I141</f>
        <v>0</v>
      </c>
      <c r="E141" s="1215"/>
      <c r="F141" s="117"/>
      <c r="G141" s="224">
        <f>VLOOKUP($B141&amp;"; "&amp;H141,'FE Intrants'!$G:$U,9,FALSE)</f>
        <v>4.05</v>
      </c>
      <c r="H141" s="1211" t="str">
        <f>VLOOKUP(B141,'FE Intrants'!F:U,5,FALSE)</f>
        <v>kgCO2e/kg de produit</v>
      </c>
      <c r="I141" s="1216">
        <f>F141*G141</f>
        <v>0</v>
      </c>
      <c r="J141" s="116"/>
      <c r="K141" s="116"/>
      <c r="L141" s="319">
        <f>IF(O141=0,O141,O141/I141)</f>
        <v>0</v>
      </c>
      <c r="M141" s="1218"/>
      <c r="N141" s="820"/>
      <c r="O141" s="152">
        <f>F141*G141*AD141</f>
        <v>0</v>
      </c>
      <c r="V141" s="564">
        <f>IF($F141*VLOOKUP($B141&amp;"; "&amp;$H141,'FE Intrants'!$G:$U,10,FALSE)=0,I141,$F141*VLOOKUP($B141&amp;"; "&amp;$H141,'FE Intrants'!$G:$U,10,FALSE))</f>
        <v>0</v>
      </c>
      <c r="W141" s="565">
        <f>$F141*(VLOOKUP($B141&amp;"; "&amp;$H141,'FE Intrants'!$G:$U,11,FALSE)+VLOOKUP($B141&amp;"; "&amp;$H141,'FE Intrants'!$G:$U,12,FALSE))</f>
        <v>0</v>
      </c>
      <c r="X141" s="565">
        <f>$F141*VLOOKUP($B141&amp;"; "&amp;$H141,'FE Intrants'!$G:$U,13,FALSE)</f>
        <v>0</v>
      </c>
      <c r="Y141" s="565">
        <f>$F141*VLOOKUP($B141&amp;"; "&amp;$H141,'FE Intrants'!$G:$U,14,FALSE)</f>
        <v>0</v>
      </c>
      <c r="Z141" s="567">
        <f>SUM(V141:Y141)</f>
        <v>0</v>
      </c>
      <c r="AA141" s="590">
        <f>$F141*VLOOKUP($B141&amp;"; "&amp;$H141,'FE Intrants'!$G:$U,15,FALSE)</f>
        <v>0</v>
      </c>
      <c r="AC141" s="2077">
        <f>IF($M141&lt;&gt;"votre valeur :",IF(ISNA(VLOOKUP($M141,Utilitaires!$N$566:$O$571,2,FALSE)),,VLOOKUP($M141,Utilitaires!$N$566:$O$571,2,FALSE)),$N141)</f>
        <v>0</v>
      </c>
      <c r="AD141" s="1130">
        <f>SQRT(SUMSQ(AC141,VLOOKUP(B141&amp;"; "&amp;H141,'FE Intrants'!G:U,7,FALSE)))</f>
        <v>0.5</v>
      </c>
    </row>
    <row r="142" spans="2:30" s="114" customFormat="1" ht="12.75" hidden="1" customHeight="1" outlineLevel="1">
      <c r="B142" s="143" t="s">
        <v>4718</v>
      </c>
      <c r="C142" s="144"/>
      <c r="D142" s="1215">
        <f>I142</f>
        <v>0</v>
      </c>
      <c r="E142" s="1215"/>
      <c r="F142" s="346"/>
      <c r="G142" s="224">
        <f>VLOOKUP($B142&amp;"; "&amp;H142,'FE Intrants'!$G:$U,9,FALSE)</f>
        <v>16.399999999999999</v>
      </c>
      <c r="H142" s="1212" t="str">
        <f>VLOOKUP(B142,'FE Intrants'!F:U,5,FALSE)</f>
        <v>kgCO2e/kg de produit</v>
      </c>
      <c r="I142" s="1216">
        <f>F142*G142</f>
        <v>0</v>
      </c>
      <c r="J142" s="116"/>
      <c r="K142" s="116"/>
      <c r="L142" s="319">
        <f>IF(O142=0,O142,O142/I142)</f>
        <v>0</v>
      </c>
      <c r="M142" s="1218"/>
      <c r="N142" s="820"/>
      <c r="O142" s="152">
        <f>F142*G142*AD142</f>
        <v>0</v>
      </c>
      <c r="V142" s="564">
        <f>IF($F142*VLOOKUP($B142&amp;"; "&amp;$H142,'FE Intrants'!$G:$U,10,FALSE)=0,I142,$F142*VLOOKUP($B142&amp;"; "&amp;$H142,'FE Intrants'!$G:$U,10,FALSE))</f>
        <v>0</v>
      </c>
      <c r="W142" s="565">
        <f>$F142*(VLOOKUP($B142&amp;"; "&amp;$H142,'FE Intrants'!$G:$U,11,FALSE)+VLOOKUP($B142&amp;"; "&amp;$H142,'FE Intrants'!$G:$U,12,FALSE))</f>
        <v>0</v>
      </c>
      <c r="X142" s="565">
        <f>$F142*VLOOKUP($B142&amp;"; "&amp;$H142,'FE Intrants'!$G:$U,13,FALSE)</f>
        <v>0</v>
      </c>
      <c r="Y142" s="565">
        <f>$F142*VLOOKUP($B142&amp;"; "&amp;$H142,'FE Intrants'!$G:$U,14,FALSE)</f>
        <v>0</v>
      </c>
      <c r="Z142" s="567">
        <f>SUM(V142:Y142)</f>
        <v>0</v>
      </c>
      <c r="AA142" s="590">
        <f>$F142*VLOOKUP($B142&amp;"; "&amp;$H142,'FE Intrants'!$G:$U,15,FALSE)</f>
        <v>0</v>
      </c>
      <c r="AC142" s="2077">
        <f>IF($M142&lt;&gt;"votre valeur :",IF(ISNA(VLOOKUP($M142,Utilitaires!$N$566:$O$571,2,FALSE)),,VLOOKUP($M142,Utilitaires!$N$566:$O$571,2,FALSE)),$N142)</f>
        <v>0</v>
      </c>
      <c r="AD142" s="1130">
        <f>SQRT(SUMSQ(AC142,VLOOKUP(B142&amp;"; "&amp;H142,'FE Intrants'!G:U,7,FALSE)))</f>
        <v>0.5</v>
      </c>
    </row>
    <row r="143" spans="2:30" s="114" customFormat="1" ht="12.75" hidden="1" customHeight="1" outlineLevel="1">
      <c r="B143" s="143" t="s">
        <v>2214</v>
      </c>
      <c r="C143" s="144"/>
      <c r="D143" s="1215">
        <f>I143</f>
        <v>0</v>
      </c>
      <c r="E143" s="1215"/>
      <c r="F143" s="346"/>
      <c r="G143" s="224">
        <f>VLOOKUP($B143&amp;"; "&amp;H143,'FE Intrants'!$G:$U,9,FALSE)</f>
        <v>22.4</v>
      </c>
      <c r="H143" s="1212" t="str">
        <f>VLOOKUP(B143,'FE Intrants'!F:U,5,FALSE)</f>
        <v>kgCO2e/kg de produit</v>
      </c>
      <c r="I143" s="1216">
        <f>F143*G143</f>
        <v>0</v>
      </c>
      <c r="J143" s="116"/>
      <c r="K143" s="116"/>
      <c r="L143" s="319">
        <f>IF(O143=0,O143,O143/I143)</f>
        <v>0</v>
      </c>
      <c r="M143" s="1218"/>
      <c r="N143" s="820"/>
      <c r="O143" s="152">
        <f>F143*G143*AD143</f>
        <v>0</v>
      </c>
      <c r="V143" s="564">
        <f>IF($F143*VLOOKUP($B143&amp;"; "&amp;$H143,'FE Intrants'!$G:$U,10,FALSE)=0,I143,$F143*VLOOKUP($B143&amp;"; "&amp;$H143,'FE Intrants'!$G:$U,10,FALSE))</f>
        <v>0</v>
      </c>
      <c r="W143" s="565">
        <f>$F143*(VLOOKUP($B143&amp;"; "&amp;$H143,'FE Intrants'!$G:$U,11,FALSE)+VLOOKUP($B143&amp;"; "&amp;$H143,'FE Intrants'!$G:$U,12,FALSE))</f>
        <v>0</v>
      </c>
      <c r="X143" s="565">
        <f>$F143*VLOOKUP($B143&amp;"; "&amp;$H143,'FE Intrants'!$G:$U,13,FALSE)</f>
        <v>0</v>
      </c>
      <c r="Y143" s="565">
        <f>$F143*VLOOKUP($B143&amp;"; "&amp;$H143,'FE Intrants'!$G:$U,14,FALSE)</f>
        <v>0</v>
      </c>
      <c r="Z143" s="567">
        <f>SUM(V143:Y143)</f>
        <v>0</v>
      </c>
      <c r="AA143" s="590">
        <f>$F143*VLOOKUP($B143&amp;"; "&amp;$H143,'FE Intrants'!$G:$U,15,FALSE)</f>
        <v>0</v>
      </c>
      <c r="AC143" s="2077">
        <f>IF($M143&lt;&gt;"votre valeur :",IF(ISNA(VLOOKUP($M143,Utilitaires!$N$566:$O$571,2,FALSE)),,VLOOKUP($M143,Utilitaires!$N$566:$O$571,2,FALSE)),$N143)</f>
        <v>0</v>
      </c>
      <c r="AD143" s="1130">
        <f>SQRT(SUMSQ(AC143,VLOOKUP(B143&amp;"; "&amp;H143,'FE Intrants'!G:U,7,FALSE)))</f>
        <v>0.5</v>
      </c>
    </row>
    <row r="144" spans="2:30" s="114" customFormat="1" ht="12.75" hidden="1" customHeight="1" outlineLevel="1">
      <c r="B144" s="143" t="s">
        <v>4719</v>
      </c>
      <c r="C144" s="144"/>
      <c r="D144" s="1215">
        <f>I144</f>
        <v>0</v>
      </c>
      <c r="E144" s="1215"/>
      <c r="F144" s="346"/>
      <c r="G144" s="224">
        <f>VLOOKUP($B144&amp;"; "&amp;H144,'FE Intrants'!$G:$U,9,FALSE)</f>
        <v>1.94</v>
      </c>
      <c r="H144" s="1212" t="str">
        <f>VLOOKUP(B144,'FE Intrants'!F:U,5,FALSE)</f>
        <v>kgCO2e/kg de produit</v>
      </c>
      <c r="I144" s="1216">
        <f>F144*G144</f>
        <v>0</v>
      </c>
      <c r="J144" s="116"/>
      <c r="K144" s="116"/>
      <c r="L144" s="319">
        <f>IF(O144=0,O144,O144/I144)</f>
        <v>0</v>
      </c>
      <c r="M144" s="1218"/>
      <c r="N144" s="820"/>
      <c r="O144" s="152">
        <f>F144*G144*AD144</f>
        <v>0</v>
      </c>
      <c r="V144" s="564">
        <f>IF($F144*VLOOKUP($B144&amp;"; "&amp;$H144,'FE Intrants'!$G:$U,10,FALSE)=0,I144,$F144*VLOOKUP($B144&amp;"; "&amp;$H144,'FE Intrants'!$G:$U,10,FALSE))</f>
        <v>0</v>
      </c>
      <c r="W144" s="565">
        <f>$F144*(VLOOKUP($B144&amp;"; "&amp;$H144,'FE Intrants'!$G:$U,11,FALSE)+VLOOKUP($B144&amp;"; "&amp;$H144,'FE Intrants'!$G:$U,12,FALSE))</f>
        <v>0</v>
      </c>
      <c r="X144" s="565">
        <f>$F144*VLOOKUP($B144&amp;"; "&amp;$H144,'FE Intrants'!$G:$U,13,FALSE)</f>
        <v>0</v>
      </c>
      <c r="Y144" s="565">
        <f>$F144*VLOOKUP($B144&amp;"; "&amp;$H144,'FE Intrants'!$G:$U,14,FALSE)</f>
        <v>0</v>
      </c>
      <c r="Z144" s="567">
        <f>SUM(V144:Y144)</f>
        <v>0</v>
      </c>
      <c r="AA144" s="590">
        <f>$F144*VLOOKUP($B144&amp;"; "&amp;$H144,'FE Intrants'!$G:$U,15,FALSE)</f>
        <v>0</v>
      </c>
      <c r="AC144" s="2077">
        <f>IF($M144&lt;&gt;"votre valeur :",IF(ISNA(VLOOKUP($M144,Utilitaires!$N$566:$O$571,2,FALSE)),,VLOOKUP($M144,Utilitaires!$N$566:$O$571,2,FALSE)),$N144)</f>
        <v>0</v>
      </c>
      <c r="AD144" s="1130">
        <f>SQRT(SUMSQ(AC144,VLOOKUP(B144&amp;"; "&amp;H144,'FE Intrants'!G:U,7,FALSE)))</f>
        <v>0.5</v>
      </c>
    </row>
    <row r="145" spans="2:30" s="114" customFormat="1" ht="12.75" hidden="1" customHeight="1" outlineLevel="1">
      <c r="B145" s="143" t="s">
        <v>4720</v>
      </c>
      <c r="C145" s="144"/>
      <c r="D145" s="1215">
        <f>I145</f>
        <v>0</v>
      </c>
      <c r="E145" s="1215"/>
      <c r="F145" s="347"/>
      <c r="G145" s="224">
        <f>VLOOKUP($B145&amp;"; "&amp;H145,'FE Intrants'!$G:$U,9,FALSE)</f>
        <v>2.8123654</v>
      </c>
      <c r="H145" s="1213" t="str">
        <f>VLOOKUP(B145,'FE Intrants'!F:U,5,FALSE)</f>
        <v>kgCO2e/kg de produit</v>
      </c>
      <c r="I145" s="1216">
        <f>F145*G145</f>
        <v>0</v>
      </c>
      <c r="J145" s="116"/>
      <c r="K145" s="116"/>
      <c r="L145" s="319">
        <f>IF(O145=0,O145,O145/I145)</f>
        <v>0</v>
      </c>
      <c r="M145" s="1218"/>
      <c r="N145" s="820"/>
      <c r="O145" s="152">
        <f>F145*G145*AD145</f>
        <v>0</v>
      </c>
      <c r="V145" s="564">
        <f>IF($F145*VLOOKUP($B145&amp;"; "&amp;$H145,'FE Intrants'!$G:$U,10,FALSE)=0,I145,$F145*VLOOKUP($B145&amp;"; "&amp;$H145,'FE Intrants'!$G:$U,10,FALSE))</f>
        <v>0</v>
      </c>
      <c r="W145" s="565">
        <f>$F145*(VLOOKUP($B145&amp;"; "&amp;$H145,'FE Intrants'!$G:$U,11,FALSE)+VLOOKUP($B145&amp;"; "&amp;$H145,'FE Intrants'!$G:$U,12,FALSE))</f>
        <v>0</v>
      </c>
      <c r="X145" s="565">
        <f>$F145*VLOOKUP($B145&amp;"; "&amp;$H145,'FE Intrants'!$G:$U,13,FALSE)</f>
        <v>0</v>
      </c>
      <c r="Y145" s="565">
        <f>$F145*VLOOKUP($B145&amp;"; "&amp;$H145,'FE Intrants'!$G:$U,14,FALSE)</f>
        <v>0</v>
      </c>
      <c r="Z145" s="567">
        <f>SUM(V145:Y145)</f>
        <v>0</v>
      </c>
      <c r="AA145" s="590">
        <f>$F145*VLOOKUP($B145&amp;"; "&amp;$H145,'FE Intrants'!$G:$U,15,FALSE)</f>
        <v>0</v>
      </c>
      <c r="AC145" s="2077">
        <f>IF($M145&lt;&gt;"votre valeur :",IF(ISNA(VLOOKUP($M145,Utilitaires!$N$566:$O$571,2,FALSE)),,VLOOKUP($M145,Utilitaires!$N$566:$O$571,2,FALSE)),$N145)</f>
        <v>0</v>
      </c>
      <c r="AD145" s="1130">
        <f>SQRT(SUMSQ(AC145,VLOOKUP(B145&amp;"; "&amp;H145,'FE Intrants'!G:U,7,FALSE)))</f>
        <v>0.5</v>
      </c>
    </row>
    <row r="146" spans="2:30" s="114" customFormat="1" ht="12.75" hidden="1" customHeight="1" outlineLevel="1">
      <c r="B146" s="143"/>
      <c r="C146" s="144"/>
      <c r="D146" s="222"/>
      <c r="E146" s="222"/>
      <c r="F146" s="144"/>
      <c r="G146" s="1214"/>
      <c r="H146" s="144"/>
      <c r="I146" s="401"/>
      <c r="J146" s="116"/>
      <c r="K146" s="116"/>
      <c r="L146" s="226"/>
      <c r="M146" s="144"/>
      <c r="N146" s="820"/>
      <c r="O146" s="152"/>
      <c r="V146" s="564"/>
      <c r="W146" s="565"/>
      <c r="X146" s="565"/>
      <c r="Y146" s="565"/>
      <c r="Z146" s="567"/>
      <c r="AA146" s="590"/>
      <c r="AC146" s="2077"/>
      <c r="AD146" s="1130"/>
    </row>
    <row r="147" spans="2:30" s="114" customFormat="1" ht="12.75" hidden="1" customHeight="1" outlineLevel="1">
      <c r="B147" s="1002" t="s">
        <v>4684</v>
      </c>
      <c r="C147" s="144"/>
      <c r="D147" s="222"/>
      <c r="E147" s="222"/>
      <c r="F147" s="144"/>
      <c r="G147" s="1214"/>
      <c r="H147" s="144"/>
      <c r="I147" s="401"/>
      <c r="J147" s="116"/>
      <c r="K147" s="116"/>
      <c r="L147" s="226"/>
      <c r="M147" s="144"/>
      <c r="N147" s="820"/>
      <c r="O147" s="152"/>
      <c r="V147" s="564"/>
      <c r="W147" s="565"/>
      <c r="X147" s="565"/>
      <c r="Y147" s="565"/>
      <c r="Z147" s="567"/>
      <c r="AA147" s="590"/>
      <c r="AC147" s="2411"/>
      <c r="AD147" s="1130"/>
    </row>
    <row r="148" spans="2:30" s="114" customFormat="1" ht="12.75" hidden="1" customHeight="1" outlineLevel="1">
      <c r="B148" s="143" t="s">
        <v>4705</v>
      </c>
      <c r="C148" s="144"/>
      <c r="D148" s="1215">
        <f>I148</f>
        <v>0</v>
      </c>
      <c r="E148" s="1215"/>
      <c r="F148" s="117"/>
      <c r="G148" s="224">
        <f>VLOOKUP($B148&amp;"; "&amp;H148,'FE Intrants'!$G:$U,9,FALSE)</f>
        <v>1.22</v>
      </c>
      <c r="H148" s="1211" t="str">
        <f>VLOOKUP(B148,'FE Intrants'!F$1396:U$1553,5,FALSE)</f>
        <v>kgCO2e/kg de produit</v>
      </c>
      <c r="I148" s="1216">
        <f>F148*G148</f>
        <v>0</v>
      </c>
      <c r="J148" s="116"/>
      <c r="K148" s="116"/>
      <c r="L148" s="319">
        <f>IF(O148=0,O148,O148/I148)</f>
        <v>0</v>
      </c>
      <c r="M148" s="1218"/>
      <c r="N148" s="820"/>
      <c r="O148" s="152">
        <f>F148*G148*AD148</f>
        <v>0</v>
      </c>
      <c r="V148" s="564">
        <f>IF($F148*VLOOKUP($B148&amp;"; "&amp;$H148,'FE Intrants'!$G:$U,10,FALSE)=0,I148,$F148*VLOOKUP($B148&amp;"; "&amp;$H148,'FE Intrants'!$G:$U,10,FALSE))</f>
        <v>0</v>
      </c>
      <c r="W148" s="565">
        <f>$F148*(VLOOKUP($B148&amp;"; "&amp;$H148,'FE Intrants'!$G:$U,11,FALSE)+VLOOKUP($B148&amp;"; "&amp;$H148,'FE Intrants'!$G:$U,12,FALSE))</f>
        <v>0</v>
      </c>
      <c r="X148" s="565">
        <f>$F148*VLOOKUP($B148&amp;"; "&amp;$H148,'FE Intrants'!$G:$U,13,FALSE)</f>
        <v>0</v>
      </c>
      <c r="Y148" s="565">
        <f>$F148*VLOOKUP($B148&amp;"; "&amp;$H148,'FE Intrants'!$G:$U,14,FALSE)</f>
        <v>0</v>
      </c>
      <c r="Z148" s="567">
        <f>SUM(V148:Y148)</f>
        <v>0</v>
      </c>
      <c r="AA148" s="590">
        <f>$F148*VLOOKUP($B148&amp;"; "&amp;$H148,'FE Intrants'!$G:$U,15,FALSE)</f>
        <v>0</v>
      </c>
      <c r="AC148" s="2411">
        <f>IF($M148&lt;&gt;"votre valeur :",IF(ISNA(VLOOKUP($M148,Utilitaires!$N$566:$O$571,2,FALSE)),,VLOOKUP($M148,Utilitaires!$N$566:$O$571,2,FALSE)),$N148)</f>
        <v>0</v>
      </c>
      <c r="AD148" s="1130">
        <f>SQRT(SUMSQ(AC148,VLOOKUP(B148&amp;"; "&amp;H148,'FE Intrants'!G:U,7,FALSE)))</f>
        <v>0.5</v>
      </c>
    </row>
    <row r="149" spans="2:30" s="114" customFormat="1" ht="12.75" hidden="1" customHeight="1" outlineLevel="1">
      <c r="B149" s="143" t="s">
        <v>4706</v>
      </c>
      <c r="C149" s="144"/>
      <c r="D149" s="1215">
        <f>I149</f>
        <v>0</v>
      </c>
      <c r="E149" s="1215"/>
      <c r="F149" s="346"/>
      <c r="G149" s="224">
        <f>VLOOKUP($B149&amp;"; "&amp;H149,'FE Intrants'!$G:$U,9,FALSE)</f>
        <v>1.37</v>
      </c>
      <c r="H149" s="1212" t="str">
        <f>VLOOKUP(B149,'FE Intrants'!F$1396:U$1553,5,FALSE)</f>
        <v>kgCO2e/kg de produit</v>
      </c>
      <c r="I149" s="1216">
        <f>F149*G149</f>
        <v>0</v>
      </c>
      <c r="J149" s="116"/>
      <c r="K149" s="116"/>
      <c r="L149" s="319">
        <f>IF(O149=0,O149,O149/I149)</f>
        <v>0</v>
      </c>
      <c r="M149" s="1218"/>
      <c r="N149" s="820"/>
      <c r="O149" s="152">
        <f>F149*G149*AD149</f>
        <v>0</v>
      </c>
      <c r="V149" s="564">
        <f>IF($F149*VLOOKUP($B149&amp;"; "&amp;$H149,'FE Intrants'!$G:$U,10,FALSE)=0,I149,$F149*VLOOKUP($B149&amp;"; "&amp;$H149,'FE Intrants'!$G:$U,10,FALSE))</f>
        <v>0</v>
      </c>
      <c r="W149" s="565">
        <f>$F149*(VLOOKUP($B149&amp;"; "&amp;$H149,'FE Intrants'!$G:$U,11,FALSE)+VLOOKUP($B149&amp;"; "&amp;$H149,'FE Intrants'!$G:$U,12,FALSE))</f>
        <v>0</v>
      </c>
      <c r="X149" s="565">
        <f>$F149*VLOOKUP($B149&amp;"; "&amp;$H149,'FE Intrants'!$G:$U,13,FALSE)</f>
        <v>0</v>
      </c>
      <c r="Y149" s="565">
        <f>$F149*VLOOKUP($B149&amp;"; "&amp;$H149,'FE Intrants'!$G:$U,14,FALSE)</f>
        <v>0</v>
      </c>
      <c r="Z149" s="567">
        <f>SUM(V149:Y149)</f>
        <v>0</v>
      </c>
      <c r="AA149" s="590">
        <f>$F149*VLOOKUP($B149&amp;"; "&amp;$H149,'FE Intrants'!$G:$U,15,FALSE)</f>
        <v>0</v>
      </c>
      <c r="AC149" s="2411">
        <f>IF($M149&lt;&gt;"votre valeur :",IF(ISNA(VLOOKUP($M149,Utilitaires!$N$566:$O$571,2,FALSE)),,VLOOKUP($M149,Utilitaires!$N$566:$O$571,2,FALSE)),$N149)</f>
        <v>0</v>
      </c>
      <c r="AD149" s="1130">
        <f>SQRT(SUMSQ(AC149,VLOOKUP(B149&amp;"; "&amp;H149,'FE Intrants'!G:U,7,FALSE)))</f>
        <v>0.5</v>
      </c>
    </row>
    <row r="150" spans="2:30" s="114" customFormat="1" ht="12.75" hidden="1" customHeight="1" outlineLevel="1">
      <c r="B150" s="143" t="s">
        <v>4707</v>
      </c>
      <c r="C150" s="144"/>
      <c r="D150" s="1215">
        <f>I150</f>
        <v>0</v>
      </c>
      <c r="E150" s="1215"/>
      <c r="F150" s="346"/>
      <c r="G150" s="224">
        <f>VLOOKUP($B150&amp;"; "&amp;H150,'FE Intrants'!$G:$U,9,FALSE)</f>
        <v>4.68</v>
      </c>
      <c r="H150" s="1212" t="str">
        <f>VLOOKUP(B150,'FE Intrants'!F$1396:U$1553,5,FALSE)</f>
        <v>kgCO2e/kg de produit</v>
      </c>
      <c r="I150" s="1216">
        <f>F150*G150</f>
        <v>0</v>
      </c>
      <c r="J150" s="116"/>
      <c r="K150" s="116"/>
      <c r="L150" s="319">
        <f>IF(O150=0,O150,O150/I150)</f>
        <v>0</v>
      </c>
      <c r="M150" s="1218"/>
      <c r="N150" s="820"/>
      <c r="O150" s="152">
        <f>F150*G150*AD150</f>
        <v>0</v>
      </c>
      <c r="V150" s="564">
        <f>IF($F150*VLOOKUP($B150&amp;"; "&amp;$H150,'FE Intrants'!$G:$U,10,FALSE)=0,I150,$F150*VLOOKUP($B150&amp;"; "&amp;$H150,'FE Intrants'!$G:$U,10,FALSE))</f>
        <v>0</v>
      </c>
      <c r="W150" s="565">
        <f>$F150*(VLOOKUP($B150&amp;"; "&amp;$H150,'FE Intrants'!$G:$U,11,FALSE)+VLOOKUP($B150&amp;"; "&amp;$H150,'FE Intrants'!$G:$U,12,FALSE))</f>
        <v>0</v>
      </c>
      <c r="X150" s="565">
        <f>$F150*VLOOKUP($B150&amp;"; "&amp;$H150,'FE Intrants'!$G:$U,13,FALSE)</f>
        <v>0</v>
      </c>
      <c r="Y150" s="565">
        <f>$F150*VLOOKUP($B150&amp;"; "&amp;$H150,'FE Intrants'!$G:$U,14,FALSE)</f>
        <v>0</v>
      </c>
      <c r="Z150" s="567">
        <f>SUM(V150:Y150)</f>
        <v>0</v>
      </c>
      <c r="AA150" s="590">
        <f>$F150*VLOOKUP($B150&amp;"; "&amp;$H150,'FE Intrants'!$G:$U,15,FALSE)</f>
        <v>0</v>
      </c>
      <c r="AC150" s="2411">
        <f>IF($M150&lt;&gt;"votre valeur :",IF(ISNA(VLOOKUP($M150,Utilitaires!$N$566:$O$571,2,FALSE)),,VLOOKUP($M150,Utilitaires!$N$566:$O$571,2,FALSE)),$N150)</f>
        <v>0</v>
      </c>
      <c r="AD150" s="1130">
        <f>SQRT(SUMSQ(AC150,VLOOKUP(B150&amp;"; "&amp;H150,'FE Intrants'!G:U,7,FALSE)))</f>
        <v>0.5</v>
      </c>
    </row>
    <row r="151" spans="2:30" s="114" customFormat="1" ht="12.75" hidden="1" customHeight="1" outlineLevel="1">
      <c r="B151" s="143" t="s">
        <v>4708</v>
      </c>
      <c r="C151" s="144"/>
      <c r="D151" s="1215">
        <f>I151</f>
        <v>0</v>
      </c>
      <c r="E151" s="1215"/>
      <c r="F151" s="346"/>
      <c r="G151" s="224">
        <f>VLOOKUP($B151&amp;"; "&amp;H151,'FE Intrants'!$G:$U,9,FALSE)</f>
        <v>0.91700000000000004</v>
      </c>
      <c r="H151" s="1212" t="str">
        <f>VLOOKUP(B151,'FE Intrants'!F$1396:U$1553,5,FALSE)</f>
        <v>kgCO2e/kg de produit</v>
      </c>
      <c r="I151" s="1216">
        <f>F151*G151</f>
        <v>0</v>
      </c>
      <c r="J151" s="116"/>
      <c r="K151" s="116"/>
      <c r="L151" s="319">
        <f>IF(O151=0,O151,O151/I151)</f>
        <v>0</v>
      </c>
      <c r="M151" s="1218"/>
      <c r="N151" s="820"/>
      <c r="O151" s="152">
        <f>F151*G151*AD151</f>
        <v>0</v>
      </c>
      <c r="V151" s="564">
        <f>IF($F151*VLOOKUP($B151&amp;"; "&amp;$H151,'FE Intrants'!$G:$U,10,FALSE)=0,I151,$F151*VLOOKUP($B151&amp;"; "&amp;$H151,'FE Intrants'!$G:$U,10,FALSE))</f>
        <v>0</v>
      </c>
      <c r="W151" s="565">
        <f>$F151*(VLOOKUP($B151&amp;"; "&amp;$H151,'FE Intrants'!$G:$U,11,FALSE)+VLOOKUP($B151&amp;"; "&amp;$H151,'FE Intrants'!$G:$U,12,FALSE))</f>
        <v>0</v>
      </c>
      <c r="X151" s="565">
        <f>$F151*VLOOKUP($B151&amp;"; "&amp;$H151,'FE Intrants'!$G:$U,13,FALSE)</f>
        <v>0</v>
      </c>
      <c r="Y151" s="565">
        <f>$F151*VLOOKUP($B151&amp;"; "&amp;$H151,'FE Intrants'!$G:$U,14,FALSE)</f>
        <v>0</v>
      </c>
      <c r="Z151" s="567">
        <f>SUM(V151:Y151)</f>
        <v>0</v>
      </c>
      <c r="AA151" s="590">
        <f>$F151*VLOOKUP($B151&amp;"; "&amp;$H151,'FE Intrants'!$G:$U,15,FALSE)</f>
        <v>0</v>
      </c>
      <c r="AC151" s="2411">
        <f>IF($M151&lt;&gt;"votre valeur :",IF(ISNA(VLOOKUP($M151,Utilitaires!$N$566:$O$571,2,FALSE)),,VLOOKUP($M151,Utilitaires!$N$566:$O$571,2,FALSE)),$N151)</f>
        <v>0</v>
      </c>
      <c r="AD151" s="1130">
        <f>SQRT(SUMSQ(AC151,VLOOKUP(B151&amp;"; "&amp;H151,'FE Intrants'!G:U,7,FALSE)))</f>
        <v>0.5</v>
      </c>
    </row>
    <row r="152" spans="2:30" s="114" customFormat="1" ht="12.75" hidden="1" customHeight="1" outlineLevel="1">
      <c r="B152" s="143" t="s">
        <v>4709</v>
      </c>
      <c r="C152" s="144"/>
      <c r="D152" s="1215">
        <f>I152</f>
        <v>0</v>
      </c>
      <c r="E152" s="1215"/>
      <c r="F152" s="347"/>
      <c r="G152" s="224">
        <f>VLOOKUP($B152&amp;"; "&amp;H152,'FE Intrants'!$G:$U,9,FALSE)</f>
        <v>4.51</v>
      </c>
      <c r="H152" s="1213" t="str">
        <f>VLOOKUP(B152,'FE Intrants'!F$1396:U$1553,5,FALSE)</f>
        <v>kgCO2e/kg de produit</v>
      </c>
      <c r="I152" s="1216">
        <f>F152*G152</f>
        <v>0</v>
      </c>
      <c r="J152" s="116"/>
      <c r="K152" s="116"/>
      <c r="L152" s="319">
        <f>IF(O152=0,O152,O152/I152)</f>
        <v>0</v>
      </c>
      <c r="M152" s="1218"/>
      <c r="N152" s="820"/>
      <c r="O152" s="152">
        <f>F152*G152*AD152</f>
        <v>0</v>
      </c>
      <c r="V152" s="564">
        <f>IF($F152*VLOOKUP($B152&amp;"; "&amp;$H152,'FE Intrants'!$G:$U,10,FALSE)=0,I152,$F152*VLOOKUP($B152&amp;"; "&amp;$H152,'FE Intrants'!$G:$U,10,FALSE))</f>
        <v>0</v>
      </c>
      <c r="W152" s="565">
        <f>$F152*(VLOOKUP($B152&amp;"; "&amp;$H152,'FE Intrants'!$G:$U,11,FALSE)+VLOOKUP($B152&amp;"; "&amp;$H152,'FE Intrants'!$G:$U,12,FALSE))</f>
        <v>0</v>
      </c>
      <c r="X152" s="565">
        <f>$F152*VLOOKUP($B152&amp;"; "&amp;$H152,'FE Intrants'!$G:$U,13,FALSE)</f>
        <v>0</v>
      </c>
      <c r="Y152" s="565">
        <f>$F152*VLOOKUP($B152&amp;"; "&amp;$H152,'FE Intrants'!$G:$U,14,FALSE)</f>
        <v>0</v>
      </c>
      <c r="Z152" s="567">
        <f>SUM(V152:Y152)</f>
        <v>0</v>
      </c>
      <c r="AA152" s="590">
        <f>$F152*VLOOKUP($B152&amp;"; "&amp;$H152,'FE Intrants'!$G:$U,15,FALSE)</f>
        <v>0</v>
      </c>
      <c r="AC152" s="2411">
        <f>IF($M152&lt;&gt;"votre valeur :",IF(ISNA(VLOOKUP($M152,Utilitaires!$N$566:$O$571,2,FALSE)),,VLOOKUP($M152,Utilitaires!$N$566:$O$571,2,FALSE)),$N152)</f>
        <v>0</v>
      </c>
      <c r="AD152" s="1130">
        <f>SQRT(SUMSQ(AC152,VLOOKUP(B152&amp;"; "&amp;H152,'FE Intrants'!G:U,7,FALSE)))</f>
        <v>0.5</v>
      </c>
    </row>
    <row r="153" spans="2:30" s="114" customFormat="1" ht="12.75" hidden="1" customHeight="1" outlineLevel="1">
      <c r="B153" s="143"/>
      <c r="C153" s="144"/>
      <c r="D153" s="213"/>
      <c r="E153" s="213"/>
      <c r="F153" s="144"/>
      <c r="G153" s="144"/>
      <c r="H153" s="144"/>
      <c r="I153" s="145"/>
      <c r="J153" s="116"/>
      <c r="K153" s="116"/>
      <c r="L153" s="163"/>
      <c r="M153" s="144"/>
      <c r="N153" s="144"/>
      <c r="O153" s="152"/>
      <c r="V153" s="564"/>
      <c r="W153" s="565"/>
      <c r="X153" s="565"/>
      <c r="Y153" s="565"/>
      <c r="Z153" s="567"/>
      <c r="AA153" s="590"/>
      <c r="AC153" s="2411"/>
      <c r="AD153" s="1130"/>
    </row>
    <row r="154" spans="2:30" s="114" customFormat="1" ht="12.75" hidden="1" customHeight="1" outlineLevel="1">
      <c r="B154" s="1002" t="s">
        <v>5075</v>
      </c>
      <c r="C154" s="144"/>
      <c r="D154" s="222"/>
      <c r="E154" s="222"/>
      <c r="F154" s="144"/>
      <c r="G154" s="1214"/>
      <c r="H154" s="144"/>
      <c r="I154" s="401"/>
      <c r="J154" s="116"/>
      <c r="K154" s="116"/>
      <c r="L154" s="226"/>
      <c r="M154" s="144"/>
      <c r="N154" s="820"/>
      <c r="O154" s="152"/>
      <c r="V154" s="564"/>
      <c r="W154" s="565"/>
      <c r="X154" s="565"/>
      <c r="Y154" s="565"/>
      <c r="Z154" s="567"/>
      <c r="AA154" s="590"/>
      <c r="AC154" s="2454"/>
      <c r="AD154" s="1130"/>
    </row>
    <row r="155" spans="2:30" s="114" customFormat="1" ht="12.75" hidden="1" customHeight="1" outlineLevel="1">
      <c r="B155" s="143" t="s">
        <v>5070</v>
      </c>
      <c r="C155" s="144"/>
      <c r="D155" s="1215">
        <f>I155</f>
        <v>0</v>
      </c>
      <c r="E155" s="1215"/>
      <c r="F155" s="117"/>
      <c r="G155" s="224">
        <f>VLOOKUP($B155&amp;"; "&amp;H155,'FE Intrants'!$G:$U,9,FALSE)</f>
        <v>2435</v>
      </c>
      <c r="H155" s="1211" t="str">
        <f>VLOOKUP(B155,'FE Intrants'!F$1874:U$1900,5,FALSE)</f>
        <v>kgCO2e/Ha</v>
      </c>
      <c r="I155" s="1216">
        <f>F155*G155</f>
        <v>0</v>
      </c>
      <c r="J155" s="116"/>
      <c r="K155" s="116"/>
      <c r="L155" s="319">
        <f>IF(O155=0,O155,O155/I155)</f>
        <v>0</v>
      </c>
      <c r="M155" s="1218"/>
      <c r="N155" s="820"/>
      <c r="O155" s="152">
        <f>F155*G155*AD155</f>
        <v>0</v>
      </c>
      <c r="V155" s="564">
        <f>IF($F155*VLOOKUP($B155&amp;"; "&amp;$H155,'FE Intrants'!$G:$U,10,FALSE)=0,I155,$F155*VLOOKUP($B155&amp;"; "&amp;$H155,'FE Intrants'!$G:$U,10,FALSE))</f>
        <v>0</v>
      </c>
      <c r="W155" s="565">
        <f>$F155*(VLOOKUP($B155&amp;"; "&amp;$H155,'FE Intrants'!$G:$U,11,FALSE)+VLOOKUP($B155&amp;"; "&amp;$H155,'FE Intrants'!$G:$U,12,FALSE))</f>
        <v>0</v>
      </c>
      <c r="X155" s="565">
        <f>$F155*VLOOKUP($B155&amp;"; "&amp;$H155,'FE Intrants'!$G:$U,13,FALSE)</f>
        <v>0</v>
      </c>
      <c r="Y155" s="565">
        <f>$F155*VLOOKUP($B155&amp;"; "&amp;$H155,'FE Intrants'!$G:$U,14,FALSE)</f>
        <v>0</v>
      </c>
      <c r="Z155" s="567">
        <f>SUM(V155:Y155)</f>
        <v>0</v>
      </c>
      <c r="AA155" s="590">
        <f>$F155*VLOOKUP($B155&amp;"; "&amp;$H155,'FE Intrants'!$G:$U,15,FALSE)</f>
        <v>0</v>
      </c>
      <c r="AC155" s="2454">
        <f>IF($M155&lt;&gt;"votre valeur :",IF(ISNA(VLOOKUP($M155,Utilitaires!$N$566:$O$571,2,FALSE)),,VLOOKUP($M155,Utilitaires!$N$566:$O$571,2,FALSE)),$N155)</f>
        <v>0</v>
      </c>
      <c r="AD155" s="1130">
        <f>SQRT(SUMSQ(AC155,VLOOKUP(B155&amp;"; "&amp;H155,'FE Intrants'!G:U,7,FALSE)))</f>
        <v>0.5</v>
      </c>
    </row>
    <row r="156" spans="2:30" s="114" customFormat="1" ht="12.75" hidden="1" customHeight="1" outlineLevel="1">
      <c r="B156" s="143" t="s">
        <v>5071</v>
      </c>
      <c r="C156" s="144"/>
      <c r="D156" s="1215">
        <f>I156</f>
        <v>0</v>
      </c>
      <c r="E156" s="1215"/>
      <c r="F156" s="346"/>
      <c r="G156" s="224">
        <f>VLOOKUP($B156&amp;"; "&amp;H156,'FE Intrants'!$G:$U,9,FALSE)</f>
        <v>4393</v>
      </c>
      <c r="H156" s="1212" t="str">
        <f>VLOOKUP(B156,'FE Intrants'!F$1874:U$1900,5,FALSE)</f>
        <v>kgCO2e/Ha</v>
      </c>
      <c r="I156" s="1216">
        <f>F156*G156</f>
        <v>0</v>
      </c>
      <c r="J156" s="116"/>
      <c r="K156" s="116"/>
      <c r="L156" s="319">
        <f>IF(O156=0,O156,O156/I156)</f>
        <v>0</v>
      </c>
      <c r="M156" s="1218"/>
      <c r="N156" s="820"/>
      <c r="O156" s="152">
        <f>F156*G156*AD156</f>
        <v>0</v>
      </c>
      <c r="V156" s="564">
        <f>IF($F156*VLOOKUP($B156&amp;"; "&amp;$H156,'FE Intrants'!$G:$U,10,FALSE)=0,I156,$F156*VLOOKUP($B156&amp;"; "&amp;$H156,'FE Intrants'!$G:$U,10,FALSE))</f>
        <v>0</v>
      </c>
      <c r="W156" s="565">
        <f>$F156*(VLOOKUP($B156&amp;"; "&amp;$H156,'FE Intrants'!$G:$U,11,FALSE)+VLOOKUP($B156&amp;"; "&amp;$H156,'FE Intrants'!$G:$U,12,FALSE))</f>
        <v>0</v>
      </c>
      <c r="X156" s="565">
        <f>$F156*VLOOKUP($B156&amp;"; "&amp;$H156,'FE Intrants'!$G:$U,13,FALSE)</f>
        <v>0</v>
      </c>
      <c r="Y156" s="565">
        <f>$F156*VLOOKUP($B156&amp;"; "&amp;$H156,'FE Intrants'!$G:$U,14,FALSE)</f>
        <v>0</v>
      </c>
      <c r="Z156" s="567">
        <f>SUM(V156:Y156)</f>
        <v>0</v>
      </c>
      <c r="AA156" s="590">
        <f>$F156*VLOOKUP($B156&amp;"; "&amp;$H156,'FE Intrants'!$G:$U,15,FALSE)</f>
        <v>0</v>
      </c>
      <c r="AC156" s="2454">
        <f>IF($M156&lt;&gt;"votre valeur :",IF(ISNA(VLOOKUP($M156,Utilitaires!$N$566:$O$571,2,FALSE)),,VLOOKUP($M156,Utilitaires!$N$566:$O$571,2,FALSE)),$N156)</f>
        <v>0</v>
      </c>
      <c r="AD156" s="1130">
        <f>SQRT(SUMSQ(AC156,VLOOKUP(B156&amp;"; "&amp;H156,'FE Intrants'!G:U,7,FALSE)))</f>
        <v>0.5</v>
      </c>
    </row>
    <row r="157" spans="2:30" s="114" customFormat="1" ht="12.75" hidden="1" customHeight="1" outlineLevel="1">
      <c r="B157" s="143" t="s">
        <v>5072</v>
      </c>
      <c r="C157" s="144"/>
      <c r="D157" s="1215">
        <f>I157</f>
        <v>0</v>
      </c>
      <c r="E157" s="1215"/>
      <c r="F157" s="346"/>
      <c r="G157" s="224">
        <f>VLOOKUP($B157&amp;"; "&amp;H157,'FE Intrants'!$G:$U,9,FALSE)</f>
        <v>52039</v>
      </c>
      <c r="H157" s="1212" t="str">
        <f>VLOOKUP(B157,'FE Intrants'!F$1874:U$1900,5,FALSE)</f>
        <v>kgCO2e/Ha</v>
      </c>
      <c r="I157" s="1216">
        <f>F157*G157</f>
        <v>0</v>
      </c>
      <c r="J157" s="116"/>
      <c r="K157" s="116"/>
      <c r="L157" s="319">
        <f>IF(O157=0,O157,O157/I157)</f>
        <v>0</v>
      </c>
      <c r="M157" s="1218"/>
      <c r="N157" s="820"/>
      <c r="O157" s="152">
        <f>F157*G157*AD157</f>
        <v>0</v>
      </c>
      <c r="V157" s="564">
        <f>IF($F157*VLOOKUP($B157&amp;"; "&amp;$H157,'FE Intrants'!$G:$U,10,FALSE)=0,I157,$F157*VLOOKUP($B157&amp;"; "&amp;$H157,'FE Intrants'!$G:$U,10,FALSE))</f>
        <v>0</v>
      </c>
      <c r="W157" s="565">
        <f>$F157*(VLOOKUP($B157&amp;"; "&amp;$H157,'FE Intrants'!$G:$U,11,FALSE)+VLOOKUP($B157&amp;"; "&amp;$H157,'FE Intrants'!$G:$U,12,FALSE))</f>
        <v>0</v>
      </c>
      <c r="X157" s="565">
        <f>$F157*VLOOKUP($B157&amp;"; "&amp;$H157,'FE Intrants'!$G:$U,13,FALSE)</f>
        <v>0</v>
      </c>
      <c r="Y157" s="565">
        <f>$F157*VLOOKUP($B157&amp;"; "&amp;$H157,'FE Intrants'!$G:$U,14,FALSE)</f>
        <v>0</v>
      </c>
      <c r="Z157" s="567">
        <f>SUM(V157:Y157)</f>
        <v>0</v>
      </c>
      <c r="AA157" s="590">
        <f>$F157*VLOOKUP($B157&amp;"; "&amp;$H157,'FE Intrants'!$G:$U,15,FALSE)</f>
        <v>0</v>
      </c>
      <c r="AC157" s="2454">
        <f>IF($M157&lt;&gt;"votre valeur :",IF(ISNA(VLOOKUP($M157,Utilitaires!$N$566:$O$571,2,FALSE)),,VLOOKUP($M157,Utilitaires!$N$566:$O$571,2,FALSE)),$N157)</f>
        <v>0</v>
      </c>
      <c r="AD157" s="1130">
        <f>SQRT(SUMSQ(AC157,VLOOKUP(B157&amp;"; "&amp;H157,'FE Intrants'!G:U,7,FALSE)))</f>
        <v>0.5</v>
      </c>
    </row>
    <row r="158" spans="2:30" s="114" customFormat="1" ht="12.75" hidden="1" customHeight="1" outlineLevel="1">
      <c r="B158" s="143" t="s">
        <v>5073</v>
      </c>
      <c r="C158" s="144"/>
      <c r="D158" s="1215">
        <f>I158</f>
        <v>0</v>
      </c>
      <c r="E158" s="1215"/>
      <c r="F158" s="346"/>
      <c r="G158" s="224">
        <f>VLOOKUP($B158&amp;"; "&amp;H158,'FE Intrants'!$G:$U,9,FALSE)</f>
        <v>4454</v>
      </c>
      <c r="H158" s="1212" t="str">
        <f>VLOOKUP(B158,'FE Intrants'!F$1874:U$1900,5,FALSE)</f>
        <v>kgCO2e/Ha</v>
      </c>
      <c r="I158" s="1216">
        <f>F158*G158</f>
        <v>0</v>
      </c>
      <c r="J158" s="116"/>
      <c r="K158" s="116"/>
      <c r="L158" s="319">
        <f>IF(O158=0,O158,O158/I158)</f>
        <v>0</v>
      </c>
      <c r="M158" s="1218"/>
      <c r="N158" s="820"/>
      <c r="O158" s="152">
        <f>F158*G158*AD158</f>
        <v>0</v>
      </c>
      <c r="V158" s="564">
        <f>IF($F158*VLOOKUP($B158&amp;"; "&amp;$H158,'FE Intrants'!$G:$U,10,FALSE)=0,I158,$F158*VLOOKUP($B158&amp;"; "&amp;$H158,'FE Intrants'!$G:$U,10,FALSE))</f>
        <v>0</v>
      </c>
      <c r="W158" s="565">
        <f>$F158*(VLOOKUP($B158&amp;"; "&amp;$H158,'FE Intrants'!$G:$U,11,FALSE)+VLOOKUP($B158&amp;"; "&amp;$H158,'FE Intrants'!$G:$U,12,FALSE))</f>
        <v>0</v>
      </c>
      <c r="X158" s="565">
        <f>$F158*VLOOKUP($B158&amp;"; "&amp;$H158,'FE Intrants'!$G:$U,13,FALSE)</f>
        <v>0</v>
      </c>
      <c r="Y158" s="565">
        <f>$F158*VLOOKUP($B158&amp;"; "&amp;$H158,'FE Intrants'!$G:$U,14,FALSE)</f>
        <v>0</v>
      </c>
      <c r="Z158" s="567">
        <f>SUM(V158:Y158)</f>
        <v>0</v>
      </c>
      <c r="AA158" s="590">
        <f>$F158*VLOOKUP($B158&amp;"; "&amp;$H158,'FE Intrants'!$G:$U,15,FALSE)</f>
        <v>0</v>
      </c>
      <c r="AC158" s="2454">
        <f>IF($M158&lt;&gt;"votre valeur :",IF(ISNA(VLOOKUP($M158,Utilitaires!$N$566:$O$571,2,FALSE)),,VLOOKUP($M158,Utilitaires!$N$566:$O$571,2,FALSE)),$N158)</f>
        <v>0</v>
      </c>
      <c r="AD158" s="1130">
        <f>SQRT(SUMSQ(AC158,VLOOKUP(B158&amp;"; "&amp;H158,'FE Intrants'!G:U,7,FALSE)))</f>
        <v>0.5</v>
      </c>
    </row>
    <row r="159" spans="2:30" s="114" customFormat="1" ht="12.75" hidden="1" customHeight="1" outlineLevel="1">
      <c r="B159" s="143" t="s">
        <v>5074</v>
      </c>
      <c r="C159" s="144"/>
      <c r="D159" s="1215">
        <f>I159</f>
        <v>0</v>
      </c>
      <c r="E159" s="1215"/>
      <c r="F159" s="347"/>
      <c r="G159" s="224">
        <f>VLOOKUP($B159&amp;"; "&amp;H159,'FE Intrants'!$G:$U,9,FALSE)</f>
        <v>663383</v>
      </c>
      <c r="H159" s="1213" t="str">
        <f>VLOOKUP(B159,'FE Intrants'!F$1874:U$1900,5,FALSE)</f>
        <v>kgCO2e/Ha</v>
      </c>
      <c r="I159" s="1216">
        <f>F159*G159</f>
        <v>0</v>
      </c>
      <c r="J159" s="116"/>
      <c r="K159" s="116"/>
      <c r="L159" s="319">
        <f>IF(O159=0,O159,O159/I159)</f>
        <v>0</v>
      </c>
      <c r="M159" s="1218"/>
      <c r="N159" s="820"/>
      <c r="O159" s="152">
        <f>F159*G159*AD159</f>
        <v>0</v>
      </c>
      <c r="V159" s="564">
        <f>IF($F159*VLOOKUP($B159&amp;"; "&amp;$H159,'FE Intrants'!$G:$U,10,FALSE)=0,I159,$F159*VLOOKUP($B159&amp;"; "&amp;$H159,'FE Intrants'!$G:$U,10,FALSE))</f>
        <v>0</v>
      </c>
      <c r="W159" s="565">
        <f>$F159*(VLOOKUP($B159&amp;"; "&amp;$H159,'FE Intrants'!$G:$U,11,FALSE)+VLOOKUP($B159&amp;"; "&amp;$H159,'FE Intrants'!$G:$U,12,FALSE))</f>
        <v>0</v>
      </c>
      <c r="X159" s="565">
        <f>$F159*VLOOKUP($B159&amp;"; "&amp;$H159,'FE Intrants'!$G:$U,13,FALSE)</f>
        <v>0</v>
      </c>
      <c r="Y159" s="565">
        <f>$F159*VLOOKUP($B159&amp;"; "&amp;$H159,'FE Intrants'!$G:$U,14,FALSE)</f>
        <v>0</v>
      </c>
      <c r="Z159" s="567">
        <f>SUM(V159:Y159)</f>
        <v>0</v>
      </c>
      <c r="AA159" s="590">
        <f>$F159*VLOOKUP($B159&amp;"; "&amp;$H159,'FE Intrants'!$G:$U,15,FALSE)</f>
        <v>0</v>
      </c>
      <c r="AC159" s="2454">
        <f>IF($M159&lt;&gt;"votre valeur :",IF(ISNA(VLOOKUP($M159,Utilitaires!$N$566:$O$571,2,FALSE)),,VLOOKUP($M159,Utilitaires!$N$566:$O$571,2,FALSE)),$N159)</f>
        <v>0</v>
      </c>
      <c r="AD159" s="1130">
        <f>SQRT(SUMSQ(AC159,VLOOKUP(B159&amp;"; "&amp;H159,'FE Intrants'!G:U,7,FALSE)))</f>
        <v>0.5</v>
      </c>
    </row>
    <row r="160" spans="2:30" s="114" customFormat="1" ht="12.75" hidden="1" customHeight="1" outlineLevel="1">
      <c r="B160" s="143"/>
      <c r="C160" s="144"/>
      <c r="D160" s="213"/>
      <c r="E160" s="213"/>
      <c r="F160" s="144"/>
      <c r="G160" s="144"/>
      <c r="H160" s="144"/>
      <c r="I160" s="145"/>
      <c r="J160" s="116"/>
      <c r="K160" s="116"/>
      <c r="L160" s="163"/>
      <c r="M160" s="144"/>
      <c r="N160" s="144"/>
      <c r="O160" s="152"/>
      <c r="V160" s="564"/>
      <c r="W160" s="565"/>
      <c r="X160" s="565"/>
      <c r="Y160" s="565"/>
      <c r="Z160" s="567"/>
      <c r="AA160" s="590"/>
      <c r="AC160" s="2454"/>
      <c r="AD160" s="1130"/>
    </row>
    <row r="161" spans="2:30" s="114" customFormat="1" ht="12.75" hidden="1" customHeight="1" outlineLevel="1">
      <c r="B161" s="1002" t="s">
        <v>5081</v>
      </c>
      <c r="C161" s="144"/>
      <c r="D161" s="222"/>
      <c r="E161" s="222"/>
      <c r="F161" s="144"/>
      <c r="G161" s="1214"/>
      <c r="H161" s="144"/>
      <c r="I161" s="401"/>
      <c r="J161" s="116"/>
      <c r="K161" s="116"/>
      <c r="L161" s="226"/>
      <c r="M161" s="144"/>
      <c r="N161" s="820"/>
      <c r="O161" s="152"/>
      <c r="V161" s="564"/>
      <c r="W161" s="565"/>
      <c r="X161" s="565"/>
      <c r="Y161" s="565"/>
      <c r="Z161" s="567"/>
      <c r="AA161" s="590"/>
      <c r="AC161" s="2454"/>
      <c r="AD161" s="1130"/>
    </row>
    <row r="162" spans="2:30" s="114" customFormat="1" ht="12.75" hidden="1" customHeight="1" outlineLevel="1">
      <c r="B162" s="143" t="s">
        <v>5099</v>
      </c>
      <c r="C162" s="144"/>
      <c r="D162" s="1215">
        <f>I162</f>
        <v>0</v>
      </c>
      <c r="E162" s="1215"/>
      <c r="F162" s="117"/>
      <c r="G162" s="224">
        <f>VLOOKUP($B162&amp;"; "&amp;H162,'FE Intrants'!$G:$U,9,FALSE)</f>
        <v>1</v>
      </c>
      <c r="H162" s="1211" t="str">
        <f>VLOOKUP(B162,'FE Intrants'!F$1901:U$1920,5,FALSE)</f>
        <v>kgCO2e/kg</v>
      </c>
      <c r="I162" s="1216">
        <f>F162*G162</f>
        <v>0</v>
      </c>
      <c r="J162" s="116"/>
      <c r="K162" s="116"/>
      <c r="L162" s="319">
        <f>IF(O162=0,O162,O162/I162)</f>
        <v>0</v>
      </c>
      <c r="M162" s="1218"/>
      <c r="N162" s="820"/>
      <c r="O162" s="152">
        <f>F162*G162*AD162</f>
        <v>0</v>
      </c>
      <c r="V162" s="564">
        <f>IF($F162*VLOOKUP($B162&amp;"; "&amp;$H162,'FE Intrants'!$G:$U,10,FALSE)=0,I162,$F162*VLOOKUP($B162&amp;"; "&amp;$H162,'FE Intrants'!$G:$U,10,FALSE))</f>
        <v>0</v>
      </c>
      <c r="W162" s="565">
        <f>$F162*(VLOOKUP($B162&amp;"; "&amp;$H162,'FE Intrants'!$G:$U,11,FALSE)+VLOOKUP($B162&amp;"; "&amp;$H162,'FE Intrants'!$G:$U,12,FALSE))</f>
        <v>0</v>
      </c>
      <c r="X162" s="565">
        <f>$F162*VLOOKUP($B162&amp;"; "&amp;$H162,'FE Intrants'!$G:$U,13,FALSE)</f>
        <v>0</v>
      </c>
      <c r="Y162" s="565">
        <f>$F162*VLOOKUP($B162&amp;"; "&amp;$H162,'FE Intrants'!$G:$U,14,FALSE)</f>
        <v>0</v>
      </c>
      <c r="Z162" s="567">
        <f>SUM(V162:Y162)</f>
        <v>0</v>
      </c>
      <c r="AA162" s="590">
        <f>$F162*VLOOKUP($B162&amp;"; "&amp;$H162,'FE Intrants'!$G:$U,15,FALSE)</f>
        <v>0</v>
      </c>
      <c r="AC162" s="2077">
        <f>IF($M162&lt;&gt;"votre valeur :",IF(ISNA(VLOOKUP($M162,Utilitaires!$N$566:$O$571,2,FALSE)),,VLOOKUP($M162,Utilitaires!$N$566:$O$571,2,FALSE)),$N162)</f>
        <v>0</v>
      </c>
      <c r="AD162" s="1130">
        <f>SQRT(SUMSQ(AC162,VLOOKUP(B162&amp;"; "&amp;H162,'FE Intrants'!G:U,7,FALSE)))</f>
        <v>0.5</v>
      </c>
    </row>
    <row r="163" spans="2:30" s="114" customFormat="1" ht="12.75" hidden="1" customHeight="1" outlineLevel="1">
      <c r="B163" s="143" t="s">
        <v>5100</v>
      </c>
      <c r="C163" s="144"/>
      <c r="D163" s="1215">
        <f>I163</f>
        <v>0</v>
      </c>
      <c r="E163" s="1215"/>
      <c r="F163" s="346"/>
      <c r="G163" s="224">
        <f>VLOOKUP($B163&amp;"; "&amp;H163,'FE Intrants'!$G:$U,9,FALSE)</f>
        <v>1.05</v>
      </c>
      <c r="H163" s="1212" t="str">
        <f>VLOOKUP(B163,'FE Intrants'!F$1901:U$1920,5,FALSE)</f>
        <v>kgCO2e/kg</v>
      </c>
      <c r="I163" s="1216">
        <f>F163*G163</f>
        <v>0</v>
      </c>
      <c r="J163" s="116"/>
      <c r="K163" s="116"/>
      <c r="L163" s="319">
        <f>IF(O163=0,O163,O163/I163)</f>
        <v>0</v>
      </c>
      <c r="M163" s="1218"/>
      <c r="N163" s="820"/>
      <c r="O163" s="152">
        <f>F163*G163*AD163</f>
        <v>0</v>
      </c>
      <c r="V163" s="564">
        <f>IF($F163*VLOOKUP($B163&amp;"; "&amp;$H163,'FE Intrants'!$G:$U,10,FALSE)=0,I163,$F163*VLOOKUP($B163&amp;"; "&amp;$H163,'FE Intrants'!$G:$U,10,FALSE))</f>
        <v>0</v>
      </c>
      <c r="W163" s="565">
        <f>$F163*(VLOOKUP($B163&amp;"; "&amp;$H163,'FE Intrants'!$G:$U,11,FALSE)+VLOOKUP($B163&amp;"; "&amp;$H163,'FE Intrants'!$G:$U,12,FALSE))</f>
        <v>0</v>
      </c>
      <c r="X163" s="565">
        <f>$F163*VLOOKUP($B163&amp;"; "&amp;$H163,'FE Intrants'!$G:$U,13,FALSE)</f>
        <v>0</v>
      </c>
      <c r="Y163" s="565">
        <f>$F163*VLOOKUP($B163&amp;"; "&amp;$H163,'FE Intrants'!$G:$U,14,FALSE)</f>
        <v>0</v>
      </c>
      <c r="Z163" s="567">
        <f>SUM(V163:Y163)</f>
        <v>0</v>
      </c>
      <c r="AA163" s="590">
        <f>$F163*VLOOKUP($B163&amp;"; "&amp;$H163,'FE Intrants'!$G:$U,15,FALSE)</f>
        <v>0</v>
      </c>
      <c r="AC163" s="2077">
        <f>IF($M163&lt;&gt;"votre valeur :",IF(ISNA(VLOOKUP($M163,Utilitaires!$N$566:$O$571,2,FALSE)),,VLOOKUP($M163,Utilitaires!$N$566:$O$571,2,FALSE)),$N163)</f>
        <v>0</v>
      </c>
      <c r="AD163" s="1130">
        <f>SQRT(SUMSQ(AC163,VLOOKUP(B163&amp;"; "&amp;H163,'FE Intrants'!G:U,7,FALSE)))</f>
        <v>0.5</v>
      </c>
    </row>
    <row r="164" spans="2:30" s="114" customFormat="1" ht="12.75" hidden="1" customHeight="1" outlineLevel="1">
      <c r="B164" s="143" t="s">
        <v>5101</v>
      </c>
      <c r="C164" s="144"/>
      <c r="D164" s="1215">
        <f>I164</f>
        <v>0</v>
      </c>
      <c r="E164" s="1215"/>
      <c r="F164" s="346"/>
      <c r="G164" s="224">
        <f>VLOOKUP($B164&amp;"; "&amp;H164,'FE Intrants'!$G:$U,9,FALSE)</f>
        <v>0.3</v>
      </c>
      <c r="H164" s="1212" t="str">
        <f>VLOOKUP(B164,'FE Intrants'!F$1901:U$1920,5,FALSE)</f>
        <v>kgCO2e/plant</v>
      </c>
      <c r="I164" s="1216">
        <f>F164*G164</f>
        <v>0</v>
      </c>
      <c r="J164" s="116"/>
      <c r="K164" s="116"/>
      <c r="L164" s="319">
        <f>IF(O164=0,O164,O164/I164)</f>
        <v>0</v>
      </c>
      <c r="M164" s="1218"/>
      <c r="N164" s="820"/>
      <c r="O164" s="152">
        <f>F164*G164*AD164</f>
        <v>0</v>
      </c>
      <c r="V164" s="564">
        <f>IF($F164*VLOOKUP($B164&amp;"; "&amp;$H164,'FE Intrants'!$G:$U,10,FALSE)=0,I164,$F164*VLOOKUP($B164&amp;"; "&amp;$H164,'FE Intrants'!$G:$U,10,FALSE))</f>
        <v>0</v>
      </c>
      <c r="W164" s="565">
        <f>$F164*(VLOOKUP($B164&amp;"; "&amp;$H164,'FE Intrants'!$G:$U,11,FALSE)+VLOOKUP($B164&amp;"; "&amp;$H164,'FE Intrants'!$G:$U,12,FALSE))</f>
        <v>0</v>
      </c>
      <c r="X164" s="565">
        <f>$F164*VLOOKUP($B164&amp;"; "&amp;$H164,'FE Intrants'!$G:$U,13,FALSE)</f>
        <v>0</v>
      </c>
      <c r="Y164" s="565">
        <f>$F164*VLOOKUP($B164&amp;"; "&amp;$H164,'FE Intrants'!$G:$U,14,FALSE)</f>
        <v>0</v>
      </c>
      <c r="Z164" s="567">
        <f>SUM(V164:Y164)</f>
        <v>0</v>
      </c>
      <c r="AA164" s="590">
        <f>$F164*VLOOKUP($B164&amp;"; "&amp;$H164,'FE Intrants'!$G:$U,15,FALSE)</f>
        <v>0</v>
      </c>
      <c r="AC164" s="2077">
        <f>IF($M164&lt;&gt;"votre valeur :",IF(ISNA(VLOOKUP($M164,Utilitaires!$N$566:$O$571,2,FALSE)),,VLOOKUP($M164,Utilitaires!$N$566:$O$571,2,FALSE)),$N164)</f>
        <v>0</v>
      </c>
      <c r="AD164" s="1130">
        <f>SQRT(SUMSQ(AC164,VLOOKUP(B164&amp;"; "&amp;H164,'FE Intrants'!G:U,7,FALSE)))</f>
        <v>0.3</v>
      </c>
    </row>
    <row r="165" spans="2:30" s="114" customFormat="1" ht="12.75" hidden="1" customHeight="1" outlineLevel="1">
      <c r="B165" s="143" t="s">
        <v>5102</v>
      </c>
      <c r="C165" s="144"/>
      <c r="D165" s="1215">
        <f>I165</f>
        <v>0</v>
      </c>
      <c r="E165" s="1215"/>
      <c r="F165" s="346"/>
      <c r="G165" s="224">
        <f>VLOOKUP($B165&amp;"; "&amp;H165,'FE Intrants'!$G:$U,9,FALSE)</f>
        <v>1.19</v>
      </c>
      <c r="H165" s="1212" t="str">
        <f>VLOOKUP(B165,'FE Intrants'!F$1901:U$1920,5,FALSE)</f>
        <v>kgCO2e/plant</v>
      </c>
      <c r="I165" s="1216">
        <f>F165*G165</f>
        <v>0</v>
      </c>
      <c r="J165" s="116"/>
      <c r="K165" s="116"/>
      <c r="L165" s="319">
        <f>IF(O165=0,O165,O165/I165)</f>
        <v>0</v>
      </c>
      <c r="M165" s="1218"/>
      <c r="N165" s="820"/>
      <c r="O165" s="152">
        <f>F165*G165*AD165</f>
        <v>0</v>
      </c>
      <c r="V165" s="564">
        <f>IF($F165*VLOOKUP($B165&amp;"; "&amp;$H165,'FE Intrants'!$G:$U,10,FALSE)=0,I165,$F165*VLOOKUP($B165&amp;"; "&amp;$H165,'FE Intrants'!$G:$U,10,FALSE))</f>
        <v>0</v>
      </c>
      <c r="W165" s="565">
        <f>$F165*(VLOOKUP($B165&amp;"; "&amp;$H165,'FE Intrants'!$G:$U,11,FALSE)+VLOOKUP($B165&amp;"; "&amp;$H165,'FE Intrants'!$G:$U,12,FALSE))</f>
        <v>0</v>
      </c>
      <c r="X165" s="565">
        <f>$F165*VLOOKUP($B165&amp;"; "&amp;$H165,'FE Intrants'!$G:$U,13,FALSE)</f>
        <v>0</v>
      </c>
      <c r="Y165" s="565">
        <f>$F165*VLOOKUP($B165&amp;"; "&amp;$H165,'FE Intrants'!$G:$U,14,FALSE)</f>
        <v>0</v>
      </c>
      <c r="Z165" s="567">
        <f>SUM(V165:Y165)</f>
        <v>0</v>
      </c>
      <c r="AA165" s="590">
        <f>$F165*VLOOKUP($B165&amp;"; "&amp;$H165,'FE Intrants'!$G:$U,15,FALSE)</f>
        <v>0</v>
      </c>
      <c r="AC165" s="2077">
        <f>IF($M165&lt;&gt;"votre valeur :",IF(ISNA(VLOOKUP($M165,Utilitaires!$N$566:$O$571,2,FALSE)),,VLOOKUP($M165,Utilitaires!$N$566:$O$571,2,FALSE)),$N165)</f>
        <v>0</v>
      </c>
      <c r="AD165" s="1130">
        <f>SQRT(SUMSQ(AC165,VLOOKUP(B165&amp;"; "&amp;H165,'FE Intrants'!G:U,7,FALSE)))</f>
        <v>0.3</v>
      </c>
    </row>
    <row r="166" spans="2:30" s="114" customFormat="1" ht="12.75" hidden="1" customHeight="1" outlineLevel="1">
      <c r="B166" s="143" t="s">
        <v>5103</v>
      </c>
      <c r="C166" s="144"/>
      <c r="D166" s="1215">
        <f>I166</f>
        <v>0</v>
      </c>
      <c r="E166" s="1215"/>
      <c r="F166" s="347"/>
      <c r="G166" s="224">
        <f>VLOOKUP($B166&amp;"; "&amp;H166,'FE Intrants'!$G:$U,9,FALSE)</f>
        <v>0.27</v>
      </c>
      <c r="H166" s="1213" t="str">
        <f>VLOOKUP(B166,'FE Intrants'!F$1901:U$1920,5,FALSE)</f>
        <v>kgCO2e/plant</v>
      </c>
      <c r="I166" s="1216">
        <f>F166*G166</f>
        <v>0</v>
      </c>
      <c r="J166" s="116"/>
      <c r="K166" s="116"/>
      <c r="L166" s="319">
        <f>IF(O166=0,O166,O166/I166)</f>
        <v>0</v>
      </c>
      <c r="M166" s="1218"/>
      <c r="N166" s="820"/>
      <c r="O166" s="152">
        <f>F166*G166*AD166</f>
        <v>0</v>
      </c>
      <c r="V166" s="564">
        <f>IF($F166*VLOOKUP($B166&amp;"; "&amp;$H166,'FE Intrants'!$G:$U,10,FALSE)=0,I166,$F166*VLOOKUP($B166&amp;"; "&amp;$H166,'FE Intrants'!$G:$U,10,FALSE))</f>
        <v>0</v>
      </c>
      <c r="W166" s="565">
        <f>$F166*(VLOOKUP($B166&amp;"; "&amp;$H166,'FE Intrants'!$G:$U,11,FALSE)+VLOOKUP($B166&amp;"; "&amp;$H166,'FE Intrants'!$G:$U,12,FALSE))</f>
        <v>0</v>
      </c>
      <c r="X166" s="565">
        <f>$F166*VLOOKUP($B166&amp;"; "&amp;$H166,'FE Intrants'!$G:$U,13,FALSE)</f>
        <v>0</v>
      </c>
      <c r="Y166" s="565">
        <f>$F166*VLOOKUP($B166&amp;"; "&amp;$H166,'FE Intrants'!$G:$U,14,FALSE)</f>
        <v>0</v>
      </c>
      <c r="Z166" s="567">
        <f>SUM(V166:Y166)</f>
        <v>0</v>
      </c>
      <c r="AA166" s="590">
        <f>$F166*VLOOKUP($B166&amp;"; "&amp;$H166,'FE Intrants'!$G:$U,15,FALSE)</f>
        <v>0</v>
      </c>
      <c r="AC166" s="2077">
        <f>IF($M166&lt;&gt;"votre valeur :",IF(ISNA(VLOOKUP($M166,Utilitaires!$N$566:$O$571,2,FALSE)),,VLOOKUP($M166,Utilitaires!$N$566:$O$571,2,FALSE)),$N166)</f>
        <v>0</v>
      </c>
      <c r="AD166" s="1130">
        <f>SQRT(SUMSQ(AC166,VLOOKUP(B166&amp;"; "&amp;H166,'FE Intrants'!G:U,7,FALSE)))</f>
        <v>0.3</v>
      </c>
    </row>
    <row r="167" spans="2:30" s="114" customFormat="1" ht="12.75" hidden="1" customHeight="1" outlineLevel="1">
      <c r="B167" s="143"/>
      <c r="C167" s="144"/>
      <c r="D167" s="213"/>
      <c r="E167" s="213"/>
      <c r="F167" s="144"/>
      <c r="G167" s="144"/>
      <c r="H167" s="144"/>
      <c r="I167" s="145"/>
      <c r="J167" s="116"/>
      <c r="K167" s="116"/>
      <c r="L167" s="163"/>
      <c r="M167" s="144"/>
      <c r="N167" s="144"/>
      <c r="O167" s="152"/>
      <c r="V167" s="564"/>
      <c r="W167" s="565"/>
      <c r="X167" s="565"/>
      <c r="Y167" s="565"/>
      <c r="Z167" s="567"/>
      <c r="AA167" s="591"/>
      <c r="AC167" s="2068"/>
      <c r="AD167" s="1143"/>
    </row>
    <row r="168" spans="2:30" s="114" customFormat="1" ht="12.75" hidden="1" customHeight="1" outlineLevel="1">
      <c r="B168" s="196" t="s">
        <v>348</v>
      </c>
      <c r="C168" s="197"/>
      <c r="D168" s="214">
        <f>SUM(D113:D167)</f>
        <v>0</v>
      </c>
      <c r="E168" s="214"/>
      <c r="F168" s="199"/>
      <c r="G168" s="199"/>
      <c r="H168" s="199"/>
      <c r="I168" s="200">
        <f>SUM(I113:I167)</f>
        <v>0</v>
      </c>
      <c r="J168" s="116"/>
      <c r="K168" s="116"/>
      <c r="L168" s="1204">
        <f>IF(O168=0,O168,O168/I168)</f>
        <v>0</v>
      </c>
      <c r="M168" s="199"/>
      <c r="N168" s="199"/>
      <c r="O168" s="200">
        <f>SQRT(SUMSQ(O113:O167))</f>
        <v>0</v>
      </c>
      <c r="V168" s="571">
        <f t="shared" ref="V168:AA168" si="15">SUM(V113:V167)</f>
        <v>0</v>
      </c>
      <c r="W168" s="572">
        <f t="shared" si="15"/>
        <v>0</v>
      </c>
      <c r="X168" s="572">
        <f t="shared" si="15"/>
        <v>0</v>
      </c>
      <c r="Y168" s="572">
        <f t="shared" si="15"/>
        <v>0</v>
      </c>
      <c r="Z168" s="574">
        <f t="shared" si="15"/>
        <v>0</v>
      </c>
      <c r="AA168" s="592">
        <f t="shared" si="15"/>
        <v>0</v>
      </c>
    </row>
    <row r="169" spans="2:30" s="114" customFormat="1" ht="12.75" hidden="1" customHeight="1" outlineLevel="1">
      <c r="O169" s="258"/>
      <c r="V169" s="441"/>
      <c r="W169" s="441"/>
      <c r="X169" s="441"/>
      <c r="Y169" s="441"/>
      <c r="Z169" s="441"/>
      <c r="AA169" s="441"/>
    </row>
    <row r="170" spans="2:30" s="114" customFormat="1" ht="12.75" hidden="1" customHeight="1" outlineLevel="1">
      <c r="B170" s="330" t="s">
        <v>2212</v>
      </c>
      <c r="C170" s="331"/>
      <c r="D170" s="284"/>
      <c r="E170" s="1624"/>
      <c r="F170" s="141"/>
      <c r="G170" s="141"/>
      <c r="H170" s="141"/>
      <c r="I170" s="142"/>
      <c r="J170" s="116"/>
      <c r="K170" s="116"/>
      <c r="L170" s="2636" t="s">
        <v>366</v>
      </c>
      <c r="M170" s="2637"/>
      <c r="N170" s="2637"/>
      <c r="O170" s="2638"/>
      <c r="V170" s="2639" t="s">
        <v>441</v>
      </c>
      <c r="W170" s="2640"/>
      <c r="X170" s="2640"/>
      <c r="Y170" s="2640"/>
      <c r="Z170" s="2640"/>
      <c r="AA170" s="2641"/>
    </row>
    <row r="171" spans="2:30" s="114" customFormat="1" ht="12.75" hidden="1" customHeight="1" outlineLevel="1">
      <c r="B171" s="333"/>
      <c r="C171" s="334"/>
      <c r="D171" s="286" t="s">
        <v>308</v>
      </c>
      <c r="E171" s="1625"/>
      <c r="F171" s="144"/>
      <c r="G171" s="144"/>
      <c r="H171" s="144"/>
      <c r="I171" s="145"/>
      <c r="J171" s="116"/>
      <c r="K171" s="116"/>
      <c r="L171" s="1179"/>
      <c r="M171" s="819"/>
      <c r="N171" s="827"/>
      <c r="O171" s="145"/>
      <c r="V171" s="2074"/>
      <c r="W171" s="2075"/>
      <c r="X171" s="2075"/>
      <c r="Y171" s="2075"/>
      <c r="Z171" s="2080"/>
      <c r="AA171" s="619"/>
      <c r="AC171" s="2766" t="s">
        <v>1648</v>
      </c>
      <c r="AD171" s="2767"/>
    </row>
    <row r="172" spans="2:30" s="114" customFormat="1" ht="12.75" hidden="1" customHeight="1" outlineLevel="1">
      <c r="B172" s="146"/>
      <c r="C172" s="285"/>
      <c r="D172" s="285" t="s">
        <v>409</v>
      </c>
      <c r="E172" s="1622"/>
      <c r="F172" s="144"/>
      <c r="G172" s="285"/>
      <c r="H172" s="1180"/>
      <c r="I172" s="148" t="s">
        <v>444</v>
      </c>
      <c r="J172" s="116"/>
      <c r="K172" s="116"/>
      <c r="L172" s="1179" t="s">
        <v>316</v>
      </c>
      <c r="M172" s="2629" t="s">
        <v>530</v>
      </c>
      <c r="N172" s="2630"/>
      <c r="O172" s="539" t="s">
        <v>444</v>
      </c>
      <c r="V172" s="2074" t="s">
        <v>444</v>
      </c>
      <c r="W172" s="2075"/>
      <c r="X172" s="2075"/>
      <c r="Y172" s="2075"/>
      <c r="Z172" s="2080" t="s">
        <v>444</v>
      </c>
      <c r="AA172" s="587"/>
      <c r="AC172" s="2069" t="s">
        <v>2167</v>
      </c>
      <c r="AD172" s="2079" t="s">
        <v>2187</v>
      </c>
    </row>
    <row r="173" spans="2:30" s="114" customFormat="1" ht="12.75" hidden="1" customHeight="1" outlineLevel="1">
      <c r="B173" s="146"/>
      <c r="C173" s="285"/>
      <c r="D173" s="285" t="s">
        <v>444</v>
      </c>
      <c r="E173" s="1622"/>
      <c r="F173" s="155"/>
      <c r="G173" s="285"/>
      <c r="H173" s="1180"/>
      <c r="I173" s="148"/>
      <c r="J173" s="116"/>
      <c r="K173" s="116"/>
      <c r="L173" s="1179" t="s">
        <v>1649</v>
      </c>
      <c r="M173" s="2646"/>
      <c r="N173" s="2647"/>
      <c r="O173" s="539"/>
      <c r="V173" s="2071" t="s">
        <v>211</v>
      </c>
      <c r="W173" s="2072" t="s">
        <v>442</v>
      </c>
      <c r="X173" s="2072" t="s">
        <v>267</v>
      </c>
      <c r="Y173" s="2072" t="s">
        <v>443</v>
      </c>
      <c r="Z173" s="2073" t="s">
        <v>327</v>
      </c>
      <c r="AA173" s="589" t="s">
        <v>636</v>
      </c>
      <c r="AC173" s="2077"/>
      <c r="AD173" s="1130"/>
    </row>
    <row r="174" spans="2:30" s="114" customFormat="1" ht="12.75" hidden="1" customHeight="1" outlineLevel="1">
      <c r="B174" s="143" t="s">
        <v>2210</v>
      </c>
      <c r="C174" s="144"/>
      <c r="D174" s="212">
        <f>I174</f>
        <v>0</v>
      </c>
      <c r="E174" s="212"/>
      <c r="F174" s="117"/>
      <c r="G174" s="335">
        <f>VLOOKUP($B174&amp;"; "&amp;H174,'FE Intrants'!$G:$U,9,FALSE)</f>
        <v>2.04</v>
      </c>
      <c r="H174" s="1211" t="str">
        <f>VLOOKUP(B174,'FE Intrants'!F:U,5,FALSE)</f>
        <v>kgCO2e/repas</v>
      </c>
      <c r="I174" s="152">
        <f>F174*G174</f>
        <v>0</v>
      </c>
      <c r="J174" s="116"/>
      <c r="K174" s="116"/>
      <c r="L174" s="319">
        <f>IF(O174=0,O174,O174/I174)</f>
        <v>0</v>
      </c>
      <c r="M174" s="1218"/>
      <c r="N174" s="820"/>
      <c r="O174" s="152">
        <f>F174*G174*AD174</f>
        <v>0</v>
      </c>
      <c r="V174" s="564">
        <f>IF($F174*VLOOKUP($B174&amp;"; "&amp;$H$174,'FE Intrants'!$G:$U,10,FALSE)=0,I174,$F174*VLOOKUP($B174&amp;"; "&amp;$H$174,'FE Intrants'!$G:$U,10,FALSE))</f>
        <v>0</v>
      </c>
      <c r="W174" s="565">
        <f>$F174*(VLOOKUP($B174&amp;"; "&amp;$H$174,'FE Intrants'!$G:$U,11,FALSE)+VLOOKUP($B174&amp;"; "&amp;$H$174,'FE Intrants'!$G:$U,12,FALSE))</f>
        <v>0</v>
      </c>
      <c r="X174" s="565">
        <f>$F174*VLOOKUP($B174&amp;"; "&amp;$H$174,'FE Intrants'!$G:$U,13,FALSE)</f>
        <v>0</v>
      </c>
      <c r="Y174" s="565">
        <f>$F174*VLOOKUP($B174&amp;"; "&amp;$H$174,'FE Intrants'!$G:$U,14,FALSE)</f>
        <v>0</v>
      </c>
      <c r="Z174" s="567">
        <f>I174</f>
        <v>0</v>
      </c>
      <c r="AA174" s="590">
        <f>$F174*VLOOKUP($B174&amp;"; "&amp;$H$174,'FE Intrants'!$G:$U,15,FALSE)</f>
        <v>0</v>
      </c>
      <c r="AC174" s="2077">
        <f>IF($M174&lt;&gt;"votre valeur :",IF(ISNA(VLOOKUP($M174,Utilitaires!$N$566:$O$571,2,FALSE)),,VLOOKUP($M174,Utilitaires!$N$566:$O$571,2,FALSE)),$N174)</f>
        <v>0</v>
      </c>
      <c r="AD174" s="1130">
        <f>SQRT(SUMSQ(AC174,VLOOKUP(B174&amp;"; "&amp;H174,'FE Intrants'!G:U,7,FALSE)))</f>
        <v>0.5</v>
      </c>
    </row>
    <row r="175" spans="2:30" s="114" customFormat="1" ht="12.75" hidden="1" customHeight="1" outlineLevel="1">
      <c r="B175" s="143" t="s">
        <v>2213</v>
      </c>
      <c r="C175" s="144"/>
      <c r="D175" s="212">
        <f>I175</f>
        <v>0</v>
      </c>
      <c r="E175" s="212"/>
      <c r="F175" s="120"/>
      <c r="G175" s="335">
        <f>VLOOKUP($B175&amp;"; "&amp;H175,'FE Intrants'!$G:$U,9,FALSE)</f>
        <v>0.51</v>
      </c>
      <c r="H175" s="1212" t="str">
        <f>VLOOKUP(B175,'FE Intrants'!F:U,5,FALSE)</f>
        <v>kgCO2e/repas</v>
      </c>
      <c r="I175" s="152">
        <f>F175*G175</f>
        <v>0</v>
      </c>
      <c r="J175" s="116"/>
      <c r="K175" s="116"/>
      <c r="L175" s="319">
        <f>IF(O175=0,O175,O175/I175)</f>
        <v>0</v>
      </c>
      <c r="M175" s="1218"/>
      <c r="N175" s="820"/>
      <c r="O175" s="152">
        <f>F175*G175*AD175</f>
        <v>0</v>
      </c>
      <c r="V175" s="564">
        <f>IF($F175*VLOOKUP($B175&amp;"; "&amp;$H$175,'FE Intrants'!$G:$U,10,FALSE)=0,I175,$F175*VLOOKUP($B175&amp;"; "&amp;$H$175,'FE Intrants'!$G:$U,10,FALSE))</f>
        <v>0</v>
      </c>
      <c r="W175" s="565">
        <f>$F175*(VLOOKUP($B175&amp;"; "&amp;$H$175,'FE Intrants'!$G:$U,11,FALSE)+VLOOKUP($B175&amp;"; "&amp;$H$175,'FE Intrants'!$G:$U,12,FALSE))</f>
        <v>0</v>
      </c>
      <c r="X175" s="565">
        <f>$F175*VLOOKUP($B175&amp;"; "&amp;$H$175,'FE Intrants'!$G:$U,13,FALSE)</f>
        <v>0</v>
      </c>
      <c r="Y175" s="565">
        <f>$F175*VLOOKUP($B175&amp;"; "&amp;$H$175,'FE Intrants'!$G:$U,14,FALSE)</f>
        <v>0</v>
      </c>
      <c r="Z175" s="567">
        <f>I175</f>
        <v>0</v>
      </c>
      <c r="AA175" s="590">
        <f>$F175*VLOOKUP($B175&amp;"; "&amp;$H$175,'FE Intrants'!$G:$U,15,FALSE)</f>
        <v>0</v>
      </c>
      <c r="AC175" s="2077">
        <f>IF($M175&lt;&gt;"votre valeur :",IF(ISNA(VLOOKUP($M175,Utilitaires!$N$566:$O$571,2,FALSE)),,VLOOKUP($M175,Utilitaires!$N$566:$O$571,2,FALSE)),$N175)</f>
        <v>0</v>
      </c>
      <c r="AD175" s="1130">
        <f>SQRT(SUMSQ(AC175,VLOOKUP(B175&amp;"; "&amp;H175,'FE Intrants'!G:U,7,FALSE)))</f>
        <v>0.5</v>
      </c>
    </row>
    <row r="176" spans="2:30" s="114" customFormat="1" ht="12.75" hidden="1" customHeight="1" outlineLevel="1">
      <c r="B176" s="143" t="s">
        <v>3091</v>
      </c>
      <c r="C176" s="144"/>
      <c r="D176" s="212">
        <f>I176</f>
        <v>0</v>
      </c>
      <c r="E176" s="212"/>
      <c r="F176" s="123"/>
      <c r="G176" s="335">
        <f>VLOOKUP($B176&amp;"; "&amp;H176,'FE Intrants'!$G:$U,9,FALSE)</f>
        <v>136</v>
      </c>
      <c r="H176" s="1213" t="str">
        <f>VLOOKUP(B176,'FE Intrants'!F:U,5,FALSE)</f>
        <v>kgCO2e/personne.mois</v>
      </c>
      <c r="I176" s="152">
        <f>F176*G176</f>
        <v>0</v>
      </c>
      <c r="J176" s="116"/>
      <c r="K176" s="116"/>
      <c r="L176" s="319">
        <f>IF(O176=0,O176,O176/I176)</f>
        <v>0</v>
      </c>
      <c r="M176" s="1218"/>
      <c r="N176" s="820"/>
      <c r="O176" s="152">
        <f>F176*G176*AD176</f>
        <v>0</v>
      </c>
      <c r="V176" s="564">
        <f>IF($F176*VLOOKUP($B176&amp;"; "&amp;$H$176,'FE Intrants'!$G:$U,10,FALSE)=0,I176,$F176*VLOOKUP($B176&amp;"; "&amp;$H$176,'FE Intrants'!$G:$U,10,FALSE))</f>
        <v>0</v>
      </c>
      <c r="W176" s="565">
        <f>$F176*(VLOOKUP($B176&amp;"; "&amp;$H$176,'FE Intrants'!$G:$U,11,FALSE)+VLOOKUP($B176&amp;"; "&amp;$H$176,'FE Intrants'!$G:$U,12,FALSE))</f>
        <v>0</v>
      </c>
      <c r="X176" s="565">
        <f>$F176*VLOOKUP($B176&amp;"; "&amp;$H$176,'FE Intrants'!$G:$U,13,FALSE)</f>
        <v>0</v>
      </c>
      <c r="Y176" s="565">
        <f>$F176*VLOOKUP($B176&amp;"; "&amp;$H$176,'FE Intrants'!$G:$U,14,FALSE)</f>
        <v>0</v>
      </c>
      <c r="Z176" s="567">
        <f>I176</f>
        <v>0</v>
      </c>
      <c r="AA176" s="590">
        <f>$F176*VLOOKUP($B176&amp;"; "&amp;$H$176,'FE Intrants'!$G:$U,15,FALSE)</f>
        <v>0</v>
      </c>
      <c r="AC176" s="2077">
        <f>IF($M176&lt;&gt;"votre valeur :",IF(ISNA(VLOOKUP($M176,Utilitaires!$N$566:$O$571,2,FALSE)),,VLOOKUP($M176,Utilitaires!$N$566:$O$571,2,FALSE)),$N176)</f>
        <v>0</v>
      </c>
      <c r="AD176" s="1130">
        <f>SQRT(SUMSQ(AC176,VLOOKUP(B176&amp;"; "&amp;H176,'FE Intrants'!G:U,7,FALSE)))</f>
        <v>0.5</v>
      </c>
    </row>
    <row r="177" spans="2:30" s="114" customFormat="1" ht="12.75" hidden="1" customHeight="1" outlineLevel="1">
      <c r="B177" s="143"/>
      <c r="C177" s="144"/>
      <c r="D177" s="212"/>
      <c r="E177" s="212"/>
      <c r="F177" s="335"/>
      <c r="G177" s="335"/>
      <c r="H177" s="335"/>
      <c r="I177" s="152"/>
      <c r="J177" s="116"/>
      <c r="K177" s="116"/>
      <c r="L177" s="226"/>
      <c r="M177" s="144"/>
      <c r="N177" s="820"/>
      <c r="O177" s="152"/>
      <c r="V177" s="564"/>
      <c r="W177" s="565"/>
      <c r="X177" s="565"/>
      <c r="Y177" s="565"/>
      <c r="Z177" s="567"/>
      <c r="AA177" s="590"/>
      <c r="AC177" s="2077"/>
      <c r="AD177" s="1130"/>
    </row>
    <row r="178" spans="2:30" s="114" customFormat="1" ht="12.75" hidden="1" customHeight="1" outlineLevel="1">
      <c r="B178" s="332" t="s">
        <v>2211</v>
      </c>
      <c r="C178" s="144"/>
      <c r="D178" s="212"/>
      <c r="E178" s="212"/>
      <c r="F178" s="144"/>
      <c r="G178" s="1015"/>
      <c r="H178" s="1180"/>
      <c r="I178" s="539"/>
      <c r="J178" s="116"/>
      <c r="K178" s="116"/>
      <c r="L178" s="226"/>
      <c r="M178" s="144"/>
      <c r="N178" s="820"/>
      <c r="O178" s="152"/>
      <c r="V178" s="564"/>
      <c r="W178" s="565"/>
      <c r="X178" s="565"/>
      <c r="Y178" s="565"/>
      <c r="Z178" s="567"/>
      <c r="AA178" s="590"/>
      <c r="AC178" s="2077"/>
      <c r="AD178" s="1130"/>
    </row>
    <row r="179" spans="2:30" s="114" customFormat="1" ht="12.75" hidden="1" customHeight="1" outlineLevel="1">
      <c r="B179" s="143"/>
      <c r="C179" s="144"/>
      <c r="D179" s="212"/>
      <c r="E179" s="212"/>
      <c r="F179" s="144"/>
      <c r="G179" s="1015"/>
      <c r="H179" s="1180"/>
      <c r="I179" s="152"/>
      <c r="J179" s="116"/>
      <c r="K179" s="116"/>
      <c r="L179" s="226"/>
      <c r="M179" s="144"/>
      <c r="N179" s="820"/>
      <c r="O179" s="152"/>
      <c r="V179" s="564"/>
      <c r="W179" s="565"/>
      <c r="X179" s="565"/>
      <c r="Y179" s="565"/>
      <c r="Z179" s="567"/>
      <c r="AA179" s="590"/>
      <c r="AC179" s="2077"/>
      <c r="AD179" s="1130"/>
    </row>
    <row r="180" spans="2:30" s="114" customFormat="1" ht="12.75" hidden="1" customHeight="1" outlineLevel="1">
      <c r="B180" s="143" t="s">
        <v>4721</v>
      </c>
      <c r="C180" s="144"/>
      <c r="D180" s="212">
        <f>I180</f>
        <v>0</v>
      </c>
      <c r="E180" s="212"/>
      <c r="F180" s="117"/>
      <c r="G180" s="224">
        <f>VLOOKUP($B180&amp;"; "&amp;H180,'FE Intrants'!$G:$U,9,FALSE)</f>
        <v>1.1499999999999999</v>
      </c>
      <c r="H180" s="1211" t="str">
        <f>VLOOKUP(B180,'FE Intrants'!F:U,5,FALSE)</f>
        <v>kgCO2e/kg de produit</v>
      </c>
      <c r="I180" s="1216">
        <f>F180*G180</f>
        <v>0</v>
      </c>
      <c r="J180" s="116"/>
      <c r="K180" s="116"/>
      <c r="L180" s="319">
        <f>IF(O180=0,O180,O180/I180)</f>
        <v>0</v>
      </c>
      <c r="M180" s="1218"/>
      <c r="N180" s="820"/>
      <c r="O180" s="152">
        <f>F180*G180*AD180</f>
        <v>0</v>
      </c>
      <c r="V180" s="564">
        <f>IF($F180*VLOOKUP($B180&amp;"; "&amp;$H180,'FE Intrants'!$G:$U,10,FALSE)=0,I180,$F180*VLOOKUP($B180&amp;"; "&amp;$H180,'FE Intrants'!$G:$U,10,FALSE))</f>
        <v>0</v>
      </c>
      <c r="W180" s="565">
        <f>$F180*(VLOOKUP($B180&amp;"; "&amp;$H180,'FE Intrants'!$G:$U,11,FALSE)+VLOOKUP($B180&amp;"; "&amp;$H180,'FE Intrants'!$G:$U,12,FALSE))</f>
        <v>0</v>
      </c>
      <c r="X180" s="565">
        <f>$F180*VLOOKUP($B180&amp;"; "&amp;$H180,'FE Intrants'!$G:$U,13,FALSE)</f>
        <v>0</v>
      </c>
      <c r="Y180" s="565">
        <f>$F180*VLOOKUP($B180&amp;"; "&amp;$H180,'FE Intrants'!$G:$U,14,FALSE)</f>
        <v>0</v>
      </c>
      <c r="Z180" s="567">
        <f>SUM(V180:Y180)</f>
        <v>0</v>
      </c>
      <c r="AA180" s="590">
        <f>$F180*VLOOKUP($B180&amp;"; "&amp;$H180,'FE Intrants'!$G:$U,15,FALSE)</f>
        <v>0</v>
      </c>
      <c r="AC180" s="2077">
        <f>IF($M180&lt;&gt;"votre valeur :",IF(ISNA(VLOOKUP($M180,Utilitaires!$N$566:$O$571,2,FALSE)),,VLOOKUP($M180,Utilitaires!$N$566:$O$571,2,FALSE)),$N180)</f>
        <v>0</v>
      </c>
      <c r="AD180" s="1130">
        <f>SQRT(SUMSQ(AC180,VLOOKUP(B180&amp;"; "&amp;H180,'FE Intrants'!G:U,7,FALSE)))</f>
        <v>0.5</v>
      </c>
    </row>
    <row r="181" spans="2:30" s="114" customFormat="1" ht="12.75" hidden="1" customHeight="1" outlineLevel="1">
      <c r="B181" s="143" t="s">
        <v>4722</v>
      </c>
      <c r="C181" s="144"/>
      <c r="D181" s="212">
        <f>I181</f>
        <v>0</v>
      </c>
      <c r="E181" s="212"/>
      <c r="F181" s="346"/>
      <c r="G181" s="224">
        <f>VLOOKUP($B181&amp;"; "&amp;H181,'FE Intrants'!$G:$U,9,FALSE)</f>
        <v>0.85099999999999998</v>
      </c>
      <c r="H181" s="1212" t="str">
        <f>VLOOKUP(B181,'FE Intrants'!F:U,5,FALSE)</f>
        <v>kgCO2e/kg de produit</v>
      </c>
      <c r="I181" s="1216">
        <f>F181*G181</f>
        <v>0</v>
      </c>
      <c r="J181" s="116"/>
      <c r="K181" s="116"/>
      <c r="L181" s="319">
        <f>IF(O181=0,O181,O181/I181)</f>
        <v>0</v>
      </c>
      <c r="M181" s="1218"/>
      <c r="N181" s="820"/>
      <c r="O181" s="152">
        <f>F181*G181*AD181</f>
        <v>0</v>
      </c>
      <c r="V181" s="564">
        <f>IF($F181*VLOOKUP($B181&amp;"; "&amp;$H181,'FE Intrants'!$G:$U,10,FALSE)=0,I181,$F181*VLOOKUP($B181&amp;"; "&amp;$H181,'FE Intrants'!$G:$U,10,FALSE))</f>
        <v>0</v>
      </c>
      <c r="W181" s="565">
        <f>$F181*(VLOOKUP($B181&amp;"; "&amp;$H181,'FE Intrants'!$G:$U,11,FALSE)+VLOOKUP($B181&amp;"; "&amp;$H181,'FE Intrants'!$G:$U,12,FALSE))</f>
        <v>0</v>
      </c>
      <c r="X181" s="565">
        <f>$F181*VLOOKUP($B181&amp;"; "&amp;$H181,'FE Intrants'!$G:$U,13,FALSE)</f>
        <v>0</v>
      </c>
      <c r="Y181" s="565">
        <f>$F181*VLOOKUP($B181&amp;"; "&amp;$H181,'FE Intrants'!$G:$U,14,FALSE)</f>
        <v>0</v>
      </c>
      <c r="Z181" s="567">
        <f>SUM(V181:Y181)</f>
        <v>0</v>
      </c>
      <c r="AA181" s="590">
        <f>$F181*VLOOKUP($B181&amp;"; "&amp;$H181,'FE Intrants'!$G:$U,15,FALSE)</f>
        <v>0</v>
      </c>
      <c r="AC181" s="2077">
        <f>IF($M181&lt;&gt;"votre valeur :",IF(ISNA(VLOOKUP($M181,Utilitaires!$N$566:$O$571,2,FALSE)),,VLOOKUP($M181,Utilitaires!$N$566:$O$571,2,FALSE)),$N181)</f>
        <v>0</v>
      </c>
      <c r="AD181" s="1130">
        <f>SQRT(SUMSQ(AC181,VLOOKUP(B181&amp;"; "&amp;H181,'FE Intrants'!G:U,7,FALSE)))</f>
        <v>0.5</v>
      </c>
    </row>
    <row r="182" spans="2:30" s="114" customFormat="1" ht="12.75" hidden="1" customHeight="1" outlineLevel="1">
      <c r="B182" s="143" t="s">
        <v>4723</v>
      </c>
      <c r="C182" s="144"/>
      <c r="D182" s="212">
        <f>I182</f>
        <v>0</v>
      </c>
      <c r="E182" s="212"/>
      <c r="F182" s="346"/>
      <c r="G182" s="224">
        <f>VLOOKUP($B182&amp;"; "&amp;H182,'FE Intrants'!$G:$U,9,FALSE)</f>
        <v>0.55700000000000005</v>
      </c>
      <c r="H182" s="1212" t="str">
        <f>VLOOKUP(B182,'FE Intrants'!F:U,5,FALSE)</f>
        <v>kgCO2e/kg de produit</v>
      </c>
      <c r="I182" s="1216">
        <f>F182*G182</f>
        <v>0</v>
      </c>
      <c r="J182" s="116"/>
      <c r="K182" s="116"/>
      <c r="L182" s="319">
        <f>IF(O182=0,O182,O182/I182)</f>
        <v>0</v>
      </c>
      <c r="M182" s="1218"/>
      <c r="N182" s="820"/>
      <c r="O182" s="152">
        <f>F182*G182*AD182</f>
        <v>0</v>
      </c>
      <c r="V182" s="564">
        <f>IF($F182*VLOOKUP($B182&amp;"; "&amp;$H182,'FE Intrants'!$G:$U,10,FALSE)=0,I182,$F182*VLOOKUP($B182&amp;"; "&amp;$H182,'FE Intrants'!$G:$U,10,FALSE))</f>
        <v>0</v>
      </c>
      <c r="W182" s="565">
        <f>$F182*(VLOOKUP($B182&amp;"; "&amp;$H182,'FE Intrants'!$G:$U,11,FALSE)+VLOOKUP($B182&amp;"; "&amp;$H182,'FE Intrants'!$G:$U,12,FALSE))</f>
        <v>0</v>
      </c>
      <c r="X182" s="565">
        <f>$F182*VLOOKUP($B182&amp;"; "&amp;$H182,'FE Intrants'!$G:$U,13,FALSE)</f>
        <v>0</v>
      </c>
      <c r="Y182" s="565">
        <f>$F182*VLOOKUP($B182&amp;"; "&amp;$H182,'FE Intrants'!$G:$U,14,FALSE)</f>
        <v>0</v>
      </c>
      <c r="Z182" s="567">
        <f>SUM(V182:Y182)</f>
        <v>0</v>
      </c>
      <c r="AA182" s="590">
        <f>$F182*VLOOKUP($B182&amp;"; "&amp;$H182,'FE Intrants'!$G:$U,15,FALSE)</f>
        <v>0</v>
      </c>
      <c r="AC182" s="2077">
        <f>IF($M182&lt;&gt;"votre valeur :",IF(ISNA(VLOOKUP($M182,Utilitaires!$N$566:$O$571,2,FALSE)),,VLOOKUP($M182,Utilitaires!$N$566:$O$571,2,FALSE)),$N182)</f>
        <v>0</v>
      </c>
      <c r="AD182" s="1130">
        <f>SQRT(SUMSQ(AC182,VLOOKUP(B182&amp;"; "&amp;H182,'FE Intrants'!G:U,7,FALSE)))</f>
        <v>0.5</v>
      </c>
    </row>
    <row r="183" spans="2:30" s="114" customFormat="1" ht="12.75" hidden="1" customHeight="1" outlineLevel="1">
      <c r="B183" s="143" t="s">
        <v>4724</v>
      </c>
      <c r="C183" s="144"/>
      <c r="D183" s="212">
        <f>I183</f>
        <v>0</v>
      </c>
      <c r="E183" s="212"/>
      <c r="F183" s="123"/>
      <c r="G183" s="224">
        <f>VLOOKUP($B183&amp;"; "&amp;H183,'FE Intrants'!$G:$U,9,FALSE)</f>
        <v>0.28000000000000003</v>
      </c>
      <c r="H183" s="1213" t="str">
        <f>VLOOKUP(B183,'FE Intrants'!F:U,5,FALSE)</f>
        <v>kgCO2e/kg de produit</v>
      </c>
      <c r="I183" s="1216">
        <f>F183*G183</f>
        <v>0</v>
      </c>
      <c r="J183" s="116"/>
      <c r="K183" s="116"/>
      <c r="L183" s="319">
        <f>IF(O183=0,O183,O183/I183)</f>
        <v>0</v>
      </c>
      <c r="M183" s="1218"/>
      <c r="N183" s="820"/>
      <c r="O183" s="152">
        <f>F183*G183*AD183</f>
        <v>0</v>
      </c>
      <c r="V183" s="564">
        <f>IF($F183*VLOOKUP($B183&amp;"; "&amp;$H183,'FE Intrants'!$G:$U,10,FALSE)=0,I183,$F183*VLOOKUP($B183&amp;"; "&amp;$H183,'FE Intrants'!$G:$U,10,FALSE))</f>
        <v>0</v>
      </c>
      <c r="W183" s="565">
        <f>$F183*(VLOOKUP($B183&amp;"; "&amp;$H183,'FE Intrants'!$G:$U,11,FALSE)+VLOOKUP($B183&amp;"; "&amp;$H183,'FE Intrants'!$G:$U,12,FALSE))</f>
        <v>0</v>
      </c>
      <c r="X183" s="565">
        <f>$F183*VLOOKUP($B183&amp;"; "&amp;$H183,'FE Intrants'!$G:$U,13,FALSE)</f>
        <v>0</v>
      </c>
      <c r="Y183" s="565">
        <f>$F183*VLOOKUP($B183&amp;"; "&amp;$H183,'FE Intrants'!$G:$U,14,FALSE)</f>
        <v>0</v>
      </c>
      <c r="Z183" s="567">
        <f>SUM(V183:Y183)</f>
        <v>0</v>
      </c>
      <c r="AA183" s="590">
        <f>$F183*VLOOKUP($B183&amp;"; "&amp;$H183,'FE Intrants'!$G:$U,15,FALSE)</f>
        <v>0</v>
      </c>
      <c r="AC183" s="2077">
        <f>IF($M183&lt;&gt;"votre valeur :",IF(ISNA(VLOOKUP($M183,Utilitaires!$N$566:$O$571,2,FALSE)),,VLOOKUP($M183,Utilitaires!$N$566:$O$571,2,FALSE)),$N183)</f>
        <v>0</v>
      </c>
      <c r="AD183" s="1130">
        <f>SQRT(SUMSQ(AC183,VLOOKUP(B183&amp;"; "&amp;H183,'FE Intrants'!G:U,7,FALSE)))</f>
        <v>0.5</v>
      </c>
    </row>
    <row r="184" spans="2:30" s="114" customFormat="1" ht="12.75" hidden="1" customHeight="1" outlineLevel="1">
      <c r="B184" s="143"/>
      <c r="C184" s="144"/>
      <c r="D184" s="213"/>
      <c r="E184" s="213"/>
      <c r="F184" s="144"/>
      <c r="G184" s="144"/>
      <c r="H184" s="144"/>
      <c r="I184" s="145"/>
      <c r="J184" s="116"/>
      <c r="K184" s="116"/>
      <c r="L184" s="226"/>
      <c r="M184" s="144"/>
      <c r="N184" s="820"/>
      <c r="O184" s="152"/>
      <c r="V184" s="564"/>
      <c r="W184" s="565"/>
      <c r="X184" s="565"/>
      <c r="Y184" s="565"/>
      <c r="Z184" s="567"/>
      <c r="AA184" s="591"/>
      <c r="AC184" s="2068"/>
      <c r="AD184" s="1143"/>
    </row>
    <row r="185" spans="2:30" s="114" customFormat="1" ht="12.75" hidden="1" customHeight="1" outlineLevel="1">
      <c r="B185" s="196" t="s">
        <v>348</v>
      </c>
      <c r="C185" s="197"/>
      <c r="D185" s="214">
        <f>SUM(D174:D184)</f>
        <v>0</v>
      </c>
      <c r="E185" s="214"/>
      <c r="F185" s="199"/>
      <c r="G185" s="199"/>
      <c r="H185" s="199"/>
      <c r="I185" s="200">
        <f>SUM(I174:I184)</f>
        <v>0</v>
      </c>
      <c r="J185" s="116"/>
      <c r="K185" s="116"/>
      <c r="L185" s="1204">
        <f>IF(O185=0,O185,O185/I185)</f>
        <v>0</v>
      </c>
      <c r="M185" s="199"/>
      <c r="N185" s="199"/>
      <c r="O185" s="200">
        <f>SQRT(SUMSQ(O174:O184))</f>
        <v>0</v>
      </c>
      <c r="V185" s="571">
        <f t="shared" ref="V185:AA185" si="16">SUM(V174:V184)</f>
        <v>0</v>
      </c>
      <c r="W185" s="572">
        <f t="shared" si="16"/>
        <v>0</v>
      </c>
      <c r="X185" s="572">
        <f t="shared" si="16"/>
        <v>0</v>
      </c>
      <c r="Y185" s="572">
        <f t="shared" si="16"/>
        <v>0</v>
      </c>
      <c r="Z185" s="574">
        <f t="shared" si="16"/>
        <v>0</v>
      </c>
      <c r="AA185" s="592">
        <f t="shared" si="16"/>
        <v>0</v>
      </c>
    </row>
    <row r="186" spans="2:30" s="114" customFormat="1" ht="12.75" hidden="1" customHeight="1" outlineLevel="1">
      <c r="O186" s="258"/>
      <c r="V186" s="441"/>
      <c r="W186" s="441"/>
      <c r="X186" s="441"/>
      <c r="Y186" s="441"/>
      <c r="Z186" s="441"/>
      <c r="AA186" s="441"/>
    </row>
    <row r="187" spans="2:30" s="114" customFormat="1" ht="13.2">
      <c r="O187" s="258"/>
      <c r="V187" s="441"/>
      <c r="W187" s="441"/>
      <c r="X187" s="441"/>
      <c r="Y187" s="441"/>
      <c r="Z187" s="441"/>
      <c r="AA187" s="441"/>
    </row>
    <row r="188" spans="2:30" s="114" customFormat="1" ht="15.6">
      <c r="B188" s="2763" t="s">
        <v>887</v>
      </c>
      <c r="C188" s="2764"/>
      <c r="D188" s="2764"/>
      <c r="E188" s="2764"/>
      <c r="F188" s="2764"/>
      <c r="G188" s="2764"/>
      <c r="H188" s="2764"/>
      <c r="I188" s="2764"/>
      <c r="J188" s="2764"/>
      <c r="K188" s="2764"/>
      <c r="L188" s="2764"/>
      <c r="M188" s="2764"/>
      <c r="N188" s="2764"/>
      <c r="O188" s="2765"/>
      <c r="V188" s="441"/>
      <c r="W188" s="441"/>
      <c r="X188" s="441"/>
      <c r="Y188" s="441"/>
      <c r="Z188" s="441"/>
      <c r="AA188" s="441"/>
    </row>
    <row r="189" spans="2:30" s="114" customFormat="1" ht="13.2" outlineLevel="1">
      <c r="G189" s="116"/>
      <c r="O189" s="258"/>
      <c r="V189" s="441"/>
      <c r="W189" s="441"/>
      <c r="X189" s="441"/>
      <c r="Y189" s="441"/>
      <c r="Z189" s="441"/>
      <c r="AA189" s="441"/>
    </row>
    <row r="190" spans="2:30" s="114" customFormat="1" ht="12.75" customHeight="1" outlineLevel="1">
      <c r="B190" s="139" t="s">
        <v>887</v>
      </c>
      <c r="C190" s="140"/>
      <c r="D190" s="1181"/>
      <c r="E190" s="1624"/>
      <c r="F190" s="141"/>
      <c r="G190" s="141"/>
      <c r="H190" s="141"/>
      <c r="I190" s="2076"/>
      <c r="J190" s="2076"/>
      <c r="K190" s="2076"/>
      <c r="L190" s="2076"/>
      <c r="M190" s="2076"/>
      <c r="N190" s="142"/>
      <c r="Q190" s="2636" t="s">
        <v>366</v>
      </c>
      <c r="R190" s="2637"/>
      <c r="S190" s="2637"/>
      <c r="T190" s="2638"/>
      <c r="V190" s="2639" t="s">
        <v>441</v>
      </c>
      <c r="W190" s="2640"/>
      <c r="X190" s="2640"/>
      <c r="Y190" s="2640"/>
      <c r="Z190" s="2640"/>
      <c r="AA190" s="2641"/>
    </row>
    <row r="191" spans="2:30" s="114" customFormat="1" ht="12.75" customHeight="1" outlineLevel="1">
      <c r="B191" s="332"/>
      <c r="C191" s="167"/>
      <c r="D191" s="537" t="s">
        <v>308</v>
      </c>
      <c r="E191" s="1625"/>
      <c r="F191" s="144"/>
      <c r="G191" s="144"/>
      <c r="H191" s="144"/>
      <c r="I191" s="2078"/>
      <c r="J191" s="2078"/>
      <c r="K191" s="2078"/>
      <c r="L191" s="2078"/>
      <c r="M191" s="2078"/>
      <c r="N191" s="145"/>
      <c r="Q191" s="1179"/>
      <c r="R191" s="819"/>
      <c r="S191" s="827"/>
      <c r="T191" s="145"/>
      <c r="V191" s="2074"/>
      <c r="W191" s="2075"/>
      <c r="X191" s="2075"/>
      <c r="Y191" s="2075"/>
      <c r="Z191" s="2080"/>
      <c r="AA191" s="619"/>
      <c r="AC191" s="2766" t="s">
        <v>1648</v>
      </c>
      <c r="AD191" s="2767"/>
    </row>
    <row r="192" spans="2:30" s="114" customFormat="1" ht="12.75" customHeight="1" outlineLevel="1">
      <c r="B192" s="143"/>
      <c r="C192" s="144"/>
      <c r="D192" s="1180" t="s">
        <v>409</v>
      </c>
      <c r="E192" s="1622"/>
      <c r="F192" s="1180" t="s">
        <v>340</v>
      </c>
      <c r="G192" s="2656" t="s">
        <v>4104</v>
      </c>
      <c r="H192" s="1180"/>
      <c r="I192" s="2768"/>
      <c r="J192" s="2768"/>
      <c r="K192" s="2768"/>
      <c r="L192" s="2768"/>
      <c r="M192" s="2768"/>
      <c r="N192" s="148" t="s">
        <v>444</v>
      </c>
      <c r="Q192" s="1179" t="s">
        <v>316</v>
      </c>
      <c r="R192" s="2629" t="s">
        <v>530</v>
      </c>
      <c r="S192" s="2630"/>
      <c r="T192" s="539" t="s">
        <v>444</v>
      </c>
      <c r="V192" s="2657" t="s">
        <v>444</v>
      </c>
      <c r="W192" s="2658"/>
      <c r="X192" s="2658"/>
      <c r="Y192" s="2658"/>
      <c r="Z192" s="2080" t="s">
        <v>444</v>
      </c>
      <c r="AA192" s="587"/>
      <c r="AC192" s="2069" t="s">
        <v>2167</v>
      </c>
      <c r="AD192" s="2079" t="s">
        <v>2187</v>
      </c>
    </row>
    <row r="193" spans="2:30" s="114" customFormat="1" ht="12.75" customHeight="1" outlineLevel="1">
      <c r="B193" s="146"/>
      <c r="C193" s="285"/>
      <c r="D193" s="1180" t="s">
        <v>444</v>
      </c>
      <c r="E193" s="1622"/>
      <c r="F193" s="1180" t="s">
        <v>419</v>
      </c>
      <c r="G193" s="2656"/>
      <c r="H193" s="1180"/>
      <c r="I193" s="2768" t="s">
        <v>444</v>
      </c>
      <c r="J193" s="2768"/>
      <c r="K193" s="2768"/>
      <c r="L193" s="2768"/>
      <c r="M193" s="2768"/>
      <c r="N193" s="148"/>
      <c r="Q193" s="1179" t="s">
        <v>1649</v>
      </c>
      <c r="R193" s="2646"/>
      <c r="S193" s="2647"/>
      <c r="T193" s="539"/>
      <c r="V193" s="2071" t="s">
        <v>211</v>
      </c>
      <c r="W193" s="2072" t="s">
        <v>442</v>
      </c>
      <c r="X193" s="2072" t="s">
        <v>267</v>
      </c>
      <c r="Y193" s="2072" t="s">
        <v>443</v>
      </c>
      <c r="Z193" s="2073" t="s">
        <v>327</v>
      </c>
      <c r="AA193" s="589" t="s">
        <v>636</v>
      </c>
      <c r="AC193" s="2077"/>
      <c r="AD193" s="1130"/>
    </row>
    <row r="194" spans="2:30" s="114" customFormat="1" ht="13.2" outlineLevel="1">
      <c r="B194" s="332" t="s">
        <v>3726</v>
      </c>
      <c r="C194" s="2205"/>
      <c r="D194" s="2205"/>
      <c r="E194" s="2205"/>
      <c r="F194" s="2205"/>
      <c r="G194" s="2205"/>
      <c r="H194" s="2205"/>
      <c r="I194" s="1662" t="s">
        <v>3135</v>
      </c>
      <c r="J194" s="1662" t="s">
        <v>3136</v>
      </c>
      <c r="K194" s="1662" t="s">
        <v>3141</v>
      </c>
      <c r="L194" s="1662" t="s">
        <v>3137</v>
      </c>
      <c r="M194" s="1662" t="s">
        <v>3138</v>
      </c>
      <c r="N194" s="2212"/>
      <c r="Q194" s="2204"/>
      <c r="R194" s="2203"/>
      <c r="S194" s="819"/>
      <c r="T194" s="2212"/>
      <c r="V194" s="2206"/>
      <c r="W194" s="2207"/>
      <c r="X194" s="2207"/>
      <c r="Y194" s="2207"/>
      <c r="Z194" s="2208"/>
      <c r="AA194" s="589"/>
      <c r="AC194" s="2209"/>
      <c r="AD194" s="1130"/>
    </row>
    <row r="195" spans="2:30" s="114" customFormat="1" ht="13.2" outlineLevel="1">
      <c r="B195" s="143" t="s">
        <v>2215</v>
      </c>
      <c r="C195" s="144"/>
      <c r="D195" s="212">
        <f>N195</f>
        <v>0</v>
      </c>
      <c r="E195" s="212"/>
      <c r="F195" s="117"/>
      <c r="G195" s="224"/>
      <c r="H195" s="1211" t="str">
        <f>VLOOKUP(B195,'FE Intrants'!F:U,5,FALSE)</f>
        <v>kgCO2e/kg</v>
      </c>
      <c r="I195" s="212">
        <f>VLOOKUP($B195&amp;"; "&amp;$H195&amp;", "&amp;$I$194,'FE Intrants'!$G:$U,9,FALSE)*$F195</f>
        <v>0</v>
      </c>
      <c r="J195" s="212">
        <f>IF(ISNA(VLOOKUP($B195&amp;"; "&amp;$H194&amp;", "&amp;$J$194,'FE Intrants'!$G:$U,9,FALSE)),0,VLOOKUP($B195&amp;"; "&amp;$H194&amp;", "&amp;$J$194,'FE Intrants'!$G:$U,9,FALSE)*$F194)</f>
        <v>0</v>
      </c>
      <c r="K195" s="212">
        <f>IF(ISNA(VLOOKUP($B195&amp;"; "&amp;$H195&amp;", "&amp;$K$194,'FE Intrants'!$G:$U,9,FALSE)),0,VLOOKUP($B195&amp;"; "&amp;$H195&amp;", "&amp;$K$194,'FE Intrants'!$G:$U,9,FALSE)*$F195)</f>
        <v>0</v>
      </c>
      <c r="L195" s="212">
        <f>IF(ISNA(VLOOKUP($B195&amp;"; "&amp;$H195&amp;", "&amp;$L$194,'FE Intrants'!$G:$U,9,FALSE)),0,VLOOKUP($B195&amp;"; "&amp;$H195&amp;", "&amp;$L$194,'FE Intrants'!$G:$U,9,FALSE)*$F195)</f>
        <v>0</v>
      </c>
      <c r="M195" s="212">
        <f>IF(ISNA(VLOOKUP($B195&amp;"; "&amp;$H195&amp;", "&amp;$M$194,'FE Intrants'!$G:$U,9,FALSE)),0,VLOOKUP($B195&amp;"; "&amp;$H195&amp;", "&amp;$M$194,'FE Intrants'!$G:$U,9,FALSE)*$F195)</f>
        <v>0</v>
      </c>
      <c r="N195" s="1216">
        <f>SUM(I195:M195)</f>
        <v>0</v>
      </c>
      <c r="Q195" s="319">
        <f>IF(T195=0,T195,T195/N195)</f>
        <v>0</v>
      </c>
      <c r="R195" s="1218"/>
      <c r="S195" s="820"/>
      <c r="T195" s="152">
        <f>SUM(I195:M195)*AD195</f>
        <v>0</v>
      </c>
      <c r="V195" s="564">
        <f>IFERROR(F195*SUM((VLOOKUP(B195&amp;"; "&amp;H195&amp;", "&amp;I$194,'FE Intrants'!$G:$U,10,FALSE)),
VLOOKUP(B195&amp;"; "&amp;H195&amp;", "&amp;J$194,'FE Intrants'!$G:$U,10,FALSE),
VLOOKUP(B195&amp;"; "&amp;H195&amp;", "&amp;K$194,'FE Intrants'!$G:$U,10,FALSE),
VLOOKUP(B195&amp;"; "&amp;H195&amp;", "&amp;L$194,'FE Intrants'!$G:$U,10,FALSE),
VLOOKUP(B195&amp;"; "&amp;H195&amp;", "&amp;M$194,'FE Intrants'!$G:$U,10,FALSE)),
F195*VLOOKUP(B195&amp;"; "&amp;H195&amp;", "&amp;I$194,'FE Intrants'!$G:$U,10,FALSE))</f>
        <v>0</v>
      </c>
      <c r="W195" s="565">
        <f>IFERROR(F195*SUM((VLOOKUP(B195&amp;"; "&amp;H195&amp;", "&amp;I$194,'FE Intrants'!$G:$U,11,FALSE)+VLOOKUP(B195&amp;"; "&amp;H195&amp;", "&amp;I$194,'FE Intrants'!$G:$U,12,FALSE)),
(VLOOKUP(B195&amp;"; "&amp;H195&amp;", "&amp;J$194,'FE Intrants'!$G:$U,11,FALSE)+VLOOKUP(B195&amp;"; "&amp;H195&amp;", "&amp;J$194,'FE Intrants'!$G:$U,12,FALSE)),
(VLOOKUP(B195&amp;"; "&amp;H195&amp;", "&amp;K$194,'FE Intrants'!$G:$U,11,FALSE)+VLOOKUP(B195&amp;"; "&amp;H195&amp;", "&amp;K$194,'FE Intrants'!$G:$U,12,FALSE)),
(VLOOKUP(B195&amp;"; "&amp;H195&amp;", "&amp;L$194,'FE Intrants'!$G:$U,11,FALSE)+VLOOKUP(B195&amp;"; "&amp;H195&amp;", "&amp;L$194,'FE Intrants'!$G:$U,12,FALSE)),
(VLOOKUP(B195&amp;"; "&amp;H195&amp;", "&amp;M$194,'FE Intrants'!$G:$U,11,FALSE)+VLOOKUP(B195&amp;"; "&amp;H195&amp;", "&amp;M$194,'FE Intrants'!$G:$U,12,FALSE))),
F195*VLOOKUP(B195&amp;"; "&amp;H195&amp;", "&amp;I$194,'FE Intrants'!$G:$U,11,FALSE)+VLOOKUP(B195&amp;"; "&amp;H195&amp;", "&amp;I$194,'FE Intrants'!$G:$U,12,FALSE))</f>
        <v>0</v>
      </c>
      <c r="X195" s="565">
        <f>IFERROR(F195*SUM((VLOOKUP(B195&amp;"; "&amp;H195&amp;", "&amp;I$194,'FE Intrants'!$G:$U,13,FALSE)),
VLOOKUP(B195&amp;"; "&amp;H195&amp;", "&amp;J$194,'FE Intrants'!$G:$U,13,FALSE),
VLOOKUP(B195&amp;"; "&amp;H195&amp;", "&amp;K$194,'FE Intrants'!$G:$U,13,FALSE),
VLOOKUP(B195&amp;"; "&amp;H195&amp;", "&amp;L$194,'FE Intrants'!$G:$U,13,FALSE),
VLOOKUP(B195&amp;"; "&amp;H195&amp;", "&amp;M$194,'FE Intrants'!$G:$U,13,FALSE)),
F195*VLOOKUP(B195&amp;"; "&amp;H195&amp;", "&amp;I$194,'FE Intrants'!$G:$U,13,FALSE))</f>
        <v>0</v>
      </c>
      <c r="Y195" s="565">
        <f>IFERROR(F195*SUM((VLOOKUP(B195&amp;"; "&amp;H195&amp;", "&amp;I$194,'FE Intrants'!$G:$U,14,FALSE)),
VLOOKUP(B195&amp;"; "&amp;H195&amp;", "&amp;J$194,'FE Intrants'!$G:$U,14,FALSE),
VLOOKUP(B195&amp;"; "&amp;H195&amp;", "&amp;K$194,'FE Intrants'!$G:$U,14,FALSE),
VLOOKUP(B195&amp;"; "&amp;H195&amp;", "&amp;L$194,'FE Intrants'!$G:$U,14,FALSE),
VLOOKUP(B195&amp;"; "&amp;H195&amp;", "&amp;M$194,'FE Intrants'!$G:$U,14,FALSE)),
F195*VLOOKUP(B195&amp;"; "&amp;H195&amp;", "&amp;I$194,'FE Intrants'!$G:$U,14,FALSE))</f>
        <v>0</v>
      </c>
      <c r="Z195" s="567">
        <f>SUM(V195:Y195)</f>
        <v>0</v>
      </c>
      <c r="AA195" s="590">
        <f>IFERROR(F195*SUM((VLOOKUP(B195&amp;"; "&amp;H195&amp;", "&amp;I$194,'FE Intrants'!$G:$U,15,FALSE)),
VLOOKUP(B195&amp;"; "&amp;H195&amp;", "&amp;J$194,'FE Intrants'!$G:$U,15,FALSE),
VLOOKUP(B195&amp;"; "&amp;H195&amp;", "&amp;K$194,'FE Intrants'!$G:$U,15,FALSE),
VLOOKUP(B195&amp;"; "&amp;H195&amp;", "&amp;L$194,'FE Intrants'!$G:$U,15,FALSE),
VLOOKUP(B195&amp;"; "&amp;H195&amp;", "&amp;M$194,'FE Intrants'!$G:$U,15,FALSE)),
F195*VLOOKUP(B195&amp;"; "&amp;H195&amp;", "&amp;I$194,'FE Intrants'!$G:$U,15,FALSE))</f>
        <v>0</v>
      </c>
      <c r="AC195" s="2077">
        <f>IF($R195&lt;&gt;"votre valeur :",IF(ISNA(VLOOKUP($R195,Utilitaires!$N$566:$O$571,2,FALSE)),,VLOOKUP($R195,Utilitaires!$N$566:$O$571,2,FALSE)),$S195)</f>
        <v>0</v>
      </c>
      <c r="AD195" s="1130">
        <f>SQRT(SUMSQ(AC195,VLOOKUP(B195&amp;"; "&amp;$H195&amp;", "&amp;$I$194,'FE Intrants'!G:U,7,FALSE)))</f>
        <v>0.5</v>
      </c>
    </row>
    <row r="196" spans="2:30" s="114" customFormat="1" ht="13.2" outlineLevel="1">
      <c r="B196" s="143" t="s">
        <v>4160</v>
      </c>
      <c r="C196" s="144"/>
      <c r="D196" s="212">
        <f t="shared" ref="D196:D199" si="17">N196</f>
        <v>0</v>
      </c>
      <c r="E196" s="212"/>
      <c r="F196" s="1047"/>
      <c r="G196" s="224"/>
      <c r="H196" s="1212" t="str">
        <f>VLOOKUP(B196,'FE Intrants'!F:U,5,FALSE)</f>
        <v>kgCO2e/m</v>
      </c>
      <c r="I196" s="212">
        <f>VLOOKUP($B196&amp;"; "&amp;$H196&amp;", "&amp;$I$194,'FE Intrants'!$G:$U,9,FALSE)*$F196</f>
        <v>0</v>
      </c>
      <c r="J196" s="212">
        <f>IF(ISNA(VLOOKUP($B196&amp;"; "&amp;$H195&amp;", "&amp;$J$194,'FE Intrants'!$G:$U,9,FALSE)),0,VLOOKUP($B196&amp;"; "&amp;$H195&amp;", "&amp;$J$194,'FE Intrants'!$G:$U,9,FALSE)*$F195)</f>
        <v>0</v>
      </c>
      <c r="K196" s="212">
        <f>IF(ISNA(VLOOKUP($B196&amp;"; "&amp;$H196&amp;", "&amp;$K$194,'FE Intrants'!$G:$U,9,FALSE)),0,VLOOKUP($B196&amp;"; "&amp;$H196&amp;", "&amp;$K$194,'FE Intrants'!$G:$U,9,FALSE)*$F196)</f>
        <v>0</v>
      </c>
      <c r="L196" s="212">
        <f>IF(ISNA(VLOOKUP($B196&amp;"; "&amp;$H196&amp;", "&amp;$L$194,'FE Intrants'!$G:$U,9,FALSE)),0,VLOOKUP($B196&amp;"; "&amp;$H196&amp;", "&amp;$L$194,'FE Intrants'!$G:$U,9,FALSE)*$F196)</f>
        <v>0</v>
      </c>
      <c r="M196" s="212">
        <f>IF(ISNA(VLOOKUP($B196&amp;"; "&amp;$H196&amp;", "&amp;$M$194,'FE Intrants'!$G:$U,9,FALSE)),0,VLOOKUP($B196&amp;"; "&amp;$H196&amp;", "&amp;$M$194,'FE Intrants'!$G:$U,9,FALSE)*$F196)</f>
        <v>0</v>
      </c>
      <c r="N196" s="1216">
        <f t="shared" ref="N196:N199" si="18">SUM(I196:M196)</f>
        <v>0</v>
      </c>
      <c r="Q196" s="319">
        <f t="shared" ref="Q196:Q199" si="19">IF(T196=0,T196,T196/N196)</f>
        <v>0</v>
      </c>
      <c r="R196" s="1094"/>
      <c r="S196" s="820"/>
      <c r="T196" s="152">
        <f t="shared" ref="T196:T201" si="20">SUM(I196:M196)*AD196</f>
        <v>0</v>
      </c>
      <c r="V196" s="564">
        <f>IFERROR(F196*SUM((VLOOKUP(B196&amp;"; "&amp;H196&amp;", "&amp;I$194,'FE Intrants'!$G:$U,10,FALSE)),
VLOOKUP(B196&amp;"; "&amp;H196&amp;", "&amp;J$194,'FE Intrants'!$G:$U,10,FALSE),
VLOOKUP(B196&amp;"; "&amp;H196&amp;", "&amp;K$194,'FE Intrants'!$G:$U,10,FALSE),
VLOOKUP(B196&amp;"; "&amp;H196&amp;", "&amp;L$194,'FE Intrants'!$G:$U,10,FALSE),
VLOOKUP(B196&amp;"; "&amp;H196&amp;", "&amp;M$194,'FE Intrants'!$G:$U,10,FALSE)),
F196*VLOOKUP(B196&amp;"; "&amp;H196&amp;", "&amp;I$194,'FE Intrants'!$G:$U,10,FALSE))</f>
        <v>0</v>
      </c>
      <c r="W196" s="565">
        <f>IFERROR(F196*SUM((VLOOKUP(B196&amp;"; "&amp;H196&amp;", "&amp;I$194,'FE Intrants'!$G:$U,11,FALSE)+VLOOKUP(B196&amp;"; "&amp;H196&amp;", "&amp;I$194,'FE Intrants'!$G:$U,12,FALSE)),
(VLOOKUP(B196&amp;"; "&amp;H196&amp;", "&amp;J$194,'FE Intrants'!$G:$U,11,FALSE)+VLOOKUP(B196&amp;"; "&amp;H196&amp;", "&amp;J$194,'FE Intrants'!$G:$U,12,FALSE)),
(VLOOKUP(B196&amp;"; "&amp;H196&amp;", "&amp;K$194,'FE Intrants'!$G:$U,11,FALSE)+VLOOKUP(B196&amp;"; "&amp;H196&amp;", "&amp;K$194,'FE Intrants'!$G:$U,12,FALSE)),
(VLOOKUP(B196&amp;"; "&amp;H196&amp;", "&amp;L$194,'FE Intrants'!$G:$U,11,FALSE)+VLOOKUP(B196&amp;"; "&amp;H196&amp;", "&amp;L$194,'FE Intrants'!$G:$U,12,FALSE)),
(VLOOKUP(B196&amp;"; "&amp;H196&amp;", "&amp;M$194,'FE Intrants'!$G:$U,11,FALSE)+VLOOKUP(B196&amp;"; "&amp;H196&amp;", "&amp;M$194,'FE Intrants'!$G:$U,12,FALSE))),
F196*VLOOKUP(B196&amp;"; "&amp;H196&amp;", "&amp;I$194,'FE Intrants'!$G:$U,11,FALSE)+VLOOKUP(B196&amp;"; "&amp;H196&amp;", "&amp;I$194,'FE Intrants'!$G:$U,12,FALSE))</f>
        <v>0</v>
      </c>
      <c r="X196" s="565">
        <f>IFERROR(F196*SUM((VLOOKUP(B196&amp;"; "&amp;H196&amp;", "&amp;I$194,'FE Intrants'!$G:$U,13,FALSE)),
VLOOKUP(B196&amp;"; "&amp;H196&amp;", "&amp;J$194,'FE Intrants'!$G:$U,13,FALSE),
VLOOKUP(B196&amp;"; "&amp;H196&amp;", "&amp;K$194,'FE Intrants'!$G:$U,13,FALSE),
VLOOKUP(B196&amp;"; "&amp;H196&amp;", "&amp;L$194,'FE Intrants'!$G:$U,13,FALSE),
VLOOKUP(B196&amp;"; "&amp;H196&amp;", "&amp;M$194,'FE Intrants'!$G:$U,13,FALSE)),
F196*VLOOKUP(B196&amp;"; "&amp;H196&amp;", "&amp;I$194,'FE Intrants'!$G:$U,13,FALSE))</f>
        <v>0</v>
      </c>
      <c r="Y196" s="565">
        <f>IFERROR(F196*SUM((VLOOKUP(B196&amp;"; "&amp;H196&amp;", "&amp;I$194,'FE Intrants'!$G:$U,14,FALSE)),
VLOOKUP(B196&amp;"; "&amp;H196&amp;", "&amp;J$194,'FE Intrants'!$G:$U,14,FALSE),
VLOOKUP(B196&amp;"; "&amp;H196&amp;", "&amp;K$194,'FE Intrants'!$G:$U,14,FALSE),
VLOOKUP(B196&amp;"; "&amp;H196&amp;", "&amp;L$194,'FE Intrants'!$G:$U,14,FALSE),
VLOOKUP(B196&amp;"; "&amp;H196&amp;", "&amp;M$194,'FE Intrants'!$G:$U,14,FALSE)),
F196*VLOOKUP(B196&amp;"; "&amp;H196&amp;", "&amp;I$194,'FE Intrants'!$G:$U,14,FALSE))</f>
        <v>0</v>
      </c>
      <c r="Z196" s="567">
        <f t="shared" ref="Z196:Z199" si="21">SUM(V196:Y196)</f>
        <v>0</v>
      </c>
      <c r="AA196" s="590">
        <f>IFERROR(F196*SUM((VLOOKUP(B196&amp;"; "&amp;H196&amp;", "&amp;I$194,'FE Intrants'!$G:$U,15,FALSE)),
VLOOKUP(B196&amp;"; "&amp;H196&amp;", "&amp;J$194,'FE Intrants'!$G:$U,15,FALSE),
VLOOKUP(B196&amp;"; "&amp;H196&amp;", "&amp;K$194,'FE Intrants'!$G:$U,15,FALSE),
VLOOKUP(B196&amp;"; "&amp;H196&amp;", "&amp;L$194,'FE Intrants'!$G:$U,15,FALSE),
VLOOKUP(B196&amp;"; "&amp;H196&amp;", "&amp;M$194,'FE Intrants'!$G:$U,15,FALSE)),
F196*VLOOKUP(B196&amp;"; "&amp;H196&amp;", "&amp;I$194,'FE Intrants'!$G:$U,15,FALSE))</f>
        <v>0</v>
      </c>
      <c r="AC196" s="2326">
        <f>IF($R196&lt;&gt;"votre valeur :",IF(ISNA(VLOOKUP($R196,Utilitaires!$N$566:$O$571,2,FALSE)),,VLOOKUP($R196,Utilitaires!$N$566:$O$571,2,FALSE)),$S196)</f>
        <v>0</v>
      </c>
      <c r="AD196" s="1130">
        <f>SQRT(SUMSQ(AC196,VLOOKUP(B196&amp;"; "&amp;$H196&amp;", "&amp;$I$194,'FE Intrants'!G:U,7,FALSE)))</f>
        <v>0.5</v>
      </c>
    </row>
    <row r="197" spans="2:30" s="114" customFormat="1" ht="13.2" outlineLevel="1">
      <c r="B197" s="143" t="s">
        <v>3997</v>
      </c>
      <c r="C197" s="144"/>
      <c r="D197" s="212">
        <f t="shared" si="17"/>
        <v>0</v>
      </c>
      <c r="E197" s="212"/>
      <c r="F197" s="1047"/>
      <c r="G197" s="224"/>
      <c r="H197" s="1212" t="str">
        <f>VLOOKUP(B197,'FE Intrants'!F:U,5,FALSE)</f>
        <v>kgCO2e/kg</v>
      </c>
      <c r="I197" s="212">
        <f>VLOOKUP($B197&amp;"; "&amp;$H197&amp;", "&amp;$I$194,'FE Intrants'!$G:$U,9,FALSE)*$F197</f>
        <v>0</v>
      </c>
      <c r="J197" s="212">
        <f>IF(ISNA(VLOOKUP($B197&amp;"; "&amp;$H196&amp;", "&amp;$J$194,'FE Intrants'!$G:$U,9,FALSE)),0,VLOOKUP($B197&amp;"; "&amp;$H196&amp;", "&amp;$J$194,'FE Intrants'!$G:$U,9,FALSE)*$F196)</f>
        <v>0</v>
      </c>
      <c r="K197" s="212">
        <f>IF(ISNA(VLOOKUP($B197&amp;"; "&amp;$H197&amp;", "&amp;$K$194,'FE Intrants'!$G:$U,9,FALSE)),0,VLOOKUP($B197&amp;"; "&amp;$H197&amp;", "&amp;$K$194,'FE Intrants'!$G:$U,9,FALSE)*$F197)</f>
        <v>0</v>
      </c>
      <c r="L197" s="212">
        <f>IF(ISNA(VLOOKUP($B197&amp;"; "&amp;$H197&amp;", "&amp;$L$194,'FE Intrants'!$G:$U,9,FALSE)),0,VLOOKUP($B197&amp;"; "&amp;$H197&amp;", "&amp;$L$194,'FE Intrants'!$G:$U,9,FALSE)*$F197)</f>
        <v>0</v>
      </c>
      <c r="M197" s="212">
        <f>IF(ISNA(VLOOKUP($B197&amp;"; "&amp;$H197&amp;", "&amp;$M$194,'FE Intrants'!$G:$U,9,FALSE)),0,VLOOKUP($B197&amp;"; "&amp;$H197&amp;", "&amp;$M$194,'FE Intrants'!$G:$U,9,FALSE)*$F197)</f>
        <v>0</v>
      </c>
      <c r="N197" s="1216">
        <f t="shared" si="18"/>
        <v>0</v>
      </c>
      <c r="Q197" s="319">
        <f t="shared" si="19"/>
        <v>0</v>
      </c>
      <c r="R197" s="1094"/>
      <c r="S197" s="820"/>
      <c r="T197" s="152">
        <f t="shared" si="20"/>
        <v>0</v>
      </c>
      <c r="V197" s="564">
        <f>IFERROR(F197*SUM((VLOOKUP(B197&amp;"; "&amp;H197&amp;", "&amp;I$194,'FE Intrants'!$G:$U,10,FALSE)),
VLOOKUP(B197&amp;"; "&amp;H197&amp;", "&amp;J$194,'FE Intrants'!$G:$U,10,FALSE),
VLOOKUP(B197&amp;"; "&amp;H197&amp;", "&amp;K$194,'FE Intrants'!$G:$U,10,FALSE),
VLOOKUP(B197&amp;"; "&amp;H197&amp;", "&amp;L$194,'FE Intrants'!$G:$U,10,FALSE),
VLOOKUP(B197&amp;"; "&amp;H197&amp;", "&amp;M$194,'FE Intrants'!$G:$U,10,FALSE)),
F197*VLOOKUP(B197&amp;"; "&amp;H197&amp;", "&amp;I$194,'FE Intrants'!$G:$U,10,FALSE))</f>
        <v>0</v>
      </c>
      <c r="W197" s="565">
        <f>IFERROR(F197*SUM((VLOOKUP(B197&amp;"; "&amp;H197&amp;", "&amp;I$194,'FE Intrants'!$G:$U,11,FALSE)+VLOOKUP(B197&amp;"; "&amp;H197&amp;", "&amp;I$194,'FE Intrants'!$G:$U,12,FALSE)),
(VLOOKUP(B197&amp;"; "&amp;H197&amp;", "&amp;J$194,'FE Intrants'!$G:$U,11,FALSE)+VLOOKUP(B197&amp;"; "&amp;H197&amp;", "&amp;J$194,'FE Intrants'!$G:$U,12,FALSE)),
(VLOOKUP(B197&amp;"; "&amp;H197&amp;", "&amp;K$194,'FE Intrants'!$G:$U,11,FALSE)+VLOOKUP(B197&amp;"; "&amp;H197&amp;", "&amp;K$194,'FE Intrants'!$G:$U,12,FALSE)),
(VLOOKUP(B197&amp;"; "&amp;H197&amp;", "&amp;L$194,'FE Intrants'!$G:$U,11,FALSE)+VLOOKUP(B197&amp;"; "&amp;H197&amp;", "&amp;L$194,'FE Intrants'!$G:$U,12,FALSE)),
(VLOOKUP(B197&amp;"; "&amp;H197&amp;", "&amp;M$194,'FE Intrants'!$G:$U,11,FALSE)+VLOOKUP(B197&amp;"; "&amp;H197&amp;", "&amp;M$194,'FE Intrants'!$G:$U,12,FALSE))),
F197*VLOOKUP(B197&amp;"; "&amp;H197&amp;", "&amp;I$194,'FE Intrants'!$G:$U,11,FALSE)+VLOOKUP(B197&amp;"; "&amp;H197&amp;", "&amp;I$194,'FE Intrants'!$G:$U,12,FALSE))</f>
        <v>0</v>
      </c>
      <c r="X197" s="565">
        <f>IFERROR(F197*SUM((VLOOKUP(B197&amp;"; "&amp;H197&amp;", "&amp;I$194,'FE Intrants'!$G:$U,13,FALSE)),
VLOOKUP(B197&amp;"; "&amp;H197&amp;", "&amp;J$194,'FE Intrants'!$G:$U,13,FALSE),
VLOOKUP(B197&amp;"; "&amp;H197&amp;", "&amp;K$194,'FE Intrants'!$G:$U,13,FALSE),
VLOOKUP(B197&amp;"; "&amp;H197&amp;", "&amp;L$194,'FE Intrants'!$G:$U,13,FALSE),
VLOOKUP(B197&amp;"; "&amp;H197&amp;", "&amp;M$194,'FE Intrants'!$G:$U,13,FALSE)),
F197*VLOOKUP(B197&amp;"; "&amp;H197&amp;", "&amp;I$194,'FE Intrants'!$G:$U,13,FALSE))</f>
        <v>0</v>
      </c>
      <c r="Y197" s="565">
        <f>IFERROR(F197*SUM((VLOOKUP(B197&amp;"; "&amp;H197&amp;", "&amp;I$194,'FE Intrants'!$G:$U,14,FALSE)),
VLOOKUP(B197&amp;"; "&amp;H197&amp;", "&amp;J$194,'FE Intrants'!$G:$U,14,FALSE),
VLOOKUP(B197&amp;"; "&amp;H197&amp;", "&amp;K$194,'FE Intrants'!$G:$U,14,FALSE),
VLOOKUP(B197&amp;"; "&amp;H197&amp;", "&amp;L$194,'FE Intrants'!$G:$U,14,FALSE),
VLOOKUP(B197&amp;"; "&amp;H197&amp;", "&amp;M$194,'FE Intrants'!$G:$U,14,FALSE)),
F197*VLOOKUP(B197&amp;"; "&amp;H197&amp;", "&amp;I$194,'FE Intrants'!$G:$U,14,FALSE))</f>
        <v>0</v>
      </c>
      <c r="Z197" s="567">
        <f t="shared" si="21"/>
        <v>0</v>
      </c>
      <c r="AA197" s="590">
        <f>IFERROR(F197*SUM((VLOOKUP(B197&amp;"; "&amp;H197&amp;", "&amp;I$194,'FE Intrants'!$G:$U,15,FALSE)),
VLOOKUP(B197&amp;"; "&amp;H197&amp;", "&amp;J$194,'FE Intrants'!$G:$U,15,FALSE),
VLOOKUP(B197&amp;"; "&amp;H197&amp;", "&amp;K$194,'FE Intrants'!$G:$U,15,FALSE),
VLOOKUP(B197&amp;"; "&amp;H197&amp;", "&amp;L$194,'FE Intrants'!$G:$U,15,FALSE),
VLOOKUP(B197&amp;"; "&amp;H197&amp;", "&amp;M$194,'FE Intrants'!$G:$U,15,FALSE)),
F197*VLOOKUP(B197&amp;"; "&amp;H197&amp;", "&amp;I$194,'FE Intrants'!$G:$U,15,FALSE))</f>
        <v>0</v>
      </c>
      <c r="AC197" s="2326">
        <f>IF($R197&lt;&gt;"votre valeur :",IF(ISNA(VLOOKUP($R197,Utilitaires!$N$566:$O$571,2,FALSE)),,VLOOKUP($R197,Utilitaires!$N$566:$O$571,2,FALSE)),$S197)</f>
        <v>0</v>
      </c>
      <c r="AD197" s="1130">
        <f>SQRT(SUMSQ(AC197,VLOOKUP(B197&amp;"; "&amp;$H197&amp;", "&amp;$I$194,'FE Intrants'!G:U,7,FALSE)))</f>
        <v>0.6</v>
      </c>
    </row>
    <row r="198" spans="2:30" s="114" customFormat="1" ht="13.2" outlineLevel="1">
      <c r="B198" s="143" t="s">
        <v>4161</v>
      </c>
      <c r="C198" s="144"/>
      <c r="D198" s="212">
        <f t="shared" si="17"/>
        <v>0</v>
      </c>
      <c r="E198" s="212"/>
      <c r="F198" s="1047"/>
      <c r="G198" s="224"/>
      <c r="H198" s="1212" t="str">
        <f>VLOOKUP(B198,'FE Intrants'!F:U,5,FALSE)</f>
        <v>kgCO2e/unité</v>
      </c>
      <c r="I198" s="212">
        <f>VLOOKUP($B198&amp;"; "&amp;$H198&amp;", "&amp;$I$194,'FE Intrants'!$G:$U,9,FALSE)*$F198</f>
        <v>0</v>
      </c>
      <c r="J198" s="212">
        <f>IF(ISNA(VLOOKUP($B198&amp;"; "&amp;$H197&amp;", "&amp;$J$194,'FE Intrants'!$G:$U,9,FALSE)),0,VLOOKUP($B198&amp;"; "&amp;$H197&amp;", "&amp;$J$194,'FE Intrants'!$G:$U,9,FALSE)*$F197)</f>
        <v>0</v>
      </c>
      <c r="K198" s="212">
        <f>IF(ISNA(VLOOKUP($B198&amp;"; "&amp;$H198&amp;", "&amp;$K$194,'FE Intrants'!$G:$U,9,FALSE)),0,VLOOKUP($B198&amp;"; "&amp;$H198&amp;", "&amp;$K$194,'FE Intrants'!$G:$U,9,FALSE)*$F198)</f>
        <v>0</v>
      </c>
      <c r="L198" s="212">
        <f>IF(ISNA(VLOOKUP($B198&amp;"; "&amp;$H198&amp;", "&amp;$L$194,'FE Intrants'!$G:$U,9,FALSE)),0,VLOOKUP($B198&amp;"; "&amp;$H198&amp;", "&amp;$L$194,'FE Intrants'!$G:$U,9,FALSE)*$F198)</f>
        <v>0</v>
      </c>
      <c r="M198" s="212">
        <f>IF(ISNA(VLOOKUP($B198&amp;"; "&amp;$H198&amp;", "&amp;$M$194,'FE Intrants'!$G:$U,9,FALSE)),0,VLOOKUP($B198&amp;"; "&amp;$H198&amp;", "&amp;$M$194,'FE Intrants'!$G:$U,9,FALSE)*$F198)</f>
        <v>0</v>
      </c>
      <c r="N198" s="1216">
        <f t="shared" si="18"/>
        <v>0</v>
      </c>
      <c r="Q198" s="319">
        <f t="shared" si="19"/>
        <v>0</v>
      </c>
      <c r="R198" s="1094"/>
      <c r="S198" s="820"/>
      <c r="T198" s="152">
        <f t="shared" si="20"/>
        <v>0</v>
      </c>
      <c r="V198" s="564">
        <f>IFERROR(F198*SUM((VLOOKUP(B198&amp;"; "&amp;H198&amp;", "&amp;I$194,'FE Intrants'!$G:$U,10,FALSE)),
VLOOKUP(B198&amp;"; "&amp;H198&amp;", "&amp;J$194,'FE Intrants'!$G:$U,10,FALSE),
VLOOKUP(B198&amp;"; "&amp;H198&amp;", "&amp;K$194,'FE Intrants'!$G:$U,10,FALSE),
VLOOKUP(B198&amp;"; "&amp;H198&amp;", "&amp;L$194,'FE Intrants'!$G:$U,10,FALSE),
VLOOKUP(B198&amp;"; "&amp;H198&amp;", "&amp;M$194,'FE Intrants'!$G:$U,10,FALSE)),
F198*VLOOKUP(B198&amp;"; "&amp;H198&amp;", "&amp;I$194,'FE Intrants'!$G:$U,10,FALSE))</f>
        <v>0</v>
      </c>
      <c r="W198" s="565">
        <f>IFERROR(F198*SUM((VLOOKUP(B198&amp;"; "&amp;H198&amp;", "&amp;I$194,'FE Intrants'!$G:$U,11,FALSE)+VLOOKUP(B198&amp;"; "&amp;H198&amp;", "&amp;I$194,'FE Intrants'!$G:$U,12,FALSE)),
(VLOOKUP(B198&amp;"; "&amp;H198&amp;", "&amp;J$194,'FE Intrants'!$G:$U,11,FALSE)+VLOOKUP(B198&amp;"; "&amp;H198&amp;", "&amp;J$194,'FE Intrants'!$G:$U,12,FALSE)),
(VLOOKUP(B198&amp;"; "&amp;H198&amp;", "&amp;K$194,'FE Intrants'!$G:$U,11,FALSE)+VLOOKUP(B198&amp;"; "&amp;H198&amp;", "&amp;K$194,'FE Intrants'!$G:$U,12,FALSE)),
(VLOOKUP(B198&amp;"; "&amp;H198&amp;", "&amp;L$194,'FE Intrants'!$G:$U,11,FALSE)+VLOOKUP(B198&amp;"; "&amp;H198&amp;", "&amp;L$194,'FE Intrants'!$G:$U,12,FALSE)),
(VLOOKUP(B198&amp;"; "&amp;H198&amp;", "&amp;M$194,'FE Intrants'!$G:$U,11,FALSE)+VLOOKUP(B198&amp;"; "&amp;H198&amp;", "&amp;M$194,'FE Intrants'!$G:$U,12,FALSE))),
F198*VLOOKUP(B198&amp;"; "&amp;H198&amp;", "&amp;I$194,'FE Intrants'!$G:$U,11,FALSE)+VLOOKUP(B198&amp;"; "&amp;H198&amp;", "&amp;I$194,'FE Intrants'!$G:$U,12,FALSE))</f>
        <v>0</v>
      </c>
      <c r="X198" s="565">
        <f>IFERROR(F198*SUM((VLOOKUP(B198&amp;"; "&amp;H198&amp;", "&amp;I$194,'FE Intrants'!$G:$U,13,FALSE)),
VLOOKUP(B198&amp;"; "&amp;H198&amp;", "&amp;J$194,'FE Intrants'!$G:$U,13,FALSE),
VLOOKUP(B198&amp;"; "&amp;H198&amp;", "&amp;K$194,'FE Intrants'!$G:$U,13,FALSE),
VLOOKUP(B198&amp;"; "&amp;H198&amp;", "&amp;L$194,'FE Intrants'!$G:$U,13,FALSE),
VLOOKUP(B198&amp;"; "&amp;H198&amp;", "&amp;M$194,'FE Intrants'!$G:$U,13,FALSE)),
F198*VLOOKUP(B198&amp;"; "&amp;H198&amp;", "&amp;I$194,'FE Intrants'!$G:$U,13,FALSE))</f>
        <v>0</v>
      </c>
      <c r="Y198" s="565">
        <f>IFERROR(F198*SUM((VLOOKUP(B198&amp;"; "&amp;H198&amp;", "&amp;I$194,'FE Intrants'!$G:$U,14,FALSE)),
VLOOKUP(B198&amp;"; "&amp;H198&amp;", "&amp;J$194,'FE Intrants'!$G:$U,14,FALSE),
VLOOKUP(B198&amp;"; "&amp;H198&amp;", "&amp;K$194,'FE Intrants'!$G:$U,14,FALSE),
VLOOKUP(B198&amp;"; "&amp;H198&amp;", "&amp;L$194,'FE Intrants'!$G:$U,14,FALSE),
VLOOKUP(B198&amp;"; "&amp;H198&amp;", "&amp;M$194,'FE Intrants'!$G:$U,14,FALSE)),
F198*VLOOKUP(B198&amp;"; "&amp;H198&amp;", "&amp;I$194,'FE Intrants'!$G:$U,14,FALSE))</f>
        <v>0</v>
      </c>
      <c r="Z198" s="567">
        <f t="shared" si="21"/>
        <v>0</v>
      </c>
      <c r="AA198" s="590">
        <f>IFERROR(F198*SUM((VLOOKUP(B198&amp;"; "&amp;H198&amp;", "&amp;I$194,'FE Intrants'!$G:$U,15,FALSE)),
VLOOKUP(B198&amp;"; "&amp;H198&amp;", "&amp;J$194,'FE Intrants'!$G:$U,15,FALSE),
VLOOKUP(B198&amp;"; "&amp;H198&amp;", "&amp;K$194,'FE Intrants'!$G:$U,15,FALSE),
VLOOKUP(B198&amp;"; "&amp;H198&amp;", "&amp;L$194,'FE Intrants'!$G:$U,15,FALSE),
VLOOKUP(B198&amp;"; "&amp;H198&amp;", "&amp;M$194,'FE Intrants'!$G:$U,15,FALSE)),
F198*VLOOKUP(B198&amp;"; "&amp;H198&amp;", "&amp;I$194,'FE Intrants'!$G:$U,15,FALSE))</f>
        <v>0</v>
      </c>
      <c r="AC198" s="2326">
        <f>IF($R198&lt;&gt;"votre valeur :",IF(ISNA(VLOOKUP($R198,Utilitaires!$N$566:$O$571,2,FALSE)),,VLOOKUP($R198,Utilitaires!$N$566:$O$571,2,FALSE)),$S198)</f>
        <v>0</v>
      </c>
      <c r="AD198" s="1130">
        <f>SQRT(SUMSQ(AC198,VLOOKUP(B198&amp;"; "&amp;$H198&amp;", "&amp;$I$194,'FE Intrants'!G:U,7,FALSE)))</f>
        <v>0.5</v>
      </c>
    </row>
    <row r="199" spans="2:30" s="114" customFormat="1" ht="13.2" outlineLevel="1">
      <c r="B199" s="143" t="s">
        <v>4162</v>
      </c>
      <c r="C199" s="144"/>
      <c r="D199" s="212">
        <f t="shared" si="17"/>
        <v>0</v>
      </c>
      <c r="E199" s="212"/>
      <c r="F199" s="1047"/>
      <c r="G199" s="224"/>
      <c r="H199" s="1212" t="str">
        <f>VLOOKUP(B199,'FE Intrants'!F:U,5,FALSE)</f>
        <v>kgCO2e/unité</v>
      </c>
      <c r="I199" s="212">
        <f>VLOOKUP($B199&amp;"; "&amp;$H199&amp;", "&amp;$I$194,'FE Intrants'!$G:$U,9,FALSE)*$F199</f>
        <v>0</v>
      </c>
      <c r="J199" s="212">
        <f>IF(ISNA(VLOOKUP($B199&amp;"; "&amp;$H198&amp;", "&amp;$J$194,'FE Intrants'!$G:$U,9,FALSE)),0,VLOOKUP($B199&amp;"; "&amp;$H198&amp;", "&amp;$J$194,'FE Intrants'!$G:$U,9,FALSE)*$F198)</f>
        <v>0</v>
      </c>
      <c r="K199" s="212">
        <f>IF(ISNA(VLOOKUP($B199&amp;"; "&amp;$H199&amp;", "&amp;$K$194,'FE Intrants'!$G:$U,9,FALSE)),0,VLOOKUP($B199&amp;"; "&amp;$H199&amp;", "&amp;$K$194,'FE Intrants'!$G:$U,9,FALSE)*$F199)</f>
        <v>0</v>
      </c>
      <c r="L199" s="212">
        <f>IF(ISNA(VLOOKUP($B199&amp;"; "&amp;$H199&amp;", "&amp;$L$194,'FE Intrants'!$G:$U,9,FALSE)),0,VLOOKUP($B199&amp;"; "&amp;$H199&amp;", "&amp;$L$194,'FE Intrants'!$G:$U,9,FALSE)*$F199)</f>
        <v>0</v>
      </c>
      <c r="M199" s="212">
        <f>IF(ISNA(VLOOKUP($B199&amp;"; "&amp;$H199&amp;", "&amp;$M$194,'FE Intrants'!$G:$U,9,FALSE)),0,VLOOKUP($B199&amp;"; "&amp;$H199&amp;", "&amp;$M$194,'FE Intrants'!$G:$U,9,FALSE)*$F199)</f>
        <v>0</v>
      </c>
      <c r="N199" s="1216">
        <f t="shared" si="18"/>
        <v>0</v>
      </c>
      <c r="Q199" s="319">
        <f t="shared" si="19"/>
        <v>0</v>
      </c>
      <c r="R199" s="1094"/>
      <c r="S199" s="820"/>
      <c r="T199" s="152">
        <f t="shared" si="20"/>
        <v>0</v>
      </c>
      <c r="V199" s="564">
        <f>IFERROR(F199*SUM((VLOOKUP(B199&amp;"; "&amp;H199&amp;", "&amp;I$194,'FE Intrants'!$G:$U,10,FALSE)),
VLOOKUP(B199&amp;"; "&amp;H199&amp;", "&amp;J$194,'FE Intrants'!$G:$U,10,FALSE),
VLOOKUP(B199&amp;"; "&amp;H199&amp;", "&amp;K$194,'FE Intrants'!$G:$U,10,FALSE),
VLOOKUP(B199&amp;"; "&amp;H199&amp;", "&amp;L$194,'FE Intrants'!$G:$U,10,FALSE),
VLOOKUP(B199&amp;"; "&amp;H199&amp;", "&amp;M$194,'FE Intrants'!$G:$U,10,FALSE)),
F199*VLOOKUP(B199&amp;"; "&amp;H199&amp;", "&amp;I$194,'FE Intrants'!$G:$U,10,FALSE))</f>
        <v>0</v>
      </c>
      <c r="W199" s="565">
        <f>IFERROR(F199*SUM((VLOOKUP(B199&amp;"; "&amp;H199&amp;", "&amp;I$194,'FE Intrants'!$G:$U,11,FALSE)+VLOOKUP(B199&amp;"; "&amp;H199&amp;", "&amp;I$194,'FE Intrants'!$G:$U,12,FALSE)),
(VLOOKUP(B199&amp;"; "&amp;H199&amp;", "&amp;J$194,'FE Intrants'!$G:$U,11,FALSE)+VLOOKUP(B199&amp;"; "&amp;H199&amp;", "&amp;J$194,'FE Intrants'!$G:$U,12,FALSE)),
(VLOOKUP(B199&amp;"; "&amp;H199&amp;", "&amp;K$194,'FE Intrants'!$G:$U,11,FALSE)+VLOOKUP(B199&amp;"; "&amp;H199&amp;", "&amp;K$194,'FE Intrants'!$G:$U,12,FALSE)),
(VLOOKUP(B199&amp;"; "&amp;H199&amp;", "&amp;L$194,'FE Intrants'!$G:$U,11,FALSE)+VLOOKUP(B199&amp;"; "&amp;H199&amp;", "&amp;L$194,'FE Intrants'!$G:$U,12,FALSE)),
(VLOOKUP(B199&amp;"; "&amp;H199&amp;", "&amp;M$194,'FE Intrants'!$G:$U,11,FALSE)+VLOOKUP(B199&amp;"; "&amp;H199&amp;", "&amp;M$194,'FE Intrants'!$G:$U,12,FALSE))),
F199*VLOOKUP(B199&amp;"; "&amp;H199&amp;", "&amp;I$194,'FE Intrants'!$G:$U,11,FALSE)+VLOOKUP(B199&amp;"; "&amp;H199&amp;", "&amp;I$194,'FE Intrants'!$G:$U,12,FALSE))</f>
        <v>0</v>
      </c>
      <c r="X199" s="565">
        <f>IFERROR(F199*SUM((VLOOKUP(B199&amp;"; "&amp;H199&amp;", "&amp;I$194,'FE Intrants'!$G:$U,13,FALSE)),
VLOOKUP(B199&amp;"; "&amp;H199&amp;", "&amp;J$194,'FE Intrants'!$G:$U,13,FALSE),
VLOOKUP(B199&amp;"; "&amp;H199&amp;", "&amp;K$194,'FE Intrants'!$G:$U,13,FALSE),
VLOOKUP(B199&amp;"; "&amp;H199&amp;", "&amp;L$194,'FE Intrants'!$G:$U,13,FALSE),
VLOOKUP(B199&amp;"; "&amp;H199&amp;", "&amp;M$194,'FE Intrants'!$G:$U,13,FALSE)),
F199*VLOOKUP(B199&amp;"; "&amp;H199&amp;", "&amp;I$194,'FE Intrants'!$G:$U,13,FALSE))</f>
        <v>0</v>
      </c>
      <c r="Y199" s="565">
        <f>IFERROR(F199*SUM((VLOOKUP(B199&amp;"; "&amp;H199&amp;", "&amp;I$194,'FE Intrants'!$G:$U,14,FALSE)),
VLOOKUP(B199&amp;"; "&amp;H199&amp;", "&amp;J$194,'FE Intrants'!$G:$U,14,FALSE),
VLOOKUP(B199&amp;"; "&amp;H199&amp;", "&amp;K$194,'FE Intrants'!$G:$U,14,FALSE),
VLOOKUP(B199&amp;"; "&amp;H199&amp;", "&amp;L$194,'FE Intrants'!$G:$U,14,FALSE),
VLOOKUP(B199&amp;"; "&amp;H199&amp;", "&amp;M$194,'FE Intrants'!$G:$U,14,FALSE)),
F199*VLOOKUP(B199&amp;"; "&amp;H199&amp;", "&amp;I$194,'FE Intrants'!$G:$U,14,FALSE))</f>
        <v>0</v>
      </c>
      <c r="Z199" s="567">
        <f t="shared" si="21"/>
        <v>0</v>
      </c>
      <c r="AA199" s="590">
        <f>IFERROR(F199*SUM((VLOOKUP(B199&amp;"; "&amp;H199&amp;", "&amp;I$194,'FE Intrants'!$G:$U,15,FALSE)),
VLOOKUP(B199&amp;"; "&amp;H199&amp;", "&amp;J$194,'FE Intrants'!$G:$U,15,FALSE),
VLOOKUP(B199&amp;"; "&amp;H199&amp;", "&amp;K$194,'FE Intrants'!$G:$U,15,FALSE),
VLOOKUP(B199&amp;"; "&amp;H199&amp;", "&amp;L$194,'FE Intrants'!$G:$U,15,FALSE),
VLOOKUP(B199&amp;"; "&amp;H199&amp;", "&amp;M$194,'FE Intrants'!$G:$U,15,FALSE)),
F199*VLOOKUP(B199&amp;"; "&amp;H199&amp;", "&amp;I$194,'FE Intrants'!$G:$U,15,FALSE))</f>
        <v>0</v>
      </c>
      <c r="AC199" s="2326">
        <f>IF($R199&lt;&gt;"votre valeur :",IF(ISNA(VLOOKUP($R199,Utilitaires!$N$566:$O$571,2,FALSE)),,VLOOKUP($R199,Utilitaires!$N$566:$O$571,2,FALSE)),$S199)</f>
        <v>0</v>
      </c>
      <c r="AD199" s="1130">
        <f>SQRT(SUMSQ(AC199,VLOOKUP(B199&amp;"; "&amp;$H199&amp;", "&amp;$I$194,'FE Intrants'!G:U,7,FALSE)))</f>
        <v>0.5</v>
      </c>
    </row>
    <row r="200" spans="2:30" s="114" customFormat="1" ht="13.2" outlineLevel="1">
      <c r="B200" s="143" t="s">
        <v>4158</v>
      </c>
      <c r="C200" s="144"/>
      <c r="D200" s="212">
        <f>N200</f>
        <v>0</v>
      </c>
      <c r="E200" s="212"/>
      <c r="F200" s="120"/>
      <c r="G200" s="224"/>
      <c r="H200" s="1212" t="str">
        <f>VLOOKUP(B200,'FE Intrants'!F:U,5,FALSE)</f>
        <v>kgCO2e/unité</v>
      </c>
      <c r="I200" s="212">
        <f>VLOOKUP($B200&amp;"; "&amp;$H200&amp;", "&amp;$I$194,'FE Intrants'!$G:$U,9,FALSE)*$F200</f>
        <v>0</v>
      </c>
      <c r="J200" s="212">
        <f>IF(ISNA(VLOOKUP($B200&amp;"; "&amp;$H199&amp;", "&amp;$J$194,'FE Intrants'!$G:$U,9,FALSE)),0,VLOOKUP($B200&amp;"; "&amp;$H199&amp;", "&amp;$J$194,'FE Intrants'!$G:$U,9,FALSE)*$F199)</f>
        <v>0</v>
      </c>
      <c r="K200" s="212">
        <f>IF(ISNA(VLOOKUP($B200&amp;"; "&amp;$H200&amp;", "&amp;$K$194,'FE Intrants'!$G:$U,9,FALSE)),0,VLOOKUP($B200&amp;"; "&amp;$H200&amp;", "&amp;$K$194,'FE Intrants'!$G:$U,9,FALSE)*$F200)</f>
        <v>0</v>
      </c>
      <c r="L200" s="212">
        <f>IF(ISNA(VLOOKUP($B200&amp;"; "&amp;$H200&amp;", "&amp;$L$194,'FE Intrants'!$G:$U,9,FALSE)),0,VLOOKUP($B200&amp;"; "&amp;$H200&amp;", "&amp;$L$194,'FE Intrants'!$G:$U,9,FALSE)*$F200)</f>
        <v>0</v>
      </c>
      <c r="M200" s="212">
        <f>IF(ISNA(VLOOKUP($B200&amp;"; "&amp;$H200&amp;", "&amp;$M$194,'FE Intrants'!$G:$U,9,FALSE)),0,VLOOKUP($B200&amp;"; "&amp;$H200&amp;", "&amp;$M$194,'FE Intrants'!$G:$U,9,FALSE)*$F200)</f>
        <v>0</v>
      </c>
      <c r="N200" s="1216">
        <f t="shared" ref="N200:N201" si="22">SUM(I200:M200)</f>
        <v>0</v>
      </c>
      <c r="Q200" s="319">
        <f>IF(T200=0,T200,T200/N200)</f>
        <v>0</v>
      </c>
      <c r="R200" s="1218"/>
      <c r="S200" s="820"/>
      <c r="T200" s="152">
        <f t="shared" si="20"/>
        <v>0</v>
      </c>
      <c r="V200" s="564">
        <f>IFERROR(F200*SUM((VLOOKUP(B200&amp;"; "&amp;H200&amp;", "&amp;I$194,'FE Intrants'!$G:$U,10,FALSE)),
VLOOKUP(B200&amp;"; "&amp;H200&amp;", "&amp;J$194,'FE Intrants'!$G:$U,10,FALSE),
VLOOKUP(B200&amp;"; "&amp;H200&amp;", "&amp;K$194,'FE Intrants'!$G:$U,10,FALSE),
VLOOKUP(B200&amp;"; "&amp;H200&amp;", "&amp;L$194,'FE Intrants'!$G:$U,10,FALSE),
VLOOKUP(B200&amp;"; "&amp;H200&amp;", "&amp;M$194,'FE Intrants'!$G:$U,10,FALSE)),
F200*VLOOKUP(B200&amp;"; "&amp;H200&amp;", "&amp;I$194,'FE Intrants'!$G:$U,10,FALSE))</f>
        <v>0</v>
      </c>
      <c r="W200" s="565">
        <f>IFERROR(F200*SUM((VLOOKUP(B200&amp;"; "&amp;H200&amp;", "&amp;I$194,'FE Intrants'!$G:$U,11,FALSE)+VLOOKUP(B200&amp;"; "&amp;H200&amp;", "&amp;I$194,'FE Intrants'!$G:$U,12,FALSE)),
(VLOOKUP(B200&amp;"; "&amp;H200&amp;", "&amp;J$194,'FE Intrants'!$G:$U,11,FALSE)+VLOOKUP(B200&amp;"; "&amp;H200&amp;", "&amp;J$194,'FE Intrants'!$G:$U,12,FALSE)),
(VLOOKUP(B200&amp;"; "&amp;H200&amp;", "&amp;K$194,'FE Intrants'!$G:$U,11,FALSE)+VLOOKUP(B200&amp;"; "&amp;H200&amp;", "&amp;K$194,'FE Intrants'!$G:$U,12,FALSE)),
(VLOOKUP(B200&amp;"; "&amp;H200&amp;", "&amp;L$194,'FE Intrants'!$G:$U,11,FALSE)+VLOOKUP(B200&amp;"; "&amp;H200&amp;", "&amp;L$194,'FE Intrants'!$G:$U,12,FALSE)),
(VLOOKUP(B200&amp;"; "&amp;H200&amp;", "&amp;M$194,'FE Intrants'!$G:$U,11,FALSE)+VLOOKUP(B200&amp;"; "&amp;H200&amp;", "&amp;M$194,'FE Intrants'!$G:$U,12,FALSE))),
F200*VLOOKUP(B200&amp;"; "&amp;H200&amp;", "&amp;I$194,'FE Intrants'!$G:$U,11,FALSE)+VLOOKUP(B200&amp;"; "&amp;H200&amp;", "&amp;I$194,'FE Intrants'!$G:$U,12,FALSE))</f>
        <v>0</v>
      </c>
      <c r="X200" s="565">
        <f>IFERROR(F200*SUM((VLOOKUP(B200&amp;"; "&amp;H200&amp;", "&amp;I$194,'FE Intrants'!$G:$U,13,FALSE)),
VLOOKUP(B200&amp;"; "&amp;H200&amp;", "&amp;J$194,'FE Intrants'!$G:$U,13,FALSE),
VLOOKUP(B200&amp;"; "&amp;H200&amp;", "&amp;K$194,'FE Intrants'!$G:$U,13,FALSE),
VLOOKUP(B200&amp;"; "&amp;H200&amp;", "&amp;L$194,'FE Intrants'!$G:$U,13,FALSE),
VLOOKUP(B200&amp;"; "&amp;H200&amp;", "&amp;M$194,'FE Intrants'!$G:$U,13,FALSE)),
F200*VLOOKUP(B200&amp;"; "&amp;H200&amp;", "&amp;I$194,'FE Intrants'!$G:$U,13,FALSE))</f>
        <v>0</v>
      </c>
      <c r="Y200" s="565">
        <f>IFERROR(F200*SUM((VLOOKUP(B200&amp;"; "&amp;H200&amp;", "&amp;I$194,'FE Intrants'!$G:$U,14,FALSE)),
VLOOKUP(B200&amp;"; "&amp;H200&amp;", "&amp;J$194,'FE Intrants'!$G:$U,14,FALSE),
VLOOKUP(B200&amp;"; "&amp;H200&amp;", "&amp;K$194,'FE Intrants'!$G:$U,14,FALSE),
VLOOKUP(B200&amp;"; "&amp;H200&amp;", "&amp;L$194,'FE Intrants'!$G:$U,14,FALSE),
VLOOKUP(B200&amp;"; "&amp;H200&amp;", "&amp;M$194,'FE Intrants'!$G:$U,14,FALSE)),
F200*VLOOKUP(B200&amp;"; "&amp;H200&amp;", "&amp;I$194,'FE Intrants'!$G:$U,14,FALSE))</f>
        <v>0</v>
      </c>
      <c r="Z200" s="567">
        <f>SUM(V200:Y200)</f>
        <v>0</v>
      </c>
      <c r="AA200" s="590">
        <f>IFERROR(F200*SUM((VLOOKUP(B200&amp;"; "&amp;H200&amp;", "&amp;I$194,'FE Intrants'!$G:$U,15,FALSE)),
VLOOKUP(B200&amp;"; "&amp;H200&amp;", "&amp;J$194,'FE Intrants'!$G:$U,15,FALSE),
VLOOKUP(B200&amp;"; "&amp;H200&amp;", "&amp;K$194,'FE Intrants'!$G:$U,15,FALSE),
VLOOKUP(B200&amp;"; "&amp;H200&amp;", "&amp;L$194,'FE Intrants'!$G:$U,15,FALSE),
VLOOKUP(B200&amp;"; "&amp;H200&amp;", "&amp;M$194,'FE Intrants'!$G:$U,15,FALSE)),
F200*VLOOKUP(B200&amp;"; "&amp;H200&amp;", "&amp;I$194,'FE Intrants'!$G:$U,15,FALSE))</f>
        <v>0</v>
      </c>
      <c r="AC200" s="2077">
        <f>IF($R200&lt;&gt;"votre valeur :",IF(ISNA(VLOOKUP($R200,Utilitaires!$N$566:$O$571,2,FALSE)),,VLOOKUP($R200,Utilitaires!$N$566:$O$571,2,FALSE)),$S200)</f>
        <v>0</v>
      </c>
      <c r="AD200" s="1130">
        <f>SQRT(SUMSQ(AC200,VLOOKUP(B200&amp;"; "&amp;$H200&amp;", "&amp;$I$194,'FE Intrants'!G:U,7,FALSE)))</f>
        <v>0.5</v>
      </c>
    </row>
    <row r="201" spans="2:30" s="114" customFormat="1" ht="13.2" outlineLevel="1">
      <c r="B201" s="143" t="s">
        <v>4159</v>
      </c>
      <c r="C201" s="144"/>
      <c r="D201" s="212">
        <f>N201</f>
        <v>0</v>
      </c>
      <c r="E201" s="212"/>
      <c r="F201" s="123"/>
      <c r="G201" s="224"/>
      <c r="H201" s="1213" t="str">
        <f>VLOOKUP(B201,'FE Intrants'!F:U,5,FALSE)</f>
        <v>kgCO2e/tonne</v>
      </c>
      <c r="I201" s="212">
        <f>VLOOKUP($B201&amp;"; "&amp;$H201&amp;", "&amp;$I$194,'FE Intrants'!$G:$U,9,FALSE)*$F201</f>
        <v>0</v>
      </c>
      <c r="J201" s="212">
        <f>IF(ISNA(VLOOKUP($B201&amp;"; "&amp;$H200&amp;", "&amp;$J$194,'FE Intrants'!$G:$U,9,FALSE)),0,VLOOKUP($B201&amp;"; "&amp;$H200&amp;", "&amp;$J$194,'FE Intrants'!$G:$U,9,FALSE)*$F200)</f>
        <v>0</v>
      </c>
      <c r="K201" s="212">
        <f>IF(ISNA(VLOOKUP($B201&amp;"; "&amp;$H201&amp;", "&amp;$K$194,'FE Intrants'!$G:$U,9,FALSE)),0,VLOOKUP($B201&amp;"; "&amp;$H201&amp;", "&amp;$K$194,'FE Intrants'!$G:$U,9,FALSE)*$F201)</f>
        <v>0</v>
      </c>
      <c r="L201" s="212">
        <f>IF(ISNA(VLOOKUP($B201&amp;"; "&amp;$H201&amp;", "&amp;$L$194,'FE Intrants'!$G:$U,9,FALSE)),0,VLOOKUP($B201&amp;"; "&amp;$H201&amp;", "&amp;$L$194,'FE Intrants'!$G:$U,9,FALSE)*$F201)</f>
        <v>0</v>
      </c>
      <c r="M201" s="212">
        <f>IF(ISNA(VLOOKUP($B201&amp;"; "&amp;$H201&amp;", "&amp;$M$194,'FE Intrants'!$G:$U,9,FALSE)),0,VLOOKUP($B201&amp;"; "&amp;$H201&amp;", "&amp;$M$194,'FE Intrants'!$G:$U,9,FALSE)*$F201)</f>
        <v>0</v>
      </c>
      <c r="N201" s="1216">
        <f t="shared" si="22"/>
        <v>0</v>
      </c>
      <c r="Q201" s="319">
        <f>IF(T201=0,T201,T201/N201)</f>
        <v>0</v>
      </c>
      <c r="R201" s="1218"/>
      <c r="S201" s="820"/>
      <c r="T201" s="152">
        <f t="shared" si="20"/>
        <v>0</v>
      </c>
      <c r="V201" s="564">
        <f>IFERROR(F201*SUM((VLOOKUP(B201&amp;"; "&amp;H201&amp;", "&amp;I$194,'FE Intrants'!$G:$U,10,FALSE)),
VLOOKUP(B201&amp;"; "&amp;H201&amp;", "&amp;J$194,'FE Intrants'!$G:$U,10,FALSE),
VLOOKUP(B201&amp;"; "&amp;H201&amp;", "&amp;K$194,'FE Intrants'!$G:$U,10,FALSE),
VLOOKUP(B201&amp;"; "&amp;H201&amp;", "&amp;L$194,'FE Intrants'!$G:$U,10,FALSE),
VLOOKUP(B201&amp;"; "&amp;H201&amp;", "&amp;M$194,'FE Intrants'!$G:$U,10,FALSE)),
F201*VLOOKUP(B201&amp;"; "&amp;H201&amp;", "&amp;I$194,'FE Intrants'!$G:$U,10,FALSE))</f>
        <v>0</v>
      </c>
      <c r="W201" s="565">
        <f>IFERROR(F201*SUM((VLOOKUP(B201&amp;"; "&amp;H201&amp;", "&amp;I$194,'FE Intrants'!$G:$U,11,FALSE)+VLOOKUP(B201&amp;"; "&amp;H201&amp;", "&amp;I$194,'FE Intrants'!$G:$U,12,FALSE)),
(VLOOKUP(B201&amp;"; "&amp;H201&amp;", "&amp;J$194,'FE Intrants'!$G:$U,11,FALSE)+VLOOKUP(B201&amp;"; "&amp;H201&amp;", "&amp;J$194,'FE Intrants'!$G:$U,12,FALSE)),
(VLOOKUP(B201&amp;"; "&amp;H201&amp;", "&amp;K$194,'FE Intrants'!$G:$U,11,FALSE)+VLOOKUP(B201&amp;"; "&amp;H201&amp;", "&amp;K$194,'FE Intrants'!$G:$U,12,FALSE)),
(VLOOKUP(B201&amp;"; "&amp;H201&amp;", "&amp;L$194,'FE Intrants'!$G:$U,11,FALSE)+VLOOKUP(B201&amp;"; "&amp;H201&amp;", "&amp;L$194,'FE Intrants'!$G:$U,12,FALSE)),
(VLOOKUP(B201&amp;"; "&amp;H201&amp;", "&amp;M$194,'FE Intrants'!$G:$U,11,FALSE)+VLOOKUP(B201&amp;"; "&amp;H201&amp;", "&amp;M$194,'FE Intrants'!$G:$U,12,FALSE))),
F201*VLOOKUP(B201&amp;"; "&amp;H201&amp;", "&amp;I$194,'FE Intrants'!$G:$U,11,FALSE)+VLOOKUP(B201&amp;"; "&amp;H201&amp;", "&amp;I$194,'FE Intrants'!$G:$U,12,FALSE))</f>
        <v>0</v>
      </c>
      <c r="X201" s="565">
        <f>IFERROR(F201*SUM((VLOOKUP(B201&amp;"; "&amp;H201&amp;", "&amp;I$194,'FE Intrants'!$G:$U,13,FALSE)),
VLOOKUP(B201&amp;"; "&amp;H201&amp;", "&amp;J$194,'FE Intrants'!$G:$U,13,FALSE),
VLOOKUP(B201&amp;"; "&amp;H201&amp;", "&amp;K$194,'FE Intrants'!$G:$U,13,FALSE),
VLOOKUP(B201&amp;"; "&amp;H201&amp;", "&amp;L$194,'FE Intrants'!$G:$U,13,FALSE),
VLOOKUP(B201&amp;"; "&amp;H201&amp;", "&amp;M$194,'FE Intrants'!$G:$U,13,FALSE)),
F201*VLOOKUP(B201&amp;"; "&amp;H201&amp;", "&amp;I$194,'FE Intrants'!$G:$U,13,FALSE))</f>
        <v>0</v>
      </c>
      <c r="Y201" s="565">
        <f>IFERROR(F201*SUM((VLOOKUP(B201&amp;"; "&amp;H201&amp;", "&amp;I$194,'FE Intrants'!$G:$U,14,FALSE)),
VLOOKUP(B201&amp;"; "&amp;H201&amp;", "&amp;J$194,'FE Intrants'!$G:$U,14,FALSE),
VLOOKUP(B201&amp;"; "&amp;H201&amp;", "&amp;K$194,'FE Intrants'!$G:$U,14,FALSE),
VLOOKUP(B201&amp;"; "&amp;H201&amp;", "&amp;L$194,'FE Intrants'!$G:$U,14,FALSE),
VLOOKUP(B201&amp;"; "&amp;H201&amp;", "&amp;M$194,'FE Intrants'!$G:$U,14,FALSE)),
F201*VLOOKUP(B201&amp;"; "&amp;H201&amp;", "&amp;I$194,'FE Intrants'!$G:$U,14,FALSE))</f>
        <v>0</v>
      </c>
      <c r="Z201" s="567">
        <f>SUM(V201:Y201)</f>
        <v>0</v>
      </c>
      <c r="AA201" s="590">
        <f>IFERROR(F201*SUM((VLOOKUP(B201&amp;"; "&amp;H201&amp;", "&amp;I$194,'FE Intrants'!$G:$U,15,FALSE)),
VLOOKUP(B201&amp;"; "&amp;H201&amp;", "&amp;J$194,'FE Intrants'!$G:$U,15,FALSE),
VLOOKUP(B201&amp;"; "&amp;H201&amp;", "&amp;K$194,'FE Intrants'!$G:$U,15,FALSE),
VLOOKUP(B201&amp;"; "&amp;H201&amp;", "&amp;L$194,'FE Intrants'!$G:$U,15,FALSE),
VLOOKUP(B201&amp;"; "&amp;H201&amp;", "&amp;M$194,'FE Intrants'!$G:$U,15,FALSE)),
F201*VLOOKUP(B201&amp;"; "&amp;H201&amp;", "&amp;I$194,'FE Intrants'!$G:$U,15,FALSE))</f>
        <v>0</v>
      </c>
      <c r="AC201" s="2077">
        <f>IF($R201&lt;&gt;"votre valeur :",IF(ISNA(VLOOKUP($R201,Utilitaires!$N$566:$O$571,2,FALSE)),,VLOOKUP($R201,Utilitaires!$N$566:$O$571,2,FALSE)),$S201)</f>
        <v>0</v>
      </c>
      <c r="AD201" s="1130">
        <f>SQRT(SUMSQ(AC201,VLOOKUP(B201&amp;"; "&amp;$H201&amp;", "&amp;$I$194,'FE Intrants'!G:U,7,FALSE)))</f>
        <v>0.3</v>
      </c>
    </row>
    <row r="202" spans="2:30" s="114" customFormat="1" ht="13.2" outlineLevel="1">
      <c r="B202" s="143"/>
      <c r="C202" s="144"/>
      <c r="D202" s="212"/>
      <c r="E202" s="212"/>
      <c r="F202" s="212"/>
      <c r="G202" s="224"/>
      <c r="H202" s="2067"/>
      <c r="I202" s="212"/>
      <c r="J202" s="212"/>
      <c r="K202" s="212"/>
      <c r="L202" s="212"/>
      <c r="M202" s="212"/>
      <c r="N202" s="1216"/>
      <c r="Q202" s="319"/>
      <c r="R202" s="820"/>
      <c r="S202" s="820"/>
      <c r="T202" s="152"/>
      <c r="V202" s="564"/>
      <c r="W202" s="565"/>
      <c r="X202" s="565"/>
      <c r="Y202" s="565"/>
      <c r="Z202" s="567"/>
      <c r="AA202" s="590"/>
      <c r="AC202" s="2077"/>
      <c r="AD202" s="1130"/>
    </row>
    <row r="203" spans="2:30" s="114" customFormat="1" ht="13.2" outlineLevel="1">
      <c r="B203" s="332" t="s">
        <v>121</v>
      </c>
      <c r="C203" s="144"/>
      <c r="D203" s="212"/>
      <c r="E203" s="212"/>
      <c r="F203" s="212"/>
      <c r="G203" s="224"/>
      <c r="H203" s="2067"/>
      <c r="I203" s="212"/>
      <c r="J203" s="212"/>
      <c r="K203" s="212"/>
      <c r="L203" s="212"/>
      <c r="M203" s="212"/>
      <c r="N203" s="1216"/>
      <c r="Q203" s="319"/>
      <c r="R203" s="820"/>
      <c r="S203" s="820"/>
      <c r="T203" s="152"/>
      <c r="V203" s="564"/>
      <c r="W203" s="565"/>
      <c r="X203" s="565"/>
      <c r="Y203" s="565"/>
      <c r="Z203" s="567"/>
      <c r="AA203" s="590"/>
      <c r="AC203" s="2077"/>
      <c r="AD203" s="1130"/>
    </row>
    <row r="204" spans="2:30" s="114" customFormat="1" ht="13.2" outlineLevel="1">
      <c r="B204" s="143" t="s">
        <v>3257</v>
      </c>
      <c r="C204" s="144"/>
      <c r="D204" s="212">
        <f>N204</f>
        <v>27525.000000000004</v>
      </c>
      <c r="E204" s="212"/>
      <c r="F204" s="117">
        <v>750</v>
      </c>
      <c r="G204" s="224">
        <f>VLOOKUP($B204&amp;"; "&amp;H204,'FE Intrants'!$G:$U,9,FALSE)</f>
        <v>36.700000000000003</v>
      </c>
      <c r="H204" s="1211" t="str">
        <f>VLOOKUP(B204,'FE Intrants'!F:U,5,FALSE)</f>
        <v xml:space="preserve">kgCO2e/tonne </v>
      </c>
      <c r="I204" s="212"/>
      <c r="J204" s="212"/>
      <c r="K204" s="212"/>
      <c r="L204" s="212"/>
      <c r="M204" s="212"/>
      <c r="N204" s="1216">
        <f>F204*G204</f>
        <v>27525.000000000004</v>
      </c>
      <c r="Q204" s="319">
        <f>IF(T204=0,T204,T204/N204)</f>
        <v>0.5</v>
      </c>
      <c r="R204" s="1016"/>
      <c r="S204" s="820"/>
      <c r="T204" s="152">
        <f>F204*G204*AD204</f>
        <v>13762.500000000002</v>
      </c>
      <c r="V204" s="564">
        <f>IF($F204*VLOOKUP($B204&amp;"; "&amp;$H204,'FE Intrants'!$G:$U,10,FALSE)=0,N204,$F204*VLOOKUP($B204&amp;"; "&amp;$H204,'FE Intrants'!$G:$U,10,FALSE))</f>
        <v>27525.000000000004</v>
      </c>
      <c r="W204" s="565">
        <f>$F204*(VLOOKUP($B204&amp;"; "&amp;$H204,'FE Intrants'!$G:$U,11,FALSE)+VLOOKUP($B204&amp;"; "&amp;$H204,'FE Intrants'!$G:$U,12,FALSE))</f>
        <v>0</v>
      </c>
      <c r="X204" s="565">
        <f>$F204*VLOOKUP($B204&amp;"; "&amp;$H204,'FE Intrants'!$G:$U,13,FALSE)</f>
        <v>0</v>
      </c>
      <c r="Y204" s="565">
        <f>$F204*VLOOKUP($B204&amp;"; "&amp;$H204,'FE Intrants'!$G:$U,14,FALSE)</f>
        <v>0</v>
      </c>
      <c r="Z204" s="567">
        <f t="shared" ref="Z204:Z259" si="23">SUM(V204:Y204)</f>
        <v>27525.000000000004</v>
      </c>
      <c r="AA204" s="590">
        <f>$F204*VLOOKUP($B204&amp;"; "&amp;$H204,'FE Intrants'!$G:$U,15,FALSE)</f>
        <v>0</v>
      </c>
      <c r="AC204" s="2077">
        <f>IF($R204&lt;&gt;"votre valeur :",IF(ISNA(VLOOKUP($R204,Utilitaires!$N$566:$O$571,2,FALSE)),,VLOOKUP($R204,Utilitaires!$N$566:$O$571,2,FALSE)),$S204)</f>
        <v>0</v>
      </c>
      <c r="AD204" s="1130">
        <f>SQRT(SUMSQ(AC204,VLOOKUP(B204&amp;"; "&amp;$H204,'FE Intrants'!G:U,7,FALSE)))</f>
        <v>0.5</v>
      </c>
    </row>
    <row r="205" spans="2:30" s="114" customFormat="1" ht="13.2" outlineLevel="1">
      <c r="B205" s="143" t="s">
        <v>3258</v>
      </c>
      <c r="C205" s="144"/>
      <c r="D205" s="212">
        <f>N205</f>
        <v>0</v>
      </c>
      <c r="E205" s="212"/>
      <c r="F205" s="123"/>
      <c r="G205" s="224">
        <f>VLOOKUP($B205&amp;"; "&amp;H205,'FE Intrants'!$G:$U,9,FALSE)</f>
        <v>36.700000000000003</v>
      </c>
      <c r="H205" s="1213" t="str">
        <f>VLOOKUP(B205,'FE Intrants'!F:U,5,FALSE)</f>
        <v xml:space="preserve">kgCO2e/tonne </v>
      </c>
      <c r="I205" s="212"/>
      <c r="J205" s="212"/>
      <c r="K205" s="212"/>
      <c r="L205" s="212"/>
      <c r="M205" s="212"/>
      <c r="N205" s="1216">
        <f>F205*G205</f>
        <v>0</v>
      </c>
      <c r="Q205" s="319">
        <f>IF(T205=0,T205,T205/N205)</f>
        <v>0</v>
      </c>
      <c r="R205" s="1016"/>
      <c r="S205" s="820"/>
      <c r="T205" s="152">
        <f>F205*G205*AD205</f>
        <v>0</v>
      </c>
      <c r="V205" s="564">
        <f>IF($F205*VLOOKUP($B205&amp;"; "&amp;$H205,'FE Intrants'!$G:$U,10,FALSE)=0,N205,$F205*VLOOKUP($B205&amp;"; "&amp;$H205,'FE Intrants'!$G:$U,10,FALSE))</f>
        <v>0</v>
      </c>
      <c r="W205" s="565">
        <f>$F205*(VLOOKUP($B205&amp;"; "&amp;$H205,'FE Intrants'!$G:$U,11,FALSE)+VLOOKUP($B205&amp;"; "&amp;$H205,'FE Intrants'!$G:$U,12,FALSE))</f>
        <v>0</v>
      </c>
      <c r="X205" s="565">
        <f>$F205*VLOOKUP($B205&amp;"; "&amp;$H205,'FE Intrants'!$G:$U,13,FALSE)</f>
        <v>0</v>
      </c>
      <c r="Y205" s="565">
        <f>$F205*VLOOKUP($B205&amp;"; "&amp;$H205,'FE Intrants'!$G:$U,14,FALSE)</f>
        <v>0</v>
      </c>
      <c r="Z205" s="567">
        <f t="shared" si="23"/>
        <v>0</v>
      </c>
      <c r="AA205" s="590">
        <f>$F205*VLOOKUP($B205&amp;"; "&amp;$H205,'FE Intrants'!$G:$U,15,FALSE)</f>
        <v>0</v>
      </c>
      <c r="AC205" s="2077">
        <f>IF($R205&lt;&gt;"votre valeur :",IF(ISNA(VLOOKUP($R205,Utilitaires!$N$566:$O$571,2,FALSE)),,VLOOKUP($R205,Utilitaires!$N$566:$O$571,2,FALSE)),$S205)</f>
        <v>0</v>
      </c>
      <c r="AD205" s="1130">
        <f>SQRT(SUMSQ(AC205,VLOOKUP(B205&amp;"; "&amp;$H205,'FE Intrants'!G:U,7,FALSE)))</f>
        <v>0.2</v>
      </c>
    </row>
    <row r="206" spans="2:30" s="114" customFormat="1" ht="13.2" outlineLevel="1">
      <c r="B206" s="143"/>
      <c r="C206" s="144"/>
      <c r="D206" s="212"/>
      <c r="E206" s="212"/>
      <c r="F206" s="212"/>
      <c r="G206" s="224"/>
      <c r="H206" s="2067"/>
      <c r="I206" s="2210"/>
      <c r="J206" s="2210"/>
      <c r="K206" s="2210"/>
      <c r="L206" s="2210"/>
      <c r="M206" s="2210"/>
      <c r="N206" s="1216"/>
      <c r="Q206" s="319"/>
      <c r="R206" s="212"/>
      <c r="S206" s="212"/>
      <c r="T206" s="152"/>
      <c r="V206" s="564"/>
      <c r="W206" s="565"/>
      <c r="X206" s="565"/>
      <c r="Y206" s="565"/>
      <c r="Z206" s="567"/>
      <c r="AA206" s="590"/>
      <c r="AC206" s="2209"/>
      <c r="AD206" s="1130"/>
    </row>
    <row r="207" spans="2:30" s="114" customFormat="1" ht="13.2" outlineLevel="1">
      <c r="B207" s="332" t="s">
        <v>3727</v>
      </c>
      <c r="C207" s="144"/>
      <c r="D207" s="212"/>
      <c r="E207" s="212"/>
      <c r="F207" s="212"/>
      <c r="G207" s="224"/>
      <c r="H207" s="2067"/>
      <c r="I207" s="2210"/>
      <c r="J207" s="2210"/>
      <c r="K207" s="2210"/>
      <c r="L207" s="2210"/>
      <c r="M207" s="2210"/>
      <c r="N207" s="1216"/>
      <c r="Q207" s="319"/>
      <c r="R207" s="212"/>
      <c r="S207" s="212"/>
      <c r="T207" s="152"/>
      <c r="V207" s="564"/>
      <c r="W207" s="565"/>
      <c r="X207" s="565"/>
      <c r="Y207" s="565"/>
      <c r="Z207" s="567"/>
      <c r="AA207" s="590"/>
      <c r="AC207" s="2209"/>
      <c r="AD207" s="1130"/>
    </row>
    <row r="208" spans="2:30" s="114" customFormat="1" ht="13.2" outlineLevel="1">
      <c r="B208" s="143" t="s">
        <v>3998</v>
      </c>
      <c r="C208" s="144"/>
      <c r="D208" s="212">
        <f t="shared" ref="D208:D214" si="24">N208</f>
        <v>0</v>
      </c>
      <c r="E208" s="212"/>
      <c r="F208" s="117"/>
      <c r="G208" s="2220">
        <f>VLOOKUP($B208&amp;"; "&amp;H208,'FE Intrants'!$G:$U,9,FALSE)</f>
        <v>4.2000000000000003E-2</v>
      </c>
      <c r="H208" s="1211" t="str">
        <f>VLOOKUP(B208,'FE Intrants'!F:U,5,FALSE)</f>
        <v>kgCO2e/100 feuilles A4</v>
      </c>
      <c r="I208" s="2210"/>
      <c r="J208" s="2210"/>
      <c r="K208" s="2210"/>
      <c r="L208" s="2210"/>
      <c r="M208" s="2210"/>
      <c r="N208" s="1216">
        <f t="shared" ref="N208:N212" si="25">F208*G208</f>
        <v>0</v>
      </c>
      <c r="Q208" s="319">
        <f t="shared" ref="Q208:Q212" si="26">IF(T208=0,T208,T208/N208)</f>
        <v>0</v>
      </c>
      <c r="R208" s="1016"/>
      <c r="S208" s="212"/>
      <c r="T208" s="152">
        <f t="shared" ref="T208:T212" si="27">F208*G208*AD208</f>
        <v>0</v>
      </c>
      <c r="V208" s="564">
        <f>IF($F208*VLOOKUP($B208&amp;"; "&amp;$H208,'FE Intrants'!$G:$U,10,FALSE)=0,N208,$F208*VLOOKUP($B208&amp;"; "&amp;$H208,'FE Intrants'!$G:$U,10,FALSE))</f>
        <v>0</v>
      </c>
      <c r="W208" s="565">
        <f>$F208*(VLOOKUP($B208&amp;"; "&amp;$H208,'FE Intrants'!$G:$U,11,FALSE)+VLOOKUP($B208&amp;"; "&amp;$H208,'FE Intrants'!$G:$U,12,FALSE))</f>
        <v>0</v>
      </c>
      <c r="X208" s="565">
        <f>$F208*VLOOKUP($B208&amp;"; "&amp;$H208,'FE Intrants'!$G:$U,13,FALSE)</f>
        <v>0</v>
      </c>
      <c r="Y208" s="565">
        <f>$F208*VLOOKUP($B208&amp;"; "&amp;$H208,'FE Intrants'!$G:$U,14,FALSE)</f>
        <v>0</v>
      </c>
      <c r="Z208" s="567">
        <f t="shared" ref="Z208:Z212" si="28">SUM(V208:Y208)</f>
        <v>0</v>
      </c>
      <c r="AA208" s="590">
        <f>$F208*VLOOKUP($B208&amp;"; "&amp;$H208,'FE Intrants'!$G:$U,15,FALSE)</f>
        <v>0</v>
      </c>
      <c r="AC208" s="2209">
        <f>IF($R208&lt;&gt;"votre valeur :",IF(ISNA(VLOOKUP($R208,Utilitaires!$N$566:$O$571,2,FALSE)),,VLOOKUP($R208,Utilitaires!$N$566:$O$571,2,FALSE)),$S208)</f>
        <v>0</v>
      </c>
      <c r="AD208" s="1130">
        <f>SQRT(SUMSQ(AC208,VLOOKUP(B208&amp;"; "&amp;$H208,'FE Intrants'!G:U,7,FALSE)))</f>
        <v>1</v>
      </c>
    </row>
    <row r="209" spans="2:30" s="114" customFormat="1" ht="13.2" outlineLevel="1">
      <c r="B209" s="143" t="s">
        <v>3999</v>
      </c>
      <c r="C209" s="144"/>
      <c r="D209" s="212">
        <f t="shared" si="24"/>
        <v>0</v>
      </c>
      <c r="E209" s="212"/>
      <c r="F209" s="120"/>
      <c r="G209" s="2220">
        <f>VLOOKUP($B209&amp;"; "&amp;H209,'FE Intrants'!$G:$U,9,FALSE)</f>
        <v>0.2</v>
      </c>
      <c r="H209" s="1212" t="str">
        <f>VLOOKUP(B209,'FE Intrants'!F:U,5,FALSE)</f>
        <v>kgCO2e/100 feuilles A4</v>
      </c>
      <c r="I209" s="2210"/>
      <c r="J209" s="2210"/>
      <c r="K209" s="2210"/>
      <c r="L209" s="2210"/>
      <c r="M209" s="2210"/>
      <c r="N209" s="1216">
        <f t="shared" si="25"/>
        <v>0</v>
      </c>
      <c r="Q209" s="319">
        <f t="shared" si="26"/>
        <v>0</v>
      </c>
      <c r="R209" s="1016"/>
      <c r="S209" s="212"/>
      <c r="T209" s="152">
        <f t="shared" si="27"/>
        <v>0</v>
      </c>
      <c r="V209" s="564">
        <f>IF($F209*VLOOKUP($B209&amp;"; "&amp;$H209,'FE Intrants'!$G:$U,10,FALSE)=0,N209,$F209*VLOOKUP($B209&amp;"; "&amp;$H209,'FE Intrants'!$G:$U,10,FALSE))</f>
        <v>0</v>
      </c>
      <c r="W209" s="565">
        <f>$F209*(VLOOKUP($B209&amp;"; "&amp;$H209,'FE Intrants'!$G:$U,11,FALSE)+VLOOKUP($B209&amp;"; "&amp;$H209,'FE Intrants'!$G:$U,12,FALSE))</f>
        <v>0</v>
      </c>
      <c r="X209" s="565">
        <f>$F209*VLOOKUP($B209&amp;"; "&amp;$H209,'FE Intrants'!$G:$U,13,FALSE)</f>
        <v>0</v>
      </c>
      <c r="Y209" s="565">
        <f>$F209*VLOOKUP($B209&amp;"; "&amp;$H209,'FE Intrants'!$G:$U,14,FALSE)</f>
        <v>0</v>
      </c>
      <c r="Z209" s="567">
        <f t="shared" si="28"/>
        <v>0</v>
      </c>
      <c r="AA209" s="590">
        <f>$F209*VLOOKUP($B209&amp;"; "&amp;$H209,'FE Intrants'!$G:$U,15,FALSE)</f>
        <v>0</v>
      </c>
      <c r="AC209" s="2209">
        <f>IF($R209&lt;&gt;"votre valeur :",IF(ISNA(VLOOKUP($R209,Utilitaires!$N$566:$O$571,2,FALSE)),,VLOOKUP($R209,Utilitaires!$N$566:$O$571,2,FALSE)),$S209)</f>
        <v>0</v>
      </c>
      <c r="AD209" s="1130">
        <f>SQRT(SUMSQ(AC209,VLOOKUP(B209&amp;"; "&amp;$H209,'FE Intrants'!G:U,7,FALSE)))</f>
        <v>1</v>
      </c>
    </row>
    <row r="210" spans="2:30" s="114" customFormat="1" ht="13.2" outlineLevel="1">
      <c r="B210" s="143" t="s">
        <v>4000</v>
      </c>
      <c r="C210" s="144"/>
      <c r="D210" s="212">
        <f t="shared" si="24"/>
        <v>0</v>
      </c>
      <c r="E210" s="212"/>
      <c r="F210" s="120"/>
      <c r="G210" s="2220">
        <f>VLOOKUP($B210&amp;"; "&amp;H210,'FE Intrants'!$G:$U,9,FALSE)</f>
        <v>0.23</v>
      </c>
      <c r="H210" s="1212" t="str">
        <f>VLOOKUP(B210,'FE Intrants'!F:U,5,FALSE)</f>
        <v>kgCO2e/100 feuilles A4</v>
      </c>
      <c r="I210" s="2210"/>
      <c r="J210" s="2210"/>
      <c r="K210" s="2210"/>
      <c r="L210" s="2210"/>
      <c r="M210" s="2210"/>
      <c r="N210" s="1216">
        <f t="shared" si="25"/>
        <v>0</v>
      </c>
      <c r="Q210" s="319">
        <f t="shared" si="26"/>
        <v>0</v>
      </c>
      <c r="R210" s="1016"/>
      <c r="S210" s="212"/>
      <c r="T210" s="152">
        <f t="shared" si="27"/>
        <v>0</v>
      </c>
      <c r="V210" s="564">
        <f>IF($F210*VLOOKUP($B210&amp;"; "&amp;$H210,'FE Intrants'!$G:$U,10,FALSE)=0,N210,$F210*VLOOKUP($B210&amp;"; "&amp;$H210,'FE Intrants'!$G:$U,10,FALSE))</f>
        <v>0</v>
      </c>
      <c r="W210" s="565">
        <f>$F210*(VLOOKUP($B210&amp;"; "&amp;$H210,'FE Intrants'!$G:$U,11,FALSE)+VLOOKUP($B210&amp;"; "&amp;$H210,'FE Intrants'!$G:$U,12,FALSE))</f>
        <v>0</v>
      </c>
      <c r="X210" s="565">
        <f>$F210*VLOOKUP($B210&amp;"; "&amp;$H210,'FE Intrants'!$G:$U,13,FALSE)</f>
        <v>0</v>
      </c>
      <c r="Y210" s="565">
        <f>$F210*VLOOKUP($B210&amp;"; "&amp;$H210,'FE Intrants'!$G:$U,14,FALSE)</f>
        <v>0</v>
      </c>
      <c r="Z210" s="567">
        <f t="shared" si="28"/>
        <v>0</v>
      </c>
      <c r="AA210" s="590">
        <f>$F210*VLOOKUP($B210&amp;"; "&amp;$H210,'FE Intrants'!$G:$U,15,FALSE)</f>
        <v>0</v>
      </c>
      <c r="AC210" s="2209">
        <f>IF($R210&lt;&gt;"votre valeur :",IF(ISNA(VLOOKUP($R210,Utilitaires!$N$566:$O$571,2,FALSE)),,VLOOKUP($R210,Utilitaires!$N$566:$O$571,2,FALSE)),$S210)</f>
        <v>0</v>
      </c>
      <c r="AD210" s="1130">
        <f>SQRT(SUMSQ(AC210,VLOOKUP(B210&amp;"; "&amp;$H210,'FE Intrants'!G:U,7,FALSE)))</f>
        <v>1</v>
      </c>
    </row>
    <row r="211" spans="2:30" s="114" customFormat="1" ht="13.2" outlineLevel="1">
      <c r="B211" s="143" t="s">
        <v>4001</v>
      </c>
      <c r="C211" s="144"/>
      <c r="D211" s="212">
        <f t="shared" si="24"/>
        <v>0</v>
      </c>
      <c r="E211" s="212"/>
      <c r="F211" s="120"/>
      <c r="G211" s="2220">
        <f>VLOOKUP($B211&amp;"; "&amp;H211,'FE Intrants'!$G:$U,9,FALSE)</f>
        <v>1870</v>
      </c>
      <c r="H211" s="1212" t="str">
        <f>VLOOKUP(B211,'FE Intrants'!F:U,5,FALSE)</f>
        <v>kgCO2e/tonne</v>
      </c>
      <c r="I211" s="2210"/>
      <c r="J211" s="2210"/>
      <c r="K211" s="2210"/>
      <c r="L211" s="2210"/>
      <c r="M211" s="2210"/>
      <c r="N211" s="1216">
        <f t="shared" si="25"/>
        <v>0</v>
      </c>
      <c r="Q211" s="319">
        <f t="shared" si="26"/>
        <v>0</v>
      </c>
      <c r="R211" s="1016"/>
      <c r="S211" s="212"/>
      <c r="T211" s="152">
        <f t="shared" si="27"/>
        <v>0</v>
      </c>
      <c r="V211" s="564">
        <f>IF($F211*VLOOKUP($B211&amp;"; "&amp;$H211,'FE Intrants'!$G:$U,10,FALSE)=0,N211,$F211*VLOOKUP($B211&amp;"; "&amp;$H211,'FE Intrants'!$G:$U,10,FALSE))</f>
        <v>0</v>
      </c>
      <c r="W211" s="565">
        <f>$F211*(VLOOKUP($B211&amp;"; "&amp;$H211,'FE Intrants'!$G:$U,11,FALSE)+VLOOKUP($B211&amp;"; "&amp;$H211,'FE Intrants'!$G:$U,12,FALSE))</f>
        <v>0</v>
      </c>
      <c r="X211" s="565">
        <f>$F211*VLOOKUP($B211&amp;"; "&amp;$H211,'FE Intrants'!$G:$U,13,FALSE)</f>
        <v>0</v>
      </c>
      <c r="Y211" s="565">
        <f>$F211*VLOOKUP($B211&amp;"; "&amp;$H211,'FE Intrants'!$G:$U,14,FALSE)</f>
        <v>0</v>
      </c>
      <c r="Z211" s="567">
        <f t="shared" si="28"/>
        <v>0</v>
      </c>
      <c r="AA211" s="590">
        <f>$F211*VLOOKUP($B211&amp;"; "&amp;$H211,'FE Intrants'!$G:$U,15,FALSE)</f>
        <v>0</v>
      </c>
      <c r="AC211" s="2209">
        <f>IF($R211&lt;&gt;"votre valeur :",IF(ISNA(VLOOKUP($R211,Utilitaires!$N$566:$O$571,2,FALSE)),,VLOOKUP($R211,Utilitaires!$N$566:$O$571,2,FALSE)),$S211)</f>
        <v>0</v>
      </c>
      <c r="AD211" s="1130">
        <f>SQRT(SUMSQ(AC211,VLOOKUP(B211&amp;"; "&amp;$H211,'FE Intrants'!G:U,7,FALSE)))</f>
        <v>1</v>
      </c>
    </row>
    <row r="212" spans="2:30" s="114" customFormat="1" ht="13.2" outlineLevel="1">
      <c r="B212" s="143" t="s">
        <v>4002</v>
      </c>
      <c r="C212" s="144"/>
      <c r="D212" s="212">
        <f t="shared" si="24"/>
        <v>0</v>
      </c>
      <c r="E212" s="212"/>
      <c r="F212" s="123"/>
      <c r="G212" s="2220">
        <f>VLOOKUP($B212&amp;"; "&amp;H212,'FE Intrants'!$G:$U,9,FALSE)</f>
        <v>0.36699999999999999</v>
      </c>
      <c r="H212" s="1213" t="str">
        <f>VLOOKUP(B212,'FE Intrants'!F:U,5,FALSE)</f>
        <v>kgCO2e/euro dépensé</v>
      </c>
      <c r="I212" s="2210"/>
      <c r="J212" s="2210"/>
      <c r="K212" s="2210"/>
      <c r="L212" s="2210"/>
      <c r="M212" s="2210"/>
      <c r="N212" s="1216">
        <f t="shared" si="25"/>
        <v>0</v>
      </c>
      <c r="Q212" s="319">
        <f t="shared" si="26"/>
        <v>0</v>
      </c>
      <c r="R212" s="1016"/>
      <c r="S212" s="212"/>
      <c r="T212" s="152">
        <f t="shared" si="27"/>
        <v>0</v>
      </c>
      <c r="V212" s="564">
        <f>IF($F212*VLOOKUP($B212&amp;"; "&amp;$H212,'FE Intrants'!$G:$U,10,FALSE)=0,N212,$F212*VLOOKUP($B212&amp;"; "&amp;$H212,'FE Intrants'!$G:$U,10,FALSE))</f>
        <v>0</v>
      </c>
      <c r="W212" s="565">
        <f>$F212*(VLOOKUP($B212&amp;"; "&amp;$H212,'FE Intrants'!$G:$U,11,FALSE)+VLOOKUP($B212&amp;"; "&amp;$H212,'FE Intrants'!$G:$U,12,FALSE))</f>
        <v>0</v>
      </c>
      <c r="X212" s="565">
        <f>$F212*VLOOKUP($B212&amp;"; "&amp;$H212,'FE Intrants'!$G:$U,13,FALSE)</f>
        <v>0</v>
      </c>
      <c r="Y212" s="565">
        <f>$F212*VLOOKUP($B212&amp;"; "&amp;$H212,'FE Intrants'!$G:$U,14,FALSE)</f>
        <v>0</v>
      </c>
      <c r="Z212" s="567">
        <f t="shared" si="28"/>
        <v>0</v>
      </c>
      <c r="AA212" s="590">
        <f>$F212*VLOOKUP($B212&amp;"; "&amp;$H212,'FE Intrants'!$G:$U,15,FALSE)</f>
        <v>0</v>
      </c>
      <c r="AC212" s="2209">
        <f>IF($R212&lt;&gt;"votre valeur :",IF(ISNA(VLOOKUP($R212,Utilitaires!$N$566:$O$571,2,FALSE)),,VLOOKUP($R212,Utilitaires!$N$566:$O$571,2,FALSE)),$S212)</f>
        <v>0</v>
      </c>
      <c r="AD212" s="1130">
        <f>SQRT(SUMSQ(AC212,VLOOKUP(B212&amp;"; "&amp;$H212,'FE Intrants'!G:U,7,FALSE)))</f>
        <v>0.5</v>
      </c>
    </row>
    <row r="213" spans="2:30" s="114" customFormat="1" ht="12.75" customHeight="1" outlineLevel="1">
      <c r="B213" s="143"/>
      <c r="C213" s="144"/>
      <c r="D213" s="212"/>
      <c r="E213" s="212"/>
      <c r="F213" s="212"/>
      <c r="G213" s="224"/>
      <c r="H213" s="2067"/>
      <c r="I213" s="2770" t="s">
        <v>444</v>
      </c>
      <c r="J213" s="2770"/>
      <c r="K213" s="2770"/>
      <c r="L213" s="2770"/>
      <c r="M213" s="2770"/>
      <c r="N213" s="1216"/>
      <c r="Q213" s="2083"/>
      <c r="R213" s="212"/>
      <c r="S213" s="212"/>
      <c r="T213" s="152"/>
      <c r="V213" s="564"/>
      <c r="W213" s="565"/>
      <c r="X213" s="565"/>
      <c r="Y213" s="565"/>
      <c r="Z213" s="567"/>
      <c r="AA213" s="590"/>
      <c r="AC213" s="2209"/>
      <c r="AD213" s="1130"/>
    </row>
    <row r="214" spans="2:30" s="114" customFormat="1" ht="12.75" customHeight="1" outlineLevel="1">
      <c r="B214" s="332" t="s">
        <v>3129</v>
      </c>
      <c r="C214" s="144"/>
      <c r="D214" s="212">
        <f t="shared" si="24"/>
        <v>0</v>
      </c>
      <c r="E214" s="212"/>
      <c r="F214" s="212"/>
      <c r="G214" s="224"/>
      <c r="H214" s="2067"/>
      <c r="I214" s="2067" t="s">
        <v>3135</v>
      </c>
      <c r="J214" s="2082" t="s">
        <v>3136</v>
      </c>
      <c r="K214" s="2082" t="s">
        <v>3141</v>
      </c>
      <c r="L214" s="2082" t="s">
        <v>3137</v>
      </c>
      <c r="M214" s="2082" t="s">
        <v>3138</v>
      </c>
      <c r="N214" s="1216"/>
      <c r="Q214" s="319"/>
      <c r="R214" s="820"/>
      <c r="S214" s="820"/>
      <c r="T214" s="152"/>
      <c r="V214" s="564"/>
      <c r="W214" s="565"/>
      <c r="X214" s="565"/>
      <c r="Y214" s="565"/>
      <c r="Z214" s="567"/>
      <c r="AA214" s="590"/>
      <c r="AC214" s="2084"/>
      <c r="AD214" s="1130"/>
    </row>
    <row r="215" spans="2:30" s="114" customFormat="1" ht="13.2" outlineLevel="1">
      <c r="B215" s="143" t="s">
        <v>4145</v>
      </c>
      <c r="C215" s="144"/>
      <c r="D215" s="212">
        <f>N215</f>
        <v>0</v>
      </c>
      <c r="E215" s="212"/>
      <c r="F215" s="117"/>
      <c r="G215" s="224"/>
      <c r="H215" s="1211" t="str">
        <f>VLOOKUP(B215,'FE Intrants'!F:U,5,FALSE)</f>
        <v>kgCO2e/unité</v>
      </c>
      <c r="I215" s="212">
        <f>VLOOKUP($B215&amp;"; "&amp;$H215&amp;", "&amp;$I$214,'FE Intrants'!$G:$U,9,FALSE)*$F215</f>
        <v>0</v>
      </c>
      <c r="J215" s="212">
        <f>IF(ISNA(VLOOKUP($B215&amp;"; "&amp;$H215&amp;", "&amp;$J$214,'FE Intrants'!$G:$U,9,FALSE)),0,VLOOKUP($B215&amp;"; "&amp;$H215&amp;", "&amp;$J$214,'FE Intrants'!$G:$U,9,FALSE)*$F215)</f>
        <v>0</v>
      </c>
      <c r="K215" s="212">
        <f>IF(ISNA(VLOOKUP($B215&amp;"; "&amp;$H215&amp;", "&amp;$K$214,'FE Intrants'!$G:$U,9,FALSE)),0,VLOOKUP($B215&amp;"; "&amp;$H215&amp;", "&amp;$K$214,'FE Intrants'!$G:$U,9,FALSE)*$F215)</f>
        <v>0</v>
      </c>
      <c r="L215" s="212">
        <f>IF(ISNA(VLOOKUP($B215&amp;"; "&amp;$H215&amp;", "&amp;$L$214,'FE Intrants'!$G:$U,9,FALSE)),0,VLOOKUP($B215&amp;"; "&amp;$H215&amp;", "&amp;$L$214,'FE Intrants'!$G:$U,9,FALSE)*$F215)</f>
        <v>0</v>
      </c>
      <c r="M215" s="212">
        <f>IF(ISNA(VLOOKUP($B215&amp;"; "&amp;$H215&amp;", "&amp;$M$214,'FE Intrants'!$G:$U,9,FALSE)),0,VLOOKUP($B215&amp;"; "&amp;$H215&amp;", "&amp;$M$214,'FE Intrants'!$G:$U,9,FALSE)*$F215)</f>
        <v>0</v>
      </c>
      <c r="N215" s="1216">
        <f>SUM(I215:M215)</f>
        <v>0</v>
      </c>
      <c r="Q215" s="319">
        <f t="shared" ref="Q215:Q259" si="29">IF(T215=0,T215,T215/N215)</f>
        <v>0</v>
      </c>
      <c r="R215" s="1016"/>
      <c r="S215" s="820"/>
      <c r="T215" s="152">
        <f>SUM(I215:M215)*AD215</f>
        <v>0</v>
      </c>
      <c r="V215" s="564">
        <f>IFERROR(F215*SUM((VLOOKUP(B215&amp;"; "&amp;H215&amp;", "&amp;I$214,'FE Intrants'!$G:$U,10,FALSE)),
VLOOKUP(B215&amp;"; "&amp;H215&amp;", "&amp;J$214,'FE Intrants'!$G:$U,10,FALSE),
VLOOKUP(B215&amp;"; "&amp;H215&amp;", "&amp;K$214,'FE Intrants'!$G:$U,10,FALSE),
VLOOKUP(B215&amp;"; "&amp;H215&amp;", "&amp;L$214,'FE Intrants'!$G:$U,10,FALSE),
VLOOKUP(B215&amp;"; "&amp;H215&amp;", "&amp;M$214,'FE Intrants'!$G:$U,10,FALSE)),
F215*VLOOKUP(B215&amp;"; "&amp;H215&amp;", "&amp;I$214,'FE Intrants'!$G:$U,10,FALSE))</f>
        <v>0</v>
      </c>
      <c r="W215" s="565">
        <f>IFERROR(F215*SUM((VLOOKUP(B215&amp;"; "&amp;H215&amp;", "&amp;I$214,'FE Intrants'!$G:$U,11,FALSE)+VLOOKUP(B215&amp;"; "&amp;H215&amp;", "&amp;I$214,'FE Intrants'!$G:$U,12,FALSE)),
(VLOOKUP(B215&amp;"; "&amp;H215&amp;", "&amp;J$214,'FE Intrants'!$G:$U,11,FALSE)+VLOOKUP(B215&amp;"; "&amp;H215&amp;", "&amp;J$214,'FE Intrants'!$G:$U,12,FALSE)),
(VLOOKUP(B215&amp;"; "&amp;H215&amp;", "&amp;K$214,'FE Intrants'!$G:$U,11,FALSE)+VLOOKUP(B215&amp;"; "&amp;H215&amp;", "&amp;K$214,'FE Intrants'!$G:$U,12,FALSE)),
(VLOOKUP(B215&amp;"; "&amp;H215&amp;", "&amp;L$214,'FE Intrants'!$G:$U,11,FALSE)+VLOOKUP(B215&amp;"; "&amp;H215&amp;", "&amp;L$214,'FE Intrants'!$G:$U,12,FALSE)),
(VLOOKUP(B215&amp;"; "&amp;H215&amp;", "&amp;M$214,'FE Intrants'!$G:$U,11,FALSE)+VLOOKUP(B215&amp;"; "&amp;H215&amp;", "&amp;M$214,'FE Intrants'!$G:$U,12,FALSE))),
F215*VLOOKUP(B215&amp;"; "&amp;H215&amp;", "&amp;I$214,'FE Intrants'!$G:$U,11,FALSE)+VLOOKUP(B215&amp;"; "&amp;H215&amp;", "&amp;I$214,'FE Intrants'!$G:$U,12,FALSE))</f>
        <v>0</v>
      </c>
      <c r="X215" s="565">
        <f>IFERROR(F215*SUM((VLOOKUP(B215&amp;"; "&amp;H215&amp;", "&amp;I$214,'FE Intrants'!$G:$U,13,FALSE)),
VLOOKUP(B215&amp;"; "&amp;H215&amp;", "&amp;J$214,'FE Intrants'!$G:$U,13,FALSE),
VLOOKUP(B215&amp;"; "&amp;H215&amp;", "&amp;K$214,'FE Intrants'!$G:$U,13,FALSE),
VLOOKUP(B215&amp;"; "&amp;H215&amp;", "&amp;L$214,'FE Intrants'!$G:$U,13,FALSE),
VLOOKUP(B215&amp;"; "&amp;H215&amp;", "&amp;M$214,'FE Intrants'!$G:$U,13,FALSE)),
F215*VLOOKUP(B215&amp;"; "&amp;H215&amp;", "&amp;I$214,'FE Intrants'!$G:$U,13,FALSE))</f>
        <v>0</v>
      </c>
      <c r="Y215" s="565">
        <f>IFERROR(F215*SUM((VLOOKUP(B215&amp;"; "&amp;H215&amp;", "&amp;I$214,'FE Intrants'!$G:$U,14,FALSE)),
VLOOKUP(B215&amp;"; "&amp;H215&amp;", "&amp;J$214,'FE Intrants'!$G:$U,14,FALSE),
VLOOKUP(B215&amp;"; "&amp;H215&amp;", "&amp;K$214,'FE Intrants'!$G:$U,14,FALSE),
VLOOKUP(B215&amp;"; "&amp;H215&amp;", "&amp;L$214,'FE Intrants'!$G:$U,14,FALSE),
VLOOKUP(B215&amp;"; "&amp;H215&amp;", "&amp;M$214,'FE Intrants'!$G:$U,14,FALSE)),
F215*VLOOKUP(B215&amp;"; "&amp;H215&amp;", "&amp;I$214,'FE Intrants'!$G:$U,14,FALSE))</f>
        <v>0</v>
      </c>
      <c r="Z215" s="567">
        <f t="shared" si="23"/>
        <v>0</v>
      </c>
      <c r="AA215" s="590">
        <f>IFERROR(F215*SUM((VLOOKUP(B215&amp;"; "&amp;H215&amp;", "&amp;I$214,'FE Intrants'!$G:$U,15,FALSE)),
VLOOKUP(B215&amp;"; "&amp;H215&amp;", "&amp;J$214,'FE Intrants'!$G:$U,15,FALSE),
VLOOKUP(B215&amp;"; "&amp;H215&amp;", "&amp;K$214,'FE Intrants'!$G:$U,15,FALSE),
VLOOKUP(B215&amp;"; "&amp;H215&amp;", "&amp;L$214,'FE Intrants'!$G:$U,15,FALSE),
VLOOKUP(B215&amp;"; "&amp;H215&amp;", "&amp;M$214,'FE Intrants'!$G:$U,15,FALSE)),
F215*VLOOKUP(B215&amp;"; "&amp;H215&amp;", "&amp;I$214,'FE Intrants'!$G:$U,15,FALSE))</f>
        <v>0</v>
      </c>
      <c r="AC215" s="2084">
        <f>IF($R215&lt;&gt;"votre valeur :",IF(ISNA(VLOOKUP($R215,Utilitaires!$N$566:$O$571,2,FALSE)),,VLOOKUP($R215,Utilitaires!$N$566:$O$571,2,FALSE)),$S215)</f>
        <v>0</v>
      </c>
      <c r="AD215" s="1130">
        <f>SQRT(SUMSQ(AC215,VLOOKUP($B215&amp;"; "&amp;$H215&amp;", "&amp;$I$214,'FE Intrants'!G:U,7,FALSE)))</f>
        <v>0.5</v>
      </c>
    </row>
    <row r="216" spans="2:30" s="114" customFormat="1" ht="13.2" outlineLevel="1">
      <c r="B216" s="143" t="s">
        <v>3291</v>
      </c>
      <c r="C216" s="144"/>
      <c r="D216" s="212">
        <f>N216</f>
        <v>0</v>
      </c>
      <c r="E216" s="212"/>
      <c r="F216" s="120"/>
      <c r="G216" s="224"/>
      <c r="H216" s="1212" t="str">
        <f>VLOOKUP(B216,'FE Intrants'!F:U,5,FALSE)</f>
        <v>kgCO2e/unité</v>
      </c>
      <c r="I216" s="212">
        <f>VLOOKUP($B216&amp;"; "&amp;$H216&amp;", "&amp;$I$214,'FE Intrants'!$G:$U,9,FALSE)*$F216</f>
        <v>0</v>
      </c>
      <c r="J216" s="212">
        <f>IF(ISNA(VLOOKUP($B216&amp;"; "&amp;$H216&amp;", "&amp;$J$214,'FE Intrants'!$G:$U,9,FALSE)),0,VLOOKUP($B216&amp;"; "&amp;$H216&amp;", "&amp;$J$214,'FE Intrants'!$G:$U,9,FALSE)*$F216)</f>
        <v>0</v>
      </c>
      <c r="K216" s="212">
        <f>IF(ISNA(VLOOKUP($B216&amp;"; "&amp;$H216&amp;", "&amp;$K$214,'FE Intrants'!$G:$U,9,FALSE)),0,VLOOKUP($B216&amp;"; "&amp;$H216&amp;", "&amp;$K$214,'FE Intrants'!$G:$U,9,FALSE)*$F216)</f>
        <v>0</v>
      </c>
      <c r="L216" s="212">
        <f>IF(ISNA(VLOOKUP($B216&amp;"; "&amp;$H216&amp;", "&amp;$L$214,'FE Intrants'!$G:$U,9,FALSE)),0,VLOOKUP($B216&amp;"; "&amp;$H216&amp;", "&amp;$L$214,'FE Intrants'!$G:$U,9,FALSE)*$F216)</f>
        <v>0</v>
      </c>
      <c r="M216" s="212">
        <f>IF(ISNA(VLOOKUP($B216&amp;"; "&amp;$H216&amp;", "&amp;$M$214,'FE Intrants'!$G:$U,9,FALSE)),0,VLOOKUP($B216&amp;"; "&amp;$H216&amp;", "&amp;$M$214,'FE Intrants'!$G:$U,9,FALSE)*$F216)</f>
        <v>0</v>
      </c>
      <c r="N216" s="1216">
        <f t="shared" ref="N216:N259" si="30">SUM(I216:M216)</f>
        <v>0</v>
      </c>
      <c r="Q216" s="319">
        <f t="shared" si="29"/>
        <v>0</v>
      </c>
      <c r="R216" s="1016"/>
      <c r="S216" s="820"/>
      <c r="T216" s="152">
        <f>SUM(I216:M216)*AD216</f>
        <v>0</v>
      </c>
      <c r="V216" s="564">
        <f>IFERROR(F216*SUM((VLOOKUP(B216&amp;"; "&amp;H216&amp;", "&amp;I$214,'FE Intrants'!$G:$U,10,FALSE)),
VLOOKUP(B216&amp;"; "&amp;H216&amp;", "&amp;J$214,'FE Intrants'!$G:$U,10,FALSE),
VLOOKUP(B216&amp;"; "&amp;H216&amp;", "&amp;K$214,'FE Intrants'!$G:$U,10,FALSE),
VLOOKUP(B216&amp;"; "&amp;H216&amp;", "&amp;L$214,'FE Intrants'!$G:$U,10,FALSE),
VLOOKUP(B216&amp;"; "&amp;H216&amp;", "&amp;M$214,'FE Intrants'!$G:$U,10,FALSE)),
F216*VLOOKUP(B216&amp;"; "&amp;H216&amp;", "&amp;I$214,'FE Intrants'!$G:$U,10,FALSE))</f>
        <v>0</v>
      </c>
      <c r="W216" s="565">
        <f>IFERROR(F216*SUM((VLOOKUP(B216&amp;"; "&amp;H216&amp;", "&amp;I$214,'FE Intrants'!$G:$U,11,FALSE)+VLOOKUP(B216&amp;"; "&amp;H216&amp;", "&amp;I$214,'FE Intrants'!$G:$U,12,FALSE)),
(VLOOKUP(B216&amp;"; "&amp;H216&amp;", "&amp;J$214,'FE Intrants'!$G:$U,11,FALSE)+VLOOKUP(B216&amp;"; "&amp;H216&amp;", "&amp;J$214,'FE Intrants'!$G:$U,12,FALSE)),
(VLOOKUP(B216&amp;"; "&amp;H216&amp;", "&amp;K$214,'FE Intrants'!$G:$U,11,FALSE)+VLOOKUP(B216&amp;"; "&amp;H216&amp;", "&amp;K$214,'FE Intrants'!$G:$U,12,FALSE)),
(VLOOKUP(B216&amp;"; "&amp;H216&amp;", "&amp;L$214,'FE Intrants'!$G:$U,11,FALSE)+VLOOKUP(B216&amp;"; "&amp;H216&amp;", "&amp;L$214,'FE Intrants'!$G:$U,12,FALSE)),
(VLOOKUP(B216&amp;"; "&amp;H216&amp;", "&amp;M$214,'FE Intrants'!$G:$U,11,FALSE)+VLOOKUP(B216&amp;"; "&amp;H216&amp;", "&amp;M$214,'FE Intrants'!$G:$U,12,FALSE))),
F216*VLOOKUP(B216&amp;"; "&amp;H216&amp;", "&amp;I$214,'FE Intrants'!$G:$U,11,FALSE)+VLOOKUP(B216&amp;"; "&amp;H216&amp;", "&amp;I$214,'FE Intrants'!$G:$U,12,FALSE))</f>
        <v>0</v>
      </c>
      <c r="X216" s="565">
        <f>IFERROR(F216*SUM((VLOOKUP(B216&amp;"; "&amp;H216&amp;", "&amp;I$214,'FE Intrants'!$G:$U,13,FALSE)),
VLOOKUP(B216&amp;"; "&amp;H216&amp;", "&amp;J$214,'FE Intrants'!$G:$U,13,FALSE),
VLOOKUP(B216&amp;"; "&amp;H216&amp;", "&amp;K$214,'FE Intrants'!$G:$U,13,FALSE),
VLOOKUP(B216&amp;"; "&amp;H216&amp;", "&amp;L$214,'FE Intrants'!$G:$U,13,FALSE),
VLOOKUP(B216&amp;"; "&amp;H216&amp;", "&amp;M$214,'FE Intrants'!$G:$U,13,FALSE)),
F216*VLOOKUP(B216&amp;"; "&amp;H216&amp;", "&amp;I$214,'FE Intrants'!$G:$U,13,FALSE))</f>
        <v>0</v>
      </c>
      <c r="Y216" s="565">
        <f>IFERROR(F216*SUM((VLOOKUP(B216&amp;"; "&amp;H216&amp;", "&amp;I$214,'FE Intrants'!$G:$U,14,FALSE)),
VLOOKUP(B216&amp;"; "&amp;H216&amp;", "&amp;J$214,'FE Intrants'!$G:$U,14,FALSE),
VLOOKUP(B216&amp;"; "&amp;H216&amp;", "&amp;K$214,'FE Intrants'!$G:$U,14,FALSE),
VLOOKUP(B216&amp;"; "&amp;H216&amp;", "&amp;L$214,'FE Intrants'!$G:$U,14,FALSE),
VLOOKUP(B216&amp;"; "&amp;H216&amp;", "&amp;M$214,'FE Intrants'!$G:$U,14,FALSE)),
F216*VLOOKUP(B216&amp;"; "&amp;H216&amp;", "&amp;I$214,'FE Intrants'!$G:$U,14,FALSE))</f>
        <v>0</v>
      </c>
      <c r="Z216" s="567">
        <f t="shared" si="23"/>
        <v>0</v>
      </c>
      <c r="AA216" s="590">
        <f>IFERROR(F216*SUM((VLOOKUP(B216&amp;"; "&amp;H216&amp;", "&amp;I$214,'FE Intrants'!$G:$U,15,FALSE)),
VLOOKUP(B216&amp;"; "&amp;H216&amp;", "&amp;J$214,'FE Intrants'!$G:$U,15,FALSE),
VLOOKUP(B216&amp;"; "&amp;H216&amp;", "&amp;K$214,'FE Intrants'!$G:$U,15,FALSE),
VLOOKUP(B216&amp;"; "&amp;H216&amp;", "&amp;L$214,'FE Intrants'!$G:$U,15,FALSE),
VLOOKUP(B216&amp;"; "&amp;H216&amp;", "&amp;M$214,'FE Intrants'!$G:$U,15,FALSE)),
F216*VLOOKUP(B216&amp;"; "&amp;H216&amp;", "&amp;I$214,'FE Intrants'!$G:$U,15,FALSE))</f>
        <v>0</v>
      </c>
      <c r="AC216" s="2084">
        <f>IF($R216&lt;&gt;"votre valeur :",IF(ISNA(VLOOKUP($R216,Utilitaires!$N$566:$O$571,2,FALSE)),,VLOOKUP($R216,Utilitaires!$N$566:$O$571,2,FALSE)),$S216)</f>
        <v>0</v>
      </c>
      <c r="AD216" s="1130">
        <f>SQRT(SUMSQ(AC216,VLOOKUP($B216&amp;"; "&amp;$H216&amp;", "&amp;$I$214,'FE Intrants'!G:U,7,FALSE)))</f>
        <v>0.3</v>
      </c>
    </row>
    <row r="217" spans="2:30" s="114" customFormat="1" ht="13.2" outlineLevel="1">
      <c r="B217" s="143" t="s">
        <v>3292</v>
      </c>
      <c r="C217" s="144"/>
      <c r="D217" s="212">
        <f>N217</f>
        <v>0</v>
      </c>
      <c r="E217" s="212"/>
      <c r="F217" s="120"/>
      <c r="G217" s="224"/>
      <c r="H217" s="1212" t="str">
        <f>VLOOKUP(B217,'FE Intrants'!F:U,5,FALSE)</f>
        <v>kgCO2e/unité</v>
      </c>
      <c r="I217" s="212">
        <f>VLOOKUP($B217&amp;"; "&amp;$H217&amp;", "&amp;$I$214,'FE Intrants'!$G:$U,9,FALSE)*$F217</f>
        <v>0</v>
      </c>
      <c r="J217" s="212">
        <f>IF(ISNA(VLOOKUP($B217&amp;"; "&amp;$H217&amp;", "&amp;$J$214,'FE Intrants'!$G:$U,9,FALSE)),0,VLOOKUP($B217&amp;"; "&amp;$H217&amp;", "&amp;$J$214,'FE Intrants'!$G:$U,9,FALSE)*$F217)</f>
        <v>0</v>
      </c>
      <c r="K217" s="212">
        <f>IF(ISNA(VLOOKUP($B217&amp;"; "&amp;$H217&amp;", "&amp;$K$214,'FE Intrants'!$G:$U,9,FALSE)),0,VLOOKUP($B217&amp;"; "&amp;$H217&amp;", "&amp;$K$214,'FE Intrants'!$G:$U,9,FALSE)*$F217)</f>
        <v>0</v>
      </c>
      <c r="L217" s="212">
        <f>IF(ISNA(VLOOKUP($B217&amp;"; "&amp;$H217&amp;", "&amp;$L$214,'FE Intrants'!$G:$U,9,FALSE)),0,VLOOKUP($B217&amp;"; "&amp;$H217&amp;", "&amp;$L$214,'FE Intrants'!$G:$U,9,FALSE)*$F217)</f>
        <v>0</v>
      </c>
      <c r="M217" s="212">
        <f>IF(ISNA(VLOOKUP($B217&amp;"; "&amp;$H217&amp;", "&amp;$M$214,'FE Intrants'!$G:$U,9,FALSE)),0,VLOOKUP($B217&amp;"; "&amp;$H217&amp;", "&amp;$M$214,'FE Intrants'!$G:$U,9,FALSE)*$F217)</f>
        <v>0</v>
      </c>
      <c r="N217" s="1216">
        <f t="shared" si="30"/>
        <v>0</v>
      </c>
      <c r="Q217" s="319">
        <f t="shared" si="29"/>
        <v>0</v>
      </c>
      <c r="R217" s="1016"/>
      <c r="S217" s="820"/>
      <c r="T217" s="152">
        <f t="shared" ref="T217:T259" si="31">SUM(I217:M217)*AD217</f>
        <v>0</v>
      </c>
      <c r="V217" s="564">
        <f>IFERROR(F217*SUM((VLOOKUP(B217&amp;"; "&amp;H217&amp;", "&amp;I$214,'FE Intrants'!$G:$U,10,FALSE)),
VLOOKUP(B217&amp;"; "&amp;H217&amp;", "&amp;J$214,'FE Intrants'!$G:$U,10,FALSE),
VLOOKUP(B217&amp;"; "&amp;H217&amp;", "&amp;K$214,'FE Intrants'!$G:$U,10,FALSE),
VLOOKUP(B217&amp;"; "&amp;H217&amp;", "&amp;L$214,'FE Intrants'!$G:$U,10,FALSE),
VLOOKUP(B217&amp;"; "&amp;H217&amp;", "&amp;M$214,'FE Intrants'!$G:$U,10,FALSE)),
F217*VLOOKUP(B217&amp;"; "&amp;H217&amp;", "&amp;I$214,'FE Intrants'!$G:$U,10,FALSE))</f>
        <v>0</v>
      </c>
      <c r="W217" s="565">
        <f>IFERROR(F217*SUM((VLOOKUP(B217&amp;"; "&amp;H217&amp;", "&amp;I$214,'FE Intrants'!$G:$U,11,FALSE)+VLOOKUP(B217&amp;"; "&amp;H217&amp;", "&amp;I$214,'FE Intrants'!$G:$U,12,FALSE)),
(VLOOKUP(B217&amp;"; "&amp;H217&amp;", "&amp;J$214,'FE Intrants'!$G:$U,11,FALSE)+VLOOKUP(B217&amp;"; "&amp;H217&amp;", "&amp;J$214,'FE Intrants'!$G:$U,12,FALSE)),
(VLOOKUP(B217&amp;"; "&amp;H217&amp;", "&amp;K$214,'FE Intrants'!$G:$U,11,FALSE)+VLOOKUP(B217&amp;"; "&amp;H217&amp;", "&amp;K$214,'FE Intrants'!$G:$U,12,FALSE)),
(VLOOKUP(B217&amp;"; "&amp;H217&amp;", "&amp;L$214,'FE Intrants'!$G:$U,11,FALSE)+VLOOKUP(B217&amp;"; "&amp;H217&amp;", "&amp;L$214,'FE Intrants'!$G:$U,12,FALSE)),
(VLOOKUP(B217&amp;"; "&amp;H217&amp;", "&amp;M$214,'FE Intrants'!$G:$U,11,FALSE)+VLOOKUP(B217&amp;"; "&amp;H217&amp;", "&amp;M$214,'FE Intrants'!$G:$U,12,FALSE))),
F217*VLOOKUP(B217&amp;"; "&amp;H217&amp;", "&amp;I$214,'FE Intrants'!$G:$U,11,FALSE)+VLOOKUP(B217&amp;"; "&amp;H217&amp;", "&amp;I$214,'FE Intrants'!$G:$U,12,FALSE))</f>
        <v>0</v>
      </c>
      <c r="X217" s="565">
        <f>IFERROR(F217*SUM((VLOOKUP(B217&amp;"; "&amp;H217&amp;", "&amp;I$214,'FE Intrants'!$G:$U,13,FALSE)),
VLOOKUP(B217&amp;"; "&amp;H217&amp;", "&amp;J$214,'FE Intrants'!$G:$U,13,FALSE),
VLOOKUP(B217&amp;"; "&amp;H217&amp;", "&amp;K$214,'FE Intrants'!$G:$U,13,FALSE),
VLOOKUP(B217&amp;"; "&amp;H217&amp;", "&amp;L$214,'FE Intrants'!$G:$U,13,FALSE),
VLOOKUP(B217&amp;"; "&amp;H217&amp;", "&amp;M$214,'FE Intrants'!$G:$U,13,FALSE)),
F217*VLOOKUP(B217&amp;"; "&amp;H217&amp;", "&amp;I$214,'FE Intrants'!$G:$U,13,FALSE))</f>
        <v>0</v>
      </c>
      <c r="Y217" s="565">
        <f>IFERROR(F217*SUM((VLOOKUP(B217&amp;"; "&amp;H217&amp;", "&amp;I$214,'FE Intrants'!$G:$U,14,FALSE)),
VLOOKUP(B217&amp;"; "&amp;H217&amp;", "&amp;J$214,'FE Intrants'!$G:$U,14,FALSE),
VLOOKUP(B217&amp;"; "&amp;H217&amp;", "&amp;K$214,'FE Intrants'!$G:$U,14,FALSE),
VLOOKUP(B217&amp;"; "&amp;H217&amp;", "&amp;L$214,'FE Intrants'!$G:$U,14,FALSE),
VLOOKUP(B217&amp;"; "&amp;H217&amp;", "&amp;M$214,'FE Intrants'!$G:$U,14,FALSE)),
F217*VLOOKUP(B217&amp;"; "&amp;H217&amp;", "&amp;I$214,'FE Intrants'!$G:$U,14,FALSE))</f>
        <v>0</v>
      </c>
      <c r="Z217" s="567">
        <f t="shared" si="23"/>
        <v>0</v>
      </c>
      <c r="AA217" s="590">
        <f>IFERROR(F217*SUM((VLOOKUP(B217&amp;"; "&amp;H217&amp;", "&amp;I$214,'FE Intrants'!$G:$U,15,FALSE)),
VLOOKUP(B217&amp;"; "&amp;H217&amp;", "&amp;J$214,'FE Intrants'!$G:$U,15,FALSE),
VLOOKUP(B217&amp;"; "&amp;H217&amp;", "&amp;K$214,'FE Intrants'!$G:$U,15,FALSE),
VLOOKUP(B217&amp;"; "&amp;H217&amp;", "&amp;L$214,'FE Intrants'!$G:$U,15,FALSE),
VLOOKUP(B217&amp;"; "&amp;H217&amp;", "&amp;M$214,'FE Intrants'!$G:$U,15,FALSE)),
F217*VLOOKUP(B217&amp;"; "&amp;H217&amp;", "&amp;I$214,'FE Intrants'!$G:$U,15,FALSE))</f>
        <v>0</v>
      </c>
      <c r="AC217" s="2084">
        <f>IF($R217&lt;&gt;"votre valeur :",IF(ISNA(VLOOKUP($R217,Utilitaires!$N$566:$O$571,2,FALSE)),,VLOOKUP($R217,Utilitaires!$N$566:$O$571,2,FALSE)),$S217)</f>
        <v>0</v>
      </c>
      <c r="AD217" s="1130">
        <f>SQRT(SUMSQ(AC217,VLOOKUP($B217&amp;"; "&amp;$H217&amp;", "&amp;$I$214,'FE Intrants'!G:U,7,FALSE)))</f>
        <v>0.3</v>
      </c>
    </row>
    <row r="218" spans="2:30" s="114" customFormat="1" ht="13.2" outlineLevel="1">
      <c r="B218" s="143" t="s">
        <v>3290</v>
      </c>
      <c r="C218" s="144"/>
      <c r="D218" s="212">
        <f>N218</f>
        <v>0</v>
      </c>
      <c r="E218" s="212"/>
      <c r="F218" s="120"/>
      <c r="G218" s="224"/>
      <c r="H218" s="1212" t="str">
        <f>VLOOKUP(B218,'FE Intrants'!F:U,5,FALSE)</f>
        <v>kgCO2e/unité</v>
      </c>
      <c r="I218" s="212">
        <f>VLOOKUP($B218&amp;"; "&amp;$H218&amp;", "&amp;$I$214,'FE Intrants'!$G:$U,9,FALSE)*$F218</f>
        <v>0</v>
      </c>
      <c r="J218" s="212">
        <f>IF(ISNA(VLOOKUP($B218&amp;"; "&amp;$H218&amp;", "&amp;$J$214,'FE Intrants'!$G:$U,9,FALSE)),0,VLOOKUP($B218&amp;"; "&amp;$H218&amp;", "&amp;$J$214,'FE Intrants'!$G:$U,9,FALSE)*$F218)</f>
        <v>0</v>
      </c>
      <c r="K218" s="212">
        <f>IF(ISNA(VLOOKUP($B218&amp;"; "&amp;$H218&amp;", "&amp;$K$214,'FE Intrants'!$G:$U,9,FALSE)),0,VLOOKUP($B218&amp;"; "&amp;$H218&amp;", "&amp;$K$214,'FE Intrants'!$G:$U,9,FALSE)*$F218)</f>
        <v>0</v>
      </c>
      <c r="L218" s="212">
        <f>IF(ISNA(VLOOKUP($B218&amp;"; "&amp;$H218&amp;", "&amp;$L$214,'FE Intrants'!$G:$U,9,FALSE)),0,VLOOKUP($B218&amp;"; "&amp;$H218&amp;", "&amp;$L$214,'FE Intrants'!$G:$U,9,FALSE)*$F218)</f>
        <v>0</v>
      </c>
      <c r="M218" s="212">
        <f>IF(ISNA(VLOOKUP($B218&amp;"; "&amp;$H218&amp;", "&amp;$M$214,'FE Intrants'!$G:$U,9,FALSE)),0,VLOOKUP($B218&amp;"; "&amp;$H218&amp;", "&amp;$M$214,'FE Intrants'!$G:$U,9,FALSE)*$F218)</f>
        <v>0</v>
      </c>
      <c r="N218" s="1216">
        <f t="shared" si="30"/>
        <v>0</v>
      </c>
      <c r="Q218" s="319">
        <f t="shared" si="29"/>
        <v>0</v>
      </c>
      <c r="R218" s="1016"/>
      <c r="S218" s="820"/>
      <c r="T218" s="152">
        <f t="shared" si="31"/>
        <v>0</v>
      </c>
      <c r="V218" s="564">
        <f>IFERROR(F218*SUM((VLOOKUP(B218&amp;"; "&amp;H218&amp;", "&amp;I$214,'FE Intrants'!$G:$U,10,FALSE)),
VLOOKUP(B218&amp;"; "&amp;H218&amp;", "&amp;J$214,'FE Intrants'!$G:$U,10,FALSE),
VLOOKUP(B218&amp;"; "&amp;H218&amp;", "&amp;K$214,'FE Intrants'!$G:$U,10,FALSE),
VLOOKUP(B218&amp;"; "&amp;H218&amp;", "&amp;L$214,'FE Intrants'!$G:$U,10,FALSE),
VLOOKUP(B218&amp;"; "&amp;H218&amp;", "&amp;M$214,'FE Intrants'!$G:$U,10,FALSE)),
F218*VLOOKUP(B218&amp;"; "&amp;H218&amp;", "&amp;I$214,'FE Intrants'!$G:$U,10,FALSE))</f>
        <v>0</v>
      </c>
      <c r="W218" s="565">
        <f>IFERROR(F218*SUM((VLOOKUP(B218&amp;"; "&amp;H218&amp;", "&amp;I$214,'FE Intrants'!$G:$U,11,FALSE)+VLOOKUP(B218&amp;"; "&amp;H218&amp;", "&amp;I$214,'FE Intrants'!$G:$U,12,FALSE)),
(VLOOKUP(B218&amp;"; "&amp;H218&amp;", "&amp;J$214,'FE Intrants'!$G:$U,11,FALSE)+VLOOKUP(B218&amp;"; "&amp;H218&amp;", "&amp;J$214,'FE Intrants'!$G:$U,12,FALSE)),
(VLOOKUP(B218&amp;"; "&amp;H218&amp;", "&amp;K$214,'FE Intrants'!$G:$U,11,FALSE)+VLOOKUP(B218&amp;"; "&amp;H218&amp;", "&amp;K$214,'FE Intrants'!$G:$U,12,FALSE)),
(VLOOKUP(B218&amp;"; "&amp;H218&amp;", "&amp;L$214,'FE Intrants'!$G:$U,11,FALSE)+VLOOKUP(B218&amp;"; "&amp;H218&amp;", "&amp;L$214,'FE Intrants'!$G:$U,12,FALSE)),
(VLOOKUP(B218&amp;"; "&amp;H218&amp;", "&amp;M$214,'FE Intrants'!$G:$U,11,FALSE)+VLOOKUP(B218&amp;"; "&amp;H218&amp;", "&amp;M$214,'FE Intrants'!$G:$U,12,FALSE))),
F218*VLOOKUP(B218&amp;"; "&amp;H218&amp;", "&amp;I$214,'FE Intrants'!$G:$U,11,FALSE)+VLOOKUP(B218&amp;"; "&amp;H218&amp;", "&amp;I$214,'FE Intrants'!$G:$U,12,FALSE))</f>
        <v>0</v>
      </c>
      <c r="X218" s="565">
        <f>IFERROR(F218*SUM((VLOOKUP(B218&amp;"; "&amp;H218&amp;", "&amp;I$214,'FE Intrants'!$G:$U,13,FALSE)),
VLOOKUP(B218&amp;"; "&amp;H218&amp;", "&amp;J$214,'FE Intrants'!$G:$U,13,FALSE),
VLOOKUP(B218&amp;"; "&amp;H218&amp;", "&amp;K$214,'FE Intrants'!$G:$U,13,FALSE),
VLOOKUP(B218&amp;"; "&amp;H218&amp;", "&amp;L$214,'FE Intrants'!$G:$U,13,FALSE),
VLOOKUP(B218&amp;"; "&amp;H218&amp;", "&amp;M$214,'FE Intrants'!$G:$U,13,FALSE)),
F218*VLOOKUP(B218&amp;"; "&amp;H218&amp;", "&amp;I$214,'FE Intrants'!$G:$U,13,FALSE))</f>
        <v>0</v>
      </c>
      <c r="Y218" s="565">
        <f>IFERROR(F218*SUM((VLOOKUP(B218&amp;"; "&amp;H218&amp;", "&amp;I$214,'FE Intrants'!$G:$U,14,FALSE)),
VLOOKUP(B218&amp;"; "&amp;H218&amp;", "&amp;J$214,'FE Intrants'!$G:$U,14,FALSE),
VLOOKUP(B218&amp;"; "&amp;H218&amp;", "&amp;K$214,'FE Intrants'!$G:$U,14,FALSE),
VLOOKUP(B218&amp;"; "&amp;H218&amp;", "&amp;L$214,'FE Intrants'!$G:$U,14,FALSE),
VLOOKUP(B218&amp;"; "&amp;H218&amp;", "&amp;M$214,'FE Intrants'!$G:$U,14,FALSE)),
F218*VLOOKUP(B218&amp;"; "&amp;H218&amp;", "&amp;I$214,'FE Intrants'!$G:$U,14,FALSE))</f>
        <v>0</v>
      </c>
      <c r="Z218" s="567">
        <f t="shared" si="23"/>
        <v>0</v>
      </c>
      <c r="AA218" s="590">
        <f>IFERROR(F218*SUM((VLOOKUP(B218&amp;"; "&amp;H218&amp;", "&amp;I$214,'FE Intrants'!$G:$U,15,FALSE)),
VLOOKUP(B218&amp;"; "&amp;H218&amp;", "&amp;J$214,'FE Intrants'!$G:$U,15,FALSE),
VLOOKUP(B218&amp;"; "&amp;H218&amp;", "&amp;K$214,'FE Intrants'!$G:$U,15,FALSE),
VLOOKUP(B218&amp;"; "&amp;H218&amp;", "&amp;L$214,'FE Intrants'!$G:$U,15,FALSE),
VLOOKUP(B218&amp;"; "&amp;H218&amp;", "&amp;M$214,'FE Intrants'!$G:$U,15,FALSE)),
F218*VLOOKUP(B218&amp;"; "&amp;H218&amp;", "&amp;I$214,'FE Intrants'!$G:$U,15,FALSE))</f>
        <v>0</v>
      </c>
      <c r="AC218" s="2084">
        <f>IF($R218&lt;&gt;"votre valeur :",IF(ISNA(VLOOKUP($R218,Utilitaires!$N$566:$O$571,2,FALSE)),,VLOOKUP($R218,Utilitaires!$N$566:$O$571,2,FALSE)),$S218)</f>
        <v>0</v>
      </c>
      <c r="AD218" s="1130">
        <f>SQRT(SUMSQ(AC218,VLOOKUP($B218&amp;"; "&amp;$H218&amp;", "&amp;$I$214,'FE Intrants'!G:U,7,FALSE)))</f>
        <v>0.3</v>
      </c>
    </row>
    <row r="219" spans="2:30" s="114" customFormat="1" ht="13.2" outlineLevel="1">
      <c r="B219" s="143" t="s">
        <v>3261</v>
      </c>
      <c r="C219" s="144"/>
      <c r="D219" s="212">
        <f>N219</f>
        <v>0</v>
      </c>
      <c r="E219" s="212"/>
      <c r="F219" s="123"/>
      <c r="G219" s="224"/>
      <c r="H219" s="1213" t="str">
        <f>VLOOKUP(B219,'FE Intrants'!F:U,5,FALSE)</f>
        <v>kgCO2e/unité</v>
      </c>
      <c r="I219" s="212">
        <f>VLOOKUP($B219&amp;"; "&amp;$H219&amp;", "&amp;$I$214,'FE Intrants'!$G:$U,9,FALSE)*$F219</f>
        <v>0</v>
      </c>
      <c r="J219" s="212">
        <f>IF(ISNA(VLOOKUP($B219&amp;"; "&amp;$H219&amp;", "&amp;$J$214,'FE Intrants'!$G:$U,9,FALSE)),0,VLOOKUP($B219&amp;"; "&amp;$H219&amp;", "&amp;$J$214,'FE Intrants'!$G:$U,9,FALSE)*$F219)</f>
        <v>0</v>
      </c>
      <c r="K219" s="212">
        <f>IF(ISNA(VLOOKUP($B219&amp;"; "&amp;$H219&amp;", "&amp;$K$214,'FE Intrants'!$G:$U,9,FALSE)),0,VLOOKUP($B219&amp;"; "&amp;$H219&amp;", "&amp;$K$214,'FE Intrants'!$G:$U,9,FALSE)*$F219)</f>
        <v>0</v>
      </c>
      <c r="L219" s="212">
        <f>IF(ISNA(VLOOKUP($B219&amp;"; "&amp;$H219&amp;", "&amp;$L$214,'FE Intrants'!$G:$U,9,FALSE)),0,VLOOKUP($B219&amp;"; "&amp;$H219&amp;", "&amp;$L$214,'FE Intrants'!$G:$U,9,FALSE)*$F219)</f>
        <v>0</v>
      </c>
      <c r="M219" s="212">
        <f>IF(ISNA(VLOOKUP($B219&amp;"; "&amp;$H219&amp;", "&amp;$M$214,'FE Intrants'!$G:$U,9,FALSE)),0,VLOOKUP($B219&amp;"; "&amp;$H219&amp;", "&amp;$M$214,'FE Intrants'!$G:$U,9,FALSE)*$F219)</f>
        <v>0</v>
      </c>
      <c r="N219" s="1216">
        <f t="shared" si="30"/>
        <v>0</v>
      </c>
      <c r="Q219" s="319">
        <f t="shared" si="29"/>
        <v>0</v>
      </c>
      <c r="R219" s="1016"/>
      <c r="S219" s="820"/>
      <c r="T219" s="152">
        <f t="shared" si="31"/>
        <v>0</v>
      </c>
      <c r="V219" s="564">
        <f>IFERROR(F219*SUM((VLOOKUP(B219&amp;"; "&amp;H219&amp;", "&amp;I$214,'FE Intrants'!$G:$U,10,FALSE)),
VLOOKUP(B219&amp;"; "&amp;H219&amp;", "&amp;J$214,'FE Intrants'!$G:$U,10,FALSE),
VLOOKUP(B219&amp;"; "&amp;H219&amp;", "&amp;K$214,'FE Intrants'!$G:$U,10,FALSE),
VLOOKUP(B219&amp;"; "&amp;H219&amp;", "&amp;L$214,'FE Intrants'!$G:$U,10,FALSE),
VLOOKUP(B219&amp;"; "&amp;H219&amp;", "&amp;M$214,'FE Intrants'!$G:$U,10,FALSE)),
F219*VLOOKUP(B219&amp;"; "&amp;H219&amp;", "&amp;I$214,'FE Intrants'!$G:$U,10,FALSE))</f>
        <v>0</v>
      </c>
      <c r="W219" s="565">
        <f>IFERROR(F219*SUM((VLOOKUP(B219&amp;"; "&amp;H219&amp;", "&amp;I$214,'FE Intrants'!$G:$U,11,FALSE)+VLOOKUP(B219&amp;"; "&amp;H219&amp;", "&amp;I$214,'FE Intrants'!$G:$U,12,FALSE)),
(VLOOKUP(B219&amp;"; "&amp;H219&amp;", "&amp;J$214,'FE Intrants'!$G:$U,11,FALSE)+VLOOKUP(B219&amp;"; "&amp;H219&amp;", "&amp;J$214,'FE Intrants'!$G:$U,12,FALSE)),
(VLOOKUP(B219&amp;"; "&amp;H219&amp;", "&amp;K$214,'FE Intrants'!$G:$U,11,FALSE)+VLOOKUP(B219&amp;"; "&amp;H219&amp;", "&amp;K$214,'FE Intrants'!$G:$U,12,FALSE)),
(VLOOKUP(B219&amp;"; "&amp;H219&amp;", "&amp;L$214,'FE Intrants'!$G:$U,11,FALSE)+VLOOKUP(B219&amp;"; "&amp;H219&amp;", "&amp;L$214,'FE Intrants'!$G:$U,12,FALSE)),
(VLOOKUP(B219&amp;"; "&amp;H219&amp;", "&amp;M$214,'FE Intrants'!$G:$U,11,FALSE)+VLOOKUP(B219&amp;"; "&amp;H219&amp;", "&amp;M$214,'FE Intrants'!$G:$U,12,FALSE))),
F219*VLOOKUP(B219&amp;"; "&amp;H219&amp;", "&amp;I$214,'FE Intrants'!$G:$U,11,FALSE)+VLOOKUP(B219&amp;"; "&amp;H219&amp;", "&amp;I$214,'FE Intrants'!$G:$U,12,FALSE))</f>
        <v>0</v>
      </c>
      <c r="X219" s="565">
        <f>IFERROR(F219*SUM((VLOOKUP(B219&amp;"; "&amp;H219&amp;", "&amp;I$214,'FE Intrants'!$G:$U,13,FALSE)),
VLOOKUP(B219&amp;"; "&amp;H219&amp;", "&amp;J$214,'FE Intrants'!$G:$U,13,FALSE),
VLOOKUP(B219&amp;"; "&amp;H219&amp;", "&amp;K$214,'FE Intrants'!$G:$U,13,FALSE),
VLOOKUP(B219&amp;"; "&amp;H219&amp;", "&amp;L$214,'FE Intrants'!$G:$U,13,FALSE),
VLOOKUP(B219&amp;"; "&amp;H219&amp;", "&amp;M$214,'FE Intrants'!$G:$U,13,FALSE)),
F219*VLOOKUP(B219&amp;"; "&amp;H219&amp;", "&amp;I$214,'FE Intrants'!$G:$U,13,FALSE))</f>
        <v>0</v>
      </c>
      <c r="Y219" s="565">
        <f>IFERROR(F219*SUM((VLOOKUP(B219&amp;"; "&amp;H219&amp;", "&amp;I$214,'FE Intrants'!$G:$U,14,FALSE)),
VLOOKUP(B219&amp;"; "&amp;H219&amp;", "&amp;J$214,'FE Intrants'!$G:$U,14,FALSE),
VLOOKUP(B219&amp;"; "&amp;H219&amp;", "&amp;K$214,'FE Intrants'!$G:$U,14,FALSE),
VLOOKUP(B219&amp;"; "&amp;H219&amp;", "&amp;L$214,'FE Intrants'!$G:$U,14,FALSE),
VLOOKUP(B219&amp;"; "&amp;H219&amp;", "&amp;M$214,'FE Intrants'!$G:$U,14,FALSE)),
F219*VLOOKUP(B219&amp;"; "&amp;H219&amp;", "&amp;I$214,'FE Intrants'!$G:$U,14,FALSE))</f>
        <v>0</v>
      </c>
      <c r="Z219" s="567">
        <f t="shared" si="23"/>
        <v>0</v>
      </c>
      <c r="AA219" s="590">
        <f>IFERROR(F219*SUM((VLOOKUP(B219&amp;"; "&amp;H219&amp;", "&amp;I$214,'FE Intrants'!$G:$U,15,FALSE)),
VLOOKUP(B219&amp;"; "&amp;H219&amp;", "&amp;J$214,'FE Intrants'!$G:$U,15,FALSE),
VLOOKUP(B219&amp;"; "&amp;H219&amp;", "&amp;K$214,'FE Intrants'!$G:$U,15,FALSE),
VLOOKUP(B219&amp;"; "&amp;H219&amp;", "&amp;L$214,'FE Intrants'!$G:$U,15,FALSE),
VLOOKUP(B219&amp;"; "&amp;H219&amp;", "&amp;M$214,'FE Intrants'!$G:$U,15,FALSE)),
F219*VLOOKUP(B219&amp;"; "&amp;H219&amp;", "&amp;I$214,'FE Intrants'!$G:$U,15,FALSE))</f>
        <v>0</v>
      </c>
      <c r="AC219" s="2084">
        <f>IF($R219&lt;&gt;"votre valeur :",IF(ISNA(VLOOKUP($R219,Utilitaires!$N$566:$O$571,2,FALSE)),,VLOOKUP($R219,Utilitaires!$N$566:$O$571,2,FALSE)),$S219)</f>
        <v>0</v>
      </c>
      <c r="AD219" s="1130">
        <f>SQRT(SUMSQ(AC219,VLOOKUP($B219&amp;"; "&amp;$H219&amp;", "&amp;$I$214,'FE Intrants'!G:U,7,FALSE)))</f>
        <v>0.5</v>
      </c>
    </row>
    <row r="220" spans="2:30" s="114" customFormat="1" ht="13.2" outlineLevel="1">
      <c r="B220" s="143"/>
      <c r="C220" s="144"/>
      <c r="D220" s="212"/>
      <c r="E220" s="212"/>
      <c r="F220" s="212"/>
      <c r="G220" s="224"/>
      <c r="H220" s="2067"/>
      <c r="I220" s="212"/>
      <c r="J220" s="212"/>
      <c r="K220" s="212"/>
      <c r="L220" s="212"/>
      <c r="M220" s="212"/>
      <c r="N220" s="1216"/>
      <c r="Q220" s="319"/>
      <c r="R220" s="2081"/>
      <c r="S220" s="820"/>
      <c r="T220" s="152"/>
      <c r="V220" s="564"/>
      <c r="W220" s="565"/>
      <c r="X220" s="565"/>
      <c r="Y220" s="565"/>
      <c r="Z220" s="567"/>
      <c r="AA220" s="590"/>
      <c r="AC220" s="2084"/>
      <c r="AD220" s="1130"/>
    </row>
    <row r="221" spans="2:30" s="114" customFormat="1" ht="13.2" outlineLevel="1">
      <c r="B221" s="332" t="s">
        <v>3164</v>
      </c>
      <c r="C221" s="144"/>
      <c r="D221" s="212"/>
      <c r="E221" s="212"/>
      <c r="F221" s="212"/>
      <c r="G221" s="224"/>
      <c r="H221" s="2067"/>
      <c r="I221" s="212"/>
      <c r="J221" s="212"/>
      <c r="K221" s="212"/>
      <c r="L221" s="212"/>
      <c r="M221" s="212"/>
      <c r="N221" s="1216"/>
      <c r="Q221" s="319"/>
      <c r="R221" s="2081"/>
      <c r="S221" s="820"/>
      <c r="T221" s="152"/>
      <c r="V221" s="564"/>
      <c r="W221" s="565"/>
      <c r="X221" s="565"/>
      <c r="Y221" s="565"/>
      <c r="Z221" s="567"/>
      <c r="AA221" s="590"/>
      <c r="AC221" s="2084"/>
      <c r="AD221" s="1130"/>
    </row>
    <row r="222" spans="2:30" s="114" customFormat="1" ht="13.2" outlineLevel="1">
      <c r="B222" s="143" t="s">
        <v>3262</v>
      </c>
      <c r="C222" s="144"/>
      <c r="D222" s="212">
        <f>N222</f>
        <v>0</v>
      </c>
      <c r="E222" s="212"/>
      <c r="F222" s="117"/>
      <c r="G222" s="224"/>
      <c r="H222" s="1211" t="str">
        <f>VLOOKUP(B222,'FE Intrants'!F:U,5,FALSE)</f>
        <v>kgCO2e/unité</v>
      </c>
      <c r="I222" s="212">
        <f>VLOOKUP($B222&amp;"; "&amp;$H222&amp;", "&amp;$I$214,'FE Intrants'!$G:$U,9,FALSE)*$F222</f>
        <v>0</v>
      </c>
      <c r="J222" s="212">
        <f>IF(ISNA(VLOOKUP($B222&amp;"; "&amp;$H222&amp;", "&amp;$J$214,'FE Intrants'!$G:$U,9,FALSE)),0,VLOOKUP($B222&amp;"; "&amp;$H222&amp;", "&amp;$J$214,'FE Intrants'!$G:$U,9,FALSE)*$F222)</f>
        <v>0</v>
      </c>
      <c r="K222" s="212">
        <f>IF(ISNA(VLOOKUP($B222&amp;"; "&amp;$H222&amp;", "&amp;$K$214,'FE Intrants'!$G:$U,9,FALSE)),0,VLOOKUP($B222&amp;"; "&amp;$H222&amp;", "&amp;$K$214,'FE Intrants'!$G:$U,9,FALSE)*$F222)</f>
        <v>0</v>
      </c>
      <c r="L222" s="212">
        <f>IF(ISNA(VLOOKUP($B222&amp;"; "&amp;$H222&amp;", "&amp;$L$214,'FE Intrants'!$G:$U,9,FALSE)),0,VLOOKUP($B222&amp;"; "&amp;$H222&amp;", "&amp;$L$214,'FE Intrants'!$G:$U,9,FALSE)*$F222)</f>
        <v>0</v>
      </c>
      <c r="M222" s="212">
        <f>IF(ISNA(VLOOKUP($B222&amp;"; "&amp;$H222&amp;", "&amp;$M$214,'FE Intrants'!$G:$U,9,FALSE)),0,VLOOKUP($B222&amp;"; "&amp;$H222&amp;", "&amp;$M$214,'FE Intrants'!$G:$U,9,FALSE)*$F222)</f>
        <v>0</v>
      </c>
      <c r="N222" s="1216">
        <f t="shared" si="30"/>
        <v>0</v>
      </c>
      <c r="Q222" s="319">
        <f t="shared" si="29"/>
        <v>0</v>
      </c>
      <c r="R222" s="1016"/>
      <c r="S222" s="820"/>
      <c r="T222" s="152">
        <f t="shared" si="31"/>
        <v>0</v>
      </c>
      <c r="V222" s="564">
        <f>IFERROR(F222*SUM((VLOOKUP(B222&amp;"; "&amp;H222&amp;", "&amp;I$214,'FE Intrants'!$G:$U,10,FALSE)),
VLOOKUP(B222&amp;"; "&amp;H222&amp;", "&amp;J$214,'FE Intrants'!$G:$U,10,FALSE),
VLOOKUP(B222&amp;"; "&amp;H222&amp;", "&amp;K$214,'FE Intrants'!$G:$U,10,FALSE),
VLOOKUP(B222&amp;"; "&amp;H222&amp;", "&amp;L$214,'FE Intrants'!$G:$U,10,FALSE),
VLOOKUP(B222&amp;"; "&amp;H222&amp;", "&amp;M$214,'FE Intrants'!$G:$U,10,FALSE)),
F222*VLOOKUP(B222&amp;"; "&amp;H222&amp;", "&amp;I$214,'FE Intrants'!$G:$U,10,FALSE))</f>
        <v>0</v>
      </c>
      <c r="W222" s="565">
        <f>IFERROR(F222*SUM((VLOOKUP(B222&amp;"; "&amp;H222&amp;", "&amp;I$214,'FE Intrants'!$G:$U,11,FALSE)+VLOOKUP(B222&amp;"; "&amp;H222&amp;", "&amp;I$214,'FE Intrants'!$G:$U,12,FALSE)),
(VLOOKUP(B222&amp;"; "&amp;H222&amp;", "&amp;J$214,'FE Intrants'!$G:$U,11,FALSE)+VLOOKUP(B222&amp;"; "&amp;H222&amp;", "&amp;J$214,'FE Intrants'!$G:$U,12,FALSE)),
(VLOOKUP(B222&amp;"; "&amp;H222&amp;", "&amp;K$214,'FE Intrants'!$G:$U,11,FALSE)+VLOOKUP(B222&amp;"; "&amp;H222&amp;", "&amp;K$214,'FE Intrants'!$G:$U,12,FALSE)),
(VLOOKUP(B222&amp;"; "&amp;H222&amp;", "&amp;L$214,'FE Intrants'!$G:$U,11,FALSE)+VLOOKUP(B222&amp;"; "&amp;H222&amp;", "&amp;L$214,'FE Intrants'!$G:$U,12,FALSE)),
(VLOOKUP(B222&amp;"; "&amp;H222&amp;", "&amp;M$214,'FE Intrants'!$G:$U,11,FALSE)+VLOOKUP(B222&amp;"; "&amp;H222&amp;", "&amp;M$214,'FE Intrants'!$G:$U,12,FALSE))),
F222*VLOOKUP(B222&amp;"; "&amp;H222&amp;", "&amp;I$214,'FE Intrants'!$G:$U,11,FALSE)+VLOOKUP(B222&amp;"; "&amp;H222&amp;", "&amp;I$214,'FE Intrants'!$G:$U,12,FALSE))</f>
        <v>0</v>
      </c>
      <c r="X222" s="565">
        <f>IFERROR(F222*SUM((VLOOKUP(B222&amp;"; "&amp;H222&amp;", "&amp;I$214,'FE Intrants'!$G:$U,13,FALSE)),
VLOOKUP(B222&amp;"; "&amp;H222&amp;", "&amp;J$214,'FE Intrants'!$G:$U,13,FALSE),
VLOOKUP(B222&amp;"; "&amp;H222&amp;", "&amp;K$214,'FE Intrants'!$G:$U,13,FALSE),
VLOOKUP(B222&amp;"; "&amp;H222&amp;", "&amp;L$214,'FE Intrants'!$G:$U,13,FALSE),
VLOOKUP(B222&amp;"; "&amp;H222&amp;", "&amp;M$214,'FE Intrants'!$G:$U,13,FALSE)),
F222*VLOOKUP(B222&amp;"; "&amp;H222&amp;", "&amp;I$214,'FE Intrants'!$G:$U,13,FALSE))</f>
        <v>0</v>
      </c>
      <c r="Y222" s="565">
        <f>IFERROR(F222*SUM((VLOOKUP(B222&amp;"; "&amp;H222&amp;", "&amp;I$214,'FE Intrants'!$G:$U,14,FALSE)),
VLOOKUP(B222&amp;"; "&amp;H222&amp;", "&amp;J$214,'FE Intrants'!$G:$U,14,FALSE),
VLOOKUP(B222&amp;"; "&amp;H222&amp;", "&amp;K$214,'FE Intrants'!$G:$U,14,FALSE),
VLOOKUP(B222&amp;"; "&amp;H222&amp;", "&amp;L$214,'FE Intrants'!$G:$U,14,FALSE),
VLOOKUP(B222&amp;"; "&amp;H222&amp;", "&amp;M$214,'FE Intrants'!$G:$U,14,FALSE)),
F222*VLOOKUP(B222&amp;"; "&amp;H222&amp;", "&amp;I$214,'FE Intrants'!$G:$U,14,FALSE))</f>
        <v>0</v>
      </c>
      <c r="Z222" s="567">
        <f t="shared" si="23"/>
        <v>0</v>
      </c>
      <c r="AA222" s="590">
        <f>IFERROR(F222*SUM((VLOOKUP(B222&amp;"; "&amp;H222&amp;", "&amp;I$214,'FE Intrants'!$G:$U,15,FALSE)),
VLOOKUP(B222&amp;"; "&amp;H222&amp;", "&amp;J$214,'FE Intrants'!$G:$U,15,FALSE),
VLOOKUP(B222&amp;"; "&amp;H222&amp;", "&amp;K$214,'FE Intrants'!$G:$U,15,FALSE),
VLOOKUP(B222&amp;"; "&amp;H222&amp;", "&amp;L$214,'FE Intrants'!$G:$U,15,FALSE),
VLOOKUP(B222&amp;"; "&amp;H222&amp;", "&amp;M$214,'FE Intrants'!$G:$U,15,FALSE)),
F222*VLOOKUP(B222&amp;"; "&amp;H222&amp;", "&amp;I$214,'FE Intrants'!$G:$U,15,FALSE))</f>
        <v>0</v>
      </c>
      <c r="AC222" s="2084">
        <f>IF($R222&lt;&gt;"votre valeur :",IF(ISNA(VLOOKUP($R222,Utilitaires!$N$566:$O$571,2,FALSE)),,VLOOKUP($R222,Utilitaires!$N$566:$O$571,2,FALSE)),$S222)</f>
        <v>0</v>
      </c>
      <c r="AD222" s="1130">
        <f>SQRT(SUMSQ(AC222,VLOOKUP($B222&amp;"; "&amp;$H222&amp;", "&amp;$I$214,'FE Intrants'!G:U,7,FALSE)))</f>
        <v>0.5</v>
      </c>
    </row>
    <row r="223" spans="2:30" s="114" customFormat="1" ht="13.2" outlineLevel="1">
      <c r="B223" s="143" t="s">
        <v>3289</v>
      </c>
      <c r="C223" s="144"/>
      <c r="D223" s="212">
        <f>N223</f>
        <v>0</v>
      </c>
      <c r="E223" s="212"/>
      <c r="F223" s="120"/>
      <c r="G223" s="224"/>
      <c r="H223" s="1212" t="str">
        <f>VLOOKUP(B223,'FE Intrants'!F:U,5,FALSE)</f>
        <v>kgCO2e/m²</v>
      </c>
      <c r="I223" s="212">
        <f>VLOOKUP($B223&amp;"; "&amp;$H223&amp;", "&amp;$I$214,'FE Intrants'!$G:$U,9,FALSE)*$F223</f>
        <v>0</v>
      </c>
      <c r="J223" s="212">
        <f>IF(ISNA(VLOOKUP($B223&amp;"; "&amp;$H223&amp;", "&amp;$J$214,'FE Intrants'!$G:$U,9,FALSE)),0,VLOOKUP($B223&amp;"; "&amp;$H223&amp;", "&amp;$J$214,'FE Intrants'!$G:$U,9,FALSE)*$F223)</f>
        <v>0</v>
      </c>
      <c r="K223" s="212">
        <f>IF(ISNA(VLOOKUP($B223&amp;"; "&amp;$H223&amp;", "&amp;$K$214,'FE Intrants'!$G:$U,9,FALSE)),0,VLOOKUP($B223&amp;"; "&amp;$H223&amp;", "&amp;$K$214,'FE Intrants'!$G:$U,9,FALSE)*$F223)</f>
        <v>0</v>
      </c>
      <c r="L223" s="212">
        <f>IF(ISNA(VLOOKUP($B223&amp;"; "&amp;$H223&amp;", "&amp;$L$214,'FE Intrants'!$G:$U,9,FALSE)),0,VLOOKUP($B223&amp;"; "&amp;$H223&amp;", "&amp;$L$214,'FE Intrants'!$G:$U,9,FALSE)*$F223)</f>
        <v>0</v>
      </c>
      <c r="M223" s="212">
        <f>IF(ISNA(VLOOKUP($B223&amp;"; "&amp;$H223&amp;", "&amp;$M$214,'FE Intrants'!$G:$U,9,FALSE)),0,VLOOKUP($B223&amp;"; "&amp;$H223&amp;", "&amp;$M$214,'FE Intrants'!$G:$U,9,FALSE)*$F223)</f>
        <v>0</v>
      </c>
      <c r="N223" s="1216">
        <f t="shared" si="30"/>
        <v>0</v>
      </c>
      <c r="Q223" s="319">
        <f t="shared" si="29"/>
        <v>0</v>
      </c>
      <c r="R223" s="1016"/>
      <c r="S223" s="820"/>
      <c r="T223" s="152">
        <f t="shared" si="31"/>
        <v>0</v>
      </c>
      <c r="V223" s="564">
        <f>IFERROR(F223*SUM((VLOOKUP(B223&amp;"; "&amp;H223&amp;", "&amp;I$214,'FE Intrants'!$G:$U,10,FALSE)),
VLOOKUP(B223&amp;"; "&amp;H223&amp;", "&amp;J$214,'FE Intrants'!$G:$U,10,FALSE),
VLOOKUP(B223&amp;"; "&amp;H223&amp;", "&amp;K$214,'FE Intrants'!$G:$U,10,FALSE),
VLOOKUP(B223&amp;"; "&amp;H223&amp;", "&amp;L$214,'FE Intrants'!$G:$U,10,FALSE),
VLOOKUP(B223&amp;"; "&amp;H223&amp;", "&amp;M$214,'FE Intrants'!$G:$U,10,FALSE)),
F223*VLOOKUP(B223&amp;"; "&amp;H223&amp;", "&amp;I$214,'FE Intrants'!$G:$U,10,FALSE))</f>
        <v>0</v>
      </c>
      <c r="W223" s="565">
        <f>IFERROR(F223*SUM((VLOOKUP(B223&amp;"; "&amp;H223&amp;", "&amp;I$214,'FE Intrants'!$G:$U,11,FALSE)+VLOOKUP(B223&amp;"; "&amp;H223&amp;", "&amp;I$214,'FE Intrants'!$G:$U,12,FALSE)),
(VLOOKUP(B223&amp;"; "&amp;H223&amp;", "&amp;J$214,'FE Intrants'!$G:$U,11,FALSE)+VLOOKUP(B223&amp;"; "&amp;H223&amp;", "&amp;J$214,'FE Intrants'!$G:$U,12,FALSE)),
(VLOOKUP(B223&amp;"; "&amp;H223&amp;", "&amp;K$214,'FE Intrants'!$G:$U,11,FALSE)+VLOOKUP(B223&amp;"; "&amp;H223&amp;", "&amp;K$214,'FE Intrants'!$G:$U,12,FALSE)),
(VLOOKUP(B223&amp;"; "&amp;H223&amp;", "&amp;L$214,'FE Intrants'!$G:$U,11,FALSE)+VLOOKUP(B223&amp;"; "&amp;H223&amp;", "&amp;L$214,'FE Intrants'!$G:$U,12,FALSE)),
(VLOOKUP(B223&amp;"; "&amp;H223&amp;", "&amp;M$214,'FE Intrants'!$G:$U,11,FALSE)+VLOOKUP(B223&amp;"; "&amp;H223&amp;", "&amp;M$214,'FE Intrants'!$G:$U,12,FALSE))),
F223*VLOOKUP(B223&amp;"; "&amp;H223&amp;", "&amp;I$214,'FE Intrants'!$G:$U,11,FALSE)+VLOOKUP(B223&amp;"; "&amp;H223&amp;", "&amp;I$214,'FE Intrants'!$G:$U,12,FALSE))</f>
        <v>0</v>
      </c>
      <c r="X223" s="565">
        <f>IFERROR(F223*SUM((VLOOKUP(B223&amp;"; "&amp;H223&amp;", "&amp;I$214,'FE Intrants'!$G:$U,13,FALSE)),
VLOOKUP(B223&amp;"; "&amp;H223&amp;", "&amp;J$214,'FE Intrants'!$G:$U,13,FALSE),
VLOOKUP(B223&amp;"; "&amp;H223&amp;", "&amp;K$214,'FE Intrants'!$G:$U,13,FALSE),
VLOOKUP(B223&amp;"; "&amp;H223&amp;", "&amp;L$214,'FE Intrants'!$G:$U,13,FALSE),
VLOOKUP(B223&amp;"; "&amp;H223&amp;", "&amp;M$214,'FE Intrants'!$G:$U,13,FALSE)),
F223*VLOOKUP(B223&amp;"; "&amp;H223&amp;", "&amp;I$214,'FE Intrants'!$G:$U,13,FALSE))</f>
        <v>0</v>
      </c>
      <c r="Y223" s="565">
        <f>IFERROR(F223*SUM((VLOOKUP(B223&amp;"; "&amp;H223&amp;", "&amp;I$214,'FE Intrants'!$G:$U,14,FALSE)),
VLOOKUP(B223&amp;"; "&amp;H223&amp;", "&amp;J$214,'FE Intrants'!$G:$U,14,FALSE),
VLOOKUP(B223&amp;"; "&amp;H223&amp;", "&amp;K$214,'FE Intrants'!$G:$U,14,FALSE),
VLOOKUP(B223&amp;"; "&amp;H223&amp;", "&amp;L$214,'FE Intrants'!$G:$U,14,FALSE),
VLOOKUP(B223&amp;"; "&amp;H223&amp;", "&amp;M$214,'FE Intrants'!$G:$U,14,FALSE)),
F223*VLOOKUP(B223&amp;"; "&amp;H223&amp;", "&amp;I$214,'FE Intrants'!$G:$U,14,FALSE))</f>
        <v>0</v>
      </c>
      <c r="Z223" s="567">
        <f t="shared" si="23"/>
        <v>0</v>
      </c>
      <c r="AA223" s="590">
        <f>IFERROR(F223*SUM((VLOOKUP(B223&amp;"; "&amp;H223&amp;", "&amp;I$214,'FE Intrants'!$G:$U,15,FALSE)),
VLOOKUP(B223&amp;"; "&amp;H223&amp;", "&amp;J$214,'FE Intrants'!$G:$U,15,FALSE),
VLOOKUP(B223&amp;"; "&amp;H223&amp;", "&amp;K$214,'FE Intrants'!$G:$U,15,FALSE),
VLOOKUP(B223&amp;"; "&amp;H223&amp;", "&amp;L$214,'FE Intrants'!$G:$U,15,FALSE),
VLOOKUP(B223&amp;"; "&amp;H223&amp;", "&amp;M$214,'FE Intrants'!$G:$U,15,FALSE)),
F223*VLOOKUP(B223&amp;"; "&amp;H223&amp;", "&amp;I$214,'FE Intrants'!$G:$U,15,FALSE))</f>
        <v>0</v>
      </c>
      <c r="AC223" s="2084">
        <f>IF($R223&lt;&gt;"votre valeur :",IF(ISNA(VLOOKUP($R223,Utilitaires!$N$566:$O$571,2,FALSE)),,VLOOKUP($R223,Utilitaires!$N$566:$O$571,2,FALSE)),$S223)</f>
        <v>0</v>
      </c>
      <c r="AD223" s="1130">
        <f>SQRT(SUMSQ(AC223,VLOOKUP($B223&amp;"; "&amp;$H223&amp;", "&amp;$I$214,'FE Intrants'!G:U,7,FALSE)))</f>
        <v>0.5</v>
      </c>
    </row>
    <row r="224" spans="2:30" s="114" customFormat="1" ht="13.2" outlineLevel="1">
      <c r="B224" s="143" t="s">
        <v>3263</v>
      </c>
      <c r="C224" s="144"/>
      <c r="D224" s="212">
        <f>N224</f>
        <v>0</v>
      </c>
      <c r="E224" s="212"/>
      <c r="F224" s="120"/>
      <c r="G224" s="224"/>
      <c r="H224" s="1212" t="str">
        <f>VLOOKUP(B224,'FE Intrants'!F:U,5,FALSE)</f>
        <v>kgCO2e/unité</v>
      </c>
      <c r="I224" s="212">
        <f>VLOOKUP($B224&amp;"; "&amp;$H224&amp;", "&amp;$I$214,'FE Intrants'!$G:$U,9,FALSE)*$F224</f>
        <v>0</v>
      </c>
      <c r="J224" s="212">
        <f>IF(ISNA(VLOOKUP($B224&amp;"; "&amp;$H224&amp;", "&amp;$J$214,'FE Intrants'!$G:$U,9,FALSE)),0,VLOOKUP($B224&amp;"; "&amp;$H224&amp;", "&amp;$J$214,'FE Intrants'!$G:$U,9,FALSE)*$F224)</f>
        <v>0</v>
      </c>
      <c r="K224" s="212">
        <f>IF(ISNA(VLOOKUP($B224&amp;"; "&amp;$H224&amp;", "&amp;$K$214,'FE Intrants'!$G:$U,9,FALSE)),0,VLOOKUP($B224&amp;"; "&amp;$H224&amp;", "&amp;$K$214,'FE Intrants'!$G:$U,9,FALSE)*$F224)</f>
        <v>0</v>
      </c>
      <c r="L224" s="212">
        <f>IF(ISNA(VLOOKUP($B224&amp;"; "&amp;$H224&amp;", "&amp;$L$214,'FE Intrants'!$G:$U,9,FALSE)),0,VLOOKUP($B224&amp;"; "&amp;$H224&amp;", "&amp;$L$214,'FE Intrants'!$G:$U,9,FALSE)*$F224)</f>
        <v>0</v>
      </c>
      <c r="M224" s="212">
        <f>IF(ISNA(VLOOKUP($B224&amp;"; "&amp;$H224&amp;", "&amp;$M$214,'FE Intrants'!$G:$U,9,FALSE)),0,VLOOKUP($B224&amp;"; "&amp;$H224&amp;", "&amp;$M$214,'FE Intrants'!$G:$U,9,FALSE)*$F224)</f>
        <v>0</v>
      </c>
      <c r="N224" s="1216">
        <f t="shared" si="30"/>
        <v>0</v>
      </c>
      <c r="Q224" s="319">
        <f t="shared" si="29"/>
        <v>0</v>
      </c>
      <c r="R224" s="1016"/>
      <c r="S224" s="820"/>
      <c r="T224" s="152">
        <f t="shared" si="31"/>
        <v>0</v>
      </c>
      <c r="V224" s="564">
        <f>IFERROR(F224*SUM((VLOOKUP(B224&amp;"; "&amp;H224&amp;", "&amp;I$214,'FE Intrants'!$G:$U,10,FALSE)),
VLOOKUP(B224&amp;"; "&amp;H224&amp;", "&amp;J$214,'FE Intrants'!$G:$U,10,FALSE),
VLOOKUP(B224&amp;"; "&amp;H224&amp;", "&amp;K$214,'FE Intrants'!$G:$U,10,FALSE),
VLOOKUP(B224&amp;"; "&amp;H224&amp;", "&amp;L$214,'FE Intrants'!$G:$U,10,FALSE),
VLOOKUP(B224&amp;"; "&amp;H224&amp;", "&amp;M$214,'FE Intrants'!$G:$U,10,FALSE)),
F224*VLOOKUP(B224&amp;"; "&amp;H224&amp;", "&amp;I$214,'FE Intrants'!$G:$U,10,FALSE))</f>
        <v>0</v>
      </c>
      <c r="W224" s="565">
        <f>IFERROR(F224*SUM((VLOOKUP(B224&amp;"; "&amp;H224&amp;", "&amp;I$214,'FE Intrants'!$G:$U,11,FALSE)+VLOOKUP(B224&amp;"; "&amp;H224&amp;", "&amp;I$214,'FE Intrants'!$G:$U,12,FALSE)),
(VLOOKUP(B224&amp;"; "&amp;H224&amp;", "&amp;J$214,'FE Intrants'!$G:$U,11,FALSE)+VLOOKUP(B224&amp;"; "&amp;H224&amp;", "&amp;J$214,'FE Intrants'!$G:$U,12,FALSE)),
(VLOOKUP(B224&amp;"; "&amp;H224&amp;", "&amp;K$214,'FE Intrants'!$G:$U,11,FALSE)+VLOOKUP(B224&amp;"; "&amp;H224&amp;", "&amp;K$214,'FE Intrants'!$G:$U,12,FALSE)),
(VLOOKUP(B224&amp;"; "&amp;H224&amp;", "&amp;L$214,'FE Intrants'!$G:$U,11,FALSE)+VLOOKUP(B224&amp;"; "&amp;H224&amp;", "&amp;L$214,'FE Intrants'!$G:$U,12,FALSE)),
(VLOOKUP(B224&amp;"; "&amp;H224&amp;", "&amp;M$214,'FE Intrants'!$G:$U,11,FALSE)+VLOOKUP(B224&amp;"; "&amp;H224&amp;", "&amp;M$214,'FE Intrants'!$G:$U,12,FALSE))),
F224*VLOOKUP(B224&amp;"; "&amp;H224&amp;", "&amp;I$214,'FE Intrants'!$G:$U,11,FALSE)+VLOOKUP(B224&amp;"; "&amp;H224&amp;", "&amp;I$214,'FE Intrants'!$G:$U,12,FALSE))</f>
        <v>0</v>
      </c>
      <c r="X224" s="565">
        <f>IFERROR(F224*SUM((VLOOKUP(B224&amp;"; "&amp;H224&amp;", "&amp;I$214,'FE Intrants'!$G:$U,13,FALSE)),
VLOOKUP(B224&amp;"; "&amp;H224&amp;", "&amp;J$214,'FE Intrants'!$G:$U,13,FALSE),
VLOOKUP(B224&amp;"; "&amp;H224&amp;", "&amp;K$214,'FE Intrants'!$G:$U,13,FALSE),
VLOOKUP(B224&amp;"; "&amp;H224&amp;", "&amp;L$214,'FE Intrants'!$G:$U,13,FALSE),
VLOOKUP(B224&amp;"; "&amp;H224&amp;", "&amp;M$214,'FE Intrants'!$G:$U,13,FALSE)),
F224*VLOOKUP(B224&amp;"; "&amp;H224&amp;", "&amp;I$214,'FE Intrants'!$G:$U,13,FALSE))</f>
        <v>0</v>
      </c>
      <c r="Y224" s="565">
        <f>IFERROR(F224*SUM((VLOOKUP(B224&amp;"; "&amp;H224&amp;", "&amp;I$214,'FE Intrants'!$G:$U,14,FALSE)),
VLOOKUP(B224&amp;"; "&amp;H224&amp;", "&amp;J$214,'FE Intrants'!$G:$U,14,FALSE),
VLOOKUP(B224&amp;"; "&amp;H224&amp;", "&amp;K$214,'FE Intrants'!$G:$U,14,FALSE),
VLOOKUP(B224&amp;"; "&amp;H224&amp;", "&amp;L$214,'FE Intrants'!$G:$U,14,FALSE),
VLOOKUP(B224&amp;"; "&amp;H224&amp;", "&amp;M$214,'FE Intrants'!$G:$U,14,FALSE)),
F224*VLOOKUP(B224&amp;"; "&amp;H224&amp;", "&amp;I$214,'FE Intrants'!$G:$U,14,FALSE))</f>
        <v>0</v>
      </c>
      <c r="Z224" s="567">
        <f t="shared" si="23"/>
        <v>0</v>
      </c>
      <c r="AA224" s="590">
        <f>IFERROR(F224*SUM((VLOOKUP(B224&amp;"; "&amp;H224&amp;", "&amp;I$214,'FE Intrants'!$G:$U,15,FALSE)),
VLOOKUP(B224&amp;"; "&amp;H224&amp;", "&amp;J$214,'FE Intrants'!$G:$U,15,FALSE),
VLOOKUP(B224&amp;"; "&amp;H224&amp;", "&amp;K$214,'FE Intrants'!$G:$U,15,FALSE),
VLOOKUP(B224&amp;"; "&amp;H224&amp;", "&amp;L$214,'FE Intrants'!$G:$U,15,FALSE),
VLOOKUP(B224&amp;"; "&amp;H224&amp;", "&amp;M$214,'FE Intrants'!$G:$U,15,FALSE)),
F224*VLOOKUP(B224&amp;"; "&amp;H224&amp;", "&amp;I$214,'FE Intrants'!$G:$U,15,FALSE))</f>
        <v>0</v>
      </c>
      <c r="AC224" s="2084">
        <f>IF($R224&lt;&gt;"votre valeur :",IF(ISNA(VLOOKUP($R224,Utilitaires!$N$566:$O$571,2,FALSE)),,VLOOKUP($R224,Utilitaires!$N$566:$O$571,2,FALSE)),$S224)</f>
        <v>0</v>
      </c>
      <c r="AD224" s="1130">
        <f>SQRT(SUMSQ(AC224,VLOOKUP($B224&amp;"; "&amp;$H224&amp;", "&amp;$I$214,'FE Intrants'!G:U,7,FALSE)))</f>
        <v>0.5</v>
      </c>
    </row>
    <row r="225" spans="2:30" s="114" customFormat="1" ht="13.2" outlineLevel="1">
      <c r="B225" s="143" t="s">
        <v>3264</v>
      </c>
      <c r="C225" s="144"/>
      <c r="D225" s="212">
        <f>N225</f>
        <v>0</v>
      </c>
      <c r="E225" s="212"/>
      <c r="F225" s="120"/>
      <c r="G225" s="224"/>
      <c r="H225" s="1212" t="str">
        <f>VLOOKUP(B225,'FE Intrants'!F:U,5,FALSE)</f>
        <v>kgCO2e/unité</v>
      </c>
      <c r="I225" s="212">
        <f>VLOOKUP($B225&amp;"; "&amp;$H225&amp;", "&amp;$I$214,'FE Intrants'!$G:$U,9,FALSE)*$F225</f>
        <v>0</v>
      </c>
      <c r="J225" s="212">
        <f>IF(ISNA(VLOOKUP($B225&amp;"; "&amp;$H225&amp;", "&amp;$J$214,'FE Intrants'!$G:$U,9,FALSE)),0,VLOOKUP($B225&amp;"; "&amp;$H225&amp;", "&amp;$J$214,'FE Intrants'!$G:$U,9,FALSE)*$F225)</f>
        <v>0</v>
      </c>
      <c r="K225" s="212">
        <f>IF(ISNA(VLOOKUP($B225&amp;"; "&amp;$H225&amp;", "&amp;$K$214,'FE Intrants'!$G:$U,9,FALSE)),0,VLOOKUP($B225&amp;"; "&amp;$H225&amp;", "&amp;$K$214,'FE Intrants'!$G:$U,9,FALSE)*$F225)</f>
        <v>0</v>
      </c>
      <c r="L225" s="212">
        <f>IF(ISNA(VLOOKUP($B225&amp;"; "&amp;$H225&amp;", "&amp;$L$214,'FE Intrants'!$G:$U,9,FALSE)),0,VLOOKUP($B225&amp;"; "&amp;$H225&amp;", "&amp;$L$214,'FE Intrants'!$G:$U,9,FALSE)*$F225)</f>
        <v>0</v>
      </c>
      <c r="M225" s="212">
        <f>IF(ISNA(VLOOKUP($B225&amp;"; "&amp;$H225&amp;", "&amp;$M$214,'FE Intrants'!$G:$U,9,FALSE)),0,VLOOKUP($B225&amp;"; "&amp;$H225&amp;", "&amp;$M$214,'FE Intrants'!$G:$U,9,FALSE)*$F225)</f>
        <v>0</v>
      </c>
      <c r="N225" s="1216">
        <f t="shared" si="30"/>
        <v>0</v>
      </c>
      <c r="Q225" s="319">
        <f t="shared" si="29"/>
        <v>0</v>
      </c>
      <c r="R225" s="1016"/>
      <c r="S225" s="820"/>
      <c r="T225" s="152">
        <f t="shared" si="31"/>
        <v>0</v>
      </c>
      <c r="V225" s="564">
        <f>IFERROR(F225*SUM((VLOOKUP(B225&amp;"; "&amp;H225&amp;", "&amp;I$214,'FE Intrants'!$G:$U,10,FALSE)),
VLOOKUP(B225&amp;"; "&amp;H225&amp;", "&amp;J$214,'FE Intrants'!$G:$U,10,FALSE),
VLOOKUP(B225&amp;"; "&amp;H225&amp;", "&amp;K$214,'FE Intrants'!$G:$U,10,FALSE),
VLOOKUP(B225&amp;"; "&amp;H225&amp;", "&amp;L$214,'FE Intrants'!$G:$U,10,FALSE),
VLOOKUP(B225&amp;"; "&amp;H225&amp;", "&amp;M$214,'FE Intrants'!$G:$U,10,FALSE)),
F225*VLOOKUP(B225&amp;"; "&amp;H225&amp;", "&amp;I$214,'FE Intrants'!$G:$U,10,FALSE))</f>
        <v>0</v>
      </c>
      <c r="W225" s="565">
        <f>IFERROR(F225*SUM((VLOOKUP(B225&amp;"; "&amp;H225&amp;", "&amp;I$214,'FE Intrants'!$G:$U,11,FALSE)+VLOOKUP(B225&amp;"; "&amp;H225&amp;", "&amp;I$214,'FE Intrants'!$G:$U,12,FALSE)),
(VLOOKUP(B225&amp;"; "&amp;H225&amp;", "&amp;J$214,'FE Intrants'!$G:$U,11,FALSE)+VLOOKUP(B225&amp;"; "&amp;H225&amp;", "&amp;J$214,'FE Intrants'!$G:$U,12,FALSE)),
(VLOOKUP(B225&amp;"; "&amp;H225&amp;", "&amp;K$214,'FE Intrants'!$G:$U,11,FALSE)+VLOOKUP(B225&amp;"; "&amp;H225&amp;", "&amp;K$214,'FE Intrants'!$G:$U,12,FALSE)),
(VLOOKUP(B225&amp;"; "&amp;H225&amp;", "&amp;L$214,'FE Intrants'!$G:$U,11,FALSE)+VLOOKUP(B225&amp;"; "&amp;H225&amp;", "&amp;L$214,'FE Intrants'!$G:$U,12,FALSE)),
(VLOOKUP(B225&amp;"; "&amp;H225&amp;", "&amp;M$214,'FE Intrants'!$G:$U,11,FALSE)+VLOOKUP(B225&amp;"; "&amp;H225&amp;", "&amp;M$214,'FE Intrants'!$G:$U,12,FALSE))),
F225*VLOOKUP(B225&amp;"; "&amp;H225&amp;", "&amp;I$214,'FE Intrants'!$G:$U,11,FALSE)+VLOOKUP(B225&amp;"; "&amp;H225&amp;", "&amp;I$214,'FE Intrants'!$G:$U,12,FALSE))</f>
        <v>0</v>
      </c>
      <c r="X225" s="565">
        <f>IFERROR(F225*SUM((VLOOKUP(B225&amp;"; "&amp;H225&amp;", "&amp;I$214,'FE Intrants'!$G:$U,13,FALSE)),
VLOOKUP(B225&amp;"; "&amp;H225&amp;", "&amp;J$214,'FE Intrants'!$G:$U,13,FALSE),
VLOOKUP(B225&amp;"; "&amp;H225&amp;", "&amp;K$214,'FE Intrants'!$G:$U,13,FALSE),
VLOOKUP(B225&amp;"; "&amp;H225&amp;", "&amp;L$214,'FE Intrants'!$G:$U,13,FALSE),
VLOOKUP(B225&amp;"; "&amp;H225&amp;", "&amp;M$214,'FE Intrants'!$G:$U,13,FALSE)),
F225*VLOOKUP(B225&amp;"; "&amp;H225&amp;", "&amp;I$214,'FE Intrants'!$G:$U,13,FALSE))</f>
        <v>0</v>
      </c>
      <c r="Y225" s="565">
        <f>IFERROR(F225*SUM((VLOOKUP(B225&amp;"; "&amp;H225&amp;", "&amp;I$214,'FE Intrants'!$G:$U,14,FALSE)),
VLOOKUP(B225&amp;"; "&amp;H225&amp;", "&amp;J$214,'FE Intrants'!$G:$U,14,FALSE),
VLOOKUP(B225&amp;"; "&amp;H225&amp;", "&amp;K$214,'FE Intrants'!$G:$U,14,FALSE),
VLOOKUP(B225&amp;"; "&amp;H225&amp;", "&amp;L$214,'FE Intrants'!$G:$U,14,FALSE),
VLOOKUP(B225&amp;"; "&amp;H225&amp;", "&amp;M$214,'FE Intrants'!$G:$U,14,FALSE)),
F225*VLOOKUP(B225&amp;"; "&amp;H225&amp;", "&amp;I$214,'FE Intrants'!$G:$U,14,FALSE))</f>
        <v>0</v>
      </c>
      <c r="Z225" s="567">
        <f t="shared" si="23"/>
        <v>0</v>
      </c>
      <c r="AA225" s="590">
        <f>IFERROR(F225*SUM((VLOOKUP(B225&amp;"; "&amp;H225&amp;", "&amp;I$214,'FE Intrants'!$G:$U,15,FALSE)),
VLOOKUP(B225&amp;"; "&amp;H225&amp;", "&amp;J$214,'FE Intrants'!$G:$U,15,FALSE),
VLOOKUP(B225&amp;"; "&amp;H225&amp;", "&amp;K$214,'FE Intrants'!$G:$U,15,FALSE),
VLOOKUP(B225&amp;"; "&amp;H225&amp;", "&amp;L$214,'FE Intrants'!$G:$U,15,FALSE),
VLOOKUP(B225&amp;"; "&amp;H225&amp;", "&amp;M$214,'FE Intrants'!$G:$U,15,FALSE)),
F225*VLOOKUP(B225&amp;"; "&amp;H225&amp;", "&amp;I$214,'FE Intrants'!$G:$U,15,FALSE))</f>
        <v>0</v>
      </c>
      <c r="AC225" s="2084">
        <f>IF($R225&lt;&gt;"votre valeur :",IF(ISNA(VLOOKUP($R225,Utilitaires!$N$566:$O$571,2,FALSE)),,VLOOKUP($R225,Utilitaires!$N$566:$O$571,2,FALSE)),$S225)</f>
        <v>0</v>
      </c>
      <c r="AD225" s="1130">
        <f>SQRT(SUMSQ(AC225,VLOOKUP($B225&amp;"; "&amp;$H225&amp;", "&amp;$I$214,'FE Intrants'!G:U,7,FALSE)))</f>
        <v>0.5</v>
      </c>
    </row>
    <row r="226" spans="2:30" s="114" customFormat="1" ht="13.2" outlineLevel="1">
      <c r="B226" s="143" t="s">
        <v>4130</v>
      </c>
      <c r="C226" s="144"/>
      <c r="D226" s="212">
        <f>N226</f>
        <v>0</v>
      </c>
      <c r="E226" s="212"/>
      <c r="F226" s="123"/>
      <c r="G226" s="224"/>
      <c r="H226" s="1213" t="str">
        <f>VLOOKUP(B226,'FE Intrants'!F:U,5,FALSE)</f>
        <v>kgCO2e/unité</v>
      </c>
      <c r="I226" s="212">
        <f>VLOOKUP($B226&amp;"; "&amp;$H226&amp;", "&amp;$I$214,'FE Intrants'!$G:$U,9,FALSE)*$F226</f>
        <v>0</v>
      </c>
      <c r="J226" s="212">
        <f>IF(ISNA(VLOOKUP($B226&amp;"; "&amp;$H226&amp;", "&amp;$J$214,'FE Intrants'!$G:$U,9,FALSE)),0,VLOOKUP($B226&amp;"; "&amp;$H226&amp;", "&amp;$J$214,'FE Intrants'!$G:$U,9,FALSE)*$F226)</f>
        <v>0</v>
      </c>
      <c r="K226" s="212">
        <f>IF(ISNA(VLOOKUP($B226&amp;"; "&amp;$H226&amp;", "&amp;$K$214,'FE Intrants'!$G:$U,9,FALSE)),0,VLOOKUP($B226&amp;"; "&amp;$H226&amp;", "&amp;$K$214,'FE Intrants'!$G:$U,9,FALSE)*$F226)</f>
        <v>0</v>
      </c>
      <c r="L226" s="212">
        <f>IF(ISNA(VLOOKUP($B226&amp;"; "&amp;$H226&amp;", "&amp;$L$214,'FE Intrants'!$G:$U,9,FALSE)),0,VLOOKUP($B226&amp;"; "&amp;$H226&amp;", "&amp;$L$214,'FE Intrants'!$G:$U,9,FALSE)*$F226)</f>
        <v>0</v>
      </c>
      <c r="M226" s="212">
        <f>IF(ISNA(VLOOKUP($B226&amp;"; "&amp;$H226&amp;", "&amp;$M$214,'FE Intrants'!$G:$U,9,FALSE)),0,VLOOKUP($B226&amp;"; "&amp;$H226&amp;", "&amp;$M$214,'FE Intrants'!$G:$U,9,FALSE)*$F226)</f>
        <v>0</v>
      </c>
      <c r="N226" s="1216">
        <f t="shared" si="30"/>
        <v>0</v>
      </c>
      <c r="Q226" s="319">
        <f t="shared" si="29"/>
        <v>0</v>
      </c>
      <c r="R226" s="1016"/>
      <c r="S226" s="820"/>
      <c r="T226" s="152">
        <f t="shared" si="31"/>
        <v>0</v>
      </c>
      <c r="V226" s="564">
        <f>IFERROR(F226*SUM((VLOOKUP(B226&amp;"; "&amp;H226&amp;", "&amp;I$214,'FE Intrants'!$G:$U,10,FALSE)),
VLOOKUP(B226&amp;"; "&amp;H226&amp;", "&amp;J$214,'FE Intrants'!$G:$U,10,FALSE),
VLOOKUP(B226&amp;"; "&amp;H226&amp;", "&amp;K$214,'FE Intrants'!$G:$U,10,FALSE),
VLOOKUP(B226&amp;"; "&amp;H226&amp;", "&amp;L$214,'FE Intrants'!$G:$U,10,FALSE),
VLOOKUP(B226&amp;"; "&amp;H226&amp;", "&amp;M$214,'FE Intrants'!$G:$U,10,FALSE)),
F226*VLOOKUP(B226&amp;"; "&amp;H226&amp;", "&amp;I$214,'FE Intrants'!$G:$U,10,FALSE))</f>
        <v>0</v>
      </c>
      <c r="W226" s="565">
        <f>IFERROR(F226*SUM((VLOOKUP(B226&amp;"; "&amp;H226&amp;", "&amp;I$214,'FE Intrants'!$G:$U,11,FALSE)+VLOOKUP(B226&amp;"; "&amp;H226&amp;", "&amp;I$214,'FE Intrants'!$G:$U,12,FALSE)),
(VLOOKUP(B226&amp;"; "&amp;H226&amp;", "&amp;J$214,'FE Intrants'!$G:$U,11,FALSE)+VLOOKUP(B226&amp;"; "&amp;H226&amp;", "&amp;J$214,'FE Intrants'!$G:$U,12,FALSE)),
(VLOOKUP(B226&amp;"; "&amp;H226&amp;", "&amp;K$214,'FE Intrants'!$G:$U,11,FALSE)+VLOOKUP(B226&amp;"; "&amp;H226&amp;", "&amp;K$214,'FE Intrants'!$G:$U,12,FALSE)),
(VLOOKUP(B226&amp;"; "&amp;H226&amp;", "&amp;L$214,'FE Intrants'!$G:$U,11,FALSE)+VLOOKUP(B226&amp;"; "&amp;H226&amp;", "&amp;L$214,'FE Intrants'!$G:$U,12,FALSE)),
(VLOOKUP(B226&amp;"; "&amp;H226&amp;", "&amp;M$214,'FE Intrants'!$G:$U,11,FALSE)+VLOOKUP(B226&amp;"; "&amp;H226&amp;", "&amp;M$214,'FE Intrants'!$G:$U,12,FALSE))),
F226*VLOOKUP(B226&amp;"; "&amp;H226&amp;", "&amp;I$214,'FE Intrants'!$G:$U,11,FALSE)+VLOOKUP(B226&amp;"; "&amp;H226&amp;", "&amp;I$214,'FE Intrants'!$G:$U,12,FALSE))</f>
        <v>0</v>
      </c>
      <c r="X226" s="565">
        <f>IFERROR(F226*SUM((VLOOKUP(B226&amp;"; "&amp;H226&amp;", "&amp;I$214,'FE Intrants'!$G:$U,13,FALSE)),
VLOOKUP(B226&amp;"; "&amp;H226&amp;", "&amp;J$214,'FE Intrants'!$G:$U,13,FALSE),
VLOOKUP(B226&amp;"; "&amp;H226&amp;", "&amp;K$214,'FE Intrants'!$G:$U,13,FALSE),
VLOOKUP(B226&amp;"; "&amp;H226&amp;", "&amp;L$214,'FE Intrants'!$G:$U,13,FALSE),
VLOOKUP(B226&amp;"; "&amp;H226&amp;", "&amp;M$214,'FE Intrants'!$G:$U,13,FALSE)),
F226*VLOOKUP(B226&amp;"; "&amp;H226&amp;", "&amp;I$214,'FE Intrants'!$G:$U,13,FALSE))</f>
        <v>0</v>
      </c>
      <c r="Y226" s="565">
        <f>IFERROR(F226*SUM((VLOOKUP(B226&amp;"; "&amp;H226&amp;", "&amp;I$214,'FE Intrants'!$G:$U,14,FALSE)),
VLOOKUP(B226&amp;"; "&amp;H226&amp;", "&amp;J$214,'FE Intrants'!$G:$U,14,FALSE),
VLOOKUP(B226&amp;"; "&amp;H226&amp;", "&amp;K$214,'FE Intrants'!$G:$U,14,FALSE),
VLOOKUP(B226&amp;"; "&amp;H226&amp;", "&amp;L$214,'FE Intrants'!$G:$U,14,FALSE),
VLOOKUP(B226&amp;"; "&amp;H226&amp;", "&amp;M$214,'FE Intrants'!$G:$U,14,FALSE)),
F226*VLOOKUP(B226&amp;"; "&amp;H226&amp;", "&amp;I$214,'FE Intrants'!$G:$U,14,FALSE))</f>
        <v>0</v>
      </c>
      <c r="Z226" s="567">
        <f t="shared" si="23"/>
        <v>0</v>
      </c>
      <c r="AA226" s="590">
        <f>IFERROR(F226*SUM((VLOOKUP(B226&amp;"; "&amp;H226&amp;", "&amp;I$214,'FE Intrants'!$G:$U,15,FALSE)),
VLOOKUP(B226&amp;"; "&amp;H226&amp;", "&amp;J$214,'FE Intrants'!$G:$U,15,FALSE),
VLOOKUP(B226&amp;"; "&amp;H226&amp;", "&amp;K$214,'FE Intrants'!$G:$U,15,FALSE),
VLOOKUP(B226&amp;"; "&amp;H226&amp;", "&amp;L$214,'FE Intrants'!$G:$U,15,FALSE),
VLOOKUP(B226&amp;"; "&amp;H226&amp;", "&amp;M$214,'FE Intrants'!$G:$U,15,FALSE)),
F226*VLOOKUP(B226&amp;"; "&amp;H226&amp;", "&amp;I$214,'FE Intrants'!$G:$U,15,FALSE))</f>
        <v>0</v>
      </c>
      <c r="AC226" s="2084">
        <f>IF($R226&lt;&gt;"votre valeur :",IF(ISNA(VLOOKUP($R226,Utilitaires!$N$566:$O$571,2,FALSE)),,VLOOKUP($R226,Utilitaires!$N$566:$O$571,2,FALSE)),$S226)</f>
        <v>0</v>
      </c>
      <c r="AD226" s="1130">
        <f>SQRT(SUMSQ(AC226,VLOOKUP($B226&amp;"; "&amp;$H226&amp;", "&amp;$I$214,'FE Intrants'!G:U,7,FALSE)))</f>
        <v>0.5</v>
      </c>
    </row>
    <row r="227" spans="2:30" s="114" customFormat="1" ht="13.2" outlineLevel="1">
      <c r="B227" s="143"/>
      <c r="C227" s="144"/>
      <c r="D227" s="212"/>
      <c r="E227" s="212"/>
      <c r="F227" s="212"/>
      <c r="G227" s="224"/>
      <c r="H227" s="2067"/>
      <c r="I227" s="212"/>
      <c r="J227" s="212"/>
      <c r="K227" s="212"/>
      <c r="L227" s="212"/>
      <c r="M227" s="212"/>
      <c r="N227" s="1216"/>
      <c r="Q227" s="319"/>
      <c r="R227" s="2081"/>
      <c r="S227" s="820"/>
      <c r="T227" s="152"/>
      <c r="V227" s="564"/>
      <c r="W227" s="565"/>
      <c r="X227" s="565"/>
      <c r="Y227" s="565"/>
      <c r="Z227" s="567"/>
      <c r="AA227" s="590"/>
      <c r="AC227" s="2084"/>
      <c r="AD227" s="1130"/>
    </row>
    <row r="228" spans="2:30" s="114" customFormat="1" ht="13.2" outlineLevel="1">
      <c r="B228" s="332" t="s">
        <v>1223</v>
      </c>
      <c r="C228" s="144"/>
      <c r="D228" s="212"/>
      <c r="E228" s="212"/>
      <c r="F228" s="212"/>
      <c r="G228" s="224"/>
      <c r="H228" s="2067"/>
      <c r="I228" s="212"/>
      <c r="J228" s="212"/>
      <c r="K228" s="212"/>
      <c r="L228" s="212"/>
      <c r="M228" s="212"/>
      <c r="N228" s="1216"/>
      <c r="Q228" s="319"/>
      <c r="R228" s="2081"/>
      <c r="S228" s="820"/>
      <c r="T228" s="152"/>
      <c r="V228" s="564"/>
      <c r="W228" s="565"/>
      <c r="X228" s="565"/>
      <c r="Y228" s="565"/>
      <c r="Z228" s="567"/>
      <c r="AA228" s="590"/>
      <c r="AC228" s="2084"/>
      <c r="AD228" s="1130"/>
    </row>
    <row r="229" spans="2:30" s="114" customFormat="1" ht="13.2" outlineLevel="1">
      <c r="B229" s="143" t="s">
        <v>3265</v>
      </c>
      <c r="C229" s="144"/>
      <c r="D229" s="212">
        <f>N229</f>
        <v>0</v>
      </c>
      <c r="E229" s="212"/>
      <c r="F229" s="117"/>
      <c r="G229" s="224"/>
      <c r="H229" s="1211" t="str">
        <f>VLOOKUP(B229,'FE Intrants'!F:U,5,FALSE)</f>
        <v>kgCO2e/unité</v>
      </c>
      <c r="I229" s="212">
        <f>VLOOKUP($B229&amp;"; "&amp;$H229&amp;", "&amp;$I$214,'FE Intrants'!$G:$U,9,FALSE)*$F229</f>
        <v>0</v>
      </c>
      <c r="J229" s="212">
        <f>IF(ISNA(VLOOKUP($B229&amp;"; "&amp;$H229&amp;", "&amp;$J$214,'FE Intrants'!$G:$U,9,FALSE)),0,VLOOKUP($B229&amp;"; "&amp;$H229&amp;", "&amp;$J$214,'FE Intrants'!$G:$U,9,FALSE)*$F229)</f>
        <v>0</v>
      </c>
      <c r="K229" s="212">
        <f>IF(ISNA(VLOOKUP($B229&amp;"; "&amp;$H229&amp;", "&amp;$K$214,'FE Intrants'!$G:$U,9,FALSE)),0,VLOOKUP($B229&amp;"; "&amp;$H229&amp;", "&amp;$K$214,'FE Intrants'!$G:$U,9,FALSE)*$F229)</f>
        <v>0</v>
      </c>
      <c r="L229" s="212">
        <f>IF(ISNA(VLOOKUP($B229&amp;"; "&amp;$H229&amp;", "&amp;$L$214,'FE Intrants'!$G:$U,9,FALSE)),0,VLOOKUP($B229&amp;"; "&amp;$H229&amp;", "&amp;$L$214,'FE Intrants'!$G:$U,9,FALSE)*$F229)</f>
        <v>0</v>
      </c>
      <c r="M229" s="212">
        <f>IF(ISNA(VLOOKUP($B229&amp;"; "&amp;$H229&amp;", "&amp;$M$214,'FE Intrants'!$G:$U,9,FALSE)),0,VLOOKUP($B229&amp;"; "&amp;$H229&amp;", "&amp;$M$214,'FE Intrants'!$G:$U,9,FALSE)*$F229)</f>
        <v>0</v>
      </c>
      <c r="N229" s="1216">
        <f t="shared" si="30"/>
        <v>0</v>
      </c>
      <c r="Q229" s="319">
        <f t="shared" si="29"/>
        <v>0</v>
      </c>
      <c r="R229" s="1016"/>
      <c r="S229" s="820"/>
      <c r="T229" s="152">
        <f t="shared" si="31"/>
        <v>0</v>
      </c>
      <c r="V229" s="564">
        <f>IFERROR(F229*SUM((VLOOKUP(B229&amp;"; "&amp;H229&amp;", "&amp;I$214,'FE Intrants'!$G:$U,10,FALSE)),
VLOOKUP(B229&amp;"; "&amp;H229&amp;", "&amp;J$214,'FE Intrants'!$G:$U,10,FALSE),
VLOOKUP(B229&amp;"; "&amp;H229&amp;", "&amp;K$214,'FE Intrants'!$G:$U,10,FALSE),
VLOOKUP(B229&amp;"; "&amp;H229&amp;", "&amp;L$214,'FE Intrants'!$G:$U,10,FALSE),
VLOOKUP(B229&amp;"; "&amp;H229&amp;", "&amp;M$214,'FE Intrants'!$G:$U,10,FALSE)),
F229*VLOOKUP(B229&amp;"; "&amp;H229&amp;", "&amp;I$214,'FE Intrants'!$G:$U,10,FALSE))</f>
        <v>0</v>
      </c>
      <c r="W229" s="565">
        <f>IFERROR(F229*SUM((VLOOKUP(B229&amp;"; "&amp;H229&amp;", "&amp;I$214,'FE Intrants'!$G:$U,11,FALSE)+VLOOKUP(B229&amp;"; "&amp;H229&amp;", "&amp;I$214,'FE Intrants'!$G:$U,12,FALSE)),
(VLOOKUP(B229&amp;"; "&amp;H229&amp;", "&amp;J$214,'FE Intrants'!$G:$U,11,FALSE)+VLOOKUP(B229&amp;"; "&amp;H229&amp;", "&amp;J$214,'FE Intrants'!$G:$U,12,FALSE)),
(VLOOKUP(B229&amp;"; "&amp;H229&amp;", "&amp;K$214,'FE Intrants'!$G:$U,11,FALSE)+VLOOKUP(B229&amp;"; "&amp;H229&amp;", "&amp;K$214,'FE Intrants'!$G:$U,12,FALSE)),
(VLOOKUP(B229&amp;"; "&amp;H229&amp;", "&amp;L$214,'FE Intrants'!$G:$U,11,FALSE)+VLOOKUP(B229&amp;"; "&amp;H229&amp;", "&amp;L$214,'FE Intrants'!$G:$U,12,FALSE)),
(VLOOKUP(B229&amp;"; "&amp;H229&amp;", "&amp;M$214,'FE Intrants'!$G:$U,11,FALSE)+VLOOKUP(B229&amp;"; "&amp;H229&amp;", "&amp;M$214,'FE Intrants'!$G:$U,12,FALSE))),
F229*VLOOKUP(B229&amp;"; "&amp;H229&amp;", "&amp;I$214,'FE Intrants'!$G:$U,11,FALSE)+VLOOKUP(B229&amp;"; "&amp;H229&amp;", "&amp;I$214,'FE Intrants'!$G:$U,12,FALSE))</f>
        <v>0</v>
      </c>
      <c r="X229" s="565">
        <f>IFERROR(F229*SUM((VLOOKUP(B229&amp;"; "&amp;H229&amp;", "&amp;I$214,'FE Intrants'!$G:$U,13,FALSE)),
VLOOKUP(B229&amp;"; "&amp;H229&amp;", "&amp;J$214,'FE Intrants'!$G:$U,13,FALSE),
VLOOKUP(B229&amp;"; "&amp;H229&amp;", "&amp;K$214,'FE Intrants'!$G:$U,13,FALSE),
VLOOKUP(B229&amp;"; "&amp;H229&amp;", "&amp;L$214,'FE Intrants'!$G:$U,13,FALSE),
VLOOKUP(B229&amp;"; "&amp;H229&amp;", "&amp;M$214,'FE Intrants'!$G:$U,13,FALSE)),
F229*VLOOKUP(B229&amp;"; "&amp;H229&amp;", "&amp;I$214,'FE Intrants'!$G:$U,13,FALSE))</f>
        <v>0</v>
      </c>
      <c r="Y229" s="565">
        <f>IFERROR(F229*SUM((VLOOKUP(B229&amp;"; "&amp;H229&amp;", "&amp;I$214,'FE Intrants'!$G:$U,14,FALSE)),
VLOOKUP(B229&amp;"; "&amp;H229&amp;", "&amp;J$214,'FE Intrants'!$G:$U,14,FALSE),
VLOOKUP(B229&amp;"; "&amp;H229&amp;", "&amp;K$214,'FE Intrants'!$G:$U,14,FALSE),
VLOOKUP(B229&amp;"; "&amp;H229&amp;", "&amp;L$214,'FE Intrants'!$G:$U,14,FALSE),
VLOOKUP(B229&amp;"; "&amp;H229&amp;", "&amp;M$214,'FE Intrants'!$G:$U,14,FALSE)),
F229*VLOOKUP(B229&amp;"; "&amp;H229&amp;", "&amp;I$214,'FE Intrants'!$G:$U,14,FALSE))</f>
        <v>0</v>
      </c>
      <c r="Z229" s="567">
        <f t="shared" si="23"/>
        <v>0</v>
      </c>
      <c r="AA229" s="590">
        <f>IFERROR(F229*SUM((VLOOKUP(B229&amp;"; "&amp;H229&amp;", "&amp;I$214,'FE Intrants'!$G:$U,15,FALSE)),
VLOOKUP(B229&amp;"; "&amp;H229&amp;", "&amp;J$214,'FE Intrants'!$G:$U,15,FALSE),
VLOOKUP(B229&amp;"; "&amp;H229&amp;", "&amp;K$214,'FE Intrants'!$G:$U,15,FALSE),
VLOOKUP(B229&amp;"; "&amp;H229&amp;", "&amp;L$214,'FE Intrants'!$G:$U,15,FALSE),
VLOOKUP(B229&amp;"; "&amp;H229&amp;", "&amp;M$214,'FE Intrants'!$G:$U,15,FALSE)),
F229*VLOOKUP(B229&amp;"; "&amp;H229&amp;", "&amp;I$214,'FE Intrants'!$G:$U,15,FALSE))</f>
        <v>0</v>
      </c>
      <c r="AC229" s="2084">
        <f>IF($R229&lt;&gt;"votre valeur :",IF(ISNA(VLOOKUP($R229,Utilitaires!$N$566:$O$571,2,FALSE)),,VLOOKUP($R229,Utilitaires!$N$566:$O$571,2,FALSE)),$S229)</f>
        <v>0</v>
      </c>
      <c r="AD229" s="1130">
        <f>SQRT(SUMSQ(AC229,VLOOKUP($B229&amp;"; "&amp;$H229&amp;", "&amp;$I$214,'FE Intrants'!G:U,7,FALSE)))</f>
        <v>0.2</v>
      </c>
    </row>
    <row r="230" spans="2:30" s="114" customFormat="1" ht="13.2" outlineLevel="1">
      <c r="B230" s="143" t="s">
        <v>3266</v>
      </c>
      <c r="C230" s="144"/>
      <c r="D230" s="212">
        <f>N230</f>
        <v>0</v>
      </c>
      <c r="E230" s="212"/>
      <c r="F230" s="120"/>
      <c r="G230" s="224"/>
      <c r="H230" s="1212" t="str">
        <f>VLOOKUP(B230,'FE Intrants'!F:U,5,FALSE)</f>
        <v>kgCO2e/unité</v>
      </c>
      <c r="I230" s="212">
        <f>VLOOKUP($B230&amp;"; "&amp;$H230&amp;", "&amp;$I$214,'FE Intrants'!$G:$U,9,FALSE)*$F230</f>
        <v>0</v>
      </c>
      <c r="J230" s="212">
        <f>IF(ISNA(VLOOKUP($B230&amp;"; "&amp;$H230&amp;", "&amp;$J$214,'FE Intrants'!$G:$U,9,FALSE)),0,VLOOKUP($B230&amp;"; "&amp;$H230&amp;", "&amp;$J$214,'FE Intrants'!$G:$U,9,FALSE)*$F230)</f>
        <v>0</v>
      </c>
      <c r="K230" s="212">
        <f>IF(ISNA(VLOOKUP($B230&amp;"; "&amp;$H230&amp;", "&amp;$K$214,'FE Intrants'!$G:$U,9,FALSE)),0,VLOOKUP($B230&amp;"; "&amp;$H230&amp;", "&amp;$K$214,'FE Intrants'!$G:$U,9,FALSE)*$F230)</f>
        <v>0</v>
      </c>
      <c r="L230" s="212">
        <f>IF(ISNA(VLOOKUP($B230&amp;"; "&amp;$H230&amp;", "&amp;$L$214,'FE Intrants'!$G:$U,9,FALSE)),0,VLOOKUP($B230&amp;"; "&amp;$H230&amp;", "&amp;$L$214,'FE Intrants'!$G:$U,9,FALSE)*$F230)</f>
        <v>0</v>
      </c>
      <c r="M230" s="212">
        <f>IF(ISNA(VLOOKUP($B230&amp;"; "&amp;$H230&amp;", "&amp;$M$214,'FE Intrants'!$G:$U,9,FALSE)),0,VLOOKUP($B230&amp;"; "&amp;$H230&amp;", "&amp;$M$214,'FE Intrants'!$G:$U,9,FALSE)*$F230)</f>
        <v>0</v>
      </c>
      <c r="N230" s="1216">
        <f t="shared" si="30"/>
        <v>0</v>
      </c>
      <c r="Q230" s="319">
        <f t="shared" si="29"/>
        <v>0</v>
      </c>
      <c r="R230" s="1016"/>
      <c r="S230" s="820"/>
      <c r="T230" s="152">
        <f t="shared" si="31"/>
        <v>0</v>
      </c>
      <c r="V230" s="564">
        <f>IFERROR(F230*SUM((VLOOKUP(B230&amp;"; "&amp;H230&amp;", "&amp;I$214,'FE Intrants'!$G:$U,10,FALSE)),
VLOOKUP(B230&amp;"; "&amp;H230&amp;", "&amp;J$214,'FE Intrants'!$G:$U,10,FALSE),
VLOOKUP(B230&amp;"; "&amp;H230&amp;", "&amp;K$214,'FE Intrants'!$G:$U,10,FALSE),
VLOOKUP(B230&amp;"; "&amp;H230&amp;", "&amp;L$214,'FE Intrants'!$G:$U,10,FALSE),
VLOOKUP(B230&amp;"; "&amp;H230&amp;", "&amp;M$214,'FE Intrants'!$G:$U,10,FALSE)),
F230*VLOOKUP(B230&amp;"; "&amp;H230&amp;", "&amp;I$214,'FE Intrants'!$G:$U,10,FALSE))</f>
        <v>0</v>
      </c>
      <c r="W230" s="565">
        <f>IFERROR(F230*SUM((VLOOKUP(B230&amp;"; "&amp;H230&amp;", "&amp;I$214,'FE Intrants'!$G:$U,11,FALSE)+VLOOKUP(B230&amp;"; "&amp;H230&amp;", "&amp;I$214,'FE Intrants'!$G:$U,12,FALSE)),
(VLOOKUP(B230&amp;"; "&amp;H230&amp;", "&amp;J$214,'FE Intrants'!$G:$U,11,FALSE)+VLOOKUP(B230&amp;"; "&amp;H230&amp;", "&amp;J$214,'FE Intrants'!$G:$U,12,FALSE)),
(VLOOKUP(B230&amp;"; "&amp;H230&amp;", "&amp;K$214,'FE Intrants'!$G:$U,11,FALSE)+VLOOKUP(B230&amp;"; "&amp;H230&amp;", "&amp;K$214,'FE Intrants'!$G:$U,12,FALSE)),
(VLOOKUP(B230&amp;"; "&amp;H230&amp;", "&amp;L$214,'FE Intrants'!$G:$U,11,FALSE)+VLOOKUP(B230&amp;"; "&amp;H230&amp;", "&amp;L$214,'FE Intrants'!$G:$U,12,FALSE)),
(VLOOKUP(B230&amp;"; "&amp;H230&amp;", "&amp;M$214,'FE Intrants'!$G:$U,11,FALSE)+VLOOKUP(B230&amp;"; "&amp;H230&amp;", "&amp;M$214,'FE Intrants'!$G:$U,12,FALSE))),
F230*VLOOKUP(B230&amp;"; "&amp;H230&amp;", "&amp;I$214,'FE Intrants'!$G:$U,11,FALSE)+VLOOKUP(B230&amp;"; "&amp;H230&amp;", "&amp;I$214,'FE Intrants'!$G:$U,12,FALSE))</f>
        <v>0</v>
      </c>
      <c r="X230" s="565">
        <f>IFERROR(F230*SUM((VLOOKUP(B230&amp;"; "&amp;H230&amp;", "&amp;I$214,'FE Intrants'!$G:$U,13,FALSE)),
VLOOKUP(B230&amp;"; "&amp;H230&amp;", "&amp;J$214,'FE Intrants'!$G:$U,13,FALSE),
VLOOKUP(B230&amp;"; "&amp;H230&amp;", "&amp;K$214,'FE Intrants'!$G:$U,13,FALSE),
VLOOKUP(B230&amp;"; "&amp;H230&amp;", "&amp;L$214,'FE Intrants'!$G:$U,13,FALSE),
VLOOKUP(B230&amp;"; "&amp;H230&amp;", "&amp;M$214,'FE Intrants'!$G:$U,13,FALSE)),
F230*VLOOKUP(B230&amp;"; "&amp;H230&amp;", "&amp;I$214,'FE Intrants'!$G:$U,13,FALSE))</f>
        <v>0</v>
      </c>
      <c r="Y230" s="565">
        <f>IFERROR(F230*SUM((VLOOKUP(B230&amp;"; "&amp;H230&amp;", "&amp;I$214,'FE Intrants'!$G:$U,14,FALSE)),
VLOOKUP(B230&amp;"; "&amp;H230&amp;", "&amp;J$214,'FE Intrants'!$G:$U,14,FALSE),
VLOOKUP(B230&amp;"; "&amp;H230&amp;", "&amp;K$214,'FE Intrants'!$G:$U,14,FALSE),
VLOOKUP(B230&amp;"; "&amp;H230&amp;", "&amp;L$214,'FE Intrants'!$G:$U,14,FALSE),
VLOOKUP(B230&amp;"; "&amp;H230&amp;", "&amp;M$214,'FE Intrants'!$G:$U,14,FALSE)),
F230*VLOOKUP(B230&amp;"; "&amp;H230&amp;", "&amp;I$214,'FE Intrants'!$G:$U,14,FALSE))</f>
        <v>0</v>
      </c>
      <c r="Z230" s="567">
        <f t="shared" si="23"/>
        <v>0</v>
      </c>
      <c r="AA230" s="590">
        <f>IFERROR(F230*SUM((VLOOKUP(B230&amp;"; "&amp;H230&amp;", "&amp;I$214,'FE Intrants'!$G:$U,15,FALSE)),
VLOOKUP(B230&amp;"; "&amp;H230&amp;", "&amp;J$214,'FE Intrants'!$G:$U,15,FALSE),
VLOOKUP(B230&amp;"; "&amp;H230&amp;", "&amp;K$214,'FE Intrants'!$G:$U,15,FALSE),
VLOOKUP(B230&amp;"; "&amp;H230&amp;", "&amp;L$214,'FE Intrants'!$G:$U,15,FALSE),
VLOOKUP(B230&amp;"; "&amp;H230&amp;", "&amp;M$214,'FE Intrants'!$G:$U,15,FALSE)),
F230*VLOOKUP(B230&amp;"; "&amp;H230&amp;", "&amp;I$214,'FE Intrants'!$G:$U,15,FALSE))</f>
        <v>0</v>
      </c>
      <c r="AC230" s="2084">
        <f>IF($R230&lt;&gt;"votre valeur :",IF(ISNA(VLOOKUP($R230,Utilitaires!$N$566:$O$571,2,FALSE)),,VLOOKUP($R230,Utilitaires!$N$566:$O$571,2,FALSE)),$S230)</f>
        <v>0</v>
      </c>
      <c r="AD230" s="1130">
        <f>SQRT(SUMSQ(AC230,VLOOKUP($B230&amp;"; "&amp;$H230&amp;", "&amp;$I$214,'FE Intrants'!G:U,7,FALSE)))</f>
        <v>0.15</v>
      </c>
    </row>
    <row r="231" spans="2:30" s="114" customFormat="1" ht="13.2" outlineLevel="1">
      <c r="B231" s="143" t="s">
        <v>3267</v>
      </c>
      <c r="C231" s="144"/>
      <c r="D231" s="212">
        <f>N231</f>
        <v>0</v>
      </c>
      <c r="E231" s="212"/>
      <c r="F231" s="120"/>
      <c r="G231" s="224"/>
      <c r="H231" s="1212" t="str">
        <f>VLOOKUP(B231,'FE Intrants'!F:U,5,FALSE)</f>
        <v>kgCO2e/unité</v>
      </c>
      <c r="I231" s="212">
        <f>VLOOKUP($B231&amp;"; "&amp;$H231&amp;", "&amp;$I$214,'FE Intrants'!$G:$U,9,FALSE)*$F231</f>
        <v>0</v>
      </c>
      <c r="J231" s="212">
        <f>IF(ISNA(VLOOKUP($B231&amp;"; "&amp;$H231&amp;", "&amp;$J$214,'FE Intrants'!$G:$U,9,FALSE)),0,VLOOKUP($B231&amp;"; "&amp;$H231&amp;", "&amp;$J$214,'FE Intrants'!$G:$U,9,FALSE)*$F231)</f>
        <v>0</v>
      </c>
      <c r="K231" s="212">
        <f>IF(ISNA(VLOOKUP($B231&amp;"; "&amp;$H231&amp;", "&amp;$K$214,'FE Intrants'!$G:$U,9,FALSE)),0,VLOOKUP($B231&amp;"; "&amp;$H231&amp;", "&amp;$K$214,'FE Intrants'!$G:$U,9,FALSE)*$F231)</f>
        <v>0</v>
      </c>
      <c r="L231" s="212">
        <f>IF(ISNA(VLOOKUP($B231&amp;"; "&amp;$H231&amp;", "&amp;$L$214,'FE Intrants'!$G:$U,9,FALSE)),0,VLOOKUP($B231&amp;"; "&amp;$H231&amp;", "&amp;$L$214,'FE Intrants'!$G:$U,9,FALSE)*$F231)</f>
        <v>0</v>
      </c>
      <c r="M231" s="212">
        <f>IF(ISNA(VLOOKUP($B231&amp;"; "&amp;$H231&amp;", "&amp;$M$214,'FE Intrants'!$G:$U,9,FALSE)),0,VLOOKUP($B231&amp;"; "&amp;$H231&amp;", "&amp;$M$214,'FE Intrants'!$G:$U,9,FALSE)*$F231)</f>
        <v>0</v>
      </c>
      <c r="N231" s="1216">
        <f t="shared" si="30"/>
        <v>0</v>
      </c>
      <c r="Q231" s="319">
        <f t="shared" si="29"/>
        <v>0</v>
      </c>
      <c r="R231" s="1016"/>
      <c r="S231" s="820"/>
      <c r="T231" s="152">
        <f t="shared" si="31"/>
        <v>0</v>
      </c>
      <c r="V231" s="564">
        <f>IFERROR(F231*SUM((VLOOKUP(B231&amp;"; "&amp;H231&amp;", "&amp;I$214,'FE Intrants'!$G:$U,10,FALSE)),
VLOOKUP(B231&amp;"; "&amp;H231&amp;", "&amp;J$214,'FE Intrants'!$G:$U,10,FALSE),
VLOOKUP(B231&amp;"; "&amp;H231&amp;", "&amp;K$214,'FE Intrants'!$G:$U,10,FALSE),
VLOOKUP(B231&amp;"; "&amp;H231&amp;", "&amp;L$214,'FE Intrants'!$G:$U,10,FALSE),
VLOOKUP(B231&amp;"; "&amp;H231&amp;", "&amp;M$214,'FE Intrants'!$G:$U,10,FALSE)),
F231*VLOOKUP(B231&amp;"; "&amp;H231&amp;", "&amp;I$214,'FE Intrants'!$G:$U,10,FALSE))</f>
        <v>0</v>
      </c>
      <c r="W231" s="565">
        <f>IFERROR(F231*SUM((VLOOKUP(B231&amp;"; "&amp;H231&amp;", "&amp;I$214,'FE Intrants'!$G:$U,11,FALSE)+VLOOKUP(B231&amp;"; "&amp;H231&amp;", "&amp;I$214,'FE Intrants'!$G:$U,12,FALSE)),
(VLOOKUP(B231&amp;"; "&amp;H231&amp;", "&amp;J$214,'FE Intrants'!$G:$U,11,FALSE)+VLOOKUP(B231&amp;"; "&amp;H231&amp;", "&amp;J$214,'FE Intrants'!$G:$U,12,FALSE)),
(VLOOKUP(B231&amp;"; "&amp;H231&amp;", "&amp;K$214,'FE Intrants'!$G:$U,11,FALSE)+VLOOKUP(B231&amp;"; "&amp;H231&amp;", "&amp;K$214,'FE Intrants'!$G:$U,12,FALSE)),
(VLOOKUP(B231&amp;"; "&amp;H231&amp;", "&amp;L$214,'FE Intrants'!$G:$U,11,FALSE)+VLOOKUP(B231&amp;"; "&amp;H231&amp;", "&amp;L$214,'FE Intrants'!$G:$U,12,FALSE)),
(VLOOKUP(B231&amp;"; "&amp;H231&amp;", "&amp;M$214,'FE Intrants'!$G:$U,11,FALSE)+VLOOKUP(B231&amp;"; "&amp;H231&amp;", "&amp;M$214,'FE Intrants'!$G:$U,12,FALSE))),
F231*VLOOKUP(B231&amp;"; "&amp;H231&amp;", "&amp;I$214,'FE Intrants'!$G:$U,11,FALSE)+VLOOKUP(B231&amp;"; "&amp;H231&amp;", "&amp;I$214,'FE Intrants'!$G:$U,12,FALSE))</f>
        <v>0</v>
      </c>
      <c r="X231" s="565">
        <f>IFERROR(F231*SUM((VLOOKUP(B231&amp;"; "&amp;H231&amp;", "&amp;I$214,'FE Intrants'!$G:$U,13,FALSE)),
VLOOKUP(B231&amp;"; "&amp;H231&amp;", "&amp;J$214,'FE Intrants'!$G:$U,13,FALSE),
VLOOKUP(B231&amp;"; "&amp;H231&amp;", "&amp;K$214,'FE Intrants'!$G:$U,13,FALSE),
VLOOKUP(B231&amp;"; "&amp;H231&amp;", "&amp;L$214,'FE Intrants'!$G:$U,13,FALSE),
VLOOKUP(B231&amp;"; "&amp;H231&amp;", "&amp;M$214,'FE Intrants'!$G:$U,13,FALSE)),
F231*VLOOKUP(B231&amp;"; "&amp;H231&amp;", "&amp;I$214,'FE Intrants'!$G:$U,13,FALSE))</f>
        <v>0</v>
      </c>
      <c r="Y231" s="565">
        <f>IFERROR(F231*SUM((VLOOKUP(B231&amp;"; "&amp;H231&amp;", "&amp;I$214,'FE Intrants'!$G:$U,14,FALSE)),
VLOOKUP(B231&amp;"; "&amp;H231&amp;", "&amp;J$214,'FE Intrants'!$G:$U,14,FALSE),
VLOOKUP(B231&amp;"; "&amp;H231&amp;", "&amp;K$214,'FE Intrants'!$G:$U,14,FALSE),
VLOOKUP(B231&amp;"; "&amp;H231&amp;", "&amp;L$214,'FE Intrants'!$G:$U,14,FALSE),
VLOOKUP(B231&amp;"; "&amp;H231&amp;", "&amp;M$214,'FE Intrants'!$G:$U,14,FALSE)),
F231*VLOOKUP(B231&amp;"; "&amp;H231&amp;", "&amp;I$214,'FE Intrants'!$G:$U,14,FALSE))</f>
        <v>0</v>
      </c>
      <c r="Z231" s="567">
        <f t="shared" si="23"/>
        <v>0</v>
      </c>
      <c r="AA231" s="590">
        <f>IFERROR(F231*SUM((VLOOKUP(B231&amp;"; "&amp;H231&amp;", "&amp;I$214,'FE Intrants'!$G:$U,15,FALSE)),
VLOOKUP(B231&amp;"; "&amp;H231&amp;", "&amp;J$214,'FE Intrants'!$G:$U,15,FALSE),
VLOOKUP(B231&amp;"; "&amp;H231&amp;", "&amp;K$214,'FE Intrants'!$G:$U,15,FALSE),
VLOOKUP(B231&amp;"; "&amp;H231&amp;", "&amp;L$214,'FE Intrants'!$G:$U,15,FALSE),
VLOOKUP(B231&amp;"; "&amp;H231&amp;", "&amp;M$214,'FE Intrants'!$G:$U,15,FALSE)),
F231*VLOOKUP(B231&amp;"; "&amp;H231&amp;", "&amp;I$214,'FE Intrants'!$G:$U,15,FALSE))</f>
        <v>0</v>
      </c>
      <c r="AC231" s="2084">
        <f>IF($R231&lt;&gt;"votre valeur :",IF(ISNA(VLOOKUP($R231,Utilitaires!$N$566:$O$571,2,FALSE)),,VLOOKUP($R231,Utilitaires!$N$566:$O$571,2,FALSE)),$S231)</f>
        <v>0</v>
      </c>
      <c r="AD231" s="1130">
        <f>SQRT(SUMSQ(AC231,VLOOKUP($B231&amp;"; "&amp;$H231&amp;", "&amp;$I$214,'FE Intrants'!G:U,7,FALSE)))</f>
        <v>0.25</v>
      </c>
    </row>
    <row r="232" spans="2:30" s="114" customFormat="1" ht="13.2" outlineLevel="1">
      <c r="B232" s="143" t="s">
        <v>3268</v>
      </c>
      <c r="C232" s="144"/>
      <c r="D232" s="212">
        <f>N232</f>
        <v>0</v>
      </c>
      <c r="E232" s="212"/>
      <c r="F232" s="123"/>
      <c r="G232" s="224"/>
      <c r="H232" s="1213" t="str">
        <f>VLOOKUP(B232,'FE Intrants'!F:U,5,FALSE)</f>
        <v>kgCO2e/unité</v>
      </c>
      <c r="I232" s="212">
        <f>VLOOKUP($B232&amp;"; "&amp;$H232&amp;", "&amp;$I$214,'FE Intrants'!$G:$U,9,FALSE)*$F232</f>
        <v>0</v>
      </c>
      <c r="J232" s="212">
        <f>IF(ISNA(VLOOKUP($B232&amp;"; "&amp;$H232&amp;", "&amp;$J$214,'FE Intrants'!$G:$U,9,FALSE)),0,VLOOKUP($B232&amp;"; "&amp;$H232&amp;", "&amp;$J$214,'FE Intrants'!$G:$U,9,FALSE)*$F232)</f>
        <v>0</v>
      </c>
      <c r="K232" s="212">
        <f>IF(ISNA(VLOOKUP($B232&amp;"; "&amp;$H232&amp;", "&amp;$K$214,'FE Intrants'!$G:$U,9,FALSE)),0,VLOOKUP($B232&amp;"; "&amp;$H232&amp;", "&amp;$K$214,'FE Intrants'!$G:$U,9,FALSE)*$F232)</f>
        <v>0</v>
      </c>
      <c r="L232" s="212">
        <f>IF(ISNA(VLOOKUP($B232&amp;"; "&amp;$H232&amp;", "&amp;$L$214,'FE Intrants'!$G:$U,9,FALSE)),0,VLOOKUP($B232&amp;"; "&amp;$H232&amp;", "&amp;$L$214,'FE Intrants'!$G:$U,9,FALSE)*$F232)</f>
        <v>0</v>
      </c>
      <c r="M232" s="212">
        <f>IF(ISNA(VLOOKUP($B232&amp;"; "&amp;$H232&amp;", "&amp;$M$214,'FE Intrants'!$G:$U,9,FALSE)),0,VLOOKUP($B232&amp;"; "&amp;$H232&amp;", "&amp;$M$214,'FE Intrants'!$G:$U,9,FALSE)*$F232)</f>
        <v>0</v>
      </c>
      <c r="N232" s="1216">
        <f t="shared" si="30"/>
        <v>0</v>
      </c>
      <c r="Q232" s="319">
        <f t="shared" si="29"/>
        <v>0</v>
      </c>
      <c r="R232" s="1016"/>
      <c r="S232" s="820"/>
      <c r="T232" s="152">
        <f t="shared" si="31"/>
        <v>0</v>
      </c>
      <c r="V232" s="564">
        <f>IFERROR(F232*SUM((VLOOKUP(B232&amp;"; "&amp;H232&amp;", "&amp;I$214,'FE Intrants'!$G:$U,10,FALSE)),
VLOOKUP(B232&amp;"; "&amp;H232&amp;", "&amp;J$214,'FE Intrants'!$G:$U,10,FALSE),
VLOOKUP(B232&amp;"; "&amp;H232&amp;", "&amp;K$214,'FE Intrants'!$G:$U,10,FALSE),
VLOOKUP(B232&amp;"; "&amp;H232&amp;", "&amp;L$214,'FE Intrants'!$G:$U,10,FALSE),
VLOOKUP(B232&amp;"; "&amp;H232&amp;", "&amp;M$214,'FE Intrants'!$G:$U,10,FALSE)),
F232*VLOOKUP(B232&amp;"; "&amp;H232&amp;", "&amp;I$214,'FE Intrants'!$G:$U,10,FALSE))</f>
        <v>0</v>
      </c>
      <c r="W232" s="565">
        <f>IFERROR(F232*SUM((VLOOKUP(B232&amp;"; "&amp;H232&amp;", "&amp;I$214,'FE Intrants'!$G:$U,11,FALSE)+VLOOKUP(B232&amp;"; "&amp;H232&amp;", "&amp;I$214,'FE Intrants'!$G:$U,12,FALSE)),
(VLOOKUP(B232&amp;"; "&amp;H232&amp;", "&amp;J$214,'FE Intrants'!$G:$U,11,FALSE)+VLOOKUP(B232&amp;"; "&amp;H232&amp;", "&amp;J$214,'FE Intrants'!$G:$U,12,FALSE)),
(VLOOKUP(B232&amp;"; "&amp;H232&amp;", "&amp;K$214,'FE Intrants'!$G:$U,11,FALSE)+VLOOKUP(B232&amp;"; "&amp;H232&amp;", "&amp;K$214,'FE Intrants'!$G:$U,12,FALSE)),
(VLOOKUP(B232&amp;"; "&amp;H232&amp;", "&amp;L$214,'FE Intrants'!$G:$U,11,FALSE)+VLOOKUP(B232&amp;"; "&amp;H232&amp;", "&amp;L$214,'FE Intrants'!$G:$U,12,FALSE)),
(VLOOKUP(B232&amp;"; "&amp;H232&amp;", "&amp;M$214,'FE Intrants'!$G:$U,11,FALSE)+VLOOKUP(B232&amp;"; "&amp;H232&amp;", "&amp;M$214,'FE Intrants'!$G:$U,12,FALSE))),
F232*VLOOKUP(B232&amp;"; "&amp;H232&amp;", "&amp;I$214,'FE Intrants'!$G:$U,11,FALSE)+VLOOKUP(B232&amp;"; "&amp;H232&amp;", "&amp;I$214,'FE Intrants'!$G:$U,12,FALSE))</f>
        <v>0</v>
      </c>
      <c r="X232" s="565">
        <f>IFERROR(F232*SUM((VLOOKUP(B232&amp;"; "&amp;H232&amp;", "&amp;I$214,'FE Intrants'!$G:$U,13,FALSE)),
VLOOKUP(B232&amp;"; "&amp;H232&amp;", "&amp;J$214,'FE Intrants'!$G:$U,13,FALSE),
VLOOKUP(B232&amp;"; "&amp;H232&amp;", "&amp;K$214,'FE Intrants'!$G:$U,13,FALSE),
VLOOKUP(B232&amp;"; "&amp;H232&amp;", "&amp;L$214,'FE Intrants'!$G:$U,13,FALSE),
VLOOKUP(B232&amp;"; "&amp;H232&amp;", "&amp;M$214,'FE Intrants'!$G:$U,13,FALSE)),
F232*VLOOKUP(B232&amp;"; "&amp;H232&amp;", "&amp;I$214,'FE Intrants'!$G:$U,13,FALSE))</f>
        <v>0</v>
      </c>
      <c r="Y232" s="565">
        <f>IFERROR(F232*SUM((VLOOKUP(B232&amp;"; "&amp;H232&amp;", "&amp;I$214,'FE Intrants'!$G:$U,14,FALSE)),
VLOOKUP(B232&amp;"; "&amp;H232&amp;", "&amp;J$214,'FE Intrants'!$G:$U,14,FALSE),
VLOOKUP(B232&amp;"; "&amp;H232&amp;", "&amp;K$214,'FE Intrants'!$G:$U,14,FALSE),
VLOOKUP(B232&amp;"; "&amp;H232&amp;", "&amp;L$214,'FE Intrants'!$G:$U,14,FALSE),
VLOOKUP(B232&amp;"; "&amp;H232&amp;", "&amp;M$214,'FE Intrants'!$G:$U,14,FALSE)),
F232*VLOOKUP(B232&amp;"; "&amp;H232&amp;", "&amp;I$214,'FE Intrants'!$G:$U,14,FALSE))</f>
        <v>0</v>
      </c>
      <c r="Z232" s="567">
        <f t="shared" si="23"/>
        <v>0</v>
      </c>
      <c r="AA232" s="590">
        <f>IFERROR(F232*SUM((VLOOKUP(B232&amp;"; "&amp;H232&amp;", "&amp;I$214,'FE Intrants'!$G:$U,15,FALSE)),
VLOOKUP(B232&amp;"; "&amp;H232&amp;", "&amp;J$214,'FE Intrants'!$G:$U,15,FALSE),
VLOOKUP(B232&amp;"; "&amp;H232&amp;", "&amp;K$214,'FE Intrants'!$G:$U,15,FALSE),
VLOOKUP(B232&amp;"; "&amp;H232&amp;", "&amp;L$214,'FE Intrants'!$G:$U,15,FALSE),
VLOOKUP(B232&amp;"; "&amp;H232&amp;", "&amp;M$214,'FE Intrants'!$G:$U,15,FALSE)),
F232*VLOOKUP(B232&amp;"; "&amp;H232&amp;", "&amp;I$214,'FE Intrants'!$G:$U,15,FALSE))</f>
        <v>0</v>
      </c>
      <c r="AC232" s="2084">
        <f>IF($R232&lt;&gt;"votre valeur :",IF(ISNA(VLOOKUP($R232,Utilitaires!$N$566:$O$571,2,FALSE)),,VLOOKUP($R232,Utilitaires!$N$566:$O$571,2,FALSE)),$S232)</f>
        <v>0</v>
      </c>
      <c r="AD232" s="1130">
        <f>SQRT(SUMSQ(AC232,VLOOKUP($B232&amp;"; "&amp;$H232&amp;", "&amp;$I$214,'FE Intrants'!G:U,7,FALSE)))</f>
        <v>0.2</v>
      </c>
    </row>
    <row r="233" spans="2:30" s="114" customFormat="1" ht="13.2" outlineLevel="1">
      <c r="B233" s="143"/>
      <c r="C233" s="144"/>
      <c r="D233" s="212"/>
      <c r="E233" s="212"/>
      <c r="F233" s="212"/>
      <c r="G233" s="224"/>
      <c r="H233" s="2067"/>
      <c r="I233" s="212"/>
      <c r="J233" s="212"/>
      <c r="K233" s="212"/>
      <c r="L233" s="212"/>
      <c r="M233" s="212"/>
      <c r="N233" s="1216"/>
      <c r="Q233" s="319"/>
      <c r="R233" s="2081"/>
      <c r="S233" s="820"/>
      <c r="T233" s="152"/>
      <c r="V233" s="564"/>
      <c r="W233" s="565"/>
      <c r="X233" s="565"/>
      <c r="Y233" s="565"/>
      <c r="Z233" s="567"/>
      <c r="AA233" s="590"/>
      <c r="AC233" s="2084"/>
      <c r="AD233" s="1130"/>
    </row>
    <row r="234" spans="2:30" s="114" customFormat="1" ht="13.2" outlineLevel="1">
      <c r="B234" s="332" t="s">
        <v>1255</v>
      </c>
      <c r="C234" s="144"/>
      <c r="D234" s="212"/>
      <c r="E234" s="212"/>
      <c r="F234" s="212"/>
      <c r="G234" s="224"/>
      <c r="H234" s="2067"/>
      <c r="I234" s="212"/>
      <c r="J234" s="212"/>
      <c r="K234" s="212"/>
      <c r="L234" s="212"/>
      <c r="M234" s="212"/>
      <c r="N234" s="1216"/>
      <c r="Q234" s="319"/>
      <c r="R234" s="2081"/>
      <c r="S234" s="820"/>
      <c r="T234" s="152"/>
      <c r="V234" s="564"/>
      <c r="W234" s="565"/>
      <c r="X234" s="565"/>
      <c r="Y234" s="565"/>
      <c r="Z234" s="567"/>
      <c r="AA234" s="590"/>
      <c r="AC234" s="2084"/>
      <c r="AD234" s="1130"/>
    </row>
    <row r="235" spans="2:30" s="114" customFormat="1" ht="13.2" outlineLevel="1">
      <c r="B235" s="143"/>
      <c r="C235" s="144"/>
      <c r="D235" s="212"/>
      <c r="E235" s="212"/>
      <c r="F235" s="212"/>
      <c r="G235" s="224"/>
      <c r="H235" s="2067"/>
      <c r="I235" s="212"/>
      <c r="J235" s="212"/>
      <c r="K235" s="212"/>
      <c r="L235" s="212"/>
      <c r="M235" s="212"/>
      <c r="N235" s="1216"/>
      <c r="Q235" s="319"/>
      <c r="R235" s="2081"/>
      <c r="S235" s="820"/>
      <c r="T235" s="152"/>
      <c r="V235" s="564"/>
      <c r="W235" s="565"/>
      <c r="X235" s="565"/>
      <c r="Y235" s="565"/>
      <c r="Z235" s="567"/>
      <c r="AA235" s="590"/>
      <c r="AC235" s="2084"/>
      <c r="AD235" s="1130"/>
    </row>
    <row r="236" spans="2:30" s="114" customFormat="1" ht="13.2" outlineLevel="1">
      <c r="B236" s="1002" t="s">
        <v>3269</v>
      </c>
      <c r="C236" s="144"/>
      <c r="D236" s="212"/>
      <c r="E236" s="212"/>
      <c r="F236" s="212"/>
      <c r="G236" s="224"/>
      <c r="H236" s="2067"/>
      <c r="I236" s="212"/>
      <c r="J236" s="212"/>
      <c r="K236" s="212"/>
      <c r="L236" s="212"/>
      <c r="M236" s="212"/>
      <c r="N236" s="1216"/>
      <c r="Q236" s="319"/>
      <c r="R236" s="2081"/>
      <c r="S236" s="820"/>
      <c r="T236" s="152"/>
      <c r="V236" s="564"/>
      <c r="W236" s="565"/>
      <c r="X236" s="565"/>
      <c r="Y236" s="565"/>
      <c r="Z236" s="567"/>
      <c r="AA236" s="590"/>
      <c r="AC236" s="2084"/>
      <c r="AD236" s="1130"/>
    </row>
    <row r="237" spans="2:30" s="114" customFormat="1" ht="13.2" outlineLevel="1">
      <c r="B237" s="143" t="s">
        <v>3270</v>
      </c>
      <c r="C237" s="144"/>
      <c r="D237" s="212">
        <f>N237</f>
        <v>0</v>
      </c>
      <c r="E237" s="212"/>
      <c r="F237" s="117"/>
      <c r="G237" s="224"/>
      <c r="H237" s="1211" t="str">
        <f>VLOOKUP(B237,'FE Intrants'!F:U,5,FALSE)</f>
        <v>kgCO2e/unité</v>
      </c>
      <c r="I237" s="212">
        <f>VLOOKUP($B237&amp;"; "&amp;$H237&amp;", "&amp;$I$214,'FE Intrants'!$G:$U,9,FALSE)*$F237</f>
        <v>0</v>
      </c>
      <c r="J237" s="212">
        <f>IF(ISNA(VLOOKUP($B237&amp;"; "&amp;$H237&amp;", "&amp;$J$214,'FE Intrants'!$G:$U,9,FALSE)),0,VLOOKUP($B237&amp;"; "&amp;$H237&amp;", "&amp;$J$214,'FE Intrants'!$G:$U,9,FALSE)*$F237)</f>
        <v>0</v>
      </c>
      <c r="K237" s="212">
        <f>IF(ISNA(VLOOKUP($B237&amp;"; "&amp;$H237&amp;", "&amp;$K$214,'FE Intrants'!$G:$U,9,FALSE)),0,VLOOKUP($B237&amp;"; "&amp;$H237&amp;", "&amp;$K$214,'FE Intrants'!$G:$U,9,FALSE)*$F237)</f>
        <v>0</v>
      </c>
      <c r="L237" s="212">
        <f>IF(ISNA(VLOOKUP($B237&amp;"; "&amp;$H237&amp;", "&amp;$L$214,'FE Intrants'!$G:$U,9,FALSE)),0,VLOOKUP($B237&amp;"; "&amp;$H237&amp;", "&amp;$L$214,'FE Intrants'!$G:$U,9,FALSE)*$F237)</f>
        <v>0</v>
      </c>
      <c r="M237" s="212">
        <f>IF(ISNA(VLOOKUP($B237&amp;"; "&amp;$H237&amp;", "&amp;$M$214,'FE Intrants'!$G:$U,9,FALSE)),0,VLOOKUP($B237&amp;"; "&amp;$H237&amp;", "&amp;$M$214,'FE Intrants'!$G:$U,9,FALSE)*$F237)</f>
        <v>0</v>
      </c>
      <c r="N237" s="1216">
        <f t="shared" si="30"/>
        <v>0</v>
      </c>
      <c r="Q237" s="319">
        <f t="shared" si="29"/>
        <v>0</v>
      </c>
      <c r="R237" s="1016"/>
      <c r="S237" s="820"/>
      <c r="T237" s="152">
        <f t="shared" si="31"/>
        <v>0</v>
      </c>
      <c r="V237" s="564">
        <f>IFERROR(F237*SUM((VLOOKUP(B237&amp;"; "&amp;H237&amp;", "&amp;I$214,'FE Intrants'!$G:$U,10,FALSE)),
VLOOKUP(B237&amp;"; "&amp;H237&amp;", "&amp;J$214,'FE Intrants'!$G:$U,10,FALSE),
VLOOKUP(B237&amp;"; "&amp;H237&amp;", "&amp;K$214,'FE Intrants'!$G:$U,10,FALSE),
VLOOKUP(B237&amp;"; "&amp;H237&amp;", "&amp;L$214,'FE Intrants'!$G:$U,10,FALSE),
VLOOKUP(B237&amp;"; "&amp;H237&amp;", "&amp;M$214,'FE Intrants'!$G:$U,10,FALSE)),
F237*VLOOKUP(B237&amp;"; "&amp;H237&amp;", "&amp;I$214,'FE Intrants'!$G:$U,10,FALSE))</f>
        <v>0</v>
      </c>
      <c r="W237" s="565">
        <f>IFERROR(F237*SUM((VLOOKUP(B237&amp;"; "&amp;H237&amp;", "&amp;I$214,'FE Intrants'!$G:$U,11,FALSE)+VLOOKUP(B237&amp;"; "&amp;H237&amp;", "&amp;I$214,'FE Intrants'!$G:$U,12,FALSE)),
(VLOOKUP(B237&amp;"; "&amp;H237&amp;", "&amp;J$214,'FE Intrants'!$G:$U,11,FALSE)+VLOOKUP(B237&amp;"; "&amp;H237&amp;", "&amp;J$214,'FE Intrants'!$G:$U,12,FALSE)),
(VLOOKUP(B237&amp;"; "&amp;H237&amp;", "&amp;K$214,'FE Intrants'!$G:$U,11,FALSE)+VLOOKUP(B237&amp;"; "&amp;H237&amp;", "&amp;K$214,'FE Intrants'!$G:$U,12,FALSE)),
(VLOOKUP(B237&amp;"; "&amp;H237&amp;", "&amp;L$214,'FE Intrants'!$G:$U,11,FALSE)+VLOOKUP(B237&amp;"; "&amp;H237&amp;", "&amp;L$214,'FE Intrants'!$G:$U,12,FALSE)),
(VLOOKUP(B237&amp;"; "&amp;H237&amp;", "&amp;M$214,'FE Intrants'!$G:$U,11,FALSE)+VLOOKUP(B237&amp;"; "&amp;H237&amp;", "&amp;M$214,'FE Intrants'!$G:$U,12,FALSE))),
F237*VLOOKUP(B237&amp;"; "&amp;H237&amp;", "&amp;I$214,'FE Intrants'!$G:$U,11,FALSE)+VLOOKUP(B237&amp;"; "&amp;H237&amp;", "&amp;I$214,'FE Intrants'!$G:$U,12,FALSE))</f>
        <v>0</v>
      </c>
      <c r="X237" s="565">
        <f>IFERROR(F237*SUM((VLOOKUP(B237&amp;"; "&amp;H237&amp;", "&amp;I$214,'FE Intrants'!$G:$U,13,FALSE)),
VLOOKUP(B237&amp;"; "&amp;H237&amp;", "&amp;J$214,'FE Intrants'!$G:$U,13,FALSE),
VLOOKUP(B237&amp;"; "&amp;H237&amp;", "&amp;K$214,'FE Intrants'!$G:$U,13,FALSE),
VLOOKUP(B237&amp;"; "&amp;H237&amp;", "&amp;L$214,'FE Intrants'!$G:$U,13,FALSE),
VLOOKUP(B237&amp;"; "&amp;H237&amp;", "&amp;M$214,'FE Intrants'!$G:$U,13,FALSE)),
F237*VLOOKUP(B237&amp;"; "&amp;H237&amp;", "&amp;I$214,'FE Intrants'!$G:$U,13,FALSE))</f>
        <v>0</v>
      </c>
      <c r="Y237" s="565">
        <f>IFERROR(F237*SUM((VLOOKUP(B237&amp;"; "&amp;H237&amp;", "&amp;I$214,'FE Intrants'!$G:$U,14,FALSE)),
VLOOKUP(B237&amp;"; "&amp;H237&amp;", "&amp;J$214,'FE Intrants'!$G:$U,14,FALSE),
VLOOKUP(B237&amp;"; "&amp;H237&amp;", "&amp;K$214,'FE Intrants'!$G:$U,14,FALSE),
VLOOKUP(B237&amp;"; "&amp;H237&amp;", "&amp;L$214,'FE Intrants'!$G:$U,14,FALSE),
VLOOKUP(B237&amp;"; "&amp;H237&amp;", "&amp;M$214,'FE Intrants'!$G:$U,14,FALSE)),
F237*VLOOKUP(B237&amp;"; "&amp;H237&amp;", "&amp;I$214,'FE Intrants'!$G:$U,14,FALSE))</f>
        <v>0</v>
      </c>
      <c r="Z237" s="567">
        <f t="shared" si="23"/>
        <v>0</v>
      </c>
      <c r="AA237" s="590">
        <f>IFERROR(F237*SUM((VLOOKUP(B237&amp;"; "&amp;H237&amp;", "&amp;I$214,'FE Intrants'!$G:$U,15,FALSE)),
VLOOKUP(B237&amp;"; "&amp;H237&amp;", "&amp;J$214,'FE Intrants'!$G:$U,15,FALSE),
VLOOKUP(B237&amp;"; "&amp;H237&amp;", "&amp;K$214,'FE Intrants'!$G:$U,15,FALSE),
VLOOKUP(B237&amp;"; "&amp;H237&amp;", "&amp;L$214,'FE Intrants'!$G:$U,15,FALSE),
VLOOKUP(B237&amp;"; "&amp;H237&amp;", "&amp;M$214,'FE Intrants'!$G:$U,15,FALSE)),
F237*VLOOKUP(B237&amp;"; "&amp;H237&amp;", "&amp;I$214,'FE Intrants'!$G:$U,15,FALSE))</f>
        <v>0</v>
      </c>
      <c r="AC237" s="2084">
        <f>IF($R237&lt;&gt;"votre valeur :",IF(ISNA(VLOOKUP($R237,Utilitaires!$N$566:$O$571,2,FALSE)),,VLOOKUP($R237,Utilitaires!$N$566:$O$571,2,FALSE)),$S237)</f>
        <v>0</v>
      </c>
      <c r="AD237" s="1130">
        <f>SQRT(SUMSQ(AC237,VLOOKUP($B237&amp;"; "&amp;$H237&amp;", "&amp;$I$214,'FE Intrants'!G:U,7,FALSE)))</f>
        <v>0.25</v>
      </c>
    </row>
    <row r="238" spans="2:30" s="114" customFormat="1" ht="13.2" outlineLevel="1">
      <c r="B238" s="143" t="s">
        <v>3271</v>
      </c>
      <c r="C238" s="144"/>
      <c r="D238" s="212">
        <f>N238</f>
        <v>0</v>
      </c>
      <c r="E238" s="212"/>
      <c r="F238" s="120"/>
      <c r="G238" s="224"/>
      <c r="H238" s="1212" t="str">
        <f>VLOOKUP(B238,'FE Intrants'!F:U,5,FALSE)</f>
        <v>kgCO2e/unité</v>
      </c>
      <c r="I238" s="212">
        <f>VLOOKUP($B238&amp;"; "&amp;$H238&amp;", "&amp;$I$214,'FE Intrants'!$G:$U,9,FALSE)*$F238</f>
        <v>0</v>
      </c>
      <c r="J238" s="212">
        <f>IF(ISNA(VLOOKUP($B238&amp;"; "&amp;$H238&amp;", "&amp;$J$214,'FE Intrants'!$G:$U,9,FALSE)),0,VLOOKUP($B238&amp;"; "&amp;$H238&amp;", "&amp;$J$214,'FE Intrants'!$G:$U,9,FALSE)*$F238)</f>
        <v>0</v>
      </c>
      <c r="K238" s="212">
        <f>IF(ISNA(VLOOKUP($B238&amp;"; "&amp;$H238&amp;", "&amp;$K$214,'FE Intrants'!$G:$U,9,FALSE)),0,VLOOKUP($B238&amp;"; "&amp;$H238&amp;", "&amp;$K$214,'FE Intrants'!$G:$U,9,FALSE)*$F238)</f>
        <v>0</v>
      </c>
      <c r="L238" s="212">
        <f>IF(ISNA(VLOOKUP($B238&amp;"; "&amp;$H238&amp;", "&amp;$L$214,'FE Intrants'!$G:$U,9,FALSE)),0,VLOOKUP($B238&amp;"; "&amp;$H238&amp;", "&amp;$L$214,'FE Intrants'!$G:$U,9,FALSE)*$F238)</f>
        <v>0</v>
      </c>
      <c r="M238" s="212">
        <f>IF(ISNA(VLOOKUP($B238&amp;"; "&amp;$H238&amp;", "&amp;$M$214,'FE Intrants'!$G:$U,9,FALSE)),0,VLOOKUP($B238&amp;"; "&amp;$H238&amp;", "&amp;$M$214,'FE Intrants'!$G:$U,9,FALSE)*$F238)</f>
        <v>0</v>
      </c>
      <c r="N238" s="1216">
        <f t="shared" si="30"/>
        <v>0</v>
      </c>
      <c r="Q238" s="319">
        <f t="shared" si="29"/>
        <v>0</v>
      </c>
      <c r="R238" s="1016"/>
      <c r="S238" s="820"/>
      <c r="T238" s="152">
        <f t="shared" si="31"/>
        <v>0</v>
      </c>
      <c r="V238" s="564">
        <f>IFERROR(F238*SUM((VLOOKUP(B238&amp;"; "&amp;H238&amp;", "&amp;I$214,'FE Intrants'!$G:$U,10,FALSE)),
VLOOKUP(B238&amp;"; "&amp;H238&amp;", "&amp;J$214,'FE Intrants'!$G:$U,10,FALSE),
VLOOKUP(B238&amp;"; "&amp;H238&amp;", "&amp;K$214,'FE Intrants'!$G:$U,10,FALSE),
VLOOKUP(B238&amp;"; "&amp;H238&amp;", "&amp;L$214,'FE Intrants'!$G:$U,10,FALSE),
VLOOKUP(B238&amp;"; "&amp;H238&amp;", "&amp;M$214,'FE Intrants'!$G:$U,10,FALSE)),
F238*VLOOKUP(B238&amp;"; "&amp;H238&amp;", "&amp;I$214,'FE Intrants'!$G:$U,10,FALSE))</f>
        <v>0</v>
      </c>
      <c r="W238" s="565">
        <f>IFERROR(F238*SUM((VLOOKUP(B238&amp;"; "&amp;H238&amp;", "&amp;I$214,'FE Intrants'!$G:$U,11,FALSE)+VLOOKUP(B238&amp;"; "&amp;H238&amp;", "&amp;I$214,'FE Intrants'!$G:$U,12,FALSE)),
(VLOOKUP(B238&amp;"; "&amp;H238&amp;", "&amp;J$214,'FE Intrants'!$G:$U,11,FALSE)+VLOOKUP(B238&amp;"; "&amp;H238&amp;", "&amp;J$214,'FE Intrants'!$G:$U,12,FALSE)),
(VLOOKUP(B238&amp;"; "&amp;H238&amp;", "&amp;K$214,'FE Intrants'!$G:$U,11,FALSE)+VLOOKUP(B238&amp;"; "&amp;H238&amp;", "&amp;K$214,'FE Intrants'!$G:$U,12,FALSE)),
(VLOOKUP(B238&amp;"; "&amp;H238&amp;", "&amp;L$214,'FE Intrants'!$G:$U,11,FALSE)+VLOOKUP(B238&amp;"; "&amp;H238&amp;", "&amp;L$214,'FE Intrants'!$G:$U,12,FALSE)),
(VLOOKUP(B238&amp;"; "&amp;H238&amp;", "&amp;M$214,'FE Intrants'!$G:$U,11,FALSE)+VLOOKUP(B238&amp;"; "&amp;H238&amp;", "&amp;M$214,'FE Intrants'!$G:$U,12,FALSE))),
F238*VLOOKUP(B238&amp;"; "&amp;H238&amp;", "&amp;I$214,'FE Intrants'!$G:$U,11,FALSE)+VLOOKUP(B238&amp;"; "&amp;H238&amp;", "&amp;I$214,'FE Intrants'!$G:$U,12,FALSE))</f>
        <v>0</v>
      </c>
      <c r="X238" s="565">
        <f>IFERROR(F238*SUM((VLOOKUP(B238&amp;"; "&amp;H238&amp;", "&amp;I$214,'FE Intrants'!$G:$U,13,FALSE)),
VLOOKUP(B238&amp;"; "&amp;H238&amp;", "&amp;J$214,'FE Intrants'!$G:$U,13,FALSE),
VLOOKUP(B238&amp;"; "&amp;H238&amp;", "&amp;K$214,'FE Intrants'!$G:$U,13,FALSE),
VLOOKUP(B238&amp;"; "&amp;H238&amp;", "&amp;L$214,'FE Intrants'!$G:$U,13,FALSE),
VLOOKUP(B238&amp;"; "&amp;H238&amp;", "&amp;M$214,'FE Intrants'!$G:$U,13,FALSE)),
F238*VLOOKUP(B238&amp;"; "&amp;H238&amp;", "&amp;I$214,'FE Intrants'!$G:$U,13,FALSE))</f>
        <v>0</v>
      </c>
      <c r="Y238" s="565">
        <f>IFERROR(F238*SUM((VLOOKUP(B238&amp;"; "&amp;H238&amp;", "&amp;I$214,'FE Intrants'!$G:$U,14,FALSE)),
VLOOKUP(B238&amp;"; "&amp;H238&amp;", "&amp;J$214,'FE Intrants'!$G:$U,14,FALSE),
VLOOKUP(B238&amp;"; "&amp;H238&amp;", "&amp;K$214,'FE Intrants'!$G:$U,14,FALSE),
VLOOKUP(B238&amp;"; "&amp;H238&amp;", "&amp;L$214,'FE Intrants'!$G:$U,14,FALSE),
VLOOKUP(B238&amp;"; "&amp;H238&amp;", "&amp;M$214,'FE Intrants'!$G:$U,14,FALSE)),
F238*VLOOKUP(B238&amp;"; "&amp;H238&amp;", "&amp;I$214,'FE Intrants'!$G:$U,14,FALSE))</f>
        <v>0</v>
      </c>
      <c r="Z238" s="567">
        <f t="shared" si="23"/>
        <v>0</v>
      </c>
      <c r="AA238" s="590">
        <f>IFERROR(F238*SUM((VLOOKUP(B238&amp;"; "&amp;H238&amp;", "&amp;I$214,'FE Intrants'!$G:$U,15,FALSE)),
VLOOKUP(B238&amp;"; "&amp;H238&amp;", "&amp;J$214,'FE Intrants'!$G:$U,15,FALSE),
VLOOKUP(B238&amp;"; "&amp;H238&amp;", "&amp;K$214,'FE Intrants'!$G:$U,15,FALSE),
VLOOKUP(B238&amp;"; "&amp;H238&amp;", "&amp;L$214,'FE Intrants'!$G:$U,15,FALSE),
VLOOKUP(B238&amp;"; "&amp;H238&amp;", "&amp;M$214,'FE Intrants'!$G:$U,15,FALSE)),
F238*VLOOKUP(B238&amp;"; "&amp;H238&amp;", "&amp;I$214,'FE Intrants'!$G:$U,15,FALSE))</f>
        <v>0</v>
      </c>
      <c r="AC238" s="2084">
        <f>IF($R238&lt;&gt;"votre valeur :",IF(ISNA(VLOOKUP($R238,Utilitaires!$N$566:$O$571,2,FALSE)),,VLOOKUP($R238,Utilitaires!$N$566:$O$571,2,FALSE)),$S238)</f>
        <v>0</v>
      </c>
      <c r="AD238" s="1130">
        <f>SQRT(SUMSQ(AC238,VLOOKUP($B238&amp;"; "&amp;$H238&amp;", "&amp;$I$214,'FE Intrants'!G:U,7,FALSE)))</f>
        <v>0.3</v>
      </c>
    </row>
    <row r="239" spans="2:30" s="114" customFormat="1" ht="13.2" outlineLevel="1">
      <c r="B239" s="143" t="s">
        <v>3272</v>
      </c>
      <c r="C239" s="144"/>
      <c r="D239" s="212">
        <f>N239</f>
        <v>0</v>
      </c>
      <c r="E239" s="212"/>
      <c r="F239" s="123"/>
      <c r="G239" s="224"/>
      <c r="H239" s="1213" t="str">
        <f>VLOOKUP(B239,'FE Intrants'!F:U,5,FALSE)</f>
        <v>kgCO2e/unité</v>
      </c>
      <c r="I239" s="212">
        <f>VLOOKUP($B239&amp;"; "&amp;$H239&amp;", "&amp;$I$214,'FE Intrants'!$G:$U,9,FALSE)*$F239</f>
        <v>0</v>
      </c>
      <c r="J239" s="212">
        <f>IF(ISNA(VLOOKUP($B239&amp;"; "&amp;$H239&amp;", "&amp;$J$214,'FE Intrants'!$G:$U,9,FALSE)),0,VLOOKUP($B239&amp;"; "&amp;$H239&amp;", "&amp;$J$214,'FE Intrants'!$G:$U,9,FALSE)*$F239)</f>
        <v>0</v>
      </c>
      <c r="K239" s="212">
        <f>IF(ISNA(VLOOKUP($B239&amp;"; "&amp;$H239&amp;", "&amp;$K$214,'FE Intrants'!$G:$U,9,FALSE)),0,VLOOKUP($B239&amp;"; "&amp;$H239&amp;", "&amp;$K$214,'FE Intrants'!$G:$U,9,FALSE)*$F239)</f>
        <v>0</v>
      </c>
      <c r="L239" s="212">
        <f>IF(ISNA(VLOOKUP($B239&amp;"; "&amp;$H239&amp;", "&amp;$L$214,'FE Intrants'!$G:$U,9,FALSE)),0,VLOOKUP($B239&amp;"; "&amp;$H239&amp;", "&amp;$L$214,'FE Intrants'!$G:$U,9,FALSE)*$F239)</f>
        <v>0</v>
      </c>
      <c r="M239" s="212">
        <f>IF(ISNA(VLOOKUP($B239&amp;"; "&amp;$H239&amp;", "&amp;$M$214,'FE Intrants'!$G:$U,9,FALSE)),0,VLOOKUP($B239&amp;"; "&amp;$H239&amp;", "&amp;$M$214,'FE Intrants'!$G:$U,9,FALSE)*$F239)</f>
        <v>0</v>
      </c>
      <c r="N239" s="1216">
        <f t="shared" si="30"/>
        <v>0</v>
      </c>
      <c r="Q239" s="319">
        <f t="shared" si="29"/>
        <v>0</v>
      </c>
      <c r="R239" s="1016"/>
      <c r="S239" s="820"/>
      <c r="T239" s="152">
        <f t="shared" si="31"/>
        <v>0</v>
      </c>
      <c r="V239" s="564">
        <f>IFERROR(F239*SUM((VLOOKUP(B239&amp;"; "&amp;H239&amp;", "&amp;I$214,'FE Intrants'!$G:$U,10,FALSE)),
VLOOKUP(B239&amp;"; "&amp;H239&amp;", "&amp;J$214,'FE Intrants'!$G:$U,10,FALSE),
VLOOKUP(B239&amp;"; "&amp;H239&amp;", "&amp;K$214,'FE Intrants'!$G:$U,10,FALSE),
VLOOKUP(B239&amp;"; "&amp;H239&amp;", "&amp;L$214,'FE Intrants'!$G:$U,10,FALSE),
VLOOKUP(B239&amp;"; "&amp;H239&amp;", "&amp;M$214,'FE Intrants'!$G:$U,10,FALSE)),
F239*VLOOKUP(B239&amp;"; "&amp;H239&amp;", "&amp;I$214,'FE Intrants'!$G:$U,10,FALSE))</f>
        <v>0</v>
      </c>
      <c r="W239" s="565">
        <f>IFERROR(F239*SUM((VLOOKUP(B239&amp;"; "&amp;H239&amp;", "&amp;I$214,'FE Intrants'!$G:$U,11,FALSE)+VLOOKUP(B239&amp;"; "&amp;H239&amp;", "&amp;I$214,'FE Intrants'!$G:$U,12,FALSE)),
(VLOOKUP(B239&amp;"; "&amp;H239&amp;", "&amp;J$214,'FE Intrants'!$G:$U,11,FALSE)+VLOOKUP(B239&amp;"; "&amp;H239&amp;", "&amp;J$214,'FE Intrants'!$G:$U,12,FALSE)),
(VLOOKUP(B239&amp;"; "&amp;H239&amp;", "&amp;K$214,'FE Intrants'!$G:$U,11,FALSE)+VLOOKUP(B239&amp;"; "&amp;H239&amp;", "&amp;K$214,'FE Intrants'!$G:$U,12,FALSE)),
(VLOOKUP(B239&amp;"; "&amp;H239&amp;", "&amp;L$214,'FE Intrants'!$G:$U,11,FALSE)+VLOOKUP(B239&amp;"; "&amp;H239&amp;", "&amp;L$214,'FE Intrants'!$G:$U,12,FALSE)),
(VLOOKUP(B239&amp;"; "&amp;H239&amp;", "&amp;M$214,'FE Intrants'!$G:$U,11,FALSE)+VLOOKUP(B239&amp;"; "&amp;H239&amp;", "&amp;M$214,'FE Intrants'!$G:$U,12,FALSE))),
F239*VLOOKUP(B239&amp;"; "&amp;H239&amp;", "&amp;I$214,'FE Intrants'!$G:$U,11,FALSE)+VLOOKUP(B239&amp;"; "&amp;H239&amp;", "&amp;I$214,'FE Intrants'!$G:$U,12,FALSE))</f>
        <v>0</v>
      </c>
      <c r="X239" s="565">
        <f>IFERROR(F239*SUM((VLOOKUP(B239&amp;"; "&amp;H239&amp;", "&amp;I$214,'FE Intrants'!$G:$U,13,FALSE)),
VLOOKUP(B239&amp;"; "&amp;H239&amp;", "&amp;J$214,'FE Intrants'!$G:$U,13,FALSE),
VLOOKUP(B239&amp;"; "&amp;H239&amp;", "&amp;K$214,'FE Intrants'!$G:$U,13,FALSE),
VLOOKUP(B239&amp;"; "&amp;H239&amp;", "&amp;L$214,'FE Intrants'!$G:$U,13,FALSE),
VLOOKUP(B239&amp;"; "&amp;H239&amp;", "&amp;M$214,'FE Intrants'!$G:$U,13,FALSE)),
F239*VLOOKUP(B239&amp;"; "&amp;H239&amp;", "&amp;I$214,'FE Intrants'!$G:$U,13,FALSE))</f>
        <v>0</v>
      </c>
      <c r="Y239" s="565">
        <f>IFERROR(F239*SUM((VLOOKUP(B239&amp;"; "&amp;H239&amp;", "&amp;I$214,'FE Intrants'!$G:$U,14,FALSE)),
VLOOKUP(B239&amp;"; "&amp;H239&amp;", "&amp;J$214,'FE Intrants'!$G:$U,14,FALSE),
VLOOKUP(B239&amp;"; "&amp;H239&amp;", "&amp;K$214,'FE Intrants'!$G:$U,14,FALSE),
VLOOKUP(B239&amp;"; "&amp;H239&amp;", "&amp;L$214,'FE Intrants'!$G:$U,14,FALSE),
VLOOKUP(B239&amp;"; "&amp;H239&amp;", "&amp;M$214,'FE Intrants'!$G:$U,14,FALSE)),
F239*VLOOKUP(B239&amp;"; "&amp;H239&amp;", "&amp;I$214,'FE Intrants'!$G:$U,14,FALSE))</f>
        <v>0</v>
      </c>
      <c r="Z239" s="567">
        <f t="shared" si="23"/>
        <v>0</v>
      </c>
      <c r="AA239" s="590">
        <f>IFERROR(F239*SUM((VLOOKUP(B239&amp;"; "&amp;H239&amp;", "&amp;I$214,'FE Intrants'!$G:$U,15,FALSE)),
VLOOKUP(B239&amp;"; "&amp;H239&amp;", "&amp;J$214,'FE Intrants'!$G:$U,15,FALSE),
VLOOKUP(B239&amp;"; "&amp;H239&amp;", "&amp;K$214,'FE Intrants'!$G:$U,15,FALSE),
VLOOKUP(B239&amp;"; "&amp;H239&amp;", "&amp;L$214,'FE Intrants'!$G:$U,15,FALSE),
VLOOKUP(B239&amp;"; "&amp;H239&amp;", "&amp;M$214,'FE Intrants'!$G:$U,15,FALSE)),
F239*VLOOKUP(B239&amp;"; "&amp;H239&amp;", "&amp;I$214,'FE Intrants'!$G:$U,15,FALSE))</f>
        <v>0</v>
      </c>
      <c r="AC239" s="2084">
        <f>IF($R239&lt;&gt;"votre valeur :",IF(ISNA(VLOOKUP($R239,Utilitaires!$N$566:$O$571,2,FALSE)),,VLOOKUP($R239,Utilitaires!$N$566:$O$571,2,FALSE)),$S239)</f>
        <v>0</v>
      </c>
      <c r="AD239" s="1130">
        <f>SQRT(SUMSQ(AC239,VLOOKUP($B239&amp;"; "&amp;$H239&amp;", "&amp;$I$214,'FE Intrants'!G:U,7,FALSE)))</f>
        <v>0.25</v>
      </c>
    </row>
    <row r="240" spans="2:30" s="114" customFormat="1" ht="13.2" outlineLevel="1">
      <c r="B240" s="143"/>
      <c r="C240" s="144"/>
      <c r="D240" s="212"/>
      <c r="E240" s="212"/>
      <c r="F240" s="212"/>
      <c r="G240" s="224"/>
      <c r="H240" s="2067"/>
      <c r="I240" s="212"/>
      <c r="J240" s="212"/>
      <c r="K240" s="212"/>
      <c r="L240" s="212"/>
      <c r="M240" s="212"/>
      <c r="N240" s="1216"/>
      <c r="Q240" s="319"/>
      <c r="R240" s="212"/>
      <c r="S240" s="820"/>
      <c r="T240" s="152"/>
      <c r="V240" s="564"/>
      <c r="W240" s="565"/>
      <c r="X240" s="565"/>
      <c r="Y240" s="565"/>
      <c r="Z240" s="567"/>
      <c r="AA240" s="590"/>
      <c r="AC240" s="2084"/>
      <c r="AD240" s="1130"/>
    </row>
    <row r="241" spans="2:30" s="114" customFormat="1" ht="13.2" outlineLevel="1">
      <c r="B241" s="1002" t="s">
        <v>3274</v>
      </c>
      <c r="C241" s="144"/>
      <c r="D241" s="212"/>
      <c r="E241" s="212"/>
      <c r="F241" s="212"/>
      <c r="G241" s="224"/>
      <c r="H241" s="2067"/>
      <c r="I241" s="212"/>
      <c r="J241" s="212"/>
      <c r="K241" s="212"/>
      <c r="L241" s="212"/>
      <c r="M241" s="212"/>
      <c r="N241" s="1216"/>
      <c r="Q241" s="319"/>
      <c r="R241" s="212"/>
      <c r="S241" s="820"/>
      <c r="T241" s="152"/>
      <c r="V241" s="564"/>
      <c r="W241" s="565"/>
      <c r="X241" s="565"/>
      <c r="Y241" s="565"/>
      <c r="Z241" s="567"/>
      <c r="AA241" s="590"/>
      <c r="AC241" s="2084"/>
      <c r="AD241" s="1130"/>
    </row>
    <row r="242" spans="2:30" s="114" customFormat="1" ht="13.2" outlineLevel="1">
      <c r="B242" s="143" t="s">
        <v>3275</v>
      </c>
      <c r="C242" s="144"/>
      <c r="D242" s="212">
        <f>N242</f>
        <v>0</v>
      </c>
      <c r="E242" s="212"/>
      <c r="F242" s="117"/>
      <c r="G242" s="224"/>
      <c r="H242" s="1211" t="str">
        <f>VLOOKUP(B242,'FE Intrants'!F:U,5,FALSE)</f>
        <v>kgCO2e/unité</v>
      </c>
      <c r="I242" s="212">
        <f>VLOOKUP($B242&amp;"; "&amp;$H242&amp;", "&amp;$I$214,'FE Intrants'!$G:$U,9,FALSE)*$F242</f>
        <v>0</v>
      </c>
      <c r="J242" s="212">
        <f>IF(ISNA(VLOOKUP($B242&amp;"; "&amp;$H242&amp;", "&amp;$J$214,'FE Intrants'!$G:$U,9,FALSE)),0,VLOOKUP($B242&amp;"; "&amp;$H242&amp;", "&amp;$J$214,'FE Intrants'!$G:$U,9,FALSE)*$F242)</f>
        <v>0</v>
      </c>
      <c r="K242" s="212">
        <f>IF(ISNA(VLOOKUP($B242&amp;"; "&amp;$H242&amp;", "&amp;$K$214,'FE Intrants'!$G:$U,9,FALSE)),0,VLOOKUP($B242&amp;"; "&amp;$H242&amp;", "&amp;$K$214,'FE Intrants'!$G:$U,9,FALSE)*$F242)</f>
        <v>0</v>
      </c>
      <c r="L242" s="212">
        <f>IF(ISNA(VLOOKUP($B242&amp;"; "&amp;$H242&amp;", "&amp;$L$214,'FE Intrants'!$G:$U,9,FALSE)),0,VLOOKUP($B242&amp;"; "&amp;$H242&amp;", "&amp;$L$214,'FE Intrants'!$G:$U,9,FALSE)*$F242)</f>
        <v>0</v>
      </c>
      <c r="M242" s="212">
        <f>IF(ISNA(VLOOKUP($B242&amp;"; "&amp;$H242&amp;", "&amp;$M$214,'FE Intrants'!$G:$U,9,FALSE)),0,VLOOKUP($B242&amp;"; "&amp;$H242&amp;", "&amp;$M$214,'FE Intrants'!$G:$U,9,FALSE)*$F242)</f>
        <v>0</v>
      </c>
      <c r="N242" s="1216">
        <f t="shared" si="30"/>
        <v>0</v>
      </c>
      <c r="Q242" s="319">
        <f t="shared" si="29"/>
        <v>0</v>
      </c>
      <c r="R242" s="1016"/>
      <c r="S242" s="820"/>
      <c r="T242" s="152">
        <f t="shared" si="31"/>
        <v>0</v>
      </c>
      <c r="V242" s="564">
        <f>IFERROR(F242*SUM((VLOOKUP(B242&amp;"; "&amp;H242&amp;", "&amp;I$214,'FE Intrants'!$G:$U,10,FALSE)),
VLOOKUP(B242&amp;"; "&amp;H242&amp;", "&amp;J$214,'FE Intrants'!$G:$U,10,FALSE),
VLOOKUP(B242&amp;"; "&amp;H242&amp;", "&amp;K$214,'FE Intrants'!$G:$U,10,FALSE),
VLOOKUP(B242&amp;"; "&amp;H242&amp;", "&amp;L$214,'FE Intrants'!$G:$U,10,FALSE),
VLOOKUP(B242&amp;"; "&amp;H242&amp;", "&amp;M$214,'FE Intrants'!$G:$U,10,FALSE)),
F242*VLOOKUP(B242&amp;"; "&amp;H242&amp;", "&amp;I$214,'FE Intrants'!$G:$U,10,FALSE))</f>
        <v>0</v>
      </c>
      <c r="W242" s="565">
        <f>IFERROR(F242*SUM((VLOOKUP(B242&amp;"; "&amp;H242&amp;", "&amp;I$214,'FE Intrants'!$G:$U,11,FALSE)+VLOOKUP(B242&amp;"; "&amp;H242&amp;", "&amp;I$214,'FE Intrants'!$G:$U,12,FALSE)),
(VLOOKUP(B242&amp;"; "&amp;H242&amp;", "&amp;J$214,'FE Intrants'!$G:$U,11,FALSE)+VLOOKUP(B242&amp;"; "&amp;H242&amp;", "&amp;J$214,'FE Intrants'!$G:$U,12,FALSE)),
(VLOOKUP(B242&amp;"; "&amp;H242&amp;", "&amp;K$214,'FE Intrants'!$G:$U,11,FALSE)+VLOOKUP(B242&amp;"; "&amp;H242&amp;", "&amp;K$214,'FE Intrants'!$G:$U,12,FALSE)),
(VLOOKUP(B242&amp;"; "&amp;H242&amp;", "&amp;L$214,'FE Intrants'!$G:$U,11,FALSE)+VLOOKUP(B242&amp;"; "&amp;H242&amp;", "&amp;L$214,'FE Intrants'!$G:$U,12,FALSE)),
(VLOOKUP(B242&amp;"; "&amp;H242&amp;", "&amp;M$214,'FE Intrants'!$G:$U,11,FALSE)+VLOOKUP(B242&amp;"; "&amp;H242&amp;", "&amp;M$214,'FE Intrants'!$G:$U,12,FALSE))),
F242*VLOOKUP(B242&amp;"; "&amp;H242&amp;", "&amp;I$214,'FE Intrants'!$G:$U,11,FALSE)+VLOOKUP(B242&amp;"; "&amp;H242&amp;", "&amp;I$214,'FE Intrants'!$G:$U,12,FALSE))</f>
        <v>0</v>
      </c>
      <c r="X242" s="565">
        <f>IFERROR(F242*SUM((VLOOKUP(B242&amp;"; "&amp;H242&amp;", "&amp;I$214,'FE Intrants'!$G:$U,13,FALSE)),
VLOOKUP(B242&amp;"; "&amp;H242&amp;", "&amp;J$214,'FE Intrants'!$G:$U,13,FALSE),
VLOOKUP(B242&amp;"; "&amp;H242&amp;", "&amp;K$214,'FE Intrants'!$G:$U,13,FALSE),
VLOOKUP(B242&amp;"; "&amp;H242&amp;", "&amp;L$214,'FE Intrants'!$G:$U,13,FALSE),
VLOOKUP(B242&amp;"; "&amp;H242&amp;", "&amp;M$214,'FE Intrants'!$G:$U,13,FALSE)),
F242*VLOOKUP(B242&amp;"; "&amp;H242&amp;", "&amp;I$214,'FE Intrants'!$G:$U,13,FALSE))</f>
        <v>0</v>
      </c>
      <c r="Y242" s="565">
        <f>IFERROR(F242*SUM((VLOOKUP(B242&amp;"; "&amp;H242&amp;", "&amp;I$214,'FE Intrants'!$G:$U,14,FALSE)),
VLOOKUP(B242&amp;"; "&amp;H242&amp;", "&amp;J$214,'FE Intrants'!$G:$U,14,FALSE),
VLOOKUP(B242&amp;"; "&amp;H242&amp;", "&amp;K$214,'FE Intrants'!$G:$U,14,FALSE),
VLOOKUP(B242&amp;"; "&amp;H242&amp;", "&amp;L$214,'FE Intrants'!$G:$U,14,FALSE),
VLOOKUP(B242&amp;"; "&amp;H242&amp;", "&amp;M$214,'FE Intrants'!$G:$U,14,FALSE)),
F242*VLOOKUP(B242&amp;"; "&amp;H242&amp;", "&amp;I$214,'FE Intrants'!$G:$U,14,FALSE))</f>
        <v>0</v>
      </c>
      <c r="Z242" s="567">
        <f t="shared" si="23"/>
        <v>0</v>
      </c>
      <c r="AA242" s="590">
        <f>IFERROR(F242*SUM((VLOOKUP(B242&amp;"; "&amp;H242&amp;", "&amp;I$214,'FE Intrants'!$G:$U,15,FALSE)),
VLOOKUP(B242&amp;"; "&amp;H242&amp;", "&amp;J$214,'FE Intrants'!$G:$U,15,FALSE),
VLOOKUP(B242&amp;"; "&amp;H242&amp;", "&amp;K$214,'FE Intrants'!$G:$U,15,FALSE),
VLOOKUP(B242&amp;"; "&amp;H242&amp;", "&amp;L$214,'FE Intrants'!$G:$U,15,FALSE),
VLOOKUP(B242&amp;"; "&amp;H242&amp;", "&amp;M$214,'FE Intrants'!$G:$U,15,FALSE)),
F242*VLOOKUP(B242&amp;"; "&amp;H242&amp;", "&amp;I$214,'FE Intrants'!$G:$U,15,FALSE))</f>
        <v>0</v>
      </c>
      <c r="AC242" s="2084">
        <f>IF($R242&lt;&gt;"votre valeur :",IF(ISNA(VLOOKUP($R242,Utilitaires!$N$566:$O$571,2,FALSE)),,VLOOKUP($R242,Utilitaires!$N$566:$O$571,2,FALSE)),$S242)</f>
        <v>0</v>
      </c>
      <c r="AD242" s="1130">
        <f>SQRT(SUMSQ(AC242,VLOOKUP($B242&amp;"; "&amp;$H242&amp;", "&amp;$I$214,'FE Intrants'!G:U,7,FALSE)))</f>
        <v>0.15</v>
      </c>
    </row>
    <row r="243" spans="2:30" s="114" customFormat="1" ht="13.2" outlineLevel="1">
      <c r="B243" s="143" t="s">
        <v>3276</v>
      </c>
      <c r="C243" s="144"/>
      <c r="D243" s="212">
        <f>N243</f>
        <v>0</v>
      </c>
      <c r="E243" s="212"/>
      <c r="F243" s="120"/>
      <c r="G243" s="224"/>
      <c r="H243" s="1212" t="str">
        <f>VLOOKUP(B243,'FE Intrants'!F:U,5,FALSE)</f>
        <v>kgCO2e/unité</v>
      </c>
      <c r="I243" s="212">
        <f>VLOOKUP($B243&amp;"; "&amp;$H243&amp;", "&amp;$I$214,'FE Intrants'!$G:$U,9,FALSE)*$F243</f>
        <v>0</v>
      </c>
      <c r="J243" s="212">
        <f>IF(ISNA(VLOOKUP($B243&amp;"; "&amp;$H243&amp;", "&amp;$J$214,'FE Intrants'!$G:$U,9,FALSE)),0,VLOOKUP($B243&amp;"; "&amp;$H243&amp;", "&amp;$J$214,'FE Intrants'!$G:$U,9,FALSE)*$F243)</f>
        <v>0</v>
      </c>
      <c r="K243" s="212">
        <f>IF(ISNA(VLOOKUP($B243&amp;"; "&amp;$H243&amp;", "&amp;$K$214,'FE Intrants'!$G:$U,9,FALSE)),0,VLOOKUP($B243&amp;"; "&amp;$H243&amp;", "&amp;$K$214,'FE Intrants'!$G:$U,9,FALSE)*$F243)</f>
        <v>0</v>
      </c>
      <c r="L243" s="212">
        <f>IF(ISNA(VLOOKUP($B243&amp;"; "&amp;$H243&amp;", "&amp;$L$214,'FE Intrants'!$G:$U,9,FALSE)),0,VLOOKUP($B243&amp;"; "&amp;$H243&amp;", "&amp;$L$214,'FE Intrants'!$G:$U,9,FALSE)*$F243)</f>
        <v>0</v>
      </c>
      <c r="M243" s="212">
        <f>IF(ISNA(VLOOKUP($B243&amp;"; "&amp;$H243&amp;", "&amp;$M$214,'FE Intrants'!$G:$U,9,FALSE)),0,VLOOKUP($B243&amp;"; "&amp;$H243&amp;", "&amp;$M$214,'FE Intrants'!$G:$U,9,FALSE)*$F243)</f>
        <v>0</v>
      </c>
      <c r="N243" s="1216">
        <f t="shared" si="30"/>
        <v>0</v>
      </c>
      <c r="Q243" s="319">
        <f t="shared" si="29"/>
        <v>0</v>
      </c>
      <c r="R243" s="1016"/>
      <c r="S243" s="820"/>
      <c r="T243" s="152">
        <f t="shared" si="31"/>
        <v>0</v>
      </c>
      <c r="V243" s="564">
        <f>IFERROR(F243*SUM((VLOOKUP(B243&amp;"; "&amp;H243&amp;", "&amp;I$214,'FE Intrants'!$G:$U,10,FALSE)),
VLOOKUP(B243&amp;"; "&amp;H243&amp;", "&amp;J$214,'FE Intrants'!$G:$U,10,FALSE),
VLOOKUP(B243&amp;"; "&amp;H243&amp;", "&amp;K$214,'FE Intrants'!$G:$U,10,FALSE),
VLOOKUP(B243&amp;"; "&amp;H243&amp;", "&amp;L$214,'FE Intrants'!$G:$U,10,FALSE),
VLOOKUP(B243&amp;"; "&amp;H243&amp;", "&amp;M$214,'FE Intrants'!$G:$U,10,FALSE)),
F243*VLOOKUP(B243&amp;"; "&amp;H243&amp;", "&amp;I$214,'FE Intrants'!$G:$U,10,FALSE))</f>
        <v>0</v>
      </c>
      <c r="W243" s="565">
        <f>IFERROR(F243*SUM((VLOOKUP(B243&amp;"; "&amp;H243&amp;", "&amp;I$214,'FE Intrants'!$G:$U,11,FALSE)+VLOOKUP(B243&amp;"; "&amp;H243&amp;", "&amp;I$214,'FE Intrants'!$G:$U,12,FALSE)),
(VLOOKUP(B243&amp;"; "&amp;H243&amp;", "&amp;J$214,'FE Intrants'!$G:$U,11,FALSE)+VLOOKUP(B243&amp;"; "&amp;H243&amp;", "&amp;J$214,'FE Intrants'!$G:$U,12,FALSE)),
(VLOOKUP(B243&amp;"; "&amp;H243&amp;", "&amp;K$214,'FE Intrants'!$G:$U,11,FALSE)+VLOOKUP(B243&amp;"; "&amp;H243&amp;", "&amp;K$214,'FE Intrants'!$G:$U,12,FALSE)),
(VLOOKUP(B243&amp;"; "&amp;H243&amp;", "&amp;L$214,'FE Intrants'!$G:$U,11,FALSE)+VLOOKUP(B243&amp;"; "&amp;H243&amp;", "&amp;L$214,'FE Intrants'!$G:$U,12,FALSE)),
(VLOOKUP(B243&amp;"; "&amp;H243&amp;", "&amp;M$214,'FE Intrants'!$G:$U,11,FALSE)+VLOOKUP(B243&amp;"; "&amp;H243&amp;", "&amp;M$214,'FE Intrants'!$G:$U,12,FALSE))),
F243*VLOOKUP(B243&amp;"; "&amp;H243&amp;", "&amp;I$214,'FE Intrants'!$G:$U,11,FALSE)+VLOOKUP(B243&amp;"; "&amp;H243&amp;", "&amp;I$214,'FE Intrants'!$G:$U,12,FALSE))</f>
        <v>0</v>
      </c>
      <c r="X243" s="565">
        <f>IFERROR(F243*SUM((VLOOKUP(B243&amp;"; "&amp;H243&amp;", "&amp;I$214,'FE Intrants'!$G:$U,13,FALSE)),
VLOOKUP(B243&amp;"; "&amp;H243&amp;", "&amp;J$214,'FE Intrants'!$G:$U,13,FALSE),
VLOOKUP(B243&amp;"; "&amp;H243&amp;", "&amp;K$214,'FE Intrants'!$G:$U,13,FALSE),
VLOOKUP(B243&amp;"; "&amp;H243&amp;", "&amp;L$214,'FE Intrants'!$G:$U,13,FALSE),
VLOOKUP(B243&amp;"; "&amp;H243&amp;", "&amp;M$214,'FE Intrants'!$G:$U,13,FALSE)),
F243*VLOOKUP(B243&amp;"; "&amp;H243&amp;", "&amp;I$214,'FE Intrants'!$G:$U,13,FALSE))</f>
        <v>0</v>
      </c>
      <c r="Y243" s="565">
        <f>IFERROR(F243*SUM((VLOOKUP(B243&amp;"; "&amp;H243&amp;", "&amp;I$214,'FE Intrants'!$G:$U,14,FALSE)),
VLOOKUP(B243&amp;"; "&amp;H243&amp;", "&amp;J$214,'FE Intrants'!$G:$U,14,FALSE),
VLOOKUP(B243&amp;"; "&amp;H243&amp;", "&amp;K$214,'FE Intrants'!$G:$U,14,FALSE),
VLOOKUP(B243&amp;"; "&amp;H243&amp;", "&amp;L$214,'FE Intrants'!$G:$U,14,FALSE),
VLOOKUP(B243&amp;"; "&amp;H243&amp;", "&amp;M$214,'FE Intrants'!$G:$U,14,FALSE)),
F243*VLOOKUP(B243&amp;"; "&amp;H243&amp;", "&amp;I$214,'FE Intrants'!$G:$U,14,FALSE))</f>
        <v>0</v>
      </c>
      <c r="Z243" s="567">
        <f t="shared" si="23"/>
        <v>0</v>
      </c>
      <c r="AA243" s="590">
        <f>IFERROR(F243*SUM((VLOOKUP(B243&amp;"; "&amp;H243&amp;", "&amp;I$214,'FE Intrants'!$G:$U,15,FALSE)),
VLOOKUP(B243&amp;"; "&amp;H243&amp;", "&amp;J$214,'FE Intrants'!$G:$U,15,FALSE),
VLOOKUP(B243&amp;"; "&amp;H243&amp;", "&amp;K$214,'FE Intrants'!$G:$U,15,FALSE),
VLOOKUP(B243&amp;"; "&amp;H243&amp;", "&amp;L$214,'FE Intrants'!$G:$U,15,FALSE),
VLOOKUP(B243&amp;"; "&amp;H243&amp;", "&amp;M$214,'FE Intrants'!$G:$U,15,FALSE)),
F243*VLOOKUP(B243&amp;"; "&amp;H243&amp;", "&amp;I$214,'FE Intrants'!$G:$U,15,FALSE))</f>
        <v>0</v>
      </c>
      <c r="AC243" s="2084">
        <f>IF($R243&lt;&gt;"votre valeur :",IF(ISNA(VLOOKUP($R243,Utilitaires!$N$566:$O$571,2,FALSE)),,VLOOKUP($R243,Utilitaires!$N$566:$O$571,2,FALSE)),$S243)</f>
        <v>0</v>
      </c>
      <c r="AD243" s="1130">
        <f>SQRT(SUMSQ(AC243,VLOOKUP($B243&amp;"; "&amp;$H243&amp;", "&amp;$I$214,'FE Intrants'!G:U,7,FALSE)))</f>
        <v>0.6</v>
      </c>
    </row>
    <row r="244" spans="2:30" s="114" customFormat="1" ht="13.2" outlineLevel="1">
      <c r="B244" s="143" t="s">
        <v>3277</v>
      </c>
      <c r="C244" s="144"/>
      <c r="D244" s="212">
        <f>N244</f>
        <v>0</v>
      </c>
      <c r="E244" s="212"/>
      <c r="F244" s="123"/>
      <c r="G244" s="224"/>
      <c r="H244" s="1213" t="str">
        <f>VLOOKUP(B244,'FE Intrants'!F:U,5,FALSE)</f>
        <v>kgCO2e/kg de cuir traité</v>
      </c>
      <c r="I244" s="212">
        <f>VLOOKUP($B244&amp;"; "&amp;$H244&amp;", "&amp;$I$214,'FE Intrants'!$G:$U,9,FALSE)*$F244</f>
        <v>0</v>
      </c>
      <c r="J244" s="212">
        <f>IF(ISNA(VLOOKUP($B244&amp;"; "&amp;$H244&amp;", "&amp;$J$214,'FE Intrants'!$G:$U,9,FALSE)),0,VLOOKUP($B244&amp;"; "&amp;$H244&amp;", "&amp;$J$214,'FE Intrants'!$G:$U,9,FALSE)*$F244)</f>
        <v>0</v>
      </c>
      <c r="K244" s="212">
        <f>IF(ISNA(VLOOKUP($B244&amp;"; "&amp;$H244&amp;", "&amp;$K$214,'FE Intrants'!$G:$U,9,FALSE)),0,VLOOKUP($B244&amp;"; "&amp;$H244&amp;", "&amp;$K$214,'FE Intrants'!$G:$U,9,FALSE)*$F244)</f>
        <v>0</v>
      </c>
      <c r="L244" s="212">
        <f>IF(ISNA(VLOOKUP($B244&amp;"; "&amp;$H244&amp;", "&amp;$L$214,'FE Intrants'!$G:$U,9,FALSE)),0,VLOOKUP($B244&amp;"; "&amp;$H244&amp;", "&amp;$L$214,'FE Intrants'!$G:$U,9,FALSE)*$F244)</f>
        <v>0</v>
      </c>
      <c r="M244" s="212">
        <f>IF(ISNA(VLOOKUP($B244&amp;"; "&amp;$H244&amp;", "&amp;$M$214,'FE Intrants'!$G:$U,9,FALSE)),0,VLOOKUP($B244&amp;"; "&amp;$H244&amp;", "&amp;$M$214,'FE Intrants'!$G:$U,9,FALSE)*$F244)</f>
        <v>0</v>
      </c>
      <c r="N244" s="1216">
        <f t="shared" si="30"/>
        <v>0</v>
      </c>
      <c r="Q244" s="319">
        <f t="shared" si="29"/>
        <v>0</v>
      </c>
      <c r="R244" s="1016"/>
      <c r="S244" s="820"/>
      <c r="T244" s="152">
        <f t="shared" si="31"/>
        <v>0</v>
      </c>
      <c r="V244" s="564">
        <f>IFERROR(F244*SUM((VLOOKUP(B244&amp;"; "&amp;H244&amp;", "&amp;I$214,'FE Intrants'!$G:$U,10,FALSE)),
VLOOKUP(B244&amp;"; "&amp;H244&amp;", "&amp;J$214,'FE Intrants'!$G:$U,10,FALSE),
VLOOKUP(B244&amp;"; "&amp;H244&amp;", "&amp;K$214,'FE Intrants'!$G:$U,10,FALSE),
VLOOKUP(B244&amp;"; "&amp;H244&amp;", "&amp;L$214,'FE Intrants'!$G:$U,10,FALSE),
VLOOKUP(B244&amp;"; "&amp;H244&amp;", "&amp;M$214,'FE Intrants'!$G:$U,10,FALSE)),
F244*VLOOKUP(B244&amp;"; "&amp;H244&amp;", "&amp;I$214,'FE Intrants'!$G:$U,10,FALSE))</f>
        <v>0</v>
      </c>
      <c r="W244" s="565">
        <f>IFERROR(F244*SUM((VLOOKUP(B244&amp;"; "&amp;H244&amp;", "&amp;I$214,'FE Intrants'!$G:$U,11,FALSE)+VLOOKUP(B244&amp;"; "&amp;H244&amp;", "&amp;I$214,'FE Intrants'!$G:$U,12,FALSE)),
(VLOOKUP(B244&amp;"; "&amp;H244&amp;", "&amp;J$214,'FE Intrants'!$G:$U,11,FALSE)+VLOOKUP(B244&amp;"; "&amp;H244&amp;", "&amp;J$214,'FE Intrants'!$G:$U,12,FALSE)),
(VLOOKUP(B244&amp;"; "&amp;H244&amp;", "&amp;K$214,'FE Intrants'!$G:$U,11,FALSE)+VLOOKUP(B244&amp;"; "&amp;H244&amp;", "&amp;K$214,'FE Intrants'!$G:$U,12,FALSE)),
(VLOOKUP(B244&amp;"; "&amp;H244&amp;", "&amp;L$214,'FE Intrants'!$G:$U,11,FALSE)+VLOOKUP(B244&amp;"; "&amp;H244&amp;", "&amp;L$214,'FE Intrants'!$G:$U,12,FALSE)),
(VLOOKUP(B244&amp;"; "&amp;H244&amp;", "&amp;M$214,'FE Intrants'!$G:$U,11,FALSE)+VLOOKUP(B244&amp;"; "&amp;H244&amp;", "&amp;M$214,'FE Intrants'!$G:$U,12,FALSE))),
F244*VLOOKUP(B244&amp;"; "&amp;H244&amp;", "&amp;I$214,'FE Intrants'!$G:$U,11,FALSE)+VLOOKUP(B244&amp;"; "&amp;H244&amp;", "&amp;I$214,'FE Intrants'!$G:$U,12,FALSE))</f>
        <v>0</v>
      </c>
      <c r="X244" s="565">
        <f>IFERROR(F244*SUM((VLOOKUP(B244&amp;"; "&amp;H244&amp;", "&amp;I$214,'FE Intrants'!$G:$U,13,FALSE)),
VLOOKUP(B244&amp;"; "&amp;H244&amp;", "&amp;J$214,'FE Intrants'!$G:$U,13,FALSE),
VLOOKUP(B244&amp;"; "&amp;H244&amp;", "&amp;K$214,'FE Intrants'!$G:$U,13,FALSE),
VLOOKUP(B244&amp;"; "&amp;H244&amp;", "&amp;L$214,'FE Intrants'!$G:$U,13,FALSE),
VLOOKUP(B244&amp;"; "&amp;H244&amp;", "&amp;M$214,'FE Intrants'!$G:$U,13,FALSE)),
F244*VLOOKUP(B244&amp;"; "&amp;H244&amp;", "&amp;I$214,'FE Intrants'!$G:$U,13,FALSE))</f>
        <v>0</v>
      </c>
      <c r="Y244" s="565">
        <f>IFERROR(F244*SUM((VLOOKUP(B244&amp;"; "&amp;H244&amp;", "&amp;I$214,'FE Intrants'!$G:$U,14,FALSE)),
VLOOKUP(B244&amp;"; "&amp;H244&amp;", "&amp;J$214,'FE Intrants'!$G:$U,14,FALSE),
VLOOKUP(B244&amp;"; "&amp;H244&amp;", "&amp;K$214,'FE Intrants'!$G:$U,14,FALSE),
VLOOKUP(B244&amp;"; "&amp;H244&amp;", "&amp;L$214,'FE Intrants'!$G:$U,14,FALSE),
VLOOKUP(B244&amp;"; "&amp;H244&amp;", "&amp;M$214,'FE Intrants'!$G:$U,14,FALSE)),
F244*VLOOKUP(B244&amp;"; "&amp;H244&amp;", "&amp;I$214,'FE Intrants'!$G:$U,14,FALSE))</f>
        <v>0</v>
      </c>
      <c r="Z244" s="567">
        <f t="shared" si="23"/>
        <v>0</v>
      </c>
      <c r="AA244" s="590">
        <f>IFERROR(F244*SUM((VLOOKUP(B244&amp;"; "&amp;H244&amp;", "&amp;I$214,'FE Intrants'!$G:$U,15,FALSE)),
VLOOKUP(B244&amp;"; "&amp;H244&amp;", "&amp;J$214,'FE Intrants'!$G:$U,15,FALSE),
VLOOKUP(B244&amp;"; "&amp;H244&amp;", "&amp;K$214,'FE Intrants'!$G:$U,15,FALSE),
VLOOKUP(B244&amp;"; "&amp;H244&amp;", "&amp;L$214,'FE Intrants'!$G:$U,15,FALSE),
VLOOKUP(B244&amp;"; "&amp;H244&amp;", "&amp;M$214,'FE Intrants'!$G:$U,15,FALSE)),
F244*VLOOKUP(B244&amp;"; "&amp;H244&amp;", "&amp;I$214,'FE Intrants'!$G:$U,15,FALSE))</f>
        <v>0</v>
      </c>
      <c r="AC244" s="2084">
        <f>IF($R244&lt;&gt;"votre valeur :",IF(ISNA(VLOOKUP($R244,Utilitaires!$N$566:$O$571,2,FALSE)),,VLOOKUP($R244,Utilitaires!$N$566:$O$571,2,FALSE)),$S244)</f>
        <v>0</v>
      </c>
      <c r="AD244" s="1130">
        <f>SQRT(SUMSQ(AC244,VLOOKUP($B244&amp;"; "&amp;$H244&amp;", "&amp;$I$214,'FE Intrants'!G:U,7,FALSE)))</f>
        <v>0.5</v>
      </c>
    </row>
    <row r="245" spans="2:30" s="114" customFormat="1" ht="13.2" outlineLevel="1">
      <c r="B245" s="143"/>
      <c r="C245" s="144"/>
      <c r="D245" s="212"/>
      <c r="E245" s="212"/>
      <c r="F245" s="212"/>
      <c r="G245" s="224"/>
      <c r="H245" s="2067"/>
      <c r="I245" s="212"/>
      <c r="J245" s="212"/>
      <c r="K245" s="212"/>
      <c r="L245" s="212"/>
      <c r="M245" s="212"/>
      <c r="N245" s="1216"/>
      <c r="Q245" s="319"/>
      <c r="R245" s="212"/>
      <c r="S245" s="820"/>
      <c r="T245" s="152"/>
      <c r="V245" s="564"/>
      <c r="W245" s="565"/>
      <c r="X245" s="565"/>
      <c r="Y245" s="565"/>
      <c r="Z245" s="567"/>
      <c r="AA245" s="590"/>
      <c r="AC245" s="2084"/>
      <c r="AD245" s="1130"/>
    </row>
    <row r="246" spans="2:30" s="114" customFormat="1" ht="13.2" outlineLevel="1">
      <c r="B246" s="2066" t="s">
        <v>3273</v>
      </c>
      <c r="C246" s="144"/>
      <c r="D246" s="212"/>
      <c r="E246" s="212"/>
      <c r="F246" s="212"/>
      <c r="G246" s="224"/>
      <c r="H246" s="2067"/>
      <c r="I246" s="212"/>
      <c r="J246" s="212"/>
      <c r="K246" s="212"/>
      <c r="L246" s="212"/>
      <c r="M246" s="212"/>
      <c r="N246" s="1216"/>
      <c r="Q246" s="319"/>
      <c r="R246" s="212"/>
      <c r="S246" s="820"/>
      <c r="T246" s="152"/>
      <c r="V246" s="564"/>
      <c r="W246" s="565"/>
      <c r="X246" s="565"/>
      <c r="Y246" s="565"/>
      <c r="Z246" s="567"/>
      <c r="AA246" s="590"/>
      <c r="AC246" s="2084"/>
      <c r="AD246" s="1130"/>
    </row>
    <row r="247" spans="2:30" s="114" customFormat="1" ht="13.2" outlineLevel="1">
      <c r="B247" s="143" t="s">
        <v>3278</v>
      </c>
      <c r="C247" s="144"/>
      <c r="D247" s="212">
        <f>N247</f>
        <v>0</v>
      </c>
      <c r="E247" s="212"/>
      <c r="F247" s="117"/>
      <c r="G247" s="224"/>
      <c r="H247" s="1211" t="str">
        <f>VLOOKUP(B247,'FE Intrants'!F:U,5,FALSE)</f>
        <v>kgCO2e/unité</v>
      </c>
      <c r="I247" s="212">
        <f>VLOOKUP($B247&amp;"; "&amp;$H247&amp;", "&amp;$I$214,'FE Intrants'!$G:$U,9,FALSE)*$F247</f>
        <v>0</v>
      </c>
      <c r="J247" s="212">
        <f>IF(ISNA(VLOOKUP($B247&amp;"; "&amp;$H247&amp;", "&amp;$J$214,'FE Intrants'!$G:$U,9,FALSE)),0,VLOOKUP($B247&amp;"; "&amp;$H247&amp;", "&amp;$J$214,'FE Intrants'!$G:$U,9,FALSE)*$F247)</f>
        <v>0</v>
      </c>
      <c r="K247" s="212">
        <f>IF(ISNA(VLOOKUP($B247&amp;"; "&amp;$H247&amp;", "&amp;$K$214,'FE Intrants'!$G:$U,9,FALSE)),0,VLOOKUP($B247&amp;"; "&amp;$H247&amp;", "&amp;$K$214,'FE Intrants'!$G:$U,9,FALSE)*$F247)</f>
        <v>0</v>
      </c>
      <c r="L247" s="212">
        <f>IF(ISNA(VLOOKUP($B247&amp;"; "&amp;$H247&amp;", "&amp;$L$214,'FE Intrants'!$G:$U,9,FALSE)),0,VLOOKUP($B247&amp;"; "&amp;$H247&amp;", "&amp;$L$214,'FE Intrants'!$G:$U,9,FALSE)*$F247)</f>
        <v>0</v>
      </c>
      <c r="M247" s="212">
        <f>IF(ISNA(VLOOKUP($B247&amp;"; "&amp;$H247&amp;", "&amp;$M$214,'FE Intrants'!$G:$U,9,FALSE)),0,VLOOKUP($B247&amp;"; "&amp;$H247&amp;", "&amp;$M$214,'FE Intrants'!$G:$U,9,FALSE)*$F247)</f>
        <v>0</v>
      </c>
      <c r="N247" s="1216">
        <f t="shared" si="30"/>
        <v>0</v>
      </c>
      <c r="Q247" s="319">
        <f t="shared" si="29"/>
        <v>0</v>
      </c>
      <c r="R247" s="1016"/>
      <c r="S247" s="820"/>
      <c r="T247" s="152">
        <f t="shared" si="31"/>
        <v>0</v>
      </c>
      <c r="V247" s="564">
        <f>IFERROR(F247*SUM((VLOOKUP(B247&amp;"; "&amp;H247&amp;", "&amp;I$214,'FE Intrants'!$G:$U,10,FALSE)),
VLOOKUP(B247&amp;"; "&amp;H247&amp;", "&amp;J$214,'FE Intrants'!$G:$U,10,FALSE),
VLOOKUP(B247&amp;"; "&amp;H247&amp;", "&amp;K$214,'FE Intrants'!$G:$U,10,FALSE),
VLOOKUP(B247&amp;"; "&amp;H247&amp;", "&amp;L$214,'FE Intrants'!$G:$U,10,FALSE),
VLOOKUP(B247&amp;"; "&amp;H247&amp;", "&amp;M$214,'FE Intrants'!$G:$U,10,FALSE)),
F247*VLOOKUP(B247&amp;"; "&amp;H247&amp;", "&amp;I$214,'FE Intrants'!$G:$U,10,FALSE))</f>
        <v>0</v>
      </c>
      <c r="W247" s="565">
        <f>IFERROR(F247*SUM((VLOOKUP(B247&amp;"; "&amp;H247&amp;", "&amp;I$214,'FE Intrants'!$G:$U,11,FALSE)+VLOOKUP(B247&amp;"; "&amp;H247&amp;", "&amp;I$214,'FE Intrants'!$G:$U,12,FALSE)),
(VLOOKUP(B247&amp;"; "&amp;H247&amp;", "&amp;J$214,'FE Intrants'!$G:$U,11,FALSE)+VLOOKUP(B247&amp;"; "&amp;H247&amp;", "&amp;J$214,'FE Intrants'!$G:$U,12,FALSE)),
(VLOOKUP(B247&amp;"; "&amp;H247&amp;", "&amp;K$214,'FE Intrants'!$G:$U,11,FALSE)+VLOOKUP(B247&amp;"; "&amp;H247&amp;", "&amp;K$214,'FE Intrants'!$G:$U,12,FALSE)),
(VLOOKUP(B247&amp;"; "&amp;H247&amp;", "&amp;L$214,'FE Intrants'!$G:$U,11,FALSE)+VLOOKUP(B247&amp;"; "&amp;H247&amp;", "&amp;L$214,'FE Intrants'!$G:$U,12,FALSE)),
(VLOOKUP(B247&amp;"; "&amp;H247&amp;", "&amp;M$214,'FE Intrants'!$G:$U,11,FALSE)+VLOOKUP(B247&amp;"; "&amp;H247&amp;", "&amp;M$214,'FE Intrants'!$G:$U,12,FALSE))),
F247*VLOOKUP(B247&amp;"; "&amp;H247&amp;", "&amp;I$214,'FE Intrants'!$G:$U,11,FALSE)+VLOOKUP(B247&amp;"; "&amp;H247&amp;", "&amp;I$214,'FE Intrants'!$G:$U,12,FALSE))</f>
        <v>0</v>
      </c>
      <c r="X247" s="565">
        <f>IFERROR(F247*SUM((VLOOKUP(B247&amp;"; "&amp;H247&amp;", "&amp;I$214,'FE Intrants'!$G:$U,13,FALSE)),
VLOOKUP(B247&amp;"; "&amp;H247&amp;", "&amp;J$214,'FE Intrants'!$G:$U,13,FALSE),
VLOOKUP(B247&amp;"; "&amp;H247&amp;", "&amp;K$214,'FE Intrants'!$G:$U,13,FALSE),
VLOOKUP(B247&amp;"; "&amp;H247&amp;", "&amp;L$214,'FE Intrants'!$G:$U,13,FALSE),
VLOOKUP(B247&amp;"; "&amp;H247&amp;", "&amp;M$214,'FE Intrants'!$G:$U,13,FALSE)),
F247*VLOOKUP(B247&amp;"; "&amp;H247&amp;", "&amp;I$214,'FE Intrants'!$G:$U,13,FALSE))</f>
        <v>0</v>
      </c>
      <c r="Y247" s="565">
        <f>IFERROR(F247*SUM((VLOOKUP(B247&amp;"; "&amp;H247&amp;", "&amp;I$214,'FE Intrants'!$G:$U,14,FALSE)),
VLOOKUP(B247&amp;"; "&amp;H247&amp;", "&amp;J$214,'FE Intrants'!$G:$U,14,FALSE),
VLOOKUP(B247&amp;"; "&amp;H247&amp;", "&amp;K$214,'FE Intrants'!$G:$U,14,FALSE),
VLOOKUP(B247&amp;"; "&amp;H247&amp;", "&amp;L$214,'FE Intrants'!$G:$U,14,FALSE),
VLOOKUP(B247&amp;"; "&amp;H247&amp;", "&amp;M$214,'FE Intrants'!$G:$U,14,FALSE)),
F247*VLOOKUP(B247&amp;"; "&amp;H247&amp;", "&amp;I$214,'FE Intrants'!$G:$U,14,FALSE))</f>
        <v>0</v>
      </c>
      <c r="Z247" s="567">
        <f t="shared" si="23"/>
        <v>0</v>
      </c>
      <c r="AA247" s="590">
        <f>IFERROR(F247*SUM((VLOOKUP(B247&amp;"; "&amp;H247&amp;", "&amp;I$214,'FE Intrants'!$G:$U,15,FALSE)),
VLOOKUP(B247&amp;"; "&amp;H247&amp;", "&amp;J$214,'FE Intrants'!$G:$U,15,FALSE),
VLOOKUP(B247&amp;"; "&amp;H247&amp;", "&amp;K$214,'FE Intrants'!$G:$U,15,FALSE),
VLOOKUP(B247&amp;"; "&amp;H247&amp;", "&amp;L$214,'FE Intrants'!$G:$U,15,FALSE),
VLOOKUP(B247&amp;"; "&amp;H247&amp;", "&amp;M$214,'FE Intrants'!$G:$U,15,FALSE)),
F247*VLOOKUP(B247&amp;"; "&amp;H247&amp;", "&amp;I$214,'FE Intrants'!$G:$U,15,FALSE))</f>
        <v>0</v>
      </c>
      <c r="AC247" s="2084">
        <f>IF($R247&lt;&gt;"votre valeur :",IF(ISNA(VLOOKUP($R247,Utilitaires!$N$566:$O$571,2,FALSE)),,VLOOKUP($R247,Utilitaires!$N$566:$O$571,2,FALSE)),$S247)</f>
        <v>0</v>
      </c>
      <c r="AD247" s="1130">
        <f>SQRT(SUMSQ(AC247,VLOOKUP($B247&amp;"; "&amp;$H247&amp;", "&amp;$I$214,'FE Intrants'!G:U,7,FALSE)))</f>
        <v>0.05</v>
      </c>
    </row>
    <row r="248" spans="2:30" s="114" customFormat="1" ht="13.2" outlineLevel="1">
      <c r="B248" s="143" t="s">
        <v>3279</v>
      </c>
      <c r="C248" s="144"/>
      <c r="D248" s="212">
        <f>N248</f>
        <v>0</v>
      </c>
      <c r="E248" s="212"/>
      <c r="F248" s="120"/>
      <c r="G248" s="224"/>
      <c r="H248" s="1212" t="str">
        <f>VLOOKUP(B248,'FE Intrants'!F:U,5,FALSE)</f>
        <v>kgCO2e/unité</v>
      </c>
      <c r="I248" s="212">
        <f>VLOOKUP($B248&amp;"; "&amp;$H248&amp;", "&amp;$I$214,'FE Intrants'!$G:$U,9,FALSE)*$F248</f>
        <v>0</v>
      </c>
      <c r="J248" s="212">
        <f>IF(ISNA(VLOOKUP($B248&amp;"; "&amp;$H248&amp;", "&amp;$J$214,'FE Intrants'!$G:$U,9,FALSE)),0,VLOOKUP($B248&amp;"; "&amp;$H248&amp;", "&amp;$J$214,'FE Intrants'!$G:$U,9,FALSE)*$F248)</f>
        <v>0</v>
      </c>
      <c r="K248" s="212">
        <f>IF(ISNA(VLOOKUP($B248&amp;"; "&amp;$H248&amp;", "&amp;$K$214,'FE Intrants'!$G:$U,9,FALSE)),0,VLOOKUP($B248&amp;"; "&amp;$H248&amp;", "&amp;$K$214,'FE Intrants'!$G:$U,9,FALSE)*$F248)</f>
        <v>0</v>
      </c>
      <c r="L248" s="212">
        <f>IF(ISNA(VLOOKUP($B248&amp;"; "&amp;$H248&amp;", "&amp;$L$214,'FE Intrants'!$G:$U,9,FALSE)),0,VLOOKUP($B248&amp;"; "&amp;$H248&amp;", "&amp;$L$214,'FE Intrants'!$G:$U,9,FALSE)*$F248)</f>
        <v>0</v>
      </c>
      <c r="M248" s="212">
        <f>IF(ISNA(VLOOKUP($B248&amp;"; "&amp;$H248&amp;", "&amp;$M$214,'FE Intrants'!$G:$U,9,FALSE)),0,VLOOKUP($B248&amp;"; "&amp;$H248&amp;", "&amp;$M$214,'FE Intrants'!$G:$U,9,FALSE)*$F248)</f>
        <v>0</v>
      </c>
      <c r="N248" s="1216">
        <f t="shared" si="30"/>
        <v>0</v>
      </c>
      <c r="Q248" s="319">
        <f t="shared" si="29"/>
        <v>0</v>
      </c>
      <c r="R248" s="1016"/>
      <c r="S248" s="820"/>
      <c r="T248" s="152">
        <f t="shared" si="31"/>
        <v>0</v>
      </c>
      <c r="V248" s="564">
        <f>IFERROR(F248*SUM((VLOOKUP(B248&amp;"; "&amp;H248&amp;", "&amp;I$214,'FE Intrants'!$G:$U,10,FALSE)),
VLOOKUP(B248&amp;"; "&amp;H248&amp;", "&amp;J$214,'FE Intrants'!$G:$U,10,FALSE),
VLOOKUP(B248&amp;"; "&amp;H248&amp;", "&amp;K$214,'FE Intrants'!$G:$U,10,FALSE),
VLOOKUP(B248&amp;"; "&amp;H248&amp;", "&amp;L$214,'FE Intrants'!$G:$U,10,FALSE),
VLOOKUP(B248&amp;"; "&amp;H248&amp;", "&amp;M$214,'FE Intrants'!$G:$U,10,FALSE)),
F248*VLOOKUP(B248&amp;"; "&amp;H248&amp;", "&amp;I$214,'FE Intrants'!$G:$U,10,FALSE))</f>
        <v>0</v>
      </c>
      <c r="W248" s="565">
        <f>IFERROR(F248*SUM((VLOOKUP(B248&amp;"; "&amp;H248&amp;", "&amp;I$214,'FE Intrants'!$G:$U,11,FALSE)+VLOOKUP(B248&amp;"; "&amp;H248&amp;", "&amp;I$214,'FE Intrants'!$G:$U,12,FALSE)),
(VLOOKUP(B248&amp;"; "&amp;H248&amp;", "&amp;J$214,'FE Intrants'!$G:$U,11,FALSE)+VLOOKUP(B248&amp;"; "&amp;H248&amp;", "&amp;J$214,'FE Intrants'!$G:$U,12,FALSE)),
(VLOOKUP(B248&amp;"; "&amp;H248&amp;", "&amp;K$214,'FE Intrants'!$G:$U,11,FALSE)+VLOOKUP(B248&amp;"; "&amp;H248&amp;", "&amp;K$214,'FE Intrants'!$G:$U,12,FALSE)),
(VLOOKUP(B248&amp;"; "&amp;H248&amp;", "&amp;L$214,'FE Intrants'!$G:$U,11,FALSE)+VLOOKUP(B248&amp;"; "&amp;H248&amp;", "&amp;L$214,'FE Intrants'!$G:$U,12,FALSE)),
(VLOOKUP(B248&amp;"; "&amp;H248&amp;", "&amp;M$214,'FE Intrants'!$G:$U,11,FALSE)+VLOOKUP(B248&amp;"; "&amp;H248&amp;", "&amp;M$214,'FE Intrants'!$G:$U,12,FALSE))),
F248*VLOOKUP(B248&amp;"; "&amp;H248&amp;", "&amp;I$214,'FE Intrants'!$G:$U,11,FALSE)+VLOOKUP(B248&amp;"; "&amp;H248&amp;", "&amp;I$214,'FE Intrants'!$G:$U,12,FALSE))</f>
        <v>0</v>
      </c>
      <c r="X248" s="565">
        <f>IFERROR(F248*SUM((VLOOKUP(B248&amp;"; "&amp;H248&amp;", "&amp;I$214,'FE Intrants'!$G:$U,13,FALSE)),
VLOOKUP(B248&amp;"; "&amp;H248&amp;", "&amp;J$214,'FE Intrants'!$G:$U,13,FALSE),
VLOOKUP(B248&amp;"; "&amp;H248&amp;", "&amp;K$214,'FE Intrants'!$G:$U,13,FALSE),
VLOOKUP(B248&amp;"; "&amp;H248&amp;", "&amp;L$214,'FE Intrants'!$G:$U,13,FALSE),
VLOOKUP(B248&amp;"; "&amp;H248&amp;", "&amp;M$214,'FE Intrants'!$G:$U,13,FALSE)),
F248*VLOOKUP(B248&amp;"; "&amp;H248&amp;", "&amp;I$214,'FE Intrants'!$G:$U,13,FALSE))</f>
        <v>0</v>
      </c>
      <c r="Y248" s="565">
        <f>IFERROR(F248*SUM((VLOOKUP(B248&amp;"; "&amp;H248&amp;", "&amp;I$214,'FE Intrants'!$G:$U,14,FALSE)),
VLOOKUP(B248&amp;"; "&amp;H248&amp;", "&amp;J$214,'FE Intrants'!$G:$U,14,FALSE),
VLOOKUP(B248&amp;"; "&amp;H248&amp;", "&amp;K$214,'FE Intrants'!$G:$U,14,FALSE),
VLOOKUP(B248&amp;"; "&amp;H248&amp;", "&amp;L$214,'FE Intrants'!$G:$U,14,FALSE),
VLOOKUP(B248&amp;"; "&amp;H248&amp;", "&amp;M$214,'FE Intrants'!$G:$U,14,FALSE)),
F248*VLOOKUP(B248&amp;"; "&amp;H248&amp;", "&amp;I$214,'FE Intrants'!$G:$U,14,FALSE))</f>
        <v>0</v>
      </c>
      <c r="Z248" s="567">
        <f t="shared" si="23"/>
        <v>0</v>
      </c>
      <c r="AA248" s="590">
        <f>IFERROR(F248*SUM((VLOOKUP(B248&amp;"; "&amp;H248&amp;", "&amp;I$214,'FE Intrants'!$G:$U,15,FALSE)),
VLOOKUP(B248&amp;"; "&amp;H248&amp;", "&amp;J$214,'FE Intrants'!$G:$U,15,FALSE),
VLOOKUP(B248&amp;"; "&amp;H248&amp;", "&amp;K$214,'FE Intrants'!$G:$U,15,FALSE),
VLOOKUP(B248&amp;"; "&amp;H248&amp;", "&amp;L$214,'FE Intrants'!$G:$U,15,FALSE),
VLOOKUP(B248&amp;"; "&amp;H248&amp;", "&amp;M$214,'FE Intrants'!$G:$U,15,FALSE)),
F248*VLOOKUP(B248&amp;"; "&amp;H248&amp;", "&amp;I$214,'FE Intrants'!$G:$U,15,FALSE))</f>
        <v>0</v>
      </c>
      <c r="AC248" s="2084">
        <f>IF($R248&lt;&gt;"votre valeur :",IF(ISNA(VLOOKUP($R248,Utilitaires!$N$566:$O$571,2,FALSE)),,VLOOKUP($R248,Utilitaires!$N$566:$O$571,2,FALSE)),$S248)</f>
        <v>0</v>
      </c>
      <c r="AD248" s="1130">
        <f>SQRT(SUMSQ(AC248,VLOOKUP($B248&amp;"; "&amp;$H248&amp;", "&amp;$I$214,'FE Intrants'!G:U,7,FALSE)))</f>
        <v>0.7</v>
      </c>
    </row>
    <row r="249" spans="2:30" s="114" customFormat="1" ht="13.2" outlineLevel="1">
      <c r="B249" s="143" t="s">
        <v>3280</v>
      </c>
      <c r="C249" s="144"/>
      <c r="D249" s="212">
        <f>N249</f>
        <v>0</v>
      </c>
      <c r="E249" s="212"/>
      <c r="F249" s="123"/>
      <c r="G249" s="224"/>
      <c r="H249" s="1213" t="str">
        <f>VLOOKUP(B249,'FE Intrants'!F:U,5,FALSE)</f>
        <v>kgCO2e/unité</v>
      </c>
      <c r="I249" s="212">
        <f>VLOOKUP($B249&amp;"; "&amp;$H249&amp;", "&amp;$I$214,'FE Intrants'!$G:$U,9,FALSE)*$F249</f>
        <v>0</v>
      </c>
      <c r="J249" s="212">
        <f>IF(ISNA(VLOOKUP($B249&amp;"; "&amp;$H249&amp;", "&amp;$J$214,'FE Intrants'!$G:$U,9,FALSE)),0,VLOOKUP($B249&amp;"; "&amp;$H249&amp;", "&amp;$J$214,'FE Intrants'!$G:$U,9,FALSE)*$F249)</f>
        <v>0</v>
      </c>
      <c r="K249" s="212">
        <f>IF(ISNA(VLOOKUP($B249&amp;"; "&amp;$H249&amp;", "&amp;$K$214,'FE Intrants'!$G:$U,9,FALSE)),0,VLOOKUP($B249&amp;"; "&amp;$H249&amp;", "&amp;$K$214,'FE Intrants'!$G:$U,9,FALSE)*$F249)</f>
        <v>0</v>
      </c>
      <c r="L249" s="212">
        <f>IF(ISNA(VLOOKUP($B249&amp;"; "&amp;$H249&amp;", "&amp;$L$214,'FE Intrants'!$G:$U,9,FALSE)),0,VLOOKUP($B249&amp;"; "&amp;$H249&amp;", "&amp;$L$214,'FE Intrants'!$G:$U,9,FALSE)*$F249)</f>
        <v>0</v>
      </c>
      <c r="M249" s="212">
        <f>IF(ISNA(VLOOKUP($B249&amp;"; "&amp;$H249&amp;", "&amp;$M$214,'FE Intrants'!$G:$U,9,FALSE)),0,VLOOKUP($B249&amp;"; "&amp;$H249&amp;", "&amp;$M$214,'FE Intrants'!$G:$U,9,FALSE)*$F249)</f>
        <v>0</v>
      </c>
      <c r="N249" s="1216">
        <f t="shared" si="30"/>
        <v>0</v>
      </c>
      <c r="Q249" s="319">
        <f t="shared" si="29"/>
        <v>0</v>
      </c>
      <c r="R249" s="1016"/>
      <c r="S249" s="820"/>
      <c r="T249" s="152">
        <f t="shared" si="31"/>
        <v>0</v>
      </c>
      <c r="V249" s="564">
        <f>IFERROR(F249*SUM((VLOOKUP(B249&amp;"; "&amp;H249&amp;", "&amp;I$214,'FE Intrants'!$G:$U,10,FALSE)),
VLOOKUP(B249&amp;"; "&amp;H249&amp;", "&amp;J$214,'FE Intrants'!$G:$U,10,FALSE),
VLOOKUP(B249&amp;"; "&amp;H249&amp;", "&amp;K$214,'FE Intrants'!$G:$U,10,FALSE),
VLOOKUP(B249&amp;"; "&amp;H249&amp;", "&amp;L$214,'FE Intrants'!$G:$U,10,FALSE),
VLOOKUP(B249&amp;"; "&amp;H249&amp;", "&amp;M$214,'FE Intrants'!$G:$U,10,FALSE)),
F249*VLOOKUP(B249&amp;"; "&amp;H249&amp;", "&amp;I$214,'FE Intrants'!$G:$U,10,FALSE))</f>
        <v>0</v>
      </c>
      <c r="W249" s="565">
        <f>IFERROR(F249*SUM((VLOOKUP(B249&amp;"; "&amp;H249&amp;", "&amp;I$214,'FE Intrants'!$G:$U,11,FALSE)+VLOOKUP(B249&amp;"; "&amp;H249&amp;", "&amp;I$214,'FE Intrants'!$G:$U,12,FALSE)),
(VLOOKUP(B249&amp;"; "&amp;H249&amp;", "&amp;J$214,'FE Intrants'!$G:$U,11,FALSE)+VLOOKUP(B249&amp;"; "&amp;H249&amp;", "&amp;J$214,'FE Intrants'!$G:$U,12,FALSE)),
(VLOOKUP(B249&amp;"; "&amp;H249&amp;", "&amp;K$214,'FE Intrants'!$G:$U,11,FALSE)+VLOOKUP(B249&amp;"; "&amp;H249&amp;", "&amp;K$214,'FE Intrants'!$G:$U,12,FALSE)),
(VLOOKUP(B249&amp;"; "&amp;H249&amp;", "&amp;L$214,'FE Intrants'!$G:$U,11,FALSE)+VLOOKUP(B249&amp;"; "&amp;H249&amp;", "&amp;L$214,'FE Intrants'!$G:$U,12,FALSE)),
(VLOOKUP(B249&amp;"; "&amp;H249&amp;", "&amp;M$214,'FE Intrants'!$G:$U,11,FALSE)+VLOOKUP(B249&amp;"; "&amp;H249&amp;", "&amp;M$214,'FE Intrants'!$G:$U,12,FALSE))),
F249*VLOOKUP(B249&amp;"; "&amp;H249&amp;", "&amp;I$214,'FE Intrants'!$G:$U,11,FALSE)+VLOOKUP(B249&amp;"; "&amp;H249&amp;", "&amp;I$214,'FE Intrants'!$G:$U,12,FALSE))</f>
        <v>0</v>
      </c>
      <c r="X249" s="565">
        <f>IFERROR(F249*SUM((VLOOKUP(B249&amp;"; "&amp;H249&amp;", "&amp;I$214,'FE Intrants'!$G:$U,13,FALSE)),
VLOOKUP(B249&amp;"; "&amp;H249&amp;", "&amp;J$214,'FE Intrants'!$G:$U,13,FALSE),
VLOOKUP(B249&amp;"; "&amp;H249&amp;", "&amp;K$214,'FE Intrants'!$G:$U,13,FALSE),
VLOOKUP(B249&amp;"; "&amp;H249&amp;", "&amp;L$214,'FE Intrants'!$G:$U,13,FALSE),
VLOOKUP(B249&amp;"; "&amp;H249&amp;", "&amp;M$214,'FE Intrants'!$G:$U,13,FALSE)),
F249*VLOOKUP(B249&amp;"; "&amp;H249&amp;", "&amp;I$214,'FE Intrants'!$G:$U,13,FALSE))</f>
        <v>0</v>
      </c>
      <c r="Y249" s="565">
        <f>IFERROR(F249*SUM((VLOOKUP(B249&amp;"; "&amp;H249&amp;", "&amp;I$214,'FE Intrants'!$G:$U,14,FALSE)),
VLOOKUP(B249&amp;"; "&amp;H249&amp;", "&amp;J$214,'FE Intrants'!$G:$U,14,FALSE),
VLOOKUP(B249&amp;"; "&amp;H249&amp;", "&amp;K$214,'FE Intrants'!$G:$U,14,FALSE),
VLOOKUP(B249&amp;"; "&amp;H249&amp;", "&amp;L$214,'FE Intrants'!$G:$U,14,FALSE),
VLOOKUP(B249&amp;"; "&amp;H249&amp;", "&amp;M$214,'FE Intrants'!$G:$U,14,FALSE)),
F249*VLOOKUP(B249&amp;"; "&amp;H249&amp;", "&amp;I$214,'FE Intrants'!$G:$U,14,FALSE))</f>
        <v>0</v>
      </c>
      <c r="Z249" s="567">
        <f t="shared" si="23"/>
        <v>0</v>
      </c>
      <c r="AA249" s="590">
        <f>IFERROR(F249*SUM((VLOOKUP(B249&amp;"; "&amp;H249&amp;", "&amp;I$214,'FE Intrants'!$G:$U,15,FALSE)),
VLOOKUP(B249&amp;"; "&amp;H249&amp;", "&amp;J$214,'FE Intrants'!$G:$U,15,FALSE),
VLOOKUP(B249&amp;"; "&amp;H249&amp;", "&amp;K$214,'FE Intrants'!$G:$U,15,FALSE),
VLOOKUP(B249&amp;"; "&amp;H249&amp;", "&amp;L$214,'FE Intrants'!$G:$U,15,FALSE),
VLOOKUP(B249&amp;"; "&amp;H249&amp;", "&amp;M$214,'FE Intrants'!$G:$U,15,FALSE)),
F249*VLOOKUP(B249&amp;"; "&amp;H249&amp;", "&amp;I$214,'FE Intrants'!$G:$U,15,FALSE))</f>
        <v>0</v>
      </c>
      <c r="AC249" s="2084">
        <f>IF($R249&lt;&gt;"votre valeur :",IF(ISNA(VLOOKUP($R249,Utilitaires!$N$566:$O$571,2,FALSE)),,VLOOKUP($R249,Utilitaires!$N$566:$O$571,2,FALSE)),$S249)</f>
        <v>0</v>
      </c>
      <c r="AD249" s="1130">
        <f>SQRT(SUMSQ(AC249,VLOOKUP($B249&amp;"; "&amp;$H249&amp;", "&amp;$I$214,'FE Intrants'!G:U,7,FALSE)))</f>
        <v>0.25</v>
      </c>
    </row>
    <row r="250" spans="2:30" s="114" customFormat="1" ht="13.2" outlineLevel="1">
      <c r="B250" s="143"/>
      <c r="C250" s="144"/>
      <c r="D250" s="212"/>
      <c r="E250" s="212"/>
      <c r="F250" s="212"/>
      <c r="G250" s="224"/>
      <c r="H250" s="2067"/>
      <c r="I250" s="212"/>
      <c r="J250" s="212"/>
      <c r="K250" s="212"/>
      <c r="L250" s="212"/>
      <c r="M250" s="212"/>
      <c r="N250" s="1216"/>
      <c r="Q250" s="319"/>
      <c r="R250" s="212"/>
      <c r="S250" s="820"/>
      <c r="T250" s="152"/>
      <c r="V250" s="564"/>
      <c r="W250" s="565"/>
      <c r="X250" s="565"/>
      <c r="Y250" s="565"/>
      <c r="Z250" s="567"/>
      <c r="AA250" s="590"/>
      <c r="AC250" s="2084"/>
      <c r="AD250" s="1130"/>
    </row>
    <row r="251" spans="2:30" s="114" customFormat="1" ht="13.2" outlineLevel="1">
      <c r="B251" s="1002" t="s">
        <v>3281</v>
      </c>
      <c r="C251" s="144"/>
      <c r="D251" s="212"/>
      <c r="E251" s="212"/>
      <c r="F251" s="212"/>
      <c r="G251" s="224"/>
      <c r="H251" s="2067"/>
      <c r="I251" s="212"/>
      <c r="J251" s="212"/>
      <c r="K251" s="212"/>
      <c r="L251" s="212"/>
      <c r="M251" s="212"/>
      <c r="N251" s="1216"/>
      <c r="Q251" s="319"/>
      <c r="R251" s="212"/>
      <c r="S251" s="820"/>
      <c r="T251" s="152"/>
      <c r="V251" s="564"/>
      <c r="W251" s="565"/>
      <c r="X251" s="565"/>
      <c r="Y251" s="565"/>
      <c r="Z251" s="567"/>
      <c r="AA251" s="590"/>
      <c r="AC251" s="2084"/>
      <c r="AD251" s="1130"/>
    </row>
    <row r="252" spans="2:30" s="114" customFormat="1" ht="13.2" outlineLevel="1">
      <c r="B252" s="143" t="s">
        <v>3282</v>
      </c>
      <c r="C252" s="144"/>
      <c r="D252" s="212">
        <f>N252</f>
        <v>0</v>
      </c>
      <c r="E252" s="212"/>
      <c r="F252" s="117"/>
      <c r="G252" s="224"/>
      <c r="H252" s="1211" t="str">
        <f>VLOOKUP(B252,'FE Intrants'!F:U,5,FALSE)</f>
        <v>kgCO2e/unité</v>
      </c>
      <c r="I252" s="212">
        <f>VLOOKUP($B252&amp;"; "&amp;$H252&amp;", "&amp;$I$214,'FE Intrants'!$G:$U,9,FALSE)*$F252</f>
        <v>0</v>
      </c>
      <c r="J252" s="212">
        <f>IF(ISNA(VLOOKUP($B252&amp;"; "&amp;$H252&amp;", "&amp;$J$214,'FE Intrants'!$G:$U,9,FALSE)),0,VLOOKUP($B252&amp;"; "&amp;$H252&amp;", "&amp;$J$214,'FE Intrants'!$G:$U,9,FALSE)*$F252)</f>
        <v>0</v>
      </c>
      <c r="K252" s="212">
        <f>IF(ISNA(VLOOKUP($B252&amp;"; "&amp;$H252&amp;", "&amp;$K$214,'FE Intrants'!$G:$U,9,FALSE)),0,VLOOKUP($B252&amp;"; "&amp;$H252&amp;", "&amp;$K$214,'FE Intrants'!$G:$U,9,FALSE)*$F252)</f>
        <v>0</v>
      </c>
      <c r="L252" s="212">
        <f>IF(ISNA(VLOOKUP($B252&amp;"; "&amp;$H252&amp;", "&amp;$L$214,'FE Intrants'!$G:$U,9,FALSE)),0,VLOOKUP($B252&amp;"; "&amp;$H252&amp;", "&amp;$L$214,'FE Intrants'!$G:$U,9,FALSE)*$F252)</f>
        <v>0</v>
      </c>
      <c r="M252" s="212">
        <f>IF(ISNA(VLOOKUP($B252&amp;"; "&amp;$H252&amp;", "&amp;$M$214,'FE Intrants'!$G:$U,9,FALSE)),0,VLOOKUP($B252&amp;"; "&amp;$H252&amp;", "&amp;$M$214,'FE Intrants'!$G:$U,9,FALSE)*$F252)</f>
        <v>0</v>
      </c>
      <c r="N252" s="1216">
        <f t="shared" si="30"/>
        <v>0</v>
      </c>
      <c r="Q252" s="319">
        <f t="shared" si="29"/>
        <v>0</v>
      </c>
      <c r="R252" s="1016"/>
      <c r="S252" s="820"/>
      <c r="T252" s="152">
        <f t="shared" si="31"/>
        <v>0</v>
      </c>
      <c r="V252" s="564">
        <f>IFERROR(F252*SUM((VLOOKUP(B252&amp;"; "&amp;H252&amp;", "&amp;I$214,'FE Intrants'!$G:$U,10,FALSE)),
VLOOKUP(B252&amp;"; "&amp;H252&amp;", "&amp;J$214,'FE Intrants'!$G:$U,10,FALSE),
VLOOKUP(B252&amp;"; "&amp;H252&amp;", "&amp;K$214,'FE Intrants'!$G:$U,10,FALSE),
VLOOKUP(B252&amp;"; "&amp;H252&amp;", "&amp;L$214,'FE Intrants'!$G:$U,10,FALSE),
VLOOKUP(B252&amp;"; "&amp;H252&amp;", "&amp;M$214,'FE Intrants'!$G:$U,10,FALSE)),
F252*VLOOKUP(B252&amp;"; "&amp;H252&amp;", "&amp;I$214,'FE Intrants'!$G:$U,10,FALSE))</f>
        <v>0</v>
      </c>
      <c r="W252" s="565">
        <f>IFERROR(F252*SUM((VLOOKUP(B252&amp;"; "&amp;H252&amp;", "&amp;I$214,'FE Intrants'!$G:$U,11,FALSE)+VLOOKUP(B252&amp;"; "&amp;H252&amp;", "&amp;I$214,'FE Intrants'!$G:$U,12,FALSE)),
(VLOOKUP(B252&amp;"; "&amp;H252&amp;", "&amp;J$214,'FE Intrants'!$G:$U,11,FALSE)+VLOOKUP(B252&amp;"; "&amp;H252&amp;", "&amp;J$214,'FE Intrants'!$G:$U,12,FALSE)),
(VLOOKUP(B252&amp;"; "&amp;H252&amp;", "&amp;K$214,'FE Intrants'!$G:$U,11,FALSE)+VLOOKUP(B252&amp;"; "&amp;H252&amp;", "&amp;K$214,'FE Intrants'!$G:$U,12,FALSE)),
(VLOOKUP(B252&amp;"; "&amp;H252&amp;", "&amp;L$214,'FE Intrants'!$G:$U,11,FALSE)+VLOOKUP(B252&amp;"; "&amp;H252&amp;", "&amp;L$214,'FE Intrants'!$G:$U,12,FALSE)),
(VLOOKUP(B252&amp;"; "&amp;H252&amp;", "&amp;M$214,'FE Intrants'!$G:$U,11,FALSE)+VLOOKUP(B252&amp;"; "&amp;H252&amp;", "&amp;M$214,'FE Intrants'!$G:$U,12,FALSE))),
F252*VLOOKUP(B252&amp;"; "&amp;H252&amp;", "&amp;I$214,'FE Intrants'!$G:$U,11,FALSE)+VLOOKUP(B252&amp;"; "&amp;H252&amp;", "&amp;I$214,'FE Intrants'!$G:$U,12,FALSE))</f>
        <v>0</v>
      </c>
      <c r="X252" s="565">
        <f>IFERROR(F252*SUM((VLOOKUP(B252&amp;"; "&amp;H252&amp;", "&amp;I$214,'FE Intrants'!$G:$U,13,FALSE)),
VLOOKUP(B252&amp;"; "&amp;H252&amp;", "&amp;J$214,'FE Intrants'!$G:$U,13,FALSE),
VLOOKUP(B252&amp;"; "&amp;H252&amp;", "&amp;K$214,'FE Intrants'!$G:$U,13,FALSE),
VLOOKUP(B252&amp;"; "&amp;H252&amp;", "&amp;L$214,'FE Intrants'!$G:$U,13,FALSE),
VLOOKUP(B252&amp;"; "&amp;H252&amp;", "&amp;M$214,'FE Intrants'!$G:$U,13,FALSE)),
F252*VLOOKUP(B252&amp;"; "&amp;H252&amp;", "&amp;I$214,'FE Intrants'!$G:$U,13,FALSE))</f>
        <v>0</v>
      </c>
      <c r="Y252" s="565">
        <f>IFERROR(F252*SUM((VLOOKUP(B252&amp;"; "&amp;H252&amp;", "&amp;I$214,'FE Intrants'!$G:$U,14,FALSE)),
VLOOKUP(B252&amp;"; "&amp;H252&amp;", "&amp;J$214,'FE Intrants'!$G:$U,14,FALSE),
VLOOKUP(B252&amp;"; "&amp;H252&amp;", "&amp;K$214,'FE Intrants'!$G:$U,14,FALSE),
VLOOKUP(B252&amp;"; "&amp;H252&amp;", "&amp;L$214,'FE Intrants'!$G:$U,14,FALSE),
VLOOKUP(B252&amp;"; "&amp;H252&amp;", "&amp;M$214,'FE Intrants'!$G:$U,14,FALSE)),
F252*VLOOKUP(B252&amp;"; "&amp;H252&amp;", "&amp;I$214,'FE Intrants'!$G:$U,14,FALSE))</f>
        <v>0</v>
      </c>
      <c r="Z252" s="567">
        <f t="shared" si="23"/>
        <v>0</v>
      </c>
      <c r="AA252" s="590">
        <f>IFERROR(F252*SUM((VLOOKUP(B252&amp;"; "&amp;H252&amp;", "&amp;I$214,'FE Intrants'!$G:$U,15,FALSE)),
VLOOKUP(B252&amp;"; "&amp;H252&amp;", "&amp;J$214,'FE Intrants'!$G:$U,15,FALSE),
VLOOKUP(B252&amp;"; "&amp;H252&amp;", "&amp;K$214,'FE Intrants'!$G:$U,15,FALSE),
VLOOKUP(B252&amp;"; "&amp;H252&amp;", "&amp;L$214,'FE Intrants'!$G:$U,15,FALSE),
VLOOKUP(B252&amp;"; "&amp;H252&amp;", "&amp;M$214,'FE Intrants'!$G:$U,15,FALSE)),
F252*VLOOKUP(B252&amp;"; "&amp;H252&amp;", "&amp;I$214,'FE Intrants'!$G:$U,15,FALSE))</f>
        <v>0</v>
      </c>
      <c r="AC252" s="2084">
        <f>IF($R252&lt;&gt;"votre valeur :",IF(ISNA(VLOOKUP($R252,Utilitaires!$N$566:$O$571,2,FALSE)),,VLOOKUP($R252,Utilitaires!$N$566:$O$571,2,FALSE)),$S252)</f>
        <v>0</v>
      </c>
      <c r="AD252" s="1130">
        <f>SQRT(SUMSQ(AC252,VLOOKUP($B252&amp;"; "&amp;$H252&amp;", "&amp;$I$214,'FE Intrants'!G:U,7,FALSE)))</f>
        <v>0.15</v>
      </c>
    </row>
    <row r="253" spans="2:30" s="114" customFormat="1" ht="13.2" outlineLevel="1">
      <c r="B253" s="143" t="s">
        <v>3283</v>
      </c>
      <c r="C253" s="144"/>
      <c r="D253" s="212">
        <f>N253</f>
        <v>0</v>
      </c>
      <c r="E253" s="212"/>
      <c r="F253" s="120"/>
      <c r="G253" s="224"/>
      <c r="H253" s="1212" t="str">
        <f>VLOOKUP(B253,'FE Intrants'!F:U,5,FALSE)</f>
        <v>kgCO2e/unité</v>
      </c>
      <c r="I253" s="212">
        <f>VLOOKUP($B253&amp;"; "&amp;$H253&amp;", "&amp;$I$214,'FE Intrants'!$G:$U,9,FALSE)*$F253</f>
        <v>0</v>
      </c>
      <c r="J253" s="212">
        <f>IF(ISNA(VLOOKUP($B253&amp;"; "&amp;$H253&amp;", "&amp;$J$214,'FE Intrants'!$G:$U,9,FALSE)),0,VLOOKUP($B253&amp;"; "&amp;$H253&amp;", "&amp;$J$214,'FE Intrants'!$G:$U,9,FALSE)*$F253)</f>
        <v>0</v>
      </c>
      <c r="K253" s="212">
        <f>IF(ISNA(VLOOKUP($B253&amp;"; "&amp;$H253&amp;", "&amp;$K$214,'FE Intrants'!$G:$U,9,FALSE)),0,VLOOKUP($B253&amp;"; "&amp;$H253&amp;", "&amp;$K$214,'FE Intrants'!$G:$U,9,FALSE)*$F253)</f>
        <v>0</v>
      </c>
      <c r="L253" s="212">
        <f>IF(ISNA(VLOOKUP($B253&amp;"; "&amp;$H253&amp;", "&amp;$L$214,'FE Intrants'!$G:$U,9,FALSE)),0,VLOOKUP($B253&amp;"; "&amp;$H253&amp;", "&amp;$L$214,'FE Intrants'!$G:$U,9,FALSE)*$F253)</f>
        <v>0</v>
      </c>
      <c r="M253" s="212">
        <f>IF(ISNA(VLOOKUP($B253&amp;"; "&amp;$H253&amp;", "&amp;$M$214,'FE Intrants'!$G:$U,9,FALSE)),0,VLOOKUP($B253&amp;"; "&amp;$H253&amp;", "&amp;$M$214,'FE Intrants'!$G:$U,9,FALSE)*$F253)</f>
        <v>0</v>
      </c>
      <c r="N253" s="1216">
        <f t="shared" si="30"/>
        <v>0</v>
      </c>
      <c r="Q253" s="319">
        <f t="shared" si="29"/>
        <v>0</v>
      </c>
      <c r="R253" s="1016"/>
      <c r="S253" s="820"/>
      <c r="T253" s="152">
        <f t="shared" si="31"/>
        <v>0</v>
      </c>
      <c r="V253" s="564">
        <f>IFERROR(F253*SUM((VLOOKUP(B253&amp;"; "&amp;H253&amp;", "&amp;I$214,'FE Intrants'!$G:$U,10,FALSE)),
VLOOKUP(B253&amp;"; "&amp;H253&amp;", "&amp;J$214,'FE Intrants'!$G:$U,10,FALSE),
VLOOKUP(B253&amp;"; "&amp;H253&amp;", "&amp;K$214,'FE Intrants'!$G:$U,10,FALSE),
VLOOKUP(B253&amp;"; "&amp;H253&amp;", "&amp;L$214,'FE Intrants'!$G:$U,10,FALSE),
VLOOKUP(B253&amp;"; "&amp;H253&amp;", "&amp;M$214,'FE Intrants'!$G:$U,10,FALSE)),
F253*VLOOKUP(B253&amp;"; "&amp;H253&amp;", "&amp;I$214,'FE Intrants'!$G:$U,10,FALSE))</f>
        <v>0</v>
      </c>
      <c r="W253" s="565">
        <f>IFERROR(F253*SUM((VLOOKUP(B253&amp;"; "&amp;H253&amp;", "&amp;I$214,'FE Intrants'!$G:$U,11,FALSE)+VLOOKUP(B253&amp;"; "&amp;H253&amp;", "&amp;I$214,'FE Intrants'!$G:$U,12,FALSE)),
(VLOOKUP(B253&amp;"; "&amp;H253&amp;", "&amp;J$214,'FE Intrants'!$G:$U,11,FALSE)+VLOOKUP(B253&amp;"; "&amp;H253&amp;", "&amp;J$214,'FE Intrants'!$G:$U,12,FALSE)),
(VLOOKUP(B253&amp;"; "&amp;H253&amp;", "&amp;K$214,'FE Intrants'!$G:$U,11,FALSE)+VLOOKUP(B253&amp;"; "&amp;H253&amp;", "&amp;K$214,'FE Intrants'!$G:$U,12,FALSE)),
(VLOOKUP(B253&amp;"; "&amp;H253&amp;", "&amp;L$214,'FE Intrants'!$G:$U,11,FALSE)+VLOOKUP(B253&amp;"; "&amp;H253&amp;", "&amp;L$214,'FE Intrants'!$G:$U,12,FALSE)),
(VLOOKUP(B253&amp;"; "&amp;H253&amp;", "&amp;M$214,'FE Intrants'!$G:$U,11,FALSE)+VLOOKUP(B253&amp;"; "&amp;H253&amp;", "&amp;M$214,'FE Intrants'!$G:$U,12,FALSE))),
F253*VLOOKUP(B253&amp;"; "&amp;H253&amp;", "&amp;I$214,'FE Intrants'!$G:$U,11,FALSE)+VLOOKUP(B253&amp;"; "&amp;H253&amp;", "&amp;I$214,'FE Intrants'!$G:$U,12,FALSE))</f>
        <v>0</v>
      </c>
      <c r="X253" s="565">
        <f>IFERROR(F253*SUM((VLOOKUP(B253&amp;"; "&amp;H253&amp;", "&amp;I$214,'FE Intrants'!$G:$U,13,FALSE)),
VLOOKUP(B253&amp;"; "&amp;H253&amp;", "&amp;J$214,'FE Intrants'!$G:$U,13,FALSE),
VLOOKUP(B253&amp;"; "&amp;H253&amp;", "&amp;K$214,'FE Intrants'!$G:$U,13,FALSE),
VLOOKUP(B253&amp;"; "&amp;H253&amp;", "&amp;L$214,'FE Intrants'!$G:$U,13,FALSE),
VLOOKUP(B253&amp;"; "&amp;H253&amp;", "&amp;M$214,'FE Intrants'!$G:$U,13,FALSE)),
F253*VLOOKUP(B253&amp;"; "&amp;H253&amp;", "&amp;I$214,'FE Intrants'!$G:$U,13,FALSE))</f>
        <v>0</v>
      </c>
      <c r="Y253" s="565">
        <f>IFERROR(F253*SUM((VLOOKUP(B253&amp;"; "&amp;H253&amp;", "&amp;I$214,'FE Intrants'!$G:$U,14,FALSE)),
VLOOKUP(B253&amp;"; "&amp;H253&amp;", "&amp;J$214,'FE Intrants'!$G:$U,14,FALSE),
VLOOKUP(B253&amp;"; "&amp;H253&amp;", "&amp;K$214,'FE Intrants'!$G:$U,14,FALSE),
VLOOKUP(B253&amp;"; "&amp;H253&amp;", "&amp;L$214,'FE Intrants'!$G:$U,14,FALSE),
VLOOKUP(B253&amp;"; "&amp;H253&amp;", "&amp;M$214,'FE Intrants'!$G:$U,14,FALSE)),
F253*VLOOKUP(B253&amp;"; "&amp;H253&amp;", "&amp;I$214,'FE Intrants'!$G:$U,14,FALSE))</f>
        <v>0</v>
      </c>
      <c r="Z253" s="567">
        <f t="shared" si="23"/>
        <v>0</v>
      </c>
      <c r="AA253" s="590">
        <f>IFERROR(F253*SUM((VLOOKUP(B253&amp;"; "&amp;H253&amp;", "&amp;I$214,'FE Intrants'!$G:$U,15,FALSE)),
VLOOKUP(B253&amp;"; "&amp;H253&amp;", "&amp;J$214,'FE Intrants'!$G:$U,15,FALSE),
VLOOKUP(B253&amp;"; "&amp;H253&amp;", "&amp;K$214,'FE Intrants'!$G:$U,15,FALSE),
VLOOKUP(B253&amp;"; "&amp;H253&amp;", "&amp;L$214,'FE Intrants'!$G:$U,15,FALSE),
VLOOKUP(B253&amp;"; "&amp;H253&amp;", "&amp;M$214,'FE Intrants'!$G:$U,15,FALSE)),
F253*VLOOKUP(B253&amp;"; "&amp;H253&amp;", "&amp;I$214,'FE Intrants'!$G:$U,15,FALSE))</f>
        <v>0</v>
      </c>
      <c r="AC253" s="2084">
        <f>IF($R253&lt;&gt;"votre valeur :",IF(ISNA(VLOOKUP($R253,Utilitaires!$N$566:$O$571,2,FALSE)),,VLOOKUP($R253,Utilitaires!$N$566:$O$571,2,FALSE)),$S253)</f>
        <v>0</v>
      </c>
      <c r="AD253" s="1130">
        <f>SQRT(SUMSQ(AC253,VLOOKUP($B253&amp;"; "&amp;$H253&amp;", "&amp;$I$214,'FE Intrants'!G:U,7,FALSE)))</f>
        <v>0.6</v>
      </c>
    </row>
    <row r="254" spans="2:30" s="114" customFormat="1" ht="13.2" outlineLevel="1">
      <c r="B254" s="143" t="s">
        <v>3284</v>
      </c>
      <c r="C254" s="144"/>
      <c r="D254" s="212">
        <f>N254</f>
        <v>0</v>
      </c>
      <c r="E254" s="212"/>
      <c r="F254" s="123"/>
      <c r="G254" s="224"/>
      <c r="H254" s="1213" t="str">
        <f>VLOOKUP(B254,'FE Intrants'!F:U,5,FALSE)</f>
        <v>kgCO2e/unité</v>
      </c>
      <c r="I254" s="212">
        <f>VLOOKUP($B254&amp;"; "&amp;$H254&amp;", "&amp;$I$214,'FE Intrants'!$G:$U,9,FALSE)*$F254</f>
        <v>0</v>
      </c>
      <c r="J254" s="212">
        <f>IF(ISNA(VLOOKUP($B254&amp;"; "&amp;$H254&amp;", "&amp;$J$214,'FE Intrants'!$G:$U,9,FALSE)),0,VLOOKUP($B254&amp;"; "&amp;$H254&amp;", "&amp;$J$214,'FE Intrants'!$G:$U,9,FALSE)*$F254)</f>
        <v>0</v>
      </c>
      <c r="K254" s="212">
        <f>IF(ISNA(VLOOKUP($B254&amp;"; "&amp;$H254&amp;", "&amp;$K$214,'FE Intrants'!$G:$U,9,FALSE)),0,VLOOKUP($B254&amp;"; "&amp;$H254&amp;", "&amp;$K$214,'FE Intrants'!$G:$U,9,FALSE)*$F254)</f>
        <v>0</v>
      </c>
      <c r="L254" s="212">
        <f>IF(ISNA(VLOOKUP($B254&amp;"; "&amp;$H254&amp;", "&amp;$L$214,'FE Intrants'!$G:$U,9,FALSE)),0,VLOOKUP($B254&amp;"; "&amp;$H254&amp;", "&amp;$L$214,'FE Intrants'!$G:$U,9,FALSE)*$F254)</f>
        <v>0</v>
      </c>
      <c r="M254" s="212">
        <f>IF(ISNA(VLOOKUP($B254&amp;"; "&amp;$H254&amp;", "&amp;$M$214,'FE Intrants'!$G:$U,9,FALSE)),0,VLOOKUP($B254&amp;"; "&amp;$H254&amp;", "&amp;$M$214,'FE Intrants'!$G:$U,9,FALSE)*$F254)</f>
        <v>0</v>
      </c>
      <c r="N254" s="1216">
        <f t="shared" si="30"/>
        <v>0</v>
      </c>
      <c r="Q254" s="319">
        <f t="shared" si="29"/>
        <v>0</v>
      </c>
      <c r="R254" s="1016"/>
      <c r="S254" s="820"/>
      <c r="T254" s="152">
        <f t="shared" si="31"/>
        <v>0</v>
      </c>
      <c r="V254" s="564">
        <f>IFERROR(F254*SUM((VLOOKUP(B254&amp;"; "&amp;H254&amp;", "&amp;I$214,'FE Intrants'!$G:$U,10,FALSE)),
VLOOKUP(B254&amp;"; "&amp;H254&amp;", "&amp;J$214,'FE Intrants'!$G:$U,10,FALSE),
VLOOKUP(B254&amp;"; "&amp;H254&amp;", "&amp;K$214,'FE Intrants'!$G:$U,10,FALSE),
VLOOKUP(B254&amp;"; "&amp;H254&amp;", "&amp;L$214,'FE Intrants'!$G:$U,10,FALSE),
VLOOKUP(B254&amp;"; "&amp;H254&amp;", "&amp;M$214,'FE Intrants'!$G:$U,10,FALSE)),
F254*VLOOKUP(B254&amp;"; "&amp;H254&amp;", "&amp;I$214,'FE Intrants'!$G:$U,10,FALSE))</f>
        <v>0</v>
      </c>
      <c r="W254" s="565">
        <f>IFERROR(F254*SUM((VLOOKUP(B254&amp;"; "&amp;H254&amp;", "&amp;I$214,'FE Intrants'!$G:$U,11,FALSE)+VLOOKUP(B254&amp;"; "&amp;H254&amp;", "&amp;I$214,'FE Intrants'!$G:$U,12,FALSE)),
(VLOOKUP(B254&amp;"; "&amp;H254&amp;", "&amp;J$214,'FE Intrants'!$G:$U,11,FALSE)+VLOOKUP(B254&amp;"; "&amp;H254&amp;", "&amp;J$214,'FE Intrants'!$G:$U,12,FALSE)),
(VLOOKUP(B254&amp;"; "&amp;H254&amp;", "&amp;K$214,'FE Intrants'!$G:$U,11,FALSE)+VLOOKUP(B254&amp;"; "&amp;H254&amp;", "&amp;K$214,'FE Intrants'!$G:$U,12,FALSE)),
(VLOOKUP(B254&amp;"; "&amp;H254&amp;", "&amp;L$214,'FE Intrants'!$G:$U,11,FALSE)+VLOOKUP(B254&amp;"; "&amp;H254&amp;", "&amp;L$214,'FE Intrants'!$G:$U,12,FALSE)),
(VLOOKUP(B254&amp;"; "&amp;H254&amp;", "&amp;M$214,'FE Intrants'!$G:$U,11,FALSE)+VLOOKUP(B254&amp;"; "&amp;H254&amp;", "&amp;M$214,'FE Intrants'!$G:$U,12,FALSE))),
F254*VLOOKUP(B254&amp;"; "&amp;H254&amp;", "&amp;I$214,'FE Intrants'!$G:$U,11,FALSE)+VLOOKUP(B254&amp;"; "&amp;H254&amp;", "&amp;I$214,'FE Intrants'!$G:$U,12,FALSE))</f>
        <v>0</v>
      </c>
      <c r="X254" s="565">
        <f>IFERROR(F254*SUM((VLOOKUP(B254&amp;"; "&amp;H254&amp;", "&amp;I$214,'FE Intrants'!$G:$U,13,FALSE)),
VLOOKUP(B254&amp;"; "&amp;H254&amp;", "&amp;J$214,'FE Intrants'!$G:$U,13,FALSE),
VLOOKUP(B254&amp;"; "&amp;H254&amp;", "&amp;K$214,'FE Intrants'!$G:$U,13,FALSE),
VLOOKUP(B254&amp;"; "&amp;H254&amp;", "&amp;L$214,'FE Intrants'!$G:$U,13,FALSE),
VLOOKUP(B254&amp;"; "&amp;H254&amp;", "&amp;M$214,'FE Intrants'!$G:$U,13,FALSE)),
F254*VLOOKUP(B254&amp;"; "&amp;H254&amp;", "&amp;I$214,'FE Intrants'!$G:$U,13,FALSE))</f>
        <v>0</v>
      </c>
      <c r="Y254" s="565">
        <f>IFERROR(F254*SUM((VLOOKUP(B254&amp;"; "&amp;H254&amp;", "&amp;I$214,'FE Intrants'!$G:$U,14,FALSE)),
VLOOKUP(B254&amp;"; "&amp;H254&amp;", "&amp;J$214,'FE Intrants'!$G:$U,14,FALSE),
VLOOKUP(B254&amp;"; "&amp;H254&amp;", "&amp;K$214,'FE Intrants'!$G:$U,14,FALSE),
VLOOKUP(B254&amp;"; "&amp;H254&amp;", "&amp;L$214,'FE Intrants'!$G:$U,14,FALSE),
VLOOKUP(B254&amp;"; "&amp;H254&amp;", "&amp;M$214,'FE Intrants'!$G:$U,14,FALSE)),
F254*VLOOKUP(B254&amp;"; "&amp;H254&amp;", "&amp;I$214,'FE Intrants'!$G:$U,14,FALSE))</f>
        <v>0</v>
      </c>
      <c r="Z254" s="567">
        <f t="shared" si="23"/>
        <v>0</v>
      </c>
      <c r="AA254" s="590">
        <f>IFERROR(F254*SUM((VLOOKUP(B254&amp;"; "&amp;H254&amp;", "&amp;I$214,'FE Intrants'!$G:$U,15,FALSE)),
VLOOKUP(B254&amp;"; "&amp;H254&amp;", "&amp;J$214,'FE Intrants'!$G:$U,15,FALSE),
VLOOKUP(B254&amp;"; "&amp;H254&amp;", "&amp;K$214,'FE Intrants'!$G:$U,15,FALSE),
VLOOKUP(B254&amp;"; "&amp;H254&amp;", "&amp;L$214,'FE Intrants'!$G:$U,15,FALSE),
VLOOKUP(B254&amp;"; "&amp;H254&amp;", "&amp;M$214,'FE Intrants'!$G:$U,15,FALSE)),
F254*VLOOKUP(B254&amp;"; "&amp;H254&amp;", "&amp;I$214,'FE Intrants'!$G:$U,15,FALSE))</f>
        <v>0</v>
      </c>
      <c r="AC254" s="2084">
        <f>IF($R254&lt;&gt;"votre valeur :",IF(ISNA(VLOOKUP($R254,Utilitaires!$N$566:$O$571,2,FALSE)),,VLOOKUP($R254,Utilitaires!$N$566:$O$571,2,FALSE)),$S254)</f>
        <v>0</v>
      </c>
      <c r="AD254" s="1130">
        <f>SQRT(SUMSQ(AC254,VLOOKUP($B254&amp;"; "&amp;$H254&amp;", "&amp;$I$214,'FE Intrants'!G:U,7,FALSE)))</f>
        <v>0.7</v>
      </c>
    </row>
    <row r="255" spans="2:30" s="114" customFormat="1" ht="13.2" outlineLevel="1">
      <c r="B255" s="143"/>
      <c r="C255" s="144"/>
      <c r="D255" s="212"/>
      <c r="E255" s="212"/>
      <c r="F255" s="212"/>
      <c r="G255" s="224"/>
      <c r="H255" s="2067"/>
      <c r="I255" s="212"/>
      <c r="J255" s="212"/>
      <c r="K255" s="212"/>
      <c r="L255" s="212"/>
      <c r="M255" s="212"/>
      <c r="N255" s="1216"/>
      <c r="Q255" s="319"/>
      <c r="R255" s="212"/>
      <c r="S255" s="820"/>
      <c r="T255" s="152"/>
      <c r="V255" s="564"/>
      <c r="W255" s="565"/>
      <c r="X255" s="565"/>
      <c r="Y255" s="565"/>
      <c r="Z255" s="567"/>
      <c r="AA255" s="590"/>
      <c r="AC255" s="2084"/>
      <c r="AD255" s="1130"/>
    </row>
    <row r="256" spans="2:30" s="114" customFormat="1" ht="13.2" outlineLevel="1">
      <c r="B256" s="333" t="s">
        <v>3221</v>
      </c>
      <c r="C256" s="144"/>
      <c r="D256" s="212"/>
      <c r="E256" s="212"/>
      <c r="F256" s="212"/>
      <c r="G256" s="224"/>
      <c r="H256" s="2067"/>
      <c r="I256" s="212"/>
      <c r="J256" s="212"/>
      <c r="K256" s="212"/>
      <c r="L256" s="212"/>
      <c r="M256" s="212"/>
      <c r="N256" s="1216"/>
      <c r="Q256" s="319"/>
      <c r="R256" s="212"/>
      <c r="S256" s="820"/>
      <c r="T256" s="152"/>
      <c r="V256" s="564"/>
      <c r="W256" s="565"/>
      <c r="X256" s="565"/>
      <c r="Y256" s="565"/>
      <c r="Z256" s="567"/>
      <c r="AA256" s="590"/>
      <c r="AC256" s="2084"/>
      <c r="AD256" s="1130"/>
    </row>
    <row r="257" spans="2:30" s="114" customFormat="1" ht="13.2" outlineLevel="1">
      <c r="B257" s="143" t="s">
        <v>3285</v>
      </c>
      <c r="C257" s="144"/>
      <c r="D257" s="212">
        <f>N257</f>
        <v>0</v>
      </c>
      <c r="E257" s="212"/>
      <c r="F257" s="117"/>
      <c r="G257" s="224"/>
      <c r="H257" s="1211" t="str">
        <f>VLOOKUP(B257,'FE Intrants'!F:U,5,FALSE)</f>
        <v>kgCO2e/unité</v>
      </c>
      <c r="I257" s="212">
        <f>VLOOKUP($B257&amp;"; "&amp;$H257&amp;", "&amp;$I$214,'FE Intrants'!$G:$U,9,FALSE)*$F257</f>
        <v>0</v>
      </c>
      <c r="J257" s="212">
        <f>IF(ISNA(VLOOKUP($B257&amp;"; "&amp;$H257&amp;", "&amp;$J$214,'FE Intrants'!$G:$U,9,FALSE)),0,VLOOKUP($B257&amp;"; "&amp;$H257&amp;", "&amp;$J$214,'FE Intrants'!$G:$U,9,FALSE)*$F257)</f>
        <v>0</v>
      </c>
      <c r="K257" s="212">
        <f>IF(ISNA(VLOOKUP($B257&amp;"; "&amp;$H257&amp;", "&amp;$K$214,'FE Intrants'!$G:$U,9,FALSE)),0,VLOOKUP($B257&amp;"; "&amp;$H257&amp;", "&amp;$K$214,'FE Intrants'!$G:$U,9,FALSE)*$F257)</f>
        <v>0</v>
      </c>
      <c r="L257" s="212">
        <f>IF(ISNA(VLOOKUP($B257&amp;"; "&amp;$H257&amp;", "&amp;$L$214,'FE Intrants'!$G:$U,9,FALSE)),0,VLOOKUP($B257&amp;"; "&amp;$H257&amp;", "&amp;$L$214,'FE Intrants'!$G:$U,9,FALSE)*$F257)</f>
        <v>0</v>
      </c>
      <c r="M257" s="212">
        <f>IF(ISNA(VLOOKUP($B257&amp;"; "&amp;$H257&amp;", "&amp;$M$214,'FE Intrants'!$G:$U,9,FALSE)),0,VLOOKUP($B257&amp;"; "&amp;$H257&amp;", "&amp;$M$214,'FE Intrants'!$G:$U,9,FALSE)*$F257)</f>
        <v>0</v>
      </c>
      <c r="N257" s="1216">
        <f t="shared" si="30"/>
        <v>0</v>
      </c>
      <c r="Q257" s="319">
        <f t="shared" si="29"/>
        <v>0</v>
      </c>
      <c r="R257" s="1016"/>
      <c r="S257" s="820"/>
      <c r="T257" s="152">
        <f t="shared" si="31"/>
        <v>0</v>
      </c>
      <c r="V257" s="564">
        <f>IFERROR(F257*SUM((VLOOKUP(B257&amp;"; "&amp;H257&amp;", "&amp;I$214,'FE Intrants'!$G:$U,10,FALSE)),
VLOOKUP(B257&amp;"; "&amp;H257&amp;", "&amp;J$214,'FE Intrants'!$G:$U,10,FALSE),
VLOOKUP(B257&amp;"; "&amp;H257&amp;", "&amp;K$214,'FE Intrants'!$G:$U,10,FALSE),
VLOOKUP(B257&amp;"; "&amp;H257&amp;", "&amp;L$214,'FE Intrants'!$G:$U,10,FALSE),
VLOOKUP(B257&amp;"; "&amp;H257&amp;", "&amp;M$214,'FE Intrants'!$G:$U,10,FALSE)),
F257*VLOOKUP(B257&amp;"; "&amp;H257&amp;", "&amp;I$214,'FE Intrants'!$G:$U,10,FALSE))</f>
        <v>0</v>
      </c>
      <c r="W257" s="565">
        <f>IFERROR(F257*SUM((VLOOKUP(B257&amp;"; "&amp;H257&amp;", "&amp;I$214,'FE Intrants'!$G:$U,11,FALSE)+VLOOKUP(B257&amp;"; "&amp;H257&amp;", "&amp;I$214,'FE Intrants'!$G:$U,12,FALSE)),
(VLOOKUP(B257&amp;"; "&amp;H257&amp;", "&amp;J$214,'FE Intrants'!$G:$U,11,FALSE)+VLOOKUP(B257&amp;"; "&amp;H257&amp;", "&amp;J$214,'FE Intrants'!$G:$U,12,FALSE)),
(VLOOKUP(B257&amp;"; "&amp;H257&amp;", "&amp;K$214,'FE Intrants'!$G:$U,11,FALSE)+VLOOKUP(B257&amp;"; "&amp;H257&amp;", "&amp;K$214,'FE Intrants'!$G:$U,12,FALSE)),
(VLOOKUP(B257&amp;"; "&amp;H257&amp;", "&amp;L$214,'FE Intrants'!$G:$U,11,FALSE)+VLOOKUP(B257&amp;"; "&amp;H257&amp;", "&amp;L$214,'FE Intrants'!$G:$U,12,FALSE)),
(VLOOKUP(B257&amp;"; "&amp;H257&amp;", "&amp;M$214,'FE Intrants'!$G:$U,11,FALSE)+VLOOKUP(B257&amp;"; "&amp;H257&amp;", "&amp;M$214,'FE Intrants'!$G:$U,12,FALSE))),
F257*VLOOKUP(B257&amp;"; "&amp;H257&amp;", "&amp;I$214,'FE Intrants'!$G:$U,11,FALSE)+VLOOKUP(B257&amp;"; "&amp;H257&amp;", "&amp;I$214,'FE Intrants'!$G:$U,12,FALSE))</f>
        <v>0</v>
      </c>
      <c r="X257" s="565">
        <f>IFERROR(F257*SUM((VLOOKUP(B257&amp;"; "&amp;H257&amp;", "&amp;I$214,'FE Intrants'!$G:$U,13,FALSE)),
VLOOKUP(B257&amp;"; "&amp;H257&amp;", "&amp;J$214,'FE Intrants'!$G:$U,13,FALSE),
VLOOKUP(B257&amp;"; "&amp;H257&amp;", "&amp;K$214,'FE Intrants'!$G:$U,13,FALSE),
VLOOKUP(B257&amp;"; "&amp;H257&amp;", "&amp;L$214,'FE Intrants'!$G:$U,13,FALSE),
VLOOKUP(B257&amp;"; "&amp;H257&amp;", "&amp;M$214,'FE Intrants'!$G:$U,13,FALSE)),
F257*VLOOKUP(B257&amp;"; "&amp;H257&amp;", "&amp;I$214,'FE Intrants'!$G:$U,13,FALSE))</f>
        <v>0</v>
      </c>
      <c r="Y257" s="565">
        <f>IFERROR(F257*SUM((VLOOKUP(B257&amp;"; "&amp;H257&amp;", "&amp;I$214,'FE Intrants'!$G:$U,14,FALSE)),
VLOOKUP(B257&amp;"; "&amp;H257&amp;", "&amp;J$214,'FE Intrants'!$G:$U,14,FALSE),
VLOOKUP(B257&amp;"; "&amp;H257&amp;", "&amp;K$214,'FE Intrants'!$G:$U,14,FALSE),
VLOOKUP(B257&amp;"; "&amp;H257&amp;", "&amp;L$214,'FE Intrants'!$G:$U,14,FALSE),
VLOOKUP(B257&amp;"; "&amp;H257&amp;", "&amp;M$214,'FE Intrants'!$G:$U,14,FALSE)),
F257*VLOOKUP(B257&amp;"; "&amp;H257&amp;", "&amp;I$214,'FE Intrants'!$G:$U,14,FALSE))</f>
        <v>0</v>
      </c>
      <c r="Z257" s="567">
        <f t="shared" si="23"/>
        <v>0</v>
      </c>
      <c r="AA257" s="590">
        <f>IFERROR(F257*SUM((VLOOKUP(B257&amp;"; "&amp;H257&amp;", "&amp;I$214,'FE Intrants'!$G:$U,15,FALSE)),
VLOOKUP(B257&amp;"; "&amp;H257&amp;", "&amp;J$214,'FE Intrants'!$G:$U,15,FALSE),
VLOOKUP(B257&amp;"; "&amp;H257&amp;", "&amp;K$214,'FE Intrants'!$G:$U,15,FALSE),
VLOOKUP(B257&amp;"; "&amp;H257&amp;", "&amp;L$214,'FE Intrants'!$G:$U,15,FALSE),
VLOOKUP(B257&amp;"; "&amp;H257&amp;", "&amp;M$214,'FE Intrants'!$G:$U,15,FALSE)),
F257*VLOOKUP(B257&amp;"; "&amp;H257&amp;", "&amp;I$214,'FE Intrants'!$G:$U,15,FALSE))</f>
        <v>0</v>
      </c>
      <c r="AC257" s="2084">
        <f>IF($R257&lt;&gt;"votre valeur :",IF(ISNA(VLOOKUP($R257,Utilitaires!$N$566:$O$571,2,FALSE)),,VLOOKUP($R257,Utilitaires!$N$566:$O$571,2,FALSE)),$S257)</f>
        <v>0</v>
      </c>
      <c r="AD257" s="1130">
        <f>SQRT(SUMSQ(AC257,VLOOKUP($B257&amp;"; "&amp;$H257&amp;", "&amp;$I$214,'FE Intrants'!G:U,7,FALSE)))</f>
        <v>0.3</v>
      </c>
    </row>
    <row r="258" spans="2:30" s="114" customFormat="1" ht="13.2" outlineLevel="1">
      <c r="B258" s="143" t="s">
        <v>3286</v>
      </c>
      <c r="C258" s="144"/>
      <c r="D258" s="212">
        <f>N258</f>
        <v>0</v>
      </c>
      <c r="E258" s="212"/>
      <c r="F258" s="120"/>
      <c r="G258" s="224"/>
      <c r="H258" s="1212" t="str">
        <f>VLOOKUP(B258,'FE Intrants'!F:U,5,FALSE)</f>
        <v>kgCO2e/unité</v>
      </c>
      <c r="I258" s="212">
        <f>VLOOKUP($B258&amp;"; "&amp;$H258&amp;", "&amp;$I$214,'FE Intrants'!$G:$U,9,FALSE)*$F258</f>
        <v>0</v>
      </c>
      <c r="J258" s="212">
        <f>IF(ISNA(VLOOKUP($B258&amp;"; "&amp;$H258&amp;", "&amp;$J$214,'FE Intrants'!$G:$U,9,FALSE)),0,VLOOKUP($B258&amp;"; "&amp;$H258&amp;", "&amp;$J$214,'FE Intrants'!$G:$U,9,FALSE)*$F258)</f>
        <v>0</v>
      </c>
      <c r="K258" s="212">
        <f>IF(ISNA(VLOOKUP($B258&amp;"; "&amp;$H258&amp;", "&amp;$K$214,'FE Intrants'!$G:$U,9,FALSE)),0,VLOOKUP($B258&amp;"; "&amp;$H258&amp;", "&amp;$K$214,'FE Intrants'!$G:$U,9,FALSE)*$F258)</f>
        <v>0</v>
      </c>
      <c r="L258" s="212">
        <f>IF(ISNA(VLOOKUP($B258&amp;"; "&amp;$H258&amp;", "&amp;$L$214,'FE Intrants'!$G:$U,9,FALSE)),0,VLOOKUP($B258&amp;"; "&amp;$H258&amp;", "&amp;$L$214,'FE Intrants'!$G:$U,9,FALSE)*$F258)</f>
        <v>0</v>
      </c>
      <c r="M258" s="212">
        <f>IF(ISNA(VLOOKUP($B258&amp;"; "&amp;$H258&amp;", "&amp;$M$214,'FE Intrants'!$G:$U,9,FALSE)),0,VLOOKUP($B258&amp;"; "&amp;$H258&amp;", "&amp;$M$214,'FE Intrants'!$G:$U,9,FALSE)*$F258)</f>
        <v>0</v>
      </c>
      <c r="N258" s="1216">
        <f t="shared" si="30"/>
        <v>0</v>
      </c>
      <c r="Q258" s="319">
        <f t="shared" si="29"/>
        <v>0</v>
      </c>
      <c r="R258" s="1016"/>
      <c r="S258" s="820"/>
      <c r="T258" s="152">
        <f t="shared" si="31"/>
        <v>0</v>
      </c>
      <c r="V258" s="564">
        <f>IFERROR(F258*SUM((VLOOKUP(B258&amp;"; "&amp;H258&amp;", "&amp;I$214,'FE Intrants'!$G:$U,10,FALSE)),
VLOOKUP(B258&amp;"; "&amp;H258&amp;", "&amp;J$214,'FE Intrants'!$G:$U,10,FALSE),
VLOOKUP(B258&amp;"; "&amp;H258&amp;", "&amp;K$214,'FE Intrants'!$G:$U,10,FALSE),
VLOOKUP(B258&amp;"; "&amp;H258&amp;", "&amp;L$214,'FE Intrants'!$G:$U,10,FALSE),
VLOOKUP(B258&amp;"; "&amp;H258&amp;", "&amp;M$214,'FE Intrants'!$G:$U,10,FALSE)),
F258*VLOOKUP(B258&amp;"; "&amp;H258&amp;", "&amp;I$214,'FE Intrants'!$G:$U,10,FALSE))</f>
        <v>0</v>
      </c>
      <c r="W258" s="565">
        <f>IFERROR(F258*SUM((VLOOKUP(B258&amp;"; "&amp;H258&amp;", "&amp;I$214,'FE Intrants'!$G:$U,11,FALSE)+VLOOKUP(B258&amp;"; "&amp;H258&amp;", "&amp;I$214,'FE Intrants'!$G:$U,12,FALSE)),
(VLOOKUP(B258&amp;"; "&amp;H258&amp;", "&amp;J$214,'FE Intrants'!$G:$U,11,FALSE)+VLOOKUP(B258&amp;"; "&amp;H258&amp;", "&amp;J$214,'FE Intrants'!$G:$U,12,FALSE)),
(VLOOKUP(B258&amp;"; "&amp;H258&amp;", "&amp;K$214,'FE Intrants'!$G:$U,11,FALSE)+VLOOKUP(B258&amp;"; "&amp;H258&amp;", "&amp;K$214,'FE Intrants'!$G:$U,12,FALSE)),
(VLOOKUP(B258&amp;"; "&amp;H258&amp;", "&amp;L$214,'FE Intrants'!$G:$U,11,FALSE)+VLOOKUP(B258&amp;"; "&amp;H258&amp;", "&amp;L$214,'FE Intrants'!$G:$U,12,FALSE)),
(VLOOKUP(B258&amp;"; "&amp;H258&amp;", "&amp;M$214,'FE Intrants'!$G:$U,11,FALSE)+VLOOKUP(B258&amp;"; "&amp;H258&amp;", "&amp;M$214,'FE Intrants'!$G:$U,12,FALSE))),
F258*VLOOKUP(B258&amp;"; "&amp;H258&amp;", "&amp;I$214,'FE Intrants'!$G:$U,11,FALSE)+VLOOKUP(B258&amp;"; "&amp;H258&amp;", "&amp;I$214,'FE Intrants'!$G:$U,12,FALSE))</f>
        <v>0</v>
      </c>
      <c r="X258" s="565">
        <f>IFERROR(F258*SUM((VLOOKUP(B258&amp;"; "&amp;H258&amp;", "&amp;I$214,'FE Intrants'!$G:$U,13,FALSE)),
VLOOKUP(B258&amp;"; "&amp;H258&amp;", "&amp;J$214,'FE Intrants'!$G:$U,13,FALSE),
VLOOKUP(B258&amp;"; "&amp;H258&amp;", "&amp;K$214,'FE Intrants'!$G:$U,13,FALSE),
VLOOKUP(B258&amp;"; "&amp;H258&amp;", "&amp;L$214,'FE Intrants'!$G:$U,13,FALSE),
VLOOKUP(B258&amp;"; "&amp;H258&amp;", "&amp;M$214,'FE Intrants'!$G:$U,13,FALSE)),
F258*VLOOKUP(B258&amp;"; "&amp;H258&amp;", "&amp;I$214,'FE Intrants'!$G:$U,13,FALSE))</f>
        <v>0</v>
      </c>
      <c r="Y258" s="565">
        <f>IFERROR(F258*SUM((VLOOKUP(B258&amp;"; "&amp;H258&amp;", "&amp;I$214,'FE Intrants'!$G:$U,14,FALSE)),
VLOOKUP(B258&amp;"; "&amp;H258&amp;", "&amp;J$214,'FE Intrants'!$G:$U,14,FALSE),
VLOOKUP(B258&amp;"; "&amp;H258&amp;", "&amp;K$214,'FE Intrants'!$G:$U,14,FALSE),
VLOOKUP(B258&amp;"; "&amp;H258&amp;", "&amp;L$214,'FE Intrants'!$G:$U,14,FALSE),
VLOOKUP(B258&amp;"; "&amp;H258&amp;", "&amp;M$214,'FE Intrants'!$G:$U,14,FALSE)),
F258*VLOOKUP(B258&amp;"; "&amp;H258&amp;", "&amp;I$214,'FE Intrants'!$G:$U,14,FALSE))</f>
        <v>0</v>
      </c>
      <c r="Z258" s="567">
        <f t="shared" si="23"/>
        <v>0</v>
      </c>
      <c r="AA258" s="590">
        <f>IFERROR(F258*SUM((VLOOKUP(B258&amp;"; "&amp;H258&amp;", "&amp;I$214,'FE Intrants'!$G:$U,15,FALSE)),
VLOOKUP(B258&amp;"; "&amp;H258&amp;", "&amp;J$214,'FE Intrants'!$G:$U,15,FALSE),
VLOOKUP(B258&amp;"; "&amp;H258&amp;", "&amp;K$214,'FE Intrants'!$G:$U,15,FALSE),
VLOOKUP(B258&amp;"; "&amp;H258&amp;", "&amp;L$214,'FE Intrants'!$G:$U,15,FALSE),
VLOOKUP(B258&amp;"; "&amp;H258&amp;", "&amp;M$214,'FE Intrants'!$G:$U,15,FALSE)),
F258*VLOOKUP(B258&amp;"; "&amp;H258&amp;", "&amp;I$214,'FE Intrants'!$G:$U,15,FALSE))</f>
        <v>0</v>
      </c>
      <c r="AC258" s="2084">
        <f>IF($R258&lt;&gt;"votre valeur :",IF(ISNA(VLOOKUP($R258,Utilitaires!$N$566:$O$571,2,FALSE)),,VLOOKUP($R258,Utilitaires!$N$566:$O$571,2,FALSE)),$S258)</f>
        <v>0</v>
      </c>
      <c r="AD258" s="1130">
        <f>SQRT(SUMSQ(AC258,VLOOKUP($B258&amp;"; "&amp;$H258&amp;", "&amp;$I$214,'FE Intrants'!G:U,7,FALSE)))</f>
        <v>0.4</v>
      </c>
    </row>
    <row r="259" spans="2:30" s="114" customFormat="1" ht="13.2" outlineLevel="1">
      <c r="B259" s="143" t="s">
        <v>3288</v>
      </c>
      <c r="C259" s="144"/>
      <c r="D259" s="212">
        <f>N259</f>
        <v>0</v>
      </c>
      <c r="E259" s="212"/>
      <c r="F259" s="123"/>
      <c r="G259" s="224"/>
      <c r="H259" s="1213" t="str">
        <f>VLOOKUP(B259,'FE Intrants'!F:U,5,FALSE)</f>
        <v>kgCO2e/unité</v>
      </c>
      <c r="I259" s="212">
        <f>VLOOKUP($B259&amp;"; "&amp;$H259&amp;", "&amp;$I$214,'FE Intrants'!$G:$U,9,FALSE)*$F259</f>
        <v>0</v>
      </c>
      <c r="J259" s="212">
        <f>IF(ISNA(VLOOKUP($B259&amp;"; "&amp;$H259&amp;", "&amp;$J$214,'FE Intrants'!$G:$U,9,FALSE)),0,VLOOKUP($B259&amp;"; "&amp;$H259&amp;", "&amp;$J$214,'FE Intrants'!$G:$U,9,FALSE)*$F259)</f>
        <v>0</v>
      </c>
      <c r="K259" s="212">
        <f>IF(ISNA(VLOOKUP($B259&amp;"; "&amp;$H259&amp;", "&amp;$K$214,'FE Intrants'!$G:$U,9,FALSE)),0,VLOOKUP($B259&amp;"; "&amp;$H259&amp;", "&amp;$K$214,'FE Intrants'!$G:$U,9,FALSE)*$F259)</f>
        <v>0</v>
      </c>
      <c r="L259" s="212">
        <f>IF(ISNA(VLOOKUP($B259&amp;"; "&amp;$H259&amp;", "&amp;$L$214,'FE Intrants'!$G:$U,9,FALSE)),0,VLOOKUP($B259&amp;"; "&amp;$H259&amp;", "&amp;$L$214,'FE Intrants'!$G:$U,9,FALSE)*$F259)</f>
        <v>0</v>
      </c>
      <c r="M259" s="212">
        <f>IF(ISNA(VLOOKUP($B259&amp;"; "&amp;$H259&amp;", "&amp;$M$214,'FE Intrants'!$G:$U,9,FALSE)),0,VLOOKUP($B259&amp;"; "&amp;$H259&amp;", "&amp;$M$214,'FE Intrants'!$G:$U,9,FALSE)*$F259)</f>
        <v>0</v>
      </c>
      <c r="N259" s="1216">
        <f t="shared" si="30"/>
        <v>0</v>
      </c>
      <c r="Q259" s="319">
        <f t="shared" si="29"/>
        <v>0</v>
      </c>
      <c r="R259" s="1016"/>
      <c r="S259" s="820"/>
      <c r="T259" s="152">
        <f t="shared" si="31"/>
        <v>0</v>
      </c>
      <c r="V259" s="564">
        <f>IFERROR(F259*SUM((VLOOKUP(B259&amp;"; "&amp;H259&amp;", "&amp;I$214,'FE Intrants'!$G:$U,10,FALSE)),
VLOOKUP(B259&amp;"; "&amp;H259&amp;", "&amp;J$214,'FE Intrants'!$G:$U,10,FALSE),
VLOOKUP(B259&amp;"; "&amp;H259&amp;", "&amp;K$214,'FE Intrants'!$G:$U,10,FALSE),
VLOOKUP(B259&amp;"; "&amp;H259&amp;", "&amp;L$214,'FE Intrants'!$G:$U,10,FALSE),
VLOOKUP(B259&amp;"; "&amp;H259&amp;", "&amp;M$214,'FE Intrants'!$G:$U,10,FALSE)),
F259*VLOOKUP(B259&amp;"; "&amp;H259&amp;", "&amp;I$214,'FE Intrants'!$G:$U,10,FALSE))</f>
        <v>0</v>
      </c>
      <c r="W259" s="565">
        <f>IFERROR(F259*SUM((VLOOKUP(B259&amp;"; "&amp;H259&amp;", "&amp;I$214,'FE Intrants'!$G:$U,11,FALSE)+VLOOKUP(B259&amp;"; "&amp;H259&amp;", "&amp;I$214,'FE Intrants'!$G:$U,12,FALSE)),
(VLOOKUP(B259&amp;"; "&amp;H259&amp;", "&amp;J$214,'FE Intrants'!$G:$U,11,FALSE)+VLOOKUP(B259&amp;"; "&amp;H259&amp;", "&amp;J$214,'FE Intrants'!$G:$U,12,FALSE)),
(VLOOKUP(B259&amp;"; "&amp;H259&amp;", "&amp;K$214,'FE Intrants'!$G:$U,11,FALSE)+VLOOKUP(B259&amp;"; "&amp;H259&amp;", "&amp;K$214,'FE Intrants'!$G:$U,12,FALSE)),
(VLOOKUP(B259&amp;"; "&amp;H259&amp;", "&amp;L$214,'FE Intrants'!$G:$U,11,FALSE)+VLOOKUP(B259&amp;"; "&amp;H259&amp;", "&amp;L$214,'FE Intrants'!$G:$U,12,FALSE)),
(VLOOKUP(B259&amp;"; "&amp;H259&amp;", "&amp;M$214,'FE Intrants'!$G:$U,11,FALSE)+VLOOKUP(B259&amp;"; "&amp;H259&amp;", "&amp;M$214,'FE Intrants'!$G:$U,12,FALSE))),
F259*VLOOKUP(B259&amp;"; "&amp;H259&amp;", "&amp;I$214,'FE Intrants'!$G:$U,11,FALSE)+VLOOKUP(B259&amp;"; "&amp;H259&amp;", "&amp;I$214,'FE Intrants'!$G:$U,12,FALSE))</f>
        <v>0</v>
      </c>
      <c r="X259" s="565">
        <f>IFERROR(F259*SUM((VLOOKUP(B259&amp;"; "&amp;H259&amp;", "&amp;I$214,'FE Intrants'!$G:$U,13,FALSE)),
VLOOKUP(B259&amp;"; "&amp;H259&amp;", "&amp;J$214,'FE Intrants'!$G:$U,13,FALSE),
VLOOKUP(B259&amp;"; "&amp;H259&amp;", "&amp;K$214,'FE Intrants'!$G:$U,13,FALSE),
VLOOKUP(B259&amp;"; "&amp;H259&amp;", "&amp;L$214,'FE Intrants'!$G:$U,13,FALSE),
VLOOKUP(B259&amp;"; "&amp;H259&amp;", "&amp;M$214,'FE Intrants'!$G:$U,13,FALSE)),
F259*VLOOKUP(B259&amp;"; "&amp;H259&amp;", "&amp;I$214,'FE Intrants'!$G:$U,13,FALSE))</f>
        <v>0</v>
      </c>
      <c r="Y259" s="565">
        <f>IFERROR(F259*SUM((VLOOKUP(B259&amp;"; "&amp;H259&amp;", "&amp;I$214,'FE Intrants'!$G:$U,14,FALSE)),
VLOOKUP(B259&amp;"; "&amp;H259&amp;", "&amp;J$214,'FE Intrants'!$G:$U,14,FALSE),
VLOOKUP(B259&amp;"; "&amp;H259&amp;", "&amp;K$214,'FE Intrants'!$G:$U,14,FALSE),
VLOOKUP(B259&amp;"; "&amp;H259&amp;", "&amp;L$214,'FE Intrants'!$G:$U,14,FALSE),
VLOOKUP(B259&amp;"; "&amp;H259&amp;", "&amp;M$214,'FE Intrants'!$G:$U,14,FALSE)),
F259*VLOOKUP(B259&amp;"; "&amp;H259&amp;", "&amp;I$214,'FE Intrants'!$G:$U,14,FALSE))</f>
        <v>0</v>
      </c>
      <c r="Z259" s="567">
        <f t="shared" si="23"/>
        <v>0</v>
      </c>
      <c r="AA259" s="590">
        <f>IFERROR(F259*SUM((VLOOKUP(B259&amp;"; "&amp;H259&amp;", "&amp;I$214,'FE Intrants'!$G:$U,15,FALSE)),
VLOOKUP(B259&amp;"; "&amp;H259&amp;", "&amp;J$214,'FE Intrants'!$G:$U,15,FALSE),
VLOOKUP(B259&amp;"; "&amp;H259&amp;", "&amp;K$214,'FE Intrants'!$G:$U,15,FALSE),
VLOOKUP(B259&amp;"; "&amp;H259&amp;", "&amp;L$214,'FE Intrants'!$G:$U,15,FALSE),
VLOOKUP(B259&amp;"; "&amp;H259&amp;", "&amp;M$214,'FE Intrants'!$G:$U,15,FALSE)),
F259*VLOOKUP(B259&amp;"; "&amp;H259&amp;", "&amp;I$214,'FE Intrants'!$G:$U,15,FALSE))</f>
        <v>0</v>
      </c>
      <c r="AC259" s="2084">
        <f>IF($R259&lt;&gt;"votre valeur :",IF(ISNA(VLOOKUP($R259,Utilitaires!$N$566:$O$571,2,FALSE)),,VLOOKUP($R259,Utilitaires!$N$566:$O$571,2,FALSE)),$S259)</f>
        <v>0</v>
      </c>
      <c r="AD259" s="1130">
        <f>SQRT(SUMSQ(AC259,VLOOKUP($B259&amp;"; "&amp;$H259&amp;", "&amp;$I$214,'FE Intrants'!G:U,7,FALSE)))</f>
        <v>0.6</v>
      </c>
    </row>
    <row r="260" spans="2:30" s="114" customFormat="1" ht="13.2" outlineLevel="1">
      <c r="B260" s="143"/>
      <c r="C260" s="144"/>
      <c r="D260" s="212"/>
      <c r="E260" s="213"/>
      <c r="F260" s="144"/>
      <c r="G260" s="144"/>
      <c r="H260" s="144"/>
      <c r="I260" s="213"/>
      <c r="J260" s="213"/>
      <c r="K260" s="213"/>
      <c r="L260" s="213"/>
      <c r="M260" s="213"/>
      <c r="N260" s="168"/>
      <c r="Q260" s="226"/>
      <c r="R260" s="144"/>
      <c r="S260" s="820"/>
      <c r="T260" s="152"/>
      <c r="V260" s="564"/>
      <c r="W260" s="565"/>
      <c r="X260" s="565"/>
      <c r="Y260" s="565"/>
      <c r="Z260" s="567"/>
      <c r="AA260" s="590"/>
      <c r="AC260" s="2211"/>
      <c r="AD260" s="1130"/>
    </row>
    <row r="261" spans="2:30" s="114" customFormat="1" ht="13.2" outlineLevel="1">
      <c r="B261" s="333" t="s">
        <v>3996</v>
      </c>
      <c r="C261" s="144"/>
      <c r="D261" s="212"/>
      <c r="E261" s="213"/>
      <c r="F261" s="144"/>
      <c r="G261" s="144"/>
      <c r="H261" s="144"/>
      <c r="I261" s="213"/>
      <c r="J261" s="213"/>
      <c r="K261" s="213"/>
      <c r="L261" s="213"/>
      <c r="M261" s="213"/>
      <c r="N261" s="168"/>
      <c r="Q261" s="226"/>
      <c r="R261" s="144"/>
      <c r="S261" s="820"/>
      <c r="T261" s="152"/>
      <c r="V261" s="564"/>
      <c r="W261" s="565"/>
      <c r="X261" s="565"/>
      <c r="Y261" s="565"/>
      <c r="Z261" s="567"/>
      <c r="AA261" s="590"/>
      <c r="AC261" s="2211"/>
      <c r="AD261" s="1130"/>
    </row>
    <row r="262" spans="2:30" s="114" customFormat="1" ht="13.2" outlineLevel="1">
      <c r="B262" s="143" t="s">
        <v>4004</v>
      </c>
      <c r="C262" s="144"/>
      <c r="D262" s="212">
        <f t="shared" ref="D262:D280" si="32">N262</f>
        <v>0</v>
      </c>
      <c r="E262" s="213"/>
      <c r="F262" s="117"/>
      <c r="G262" s="222">
        <f>VLOOKUP($B262&amp;"; "&amp;H262,'FE Intrants'!$G:$U,9,FALSE)</f>
        <v>2200</v>
      </c>
      <c r="H262" s="1211" t="str">
        <f>VLOOKUP(B262,'FE Intrants'!F:U,5,FALSE)</f>
        <v>kgCO2e/tonne</v>
      </c>
      <c r="I262" s="213"/>
      <c r="J262" s="213"/>
      <c r="K262" s="213"/>
      <c r="L262" s="213"/>
      <c r="M262" s="213"/>
      <c r="N262" s="168">
        <f>F262*G262</f>
        <v>0</v>
      </c>
      <c r="Q262" s="319">
        <f t="shared" ref="Q262:Q273" si="33">IF(T262=0,T262,T262/N262)</f>
        <v>0</v>
      </c>
      <c r="R262" s="1016"/>
      <c r="S262" s="820"/>
      <c r="T262" s="152">
        <f>F262*G262*AD262</f>
        <v>0</v>
      </c>
      <c r="V262" s="564">
        <f>IF($F262*VLOOKUP($B262&amp;"; "&amp;$H262,'FE Intrants'!$G:$U,10,FALSE)=0,N262,$F262*VLOOKUP($B262&amp;"; "&amp;$H262,'FE Intrants'!$G:$U,10,FALSE))</f>
        <v>0</v>
      </c>
      <c r="W262" s="565">
        <f>$F262*(VLOOKUP($B262&amp;"; "&amp;$H262,'FE Intrants'!$G:$U,11,FALSE)+VLOOKUP($B262&amp;"; "&amp;$H262,'FE Intrants'!$G:$U,12,FALSE))</f>
        <v>0</v>
      </c>
      <c r="X262" s="565">
        <f>$F262*VLOOKUP($B262&amp;"; "&amp;$H262,'FE Intrants'!$G:$U,13,FALSE)</f>
        <v>0</v>
      </c>
      <c r="Y262" s="565">
        <f>$F262*VLOOKUP($B262&amp;"; "&amp;$H262,'FE Intrants'!$G:$U,14,FALSE)</f>
        <v>0</v>
      </c>
      <c r="Z262" s="567">
        <f t="shared" ref="Z262:Z266" si="34">SUM(V262:Y262)</f>
        <v>0</v>
      </c>
      <c r="AA262" s="590">
        <f>$F262*VLOOKUP($B262&amp;"; "&amp;$H262,'FE Intrants'!$G:$U,15,FALSE)</f>
        <v>0</v>
      </c>
      <c r="AC262" s="2209">
        <f>IF($R262&lt;&gt;"votre valeur :",IF(ISNA(VLOOKUP($R262,Utilitaires!$N$566:$O$571,2,FALSE)),,VLOOKUP($R262,Utilitaires!$N$566:$O$571,2,FALSE)),$S262)</f>
        <v>0</v>
      </c>
      <c r="AD262" s="1130">
        <f>SQRT(SUMSQ(AC262,VLOOKUP(B262&amp;"; "&amp;$H262,'FE Intrants'!G:U,7,FALSE)))</f>
        <v>0.5</v>
      </c>
    </row>
    <row r="263" spans="2:30" s="114" customFormat="1" ht="13.2" outlineLevel="1">
      <c r="B263" s="143" t="s">
        <v>4003</v>
      </c>
      <c r="C263" s="144"/>
      <c r="D263" s="212">
        <f t="shared" si="32"/>
        <v>0</v>
      </c>
      <c r="E263" s="213"/>
      <c r="F263" s="120"/>
      <c r="G263" s="222">
        <f>VLOOKUP($B263&amp;"; "&amp;H263,'FE Intrants'!$G:$U,9,FALSE)</f>
        <v>700</v>
      </c>
      <c r="H263" s="1212" t="str">
        <f>VLOOKUP(B263,'FE Intrants'!F:U,5,FALSE)</f>
        <v>kgCO2e/tonne</v>
      </c>
      <c r="I263" s="213"/>
      <c r="J263" s="213"/>
      <c r="K263" s="213"/>
      <c r="L263" s="213"/>
      <c r="M263" s="213"/>
      <c r="N263" s="168">
        <f t="shared" ref="N263:N266" si="35">F263*G263</f>
        <v>0</v>
      </c>
      <c r="Q263" s="319">
        <f t="shared" si="33"/>
        <v>0</v>
      </c>
      <c r="R263" s="1016"/>
      <c r="S263" s="820"/>
      <c r="T263" s="152">
        <f t="shared" ref="T263:T289" si="36">F263*G263*AD263</f>
        <v>0</v>
      </c>
      <c r="V263" s="564">
        <f>IF($F263*VLOOKUP($B263&amp;"; "&amp;$H263,'FE Intrants'!$G:$U,10,FALSE)=0,N263,$F263*VLOOKUP($B263&amp;"; "&amp;$H263,'FE Intrants'!$G:$U,10,FALSE))</f>
        <v>0</v>
      </c>
      <c r="W263" s="565">
        <f>$F263*(VLOOKUP($B263&amp;"; "&amp;$H263,'FE Intrants'!$G:$U,11,FALSE)+VLOOKUP($B263&amp;"; "&amp;$H263,'FE Intrants'!$G:$U,12,FALSE))</f>
        <v>0</v>
      </c>
      <c r="X263" s="565">
        <f>$F263*VLOOKUP($B263&amp;"; "&amp;$H263,'FE Intrants'!$G:$U,13,FALSE)</f>
        <v>0</v>
      </c>
      <c r="Y263" s="565">
        <f>$F263*VLOOKUP($B263&amp;"; "&amp;$H263,'FE Intrants'!$G:$U,14,FALSE)</f>
        <v>0</v>
      </c>
      <c r="Z263" s="567">
        <f t="shared" si="34"/>
        <v>0</v>
      </c>
      <c r="AA263" s="590">
        <f>$F263*VLOOKUP($B263&amp;"; "&amp;$H263,'FE Intrants'!$G:$U,15,FALSE)</f>
        <v>0</v>
      </c>
      <c r="AC263" s="2209">
        <f>IF($R263&lt;&gt;"votre valeur :",IF(ISNA(VLOOKUP($R263,Utilitaires!$N$566:$O$571,2,FALSE)),,VLOOKUP($R263,Utilitaires!$N$566:$O$571,2,FALSE)),$S263)</f>
        <v>0</v>
      </c>
      <c r="AD263" s="1130">
        <f>SQRT(SUMSQ(AC263,VLOOKUP(B263&amp;"; "&amp;$H263,'FE Intrants'!G:U,7,FALSE)))</f>
        <v>1</v>
      </c>
    </row>
    <row r="264" spans="2:30" s="114" customFormat="1" ht="13.2" outlineLevel="1">
      <c r="B264" s="143" t="s">
        <v>4005</v>
      </c>
      <c r="C264" s="144"/>
      <c r="D264" s="212">
        <f t="shared" si="32"/>
        <v>0</v>
      </c>
      <c r="E264" s="213"/>
      <c r="F264" s="120"/>
      <c r="G264" s="222">
        <f>VLOOKUP($B264&amp;"; "&amp;H264,'FE Intrants'!$G:$U,9,FALSE)</f>
        <v>4400</v>
      </c>
      <c r="H264" s="1212" t="str">
        <f>VLOOKUP(B264,'FE Intrants'!F:U,5,FALSE)</f>
        <v>kgCO2e/tonne</v>
      </c>
      <c r="I264" s="213"/>
      <c r="J264" s="213"/>
      <c r="K264" s="213"/>
      <c r="L264" s="213"/>
      <c r="M264" s="213"/>
      <c r="N264" s="168">
        <f t="shared" si="35"/>
        <v>0</v>
      </c>
      <c r="Q264" s="319">
        <f t="shared" si="33"/>
        <v>0</v>
      </c>
      <c r="R264" s="1016"/>
      <c r="S264" s="820"/>
      <c r="T264" s="152">
        <f t="shared" si="36"/>
        <v>0</v>
      </c>
      <c r="V264" s="564">
        <f>IF($F264*VLOOKUP($B264&amp;"; "&amp;$H264,'FE Intrants'!$G:$U,10,FALSE)=0,N264,$F264*VLOOKUP($B264&amp;"; "&amp;$H264,'FE Intrants'!$G:$U,10,FALSE))</f>
        <v>0</v>
      </c>
      <c r="W264" s="565">
        <f>$F264*(VLOOKUP($B264&amp;"; "&amp;$H264,'FE Intrants'!$G:$U,11,FALSE)+VLOOKUP($B264&amp;"; "&amp;$H264,'FE Intrants'!$G:$U,12,FALSE))</f>
        <v>0</v>
      </c>
      <c r="X264" s="565">
        <f>$F264*VLOOKUP($B264&amp;"; "&amp;$H264,'FE Intrants'!$G:$U,13,FALSE)</f>
        <v>0</v>
      </c>
      <c r="Y264" s="565">
        <f>$F264*VLOOKUP($B264&amp;"; "&amp;$H264,'FE Intrants'!$G:$U,14,FALSE)</f>
        <v>0</v>
      </c>
      <c r="Z264" s="567">
        <f t="shared" si="34"/>
        <v>0</v>
      </c>
      <c r="AA264" s="590">
        <f>$F264*VLOOKUP($B264&amp;"; "&amp;$H264,'FE Intrants'!$G:$U,15,FALSE)</f>
        <v>0</v>
      </c>
      <c r="AC264" s="2209">
        <f>IF($R264&lt;&gt;"votre valeur :",IF(ISNA(VLOOKUP($R264,Utilitaires!$N$566:$O$571,2,FALSE)),,VLOOKUP($R264,Utilitaires!$N$566:$O$571,2,FALSE)),$S264)</f>
        <v>0</v>
      </c>
      <c r="AD264" s="1130">
        <f>SQRT(SUMSQ(AC264,VLOOKUP(B264&amp;"; "&amp;$H264,'FE Intrants'!G:U,7,FALSE)))</f>
        <v>0.25</v>
      </c>
    </row>
    <row r="265" spans="2:30" s="114" customFormat="1" ht="13.2" outlineLevel="1">
      <c r="B265" s="143" t="s">
        <v>4006</v>
      </c>
      <c r="C265" s="144"/>
      <c r="D265" s="212">
        <f t="shared" si="32"/>
        <v>0</v>
      </c>
      <c r="E265" s="213"/>
      <c r="F265" s="120"/>
      <c r="G265" s="222">
        <f>VLOOKUP($B265&amp;"; "&amp;H265,'FE Intrants'!$G:$U,9,FALSE)</f>
        <v>5250</v>
      </c>
      <c r="H265" s="1212" t="str">
        <f>VLOOKUP(B265,'FE Intrants'!F:U,5,FALSE)</f>
        <v>kgCO2e/tonne</v>
      </c>
      <c r="I265" s="213"/>
      <c r="J265" s="213"/>
      <c r="K265" s="213"/>
      <c r="L265" s="213"/>
      <c r="M265" s="213"/>
      <c r="N265" s="168">
        <f t="shared" si="35"/>
        <v>0</v>
      </c>
      <c r="Q265" s="319">
        <f t="shared" si="33"/>
        <v>0</v>
      </c>
      <c r="R265" s="1016"/>
      <c r="S265" s="820"/>
      <c r="T265" s="152">
        <f t="shared" si="36"/>
        <v>0</v>
      </c>
      <c r="V265" s="564">
        <f>IF($F265*VLOOKUP($B265&amp;"; "&amp;$H265,'FE Intrants'!$G:$U,10,FALSE)=0,N265,$F265*VLOOKUP($B265&amp;"; "&amp;$H265,'FE Intrants'!$G:$U,10,FALSE))</f>
        <v>0</v>
      </c>
      <c r="W265" s="565">
        <f>$F265*(VLOOKUP($B265&amp;"; "&amp;$H265,'FE Intrants'!$G:$U,11,FALSE)+VLOOKUP($B265&amp;"; "&amp;$H265,'FE Intrants'!$G:$U,12,FALSE))</f>
        <v>0</v>
      </c>
      <c r="X265" s="565">
        <f>$F265*VLOOKUP($B265&amp;"; "&amp;$H265,'FE Intrants'!$G:$U,13,FALSE)</f>
        <v>0</v>
      </c>
      <c r="Y265" s="565">
        <f>$F265*VLOOKUP($B265&amp;"; "&amp;$H265,'FE Intrants'!$G:$U,14,FALSE)</f>
        <v>0</v>
      </c>
      <c r="Z265" s="567">
        <f t="shared" si="34"/>
        <v>0</v>
      </c>
      <c r="AA265" s="590">
        <f>$F265*VLOOKUP($B265&amp;"; "&amp;$H265,'FE Intrants'!$G:$U,15,FALSE)</f>
        <v>0</v>
      </c>
      <c r="AC265" s="2209">
        <f>IF($R265&lt;&gt;"votre valeur :",IF(ISNA(VLOOKUP($R265,Utilitaires!$N$566:$O$571,2,FALSE)),,VLOOKUP($R265,Utilitaires!$N$566:$O$571,2,FALSE)),$S265)</f>
        <v>0</v>
      </c>
      <c r="AD265" s="1130">
        <f>SQRT(SUMSQ(AC265,VLOOKUP(B265&amp;"; "&amp;$H265,'FE Intrants'!G:U,7,FALSE)))</f>
        <v>1</v>
      </c>
    </row>
    <row r="266" spans="2:30" s="114" customFormat="1" ht="13.2" outlineLevel="1">
      <c r="B266" s="143" t="s">
        <v>4007</v>
      </c>
      <c r="C266" s="144"/>
      <c r="D266" s="212">
        <f t="shared" si="32"/>
        <v>0</v>
      </c>
      <c r="E266" s="213"/>
      <c r="F266" s="123"/>
      <c r="G266" s="222">
        <f>VLOOKUP($B266&amp;"; "&amp;H266,'FE Intrants'!$G:$U,9,FALSE)</f>
        <v>3670</v>
      </c>
      <c r="H266" s="1213" t="str">
        <f>VLOOKUP(B266,'FE Intrants'!F:U,5,FALSE)</f>
        <v>kgCO2e/tonne</v>
      </c>
      <c r="I266" s="213"/>
      <c r="J266" s="213"/>
      <c r="K266" s="213"/>
      <c r="L266" s="213"/>
      <c r="M266" s="213"/>
      <c r="N266" s="168">
        <f t="shared" si="35"/>
        <v>0</v>
      </c>
      <c r="Q266" s="319">
        <f t="shared" si="33"/>
        <v>0</v>
      </c>
      <c r="R266" s="1016"/>
      <c r="S266" s="820"/>
      <c r="T266" s="152">
        <f t="shared" si="36"/>
        <v>0</v>
      </c>
      <c r="V266" s="564">
        <f>IF($F266*VLOOKUP($B266&amp;"; "&amp;$H266,'FE Intrants'!$G:$U,10,FALSE)=0,N266,$F266*VLOOKUP($B266&amp;"; "&amp;$H266,'FE Intrants'!$G:$U,10,FALSE))</f>
        <v>0</v>
      </c>
      <c r="W266" s="565">
        <f>$F266*(VLOOKUP($B266&amp;"; "&amp;$H266,'FE Intrants'!$G:$U,11,FALSE)+VLOOKUP($B266&amp;"; "&amp;$H266,'FE Intrants'!$G:$U,12,FALSE))</f>
        <v>0</v>
      </c>
      <c r="X266" s="565">
        <f>$F266*VLOOKUP($B266&amp;"; "&amp;$H266,'FE Intrants'!$G:$U,13,FALSE)</f>
        <v>0</v>
      </c>
      <c r="Y266" s="565">
        <f>$F266*VLOOKUP($B266&amp;"; "&amp;$H266,'FE Intrants'!$G:$U,14,FALSE)</f>
        <v>0</v>
      </c>
      <c r="Z266" s="567">
        <f t="shared" si="34"/>
        <v>0</v>
      </c>
      <c r="AA266" s="590">
        <f>$F266*VLOOKUP($B266&amp;"; "&amp;$H266,'FE Intrants'!$G:$U,15,FALSE)</f>
        <v>0</v>
      </c>
      <c r="AC266" s="2209">
        <f>IF($R266&lt;&gt;"votre valeur :",IF(ISNA(VLOOKUP($R266,Utilitaires!$N$566:$O$571,2,FALSE)),,VLOOKUP($R266,Utilitaires!$N$566:$O$571,2,FALSE)),$S266)</f>
        <v>0</v>
      </c>
      <c r="AD266" s="1130">
        <f>SQRT(SUMSQ(AC266,VLOOKUP(B266&amp;"; "&amp;$H266,'FE Intrants'!G:U,7,FALSE)))</f>
        <v>0.4</v>
      </c>
    </row>
    <row r="267" spans="2:30" s="114" customFormat="1" ht="13.2" outlineLevel="1">
      <c r="B267" s="143"/>
      <c r="C267" s="144"/>
      <c r="D267" s="212"/>
      <c r="E267" s="213"/>
      <c r="F267" s="144"/>
      <c r="G267" s="222"/>
      <c r="H267" s="144"/>
      <c r="I267" s="213"/>
      <c r="J267" s="213"/>
      <c r="K267" s="213"/>
      <c r="L267" s="213"/>
      <c r="M267" s="213"/>
      <c r="N267" s="168"/>
      <c r="Q267" s="319"/>
      <c r="R267" s="144"/>
      <c r="S267" s="820"/>
      <c r="T267" s="152"/>
      <c r="V267" s="564"/>
      <c r="W267" s="565"/>
      <c r="X267" s="565"/>
      <c r="Y267" s="565"/>
      <c r="Z267" s="567"/>
      <c r="AA267" s="590"/>
      <c r="AC267" s="2326"/>
      <c r="AD267" s="1130"/>
    </row>
    <row r="268" spans="2:30" s="114" customFormat="1" ht="13.2" outlineLevel="1">
      <c r="B268" s="143"/>
      <c r="C268" s="144"/>
      <c r="D268" s="212"/>
      <c r="E268" s="213"/>
      <c r="F268" s="144"/>
      <c r="G268" s="222"/>
      <c r="H268" s="144"/>
      <c r="I268" s="2768" t="s">
        <v>4105</v>
      </c>
      <c r="J268" s="2768"/>
      <c r="K268" s="2768"/>
      <c r="L268" s="2768"/>
      <c r="M268" s="2768"/>
      <c r="N268" s="168"/>
      <c r="Q268" s="319"/>
      <c r="R268" s="144"/>
      <c r="S268" s="820"/>
      <c r="T268" s="152"/>
      <c r="V268" s="564"/>
      <c r="W268" s="565"/>
      <c r="X268" s="565"/>
      <c r="Y268" s="565"/>
      <c r="Z268" s="567"/>
      <c r="AA268" s="590"/>
      <c r="AC268" s="2326"/>
      <c r="AD268" s="1130"/>
    </row>
    <row r="269" spans="2:30" s="114" customFormat="1" ht="13.2" outlineLevel="1">
      <c r="B269" s="332" t="s">
        <v>4163</v>
      </c>
      <c r="C269" s="144"/>
      <c r="D269" s="212"/>
      <c r="E269" s="213"/>
      <c r="F269" s="144"/>
      <c r="G269" s="222"/>
      <c r="H269" s="144"/>
      <c r="I269" s="213" t="s">
        <v>3135</v>
      </c>
      <c r="J269" s="213" t="s">
        <v>3136</v>
      </c>
      <c r="K269" s="213" t="s">
        <v>3141</v>
      </c>
      <c r="L269" s="213" t="s">
        <v>3137</v>
      </c>
      <c r="M269" s="213" t="s">
        <v>3138</v>
      </c>
      <c r="N269" s="168"/>
      <c r="Q269" s="319"/>
      <c r="R269" s="144"/>
      <c r="S269" s="820"/>
      <c r="T269" s="152"/>
      <c r="V269" s="564"/>
      <c r="W269" s="565"/>
      <c r="X269" s="565"/>
      <c r="Y269" s="565"/>
      <c r="Z269" s="567"/>
      <c r="AA269" s="590"/>
      <c r="AC269" s="2326"/>
      <c r="AD269" s="1130"/>
    </row>
    <row r="270" spans="2:30" s="114" customFormat="1" ht="13.2" outlineLevel="1">
      <c r="B270" s="143" t="s">
        <v>4121</v>
      </c>
      <c r="C270" s="144"/>
      <c r="D270" s="212">
        <f t="shared" si="32"/>
        <v>0</v>
      </c>
      <c r="E270" s="213"/>
      <c r="F270" s="117"/>
      <c r="G270" s="224"/>
      <c r="H270" s="1211" t="str">
        <f>VLOOKUP(B270,'FE Intrants'!F:U,5,FALSE)</f>
        <v>kgCO2e/unité</v>
      </c>
      <c r="I270" s="213">
        <f>VLOOKUP($B270&amp;"; "&amp;$H270&amp;", "&amp;$I$269,'FE Intrants'!$G:$U,9,FALSE)*$F270</f>
        <v>0</v>
      </c>
      <c r="J270" s="213">
        <f>IF(ISNA(VLOOKUP($B270&amp;"; "&amp;$H270&amp;", "&amp;$J$269,'FE Intrants'!$G:$U,9,FALSE)),0,VLOOKUP($B270&amp;"; "&amp;$H270&amp;", "&amp;$J$269,'FE Intrants'!$G:$U,9,FALSE)*$F270)</f>
        <v>0</v>
      </c>
      <c r="K270" s="213">
        <f>IF(ISNA(VLOOKUP($B270&amp;"; "&amp;$H270&amp;", "&amp;$K$269,'FE Intrants'!$G:$U,9,FALSE)),0,VLOOKUP($B270&amp;"; "&amp;$H270&amp;", "&amp;$K$269,'FE Intrants'!$G:$U,9,FALSE)*$F270)</f>
        <v>0</v>
      </c>
      <c r="L270" s="213">
        <f>IF(ISNA(VLOOKUP($B270&amp;"; "&amp;$H270&amp;", "&amp;$L$269,'FE Intrants'!$G:$U,9,FALSE)),0,VLOOKUP($B270&amp;"; "&amp;$H270&amp;", "&amp;$L$269,'FE Intrants'!$G:$U,9,FALSE)*$F270)</f>
        <v>0</v>
      </c>
      <c r="M270" s="213">
        <f>IF(ISNA(VLOOKUP($B270&amp;"; "&amp;$H270&amp;", "&amp;$M$269,'FE Intrants'!$G:$U,9,FALSE)),0,VLOOKUP($B270&amp;"; "&amp;$H270&amp;", "&amp;$M$269,'FE Intrants'!$G:$U,9,FALSE)*$F270)</f>
        <v>0</v>
      </c>
      <c r="N270" s="168">
        <f>SUM(I270:M270)</f>
        <v>0</v>
      </c>
      <c r="Q270" s="319">
        <f t="shared" si="33"/>
        <v>0</v>
      </c>
      <c r="R270" s="1016"/>
      <c r="S270" s="820"/>
      <c r="T270" s="152">
        <f>SUM(I270:M270)*AD270</f>
        <v>0</v>
      </c>
      <c r="V270" s="564">
        <f>IFERROR(F270*SUM((VLOOKUP(B270&amp;"; "&amp;H270&amp;", "&amp;I$269,'FE Intrants'!$G:$U,10,FALSE)),
VLOOKUP(B270&amp;"; "&amp;H270&amp;", "&amp;J$269,'FE Intrants'!$G:$U,10,FALSE),
VLOOKUP(B270&amp;"; "&amp;H270&amp;", "&amp;K$269,'FE Intrants'!$G:$U,10,FALSE),
VLOOKUP(B270&amp;"; "&amp;H270&amp;", "&amp;L$269,'FE Intrants'!$G:$U,10,FALSE),
VLOOKUP(B270&amp;"; "&amp;H270&amp;", "&amp;M$269,'FE Intrants'!$G:$U,10,FALSE)),
F270*VLOOKUP(B270&amp;"; "&amp;H270&amp;", "&amp;I$269,'FE Intrants'!$G:$U,10,FALSE))</f>
        <v>0</v>
      </c>
      <c r="W270" s="565">
        <f>IFERROR(F270*SUM((VLOOKUP(B270&amp;"; "&amp;H2181&amp;", "&amp;I$269,'FE Intrants'!$G:$U,11,FALSE)+VLOOKUP(B270&amp;"; "&amp;H270&amp;", "&amp;I$269,'FE Intrants'!$G:$U,12,FALSE)),
(VLOOKUP(B270&amp;"; "&amp;H270&amp;", "&amp;J$269,'FE Intrants'!$G:$U,11,FALSE)+VLOOKUP(B270&amp;"; "&amp;H270&amp;", "&amp;J$269,'FE Intrants'!$G:$U,12,FALSE)),
(VLOOKUP(B270&amp;"; "&amp;H270&amp;", "&amp;K$269,'FE Intrants'!$G:$U,11,FALSE)+VLOOKUP(B270&amp;"; "&amp;H270&amp;", "&amp;K$269,'FE Intrants'!$G:$U,12,FALSE)),
(VLOOKUP(B270&amp;"; "&amp;H270&amp;", "&amp;L$269,'FE Intrants'!$G:$U,11,FALSE)+VLOOKUP(B270&amp;"; "&amp;H270&amp;", "&amp;L$269,'FE Intrants'!$G:$U,12,FALSE)),
(VLOOKUP(B270&amp;"; "&amp;H270&amp;", "&amp;M$269,'FE Intrants'!$G:$U,11,FALSE)+VLOOKUP(B270&amp;"; "&amp;H270&amp;", "&amp;M$269,'FE Intrants'!$G:$U,12,FALSE))),
F229*VLOOKUP(B229&amp;"; "&amp;H229&amp;", "&amp;I$214,'FE Intrants'!$G:$U,11,FALSE)+VLOOKUP(B229&amp;"; "&amp;H229&amp;", "&amp;I$214,'FE Intrants'!$G:$U,12,FALSE))</f>
        <v>0</v>
      </c>
      <c r="X270" s="565">
        <f>IFERROR(F270*SUM((VLOOKUP(B270&amp;"; "&amp;H270&amp;", "&amp;I$269,'FE Intrants'!$G:$U,13,FALSE)),
VLOOKUP(B270&amp;"; "&amp;H270&amp;", "&amp;J$269,'FE Intrants'!$G:$U,13,FALSE),
VLOOKUP(B270&amp;"; "&amp;H270&amp;", "&amp;K$269,'FE Intrants'!$G:$U,13,FALSE),
VLOOKUP(B270&amp;"; "&amp;H270&amp;", "&amp;L$269,'FE Intrants'!$G:$U,13,FALSE),
VLOOKUP(B270&amp;"; "&amp;H270&amp;", "&amp;M$269,'FE Intrants'!$G:$U,13,FALSE)),
F270*VLOOKUP(B270&amp;"; "&amp;H270&amp;", "&amp;I$269,'FE Intrants'!$G:$U,13,FALSE))</f>
        <v>0</v>
      </c>
      <c r="Y270" s="565">
        <f>IFERROR(F270*SUM((VLOOKUP(B270&amp;"; "&amp;H270&amp;", "&amp;I$269,'FE Intrants'!$G:$U,14,FALSE)),
VLOOKUP(B270&amp;"; "&amp;H270&amp;", "&amp;J$269,'FE Intrants'!$G:$U,14,FALSE),
VLOOKUP(B270&amp;"; "&amp;H270&amp;", "&amp;K$269,'FE Intrants'!$G:$U,14,FALSE),
VLOOKUP(B270&amp;"; "&amp;H270&amp;", "&amp;L$269,'FE Intrants'!$G:$U,14,FALSE),
VLOOKUP(B270&amp;"; "&amp;H270&amp;", "&amp;M$269,'FE Intrants'!$G:$U,14,FALSE)),
F270*VLOOKUP(B270&amp;"; "&amp;H270&amp;", "&amp;I$269,'FE Intrants'!$G:$U,14,FALSE))</f>
        <v>0</v>
      </c>
      <c r="Z270" s="567">
        <f>SUM(V270:Y270)</f>
        <v>0</v>
      </c>
      <c r="AA270" s="590">
        <f>IFERROR(F270*SUM((VLOOKUP(B270&amp;"; "&amp;H270&amp;", "&amp;I$269,'FE Intrants'!$G:$U,15,FALSE)),
VLOOKUP(B270&amp;"; "&amp;H270&amp;", "&amp;J$269,'FE Intrants'!$G:$U,15,FALSE),
VLOOKUP(B270&amp;"; "&amp;H270&amp;", "&amp;K$269,'FE Intrants'!$G:$U,15,FALSE),
VLOOKUP(B270&amp;"; "&amp;H270&amp;", "&amp;L$269,'FE Intrants'!$G:$U,15,FALSE),
VLOOKUP(B270&amp;"; "&amp;H270&amp;", "&amp;M$269,'FE Intrants'!$G:$U,15,FALSE)),
F270*VLOOKUP(B270&amp;"; "&amp;H270&amp;", "&amp;I$269,'FE Intrants'!$G:$U,15,FALSE))</f>
        <v>0</v>
      </c>
      <c r="AC270" s="2326">
        <f>IF($R270&lt;&gt;"votre valeur :",IF(ISNA(VLOOKUP($R270,Utilitaires!$N$566:$O$571,2,FALSE)),,VLOOKUP($R270,Utilitaires!$N$566:$O$571,2,FALSE)),$S270)</f>
        <v>0</v>
      </c>
      <c r="AD270" s="1130">
        <f>SQRT(SUMSQ(AC270,VLOOKUP($B270&amp;"; "&amp;$H270&amp;", "&amp;$I$269,'FE Intrants'!G:U,7,FALSE)))</f>
        <v>0.5</v>
      </c>
    </row>
    <row r="271" spans="2:30" s="114" customFormat="1" ht="13.2" outlineLevel="1">
      <c r="B271" s="143" t="s">
        <v>4166</v>
      </c>
      <c r="C271" s="144"/>
      <c r="D271" s="212">
        <f t="shared" si="32"/>
        <v>0</v>
      </c>
      <c r="E271" s="213"/>
      <c r="F271" s="120"/>
      <c r="G271" s="224"/>
      <c r="H271" s="1212" t="str">
        <f>VLOOKUP(B271,'FE Intrants'!F:U,5,FALSE)</f>
        <v>kgCO2e/unité</v>
      </c>
      <c r="I271" s="213">
        <f>VLOOKUP($B271&amp;"; "&amp;$H271&amp;", "&amp;$I$269,'FE Intrants'!$G:$U,9,FALSE)*$F271</f>
        <v>0</v>
      </c>
      <c r="J271" s="213">
        <f>IF(ISNA(VLOOKUP($B271&amp;"; "&amp;$H271&amp;", "&amp;$J$269,'FE Intrants'!$G:$U,9,FALSE)),0,VLOOKUP($B271&amp;"; "&amp;$H271&amp;", "&amp;$J$269,'FE Intrants'!$G:$U,9,FALSE)*$F271)</f>
        <v>0</v>
      </c>
      <c r="K271" s="213">
        <f>IF(ISNA(VLOOKUP($B271&amp;"; "&amp;$H271&amp;", "&amp;$K$269,'FE Intrants'!$G:$U,9,FALSE)),0,VLOOKUP($B271&amp;"; "&amp;$H271&amp;", "&amp;$K$269,'FE Intrants'!$G:$U,9,FALSE)*$F271)</f>
        <v>0</v>
      </c>
      <c r="L271" s="213">
        <f>IF(ISNA(VLOOKUP($B271&amp;"; "&amp;$H271&amp;", "&amp;$L$269,'FE Intrants'!$G:$U,9,FALSE)),0,VLOOKUP($B271&amp;"; "&amp;$H271&amp;", "&amp;$L$269,'FE Intrants'!$G:$U,9,FALSE)*$F271)</f>
        <v>0</v>
      </c>
      <c r="M271" s="213">
        <f>IF(ISNA(VLOOKUP($B271&amp;"; "&amp;$H271&amp;", "&amp;$M$269,'FE Intrants'!$G:$U,9,FALSE)),0,VLOOKUP($B271&amp;"; "&amp;$H271&amp;", "&amp;$M$269,'FE Intrants'!$G:$U,9,FALSE)*$F271)</f>
        <v>0</v>
      </c>
      <c r="N271" s="168">
        <f t="shared" ref="N271:N273" si="37">SUM(I271:M271)</f>
        <v>0</v>
      </c>
      <c r="Q271" s="319">
        <f t="shared" si="33"/>
        <v>0</v>
      </c>
      <c r="R271" s="1016"/>
      <c r="S271" s="820"/>
      <c r="T271" s="152">
        <f t="shared" ref="T271:T273" si="38">SUM(I271:M271)*AD271</f>
        <v>0</v>
      </c>
      <c r="V271" s="564">
        <f>IFERROR(F271*SUM((VLOOKUP(B271&amp;"; "&amp;H271&amp;", "&amp;I$269,'FE Intrants'!$G:$U,10,FALSE)),
VLOOKUP(B271&amp;"; "&amp;H271&amp;", "&amp;J$269,'FE Intrants'!$G:$U,10,FALSE),
VLOOKUP(B271&amp;"; "&amp;H271&amp;", "&amp;K$269,'FE Intrants'!$G:$U,10,FALSE),
VLOOKUP(B271&amp;"; "&amp;H271&amp;", "&amp;L$269,'FE Intrants'!$G:$U,10,FALSE),
VLOOKUP(B271&amp;"; "&amp;H271&amp;", "&amp;M$269,'FE Intrants'!$G:$U,10,FALSE)),
F271*VLOOKUP(B271&amp;"; "&amp;H271&amp;", "&amp;I$269,'FE Intrants'!$G:$U,10,FALSE))</f>
        <v>0</v>
      </c>
      <c r="W271" s="565">
        <f>IFERROR(F271*SUM((VLOOKUP(B271&amp;"; "&amp;H2182&amp;", "&amp;I$269,'FE Intrants'!$G:$U,11,FALSE)+VLOOKUP(B271&amp;"; "&amp;H271&amp;", "&amp;I$269,'FE Intrants'!$G:$U,12,FALSE)),
(VLOOKUP(B271&amp;"; "&amp;H271&amp;", "&amp;J$269,'FE Intrants'!$G:$U,11,FALSE)+VLOOKUP(B271&amp;"; "&amp;H271&amp;", "&amp;J$269,'FE Intrants'!$G:$U,12,FALSE)),
(VLOOKUP(B271&amp;"; "&amp;H271&amp;", "&amp;K$269,'FE Intrants'!$G:$U,11,FALSE)+VLOOKUP(B271&amp;"; "&amp;H271&amp;", "&amp;K$269,'FE Intrants'!$G:$U,12,FALSE)),
(VLOOKUP(B271&amp;"; "&amp;H271&amp;", "&amp;L$269,'FE Intrants'!$G:$U,11,FALSE)+VLOOKUP(B271&amp;"; "&amp;H271&amp;", "&amp;L$269,'FE Intrants'!$G:$U,12,FALSE)),
(VLOOKUP(B271&amp;"; "&amp;H271&amp;", "&amp;M$269,'FE Intrants'!$G:$U,11,FALSE)+VLOOKUP(B271&amp;"; "&amp;H271&amp;", "&amp;M$269,'FE Intrants'!$G:$U,12,FALSE))),
F230*VLOOKUP(B230&amp;"; "&amp;H230&amp;", "&amp;I$214,'FE Intrants'!$G:$U,11,FALSE)+VLOOKUP(B230&amp;"; "&amp;H230&amp;", "&amp;I$214,'FE Intrants'!$G:$U,12,FALSE))</f>
        <v>0</v>
      </c>
      <c r="X271" s="565">
        <f>IFERROR(F271*SUM((VLOOKUP(B271&amp;"; "&amp;H271&amp;", "&amp;I$269,'FE Intrants'!$G:$U,13,FALSE)),
VLOOKUP(B271&amp;"; "&amp;H271&amp;", "&amp;J$269,'FE Intrants'!$G:$U,13,FALSE),
VLOOKUP(B271&amp;"; "&amp;H271&amp;", "&amp;K$269,'FE Intrants'!$G:$U,13,FALSE),
VLOOKUP(B271&amp;"; "&amp;H271&amp;", "&amp;L$269,'FE Intrants'!$G:$U,13,FALSE),
VLOOKUP(B271&amp;"; "&amp;H271&amp;", "&amp;M$269,'FE Intrants'!$G:$U,13,FALSE)),
F271*VLOOKUP(B271&amp;"; "&amp;H271&amp;", "&amp;I$269,'FE Intrants'!$G:$U,13,FALSE))</f>
        <v>0</v>
      </c>
      <c r="Y271" s="565">
        <f>IFERROR(F271*SUM((VLOOKUP(B271&amp;"; "&amp;H271&amp;", "&amp;I$269,'FE Intrants'!$G:$U,14,FALSE)),
VLOOKUP(B271&amp;"; "&amp;H271&amp;", "&amp;J$269,'FE Intrants'!$G:$U,14,FALSE),
VLOOKUP(B271&amp;"; "&amp;H271&amp;", "&amp;K$269,'FE Intrants'!$G:$U,14,FALSE),
VLOOKUP(B271&amp;"; "&amp;H271&amp;", "&amp;L$269,'FE Intrants'!$G:$U,14,FALSE),
VLOOKUP(B271&amp;"; "&amp;H271&amp;", "&amp;M$269,'FE Intrants'!$G:$U,14,FALSE)),
F271*VLOOKUP(B271&amp;"; "&amp;H271&amp;", "&amp;I$269,'FE Intrants'!$G:$U,14,FALSE))</f>
        <v>0</v>
      </c>
      <c r="Z271" s="567">
        <f t="shared" ref="Z271:Z273" si="39">SUM(V271:Y271)</f>
        <v>0</v>
      </c>
      <c r="AA271" s="590">
        <f>IFERROR(F271*SUM((VLOOKUP(B271&amp;"; "&amp;H271&amp;", "&amp;I$269,'FE Intrants'!$G:$U,15,FALSE)),
VLOOKUP(B271&amp;"; "&amp;H271&amp;", "&amp;J$269,'FE Intrants'!$G:$U,15,FALSE),
VLOOKUP(B271&amp;"; "&amp;H271&amp;", "&amp;K$269,'FE Intrants'!$G:$U,15,FALSE),
VLOOKUP(B271&amp;"; "&amp;H271&amp;", "&amp;L$269,'FE Intrants'!$G:$U,15,FALSE),
VLOOKUP(B271&amp;"; "&amp;H271&amp;", "&amp;M$269,'FE Intrants'!$G:$U,15,FALSE)),
F271*VLOOKUP(B271&amp;"; "&amp;H271&amp;", "&amp;I$269,'FE Intrants'!$G:$U,15,FALSE))</f>
        <v>0</v>
      </c>
      <c r="AC271" s="2326">
        <f>IF($R271&lt;&gt;"votre valeur :",IF(ISNA(VLOOKUP($R271,Utilitaires!$N$566:$O$571,2,FALSE)),,VLOOKUP($R271,Utilitaires!$N$566:$O$571,2,FALSE)),$S271)</f>
        <v>0</v>
      </c>
      <c r="AD271" s="1130">
        <f>SQRT(SUMSQ(AC271,VLOOKUP($B271&amp;"; "&amp;$H271&amp;", "&amp;$I$269,'FE Intrants'!G:U,7,FALSE)))</f>
        <v>0.5</v>
      </c>
    </row>
    <row r="272" spans="2:30" s="114" customFormat="1" ht="13.2" outlineLevel="1">
      <c r="B272" s="143" t="s">
        <v>4167</v>
      </c>
      <c r="C272" s="144"/>
      <c r="D272" s="212">
        <f t="shared" si="32"/>
        <v>0</v>
      </c>
      <c r="E272" s="213"/>
      <c r="F272" s="120"/>
      <c r="G272" s="224"/>
      <c r="H272" s="1212" t="str">
        <f>VLOOKUP(B272,'FE Intrants'!F:U,5,FALSE)</f>
        <v>kgCO2e/tonne</v>
      </c>
      <c r="I272" s="213">
        <f>VLOOKUP($B272&amp;"; "&amp;$H272&amp;", "&amp;$I$269,'FE Intrants'!$G:$U,9,FALSE)*$F272</f>
        <v>0</v>
      </c>
      <c r="J272" s="213">
        <f>IF(ISNA(VLOOKUP($B272&amp;"; "&amp;$H272&amp;", "&amp;$J$269,'FE Intrants'!$G:$U,9,FALSE)),0,VLOOKUP($B272&amp;"; "&amp;$H272&amp;", "&amp;$J$269,'FE Intrants'!$G:$U,9,FALSE)*$F272)</f>
        <v>0</v>
      </c>
      <c r="K272" s="213">
        <f>IF(ISNA(VLOOKUP($B272&amp;"; "&amp;$H272&amp;", "&amp;$K$269,'FE Intrants'!$G:$U,9,FALSE)),0,VLOOKUP($B272&amp;"; "&amp;$H272&amp;", "&amp;$K$269,'FE Intrants'!$G:$U,9,FALSE)*$F272)</f>
        <v>0</v>
      </c>
      <c r="L272" s="213">
        <f>IF(ISNA(VLOOKUP($B272&amp;"; "&amp;$H272&amp;", "&amp;$L$269,'FE Intrants'!$G:$U,9,FALSE)),0,VLOOKUP($B272&amp;"; "&amp;$H272&amp;", "&amp;$L$269,'FE Intrants'!$G:$U,9,FALSE)*$F272)</f>
        <v>0</v>
      </c>
      <c r="M272" s="213">
        <f>IF(ISNA(VLOOKUP($B272&amp;"; "&amp;$H272&amp;", "&amp;$M$269,'FE Intrants'!$G:$U,9,FALSE)),0,VLOOKUP($B272&amp;"; "&amp;$H272&amp;", "&amp;$M$269,'FE Intrants'!$G:$U,9,FALSE)*$F272)</f>
        <v>0</v>
      </c>
      <c r="N272" s="168">
        <f t="shared" si="37"/>
        <v>0</v>
      </c>
      <c r="Q272" s="319">
        <f t="shared" si="33"/>
        <v>0</v>
      </c>
      <c r="R272" s="1016"/>
      <c r="S272" s="820"/>
      <c r="T272" s="152">
        <f t="shared" si="38"/>
        <v>0</v>
      </c>
      <c r="V272" s="564">
        <f>IFERROR(F272*SUM((VLOOKUP(B272&amp;"; "&amp;H272&amp;", "&amp;I$269,'FE Intrants'!$G:$U,10,FALSE)),
VLOOKUP(B272&amp;"; "&amp;H272&amp;", "&amp;J$269,'FE Intrants'!$G:$U,10,FALSE),
VLOOKUP(B272&amp;"; "&amp;H272&amp;", "&amp;K$269,'FE Intrants'!$G:$U,10,FALSE),
VLOOKUP(B272&amp;"; "&amp;H272&amp;", "&amp;L$269,'FE Intrants'!$G:$U,10,FALSE),
VLOOKUP(B272&amp;"; "&amp;H272&amp;", "&amp;M$269,'FE Intrants'!$G:$U,10,FALSE)),
F272*VLOOKUP(B272&amp;"; "&amp;H272&amp;", "&amp;I$269,'FE Intrants'!$G:$U,10,FALSE))</f>
        <v>0</v>
      </c>
      <c r="W272" s="565">
        <f>IFERROR(F272*SUM((VLOOKUP(B272&amp;"; "&amp;H2183&amp;", "&amp;I$269,'FE Intrants'!$G:$U,11,FALSE)+VLOOKUP(B272&amp;"; "&amp;H272&amp;", "&amp;I$269,'FE Intrants'!$G:$U,12,FALSE)),
(VLOOKUP(B272&amp;"; "&amp;H272&amp;", "&amp;J$269,'FE Intrants'!$G:$U,11,FALSE)+VLOOKUP(B272&amp;"; "&amp;H272&amp;", "&amp;J$269,'FE Intrants'!$G:$U,12,FALSE)),
(VLOOKUP(B272&amp;"; "&amp;H272&amp;", "&amp;K$269,'FE Intrants'!$G:$U,11,FALSE)+VLOOKUP(B272&amp;"; "&amp;H272&amp;", "&amp;K$269,'FE Intrants'!$G:$U,12,FALSE)),
(VLOOKUP(B272&amp;"; "&amp;H272&amp;", "&amp;L$269,'FE Intrants'!$G:$U,11,FALSE)+VLOOKUP(B272&amp;"; "&amp;H272&amp;", "&amp;L$269,'FE Intrants'!$G:$U,12,FALSE)),
(VLOOKUP(B272&amp;"; "&amp;H272&amp;", "&amp;M$269,'FE Intrants'!$G:$U,11,FALSE)+VLOOKUP(B272&amp;"; "&amp;H272&amp;", "&amp;M$269,'FE Intrants'!$G:$U,12,FALSE))),
F231*VLOOKUP(B231&amp;"; "&amp;H231&amp;", "&amp;I$214,'FE Intrants'!$G:$U,11,FALSE)+VLOOKUP(B231&amp;"; "&amp;H231&amp;", "&amp;I$214,'FE Intrants'!$G:$U,12,FALSE))</f>
        <v>0</v>
      </c>
      <c r="X272" s="565">
        <f>IFERROR(F272*SUM((VLOOKUP(B272&amp;"; "&amp;H272&amp;", "&amp;I$269,'FE Intrants'!$G:$U,13,FALSE)),
VLOOKUP(B272&amp;"; "&amp;H272&amp;", "&amp;J$269,'FE Intrants'!$G:$U,13,FALSE),
VLOOKUP(B272&amp;"; "&amp;H272&amp;", "&amp;K$269,'FE Intrants'!$G:$U,13,FALSE),
VLOOKUP(B272&amp;"; "&amp;H272&amp;", "&amp;L$269,'FE Intrants'!$G:$U,13,FALSE),
VLOOKUP(B272&amp;"; "&amp;H272&amp;", "&amp;M$269,'FE Intrants'!$G:$U,13,FALSE)),
F272*VLOOKUP(B272&amp;"; "&amp;H272&amp;", "&amp;I$269,'FE Intrants'!$G:$U,13,FALSE))</f>
        <v>0</v>
      </c>
      <c r="Y272" s="565">
        <f>IFERROR(F272*SUM((VLOOKUP(B272&amp;"; "&amp;H272&amp;", "&amp;I$269,'FE Intrants'!$G:$U,14,FALSE)),
VLOOKUP(B272&amp;"; "&amp;H272&amp;", "&amp;J$269,'FE Intrants'!$G:$U,14,FALSE),
VLOOKUP(B272&amp;"; "&amp;H272&amp;", "&amp;K$269,'FE Intrants'!$G:$U,14,FALSE),
VLOOKUP(B272&amp;"; "&amp;H272&amp;", "&amp;L$269,'FE Intrants'!$G:$U,14,FALSE),
VLOOKUP(B272&amp;"; "&amp;H272&amp;", "&amp;M$269,'FE Intrants'!$G:$U,14,FALSE)),
F272*VLOOKUP(B272&amp;"; "&amp;H272&amp;", "&amp;I$269,'FE Intrants'!$G:$U,14,FALSE))</f>
        <v>0</v>
      </c>
      <c r="Z272" s="567">
        <f t="shared" si="39"/>
        <v>0</v>
      </c>
      <c r="AA272" s="590">
        <f>IFERROR(F272*SUM((VLOOKUP(B272&amp;"; "&amp;H272&amp;", "&amp;I$269,'FE Intrants'!$G:$U,15,FALSE)),
VLOOKUP(B272&amp;"; "&amp;H272&amp;", "&amp;J$269,'FE Intrants'!$G:$U,15,FALSE),
VLOOKUP(B272&amp;"; "&amp;H272&amp;", "&amp;K$269,'FE Intrants'!$G:$U,15,FALSE),
VLOOKUP(B272&amp;"; "&amp;H272&amp;", "&amp;L$269,'FE Intrants'!$G:$U,15,FALSE),
VLOOKUP(B272&amp;"; "&amp;H272&amp;", "&amp;M$269,'FE Intrants'!$G:$U,15,FALSE)),
F272*VLOOKUP(B272&amp;"; "&amp;H272&amp;", "&amp;I$269,'FE Intrants'!$G:$U,15,FALSE))</f>
        <v>0</v>
      </c>
      <c r="AC272" s="2326">
        <f>IF($R272&lt;&gt;"votre valeur :",IF(ISNA(VLOOKUP($R272,Utilitaires!$N$566:$O$571,2,FALSE)),,VLOOKUP($R272,Utilitaires!$N$566:$O$571,2,FALSE)),$S272)</f>
        <v>0</v>
      </c>
      <c r="AD272" s="1130">
        <f>SQRT(SUMSQ(AC272,VLOOKUP($B272&amp;"; "&amp;$H272&amp;", "&amp;$I$269,'FE Intrants'!G:U,7,FALSE)))</f>
        <v>0.5</v>
      </c>
    </row>
    <row r="273" spans="2:30" s="114" customFormat="1" ht="13.2" outlineLevel="1">
      <c r="B273" s="143" t="s">
        <v>4168</v>
      </c>
      <c r="C273" s="144"/>
      <c r="D273" s="212">
        <f t="shared" si="32"/>
        <v>0</v>
      </c>
      <c r="E273" s="213"/>
      <c r="F273" s="123"/>
      <c r="G273" s="224"/>
      <c r="H273" s="1213" t="str">
        <f>VLOOKUP(B273,'FE Intrants'!F:U,5,FALSE)</f>
        <v>kgCO2e/unité</v>
      </c>
      <c r="I273" s="213">
        <f>VLOOKUP($B273&amp;"; "&amp;$H273&amp;", "&amp;$I$269,'FE Intrants'!$G:$U,9,FALSE)*$F273</f>
        <v>0</v>
      </c>
      <c r="J273" s="213">
        <f>IF(ISNA(VLOOKUP($B273&amp;"; "&amp;$H273&amp;", "&amp;$J$269,'FE Intrants'!$G:$U,9,FALSE)),0,VLOOKUP($B273&amp;"; "&amp;$H273&amp;", "&amp;$J$269,'FE Intrants'!$G:$U,9,FALSE)*$F273)</f>
        <v>0</v>
      </c>
      <c r="K273" s="213">
        <f>IF(ISNA(VLOOKUP($B273&amp;"; "&amp;$H273&amp;", "&amp;$K$269,'FE Intrants'!$G:$U,9,FALSE)),0,VLOOKUP($B273&amp;"; "&amp;$H273&amp;", "&amp;$K$269,'FE Intrants'!$G:$U,9,FALSE)*$F273)</f>
        <v>0</v>
      </c>
      <c r="L273" s="213">
        <f>IF(ISNA(VLOOKUP($B273&amp;"; "&amp;$H273&amp;", "&amp;$L$269,'FE Intrants'!$G:$U,9,FALSE)),0,VLOOKUP($B273&amp;"; "&amp;$H273&amp;", "&amp;$L$269,'FE Intrants'!$G:$U,9,FALSE)*$F273)</f>
        <v>0</v>
      </c>
      <c r="M273" s="213">
        <f>IF(ISNA(VLOOKUP($B273&amp;"; "&amp;$H273&amp;", "&amp;$M$269,'FE Intrants'!$G:$U,9,FALSE)),0,VLOOKUP($B273&amp;"; "&amp;$H273&amp;", "&amp;$M$269,'FE Intrants'!$G:$U,9,FALSE)*$F273)</f>
        <v>0</v>
      </c>
      <c r="N273" s="168">
        <f t="shared" si="37"/>
        <v>0</v>
      </c>
      <c r="Q273" s="319">
        <f t="shared" si="33"/>
        <v>0</v>
      </c>
      <c r="R273" s="1016"/>
      <c r="S273" s="820"/>
      <c r="T273" s="152">
        <f t="shared" si="38"/>
        <v>0</v>
      </c>
      <c r="V273" s="564">
        <f>IFERROR(F273*SUM((VLOOKUP(B273&amp;"; "&amp;H273&amp;", "&amp;I$269,'FE Intrants'!$G:$U,10,FALSE)),
VLOOKUP(B273&amp;"; "&amp;H273&amp;", "&amp;J$269,'FE Intrants'!$G:$U,10,FALSE),
VLOOKUP(B273&amp;"; "&amp;H273&amp;", "&amp;K$269,'FE Intrants'!$G:$U,10,FALSE),
VLOOKUP(B273&amp;"; "&amp;H273&amp;", "&amp;L$269,'FE Intrants'!$G:$U,10,FALSE),
VLOOKUP(B273&amp;"; "&amp;H273&amp;", "&amp;M$269,'FE Intrants'!$G:$U,10,FALSE)),
F273*VLOOKUP(B273&amp;"; "&amp;H273&amp;", "&amp;I$269,'FE Intrants'!$G:$U,10,FALSE))</f>
        <v>0</v>
      </c>
      <c r="W273" s="565">
        <f>IFERROR(F273*SUM((VLOOKUP(B273&amp;"; "&amp;H2184&amp;", "&amp;I$269,'FE Intrants'!$G:$U,11,FALSE)+VLOOKUP(B273&amp;"; "&amp;H273&amp;", "&amp;I$269,'FE Intrants'!$G:$U,12,FALSE)),
(VLOOKUP(B273&amp;"; "&amp;H273&amp;", "&amp;J$269,'FE Intrants'!$G:$U,11,FALSE)+VLOOKUP(B273&amp;"; "&amp;H273&amp;", "&amp;J$269,'FE Intrants'!$G:$U,12,FALSE)),
(VLOOKUP(B273&amp;"; "&amp;H273&amp;", "&amp;K$269,'FE Intrants'!$G:$U,11,FALSE)+VLOOKUP(B273&amp;"; "&amp;H273&amp;", "&amp;K$269,'FE Intrants'!$G:$U,12,FALSE)),
(VLOOKUP(B273&amp;"; "&amp;H273&amp;", "&amp;L$269,'FE Intrants'!$G:$U,11,FALSE)+VLOOKUP(B273&amp;"; "&amp;H273&amp;", "&amp;L$269,'FE Intrants'!$G:$U,12,FALSE)),
(VLOOKUP(B273&amp;"; "&amp;H273&amp;", "&amp;M$269,'FE Intrants'!$G:$U,11,FALSE)+VLOOKUP(B273&amp;"; "&amp;H273&amp;", "&amp;M$269,'FE Intrants'!$G:$U,12,FALSE))),
F232*VLOOKUP(B232&amp;"; "&amp;H232&amp;", "&amp;I$214,'FE Intrants'!$G:$U,11,FALSE)+VLOOKUP(B232&amp;"; "&amp;H232&amp;", "&amp;I$214,'FE Intrants'!$G:$U,12,FALSE))</f>
        <v>0</v>
      </c>
      <c r="X273" s="565">
        <f>IFERROR(F273*SUM((VLOOKUP(B273&amp;"; "&amp;H273&amp;", "&amp;I$269,'FE Intrants'!$G:$U,13,FALSE)),
VLOOKUP(B273&amp;"; "&amp;H273&amp;", "&amp;J$269,'FE Intrants'!$G:$U,13,FALSE),
VLOOKUP(B273&amp;"; "&amp;H273&amp;", "&amp;K$269,'FE Intrants'!$G:$U,13,FALSE),
VLOOKUP(B273&amp;"; "&amp;H273&amp;", "&amp;L$269,'FE Intrants'!$G:$U,13,FALSE),
VLOOKUP(B273&amp;"; "&amp;H273&amp;", "&amp;M$269,'FE Intrants'!$G:$U,13,FALSE)),
F273*VLOOKUP(B273&amp;"; "&amp;H273&amp;", "&amp;I$269,'FE Intrants'!$G:$U,13,FALSE))</f>
        <v>0</v>
      </c>
      <c r="Y273" s="565">
        <f>IFERROR(F273*SUM((VLOOKUP(B273&amp;"; "&amp;H273&amp;", "&amp;I$269,'FE Intrants'!$G:$U,14,FALSE)),
VLOOKUP(B273&amp;"; "&amp;H273&amp;", "&amp;J$269,'FE Intrants'!$G:$U,14,FALSE),
VLOOKUP(B273&amp;"; "&amp;H273&amp;", "&amp;K$269,'FE Intrants'!$G:$U,14,FALSE),
VLOOKUP(B273&amp;"; "&amp;H273&amp;", "&amp;L$269,'FE Intrants'!$G:$U,14,FALSE),
VLOOKUP(B273&amp;"; "&amp;H273&amp;", "&amp;M$269,'FE Intrants'!$G:$U,14,FALSE)),
F273*VLOOKUP(B273&amp;"; "&amp;H273&amp;", "&amp;I$269,'FE Intrants'!$G:$U,14,FALSE))</f>
        <v>0</v>
      </c>
      <c r="Z273" s="567">
        <f t="shared" si="39"/>
        <v>0</v>
      </c>
      <c r="AA273" s="590">
        <f>IFERROR(F273*SUM((VLOOKUP(B273&amp;"; "&amp;H273&amp;", "&amp;I$269,'FE Intrants'!$G:$U,15,FALSE)),
VLOOKUP(B273&amp;"; "&amp;H273&amp;", "&amp;J$269,'FE Intrants'!$G:$U,15,FALSE),
VLOOKUP(B273&amp;"; "&amp;H273&amp;", "&amp;K$269,'FE Intrants'!$G:$U,15,FALSE),
VLOOKUP(B273&amp;"; "&amp;H273&amp;", "&amp;L$269,'FE Intrants'!$G:$U,15,FALSE),
VLOOKUP(B273&amp;"; "&amp;H273&amp;", "&amp;M$269,'FE Intrants'!$G:$U,15,FALSE)),
F273*VLOOKUP(B273&amp;"; "&amp;H273&amp;", "&amp;I$269,'FE Intrants'!$G:$U,15,FALSE))</f>
        <v>0</v>
      </c>
      <c r="AC273" s="2326">
        <f>IF($R273&lt;&gt;"votre valeur :",IF(ISNA(VLOOKUP($R273,Utilitaires!$N$566:$O$571,2,FALSE)),,VLOOKUP($R273,Utilitaires!$N$566:$O$571,2,FALSE)),$S273)</f>
        <v>0</v>
      </c>
      <c r="AD273" s="1130">
        <f>SQRT(SUMSQ(AC273,VLOOKUP($B273&amp;"; "&amp;$H273&amp;", "&amp;$I$269,'FE Intrants'!G:U,7,FALSE)))</f>
        <v>0.5</v>
      </c>
    </row>
    <row r="274" spans="2:30" s="114" customFormat="1" ht="13.2" outlineLevel="1">
      <c r="B274" s="143"/>
      <c r="C274" s="144"/>
      <c r="D274" s="212"/>
      <c r="E274" s="213"/>
      <c r="F274" s="144"/>
      <c r="G274" s="222"/>
      <c r="H274" s="144"/>
      <c r="I274" s="213"/>
      <c r="J274" s="213"/>
      <c r="K274" s="213"/>
      <c r="L274" s="213"/>
      <c r="M274" s="213"/>
      <c r="N274" s="168"/>
      <c r="Q274" s="226"/>
      <c r="R274" s="144"/>
      <c r="S274" s="820"/>
      <c r="T274" s="152"/>
      <c r="V274" s="564"/>
      <c r="W274" s="565"/>
      <c r="X274" s="565"/>
      <c r="Y274" s="565"/>
      <c r="Z274" s="567"/>
      <c r="AA274" s="590"/>
      <c r="AC274" s="2327"/>
      <c r="AD274" s="1130"/>
    </row>
    <row r="275" spans="2:30" s="114" customFormat="1" ht="13.2" outlineLevel="1">
      <c r="B275" s="333" t="s">
        <v>3773</v>
      </c>
      <c r="C275" s="144"/>
      <c r="D275" s="212">
        <f t="shared" si="32"/>
        <v>0</v>
      </c>
      <c r="E275" s="213"/>
      <c r="F275" s="144"/>
      <c r="G275" s="222"/>
      <c r="H275" s="144"/>
      <c r="I275" s="213"/>
      <c r="J275" s="213"/>
      <c r="K275" s="213"/>
      <c r="L275" s="213"/>
      <c r="M275" s="213"/>
      <c r="N275" s="168"/>
      <c r="Q275" s="226"/>
      <c r="R275" s="144"/>
      <c r="S275" s="820"/>
      <c r="T275" s="152"/>
      <c r="V275" s="564"/>
      <c r="W275" s="565"/>
      <c r="X275" s="565"/>
      <c r="Y275" s="565"/>
      <c r="Z275" s="567"/>
      <c r="AA275" s="590"/>
      <c r="AC275" s="2211"/>
      <c r="AD275" s="1130"/>
    </row>
    <row r="276" spans="2:30" s="114" customFormat="1" ht="13.2" outlineLevel="1">
      <c r="B276" s="143" t="s">
        <v>4008</v>
      </c>
      <c r="C276" s="144"/>
      <c r="D276" s="212">
        <f t="shared" si="32"/>
        <v>0</v>
      </c>
      <c r="E276" s="213"/>
      <c r="F276" s="117"/>
      <c r="G276" s="2220">
        <f>VLOOKUP($B276&amp;"; "&amp;H276,'FE Intrants'!$G:$U,9,FALSE)</f>
        <v>7.5500000000000003E-3</v>
      </c>
      <c r="H276" s="1211" t="str">
        <f>VLOOKUP(B276,'FE Intrants'!F:U,5,FALSE)</f>
        <v>kgCO2e/unité</v>
      </c>
      <c r="I276" s="213"/>
      <c r="J276" s="213"/>
      <c r="K276" s="213"/>
      <c r="L276" s="213"/>
      <c r="M276" s="213"/>
      <c r="N276" s="168">
        <f>F276*G276</f>
        <v>0</v>
      </c>
      <c r="Q276" s="319">
        <f t="shared" ref="Q276:Q289" si="40">IF(T276=0,T276,T276/N276)</f>
        <v>0</v>
      </c>
      <c r="R276" s="1016"/>
      <c r="S276" s="820"/>
      <c r="T276" s="152">
        <f t="shared" si="36"/>
        <v>0</v>
      </c>
      <c r="V276" s="564">
        <f>IF($F276*VLOOKUP($B276&amp;"; "&amp;$H276,'FE Intrants'!$G:$U,10,FALSE)=0,N276,$F276*VLOOKUP($B276&amp;"; "&amp;$H276,'FE Intrants'!$G:$U,10,FALSE))</f>
        <v>0</v>
      </c>
      <c r="W276" s="565">
        <f>$F276*(VLOOKUP($B276&amp;"; "&amp;$H276,'FE Intrants'!$G:$U,11,FALSE)+VLOOKUP($B276&amp;"; "&amp;$H276,'FE Intrants'!$G:$U,12,FALSE))</f>
        <v>0</v>
      </c>
      <c r="X276" s="565">
        <f>$F276*VLOOKUP($B276&amp;"; "&amp;$H276,'FE Intrants'!$G:$U,13,FALSE)</f>
        <v>0</v>
      </c>
      <c r="Y276" s="565">
        <f>$F276*VLOOKUP($B276&amp;"; "&amp;$H276,'FE Intrants'!$G:$U,14,FALSE)</f>
        <v>0</v>
      </c>
      <c r="Z276" s="567">
        <f t="shared" ref="Z276:Z280" si="41">SUM(V276:Y276)</f>
        <v>0</v>
      </c>
      <c r="AA276" s="590">
        <f>$F276*VLOOKUP($B276&amp;"; "&amp;$H276,'FE Intrants'!$G:$U,15,FALSE)</f>
        <v>0</v>
      </c>
      <c r="AC276" s="2209">
        <f>IF($R276&lt;&gt;"votre valeur :",IF(ISNA(VLOOKUP($R276,Utilitaires!$N$566:$O$571,2,FALSE)),,VLOOKUP($R276,Utilitaires!$N$566:$O$571,2,FALSE)),$S276)</f>
        <v>0</v>
      </c>
      <c r="AD276" s="1130">
        <f>SQRT(SUMSQ(AC276,VLOOKUP(B276&amp;"; "&amp;$H276,'FE Intrants'!G:U,7,FALSE)))</f>
        <v>1</v>
      </c>
    </row>
    <row r="277" spans="2:30" s="114" customFormat="1" ht="13.2" outlineLevel="1">
      <c r="B277" s="143" t="s">
        <v>4009</v>
      </c>
      <c r="C277" s="144"/>
      <c r="D277" s="212">
        <f t="shared" si="32"/>
        <v>0</v>
      </c>
      <c r="E277" s="213"/>
      <c r="F277" s="120"/>
      <c r="G277" s="2220">
        <f>VLOOKUP($B277&amp;"; "&amp;H277,'FE Intrants'!$G:$U,9,FALSE)</f>
        <v>4.0000000000000001E-3</v>
      </c>
      <c r="H277" s="1212" t="str">
        <f>VLOOKUP(B277,'FE Intrants'!F:U,5,FALSE)</f>
        <v>kgCO2e/unité</v>
      </c>
      <c r="I277" s="213"/>
      <c r="J277" s="213"/>
      <c r="K277" s="213"/>
      <c r="L277" s="213"/>
      <c r="M277" s="213"/>
      <c r="N277" s="168">
        <f t="shared" ref="N277:N280" si="42">F277*G277</f>
        <v>0</v>
      </c>
      <c r="Q277" s="319">
        <f t="shared" si="40"/>
        <v>0</v>
      </c>
      <c r="R277" s="1016"/>
      <c r="S277" s="820"/>
      <c r="T277" s="152">
        <f t="shared" si="36"/>
        <v>0</v>
      </c>
      <c r="V277" s="564">
        <f>IF($F277*VLOOKUP($B277&amp;"; "&amp;$H277,'FE Intrants'!$G:$U,10,FALSE)=0,N277,$F277*VLOOKUP($B277&amp;"; "&amp;$H277,'FE Intrants'!$G:$U,10,FALSE))</f>
        <v>0</v>
      </c>
      <c r="W277" s="565">
        <f>$F277*(VLOOKUP($B277&amp;"; "&amp;$H277,'FE Intrants'!$G:$U,11,FALSE)+VLOOKUP($B277&amp;"; "&amp;$H277,'FE Intrants'!$G:$U,12,FALSE))</f>
        <v>0</v>
      </c>
      <c r="X277" s="565">
        <f>$F277*VLOOKUP($B277&amp;"; "&amp;$H277,'FE Intrants'!$G:$U,13,FALSE)</f>
        <v>0</v>
      </c>
      <c r="Y277" s="565">
        <f>$F277*VLOOKUP($B277&amp;"; "&amp;$H277,'FE Intrants'!$G:$U,14,FALSE)</f>
        <v>0</v>
      </c>
      <c r="Z277" s="567">
        <f t="shared" si="41"/>
        <v>0</v>
      </c>
      <c r="AA277" s="590">
        <f>$F277*VLOOKUP($B277&amp;"; "&amp;$H277,'FE Intrants'!$G:$U,15,FALSE)</f>
        <v>0</v>
      </c>
      <c r="AC277" s="2209">
        <f>IF($R277&lt;&gt;"votre valeur :",IF(ISNA(VLOOKUP($R277,Utilitaires!$N$566:$O$571,2,FALSE)),,VLOOKUP($R277,Utilitaires!$N$566:$O$571,2,FALSE)),$S277)</f>
        <v>0</v>
      </c>
      <c r="AD277" s="1130">
        <f>SQRT(SUMSQ(AC277,VLOOKUP(B277&amp;"; "&amp;$H277,'FE Intrants'!G:U,7,FALSE)))</f>
        <v>1</v>
      </c>
    </row>
    <row r="278" spans="2:30" s="114" customFormat="1" ht="13.2" outlineLevel="1">
      <c r="B278" s="143" t="s">
        <v>4010</v>
      </c>
      <c r="C278" s="144"/>
      <c r="D278" s="212">
        <f t="shared" si="32"/>
        <v>0</v>
      </c>
      <c r="E278" s="213"/>
      <c r="F278" s="120"/>
      <c r="G278" s="2220">
        <f>VLOOKUP($B278&amp;"; "&amp;H278,'FE Intrants'!$G:$U,9,FALSE)</f>
        <v>3.5000000000000003E-2</v>
      </c>
      <c r="H278" s="1212" t="str">
        <f>VLOOKUP(B278,'FE Intrants'!F:U,5,FALSE)</f>
        <v>kgCO2e/unité</v>
      </c>
      <c r="I278" s="213"/>
      <c r="J278" s="213"/>
      <c r="K278" s="213"/>
      <c r="L278" s="213"/>
      <c r="M278" s="213"/>
      <c r="N278" s="168">
        <f t="shared" si="42"/>
        <v>0</v>
      </c>
      <c r="Q278" s="319">
        <f t="shared" si="40"/>
        <v>0</v>
      </c>
      <c r="R278" s="1016"/>
      <c r="S278" s="820"/>
      <c r="T278" s="152">
        <f t="shared" si="36"/>
        <v>0</v>
      </c>
      <c r="V278" s="564">
        <f>IF($F278*VLOOKUP($B278&amp;"; "&amp;$H278,'FE Intrants'!$G:$U,10,FALSE)=0,N278,$F278*VLOOKUP($B278&amp;"; "&amp;$H278,'FE Intrants'!$G:$U,10,FALSE))</f>
        <v>0</v>
      </c>
      <c r="W278" s="565">
        <f>$F278*(VLOOKUP($B278&amp;"; "&amp;$H278,'FE Intrants'!$G:$U,11,FALSE)+VLOOKUP($B278&amp;"; "&amp;$H278,'FE Intrants'!$G:$U,12,FALSE))</f>
        <v>0</v>
      </c>
      <c r="X278" s="565">
        <f>$F278*VLOOKUP($B278&amp;"; "&amp;$H278,'FE Intrants'!$G:$U,13,FALSE)</f>
        <v>0</v>
      </c>
      <c r="Y278" s="565">
        <f>$F278*VLOOKUP($B278&amp;"; "&amp;$H278,'FE Intrants'!$G:$U,14,FALSE)</f>
        <v>0</v>
      </c>
      <c r="Z278" s="567">
        <f t="shared" si="41"/>
        <v>0</v>
      </c>
      <c r="AA278" s="590">
        <f>$F278*VLOOKUP($B278&amp;"; "&amp;$H278,'FE Intrants'!$G:$U,15,FALSE)</f>
        <v>0</v>
      </c>
      <c r="AC278" s="2209">
        <f>IF($R278&lt;&gt;"votre valeur :",IF(ISNA(VLOOKUP($R278,Utilitaires!$N$566:$O$571,2,FALSE)),,VLOOKUP($R278,Utilitaires!$N$566:$O$571,2,FALSE)),$S278)</f>
        <v>0</v>
      </c>
      <c r="AD278" s="1130">
        <f>SQRT(SUMSQ(AC278,VLOOKUP(B278&amp;"; "&amp;$H278,'FE Intrants'!G:U,7,FALSE)))</f>
        <v>1</v>
      </c>
    </row>
    <row r="279" spans="2:30" s="114" customFormat="1" ht="13.2" outlineLevel="1">
      <c r="B279" s="143" t="s">
        <v>4011</v>
      </c>
      <c r="C279" s="144"/>
      <c r="D279" s="212">
        <f t="shared" si="32"/>
        <v>0</v>
      </c>
      <c r="E279" s="213"/>
      <c r="F279" s="120"/>
      <c r="G279" s="2220">
        <f>VLOOKUP($B279&amp;"; "&amp;H279,'FE Intrants'!$G:$U,9,FALSE)</f>
        <v>6.6499999999999997E-3</v>
      </c>
      <c r="H279" s="1212" t="str">
        <f>VLOOKUP(B279,'FE Intrants'!F:U,5,FALSE)</f>
        <v>kgCO2e/unité</v>
      </c>
      <c r="I279" s="213"/>
      <c r="J279" s="213"/>
      <c r="K279" s="213"/>
      <c r="L279" s="213"/>
      <c r="M279" s="213"/>
      <c r="N279" s="168">
        <f t="shared" si="42"/>
        <v>0</v>
      </c>
      <c r="Q279" s="319">
        <f t="shared" si="40"/>
        <v>0</v>
      </c>
      <c r="R279" s="1016"/>
      <c r="S279" s="820"/>
      <c r="T279" s="152">
        <f t="shared" si="36"/>
        <v>0</v>
      </c>
      <c r="V279" s="564">
        <f>IF($F279*VLOOKUP($B279&amp;"; "&amp;$H279,'FE Intrants'!$G:$U,10,FALSE)=0,N279,$F279*VLOOKUP($B279&amp;"; "&amp;$H279,'FE Intrants'!$G:$U,10,FALSE))</f>
        <v>0</v>
      </c>
      <c r="W279" s="565">
        <f>$F279*(VLOOKUP($B279&amp;"; "&amp;$H279,'FE Intrants'!$G:$U,11,FALSE)+VLOOKUP($B279&amp;"; "&amp;$H279,'FE Intrants'!$G:$U,12,FALSE))</f>
        <v>0</v>
      </c>
      <c r="X279" s="565">
        <f>$F279*VLOOKUP($B279&amp;"; "&amp;$H279,'FE Intrants'!$G:$U,13,FALSE)</f>
        <v>0</v>
      </c>
      <c r="Y279" s="565">
        <f>$F279*VLOOKUP($B279&amp;"; "&amp;$H279,'FE Intrants'!$G:$U,14,FALSE)</f>
        <v>0</v>
      </c>
      <c r="Z279" s="567">
        <f t="shared" si="41"/>
        <v>0</v>
      </c>
      <c r="AA279" s="590">
        <f>$F279*VLOOKUP($B279&amp;"; "&amp;$H279,'FE Intrants'!$G:$U,15,FALSE)</f>
        <v>0</v>
      </c>
      <c r="AC279" s="2209">
        <f>IF($R279&lt;&gt;"votre valeur :",IF(ISNA(VLOOKUP($R279,Utilitaires!$N$566:$O$571,2,FALSE)),,VLOOKUP($R279,Utilitaires!$N$566:$O$571,2,FALSE)),$S279)</f>
        <v>0</v>
      </c>
      <c r="AD279" s="1130">
        <f>SQRT(SUMSQ(AC279,VLOOKUP(B279&amp;"; "&amp;$H279,'FE Intrants'!G:U,7,FALSE)))</f>
        <v>1</v>
      </c>
    </row>
    <row r="280" spans="2:30" s="114" customFormat="1" ht="13.2" outlineLevel="1">
      <c r="B280" s="143" t="s">
        <v>4012</v>
      </c>
      <c r="C280" s="144"/>
      <c r="D280" s="212">
        <f t="shared" si="32"/>
        <v>0</v>
      </c>
      <c r="E280" s="213"/>
      <c r="F280" s="123"/>
      <c r="G280" s="2220">
        <f>VLOOKUP($B280&amp;"; "&amp;H280,'FE Intrants'!$G:$U,9,FALSE)</f>
        <v>1.3500000000000001E-3</v>
      </c>
      <c r="H280" s="1213" t="str">
        <f>VLOOKUP(B280,'FE Intrants'!F:U,5,FALSE)</f>
        <v>kgCO2e/unité</v>
      </c>
      <c r="I280" s="213"/>
      <c r="J280" s="213"/>
      <c r="K280" s="213"/>
      <c r="L280" s="213"/>
      <c r="M280" s="213"/>
      <c r="N280" s="168">
        <f t="shared" si="42"/>
        <v>0</v>
      </c>
      <c r="Q280" s="319">
        <f t="shared" si="40"/>
        <v>0</v>
      </c>
      <c r="R280" s="1016"/>
      <c r="S280" s="820"/>
      <c r="T280" s="152">
        <f t="shared" si="36"/>
        <v>0</v>
      </c>
      <c r="V280" s="564">
        <f>IF($F280*VLOOKUP($B280&amp;"; "&amp;$H280,'FE Intrants'!$G:$U,10,FALSE)=0,N280,$F280*VLOOKUP($B280&amp;"; "&amp;$H280,'FE Intrants'!$G:$U,10,FALSE))</f>
        <v>0</v>
      </c>
      <c r="W280" s="565">
        <f>$F280*(VLOOKUP($B280&amp;"; "&amp;$H280,'FE Intrants'!$G:$U,11,FALSE)+VLOOKUP($B280&amp;"; "&amp;$H280,'FE Intrants'!$G:$U,12,FALSE))</f>
        <v>0</v>
      </c>
      <c r="X280" s="565">
        <f>$F280*VLOOKUP($B280&amp;"; "&amp;$H280,'FE Intrants'!$G:$U,13,FALSE)</f>
        <v>0</v>
      </c>
      <c r="Y280" s="565">
        <f>$F280*VLOOKUP($B280&amp;"; "&amp;$H280,'FE Intrants'!$G:$U,14,FALSE)</f>
        <v>0</v>
      </c>
      <c r="Z280" s="567">
        <f t="shared" si="41"/>
        <v>0</v>
      </c>
      <c r="AA280" s="590">
        <f>$F280*VLOOKUP($B280&amp;"; "&amp;$H280,'FE Intrants'!$G:$U,15,FALSE)</f>
        <v>0</v>
      </c>
      <c r="AC280" s="2209">
        <f>IF($R280&lt;&gt;"votre valeur :",IF(ISNA(VLOOKUP($R280,Utilitaires!$N$566:$O$571,2,FALSE)),,VLOOKUP($R280,Utilitaires!$N$566:$O$571,2,FALSE)),$S280)</f>
        <v>0</v>
      </c>
      <c r="AD280" s="1130">
        <f>SQRT(SUMSQ(AC280,VLOOKUP(B280&amp;"; "&amp;$H280,'FE Intrants'!G:U,7,FALSE)))</f>
        <v>1</v>
      </c>
    </row>
    <row r="281" spans="2:30" s="114" customFormat="1" ht="13.2" outlineLevel="1">
      <c r="B281" s="143"/>
      <c r="C281" s="144"/>
      <c r="D281" s="212"/>
      <c r="E281" s="213"/>
      <c r="F281" s="164"/>
      <c r="G281" s="2220"/>
      <c r="H281" s="2067"/>
      <c r="I281" s="213"/>
      <c r="J281" s="213"/>
      <c r="K281" s="213"/>
      <c r="L281" s="213"/>
      <c r="M281" s="213"/>
      <c r="N281" s="168"/>
      <c r="Q281" s="319"/>
      <c r="R281" s="144"/>
      <c r="S281" s="820"/>
      <c r="T281" s="152"/>
      <c r="V281" s="564"/>
      <c r="W281" s="565"/>
      <c r="X281" s="565"/>
      <c r="Y281" s="565"/>
      <c r="Z281" s="567"/>
      <c r="AA281" s="590"/>
      <c r="AC281" s="2344"/>
      <c r="AD281" s="1130"/>
    </row>
    <row r="282" spans="2:30" s="114" customFormat="1" ht="13.2" outlineLevel="1">
      <c r="B282" s="333" t="s">
        <v>4768</v>
      </c>
      <c r="C282" s="144"/>
      <c r="D282" s="212"/>
      <c r="E282" s="213"/>
      <c r="F282" s="164"/>
      <c r="G282" s="2220"/>
      <c r="H282" s="2067"/>
      <c r="I282" s="213"/>
      <c r="J282" s="213"/>
      <c r="K282" s="213"/>
      <c r="L282" s="213"/>
      <c r="M282" s="213"/>
      <c r="N282" s="168"/>
      <c r="Q282" s="319"/>
      <c r="R282" s="144"/>
      <c r="S282" s="820"/>
      <c r="T282" s="152"/>
      <c r="V282" s="564"/>
      <c r="W282" s="565"/>
      <c r="X282" s="565"/>
      <c r="Y282" s="565"/>
      <c r="Z282" s="567"/>
      <c r="AA282" s="590"/>
      <c r="AC282" s="2454"/>
      <c r="AD282" s="1130"/>
    </row>
    <row r="283" spans="2:30" s="114" customFormat="1" ht="13.2" outlineLevel="1">
      <c r="B283" s="143" t="s">
        <v>4771</v>
      </c>
      <c r="C283" s="144"/>
      <c r="D283" s="212">
        <f>N283</f>
        <v>0</v>
      </c>
      <c r="E283" s="213"/>
      <c r="F283" s="117"/>
      <c r="G283" s="2220">
        <f>VLOOKUP($B283&amp;"; "&amp;H283,'FE Intrants'!$G:$U,9,FALSE)</f>
        <v>0.13200000000000001</v>
      </c>
      <c r="H283" s="1211" t="str">
        <f>VLOOKUP(B283,'FE Intrants'!F:U,5,FALSE)</f>
        <v>kgCO2e/m3</v>
      </c>
      <c r="I283" s="213"/>
      <c r="J283" s="213"/>
      <c r="K283" s="213"/>
      <c r="L283" s="213"/>
      <c r="M283" s="213"/>
      <c r="N283" s="168">
        <f>F283*G283</f>
        <v>0</v>
      </c>
      <c r="Q283" s="319">
        <f t="shared" ref="Q283:Q284" si="43">IF(T283=0,T283,T283/N283)</f>
        <v>0</v>
      </c>
      <c r="R283" s="1016"/>
      <c r="S283" s="820"/>
      <c r="T283" s="152">
        <f t="shared" ref="T283:T284" si="44">F283*G283*AD283</f>
        <v>0</v>
      </c>
      <c r="V283" s="564">
        <f>IF($F283*VLOOKUP($B283&amp;"; "&amp;$H283,'FE Intrants'!$G:$U,10,FALSE)=0,N283,$F283*VLOOKUP($B283&amp;"; "&amp;$H283,'FE Intrants'!$G:$U,10,FALSE))</f>
        <v>0</v>
      </c>
      <c r="W283" s="565">
        <f>$F283*(VLOOKUP($B283&amp;"; "&amp;$H283,'FE Intrants'!$G:$U,11,FALSE)+VLOOKUP($B283&amp;"; "&amp;$H283,'FE Intrants'!$G:$U,12,FALSE))</f>
        <v>0</v>
      </c>
      <c r="X283" s="565">
        <f>$F283*VLOOKUP($B283&amp;"; "&amp;$H283,'FE Intrants'!$G:$U,13,FALSE)</f>
        <v>0</v>
      </c>
      <c r="Y283" s="565">
        <f>$F283*VLOOKUP($B283&amp;"; "&amp;$H283,'FE Intrants'!$G:$U,14,FALSE)</f>
        <v>0</v>
      </c>
      <c r="Z283" s="567">
        <f t="shared" ref="Z283:Z284" si="45">SUM(V283:Y283)</f>
        <v>0</v>
      </c>
      <c r="AA283" s="590">
        <f>$F283*VLOOKUP($B283&amp;"; "&amp;$H283,'FE Intrants'!$G:$U,15,FALSE)</f>
        <v>0</v>
      </c>
      <c r="AC283" s="2454">
        <f>IF($R283&lt;&gt;"votre valeur :",IF(ISNA(VLOOKUP($R283,Utilitaires!$N$566:$O$571,2,FALSE)),,VLOOKUP($R283,Utilitaires!$N$566:$O$571,2,FALSE)),$S283)</f>
        <v>0</v>
      </c>
      <c r="AD283" s="1130">
        <f>SQRT(SUMSQ(AC283,VLOOKUP(B283&amp;"; "&amp;$H283,'FE Intrants'!G:U,7,FALSE)))</f>
        <v>0.11</v>
      </c>
    </row>
    <row r="284" spans="2:30" s="114" customFormat="1" ht="13.2" outlineLevel="1">
      <c r="B284" s="143" t="s">
        <v>4771</v>
      </c>
      <c r="C284" s="144"/>
      <c r="D284" s="212">
        <f>N284</f>
        <v>0</v>
      </c>
      <c r="E284" s="213"/>
      <c r="F284" s="123"/>
      <c r="G284" s="2220">
        <f>VLOOKUP($B284&amp;"; "&amp;H284,'FE Intrants'!$G:$U,9,FALSE)</f>
        <v>0.13200000000000001</v>
      </c>
      <c r="H284" s="1213" t="str">
        <f>VLOOKUP(B284,'FE Intrants'!F:U,5,FALSE)</f>
        <v>kgCO2e/m3</v>
      </c>
      <c r="I284" s="213"/>
      <c r="J284" s="213"/>
      <c r="K284" s="213"/>
      <c r="L284" s="213"/>
      <c r="M284" s="213"/>
      <c r="N284" s="168">
        <f>F284*G284</f>
        <v>0</v>
      </c>
      <c r="Q284" s="319">
        <f t="shared" si="43"/>
        <v>0</v>
      </c>
      <c r="R284" s="1016"/>
      <c r="S284" s="820"/>
      <c r="T284" s="152">
        <f t="shared" si="44"/>
        <v>0</v>
      </c>
      <c r="V284" s="564">
        <f>IF($F284*VLOOKUP($B284&amp;"; "&amp;$H284,'FE Intrants'!$G:$U,10,FALSE)=0,N284,$F284*VLOOKUP($B284&amp;"; "&amp;$H284,'FE Intrants'!$G:$U,10,FALSE))</f>
        <v>0</v>
      </c>
      <c r="W284" s="565">
        <f>$F284*(VLOOKUP($B284&amp;"; "&amp;$H284,'FE Intrants'!$G:$U,11,FALSE)+VLOOKUP($B284&amp;"; "&amp;$H284,'FE Intrants'!$G:$U,12,FALSE))</f>
        <v>0</v>
      </c>
      <c r="X284" s="565">
        <f>$F284*VLOOKUP($B284&amp;"; "&amp;$H284,'FE Intrants'!$G:$U,13,FALSE)</f>
        <v>0</v>
      </c>
      <c r="Y284" s="565">
        <f>$F284*VLOOKUP($B284&amp;"; "&amp;$H284,'FE Intrants'!$G:$U,14,FALSE)</f>
        <v>0</v>
      </c>
      <c r="Z284" s="567">
        <f t="shared" si="45"/>
        <v>0</v>
      </c>
      <c r="AA284" s="590">
        <f>$F284*VLOOKUP($B284&amp;"; "&amp;$H284,'FE Intrants'!$G:$U,15,FALSE)</f>
        <v>0</v>
      </c>
      <c r="AC284" s="2454">
        <f>IF($R284&lt;&gt;"votre valeur :",IF(ISNA(VLOOKUP($R284,Utilitaires!$N$566:$O$571,2,FALSE)),,VLOOKUP($R284,Utilitaires!$N$566:$O$571,2,FALSE)),$S284)</f>
        <v>0</v>
      </c>
      <c r="AD284" s="1130">
        <f>SQRT(SUMSQ(AC284,VLOOKUP(B284&amp;"; "&amp;$H284,'FE Intrants'!G:U,7,FALSE)))</f>
        <v>0.11</v>
      </c>
    </row>
    <row r="285" spans="2:30" s="114" customFormat="1" ht="13.2" outlineLevel="1">
      <c r="B285" s="143"/>
      <c r="C285" s="144"/>
      <c r="D285" s="213"/>
      <c r="E285" s="213"/>
      <c r="F285" s="144"/>
      <c r="G285" s="144"/>
      <c r="H285" s="144"/>
      <c r="I285" s="213"/>
      <c r="J285" s="213"/>
      <c r="K285" s="213"/>
      <c r="L285" s="213"/>
      <c r="M285" s="213"/>
      <c r="N285" s="168"/>
      <c r="Q285" s="226"/>
      <c r="R285" s="144"/>
      <c r="S285" s="820"/>
      <c r="T285" s="152"/>
      <c r="V285" s="564"/>
      <c r="W285" s="565"/>
      <c r="X285" s="565"/>
      <c r="Y285" s="565"/>
      <c r="Z285" s="567"/>
      <c r="AA285" s="590"/>
      <c r="AC285" s="2454"/>
      <c r="AD285" s="1130"/>
    </row>
    <row r="286" spans="2:30" s="114" customFormat="1" ht="13.2" outlineLevel="1">
      <c r="B286" s="333" t="s">
        <v>5105</v>
      </c>
      <c r="C286" s="144"/>
      <c r="D286" s="212"/>
      <c r="E286" s="213"/>
      <c r="F286" s="164"/>
      <c r="G286" s="2220"/>
      <c r="H286" s="2067"/>
      <c r="I286" s="213"/>
      <c r="J286" s="213"/>
      <c r="K286" s="213"/>
      <c r="L286" s="213"/>
      <c r="M286" s="213"/>
      <c r="N286" s="168"/>
      <c r="Q286" s="319"/>
      <c r="R286" s="144"/>
      <c r="S286" s="820"/>
      <c r="T286" s="152"/>
      <c r="V286" s="564"/>
      <c r="W286" s="565"/>
      <c r="X286" s="565"/>
      <c r="Y286" s="565"/>
      <c r="Z286" s="567"/>
      <c r="AA286" s="590"/>
      <c r="AC286" s="2454"/>
      <c r="AD286" s="1130"/>
    </row>
    <row r="287" spans="2:30" s="114" customFormat="1" ht="13.2" outlineLevel="1">
      <c r="B287" s="143" t="s">
        <v>5110</v>
      </c>
      <c r="C287" s="144"/>
      <c r="D287" s="212">
        <f>N287</f>
        <v>0</v>
      </c>
      <c r="E287" s="213"/>
      <c r="F287" s="117"/>
      <c r="G287" s="2220">
        <f>VLOOKUP($B287&amp;"; "&amp;H287,'FE Intrants'!$G:$U,9,FALSE)</f>
        <v>373</v>
      </c>
      <c r="H287" s="1211" t="str">
        <f>VLOOKUP(B287,'FE Intrants'!F:U,5,FALSE)</f>
        <v>kgCO2e/tonne</v>
      </c>
      <c r="I287" s="213"/>
      <c r="J287" s="213"/>
      <c r="K287" s="213"/>
      <c r="L287" s="213"/>
      <c r="M287" s="213"/>
      <c r="N287" s="168">
        <f>F287*G287</f>
        <v>0</v>
      </c>
      <c r="Q287" s="319">
        <f t="shared" si="40"/>
        <v>0</v>
      </c>
      <c r="R287" s="1016"/>
      <c r="S287" s="820"/>
      <c r="T287" s="152">
        <f t="shared" si="36"/>
        <v>0</v>
      </c>
      <c r="V287" s="564">
        <f>IF($F287*VLOOKUP($B287&amp;"; "&amp;$H287,'FE Intrants'!$G:$U,10,FALSE)=0,N287,$F287*VLOOKUP($B287&amp;"; "&amp;$H287,'FE Intrants'!$G:$U,10,FALSE))</f>
        <v>0</v>
      </c>
      <c r="W287" s="565">
        <f>$F287*(VLOOKUP($B287&amp;"; "&amp;$H287,'FE Intrants'!$G:$U,11,FALSE)+VLOOKUP($B287&amp;"; "&amp;$H287,'FE Intrants'!$G:$U,12,FALSE))</f>
        <v>0</v>
      </c>
      <c r="X287" s="565">
        <f>$F287*VLOOKUP($B287&amp;"; "&amp;$H287,'FE Intrants'!$G:$U,13,FALSE)</f>
        <v>0</v>
      </c>
      <c r="Y287" s="565">
        <f>$F287*VLOOKUP($B287&amp;"; "&amp;$H287,'FE Intrants'!$G:$U,14,FALSE)</f>
        <v>0</v>
      </c>
      <c r="Z287" s="567">
        <f t="shared" ref="Z287:Z289" si="46">SUM(V287:Y287)</f>
        <v>0</v>
      </c>
      <c r="AA287" s="590">
        <f>$F287*VLOOKUP($B287&amp;"; "&amp;$H287,'FE Intrants'!$G:$U,15,FALSE)</f>
        <v>0</v>
      </c>
      <c r="AC287" s="2344">
        <f>IF($R287&lt;&gt;"votre valeur :",IF(ISNA(VLOOKUP($R287,Utilitaires!$N$566:$O$571,2,FALSE)),,VLOOKUP($R287,Utilitaires!$N$566:$O$571,2,FALSE)),$S287)</f>
        <v>0</v>
      </c>
      <c r="AD287" s="1130">
        <f>SQRT(SUMSQ(AC287,VLOOKUP(B287&amp;"; "&amp;$H287,'FE Intrants'!G:U,7,FALSE)))</f>
        <v>0.2</v>
      </c>
    </row>
    <row r="288" spans="2:30" s="114" customFormat="1" ht="13.2" outlineLevel="1">
      <c r="B288" s="143" t="s">
        <v>5109</v>
      </c>
      <c r="C288" s="144"/>
      <c r="D288" s="212">
        <f>N288</f>
        <v>0</v>
      </c>
      <c r="E288" s="213"/>
      <c r="F288" s="120"/>
      <c r="G288" s="2220">
        <f>VLOOKUP($B288&amp;"; "&amp;H288,'FE Intrants'!$G:$U,9,FALSE)</f>
        <v>115</v>
      </c>
      <c r="H288" s="1212" t="str">
        <f>VLOOKUP(B288,'FE Intrants'!F:U,5,FALSE)</f>
        <v>kgCO2e/tonne</v>
      </c>
      <c r="I288" s="213"/>
      <c r="J288" s="213"/>
      <c r="K288" s="213"/>
      <c r="L288" s="213"/>
      <c r="M288" s="213"/>
      <c r="N288" s="168">
        <f>F288*G288</f>
        <v>0</v>
      </c>
      <c r="Q288" s="319">
        <f t="shared" ref="Q288" si="47">IF(T288=0,T288,T288/N288)</f>
        <v>0</v>
      </c>
      <c r="R288" s="1016"/>
      <c r="S288" s="820"/>
      <c r="T288" s="152">
        <f t="shared" ref="T288" si="48">F288*G288*AD288</f>
        <v>0</v>
      </c>
      <c r="V288" s="564">
        <f>IF($F288*VLOOKUP($B288&amp;"; "&amp;$H288,'FE Intrants'!$G:$U,10,FALSE)=0,N288,$F288*VLOOKUP($B288&amp;"; "&amp;$H288,'FE Intrants'!$G:$U,10,FALSE))</f>
        <v>0</v>
      </c>
      <c r="W288" s="565">
        <f>$F288*(VLOOKUP($B288&amp;"; "&amp;$H288,'FE Intrants'!$G:$U,11,FALSE)+VLOOKUP($B288&amp;"; "&amp;$H288,'FE Intrants'!$G:$U,12,FALSE))</f>
        <v>0</v>
      </c>
      <c r="X288" s="565">
        <f>$F288*VLOOKUP($B288&amp;"; "&amp;$H288,'FE Intrants'!$G:$U,13,FALSE)</f>
        <v>0</v>
      </c>
      <c r="Y288" s="565">
        <f>$F288*VLOOKUP($B288&amp;"; "&amp;$H288,'FE Intrants'!$G:$U,14,FALSE)</f>
        <v>0</v>
      </c>
      <c r="Z288" s="567">
        <f t="shared" ref="Z288" si="49">SUM(V288:Y288)</f>
        <v>0</v>
      </c>
      <c r="AA288" s="590">
        <f>$F288*VLOOKUP($B288&amp;"; "&amp;$H288,'FE Intrants'!$G:$U,15,FALSE)</f>
        <v>0</v>
      </c>
      <c r="AC288" s="2454">
        <f>IF($R288&lt;&gt;"votre valeur :",IF(ISNA(VLOOKUP($R288,Utilitaires!$N$566:$O$571,2,FALSE)),,VLOOKUP($R288,Utilitaires!$N$566:$O$571,2,FALSE)),$S288)</f>
        <v>0</v>
      </c>
      <c r="AD288" s="1130">
        <f>SQRT(SUMSQ(AC288,VLOOKUP(B288&amp;"; "&amp;$H288,'FE Intrants'!G:U,7,FALSE)))</f>
        <v>0.2</v>
      </c>
    </row>
    <row r="289" spans="2:30" s="114" customFormat="1" ht="13.2" outlineLevel="1">
      <c r="B289" s="143" t="s">
        <v>5111</v>
      </c>
      <c r="C289" s="144"/>
      <c r="D289" s="212">
        <f>N289</f>
        <v>0</v>
      </c>
      <c r="E289" s="213"/>
      <c r="F289" s="123"/>
      <c r="G289" s="2220">
        <f>VLOOKUP($B289&amp;"; "&amp;H289,'FE Intrants'!$G:$U,9,FALSE)</f>
        <v>630</v>
      </c>
      <c r="H289" s="1213" t="str">
        <f>VLOOKUP(B289,'FE Intrants'!F:U,5,FALSE)</f>
        <v>kgCO2e/tonne</v>
      </c>
      <c r="I289" s="213"/>
      <c r="J289" s="213"/>
      <c r="K289" s="213"/>
      <c r="L289" s="213"/>
      <c r="M289" s="213"/>
      <c r="N289" s="168">
        <f>F289*G289</f>
        <v>0</v>
      </c>
      <c r="Q289" s="319">
        <f t="shared" si="40"/>
        <v>0</v>
      </c>
      <c r="R289" s="1016"/>
      <c r="S289" s="820"/>
      <c r="T289" s="152">
        <f t="shared" si="36"/>
        <v>0</v>
      </c>
      <c r="V289" s="564">
        <f>IF($F289*VLOOKUP($B289&amp;"; "&amp;$H289,'FE Intrants'!$G:$U,10,FALSE)=0,N289,$F289*VLOOKUP($B289&amp;"; "&amp;$H289,'FE Intrants'!$G:$U,10,FALSE))</f>
        <v>0</v>
      </c>
      <c r="W289" s="565">
        <f>$F289*(VLOOKUP($B289&amp;"; "&amp;$H289,'FE Intrants'!$G:$U,11,FALSE)+VLOOKUP($B289&amp;"; "&amp;$H289,'FE Intrants'!$G:$U,12,FALSE))</f>
        <v>0</v>
      </c>
      <c r="X289" s="565">
        <f>$F289*VLOOKUP($B289&amp;"; "&amp;$H289,'FE Intrants'!$G:$U,13,FALSE)</f>
        <v>0</v>
      </c>
      <c r="Y289" s="565">
        <f>$F289*VLOOKUP($B289&amp;"; "&amp;$H289,'FE Intrants'!$G:$U,14,FALSE)</f>
        <v>0</v>
      </c>
      <c r="Z289" s="567">
        <f t="shared" si="46"/>
        <v>0</v>
      </c>
      <c r="AA289" s="590">
        <f>$F289*VLOOKUP($B289&amp;"; "&amp;$H289,'FE Intrants'!$G:$U,15,FALSE)</f>
        <v>0</v>
      </c>
      <c r="AC289" s="2344">
        <f>IF($R289&lt;&gt;"votre valeur :",IF(ISNA(VLOOKUP($R289,Utilitaires!$N$566:$O$571,2,FALSE)),,VLOOKUP($R289,Utilitaires!$N$566:$O$571,2,FALSE)),$S289)</f>
        <v>0</v>
      </c>
      <c r="AD289" s="1130">
        <f>SQRT(SUMSQ(AC289,VLOOKUP(B289&amp;"; "&amp;$H289,'FE Intrants'!G:U,7,FALSE)))</f>
        <v>0.2</v>
      </c>
    </row>
    <row r="290" spans="2:30" s="114" customFormat="1" ht="13.2" outlineLevel="1">
      <c r="B290" s="143"/>
      <c r="C290" s="144"/>
      <c r="D290" s="213"/>
      <c r="E290" s="213"/>
      <c r="F290" s="144"/>
      <c r="G290" s="144"/>
      <c r="H290" s="144"/>
      <c r="I290" s="213"/>
      <c r="J290" s="213"/>
      <c r="K290" s="213"/>
      <c r="L290" s="213"/>
      <c r="M290" s="213"/>
      <c r="N290" s="168"/>
      <c r="Q290" s="226"/>
      <c r="R290" s="144"/>
      <c r="S290" s="820"/>
      <c r="T290" s="152"/>
      <c r="V290" s="564"/>
      <c r="W290" s="565"/>
      <c r="X290" s="565"/>
      <c r="Y290" s="565"/>
      <c r="Z290" s="567"/>
      <c r="AA290" s="591"/>
      <c r="AC290" s="1143"/>
      <c r="AD290" s="1153"/>
    </row>
    <row r="291" spans="2:30" s="114" customFormat="1" ht="13.2" outlineLevel="1">
      <c r="B291" s="196" t="s">
        <v>348</v>
      </c>
      <c r="C291" s="197"/>
      <c r="D291" s="214">
        <f>SUM(D195:D290)</f>
        <v>27525.000000000004</v>
      </c>
      <c r="E291" s="214"/>
      <c r="F291" s="197"/>
      <c r="G291" s="204"/>
      <c r="H291" s="199"/>
      <c r="I291" s="204"/>
      <c r="J291" s="204"/>
      <c r="K291" s="204"/>
      <c r="L291" s="204"/>
      <c r="M291" s="204"/>
      <c r="N291" s="200">
        <f>SUM(N195:N290)</f>
        <v>27525.000000000004</v>
      </c>
      <c r="Q291" s="1204">
        <f>IF(T291=0,T291,T291/N291)</f>
        <v>0.5</v>
      </c>
      <c r="R291" s="199"/>
      <c r="S291" s="199"/>
      <c r="T291" s="200">
        <f>SQRT(SUMSQ(T195:T290))</f>
        <v>13762.500000000002</v>
      </c>
      <c r="V291" s="571">
        <f t="shared" ref="V291:AA291" si="50">SUM(V195:V290)</f>
        <v>27525.000000000004</v>
      </c>
      <c r="W291" s="572">
        <f t="shared" si="50"/>
        <v>0</v>
      </c>
      <c r="X291" s="572">
        <f t="shared" si="50"/>
        <v>0</v>
      </c>
      <c r="Y291" s="572">
        <f t="shared" si="50"/>
        <v>0</v>
      </c>
      <c r="Z291" s="574">
        <f t="shared" si="50"/>
        <v>27525.000000000004</v>
      </c>
      <c r="AA291" s="592">
        <f t="shared" si="50"/>
        <v>0</v>
      </c>
    </row>
    <row r="292" spans="2:30" s="114" customFormat="1" ht="13.2" outlineLevel="1">
      <c r="G292" s="116"/>
      <c r="V292" s="441"/>
      <c r="W292" s="441"/>
      <c r="X292" s="441"/>
      <c r="Y292" s="441"/>
      <c r="Z292" s="441"/>
      <c r="AA292" s="441"/>
    </row>
    <row r="293" spans="2:30" s="114" customFormat="1" ht="13.2">
      <c r="V293" s="441"/>
      <c r="W293" s="441"/>
      <c r="X293" s="441"/>
      <c r="Y293" s="441"/>
      <c r="Z293" s="441"/>
      <c r="AA293" s="441"/>
    </row>
    <row r="294" spans="2:30" s="114" customFormat="1" ht="15.6">
      <c r="B294" s="2652" t="s">
        <v>888</v>
      </c>
      <c r="C294" s="2653"/>
      <c r="D294" s="2653"/>
      <c r="E294" s="2653"/>
      <c r="F294" s="2653"/>
      <c r="G294" s="2653"/>
      <c r="H294" s="2653"/>
      <c r="I294" s="2653"/>
      <c r="J294" s="2653"/>
      <c r="K294" s="2653"/>
      <c r="L294" s="2653"/>
      <c r="M294" s="2653"/>
      <c r="N294" s="2653"/>
      <c r="O294" s="2654"/>
      <c r="V294" s="441"/>
      <c r="W294" s="441"/>
      <c r="X294" s="441"/>
      <c r="Y294" s="441"/>
      <c r="Z294" s="441"/>
      <c r="AA294" s="441"/>
    </row>
    <row r="295" spans="2:30" s="114" customFormat="1" ht="12.75" customHeight="1" outlineLevel="1">
      <c r="G295" s="116"/>
      <c r="V295" s="441"/>
      <c r="W295" s="441"/>
      <c r="X295" s="441"/>
      <c r="Y295" s="441"/>
      <c r="Z295" s="441"/>
      <c r="AA295" s="441"/>
    </row>
    <row r="296" spans="2:30" s="114" customFormat="1" ht="12.75" customHeight="1" outlineLevel="1">
      <c r="B296" s="139" t="s">
        <v>889</v>
      </c>
      <c r="C296" s="140"/>
      <c r="D296" s="1869" t="s">
        <v>2492</v>
      </c>
      <c r="E296" s="1624"/>
      <c r="F296" s="141"/>
      <c r="G296" s="141"/>
      <c r="H296" s="141"/>
      <c r="I296" s="142"/>
      <c r="K296" s="116"/>
      <c r="L296" s="2636" t="s">
        <v>366</v>
      </c>
      <c r="M296" s="2637"/>
      <c r="N296" s="2637"/>
      <c r="O296" s="2638"/>
      <c r="V296" s="2639" t="s">
        <v>441</v>
      </c>
      <c r="W296" s="2640"/>
      <c r="X296" s="2640"/>
      <c r="Y296" s="2640"/>
      <c r="Z296" s="2640"/>
      <c r="AA296" s="2641"/>
    </row>
    <row r="297" spans="2:30" s="114" customFormat="1" ht="12.75" customHeight="1" outlineLevel="1">
      <c r="B297" s="332"/>
      <c r="C297" s="167"/>
      <c r="D297" s="286" t="s">
        <v>308</v>
      </c>
      <c r="E297" s="1625"/>
      <c r="F297" s="155"/>
      <c r="G297" s="144"/>
      <c r="H297" s="144"/>
      <c r="I297" s="145"/>
      <c r="K297" s="116"/>
      <c r="L297" s="1208"/>
      <c r="M297" s="819"/>
      <c r="N297" s="827"/>
      <c r="O297" s="145"/>
      <c r="V297" s="2074"/>
      <c r="W297" s="2075"/>
      <c r="X297" s="2075"/>
      <c r="Y297" s="2075"/>
      <c r="Z297" s="2080"/>
      <c r="AA297" s="619"/>
      <c r="AC297" s="2766" t="s">
        <v>1648</v>
      </c>
      <c r="AD297" s="2767"/>
    </row>
    <row r="298" spans="2:30" s="114" customFormat="1" ht="12.75" customHeight="1" outlineLevel="1">
      <c r="B298" s="143"/>
      <c r="C298" s="144"/>
      <c r="D298" s="285" t="s">
        <v>409</v>
      </c>
      <c r="E298" s="1622"/>
      <c r="F298" s="147" t="s">
        <v>567</v>
      </c>
      <c r="G298" s="285" t="s">
        <v>2111</v>
      </c>
      <c r="H298" s="1209"/>
      <c r="I298" s="148" t="s">
        <v>444</v>
      </c>
      <c r="K298" s="116"/>
      <c r="L298" s="1208" t="s">
        <v>316</v>
      </c>
      <c r="M298" s="2629" t="s">
        <v>530</v>
      </c>
      <c r="N298" s="2630"/>
      <c r="O298" s="539" t="s">
        <v>444</v>
      </c>
      <c r="V298" s="2074" t="s">
        <v>444</v>
      </c>
      <c r="W298" s="2075"/>
      <c r="X298" s="2075"/>
      <c r="Y298" s="2075"/>
      <c r="Z298" s="2080" t="s">
        <v>444</v>
      </c>
      <c r="AA298" s="587"/>
      <c r="AC298" s="2069" t="s">
        <v>2167</v>
      </c>
      <c r="AD298" s="2079" t="s">
        <v>2187</v>
      </c>
    </row>
    <row r="299" spans="2:30" s="114" customFormat="1" ht="12.75" customHeight="1" outlineLevel="1">
      <c r="B299" s="146"/>
      <c r="C299" s="285"/>
      <c r="D299" s="285" t="s">
        <v>444</v>
      </c>
      <c r="E299" s="1622"/>
      <c r="F299" s="153" t="s">
        <v>270</v>
      </c>
      <c r="G299" s="285"/>
      <c r="H299" s="1209"/>
      <c r="I299" s="148"/>
      <c r="K299" s="116"/>
      <c r="L299" s="1208" t="s">
        <v>1649</v>
      </c>
      <c r="M299" s="2646"/>
      <c r="N299" s="2647"/>
      <c r="O299" s="539"/>
      <c r="V299" s="2071" t="s">
        <v>211</v>
      </c>
      <c r="W299" s="2072" t="s">
        <v>442</v>
      </c>
      <c r="X299" s="2072" t="s">
        <v>267</v>
      </c>
      <c r="Y299" s="2072" t="s">
        <v>443</v>
      </c>
      <c r="Z299" s="2073" t="s">
        <v>327</v>
      </c>
      <c r="AA299" s="589" t="s">
        <v>636</v>
      </c>
      <c r="AC299" s="2077"/>
      <c r="AD299" s="1130"/>
    </row>
    <row r="300" spans="2:30" s="114" customFormat="1" ht="12.75" customHeight="1" outlineLevel="1">
      <c r="B300" s="143" t="s">
        <v>5215</v>
      </c>
      <c r="C300" s="144"/>
      <c r="D300" s="212">
        <f>I300</f>
        <v>840</v>
      </c>
      <c r="E300" s="212"/>
      <c r="F300" s="117">
        <v>3</v>
      </c>
      <c r="G300" s="335">
        <f>VLOOKUP($B300&amp;"; "&amp;$G$298,'FE Intrants'!$G:$U,9,FALSE)</f>
        <v>280</v>
      </c>
      <c r="H300" s="335"/>
      <c r="I300" s="152">
        <f>F300*G300</f>
        <v>840</v>
      </c>
      <c r="K300" s="116"/>
      <c r="L300" s="319">
        <f>IF(O300=0,O300,O300/I300)</f>
        <v>0.8</v>
      </c>
      <c r="M300" s="1218" t="s">
        <v>2192</v>
      </c>
      <c r="N300" s="820"/>
      <c r="O300" s="152">
        <f>F300*G300*AD300</f>
        <v>672</v>
      </c>
      <c r="V300" s="564">
        <f>Z300</f>
        <v>840</v>
      </c>
      <c r="W300" s="565"/>
      <c r="X300" s="565"/>
      <c r="Y300" s="565"/>
      <c r="Z300" s="567">
        <f>I300</f>
        <v>840</v>
      </c>
      <c r="AA300" s="590"/>
      <c r="AC300" s="2077">
        <f>IF($M300&lt;&gt;"votre valeur :",IF(ISNA(VLOOKUP($M300,Utilitaires!$N$566:$O$571,2,FALSE)),,VLOOKUP($M300,Utilitaires!$N$566:$O$571,2,FALSE)),$N300)</f>
        <v>0</v>
      </c>
      <c r="AD300" s="1130">
        <f>SQRT(SUMSQ(AC300,VLOOKUP(B300&amp;"; "&amp;$G$298,'FE Intrants'!G:U,7,FALSE)))</f>
        <v>0.8</v>
      </c>
    </row>
    <row r="301" spans="2:30" s="114" customFormat="1" ht="12.75" customHeight="1" outlineLevel="1">
      <c r="B301" s="143" t="s">
        <v>2501</v>
      </c>
      <c r="C301" s="144"/>
      <c r="D301" s="212">
        <f>I301</f>
        <v>28000</v>
      </c>
      <c r="E301" s="212"/>
      <c r="F301" s="120">
        <v>40</v>
      </c>
      <c r="G301" s="335">
        <f>VLOOKUP($B301&amp;"; "&amp;$G$298,'FE Intrants'!$G:$U,9,FALSE)</f>
        <v>700</v>
      </c>
      <c r="H301" s="335"/>
      <c r="I301" s="152">
        <f>F301*G301</f>
        <v>28000</v>
      </c>
      <c r="K301" s="116"/>
      <c r="L301" s="319">
        <f>IF(O301=0,O301,O301/I301)</f>
        <v>0.8</v>
      </c>
      <c r="M301" s="1218" t="s">
        <v>2192</v>
      </c>
      <c r="N301" s="820"/>
      <c r="O301" s="152">
        <f>F301*G301*AD301</f>
        <v>22400</v>
      </c>
      <c r="V301" s="564">
        <f>Z301</f>
        <v>28000</v>
      </c>
      <c r="W301" s="565"/>
      <c r="X301" s="565"/>
      <c r="Y301" s="565"/>
      <c r="Z301" s="567">
        <f>I301</f>
        <v>28000</v>
      </c>
      <c r="AA301" s="590"/>
      <c r="AC301" s="2077">
        <f>IF($M301&lt;&gt;"votre valeur :",IF(ISNA(VLOOKUP($M301,Utilitaires!$N$566:$O$571,2,FALSE)),,VLOOKUP($M301,Utilitaires!$N$566:$O$571,2,FALSE)),$N301)</f>
        <v>0</v>
      </c>
      <c r="AD301" s="1130">
        <f>SQRT(SUMSQ(AC301,VLOOKUP(B301&amp;"; "&amp;$G$298,'FE Intrants'!G:U,7,FALSE)))</f>
        <v>0.8</v>
      </c>
    </row>
    <row r="302" spans="2:30" s="114" customFormat="1" ht="12.75" customHeight="1" outlineLevel="1">
      <c r="B302" s="143" t="s">
        <v>5213</v>
      </c>
      <c r="C302" s="144"/>
      <c r="D302" s="212">
        <f>I302</f>
        <v>2890</v>
      </c>
      <c r="E302" s="212"/>
      <c r="F302" s="123">
        <v>17</v>
      </c>
      <c r="G302" s="335">
        <f>VLOOKUP($B302&amp;"; "&amp;$G$298,'FE Intrants'!$G:$U,9,FALSE)</f>
        <v>170</v>
      </c>
      <c r="H302" s="335"/>
      <c r="I302" s="152">
        <f>F302*G302</f>
        <v>2890</v>
      </c>
      <c r="K302" s="116"/>
      <c r="L302" s="319">
        <f>IF(O302=0,O302,O302/I302)</f>
        <v>0.8</v>
      </c>
      <c r="M302" s="1218"/>
      <c r="N302" s="820"/>
      <c r="O302" s="152">
        <f>F302*G302*AD302</f>
        <v>2312</v>
      </c>
      <c r="V302" s="564">
        <f>Z302</f>
        <v>2890</v>
      </c>
      <c r="W302" s="565"/>
      <c r="X302" s="565"/>
      <c r="Y302" s="565"/>
      <c r="Z302" s="567">
        <f>I302</f>
        <v>2890</v>
      </c>
      <c r="AA302" s="590"/>
      <c r="AC302" s="2077">
        <f>IF($M302&lt;&gt;"votre valeur :",IF(ISNA(VLOOKUP($M302,Utilitaires!$N$566:$O$571,2,FALSE)),,VLOOKUP($M302,Utilitaires!$N$566:$O$571,2,FALSE)),$N302)</f>
        <v>0</v>
      </c>
      <c r="AD302" s="1130">
        <f>SQRT(SUMSQ(AC302,VLOOKUP(B302&amp;"; "&amp;$G$298,'FE Intrants'!G:U,7,FALSE)))</f>
        <v>0.8</v>
      </c>
    </row>
    <row r="303" spans="2:30" s="114" customFormat="1" ht="12.75" customHeight="1" outlineLevel="1">
      <c r="B303" s="143"/>
      <c r="C303" s="144"/>
      <c r="D303" s="213"/>
      <c r="E303" s="213"/>
      <c r="F303" s="144"/>
      <c r="G303" s="144"/>
      <c r="H303" s="335"/>
      <c r="I303" s="168"/>
      <c r="K303" s="116"/>
      <c r="L303" s="226"/>
      <c r="M303" s="144"/>
      <c r="N303" s="820"/>
      <c r="O303" s="152"/>
      <c r="V303" s="564">
        <f>Z303</f>
        <v>0</v>
      </c>
      <c r="W303" s="565"/>
      <c r="X303" s="565"/>
      <c r="Y303" s="565"/>
      <c r="Z303" s="567"/>
      <c r="AA303" s="591"/>
      <c r="AC303" s="2068"/>
      <c r="AD303" s="1153"/>
    </row>
    <row r="304" spans="2:30" s="114" customFormat="1" ht="12.75" customHeight="1" outlineLevel="1">
      <c r="B304" s="196" t="s">
        <v>348</v>
      </c>
      <c r="C304" s="197"/>
      <c r="D304" s="214">
        <f>SUM(D300:D303)</f>
        <v>31730</v>
      </c>
      <c r="E304" s="214"/>
      <c r="F304" s="199"/>
      <c r="G304" s="199"/>
      <c r="H304" s="199"/>
      <c r="I304" s="200">
        <f>SUM(I300:I303)</f>
        <v>31730</v>
      </c>
      <c r="K304" s="116"/>
      <c r="L304" s="1204">
        <f>IF(O304=0,O304,O304/I304)</f>
        <v>0.71002282144496975</v>
      </c>
      <c r="M304" s="199"/>
      <c r="N304" s="199"/>
      <c r="O304" s="200">
        <f>SQRT(SUMSQ(O300:O303))</f>
        <v>22529.02412444889</v>
      </c>
      <c r="V304" s="571">
        <f t="shared" ref="V304:AA304" si="51">SUM(V300:V303)</f>
        <v>31730</v>
      </c>
      <c r="W304" s="572">
        <f t="shared" si="51"/>
        <v>0</v>
      </c>
      <c r="X304" s="572">
        <f t="shared" si="51"/>
        <v>0</v>
      </c>
      <c r="Y304" s="572">
        <f t="shared" si="51"/>
        <v>0</v>
      </c>
      <c r="Z304" s="574">
        <f t="shared" si="51"/>
        <v>31730</v>
      </c>
      <c r="AA304" s="592">
        <f t="shared" si="51"/>
        <v>0</v>
      </c>
    </row>
    <row r="305" spans="2:30" s="114" customFormat="1" ht="13.2">
      <c r="G305" s="116"/>
      <c r="V305" s="441"/>
      <c r="W305" s="441"/>
      <c r="X305" s="441"/>
      <c r="Y305" s="441"/>
      <c r="Z305" s="441"/>
      <c r="AA305" s="441"/>
    </row>
    <row r="306" spans="2:30" s="114" customFormat="1" ht="15.6">
      <c r="B306" s="2652" t="s">
        <v>2493</v>
      </c>
      <c r="C306" s="2653"/>
      <c r="D306" s="2653"/>
      <c r="E306" s="2653"/>
      <c r="F306" s="2653"/>
      <c r="G306" s="2653"/>
      <c r="H306" s="2653"/>
      <c r="I306" s="2653"/>
      <c r="J306" s="2653"/>
      <c r="K306" s="2653"/>
      <c r="L306" s="2653"/>
      <c r="M306" s="2653"/>
      <c r="N306" s="2653"/>
      <c r="O306" s="2654"/>
      <c r="X306" s="441"/>
      <c r="Y306" s="441"/>
      <c r="Z306" s="441"/>
      <c r="AA306" s="441"/>
    </row>
    <row r="307" spans="2:30" s="114" customFormat="1" ht="12.75" customHeight="1" outlineLevel="1">
      <c r="V307" s="441"/>
      <c r="W307" s="441"/>
      <c r="X307" s="441"/>
      <c r="Y307" s="441"/>
      <c r="Z307" s="441"/>
      <c r="AA307" s="441"/>
    </row>
    <row r="308" spans="2:30" s="114" customFormat="1" ht="12.75" customHeight="1" outlineLevel="1">
      <c r="B308" s="139" t="s">
        <v>2386</v>
      </c>
      <c r="C308" s="140"/>
      <c r="D308" s="1396"/>
      <c r="E308" s="1624"/>
      <c r="F308" s="141"/>
      <c r="G308" s="141"/>
      <c r="H308" s="141"/>
      <c r="I308" s="142"/>
      <c r="K308" s="116"/>
      <c r="L308" s="2636" t="s">
        <v>366</v>
      </c>
      <c r="M308" s="2637"/>
      <c r="N308" s="2637"/>
      <c r="O308" s="2638"/>
      <c r="V308" s="2639" t="s">
        <v>441</v>
      </c>
      <c r="W308" s="2640"/>
      <c r="X308" s="2640"/>
      <c r="Y308" s="2640"/>
      <c r="Z308" s="2640"/>
      <c r="AA308" s="2641"/>
    </row>
    <row r="309" spans="2:30" s="114" customFormat="1" ht="12.75" customHeight="1" outlineLevel="1">
      <c r="B309" s="332"/>
      <c r="C309" s="167"/>
      <c r="D309" s="1402" t="s">
        <v>308</v>
      </c>
      <c r="E309" s="1625"/>
      <c r="F309" s="155"/>
      <c r="G309" s="144"/>
      <c r="H309" s="144"/>
      <c r="I309" s="145"/>
      <c r="K309" s="116"/>
      <c r="L309" s="1376"/>
      <c r="M309" s="819"/>
      <c r="N309" s="827"/>
      <c r="O309" s="145"/>
      <c r="V309" s="2074"/>
      <c r="W309" s="2075"/>
      <c r="X309" s="2075"/>
      <c r="Y309" s="2075"/>
      <c r="Z309" s="2080"/>
      <c r="AA309" s="619"/>
      <c r="AC309" s="2766" t="s">
        <v>1648</v>
      </c>
      <c r="AD309" s="2767"/>
    </row>
    <row r="310" spans="2:30" s="114" customFormat="1" ht="12.75" customHeight="1" outlineLevel="1">
      <c r="B310" s="143"/>
      <c r="C310" s="144"/>
      <c r="D310" s="1377" t="s">
        <v>409</v>
      </c>
      <c r="E310" s="1622"/>
      <c r="F310" s="147" t="s">
        <v>567</v>
      </c>
      <c r="G310" s="1377" t="s">
        <v>2111</v>
      </c>
      <c r="H310" s="1377"/>
      <c r="I310" s="1403" t="s">
        <v>444</v>
      </c>
      <c r="K310" s="116"/>
      <c r="L310" s="1376" t="s">
        <v>316</v>
      </c>
      <c r="M310" s="2629" t="s">
        <v>530</v>
      </c>
      <c r="N310" s="2630"/>
      <c r="O310" s="1403" t="s">
        <v>444</v>
      </c>
      <c r="V310" s="2074" t="s">
        <v>444</v>
      </c>
      <c r="W310" s="2075"/>
      <c r="X310" s="2075"/>
      <c r="Y310" s="2075"/>
      <c r="Z310" s="2080" t="s">
        <v>444</v>
      </c>
      <c r="AA310" s="587"/>
      <c r="AC310" s="2069" t="s">
        <v>2167</v>
      </c>
      <c r="AD310" s="2079" t="s">
        <v>2187</v>
      </c>
    </row>
    <row r="311" spans="2:30" s="114" customFormat="1" ht="12.75" customHeight="1" outlineLevel="1">
      <c r="B311" s="1376"/>
      <c r="C311" s="1377"/>
      <c r="D311" s="1377" t="s">
        <v>444</v>
      </c>
      <c r="E311" s="1622"/>
      <c r="F311" s="153" t="s">
        <v>270</v>
      </c>
      <c r="G311" s="1377"/>
      <c r="H311" s="1377"/>
      <c r="I311" s="1403"/>
      <c r="K311" s="116"/>
      <c r="L311" s="1376" t="s">
        <v>1649</v>
      </c>
      <c r="M311" s="2646"/>
      <c r="N311" s="2647"/>
      <c r="O311" s="1403"/>
      <c r="V311" s="2071" t="s">
        <v>211</v>
      </c>
      <c r="W311" s="2072" t="s">
        <v>442</v>
      </c>
      <c r="X311" s="2072" t="s">
        <v>267</v>
      </c>
      <c r="Y311" s="2072" t="s">
        <v>443</v>
      </c>
      <c r="Z311" s="2073" t="s">
        <v>327</v>
      </c>
      <c r="AA311" s="589" t="s">
        <v>636</v>
      </c>
      <c r="AC311" s="2077"/>
      <c r="AD311" s="1130"/>
    </row>
    <row r="312" spans="2:30" s="114" customFormat="1" ht="12.75" customHeight="1" outlineLevel="1">
      <c r="B312" s="143" t="s">
        <v>5214</v>
      </c>
      <c r="C312" s="144"/>
      <c r="D312" s="212">
        <f>I312</f>
        <v>8925</v>
      </c>
      <c r="E312" s="212"/>
      <c r="F312" s="117">
        <v>52.5</v>
      </c>
      <c r="G312" s="335">
        <f>VLOOKUP($B312&amp;"; "&amp;$G$298,'FE Intrants'!$G:$U,9,FALSE)</f>
        <v>170</v>
      </c>
      <c r="H312" s="335"/>
      <c r="I312" s="152">
        <f>F312*G312</f>
        <v>8925</v>
      </c>
      <c r="K312" s="116"/>
      <c r="L312" s="319">
        <f>IF(O312=0,O312,O312/I312)</f>
        <v>0.8</v>
      </c>
      <c r="M312" s="1218" t="s">
        <v>2192</v>
      </c>
      <c r="N312" s="820"/>
      <c r="O312" s="152">
        <f>F312*G312*AD312</f>
        <v>7140</v>
      </c>
      <c r="V312" s="564">
        <f t="shared" ref="V312:V317" si="52">Z312</f>
        <v>8925</v>
      </c>
      <c r="W312" s="565"/>
      <c r="X312" s="565"/>
      <c r="Y312" s="565"/>
      <c r="Z312" s="567">
        <f>I312</f>
        <v>8925</v>
      </c>
      <c r="AA312" s="590"/>
      <c r="AC312" s="2077">
        <f>IF($M312&lt;&gt;"votre valeur :",IF(ISNA(VLOOKUP($M312,Utilitaires!$N$566:$O$571,2,FALSE)),,VLOOKUP($M312,Utilitaires!$N$566:$O$571,2,FALSE)),$N312)</f>
        <v>0</v>
      </c>
      <c r="AD312" s="1130">
        <f>SQRT(SUMSQ(AC312,VLOOKUP(B312&amp;"; "&amp;$G$298,'FE Intrants'!G:U,7,FALSE)))</f>
        <v>0.8</v>
      </c>
    </row>
    <row r="313" spans="2:30" s="114" customFormat="1" ht="12.75" customHeight="1" outlineLevel="1">
      <c r="B313" s="143" t="s">
        <v>2387</v>
      </c>
      <c r="C313" s="144"/>
      <c r="D313" s="212">
        <f>I313</f>
        <v>1650</v>
      </c>
      <c r="E313" s="212"/>
      <c r="F313" s="120">
        <v>15</v>
      </c>
      <c r="G313" s="335">
        <f>VLOOKUP($B313&amp;"; "&amp;$G$298,'FE Intrants'!$G:$U,9,FALSE)</f>
        <v>110</v>
      </c>
      <c r="H313" s="335"/>
      <c r="I313" s="152">
        <f>F313*G313</f>
        <v>1650</v>
      </c>
      <c r="K313" s="116"/>
      <c r="L313" s="319">
        <f>IF(O313=0,O313,O313/I313)</f>
        <v>0.8</v>
      </c>
      <c r="M313" s="1218" t="s">
        <v>2192</v>
      </c>
      <c r="N313" s="820"/>
      <c r="O313" s="152">
        <f>F313*G313*AD313</f>
        <v>1320</v>
      </c>
      <c r="V313" s="564">
        <f t="shared" si="52"/>
        <v>1650</v>
      </c>
      <c r="W313" s="565"/>
      <c r="X313" s="565"/>
      <c r="Y313" s="565"/>
      <c r="Z313" s="567">
        <f>I313</f>
        <v>1650</v>
      </c>
      <c r="AA313" s="590"/>
      <c r="AC313" s="2077">
        <f>IF($M313&lt;&gt;"votre valeur :",IF(ISNA(VLOOKUP($M313,Utilitaires!$N$566:$O$571,2,FALSE)),,VLOOKUP($M313,Utilitaires!$N$566:$O$571,2,FALSE)),$N313)</f>
        <v>0</v>
      </c>
      <c r="AD313" s="1130">
        <f>SQRT(SUMSQ(AC313,VLOOKUP(B313&amp;"; "&amp;$G$298,'FE Intrants'!G:U,7,FALSE)))</f>
        <v>0.8</v>
      </c>
    </row>
    <row r="314" spans="2:30" s="114" customFormat="1" ht="12.75" customHeight="1" outlineLevel="1">
      <c r="B314" s="143" t="s">
        <v>5214</v>
      </c>
      <c r="C314" s="144"/>
      <c r="D314" s="212">
        <f>I314</f>
        <v>3094</v>
      </c>
      <c r="E314" s="212"/>
      <c r="F314" s="123">
        <v>18.2</v>
      </c>
      <c r="G314" s="335">
        <f>VLOOKUP($B314&amp;"; "&amp;$G$298,'FE Intrants'!$G:$U,9,FALSE)</f>
        <v>170</v>
      </c>
      <c r="H314" s="335"/>
      <c r="I314" s="152">
        <f>F314*G314</f>
        <v>3094</v>
      </c>
      <c r="K314" s="116"/>
      <c r="L314" s="319">
        <f>IF(O314=0,O314,O314/I314)</f>
        <v>0.8</v>
      </c>
      <c r="M314" s="1218" t="s">
        <v>2192</v>
      </c>
      <c r="N314" s="820"/>
      <c r="O314" s="152">
        <f>F314*G314*AD314</f>
        <v>2475.2000000000003</v>
      </c>
      <c r="V314" s="564">
        <f t="shared" si="52"/>
        <v>3094</v>
      </c>
      <c r="W314" s="565"/>
      <c r="X314" s="565"/>
      <c r="Y314" s="565"/>
      <c r="Z314" s="567">
        <f>I314</f>
        <v>3094</v>
      </c>
      <c r="AA314" s="590"/>
      <c r="AC314" s="2077">
        <f>IF($M314&lt;&gt;"votre valeur :",IF(ISNA(VLOOKUP($M314,Utilitaires!$N$566:$O$571,2,FALSE)),,VLOOKUP($M314,Utilitaires!$N$566:$O$571,2,FALSE)),$N314)</f>
        <v>0</v>
      </c>
      <c r="AD314" s="1130">
        <f>SQRT(SUMSQ(AC314,VLOOKUP(B314&amp;"; "&amp;$G$298,'FE Intrants'!G:U,7,FALSE)))</f>
        <v>0.8</v>
      </c>
    </row>
    <row r="315" spans="2:30" s="114" customFormat="1" ht="12.75" customHeight="1" outlineLevel="1">
      <c r="B315" s="143" t="s">
        <v>5216</v>
      </c>
      <c r="C315" s="144"/>
      <c r="D315" s="212">
        <f>I315</f>
        <v>4620</v>
      </c>
      <c r="E315" s="212"/>
      <c r="F315" s="123">
        <v>38.5</v>
      </c>
      <c r="G315" s="335">
        <f>VLOOKUP($B315&amp;"; "&amp;$G$298,'FE Intrants'!$G:$U,9,FALSE)</f>
        <v>120</v>
      </c>
      <c r="H315" s="335"/>
      <c r="I315" s="152">
        <f>F315*G315</f>
        <v>4620</v>
      </c>
      <c r="K315" s="116"/>
      <c r="L315" s="319">
        <f>IF(O315=0,O315,O315/I315)</f>
        <v>0.8</v>
      </c>
      <c r="M315" s="1218" t="s">
        <v>2192</v>
      </c>
      <c r="N315" s="820"/>
      <c r="O315" s="152">
        <f>F315*G315*AD315</f>
        <v>3696</v>
      </c>
      <c r="V315" s="564">
        <f t="shared" si="52"/>
        <v>4620</v>
      </c>
      <c r="W315" s="565"/>
      <c r="X315" s="565"/>
      <c r="Y315" s="565"/>
      <c r="Z315" s="567">
        <f>I315</f>
        <v>4620</v>
      </c>
      <c r="AA315" s="590"/>
      <c r="AC315" s="2594">
        <f>IF($M315&lt;&gt;"votre valeur :",IF(ISNA(VLOOKUP($M315,Utilitaires!$N$566:$O$571,2,FALSE)),,VLOOKUP($M315,Utilitaires!$N$566:$O$571,2,FALSE)),$N315)</f>
        <v>0</v>
      </c>
      <c r="AD315" s="1130">
        <f>SQRT(SUMSQ(AC315,VLOOKUP(B315&amp;"; "&amp;$G$298,'FE Intrants'!G:U,7,FALSE)))</f>
        <v>0.8</v>
      </c>
    </row>
    <row r="316" spans="2:30" s="114" customFormat="1" ht="12.75" customHeight="1" outlineLevel="1">
      <c r="B316" s="143" t="s">
        <v>2387</v>
      </c>
      <c r="C316" s="144"/>
      <c r="D316" s="212">
        <f>I316</f>
        <v>638</v>
      </c>
      <c r="E316" s="212"/>
      <c r="F316" s="123">
        <v>5.8</v>
      </c>
      <c r="G316" s="335">
        <f>VLOOKUP($B316&amp;"; "&amp;$G$298,'FE Intrants'!$G:$U,9,FALSE)</f>
        <v>110</v>
      </c>
      <c r="H316" s="335"/>
      <c r="I316" s="152">
        <f>F316*G316</f>
        <v>638</v>
      </c>
      <c r="K316" s="116"/>
      <c r="L316" s="319">
        <f>IF(O316=0,O316,O316/I316)</f>
        <v>0.8</v>
      </c>
      <c r="M316" s="1218" t="s">
        <v>2192</v>
      </c>
      <c r="N316" s="820"/>
      <c r="O316" s="152">
        <f>F316*G316*AD316</f>
        <v>510.40000000000003</v>
      </c>
      <c r="V316" s="564">
        <f t="shared" si="52"/>
        <v>638</v>
      </c>
      <c r="W316" s="565"/>
      <c r="X316" s="565"/>
      <c r="Y316" s="565"/>
      <c r="Z316" s="567">
        <f>I316</f>
        <v>638</v>
      </c>
      <c r="AA316" s="590"/>
      <c r="AC316" s="2594">
        <f>IF($M316&lt;&gt;"votre valeur :",IF(ISNA(VLOOKUP($M316,Utilitaires!$N$566:$O$571,2,FALSE)),,VLOOKUP($M316,Utilitaires!$N$566:$O$571,2,FALSE)),$N316)</f>
        <v>0</v>
      </c>
      <c r="AD316" s="1130">
        <f>SQRT(SUMSQ(AC316,VLOOKUP(B316&amp;"; "&amp;$G$298,'FE Intrants'!G:U,7,FALSE)))</f>
        <v>0.8</v>
      </c>
    </row>
    <row r="317" spans="2:30" s="114" customFormat="1" ht="12.75" customHeight="1" outlineLevel="1">
      <c r="B317" s="143"/>
      <c r="C317" s="144"/>
      <c r="D317" s="213"/>
      <c r="E317" s="213"/>
      <c r="F317" s="144"/>
      <c r="G317" s="144"/>
      <c r="H317" s="335"/>
      <c r="I317" s="168"/>
      <c r="K317" s="116"/>
      <c r="L317" s="226"/>
      <c r="M317" s="144"/>
      <c r="N317" s="820"/>
      <c r="O317" s="152"/>
      <c r="V317" s="564">
        <f t="shared" si="52"/>
        <v>0</v>
      </c>
      <c r="W317" s="565"/>
      <c r="X317" s="565"/>
      <c r="Y317" s="565"/>
      <c r="Z317" s="567"/>
      <c r="AA317" s="591"/>
      <c r="AC317" s="2068"/>
      <c r="AD317" s="1153"/>
    </row>
    <row r="318" spans="2:30" s="114" customFormat="1" ht="12.75" customHeight="1" outlineLevel="1">
      <c r="B318" s="196" t="s">
        <v>348</v>
      </c>
      <c r="C318" s="197"/>
      <c r="D318" s="214">
        <f>SUM(D312:D317)</f>
        <v>18927</v>
      </c>
      <c r="E318" s="214"/>
      <c r="F318" s="199"/>
      <c r="G318" s="199"/>
      <c r="H318" s="199"/>
      <c r="I318" s="200">
        <f>SUM(I312:I317)</f>
        <v>18927</v>
      </c>
      <c r="K318" s="116"/>
      <c r="L318" s="1204">
        <f>IF(O318=0,O318,O318/I318)</f>
        <v>0.45070567897220859</v>
      </c>
      <c r="M318" s="199"/>
      <c r="N318" s="199"/>
      <c r="O318" s="200">
        <f>SQRT(SUMSQ(O312:O317))</f>
        <v>8530.5063859069924</v>
      </c>
      <c r="V318" s="571">
        <f t="shared" ref="V318:AA318" si="53">SUM(V312:V317)</f>
        <v>18927</v>
      </c>
      <c r="W318" s="572">
        <f t="shared" si="53"/>
        <v>0</v>
      </c>
      <c r="X318" s="572">
        <f t="shared" si="53"/>
        <v>0</v>
      </c>
      <c r="Y318" s="572">
        <f t="shared" si="53"/>
        <v>0</v>
      </c>
      <c r="Z318" s="574">
        <f t="shared" si="53"/>
        <v>18927</v>
      </c>
      <c r="AA318" s="592">
        <f t="shared" si="53"/>
        <v>0</v>
      </c>
    </row>
    <row r="319" spans="2:30" s="114" customFormat="1" ht="12.75" customHeight="1" outlineLevel="1">
      <c r="G319" s="116"/>
      <c r="P319" s="441"/>
      <c r="Z319" s="441"/>
      <c r="AA319" s="441"/>
      <c r="AB319" s="441"/>
      <c r="AC319" s="441"/>
      <c r="AD319" s="441"/>
    </row>
    <row r="320" spans="2:30" s="114" customFormat="1" ht="13.2">
      <c r="G320" s="116"/>
      <c r="K320" s="116"/>
      <c r="P320" s="441"/>
      <c r="Z320" s="441"/>
      <c r="AA320" s="441"/>
      <c r="AB320" s="441"/>
      <c r="AC320" s="441"/>
      <c r="AD320" s="441"/>
    </row>
    <row r="321" spans="2:30" ht="20.100000000000001" customHeight="1">
      <c r="B321" s="2664" t="s">
        <v>518</v>
      </c>
      <c r="C321" s="2665"/>
      <c r="D321" s="2665"/>
      <c r="E321" s="2665"/>
      <c r="F321" s="2665"/>
      <c r="G321" s="2665"/>
      <c r="H321" s="2665"/>
      <c r="I321" s="2665"/>
      <c r="J321" s="2665"/>
      <c r="K321" s="2665"/>
      <c r="L321" s="2665"/>
      <c r="M321" s="2665"/>
      <c r="N321" s="2665"/>
      <c r="O321" s="2666"/>
      <c r="P321" s="441"/>
      <c r="Z321" s="441"/>
      <c r="AA321" s="441"/>
      <c r="AB321" s="441"/>
      <c r="AC321" s="441"/>
      <c r="AD321" s="441"/>
    </row>
    <row r="322" spans="2:30" s="114" customFormat="1" ht="13.2">
      <c r="O322" s="441"/>
      <c r="U322" s="441"/>
      <c r="V322" s="441"/>
      <c r="W322" s="441"/>
      <c r="X322" s="441"/>
      <c r="Y322" s="441"/>
    </row>
    <row r="323" spans="2:30" s="114" customFormat="1" ht="12.75" customHeight="1">
      <c r="B323" s="2667" t="str">
        <f>Descriptif!C27</f>
        <v>Intrants 1</v>
      </c>
      <c r="C323" s="2668"/>
      <c r="D323" s="2671" t="s">
        <v>409</v>
      </c>
      <c r="E323" s="2672"/>
      <c r="F323" s="2673"/>
      <c r="G323" s="129"/>
      <c r="H323" s="2671" t="s">
        <v>159</v>
      </c>
      <c r="I323" s="2673"/>
      <c r="J323" s="170"/>
      <c r="K323" s="2674" t="s">
        <v>499</v>
      </c>
      <c r="L323" s="2675"/>
      <c r="M323" s="2675"/>
      <c r="N323" s="2676"/>
      <c r="O323" s="441"/>
      <c r="U323" s="441"/>
      <c r="V323" s="441"/>
      <c r="W323" s="441"/>
      <c r="X323" s="441"/>
      <c r="Y323" s="441"/>
    </row>
    <row r="324" spans="2:30" s="114" customFormat="1" ht="12.75" customHeight="1">
      <c r="B324" s="2669"/>
      <c r="C324" s="2670"/>
      <c r="D324" s="273" t="s">
        <v>444</v>
      </c>
      <c r="E324" s="276" t="s">
        <v>500</v>
      </c>
      <c r="F324" s="273" t="s">
        <v>524</v>
      </c>
      <c r="G324" s="129"/>
      <c r="H324" s="273" t="s">
        <v>444</v>
      </c>
      <c r="I324" s="273" t="s">
        <v>355</v>
      </c>
      <c r="J324" s="170"/>
      <c r="K324" s="277" t="s">
        <v>43</v>
      </c>
      <c r="L324" s="277" t="s">
        <v>522</v>
      </c>
      <c r="M324" s="277" t="s">
        <v>522</v>
      </c>
      <c r="N324" s="277" t="s">
        <v>523</v>
      </c>
      <c r="O324" s="441"/>
      <c r="U324" s="441"/>
      <c r="V324" s="441"/>
      <c r="W324" s="441"/>
      <c r="X324" s="441"/>
      <c r="Y324" s="441"/>
    </row>
    <row r="325" spans="2:30" s="91" customFormat="1" ht="13.2">
      <c r="B325" s="2660" t="s">
        <v>3</v>
      </c>
      <c r="C325" s="2661"/>
      <c r="D325" s="183">
        <f>D19</f>
        <v>2126670</v>
      </c>
      <c r="E325" s="184">
        <f t="shared" ref="E325:E332" si="54">D325/1000</f>
        <v>2126.67</v>
      </c>
      <c r="F325" s="185">
        <f t="shared" ref="F325:F335" si="55">IF($D$335=0,"",D325/$D$335)</f>
        <v>0.80004679890240771</v>
      </c>
      <c r="G325" s="128"/>
      <c r="H325" s="136">
        <f>O19</f>
        <v>369984.32643728307</v>
      </c>
      <c r="I325" s="185">
        <f t="shared" ref="I325:I335" si="56">IF(D325=0,"",H325/D325)</f>
        <v>0.17397354852294106</v>
      </c>
      <c r="J325" s="170"/>
      <c r="K325" s="187">
        <f t="shared" ref="K325:K335" si="57">(D325-H325)/1000</f>
        <v>1756.6856735627168</v>
      </c>
      <c r="L325" s="187">
        <f t="shared" ref="L325:L335" si="58">E325</f>
        <v>2126.67</v>
      </c>
      <c r="M325" s="187">
        <f t="shared" ref="M325:M335" si="59">E325</f>
        <v>2126.67</v>
      </c>
      <c r="N325" s="187">
        <f t="shared" ref="N325:N335" si="60">(D325+H325)/1000</f>
        <v>2496.6543264372831</v>
      </c>
      <c r="O325" s="595"/>
      <c r="U325" s="595"/>
      <c r="V325" s="595"/>
      <c r="W325" s="595"/>
      <c r="X325" s="595"/>
      <c r="Y325" s="595"/>
    </row>
    <row r="326" spans="2:30" s="91" customFormat="1" ht="13.2">
      <c r="B326" s="2660" t="s">
        <v>207</v>
      </c>
      <c r="C326" s="2661"/>
      <c r="D326" s="183">
        <f>D33</f>
        <v>370260</v>
      </c>
      <c r="E326" s="184">
        <f t="shared" si="54"/>
        <v>370.26</v>
      </c>
      <c r="F326" s="185">
        <f t="shared" si="55"/>
        <v>0.13929068814701176</v>
      </c>
      <c r="G326" s="128"/>
      <c r="H326" s="136">
        <f>O33</f>
        <v>92565</v>
      </c>
      <c r="I326" s="185">
        <f t="shared" si="56"/>
        <v>0.25</v>
      </c>
      <c r="J326" s="170"/>
      <c r="K326" s="187">
        <f t="shared" si="57"/>
        <v>277.69499999999999</v>
      </c>
      <c r="L326" s="187">
        <f t="shared" si="58"/>
        <v>370.26</v>
      </c>
      <c r="M326" s="187">
        <f t="shared" si="59"/>
        <v>370.26</v>
      </c>
      <c r="N326" s="187">
        <f t="shared" si="60"/>
        <v>462.82499999999999</v>
      </c>
      <c r="O326" s="595"/>
      <c r="U326" s="595"/>
      <c r="V326" s="595"/>
      <c r="W326" s="595"/>
      <c r="X326" s="595"/>
      <c r="Y326" s="595"/>
    </row>
    <row r="327" spans="2:30" s="91" customFormat="1" ht="13.2">
      <c r="B327" s="2660" t="s">
        <v>297</v>
      </c>
      <c r="C327" s="2661"/>
      <c r="D327" s="183">
        <f>D47</f>
        <v>83070</v>
      </c>
      <c r="E327" s="184">
        <f t="shared" si="54"/>
        <v>83.07</v>
      </c>
      <c r="F327" s="185">
        <f t="shared" si="55"/>
        <v>3.1250681856998502E-2</v>
      </c>
      <c r="G327" s="128"/>
      <c r="H327" s="136">
        <f>O47</f>
        <v>43363.813084759975</v>
      </c>
      <c r="I327" s="185">
        <f t="shared" si="56"/>
        <v>0.52201532544552753</v>
      </c>
      <c r="J327" s="170"/>
      <c r="K327" s="187">
        <f t="shared" si="57"/>
        <v>39.706186915240025</v>
      </c>
      <c r="L327" s="187">
        <f t="shared" si="58"/>
        <v>83.07</v>
      </c>
      <c r="M327" s="187">
        <f t="shared" si="59"/>
        <v>83.07</v>
      </c>
      <c r="N327" s="187">
        <f t="shared" si="60"/>
        <v>126.43381308475998</v>
      </c>
      <c r="O327" s="595"/>
      <c r="U327" s="595"/>
      <c r="V327" s="595"/>
      <c r="W327" s="595"/>
      <c r="X327" s="595"/>
      <c r="Y327" s="595"/>
    </row>
    <row r="328" spans="2:30" s="91" customFormat="1" ht="13.2">
      <c r="B328" s="2660" t="s">
        <v>331</v>
      </c>
      <c r="C328" s="2661"/>
      <c r="D328" s="183">
        <f>D60</f>
        <v>0</v>
      </c>
      <c r="E328" s="184">
        <f t="shared" si="54"/>
        <v>0</v>
      </c>
      <c r="F328" s="185">
        <f t="shared" si="55"/>
        <v>0</v>
      </c>
      <c r="G328" s="128"/>
      <c r="H328" s="136">
        <f>O60</f>
        <v>0</v>
      </c>
      <c r="I328" s="185" t="str">
        <f t="shared" si="56"/>
        <v/>
      </c>
      <c r="J328" s="170"/>
      <c r="K328" s="187">
        <f t="shared" si="57"/>
        <v>0</v>
      </c>
      <c r="L328" s="187">
        <f t="shared" si="58"/>
        <v>0</v>
      </c>
      <c r="M328" s="187">
        <f t="shared" si="59"/>
        <v>0</v>
      </c>
      <c r="N328" s="187">
        <f t="shared" si="60"/>
        <v>0</v>
      </c>
      <c r="O328" s="595"/>
      <c r="U328" s="595"/>
      <c r="V328" s="595"/>
      <c r="W328" s="595"/>
      <c r="X328" s="595"/>
      <c r="Y328" s="595"/>
    </row>
    <row r="329" spans="2:30" s="91" customFormat="1" ht="13.2">
      <c r="B329" s="2660" t="s">
        <v>208</v>
      </c>
      <c r="C329" s="2661"/>
      <c r="D329" s="183">
        <f>D74</f>
        <v>0</v>
      </c>
      <c r="E329" s="184">
        <f t="shared" si="54"/>
        <v>0</v>
      </c>
      <c r="F329" s="185">
        <f t="shared" si="55"/>
        <v>0</v>
      </c>
      <c r="G329" s="128"/>
      <c r="H329" s="136">
        <f>O74</f>
        <v>0</v>
      </c>
      <c r="I329" s="185" t="str">
        <f t="shared" si="56"/>
        <v/>
      </c>
      <c r="J329" s="170"/>
      <c r="K329" s="187">
        <f t="shared" si="57"/>
        <v>0</v>
      </c>
      <c r="L329" s="187">
        <f t="shared" si="58"/>
        <v>0</v>
      </c>
      <c r="M329" s="187">
        <f t="shared" si="59"/>
        <v>0</v>
      </c>
      <c r="N329" s="187">
        <f t="shared" si="60"/>
        <v>0</v>
      </c>
      <c r="O329" s="595"/>
      <c r="U329" s="595"/>
      <c r="V329" s="595"/>
      <c r="W329" s="595"/>
      <c r="X329" s="595"/>
      <c r="Y329" s="595"/>
    </row>
    <row r="330" spans="2:30" s="91" customFormat="1" ht="13.2">
      <c r="B330" s="2660" t="s">
        <v>9</v>
      </c>
      <c r="C330" s="2661"/>
      <c r="D330" s="183">
        <f>D104</f>
        <v>0</v>
      </c>
      <c r="E330" s="184">
        <f t="shared" si="54"/>
        <v>0</v>
      </c>
      <c r="F330" s="185">
        <f t="shared" si="55"/>
        <v>0</v>
      </c>
      <c r="G330" s="128"/>
      <c r="H330" s="136">
        <f>T104</f>
        <v>0</v>
      </c>
      <c r="I330" s="185" t="str">
        <f t="shared" si="56"/>
        <v/>
      </c>
      <c r="J330" s="170"/>
      <c r="K330" s="187">
        <f t="shared" si="57"/>
        <v>0</v>
      </c>
      <c r="L330" s="187">
        <f t="shared" si="58"/>
        <v>0</v>
      </c>
      <c r="M330" s="187">
        <f t="shared" si="59"/>
        <v>0</v>
      </c>
      <c r="N330" s="187">
        <f t="shared" si="60"/>
        <v>0</v>
      </c>
      <c r="O330" s="595"/>
      <c r="U330" s="595"/>
      <c r="V330" s="595"/>
      <c r="W330" s="595"/>
      <c r="X330" s="595"/>
      <c r="Y330" s="595"/>
    </row>
    <row r="331" spans="2:30" s="91" customFormat="1" ht="13.2">
      <c r="B331" s="2660" t="s">
        <v>2119</v>
      </c>
      <c r="C331" s="2661"/>
      <c r="D331" s="183">
        <f>D168+D185</f>
        <v>0</v>
      </c>
      <c r="E331" s="184">
        <f t="shared" si="54"/>
        <v>0</v>
      </c>
      <c r="F331" s="185">
        <f t="shared" si="55"/>
        <v>0</v>
      </c>
      <c r="G331" s="128"/>
      <c r="H331" s="136">
        <f>SQRT(O168^2+O185^2)</f>
        <v>0</v>
      </c>
      <c r="I331" s="185" t="str">
        <f t="shared" si="56"/>
        <v/>
      </c>
      <c r="J331" s="170"/>
      <c r="K331" s="187">
        <f t="shared" si="57"/>
        <v>0</v>
      </c>
      <c r="L331" s="187">
        <f t="shared" si="58"/>
        <v>0</v>
      </c>
      <c r="M331" s="187">
        <f t="shared" si="59"/>
        <v>0</v>
      </c>
      <c r="N331" s="187">
        <f t="shared" si="60"/>
        <v>0</v>
      </c>
      <c r="O331" s="595"/>
      <c r="U331" s="595"/>
      <c r="V331" s="595"/>
      <c r="W331" s="595"/>
      <c r="X331" s="595"/>
      <c r="Y331" s="595"/>
    </row>
    <row r="332" spans="2:30" s="91" customFormat="1" ht="13.2">
      <c r="B332" s="2660" t="s">
        <v>887</v>
      </c>
      <c r="C332" s="2661"/>
      <c r="D332" s="183">
        <f>D291</f>
        <v>27525.000000000004</v>
      </c>
      <c r="E332" s="184">
        <f t="shared" si="54"/>
        <v>27.525000000000002</v>
      </c>
      <c r="F332" s="185">
        <f t="shared" si="55"/>
        <v>1.0354821453158589E-2</v>
      </c>
      <c r="G332" s="128"/>
      <c r="H332" s="136">
        <f>T291</f>
        <v>13762.500000000002</v>
      </c>
      <c r="I332" s="185">
        <f t="shared" si="56"/>
        <v>0.5</v>
      </c>
      <c r="J332" s="170"/>
      <c r="K332" s="187">
        <f t="shared" si="57"/>
        <v>13.762500000000001</v>
      </c>
      <c r="L332" s="187">
        <f t="shared" si="58"/>
        <v>27.525000000000002</v>
      </c>
      <c r="M332" s="187">
        <f t="shared" si="59"/>
        <v>27.525000000000002</v>
      </c>
      <c r="N332" s="187">
        <f t="shared" si="60"/>
        <v>41.287500000000009</v>
      </c>
      <c r="O332" s="595"/>
      <c r="U332" s="595"/>
      <c r="V332" s="595"/>
      <c r="W332" s="595"/>
      <c r="X332" s="595"/>
      <c r="Y332" s="595"/>
    </row>
    <row r="333" spans="2:30" s="91" customFormat="1" ht="13.2">
      <c r="B333" s="1172" t="s">
        <v>890</v>
      </c>
      <c r="C333" s="2048"/>
      <c r="D333" s="183">
        <f>D304</f>
        <v>31730</v>
      </c>
      <c r="E333" s="184">
        <f>D333/1000</f>
        <v>31.73</v>
      </c>
      <c r="F333" s="185">
        <f t="shared" si="55"/>
        <v>1.1936729689690171E-2</v>
      </c>
      <c r="G333" s="128"/>
      <c r="H333" s="1173">
        <f>O304</f>
        <v>22529.02412444889</v>
      </c>
      <c r="I333" s="185">
        <f t="shared" si="56"/>
        <v>0.71002282144496975</v>
      </c>
      <c r="J333" s="170"/>
      <c r="K333" s="187">
        <f t="shared" si="57"/>
        <v>9.2009758755511104</v>
      </c>
      <c r="L333" s="2049">
        <f t="shared" si="58"/>
        <v>31.73</v>
      </c>
      <c r="M333" s="2049">
        <f t="shared" si="59"/>
        <v>31.73</v>
      </c>
      <c r="N333" s="187">
        <f t="shared" si="60"/>
        <v>54.259024124448885</v>
      </c>
      <c r="O333" s="595"/>
      <c r="U333" s="595"/>
      <c r="V333" s="595"/>
      <c r="W333" s="595"/>
      <c r="X333" s="595"/>
      <c r="Y333" s="595"/>
    </row>
    <row r="334" spans="2:30" s="91" customFormat="1" ht="13.2">
      <c r="B334" s="2660" t="s">
        <v>472</v>
      </c>
      <c r="C334" s="2661"/>
      <c r="D334" s="183">
        <f>D318</f>
        <v>18927</v>
      </c>
      <c r="E334" s="184">
        <f>D334/1000</f>
        <v>18.927</v>
      </c>
      <c r="F334" s="185">
        <f t="shared" si="55"/>
        <v>7.1202799507332458E-3</v>
      </c>
      <c r="G334" s="128"/>
      <c r="H334" s="136">
        <f>O318</f>
        <v>8530.5063859069924</v>
      </c>
      <c r="I334" s="185">
        <f t="shared" si="56"/>
        <v>0.45070567897220859</v>
      </c>
      <c r="J334" s="170"/>
      <c r="K334" s="187">
        <f t="shared" si="57"/>
        <v>10.396493614093007</v>
      </c>
      <c r="L334" s="187">
        <f t="shared" si="58"/>
        <v>18.927</v>
      </c>
      <c r="M334" s="187">
        <f t="shared" si="59"/>
        <v>18.927</v>
      </c>
      <c r="N334" s="187">
        <f t="shared" si="60"/>
        <v>27.457506385906992</v>
      </c>
      <c r="O334" s="595"/>
      <c r="U334" s="595"/>
      <c r="V334" s="595"/>
      <c r="W334" s="595"/>
      <c r="X334" s="595"/>
      <c r="Y334" s="595"/>
    </row>
    <row r="335" spans="2:30" s="98" customFormat="1" ht="15">
      <c r="B335" s="2662" t="s">
        <v>348</v>
      </c>
      <c r="C335" s="2663"/>
      <c r="D335" s="188">
        <f>SUM(D325:D334)</f>
        <v>2658182</v>
      </c>
      <c r="E335" s="189">
        <f>SUM(E325:E334)</f>
        <v>2658.1820000000007</v>
      </c>
      <c r="F335" s="190">
        <f t="shared" si="55"/>
        <v>1</v>
      </c>
      <c r="G335" s="191"/>
      <c r="H335" s="188">
        <f>SQRT(SUMSQ(H325:H334))</f>
        <v>384846.50731551414</v>
      </c>
      <c r="I335" s="190">
        <f t="shared" si="56"/>
        <v>0.14477808792457181</v>
      </c>
      <c r="J335" s="192"/>
      <c r="K335" s="187">
        <f t="shared" si="57"/>
        <v>2273.3354926844859</v>
      </c>
      <c r="L335" s="187">
        <f t="shared" si="58"/>
        <v>2658.1820000000007</v>
      </c>
      <c r="M335" s="187">
        <f t="shared" si="59"/>
        <v>2658.1820000000007</v>
      </c>
      <c r="N335" s="187">
        <f t="shared" si="60"/>
        <v>3043.0285073155142</v>
      </c>
      <c r="O335" s="617"/>
      <c r="U335" s="617"/>
      <c r="V335" s="617"/>
      <c r="W335" s="617"/>
      <c r="X335" s="617"/>
      <c r="Y335" s="617"/>
    </row>
    <row r="336" spans="2:30" s="91" customFormat="1" ht="13.2">
      <c r="B336" s="131"/>
      <c r="C336" s="131"/>
      <c r="D336" s="131"/>
      <c r="E336" s="131"/>
      <c r="F336" s="131"/>
      <c r="G336" s="131"/>
      <c r="H336" s="172"/>
      <c r="I336" s="172"/>
      <c r="J336" s="173"/>
      <c r="K336" s="173"/>
      <c r="L336" s="173"/>
      <c r="M336" s="173"/>
      <c r="N336" s="173"/>
      <c r="O336" s="595"/>
      <c r="U336" s="595"/>
      <c r="V336" s="595"/>
      <c r="W336" s="595"/>
      <c r="X336" s="595"/>
      <c r="Y336" s="595"/>
    </row>
    <row r="337" spans="2:30" ht="12.75" customHeight="1">
      <c r="O337" s="441"/>
      <c r="P337" s="113"/>
      <c r="U337" s="441"/>
      <c r="V337" s="441"/>
      <c r="W337" s="441"/>
      <c r="X337" s="441"/>
      <c r="Y337" s="576"/>
      <c r="Z337" s="113"/>
      <c r="AA337" s="113"/>
      <c r="AB337" s="113"/>
      <c r="AC337" s="113"/>
      <c r="AD337" s="113"/>
    </row>
    <row r="338" spans="2:30" ht="15.6">
      <c r="B338" s="2688" t="s">
        <v>525</v>
      </c>
      <c r="C338" s="2689"/>
      <c r="D338" s="2689"/>
      <c r="E338" s="2689"/>
      <c r="F338" s="2689"/>
      <c r="G338" s="2689"/>
      <c r="H338" s="2689"/>
      <c r="I338" s="2689"/>
      <c r="J338" s="2689"/>
      <c r="K338" s="2689"/>
      <c r="L338" s="2689"/>
      <c r="M338" s="2689"/>
      <c r="N338" s="2689"/>
      <c r="O338" s="2690"/>
    </row>
    <row r="339" spans="2:30" ht="12" customHeight="1" outlineLevel="1"/>
    <row r="340" spans="2:30" ht="38.25" customHeight="1" outlineLevel="1">
      <c r="B340" s="229"/>
      <c r="C340" s="229"/>
      <c r="D340" s="229"/>
      <c r="E340" s="2691" t="s">
        <v>448</v>
      </c>
      <c r="F340" s="2692"/>
      <c r="G340" s="2692"/>
      <c r="H340" s="2692"/>
      <c r="I340" s="2692"/>
      <c r="J340" s="2692"/>
      <c r="K340" s="2693"/>
      <c r="L340" s="101" t="s">
        <v>440</v>
      </c>
      <c r="P340" s="113"/>
      <c r="Y340" s="576"/>
    </row>
    <row r="341" spans="2:30" ht="25.5" customHeight="1" outlineLevel="1">
      <c r="B341" s="2691" t="s">
        <v>438</v>
      </c>
      <c r="C341" s="2693"/>
      <c r="D341" s="110" t="s">
        <v>458</v>
      </c>
      <c r="E341" s="111" t="s">
        <v>853</v>
      </c>
      <c r="F341" s="111" t="s">
        <v>854</v>
      </c>
      <c r="G341" s="111" t="s">
        <v>855</v>
      </c>
      <c r="H341" s="111" t="s">
        <v>852</v>
      </c>
      <c r="I341" s="110" t="s">
        <v>513</v>
      </c>
      <c r="J341" s="111" t="s">
        <v>856</v>
      </c>
      <c r="K341" s="112" t="s">
        <v>514</v>
      </c>
      <c r="L341" s="110" t="s">
        <v>857</v>
      </c>
      <c r="P341" s="113"/>
      <c r="Y341" s="576"/>
    </row>
    <row r="342" spans="2:30" ht="15" customHeight="1" outlineLevel="1">
      <c r="B342" s="2680" t="s">
        <v>459</v>
      </c>
      <c r="C342" s="2681"/>
      <c r="D342" s="230">
        <v>1</v>
      </c>
      <c r="E342" s="631"/>
      <c r="F342" s="631"/>
      <c r="G342" s="631"/>
      <c r="H342" s="631"/>
      <c r="I342" s="631"/>
      <c r="J342" s="631"/>
      <c r="K342" s="632"/>
      <c r="L342" s="633"/>
      <c r="P342" s="113"/>
      <c r="Y342" s="576"/>
    </row>
    <row r="343" spans="2:30" ht="12.75" customHeight="1" outlineLevel="1">
      <c r="B343" s="2680" t="s">
        <v>460</v>
      </c>
      <c r="C343" s="2681"/>
      <c r="D343" s="230">
        <v>2</v>
      </c>
      <c r="E343" s="631"/>
      <c r="F343" s="631"/>
      <c r="G343" s="631"/>
      <c r="H343" s="631"/>
      <c r="I343" s="631"/>
      <c r="J343" s="631"/>
      <c r="K343" s="632"/>
      <c r="L343" s="633"/>
      <c r="P343" s="113"/>
      <c r="Y343" s="576"/>
    </row>
    <row r="344" spans="2:30" ht="12.75" customHeight="1" outlineLevel="1">
      <c r="B344" s="2680" t="s">
        <v>461</v>
      </c>
      <c r="C344" s="2681"/>
      <c r="D344" s="230">
        <v>3</v>
      </c>
      <c r="E344" s="631"/>
      <c r="F344" s="631"/>
      <c r="G344" s="631"/>
      <c r="H344" s="631"/>
      <c r="I344" s="631"/>
      <c r="J344" s="631"/>
      <c r="K344" s="632"/>
      <c r="L344" s="633"/>
      <c r="P344" s="113"/>
      <c r="Y344" s="576"/>
    </row>
    <row r="345" spans="2:30" ht="12.75" customHeight="1" outlineLevel="1">
      <c r="B345" s="2680" t="s">
        <v>462</v>
      </c>
      <c r="C345" s="2681"/>
      <c r="D345" s="230">
        <v>4</v>
      </c>
      <c r="E345" s="631"/>
      <c r="F345" s="631"/>
      <c r="G345" s="631"/>
      <c r="H345" s="631"/>
      <c r="I345" s="631"/>
      <c r="J345" s="631"/>
      <c r="K345" s="632"/>
      <c r="L345" s="633"/>
      <c r="P345" s="113"/>
      <c r="Y345" s="576"/>
    </row>
    <row r="346" spans="2:30" ht="12.75" customHeight="1" outlineLevel="1">
      <c r="B346" s="2680" t="s">
        <v>463</v>
      </c>
      <c r="C346" s="2681"/>
      <c r="D346" s="230">
        <v>5</v>
      </c>
      <c r="E346" s="631"/>
      <c r="F346" s="631"/>
      <c r="G346" s="631"/>
      <c r="H346" s="631"/>
      <c r="I346" s="631"/>
      <c r="J346" s="631"/>
      <c r="K346" s="632"/>
      <c r="L346" s="633"/>
      <c r="P346" s="113"/>
      <c r="Y346" s="576"/>
    </row>
    <row r="347" spans="2:30" ht="12.75" customHeight="1" outlineLevel="1">
      <c r="B347" s="2682"/>
      <c r="C347" s="2683"/>
      <c r="D347" s="133" t="s">
        <v>439</v>
      </c>
      <c r="E347" s="634">
        <f t="shared" ref="E347:I347" si="61">SUM(E342:E346)</f>
        <v>0</v>
      </c>
      <c r="F347" s="634">
        <f t="shared" si="61"/>
        <v>0</v>
      </c>
      <c r="G347" s="634">
        <f t="shared" si="61"/>
        <v>0</v>
      </c>
      <c r="H347" s="634">
        <f t="shared" si="61"/>
        <v>0</v>
      </c>
      <c r="I347" s="634">
        <f t="shared" si="61"/>
        <v>0</v>
      </c>
      <c r="J347" s="634">
        <f>SUM(J342:J346)</f>
        <v>0</v>
      </c>
      <c r="K347" s="635">
        <f>SQRT(SUMSQ(K342:K346))</f>
        <v>0</v>
      </c>
      <c r="L347" s="636">
        <f t="shared" ref="L347" si="62">SUM(L342:L346)</f>
        <v>0</v>
      </c>
      <c r="P347" s="113"/>
      <c r="Y347" s="576"/>
    </row>
    <row r="348" spans="2:30" ht="15" customHeight="1" outlineLevel="1">
      <c r="B348" s="2684" t="s">
        <v>464</v>
      </c>
      <c r="C348" s="2685"/>
      <c r="D348" s="231">
        <v>6</v>
      </c>
      <c r="E348" s="637"/>
      <c r="F348" s="637"/>
      <c r="G348" s="637"/>
      <c r="H348" s="637"/>
      <c r="I348" s="637"/>
      <c r="J348" s="637"/>
      <c r="K348" s="632"/>
      <c r="L348" s="638"/>
      <c r="P348" s="113"/>
      <c r="Y348" s="576"/>
    </row>
    <row r="349" spans="2:30" ht="12.75" customHeight="1" outlineLevel="1">
      <c r="B349" s="2686" t="s">
        <v>465</v>
      </c>
      <c r="C349" s="2687"/>
      <c r="D349" s="231">
        <v>7</v>
      </c>
      <c r="E349" s="637"/>
      <c r="F349" s="637"/>
      <c r="G349" s="637"/>
      <c r="H349" s="637"/>
      <c r="I349" s="637"/>
      <c r="J349" s="637"/>
      <c r="K349" s="632"/>
      <c r="L349" s="638"/>
      <c r="P349" s="113"/>
      <c r="Y349" s="576"/>
    </row>
    <row r="350" spans="2:30" ht="12.75" customHeight="1" outlineLevel="1">
      <c r="B350" s="2696"/>
      <c r="C350" s="2697"/>
      <c r="D350" s="134" t="s">
        <v>439</v>
      </c>
      <c r="E350" s="639">
        <f t="shared" ref="E350:J350" si="63">SUM(E348:E349)</f>
        <v>0</v>
      </c>
      <c r="F350" s="639">
        <f t="shared" si="63"/>
        <v>0</v>
      </c>
      <c r="G350" s="639">
        <f t="shared" si="63"/>
        <v>0</v>
      </c>
      <c r="H350" s="639">
        <f t="shared" si="63"/>
        <v>0</v>
      </c>
      <c r="I350" s="639">
        <f t="shared" si="63"/>
        <v>0</v>
      </c>
      <c r="J350" s="639">
        <f t="shared" si="63"/>
        <v>0</v>
      </c>
      <c r="K350" s="635">
        <f>SQRT(SUMSQ(K348:K349))</f>
        <v>0</v>
      </c>
      <c r="L350" s="640">
        <f t="shared" ref="L350" si="64">SUM(L348:L349)</f>
        <v>0</v>
      </c>
      <c r="P350" s="113"/>
      <c r="Y350" s="576"/>
    </row>
    <row r="351" spans="2:30" ht="15" customHeight="1" outlineLevel="1">
      <c r="B351" s="2694" t="s">
        <v>466</v>
      </c>
      <c r="C351" s="2695"/>
      <c r="D351" s="232">
        <v>8</v>
      </c>
      <c r="E351" s="641"/>
      <c r="F351" s="641"/>
      <c r="G351" s="641"/>
      <c r="H351" s="641"/>
      <c r="I351" s="641"/>
      <c r="J351" s="641"/>
      <c r="K351" s="632"/>
      <c r="L351" s="641"/>
      <c r="P351" s="113"/>
      <c r="Y351" s="576"/>
    </row>
    <row r="352" spans="2:30" ht="12.75" customHeight="1" outlineLevel="1">
      <c r="B352" s="2694" t="s">
        <v>467</v>
      </c>
      <c r="C352" s="2695"/>
      <c r="D352" s="232">
        <v>9</v>
      </c>
      <c r="E352" s="641">
        <f>V19+V33+V47+V60+V74+V104+V168+V185+V291+V304</f>
        <v>2639255</v>
      </c>
      <c r="F352" s="641">
        <f>W19+W33+W47+W60+W74+W104+W168+W185+W291+W304</f>
        <v>0</v>
      </c>
      <c r="G352" s="641">
        <f>X19+X33+X47+X60+X74+X104+X168+X185+X291+X304</f>
        <v>0</v>
      </c>
      <c r="H352" s="641">
        <f>Y19+Y33+Y47+Y60+Y74+Y104+Y168+Y185+Y291+Y304</f>
        <v>0</v>
      </c>
      <c r="I352" s="641">
        <f>SUM(E352:H352)</f>
        <v>2639255</v>
      </c>
      <c r="J352" s="641">
        <f>AA19+AA33+AA47+AA60+AA74+AA104+AA168+AA185+AA291+AA304</f>
        <v>0</v>
      </c>
      <c r="K352" s="632">
        <f>SQRT(O19^2+O33^2+O47^2+O60^2+O74^2+T104^2+O168^2+O185^2+T291^2+O304^2)</f>
        <v>384751.95211168204</v>
      </c>
      <c r="L352" s="641"/>
      <c r="P352" s="113"/>
      <c r="Y352" s="576"/>
    </row>
    <row r="353" spans="2:25" ht="12.75" customHeight="1" outlineLevel="1">
      <c r="B353" s="2694" t="s">
        <v>468</v>
      </c>
      <c r="C353" s="2695"/>
      <c r="D353" s="232">
        <v>10</v>
      </c>
      <c r="E353" s="641"/>
      <c r="F353" s="641"/>
      <c r="G353" s="641"/>
      <c r="H353" s="641"/>
      <c r="I353" s="641"/>
      <c r="J353" s="641"/>
      <c r="K353" s="632"/>
      <c r="L353" s="641"/>
      <c r="P353" s="113"/>
      <c r="Y353" s="576"/>
    </row>
    <row r="354" spans="2:25" ht="12.75" customHeight="1" outlineLevel="1">
      <c r="B354" s="2694" t="s">
        <v>386</v>
      </c>
      <c r="C354" s="2695"/>
      <c r="D354" s="232">
        <v>11</v>
      </c>
      <c r="E354" s="641"/>
      <c r="F354" s="641"/>
      <c r="G354" s="641"/>
      <c r="H354" s="641"/>
      <c r="I354" s="641"/>
      <c r="J354" s="641"/>
      <c r="K354" s="632"/>
      <c r="L354" s="641"/>
      <c r="P354" s="113"/>
      <c r="Y354" s="576"/>
    </row>
    <row r="355" spans="2:25" ht="12.75" customHeight="1" outlineLevel="1">
      <c r="B355" s="2694" t="s">
        <v>469</v>
      </c>
      <c r="C355" s="2695"/>
      <c r="D355" s="232">
        <v>12</v>
      </c>
      <c r="E355" s="641"/>
      <c r="F355" s="641"/>
      <c r="G355" s="641"/>
      <c r="H355" s="641"/>
      <c r="I355" s="641"/>
      <c r="J355" s="641"/>
      <c r="K355" s="632"/>
      <c r="L355" s="641"/>
      <c r="P355" s="113"/>
      <c r="Y355" s="576"/>
    </row>
    <row r="356" spans="2:25" ht="12.75" customHeight="1" outlineLevel="1">
      <c r="B356" s="2694" t="s">
        <v>470</v>
      </c>
      <c r="C356" s="2695"/>
      <c r="D356" s="232">
        <v>13</v>
      </c>
      <c r="E356" s="641"/>
      <c r="F356" s="641"/>
      <c r="G356" s="641"/>
      <c r="H356" s="641"/>
      <c r="I356" s="641"/>
      <c r="J356" s="641"/>
      <c r="K356" s="632"/>
      <c r="L356" s="641"/>
      <c r="P356" s="113"/>
      <c r="Y356" s="576"/>
    </row>
    <row r="357" spans="2:25" ht="12.75" customHeight="1" outlineLevel="1">
      <c r="B357" s="2694" t="s">
        <v>471</v>
      </c>
      <c r="C357" s="2695"/>
      <c r="D357" s="232">
        <v>14</v>
      </c>
      <c r="E357" s="641"/>
      <c r="F357" s="641"/>
      <c r="G357" s="641"/>
      <c r="H357" s="641"/>
      <c r="I357" s="641"/>
      <c r="J357" s="641"/>
      <c r="K357" s="632"/>
      <c r="L357" s="641"/>
      <c r="P357" s="113"/>
      <c r="Y357" s="576"/>
    </row>
    <row r="358" spans="2:25" ht="12.75" customHeight="1" outlineLevel="1">
      <c r="B358" s="2694" t="s">
        <v>472</v>
      </c>
      <c r="C358" s="2695"/>
      <c r="D358" s="232">
        <v>15</v>
      </c>
      <c r="E358" s="641">
        <f>V318</f>
        <v>18927</v>
      </c>
      <c r="F358" s="641">
        <f>W318</f>
        <v>0</v>
      </c>
      <c r="G358" s="641">
        <f>X318</f>
        <v>0</v>
      </c>
      <c r="H358" s="641">
        <f>Y318</f>
        <v>0</v>
      </c>
      <c r="I358" s="641">
        <f>SUM(E358:H358)</f>
        <v>18927</v>
      </c>
      <c r="J358" s="641">
        <f>AA318</f>
        <v>0</v>
      </c>
      <c r="K358" s="632">
        <f>O318</f>
        <v>8530.5063859069924</v>
      </c>
      <c r="L358" s="641"/>
      <c r="P358" s="113"/>
      <c r="Y358" s="576"/>
    </row>
    <row r="359" spans="2:25" ht="12.75" customHeight="1" outlineLevel="1">
      <c r="B359" s="2694" t="s">
        <v>473</v>
      </c>
      <c r="C359" s="2695"/>
      <c r="D359" s="232">
        <v>16</v>
      </c>
      <c r="E359" s="641"/>
      <c r="F359" s="641"/>
      <c r="G359" s="641"/>
      <c r="H359" s="641"/>
      <c r="I359" s="641"/>
      <c r="J359" s="641"/>
      <c r="K359" s="632"/>
      <c r="L359" s="641"/>
      <c r="P359" s="113"/>
      <c r="Y359" s="576"/>
    </row>
    <row r="360" spans="2:25" ht="12.75" customHeight="1" outlineLevel="1">
      <c r="B360" s="2694" t="s">
        <v>474</v>
      </c>
      <c r="C360" s="2695"/>
      <c r="D360" s="232">
        <v>17</v>
      </c>
      <c r="E360" s="641"/>
      <c r="F360" s="641"/>
      <c r="G360" s="641"/>
      <c r="H360" s="641"/>
      <c r="I360" s="641"/>
      <c r="J360" s="641"/>
      <c r="K360" s="632"/>
      <c r="L360" s="641"/>
      <c r="P360" s="113"/>
      <c r="Y360" s="576"/>
    </row>
    <row r="361" spans="2:25" ht="12.75" customHeight="1" outlineLevel="1">
      <c r="B361" s="2694" t="s">
        <v>475</v>
      </c>
      <c r="C361" s="2695"/>
      <c r="D361" s="232">
        <v>18</v>
      </c>
      <c r="E361" s="641"/>
      <c r="F361" s="641"/>
      <c r="G361" s="641"/>
      <c r="H361" s="641"/>
      <c r="I361" s="641"/>
      <c r="J361" s="641"/>
      <c r="K361" s="632"/>
      <c r="L361" s="641"/>
      <c r="P361" s="113"/>
      <c r="Y361" s="576"/>
    </row>
    <row r="362" spans="2:25" ht="12.75" customHeight="1" outlineLevel="1">
      <c r="B362" s="2694" t="s">
        <v>476</v>
      </c>
      <c r="C362" s="2695"/>
      <c r="D362" s="232">
        <v>19</v>
      </c>
      <c r="E362" s="641">
        <v>0</v>
      </c>
      <c r="F362" s="641"/>
      <c r="G362" s="641"/>
      <c r="H362" s="641"/>
      <c r="I362" s="641"/>
      <c r="J362" s="641"/>
      <c r="K362" s="632"/>
      <c r="L362" s="641"/>
      <c r="P362" s="113"/>
      <c r="Y362" s="576"/>
    </row>
    <row r="363" spans="2:25" ht="12.75" customHeight="1" outlineLevel="1">
      <c r="B363" s="2694" t="s">
        <v>477</v>
      </c>
      <c r="C363" s="2695"/>
      <c r="D363" s="232">
        <v>20</v>
      </c>
      <c r="E363" s="641"/>
      <c r="F363" s="641"/>
      <c r="G363" s="641"/>
      <c r="H363" s="641"/>
      <c r="I363" s="641"/>
      <c r="J363" s="641"/>
      <c r="K363" s="632"/>
      <c r="L363" s="641"/>
      <c r="P363" s="113"/>
      <c r="Y363" s="576"/>
    </row>
    <row r="364" spans="2:25" ht="12.75" customHeight="1" outlineLevel="1">
      <c r="B364" s="2694" t="s">
        <v>478</v>
      </c>
      <c r="C364" s="2695"/>
      <c r="D364" s="232">
        <v>21</v>
      </c>
      <c r="E364" s="641"/>
      <c r="F364" s="641"/>
      <c r="G364" s="641"/>
      <c r="H364" s="641"/>
      <c r="I364" s="641"/>
      <c r="J364" s="641"/>
      <c r="K364" s="632"/>
      <c r="L364" s="641"/>
      <c r="P364" s="113"/>
      <c r="Y364" s="576"/>
    </row>
    <row r="365" spans="2:25" ht="12.75" customHeight="1" outlineLevel="1">
      <c r="B365" s="2694" t="s">
        <v>479</v>
      </c>
      <c r="C365" s="2695"/>
      <c r="D365" s="232">
        <v>22</v>
      </c>
      <c r="E365" s="641"/>
      <c r="F365" s="641"/>
      <c r="G365" s="641"/>
      <c r="H365" s="641"/>
      <c r="I365" s="641"/>
      <c r="J365" s="641"/>
      <c r="K365" s="632"/>
      <c r="L365" s="641"/>
      <c r="P365" s="113"/>
      <c r="Y365" s="576"/>
    </row>
    <row r="366" spans="2:25" ht="12.75" customHeight="1" outlineLevel="1">
      <c r="B366" s="2694" t="s">
        <v>449</v>
      </c>
      <c r="C366" s="2695"/>
      <c r="D366" s="232">
        <v>23</v>
      </c>
      <c r="E366" s="641"/>
      <c r="F366" s="641"/>
      <c r="G366" s="641"/>
      <c r="H366" s="641"/>
      <c r="I366" s="641"/>
      <c r="J366" s="641"/>
      <c r="K366" s="632"/>
      <c r="L366" s="641"/>
      <c r="P366" s="113"/>
      <c r="Y366" s="576"/>
    </row>
    <row r="367" spans="2:25" ht="12.75" customHeight="1" outlineLevel="1">
      <c r="B367" s="2706"/>
      <c r="C367" s="2707"/>
      <c r="D367" s="135" t="s">
        <v>439</v>
      </c>
      <c r="E367" s="642">
        <f t="shared" ref="E367:J367" si="65">SUM(E351:E366)</f>
        <v>2658182</v>
      </c>
      <c r="F367" s="642">
        <f t="shared" si="65"/>
        <v>0</v>
      </c>
      <c r="G367" s="642">
        <f t="shared" si="65"/>
        <v>0</v>
      </c>
      <c r="H367" s="642">
        <f t="shared" si="65"/>
        <v>0</v>
      </c>
      <c r="I367" s="642">
        <f t="shared" si="65"/>
        <v>2658182</v>
      </c>
      <c r="J367" s="642">
        <f t="shared" si="65"/>
        <v>0</v>
      </c>
      <c r="K367" s="635">
        <f>SQRT(SUMSQ(K351:K366))</f>
        <v>384846.50731551414</v>
      </c>
      <c r="L367" s="642">
        <f>SUM(L351:L366)</f>
        <v>0</v>
      </c>
      <c r="P367" s="113"/>
      <c r="Y367" s="576"/>
    </row>
    <row r="368" spans="2:25" ht="12" customHeight="1" outlineLevel="1"/>
    <row r="369" spans="2:30"/>
    <row r="370" spans="2:30" ht="15.6" collapsed="1">
      <c r="B370" s="2698" t="s">
        <v>721</v>
      </c>
      <c r="C370" s="2699"/>
      <c r="D370" s="2699"/>
      <c r="E370" s="2699"/>
      <c r="F370" s="2699"/>
      <c r="G370" s="2699"/>
      <c r="H370" s="2699"/>
      <c r="I370" s="2699"/>
      <c r="J370" s="2699"/>
      <c r="K370" s="2699"/>
      <c r="L370" s="2699"/>
      <c r="M370" s="2699"/>
      <c r="N370" s="2699"/>
      <c r="O370" s="2700"/>
      <c r="P370" s="113"/>
      <c r="Z370" s="113"/>
      <c r="AA370" s="113"/>
      <c r="AB370" s="817"/>
      <c r="AC370" s="113"/>
      <c r="AD370" s="113"/>
    </row>
    <row r="371" spans="2:30" ht="12" hidden="1" customHeight="1" outlineLevel="1">
      <c r="P371" s="113"/>
      <c r="Z371" s="113"/>
      <c r="AA371" s="113"/>
      <c r="AB371" s="817"/>
      <c r="AC371" s="113"/>
      <c r="AD371" s="113"/>
    </row>
    <row r="372" spans="2:30" ht="38.25" hidden="1" customHeight="1" outlineLevel="1">
      <c r="B372" s="205"/>
      <c r="C372" s="205"/>
      <c r="D372" s="205"/>
      <c r="E372" s="2701" t="s">
        <v>448</v>
      </c>
      <c r="F372" s="2702"/>
      <c r="G372" s="2702"/>
      <c r="H372" s="2702"/>
      <c r="I372" s="2702"/>
      <c r="J372" s="2702"/>
      <c r="K372" s="2702"/>
      <c r="L372" s="2702"/>
      <c r="M372" s="2702"/>
      <c r="N372" s="2703"/>
      <c r="O372" s="865" t="s">
        <v>440</v>
      </c>
      <c r="P372" s="113"/>
      <c r="Z372" s="113"/>
      <c r="AA372" s="113"/>
      <c r="AB372" s="817"/>
      <c r="AC372" s="113"/>
      <c r="AD372" s="113"/>
    </row>
    <row r="373" spans="2:30" ht="25.5" hidden="1" customHeight="1" outlineLevel="1">
      <c r="B373" s="2701" t="s">
        <v>438</v>
      </c>
      <c r="C373" s="2703"/>
      <c r="D373" s="867" t="s">
        <v>458</v>
      </c>
      <c r="E373" s="866" t="s">
        <v>853</v>
      </c>
      <c r="F373" s="866" t="s">
        <v>854</v>
      </c>
      <c r="G373" s="866" t="s">
        <v>855</v>
      </c>
      <c r="H373" s="866" t="s">
        <v>858</v>
      </c>
      <c r="I373" s="866" t="s">
        <v>859</v>
      </c>
      <c r="J373" s="866" t="s">
        <v>860</v>
      </c>
      <c r="K373" s="866" t="s">
        <v>852</v>
      </c>
      <c r="L373" s="867" t="s">
        <v>513</v>
      </c>
      <c r="M373" s="866" t="s">
        <v>856</v>
      </c>
      <c r="N373" s="866" t="s">
        <v>514</v>
      </c>
      <c r="O373" s="867" t="s">
        <v>513</v>
      </c>
      <c r="P373" s="817"/>
      <c r="Z373" s="113"/>
      <c r="AA373" s="113"/>
      <c r="AB373" s="113"/>
      <c r="AC373" s="113"/>
      <c r="AD373" s="113"/>
    </row>
    <row r="374" spans="2:30" ht="12.75" hidden="1" customHeight="1" outlineLevel="1">
      <c r="B374" s="2704" t="s">
        <v>459</v>
      </c>
      <c r="C374" s="2705"/>
      <c r="D374" s="861" t="s">
        <v>727</v>
      </c>
      <c r="E374" s="855"/>
      <c r="F374" s="855"/>
      <c r="G374" s="855"/>
      <c r="H374" s="855"/>
      <c r="I374" s="855"/>
      <c r="J374" s="855"/>
      <c r="K374" s="855"/>
      <c r="L374" s="864"/>
      <c r="M374" s="853"/>
      <c r="N374" s="858"/>
      <c r="O374" s="857"/>
      <c r="P374" s="817"/>
      <c r="Z374" s="113"/>
      <c r="AA374" s="113"/>
      <c r="AB374" s="113"/>
      <c r="AC374" s="113"/>
      <c r="AD374" s="113"/>
    </row>
    <row r="375" spans="2:30" ht="12.75" hidden="1" customHeight="1" outlineLevel="1">
      <c r="B375" s="2704" t="s">
        <v>722</v>
      </c>
      <c r="C375" s="2705"/>
      <c r="D375" s="862" t="s">
        <v>728</v>
      </c>
      <c r="E375" s="855"/>
      <c r="F375" s="855"/>
      <c r="G375" s="855"/>
      <c r="H375" s="855"/>
      <c r="I375" s="855"/>
      <c r="J375" s="855"/>
      <c r="K375" s="855"/>
      <c r="L375" s="864"/>
      <c r="M375" s="853"/>
      <c r="N375" s="858"/>
      <c r="O375" s="857"/>
      <c r="P375" s="817"/>
      <c r="Z375" s="113"/>
      <c r="AA375" s="113"/>
      <c r="AB375" s="113"/>
      <c r="AC375" s="113"/>
      <c r="AD375" s="113"/>
    </row>
    <row r="376" spans="2:30" ht="12.75" hidden="1" customHeight="1" outlineLevel="1">
      <c r="B376" s="2704" t="s">
        <v>723</v>
      </c>
      <c r="C376" s="2705"/>
      <c r="D376" s="862" t="s">
        <v>729</v>
      </c>
      <c r="E376" s="855"/>
      <c r="F376" s="855"/>
      <c r="G376" s="855"/>
      <c r="H376" s="855"/>
      <c r="I376" s="855"/>
      <c r="J376" s="855"/>
      <c r="K376" s="855"/>
      <c r="L376" s="864"/>
      <c r="M376" s="853"/>
      <c r="N376" s="858"/>
      <c r="O376" s="857"/>
      <c r="P376" s="817"/>
      <c r="Z376" s="113"/>
      <c r="AA376" s="113"/>
      <c r="AB376" s="113"/>
      <c r="AC376" s="113"/>
      <c r="AD376" s="113"/>
    </row>
    <row r="377" spans="2:30" ht="12.75" hidden="1" customHeight="1" outlineLevel="1">
      <c r="B377" s="2704" t="s">
        <v>462</v>
      </c>
      <c r="C377" s="2705"/>
      <c r="D377" s="862" t="s">
        <v>730</v>
      </c>
      <c r="E377" s="855"/>
      <c r="F377" s="855"/>
      <c r="G377" s="855"/>
      <c r="H377" s="855"/>
      <c r="I377" s="855"/>
      <c r="J377" s="855"/>
      <c r="K377" s="855"/>
      <c r="L377" s="864"/>
      <c r="M377" s="853"/>
      <c r="N377" s="858"/>
      <c r="O377" s="857"/>
      <c r="P377" s="817"/>
      <c r="Z377" s="113"/>
      <c r="AA377" s="113"/>
      <c r="AB377" s="113"/>
      <c r="AC377" s="113"/>
      <c r="AD377" s="113"/>
    </row>
    <row r="378" spans="2:30" ht="12.75" hidden="1" customHeight="1" outlineLevel="1">
      <c r="B378" s="2710" t="s">
        <v>726</v>
      </c>
      <c r="C378" s="2711"/>
      <c r="D378" s="2712"/>
      <c r="E378" s="852">
        <f t="shared" ref="E378:O378" si="66">SUM(E374:E377)</f>
        <v>0</v>
      </c>
      <c r="F378" s="852">
        <f t="shared" si="66"/>
        <v>0</v>
      </c>
      <c r="G378" s="852">
        <f t="shared" si="66"/>
        <v>0</v>
      </c>
      <c r="H378" s="852">
        <f t="shared" si="66"/>
        <v>0</v>
      </c>
      <c r="I378" s="852">
        <f t="shared" si="66"/>
        <v>0</v>
      </c>
      <c r="J378" s="852">
        <f t="shared" si="66"/>
        <v>0</v>
      </c>
      <c r="K378" s="852">
        <f t="shared" si="66"/>
        <v>0</v>
      </c>
      <c r="L378" s="852">
        <f t="shared" si="66"/>
        <v>0</v>
      </c>
      <c r="M378" s="863">
        <f t="shared" si="66"/>
        <v>0</v>
      </c>
      <c r="N378" s="859">
        <f>SQRT(SUMSQ(N374:N377))</f>
        <v>0</v>
      </c>
      <c r="O378" s="860">
        <f t="shared" si="66"/>
        <v>0</v>
      </c>
      <c r="P378" s="817"/>
      <c r="Z378" s="113"/>
      <c r="AA378" s="113"/>
      <c r="AB378" s="113"/>
      <c r="AC378" s="113"/>
      <c r="AD378" s="113"/>
    </row>
    <row r="379" spans="2:30" ht="12.75" hidden="1" customHeight="1" outlineLevel="1">
      <c r="B379" s="2704" t="s">
        <v>464</v>
      </c>
      <c r="C379" s="2705"/>
      <c r="D379" s="862" t="s">
        <v>731</v>
      </c>
      <c r="E379" s="855"/>
      <c r="F379" s="855"/>
      <c r="G379" s="855"/>
      <c r="H379" s="855"/>
      <c r="I379" s="855"/>
      <c r="J379" s="855"/>
      <c r="K379" s="855"/>
      <c r="L379" s="864"/>
      <c r="M379" s="853"/>
      <c r="N379" s="858"/>
      <c r="O379" s="856"/>
      <c r="P379" s="817"/>
      <c r="Z379" s="113"/>
      <c r="AA379" s="113"/>
      <c r="AB379" s="113"/>
      <c r="AC379" s="113"/>
      <c r="AD379" s="113"/>
    </row>
    <row r="380" spans="2:30" ht="12.75" hidden="1" customHeight="1" outlineLevel="1">
      <c r="B380" s="2708" t="s">
        <v>465</v>
      </c>
      <c r="C380" s="2709"/>
      <c r="D380" s="862" t="s">
        <v>732</v>
      </c>
      <c r="E380" s="855"/>
      <c r="F380" s="855"/>
      <c r="G380" s="855"/>
      <c r="H380" s="855"/>
      <c r="I380" s="855"/>
      <c r="J380" s="855"/>
      <c r="K380" s="855"/>
      <c r="L380" s="864"/>
      <c r="M380" s="853"/>
      <c r="N380" s="858"/>
      <c r="O380" s="856"/>
      <c r="P380" s="817"/>
      <c r="Z380" s="113"/>
      <c r="AA380" s="113"/>
      <c r="AB380" s="113"/>
      <c r="AC380" s="113"/>
      <c r="AD380" s="113"/>
    </row>
    <row r="381" spans="2:30" ht="12.75" hidden="1" customHeight="1" outlineLevel="1">
      <c r="B381" s="2710" t="s">
        <v>725</v>
      </c>
      <c r="C381" s="2711"/>
      <c r="D381" s="2712"/>
      <c r="E381" s="852">
        <f t="shared" ref="E381:L381" si="67">SUM(E379:E380)</f>
        <v>0</v>
      </c>
      <c r="F381" s="852">
        <f t="shared" si="67"/>
        <v>0</v>
      </c>
      <c r="G381" s="852">
        <f t="shared" si="67"/>
        <v>0</v>
      </c>
      <c r="H381" s="852">
        <f t="shared" si="67"/>
        <v>0</v>
      </c>
      <c r="I381" s="852">
        <f t="shared" si="67"/>
        <v>0</v>
      </c>
      <c r="J381" s="852">
        <f t="shared" si="67"/>
        <v>0</v>
      </c>
      <c r="K381" s="852">
        <f t="shared" si="67"/>
        <v>0</v>
      </c>
      <c r="L381" s="852">
        <f t="shared" si="67"/>
        <v>0</v>
      </c>
      <c r="M381" s="863">
        <f>SUM(M379:M380)</f>
        <v>0</v>
      </c>
      <c r="N381" s="859">
        <f>SQRT(SUMSQ(N379:N380))</f>
        <v>0</v>
      </c>
      <c r="O381" s="860">
        <f>SUM(O379:O380)</f>
        <v>0</v>
      </c>
      <c r="P381" s="817"/>
      <c r="Z381" s="113"/>
      <c r="AA381" s="113"/>
      <c r="AB381" s="113"/>
      <c r="AC381" s="113"/>
      <c r="AD381" s="113"/>
    </row>
    <row r="382" spans="2:30" ht="12.75" hidden="1" customHeight="1" outlineLevel="1">
      <c r="B382" s="2713" t="s">
        <v>757</v>
      </c>
      <c r="C382" s="2714"/>
      <c r="D382" s="2714"/>
      <c r="E382" s="2714"/>
      <c r="F382" s="2714"/>
      <c r="G382" s="2714"/>
      <c r="H382" s="2714"/>
      <c r="I382" s="2714"/>
      <c r="J382" s="2714"/>
      <c r="K382" s="2714"/>
      <c r="L382" s="2714"/>
      <c r="M382" s="2714"/>
      <c r="N382" s="2714"/>
      <c r="O382" s="2715"/>
      <c r="P382" s="817"/>
      <c r="Z382" s="113"/>
      <c r="AA382" s="113"/>
      <c r="AB382" s="113"/>
      <c r="AC382" s="113"/>
      <c r="AD382" s="113"/>
    </row>
    <row r="383" spans="2:30" ht="12.75" hidden="1" customHeight="1" outlineLevel="1">
      <c r="B383" s="2704" t="s">
        <v>733</v>
      </c>
      <c r="C383" s="2705"/>
      <c r="D383" s="862" t="s">
        <v>741</v>
      </c>
      <c r="E383" s="855">
        <f>V19+V33+V47+V60+V74+V104+V168+V185+V291+V304</f>
        <v>2639255</v>
      </c>
      <c r="F383" s="855">
        <f>W19+W33+W47+W60+W74+W104+W168+W185+W291+W304</f>
        <v>0</v>
      </c>
      <c r="G383" s="855">
        <f>X19+X33+X47+X60+X74+X104+X168+X185+X291+X304</f>
        <v>0</v>
      </c>
      <c r="H383" s="855">
        <v>0</v>
      </c>
      <c r="I383" s="855">
        <v>0</v>
      </c>
      <c r="J383" s="855">
        <v>0</v>
      </c>
      <c r="K383" s="855">
        <v>0</v>
      </c>
      <c r="L383" s="864">
        <f>Z19+Z33+Z47+Z60+Z74+Z104+Z168+Z185+Z291+Z304</f>
        <v>2639255</v>
      </c>
      <c r="M383" s="853">
        <f>AA19+AA33+AA47+AA60+AA74+AA104+AA168+AA185+AA291+AA304</f>
        <v>0</v>
      </c>
      <c r="N383" s="858">
        <f>SQRT(O19^2+O33^2+O47^2+O60^2+O74^2+T104^2+O168^2+O185^2+T291^2+O304^2)</f>
        <v>384751.95211168204</v>
      </c>
      <c r="O383" s="856"/>
      <c r="P383" s="817"/>
      <c r="U383" s="237"/>
      <c r="Z383" s="113"/>
      <c r="AA383" s="113"/>
      <c r="AB383" s="113"/>
      <c r="AC383" s="113"/>
      <c r="AD383" s="113"/>
    </row>
    <row r="384" spans="2:30" ht="12.75" hidden="1" customHeight="1" outlineLevel="1">
      <c r="B384" s="2704" t="s">
        <v>734</v>
      </c>
      <c r="C384" s="2705"/>
      <c r="D384" s="862" t="s">
        <v>742</v>
      </c>
      <c r="E384" s="855"/>
      <c r="F384" s="855"/>
      <c r="G384" s="855"/>
      <c r="H384" s="855"/>
      <c r="I384" s="855"/>
      <c r="J384" s="855"/>
      <c r="K384" s="855"/>
      <c r="L384" s="864"/>
      <c r="M384" s="853"/>
      <c r="N384" s="858"/>
      <c r="O384" s="856"/>
      <c r="P384" s="817"/>
      <c r="Z384" s="113"/>
      <c r="AA384" s="113"/>
      <c r="AB384" s="113"/>
      <c r="AC384" s="113"/>
      <c r="AD384" s="113"/>
    </row>
    <row r="385" spans="2:30" ht="12.75" hidden="1" customHeight="1" outlineLevel="1">
      <c r="B385" s="2708" t="s">
        <v>735</v>
      </c>
      <c r="C385" s="2709"/>
      <c r="D385" s="862" t="s">
        <v>743</v>
      </c>
      <c r="E385" s="855"/>
      <c r="F385" s="855"/>
      <c r="G385" s="855"/>
      <c r="H385" s="855"/>
      <c r="I385" s="855"/>
      <c r="J385" s="855"/>
      <c r="K385" s="855"/>
      <c r="L385" s="864"/>
      <c r="M385" s="853"/>
      <c r="N385" s="858"/>
      <c r="O385" s="856"/>
      <c r="P385" s="817"/>
      <c r="Z385" s="113"/>
      <c r="AA385" s="113"/>
      <c r="AB385" s="113"/>
      <c r="AC385" s="113"/>
      <c r="AD385" s="113"/>
    </row>
    <row r="386" spans="2:30" ht="12.75" hidden="1" customHeight="1" outlineLevel="1">
      <c r="B386" s="2704" t="s">
        <v>815</v>
      </c>
      <c r="C386" s="2705"/>
      <c r="D386" s="862" t="s">
        <v>744</v>
      </c>
      <c r="E386" s="855"/>
      <c r="F386" s="855"/>
      <c r="G386" s="855"/>
      <c r="H386" s="855"/>
      <c r="I386" s="855"/>
      <c r="J386" s="855"/>
      <c r="K386" s="855"/>
      <c r="L386" s="864"/>
      <c r="M386" s="853"/>
      <c r="N386" s="858"/>
      <c r="O386" s="856"/>
      <c r="P386" s="817"/>
      <c r="Z386" s="113"/>
      <c r="AA386" s="113"/>
      <c r="AB386" s="113"/>
      <c r="AC386" s="113"/>
      <c r="AD386" s="113"/>
    </row>
    <row r="387" spans="2:30" ht="12.75" hidden="1" customHeight="1" outlineLevel="1">
      <c r="B387" s="2704" t="s">
        <v>736</v>
      </c>
      <c r="C387" s="2705"/>
      <c r="D387" s="862" t="s">
        <v>745</v>
      </c>
      <c r="E387" s="855"/>
      <c r="F387" s="855"/>
      <c r="G387" s="855"/>
      <c r="H387" s="855"/>
      <c r="I387" s="855"/>
      <c r="J387" s="855"/>
      <c r="K387" s="855"/>
      <c r="L387" s="864"/>
      <c r="M387" s="853"/>
      <c r="N387" s="858"/>
      <c r="O387" s="856"/>
      <c r="P387" s="817"/>
      <c r="Z387" s="113"/>
      <c r="AA387" s="113"/>
      <c r="AB387" s="113"/>
      <c r="AC387" s="113"/>
      <c r="AD387" s="113"/>
    </row>
    <row r="388" spans="2:30" ht="12.75" hidden="1" customHeight="1" outlineLevel="1">
      <c r="B388" s="2704" t="s">
        <v>470</v>
      </c>
      <c r="C388" s="2705"/>
      <c r="D388" s="862" t="s">
        <v>746</v>
      </c>
      <c r="E388" s="855"/>
      <c r="F388" s="855"/>
      <c r="G388" s="855"/>
      <c r="H388" s="855"/>
      <c r="I388" s="855"/>
      <c r="J388" s="855"/>
      <c r="K388" s="855"/>
      <c r="L388" s="864"/>
      <c r="M388" s="853"/>
      <c r="N388" s="858"/>
      <c r="O388" s="856"/>
      <c r="P388" s="817"/>
      <c r="Z388" s="113"/>
      <c r="AA388" s="113"/>
      <c r="AB388" s="113"/>
      <c r="AC388" s="113"/>
      <c r="AD388" s="113"/>
    </row>
    <row r="389" spans="2:30" ht="12.75" hidden="1" customHeight="1" outlineLevel="1">
      <c r="B389" s="2704" t="s">
        <v>479</v>
      </c>
      <c r="C389" s="2705"/>
      <c r="D389" s="862" t="s">
        <v>747</v>
      </c>
      <c r="E389" s="855"/>
      <c r="F389" s="855"/>
      <c r="G389" s="855"/>
      <c r="H389" s="855"/>
      <c r="I389" s="855"/>
      <c r="J389" s="855"/>
      <c r="K389" s="855"/>
      <c r="L389" s="864"/>
      <c r="M389" s="853"/>
      <c r="N389" s="858"/>
      <c r="O389" s="856"/>
      <c r="P389" s="817"/>
      <c r="Z389" s="113"/>
      <c r="AA389" s="113"/>
      <c r="AB389" s="113"/>
      <c r="AC389" s="113"/>
      <c r="AD389" s="113"/>
    </row>
    <row r="390" spans="2:30" ht="12.75" hidden="1" customHeight="1" outlineLevel="1">
      <c r="B390" s="2704" t="s">
        <v>471</v>
      </c>
      <c r="C390" s="2705"/>
      <c r="D390" s="862" t="s">
        <v>748</v>
      </c>
      <c r="E390" s="855"/>
      <c r="F390" s="855"/>
      <c r="G390" s="855"/>
      <c r="H390" s="855"/>
      <c r="I390" s="855"/>
      <c r="J390" s="855"/>
      <c r="K390" s="855"/>
      <c r="L390" s="864"/>
      <c r="M390" s="853"/>
      <c r="N390" s="858"/>
      <c r="O390" s="856"/>
      <c r="P390" s="817"/>
      <c r="Z390" s="113"/>
      <c r="AA390" s="113"/>
      <c r="AB390" s="113"/>
      <c r="AC390" s="113"/>
      <c r="AD390" s="113"/>
    </row>
    <row r="391" spans="2:30" ht="12.75" hidden="1" customHeight="1" outlineLevel="1">
      <c r="B391" s="2704" t="s">
        <v>762</v>
      </c>
      <c r="C391" s="2705"/>
      <c r="D391" s="854"/>
      <c r="E391" s="855"/>
      <c r="F391" s="855"/>
      <c r="G391" s="855"/>
      <c r="H391" s="855"/>
      <c r="I391" s="855"/>
      <c r="J391" s="855"/>
      <c r="K391" s="855"/>
      <c r="L391" s="864"/>
      <c r="M391" s="853"/>
      <c r="N391" s="858"/>
      <c r="O391" s="856"/>
      <c r="P391" s="817"/>
      <c r="Z391" s="113"/>
      <c r="AA391" s="113"/>
      <c r="AB391" s="113"/>
      <c r="AC391" s="113"/>
      <c r="AD391" s="113"/>
    </row>
    <row r="392" spans="2:30" ht="12.75" hidden="1" customHeight="1" outlineLevel="1">
      <c r="B392" s="2713" t="s">
        <v>756</v>
      </c>
      <c r="C392" s="2714"/>
      <c r="D392" s="2714"/>
      <c r="E392" s="2714"/>
      <c r="F392" s="2714"/>
      <c r="G392" s="2714"/>
      <c r="H392" s="2714"/>
      <c r="I392" s="2714"/>
      <c r="J392" s="2714"/>
      <c r="K392" s="2714"/>
      <c r="L392" s="2714"/>
      <c r="M392" s="2714"/>
      <c r="N392" s="2714"/>
      <c r="O392" s="2715"/>
      <c r="P392" s="817"/>
      <c r="Z392" s="113"/>
      <c r="AA392" s="113"/>
      <c r="AB392" s="113"/>
      <c r="AC392" s="113"/>
      <c r="AD392" s="113"/>
    </row>
    <row r="393" spans="2:30" ht="12.75" hidden="1" customHeight="1" outlineLevel="1">
      <c r="B393" s="2704" t="s">
        <v>737</v>
      </c>
      <c r="C393" s="2705"/>
      <c r="D393" s="862" t="s">
        <v>749</v>
      </c>
      <c r="E393" s="855"/>
      <c r="F393" s="855"/>
      <c r="G393" s="855"/>
      <c r="H393" s="855"/>
      <c r="I393" s="855"/>
      <c r="J393" s="855"/>
      <c r="K393" s="855"/>
      <c r="L393" s="864"/>
      <c r="M393" s="853"/>
      <c r="N393" s="858"/>
      <c r="O393" s="856"/>
      <c r="P393" s="817"/>
      <c r="Z393" s="113"/>
      <c r="AA393" s="113"/>
      <c r="AB393" s="113"/>
      <c r="AC393" s="113"/>
      <c r="AD393" s="113"/>
    </row>
    <row r="394" spans="2:30" ht="12.75" hidden="1" customHeight="1" outlineLevel="1">
      <c r="B394" s="2704" t="s">
        <v>738</v>
      </c>
      <c r="C394" s="2705"/>
      <c r="D394" s="862" t="s">
        <v>750</v>
      </c>
      <c r="E394" s="855"/>
      <c r="F394" s="855"/>
      <c r="G394" s="855"/>
      <c r="H394" s="855"/>
      <c r="I394" s="855"/>
      <c r="J394" s="855"/>
      <c r="K394" s="855"/>
      <c r="L394" s="864"/>
      <c r="M394" s="853"/>
      <c r="N394" s="858"/>
      <c r="O394" s="856"/>
      <c r="P394" s="817"/>
      <c r="Z394" s="113"/>
      <c r="AA394" s="113"/>
      <c r="AB394" s="113"/>
      <c r="AC394" s="113"/>
      <c r="AD394" s="113"/>
    </row>
    <row r="395" spans="2:30" ht="12.75" hidden="1" customHeight="1" outlineLevel="1">
      <c r="B395" s="2704" t="s">
        <v>475</v>
      </c>
      <c r="C395" s="2705"/>
      <c r="D395" s="862" t="s">
        <v>751</v>
      </c>
      <c r="E395" s="855"/>
      <c r="F395" s="855"/>
      <c r="G395" s="855"/>
      <c r="H395" s="855"/>
      <c r="I395" s="855"/>
      <c r="J395" s="855"/>
      <c r="K395" s="855"/>
      <c r="L395" s="864"/>
      <c r="M395" s="853"/>
      <c r="N395" s="858"/>
      <c r="O395" s="856"/>
      <c r="P395" s="817"/>
      <c r="Z395" s="113"/>
      <c r="AA395" s="113"/>
      <c r="AB395" s="113"/>
      <c r="AC395" s="113"/>
      <c r="AD395" s="113"/>
    </row>
    <row r="396" spans="2:30" ht="12.75" hidden="1" customHeight="1" outlineLevel="1">
      <c r="B396" s="2704" t="s">
        <v>476</v>
      </c>
      <c r="C396" s="2705"/>
      <c r="D396" s="862" t="s">
        <v>752</v>
      </c>
      <c r="E396" s="855"/>
      <c r="F396" s="855"/>
      <c r="G396" s="855"/>
      <c r="H396" s="855"/>
      <c r="I396" s="855"/>
      <c r="J396" s="855"/>
      <c r="K396" s="855"/>
      <c r="L396" s="864"/>
      <c r="M396" s="853"/>
      <c r="N396" s="858"/>
      <c r="O396" s="856"/>
      <c r="P396" s="817"/>
      <c r="Z396" s="113"/>
      <c r="AA396" s="113"/>
      <c r="AB396" s="113"/>
      <c r="AC396" s="113"/>
      <c r="AD396" s="113"/>
    </row>
    <row r="397" spans="2:30" ht="12.75" hidden="1" customHeight="1" outlineLevel="1">
      <c r="B397" s="2704" t="s">
        <v>739</v>
      </c>
      <c r="C397" s="2705"/>
      <c r="D397" s="862" t="s">
        <v>753</v>
      </c>
      <c r="E397" s="855"/>
      <c r="F397" s="855"/>
      <c r="G397" s="855"/>
      <c r="H397" s="855"/>
      <c r="I397" s="855"/>
      <c r="J397" s="855"/>
      <c r="K397" s="855"/>
      <c r="L397" s="864"/>
      <c r="M397" s="853"/>
      <c r="N397" s="858"/>
      <c r="O397" s="856"/>
      <c r="P397" s="817"/>
      <c r="Z397" s="113"/>
      <c r="AA397" s="113"/>
      <c r="AB397" s="113"/>
      <c r="AC397" s="113"/>
      <c r="AD397" s="113"/>
    </row>
    <row r="398" spans="2:30" ht="12.75" hidden="1" customHeight="1" outlineLevel="1">
      <c r="B398" s="2704" t="s">
        <v>740</v>
      </c>
      <c r="C398" s="2705"/>
      <c r="D398" s="862" t="s">
        <v>754</v>
      </c>
      <c r="E398" s="855"/>
      <c r="F398" s="855"/>
      <c r="G398" s="855"/>
      <c r="H398" s="855"/>
      <c r="I398" s="855"/>
      <c r="J398" s="855"/>
      <c r="K398" s="855"/>
      <c r="L398" s="864"/>
      <c r="M398" s="853"/>
      <c r="N398" s="858"/>
      <c r="O398" s="856"/>
      <c r="P398" s="817"/>
      <c r="Z398" s="113"/>
      <c r="AA398" s="113"/>
      <c r="AB398" s="113"/>
      <c r="AC398" s="113"/>
      <c r="AD398" s="113"/>
    </row>
    <row r="399" spans="2:30" ht="12.75" hidden="1" customHeight="1" outlineLevel="1">
      <c r="B399" s="2704" t="s">
        <v>472</v>
      </c>
      <c r="C399" s="2705"/>
      <c r="D399" s="862" t="s">
        <v>755</v>
      </c>
      <c r="E399" s="855">
        <f>V318</f>
        <v>18927</v>
      </c>
      <c r="F399" s="855">
        <f>W318</f>
        <v>0</v>
      </c>
      <c r="G399" s="855">
        <f>X318</f>
        <v>0</v>
      </c>
      <c r="H399" s="855">
        <v>0</v>
      </c>
      <c r="I399" s="855">
        <v>0</v>
      </c>
      <c r="J399" s="855">
        <v>0</v>
      </c>
      <c r="K399" s="855">
        <f>Y318</f>
        <v>0</v>
      </c>
      <c r="L399" s="864">
        <f>SUM(E399:K399)</f>
        <v>18927</v>
      </c>
      <c r="M399" s="853">
        <f>AA318</f>
        <v>0</v>
      </c>
      <c r="N399" s="858">
        <f>O318</f>
        <v>8530.5063859069924</v>
      </c>
      <c r="O399" s="856"/>
      <c r="P399" s="817"/>
      <c r="Z399" s="113"/>
      <c r="AA399" s="113"/>
      <c r="AB399" s="113"/>
      <c r="AC399" s="113"/>
      <c r="AD399" s="113"/>
    </row>
    <row r="400" spans="2:30" ht="12.75" hidden="1" customHeight="1" outlineLevel="1">
      <c r="B400" s="2704" t="s">
        <v>763</v>
      </c>
      <c r="C400" s="2705"/>
      <c r="D400" s="854"/>
      <c r="E400" s="855"/>
      <c r="F400" s="855"/>
      <c r="G400" s="855"/>
      <c r="H400" s="855"/>
      <c r="I400" s="855"/>
      <c r="J400" s="855"/>
      <c r="K400" s="855"/>
      <c r="L400" s="864"/>
      <c r="M400" s="853"/>
      <c r="N400" s="858"/>
      <c r="O400" s="856"/>
      <c r="P400" s="817"/>
      <c r="Z400" s="113"/>
      <c r="AA400" s="113"/>
      <c r="AB400" s="113"/>
      <c r="AC400" s="113"/>
      <c r="AD400" s="113"/>
    </row>
    <row r="401" spans="2:30" ht="12.75" hidden="1" customHeight="1" outlineLevel="1">
      <c r="B401" s="2710" t="s">
        <v>724</v>
      </c>
      <c r="C401" s="2711"/>
      <c r="D401" s="2712"/>
      <c r="E401" s="852">
        <f t="shared" ref="E401:O401" si="68">SUM(E383:E400)</f>
        <v>2658182</v>
      </c>
      <c r="F401" s="852">
        <f t="shared" si="68"/>
        <v>0</v>
      </c>
      <c r="G401" s="852">
        <f t="shared" si="68"/>
        <v>0</v>
      </c>
      <c r="H401" s="852">
        <f t="shared" si="68"/>
        <v>0</v>
      </c>
      <c r="I401" s="852">
        <f t="shared" si="68"/>
        <v>0</v>
      </c>
      <c r="J401" s="852">
        <f t="shared" si="68"/>
        <v>0</v>
      </c>
      <c r="K401" s="852">
        <f t="shared" si="68"/>
        <v>0</v>
      </c>
      <c r="L401" s="852">
        <f t="shared" si="68"/>
        <v>2658182</v>
      </c>
      <c r="M401" s="863">
        <f t="shared" si="68"/>
        <v>0</v>
      </c>
      <c r="N401" s="859">
        <f>SQRT(SUMSQ(N383:N400))</f>
        <v>384846.50731551414</v>
      </c>
      <c r="O401" s="860">
        <f t="shared" si="68"/>
        <v>0</v>
      </c>
      <c r="P401" s="817"/>
      <c r="Z401" s="113"/>
      <c r="AA401" s="113"/>
      <c r="AB401" s="113"/>
      <c r="AC401" s="113"/>
      <c r="AD401" s="113"/>
    </row>
    <row r="402" spans="2:30" ht="12" hidden="1" customHeight="1" outlineLevel="1">
      <c r="P402" s="113"/>
      <c r="Z402" s="113"/>
      <c r="AA402" s="113"/>
      <c r="AB402" s="817"/>
      <c r="AC402" s="113"/>
      <c r="AD402" s="113"/>
    </row>
    <row r="403" spans="2:30"/>
    <row r="404" spans="2:30" ht="15.75" customHeight="1" collapsed="1">
      <c r="B404" s="2716" t="s">
        <v>810</v>
      </c>
      <c r="C404" s="2717"/>
      <c r="D404" s="2717"/>
      <c r="E404" s="2717"/>
      <c r="F404" s="2717"/>
      <c r="G404" s="2717"/>
      <c r="H404" s="2717"/>
      <c r="I404" s="2717"/>
      <c r="J404" s="2717"/>
      <c r="K404" s="2717"/>
      <c r="L404" s="2717"/>
      <c r="M404" s="2717"/>
      <c r="N404" s="2717"/>
      <c r="O404" s="2718"/>
      <c r="P404" s="113"/>
      <c r="Z404" s="113"/>
      <c r="AA404" s="113"/>
      <c r="AB404" s="817"/>
      <c r="AC404" s="113"/>
      <c r="AD404" s="113"/>
    </row>
    <row r="405" spans="2:30" ht="12" hidden="1" customHeight="1" outlineLevel="1">
      <c r="P405" s="113"/>
      <c r="V405" s="908"/>
      <c r="W405" s="908"/>
      <c r="Z405" s="113"/>
      <c r="AA405" s="113"/>
      <c r="AB405" s="817"/>
      <c r="AC405" s="113"/>
      <c r="AD405" s="113"/>
    </row>
    <row r="406" spans="2:30" ht="38.25" hidden="1" customHeight="1" outlineLevel="1">
      <c r="B406" s="205"/>
      <c r="C406" s="205"/>
      <c r="D406" s="205"/>
      <c r="E406" s="2719" t="s">
        <v>448</v>
      </c>
      <c r="F406" s="2720"/>
      <c r="G406" s="2720"/>
      <c r="H406" s="2720"/>
      <c r="I406" s="2720"/>
      <c r="J406" s="2720"/>
      <c r="K406" s="2720"/>
      <c r="L406" s="2720"/>
      <c r="M406" s="2721"/>
      <c r="N406" s="971" t="s">
        <v>811</v>
      </c>
      <c r="O406" s="968" t="s">
        <v>440</v>
      </c>
      <c r="P406" s="113"/>
      <c r="V406" s="908"/>
      <c r="W406" s="908"/>
      <c r="Z406" s="113"/>
      <c r="AA406" s="113"/>
      <c r="AB406" s="817"/>
      <c r="AC406" s="113"/>
      <c r="AD406" s="113"/>
    </row>
    <row r="407" spans="2:30" ht="38.25" hidden="1" customHeight="1" outlineLevel="1">
      <c r="B407" s="2719" t="s">
        <v>438</v>
      </c>
      <c r="C407" s="2721"/>
      <c r="D407" s="970" t="s">
        <v>458</v>
      </c>
      <c r="E407" s="969" t="s">
        <v>853</v>
      </c>
      <c r="F407" s="969" t="s">
        <v>854</v>
      </c>
      <c r="G407" s="969" t="s">
        <v>855</v>
      </c>
      <c r="H407" s="969" t="s">
        <v>861</v>
      </c>
      <c r="I407" s="969" t="s">
        <v>852</v>
      </c>
      <c r="J407" s="970" t="s">
        <v>513</v>
      </c>
      <c r="K407" s="969" t="s">
        <v>862</v>
      </c>
      <c r="L407" s="969" t="s">
        <v>863</v>
      </c>
      <c r="M407" s="969" t="s">
        <v>514</v>
      </c>
      <c r="N407" s="972" t="s">
        <v>856</v>
      </c>
      <c r="O407" s="974" t="s">
        <v>513</v>
      </c>
      <c r="P407" s="113"/>
      <c r="V407" s="908"/>
      <c r="W407" s="908"/>
      <c r="Z407" s="113"/>
      <c r="AA407" s="113"/>
      <c r="AB407" s="817"/>
      <c r="AC407" s="113"/>
      <c r="AD407" s="113"/>
    </row>
    <row r="408" spans="2:30" ht="12.75" hidden="1" customHeight="1" outlineLevel="1">
      <c r="B408" s="2722" t="s">
        <v>459</v>
      </c>
      <c r="C408" s="2723"/>
      <c r="D408" s="973">
        <v>1</v>
      </c>
      <c r="E408" s="980"/>
      <c r="F408" s="980"/>
      <c r="G408" s="980"/>
      <c r="H408" s="980"/>
      <c r="I408" s="980"/>
      <c r="J408" s="981"/>
      <c r="K408" s="982"/>
      <c r="L408" s="982"/>
      <c r="M408" s="983"/>
      <c r="N408" s="984"/>
      <c r="O408" s="2724" t="s">
        <v>817</v>
      </c>
      <c r="P408" s="113"/>
      <c r="V408" s="908"/>
      <c r="W408" s="908"/>
      <c r="Z408" s="113"/>
      <c r="AA408" s="113"/>
      <c r="AB408" s="817"/>
      <c r="AC408" s="113"/>
      <c r="AD408" s="113"/>
    </row>
    <row r="409" spans="2:30" ht="12.75" hidden="1" customHeight="1" outlineLevel="1">
      <c r="B409" s="2722" t="s">
        <v>722</v>
      </c>
      <c r="C409" s="2723"/>
      <c r="D409" s="973">
        <v>2</v>
      </c>
      <c r="E409" s="980"/>
      <c r="F409" s="980"/>
      <c r="G409" s="980"/>
      <c r="H409" s="980"/>
      <c r="I409" s="980"/>
      <c r="J409" s="981"/>
      <c r="K409" s="982"/>
      <c r="L409" s="982"/>
      <c r="M409" s="983"/>
      <c r="N409" s="984"/>
      <c r="O409" s="2725"/>
      <c r="P409" s="113"/>
      <c r="V409" s="908"/>
      <c r="W409" s="908"/>
      <c r="Z409" s="113"/>
      <c r="AA409" s="113"/>
      <c r="AB409" s="817"/>
      <c r="AC409" s="113"/>
      <c r="AD409" s="113"/>
    </row>
    <row r="410" spans="2:30" ht="12.75" hidden="1" customHeight="1" outlineLevel="1">
      <c r="B410" s="2722" t="s">
        <v>723</v>
      </c>
      <c r="C410" s="2723"/>
      <c r="D410" s="973">
        <v>3</v>
      </c>
      <c r="E410" s="980"/>
      <c r="F410" s="980"/>
      <c r="G410" s="980"/>
      <c r="H410" s="980"/>
      <c r="I410" s="980"/>
      <c r="J410" s="981"/>
      <c r="K410" s="982"/>
      <c r="L410" s="982"/>
      <c r="M410" s="983"/>
      <c r="N410" s="984"/>
      <c r="O410" s="2725"/>
      <c r="P410" s="113"/>
      <c r="V410" s="908"/>
      <c r="W410" s="908"/>
      <c r="Z410" s="113"/>
      <c r="AA410" s="113"/>
      <c r="AB410" s="817"/>
      <c r="AC410" s="113"/>
      <c r="AD410" s="113"/>
    </row>
    <row r="411" spans="2:30" ht="12.75" hidden="1" customHeight="1" outlineLevel="1">
      <c r="B411" s="2722" t="s">
        <v>462</v>
      </c>
      <c r="C411" s="2723"/>
      <c r="D411" s="973">
        <v>4</v>
      </c>
      <c r="E411" s="980"/>
      <c r="F411" s="980"/>
      <c r="G411" s="980"/>
      <c r="H411" s="980"/>
      <c r="I411" s="980"/>
      <c r="J411" s="981"/>
      <c r="K411" s="982"/>
      <c r="L411" s="982"/>
      <c r="M411" s="983"/>
      <c r="N411" s="984"/>
      <c r="O411" s="2725"/>
      <c r="P411" s="113"/>
      <c r="V411" s="908"/>
      <c r="W411" s="908"/>
      <c r="Z411" s="113"/>
      <c r="AA411" s="113"/>
      <c r="AB411" s="817"/>
      <c r="AC411" s="113"/>
      <c r="AD411" s="113"/>
    </row>
    <row r="412" spans="2:30" ht="12.75" hidden="1" customHeight="1" outlineLevel="1">
      <c r="B412" s="2722" t="s">
        <v>812</v>
      </c>
      <c r="C412" s="2723"/>
      <c r="D412" s="973">
        <v>5</v>
      </c>
      <c r="E412" s="980"/>
      <c r="F412" s="980"/>
      <c r="G412" s="980"/>
      <c r="H412" s="980"/>
      <c r="I412" s="980"/>
      <c r="J412" s="981"/>
      <c r="K412" s="982"/>
      <c r="L412" s="982"/>
      <c r="M412" s="983"/>
      <c r="N412" s="985"/>
      <c r="O412" s="2725"/>
      <c r="P412" s="113"/>
      <c r="V412" s="908"/>
      <c r="W412" s="908"/>
      <c r="Z412" s="113"/>
      <c r="AA412" s="113"/>
      <c r="AB412" s="817"/>
      <c r="AC412" s="113"/>
      <c r="AD412" s="113"/>
    </row>
    <row r="413" spans="2:30" ht="12.75" hidden="1" customHeight="1" outlineLevel="1">
      <c r="B413" s="2727" t="s">
        <v>726</v>
      </c>
      <c r="C413" s="2728"/>
      <c r="D413" s="2729"/>
      <c r="E413" s="986">
        <f>SUM(E408:E412)</f>
        <v>0</v>
      </c>
      <c r="F413" s="986">
        <f t="shared" ref="F413:N413" si="69">SUM(F408:F412)</f>
        <v>0</v>
      </c>
      <c r="G413" s="986">
        <f t="shared" si="69"/>
        <v>0</v>
      </c>
      <c r="H413" s="986">
        <f t="shared" si="69"/>
        <v>0</v>
      </c>
      <c r="I413" s="986">
        <f t="shared" si="69"/>
        <v>0</v>
      </c>
      <c r="J413" s="986">
        <f t="shared" si="69"/>
        <v>0</v>
      </c>
      <c r="K413" s="987">
        <f t="shared" si="69"/>
        <v>0</v>
      </c>
      <c r="L413" s="987">
        <f t="shared" si="69"/>
        <v>0</v>
      </c>
      <c r="M413" s="988">
        <f>SQRT(SUMSQ(M408:M412))</f>
        <v>0</v>
      </c>
      <c r="N413" s="989">
        <f t="shared" si="69"/>
        <v>0</v>
      </c>
      <c r="O413" s="2726"/>
      <c r="P413" s="113"/>
      <c r="V413" s="908"/>
      <c r="W413" s="908"/>
      <c r="Z413" s="113"/>
      <c r="AA413" s="113"/>
      <c r="AB413" s="817"/>
      <c r="AC413" s="113"/>
      <c r="AD413" s="113"/>
    </row>
    <row r="414" spans="2:30" ht="12.75" hidden="1" customHeight="1" outlineLevel="1">
      <c r="B414" s="2722" t="s">
        <v>464</v>
      </c>
      <c r="C414" s="2723"/>
      <c r="D414" s="973">
        <v>6</v>
      </c>
      <c r="E414" s="980"/>
      <c r="F414" s="980"/>
      <c r="G414" s="980"/>
      <c r="H414" s="980"/>
      <c r="I414" s="980"/>
      <c r="J414" s="981"/>
      <c r="K414" s="982"/>
      <c r="L414" s="982"/>
      <c r="M414" s="983"/>
      <c r="N414" s="984"/>
      <c r="O414" s="990"/>
      <c r="P414" s="113"/>
      <c r="V414" s="908"/>
      <c r="W414" s="908"/>
      <c r="Z414" s="113"/>
      <c r="AA414" s="113"/>
      <c r="AB414" s="817"/>
      <c r="AC414" s="113"/>
      <c r="AD414" s="113"/>
    </row>
    <row r="415" spans="2:30" ht="12.75" hidden="1" customHeight="1" outlineLevel="1">
      <c r="B415" s="2722" t="s">
        <v>813</v>
      </c>
      <c r="C415" s="2723"/>
      <c r="D415" s="973">
        <v>7</v>
      </c>
      <c r="E415" s="980"/>
      <c r="F415" s="980"/>
      <c r="G415" s="980"/>
      <c r="H415" s="980"/>
      <c r="I415" s="980"/>
      <c r="J415" s="981"/>
      <c r="K415" s="982"/>
      <c r="L415" s="982"/>
      <c r="M415" s="983"/>
      <c r="N415" s="984"/>
      <c r="O415" s="984"/>
      <c r="P415" s="113"/>
      <c r="V415" s="908"/>
      <c r="W415" s="908"/>
      <c r="Z415" s="113"/>
      <c r="AA415" s="113"/>
      <c r="AB415" s="817"/>
      <c r="AC415" s="113"/>
      <c r="AD415" s="113"/>
    </row>
    <row r="416" spans="2:30" ht="12.75" hidden="1" customHeight="1" outlineLevel="1">
      <c r="B416" s="2727" t="s">
        <v>725</v>
      </c>
      <c r="C416" s="2728"/>
      <c r="D416" s="2729"/>
      <c r="E416" s="986">
        <f>SUM(E414:E415)</f>
        <v>0</v>
      </c>
      <c r="F416" s="986">
        <f t="shared" ref="F416:O416" si="70">SUM(F414:F415)</f>
        <v>0</v>
      </c>
      <c r="G416" s="986">
        <f t="shared" si="70"/>
        <v>0</v>
      </c>
      <c r="H416" s="986">
        <f t="shared" si="70"/>
        <v>0</v>
      </c>
      <c r="I416" s="986">
        <f t="shared" si="70"/>
        <v>0</v>
      </c>
      <c r="J416" s="986">
        <f t="shared" si="70"/>
        <v>0</v>
      </c>
      <c r="K416" s="987">
        <f t="shared" si="70"/>
        <v>0</v>
      </c>
      <c r="L416" s="987">
        <f t="shared" si="70"/>
        <v>0</v>
      </c>
      <c r="M416" s="988">
        <f>SQRT(SUMSQ(M414:M415))</f>
        <v>0</v>
      </c>
      <c r="N416" s="989">
        <f t="shared" si="70"/>
        <v>0</v>
      </c>
      <c r="O416" s="989">
        <f t="shared" si="70"/>
        <v>0</v>
      </c>
      <c r="P416" s="113"/>
      <c r="V416" s="908"/>
      <c r="W416" s="908"/>
      <c r="Z416" s="113"/>
      <c r="AA416" s="113"/>
      <c r="AB416" s="817"/>
      <c r="AC416" s="113"/>
      <c r="AD416" s="113"/>
    </row>
    <row r="417" spans="2:30" ht="12.75" hidden="1" customHeight="1" outlineLevel="1">
      <c r="B417" s="2722" t="s">
        <v>466</v>
      </c>
      <c r="C417" s="2723"/>
      <c r="D417" s="973">
        <v>8</v>
      </c>
      <c r="E417" s="980"/>
      <c r="F417" s="980"/>
      <c r="G417" s="980"/>
      <c r="H417" s="980"/>
      <c r="I417" s="980"/>
      <c r="J417" s="981"/>
      <c r="K417" s="982"/>
      <c r="L417" s="982"/>
      <c r="M417" s="983"/>
      <c r="N417" s="984"/>
      <c r="O417" s="984"/>
      <c r="P417" s="113"/>
      <c r="V417" s="908"/>
      <c r="W417" s="908"/>
      <c r="Z417" s="113"/>
      <c r="AA417" s="113"/>
      <c r="AB417" s="817"/>
      <c r="AC417" s="113"/>
      <c r="AD417" s="113"/>
    </row>
    <row r="418" spans="2:30" ht="12.75" hidden="1" customHeight="1" outlineLevel="1">
      <c r="B418" s="2722" t="s">
        <v>814</v>
      </c>
      <c r="C418" s="2723"/>
      <c r="D418" s="973">
        <v>9</v>
      </c>
      <c r="E418" s="980">
        <f>V19+V33+V47+V60+V74+V104+V168+V185+V291+V304</f>
        <v>2639255</v>
      </c>
      <c r="F418" s="980">
        <f>W19+W33+W47+W60+W74+W104+W168+W185+W291+W304</f>
        <v>0</v>
      </c>
      <c r="G418" s="980">
        <f>X19+X33+X47+X60+X74+X104+X168+X185+X291+X304</f>
        <v>0</v>
      </c>
      <c r="H418" s="980">
        <v>0</v>
      </c>
      <c r="I418" s="980">
        <f>Y19+Y33+Y47+Y60+Y74+Y104+Y168+Y185+Y291+Y304</f>
        <v>0</v>
      </c>
      <c r="J418" s="981">
        <f>Z19+Z33+Z47+Z60+Z74+Z104+Z168+Z185+Z291+Z304</f>
        <v>2639255</v>
      </c>
      <c r="K418" s="982">
        <f>AA19+AA33+AA47+AA60+AA74+AA104+AA168+AA185+AA291+AA304</f>
        <v>0</v>
      </c>
      <c r="L418" s="982">
        <v>0</v>
      </c>
      <c r="M418" s="983">
        <f>SQRT(O19^2+O33^2+O47^2+O60^2+O74^2+T104^2+O168^2+O185^2+T291^2+O304^2)</f>
        <v>384751.95211168204</v>
      </c>
      <c r="N418" s="984"/>
      <c r="O418" s="984"/>
      <c r="P418" s="113"/>
      <c r="U418" s="237"/>
      <c r="V418" s="908"/>
      <c r="W418" s="908"/>
      <c r="Z418" s="113"/>
      <c r="AA418" s="113"/>
      <c r="AB418" s="817"/>
      <c r="AC418" s="113"/>
      <c r="AD418" s="113"/>
    </row>
    <row r="419" spans="2:30" ht="12.75" hidden="1" customHeight="1" outlineLevel="1">
      <c r="B419" s="2722" t="s">
        <v>734</v>
      </c>
      <c r="C419" s="2723"/>
      <c r="D419" s="973">
        <v>10</v>
      </c>
      <c r="E419" s="980"/>
      <c r="F419" s="980"/>
      <c r="G419" s="980"/>
      <c r="H419" s="980"/>
      <c r="I419" s="980"/>
      <c r="J419" s="981"/>
      <c r="K419" s="982"/>
      <c r="L419" s="982"/>
      <c r="M419" s="983"/>
      <c r="N419" s="984"/>
      <c r="O419" s="984"/>
      <c r="P419" s="113"/>
      <c r="V419" s="908"/>
      <c r="W419" s="908"/>
      <c r="Z419" s="113"/>
      <c r="AA419" s="113"/>
      <c r="AB419" s="817"/>
      <c r="AC419" s="113"/>
      <c r="AD419" s="113"/>
    </row>
    <row r="420" spans="2:30" ht="12.75" hidden="1" customHeight="1" outlineLevel="1">
      <c r="B420" s="2722" t="s">
        <v>736</v>
      </c>
      <c r="C420" s="2723"/>
      <c r="D420" s="973">
        <v>11</v>
      </c>
      <c r="E420" s="980"/>
      <c r="F420" s="980"/>
      <c r="G420" s="980"/>
      <c r="H420" s="980"/>
      <c r="I420" s="980"/>
      <c r="J420" s="981"/>
      <c r="K420" s="982"/>
      <c r="L420" s="982"/>
      <c r="M420" s="983"/>
      <c r="N420" s="984"/>
      <c r="O420" s="984"/>
      <c r="P420" s="113"/>
      <c r="V420" s="908"/>
      <c r="W420" s="908"/>
      <c r="Z420" s="113"/>
      <c r="AA420" s="113"/>
      <c r="AB420" s="817"/>
      <c r="AC420" s="113"/>
      <c r="AD420" s="113"/>
    </row>
    <row r="421" spans="2:30" ht="12.75" hidden="1" customHeight="1" outlineLevel="1">
      <c r="B421" s="2722" t="s">
        <v>815</v>
      </c>
      <c r="C421" s="2723"/>
      <c r="D421" s="973">
        <v>12</v>
      </c>
      <c r="E421" s="980"/>
      <c r="F421" s="980"/>
      <c r="G421" s="980"/>
      <c r="H421" s="980"/>
      <c r="I421" s="980"/>
      <c r="J421" s="981"/>
      <c r="K421" s="982"/>
      <c r="L421" s="982"/>
      <c r="M421" s="983"/>
      <c r="N421" s="984"/>
      <c r="O421" s="984"/>
      <c r="P421" s="113"/>
      <c r="V421" s="908"/>
      <c r="W421" s="908"/>
      <c r="Z421" s="113"/>
      <c r="AA421" s="113"/>
      <c r="AB421" s="817"/>
      <c r="AC421" s="113"/>
      <c r="AD421" s="113"/>
    </row>
    <row r="422" spans="2:30" ht="12.75" hidden="1" customHeight="1" outlineLevel="1">
      <c r="B422" s="2722" t="s">
        <v>470</v>
      </c>
      <c r="C422" s="2723"/>
      <c r="D422" s="973">
        <v>13</v>
      </c>
      <c r="E422" s="980"/>
      <c r="F422" s="980"/>
      <c r="G422" s="980"/>
      <c r="H422" s="980"/>
      <c r="I422" s="980"/>
      <c r="J422" s="981"/>
      <c r="K422" s="982"/>
      <c r="L422" s="982"/>
      <c r="M422" s="983"/>
      <c r="N422" s="984"/>
      <c r="O422" s="984"/>
      <c r="P422" s="113"/>
      <c r="V422" s="908"/>
      <c r="W422" s="908"/>
      <c r="Z422" s="113"/>
      <c r="AA422" s="113"/>
      <c r="AB422" s="817"/>
      <c r="AC422" s="113"/>
      <c r="AD422" s="113"/>
    </row>
    <row r="423" spans="2:30" ht="12.75" hidden="1" customHeight="1" outlineLevel="1">
      <c r="B423" s="2722" t="s">
        <v>471</v>
      </c>
      <c r="C423" s="2723"/>
      <c r="D423" s="973">
        <v>14</v>
      </c>
      <c r="E423" s="980"/>
      <c r="F423" s="980"/>
      <c r="G423" s="980"/>
      <c r="H423" s="980"/>
      <c r="I423" s="980"/>
      <c r="J423" s="981"/>
      <c r="K423" s="982"/>
      <c r="L423" s="982"/>
      <c r="M423" s="983"/>
      <c r="N423" s="984"/>
      <c r="O423" s="984"/>
      <c r="P423" s="113"/>
      <c r="V423" s="908"/>
      <c r="W423" s="908"/>
      <c r="Z423" s="113"/>
      <c r="AA423" s="113"/>
      <c r="AB423" s="817"/>
      <c r="AC423" s="113"/>
      <c r="AD423" s="113"/>
    </row>
    <row r="424" spans="2:30" ht="12.75" hidden="1" customHeight="1" outlineLevel="1">
      <c r="B424" s="2722" t="s">
        <v>472</v>
      </c>
      <c r="C424" s="2723"/>
      <c r="D424" s="973">
        <v>15</v>
      </c>
      <c r="E424" s="980">
        <f>V318</f>
        <v>18927</v>
      </c>
      <c r="F424" s="980">
        <f>W318</f>
        <v>0</v>
      </c>
      <c r="G424" s="980">
        <f>X318</f>
        <v>0</v>
      </c>
      <c r="H424" s="980">
        <v>0</v>
      </c>
      <c r="I424" s="980">
        <f>Y318</f>
        <v>0</v>
      </c>
      <c r="J424" s="981">
        <f>SUM(E424:I424)</f>
        <v>18927</v>
      </c>
      <c r="K424" s="982">
        <f>AA318</f>
        <v>0</v>
      </c>
      <c r="L424" s="982">
        <v>0</v>
      </c>
      <c r="M424" s="983">
        <f>O318</f>
        <v>8530.5063859069924</v>
      </c>
      <c r="N424" s="984"/>
      <c r="O424" s="984"/>
      <c r="P424" s="113"/>
      <c r="V424" s="908"/>
      <c r="W424" s="908"/>
      <c r="Z424" s="113"/>
      <c r="AA424" s="113"/>
      <c r="AB424" s="817"/>
      <c r="AC424" s="113"/>
      <c r="AD424" s="113"/>
    </row>
    <row r="425" spans="2:30" ht="12.75" hidden="1" customHeight="1" outlineLevel="1">
      <c r="B425" s="2722" t="s">
        <v>473</v>
      </c>
      <c r="C425" s="2723"/>
      <c r="D425" s="973">
        <v>16</v>
      </c>
      <c r="E425" s="980"/>
      <c r="F425" s="980"/>
      <c r="G425" s="980"/>
      <c r="H425" s="980"/>
      <c r="I425" s="980"/>
      <c r="J425" s="981"/>
      <c r="K425" s="982"/>
      <c r="L425" s="982"/>
      <c r="M425" s="983"/>
      <c r="N425" s="984"/>
      <c r="O425" s="984"/>
      <c r="P425" s="113"/>
      <c r="V425" s="908"/>
      <c r="W425" s="908"/>
      <c r="Z425" s="113"/>
      <c r="AA425" s="113"/>
      <c r="AB425" s="817"/>
      <c r="AC425" s="113"/>
      <c r="AD425" s="113"/>
    </row>
    <row r="426" spans="2:30" ht="12.75" hidden="1" customHeight="1" outlineLevel="1">
      <c r="B426" s="2722" t="s">
        <v>737</v>
      </c>
      <c r="C426" s="2723"/>
      <c r="D426" s="973">
        <v>17</v>
      </c>
      <c r="E426" s="980"/>
      <c r="F426" s="980"/>
      <c r="G426" s="980"/>
      <c r="H426" s="980"/>
      <c r="I426" s="980"/>
      <c r="J426" s="981"/>
      <c r="K426" s="982"/>
      <c r="L426" s="982"/>
      <c r="M426" s="983"/>
      <c r="N426" s="984"/>
      <c r="O426" s="984"/>
      <c r="P426" s="113"/>
      <c r="V426" s="908"/>
      <c r="W426" s="908"/>
      <c r="Z426" s="113"/>
      <c r="AA426" s="113"/>
      <c r="AB426" s="817"/>
      <c r="AC426" s="113"/>
      <c r="AD426" s="113"/>
    </row>
    <row r="427" spans="2:30" ht="12.75" hidden="1" customHeight="1" outlineLevel="1">
      <c r="B427" s="2722" t="s">
        <v>475</v>
      </c>
      <c r="C427" s="2723"/>
      <c r="D427" s="973">
        <v>18</v>
      </c>
      <c r="E427" s="980"/>
      <c r="F427" s="980"/>
      <c r="G427" s="980"/>
      <c r="H427" s="980"/>
      <c r="I427" s="980"/>
      <c r="J427" s="981"/>
      <c r="K427" s="982"/>
      <c r="L427" s="982"/>
      <c r="M427" s="983"/>
      <c r="N427" s="984"/>
      <c r="O427" s="984"/>
      <c r="P427" s="113"/>
      <c r="V427" s="908"/>
      <c r="W427" s="908"/>
      <c r="Z427" s="113"/>
      <c r="AA427" s="113"/>
      <c r="AB427" s="817"/>
      <c r="AC427" s="113"/>
      <c r="AD427" s="113"/>
    </row>
    <row r="428" spans="2:30" ht="12.75" hidden="1" customHeight="1" outlineLevel="1">
      <c r="B428" s="2722" t="s">
        <v>476</v>
      </c>
      <c r="C428" s="2723"/>
      <c r="D428" s="973">
        <v>19</v>
      </c>
      <c r="E428" s="980"/>
      <c r="F428" s="980"/>
      <c r="G428" s="980"/>
      <c r="H428" s="980"/>
      <c r="I428" s="980"/>
      <c r="J428" s="981"/>
      <c r="K428" s="982"/>
      <c r="L428" s="982"/>
      <c r="M428" s="983"/>
      <c r="N428" s="984"/>
      <c r="O428" s="984"/>
      <c r="P428" s="113"/>
      <c r="V428" s="908"/>
      <c r="W428" s="908"/>
      <c r="Z428" s="113"/>
      <c r="AA428" s="113"/>
      <c r="AB428" s="817"/>
      <c r="AC428" s="113"/>
      <c r="AD428" s="113"/>
    </row>
    <row r="429" spans="2:30" ht="12.75" hidden="1" customHeight="1" outlineLevel="1">
      <c r="B429" s="2722" t="s">
        <v>477</v>
      </c>
      <c r="C429" s="2723"/>
      <c r="D429" s="973">
        <v>20</v>
      </c>
      <c r="E429" s="980"/>
      <c r="F429" s="980"/>
      <c r="G429" s="980"/>
      <c r="H429" s="980"/>
      <c r="I429" s="980"/>
      <c r="J429" s="981"/>
      <c r="K429" s="982"/>
      <c r="L429" s="982"/>
      <c r="M429" s="983"/>
      <c r="N429" s="984"/>
      <c r="O429" s="984"/>
      <c r="P429" s="113"/>
      <c r="V429" s="908"/>
      <c r="W429" s="908"/>
      <c r="Z429" s="113"/>
      <c r="AA429" s="113"/>
      <c r="AB429" s="817"/>
      <c r="AC429" s="113"/>
      <c r="AD429" s="113"/>
    </row>
    <row r="430" spans="2:30" ht="12.75" hidden="1" customHeight="1" outlineLevel="1">
      <c r="B430" s="2722" t="s">
        <v>478</v>
      </c>
      <c r="C430" s="2723"/>
      <c r="D430" s="973">
        <v>21</v>
      </c>
      <c r="E430" s="980"/>
      <c r="F430" s="980"/>
      <c r="G430" s="980"/>
      <c r="H430" s="980"/>
      <c r="I430" s="980"/>
      <c r="J430" s="981"/>
      <c r="K430" s="982"/>
      <c r="L430" s="982"/>
      <c r="M430" s="983"/>
      <c r="N430" s="984"/>
      <c r="O430" s="984"/>
      <c r="P430" s="113"/>
      <c r="V430" s="908"/>
      <c r="W430" s="908"/>
      <c r="Z430" s="113"/>
      <c r="AA430" s="113"/>
      <c r="AB430" s="817"/>
      <c r="AC430" s="113"/>
      <c r="AD430" s="113"/>
    </row>
    <row r="431" spans="2:30" ht="12.75" hidden="1" customHeight="1" outlineLevel="1">
      <c r="B431" s="2722" t="s">
        <v>479</v>
      </c>
      <c r="C431" s="2723"/>
      <c r="D431" s="973">
        <v>22</v>
      </c>
      <c r="E431" s="980"/>
      <c r="F431" s="980"/>
      <c r="G431" s="980"/>
      <c r="H431" s="980"/>
      <c r="I431" s="980"/>
      <c r="J431" s="981"/>
      <c r="K431" s="982"/>
      <c r="L431" s="982"/>
      <c r="M431" s="983"/>
      <c r="N431" s="984"/>
      <c r="O431" s="984"/>
      <c r="P431" s="113"/>
      <c r="V431" s="908"/>
      <c r="W431" s="908"/>
      <c r="Z431" s="113"/>
      <c r="AA431" s="113"/>
      <c r="AB431" s="817"/>
      <c r="AC431" s="113"/>
      <c r="AD431" s="113"/>
    </row>
    <row r="432" spans="2:30" ht="12.75" hidden="1" customHeight="1" outlineLevel="1">
      <c r="B432" s="2722" t="s">
        <v>449</v>
      </c>
      <c r="C432" s="2723"/>
      <c r="D432" s="973">
        <v>23</v>
      </c>
      <c r="E432" s="980"/>
      <c r="F432" s="980"/>
      <c r="G432" s="980"/>
      <c r="H432" s="980"/>
      <c r="I432" s="980"/>
      <c r="J432" s="981"/>
      <c r="K432" s="982"/>
      <c r="L432" s="982"/>
      <c r="M432" s="983"/>
      <c r="N432" s="984"/>
      <c r="O432" s="984"/>
      <c r="P432" s="113"/>
      <c r="V432" s="908"/>
      <c r="W432" s="908"/>
      <c r="Z432" s="113"/>
      <c r="AA432" s="113"/>
      <c r="AB432" s="817"/>
      <c r="AC432" s="113"/>
      <c r="AD432" s="113"/>
    </row>
    <row r="433" spans="1:39" ht="12.75" hidden="1" customHeight="1" outlineLevel="1">
      <c r="B433" s="2727" t="s">
        <v>724</v>
      </c>
      <c r="C433" s="2728"/>
      <c r="D433" s="2729"/>
      <c r="E433" s="986">
        <f>SUM(E417:E432)</f>
        <v>2658182</v>
      </c>
      <c r="F433" s="986">
        <f t="shared" ref="F433:O433" si="71">SUM(F417:F432)</f>
        <v>0</v>
      </c>
      <c r="G433" s="986">
        <f t="shared" si="71"/>
        <v>0</v>
      </c>
      <c r="H433" s="986">
        <f t="shared" si="71"/>
        <v>0</v>
      </c>
      <c r="I433" s="986">
        <f t="shared" si="71"/>
        <v>0</v>
      </c>
      <c r="J433" s="986">
        <f t="shared" si="71"/>
        <v>2658182</v>
      </c>
      <c r="K433" s="987">
        <f t="shared" si="71"/>
        <v>0</v>
      </c>
      <c r="L433" s="987">
        <f t="shared" si="71"/>
        <v>0</v>
      </c>
      <c r="M433" s="988">
        <f>SQRT(SUMSQ(M417:M432))</f>
        <v>384846.50731551414</v>
      </c>
      <c r="N433" s="989">
        <f t="shared" si="71"/>
        <v>0</v>
      </c>
      <c r="O433" s="989">
        <f t="shared" si="71"/>
        <v>0</v>
      </c>
      <c r="P433" s="113"/>
      <c r="V433" s="908"/>
      <c r="W433" s="908"/>
      <c r="Z433" s="113"/>
      <c r="AA433" s="113"/>
      <c r="AB433" s="817"/>
      <c r="AC433" s="113"/>
      <c r="AD433" s="113"/>
    </row>
    <row r="434" spans="1:39" ht="12" hidden="1" customHeight="1" outlineLevel="1">
      <c r="P434" s="113"/>
      <c r="V434" s="908"/>
      <c r="W434" s="908"/>
      <c r="Z434" s="113"/>
      <c r="AA434" s="113"/>
      <c r="AB434" s="817"/>
      <c r="AC434" s="113"/>
      <c r="AD434" s="113"/>
    </row>
    <row r="435" spans="1:39"/>
    <row r="436" spans="1:39" s="418" customFormat="1" ht="15.75" hidden="1" customHeight="1" collapsed="1">
      <c r="A436" s="113"/>
      <c r="B436" s="2730" t="s">
        <v>2443</v>
      </c>
      <c r="C436" s="2731"/>
      <c r="D436" s="2731"/>
      <c r="E436" s="2731"/>
      <c r="F436" s="2731"/>
      <c r="G436" s="2731"/>
      <c r="H436" s="2731"/>
      <c r="I436" s="2731"/>
      <c r="J436" s="2731"/>
      <c r="K436" s="2731"/>
      <c r="L436" s="2731"/>
      <c r="M436" s="2731"/>
      <c r="N436" s="2731"/>
      <c r="O436" s="2732"/>
      <c r="P436" s="113"/>
      <c r="Q436" s="113"/>
      <c r="U436" s="113"/>
      <c r="V436" s="113"/>
      <c r="W436" s="113"/>
      <c r="X436" s="113"/>
      <c r="Y436" s="113"/>
      <c r="Z436" s="113"/>
      <c r="AA436" s="113"/>
      <c r="AB436" s="113"/>
      <c r="AC436" s="113"/>
      <c r="AD436" s="113"/>
    </row>
    <row r="437" spans="1:39" s="418" customFormat="1" ht="12" hidden="1" customHeight="1" outlineLevel="1">
      <c r="A437" s="113"/>
      <c r="B437" s="113"/>
      <c r="C437" s="113"/>
      <c r="D437" s="113"/>
      <c r="E437" s="113"/>
      <c r="F437" s="113"/>
      <c r="G437" s="113"/>
      <c r="H437" s="113"/>
      <c r="I437" s="113"/>
      <c r="J437" s="113"/>
      <c r="K437" s="113"/>
      <c r="L437" s="113"/>
      <c r="M437" s="113"/>
      <c r="N437" s="113"/>
      <c r="O437" s="113"/>
      <c r="P437" s="113"/>
      <c r="Q437" s="113"/>
      <c r="U437" s="113"/>
      <c r="V437" s="113"/>
      <c r="W437" s="113"/>
      <c r="X437" s="113"/>
      <c r="Y437" s="113"/>
      <c r="Z437" s="113"/>
      <c r="AA437" s="113"/>
      <c r="AB437" s="113"/>
      <c r="AC437" s="113"/>
      <c r="AD437" s="113"/>
    </row>
    <row r="438" spans="1:39" s="418" customFormat="1" ht="12" hidden="1" customHeight="1" outlineLevel="1">
      <c r="A438" s="113"/>
      <c r="B438" s="113" t="s">
        <v>2549</v>
      </c>
      <c r="C438" s="113"/>
      <c r="D438" s="113"/>
      <c r="E438" s="113"/>
      <c r="F438" s="113"/>
      <c r="G438" s="113"/>
      <c r="H438" s="113"/>
      <c r="I438" s="113"/>
      <c r="J438" s="113"/>
      <c r="K438" s="113"/>
      <c r="L438" s="113"/>
      <c r="M438" s="113"/>
      <c r="N438" s="113"/>
      <c r="O438" s="113"/>
      <c r="P438" s="113"/>
      <c r="Q438" s="113"/>
      <c r="U438" s="113"/>
      <c r="V438" s="113"/>
      <c r="W438" s="113"/>
      <c r="X438" s="113"/>
      <c r="Y438" s="113"/>
      <c r="Z438" s="113"/>
      <c r="AA438" s="113"/>
      <c r="AB438" s="113"/>
      <c r="AC438" s="113"/>
      <c r="AD438" s="113"/>
    </row>
    <row r="439" spans="1:39" s="418" customFormat="1" ht="12" hidden="1" customHeight="1" outlineLevel="1">
      <c r="A439" s="113"/>
      <c r="B439" s="113"/>
      <c r="C439" s="113"/>
      <c r="D439" s="113"/>
      <c r="E439" s="113"/>
      <c r="F439" s="113"/>
      <c r="G439" s="113"/>
      <c r="H439" s="113"/>
      <c r="I439" s="113"/>
      <c r="J439" s="113"/>
      <c r="K439" s="113"/>
      <c r="L439" s="113"/>
      <c r="M439" s="113"/>
      <c r="N439" s="113"/>
      <c r="O439" s="113"/>
      <c r="P439" s="113"/>
      <c r="Q439" s="113"/>
      <c r="U439" s="113"/>
      <c r="V439" s="113"/>
      <c r="W439" s="113"/>
      <c r="X439" s="113"/>
      <c r="Y439" s="113"/>
      <c r="Z439" s="113"/>
      <c r="AA439" s="113"/>
      <c r="AB439" s="113"/>
      <c r="AC439" s="113"/>
      <c r="AD439" s="113"/>
    </row>
    <row r="440" spans="1:39" s="418" customFormat="1" ht="12" hidden="1" customHeight="1" outlineLevel="1">
      <c r="A440" s="113"/>
      <c r="B440" s="113"/>
      <c r="C440" s="113"/>
      <c r="D440" s="113"/>
      <c r="E440" s="113"/>
      <c r="F440" s="113"/>
      <c r="G440" s="113"/>
      <c r="H440" s="113"/>
      <c r="I440" s="113"/>
      <c r="J440" s="113"/>
      <c r="K440" s="113"/>
      <c r="L440" s="113"/>
      <c r="M440" s="113"/>
      <c r="N440" s="113"/>
      <c r="O440" s="113"/>
      <c r="P440" s="113"/>
      <c r="Q440" s="113"/>
      <c r="U440" s="113"/>
      <c r="V440" s="113"/>
      <c r="W440" s="113"/>
      <c r="X440" s="113"/>
      <c r="Y440" s="113"/>
      <c r="Z440" s="113"/>
      <c r="AA440" s="113"/>
      <c r="AB440" s="113"/>
      <c r="AC440" s="113"/>
      <c r="AD440" s="113"/>
    </row>
    <row r="441" spans="1:39" s="418" customFormat="1" ht="12" hidden="1" customHeight="1" outlineLevel="1">
      <c r="A441" s="113"/>
      <c r="B441" s="113"/>
      <c r="C441" s="113"/>
      <c r="D441" s="113"/>
      <c r="E441" s="113"/>
      <c r="F441" s="113"/>
      <c r="G441" s="113"/>
      <c r="H441" s="113"/>
      <c r="I441" s="113"/>
      <c r="J441" s="113"/>
      <c r="K441" s="113"/>
      <c r="L441" s="113"/>
      <c r="M441" s="113"/>
      <c r="N441" s="113"/>
      <c r="O441" s="113"/>
      <c r="P441" s="113"/>
      <c r="Q441" s="113"/>
      <c r="U441" s="113"/>
      <c r="V441" s="113"/>
      <c r="W441" s="113"/>
      <c r="X441" s="113"/>
      <c r="Y441" s="113"/>
      <c r="Z441" s="113"/>
      <c r="AA441" s="113"/>
      <c r="AB441" s="113"/>
      <c r="AC441" s="113"/>
      <c r="AD441" s="113"/>
    </row>
    <row r="442" spans="1:39" s="418" customFormat="1" ht="12" hidden="1" customHeight="1" outlineLevel="1">
      <c r="A442" s="113"/>
      <c r="B442" s="113"/>
      <c r="C442" s="113"/>
      <c r="D442" s="113"/>
      <c r="E442" s="113"/>
      <c r="F442" s="113"/>
      <c r="G442" s="113"/>
      <c r="H442" s="113"/>
      <c r="I442" s="113"/>
      <c r="J442" s="113"/>
      <c r="K442" s="113"/>
      <c r="L442" s="113"/>
      <c r="M442" s="113"/>
      <c r="N442" s="113"/>
      <c r="O442" s="113"/>
      <c r="P442" s="113"/>
      <c r="Q442" s="113"/>
      <c r="U442" s="113"/>
      <c r="V442" s="113"/>
      <c r="W442" s="113"/>
      <c r="X442" s="113"/>
      <c r="Y442" s="113"/>
      <c r="Z442" s="113"/>
      <c r="AA442" s="113"/>
      <c r="AB442" s="113"/>
      <c r="AC442" s="113"/>
      <c r="AD442" s="113"/>
    </row>
    <row r="443" spans="1:39" s="418" customFormat="1" ht="12" hidden="1" customHeight="1" outlineLevel="1">
      <c r="A443" s="113"/>
      <c r="B443" s="113"/>
      <c r="C443" s="113"/>
      <c r="D443" s="113"/>
      <c r="E443" s="113"/>
      <c r="F443" s="113"/>
      <c r="G443" s="113"/>
      <c r="H443" s="113"/>
      <c r="I443" s="113"/>
      <c r="J443" s="113"/>
      <c r="K443" s="113"/>
      <c r="L443" s="113"/>
      <c r="M443" s="113"/>
      <c r="N443" s="113"/>
      <c r="O443" s="113"/>
      <c r="P443" s="113"/>
      <c r="Q443" s="113"/>
      <c r="U443" s="113"/>
      <c r="V443" s="113"/>
      <c r="W443" s="113"/>
      <c r="X443" s="113"/>
      <c r="Y443" s="113"/>
      <c r="Z443" s="113"/>
      <c r="AA443" s="113"/>
      <c r="AB443" s="113"/>
      <c r="AC443" s="113"/>
      <c r="AD443" s="113"/>
    </row>
    <row r="444" spans="1:39" s="418" customFormat="1" ht="12" hidden="1" customHeight="1" outlineLevel="1">
      <c r="A444" s="113"/>
      <c r="B444" s="113"/>
      <c r="C444" s="113"/>
      <c r="D444" s="113"/>
      <c r="E444" s="113"/>
      <c r="F444" s="113"/>
      <c r="G444" s="113"/>
      <c r="H444" s="113"/>
      <c r="I444" s="113"/>
      <c r="J444" s="113"/>
      <c r="K444" s="113"/>
      <c r="L444" s="113"/>
      <c r="M444" s="113"/>
      <c r="N444" s="113"/>
      <c r="O444" s="113"/>
      <c r="P444" s="113"/>
      <c r="Q444" s="113"/>
      <c r="U444" s="113"/>
      <c r="V444" s="113"/>
      <c r="W444" s="113"/>
      <c r="X444" s="113"/>
      <c r="Y444" s="113"/>
      <c r="Z444" s="113"/>
      <c r="AA444" s="113"/>
      <c r="AB444" s="113"/>
      <c r="AC444" s="113"/>
      <c r="AD444" s="113"/>
    </row>
    <row r="445" spans="1:39" s="418" customFormat="1" ht="12" hidden="1" customHeight="1">
      <c r="A445" s="113"/>
      <c r="B445" s="113"/>
      <c r="C445" s="113"/>
      <c r="D445" s="113"/>
      <c r="E445" s="113"/>
      <c r="F445" s="113"/>
      <c r="G445" s="113"/>
      <c r="H445" s="113"/>
      <c r="I445" s="113"/>
      <c r="J445" s="113"/>
      <c r="K445" s="113"/>
      <c r="L445" s="113"/>
      <c r="M445" s="113"/>
      <c r="N445" s="113"/>
      <c r="O445" s="113"/>
      <c r="P445" s="113"/>
      <c r="Q445" s="113"/>
      <c r="U445" s="113"/>
      <c r="V445" s="113"/>
      <c r="W445" s="113"/>
      <c r="X445" s="113"/>
      <c r="Y445" s="113"/>
      <c r="Z445" s="113"/>
      <c r="AA445" s="113"/>
      <c r="AB445" s="113"/>
      <c r="AC445" s="113"/>
      <c r="AD445" s="113"/>
    </row>
    <row r="446" spans="1:39" s="418" customFormat="1" ht="15.6" collapsed="1">
      <c r="A446" s="113"/>
      <c r="B446" s="2733" t="s">
        <v>2554</v>
      </c>
      <c r="C446" s="2734"/>
      <c r="D446" s="2734"/>
      <c r="E446" s="2734"/>
      <c r="F446" s="2734"/>
      <c r="G446" s="2734"/>
      <c r="H446" s="2734"/>
      <c r="I446" s="2734"/>
      <c r="J446" s="2734"/>
      <c r="K446" s="2734"/>
      <c r="L446" s="2734"/>
      <c r="M446" s="2734"/>
      <c r="N446" s="2734"/>
      <c r="O446" s="2735"/>
      <c r="P446" s="113"/>
      <c r="Q446" s="113"/>
      <c r="U446" s="113"/>
      <c r="V446" s="113"/>
      <c r="W446" s="113"/>
      <c r="X446" s="113"/>
      <c r="Y446" s="113"/>
      <c r="Z446" s="113"/>
      <c r="AA446" s="113"/>
      <c r="AB446" s="113"/>
      <c r="AC446" s="113"/>
      <c r="AD446" s="113"/>
    </row>
    <row r="447" spans="1:39" s="418" customFormat="1" ht="12" hidden="1" customHeight="1" outlineLevel="1">
      <c r="A447" s="113"/>
      <c r="B447" s="113"/>
      <c r="C447" s="113"/>
      <c r="D447" s="113"/>
      <c r="E447" s="113"/>
      <c r="F447" s="113"/>
      <c r="G447" s="113"/>
      <c r="H447" s="113"/>
      <c r="I447" s="113"/>
      <c r="J447" s="113"/>
      <c r="K447" s="113"/>
      <c r="L447" s="113"/>
      <c r="M447" s="113"/>
      <c r="N447" s="113"/>
      <c r="O447" s="113"/>
      <c r="P447" s="113"/>
      <c r="Q447" s="113"/>
      <c r="U447" s="113"/>
      <c r="V447" s="113"/>
      <c r="W447" s="113"/>
      <c r="X447" s="113"/>
      <c r="Y447" s="113"/>
      <c r="Z447" s="113"/>
      <c r="AA447" s="113"/>
      <c r="AB447" s="113"/>
      <c r="AC447" s="113"/>
      <c r="AD447" s="113"/>
    </row>
    <row r="448" spans="1:39" ht="38.25" hidden="1" customHeight="1" outlineLevel="1">
      <c r="B448" s="205"/>
      <c r="C448" s="205"/>
      <c r="D448" s="205"/>
      <c r="E448" s="2736" t="s">
        <v>448</v>
      </c>
      <c r="F448" s="2737"/>
      <c r="G448" s="2737"/>
      <c r="H448" s="2737"/>
      <c r="I448" s="2737"/>
      <c r="J448" s="2737"/>
      <c r="K448" s="2737"/>
      <c r="L448" s="2737"/>
      <c r="M448" s="2738"/>
      <c r="N448" s="1794" t="s">
        <v>811</v>
      </c>
      <c r="O448" s="1795" t="s">
        <v>440</v>
      </c>
      <c r="P448" s="113"/>
      <c r="R448" s="576"/>
      <c r="S448" s="576"/>
      <c r="T448" s="576"/>
      <c r="V448" s="908"/>
      <c r="W448" s="908"/>
      <c r="Z448" s="113"/>
      <c r="AA448" s="113"/>
      <c r="AB448" s="817"/>
      <c r="AC448" s="113"/>
      <c r="AD448" s="113"/>
      <c r="AE448" s="576"/>
      <c r="AF448" s="576"/>
      <c r="AG448" s="576"/>
      <c r="AH448" s="576"/>
      <c r="AI448" s="576"/>
      <c r="AJ448" s="576"/>
      <c r="AK448" s="576"/>
      <c r="AL448" s="576"/>
      <c r="AM448" s="576"/>
    </row>
    <row r="449" spans="1:39" ht="38.25" hidden="1" customHeight="1" outlineLevel="1">
      <c r="B449" s="2736" t="s">
        <v>438</v>
      </c>
      <c r="C449" s="2738"/>
      <c r="D449" s="1795" t="s">
        <v>2510</v>
      </c>
      <c r="E449" s="1796" t="s">
        <v>853</v>
      </c>
      <c r="F449" s="1796" t="s">
        <v>854</v>
      </c>
      <c r="G449" s="1796" t="s">
        <v>855</v>
      </c>
      <c r="H449" s="1796" t="s">
        <v>861</v>
      </c>
      <c r="I449" s="1796" t="s">
        <v>852</v>
      </c>
      <c r="J449" s="1797" t="s">
        <v>513</v>
      </c>
      <c r="K449" s="1796" t="s">
        <v>862</v>
      </c>
      <c r="L449" s="1796" t="s">
        <v>863</v>
      </c>
      <c r="M449" s="1796" t="s">
        <v>514</v>
      </c>
      <c r="N449" s="1798" t="s">
        <v>856</v>
      </c>
      <c r="O449" s="1799" t="s">
        <v>513</v>
      </c>
      <c r="P449" s="113"/>
      <c r="R449" s="576"/>
      <c r="S449" s="576"/>
      <c r="T449" s="576"/>
      <c r="V449" s="908"/>
      <c r="W449" s="908"/>
      <c r="Z449" s="113"/>
      <c r="AA449" s="113"/>
      <c r="AB449" s="817"/>
      <c r="AC449" s="113"/>
      <c r="AD449" s="113"/>
      <c r="AE449" s="576"/>
      <c r="AF449" s="576"/>
      <c r="AG449" s="576"/>
      <c r="AH449" s="576"/>
      <c r="AI449" s="576"/>
      <c r="AJ449" s="576"/>
      <c r="AK449" s="576"/>
      <c r="AL449" s="576"/>
      <c r="AM449" s="576"/>
    </row>
    <row r="450" spans="1:39" ht="12.75" hidden="1" customHeight="1" outlineLevel="1">
      <c r="B450" s="2722" t="s">
        <v>2481</v>
      </c>
      <c r="C450" s="2723"/>
      <c r="D450" s="973" t="s">
        <v>2503</v>
      </c>
      <c r="E450" s="980"/>
      <c r="F450" s="980"/>
      <c r="G450" s="980"/>
      <c r="H450" s="980"/>
      <c r="I450" s="980"/>
      <c r="J450" s="981"/>
      <c r="K450" s="982"/>
      <c r="L450" s="982"/>
      <c r="M450" s="983"/>
      <c r="N450" s="984"/>
      <c r="O450" s="1886" t="s">
        <v>817</v>
      </c>
      <c r="P450" s="113"/>
      <c r="R450" s="576"/>
      <c r="S450" s="576"/>
      <c r="T450" s="576"/>
      <c r="V450" s="908"/>
      <c r="W450" s="908"/>
      <c r="Z450" s="113"/>
      <c r="AA450" s="113"/>
      <c r="AB450" s="817"/>
      <c r="AC450" s="113"/>
      <c r="AD450" s="113"/>
      <c r="AE450" s="576"/>
      <c r="AF450" s="576"/>
      <c r="AG450" s="576"/>
      <c r="AH450" s="576"/>
      <c r="AI450" s="576"/>
      <c r="AJ450" s="576"/>
      <c r="AK450" s="576"/>
      <c r="AL450" s="576"/>
      <c r="AM450" s="576"/>
    </row>
    <row r="451" spans="1:39" ht="12.75" hidden="1" customHeight="1" outlineLevel="1">
      <c r="B451" s="2722" t="s">
        <v>2482</v>
      </c>
      <c r="C451" s="2723"/>
      <c r="D451" s="1896" t="s">
        <v>2504</v>
      </c>
      <c r="E451" s="980"/>
      <c r="F451" s="980"/>
      <c r="G451" s="980"/>
      <c r="H451" s="980"/>
      <c r="I451" s="980"/>
      <c r="J451" s="981"/>
      <c r="K451" s="982"/>
      <c r="L451" s="982"/>
      <c r="M451" s="983"/>
      <c r="N451" s="984"/>
      <c r="O451" s="990"/>
      <c r="P451" s="113"/>
      <c r="R451" s="576"/>
      <c r="S451" s="576"/>
      <c r="T451" s="576"/>
      <c r="V451" s="908"/>
      <c r="W451" s="908"/>
      <c r="Z451" s="113"/>
      <c r="AA451" s="113"/>
      <c r="AB451" s="817"/>
      <c r="AC451" s="113"/>
      <c r="AD451" s="113"/>
      <c r="AE451" s="576"/>
      <c r="AF451" s="576"/>
      <c r="AG451" s="576"/>
      <c r="AH451" s="576"/>
      <c r="AI451" s="576"/>
      <c r="AJ451" s="576"/>
      <c r="AK451" s="576"/>
      <c r="AL451" s="576"/>
      <c r="AM451" s="576"/>
    </row>
    <row r="452" spans="1:39" ht="12.75" hidden="1" customHeight="1" outlineLevel="1">
      <c r="B452" s="2722" t="s">
        <v>2483</v>
      </c>
      <c r="C452" s="2723"/>
      <c r="D452" s="973" t="s">
        <v>2505</v>
      </c>
      <c r="E452" s="980"/>
      <c r="F452" s="980"/>
      <c r="G452" s="980"/>
      <c r="H452" s="980"/>
      <c r="I452" s="980"/>
      <c r="J452" s="981"/>
      <c r="K452" s="982"/>
      <c r="L452" s="982"/>
      <c r="M452" s="983"/>
      <c r="N452" s="984"/>
      <c r="O452" s="984"/>
      <c r="P452" s="113"/>
      <c r="R452" s="576"/>
      <c r="S452" s="576"/>
      <c r="T452" s="576"/>
      <c r="V452" s="908"/>
      <c r="W452" s="908"/>
      <c r="Z452" s="113"/>
      <c r="AA452" s="113"/>
      <c r="AB452" s="817"/>
      <c r="AC452" s="113"/>
      <c r="AD452" s="113"/>
      <c r="AE452" s="576"/>
      <c r="AF452" s="576"/>
      <c r="AG452" s="576"/>
      <c r="AH452" s="576"/>
      <c r="AI452" s="576"/>
      <c r="AJ452" s="576"/>
      <c r="AK452" s="576"/>
      <c r="AL452" s="576"/>
      <c r="AM452" s="576"/>
    </row>
    <row r="453" spans="1:39" ht="26.25" hidden="1" customHeight="1" outlineLevel="1">
      <c r="B453" s="2739" t="s">
        <v>2485</v>
      </c>
      <c r="C453" s="2740"/>
      <c r="D453" s="1896" t="s">
        <v>2506</v>
      </c>
      <c r="E453" s="980">
        <f>V19+V33+V47+V60+V74+V104+V168+V185+V291+V304</f>
        <v>2639255</v>
      </c>
      <c r="F453" s="980">
        <f>W19+W33+W47+W60+W74+W104+W168+W185+W291+W304</f>
        <v>0</v>
      </c>
      <c r="G453" s="980">
        <f>X19+X33+X47+X60+X74+X104+X168+X185+X291+X304</f>
        <v>0</v>
      </c>
      <c r="H453" s="980">
        <v>0</v>
      </c>
      <c r="I453" s="980">
        <f>Y19+Y33+Y47+Y60+Y74+Y104+Y168+Y185+Y291+Y304</f>
        <v>0</v>
      </c>
      <c r="J453" s="981">
        <f>SUM(E453:I453)</f>
        <v>2639255</v>
      </c>
      <c r="K453" s="982">
        <f>AA19+AA33+AA47+AA60+AA74+AA104+AA168+AA185+AA291+AA304</f>
        <v>0</v>
      </c>
      <c r="L453" s="982">
        <v>0</v>
      </c>
      <c r="M453" s="983">
        <f>SQRT(O19^2+O33^2+O47^2+O60^2+O74^2+T104^2+O168^2+O185^2+T291^2+O304^2)</f>
        <v>384751.95211168204</v>
      </c>
      <c r="N453" s="984"/>
      <c r="O453" s="984"/>
      <c r="P453" s="113"/>
      <c r="R453" s="576"/>
      <c r="S453" s="576"/>
      <c r="T453" s="576"/>
      <c r="V453" s="908"/>
      <c r="W453" s="908"/>
      <c r="Z453" s="113"/>
      <c r="AA453" s="113"/>
      <c r="AB453" s="817"/>
      <c r="AC453" s="113"/>
      <c r="AD453" s="113"/>
      <c r="AE453" s="576"/>
      <c r="AF453" s="576"/>
      <c r="AG453" s="576"/>
      <c r="AH453" s="576"/>
      <c r="AI453" s="576"/>
      <c r="AJ453" s="576"/>
      <c r="AK453" s="576"/>
      <c r="AL453" s="576"/>
      <c r="AM453" s="576"/>
    </row>
    <row r="454" spans="1:39" ht="26.25" hidden="1" customHeight="1" outlineLevel="1">
      <c r="B454" s="2739" t="s">
        <v>2484</v>
      </c>
      <c r="C454" s="2740"/>
      <c r="D454" s="1897" t="s">
        <v>2507</v>
      </c>
      <c r="E454" s="980"/>
      <c r="F454" s="980"/>
      <c r="G454" s="980"/>
      <c r="H454" s="980"/>
      <c r="I454" s="980"/>
      <c r="J454" s="981"/>
      <c r="K454" s="982"/>
      <c r="L454" s="982"/>
      <c r="M454" s="983"/>
      <c r="N454" s="984"/>
      <c r="O454" s="984"/>
      <c r="P454" s="113"/>
      <c r="R454" s="576"/>
      <c r="S454" s="576"/>
      <c r="T454" s="576"/>
      <c r="V454" s="908"/>
      <c r="W454" s="908"/>
      <c r="Z454" s="113"/>
      <c r="AA454" s="113"/>
      <c r="AB454" s="817"/>
      <c r="AC454" s="113"/>
      <c r="AD454" s="113"/>
      <c r="AE454" s="576"/>
      <c r="AF454" s="576"/>
      <c r="AG454" s="576"/>
      <c r="AH454" s="576"/>
      <c r="AI454" s="576"/>
      <c r="AJ454" s="576"/>
      <c r="AK454" s="576"/>
      <c r="AL454" s="576"/>
      <c r="AM454" s="576"/>
    </row>
    <row r="455" spans="1:39" ht="26.25" hidden="1" customHeight="1" outlineLevel="1">
      <c r="B455" s="2739" t="s">
        <v>2486</v>
      </c>
      <c r="C455" s="2740"/>
      <c r="D455" s="973" t="s">
        <v>2508</v>
      </c>
      <c r="E455" s="980"/>
      <c r="F455" s="980"/>
      <c r="G455" s="980"/>
      <c r="H455" s="980"/>
      <c r="I455" s="980"/>
      <c r="J455" s="981"/>
      <c r="K455" s="982"/>
      <c r="L455" s="982"/>
      <c r="M455" s="983"/>
      <c r="N455" s="984"/>
      <c r="O455" s="984"/>
      <c r="P455" s="113"/>
      <c r="R455" s="576"/>
      <c r="S455" s="576"/>
      <c r="T455" s="576"/>
      <c r="V455" s="908"/>
      <c r="W455" s="908"/>
      <c r="Z455" s="113"/>
      <c r="AA455" s="113"/>
      <c r="AB455" s="817"/>
      <c r="AC455" s="113"/>
      <c r="AD455" s="113"/>
      <c r="AE455" s="576"/>
      <c r="AF455" s="576"/>
      <c r="AG455" s="576"/>
      <c r="AH455" s="576"/>
      <c r="AI455" s="576"/>
      <c r="AJ455" s="576"/>
      <c r="AK455" s="576"/>
      <c r="AL455" s="576"/>
      <c r="AM455" s="576"/>
    </row>
    <row r="456" spans="1:39" ht="12.75" hidden="1" customHeight="1" outlineLevel="1">
      <c r="B456" s="2722" t="s">
        <v>449</v>
      </c>
      <c r="C456" s="2723"/>
      <c r="D456" s="1898" t="s">
        <v>2509</v>
      </c>
      <c r="E456" s="980">
        <f>V318</f>
        <v>18927</v>
      </c>
      <c r="F456" s="980">
        <f>W318</f>
        <v>0</v>
      </c>
      <c r="G456" s="980">
        <f>X318</f>
        <v>0</v>
      </c>
      <c r="H456" s="980">
        <v>0</v>
      </c>
      <c r="I456" s="980">
        <f>Y318</f>
        <v>0</v>
      </c>
      <c r="J456" s="981">
        <f>SUM(E456:I456)</f>
        <v>18927</v>
      </c>
      <c r="K456" s="982">
        <f>AA318</f>
        <v>0</v>
      </c>
      <c r="L456" s="982">
        <v>0</v>
      </c>
      <c r="M456" s="983">
        <f>O318</f>
        <v>8530.5063859069924</v>
      </c>
      <c r="N456" s="984"/>
      <c r="O456" s="984"/>
      <c r="P456" s="113"/>
      <c r="R456" s="576"/>
      <c r="S456" s="576"/>
      <c r="T456" s="576"/>
      <c r="V456" s="908"/>
      <c r="W456" s="908"/>
      <c r="Z456" s="113"/>
      <c r="AA456" s="113"/>
      <c r="AB456" s="817"/>
      <c r="AC456" s="113"/>
      <c r="AD456" s="113"/>
      <c r="AE456" s="576"/>
      <c r="AF456" s="576"/>
      <c r="AG456" s="576"/>
      <c r="AH456" s="576"/>
      <c r="AI456" s="576"/>
      <c r="AJ456" s="576"/>
      <c r="AK456" s="576"/>
      <c r="AL456" s="576"/>
      <c r="AM456" s="576"/>
    </row>
    <row r="457" spans="1:39" s="418" customFormat="1" ht="12" hidden="1" customHeight="1" outlineLevel="1">
      <c r="A457" s="113"/>
      <c r="B457" s="113"/>
      <c r="C457" s="113"/>
      <c r="D457" s="113"/>
      <c r="E457" s="113"/>
      <c r="F457" s="113"/>
      <c r="G457" s="113"/>
      <c r="H457" s="113"/>
      <c r="I457" s="113"/>
      <c r="J457" s="113"/>
      <c r="K457" s="113"/>
      <c r="L457" s="113"/>
      <c r="M457" s="113"/>
      <c r="N457" s="113"/>
      <c r="O457" s="113"/>
      <c r="P457" s="113"/>
      <c r="Q457" s="113"/>
      <c r="U457" s="113"/>
      <c r="V457" s="113"/>
      <c r="W457" s="113"/>
      <c r="X457" s="113"/>
      <c r="Y457" s="113"/>
      <c r="Z457" s="113"/>
      <c r="AA457" s="113"/>
      <c r="AB457" s="113"/>
      <c r="AC457" s="113"/>
      <c r="AD457" s="113"/>
    </row>
    <row r="458" spans="1:39" s="418" customFormat="1">
      <c r="A458" s="113"/>
      <c r="B458" s="113"/>
      <c r="C458" s="113"/>
      <c r="D458" s="113"/>
      <c r="E458" s="113"/>
      <c r="F458" s="113"/>
      <c r="G458" s="113"/>
      <c r="H458" s="113"/>
      <c r="I458" s="113"/>
      <c r="J458" s="113"/>
      <c r="K458" s="113"/>
      <c r="L458" s="113"/>
      <c r="M458" s="113"/>
      <c r="N458" s="113"/>
      <c r="O458" s="113"/>
      <c r="P458" s="113"/>
      <c r="Q458" s="113"/>
      <c r="U458" s="113"/>
      <c r="V458" s="113"/>
      <c r="W458" s="113"/>
      <c r="X458" s="113"/>
      <c r="Y458" s="113"/>
      <c r="Z458" s="113"/>
      <c r="AA458" s="113"/>
      <c r="AB458" s="113"/>
      <c r="AC458" s="113"/>
      <c r="AD458" s="113"/>
    </row>
    <row r="459" spans="1:39"/>
    <row r="460" spans="1:39"/>
    <row r="461" spans="1:39"/>
    <row r="462" spans="1:39"/>
    <row r="463" spans="1:39"/>
    <row r="464" spans="1:39"/>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sheetData>
  <mergeCells count="214">
    <mergeCell ref="B343:C343"/>
    <mergeCell ref="B385:C385"/>
    <mergeCell ref="B386:C386"/>
    <mergeCell ref="B387:C387"/>
    <mergeCell ref="B373:C373"/>
    <mergeCell ref="B374:C374"/>
    <mergeCell ref="B375:C375"/>
    <mergeCell ref="B376:C376"/>
    <mergeCell ref="B380:C380"/>
    <mergeCell ref="B381:D381"/>
    <mergeCell ref="B382:O382"/>
    <mergeCell ref="B361:C361"/>
    <mergeCell ref="B370:O370"/>
    <mergeCell ref="B366:C366"/>
    <mergeCell ref="B362:C362"/>
    <mergeCell ref="B363:C363"/>
    <mergeCell ref="B351:C351"/>
    <mergeCell ref="B352:C352"/>
    <mergeCell ref="B359:C359"/>
    <mergeCell ref="B360:C360"/>
    <mergeCell ref="B344:C344"/>
    <mergeCell ref="B346:C346"/>
    <mergeCell ref="B347:C347"/>
    <mergeCell ref="B345:C345"/>
    <mergeCell ref="B418:C418"/>
    <mergeCell ref="O408:O413"/>
    <mergeCell ref="B388:C388"/>
    <mergeCell ref="B409:C409"/>
    <mergeCell ref="B410:C410"/>
    <mergeCell ref="B411:C411"/>
    <mergeCell ref="B412:C412"/>
    <mergeCell ref="B413:D413"/>
    <mergeCell ref="B414:C414"/>
    <mergeCell ref="B415:C415"/>
    <mergeCell ref="B416:D416"/>
    <mergeCell ref="B398:C398"/>
    <mergeCell ref="B389:C389"/>
    <mergeCell ref="B390:C390"/>
    <mergeCell ref="B391:C391"/>
    <mergeCell ref="B392:O392"/>
    <mergeCell ref="B393:C393"/>
    <mergeCell ref="B394:C394"/>
    <mergeCell ref="B395:C395"/>
    <mergeCell ref="B396:C396"/>
    <mergeCell ref="B397:C397"/>
    <mergeCell ref="B358:C358"/>
    <mergeCell ref="B349:C349"/>
    <mergeCell ref="B356:C356"/>
    <mergeCell ref="B357:C357"/>
    <mergeCell ref="B350:C350"/>
    <mergeCell ref="B433:D433"/>
    <mergeCell ref="B423:C423"/>
    <mergeCell ref="B424:C424"/>
    <mergeCell ref="B425:C425"/>
    <mergeCell ref="B426:C426"/>
    <mergeCell ref="B427:C427"/>
    <mergeCell ref="B428:C428"/>
    <mergeCell ref="B429:C429"/>
    <mergeCell ref="B430:C430"/>
    <mergeCell ref="B431:C431"/>
    <mergeCell ref="B432:C432"/>
    <mergeCell ref="B420:C420"/>
    <mergeCell ref="B421:C421"/>
    <mergeCell ref="B422:C422"/>
    <mergeCell ref="B404:O404"/>
    <mergeCell ref="E406:M406"/>
    <mergeCell ref="B407:C407"/>
    <mergeCell ref="B408:C408"/>
    <mergeCell ref="B417:C417"/>
    <mergeCell ref="B2:O2"/>
    <mergeCell ref="B321:O321"/>
    <mergeCell ref="B338:O338"/>
    <mergeCell ref="B8:O8"/>
    <mergeCell ref="B22:O22"/>
    <mergeCell ref="B36:O36"/>
    <mergeCell ref="B50:O50"/>
    <mergeCell ref="B63:O63"/>
    <mergeCell ref="B77:O77"/>
    <mergeCell ref="B107:O107"/>
    <mergeCell ref="B188:O188"/>
    <mergeCell ref="B294:O294"/>
    <mergeCell ref="B329:C329"/>
    <mergeCell ref="B330:C330"/>
    <mergeCell ref="B331:C331"/>
    <mergeCell ref="B332:C332"/>
    <mergeCell ref="B334:C334"/>
    <mergeCell ref="L38:O38"/>
    <mergeCell ref="M13:N13"/>
    <mergeCell ref="M26:N26"/>
    <mergeCell ref="M27:N27"/>
    <mergeCell ref="L308:O308"/>
    <mergeCell ref="M310:N310"/>
    <mergeCell ref="K323:N323"/>
    <mergeCell ref="L10:O10"/>
    <mergeCell ref="R193:S193"/>
    <mergeCell ref="M111:N111"/>
    <mergeCell ref="M112:N112"/>
    <mergeCell ref="L170:O170"/>
    <mergeCell ref="M172:N172"/>
    <mergeCell ref="M173:N173"/>
    <mergeCell ref="B306:O306"/>
    <mergeCell ref="L296:O296"/>
    <mergeCell ref="M298:N298"/>
    <mergeCell ref="L65:O65"/>
    <mergeCell ref="M67:N67"/>
    <mergeCell ref="M299:N299"/>
    <mergeCell ref="L24:O24"/>
    <mergeCell ref="M40:N40"/>
    <mergeCell ref="M41:N41"/>
    <mergeCell ref="Q79:T79"/>
    <mergeCell ref="G81:G82"/>
    <mergeCell ref="L52:O52"/>
    <mergeCell ref="M54:N54"/>
    <mergeCell ref="M55:N55"/>
    <mergeCell ref="H12:I12"/>
    <mergeCell ref="H26:I26"/>
    <mergeCell ref="M68:N68"/>
    <mergeCell ref="L6:M6"/>
    <mergeCell ref="D4:E4"/>
    <mergeCell ref="F4:G4"/>
    <mergeCell ref="H4:I4"/>
    <mergeCell ref="J4:K4"/>
    <mergeCell ref="L4:M4"/>
    <mergeCell ref="N4:O4"/>
    <mergeCell ref="D5:E5"/>
    <mergeCell ref="F5:G5"/>
    <mergeCell ref="H5:I5"/>
    <mergeCell ref="J5:K5"/>
    <mergeCell ref="L5:M5"/>
    <mergeCell ref="N5:O5"/>
    <mergeCell ref="D6:E6"/>
    <mergeCell ref="F6:G6"/>
    <mergeCell ref="J6:K6"/>
    <mergeCell ref="N6:O6"/>
    <mergeCell ref="H6:I6"/>
    <mergeCell ref="M12:N12"/>
    <mergeCell ref="B456:C456"/>
    <mergeCell ref="B453:C453"/>
    <mergeCell ref="B454:C454"/>
    <mergeCell ref="B455:C455"/>
    <mergeCell ref="B451:C451"/>
    <mergeCell ref="B452:C452"/>
    <mergeCell ref="E448:M448"/>
    <mergeCell ref="B449:C449"/>
    <mergeCell ref="B450:C450"/>
    <mergeCell ref="B446:O446"/>
    <mergeCell ref="B436:O436"/>
    <mergeCell ref="B377:C377"/>
    <mergeCell ref="B378:D378"/>
    <mergeCell ref="B419:C419"/>
    <mergeCell ref="B399:C399"/>
    <mergeCell ref="B364:C364"/>
    <mergeCell ref="B365:C365"/>
    <mergeCell ref="B383:C383"/>
    <mergeCell ref="B384:C384"/>
    <mergeCell ref="B379:C379"/>
    <mergeCell ref="B367:C367"/>
    <mergeCell ref="B400:C400"/>
    <mergeCell ref="B401:D401"/>
    <mergeCell ref="E372:N372"/>
    <mergeCell ref="B342:C342"/>
    <mergeCell ref="B335:C335"/>
    <mergeCell ref="D323:F323"/>
    <mergeCell ref="AC297:AD297"/>
    <mergeCell ref="V308:AA308"/>
    <mergeCell ref="AC309:AD309"/>
    <mergeCell ref="AC191:AD191"/>
    <mergeCell ref="G192:G193"/>
    <mergeCell ref="B326:C326"/>
    <mergeCell ref="B327:C327"/>
    <mergeCell ref="R192:S192"/>
    <mergeCell ref="B328:C328"/>
    <mergeCell ref="B325:C325"/>
    <mergeCell ref="B323:C324"/>
    <mergeCell ref="M311:N311"/>
    <mergeCell ref="H323:I323"/>
    <mergeCell ref="I213:M213"/>
    <mergeCell ref="E340:K340"/>
    <mergeCell ref="B341:C341"/>
    <mergeCell ref="B348:C348"/>
    <mergeCell ref="B353:C353"/>
    <mergeCell ref="B354:C354"/>
    <mergeCell ref="B355:C355"/>
    <mergeCell ref="V24:AA24"/>
    <mergeCell ref="AC25:AD25"/>
    <mergeCell ref="V10:AA10"/>
    <mergeCell ref="AC11:AD11"/>
    <mergeCell ref="V38:AA38"/>
    <mergeCell ref="AC39:AD39"/>
    <mergeCell ref="V52:AA52"/>
    <mergeCell ref="AC53:AD53"/>
    <mergeCell ref="V65:AA65"/>
    <mergeCell ref="AC66:AD66"/>
    <mergeCell ref="V79:AA79"/>
    <mergeCell ref="AC80:AD80"/>
    <mergeCell ref="V109:AA109"/>
    <mergeCell ref="AC110:AD110"/>
    <mergeCell ref="V296:AA296"/>
    <mergeCell ref="Q190:T190"/>
    <mergeCell ref="I192:M192"/>
    <mergeCell ref="R81:S81"/>
    <mergeCell ref="R82:S82"/>
    <mergeCell ref="V190:AA190"/>
    <mergeCell ref="V192:Y192"/>
    <mergeCell ref="I96:M96"/>
    <mergeCell ref="I193:M193"/>
    <mergeCell ref="I268:M268"/>
    <mergeCell ref="I81:M81"/>
    <mergeCell ref="L109:O109"/>
    <mergeCell ref="J97:K97"/>
    <mergeCell ref="I89:L89"/>
    <mergeCell ref="J90:K90"/>
    <mergeCell ref="AC171:AD171"/>
    <mergeCell ref="V170:AA170"/>
  </mergeCells>
  <phoneticPr fontId="7"/>
  <dataValidations count="37">
    <dataValidation allowBlank="1" showInputMessage="1" showErrorMessage="1" sqref="B133 C14:C17 C28:C31 C42:C45 C56:C58 C69:C72 C83:C102 C300:C303 B126 B161 B140 C195:C259 C173:C183 C113:C152 C161:C166 B147 B154 C154:C159 C312:C317" xr:uid="{00000000-0002-0000-0500-000000000000}"/>
    <dataValidation type="list" allowBlank="1" showInputMessage="1" showErrorMessage="1" sqref="B14:B17" xr:uid="{00000000-0002-0000-0500-000001000000}">
      <formula1>FE_Intrants_Métaux</formula1>
    </dataValidation>
    <dataValidation type="list" allowBlank="1" showInputMessage="1" showErrorMessage="1" sqref="M14:M17 M28:M31 M42:M45 M56:M58 M69:M72 R98:R102 R283:R284 M113:M117 M174:M184 M300:M303 R195:R201 R257:R259 R215:R219 R222:R226 R229:R232 R237:R239 R242:R244 R247:R249 R252:R254 R204:R205 R208:R212 R262:R266 R83:R86 R91:R95 R276:R280 M120:M152 M161:M166 M154:M159 R287:R289 M312:M317" xr:uid="{00000000-0002-0000-0500-000002000000}">
      <formula1>Choix_Incertitudes</formula1>
    </dataValidation>
    <dataValidation type="list" allowBlank="1" showInputMessage="1" showErrorMessage="1" sqref="B28:B31" xr:uid="{00000000-0002-0000-0500-000003000000}">
      <formula1>FE_Intrants_Plastique</formula1>
    </dataValidation>
    <dataValidation type="list" allowBlank="1" showInputMessage="1" showErrorMessage="1" sqref="B42:B45" xr:uid="{00000000-0002-0000-0500-000004000000}">
      <formula1>FE_Intrants_Verre</formula1>
    </dataValidation>
    <dataValidation type="list" allowBlank="1" showInputMessage="1" showErrorMessage="1" sqref="B56:B58" xr:uid="{00000000-0002-0000-0500-000005000000}">
      <formula1>FE_Intrants_Papier_Carton</formula1>
    </dataValidation>
    <dataValidation type="list" allowBlank="1" showInputMessage="1" showErrorMessage="1" sqref="B69:B72" xr:uid="{00000000-0002-0000-0500-000006000000}">
      <formula1>FE_Intrants_Matériaux_Construction</formula1>
    </dataValidation>
    <dataValidation type="list" allowBlank="1" showInputMessage="1" showErrorMessage="1" sqref="B83:B87 B96" xr:uid="{00000000-0002-0000-0500-000007000000}">
      <formula1>FE_Intrants_Produits_Chimiques</formula1>
    </dataValidation>
    <dataValidation type="list" allowBlank="1" showInputMessage="1" showErrorMessage="1" sqref="B120:B124" xr:uid="{00000000-0002-0000-0500-000008000000}">
      <formula1>FE_Intrants_Produits_Mer</formula1>
    </dataValidation>
    <dataValidation type="list" allowBlank="1" showInputMessage="1" showErrorMessage="1" sqref="B113:B117" xr:uid="{00000000-0002-0000-0500-000009000000}">
      <formula1>FE_Intrants_Produits_Animaux</formula1>
    </dataValidation>
    <dataValidation type="list" allowBlank="1" showInputMessage="1" showErrorMessage="1" sqref="B127:B131" xr:uid="{00000000-0002-0000-0500-00000A000000}">
      <formula1>FE_Intrants_Produits_Végétaux</formula1>
    </dataValidation>
    <dataValidation type="list" allowBlank="1" showInputMessage="1" showErrorMessage="1" sqref="B134:B138" xr:uid="{00000000-0002-0000-0500-00000B000000}">
      <formula1>FE_Intrants_Produits_céréaliers</formula1>
    </dataValidation>
    <dataValidation type="list" allowBlank="1" showInputMessage="1" showErrorMessage="1" sqref="B174:B176" xr:uid="{00000000-0002-0000-0500-00000C000000}">
      <formula1>FE_Intrants_Repas</formula1>
    </dataValidation>
    <dataValidation type="list" allowBlank="1" showInputMessage="1" showErrorMessage="1" sqref="B141:B145" xr:uid="{00000000-0002-0000-0500-00000D000000}">
      <formula1>FE_Intrants_Entrées_Plats_composés</formula1>
    </dataValidation>
    <dataValidation type="list" allowBlank="1" showInputMessage="1" showErrorMessage="1" sqref="B148:B152" xr:uid="{00000000-0002-0000-0500-00000E000000}">
      <formula1>FE_Intrants_Fruits_légumes_oléagineux</formula1>
    </dataValidation>
    <dataValidation type="list" allowBlank="1" showInputMessage="1" showErrorMessage="1" sqref="B180:B183" xr:uid="{00000000-0002-0000-0500-00000F000000}">
      <formula1>FE_Intrants_Boisson</formula1>
    </dataValidation>
    <dataValidation type="list" allowBlank="1" showInputMessage="1" showErrorMessage="1" sqref="B195:B201" xr:uid="{00000000-0002-0000-0500-000010000000}">
      <formula1>FE_Intrants_Equipements_electriques</formula1>
    </dataValidation>
    <dataValidation type="list" allowBlank="1" showInputMessage="1" showErrorMessage="1" sqref="B300:B302 B312:B316" xr:uid="{00000000-0002-0000-0500-000011000000}">
      <formula1>FE_Intrants_Ratios</formula1>
    </dataValidation>
    <dataValidation type="list" allowBlank="1" showInputMessage="1" showErrorMessage="1" sqref="B204:B205" xr:uid="{00000000-0002-0000-0500-000012000000}">
      <formula1>FE_Intrants_Bois</formula1>
    </dataValidation>
    <dataValidation type="list" allowBlank="1" showInputMessage="1" showErrorMessage="1" sqref="B215:B219" xr:uid="{00000000-0002-0000-0500-000013000000}">
      <formula1>FE_Intrants_Electroménager</formula1>
    </dataValidation>
    <dataValidation type="list" allowBlank="1" showInputMessage="1" showErrorMessage="1" sqref="B222:B226" xr:uid="{00000000-0002-0000-0500-000014000000}">
      <formula1>FE_Intrants_Informatique_équipements_électroniques</formula1>
    </dataValidation>
    <dataValidation type="list" allowBlank="1" showInputMessage="1" showErrorMessage="1" sqref="B229:B232" xr:uid="{00000000-0002-0000-0500-000015000000}">
      <formula1>FE_Intrants_Mobilier</formula1>
    </dataValidation>
    <dataValidation type="list" allowBlank="1" showInputMessage="1" showErrorMessage="1" sqref="B237:B239" xr:uid="{00000000-0002-0000-0500-000016000000}">
      <formula1>FE_Intrants_Textile_Habillement_coton</formula1>
    </dataValidation>
    <dataValidation type="list" allowBlank="1" showInputMessage="1" showErrorMessage="1" sqref="B242:B244" xr:uid="{00000000-0002-0000-0500-000017000000}">
      <formula1>FE_Intrants_Textile_Habillement_cuir</formula1>
    </dataValidation>
    <dataValidation type="list" allowBlank="1" showInputMessage="1" showErrorMessage="1" sqref="B247:B249" xr:uid="{00000000-0002-0000-0500-000018000000}">
      <formula1>FE_Intrants_Textile_Habillement_synthétique</formula1>
    </dataValidation>
    <dataValidation type="list" allowBlank="1" showInputMessage="1" showErrorMessage="1" sqref="B252:B254" xr:uid="{00000000-0002-0000-0500-000019000000}">
      <formula1>FE_Intrants_Textile_Habillement_autres</formula1>
    </dataValidation>
    <dataValidation type="list" allowBlank="1" showInputMessage="1" showErrorMessage="1" sqref="B257:B259" xr:uid="{00000000-0002-0000-0500-00001A000000}">
      <formula1>FE_Intrants_Articles_sport</formula1>
    </dataValidation>
    <dataValidation type="list" allowBlank="1" showInputMessage="1" showErrorMessage="1" sqref="B208:B212" xr:uid="{00000000-0002-0000-0500-00001B000000}">
      <formula1>FE_Intrants_Consommables_de_bureau</formula1>
    </dataValidation>
    <dataValidation type="list" allowBlank="1" showInputMessage="1" showErrorMessage="1" sqref="B262:B266" xr:uid="{00000000-0002-0000-0500-00001C000000}">
      <formula1>FE_Intrants_Viticulture</formula1>
    </dataValidation>
    <dataValidation type="list" allowBlank="1" showInputMessage="1" showErrorMessage="1" sqref="B276:B280" xr:uid="{00000000-0002-0000-0500-00001D000000}">
      <formula1>FE_Intrants_Services</formula1>
    </dataValidation>
    <dataValidation type="list" allowBlank="1" showInputMessage="1" showErrorMessage="1" sqref="B91:B95" xr:uid="{00000000-0002-0000-0500-00001E000000}">
      <formula1>FE_Intrants_Hydrogène_production</formula1>
    </dataValidation>
    <dataValidation type="list" allowBlank="1" showInputMessage="1" showErrorMessage="1" sqref="B98:B102" xr:uid="{00000000-0002-0000-0500-00001F000000}">
      <formula1>FE_Intrants_Hydrogène_distribution</formula1>
    </dataValidation>
    <dataValidation type="list" allowBlank="1" showInputMessage="1" showErrorMessage="1" sqref="B270:B273" xr:uid="{00000000-0002-0000-0500-000020000000}">
      <formula1>FE_Intrants_Véhicules_matériels_transport</formula1>
    </dataValidation>
    <dataValidation type="list" allowBlank="1" showInputMessage="1" showErrorMessage="1" sqref="B283:B284" xr:uid="{00000000-0002-0000-0500-000021000000}">
      <formula1>FE_Intrants_Traitement_Distribution_eau</formula1>
    </dataValidation>
    <dataValidation type="list" allowBlank="1" showInputMessage="1" showErrorMessage="1" sqref="B155:B159" xr:uid="{00000000-0002-0000-0500-000022000000}">
      <formula1>FE_Intrants_Cultures_produits_végétaux</formula1>
    </dataValidation>
    <dataValidation type="list" allowBlank="1" showInputMessage="1" showErrorMessage="1" sqref="B162:B166" xr:uid="{00000000-0002-0000-0500-000023000000}">
      <formula1>FE_Intrants_Autres_produits_végétaux</formula1>
    </dataValidation>
    <dataValidation type="list" allowBlank="1" showInputMessage="1" showErrorMessage="1" sqref="B287:B289" xr:uid="{00000000-0002-0000-0500-000024000000}">
      <formula1>FE_Intrants_Tourbes</formula1>
    </dataValidation>
  </dataValidations>
  <hyperlinks>
    <hyperlink ref="D4" location="intrants_metaux" display="metaux" xr:uid="{00000000-0004-0000-0500-000000000000}"/>
    <hyperlink ref="F4" location="intrants_plastiques" display="plastiques" xr:uid="{00000000-0004-0000-0500-000001000000}"/>
    <hyperlink ref="H4" location="intrants_Verre" display="verre" xr:uid="{00000000-0004-0000-0500-000002000000}"/>
    <hyperlink ref="J4" location="intrants_Papiers" display="papier" xr:uid="{00000000-0004-0000-0500-000003000000}"/>
    <hyperlink ref="L4" location="intrants_Matériaux_de_construction" display="construction" xr:uid="{00000000-0004-0000-0500-000004000000}"/>
    <hyperlink ref="D5" location="intrants_Produits_agricoles" display="agricole" xr:uid="{00000000-0004-0000-0500-000005000000}"/>
    <hyperlink ref="D6" location="intrants_total" display="total" xr:uid="{00000000-0004-0000-0500-000006000000}"/>
    <hyperlink ref="H5" location="intrants_Puits" display="puits" xr:uid="{00000000-0004-0000-0500-000007000000}"/>
    <hyperlink ref="F6" location="intrants_bilanGES" display="bilan GES" xr:uid="{00000000-0004-0000-0500-000008000000}"/>
    <hyperlink ref="H6" location="intrants_GHGProtocol" display="GHG Protocol" xr:uid="{00000000-0004-0000-0500-000009000000}"/>
    <hyperlink ref="J6:K6" location="'Intrants 1'!B402" display="ISO 14069" xr:uid="{00000000-0004-0000-0500-00000A000000}"/>
    <hyperlink ref="L6:M6" location="'CDP 2018'!A1" display="CDP" xr:uid="{00000000-0004-0000-0500-00000B000000}"/>
    <hyperlink ref="N4:O4" location="'Intrants 1'!B77" display="Chimie" xr:uid="{00000000-0004-0000-0500-00000C000000}"/>
    <hyperlink ref="N6:O6" location="Descriptif!A1" display="Descriptif" xr:uid="{00000000-0004-0000-0500-00000D000000}"/>
    <hyperlink ref="F5:G5" location="'Intrants 1'!B294" display="Ratios €" xr:uid="{00000000-0004-0000-0500-00000E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rowBreaks count="1" manualBreakCount="1">
    <brk id="108" max="16383" man="1"/>
  </rowBreaks>
  <ignoredErrors>
    <ignoredError sqref="D397:D399" twoDigitTextYear="1"/>
  </ignoredErrors>
  <extLst>
    <ext xmlns:x14="http://schemas.microsoft.com/office/spreadsheetml/2009/9/main" uri="{78C0D931-6437-407d-A8EE-F0AAD7539E65}">
      <x14:conditionalFormattings>
        <x14:conditionalFormatting xmlns:xm="http://schemas.microsoft.com/office/excel/2006/main">
          <x14:cfRule type="expression" priority="43" id="{8374AE0C-A787-4416-8439-FFE0E5076509}">
            <xm:f>$M14=Utilitaires!$N$572</xm:f>
            <x14:dxf>
              <fill>
                <patternFill>
                  <bgColor theme="0"/>
                </patternFill>
              </fill>
              <border>
                <left style="thin">
                  <color auto="1"/>
                </left>
                <right style="thin">
                  <color auto="1"/>
                </right>
                <top style="thin">
                  <color auto="1"/>
                </top>
                <bottom style="thin">
                  <color auto="1"/>
                </bottom>
                <vertical/>
                <horizontal/>
              </border>
            </x14:dxf>
          </x14:cfRule>
          <xm:sqref>N14:N17 N312:N314</xm:sqref>
        </x14:conditionalFormatting>
        <x14:conditionalFormatting xmlns:xm="http://schemas.microsoft.com/office/excel/2006/main">
          <x14:cfRule type="expression" priority="42" id="{CC87F605-6023-40D3-BA95-5A648C65DDD1}">
            <xm:f>$M28=Utilitaires!$N$572</xm:f>
            <x14:dxf>
              <fill>
                <patternFill>
                  <bgColor theme="0"/>
                </patternFill>
              </fill>
              <border>
                <left style="thin">
                  <color auto="1"/>
                </left>
                <right style="thin">
                  <color auto="1"/>
                </right>
                <top style="thin">
                  <color auto="1"/>
                </top>
                <bottom style="thin">
                  <color auto="1"/>
                </bottom>
                <vertical/>
                <horizontal/>
              </border>
            </x14:dxf>
          </x14:cfRule>
          <xm:sqref>N28:N31</xm:sqref>
        </x14:conditionalFormatting>
        <x14:conditionalFormatting xmlns:xm="http://schemas.microsoft.com/office/excel/2006/main">
          <x14:cfRule type="expression" priority="41" id="{2C81A3FE-7F29-4DEA-8EE4-83DA711B8698}">
            <xm:f>$M42=Utilitaires!$N$572</xm:f>
            <x14:dxf>
              <fill>
                <patternFill>
                  <bgColor theme="0"/>
                </patternFill>
              </fill>
              <border>
                <left style="thin">
                  <color auto="1"/>
                </left>
                <right style="thin">
                  <color auto="1"/>
                </right>
                <top style="thin">
                  <color auto="1"/>
                </top>
                <bottom style="thin">
                  <color auto="1"/>
                </bottom>
                <vertical/>
                <horizontal/>
              </border>
            </x14:dxf>
          </x14:cfRule>
          <xm:sqref>N42:N45</xm:sqref>
        </x14:conditionalFormatting>
        <x14:conditionalFormatting xmlns:xm="http://schemas.microsoft.com/office/excel/2006/main">
          <x14:cfRule type="expression" priority="40" id="{7E02EE98-8F9B-4B7D-9CF3-56DC2F8F25DA}">
            <xm:f>$M56=Utilitaires!$N$572</xm:f>
            <x14:dxf>
              <fill>
                <patternFill>
                  <bgColor theme="0"/>
                </patternFill>
              </fill>
              <border>
                <left style="thin">
                  <color auto="1"/>
                </left>
                <right style="thin">
                  <color auto="1"/>
                </right>
                <top style="thin">
                  <color auto="1"/>
                </top>
                <bottom style="thin">
                  <color auto="1"/>
                </bottom>
                <vertical/>
                <horizontal/>
              </border>
            </x14:dxf>
          </x14:cfRule>
          <xm:sqref>N56:N58</xm:sqref>
        </x14:conditionalFormatting>
        <x14:conditionalFormatting xmlns:xm="http://schemas.microsoft.com/office/excel/2006/main">
          <x14:cfRule type="expression" priority="37" id="{FC947F94-D3B0-4739-A9D3-2DB41C44E49B}">
            <xm:f>$M69=Utilitaires!$N$572</xm:f>
            <x14:dxf>
              <fill>
                <patternFill>
                  <bgColor theme="0"/>
                </patternFill>
              </fill>
              <border>
                <left style="thin">
                  <color auto="1"/>
                </left>
                <right style="thin">
                  <color auto="1"/>
                </right>
                <top style="thin">
                  <color auto="1"/>
                </top>
                <bottom style="thin">
                  <color auto="1"/>
                </bottom>
                <vertical/>
                <horizontal/>
              </border>
            </x14:dxf>
          </x14:cfRule>
          <xm:sqref>N69:N72</xm:sqref>
        </x14:conditionalFormatting>
        <x14:conditionalFormatting xmlns:xm="http://schemas.microsoft.com/office/excel/2006/main">
          <x14:cfRule type="expression" priority="31" id="{8863255E-A076-49F0-9AA3-ED9FB3EA2528}">
            <xm:f>$M125=Utilitaires!$N$572</xm:f>
            <x14:dxf>
              <fill>
                <patternFill>
                  <bgColor theme="0"/>
                </patternFill>
              </fill>
              <border>
                <left style="thin">
                  <color auto="1"/>
                </left>
                <right style="thin">
                  <color auto="1"/>
                </right>
                <top style="thin">
                  <color auto="1"/>
                </top>
                <bottom style="thin">
                  <color auto="1"/>
                </bottom>
                <vertical/>
                <horizontal/>
              </border>
            </x14:dxf>
          </x14:cfRule>
          <xm:sqref>N125:N126</xm:sqref>
        </x14:conditionalFormatting>
        <x14:conditionalFormatting xmlns:xm="http://schemas.microsoft.com/office/excel/2006/main">
          <x14:cfRule type="expression" priority="30" id="{E6D22776-4A95-48F6-9A38-B6169FEBD8ED}">
            <xm:f>$M132=Utilitaires!$N$572</xm:f>
            <x14:dxf>
              <fill>
                <patternFill>
                  <bgColor theme="0"/>
                </patternFill>
              </fill>
              <border>
                <left style="thin">
                  <color auto="1"/>
                </left>
                <right style="thin">
                  <color auto="1"/>
                </right>
                <top style="thin">
                  <color auto="1"/>
                </top>
                <bottom style="thin">
                  <color auto="1"/>
                </bottom>
                <vertical/>
                <horizontal/>
              </border>
            </x14:dxf>
          </x14:cfRule>
          <xm:sqref>N132:N133</xm:sqref>
        </x14:conditionalFormatting>
        <x14:conditionalFormatting xmlns:xm="http://schemas.microsoft.com/office/excel/2006/main">
          <x14:cfRule type="expression" priority="32" id="{B3CDCCAB-DE1A-4316-B5B4-32860F7BBBE6}">
            <xm:f>$M113=Utilitaires!$N$572</xm:f>
            <x14:dxf>
              <fill>
                <patternFill>
                  <bgColor theme="0"/>
                </patternFill>
              </fill>
              <border>
                <left style="thin">
                  <color auto="1"/>
                </left>
                <right style="thin">
                  <color auto="1"/>
                </right>
                <top style="thin">
                  <color auto="1"/>
                </top>
                <bottom style="thin">
                  <color auto="1"/>
                </bottom>
                <vertical/>
                <horizontal/>
              </border>
            </x14:dxf>
          </x14:cfRule>
          <xm:sqref>N113:N124 N127:N131 N134:N138</xm:sqref>
        </x14:conditionalFormatting>
        <x14:conditionalFormatting xmlns:xm="http://schemas.microsoft.com/office/excel/2006/main">
          <x14:cfRule type="expression" priority="28" id="{6F352F5C-6B4E-4E9E-8455-747A0CEF1867}">
            <xm:f>$M177=Utilitaires!$N$572</xm:f>
            <x14:dxf>
              <fill>
                <patternFill>
                  <bgColor theme="0"/>
                </patternFill>
              </fill>
              <border>
                <left style="thin">
                  <color auto="1"/>
                </left>
                <right style="thin">
                  <color auto="1"/>
                </right>
                <top style="thin">
                  <color auto="1"/>
                </top>
                <bottom style="thin">
                  <color auto="1"/>
                </bottom>
                <vertical/>
                <horizontal/>
              </border>
            </x14:dxf>
          </x14:cfRule>
          <xm:sqref>N177:N179</xm:sqref>
        </x14:conditionalFormatting>
        <x14:conditionalFormatting xmlns:xm="http://schemas.microsoft.com/office/excel/2006/main">
          <x14:cfRule type="expression" priority="29" id="{A0AB8FA9-2EE6-4FC9-8DF8-79D3E3752663}">
            <xm:f>$M174=Utilitaires!$N$572</xm:f>
            <x14:dxf>
              <fill>
                <patternFill>
                  <bgColor theme="0"/>
                </patternFill>
              </fill>
              <border>
                <left style="thin">
                  <color auto="1"/>
                </left>
                <right style="thin">
                  <color auto="1"/>
                </right>
                <top style="thin">
                  <color auto="1"/>
                </top>
                <bottom style="thin">
                  <color auto="1"/>
                </bottom>
                <vertical/>
                <horizontal/>
              </border>
            </x14:dxf>
          </x14:cfRule>
          <xm:sqref>N174:N176 N180</xm:sqref>
        </x14:conditionalFormatting>
        <x14:conditionalFormatting xmlns:xm="http://schemas.microsoft.com/office/excel/2006/main">
          <x14:cfRule type="expression" priority="27" id="{54F54E4A-CB6F-4604-A481-0A66A4B7FD05}">
            <xm:f>$M184=Utilitaires!$N$572</xm:f>
            <x14:dxf>
              <fill>
                <patternFill>
                  <bgColor theme="0"/>
                </patternFill>
              </fill>
              <border>
                <left style="thin">
                  <color auto="1"/>
                </left>
                <right style="thin">
                  <color auto="1"/>
                </right>
                <top style="thin">
                  <color auto="1"/>
                </top>
                <bottom style="thin">
                  <color auto="1"/>
                </bottom>
                <vertical/>
                <horizontal/>
              </border>
            </x14:dxf>
          </x14:cfRule>
          <xm:sqref>N184</xm:sqref>
        </x14:conditionalFormatting>
        <x14:conditionalFormatting xmlns:xm="http://schemas.microsoft.com/office/excel/2006/main">
          <x14:cfRule type="expression" priority="26" id="{3E65849E-7B81-4F26-A75A-027F4DAFCDB7}">
            <xm:f>$M141=Utilitaires!$N$572</xm:f>
            <x14:dxf>
              <fill>
                <patternFill>
                  <bgColor theme="0"/>
                </patternFill>
              </fill>
              <border>
                <left style="thin">
                  <color auto="1"/>
                </left>
                <right style="thin">
                  <color auto="1"/>
                </right>
                <top style="thin">
                  <color auto="1"/>
                </top>
                <bottom style="thin">
                  <color auto="1"/>
                </bottom>
                <vertical/>
                <horizontal/>
              </border>
            </x14:dxf>
          </x14:cfRule>
          <xm:sqref>N141:N145</xm:sqref>
        </x14:conditionalFormatting>
        <x14:conditionalFormatting xmlns:xm="http://schemas.microsoft.com/office/excel/2006/main">
          <x14:cfRule type="expression" priority="25" id="{A0E75875-C322-44E6-B2C9-A8404A7FD7A8}">
            <xm:f>$M139=Utilitaires!$N$572</xm:f>
            <x14:dxf>
              <fill>
                <patternFill>
                  <bgColor theme="0"/>
                </patternFill>
              </fill>
              <border>
                <left style="thin">
                  <color auto="1"/>
                </left>
                <right style="thin">
                  <color auto="1"/>
                </right>
                <top style="thin">
                  <color auto="1"/>
                </top>
                <bottom style="thin">
                  <color auto="1"/>
                </bottom>
                <vertical/>
                <horizontal/>
              </border>
            </x14:dxf>
          </x14:cfRule>
          <xm:sqref>N139:N140</xm:sqref>
        </x14:conditionalFormatting>
        <x14:conditionalFormatting xmlns:xm="http://schemas.microsoft.com/office/excel/2006/main">
          <x14:cfRule type="expression" priority="23" id="{938D1AD4-DD15-4514-A13C-0056A8786A2A}">
            <xm:f>$M146=Utilitaires!$N$572</xm:f>
            <x14:dxf>
              <fill>
                <patternFill>
                  <bgColor theme="0"/>
                </patternFill>
              </fill>
              <border>
                <left style="thin">
                  <color auto="1"/>
                </left>
                <right style="thin">
                  <color auto="1"/>
                </right>
                <top style="thin">
                  <color auto="1"/>
                </top>
                <bottom style="thin">
                  <color auto="1"/>
                </bottom>
                <vertical/>
                <horizontal/>
              </border>
            </x14:dxf>
          </x14:cfRule>
          <xm:sqref>N146 N161</xm:sqref>
        </x14:conditionalFormatting>
        <x14:conditionalFormatting xmlns:xm="http://schemas.microsoft.com/office/excel/2006/main">
          <x14:cfRule type="expression" priority="24" id="{B2ADE7B3-904F-46E5-8A80-D4FD68E6C38F}">
            <xm:f>$M162=Utilitaires!$N$572</xm:f>
            <x14:dxf>
              <fill>
                <patternFill>
                  <bgColor theme="0"/>
                </patternFill>
              </fill>
              <border>
                <left style="thin">
                  <color auto="1"/>
                </left>
                <right style="thin">
                  <color auto="1"/>
                </right>
                <top style="thin">
                  <color auto="1"/>
                </top>
                <bottom style="thin">
                  <color auto="1"/>
                </bottom>
                <vertical/>
                <horizontal/>
              </border>
            </x14:dxf>
          </x14:cfRule>
          <xm:sqref>N162:N166</xm:sqref>
        </x14:conditionalFormatting>
        <x14:conditionalFormatting xmlns:xm="http://schemas.microsoft.com/office/excel/2006/main">
          <x14:cfRule type="expression" priority="22" id="{0BC52D18-1378-4FAA-AA68-612853B2AB37}">
            <xm:f>$M183=Utilitaires!$N$572</xm:f>
            <x14:dxf>
              <fill>
                <patternFill>
                  <bgColor theme="0"/>
                </patternFill>
              </fill>
              <border>
                <left style="thin">
                  <color auto="1"/>
                </left>
                <right style="thin">
                  <color auto="1"/>
                </right>
                <top style="thin">
                  <color auto="1"/>
                </top>
                <bottom style="thin">
                  <color auto="1"/>
                </bottom>
                <vertical/>
                <horizontal/>
              </border>
            </x14:dxf>
          </x14:cfRule>
          <xm:sqref>N183</xm:sqref>
        </x14:conditionalFormatting>
        <x14:conditionalFormatting xmlns:xm="http://schemas.microsoft.com/office/excel/2006/main">
          <x14:cfRule type="expression" priority="21" id="{3F4D64A9-A3F3-472F-B2AD-4EB9D3194299}">
            <xm:f>$M181=Utilitaires!$N$572</xm:f>
            <x14:dxf>
              <fill>
                <patternFill>
                  <bgColor theme="0"/>
                </patternFill>
              </fill>
              <border>
                <left style="thin">
                  <color auto="1"/>
                </left>
                <right style="thin">
                  <color auto="1"/>
                </right>
                <top style="thin">
                  <color auto="1"/>
                </top>
                <bottom style="thin">
                  <color auto="1"/>
                </bottom>
                <vertical/>
                <horizontal/>
              </border>
            </x14:dxf>
          </x14:cfRule>
          <xm:sqref>N181</xm:sqref>
        </x14:conditionalFormatting>
        <x14:conditionalFormatting xmlns:xm="http://schemas.microsoft.com/office/excel/2006/main">
          <x14:cfRule type="expression" priority="20" id="{FACB4FF4-BABB-445B-95CD-325C9D839E88}">
            <xm:f>$M182=Utilitaires!$N$572</xm:f>
            <x14:dxf>
              <fill>
                <patternFill>
                  <bgColor theme="0"/>
                </patternFill>
              </fill>
              <border>
                <left style="thin">
                  <color auto="1"/>
                </left>
                <right style="thin">
                  <color auto="1"/>
                </right>
                <top style="thin">
                  <color auto="1"/>
                </top>
                <bottom style="thin">
                  <color auto="1"/>
                </bottom>
                <vertical/>
                <horizontal/>
              </border>
            </x14:dxf>
          </x14:cfRule>
          <xm:sqref>N182</xm:sqref>
        </x14:conditionalFormatting>
        <x14:conditionalFormatting xmlns:xm="http://schemas.microsoft.com/office/excel/2006/main">
          <x14:cfRule type="expression" priority="16" id="{549358B7-ED43-4082-9A9B-2A815A658108}">
            <xm:f>$M303=Utilitaires!$N$572</xm:f>
            <x14:dxf>
              <fill>
                <patternFill>
                  <bgColor theme="0"/>
                </patternFill>
              </fill>
              <border>
                <left style="thin">
                  <color auto="1"/>
                </left>
                <right style="thin">
                  <color auto="1"/>
                </right>
                <top style="thin">
                  <color auto="1"/>
                </top>
                <bottom style="thin">
                  <color auto="1"/>
                </bottom>
                <vertical/>
                <horizontal/>
              </border>
            </x14:dxf>
          </x14:cfRule>
          <xm:sqref>N303</xm:sqref>
        </x14:conditionalFormatting>
        <x14:conditionalFormatting xmlns:xm="http://schemas.microsoft.com/office/excel/2006/main">
          <x14:cfRule type="expression" priority="17" id="{DDD06B86-A3CB-4F5B-A8DC-1E639CA69745}">
            <xm:f>$M300=Utilitaires!$N$572</xm:f>
            <x14:dxf>
              <fill>
                <patternFill>
                  <bgColor theme="0"/>
                </patternFill>
              </fill>
              <border>
                <left style="thin">
                  <color auto="1"/>
                </left>
                <right style="thin">
                  <color auto="1"/>
                </right>
                <top style="thin">
                  <color auto="1"/>
                </top>
                <bottom style="thin">
                  <color auto="1"/>
                </bottom>
                <vertical/>
                <horizontal/>
              </border>
            </x14:dxf>
          </x14:cfRule>
          <xm:sqref>N300:N302</xm:sqref>
        </x14:conditionalFormatting>
        <x14:conditionalFormatting xmlns:xm="http://schemas.microsoft.com/office/excel/2006/main">
          <x14:cfRule type="expression" priority="14" id="{3486F9B0-A2E0-4505-9CB0-8E06928803A1}">
            <xm:f>$M317=Utilitaires!$N$572</xm:f>
            <x14:dxf>
              <fill>
                <patternFill>
                  <bgColor theme="0"/>
                </patternFill>
              </fill>
              <border>
                <left style="thin">
                  <color auto="1"/>
                </left>
                <right style="thin">
                  <color auto="1"/>
                </right>
                <top style="thin">
                  <color auto="1"/>
                </top>
                <bottom style="thin">
                  <color auto="1"/>
                </bottom>
                <vertical/>
                <horizontal/>
              </border>
            </x14:dxf>
          </x14:cfRule>
          <xm:sqref>N317</xm:sqref>
        </x14:conditionalFormatting>
        <x14:conditionalFormatting xmlns:xm="http://schemas.microsoft.com/office/excel/2006/main">
          <x14:cfRule type="expression" priority="411" id="{8374AE0C-A787-4416-8439-FFE0E5076509}">
            <xm:f>$R83=Utilitaires!$N$572</xm:f>
            <x14:dxf>
              <fill>
                <patternFill>
                  <bgColor theme="0"/>
                </patternFill>
              </fill>
              <border>
                <left style="thin">
                  <color auto="1"/>
                </left>
                <right style="thin">
                  <color auto="1"/>
                </right>
                <top style="thin">
                  <color auto="1"/>
                </top>
                <bottom style="thin">
                  <color auto="1"/>
                </bottom>
                <vertical/>
                <horizontal/>
              </border>
            </x14:dxf>
          </x14:cfRule>
          <xm:sqref>S195:S205 R202:R203 R214:S214 S214:S261 S267:S269 S290 S83:S102 S274:S275</xm:sqref>
        </x14:conditionalFormatting>
        <x14:conditionalFormatting xmlns:xm="http://schemas.microsoft.com/office/excel/2006/main">
          <x14:cfRule type="expression" priority="11" id="{F7EA88E6-B0A5-4D7B-A3E8-19BFB44727A7}">
            <xm:f>$R276=Utilitaires!$N$572</xm:f>
            <x14:dxf>
              <fill>
                <patternFill>
                  <bgColor theme="0"/>
                </patternFill>
              </fill>
              <border>
                <left style="thin">
                  <color auto="1"/>
                </left>
                <right style="thin">
                  <color auto="1"/>
                </right>
                <top style="thin">
                  <color auto="1"/>
                </top>
                <bottom style="thin">
                  <color auto="1"/>
                </bottom>
                <vertical/>
                <horizontal/>
              </border>
            </x14:dxf>
          </x14:cfRule>
          <xm:sqref>S276:S284 S286:S289</xm:sqref>
        </x14:conditionalFormatting>
        <x14:conditionalFormatting xmlns:xm="http://schemas.microsoft.com/office/excel/2006/main">
          <x14:cfRule type="expression" priority="12" id="{BC15DCA6-5650-453F-84C6-8478AC225E6B}">
            <xm:f>$R262=Utilitaires!$N$572</xm:f>
            <x14:dxf>
              <fill>
                <patternFill>
                  <bgColor theme="0"/>
                </patternFill>
              </fill>
              <border>
                <left style="thin">
                  <color auto="1"/>
                </left>
                <right style="thin">
                  <color auto="1"/>
                </right>
                <top style="thin">
                  <color auto="1"/>
                </top>
                <bottom style="thin">
                  <color auto="1"/>
                </bottom>
                <vertical/>
                <horizontal/>
              </border>
            </x14:dxf>
          </x14:cfRule>
          <xm:sqref>S262:S266</xm:sqref>
        </x14:conditionalFormatting>
        <x14:conditionalFormatting xmlns:xm="http://schemas.microsoft.com/office/excel/2006/main">
          <x14:cfRule type="expression" priority="10" id="{2EBD079C-84A1-4AE0-BA33-E513B3AC688C}">
            <xm:f>$R96=Utilitaires!$N$572</xm:f>
            <x14:dxf>
              <fill>
                <patternFill>
                  <bgColor theme="0"/>
                </patternFill>
              </fill>
              <border>
                <left style="thin">
                  <color auto="1"/>
                </left>
                <right style="thin">
                  <color auto="1"/>
                </right>
                <top style="thin">
                  <color auto="1"/>
                </top>
                <bottom style="thin">
                  <color auto="1"/>
                </bottom>
                <vertical/>
                <horizontal/>
              </border>
            </x14:dxf>
          </x14:cfRule>
          <xm:sqref>R96:R97</xm:sqref>
        </x14:conditionalFormatting>
        <x14:conditionalFormatting xmlns:xm="http://schemas.microsoft.com/office/excel/2006/main">
          <x14:cfRule type="expression" priority="9" id="{C71D3C31-04B5-4D3C-87CB-D79386B96FA5}">
            <xm:f>$R87=Utilitaires!$N$572</xm:f>
            <x14:dxf>
              <fill>
                <patternFill>
                  <bgColor theme="0"/>
                </patternFill>
              </fill>
              <border>
                <left style="thin">
                  <color auto="1"/>
                </left>
                <right style="thin">
                  <color auto="1"/>
                </right>
                <top style="thin">
                  <color auto="1"/>
                </top>
                <bottom style="thin">
                  <color auto="1"/>
                </bottom>
                <vertical/>
                <horizontal/>
              </border>
            </x14:dxf>
          </x14:cfRule>
          <xm:sqref>R87</xm:sqref>
        </x14:conditionalFormatting>
        <x14:conditionalFormatting xmlns:xm="http://schemas.microsoft.com/office/excel/2006/main">
          <x14:cfRule type="expression" priority="8" id="{F54E15DF-A390-4E89-8336-D1C588C89CFE}">
            <xm:f>$R270=Utilitaires!$N$572</xm:f>
            <x14:dxf>
              <fill>
                <patternFill>
                  <bgColor theme="0"/>
                </patternFill>
              </fill>
              <border>
                <left style="thin">
                  <color auto="1"/>
                </left>
                <right style="thin">
                  <color auto="1"/>
                </right>
                <top style="thin">
                  <color auto="1"/>
                </top>
                <bottom style="thin">
                  <color auto="1"/>
                </bottom>
                <vertical/>
                <horizontal/>
              </border>
            </x14:dxf>
          </x14:cfRule>
          <xm:sqref>S270:S273</xm:sqref>
        </x14:conditionalFormatting>
        <x14:conditionalFormatting xmlns:xm="http://schemas.microsoft.com/office/excel/2006/main">
          <x14:cfRule type="expression" priority="6" id="{0CAE0664-4E01-42B5-9272-A66E628671C5}">
            <xm:f>$M147=Utilitaires!$N$572</xm:f>
            <x14:dxf>
              <fill>
                <patternFill>
                  <bgColor theme="0"/>
                </patternFill>
              </fill>
              <border>
                <left style="thin">
                  <color auto="1"/>
                </left>
                <right style="thin">
                  <color auto="1"/>
                </right>
                <top style="thin">
                  <color auto="1"/>
                </top>
                <bottom style="thin">
                  <color auto="1"/>
                </bottom>
                <vertical/>
                <horizontal/>
              </border>
            </x14:dxf>
          </x14:cfRule>
          <xm:sqref>N147</xm:sqref>
        </x14:conditionalFormatting>
        <x14:conditionalFormatting xmlns:xm="http://schemas.microsoft.com/office/excel/2006/main">
          <x14:cfRule type="expression" priority="7" id="{A12834D2-F991-4F06-9FFF-C4A34A29C362}">
            <xm:f>$M148=Utilitaires!$N$572</xm:f>
            <x14:dxf>
              <fill>
                <patternFill>
                  <bgColor theme="0"/>
                </patternFill>
              </fill>
              <border>
                <left style="thin">
                  <color auto="1"/>
                </left>
                <right style="thin">
                  <color auto="1"/>
                </right>
                <top style="thin">
                  <color auto="1"/>
                </top>
                <bottom style="thin">
                  <color auto="1"/>
                </bottom>
                <vertical/>
                <horizontal/>
              </border>
            </x14:dxf>
          </x14:cfRule>
          <xm:sqref>N148:N152</xm:sqref>
        </x14:conditionalFormatting>
        <x14:conditionalFormatting xmlns:xm="http://schemas.microsoft.com/office/excel/2006/main">
          <x14:cfRule type="expression" priority="4" id="{ED38EBA8-AA62-4A92-911F-BDA5F9D8BE0B}">
            <xm:f>$M154=Utilitaires!$N$572</xm:f>
            <x14:dxf>
              <fill>
                <patternFill>
                  <bgColor theme="0"/>
                </patternFill>
              </fill>
              <border>
                <left style="thin">
                  <color auto="1"/>
                </left>
                <right style="thin">
                  <color auto="1"/>
                </right>
                <top style="thin">
                  <color auto="1"/>
                </top>
                <bottom style="thin">
                  <color auto="1"/>
                </bottom>
                <vertical/>
                <horizontal/>
              </border>
            </x14:dxf>
          </x14:cfRule>
          <xm:sqref>N154</xm:sqref>
        </x14:conditionalFormatting>
        <x14:conditionalFormatting xmlns:xm="http://schemas.microsoft.com/office/excel/2006/main">
          <x14:cfRule type="expression" priority="5" id="{74547E2F-DCEB-4BE7-A634-AAB3C54DAE0B}">
            <xm:f>$M155=Utilitaires!$N$572</xm:f>
            <x14:dxf>
              <fill>
                <patternFill>
                  <bgColor theme="0"/>
                </patternFill>
              </fill>
              <border>
                <left style="thin">
                  <color auto="1"/>
                </left>
                <right style="thin">
                  <color auto="1"/>
                </right>
                <top style="thin">
                  <color auto="1"/>
                </top>
                <bottom style="thin">
                  <color auto="1"/>
                </bottom>
                <vertical/>
                <horizontal/>
              </border>
            </x14:dxf>
          </x14:cfRule>
          <xm:sqref>N155:N159</xm:sqref>
        </x14:conditionalFormatting>
        <x14:conditionalFormatting xmlns:xm="http://schemas.microsoft.com/office/excel/2006/main">
          <x14:cfRule type="expression" priority="3" id="{C79FBE8D-8586-4E17-A0C8-5B0738606F87}">
            <xm:f>$R285=Utilitaires!$N$572</xm:f>
            <x14:dxf>
              <fill>
                <patternFill>
                  <bgColor theme="0"/>
                </patternFill>
              </fill>
              <border>
                <left style="thin">
                  <color auto="1"/>
                </left>
                <right style="thin">
                  <color auto="1"/>
                </right>
                <top style="thin">
                  <color auto="1"/>
                </top>
                <bottom style="thin">
                  <color auto="1"/>
                </bottom>
                <vertical/>
                <horizontal/>
              </border>
            </x14:dxf>
          </x14:cfRule>
          <xm:sqref>S285</xm:sqref>
        </x14:conditionalFormatting>
        <x14:conditionalFormatting xmlns:xm="http://schemas.microsoft.com/office/excel/2006/main">
          <x14:cfRule type="expression" priority="2" id="{569DF2DA-43C7-4C94-B018-CF5BA88F90E0}">
            <xm:f>$M315=Utilitaires!$N$572</xm:f>
            <x14:dxf>
              <fill>
                <patternFill>
                  <bgColor theme="0"/>
                </patternFill>
              </fill>
              <border>
                <left style="thin">
                  <color auto="1"/>
                </left>
                <right style="thin">
                  <color auto="1"/>
                </right>
                <top style="thin">
                  <color auto="1"/>
                </top>
                <bottom style="thin">
                  <color auto="1"/>
                </bottom>
                <vertical/>
                <horizontal/>
              </border>
            </x14:dxf>
          </x14:cfRule>
          <xm:sqref>N315</xm:sqref>
        </x14:conditionalFormatting>
        <x14:conditionalFormatting xmlns:xm="http://schemas.microsoft.com/office/excel/2006/main">
          <x14:cfRule type="expression" priority="1" id="{825FD211-456F-496A-91DA-4D7D790E554A}">
            <xm:f>$M316=Utilitaires!$N$572</xm:f>
            <x14:dxf>
              <fill>
                <patternFill>
                  <bgColor theme="0"/>
                </patternFill>
              </fill>
              <border>
                <left style="thin">
                  <color auto="1"/>
                </left>
                <right style="thin">
                  <color auto="1"/>
                </right>
                <top style="thin">
                  <color auto="1"/>
                </top>
                <bottom style="thin">
                  <color auto="1"/>
                </bottom>
                <vertical/>
                <horizontal/>
              </border>
            </x14:dxf>
          </x14:cfRule>
          <xm:sqref>N316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outlinePr summaryBelow="0" summaryRight="0"/>
  </sheetPr>
  <dimension ref="A1:AM515"/>
  <sheetViews>
    <sheetView showGridLines="0" zoomScale="85" zoomScaleNormal="85" workbookViewId="0">
      <pane xSplit="3" ySplit="6" topLeftCell="D187" activePane="bottomRight" state="frozen"/>
      <selection pane="topRight" activeCell="D1" sqref="D1"/>
      <selection pane="bottomLeft" activeCell="A7" sqref="A7"/>
      <selection pane="bottomRight" activeCell="E361" sqref="E361"/>
    </sheetView>
  </sheetViews>
  <sheetFormatPr baseColWidth="10" defaultColWidth="10.875" defaultRowHeight="11.4" zeroHeight="1" outlineLevelRow="1" outlineLevelCol="1"/>
  <cols>
    <col min="1" max="1" width="2.75" style="113" customWidth="1"/>
    <col min="2" max="2" width="52.75" style="113" customWidth="1"/>
    <col min="3" max="3" width="2.375" style="113" customWidth="1"/>
    <col min="4" max="6" width="12.25" style="113" customWidth="1"/>
    <col min="7" max="7" width="13.375" style="113" bestFit="1" customWidth="1"/>
    <col min="8" max="8" width="26" style="113" bestFit="1" customWidth="1"/>
    <col min="9" max="10" width="17.875" style="113" customWidth="1"/>
    <col min="11" max="11" width="13.25" style="113" customWidth="1"/>
    <col min="12" max="15" width="12.25" style="113" customWidth="1"/>
    <col min="21" max="21" width="12.25" style="113" customWidth="1" collapsed="1"/>
    <col min="22" max="25" width="12.25" style="113" hidden="1" customWidth="1" outlineLevel="1"/>
    <col min="26" max="27" width="12.25" style="576" hidden="1" customWidth="1" outlineLevel="1"/>
    <col min="28" max="28" width="12.25" style="576" customWidth="1" collapsed="1"/>
    <col min="29" max="29" width="16.75" style="576" hidden="1" customWidth="1" outlineLevel="1"/>
    <col min="30" max="30" width="12.25" style="576" hidden="1" customWidth="1" outlineLevel="1"/>
    <col min="31" max="16384" width="10.875" style="113"/>
  </cols>
  <sheetData>
    <row r="1" spans="2:30" ht="22.8">
      <c r="U1" s="1645" t="s">
        <v>2441</v>
      </c>
      <c r="AB1" s="1644" t="s">
        <v>2440</v>
      </c>
    </row>
    <row r="2" spans="2:30" ht="30" customHeight="1">
      <c r="B2" s="2602" t="str">
        <f>Descriptif!C28</f>
        <v>Intrants 2</v>
      </c>
      <c r="C2" s="2603"/>
      <c r="D2" s="2603"/>
      <c r="E2" s="2603"/>
      <c r="F2" s="2603"/>
      <c r="G2" s="2603"/>
      <c r="H2" s="2603"/>
      <c r="I2" s="2603"/>
      <c r="J2" s="2603"/>
      <c r="K2" s="2603"/>
      <c r="L2" s="2603"/>
      <c r="M2" s="2603"/>
      <c r="N2" s="2603"/>
      <c r="O2" s="2604"/>
    </row>
    <row r="3" spans="2:30" s="253" customFormat="1" ht="13.8">
      <c r="D3" s="115"/>
      <c r="E3" s="115"/>
      <c r="F3" s="115"/>
      <c r="H3" s="115"/>
      <c r="J3" s="115"/>
      <c r="L3" s="115"/>
      <c r="N3" s="115"/>
      <c r="Z3" s="618"/>
      <c r="AA3" s="618"/>
      <c r="AB3" s="618"/>
      <c r="AC3" s="618"/>
      <c r="AD3" s="618"/>
    </row>
    <row r="4" spans="2:30" s="253" customFormat="1" ht="13.8">
      <c r="B4" s="209" t="s">
        <v>536</v>
      </c>
      <c r="C4" s="287"/>
      <c r="D4" s="2760" t="s">
        <v>3</v>
      </c>
      <c r="E4" s="2760"/>
      <c r="F4" s="2760" t="s">
        <v>207</v>
      </c>
      <c r="G4" s="2760"/>
      <c r="H4" s="2760" t="s">
        <v>297</v>
      </c>
      <c r="I4" s="2760"/>
      <c r="J4" s="2760" t="s">
        <v>367</v>
      </c>
      <c r="K4" s="2760"/>
      <c r="L4" s="2760" t="s">
        <v>548</v>
      </c>
      <c r="M4" s="2760"/>
      <c r="N4" s="2760" t="s">
        <v>549</v>
      </c>
      <c r="O4" s="2771"/>
      <c r="Z4" s="618"/>
      <c r="AA4" s="618"/>
      <c r="AB4" s="618"/>
      <c r="AC4" s="618"/>
      <c r="AD4" s="618"/>
    </row>
    <row r="5" spans="2:30" s="211" customFormat="1" ht="13.8">
      <c r="B5" s="288"/>
      <c r="C5" s="73"/>
      <c r="D5" s="2772" t="s">
        <v>550</v>
      </c>
      <c r="E5" s="2772"/>
      <c r="F5" s="2772" t="s">
        <v>551</v>
      </c>
      <c r="G5" s="2772"/>
      <c r="H5" s="2772" t="s">
        <v>552</v>
      </c>
      <c r="I5" s="2772"/>
      <c r="J5" s="2772"/>
      <c r="K5" s="2772"/>
      <c r="L5" s="2772"/>
      <c r="M5" s="2772"/>
      <c r="N5" s="2745"/>
      <c r="O5" s="2775"/>
      <c r="Z5" s="445"/>
      <c r="AA5" s="445"/>
      <c r="AB5" s="445"/>
      <c r="AC5" s="445"/>
      <c r="AD5" s="445"/>
    </row>
    <row r="6" spans="2:30" s="211" customFormat="1" ht="13.8">
      <c r="B6" s="194" t="s">
        <v>521</v>
      </c>
      <c r="C6" s="195"/>
      <c r="D6" s="2745" t="s">
        <v>212</v>
      </c>
      <c r="E6" s="2745"/>
      <c r="F6" s="2745" t="s">
        <v>484</v>
      </c>
      <c r="G6" s="2745"/>
      <c r="H6" s="2745" t="s">
        <v>758</v>
      </c>
      <c r="I6" s="2745"/>
      <c r="J6" s="2745" t="s">
        <v>818</v>
      </c>
      <c r="K6" s="2745"/>
      <c r="L6" s="2745" t="s">
        <v>2444</v>
      </c>
      <c r="M6" s="2775"/>
      <c r="N6" s="2761" t="s">
        <v>893</v>
      </c>
      <c r="O6" s="2762"/>
      <c r="Z6" s="445"/>
      <c r="AA6" s="445"/>
      <c r="AB6" s="445"/>
      <c r="AC6" s="445"/>
      <c r="AD6" s="445"/>
    </row>
    <row r="7" spans="2:30" s="211" customFormat="1" ht="13.8">
      <c r="B7" s="115"/>
      <c r="C7" s="115"/>
      <c r="D7" s="115"/>
      <c r="E7" s="115"/>
      <c r="F7" s="115"/>
      <c r="Z7" s="445"/>
      <c r="AA7" s="445"/>
      <c r="AB7" s="445"/>
      <c r="AC7" s="445"/>
      <c r="AD7" s="445"/>
    </row>
    <row r="8" spans="2:30" s="114" customFormat="1" ht="15.6" collapsed="1">
      <c r="B8" s="2763" t="s">
        <v>3</v>
      </c>
      <c r="C8" s="2764"/>
      <c r="D8" s="2764"/>
      <c r="E8" s="2764"/>
      <c r="F8" s="2764"/>
      <c r="G8" s="2764"/>
      <c r="H8" s="2764"/>
      <c r="I8" s="2764"/>
      <c r="J8" s="2764"/>
      <c r="K8" s="2764"/>
      <c r="L8" s="2764"/>
      <c r="M8" s="2764"/>
      <c r="N8" s="2764"/>
      <c r="O8" s="2765"/>
      <c r="Z8" s="441"/>
      <c r="AA8" s="441"/>
      <c r="AB8" s="441"/>
      <c r="AC8" s="441"/>
      <c r="AD8" s="441"/>
    </row>
    <row r="9" spans="2:30" s="114" customFormat="1" ht="12.75" hidden="1" customHeight="1" outlineLevel="1">
      <c r="Z9" s="441"/>
      <c r="AA9" s="441"/>
      <c r="AB9" s="441"/>
      <c r="AC9" s="441"/>
      <c r="AD9" s="441"/>
    </row>
    <row r="10" spans="2:30" s="114" customFormat="1" ht="12.75" hidden="1" customHeight="1" outlineLevel="1">
      <c r="B10" s="139" t="s">
        <v>3</v>
      </c>
      <c r="C10" s="140"/>
      <c r="D10" s="2094"/>
      <c r="E10" s="2094"/>
      <c r="F10" s="141"/>
      <c r="G10" s="141"/>
      <c r="H10" s="141"/>
      <c r="I10" s="141"/>
      <c r="J10" s="142"/>
      <c r="L10" s="2636" t="s">
        <v>366</v>
      </c>
      <c r="M10" s="2637"/>
      <c r="N10" s="2637"/>
      <c r="O10" s="2638"/>
      <c r="V10" s="2639" t="s">
        <v>441</v>
      </c>
      <c r="W10" s="2640"/>
      <c r="X10" s="2640"/>
      <c r="Y10" s="2640"/>
      <c r="Z10" s="2640"/>
      <c r="AA10" s="2641"/>
    </row>
    <row r="11" spans="2:30" s="114" customFormat="1" ht="12.75" hidden="1" customHeight="1" outlineLevel="1">
      <c r="B11" s="332"/>
      <c r="C11" s="167"/>
      <c r="D11" s="2102" t="s">
        <v>308</v>
      </c>
      <c r="E11" s="2102"/>
      <c r="F11" s="155"/>
      <c r="G11" s="155"/>
      <c r="H11" s="144"/>
      <c r="I11" s="144"/>
      <c r="J11" s="145"/>
      <c r="L11" s="298"/>
      <c r="M11" s="819"/>
      <c r="N11" s="827"/>
      <c r="O11" s="142"/>
      <c r="V11" s="2091"/>
      <c r="W11" s="2092"/>
      <c r="X11" s="2092"/>
      <c r="Y11" s="2092"/>
      <c r="Z11" s="2105"/>
      <c r="AA11" s="619"/>
      <c r="AC11" s="2616" t="s">
        <v>1648</v>
      </c>
      <c r="AD11" s="2617"/>
    </row>
    <row r="12" spans="2:30" s="114" customFormat="1" ht="12.75" hidden="1" customHeight="1" outlineLevel="1">
      <c r="B12" s="2093"/>
      <c r="C12" s="2087"/>
      <c r="D12" s="2087" t="s">
        <v>409</v>
      </c>
      <c r="E12" s="2087"/>
      <c r="F12" s="147" t="s">
        <v>199</v>
      </c>
      <c r="G12" s="147" t="s">
        <v>119</v>
      </c>
      <c r="H12" s="2626" t="s">
        <v>1585</v>
      </c>
      <c r="I12" s="2628"/>
      <c r="J12" s="2103" t="s">
        <v>444</v>
      </c>
      <c r="L12" s="2093" t="s">
        <v>316</v>
      </c>
      <c r="M12" s="2629" t="s">
        <v>530</v>
      </c>
      <c r="N12" s="2630"/>
      <c r="O12" s="2103" t="s">
        <v>444</v>
      </c>
      <c r="V12" s="2091" t="s">
        <v>444</v>
      </c>
      <c r="W12" s="2092"/>
      <c r="X12" s="2092"/>
      <c r="Y12" s="2092"/>
      <c r="Z12" s="2105" t="s">
        <v>444</v>
      </c>
      <c r="AA12" s="587"/>
      <c r="AC12" s="2086" t="s">
        <v>2167</v>
      </c>
      <c r="AD12" s="2104" t="s">
        <v>657</v>
      </c>
    </row>
    <row r="13" spans="2:30" s="114" customFormat="1" ht="12.75" hidden="1" customHeight="1" outlineLevel="1">
      <c r="B13" s="2093"/>
      <c r="C13" s="2087"/>
      <c r="D13" s="2087" t="s">
        <v>444</v>
      </c>
      <c r="E13" s="2087"/>
      <c r="F13" s="2100" t="s">
        <v>419</v>
      </c>
      <c r="G13" s="2100" t="s">
        <v>120</v>
      </c>
      <c r="H13" s="1854" t="s">
        <v>657</v>
      </c>
      <c r="I13" s="2087" t="s">
        <v>120</v>
      </c>
      <c r="J13" s="2103"/>
      <c r="L13" s="2093" t="s">
        <v>1649</v>
      </c>
      <c r="M13" s="2646"/>
      <c r="N13" s="2647"/>
      <c r="O13" s="162"/>
      <c r="V13" s="2088" t="s">
        <v>211</v>
      </c>
      <c r="W13" s="2089" t="s">
        <v>442</v>
      </c>
      <c r="X13" s="2089" t="s">
        <v>267</v>
      </c>
      <c r="Y13" s="2089" t="s">
        <v>443</v>
      </c>
      <c r="Z13" s="2090" t="s">
        <v>327</v>
      </c>
      <c r="AA13" s="589" t="s">
        <v>636</v>
      </c>
      <c r="AC13" s="2099"/>
      <c r="AD13" s="1130"/>
    </row>
    <row r="14" spans="2:30" s="114" customFormat="1" ht="12.75" hidden="1" customHeight="1" outlineLevel="1">
      <c r="B14" s="143" t="s">
        <v>2163</v>
      </c>
      <c r="C14" s="144"/>
      <c r="D14" s="212">
        <f>J14</f>
        <v>0</v>
      </c>
      <c r="E14" s="212"/>
      <c r="F14" s="117"/>
      <c r="G14" s="343"/>
      <c r="H14" s="219">
        <f>VLOOKUP($B14&amp;"; "&amp;$H$12&amp;" "&amp;H$13,'FE Intrants'!$G:$U,9,FALSE)</f>
        <v>2210</v>
      </c>
      <c r="I14" s="219">
        <f>IF(ISNA(VLOOKUP($B14&amp;"; "&amp;$H$12&amp;" "&amp;I$13,'FE Intrants'!$G:$U,9,FALSE)),H14,VLOOKUP($B14&amp;"; "&amp;$H$12&amp;" "&amp;I$13,'FE Intrants'!$G:$U,9,FALSE))</f>
        <v>938</v>
      </c>
      <c r="J14" s="152">
        <f>F14*((1-G14)*H14+G14*I14)</f>
        <v>0</v>
      </c>
      <c r="L14" s="319">
        <f>IF(O14=0,O14,O14/J14)</f>
        <v>0</v>
      </c>
      <c r="M14" s="1218"/>
      <c r="N14" s="820"/>
      <c r="O14" s="152">
        <f>SQRT(SUMSQ(F14*(1-G14)*H14*AD14,F14*G14*I14*P14))</f>
        <v>0</v>
      </c>
      <c r="V14" s="564">
        <f>D14</f>
        <v>0</v>
      </c>
      <c r="W14" s="565"/>
      <c r="X14" s="565"/>
      <c r="Y14" s="565"/>
      <c r="Z14" s="567">
        <f>SUM(R14:Y14)</f>
        <v>0</v>
      </c>
      <c r="AA14" s="590"/>
      <c r="AC14" s="2099">
        <f>IF($M14&lt;&gt;"votre valeur :",IF(ISNA(VLOOKUP($M14,Utilitaires!$N$566:$O$571,2,FALSE)),,VLOOKUP($M14,Utilitaires!$N$566:$O$571,2,FALSE)),$N14)</f>
        <v>0</v>
      </c>
      <c r="AD14" s="1130">
        <f>SQRT(SUMSQ(AC14,VLOOKUP(B14&amp;"; "&amp;$H$12&amp;" "&amp;$H$13,'FE Intrants'!G:U,7,FALSE)))</f>
        <v>0.1</v>
      </c>
    </row>
    <row r="15" spans="2:30" s="114" customFormat="1" ht="12.75" hidden="1" customHeight="1" outlineLevel="1">
      <c r="B15" s="143" t="s">
        <v>2164</v>
      </c>
      <c r="C15" s="144"/>
      <c r="D15" s="212">
        <f>J15</f>
        <v>0</v>
      </c>
      <c r="E15" s="212"/>
      <c r="F15" s="120"/>
      <c r="G15" s="344"/>
      <c r="H15" s="219">
        <f>VLOOKUP($B15&amp;"; "&amp;$H$12&amp;" "&amp;H$13,'FE Intrants'!$G:$U,9,FALSE)</f>
        <v>7800</v>
      </c>
      <c r="I15" s="219">
        <f>IF(ISNA(VLOOKUP($B15&amp;"; "&amp;$H$12&amp;" "&amp;I$13,'FE Intrants'!$G:$U,9,FALSE)),H15,VLOOKUP($B15&amp;"; "&amp;$H$12&amp;" "&amp;I$13,'FE Intrants'!$G:$U,9,FALSE))</f>
        <v>562</v>
      </c>
      <c r="J15" s="152">
        <f>F15*((1-G15)*H15+G15*I15)</f>
        <v>0</v>
      </c>
      <c r="L15" s="319">
        <f>IF(O15=0,O15,O15/J15)</f>
        <v>0</v>
      </c>
      <c r="M15" s="1218"/>
      <c r="N15" s="820"/>
      <c r="O15" s="152">
        <f t="shared" ref="O15:O17" si="0">SQRT(SUMSQ(F15*(1-G15)*H15*AD15,F15*G15*I15*P15))</f>
        <v>0</v>
      </c>
      <c r="V15" s="564">
        <f>D15</f>
        <v>0</v>
      </c>
      <c r="W15" s="565"/>
      <c r="X15" s="565"/>
      <c r="Y15" s="565"/>
      <c r="Z15" s="567">
        <f>SUM(R15:Y15)</f>
        <v>0</v>
      </c>
      <c r="AA15" s="590"/>
      <c r="AC15" s="2099">
        <f>IF($M15&lt;&gt;"votre valeur :",IF(ISNA(VLOOKUP($M15,Utilitaires!$N$566:$O$571,2,FALSE)),,VLOOKUP($M15,Utilitaires!$N$566:$O$571,2,FALSE)),$N15)</f>
        <v>0</v>
      </c>
      <c r="AD15" s="1130">
        <f>SQRT(SUMSQ(AC15,VLOOKUP(B15&amp;"; "&amp;$H$12&amp;" "&amp;$H$13,'FE Intrants'!G:U,7,FALSE)))</f>
        <v>0.3</v>
      </c>
    </row>
    <row r="16" spans="2:30" s="114" customFormat="1" ht="12.75" hidden="1" customHeight="1" outlineLevel="1">
      <c r="B16" s="143" t="s">
        <v>2165</v>
      </c>
      <c r="C16" s="144"/>
      <c r="D16" s="212">
        <f>J16</f>
        <v>0</v>
      </c>
      <c r="E16" s="212"/>
      <c r="F16" s="120"/>
      <c r="G16" s="344"/>
      <c r="H16" s="219">
        <f>VLOOKUP($B16&amp;"; "&amp;$H$12&amp;" "&amp;H$13,'FE Intrants'!$G:$U,9,FALSE)</f>
        <v>1450</v>
      </c>
      <c r="I16" s="219">
        <f>IF(ISNA(VLOOKUP($B16&amp;"; "&amp;$H$12&amp;" "&amp;I$13,'FE Intrants'!$G:$U,9,FALSE)),H16,VLOOKUP($B16&amp;"; "&amp;$H$12&amp;" "&amp;I$13,'FE Intrants'!$G:$U,9,FALSE))</f>
        <v>1300</v>
      </c>
      <c r="J16" s="152">
        <f>F16*((1-G16)*H16+G16*I16)</f>
        <v>0</v>
      </c>
      <c r="L16" s="319">
        <f>IF(O16=0,O16,O16/J16)</f>
        <v>0</v>
      </c>
      <c r="M16" s="1218"/>
      <c r="N16" s="820"/>
      <c r="O16" s="152">
        <f t="shared" si="0"/>
        <v>0</v>
      </c>
      <c r="V16" s="564">
        <f>D16</f>
        <v>0</v>
      </c>
      <c r="W16" s="565"/>
      <c r="X16" s="565"/>
      <c r="Y16" s="565"/>
      <c r="Z16" s="567">
        <f>SUM(R16:Y16)</f>
        <v>0</v>
      </c>
      <c r="AA16" s="590"/>
      <c r="AC16" s="2099">
        <f>IF($M16&lt;&gt;"votre valeur :",IF(ISNA(VLOOKUP($M16,Utilitaires!$N$566:$O$571,2,FALSE)),,VLOOKUP($M16,Utilitaires!$N$566:$O$571,2,FALSE)),$N16)</f>
        <v>0</v>
      </c>
      <c r="AD16" s="1130">
        <f>SQRT(SUMSQ(AC16,VLOOKUP(B16&amp;"; "&amp;$H$12&amp;" "&amp;$H$13,'FE Intrants'!G:U,7,FALSE)))</f>
        <v>0.5</v>
      </c>
    </row>
    <row r="17" spans="2:30" s="114" customFormat="1" ht="12.75" hidden="1" customHeight="1" outlineLevel="1">
      <c r="B17" s="143" t="s">
        <v>2166</v>
      </c>
      <c r="C17" s="144"/>
      <c r="D17" s="212">
        <f>J17</f>
        <v>0</v>
      </c>
      <c r="E17" s="212"/>
      <c r="F17" s="123"/>
      <c r="G17" s="345"/>
      <c r="H17" s="219">
        <f>VLOOKUP($B17&amp;"; "&amp;$H$12&amp;" "&amp;H$13,'FE Intrants'!$G:$U,9,FALSE)</f>
        <v>9170</v>
      </c>
      <c r="I17" s="219">
        <f>IF(ISNA(VLOOKUP($B17&amp;"; "&amp;$H$12&amp;" "&amp;I$13,'FE Intrants'!$G:$U,9,FALSE)),H17,VLOOKUP($B17&amp;"; "&amp;$H$12&amp;" "&amp;I$13,'FE Intrants'!$G:$U,9,FALSE))</f>
        <v>9170</v>
      </c>
      <c r="J17" s="152">
        <f>F17*((1-G17)*H17+G17*I17)</f>
        <v>0</v>
      </c>
      <c r="L17" s="319">
        <f>IF(O17=0,O17,O17/J17)</f>
        <v>0</v>
      </c>
      <c r="M17" s="1218"/>
      <c r="N17" s="820"/>
      <c r="O17" s="152">
        <f t="shared" si="0"/>
        <v>0</v>
      </c>
      <c r="V17" s="564">
        <f>D17</f>
        <v>0</v>
      </c>
      <c r="W17" s="565"/>
      <c r="X17" s="565"/>
      <c r="Y17" s="565"/>
      <c r="Z17" s="567">
        <f>SUM(R17:Y17)</f>
        <v>0</v>
      </c>
      <c r="AA17" s="590"/>
      <c r="AC17" s="2099">
        <f>IF($M17&lt;&gt;"votre valeur :",IF(ISNA(VLOOKUP($M17,Utilitaires!$N$566:$O$571,2,FALSE)),,VLOOKUP($M17,Utilitaires!$N$566:$O$571,2,FALSE)),$N17)</f>
        <v>0</v>
      </c>
      <c r="AD17" s="1130">
        <f>SQRT(SUMSQ(AC17,VLOOKUP(B17&amp;"; "&amp;$H$12&amp;" "&amp;$H$13,'FE Intrants'!G:U,7,FALSE)))</f>
        <v>0.2</v>
      </c>
    </row>
    <row r="18" spans="2:30" s="114" customFormat="1" ht="12.75" hidden="1" customHeight="1" outlineLevel="1">
      <c r="B18" s="143"/>
      <c r="C18" s="144"/>
      <c r="D18" s="213"/>
      <c r="E18" s="213"/>
      <c r="F18" s="144"/>
      <c r="G18" s="144"/>
      <c r="H18" s="144"/>
      <c r="I18" s="144"/>
      <c r="J18" s="145"/>
      <c r="L18" s="143"/>
      <c r="M18" s="144"/>
      <c r="N18" s="144"/>
      <c r="O18" s="152"/>
      <c r="V18" s="564"/>
      <c r="W18" s="565"/>
      <c r="X18" s="565"/>
      <c r="Y18" s="565"/>
      <c r="Z18" s="567"/>
      <c r="AA18" s="591"/>
      <c r="AC18" s="2085"/>
      <c r="AD18" s="1143"/>
    </row>
    <row r="19" spans="2:30" s="114" customFormat="1" ht="12.75" hidden="1" customHeight="1" outlineLevel="1">
      <c r="B19" s="196" t="s">
        <v>348</v>
      </c>
      <c r="C19" s="197"/>
      <c r="D19" s="214">
        <f>SUM(D14:D18)</f>
        <v>0</v>
      </c>
      <c r="E19" s="214"/>
      <c r="F19" s="199"/>
      <c r="G19" s="199"/>
      <c r="H19" s="199"/>
      <c r="I19" s="199"/>
      <c r="J19" s="200">
        <f>SUM(J14:J18)</f>
        <v>0</v>
      </c>
      <c r="L19" s="1204">
        <f>IF(O19=0,O19,O19/J19)</f>
        <v>0</v>
      </c>
      <c r="M19" s="199"/>
      <c r="N19" s="199"/>
      <c r="O19" s="200">
        <f>SQRT(SUMSQ(O14:O18))</f>
        <v>0</v>
      </c>
      <c r="V19" s="571">
        <f t="shared" ref="V19" si="1">SUM(V14:V18)</f>
        <v>0</v>
      </c>
      <c r="W19" s="572">
        <f>SUM(W14:W18)</f>
        <v>0</v>
      </c>
      <c r="X19" s="572">
        <f>SUM(X14:X18)</f>
        <v>0</v>
      </c>
      <c r="Y19" s="572">
        <f>SUM(Y14:Y18)</f>
        <v>0</v>
      </c>
      <c r="Z19" s="574">
        <f>SUM(Z14:Z18)</f>
        <v>0</v>
      </c>
      <c r="AA19" s="592">
        <f>SUM(AA14:AA18)</f>
        <v>0</v>
      </c>
    </row>
    <row r="20" spans="2:30" s="114" customFormat="1" ht="12.75" hidden="1" customHeight="1" outlineLevel="1">
      <c r="L20" s="255"/>
      <c r="M20" s="255"/>
      <c r="V20" s="441"/>
      <c r="W20" s="441"/>
      <c r="X20" s="441"/>
      <c r="Y20" s="441"/>
      <c r="Z20" s="441"/>
      <c r="AA20" s="441"/>
    </row>
    <row r="21" spans="2:30" s="114" customFormat="1" ht="13.2" collapsed="1">
      <c r="L21" s="255"/>
      <c r="M21" s="255"/>
      <c r="N21" s="255"/>
      <c r="V21" s="441"/>
      <c r="W21" s="441"/>
      <c r="X21" s="441"/>
      <c r="Y21" s="441"/>
      <c r="Z21" s="441"/>
      <c r="AA21" s="441"/>
    </row>
    <row r="22" spans="2:30" s="114" customFormat="1" ht="15.6" collapsed="1">
      <c r="B22" s="2763" t="s">
        <v>207</v>
      </c>
      <c r="C22" s="2764"/>
      <c r="D22" s="2764"/>
      <c r="E22" s="2764"/>
      <c r="F22" s="2764"/>
      <c r="G22" s="2764"/>
      <c r="H22" s="2764"/>
      <c r="I22" s="2764"/>
      <c r="J22" s="2764"/>
      <c r="K22" s="2764"/>
      <c r="L22" s="2764"/>
      <c r="M22" s="2764"/>
      <c r="N22" s="2764"/>
      <c r="O22" s="2765"/>
      <c r="V22" s="441"/>
      <c r="W22" s="441"/>
      <c r="X22" s="441"/>
      <c r="Y22" s="441"/>
      <c r="Z22" s="441"/>
      <c r="AA22" s="441"/>
    </row>
    <row r="23" spans="2:30" s="114" customFormat="1" ht="12.75" hidden="1" customHeight="1" outlineLevel="1">
      <c r="V23" s="441"/>
      <c r="W23" s="441"/>
      <c r="X23" s="441"/>
      <c r="Y23" s="441"/>
      <c r="Z23" s="441"/>
      <c r="AA23" s="441"/>
    </row>
    <row r="24" spans="2:30" s="114" customFormat="1" ht="12.75" hidden="1" customHeight="1" outlineLevel="1">
      <c r="B24" s="139" t="s">
        <v>207</v>
      </c>
      <c r="C24" s="140"/>
      <c r="D24" s="2094"/>
      <c r="E24" s="2094"/>
      <c r="F24" s="141"/>
      <c r="G24" s="141"/>
      <c r="H24" s="141"/>
      <c r="I24" s="141"/>
      <c r="J24" s="142"/>
      <c r="L24" s="2636" t="s">
        <v>366</v>
      </c>
      <c r="M24" s="2637"/>
      <c r="N24" s="2637"/>
      <c r="O24" s="2638"/>
      <c r="V24" s="2639" t="s">
        <v>441</v>
      </c>
      <c r="W24" s="2640"/>
      <c r="X24" s="2640"/>
      <c r="Y24" s="2640"/>
      <c r="Z24" s="2640"/>
      <c r="AA24" s="2641"/>
    </row>
    <row r="25" spans="2:30" s="114" customFormat="1" ht="12.75" hidden="1" customHeight="1" outlineLevel="1">
      <c r="B25" s="332"/>
      <c r="C25" s="167"/>
      <c r="D25" s="2102" t="s">
        <v>308</v>
      </c>
      <c r="E25" s="2102"/>
      <c r="F25" s="144"/>
      <c r="G25" s="144"/>
      <c r="H25" s="144"/>
      <c r="I25" s="144"/>
      <c r="J25" s="145"/>
      <c r="L25" s="298"/>
      <c r="M25" s="819"/>
      <c r="N25" s="827"/>
      <c r="O25" s="145"/>
      <c r="V25" s="2091"/>
      <c r="W25" s="2092"/>
      <c r="X25" s="2092"/>
      <c r="Y25" s="2092"/>
      <c r="Z25" s="2105"/>
      <c r="AA25" s="619"/>
      <c r="AC25" s="2616" t="s">
        <v>1648</v>
      </c>
      <c r="AD25" s="2617"/>
    </row>
    <row r="26" spans="2:30" s="114" customFormat="1" ht="12.75" hidden="1" customHeight="1" outlineLevel="1">
      <c r="B26" s="2093"/>
      <c r="C26" s="2087"/>
      <c r="D26" s="2087" t="s">
        <v>409</v>
      </c>
      <c r="E26" s="2087"/>
      <c r="F26" s="147" t="s">
        <v>199</v>
      </c>
      <c r="G26" s="147" t="s">
        <v>119</v>
      </c>
      <c r="H26" s="2626" t="s">
        <v>1585</v>
      </c>
      <c r="I26" s="2628"/>
      <c r="J26" s="2103" t="s">
        <v>444</v>
      </c>
      <c r="L26" s="2093" t="s">
        <v>316</v>
      </c>
      <c r="M26" s="2629" t="s">
        <v>530</v>
      </c>
      <c r="N26" s="2630"/>
      <c r="O26" s="2103" t="s">
        <v>444</v>
      </c>
      <c r="V26" s="2091" t="s">
        <v>444</v>
      </c>
      <c r="W26" s="2092"/>
      <c r="X26" s="2092"/>
      <c r="Y26" s="2092"/>
      <c r="Z26" s="2105" t="s">
        <v>444</v>
      </c>
      <c r="AA26" s="587"/>
      <c r="AC26" s="2086" t="s">
        <v>2167</v>
      </c>
      <c r="AD26" s="2104" t="s">
        <v>657</v>
      </c>
    </row>
    <row r="27" spans="2:30" s="114" customFormat="1" ht="12.75" hidden="1" customHeight="1" outlineLevel="1">
      <c r="B27" s="2093"/>
      <c r="C27" s="2087"/>
      <c r="D27" s="2087" t="s">
        <v>444</v>
      </c>
      <c r="E27" s="2087"/>
      <c r="F27" s="2100" t="s">
        <v>419</v>
      </c>
      <c r="G27" s="2100" t="s">
        <v>120</v>
      </c>
      <c r="H27" s="1854" t="s">
        <v>657</v>
      </c>
      <c r="I27" s="2087" t="s">
        <v>120</v>
      </c>
      <c r="J27" s="2103"/>
      <c r="L27" s="2093" t="s">
        <v>1649</v>
      </c>
      <c r="M27" s="2646"/>
      <c r="N27" s="2647"/>
      <c r="O27" s="2103"/>
      <c r="V27" s="2088" t="s">
        <v>211</v>
      </c>
      <c r="W27" s="2089" t="s">
        <v>442</v>
      </c>
      <c r="X27" s="2089" t="s">
        <v>267</v>
      </c>
      <c r="Y27" s="2089" t="s">
        <v>443</v>
      </c>
      <c r="Z27" s="2090" t="s">
        <v>327</v>
      </c>
      <c r="AA27" s="589" t="s">
        <v>636</v>
      </c>
      <c r="AC27" s="2099"/>
      <c r="AD27" s="1130"/>
    </row>
    <row r="28" spans="2:30" s="114" customFormat="1" ht="12.75" hidden="1" customHeight="1" outlineLevel="1">
      <c r="B28" s="143" t="s">
        <v>2175</v>
      </c>
      <c r="C28" s="144"/>
      <c r="D28" s="212">
        <f>J28</f>
        <v>0</v>
      </c>
      <c r="E28" s="212"/>
      <c r="F28" s="117"/>
      <c r="G28" s="343"/>
      <c r="H28" s="219">
        <f>VLOOKUP($B28&amp;"; "&amp;$H$26&amp;" "&amp;H$27,'FE Intrants'!$G:$U,9,FALSE)</f>
        <v>5500</v>
      </c>
      <c r="I28" s="219">
        <f>IF(ISNA(VLOOKUP($B28&amp;"; "&amp;$H$26&amp;" "&amp;I$27,'FE Intrants'!$G:$U,9,FALSE)),H28,VLOOKUP($B28&amp;"; "&amp;$H$26&amp;" "&amp;I$27,'FE Intrants'!$G:$U,9,FALSE))</f>
        <v>5500</v>
      </c>
      <c r="J28" s="327">
        <f>F28*((1-G28)*H28+G28*I28)</f>
        <v>0</v>
      </c>
      <c r="L28" s="319">
        <f>IF(O28=0,O28,O28/J28)</f>
        <v>0</v>
      </c>
      <c r="M28" s="1218"/>
      <c r="N28" s="820"/>
      <c r="O28" s="152">
        <f>SQRT(SUMSQ(F28*(1-G28)*H28*AD28,F28*G28*I28*P28))</f>
        <v>0</v>
      </c>
      <c r="V28" s="564">
        <f>D28</f>
        <v>0</v>
      </c>
      <c r="W28" s="565"/>
      <c r="X28" s="565"/>
      <c r="Y28" s="565"/>
      <c r="Z28" s="567">
        <f>SUM(R28:Y28)</f>
        <v>0</v>
      </c>
      <c r="AA28" s="590"/>
      <c r="AC28" s="2099">
        <f>IF($M28&lt;&gt;"votre valeur :",IF(ISNA(VLOOKUP($M28,Utilitaires!$N$566:$O$571,2,FALSE)),,VLOOKUP($M28,Utilitaires!$N$566:$O$571,2,FALSE)),$N28)</f>
        <v>0</v>
      </c>
      <c r="AD28" s="1130">
        <f>SQRT(SUMSQ(AC28,VLOOKUP(B28&amp;"; "&amp;$H$26&amp;" "&amp;$H$27,'FE Intrants'!G:U,7,FALSE)))</f>
        <v>0.2</v>
      </c>
    </row>
    <row r="29" spans="2:30" s="114" customFormat="1" ht="12.75" hidden="1" customHeight="1" outlineLevel="1">
      <c r="B29" s="143" t="s">
        <v>2174</v>
      </c>
      <c r="C29" s="144"/>
      <c r="D29" s="212">
        <f>J29</f>
        <v>0</v>
      </c>
      <c r="E29" s="212"/>
      <c r="F29" s="120"/>
      <c r="G29" s="344"/>
      <c r="H29" s="219">
        <f>VLOOKUP($B29&amp;"; "&amp;$H$26&amp;" "&amp;H$27,'FE Intrants'!$G:$U,9,FALSE)</f>
        <v>7630</v>
      </c>
      <c r="I29" s="219">
        <f>IF(ISNA(VLOOKUP($B29&amp;"; "&amp;$H$26&amp;" "&amp;I$27,'FE Intrants'!$G:$U,9,FALSE)),H29,VLOOKUP($B29&amp;"; "&amp;$H$26&amp;" "&amp;I$27,'FE Intrants'!$G:$U,9,FALSE))</f>
        <v>7630</v>
      </c>
      <c r="J29" s="327">
        <f>F29*((1-G29)*H29+G29*I29)</f>
        <v>0</v>
      </c>
      <c r="L29" s="319">
        <f>IF(O29=0,O29,O29/J29)</f>
        <v>0</v>
      </c>
      <c r="M29" s="1218"/>
      <c r="N29" s="820"/>
      <c r="O29" s="152">
        <f t="shared" ref="O29:O31" si="2">SQRT(SUMSQ(F29*(1-G29)*H29*AD29,F29*G29*I29*P29))</f>
        <v>0</v>
      </c>
      <c r="V29" s="564">
        <f>D29</f>
        <v>0</v>
      </c>
      <c r="W29" s="565"/>
      <c r="X29" s="565"/>
      <c r="Y29" s="565"/>
      <c r="Z29" s="567">
        <f>SUM(R29:Y29)</f>
        <v>0</v>
      </c>
      <c r="AA29" s="590"/>
      <c r="AC29" s="2099">
        <f>IF($M29&lt;&gt;"votre valeur :",IF(ISNA(VLOOKUP($M29,Utilitaires!$N$566:$O$571,2,FALSE)),,VLOOKUP($M29,Utilitaires!$N$566:$O$571,2,FALSE)),$N29)</f>
        <v>0</v>
      </c>
      <c r="AD29" s="1130">
        <f>SQRT(SUMSQ(AC29,VLOOKUP(B29&amp;"; "&amp;$H$26&amp;" "&amp;$H$27,'FE Intrants'!G:U,7,FALSE)))</f>
        <v>0.25</v>
      </c>
    </row>
    <row r="30" spans="2:30" s="114" customFormat="1" ht="12.75" hidden="1" customHeight="1" outlineLevel="1">
      <c r="B30" s="143" t="s">
        <v>2176</v>
      </c>
      <c r="C30" s="144"/>
      <c r="D30" s="212">
        <f>J30</f>
        <v>0</v>
      </c>
      <c r="E30" s="212"/>
      <c r="F30" s="120"/>
      <c r="G30" s="344"/>
      <c r="H30" s="219">
        <f>VLOOKUP($B30&amp;"; "&amp;$H$26&amp;" "&amp;H$27,'FE Intrants'!$G:$U,9,FALSE)</f>
        <v>2383</v>
      </c>
      <c r="I30" s="219">
        <f>IF(ISNA(VLOOKUP($B30&amp;"; "&amp;$H$26&amp;" "&amp;I$27,'FE Intrants'!$G:$U,9,FALSE)),H30,VLOOKUP($B30&amp;"; "&amp;$H$26&amp;" "&amp;I$27,'FE Intrants'!$G:$U,9,FALSE))</f>
        <v>202</v>
      </c>
      <c r="J30" s="327">
        <f>F30*((1-G30)*H30+G30*I30)</f>
        <v>0</v>
      </c>
      <c r="L30" s="319">
        <f>IF(O30=0,O30,O30/J30)</f>
        <v>0</v>
      </c>
      <c r="M30" s="1218"/>
      <c r="N30" s="820"/>
      <c r="O30" s="152">
        <f t="shared" si="2"/>
        <v>0</v>
      </c>
      <c r="V30" s="564">
        <f>D30</f>
        <v>0</v>
      </c>
      <c r="W30" s="565"/>
      <c r="X30" s="565"/>
      <c r="Y30" s="565"/>
      <c r="Z30" s="567">
        <f>SUM(R30:Y30)</f>
        <v>0</v>
      </c>
      <c r="AA30" s="590"/>
      <c r="AC30" s="2099">
        <f>IF($M30&lt;&gt;"votre valeur :",IF(ISNA(VLOOKUP($M30,Utilitaires!$N$566:$O$571,2,FALSE)),,VLOOKUP($M30,Utilitaires!$N$566:$O$571,2,FALSE)),$N30)</f>
        <v>0</v>
      </c>
      <c r="AD30" s="1130">
        <f>SQRT(SUMSQ(AC30,VLOOKUP(B30&amp;"; "&amp;$H$26&amp;" "&amp;$H$27,'FE Intrants'!G:U,7,FALSE)))</f>
        <v>0.2</v>
      </c>
    </row>
    <row r="31" spans="2:30" s="114" customFormat="1" ht="12.75" hidden="1" customHeight="1" outlineLevel="1">
      <c r="B31" s="143" t="s">
        <v>2177</v>
      </c>
      <c r="C31" s="144"/>
      <c r="D31" s="212">
        <f>J31</f>
        <v>0</v>
      </c>
      <c r="E31" s="212"/>
      <c r="F31" s="123"/>
      <c r="G31" s="345"/>
      <c r="H31" s="219">
        <f>VLOOKUP($B31&amp;"; "&amp;$H$26&amp;" "&amp;H$27,'FE Intrants'!$G:$U,9,FALSE)</f>
        <v>1870</v>
      </c>
      <c r="I31" s="219">
        <f>IF(ISNA(VLOOKUP($B31&amp;"; "&amp;$H$26&amp;" "&amp;I$27,'FE Intrants'!$G:$U,9,FALSE)),H31,VLOOKUP($B31&amp;"; "&amp;$H$26&amp;" "&amp;I$27,'FE Intrants'!$G:$U,9,FALSE))</f>
        <v>403</v>
      </c>
      <c r="J31" s="327">
        <f>F31*((1-G31)*H31+G31*I31)</f>
        <v>0</v>
      </c>
      <c r="L31" s="319">
        <f>IF(O31=0,O31,O31/J31)</f>
        <v>0</v>
      </c>
      <c r="M31" s="1218"/>
      <c r="N31" s="820"/>
      <c r="O31" s="152">
        <f t="shared" si="2"/>
        <v>0</v>
      </c>
      <c r="V31" s="564">
        <f>D31</f>
        <v>0</v>
      </c>
      <c r="W31" s="565"/>
      <c r="X31" s="565"/>
      <c r="Y31" s="565"/>
      <c r="Z31" s="567">
        <f>SUM(R31:Y31)</f>
        <v>0</v>
      </c>
      <c r="AA31" s="590"/>
      <c r="AC31" s="2099">
        <f>IF($M31&lt;&gt;"votre valeur :",IF(ISNA(VLOOKUP($M31,Utilitaires!$N$566:$O$571,2,FALSE)),,VLOOKUP($M31,Utilitaires!$N$566:$O$571,2,FALSE)),$N31)</f>
        <v>0</v>
      </c>
      <c r="AD31" s="1130">
        <f>SQRT(SUMSQ(AC31,VLOOKUP(B31&amp;"; "&amp;$H$26&amp;" "&amp;$H$27,'FE Intrants'!G:U,7,FALSE)))</f>
        <v>0.2</v>
      </c>
    </row>
    <row r="32" spans="2:30" s="114" customFormat="1" ht="12.75" hidden="1" customHeight="1" outlineLevel="1">
      <c r="B32" s="143"/>
      <c r="C32" s="144"/>
      <c r="D32" s="213"/>
      <c r="E32" s="213"/>
      <c r="F32" s="144"/>
      <c r="G32" s="144"/>
      <c r="H32" s="144"/>
      <c r="I32" s="144"/>
      <c r="J32" s="168"/>
      <c r="L32" s="143"/>
      <c r="M32" s="144"/>
      <c r="N32" s="144"/>
      <c r="O32" s="2103"/>
      <c r="V32" s="564"/>
      <c r="W32" s="565"/>
      <c r="X32" s="565"/>
      <c r="Y32" s="565"/>
      <c r="Z32" s="567"/>
      <c r="AA32" s="591"/>
      <c r="AC32" s="2085"/>
      <c r="AD32" s="1143"/>
    </row>
    <row r="33" spans="2:30" s="114" customFormat="1" ht="12.75" hidden="1" customHeight="1" outlineLevel="1">
      <c r="B33" s="196" t="s">
        <v>348</v>
      </c>
      <c r="C33" s="197"/>
      <c r="D33" s="214">
        <f>SUM(D28:D32)</f>
        <v>0</v>
      </c>
      <c r="E33" s="214"/>
      <c r="F33" s="199"/>
      <c r="G33" s="199"/>
      <c r="H33" s="199"/>
      <c r="I33" s="199"/>
      <c r="J33" s="200">
        <f>SUM(J28:J32)</f>
        <v>0</v>
      </c>
      <c r="L33" s="1204">
        <f>IF(O33=0,O33,O33/J33)</f>
        <v>0</v>
      </c>
      <c r="M33" s="199"/>
      <c r="N33" s="199"/>
      <c r="O33" s="200">
        <f>SQRT(SUMSQ(O28:O32))</f>
        <v>0</v>
      </c>
      <c r="V33" s="571">
        <f t="shared" ref="V33" si="3">SUM(V28:V32)</f>
        <v>0</v>
      </c>
      <c r="W33" s="572">
        <f>SUM(W28:W32)</f>
        <v>0</v>
      </c>
      <c r="X33" s="572">
        <f>SUM(X28:X32)</f>
        <v>0</v>
      </c>
      <c r="Y33" s="572">
        <f>SUM(Y28:Y32)</f>
        <v>0</v>
      </c>
      <c r="Z33" s="574">
        <f>SUM(Z28:Z32)</f>
        <v>0</v>
      </c>
      <c r="AA33" s="592">
        <f>SUM(AA28:AA32)</f>
        <v>0</v>
      </c>
    </row>
    <row r="34" spans="2:30" s="114" customFormat="1" ht="12.75" hidden="1" customHeight="1" outlineLevel="1">
      <c r="V34" s="441"/>
      <c r="W34" s="441"/>
      <c r="X34" s="441"/>
      <c r="Y34" s="441"/>
      <c r="Z34" s="441"/>
      <c r="AA34" s="441"/>
    </row>
    <row r="35" spans="2:30" s="114" customFormat="1" ht="13.2" collapsed="1">
      <c r="V35" s="441"/>
      <c r="W35" s="441"/>
      <c r="X35" s="441"/>
      <c r="Y35" s="441"/>
      <c r="Z35" s="441"/>
      <c r="AA35" s="441"/>
    </row>
    <row r="36" spans="2:30" s="114" customFormat="1" ht="15.6" collapsed="1">
      <c r="B36" s="2652" t="s">
        <v>297</v>
      </c>
      <c r="C36" s="2653"/>
      <c r="D36" s="2653"/>
      <c r="E36" s="2653"/>
      <c r="F36" s="2653"/>
      <c r="G36" s="2653"/>
      <c r="H36" s="2653"/>
      <c r="I36" s="2653"/>
      <c r="J36" s="2653"/>
      <c r="K36" s="2653"/>
      <c r="L36" s="2653"/>
      <c r="M36" s="2653"/>
      <c r="N36" s="2653"/>
      <c r="O36" s="2654"/>
      <c r="V36" s="441"/>
      <c r="W36" s="441"/>
      <c r="X36" s="441"/>
      <c r="Y36" s="441"/>
      <c r="Z36" s="441"/>
      <c r="AA36" s="441"/>
    </row>
    <row r="37" spans="2:30" s="114" customFormat="1" ht="12.75" hidden="1" customHeight="1" outlineLevel="1">
      <c r="V37" s="441"/>
      <c r="W37" s="441"/>
      <c r="X37" s="441"/>
      <c r="Y37" s="441"/>
      <c r="Z37" s="441"/>
      <c r="AA37" s="441"/>
    </row>
    <row r="38" spans="2:30" s="114" customFormat="1" ht="12.75" hidden="1" customHeight="1" outlineLevel="1">
      <c r="B38" s="139" t="s">
        <v>297</v>
      </c>
      <c r="C38" s="140"/>
      <c r="D38" s="2094"/>
      <c r="E38" s="2094"/>
      <c r="F38" s="141"/>
      <c r="G38" s="141"/>
      <c r="H38" s="142"/>
      <c r="L38" s="2636" t="s">
        <v>366</v>
      </c>
      <c r="M38" s="2637"/>
      <c r="N38" s="2637"/>
      <c r="O38" s="2638"/>
      <c r="V38" s="2639" t="s">
        <v>441</v>
      </c>
      <c r="W38" s="2640"/>
      <c r="X38" s="2640"/>
      <c r="Y38" s="2640"/>
      <c r="Z38" s="2640"/>
      <c r="AA38" s="2641"/>
    </row>
    <row r="39" spans="2:30" s="114" customFormat="1" ht="12.75" hidden="1" customHeight="1" outlineLevel="1">
      <c r="B39" s="332"/>
      <c r="C39" s="167"/>
      <c r="D39" s="2102" t="s">
        <v>308</v>
      </c>
      <c r="E39" s="2102"/>
      <c r="F39" s="144"/>
      <c r="G39" s="144"/>
      <c r="H39" s="145"/>
      <c r="L39" s="2093"/>
      <c r="M39" s="819"/>
      <c r="N39" s="827"/>
      <c r="O39" s="145"/>
      <c r="V39" s="2091"/>
      <c r="W39" s="2092"/>
      <c r="X39" s="2092"/>
      <c r="Y39" s="2092"/>
      <c r="Z39" s="2105"/>
      <c r="AA39" s="619"/>
      <c r="AC39" s="2766" t="s">
        <v>1648</v>
      </c>
      <c r="AD39" s="2767"/>
    </row>
    <row r="40" spans="2:30" s="114" customFormat="1" ht="12.75" hidden="1" customHeight="1" outlineLevel="1">
      <c r="B40" s="2093"/>
      <c r="C40" s="2087"/>
      <c r="D40" s="2087" t="s">
        <v>409</v>
      </c>
      <c r="E40" s="2087"/>
      <c r="F40" s="147" t="s">
        <v>1849</v>
      </c>
      <c r="G40" s="2087" t="s">
        <v>1572</v>
      </c>
      <c r="H40" s="2103" t="s">
        <v>444</v>
      </c>
      <c r="L40" s="2093" t="s">
        <v>316</v>
      </c>
      <c r="M40" s="2629" t="s">
        <v>530</v>
      </c>
      <c r="N40" s="2630"/>
      <c r="O40" s="2103" t="s">
        <v>444</v>
      </c>
      <c r="V40" s="2091" t="s">
        <v>444</v>
      </c>
      <c r="W40" s="2092"/>
      <c r="X40" s="2092"/>
      <c r="Y40" s="2092"/>
      <c r="Z40" s="2105" t="s">
        <v>444</v>
      </c>
      <c r="AA40" s="587"/>
      <c r="AC40" s="2086" t="s">
        <v>2167</v>
      </c>
      <c r="AD40" s="2104" t="s">
        <v>2187</v>
      </c>
    </row>
    <row r="41" spans="2:30" s="114" customFormat="1" ht="12.75" hidden="1" customHeight="1" outlineLevel="1">
      <c r="B41" s="2093"/>
      <c r="C41" s="2087"/>
      <c r="D41" s="2087" t="s">
        <v>444</v>
      </c>
      <c r="E41" s="2087"/>
      <c r="F41" s="2100" t="s">
        <v>2181</v>
      </c>
      <c r="G41" s="2087"/>
      <c r="H41" s="2103"/>
      <c r="L41" s="2093" t="s">
        <v>1649</v>
      </c>
      <c r="M41" s="2646"/>
      <c r="N41" s="2647"/>
      <c r="O41" s="2103"/>
      <c r="V41" s="2088" t="s">
        <v>211</v>
      </c>
      <c r="W41" s="2089" t="s">
        <v>442</v>
      </c>
      <c r="X41" s="2089" t="s">
        <v>267</v>
      </c>
      <c r="Y41" s="2089" t="s">
        <v>443</v>
      </c>
      <c r="Z41" s="2090" t="s">
        <v>327</v>
      </c>
      <c r="AA41" s="589" t="s">
        <v>636</v>
      </c>
      <c r="AC41" s="2099"/>
      <c r="AD41" s="1130"/>
    </row>
    <row r="42" spans="2:30" s="114" customFormat="1" ht="12.75" hidden="1" customHeight="1" outlineLevel="1">
      <c r="B42" s="143" t="s">
        <v>2178</v>
      </c>
      <c r="C42" s="144"/>
      <c r="D42" s="212">
        <f>H42</f>
        <v>0</v>
      </c>
      <c r="E42" s="212"/>
      <c r="F42" s="117"/>
      <c r="G42" s="335">
        <f>VLOOKUP($B42&amp;"; "&amp;$G$40,'FE Intrants'!$G:$U,9,FALSE)</f>
        <v>2.13</v>
      </c>
      <c r="H42" s="152">
        <f>F42*G42</f>
        <v>0</v>
      </c>
      <c r="L42" s="319">
        <f>IF(O42=0,O42,O42/H42)</f>
        <v>0</v>
      </c>
      <c r="M42" s="1218"/>
      <c r="N42" s="820"/>
      <c r="O42" s="152">
        <f>F42*G42*AD42</f>
        <v>0</v>
      </c>
      <c r="V42" s="564">
        <f>IF(ISNA(VLOOKUP($B42&amp;"; "&amp;$G$40, 'FE Intrants'!G:U,10,FALSE)),$D42,VLOOKUP($B42&amp;"; "&amp;$G$40, 'FE Intrants'!G:U,10,FALSE)*$F42)</f>
        <v>0</v>
      </c>
      <c r="W42" s="565">
        <f>IF(ISNA(VLOOKUP($B42&amp;"; "&amp;$G$40, 'FE Intrants'!G:U,11,FALSE)),0,(VLOOKUP($B42&amp;"; "&amp;$G$40, 'FE Intrants'!G:U,11,FALSE)+VLOOKUP($B42&amp;"; "&amp;$G$40, 'FE Intrants'!G:U,12,FALSE))*$F42)</f>
        <v>0</v>
      </c>
      <c r="X42" s="565">
        <f>IF(ISNA(VLOOKUP($B42&amp;"; "&amp;$G$40, 'FE Intrants'!G:U,13,FALSE)),0,VLOOKUP($B42&amp;"; "&amp;$G$40, 'FE Intrants'!G:U,13,FALSE)*$F42)</f>
        <v>0</v>
      </c>
      <c r="Y42" s="565">
        <f>IF(ISNA(VLOOKUP($B42&amp;"; "&amp;$G$40, 'FE Intrants'!G:U,14,FALSE)),0,VLOOKUP($B42&amp;"; "&amp;$G$40, 'FE Intrants'!G:U,14,FALSE)*$F42)</f>
        <v>0</v>
      </c>
      <c r="Z42" s="567">
        <f>H42</f>
        <v>0</v>
      </c>
      <c r="AA42" s="590"/>
      <c r="AC42" s="2099">
        <f>IF($M42&lt;&gt;"votre valeur :",IF(ISNA(VLOOKUP($M42,Utilitaires!$N$566:$O$571,2,FALSE)),,VLOOKUP($M42,Utilitaires!$N$566:$O$571,2,FALSE)),$N42)</f>
        <v>0</v>
      </c>
      <c r="AD42" s="1130">
        <f>SQRT(SUMSQ(AC42,VLOOKUP(B42&amp;"; "&amp;$G$40,'FE Intrants'!G:U,7,FALSE)))</f>
        <v>0.2</v>
      </c>
    </row>
    <row r="43" spans="2:30" s="114" customFormat="1" ht="12.75" hidden="1" customHeight="1" outlineLevel="1">
      <c r="B43" s="143" t="s">
        <v>2179</v>
      </c>
      <c r="C43" s="144"/>
      <c r="D43" s="212">
        <f>H43</f>
        <v>0</v>
      </c>
      <c r="E43" s="212"/>
      <c r="F43" s="120"/>
      <c r="G43" s="335">
        <f>VLOOKUP($B43&amp;"; "&amp;$G$40,'FE Intrants'!$G:$U,9,FALSE)</f>
        <v>2.13</v>
      </c>
      <c r="H43" s="152">
        <f>F43*G43</f>
        <v>0</v>
      </c>
      <c r="L43" s="319">
        <f>IF(O43=0,O43,O43/H43)</f>
        <v>0</v>
      </c>
      <c r="M43" s="1218"/>
      <c r="N43" s="820"/>
      <c r="O43" s="152">
        <f>F43*G43*AD43</f>
        <v>0</v>
      </c>
      <c r="V43" s="564">
        <f>IF(ISNA(VLOOKUP($B43&amp;"; "&amp;$G$40, 'FE Intrants'!G:U,10,FALSE)),$D43,VLOOKUP($B43&amp;"; "&amp;$G$40, 'FE Intrants'!G:U,10,FALSE)*$F43)</f>
        <v>0</v>
      </c>
      <c r="W43" s="565">
        <f>IF(ISNA(VLOOKUP($B43&amp;"; "&amp;$G$40, 'FE Intrants'!G:U,11,FALSE)),0,(VLOOKUP($B43&amp;"; "&amp;$G$40, 'FE Intrants'!G:U,11,FALSE)+VLOOKUP($B43&amp;"; "&amp;$G$40, 'FE Intrants'!G:U,12,FALSE))*$F43)</f>
        <v>0</v>
      </c>
      <c r="X43" s="565">
        <f>IF(ISNA(VLOOKUP($B43&amp;"; "&amp;$G$40, 'FE Intrants'!G:U,13,FALSE)),0,VLOOKUP($B43&amp;"; "&amp;$G$40, 'FE Intrants'!G:U,13,FALSE)*$F43)</f>
        <v>0</v>
      </c>
      <c r="Y43" s="565">
        <f>IF(ISNA(VLOOKUP($B43&amp;"; "&amp;$G$40, 'FE Intrants'!G:U,14,FALSE)),0,VLOOKUP($B43&amp;"; "&amp;$G$40, 'FE Intrants'!G:U,14,FALSE)*$F43)</f>
        <v>0</v>
      </c>
      <c r="Z43" s="567">
        <f>H43</f>
        <v>0</v>
      </c>
      <c r="AA43" s="590"/>
      <c r="AC43" s="2099">
        <f>IF($M43&lt;&gt;"votre valeur :",IF(ISNA(VLOOKUP($M43,Utilitaires!$N$566:$O$571,2,FALSE)),,VLOOKUP($M43,Utilitaires!$N$566:$O$571,2,FALSE)),$N43)</f>
        <v>0</v>
      </c>
      <c r="AD43" s="1130">
        <f>SQRT(SUMSQ(AC43,VLOOKUP(B43&amp;"; "&amp;$G$40,'FE Intrants'!G:U,7,FALSE)))</f>
        <v>0.2</v>
      </c>
    </row>
    <row r="44" spans="2:30" s="114" customFormat="1" ht="12.75" hidden="1" customHeight="1" outlineLevel="1">
      <c r="B44" s="143" t="s">
        <v>2382</v>
      </c>
      <c r="C44" s="144"/>
      <c r="D44" s="212">
        <f>H44</f>
        <v>0</v>
      </c>
      <c r="E44" s="212"/>
      <c r="F44" s="120"/>
      <c r="G44" s="335">
        <f>VLOOKUP($B44&amp;"; "&amp;$G$40,'FE Intrants'!$G:$U,9,FALSE)</f>
        <v>1.26</v>
      </c>
      <c r="H44" s="152">
        <f>F44*G44</f>
        <v>0</v>
      </c>
      <c r="L44" s="319">
        <f>IF(O44=0,O44,O44/H44)</f>
        <v>0</v>
      </c>
      <c r="M44" s="1218"/>
      <c r="N44" s="820"/>
      <c r="O44" s="152">
        <f>F44*G44*AD44</f>
        <v>0</v>
      </c>
      <c r="V44" s="564">
        <f>IF(ISNA(VLOOKUP($B44&amp;"; "&amp;$G$40, 'FE Intrants'!G:U,10,FALSE)),$D44,VLOOKUP($B44&amp;"; "&amp;$G$40, 'FE Intrants'!G:U,10,FALSE)*$F44)</f>
        <v>0</v>
      </c>
      <c r="W44" s="565">
        <f>IF(ISNA(VLOOKUP($B44&amp;"; "&amp;$G$40, 'FE Intrants'!G:U,11,FALSE)),0,(VLOOKUP($B44&amp;"; "&amp;$G$40, 'FE Intrants'!G:U,11,FALSE)+VLOOKUP($B44&amp;"; "&amp;$G$40, 'FE Intrants'!G:U,12,FALSE))*$F44)</f>
        <v>0</v>
      </c>
      <c r="X44" s="565">
        <f>IF(ISNA(VLOOKUP($B44&amp;"; "&amp;$G$40, 'FE Intrants'!G:U,13,FALSE)),0,VLOOKUP($B44&amp;"; "&amp;$G$40, 'FE Intrants'!G:U,13,FALSE)*$F44)</f>
        <v>0</v>
      </c>
      <c r="Y44" s="565">
        <f>IF(ISNA(VLOOKUP($B44&amp;"; "&amp;$G$40, 'FE Intrants'!G:U,14,FALSE)),0,VLOOKUP($B44&amp;"; "&amp;$G$40, 'FE Intrants'!G:U,14,FALSE)*$F44)</f>
        <v>0</v>
      </c>
      <c r="Z44" s="567">
        <f>H44</f>
        <v>0</v>
      </c>
      <c r="AA44" s="590"/>
      <c r="AC44" s="2099">
        <f>IF($M44&lt;&gt;"votre valeur :",IF(ISNA(VLOOKUP($M44,Utilitaires!$N$566:$O$571,2,FALSE)),,VLOOKUP($M44,Utilitaires!$N$566:$O$571,2,FALSE)),$N44)</f>
        <v>0</v>
      </c>
      <c r="AD44" s="1130">
        <f>SQRT(SUMSQ(AC44,VLOOKUP(B44&amp;"; "&amp;$G$40,'FE Intrants'!G:U,7,FALSE)))</f>
        <v>0.2</v>
      </c>
    </row>
    <row r="45" spans="2:30" s="114" customFormat="1" ht="12.75" hidden="1" customHeight="1" outlineLevel="1">
      <c r="B45" s="143" t="s">
        <v>3097</v>
      </c>
      <c r="C45" s="144"/>
      <c r="D45" s="212">
        <f>H45</f>
        <v>0</v>
      </c>
      <c r="E45" s="212"/>
      <c r="F45" s="123"/>
      <c r="G45" s="335">
        <f>VLOOKUP($B45&amp;"; "&amp;$G$40,'FE Intrants'!$G:$U,9,FALSE)</f>
        <v>0.40899999999999997</v>
      </c>
      <c r="H45" s="152">
        <f>F45*G45</f>
        <v>0</v>
      </c>
      <c r="L45" s="319">
        <f>IF(O45=0,O45,O45/H45)</f>
        <v>0</v>
      </c>
      <c r="M45" s="1218"/>
      <c r="N45" s="820"/>
      <c r="O45" s="152">
        <f>F45*G45*AD45</f>
        <v>0</v>
      </c>
      <c r="V45" s="564">
        <f>IF(ISNA(VLOOKUP($B45&amp;"; "&amp;$G$40, 'FE Intrants'!G:U,10,FALSE)),$D45,VLOOKUP($B45&amp;"; "&amp;$G$40, 'FE Intrants'!G:U,10,FALSE)*$F45)</f>
        <v>0</v>
      </c>
      <c r="W45" s="565">
        <f>IF(ISNA(VLOOKUP($B45&amp;"; "&amp;$G$40, 'FE Intrants'!G:U,11,FALSE)),0,(VLOOKUP($B45&amp;"; "&amp;$G$40, 'FE Intrants'!G:U,11,FALSE)+VLOOKUP($B45&amp;"; "&amp;$G$40, 'FE Intrants'!G:U,12,FALSE))*$F45)</f>
        <v>0</v>
      </c>
      <c r="X45" s="565">
        <f>IF(ISNA(VLOOKUP($B45&amp;"; "&amp;$G$40, 'FE Intrants'!G:U,13,FALSE)),0,VLOOKUP($B45&amp;"; "&amp;$G$40, 'FE Intrants'!G:U,13,FALSE)*$F45)</f>
        <v>0</v>
      </c>
      <c r="Y45" s="565">
        <f>IF(ISNA(VLOOKUP($B45&amp;"; "&amp;$G$40, 'FE Intrants'!G:U,14,FALSE)),0,VLOOKUP($B45&amp;"; "&amp;$G$40, 'FE Intrants'!G:U,14,FALSE)*$F45)</f>
        <v>0</v>
      </c>
      <c r="Z45" s="567">
        <f>H45</f>
        <v>0</v>
      </c>
      <c r="AA45" s="590"/>
      <c r="AC45" s="2099">
        <f>IF($M45&lt;&gt;"votre valeur :",IF(ISNA(VLOOKUP($M45,Utilitaires!$N$566:$O$571,2,FALSE)),,VLOOKUP($M45,Utilitaires!$N$566:$O$571,2,FALSE)),$N45)</f>
        <v>0</v>
      </c>
      <c r="AD45" s="1130">
        <f>SQRT(SUMSQ(AC45,VLOOKUP(B45&amp;"; "&amp;$G$40,'FE Intrants'!G:U,7,FALSE)))</f>
        <v>0.5</v>
      </c>
    </row>
    <row r="46" spans="2:30" s="114" customFormat="1" ht="12.75" hidden="1" customHeight="1" outlineLevel="1">
      <c r="B46" s="143"/>
      <c r="C46" s="144"/>
      <c r="D46" s="213"/>
      <c r="E46" s="213"/>
      <c r="F46" s="144"/>
      <c r="G46" s="144"/>
      <c r="H46" s="145"/>
      <c r="L46" s="143"/>
      <c r="M46" s="144"/>
      <c r="N46" s="144"/>
      <c r="O46" s="168"/>
      <c r="V46" s="564"/>
      <c r="W46" s="565"/>
      <c r="X46" s="565"/>
      <c r="Y46" s="565"/>
      <c r="Z46" s="567"/>
      <c r="AA46" s="591"/>
      <c r="AC46" s="2085"/>
      <c r="AD46" s="1143"/>
    </row>
    <row r="47" spans="2:30" s="114" customFormat="1" ht="12.75" hidden="1" customHeight="1" outlineLevel="1">
      <c r="B47" s="196" t="s">
        <v>348</v>
      </c>
      <c r="C47" s="197"/>
      <c r="D47" s="214">
        <f>SUM(D42:D46)</f>
        <v>0</v>
      </c>
      <c r="E47" s="214"/>
      <c r="F47" s="199"/>
      <c r="G47" s="199"/>
      <c r="H47" s="200">
        <f>SUM(H42:H46)</f>
        <v>0</v>
      </c>
      <c r="L47" s="1204">
        <f>IF(O47=0,O47,O47/H47)</f>
        <v>0</v>
      </c>
      <c r="M47" s="199"/>
      <c r="N47" s="199"/>
      <c r="O47" s="200">
        <f>SQRT(SUMSQ(O42:O46))</f>
        <v>0</v>
      </c>
      <c r="V47" s="571">
        <f t="shared" ref="V47" si="4">SUM(V42:V46)</f>
        <v>0</v>
      </c>
      <c r="W47" s="572">
        <f>SUM(W42:W46)</f>
        <v>0</v>
      </c>
      <c r="X47" s="572">
        <f>SUM(X42:X46)</f>
        <v>0</v>
      </c>
      <c r="Y47" s="572">
        <f>SUM(Y42:Y46)</f>
        <v>0</v>
      </c>
      <c r="Z47" s="574">
        <f>SUM(Z42:Z46)</f>
        <v>0</v>
      </c>
      <c r="AA47" s="592">
        <f>SUM(AA42:AA46)</f>
        <v>0</v>
      </c>
    </row>
    <row r="48" spans="2:30" s="114" customFormat="1" ht="12.75" hidden="1" customHeight="1" outlineLevel="1">
      <c r="V48" s="441"/>
      <c r="W48" s="441"/>
      <c r="X48" s="441"/>
      <c r="Y48" s="441"/>
      <c r="Z48" s="441"/>
      <c r="AA48" s="441"/>
    </row>
    <row r="49" spans="2:30" s="114" customFormat="1" ht="13.2" collapsed="1">
      <c r="V49" s="441"/>
      <c r="W49" s="441"/>
      <c r="X49" s="441"/>
      <c r="Y49" s="441"/>
      <c r="Z49" s="441"/>
      <c r="AA49" s="441"/>
    </row>
    <row r="50" spans="2:30" s="114" customFormat="1" ht="15.6" collapsed="1">
      <c r="B50" s="2763" t="s">
        <v>431</v>
      </c>
      <c r="C50" s="2764"/>
      <c r="D50" s="2764"/>
      <c r="E50" s="2764"/>
      <c r="F50" s="2764"/>
      <c r="G50" s="2764"/>
      <c r="H50" s="2764"/>
      <c r="I50" s="2764"/>
      <c r="J50" s="2764"/>
      <c r="K50" s="2764"/>
      <c r="L50" s="2764"/>
      <c r="M50" s="2764"/>
      <c r="N50" s="2764"/>
      <c r="O50" s="2765"/>
      <c r="V50" s="441"/>
      <c r="W50" s="441"/>
      <c r="X50" s="441"/>
      <c r="Y50" s="441"/>
      <c r="Z50" s="441"/>
      <c r="AA50" s="441"/>
    </row>
    <row r="51" spans="2:30" s="114" customFormat="1" ht="12.75" hidden="1" customHeight="1" outlineLevel="1">
      <c r="V51" s="441"/>
      <c r="W51" s="441"/>
      <c r="X51" s="441"/>
      <c r="Y51" s="441"/>
      <c r="Z51" s="441"/>
      <c r="AA51" s="441"/>
    </row>
    <row r="52" spans="2:30" s="114" customFormat="1" ht="12.75" hidden="1" customHeight="1" outlineLevel="1">
      <c r="B52" s="139" t="s">
        <v>431</v>
      </c>
      <c r="C52" s="140"/>
      <c r="D52" s="2094"/>
      <c r="E52" s="2094"/>
      <c r="F52" s="141"/>
      <c r="G52" s="141"/>
      <c r="H52" s="141"/>
      <c r="I52" s="142"/>
      <c r="L52" s="2636" t="s">
        <v>366</v>
      </c>
      <c r="M52" s="2637"/>
      <c r="N52" s="2637"/>
      <c r="O52" s="2638"/>
      <c r="V52" s="2639" t="s">
        <v>441</v>
      </c>
      <c r="W52" s="2640"/>
      <c r="X52" s="2640"/>
      <c r="Y52" s="2640"/>
      <c r="Z52" s="2640"/>
      <c r="AA52" s="2641"/>
    </row>
    <row r="53" spans="2:30" s="114" customFormat="1" ht="12.75" hidden="1" customHeight="1" outlineLevel="1">
      <c r="B53" s="332"/>
      <c r="C53" s="167"/>
      <c r="D53" s="2102" t="s">
        <v>308</v>
      </c>
      <c r="E53" s="2102"/>
      <c r="F53" s="155"/>
      <c r="G53" s="144"/>
      <c r="H53" s="144"/>
      <c r="I53" s="145"/>
      <c r="L53" s="2093"/>
      <c r="M53" s="819"/>
      <c r="N53" s="827"/>
      <c r="O53" s="145"/>
      <c r="V53" s="2091"/>
      <c r="W53" s="2092"/>
      <c r="X53" s="2092"/>
      <c r="Y53" s="2092"/>
      <c r="Z53" s="2105"/>
      <c r="AA53" s="619"/>
      <c r="AC53" s="2766" t="s">
        <v>1648</v>
      </c>
      <c r="AD53" s="2767"/>
    </row>
    <row r="54" spans="2:30" s="114" customFormat="1" ht="12.75" hidden="1" customHeight="1" outlineLevel="1">
      <c r="B54" s="2093"/>
      <c r="C54" s="2087"/>
      <c r="D54" s="2087" t="s">
        <v>409</v>
      </c>
      <c r="E54" s="2087"/>
      <c r="F54" s="147" t="s">
        <v>340</v>
      </c>
      <c r="G54" s="2087" t="s">
        <v>2186</v>
      </c>
      <c r="H54" s="147" t="s">
        <v>2185</v>
      </c>
      <c r="I54" s="2103" t="s">
        <v>444</v>
      </c>
      <c r="L54" s="2093" t="s">
        <v>316</v>
      </c>
      <c r="M54" s="2629" t="s">
        <v>530</v>
      </c>
      <c r="N54" s="2630"/>
      <c r="O54" s="2103" t="s">
        <v>444</v>
      </c>
      <c r="V54" s="2091" t="s">
        <v>444</v>
      </c>
      <c r="W54" s="2092"/>
      <c r="X54" s="2092"/>
      <c r="Y54" s="2092"/>
      <c r="Z54" s="2105" t="s">
        <v>444</v>
      </c>
      <c r="AA54" s="587"/>
      <c r="AC54" s="2086" t="s">
        <v>2167</v>
      </c>
      <c r="AD54" s="2104" t="s">
        <v>2187</v>
      </c>
    </row>
    <row r="55" spans="2:30" s="114" customFormat="1" ht="12.75" hidden="1" customHeight="1" outlineLevel="1">
      <c r="B55" s="2093"/>
      <c r="C55" s="2087"/>
      <c r="D55" s="2087" t="s">
        <v>444</v>
      </c>
      <c r="E55" s="2087"/>
      <c r="F55" s="2100" t="s">
        <v>419</v>
      </c>
      <c r="G55" s="2087" t="s">
        <v>531</v>
      </c>
      <c r="H55" s="2100" t="s">
        <v>419</v>
      </c>
      <c r="I55" s="2103"/>
      <c r="L55" s="2093" t="s">
        <v>1649</v>
      </c>
      <c r="M55" s="2646"/>
      <c r="N55" s="2647"/>
      <c r="O55" s="2103"/>
      <c r="V55" s="2088" t="s">
        <v>211</v>
      </c>
      <c r="W55" s="2089" t="s">
        <v>442</v>
      </c>
      <c r="X55" s="2089" t="s">
        <v>267</v>
      </c>
      <c r="Y55" s="2089" t="s">
        <v>443</v>
      </c>
      <c r="Z55" s="2090" t="s">
        <v>327</v>
      </c>
      <c r="AA55" s="589" t="s">
        <v>636</v>
      </c>
      <c r="AC55" s="2099"/>
      <c r="AD55" s="1130"/>
    </row>
    <row r="56" spans="2:30" s="114" customFormat="1" ht="12.75" hidden="1" customHeight="1" outlineLevel="1">
      <c r="B56" s="143" t="s">
        <v>2182</v>
      </c>
      <c r="C56" s="144"/>
      <c r="D56" s="212">
        <f>I56</f>
        <v>0</v>
      </c>
      <c r="E56" s="212"/>
      <c r="F56" s="117"/>
      <c r="G56" s="219">
        <f>VLOOKUP($B56&amp;"; "&amp;H56,'FE Intrants'!$G:$U,9,FALSE)</f>
        <v>390</v>
      </c>
      <c r="H56" s="1205" t="str">
        <f>VLOOKUP(B56,'FE Intrants'!F:U,5,FALSE)</f>
        <v>kgCO2e/tonne</v>
      </c>
      <c r="I56" s="152">
        <f>F56*G56</f>
        <v>0</v>
      </c>
      <c r="L56" s="319">
        <f>IF(O56=0,O56,O56/I56)</f>
        <v>0</v>
      </c>
      <c r="M56" s="1218"/>
      <c r="N56" s="820"/>
      <c r="O56" s="152">
        <f>F56*G56*AD56</f>
        <v>0</v>
      </c>
      <c r="V56" s="564">
        <f>D56</f>
        <v>0</v>
      </c>
      <c r="W56" s="565"/>
      <c r="X56" s="565"/>
      <c r="Y56" s="565"/>
      <c r="Z56" s="567">
        <f>SUM(R56:Y56)</f>
        <v>0</v>
      </c>
      <c r="AA56" s="590"/>
      <c r="AC56" s="2099">
        <f>IF($M56&lt;&gt;"votre valeur :",IF(ISNA(VLOOKUP($M56,Utilitaires!$N$566:$O$571,2,FALSE)),,VLOOKUP($M56,Utilitaires!$N$566:$O$571,2,FALSE)),$N56)</f>
        <v>0</v>
      </c>
      <c r="AD56" s="1130">
        <f>SQRT(SUMSQ(AC56,VLOOKUP(B56&amp;"; "&amp;H56,'FE Intrants'!G:U,7,FALSE)))</f>
        <v>0.2</v>
      </c>
    </row>
    <row r="57" spans="2:30" s="114" customFormat="1" ht="12.75" hidden="1" customHeight="1" outlineLevel="1">
      <c r="B57" s="143" t="s">
        <v>2183</v>
      </c>
      <c r="C57" s="144"/>
      <c r="D57" s="212">
        <f>I57</f>
        <v>0</v>
      </c>
      <c r="E57" s="212"/>
      <c r="F57" s="120"/>
      <c r="G57" s="219">
        <f>VLOOKUP($B57&amp;"; "&amp;H57,'FE Intrants'!$G:$U,9,FALSE)</f>
        <v>670</v>
      </c>
      <c r="H57" s="1206" t="str">
        <f>VLOOKUP(B57,'FE Intrants'!F:U,5,FALSE)</f>
        <v>kgCO2e/tonne</v>
      </c>
      <c r="I57" s="152">
        <f>F57*G57</f>
        <v>0</v>
      </c>
      <c r="L57" s="319">
        <f>IF(O57=0,O57,O57/I57)</f>
        <v>0</v>
      </c>
      <c r="M57" s="1218"/>
      <c r="N57" s="820"/>
      <c r="O57" s="152">
        <f>F57*G57*AD57</f>
        <v>0</v>
      </c>
      <c r="V57" s="564">
        <f>D57</f>
        <v>0</v>
      </c>
      <c r="W57" s="565"/>
      <c r="X57" s="565"/>
      <c r="Y57" s="565"/>
      <c r="Z57" s="567">
        <f>SUM(R57:Y57)</f>
        <v>0</v>
      </c>
      <c r="AA57" s="590"/>
      <c r="AC57" s="2099">
        <f>IF($M57&lt;&gt;"votre valeur :",IF(ISNA(VLOOKUP($M57,Utilitaires!$N$566:$O$571,2,FALSE)),,VLOOKUP($M57,Utilitaires!$N$566:$O$571,2,FALSE)),$N57)</f>
        <v>0</v>
      </c>
      <c r="AD57" s="1130">
        <f>SQRT(SUMSQ(AC57,VLOOKUP(B57&amp;"; "&amp;H57,'FE Intrants'!G:U,7,FALSE)))</f>
        <v>0.2</v>
      </c>
    </row>
    <row r="58" spans="2:30" s="114" customFormat="1" ht="12.75" hidden="1" customHeight="1" outlineLevel="1">
      <c r="B58" s="143" t="s">
        <v>2184</v>
      </c>
      <c r="C58" s="144"/>
      <c r="D58" s="212">
        <f>I58</f>
        <v>0</v>
      </c>
      <c r="E58" s="212"/>
      <c r="F58" s="123"/>
      <c r="G58" s="219">
        <f>VLOOKUP($B58&amp;"; "&amp;H58,'FE Intrants'!$G:$U,9,FALSE)</f>
        <v>2.29</v>
      </c>
      <c r="H58" s="1207" t="str">
        <f>VLOOKUP(B58,'FE Intrants'!F:U,5,FALSE)</f>
        <v>kgCO2e/unité</v>
      </c>
      <c r="I58" s="152">
        <f>F58*G58</f>
        <v>0</v>
      </c>
      <c r="L58" s="319">
        <f>IF(O58=0,O58,O58/I58)</f>
        <v>0</v>
      </c>
      <c r="M58" s="1218"/>
      <c r="N58" s="820"/>
      <c r="O58" s="152">
        <f>F58*G58*AD58</f>
        <v>0</v>
      </c>
      <c r="V58" s="564">
        <f>D58</f>
        <v>0</v>
      </c>
      <c r="W58" s="565"/>
      <c r="X58" s="565"/>
      <c r="Y58" s="565"/>
      <c r="Z58" s="567">
        <f>SUM(R58:Y58)</f>
        <v>0</v>
      </c>
      <c r="AA58" s="590"/>
      <c r="AC58" s="2099">
        <f>IF($M58&lt;&gt;"votre valeur :",IF(ISNA(VLOOKUP($M58,Utilitaires!$N$566:$O$571,2,FALSE)),,VLOOKUP($M58,Utilitaires!$N$566:$O$571,2,FALSE)),$N58)</f>
        <v>0</v>
      </c>
      <c r="AD58" s="1130">
        <f>SQRT(SUMSQ(AC58,VLOOKUP(B58&amp;"; "&amp;H58,'FE Intrants'!G:U,7,FALSE)))</f>
        <v>0.2</v>
      </c>
    </row>
    <row r="59" spans="2:30" s="114" customFormat="1" ht="12.75" hidden="1" customHeight="1" outlineLevel="1">
      <c r="B59" s="143"/>
      <c r="C59" s="144"/>
      <c r="D59" s="213"/>
      <c r="E59" s="213"/>
      <c r="F59" s="144"/>
      <c r="G59" s="144"/>
      <c r="H59" s="144"/>
      <c r="I59" s="152"/>
      <c r="L59" s="143"/>
      <c r="M59" s="144"/>
      <c r="N59" s="144"/>
      <c r="O59" s="168"/>
      <c r="V59" s="564"/>
      <c r="W59" s="565"/>
      <c r="X59" s="565"/>
      <c r="Y59" s="565"/>
      <c r="Z59" s="567"/>
      <c r="AA59" s="591"/>
      <c r="AC59" s="2085"/>
      <c r="AD59" s="1143"/>
    </row>
    <row r="60" spans="2:30" s="114" customFormat="1" ht="12.75" hidden="1" customHeight="1" outlineLevel="1">
      <c r="B60" s="196" t="s">
        <v>348</v>
      </c>
      <c r="C60" s="197"/>
      <c r="D60" s="214">
        <f>SUM(D56:D59)</f>
        <v>0</v>
      </c>
      <c r="E60" s="214"/>
      <c r="F60" s="199"/>
      <c r="G60" s="199"/>
      <c r="H60" s="199"/>
      <c r="I60" s="200">
        <f>SUM(I56:I59)</f>
        <v>0</v>
      </c>
      <c r="L60" s="1204">
        <f>IF(O60=0,O60,O60/I60)</f>
        <v>0</v>
      </c>
      <c r="M60" s="199"/>
      <c r="N60" s="199"/>
      <c r="O60" s="200">
        <f>SQRT(SUMSQ(O56:O59))</f>
        <v>0</v>
      </c>
      <c r="V60" s="571">
        <f t="shared" ref="V60" si="5">SUM(V56:V59)</f>
        <v>0</v>
      </c>
      <c r="W60" s="572">
        <f>SUM(W56:W59)</f>
        <v>0</v>
      </c>
      <c r="X60" s="572">
        <f>SUM(X56:X59)</f>
        <v>0</v>
      </c>
      <c r="Y60" s="572">
        <f>SUM(Y56:Y59)</f>
        <v>0</v>
      </c>
      <c r="Z60" s="574">
        <f>SUM(Z56:Z59)</f>
        <v>0</v>
      </c>
      <c r="AA60" s="592">
        <f>SUM(AA56:AA59)</f>
        <v>0</v>
      </c>
    </row>
    <row r="61" spans="2:30" s="114" customFormat="1" ht="12.75" hidden="1" customHeight="1" outlineLevel="1">
      <c r="V61" s="441"/>
      <c r="W61" s="441"/>
      <c r="X61" s="441"/>
      <c r="Y61" s="441"/>
      <c r="Z61" s="441"/>
      <c r="AA61" s="441"/>
    </row>
    <row r="62" spans="2:30" s="114" customFormat="1" ht="13.2" collapsed="1">
      <c r="V62" s="441"/>
      <c r="W62" s="441"/>
      <c r="X62" s="441"/>
      <c r="Y62" s="441"/>
      <c r="Z62" s="441"/>
      <c r="AA62" s="441"/>
    </row>
    <row r="63" spans="2:30" s="114" customFormat="1" ht="15.6" collapsed="1">
      <c r="B63" s="2652" t="s">
        <v>208</v>
      </c>
      <c r="C63" s="2653"/>
      <c r="D63" s="2653"/>
      <c r="E63" s="2653"/>
      <c r="F63" s="2653"/>
      <c r="G63" s="2653"/>
      <c r="H63" s="2653"/>
      <c r="I63" s="2653"/>
      <c r="J63" s="2653"/>
      <c r="K63" s="2653"/>
      <c r="L63" s="2653"/>
      <c r="M63" s="2653"/>
      <c r="N63" s="2653"/>
      <c r="O63" s="2654"/>
      <c r="V63" s="441"/>
      <c r="W63" s="441"/>
      <c r="X63" s="441"/>
      <c r="Y63" s="441"/>
      <c r="Z63" s="441"/>
      <c r="AA63" s="441"/>
    </row>
    <row r="64" spans="2:30" s="114" customFormat="1" ht="12.75" hidden="1" customHeight="1" outlineLevel="1">
      <c r="V64" s="441"/>
      <c r="W64" s="441"/>
      <c r="X64" s="441"/>
      <c r="Y64" s="441"/>
      <c r="Z64" s="441"/>
      <c r="AA64" s="441"/>
    </row>
    <row r="65" spans="2:30" s="114" customFormat="1" ht="12.75" hidden="1" customHeight="1" outlineLevel="1">
      <c r="B65" s="139" t="s">
        <v>208</v>
      </c>
      <c r="C65" s="140"/>
      <c r="D65" s="2094"/>
      <c r="E65" s="2094"/>
      <c r="F65" s="141"/>
      <c r="G65" s="141"/>
      <c r="H65" s="141"/>
      <c r="I65" s="142"/>
      <c r="L65" s="2636" t="s">
        <v>366</v>
      </c>
      <c r="M65" s="2637"/>
      <c r="N65" s="2637"/>
      <c r="O65" s="2638"/>
      <c r="V65" s="2639" t="s">
        <v>441</v>
      </c>
      <c r="W65" s="2640"/>
      <c r="X65" s="2640"/>
      <c r="Y65" s="2640"/>
      <c r="Z65" s="2640"/>
      <c r="AA65" s="2641"/>
    </row>
    <row r="66" spans="2:30" s="114" customFormat="1" ht="12.75" hidden="1" customHeight="1" outlineLevel="1">
      <c r="B66" s="332"/>
      <c r="C66" s="167"/>
      <c r="D66" s="2102" t="s">
        <v>308</v>
      </c>
      <c r="E66" s="2102"/>
      <c r="F66" s="155"/>
      <c r="G66" s="144"/>
      <c r="H66" s="144"/>
      <c r="I66" s="145"/>
      <c r="L66" s="2093"/>
      <c r="M66" s="819"/>
      <c r="N66" s="827"/>
      <c r="O66" s="145"/>
      <c r="V66" s="2091"/>
      <c r="W66" s="2092"/>
      <c r="X66" s="2092"/>
      <c r="Y66" s="2092"/>
      <c r="Z66" s="2105"/>
      <c r="AA66" s="619"/>
      <c r="AC66" s="2766" t="s">
        <v>1648</v>
      </c>
      <c r="AD66" s="2767"/>
    </row>
    <row r="67" spans="2:30" s="114" customFormat="1" ht="12.75" hidden="1" customHeight="1" outlineLevel="1">
      <c r="B67" s="2093"/>
      <c r="C67" s="2087"/>
      <c r="D67" s="2087" t="s">
        <v>409</v>
      </c>
      <c r="E67" s="2087"/>
      <c r="F67" s="147" t="s">
        <v>340</v>
      </c>
      <c r="G67" s="2087" t="s">
        <v>2186</v>
      </c>
      <c r="H67" s="147" t="s">
        <v>2185</v>
      </c>
      <c r="I67" s="2103" t="s">
        <v>444</v>
      </c>
      <c r="L67" s="2093" t="s">
        <v>316</v>
      </c>
      <c r="M67" s="2629" t="s">
        <v>530</v>
      </c>
      <c r="N67" s="2630"/>
      <c r="O67" s="2103" t="s">
        <v>444</v>
      </c>
      <c r="V67" s="2091" t="s">
        <v>444</v>
      </c>
      <c r="W67" s="2092"/>
      <c r="X67" s="2092"/>
      <c r="Y67" s="2092"/>
      <c r="Z67" s="2105" t="s">
        <v>444</v>
      </c>
      <c r="AA67" s="587"/>
      <c r="AC67" s="2086" t="s">
        <v>2167</v>
      </c>
      <c r="AD67" s="2104" t="s">
        <v>2187</v>
      </c>
    </row>
    <row r="68" spans="2:30" s="114" customFormat="1" ht="12.75" hidden="1" customHeight="1" outlineLevel="1">
      <c r="B68" s="2093"/>
      <c r="C68" s="2087"/>
      <c r="D68" s="2087" t="s">
        <v>444</v>
      </c>
      <c r="E68" s="2087"/>
      <c r="F68" s="2100" t="s">
        <v>419</v>
      </c>
      <c r="G68" s="2087" t="s">
        <v>531</v>
      </c>
      <c r="H68" s="2100" t="s">
        <v>419</v>
      </c>
      <c r="I68" s="2103"/>
      <c r="L68" s="2093" t="s">
        <v>1649</v>
      </c>
      <c r="M68" s="2646"/>
      <c r="N68" s="2647"/>
      <c r="O68" s="2103"/>
      <c r="V68" s="2088" t="s">
        <v>211</v>
      </c>
      <c r="W68" s="2089" t="s">
        <v>442</v>
      </c>
      <c r="X68" s="2089" t="s">
        <v>267</v>
      </c>
      <c r="Y68" s="2089" t="s">
        <v>443</v>
      </c>
      <c r="Z68" s="2090" t="s">
        <v>327</v>
      </c>
      <c r="AA68" s="589" t="s">
        <v>636</v>
      </c>
      <c r="AC68" s="2099"/>
      <c r="AD68" s="1130"/>
    </row>
    <row r="69" spans="2:30" s="114" customFormat="1" ht="12.75" hidden="1" customHeight="1" outlineLevel="1">
      <c r="B69" s="180" t="s">
        <v>2188</v>
      </c>
      <c r="C69" s="181"/>
      <c r="D69" s="212">
        <f>I69</f>
        <v>0</v>
      </c>
      <c r="E69" s="212"/>
      <c r="F69" s="117"/>
      <c r="G69" s="335">
        <f>VLOOKUP($B69&amp;"; "&amp;H69,'FE Intrants'!$G:$U,9,FALSE)</f>
        <v>2.4700000000000002</v>
      </c>
      <c r="H69" s="1205" t="str">
        <f>VLOOKUP(B69,'FE Intrants'!F:U,5,FALSE)</f>
        <v>kgCO2e/mL</v>
      </c>
      <c r="I69" s="152">
        <f>F69*G69</f>
        <v>0</v>
      </c>
      <c r="L69" s="319">
        <f>IF(O69=0,O69,O69/I69)</f>
        <v>0</v>
      </c>
      <c r="M69" s="1218"/>
      <c r="N69" s="820"/>
      <c r="O69" s="152">
        <f>F69*G69*AD69</f>
        <v>0</v>
      </c>
      <c r="V69" s="564">
        <f>D69</f>
        <v>0</v>
      </c>
      <c r="W69" s="565"/>
      <c r="X69" s="565"/>
      <c r="Y69" s="565"/>
      <c r="Z69" s="567">
        <f>SUM(R69:Y69)</f>
        <v>0</v>
      </c>
      <c r="AA69" s="590"/>
      <c r="AC69" s="2099">
        <f>IF($M69&lt;&gt;"votre valeur :",IF(ISNA(VLOOKUP($M69,Utilitaires!$N$566:$O$571,2,FALSE)),,VLOOKUP($M69,Utilitaires!$N$566:$O$571,2,FALSE)),$N69)</f>
        <v>0</v>
      </c>
      <c r="AD69" s="1130">
        <f>SQRT(SUMSQ(AC69,VLOOKUP(B69&amp;"; "&amp;H69,'FE Intrants'!G:U,7,FALSE)))</f>
        <v>0.1</v>
      </c>
    </row>
    <row r="70" spans="2:30" s="114" customFormat="1" ht="12.75" hidden="1" customHeight="1" outlineLevel="1">
      <c r="B70" s="180" t="s">
        <v>2189</v>
      </c>
      <c r="C70" s="181"/>
      <c r="D70" s="212">
        <f>I70</f>
        <v>0</v>
      </c>
      <c r="E70" s="212"/>
      <c r="F70" s="120"/>
      <c r="G70" s="335">
        <f>VLOOKUP($B70&amp;"; "&amp;H70,'FE Intrants'!$G:$U,9,FALSE)</f>
        <v>7.82</v>
      </c>
      <c r="H70" s="1206" t="str">
        <f>VLOOKUP(B70,'FE Intrants'!F:U,5,FALSE)</f>
        <v>kgCO2e/m² de paroi</v>
      </c>
      <c r="I70" s="152">
        <f>F70*G70</f>
        <v>0</v>
      </c>
      <c r="L70" s="319">
        <f>IF(O70=0,O70,O70/I70)</f>
        <v>0</v>
      </c>
      <c r="M70" s="1218"/>
      <c r="N70" s="820"/>
      <c r="O70" s="152">
        <f>F70*G70*AD70</f>
        <v>0</v>
      </c>
      <c r="V70" s="564">
        <f>D70</f>
        <v>0</v>
      </c>
      <c r="W70" s="565"/>
      <c r="X70" s="565"/>
      <c r="Y70" s="565"/>
      <c r="Z70" s="567">
        <f>SUM(R70:Y70)</f>
        <v>0</v>
      </c>
      <c r="AA70" s="590"/>
      <c r="AC70" s="2099">
        <f>IF($M70&lt;&gt;"votre valeur :",IF(ISNA(VLOOKUP($M70,Utilitaires!$N$566:$O$571,2,FALSE)),,VLOOKUP($M70,Utilitaires!$N$566:$O$571,2,FALSE)),$N70)</f>
        <v>0</v>
      </c>
      <c r="AD70" s="1130">
        <f>SQRT(SUMSQ(AC70,VLOOKUP(B70&amp;"; "&amp;H70,'FE Intrants'!G:U,7,FALSE)))</f>
        <v>0.1</v>
      </c>
    </row>
    <row r="71" spans="2:30" s="114" customFormat="1" ht="12.75" hidden="1" customHeight="1" outlineLevel="1">
      <c r="B71" s="180" t="s">
        <v>2190</v>
      </c>
      <c r="C71" s="181"/>
      <c r="D71" s="212">
        <f>I71</f>
        <v>0</v>
      </c>
      <c r="E71" s="212"/>
      <c r="F71" s="120"/>
      <c r="G71" s="335">
        <f>VLOOKUP($B71&amp;"; "&amp;H71,'FE Intrants'!$G:$U,9,FALSE)</f>
        <v>3.95</v>
      </c>
      <c r="H71" s="1206" t="str">
        <f>VLOOKUP(B71,'FE Intrants'!F:U,5,FALSE)</f>
        <v>kgCO2e/m²</v>
      </c>
      <c r="I71" s="152">
        <f>F71*G71</f>
        <v>0</v>
      </c>
      <c r="L71" s="319">
        <f>IF(O71=0,O71,O71/I71)</f>
        <v>0</v>
      </c>
      <c r="M71" s="1218"/>
      <c r="N71" s="820"/>
      <c r="O71" s="152">
        <f>F71*G71*AD71</f>
        <v>0</v>
      </c>
      <c r="V71" s="564">
        <f>D71</f>
        <v>0</v>
      </c>
      <c r="W71" s="565"/>
      <c r="X71" s="565"/>
      <c r="Y71" s="565"/>
      <c r="Z71" s="567">
        <f>SUM(R71:Y71)</f>
        <v>0</v>
      </c>
      <c r="AA71" s="590"/>
      <c r="AC71" s="2099">
        <f>IF($M71&lt;&gt;"votre valeur :",IF(ISNA(VLOOKUP($M71,Utilitaires!$N$566:$O$571,2,FALSE)),,VLOOKUP($M71,Utilitaires!$N$566:$O$571,2,FALSE)),$N71)</f>
        <v>0</v>
      </c>
      <c r="AD71" s="1130">
        <f>SQRT(SUMSQ(AC71,VLOOKUP(B71&amp;"; "&amp;H71,'FE Intrants'!G:U,7,FALSE)))</f>
        <v>0.1</v>
      </c>
    </row>
    <row r="72" spans="2:30" s="114" customFormat="1" ht="12.75" hidden="1" customHeight="1" outlineLevel="1">
      <c r="B72" s="180" t="s">
        <v>2191</v>
      </c>
      <c r="C72" s="181"/>
      <c r="D72" s="212">
        <f>I72</f>
        <v>0</v>
      </c>
      <c r="E72" s="212"/>
      <c r="F72" s="123"/>
      <c r="G72" s="335">
        <f>VLOOKUP($B72&amp;"; "&amp;H72,'FE Intrants'!$G:$U,9,FALSE)</f>
        <v>155</v>
      </c>
      <c r="H72" s="1207" t="str">
        <f>VLOOKUP(B72,'FE Intrants'!F:U,5,FALSE)</f>
        <v>kgCO2e/tonne</v>
      </c>
      <c r="I72" s="152">
        <f>F72*G72</f>
        <v>0</v>
      </c>
      <c r="L72" s="319">
        <f>IF(O72=0,O72,O72/I72)</f>
        <v>0</v>
      </c>
      <c r="M72" s="1218"/>
      <c r="N72" s="820"/>
      <c r="O72" s="152">
        <f>F72*G72*AD72</f>
        <v>0</v>
      </c>
      <c r="V72" s="564">
        <f>D72</f>
        <v>0</v>
      </c>
      <c r="W72" s="565"/>
      <c r="X72" s="565"/>
      <c r="Y72" s="565"/>
      <c r="Z72" s="567">
        <f>SUM(R72:Y72)</f>
        <v>0</v>
      </c>
      <c r="AA72" s="590"/>
      <c r="AC72" s="2099">
        <f>IF($M72&lt;&gt;"votre valeur :",IF(ISNA(VLOOKUP($M72,Utilitaires!$N$566:$O$571,2,FALSE)),,VLOOKUP($M72,Utilitaires!$N$566:$O$571,2,FALSE)),$N72)</f>
        <v>0</v>
      </c>
      <c r="AD72" s="1130">
        <f>SQRT(SUMSQ(AC72,VLOOKUP(B72&amp;"; "&amp;H72,'FE Intrants'!G:U,7,FALSE)))</f>
        <v>0.2</v>
      </c>
    </row>
    <row r="73" spans="2:30" s="114" customFormat="1" ht="12.75" hidden="1" customHeight="1" outlineLevel="1">
      <c r="B73" s="143"/>
      <c r="C73" s="144"/>
      <c r="D73" s="213"/>
      <c r="E73" s="213"/>
      <c r="F73" s="326"/>
      <c r="G73" s="326"/>
      <c r="H73" s="326"/>
      <c r="I73" s="152"/>
      <c r="L73" s="163"/>
      <c r="M73" s="144"/>
      <c r="N73" s="144"/>
      <c r="O73" s="152"/>
      <c r="V73" s="564"/>
      <c r="W73" s="565"/>
      <c r="X73" s="565"/>
      <c r="Y73" s="565"/>
      <c r="Z73" s="567"/>
      <c r="AA73" s="591"/>
      <c r="AC73" s="2085"/>
      <c r="AD73" s="1143"/>
    </row>
    <row r="74" spans="2:30" s="114" customFormat="1" ht="12.75" hidden="1" customHeight="1" outlineLevel="1">
      <c r="B74" s="196" t="s">
        <v>348</v>
      </c>
      <c r="C74" s="197"/>
      <c r="D74" s="214">
        <f>SUM(D69:D73)</f>
        <v>0</v>
      </c>
      <c r="E74" s="214"/>
      <c r="F74" s="199"/>
      <c r="G74" s="199"/>
      <c r="H74" s="199"/>
      <c r="I74" s="200">
        <f>SUM(I69:I73)</f>
        <v>0</v>
      </c>
      <c r="L74" s="1204">
        <f>IF(O74=0,O74,O74/I74)</f>
        <v>0</v>
      </c>
      <c r="M74" s="199"/>
      <c r="N74" s="199"/>
      <c r="O74" s="200">
        <f>SQRT(SUMSQ(O69:O73))</f>
        <v>0</v>
      </c>
      <c r="V74" s="571">
        <f t="shared" ref="V74" si="6">SUM(V69:V73)</f>
        <v>0</v>
      </c>
      <c r="W74" s="572">
        <f>SUM(W69:W73)</f>
        <v>0</v>
      </c>
      <c r="X74" s="572">
        <f>SUM(X69:X73)</f>
        <v>0</v>
      </c>
      <c r="Y74" s="572">
        <f>SUM(Y69:Y73)</f>
        <v>0</v>
      </c>
      <c r="Z74" s="574">
        <f>SUM(Z69:Z73)</f>
        <v>0</v>
      </c>
      <c r="AA74" s="592">
        <f>SUM(AA69:AA73)</f>
        <v>0</v>
      </c>
    </row>
    <row r="75" spans="2:30" s="114" customFormat="1" ht="12.75" hidden="1" customHeight="1" outlineLevel="1">
      <c r="V75" s="441"/>
      <c r="W75" s="441"/>
      <c r="X75" s="441"/>
      <c r="Y75" s="441"/>
      <c r="Z75" s="441"/>
      <c r="AA75" s="441"/>
    </row>
    <row r="76" spans="2:30" s="114" customFormat="1" ht="13.2" collapsed="1">
      <c r="V76" s="441"/>
      <c r="W76" s="441"/>
      <c r="X76" s="441"/>
      <c r="Y76" s="441"/>
      <c r="Z76" s="441"/>
      <c r="AA76" s="441"/>
    </row>
    <row r="77" spans="2:30" s="114" customFormat="1" ht="15.6" collapsed="1">
      <c r="B77" s="2763" t="s">
        <v>4081</v>
      </c>
      <c r="C77" s="2764"/>
      <c r="D77" s="2764"/>
      <c r="E77" s="2764"/>
      <c r="F77" s="2764"/>
      <c r="G77" s="2764"/>
      <c r="H77" s="2764"/>
      <c r="I77" s="2764"/>
      <c r="J77" s="2764"/>
      <c r="K77" s="2764"/>
      <c r="L77" s="2764"/>
      <c r="M77" s="2764"/>
      <c r="N77" s="2764"/>
      <c r="O77" s="2765"/>
      <c r="V77" s="441"/>
      <c r="W77" s="441"/>
      <c r="X77" s="441"/>
      <c r="Y77" s="441"/>
      <c r="Z77" s="441"/>
      <c r="AA77" s="441"/>
    </row>
    <row r="78" spans="2:30" s="114" customFormat="1" ht="12.75" hidden="1" customHeight="1" outlineLevel="1">
      <c r="V78" s="441"/>
      <c r="W78" s="441"/>
      <c r="X78" s="441"/>
      <c r="Y78" s="441"/>
      <c r="Z78" s="441"/>
      <c r="AA78" s="441"/>
    </row>
    <row r="79" spans="2:30" s="114" customFormat="1" ht="12.75" hidden="1" customHeight="1" outlineLevel="1">
      <c r="B79" s="139" t="s">
        <v>9</v>
      </c>
      <c r="C79" s="140"/>
      <c r="D79" s="2094"/>
      <c r="E79" s="2094"/>
      <c r="F79" s="141"/>
      <c r="G79" s="141"/>
      <c r="H79" s="141"/>
      <c r="I79" s="2265"/>
      <c r="J79" s="2265"/>
      <c r="K79" s="2265"/>
      <c r="L79" s="2265"/>
      <c r="M79" s="2265"/>
      <c r="N79" s="142"/>
      <c r="Q79" s="2636" t="s">
        <v>366</v>
      </c>
      <c r="R79" s="2637"/>
      <c r="S79" s="2637"/>
      <c r="T79" s="2638"/>
      <c r="V79" s="2639" t="s">
        <v>441</v>
      </c>
      <c r="W79" s="2640"/>
      <c r="X79" s="2640"/>
      <c r="Y79" s="2640"/>
      <c r="Z79" s="2640"/>
      <c r="AA79" s="2641"/>
    </row>
    <row r="80" spans="2:30" s="114" customFormat="1" ht="12.75" hidden="1" customHeight="1" outlineLevel="1">
      <c r="B80" s="332"/>
      <c r="C80" s="167"/>
      <c r="D80" s="2102" t="s">
        <v>308</v>
      </c>
      <c r="E80" s="2102"/>
      <c r="F80" s="155"/>
      <c r="G80" s="144"/>
      <c r="H80" s="144"/>
      <c r="I80" s="2319"/>
      <c r="J80" s="2319"/>
      <c r="K80" s="2319"/>
      <c r="L80" s="2319"/>
      <c r="M80" s="2319"/>
      <c r="N80" s="145"/>
      <c r="Q80" s="2316"/>
      <c r="R80" s="819"/>
      <c r="S80" s="827"/>
      <c r="T80" s="145"/>
      <c r="V80" s="2091"/>
      <c r="W80" s="2092"/>
      <c r="X80" s="2092"/>
      <c r="Y80" s="2092"/>
      <c r="Z80" s="2105"/>
      <c r="AA80" s="619"/>
      <c r="AC80" s="2766" t="s">
        <v>1648</v>
      </c>
      <c r="AD80" s="2767"/>
    </row>
    <row r="81" spans="2:30" s="114" customFormat="1" ht="12.75" hidden="1" customHeight="1" outlineLevel="1">
      <c r="B81" s="2093"/>
      <c r="C81" s="2087"/>
      <c r="D81" s="2087" t="s">
        <v>409</v>
      </c>
      <c r="E81" s="2087"/>
      <c r="F81" s="147" t="s">
        <v>340</v>
      </c>
      <c r="G81" s="2087" t="s">
        <v>2186</v>
      </c>
      <c r="H81" s="147" t="s">
        <v>2185</v>
      </c>
      <c r="I81" s="2317"/>
      <c r="J81" s="2317"/>
      <c r="K81" s="2317"/>
      <c r="L81" s="2317"/>
      <c r="M81" s="2317"/>
      <c r="N81" s="2103" t="s">
        <v>444</v>
      </c>
      <c r="Q81" s="2316" t="s">
        <v>316</v>
      </c>
      <c r="R81" s="2629" t="s">
        <v>530</v>
      </c>
      <c r="S81" s="2630"/>
      <c r="T81" s="2321" t="s">
        <v>444</v>
      </c>
      <c r="V81" s="2091" t="s">
        <v>444</v>
      </c>
      <c r="W81" s="2092"/>
      <c r="X81" s="2092"/>
      <c r="Y81" s="2092"/>
      <c r="Z81" s="2105" t="s">
        <v>444</v>
      </c>
      <c r="AA81" s="587"/>
      <c r="AC81" s="2086" t="s">
        <v>2167</v>
      </c>
      <c r="AD81" s="2104" t="s">
        <v>2187</v>
      </c>
    </row>
    <row r="82" spans="2:30" s="114" customFormat="1" ht="12.75" hidden="1" customHeight="1" outlineLevel="1">
      <c r="B82" s="2093"/>
      <c r="C82" s="2087"/>
      <c r="D82" s="2087" t="s">
        <v>444</v>
      </c>
      <c r="E82" s="2087"/>
      <c r="F82" s="2100" t="s">
        <v>419</v>
      </c>
      <c r="G82" s="2087" t="s">
        <v>531</v>
      </c>
      <c r="H82" s="2100" t="s">
        <v>419</v>
      </c>
      <c r="I82" s="2317"/>
      <c r="J82" s="2317"/>
      <c r="K82" s="2317"/>
      <c r="L82" s="2317"/>
      <c r="M82" s="2317"/>
      <c r="N82" s="2103"/>
      <c r="Q82" s="2316" t="s">
        <v>1649</v>
      </c>
      <c r="R82" s="2646"/>
      <c r="S82" s="2647"/>
      <c r="T82" s="2321"/>
      <c r="V82" s="2088" t="s">
        <v>211</v>
      </c>
      <c r="W82" s="2089" t="s">
        <v>442</v>
      </c>
      <c r="X82" s="2089" t="s">
        <v>267</v>
      </c>
      <c r="Y82" s="2089" t="s">
        <v>443</v>
      </c>
      <c r="Z82" s="2090" t="s">
        <v>327</v>
      </c>
      <c r="AA82" s="589" t="s">
        <v>636</v>
      </c>
      <c r="AC82" s="2099"/>
      <c r="AD82" s="1130"/>
    </row>
    <row r="83" spans="2:30" s="114" customFormat="1" ht="12.75" hidden="1" customHeight="1" outlineLevel="1">
      <c r="B83" s="143" t="s">
        <v>2194</v>
      </c>
      <c r="C83" s="144"/>
      <c r="D83" s="212">
        <f>N83</f>
        <v>0</v>
      </c>
      <c r="E83" s="212"/>
      <c r="F83" s="117"/>
      <c r="G83" s="219">
        <f>VLOOKUP($B83&amp;"; "&amp;H83,'FE Intrants'!$G:$U,9,FALSE)</f>
        <v>1200</v>
      </c>
      <c r="H83" s="1205" t="str">
        <f>VLOOKUP(B83,'FE Intrants'!F:U,5,FALSE)</f>
        <v>kgCO2e/tonne</v>
      </c>
      <c r="I83" s="212"/>
      <c r="J83" s="212"/>
      <c r="K83" s="212"/>
      <c r="L83" s="212"/>
      <c r="M83" s="212"/>
      <c r="N83" s="152">
        <f>F83*G83</f>
        <v>0</v>
      </c>
      <c r="Q83" s="319">
        <f>IF(T83=0,T83,T83/N83)</f>
        <v>0</v>
      </c>
      <c r="R83" s="1218"/>
      <c r="S83" s="820"/>
      <c r="T83" s="152">
        <f>F83*G83*AD83</f>
        <v>0</v>
      </c>
      <c r="V83" s="564">
        <f>IF($F83*VLOOKUP($B83&amp;"; "&amp;$H83,'FE Intrants'!$G:$U,10,FALSE)=0,N83,$F83*VLOOKUP($B83&amp;"; "&amp;$H83,'FE Intrants'!$G:$U,10,FALSE))</f>
        <v>0</v>
      </c>
      <c r="W83" s="565">
        <f>$F83*(VLOOKUP($B83&amp;"; "&amp;$H83,'FE Intrants'!$G:$U,11,FALSE)+VLOOKUP($B83&amp;"; "&amp;$H83,'FE Intrants'!$G:$U,12,FALSE))</f>
        <v>0</v>
      </c>
      <c r="X83" s="565">
        <f>$F83*VLOOKUP($B83&amp;"; "&amp;$H83,'FE Intrants'!$G:$U,13,FALSE)</f>
        <v>0</v>
      </c>
      <c r="Y83" s="565">
        <f>$F83*VLOOKUP($B83&amp;"; "&amp;$H83,'FE Intrants'!$G:$U,14,FALSE)</f>
        <v>0</v>
      </c>
      <c r="Z83" s="567">
        <f>SUM(U83:Y83)</f>
        <v>0</v>
      </c>
      <c r="AA83" s="590">
        <f>$F83*VLOOKUP($B83&amp;"; "&amp;$H83,'FE Intrants'!$G:$U,15,FALSE)</f>
        <v>0</v>
      </c>
      <c r="AC83" s="2099">
        <f>IF($R83&lt;&gt;"votre valeur :",IF(ISNA(VLOOKUP($R83,Utilitaires!$N$566:$O$571,2,FALSE)),,VLOOKUP($R83,Utilitaires!$N$566:$O$571,2,FALSE)),$S83)</f>
        <v>0</v>
      </c>
      <c r="AD83" s="1130">
        <f>SQRT(SUMSQ(AC83,VLOOKUP(B83&amp;"; "&amp;H83,'FE Intrants'!G:U,7,FALSE)))</f>
        <v>0.5</v>
      </c>
    </row>
    <row r="84" spans="2:30" s="114" customFormat="1" ht="12.75" hidden="1" customHeight="1" outlineLevel="1">
      <c r="B84" s="143" t="s">
        <v>2195</v>
      </c>
      <c r="C84" s="144"/>
      <c r="D84" s="212">
        <f>N84</f>
        <v>0</v>
      </c>
      <c r="E84" s="212"/>
      <c r="F84" s="120"/>
      <c r="G84" s="219">
        <f>VLOOKUP($B84&amp;"; "&amp;H84,'FE Intrants'!$G:$U,9,FALSE)</f>
        <v>148</v>
      </c>
      <c r="H84" s="1206" t="str">
        <f>VLOOKUP(B84,'FE Intrants'!F:U,5,FALSE)</f>
        <v>kgCO2e/tonne</v>
      </c>
      <c r="I84" s="212"/>
      <c r="J84" s="212"/>
      <c r="K84" s="212"/>
      <c r="L84" s="212"/>
      <c r="M84" s="212"/>
      <c r="N84" s="152">
        <f>F84*G84</f>
        <v>0</v>
      </c>
      <c r="Q84" s="319">
        <f>IF(T84=0,T84,T84/N84)</f>
        <v>0</v>
      </c>
      <c r="R84" s="1218"/>
      <c r="S84" s="820"/>
      <c r="T84" s="152">
        <f>F84*G84*AD84</f>
        <v>0</v>
      </c>
      <c r="V84" s="564">
        <f>IF($F84*VLOOKUP($B84&amp;"; "&amp;$H84,'FE Intrants'!$G:$U,10,FALSE)=0,N84,$F84*VLOOKUP($B84&amp;"; "&amp;$H84,'FE Intrants'!$G:$U,10,FALSE))</f>
        <v>0</v>
      </c>
      <c r="W84" s="565">
        <f>$F84*(VLOOKUP($B84&amp;"; "&amp;$H84,'FE Intrants'!$G:$U,11,FALSE)+VLOOKUP($B84&amp;"; "&amp;$H84,'FE Intrants'!$G:$U,12,FALSE))</f>
        <v>0</v>
      </c>
      <c r="X84" s="565">
        <f>$F84*VLOOKUP($B84&amp;"; "&amp;$H84,'FE Intrants'!$G:$U,13,FALSE)</f>
        <v>0</v>
      </c>
      <c r="Y84" s="565">
        <f>$F84*VLOOKUP($B84&amp;"; "&amp;$H84,'FE Intrants'!$G:$U,14,FALSE)</f>
        <v>0</v>
      </c>
      <c r="Z84" s="567">
        <f>SUM(U84:Y84)</f>
        <v>0</v>
      </c>
      <c r="AA84" s="590">
        <f>$F84*VLOOKUP($B84&amp;"; "&amp;$H84,'FE Intrants'!$G:$U,15,FALSE)</f>
        <v>0</v>
      </c>
      <c r="AC84" s="2099">
        <f>IF($R84&lt;&gt;"votre valeur :",IF(ISNA(VLOOKUP($R84,Utilitaires!$N$566:$O$571,2,FALSE)),,VLOOKUP($R84,Utilitaires!$N$566:$O$571,2,FALSE)),$S84)</f>
        <v>0</v>
      </c>
      <c r="AD84" s="1130">
        <f>SQRT(SUMSQ(AC84,VLOOKUP(B84&amp;"; "&amp;H84,'FE Intrants'!G:U,7,FALSE)))</f>
        <v>0.5</v>
      </c>
    </row>
    <row r="85" spans="2:30" s="114" customFormat="1" ht="12.75" hidden="1" customHeight="1" outlineLevel="1">
      <c r="B85" s="143" t="s">
        <v>2196</v>
      </c>
      <c r="C85" s="144"/>
      <c r="D85" s="212">
        <f>N85</f>
        <v>0</v>
      </c>
      <c r="E85" s="212"/>
      <c r="F85" s="120"/>
      <c r="G85" s="219">
        <f>VLOOKUP($B85&amp;"; "&amp;H85,'FE Intrants'!$G:$U,9,FALSE)</f>
        <v>2980</v>
      </c>
      <c r="H85" s="1206" t="str">
        <f>VLOOKUP(B85,'FE Intrants'!F:U,5,FALSE)</f>
        <v>kgCO2e/tonne de N</v>
      </c>
      <c r="I85" s="212"/>
      <c r="J85" s="212"/>
      <c r="K85" s="212"/>
      <c r="L85" s="212"/>
      <c r="M85" s="212"/>
      <c r="N85" s="152">
        <f>F85*G85</f>
        <v>0</v>
      </c>
      <c r="Q85" s="319">
        <f>IF(T85=0,T85,T85/N85)</f>
        <v>0</v>
      </c>
      <c r="R85" s="1218"/>
      <c r="S85" s="820"/>
      <c r="T85" s="152">
        <f>F85*G85*AD85</f>
        <v>0</v>
      </c>
      <c r="V85" s="564">
        <f>IF($F85*VLOOKUP($B85&amp;"; "&amp;$H85,'FE Intrants'!$G:$U,10,FALSE)=0,N85,$F85*VLOOKUP($B85&amp;"; "&amp;$H85,'FE Intrants'!$G:$U,10,FALSE))</f>
        <v>0</v>
      </c>
      <c r="W85" s="565">
        <f>$F85*(VLOOKUP($B85&amp;"; "&amp;$H85,'FE Intrants'!$G:$U,11,FALSE)+VLOOKUP($B85&amp;"; "&amp;$H85,'FE Intrants'!$G:$U,12,FALSE))</f>
        <v>0</v>
      </c>
      <c r="X85" s="565">
        <f>$F85*VLOOKUP($B85&amp;"; "&amp;$H85,'FE Intrants'!$G:$U,13,FALSE)</f>
        <v>0</v>
      </c>
      <c r="Y85" s="565">
        <f>$F85*VLOOKUP($B85&amp;"; "&amp;$H85,'FE Intrants'!$G:$U,14,FALSE)</f>
        <v>0</v>
      </c>
      <c r="Z85" s="567">
        <f>SUM(U85:Y85)</f>
        <v>0</v>
      </c>
      <c r="AA85" s="590">
        <f>$F85*VLOOKUP($B85&amp;"; "&amp;$H85,'FE Intrants'!$G:$U,15,FALSE)</f>
        <v>0</v>
      </c>
      <c r="AC85" s="2099">
        <f>IF($R85&lt;&gt;"votre valeur :",IF(ISNA(VLOOKUP($R85,Utilitaires!$N$566:$O$571,2,FALSE)),,VLOOKUP($R85,Utilitaires!$N$566:$O$571,2,FALSE)),$S85)</f>
        <v>0</v>
      </c>
      <c r="AD85" s="1130">
        <f>SQRT(SUMSQ(AC85,VLOOKUP(B85&amp;"; "&amp;H85,'FE Intrants'!G:U,7,FALSE)))</f>
        <v>0.3</v>
      </c>
    </row>
    <row r="86" spans="2:30" s="114" customFormat="1" ht="12.75" hidden="1" customHeight="1" outlineLevel="1">
      <c r="B86" s="143" t="s">
        <v>2197</v>
      </c>
      <c r="C86" s="144"/>
      <c r="D86" s="212">
        <f>N86</f>
        <v>0</v>
      </c>
      <c r="E86" s="212"/>
      <c r="F86" s="123"/>
      <c r="G86" s="219">
        <f>VLOOKUP($B86&amp;"; "&amp;H86,'FE Intrants'!$G:$U,9,FALSE)</f>
        <v>25.5</v>
      </c>
      <c r="H86" s="1207" t="str">
        <f>VLOOKUP(B86,'FE Intrants'!F:U,5,FALSE)</f>
        <v>kgCO2e/kg de matière active</v>
      </c>
      <c r="I86" s="212"/>
      <c r="J86" s="212"/>
      <c r="K86" s="212"/>
      <c r="L86" s="212"/>
      <c r="M86" s="212"/>
      <c r="N86" s="152">
        <f>F86*G86</f>
        <v>0</v>
      </c>
      <c r="Q86" s="319">
        <f>IF(T86=0,T86,T86/N86)</f>
        <v>0</v>
      </c>
      <c r="R86" s="1218"/>
      <c r="S86" s="820"/>
      <c r="T86" s="152">
        <f>F86*G86*AD86</f>
        <v>0</v>
      </c>
      <c r="V86" s="564">
        <f>IF($F86*VLOOKUP($B86&amp;"; "&amp;$H86,'FE Intrants'!$G:$U,10,FALSE)=0,N86,$F86*VLOOKUP($B86&amp;"; "&amp;$H86,'FE Intrants'!$G:$U,10,FALSE))</f>
        <v>0</v>
      </c>
      <c r="W86" s="565">
        <f>$F86*(VLOOKUP($B86&amp;"; "&amp;$H86,'FE Intrants'!$G:$U,11,FALSE)+VLOOKUP($B86&amp;"; "&amp;$H86,'FE Intrants'!$G:$U,12,FALSE))</f>
        <v>0</v>
      </c>
      <c r="X86" s="565">
        <f>$F86*VLOOKUP($B86&amp;"; "&amp;$H86,'FE Intrants'!$G:$U,13,FALSE)</f>
        <v>0</v>
      </c>
      <c r="Y86" s="565">
        <f>$F86*VLOOKUP($B86&amp;"; "&amp;$H86,'FE Intrants'!$G:$U,14,FALSE)</f>
        <v>0</v>
      </c>
      <c r="Z86" s="567">
        <f>SUM(U86:Y86)</f>
        <v>0</v>
      </c>
      <c r="AA86" s="590">
        <f>$F86*VLOOKUP($B86&amp;"; "&amp;$H86,'FE Intrants'!$G:$U,15,FALSE)</f>
        <v>0</v>
      </c>
      <c r="AC86" s="2099">
        <f>IF($R86&lt;&gt;"votre valeur :",IF(ISNA(VLOOKUP($R86,Utilitaires!$N$566:$O$571,2,FALSE)),,VLOOKUP($R86,Utilitaires!$N$566:$O$571,2,FALSE)),$S86)</f>
        <v>0</v>
      </c>
      <c r="AD86" s="1130">
        <f>SQRT(SUMSQ(AC86,VLOOKUP(B86&amp;"; "&amp;H86,'FE Intrants'!G:U,7,FALSE)))</f>
        <v>0.5</v>
      </c>
    </row>
    <row r="87" spans="2:30" s="114" customFormat="1" ht="12.75" hidden="1" customHeight="1" outlineLevel="1">
      <c r="B87" s="143"/>
      <c r="C87" s="144"/>
      <c r="D87" s="212"/>
      <c r="E87" s="212"/>
      <c r="F87" s="144"/>
      <c r="G87" s="219"/>
      <c r="H87" s="219"/>
      <c r="I87" s="212"/>
      <c r="J87" s="212"/>
      <c r="K87" s="212"/>
      <c r="L87" s="212"/>
      <c r="M87" s="212"/>
      <c r="N87" s="152"/>
      <c r="Q87" s="319"/>
      <c r="R87" s="820"/>
      <c r="S87" s="820"/>
      <c r="T87" s="152"/>
      <c r="V87" s="564"/>
      <c r="W87" s="565"/>
      <c r="X87" s="565"/>
      <c r="Y87" s="565"/>
      <c r="Z87" s="567"/>
      <c r="AA87" s="590"/>
      <c r="AC87" s="2318"/>
      <c r="AD87" s="1130"/>
    </row>
    <row r="88" spans="2:30" s="114" customFormat="1" ht="12.75" hidden="1" customHeight="1" outlineLevel="1">
      <c r="B88" s="332" t="s">
        <v>4098</v>
      </c>
      <c r="C88" s="144"/>
      <c r="D88" s="212"/>
      <c r="E88" s="212"/>
      <c r="F88" s="144"/>
      <c r="G88" s="219"/>
      <c r="H88" s="219"/>
      <c r="I88" s="212"/>
      <c r="J88" s="212"/>
      <c r="K88" s="212"/>
      <c r="L88" s="212"/>
      <c r="M88" s="212"/>
      <c r="N88" s="152"/>
      <c r="Q88" s="319"/>
      <c r="R88" s="2081"/>
      <c r="S88" s="820"/>
      <c r="T88" s="152"/>
      <c r="V88" s="564"/>
      <c r="W88" s="565"/>
      <c r="X88" s="565"/>
      <c r="Y88" s="565"/>
      <c r="Z88" s="567"/>
      <c r="AA88" s="590"/>
      <c r="AC88" s="2318"/>
      <c r="AD88" s="1130"/>
    </row>
    <row r="89" spans="2:30" s="114" customFormat="1" ht="12.75" hidden="1" customHeight="1" outlineLevel="1">
      <c r="B89" s="143"/>
      <c r="C89" s="144"/>
      <c r="D89" s="212"/>
      <c r="E89" s="212"/>
      <c r="F89" s="212"/>
      <c r="G89" s="219"/>
      <c r="H89" s="219"/>
      <c r="I89" s="2770"/>
      <c r="J89" s="2770"/>
      <c r="K89" s="2770"/>
      <c r="L89" s="2770"/>
      <c r="M89" s="212"/>
      <c r="N89" s="152"/>
      <c r="Q89" s="319"/>
      <c r="R89" s="2081"/>
      <c r="S89" s="820"/>
      <c r="T89" s="152"/>
      <c r="V89" s="564"/>
      <c r="W89" s="565"/>
      <c r="X89" s="565"/>
      <c r="Y89" s="565"/>
      <c r="Z89" s="567"/>
      <c r="AA89" s="590"/>
      <c r="AC89" s="2318"/>
      <c r="AD89" s="1130"/>
    </row>
    <row r="90" spans="2:30" s="114" customFormat="1" ht="12.75" hidden="1" customHeight="1" outlineLevel="1">
      <c r="B90" s="143" t="s">
        <v>4099</v>
      </c>
      <c r="C90" s="144"/>
      <c r="D90" s="212"/>
      <c r="E90" s="212"/>
      <c r="F90" s="212"/>
      <c r="G90" s="219"/>
      <c r="H90" s="219"/>
      <c r="I90" s="2322"/>
      <c r="J90" s="2769"/>
      <c r="K90" s="2769"/>
      <c r="L90" s="219"/>
      <c r="M90" s="212"/>
      <c r="N90" s="152"/>
      <c r="Q90" s="319"/>
      <c r="R90" s="2081"/>
      <c r="S90" s="820"/>
      <c r="T90" s="152"/>
      <c r="V90" s="564"/>
      <c r="W90" s="565"/>
      <c r="X90" s="565"/>
      <c r="Y90" s="565"/>
      <c r="Z90" s="567"/>
      <c r="AA90" s="590"/>
      <c r="AC90" s="2318"/>
      <c r="AD90" s="1130"/>
    </row>
    <row r="91" spans="2:30" s="114" customFormat="1" ht="12.75" hidden="1" customHeight="1" outlineLevel="1">
      <c r="B91" s="143" t="s">
        <v>4106</v>
      </c>
      <c r="C91" s="144"/>
      <c r="D91" s="212">
        <f t="shared" ref="D91:D102" si="7">N91</f>
        <v>0</v>
      </c>
      <c r="E91" s="212"/>
      <c r="F91" s="117"/>
      <c r="G91" s="335">
        <f>VLOOKUP($B91&amp;"; "&amp;H91,'FE Intrants'!$G:$U,9,FALSE)</f>
        <v>0.1</v>
      </c>
      <c r="H91" s="1211" t="str">
        <f>VLOOKUP(B91,'FE Intrants'!F:U,5,FALSE)</f>
        <v>kgCO2e/kgH2</v>
      </c>
      <c r="I91" s="212"/>
      <c r="J91" s="2320"/>
      <c r="K91" s="2320"/>
      <c r="L91" s="2320"/>
      <c r="M91" s="2320"/>
      <c r="N91" s="152">
        <f t="shared" ref="N91:N95" si="8">F91*G91</f>
        <v>0</v>
      </c>
      <c r="Q91" s="319">
        <f t="shared" ref="Q91:Q102" si="9">IF(T91=0,T91,T91/N91)</f>
        <v>0</v>
      </c>
      <c r="R91" s="1016"/>
      <c r="S91" s="820"/>
      <c r="T91" s="152">
        <f t="shared" ref="T91:T95" si="10">F91*G91*AD91</f>
        <v>0</v>
      </c>
      <c r="V91" s="564">
        <f>IF($F91*VLOOKUP($B91&amp;"; "&amp;$H91,'FE Intrants'!$G:$U,10,FALSE)=0,N91,$F91*VLOOKUP($B91&amp;"; "&amp;$H91,'FE Intrants'!$G:$U,10,FALSE))</f>
        <v>0</v>
      </c>
      <c r="W91" s="565">
        <f>$F91*(VLOOKUP($B91&amp;"; "&amp;$H91,'FE Intrants'!$G:$U,11,FALSE)+VLOOKUP($B91&amp;"; "&amp;$H91,'FE Intrants'!$G:$U,12,FALSE))</f>
        <v>0</v>
      </c>
      <c r="X91" s="565">
        <f>$F91*VLOOKUP($B91&amp;"; "&amp;$H91,'FE Intrants'!$G:$U,13,FALSE)</f>
        <v>0</v>
      </c>
      <c r="Y91" s="565">
        <f>$F91*VLOOKUP($B91&amp;"; "&amp;$H91,'FE Intrants'!$G:$U,14,FALSE)</f>
        <v>0</v>
      </c>
      <c r="Z91" s="567">
        <f t="shared" ref="Z91:Z102" si="11">SUM(U91:Y91)</f>
        <v>0</v>
      </c>
      <c r="AA91" s="590">
        <f>$F91*VLOOKUP($B91&amp;"; "&amp;$H91,'FE Intrants'!$G:$U,15,FALSE)</f>
        <v>0</v>
      </c>
      <c r="AC91" s="2318">
        <f>IF($R91&lt;&gt;"votre valeur :",IF(ISNA(VLOOKUP($R91,Utilitaires!$N$566:$O$571,2,FALSE)),,VLOOKUP($R91,Utilitaires!$N$566:$O$571,2,FALSE)),$S91)</f>
        <v>0</v>
      </c>
      <c r="AD91" s="1130">
        <f>SQRT(SUMSQ(AC91,VLOOKUP(B91&amp;"; "&amp;H91,'FE Intrants'!G:U,7,FALSE)))</f>
        <v>0.3</v>
      </c>
    </row>
    <row r="92" spans="2:30" s="114" customFormat="1" ht="12.75" hidden="1" customHeight="1" outlineLevel="1">
      <c r="B92" s="143" t="s">
        <v>4756</v>
      </c>
      <c r="C92" s="144"/>
      <c r="D92" s="212">
        <f t="shared" si="7"/>
        <v>0</v>
      </c>
      <c r="E92" s="212"/>
      <c r="F92" s="120"/>
      <c r="G92" s="335">
        <f>VLOOKUP($B92&amp;"; "&amp;H92,'FE Intrants'!$G:$U,9,FALSE)</f>
        <v>1.59</v>
      </c>
      <c r="H92" s="1212" t="str">
        <f>VLOOKUP(B92,'FE Intrants'!F:U,5,FALSE)</f>
        <v>kgCO2e/kgH2</v>
      </c>
      <c r="I92" s="212"/>
      <c r="J92" s="2320"/>
      <c r="K92" s="2320"/>
      <c r="L92" s="2320"/>
      <c r="M92" s="2320"/>
      <c r="N92" s="152">
        <f t="shared" si="8"/>
        <v>0</v>
      </c>
      <c r="Q92" s="319">
        <f t="shared" si="9"/>
        <v>0</v>
      </c>
      <c r="R92" s="1016"/>
      <c r="S92" s="820"/>
      <c r="T92" s="152">
        <f t="shared" si="10"/>
        <v>0</v>
      </c>
      <c r="V92" s="564">
        <f>IF($F92*VLOOKUP($B92&amp;"; "&amp;$H92,'FE Intrants'!$G:$U,10,FALSE)=0,N92,$F92*VLOOKUP($B92&amp;"; "&amp;$H92,'FE Intrants'!$G:$U,10,FALSE))</f>
        <v>0</v>
      </c>
      <c r="W92" s="565">
        <f>$F92*(VLOOKUP($B92&amp;"; "&amp;$H92,'FE Intrants'!$G:$U,11,FALSE)+VLOOKUP($B92&amp;"; "&amp;$H92,'FE Intrants'!$G:$U,12,FALSE))</f>
        <v>0</v>
      </c>
      <c r="X92" s="565">
        <f>$F92*VLOOKUP($B92&amp;"; "&amp;$H92,'FE Intrants'!$G:$U,13,FALSE)</f>
        <v>0</v>
      </c>
      <c r="Y92" s="565">
        <f>$F92*VLOOKUP($B92&amp;"; "&amp;$H92,'FE Intrants'!$G:$U,14,FALSE)</f>
        <v>0</v>
      </c>
      <c r="Z92" s="567">
        <f t="shared" si="11"/>
        <v>0</v>
      </c>
      <c r="AA92" s="590">
        <f>$F92*VLOOKUP($B92&amp;"; "&amp;$H92,'FE Intrants'!$G:$U,15,FALSE)</f>
        <v>0</v>
      </c>
      <c r="AC92" s="2318">
        <f>IF($R92&lt;&gt;"votre valeur :",IF(ISNA(VLOOKUP($R92,Utilitaires!$N$566:$O$571,2,FALSE)),,VLOOKUP($R92,Utilitaires!$N$566:$O$571,2,FALSE)),$S92)</f>
        <v>0</v>
      </c>
      <c r="AD92" s="1130">
        <f>SQRT(SUMSQ(AC92,VLOOKUP(B92&amp;"; "&amp;H92,'FE Intrants'!G:U,7,FALSE)))</f>
        <v>0.3</v>
      </c>
    </row>
    <row r="93" spans="2:30" s="114" customFormat="1" ht="12.75" hidden="1" customHeight="1" outlineLevel="1">
      <c r="B93" s="143" t="s">
        <v>4759</v>
      </c>
      <c r="C93" s="144"/>
      <c r="D93" s="212">
        <f t="shared" si="7"/>
        <v>0</v>
      </c>
      <c r="E93" s="212"/>
      <c r="F93" s="120"/>
      <c r="G93" s="335">
        <f>VLOOKUP($B93&amp;"; "&amp;H93,'FE Intrants'!$G:$U,9,FALSE)</f>
        <v>2.77</v>
      </c>
      <c r="H93" s="1212" t="str">
        <f>VLOOKUP(B93,'FE Intrants'!F:U,5,FALSE)</f>
        <v>kgCO2e/kgH2</v>
      </c>
      <c r="I93" s="212"/>
      <c r="J93" s="2320"/>
      <c r="K93" s="2320"/>
      <c r="L93" s="2320"/>
      <c r="M93" s="2320"/>
      <c r="N93" s="152">
        <f t="shared" si="8"/>
        <v>0</v>
      </c>
      <c r="Q93" s="319">
        <f t="shared" si="9"/>
        <v>0</v>
      </c>
      <c r="R93" s="1016"/>
      <c r="S93" s="820"/>
      <c r="T93" s="152">
        <f t="shared" si="10"/>
        <v>0</v>
      </c>
      <c r="V93" s="564">
        <f>IF($F93*VLOOKUP($B93&amp;"; "&amp;$H93,'FE Intrants'!$G:$U,10,FALSE)=0,N93,$F93*VLOOKUP($B93&amp;"; "&amp;$H93,'FE Intrants'!$G:$U,10,FALSE))</f>
        <v>0</v>
      </c>
      <c r="W93" s="565">
        <f>$F93*(VLOOKUP($B93&amp;"; "&amp;$H93,'FE Intrants'!$G:$U,11,FALSE)+VLOOKUP($B93&amp;"; "&amp;$H93,'FE Intrants'!$G:$U,12,FALSE))</f>
        <v>0</v>
      </c>
      <c r="X93" s="565">
        <f>$F93*VLOOKUP($B93&amp;"; "&amp;$H93,'FE Intrants'!$G:$U,13,FALSE)</f>
        <v>0</v>
      </c>
      <c r="Y93" s="565">
        <f>$F93*VLOOKUP($B93&amp;"; "&amp;$H93,'FE Intrants'!$G:$U,14,FALSE)</f>
        <v>0</v>
      </c>
      <c r="Z93" s="567">
        <f t="shared" si="11"/>
        <v>0</v>
      </c>
      <c r="AA93" s="590">
        <f>$F93*VLOOKUP($B93&amp;"; "&amp;$H93,'FE Intrants'!$G:$U,15,FALSE)</f>
        <v>0</v>
      </c>
      <c r="AC93" s="2318">
        <f>IF($R93&lt;&gt;"votre valeur :",IF(ISNA(VLOOKUP($R93,Utilitaires!$N$566:$O$571,2,FALSE)),,VLOOKUP($R93,Utilitaires!$N$566:$O$571,2,FALSE)),$S93)</f>
        <v>0</v>
      </c>
      <c r="AD93" s="1130">
        <f>SQRT(SUMSQ(AC93,VLOOKUP(B93&amp;"; "&amp;H93,'FE Intrants'!G:U,7,FALSE)))</f>
        <v>0.3</v>
      </c>
    </row>
    <row r="94" spans="2:30" s="114" customFormat="1" ht="12.75" hidden="1" customHeight="1" outlineLevel="1">
      <c r="B94" s="143" t="s">
        <v>4107</v>
      </c>
      <c r="C94" s="144"/>
      <c r="D94" s="212">
        <f t="shared" si="7"/>
        <v>0</v>
      </c>
      <c r="E94" s="212"/>
      <c r="F94" s="120"/>
      <c r="G94" s="335">
        <f>VLOOKUP($B94&amp;"; "&amp;H94,'FE Intrants'!$G:$U,9,FALSE)</f>
        <v>19.8</v>
      </c>
      <c r="H94" s="1212" t="str">
        <f>VLOOKUP(B94,'FE Intrants'!F:U,5,FALSE)</f>
        <v>kgCO2e/kgH2</v>
      </c>
      <c r="I94" s="212"/>
      <c r="J94" s="2320"/>
      <c r="K94" s="2320"/>
      <c r="L94" s="2320"/>
      <c r="M94" s="2320"/>
      <c r="N94" s="152">
        <f t="shared" si="8"/>
        <v>0</v>
      </c>
      <c r="Q94" s="319">
        <f t="shared" si="9"/>
        <v>0</v>
      </c>
      <c r="R94" s="1016"/>
      <c r="S94" s="820"/>
      <c r="T94" s="152">
        <f t="shared" si="10"/>
        <v>0</v>
      </c>
      <c r="V94" s="564">
        <f>IF($F94*VLOOKUP($B94&amp;"; "&amp;$H94,'FE Intrants'!$G:$U,10,FALSE)=0,N94,$F94*VLOOKUP($B94&amp;"; "&amp;$H94,'FE Intrants'!$G:$U,10,FALSE))</f>
        <v>0</v>
      </c>
      <c r="W94" s="565">
        <f>$F94*(VLOOKUP($B94&amp;"; "&amp;$H94,'FE Intrants'!$G:$U,11,FALSE)+VLOOKUP($B94&amp;"; "&amp;$H94,'FE Intrants'!$G:$U,12,FALSE))</f>
        <v>0</v>
      </c>
      <c r="X94" s="565">
        <f>$F94*VLOOKUP($B94&amp;"; "&amp;$H94,'FE Intrants'!$G:$U,13,FALSE)</f>
        <v>0</v>
      </c>
      <c r="Y94" s="565">
        <f>$F94*VLOOKUP($B94&amp;"; "&amp;$H94,'FE Intrants'!$G:$U,14,FALSE)</f>
        <v>0</v>
      </c>
      <c r="Z94" s="567">
        <f t="shared" si="11"/>
        <v>0</v>
      </c>
      <c r="AA94" s="590">
        <f>$F94*VLOOKUP($B94&amp;"; "&amp;$H94,'FE Intrants'!$G:$U,15,FALSE)</f>
        <v>0</v>
      </c>
      <c r="AC94" s="2318">
        <f>IF($R94&lt;&gt;"votre valeur :",IF(ISNA(VLOOKUP($R94,Utilitaires!$N$566:$O$571,2,FALSE)),,VLOOKUP($R94,Utilitaires!$N$566:$O$571,2,FALSE)),$S94)</f>
        <v>0</v>
      </c>
      <c r="AD94" s="1130">
        <f>SQRT(SUMSQ(AC94,VLOOKUP(B94&amp;"; "&amp;H94,'FE Intrants'!G:U,7,FALSE)))</f>
        <v>0.3</v>
      </c>
    </row>
    <row r="95" spans="2:30" s="114" customFormat="1" ht="12.75" hidden="1" customHeight="1" outlineLevel="1">
      <c r="B95" s="143" t="s">
        <v>4108</v>
      </c>
      <c r="C95" s="144"/>
      <c r="D95" s="212">
        <f t="shared" si="7"/>
        <v>0</v>
      </c>
      <c r="E95" s="212"/>
      <c r="F95" s="123"/>
      <c r="G95" s="335">
        <f>VLOOKUP($B95&amp;"; "&amp;H95,'FE Intrants'!$G:$U,9,FALSE)</f>
        <v>2.13</v>
      </c>
      <c r="H95" s="1213" t="str">
        <f>VLOOKUP(B95,'FE Intrants'!F:U,5,FALSE)</f>
        <v>kgCO2e/kgH2</v>
      </c>
      <c r="I95" s="212"/>
      <c r="J95" s="2320"/>
      <c r="K95" s="2320"/>
      <c r="L95" s="2320"/>
      <c r="M95" s="2320"/>
      <c r="N95" s="152">
        <f t="shared" si="8"/>
        <v>0</v>
      </c>
      <c r="Q95" s="319">
        <f t="shared" si="9"/>
        <v>0</v>
      </c>
      <c r="R95" s="1016"/>
      <c r="S95" s="820"/>
      <c r="T95" s="152">
        <f t="shared" si="10"/>
        <v>0</v>
      </c>
      <c r="V95" s="564">
        <f>IF($F95*VLOOKUP($B95&amp;"; "&amp;$H95,'FE Intrants'!$G:$U,10,FALSE)=0,N95,$F95*VLOOKUP($B95&amp;"; "&amp;$H95,'FE Intrants'!$G:$U,10,FALSE))</f>
        <v>0</v>
      </c>
      <c r="W95" s="565">
        <f>$F95*(VLOOKUP($B95&amp;"; "&amp;$H95,'FE Intrants'!$G:$U,11,FALSE)+VLOOKUP($B95&amp;"; "&amp;$H95,'FE Intrants'!$G:$U,12,FALSE))</f>
        <v>0</v>
      </c>
      <c r="X95" s="565">
        <f>$F95*VLOOKUP($B95&amp;"; "&amp;$H95,'FE Intrants'!$G:$U,13,FALSE)</f>
        <v>0</v>
      </c>
      <c r="Y95" s="565">
        <f>$F95*VLOOKUP($B95&amp;"; "&amp;$H95,'FE Intrants'!$G:$U,14,FALSE)</f>
        <v>0</v>
      </c>
      <c r="Z95" s="567">
        <f t="shared" si="11"/>
        <v>0</v>
      </c>
      <c r="AA95" s="590">
        <f>$F95*VLOOKUP($B95&amp;"; "&amp;$H95,'FE Intrants'!$G:$U,15,FALSE)</f>
        <v>0</v>
      </c>
      <c r="AC95" s="2318">
        <f>IF($R95&lt;&gt;"votre valeur :",IF(ISNA(VLOOKUP($R95,Utilitaires!$N$566:$O$571,2,FALSE)),,VLOOKUP($R95,Utilitaires!$N$566:$O$571,2,FALSE)),$S95)</f>
        <v>0</v>
      </c>
      <c r="AD95" s="1130">
        <f>SQRT(SUMSQ(AC95,VLOOKUP(B95&amp;"; "&amp;H95,'FE Intrants'!G:U,7,FALSE)))</f>
        <v>0.3</v>
      </c>
    </row>
    <row r="96" spans="2:30" s="114" customFormat="1" ht="12.75" hidden="1" customHeight="1" outlineLevel="1">
      <c r="B96" s="143"/>
      <c r="C96" s="144"/>
      <c r="D96" s="212"/>
      <c r="E96" s="212"/>
      <c r="F96" s="212"/>
      <c r="G96" s="219"/>
      <c r="H96" s="219"/>
      <c r="I96" s="2768" t="s">
        <v>4105</v>
      </c>
      <c r="J96" s="2768"/>
      <c r="K96" s="2768"/>
      <c r="L96" s="2768"/>
      <c r="M96" s="2768"/>
      <c r="N96" s="152"/>
      <c r="Q96" s="319"/>
      <c r="R96" s="820"/>
      <c r="S96" s="820"/>
      <c r="T96" s="152"/>
      <c r="V96" s="564"/>
      <c r="W96" s="565"/>
      <c r="X96" s="565"/>
      <c r="Y96" s="565"/>
      <c r="Z96" s="567"/>
      <c r="AA96" s="590"/>
      <c r="AC96" s="2318"/>
      <c r="AD96" s="1130"/>
    </row>
    <row r="97" spans="2:30" s="114" customFormat="1" ht="12.75" hidden="1" customHeight="1" outlineLevel="1">
      <c r="B97" s="2315" t="s">
        <v>4100</v>
      </c>
      <c r="C97" s="144"/>
      <c r="D97" s="212"/>
      <c r="E97" s="212"/>
      <c r="F97" s="212"/>
      <c r="G97" s="219"/>
      <c r="H97" s="219"/>
      <c r="I97" s="2324" t="s">
        <v>4091</v>
      </c>
      <c r="J97" s="2769" t="s">
        <v>4092</v>
      </c>
      <c r="K97" s="2769"/>
      <c r="L97" s="2323" t="s">
        <v>257</v>
      </c>
      <c r="M97" s="2319"/>
      <c r="N97" s="152"/>
      <c r="Q97" s="319"/>
      <c r="R97" s="820"/>
      <c r="S97" s="820"/>
      <c r="T97" s="152"/>
      <c r="V97" s="564"/>
      <c r="W97" s="565"/>
      <c r="X97" s="565"/>
      <c r="Y97" s="565"/>
      <c r="Z97" s="567"/>
      <c r="AA97" s="590"/>
      <c r="AC97" s="2318"/>
      <c r="AD97" s="1130"/>
    </row>
    <row r="98" spans="2:30" s="114" customFormat="1" ht="12.75" hidden="1" customHeight="1" outlineLevel="1">
      <c r="B98" s="143" t="s">
        <v>4757</v>
      </c>
      <c r="C98" s="144"/>
      <c r="D98" s="212">
        <f t="shared" si="7"/>
        <v>0</v>
      </c>
      <c r="E98" s="212"/>
      <c r="F98" s="117"/>
      <c r="G98" s="219"/>
      <c r="H98" s="1211" t="str">
        <f>VLOOKUP(B98,'FE Intrants'!F:U,5,FALSE)</f>
        <v>kgCO2e/kgH2</v>
      </c>
      <c r="I98" s="212">
        <f>VLOOKUP($B98&amp;"; "&amp;$H98&amp;", "&amp;$I$97,'FE Intrants'!$G:$U,9,FALSE)*$F98</f>
        <v>0</v>
      </c>
      <c r="J98" s="212">
        <f>IF(ISNA(VLOOKUP($B98&amp;"; "&amp;$H98&amp;", "&amp;$J$97,'FE Intrants'!$G:$U,9,FALSE)),0,VLOOKUP($B98&amp;"; "&amp;$H98&amp;", "&amp;$J$97,'FE Intrants'!$G:$U,9,FALSE)*$F98)</f>
        <v>0</v>
      </c>
      <c r="K98" s="212"/>
      <c r="L98" s="212">
        <f>IF(ISNA(VLOOKUP($B98&amp;"; "&amp;$H98&amp;", "&amp;$L$97,'FE Intrants'!$G:$U,9,FALSE)),0,VLOOKUP($B98&amp;"; "&amp;$H98&amp;", "&amp;$L$97,'FE Intrants'!$G:$U,9,FALSE)*$F98)</f>
        <v>0</v>
      </c>
      <c r="M98" s="167"/>
      <c r="N98" s="152">
        <f>SUM(I98:L98)</f>
        <v>0</v>
      </c>
      <c r="Q98" s="319">
        <f t="shared" si="9"/>
        <v>0</v>
      </c>
      <c r="R98" s="1016"/>
      <c r="S98" s="820"/>
      <c r="T98" s="152">
        <f>N98*AD98</f>
        <v>0</v>
      </c>
      <c r="V98" s="564">
        <f>IFERROR(F98*SUM((VLOOKUP($B98&amp;"; "&amp;$H98&amp;", "&amp;$I$97,'FE Intrants'!$G:$U,10,FALSE)),
VLOOKUP($B98&amp;"; "&amp;$H98&amp;", "&amp;$J$97,'FE Intrants'!$G:$U,10,FALSE),
VLOOKUP($B98&amp;"; "&amp;$H98&amp;", "&amp;$L$97,'FE Intrants'!$G:$U,10,FALSE)),
F98* VLOOKUP($B98&amp;"; "&amp;$H98&amp;", "&amp;$I$97,'FE Intrants'!$G:$U,10,FALSE))</f>
        <v>0</v>
      </c>
      <c r="W98" s="565">
        <f>IFERROR(F98*SUM((VLOOKUP(B98&amp;"; "&amp;H98&amp;", "&amp;I$97,'FE Intrants'!$G:$U,11,FALSE)+VLOOKUP(B98&amp;"; "&amp;H98&amp;", "&amp;I$97,'FE Intrants'!$G:$U,12,FALSE)),
(VLOOKUP(B98&amp;"; "&amp;H98&amp;", "&amp;J$97,'FE Intrants'!$G:$U,11,FALSE)+VLOOKUP(B98&amp;"; "&amp;H98&amp;", "&amp;J$97,'FE Intrants'!$G:$U,12,FALSE)),
(VLOOKUP(B98&amp;"; "&amp;H98&amp;", "&amp;L$97,'FE Intrants'!$G:$U,11,FALSE)+VLOOKUP(B98&amp;"; "&amp;H98&amp;", "&amp;L$97,'FE Intrants'!$G:$U,12,FALSE))),
F98*VLOOKUP(B98&amp;"; "&amp;H98&amp;", "&amp;I$97,'FE Intrants'!$G:$U,11,FALSE)+VLOOKUP(B98&amp;"; "&amp;H98&amp;", "&amp;I$97,'FE Intrants'!$G:$U,12,FALSE))</f>
        <v>0</v>
      </c>
      <c r="X98" s="565">
        <f>IFERROR(F98*SUM((VLOOKUP($B98&amp;"; "&amp;$H98&amp;", "&amp;$I$97,'FE Intrants'!$G:$U,13,FALSE)),
VLOOKUP($B98&amp;"; "&amp;$H98&amp;", "&amp;$J$97,'FE Intrants'!$G:$U,13,FALSE),
VLOOKUP($B98&amp;"; "&amp;$H98&amp;", "&amp;$L$97,'FE Intrants'!$G:$U,13,FALSE)),
F98* VLOOKUP($B98&amp;"; "&amp;$H98&amp;", "&amp;$I$97,'FE Intrants'!$G:$U,13,FALSE))</f>
        <v>0</v>
      </c>
      <c r="Y98" s="565">
        <f>IFERROR(F98*SUM((VLOOKUP($B98&amp;"; "&amp;$H98&amp;", "&amp;$I$97,'FE Intrants'!$G:$U,14,FALSE)),
VLOOKUP($B98&amp;"; "&amp;$H98&amp;", "&amp;$J$97,'FE Intrants'!$G:$U,14,FALSE),
VLOOKUP($B98&amp;"; "&amp;$H98&amp;", "&amp;$L$97,'FE Intrants'!$G:$U,14,FALSE)),
F98* VLOOKUP($B98&amp;"; "&amp;$H98&amp;", "&amp;$I$97,'FE Intrants'!$G:$U,14,FALSE))</f>
        <v>0</v>
      </c>
      <c r="Z98" s="567">
        <f t="shared" si="11"/>
        <v>0</v>
      </c>
      <c r="AA98" s="590">
        <f>IFERROR(F98*SUM((VLOOKUP($B98&amp;"; "&amp;$H98&amp;", "&amp;$I$97,'FE Intrants'!$G:$U,15,FALSE)),
VLOOKUP($B98&amp;"; "&amp;$H98&amp;", "&amp;$J$97,'FE Intrants'!$G:$U,15,FALSE),
VLOOKUP($B98&amp;"; "&amp;$H98&amp;", "&amp;$L$97,'FE Intrants'!$G:$U,15,FALSE)),
F98* VLOOKUP($B98&amp;"; "&amp;$H98&amp;", "&amp;$I$97,'FE Intrants'!$G:$U,15,FALSE))</f>
        <v>0</v>
      </c>
      <c r="AC98" s="2318">
        <f>IF($R98&lt;&gt;"votre valeur :",IF(ISNA(VLOOKUP($R98,Utilitaires!$N$566:$O$571,2,FALSE)),,VLOOKUP($R98,Utilitaires!$N$566:$O$571,2,FALSE)),$S98)</f>
        <v>0</v>
      </c>
      <c r="AD98" s="1130">
        <f>SQRT(SUMSQ(AC98,VLOOKUP($B98&amp;"; "&amp;$H98&amp;", "&amp;$I$97,'FE Intrants'!G:U,7,FALSE)))</f>
        <v>0.3</v>
      </c>
    </row>
    <row r="99" spans="2:30" s="114" customFormat="1" ht="12.75" hidden="1" customHeight="1" outlineLevel="1">
      <c r="B99" s="143" t="s">
        <v>4758</v>
      </c>
      <c r="C99" s="144"/>
      <c r="D99" s="212">
        <f t="shared" si="7"/>
        <v>0</v>
      </c>
      <c r="E99" s="212"/>
      <c r="F99" s="120"/>
      <c r="G99" s="219"/>
      <c r="H99" s="1212" t="str">
        <f>VLOOKUP(B99,'FE Intrants'!F:U,5,FALSE)</f>
        <v>kgCO2e/kgH2</v>
      </c>
      <c r="I99" s="212">
        <f>VLOOKUP($B99&amp;"; "&amp;$H99&amp;", "&amp;$I$97,'FE Intrants'!$G:$U,9,FALSE)*$F99</f>
        <v>0</v>
      </c>
      <c r="J99" s="212">
        <f>IF(ISNA(VLOOKUP($B99&amp;"; "&amp;$H99&amp;", "&amp;$J$97,'FE Intrants'!$G:$U,9,FALSE)),0,VLOOKUP($B99&amp;"; "&amp;$H99&amp;", "&amp;$J$97,'FE Intrants'!$G:$U,9,FALSE)*$F99)</f>
        <v>0</v>
      </c>
      <c r="K99" s="212"/>
      <c r="L99" s="212">
        <f>IF(ISNA(VLOOKUP($B99&amp;"; "&amp;$H99&amp;", "&amp;$L$97,'FE Intrants'!$G:$U,9,FALSE)),0,VLOOKUP($B99&amp;"; "&amp;$H99&amp;", "&amp;$L$97,'FE Intrants'!$G:$U,9,FALSE)*$F99)</f>
        <v>0</v>
      </c>
      <c r="M99" s="1662"/>
      <c r="N99" s="152">
        <f t="shared" ref="N99:N102" si="12">SUM(I99:L99)</f>
        <v>0</v>
      </c>
      <c r="Q99" s="319">
        <f t="shared" si="9"/>
        <v>0</v>
      </c>
      <c r="R99" s="1016"/>
      <c r="S99" s="820"/>
      <c r="T99" s="152">
        <f t="shared" ref="T99:T102" si="13">N99*AD99</f>
        <v>0</v>
      </c>
      <c r="V99" s="564">
        <f>IFERROR(F99*SUM((VLOOKUP($B99&amp;"; "&amp;$H99&amp;", "&amp;$I$97,'FE Intrants'!$G:$U,10,FALSE)),
VLOOKUP($B99&amp;"; "&amp;$H99&amp;", "&amp;$J$97,'FE Intrants'!$G:$U,10,FALSE),
VLOOKUP($B99&amp;"; "&amp;$H99&amp;", "&amp;$L$97,'FE Intrants'!$G:$U,10,FALSE)),
F99* VLOOKUP($B99&amp;"; "&amp;$H99&amp;", "&amp;$I$97,'FE Intrants'!$G:$U,10,FALSE))</f>
        <v>0</v>
      </c>
      <c r="W99" s="565">
        <f>IFERROR(F99*SUM((VLOOKUP(B99&amp;"; "&amp;H99&amp;", "&amp;I$97,'FE Intrants'!$G:$U,11,FALSE)+VLOOKUP(B99&amp;"; "&amp;H99&amp;", "&amp;I$97,'FE Intrants'!$G:$U,12,FALSE)),
(VLOOKUP(B99&amp;"; "&amp;H99&amp;", "&amp;J$97,'FE Intrants'!$G:$U,11,FALSE)+VLOOKUP(B99&amp;"; "&amp;H99&amp;", "&amp;J$97,'FE Intrants'!$G:$U,12,FALSE)),
(VLOOKUP(B99&amp;"; "&amp;H99&amp;", "&amp;L$97,'FE Intrants'!$G:$U,11,FALSE)+VLOOKUP(B99&amp;"; "&amp;H99&amp;", "&amp;L$97,'FE Intrants'!$G:$U,12,FALSE))),
F99*VLOOKUP(B99&amp;"; "&amp;H99&amp;", "&amp;I$97,'FE Intrants'!$G:$U,11,FALSE)+VLOOKUP(B99&amp;"; "&amp;H99&amp;", "&amp;I$97,'FE Intrants'!$G:$U,12,FALSE))</f>
        <v>0</v>
      </c>
      <c r="X99" s="565">
        <f>IFERROR(F99*SUM((VLOOKUP($B99&amp;"; "&amp;$H99&amp;", "&amp;$I$97,'FE Intrants'!$G:$U,13,FALSE)),
VLOOKUP($B99&amp;"; "&amp;$H99&amp;", "&amp;$J$97,'FE Intrants'!$G:$U,13,FALSE),
VLOOKUP($B99&amp;"; "&amp;$H99&amp;", "&amp;$L$97,'FE Intrants'!$G:$U,13,FALSE)),
F99* VLOOKUP($B99&amp;"; "&amp;$H99&amp;", "&amp;$I$97,'FE Intrants'!$G:$U,13,FALSE))</f>
        <v>0</v>
      </c>
      <c r="Y99" s="565">
        <f>IFERROR(F99*SUM((VLOOKUP($B99&amp;"; "&amp;$H99&amp;", "&amp;$I$97,'FE Intrants'!$G:$U,14,FALSE)),
VLOOKUP($B99&amp;"; "&amp;$H99&amp;", "&amp;$J$97,'FE Intrants'!$G:$U,14,FALSE),
VLOOKUP($B99&amp;"; "&amp;$H99&amp;", "&amp;$L$97,'FE Intrants'!$G:$U,14,FALSE)),
F99* VLOOKUP($B99&amp;"; "&amp;$H99&amp;", "&amp;$I$97,'FE Intrants'!$G:$U,14,FALSE))</f>
        <v>0</v>
      </c>
      <c r="Z99" s="567">
        <f t="shared" si="11"/>
        <v>0</v>
      </c>
      <c r="AA99" s="590">
        <f>IFERROR(F99*SUM((VLOOKUP($B99&amp;"; "&amp;$H99&amp;", "&amp;$I$97,'FE Intrants'!$G:$U,15,FALSE)),
VLOOKUP($B99&amp;"; "&amp;$H99&amp;", "&amp;$J$97,'FE Intrants'!$G:$U,15,FALSE),
VLOOKUP($B99&amp;"; "&amp;$H99&amp;", "&amp;$L$97,'FE Intrants'!$G:$U,15,FALSE)),
F99* VLOOKUP($B99&amp;"; "&amp;$H99&amp;", "&amp;$I$97,'FE Intrants'!$G:$U,15,FALSE))</f>
        <v>0</v>
      </c>
      <c r="AC99" s="2318">
        <f>IF($R99&lt;&gt;"votre valeur :",IF(ISNA(VLOOKUP($R99,Utilitaires!$N$566:$O$571,2,FALSE)),,VLOOKUP($R99,Utilitaires!$N$566:$O$571,2,FALSE)),$S99)</f>
        <v>0</v>
      </c>
      <c r="AD99" s="1130">
        <f>SQRT(SUMSQ(AC99,VLOOKUP($B99&amp;"; "&amp;$H99&amp;", "&amp;$I$97,'FE Intrants'!G:U,7,FALSE)))</f>
        <v>0.3</v>
      </c>
    </row>
    <row r="100" spans="2:30" s="114" customFormat="1" ht="12.75" hidden="1" customHeight="1" outlineLevel="1">
      <c r="B100" s="143" t="s">
        <v>4101</v>
      </c>
      <c r="C100" s="144"/>
      <c r="D100" s="212">
        <f t="shared" si="7"/>
        <v>0</v>
      </c>
      <c r="E100" s="212"/>
      <c r="F100" s="120"/>
      <c r="G100" s="219"/>
      <c r="H100" s="1212" t="str">
        <f>VLOOKUP(B100,'FE Intrants'!F:U,5,FALSE)</f>
        <v>kgCO2e/kgH2</v>
      </c>
      <c r="I100" s="212">
        <f>VLOOKUP($B100&amp;"; "&amp;$H100&amp;", "&amp;$I$97,'FE Intrants'!$G:$U,9,FALSE)*$F100</f>
        <v>0</v>
      </c>
      <c r="J100" s="212">
        <f>IF(ISNA(VLOOKUP($B100&amp;"; "&amp;$H100&amp;", "&amp;$J$97,'FE Intrants'!$G:$U,9,FALSE)),0,VLOOKUP($B100&amp;"; "&amp;$H100&amp;", "&amp;$J$97,'FE Intrants'!$G:$U,9,FALSE)*$F100)</f>
        <v>0</v>
      </c>
      <c r="K100" s="212"/>
      <c r="L100" s="212">
        <f>IF(ISNA(VLOOKUP($B100&amp;"; "&amp;$H100&amp;", "&amp;$L$97,'FE Intrants'!$G:$U,9,FALSE)),0,VLOOKUP($B100&amp;"; "&amp;$H100&amp;", "&amp;$L$97,'FE Intrants'!$G:$U,9,FALSE)*$F100)</f>
        <v>0</v>
      </c>
      <c r="M100" s="1662"/>
      <c r="N100" s="152">
        <f t="shared" si="12"/>
        <v>0</v>
      </c>
      <c r="Q100" s="319">
        <f t="shared" si="9"/>
        <v>0</v>
      </c>
      <c r="R100" s="1016"/>
      <c r="S100" s="820"/>
      <c r="T100" s="152">
        <f t="shared" si="13"/>
        <v>0</v>
      </c>
      <c r="V100" s="564">
        <f>IFERROR(F100*SUM((VLOOKUP($B100&amp;"; "&amp;$H100&amp;", "&amp;$I$97,'FE Intrants'!$G:$U,10,FALSE)),
VLOOKUP($B100&amp;"; "&amp;$H100&amp;", "&amp;$J$97,'FE Intrants'!$G:$U,10,FALSE),
VLOOKUP($B100&amp;"; "&amp;$H100&amp;", "&amp;$L$97,'FE Intrants'!$G:$U,10,FALSE)),
F100* VLOOKUP($B100&amp;"; "&amp;$H100&amp;", "&amp;$I$97,'FE Intrants'!$G:$U,10,FALSE))</f>
        <v>0</v>
      </c>
      <c r="W100" s="565">
        <f>IFERROR(F100*SUM((VLOOKUP(B100&amp;"; "&amp;H100&amp;", "&amp;I$97,'FE Intrants'!$G:$U,11,FALSE)+VLOOKUP(B100&amp;"; "&amp;H100&amp;", "&amp;I$97,'FE Intrants'!$G:$U,12,FALSE)),
(VLOOKUP(B100&amp;"; "&amp;H100&amp;", "&amp;J$97,'FE Intrants'!$G:$U,11,FALSE)+VLOOKUP(B100&amp;"; "&amp;H100&amp;", "&amp;J$97,'FE Intrants'!$G:$U,12,FALSE)),
(VLOOKUP(B100&amp;"; "&amp;H100&amp;", "&amp;L$97,'FE Intrants'!$G:$U,11,FALSE)+VLOOKUP(B100&amp;"; "&amp;H100&amp;", "&amp;L$97,'FE Intrants'!$G:$U,12,FALSE))),
F100*VLOOKUP(B100&amp;"; "&amp;H100&amp;", "&amp;I$97,'FE Intrants'!$G:$U,11,FALSE)+VLOOKUP(B100&amp;"; "&amp;H100&amp;", "&amp;I$97,'FE Intrants'!$G:$U,12,FALSE))</f>
        <v>0</v>
      </c>
      <c r="X100" s="565">
        <f>IFERROR(F100*SUM((VLOOKUP($B100&amp;"; "&amp;$H100&amp;", "&amp;$I$97,'FE Intrants'!$G:$U,13,FALSE)),
VLOOKUP($B100&amp;"; "&amp;$H100&amp;", "&amp;$J$97,'FE Intrants'!$G:$U,13,FALSE),
VLOOKUP($B100&amp;"; "&amp;$H100&amp;", "&amp;$L$97,'FE Intrants'!$G:$U,13,FALSE)),
F100* VLOOKUP($B100&amp;"; "&amp;$H100&amp;", "&amp;$I$97,'FE Intrants'!$G:$U,13,FALSE))</f>
        <v>0</v>
      </c>
      <c r="Y100" s="565">
        <f>IFERROR(F100*SUM((VLOOKUP($B100&amp;"; "&amp;$H100&amp;", "&amp;$I$97,'FE Intrants'!$G:$U,14,FALSE)),
VLOOKUP($B100&amp;"; "&amp;$H100&amp;", "&amp;$J$97,'FE Intrants'!$G:$U,14,FALSE),
VLOOKUP($B100&amp;"; "&amp;$H100&amp;", "&amp;$L$97,'FE Intrants'!$G:$U,14,FALSE)),
F100* VLOOKUP($B100&amp;"; "&amp;$H100&amp;", "&amp;$I$97,'FE Intrants'!$G:$U,14,FALSE))</f>
        <v>0</v>
      </c>
      <c r="Z100" s="567">
        <f t="shared" si="11"/>
        <v>0</v>
      </c>
      <c r="AA100" s="590">
        <f>IFERROR(F100*SUM((VLOOKUP($B100&amp;"; "&amp;$H100&amp;", "&amp;$I$97,'FE Intrants'!$G:$U,15,FALSE)),
VLOOKUP($B100&amp;"; "&amp;$H100&amp;", "&amp;$J$97,'FE Intrants'!$G:$U,15,FALSE),
VLOOKUP($B100&amp;"; "&amp;$H100&amp;", "&amp;$L$97,'FE Intrants'!$G:$U,15,FALSE)),
F100* VLOOKUP($B100&amp;"; "&amp;$H100&amp;", "&amp;$I$97,'FE Intrants'!$G:$U,15,FALSE))</f>
        <v>0</v>
      </c>
      <c r="AC100" s="2318">
        <f>IF($R100&lt;&gt;"votre valeur :",IF(ISNA(VLOOKUP($R100,Utilitaires!$N$566:$O$571,2,FALSE)),,VLOOKUP($R100,Utilitaires!$N$566:$O$571,2,FALSE)),$S100)</f>
        <v>0</v>
      </c>
      <c r="AD100" s="1130">
        <f>SQRT(SUMSQ(AC100,VLOOKUP($B100&amp;"; "&amp;$H100&amp;", "&amp;$I$97,'FE Intrants'!G:U,7,FALSE)))</f>
        <v>0.3</v>
      </c>
    </row>
    <row r="101" spans="2:30" s="114" customFormat="1" ht="12.75" hidden="1" customHeight="1" outlineLevel="1">
      <c r="B101" s="143" t="s">
        <v>4102</v>
      </c>
      <c r="C101" s="144"/>
      <c r="D101" s="212">
        <f t="shared" si="7"/>
        <v>0</v>
      </c>
      <c r="E101" s="212"/>
      <c r="F101" s="120"/>
      <c r="G101" s="219"/>
      <c r="H101" s="1212" t="str">
        <f>VLOOKUP(B101,'FE Intrants'!F:U,5,FALSE)</f>
        <v>kgCO2e/kgH2</v>
      </c>
      <c r="I101" s="212">
        <f>VLOOKUP($B101&amp;"; "&amp;$H101&amp;", "&amp;$I$97,'FE Intrants'!$G:$U,9,FALSE)*$F101</f>
        <v>0</v>
      </c>
      <c r="J101" s="212">
        <f>IF(ISNA(VLOOKUP($B101&amp;"; "&amp;$H101&amp;", "&amp;$J$97,'FE Intrants'!$G:$U,9,FALSE)),0,VLOOKUP($B101&amp;"; "&amp;$H101&amp;", "&amp;$J$97,'FE Intrants'!$G:$U,9,FALSE)*$F101)</f>
        <v>0</v>
      </c>
      <c r="K101" s="212"/>
      <c r="L101" s="212">
        <f>IF(ISNA(VLOOKUP($B101&amp;"; "&amp;$H101&amp;", "&amp;$L$97,'FE Intrants'!$G:$U,9,FALSE)),0,VLOOKUP($B101&amp;"; "&amp;$H101&amp;", "&amp;$L$97,'FE Intrants'!$G:$U,9,FALSE)*$F101)</f>
        <v>0</v>
      </c>
      <c r="M101" s="212"/>
      <c r="N101" s="152">
        <f t="shared" si="12"/>
        <v>0</v>
      </c>
      <c r="Q101" s="319">
        <f t="shared" si="9"/>
        <v>0</v>
      </c>
      <c r="R101" s="1016"/>
      <c r="S101" s="820"/>
      <c r="T101" s="152">
        <f t="shared" si="13"/>
        <v>0</v>
      </c>
      <c r="V101" s="564">
        <f>IFERROR(F101*SUM((VLOOKUP($B101&amp;"; "&amp;$H101&amp;", "&amp;$I$97,'FE Intrants'!$G:$U,10,FALSE)),
VLOOKUP($B101&amp;"; "&amp;$H101&amp;", "&amp;$J$97,'FE Intrants'!$G:$U,10,FALSE),
VLOOKUP($B101&amp;"; "&amp;$H101&amp;", "&amp;$L$97,'FE Intrants'!$G:$U,10,FALSE)),
F101* VLOOKUP($B101&amp;"; "&amp;$H101&amp;", "&amp;$I$97,'FE Intrants'!$G:$U,10,FALSE))</f>
        <v>0</v>
      </c>
      <c r="W101" s="565">
        <f>IFERROR(F101*SUM((VLOOKUP(B101&amp;"; "&amp;H101&amp;", "&amp;I$97,'FE Intrants'!$G:$U,11,FALSE)+VLOOKUP(B101&amp;"; "&amp;H101&amp;", "&amp;I$97,'FE Intrants'!$G:$U,12,FALSE)),
(VLOOKUP(B101&amp;"; "&amp;H101&amp;", "&amp;J$97,'FE Intrants'!$G:$U,11,FALSE)+VLOOKUP(B101&amp;"; "&amp;H101&amp;", "&amp;J$97,'FE Intrants'!$G:$U,12,FALSE)),
(VLOOKUP(B101&amp;"; "&amp;H101&amp;", "&amp;L$97,'FE Intrants'!$G:$U,11,FALSE)+VLOOKUP(B101&amp;"; "&amp;H101&amp;", "&amp;L$97,'FE Intrants'!$G:$U,12,FALSE))),
F101*VLOOKUP(B101&amp;"; "&amp;H101&amp;", "&amp;I$97,'FE Intrants'!$G:$U,11,FALSE)+VLOOKUP(B101&amp;"; "&amp;H101&amp;", "&amp;I$97,'FE Intrants'!$G:$U,12,FALSE))</f>
        <v>0</v>
      </c>
      <c r="X101" s="565">
        <f>IFERROR(F101*SUM((VLOOKUP($B101&amp;"; "&amp;$H101&amp;", "&amp;$I$97,'FE Intrants'!$G:$U,13,FALSE)),
VLOOKUP($B101&amp;"; "&amp;$H101&amp;", "&amp;$J$97,'FE Intrants'!$G:$U,13,FALSE),
VLOOKUP($B101&amp;"; "&amp;$H101&amp;", "&amp;$L$97,'FE Intrants'!$G:$U,13,FALSE)),
F101* VLOOKUP($B101&amp;"; "&amp;$H101&amp;", "&amp;$I$97,'FE Intrants'!$G:$U,13,FALSE))</f>
        <v>0</v>
      </c>
      <c r="Y101" s="565">
        <f>IFERROR(F101*SUM((VLOOKUP($B101&amp;"; "&amp;$H101&amp;", "&amp;$I$97,'FE Intrants'!$G:$U,14,FALSE)),
VLOOKUP($B101&amp;"; "&amp;$H101&amp;", "&amp;$J$97,'FE Intrants'!$G:$U,14,FALSE),
VLOOKUP($B101&amp;"; "&amp;$H101&amp;", "&amp;$L$97,'FE Intrants'!$G:$U,14,FALSE)),
F101* VLOOKUP($B101&amp;"; "&amp;$H101&amp;", "&amp;$I$97,'FE Intrants'!$G:$U,14,FALSE))</f>
        <v>0</v>
      </c>
      <c r="Z101" s="567">
        <f t="shared" si="11"/>
        <v>0</v>
      </c>
      <c r="AA101" s="590">
        <f>IFERROR(F101*SUM((VLOOKUP($B101&amp;"; "&amp;$H101&amp;", "&amp;$I$97,'FE Intrants'!$G:$U,15,FALSE)),
VLOOKUP($B101&amp;"; "&amp;$H101&amp;", "&amp;$J$97,'FE Intrants'!$G:$U,15,FALSE),
VLOOKUP($B101&amp;"; "&amp;$H101&amp;", "&amp;$L$97,'FE Intrants'!$G:$U,15,FALSE)),
F101* VLOOKUP($B101&amp;"; "&amp;$H101&amp;", "&amp;$I$97,'FE Intrants'!$G:$U,15,FALSE))</f>
        <v>0</v>
      </c>
      <c r="AC101" s="2318">
        <f>IF($R101&lt;&gt;"votre valeur :",IF(ISNA(VLOOKUP($R101,Utilitaires!$N$566:$O$571,2,FALSE)),,VLOOKUP($R101,Utilitaires!$N$566:$O$571,2,FALSE)),$S101)</f>
        <v>0</v>
      </c>
      <c r="AD101" s="1130">
        <f>SQRT(SUMSQ(AC101,VLOOKUP($B101&amp;"; "&amp;$H101&amp;", "&amp;$I$97,'FE Intrants'!G:U,7,FALSE)))</f>
        <v>0.3</v>
      </c>
    </row>
    <row r="102" spans="2:30" s="114" customFormat="1" ht="12.75" hidden="1" customHeight="1" outlineLevel="1">
      <c r="B102" s="143" t="s">
        <v>4103</v>
      </c>
      <c r="C102" s="144"/>
      <c r="D102" s="212">
        <f t="shared" si="7"/>
        <v>0</v>
      </c>
      <c r="E102" s="212"/>
      <c r="F102" s="123"/>
      <c r="G102" s="219"/>
      <c r="H102" s="1213" t="str">
        <f>VLOOKUP(B102,'FE Intrants'!F:U,5,FALSE)</f>
        <v>kgCO2/kgH2/100km</v>
      </c>
      <c r="I102" s="212">
        <f>VLOOKUP($B102&amp;"; "&amp;$H102&amp;", "&amp;$I$97,'FE Intrants'!$G:$U,9,FALSE)*$F102</f>
        <v>0</v>
      </c>
      <c r="J102" s="212">
        <f>IF(ISNA(VLOOKUP($B102&amp;"; "&amp;$H102&amp;", "&amp;$J$97,'FE Intrants'!$G:$U,9,FALSE)),0,VLOOKUP($B102&amp;"; "&amp;$H102&amp;", "&amp;$J$97,'FE Intrants'!$G:$U,9,FALSE)*$F102)</f>
        <v>0</v>
      </c>
      <c r="K102" s="212"/>
      <c r="L102" s="212">
        <f>IF(ISNA(VLOOKUP($B102&amp;"; "&amp;$H102&amp;", "&amp;$L$97,'FE Intrants'!$G:$U,9,FALSE)),0,VLOOKUP($B102&amp;"; "&amp;$H102&amp;", "&amp;$L$97,'FE Intrants'!$G:$U,9,FALSE)*$F102)</f>
        <v>0</v>
      </c>
      <c r="M102" s="212"/>
      <c r="N102" s="152">
        <f t="shared" si="12"/>
        <v>0</v>
      </c>
      <c r="Q102" s="319">
        <f t="shared" si="9"/>
        <v>0</v>
      </c>
      <c r="R102" s="1016"/>
      <c r="S102" s="820"/>
      <c r="T102" s="152">
        <f t="shared" si="13"/>
        <v>0</v>
      </c>
      <c r="V102" s="564">
        <f>IFERROR(F102*SUM((VLOOKUP($B102&amp;"; "&amp;$H102&amp;", "&amp;$I$97,'FE Intrants'!$G:$U,10,FALSE)),
VLOOKUP($B102&amp;"; "&amp;$H102&amp;", "&amp;$J$97,'FE Intrants'!$G:$U,10,FALSE),
VLOOKUP($B102&amp;"; "&amp;$H102&amp;", "&amp;$L$97,'FE Intrants'!$G:$U,10,FALSE)),
F102* VLOOKUP($B102&amp;"; "&amp;$H102&amp;", "&amp;$I$97,'FE Intrants'!$G:$U,10,FALSE))</f>
        <v>0</v>
      </c>
      <c r="W102" s="565">
        <f>IFERROR(F102*SUM((VLOOKUP(B102&amp;"; "&amp;H102&amp;", "&amp;I$97,'FE Intrants'!$G:$U,11,FALSE)+VLOOKUP(B102&amp;"; "&amp;H102&amp;", "&amp;I$97,'FE Intrants'!$G:$U,12,FALSE)),
(VLOOKUP(B102&amp;"; "&amp;H102&amp;", "&amp;J$97,'FE Intrants'!$G:$U,11,FALSE)+VLOOKUP(B102&amp;"; "&amp;H102&amp;", "&amp;J$97,'FE Intrants'!$G:$U,12,FALSE)),
(VLOOKUP(B102&amp;"; "&amp;H102&amp;", "&amp;L$97,'FE Intrants'!$G:$U,11,FALSE)+VLOOKUP(B102&amp;"; "&amp;H102&amp;", "&amp;L$97,'FE Intrants'!$G:$U,12,FALSE))),
F102*VLOOKUP(B102&amp;"; "&amp;H102&amp;", "&amp;I$97,'FE Intrants'!$G:$U,11,FALSE)+VLOOKUP(B102&amp;"; "&amp;H102&amp;", "&amp;I$97,'FE Intrants'!$G:$U,12,FALSE))</f>
        <v>0</v>
      </c>
      <c r="X102" s="565">
        <f>IFERROR(F102*SUM((VLOOKUP($B102&amp;"; "&amp;$H102&amp;", "&amp;$I$97,'FE Intrants'!$G:$U,13,FALSE)),
VLOOKUP($B102&amp;"; "&amp;$H102&amp;", "&amp;$J$97,'FE Intrants'!$G:$U,13,FALSE),
VLOOKUP($B102&amp;"; "&amp;$H102&amp;", "&amp;$L$97,'FE Intrants'!$G:$U,13,FALSE)),
F102* VLOOKUP($B102&amp;"; "&amp;$H102&amp;", "&amp;$I$97,'FE Intrants'!$G:$U,13,FALSE))</f>
        <v>0</v>
      </c>
      <c r="Y102" s="565">
        <f>IFERROR(F102*SUM((VLOOKUP($B102&amp;"; "&amp;$H102&amp;", "&amp;$I$97,'FE Intrants'!$G:$U,14,FALSE)),
VLOOKUP($B102&amp;"; "&amp;$H102&amp;", "&amp;$J$97,'FE Intrants'!$G:$U,14,FALSE),
VLOOKUP($B102&amp;"; "&amp;$H102&amp;", "&amp;$L$97,'FE Intrants'!$G:$U,14,FALSE)),
F102* VLOOKUP($B102&amp;"; "&amp;$H102&amp;", "&amp;$I$97,'FE Intrants'!$G:$U,14,FALSE))</f>
        <v>0</v>
      </c>
      <c r="Z102" s="567">
        <f t="shared" si="11"/>
        <v>0</v>
      </c>
      <c r="AA102" s="590">
        <f>IFERROR(F102*SUM((VLOOKUP($B102&amp;"; "&amp;$H102&amp;", "&amp;$I$97,'FE Intrants'!$G:$U,15,FALSE)),
VLOOKUP($B102&amp;"; "&amp;$H102&amp;", "&amp;$J$97,'FE Intrants'!$G:$U,15,FALSE),
VLOOKUP($B102&amp;"; "&amp;$H102&amp;", "&amp;$L$97,'FE Intrants'!$G:$U,15,FALSE)),
F102* VLOOKUP($B102&amp;"; "&amp;$H102&amp;", "&amp;$I$97,'FE Intrants'!$G:$U,15,FALSE))</f>
        <v>0</v>
      </c>
      <c r="AC102" s="2318">
        <f>IF($R102&lt;&gt;"votre valeur :",IF(ISNA(VLOOKUP($R102,Utilitaires!$N$566:$O$571,2,FALSE)),,VLOOKUP($R102,Utilitaires!$N$566:$O$571,2,FALSE)),$S102)</f>
        <v>0</v>
      </c>
      <c r="AD102" s="1130">
        <f>SQRT(SUMSQ(AC102,VLOOKUP($B102&amp;"; "&amp;$H102&amp;", "&amp;$I$97,'FE Intrants'!G:U,7,FALSE)))</f>
        <v>0.3</v>
      </c>
    </row>
    <row r="103" spans="2:30" s="114" customFormat="1" ht="12.75" hidden="1" customHeight="1" outlineLevel="1">
      <c r="B103" s="143"/>
      <c r="C103" s="144"/>
      <c r="D103" s="212"/>
      <c r="E103" s="213"/>
      <c r="F103" s="144"/>
      <c r="G103" s="144"/>
      <c r="H103" s="144"/>
      <c r="I103" s="212"/>
      <c r="J103" s="212"/>
      <c r="K103" s="212"/>
      <c r="L103" s="212"/>
      <c r="M103" s="212"/>
      <c r="N103" s="145"/>
      <c r="Q103" s="163"/>
      <c r="R103" s="144"/>
      <c r="S103" s="144"/>
      <c r="T103" s="152"/>
      <c r="V103" s="564"/>
      <c r="W103" s="565"/>
      <c r="X103" s="565"/>
      <c r="Y103" s="565"/>
      <c r="Z103" s="567"/>
      <c r="AA103" s="591"/>
      <c r="AC103" s="2085"/>
      <c r="AD103" s="1143"/>
    </row>
    <row r="104" spans="2:30" s="114" customFormat="1" ht="12.75" hidden="1" customHeight="1" outlineLevel="1">
      <c r="B104" s="196" t="s">
        <v>348</v>
      </c>
      <c r="C104" s="197"/>
      <c r="D104" s="214">
        <f>SUM(D83:D103)</f>
        <v>0</v>
      </c>
      <c r="E104" s="214"/>
      <c r="F104" s="199"/>
      <c r="G104" s="199"/>
      <c r="H104" s="199"/>
      <c r="I104" s="204"/>
      <c r="J104" s="204"/>
      <c r="K104" s="204"/>
      <c r="L104" s="204"/>
      <c r="M104" s="204"/>
      <c r="N104" s="200">
        <f>SUM(N83:N103)</f>
        <v>0</v>
      </c>
      <c r="Q104" s="1204">
        <f>IF(T104=0,T104,T104/N104)</f>
        <v>0</v>
      </c>
      <c r="R104" s="199"/>
      <c r="S104" s="199"/>
      <c r="T104" s="200">
        <f>SQRT(SUMSQ(T83:T103))</f>
        <v>0</v>
      </c>
      <c r="V104" s="571">
        <f t="shared" ref="V104" si="14">SUM(V83:V103)</f>
        <v>0</v>
      </c>
      <c r="W104" s="572">
        <f>SUM(W83:W103)</f>
        <v>0</v>
      </c>
      <c r="X104" s="572">
        <f>SUM(X83:X103)</f>
        <v>0</v>
      </c>
      <c r="Y104" s="572">
        <f>SUM(Y83:Y103)</f>
        <v>0</v>
      </c>
      <c r="Z104" s="574">
        <f>SUM(Z83:Z103)</f>
        <v>0</v>
      </c>
      <c r="AA104" s="592">
        <f>SUM(AA83:AA103)</f>
        <v>0</v>
      </c>
    </row>
    <row r="105" spans="2:30" s="114" customFormat="1" ht="12.75" hidden="1" customHeight="1" outlineLevel="1">
      <c r="V105" s="441"/>
      <c r="W105" s="441"/>
      <c r="X105" s="441"/>
      <c r="Y105" s="441"/>
      <c r="Z105" s="441"/>
      <c r="AA105" s="441"/>
    </row>
    <row r="106" spans="2:30" s="114" customFormat="1" ht="13.2" collapsed="1">
      <c r="V106" s="441"/>
      <c r="W106" s="441"/>
      <c r="X106" s="441"/>
      <c r="Y106" s="441"/>
      <c r="Z106" s="441"/>
      <c r="AA106" s="441"/>
    </row>
    <row r="107" spans="2:30" s="114" customFormat="1" ht="15.6" collapsed="1">
      <c r="B107" s="2652" t="s">
        <v>2219</v>
      </c>
      <c r="C107" s="2653"/>
      <c r="D107" s="2653"/>
      <c r="E107" s="2653"/>
      <c r="F107" s="2653"/>
      <c r="G107" s="2653"/>
      <c r="H107" s="2653"/>
      <c r="I107" s="2653"/>
      <c r="J107" s="2653"/>
      <c r="K107" s="2653"/>
      <c r="L107" s="2653"/>
      <c r="M107" s="2653"/>
      <c r="N107" s="2653"/>
      <c r="O107" s="2654"/>
      <c r="V107" s="441"/>
      <c r="W107" s="441"/>
      <c r="X107" s="441"/>
      <c r="Y107" s="441"/>
      <c r="Z107" s="441"/>
      <c r="AA107" s="441"/>
    </row>
    <row r="108" spans="2:30" s="114" customFormat="1" ht="12.75" hidden="1" customHeight="1" outlineLevel="1">
      <c r="K108" s="258"/>
      <c r="V108" s="441"/>
      <c r="W108" s="441"/>
      <c r="X108" s="441"/>
      <c r="Y108" s="441"/>
      <c r="Z108" s="441"/>
      <c r="AA108" s="441"/>
    </row>
    <row r="109" spans="2:30" s="114" customFormat="1" ht="12.75" hidden="1" customHeight="1" outlineLevel="1">
      <c r="B109" s="330" t="s">
        <v>2119</v>
      </c>
      <c r="C109" s="2106"/>
      <c r="D109" s="2094"/>
      <c r="E109" s="2094"/>
      <c r="F109" s="141"/>
      <c r="G109" s="141"/>
      <c r="H109" s="141"/>
      <c r="I109" s="142"/>
      <c r="J109" s="116"/>
      <c r="K109" s="116"/>
      <c r="L109" s="2636" t="s">
        <v>366</v>
      </c>
      <c r="M109" s="2637"/>
      <c r="N109" s="2637"/>
      <c r="O109" s="2638"/>
      <c r="V109" s="2639" t="s">
        <v>441</v>
      </c>
      <c r="W109" s="2640"/>
      <c r="X109" s="2640"/>
      <c r="Y109" s="2640"/>
      <c r="Z109" s="2640"/>
      <c r="AA109" s="2641"/>
    </row>
    <row r="110" spans="2:30" s="114" customFormat="1" ht="12.75" hidden="1" customHeight="1" outlineLevel="1">
      <c r="B110" s="333"/>
      <c r="C110" s="334"/>
      <c r="D110" s="2102" t="s">
        <v>308</v>
      </c>
      <c r="E110" s="2102"/>
      <c r="F110" s="155"/>
      <c r="G110" s="144"/>
      <c r="H110" s="144"/>
      <c r="I110" s="145"/>
      <c r="J110" s="116"/>
      <c r="K110" s="116"/>
      <c r="L110" s="2093"/>
      <c r="M110" s="819"/>
      <c r="N110" s="827"/>
      <c r="O110" s="145"/>
      <c r="V110" s="2091"/>
      <c r="W110" s="2092"/>
      <c r="X110" s="2092"/>
      <c r="Y110" s="2092"/>
      <c r="Z110" s="2105"/>
      <c r="AA110" s="619"/>
      <c r="AC110" s="2766" t="s">
        <v>1648</v>
      </c>
      <c r="AD110" s="2767"/>
    </row>
    <row r="111" spans="2:30" s="114" customFormat="1" ht="12.75" hidden="1" customHeight="1" outlineLevel="1">
      <c r="B111" s="2093"/>
      <c r="C111" s="2087"/>
      <c r="D111" s="2087" t="s">
        <v>409</v>
      </c>
      <c r="E111" s="2087"/>
      <c r="F111" s="147" t="s">
        <v>340</v>
      </c>
      <c r="G111" s="2087" t="s">
        <v>2186</v>
      </c>
      <c r="H111" s="147" t="s">
        <v>2185</v>
      </c>
      <c r="I111" s="2103" t="s">
        <v>444</v>
      </c>
      <c r="J111" s="116"/>
      <c r="K111" s="116"/>
      <c r="L111" s="2093" t="s">
        <v>316</v>
      </c>
      <c r="M111" s="2629" t="s">
        <v>530</v>
      </c>
      <c r="N111" s="2630"/>
      <c r="O111" s="2103" t="s">
        <v>444</v>
      </c>
      <c r="V111" s="2091" t="s">
        <v>444</v>
      </c>
      <c r="W111" s="2092"/>
      <c r="X111" s="2092"/>
      <c r="Y111" s="2092"/>
      <c r="Z111" s="2105" t="s">
        <v>444</v>
      </c>
      <c r="AA111" s="587"/>
      <c r="AC111" s="2086" t="s">
        <v>2167</v>
      </c>
      <c r="AD111" s="2104" t="s">
        <v>2187</v>
      </c>
    </row>
    <row r="112" spans="2:30" s="114" customFormat="1" ht="12.75" hidden="1" customHeight="1" outlineLevel="1">
      <c r="B112" s="1002" t="s">
        <v>877</v>
      </c>
      <c r="C112" s="2087"/>
      <c r="D112" s="2087" t="s">
        <v>444</v>
      </c>
      <c r="E112" s="2087"/>
      <c r="F112" s="2100" t="s">
        <v>419</v>
      </c>
      <c r="G112" s="2087" t="s">
        <v>531</v>
      </c>
      <c r="H112" s="2100" t="s">
        <v>419</v>
      </c>
      <c r="I112" s="2103"/>
      <c r="J112" s="116"/>
      <c r="K112" s="116"/>
      <c r="L112" s="2093" t="s">
        <v>1649</v>
      </c>
      <c r="M112" s="2646"/>
      <c r="N112" s="2647"/>
      <c r="O112" s="2103"/>
      <c r="V112" s="2088" t="s">
        <v>211</v>
      </c>
      <c r="W112" s="2089" t="s">
        <v>442</v>
      </c>
      <c r="X112" s="2089" t="s">
        <v>267</v>
      </c>
      <c r="Y112" s="2089" t="s">
        <v>443</v>
      </c>
      <c r="Z112" s="2090" t="s">
        <v>327</v>
      </c>
      <c r="AA112" s="589" t="s">
        <v>636</v>
      </c>
      <c r="AC112" s="2099"/>
      <c r="AD112" s="1130"/>
    </row>
    <row r="113" spans="2:30" s="114" customFormat="1" ht="12.75" hidden="1" customHeight="1" outlineLevel="1">
      <c r="B113" s="143" t="s">
        <v>4685</v>
      </c>
      <c r="C113" s="144"/>
      <c r="D113" s="1215">
        <f>I113</f>
        <v>0</v>
      </c>
      <c r="E113" s="1215"/>
      <c r="F113" s="117"/>
      <c r="G113" s="224">
        <f>VLOOKUP($B113&amp;"; "&amp;H113,'FE Intrants'!$G:$U,9,FALSE)</f>
        <v>19.600000000000001</v>
      </c>
      <c r="H113" s="1205" t="str">
        <f>VLOOKUP(B113,'FE Intrants'!F:U,5,FALSE)</f>
        <v>kgCO2e/kg de poids vif</v>
      </c>
      <c r="I113" s="1216">
        <f>F113*G113</f>
        <v>0</v>
      </c>
      <c r="J113" s="116"/>
      <c r="K113" s="116"/>
      <c r="L113" s="319">
        <f>IF(O113=0,O113,O113/I113)</f>
        <v>0</v>
      </c>
      <c r="M113" s="1218"/>
      <c r="N113" s="820"/>
      <c r="O113" s="152">
        <f>F113*G113*AD113</f>
        <v>0</v>
      </c>
      <c r="V113" s="564">
        <f>IF($F113*VLOOKUP($B113&amp;"; "&amp;$H113,'FE Intrants'!$G:$U,10,FALSE)=0,I113,$F113*VLOOKUP($B113&amp;"; "&amp;$H113,'FE Intrants'!$G:$U,10,FALSE))</f>
        <v>0</v>
      </c>
      <c r="W113" s="565">
        <f>$F113*(VLOOKUP($B113&amp;"; "&amp;$H113,'FE Intrants'!$G:$U,11,FALSE)+VLOOKUP($B113&amp;"; "&amp;$H113,'FE Intrants'!$G:$U,12,FALSE))</f>
        <v>0</v>
      </c>
      <c r="X113" s="565">
        <f>$F113*VLOOKUP($B113&amp;"; "&amp;$H113,'FE Intrants'!$G:$U,13,FALSE)</f>
        <v>0</v>
      </c>
      <c r="Y113" s="565">
        <f>$F113*VLOOKUP($B113&amp;"; "&amp;$H113,'FE Intrants'!$G:$U,14,FALSE)</f>
        <v>0</v>
      </c>
      <c r="Z113" s="567">
        <f>SUM(R113:Y113)</f>
        <v>0</v>
      </c>
      <c r="AA113" s="590">
        <f>$F113*VLOOKUP($B113&amp;"; "&amp;$H113,'FE Intrants'!$G:$U,15,FALSE)</f>
        <v>0</v>
      </c>
      <c r="AC113" s="2099">
        <f>IF($M113&lt;&gt;"votre valeur :",IF(ISNA(VLOOKUP($M113,Utilitaires!$N$566:$O$571,2,FALSE)),,VLOOKUP($M113,Utilitaires!$N$566:$O$571,2,FALSE)),$N113)</f>
        <v>0</v>
      </c>
      <c r="AD113" s="1130">
        <f>SQRT(SUMSQ(AC113,VLOOKUP(B113&amp;"; "&amp;H113,'FE Intrants'!G:U,7,FALSE)))</f>
        <v>0.5</v>
      </c>
    </row>
    <row r="114" spans="2:30" s="114" customFormat="1" ht="12.75" hidden="1" customHeight="1" outlineLevel="1">
      <c r="B114" s="143" t="s">
        <v>4686</v>
      </c>
      <c r="C114" s="144"/>
      <c r="D114" s="1215">
        <f>I114</f>
        <v>0</v>
      </c>
      <c r="E114" s="1215"/>
      <c r="F114" s="120"/>
      <c r="G114" s="224">
        <f>VLOOKUP($B114&amp;"; "&amp;H114,'FE Intrants'!$G:$U,9,FALSE)</f>
        <v>17</v>
      </c>
      <c r="H114" s="1206" t="str">
        <f>VLOOKUP(B114,'FE Intrants'!F:U,5,FALSE)</f>
        <v>kgCO2e/kg de poids vif</v>
      </c>
      <c r="I114" s="1216">
        <f>F114*G114</f>
        <v>0</v>
      </c>
      <c r="J114" s="116"/>
      <c r="K114" s="116"/>
      <c r="L114" s="319">
        <f>IF(O114=0,O114,O114/I114)</f>
        <v>0</v>
      </c>
      <c r="M114" s="1218"/>
      <c r="N114" s="820"/>
      <c r="O114" s="152">
        <f>F114*G114*AD114</f>
        <v>0</v>
      </c>
      <c r="V114" s="564">
        <f>IF($F114*VLOOKUP($B114&amp;"; "&amp;$H114,'FE Intrants'!$G:$U,10,FALSE)=0,I114,$F114*VLOOKUP($B114&amp;"; "&amp;$H114,'FE Intrants'!$G:$U,10,FALSE))</f>
        <v>0</v>
      </c>
      <c r="W114" s="565">
        <f>$F114*(VLOOKUP($B114&amp;"; "&amp;$H114,'FE Intrants'!$G:$U,11,FALSE)+VLOOKUP($B114&amp;"; "&amp;$H114,'FE Intrants'!$G:$U,12,FALSE))</f>
        <v>0</v>
      </c>
      <c r="X114" s="565">
        <f>$F114*VLOOKUP($B114&amp;"; "&amp;$H114,'FE Intrants'!$G:$U,13,FALSE)</f>
        <v>0</v>
      </c>
      <c r="Y114" s="565">
        <f>$F114*VLOOKUP($B114&amp;"; "&amp;$H114,'FE Intrants'!$G:$U,14,FALSE)</f>
        <v>0</v>
      </c>
      <c r="Z114" s="567">
        <f>SUM(R114:Y114)</f>
        <v>0</v>
      </c>
      <c r="AA114" s="590">
        <f>$F114*VLOOKUP($B114&amp;"; "&amp;$H114,'FE Intrants'!$G:$U,15,FALSE)</f>
        <v>0</v>
      </c>
      <c r="AC114" s="2099">
        <f>IF($M114&lt;&gt;"votre valeur :",IF(ISNA(VLOOKUP($M114,Utilitaires!$N$566:$O$571,2,FALSE)),,VLOOKUP($M114,Utilitaires!$N$566:$O$571,2,FALSE)),$N114)</f>
        <v>0</v>
      </c>
      <c r="AD114" s="1130">
        <f>SQRT(SUMSQ(AC114,VLOOKUP(B114&amp;"; "&amp;H114,'FE Intrants'!G:U,7,FALSE)))</f>
        <v>0.5</v>
      </c>
    </row>
    <row r="115" spans="2:30" s="114" customFormat="1" ht="12.75" hidden="1" customHeight="1" outlineLevel="1">
      <c r="B115" s="143" t="s">
        <v>4687</v>
      </c>
      <c r="C115" s="144"/>
      <c r="D115" s="1215">
        <f>I115</f>
        <v>0</v>
      </c>
      <c r="E115" s="1215"/>
      <c r="F115" s="346"/>
      <c r="G115" s="224">
        <f>VLOOKUP($B115&amp;"; "&amp;H115,'FE Intrants'!$G:$U,9,FALSE)</f>
        <v>2.95</v>
      </c>
      <c r="H115" s="1206" t="str">
        <f>VLOOKUP(B115,'FE Intrants'!F:U,5,FALSE)</f>
        <v>kgCO2e/kg de poids vif</v>
      </c>
      <c r="I115" s="1216">
        <f>F115*G115</f>
        <v>0</v>
      </c>
      <c r="J115" s="116"/>
      <c r="K115" s="116"/>
      <c r="L115" s="319">
        <f>IF(O115=0,O115,O115/I115)</f>
        <v>0</v>
      </c>
      <c r="M115" s="1218"/>
      <c r="N115" s="820"/>
      <c r="O115" s="152">
        <f>F115*G115*AD115</f>
        <v>0</v>
      </c>
      <c r="V115" s="564">
        <f>IF($F115*VLOOKUP($B115&amp;"; "&amp;$H115,'FE Intrants'!$G:$U,10,FALSE)=0,I115,$F115*VLOOKUP($B115&amp;"; "&amp;$H115,'FE Intrants'!$G:$U,10,FALSE))</f>
        <v>0</v>
      </c>
      <c r="W115" s="565">
        <f>$F115*(VLOOKUP($B115&amp;"; "&amp;$H115,'FE Intrants'!$G:$U,11,FALSE)+VLOOKUP($B115&amp;"; "&amp;$H115,'FE Intrants'!$G:$U,12,FALSE))</f>
        <v>0</v>
      </c>
      <c r="X115" s="565">
        <f>$F115*VLOOKUP($B115&amp;"; "&amp;$H115,'FE Intrants'!$G:$U,13,FALSE)</f>
        <v>0</v>
      </c>
      <c r="Y115" s="565">
        <f>$F115*VLOOKUP($B115&amp;"; "&amp;$H115,'FE Intrants'!$G:$U,14,FALSE)</f>
        <v>0</v>
      </c>
      <c r="Z115" s="567">
        <f>SUM(R115:Y115)</f>
        <v>0</v>
      </c>
      <c r="AA115" s="590">
        <f>$F115*VLOOKUP($B115&amp;"; "&amp;$H115,'FE Intrants'!$G:$U,15,FALSE)</f>
        <v>0</v>
      </c>
      <c r="AC115" s="2099">
        <f>IF($M115&lt;&gt;"votre valeur :",IF(ISNA(VLOOKUP($M115,Utilitaires!$N$566:$O$571,2,FALSE)),,VLOOKUP($M115,Utilitaires!$N$566:$O$571,2,FALSE)),$N115)</f>
        <v>0</v>
      </c>
      <c r="AD115" s="1130">
        <f>SQRT(SUMSQ(AC115,VLOOKUP(B115&amp;"; "&amp;H115,'FE Intrants'!G:U,7,FALSE)))</f>
        <v>0.5</v>
      </c>
    </row>
    <row r="116" spans="2:30" s="114" customFormat="1" ht="12.75" hidden="1" customHeight="1" outlineLevel="1">
      <c r="B116" s="143" t="s">
        <v>4688</v>
      </c>
      <c r="C116" s="144"/>
      <c r="D116" s="1215">
        <f t="shared" ref="D116:D135" si="15">I116</f>
        <v>0</v>
      </c>
      <c r="E116" s="1215"/>
      <c r="F116" s="346"/>
      <c r="G116" s="224">
        <f>VLOOKUP($B116&amp;"; "&amp;H116,'FE Intrants'!$G:$U,9,FALSE)</f>
        <v>1.68</v>
      </c>
      <c r="H116" s="1206" t="str">
        <f>VLOOKUP(B116,'FE Intrants'!F:U,5,FALSE)</f>
        <v>kgCO2e/kg de poids vif</v>
      </c>
      <c r="I116" s="1216">
        <f>F116*G116</f>
        <v>0</v>
      </c>
      <c r="J116" s="116"/>
      <c r="K116" s="116"/>
      <c r="L116" s="319">
        <f>IF(O116=0,O116,O116/I116)</f>
        <v>0</v>
      </c>
      <c r="M116" s="1218"/>
      <c r="N116" s="820"/>
      <c r="O116" s="152">
        <f>F116*G116*AD116</f>
        <v>0</v>
      </c>
      <c r="V116" s="564">
        <f>IF($F116*VLOOKUP($B116&amp;"; "&amp;$H116,'FE Intrants'!$G:$U,10,FALSE)=0,I116,$F116*VLOOKUP($B116&amp;"; "&amp;$H116,'FE Intrants'!$G:$U,10,FALSE))</f>
        <v>0</v>
      </c>
      <c r="W116" s="565">
        <f>$F116*(VLOOKUP($B116&amp;"; "&amp;$H116,'FE Intrants'!$G:$U,11,FALSE)+VLOOKUP($B116&amp;"; "&amp;$H116,'FE Intrants'!$G:$U,12,FALSE))</f>
        <v>0</v>
      </c>
      <c r="X116" s="565">
        <f>$F116*VLOOKUP($B116&amp;"; "&amp;$H116,'FE Intrants'!$G:$U,13,FALSE)</f>
        <v>0</v>
      </c>
      <c r="Y116" s="565">
        <f>$F116*VLOOKUP($B116&amp;"; "&amp;$H116,'FE Intrants'!$G:$U,14,FALSE)</f>
        <v>0</v>
      </c>
      <c r="Z116" s="567">
        <f>SUM(R116:Y116)</f>
        <v>0</v>
      </c>
      <c r="AA116" s="590">
        <f>$F116*VLOOKUP($B116&amp;"; "&amp;$H116,'FE Intrants'!$G:$U,15,FALSE)</f>
        <v>0</v>
      </c>
      <c r="AC116" s="2099">
        <f>IF($M116&lt;&gt;"votre valeur :",IF(ISNA(VLOOKUP($M116,Utilitaires!$N$566:$O$571,2,FALSE)),,VLOOKUP($M116,Utilitaires!$N$566:$O$571,2,FALSE)),$N116)</f>
        <v>0</v>
      </c>
      <c r="AD116" s="1130">
        <f>SQRT(SUMSQ(AC116,VLOOKUP(B116&amp;"; "&amp;H116,'FE Intrants'!G:U,7,FALSE)))</f>
        <v>0.5</v>
      </c>
    </row>
    <row r="117" spans="2:30" s="114" customFormat="1" ht="12.75" hidden="1" customHeight="1" outlineLevel="1">
      <c r="B117" s="143" t="s">
        <v>4689</v>
      </c>
      <c r="C117" s="144"/>
      <c r="D117" s="1215">
        <f t="shared" si="15"/>
        <v>0</v>
      </c>
      <c r="E117" s="1215"/>
      <c r="F117" s="347"/>
      <c r="G117" s="224">
        <f>VLOOKUP($B117&amp;"; "&amp;H117,'FE Intrants'!$G:$U,9,FALSE)</f>
        <v>9.15</v>
      </c>
      <c r="H117" s="1207" t="str">
        <f>VLOOKUP(B117,'FE Intrants'!F:U,5,FALSE)</f>
        <v>kgCO2e/kg de poids vif</v>
      </c>
      <c r="I117" s="1216">
        <f>F117*G117</f>
        <v>0</v>
      </c>
      <c r="J117" s="116"/>
      <c r="K117" s="116"/>
      <c r="L117" s="319">
        <f>IF(O117=0,O117,O117/I117)</f>
        <v>0</v>
      </c>
      <c r="M117" s="1218"/>
      <c r="N117" s="820"/>
      <c r="O117" s="152">
        <f>F117*G117*AD117</f>
        <v>0</v>
      </c>
      <c r="V117" s="564">
        <f>IF($F117*VLOOKUP($B117&amp;"; "&amp;$H117,'FE Intrants'!$G:$U,10,FALSE)=0,I117,$F117*VLOOKUP($B117&amp;"; "&amp;$H117,'FE Intrants'!$G:$U,10,FALSE))</f>
        <v>0</v>
      </c>
      <c r="W117" s="565">
        <f>$F117*(VLOOKUP($B117&amp;"; "&amp;$H117,'FE Intrants'!$G:$U,11,FALSE)+VLOOKUP($B117&amp;"; "&amp;$H117,'FE Intrants'!$G:$U,12,FALSE))</f>
        <v>0</v>
      </c>
      <c r="X117" s="565">
        <f>$F117*VLOOKUP($B117&amp;"; "&amp;$H117,'FE Intrants'!$G:$U,13,FALSE)</f>
        <v>0</v>
      </c>
      <c r="Y117" s="565">
        <f>$F117*VLOOKUP($B117&amp;"; "&amp;$H117,'FE Intrants'!$G:$U,14,FALSE)</f>
        <v>0</v>
      </c>
      <c r="Z117" s="567">
        <f>SUM(R117:Y117)</f>
        <v>0</v>
      </c>
      <c r="AA117" s="590">
        <f>$F117*VLOOKUP($B117&amp;"; "&amp;$H117,'FE Intrants'!$G:$U,15,FALSE)</f>
        <v>0</v>
      </c>
      <c r="AC117" s="2099">
        <f>IF($M117&lt;&gt;"votre valeur :",IF(ISNA(VLOOKUP($M117,Utilitaires!$N$566:$O$571,2,FALSE)),,VLOOKUP($M117,Utilitaires!$N$566:$O$571,2,FALSE)),$N117)</f>
        <v>0</v>
      </c>
      <c r="AD117" s="1130">
        <f>SQRT(SUMSQ(AC117,VLOOKUP(B117&amp;"; "&amp;H117,'FE Intrants'!G:U,7,FALSE)))</f>
        <v>0.5</v>
      </c>
    </row>
    <row r="118" spans="2:30" s="114" customFormat="1" ht="12.75" hidden="1" customHeight="1" outlineLevel="1">
      <c r="B118" s="143"/>
      <c r="C118" s="144"/>
      <c r="D118" s="222"/>
      <c r="E118" s="222"/>
      <c r="F118" s="144"/>
      <c r="G118" s="1214"/>
      <c r="H118" s="144"/>
      <c r="I118" s="1217"/>
      <c r="J118" s="116"/>
      <c r="K118" s="116"/>
      <c r="L118" s="226"/>
      <c r="M118" s="144"/>
      <c r="N118" s="820"/>
      <c r="O118" s="152"/>
      <c r="V118" s="564"/>
      <c r="W118" s="565"/>
      <c r="X118" s="565"/>
      <c r="Y118" s="565"/>
      <c r="Z118" s="567"/>
      <c r="AA118" s="590"/>
      <c r="AC118" s="2099"/>
      <c r="AD118" s="1130"/>
    </row>
    <row r="119" spans="2:30" s="114" customFormat="1" ht="12.75" hidden="1" customHeight="1" outlineLevel="1">
      <c r="B119" s="1002" t="s">
        <v>2199</v>
      </c>
      <c r="C119" s="144"/>
      <c r="D119" s="222"/>
      <c r="E119" s="222"/>
      <c r="F119" s="144"/>
      <c r="G119" s="1214"/>
      <c r="H119" s="144"/>
      <c r="I119" s="1217"/>
      <c r="J119" s="116"/>
      <c r="K119" s="116"/>
      <c r="L119" s="226"/>
      <c r="M119" s="144"/>
      <c r="N119" s="820"/>
      <c r="O119" s="152"/>
      <c r="V119" s="564"/>
      <c r="W119" s="565"/>
      <c r="X119" s="565"/>
      <c r="Y119" s="565"/>
      <c r="Z119" s="567"/>
      <c r="AA119" s="590"/>
      <c r="AC119" s="2099"/>
      <c r="AD119" s="1130"/>
    </row>
    <row r="120" spans="2:30" s="114" customFormat="1" ht="12.75" hidden="1" customHeight="1" outlineLevel="1">
      <c r="B120" s="143" t="s">
        <v>4690</v>
      </c>
      <c r="C120" s="144"/>
      <c r="D120" s="1215">
        <f t="shared" si="15"/>
        <v>0</v>
      </c>
      <c r="E120" s="1215"/>
      <c r="F120" s="117"/>
      <c r="G120" s="224">
        <f>VLOOKUP($B120&amp;"; "&amp;H120,'FE Intrants'!$G:$U,9,FALSE)</f>
        <v>4.25</v>
      </c>
      <c r="H120" s="1205" t="str">
        <f>VLOOKUP(B120,'FE Intrants'!F:U,5,FALSE)</f>
        <v>kgCO2e/kg de poids vif</v>
      </c>
      <c r="I120" s="1216">
        <f>F120*G120</f>
        <v>0</v>
      </c>
      <c r="J120" s="116"/>
      <c r="K120" s="116"/>
      <c r="L120" s="319">
        <f>IF(O120=0,O120,O120/I120)</f>
        <v>0</v>
      </c>
      <c r="M120" s="1218"/>
      <c r="N120" s="820"/>
      <c r="O120" s="152">
        <f>F120*G120*AD120</f>
        <v>0</v>
      </c>
      <c r="V120" s="564">
        <f>IF($F120*VLOOKUP($B120&amp;"; "&amp;$H120,'FE Intrants'!$G:$U,10,FALSE)=0,I120,$F120*VLOOKUP($B120&amp;"; "&amp;$H120,'FE Intrants'!$G:$U,10,FALSE))</f>
        <v>0</v>
      </c>
      <c r="W120" s="565">
        <f>$F120*(VLOOKUP($B120&amp;"; "&amp;$H120,'FE Intrants'!$G:$U,11,FALSE)+VLOOKUP($B120&amp;"; "&amp;$H120,'FE Intrants'!$G:$U,12,FALSE))</f>
        <v>0</v>
      </c>
      <c r="X120" s="565">
        <f>$F120*VLOOKUP($B120&amp;"; "&amp;$H120,'FE Intrants'!$G:$U,13,FALSE)</f>
        <v>0</v>
      </c>
      <c r="Y120" s="565">
        <f>$F120*VLOOKUP($B120&amp;"; "&amp;$H120,'FE Intrants'!$G:$U,14,FALSE)</f>
        <v>0</v>
      </c>
      <c r="Z120" s="567">
        <f>SUM(R120:Y120)</f>
        <v>0</v>
      </c>
      <c r="AA120" s="590">
        <f>$F120*VLOOKUP($B120&amp;"; "&amp;$H120,'FE Intrants'!$G:$U,15,FALSE)</f>
        <v>0</v>
      </c>
      <c r="AC120" s="2099">
        <f>IF($M120&lt;&gt;"votre valeur :",IF(ISNA(VLOOKUP($M120,Utilitaires!$N$566:$O$571,2,FALSE)),,VLOOKUP($M120,Utilitaires!$N$566:$O$571,2,FALSE)),$N120)</f>
        <v>0</v>
      </c>
      <c r="AD120" s="1130">
        <f>SQRT(SUMSQ(AC120,VLOOKUP(B120&amp;"; "&amp;H120,'FE Intrants'!G:U,7,FALSE)))</f>
        <v>0.5</v>
      </c>
    </row>
    <row r="121" spans="2:30" s="114" customFormat="1" ht="12.75" hidden="1" customHeight="1" outlineLevel="1">
      <c r="B121" s="143" t="s">
        <v>4691</v>
      </c>
      <c r="C121" s="144"/>
      <c r="D121" s="1215">
        <f t="shared" si="15"/>
        <v>0</v>
      </c>
      <c r="E121" s="1215"/>
      <c r="F121" s="120"/>
      <c r="G121" s="224">
        <f>VLOOKUP($B121&amp;"; "&amp;H121,'FE Intrants'!$G:$U,9,FALSE)</f>
        <v>4.49</v>
      </c>
      <c r="H121" s="1206" t="str">
        <f>VLOOKUP(B121,'FE Intrants'!F:U,5,FALSE)</f>
        <v>kgCO2e/kg de poids vif</v>
      </c>
      <c r="I121" s="1216">
        <f>F121*G121</f>
        <v>0</v>
      </c>
      <c r="J121" s="116"/>
      <c r="K121" s="116"/>
      <c r="L121" s="319">
        <f>IF(O121=0,O121,O121/I121)</f>
        <v>0</v>
      </c>
      <c r="M121" s="1218"/>
      <c r="N121" s="820"/>
      <c r="O121" s="152">
        <f>F121*G121*AD121</f>
        <v>0</v>
      </c>
      <c r="V121" s="564">
        <f>IF($F121*VLOOKUP($B121&amp;"; "&amp;$H121,'FE Intrants'!$G:$U,10,FALSE)=0,I121,$F121*VLOOKUP($B121&amp;"; "&amp;$H121,'FE Intrants'!$G:$U,10,FALSE))</f>
        <v>0</v>
      </c>
      <c r="W121" s="565">
        <f>$F121*(VLOOKUP($B121&amp;"; "&amp;$H121,'FE Intrants'!$G:$U,11,FALSE)+VLOOKUP($B121&amp;"; "&amp;$H121,'FE Intrants'!$G:$U,12,FALSE))</f>
        <v>0</v>
      </c>
      <c r="X121" s="565">
        <f>$F121*VLOOKUP($B121&amp;"; "&amp;$H121,'FE Intrants'!$G:$U,13,FALSE)</f>
        <v>0</v>
      </c>
      <c r="Y121" s="565">
        <f>$F121*VLOOKUP($B121&amp;"; "&amp;$H121,'FE Intrants'!$G:$U,14,FALSE)</f>
        <v>0</v>
      </c>
      <c r="Z121" s="567">
        <f>SUM(R121:Y121)</f>
        <v>0</v>
      </c>
      <c r="AA121" s="590">
        <f>$F121*VLOOKUP($B121&amp;"; "&amp;$H121,'FE Intrants'!$G:$U,15,FALSE)</f>
        <v>0</v>
      </c>
      <c r="AC121" s="2099">
        <f>IF($M121&lt;&gt;"votre valeur :",IF(ISNA(VLOOKUP($M121,Utilitaires!$N$566:$O$571,2,FALSE)),,VLOOKUP($M121,Utilitaires!$N$566:$O$571,2,FALSE)),$N121)</f>
        <v>0</v>
      </c>
      <c r="AD121" s="1130">
        <f>SQRT(SUMSQ(AC121,VLOOKUP(B121&amp;"; "&amp;H121,'FE Intrants'!G:U,7,FALSE)))</f>
        <v>0.5</v>
      </c>
    </row>
    <row r="122" spans="2:30" s="114" customFormat="1" ht="12.75" hidden="1" customHeight="1" outlineLevel="1">
      <c r="B122" s="143" t="s">
        <v>4692</v>
      </c>
      <c r="C122" s="144"/>
      <c r="D122" s="1215">
        <f t="shared" si="15"/>
        <v>0</v>
      </c>
      <c r="E122" s="1215"/>
      <c r="F122" s="120"/>
      <c r="G122" s="224">
        <f>VLOOKUP($B122&amp;"; "&amp;H122,'FE Intrants'!$G:$U,9,FALSE)</f>
        <v>2.15</v>
      </c>
      <c r="H122" s="1206" t="str">
        <f>VLOOKUP(B122,'FE Intrants'!F:U,5,FALSE)</f>
        <v>kgCO2e/kg de poids vif</v>
      </c>
      <c r="I122" s="1216">
        <f>F122*G122</f>
        <v>0</v>
      </c>
      <c r="J122" s="116"/>
      <c r="K122" s="116"/>
      <c r="L122" s="319">
        <f>IF(O122=0,O122,O122/I122)</f>
        <v>0</v>
      </c>
      <c r="M122" s="1218"/>
      <c r="N122" s="820"/>
      <c r="O122" s="152">
        <f>F122*G122*AD122</f>
        <v>0</v>
      </c>
      <c r="V122" s="564">
        <f>IF($F122*VLOOKUP($B122&amp;"; "&amp;$H122,'FE Intrants'!$G:$U,10,FALSE)=0,I122,$F122*VLOOKUP($B122&amp;"; "&amp;$H122,'FE Intrants'!$G:$U,10,FALSE))</f>
        <v>0</v>
      </c>
      <c r="W122" s="565">
        <f>$F122*(VLOOKUP($B122&amp;"; "&amp;$H122,'FE Intrants'!$G:$U,11,FALSE)+VLOOKUP($B122&amp;"; "&amp;$H122,'FE Intrants'!$G:$U,12,FALSE))</f>
        <v>0</v>
      </c>
      <c r="X122" s="565">
        <f>$F122*VLOOKUP($B122&amp;"; "&amp;$H122,'FE Intrants'!$G:$U,13,FALSE)</f>
        <v>0</v>
      </c>
      <c r="Y122" s="565">
        <f>$F122*VLOOKUP($B122&amp;"; "&amp;$H122,'FE Intrants'!$G:$U,14,FALSE)</f>
        <v>0</v>
      </c>
      <c r="Z122" s="567">
        <f>SUM(R122:Y122)</f>
        <v>0</v>
      </c>
      <c r="AA122" s="590">
        <f>$F122*VLOOKUP($B122&amp;"; "&amp;$H122,'FE Intrants'!$G:$U,15,FALSE)</f>
        <v>0</v>
      </c>
      <c r="AC122" s="2099">
        <f>IF($M122&lt;&gt;"votre valeur :",IF(ISNA(VLOOKUP($M122,Utilitaires!$N$566:$O$571,2,FALSE)),,VLOOKUP($M122,Utilitaires!$N$566:$O$571,2,FALSE)),$N122)</f>
        <v>0</v>
      </c>
      <c r="AD122" s="1130">
        <f>SQRT(SUMSQ(AC122,VLOOKUP(B122&amp;"; "&amp;H122,'FE Intrants'!G:U,7,FALSE)))</f>
        <v>0.5</v>
      </c>
    </row>
    <row r="123" spans="2:30" s="114" customFormat="1" ht="12.75" hidden="1" customHeight="1" outlineLevel="1">
      <c r="B123" s="143" t="s">
        <v>4693</v>
      </c>
      <c r="C123" s="144"/>
      <c r="D123" s="1215">
        <f t="shared" si="15"/>
        <v>0</v>
      </c>
      <c r="E123" s="1215"/>
      <c r="F123" s="120"/>
      <c r="G123" s="224">
        <f>VLOOKUP($B123&amp;"; "&amp;H123,'FE Intrants'!$G:$U,9,FALSE)</f>
        <v>0.53700000000000003</v>
      </c>
      <c r="H123" s="1206" t="str">
        <f>VLOOKUP(B123,'FE Intrants'!F:U,5,FALSE)</f>
        <v>kgCO2e/kg de poids vif</v>
      </c>
      <c r="I123" s="1216">
        <f>F123*G123</f>
        <v>0</v>
      </c>
      <c r="J123" s="116"/>
      <c r="K123" s="116"/>
      <c r="L123" s="319">
        <f>IF(O123=0,O123,O123/I123)</f>
        <v>0</v>
      </c>
      <c r="M123" s="1218"/>
      <c r="N123" s="820"/>
      <c r="O123" s="152">
        <f>F123*G123*AD123</f>
        <v>0</v>
      </c>
      <c r="V123" s="564">
        <f>IF($F123*VLOOKUP($B123&amp;"; "&amp;$H123,'FE Intrants'!$G:$U,10,FALSE)=0,I123,$F123*VLOOKUP($B123&amp;"; "&amp;$H123,'FE Intrants'!$G:$U,10,FALSE))</f>
        <v>0</v>
      </c>
      <c r="W123" s="565">
        <f>$F123*(VLOOKUP($B123&amp;"; "&amp;$H123,'FE Intrants'!$G:$U,11,FALSE)+VLOOKUP($B123&amp;"; "&amp;$H123,'FE Intrants'!$G:$U,12,FALSE))</f>
        <v>0</v>
      </c>
      <c r="X123" s="565">
        <f>$F123*VLOOKUP($B123&amp;"; "&amp;$H123,'FE Intrants'!$G:$U,13,FALSE)</f>
        <v>0</v>
      </c>
      <c r="Y123" s="565">
        <f>$F123*VLOOKUP($B123&amp;"; "&amp;$H123,'FE Intrants'!$G:$U,14,FALSE)</f>
        <v>0</v>
      </c>
      <c r="Z123" s="567">
        <f>SUM(R123:Y123)</f>
        <v>0</v>
      </c>
      <c r="AA123" s="590">
        <f>$F123*VLOOKUP($B123&amp;"; "&amp;$H123,'FE Intrants'!$G:$U,15,FALSE)</f>
        <v>0</v>
      </c>
      <c r="AC123" s="2099">
        <f>IF($M123&lt;&gt;"votre valeur :",IF(ISNA(VLOOKUP($M123,Utilitaires!$N$566:$O$571,2,FALSE)),,VLOOKUP($M123,Utilitaires!$N$566:$O$571,2,FALSE)),$N123)</f>
        <v>0</v>
      </c>
      <c r="AD123" s="1130">
        <f>SQRT(SUMSQ(AC123,VLOOKUP(B123&amp;"; "&amp;H123,'FE Intrants'!G:U,7,FALSE)))</f>
        <v>0.5</v>
      </c>
    </row>
    <row r="124" spans="2:30" s="114" customFormat="1" ht="12.75" hidden="1" customHeight="1" outlineLevel="1">
      <c r="B124" s="143" t="s">
        <v>4694</v>
      </c>
      <c r="C124" s="144"/>
      <c r="D124" s="1215">
        <f t="shared" si="15"/>
        <v>0</v>
      </c>
      <c r="E124" s="1215"/>
      <c r="F124" s="123"/>
      <c r="G124" s="224">
        <f>VLOOKUP($B124&amp;"; "&amp;H124,'FE Intrants'!$G:$U,9,FALSE)</f>
        <v>1.81</v>
      </c>
      <c r="H124" s="1207" t="str">
        <f>VLOOKUP(B124,'FE Intrants'!F:U,5,FALSE)</f>
        <v>kgCO2e/kg de poids vif</v>
      </c>
      <c r="I124" s="1216">
        <f>F124*G124</f>
        <v>0</v>
      </c>
      <c r="J124" s="116"/>
      <c r="K124" s="116"/>
      <c r="L124" s="319">
        <f>IF(O124=0,O124,O124/I124)</f>
        <v>0</v>
      </c>
      <c r="M124" s="1218"/>
      <c r="N124" s="820"/>
      <c r="O124" s="152">
        <f>F124*G124*AD124</f>
        <v>0</v>
      </c>
      <c r="V124" s="564">
        <f>IF($F124*VLOOKUP($B124&amp;"; "&amp;$H124,'FE Intrants'!$G:$U,10,FALSE)=0,I124,$F124*VLOOKUP($B124&amp;"; "&amp;$H124,'FE Intrants'!$G:$U,10,FALSE))</f>
        <v>0</v>
      </c>
      <c r="W124" s="565">
        <f>$F124*(VLOOKUP($B124&amp;"; "&amp;$H124,'FE Intrants'!$G:$U,11,FALSE)+VLOOKUP($B124&amp;"; "&amp;$H124,'FE Intrants'!$G:$U,12,FALSE))</f>
        <v>0</v>
      </c>
      <c r="X124" s="565">
        <f>$F124*VLOOKUP($B124&amp;"; "&amp;$H124,'FE Intrants'!$G:$U,13,FALSE)</f>
        <v>0</v>
      </c>
      <c r="Y124" s="565">
        <f>$F124*VLOOKUP($B124&amp;"; "&amp;$H124,'FE Intrants'!$G:$U,14,FALSE)</f>
        <v>0</v>
      </c>
      <c r="Z124" s="567">
        <f>SUM(R124:Y124)</f>
        <v>0</v>
      </c>
      <c r="AA124" s="590">
        <f>$F124*VLOOKUP($B124&amp;"; "&amp;$H124,'FE Intrants'!$G:$U,15,FALSE)</f>
        <v>0</v>
      </c>
      <c r="AC124" s="2099">
        <f>IF($M124&lt;&gt;"votre valeur :",IF(ISNA(VLOOKUP($M124,Utilitaires!$N$566:$O$571,2,FALSE)),,VLOOKUP($M124,Utilitaires!$N$566:$O$571,2,FALSE)),$N124)</f>
        <v>0</v>
      </c>
      <c r="AD124" s="1130">
        <f>SQRT(SUMSQ(AC124,VLOOKUP(B124&amp;"; "&amp;H124,'FE Intrants'!G:U,7,FALSE)))</f>
        <v>0.5</v>
      </c>
    </row>
    <row r="125" spans="2:30" s="114" customFormat="1" ht="12.75" hidden="1" customHeight="1" outlineLevel="1">
      <c r="B125" s="143"/>
      <c r="C125" s="144"/>
      <c r="D125" s="222"/>
      <c r="E125" s="222"/>
      <c r="F125" s="144"/>
      <c r="G125" s="1214"/>
      <c r="H125" s="144"/>
      <c r="I125" s="401"/>
      <c r="J125" s="116"/>
      <c r="K125" s="116"/>
      <c r="L125" s="226"/>
      <c r="M125" s="144"/>
      <c r="N125" s="820"/>
      <c r="O125" s="152"/>
      <c r="V125" s="564"/>
      <c r="W125" s="565"/>
      <c r="X125" s="565"/>
      <c r="Y125" s="565"/>
      <c r="Z125" s="567"/>
      <c r="AA125" s="590"/>
      <c r="AC125" s="2099"/>
      <c r="AD125" s="1130"/>
    </row>
    <row r="126" spans="2:30" s="114" customFormat="1" ht="12.75" hidden="1" customHeight="1" outlineLevel="1">
      <c r="B126" s="1002" t="s">
        <v>878</v>
      </c>
      <c r="C126" s="144"/>
      <c r="D126" s="222"/>
      <c r="E126" s="222"/>
      <c r="F126" s="144"/>
      <c r="G126" s="1214"/>
      <c r="H126" s="144"/>
      <c r="I126" s="401"/>
      <c r="J126" s="116"/>
      <c r="K126" s="116"/>
      <c r="L126" s="226"/>
      <c r="M126" s="144"/>
      <c r="N126" s="820"/>
      <c r="O126" s="152"/>
      <c r="V126" s="564"/>
      <c r="W126" s="565"/>
      <c r="X126" s="565"/>
      <c r="Y126" s="565"/>
      <c r="Z126" s="567"/>
      <c r="AA126" s="590"/>
      <c r="AC126" s="2099"/>
      <c r="AD126" s="1130"/>
    </row>
    <row r="127" spans="2:30" s="114" customFormat="1" ht="12.75" hidden="1" customHeight="1" outlineLevel="1">
      <c r="B127" s="143" t="s">
        <v>4695</v>
      </c>
      <c r="C127" s="144"/>
      <c r="D127" s="1215">
        <f t="shared" si="15"/>
        <v>0</v>
      </c>
      <c r="E127" s="1215"/>
      <c r="F127" s="117"/>
      <c r="G127" s="224">
        <f>VLOOKUP($B127&amp;"; "&amp;H127,'FE Intrants'!$G:$U,9,FALSE)</f>
        <v>0.33400000000000002</v>
      </c>
      <c r="H127" s="1211" t="str">
        <f>VLOOKUP(B127,'FE Intrants'!F:U,5,FALSE)</f>
        <v>kgCO2e/kg</v>
      </c>
      <c r="I127" s="1216">
        <f>F127*G127</f>
        <v>0</v>
      </c>
      <c r="J127" s="116"/>
      <c r="K127" s="116"/>
      <c r="L127" s="319">
        <f t="shared" ref="L127:L138" si="16">IF(O127=0,O127,O127/I127)</f>
        <v>0</v>
      </c>
      <c r="M127" s="1218"/>
      <c r="N127" s="820"/>
      <c r="O127" s="152">
        <f>F127*G127*AD127</f>
        <v>0</v>
      </c>
      <c r="V127" s="564">
        <f>IF($F127*VLOOKUP($B127&amp;"; "&amp;$H127,'FE Intrants'!$G:$U,10,FALSE)=0,I127,$F127*VLOOKUP($B127&amp;"; "&amp;$H127,'FE Intrants'!$G:$U,10,FALSE))</f>
        <v>0</v>
      </c>
      <c r="W127" s="565">
        <f>$F127*(VLOOKUP($B127&amp;"; "&amp;$H127,'FE Intrants'!$G:$U,11,FALSE)+VLOOKUP($B127&amp;"; "&amp;$H127,'FE Intrants'!$G:$U,12,FALSE))</f>
        <v>0</v>
      </c>
      <c r="X127" s="565">
        <f>$F127*VLOOKUP($B127&amp;"; "&amp;$H127,'FE Intrants'!$G:$U,13,FALSE)</f>
        <v>0</v>
      </c>
      <c r="Y127" s="565">
        <f>$F127*VLOOKUP($B127&amp;"; "&amp;$H127,'FE Intrants'!$G:$U,14,FALSE)</f>
        <v>0</v>
      </c>
      <c r="Z127" s="567">
        <f>SUM(R127:Y127)</f>
        <v>0</v>
      </c>
      <c r="AA127" s="590">
        <f>$F127*VLOOKUP($B127&amp;"; "&amp;$H127,'FE Intrants'!$G:$U,15,FALSE)</f>
        <v>0</v>
      </c>
      <c r="AC127" s="2099">
        <f>IF($M127&lt;&gt;"votre valeur :",IF(ISNA(VLOOKUP($M127,Utilitaires!$N$566:$O$571,2,FALSE)),,VLOOKUP($M127,Utilitaires!$N$566:$O$571,2,FALSE)),$N127)</f>
        <v>0</v>
      </c>
      <c r="AD127" s="1130">
        <f>SQRT(SUMSQ(AC127,VLOOKUP(B127&amp;"; "&amp;H127,'FE Intrants'!G:U,7,FALSE)))</f>
        <v>0.5</v>
      </c>
    </row>
    <row r="128" spans="2:30" s="114" customFormat="1" ht="12.75" hidden="1" customHeight="1" outlineLevel="1">
      <c r="B128" s="143" t="s">
        <v>4696</v>
      </c>
      <c r="C128" s="144"/>
      <c r="D128" s="1215">
        <f t="shared" si="15"/>
        <v>0</v>
      </c>
      <c r="E128" s="1215"/>
      <c r="F128" s="120"/>
      <c r="G128" s="224">
        <f>VLOOKUP($B128&amp;"; "&amp;H128,'FE Intrants'!$G:$U,9,FALSE)</f>
        <v>0.311</v>
      </c>
      <c r="H128" s="1212" t="str">
        <f>VLOOKUP(B128,'FE Intrants'!F:U,5,FALSE)</f>
        <v>kgCO2e/kg</v>
      </c>
      <c r="I128" s="1216">
        <f>F128*G128</f>
        <v>0</v>
      </c>
      <c r="J128" s="116"/>
      <c r="K128" s="116"/>
      <c r="L128" s="319">
        <f t="shared" si="16"/>
        <v>0</v>
      </c>
      <c r="M128" s="1218"/>
      <c r="N128" s="820"/>
      <c r="O128" s="152">
        <f>F128*G128*AD128</f>
        <v>0</v>
      </c>
      <c r="V128" s="564">
        <f>IF($F128*VLOOKUP($B128&amp;"; "&amp;$H128,'FE Intrants'!$G:$U,10,FALSE)=0,I128,$F128*VLOOKUP($B128&amp;"; "&amp;$H128,'FE Intrants'!$G:$U,10,FALSE))</f>
        <v>0</v>
      </c>
      <c r="W128" s="565">
        <f>$F128*(VLOOKUP($B128&amp;"; "&amp;$H128,'FE Intrants'!$G:$U,11,FALSE)+VLOOKUP($B128&amp;"; "&amp;$H128,'FE Intrants'!$G:$U,12,FALSE))</f>
        <v>0</v>
      </c>
      <c r="X128" s="565">
        <f>$F128*VLOOKUP($B128&amp;"; "&amp;$H128,'FE Intrants'!$G:$U,13,FALSE)</f>
        <v>0</v>
      </c>
      <c r="Y128" s="565">
        <f>$F128*VLOOKUP($B128&amp;"; "&amp;$H128,'FE Intrants'!$G:$U,14,FALSE)</f>
        <v>0</v>
      </c>
      <c r="Z128" s="567">
        <f>SUM(R128:Y128)</f>
        <v>0</v>
      </c>
      <c r="AA128" s="590">
        <f>$F128*VLOOKUP($B128&amp;"; "&amp;$H128,'FE Intrants'!$G:$U,15,FALSE)</f>
        <v>0</v>
      </c>
      <c r="AC128" s="2099">
        <f>IF($M128&lt;&gt;"votre valeur :",IF(ISNA(VLOOKUP($M128,Utilitaires!$N$566:$O$571,2,FALSE)),,VLOOKUP($M128,Utilitaires!$N$566:$O$571,2,FALSE)),$N128)</f>
        <v>0</v>
      </c>
      <c r="AD128" s="1130">
        <f>SQRT(SUMSQ(AC128,VLOOKUP(B128&amp;"; "&amp;H128,'FE Intrants'!G:U,7,FALSE)))</f>
        <v>0.5</v>
      </c>
    </row>
    <row r="129" spans="2:30" s="114" customFormat="1" ht="12.75" hidden="1" customHeight="1" outlineLevel="1">
      <c r="B129" s="143" t="s">
        <v>4697</v>
      </c>
      <c r="C129" s="144"/>
      <c r="D129" s="1215">
        <f t="shared" si="15"/>
        <v>0</v>
      </c>
      <c r="E129" s="1215"/>
      <c r="F129" s="346"/>
      <c r="G129" s="224">
        <f>VLOOKUP($B129&amp;"; "&amp;H129,'FE Intrants'!$G:$U,9,FALSE)</f>
        <v>9.2100000000000001E-2</v>
      </c>
      <c r="H129" s="1212" t="str">
        <f>VLOOKUP(B129,'FE Intrants'!F:U,5,FALSE)</f>
        <v>kgCO2e/kg</v>
      </c>
      <c r="I129" s="1216">
        <f>F129*G129</f>
        <v>0</v>
      </c>
      <c r="J129" s="116"/>
      <c r="K129" s="116"/>
      <c r="L129" s="319">
        <f t="shared" si="16"/>
        <v>0</v>
      </c>
      <c r="M129" s="1218"/>
      <c r="N129" s="820"/>
      <c r="O129" s="152">
        <f>F129*G129*AD129</f>
        <v>0</v>
      </c>
      <c r="V129" s="564">
        <f>IF($F129*VLOOKUP($B129&amp;"; "&amp;$H129,'FE Intrants'!$G:$U,10,FALSE)=0,I129,$F129*VLOOKUP($B129&amp;"; "&amp;$H129,'FE Intrants'!$G:$U,10,FALSE))</f>
        <v>0</v>
      </c>
      <c r="W129" s="565">
        <f>$F129*(VLOOKUP($B129&amp;"; "&amp;$H129,'FE Intrants'!$G:$U,11,FALSE)+VLOOKUP($B129&amp;"; "&amp;$H129,'FE Intrants'!$G:$U,12,FALSE))</f>
        <v>0</v>
      </c>
      <c r="X129" s="565">
        <f>$F129*VLOOKUP($B129&amp;"; "&amp;$H129,'FE Intrants'!$G:$U,13,FALSE)</f>
        <v>0</v>
      </c>
      <c r="Y129" s="565">
        <f>$F129*VLOOKUP($B129&amp;"; "&amp;$H129,'FE Intrants'!$G:$U,14,FALSE)</f>
        <v>0</v>
      </c>
      <c r="Z129" s="567">
        <f>SUM(R129:Y129)</f>
        <v>0</v>
      </c>
      <c r="AA129" s="590">
        <f>$F129*VLOOKUP($B129&amp;"; "&amp;$H129,'FE Intrants'!$G:$U,15,FALSE)</f>
        <v>0</v>
      </c>
      <c r="AC129" s="2099">
        <f>IF($M129&lt;&gt;"votre valeur :",IF(ISNA(VLOOKUP($M129,Utilitaires!$N$566:$O$571,2,FALSE)),,VLOOKUP($M129,Utilitaires!$N$566:$O$571,2,FALSE)),$N129)</f>
        <v>0</v>
      </c>
      <c r="AD129" s="1130">
        <f>SQRT(SUMSQ(AC129,VLOOKUP(B129&amp;"; "&amp;H129,'FE Intrants'!G:U,7,FALSE)))</f>
        <v>0.5</v>
      </c>
    </row>
    <row r="130" spans="2:30" s="114" customFormat="1" ht="12.75" hidden="1" customHeight="1" outlineLevel="1">
      <c r="B130" s="143" t="s">
        <v>4698</v>
      </c>
      <c r="C130" s="144"/>
      <c r="D130" s="1215">
        <f t="shared" si="15"/>
        <v>0</v>
      </c>
      <c r="E130" s="1215"/>
      <c r="F130" s="346"/>
      <c r="G130" s="224">
        <f>VLOOKUP($B130&amp;"; "&amp;H130,'FE Intrants'!$G:$U,9,FALSE)</f>
        <v>5.8500000000000003E-2</v>
      </c>
      <c r="H130" s="1212" t="str">
        <f>VLOOKUP(B130,'FE Intrants'!F:U,5,FALSE)</f>
        <v>kgCO2e/kg</v>
      </c>
      <c r="I130" s="1216">
        <f>F130*G130</f>
        <v>0</v>
      </c>
      <c r="J130" s="116"/>
      <c r="K130" s="116"/>
      <c r="L130" s="319">
        <f t="shared" si="16"/>
        <v>0</v>
      </c>
      <c r="M130" s="1218"/>
      <c r="N130" s="820"/>
      <c r="O130" s="152">
        <f>F130*G130*AD130</f>
        <v>0</v>
      </c>
      <c r="V130" s="564">
        <f>IF($F130*VLOOKUP($B130&amp;"; "&amp;$H130,'FE Intrants'!$G:$U,10,FALSE)=0,I130,$F130*VLOOKUP($B130&amp;"; "&amp;$H130,'FE Intrants'!$G:$U,10,FALSE))</f>
        <v>0</v>
      </c>
      <c r="W130" s="565">
        <f>$F130*(VLOOKUP($B130&amp;"; "&amp;$H130,'FE Intrants'!$G:$U,11,FALSE)+VLOOKUP($B130&amp;"; "&amp;$H130,'FE Intrants'!$G:$U,12,FALSE))</f>
        <v>0</v>
      </c>
      <c r="X130" s="565">
        <f>$F130*VLOOKUP($B130&amp;"; "&amp;$H130,'FE Intrants'!$G:$U,13,FALSE)</f>
        <v>0</v>
      </c>
      <c r="Y130" s="565">
        <f>$F130*VLOOKUP($B130&amp;"; "&amp;$H130,'FE Intrants'!$G:$U,14,FALSE)</f>
        <v>0</v>
      </c>
      <c r="Z130" s="567">
        <f>SUM(R130:Y130)</f>
        <v>0</v>
      </c>
      <c r="AA130" s="590">
        <f>$F130*VLOOKUP($B130&amp;"; "&amp;$H130,'FE Intrants'!$G:$U,15,FALSE)</f>
        <v>0</v>
      </c>
      <c r="AC130" s="2099">
        <f>IF($M130&lt;&gt;"votre valeur :",IF(ISNA(VLOOKUP($M130,Utilitaires!$N$566:$O$571,2,FALSE)),,VLOOKUP($M130,Utilitaires!$N$566:$O$571,2,FALSE)),$N130)</f>
        <v>0</v>
      </c>
      <c r="AD130" s="1130">
        <f>SQRT(SUMSQ(AC130,VLOOKUP(B130&amp;"; "&amp;H130,'FE Intrants'!G:U,7,FALSE)))</f>
        <v>0.5</v>
      </c>
    </row>
    <row r="131" spans="2:30" s="114" customFormat="1" ht="12.75" hidden="1" customHeight="1" outlineLevel="1">
      <c r="B131" s="143" t="s">
        <v>4699</v>
      </c>
      <c r="C131" s="144"/>
      <c r="D131" s="1215">
        <f t="shared" si="15"/>
        <v>0</v>
      </c>
      <c r="E131" s="1215"/>
      <c r="F131" s="347"/>
      <c r="G131" s="224">
        <f>VLOOKUP($B131&amp;"; "&amp;H131,'FE Intrants'!$G:$U,9,FALSE)</f>
        <v>2.36</v>
      </c>
      <c r="H131" s="1213" t="str">
        <f>VLOOKUP(B131,'FE Intrants'!F:U,5,FALSE)</f>
        <v>kgCO2e/kg</v>
      </c>
      <c r="I131" s="1216">
        <f>F131*G131</f>
        <v>0</v>
      </c>
      <c r="J131" s="116"/>
      <c r="K131" s="116"/>
      <c r="L131" s="319">
        <f t="shared" si="16"/>
        <v>0</v>
      </c>
      <c r="M131" s="1218"/>
      <c r="N131" s="820"/>
      <c r="O131" s="152">
        <f>F131*G131*AD131</f>
        <v>0</v>
      </c>
      <c r="V131" s="564">
        <f>IF($F131*VLOOKUP($B131&amp;"; "&amp;$H131,'FE Intrants'!$G:$U,10,FALSE)=0,I131,$F131*VLOOKUP($B131&amp;"; "&amp;$H131,'FE Intrants'!$G:$U,10,FALSE))</f>
        <v>0</v>
      </c>
      <c r="W131" s="565">
        <f>$F131*(VLOOKUP($B131&amp;"; "&amp;$H131,'FE Intrants'!$G:$U,11,FALSE)+VLOOKUP($B131&amp;"; "&amp;$H131,'FE Intrants'!$G:$U,12,FALSE))</f>
        <v>0</v>
      </c>
      <c r="X131" s="565">
        <f>$F131*VLOOKUP($B131&amp;"; "&amp;$H131,'FE Intrants'!$G:$U,13,FALSE)</f>
        <v>0</v>
      </c>
      <c r="Y131" s="565">
        <f>$F131*VLOOKUP($B131&amp;"; "&amp;$H131,'FE Intrants'!$G:$U,14,FALSE)</f>
        <v>0</v>
      </c>
      <c r="Z131" s="567">
        <f>SUM(R131:Y131)</f>
        <v>0</v>
      </c>
      <c r="AA131" s="590">
        <f>$F131*VLOOKUP($B131&amp;"; "&amp;$H131,'FE Intrants'!$G:$U,15,FALSE)</f>
        <v>0</v>
      </c>
      <c r="AC131" s="2099">
        <f>IF($M131&lt;&gt;"votre valeur :",IF(ISNA(VLOOKUP($M131,Utilitaires!$N$566:$O$571,2,FALSE)),,VLOOKUP($M131,Utilitaires!$N$566:$O$571,2,FALSE)),$N131)</f>
        <v>0</v>
      </c>
      <c r="AD131" s="1130">
        <f>SQRT(SUMSQ(AC131,VLOOKUP(B131&amp;"; "&amp;H131,'FE Intrants'!G:U,7,FALSE)))</f>
        <v>0.5</v>
      </c>
    </row>
    <row r="132" spans="2:30" s="114" customFormat="1" ht="12.75" hidden="1" customHeight="1" outlineLevel="1">
      <c r="B132" s="143"/>
      <c r="C132" s="144"/>
      <c r="D132" s="222"/>
      <c r="E132" s="222"/>
      <c r="F132" s="144"/>
      <c r="G132" s="1214"/>
      <c r="H132" s="144"/>
      <c r="I132" s="401"/>
      <c r="J132" s="116"/>
      <c r="K132" s="116"/>
      <c r="L132" s="226"/>
      <c r="M132" s="144"/>
      <c r="N132" s="820"/>
      <c r="O132" s="152"/>
      <c r="V132" s="564"/>
      <c r="W132" s="565"/>
      <c r="X132" s="565"/>
      <c r="Y132" s="565"/>
      <c r="Z132" s="567"/>
      <c r="AA132" s="590"/>
      <c r="AC132" s="2099"/>
      <c r="AD132" s="1130"/>
    </row>
    <row r="133" spans="2:30" s="114" customFormat="1" ht="12.75" hidden="1" customHeight="1" outlineLevel="1">
      <c r="B133" s="1002" t="s">
        <v>4683</v>
      </c>
      <c r="C133" s="144"/>
      <c r="D133" s="222"/>
      <c r="E133" s="222"/>
      <c r="F133" s="144"/>
      <c r="G133" s="1214"/>
      <c r="H133" s="144"/>
      <c r="I133" s="401"/>
      <c r="J133" s="116"/>
      <c r="K133" s="116"/>
      <c r="L133" s="226"/>
      <c r="M133" s="144"/>
      <c r="N133" s="820"/>
      <c r="O133" s="152"/>
      <c r="V133" s="564"/>
      <c r="W133" s="565"/>
      <c r="X133" s="565"/>
      <c r="Y133" s="565"/>
      <c r="Z133" s="567"/>
      <c r="AA133" s="590"/>
      <c r="AC133" s="2099"/>
      <c r="AD133" s="1130"/>
    </row>
    <row r="134" spans="2:30" s="114" customFormat="1" ht="12.75" hidden="1" customHeight="1" outlineLevel="1">
      <c r="B134" s="143" t="s">
        <v>4700</v>
      </c>
      <c r="C134" s="144"/>
      <c r="D134" s="1215">
        <f t="shared" si="15"/>
        <v>0</v>
      </c>
      <c r="E134" s="1215"/>
      <c r="F134" s="117"/>
      <c r="G134" s="224">
        <f>VLOOKUP($B134&amp;"; "&amp;H134,'FE Intrants'!$G:$U,9,FALSE)</f>
        <v>0.82</v>
      </c>
      <c r="H134" s="1211" t="str">
        <f>VLOOKUP(B134,'FE Intrants'!F:U,5,FALSE)</f>
        <v>kgCO2e/kg de produit</v>
      </c>
      <c r="I134" s="1216">
        <f>F134*G134</f>
        <v>0</v>
      </c>
      <c r="J134" s="116"/>
      <c r="K134" s="116"/>
      <c r="L134" s="319">
        <f t="shared" si="16"/>
        <v>0</v>
      </c>
      <c r="M134" s="1218"/>
      <c r="N134" s="820"/>
      <c r="O134" s="152">
        <f>F134*G134*AD134</f>
        <v>0</v>
      </c>
      <c r="V134" s="564">
        <f>IF($F134*VLOOKUP($B134&amp;"; "&amp;$H134,'FE Intrants'!$G:$U,10,FALSE)=0,I134,$F134*VLOOKUP($B134&amp;"; "&amp;$H134,'FE Intrants'!$G:$U,10,FALSE))</f>
        <v>0</v>
      </c>
      <c r="W134" s="565">
        <f>$F134*(VLOOKUP($B134&amp;"; "&amp;$H134,'FE Intrants'!$G:$U,11,FALSE)+VLOOKUP($B134&amp;"; "&amp;$H134,'FE Intrants'!$G:$U,12,FALSE))</f>
        <v>0</v>
      </c>
      <c r="X134" s="565">
        <f>$F134*VLOOKUP($B134&amp;"; "&amp;$H134,'FE Intrants'!$G:$U,13,FALSE)</f>
        <v>0</v>
      </c>
      <c r="Y134" s="565">
        <f>$F134*VLOOKUP($B134&amp;"; "&amp;$H134,'FE Intrants'!$G:$U,14,FALSE)</f>
        <v>0</v>
      </c>
      <c r="Z134" s="567">
        <f>SUM(R134:Y134)</f>
        <v>0</v>
      </c>
      <c r="AA134" s="590">
        <f>$F134*VLOOKUP($B134&amp;"; "&amp;$H134,'FE Intrants'!$G:$U,15,FALSE)</f>
        <v>0</v>
      </c>
      <c r="AC134" s="2099">
        <f>IF($M134&lt;&gt;"votre valeur :",IF(ISNA(VLOOKUP($M134,Utilitaires!$N$566:$O$571,2,FALSE)),,VLOOKUP($M134,Utilitaires!$N$566:$O$571,2,FALSE)),$N134)</f>
        <v>0</v>
      </c>
      <c r="AD134" s="1130">
        <f>SQRT(SUMSQ(AC134,VLOOKUP(B134&amp;"; "&amp;H134,'FE Intrants'!G:U,7,FALSE)))</f>
        <v>0.5</v>
      </c>
    </row>
    <row r="135" spans="2:30" s="114" customFormat="1" ht="12.75" hidden="1" customHeight="1" outlineLevel="1">
      <c r="B135" s="143" t="s">
        <v>4701</v>
      </c>
      <c r="C135" s="144"/>
      <c r="D135" s="1215">
        <f t="shared" si="15"/>
        <v>0</v>
      </c>
      <c r="E135" s="1215"/>
      <c r="F135" s="346"/>
      <c r="G135" s="224">
        <f>VLOOKUP($B135&amp;"; "&amp;H135,'FE Intrants'!$G:$U,9,FALSE)</f>
        <v>0.872</v>
      </c>
      <c r="H135" s="1212" t="str">
        <f>VLOOKUP(B135,'FE Intrants'!F:U,5,FALSE)</f>
        <v>kgCO2e/kg de produit</v>
      </c>
      <c r="I135" s="1216">
        <f>F135*G135</f>
        <v>0</v>
      </c>
      <c r="J135" s="116"/>
      <c r="K135" s="116"/>
      <c r="L135" s="319">
        <f t="shared" si="16"/>
        <v>0</v>
      </c>
      <c r="M135" s="1218"/>
      <c r="N135" s="820"/>
      <c r="O135" s="152">
        <f>F135*G135*AD135</f>
        <v>0</v>
      </c>
      <c r="V135" s="564">
        <f>IF($F135*VLOOKUP($B135&amp;"; "&amp;$H135,'FE Intrants'!$G:$U,10,FALSE)=0,I135,$F135*VLOOKUP($B135&amp;"; "&amp;$H135,'FE Intrants'!$G:$U,10,FALSE))</f>
        <v>0</v>
      </c>
      <c r="W135" s="565">
        <f>$F135*(VLOOKUP($B135&amp;"; "&amp;$H135,'FE Intrants'!$G:$U,11,FALSE)+VLOOKUP($B135&amp;"; "&amp;$H135,'FE Intrants'!$G:$U,12,FALSE))</f>
        <v>0</v>
      </c>
      <c r="X135" s="565">
        <f>$F135*VLOOKUP($B135&amp;"; "&amp;$H135,'FE Intrants'!$G:$U,13,FALSE)</f>
        <v>0</v>
      </c>
      <c r="Y135" s="565">
        <f>$F135*VLOOKUP($B135&amp;"; "&amp;$H135,'FE Intrants'!$G:$U,14,FALSE)</f>
        <v>0</v>
      </c>
      <c r="Z135" s="567">
        <f>SUM(R135:Y135)</f>
        <v>0</v>
      </c>
      <c r="AA135" s="590">
        <f>$F135*VLOOKUP($B135&amp;"; "&amp;$H135,'FE Intrants'!$G:$U,15,FALSE)</f>
        <v>0</v>
      </c>
      <c r="AC135" s="2099">
        <f>IF($M135&lt;&gt;"votre valeur :",IF(ISNA(VLOOKUP($M135,Utilitaires!$N$566:$O$571,2,FALSE)),,VLOOKUP($M135,Utilitaires!$N$566:$O$571,2,FALSE)),$N135)</f>
        <v>0</v>
      </c>
      <c r="AD135" s="1130">
        <f>SQRT(SUMSQ(AC135,VLOOKUP(B135&amp;"; "&amp;H135,'FE Intrants'!G:U,7,FALSE)))</f>
        <v>0.5</v>
      </c>
    </row>
    <row r="136" spans="2:30" s="114" customFormat="1" ht="12.75" hidden="1" customHeight="1" outlineLevel="1">
      <c r="B136" s="143" t="s">
        <v>4702</v>
      </c>
      <c r="C136" s="144"/>
      <c r="D136" s="1215">
        <f>I136</f>
        <v>0</v>
      </c>
      <c r="E136" s="1215"/>
      <c r="F136" s="346"/>
      <c r="G136" s="224">
        <f>VLOOKUP($B136&amp;"; "&amp;H136,'FE Intrants'!$G:$U,9,FALSE)</f>
        <v>0.56000000000000005</v>
      </c>
      <c r="H136" s="1212" t="str">
        <f>VLOOKUP(B136,'FE Intrants'!F:U,5,FALSE)</f>
        <v>kgCO2e/kg de produit</v>
      </c>
      <c r="I136" s="1216">
        <f>F136*G136</f>
        <v>0</v>
      </c>
      <c r="J136" s="116"/>
      <c r="K136" s="116"/>
      <c r="L136" s="319">
        <f t="shared" si="16"/>
        <v>0</v>
      </c>
      <c r="M136" s="1218"/>
      <c r="N136" s="820"/>
      <c r="O136" s="152">
        <f>F136*G136*AD136</f>
        <v>0</v>
      </c>
      <c r="V136" s="564">
        <f>IF($F136*VLOOKUP($B136&amp;"; "&amp;$H136,'FE Intrants'!$G:$U,10,FALSE)=0,I136,$F136*VLOOKUP($B136&amp;"; "&amp;$H136,'FE Intrants'!$G:$U,10,FALSE))</f>
        <v>0</v>
      </c>
      <c r="W136" s="565">
        <f>$F136*(VLOOKUP($B136&amp;"; "&amp;$H136,'FE Intrants'!$G:$U,11,FALSE)+VLOOKUP($B136&amp;"; "&amp;$H136,'FE Intrants'!$G:$U,12,FALSE))</f>
        <v>0</v>
      </c>
      <c r="X136" s="565">
        <f>$F136*VLOOKUP($B136&amp;"; "&amp;$H136,'FE Intrants'!$G:$U,13,FALSE)</f>
        <v>0</v>
      </c>
      <c r="Y136" s="565">
        <f>$F136*VLOOKUP($B136&amp;"; "&amp;$H136,'FE Intrants'!$G:$U,14,FALSE)</f>
        <v>0</v>
      </c>
      <c r="Z136" s="567">
        <f>SUM(R136:Y136)</f>
        <v>0</v>
      </c>
      <c r="AA136" s="590">
        <f>$F136*VLOOKUP($B136&amp;"; "&amp;$H136,'FE Intrants'!$G:$U,15,FALSE)</f>
        <v>0</v>
      </c>
      <c r="AC136" s="2099">
        <f>IF($M136&lt;&gt;"votre valeur :",IF(ISNA(VLOOKUP($M136,Utilitaires!$N$566:$O$571,2,FALSE)),,VLOOKUP($M136,Utilitaires!$N$566:$O$571,2,FALSE)),$N136)</f>
        <v>0</v>
      </c>
      <c r="AD136" s="1130">
        <f>SQRT(SUMSQ(AC136,VLOOKUP(B136&amp;"; "&amp;H136,'FE Intrants'!G:U,7,FALSE)))</f>
        <v>0.5</v>
      </c>
    </row>
    <row r="137" spans="2:30" s="114" customFormat="1" ht="12.75" hidden="1" customHeight="1" outlineLevel="1">
      <c r="B137" s="143" t="s">
        <v>4703</v>
      </c>
      <c r="C137" s="144"/>
      <c r="D137" s="1215">
        <f>I137</f>
        <v>0</v>
      </c>
      <c r="E137" s="1215"/>
      <c r="F137" s="346"/>
      <c r="G137" s="224">
        <f>VLOOKUP($B137&amp;"; "&amp;H137,'FE Intrants'!$G:$U,9,FALSE)</f>
        <v>0.68899999999999995</v>
      </c>
      <c r="H137" s="1212" t="str">
        <f>VLOOKUP(B137,'FE Intrants'!F:U,5,FALSE)</f>
        <v>kgCO2e/kg de produit</v>
      </c>
      <c r="I137" s="1216">
        <f>F137*G137</f>
        <v>0</v>
      </c>
      <c r="J137" s="116"/>
      <c r="K137" s="116"/>
      <c r="L137" s="319">
        <f t="shared" si="16"/>
        <v>0</v>
      </c>
      <c r="M137" s="1218"/>
      <c r="N137" s="820"/>
      <c r="O137" s="152">
        <f>F137*G137*AD137</f>
        <v>0</v>
      </c>
      <c r="V137" s="564">
        <f>IF($F137*VLOOKUP($B137&amp;"; "&amp;$H137,'FE Intrants'!$G:$U,10,FALSE)=0,I137,$F137*VLOOKUP($B137&amp;"; "&amp;$H137,'FE Intrants'!$G:$U,10,FALSE))</f>
        <v>0</v>
      </c>
      <c r="W137" s="565">
        <f>$F137*(VLOOKUP($B137&amp;"; "&amp;$H137,'FE Intrants'!$G:$U,11,FALSE)+VLOOKUP($B137&amp;"; "&amp;$H137,'FE Intrants'!$G:$U,12,FALSE))</f>
        <v>0</v>
      </c>
      <c r="X137" s="565">
        <f>$F137*VLOOKUP($B137&amp;"; "&amp;$H137,'FE Intrants'!$G:$U,13,FALSE)</f>
        <v>0</v>
      </c>
      <c r="Y137" s="565">
        <f>$F137*VLOOKUP($B137&amp;"; "&amp;$H137,'FE Intrants'!$G:$U,14,FALSE)</f>
        <v>0</v>
      </c>
      <c r="Z137" s="567">
        <f>SUM(R137:Y137)</f>
        <v>0</v>
      </c>
      <c r="AA137" s="590">
        <f>$F137*VLOOKUP($B137&amp;"; "&amp;$H137,'FE Intrants'!$G:$U,15,FALSE)</f>
        <v>0</v>
      </c>
      <c r="AC137" s="2099">
        <f>IF($M137&lt;&gt;"votre valeur :",IF(ISNA(VLOOKUP($M137,Utilitaires!$N$566:$O$571,2,FALSE)),,VLOOKUP($M137,Utilitaires!$N$566:$O$571,2,FALSE)),$N137)</f>
        <v>0</v>
      </c>
      <c r="AD137" s="1130">
        <f>SQRT(SUMSQ(AC137,VLOOKUP(B137&amp;"; "&amp;H137,'FE Intrants'!G:U,7,FALSE)))</f>
        <v>0.5</v>
      </c>
    </row>
    <row r="138" spans="2:30" s="114" customFormat="1" ht="12.75" hidden="1" customHeight="1" outlineLevel="1">
      <c r="B138" s="143" t="s">
        <v>4704</v>
      </c>
      <c r="C138" s="144"/>
      <c r="D138" s="1215">
        <f>I138</f>
        <v>0</v>
      </c>
      <c r="E138" s="1215"/>
      <c r="F138" s="347"/>
      <c r="G138" s="224">
        <f>VLOOKUP($B138&amp;"; "&amp;H138,'FE Intrants'!$G:$U,9,FALSE)</f>
        <v>1.27</v>
      </c>
      <c r="H138" s="1213" t="str">
        <f>VLOOKUP(B138,'FE Intrants'!F:U,5,FALSE)</f>
        <v>kgCO2e/kg de produit</v>
      </c>
      <c r="I138" s="1216">
        <f>F138*G138</f>
        <v>0</v>
      </c>
      <c r="J138" s="116"/>
      <c r="K138" s="116"/>
      <c r="L138" s="319">
        <f t="shared" si="16"/>
        <v>0</v>
      </c>
      <c r="M138" s="1218"/>
      <c r="N138" s="820"/>
      <c r="O138" s="152">
        <f>F138*G138*AD138</f>
        <v>0</v>
      </c>
      <c r="V138" s="564">
        <f>IF($F138*VLOOKUP($B138&amp;"; "&amp;$H138,'FE Intrants'!$G:$U,10,FALSE)=0,I138,$F138*VLOOKUP($B138&amp;"; "&amp;$H138,'FE Intrants'!$G:$U,10,FALSE))</f>
        <v>0</v>
      </c>
      <c r="W138" s="565">
        <f>$F138*(VLOOKUP($B138&amp;"; "&amp;$H138,'FE Intrants'!$G:$U,11,FALSE)+VLOOKUP($B138&amp;"; "&amp;$H138,'FE Intrants'!$G:$U,12,FALSE))</f>
        <v>0</v>
      </c>
      <c r="X138" s="565">
        <f>$F138*VLOOKUP($B138&amp;"; "&amp;$H138,'FE Intrants'!$G:$U,13,FALSE)</f>
        <v>0</v>
      </c>
      <c r="Y138" s="565">
        <f>$F138*VLOOKUP($B138&amp;"; "&amp;$H138,'FE Intrants'!$G:$U,14,FALSE)</f>
        <v>0</v>
      </c>
      <c r="Z138" s="567">
        <f>SUM(R138:Y138)</f>
        <v>0</v>
      </c>
      <c r="AA138" s="590">
        <f>$F138*VLOOKUP($B138&amp;"; "&amp;$H138,'FE Intrants'!$G:$U,15,FALSE)</f>
        <v>0</v>
      </c>
      <c r="AC138" s="2099">
        <f>IF($M138&lt;&gt;"votre valeur :",IF(ISNA(VLOOKUP($M138,Utilitaires!$N$566:$O$571,2,FALSE)),,VLOOKUP($M138,Utilitaires!$N$566:$O$571,2,FALSE)),$N138)</f>
        <v>0</v>
      </c>
      <c r="AD138" s="1130">
        <f>SQRT(SUMSQ(AC138,VLOOKUP(B138&amp;"; "&amp;H138,'FE Intrants'!G:U,7,FALSE)))</f>
        <v>0.5</v>
      </c>
    </row>
    <row r="139" spans="2:30" s="114" customFormat="1" ht="12.75" hidden="1" customHeight="1" outlineLevel="1">
      <c r="B139" s="143"/>
      <c r="C139" s="144"/>
      <c r="D139" s="222"/>
      <c r="E139" s="222"/>
      <c r="F139" s="144"/>
      <c r="G139" s="1214"/>
      <c r="H139" s="144"/>
      <c r="I139" s="401"/>
      <c r="J139" s="116"/>
      <c r="K139" s="116"/>
      <c r="L139" s="226"/>
      <c r="M139" s="144"/>
      <c r="N139" s="820"/>
      <c r="O139" s="152"/>
      <c r="V139" s="564"/>
      <c r="W139" s="565"/>
      <c r="X139" s="565"/>
      <c r="Y139" s="565"/>
      <c r="Z139" s="567"/>
      <c r="AA139" s="590"/>
      <c r="AC139" s="2099"/>
      <c r="AD139" s="1130"/>
    </row>
    <row r="140" spans="2:30" s="114" customFormat="1" ht="12.75" hidden="1" customHeight="1" outlineLevel="1">
      <c r="B140" s="1002" t="s">
        <v>4726</v>
      </c>
      <c r="C140" s="144"/>
      <c r="D140" s="222"/>
      <c r="E140" s="222"/>
      <c r="F140" s="144"/>
      <c r="G140" s="1214"/>
      <c r="H140" s="144"/>
      <c r="I140" s="401"/>
      <c r="J140" s="116"/>
      <c r="K140" s="116"/>
      <c r="L140" s="226"/>
      <c r="M140" s="144"/>
      <c r="N140" s="820"/>
      <c r="O140" s="152"/>
      <c r="V140" s="564"/>
      <c r="W140" s="565"/>
      <c r="X140" s="565"/>
      <c r="Y140" s="565"/>
      <c r="Z140" s="567"/>
      <c r="AA140" s="590"/>
      <c r="AC140" s="2099"/>
      <c r="AD140" s="1130"/>
    </row>
    <row r="141" spans="2:30" s="114" customFormat="1" ht="12.75" hidden="1" customHeight="1" outlineLevel="1">
      <c r="B141" s="143" t="s">
        <v>4717</v>
      </c>
      <c r="C141" s="144"/>
      <c r="D141" s="1215">
        <f>I141</f>
        <v>0</v>
      </c>
      <c r="E141" s="1215"/>
      <c r="F141" s="117"/>
      <c r="G141" s="224">
        <f>VLOOKUP($B141&amp;"; "&amp;H141,'FE Intrants'!$G:$U,9,FALSE)</f>
        <v>4.05</v>
      </c>
      <c r="H141" s="1211" t="str">
        <f>VLOOKUP(B141,'FE Intrants'!F:U,5,FALSE)</f>
        <v>kgCO2e/kg de produit</v>
      </c>
      <c r="I141" s="1216">
        <f>F141*G141</f>
        <v>0</v>
      </c>
      <c r="J141" s="116"/>
      <c r="K141" s="116"/>
      <c r="L141" s="319">
        <f>IF(O141=0,O141,O141/I141)</f>
        <v>0</v>
      </c>
      <c r="M141" s="1218"/>
      <c r="N141" s="820"/>
      <c r="O141" s="152">
        <f>F141*G141*AD141</f>
        <v>0</v>
      </c>
      <c r="V141" s="564">
        <f>IF($F141*VLOOKUP($B141&amp;"; "&amp;$H141,'FE Intrants'!$G:$U,10,FALSE)=0,I141,$F141*VLOOKUP($B141&amp;"; "&amp;$H141,'FE Intrants'!$G:$U,10,FALSE))</f>
        <v>0</v>
      </c>
      <c r="W141" s="565">
        <f>$F141*(VLOOKUP($B141&amp;"; "&amp;$H141,'FE Intrants'!$G:$U,11,FALSE)+VLOOKUP($B141&amp;"; "&amp;$H141,'FE Intrants'!$G:$U,12,FALSE))</f>
        <v>0</v>
      </c>
      <c r="X141" s="565">
        <f>$F141*VLOOKUP($B141&amp;"; "&amp;$H141,'FE Intrants'!$G:$U,13,FALSE)</f>
        <v>0</v>
      </c>
      <c r="Y141" s="565">
        <f>$F141*VLOOKUP($B141&amp;"; "&amp;$H141,'FE Intrants'!$G:$U,14,FALSE)</f>
        <v>0</v>
      </c>
      <c r="Z141" s="567">
        <f>SUM(R141:Y141)</f>
        <v>0</v>
      </c>
      <c r="AA141" s="590">
        <f>$F141*VLOOKUP($B141&amp;"; "&amp;$H141,'FE Intrants'!$G:$U,15,FALSE)</f>
        <v>0</v>
      </c>
      <c r="AC141" s="2099">
        <f>IF($M141&lt;&gt;"votre valeur :",IF(ISNA(VLOOKUP($M141,Utilitaires!$N$566:$O$571,2,FALSE)),,VLOOKUP($M141,Utilitaires!$N$566:$O$571,2,FALSE)),$N141)</f>
        <v>0</v>
      </c>
      <c r="AD141" s="1130">
        <f>SQRT(SUMSQ(AC141,VLOOKUP(B141&amp;"; "&amp;H141,'FE Intrants'!G:U,7,FALSE)))</f>
        <v>0.5</v>
      </c>
    </row>
    <row r="142" spans="2:30" s="114" customFormat="1" ht="12.75" hidden="1" customHeight="1" outlineLevel="1">
      <c r="B142" s="143" t="s">
        <v>4718</v>
      </c>
      <c r="C142" s="144"/>
      <c r="D142" s="1215">
        <f>I142</f>
        <v>0</v>
      </c>
      <c r="E142" s="1215"/>
      <c r="F142" s="346"/>
      <c r="G142" s="224">
        <f>VLOOKUP($B142&amp;"; "&amp;H142,'FE Intrants'!$G:$U,9,FALSE)</f>
        <v>16.399999999999999</v>
      </c>
      <c r="H142" s="1212" t="str">
        <f>VLOOKUP(B142,'FE Intrants'!F:U,5,FALSE)</f>
        <v>kgCO2e/kg de produit</v>
      </c>
      <c r="I142" s="1216">
        <f>F142*G142</f>
        <v>0</v>
      </c>
      <c r="J142" s="116"/>
      <c r="K142" s="116"/>
      <c r="L142" s="319">
        <f>IF(O142=0,O142,O142/I142)</f>
        <v>0</v>
      </c>
      <c r="M142" s="1218"/>
      <c r="N142" s="820"/>
      <c r="O142" s="152">
        <f>F142*G142*AD142</f>
        <v>0</v>
      </c>
      <c r="V142" s="564">
        <f>IF($F142*VLOOKUP($B142&amp;"; "&amp;$H142,'FE Intrants'!$G:$U,10,FALSE)=0,I142,$F142*VLOOKUP($B142&amp;"; "&amp;$H142,'FE Intrants'!$G:$U,10,FALSE))</f>
        <v>0</v>
      </c>
      <c r="W142" s="565">
        <f>$F142*(VLOOKUP($B142&amp;"; "&amp;$H142,'FE Intrants'!$G:$U,11,FALSE)+VLOOKUP($B142&amp;"; "&amp;$H142,'FE Intrants'!$G:$U,12,FALSE))</f>
        <v>0</v>
      </c>
      <c r="X142" s="565">
        <f>$F142*VLOOKUP($B142&amp;"; "&amp;$H142,'FE Intrants'!$G:$U,13,FALSE)</f>
        <v>0</v>
      </c>
      <c r="Y142" s="565">
        <f>$F142*VLOOKUP($B142&amp;"; "&amp;$H142,'FE Intrants'!$G:$U,14,FALSE)</f>
        <v>0</v>
      </c>
      <c r="Z142" s="567">
        <f>SUM(R142:Y142)</f>
        <v>0</v>
      </c>
      <c r="AA142" s="590">
        <f>$F142*VLOOKUP($B142&amp;"; "&amp;$H142,'FE Intrants'!$G:$U,15,FALSE)</f>
        <v>0</v>
      </c>
      <c r="AC142" s="2099">
        <f>IF($M142&lt;&gt;"votre valeur :",IF(ISNA(VLOOKUP($M142,Utilitaires!$N$566:$O$571,2,FALSE)),,VLOOKUP($M142,Utilitaires!$N$566:$O$571,2,FALSE)),$N142)</f>
        <v>0</v>
      </c>
      <c r="AD142" s="1130">
        <f>SQRT(SUMSQ(AC142,VLOOKUP(B142&amp;"; "&amp;H142,'FE Intrants'!G:U,7,FALSE)))</f>
        <v>0.5</v>
      </c>
    </row>
    <row r="143" spans="2:30" s="114" customFormat="1" ht="12.75" hidden="1" customHeight="1" outlineLevel="1">
      <c r="B143" s="143" t="s">
        <v>2214</v>
      </c>
      <c r="C143" s="144"/>
      <c r="D143" s="1215">
        <f>I143</f>
        <v>0</v>
      </c>
      <c r="E143" s="1215"/>
      <c r="F143" s="346"/>
      <c r="G143" s="224">
        <f>VLOOKUP($B143&amp;"; "&amp;H143,'FE Intrants'!$G:$U,9,FALSE)</f>
        <v>22.4</v>
      </c>
      <c r="H143" s="1212" t="str">
        <f>VLOOKUP(B143,'FE Intrants'!F:U,5,FALSE)</f>
        <v>kgCO2e/kg de produit</v>
      </c>
      <c r="I143" s="1216">
        <f>F143*G143</f>
        <v>0</v>
      </c>
      <c r="J143" s="116"/>
      <c r="K143" s="116"/>
      <c r="L143" s="319">
        <f>IF(O143=0,O143,O143/I143)</f>
        <v>0</v>
      </c>
      <c r="M143" s="1218"/>
      <c r="N143" s="820"/>
      <c r="O143" s="152">
        <f>F143*G143*AD143</f>
        <v>0</v>
      </c>
      <c r="V143" s="564">
        <f>IF($F143*VLOOKUP($B143&amp;"; "&amp;$H143,'FE Intrants'!$G:$U,10,FALSE)=0,I143,$F143*VLOOKUP($B143&amp;"; "&amp;$H143,'FE Intrants'!$G:$U,10,FALSE))</f>
        <v>0</v>
      </c>
      <c r="W143" s="565">
        <f>$F143*(VLOOKUP($B143&amp;"; "&amp;$H143,'FE Intrants'!$G:$U,11,FALSE)+VLOOKUP($B143&amp;"; "&amp;$H143,'FE Intrants'!$G:$U,12,FALSE))</f>
        <v>0</v>
      </c>
      <c r="X143" s="565">
        <f>$F143*VLOOKUP($B143&amp;"; "&amp;$H143,'FE Intrants'!$G:$U,13,FALSE)</f>
        <v>0</v>
      </c>
      <c r="Y143" s="565">
        <f>$F143*VLOOKUP($B143&amp;"; "&amp;$H143,'FE Intrants'!$G:$U,14,FALSE)</f>
        <v>0</v>
      </c>
      <c r="Z143" s="567">
        <f>SUM(R143:Y143)</f>
        <v>0</v>
      </c>
      <c r="AA143" s="590">
        <f>$F143*VLOOKUP($B143&amp;"; "&amp;$H143,'FE Intrants'!$G:$U,15,FALSE)</f>
        <v>0</v>
      </c>
      <c r="AC143" s="2099">
        <f>IF($M143&lt;&gt;"votre valeur :",IF(ISNA(VLOOKUP($M143,Utilitaires!$N$566:$O$571,2,FALSE)),,VLOOKUP($M143,Utilitaires!$N$566:$O$571,2,FALSE)),$N143)</f>
        <v>0</v>
      </c>
      <c r="AD143" s="1130">
        <f>SQRT(SUMSQ(AC143,VLOOKUP(B143&amp;"; "&amp;H143,'FE Intrants'!G:U,7,FALSE)))</f>
        <v>0.5</v>
      </c>
    </row>
    <row r="144" spans="2:30" s="114" customFormat="1" ht="12.75" hidden="1" customHeight="1" outlineLevel="1">
      <c r="B144" s="143" t="s">
        <v>4719</v>
      </c>
      <c r="C144" s="144"/>
      <c r="D144" s="1215">
        <f>I144</f>
        <v>0</v>
      </c>
      <c r="E144" s="1215"/>
      <c r="F144" s="346"/>
      <c r="G144" s="224">
        <f>VLOOKUP($B144&amp;"; "&amp;H144,'FE Intrants'!$G:$U,9,FALSE)</f>
        <v>1.94</v>
      </c>
      <c r="H144" s="1212" t="str">
        <f>VLOOKUP(B144,'FE Intrants'!F:U,5,FALSE)</f>
        <v>kgCO2e/kg de produit</v>
      </c>
      <c r="I144" s="1216">
        <f>F144*G144</f>
        <v>0</v>
      </c>
      <c r="J144" s="116"/>
      <c r="K144" s="116"/>
      <c r="L144" s="319">
        <f>IF(O144=0,O144,O144/I144)</f>
        <v>0</v>
      </c>
      <c r="M144" s="1218"/>
      <c r="N144" s="820"/>
      <c r="O144" s="152">
        <f>F144*G144*AD144</f>
        <v>0</v>
      </c>
      <c r="V144" s="564">
        <f>IF($F144*VLOOKUP($B144&amp;"; "&amp;$H144,'FE Intrants'!$G:$U,10,FALSE)=0,I144,$F144*VLOOKUP($B144&amp;"; "&amp;$H144,'FE Intrants'!$G:$U,10,FALSE))</f>
        <v>0</v>
      </c>
      <c r="W144" s="565">
        <f>$F144*(VLOOKUP($B144&amp;"; "&amp;$H144,'FE Intrants'!$G:$U,11,FALSE)+VLOOKUP($B144&amp;"; "&amp;$H144,'FE Intrants'!$G:$U,12,FALSE))</f>
        <v>0</v>
      </c>
      <c r="X144" s="565">
        <f>$F144*VLOOKUP($B144&amp;"; "&amp;$H144,'FE Intrants'!$G:$U,13,FALSE)</f>
        <v>0</v>
      </c>
      <c r="Y144" s="565">
        <f>$F144*VLOOKUP($B144&amp;"; "&amp;$H144,'FE Intrants'!$G:$U,14,FALSE)</f>
        <v>0</v>
      </c>
      <c r="Z144" s="567">
        <f>SUM(R144:Y144)</f>
        <v>0</v>
      </c>
      <c r="AA144" s="590">
        <f>$F144*VLOOKUP($B144&amp;"; "&amp;$H144,'FE Intrants'!$G:$U,15,FALSE)</f>
        <v>0</v>
      </c>
      <c r="AC144" s="2099">
        <f>IF($M144&lt;&gt;"votre valeur :",IF(ISNA(VLOOKUP($M144,Utilitaires!$N$566:$O$571,2,FALSE)),,VLOOKUP($M144,Utilitaires!$N$566:$O$571,2,FALSE)),$N144)</f>
        <v>0</v>
      </c>
      <c r="AD144" s="1130">
        <f>SQRT(SUMSQ(AC144,VLOOKUP(B144&amp;"; "&amp;H144,'FE Intrants'!G:U,7,FALSE)))</f>
        <v>0.5</v>
      </c>
    </row>
    <row r="145" spans="2:30" s="114" customFormat="1" ht="12.75" hidden="1" customHeight="1" outlineLevel="1">
      <c r="B145" s="143" t="s">
        <v>4720</v>
      </c>
      <c r="C145" s="144"/>
      <c r="D145" s="1215">
        <f>I145</f>
        <v>0</v>
      </c>
      <c r="E145" s="1215"/>
      <c r="F145" s="347"/>
      <c r="G145" s="224">
        <f>VLOOKUP($B145&amp;"; "&amp;H145,'FE Intrants'!$G:$U,9,FALSE)</f>
        <v>2.8123654</v>
      </c>
      <c r="H145" s="1213" t="str">
        <f>VLOOKUP(B145,'FE Intrants'!F:U,5,FALSE)</f>
        <v>kgCO2e/kg de produit</v>
      </c>
      <c r="I145" s="1216">
        <f>F145*G145</f>
        <v>0</v>
      </c>
      <c r="J145" s="116"/>
      <c r="K145" s="116"/>
      <c r="L145" s="319">
        <f>IF(O145=0,O145,O145/I145)</f>
        <v>0</v>
      </c>
      <c r="M145" s="1218"/>
      <c r="N145" s="820"/>
      <c r="O145" s="152">
        <f>F145*G145*AD145</f>
        <v>0</v>
      </c>
      <c r="V145" s="564">
        <f>IF($F145*VLOOKUP($B145&amp;"; "&amp;$H145,'FE Intrants'!$G:$U,10,FALSE)=0,I145,$F145*VLOOKUP($B145&amp;"; "&amp;$H145,'FE Intrants'!$G:$U,10,FALSE))</f>
        <v>0</v>
      </c>
      <c r="W145" s="565">
        <f>$F145*(VLOOKUP($B145&amp;"; "&amp;$H145,'FE Intrants'!$G:$U,11,FALSE)+VLOOKUP($B145&amp;"; "&amp;$H145,'FE Intrants'!$G:$U,12,FALSE))</f>
        <v>0</v>
      </c>
      <c r="X145" s="565">
        <f>$F145*VLOOKUP($B145&amp;"; "&amp;$H145,'FE Intrants'!$G:$U,13,FALSE)</f>
        <v>0</v>
      </c>
      <c r="Y145" s="565">
        <f>$F145*VLOOKUP($B145&amp;"; "&amp;$H145,'FE Intrants'!$G:$U,14,FALSE)</f>
        <v>0</v>
      </c>
      <c r="Z145" s="567">
        <f>SUM(R145:Y145)</f>
        <v>0</v>
      </c>
      <c r="AA145" s="590">
        <f>$F145*VLOOKUP($B145&amp;"; "&amp;$H145,'FE Intrants'!$G:$U,15,FALSE)</f>
        <v>0</v>
      </c>
      <c r="AC145" s="2099">
        <f>IF($M145&lt;&gt;"votre valeur :",IF(ISNA(VLOOKUP($M145,Utilitaires!$N$566:$O$571,2,FALSE)),,VLOOKUP($M145,Utilitaires!$N$566:$O$571,2,FALSE)),$N145)</f>
        <v>0</v>
      </c>
      <c r="AD145" s="1130">
        <f>SQRT(SUMSQ(AC145,VLOOKUP(B145&amp;"; "&amp;H145,'FE Intrants'!G:U,7,FALSE)))</f>
        <v>0.5</v>
      </c>
    </row>
    <row r="146" spans="2:30" s="114" customFormat="1" ht="12.75" hidden="1" customHeight="1" outlineLevel="1">
      <c r="B146" s="143"/>
      <c r="C146" s="144"/>
      <c r="D146" s="222"/>
      <c r="E146" s="222"/>
      <c r="F146" s="144"/>
      <c r="G146" s="1214"/>
      <c r="H146" s="144"/>
      <c r="I146" s="401"/>
      <c r="J146" s="116"/>
      <c r="K146" s="116"/>
      <c r="L146" s="226"/>
      <c r="M146" s="144"/>
      <c r="N146" s="820"/>
      <c r="O146" s="152"/>
      <c r="V146" s="564"/>
      <c r="W146" s="565"/>
      <c r="X146" s="565"/>
      <c r="Y146" s="565"/>
      <c r="Z146" s="567"/>
      <c r="AA146" s="590"/>
      <c r="AC146" s="2099"/>
      <c r="AD146" s="1130"/>
    </row>
    <row r="147" spans="2:30" s="114" customFormat="1" ht="12.75" hidden="1" customHeight="1" outlineLevel="1">
      <c r="B147" s="1002" t="s">
        <v>4684</v>
      </c>
      <c r="C147" s="144"/>
      <c r="D147" s="222"/>
      <c r="E147" s="222"/>
      <c r="F147" s="144"/>
      <c r="G147" s="1214"/>
      <c r="H147" s="144"/>
      <c r="I147" s="401"/>
      <c r="J147" s="116"/>
      <c r="K147" s="116"/>
      <c r="L147" s="226"/>
      <c r="M147" s="144"/>
      <c r="N147" s="820"/>
      <c r="O147" s="152"/>
      <c r="V147" s="564"/>
      <c r="W147" s="565"/>
      <c r="X147" s="565"/>
      <c r="Y147" s="565"/>
      <c r="Z147" s="567"/>
      <c r="AA147" s="590"/>
      <c r="AC147" s="2411"/>
      <c r="AD147" s="1130"/>
    </row>
    <row r="148" spans="2:30" s="114" customFormat="1" ht="12.75" hidden="1" customHeight="1" outlineLevel="1">
      <c r="B148" s="143" t="s">
        <v>4705</v>
      </c>
      <c r="C148" s="144"/>
      <c r="D148" s="1215">
        <f>I148</f>
        <v>0</v>
      </c>
      <c r="E148" s="1215"/>
      <c r="F148" s="117"/>
      <c r="G148" s="224">
        <f>VLOOKUP($B148&amp;"; "&amp;H148,'FE Intrants'!$G:$U,9,FALSE)</f>
        <v>1.22</v>
      </c>
      <c r="H148" s="1211" t="str">
        <f>VLOOKUP(B148,'FE Intrants'!F$1396:U$1553,5,FALSE)</f>
        <v>kgCO2e/kg de produit</v>
      </c>
      <c r="I148" s="1216">
        <f>F148*G148</f>
        <v>0</v>
      </c>
      <c r="J148" s="116"/>
      <c r="K148" s="116"/>
      <c r="L148" s="319">
        <f>IF(O148=0,O148,O148/I148)</f>
        <v>0</v>
      </c>
      <c r="M148" s="1218"/>
      <c r="N148" s="820"/>
      <c r="O148" s="152">
        <f>F148*G148*AD148</f>
        <v>0</v>
      </c>
      <c r="V148" s="564">
        <f>IF($F148*VLOOKUP($B148&amp;"; "&amp;$H148,'FE Intrants'!$G:$U,10,FALSE)=0,I148,$F148*VLOOKUP($B148&amp;"; "&amp;$H148,'FE Intrants'!$G:$U,10,FALSE))</f>
        <v>0</v>
      </c>
      <c r="W148" s="565">
        <f>$F148*(VLOOKUP($B148&amp;"; "&amp;$H148,'FE Intrants'!$G:$U,11,FALSE)+VLOOKUP($B148&amp;"; "&amp;$H148,'FE Intrants'!$G:$U,12,FALSE))</f>
        <v>0</v>
      </c>
      <c r="X148" s="565">
        <f>$F148*VLOOKUP($B148&amp;"; "&amp;$H148,'FE Intrants'!$G:$U,13,FALSE)</f>
        <v>0</v>
      </c>
      <c r="Y148" s="565">
        <f>$F148*VLOOKUP($B148&amp;"; "&amp;$H148,'FE Intrants'!$G:$U,14,FALSE)</f>
        <v>0</v>
      </c>
      <c r="Z148" s="567">
        <f>SUM(R148:Y148)</f>
        <v>0</v>
      </c>
      <c r="AA148" s="590">
        <f>$F148*VLOOKUP($B148&amp;"; "&amp;$H148,'FE Intrants'!$G:$U,15,FALSE)</f>
        <v>0</v>
      </c>
      <c r="AC148" s="2411">
        <f>IF($M148&lt;&gt;"votre valeur :",IF(ISNA(VLOOKUP($M148,Utilitaires!$N$566:$O$571,2,FALSE)),,VLOOKUP($M148,Utilitaires!$N$566:$O$571,2,FALSE)),$N148)</f>
        <v>0</v>
      </c>
      <c r="AD148" s="1130">
        <f>SQRT(SUMSQ(AC148,VLOOKUP(B148&amp;"; "&amp;H148,'FE Intrants'!G:U,7,FALSE)))</f>
        <v>0.5</v>
      </c>
    </row>
    <row r="149" spans="2:30" s="114" customFormat="1" ht="12.75" hidden="1" customHeight="1" outlineLevel="1">
      <c r="B149" s="143" t="s">
        <v>4706</v>
      </c>
      <c r="C149" s="144"/>
      <c r="D149" s="1215">
        <f>I149</f>
        <v>0</v>
      </c>
      <c r="E149" s="1215"/>
      <c r="F149" s="346"/>
      <c r="G149" s="224">
        <f>VLOOKUP($B149&amp;"; "&amp;H149,'FE Intrants'!$G:$U,9,FALSE)</f>
        <v>1.37</v>
      </c>
      <c r="H149" s="1212" t="str">
        <f>VLOOKUP(B149,'FE Intrants'!F$1396:U$1553,5,FALSE)</f>
        <v>kgCO2e/kg de produit</v>
      </c>
      <c r="I149" s="1216">
        <f>F149*G149</f>
        <v>0</v>
      </c>
      <c r="J149" s="116"/>
      <c r="K149" s="116"/>
      <c r="L149" s="319">
        <f>IF(O149=0,O149,O149/I149)</f>
        <v>0</v>
      </c>
      <c r="M149" s="1218"/>
      <c r="N149" s="820"/>
      <c r="O149" s="152">
        <f>F149*G149*AD149</f>
        <v>0</v>
      </c>
      <c r="V149" s="564">
        <f>IF($F149*VLOOKUP($B149&amp;"; "&amp;$H149,'FE Intrants'!$G:$U,10,FALSE)=0,I149,$F149*VLOOKUP($B149&amp;"; "&amp;$H149,'FE Intrants'!$G:$U,10,FALSE))</f>
        <v>0</v>
      </c>
      <c r="W149" s="565">
        <f>$F149*(VLOOKUP($B149&amp;"; "&amp;$H149,'FE Intrants'!$G:$U,11,FALSE)+VLOOKUP($B149&amp;"; "&amp;$H149,'FE Intrants'!$G:$U,12,FALSE))</f>
        <v>0</v>
      </c>
      <c r="X149" s="565">
        <f>$F149*VLOOKUP($B149&amp;"; "&amp;$H149,'FE Intrants'!$G:$U,13,FALSE)</f>
        <v>0</v>
      </c>
      <c r="Y149" s="565">
        <f>$F149*VLOOKUP($B149&amp;"; "&amp;$H149,'FE Intrants'!$G:$U,14,FALSE)</f>
        <v>0</v>
      </c>
      <c r="Z149" s="567">
        <f>SUM(R149:Y149)</f>
        <v>0</v>
      </c>
      <c r="AA149" s="590">
        <f>$F149*VLOOKUP($B149&amp;"; "&amp;$H149,'FE Intrants'!$G:$U,15,FALSE)</f>
        <v>0</v>
      </c>
      <c r="AC149" s="2411">
        <f>IF($M149&lt;&gt;"votre valeur :",IF(ISNA(VLOOKUP($M149,Utilitaires!$N$566:$O$571,2,FALSE)),,VLOOKUP($M149,Utilitaires!$N$566:$O$571,2,FALSE)),$N149)</f>
        <v>0</v>
      </c>
      <c r="AD149" s="1130">
        <f>SQRT(SUMSQ(AC149,VLOOKUP(B149&amp;"; "&amp;H149,'FE Intrants'!G:U,7,FALSE)))</f>
        <v>0.5</v>
      </c>
    </row>
    <row r="150" spans="2:30" s="114" customFormat="1" ht="12.75" hidden="1" customHeight="1" outlineLevel="1">
      <c r="B150" s="143" t="s">
        <v>4707</v>
      </c>
      <c r="C150" s="144"/>
      <c r="D150" s="1215">
        <f>I150</f>
        <v>0</v>
      </c>
      <c r="E150" s="1215"/>
      <c r="F150" s="346"/>
      <c r="G150" s="224">
        <f>VLOOKUP($B150&amp;"; "&amp;H150,'FE Intrants'!$G:$U,9,FALSE)</f>
        <v>4.68</v>
      </c>
      <c r="H150" s="1212" t="str">
        <f>VLOOKUP(B150,'FE Intrants'!F$1396:U$1553,5,FALSE)</f>
        <v>kgCO2e/kg de produit</v>
      </c>
      <c r="I150" s="1216">
        <f>F150*G150</f>
        <v>0</v>
      </c>
      <c r="J150" s="116"/>
      <c r="K150" s="116"/>
      <c r="L150" s="319">
        <f>IF(O150=0,O150,O150/I150)</f>
        <v>0</v>
      </c>
      <c r="M150" s="1218"/>
      <c r="N150" s="820"/>
      <c r="O150" s="152">
        <f>F150*G150*AD150</f>
        <v>0</v>
      </c>
      <c r="V150" s="564">
        <f>IF($F150*VLOOKUP($B150&amp;"; "&amp;$H150,'FE Intrants'!$G:$U,10,FALSE)=0,I150,$F150*VLOOKUP($B150&amp;"; "&amp;$H150,'FE Intrants'!$G:$U,10,FALSE))</f>
        <v>0</v>
      </c>
      <c r="W150" s="565">
        <f>$F150*(VLOOKUP($B150&amp;"; "&amp;$H150,'FE Intrants'!$G:$U,11,FALSE)+VLOOKUP($B150&amp;"; "&amp;$H150,'FE Intrants'!$G:$U,12,FALSE))</f>
        <v>0</v>
      </c>
      <c r="X150" s="565">
        <f>$F150*VLOOKUP($B150&amp;"; "&amp;$H150,'FE Intrants'!$G:$U,13,FALSE)</f>
        <v>0</v>
      </c>
      <c r="Y150" s="565">
        <f>$F150*VLOOKUP($B150&amp;"; "&amp;$H150,'FE Intrants'!$G:$U,14,FALSE)</f>
        <v>0</v>
      </c>
      <c r="Z150" s="567">
        <f>SUM(R150:Y150)</f>
        <v>0</v>
      </c>
      <c r="AA150" s="590">
        <f>$F150*VLOOKUP($B150&amp;"; "&amp;$H150,'FE Intrants'!$G:$U,15,FALSE)</f>
        <v>0</v>
      </c>
      <c r="AC150" s="2411">
        <f>IF($M150&lt;&gt;"votre valeur :",IF(ISNA(VLOOKUP($M150,Utilitaires!$N$566:$O$571,2,FALSE)),,VLOOKUP($M150,Utilitaires!$N$566:$O$571,2,FALSE)),$N150)</f>
        <v>0</v>
      </c>
      <c r="AD150" s="1130">
        <f>SQRT(SUMSQ(AC150,VLOOKUP(B150&amp;"; "&amp;H150,'FE Intrants'!G:U,7,FALSE)))</f>
        <v>0.5</v>
      </c>
    </row>
    <row r="151" spans="2:30" s="114" customFormat="1" ht="12.75" hidden="1" customHeight="1" outlineLevel="1">
      <c r="B151" s="143" t="s">
        <v>4708</v>
      </c>
      <c r="C151" s="144"/>
      <c r="D151" s="1215">
        <f>I151</f>
        <v>0</v>
      </c>
      <c r="E151" s="1215"/>
      <c r="F151" s="346"/>
      <c r="G151" s="224">
        <f>VLOOKUP($B151&amp;"; "&amp;H151,'FE Intrants'!$G:$U,9,FALSE)</f>
        <v>0.91700000000000004</v>
      </c>
      <c r="H151" s="1212" t="str">
        <f>VLOOKUP(B151,'FE Intrants'!F$1396:U$1553,5,FALSE)</f>
        <v>kgCO2e/kg de produit</v>
      </c>
      <c r="I151" s="1216">
        <f>F151*G151</f>
        <v>0</v>
      </c>
      <c r="J151" s="116"/>
      <c r="K151" s="116"/>
      <c r="L151" s="319">
        <f>IF(O151=0,O151,O151/I151)</f>
        <v>0</v>
      </c>
      <c r="M151" s="1218"/>
      <c r="N151" s="820"/>
      <c r="O151" s="152">
        <f>F151*G151*AD151</f>
        <v>0</v>
      </c>
      <c r="V151" s="564">
        <f>IF($F151*VLOOKUP($B151&amp;"; "&amp;$H151,'FE Intrants'!$G:$U,10,FALSE)=0,I151,$F151*VLOOKUP($B151&amp;"; "&amp;$H151,'FE Intrants'!$G:$U,10,FALSE))</f>
        <v>0</v>
      </c>
      <c r="W151" s="565">
        <f>$F151*(VLOOKUP($B151&amp;"; "&amp;$H151,'FE Intrants'!$G:$U,11,FALSE)+VLOOKUP($B151&amp;"; "&amp;$H151,'FE Intrants'!$G:$U,12,FALSE))</f>
        <v>0</v>
      </c>
      <c r="X151" s="565">
        <f>$F151*VLOOKUP($B151&amp;"; "&amp;$H151,'FE Intrants'!$G:$U,13,FALSE)</f>
        <v>0</v>
      </c>
      <c r="Y151" s="565">
        <f>$F151*VLOOKUP($B151&amp;"; "&amp;$H151,'FE Intrants'!$G:$U,14,FALSE)</f>
        <v>0</v>
      </c>
      <c r="Z151" s="567">
        <f>SUM(R151:Y151)</f>
        <v>0</v>
      </c>
      <c r="AA151" s="590">
        <f>$F151*VLOOKUP($B151&amp;"; "&amp;$H151,'FE Intrants'!$G:$U,15,FALSE)</f>
        <v>0</v>
      </c>
      <c r="AC151" s="2411">
        <f>IF($M151&lt;&gt;"votre valeur :",IF(ISNA(VLOOKUP($M151,Utilitaires!$N$566:$O$571,2,FALSE)),,VLOOKUP($M151,Utilitaires!$N$566:$O$571,2,FALSE)),$N151)</f>
        <v>0</v>
      </c>
      <c r="AD151" s="1130">
        <f>SQRT(SUMSQ(AC151,VLOOKUP(B151&amp;"; "&amp;H151,'FE Intrants'!G:U,7,FALSE)))</f>
        <v>0.5</v>
      </c>
    </row>
    <row r="152" spans="2:30" s="114" customFormat="1" ht="12.75" hidden="1" customHeight="1" outlineLevel="1">
      <c r="B152" s="143" t="s">
        <v>4709</v>
      </c>
      <c r="C152" s="144"/>
      <c r="D152" s="1215">
        <f>I152</f>
        <v>0</v>
      </c>
      <c r="E152" s="1215"/>
      <c r="F152" s="347"/>
      <c r="G152" s="224">
        <f>VLOOKUP($B152&amp;"; "&amp;H152,'FE Intrants'!$G:$U,9,FALSE)</f>
        <v>4.51</v>
      </c>
      <c r="H152" s="1213" t="str">
        <f>VLOOKUP(B152,'FE Intrants'!F$1396:U$1553,5,FALSE)</f>
        <v>kgCO2e/kg de produit</v>
      </c>
      <c r="I152" s="1216">
        <f>F152*G152</f>
        <v>0</v>
      </c>
      <c r="J152" s="116"/>
      <c r="K152" s="116"/>
      <c r="L152" s="319">
        <f>IF(O152=0,O152,O152/I152)</f>
        <v>0</v>
      </c>
      <c r="M152" s="1218"/>
      <c r="N152" s="820"/>
      <c r="O152" s="152">
        <f>F152*G152*AD152</f>
        <v>0</v>
      </c>
      <c r="V152" s="564">
        <f>IF($F152*VLOOKUP($B152&amp;"; "&amp;$H152,'FE Intrants'!$G:$U,10,FALSE)=0,I152,$F152*VLOOKUP($B152&amp;"; "&amp;$H152,'FE Intrants'!$G:$U,10,FALSE))</f>
        <v>0</v>
      </c>
      <c r="W152" s="565">
        <f>$F152*(VLOOKUP($B152&amp;"; "&amp;$H152,'FE Intrants'!$G:$U,11,FALSE)+VLOOKUP($B152&amp;"; "&amp;$H152,'FE Intrants'!$G:$U,12,FALSE))</f>
        <v>0</v>
      </c>
      <c r="X152" s="565">
        <f>$F152*VLOOKUP($B152&amp;"; "&amp;$H152,'FE Intrants'!$G:$U,13,FALSE)</f>
        <v>0</v>
      </c>
      <c r="Y152" s="565">
        <f>$F152*VLOOKUP($B152&amp;"; "&amp;$H152,'FE Intrants'!$G:$U,14,FALSE)</f>
        <v>0</v>
      </c>
      <c r="Z152" s="567">
        <f>SUM(R152:Y152)</f>
        <v>0</v>
      </c>
      <c r="AA152" s="590">
        <f>$F152*VLOOKUP($B152&amp;"; "&amp;$H152,'FE Intrants'!$G:$U,15,FALSE)</f>
        <v>0</v>
      </c>
      <c r="AC152" s="2411">
        <f>IF($M152&lt;&gt;"votre valeur :",IF(ISNA(VLOOKUP($M152,Utilitaires!$N$566:$O$571,2,FALSE)),,VLOOKUP($M152,Utilitaires!$N$566:$O$571,2,FALSE)),$N152)</f>
        <v>0</v>
      </c>
      <c r="AD152" s="1130">
        <f>SQRT(SUMSQ(AC152,VLOOKUP(B152&amp;"; "&amp;H152,'FE Intrants'!G:U,7,FALSE)))</f>
        <v>0.5</v>
      </c>
    </row>
    <row r="153" spans="2:30" s="114" customFormat="1" ht="12.75" hidden="1" customHeight="1" outlineLevel="1">
      <c r="B153" s="143"/>
      <c r="C153" s="144"/>
      <c r="D153" s="213"/>
      <c r="E153" s="213"/>
      <c r="F153" s="144"/>
      <c r="G153" s="144"/>
      <c r="H153" s="144"/>
      <c r="I153" s="145"/>
      <c r="J153" s="116"/>
      <c r="K153" s="116"/>
      <c r="L153" s="163"/>
      <c r="M153" s="144"/>
      <c r="N153" s="144"/>
      <c r="O153" s="152"/>
      <c r="V153" s="564"/>
      <c r="W153" s="565"/>
      <c r="X153" s="565"/>
      <c r="Y153" s="565"/>
      <c r="Z153" s="567"/>
      <c r="AA153" s="590"/>
      <c r="AC153" s="2411"/>
      <c r="AD153" s="1130"/>
    </row>
    <row r="154" spans="2:30" s="114" customFormat="1" ht="12.75" hidden="1" customHeight="1" outlineLevel="1">
      <c r="B154" s="1002" t="s">
        <v>5075</v>
      </c>
      <c r="C154" s="144"/>
      <c r="D154" s="222"/>
      <c r="E154" s="222"/>
      <c r="F154" s="144"/>
      <c r="G154" s="1214"/>
      <c r="H154" s="144"/>
      <c r="I154" s="401"/>
      <c r="J154" s="116"/>
      <c r="K154" s="116"/>
      <c r="L154" s="226"/>
      <c r="M154" s="144"/>
      <c r="N154" s="820"/>
      <c r="O154" s="152"/>
      <c r="V154" s="564"/>
      <c r="W154" s="565"/>
      <c r="X154" s="565"/>
      <c r="Y154" s="565"/>
      <c r="Z154" s="567"/>
      <c r="AA154" s="590"/>
      <c r="AC154" s="2454"/>
      <c r="AD154" s="1130"/>
    </row>
    <row r="155" spans="2:30" s="114" customFormat="1" ht="12.75" hidden="1" customHeight="1" outlineLevel="1">
      <c r="B155" s="143" t="s">
        <v>5070</v>
      </c>
      <c r="C155" s="144"/>
      <c r="D155" s="1215">
        <f>I155</f>
        <v>0</v>
      </c>
      <c r="E155" s="1215"/>
      <c r="F155" s="117"/>
      <c r="G155" s="224">
        <f>VLOOKUP($B155&amp;"; "&amp;H155,'FE Intrants'!$G:$U,9,FALSE)</f>
        <v>2435</v>
      </c>
      <c r="H155" s="1211" t="str">
        <f>VLOOKUP(B155,'FE Intrants'!F$1874:U$1900,5,FALSE)</f>
        <v>kgCO2e/Ha</v>
      </c>
      <c r="I155" s="1216">
        <f>F155*G155</f>
        <v>0</v>
      </c>
      <c r="J155" s="116"/>
      <c r="K155" s="116"/>
      <c r="L155" s="319">
        <f>IF(O155=0,O155,O155/I155)</f>
        <v>0</v>
      </c>
      <c r="M155" s="1218"/>
      <c r="N155" s="820"/>
      <c r="O155" s="152">
        <f>F155*G155*AD155</f>
        <v>0</v>
      </c>
      <c r="V155" s="564">
        <f>IF($F155*VLOOKUP($B155&amp;"; "&amp;$H155,'FE Intrants'!$G:$U,10,FALSE)=0,I155,$F155*VLOOKUP($B155&amp;"; "&amp;$H155,'FE Intrants'!$G:$U,10,FALSE))</f>
        <v>0</v>
      </c>
      <c r="W155" s="565">
        <f>$F155*(VLOOKUP($B155&amp;"; "&amp;$H155,'FE Intrants'!$G:$U,11,FALSE)+VLOOKUP($B155&amp;"; "&amp;$H155,'FE Intrants'!$G:$U,12,FALSE))</f>
        <v>0</v>
      </c>
      <c r="X155" s="565">
        <f>$F155*VLOOKUP($B155&amp;"; "&amp;$H155,'FE Intrants'!$G:$U,13,FALSE)</f>
        <v>0</v>
      </c>
      <c r="Y155" s="565">
        <f>$F155*VLOOKUP($B155&amp;"; "&amp;$H155,'FE Intrants'!$G:$U,14,FALSE)</f>
        <v>0</v>
      </c>
      <c r="Z155" s="567">
        <f>SUM(R155:Y155)</f>
        <v>0</v>
      </c>
      <c r="AA155" s="590">
        <f>$F155*VLOOKUP($B155&amp;"; "&amp;$H155,'FE Intrants'!$G:$U,15,FALSE)</f>
        <v>0</v>
      </c>
      <c r="AC155" s="2454">
        <f>IF($M155&lt;&gt;"votre valeur :",IF(ISNA(VLOOKUP($M155,Utilitaires!$N$566:$O$571,2,FALSE)),,VLOOKUP($M155,Utilitaires!$N$566:$O$571,2,FALSE)),$N155)</f>
        <v>0</v>
      </c>
      <c r="AD155" s="1130">
        <f>SQRT(SUMSQ(AC155,VLOOKUP(B155&amp;"; "&amp;H155,'FE Intrants'!G:U,7,FALSE)))</f>
        <v>0.5</v>
      </c>
    </row>
    <row r="156" spans="2:30" s="114" customFormat="1" ht="12.75" hidden="1" customHeight="1" outlineLevel="1">
      <c r="B156" s="143" t="s">
        <v>5071</v>
      </c>
      <c r="C156" s="144"/>
      <c r="D156" s="1215">
        <f>I156</f>
        <v>0</v>
      </c>
      <c r="E156" s="1215"/>
      <c r="F156" s="346"/>
      <c r="G156" s="224">
        <f>VLOOKUP($B156&amp;"; "&amp;H156,'FE Intrants'!$G:$U,9,FALSE)</f>
        <v>4393</v>
      </c>
      <c r="H156" s="1212" t="str">
        <f>VLOOKUP(B156,'FE Intrants'!F$1874:U$1900,5,FALSE)</f>
        <v>kgCO2e/Ha</v>
      </c>
      <c r="I156" s="1216">
        <f>F156*G156</f>
        <v>0</v>
      </c>
      <c r="J156" s="116"/>
      <c r="K156" s="116"/>
      <c r="L156" s="319">
        <f>IF(O156=0,O156,O156/I156)</f>
        <v>0</v>
      </c>
      <c r="M156" s="1218"/>
      <c r="N156" s="820"/>
      <c r="O156" s="152">
        <f>F156*G156*AD156</f>
        <v>0</v>
      </c>
      <c r="V156" s="564">
        <f>IF($F156*VLOOKUP($B156&amp;"; "&amp;$H156,'FE Intrants'!$G:$U,10,FALSE)=0,I156,$F156*VLOOKUP($B156&amp;"; "&amp;$H156,'FE Intrants'!$G:$U,10,FALSE))</f>
        <v>0</v>
      </c>
      <c r="W156" s="565">
        <f>$F156*(VLOOKUP($B156&amp;"; "&amp;$H156,'FE Intrants'!$G:$U,11,FALSE)+VLOOKUP($B156&amp;"; "&amp;$H156,'FE Intrants'!$G:$U,12,FALSE))</f>
        <v>0</v>
      </c>
      <c r="X156" s="565">
        <f>$F156*VLOOKUP($B156&amp;"; "&amp;$H156,'FE Intrants'!$G:$U,13,FALSE)</f>
        <v>0</v>
      </c>
      <c r="Y156" s="565">
        <f>$F156*VLOOKUP($B156&amp;"; "&amp;$H156,'FE Intrants'!$G:$U,14,FALSE)</f>
        <v>0</v>
      </c>
      <c r="Z156" s="567">
        <f>SUM(R156:Y156)</f>
        <v>0</v>
      </c>
      <c r="AA156" s="590">
        <f>$F156*VLOOKUP($B156&amp;"; "&amp;$H156,'FE Intrants'!$G:$U,15,FALSE)</f>
        <v>0</v>
      </c>
      <c r="AC156" s="2454">
        <f>IF($M156&lt;&gt;"votre valeur :",IF(ISNA(VLOOKUP($M156,Utilitaires!$N$566:$O$571,2,FALSE)),,VLOOKUP($M156,Utilitaires!$N$566:$O$571,2,FALSE)),$N156)</f>
        <v>0</v>
      </c>
      <c r="AD156" s="1130">
        <f>SQRT(SUMSQ(AC156,VLOOKUP(B156&amp;"; "&amp;H156,'FE Intrants'!G:U,7,FALSE)))</f>
        <v>0.5</v>
      </c>
    </row>
    <row r="157" spans="2:30" s="114" customFormat="1" ht="12.75" hidden="1" customHeight="1" outlineLevel="1">
      <c r="B157" s="143" t="s">
        <v>5072</v>
      </c>
      <c r="C157" s="144"/>
      <c r="D157" s="1215">
        <f>I157</f>
        <v>0</v>
      </c>
      <c r="E157" s="1215"/>
      <c r="F157" s="346"/>
      <c r="G157" s="224">
        <f>VLOOKUP($B157&amp;"; "&amp;H157,'FE Intrants'!$G:$U,9,FALSE)</f>
        <v>52039</v>
      </c>
      <c r="H157" s="1212" t="str">
        <f>VLOOKUP(B157,'FE Intrants'!F$1874:U$1900,5,FALSE)</f>
        <v>kgCO2e/Ha</v>
      </c>
      <c r="I157" s="1216">
        <f>F157*G157</f>
        <v>0</v>
      </c>
      <c r="J157" s="116"/>
      <c r="K157" s="116"/>
      <c r="L157" s="319">
        <f>IF(O157=0,O157,O157/I157)</f>
        <v>0</v>
      </c>
      <c r="M157" s="1218"/>
      <c r="N157" s="820"/>
      <c r="O157" s="152">
        <f>F157*G157*AD157</f>
        <v>0</v>
      </c>
      <c r="V157" s="564">
        <f>IF($F157*VLOOKUP($B157&amp;"; "&amp;$H157,'FE Intrants'!$G:$U,10,FALSE)=0,I157,$F157*VLOOKUP($B157&amp;"; "&amp;$H157,'FE Intrants'!$G:$U,10,FALSE))</f>
        <v>0</v>
      </c>
      <c r="W157" s="565">
        <f>$F157*(VLOOKUP($B157&amp;"; "&amp;$H157,'FE Intrants'!$G:$U,11,FALSE)+VLOOKUP($B157&amp;"; "&amp;$H157,'FE Intrants'!$G:$U,12,FALSE))</f>
        <v>0</v>
      </c>
      <c r="X157" s="565">
        <f>$F157*VLOOKUP($B157&amp;"; "&amp;$H157,'FE Intrants'!$G:$U,13,FALSE)</f>
        <v>0</v>
      </c>
      <c r="Y157" s="565">
        <f>$F157*VLOOKUP($B157&amp;"; "&amp;$H157,'FE Intrants'!$G:$U,14,FALSE)</f>
        <v>0</v>
      </c>
      <c r="Z157" s="567">
        <f>SUM(R157:Y157)</f>
        <v>0</v>
      </c>
      <c r="AA157" s="590">
        <f>$F157*VLOOKUP($B157&amp;"; "&amp;$H157,'FE Intrants'!$G:$U,15,FALSE)</f>
        <v>0</v>
      </c>
      <c r="AC157" s="2454">
        <f>IF($M157&lt;&gt;"votre valeur :",IF(ISNA(VLOOKUP($M157,Utilitaires!$N$566:$O$571,2,FALSE)),,VLOOKUP($M157,Utilitaires!$N$566:$O$571,2,FALSE)),$N157)</f>
        <v>0</v>
      </c>
      <c r="AD157" s="1130">
        <f>SQRT(SUMSQ(AC157,VLOOKUP(B157&amp;"; "&amp;H157,'FE Intrants'!G:U,7,FALSE)))</f>
        <v>0.5</v>
      </c>
    </row>
    <row r="158" spans="2:30" s="114" customFormat="1" ht="12.75" hidden="1" customHeight="1" outlineLevel="1">
      <c r="B158" s="143" t="s">
        <v>5073</v>
      </c>
      <c r="C158" s="144"/>
      <c r="D158" s="1215">
        <f>I158</f>
        <v>0</v>
      </c>
      <c r="E158" s="1215"/>
      <c r="F158" s="346"/>
      <c r="G158" s="224">
        <f>VLOOKUP($B158&amp;"; "&amp;H158,'FE Intrants'!$G:$U,9,FALSE)</f>
        <v>4454</v>
      </c>
      <c r="H158" s="1212" t="str">
        <f>VLOOKUP(B158,'FE Intrants'!F$1874:U$1900,5,FALSE)</f>
        <v>kgCO2e/Ha</v>
      </c>
      <c r="I158" s="1216">
        <f>F158*G158</f>
        <v>0</v>
      </c>
      <c r="J158" s="116"/>
      <c r="K158" s="116"/>
      <c r="L158" s="319">
        <f>IF(O158=0,O158,O158/I158)</f>
        <v>0</v>
      </c>
      <c r="M158" s="1218"/>
      <c r="N158" s="820"/>
      <c r="O158" s="152">
        <f>F158*G158*AD158</f>
        <v>0</v>
      </c>
      <c r="V158" s="564">
        <f>IF($F158*VLOOKUP($B158&amp;"; "&amp;$H158,'FE Intrants'!$G:$U,10,FALSE)=0,I158,$F158*VLOOKUP($B158&amp;"; "&amp;$H158,'FE Intrants'!$G:$U,10,FALSE))</f>
        <v>0</v>
      </c>
      <c r="W158" s="565">
        <f>$F158*(VLOOKUP($B158&amp;"; "&amp;$H158,'FE Intrants'!$G:$U,11,FALSE)+VLOOKUP($B158&amp;"; "&amp;$H158,'FE Intrants'!$G:$U,12,FALSE))</f>
        <v>0</v>
      </c>
      <c r="X158" s="565">
        <f>$F158*VLOOKUP($B158&amp;"; "&amp;$H158,'FE Intrants'!$G:$U,13,FALSE)</f>
        <v>0</v>
      </c>
      <c r="Y158" s="565">
        <f>$F158*VLOOKUP($B158&amp;"; "&amp;$H158,'FE Intrants'!$G:$U,14,FALSE)</f>
        <v>0</v>
      </c>
      <c r="Z158" s="567">
        <f>SUM(R158:Y158)</f>
        <v>0</v>
      </c>
      <c r="AA158" s="590">
        <f>$F158*VLOOKUP($B158&amp;"; "&amp;$H158,'FE Intrants'!$G:$U,15,FALSE)</f>
        <v>0</v>
      </c>
      <c r="AC158" s="2454">
        <f>IF($M158&lt;&gt;"votre valeur :",IF(ISNA(VLOOKUP($M158,Utilitaires!$N$566:$O$571,2,FALSE)),,VLOOKUP($M158,Utilitaires!$N$566:$O$571,2,FALSE)),$N158)</f>
        <v>0</v>
      </c>
      <c r="AD158" s="1130">
        <f>SQRT(SUMSQ(AC158,VLOOKUP(B158&amp;"; "&amp;H158,'FE Intrants'!G:U,7,FALSE)))</f>
        <v>0.5</v>
      </c>
    </row>
    <row r="159" spans="2:30" s="114" customFormat="1" ht="12.75" hidden="1" customHeight="1" outlineLevel="1">
      <c r="B159" s="143" t="s">
        <v>5074</v>
      </c>
      <c r="C159" s="144"/>
      <c r="D159" s="1215">
        <f>I159</f>
        <v>0</v>
      </c>
      <c r="E159" s="1215"/>
      <c r="F159" s="347"/>
      <c r="G159" s="224">
        <f>VLOOKUP($B159&amp;"; "&amp;H159,'FE Intrants'!$G:$U,9,FALSE)</f>
        <v>663383</v>
      </c>
      <c r="H159" s="1213" t="str">
        <f>VLOOKUP(B159,'FE Intrants'!F$1874:U$1900,5,FALSE)</f>
        <v>kgCO2e/Ha</v>
      </c>
      <c r="I159" s="1216">
        <f>F159*G159</f>
        <v>0</v>
      </c>
      <c r="J159" s="116"/>
      <c r="K159" s="116"/>
      <c r="L159" s="319">
        <f>IF(O159=0,O159,O159/I159)</f>
        <v>0</v>
      </c>
      <c r="M159" s="1218"/>
      <c r="N159" s="820"/>
      <c r="O159" s="152">
        <f>F159*G159*AD159</f>
        <v>0</v>
      </c>
      <c r="V159" s="564">
        <f>IF($F159*VLOOKUP($B159&amp;"; "&amp;$H159,'FE Intrants'!$G:$U,10,FALSE)=0,I159,$F159*VLOOKUP($B159&amp;"; "&amp;$H159,'FE Intrants'!$G:$U,10,FALSE))</f>
        <v>0</v>
      </c>
      <c r="W159" s="565">
        <f>$F159*(VLOOKUP($B159&amp;"; "&amp;$H159,'FE Intrants'!$G:$U,11,FALSE)+VLOOKUP($B159&amp;"; "&amp;$H159,'FE Intrants'!$G:$U,12,FALSE))</f>
        <v>0</v>
      </c>
      <c r="X159" s="565">
        <f>$F159*VLOOKUP($B159&amp;"; "&amp;$H159,'FE Intrants'!$G:$U,13,FALSE)</f>
        <v>0</v>
      </c>
      <c r="Y159" s="565">
        <f>$F159*VLOOKUP($B159&amp;"; "&amp;$H159,'FE Intrants'!$G:$U,14,FALSE)</f>
        <v>0</v>
      </c>
      <c r="Z159" s="567">
        <f>SUM(R159:Y159)</f>
        <v>0</v>
      </c>
      <c r="AA159" s="590">
        <f>$F159*VLOOKUP($B159&amp;"; "&amp;$H159,'FE Intrants'!$G:$U,15,FALSE)</f>
        <v>0</v>
      </c>
      <c r="AC159" s="2454">
        <f>IF($M159&lt;&gt;"votre valeur :",IF(ISNA(VLOOKUP($M159,Utilitaires!$N$566:$O$571,2,FALSE)),,VLOOKUP($M159,Utilitaires!$N$566:$O$571,2,FALSE)),$N159)</f>
        <v>0</v>
      </c>
      <c r="AD159" s="1130">
        <f>SQRT(SUMSQ(AC159,VLOOKUP(B159&amp;"; "&amp;H159,'FE Intrants'!G:U,7,FALSE)))</f>
        <v>0.5</v>
      </c>
    </row>
    <row r="160" spans="2:30" s="114" customFormat="1" ht="12.75" hidden="1" customHeight="1" outlineLevel="1">
      <c r="B160" s="143"/>
      <c r="C160" s="144"/>
      <c r="D160" s="213"/>
      <c r="E160" s="213"/>
      <c r="F160" s="144"/>
      <c r="G160" s="144"/>
      <c r="H160" s="144"/>
      <c r="I160" s="145"/>
      <c r="J160" s="116"/>
      <c r="K160" s="116"/>
      <c r="L160" s="163"/>
      <c r="M160" s="144"/>
      <c r="N160" s="144"/>
      <c r="O160" s="152"/>
      <c r="V160" s="564"/>
      <c r="W160" s="565"/>
      <c r="X160" s="565"/>
      <c r="Y160" s="565"/>
      <c r="Z160" s="567"/>
      <c r="AA160" s="590"/>
      <c r="AC160" s="2454"/>
      <c r="AD160" s="1130"/>
    </row>
    <row r="161" spans="2:30" s="114" customFormat="1" ht="12.75" hidden="1" customHeight="1" outlineLevel="1">
      <c r="B161" s="1002" t="s">
        <v>5081</v>
      </c>
      <c r="C161" s="144"/>
      <c r="D161" s="222"/>
      <c r="E161" s="222"/>
      <c r="F161" s="144"/>
      <c r="G161" s="1214"/>
      <c r="H161" s="144"/>
      <c r="I161" s="401"/>
      <c r="J161" s="116"/>
      <c r="K161" s="116"/>
      <c r="L161" s="226"/>
      <c r="M161" s="144"/>
      <c r="N161" s="820"/>
      <c r="O161" s="152"/>
      <c r="V161" s="564"/>
      <c r="W161" s="565"/>
      <c r="X161" s="565"/>
      <c r="Y161" s="565"/>
      <c r="Z161" s="567"/>
      <c r="AA161" s="590"/>
      <c r="AC161" s="2454"/>
      <c r="AD161" s="1130"/>
    </row>
    <row r="162" spans="2:30" s="114" customFormat="1" ht="12.75" hidden="1" customHeight="1" outlineLevel="1">
      <c r="B162" s="143" t="s">
        <v>5099</v>
      </c>
      <c r="C162" s="144"/>
      <c r="D162" s="1215">
        <f>I162</f>
        <v>0</v>
      </c>
      <c r="E162" s="1215"/>
      <c r="F162" s="117"/>
      <c r="G162" s="224">
        <f>VLOOKUP($B162&amp;"; "&amp;H162,'FE Intrants'!$G:$U,9,FALSE)</f>
        <v>1</v>
      </c>
      <c r="H162" s="1211" t="str">
        <f>VLOOKUP(B162,'FE Intrants'!F$1901:U$1920,5,FALSE)</f>
        <v>kgCO2e/kg</v>
      </c>
      <c r="I162" s="1216">
        <f>F162*G162</f>
        <v>0</v>
      </c>
      <c r="J162" s="116"/>
      <c r="K162" s="116"/>
      <c r="L162" s="319">
        <f>IF(O162=0,O162,O162/I162)</f>
        <v>0</v>
      </c>
      <c r="M162" s="1218"/>
      <c r="N162" s="820"/>
      <c r="O162" s="152">
        <f>F162*G162*AD162</f>
        <v>0</v>
      </c>
      <c r="V162" s="564">
        <f>IF($F162*VLOOKUP($B162&amp;"; "&amp;$H162,'FE Intrants'!$G:$U,10,FALSE)=0,I162,$F162*VLOOKUP($B162&amp;"; "&amp;$H162,'FE Intrants'!$G:$U,10,FALSE))</f>
        <v>0</v>
      </c>
      <c r="W162" s="565">
        <f>$F162*(VLOOKUP($B162&amp;"; "&amp;$H162,'FE Intrants'!$G:$U,11,FALSE)+VLOOKUP($B162&amp;"; "&amp;$H162,'FE Intrants'!$G:$U,12,FALSE))</f>
        <v>0</v>
      </c>
      <c r="X162" s="565">
        <f>$F162*VLOOKUP($B162&amp;"; "&amp;$H162,'FE Intrants'!$G:$U,13,FALSE)</f>
        <v>0</v>
      </c>
      <c r="Y162" s="565">
        <f>$F162*VLOOKUP($B162&amp;"; "&amp;$H162,'FE Intrants'!$G:$U,14,FALSE)</f>
        <v>0</v>
      </c>
      <c r="Z162" s="567">
        <f>SUM(R162:Y162)</f>
        <v>0</v>
      </c>
      <c r="AA162" s="590">
        <f>$F162*VLOOKUP($B162&amp;"; "&amp;$H162,'FE Intrants'!$G:$U,15,FALSE)</f>
        <v>0</v>
      </c>
      <c r="AC162" s="2099">
        <f>IF($M162&lt;&gt;"votre valeur :",IF(ISNA(VLOOKUP($M162,Utilitaires!$N$566:$O$571,2,FALSE)),,VLOOKUP($M162,Utilitaires!$N$566:$O$571,2,FALSE)),$N162)</f>
        <v>0</v>
      </c>
      <c r="AD162" s="1130">
        <f>SQRT(SUMSQ(AC162,VLOOKUP(B162&amp;"; "&amp;H162,'FE Intrants'!G:U,7,FALSE)))</f>
        <v>0.5</v>
      </c>
    </row>
    <row r="163" spans="2:30" s="114" customFormat="1" ht="12.75" hidden="1" customHeight="1" outlineLevel="1">
      <c r="B163" s="143" t="s">
        <v>5104</v>
      </c>
      <c r="C163" s="144"/>
      <c r="D163" s="1215">
        <f>I163</f>
        <v>0</v>
      </c>
      <c r="E163" s="1215"/>
      <c r="F163" s="346"/>
      <c r="G163" s="224">
        <f>VLOOKUP($B163&amp;"; "&amp;H163,'FE Intrants'!$G:$U,9,FALSE)</f>
        <v>0.79500000000000004</v>
      </c>
      <c r="H163" s="1212" t="str">
        <f>VLOOKUP(B163,'FE Intrants'!F$1901:U$1920,5,FALSE)</f>
        <v>kgCO2e/kg</v>
      </c>
      <c r="I163" s="1216">
        <f>F163*G163</f>
        <v>0</v>
      </c>
      <c r="J163" s="116"/>
      <c r="K163" s="116"/>
      <c r="L163" s="319">
        <f>IF(O163=0,O163,O163/I163)</f>
        <v>0</v>
      </c>
      <c r="M163" s="1218"/>
      <c r="N163" s="820"/>
      <c r="O163" s="152">
        <f>F163*G163*AD163</f>
        <v>0</v>
      </c>
      <c r="V163" s="564">
        <f>IF($F163*VLOOKUP($B163&amp;"; "&amp;$H163,'FE Intrants'!$G:$U,10,FALSE)=0,I163,$F163*VLOOKUP($B163&amp;"; "&amp;$H163,'FE Intrants'!$G:$U,10,FALSE))</f>
        <v>0</v>
      </c>
      <c r="W163" s="565">
        <f>$F163*(VLOOKUP($B163&amp;"; "&amp;$H163,'FE Intrants'!$G:$U,11,FALSE)+VLOOKUP($B163&amp;"; "&amp;$H163,'FE Intrants'!$G:$U,12,FALSE))</f>
        <v>0</v>
      </c>
      <c r="X163" s="565">
        <f>$F163*VLOOKUP($B163&amp;"; "&amp;$H163,'FE Intrants'!$G:$U,13,FALSE)</f>
        <v>0</v>
      </c>
      <c r="Y163" s="565">
        <f>$F163*VLOOKUP($B163&amp;"; "&amp;$H163,'FE Intrants'!$G:$U,14,FALSE)</f>
        <v>0</v>
      </c>
      <c r="Z163" s="567">
        <f>SUM(R163:Y163)</f>
        <v>0</v>
      </c>
      <c r="AA163" s="590">
        <f>$F163*VLOOKUP($B163&amp;"; "&amp;$H163,'FE Intrants'!$G:$U,15,FALSE)</f>
        <v>0</v>
      </c>
      <c r="AC163" s="2099">
        <f>IF($M163&lt;&gt;"votre valeur :",IF(ISNA(VLOOKUP($M163,Utilitaires!$N$566:$O$571,2,FALSE)),,VLOOKUP($M163,Utilitaires!$N$566:$O$571,2,FALSE)),$N163)</f>
        <v>0</v>
      </c>
      <c r="AD163" s="1130">
        <f>SQRT(SUMSQ(AC163,VLOOKUP(B163&amp;"; "&amp;H163,'FE Intrants'!G:U,7,FALSE)))</f>
        <v>0.5</v>
      </c>
    </row>
    <row r="164" spans="2:30" s="114" customFormat="1" ht="12.75" hidden="1" customHeight="1" outlineLevel="1">
      <c r="B164" s="143" t="s">
        <v>5101</v>
      </c>
      <c r="C164" s="144"/>
      <c r="D164" s="1215">
        <f>I164</f>
        <v>0</v>
      </c>
      <c r="E164" s="1215"/>
      <c r="F164" s="346"/>
      <c r="G164" s="224">
        <f>VLOOKUP($B164&amp;"; "&amp;H164,'FE Intrants'!$G:$U,9,FALSE)</f>
        <v>0.3</v>
      </c>
      <c r="H164" s="1212" t="str">
        <f>VLOOKUP(B164,'FE Intrants'!F$1901:U$1920,5,FALSE)</f>
        <v>kgCO2e/plant</v>
      </c>
      <c r="I164" s="1216">
        <f>F164*G164</f>
        <v>0</v>
      </c>
      <c r="J164" s="116"/>
      <c r="K164" s="116"/>
      <c r="L164" s="319">
        <f>IF(O164=0,O164,O164/I164)</f>
        <v>0</v>
      </c>
      <c r="M164" s="1218"/>
      <c r="N164" s="820"/>
      <c r="O164" s="152">
        <f>F164*G164*AD164</f>
        <v>0</v>
      </c>
      <c r="V164" s="564">
        <f>IF($F164*VLOOKUP($B164&amp;"; "&amp;$H164,'FE Intrants'!$G:$U,10,FALSE)=0,I164,$F164*VLOOKUP($B164&amp;"; "&amp;$H164,'FE Intrants'!$G:$U,10,FALSE))</f>
        <v>0</v>
      </c>
      <c r="W164" s="565">
        <f>$F164*(VLOOKUP($B164&amp;"; "&amp;$H164,'FE Intrants'!$G:$U,11,FALSE)+VLOOKUP($B164&amp;"; "&amp;$H164,'FE Intrants'!$G:$U,12,FALSE))</f>
        <v>0</v>
      </c>
      <c r="X164" s="565">
        <f>$F164*VLOOKUP($B164&amp;"; "&amp;$H164,'FE Intrants'!$G:$U,13,FALSE)</f>
        <v>0</v>
      </c>
      <c r="Y164" s="565">
        <f>$F164*VLOOKUP($B164&amp;"; "&amp;$H164,'FE Intrants'!$G:$U,14,FALSE)</f>
        <v>0</v>
      </c>
      <c r="Z164" s="567">
        <f>SUM(R164:Y164)</f>
        <v>0</v>
      </c>
      <c r="AA164" s="590">
        <f>$F164*VLOOKUP($B164&amp;"; "&amp;$H164,'FE Intrants'!$G:$U,15,FALSE)</f>
        <v>0</v>
      </c>
      <c r="AC164" s="2099">
        <f>IF($M164&lt;&gt;"votre valeur :",IF(ISNA(VLOOKUP($M164,Utilitaires!$N$566:$O$571,2,FALSE)),,VLOOKUP($M164,Utilitaires!$N$566:$O$571,2,FALSE)),$N164)</f>
        <v>0</v>
      </c>
      <c r="AD164" s="1130">
        <f>SQRT(SUMSQ(AC164,VLOOKUP(B164&amp;"; "&amp;H164,'FE Intrants'!G:U,7,FALSE)))</f>
        <v>0.3</v>
      </c>
    </row>
    <row r="165" spans="2:30" s="114" customFormat="1" ht="12.75" hidden="1" customHeight="1" outlineLevel="1">
      <c r="B165" s="143" t="s">
        <v>5102</v>
      </c>
      <c r="C165" s="144"/>
      <c r="D165" s="1215">
        <f>I165</f>
        <v>0</v>
      </c>
      <c r="E165" s="1215"/>
      <c r="F165" s="346"/>
      <c r="G165" s="224">
        <f>VLOOKUP($B165&amp;"; "&amp;H165,'FE Intrants'!$G:$U,9,FALSE)</f>
        <v>1.19</v>
      </c>
      <c r="H165" s="1212" t="str">
        <f>VLOOKUP(B165,'FE Intrants'!F$1901:U$1920,5,FALSE)</f>
        <v>kgCO2e/plant</v>
      </c>
      <c r="I165" s="1216">
        <f>F165*G165</f>
        <v>0</v>
      </c>
      <c r="J165" s="116"/>
      <c r="K165" s="116"/>
      <c r="L165" s="319">
        <f>IF(O165=0,O165,O165/I165)</f>
        <v>0</v>
      </c>
      <c r="M165" s="1218"/>
      <c r="N165" s="820"/>
      <c r="O165" s="152">
        <f>F165*G165*AD165</f>
        <v>0</v>
      </c>
      <c r="V165" s="564">
        <f>IF($F165*VLOOKUP($B165&amp;"; "&amp;$H165,'FE Intrants'!$G:$U,10,FALSE)=0,I165,$F165*VLOOKUP($B165&amp;"; "&amp;$H165,'FE Intrants'!$G:$U,10,FALSE))</f>
        <v>0</v>
      </c>
      <c r="W165" s="565">
        <f>$F165*(VLOOKUP($B165&amp;"; "&amp;$H165,'FE Intrants'!$G:$U,11,FALSE)+VLOOKUP($B165&amp;"; "&amp;$H165,'FE Intrants'!$G:$U,12,FALSE))</f>
        <v>0</v>
      </c>
      <c r="X165" s="565">
        <f>$F165*VLOOKUP($B165&amp;"; "&amp;$H165,'FE Intrants'!$G:$U,13,FALSE)</f>
        <v>0</v>
      </c>
      <c r="Y165" s="565">
        <f>$F165*VLOOKUP($B165&amp;"; "&amp;$H165,'FE Intrants'!$G:$U,14,FALSE)</f>
        <v>0</v>
      </c>
      <c r="Z165" s="567">
        <f>SUM(R165:Y165)</f>
        <v>0</v>
      </c>
      <c r="AA165" s="590">
        <f>$F165*VLOOKUP($B165&amp;"; "&amp;$H165,'FE Intrants'!$G:$U,15,FALSE)</f>
        <v>0</v>
      </c>
      <c r="AC165" s="2099">
        <f>IF($M165&lt;&gt;"votre valeur :",IF(ISNA(VLOOKUP($M165,Utilitaires!$N$566:$O$571,2,FALSE)),,VLOOKUP($M165,Utilitaires!$N$566:$O$571,2,FALSE)),$N165)</f>
        <v>0</v>
      </c>
      <c r="AD165" s="1130">
        <f>SQRT(SUMSQ(AC165,VLOOKUP(B165&amp;"; "&amp;H165,'FE Intrants'!G:U,7,FALSE)))</f>
        <v>0.3</v>
      </c>
    </row>
    <row r="166" spans="2:30" s="114" customFormat="1" ht="12.75" hidden="1" customHeight="1" outlineLevel="1">
      <c r="B166" s="143" t="s">
        <v>5103</v>
      </c>
      <c r="C166" s="144"/>
      <c r="D166" s="1215">
        <f>I166</f>
        <v>0</v>
      </c>
      <c r="E166" s="1215"/>
      <c r="F166" s="347"/>
      <c r="G166" s="224">
        <f>VLOOKUP($B166&amp;"; "&amp;H166,'FE Intrants'!$G:$U,9,FALSE)</f>
        <v>0.27</v>
      </c>
      <c r="H166" s="1213" t="str">
        <f>VLOOKUP(B166,'FE Intrants'!F$1901:U$1920,5,FALSE)</f>
        <v>kgCO2e/plant</v>
      </c>
      <c r="I166" s="1216">
        <f>F166*G166</f>
        <v>0</v>
      </c>
      <c r="J166" s="116"/>
      <c r="K166" s="116"/>
      <c r="L166" s="319">
        <f>IF(O166=0,O166,O166/I166)</f>
        <v>0</v>
      </c>
      <c r="M166" s="1218"/>
      <c r="N166" s="820"/>
      <c r="O166" s="152">
        <f>F166*G166*AD166</f>
        <v>0</v>
      </c>
      <c r="V166" s="564">
        <f>IF($F166*VLOOKUP($B166&amp;"; "&amp;$H166,'FE Intrants'!$G:$U,10,FALSE)=0,I166,$F166*VLOOKUP($B166&amp;"; "&amp;$H166,'FE Intrants'!$G:$U,10,FALSE))</f>
        <v>0</v>
      </c>
      <c r="W166" s="565">
        <f>$F166*(VLOOKUP($B166&amp;"; "&amp;$H166,'FE Intrants'!$G:$U,11,FALSE)+VLOOKUP($B166&amp;"; "&amp;$H166,'FE Intrants'!$G:$U,12,FALSE))</f>
        <v>0</v>
      </c>
      <c r="X166" s="565">
        <f>$F166*VLOOKUP($B166&amp;"; "&amp;$H166,'FE Intrants'!$G:$U,13,FALSE)</f>
        <v>0</v>
      </c>
      <c r="Y166" s="565">
        <f>$F166*VLOOKUP($B166&amp;"; "&amp;$H166,'FE Intrants'!$G:$U,14,FALSE)</f>
        <v>0</v>
      </c>
      <c r="Z166" s="567">
        <f>SUM(R166:Y166)</f>
        <v>0</v>
      </c>
      <c r="AA166" s="590">
        <f>$F166*VLOOKUP($B166&amp;"; "&amp;$H166,'FE Intrants'!$G:$U,15,FALSE)</f>
        <v>0</v>
      </c>
      <c r="AC166" s="2099">
        <f>IF($M166&lt;&gt;"votre valeur :",IF(ISNA(VLOOKUP($M166,Utilitaires!$N$566:$O$571,2,FALSE)),,VLOOKUP($M166,Utilitaires!$N$566:$O$571,2,FALSE)),$N166)</f>
        <v>0</v>
      </c>
      <c r="AD166" s="1130">
        <f>SQRT(SUMSQ(AC166,VLOOKUP(B166&amp;"; "&amp;H166,'FE Intrants'!G:U,7,FALSE)))</f>
        <v>0.3</v>
      </c>
    </row>
    <row r="167" spans="2:30" s="114" customFormat="1" ht="12.75" hidden="1" customHeight="1" outlineLevel="1">
      <c r="B167" s="143"/>
      <c r="C167" s="144"/>
      <c r="D167" s="213"/>
      <c r="E167" s="213"/>
      <c r="F167" s="144"/>
      <c r="G167" s="144"/>
      <c r="H167" s="144"/>
      <c r="I167" s="145"/>
      <c r="J167" s="116"/>
      <c r="K167" s="116"/>
      <c r="L167" s="163"/>
      <c r="M167" s="144"/>
      <c r="N167" s="144"/>
      <c r="O167" s="152"/>
      <c r="V167" s="564"/>
      <c r="W167" s="565"/>
      <c r="X167" s="565"/>
      <c r="Y167" s="565"/>
      <c r="Z167" s="567"/>
      <c r="AA167" s="591"/>
      <c r="AC167" s="2085"/>
      <c r="AD167" s="1143"/>
    </row>
    <row r="168" spans="2:30" s="114" customFormat="1" ht="12.75" hidden="1" customHeight="1" outlineLevel="1">
      <c r="B168" s="196" t="s">
        <v>348</v>
      </c>
      <c r="C168" s="197"/>
      <c r="D168" s="214">
        <f>SUM(D113:D167)</f>
        <v>0</v>
      </c>
      <c r="E168" s="214"/>
      <c r="F168" s="199"/>
      <c r="G168" s="199"/>
      <c r="H168" s="199"/>
      <c r="I168" s="200">
        <f>SUM(I113:I167)</f>
        <v>0</v>
      </c>
      <c r="J168" s="116"/>
      <c r="K168" s="116"/>
      <c r="L168" s="1204">
        <f>IF(O168=0,O168,O168/I168)</f>
        <v>0</v>
      </c>
      <c r="M168" s="199"/>
      <c r="N168" s="199"/>
      <c r="O168" s="200">
        <f>SQRT(SUMSQ(O113:O167))</f>
        <v>0</v>
      </c>
      <c r="V168" s="571">
        <f t="shared" ref="V168" si="17">SUM(V113:V167)</f>
        <v>0</v>
      </c>
      <c r="W168" s="572">
        <f>SUM(W113:W167)</f>
        <v>0</v>
      </c>
      <c r="X168" s="572">
        <f>SUM(X113:X167)</f>
        <v>0</v>
      </c>
      <c r="Y168" s="572">
        <f>SUM(Y113:Y167)</f>
        <v>0</v>
      </c>
      <c r="Z168" s="574">
        <f>SUM(Z113:Z167)</f>
        <v>0</v>
      </c>
      <c r="AA168" s="592">
        <f>SUM(AA113:AA167)</f>
        <v>0</v>
      </c>
    </row>
    <row r="169" spans="2:30" s="114" customFormat="1" ht="12.75" hidden="1" customHeight="1" outlineLevel="1">
      <c r="O169" s="258"/>
      <c r="V169" s="441"/>
      <c r="W169" s="441"/>
      <c r="X169" s="441"/>
      <c r="Y169" s="441"/>
      <c r="Z169" s="441"/>
      <c r="AA169" s="441"/>
    </row>
    <row r="170" spans="2:30" s="114" customFormat="1" ht="12.75" hidden="1" customHeight="1" outlineLevel="1">
      <c r="B170" s="330" t="s">
        <v>2212</v>
      </c>
      <c r="C170" s="2106"/>
      <c r="D170" s="2094"/>
      <c r="E170" s="2094"/>
      <c r="F170" s="141"/>
      <c r="G170" s="141"/>
      <c r="H170" s="141"/>
      <c r="I170" s="142"/>
      <c r="J170" s="116"/>
      <c r="K170" s="116"/>
      <c r="L170" s="2636" t="s">
        <v>366</v>
      </c>
      <c r="M170" s="2637"/>
      <c r="N170" s="2637"/>
      <c r="O170" s="2638"/>
      <c r="V170" s="2639" t="s">
        <v>441</v>
      </c>
      <c r="W170" s="2640"/>
      <c r="X170" s="2640"/>
      <c r="Y170" s="2640"/>
      <c r="Z170" s="2640"/>
      <c r="AA170" s="2641"/>
    </row>
    <row r="171" spans="2:30" s="114" customFormat="1" ht="12.75" hidden="1" customHeight="1" outlineLevel="1">
      <c r="B171" s="333"/>
      <c r="C171" s="334"/>
      <c r="D171" s="2102" t="s">
        <v>308</v>
      </c>
      <c r="E171" s="2102"/>
      <c r="F171" s="144"/>
      <c r="G171" s="144"/>
      <c r="H171" s="144"/>
      <c r="I171" s="145"/>
      <c r="J171" s="116"/>
      <c r="K171" s="116"/>
      <c r="L171" s="2093"/>
      <c r="M171" s="819"/>
      <c r="N171" s="827"/>
      <c r="O171" s="145"/>
      <c r="V171" s="2091"/>
      <c r="W171" s="2092"/>
      <c r="X171" s="2092"/>
      <c r="Y171" s="2092"/>
      <c r="Z171" s="2105"/>
      <c r="AA171" s="619"/>
      <c r="AC171" s="2766" t="s">
        <v>1648</v>
      </c>
      <c r="AD171" s="2767"/>
    </row>
    <row r="172" spans="2:30" s="114" customFormat="1" ht="12.75" hidden="1" customHeight="1" outlineLevel="1">
      <c r="B172" s="2093"/>
      <c r="C172" s="2087"/>
      <c r="D172" s="2087" t="s">
        <v>409</v>
      </c>
      <c r="E172" s="2087"/>
      <c r="F172" s="144"/>
      <c r="G172" s="2087"/>
      <c r="H172" s="2087"/>
      <c r="I172" s="2103" t="s">
        <v>444</v>
      </c>
      <c r="J172" s="116"/>
      <c r="K172" s="116"/>
      <c r="L172" s="2093" t="s">
        <v>316</v>
      </c>
      <c r="M172" s="2629" t="s">
        <v>530</v>
      </c>
      <c r="N172" s="2630"/>
      <c r="O172" s="2103" t="s">
        <v>444</v>
      </c>
      <c r="V172" s="2091" t="s">
        <v>444</v>
      </c>
      <c r="W172" s="2092"/>
      <c r="X172" s="2092"/>
      <c r="Y172" s="2092"/>
      <c r="Z172" s="2105" t="s">
        <v>444</v>
      </c>
      <c r="AA172" s="587"/>
      <c r="AC172" s="2086" t="s">
        <v>2167</v>
      </c>
      <c r="AD172" s="2104" t="s">
        <v>2187</v>
      </c>
    </row>
    <row r="173" spans="2:30" s="114" customFormat="1" ht="12.75" hidden="1" customHeight="1" outlineLevel="1">
      <c r="B173" s="2093"/>
      <c r="C173" s="2087"/>
      <c r="D173" s="2087" t="s">
        <v>444</v>
      </c>
      <c r="E173" s="2087"/>
      <c r="F173" s="155"/>
      <c r="G173" s="2087"/>
      <c r="H173" s="2087"/>
      <c r="I173" s="2103"/>
      <c r="J173" s="116"/>
      <c r="K173" s="116"/>
      <c r="L173" s="2093" t="s">
        <v>1649</v>
      </c>
      <c r="M173" s="2646"/>
      <c r="N173" s="2647"/>
      <c r="O173" s="2103"/>
      <c r="V173" s="2088" t="s">
        <v>211</v>
      </c>
      <c r="W173" s="2089" t="s">
        <v>442</v>
      </c>
      <c r="X173" s="2089" t="s">
        <v>267</v>
      </c>
      <c r="Y173" s="2089" t="s">
        <v>443</v>
      </c>
      <c r="Z173" s="2090" t="s">
        <v>327</v>
      </c>
      <c r="AA173" s="589" t="s">
        <v>636</v>
      </c>
      <c r="AC173" s="2099"/>
      <c r="AD173" s="1130"/>
    </row>
    <row r="174" spans="2:30" s="114" customFormat="1" ht="12.75" hidden="1" customHeight="1" outlineLevel="1">
      <c r="B174" s="143" t="s">
        <v>2210</v>
      </c>
      <c r="C174" s="144"/>
      <c r="D174" s="212">
        <f>I174</f>
        <v>0</v>
      </c>
      <c r="E174" s="212"/>
      <c r="F174" s="117"/>
      <c r="G174" s="335">
        <f>VLOOKUP($B174&amp;"; "&amp;H174,'FE Intrants'!$G:$U,9,FALSE)</f>
        <v>2.04</v>
      </c>
      <c r="H174" s="1211" t="str">
        <f>VLOOKUP(B174,'FE Intrants'!F:U,5,FALSE)</f>
        <v>kgCO2e/repas</v>
      </c>
      <c r="I174" s="152">
        <f>F174*G174</f>
        <v>0</v>
      </c>
      <c r="J174" s="116"/>
      <c r="K174" s="116"/>
      <c r="L174" s="319">
        <f>IF(O174=0,O174,O174/I174)</f>
        <v>0</v>
      </c>
      <c r="M174" s="1218"/>
      <c r="N174" s="820"/>
      <c r="O174" s="152">
        <f>F174*G174*AD174</f>
        <v>0</v>
      </c>
      <c r="V174" s="564">
        <f>IF($F174*VLOOKUP($B174&amp;"; "&amp;$H$174,'FE Intrants'!$G:$U,10,FALSE)=0,I174,$F174*VLOOKUP($B174&amp;"; "&amp;$H$174,'FE Intrants'!$G:$U,10,FALSE))</f>
        <v>0</v>
      </c>
      <c r="W174" s="565">
        <f>$F174*(VLOOKUP($B174&amp;"; "&amp;$H$174,'FE Intrants'!$G:$U,11,FALSE)+VLOOKUP($B174&amp;"; "&amp;$H$174,'FE Intrants'!$G:$U,12,FALSE))</f>
        <v>0</v>
      </c>
      <c r="X174" s="565">
        <f>$F174*VLOOKUP($B174&amp;"; "&amp;$H$174,'FE Intrants'!$G:$U,13,FALSE)</f>
        <v>0</v>
      </c>
      <c r="Y174" s="565">
        <f>$F174*VLOOKUP($B174&amp;"; "&amp;$H$174,'FE Intrants'!$G:$U,14,FALSE)</f>
        <v>0</v>
      </c>
      <c r="Z174" s="567">
        <f>I174</f>
        <v>0</v>
      </c>
      <c r="AA174" s="590">
        <f>$F174*VLOOKUP($B174&amp;"; "&amp;$H$174,'FE Intrants'!$G:$U,15,FALSE)</f>
        <v>0</v>
      </c>
      <c r="AC174" s="2099">
        <f>IF($M174&lt;&gt;"votre valeur :",IF(ISNA(VLOOKUP($M174,Utilitaires!$N$566:$O$571,2,FALSE)),,VLOOKUP($M174,Utilitaires!$N$566:$O$571,2,FALSE)),$N174)</f>
        <v>0</v>
      </c>
      <c r="AD174" s="1130">
        <f>SQRT(SUMSQ(AC174,VLOOKUP(B174&amp;"; "&amp;H174,'FE Intrants'!G:U,7,FALSE)))</f>
        <v>0.5</v>
      </c>
    </row>
    <row r="175" spans="2:30" s="114" customFormat="1" ht="12.75" hidden="1" customHeight="1" outlineLevel="1">
      <c r="B175" s="143" t="s">
        <v>2213</v>
      </c>
      <c r="C175" s="144"/>
      <c r="D175" s="212">
        <f>I175</f>
        <v>0</v>
      </c>
      <c r="E175" s="212"/>
      <c r="F175" s="120"/>
      <c r="G175" s="335">
        <f>VLOOKUP($B175&amp;"; "&amp;H175,'FE Intrants'!$G:$U,9,FALSE)</f>
        <v>0.51</v>
      </c>
      <c r="H175" s="1212" t="str">
        <f>VLOOKUP(B175,'FE Intrants'!F:U,5,FALSE)</f>
        <v>kgCO2e/repas</v>
      </c>
      <c r="I175" s="152">
        <f>F175*G175</f>
        <v>0</v>
      </c>
      <c r="J175" s="116"/>
      <c r="K175" s="116"/>
      <c r="L175" s="319">
        <f>IF(O175=0,O175,O175/I175)</f>
        <v>0</v>
      </c>
      <c r="M175" s="1218"/>
      <c r="N175" s="820"/>
      <c r="O175" s="152">
        <f>F175*G175*AD175</f>
        <v>0</v>
      </c>
      <c r="V175" s="564">
        <f>IF($F175*VLOOKUP($B175&amp;"; "&amp;$H$175,'FE Intrants'!$G:$U,10,FALSE)=0,I175,$F175*VLOOKUP($B175&amp;"; "&amp;$H$175,'FE Intrants'!$G:$U,10,FALSE))</f>
        <v>0</v>
      </c>
      <c r="W175" s="565">
        <f>$F175*(VLOOKUP($B175&amp;"; "&amp;$H$175,'FE Intrants'!$G:$U,11,FALSE)+VLOOKUP($B175&amp;"; "&amp;$H$175,'FE Intrants'!$G:$U,12,FALSE))</f>
        <v>0</v>
      </c>
      <c r="X175" s="565">
        <f>$F175*VLOOKUP($B175&amp;"; "&amp;$H$175,'FE Intrants'!$G:$U,13,FALSE)</f>
        <v>0</v>
      </c>
      <c r="Y175" s="565">
        <f>$F175*VLOOKUP($B175&amp;"; "&amp;$H$175,'FE Intrants'!$G:$U,14,FALSE)</f>
        <v>0</v>
      </c>
      <c r="Z175" s="567">
        <f>I175</f>
        <v>0</v>
      </c>
      <c r="AA175" s="590">
        <f>$F175*VLOOKUP($B175&amp;"; "&amp;$H$175,'FE Intrants'!$G:$U,15,FALSE)</f>
        <v>0</v>
      </c>
      <c r="AC175" s="2099">
        <f>IF($M175&lt;&gt;"votre valeur :",IF(ISNA(VLOOKUP($M175,Utilitaires!$N$566:$O$571,2,FALSE)),,VLOOKUP($M175,Utilitaires!$N$566:$O$571,2,FALSE)),$N175)</f>
        <v>0</v>
      </c>
      <c r="AD175" s="1130">
        <f>SQRT(SUMSQ(AC175,VLOOKUP(B175&amp;"; "&amp;H175,'FE Intrants'!G:U,7,FALSE)))</f>
        <v>0.5</v>
      </c>
    </row>
    <row r="176" spans="2:30" s="114" customFormat="1" ht="12.75" hidden="1" customHeight="1" outlineLevel="1">
      <c r="B176" s="143" t="s">
        <v>3091</v>
      </c>
      <c r="C176" s="144"/>
      <c r="D176" s="212">
        <f>I176</f>
        <v>0</v>
      </c>
      <c r="E176" s="212"/>
      <c r="F176" s="123"/>
      <c r="G176" s="335">
        <f>VLOOKUP($B176&amp;"; "&amp;H176,'FE Intrants'!$G:$U,9,FALSE)</f>
        <v>136</v>
      </c>
      <c r="H176" s="1213" t="str">
        <f>VLOOKUP(B176,'FE Intrants'!F:U,5,FALSE)</f>
        <v>kgCO2e/personne.mois</v>
      </c>
      <c r="I176" s="152">
        <f>F176*G176</f>
        <v>0</v>
      </c>
      <c r="J176" s="116"/>
      <c r="K176" s="116"/>
      <c r="L176" s="319">
        <f>IF(O176=0,O176,O176/I176)</f>
        <v>0</v>
      </c>
      <c r="M176" s="1218"/>
      <c r="N176" s="820"/>
      <c r="O176" s="152">
        <f>F176*G176*AD176</f>
        <v>0</v>
      </c>
      <c r="V176" s="564">
        <f>IF($F176*VLOOKUP($B176&amp;"; "&amp;$H$176,'FE Intrants'!$G:$U,10,FALSE)=0,I176,$F176*VLOOKUP($B176&amp;"; "&amp;$H$176,'FE Intrants'!$G:$U,10,FALSE))</f>
        <v>0</v>
      </c>
      <c r="W176" s="565">
        <f>$F176*(VLOOKUP($B176&amp;"; "&amp;$H$176,'FE Intrants'!$G:$U,11,FALSE)+VLOOKUP($B176&amp;"; "&amp;$H$176,'FE Intrants'!$G:$U,12,FALSE))</f>
        <v>0</v>
      </c>
      <c r="X176" s="565">
        <f>$F176*VLOOKUP($B176&amp;"; "&amp;$H$176,'FE Intrants'!$G:$U,13,FALSE)</f>
        <v>0</v>
      </c>
      <c r="Y176" s="565">
        <f>$F176*VLOOKUP($B176&amp;"; "&amp;$H$176,'FE Intrants'!$G:$U,14,FALSE)</f>
        <v>0</v>
      </c>
      <c r="Z176" s="567">
        <f>I176</f>
        <v>0</v>
      </c>
      <c r="AA176" s="590">
        <f>$F176*VLOOKUP($B176&amp;"; "&amp;$H$176,'FE Intrants'!$G:$U,15,FALSE)</f>
        <v>0</v>
      </c>
      <c r="AC176" s="2099">
        <f>IF($M176&lt;&gt;"votre valeur :",IF(ISNA(VLOOKUP($M176,Utilitaires!$N$566:$O$571,2,FALSE)),,VLOOKUP($M176,Utilitaires!$N$566:$O$571,2,FALSE)),$N176)</f>
        <v>0</v>
      </c>
      <c r="AD176" s="1130">
        <f>SQRT(SUMSQ(AC176,VLOOKUP(B176&amp;"; "&amp;H176,'FE Intrants'!G:U,7,FALSE)))</f>
        <v>0.5</v>
      </c>
    </row>
    <row r="177" spans="2:30" s="114" customFormat="1" ht="12.75" hidden="1" customHeight="1" outlineLevel="1">
      <c r="B177" s="143"/>
      <c r="C177" s="144"/>
      <c r="D177" s="212"/>
      <c r="E177" s="212"/>
      <c r="F177" s="335"/>
      <c r="G177" s="335"/>
      <c r="H177" s="335"/>
      <c r="I177" s="152"/>
      <c r="J177" s="116"/>
      <c r="K177" s="116"/>
      <c r="L177" s="226"/>
      <c r="M177" s="144"/>
      <c r="N177" s="820"/>
      <c r="O177" s="152"/>
      <c r="V177" s="564"/>
      <c r="W177" s="565"/>
      <c r="X177" s="565"/>
      <c r="Y177" s="565"/>
      <c r="Z177" s="567"/>
      <c r="AA177" s="590"/>
      <c r="AC177" s="2099"/>
      <c r="AD177" s="1130"/>
    </row>
    <row r="178" spans="2:30" s="114" customFormat="1" ht="12.75" hidden="1" customHeight="1" outlineLevel="1">
      <c r="B178" s="332" t="s">
        <v>2211</v>
      </c>
      <c r="C178" s="144"/>
      <c r="D178" s="212"/>
      <c r="E178" s="212"/>
      <c r="F178" s="144"/>
      <c r="G178" s="2087"/>
      <c r="H178" s="2087"/>
      <c r="I178" s="2103"/>
      <c r="J178" s="116"/>
      <c r="K178" s="116"/>
      <c r="L178" s="226"/>
      <c r="M178" s="144"/>
      <c r="N178" s="820"/>
      <c r="O178" s="152"/>
      <c r="V178" s="564"/>
      <c r="W178" s="565"/>
      <c r="X178" s="565"/>
      <c r="Y178" s="565"/>
      <c r="Z178" s="567"/>
      <c r="AA178" s="590"/>
      <c r="AC178" s="2099"/>
      <c r="AD178" s="1130"/>
    </row>
    <row r="179" spans="2:30" s="114" customFormat="1" ht="12.75" hidden="1" customHeight="1" outlineLevel="1">
      <c r="B179" s="143"/>
      <c r="C179" s="144"/>
      <c r="D179" s="212"/>
      <c r="E179" s="212"/>
      <c r="F179" s="144"/>
      <c r="G179" s="2087"/>
      <c r="H179" s="2087"/>
      <c r="I179" s="152"/>
      <c r="J179" s="116"/>
      <c r="K179" s="116"/>
      <c r="L179" s="226"/>
      <c r="M179" s="144"/>
      <c r="N179" s="820"/>
      <c r="O179" s="152"/>
      <c r="V179" s="564"/>
      <c r="W179" s="565"/>
      <c r="X179" s="565"/>
      <c r="Y179" s="565"/>
      <c r="Z179" s="567"/>
      <c r="AA179" s="590"/>
      <c r="AC179" s="2099"/>
      <c r="AD179" s="1130"/>
    </row>
    <row r="180" spans="2:30" s="114" customFormat="1" ht="12.75" hidden="1" customHeight="1" outlineLevel="1">
      <c r="B180" s="143" t="s">
        <v>4721</v>
      </c>
      <c r="C180" s="144"/>
      <c r="D180" s="212">
        <f>I180</f>
        <v>0</v>
      </c>
      <c r="E180" s="212"/>
      <c r="F180" s="117"/>
      <c r="G180" s="224">
        <f>VLOOKUP($B180&amp;"; "&amp;H180,'FE Intrants'!$G:$U,9,FALSE)</f>
        <v>1.1499999999999999</v>
      </c>
      <c r="H180" s="1211" t="str">
        <f>VLOOKUP(B180,'FE Intrants'!F:U,5,FALSE)</f>
        <v>kgCO2e/kg de produit</v>
      </c>
      <c r="I180" s="1216">
        <f>F180*G180</f>
        <v>0</v>
      </c>
      <c r="J180" s="116"/>
      <c r="K180" s="116"/>
      <c r="L180" s="319">
        <f>IF(O180=0,O180,O180/I180)</f>
        <v>0</v>
      </c>
      <c r="M180" s="1218"/>
      <c r="N180" s="820"/>
      <c r="O180" s="152">
        <f>F180*G180*AD180</f>
        <v>0</v>
      </c>
      <c r="V180" s="564">
        <f>IF($F180*VLOOKUP($B180&amp;"; "&amp;$H180,'FE Intrants'!$G:$U,10,FALSE)=0,I180,$F180*VLOOKUP($B180&amp;"; "&amp;$H180,'FE Intrants'!$G:$U,10,FALSE))</f>
        <v>0</v>
      </c>
      <c r="W180" s="565">
        <f>$F180*(VLOOKUP($B180&amp;"; "&amp;$H180,'FE Intrants'!$G:$U,11,FALSE)+VLOOKUP($B180&amp;"; "&amp;$H180,'FE Intrants'!$G:$U,12,FALSE))</f>
        <v>0</v>
      </c>
      <c r="X180" s="565">
        <f>$F180*VLOOKUP($B180&amp;"; "&amp;$H180,'FE Intrants'!$G:$U,13,FALSE)</f>
        <v>0</v>
      </c>
      <c r="Y180" s="565">
        <f>$F180*VLOOKUP($B180&amp;"; "&amp;$H180,'FE Intrants'!$G:$U,14,FALSE)</f>
        <v>0</v>
      </c>
      <c r="Z180" s="567">
        <f>SUM(R180:Y180)</f>
        <v>0</v>
      </c>
      <c r="AA180" s="590">
        <f>$F180*VLOOKUP($B180&amp;"; "&amp;$H180,'FE Intrants'!$G:$U,15,FALSE)</f>
        <v>0</v>
      </c>
      <c r="AC180" s="2099">
        <f>IF($M180&lt;&gt;"votre valeur :",IF(ISNA(VLOOKUP($M180,Utilitaires!$N$566:$O$571,2,FALSE)),,VLOOKUP($M180,Utilitaires!$N$566:$O$571,2,FALSE)),$N180)</f>
        <v>0</v>
      </c>
      <c r="AD180" s="1130">
        <f>SQRT(SUMSQ(AC180,VLOOKUP(B180&amp;"; "&amp;H180,'FE Intrants'!G:U,7,FALSE)))</f>
        <v>0.5</v>
      </c>
    </row>
    <row r="181" spans="2:30" s="114" customFormat="1" ht="12.75" hidden="1" customHeight="1" outlineLevel="1">
      <c r="B181" s="143" t="s">
        <v>4722</v>
      </c>
      <c r="C181" s="144"/>
      <c r="D181" s="212">
        <f>I181</f>
        <v>0</v>
      </c>
      <c r="E181" s="212"/>
      <c r="F181" s="346"/>
      <c r="G181" s="224">
        <f>VLOOKUP($B181&amp;"; "&amp;H181,'FE Intrants'!$G:$U,9,FALSE)</f>
        <v>0.85099999999999998</v>
      </c>
      <c r="H181" s="1212" t="str">
        <f>VLOOKUP(B181,'FE Intrants'!F:U,5,FALSE)</f>
        <v>kgCO2e/kg de produit</v>
      </c>
      <c r="I181" s="1216">
        <f>F181*G181</f>
        <v>0</v>
      </c>
      <c r="J181" s="116"/>
      <c r="K181" s="116"/>
      <c r="L181" s="319">
        <f>IF(O181=0,O181,O181/I181)</f>
        <v>0</v>
      </c>
      <c r="M181" s="1218"/>
      <c r="N181" s="820"/>
      <c r="O181" s="152">
        <f>F181*G181*AD181</f>
        <v>0</v>
      </c>
      <c r="V181" s="564">
        <f>IF($F181*VLOOKUP($B181&amp;"; "&amp;$H181,'FE Intrants'!$G:$U,10,FALSE)=0,I181,$F181*VLOOKUP($B181&amp;"; "&amp;$H181,'FE Intrants'!$G:$U,10,FALSE))</f>
        <v>0</v>
      </c>
      <c r="W181" s="565">
        <f>$F181*(VLOOKUP($B181&amp;"; "&amp;$H181,'FE Intrants'!$G:$U,11,FALSE)+VLOOKUP($B181&amp;"; "&amp;$H181,'FE Intrants'!$G:$U,12,FALSE))</f>
        <v>0</v>
      </c>
      <c r="X181" s="565">
        <f>$F181*VLOOKUP($B181&amp;"; "&amp;$H181,'FE Intrants'!$G:$U,13,FALSE)</f>
        <v>0</v>
      </c>
      <c r="Y181" s="565">
        <f>$F181*VLOOKUP($B181&amp;"; "&amp;$H181,'FE Intrants'!$G:$U,14,FALSE)</f>
        <v>0</v>
      </c>
      <c r="Z181" s="567">
        <f>SUM(R181:Y181)</f>
        <v>0</v>
      </c>
      <c r="AA181" s="590">
        <f>$F181*VLOOKUP($B181&amp;"; "&amp;$H181,'FE Intrants'!$G:$U,15,FALSE)</f>
        <v>0</v>
      </c>
      <c r="AC181" s="2099">
        <f>IF($M181&lt;&gt;"votre valeur :",IF(ISNA(VLOOKUP($M181,Utilitaires!$N$566:$O$571,2,FALSE)),,VLOOKUP($M181,Utilitaires!$N$566:$O$571,2,FALSE)),$N181)</f>
        <v>0</v>
      </c>
      <c r="AD181" s="1130">
        <f>SQRT(SUMSQ(AC181,VLOOKUP(B181&amp;"; "&amp;H181,'FE Intrants'!G:U,7,FALSE)))</f>
        <v>0.5</v>
      </c>
    </row>
    <row r="182" spans="2:30" s="114" customFormat="1" ht="12.75" hidden="1" customHeight="1" outlineLevel="1">
      <c r="B182" s="143" t="s">
        <v>4723</v>
      </c>
      <c r="C182" s="144"/>
      <c r="D182" s="212">
        <f>I182</f>
        <v>0</v>
      </c>
      <c r="E182" s="212"/>
      <c r="F182" s="346"/>
      <c r="G182" s="224">
        <f>VLOOKUP($B182&amp;"; "&amp;H182,'FE Intrants'!$G:$U,9,FALSE)</f>
        <v>0.55700000000000005</v>
      </c>
      <c r="H182" s="1212" t="str">
        <f>VLOOKUP(B182,'FE Intrants'!F:U,5,FALSE)</f>
        <v>kgCO2e/kg de produit</v>
      </c>
      <c r="I182" s="1216">
        <f>F182*G182</f>
        <v>0</v>
      </c>
      <c r="J182" s="116"/>
      <c r="K182" s="116"/>
      <c r="L182" s="319">
        <f>IF(O182=0,O182,O182/I182)</f>
        <v>0</v>
      </c>
      <c r="M182" s="1218"/>
      <c r="N182" s="820"/>
      <c r="O182" s="152">
        <f>F182*G182*AD182</f>
        <v>0</v>
      </c>
      <c r="V182" s="564">
        <f>IF($F182*VLOOKUP($B182&amp;"; "&amp;$H182,'FE Intrants'!$G:$U,10,FALSE)=0,I182,$F182*VLOOKUP($B182&amp;"; "&amp;$H182,'FE Intrants'!$G:$U,10,FALSE))</f>
        <v>0</v>
      </c>
      <c r="W182" s="565">
        <f>$F182*(VLOOKUP($B182&amp;"; "&amp;$H182,'FE Intrants'!$G:$U,11,FALSE)+VLOOKUP($B182&amp;"; "&amp;$H182,'FE Intrants'!$G:$U,12,FALSE))</f>
        <v>0</v>
      </c>
      <c r="X182" s="565">
        <f>$F182*VLOOKUP($B182&amp;"; "&amp;$H182,'FE Intrants'!$G:$U,13,FALSE)</f>
        <v>0</v>
      </c>
      <c r="Y182" s="565">
        <f>$F182*VLOOKUP($B182&amp;"; "&amp;$H182,'FE Intrants'!$G:$U,14,FALSE)</f>
        <v>0</v>
      </c>
      <c r="Z182" s="567">
        <f>SUM(R182:Y182)</f>
        <v>0</v>
      </c>
      <c r="AA182" s="590">
        <f>$F182*VLOOKUP($B182&amp;"; "&amp;$H182,'FE Intrants'!$G:$U,15,FALSE)</f>
        <v>0</v>
      </c>
      <c r="AC182" s="2099">
        <f>IF($M182&lt;&gt;"votre valeur :",IF(ISNA(VLOOKUP($M182,Utilitaires!$N$566:$O$571,2,FALSE)),,VLOOKUP($M182,Utilitaires!$N$566:$O$571,2,FALSE)),$N182)</f>
        <v>0</v>
      </c>
      <c r="AD182" s="1130">
        <f>SQRT(SUMSQ(AC182,VLOOKUP(B182&amp;"; "&amp;H182,'FE Intrants'!G:U,7,FALSE)))</f>
        <v>0.5</v>
      </c>
    </row>
    <row r="183" spans="2:30" s="114" customFormat="1" ht="12.75" hidden="1" customHeight="1" outlineLevel="1">
      <c r="B183" s="143" t="s">
        <v>4724</v>
      </c>
      <c r="C183" s="144"/>
      <c r="D183" s="212">
        <f>I183</f>
        <v>0</v>
      </c>
      <c r="E183" s="212"/>
      <c r="F183" s="123"/>
      <c r="G183" s="224">
        <f>VLOOKUP($B183&amp;"; "&amp;H183,'FE Intrants'!$G:$U,9,FALSE)</f>
        <v>0.28000000000000003</v>
      </c>
      <c r="H183" s="1213" t="str">
        <f>VLOOKUP(B183,'FE Intrants'!F:U,5,FALSE)</f>
        <v>kgCO2e/kg de produit</v>
      </c>
      <c r="I183" s="1216">
        <f>F183*G183</f>
        <v>0</v>
      </c>
      <c r="J183" s="116"/>
      <c r="K183" s="116"/>
      <c r="L183" s="319">
        <f>IF(O183=0,O183,O183/I183)</f>
        <v>0</v>
      </c>
      <c r="M183" s="1218"/>
      <c r="N183" s="820"/>
      <c r="O183" s="152">
        <f>F183*G183*AD183</f>
        <v>0</v>
      </c>
      <c r="V183" s="564">
        <f>IF($F183*VLOOKUP($B183&amp;"; "&amp;$H183,'FE Intrants'!$G:$U,10,FALSE)=0,I183,$F183*VLOOKUP($B183&amp;"; "&amp;$H183,'FE Intrants'!$G:$U,10,FALSE))</f>
        <v>0</v>
      </c>
      <c r="W183" s="565">
        <f>$F183*(VLOOKUP($B183&amp;"; "&amp;$H183,'FE Intrants'!$G:$U,11,FALSE)+VLOOKUP($B183&amp;"; "&amp;$H183,'FE Intrants'!$G:$U,12,FALSE))</f>
        <v>0</v>
      </c>
      <c r="X183" s="565">
        <f>$F183*VLOOKUP($B183&amp;"; "&amp;$H183,'FE Intrants'!$G:$U,13,FALSE)</f>
        <v>0</v>
      </c>
      <c r="Y183" s="565">
        <f>$F183*VLOOKUP($B183&amp;"; "&amp;$H183,'FE Intrants'!$G:$U,14,FALSE)</f>
        <v>0</v>
      </c>
      <c r="Z183" s="567">
        <f>SUM(R183:Y183)</f>
        <v>0</v>
      </c>
      <c r="AA183" s="590">
        <f>$F183*VLOOKUP($B183&amp;"; "&amp;$H183,'FE Intrants'!$G:$U,15,FALSE)</f>
        <v>0</v>
      </c>
      <c r="AC183" s="2099">
        <f>IF($M183&lt;&gt;"votre valeur :",IF(ISNA(VLOOKUP($M183,Utilitaires!$N$566:$O$571,2,FALSE)),,VLOOKUP($M183,Utilitaires!$N$566:$O$571,2,FALSE)),$N183)</f>
        <v>0</v>
      </c>
      <c r="AD183" s="1130">
        <f>SQRT(SUMSQ(AC183,VLOOKUP(B183&amp;"; "&amp;H183,'FE Intrants'!G:U,7,FALSE)))</f>
        <v>0.5</v>
      </c>
    </row>
    <row r="184" spans="2:30" s="114" customFormat="1" ht="12.75" hidden="1" customHeight="1" outlineLevel="1">
      <c r="B184" s="143"/>
      <c r="C184" s="144"/>
      <c r="D184" s="213"/>
      <c r="E184" s="213"/>
      <c r="F184" s="144"/>
      <c r="G184" s="144"/>
      <c r="H184" s="144"/>
      <c r="I184" s="145"/>
      <c r="J184" s="116"/>
      <c r="K184" s="116"/>
      <c r="L184" s="226"/>
      <c r="M184" s="144"/>
      <c r="N184" s="820"/>
      <c r="O184" s="152"/>
      <c r="V184" s="564"/>
      <c r="W184" s="565"/>
      <c r="X184" s="565"/>
      <c r="Y184" s="565"/>
      <c r="Z184" s="567"/>
      <c r="AA184" s="591"/>
      <c r="AC184" s="2085"/>
      <c r="AD184" s="1143"/>
    </row>
    <row r="185" spans="2:30" s="114" customFormat="1" ht="12.75" hidden="1" customHeight="1" outlineLevel="1">
      <c r="B185" s="196" t="s">
        <v>348</v>
      </c>
      <c r="C185" s="197"/>
      <c r="D185" s="214">
        <f>SUM(D174:D184)</f>
        <v>0</v>
      </c>
      <c r="E185" s="214"/>
      <c r="F185" s="199"/>
      <c r="G185" s="199"/>
      <c r="H185" s="199"/>
      <c r="I185" s="200">
        <f>SUM(I174:I184)</f>
        <v>0</v>
      </c>
      <c r="J185" s="116"/>
      <c r="K185" s="116"/>
      <c r="L185" s="1204">
        <f>IF(O185=0,O185,O185/I185)</f>
        <v>0</v>
      </c>
      <c r="M185" s="199"/>
      <c r="N185" s="199"/>
      <c r="O185" s="200">
        <f>SQRT(SUMSQ(O174:O184))</f>
        <v>0</v>
      </c>
      <c r="V185" s="571">
        <f t="shared" ref="V185" si="18">SUM(V174:V184)</f>
        <v>0</v>
      </c>
      <c r="W185" s="572">
        <f>SUM(W174:W184)</f>
        <v>0</v>
      </c>
      <c r="X185" s="572">
        <f>SUM(X174:X184)</f>
        <v>0</v>
      </c>
      <c r="Y185" s="572">
        <f>SUM(Y174:Y184)</f>
        <v>0</v>
      </c>
      <c r="Z185" s="574">
        <f>SUM(Z174:Z184)</f>
        <v>0</v>
      </c>
      <c r="AA185" s="592">
        <f>SUM(AA174:AA184)</f>
        <v>0</v>
      </c>
    </row>
    <row r="186" spans="2:30" s="114" customFormat="1" ht="12.75" hidden="1" customHeight="1" outlineLevel="1">
      <c r="O186" s="258"/>
      <c r="V186" s="441"/>
      <c r="W186" s="441"/>
      <c r="X186" s="441"/>
      <c r="Y186" s="441"/>
      <c r="Z186" s="441"/>
      <c r="AA186" s="441"/>
    </row>
    <row r="187" spans="2:30" s="114" customFormat="1" ht="13.2" collapsed="1">
      <c r="O187" s="258"/>
      <c r="V187" s="441"/>
      <c r="W187" s="441"/>
      <c r="X187" s="441"/>
      <c r="Y187" s="441"/>
      <c r="Z187" s="441"/>
      <c r="AA187" s="441"/>
    </row>
    <row r="188" spans="2:30" s="114" customFormat="1" ht="15.6" collapsed="1">
      <c r="B188" s="2763" t="s">
        <v>887</v>
      </c>
      <c r="C188" s="2764"/>
      <c r="D188" s="2764"/>
      <c r="E188" s="2764"/>
      <c r="F188" s="2764"/>
      <c r="G188" s="2764"/>
      <c r="H188" s="2764"/>
      <c r="I188" s="2764"/>
      <c r="J188" s="2764"/>
      <c r="K188" s="2764"/>
      <c r="L188" s="2764"/>
      <c r="M188" s="2764"/>
      <c r="N188" s="2764"/>
      <c r="O188" s="2765"/>
      <c r="V188" s="441"/>
      <c r="W188" s="441"/>
      <c r="X188" s="441"/>
      <c r="Y188" s="441"/>
      <c r="Z188" s="441"/>
      <c r="AA188" s="441"/>
    </row>
    <row r="189" spans="2:30" s="114" customFormat="1" ht="13.2" hidden="1" outlineLevel="1">
      <c r="G189" s="116"/>
      <c r="O189" s="258"/>
      <c r="V189" s="441"/>
      <c r="W189" s="441"/>
      <c r="X189" s="441"/>
      <c r="Y189" s="441"/>
      <c r="Z189" s="441"/>
      <c r="AA189" s="441"/>
    </row>
    <row r="190" spans="2:30" s="114" customFormat="1" ht="12.75" hidden="1" customHeight="1" outlineLevel="1">
      <c r="B190" s="139" t="s">
        <v>887</v>
      </c>
      <c r="C190" s="140"/>
      <c r="D190" s="2094"/>
      <c r="E190" s="2094"/>
      <c r="F190" s="141"/>
      <c r="G190" s="141"/>
      <c r="H190" s="141"/>
      <c r="I190" s="2094"/>
      <c r="J190" s="2094"/>
      <c r="K190" s="2094"/>
      <c r="L190" s="2094"/>
      <c r="M190" s="2094"/>
      <c r="N190" s="142"/>
      <c r="Q190" s="2636" t="s">
        <v>366</v>
      </c>
      <c r="R190" s="2637"/>
      <c r="S190" s="2637"/>
      <c r="T190" s="2638"/>
      <c r="V190" s="2639" t="s">
        <v>441</v>
      </c>
      <c r="W190" s="2640"/>
      <c r="X190" s="2640"/>
      <c r="Y190" s="2640"/>
      <c r="Z190" s="2640"/>
      <c r="AA190" s="2641"/>
    </row>
    <row r="191" spans="2:30" s="114" customFormat="1" ht="12.75" hidden="1" customHeight="1" outlineLevel="1">
      <c r="B191" s="332"/>
      <c r="C191" s="167"/>
      <c r="D191" s="2102" t="s">
        <v>308</v>
      </c>
      <c r="E191" s="2102"/>
      <c r="F191" s="144"/>
      <c r="G191" s="144"/>
      <c r="H191" s="144"/>
      <c r="I191" s="2102"/>
      <c r="J191" s="2102"/>
      <c r="K191" s="2102"/>
      <c r="L191" s="2102"/>
      <c r="M191" s="2102"/>
      <c r="N191" s="145"/>
      <c r="Q191" s="2093"/>
      <c r="R191" s="819"/>
      <c r="S191" s="827"/>
      <c r="T191" s="145"/>
      <c r="V191" s="2091"/>
      <c r="W191" s="2092"/>
      <c r="X191" s="2092"/>
      <c r="Y191" s="2092"/>
      <c r="Z191" s="2105"/>
      <c r="AA191" s="619"/>
      <c r="AC191" s="2766" t="s">
        <v>1648</v>
      </c>
      <c r="AD191" s="2767"/>
    </row>
    <row r="192" spans="2:30" s="114" customFormat="1" ht="12.75" hidden="1" customHeight="1" outlineLevel="1">
      <c r="B192" s="143"/>
      <c r="C192" s="144"/>
      <c r="D192" s="2087" t="s">
        <v>409</v>
      </c>
      <c r="E192" s="2087"/>
      <c r="F192" s="2087" t="s">
        <v>340</v>
      </c>
      <c r="G192" s="2656" t="s">
        <v>4104</v>
      </c>
      <c r="H192" s="2087"/>
      <c r="I192" s="2087"/>
      <c r="J192" s="2087"/>
      <c r="K192" s="2087"/>
      <c r="L192" s="2087"/>
      <c r="M192" s="2087"/>
      <c r="N192" s="2103" t="s">
        <v>444</v>
      </c>
      <c r="Q192" s="2093" t="s">
        <v>316</v>
      </c>
      <c r="R192" s="2629" t="s">
        <v>530</v>
      </c>
      <c r="S192" s="2630"/>
      <c r="T192" s="2103" t="s">
        <v>444</v>
      </c>
      <c r="V192" s="2091" t="s">
        <v>444</v>
      </c>
      <c r="W192" s="2092"/>
      <c r="X192" s="2092"/>
      <c r="Y192" s="2092"/>
      <c r="Z192" s="2105" t="s">
        <v>444</v>
      </c>
      <c r="AA192" s="587"/>
      <c r="AC192" s="2086" t="s">
        <v>2167</v>
      </c>
      <c r="AD192" s="2104" t="s">
        <v>2187</v>
      </c>
    </row>
    <row r="193" spans="2:30" s="114" customFormat="1" ht="12.75" hidden="1" customHeight="1" outlineLevel="1">
      <c r="B193" s="2093"/>
      <c r="C193" s="2087"/>
      <c r="D193" s="2087" t="s">
        <v>444</v>
      </c>
      <c r="E193" s="2087"/>
      <c r="F193" s="2087" t="s">
        <v>419</v>
      </c>
      <c r="G193" s="2656"/>
      <c r="H193" s="2087"/>
      <c r="I193" s="2768" t="s">
        <v>4105</v>
      </c>
      <c r="J193" s="2768"/>
      <c r="K193" s="2768"/>
      <c r="L193" s="2768"/>
      <c r="M193" s="2768"/>
      <c r="N193" s="2103"/>
      <c r="Q193" s="2093" t="s">
        <v>1649</v>
      </c>
      <c r="R193" s="2646"/>
      <c r="S193" s="2647"/>
      <c r="T193" s="2103"/>
      <c r="V193" s="2088" t="s">
        <v>211</v>
      </c>
      <c r="W193" s="2089" t="s">
        <v>442</v>
      </c>
      <c r="X193" s="2089" t="s">
        <v>267</v>
      </c>
      <c r="Y193" s="2089" t="s">
        <v>443</v>
      </c>
      <c r="Z193" s="2090" t="s">
        <v>327</v>
      </c>
      <c r="AA193" s="589" t="s">
        <v>636</v>
      </c>
      <c r="AC193" s="2099"/>
      <c r="AD193" s="1130"/>
    </row>
    <row r="194" spans="2:30" s="114" customFormat="1" ht="13.2" hidden="1" outlineLevel="1">
      <c r="B194" s="332" t="s">
        <v>3726</v>
      </c>
      <c r="C194" s="2205"/>
      <c r="D194" s="2205"/>
      <c r="E194" s="2205"/>
      <c r="F194" s="2205"/>
      <c r="G194" s="2205"/>
      <c r="H194" s="2205"/>
      <c r="I194" s="219" t="s">
        <v>3135</v>
      </c>
      <c r="J194" s="219" t="s">
        <v>3136</v>
      </c>
      <c r="K194" s="219" t="s">
        <v>3141</v>
      </c>
      <c r="L194" s="219" t="s">
        <v>3137</v>
      </c>
      <c r="M194" s="219" t="s">
        <v>3138</v>
      </c>
      <c r="N194" s="2212"/>
      <c r="Q194" s="2204"/>
      <c r="R194" s="2203"/>
      <c r="S194" s="819"/>
      <c r="T194" s="2212"/>
      <c r="V194" s="2206"/>
      <c r="W194" s="2207"/>
      <c r="X194" s="2207"/>
      <c r="Y194" s="2207"/>
      <c r="Z194" s="2208"/>
      <c r="AA194" s="589"/>
      <c r="AC194" s="2209"/>
      <c r="AD194" s="1130"/>
    </row>
    <row r="195" spans="2:30" s="114" customFormat="1" ht="13.2" hidden="1" outlineLevel="1">
      <c r="B195" s="143" t="s">
        <v>2215</v>
      </c>
      <c r="C195" s="144"/>
      <c r="D195" s="212">
        <f>N195</f>
        <v>0</v>
      </c>
      <c r="E195" s="212"/>
      <c r="F195" s="117"/>
      <c r="G195" s="224"/>
      <c r="H195" s="1211" t="str">
        <f>VLOOKUP(B195,'FE Intrants'!F:U,5,FALSE)</f>
        <v>kgCO2e/kg</v>
      </c>
      <c r="I195" s="212">
        <f>VLOOKUP($B195&amp;"; "&amp;$H195&amp;", "&amp;$I$194,'FE Intrants'!$G:$U,9,FALSE)*$F195</f>
        <v>0</v>
      </c>
      <c r="J195" s="212">
        <f>IF(ISNA(VLOOKUP($B195&amp;"; "&amp;$H194&amp;", "&amp;$J$194,'FE Intrants'!$G:$U,9,FALSE)),0,VLOOKUP($B195&amp;"; "&amp;$H194&amp;", "&amp;$J$194,'FE Intrants'!$G:$U,9,FALSE)*$F194)</f>
        <v>0</v>
      </c>
      <c r="K195" s="212">
        <f>IF(ISNA(VLOOKUP($B195&amp;"; "&amp;$H195&amp;", "&amp;$K$194,'FE Intrants'!$G:$U,9,FALSE)),0,VLOOKUP($B195&amp;"; "&amp;$H195&amp;", "&amp;$K$194,'FE Intrants'!$G:$U,9,FALSE)*$F195)</f>
        <v>0</v>
      </c>
      <c r="L195" s="212">
        <f>IF(ISNA(VLOOKUP($B195&amp;"; "&amp;$H195&amp;", "&amp;$L$194,'FE Intrants'!$G:$U,9,FALSE)),0,VLOOKUP($B195&amp;"; "&amp;$H195&amp;", "&amp;$L$194,'FE Intrants'!$G:$U,9,FALSE)*$F195)</f>
        <v>0</v>
      </c>
      <c r="M195" s="212">
        <f>IF(ISNA(VLOOKUP($B195&amp;"; "&amp;$H195&amp;", "&amp;$M$194,'FE Intrants'!$G:$U,9,FALSE)),0,VLOOKUP($B195&amp;"; "&amp;$H195&amp;", "&amp;$M$194,'FE Intrants'!$G:$U,9,FALSE)*$F195)</f>
        <v>0</v>
      </c>
      <c r="N195" s="1216">
        <f>SUM(I195:M195)</f>
        <v>0</v>
      </c>
      <c r="Q195" s="319">
        <f>IF(T195=0,T195,T195/N195)</f>
        <v>0</v>
      </c>
      <c r="R195" s="1218"/>
      <c r="S195" s="820"/>
      <c r="T195" s="152">
        <f>SUM(I195:M195)*AD195</f>
        <v>0</v>
      </c>
      <c r="V195" s="564">
        <f>IFERROR(F195*SUM((VLOOKUP(B195&amp;"; "&amp;H195&amp;", "&amp;I$194,'FE Intrants'!$G:$U,10,FALSE)),
VLOOKUP(B195&amp;"; "&amp;H195&amp;", "&amp;J$194,'FE Intrants'!$G:$U,10,FALSE),
VLOOKUP(B195&amp;"; "&amp;H195&amp;", "&amp;K$194,'FE Intrants'!$G:$U,10,FALSE),
VLOOKUP(B195&amp;"; "&amp;H195&amp;", "&amp;L$194,'FE Intrants'!$G:$U,10,FALSE),
VLOOKUP(B195&amp;"; "&amp;H195&amp;", "&amp;M$194,'FE Intrants'!$G:$U,10,FALSE)),
F195*VLOOKUP(B195&amp;"; "&amp;H195&amp;", "&amp;I$194,'FE Intrants'!$G:$U,10,FALSE))</f>
        <v>0</v>
      </c>
      <c r="W195" s="565">
        <f>IFERROR(F195*SUM((VLOOKUP(B195&amp;"; "&amp;H195&amp;", "&amp;I$194,'FE Intrants'!$G:$U,11,FALSE)+VLOOKUP(B195&amp;"; "&amp;H195&amp;", "&amp;I$194,'FE Intrants'!$G:$U,12,FALSE)),
(VLOOKUP(B195&amp;"; "&amp;H195&amp;", "&amp;J$194,'FE Intrants'!$G:$U,11,FALSE)+VLOOKUP(B195&amp;"; "&amp;H195&amp;", "&amp;J$194,'FE Intrants'!$G:$U,12,FALSE)),
(VLOOKUP(B195&amp;"; "&amp;H195&amp;", "&amp;K$194,'FE Intrants'!$G:$U,11,FALSE)+VLOOKUP(B195&amp;"; "&amp;H195&amp;", "&amp;K$194,'FE Intrants'!$G:$U,12,FALSE)),
(VLOOKUP(B195&amp;"; "&amp;H195&amp;", "&amp;L$194,'FE Intrants'!$G:$U,11,FALSE)+VLOOKUP(B195&amp;"; "&amp;H195&amp;", "&amp;L$194,'FE Intrants'!$G:$U,12,FALSE)),
(VLOOKUP(B195&amp;"; "&amp;H195&amp;", "&amp;M$194,'FE Intrants'!$G:$U,11,FALSE)+VLOOKUP(B195&amp;"; "&amp;H195&amp;", "&amp;M$194,'FE Intrants'!$G:$U,12,FALSE))),
F195*VLOOKUP(B195&amp;"; "&amp;H195&amp;", "&amp;I$194,'FE Intrants'!$G:$U,11,FALSE)+VLOOKUP(B195&amp;"; "&amp;H195&amp;", "&amp;I$194,'FE Intrants'!$G:$U,12,FALSE))</f>
        <v>0</v>
      </c>
      <c r="X195" s="565">
        <f>IFERROR(F195*SUM((VLOOKUP(B195&amp;"; "&amp;H195&amp;", "&amp;I$194,'FE Intrants'!$G:$U,13,FALSE)),
VLOOKUP(B195&amp;"; "&amp;H195&amp;", "&amp;J$194,'FE Intrants'!$G:$U,13,FALSE),
VLOOKUP(B195&amp;"; "&amp;H195&amp;", "&amp;K$194,'FE Intrants'!$G:$U,13,FALSE),
VLOOKUP(B195&amp;"; "&amp;H195&amp;", "&amp;L$194,'FE Intrants'!$G:$U,13,FALSE),
VLOOKUP(B195&amp;"; "&amp;H195&amp;", "&amp;M$194,'FE Intrants'!$G:$U,13,FALSE)),
F195*VLOOKUP(B195&amp;"; "&amp;H195&amp;", "&amp;I$194,'FE Intrants'!$G:$U,13,FALSE))</f>
        <v>0</v>
      </c>
      <c r="Y195" s="565">
        <f>IFERROR(F195*SUM((VLOOKUP(B195&amp;"; "&amp;H195&amp;", "&amp;I$194,'FE Intrants'!$G:$U,14,FALSE)),
VLOOKUP(B195&amp;"; "&amp;H195&amp;", "&amp;J$194,'FE Intrants'!$G:$U,14,FALSE),
VLOOKUP(B195&amp;"; "&amp;H195&amp;", "&amp;K$194,'FE Intrants'!$G:$U,14,FALSE),
VLOOKUP(B195&amp;"; "&amp;H195&amp;", "&amp;L$194,'FE Intrants'!$G:$U,14,FALSE),
VLOOKUP(B195&amp;"; "&amp;H195&amp;", "&amp;M$194,'FE Intrants'!$G:$U,14,FALSE)),
F195*VLOOKUP(B195&amp;"; "&amp;H195&amp;", "&amp;I$194,'FE Intrants'!$G:$U,14,FALSE))</f>
        <v>0</v>
      </c>
      <c r="Z195" s="567">
        <f>SUM(V195:Y195)</f>
        <v>0</v>
      </c>
      <c r="AA195" s="590">
        <f>IFERROR(F195*SUM((VLOOKUP(B195&amp;"; "&amp;H195&amp;", "&amp;I$194,'FE Intrants'!$G:$U,15,FALSE)),
VLOOKUP(B195&amp;"; "&amp;H195&amp;", "&amp;J$194,'FE Intrants'!$G:$U,15,FALSE),
VLOOKUP(B195&amp;"; "&amp;H195&amp;", "&amp;K$194,'FE Intrants'!$G:$U,15,FALSE),
VLOOKUP(B195&amp;"; "&amp;H195&amp;", "&amp;L$194,'FE Intrants'!$G:$U,15,FALSE),
VLOOKUP(B195&amp;"; "&amp;H195&amp;", "&amp;M$194,'FE Intrants'!$G:$U,15,FALSE)),
F195*VLOOKUP(B195&amp;"; "&amp;H195&amp;", "&amp;I$194,'FE Intrants'!$G:$U,15,FALSE))</f>
        <v>0</v>
      </c>
      <c r="AC195" s="2099">
        <f>IF($R195&lt;&gt;"votre valeur :",IF(ISNA(VLOOKUP($R195,Utilitaires!$N$566:$O$571,2,FALSE)),,VLOOKUP($R195,Utilitaires!$N$566:$O$571,2,FALSE)),$S195)</f>
        <v>0</v>
      </c>
      <c r="AD195" s="1130">
        <f>SQRT(SUMSQ(AC195,VLOOKUP(B195&amp;"; "&amp;$H195&amp;", "&amp;$I$194,'FE Intrants'!G:U,7,FALSE)))</f>
        <v>0.5</v>
      </c>
    </row>
    <row r="196" spans="2:30" s="114" customFormat="1" ht="13.2" hidden="1" outlineLevel="1">
      <c r="B196" s="143" t="s">
        <v>4160</v>
      </c>
      <c r="C196" s="144"/>
      <c r="D196" s="212">
        <f t="shared" ref="D196:D201" si="19">N196</f>
        <v>0</v>
      </c>
      <c r="E196" s="212"/>
      <c r="F196" s="120"/>
      <c r="G196" s="224"/>
      <c r="H196" s="1212" t="str">
        <f>VLOOKUP(B196,'FE Intrants'!F:U,5,FALSE)</f>
        <v>kgCO2e/m</v>
      </c>
      <c r="I196" s="212">
        <f>VLOOKUP($B196&amp;"; "&amp;$H196&amp;", "&amp;$I$194,'FE Intrants'!$G:$U,9,FALSE)*$F196</f>
        <v>0</v>
      </c>
      <c r="J196" s="212">
        <f>IF(ISNA(VLOOKUP($B196&amp;"; "&amp;$H195&amp;", "&amp;$J$194,'FE Intrants'!$G:$U,9,FALSE)),0,VLOOKUP($B196&amp;"; "&amp;$H195&amp;", "&amp;$J$194,'FE Intrants'!$G:$U,9,FALSE)*$F195)</f>
        <v>0</v>
      </c>
      <c r="K196" s="212">
        <f>IF(ISNA(VLOOKUP($B196&amp;"; "&amp;$H196&amp;", "&amp;$K$194,'FE Intrants'!$G:$U,9,FALSE)),0,VLOOKUP($B196&amp;"; "&amp;$H196&amp;", "&amp;$K$194,'FE Intrants'!$G:$U,9,FALSE)*$F196)</f>
        <v>0</v>
      </c>
      <c r="L196" s="212">
        <f>IF(ISNA(VLOOKUP($B196&amp;"; "&amp;$H196&amp;", "&amp;$L$194,'FE Intrants'!$G:$U,9,FALSE)),0,VLOOKUP($B196&amp;"; "&amp;$H196&amp;", "&amp;$L$194,'FE Intrants'!$G:$U,9,FALSE)*$F196)</f>
        <v>0</v>
      </c>
      <c r="M196" s="212">
        <f>IF(ISNA(VLOOKUP($B196&amp;"; "&amp;$H196&amp;", "&amp;$M$194,'FE Intrants'!$G:$U,9,FALSE)),0,VLOOKUP($B196&amp;"; "&amp;$H196&amp;", "&amp;$M$194,'FE Intrants'!$G:$U,9,FALSE)*$F196)</f>
        <v>0</v>
      </c>
      <c r="N196" s="1216">
        <f t="shared" ref="N196:N201" si="20">SUM(I196:M196)</f>
        <v>0</v>
      </c>
      <c r="Q196" s="319">
        <f t="shared" ref="Q196:Q201" si="21">IF(T196=0,T196,T196/N196)</f>
        <v>0</v>
      </c>
      <c r="R196" s="1218"/>
      <c r="S196" s="820"/>
      <c r="T196" s="152">
        <f t="shared" ref="T196:T201" si="22">SUM(I196:M196)*AD196</f>
        <v>0</v>
      </c>
      <c r="V196" s="564">
        <f>IFERROR(F196*SUM((VLOOKUP(B196&amp;"; "&amp;H196&amp;", "&amp;I$194,'FE Intrants'!$G:$U,10,FALSE)),
VLOOKUP(B196&amp;"; "&amp;H196&amp;", "&amp;J$194,'FE Intrants'!$G:$U,10,FALSE),
VLOOKUP(B196&amp;"; "&amp;H196&amp;", "&amp;K$194,'FE Intrants'!$G:$U,10,FALSE),
VLOOKUP(B196&amp;"; "&amp;H196&amp;", "&amp;L$194,'FE Intrants'!$G:$U,10,FALSE),
VLOOKUP(B196&amp;"; "&amp;H196&amp;", "&amp;M$194,'FE Intrants'!$G:$U,10,FALSE)),
F196*VLOOKUP(B196&amp;"; "&amp;H196&amp;", "&amp;I$194,'FE Intrants'!$G:$U,10,FALSE))</f>
        <v>0</v>
      </c>
      <c r="W196" s="565">
        <f>IFERROR(F196*SUM((VLOOKUP(B196&amp;"; "&amp;H196&amp;", "&amp;I$194,'FE Intrants'!$G:$U,11,FALSE)+VLOOKUP(B196&amp;"; "&amp;H196&amp;", "&amp;I$194,'FE Intrants'!$G:$U,12,FALSE)),
(VLOOKUP(B196&amp;"; "&amp;H196&amp;", "&amp;J$194,'FE Intrants'!$G:$U,11,FALSE)+VLOOKUP(B196&amp;"; "&amp;H196&amp;", "&amp;J$194,'FE Intrants'!$G:$U,12,FALSE)),
(VLOOKUP(B196&amp;"; "&amp;H196&amp;", "&amp;K$194,'FE Intrants'!$G:$U,11,FALSE)+VLOOKUP(B196&amp;"; "&amp;H196&amp;", "&amp;K$194,'FE Intrants'!$G:$U,12,FALSE)),
(VLOOKUP(B196&amp;"; "&amp;H196&amp;", "&amp;L$194,'FE Intrants'!$G:$U,11,FALSE)+VLOOKUP(B196&amp;"; "&amp;H196&amp;", "&amp;L$194,'FE Intrants'!$G:$U,12,FALSE)),
(VLOOKUP(B196&amp;"; "&amp;H196&amp;", "&amp;M$194,'FE Intrants'!$G:$U,11,FALSE)+VLOOKUP(B196&amp;"; "&amp;H196&amp;", "&amp;M$194,'FE Intrants'!$G:$U,12,FALSE))),
F196*VLOOKUP(B196&amp;"; "&amp;H196&amp;", "&amp;I$194,'FE Intrants'!$G:$U,11,FALSE)+VLOOKUP(B196&amp;"; "&amp;H196&amp;", "&amp;I$194,'FE Intrants'!$G:$U,12,FALSE))</f>
        <v>0</v>
      </c>
      <c r="X196" s="565">
        <f>IFERROR(F196*SUM((VLOOKUP(B196&amp;"; "&amp;H196&amp;", "&amp;I$194,'FE Intrants'!$G:$U,13,FALSE)),
VLOOKUP(B196&amp;"; "&amp;H196&amp;", "&amp;J$194,'FE Intrants'!$G:$U,13,FALSE),
VLOOKUP(B196&amp;"; "&amp;H196&amp;", "&amp;K$194,'FE Intrants'!$G:$U,13,FALSE),
VLOOKUP(B196&amp;"; "&amp;H196&amp;", "&amp;L$194,'FE Intrants'!$G:$U,13,FALSE),
VLOOKUP(B196&amp;"; "&amp;H196&amp;", "&amp;M$194,'FE Intrants'!$G:$U,13,FALSE)),
F196*VLOOKUP(B196&amp;"; "&amp;H196&amp;", "&amp;I$194,'FE Intrants'!$G:$U,13,FALSE))</f>
        <v>0</v>
      </c>
      <c r="Y196" s="565">
        <f>IFERROR(F196*SUM((VLOOKUP(B196&amp;"; "&amp;H196&amp;", "&amp;I$194,'FE Intrants'!$G:$U,14,FALSE)),
VLOOKUP(B196&amp;"; "&amp;H196&amp;", "&amp;J$194,'FE Intrants'!$G:$U,14,FALSE),
VLOOKUP(B196&amp;"; "&amp;H196&amp;", "&amp;K$194,'FE Intrants'!$G:$U,14,FALSE),
VLOOKUP(B196&amp;"; "&amp;H196&amp;", "&amp;L$194,'FE Intrants'!$G:$U,14,FALSE),
VLOOKUP(B196&amp;"; "&amp;H196&amp;", "&amp;M$194,'FE Intrants'!$G:$U,14,FALSE)),
F196*VLOOKUP(B196&amp;"; "&amp;H196&amp;", "&amp;I$194,'FE Intrants'!$G:$U,14,FALSE))</f>
        <v>0</v>
      </c>
      <c r="Z196" s="567">
        <f t="shared" ref="Z196:Z201" si="23">SUM(V196:Y196)</f>
        <v>0</v>
      </c>
      <c r="AA196" s="590">
        <f>IFERROR(F196*SUM((VLOOKUP(B196&amp;"; "&amp;H196&amp;", "&amp;I$194,'FE Intrants'!$G:$U,15,FALSE)),
VLOOKUP(B196&amp;"; "&amp;H196&amp;", "&amp;J$194,'FE Intrants'!$G:$U,15,FALSE),
VLOOKUP(B196&amp;"; "&amp;H196&amp;", "&amp;K$194,'FE Intrants'!$G:$U,15,FALSE),
VLOOKUP(B196&amp;"; "&amp;H196&amp;", "&amp;L$194,'FE Intrants'!$G:$U,15,FALSE),
VLOOKUP(B196&amp;"; "&amp;H196&amp;", "&amp;M$194,'FE Intrants'!$G:$U,15,FALSE)),
F196*VLOOKUP(B196&amp;"; "&amp;H196&amp;", "&amp;I$194,'FE Intrants'!$G:$U,15,FALSE))</f>
        <v>0</v>
      </c>
      <c r="AC196" s="2326">
        <f>IF($R196&lt;&gt;"votre valeur :",IF(ISNA(VLOOKUP($R196,Utilitaires!$N$566:$O$571,2,FALSE)),,VLOOKUP($R196,Utilitaires!$N$566:$O$571,2,FALSE)),$S196)</f>
        <v>0</v>
      </c>
      <c r="AD196" s="1130">
        <f>SQRT(SUMSQ(AC196,VLOOKUP(B196&amp;"; "&amp;$H196&amp;", "&amp;$I$194,'FE Intrants'!G:U,7,FALSE)))</f>
        <v>0.5</v>
      </c>
    </row>
    <row r="197" spans="2:30" s="114" customFormat="1" ht="13.2" hidden="1" outlineLevel="1">
      <c r="B197" s="143" t="s">
        <v>3997</v>
      </c>
      <c r="C197" s="144"/>
      <c r="D197" s="212">
        <f t="shared" si="19"/>
        <v>0</v>
      </c>
      <c r="E197" s="212"/>
      <c r="F197" s="398"/>
      <c r="G197" s="224"/>
      <c r="H197" s="1212" t="str">
        <f>VLOOKUP(B197,'FE Intrants'!F:U,5,FALSE)</f>
        <v>kgCO2e/kg</v>
      </c>
      <c r="I197" s="212">
        <f>VLOOKUP($B197&amp;"; "&amp;$H197&amp;", "&amp;$I$194,'FE Intrants'!$G:$U,9,FALSE)*$F197</f>
        <v>0</v>
      </c>
      <c r="J197" s="212">
        <f>IF(ISNA(VLOOKUP($B197&amp;"; "&amp;$H196&amp;", "&amp;$J$194,'FE Intrants'!$G:$U,9,FALSE)),0,VLOOKUP($B197&amp;"; "&amp;$H196&amp;", "&amp;$J$194,'FE Intrants'!$G:$U,9,FALSE)*$F196)</f>
        <v>0</v>
      </c>
      <c r="K197" s="212">
        <f>IF(ISNA(VLOOKUP($B197&amp;"; "&amp;$H197&amp;", "&amp;$K$194,'FE Intrants'!$G:$U,9,FALSE)),0,VLOOKUP($B197&amp;"; "&amp;$H197&amp;", "&amp;$K$194,'FE Intrants'!$G:$U,9,FALSE)*$F197)</f>
        <v>0</v>
      </c>
      <c r="L197" s="212">
        <f>IF(ISNA(VLOOKUP($B197&amp;"; "&amp;$H197&amp;", "&amp;$L$194,'FE Intrants'!$G:$U,9,FALSE)),0,VLOOKUP($B197&amp;"; "&amp;$H197&amp;", "&amp;$L$194,'FE Intrants'!$G:$U,9,FALSE)*$F197)</f>
        <v>0</v>
      </c>
      <c r="M197" s="212">
        <f>IF(ISNA(VLOOKUP($B197&amp;"; "&amp;$H197&amp;", "&amp;$M$194,'FE Intrants'!$G:$U,9,FALSE)),0,VLOOKUP($B197&amp;"; "&amp;$H197&amp;", "&amp;$M$194,'FE Intrants'!$G:$U,9,FALSE)*$F197)</f>
        <v>0</v>
      </c>
      <c r="N197" s="1216">
        <f t="shared" si="20"/>
        <v>0</v>
      </c>
      <c r="Q197" s="319">
        <f t="shared" si="21"/>
        <v>0</v>
      </c>
      <c r="R197" s="1094"/>
      <c r="S197" s="820"/>
      <c r="T197" s="152">
        <f t="shared" si="22"/>
        <v>0</v>
      </c>
      <c r="V197" s="564">
        <f>IFERROR(F197*SUM((VLOOKUP(B197&amp;"; "&amp;H197&amp;", "&amp;I$194,'FE Intrants'!$G:$U,10,FALSE)),
VLOOKUP(B197&amp;"; "&amp;H197&amp;", "&amp;J$194,'FE Intrants'!$G:$U,10,FALSE),
VLOOKUP(B197&amp;"; "&amp;H197&amp;", "&amp;K$194,'FE Intrants'!$G:$U,10,FALSE),
VLOOKUP(B197&amp;"; "&amp;H197&amp;", "&amp;L$194,'FE Intrants'!$G:$U,10,FALSE),
VLOOKUP(B197&amp;"; "&amp;H197&amp;", "&amp;M$194,'FE Intrants'!$G:$U,10,FALSE)),
F197*VLOOKUP(B197&amp;"; "&amp;H197&amp;", "&amp;I$194,'FE Intrants'!$G:$U,10,FALSE))</f>
        <v>0</v>
      </c>
      <c r="W197" s="565">
        <f>IFERROR(F197*SUM((VLOOKUP(B197&amp;"; "&amp;H197&amp;", "&amp;I$194,'FE Intrants'!$G:$U,11,FALSE)+VLOOKUP(B197&amp;"; "&amp;H197&amp;", "&amp;I$194,'FE Intrants'!$G:$U,12,FALSE)),
(VLOOKUP(B197&amp;"; "&amp;H197&amp;", "&amp;J$194,'FE Intrants'!$G:$U,11,FALSE)+VLOOKUP(B197&amp;"; "&amp;H197&amp;", "&amp;J$194,'FE Intrants'!$G:$U,12,FALSE)),
(VLOOKUP(B197&amp;"; "&amp;H197&amp;", "&amp;K$194,'FE Intrants'!$G:$U,11,FALSE)+VLOOKUP(B197&amp;"; "&amp;H197&amp;", "&amp;K$194,'FE Intrants'!$G:$U,12,FALSE)),
(VLOOKUP(B197&amp;"; "&amp;H197&amp;", "&amp;L$194,'FE Intrants'!$G:$U,11,FALSE)+VLOOKUP(B197&amp;"; "&amp;H197&amp;", "&amp;L$194,'FE Intrants'!$G:$U,12,FALSE)),
(VLOOKUP(B197&amp;"; "&amp;H197&amp;", "&amp;M$194,'FE Intrants'!$G:$U,11,FALSE)+VLOOKUP(B197&amp;"; "&amp;H197&amp;", "&amp;M$194,'FE Intrants'!$G:$U,12,FALSE))),
F197*VLOOKUP(B197&amp;"; "&amp;H197&amp;", "&amp;I$194,'FE Intrants'!$G:$U,11,FALSE)+VLOOKUP(B197&amp;"; "&amp;H197&amp;", "&amp;I$194,'FE Intrants'!$G:$U,12,FALSE))</f>
        <v>0</v>
      </c>
      <c r="X197" s="565">
        <f>IFERROR(F197*SUM((VLOOKUP(B197&amp;"; "&amp;H197&amp;", "&amp;I$194,'FE Intrants'!$G:$U,13,FALSE)),
VLOOKUP(B197&amp;"; "&amp;H197&amp;", "&amp;J$194,'FE Intrants'!$G:$U,13,FALSE),
VLOOKUP(B197&amp;"; "&amp;H197&amp;", "&amp;K$194,'FE Intrants'!$G:$U,13,FALSE),
VLOOKUP(B197&amp;"; "&amp;H197&amp;", "&amp;L$194,'FE Intrants'!$G:$U,13,FALSE),
VLOOKUP(B197&amp;"; "&amp;H197&amp;", "&amp;M$194,'FE Intrants'!$G:$U,13,FALSE)),
F197*VLOOKUP(B197&amp;"; "&amp;H197&amp;", "&amp;I$194,'FE Intrants'!$G:$U,13,FALSE))</f>
        <v>0</v>
      </c>
      <c r="Y197" s="565">
        <f>IFERROR(F197*SUM((VLOOKUP(B197&amp;"; "&amp;H197&amp;", "&amp;I$194,'FE Intrants'!$G:$U,14,FALSE)),
VLOOKUP(B197&amp;"; "&amp;H197&amp;", "&amp;J$194,'FE Intrants'!$G:$U,14,FALSE),
VLOOKUP(B197&amp;"; "&amp;H197&amp;", "&amp;K$194,'FE Intrants'!$G:$U,14,FALSE),
VLOOKUP(B197&amp;"; "&amp;H197&amp;", "&amp;L$194,'FE Intrants'!$G:$U,14,FALSE),
VLOOKUP(B197&amp;"; "&amp;H197&amp;", "&amp;M$194,'FE Intrants'!$G:$U,14,FALSE)),
F197*VLOOKUP(B197&amp;"; "&amp;H197&amp;", "&amp;I$194,'FE Intrants'!$G:$U,14,FALSE))</f>
        <v>0</v>
      </c>
      <c r="Z197" s="567">
        <f t="shared" si="23"/>
        <v>0</v>
      </c>
      <c r="AA197" s="590">
        <f>IFERROR(F197*SUM((VLOOKUP(B197&amp;"; "&amp;H197&amp;", "&amp;I$194,'FE Intrants'!$G:$U,15,FALSE)),
VLOOKUP(B197&amp;"; "&amp;H197&amp;", "&amp;J$194,'FE Intrants'!$G:$U,15,FALSE),
VLOOKUP(B197&amp;"; "&amp;H197&amp;", "&amp;K$194,'FE Intrants'!$G:$U,15,FALSE),
VLOOKUP(B197&amp;"; "&amp;H197&amp;", "&amp;L$194,'FE Intrants'!$G:$U,15,FALSE),
VLOOKUP(B197&amp;"; "&amp;H197&amp;", "&amp;M$194,'FE Intrants'!$G:$U,15,FALSE)),
F197*VLOOKUP(B197&amp;"; "&amp;H197&amp;", "&amp;I$194,'FE Intrants'!$G:$U,15,FALSE))</f>
        <v>0</v>
      </c>
      <c r="AC197" s="2326">
        <f>IF($R197&lt;&gt;"votre valeur :",IF(ISNA(VLOOKUP($R197,Utilitaires!$N$566:$O$571,2,FALSE)),,VLOOKUP($R197,Utilitaires!$N$566:$O$571,2,FALSE)),$S197)</f>
        <v>0</v>
      </c>
      <c r="AD197" s="1130">
        <f>SQRT(SUMSQ(AC197,VLOOKUP(B197&amp;"; "&amp;$H197&amp;", "&amp;$I$194,'FE Intrants'!G:U,7,FALSE)))</f>
        <v>0.6</v>
      </c>
    </row>
    <row r="198" spans="2:30" s="114" customFormat="1" ht="13.2" hidden="1" outlineLevel="1">
      <c r="B198" s="143" t="s">
        <v>4161</v>
      </c>
      <c r="C198" s="144"/>
      <c r="D198" s="212">
        <f t="shared" si="19"/>
        <v>0</v>
      </c>
      <c r="E198" s="212"/>
      <c r="F198" s="398"/>
      <c r="G198" s="224"/>
      <c r="H198" s="1212" t="str">
        <f>VLOOKUP(B198,'FE Intrants'!F:U,5,FALSE)</f>
        <v>kgCO2e/unité</v>
      </c>
      <c r="I198" s="212">
        <f>VLOOKUP($B198&amp;"; "&amp;$H198&amp;", "&amp;$I$194,'FE Intrants'!$G:$U,9,FALSE)*$F198</f>
        <v>0</v>
      </c>
      <c r="J198" s="212">
        <f>IF(ISNA(VLOOKUP($B198&amp;"; "&amp;$H197&amp;", "&amp;$J$194,'FE Intrants'!$G:$U,9,FALSE)),0,VLOOKUP($B198&amp;"; "&amp;$H197&amp;", "&amp;$J$194,'FE Intrants'!$G:$U,9,FALSE)*$F197)</f>
        <v>0</v>
      </c>
      <c r="K198" s="212">
        <f>IF(ISNA(VLOOKUP($B198&amp;"; "&amp;$H198&amp;", "&amp;$K$194,'FE Intrants'!$G:$U,9,FALSE)),0,VLOOKUP($B198&amp;"; "&amp;$H198&amp;", "&amp;$K$194,'FE Intrants'!$G:$U,9,FALSE)*$F198)</f>
        <v>0</v>
      </c>
      <c r="L198" s="212">
        <f>IF(ISNA(VLOOKUP($B198&amp;"; "&amp;$H198&amp;", "&amp;$L$194,'FE Intrants'!$G:$U,9,FALSE)),0,VLOOKUP($B198&amp;"; "&amp;$H198&amp;", "&amp;$L$194,'FE Intrants'!$G:$U,9,FALSE)*$F198)</f>
        <v>0</v>
      </c>
      <c r="M198" s="212">
        <f>IF(ISNA(VLOOKUP($B198&amp;"; "&amp;$H198&amp;", "&amp;$M$194,'FE Intrants'!$G:$U,9,FALSE)),0,VLOOKUP($B198&amp;"; "&amp;$H198&amp;", "&amp;$M$194,'FE Intrants'!$G:$U,9,FALSE)*$F198)</f>
        <v>0</v>
      </c>
      <c r="N198" s="1216">
        <f t="shared" si="20"/>
        <v>0</v>
      </c>
      <c r="Q198" s="319">
        <f t="shared" si="21"/>
        <v>0</v>
      </c>
      <c r="R198" s="1094"/>
      <c r="S198" s="820"/>
      <c r="T198" s="152">
        <f t="shared" si="22"/>
        <v>0</v>
      </c>
      <c r="V198" s="564">
        <f>IFERROR(F198*SUM((VLOOKUP(B198&amp;"; "&amp;H198&amp;", "&amp;I$194,'FE Intrants'!$G:$U,10,FALSE)),
VLOOKUP(B198&amp;"; "&amp;H198&amp;", "&amp;J$194,'FE Intrants'!$G:$U,10,FALSE),
VLOOKUP(B198&amp;"; "&amp;H198&amp;", "&amp;K$194,'FE Intrants'!$G:$U,10,FALSE),
VLOOKUP(B198&amp;"; "&amp;H198&amp;", "&amp;L$194,'FE Intrants'!$G:$U,10,FALSE),
VLOOKUP(B198&amp;"; "&amp;H198&amp;", "&amp;M$194,'FE Intrants'!$G:$U,10,FALSE)),
F198*VLOOKUP(B198&amp;"; "&amp;H198&amp;", "&amp;I$194,'FE Intrants'!$G:$U,10,FALSE))</f>
        <v>0</v>
      </c>
      <c r="W198" s="565">
        <f>IFERROR(F198*SUM((VLOOKUP(B198&amp;"; "&amp;H198&amp;", "&amp;I$194,'FE Intrants'!$G:$U,11,FALSE)+VLOOKUP(B198&amp;"; "&amp;H198&amp;", "&amp;I$194,'FE Intrants'!$G:$U,12,FALSE)),
(VLOOKUP(B198&amp;"; "&amp;H198&amp;", "&amp;J$194,'FE Intrants'!$G:$U,11,FALSE)+VLOOKUP(B198&amp;"; "&amp;H198&amp;", "&amp;J$194,'FE Intrants'!$G:$U,12,FALSE)),
(VLOOKUP(B198&amp;"; "&amp;H198&amp;", "&amp;K$194,'FE Intrants'!$G:$U,11,FALSE)+VLOOKUP(B198&amp;"; "&amp;H198&amp;", "&amp;K$194,'FE Intrants'!$G:$U,12,FALSE)),
(VLOOKUP(B198&amp;"; "&amp;H198&amp;", "&amp;L$194,'FE Intrants'!$G:$U,11,FALSE)+VLOOKUP(B198&amp;"; "&amp;H198&amp;", "&amp;L$194,'FE Intrants'!$G:$U,12,FALSE)),
(VLOOKUP(B198&amp;"; "&amp;H198&amp;", "&amp;M$194,'FE Intrants'!$G:$U,11,FALSE)+VLOOKUP(B198&amp;"; "&amp;H198&amp;", "&amp;M$194,'FE Intrants'!$G:$U,12,FALSE))),
F198*VLOOKUP(B198&amp;"; "&amp;H198&amp;", "&amp;I$194,'FE Intrants'!$G:$U,11,FALSE)+VLOOKUP(B198&amp;"; "&amp;H198&amp;", "&amp;I$194,'FE Intrants'!$G:$U,12,FALSE))</f>
        <v>0</v>
      </c>
      <c r="X198" s="565">
        <f>IFERROR(F198*SUM((VLOOKUP(B198&amp;"; "&amp;H198&amp;", "&amp;I$194,'FE Intrants'!$G:$U,13,FALSE)),
VLOOKUP(B198&amp;"; "&amp;H198&amp;", "&amp;J$194,'FE Intrants'!$G:$U,13,FALSE),
VLOOKUP(B198&amp;"; "&amp;H198&amp;", "&amp;K$194,'FE Intrants'!$G:$U,13,FALSE),
VLOOKUP(B198&amp;"; "&amp;H198&amp;", "&amp;L$194,'FE Intrants'!$G:$U,13,FALSE),
VLOOKUP(B198&amp;"; "&amp;H198&amp;", "&amp;M$194,'FE Intrants'!$G:$U,13,FALSE)),
F198*VLOOKUP(B198&amp;"; "&amp;H198&amp;", "&amp;I$194,'FE Intrants'!$G:$U,13,FALSE))</f>
        <v>0</v>
      </c>
      <c r="Y198" s="565">
        <f>IFERROR(F198*SUM((VLOOKUP(B198&amp;"; "&amp;H198&amp;", "&amp;I$194,'FE Intrants'!$G:$U,14,FALSE)),
VLOOKUP(B198&amp;"; "&amp;H198&amp;", "&amp;J$194,'FE Intrants'!$G:$U,14,FALSE),
VLOOKUP(B198&amp;"; "&amp;H198&amp;", "&amp;K$194,'FE Intrants'!$G:$U,14,FALSE),
VLOOKUP(B198&amp;"; "&amp;H198&amp;", "&amp;L$194,'FE Intrants'!$G:$U,14,FALSE),
VLOOKUP(B198&amp;"; "&amp;H198&amp;", "&amp;M$194,'FE Intrants'!$G:$U,14,FALSE)),
F198*VLOOKUP(B198&amp;"; "&amp;H198&amp;", "&amp;I$194,'FE Intrants'!$G:$U,14,FALSE))</f>
        <v>0</v>
      </c>
      <c r="Z198" s="567">
        <f t="shared" si="23"/>
        <v>0</v>
      </c>
      <c r="AA198" s="590">
        <f>IFERROR(F198*SUM((VLOOKUP(B198&amp;"; "&amp;H198&amp;", "&amp;I$194,'FE Intrants'!$G:$U,15,FALSE)),
VLOOKUP(B198&amp;"; "&amp;H198&amp;", "&amp;J$194,'FE Intrants'!$G:$U,15,FALSE),
VLOOKUP(B198&amp;"; "&amp;H198&amp;", "&amp;K$194,'FE Intrants'!$G:$U,15,FALSE),
VLOOKUP(B198&amp;"; "&amp;H198&amp;", "&amp;L$194,'FE Intrants'!$G:$U,15,FALSE),
VLOOKUP(B198&amp;"; "&amp;H198&amp;", "&amp;M$194,'FE Intrants'!$G:$U,15,FALSE)),
F198*VLOOKUP(B198&amp;"; "&amp;H198&amp;", "&amp;I$194,'FE Intrants'!$G:$U,15,FALSE))</f>
        <v>0</v>
      </c>
      <c r="AC198" s="2326">
        <f>IF($R198&lt;&gt;"votre valeur :",IF(ISNA(VLOOKUP($R198,Utilitaires!$N$566:$O$571,2,FALSE)),,VLOOKUP($R198,Utilitaires!$N$566:$O$571,2,FALSE)),$S198)</f>
        <v>0</v>
      </c>
      <c r="AD198" s="1130">
        <f>SQRT(SUMSQ(AC198,VLOOKUP(B198&amp;"; "&amp;$H198&amp;", "&amp;$I$194,'FE Intrants'!G:U,7,FALSE)))</f>
        <v>0.5</v>
      </c>
    </row>
    <row r="199" spans="2:30" s="114" customFormat="1" ht="13.2" hidden="1" outlineLevel="1">
      <c r="B199" s="143" t="s">
        <v>4162</v>
      </c>
      <c r="C199" s="144"/>
      <c r="D199" s="212">
        <f t="shared" si="19"/>
        <v>0</v>
      </c>
      <c r="E199" s="212"/>
      <c r="F199" s="398"/>
      <c r="G199" s="224"/>
      <c r="H199" s="1212" t="str">
        <f>VLOOKUP(B199,'FE Intrants'!F:U,5,FALSE)</f>
        <v>kgCO2e/unité</v>
      </c>
      <c r="I199" s="212">
        <f>VLOOKUP($B199&amp;"; "&amp;$H199&amp;", "&amp;$I$194,'FE Intrants'!$G:$U,9,FALSE)*$F199</f>
        <v>0</v>
      </c>
      <c r="J199" s="212">
        <f>IF(ISNA(VLOOKUP($B199&amp;"; "&amp;$H198&amp;", "&amp;$J$194,'FE Intrants'!$G:$U,9,FALSE)),0,VLOOKUP($B199&amp;"; "&amp;$H198&amp;", "&amp;$J$194,'FE Intrants'!$G:$U,9,FALSE)*$F198)</f>
        <v>0</v>
      </c>
      <c r="K199" s="212">
        <f>IF(ISNA(VLOOKUP($B199&amp;"; "&amp;$H199&amp;", "&amp;$K$194,'FE Intrants'!$G:$U,9,FALSE)),0,VLOOKUP($B199&amp;"; "&amp;$H199&amp;", "&amp;$K$194,'FE Intrants'!$G:$U,9,FALSE)*$F199)</f>
        <v>0</v>
      </c>
      <c r="L199" s="212">
        <f>IF(ISNA(VLOOKUP($B199&amp;"; "&amp;$H199&amp;", "&amp;$L$194,'FE Intrants'!$G:$U,9,FALSE)),0,VLOOKUP($B199&amp;"; "&amp;$H199&amp;", "&amp;$L$194,'FE Intrants'!$G:$U,9,FALSE)*$F199)</f>
        <v>0</v>
      </c>
      <c r="M199" s="212">
        <f>IF(ISNA(VLOOKUP($B199&amp;"; "&amp;$H199&amp;", "&amp;$M$194,'FE Intrants'!$G:$U,9,FALSE)),0,VLOOKUP($B199&amp;"; "&amp;$H199&amp;", "&amp;$M$194,'FE Intrants'!$G:$U,9,FALSE)*$F199)</f>
        <v>0</v>
      </c>
      <c r="N199" s="1216">
        <f t="shared" si="20"/>
        <v>0</v>
      </c>
      <c r="Q199" s="319">
        <f t="shared" si="21"/>
        <v>0</v>
      </c>
      <c r="R199" s="1094"/>
      <c r="S199" s="820"/>
      <c r="T199" s="152">
        <f t="shared" si="22"/>
        <v>0</v>
      </c>
      <c r="V199" s="564">
        <f>IFERROR(F199*SUM((VLOOKUP(B199&amp;"; "&amp;H199&amp;", "&amp;I$194,'FE Intrants'!$G:$U,10,FALSE)),
VLOOKUP(B199&amp;"; "&amp;H199&amp;", "&amp;J$194,'FE Intrants'!$G:$U,10,FALSE),
VLOOKUP(B199&amp;"; "&amp;H199&amp;", "&amp;K$194,'FE Intrants'!$G:$U,10,FALSE),
VLOOKUP(B199&amp;"; "&amp;H199&amp;", "&amp;L$194,'FE Intrants'!$G:$U,10,FALSE),
VLOOKUP(B199&amp;"; "&amp;H199&amp;", "&amp;M$194,'FE Intrants'!$G:$U,10,FALSE)),
F199*VLOOKUP(B199&amp;"; "&amp;H199&amp;", "&amp;I$194,'FE Intrants'!$G:$U,10,FALSE))</f>
        <v>0</v>
      </c>
      <c r="W199" s="565">
        <f>IFERROR(F199*SUM((VLOOKUP(B199&amp;"; "&amp;H199&amp;", "&amp;I$194,'FE Intrants'!$G:$U,11,FALSE)+VLOOKUP(B199&amp;"; "&amp;H199&amp;", "&amp;I$194,'FE Intrants'!$G:$U,12,FALSE)),
(VLOOKUP(B199&amp;"; "&amp;H199&amp;", "&amp;J$194,'FE Intrants'!$G:$U,11,FALSE)+VLOOKUP(B199&amp;"; "&amp;H199&amp;", "&amp;J$194,'FE Intrants'!$G:$U,12,FALSE)),
(VLOOKUP(B199&amp;"; "&amp;H199&amp;", "&amp;K$194,'FE Intrants'!$G:$U,11,FALSE)+VLOOKUP(B199&amp;"; "&amp;H199&amp;", "&amp;K$194,'FE Intrants'!$G:$U,12,FALSE)),
(VLOOKUP(B199&amp;"; "&amp;H199&amp;", "&amp;L$194,'FE Intrants'!$G:$U,11,FALSE)+VLOOKUP(B199&amp;"; "&amp;H199&amp;", "&amp;L$194,'FE Intrants'!$G:$U,12,FALSE)),
(VLOOKUP(B199&amp;"; "&amp;H199&amp;", "&amp;M$194,'FE Intrants'!$G:$U,11,FALSE)+VLOOKUP(B199&amp;"; "&amp;H199&amp;", "&amp;M$194,'FE Intrants'!$G:$U,12,FALSE))),
F199*VLOOKUP(B199&amp;"; "&amp;H199&amp;", "&amp;I$194,'FE Intrants'!$G:$U,11,FALSE)+VLOOKUP(B199&amp;"; "&amp;H199&amp;", "&amp;I$194,'FE Intrants'!$G:$U,12,FALSE))</f>
        <v>0</v>
      </c>
      <c r="X199" s="565">
        <f>IFERROR(F199*SUM((VLOOKUP(B199&amp;"; "&amp;H199&amp;", "&amp;I$194,'FE Intrants'!$G:$U,13,FALSE)),
VLOOKUP(B199&amp;"; "&amp;H199&amp;", "&amp;J$194,'FE Intrants'!$G:$U,13,FALSE),
VLOOKUP(B199&amp;"; "&amp;H199&amp;", "&amp;K$194,'FE Intrants'!$G:$U,13,FALSE),
VLOOKUP(B199&amp;"; "&amp;H199&amp;", "&amp;L$194,'FE Intrants'!$G:$U,13,FALSE),
VLOOKUP(B199&amp;"; "&amp;H199&amp;", "&amp;M$194,'FE Intrants'!$G:$U,13,FALSE)),
F199*VLOOKUP(B199&amp;"; "&amp;H199&amp;", "&amp;I$194,'FE Intrants'!$G:$U,13,FALSE))</f>
        <v>0</v>
      </c>
      <c r="Y199" s="565">
        <f>IFERROR(F199*SUM((VLOOKUP(B199&amp;"; "&amp;H199&amp;", "&amp;I$194,'FE Intrants'!$G:$U,14,FALSE)),
VLOOKUP(B199&amp;"; "&amp;H199&amp;", "&amp;J$194,'FE Intrants'!$G:$U,14,FALSE),
VLOOKUP(B199&amp;"; "&amp;H199&amp;", "&amp;K$194,'FE Intrants'!$G:$U,14,FALSE),
VLOOKUP(B199&amp;"; "&amp;H199&amp;", "&amp;L$194,'FE Intrants'!$G:$U,14,FALSE),
VLOOKUP(B199&amp;"; "&amp;H199&amp;", "&amp;M$194,'FE Intrants'!$G:$U,14,FALSE)),
F199*VLOOKUP(B199&amp;"; "&amp;H199&amp;", "&amp;I$194,'FE Intrants'!$G:$U,14,FALSE))</f>
        <v>0</v>
      </c>
      <c r="Z199" s="567">
        <f t="shared" si="23"/>
        <v>0</v>
      </c>
      <c r="AA199" s="590">
        <f>IFERROR(F199*SUM((VLOOKUP(B199&amp;"; "&amp;H199&amp;", "&amp;I$194,'FE Intrants'!$G:$U,15,FALSE)),
VLOOKUP(B199&amp;"; "&amp;H199&amp;", "&amp;J$194,'FE Intrants'!$G:$U,15,FALSE),
VLOOKUP(B199&amp;"; "&amp;H199&amp;", "&amp;K$194,'FE Intrants'!$G:$U,15,FALSE),
VLOOKUP(B199&amp;"; "&amp;H199&amp;", "&amp;L$194,'FE Intrants'!$G:$U,15,FALSE),
VLOOKUP(B199&amp;"; "&amp;H199&amp;", "&amp;M$194,'FE Intrants'!$G:$U,15,FALSE)),
F199*VLOOKUP(B199&amp;"; "&amp;H199&amp;", "&amp;I$194,'FE Intrants'!$G:$U,15,FALSE))</f>
        <v>0</v>
      </c>
      <c r="AC199" s="2326">
        <f>IF($R199&lt;&gt;"votre valeur :",IF(ISNA(VLOOKUP($R199,Utilitaires!$N$566:$O$571,2,FALSE)),,VLOOKUP($R199,Utilitaires!$N$566:$O$571,2,FALSE)),$S199)</f>
        <v>0</v>
      </c>
      <c r="AD199" s="1130">
        <f>SQRT(SUMSQ(AC199,VLOOKUP(B199&amp;"; "&amp;$H199&amp;", "&amp;$I$194,'FE Intrants'!G:U,7,FALSE)))</f>
        <v>0.5</v>
      </c>
    </row>
    <row r="200" spans="2:30" s="114" customFormat="1" ht="13.2" hidden="1" outlineLevel="1">
      <c r="B200" s="143" t="s">
        <v>4158</v>
      </c>
      <c r="C200" s="144"/>
      <c r="D200" s="212">
        <f t="shared" si="19"/>
        <v>0</v>
      </c>
      <c r="E200" s="212"/>
      <c r="F200" s="398"/>
      <c r="G200" s="224"/>
      <c r="H200" s="1212" t="str">
        <f>VLOOKUP(B200,'FE Intrants'!F:U,5,FALSE)</f>
        <v>kgCO2e/unité</v>
      </c>
      <c r="I200" s="212">
        <f>VLOOKUP($B200&amp;"; "&amp;$H200&amp;", "&amp;$I$194,'FE Intrants'!$G:$U,9,FALSE)*$F200</f>
        <v>0</v>
      </c>
      <c r="J200" s="212">
        <f>IF(ISNA(VLOOKUP($B200&amp;"; "&amp;$H199&amp;", "&amp;$J$194,'FE Intrants'!$G:$U,9,FALSE)),0,VLOOKUP($B200&amp;"; "&amp;$H199&amp;", "&amp;$J$194,'FE Intrants'!$G:$U,9,FALSE)*$F199)</f>
        <v>0</v>
      </c>
      <c r="K200" s="212">
        <f>IF(ISNA(VLOOKUP($B200&amp;"; "&amp;$H200&amp;", "&amp;$K$194,'FE Intrants'!$G:$U,9,FALSE)),0,VLOOKUP($B200&amp;"; "&amp;$H200&amp;", "&amp;$K$194,'FE Intrants'!$G:$U,9,FALSE)*$F200)</f>
        <v>0</v>
      </c>
      <c r="L200" s="212">
        <f>IF(ISNA(VLOOKUP($B200&amp;"; "&amp;$H200&amp;", "&amp;$L$194,'FE Intrants'!$G:$U,9,FALSE)),0,VLOOKUP($B200&amp;"; "&amp;$H200&amp;", "&amp;$L$194,'FE Intrants'!$G:$U,9,FALSE)*$F200)</f>
        <v>0</v>
      </c>
      <c r="M200" s="212">
        <f>IF(ISNA(VLOOKUP($B200&amp;"; "&amp;$H200&amp;", "&amp;$M$194,'FE Intrants'!$G:$U,9,FALSE)),0,VLOOKUP($B200&amp;"; "&amp;$H200&amp;", "&amp;$M$194,'FE Intrants'!$G:$U,9,FALSE)*$F200)</f>
        <v>0</v>
      </c>
      <c r="N200" s="1216">
        <f t="shared" si="20"/>
        <v>0</v>
      </c>
      <c r="Q200" s="319">
        <f t="shared" si="21"/>
        <v>0</v>
      </c>
      <c r="R200" s="1094"/>
      <c r="S200" s="820"/>
      <c r="T200" s="152">
        <f t="shared" si="22"/>
        <v>0</v>
      </c>
      <c r="V200" s="564">
        <f>IFERROR(F200*SUM((VLOOKUP(B200&amp;"; "&amp;H200&amp;", "&amp;I$194,'FE Intrants'!$G:$U,10,FALSE)),
VLOOKUP(B200&amp;"; "&amp;H200&amp;", "&amp;J$194,'FE Intrants'!$G:$U,10,FALSE),
VLOOKUP(B200&amp;"; "&amp;H200&amp;", "&amp;K$194,'FE Intrants'!$G:$U,10,FALSE),
VLOOKUP(B200&amp;"; "&amp;H200&amp;", "&amp;L$194,'FE Intrants'!$G:$U,10,FALSE),
VLOOKUP(B200&amp;"; "&amp;H200&amp;", "&amp;M$194,'FE Intrants'!$G:$U,10,FALSE)),
F200*VLOOKUP(B200&amp;"; "&amp;H200&amp;", "&amp;I$194,'FE Intrants'!$G:$U,10,FALSE))</f>
        <v>0</v>
      </c>
      <c r="W200" s="565">
        <f>IFERROR(F200*SUM((VLOOKUP(B200&amp;"; "&amp;H200&amp;", "&amp;I$194,'FE Intrants'!$G:$U,11,FALSE)+VLOOKUP(B200&amp;"; "&amp;H200&amp;", "&amp;I$194,'FE Intrants'!$G:$U,12,FALSE)),
(VLOOKUP(B200&amp;"; "&amp;H200&amp;", "&amp;J$194,'FE Intrants'!$G:$U,11,FALSE)+VLOOKUP(B200&amp;"; "&amp;H200&amp;", "&amp;J$194,'FE Intrants'!$G:$U,12,FALSE)),
(VLOOKUP(B200&amp;"; "&amp;H200&amp;", "&amp;K$194,'FE Intrants'!$G:$U,11,FALSE)+VLOOKUP(B200&amp;"; "&amp;H200&amp;", "&amp;K$194,'FE Intrants'!$G:$U,12,FALSE)),
(VLOOKUP(B200&amp;"; "&amp;H200&amp;", "&amp;L$194,'FE Intrants'!$G:$U,11,FALSE)+VLOOKUP(B200&amp;"; "&amp;H200&amp;", "&amp;L$194,'FE Intrants'!$G:$U,12,FALSE)),
(VLOOKUP(B200&amp;"; "&amp;H200&amp;", "&amp;M$194,'FE Intrants'!$G:$U,11,FALSE)+VLOOKUP(B200&amp;"; "&amp;H200&amp;", "&amp;M$194,'FE Intrants'!$G:$U,12,FALSE))),
F200*VLOOKUP(B200&amp;"; "&amp;H200&amp;", "&amp;I$194,'FE Intrants'!$G:$U,11,FALSE)+VLOOKUP(B200&amp;"; "&amp;H200&amp;", "&amp;I$194,'FE Intrants'!$G:$U,12,FALSE))</f>
        <v>0</v>
      </c>
      <c r="X200" s="565">
        <f>IFERROR(F200*SUM((VLOOKUP(B200&amp;"; "&amp;H200&amp;", "&amp;I$194,'FE Intrants'!$G:$U,13,FALSE)),
VLOOKUP(B200&amp;"; "&amp;H200&amp;", "&amp;J$194,'FE Intrants'!$G:$U,13,FALSE),
VLOOKUP(B200&amp;"; "&amp;H200&amp;", "&amp;K$194,'FE Intrants'!$G:$U,13,FALSE),
VLOOKUP(B200&amp;"; "&amp;H200&amp;", "&amp;L$194,'FE Intrants'!$G:$U,13,FALSE),
VLOOKUP(B200&amp;"; "&amp;H200&amp;", "&amp;M$194,'FE Intrants'!$G:$U,13,FALSE)),
F200*VLOOKUP(B200&amp;"; "&amp;H200&amp;", "&amp;I$194,'FE Intrants'!$G:$U,13,FALSE))</f>
        <v>0</v>
      </c>
      <c r="Y200" s="565">
        <f>IFERROR(F200*SUM((VLOOKUP(B200&amp;"; "&amp;H200&amp;", "&amp;I$194,'FE Intrants'!$G:$U,14,FALSE)),
VLOOKUP(B200&amp;"; "&amp;H200&amp;", "&amp;J$194,'FE Intrants'!$G:$U,14,FALSE),
VLOOKUP(B200&amp;"; "&amp;H200&amp;", "&amp;K$194,'FE Intrants'!$G:$U,14,FALSE),
VLOOKUP(B200&amp;"; "&amp;H200&amp;", "&amp;L$194,'FE Intrants'!$G:$U,14,FALSE),
VLOOKUP(B200&amp;"; "&amp;H200&amp;", "&amp;M$194,'FE Intrants'!$G:$U,14,FALSE)),
F200*VLOOKUP(B200&amp;"; "&amp;H200&amp;", "&amp;I$194,'FE Intrants'!$G:$U,14,FALSE))</f>
        <v>0</v>
      </c>
      <c r="Z200" s="567">
        <f t="shared" si="23"/>
        <v>0</v>
      </c>
      <c r="AA200" s="590">
        <f>IFERROR(F200*SUM((VLOOKUP(B200&amp;"; "&amp;H200&amp;", "&amp;I$194,'FE Intrants'!$G:$U,15,FALSE)),
VLOOKUP(B200&amp;"; "&amp;H200&amp;", "&amp;J$194,'FE Intrants'!$G:$U,15,FALSE),
VLOOKUP(B200&amp;"; "&amp;H200&amp;", "&amp;K$194,'FE Intrants'!$G:$U,15,FALSE),
VLOOKUP(B200&amp;"; "&amp;H200&amp;", "&amp;L$194,'FE Intrants'!$G:$U,15,FALSE),
VLOOKUP(B200&amp;"; "&amp;H200&amp;", "&amp;M$194,'FE Intrants'!$G:$U,15,FALSE)),
F200*VLOOKUP(B200&amp;"; "&amp;H200&amp;", "&amp;I$194,'FE Intrants'!$G:$U,15,FALSE))</f>
        <v>0</v>
      </c>
      <c r="AC200" s="2326">
        <f>IF($R200&lt;&gt;"votre valeur :",IF(ISNA(VLOOKUP($R200,Utilitaires!$N$566:$O$571,2,FALSE)),,VLOOKUP($R200,Utilitaires!$N$566:$O$571,2,FALSE)),$S200)</f>
        <v>0</v>
      </c>
      <c r="AD200" s="1130">
        <f>SQRT(SUMSQ(AC200,VLOOKUP(B200&amp;"; "&amp;$H200&amp;", "&amp;$I$194,'FE Intrants'!G:U,7,FALSE)))</f>
        <v>0.5</v>
      </c>
    </row>
    <row r="201" spans="2:30" s="114" customFormat="1" ht="13.2" hidden="1" outlineLevel="1">
      <c r="B201" s="143" t="s">
        <v>4159</v>
      </c>
      <c r="C201" s="144"/>
      <c r="D201" s="212">
        <f t="shared" si="19"/>
        <v>0</v>
      </c>
      <c r="E201" s="212"/>
      <c r="F201" s="123"/>
      <c r="G201" s="224"/>
      <c r="H201" s="1213" t="str">
        <f>VLOOKUP(B201,'FE Intrants'!F:U,5,FALSE)</f>
        <v>kgCO2e/tonne</v>
      </c>
      <c r="I201" s="212">
        <f>VLOOKUP($B201&amp;"; "&amp;$H201&amp;", "&amp;$I$194,'FE Intrants'!$G:$U,9,FALSE)*$F201</f>
        <v>0</v>
      </c>
      <c r="J201" s="212">
        <f>IF(ISNA(VLOOKUP($B201&amp;"; "&amp;$H200&amp;", "&amp;$J$194,'FE Intrants'!$G:$U,9,FALSE)),0,VLOOKUP($B201&amp;"; "&amp;$H200&amp;", "&amp;$J$194,'FE Intrants'!$G:$U,9,FALSE)*$F200)</f>
        <v>0</v>
      </c>
      <c r="K201" s="212">
        <f>IF(ISNA(VLOOKUP($B201&amp;"; "&amp;$H201&amp;", "&amp;$K$194,'FE Intrants'!$G:$U,9,FALSE)),0,VLOOKUP($B201&amp;"; "&amp;$H201&amp;", "&amp;$K$194,'FE Intrants'!$G:$U,9,FALSE)*$F201)</f>
        <v>0</v>
      </c>
      <c r="L201" s="212">
        <f>IF(ISNA(VLOOKUP($B201&amp;"; "&amp;$H201&amp;", "&amp;$L$194,'FE Intrants'!$G:$U,9,FALSE)),0,VLOOKUP($B201&amp;"; "&amp;$H201&amp;", "&amp;$L$194,'FE Intrants'!$G:$U,9,FALSE)*$F201)</f>
        <v>0</v>
      </c>
      <c r="M201" s="212">
        <f>IF(ISNA(VLOOKUP($B201&amp;"; "&amp;$H201&amp;", "&amp;$M$194,'FE Intrants'!$G:$U,9,FALSE)),0,VLOOKUP($B201&amp;"; "&amp;$H201&amp;", "&amp;$M$194,'FE Intrants'!$G:$U,9,FALSE)*$F201)</f>
        <v>0</v>
      </c>
      <c r="N201" s="1216">
        <f t="shared" si="20"/>
        <v>0</v>
      </c>
      <c r="Q201" s="319">
        <f t="shared" si="21"/>
        <v>0</v>
      </c>
      <c r="R201" s="1094"/>
      <c r="S201" s="820"/>
      <c r="T201" s="152">
        <f t="shared" si="22"/>
        <v>0</v>
      </c>
      <c r="V201" s="564">
        <f>IFERROR(F201*SUM((VLOOKUP(B201&amp;"; "&amp;H201&amp;", "&amp;I$194,'FE Intrants'!$G:$U,10,FALSE)),
VLOOKUP(B201&amp;"; "&amp;H201&amp;", "&amp;J$194,'FE Intrants'!$G:$U,10,FALSE),
VLOOKUP(B201&amp;"; "&amp;H201&amp;", "&amp;K$194,'FE Intrants'!$G:$U,10,FALSE),
VLOOKUP(B201&amp;"; "&amp;H201&amp;", "&amp;L$194,'FE Intrants'!$G:$U,10,FALSE),
VLOOKUP(B201&amp;"; "&amp;H201&amp;", "&amp;M$194,'FE Intrants'!$G:$U,10,FALSE)),
F201*VLOOKUP(B201&amp;"; "&amp;H201&amp;", "&amp;I$194,'FE Intrants'!$G:$U,10,FALSE))</f>
        <v>0</v>
      </c>
      <c r="W201" s="565">
        <f>IFERROR(F201*SUM((VLOOKUP(B201&amp;"; "&amp;H201&amp;", "&amp;I$194,'FE Intrants'!$G:$U,11,FALSE)+VLOOKUP(B201&amp;"; "&amp;H201&amp;", "&amp;I$194,'FE Intrants'!$G:$U,12,FALSE)),
(VLOOKUP(B201&amp;"; "&amp;H201&amp;", "&amp;J$194,'FE Intrants'!$G:$U,11,FALSE)+VLOOKUP(B201&amp;"; "&amp;H201&amp;", "&amp;J$194,'FE Intrants'!$G:$U,12,FALSE)),
(VLOOKUP(B201&amp;"; "&amp;H201&amp;", "&amp;K$194,'FE Intrants'!$G:$U,11,FALSE)+VLOOKUP(B201&amp;"; "&amp;H201&amp;", "&amp;K$194,'FE Intrants'!$G:$U,12,FALSE)),
(VLOOKUP(B201&amp;"; "&amp;H201&amp;", "&amp;L$194,'FE Intrants'!$G:$U,11,FALSE)+VLOOKUP(B201&amp;"; "&amp;H201&amp;", "&amp;L$194,'FE Intrants'!$G:$U,12,FALSE)),
(VLOOKUP(B201&amp;"; "&amp;H201&amp;", "&amp;M$194,'FE Intrants'!$G:$U,11,FALSE)+VLOOKUP(B201&amp;"; "&amp;H201&amp;", "&amp;M$194,'FE Intrants'!$G:$U,12,FALSE))),
F201*VLOOKUP(B201&amp;"; "&amp;H201&amp;", "&amp;I$194,'FE Intrants'!$G:$U,11,FALSE)+VLOOKUP(B201&amp;"; "&amp;H201&amp;", "&amp;I$194,'FE Intrants'!$G:$U,12,FALSE))</f>
        <v>0</v>
      </c>
      <c r="X201" s="565">
        <f>IFERROR(F201*SUM((VLOOKUP(B201&amp;"; "&amp;H201&amp;", "&amp;I$194,'FE Intrants'!$G:$U,13,FALSE)),
VLOOKUP(B201&amp;"; "&amp;H201&amp;", "&amp;J$194,'FE Intrants'!$G:$U,13,FALSE),
VLOOKUP(B201&amp;"; "&amp;H201&amp;", "&amp;K$194,'FE Intrants'!$G:$U,13,FALSE),
VLOOKUP(B201&amp;"; "&amp;H201&amp;", "&amp;L$194,'FE Intrants'!$G:$U,13,FALSE),
VLOOKUP(B201&amp;"; "&amp;H201&amp;", "&amp;M$194,'FE Intrants'!$G:$U,13,FALSE)),
F201*VLOOKUP(B201&amp;"; "&amp;H201&amp;", "&amp;I$194,'FE Intrants'!$G:$U,13,FALSE))</f>
        <v>0</v>
      </c>
      <c r="Y201" s="565">
        <f>IFERROR(F201*SUM((VLOOKUP(B201&amp;"; "&amp;H201&amp;", "&amp;I$194,'FE Intrants'!$G:$U,14,FALSE)),
VLOOKUP(B201&amp;"; "&amp;H201&amp;", "&amp;J$194,'FE Intrants'!$G:$U,14,FALSE),
VLOOKUP(B201&amp;"; "&amp;H201&amp;", "&amp;K$194,'FE Intrants'!$G:$U,14,FALSE),
VLOOKUP(B201&amp;"; "&amp;H201&amp;", "&amp;L$194,'FE Intrants'!$G:$U,14,FALSE),
VLOOKUP(B201&amp;"; "&amp;H201&amp;", "&amp;M$194,'FE Intrants'!$G:$U,14,FALSE)),
F201*VLOOKUP(B201&amp;"; "&amp;H201&amp;", "&amp;I$194,'FE Intrants'!$G:$U,14,FALSE))</f>
        <v>0</v>
      </c>
      <c r="Z201" s="567">
        <f t="shared" si="23"/>
        <v>0</v>
      </c>
      <c r="AA201" s="590">
        <f>IFERROR(F201*SUM((VLOOKUP(B201&amp;"; "&amp;H201&amp;", "&amp;I$194,'FE Intrants'!$G:$U,15,FALSE)),
VLOOKUP(B201&amp;"; "&amp;H201&amp;", "&amp;J$194,'FE Intrants'!$G:$U,15,FALSE),
VLOOKUP(B201&amp;"; "&amp;H201&amp;", "&amp;K$194,'FE Intrants'!$G:$U,15,FALSE),
VLOOKUP(B201&amp;"; "&amp;H201&amp;", "&amp;L$194,'FE Intrants'!$G:$U,15,FALSE),
VLOOKUP(B201&amp;"; "&amp;H201&amp;", "&amp;M$194,'FE Intrants'!$G:$U,15,FALSE)),
F201*VLOOKUP(B201&amp;"; "&amp;H201&amp;", "&amp;I$194,'FE Intrants'!$G:$U,15,FALSE))</f>
        <v>0</v>
      </c>
      <c r="AC201" s="2326">
        <f>IF($R201&lt;&gt;"votre valeur :",IF(ISNA(VLOOKUP($R201,Utilitaires!$N$566:$O$571,2,FALSE)),,VLOOKUP($R201,Utilitaires!$N$566:$O$571,2,FALSE)),$S201)</f>
        <v>0</v>
      </c>
      <c r="AD201" s="1130">
        <f>SQRT(SUMSQ(AC201,VLOOKUP(B201&amp;"; "&amp;$H201&amp;", "&amp;$I$194,'FE Intrants'!G:U,7,FALSE)))</f>
        <v>0.3</v>
      </c>
    </row>
    <row r="202" spans="2:30" s="114" customFormat="1" ht="13.2" hidden="1" outlineLevel="1">
      <c r="B202" s="143"/>
      <c r="C202" s="144"/>
      <c r="D202" s="212"/>
      <c r="E202" s="212"/>
      <c r="F202" s="212"/>
      <c r="G202" s="224"/>
      <c r="H202" s="212"/>
      <c r="I202" s="212"/>
      <c r="J202" s="212"/>
      <c r="K202" s="212"/>
      <c r="L202" s="212"/>
      <c r="M202" s="212"/>
      <c r="N202" s="1216"/>
      <c r="Q202" s="319"/>
      <c r="R202" s="2081"/>
      <c r="S202" s="820"/>
      <c r="T202" s="152"/>
      <c r="V202" s="564"/>
      <c r="W202" s="565"/>
      <c r="X202" s="565"/>
      <c r="Y202" s="565"/>
      <c r="Z202" s="567"/>
      <c r="AA202" s="590"/>
      <c r="AC202" s="2099"/>
      <c r="AD202" s="1130"/>
    </row>
    <row r="203" spans="2:30" s="114" customFormat="1" ht="13.2" hidden="1" outlineLevel="1">
      <c r="B203" s="332" t="s">
        <v>121</v>
      </c>
      <c r="C203" s="144"/>
      <c r="D203" s="212"/>
      <c r="E203" s="212"/>
      <c r="F203" s="212"/>
      <c r="G203" s="224"/>
      <c r="H203" s="212"/>
      <c r="I203" s="212"/>
      <c r="J203" s="212"/>
      <c r="K203" s="212"/>
      <c r="L203" s="212"/>
      <c r="M203" s="212"/>
      <c r="N203" s="1216"/>
      <c r="Q203" s="319"/>
      <c r="R203" s="2081"/>
      <c r="S203" s="820"/>
      <c r="T203" s="152"/>
      <c r="V203" s="564"/>
      <c r="W203" s="565"/>
      <c r="X203" s="565"/>
      <c r="Y203" s="565"/>
      <c r="Z203" s="567"/>
      <c r="AA203" s="590"/>
      <c r="AC203" s="2099"/>
      <c r="AD203" s="1130"/>
    </row>
    <row r="204" spans="2:30" s="114" customFormat="1" ht="13.2" hidden="1" outlineLevel="1">
      <c r="B204" s="143" t="s">
        <v>3257</v>
      </c>
      <c r="C204" s="144"/>
      <c r="D204" s="212">
        <f>N204</f>
        <v>0</v>
      </c>
      <c r="E204" s="212"/>
      <c r="F204" s="117"/>
      <c r="G204" s="224">
        <f>VLOOKUP($B204&amp;"; "&amp;H204,'FE Intrants'!$G:$U,9,FALSE)</f>
        <v>36.700000000000003</v>
      </c>
      <c r="H204" s="1211" t="str">
        <f>VLOOKUP(B204,'FE Intrants'!F:U,5,FALSE)</f>
        <v xml:space="preserve">kgCO2e/tonne </v>
      </c>
      <c r="I204" s="212"/>
      <c r="J204" s="212"/>
      <c r="K204" s="212"/>
      <c r="L204" s="212"/>
      <c r="M204" s="212"/>
      <c r="N204" s="1216">
        <f>F204*G204</f>
        <v>0</v>
      </c>
      <c r="Q204" s="319">
        <f>IF(T204=0,T204,T204/N204)</f>
        <v>0</v>
      </c>
      <c r="R204" s="1218"/>
      <c r="S204" s="820"/>
      <c r="T204" s="152">
        <f>F204*G204*AD204</f>
        <v>0</v>
      </c>
      <c r="V204" s="564">
        <f>IF($F204*VLOOKUP($B204&amp;"; "&amp;$H204,'FE Intrants'!$G:$U,10,FALSE)=0,N204,$F204*VLOOKUP($B204&amp;"; "&amp;$H204,'FE Intrants'!$G:$U,10,FALSE))</f>
        <v>0</v>
      </c>
      <c r="W204" s="565">
        <f>$F204*(VLOOKUP($B204&amp;"; "&amp;$H204,'FE Intrants'!$G:$U,11,FALSE)+VLOOKUP($B204&amp;"; "&amp;$H204,'FE Intrants'!$G:$U,12,FALSE))</f>
        <v>0</v>
      </c>
      <c r="X204" s="565">
        <f>$F204*VLOOKUP($B204&amp;"; "&amp;$H204,'FE Intrants'!$G:$U,13,FALSE)</f>
        <v>0</v>
      </c>
      <c r="Y204" s="565">
        <f>$F204*VLOOKUP($B204&amp;"; "&amp;$H204,'FE Intrants'!$G:$U,14,FALSE)</f>
        <v>0</v>
      </c>
      <c r="Z204" s="567">
        <f>SUM(U204:Y204)</f>
        <v>0</v>
      </c>
      <c r="AA204" s="590">
        <f>$F204*VLOOKUP($B204&amp;"; "&amp;$H204,'FE Intrants'!$G:$U,15,FALSE)</f>
        <v>0</v>
      </c>
      <c r="AC204" s="2099">
        <f>IF($R204&lt;&gt;"votre valeur :",IF(ISNA(VLOOKUP($R204,Utilitaires!$N$566:$O$571,2,FALSE)),,VLOOKUP($R204,Utilitaires!$N$566:$O$571,2,FALSE)),$S204)</f>
        <v>0</v>
      </c>
      <c r="AD204" s="1130">
        <f>SQRT(SUMSQ(AC204,VLOOKUP(B204&amp;"; "&amp;$H204,'FE Intrants'!G:U,7,FALSE)))</f>
        <v>0.5</v>
      </c>
    </row>
    <row r="205" spans="2:30" s="114" customFormat="1" ht="13.2" hidden="1" outlineLevel="1">
      <c r="B205" s="143" t="s">
        <v>3258</v>
      </c>
      <c r="C205" s="144"/>
      <c r="D205" s="212">
        <f>N205</f>
        <v>0</v>
      </c>
      <c r="E205" s="212"/>
      <c r="F205" s="123"/>
      <c r="G205" s="224">
        <f>VLOOKUP($B205&amp;"; "&amp;H205,'FE Intrants'!$G:$U,9,FALSE)</f>
        <v>36.700000000000003</v>
      </c>
      <c r="H205" s="1213" t="str">
        <f>VLOOKUP(B205,'FE Intrants'!F:U,5,FALSE)</f>
        <v xml:space="preserve">kgCO2e/tonne </v>
      </c>
      <c r="I205" s="212"/>
      <c r="J205" s="212"/>
      <c r="K205" s="212"/>
      <c r="L205" s="212"/>
      <c r="M205" s="212"/>
      <c r="N205" s="1216">
        <f>F205*G205</f>
        <v>0</v>
      </c>
      <c r="Q205" s="319">
        <f>IF(T205=0,T205,T205/N205)</f>
        <v>0</v>
      </c>
      <c r="R205" s="1094"/>
      <c r="S205" s="820"/>
      <c r="T205" s="152">
        <f>F205*G205*AD205</f>
        <v>0</v>
      </c>
      <c r="V205" s="564">
        <f>IF($F205*VLOOKUP($B205&amp;"; "&amp;$H205,'FE Intrants'!$G:$U,10,FALSE)=0,N205,$F205*VLOOKUP($B205&amp;"; "&amp;$H205,'FE Intrants'!$G:$U,10,FALSE))</f>
        <v>0</v>
      </c>
      <c r="W205" s="565">
        <f>$F205*(VLOOKUP($B205&amp;"; "&amp;$H205,'FE Intrants'!$G:$U,11,FALSE)+VLOOKUP($B205&amp;"; "&amp;$H205,'FE Intrants'!$G:$U,12,FALSE))</f>
        <v>0</v>
      </c>
      <c r="X205" s="565">
        <f>$F205*VLOOKUP($B205&amp;"; "&amp;$H205,'FE Intrants'!$G:$U,13,FALSE)</f>
        <v>0</v>
      </c>
      <c r="Y205" s="565">
        <f>$F205*VLOOKUP($B205&amp;"; "&amp;$H205,'FE Intrants'!$G:$U,14,FALSE)</f>
        <v>0</v>
      </c>
      <c r="Z205" s="567">
        <f>SUM(U205:Y205)</f>
        <v>0</v>
      </c>
      <c r="AA205" s="590">
        <f>$F205*VLOOKUP($B205&amp;"; "&amp;$H205,'FE Intrants'!$G:$U,15,FALSE)</f>
        <v>0</v>
      </c>
      <c r="AC205" s="2099">
        <f>IF($R205&lt;&gt;"votre valeur :",IF(ISNA(VLOOKUP($R205,Utilitaires!$N$566:$O$571,2,FALSE)),,VLOOKUP($R205,Utilitaires!$N$566:$O$571,2,FALSE)),$S205)</f>
        <v>0</v>
      </c>
      <c r="AD205" s="1130">
        <f>SQRT(SUMSQ(AC205,VLOOKUP(B205&amp;"; "&amp;$H205,'FE Intrants'!G:U,7,FALSE)))</f>
        <v>0.2</v>
      </c>
    </row>
    <row r="206" spans="2:30" s="114" customFormat="1" ht="13.2" hidden="1" outlineLevel="1">
      <c r="B206" s="143"/>
      <c r="C206" s="144"/>
      <c r="D206" s="212"/>
      <c r="E206" s="212"/>
      <c r="F206" s="212"/>
      <c r="G206" s="224"/>
      <c r="H206" s="212"/>
      <c r="I206" s="212"/>
      <c r="J206" s="212"/>
      <c r="K206" s="212"/>
      <c r="L206" s="212"/>
      <c r="M206" s="212"/>
      <c r="N206" s="1216"/>
      <c r="Q206" s="319"/>
      <c r="R206" s="820"/>
      <c r="S206" s="820"/>
      <c r="T206" s="152"/>
      <c r="V206" s="564"/>
      <c r="W206" s="565"/>
      <c r="X206" s="565"/>
      <c r="Y206" s="565"/>
      <c r="Z206" s="567"/>
      <c r="AA206" s="590"/>
      <c r="AC206" s="2099"/>
      <c r="AD206" s="1130"/>
    </row>
    <row r="207" spans="2:30" s="114" customFormat="1" ht="13.2" hidden="1" outlineLevel="1">
      <c r="B207" s="332" t="s">
        <v>3727</v>
      </c>
      <c r="C207" s="144"/>
      <c r="D207" s="212"/>
      <c r="E207" s="212"/>
      <c r="F207" s="212"/>
      <c r="G207" s="224"/>
      <c r="H207" s="2067"/>
      <c r="I207" s="2210"/>
      <c r="J207" s="2210"/>
      <c r="K207" s="2210"/>
      <c r="L207" s="2210"/>
      <c r="M207" s="2210"/>
      <c r="N207" s="1216"/>
      <c r="Q207" s="319"/>
      <c r="R207" s="212"/>
      <c r="S207" s="212"/>
      <c r="T207" s="152"/>
      <c r="V207" s="564"/>
      <c r="W207" s="565"/>
      <c r="X207" s="565"/>
      <c r="Y207" s="565"/>
      <c r="Z207" s="567"/>
      <c r="AA207" s="590"/>
      <c r="AC207" s="2209"/>
      <c r="AD207" s="1130"/>
    </row>
    <row r="208" spans="2:30" s="114" customFormat="1" ht="13.2" hidden="1" outlineLevel="1">
      <c r="B208" s="143" t="s">
        <v>3998</v>
      </c>
      <c r="C208" s="144"/>
      <c r="D208" s="212">
        <f t="shared" ref="D208:D212" si="24">N208</f>
        <v>0</v>
      </c>
      <c r="E208" s="212"/>
      <c r="F208" s="117"/>
      <c r="G208" s="2220">
        <f>VLOOKUP($B208&amp;"; "&amp;H208,'FE Intrants'!$G:$U,9,FALSE)</f>
        <v>4.2000000000000003E-2</v>
      </c>
      <c r="H208" s="1211" t="str">
        <f>VLOOKUP(B208,'FE Intrants'!F:U,5,FALSE)</f>
        <v>kgCO2e/100 feuilles A4</v>
      </c>
      <c r="I208" s="2210"/>
      <c r="J208" s="2210"/>
      <c r="K208" s="2210"/>
      <c r="L208" s="2210"/>
      <c r="M208" s="2210"/>
      <c r="N208" s="1216">
        <f t="shared" ref="N208:N212" si="25">F208*G208</f>
        <v>0</v>
      </c>
      <c r="Q208" s="319">
        <f t="shared" ref="Q208:Q212" si="26">IF(T208=0,T208,T208/N208)</f>
        <v>0</v>
      </c>
      <c r="R208" s="1016"/>
      <c r="S208" s="212"/>
      <c r="T208" s="152">
        <f t="shared" ref="T208:T212" si="27">F208*G208*AD208</f>
        <v>0</v>
      </c>
      <c r="V208" s="564">
        <f>IF($F208*VLOOKUP($B208&amp;"; "&amp;$H208,'FE Intrants'!$G:$U,10,FALSE)=0,N208,$F208*VLOOKUP($B208&amp;"; "&amp;$H208,'FE Intrants'!$G:$U,10,FALSE))</f>
        <v>0</v>
      </c>
      <c r="W208" s="565">
        <f>$F208*(VLOOKUP($B208&amp;"; "&amp;$H208,'FE Intrants'!$G:$U,11,FALSE)+VLOOKUP($B208&amp;"; "&amp;$H208,'FE Intrants'!$G:$U,12,FALSE))</f>
        <v>0</v>
      </c>
      <c r="X208" s="565">
        <f>$F208*VLOOKUP($B208&amp;"; "&amp;$H208,'FE Intrants'!$G:$U,13,FALSE)</f>
        <v>0</v>
      </c>
      <c r="Y208" s="565">
        <f>$F208*VLOOKUP($B208&amp;"; "&amp;$H208,'FE Intrants'!$G:$U,14,FALSE)</f>
        <v>0</v>
      </c>
      <c r="Z208" s="567">
        <f t="shared" ref="Z208:Z212" si="28">SUM(V208:Y208)</f>
        <v>0</v>
      </c>
      <c r="AA208" s="590">
        <f>$F208*VLOOKUP($B208&amp;"; "&amp;$H208,'FE Intrants'!$G:$U,15,FALSE)</f>
        <v>0</v>
      </c>
      <c r="AC208" s="2209">
        <f>IF($R208&lt;&gt;"votre valeur :",IF(ISNA(VLOOKUP($R208,Utilitaires!$N$566:$O$571,2,FALSE)),,VLOOKUP($R208,Utilitaires!$N$566:$O$571,2,FALSE)),$S208)</f>
        <v>0</v>
      </c>
      <c r="AD208" s="1130">
        <f>SQRT(SUMSQ(AC208,VLOOKUP(B208&amp;"; "&amp;$H208,'FE Intrants'!G:U,7,FALSE)))</f>
        <v>1</v>
      </c>
    </row>
    <row r="209" spans="2:30" s="114" customFormat="1" ht="13.2" hidden="1" outlineLevel="1">
      <c r="B209" s="143" t="s">
        <v>3999</v>
      </c>
      <c r="C209" s="144"/>
      <c r="D209" s="212">
        <f t="shared" si="24"/>
        <v>0</v>
      </c>
      <c r="E209" s="212"/>
      <c r="F209" s="120"/>
      <c r="G209" s="2220">
        <f>VLOOKUP($B209&amp;"; "&amp;H209,'FE Intrants'!$G:$U,9,FALSE)</f>
        <v>0.2</v>
      </c>
      <c r="H209" s="1212" t="str">
        <f>VLOOKUP(B209,'FE Intrants'!F:U,5,FALSE)</f>
        <v>kgCO2e/100 feuilles A4</v>
      </c>
      <c r="I209" s="2210"/>
      <c r="J209" s="2210"/>
      <c r="K209" s="2210"/>
      <c r="L209" s="2210"/>
      <c r="M209" s="2210"/>
      <c r="N209" s="1216">
        <f t="shared" si="25"/>
        <v>0</v>
      </c>
      <c r="Q209" s="319">
        <f t="shared" si="26"/>
        <v>0</v>
      </c>
      <c r="R209" s="1016"/>
      <c r="S209" s="212"/>
      <c r="T209" s="152">
        <f t="shared" si="27"/>
        <v>0</v>
      </c>
      <c r="V209" s="564">
        <f>IF($F209*VLOOKUP($B209&amp;"; "&amp;$H209,'FE Intrants'!$G:$U,10,FALSE)=0,N209,$F209*VLOOKUP($B209&amp;"; "&amp;$H209,'FE Intrants'!$G:$U,10,FALSE))</f>
        <v>0</v>
      </c>
      <c r="W209" s="565">
        <f>$F209*(VLOOKUP($B209&amp;"; "&amp;$H209,'FE Intrants'!$G:$U,11,FALSE)+VLOOKUP($B209&amp;"; "&amp;$H209,'FE Intrants'!$G:$U,12,FALSE))</f>
        <v>0</v>
      </c>
      <c r="X209" s="565">
        <f>$F209*VLOOKUP($B209&amp;"; "&amp;$H209,'FE Intrants'!$G:$U,13,FALSE)</f>
        <v>0</v>
      </c>
      <c r="Y209" s="565">
        <f>$F209*VLOOKUP($B209&amp;"; "&amp;$H209,'FE Intrants'!$G:$U,14,FALSE)</f>
        <v>0</v>
      </c>
      <c r="Z209" s="567">
        <f t="shared" si="28"/>
        <v>0</v>
      </c>
      <c r="AA209" s="590">
        <f>$F209*VLOOKUP($B209&amp;"; "&amp;$H209,'FE Intrants'!$G:$U,15,FALSE)</f>
        <v>0</v>
      </c>
      <c r="AC209" s="2209">
        <f>IF($R209&lt;&gt;"votre valeur :",IF(ISNA(VLOOKUP($R209,Utilitaires!$N$566:$O$571,2,FALSE)),,VLOOKUP($R209,Utilitaires!$N$566:$O$571,2,FALSE)),$S209)</f>
        <v>0</v>
      </c>
      <c r="AD209" s="1130">
        <f>SQRT(SUMSQ(AC209,VLOOKUP(B209&amp;"; "&amp;$H209,'FE Intrants'!G:U,7,FALSE)))</f>
        <v>1</v>
      </c>
    </row>
    <row r="210" spans="2:30" s="114" customFormat="1" ht="13.2" hidden="1" outlineLevel="1">
      <c r="B210" s="143" t="s">
        <v>4000</v>
      </c>
      <c r="C210" s="144"/>
      <c r="D210" s="212">
        <f t="shared" si="24"/>
        <v>0</v>
      </c>
      <c r="E210" s="212"/>
      <c r="F210" s="120"/>
      <c r="G210" s="2220">
        <f>VLOOKUP($B210&amp;"; "&amp;H210,'FE Intrants'!$G:$U,9,FALSE)</f>
        <v>0.23</v>
      </c>
      <c r="H210" s="1212" t="str">
        <f>VLOOKUP(B210,'FE Intrants'!F:U,5,FALSE)</f>
        <v>kgCO2e/100 feuilles A4</v>
      </c>
      <c r="I210" s="2210"/>
      <c r="J210" s="2210"/>
      <c r="K210" s="2210"/>
      <c r="L210" s="2210"/>
      <c r="M210" s="2210"/>
      <c r="N210" s="1216">
        <f t="shared" si="25"/>
        <v>0</v>
      </c>
      <c r="Q210" s="319">
        <f t="shared" si="26"/>
        <v>0</v>
      </c>
      <c r="R210" s="1016"/>
      <c r="S210" s="212"/>
      <c r="T210" s="152">
        <f t="shared" si="27"/>
        <v>0</v>
      </c>
      <c r="V210" s="564">
        <f>IF($F210*VLOOKUP($B210&amp;"; "&amp;$H210,'FE Intrants'!$G:$U,10,FALSE)=0,N210,$F210*VLOOKUP($B210&amp;"; "&amp;$H210,'FE Intrants'!$G:$U,10,FALSE))</f>
        <v>0</v>
      </c>
      <c r="W210" s="565">
        <f>$F210*(VLOOKUP($B210&amp;"; "&amp;$H210,'FE Intrants'!$G:$U,11,FALSE)+VLOOKUP($B210&amp;"; "&amp;$H210,'FE Intrants'!$G:$U,12,FALSE))</f>
        <v>0</v>
      </c>
      <c r="X210" s="565">
        <f>$F210*VLOOKUP($B210&amp;"; "&amp;$H210,'FE Intrants'!$G:$U,13,FALSE)</f>
        <v>0</v>
      </c>
      <c r="Y210" s="565">
        <f>$F210*VLOOKUP($B210&amp;"; "&amp;$H210,'FE Intrants'!$G:$U,14,FALSE)</f>
        <v>0</v>
      </c>
      <c r="Z210" s="567">
        <f t="shared" si="28"/>
        <v>0</v>
      </c>
      <c r="AA210" s="590">
        <f>$F210*VLOOKUP($B210&amp;"; "&amp;$H210,'FE Intrants'!$G:$U,15,FALSE)</f>
        <v>0</v>
      </c>
      <c r="AC210" s="2209">
        <f>IF($R210&lt;&gt;"votre valeur :",IF(ISNA(VLOOKUP($R210,Utilitaires!$N$566:$O$571,2,FALSE)),,VLOOKUP($R210,Utilitaires!$N$566:$O$571,2,FALSE)),$S210)</f>
        <v>0</v>
      </c>
      <c r="AD210" s="1130">
        <f>SQRT(SUMSQ(AC210,VLOOKUP(B210&amp;"; "&amp;$H210,'FE Intrants'!G:U,7,FALSE)))</f>
        <v>1</v>
      </c>
    </row>
    <row r="211" spans="2:30" s="114" customFormat="1" ht="13.2" hidden="1" outlineLevel="1">
      <c r="B211" s="143" t="s">
        <v>4001</v>
      </c>
      <c r="C211" s="144"/>
      <c r="D211" s="212">
        <f t="shared" si="24"/>
        <v>0</v>
      </c>
      <c r="E211" s="212"/>
      <c r="F211" s="120"/>
      <c r="G211" s="2220">
        <f>VLOOKUP($B211&amp;"; "&amp;H211,'FE Intrants'!$G:$U,9,FALSE)</f>
        <v>1870</v>
      </c>
      <c r="H211" s="1212" t="str">
        <f>VLOOKUP(B211,'FE Intrants'!F:U,5,FALSE)</f>
        <v>kgCO2e/tonne</v>
      </c>
      <c r="I211" s="2210"/>
      <c r="J211" s="2210"/>
      <c r="K211" s="2210"/>
      <c r="L211" s="2210"/>
      <c r="M211" s="2210"/>
      <c r="N211" s="1216">
        <f t="shared" si="25"/>
        <v>0</v>
      </c>
      <c r="Q211" s="319">
        <f t="shared" si="26"/>
        <v>0</v>
      </c>
      <c r="R211" s="1016"/>
      <c r="S211" s="212"/>
      <c r="T211" s="152">
        <f t="shared" si="27"/>
        <v>0</v>
      </c>
      <c r="V211" s="564">
        <f>IF($F211*VLOOKUP($B211&amp;"; "&amp;$H211,'FE Intrants'!$G:$U,10,FALSE)=0,N211,$F211*VLOOKUP($B211&amp;"; "&amp;$H211,'FE Intrants'!$G:$U,10,FALSE))</f>
        <v>0</v>
      </c>
      <c r="W211" s="565">
        <f>$F211*(VLOOKUP($B211&amp;"; "&amp;$H211,'FE Intrants'!$G:$U,11,FALSE)+VLOOKUP($B211&amp;"; "&amp;$H211,'FE Intrants'!$G:$U,12,FALSE))</f>
        <v>0</v>
      </c>
      <c r="X211" s="565">
        <f>$F211*VLOOKUP($B211&amp;"; "&amp;$H211,'FE Intrants'!$G:$U,13,FALSE)</f>
        <v>0</v>
      </c>
      <c r="Y211" s="565">
        <f>$F211*VLOOKUP($B211&amp;"; "&amp;$H211,'FE Intrants'!$G:$U,14,FALSE)</f>
        <v>0</v>
      </c>
      <c r="Z211" s="567">
        <f t="shared" si="28"/>
        <v>0</v>
      </c>
      <c r="AA211" s="590">
        <f>$F211*VLOOKUP($B211&amp;"; "&amp;$H211,'FE Intrants'!$G:$U,15,FALSE)</f>
        <v>0</v>
      </c>
      <c r="AC211" s="2209">
        <f>IF($R211&lt;&gt;"votre valeur :",IF(ISNA(VLOOKUP($R211,Utilitaires!$N$566:$O$571,2,FALSE)),,VLOOKUP($R211,Utilitaires!$N$566:$O$571,2,FALSE)),$S211)</f>
        <v>0</v>
      </c>
      <c r="AD211" s="1130">
        <f>SQRT(SUMSQ(AC211,VLOOKUP(B211&amp;"; "&amp;$H211,'FE Intrants'!G:U,7,FALSE)))</f>
        <v>1</v>
      </c>
    </row>
    <row r="212" spans="2:30" s="114" customFormat="1" ht="13.2" hidden="1" outlineLevel="1">
      <c r="B212" s="143" t="s">
        <v>4002</v>
      </c>
      <c r="C212" s="144"/>
      <c r="D212" s="212">
        <f t="shared" si="24"/>
        <v>0</v>
      </c>
      <c r="E212" s="212"/>
      <c r="F212" s="123"/>
      <c r="G212" s="2220">
        <f>VLOOKUP($B212&amp;"; "&amp;H212,'FE Intrants'!$G:$U,9,FALSE)</f>
        <v>0.36699999999999999</v>
      </c>
      <c r="H212" s="1213" t="str">
        <f>VLOOKUP(B212,'FE Intrants'!F:U,5,FALSE)</f>
        <v>kgCO2e/euro dépensé</v>
      </c>
      <c r="I212" s="2210"/>
      <c r="J212" s="2210"/>
      <c r="K212" s="2210"/>
      <c r="L212" s="2210"/>
      <c r="M212" s="2210"/>
      <c r="N212" s="1216">
        <f t="shared" si="25"/>
        <v>0</v>
      </c>
      <c r="Q212" s="319">
        <f t="shared" si="26"/>
        <v>0</v>
      </c>
      <c r="R212" s="1016"/>
      <c r="S212" s="212"/>
      <c r="T212" s="152">
        <f t="shared" si="27"/>
        <v>0</v>
      </c>
      <c r="V212" s="564">
        <f>IF($F212*VLOOKUP($B212&amp;"; "&amp;$H212,'FE Intrants'!$G:$U,10,FALSE)=0,N212,$F212*VLOOKUP($B212&amp;"; "&amp;$H212,'FE Intrants'!$G:$U,10,FALSE))</f>
        <v>0</v>
      </c>
      <c r="W212" s="565">
        <f>$F212*(VLOOKUP($B212&amp;"; "&amp;$H212,'FE Intrants'!$G:$U,11,FALSE)+VLOOKUP($B212&amp;"; "&amp;$H212,'FE Intrants'!$G:$U,12,FALSE))</f>
        <v>0</v>
      </c>
      <c r="X212" s="565">
        <f>$F212*VLOOKUP($B212&amp;"; "&amp;$H212,'FE Intrants'!$G:$U,13,FALSE)</f>
        <v>0</v>
      </c>
      <c r="Y212" s="565">
        <f>$F212*VLOOKUP($B212&amp;"; "&amp;$H212,'FE Intrants'!$G:$U,14,FALSE)</f>
        <v>0</v>
      </c>
      <c r="Z212" s="567">
        <f t="shared" si="28"/>
        <v>0</v>
      </c>
      <c r="AA212" s="590">
        <f>$F212*VLOOKUP($B212&amp;"; "&amp;$H212,'FE Intrants'!$G:$U,15,FALSE)</f>
        <v>0</v>
      </c>
      <c r="AC212" s="2209">
        <f>IF($R212&lt;&gt;"votre valeur :",IF(ISNA(VLOOKUP($R212,Utilitaires!$N$566:$O$571,2,FALSE)),,VLOOKUP($R212,Utilitaires!$N$566:$O$571,2,FALSE)),$S212)</f>
        <v>0</v>
      </c>
      <c r="AD212" s="1130">
        <f>SQRT(SUMSQ(AC212,VLOOKUP(B212&amp;"; "&amp;$H212,'FE Intrants'!G:U,7,FALSE)))</f>
        <v>0.5</v>
      </c>
    </row>
    <row r="213" spans="2:30" s="114" customFormat="1" ht="12.75" hidden="1" customHeight="1" outlineLevel="1">
      <c r="B213" s="143"/>
      <c r="C213" s="144"/>
      <c r="D213" s="212"/>
      <c r="E213" s="212"/>
      <c r="F213" s="212"/>
      <c r="G213" s="224"/>
      <c r="H213" s="212"/>
      <c r="I213" s="2770" t="s">
        <v>444</v>
      </c>
      <c r="J213" s="2770"/>
      <c r="K213" s="2770"/>
      <c r="L213" s="2770"/>
      <c r="M213" s="2770"/>
      <c r="N213" s="1216"/>
      <c r="Q213" s="319"/>
      <c r="R213" s="820"/>
      <c r="S213" s="820"/>
      <c r="T213" s="152"/>
      <c r="V213" s="564"/>
      <c r="W213" s="565"/>
      <c r="X213" s="565"/>
      <c r="Y213" s="565"/>
      <c r="Z213" s="567"/>
      <c r="AA213" s="590"/>
      <c r="AC213" s="2209"/>
      <c r="AD213" s="1130"/>
    </row>
    <row r="214" spans="2:30" s="114" customFormat="1" ht="13.2" hidden="1" outlineLevel="1">
      <c r="B214" s="332" t="s">
        <v>3129</v>
      </c>
      <c r="C214" s="144"/>
      <c r="D214" s="212"/>
      <c r="E214" s="212"/>
      <c r="F214" s="212"/>
      <c r="G214" s="224"/>
      <c r="H214" s="212"/>
      <c r="I214" s="219" t="s">
        <v>3135</v>
      </c>
      <c r="J214" s="219" t="s">
        <v>3136</v>
      </c>
      <c r="K214" s="219" t="s">
        <v>3141</v>
      </c>
      <c r="L214" s="219" t="s">
        <v>3137</v>
      </c>
      <c r="M214" s="219" t="s">
        <v>3138</v>
      </c>
      <c r="N214" s="1216"/>
      <c r="Q214" s="319"/>
      <c r="R214" s="820"/>
      <c r="S214" s="820"/>
      <c r="T214" s="152"/>
      <c r="V214" s="564"/>
      <c r="W214" s="565"/>
      <c r="X214" s="565"/>
      <c r="Y214" s="565"/>
      <c r="Z214" s="567"/>
      <c r="AA214" s="590"/>
      <c r="AC214" s="2099"/>
      <c r="AD214" s="1130"/>
    </row>
    <row r="215" spans="2:30" s="114" customFormat="1" ht="13.2" hidden="1" outlineLevel="1">
      <c r="B215" s="143" t="s">
        <v>4145</v>
      </c>
      <c r="C215" s="144"/>
      <c r="D215" s="212">
        <f t="shared" ref="D215:D254" si="29">N215</f>
        <v>0</v>
      </c>
      <c r="E215" s="212"/>
      <c r="F215" s="117"/>
      <c r="G215" s="224"/>
      <c r="H215" s="1211" t="str">
        <f>VLOOKUP(B215,'FE Intrants'!F:U,5,FALSE)</f>
        <v>kgCO2e/unité</v>
      </c>
      <c r="I215" s="212">
        <f>VLOOKUP($B215&amp;"; "&amp;$H215&amp;", "&amp;$I$214,'FE Intrants'!$G:$U,9,FALSE)*$F215</f>
        <v>0</v>
      </c>
      <c r="J215" s="212">
        <f>IF(ISNA(VLOOKUP($B215&amp;"; "&amp;$H215&amp;", "&amp;$J$214,'FE Intrants'!$G:$U,9,FALSE)),0,VLOOKUP($B215&amp;"; "&amp;$H215&amp;", "&amp;$J$214,'FE Intrants'!$G:$U,9,FALSE)*$F215)</f>
        <v>0</v>
      </c>
      <c r="K215" s="212">
        <f>IF(ISNA(VLOOKUP($B215&amp;"; "&amp;$H215&amp;", "&amp;$K$214,'FE Intrants'!$G:$U,9,FALSE)),0,VLOOKUP($B215&amp;"; "&amp;$H215&amp;", "&amp;$K$214,'FE Intrants'!$G:$U,9,FALSE)*$F215)</f>
        <v>0</v>
      </c>
      <c r="L215" s="212">
        <f>IF(ISNA(VLOOKUP($B215&amp;"; "&amp;$H215&amp;", "&amp;$L$214,'FE Intrants'!$G:$U,9,FALSE)),0,VLOOKUP($B215&amp;"; "&amp;$H215&amp;", "&amp;$L$214,'FE Intrants'!$G:$U,9,FALSE)*$F215)</f>
        <v>0</v>
      </c>
      <c r="M215" s="212">
        <f>IF(ISNA(VLOOKUP($B215&amp;"; "&amp;$H215&amp;", "&amp;$M$214,'FE Intrants'!$G:$U,9,FALSE)),0,VLOOKUP($B215&amp;"; "&amp;$H215&amp;", "&amp;$M$214,'FE Intrants'!$G:$U,9,FALSE)*$F215)</f>
        <v>0</v>
      </c>
      <c r="N215" s="1216">
        <f>SUM(I215:M215)</f>
        <v>0</v>
      </c>
      <c r="Q215" s="319">
        <f t="shared" ref="Q215:Q254" si="30">IF(T215=0,T215,T215/N215)</f>
        <v>0</v>
      </c>
      <c r="R215" s="1094"/>
      <c r="S215" s="820"/>
      <c r="T215" s="152">
        <f>SUM(I215:M215)*AD215</f>
        <v>0</v>
      </c>
      <c r="V215" s="564">
        <f>IFERROR(F215*SUM((VLOOKUP(B215&amp;"; "&amp;H215&amp;", "&amp;I$214,'FE Intrants'!$G:$U,10,FALSE)),
VLOOKUP(B215&amp;"; "&amp;H215&amp;", "&amp;J$214,'FE Intrants'!$G:$U,10,FALSE),
VLOOKUP(B215&amp;"; "&amp;H215&amp;", "&amp;K$214,'FE Intrants'!$G:$U,10,FALSE),
VLOOKUP(B215&amp;"; "&amp;H215&amp;", "&amp;L$214,'FE Intrants'!$G:$U,10,FALSE),
VLOOKUP(B215&amp;"; "&amp;H215&amp;", "&amp;M$214,'FE Intrants'!$G:$U,10,FALSE)),
F215*VLOOKUP(B215&amp;"; "&amp;H215&amp;", "&amp;I$214,'FE Intrants'!$G:$U,10,FALSE))</f>
        <v>0</v>
      </c>
      <c r="W215" s="565">
        <f>IFERROR(F215*SUM((VLOOKUP(B215&amp;"; "&amp;H215&amp;", "&amp;I$214,'FE Intrants'!$G:$U,11,FALSE)+VLOOKUP(B215&amp;"; "&amp;H215&amp;", "&amp;I$214,'FE Intrants'!$G:$U,12,FALSE)),
(VLOOKUP(B215&amp;"; "&amp;H215&amp;", "&amp;J$214,'FE Intrants'!$G:$U,11,FALSE)+VLOOKUP(B215&amp;"; "&amp;H215&amp;", "&amp;J$214,'FE Intrants'!$G:$U,12,FALSE)),
(VLOOKUP(B215&amp;"; "&amp;H215&amp;", "&amp;K$214,'FE Intrants'!$G:$U,11,FALSE)+VLOOKUP(B215&amp;"; "&amp;H215&amp;", "&amp;K$214,'FE Intrants'!$G:$U,12,FALSE)),
(VLOOKUP(B215&amp;"; "&amp;H215&amp;", "&amp;L$214,'FE Intrants'!$G:$U,11,FALSE)+VLOOKUP(B215&amp;"; "&amp;H215&amp;", "&amp;L$214,'FE Intrants'!$G:$U,12,FALSE)),
(VLOOKUP(B215&amp;"; "&amp;H215&amp;", "&amp;M$214,'FE Intrants'!$G:$U,11,FALSE)+VLOOKUP(B215&amp;"; "&amp;H215&amp;", "&amp;M$214,'FE Intrants'!$G:$U,12,FALSE))),
F215*VLOOKUP(B215&amp;"; "&amp;H215&amp;", "&amp;I$214,'FE Intrants'!$G:$U,11,FALSE)+VLOOKUP(B215&amp;"; "&amp;H215&amp;", "&amp;I$214,'FE Intrants'!$G:$U,12,FALSE))</f>
        <v>0</v>
      </c>
      <c r="X215" s="565">
        <f>IFERROR(F215*SUM((VLOOKUP(B215&amp;"; "&amp;H215&amp;", "&amp;I$214,'FE Intrants'!$G:$U,13,FALSE)),
VLOOKUP(B215&amp;"; "&amp;H215&amp;", "&amp;J$214,'FE Intrants'!$G:$U,13,FALSE),
VLOOKUP(B215&amp;"; "&amp;H215&amp;", "&amp;K$214,'FE Intrants'!$G:$U,13,FALSE),
VLOOKUP(B215&amp;"; "&amp;H215&amp;", "&amp;L$214,'FE Intrants'!$G:$U,13,FALSE),
VLOOKUP(B215&amp;"; "&amp;H215&amp;", "&amp;M$214,'FE Intrants'!$G:$U,13,FALSE)),
F215*VLOOKUP(B215&amp;"; "&amp;H215&amp;", "&amp;I$214,'FE Intrants'!$G:$U,13,FALSE))</f>
        <v>0</v>
      </c>
      <c r="Y215" s="565">
        <f>IFERROR(F215*SUM((VLOOKUP(B215&amp;"; "&amp;H215&amp;", "&amp;I$214,'FE Intrants'!$G:$U,14,FALSE)),
VLOOKUP(B215&amp;"; "&amp;H215&amp;", "&amp;J$214,'FE Intrants'!$G:$U,14,FALSE),
VLOOKUP(B215&amp;"; "&amp;H215&amp;", "&amp;K$214,'FE Intrants'!$G:$U,14,FALSE),
VLOOKUP(B215&amp;"; "&amp;H215&amp;", "&amp;L$214,'FE Intrants'!$G:$U,14,FALSE),
VLOOKUP(B215&amp;"; "&amp;H215&amp;", "&amp;M$214,'FE Intrants'!$G:$U,14,FALSE)),
F215*VLOOKUP(B215&amp;"; "&amp;H215&amp;", "&amp;I$214,'FE Intrants'!$G:$U,14,FALSE))</f>
        <v>0</v>
      </c>
      <c r="Z215" s="567">
        <f>SUM(V215:Y215)</f>
        <v>0</v>
      </c>
      <c r="AA215" s="590">
        <f>IFERROR(F215*SUM((VLOOKUP(B215&amp;"; "&amp;H215&amp;", "&amp;I$214,'FE Intrants'!$G:$U,15,FALSE)),
VLOOKUP(B215&amp;"; "&amp;H215&amp;", "&amp;J$214,'FE Intrants'!$G:$U,15,FALSE),
VLOOKUP(B215&amp;"; "&amp;H215&amp;", "&amp;K$214,'FE Intrants'!$G:$U,15,FALSE),
VLOOKUP(B215&amp;"; "&amp;H215&amp;", "&amp;L$214,'FE Intrants'!$G:$U,15,FALSE),
VLOOKUP(B215&amp;"; "&amp;H215&amp;", "&amp;M$214,'FE Intrants'!$G:$U,15,FALSE)),
F215*VLOOKUP(B215&amp;"; "&amp;H215&amp;", "&amp;I$214,'FE Intrants'!$G:$U,15,FALSE))</f>
        <v>0</v>
      </c>
      <c r="AC215" s="2099">
        <f>IF($R215&lt;&gt;"votre valeur :",IF(ISNA(VLOOKUP($R215,Utilitaires!$N$566:$O$571,2,FALSE)),,VLOOKUP($R215,Utilitaires!$N$566:$O$571,2,FALSE)),$S215)</f>
        <v>0</v>
      </c>
      <c r="AD215" s="1130">
        <f>SQRT(SUMSQ(AC215,VLOOKUP($B215&amp;"; "&amp;$H215&amp;", "&amp;$I$214,'FE Intrants'!G:U,7,FALSE)))</f>
        <v>0.5</v>
      </c>
    </row>
    <row r="216" spans="2:30" s="114" customFormat="1" ht="13.2" hidden="1" outlineLevel="1">
      <c r="B216" s="143" t="s">
        <v>3259</v>
      </c>
      <c r="C216" s="144"/>
      <c r="D216" s="212">
        <f t="shared" si="29"/>
        <v>0</v>
      </c>
      <c r="E216" s="212"/>
      <c r="F216" s="120"/>
      <c r="G216" s="224"/>
      <c r="H216" s="1212" t="str">
        <f>VLOOKUP(B216,'FE Intrants'!F:U,5,FALSE)</f>
        <v>kgCO2e/unité</v>
      </c>
      <c r="I216" s="212">
        <f>VLOOKUP($B216&amp;"; "&amp;$H216&amp;", "&amp;$I$214,'FE Intrants'!$G:$U,9,FALSE)*$F216</f>
        <v>0</v>
      </c>
      <c r="J216" s="212">
        <f>IF(ISNA(VLOOKUP($B216&amp;"; "&amp;$H216&amp;", "&amp;$J$214,'FE Intrants'!$G:$U,9,FALSE)),0,VLOOKUP($B216&amp;"; "&amp;$H216&amp;", "&amp;$J$214,'FE Intrants'!$G:$U,9,FALSE)*$F216)</f>
        <v>0</v>
      </c>
      <c r="K216" s="212">
        <f>IF(ISNA(VLOOKUP($B216&amp;"; "&amp;$H216&amp;", "&amp;$K$214,'FE Intrants'!$G:$U,9,FALSE)),0,VLOOKUP($B216&amp;"; "&amp;$H216&amp;", "&amp;$K$214,'FE Intrants'!$G:$U,9,FALSE)*$F216)</f>
        <v>0</v>
      </c>
      <c r="L216" s="212">
        <f>IF(ISNA(VLOOKUP($B216&amp;"; "&amp;$H216&amp;", "&amp;$L$214,'FE Intrants'!$G:$U,9,FALSE)),0,VLOOKUP($B216&amp;"; "&amp;$H216&amp;", "&amp;$L$214,'FE Intrants'!$G:$U,9,FALSE)*$F216)</f>
        <v>0</v>
      </c>
      <c r="M216" s="212">
        <f>IF(ISNA(VLOOKUP($B216&amp;"; "&amp;$H216&amp;", "&amp;$M$214,'FE Intrants'!$G:$U,9,FALSE)),0,VLOOKUP($B216&amp;"; "&amp;$H216&amp;", "&amp;$M$214,'FE Intrants'!$G:$U,9,FALSE)*$F216)</f>
        <v>0</v>
      </c>
      <c r="N216" s="1216">
        <f t="shared" ref="N216:N254" si="31">SUM(I216:M216)</f>
        <v>0</v>
      </c>
      <c r="Q216" s="319">
        <f t="shared" si="30"/>
        <v>0</v>
      </c>
      <c r="R216" s="1094"/>
      <c r="S216" s="820"/>
      <c r="T216" s="152">
        <f t="shared" ref="T216:T254" si="32">SUM(I216:M216)*AD216</f>
        <v>0</v>
      </c>
      <c r="V216" s="564">
        <f>IFERROR(F216*SUM((VLOOKUP(B216&amp;"; "&amp;H216&amp;", "&amp;I$214,'FE Intrants'!$G:$U,10,FALSE)),
VLOOKUP(B216&amp;"; "&amp;H216&amp;", "&amp;J$214,'FE Intrants'!$G:$U,10,FALSE),
VLOOKUP(B216&amp;"; "&amp;H216&amp;", "&amp;K$214,'FE Intrants'!$G:$U,10,FALSE),
VLOOKUP(B216&amp;"; "&amp;H216&amp;", "&amp;L$214,'FE Intrants'!$G:$U,10,FALSE),
VLOOKUP(B216&amp;"; "&amp;H216&amp;", "&amp;M$214,'FE Intrants'!$G:$U,10,FALSE)),
F216*VLOOKUP(B216&amp;"; "&amp;H216&amp;", "&amp;I$214,'FE Intrants'!$G:$U,10,FALSE))</f>
        <v>0</v>
      </c>
      <c r="W216" s="565">
        <f>IFERROR(F216*SUM((VLOOKUP(B216&amp;"; "&amp;H216&amp;", "&amp;I$214,'FE Intrants'!$G:$U,11,FALSE)+VLOOKUP(B216&amp;"; "&amp;H216&amp;", "&amp;I$214,'FE Intrants'!$G:$U,12,FALSE)),
(VLOOKUP(B216&amp;"; "&amp;H216&amp;", "&amp;J$214,'FE Intrants'!$G:$U,11,FALSE)+VLOOKUP(B216&amp;"; "&amp;H216&amp;", "&amp;J$214,'FE Intrants'!$G:$U,12,FALSE)),
(VLOOKUP(B216&amp;"; "&amp;H216&amp;", "&amp;K$214,'FE Intrants'!$G:$U,11,FALSE)+VLOOKUP(B216&amp;"; "&amp;H216&amp;", "&amp;K$214,'FE Intrants'!$G:$U,12,FALSE)),
(VLOOKUP(B216&amp;"; "&amp;H216&amp;", "&amp;L$214,'FE Intrants'!$G:$U,11,FALSE)+VLOOKUP(B216&amp;"; "&amp;H216&amp;", "&amp;L$214,'FE Intrants'!$G:$U,12,FALSE)),
(VLOOKUP(B216&amp;"; "&amp;H216&amp;", "&amp;M$214,'FE Intrants'!$G:$U,11,FALSE)+VLOOKUP(B216&amp;"; "&amp;H216&amp;", "&amp;M$214,'FE Intrants'!$G:$U,12,FALSE))),
F216*VLOOKUP(B216&amp;"; "&amp;H216&amp;", "&amp;I$214,'FE Intrants'!$G:$U,11,FALSE)+VLOOKUP(B216&amp;"; "&amp;H216&amp;", "&amp;I$214,'FE Intrants'!$G:$U,12,FALSE))</f>
        <v>0</v>
      </c>
      <c r="X216" s="565">
        <f>IFERROR(F216*SUM((VLOOKUP(B216&amp;"; "&amp;H216&amp;", "&amp;I$214,'FE Intrants'!$G:$U,13,FALSE)),
VLOOKUP(B216&amp;"; "&amp;H216&amp;", "&amp;J$214,'FE Intrants'!$G:$U,13,FALSE),
VLOOKUP(B216&amp;"; "&amp;H216&amp;", "&amp;K$214,'FE Intrants'!$G:$U,13,FALSE),
VLOOKUP(B216&amp;"; "&amp;H216&amp;", "&amp;L$214,'FE Intrants'!$G:$U,13,FALSE),
VLOOKUP(B216&amp;"; "&amp;H216&amp;", "&amp;M$214,'FE Intrants'!$G:$U,13,FALSE)),
F216*VLOOKUP(B216&amp;"; "&amp;H216&amp;", "&amp;I$214,'FE Intrants'!$G:$U,13,FALSE))</f>
        <v>0</v>
      </c>
      <c r="Y216" s="565">
        <f>IFERROR(F216*SUM((VLOOKUP(B216&amp;"; "&amp;H216&amp;", "&amp;I$214,'FE Intrants'!$G:$U,14,FALSE)),
VLOOKUP(B216&amp;"; "&amp;H216&amp;", "&amp;J$214,'FE Intrants'!$G:$U,14,FALSE),
VLOOKUP(B216&amp;"; "&amp;H216&amp;", "&amp;K$214,'FE Intrants'!$G:$U,14,FALSE),
VLOOKUP(B216&amp;"; "&amp;H216&amp;", "&amp;L$214,'FE Intrants'!$G:$U,14,FALSE),
VLOOKUP(B216&amp;"; "&amp;H216&amp;", "&amp;M$214,'FE Intrants'!$G:$U,14,FALSE)),
F216*VLOOKUP(B216&amp;"; "&amp;H216&amp;", "&amp;I$214,'FE Intrants'!$G:$U,14,FALSE))</f>
        <v>0</v>
      </c>
      <c r="Z216" s="567">
        <f t="shared" ref="Z216:Z254" si="33">SUM(V216:Y216)</f>
        <v>0</v>
      </c>
      <c r="AA216" s="590">
        <f>IFERROR(F216*SUM((VLOOKUP(B216&amp;"; "&amp;H216&amp;", "&amp;I$214,'FE Intrants'!$G:$U,15,FALSE)),
VLOOKUP(B216&amp;"; "&amp;H216&amp;", "&amp;J$214,'FE Intrants'!$G:$U,15,FALSE),
VLOOKUP(B216&amp;"; "&amp;H216&amp;", "&amp;K$214,'FE Intrants'!$G:$U,15,FALSE),
VLOOKUP(B216&amp;"; "&amp;H216&amp;", "&amp;L$214,'FE Intrants'!$G:$U,15,FALSE),
VLOOKUP(B216&amp;"; "&amp;H216&amp;", "&amp;M$214,'FE Intrants'!$G:$U,15,FALSE)),
F216*VLOOKUP(B216&amp;"; "&amp;H216&amp;", "&amp;I$214,'FE Intrants'!$G:$U,15,FALSE))</f>
        <v>0</v>
      </c>
      <c r="AC216" s="2099">
        <f>IF($R216&lt;&gt;"votre valeur :",IF(ISNA(VLOOKUP($R216,Utilitaires!$N$566:$O$571,2,FALSE)),,VLOOKUP($R216,Utilitaires!$N$566:$O$571,2,FALSE)),$S216)</f>
        <v>0</v>
      </c>
      <c r="AD216" s="1130">
        <f>SQRT(SUMSQ(AC216,VLOOKUP($B216&amp;"; "&amp;$H216&amp;", "&amp;$I$214,'FE Intrants'!G:U,7,FALSE)))</f>
        <v>0.3</v>
      </c>
    </row>
    <row r="217" spans="2:30" s="114" customFormat="1" ht="13.2" hidden="1" outlineLevel="1">
      <c r="B217" s="143" t="s">
        <v>3260</v>
      </c>
      <c r="C217" s="144"/>
      <c r="D217" s="212">
        <f t="shared" si="29"/>
        <v>0</v>
      </c>
      <c r="E217" s="212"/>
      <c r="F217" s="120"/>
      <c r="G217" s="224"/>
      <c r="H217" s="1212" t="str">
        <f>VLOOKUP(B217,'FE Intrants'!F:U,5,FALSE)</f>
        <v>kgCO2e/unité</v>
      </c>
      <c r="I217" s="212">
        <f>VLOOKUP($B217&amp;"; "&amp;$H217&amp;", "&amp;$I$214,'FE Intrants'!$G:$U,9,FALSE)*$F217</f>
        <v>0</v>
      </c>
      <c r="J217" s="212">
        <f>IF(ISNA(VLOOKUP($B217&amp;"; "&amp;$H217&amp;", "&amp;$J$214,'FE Intrants'!$G:$U,9,FALSE)),0,VLOOKUP($B217&amp;"; "&amp;$H217&amp;", "&amp;$J$214,'FE Intrants'!$G:$U,9,FALSE)*$F217)</f>
        <v>0</v>
      </c>
      <c r="K217" s="212">
        <f>IF(ISNA(VLOOKUP($B217&amp;"; "&amp;$H217&amp;", "&amp;$K$214,'FE Intrants'!$G:$U,9,FALSE)),0,VLOOKUP($B217&amp;"; "&amp;$H217&amp;", "&amp;$K$214,'FE Intrants'!$G:$U,9,FALSE)*$F217)</f>
        <v>0</v>
      </c>
      <c r="L217" s="212">
        <f>IF(ISNA(VLOOKUP($B217&amp;"; "&amp;$H217&amp;", "&amp;$L$214,'FE Intrants'!$G:$U,9,FALSE)),0,VLOOKUP($B217&amp;"; "&amp;$H217&amp;", "&amp;$L$214,'FE Intrants'!$G:$U,9,FALSE)*$F217)</f>
        <v>0</v>
      </c>
      <c r="M217" s="212">
        <f>IF(ISNA(VLOOKUP($B217&amp;"; "&amp;$H217&amp;", "&amp;$M$214,'FE Intrants'!$G:$U,9,FALSE)),0,VLOOKUP($B217&amp;"; "&amp;$H217&amp;", "&amp;$M$214,'FE Intrants'!$G:$U,9,FALSE)*$F217)</f>
        <v>0</v>
      </c>
      <c r="N217" s="1216">
        <f t="shared" si="31"/>
        <v>0</v>
      </c>
      <c r="Q217" s="319">
        <f t="shared" si="30"/>
        <v>0</v>
      </c>
      <c r="R217" s="1094"/>
      <c r="S217" s="820"/>
      <c r="T217" s="152">
        <f t="shared" si="32"/>
        <v>0</v>
      </c>
      <c r="V217" s="564">
        <f>IFERROR(F217*SUM((VLOOKUP(B217&amp;"; "&amp;H217&amp;", "&amp;I$214,'FE Intrants'!$G:$U,10,FALSE)),
VLOOKUP(B217&amp;"; "&amp;H217&amp;", "&amp;J$214,'FE Intrants'!$G:$U,10,FALSE),
VLOOKUP(B217&amp;"; "&amp;H217&amp;", "&amp;K$214,'FE Intrants'!$G:$U,10,FALSE),
VLOOKUP(B217&amp;"; "&amp;H217&amp;", "&amp;L$214,'FE Intrants'!$G:$U,10,FALSE),
VLOOKUP(B217&amp;"; "&amp;H217&amp;", "&amp;M$214,'FE Intrants'!$G:$U,10,FALSE)),
F217*VLOOKUP(B217&amp;"; "&amp;H217&amp;", "&amp;I$214,'FE Intrants'!$G:$U,10,FALSE))</f>
        <v>0</v>
      </c>
      <c r="W217" s="565">
        <f>IFERROR(F217*SUM((VLOOKUP(B217&amp;"; "&amp;H217&amp;", "&amp;I$214,'FE Intrants'!$G:$U,11,FALSE)+VLOOKUP(B217&amp;"; "&amp;H217&amp;", "&amp;I$214,'FE Intrants'!$G:$U,12,FALSE)),
(VLOOKUP(B217&amp;"; "&amp;H217&amp;", "&amp;J$214,'FE Intrants'!$G:$U,11,FALSE)+VLOOKUP(B217&amp;"; "&amp;H217&amp;", "&amp;J$214,'FE Intrants'!$G:$U,12,FALSE)),
(VLOOKUP(B217&amp;"; "&amp;H217&amp;", "&amp;K$214,'FE Intrants'!$G:$U,11,FALSE)+VLOOKUP(B217&amp;"; "&amp;H217&amp;", "&amp;K$214,'FE Intrants'!$G:$U,12,FALSE)),
(VLOOKUP(B217&amp;"; "&amp;H217&amp;", "&amp;L$214,'FE Intrants'!$G:$U,11,FALSE)+VLOOKUP(B217&amp;"; "&amp;H217&amp;", "&amp;L$214,'FE Intrants'!$G:$U,12,FALSE)),
(VLOOKUP(B217&amp;"; "&amp;H217&amp;", "&amp;M$214,'FE Intrants'!$G:$U,11,FALSE)+VLOOKUP(B217&amp;"; "&amp;H217&amp;", "&amp;M$214,'FE Intrants'!$G:$U,12,FALSE))),
F217*VLOOKUP(B217&amp;"; "&amp;H217&amp;", "&amp;I$214,'FE Intrants'!$G:$U,11,FALSE)+VLOOKUP(B217&amp;"; "&amp;H217&amp;", "&amp;I$214,'FE Intrants'!$G:$U,12,FALSE))</f>
        <v>0</v>
      </c>
      <c r="X217" s="565">
        <f>IFERROR(F217*SUM((VLOOKUP(B217&amp;"; "&amp;H217&amp;", "&amp;I$214,'FE Intrants'!$G:$U,13,FALSE)),
VLOOKUP(B217&amp;"; "&amp;H217&amp;", "&amp;J$214,'FE Intrants'!$G:$U,13,FALSE),
VLOOKUP(B217&amp;"; "&amp;H217&amp;", "&amp;K$214,'FE Intrants'!$G:$U,13,FALSE),
VLOOKUP(B217&amp;"; "&amp;H217&amp;", "&amp;L$214,'FE Intrants'!$G:$U,13,FALSE),
VLOOKUP(B217&amp;"; "&amp;H217&amp;", "&amp;M$214,'FE Intrants'!$G:$U,13,FALSE)),
F217*VLOOKUP(B217&amp;"; "&amp;H217&amp;", "&amp;I$214,'FE Intrants'!$G:$U,13,FALSE))</f>
        <v>0</v>
      </c>
      <c r="Y217" s="565">
        <f>IFERROR(F217*SUM((VLOOKUP(B217&amp;"; "&amp;H217&amp;", "&amp;I$214,'FE Intrants'!$G:$U,14,FALSE)),
VLOOKUP(B217&amp;"; "&amp;H217&amp;", "&amp;J$214,'FE Intrants'!$G:$U,14,FALSE),
VLOOKUP(B217&amp;"; "&amp;H217&amp;", "&amp;K$214,'FE Intrants'!$G:$U,14,FALSE),
VLOOKUP(B217&amp;"; "&amp;H217&amp;", "&amp;L$214,'FE Intrants'!$G:$U,14,FALSE),
VLOOKUP(B217&amp;"; "&amp;H217&amp;", "&amp;M$214,'FE Intrants'!$G:$U,14,FALSE)),
F217*VLOOKUP(B217&amp;"; "&amp;H217&amp;", "&amp;I$214,'FE Intrants'!$G:$U,14,FALSE))</f>
        <v>0</v>
      </c>
      <c r="Z217" s="567">
        <f t="shared" si="33"/>
        <v>0</v>
      </c>
      <c r="AA217" s="590">
        <f>IFERROR(F217*SUM((VLOOKUP(B217&amp;"; "&amp;H217&amp;", "&amp;I$214,'FE Intrants'!$G:$U,15,FALSE)),
VLOOKUP(B217&amp;"; "&amp;H217&amp;", "&amp;J$214,'FE Intrants'!$G:$U,15,FALSE),
VLOOKUP(B217&amp;"; "&amp;H217&amp;", "&amp;K$214,'FE Intrants'!$G:$U,15,FALSE),
VLOOKUP(B217&amp;"; "&amp;H217&amp;", "&amp;L$214,'FE Intrants'!$G:$U,15,FALSE),
VLOOKUP(B217&amp;"; "&amp;H217&amp;", "&amp;M$214,'FE Intrants'!$G:$U,15,FALSE)),
F217*VLOOKUP(B217&amp;"; "&amp;H217&amp;", "&amp;I$214,'FE Intrants'!$G:$U,15,FALSE))</f>
        <v>0</v>
      </c>
      <c r="AC217" s="2099">
        <f>IF($R217&lt;&gt;"votre valeur :",IF(ISNA(VLOOKUP($R217,Utilitaires!$N$566:$O$571,2,FALSE)),,VLOOKUP($R217,Utilitaires!$N$566:$O$571,2,FALSE)),$S217)</f>
        <v>0</v>
      </c>
      <c r="AD217" s="1130">
        <f>SQRT(SUMSQ(AC217,VLOOKUP($B217&amp;"; "&amp;$H217&amp;", "&amp;$I$214,'FE Intrants'!G:U,7,FALSE)))</f>
        <v>0.3</v>
      </c>
    </row>
    <row r="218" spans="2:30" s="114" customFormat="1" ht="13.2" hidden="1" outlineLevel="1">
      <c r="B218" s="143" t="s">
        <v>3290</v>
      </c>
      <c r="C218" s="144"/>
      <c r="D218" s="212">
        <f t="shared" si="29"/>
        <v>0</v>
      </c>
      <c r="E218" s="212"/>
      <c r="F218" s="120"/>
      <c r="G218" s="224"/>
      <c r="H218" s="1212" t="str">
        <f>VLOOKUP(B218,'FE Intrants'!F:U,5,FALSE)</f>
        <v>kgCO2e/unité</v>
      </c>
      <c r="I218" s="212">
        <f>VLOOKUP($B218&amp;"; "&amp;$H218&amp;", "&amp;$I$214,'FE Intrants'!$G:$U,9,FALSE)*$F218</f>
        <v>0</v>
      </c>
      <c r="J218" s="212">
        <f>IF(ISNA(VLOOKUP($B218&amp;"; "&amp;$H218&amp;", "&amp;$J$214,'FE Intrants'!$G:$U,9,FALSE)),0,VLOOKUP($B218&amp;"; "&amp;$H218&amp;", "&amp;$J$214,'FE Intrants'!$G:$U,9,FALSE)*$F218)</f>
        <v>0</v>
      </c>
      <c r="K218" s="212">
        <f>IF(ISNA(VLOOKUP($B218&amp;"; "&amp;$H218&amp;", "&amp;$K$214,'FE Intrants'!$G:$U,9,FALSE)),0,VLOOKUP($B218&amp;"; "&amp;$H218&amp;", "&amp;$K$214,'FE Intrants'!$G:$U,9,FALSE)*$F218)</f>
        <v>0</v>
      </c>
      <c r="L218" s="212">
        <f>IF(ISNA(VLOOKUP($B218&amp;"; "&amp;$H218&amp;", "&amp;$L$214,'FE Intrants'!$G:$U,9,FALSE)),0,VLOOKUP($B218&amp;"; "&amp;$H218&amp;", "&amp;$L$214,'FE Intrants'!$G:$U,9,FALSE)*$F218)</f>
        <v>0</v>
      </c>
      <c r="M218" s="212">
        <f>IF(ISNA(VLOOKUP($B218&amp;"; "&amp;$H218&amp;", "&amp;$M$214,'FE Intrants'!$G:$U,9,FALSE)),0,VLOOKUP($B218&amp;"; "&amp;$H218&amp;", "&amp;$M$214,'FE Intrants'!$G:$U,9,FALSE)*$F218)</f>
        <v>0</v>
      </c>
      <c r="N218" s="1216">
        <f t="shared" si="31"/>
        <v>0</v>
      </c>
      <c r="Q218" s="319">
        <f t="shared" si="30"/>
        <v>0</v>
      </c>
      <c r="R218" s="1094"/>
      <c r="S218" s="820"/>
      <c r="T218" s="152">
        <f t="shared" si="32"/>
        <v>0</v>
      </c>
      <c r="V218" s="564">
        <f>IFERROR(F218*SUM((VLOOKUP(B218&amp;"; "&amp;H218&amp;", "&amp;I$214,'FE Intrants'!$G:$U,10,FALSE)),
VLOOKUP(B218&amp;"; "&amp;H218&amp;", "&amp;J$214,'FE Intrants'!$G:$U,10,FALSE),
VLOOKUP(B218&amp;"; "&amp;H218&amp;", "&amp;K$214,'FE Intrants'!$G:$U,10,FALSE),
VLOOKUP(B218&amp;"; "&amp;H218&amp;", "&amp;L$214,'FE Intrants'!$G:$U,10,FALSE),
VLOOKUP(B218&amp;"; "&amp;H218&amp;", "&amp;M$214,'FE Intrants'!$G:$U,10,FALSE)),
F218*VLOOKUP(B218&amp;"; "&amp;H218&amp;", "&amp;I$214,'FE Intrants'!$G:$U,10,FALSE))</f>
        <v>0</v>
      </c>
      <c r="W218" s="565">
        <f>IFERROR(F218*SUM((VLOOKUP(B218&amp;"; "&amp;H218&amp;", "&amp;I$214,'FE Intrants'!$G:$U,11,FALSE)+VLOOKUP(B218&amp;"; "&amp;H218&amp;", "&amp;I$214,'FE Intrants'!$G:$U,12,FALSE)),
(VLOOKUP(B218&amp;"; "&amp;H218&amp;", "&amp;J$214,'FE Intrants'!$G:$U,11,FALSE)+VLOOKUP(B218&amp;"; "&amp;H218&amp;", "&amp;J$214,'FE Intrants'!$G:$U,12,FALSE)),
(VLOOKUP(B218&amp;"; "&amp;H218&amp;", "&amp;K$214,'FE Intrants'!$G:$U,11,FALSE)+VLOOKUP(B218&amp;"; "&amp;H218&amp;", "&amp;K$214,'FE Intrants'!$G:$U,12,FALSE)),
(VLOOKUP(B218&amp;"; "&amp;H218&amp;", "&amp;L$214,'FE Intrants'!$G:$U,11,FALSE)+VLOOKUP(B218&amp;"; "&amp;H218&amp;", "&amp;L$214,'FE Intrants'!$G:$U,12,FALSE)),
(VLOOKUP(B218&amp;"; "&amp;H218&amp;", "&amp;M$214,'FE Intrants'!$G:$U,11,FALSE)+VLOOKUP(B218&amp;"; "&amp;H218&amp;", "&amp;M$214,'FE Intrants'!$G:$U,12,FALSE))),
F218*VLOOKUP(B218&amp;"; "&amp;H218&amp;", "&amp;I$214,'FE Intrants'!$G:$U,11,FALSE)+VLOOKUP(B218&amp;"; "&amp;H218&amp;", "&amp;I$214,'FE Intrants'!$G:$U,12,FALSE))</f>
        <v>0</v>
      </c>
      <c r="X218" s="565">
        <f>IFERROR(F218*SUM((VLOOKUP(B218&amp;"; "&amp;H218&amp;", "&amp;I$214,'FE Intrants'!$G:$U,13,FALSE)),
VLOOKUP(B218&amp;"; "&amp;H218&amp;", "&amp;J$214,'FE Intrants'!$G:$U,13,FALSE),
VLOOKUP(B218&amp;"; "&amp;H218&amp;", "&amp;K$214,'FE Intrants'!$G:$U,13,FALSE),
VLOOKUP(B218&amp;"; "&amp;H218&amp;", "&amp;L$214,'FE Intrants'!$G:$U,13,FALSE),
VLOOKUP(B218&amp;"; "&amp;H218&amp;", "&amp;M$214,'FE Intrants'!$G:$U,13,FALSE)),
F218*VLOOKUP(B218&amp;"; "&amp;H218&amp;", "&amp;I$214,'FE Intrants'!$G:$U,13,FALSE))</f>
        <v>0</v>
      </c>
      <c r="Y218" s="565">
        <f>IFERROR(F218*SUM((VLOOKUP(B218&amp;"; "&amp;H218&amp;", "&amp;I$214,'FE Intrants'!$G:$U,14,FALSE)),
VLOOKUP(B218&amp;"; "&amp;H218&amp;", "&amp;J$214,'FE Intrants'!$G:$U,14,FALSE),
VLOOKUP(B218&amp;"; "&amp;H218&amp;", "&amp;K$214,'FE Intrants'!$G:$U,14,FALSE),
VLOOKUP(B218&amp;"; "&amp;H218&amp;", "&amp;L$214,'FE Intrants'!$G:$U,14,FALSE),
VLOOKUP(B218&amp;"; "&amp;H218&amp;", "&amp;M$214,'FE Intrants'!$G:$U,14,FALSE)),
F218*VLOOKUP(B218&amp;"; "&amp;H218&amp;", "&amp;I$214,'FE Intrants'!$G:$U,14,FALSE))</f>
        <v>0</v>
      </c>
      <c r="Z218" s="567">
        <f t="shared" si="33"/>
        <v>0</v>
      </c>
      <c r="AA218" s="590">
        <f>IFERROR(F218*SUM((VLOOKUP(B218&amp;"; "&amp;H218&amp;", "&amp;I$214,'FE Intrants'!$G:$U,15,FALSE)),
VLOOKUP(B218&amp;"; "&amp;H218&amp;", "&amp;J$214,'FE Intrants'!$G:$U,15,FALSE),
VLOOKUP(B218&amp;"; "&amp;H218&amp;", "&amp;K$214,'FE Intrants'!$G:$U,15,FALSE),
VLOOKUP(B218&amp;"; "&amp;H218&amp;", "&amp;L$214,'FE Intrants'!$G:$U,15,FALSE),
VLOOKUP(B218&amp;"; "&amp;H218&amp;", "&amp;M$214,'FE Intrants'!$G:$U,15,FALSE)),
F218*VLOOKUP(B218&amp;"; "&amp;H218&amp;", "&amp;I$214,'FE Intrants'!$G:$U,15,FALSE))</f>
        <v>0</v>
      </c>
      <c r="AC218" s="2099">
        <f>IF($R218&lt;&gt;"votre valeur :",IF(ISNA(VLOOKUP($R218,Utilitaires!$N$566:$O$571,2,FALSE)),,VLOOKUP($R218,Utilitaires!$N$566:$O$571,2,FALSE)),$S218)</f>
        <v>0</v>
      </c>
      <c r="AD218" s="1130">
        <f>SQRT(SUMSQ(AC218,VLOOKUP($B218&amp;"; "&amp;$H218&amp;", "&amp;$I$214,'FE Intrants'!G:U,7,FALSE)))</f>
        <v>0.3</v>
      </c>
    </row>
    <row r="219" spans="2:30" s="114" customFormat="1" ht="13.2" hidden="1" outlineLevel="1">
      <c r="B219" s="143" t="s">
        <v>3261</v>
      </c>
      <c r="C219" s="144"/>
      <c r="D219" s="212">
        <f t="shared" si="29"/>
        <v>0</v>
      </c>
      <c r="E219" s="212"/>
      <c r="F219" s="123"/>
      <c r="G219" s="224"/>
      <c r="H219" s="1213" t="str">
        <f>VLOOKUP(B219,'FE Intrants'!F:U,5,FALSE)</f>
        <v>kgCO2e/unité</v>
      </c>
      <c r="I219" s="212">
        <f>VLOOKUP($B219&amp;"; "&amp;$H219&amp;", "&amp;$I$214,'FE Intrants'!$G:$U,9,FALSE)*$F219</f>
        <v>0</v>
      </c>
      <c r="J219" s="212">
        <f>IF(ISNA(VLOOKUP($B219&amp;"; "&amp;$H219&amp;", "&amp;$J$214,'FE Intrants'!$G:$U,9,FALSE)),0,VLOOKUP($B219&amp;"; "&amp;$H219&amp;", "&amp;$J$214,'FE Intrants'!$G:$U,9,FALSE)*$F219)</f>
        <v>0</v>
      </c>
      <c r="K219" s="212">
        <f>IF(ISNA(VLOOKUP($B219&amp;"; "&amp;$H219&amp;", "&amp;$K$214,'FE Intrants'!$G:$U,9,FALSE)),0,VLOOKUP($B219&amp;"; "&amp;$H219&amp;", "&amp;$K$214,'FE Intrants'!$G:$U,9,FALSE)*$F219)</f>
        <v>0</v>
      </c>
      <c r="L219" s="212">
        <f>IF(ISNA(VLOOKUP($B219&amp;"; "&amp;$H219&amp;", "&amp;$L$214,'FE Intrants'!$G:$U,9,FALSE)),0,VLOOKUP($B219&amp;"; "&amp;$H219&amp;", "&amp;$L$214,'FE Intrants'!$G:$U,9,FALSE)*$F219)</f>
        <v>0</v>
      </c>
      <c r="M219" s="212">
        <f>IF(ISNA(VLOOKUP($B219&amp;"; "&amp;$H219&amp;", "&amp;$M$214,'FE Intrants'!$G:$U,9,FALSE)),0,VLOOKUP($B219&amp;"; "&amp;$H219&amp;", "&amp;$M$214,'FE Intrants'!$G:$U,9,FALSE)*$F219)</f>
        <v>0</v>
      </c>
      <c r="N219" s="1216">
        <f t="shared" si="31"/>
        <v>0</v>
      </c>
      <c r="Q219" s="319">
        <f t="shared" si="30"/>
        <v>0</v>
      </c>
      <c r="R219" s="1094"/>
      <c r="S219" s="820"/>
      <c r="T219" s="152">
        <f t="shared" si="32"/>
        <v>0</v>
      </c>
      <c r="V219" s="564">
        <f>IFERROR(F219*SUM((VLOOKUP(B219&amp;"; "&amp;H219&amp;", "&amp;I$214,'FE Intrants'!$G:$U,10,FALSE)),
VLOOKUP(B219&amp;"; "&amp;H219&amp;", "&amp;J$214,'FE Intrants'!$G:$U,10,FALSE),
VLOOKUP(B219&amp;"; "&amp;H219&amp;", "&amp;K$214,'FE Intrants'!$G:$U,10,FALSE),
VLOOKUP(B219&amp;"; "&amp;H219&amp;", "&amp;L$214,'FE Intrants'!$G:$U,10,FALSE),
VLOOKUP(B219&amp;"; "&amp;H219&amp;", "&amp;M$214,'FE Intrants'!$G:$U,10,FALSE)),
F219*VLOOKUP(B219&amp;"; "&amp;H219&amp;", "&amp;I$214,'FE Intrants'!$G:$U,10,FALSE))</f>
        <v>0</v>
      </c>
      <c r="W219" s="565">
        <f>IFERROR(F219*SUM((VLOOKUP(B219&amp;"; "&amp;H219&amp;", "&amp;I$214,'FE Intrants'!$G:$U,11,FALSE)+VLOOKUP(B219&amp;"; "&amp;H219&amp;", "&amp;I$214,'FE Intrants'!$G:$U,12,FALSE)),
(VLOOKUP(B219&amp;"; "&amp;H219&amp;", "&amp;J$214,'FE Intrants'!$G:$U,11,FALSE)+VLOOKUP(B219&amp;"; "&amp;H219&amp;", "&amp;J$214,'FE Intrants'!$G:$U,12,FALSE)),
(VLOOKUP(B219&amp;"; "&amp;H219&amp;", "&amp;K$214,'FE Intrants'!$G:$U,11,FALSE)+VLOOKUP(B219&amp;"; "&amp;H219&amp;", "&amp;K$214,'FE Intrants'!$G:$U,12,FALSE)),
(VLOOKUP(B219&amp;"; "&amp;H219&amp;", "&amp;L$214,'FE Intrants'!$G:$U,11,FALSE)+VLOOKUP(B219&amp;"; "&amp;H219&amp;", "&amp;L$214,'FE Intrants'!$G:$U,12,FALSE)),
(VLOOKUP(B219&amp;"; "&amp;H219&amp;", "&amp;M$214,'FE Intrants'!$G:$U,11,FALSE)+VLOOKUP(B219&amp;"; "&amp;H219&amp;", "&amp;M$214,'FE Intrants'!$G:$U,12,FALSE))),
F219*VLOOKUP(B219&amp;"; "&amp;H219&amp;", "&amp;I$214,'FE Intrants'!$G:$U,11,FALSE)+VLOOKUP(B219&amp;"; "&amp;H219&amp;", "&amp;I$214,'FE Intrants'!$G:$U,12,FALSE))</f>
        <v>0</v>
      </c>
      <c r="X219" s="565">
        <f>IFERROR(F219*SUM((VLOOKUP(B219&amp;"; "&amp;H219&amp;", "&amp;I$214,'FE Intrants'!$G:$U,13,FALSE)),
VLOOKUP(B219&amp;"; "&amp;H219&amp;", "&amp;J$214,'FE Intrants'!$G:$U,13,FALSE),
VLOOKUP(B219&amp;"; "&amp;H219&amp;", "&amp;K$214,'FE Intrants'!$G:$U,13,FALSE),
VLOOKUP(B219&amp;"; "&amp;H219&amp;", "&amp;L$214,'FE Intrants'!$G:$U,13,FALSE),
VLOOKUP(B219&amp;"; "&amp;H219&amp;", "&amp;M$214,'FE Intrants'!$G:$U,13,FALSE)),
F219*VLOOKUP(B219&amp;"; "&amp;H219&amp;", "&amp;I$214,'FE Intrants'!$G:$U,13,FALSE))</f>
        <v>0</v>
      </c>
      <c r="Y219" s="565">
        <f>IFERROR(F219*SUM((VLOOKUP(B219&amp;"; "&amp;H219&amp;", "&amp;I$214,'FE Intrants'!$G:$U,14,FALSE)),
VLOOKUP(B219&amp;"; "&amp;H219&amp;", "&amp;J$214,'FE Intrants'!$G:$U,14,FALSE),
VLOOKUP(B219&amp;"; "&amp;H219&amp;", "&amp;K$214,'FE Intrants'!$G:$U,14,FALSE),
VLOOKUP(B219&amp;"; "&amp;H219&amp;", "&amp;L$214,'FE Intrants'!$G:$U,14,FALSE),
VLOOKUP(B219&amp;"; "&amp;H219&amp;", "&amp;M$214,'FE Intrants'!$G:$U,14,FALSE)),
F219*VLOOKUP(B219&amp;"; "&amp;H219&amp;", "&amp;I$214,'FE Intrants'!$G:$U,14,FALSE))</f>
        <v>0</v>
      </c>
      <c r="Z219" s="567">
        <f t="shared" si="33"/>
        <v>0</v>
      </c>
      <c r="AA219" s="590">
        <f>IFERROR(F219*SUM((VLOOKUP(B219&amp;"; "&amp;H219&amp;", "&amp;I$214,'FE Intrants'!$G:$U,15,FALSE)),
VLOOKUP(B219&amp;"; "&amp;H219&amp;", "&amp;J$214,'FE Intrants'!$G:$U,15,FALSE),
VLOOKUP(B219&amp;"; "&amp;H219&amp;", "&amp;K$214,'FE Intrants'!$G:$U,15,FALSE),
VLOOKUP(B219&amp;"; "&amp;H219&amp;", "&amp;L$214,'FE Intrants'!$G:$U,15,FALSE),
VLOOKUP(B219&amp;"; "&amp;H219&amp;", "&amp;M$214,'FE Intrants'!$G:$U,15,FALSE)),
F219*VLOOKUP(B219&amp;"; "&amp;H219&amp;", "&amp;I$214,'FE Intrants'!$G:$U,15,FALSE))</f>
        <v>0</v>
      </c>
      <c r="AC219" s="2099">
        <f>IF($R219&lt;&gt;"votre valeur :",IF(ISNA(VLOOKUP($R219,Utilitaires!$N$566:$O$571,2,FALSE)),,VLOOKUP($R219,Utilitaires!$N$566:$O$571,2,FALSE)),$S219)</f>
        <v>0</v>
      </c>
      <c r="AD219" s="1130">
        <f>SQRT(SUMSQ(AC219,VLOOKUP($B219&amp;"; "&amp;$H219&amp;", "&amp;$I$214,'FE Intrants'!G:U,7,FALSE)))</f>
        <v>0.5</v>
      </c>
    </row>
    <row r="220" spans="2:30" s="114" customFormat="1" ht="13.2" hidden="1" outlineLevel="1">
      <c r="B220" s="143"/>
      <c r="C220" s="144"/>
      <c r="D220" s="212"/>
      <c r="E220" s="212"/>
      <c r="F220" s="212"/>
      <c r="G220" s="224"/>
      <c r="H220" s="212"/>
      <c r="I220" s="212"/>
      <c r="J220" s="212"/>
      <c r="K220" s="212"/>
      <c r="L220" s="212"/>
      <c r="M220" s="212"/>
      <c r="N220" s="1216"/>
      <c r="Q220" s="319"/>
      <c r="R220" s="820"/>
      <c r="S220" s="820"/>
      <c r="T220" s="152"/>
      <c r="V220" s="564"/>
      <c r="W220" s="565"/>
      <c r="X220" s="565"/>
      <c r="Y220" s="565"/>
      <c r="Z220" s="567"/>
      <c r="AA220" s="590"/>
      <c r="AC220" s="2099"/>
      <c r="AD220" s="1130"/>
    </row>
    <row r="221" spans="2:30" s="114" customFormat="1" ht="13.2" hidden="1" outlineLevel="1">
      <c r="B221" s="332" t="s">
        <v>3164</v>
      </c>
      <c r="C221" s="144"/>
      <c r="D221" s="212"/>
      <c r="E221" s="212"/>
      <c r="F221" s="212"/>
      <c r="G221" s="224"/>
      <c r="H221" s="212"/>
      <c r="I221" s="212"/>
      <c r="J221" s="212"/>
      <c r="K221" s="212"/>
      <c r="L221" s="212"/>
      <c r="M221" s="212"/>
      <c r="N221" s="1216"/>
      <c r="Q221" s="319"/>
      <c r="R221" s="820"/>
      <c r="S221" s="820"/>
      <c r="T221" s="152"/>
      <c r="V221" s="564"/>
      <c r="W221" s="565"/>
      <c r="X221" s="565"/>
      <c r="Y221" s="565"/>
      <c r="Z221" s="567"/>
      <c r="AA221" s="590"/>
      <c r="AC221" s="2099"/>
      <c r="AD221" s="1130"/>
    </row>
    <row r="222" spans="2:30" s="114" customFormat="1" ht="13.2" hidden="1" outlineLevel="1">
      <c r="B222" s="143" t="s">
        <v>3262</v>
      </c>
      <c r="C222" s="144"/>
      <c r="D222" s="212">
        <f t="shared" si="29"/>
        <v>0</v>
      </c>
      <c r="E222" s="212"/>
      <c r="F222" s="117"/>
      <c r="G222" s="224"/>
      <c r="H222" s="1211" t="str">
        <f>VLOOKUP(B222,'FE Intrants'!F:U,5,FALSE)</f>
        <v>kgCO2e/unité</v>
      </c>
      <c r="I222" s="212">
        <f>VLOOKUP($B222&amp;"; "&amp;$H222&amp;", "&amp;$I$214,'FE Intrants'!$G:$U,9,FALSE)*$F222</f>
        <v>0</v>
      </c>
      <c r="J222" s="212">
        <f>IF(ISNA(VLOOKUP($B222&amp;"; "&amp;$H222&amp;", "&amp;$J$214,'FE Intrants'!$G:$U,9,FALSE)),0,VLOOKUP($B222&amp;"; "&amp;$H222&amp;", "&amp;$J$214,'FE Intrants'!$G:$U,9,FALSE)*$F222)</f>
        <v>0</v>
      </c>
      <c r="K222" s="212">
        <f>IF(ISNA(VLOOKUP($B222&amp;"; "&amp;$H222&amp;", "&amp;$K$214,'FE Intrants'!$G:$U,9,FALSE)),0,VLOOKUP($B222&amp;"; "&amp;$H222&amp;", "&amp;$K$214,'FE Intrants'!$G:$U,9,FALSE)*$F222)</f>
        <v>0</v>
      </c>
      <c r="L222" s="212">
        <f>IF(ISNA(VLOOKUP($B222&amp;"; "&amp;$H222&amp;", "&amp;$L$214,'FE Intrants'!$G:$U,9,FALSE)),0,VLOOKUP($B222&amp;"; "&amp;$H222&amp;", "&amp;$L$214,'FE Intrants'!$G:$U,9,FALSE)*$F222)</f>
        <v>0</v>
      </c>
      <c r="M222" s="212">
        <f>IF(ISNA(VLOOKUP($B222&amp;"; "&amp;$H222&amp;", "&amp;$M$214,'FE Intrants'!$G:$U,9,FALSE)),0,VLOOKUP($B222&amp;"; "&amp;$H222&amp;", "&amp;$M$214,'FE Intrants'!$G:$U,9,FALSE)*$F222)</f>
        <v>0</v>
      </c>
      <c r="N222" s="1216">
        <f t="shared" si="31"/>
        <v>0</v>
      </c>
      <c r="Q222" s="319">
        <f t="shared" si="30"/>
        <v>0</v>
      </c>
      <c r="R222" s="1094"/>
      <c r="S222" s="820"/>
      <c r="T222" s="152">
        <f t="shared" si="32"/>
        <v>0</v>
      </c>
      <c r="V222" s="564">
        <f>IFERROR(F222*SUM((VLOOKUP(B222&amp;"; "&amp;H222&amp;", "&amp;I$214,'FE Intrants'!$G:$U,10,FALSE)),
VLOOKUP(B222&amp;"; "&amp;H222&amp;", "&amp;J$214,'FE Intrants'!$G:$U,10,FALSE),
VLOOKUP(B222&amp;"; "&amp;H222&amp;", "&amp;K$214,'FE Intrants'!$G:$U,10,FALSE),
VLOOKUP(B222&amp;"; "&amp;H222&amp;", "&amp;L$214,'FE Intrants'!$G:$U,10,FALSE),
VLOOKUP(B222&amp;"; "&amp;H222&amp;", "&amp;M$214,'FE Intrants'!$G:$U,10,FALSE)),
F222*VLOOKUP(B222&amp;"; "&amp;H222&amp;", "&amp;I$214,'FE Intrants'!$G:$U,10,FALSE))</f>
        <v>0</v>
      </c>
      <c r="W222" s="565">
        <f>IFERROR(F222*SUM((VLOOKUP(B222&amp;"; "&amp;H222&amp;", "&amp;I$214,'FE Intrants'!$G:$U,11,FALSE)+VLOOKUP(B222&amp;"; "&amp;H222&amp;", "&amp;I$214,'FE Intrants'!$G:$U,12,FALSE)),
(VLOOKUP(B222&amp;"; "&amp;H222&amp;", "&amp;J$214,'FE Intrants'!$G:$U,11,FALSE)+VLOOKUP(B222&amp;"; "&amp;H222&amp;", "&amp;J$214,'FE Intrants'!$G:$U,12,FALSE)),
(VLOOKUP(B222&amp;"; "&amp;H222&amp;", "&amp;K$214,'FE Intrants'!$G:$U,11,FALSE)+VLOOKUP(B222&amp;"; "&amp;H222&amp;", "&amp;K$214,'FE Intrants'!$G:$U,12,FALSE)),
(VLOOKUP(B222&amp;"; "&amp;H222&amp;", "&amp;L$214,'FE Intrants'!$G:$U,11,FALSE)+VLOOKUP(B222&amp;"; "&amp;H222&amp;", "&amp;L$214,'FE Intrants'!$G:$U,12,FALSE)),
(VLOOKUP(B222&amp;"; "&amp;H222&amp;", "&amp;M$214,'FE Intrants'!$G:$U,11,FALSE)+VLOOKUP(B222&amp;"; "&amp;H222&amp;", "&amp;M$214,'FE Intrants'!$G:$U,12,FALSE))),
F222*VLOOKUP(B222&amp;"; "&amp;H222&amp;", "&amp;I$214,'FE Intrants'!$G:$U,11,FALSE)+VLOOKUP(B222&amp;"; "&amp;H222&amp;", "&amp;I$214,'FE Intrants'!$G:$U,12,FALSE))</f>
        <v>0</v>
      </c>
      <c r="X222" s="565">
        <f>IFERROR(F222*SUM((VLOOKUP(B222&amp;"; "&amp;H222&amp;", "&amp;I$214,'FE Intrants'!$G:$U,13,FALSE)),
VLOOKUP(B222&amp;"; "&amp;H222&amp;", "&amp;J$214,'FE Intrants'!$G:$U,13,FALSE),
VLOOKUP(B222&amp;"; "&amp;H222&amp;", "&amp;K$214,'FE Intrants'!$G:$U,13,FALSE),
VLOOKUP(B222&amp;"; "&amp;H222&amp;", "&amp;L$214,'FE Intrants'!$G:$U,13,FALSE),
VLOOKUP(B222&amp;"; "&amp;H222&amp;", "&amp;M$214,'FE Intrants'!$G:$U,13,FALSE)),
F222*VLOOKUP(B222&amp;"; "&amp;H222&amp;", "&amp;I$214,'FE Intrants'!$G:$U,13,FALSE))</f>
        <v>0</v>
      </c>
      <c r="Y222" s="565">
        <f>IFERROR(F222*SUM((VLOOKUP(B222&amp;"; "&amp;H222&amp;", "&amp;I$214,'FE Intrants'!$G:$U,14,FALSE)),
VLOOKUP(B222&amp;"; "&amp;H222&amp;", "&amp;J$214,'FE Intrants'!$G:$U,14,FALSE),
VLOOKUP(B222&amp;"; "&amp;H222&amp;", "&amp;K$214,'FE Intrants'!$G:$U,14,FALSE),
VLOOKUP(B222&amp;"; "&amp;H222&amp;", "&amp;L$214,'FE Intrants'!$G:$U,14,FALSE),
VLOOKUP(B222&amp;"; "&amp;H222&amp;", "&amp;M$214,'FE Intrants'!$G:$U,14,FALSE)),
F222*VLOOKUP(B222&amp;"; "&amp;H222&amp;", "&amp;I$214,'FE Intrants'!$G:$U,14,FALSE))</f>
        <v>0</v>
      </c>
      <c r="Z222" s="567">
        <f t="shared" si="33"/>
        <v>0</v>
      </c>
      <c r="AA222" s="590">
        <f>IFERROR(F222*SUM((VLOOKUP(B222&amp;"; "&amp;H222&amp;", "&amp;I$214,'FE Intrants'!$G:$U,15,FALSE)),
VLOOKUP(B222&amp;"; "&amp;H222&amp;", "&amp;J$214,'FE Intrants'!$G:$U,15,FALSE),
VLOOKUP(B222&amp;"; "&amp;H222&amp;", "&amp;K$214,'FE Intrants'!$G:$U,15,FALSE),
VLOOKUP(B222&amp;"; "&amp;H222&amp;", "&amp;L$214,'FE Intrants'!$G:$U,15,FALSE),
VLOOKUP(B222&amp;"; "&amp;H222&amp;", "&amp;M$214,'FE Intrants'!$G:$U,15,FALSE)),
F222*VLOOKUP(B222&amp;"; "&amp;H222&amp;", "&amp;I$214,'FE Intrants'!$G:$U,15,FALSE))</f>
        <v>0</v>
      </c>
      <c r="AC222" s="2099">
        <f>IF($R222&lt;&gt;"votre valeur :",IF(ISNA(VLOOKUP($R222,Utilitaires!$N$566:$O$571,2,FALSE)),,VLOOKUP($R222,Utilitaires!$N$566:$O$571,2,FALSE)),$S222)</f>
        <v>0</v>
      </c>
      <c r="AD222" s="1130">
        <f>SQRT(SUMSQ(AC222,VLOOKUP($B222&amp;"; "&amp;$H222&amp;", "&amp;$I$214,'FE Intrants'!G:U,7,FALSE)))</f>
        <v>0.5</v>
      </c>
    </row>
    <row r="223" spans="2:30" s="114" customFormat="1" ht="13.2" hidden="1" outlineLevel="1">
      <c r="B223" s="143" t="s">
        <v>3289</v>
      </c>
      <c r="C223" s="144"/>
      <c r="D223" s="212">
        <f t="shared" si="29"/>
        <v>0</v>
      </c>
      <c r="E223" s="212"/>
      <c r="F223" s="120"/>
      <c r="G223" s="224"/>
      <c r="H223" s="1212" t="str">
        <f>VLOOKUP(B223,'FE Intrants'!F:U,5,FALSE)</f>
        <v>kgCO2e/m²</v>
      </c>
      <c r="I223" s="212">
        <f>VLOOKUP($B223&amp;"; "&amp;$H223&amp;", "&amp;$I$214,'FE Intrants'!$G:$U,9,FALSE)*$F223</f>
        <v>0</v>
      </c>
      <c r="J223" s="212">
        <f>IF(ISNA(VLOOKUP($B223&amp;"; "&amp;$H223&amp;", "&amp;$J$214,'FE Intrants'!$G:$U,9,FALSE)),0,VLOOKUP($B223&amp;"; "&amp;$H223&amp;", "&amp;$J$214,'FE Intrants'!$G:$U,9,FALSE)*$F223)</f>
        <v>0</v>
      </c>
      <c r="K223" s="212">
        <f>IF(ISNA(VLOOKUP($B223&amp;"; "&amp;$H223&amp;", "&amp;$K$214,'FE Intrants'!$G:$U,9,FALSE)),0,VLOOKUP($B223&amp;"; "&amp;$H223&amp;", "&amp;$K$214,'FE Intrants'!$G:$U,9,FALSE)*$F223)</f>
        <v>0</v>
      </c>
      <c r="L223" s="212">
        <f>IF(ISNA(VLOOKUP($B223&amp;"; "&amp;$H223&amp;", "&amp;$L$214,'FE Intrants'!$G:$U,9,FALSE)),0,VLOOKUP($B223&amp;"; "&amp;$H223&amp;", "&amp;$L$214,'FE Intrants'!$G:$U,9,FALSE)*$F223)</f>
        <v>0</v>
      </c>
      <c r="M223" s="212">
        <f>IF(ISNA(VLOOKUP($B223&amp;"; "&amp;$H223&amp;", "&amp;$M$214,'FE Intrants'!$G:$U,9,FALSE)),0,VLOOKUP($B223&amp;"; "&amp;$H223&amp;", "&amp;$M$214,'FE Intrants'!$G:$U,9,FALSE)*$F223)</f>
        <v>0</v>
      </c>
      <c r="N223" s="1216">
        <f t="shared" si="31"/>
        <v>0</v>
      </c>
      <c r="Q223" s="319">
        <f t="shared" si="30"/>
        <v>0</v>
      </c>
      <c r="R223" s="1094"/>
      <c r="S223" s="820"/>
      <c r="T223" s="152">
        <f t="shared" si="32"/>
        <v>0</v>
      </c>
      <c r="V223" s="564">
        <f>IFERROR(F223*SUM((VLOOKUP(B223&amp;"; "&amp;H223&amp;", "&amp;I$214,'FE Intrants'!$G:$U,10,FALSE)),
VLOOKUP(B223&amp;"; "&amp;H223&amp;", "&amp;J$214,'FE Intrants'!$G:$U,10,FALSE),
VLOOKUP(B223&amp;"; "&amp;H223&amp;", "&amp;K$214,'FE Intrants'!$G:$U,10,FALSE),
VLOOKUP(B223&amp;"; "&amp;H223&amp;", "&amp;L$214,'FE Intrants'!$G:$U,10,FALSE),
VLOOKUP(B223&amp;"; "&amp;H223&amp;", "&amp;M$214,'FE Intrants'!$G:$U,10,FALSE)),
F223*VLOOKUP(B223&amp;"; "&amp;H223&amp;", "&amp;I$214,'FE Intrants'!$G:$U,10,FALSE))</f>
        <v>0</v>
      </c>
      <c r="W223" s="565">
        <f>IFERROR(F223*SUM((VLOOKUP(B223&amp;"; "&amp;H223&amp;", "&amp;I$214,'FE Intrants'!$G:$U,11,FALSE)+VLOOKUP(B223&amp;"; "&amp;H223&amp;", "&amp;I$214,'FE Intrants'!$G:$U,12,FALSE)),
(VLOOKUP(B223&amp;"; "&amp;H223&amp;", "&amp;J$214,'FE Intrants'!$G:$U,11,FALSE)+VLOOKUP(B223&amp;"; "&amp;H223&amp;", "&amp;J$214,'FE Intrants'!$G:$U,12,FALSE)),
(VLOOKUP(B223&amp;"; "&amp;H223&amp;", "&amp;K$214,'FE Intrants'!$G:$U,11,FALSE)+VLOOKUP(B223&amp;"; "&amp;H223&amp;", "&amp;K$214,'FE Intrants'!$G:$U,12,FALSE)),
(VLOOKUP(B223&amp;"; "&amp;H223&amp;", "&amp;L$214,'FE Intrants'!$G:$U,11,FALSE)+VLOOKUP(B223&amp;"; "&amp;H223&amp;", "&amp;L$214,'FE Intrants'!$G:$U,12,FALSE)),
(VLOOKUP(B223&amp;"; "&amp;H223&amp;", "&amp;M$214,'FE Intrants'!$G:$U,11,FALSE)+VLOOKUP(B223&amp;"; "&amp;H223&amp;", "&amp;M$214,'FE Intrants'!$G:$U,12,FALSE))),
F223*VLOOKUP(B223&amp;"; "&amp;H223&amp;", "&amp;I$214,'FE Intrants'!$G:$U,11,FALSE)+VLOOKUP(B223&amp;"; "&amp;H223&amp;", "&amp;I$214,'FE Intrants'!$G:$U,12,FALSE))</f>
        <v>0</v>
      </c>
      <c r="X223" s="565">
        <f>IFERROR(F223*SUM((VLOOKUP(B223&amp;"; "&amp;H223&amp;", "&amp;I$214,'FE Intrants'!$G:$U,13,FALSE)),
VLOOKUP(B223&amp;"; "&amp;H223&amp;", "&amp;J$214,'FE Intrants'!$G:$U,13,FALSE),
VLOOKUP(B223&amp;"; "&amp;H223&amp;", "&amp;K$214,'FE Intrants'!$G:$U,13,FALSE),
VLOOKUP(B223&amp;"; "&amp;H223&amp;", "&amp;L$214,'FE Intrants'!$G:$U,13,FALSE),
VLOOKUP(B223&amp;"; "&amp;H223&amp;", "&amp;M$214,'FE Intrants'!$G:$U,13,FALSE)),
F223*VLOOKUP(B223&amp;"; "&amp;H223&amp;", "&amp;I$214,'FE Intrants'!$G:$U,13,FALSE))</f>
        <v>0</v>
      </c>
      <c r="Y223" s="565">
        <f>IFERROR(F223*SUM((VLOOKUP(B223&amp;"; "&amp;H223&amp;", "&amp;I$214,'FE Intrants'!$G:$U,14,FALSE)),
VLOOKUP(B223&amp;"; "&amp;H223&amp;", "&amp;J$214,'FE Intrants'!$G:$U,14,FALSE),
VLOOKUP(B223&amp;"; "&amp;H223&amp;", "&amp;K$214,'FE Intrants'!$G:$U,14,FALSE),
VLOOKUP(B223&amp;"; "&amp;H223&amp;", "&amp;L$214,'FE Intrants'!$G:$U,14,FALSE),
VLOOKUP(B223&amp;"; "&amp;H223&amp;", "&amp;M$214,'FE Intrants'!$G:$U,14,FALSE)),
F223*VLOOKUP(B223&amp;"; "&amp;H223&amp;", "&amp;I$214,'FE Intrants'!$G:$U,14,FALSE))</f>
        <v>0</v>
      </c>
      <c r="Z223" s="567">
        <f t="shared" si="33"/>
        <v>0</v>
      </c>
      <c r="AA223" s="590">
        <f>IFERROR(F223*SUM((VLOOKUP(B223&amp;"; "&amp;H223&amp;", "&amp;I$214,'FE Intrants'!$G:$U,15,FALSE)),
VLOOKUP(B223&amp;"; "&amp;H223&amp;", "&amp;J$214,'FE Intrants'!$G:$U,15,FALSE),
VLOOKUP(B223&amp;"; "&amp;H223&amp;", "&amp;K$214,'FE Intrants'!$G:$U,15,FALSE),
VLOOKUP(B223&amp;"; "&amp;H223&amp;", "&amp;L$214,'FE Intrants'!$G:$U,15,FALSE),
VLOOKUP(B223&amp;"; "&amp;H223&amp;", "&amp;M$214,'FE Intrants'!$G:$U,15,FALSE)),
F223*VLOOKUP(B223&amp;"; "&amp;H223&amp;", "&amp;I$214,'FE Intrants'!$G:$U,15,FALSE))</f>
        <v>0</v>
      </c>
      <c r="AC223" s="2099">
        <f>IF($R223&lt;&gt;"votre valeur :",IF(ISNA(VLOOKUP($R223,Utilitaires!$N$566:$O$571,2,FALSE)),,VLOOKUP($R223,Utilitaires!$N$566:$O$571,2,FALSE)),$S223)</f>
        <v>0</v>
      </c>
      <c r="AD223" s="1130">
        <f>SQRT(SUMSQ(AC223,VLOOKUP($B223&amp;"; "&amp;$H223&amp;", "&amp;$I$214,'FE Intrants'!G:U,7,FALSE)))</f>
        <v>0.5</v>
      </c>
    </row>
    <row r="224" spans="2:30" s="114" customFormat="1" ht="13.2" hidden="1" outlineLevel="1">
      <c r="B224" s="143" t="s">
        <v>3263</v>
      </c>
      <c r="C224" s="144"/>
      <c r="D224" s="212">
        <f t="shared" si="29"/>
        <v>0</v>
      </c>
      <c r="E224" s="212"/>
      <c r="F224" s="120"/>
      <c r="G224" s="224"/>
      <c r="H224" s="1212" t="str">
        <f>VLOOKUP(B224,'FE Intrants'!F:U,5,FALSE)</f>
        <v>kgCO2e/unité</v>
      </c>
      <c r="I224" s="212">
        <f>VLOOKUP($B224&amp;"; "&amp;$H224&amp;", "&amp;$I$214,'FE Intrants'!$G:$U,9,FALSE)*$F224</f>
        <v>0</v>
      </c>
      <c r="J224" s="212">
        <f>IF(ISNA(VLOOKUP($B224&amp;"; "&amp;$H224&amp;", "&amp;$J$214,'FE Intrants'!$G:$U,9,FALSE)),0,VLOOKUP($B224&amp;"; "&amp;$H224&amp;", "&amp;$J$214,'FE Intrants'!$G:$U,9,FALSE)*$F224)</f>
        <v>0</v>
      </c>
      <c r="K224" s="212">
        <f>IF(ISNA(VLOOKUP($B224&amp;"; "&amp;$H224&amp;", "&amp;$K$214,'FE Intrants'!$G:$U,9,FALSE)),0,VLOOKUP($B224&amp;"; "&amp;$H224&amp;", "&amp;$K$214,'FE Intrants'!$G:$U,9,FALSE)*$F224)</f>
        <v>0</v>
      </c>
      <c r="L224" s="212">
        <f>IF(ISNA(VLOOKUP($B224&amp;"; "&amp;$H224&amp;", "&amp;$L$214,'FE Intrants'!$G:$U,9,FALSE)),0,VLOOKUP($B224&amp;"; "&amp;$H224&amp;", "&amp;$L$214,'FE Intrants'!$G:$U,9,FALSE)*$F224)</f>
        <v>0</v>
      </c>
      <c r="M224" s="212">
        <f>IF(ISNA(VLOOKUP($B224&amp;"; "&amp;$H224&amp;", "&amp;$M$214,'FE Intrants'!$G:$U,9,FALSE)),0,VLOOKUP($B224&amp;"; "&amp;$H224&amp;", "&amp;$M$214,'FE Intrants'!$G:$U,9,FALSE)*$F224)</f>
        <v>0</v>
      </c>
      <c r="N224" s="1216">
        <f t="shared" si="31"/>
        <v>0</v>
      </c>
      <c r="Q224" s="319">
        <f t="shared" si="30"/>
        <v>0</v>
      </c>
      <c r="R224" s="1094"/>
      <c r="S224" s="820"/>
      <c r="T224" s="152">
        <f t="shared" si="32"/>
        <v>0</v>
      </c>
      <c r="V224" s="564">
        <f>IFERROR(F224*SUM((VLOOKUP(B224&amp;"; "&amp;H224&amp;", "&amp;I$214,'FE Intrants'!$G:$U,10,FALSE)),
VLOOKUP(B224&amp;"; "&amp;H224&amp;", "&amp;J$214,'FE Intrants'!$G:$U,10,FALSE),
VLOOKUP(B224&amp;"; "&amp;H224&amp;", "&amp;K$214,'FE Intrants'!$G:$U,10,FALSE),
VLOOKUP(B224&amp;"; "&amp;H224&amp;", "&amp;L$214,'FE Intrants'!$G:$U,10,FALSE),
VLOOKUP(B224&amp;"; "&amp;H224&amp;", "&amp;M$214,'FE Intrants'!$G:$U,10,FALSE)),
F224*VLOOKUP(B224&amp;"; "&amp;H224&amp;", "&amp;I$214,'FE Intrants'!$G:$U,10,FALSE))</f>
        <v>0</v>
      </c>
      <c r="W224" s="565">
        <f>IFERROR(F224*SUM((VLOOKUP(B224&amp;"; "&amp;H224&amp;", "&amp;I$214,'FE Intrants'!$G:$U,11,FALSE)+VLOOKUP(B224&amp;"; "&amp;H224&amp;", "&amp;I$214,'FE Intrants'!$G:$U,12,FALSE)),
(VLOOKUP(B224&amp;"; "&amp;H224&amp;", "&amp;J$214,'FE Intrants'!$G:$U,11,FALSE)+VLOOKUP(B224&amp;"; "&amp;H224&amp;", "&amp;J$214,'FE Intrants'!$G:$U,12,FALSE)),
(VLOOKUP(B224&amp;"; "&amp;H224&amp;", "&amp;K$214,'FE Intrants'!$G:$U,11,FALSE)+VLOOKUP(B224&amp;"; "&amp;H224&amp;", "&amp;K$214,'FE Intrants'!$G:$U,12,FALSE)),
(VLOOKUP(B224&amp;"; "&amp;H224&amp;", "&amp;L$214,'FE Intrants'!$G:$U,11,FALSE)+VLOOKUP(B224&amp;"; "&amp;H224&amp;", "&amp;L$214,'FE Intrants'!$G:$U,12,FALSE)),
(VLOOKUP(B224&amp;"; "&amp;H224&amp;", "&amp;M$214,'FE Intrants'!$G:$U,11,FALSE)+VLOOKUP(B224&amp;"; "&amp;H224&amp;", "&amp;M$214,'FE Intrants'!$G:$U,12,FALSE))),
F224*VLOOKUP(B224&amp;"; "&amp;H224&amp;", "&amp;I$214,'FE Intrants'!$G:$U,11,FALSE)+VLOOKUP(B224&amp;"; "&amp;H224&amp;", "&amp;I$214,'FE Intrants'!$G:$U,12,FALSE))</f>
        <v>0</v>
      </c>
      <c r="X224" s="565">
        <f>IFERROR(F224*SUM((VLOOKUP(B224&amp;"; "&amp;H224&amp;", "&amp;I$214,'FE Intrants'!$G:$U,13,FALSE)),
VLOOKUP(B224&amp;"; "&amp;H224&amp;", "&amp;J$214,'FE Intrants'!$G:$U,13,FALSE),
VLOOKUP(B224&amp;"; "&amp;H224&amp;", "&amp;K$214,'FE Intrants'!$G:$U,13,FALSE),
VLOOKUP(B224&amp;"; "&amp;H224&amp;", "&amp;L$214,'FE Intrants'!$G:$U,13,FALSE),
VLOOKUP(B224&amp;"; "&amp;H224&amp;", "&amp;M$214,'FE Intrants'!$G:$U,13,FALSE)),
F224*VLOOKUP(B224&amp;"; "&amp;H224&amp;", "&amp;I$214,'FE Intrants'!$G:$U,13,FALSE))</f>
        <v>0</v>
      </c>
      <c r="Y224" s="565">
        <f>IFERROR(F224*SUM((VLOOKUP(B224&amp;"; "&amp;H224&amp;", "&amp;I$214,'FE Intrants'!$G:$U,14,FALSE)),
VLOOKUP(B224&amp;"; "&amp;H224&amp;", "&amp;J$214,'FE Intrants'!$G:$U,14,FALSE),
VLOOKUP(B224&amp;"; "&amp;H224&amp;", "&amp;K$214,'FE Intrants'!$G:$U,14,FALSE),
VLOOKUP(B224&amp;"; "&amp;H224&amp;", "&amp;L$214,'FE Intrants'!$G:$U,14,FALSE),
VLOOKUP(B224&amp;"; "&amp;H224&amp;", "&amp;M$214,'FE Intrants'!$G:$U,14,FALSE)),
F224*VLOOKUP(B224&amp;"; "&amp;H224&amp;", "&amp;I$214,'FE Intrants'!$G:$U,14,FALSE))</f>
        <v>0</v>
      </c>
      <c r="Z224" s="567">
        <f t="shared" si="33"/>
        <v>0</v>
      </c>
      <c r="AA224" s="590">
        <f>IFERROR(F224*SUM((VLOOKUP(B224&amp;"; "&amp;H224&amp;", "&amp;I$214,'FE Intrants'!$G:$U,15,FALSE)),
VLOOKUP(B224&amp;"; "&amp;H224&amp;", "&amp;J$214,'FE Intrants'!$G:$U,15,FALSE),
VLOOKUP(B224&amp;"; "&amp;H224&amp;", "&amp;K$214,'FE Intrants'!$G:$U,15,FALSE),
VLOOKUP(B224&amp;"; "&amp;H224&amp;", "&amp;L$214,'FE Intrants'!$G:$U,15,FALSE),
VLOOKUP(B224&amp;"; "&amp;H224&amp;", "&amp;M$214,'FE Intrants'!$G:$U,15,FALSE)),
F224*VLOOKUP(B224&amp;"; "&amp;H224&amp;", "&amp;I$214,'FE Intrants'!$G:$U,15,FALSE))</f>
        <v>0</v>
      </c>
      <c r="AC224" s="2099">
        <f>IF($R224&lt;&gt;"votre valeur :",IF(ISNA(VLOOKUP($R224,Utilitaires!$N$566:$O$571,2,FALSE)),,VLOOKUP($R224,Utilitaires!$N$566:$O$571,2,FALSE)),$S224)</f>
        <v>0</v>
      </c>
      <c r="AD224" s="1130">
        <f>SQRT(SUMSQ(AC224,VLOOKUP($B224&amp;"; "&amp;$H224&amp;", "&amp;$I$214,'FE Intrants'!G:U,7,FALSE)))</f>
        <v>0.5</v>
      </c>
    </row>
    <row r="225" spans="2:30" s="114" customFormat="1" ht="13.2" hidden="1" outlineLevel="1">
      <c r="B225" s="143" t="s">
        <v>3264</v>
      </c>
      <c r="C225" s="144"/>
      <c r="D225" s="212">
        <f t="shared" si="29"/>
        <v>0</v>
      </c>
      <c r="E225" s="212"/>
      <c r="F225" s="120"/>
      <c r="G225" s="224"/>
      <c r="H225" s="1212" t="str">
        <f>VLOOKUP(B225,'FE Intrants'!F:U,5,FALSE)</f>
        <v>kgCO2e/unité</v>
      </c>
      <c r="I225" s="212">
        <f>VLOOKUP($B225&amp;"; "&amp;$H225&amp;", "&amp;$I$214,'FE Intrants'!$G:$U,9,FALSE)*$F225</f>
        <v>0</v>
      </c>
      <c r="J225" s="212">
        <f>IF(ISNA(VLOOKUP($B225&amp;"; "&amp;$H225&amp;", "&amp;$J$214,'FE Intrants'!$G:$U,9,FALSE)),0,VLOOKUP($B225&amp;"; "&amp;$H225&amp;", "&amp;$J$214,'FE Intrants'!$G:$U,9,FALSE)*$F225)</f>
        <v>0</v>
      </c>
      <c r="K225" s="212">
        <f>IF(ISNA(VLOOKUP($B225&amp;"; "&amp;$H225&amp;", "&amp;$K$214,'FE Intrants'!$G:$U,9,FALSE)),0,VLOOKUP($B225&amp;"; "&amp;$H225&amp;", "&amp;$K$214,'FE Intrants'!$G:$U,9,FALSE)*$F225)</f>
        <v>0</v>
      </c>
      <c r="L225" s="212">
        <f>IF(ISNA(VLOOKUP($B225&amp;"; "&amp;$H225&amp;", "&amp;$L$214,'FE Intrants'!$G:$U,9,FALSE)),0,VLOOKUP($B225&amp;"; "&amp;$H225&amp;", "&amp;$L$214,'FE Intrants'!$G:$U,9,FALSE)*$F225)</f>
        <v>0</v>
      </c>
      <c r="M225" s="212">
        <f>IF(ISNA(VLOOKUP($B225&amp;"; "&amp;$H225&amp;", "&amp;$M$214,'FE Intrants'!$G:$U,9,FALSE)),0,VLOOKUP($B225&amp;"; "&amp;$H225&amp;", "&amp;$M$214,'FE Intrants'!$G:$U,9,FALSE)*$F225)</f>
        <v>0</v>
      </c>
      <c r="N225" s="1216">
        <f t="shared" si="31"/>
        <v>0</v>
      </c>
      <c r="Q225" s="319">
        <f t="shared" si="30"/>
        <v>0</v>
      </c>
      <c r="R225" s="1094"/>
      <c r="S225" s="820"/>
      <c r="T225" s="152">
        <f t="shared" si="32"/>
        <v>0</v>
      </c>
      <c r="V225" s="564">
        <f>IFERROR(F225*SUM((VLOOKUP(B225&amp;"; "&amp;H225&amp;", "&amp;I$214,'FE Intrants'!$G:$U,10,FALSE)),
VLOOKUP(B225&amp;"; "&amp;H225&amp;", "&amp;J$214,'FE Intrants'!$G:$U,10,FALSE),
VLOOKUP(B225&amp;"; "&amp;H225&amp;", "&amp;K$214,'FE Intrants'!$G:$U,10,FALSE),
VLOOKUP(B225&amp;"; "&amp;H225&amp;", "&amp;L$214,'FE Intrants'!$G:$U,10,FALSE),
VLOOKUP(B225&amp;"; "&amp;H225&amp;", "&amp;M$214,'FE Intrants'!$G:$U,10,FALSE)),
F225*VLOOKUP(B225&amp;"; "&amp;H225&amp;", "&amp;I$214,'FE Intrants'!$G:$U,10,FALSE))</f>
        <v>0</v>
      </c>
      <c r="W225" s="565">
        <f>IFERROR(F225*SUM((VLOOKUP(B225&amp;"; "&amp;H225&amp;", "&amp;I$214,'FE Intrants'!$G:$U,11,FALSE)+VLOOKUP(B225&amp;"; "&amp;H225&amp;", "&amp;I$214,'FE Intrants'!$G:$U,12,FALSE)),
(VLOOKUP(B225&amp;"; "&amp;H225&amp;", "&amp;J$214,'FE Intrants'!$G:$U,11,FALSE)+VLOOKUP(B225&amp;"; "&amp;H225&amp;", "&amp;J$214,'FE Intrants'!$G:$U,12,FALSE)),
(VLOOKUP(B225&amp;"; "&amp;H225&amp;", "&amp;K$214,'FE Intrants'!$G:$U,11,FALSE)+VLOOKUP(B225&amp;"; "&amp;H225&amp;", "&amp;K$214,'FE Intrants'!$G:$U,12,FALSE)),
(VLOOKUP(B225&amp;"; "&amp;H225&amp;", "&amp;L$214,'FE Intrants'!$G:$U,11,FALSE)+VLOOKUP(B225&amp;"; "&amp;H225&amp;", "&amp;L$214,'FE Intrants'!$G:$U,12,FALSE)),
(VLOOKUP(B225&amp;"; "&amp;H225&amp;", "&amp;M$214,'FE Intrants'!$G:$U,11,FALSE)+VLOOKUP(B225&amp;"; "&amp;H225&amp;", "&amp;M$214,'FE Intrants'!$G:$U,12,FALSE))),
F225*VLOOKUP(B225&amp;"; "&amp;H225&amp;", "&amp;I$214,'FE Intrants'!$G:$U,11,FALSE)+VLOOKUP(B225&amp;"; "&amp;H225&amp;", "&amp;I$214,'FE Intrants'!$G:$U,12,FALSE))</f>
        <v>0</v>
      </c>
      <c r="X225" s="565">
        <f>IFERROR(F225*SUM((VLOOKUP(B225&amp;"; "&amp;H225&amp;", "&amp;I$214,'FE Intrants'!$G:$U,13,FALSE)),
VLOOKUP(B225&amp;"; "&amp;H225&amp;", "&amp;J$214,'FE Intrants'!$G:$U,13,FALSE),
VLOOKUP(B225&amp;"; "&amp;H225&amp;", "&amp;K$214,'FE Intrants'!$G:$U,13,FALSE),
VLOOKUP(B225&amp;"; "&amp;H225&amp;", "&amp;L$214,'FE Intrants'!$G:$U,13,FALSE),
VLOOKUP(B225&amp;"; "&amp;H225&amp;", "&amp;M$214,'FE Intrants'!$G:$U,13,FALSE)),
F225*VLOOKUP(B225&amp;"; "&amp;H225&amp;", "&amp;I$214,'FE Intrants'!$G:$U,13,FALSE))</f>
        <v>0</v>
      </c>
      <c r="Y225" s="565">
        <f>IFERROR(F225*SUM((VLOOKUP(B225&amp;"; "&amp;H225&amp;", "&amp;I$214,'FE Intrants'!$G:$U,14,FALSE)),
VLOOKUP(B225&amp;"; "&amp;H225&amp;", "&amp;J$214,'FE Intrants'!$G:$U,14,FALSE),
VLOOKUP(B225&amp;"; "&amp;H225&amp;", "&amp;K$214,'FE Intrants'!$G:$U,14,FALSE),
VLOOKUP(B225&amp;"; "&amp;H225&amp;", "&amp;L$214,'FE Intrants'!$G:$U,14,FALSE),
VLOOKUP(B225&amp;"; "&amp;H225&amp;", "&amp;M$214,'FE Intrants'!$G:$U,14,FALSE)),
F225*VLOOKUP(B225&amp;"; "&amp;H225&amp;", "&amp;I$214,'FE Intrants'!$G:$U,14,FALSE))</f>
        <v>0</v>
      </c>
      <c r="Z225" s="567">
        <f t="shared" si="33"/>
        <v>0</v>
      </c>
      <c r="AA225" s="590">
        <f>IFERROR(F225*SUM((VLOOKUP(B225&amp;"; "&amp;H225&amp;", "&amp;I$214,'FE Intrants'!$G:$U,15,FALSE)),
VLOOKUP(B225&amp;"; "&amp;H225&amp;", "&amp;J$214,'FE Intrants'!$G:$U,15,FALSE),
VLOOKUP(B225&amp;"; "&amp;H225&amp;", "&amp;K$214,'FE Intrants'!$G:$U,15,FALSE),
VLOOKUP(B225&amp;"; "&amp;H225&amp;", "&amp;L$214,'FE Intrants'!$G:$U,15,FALSE),
VLOOKUP(B225&amp;"; "&amp;H225&amp;", "&amp;M$214,'FE Intrants'!$G:$U,15,FALSE)),
F225*VLOOKUP(B225&amp;"; "&amp;H225&amp;", "&amp;I$214,'FE Intrants'!$G:$U,15,FALSE))</f>
        <v>0</v>
      </c>
      <c r="AC225" s="2099">
        <f>IF($R225&lt;&gt;"votre valeur :",IF(ISNA(VLOOKUP($R225,Utilitaires!$N$566:$O$571,2,FALSE)),,VLOOKUP($R225,Utilitaires!$N$566:$O$571,2,FALSE)),$S225)</f>
        <v>0</v>
      </c>
      <c r="AD225" s="1130">
        <f>SQRT(SUMSQ(AC225,VLOOKUP($B225&amp;"; "&amp;$H225&amp;", "&amp;$I$214,'FE Intrants'!G:U,7,FALSE)))</f>
        <v>0.5</v>
      </c>
    </row>
    <row r="226" spans="2:30" s="114" customFormat="1" ht="13.2" hidden="1" outlineLevel="1">
      <c r="B226" s="143" t="s">
        <v>4130</v>
      </c>
      <c r="C226" s="144"/>
      <c r="D226" s="212">
        <f t="shared" si="29"/>
        <v>0</v>
      </c>
      <c r="E226" s="212"/>
      <c r="F226" s="123"/>
      <c r="G226" s="224"/>
      <c r="H226" s="1213" t="str">
        <f>VLOOKUP(B226,'FE Intrants'!F:U,5,FALSE)</f>
        <v>kgCO2e/unité</v>
      </c>
      <c r="I226" s="212">
        <f>VLOOKUP($B226&amp;"; "&amp;$H226&amp;", "&amp;$I$214,'FE Intrants'!$G:$U,9,FALSE)*$F226</f>
        <v>0</v>
      </c>
      <c r="J226" s="212">
        <f>IF(ISNA(VLOOKUP($B226&amp;"; "&amp;$H226&amp;", "&amp;$J$214,'FE Intrants'!$G:$U,9,FALSE)),0,VLOOKUP($B226&amp;"; "&amp;$H226&amp;", "&amp;$J$214,'FE Intrants'!$G:$U,9,FALSE)*$F226)</f>
        <v>0</v>
      </c>
      <c r="K226" s="212">
        <f>IF(ISNA(VLOOKUP($B226&amp;"; "&amp;$H226&amp;", "&amp;$K$214,'FE Intrants'!$G:$U,9,FALSE)),0,VLOOKUP($B226&amp;"; "&amp;$H226&amp;", "&amp;$K$214,'FE Intrants'!$G:$U,9,FALSE)*$F226)</f>
        <v>0</v>
      </c>
      <c r="L226" s="212">
        <f>IF(ISNA(VLOOKUP($B226&amp;"; "&amp;$H226&amp;", "&amp;$L$214,'FE Intrants'!$G:$U,9,FALSE)),0,VLOOKUP($B226&amp;"; "&amp;$H226&amp;", "&amp;$L$214,'FE Intrants'!$G:$U,9,FALSE)*$F226)</f>
        <v>0</v>
      </c>
      <c r="M226" s="212">
        <f>IF(ISNA(VLOOKUP($B226&amp;"; "&amp;$H226&amp;", "&amp;$M$214,'FE Intrants'!$G:$U,9,FALSE)),0,VLOOKUP($B226&amp;"; "&amp;$H226&amp;", "&amp;$M$214,'FE Intrants'!$G:$U,9,FALSE)*$F226)</f>
        <v>0</v>
      </c>
      <c r="N226" s="1216">
        <f t="shared" si="31"/>
        <v>0</v>
      </c>
      <c r="Q226" s="319">
        <f t="shared" si="30"/>
        <v>0</v>
      </c>
      <c r="R226" s="1094"/>
      <c r="S226" s="820"/>
      <c r="T226" s="152">
        <f t="shared" si="32"/>
        <v>0</v>
      </c>
      <c r="V226" s="564">
        <f>IFERROR(F226*SUM((VLOOKUP(B226&amp;"; "&amp;H226&amp;", "&amp;I$214,'FE Intrants'!$G:$U,10,FALSE)),
VLOOKUP(B226&amp;"; "&amp;H226&amp;", "&amp;J$214,'FE Intrants'!$G:$U,10,FALSE),
VLOOKUP(B226&amp;"; "&amp;H226&amp;", "&amp;K$214,'FE Intrants'!$G:$U,10,FALSE),
VLOOKUP(B226&amp;"; "&amp;H226&amp;", "&amp;L$214,'FE Intrants'!$G:$U,10,FALSE),
VLOOKUP(B226&amp;"; "&amp;H226&amp;", "&amp;M$214,'FE Intrants'!$G:$U,10,FALSE)),
F226*VLOOKUP(B226&amp;"; "&amp;H226&amp;", "&amp;I$214,'FE Intrants'!$G:$U,10,FALSE))</f>
        <v>0</v>
      </c>
      <c r="W226" s="565">
        <f>IFERROR(F226*SUM((VLOOKUP(B226&amp;"; "&amp;H226&amp;", "&amp;I$214,'FE Intrants'!$G:$U,11,FALSE)+VLOOKUP(B226&amp;"; "&amp;H226&amp;", "&amp;I$214,'FE Intrants'!$G:$U,12,FALSE)),
(VLOOKUP(B226&amp;"; "&amp;H226&amp;", "&amp;J$214,'FE Intrants'!$G:$U,11,FALSE)+VLOOKUP(B226&amp;"; "&amp;H226&amp;", "&amp;J$214,'FE Intrants'!$G:$U,12,FALSE)),
(VLOOKUP(B226&amp;"; "&amp;H226&amp;", "&amp;K$214,'FE Intrants'!$G:$U,11,FALSE)+VLOOKUP(B226&amp;"; "&amp;H226&amp;", "&amp;K$214,'FE Intrants'!$G:$U,12,FALSE)),
(VLOOKUP(B226&amp;"; "&amp;H226&amp;", "&amp;L$214,'FE Intrants'!$G:$U,11,FALSE)+VLOOKUP(B226&amp;"; "&amp;H226&amp;", "&amp;L$214,'FE Intrants'!$G:$U,12,FALSE)),
(VLOOKUP(B226&amp;"; "&amp;H226&amp;", "&amp;M$214,'FE Intrants'!$G:$U,11,FALSE)+VLOOKUP(B226&amp;"; "&amp;H226&amp;", "&amp;M$214,'FE Intrants'!$G:$U,12,FALSE))),
F226*VLOOKUP(B226&amp;"; "&amp;H226&amp;", "&amp;I$214,'FE Intrants'!$G:$U,11,FALSE)+VLOOKUP(B226&amp;"; "&amp;H226&amp;", "&amp;I$214,'FE Intrants'!$G:$U,12,FALSE))</f>
        <v>0</v>
      </c>
      <c r="X226" s="565">
        <f>IFERROR(F226*SUM((VLOOKUP(B226&amp;"; "&amp;H226&amp;", "&amp;I$214,'FE Intrants'!$G:$U,13,FALSE)),
VLOOKUP(B226&amp;"; "&amp;H226&amp;", "&amp;J$214,'FE Intrants'!$G:$U,13,FALSE),
VLOOKUP(B226&amp;"; "&amp;H226&amp;", "&amp;K$214,'FE Intrants'!$G:$U,13,FALSE),
VLOOKUP(B226&amp;"; "&amp;H226&amp;", "&amp;L$214,'FE Intrants'!$G:$U,13,FALSE),
VLOOKUP(B226&amp;"; "&amp;H226&amp;", "&amp;M$214,'FE Intrants'!$G:$U,13,FALSE)),
F226*VLOOKUP(B226&amp;"; "&amp;H226&amp;", "&amp;I$214,'FE Intrants'!$G:$U,13,FALSE))</f>
        <v>0</v>
      </c>
      <c r="Y226" s="565">
        <f>IFERROR(F226*SUM((VLOOKUP(B226&amp;"; "&amp;H226&amp;", "&amp;I$214,'FE Intrants'!$G:$U,14,FALSE)),
VLOOKUP(B226&amp;"; "&amp;H226&amp;", "&amp;J$214,'FE Intrants'!$G:$U,14,FALSE),
VLOOKUP(B226&amp;"; "&amp;H226&amp;", "&amp;K$214,'FE Intrants'!$G:$U,14,FALSE),
VLOOKUP(B226&amp;"; "&amp;H226&amp;", "&amp;L$214,'FE Intrants'!$G:$U,14,FALSE),
VLOOKUP(B226&amp;"; "&amp;H226&amp;", "&amp;M$214,'FE Intrants'!$G:$U,14,FALSE)),
F226*VLOOKUP(B226&amp;"; "&amp;H226&amp;", "&amp;I$214,'FE Intrants'!$G:$U,14,FALSE))</f>
        <v>0</v>
      </c>
      <c r="Z226" s="567">
        <f t="shared" si="33"/>
        <v>0</v>
      </c>
      <c r="AA226" s="590">
        <f>IFERROR(F226*SUM((VLOOKUP(B226&amp;"; "&amp;H226&amp;", "&amp;I$214,'FE Intrants'!$G:$U,15,FALSE)),
VLOOKUP(B226&amp;"; "&amp;H226&amp;", "&amp;J$214,'FE Intrants'!$G:$U,15,FALSE),
VLOOKUP(B226&amp;"; "&amp;H226&amp;", "&amp;K$214,'FE Intrants'!$G:$U,15,FALSE),
VLOOKUP(B226&amp;"; "&amp;H226&amp;", "&amp;L$214,'FE Intrants'!$G:$U,15,FALSE),
VLOOKUP(B226&amp;"; "&amp;H226&amp;", "&amp;M$214,'FE Intrants'!$G:$U,15,FALSE)),
F226*VLOOKUP(B226&amp;"; "&amp;H226&amp;", "&amp;I$214,'FE Intrants'!$G:$U,15,FALSE))</f>
        <v>0</v>
      </c>
      <c r="AC226" s="2099">
        <f>IF($R226&lt;&gt;"votre valeur :",IF(ISNA(VLOOKUP($R226,Utilitaires!$N$566:$O$571,2,FALSE)),,VLOOKUP($R226,Utilitaires!$N$566:$O$571,2,FALSE)),$S226)</f>
        <v>0</v>
      </c>
      <c r="AD226" s="1130">
        <f>SQRT(SUMSQ(AC226,VLOOKUP($B226&amp;"; "&amp;$H226&amp;", "&amp;$I$214,'FE Intrants'!G:U,7,FALSE)))</f>
        <v>0.5</v>
      </c>
    </row>
    <row r="227" spans="2:30" s="114" customFormat="1" ht="13.2" hidden="1" outlineLevel="1">
      <c r="B227" s="143"/>
      <c r="C227" s="144"/>
      <c r="D227" s="212"/>
      <c r="E227" s="212"/>
      <c r="F227" s="212"/>
      <c r="G227" s="224"/>
      <c r="H227" s="212"/>
      <c r="I227" s="212"/>
      <c r="J227" s="212"/>
      <c r="K227" s="212"/>
      <c r="L227" s="212"/>
      <c r="M227" s="212"/>
      <c r="N227" s="1216"/>
      <c r="Q227" s="319"/>
      <c r="R227" s="820"/>
      <c r="S227" s="820"/>
      <c r="T227" s="152"/>
      <c r="V227" s="564"/>
      <c r="W227" s="565"/>
      <c r="X227" s="565"/>
      <c r="Y227" s="565"/>
      <c r="Z227" s="567"/>
      <c r="AA227" s="590"/>
      <c r="AC227" s="2099"/>
      <c r="AD227" s="1130"/>
    </row>
    <row r="228" spans="2:30" s="114" customFormat="1" ht="13.2" hidden="1" outlineLevel="1">
      <c r="B228" s="332" t="s">
        <v>1223</v>
      </c>
      <c r="C228" s="144"/>
      <c r="D228" s="212"/>
      <c r="E228" s="212"/>
      <c r="F228" s="212"/>
      <c r="G228" s="224"/>
      <c r="H228" s="212"/>
      <c r="I228" s="212"/>
      <c r="J228" s="212"/>
      <c r="K228" s="212"/>
      <c r="L228" s="212"/>
      <c r="M228" s="212"/>
      <c r="N228" s="1216"/>
      <c r="Q228" s="319"/>
      <c r="R228" s="820"/>
      <c r="S228" s="820"/>
      <c r="T228" s="152"/>
      <c r="V228" s="564"/>
      <c r="W228" s="565"/>
      <c r="X228" s="565"/>
      <c r="Y228" s="565"/>
      <c r="Z228" s="567"/>
      <c r="AA228" s="590"/>
      <c r="AC228" s="2099"/>
      <c r="AD228" s="1130"/>
    </row>
    <row r="229" spans="2:30" s="114" customFormat="1" ht="13.2" hidden="1" outlineLevel="1">
      <c r="B229" s="143" t="s">
        <v>3265</v>
      </c>
      <c r="C229" s="144"/>
      <c r="D229" s="212">
        <f t="shared" si="29"/>
        <v>0</v>
      </c>
      <c r="E229" s="212"/>
      <c r="F229" s="117"/>
      <c r="G229" s="224"/>
      <c r="H229" s="1211" t="str">
        <f>VLOOKUP(B229,'FE Intrants'!F:U,5,FALSE)</f>
        <v>kgCO2e/unité</v>
      </c>
      <c r="I229" s="212">
        <f>VLOOKUP($B229&amp;"; "&amp;$H229&amp;", "&amp;$I$214,'FE Intrants'!$G:$U,9,FALSE)*$F229</f>
        <v>0</v>
      </c>
      <c r="J229" s="212">
        <f>IF(ISNA(VLOOKUP($B229&amp;"; "&amp;$H229&amp;", "&amp;$J$214,'FE Intrants'!$G:$U,9,FALSE)),0,VLOOKUP($B229&amp;"; "&amp;$H229&amp;", "&amp;$J$214,'FE Intrants'!$G:$U,9,FALSE)*$F229)</f>
        <v>0</v>
      </c>
      <c r="K229" s="212">
        <f>IF(ISNA(VLOOKUP($B229&amp;"; "&amp;$H229&amp;", "&amp;$K$214,'FE Intrants'!$G:$U,9,FALSE)),0,VLOOKUP($B229&amp;"; "&amp;$H229&amp;", "&amp;$K$214,'FE Intrants'!$G:$U,9,FALSE)*$F229)</f>
        <v>0</v>
      </c>
      <c r="L229" s="212">
        <f>IF(ISNA(VLOOKUP($B229&amp;"; "&amp;$H229&amp;", "&amp;$L$214,'FE Intrants'!$G:$U,9,FALSE)),0,VLOOKUP($B229&amp;"; "&amp;$H229&amp;", "&amp;$L$214,'FE Intrants'!$G:$U,9,FALSE)*$F229)</f>
        <v>0</v>
      </c>
      <c r="M229" s="212">
        <f>IF(ISNA(VLOOKUP($B229&amp;"; "&amp;$H229&amp;", "&amp;$M$214,'FE Intrants'!$G:$U,9,FALSE)),0,VLOOKUP($B229&amp;"; "&amp;$H229&amp;", "&amp;$M$214,'FE Intrants'!$G:$U,9,FALSE)*$F229)</f>
        <v>0</v>
      </c>
      <c r="N229" s="1216">
        <f t="shared" si="31"/>
        <v>0</v>
      </c>
      <c r="Q229" s="319">
        <f t="shared" si="30"/>
        <v>0</v>
      </c>
      <c r="R229" s="1094"/>
      <c r="S229" s="820"/>
      <c r="T229" s="152">
        <f t="shared" si="32"/>
        <v>0</v>
      </c>
      <c r="V229" s="564">
        <f>IFERROR(F229*SUM((VLOOKUP(B229&amp;"; "&amp;H229&amp;", "&amp;I$214,'FE Intrants'!$G:$U,10,FALSE)),
VLOOKUP(B229&amp;"; "&amp;H229&amp;", "&amp;J$214,'FE Intrants'!$G:$U,10,FALSE),
VLOOKUP(B229&amp;"; "&amp;H229&amp;", "&amp;K$214,'FE Intrants'!$G:$U,10,FALSE),
VLOOKUP(B229&amp;"; "&amp;H229&amp;", "&amp;L$214,'FE Intrants'!$G:$U,10,FALSE),
VLOOKUP(B229&amp;"; "&amp;H229&amp;", "&amp;M$214,'FE Intrants'!$G:$U,10,FALSE)),
F229*VLOOKUP(B229&amp;"; "&amp;H229&amp;", "&amp;I$214,'FE Intrants'!$G:$U,10,FALSE))</f>
        <v>0</v>
      </c>
      <c r="W229" s="565">
        <f>IFERROR(F229*SUM((VLOOKUP(B229&amp;"; "&amp;H229&amp;", "&amp;I$214,'FE Intrants'!$G:$U,11,FALSE)+VLOOKUP(B229&amp;"; "&amp;H229&amp;", "&amp;I$214,'FE Intrants'!$G:$U,12,FALSE)),
(VLOOKUP(B229&amp;"; "&amp;H229&amp;", "&amp;J$214,'FE Intrants'!$G:$U,11,FALSE)+VLOOKUP(B229&amp;"; "&amp;H229&amp;", "&amp;J$214,'FE Intrants'!$G:$U,12,FALSE)),
(VLOOKUP(B229&amp;"; "&amp;H229&amp;", "&amp;K$214,'FE Intrants'!$G:$U,11,FALSE)+VLOOKUP(B229&amp;"; "&amp;H229&amp;", "&amp;K$214,'FE Intrants'!$G:$U,12,FALSE)),
(VLOOKUP(B229&amp;"; "&amp;H229&amp;", "&amp;L$214,'FE Intrants'!$G:$U,11,FALSE)+VLOOKUP(B229&amp;"; "&amp;H229&amp;", "&amp;L$214,'FE Intrants'!$G:$U,12,FALSE)),
(VLOOKUP(B229&amp;"; "&amp;H229&amp;", "&amp;M$214,'FE Intrants'!$G:$U,11,FALSE)+VLOOKUP(B229&amp;"; "&amp;H229&amp;", "&amp;M$214,'FE Intrants'!$G:$U,12,FALSE))),
F229*VLOOKUP(B229&amp;"; "&amp;H229&amp;", "&amp;I$214,'FE Intrants'!$G:$U,11,FALSE)+VLOOKUP(B229&amp;"; "&amp;H229&amp;", "&amp;I$214,'FE Intrants'!$G:$U,12,FALSE))</f>
        <v>0</v>
      </c>
      <c r="X229" s="565">
        <f>IFERROR(F229*SUM((VLOOKUP(B229&amp;"; "&amp;H229&amp;", "&amp;I$214,'FE Intrants'!$G:$U,13,FALSE)),
VLOOKUP(B229&amp;"; "&amp;H229&amp;", "&amp;J$214,'FE Intrants'!$G:$U,13,FALSE),
VLOOKUP(B229&amp;"; "&amp;H229&amp;", "&amp;K$214,'FE Intrants'!$G:$U,13,FALSE),
VLOOKUP(B229&amp;"; "&amp;H229&amp;", "&amp;L$214,'FE Intrants'!$G:$U,13,FALSE),
VLOOKUP(B229&amp;"; "&amp;H229&amp;", "&amp;M$214,'FE Intrants'!$G:$U,13,FALSE)),
F229*VLOOKUP(B229&amp;"; "&amp;H229&amp;", "&amp;I$214,'FE Intrants'!$G:$U,13,FALSE))</f>
        <v>0</v>
      </c>
      <c r="Y229" s="565">
        <f>IFERROR(F229*SUM((VLOOKUP(B229&amp;"; "&amp;H229&amp;", "&amp;I$214,'FE Intrants'!$G:$U,14,FALSE)),
VLOOKUP(B229&amp;"; "&amp;H229&amp;", "&amp;J$214,'FE Intrants'!$G:$U,14,FALSE),
VLOOKUP(B229&amp;"; "&amp;H229&amp;", "&amp;K$214,'FE Intrants'!$G:$U,14,FALSE),
VLOOKUP(B229&amp;"; "&amp;H229&amp;", "&amp;L$214,'FE Intrants'!$G:$U,14,FALSE),
VLOOKUP(B229&amp;"; "&amp;H229&amp;", "&amp;M$214,'FE Intrants'!$G:$U,14,FALSE)),
F229*VLOOKUP(B229&amp;"; "&amp;H229&amp;", "&amp;I$214,'FE Intrants'!$G:$U,14,FALSE))</f>
        <v>0</v>
      </c>
      <c r="Z229" s="567">
        <f t="shared" si="33"/>
        <v>0</v>
      </c>
      <c r="AA229" s="590">
        <f>IFERROR(F229*SUM((VLOOKUP(B229&amp;"; "&amp;H229&amp;", "&amp;I$214,'FE Intrants'!$G:$U,15,FALSE)),
VLOOKUP(B229&amp;"; "&amp;H229&amp;", "&amp;J$214,'FE Intrants'!$G:$U,15,FALSE),
VLOOKUP(B229&amp;"; "&amp;H229&amp;", "&amp;K$214,'FE Intrants'!$G:$U,15,FALSE),
VLOOKUP(B229&amp;"; "&amp;H229&amp;", "&amp;L$214,'FE Intrants'!$G:$U,15,FALSE),
VLOOKUP(B229&amp;"; "&amp;H229&amp;", "&amp;M$214,'FE Intrants'!$G:$U,15,FALSE)),
F229*VLOOKUP(B229&amp;"; "&amp;H229&amp;", "&amp;I$214,'FE Intrants'!$G:$U,15,FALSE))</f>
        <v>0</v>
      </c>
      <c r="AC229" s="2099">
        <f>IF($R229&lt;&gt;"votre valeur :",IF(ISNA(VLOOKUP($R229,Utilitaires!$N$566:$O$571,2,FALSE)),,VLOOKUP($R229,Utilitaires!$N$566:$O$571,2,FALSE)),$S229)</f>
        <v>0</v>
      </c>
      <c r="AD229" s="1130">
        <f>SQRT(SUMSQ(AC229,VLOOKUP($B229&amp;"; "&amp;$H229&amp;", "&amp;$I$214,'FE Intrants'!G:U,7,FALSE)))</f>
        <v>0.2</v>
      </c>
    </row>
    <row r="230" spans="2:30" s="114" customFormat="1" ht="13.2" hidden="1" outlineLevel="1">
      <c r="B230" s="143" t="s">
        <v>3266</v>
      </c>
      <c r="C230" s="144"/>
      <c r="D230" s="212">
        <f t="shared" si="29"/>
        <v>0</v>
      </c>
      <c r="E230" s="212"/>
      <c r="F230" s="120"/>
      <c r="G230" s="224"/>
      <c r="H230" s="1212" t="str">
        <f>VLOOKUP(B230,'FE Intrants'!F:U,5,FALSE)</f>
        <v>kgCO2e/unité</v>
      </c>
      <c r="I230" s="212">
        <f>VLOOKUP($B230&amp;"; "&amp;$H230&amp;", "&amp;$I$214,'FE Intrants'!$G:$U,9,FALSE)*$F230</f>
        <v>0</v>
      </c>
      <c r="J230" s="212">
        <f>IF(ISNA(VLOOKUP($B230&amp;"; "&amp;$H230&amp;", "&amp;$J$214,'FE Intrants'!$G:$U,9,FALSE)),0,VLOOKUP($B230&amp;"; "&amp;$H230&amp;", "&amp;$J$214,'FE Intrants'!$G:$U,9,FALSE)*$F230)</f>
        <v>0</v>
      </c>
      <c r="K230" s="212">
        <f>IF(ISNA(VLOOKUP($B230&amp;"; "&amp;$H230&amp;", "&amp;$K$214,'FE Intrants'!$G:$U,9,FALSE)),0,VLOOKUP($B230&amp;"; "&amp;$H230&amp;", "&amp;$K$214,'FE Intrants'!$G:$U,9,FALSE)*$F230)</f>
        <v>0</v>
      </c>
      <c r="L230" s="212">
        <f>IF(ISNA(VLOOKUP($B230&amp;"; "&amp;$H230&amp;", "&amp;$L$214,'FE Intrants'!$G:$U,9,FALSE)),0,VLOOKUP($B230&amp;"; "&amp;$H230&amp;", "&amp;$L$214,'FE Intrants'!$G:$U,9,FALSE)*$F230)</f>
        <v>0</v>
      </c>
      <c r="M230" s="212">
        <f>IF(ISNA(VLOOKUP($B230&amp;"; "&amp;$H230&amp;", "&amp;$M$214,'FE Intrants'!$G:$U,9,FALSE)),0,VLOOKUP($B230&amp;"; "&amp;$H230&amp;", "&amp;$M$214,'FE Intrants'!$G:$U,9,FALSE)*$F230)</f>
        <v>0</v>
      </c>
      <c r="N230" s="1216">
        <f t="shared" si="31"/>
        <v>0</v>
      </c>
      <c r="Q230" s="319">
        <f t="shared" si="30"/>
        <v>0</v>
      </c>
      <c r="R230" s="1094"/>
      <c r="S230" s="820"/>
      <c r="T230" s="152">
        <f t="shared" si="32"/>
        <v>0</v>
      </c>
      <c r="V230" s="564">
        <f>IFERROR(F230*SUM((VLOOKUP(B230&amp;"; "&amp;H230&amp;", "&amp;I$214,'FE Intrants'!$G:$U,10,FALSE)),
VLOOKUP(B230&amp;"; "&amp;H230&amp;", "&amp;J$214,'FE Intrants'!$G:$U,10,FALSE),
VLOOKUP(B230&amp;"; "&amp;H230&amp;", "&amp;K$214,'FE Intrants'!$G:$U,10,FALSE),
VLOOKUP(B230&amp;"; "&amp;H230&amp;", "&amp;L$214,'FE Intrants'!$G:$U,10,FALSE),
VLOOKUP(B230&amp;"; "&amp;H230&amp;", "&amp;M$214,'FE Intrants'!$G:$U,10,FALSE)),
F230*VLOOKUP(B230&amp;"; "&amp;H230&amp;", "&amp;I$214,'FE Intrants'!$G:$U,10,FALSE))</f>
        <v>0</v>
      </c>
      <c r="W230" s="565">
        <f>IFERROR(F230*SUM((VLOOKUP(B230&amp;"; "&amp;H230&amp;", "&amp;I$214,'FE Intrants'!$G:$U,11,FALSE)+VLOOKUP(B230&amp;"; "&amp;H230&amp;", "&amp;I$214,'FE Intrants'!$G:$U,12,FALSE)),
(VLOOKUP(B230&amp;"; "&amp;H230&amp;", "&amp;J$214,'FE Intrants'!$G:$U,11,FALSE)+VLOOKUP(B230&amp;"; "&amp;H230&amp;", "&amp;J$214,'FE Intrants'!$G:$U,12,FALSE)),
(VLOOKUP(B230&amp;"; "&amp;H230&amp;", "&amp;K$214,'FE Intrants'!$G:$U,11,FALSE)+VLOOKUP(B230&amp;"; "&amp;H230&amp;", "&amp;K$214,'FE Intrants'!$G:$U,12,FALSE)),
(VLOOKUP(B230&amp;"; "&amp;H230&amp;", "&amp;L$214,'FE Intrants'!$G:$U,11,FALSE)+VLOOKUP(B230&amp;"; "&amp;H230&amp;", "&amp;L$214,'FE Intrants'!$G:$U,12,FALSE)),
(VLOOKUP(B230&amp;"; "&amp;H230&amp;", "&amp;M$214,'FE Intrants'!$G:$U,11,FALSE)+VLOOKUP(B230&amp;"; "&amp;H230&amp;", "&amp;M$214,'FE Intrants'!$G:$U,12,FALSE))),
F230*VLOOKUP(B230&amp;"; "&amp;H230&amp;", "&amp;I$214,'FE Intrants'!$G:$U,11,FALSE)+VLOOKUP(B230&amp;"; "&amp;H230&amp;", "&amp;I$214,'FE Intrants'!$G:$U,12,FALSE))</f>
        <v>0</v>
      </c>
      <c r="X230" s="565">
        <f>IFERROR(F230*SUM((VLOOKUP(B230&amp;"; "&amp;H230&amp;", "&amp;I$214,'FE Intrants'!$G:$U,13,FALSE)),
VLOOKUP(B230&amp;"; "&amp;H230&amp;", "&amp;J$214,'FE Intrants'!$G:$U,13,FALSE),
VLOOKUP(B230&amp;"; "&amp;H230&amp;", "&amp;K$214,'FE Intrants'!$G:$U,13,FALSE),
VLOOKUP(B230&amp;"; "&amp;H230&amp;", "&amp;L$214,'FE Intrants'!$G:$U,13,FALSE),
VLOOKUP(B230&amp;"; "&amp;H230&amp;", "&amp;M$214,'FE Intrants'!$G:$U,13,FALSE)),
F230*VLOOKUP(B230&amp;"; "&amp;H230&amp;", "&amp;I$214,'FE Intrants'!$G:$U,13,FALSE))</f>
        <v>0</v>
      </c>
      <c r="Y230" s="565">
        <f>IFERROR(F230*SUM((VLOOKUP(B230&amp;"; "&amp;H230&amp;", "&amp;I$214,'FE Intrants'!$G:$U,14,FALSE)),
VLOOKUP(B230&amp;"; "&amp;H230&amp;", "&amp;J$214,'FE Intrants'!$G:$U,14,FALSE),
VLOOKUP(B230&amp;"; "&amp;H230&amp;", "&amp;K$214,'FE Intrants'!$G:$U,14,FALSE),
VLOOKUP(B230&amp;"; "&amp;H230&amp;", "&amp;L$214,'FE Intrants'!$G:$U,14,FALSE),
VLOOKUP(B230&amp;"; "&amp;H230&amp;", "&amp;M$214,'FE Intrants'!$G:$U,14,FALSE)),
F230*VLOOKUP(B230&amp;"; "&amp;H230&amp;", "&amp;I$214,'FE Intrants'!$G:$U,14,FALSE))</f>
        <v>0</v>
      </c>
      <c r="Z230" s="567">
        <f t="shared" si="33"/>
        <v>0</v>
      </c>
      <c r="AA230" s="590">
        <f>IFERROR(F230*SUM((VLOOKUP(B230&amp;"; "&amp;H230&amp;", "&amp;I$214,'FE Intrants'!$G:$U,15,FALSE)),
VLOOKUP(B230&amp;"; "&amp;H230&amp;", "&amp;J$214,'FE Intrants'!$G:$U,15,FALSE),
VLOOKUP(B230&amp;"; "&amp;H230&amp;", "&amp;K$214,'FE Intrants'!$G:$U,15,FALSE),
VLOOKUP(B230&amp;"; "&amp;H230&amp;", "&amp;L$214,'FE Intrants'!$G:$U,15,FALSE),
VLOOKUP(B230&amp;"; "&amp;H230&amp;", "&amp;M$214,'FE Intrants'!$G:$U,15,FALSE)),
F230*VLOOKUP(B230&amp;"; "&amp;H230&amp;", "&amp;I$214,'FE Intrants'!$G:$U,15,FALSE))</f>
        <v>0</v>
      </c>
      <c r="AC230" s="2099">
        <f>IF($R230&lt;&gt;"votre valeur :",IF(ISNA(VLOOKUP($R230,Utilitaires!$N$566:$O$571,2,FALSE)),,VLOOKUP($R230,Utilitaires!$N$566:$O$571,2,FALSE)),$S230)</f>
        <v>0</v>
      </c>
      <c r="AD230" s="1130">
        <f>SQRT(SUMSQ(AC230,VLOOKUP($B230&amp;"; "&amp;$H230&amp;", "&amp;$I$214,'FE Intrants'!G:U,7,FALSE)))</f>
        <v>0.15</v>
      </c>
    </row>
    <row r="231" spans="2:30" s="114" customFormat="1" ht="13.2" hidden="1" outlineLevel="1">
      <c r="B231" s="143" t="s">
        <v>3267</v>
      </c>
      <c r="C231" s="144"/>
      <c r="D231" s="212">
        <f t="shared" si="29"/>
        <v>0</v>
      </c>
      <c r="E231" s="212"/>
      <c r="F231" s="120"/>
      <c r="G231" s="224"/>
      <c r="H231" s="1212" t="str">
        <f>VLOOKUP(B231,'FE Intrants'!F:U,5,FALSE)</f>
        <v>kgCO2e/unité</v>
      </c>
      <c r="I231" s="212">
        <f>VLOOKUP($B231&amp;"; "&amp;$H231&amp;", "&amp;$I$214,'FE Intrants'!$G:$U,9,FALSE)*$F231</f>
        <v>0</v>
      </c>
      <c r="J231" s="212">
        <f>IF(ISNA(VLOOKUP($B231&amp;"; "&amp;$H231&amp;", "&amp;$J$214,'FE Intrants'!$G:$U,9,FALSE)),0,VLOOKUP($B231&amp;"; "&amp;$H231&amp;", "&amp;$J$214,'FE Intrants'!$G:$U,9,FALSE)*$F231)</f>
        <v>0</v>
      </c>
      <c r="K231" s="212">
        <f>IF(ISNA(VLOOKUP($B231&amp;"; "&amp;$H231&amp;", "&amp;$K$214,'FE Intrants'!$G:$U,9,FALSE)),0,VLOOKUP($B231&amp;"; "&amp;$H231&amp;", "&amp;$K$214,'FE Intrants'!$G:$U,9,FALSE)*$F231)</f>
        <v>0</v>
      </c>
      <c r="L231" s="212">
        <f>IF(ISNA(VLOOKUP($B231&amp;"; "&amp;$H231&amp;", "&amp;$L$214,'FE Intrants'!$G:$U,9,FALSE)),0,VLOOKUP($B231&amp;"; "&amp;$H231&amp;", "&amp;$L$214,'FE Intrants'!$G:$U,9,FALSE)*$F231)</f>
        <v>0</v>
      </c>
      <c r="M231" s="212">
        <f>IF(ISNA(VLOOKUP($B231&amp;"; "&amp;$H231&amp;", "&amp;$M$214,'FE Intrants'!$G:$U,9,FALSE)),0,VLOOKUP($B231&amp;"; "&amp;$H231&amp;", "&amp;$M$214,'FE Intrants'!$G:$U,9,FALSE)*$F231)</f>
        <v>0</v>
      </c>
      <c r="N231" s="1216">
        <f t="shared" si="31"/>
        <v>0</v>
      </c>
      <c r="Q231" s="319">
        <f t="shared" si="30"/>
        <v>0</v>
      </c>
      <c r="R231" s="1094"/>
      <c r="S231" s="820"/>
      <c r="T231" s="152">
        <f t="shared" si="32"/>
        <v>0</v>
      </c>
      <c r="V231" s="564">
        <f>IFERROR(F231*SUM((VLOOKUP(B231&amp;"; "&amp;H231&amp;", "&amp;I$214,'FE Intrants'!$G:$U,10,FALSE)),
VLOOKUP(B231&amp;"; "&amp;H231&amp;", "&amp;J$214,'FE Intrants'!$G:$U,10,FALSE),
VLOOKUP(B231&amp;"; "&amp;H231&amp;", "&amp;K$214,'FE Intrants'!$G:$U,10,FALSE),
VLOOKUP(B231&amp;"; "&amp;H231&amp;", "&amp;L$214,'FE Intrants'!$G:$U,10,FALSE),
VLOOKUP(B231&amp;"; "&amp;H231&amp;", "&amp;M$214,'FE Intrants'!$G:$U,10,FALSE)),
F231*VLOOKUP(B231&amp;"; "&amp;H231&amp;", "&amp;I$214,'FE Intrants'!$G:$U,10,FALSE))</f>
        <v>0</v>
      </c>
      <c r="W231" s="565">
        <f>IFERROR(F231*SUM((VLOOKUP(B231&amp;"; "&amp;H231&amp;", "&amp;I$214,'FE Intrants'!$G:$U,11,FALSE)+VLOOKUP(B231&amp;"; "&amp;H231&amp;", "&amp;I$214,'FE Intrants'!$G:$U,12,FALSE)),
(VLOOKUP(B231&amp;"; "&amp;H231&amp;", "&amp;J$214,'FE Intrants'!$G:$U,11,FALSE)+VLOOKUP(B231&amp;"; "&amp;H231&amp;", "&amp;J$214,'FE Intrants'!$G:$U,12,FALSE)),
(VLOOKUP(B231&amp;"; "&amp;H231&amp;", "&amp;K$214,'FE Intrants'!$G:$U,11,FALSE)+VLOOKUP(B231&amp;"; "&amp;H231&amp;", "&amp;K$214,'FE Intrants'!$G:$U,12,FALSE)),
(VLOOKUP(B231&amp;"; "&amp;H231&amp;", "&amp;L$214,'FE Intrants'!$G:$U,11,FALSE)+VLOOKUP(B231&amp;"; "&amp;H231&amp;", "&amp;L$214,'FE Intrants'!$G:$U,12,FALSE)),
(VLOOKUP(B231&amp;"; "&amp;H231&amp;", "&amp;M$214,'FE Intrants'!$G:$U,11,FALSE)+VLOOKUP(B231&amp;"; "&amp;H231&amp;", "&amp;M$214,'FE Intrants'!$G:$U,12,FALSE))),
F231*VLOOKUP(B231&amp;"; "&amp;H231&amp;", "&amp;I$214,'FE Intrants'!$G:$U,11,FALSE)+VLOOKUP(B231&amp;"; "&amp;H231&amp;", "&amp;I$214,'FE Intrants'!$G:$U,12,FALSE))</f>
        <v>0</v>
      </c>
      <c r="X231" s="565">
        <f>IFERROR(F231*SUM((VLOOKUP(B231&amp;"; "&amp;H231&amp;", "&amp;I$214,'FE Intrants'!$G:$U,13,FALSE)),
VLOOKUP(B231&amp;"; "&amp;H231&amp;", "&amp;J$214,'FE Intrants'!$G:$U,13,FALSE),
VLOOKUP(B231&amp;"; "&amp;H231&amp;", "&amp;K$214,'FE Intrants'!$G:$U,13,FALSE),
VLOOKUP(B231&amp;"; "&amp;H231&amp;", "&amp;L$214,'FE Intrants'!$G:$U,13,FALSE),
VLOOKUP(B231&amp;"; "&amp;H231&amp;", "&amp;M$214,'FE Intrants'!$G:$U,13,FALSE)),
F231*VLOOKUP(B231&amp;"; "&amp;H231&amp;", "&amp;I$214,'FE Intrants'!$G:$U,13,FALSE))</f>
        <v>0</v>
      </c>
      <c r="Y231" s="565">
        <f>IFERROR(F231*SUM((VLOOKUP(B231&amp;"; "&amp;H231&amp;", "&amp;I$214,'FE Intrants'!$G:$U,14,FALSE)),
VLOOKUP(B231&amp;"; "&amp;H231&amp;", "&amp;J$214,'FE Intrants'!$G:$U,14,FALSE),
VLOOKUP(B231&amp;"; "&amp;H231&amp;", "&amp;K$214,'FE Intrants'!$G:$U,14,FALSE),
VLOOKUP(B231&amp;"; "&amp;H231&amp;", "&amp;L$214,'FE Intrants'!$G:$U,14,FALSE),
VLOOKUP(B231&amp;"; "&amp;H231&amp;", "&amp;M$214,'FE Intrants'!$G:$U,14,FALSE)),
F231*VLOOKUP(B231&amp;"; "&amp;H231&amp;", "&amp;I$214,'FE Intrants'!$G:$U,14,FALSE))</f>
        <v>0</v>
      </c>
      <c r="Z231" s="567">
        <f t="shared" si="33"/>
        <v>0</v>
      </c>
      <c r="AA231" s="590">
        <f>IFERROR(F231*SUM((VLOOKUP(B231&amp;"; "&amp;H231&amp;", "&amp;I$214,'FE Intrants'!$G:$U,15,FALSE)),
VLOOKUP(B231&amp;"; "&amp;H231&amp;", "&amp;J$214,'FE Intrants'!$G:$U,15,FALSE),
VLOOKUP(B231&amp;"; "&amp;H231&amp;", "&amp;K$214,'FE Intrants'!$G:$U,15,FALSE),
VLOOKUP(B231&amp;"; "&amp;H231&amp;", "&amp;L$214,'FE Intrants'!$G:$U,15,FALSE),
VLOOKUP(B231&amp;"; "&amp;H231&amp;", "&amp;M$214,'FE Intrants'!$G:$U,15,FALSE)),
F231*VLOOKUP(B231&amp;"; "&amp;H231&amp;", "&amp;I$214,'FE Intrants'!$G:$U,15,FALSE))</f>
        <v>0</v>
      </c>
      <c r="AC231" s="2099">
        <f>IF($R231&lt;&gt;"votre valeur :",IF(ISNA(VLOOKUP($R231,Utilitaires!$N$566:$O$571,2,FALSE)),,VLOOKUP($R231,Utilitaires!$N$566:$O$571,2,FALSE)),$S231)</f>
        <v>0</v>
      </c>
      <c r="AD231" s="1130">
        <f>SQRT(SUMSQ(AC231,VLOOKUP($B231&amp;"; "&amp;$H231&amp;", "&amp;$I$214,'FE Intrants'!G:U,7,FALSE)))</f>
        <v>0.25</v>
      </c>
    </row>
    <row r="232" spans="2:30" s="114" customFormat="1" ht="13.2" hidden="1" outlineLevel="1">
      <c r="B232" s="143" t="s">
        <v>3268</v>
      </c>
      <c r="C232" s="144"/>
      <c r="D232" s="212">
        <f t="shared" si="29"/>
        <v>0</v>
      </c>
      <c r="E232" s="212"/>
      <c r="F232" s="123"/>
      <c r="G232" s="224"/>
      <c r="H232" s="1213" t="str">
        <f>VLOOKUP(B232,'FE Intrants'!F:U,5,FALSE)</f>
        <v>kgCO2e/unité</v>
      </c>
      <c r="I232" s="212">
        <f>VLOOKUP($B232&amp;"; "&amp;$H232&amp;", "&amp;$I$214,'FE Intrants'!$G:$U,9,FALSE)*$F232</f>
        <v>0</v>
      </c>
      <c r="J232" s="212">
        <f>IF(ISNA(VLOOKUP($B232&amp;"; "&amp;$H232&amp;", "&amp;$J$214,'FE Intrants'!$G:$U,9,FALSE)),0,VLOOKUP($B232&amp;"; "&amp;$H232&amp;", "&amp;$J$214,'FE Intrants'!$G:$U,9,FALSE)*$F232)</f>
        <v>0</v>
      </c>
      <c r="K232" s="212">
        <f>IF(ISNA(VLOOKUP($B232&amp;"; "&amp;$H232&amp;", "&amp;$K$214,'FE Intrants'!$G:$U,9,FALSE)),0,VLOOKUP($B232&amp;"; "&amp;$H232&amp;", "&amp;$K$214,'FE Intrants'!$G:$U,9,FALSE)*$F232)</f>
        <v>0</v>
      </c>
      <c r="L232" s="212">
        <f>IF(ISNA(VLOOKUP($B232&amp;"; "&amp;$H232&amp;", "&amp;$L$214,'FE Intrants'!$G:$U,9,FALSE)),0,VLOOKUP($B232&amp;"; "&amp;$H232&amp;", "&amp;$L$214,'FE Intrants'!$G:$U,9,FALSE)*$F232)</f>
        <v>0</v>
      </c>
      <c r="M232" s="212">
        <f>IF(ISNA(VLOOKUP($B232&amp;"; "&amp;$H232&amp;", "&amp;$M$214,'FE Intrants'!$G:$U,9,FALSE)),0,VLOOKUP($B232&amp;"; "&amp;$H232&amp;", "&amp;$M$214,'FE Intrants'!$G:$U,9,FALSE)*$F232)</f>
        <v>0</v>
      </c>
      <c r="N232" s="1216">
        <f t="shared" si="31"/>
        <v>0</v>
      </c>
      <c r="Q232" s="319">
        <f t="shared" si="30"/>
        <v>0</v>
      </c>
      <c r="R232" s="1094"/>
      <c r="S232" s="820"/>
      <c r="T232" s="152">
        <f t="shared" si="32"/>
        <v>0</v>
      </c>
      <c r="V232" s="564">
        <f>IFERROR(F232*SUM((VLOOKUP(B232&amp;"; "&amp;H232&amp;", "&amp;I$214,'FE Intrants'!$G:$U,10,FALSE)),
VLOOKUP(B232&amp;"; "&amp;H232&amp;", "&amp;J$214,'FE Intrants'!$G:$U,10,FALSE),
VLOOKUP(B232&amp;"; "&amp;H232&amp;", "&amp;K$214,'FE Intrants'!$G:$U,10,FALSE),
VLOOKUP(B232&amp;"; "&amp;H232&amp;", "&amp;L$214,'FE Intrants'!$G:$U,10,FALSE),
VLOOKUP(B232&amp;"; "&amp;H232&amp;", "&amp;M$214,'FE Intrants'!$G:$U,10,FALSE)),
F232*VLOOKUP(B232&amp;"; "&amp;H232&amp;", "&amp;I$214,'FE Intrants'!$G:$U,10,FALSE))</f>
        <v>0</v>
      </c>
      <c r="W232" s="565">
        <f>IFERROR(F232*SUM((VLOOKUP(B232&amp;"; "&amp;H232&amp;", "&amp;I$214,'FE Intrants'!$G:$U,11,FALSE)+VLOOKUP(B232&amp;"; "&amp;H232&amp;", "&amp;I$214,'FE Intrants'!$G:$U,12,FALSE)),
(VLOOKUP(B232&amp;"; "&amp;H232&amp;", "&amp;J$214,'FE Intrants'!$G:$U,11,FALSE)+VLOOKUP(B232&amp;"; "&amp;H232&amp;", "&amp;J$214,'FE Intrants'!$G:$U,12,FALSE)),
(VLOOKUP(B232&amp;"; "&amp;H232&amp;", "&amp;K$214,'FE Intrants'!$G:$U,11,FALSE)+VLOOKUP(B232&amp;"; "&amp;H232&amp;", "&amp;K$214,'FE Intrants'!$G:$U,12,FALSE)),
(VLOOKUP(B232&amp;"; "&amp;H232&amp;", "&amp;L$214,'FE Intrants'!$G:$U,11,FALSE)+VLOOKUP(B232&amp;"; "&amp;H232&amp;", "&amp;L$214,'FE Intrants'!$G:$U,12,FALSE)),
(VLOOKUP(B232&amp;"; "&amp;H232&amp;", "&amp;M$214,'FE Intrants'!$G:$U,11,FALSE)+VLOOKUP(B232&amp;"; "&amp;H232&amp;", "&amp;M$214,'FE Intrants'!$G:$U,12,FALSE))),
F232*VLOOKUP(B232&amp;"; "&amp;H232&amp;", "&amp;I$214,'FE Intrants'!$G:$U,11,FALSE)+VLOOKUP(B232&amp;"; "&amp;H232&amp;", "&amp;I$214,'FE Intrants'!$G:$U,12,FALSE))</f>
        <v>0</v>
      </c>
      <c r="X232" s="565">
        <f>IFERROR(F232*SUM((VLOOKUP(B232&amp;"; "&amp;H232&amp;", "&amp;I$214,'FE Intrants'!$G:$U,13,FALSE)),
VLOOKUP(B232&amp;"; "&amp;H232&amp;", "&amp;J$214,'FE Intrants'!$G:$U,13,FALSE),
VLOOKUP(B232&amp;"; "&amp;H232&amp;", "&amp;K$214,'FE Intrants'!$G:$U,13,FALSE),
VLOOKUP(B232&amp;"; "&amp;H232&amp;", "&amp;L$214,'FE Intrants'!$G:$U,13,FALSE),
VLOOKUP(B232&amp;"; "&amp;H232&amp;", "&amp;M$214,'FE Intrants'!$G:$U,13,FALSE)),
F232*VLOOKUP(B232&amp;"; "&amp;H232&amp;", "&amp;I$214,'FE Intrants'!$G:$U,13,FALSE))</f>
        <v>0</v>
      </c>
      <c r="Y232" s="565">
        <f>IFERROR(F232*SUM((VLOOKUP(B232&amp;"; "&amp;H232&amp;", "&amp;I$214,'FE Intrants'!$G:$U,14,FALSE)),
VLOOKUP(B232&amp;"; "&amp;H232&amp;", "&amp;J$214,'FE Intrants'!$G:$U,14,FALSE),
VLOOKUP(B232&amp;"; "&amp;H232&amp;", "&amp;K$214,'FE Intrants'!$G:$U,14,FALSE),
VLOOKUP(B232&amp;"; "&amp;H232&amp;", "&amp;L$214,'FE Intrants'!$G:$U,14,FALSE),
VLOOKUP(B232&amp;"; "&amp;H232&amp;", "&amp;M$214,'FE Intrants'!$G:$U,14,FALSE)),
F232*VLOOKUP(B232&amp;"; "&amp;H232&amp;", "&amp;I$214,'FE Intrants'!$G:$U,14,FALSE))</f>
        <v>0</v>
      </c>
      <c r="Z232" s="567">
        <f t="shared" si="33"/>
        <v>0</v>
      </c>
      <c r="AA232" s="590">
        <f>IFERROR(F232*SUM((VLOOKUP(B232&amp;"; "&amp;H232&amp;", "&amp;I$214,'FE Intrants'!$G:$U,15,FALSE)),
VLOOKUP(B232&amp;"; "&amp;H232&amp;", "&amp;J$214,'FE Intrants'!$G:$U,15,FALSE),
VLOOKUP(B232&amp;"; "&amp;H232&amp;", "&amp;K$214,'FE Intrants'!$G:$U,15,FALSE),
VLOOKUP(B232&amp;"; "&amp;H232&amp;", "&amp;L$214,'FE Intrants'!$G:$U,15,FALSE),
VLOOKUP(B232&amp;"; "&amp;H232&amp;", "&amp;M$214,'FE Intrants'!$G:$U,15,FALSE)),
F232*VLOOKUP(B232&amp;"; "&amp;H232&amp;", "&amp;I$214,'FE Intrants'!$G:$U,15,FALSE))</f>
        <v>0</v>
      </c>
      <c r="AC232" s="2099">
        <f>IF($R232&lt;&gt;"votre valeur :",IF(ISNA(VLOOKUP($R232,Utilitaires!$N$566:$O$571,2,FALSE)),,VLOOKUP($R232,Utilitaires!$N$566:$O$571,2,FALSE)),$S232)</f>
        <v>0</v>
      </c>
      <c r="AD232" s="1130">
        <f>SQRT(SUMSQ(AC232,VLOOKUP($B232&amp;"; "&amp;$H232&amp;", "&amp;$I$214,'FE Intrants'!G:U,7,FALSE)))</f>
        <v>0.2</v>
      </c>
    </row>
    <row r="233" spans="2:30" s="114" customFormat="1" ht="13.2" hidden="1" outlineLevel="1">
      <c r="B233" s="143"/>
      <c r="C233" s="144"/>
      <c r="D233" s="212"/>
      <c r="E233" s="212"/>
      <c r="F233" s="212"/>
      <c r="G233" s="224"/>
      <c r="H233" s="212"/>
      <c r="I233" s="212"/>
      <c r="J233" s="212"/>
      <c r="K233" s="212"/>
      <c r="L233" s="212"/>
      <c r="M233" s="212"/>
      <c r="N233" s="1216"/>
      <c r="Q233" s="319"/>
      <c r="R233" s="820"/>
      <c r="S233" s="820"/>
      <c r="T233" s="152"/>
      <c r="V233" s="564"/>
      <c r="W233" s="565"/>
      <c r="X233" s="565"/>
      <c r="Y233" s="565"/>
      <c r="Z233" s="567"/>
      <c r="AA233" s="590"/>
      <c r="AC233" s="2099"/>
      <c r="AD233" s="1130"/>
    </row>
    <row r="234" spans="2:30" s="114" customFormat="1" ht="13.2" hidden="1" outlineLevel="1">
      <c r="B234" s="332" t="s">
        <v>1255</v>
      </c>
      <c r="C234" s="144"/>
      <c r="D234" s="212"/>
      <c r="E234" s="212"/>
      <c r="F234" s="212"/>
      <c r="G234" s="224"/>
      <c r="H234" s="212"/>
      <c r="I234" s="212"/>
      <c r="J234" s="212"/>
      <c r="K234" s="212"/>
      <c r="L234" s="212"/>
      <c r="M234" s="212"/>
      <c r="N234" s="1216"/>
      <c r="Q234" s="319"/>
      <c r="R234" s="820"/>
      <c r="S234" s="820"/>
      <c r="T234" s="152"/>
      <c r="V234" s="564"/>
      <c r="W234" s="565"/>
      <c r="X234" s="565"/>
      <c r="Y234" s="565"/>
      <c r="Z234" s="567"/>
      <c r="AA234" s="590"/>
      <c r="AC234" s="2099"/>
      <c r="AD234" s="1130"/>
    </row>
    <row r="235" spans="2:30" s="114" customFormat="1" ht="13.2" hidden="1" outlineLevel="1">
      <c r="B235" s="143"/>
      <c r="C235" s="144"/>
      <c r="D235" s="212"/>
      <c r="E235" s="212"/>
      <c r="F235" s="212"/>
      <c r="G235" s="224"/>
      <c r="H235" s="212"/>
      <c r="I235" s="212"/>
      <c r="J235" s="212"/>
      <c r="K235" s="212"/>
      <c r="L235" s="212"/>
      <c r="M235" s="212"/>
      <c r="N235" s="1216"/>
      <c r="Q235" s="319"/>
      <c r="R235" s="820"/>
      <c r="S235" s="820"/>
      <c r="T235" s="152"/>
      <c r="V235" s="564"/>
      <c r="W235" s="565"/>
      <c r="X235" s="565"/>
      <c r="Y235" s="565"/>
      <c r="Z235" s="567"/>
      <c r="AA235" s="590"/>
      <c r="AC235" s="2099"/>
      <c r="AD235" s="1130"/>
    </row>
    <row r="236" spans="2:30" s="114" customFormat="1" ht="13.2" hidden="1" outlineLevel="1">
      <c r="B236" s="1002" t="s">
        <v>3269</v>
      </c>
      <c r="C236" s="144"/>
      <c r="D236" s="212"/>
      <c r="E236" s="212"/>
      <c r="F236" s="212"/>
      <c r="G236" s="224"/>
      <c r="H236" s="212"/>
      <c r="I236" s="212"/>
      <c r="J236" s="212"/>
      <c r="K236" s="212"/>
      <c r="L236" s="212"/>
      <c r="M236" s="212"/>
      <c r="N236" s="1216"/>
      <c r="Q236" s="319"/>
      <c r="R236" s="820"/>
      <c r="S236" s="820"/>
      <c r="T236" s="152"/>
      <c r="V236" s="564"/>
      <c r="W236" s="565"/>
      <c r="X236" s="565"/>
      <c r="Y236" s="565"/>
      <c r="Z236" s="567"/>
      <c r="AA236" s="590"/>
      <c r="AC236" s="2099"/>
      <c r="AD236" s="1130"/>
    </row>
    <row r="237" spans="2:30" s="114" customFormat="1" ht="13.2" hidden="1" outlineLevel="1">
      <c r="B237" s="143" t="s">
        <v>3270</v>
      </c>
      <c r="C237" s="144"/>
      <c r="D237" s="212">
        <f t="shared" si="29"/>
        <v>0</v>
      </c>
      <c r="E237" s="212"/>
      <c r="F237" s="117"/>
      <c r="G237" s="224"/>
      <c r="H237" s="1211" t="str">
        <f>VLOOKUP(B237,'FE Intrants'!F:U,5,FALSE)</f>
        <v>kgCO2e/unité</v>
      </c>
      <c r="I237" s="212">
        <f>VLOOKUP($B237&amp;"; "&amp;$H237&amp;", "&amp;$I$214,'FE Intrants'!$G:$U,9,FALSE)*$F237</f>
        <v>0</v>
      </c>
      <c r="J237" s="212">
        <f>IF(ISNA(VLOOKUP($B237&amp;"; "&amp;$H237&amp;", "&amp;$J$214,'FE Intrants'!$G:$U,9,FALSE)),0,VLOOKUP($B237&amp;"; "&amp;$H237&amp;", "&amp;$J$214,'FE Intrants'!$G:$U,9,FALSE)*$F237)</f>
        <v>0</v>
      </c>
      <c r="K237" s="212">
        <f>IF(ISNA(VLOOKUP($B237&amp;"; "&amp;$H237&amp;", "&amp;$K$214,'FE Intrants'!$G:$U,9,FALSE)),0,VLOOKUP($B237&amp;"; "&amp;$H237&amp;", "&amp;$K$214,'FE Intrants'!$G:$U,9,FALSE)*$F237)</f>
        <v>0</v>
      </c>
      <c r="L237" s="212">
        <f>IF(ISNA(VLOOKUP($B237&amp;"; "&amp;$H237&amp;", "&amp;$L$214,'FE Intrants'!$G:$U,9,FALSE)),0,VLOOKUP($B237&amp;"; "&amp;$H237&amp;", "&amp;$L$214,'FE Intrants'!$G:$U,9,FALSE)*$F237)</f>
        <v>0</v>
      </c>
      <c r="M237" s="212">
        <f>IF(ISNA(VLOOKUP($B237&amp;"; "&amp;$H237&amp;", "&amp;$M$214,'FE Intrants'!$G:$U,9,FALSE)),0,VLOOKUP($B237&amp;"; "&amp;$H237&amp;", "&amp;$M$214,'FE Intrants'!$G:$U,9,FALSE)*$F237)</f>
        <v>0</v>
      </c>
      <c r="N237" s="1216">
        <f t="shared" si="31"/>
        <v>0</v>
      </c>
      <c r="Q237" s="319">
        <f t="shared" si="30"/>
        <v>0</v>
      </c>
      <c r="R237" s="1094"/>
      <c r="S237" s="820"/>
      <c r="T237" s="152">
        <f t="shared" si="32"/>
        <v>0</v>
      </c>
      <c r="V237" s="564">
        <f>IFERROR(F237*SUM((VLOOKUP(B237&amp;"; "&amp;H237&amp;", "&amp;I$214,'FE Intrants'!$G:$U,10,FALSE)),
VLOOKUP(B237&amp;"; "&amp;H237&amp;", "&amp;J$214,'FE Intrants'!$G:$U,10,FALSE),
VLOOKUP(B237&amp;"; "&amp;H237&amp;", "&amp;K$214,'FE Intrants'!$G:$U,10,FALSE),
VLOOKUP(B237&amp;"; "&amp;H237&amp;", "&amp;L$214,'FE Intrants'!$G:$U,10,FALSE),
VLOOKUP(B237&amp;"; "&amp;H237&amp;", "&amp;M$214,'FE Intrants'!$G:$U,10,FALSE)),
F237*VLOOKUP(B237&amp;"; "&amp;H237&amp;", "&amp;I$214,'FE Intrants'!$G:$U,10,FALSE))</f>
        <v>0</v>
      </c>
      <c r="W237" s="565">
        <f>IFERROR(F237*SUM((VLOOKUP(B237&amp;"; "&amp;H237&amp;", "&amp;I$214,'FE Intrants'!$G:$U,11,FALSE)+VLOOKUP(B237&amp;"; "&amp;H237&amp;", "&amp;I$214,'FE Intrants'!$G:$U,12,FALSE)),
(VLOOKUP(B237&amp;"; "&amp;H237&amp;", "&amp;J$214,'FE Intrants'!$G:$U,11,FALSE)+VLOOKUP(B237&amp;"; "&amp;H237&amp;", "&amp;J$214,'FE Intrants'!$G:$U,12,FALSE)),
(VLOOKUP(B237&amp;"; "&amp;H237&amp;", "&amp;K$214,'FE Intrants'!$G:$U,11,FALSE)+VLOOKUP(B237&amp;"; "&amp;H237&amp;", "&amp;K$214,'FE Intrants'!$G:$U,12,FALSE)),
(VLOOKUP(B237&amp;"; "&amp;H237&amp;", "&amp;L$214,'FE Intrants'!$G:$U,11,FALSE)+VLOOKUP(B237&amp;"; "&amp;H237&amp;", "&amp;L$214,'FE Intrants'!$G:$U,12,FALSE)),
(VLOOKUP(B237&amp;"; "&amp;H237&amp;", "&amp;M$214,'FE Intrants'!$G:$U,11,FALSE)+VLOOKUP(B237&amp;"; "&amp;H237&amp;", "&amp;M$214,'FE Intrants'!$G:$U,12,FALSE))),
F237*VLOOKUP(B237&amp;"; "&amp;H237&amp;", "&amp;I$214,'FE Intrants'!$G:$U,11,FALSE)+VLOOKUP(B237&amp;"; "&amp;H237&amp;", "&amp;I$214,'FE Intrants'!$G:$U,12,FALSE))</f>
        <v>0</v>
      </c>
      <c r="X237" s="565">
        <f>IFERROR(F237*SUM((VLOOKUP(B237&amp;"; "&amp;H237&amp;", "&amp;I$214,'FE Intrants'!$G:$U,13,FALSE)),
VLOOKUP(B237&amp;"; "&amp;H237&amp;", "&amp;J$214,'FE Intrants'!$G:$U,13,FALSE),
VLOOKUP(B237&amp;"; "&amp;H237&amp;", "&amp;K$214,'FE Intrants'!$G:$U,13,FALSE),
VLOOKUP(B237&amp;"; "&amp;H237&amp;", "&amp;L$214,'FE Intrants'!$G:$U,13,FALSE),
VLOOKUP(B237&amp;"; "&amp;H237&amp;", "&amp;M$214,'FE Intrants'!$G:$U,13,FALSE)),
F237*VLOOKUP(B237&amp;"; "&amp;H237&amp;", "&amp;I$214,'FE Intrants'!$G:$U,13,FALSE))</f>
        <v>0</v>
      </c>
      <c r="Y237" s="565">
        <f>IFERROR(F237*SUM((VLOOKUP(B237&amp;"; "&amp;H237&amp;", "&amp;I$214,'FE Intrants'!$G:$U,14,FALSE)),
VLOOKUP(B237&amp;"; "&amp;H237&amp;", "&amp;J$214,'FE Intrants'!$G:$U,14,FALSE),
VLOOKUP(B237&amp;"; "&amp;H237&amp;", "&amp;K$214,'FE Intrants'!$G:$U,14,FALSE),
VLOOKUP(B237&amp;"; "&amp;H237&amp;", "&amp;L$214,'FE Intrants'!$G:$U,14,FALSE),
VLOOKUP(B237&amp;"; "&amp;H237&amp;", "&amp;M$214,'FE Intrants'!$G:$U,14,FALSE)),
F237*VLOOKUP(B237&amp;"; "&amp;H237&amp;", "&amp;I$214,'FE Intrants'!$G:$U,14,FALSE))</f>
        <v>0</v>
      </c>
      <c r="Z237" s="567">
        <f t="shared" si="33"/>
        <v>0</v>
      </c>
      <c r="AA237" s="590">
        <f>IFERROR(F237*SUM((VLOOKUP(B237&amp;"; "&amp;H237&amp;", "&amp;I$214,'FE Intrants'!$G:$U,15,FALSE)),
VLOOKUP(B237&amp;"; "&amp;H237&amp;", "&amp;J$214,'FE Intrants'!$G:$U,15,FALSE),
VLOOKUP(B237&amp;"; "&amp;H237&amp;", "&amp;K$214,'FE Intrants'!$G:$U,15,FALSE),
VLOOKUP(B237&amp;"; "&amp;H237&amp;", "&amp;L$214,'FE Intrants'!$G:$U,15,FALSE),
VLOOKUP(B237&amp;"; "&amp;H237&amp;", "&amp;M$214,'FE Intrants'!$G:$U,15,FALSE)),
F237*VLOOKUP(B237&amp;"; "&amp;H237&amp;", "&amp;I$214,'FE Intrants'!$G:$U,15,FALSE))</f>
        <v>0</v>
      </c>
      <c r="AC237" s="2099">
        <f>IF($R237&lt;&gt;"votre valeur :",IF(ISNA(VLOOKUP($R237,Utilitaires!$N$566:$O$571,2,FALSE)),,VLOOKUP($R237,Utilitaires!$N$566:$O$571,2,FALSE)),$S237)</f>
        <v>0</v>
      </c>
      <c r="AD237" s="1130">
        <f>SQRT(SUMSQ(AC237,VLOOKUP($B237&amp;"; "&amp;$H237&amp;", "&amp;$I$214,'FE Intrants'!G:U,7,FALSE)))</f>
        <v>0.25</v>
      </c>
    </row>
    <row r="238" spans="2:30" s="114" customFormat="1" ht="13.2" hidden="1" outlineLevel="1">
      <c r="B238" s="143" t="s">
        <v>3271</v>
      </c>
      <c r="C238" s="144"/>
      <c r="D238" s="212">
        <f t="shared" si="29"/>
        <v>0</v>
      </c>
      <c r="E238" s="212"/>
      <c r="F238" s="120"/>
      <c r="G238" s="224"/>
      <c r="H238" s="1212" t="str">
        <f>VLOOKUP(B238,'FE Intrants'!F:U,5,FALSE)</f>
        <v>kgCO2e/unité</v>
      </c>
      <c r="I238" s="212">
        <f>VLOOKUP($B238&amp;"; "&amp;$H238&amp;", "&amp;$I$214,'FE Intrants'!$G:$U,9,FALSE)*$F238</f>
        <v>0</v>
      </c>
      <c r="J238" s="212">
        <f>IF(ISNA(VLOOKUP($B238&amp;"; "&amp;$H238&amp;", "&amp;$J$214,'FE Intrants'!$G:$U,9,FALSE)),0,VLOOKUP($B238&amp;"; "&amp;$H238&amp;", "&amp;$J$214,'FE Intrants'!$G:$U,9,FALSE)*$F238)</f>
        <v>0</v>
      </c>
      <c r="K238" s="212">
        <f>IF(ISNA(VLOOKUP($B238&amp;"; "&amp;$H238&amp;", "&amp;$K$214,'FE Intrants'!$G:$U,9,FALSE)),0,VLOOKUP($B238&amp;"; "&amp;$H238&amp;", "&amp;$K$214,'FE Intrants'!$G:$U,9,FALSE)*$F238)</f>
        <v>0</v>
      </c>
      <c r="L238" s="212">
        <f>IF(ISNA(VLOOKUP($B238&amp;"; "&amp;$H238&amp;", "&amp;$L$214,'FE Intrants'!$G:$U,9,FALSE)),0,VLOOKUP($B238&amp;"; "&amp;$H238&amp;", "&amp;$L$214,'FE Intrants'!$G:$U,9,FALSE)*$F238)</f>
        <v>0</v>
      </c>
      <c r="M238" s="212">
        <f>IF(ISNA(VLOOKUP($B238&amp;"; "&amp;$H238&amp;", "&amp;$M$214,'FE Intrants'!$G:$U,9,FALSE)),0,VLOOKUP($B238&amp;"; "&amp;$H238&amp;", "&amp;$M$214,'FE Intrants'!$G:$U,9,FALSE)*$F238)</f>
        <v>0</v>
      </c>
      <c r="N238" s="1216">
        <f t="shared" si="31"/>
        <v>0</v>
      </c>
      <c r="Q238" s="319">
        <f t="shared" si="30"/>
        <v>0</v>
      </c>
      <c r="R238" s="1094"/>
      <c r="S238" s="820"/>
      <c r="T238" s="152">
        <f t="shared" si="32"/>
        <v>0</v>
      </c>
      <c r="V238" s="564">
        <f>IFERROR(F238*SUM((VLOOKUP(B238&amp;"; "&amp;H238&amp;", "&amp;I$214,'FE Intrants'!$G:$U,10,FALSE)),
VLOOKUP(B238&amp;"; "&amp;H238&amp;", "&amp;J$214,'FE Intrants'!$G:$U,10,FALSE),
VLOOKUP(B238&amp;"; "&amp;H238&amp;", "&amp;K$214,'FE Intrants'!$G:$U,10,FALSE),
VLOOKUP(B238&amp;"; "&amp;H238&amp;", "&amp;L$214,'FE Intrants'!$G:$U,10,FALSE),
VLOOKUP(B238&amp;"; "&amp;H238&amp;", "&amp;M$214,'FE Intrants'!$G:$U,10,FALSE)),
F238*VLOOKUP(B238&amp;"; "&amp;H238&amp;", "&amp;I$214,'FE Intrants'!$G:$U,10,FALSE))</f>
        <v>0</v>
      </c>
      <c r="W238" s="565">
        <f>IFERROR(F238*SUM((VLOOKUP(B238&amp;"; "&amp;H238&amp;", "&amp;I$214,'FE Intrants'!$G:$U,11,FALSE)+VLOOKUP(B238&amp;"; "&amp;H238&amp;", "&amp;I$214,'FE Intrants'!$G:$U,12,FALSE)),
(VLOOKUP(B238&amp;"; "&amp;H238&amp;", "&amp;J$214,'FE Intrants'!$G:$U,11,FALSE)+VLOOKUP(B238&amp;"; "&amp;H238&amp;", "&amp;J$214,'FE Intrants'!$G:$U,12,FALSE)),
(VLOOKUP(B238&amp;"; "&amp;H238&amp;", "&amp;K$214,'FE Intrants'!$G:$U,11,FALSE)+VLOOKUP(B238&amp;"; "&amp;H238&amp;", "&amp;K$214,'FE Intrants'!$G:$U,12,FALSE)),
(VLOOKUP(B238&amp;"; "&amp;H238&amp;", "&amp;L$214,'FE Intrants'!$G:$U,11,FALSE)+VLOOKUP(B238&amp;"; "&amp;H238&amp;", "&amp;L$214,'FE Intrants'!$G:$U,12,FALSE)),
(VLOOKUP(B238&amp;"; "&amp;H238&amp;", "&amp;M$214,'FE Intrants'!$G:$U,11,FALSE)+VLOOKUP(B238&amp;"; "&amp;H238&amp;", "&amp;M$214,'FE Intrants'!$G:$U,12,FALSE))),
F238*VLOOKUP(B238&amp;"; "&amp;H238&amp;", "&amp;I$214,'FE Intrants'!$G:$U,11,FALSE)+VLOOKUP(B238&amp;"; "&amp;H238&amp;", "&amp;I$214,'FE Intrants'!$G:$U,12,FALSE))</f>
        <v>0</v>
      </c>
      <c r="X238" s="565">
        <f>IFERROR(F238*SUM((VLOOKUP(B238&amp;"; "&amp;H238&amp;", "&amp;I$214,'FE Intrants'!$G:$U,13,FALSE)),
VLOOKUP(B238&amp;"; "&amp;H238&amp;", "&amp;J$214,'FE Intrants'!$G:$U,13,FALSE),
VLOOKUP(B238&amp;"; "&amp;H238&amp;", "&amp;K$214,'FE Intrants'!$G:$U,13,FALSE),
VLOOKUP(B238&amp;"; "&amp;H238&amp;", "&amp;L$214,'FE Intrants'!$G:$U,13,FALSE),
VLOOKUP(B238&amp;"; "&amp;H238&amp;", "&amp;M$214,'FE Intrants'!$G:$U,13,FALSE)),
F238*VLOOKUP(B238&amp;"; "&amp;H238&amp;", "&amp;I$214,'FE Intrants'!$G:$U,13,FALSE))</f>
        <v>0</v>
      </c>
      <c r="Y238" s="565">
        <f>IFERROR(F238*SUM((VLOOKUP(B238&amp;"; "&amp;H238&amp;", "&amp;I$214,'FE Intrants'!$G:$U,14,FALSE)),
VLOOKUP(B238&amp;"; "&amp;H238&amp;", "&amp;J$214,'FE Intrants'!$G:$U,14,FALSE),
VLOOKUP(B238&amp;"; "&amp;H238&amp;", "&amp;K$214,'FE Intrants'!$G:$U,14,FALSE),
VLOOKUP(B238&amp;"; "&amp;H238&amp;", "&amp;L$214,'FE Intrants'!$G:$U,14,FALSE),
VLOOKUP(B238&amp;"; "&amp;H238&amp;", "&amp;M$214,'FE Intrants'!$G:$U,14,FALSE)),
F238*VLOOKUP(B238&amp;"; "&amp;H238&amp;", "&amp;I$214,'FE Intrants'!$G:$U,14,FALSE))</f>
        <v>0</v>
      </c>
      <c r="Z238" s="567">
        <f t="shared" si="33"/>
        <v>0</v>
      </c>
      <c r="AA238" s="590">
        <f>IFERROR(F238*SUM((VLOOKUP(B238&amp;"; "&amp;H238&amp;", "&amp;I$214,'FE Intrants'!$G:$U,15,FALSE)),
VLOOKUP(B238&amp;"; "&amp;H238&amp;", "&amp;J$214,'FE Intrants'!$G:$U,15,FALSE),
VLOOKUP(B238&amp;"; "&amp;H238&amp;", "&amp;K$214,'FE Intrants'!$G:$U,15,FALSE),
VLOOKUP(B238&amp;"; "&amp;H238&amp;", "&amp;L$214,'FE Intrants'!$G:$U,15,FALSE),
VLOOKUP(B238&amp;"; "&amp;H238&amp;", "&amp;M$214,'FE Intrants'!$G:$U,15,FALSE)),
F238*VLOOKUP(B238&amp;"; "&amp;H238&amp;", "&amp;I$214,'FE Intrants'!$G:$U,15,FALSE))</f>
        <v>0</v>
      </c>
      <c r="AC238" s="2099">
        <f>IF($R238&lt;&gt;"votre valeur :",IF(ISNA(VLOOKUP($R238,Utilitaires!$N$566:$O$571,2,FALSE)),,VLOOKUP($R238,Utilitaires!$N$566:$O$571,2,FALSE)),$S238)</f>
        <v>0</v>
      </c>
      <c r="AD238" s="1130">
        <f>SQRT(SUMSQ(AC238,VLOOKUP($B238&amp;"; "&amp;$H238&amp;", "&amp;$I$214,'FE Intrants'!G:U,7,FALSE)))</f>
        <v>0.3</v>
      </c>
    </row>
    <row r="239" spans="2:30" s="114" customFormat="1" ht="13.2" hidden="1" outlineLevel="1">
      <c r="B239" s="143" t="s">
        <v>3272</v>
      </c>
      <c r="C239" s="144"/>
      <c r="D239" s="212">
        <f t="shared" si="29"/>
        <v>0</v>
      </c>
      <c r="E239" s="212"/>
      <c r="F239" s="123"/>
      <c r="G239" s="224"/>
      <c r="H239" s="1213" t="str">
        <f>VLOOKUP(B239,'FE Intrants'!F:U,5,FALSE)</f>
        <v>kgCO2e/unité</v>
      </c>
      <c r="I239" s="212">
        <f>VLOOKUP($B239&amp;"; "&amp;$H239&amp;", "&amp;$I$214,'FE Intrants'!$G:$U,9,FALSE)*$F239</f>
        <v>0</v>
      </c>
      <c r="J239" s="212">
        <f>IF(ISNA(VLOOKUP($B239&amp;"; "&amp;$H239&amp;", "&amp;$J$214,'FE Intrants'!$G:$U,9,FALSE)),0,VLOOKUP($B239&amp;"; "&amp;$H239&amp;", "&amp;$J$214,'FE Intrants'!$G:$U,9,FALSE)*$F239)</f>
        <v>0</v>
      </c>
      <c r="K239" s="212">
        <f>IF(ISNA(VLOOKUP($B239&amp;"; "&amp;$H239&amp;", "&amp;$K$214,'FE Intrants'!$G:$U,9,FALSE)),0,VLOOKUP($B239&amp;"; "&amp;$H239&amp;", "&amp;$K$214,'FE Intrants'!$G:$U,9,FALSE)*$F239)</f>
        <v>0</v>
      </c>
      <c r="L239" s="212">
        <f>IF(ISNA(VLOOKUP($B239&amp;"; "&amp;$H239&amp;", "&amp;$L$214,'FE Intrants'!$G:$U,9,FALSE)),0,VLOOKUP($B239&amp;"; "&amp;$H239&amp;", "&amp;$L$214,'FE Intrants'!$G:$U,9,FALSE)*$F239)</f>
        <v>0</v>
      </c>
      <c r="M239" s="212">
        <f>IF(ISNA(VLOOKUP($B239&amp;"; "&amp;$H239&amp;", "&amp;$M$214,'FE Intrants'!$G:$U,9,FALSE)),0,VLOOKUP($B239&amp;"; "&amp;$H239&amp;", "&amp;$M$214,'FE Intrants'!$G:$U,9,FALSE)*$F239)</f>
        <v>0</v>
      </c>
      <c r="N239" s="1216">
        <f t="shared" si="31"/>
        <v>0</v>
      </c>
      <c r="Q239" s="319">
        <f t="shared" si="30"/>
        <v>0</v>
      </c>
      <c r="R239" s="1094"/>
      <c r="S239" s="820"/>
      <c r="T239" s="152">
        <f t="shared" si="32"/>
        <v>0</v>
      </c>
      <c r="V239" s="564">
        <f>IFERROR(F239*SUM((VLOOKUP(B239&amp;"; "&amp;H239&amp;", "&amp;I$214,'FE Intrants'!$G:$U,10,FALSE)),
VLOOKUP(B239&amp;"; "&amp;H239&amp;", "&amp;J$214,'FE Intrants'!$G:$U,10,FALSE),
VLOOKUP(B239&amp;"; "&amp;H239&amp;", "&amp;K$214,'FE Intrants'!$G:$U,10,FALSE),
VLOOKUP(B239&amp;"; "&amp;H239&amp;", "&amp;L$214,'FE Intrants'!$G:$U,10,FALSE),
VLOOKUP(B239&amp;"; "&amp;H239&amp;", "&amp;M$214,'FE Intrants'!$G:$U,10,FALSE)),
F239*VLOOKUP(B239&amp;"; "&amp;H239&amp;", "&amp;I$214,'FE Intrants'!$G:$U,10,FALSE))</f>
        <v>0</v>
      </c>
      <c r="W239" s="565">
        <f>IFERROR(F239*SUM((VLOOKUP(B239&amp;"; "&amp;H239&amp;", "&amp;I$214,'FE Intrants'!$G:$U,11,FALSE)+VLOOKUP(B239&amp;"; "&amp;H239&amp;", "&amp;I$214,'FE Intrants'!$G:$U,12,FALSE)),
(VLOOKUP(B239&amp;"; "&amp;H239&amp;", "&amp;J$214,'FE Intrants'!$G:$U,11,FALSE)+VLOOKUP(B239&amp;"; "&amp;H239&amp;", "&amp;J$214,'FE Intrants'!$G:$U,12,FALSE)),
(VLOOKUP(B239&amp;"; "&amp;H239&amp;", "&amp;K$214,'FE Intrants'!$G:$U,11,FALSE)+VLOOKUP(B239&amp;"; "&amp;H239&amp;", "&amp;K$214,'FE Intrants'!$G:$U,12,FALSE)),
(VLOOKUP(B239&amp;"; "&amp;H239&amp;", "&amp;L$214,'FE Intrants'!$G:$U,11,FALSE)+VLOOKUP(B239&amp;"; "&amp;H239&amp;", "&amp;L$214,'FE Intrants'!$G:$U,12,FALSE)),
(VLOOKUP(B239&amp;"; "&amp;H239&amp;", "&amp;M$214,'FE Intrants'!$G:$U,11,FALSE)+VLOOKUP(B239&amp;"; "&amp;H239&amp;", "&amp;M$214,'FE Intrants'!$G:$U,12,FALSE))),
F239*VLOOKUP(B239&amp;"; "&amp;H239&amp;", "&amp;I$214,'FE Intrants'!$G:$U,11,FALSE)+VLOOKUP(B239&amp;"; "&amp;H239&amp;", "&amp;I$214,'FE Intrants'!$G:$U,12,FALSE))</f>
        <v>0</v>
      </c>
      <c r="X239" s="565">
        <f>IFERROR(F239*SUM((VLOOKUP(B239&amp;"; "&amp;H239&amp;", "&amp;I$214,'FE Intrants'!$G:$U,13,FALSE)),
VLOOKUP(B239&amp;"; "&amp;H239&amp;", "&amp;J$214,'FE Intrants'!$G:$U,13,FALSE),
VLOOKUP(B239&amp;"; "&amp;H239&amp;", "&amp;K$214,'FE Intrants'!$G:$U,13,FALSE),
VLOOKUP(B239&amp;"; "&amp;H239&amp;", "&amp;L$214,'FE Intrants'!$G:$U,13,FALSE),
VLOOKUP(B239&amp;"; "&amp;H239&amp;", "&amp;M$214,'FE Intrants'!$G:$U,13,FALSE)),
F239*VLOOKUP(B239&amp;"; "&amp;H239&amp;", "&amp;I$214,'FE Intrants'!$G:$U,13,FALSE))</f>
        <v>0</v>
      </c>
      <c r="Y239" s="565">
        <f>IFERROR(F239*SUM((VLOOKUP(B239&amp;"; "&amp;H239&amp;", "&amp;I$214,'FE Intrants'!$G:$U,14,FALSE)),
VLOOKUP(B239&amp;"; "&amp;H239&amp;", "&amp;J$214,'FE Intrants'!$G:$U,14,FALSE),
VLOOKUP(B239&amp;"; "&amp;H239&amp;", "&amp;K$214,'FE Intrants'!$G:$U,14,FALSE),
VLOOKUP(B239&amp;"; "&amp;H239&amp;", "&amp;L$214,'FE Intrants'!$G:$U,14,FALSE),
VLOOKUP(B239&amp;"; "&amp;H239&amp;", "&amp;M$214,'FE Intrants'!$G:$U,14,FALSE)),
F239*VLOOKUP(B239&amp;"; "&amp;H239&amp;", "&amp;I$214,'FE Intrants'!$G:$U,14,FALSE))</f>
        <v>0</v>
      </c>
      <c r="Z239" s="567">
        <f t="shared" si="33"/>
        <v>0</v>
      </c>
      <c r="AA239" s="590">
        <f>IFERROR(F239*SUM((VLOOKUP(B239&amp;"; "&amp;H239&amp;", "&amp;I$214,'FE Intrants'!$G:$U,15,FALSE)),
VLOOKUP(B239&amp;"; "&amp;H239&amp;", "&amp;J$214,'FE Intrants'!$G:$U,15,FALSE),
VLOOKUP(B239&amp;"; "&amp;H239&amp;", "&amp;K$214,'FE Intrants'!$G:$U,15,FALSE),
VLOOKUP(B239&amp;"; "&amp;H239&amp;", "&amp;L$214,'FE Intrants'!$G:$U,15,FALSE),
VLOOKUP(B239&amp;"; "&amp;H239&amp;", "&amp;M$214,'FE Intrants'!$G:$U,15,FALSE)),
F239*VLOOKUP(B239&amp;"; "&amp;H239&amp;", "&amp;I$214,'FE Intrants'!$G:$U,15,FALSE))</f>
        <v>0</v>
      </c>
      <c r="AC239" s="2099">
        <f>IF($R239&lt;&gt;"votre valeur :",IF(ISNA(VLOOKUP($R239,Utilitaires!$N$566:$O$571,2,FALSE)),,VLOOKUP($R239,Utilitaires!$N$566:$O$571,2,FALSE)),$S239)</f>
        <v>0</v>
      </c>
      <c r="AD239" s="1130">
        <f>SQRT(SUMSQ(AC239,VLOOKUP($B239&amp;"; "&amp;$H239&amp;", "&amp;$I$214,'FE Intrants'!G:U,7,FALSE)))</f>
        <v>0.25</v>
      </c>
    </row>
    <row r="240" spans="2:30" s="114" customFormat="1" ht="13.2" hidden="1" outlineLevel="1">
      <c r="B240" s="143"/>
      <c r="C240" s="144"/>
      <c r="D240" s="212"/>
      <c r="E240" s="212"/>
      <c r="F240" s="212"/>
      <c r="G240" s="224"/>
      <c r="H240" s="212"/>
      <c r="I240" s="212"/>
      <c r="J240" s="212"/>
      <c r="K240" s="212"/>
      <c r="L240" s="212"/>
      <c r="M240" s="212"/>
      <c r="N240" s="1216"/>
      <c r="Q240" s="319"/>
      <c r="R240" s="820"/>
      <c r="S240" s="820"/>
      <c r="T240" s="152"/>
      <c r="V240" s="564"/>
      <c r="W240" s="565"/>
      <c r="X240" s="565"/>
      <c r="Y240" s="565"/>
      <c r="Z240" s="567"/>
      <c r="AA240" s="590"/>
      <c r="AC240" s="2099"/>
      <c r="AD240" s="1130"/>
    </row>
    <row r="241" spans="2:30" s="114" customFormat="1" ht="13.2" hidden="1" outlineLevel="1">
      <c r="B241" s="1002" t="s">
        <v>3274</v>
      </c>
      <c r="C241" s="144"/>
      <c r="D241" s="212"/>
      <c r="E241" s="212"/>
      <c r="F241" s="212"/>
      <c r="G241" s="224"/>
      <c r="H241" s="212"/>
      <c r="I241" s="212"/>
      <c r="J241" s="212"/>
      <c r="K241" s="212"/>
      <c r="L241" s="212"/>
      <c r="M241" s="212"/>
      <c r="N241" s="1216"/>
      <c r="Q241" s="319"/>
      <c r="R241" s="820"/>
      <c r="S241" s="820"/>
      <c r="T241" s="152"/>
      <c r="V241" s="564"/>
      <c r="W241" s="565"/>
      <c r="X241" s="565"/>
      <c r="Y241" s="565"/>
      <c r="Z241" s="567"/>
      <c r="AA241" s="590"/>
      <c r="AC241" s="2099"/>
      <c r="AD241" s="1130"/>
    </row>
    <row r="242" spans="2:30" s="114" customFormat="1" ht="13.2" hidden="1" outlineLevel="1">
      <c r="B242" s="143" t="s">
        <v>3275</v>
      </c>
      <c r="C242" s="144"/>
      <c r="D242" s="212">
        <f t="shared" si="29"/>
        <v>0</v>
      </c>
      <c r="E242" s="212"/>
      <c r="F242" s="117"/>
      <c r="G242" s="224"/>
      <c r="H242" s="1211" t="str">
        <f>VLOOKUP(B242,'FE Intrants'!F:U,5,FALSE)</f>
        <v>kgCO2e/unité</v>
      </c>
      <c r="I242" s="212">
        <f>VLOOKUP($B242&amp;"; "&amp;$H242&amp;", "&amp;$I$214,'FE Intrants'!$G:$U,9,FALSE)*$F242</f>
        <v>0</v>
      </c>
      <c r="J242" s="212">
        <f>IF(ISNA(VLOOKUP($B242&amp;"; "&amp;$H242&amp;", "&amp;$J$214,'FE Intrants'!$G:$U,9,FALSE)),0,VLOOKUP($B242&amp;"; "&amp;$H242&amp;", "&amp;$J$214,'FE Intrants'!$G:$U,9,FALSE)*$F242)</f>
        <v>0</v>
      </c>
      <c r="K242" s="212">
        <f>IF(ISNA(VLOOKUP($B242&amp;"; "&amp;$H242&amp;", "&amp;$K$214,'FE Intrants'!$G:$U,9,FALSE)),0,VLOOKUP($B242&amp;"; "&amp;$H242&amp;", "&amp;$K$214,'FE Intrants'!$G:$U,9,FALSE)*$F242)</f>
        <v>0</v>
      </c>
      <c r="L242" s="212">
        <f>IF(ISNA(VLOOKUP($B242&amp;"; "&amp;$H242&amp;", "&amp;$L$214,'FE Intrants'!$G:$U,9,FALSE)),0,VLOOKUP($B242&amp;"; "&amp;$H242&amp;", "&amp;$L$214,'FE Intrants'!$G:$U,9,FALSE)*$F242)</f>
        <v>0</v>
      </c>
      <c r="M242" s="212">
        <f>IF(ISNA(VLOOKUP($B242&amp;"; "&amp;$H242&amp;", "&amp;$M$214,'FE Intrants'!$G:$U,9,FALSE)),0,VLOOKUP($B242&amp;"; "&amp;$H242&amp;", "&amp;$M$214,'FE Intrants'!$G:$U,9,FALSE)*$F242)</f>
        <v>0</v>
      </c>
      <c r="N242" s="1216">
        <f t="shared" si="31"/>
        <v>0</v>
      </c>
      <c r="Q242" s="319">
        <f t="shared" si="30"/>
        <v>0</v>
      </c>
      <c r="R242" s="1094"/>
      <c r="S242" s="820"/>
      <c r="T242" s="152">
        <f t="shared" si="32"/>
        <v>0</v>
      </c>
      <c r="V242" s="564">
        <f>IFERROR(F242*SUM((VLOOKUP(B242&amp;"; "&amp;H242&amp;", "&amp;I$214,'FE Intrants'!$G:$U,10,FALSE)),
VLOOKUP(B242&amp;"; "&amp;H242&amp;", "&amp;J$214,'FE Intrants'!$G:$U,10,FALSE),
VLOOKUP(B242&amp;"; "&amp;H242&amp;", "&amp;K$214,'FE Intrants'!$G:$U,10,FALSE),
VLOOKUP(B242&amp;"; "&amp;H242&amp;", "&amp;L$214,'FE Intrants'!$G:$U,10,FALSE),
VLOOKUP(B242&amp;"; "&amp;H242&amp;", "&amp;M$214,'FE Intrants'!$G:$U,10,FALSE)),
F242*VLOOKUP(B242&amp;"; "&amp;H242&amp;", "&amp;I$214,'FE Intrants'!$G:$U,10,FALSE))</f>
        <v>0</v>
      </c>
      <c r="W242" s="565">
        <f>IFERROR(F242*SUM((VLOOKUP(B242&amp;"; "&amp;H242&amp;", "&amp;I$214,'FE Intrants'!$G:$U,11,FALSE)+VLOOKUP(B242&amp;"; "&amp;H242&amp;", "&amp;I$214,'FE Intrants'!$G:$U,12,FALSE)),
(VLOOKUP(B242&amp;"; "&amp;H242&amp;", "&amp;J$214,'FE Intrants'!$G:$U,11,FALSE)+VLOOKUP(B242&amp;"; "&amp;H242&amp;", "&amp;J$214,'FE Intrants'!$G:$U,12,FALSE)),
(VLOOKUP(B242&amp;"; "&amp;H242&amp;", "&amp;K$214,'FE Intrants'!$G:$U,11,FALSE)+VLOOKUP(B242&amp;"; "&amp;H242&amp;", "&amp;K$214,'FE Intrants'!$G:$U,12,FALSE)),
(VLOOKUP(B242&amp;"; "&amp;H242&amp;", "&amp;L$214,'FE Intrants'!$G:$U,11,FALSE)+VLOOKUP(B242&amp;"; "&amp;H242&amp;", "&amp;L$214,'FE Intrants'!$G:$U,12,FALSE)),
(VLOOKUP(B242&amp;"; "&amp;H242&amp;", "&amp;M$214,'FE Intrants'!$G:$U,11,FALSE)+VLOOKUP(B242&amp;"; "&amp;H242&amp;", "&amp;M$214,'FE Intrants'!$G:$U,12,FALSE))),
F242*VLOOKUP(B242&amp;"; "&amp;H242&amp;", "&amp;I$214,'FE Intrants'!$G:$U,11,FALSE)+VLOOKUP(B242&amp;"; "&amp;H242&amp;", "&amp;I$214,'FE Intrants'!$G:$U,12,FALSE))</f>
        <v>0</v>
      </c>
      <c r="X242" s="565">
        <f>IFERROR(F242*SUM((VLOOKUP(B242&amp;"; "&amp;H242&amp;", "&amp;I$214,'FE Intrants'!$G:$U,13,FALSE)),
VLOOKUP(B242&amp;"; "&amp;H242&amp;", "&amp;J$214,'FE Intrants'!$G:$U,13,FALSE),
VLOOKUP(B242&amp;"; "&amp;H242&amp;", "&amp;K$214,'FE Intrants'!$G:$U,13,FALSE),
VLOOKUP(B242&amp;"; "&amp;H242&amp;", "&amp;L$214,'FE Intrants'!$G:$U,13,FALSE),
VLOOKUP(B242&amp;"; "&amp;H242&amp;", "&amp;M$214,'FE Intrants'!$G:$U,13,FALSE)),
F242*VLOOKUP(B242&amp;"; "&amp;H242&amp;", "&amp;I$214,'FE Intrants'!$G:$U,13,FALSE))</f>
        <v>0</v>
      </c>
      <c r="Y242" s="565">
        <f>IFERROR(F242*SUM((VLOOKUP(B242&amp;"; "&amp;H242&amp;", "&amp;I$214,'FE Intrants'!$G:$U,14,FALSE)),
VLOOKUP(B242&amp;"; "&amp;H242&amp;", "&amp;J$214,'FE Intrants'!$G:$U,14,FALSE),
VLOOKUP(B242&amp;"; "&amp;H242&amp;", "&amp;K$214,'FE Intrants'!$G:$U,14,FALSE),
VLOOKUP(B242&amp;"; "&amp;H242&amp;", "&amp;L$214,'FE Intrants'!$G:$U,14,FALSE),
VLOOKUP(B242&amp;"; "&amp;H242&amp;", "&amp;M$214,'FE Intrants'!$G:$U,14,FALSE)),
F242*VLOOKUP(B242&amp;"; "&amp;H242&amp;", "&amp;I$214,'FE Intrants'!$G:$U,14,FALSE))</f>
        <v>0</v>
      </c>
      <c r="Z242" s="567">
        <f t="shared" si="33"/>
        <v>0</v>
      </c>
      <c r="AA242" s="590">
        <f>IFERROR(F242*SUM((VLOOKUP(B242&amp;"; "&amp;H242&amp;", "&amp;I$214,'FE Intrants'!$G:$U,15,FALSE)),
VLOOKUP(B242&amp;"; "&amp;H242&amp;", "&amp;J$214,'FE Intrants'!$G:$U,15,FALSE),
VLOOKUP(B242&amp;"; "&amp;H242&amp;", "&amp;K$214,'FE Intrants'!$G:$U,15,FALSE),
VLOOKUP(B242&amp;"; "&amp;H242&amp;", "&amp;L$214,'FE Intrants'!$G:$U,15,FALSE),
VLOOKUP(B242&amp;"; "&amp;H242&amp;", "&amp;M$214,'FE Intrants'!$G:$U,15,FALSE)),
F242*VLOOKUP(B242&amp;"; "&amp;H242&amp;", "&amp;I$214,'FE Intrants'!$G:$U,15,FALSE))</f>
        <v>0</v>
      </c>
      <c r="AC242" s="2099">
        <f>IF($R242&lt;&gt;"votre valeur :",IF(ISNA(VLOOKUP($R242,Utilitaires!$N$566:$O$571,2,FALSE)),,VLOOKUP($R242,Utilitaires!$N$566:$O$571,2,FALSE)),$S242)</f>
        <v>0</v>
      </c>
      <c r="AD242" s="1130">
        <f>SQRT(SUMSQ(AC242,VLOOKUP($B242&amp;"; "&amp;$H242&amp;", "&amp;$I$214,'FE Intrants'!G:U,7,FALSE)))</f>
        <v>0.15</v>
      </c>
    </row>
    <row r="243" spans="2:30" s="114" customFormat="1" ht="13.2" hidden="1" outlineLevel="1">
      <c r="B243" s="143" t="s">
        <v>3276</v>
      </c>
      <c r="C243" s="144"/>
      <c r="D243" s="212">
        <f t="shared" si="29"/>
        <v>0</v>
      </c>
      <c r="E243" s="212"/>
      <c r="F243" s="120"/>
      <c r="G243" s="224"/>
      <c r="H243" s="1212" t="str">
        <f>VLOOKUP(B243,'FE Intrants'!F:U,5,FALSE)</f>
        <v>kgCO2e/unité</v>
      </c>
      <c r="I243" s="212">
        <f>VLOOKUP($B243&amp;"; "&amp;$H243&amp;", "&amp;$I$214,'FE Intrants'!$G:$U,9,FALSE)*$F243</f>
        <v>0</v>
      </c>
      <c r="J243" s="212">
        <f>IF(ISNA(VLOOKUP($B243&amp;"; "&amp;$H243&amp;", "&amp;$J$214,'FE Intrants'!$G:$U,9,FALSE)),0,VLOOKUP($B243&amp;"; "&amp;$H243&amp;", "&amp;$J$214,'FE Intrants'!$G:$U,9,FALSE)*$F243)</f>
        <v>0</v>
      </c>
      <c r="K243" s="212">
        <f>IF(ISNA(VLOOKUP($B243&amp;"; "&amp;$H243&amp;", "&amp;$K$214,'FE Intrants'!$G:$U,9,FALSE)),0,VLOOKUP($B243&amp;"; "&amp;$H243&amp;", "&amp;$K$214,'FE Intrants'!$G:$U,9,FALSE)*$F243)</f>
        <v>0</v>
      </c>
      <c r="L243" s="212">
        <f>IF(ISNA(VLOOKUP($B243&amp;"; "&amp;$H243&amp;", "&amp;$L$214,'FE Intrants'!$G:$U,9,FALSE)),0,VLOOKUP($B243&amp;"; "&amp;$H243&amp;", "&amp;$L$214,'FE Intrants'!$G:$U,9,FALSE)*$F243)</f>
        <v>0</v>
      </c>
      <c r="M243" s="212">
        <f>IF(ISNA(VLOOKUP($B243&amp;"; "&amp;$H243&amp;", "&amp;$M$214,'FE Intrants'!$G:$U,9,FALSE)),0,VLOOKUP($B243&amp;"; "&amp;$H243&amp;", "&amp;$M$214,'FE Intrants'!$G:$U,9,FALSE)*$F243)</f>
        <v>0</v>
      </c>
      <c r="N243" s="1216">
        <f t="shared" si="31"/>
        <v>0</v>
      </c>
      <c r="Q243" s="319">
        <f t="shared" si="30"/>
        <v>0</v>
      </c>
      <c r="R243" s="1094"/>
      <c r="S243" s="820"/>
      <c r="T243" s="152">
        <f t="shared" si="32"/>
        <v>0</v>
      </c>
      <c r="V243" s="564">
        <f>IFERROR(F243*SUM((VLOOKUP(B243&amp;"; "&amp;H243&amp;", "&amp;I$214,'FE Intrants'!$G:$U,10,FALSE)),
VLOOKUP(B243&amp;"; "&amp;H243&amp;", "&amp;J$214,'FE Intrants'!$G:$U,10,FALSE),
VLOOKUP(B243&amp;"; "&amp;H243&amp;", "&amp;K$214,'FE Intrants'!$G:$U,10,FALSE),
VLOOKUP(B243&amp;"; "&amp;H243&amp;", "&amp;L$214,'FE Intrants'!$G:$U,10,FALSE),
VLOOKUP(B243&amp;"; "&amp;H243&amp;", "&amp;M$214,'FE Intrants'!$G:$U,10,FALSE)),
F243*VLOOKUP(B243&amp;"; "&amp;H243&amp;", "&amp;I$214,'FE Intrants'!$G:$U,10,FALSE))</f>
        <v>0</v>
      </c>
      <c r="W243" s="565">
        <f>IFERROR(F243*SUM((VLOOKUP(B243&amp;"; "&amp;H243&amp;", "&amp;I$214,'FE Intrants'!$G:$U,11,FALSE)+VLOOKUP(B243&amp;"; "&amp;H243&amp;", "&amp;I$214,'FE Intrants'!$G:$U,12,FALSE)),
(VLOOKUP(B243&amp;"; "&amp;H243&amp;", "&amp;J$214,'FE Intrants'!$G:$U,11,FALSE)+VLOOKUP(B243&amp;"; "&amp;H243&amp;", "&amp;J$214,'FE Intrants'!$G:$U,12,FALSE)),
(VLOOKUP(B243&amp;"; "&amp;H243&amp;", "&amp;K$214,'FE Intrants'!$G:$U,11,FALSE)+VLOOKUP(B243&amp;"; "&amp;H243&amp;", "&amp;K$214,'FE Intrants'!$G:$U,12,FALSE)),
(VLOOKUP(B243&amp;"; "&amp;H243&amp;", "&amp;L$214,'FE Intrants'!$G:$U,11,FALSE)+VLOOKUP(B243&amp;"; "&amp;H243&amp;", "&amp;L$214,'FE Intrants'!$G:$U,12,FALSE)),
(VLOOKUP(B243&amp;"; "&amp;H243&amp;", "&amp;M$214,'FE Intrants'!$G:$U,11,FALSE)+VLOOKUP(B243&amp;"; "&amp;H243&amp;", "&amp;M$214,'FE Intrants'!$G:$U,12,FALSE))),
F243*VLOOKUP(B243&amp;"; "&amp;H243&amp;", "&amp;I$214,'FE Intrants'!$G:$U,11,FALSE)+VLOOKUP(B243&amp;"; "&amp;H243&amp;", "&amp;I$214,'FE Intrants'!$G:$U,12,FALSE))</f>
        <v>0</v>
      </c>
      <c r="X243" s="565">
        <f>IFERROR(F243*SUM((VLOOKUP(B243&amp;"; "&amp;H243&amp;", "&amp;I$214,'FE Intrants'!$G:$U,13,FALSE)),
VLOOKUP(B243&amp;"; "&amp;H243&amp;", "&amp;J$214,'FE Intrants'!$G:$U,13,FALSE),
VLOOKUP(B243&amp;"; "&amp;H243&amp;", "&amp;K$214,'FE Intrants'!$G:$U,13,FALSE),
VLOOKUP(B243&amp;"; "&amp;H243&amp;", "&amp;L$214,'FE Intrants'!$G:$U,13,FALSE),
VLOOKUP(B243&amp;"; "&amp;H243&amp;", "&amp;M$214,'FE Intrants'!$G:$U,13,FALSE)),
F243*VLOOKUP(B243&amp;"; "&amp;H243&amp;", "&amp;I$214,'FE Intrants'!$G:$U,13,FALSE))</f>
        <v>0</v>
      </c>
      <c r="Y243" s="565">
        <f>IFERROR(F243*SUM((VLOOKUP(B243&amp;"; "&amp;H243&amp;", "&amp;I$214,'FE Intrants'!$G:$U,14,FALSE)),
VLOOKUP(B243&amp;"; "&amp;H243&amp;", "&amp;J$214,'FE Intrants'!$G:$U,14,FALSE),
VLOOKUP(B243&amp;"; "&amp;H243&amp;", "&amp;K$214,'FE Intrants'!$G:$U,14,FALSE),
VLOOKUP(B243&amp;"; "&amp;H243&amp;", "&amp;L$214,'FE Intrants'!$G:$U,14,FALSE),
VLOOKUP(B243&amp;"; "&amp;H243&amp;", "&amp;M$214,'FE Intrants'!$G:$U,14,FALSE)),
F243*VLOOKUP(B243&amp;"; "&amp;H243&amp;", "&amp;I$214,'FE Intrants'!$G:$U,14,FALSE))</f>
        <v>0</v>
      </c>
      <c r="Z243" s="567">
        <f t="shared" si="33"/>
        <v>0</v>
      </c>
      <c r="AA243" s="590">
        <f>IFERROR(F243*SUM((VLOOKUP(B243&amp;"; "&amp;H243&amp;", "&amp;I$214,'FE Intrants'!$G:$U,15,FALSE)),
VLOOKUP(B243&amp;"; "&amp;H243&amp;", "&amp;J$214,'FE Intrants'!$G:$U,15,FALSE),
VLOOKUP(B243&amp;"; "&amp;H243&amp;", "&amp;K$214,'FE Intrants'!$G:$U,15,FALSE),
VLOOKUP(B243&amp;"; "&amp;H243&amp;", "&amp;L$214,'FE Intrants'!$G:$U,15,FALSE),
VLOOKUP(B243&amp;"; "&amp;H243&amp;", "&amp;M$214,'FE Intrants'!$G:$U,15,FALSE)),
F243*VLOOKUP(B243&amp;"; "&amp;H243&amp;", "&amp;I$214,'FE Intrants'!$G:$U,15,FALSE))</f>
        <v>0</v>
      </c>
      <c r="AC243" s="2099">
        <f>IF($R243&lt;&gt;"votre valeur :",IF(ISNA(VLOOKUP($R243,Utilitaires!$N$566:$O$571,2,FALSE)),,VLOOKUP($R243,Utilitaires!$N$566:$O$571,2,FALSE)),$S243)</f>
        <v>0</v>
      </c>
      <c r="AD243" s="1130">
        <f>SQRT(SUMSQ(AC243,VLOOKUP($B243&amp;"; "&amp;$H243&amp;", "&amp;$I$214,'FE Intrants'!G:U,7,FALSE)))</f>
        <v>0.6</v>
      </c>
    </row>
    <row r="244" spans="2:30" s="114" customFormat="1" ht="13.2" hidden="1" outlineLevel="1">
      <c r="B244" s="143" t="s">
        <v>3277</v>
      </c>
      <c r="C244" s="144"/>
      <c r="D244" s="212">
        <f t="shared" si="29"/>
        <v>0</v>
      </c>
      <c r="E244" s="212"/>
      <c r="F244" s="123"/>
      <c r="G244" s="224"/>
      <c r="H244" s="1213" t="str">
        <f>VLOOKUP(B244,'FE Intrants'!F:U,5,FALSE)</f>
        <v>kgCO2e/kg de cuir traité</v>
      </c>
      <c r="I244" s="212">
        <f>VLOOKUP($B244&amp;"; "&amp;$H244&amp;", "&amp;$I$214,'FE Intrants'!$G:$U,9,FALSE)*$F244</f>
        <v>0</v>
      </c>
      <c r="J244" s="212">
        <f>IF(ISNA(VLOOKUP($B244&amp;"; "&amp;$H244&amp;", "&amp;$J$214,'FE Intrants'!$G:$U,9,FALSE)),0,VLOOKUP($B244&amp;"; "&amp;$H244&amp;", "&amp;$J$214,'FE Intrants'!$G:$U,9,FALSE)*$F244)</f>
        <v>0</v>
      </c>
      <c r="K244" s="212">
        <f>IF(ISNA(VLOOKUP($B244&amp;"; "&amp;$H244&amp;", "&amp;$K$214,'FE Intrants'!$G:$U,9,FALSE)),0,VLOOKUP($B244&amp;"; "&amp;$H244&amp;", "&amp;$K$214,'FE Intrants'!$G:$U,9,FALSE)*$F244)</f>
        <v>0</v>
      </c>
      <c r="L244" s="212">
        <f>IF(ISNA(VLOOKUP($B244&amp;"; "&amp;$H244&amp;", "&amp;$L$214,'FE Intrants'!$G:$U,9,FALSE)),0,VLOOKUP($B244&amp;"; "&amp;$H244&amp;", "&amp;$L$214,'FE Intrants'!$G:$U,9,FALSE)*$F244)</f>
        <v>0</v>
      </c>
      <c r="M244" s="212">
        <f>IF(ISNA(VLOOKUP($B244&amp;"; "&amp;$H244&amp;", "&amp;$M$214,'FE Intrants'!$G:$U,9,FALSE)),0,VLOOKUP($B244&amp;"; "&amp;$H244&amp;", "&amp;$M$214,'FE Intrants'!$G:$U,9,FALSE)*$F244)</f>
        <v>0</v>
      </c>
      <c r="N244" s="1216">
        <f t="shared" si="31"/>
        <v>0</v>
      </c>
      <c r="Q244" s="319">
        <f t="shared" si="30"/>
        <v>0</v>
      </c>
      <c r="R244" s="1094"/>
      <c r="S244" s="820"/>
      <c r="T244" s="152">
        <f t="shared" si="32"/>
        <v>0</v>
      </c>
      <c r="V244" s="564">
        <f>IFERROR(F244*SUM((VLOOKUP(B244&amp;"; "&amp;H244&amp;", "&amp;I$214,'FE Intrants'!$G:$U,10,FALSE)),
VLOOKUP(B244&amp;"; "&amp;H244&amp;", "&amp;J$214,'FE Intrants'!$G:$U,10,FALSE),
VLOOKUP(B244&amp;"; "&amp;H244&amp;", "&amp;K$214,'FE Intrants'!$G:$U,10,FALSE),
VLOOKUP(B244&amp;"; "&amp;H244&amp;", "&amp;L$214,'FE Intrants'!$G:$U,10,FALSE),
VLOOKUP(B244&amp;"; "&amp;H244&amp;", "&amp;M$214,'FE Intrants'!$G:$U,10,FALSE)),
F244*VLOOKUP(B244&amp;"; "&amp;H244&amp;", "&amp;I$214,'FE Intrants'!$G:$U,10,FALSE))</f>
        <v>0</v>
      </c>
      <c r="W244" s="565">
        <f>IFERROR(F244*SUM((VLOOKUP(B244&amp;"; "&amp;H244&amp;", "&amp;I$214,'FE Intrants'!$G:$U,11,FALSE)+VLOOKUP(B244&amp;"; "&amp;H244&amp;", "&amp;I$214,'FE Intrants'!$G:$U,12,FALSE)),
(VLOOKUP(B244&amp;"; "&amp;H244&amp;", "&amp;J$214,'FE Intrants'!$G:$U,11,FALSE)+VLOOKUP(B244&amp;"; "&amp;H244&amp;", "&amp;J$214,'FE Intrants'!$G:$U,12,FALSE)),
(VLOOKUP(B244&amp;"; "&amp;H244&amp;", "&amp;K$214,'FE Intrants'!$G:$U,11,FALSE)+VLOOKUP(B244&amp;"; "&amp;H244&amp;", "&amp;K$214,'FE Intrants'!$G:$U,12,FALSE)),
(VLOOKUP(B244&amp;"; "&amp;H244&amp;", "&amp;L$214,'FE Intrants'!$G:$U,11,FALSE)+VLOOKUP(B244&amp;"; "&amp;H244&amp;", "&amp;L$214,'FE Intrants'!$G:$U,12,FALSE)),
(VLOOKUP(B244&amp;"; "&amp;H244&amp;", "&amp;M$214,'FE Intrants'!$G:$U,11,FALSE)+VLOOKUP(B244&amp;"; "&amp;H244&amp;", "&amp;M$214,'FE Intrants'!$G:$U,12,FALSE))),
F244*VLOOKUP(B244&amp;"; "&amp;H244&amp;", "&amp;I$214,'FE Intrants'!$G:$U,11,FALSE)+VLOOKUP(B244&amp;"; "&amp;H244&amp;", "&amp;I$214,'FE Intrants'!$G:$U,12,FALSE))</f>
        <v>0</v>
      </c>
      <c r="X244" s="565">
        <f>IFERROR(F244*SUM((VLOOKUP(B244&amp;"; "&amp;H244&amp;", "&amp;I$214,'FE Intrants'!$G:$U,13,FALSE)),
VLOOKUP(B244&amp;"; "&amp;H244&amp;", "&amp;J$214,'FE Intrants'!$G:$U,13,FALSE),
VLOOKUP(B244&amp;"; "&amp;H244&amp;", "&amp;K$214,'FE Intrants'!$G:$U,13,FALSE),
VLOOKUP(B244&amp;"; "&amp;H244&amp;", "&amp;L$214,'FE Intrants'!$G:$U,13,FALSE),
VLOOKUP(B244&amp;"; "&amp;H244&amp;", "&amp;M$214,'FE Intrants'!$G:$U,13,FALSE)),
F244*VLOOKUP(B244&amp;"; "&amp;H244&amp;", "&amp;I$214,'FE Intrants'!$G:$U,13,FALSE))</f>
        <v>0</v>
      </c>
      <c r="Y244" s="565">
        <f>IFERROR(F244*SUM((VLOOKUP(B244&amp;"; "&amp;H244&amp;", "&amp;I$214,'FE Intrants'!$G:$U,14,FALSE)),
VLOOKUP(B244&amp;"; "&amp;H244&amp;", "&amp;J$214,'FE Intrants'!$G:$U,14,FALSE),
VLOOKUP(B244&amp;"; "&amp;H244&amp;", "&amp;K$214,'FE Intrants'!$G:$U,14,FALSE),
VLOOKUP(B244&amp;"; "&amp;H244&amp;", "&amp;L$214,'FE Intrants'!$G:$U,14,FALSE),
VLOOKUP(B244&amp;"; "&amp;H244&amp;", "&amp;M$214,'FE Intrants'!$G:$U,14,FALSE)),
F244*VLOOKUP(B244&amp;"; "&amp;H244&amp;", "&amp;I$214,'FE Intrants'!$G:$U,14,FALSE))</f>
        <v>0</v>
      </c>
      <c r="Z244" s="567">
        <f t="shared" si="33"/>
        <v>0</v>
      </c>
      <c r="AA244" s="590">
        <f>IFERROR(F244*SUM((VLOOKUP(B244&amp;"; "&amp;H244&amp;", "&amp;I$214,'FE Intrants'!$G:$U,15,FALSE)),
VLOOKUP(B244&amp;"; "&amp;H244&amp;", "&amp;J$214,'FE Intrants'!$G:$U,15,FALSE),
VLOOKUP(B244&amp;"; "&amp;H244&amp;", "&amp;K$214,'FE Intrants'!$G:$U,15,FALSE),
VLOOKUP(B244&amp;"; "&amp;H244&amp;", "&amp;L$214,'FE Intrants'!$G:$U,15,FALSE),
VLOOKUP(B244&amp;"; "&amp;H244&amp;", "&amp;M$214,'FE Intrants'!$G:$U,15,FALSE)),
F244*VLOOKUP(B244&amp;"; "&amp;H244&amp;", "&amp;I$214,'FE Intrants'!$G:$U,15,FALSE))</f>
        <v>0</v>
      </c>
      <c r="AC244" s="2099">
        <f>IF($R244&lt;&gt;"votre valeur :",IF(ISNA(VLOOKUP($R244,Utilitaires!$N$566:$O$571,2,FALSE)),,VLOOKUP($R244,Utilitaires!$N$566:$O$571,2,FALSE)),$S244)</f>
        <v>0</v>
      </c>
      <c r="AD244" s="1130">
        <f>SQRT(SUMSQ(AC244,VLOOKUP($B244&amp;"; "&amp;$H244&amp;", "&amp;$I$214,'FE Intrants'!G:U,7,FALSE)))</f>
        <v>0.5</v>
      </c>
    </row>
    <row r="245" spans="2:30" s="114" customFormat="1" ht="13.2" hidden="1" outlineLevel="1">
      <c r="B245" s="143"/>
      <c r="C245" s="144"/>
      <c r="D245" s="212"/>
      <c r="E245" s="212"/>
      <c r="F245" s="212"/>
      <c r="G245" s="224"/>
      <c r="H245" s="212"/>
      <c r="I245" s="212"/>
      <c r="J245" s="212"/>
      <c r="K245" s="212"/>
      <c r="L245" s="212"/>
      <c r="M245" s="212"/>
      <c r="N245" s="1216"/>
      <c r="Q245" s="319"/>
      <c r="R245" s="820"/>
      <c r="S245" s="820"/>
      <c r="T245" s="152"/>
      <c r="V245" s="564"/>
      <c r="W245" s="565"/>
      <c r="X245" s="565"/>
      <c r="Y245" s="565"/>
      <c r="Z245" s="567"/>
      <c r="AA245" s="590"/>
      <c r="AC245" s="2099"/>
      <c r="AD245" s="1130"/>
    </row>
    <row r="246" spans="2:30" s="114" customFormat="1" ht="13.2" hidden="1" outlineLevel="1">
      <c r="B246" s="1002" t="s">
        <v>3273</v>
      </c>
      <c r="C246" s="144"/>
      <c r="D246" s="212"/>
      <c r="E246" s="212"/>
      <c r="F246" s="212"/>
      <c r="G246" s="224"/>
      <c r="H246" s="212"/>
      <c r="I246" s="212"/>
      <c r="J246" s="212"/>
      <c r="K246" s="212"/>
      <c r="L246" s="212"/>
      <c r="M246" s="212"/>
      <c r="N246" s="1216"/>
      <c r="Q246" s="319"/>
      <c r="R246" s="820"/>
      <c r="S246" s="820"/>
      <c r="T246" s="152"/>
      <c r="V246" s="564"/>
      <c r="W246" s="565"/>
      <c r="X246" s="565"/>
      <c r="Y246" s="565"/>
      <c r="Z246" s="567"/>
      <c r="AA246" s="590"/>
      <c r="AC246" s="2099"/>
      <c r="AD246" s="1130"/>
    </row>
    <row r="247" spans="2:30" s="114" customFormat="1" ht="13.2" hidden="1" outlineLevel="1">
      <c r="B247" s="143" t="s">
        <v>3278</v>
      </c>
      <c r="C247" s="144"/>
      <c r="D247" s="212">
        <f t="shared" si="29"/>
        <v>0</v>
      </c>
      <c r="E247" s="212"/>
      <c r="F247" s="117"/>
      <c r="G247" s="224"/>
      <c r="H247" s="1211" t="str">
        <f>VLOOKUP(B247,'FE Intrants'!F:U,5,FALSE)</f>
        <v>kgCO2e/unité</v>
      </c>
      <c r="I247" s="212">
        <f>VLOOKUP($B247&amp;"; "&amp;$H247&amp;", "&amp;$I$214,'FE Intrants'!$G:$U,9,FALSE)*$F247</f>
        <v>0</v>
      </c>
      <c r="J247" s="212">
        <f>IF(ISNA(VLOOKUP($B247&amp;"; "&amp;$H247&amp;", "&amp;$J$214,'FE Intrants'!$G:$U,9,FALSE)),0,VLOOKUP($B247&amp;"; "&amp;$H247&amp;", "&amp;$J$214,'FE Intrants'!$G:$U,9,FALSE)*$F247)</f>
        <v>0</v>
      </c>
      <c r="K247" s="212">
        <f>IF(ISNA(VLOOKUP($B247&amp;"; "&amp;$H247&amp;", "&amp;$K$214,'FE Intrants'!$G:$U,9,FALSE)),0,VLOOKUP($B247&amp;"; "&amp;$H247&amp;", "&amp;$K$214,'FE Intrants'!$G:$U,9,FALSE)*$F247)</f>
        <v>0</v>
      </c>
      <c r="L247" s="212">
        <f>IF(ISNA(VLOOKUP($B247&amp;"; "&amp;$H247&amp;", "&amp;$L$214,'FE Intrants'!$G:$U,9,FALSE)),0,VLOOKUP($B247&amp;"; "&amp;$H247&amp;", "&amp;$L$214,'FE Intrants'!$G:$U,9,FALSE)*$F247)</f>
        <v>0</v>
      </c>
      <c r="M247" s="212">
        <f>IF(ISNA(VLOOKUP($B247&amp;"; "&amp;$H247&amp;", "&amp;$M$214,'FE Intrants'!$G:$U,9,FALSE)),0,VLOOKUP($B247&amp;"; "&amp;$H247&amp;", "&amp;$M$214,'FE Intrants'!$G:$U,9,FALSE)*$F247)</f>
        <v>0</v>
      </c>
      <c r="N247" s="1216">
        <f t="shared" si="31"/>
        <v>0</v>
      </c>
      <c r="Q247" s="319">
        <f t="shared" si="30"/>
        <v>0</v>
      </c>
      <c r="R247" s="1094"/>
      <c r="S247" s="820"/>
      <c r="T247" s="152">
        <f t="shared" si="32"/>
        <v>0</v>
      </c>
      <c r="V247" s="564">
        <f>IFERROR(F247*SUM((VLOOKUP(B247&amp;"; "&amp;H247&amp;", "&amp;I$214,'FE Intrants'!$G:$U,10,FALSE)),
VLOOKUP(B247&amp;"; "&amp;H247&amp;", "&amp;J$214,'FE Intrants'!$G:$U,10,FALSE),
VLOOKUP(B247&amp;"; "&amp;H247&amp;", "&amp;K$214,'FE Intrants'!$G:$U,10,FALSE),
VLOOKUP(B247&amp;"; "&amp;H247&amp;", "&amp;L$214,'FE Intrants'!$G:$U,10,FALSE),
VLOOKUP(B247&amp;"; "&amp;H247&amp;", "&amp;M$214,'FE Intrants'!$G:$U,10,FALSE)),
F247*VLOOKUP(B247&amp;"; "&amp;H247&amp;", "&amp;I$214,'FE Intrants'!$G:$U,10,FALSE))</f>
        <v>0</v>
      </c>
      <c r="W247" s="565">
        <f>IFERROR(F247*SUM((VLOOKUP(B247&amp;"; "&amp;H247&amp;", "&amp;I$214,'FE Intrants'!$G:$U,11,FALSE)+VLOOKUP(B247&amp;"; "&amp;H247&amp;", "&amp;I$214,'FE Intrants'!$G:$U,12,FALSE)),
(VLOOKUP(B247&amp;"; "&amp;H247&amp;", "&amp;J$214,'FE Intrants'!$G:$U,11,FALSE)+VLOOKUP(B247&amp;"; "&amp;H247&amp;", "&amp;J$214,'FE Intrants'!$G:$U,12,FALSE)),
(VLOOKUP(B247&amp;"; "&amp;H247&amp;", "&amp;K$214,'FE Intrants'!$G:$U,11,FALSE)+VLOOKUP(B247&amp;"; "&amp;H247&amp;", "&amp;K$214,'FE Intrants'!$G:$U,12,FALSE)),
(VLOOKUP(B247&amp;"; "&amp;H247&amp;", "&amp;L$214,'FE Intrants'!$G:$U,11,FALSE)+VLOOKUP(B247&amp;"; "&amp;H247&amp;", "&amp;L$214,'FE Intrants'!$G:$U,12,FALSE)),
(VLOOKUP(B247&amp;"; "&amp;H247&amp;", "&amp;M$214,'FE Intrants'!$G:$U,11,FALSE)+VLOOKUP(B247&amp;"; "&amp;H247&amp;", "&amp;M$214,'FE Intrants'!$G:$U,12,FALSE))),
F247*VLOOKUP(B247&amp;"; "&amp;H247&amp;", "&amp;I$214,'FE Intrants'!$G:$U,11,FALSE)+VLOOKUP(B247&amp;"; "&amp;H247&amp;", "&amp;I$214,'FE Intrants'!$G:$U,12,FALSE))</f>
        <v>0</v>
      </c>
      <c r="X247" s="565">
        <f>IFERROR(F247*SUM((VLOOKUP(B247&amp;"; "&amp;H247&amp;", "&amp;I$214,'FE Intrants'!$G:$U,13,FALSE)),
VLOOKUP(B247&amp;"; "&amp;H247&amp;", "&amp;J$214,'FE Intrants'!$G:$U,13,FALSE),
VLOOKUP(B247&amp;"; "&amp;H247&amp;", "&amp;K$214,'FE Intrants'!$G:$U,13,FALSE),
VLOOKUP(B247&amp;"; "&amp;H247&amp;", "&amp;L$214,'FE Intrants'!$G:$U,13,FALSE),
VLOOKUP(B247&amp;"; "&amp;H247&amp;", "&amp;M$214,'FE Intrants'!$G:$U,13,FALSE)),
F247*VLOOKUP(B247&amp;"; "&amp;H247&amp;", "&amp;I$214,'FE Intrants'!$G:$U,13,FALSE))</f>
        <v>0</v>
      </c>
      <c r="Y247" s="565">
        <f>IFERROR(F247*SUM((VLOOKUP(B247&amp;"; "&amp;H247&amp;", "&amp;I$214,'FE Intrants'!$G:$U,14,FALSE)),
VLOOKUP(B247&amp;"; "&amp;H247&amp;", "&amp;J$214,'FE Intrants'!$G:$U,14,FALSE),
VLOOKUP(B247&amp;"; "&amp;H247&amp;", "&amp;K$214,'FE Intrants'!$G:$U,14,FALSE),
VLOOKUP(B247&amp;"; "&amp;H247&amp;", "&amp;L$214,'FE Intrants'!$G:$U,14,FALSE),
VLOOKUP(B247&amp;"; "&amp;H247&amp;", "&amp;M$214,'FE Intrants'!$G:$U,14,FALSE)),
F247*VLOOKUP(B247&amp;"; "&amp;H247&amp;", "&amp;I$214,'FE Intrants'!$G:$U,14,FALSE))</f>
        <v>0</v>
      </c>
      <c r="Z247" s="567">
        <f t="shared" si="33"/>
        <v>0</v>
      </c>
      <c r="AA247" s="590">
        <f>IFERROR(F247*SUM((VLOOKUP(B247&amp;"; "&amp;H247&amp;", "&amp;I$214,'FE Intrants'!$G:$U,15,FALSE)),
VLOOKUP(B247&amp;"; "&amp;H247&amp;", "&amp;J$214,'FE Intrants'!$G:$U,15,FALSE),
VLOOKUP(B247&amp;"; "&amp;H247&amp;", "&amp;K$214,'FE Intrants'!$G:$U,15,FALSE),
VLOOKUP(B247&amp;"; "&amp;H247&amp;", "&amp;L$214,'FE Intrants'!$G:$U,15,FALSE),
VLOOKUP(B247&amp;"; "&amp;H247&amp;", "&amp;M$214,'FE Intrants'!$G:$U,15,FALSE)),
F247*VLOOKUP(B247&amp;"; "&amp;H247&amp;", "&amp;I$214,'FE Intrants'!$G:$U,15,FALSE))</f>
        <v>0</v>
      </c>
      <c r="AC247" s="2099">
        <f>IF($R247&lt;&gt;"votre valeur :",IF(ISNA(VLOOKUP($R247,Utilitaires!$N$566:$O$571,2,FALSE)),,VLOOKUP($R247,Utilitaires!$N$566:$O$571,2,FALSE)),$S247)</f>
        <v>0</v>
      </c>
      <c r="AD247" s="1130">
        <f>SQRT(SUMSQ(AC247,VLOOKUP($B247&amp;"; "&amp;$H247&amp;", "&amp;$I$214,'FE Intrants'!G:U,7,FALSE)))</f>
        <v>0.05</v>
      </c>
    </row>
    <row r="248" spans="2:30" s="114" customFormat="1" ht="13.2" hidden="1" outlineLevel="1">
      <c r="B248" s="143" t="s">
        <v>3279</v>
      </c>
      <c r="C248" s="144"/>
      <c r="D248" s="212">
        <f t="shared" si="29"/>
        <v>0</v>
      </c>
      <c r="E248" s="212"/>
      <c r="F248" s="120"/>
      <c r="G248" s="224"/>
      <c r="H248" s="1212" t="str">
        <f>VLOOKUP(B248,'FE Intrants'!F:U,5,FALSE)</f>
        <v>kgCO2e/unité</v>
      </c>
      <c r="I248" s="212">
        <f>VLOOKUP($B248&amp;"; "&amp;$H248&amp;", "&amp;$I$214,'FE Intrants'!$G:$U,9,FALSE)*$F248</f>
        <v>0</v>
      </c>
      <c r="J248" s="212">
        <f>IF(ISNA(VLOOKUP($B248&amp;"; "&amp;$H248&amp;", "&amp;$J$214,'FE Intrants'!$G:$U,9,FALSE)),0,VLOOKUP($B248&amp;"; "&amp;$H248&amp;", "&amp;$J$214,'FE Intrants'!$G:$U,9,FALSE)*$F248)</f>
        <v>0</v>
      </c>
      <c r="K248" s="212">
        <f>IF(ISNA(VLOOKUP($B248&amp;"; "&amp;$H248&amp;", "&amp;$K$214,'FE Intrants'!$G:$U,9,FALSE)),0,VLOOKUP($B248&amp;"; "&amp;$H248&amp;", "&amp;$K$214,'FE Intrants'!$G:$U,9,FALSE)*$F248)</f>
        <v>0</v>
      </c>
      <c r="L248" s="212">
        <f>IF(ISNA(VLOOKUP($B248&amp;"; "&amp;$H248&amp;", "&amp;$L$214,'FE Intrants'!$G:$U,9,FALSE)),0,VLOOKUP($B248&amp;"; "&amp;$H248&amp;", "&amp;$L$214,'FE Intrants'!$G:$U,9,FALSE)*$F248)</f>
        <v>0</v>
      </c>
      <c r="M248" s="212">
        <f>IF(ISNA(VLOOKUP($B248&amp;"; "&amp;$H248&amp;", "&amp;$M$214,'FE Intrants'!$G:$U,9,FALSE)),0,VLOOKUP($B248&amp;"; "&amp;$H248&amp;", "&amp;$M$214,'FE Intrants'!$G:$U,9,FALSE)*$F248)</f>
        <v>0</v>
      </c>
      <c r="N248" s="1216">
        <f t="shared" si="31"/>
        <v>0</v>
      </c>
      <c r="Q248" s="319">
        <f t="shared" si="30"/>
        <v>0</v>
      </c>
      <c r="R248" s="1094"/>
      <c r="S248" s="820"/>
      <c r="T248" s="152">
        <f t="shared" si="32"/>
        <v>0</v>
      </c>
      <c r="V248" s="564">
        <f>IFERROR(F248*SUM((VLOOKUP(B248&amp;"; "&amp;H248&amp;", "&amp;I$214,'FE Intrants'!$G:$U,10,FALSE)),
VLOOKUP(B248&amp;"; "&amp;H248&amp;", "&amp;J$214,'FE Intrants'!$G:$U,10,FALSE),
VLOOKUP(B248&amp;"; "&amp;H248&amp;", "&amp;K$214,'FE Intrants'!$G:$U,10,FALSE),
VLOOKUP(B248&amp;"; "&amp;H248&amp;", "&amp;L$214,'FE Intrants'!$G:$U,10,FALSE),
VLOOKUP(B248&amp;"; "&amp;H248&amp;", "&amp;M$214,'FE Intrants'!$G:$U,10,FALSE)),
F248*VLOOKUP(B248&amp;"; "&amp;H248&amp;", "&amp;I$214,'FE Intrants'!$G:$U,10,FALSE))</f>
        <v>0</v>
      </c>
      <c r="W248" s="565">
        <f>IFERROR(F248*SUM((VLOOKUP(B248&amp;"; "&amp;H248&amp;", "&amp;I$214,'FE Intrants'!$G:$U,11,FALSE)+VLOOKUP(B248&amp;"; "&amp;H248&amp;", "&amp;I$214,'FE Intrants'!$G:$U,12,FALSE)),
(VLOOKUP(B248&amp;"; "&amp;H248&amp;", "&amp;J$214,'FE Intrants'!$G:$U,11,FALSE)+VLOOKUP(B248&amp;"; "&amp;H248&amp;", "&amp;J$214,'FE Intrants'!$G:$U,12,FALSE)),
(VLOOKUP(B248&amp;"; "&amp;H248&amp;", "&amp;K$214,'FE Intrants'!$G:$U,11,FALSE)+VLOOKUP(B248&amp;"; "&amp;H248&amp;", "&amp;K$214,'FE Intrants'!$G:$U,12,FALSE)),
(VLOOKUP(B248&amp;"; "&amp;H248&amp;", "&amp;L$214,'FE Intrants'!$G:$U,11,FALSE)+VLOOKUP(B248&amp;"; "&amp;H248&amp;", "&amp;L$214,'FE Intrants'!$G:$U,12,FALSE)),
(VLOOKUP(B248&amp;"; "&amp;H248&amp;", "&amp;M$214,'FE Intrants'!$G:$U,11,FALSE)+VLOOKUP(B248&amp;"; "&amp;H248&amp;", "&amp;M$214,'FE Intrants'!$G:$U,12,FALSE))),
F248*VLOOKUP(B248&amp;"; "&amp;H248&amp;", "&amp;I$214,'FE Intrants'!$G:$U,11,FALSE)+VLOOKUP(B248&amp;"; "&amp;H248&amp;", "&amp;I$214,'FE Intrants'!$G:$U,12,FALSE))</f>
        <v>0</v>
      </c>
      <c r="X248" s="565">
        <f>IFERROR(F248*SUM((VLOOKUP(B248&amp;"; "&amp;H248&amp;", "&amp;I$214,'FE Intrants'!$G:$U,13,FALSE)),
VLOOKUP(B248&amp;"; "&amp;H248&amp;", "&amp;J$214,'FE Intrants'!$G:$U,13,FALSE),
VLOOKUP(B248&amp;"; "&amp;H248&amp;", "&amp;K$214,'FE Intrants'!$G:$U,13,FALSE),
VLOOKUP(B248&amp;"; "&amp;H248&amp;", "&amp;L$214,'FE Intrants'!$G:$U,13,FALSE),
VLOOKUP(B248&amp;"; "&amp;H248&amp;", "&amp;M$214,'FE Intrants'!$G:$U,13,FALSE)),
F248*VLOOKUP(B248&amp;"; "&amp;H248&amp;", "&amp;I$214,'FE Intrants'!$G:$U,13,FALSE))</f>
        <v>0</v>
      </c>
      <c r="Y248" s="565">
        <f>IFERROR(F248*SUM((VLOOKUP(B248&amp;"; "&amp;H248&amp;", "&amp;I$214,'FE Intrants'!$G:$U,14,FALSE)),
VLOOKUP(B248&amp;"; "&amp;H248&amp;", "&amp;J$214,'FE Intrants'!$G:$U,14,FALSE),
VLOOKUP(B248&amp;"; "&amp;H248&amp;", "&amp;K$214,'FE Intrants'!$G:$U,14,FALSE),
VLOOKUP(B248&amp;"; "&amp;H248&amp;", "&amp;L$214,'FE Intrants'!$G:$U,14,FALSE),
VLOOKUP(B248&amp;"; "&amp;H248&amp;", "&amp;M$214,'FE Intrants'!$G:$U,14,FALSE)),
F248*VLOOKUP(B248&amp;"; "&amp;H248&amp;", "&amp;I$214,'FE Intrants'!$G:$U,14,FALSE))</f>
        <v>0</v>
      </c>
      <c r="Z248" s="567">
        <f t="shared" si="33"/>
        <v>0</v>
      </c>
      <c r="AA248" s="590">
        <f>IFERROR(F248*SUM((VLOOKUP(B248&amp;"; "&amp;H248&amp;", "&amp;I$214,'FE Intrants'!$G:$U,15,FALSE)),
VLOOKUP(B248&amp;"; "&amp;H248&amp;", "&amp;J$214,'FE Intrants'!$G:$U,15,FALSE),
VLOOKUP(B248&amp;"; "&amp;H248&amp;", "&amp;K$214,'FE Intrants'!$G:$U,15,FALSE),
VLOOKUP(B248&amp;"; "&amp;H248&amp;", "&amp;L$214,'FE Intrants'!$G:$U,15,FALSE),
VLOOKUP(B248&amp;"; "&amp;H248&amp;", "&amp;M$214,'FE Intrants'!$G:$U,15,FALSE)),
F248*VLOOKUP(B248&amp;"; "&amp;H248&amp;", "&amp;I$214,'FE Intrants'!$G:$U,15,FALSE))</f>
        <v>0</v>
      </c>
      <c r="AC248" s="2099">
        <f>IF($R248&lt;&gt;"votre valeur :",IF(ISNA(VLOOKUP($R248,Utilitaires!$N$566:$O$571,2,FALSE)),,VLOOKUP($R248,Utilitaires!$N$566:$O$571,2,FALSE)),$S248)</f>
        <v>0</v>
      </c>
      <c r="AD248" s="1130">
        <f>SQRT(SUMSQ(AC248,VLOOKUP($B248&amp;"; "&amp;$H248&amp;", "&amp;$I$214,'FE Intrants'!G:U,7,FALSE)))</f>
        <v>0.7</v>
      </c>
    </row>
    <row r="249" spans="2:30" s="114" customFormat="1" ht="13.2" hidden="1" outlineLevel="1">
      <c r="B249" s="143" t="s">
        <v>3280</v>
      </c>
      <c r="C249" s="144"/>
      <c r="D249" s="212">
        <f t="shared" si="29"/>
        <v>0</v>
      </c>
      <c r="E249" s="212"/>
      <c r="F249" s="123"/>
      <c r="G249" s="224"/>
      <c r="H249" s="1213" t="str">
        <f>VLOOKUP(B249,'FE Intrants'!F:U,5,FALSE)</f>
        <v>kgCO2e/unité</v>
      </c>
      <c r="I249" s="212">
        <f>VLOOKUP($B249&amp;"; "&amp;$H249&amp;", "&amp;$I$214,'FE Intrants'!$G:$U,9,FALSE)*$F249</f>
        <v>0</v>
      </c>
      <c r="J249" s="212">
        <f>IF(ISNA(VLOOKUP($B249&amp;"; "&amp;$H249&amp;", "&amp;$J$214,'FE Intrants'!$G:$U,9,FALSE)),0,VLOOKUP($B249&amp;"; "&amp;$H249&amp;", "&amp;$J$214,'FE Intrants'!$G:$U,9,FALSE)*$F249)</f>
        <v>0</v>
      </c>
      <c r="K249" s="212">
        <f>IF(ISNA(VLOOKUP($B249&amp;"; "&amp;$H249&amp;", "&amp;$K$214,'FE Intrants'!$G:$U,9,FALSE)),0,VLOOKUP($B249&amp;"; "&amp;$H249&amp;", "&amp;$K$214,'FE Intrants'!$G:$U,9,FALSE)*$F249)</f>
        <v>0</v>
      </c>
      <c r="L249" s="212">
        <f>IF(ISNA(VLOOKUP($B249&amp;"; "&amp;$H249&amp;", "&amp;$L$214,'FE Intrants'!$G:$U,9,FALSE)),0,VLOOKUP($B249&amp;"; "&amp;$H249&amp;", "&amp;$L$214,'FE Intrants'!$G:$U,9,FALSE)*$F249)</f>
        <v>0</v>
      </c>
      <c r="M249" s="212">
        <f>IF(ISNA(VLOOKUP($B249&amp;"; "&amp;$H249&amp;", "&amp;$M$214,'FE Intrants'!$G:$U,9,FALSE)),0,VLOOKUP($B249&amp;"; "&amp;$H249&amp;", "&amp;$M$214,'FE Intrants'!$G:$U,9,FALSE)*$F249)</f>
        <v>0</v>
      </c>
      <c r="N249" s="1216">
        <f t="shared" si="31"/>
        <v>0</v>
      </c>
      <c r="Q249" s="319">
        <f t="shared" si="30"/>
        <v>0</v>
      </c>
      <c r="R249" s="1094"/>
      <c r="S249" s="820"/>
      <c r="T249" s="152">
        <f t="shared" si="32"/>
        <v>0</v>
      </c>
      <c r="V249" s="564">
        <f>IFERROR(F249*SUM((VLOOKUP(B249&amp;"; "&amp;H249&amp;", "&amp;I$214,'FE Intrants'!$G:$U,10,FALSE)),
VLOOKUP(B249&amp;"; "&amp;H249&amp;", "&amp;J$214,'FE Intrants'!$G:$U,10,FALSE),
VLOOKUP(B249&amp;"; "&amp;H249&amp;", "&amp;K$214,'FE Intrants'!$G:$U,10,FALSE),
VLOOKUP(B249&amp;"; "&amp;H249&amp;", "&amp;L$214,'FE Intrants'!$G:$U,10,FALSE),
VLOOKUP(B249&amp;"; "&amp;H249&amp;", "&amp;M$214,'FE Intrants'!$G:$U,10,FALSE)),
F249*VLOOKUP(B249&amp;"; "&amp;H249&amp;", "&amp;I$214,'FE Intrants'!$G:$U,10,FALSE))</f>
        <v>0</v>
      </c>
      <c r="W249" s="565">
        <f>IFERROR(F249*SUM((VLOOKUP(B249&amp;"; "&amp;H249&amp;", "&amp;I$214,'FE Intrants'!$G:$U,11,FALSE)+VLOOKUP(B249&amp;"; "&amp;H249&amp;", "&amp;I$214,'FE Intrants'!$G:$U,12,FALSE)),
(VLOOKUP(B249&amp;"; "&amp;H249&amp;", "&amp;J$214,'FE Intrants'!$G:$U,11,FALSE)+VLOOKUP(B249&amp;"; "&amp;H249&amp;", "&amp;J$214,'FE Intrants'!$G:$U,12,FALSE)),
(VLOOKUP(B249&amp;"; "&amp;H249&amp;", "&amp;K$214,'FE Intrants'!$G:$U,11,FALSE)+VLOOKUP(B249&amp;"; "&amp;H249&amp;", "&amp;K$214,'FE Intrants'!$G:$U,12,FALSE)),
(VLOOKUP(B249&amp;"; "&amp;H249&amp;", "&amp;L$214,'FE Intrants'!$G:$U,11,FALSE)+VLOOKUP(B249&amp;"; "&amp;H249&amp;", "&amp;L$214,'FE Intrants'!$G:$U,12,FALSE)),
(VLOOKUP(B249&amp;"; "&amp;H249&amp;", "&amp;M$214,'FE Intrants'!$G:$U,11,FALSE)+VLOOKUP(B249&amp;"; "&amp;H249&amp;", "&amp;M$214,'FE Intrants'!$G:$U,12,FALSE))),
F249*VLOOKUP(B249&amp;"; "&amp;H249&amp;", "&amp;I$214,'FE Intrants'!$G:$U,11,FALSE)+VLOOKUP(B249&amp;"; "&amp;H249&amp;", "&amp;I$214,'FE Intrants'!$G:$U,12,FALSE))</f>
        <v>0</v>
      </c>
      <c r="X249" s="565">
        <f>IFERROR(F249*SUM((VLOOKUP(B249&amp;"; "&amp;H249&amp;", "&amp;I$214,'FE Intrants'!$G:$U,13,FALSE)),
VLOOKUP(B249&amp;"; "&amp;H249&amp;", "&amp;J$214,'FE Intrants'!$G:$U,13,FALSE),
VLOOKUP(B249&amp;"; "&amp;H249&amp;", "&amp;K$214,'FE Intrants'!$G:$U,13,FALSE),
VLOOKUP(B249&amp;"; "&amp;H249&amp;", "&amp;L$214,'FE Intrants'!$G:$U,13,FALSE),
VLOOKUP(B249&amp;"; "&amp;H249&amp;", "&amp;M$214,'FE Intrants'!$G:$U,13,FALSE)),
F249*VLOOKUP(B249&amp;"; "&amp;H249&amp;", "&amp;I$214,'FE Intrants'!$G:$U,13,FALSE))</f>
        <v>0</v>
      </c>
      <c r="Y249" s="565">
        <f>IFERROR(F249*SUM((VLOOKUP(B249&amp;"; "&amp;H249&amp;", "&amp;I$214,'FE Intrants'!$G:$U,14,FALSE)),
VLOOKUP(B249&amp;"; "&amp;H249&amp;", "&amp;J$214,'FE Intrants'!$G:$U,14,FALSE),
VLOOKUP(B249&amp;"; "&amp;H249&amp;", "&amp;K$214,'FE Intrants'!$G:$U,14,FALSE),
VLOOKUP(B249&amp;"; "&amp;H249&amp;", "&amp;L$214,'FE Intrants'!$G:$U,14,FALSE),
VLOOKUP(B249&amp;"; "&amp;H249&amp;", "&amp;M$214,'FE Intrants'!$G:$U,14,FALSE)),
F249*VLOOKUP(B249&amp;"; "&amp;H249&amp;", "&amp;I$214,'FE Intrants'!$G:$U,14,FALSE))</f>
        <v>0</v>
      </c>
      <c r="Z249" s="567">
        <f t="shared" si="33"/>
        <v>0</v>
      </c>
      <c r="AA249" s="590">
        <f>IFERROR(F249*SUM((VLOOKUP(B249&amp;"; "&amp;H249&amp;", "&amp;I$214,'FE Intrants'!$G:$U,15,FALSE)),
VLOOKUP(B249&amp;"; "&amp;H249&amp;", "&amp;J$214,'FE Intrants'!$G:$U,15,FALSE),
VLOOKUP(B249&amp;"; "&amp;H249&amp;", "&amp;K$214,'FE Intrants'!$G:$U,15,FALSE),
VLOOKUP(B249&amp;"; "&amp;H249&amp;", "&amp;L$214,'FE Intrants'!$G:$U,15,FALSE),
VLOOKUP(B249&amp;"; "&amp;H249&amp;", "&amp;M$214,'FE Intrants'!$G:$U,15,FALSE)),
F249*VLOOKUP(B249&amp;"; "&amp;H249&amp;", "&amp;I$214,'FE Intrants'!$G:$U,15,FALSE))</f>
        <v>0</v>
      </c>
      <c r="AC249" s="2099">
        <f>IF($R249&lt;&gt;"votre valeur :",IF(ISNA(VLOOKUP($R249,Utilitaires!$N$566:$O$571,2,FALSE)),,VLOOKUP($R249,Utilitaires!$N$566:$O$571,2,FALSE)),$S249)</f>
        <v>0</v>
      </c>
      <c r="AD249" s="1130">
        <f>SQRT(SUMSQ(AC249,VLOOKUP($B249&amp;"; "&amp;$H249&amp;", "&amp;$I$214,'FE Intrants'!G:U,7,FALSE)))</f>
        <v>0.25</v>
      </c>
    </row>
    <row r="250" spans="2:30" s="114" customFormat="1" ht="13.2" hidden="1" outlineLevel="1">
      <c r="B250" s="143"/>
      <c r="C250" s="144"/>
      <c r="D250" s="212"/>
      <c r="E250" s="212"/>
      <c r="F250" s="212"/>
      <c r="G250" s="224"/>
      <c r="H250" s="212"/>
      <c r="I250" s="212"/>
      <c r="J250" s="212"/>
      <c r="K250" s="212"/>
      <c r="L250" s="212"/>
      <c r="M250" s="212"/>
      <c r="N250" s="1216"/>
      <c r="Q250" s="319"/>
      <c r="R250" s="820"/>
      <c r="S250" s="820"/>
      <c r="T250" s="152"/>
      <c r="V250" s="564"/>
      <c r="W250" s="565"/>
      <c r="X250" s="565"/>
      <c r="Y250" s="565"/>
      <c r="Z250" s="567"/>
      <c r="AA250" s="590"/>
      <c r="AC250" s="2099"/>
      <c r="AD250" s="1130"/>
    </row>
    <row r="251" spans="2:30" s="114" customFormat="1" ht="13.2" hidden="1" outlineLevel="1">
      <c r="B251" s="1002" t="s">
        <v>3281</v>
      </c>
      <c r="C251" s="144"/>
      <c r="D251" s="212"/>
      <c r="E251" s="212"/>
      <c r="F251" s="212"/>
      <c r="G251" s="224"/>
      <c r="H251" s="212"/>
      <c r="I251" s="212"/>
      <c r="J251" s="212"/>
      <c r="K251" s="212"/>
      <c r="L251" s="212"/>
      <c r="M251" s="212"/>
      <c r="N251" s="1216"/>
      <c r="Q251" s="319"/>
      <c r="R251" s="820"/>
      <c r="S251" s="820"/>
      <c r="T251" s="152"/>
      <c r="V251" s="564"/>
      <c r="W251" s="565"/>
      <c r="X251" s="565"/>
      <c r="Y251" s="565"/>
      <c r="Z251" s="567"/>
      <c r="AA251" s="590"/>
      <c r="AC251" s="2099"/>
      <c r="AD251" s="1130"/>
    </row>
    <row r="252" spans="2:30" s="114" customFormat="1" ht="13.2" hidden="1" outlineLevel="1">
      <c r="B252" s="143" t="s">
        <v>3282</v>
      </c>
      <c r="C252" s="144"/>
      <c r="D252" s="212">
        <f t="shared" si="29"/>
        <v>0</v>
      </c>
      <c r="E252" s="212"/>
      <c r="F252" s="117"/>
      <c r="G252" s="224"/>
      <c r="H252" s="1211" t="str">
        <f>VLOOKUP(B252,'FE Intrants'!F:U,5,FALSE)</f>
        <v>kgCO2e/unité</v>
      </c>
      <c r="I252" s="212">
        <f>VLOOKUP($B252&amp;"; "&amp;$H252&amp;", "&amp;$I$214,'FE Intrants'!$G:$U,9,FALSE)*$F252</f>
        <v>0</v>
      </c>
      <c r="J252" s="212">
        <f>IF(ISNA(VLOOKUP($B252&amp;"; "&amp;$H252&amp;", "&amp;$J$214,'FE Intrants'!$G:$U,9,FALSE)),0,VLOOKUP($B252&amp;"; "&amp;$H252&amp;", "&amp;$J$214,'FE Intrants'!$G:$U,9,FALSE)*$F252)</f>
        <v>0</v>
      </c>
      <c r="K252" s="212">
        <f>IF(ISNA(VLOOKUP($B252&amp;"; "&amp;$H252&amp;", "&amp;$K$214,'FE Intrants'!$G:$U,9,FALSE)),0,VLOOKUP($B252&amp;"; "&amp;$H252&amp;", "&amp;$K$214,'FE Intrants'!$G:$U,9,FALSE)*$F252)</f>
        <v>0</v>
      </c>
      <c r="L252" s="212">
        <f>IF(ISNA(VLOOKUP($B252&amp;"; "&amp;$H252&amp;", "&amp;$L$214,'FE Intrants'!$G:$U,9,FALSE)),0,VLOOKUP($B252&amp;"; "&amp;$H252&amp;", "&amp;$L$214,'FE Intrants'!$G:$U,9,FALSE)*$F252)</f>
        <v>0</v>
      </c>
      <c r="M252" s="212">
        <f>IF(ISNA(VLOOKUP($B252&amp;"; "&amp;$H252&amp;", "&amp;$M$214,'FE Intrants'!$G:$U,9,FALSE)),0,VLOOKUP($B252&amp;"; "&amp;$H252&amp;", "&amp;$M$214,'FE Intrants'!$G:$U,9,FALSE)*$F252)</f>
        <v>0</v>
      </c>
      <c r="N252" s="1216">
        <f t="shared" si="31"/>
        <v>0</v>
      </c>
      <c r="Q252" s="319">
        <f t="shared" si="30"/>
        <v>0</v>
      </c>
      <c r="R252" s="1094"/>
      <c r="S252" s="820"/>
      <c r="T252" s="152">
        <f t="shared" si="32"/>
        <v>0</v>
      </c>
      <c r="V252" s="564">
        <f>IFERROR(F252*SUM((VLOOKUP(B252&amp;"; "&amp;H252&amp;", "&amp;I$214,'FE Intrants'!$G:$U,10,FALSE)),
VLOOKUP(B252&amp;"; "&amp;H252&amp;", "&amp;J$214,'FE Intrants'!$G:$U,10,FALSE),
VLOOKUP(B252&amp;"; "&amp;H252&amp;", "&amp;K$214,'FE Intrants'!$G:$U,10,FALSE),
VLOOKUP(B252&amp;"; "&amp;H252&amp;", "&amp;L$214,'FE Intrants'!$G:$U,10,FALSE),
VLOOKUP(B252&amp;"; "&amp;H252&amp;", "&amp;M$214,'FE Intrants'!$G:$U,10,FALSE)),
F252*VLOOKUP(B252&amp;"; "&amp;H252&amp;", "&amp;I$214,'FE Intrants'!$G:$U,10,FALSE))</f>
        <v>0</v>
      </c>
      <c r="W252" s="565">
        <f>IFERROR(F252*SUM((VLOOKUP(B252&amp;"; "&amp;H252&amp;", "&amp;I$214,'FE Intrants'!$G:$U,11,FALSE)+VLOOKUP(B252&amp;"; "&amp;H252&amp;", "&amp;I$214,'FE Intrants'!$G:$U,12,FALSE)),
(VLOOKUP(B252&amp;"; "&amp;H252&amp;", "&amp;J$214,'FE Intrants'!$G:$U,11,FALSE)+VLOOKUP(B252&amp;"; "&amp;H252&amp;", "&amp;J$214,'FE Intrants'!$G:$U,12,FALSE)),
(VLOOKUP(B252&amp;"; "&amp;H252&amp;", "&amp;K$214,'FE Intrants'!$G:$U,11,FALSE)+VLOOKUP(B252&amp;"; "&amp;H252&amp;", "&amp;K$214,'FE Intrants'!$G:$U,12,FALSE)),
(VLOOKUP(B252&amp;"; "&amp;H252&amp;", "&amp;L$214,'FE Intrants'!$G:$U,11,FALSE)+VLOOKUP(B252&amp;"; "&amp;H252&amp;", "&amp;L$214,'FE Intrants'!$G:$U,12,FALSE)),
(VLOOKUP(B252&amp;"; "&amp;H252&amp;", "&amp;M$214,'FE Intrants'!$G:$U,11,FALSE)+VLOOKUP(B252&amp;"; "&amp;H252&amp;", "&amp;M$214,'FE Intrants'!$G:$U,12,FALSE))),
F252*VLOOKUP(B252&amp;"; "&amp;H252&amp;", "&amp;I$214,'FE Intrants'!$G:$U,11,FALSE)+VLOOKUP(B252&amp;"; "&amp;H252&amp;", "&amp;I$214,'FE Intrants'!$G:$U,12,FALSE))</f>
        <v>0</v>
      </c>
      <c r="X252" s="565">
        <f>IFERROR(F252*SUM((VLOOKUP(B252&amp;"; "&amp;H252&amp;", "&amp;I$214,'FE Intrants'!$G:$U,13,FALSE)),
VLOOKUP(B252&amp;"; "&amp;H252&amp;", "&amp;J$214,'FE Intrants'!$G:$U,13,FALSE),
VLOOKUP(B252&amp;"; "&amp;H252&amp;", "&amp;K$214,'FE Intrants'!$G:$U,13,FALSE),
VLOOKUP(B252&amp;"; "&amp;H252&amp;", "&amp;L$214,'FE Intrants'!$G:$U,13,FALSE),
VLOOKUP(B252&amp;"; "&amp;H252&amp;", "&amp;M$214,'FE Intrants'!$G:$U,13,FALSE)),
F252*VLOOKUP(B252&amp;"; "&amp;H252&amp;", "&amp;I$214,'FE Intrants'!$G:$U,13,FALSE))</f>
        <v>0</v>
      </c>
      <c r="Y252" s="565">
        <f>IFERROR(F252*SUM((VLOOKUP(B252&amp;"; "&amp;H252&amp;", "&amp;I$214,'FE Intrants'!$G:$U,14,FALSE)),
VLOOKUP(B252&amp;"; "&amp;H252&amp;", "&amp;J$214,'FE Intrants'!$G:$U,14,FALSE),
VLOOKUP(B252&amp;"; "&amp;H252&amp;", "&amp;K$214,'FE Intrants'!$G:$U,14,FALSE),
VLOOKUP(B252&amp;"; "&amp;H252&amp;", "&amp;L$214,'FE Intrants'!$G:$U,14,FALSE),
VLOOKUP(B252&amp;"; "&amp;H252&amp;", "&amp;M$214,'FE Intrants'!$G:$U,14,FALSE)),
F252*VLOOKUP(B252&amp;"; "&amp;H252&amp;", "&amp;I$214,'FE Intrants'!$G:$U,14,FALSE))</f>
        <v>0</v>
      </c>
      <c r="Z252" s="567">
        <f t="shared" si="33"/>
        <v>0</v>
      </c>
      <c r="AA252" s="590">
        <f>IFERROR(F252*SUM((VLOOKUP(B252&amp;"; "&amp;H252&amp;", "&amp;I$214,'FE Intrants'!$G:$U,15,FALSE)),
VLOOKUP(B252&amp;"; "&amp;H252&amp;", "&amp;J$214,'FE Intrants'!$G:$U,15,FALSE),
VLOOKUP(B252&amp;"; "&amp;H252&amp;", "&amp;K$214,'FE Intrants'!$G:$U,15,FALSE),
VLOOKUP(B252&amp;"; "&amp;H252&amp;", "&amp;L$214,'FE Intrants'!$G:$U,15,FALSE),
VLOOKUP(B252&amp;"; "&amp;H252&amp;", "&amp;M$214,'FE Intrants'!$G:$U,15,FALSE)),
F252*VLOOKUP(B252&amp;"; "&amp;H252&amp;", "&amp;I$214,'FE Intrants'!$G:$U,15,FALSE))</f>
        <v>0</v>
      </c>
      <c r="AC252" s="2099">
        <f>IF($R252&lt;&gt;"votre valeur :",IF(ISNA(VLOOKUP($R252,Utilitaires!$N$566:$O$571,2,FALSE)),,VLOOKUP($R252,Utilitaires!$N$566:$O$571,2,FALSE)),$S252)</f>
        <v>0</v>
      </c>
      <c r="AD252" s="1130">
        <f>SQRT(SUMSQ(AC252,VLOOKUP($B252&amp;"; "&amp;$H252&amp;", "&amp;$I$214,'FE Intrants'!G:U,7,FALSE)))</f>
        <v>0.15</v>
      </c>
    </row>
    <row r="253" spans="2:30" s="114" customFormat="1" ht="13.2" hidden="1" outlineLevel="1">
      <c r="B253" s="143" t="s">
        <v>3283</v>
      </c>
      <c r="C253" s="144"/>
      <c r="D253" s="212">
        <f t="shared" si="29"/>
        <v>0</v>
      </c>
      <c r="E253" s="212"/>
      <c r="F253" s="120"/>
      <c r="G253" s="224"/>
      <c r="H253" s="1212" t="str">
        <f>VLOOKUP(B253,'FE Intrants'!F:U,5,FALSE)</f>
        <v>kgCO2e/unité</v>
      </c>
      <c r="I253" s="212">
        <f>VLOOKUP($B253&amp;"; "&amp;$H253&amp;", "&amp;$I$214,'FE Intrants'!$G:$U,9,FALSE)*$F253</f>
        <v>0</v>
      </c>
      <c r="J253" s="212">
        <f>IF(ISNA(VLOOKUP($B253&amp;"; "&amp;$H253&amp;", "&amp;$J$214,'FE Intrants'!$G:$U,9,FALSE)),0,VLOOKUP($B253&amp;"; "&amp;$H253&amp;", "&amp;$J$214,'FE Intrants'!$G:$U,9,FALSE)*$F253)</f>
        <v>0</v>
      </c>
      <c r="K253" s="212">
        <f>IF(ISNA(VLOOKUP($B253&amp;"; "&amp;$H253&amp;", "&amp;$K$214,'FE Intrants'!$G:$U,9,FALSE)),0,VLOOKUP($B253&amp;"; "&amp;$H253&amp;", "&amp;$K$214,'FE Intrants'!$G:$U,9,FALSE)*$F253)</f>
        <v>0</v>
      </c>
      <c r="L253" s="212">
        <f>IF(ISNA(VLOOKUP($B253&amp;"; "&amp;$H253&amp;", "&amp;$L$214,'FE Intrants'!$G:$U,9,FALSE)),0,VLOOKUP($B253&amp;"; "&amp;$H253&amp;", "&amp;$L$214,'FE Intrants'!$G:$U,9,FALSE)*$F253)</f>
        <v>0</v>
      </c>
      <c r="M253" s="212">
        <f>IF(ISNA(VLOOKUP($B253&amp;"; "&amp;$H253&amp;", "&amp;$M$214,'FE Intrants'!$G:$U,9,FALSE)),0,VLOOKUP($B253&amp;"; "&amp;$H253&amp;", "&amp;$M$214,'FE Intrants'!$G:$U,9,FALSE)*$F253)</f>
        <v>0</v>
      </c>
      <c r="N253" s="1216">
        <f t="shared" si="31"/>
        <v>0</v>
      </c>
      <c r="Q253" s="319">
        <f t="shared" si="30"/>
        <v>0</v>
      </c>
      <c r="R253" s="1094"/>
      <c r="S253" s="820"/>
      <c r="T253" s="152">
        <f t="shared" si="32"/>
        <v>0</v>
      </c>
      <c r="V253" s="564">
        <f>IFERROR(F253*SUM((VLOOKUP(B253&amp;"; "&amp;H253&amp;", "&amp;I$214,'FE Intrants'!$G:$U,10,FALSE)),
VLOOKUP(B253&amp;"; "&amp;H253&amp;", "&amp;J$214,'FE Intrants'!$G:$U,10,FALSE),
VLOOKUP(B253&amp;"; "&amp;H253&amp;", "&amp;K$214,'FE Intrants'!$G:$U,10,FALSE),
VLOOKUP(B253&amp;"; "&amp;H253&amp;", "&amp;L$214,'FE Intrants'!$G:$U,10,FALSE),
VLOOKUP(B253&amp;"; "&amp;H253&amp;", "&amp;M$214,'FE Intrants'!$G:$U,10,FALSE)),
F253*VLOOKUP(B253&amp;"; "&amp;H253&amp;", "&amp;I$214,'FE Intrants'!$G:$U,10,FALSE))</f>
        <v>0</v>
      </c>
      <c r="W253" s="565">
        <f>IFERROR(F253*SUM((VLOOKUP(B253&amp;"; "&amp;H253&amp;", "&amp;I$214,'FE Intrants'!$G:$U,11,FALSE)+VLOOKUP(B253&amp;"; "&amp;H253&amp;", "&amp;I$214,'FE Intrants'!$G:$U,12,FALSE)),
(VLOOKUP(B253&amp;"; "&amp;H253&amp;", "&amp;J$214,'FE Intrants'!$G:$U,11,FALSE)+VLOOKUP(B253&amp;"; "&amp;H253&amp;", "&amp;J$214,'FE Intrants'!$G:$U,12,FALSE)),
(VLOOKUP(B253&amp;"; "&amp;H253&amp;", "&amp;K$214,'FE Intrants'!$G:$U,11,FALSE)+VLOOKUP(B253&amp;"; "&amp;H253&amp;", "&amp;K$214,'FE Intrants'!$G:$U,12,FALSE)),
(VLOOKUP(B253&amp;"; "&amp;H253&amp;", "&amp;L$214,'FE Intrants'!$G:$U,11,FALSE)+VLOOKUP(B253&amp;"; "&amp;H253&amp;", "&amp;L$214,'FE Intrants'!$G:$U,12,FALSE)),
(VLOOKUP(B253&amp;"; "&amp;H253&amp;", "&amp;M$214,'FE Intrants'!$G:$U,11,FALSE)+VLOOKUP(B253&amp;"; "&amp;H253&amp;", "&amp;M$214,'FE Intrants'!$G:$U,12,FALSE))),
F253*VLOOKUP(B253&amp;"; "&amp;H253&amp;", "&amp;I$214,'FE Intrants'!$G:$U,11,FALSE)+VLOOKUP(B253&amp;"; "&amp;H253&amp;", "&amp;I$214,'FE Intrants'!$G:$U,12,FALSE))</f>
        <v>0</v>
      </c>
      <c r="X253" s="565">
        <f>IFERROR(F253*SUM((VLOOKUP(B253&amp;"; "&amp;H253&amp;", "&amp;I$214,'FE Intrants'!$G:$U,13,FALSE)),
VLOOKUP(B253&amp;"; "&amp;H253&amp;", "&amp;J$214,'FE Intrants'!$G:$U,13,FALSE),
VLOOKUP(B253&amp;"; "&amp;H253&amp;", "&amp;K$214,'FE Intrants'!$G:$U,13,FALSE),
VLOOKUP(B253&amp;"; "&amp;H253&amp;", "&amp;L$214,'FE Intrants'!$G:$U,13,FALSE),
VLOOKUP(B253&amp;"; "&amp;H253&amp;", "&amp;M$214,'FE Intrants'!$G:$U,13,FALSE)),
F253*VLOOKUP(B253&amp;"; "&amp;H253&amp;", "&amp;I$214,'FE Intrants'!$G:$U,13,FALSE))</f>
        <v>0</v>
      </c>
      <c r="Y253" s="565">
        <f>IFERROR(F253*SUM((VLOOKUP(B253&amp;"; "&amp;H253&amp;", "&amp;I$214,'FE Intrants'!$G:$U,14,FALSE)),
VLOOKUP(B253&amp;"; "&amp;H253&amp;", "&amp;J$214,'FE Intrants'!$G:$U,14,FALSE),
VLOOKUP(B253&amp;"; "&amp;H253&amp;", "&amp;K$214,'FE Intrants'!$G:$U,14,FALSE),
VLOOKUP(B253&amp;"; "&amp;H253&amp;", "&amp;L$214,'FE Intrants'!$G:$U,14,FALSE),
VLOOKUP(B253&amp;"; "&amp;H253&amp;", "&amp;M$214,'FE Intrants'!$G:$U,14,FALSE)),
F253*VLOOKUP(B253&amp;"; "&amp;H253&amp;", "&amp;I$214,'FE Intrants'!$G:$U,14,FALSE))</f>
        <v>0</v>
      </c>
      <c r="Z253" s="567">
        <f t="shared" si="33"/>
        <v>0</v>
      </c>
      <c r="AA253" s="590">
        <f>IFERROR(F253*SUM((VLOOKUP(B253&amp;"; "&amp;H253&amp;", "&amp;I$214,'FE Intrants'!$G:$U,15,FALSE)),
VLOOKUP(B253&amp;"; "&amp;H253&amp;", "&amp;J$214,'FE Intrants'!$G:$U,15,FALSE),
VLOOKUP(B253&amp;"; "&amp;H253&amp;", "&amp;K$214,'FE Intrants'!$G:$U,15,FALSE),
VLOOKUP(B253&amp;"; "&amp;H253&amp;", "&amp;L$214,'FE Intrants'!$G:$U,15,FALSE),
VLOOKUP(B253&amp;"; "&amp;H253&amp;", "&amp;M$214,'FE Intrants'!$G:$U,15,FALSE)),
F253*VLOOKUP(B253&amp;"; "&amp;H253&amp;", "&amp;I$214,'FE Intrants'!$G:$U,15,FALSE))</f>
        <v>0</v>
      </c>
      <c r="AC253" s="2099">
        <f>IF($R253&lt;&gt;"votre valeur :",IF(ISNA(VLOOKUP($R253,Utilitaires!$N$566:$O$571,2,FALSE)),,VLOOKUP($R253,Utilitaires!$N$566:$O$571,2,FALSE)),$S253)</f>
        <v>0</v>
      </c>
      <c r="AD253" s="1130">
        <f>SQRT(SUMSQ(AC253,VLOOKUP($B253&amp;"; "&amp;$H253&amp;", "&amp;$I$214,'FE Intrants'!G:U,7,FALSE)))</f>
        <v>0.6</v>
      </c>
    </row>
    <row r="254" spans="2:30" s="114" customFormat="1" ht="13.2" hidden="1" outlineLevel="1">
      <c r="B254" s="143" t="s">
        <v>3284</v>
      </c>
      <c r="C254" s="144"/>
      <c r="D254" s="212">
        <f t="shared" si="29"/>
        <v>0</v>
      </c>
      <c r="E254" s="212"/>
      <c r="F254" s="123"/>
      <c r="G254" s="224"/>
      <c r="H254" s="1213" t="str">
        <f>VLOOKUP(B254,'FE Intrants'!F:U,5,FALSE)</f>
        <v>kgCO2e/unité</v>
      </c>
      <c r="I254" s="212">
        <f>VLOOKUP($B254&amp;"; "&amp;$H254&amp;", "&amp;$I$214,'FE Intrants'!$G:$U,9,FALSE)*$F254</f>
        <v>0</v>
      </c>
      <c r="J254" s="212">
        <f>IF(ISNA(VLOOKUP($B254&amp;"; "&amp;$H254&amp;", "&amp;$J$214,'FE Intrants'!$G:$U,9,FALSE)),0,VLOOKUP($B254&amp;"; "&amp;$H254&amp;", "&amp;$J$214,'FE Intrants'!$G:$U,9,FALSE)*$F254)</f>
        <v>0</v>
      </c>
      <c r="K254" s="212">
        <f>IF(ISNA(VLOOKUP($B254&amp;"; "&amp;$H254&amp;", "&amp;$K$214,'FE Intrants'!$G:$U,9,FALSE)),0,VLOOKUP($B254&amp;"; "&amp;$H254&amp;", "&amp;$K$214,'FE Intrants'!$G:$U,9,FALSE)*$F254)</f>
        <v>0</v>
      </c>
      <c r="L254" s="212">
        <f>IF(ISNA(VLOOKUP($B254&amp;"; "&amp;$H254&amp;", "&amp;$L$214,'FE Intrants'!$G:$U,9,FALSE)),0,VLOOKUP($B254&amp;"; "&amp;$H254&amp;", "&amp;$L$214,'FE Intrants'!$G:$U,9,FALSE)*$F254)</f>
        <v>0</v>
      </c>
      <c r="M254" s="212">
        <f>IF(ISNA(VLOOKUP($B254&amp;"; "&amp;$H254&amp;", "&amp;$M$214,'FE Intrants'!$G:$U,9,FALSE)),0,VLOOKUP($B254&amp;"; "&amp;$H254&amp;", "&amp;$M$214,'FE Intrants'!$G:$U,9,FALSE)*$F254)</f>
        <v>0</v>
      </c>
      <c r="N254" s="1216">
        <f t="shared" si="31"/>
        <v>0</v>
      </c>
      <c r="Q254" s="319">
        <f t="shared" si="30"/>
        <v>0</v>
      </c>
      <c r="R254" s="1094"/>
      <c r="S254" s="820"/>
      <c r="T254" s="152">
        <f t="shared" si="32"/>
        <v>0</v>
      </c>
      <c r="V254" s="564">
        <f>IFERROR(F254*SUM((VLOOKUP(B254&amp;"; "&amp;H254&amp;", "&amp;I$214,'FE Intrants'!$G:$U,10,FALSE)),
VLOOKUP(B254&amp;"; "&amp;H254&amp;", "&amp;J$214,'FE Intrants'!$G:$U,10,FALSE),
VLOOKUP(B254&amp;"; "&amp;H254&amp;", "&amp;K$214,'FE Intrants'!$G:$U,10,FALSE),
VLOOKUP(B254&amp;"; "&amp;H254&amp;", "&amp;L$214,'FE Intrants'!$G:$U,10,FALSE),
VLOOKUP(B254&amp;"; "&amp;H254&amp;", "&amp;M$214,'FE Intrants'!$G:$U,10,FALSE)),
F254*VLOOKUP(B254&amp;"; "&amp;H254&amp;", "&amp;I$214,'FE Intrants'!$G:$U,10,FALSE))</f>
        <v>0</v>
      </c>
      <c r="W254" s="565">
        <f>IFERROR(F254*SUM((VLOOKUP(B254&amp;"; "&amp;H254&amp;", "&amp;I$214,'FE Intrants'!$G:$U,11,FALSE)+VLOOKUP(B254&amp;"; "&amp;H254&amp;", "&amp;I$214,'FE Intrants'!$G:$U,12,FALSE)),
(VLOOKUP(B254&amp;"; "&amp;H254&amp;", "&amp;J$214,'FE Intrants'!$G:$U,11,FALSE)+VLOOKUP(B254&amp;"; "&amp;H254&amp;", "&amp;J$214,'FE Intrants'!$G:$U,12,FALSE)),
(VLOOKUP(B254&amp;"; "&amp;H254&amp;", "&amp;K$214,'FE Intrants'!$G:$U,11,FALSE)+VLOOKUP(B254&amp;"; "&amp;H254&amp;", "&amp;K$214,'FE Intrants'!$G:$U,12,FALSE)),
(VLOOKUP(B254&amp;"; "&amp;H254&amp;", "&amp;L$214,'FE Intrants'!$G:$U,11,FALSE)+VLOOKUP(B254&amp;"; "&amp;H254&amp;", "&amp;L$214,'FE Intrants'!$G:$U,12,FALSE)),
(VLOOKUP(B254&amp;"; "&amp;H254&amp;", "&amp;M$214,'FE Intrants'!$G:$U,11,FALSE)+VLOOKUP(B254&amp;"; "&amp;H254&amp;", "&amp;M$214,'FE Intrants'!$G:$U,12,FALSE))),
F254*VLOOKUP(B254&amp;"; "&amp;H254&amp;", "&amp;I$214,'FE Intrants'!$G:$U,11,FALSE)+VLOOKUP(B254&amp;"; "&amp;H254&amp;", "&amp;I$214,'FE Intrants'!$G:$U,12,FALSE))</f>
        <v>0</v>
      </c>
      <c r="X254" s="565">
        <f>IFERROR(F254*SUM((VLOOKUP(B254&amp;"; "&amp;H254&amp;", "&amp;I$214,'FE Intrants'!$G:$U,13,FALSE)),
VLOOKUP(B254&amp;"; "&amp;H254&amp;", "&amp;J$214,'FE Intrants'!$G:$U,13,FALSE),
VLOOKUP(B254&amp;"; "&amp;H254&amp;", "&amp;K$214,'FE Intrants'!$G:$U,13,FALSE),
VLOOKUP(B254&amp;"; "&amp;H254&amp;", "&amp;L$214,'FE Intrants'!$G:$U,13,FALSE),
VLOOKUP(B254&amp;"; "&amp;H254&amp;", "&amp;M$214,'FE Intrants'!$G:$U,13,FALSE)),
F254*VLOOKUP(B254&amp;"; "&amp;H254&amp;", "&amp;I$214,'FE Intrants'!$G:$U,13,FALSE))</f>
        <v>0</v>
      </c>
      <c r="Y254" s="565">
        <f>IFERROR(F254*SUM((VLOOKUP(B254&amp;"; "&amp;H254&amp;", "&amp;I$214,'FE Intrants'!$G:$U,14,FALSE)),
VLOOKUP(B254&amp;"; "&amp;H254&amp;", "&amp;J$214,'FE Intrants'!$G:$U,14,FALSE),
VLOOKUP(B254&amp;"; "&amp;H254&amp;", "&amp;K$214,'FE Intrants'!$G:$U,14,FALSE),
VLOOKUP(B254&amp;"; "&amp;H254&amp;", "&amp;L$214,'FE Intrants'!$G:$U,14,FALSE),
VLOOKUP(B254&amp;"; "&amp;H254&amp;", "&amp;M$214,'FE Intrants'!$G:$U,14,FALSE)),
F254*VLOOKUP(B254&amp;"; "&amp;H254&amp;", "&amp;I$214,'FE Intrants'!$G:$U,14,FALSE))</f>
        <v>0</v>
      </c>
      <c r="Z254" s="567">
        <f t="shared" si="33"/>
        <v>0</v>
      </c>
      <c r="AA254" s="590">
        <f>IFERROR(F254*SUM((VLOOKUP(B254&amp;"; "&amp;H254&amp;", "&amp;I$214,'FE Intrants'!$G:$U,15,FALSE)),
VLOOKUP(B254&amp;"; "&amp;H254&amp;", "&amp;J$214,'FE Intrants'!$G:$U,15,FALSE),
VLOOKUP(B254&amp;"; "&amp;H254&amp;", "&amp;K$214,'FE Intrants'!$G:$U,15,FALSE),
VLOOKUP(B254&amp;"; "&amp;H254&amp;", "&amp;L$214,'FE Intrants'!$G:$U,15,FALSE),
VLOOKUP(B254&amp;"; "&amp;H254&amp;", "&amp;M$214,'FE Intrants'!$G:$U,15,FALSE)),
F254*VLOOKUP(B254&amp;"; "&amp;H254&amp;", "&amp;I$214,'FE Intrants'!$G:$U,15,FALSE))</f>
        <v>0</v>
      </c>
      <c r="AC254" s="2099">
        <f>IF($R254&lt;&gt;"votre valeur :",IF(ISNA(VLOOKUP($R254,Utilitaires!$N$566:$O$571,2,FALSE)),,VLOOKUP($R254,Utilitaires!$N$566:$O$571,2,FALSE)),$S254)</f>
        <v>0</v>
      </c>
      <c r="AD254" s="1130">
        <f>SQRT(SUMSQ(AC254,VLOOKUP($B254&amp;"; "&amp;$H254&amp;", "&amp;$I$214,'FE Intrants'!G:U,7,FALSE)))</f>
        <v>0.7</v>
      </c>
    </row>
    <row r="255" spans="2:30" s="114" customFormat="1" ht="13.2" hidden="1" outlineLevel="1">
      <c r="B255" s="143"/>
      <c r="C255" s="144"/>
      <c r="D255" s="212"/>
      <c r="E255" s="212"/>
      <c r="F255" s="212"/>
      <c r="G255" s="224"/>
      <c r="H255" s="212"/>
      <c r="I255" s="212"/>
      <c r="J255" s="212"/>
      <c r="K255" s="212"/>
      <c r="L255" s="212"/>
      <c r="M255" s="212"/>
      <c r="N255" s="1216"/>
      <c r="Q255" s="319"/>
      <c r="R255" s="820"/>
      <c r="S255" s="820"/>
      <c r="T255" s="152"/>
      <c r="V255" s="564"/>
      <c r="W255" s="565"/>
      <c r="X255" s="565"/>
      <c r="Y255" s="565"/>
      <c r="Z255" s="567"/>
      <c r="AA255" s="590"/>
      <c r="AC255" s="2099"/>
      <c r="AD255" s="1130"/>
    </row>
    <row r="256" spans="2:30" s="114" customFormat="1" ht="13.2" hidden="1" outlineLevel="1">
      <c r="B256" s="332" t="s">
        <v>3221</v>
      </c>
      <c r="C256" s="144"/>
      <c r="D256" s="212"/>
      <c r="E256" s="212"/>
      <c r="F256" s="212"/>
      <c r="G256" s="224"/>
      <c r="H256" s="212"/>
      <c r="I256" s="212"/>
      <c r="J256" s="212"/>
      <c r="K256" s="212"/>
      <c r="L256" s="212"/>
      <c r="M256" s="212"/>
      <c r="N256" s="1216"/>
      <c r="Q256" s="319"/>
      <c r="R256" s="820"/>
      <c r="S256" s="820"/>
      <c r="T256" s="152"/>
      <c r="V256" s="564"/>
      <c r="W256" s="565"/>
      <c r="X256" s="565"/>
      <c r="Y256" s="565"/>
      <c r="Z256" s="567"/>
      <c r="AA256" s="590"/>
      <c r="AC256" s="2454"/>
      <c r="AD256" s="1130"/>
    </row>
    <row r="257" spans="2:30" s="114" customFormat="1" ht="13.2" hidden="1" outlineLevel="1">
      <c r="B257" s="143" t="s">
        <v>3285</v>
      </c>
      <c r="C257" s="144"/>
      <c r="D257" s="212">
        <f t="shared" ref="D257:D259" si="34">N257</f>
        <v>0</v>
      </c>
      <c r="E257" s="212"/>
      <c r="F257" s="117"/>
      <c r="G257" s="224"/>
      <c r="H257" s="1211" t="str">
        <f>VLOOKUP(B257,'FE Intrants'!F:U,5,FALSE)</f>
        <v>kgCO2e/unité</v>
      </c>
      <c r="I257" s="212">
        <f>VLOOKUP($B257&amp;"; "&amp;$H257&amp;", "&amp;$I$214,'FE Intrants'!$G:$U,9,FALSE)*$F257</f>
        <v>0</v>
      </c>
      <c r="J257" s="212">
        <f>IF(ISNA(VLOOKUP($B257&amp;"; "&amp;$H257&amp;", "&amp;$J$214,'FE Intrants'!$G:$U,9,FALSE)),0,VLOOKUP($B257&amp;"; "&amp;$H257&amp;", "&amp;$J$214,'FE Intrants'!$G:$U,9,FALSE)*$F257)</f>
        <v>0</v>
      </c>
      <c r="K257" s="212">
        <f>IF(ISNA(VLOOKUP($B257&amp;"; "&amp;$H257&amp;", "&amp;$K$214,'FE Intrants'!$G:$U,9,FALSE)),0,VLOOKUP($B257&amp;"; "&amp;$H257&amp;", "&amp;$K$214,'FE Intrants'!$G:$U,9,FALSE)*$F257)</f>
        <v>0</v>
      </c>
      <c r="L257" s="212">
        <f>IF(ISNA(VLOOKUP($B257&amp;"; "&amp;$H257&amp;", "&amp;$L$214,'FE Intrants'!$G:$U,9,FALSE)),0,VLOOKUP($B257&amp;"; "&amp;$H257&amp;", "&amp;$L$214,'FE Intrants'!$G:$U,9,FALSE)*$F257)</f>
        <v>0</v>
      </c>
      <c r="M257" s="212">
        <f>IF(ISNA(VLOOKUP($B257&amp;"; "&amp;$H257&amp;", "&amp;$M$214,'FE Intrants'!$G:$U,9,FALSE)),0,VLOOKUP($B257&amp;"; "&amp;$H257&amp;", "&amp;$M$214,'FE Intrants'!$G:$U,9,FALSE)*$F257)</f>
        <v>0</v>
      </c>
      <c r="N257" s="1216">
        <f t="shared" ref="N257:N259" si="35">SUM(I257:M257)</f>
        <v>0</v>
      </c>
      <c r="Q257" s="319">
        <f t="shared" ref="Q257:Q259" si="36">IF(T257=0,T257,T257/N257)</f>
        <v>0</v>
      </c>
      <c r="R257" s="1094"/>
      <c r="S257" s="820"/>
      <c r="T257" s="152">
        <f t="shared" ref="T257:T259" si="37">SUM(I257:M257)*AD257</f>
        <v>0</v>
      </c>
      <c r="V257" s="564">
        <f>IFERROR(F257*SUM((VLOOKUP(B257&amp;"; "&amp;H257&amp;", "&amp;I$214,'FE Intrants'!$G:$U,10,FALSE)),
VLOOKUP(B257&amp;"; "&amp;H257&amp;", "&amp;J$214,'FE Intrants'!$G:$U,10,FALSE),
VLOOKUP(B257&amp;"; "&amp;H257&amp;", "&amp;K$214,'FE Intrants'!$G:$U,10,FALSE),
VLOOKUP(B257&amp;"; "&amp;H257&amp;", "&amp;L$214,'FE Intrants'!$G:$U,10,FALSE),
VLOOKUP(B257&amp;"; "&amp;H257&amp;", "&amp;M$214,'FE Intrants'!$G:$U,10,FALSE)),
F257*VLOOKUP(B257&amp;"; "&amp;H257&amp;", "&amp;I$214,'FE Intrants'!$G:$U,10,FALSE))</f>
        <v>0</v>
      </c>
      <c r="W257" s="565">
        <f>IFERROR(F257*SUM((VLOOKUP(B257&amp;"; "&amp;H257&amp;", "&amp;I$214,'FE Intrants'!$G:$U,11,FALSE)+VLOOKUP(B257&amp;"; "&amp;H257&amp;", "&amp;I$214,'FE Intrants'!$G:$U,12,FALSE)),
(VLOOKUP(B257&amp;"; "&amp;H257&amp;", "&amp;J$214,'FE Intrants'!$G:$U,11,FALSE)+VLOOKUP(B257&amp;"; "&amp;H257&amp;", "&amp;J$214,'FE Intrants'!$G:$U,12,FALSE)),
(VLOOKUP(B257&amp;"; "&amp;H257&amp;", "&amp;K$214,'FE Intrants'!$G:$U,11,FALSE)+VLOOKUP(B257&amp;"; "&amp;H257&amp;", "&amp;K$214,'FE Intrants'!$G:$U,12,FALSE)),
(VLOOKUP(B257&amp;"; "&amp;H257&amp;", "&amp;L$214,'FE Intrants'!$G:$U,11,FALSE)+VLOOKUP(B257&amp;"; "&amp;H257&amp;", "&amp;L$214,'FE Intrants'!$G:$U,12,FALSE)),
(VLOOKUP(B257&amp;"; "&amp;H257&amp;", "&amp;M$214,'FE Intrants'!$G:$U,11,FALSE)+VLOOKUP(B257&amp;"; "&amp;H257&amp;", "&amp;M$214,'FE Intrants'!$G:$U,12,FALSE))),
F257*VLOOKUP(B257&amp;"; "&amp;H257&amp;", "&amp;I$214,'FE Intrants'!$G:$U,11,FALSE)+VLOOKUP(B257&amp;"; "&amp;H257&amp;", "&amp;I$214,'FE Intrants'!$G:$U,12,FALSE))</f>
        <v>0</v>
      </c>
      <c r="X257" s="565">
        <f>IFERROR(F257*SUM((VLOOKUP(B257&amp;"; "&amp;H257&amp;", "&amp;I$214,'FE Intrants'!$G:$U,13,FALSE)),
VLOOKUP(B257&amp;"; "&amp;H257&amp;", "&amp;J$214,'FE Intrants'!$G:$U,13,FALSE),
VLOOKUP(B257&amp;"; "&amp;H257&amp;", "&amp;K$214,'FE Intrants'!$G:$U,13,FALSE),
VLOOKUP(B257&amp;"; "&amp;H257&amp;", "&amp;L$214,'FE Intrants'!$G:$U,13,FALSE),
VLOOKUP(B257&amp;"; "&amp;H257&amp;", "&amp;M$214,'FE Intrants'!$G:$U,13,FALSE)),
F257*VLOOKUP(B257&amp;"; "&amp;H257&amp;", "&amp;I$214,'FE Intrants'!$G:$U,13,FALSE))</f>
        <v>0</v>
      </c>
      <c r="Y257" s="565">
        <f>IFERROR(F257*SUM((VLOOKUP(B257&amp;"; "&amp;H257&amp;", "&amp;I$214,'FE Intrants'!$G:$U,14,FALSE)),
VLOOKUP(B257&amp;"; "&amp;H257&amp;", "&amp;J$214,'FE Intrants'!$G:$U,14,FALSE),
VLOOKUP(B257&amp;"; "&amp;H257&amp;", "&amp;K$214,'FE Intrants'!$G:$U,14,FALSE),
VLOOKUP(B257&amp;"; "&amp;H257&amp;", "&amp;L$214,'FE Intrants'!$G:$U,14,FALSE),
VLOOKUP(B257&amp;"; "&amp;H257&amp;", "&amp;M$214,'FE Intrants'!$G:$U,14,FALSE)),
F257*VLOOKUP(B257&amp;"; "&amp;H257&amp;", "&amp;I$214,'FE Intrants'!$G:$U,14,FALSE))</f>
        <v>0</v>
      </c>
      <c r="Z257" s="567">
        <f t="shared" ref="Z257:Z259" si="38">SUM(V257:Y257)</f>
        <v>0</v>
      </c>
      <c r="AA257" s="590">
        <f>IFERROR(F257*SUM((VLOOKUP(B257&amp;"; "&amp;H257&amp;", "&amp;I$214,'FE Intrants'!$G:$U,15,FALSE)),
VLOOKUP(B257&amp;"; "&amp;H257&amp;", "&amp;J$214,'FE Intrants'!$G:$U,15,FALSE),
VLOOKUP(B257&amp;"; "&amp;H257&amp;", "&amp;K$214,'FE Intrants'!$G:$U,15,FALSE),
VLOOKUP(B257&amp;"; "&amp;H257&amp;", "&amp;L$214,'FE Intrants'!$G:$U,15,FALSE),
VLOOKUP(B257&amp;"; "&amp;H257&amp;", "&amp;M$214,'FE Intrants'!$G:$U,15,FALSE)),
F257*VLOOKUP(B257&amp;"; "&amp;H257&amp;", "&amp;I$214,'FE Intrants'!$G:$U,15,FALSE))</f>
        <v>0</v>
      </c>
      <c r="AC257" s="2454">
        <f>IF($R257&lt;&gt;"votre valeur :",IF(ISNA(VLOOKUP($R257,Utilitaires!$N$566:$O$571,2,FALSE)),,VLOOKUP($R257,Utilitaires!$N$566:$O$571,2,FALSE)),$S257)</f>
        <v>0</v>
      </c>
      <c r="AD257" s="1130">
        <f>SQRT(SUMSQ(AC257,VLOOKUP($B257&amp;"; "&amp;$H257&amp;", "&amp;$I$214,'FE Intrants'!G:U,7,FALSE)))</f>
        <v>0.3</v>
      </c>
    </row>
    <row r="258" spans="2:30" s="114" customFormat="1" ht="13.2" hidden="1" outlineLevel="1">
      <c r="B258" s="143" t="s">
        <v>3286</v>
      </c>
      <c r="C258" s="144"/>
      <c r="D258" s="212">
        <f t="shared" si="34"/>
        <v>0</v>
      </c>
      <c r="E258" s="212"/>
      <c r="F258" s="120"/>
      <c r="G258" s="224"/>
      <c r="H258" s="1212" t="str">
        <f>VLOOKUP(B258,'FE Intrants'!F:U,5,FALSE)</f>
        <v>kgCO2e/unité</v>
      </c>
      <c r="I258" s="212">
        <f>VLOOKUP($B258&amp;"; "&amp;$H258&amp;", "&amp;$I$214,'FE Intrants'!$G:$U,9,FALSE)*$F258</f>
        <v>0</v>
      </c>
      <c r="J258" s="212">
        <f>IF(ISNA(VLOOKUP($B258&amp;"; "&amp;$H258&amp;", "&amp;$J$214,'FE Intrants'!$G:$U,9,FALSE)),0,VLOOKUP($B258&amp;"; "&amp;$H258&amp;", "&amp;$J$214,'FE Intrants'!$G:$U,9,FALSE)*$F258)</f>
        <v>0</v>
      </c>
      <c r="K258" s="212">
        <f>IF(ISNA(VLOOKUP($B258&amp;"; "&amp;$H258&amp;", "&amp;$K$214,'FE Intrants'!$G:$U,9,FALSE)),0,VLOOKUP($B258&amp;"; "&amp;$H258&amp;", "&amp;$K$214,'FE Intrants'!$G:$U,9,FALSE)*$F258)</f>
        <v>0</v>
      </c>
      <c r="L258" s="212">
        <f>IF(ISNA(VLOOKUP($B258&amp;"; "&amp;$H258&amp;", "&amp;$L$214,'FE Intrants'!$G:$U,9,FALSE)),0,VLOOKUP($B258&amp;"; "&amp;$H258&amp;", "&amp;$L$214,'FE Intrants'!$G:$U,9,FALSE)*$F258)</f>
        <v>0</v>
      </c>
      <c r="M258" s="212">
        <f>IF(ISNA(VLOOKUP($B258&amp;"; "&amp;$H258&amp;", "&amp;$M$214,'FE Intrants'!$G:$U,9,FALSE)),0,VLOOKUP($B258&amp;"; "&amp;$H258&amp;", "&amp;$M$214,'FE Intrants'!$G:$U,9,FALSE)*$F258)</f>
        <v>0</v>
      </c>
      <c r="N258" s="1216">
        <f t="shared" si="35"/>
        <v>0</v>
      </c>
      <c r="Q258" s="319">
        <f t="shared" si="36"/>
        <v>0</v>
      </c>
      <c r="R258" s="1094"/>
      <c r="S258" s="820"/>
      <c r="T258" s="152">
        <f t="shared" si="37"/>
        <v>0</v>
      </c>
      <c r="V258" s="564">
        <f>IFERROR(F258*SUM((VLOOKUP(B258&amp;"; "&amp;H258&amp;", "&amp;I$214,'FE Intrants'!$G:$U,10,FALSE)),
VLOOKUP(B258&amp;"; "&amp;H258&amp;", "&amp;J$214,'FE Intrants'!$G:$U,10,FALSE),
VLOOKUP(B258&amp;"; "&amp;H258&amp;", "&amp;K$214,'FE Intrants'!$G:$U,10,FALSE),
VLOOKUP(B258&amp;"; "&amp;H258&amp;", "&amp;L$214,'FE Intrants'!$G:$U,10,FALSE),
VLOOKUP(B258&amp;"; "&amp;H258&amp;", "&amp;M$214,'FE Intrants'!$G:$U,10,FALSE)),
F258*VLOOKUP(B258&amp;"; "&amp;H258&amp;", "&amp;I$214,'FE Intrants'!$G:$U,10,FALSE))</f>
        <v>0</v>
      </c>
      <c r="W258" s="565">
        <f>IFERROR(F258*SUM((VLOOKUP(B258&amp;"; "&amp;H258&amp;", "&amp;I$214,'FE Intrants'!$G:$U,11,FALSE)+VLOOKUP(B258&amp;"; "&amp;H258&amp;", "&amp;I$214,'FE Intrants'!$G:$U,12,FALSE)),
(VLOOKUP(B258&amp;"; "&amp;H258&amp;", "&amp;J$214,'FE Intrants'!$G:$U,11,FALSE)+VLOOKUP(B258&amp;"; "&amp;H258&amp;", "&amp;J$214,'FE Intrants'!$G:$U,12,FALSE)),
(VLOOKUP(B258&amp;"; "&amp;H258&amp;", "&amp;K$214,'FE Intrants'!$G:$U,11,FALSE)+VLOOKUP(B258&amp;"; "&amp;H258&amp;", "&amp;K$214,'FE Intrants'!$G:$U,12,FALSE)),
(VLOOKUP(B258&amp;"; "&amp;H258&amp;", "&amp;L$214,'FE Intrants'!$G:$U,11,FALSE)+VLOOKUP(B258&amp;"; "&amp;H258&amp;", "&amp;L$214,'FE Intrants'!$G:$U,12,FALSE)),
(VLOOKUP(B258&amp;"; "&amp;H258&amp;", "&amp;M$214,'FE Intrants'!$G:$U,11,FALSE)+VLOOKUP(B258&amp;"; "&amp;H258&amp;", "&amp;M$214,'FE Intrants'!$G:$U,12,FALSE))),
F258*VLOOKUP(B258&amp;"; "&amp;H258&amp;", "&amp;I$214,'FE Intrants'!$G:$U,11,FALSE)+VLOOKUP(B258&amp;"; "&amp;H258&amp;", "&amp;I$214,'FE Intrants'!$G:$U,12,FALSE))</f>
        <v>0</v>
      </c>
      <c r="X258" s="565">
        <f>IFERROR(F258*SUM((VLOOKUP(B258&amp;"; "&amp;H258&amp;", "&amp;I$214,'FE Intrants'!$G:$U,13,FALSE)),
VLOOKUP(B258&amp;"; "&amp;H258&amp;", "&amp;J$214,'FE Intrants'!$G:$U,13,FALSE),
VLOOKUP(B258&amp;"; "&amp;H258&amp;", "&amp;K$214,'FE Intrants'!$G:$U,13,FALSE),
VLOOKUP(B258&amp;"; "&amp;H258&amp;", "&amp;L$214,'FE Intrants'!$G:$U,13,FALSE),
VLOOKUP(B258&amp;"; "&amp;H258&amp;", "&amp;M$214,'FE Intrants'!$G:$U,13,FALSE)),
F258*VLOOKUP(B258&amp;"; "&amp;H258&amp;", "&amp;I$214,'FE Intrants'!$G:$U,13,FALSE))</f>
        <v>0</v>
      </c>
      <c r="Y258" s="565">
        <f>IFERROR(F258*SUM((VLOOKUP(B258&amp;"; "&amp;H258&amp;", "&amp;I$214,'FE Intrants'!$G:$U,14,FALSE)),
VLOOKUP(B258&amp;"; "&amp;H258&amp;", "&amp;J$214,'FE Intrants'!$G:$U,14,FALSE),
VLOOKUP(B258&amp;"; "&amp;H258&amp;", "&amp;K$214,'FE Intrants'!$G:$U,14,FALSE),
VLOOKUP(B258&amp;"; "&amp;H258&amp;", "&amp;L$214,'FE Intrants'!$G:$U,14,FALSE),
VLOOKUP(B258&amp;"; "&amp;H258&amp;", "&amp;M$214,'FE Intrants'!$G:$U,14,FALSE)),
F258*VLOOKUP(B258&amp;"; "&amp;H258&amp;", "&amp;I$214,'FE Intrants'!$G:$U,14,FALSE))</f>
        <v>0</v>
      </c>
      <c r="Z258" s="567">
        <f t="shared" si="38"/>
        <v>0</v>
      </c>
      <c r="AA258" s="590">
        <f>IFERROR(F258*SUM((VLOOKUP(B258&amp;"; "&amp;H258&amp;", "&amp;I$214,'FE Intrants'!$G:$U,15,FALSE)),
VLOOKUP(B258&amp;"; "&amp;H258&amp;", "&amp;J$214,'FE Intrants'!$G:$U,15,FALSE),
VLOOKUP(B258&amp;"; "&amp;H258&amp;", "&amp;K$214,'FE Intrants'!$G:$U,15,FALSE),
VLOOKUP(B258&amp;"; "&amp;H258&amp;", "&amp;L$214,'FE Intrants'!$G:$U,15,FALSE),
VLOOKUP(B258&amp;"; "&amp;H258&amp;", "&amp;M$214,'FE Intrants'!$G:$U,15,FALSE)),
F258*VLOOKUP(B258&amp;"; "&amp;H258&amp;", "&amp;I$214,'FE Intrants'!$G:$U,15,FALSE))</f>
        <v>0</v>
      </c>
      <c r="AC258" s="2454">
        <f>IF($R258&lt;&gt;"votre valeur :",IF(ISNA(VLOOKUP($R258,Utilitaires!$N$566:$O$571,2,FALSE)),,VLOOKUP($R258,Utilitaires!$N$566:$O$571,2,FALSE)),$S258)</f>
        <v>0</v>
      </c>
      <c r="AD258" s="1130">
        <f>SQRT(SUMSQ(AC258,VLOOKUP($B258&amp;"; "&amp;$H258&amp;", "&amp;$I$214,'FE Intrants'!G:U,7,FALSE)))</f>
        <v>0.4</v>
      </c>
    </row>
    <row r="259" spans="2:30" s="114" customFormat="1" ht="13.2" hidden="1" outlineLevel="1">
      <c r="B259" s="143" t="s">
        <v>3288</v>
      </c>
      <c r="C259" s="144"/>
      <c r="D259" s="212">
        <f t="shared" si="34"/>
        <v>0</v>
      </c>
      <c r="E259" s="212"/>
      <c r="F259" s="123"/>
      <c r="G259" s="224"/>
      <c r="H259" s="1213" t="str">
        <f>VLOOKUP(B259,'FE Intrants'!F:U,5,FALSE)</f>
        <v>kgCO2e/unité</v>
      </c>
      <c r="I259" s="212">
        <f>VLOOKUP($B259&amp;"; "&amp;$H259&amp;", "&amp;$I$214,'FE Intrants'!$G:$U,9,FALSE)*$F259</f>
        <v>0</v>
      </c>
      <c r="J259" s="212">
        <f>IF(ISNA(VLOOKUP($B259&amp;"; "&amp;$H259&amp;", "&amp;$J$214,'FE Intrants'!$G:$U,9,FALSE)),0,VLOOKUP($B259&amp;"; "&amp;$H259&amp;", "&amp;$J$214,'FE Intrants'!$G:$U,9,FALSE)*$F259)</f>
        <v>0</v>
      </c>
      <c r="K259" s="212">
        <f>IF(ISNA(VLOOKUP($B259&amp;"; "&amp;$H259&amp;", "&amp;$K$214,'FE Intrants'!$G:$U,9,FALSE)),0,VLOOKUP($B259&amp;"; "&amp;$H259&amp;", "&amp;$K$214,'FE Intrants'!$G:$U,9,FALSE)*$F259)</f>
        <v>0</v>
      </c>
      <c r="L259" s="212">
        <f>IF(ISNA(VLOOKUP($B259&amp;"; "&amp;$H259&amp;", "&amp;$L$214,'FE Intrants'!$G:$U,9,FALSE)),0,VLOOKUP($B259&amp;"; "&amp;$H259&amp;", "&amp;$L$214,'FE Intrants'!$G:$U,9,FALSE)*$F259)</f>
        <v>0</v>
      </c>
      <c r="M259" s="212">
        <f>IF(ISNA(VLOOKUP($B259&amp;"; "&amp;$H259&amp;", "&amp;$M$214,'FE Intrants'!$G:$U,9,FALSE)),0,VLOOKUP($B259&amp;"; "&amp;$H259&amp;", "&amp;$M$214,'FE Intrants'!$G:$U,9,FALSE)*$F259)</f>
        <v>0</v>
      </c>
      <c r="N259" s="1216">
        <f t="shared" si="35"/>
        <v>0</v>
      </c>
      <c r="Q259" s="319">
        <f t="shared" si="36"/>
        <v>0</v>
      </c>
      <c r="R259" s="1094"/>
      <c r="S259" s="820"/>
      <c r="T259" s="152">
        <f t="shared" si="37"/>
        <v>0</v>
      </c>
      <c r="V259" s="564">
        <f>IFERROR(F259*SUM((VLOOKUP(B259&amp;"; "&amp;H259&amp;", "&amp;I$214,'FE Intrants'!$G:$U,10,FALSE)),
VLOOKUP(B259&amp;"; "&amp;H259&amp;", "&amp;J$214,'FE Intrants'!$G:$U,10,FALSE),
VLOOKUP(B259&amp;"; "&amp;H259&amp;", "&amp;K$214,'FE Intrants'!$G:$U,10,FALSE),
VLOOKUP(B259&amp;"; "&amp;H259&amp;", "&amp;L$214,'FE Intrants'!$G:$U,10,FALSE),
VLOOKUP(B259&amp;"; "&amp;H259&amp;", "&amp;M$214,'FE Intrants'!$G:$U,10,FALSE)),
F259*VLOOKUP(B259&amp;"; "&amp;H259&amp;", "&amp;I$214,'FE Intrants'!$G:$U,10,FALSE))</f>
        <v>0</v>
      </c>
      <c r="W259" s="565">
        <f>IFERROR(F259*SUM((VLOOKUP(B259&amp;"; "&amp;H259&amp;", "&amp;I$214,'FE Intrants'!$G:$U,11,FALSE)+VLOOKUP(B259&amp;"; "&amp;H259&amp;", "&amp;I$214,'FE Intrants'!$G:$U,12,FALSE)),
(VLOOKUP(B259&amp;"; "&amp;H259&amp;", "&amp;J$214,'FE Intrants'!$G:$U,11,FALSE)+VLOOKUP(B259&amp;"; "&amp;H259&amp;", "&amp;J$214,'FE Intrants'!$G:$U,12,FALSE)),
(VLOOKUP(B259&amp;"; "&amp;H259&amp;", "&amp;K$214,'FE Intrants'!$G:$U,11,FALSE)+VLOOKUP(B259&amp;"; "&amp;H259&amp;", "&amp;K$214,'FE Intrants'!$G:$U,12,FALSE)),
(VLOOKUP(B259&amp;"; "&amp;H259&amp;", "&amp;L$214,'FE Intrants'!$G:$U,11,FALSE)+VLOOKUP(B259&amp;"; "&amp;H259&amp;", "&amp;L$214,'FE Intrants'!$G:$U,12,FALSE)),
(VLOOKUP(B259&amp;"; "&amp;H259&amp;", "&amp;M$214,'FE Intrants'!$G:$U,11,FALSE)+VLOOKUP(B259&amp;"; "&amp;H259&amp;", "&amp;M$214,'FE Intrants'!$G:$U,12,FALSE))),
F259*VLOOKUP(B259&amp;"; "&amp;H259&amp;", "&amp;I$214,'FE Intrants'!$G:$U,11,FALSE)+VLOOKUP(B259&amp;"; "&amp;H259&amp;", "&amp;I$214,'FE Intrants'!$G:$U,12,FALSE))</f>
        <v>0</v>
      </c>
      <c r="X259" s="565">
        <f>IFERROR(F259*SUM((VLOOKUP(B259&amp;"; "&amp;H259&amp;", "&amp;I$214,'FE Intrants'!$G:$U,13,FALSE)),
VLOOKUP(B259&amp;"; "&amp;H259&amp;", "&amp;J$214,'FE Intrants'!$G:$U,13,FALSE),
VLOOKUP(B259&amp;"; "&amp;H259&amp;", "&amp;K$214,'FE Intrants'!$G:$U,13,FALSE),
VLOOKUP(B259&amp;"; "&amp;H259&amp;", "&amp;L$214,'FE Intrants'!$G:$U,13,FALSE),
VLOOKUP(B259&amp;"; "&amp;H259&amp;", "&amp;M$214,'FE Intrants'!$G:$U,13,FALSE)),
F259*VLOOKUP(B259&amp;"; "&amp;H259&amp;", "&amp;I$214,'FE Intrants'!$G:$U,13,FALSE))</f>
        <v>0</v>
      </c>
      <c r="Y259" s="565">
        <f>IFERROR(F259*SUM((VLOOKUP(B259&amp;"; "&amp;H259&amp;", "&amp;I$214,'FE Intrants'!$G:$U,14,FALSE)),
VLOOKUP(B259&amp;"; "&amp;H259&amp;", "&amp;J$214,'FE Intrants'!$G:$U,14,FALSE),
VLOOKUP(B259&amp;"; "&amp;H259&amp;", "&amp;K$214,'FE Intrants'!$G:$U,14,FALSE),
VLOOKUP(B259&amp;"; "&amp;H259&amp;", "&amp;L$214,'FE Intrants'!$G:$U,14,FALSE),
VLOOKUP(B259&amp;"; "&amp;H259&amp;", "&amp;M$214,'FE Intrants'!$G:$U,14,FALSE)),
F259*VLOOKUP(B259&amp;"; "&amp;H259&amp;", "&amp;I$214,'FE Intrants'!$G:$U,14,FALSE))</f>
        <v>0</v>
      </c>
      <c r="Z259" s="567">
        <f t="shared" si="38"/>
        <v>0</v>
      </c>
      <c r="AA259" s="590">
        <f>IFERROR(F259*SUM((VLOOKUP(B259&amp;"; "&amp;H259&amp;", "&amp;I$214,'FE Intrants'!$G:$U,15,FALSE)),
VLOOKUP(B259&amp;"; "&amp;H259&amp;", "&amp;J$214,'FE Intrants'!$G:$U,15,FALSE),
VLOOKUP(B259&amp;"; "&amp;H259&amp;", "&amp;K$214,'FE Intrants'!$G:$U,15,FALSE),
VLOOKUP(B259&amp;"; "&amp;H259&amp;", "&amp;L$214,'FE Intrants'!$G:$U,15,FALSE),
VLOOKUP(B259&amp;"; "&amp;H259&amp;", "&amp;M$214,'FE Intrants'!$G:$U,15,FALSE)),
F259*VLOOKUP(B259&amp;"; "&amp;H259&amp;", "&amp;I$214,'FE Intrants'!$G:$U,15,FALSE))</f>
        <v>0</v>
      </c>
      <c r="AC259" s="2454">
        <f>IF($R259&lt;&gt;"votre valeur :",IF(ISNA(VLOOKUP($R259,Utilitaires!$N$566:$O$571,2,FALSE)),,VLOOKUP($R259,Utilitaires!$N$566:$O$571,2,FALSE)),$S259)</f>
        <v>0</v>
      </c>
      <c r="AD259" s="1130">
        <f>SQRT(SUMSQ(AC259,VLOOKUP($B259&amp;"; "&amp;$H259&amp;", "&amp;$I$214,'FE Intrants'!G:U,7,FALSE)))</f>
        <v>0.6</v>
      </c>
    </row>
    <row r="260" spans="2:30" s="114" customFormat="1" ht="13.2" hidden="1" outlineLevel="1">
      <c r="B260" s="143"/>
      <c r="C260" s="144"/>
      <c r="D260" s="213"/>
      <c r="E260" s="213"/>
      <c r="F260" s="144"/>
      <c r="G260" s="144"/>
      <c r="H260" s="144"/>
      <c r="I260" s="213"/>
      <c r="J260" s="213"/>
      <c r="K260" s="213"/>
      <c r="L260" s="213"/>
      <c r="M260" s="213"/>
      <c r="N260" s="168"/>
      <c r="Q260" s="226"/>
      <c r="R260" s="144"/>
      <c r="S260" s="820"/>
      <c r="T260" s="152"/>
      <c r="V260" s="564"/>
      <c r="W260" s="565"/>
      <c r="X260" s="565"/>
      <c r="Y260" s="565"/>
      <c r="Z260" s="567"/>
      <c r="AA260" s="590"/>
      <c r="AC260" s="2454"/>
      <c r="AD260" s="1130"/>
    </row>
    <row r="261" spans="2:30" s="114" customFormat="1" ht="13.2" hidden="1" outlineLevel="1">
      <c r="B261" s="333" t="s">
        <v>3996</v>
      </c>
      <c r="C261" s="144"/>
      <c r="D261" s="212"/>
      <c r="E261" s="213"/>
      <c r="F261" s="144"/>
      <c r="G261" s="144"/>
      <c r="H261" s="144"/>
      <c r="I261" s="213"/>
      <c r="J261" s="213"/>
      <c r="K261" s="213"/>
      <c r="L261" s="213"/>
      <c r="M261" s="213"/>
      <c r="N261" s="168"/>
      <c r="Q261" s="226"/>
      <c r="R261" s="144"/>
      <c r="S261" s="820"/>
      <c r="T261" s="152"/>
      <c r="V261" s="564"/>
      <c r="W261" s="565"/>
      <c r="X261" s="565"/>
      <c r="Y261" s="565"/>
      <c r="Z261" s="567"/>
      <c r="AA261" s="590"/>
      <c r="AC261" s="2209"/>
      <c r="AD261" s="1130"/>
    </row>
    <row r="262" spans="2:30" s="114" customFormat="1" ht="13.2" hidden="1" outlineLevel="1">
      <c r="B262" s="143" t="s">
        <v>4004</v>
      </c>
      <c r="C262" s="144"/>
      <c r="D262" s="212">
        <f t="shared" ref="D262:D280" si="39">N262</f>
        <v>0</v>
      </c>
      <c r="E262" s="213"/>
      <c r="F262" s="117"/>
      <c r="G262" s="222">
        <f>VLOOKUP($B262&amp;"; "&amp;H262,'FE Intrants'!$G:$U,9,FALSE)</f>
        <v>2200</v>
      </c>
      <c r="H262" s="1211" t="str">
        <f>VLOOKUP(B262,'FE Intrants'!F:U,5,FALSE)</f>
        <v>kgCO2e/tonne</v>
      </c>
      <c r="I262" s="213"/>
      <c r="J262" s="213"/>
      <c r="K262" s="213"/>
      <c r="L262" s="213"/>
      <c r="M262" s="213"/>
      <c r="N262" s="168">
        <f>F262*G262</f>
        <v>0</v>
      </c>
      <c r="Q262" s="319">
        <f t="shared" ref="Q262:Q266" si="40">IF(T262=0,T262,T262/N262)</f>
        <v>0</v>
      </c>
      <c r="R262" s="1016"/>
      <c r="S262" s="820"/>
      <c r="T262" s="152">
        <f>F262*G262*AD262</f>
        <v>0</v>
      </c>
      <c r="V262" s="564">
        <f>IF($F262*VLOOKUP($B262&amp;"; "&amp;$H262,'FE Intrants'!$G:$U,10,FALSE)=0,N262,$F262*VLOOKUP($B262&amp;"; "&amp;$H262,'FE Intrants'!$G:$U,10,FALSE))</f>
        <v>0</v>
      </c>
      <c r="W262" s="565">
        <f>$F262*(VLOOKUP($B262&amp;"; "&amp;$H262,'FE Intrants'!$G:$U,11,FALSE)+VLOOKUP($B262&amp;"; "&amp;$H262,'FE Intrants'!$G:$U,12,FALSE))</f>
        <v>0</v>
      </c>
      <c r="X262" s="565">
        <f>$F262*VLOOKUP($B262&amp;"; "&amp;$H262,'FE Intrants'!$G:$U,13,FALSE)</f>
        <v>0</v>
      </c>
      <c r="Y262" s="565">
        <f>$F262*VLOOKUP($B262&amp;"; "&amp;$H262,'FE Intrants'!$G:$U,14,FALSE)</f>
        <v>0</v>
      </c>
      <c r="Z262" s="567">
        <f t="shared" ref="Z262:Z266" si="41">SUM(V262:Y262)</f>
        <v>0</v>
      </c>
      <c r="AA262" s="590">
        <f>$F262*VLOOKUP($B262&amp;"; "&amp;$H262,'FE Intrants'!$G:$U,15,FALSE)</f>
        <v>0</v>
      </c>
      <c r="AC262" s="2209">
        <f>IF($R262&lt;&gt;"votre valeur :",IF(ISNA(VLOOKUP($R262,Utilitaires!$N$566:$O$571,2,FALSE)),,VLOOKUP($R262,Utilitaires!$N$566:$O$571,2,FALSE)),$S262)</f>
        <v>0</v>
      </c>
      <c r="AD262" s="1130">
        <f>SQRT(SUMSQ(AC262,VLOOKUP(B262&amp;"; "&amp;$H262,'FE Intrants'!G:U,7,FALSE)))</f>
        <v>0.5</v>
      </c>
    </row>
    <row r="263" spans="2:30" s="114" customFormat="1" ht="13.2" hidden="1" outlineLevel="1">
      <c r="B263" s="143" t="s">
        <v>4003</v>
      </c>
      <c r="C263" s="144"/>
      <c r="D263" s="212">
        <f t="shared" si="39"/>
        <v>0</v>
      </c>
      <c r="E263" s="213"/>
      <c r="F263" s="120"/>
      <c r="G263" s="222">
        <f>VLOOKUP($B263&amp;"; "&amp;H263,'FE Intrants'!$G:$U,9,FALSE)</f>
        <v>700</v>
      </c>
      <c r="H263" s="1212" t="str">
        <f>VLOOKUP(B263,'FE Intrants'!F:U,5,FALSE)</f>
        <v>kgCO2e/tonne</v>
      </c>
      <c r="I263" s="213"/>
      <c r="J263" s="213"/>
      <c r="K263" s="213"/>
      <c r="L263" s="213"/>
      <c r="M263" s="213"/>
      <c r="N263" s="168">
        <f t="shared" ref="N263:N266" si="42">F263*G263</f>
        <v>0</v>
      </c>
      <c r="Q263" s="319">
        <f t="shared" si="40"/>
        <v>0</v>
      </c>
      <c r="R263" s="1016"/>
      <c r="S263" s="820"/>
      <c r="T263" s="152">
        <f t="shared" ref="T263:T289" si="43">F263*G263*AD263</f>
        <v>0</v>
      </c>
      <c r="V263" s="564">
        <f>IF($F263*VLOOKUP($B263&amp;"; "&amp;$H263,'FE Intrants'!$G:$U,10,FALSE)=0,N263,$F263*VLOOKUP($B263&amp;"; "&amp;$H263,'FE Intrants'!$G:$U,10,FALSE))</f>
        <v>0</v>
      </c>
      <c r="W263" s="565">
        <f>$F263*(VLOOKUP($B263&amp;"; "&amp;$H263,'FE Intrants'!$G:$U,11,FALSE)+VLOOKUP($B263&amp;"; "&amp;$H263,'FE Intrants'!$G:$U,12,FALSE))</f>
        <v>0</v>
      </c>
      <c r="X263" s="565">
        <f>$F263*VLOOKUP($B263&amp;"; "&amp;$H263,'FE Intrants'!$G:$U,13,FALSE)</f>
        <v>0</v>
      </c>
      <c r="Y263" s="565">
        <f>$F263*VLOOKUP($B263&amp;"; "&amp;$H263,'FE Intrants'!$G:$U,14,FALSE)</f>
        <v>0</v>
      </c>
      <c r="Z263" s="567">
        <f t="shared" si="41"/>
        <v>0</v>
      </c>
      <c r="AA263" s="590">
        <f>$F263*VLOOKUP($B263&amp;"; "&amp;$H263,'FE Intrants'!$G:$U,15,FALSE)</f>
        <v>0</v>
      </c>
      <c r="AC263" s="2209">
        <f>IF($R263&lt;&gt;"votre valeur :",IF(ISNA(VLOOKUP($R263,Utilitaires!$N$566:$O$571,2,FALSE)),,VLOOKUP($R263,Utilitaires!$N$566:$O$571,2,FALSE)),$S263)</f>
        <v>0</v>
      </c>
      <c r="AD263" s="1130">
        <f>SQRT(SUMSQ(AC263,VLOOKUP(B263&amp;"; "&amp;$H263,'FE Intrants'!G:U,7,FALSE)))</f>
        <v>1</v>
      </c>
    </row>
    <row r="264" spans="2:30" s="114" customFormat="1" ht="13.2" hidden="1" outlineLevel="1">
      <c r="B264" s="143" t="s">
        <v>4005</v>
      </c>
      <c r="C264" s="144"/>
      <c r="D264" s="212">
        <f t="shared" si="39"/>
        <v>0</v>
      </c>
      <c r="E264" s="213"/>
      <c r="F264" s="120"/>
      <c r="G264" s="222">
        <f>VLOOKUP($B264&amp;"; "&amp;H264,'FE Intrants'!$G:$U,9,FALSE)</f>
        <v>4400</v>
      </c>
      <c r="H264" s="1212" t="str">
        <f>VLOOKUP(B264,'FE Intrants'!F:U,5,FALSE)</f>
        <v>kgCO2e/tonne</v>
      </c>
      <c r="I264" s="213"/>
      <c r="J264" s="213"/>
      <c r="K264" s="213"/>
      <c r="L264" s="213"/>
      <c r="M264" s="213"/>
      <c r="N264" s="168">
        <f t="shared" si="42"/>
        <v>0</v>
      </c>
      <c r="Q264" s="319">
        <f t="shared" si="40"/>
        <v>0</v>
      </c>
      <c r="R264" s="1016"/>
      <c r="S264" s="820"/>
      <c r="T264" s="152">
        <f t="shared" si="43"/>
        <v>0</v>
      </c>
      <c r="V264" s="564">
        <f>IF($F264*VLOOKUP($B264&amp;"; "&amp;$H264,'FE Intrants'!$G:$U,10,FALSE)=0,N264,$F264*VLOOKUP($B264&amp;"; "&amp;$H264,'FE Intrants'!$G:$U,10,FALSE))</f>
        <v>0</v>
      </c>
      <c r="W264" s="565">
        <f>$F264*(VLOOKUP($B264&amp;"; "&amp;$H264,'FE Intrants'!$G:$U,11,FALSE)+VLOOKUP($B264&amp;"; "&amp;$H264,'FE Intrants'!$G:$U,12,FALSE))</f>
        <v>0</v>
      </c>
      <c r="X264" s="565">
        <f>$F264*VLOOKUP($B264&amp;"; "&amp;$H264,'FE Intrants'!$G:$U,13,FALSE)</f>
        <v>0</v>
      </c>
      <c r="Y264" s="565">
        <f>$F264*VLOOKUP($B264&amp;"; "&amp;$H264,'FE Intrants'!$G:$U,14,FALSE)</f>
        <v>0</v>
      </c>
      <c r="Z264" s="567">
        <f t="shared" si="41"/>
        <v>0</v>
      </c>
      <c r="AA264" s="590">
        <f>$F264*VLOOKUP($B264&amp;"; "&amp;$H264,'FE Intrants'!$G:$U,15,FALSE)</f>
        <v>0</v>
      </c>
      <c r="AC264" s="2209">
        <f>IF($R264&lt;&gt;"votre valeur :",IF(ISNA(VLOOKUP($R264,Utilitaires!$N$566:$O$571,2,FALSE)),,VLOOKUP($R264,Utilitaires!$N$566:$O$571,2,FALSE)),$S264)</f>
        <v>0</v>
      </c>
      <c r="AD264" s="1130">
        <f>SQRT(SUMSQ(AC264,VLOOKUP(B264&amp;"; "&amp;$H264,'FE Intrants'!G:U,7,FALSE)))</f>
        <v>0.25</v>
      </c>
    </row>
    <row r="265" spans="2:30" s="114" customFormat="1" ht="13.2" hidden="1" outlineLevel="1">
      <c r="B265" s="143" t="s">
        <v>4006</v>
      </c>
      <c r="C265" s="144"/>
      <c r="D265" s="212">
        <f t="shared" si="39"/>
        <v>0</v>
      </c>
      <c r="E265" s="213"/>
      <c r="F265" s="120"/>
      <c r="G265" s="222">
        <f>VLOOKUP($B265&amp;"; "&amp;H265,'FE Intrants'!$G:$U,9,FALSE)</f>
        <v>5250</v>
      </c>
      <c r="H265" s="1212" t="str">
        <f>VLOOKUP(B265,'FE Intrants'!F:U,5,FALSE)</f>
        <v>kgCO2e/tonne</v>
      </c>
      <c r="I265" s="213"/>
      <c r="J265" s="213"/>
      <c r="K265" s="213"/>
      <c r="L265" s="213"/>
      <c r="M265" s="213"/>
      <c r="N265" s="168">
        <f t="shared" si="42"/>
        <v>0</v>
      </c>
      <c r="Q265" s="319">
        <f t="shared" si="40"/>
        <v>0</v>
      </c>
      <c r="R265" s="1016"/>
      <c r="S265" s="820"/>
      <c r="T265" s="152">
        <f t="shared" si="43"/>
        <v>0</v>
      </c>
      <c r="V265" s="564">
        <f>IF($F265*VLOOKUP($B265&amp;"; "&amp;$H265,'FE Intrants'!$G:$U,10,FALSE)=0,N265,$F265*VLOOKUP($B265&amp;"; "&amp;$H265,'FE Intrants'!$G:$U,10,FALSE))</f>
        <v>0</v>
      </c>
      <c r="W265" s="565">
        <f>$F265*(VLOOKUP($B265&amp;"; "&amp;$H265,'FE Intrants'!$G:$U,11,FALSE)+VLOOKUP($B265&amp;"; "&amp;$H265,'FE Intrants'!$G:$U,12,FALSE))</f>
        <v>0</v>
      </c>
      <c r="X265" s="565">
        <f>$F265*VLOOKUP($B265&amp;"; "&amp;$H265,'FE Intrants'!$G:$U,13,FALSE)</f>
        <v>0</v>
      </c>
      <c r="Y265" s="565">
        <f>$F265*VLOOKUP($B265&amp;"; "&amp;$H265,'FE Intrants'!$G:$U,14,FALSE)</f>
        <v>0</v>
      </c>
      <c r="Z265" s="567">
        <f t="shared" si="41"/>
        <v>0</v>
      </c>
      <c r="AA265" s="590">
        <f>$F265*VLOOKUP($B265&amp;"; "&amp;$H265,'FE Intrants'!$G:$U,15,FALSE)</f>
        <v>0</v>
      </c>
      <c r="AC265" s="2209">
        <f>IF($R265&lt;&gt;"votre valeur :",IF(ISNA(VLOOKUP($R265,Utilitaires!$N$566:$O$571,2,FALSE)),,VLOOKUP($R265,Utilitaires!$N$566:$O$571,2,FALSE)),$S265)</f>
        <v>0</v>
      </c>
      <c r="AD265" s="1130">
        <f>SQRT(SUMSQ(AC265,VLOOKUP(B265&amp;"; "&amp;$H265,'FE Intrants'!G:U,7,FALSE)))</f>
        <v>1</v>
      </c>
    </row>
    <row r="266" spans="2:30" s="114" customFormat="1" ht="13.2" hidden="1" outlineLevel="1">
      <c r="B266" s="143" t="s">
        <v>4007</v>
      </c>
      <c r="C266" s="144"/>
      <c r="D266" s="212">
        <f t="shared" si="39"/>
        <v>0</v>
      </c>
      <c r="E266" s="213"/>
      <c r="F266" s="123"/>
      <c r="G266" s="222">
        <f>VLOOKUP($B266&amp;"; "&amp;H266,'FE Intrants'!$G:$U,9,FALSE)</f>
        <v>3670</v>
      </c>
      <c r="H266" s="1213" t="str">
        <f>VLOOKUP(B266,'FE Intrants'!F:U,5,FALSE)</f>
        <v>kgCO2e/tonne</v>
      </c>
      <c r="I266" s="213"/>
      <c r="J266" s="213"/>
      <c r="K266" s="213"/>
      <c r="L266" s="213"/>
      <c r="M266" s="213"/>
      <c r="N266" s="168">
        <f t="shared" si="42"/>
        <v>0</v>
      </c>
      <c r="Q266" s="319">
        <f t="shared" si="40"/>
        <v>0</v>
      </c>
      <c r="R266" s="1016"/>
      <c r="S266" s="820"/>
      <c r="T266" s="152">
        <f t="shared" si="43"/>
        <v>0</v>
      </c>
      <c r="V266" s="564">
        <f>IF($F266*VLOOKUP($B266&amp;"; "&amp;$H266,'FE Intrants'!$G:$U,10,FALSE)=0,N266,$F266*VLOOKUP($B266&amp;"; "&amp;$H266,'FE Intrants'!$G:$U,10,FALSE))</f>
        <v>0</v>
      </c>
      <c r="W266" s="565">
        <f>$F266*(VLOOKUP($B266&amp;"; "&amp;$H266,'FE Intrants'!$G:$U,11,FALSE)+VLOOKUP($B266&amp;"; "&amp;$H266,'FE Intrants'!$G:$U,12,FALSE))</f>
        <v>0</v>
      </c>
      <c r="X266" s="565">
        <f>$F266*VLOOKUP($B266&amp;"; "&amp;$H266,'FE Intrants'!$G:$U,13,FALSE)</f>
        <v>0</v>
      </c>
      <c r="Y266" s="565">
        <f>$F266*VLOOKUP($B266&amp;"; "&amp;$H266,'FE Intrants'!$G:$U,14,FALSE)</f>
        <v>0</v>
      </c>
      <c r="Z266" s="567">
        <f t="shared" si="41"/>
        <v>0</v>
      </c>
      <c r="AA266" s="590">
        <f>$F266*VLOOKUP($B266&amp;"; "&amp;$H266,'FE Intrants'!$G:$U,15,FALSE)</f>
        <v>0</v>
      </c>
      <c r="AC266" s="2209">
        <f>IF($R266&lt;&gt;"votre valeur :",IF(ISNA(VLOOKUP($R266,Utilitaires!$N$566:$O$571,2,FALSE)),,VLOOKUP($R266,Utilitaires!$N$566:$O$571,2,FALSE)),$S266)</f>
        <v>0</v>
      </c>
      <c r="AD266" s="1130">
        <f>SQRT(SUMSQ(AC266,VLOOKUP(B266&amp;"; "&amp;$H266,'FE Intrants'!G:U,7,FALSE)))</f>
        <v>0.4</v>
      </c>
    </row>
    <row r="267" spans="2:30" s="114" customFormat="1" ht="13.2" hidden="1" outlineLevel="1">
      <c r="B267" s="143"/>
      <c r="C267" s="144"/>
      <c r="D267" s="212">
        <f t="shared" si="39"/>
        <v>0</v>
      </c>
      <c r="E267" s="213"/>
      <c r="F267" s="144"/>
      <c r="G267" s="222"/>
      <c r="H267" s="144"/>
      <c r="I267" s="213"/>
      <c r="J267" s="213"/>
      <c r="K267" s="213"/>
      <c r="L267" s="213"/>
      <c r="M267" s="213"/>
      <c r="N267" s="168"/>
      <c r="Q267" s="226"/>
      <c r="R267" s="144"/>
      <c r="S267" s="820"/>
      <c r="T267" s="152"/>
      <c r="V267" s="564"/>
      <c r="W267" s="565"/>
      <c r="X267" s="565"/>
      <c r="Y267" s="565"/>
      <c r="Z267" s="567"/>
      <c r="AA267" s="590"/>
      <c r="AC267" s="2211"/>
      <c r="AD267" s="1130"/>
    </row>
    <row r="268" spans="2:30" s="114" customFormat="1" ht="13.2" hidden="1" outlineLevel="1">
      <c r="B268" s="143"/>
      <c r="C268" s="144"/>
      <c r="D268" s="212"/>
      <c r="E268" s="213"/>
      <c r="F268" s="144"/>
      <c r="G268" s="222"/>
      <c r="H268" s="144"/>
      <c r="I268" s="2768" t="s">
        <v>4105</v>
      </c>
      <c r="J268" s="2768"/>
      <c r="K268" s="2768"/>
      <c r="L268" s="2768"/>
      <c r="M268" s="2768"/>
      <c r="N268" s="168"/>
      <c r="Q268" s="226"/>
      <c r="R268" s="144"/>
      <c r="S268" s="820"/>
      <c r="T268" s="152"/>
      <c r="V268" s="564"/>
      <c r="W268" s="565"/>
      <c r="X268" s="565"/>
      <c r="Y268" s="565"/>
      <c r="Z268" s="567"/>
      <c r="AA268" s="590"/>
      <c r="AC268" s="2327"/>
      <c r="AD268" s="1130"/>
    </row>
    <row r="269" spans="2:30" s="114" customFormat="1" ht="13.2" hidden="1" outlineLevel="1">
      <c r="B269" s="332" t="s">
        <v>4163</v>
      </c>
      <c r="C269" s="144"/>
      <c r="D269" s="212"/>
      <c r="E269" s="213"/>
      <c r="F269" s="144"/>
      <c r="G269" s="222"/>
      <c r="H269" s="144"/>
      <c r="I269" s="213" t="s">
        <v>3135</v>
      </c>
      <c r="J269" s="213" t="s">
        <v>3136</v>
      </c>
      <c r="K269" s="213" t="s">
        <v>3141</v>
      </c>
      <c r="L269" s="213" t="s">
        <v>3137</v>
      </c>
      <c r="M269" s="213" t="s">
        <v>3138</v>
      </c>
      <c r="N269" s="168"/>
      <c r="Q269" s="319"/>
      <c r="R269" s="144"/>
      <c r="S269" s="820"/>
      <c r="T269" s="152"/>
      <c r="V269" s="564"/>
      <c r="W269" s="565"/>
      <c r="X269" s="565"/>
      <c r="Y269" s="565"/>
      <c r="Z269" s="567"/>
      <c r="AA269" s="590"/>
      <c r="AC269" s="2326"/>
      <c r="AD269" s="1130"/>
    </row>
    <row r="270" spans="2:30" s="114" customFormat="1" ht="13.2" hidden="1" outlineLevel="1">
      <c r="B270" s="143" t="s">
        <v>4121</v>
      </c>
      <c r="C270" s="144"/>
      <c r="D270" s="212">
        <f>N270</f>
        <v>0</v>
      </c>
      <c r="E270" s="213"/>
      <c r="F270" s="117"/>
      <c r="G270" s="224"/>
      <c r="H270" s="1211" t="str">
        <f>VLOOKUP(B270,'FE Intrants'!F:U,5,FALSE)</f>
        <v>kgCO2e/unité</v>
      </c>
      <c r="I270" s="213">
        <f>VLOOKUP($B270&amp;"; "&amp;$H270&amp;", "&amp;$I$269,'FE Intrants'!$G:$U,9,FALSE)*$F270</f>
        <v>0</v>
      </c>
      <c r="J270" s="213">
        <f>IF(ISNA(VLOOKUP($B270&amp;"; "&amp;$H270&amp;", "&amp;$J$269,'FE Intrants'!$G:$U,9,FALSE)),0,VLOOKUP($B270&amp;"; "&amp;$H270&amp;", "&amp;$J$269,'FE Intrants'!$G:$U,9,FALSE)*$F270)</f>
        <v>0</v>
      </c>
      <c r="K270" s="213">
        <f>IF(ISNA(VLOOKUP($B270&amp;"; "&amp;$H270&amp;", "&amp;$K$269,'FE Intrants'!$G:$U,9,FALSE)),0,VLOOKUP($B270&amp;"; "&amp;$H270&amp;", "&amp;$K$269,'FE Intrants'!$G:$U,9,FALSE)*$F270)</f>
        <v>0</v>
      </c>
      <c r="L270" s="213">
        <f>IF(ISNA(VLOOKUP($B270&amp;"; "&amp;$H270&amp;", "&amp;$L$269,'FE Intrants'!$G:$U,9,FALSE)),0,VLOOKUP($B270&amp;"; "&amp;$H270&amp;", "&amp;$L$269,'FE Intrants'!$G:$U,9,FALSE)*$F270)</f>
        <v>0</v>
      </c>
      <c r="M270" s="213">
        <f>IF(ISNA(VLOOKUP($B270&amp;"; "&amp;$H270&amp;", "&amp;$M$269,'FE Intrants'!$G:$U,9,FALSE)),0,VLOOKUP($B270&amp;"; "&amp;$H270&amp;", "&amp;$M$269,'FE Intrants'!$G:$U,9,FALSE)*$F270)</f>
        <v>0</v>
      </c>
      <c r="N270" s="168">
        <f>SUM(I270:M270)</f>
        <v>0</v>
      </c>
      <c r="Q270" s="319">
        <f>IF(T270=0,T270,T270/N270)</f>
        <v>0</v>
      </c>
      <c r="R270" s="1016"/>
      <c r="S270" s="820"/>
      <c r="T270" s="152">
        <f>SUM(I270:M270)*AD270</f>
        <v>0</v>
      </c>
      <c r="V270" s="564">
        <f>IFERROR(F270*SUM((VLOOKUP(B270&amp;"; "&amp;H270&amp;", "&amp;I$269,'FE Intrants'!$G:$U,10,FALSE)),
VLOOKUP(B270&amp;"; "&amp;H270&amp;", "&amp;J$269,'FE Intrants'!$G:$U,10,FALSE),
VLOOKUP(B270&amp;"; "&amp;H270&amp;", "&amp;K$269,'FE Intrants'!$G:$U,10,FALSE),
VLOOKUP(B270&amp;"; "&amp;H270&amp;", "&amp;L$269,'FE Intrants'!$G:$U,10,FALSE),
VLOOKUP(B270&amp;"; "&amp;H270&amp;", "&amp;M$269,'FE Intrants'!$G:$U,10,FALSE)),
F270*VLOOKUP(B270&amp;"; "&amp;H270&amp;", "&amp;I$269,'FE Intrants'!$G:$U,10,FALSE))</f>
        <v>0</v>
      </c>
      <c r="W270" s="565">
        <f>IFERROR(F270*SUM((VLOOKUP(B270&amp;"; "&amp;H2179&amp;", "&amp;I$269,'FE Intrants'!$G:$U,11,FALSE)+VLOOKUP(B270&amp;"; "&amp;H270&amp;", "&amp;I$269,'FE Intrants'!$G:$U,12,FALSE)),
(VLOOKUP(B270&amp;"; "&amp;H270&amp;", "&amp;J$269,'FE Intrants'!$G:$U,11,FALSE)+VLOOKUP(B270&amp;"; "&amp;H270&amp;", "&amp;J$269,'FE Intrants'!$G:$U,12,FALSE)),
(VLOOKUP(B270&amp;"; "&amp;H270&amp;", "&amp;K$269,'FE Intrants'!$G:$U,11,FALSE)+VLOOKUP(B270&amp;"; "&amp;H270&amp;", "&amp;K$269,'FE Intrants'!$G:$U,12,FALSE)),
(VLOOKUP(B270&amp;"; "&amp;H270&amp;", "&amp;L$269,'FE Intrants'!$G:$U,11,FALSE)+VLOOKUP(B270&amp;"; "&amp;H270&amp;", "&amp;L$269,'FE Intrants'!$G:$U,12,FALSE)),
(VLOOKUP(B270&amp;"; "&amp;H270&amp;", "&amp;M$269,'FE Intrants'!$G:$U,11,FALSE)+VLOOKUP(B270&amp;"; "&amp;H270&amp;", "&amp;M$269,'FE Intrants'!$G:$U,12,FALSE))),
F229*VLOOKUP(B229&amp;"; "&amp;H229&amp;", "&amp;I$214,'FE Intrants'!$G:$U,11,FALSE)+VLOOKUP(B229&amp;"; "&amp;H229&amp;", "&amp;I$214,'FE Intrants'!$G:$U,12,FALSE))</f>
        <v>0</v>
      </c>
      <c r="X270" s="565">
        <f>IFERROR(F270*SUM((VLOOKUP(B270&amp;"; "&amp;H270&amp;", "&amp;I$269,'FE Intrants'!$G:$U,13,FALSE)),
VLOOKUP(B270&amp;"; "&amp;H270&amp;", "&amp;J$269,'FE Intrants'!$G:$U,13,FALSE),
VLOOKUP(B270&amp;"; "&amp;H270&amp;", "&amp;K$269,'FE Intrants'!$G:$U,13,FALSE),
VLOOKUP(B270&amp;"; "&amp;H270&amp;", "&amp;L$269,'FE Intrants'!$G:$U,13,FALSE),
VLOOKUP(B270&amp;"; "&amp;H270&amp;", "&amp;M$269,'FE Intrants'!$G:$U,13,FALSE)),
F270*VLOOKUP(B270&amp;"; "&amp;H270&amp;", "&amp;I$269,'FE Intrants'!$G:$U,13,FALSE))</f>
        <v>0</v>
      </c>
      <c r="Y270" s="565">
        <f>IFERROR(F270*SUM((VLOOKUP(B270&amp;"; "&amp;H270&amp;", "&amp;I$269,'FE Intrants'!$G:$U,14,FALSE)),
VLOOKUP(B270&amp;"; "&amp;H270&amp;", "&amp;J$269,'FE Intrants'!$G:$U,14,FALSE),
VLOOKUP(B270&amp;"; "&amp;H270&amp;", "&amp;K$269,'FE Intrants'!$G:$U,14,FALSE),
VLOOKUP(B270&amp;"; "&amp;H270&amp;", "&amp;L$269,'FE Intrants'!$G:$U,14,FALSE),
VLOOKUP(B270&amp;"; "&amp;H270&amp;", "&amp;M$269,'FE Intrants'!$G:$U,14,FALSE)),
F270*VLOOKUP(B270&amp;"; "&amp;H270&amp;", "&amp;I$269,'FE Intrants'!$G:$U,14,FALSE))</f>
        <v>0</v>
      </c>
      <c r="Z270" s="567">
        <f>SUM(V270:Y270)</f>
        <v>0</v>
      </c>
      <c r="AA270" s="590">
        <f>IFERROR(F270*SUM((VLOOKUP(B270&amp;"; "&amp;H270&amp;", "&amp;I$269,'FE Intrants'!$G:$U,15,FALSE)),
VLOOKUP(B270&amp;"; "&amp;H270&amp;", "&amp;J$269,'FE Intrants'!$G:$U,15,FALSE),
VLOOKUP(B270&amp;"; "&amp;H270&amp;", "&amp;K$269,'FE Intrants'!$G:$U,15,FALSE),
VLOOKUP(B270&amp;"; "&amp;H270&amp;", "&amp;L$269,'FE Intrants'!$G:$U,15,FALSE),
VLOOKUP(B270&amp;"; "&amp;H270&amp;", "&amp;M$269,'FE Intrants'!$G:$U,15,FALSE)),
F270*VLOOKUP(B270&amp;"; "&amp;H270&amp;", "&amp;I$269,'FE Intrants'!$G:$U,15,FALSE))</f>
        <v>0</v>
      </c>
      <c r="AC270" s="2326">
        <f>IF($R270&lt;&gt;"votre valeur :",IF(ISNA(VLOOKUP($R270,Utilitaires!$N$566:$O$571,2,FALSE)),,VLOOKUP($R270,Utilitaires!$N$566:$O$571,2,FALSE)),$S270)</f>
        <v>0</v>
      </c>
      <c r="AD270" s="1130">
        <f>SQRT(SUMSQ(AC270,VLOOKUP($B270&amp;"; "&amp;$H270&amp;", "&amp;$I$269,'FE Intrants'!G:U,7,FALSE)))</f>
        <v>0.5</v>
      </c>
    </row>
    <row r="271" spans="2:30" s="114" customFormat="1" ht="13.2" hidden="1" outlineLevel="1">
      <c r="B271" s="143" t="s">
        <v>4166</v>
      </c>
      <c r="C271" s="144"/>
      <c r="D271" s="212">
        <f t="shared" ref="D271:D273" si="44">N271</f>
        <v>0</v>
      </c>
      <c r="E271" s="213"/>
      <c r="F271" s="120"/>
      <c r="G271" s="224"/>
      <c r="H271" s="1212" t="str">
        <f>VLOOKUP(B271,'FE Intrants'!F:U,5,FALSE)</f>
        <v>kgCO2e/unité</v>
      </c>
      <c r="I271" s="213">
        <f>VLOOKUP($B271&amp;"; "&amp;$H271&amp;", "&amp;$I$269,'FE Intrants'!$G:$U,9,FALSE)*$F271</f>
        <v>0</v>
      </c>
      <c r="J271" s="213">
        <f>IF(ISNA(VLOOKUP($B271&amp;"; "&amp;$H271&amp;", "&amp;$J$269,'FE Intrants'!$G:$U,9,FALSE)),0,VLOOKUP($B271&amp;"; "&amp;$H271&amp;", "&amp;$J$269,'FE Intrants'!$G:$U,9,FALSE)*$F271)</f>
        <v>0</v>
      </c>
      <c r="K271" s="213">
        <f>IF(ISNA(VLOOKUP($B271&amp;"; "&amp;$H271&amp;", "&amp;$K$269,'FE Intrants'!$G:$U,9,FALSE)),0,VLOOKUP($B271&amp;"; "&amp;$H271&amp;", "&amp;$K$269,'FE Intrants'!$G:$U,9,FALSE)*$F271)</f>
        <v>0</v>
      </c>
      <c r="L271" s="213">
        <f>IF(ISNA(VLOOKUP($B271&amp;"; "&amp;$H271&amp;", "&amp;$L$269,'FE Intrants'!$G:$U,9,FALSE)),0,VLOOKUP($B271&amp;"; "&amp;$H271&amp;", "&amp;$L$269,'FE Intrants'!$G:$U,9,FALSE)*$F271)</f>
        <v>0</v>
      </c>
      <c r="M271" s="213">
        <f>IF(ISNA(VLOOKUP($B271&amp;"; "&amp;$H271&amp;", "&amp;$M$269,'FE Intrants'!$G:$U,9,FALSE)),0,VLOOKUP($B271&amp;"; "&amp;$H271&amp;", "&amp;$M$269,'FE Intrants'!$G:$U,9,FALSE)*$F271)</f>
        <v>0</v>
      </c>
      <c r="N271" s="168">
        <f t="shared" ref="N271:N273" si="45">SUM(I271:M271)</f>
        <v>0</v>
      </c>
      <c r="Q271" s="319">
        <f t="shared" ref="Q271:Q273" si="46">IF(T271=0,T271,T271/N271)</f>
        <v>0</v>
      </c>
      <c r="R271" s="1016"/>
      <c r="S271" s="820"/>
      <c r="T271" s="152">
        <f t="shared" ref="T271:T273" si="47">SUM(I271:M271)*AD271</f>
        <v>0</v>
      </c>
      <c r="V271" s="564">
        <f>IFERROR(F271*SUM((VLOOKUP(B271&amp;"; "&amp;H271&amp;", "&amp;I$269,'FE Intrants'!$G:$U,10,FALSE)),
VLOOKUP(B271&amp;"; "&amp;H271&amp;", "&amp;J$269,'FE Intrants'!$G:$U,10,FALSE),
VLOOKUP(B271&amp;"; "&amp;H271&amp;", "&amp;K$269,'FE Intrants'!$G:$U,10,FALSE),
VLOOKUP(B271&amp;"; "&amp;H271&amp;", "&amp;L$269,'FE Intrants'!$G:$U,10,FALSE),
VLOOKUP(B271&amp;"; "&amp;H271&amp;", "&amp;M$269,'FE Intrants'!$G:$U,10,FALSE)),
F271*VLOOKUP(B271&amp;"; "&amp;H271&amp;", "&amp;I$269,'FE Intrants'!$G:$U,10,FALSE))</f>
        <v>0</v>
      </c>
      <c r="W271" s="565">
        <f>IFERROR(F271*SUM((VLOOKUP(B271&amp;"; "&amp;H2180&amp;", "&amp;I$269,'FE Intrants'!$G:$U,11,FALSE)+VLOOKUP(B271&amp;"; "&amp;H271&amp;", "&amp;I$269,'FE Intrants'!$G:$U,12,FALSE)),
(VLOOKUP(B271&amp;"; "&amp;H271&amp;", "&amp;J$269,'FE Intrants'!$G:$U,11,FALSE)+VLOOKUP(B271&amp;"; "&amp;H271&amp;", "&amp;J$269,'FE Intrants'!$G:$U,12,FALSE)),
(VLOOKUP(B271&amp;"; "&amp;H271&amp;", "&amp;K$269,'FE Intrants'!$G:$U,11,FALSE)+VLOOKUP(B271&amp;"; "&amp;H271&amp;", "&amp;K$269,'FE Intrants'!$G:$U,12,FALSE)),
(VLOOKUP(B271&amp;"; "&amp;H271&amp;", "&amp;L$269,'FE Intrants'!$G:$U,11,FALSE)+VLOOKUP(B271&amp;"; "&amp;H271&amp;", "&amp;L$269,'FE Intrants'!$G:$U,12,FALSE)),
(VLOOKUP(B271&amp;"; "&amp;H271&amp;", "&amp;M$269,'FE Intrants'!$G:$U,11,FALSE)+VLOOKUP(B271&amp;"; "&amp;H271&amp;", "&amp;M$269,'FE Intrants'!$G:$U,12,FALSE))),
F230*VLOOKUP(B230&amp;"; "&amp;H230&amp;", "&amp;I$214,'FE Intrants'!$G:$U,11,FALSE)+VLOOKUP(B230&amp;"; "&amp;H230&amp;", "&amp;I$214,'FE Intrants'!$G:$U,12,FALSE))</f>
        <v>0</v>
      </c>
      <c r="X271" s="565">
        <f>IFERROR(F271*SUM((VLOOKUP(B271&amp;"; "&amp;H271&amp;", "&amp;I$269,'FE Intrants'!$G:$U,13,FALSE)),
VLOOKUP(B271&amp;"; "&amp;H271&amp;", "&amp;J$269,'FE Intrants'!$G:$U,13,FALSE),
VLOOKUP(B271&amp;"; "&amp;H271&amp;", "&amp;K$269,'FE Intrants'!$G:$U,13,FALSE),
VLOOKUP(B271&amp;"; "&amp;H271&amp;", "&amp;L$269,'FE Intrants'!$G:$U,13,FALSE),
VLOOKUP(B271&amp;"; "&amp;H271&amp;", "&amp;M$269,'FE Intrants'!$G:$U,13,FALSE)),
F271*VLOOKUP(B271&amp;"; "&amp;H271&amp;", "&amp;I$269,'FE Intrants'!$G:$U,13,FALSE))</f>
        <v>0</v>
      </c>
      <c r="Y271" s="565">
        <f>IFERROR(F271*SUM((VLOOKUP(B271&amp;"; "&amp;H271&amp;", "&amp;I$269,'FE Intrants'!$G:$U,14,FALSE)),
VLOOKUP(B271&amp;"; "&amp;H271&amp;", "&amp;J$269,'FE Intrants'!$G:$U,14,FALSE),
VLOOKUP(B271&amp;"; "&amp;H271&amp;", "&amp;K$269,'FE Intrants'!$G:$U,14,FALSE),
VLOOKUP(B271&amp;"; "&amp;H271&amp;", "&amp;L$269,'FE Intrants'!$G:$U,14,FALSE),
VLOOKUP(B271&amp;"; "&amp;H271&amp;", "&amp;M$269,'FE Intrants'!$G:$U,14,FALSE)),
F271*VLOOKUP(B271&amp;"; "&amp;H271&amp;", "&amp;I$269,'FE Intrants'!$G:$U,14,FALSE))</f>
        <v>0</v>
      </c>
      <c r="Z271" s="567">
        <f t="shared" ref="Z271:Z273" si="48">SUM(V271:Y271)</f>
        <v>0</v>
      </c>
      <c r="AA271" s="590">
        <f>IFERROR(F271*SUM((VLOOKUP(B271&amp;"; "&amp;H271&amp;", "&amp;I$269,'FE Intrants'!$G:$U,15,FALSE)),
VLOOKUP(B271&amp;"; "&amp;H271&amp;", "&amp;J$269,'FE Intrants'!$G:$U,15,FALSE),
VLOOKUP(B271&amp;"; "&amp;H271&amp;", "&amp;K$269,'FE Intrants'!$G:$U,15,FALSE),
VLOOKUP(B271&amp;"; "&amp;H271&amp;", "&amp;L$269,'FE Intrants'!$G:$U,15,FALSE),
VLOOKUP(B271&amp;"; "&amp;H271&amp;", "&amp;M$269,'FE Intrants'!$G:$U,15,FALSE)),
F271*VLOOKUP(B271&amp;"; "&amp;H271&amp;", "&amp;I$269,'FE Intrants'!$G:$U,15,FALSE))</f>
        <v>0</v>
      </c>
      <c r="AC271" s="2326">
        <f>IF($R271&lt;&gt;"votre valeur :",IF(ISNA(VLOOKUP($R271,Utilitaires!$N$566:$O$571,2,FALSE)),,VLOOKUP($R271,Utilitaires!$N$566:$O$571,2,FALSE)),$S271)</f>
        <v>0</v>
      </c>
      <c r="AD271" s="1130">
        <f>SQRT(SUMSQ(AC271,VLOOKUP($B271&amp;"; "&amp;$H271&amp;", "&amp;$I$269,'FE Intrants'!G:U,7,FALSE)))</f>
        <v>0.5</v>
      </c>
    </row>
    <row r="272" spans="2:30" s="114" customFormat="1" ht="13.2" hidden="1" outlineLevel="1">
      <c r="B272" s="143" t="s">
        <v>4167</v>
      </c>
      <c r="C272" s="144"/>
      <c r="D272" s="212">
        <f t="shared" si="44"/>
        <v>0</v>
      </c>
      <c r="E272" s="213"/>
      <c r="F272" s="120"/>
      <c r="G272" s="224"/>
      <c r="H272" s="1212" t="str">
        <f>VLOOKUP(B272,'FE Intrants'!F:U,5,FALSE)</f>
        <v>kgCO2e/tonne</v>
      </c>
      <c r="I272" s="213">
        <f>VLOOKUP($B272&amp;"; "&amp;$H272&amp;", "&amp;$I$269,'FE Intrants'!$G:$U,9,FALSE)*$F272</f>
        <v>0</v>
      </c>
      <c r="J272" s="213">
        <f>IF(ISNA(VLOOKUP($B272&amp;"; "&amp;$H272&amp;", "&amp;$J$269,'FE Intrants'!$G:$U,9,FALSE)),0,VLOOKUP($B272&amp;"; "&amp;$H272&amp;", "&amp;$J$269,'FE Intrants'!$G:$U,9,FALSE)*$F272)</f>
        <v>0</v>
      </c>
      <c r="K272" s="213">
        <f>IF(ISNA(VLOOKUP($B272&amp;"; "&amp;$H272&amp;", "&amp;$K$269,'FE Intrants'!$G:$U,9,FALSE)),0,VLOOKUP($B272&amp;"; "&amp;$H272&amp;", "&amp;$K$269,'FE Intrants'!$G:$U,9,FALSE)*$F272)</f>
        <v>0</v>
      </c>
      <c r="L272" s="213">
        <f>IF(ISNA(VLOOKUP($B272&amp;"; "&amp;$H272&amp;", "&amp;$L$269,'FE Intrants'!$G:$U,9,FALSE)),0,VLOOKUP($B272&amp;"; "&amp;$H272&amp;", "&amp;$L$269,'FE Intrants'!$G:$U,9,FALSE)*$F272)</f>
        <v>0</v>
      </c>
      <c r="M272" s="213">
        <f>IF(ISNA(VLOOKUP($B272&amp;"; "&amp;$H272&amp;", "&amp;$M$269,'FE Intrants'!$G:$U,9,FALSE)),0,VLOOKUP($B272&amp;"; "&amp;$H272&amp;", "&amp;$M$269,'FE Intrants'!$G:$U,9,FALSE)*$F272)</f>
        <v>0</v>
      </c>
      <c r="N272" s="168">
        <f t="shared" si="45"/>
        <v>0</v>
      </c>
      <c r="Q272" s="319">
        <f t="shared" si="46"/>
        <v>0</v>
      </c>
      <c r="R272" s="1016"/>
      <c r="S272" s="820"/>
      <c r="T272" s="152">
        <f t="shared" si="47"/>
        <v>0</v>
      </c>
      <c r="V272" s="564">
        <f>IFERROR(F272*SUM((VLOOKUP(B272&amp;"; "&amp;H272&amp;", "&amp;I$269,'FE Intrants'!$G:$U,10,FALSE)),
VLOOKUP(B272&amp;"; "&amp;H272&amp;", "&amp;J$269,'FE Intrants'!$G:$U,10,FALSE),
VLOOKUP(B272&amp;"; "&amp;H272&amp;", "&amp;K$269,'FE Intrants'!$G:$U,10,FALSE),
VLOOKUP(B272&amp;"; "&amp;H272&amp;", "&amp;L$269,'FE Intrants'!$G:$U,10,FALSE),
VLOOKUP(B272&amp;"; "&amp;H272&amp;", "&amp;M$269,'FE Intrants'!$G:$U,10,FALSE)),
F272*VLOOKUP(B272&amp;"; "&amp;H272&amp;", "&amp;I$269,'FE Intrants'!$G:$U,10,FALSE))</f>
        <v>0</v>
      </c>
      <c r="W272" s="565">
        <f>IFERROR(F272*SUM((VLOOKUP(B272&amp;"; "&amp;H2181&amp;", "&amp;I$269,'FE Intrants'!$G:$U,11,FALSE)+VLOOKUP(B272&amp;"; "&amp;H272&amp;", "&amp;I$269,'FE Intrants'!$G:$U,12,FALSE)),
(VLOOKUP(B272&amp;"; "&amp;H272&amp;", "&amp;J$269,'FE Intrants'!$G:$U,11,FALSE)+VLOOKUP(B272&amp;"; "&amp;H272&amp;", "&amp;J$269,'FE Intrants'!$G:$U,12,FALSE)),
(VLOOKUP(B272&amp;"; "&amp;H272&amp;", "&amp;K$269,'FE Intrants'!$G:$U,11,FALSE)+VLOOKUP(B272&amp;"; "&amp;H272&amp;", "&amp;K$269,'FE Intrants'!$G:$U,12,FALSE)),
(VLOOKUP(B272&amp;"; "&amp;H272&amp;", "&amp;L$269,'FE Intrants'!$G:$U,11,FALSE)+VLOOKUP(B272&amp;"; "&amp;H272&amp;", "&amp;L$269,'FE Intrants'!$G:$U,12,FALSE)),
(VLOOKUP(B272&amp;"; "&amp;H272&amp;", "&amp;M$269,'FE Intrants'!$G:$U,11,FALSE)+VLOOKUP(B272&amp;"; "&amp;H272&amp;", "&amp;M$269,'FE Intrants'!$G:$U,12,FALSE))),
F231*VLOOKUP(B231&amp;"; "&amp;H231&amp;", "&amp;I$214,'FE Intrants'!$G:$U,11,FALSE)+VLOOKUP(B231&amp;"; "&amp;H231&amp;", "&amp;I$214,'FE Intrants'!$G:$U,12,FALSE))</f>
        <v>0</v>
      </c>
      <c r="X272" s="565">
        <f>IFERROR(F272*SUM((VLOOKUP(B272&amp;"; "&amp;H272&amp;", "&amp;I$269,'FE Intrants'!$G:$U,13,FALSE)),
VLOOKUP(B272&amp;"; "&amp;H272&amp;", "&amp;J$269,'FE Intrants'!$G:$U,13,FALSE),
VLOOKUP(B272&amp;"; "&amp;H272&amp;", "&amp;K$269,'FE Intrants'!$G:$U,13,FALSE),
VLOOKUP(B272&amp;"; "&amp;H272&amp;", "&amp;L$269,'FE Intrants'!$G:$U,13,FALSE),
VLOOKUP(B272&amp;"; "&amp;H272&amp;", "&amp;M$269,'FE Intrants'!$G:$U,13,FALSE)),
F272*VLOOKUP(B272&amp;"; "&amp;H272&amp;", "&amp;I$269,'FE Intrants'!$G:$U,13,FALSE))</f>
        <v>0</v>
      </c>
      <c r="Y272" s="565">
        <f>IFERROR(F272*SUM((VLOOKUP(B272&amp;"; "&amp;H272&amp;", "&amp;I$269,'FE Intrants'!$G:$U,14,FALSE)),
VLOOKUP(B272&amp;"; "&amp;H272&amp;", "&amp;J$269,'FE Intrants'!$G:$U,14,FALSE),
VLOOKUP(B272&amp;"; "&amp;H272&amp;", "&amp;K$269,'FE Intrants'!$G:$U,14,FALSE),
VLOOKUP(B272&amp;"; "&amp;H272&amp;", "&amp;L$269,'FE Intrants'!$G:$U,14,FALSE),
VLOOKUP(B272&amp;"; "&amp;H272&amp;", "&amp;M$269,'FE Intrants'!$G:$U,14,FALSE)),
F272*VLOOKUP(B272&amp;"; "&amp;H272&amp;", "&amp;I$269,'FE Intrants'!$G:$U,14,FALSE))</f>
        <v>0</v>
      </c>
      <c r="Z272" s="567">
        <f t="shared" si="48"/>
        <v>0</v>
      </c>
      <c r="AA272" s="590">
        <f>IFERROR(F272*SUM((VLOOKUP(B272&amp;"; "&amp;H272&amp;", "&amp;I$269,'FE Intrants'!$G:$U,15,FALSE)),
VLOOKUP(B272&amp;"; "&amp;H272&amp;", "&amp;J$269,'FE Intrants'!$G:$U,15,FALSE),
VLOOKUP(B272&amp;"; "&amp;H272&amp;", "&amp;K$269,'FE Intrants'!$G:$U,15,FALSE),
VLOOKUP(B272&amp;"; "&amp;H272&amp;", "&amp;L$269,'FE Intrants'!$G:$U,15,FALSE),
VLOOKUP(B272&amp;"; "&amp;H272&amp;", "&amp;M$269,'FE Intrants'!$G:$U,15,FALSE)),
F272*VLOOKUP(B272&amp;"; "&amp;H272&amp;", "&amp;I$269,'FE Intrants'!$G:$U,15,FALSE))</f>
        <v>0</v>
      </c>
      <c r="AC272" s="2326">
        <f>IF($R272&lt;&gt;"votre valeur :",IF(ISNA(VLOOKUP($R272,Utilitaires!$N$566:$O$571,2,FALSE)),,VLOOKUP($R272,Utilitaires!$N$566:$O$571,2,FALSE)),$S272)</f>
        <v>0</v>
      </c>
      <c r="AD272" s="1130">
        <f>SQRT(SUMSQ(AC272,VLOOKUP($B272&amp;"; "&amp;$H272&amp;", "&amp;$I$269,'FE Intrants'!G:U,7,FALSE)))</f>
        <v>0.5</v>
      </c>
    </row>
    <row r="273" spans="2:30" s="114" customFormat="1" ht="13.2" hidden="1" outlineLevel="1">
      <c r="B273" s="143" t="s">
        <v>4168</v>
      </c>
      <c r="C273" s="144"/>
      <c r="D273" s="212">
        <f t="shared" si="44"/>
        <v>0</v>
      </c>
      <c r="E273" s="213"/>
      <c r="F273" s="123"/>
      <c r="G273" s="224"/>
      <c r="H273" s="1213" t="str">
        <f>VLOOKUP(B273,'FE Intrants'!F:U,5,FALSE)</f>
        <v>kgCO2e/unité</v>
      </c>
      <c r="I273" s="213">
        <f>VLOOKUP($B273&amp;"; "&amp;$H273&amp;", "&amp;$I$269,'FE Intrants'!$G:$U,9,FALSE)*$F273</f>
        <v>0</v>
      </c>
      <c r="J273" s="213">
        <f>IF(ISNA(VLOOKUP($B273&amp;"; "&amp;$H273&amp;", "&amp;$J$269,'FE Intrants'!$G:$U,9,FALSE)),0,VLOOKUP($B273&amp;"; "&amp;$H273&amp;", "&amp;$J$269,'FE Intrants'!$G:$U,9,FALSE)*$F273)</f>
        <v>0</v>
      </c>
      <c r="K273" s="213">
        <f>IF(ISNA(VLOOKUP($B273&amp;"; "&amp;$H273&amp;", "&amp;$K$269,'FE Intrants'!$G:$U,9,FALSE)),0,VLOOKUP($B273&amp;"; "&amp;$H273&amp;", "&amp;$K$269,'FE Intrants'!$G:$U,9,FALSE)*$F273)</f>
        <v>0</v>
      </c>
      <c r="L273" s="213">
        <f>IF(ISNA(VLOOKUP($B273&amp;"; "&amp;$H273&amp;", "&amp;$L$269,'FE Intrants'!$G:$U,9,FALSE)),0,VLOOKUP($B273&amp;"; "&amp;$H273&amp;", "&amp;$L$269,'FE Intrants'!$G:$U,9,FALSE)*$F273)</f>
        <v>0</v>
      </c>
      <c r="M273" s="213">
        <f>IF(ISNA(VLOOKUP($B273&amp;"; "&amp;$H273&amp;", "&amp;$M$269,'FE Intrants'!$G:$U,9,FALSE)),0,VLOOKUP($B273&amp;"; "&amp;$H273&amp;", "&amp;$M$269,'FE Intrants'!$G:$U,9,FALSE)*$F273)</f>
        <v>0</v>
      </c>
      <c r="N273" s="168">
        <f t="shared" si="45"/>
        <v>0</v>
      </c>
      <c r="Q273" s="319">
        <f t="shared" si="46"/>
        <v>0</v>
      </c>
      <c r="R273" s="1016"/>
      <c r="S273" s="820"/>
      <c r="T273" s="152">
        <f t="shared" si="47"/>
        <v>0</v>
      </c>
      <c r="V273" s="564">
        <f>IFERROR(F273*SUM((VLOOKUP(B273&amp;"; "&amp;H273&amp;", "&amp;I$269,'FE Intrants'!$G:$U,10,FALSE)),
VLOOKUP(B273&amp;"; "&amp;H273&amp;", "&amp;J$269,'FE Intrants'!$G:$U,10,FALSE),
VLOOKUP(B273&amp;"; "&amp;H273&amp;", "&amp;K$269,'FE Intrants'!$G:$U,10,FALSE),
VLOOKUP(B273&amp;"; "&amp;H273&amp;", "&amp;L$269,'FE Intrants'!$G:$U,10,FALSE),
VLOOKUP(B273&amp;"; "&amp;H273&amp;", "&amp;M$269,'FE Intrants'!$G:$U,10,FALSE)),
F273*VLOOKUP(B273&amp;"; "&amp;H273&amp;", "&amp;I$269,'FE Intrants'!$G:$U,10,FALSE))</f>
        <v>0</v>
      </c>
      <c r="W273" s="565">
        <f>IFERROR(F273*SUM((VLOOKUP(B273&amp;"; "&amp;H2182&amp;", "&amp;I$269,'FE Intrants'!$G:$U,11,FALSE)+VLOOKUP(B273&amp;"; "&amp;H273&amp;", "&amp;I$269,'FE Intrants'!$G:$U,12,FALSE)),
(VLOOKUP(B273&amp;"; "&amp;H273&amp;", "&amp;J$269,'FE Intrants'!$G:$U,11,FALSE)+VLOOKUP(B273&amp;"; "&amp;H273&amp;", "&amp;J$269,'FE Intrants'!$G:$U,12,FALSE)),
(VLOOKUP(B273&amp;"; "&amp;H273&amp;", "&amp;K$269,'FE Intrants'!$G:$U,11,FALSE)+VLOOKUP(B273&amp;"; "&amp;H273&amp;", "&amp;K$269,'FE Intrants'!$G:$U,12,FALSE)),
(VLOOKUP(B273&amp;"; "&amp;H273&amp;", "&amp;L$269,'FE Intrants'!$G:$U,11,FALSE)+VLOOKUP(B273&amp;"; "&amp;H273&amp;", "&amp;L$269,'FE Intrants'!$G:$U,12,FALSE)),
(VLOOKUP(B273&amp;"; "&amp;H273&amp;", "&amp;M$269,'FE Intrants'!$G:$U,11,FALSE)+VLOOKUP(B273&amp;"; "&amp;H273&amp;", "&amp;M$269,'FE Intrants'!$G:$U,12,FALSE))),
F232*VLOOKUP(B232&amp;"; "&amp;H232&amp;", "&amp;I$214,'FE Intrants'!$G:$U,11,FALSE)+VLOOKUP(B232&amp;"; "&amp;H232&amp;", "&amp;I$214,'FE Intrants'!$G:$U,12,FALSE))</f>
        <v>0</v>
      </c>
      <c r="X273" s="565">
        <f>IFERROR(F273*SUM((VLOOKUP(B273&amp;"; "&amp;H273&amp;", "&amp;I$269,'FE Intrants'!$G:$U,13,FALSE)),
VLOOKUP(B273&amp;"; "&amp;H273&amp;", "&amp;J$269,'FE Intrants'!$G:$U,13,FALSE),
VLOOKUP(B273&amp;"; "&amp;H273&amp;", "&amp;K$269,'FE Intrants'!$G:$U,13,FALSE),
VLOOKUP(B273&amp;"; "&amp;H273&amp;", "&amp;L$269,'FE Intrants'!$G:$U,13,FALSE),
VLOOKUP(B273&amp;"; "&amp;H273&amp;", "&amp;M$269,'FE Intrants'!$G:$U,13,FALSE)),
F273*VLOOKUP(B273&amp;"; "&amp;H273&amp;", "&amp;I$269,'FE Intrants'!$G:$U,13,FALSE))</f>
        <v>0</v>
      </c>
      <c r="Y273" s="565">
        <f>IFERROR(F273*SUM((VLOOKUP(B273&amp;"; "&amp;H273&amp;", "&amp;I$269,'FE Intrants'!$G:$U,14,FALSE)),
VLOOKUP(B273&amp;"; "&amp;H273&amp;", "&amp;J$269,'FE Intrants'!$G:$U,14,FALSE),
VLOOKUP(B273&amp;"; "&amp;H273&amp;", "&amp;K$269,'FE Intrants'!$G:$U,14,FALSE),
VLOOKUP(B273&amp;"; "&amp;H273&amp;", "&amp;L$269,'FE Intrants'!$G:$U,14,FALSE),
VLOOKUP(B273&amp;"; "&amp;H273&amp;", "&amp;M$269,'FE Intrants'!$G:$U,14,FALSE)),
F273*VLOOKUP(B273&amp;"; "&amp;H273&amp;", "&amp;I$269,'FE Intrants'!$G:$U,14,FALSE))</f>
        <v>0</v>
      </c>
      <c r="Z273" s="567">
        <f t="shared" si="48"/>
        <v>0</v>
      </c>
      <c r="AA273" s="590">
        <f>IFERROR(F273*SUM((VLOOKUP(B273&amp;"; "&amp;H273&amp;", "&amp;I$269,'FE Intrants'!$G:$U,15,FALSE)),
VLOOKUP(B273&amp;"; "&amp;H273&amp;", "&amp;J$269,'FE Intrants'!$G:$U,15,FALSE),
VLOOKUP(B273&amp;"; "&amp;H273&amp;", "&amp;K$269,'FE Intrants'!$G:$U,15,FALSE),
VLOOKUP(B273&amp;"; "&amp;H273&amp;", "&amp;L$269,'FE Intrants'!$G:$U,15,FALSE),
VLOOKUP(B273&amp;"; "&amp;H273&amp;", "&amp;M$269,'FE Intrants'!$G:$U,15,FALSE)),
F273*VLOOKUP(B273&amp;"; "&amp;H273&amp;", "&amp;I$269,'FE Intrants'!$G:$U,15,FALSE))</f>
        <v>0</v>
      </c>
      <c r="AC273" s="2326">
        <f>IF($R273&lt;&gt;"votre valeur :",IF(ISNA(VLOOKUP($R273,Utilitaires!$N$566:$O$571,2,FALSE)),,VLOOKUP($R273,Utilitaires!$N$566:$O$571,2,FALSE)),$S273)</f>
        <v>0</v>
      </c>
      <c r="AD273" s="1130">
        <f>SQRT(SUMSQ(AC273,VLOOKUP($B273&amp;"; "&amp;$H273&amp;", "&amp;$I$269,'FE Intrants'!G:U,7,FALSE)))</f>
        <v>0.5</v>
      </c>
    </row>
    <row r="274" spans="2:30" s="114" customFormat="1" ht="13.2" hidden="1" outlineLevel="1">
      <c r="B274" s="143"/>
      <c r="C274" s="144"/>
      <c r="D274" s="212"/>
      <c r="E274" s="213"/>
      <c r="F274" s="144"/>
      <c r="G274" s="222"/>
      <c r="H274" s="144"/>
      <c r="I274" s="213"/>
      <c r="J274" s="213"/>
      <c r="K274" s="213"/>
      <c r="L274" s="213"/>
      <c r="M274" s="213"/>
      <c r="N274" s="168"/>
      <c r="Q274" s="226"/>
      <c r="R274" s="144"/>
      <c r="S274" s="820"/>
      <c r="T274" s="152"/>
      <c r="V274" s="564"/>
      <c r="W274" s="565"/>
      <c r="X274" s="565"/>
      <c r="Y274" s="565"/>
      <c r="Z274" s="567"/>
      <c r="AA274" s="590"/>
      <c r="AC274" s="2327"/>
      <c r="AD274" s="1130"/>
    </row>
    <row r="275" spans="2:30" s="114" customFormat="1" ht="13.2" hidden="1" outlineLevel="1">
      <c r="B275" s="333" t="s">
        <v>3773</v>
      </c>
      <c r="C275" s="144"/>
      <c r="D275" s="212">
        <f t="shared" si="39"/>
        <v>0</v>
      </c>
      <c r="E275" s="213"/>
      <c r="F275" s="144"/>
      <c r="G275" s="222"/>
      <c r="H275" s="144"/>
      <c r="I275" s="213"/>
      <c r="J275" s="213"/>
      <c r="K275" s="213"/>
      <c r="L275" s="213"/>
      <c r="M275" s="213"/>
      <c r="N275" s="168"/>
      <c r="Q275" s="226"/>
      <c r="R275" s="144"/>
      <c r="S275" s="820"/>
      <c r="T275" s="152"/>
      <c r="V275" s="564"/>
      <c r="W275" s="565"/>
      <c r="X275" s="565"/>
      <c r="Y275" s="565"/>
      <c r="Z275" s="567"/>
      <c r="AA275" s="590"/>
      <c r="AC275" s="2211"/>
      <c r="AD275" s="1130"/>
    </row>
    <row r="276" spans="2:30" s="114" customFormat="1" ht="13.2" hidden="1" outlineLevel="1">
      <c r="B276" s="143" t="s">
        <v>4008</v>
      </c>
      <c r="C276" s="144"/>
      <c r="D276" s="212">
        <f t="shared" si="39"/>
        <v>0</v>
      </c>
      <c r="E276" s="213"/>
      <c r="F276" s="117"/>
      <c r="G276" s="2220">
        <f>VLOOKUP($B276&amp;"; "&amp;H276,'FE Intrants'!$G:$U,9,FALSE)</f>
        <v>7.5500000000000003E-3</v>
      </c>
      <c r="H276" s="1211" t="str">
        <f>VLOOKUP(B276,'FE Intrants'!F:U,5,FALSE)</f>
        <v>kgCO2e/unité</v>
      </c>
      <c r="I276" s="213"/>
      <c r="J276" s="213"/>
      <c r="K276" s="213"/>
      <c r="L276" s="213"/>
      <c r="M276" s="213"/>
      <c r="N276" s="168">
        <f>F276*G276</f>
        <v>0</v>
      </c>
      <c r="Q276" s="319">
        <f t="shared" ref="Q276:Q289" si="49">IF(T276=0,T276,T276/N276)</f>
        <v>0</v>
      </c>
      <c r="R276" s="1016"/>
      <c r="S276" s="820"/>
      <c r="T276" s="152">
        <f t="shared" si="43"/>
        <v>0</v>
      </c>
      <c r="V276" s="564">
        <f>IF($F276*VLOOKUP($B276&amp;"; "&amp;$H276,'FE Intrants'!$G:$U,10,FALSE)=0,N276,$F276*VLOOKUP($B276&amp;"; "&amp;$H276,'FE Intrants'!$G:$U,10,FALSE))</f>
        <v>0</v>
      </c>
      <c r="W276" s="565">
        <f>$F276*(VLOOKUP($B276&amp;"; "&amp;$H276,'FE Intrants'!$G:$U,11,FALSE)+VLOOKUP($B276&amp;"; "&amp;$H276,'FE Intrants'!$G:$U,12,FALSE))</f>
        <v>0</v>
      </c>
      <c r="X276" s="565">
        <f>$F276*VLOOKUP($B276&amp;"; "&amp;$H276,'FE Intrants'!$G:$U,13,FALSE)</f>
        <v>0</v>
      </c>
      <c r="Y276" s="565">
        <f>$F276*VLOOKUP($B276&amp;"; "&amp;$H276,'FE Intrants'!$G:$U,14,FALSE)</f>
        <v>0</v>
      </c>
      <c r="Z276" s="567">
        <f t="shared" ref="Z276:Z280" si="50">SUM(V276:Y276)</f>
        <v>0</v>
      </c>
      <c r="AA276" s="590">
        <f>$F276*VLOOKUP($B276&amp;"; "&amp;$H276,'FE Intrants'!$G:$U,15,FALSE)</f>
        <v>0</v>
      </c>
      <c r="AC276" s="2209">
        <f>IF($R276&lt;&gt;"votre valeur :",IF(ISNA(VLOOKUP($R276,Utilitaires!$N$566:$O$571,2,FALSE)),,VLOOKUP($R276,Utilitaires!$N$566:$O$571,2,FALSE)),$S276)</f>
        <v>0</v>
      </c>
      <c r="AD276" s="1130">
        <f>SQRT(SUMSQ(AC276,VLOOKUP(B276&amp;"; "&amp;$H276,'FE Intrants'!G:U,7,FALSE)))</f>
        <v>1</v>
      </c>
    </row>
    <row r="277" spans="2:30" s="114" customFormat="1" ht="13.2" hidden="1" outlineLevel="1">
      <c r="B277" s="143" t="s">
        <v>4009</v>
      </c>
      <c r="C277" s="144"/>
      <c r="D277" s="212">
        <f t="shared" si="39"/>
        <v>0</v>
      </c>
      <c r="E277" s="213"/>
      <c r="F277" s="120"/>
      <c r="G277" s="2220">
        <f>VLOOKUP($B277&amp;"; "&amp;H277,'FE Intrants'!$G:$U,9,FALSE)</f>
        <v>4.0000000000000001E-3</v>
      </c>
      <c r="H277" s="1212" t="str">
        <f>VLOOKUP(B277,'FE Intrants'!F:U,5,FALSE)</f>
        <v>kgCO2e/unité</v>
      </c>
      <c r="I277" s="213"/>
      <c r="J277" s="213"/>
      <c r="K277" s="213"/>
      <c r="L277" s="213"/>
      <c r="M277" s="213"/>
      <c r="N277" s="168">
        <f t="shared" ref="N277:N280" si="51">F277*G277</f>
        <v>0</v>
      </c>
      <c r="Q277" s="319">
        <f t="shared" si="49"/>
        <v>0</v>
      </c>
      <c r="R277" s="1016"/>
      <c r="S277" s="820"/>
      <c r="T277" s="152">
        <f t="shared" si="43"/>
        <v>0</v>
      </c>
      <c r="V277" s="564">
        <f>IF($F277*VLOOKUP($B277&amp;"; "&amp;$H277,'FE Intrants'!$G:$U,10,FALSE)=0,N277,$F277*VLOOKUP($B277&amp;"; "&amp;$H277,'FE Intrants'!$G:$U,10,FALSE))</f>
        <v>0</v>
      </c>
      <c r="W277" s="565">
        <f>$F277*(VLOOKUP($B277&amp;"; "&amp;$H277,'FE Intrants'!$G:$U,11,FALSE)+VLOOKUP($B277&amp;"; "&amp;$H277,'FE Intrants'!$G:$U,12,FALSE))</f>
        <v>0</v>
      </c>
      <c r="X277" s="565">
        <f>$F277*VLOOKUP($B277&amp;"; "&amp;$H277,'FE Intrants'!$G:$U,13,FALSE)</f>
        <v>0</v>
      </c>
      <c r="Y277" s="565">
        <f>$F277*VLOOKUP($B277&amp;"; "&amp;$H277,'FE Intrants'!$G:$U,14,FALSE)</f>
        <v>0</v>
      </c>
      <c r="Z277" s="567">
        <f t="shared" si="50"/>
        <v>0</v>
      </c>
      <c r="AA277" s="590">
        <f>$F277*VLOOKUP($B277&amp;"; "&amp;$H277,'FE Intrants'!$G:$U,15,FALSE)</f>
        <v>0</v>
      </c>
      <c r="AC277" s="2209">
        <f>IF($R277&lt;&gt;"votre valeur :",IF(ISNA(VLOOKUP($R277,Utilitaires!$N$566:$O$571,2,FALSE)),,VLOOKUP($R277,Utilitaires!$N$566:$O$571,2,FALSE)),$S277)</f>
        <v>0</v>
      </c>
      <c r="AD277" s="1130">
        <f>SQRT(SUMSQ(AC277,VLOOKUP(B277&amp;"; "&amp;$H277,'FE Intrants'!G:U,7,FALSE)))</f>
        <v>1</v>
      </c>
    </row>
    <row r="278" spans="2:30" s="114" customFormat="1" ht="13.2" hidden="1" outlineLevel="1">
      <c r="B278" s="143" t="s">
        <v>4010</v>
      </c>
      <c r="C278" s="144"/>
      <c r="D278" s="212">
        <f t="shared" si="39"/>
        <v>0</v>
      </c>
      <c r="E278" s="213"/>
      <c r="F278" s="120"/>
      <c r="G278" s="2220">
        <f>VLOOKUP($B278&amp;"; "&amp;H278,'FE Intrants'!$G:$U,9,FALSE)</f>
        <v>3.5000000000000003E-2</v>
      </c>
      <c r="H278" s="1212" t="str">
        <f>VLOOKUP(B278,'FE Intrants'!F:U,5,FALSE)</f>
        <v>kgCO2e/unité</v>
      </c>
      <c r="I278" s="213"/>
      <c r="J278" s="213"/>
      <c r="K278" s="213"/>
      <c r="L278" s="213"/>
      <c r="M278" s="213"/>
      <c r="N278" s="168">
        <f t="shared" si="51"/>
        <v>0</v>
      </c>
      <c r="Q278" s="319">
        <f t="shared" si="49"/>
        <v>0</v>
      </c>
      <c r="R278" s="1016"/>
      <c r="S278" s="820"/>
      <c r="T278" s="152">
        <f t="shared" si="43"/>
        <v>0</v>
      </c>
      <c r="V278" s="564">
        <f>IF($F278*VLOOKUP($B278&amp;"; "&amp;$H278,'FE Intrants'!$G:$U,10,FALSE)=0,N278,$F278*VLOOKUP($B278&amp;"; "&amp;$H278,'FE Intrants'!$G:$U,10,FALSE))</f>
        <v>0</v>
      </c>
      <c r="W278" s="565">
        <f>$F278*(VLOOKUP($B278&amp;"; "&amp;$H278,'FE Intrants'!$G:$U,11,FALSE)+VLOOKUP($B278&amp;"; "&amp;$H278,'FE Intrants'!$G:$U,12,FALSE))</f>
        <v>0</v>
      </c>
      <c r="X278" s="565">
        <f>$F278*VLOOKUP($B278&amp;"; "&amp;$H278,'FE Intrants'!$G:$U,13,FALSE)</f>
        <v>0</v>
      </c>
      <c r="Y278" s="565">
        <f>$F278*VLOOKUP($B278&amp;"; "&amp;$H278,'FE Intrants'!$G:$U,14,FALSE)</f>
        <v>0</v>
      </c>
      <c r="Z278" s="567">
        <f t="shared" si="50"/>
        <v>0</v>
      </c>
      <c r="AA278" s="590">
        <f>$F278*VLOOKUP($B278&amp;"; "&amp;$H278,'FE Intrants'!$G:$U,15,FALSE)</f>
        <v>0</v>
      </c>
      <c r="AC278" s="2209">
        <f>IF($R278&lt;&gt;"votre valeur :",IF(ISNA(VLOOKUP($R278,Utilitaires!$N$566:$O$571,2,FALSE)),,VLOOKUP($R278,Utilitaires!$N$566:$O$571,2,FALSE)),$S278)</f>
        <v>0</v>
      </c>
      <c r="AD278" s="1130">
        <f>SQRT(SUMSQ(AC278,VLOOKUP(B278&amp;"; "&amp;$H278,'FE Intrants'!G:U,7,FALSE)))</f>
        <v>1</v>
      </c>
    </row>
    <row r="279" spans="2:30" s="114" customFormat="1" ht="13.2" hidden="1" outlineLevel="1">
      <c r="B279" s="143" t="s">
        <v>4011</v>
      </c>
      <c r="C279" s="144"/>
      <c r="D279" s="212">
        <f t="shared" si="39"/>
        <v>0</v>
      </c>
      <c r="E279" s="213"/>
      <c r="F279" s="120"/>
      <c r="G279" s="2220">
        <f>VLOOKUP($B279&amp;"; "&amp;H279,'FE Intrants'!$G:$U,9,FALSE)</f>
        <v>6.6499999999999997E-3</v>
      </c>
      <c r="H279" s="1212" t="str">
        <f>VLOOKUP(B279,'FE Intrants'!F:U,5,FALSE)</f>
        <v>kgCO2e/unité</v>
      </c>
      <c r="I279" s="213"/>
      <c r="J279" s="213"/>
      <c r="K279" s="213"/>
      <c r="L279" s="213"/>
      <c r="M279" s="213"/>
      <c r="N279" s="168">
        <f t="shared" si="51"/>
        <v>0</v>
      </c>
      <c r="Q279" s="319">
        <f t="shared" si="49"/>
        <v>0</v>
      </c>
      <c r="R279" s="1016"/>
      <c r="S279" s="820"/>
      <c r="T279" s="152">
        <f t="shared" si="43"/>
        <v>0</v>
      </c>
      <c r="V279" s="564">
        <f>IF($F279*VLOOKUP($B279&amp;"; "&amp;$H279,'FE Intrants'!$G:$U,10,FALSE)=0,N279,$F279*VLOOKUP($B279&amp;"; "&amp;$H279,'FE Intrants'!$G:$U,10,FALSE))</f>
        <v>0</v>
      </c>
      <c r="W279" s="565">
        <f>$F279*(VLOOKUP($B279&amp;"; "&amp;$H279,'FE Intrants'!$G:$U,11,FALSE)+VLOOKUP($B279&amp;"; "&amp;$H279,'FE Intrants'!$G:$U,12,FALSE))</f>
        <v>0</v>
      </c>
      <c r="X279" s="565">
        <f>$F279*VLOOKUP($B279&amp;"; "&amp;$H279,'FE Intrants'!$G:$U,13,FALSE)</f>
        <v>0</v>
      </c>
      <c r="Y279" s="565">
        <f>$F279*VLOOKUP($B279&amp;"; "&amp;$H279,'FE Intrants'!$G:$U,14,FALSE)</f>
        <v>0</v>
      </c>
      <c r="Z279" s="567">
        <f t="shared" si="50"/>
        <v>0</v>
      </c>
      <c r="AA279" s="590">
        <f>$F279*VLOOKUP($B279&amp;"; "&amp;$H279,'FE Intrants'!$G:$U,15,FALSE)</f>
        <v>0</v>
      </c>
      <c r="AC279" s="2209">
        <f>IF($R279&lt;&gt;"votre valeur :",IF(ISNA(VLOOKUP($R279,Utilitaires!$N$566:$O$571,2,FALSE)),,VLOOKUP($R279,Utilitaires!$N$566:$O$571,2,FALSE)),$S279)</f>
        <v>0</v>
      </c>
      <c r="AD279" s="1130">
        <f>SQRT(SUMSQ(AC279,VLOOKUP(B279&amp;"; "&amp;$H279,'FE Intrants'!G:U,7,FALSE)))</f>
        <v>1</v>
      </c>
    </row>
    <row r="280" spans="2:30" s="114" customFormat="1" ht="13.2" hidden="1" outlineLevel="1">
      <c r="B280" s="143" t="s">
        <v>4012</v>
      </c>
      <c r="C280" s="144"/>
      <c r="D280" s="212">
        <f t="shared" si="39"/>
        <v>0</v>
      </c>
      <c r="E280" s="213"/>
      <c r="F280" s="123"/>
      <c r="G280" s="2220">
        <f>VLOOKUP($B280&amp;"; "&amp;H280,'FE Intrants'!$G:$U,9,FALSE)</f>
        <v>1.3500000000000001E-3</v>
      </c>
      <c r="H280" s="1213" t="str">
        <f>VLOOKUP(B280,'FE Intrants'!F:U,5,FALSE)</f>
        <v>kgCO2e/unité</v>
      </c>
      <c r="I280" s="213"/>
      <c r="J280" s="213"/>
      <c r="K280" s="213"/>
      <c r="L280" s="213"/>
      <c r="M280" s="213"/>
      <c r="N280" s="168">
        <f t="shared" si="51"/>
        <v>0</v>
      </c>
      <c r="Q280" s="319">
        <f t="shared" si="49"/>
        <v>0</v>
      </c>
      <c r="R280" s="1016"/>
      <c r="S280" s="820"/>
      <c r="T280" s="152">
        <f t="shared" si="43"/>
        <v>0</v>
      </c>
      <c r="V280" s="564">
        <f>IF($F280*VLOOKUP($B280&amp;"; "&amp;$H280,'FE Intrants'!$G:$U,10,FALSE)=0,N280,$F280*VLOOKUP($B280&amp;"; "&amp;$H280,'FE Intrants'!$G:$U,10,FALSE))</f>
        <v>0</v>
      </c>
      <c r="W280" s="565">
        <f>$F280*(VLOOKUP($B280&amp;"; "&amp;$H280,'FE Intrants'!$G:$U,11,FALSE)+VLOOKUP($B280&amp;"; "&amp;$H280,'FE Intrants'!$G:$U,12,FALSE))</f>
        <v>0</v>
      </c>
      <c r="X280" s="565">
        <f>$F280*VLOOKUP($B280&amp;"; "&amp;$H280,'FE Intrants'!$G:$U,13,FALSE)</f>
        <v>0</v>
      </c>
      <c r="Y280" s="565">
        <f>$F280*VLOOKUP($B280&amp;"; "&amp;$H280,'FE Intrants'!$G:$U,14,FALSE)</f>
        <v>0</v>
      </c>
      <c r="Z280" s="567">
        <f t="shared" si="50"/>
        <v>0</v>
      </c>
      <c r="AA280" s="590">
        <f>$F280*VLOOKUP($B280&amp;"; "&amp;$H280,'FE Intrants'!$G:$U,15,FALSE)</f>
        <v>0</v>
      </c>
      <c r="AC280" s="2209">
        <f>IF($R280&lt;&gt;"votre valeur :",IF(ISNA(VLOOKUP($R280,Utilitaires!$N$566:$O$571,2,FALSE)),,VLOOKUP($R280,Utilitaires!$N$566:$O$571,2,FALSE)),$S280)</f>
        <v>0</v>
      </c>
      <c r="AD280" s="1130">
        <f>SQRT(SUMSQ(AC280,VLOOKUP(B280&amp;"; "&amp;$H280,'FE Intrants'!G:U,7,FALSE)))</f>
        <v>1</v>
      </c>
    </row>
    <row r="281" spans="2:30" s="114" customFormat="1" ht="13.2" hidden="1" outlineLevel="1">
      <c r="B281" s="143"/>
      <c r="C281" s="144"/>
      <c r="D281" s="213"/>
      <c r="E281" s="213"/>
      <c r="F281" s="144"/>
      <c r="G281" s="2220"/>
      <c r="H281" s="144"/>
      <c r="I281" s="213"/>
      <c r="J281" s="213"/>
      <c r="K281" s="213"/>
      <c r="L281" s="213"/>
      <c r="M281" s="213"/>
      <c r="N281" s="168"/>
      <c r="Q281" s="319"/>
      <c r="R281" s="144"/>
      <c r="S281" s="820"/>
      <c r="T281" s="152"/>
      <c r="V281" s="564"/>
      <c r="W281" s="565"/>
      <c r="X281" s="565"/>
      <c r="Y281" s="565"/>
      <c r="Z281" s="567"/>
      <c r="AA281" s="590"/>
      <c r="AC281" s="2344"/>
      <c r="AD281" s="1130"/>
    </row>
    <row r="282" spans="2:30" s="114" customFormat="1" ht="13.2" hidden="1" outlineLevel="1">
      <c r="B282" s="333" t="s">
        <v>4768</v>
      </c>
      <c r="C282" s="144"/>
      <c r="D282" s="213"/>
      <c r="E282" s="213"/>
      <c r="F282" s="144"/>
      <c r="G282" s="2220"/>
      <c r="H282" s="144"/>
      <c r="I282" s="213"/>
      <c r="J282" s="213"/>
      <c r="K282" s="213"/>
      <c r="L282" s="213"/>
      <c r="M282" s="213"/>
      <c r="N282" s="168"/>
      <c r="Q282" s="319"/>
      <c r="R282" s="144"/>
      <c r="S282" s="820"/>
      <c r="T282" s="152"/>
      <c r="V282" s="564"/>
      <c r="W282" s="565"/>
      <c r="X282" s="565"/>
      <c r="Y282" s="565"/>
      <c r="Z282" s="567"/>
      <c r="AA282" s="590"/>
      <c r="AC282" s="2454"/>
      <c r="AD282" s="1130"/>
    </row>
    <row r="283" spans="2:30" s="114" customFormat="1" ht="13.2" hidden="1" outlineLevel="1">
      <c r="B283" s="143" t="s">
        <v>4771</v>
      </c>
      <c r="C283" s="144"/>
      <c r="D283" s="213">
        <f>N283</f>
        <v>0</v>
      </c>
      <c r="E283" s="213"/>
      <c r="F283" s="117"/>
      <c r="G283" s="2220">
        <f>VLOOKUP($B283&amp;"; "&amp;H283,'FE Intrants'!$G:$U,9,FALSE)</f>
        <v>0.13200000000000001</v>
      </c>
      <c r="H283" s="1211" t="str">
        <f>VLOOKUP(B283,'FE Intrants'!F:U,5,FALSE)</f>
        <v>kgCO2e/m3</v>
      </c>
      <c r="I283" s="213"/>
      <c r="J283" s="213"/>
      <c r="K283" s="213"/>
      <c r="L283" s="213"/>
      <c r="M283" s="213"/>
      <c r="N283" s="168">
        <f>F283*G283</f>
        <v>0</v>
      </c>
      <c r="Q283" s="319">
        <f t="shared" ref="Q283:Q284" si="52">IF(T283=0,T283,T283/N283)</f>
        <v>0</v>
      </c>
      <c r="R283" s="1016"/>
      <c r="S283" s="820"/>
      <c r="T283" s="152">
        <f t="shared" ref="T283:T284" si="53">F283*G283*AD283</f>
        <v>0</v>
      </c>
      <c r="V283" s="564">
        <f>IF($F283*VLOOKUP($B283&amp;"; "&amp;$H283,'FE Intrants'!$G:$U,10,FALSE)=0,N283,$F283*VLOOKUP($B283&amp;"; "&amp;$H283,'FE Intrants'!$G:$U,10,FALSE))</f>
        <v>0</v>
      </c>
      <c r="W283" s="565">
        <f>$F283*(VLOOKUP($B283&amp;"; "&amp;$H283,'FE Intrants'!$G:$U,11,FALSE)+VLOOKUP($B283&amp;"; "&amp;$H283,'FE Intrants'!$G:$U,12,FALSE))</f>
        <v>0</v>
      </c>
      <c r="X283" s="565">
        <f>$F283*VLOOKUP($B283&amp;"; "&amp;$H283,'FE Intrants'!$G:$U,13,FALSE)</f>
        <v>0</v>
      </c>
      <c r="Y283" s="565">
        <f>$F283*VLOOKUP($B283&amp;"; "&amp;$H283,'FE Intrants'!$G:$U,14,FALSE)</f>
        <v>0</v>
      </c>
      <c r="Z283" s="567">
        <f t="shared" ref="Z283:Z284" si="54">SUM(V283:Y283)</f>
        <v>0</v>
      </c>
      <c r="AA283" s="590">
        <f>$F283*VLOOKUP($B283&amp;"; "&amp;$H283,'FE Intrants'!$G:$U,15,FALSE)</f>
        <v>0</v>
      </c>
      <c r="AC283" s="2454">
        <f>IF($R283&lt;&gt;"votre valeur :",IF(ISNA(VLOOKUP($R283,Utilitaires!$N$566:$O$571,2,FALSE)),,VLOOKUP($R283,Utilitaires!$N$566:$O$571,2,FALSE)),$S283)</f>
        <v>0</v>
      </c>
      <c r="AD283" s="1130">
        <f>SQRT(SUMSQ(AC283,VLOOKUP(B283&amp;"; "&amp;$H283,'FE Intrants'!G:U,7,FALSE)))</f>
        <v>0.11</v>
      </c>
    </row>
    <row r="284" spans="2:30" s="114" customFormat="1" ht="13.2" hidden="1" outlineLevel="1">
      <c r="B284" s="143" t="s">
        <v>4771</v>
      </c>
      <c r="C284" s="144"/>
      <c r="D284" s="213">
        <f>N284</f>
        <v>0</v>
      </c>
      <c r="E284" s="213"/>
      <c r="F284" s="123"/>
      <c r="G284" s="2220">
        <f>VLOOKUP($B284&amp;"; "&amp;H284,'FE Intrants'!$G:$U,9,FALSE)</f>
        <v>0.13200000000000001</v>
      </c>
      <c r="H284" s="1213" t="str">
        <f>VLOOKUP(B284,'FE Intrants'!F:U,5,FALSE)</f>
        <v>kgCO2e/m3</v>
      </c>
      <c r="I284" s="213"/>
      <c r="J284" s="213"/>
      <c r="K284" s="213"/>
      <c r="L284" s="213"/>
      <c r="M284" s="213"/>
      <c r="N284" s="168">
        <f>F284*G284</f>
        <v>0</v>
      </c>
      <c r="Q284" s="319">
        <f t="shared" si="52"/>
        <v>0</v>
      </c>
      <c r="R284" s="1016"/>
      <c r="S284" s="820"/>
      <c r="T284" s="152">
        <f t="shared" si="53"/>
        <v>0</v>
      </c>
      <c r="V284" s="564">
        <f>IF($F284*VLOOKUP($B284&amp;"; "&amp;$H284,'FE Intrants'!$G:$U,10,FALSE)=0,N284,$F284*VLOOKUP($B284&amp;"; "&amp;$H284,'FE Intrants'!$G:$U,10,FALSE))</f>
        <v>0</v>
      </c>
      <c r="W284" s="565">
        <f>$F284*(VLOOKUP($B284&amp;"; "&amp;$H284,'FE Intrants'!$G:$U,11,FALSE)+VLOOKUP($B284&amp;"; "&amp;$H284,'FE Intrants'!$G:$U,12,FALSE))</f>
        <v>0</v>
      </c>
      <c r="X284" s="565">
        <f>$F284*VLOOKUP($B284&amp;"; "&amp;$H284,'FE Intrants'!$G:$U,13,FALSE)</f>
        <v>0</v>
      </c>
      <c r="Y284" s="565">
        <f>$F284*VLOOKUP($B284&amp;"; "&amp;$H284,'FE Intrants'!$G:$U,14,FALSE)</f>
        <v>0</v>
      </c>
      <c r="Z284" s="567">
        <f t="shared" si="54"/>
        <v>0</v>
      </c>
      <c r="AA284" s="590">
        <f>$F284*VLOOKUP($B284&amp;"; "&amp;$H284,'FE Intrants'!$G:$U,15,FALSE)</f>
        <v>0</v>
      </c>
      <c r="AC284" s="2454">
        <f>IF($R284&lt;&gt;"votre valeur :",IF(ISNA(VLOOKUP($R284,Utilitaires!$N$566:$O$571,2,FALSE)),,VLOOKUP($R284,Utilitaires!$N$566:$O$571,2,FALSE)),$S284)</f>
        <v>0</v>
      </c>
      <c r="AD284" s="1130">
        <f>SQRT(SUMSQ(AC284,VLOOKUP(B284&amp;"; "&amp;$H284,'FE Intrants'!G:U,7,FALSE)))</f>
        <v>0.11</v>
      </c>
    </row>
    <row r="285" spans="2:30" s="114" customFormat="1" ht="13.2" hidden="1" outlineLevel="1">
      <c r="B285" s="143"/>
      <c r="C285" s="144"/>
      <c r="D285" s="213"/>
      <c r="E285" s="213"/>
      <c r="F285" s="144"/>
      <c r="G285" s="144"/>
      <c r="H285" s="144"/>
      <c r="I285" s="213"/>
      <c r="J285" s="213"/>
      <c r="K285" s="213"/>
      <c r="L285" s="213"/>
      <c r="M285" s="213"/>
      <c r="N285" s="168"/>
      <c r="Q285" s="226"/>
      <c r="R285" s="144"/>
      <c r="S285" s="820"/>
      <c r="T285" s="152"/>
      <c r="V285" s="564"/>
      <c r="W285" s="565"/>
      <c r="X285" s="565"/>
      <c r="Y285" s="565"/>
      <c r="Z285" s="566"/>
      <c r="AA285" s="590"/>
      <c r="AC285" s="2454"/>
      <c r="AD285" s="1130"/>
    </row>
    <row r="286" spans="2:30" s="114" customFormat="1" ht="13.2" hidden="1" outlineLevel="1">
      <c r="B286" s="333" t="s">
        <v>5105</v>
      </c>
      <c r="C286" s="144"/>
      <c r="D286" s="213"/>
      <c r="E286" s="213"/>
      <c r="F286" s="144"/>
      <c r="G286" s="2220"/>
      <c r="H286" s="144"/>
      <c r="I286" s="213"/>
      <c r="J286" s="213"/>
      <c r="K286" s="213"/>
      <c r="L286" s="213"/>
      <c r="M286" s="213"/>
      <c r="N286" s="168"/>
      <c r="Q286" s="319"/>
      <c r="R286" s="144"/>
      <c r="S286" s="820"/>
      <c r="T286" s="152"/>
      <c r="V286" s="564"/>
      <c r="W286" s="565"/>
      <c r="X286" s="565"/>
      <c r="Y286" s="565"/>
      <c r="Z286" s="567"/>
      <c r="AA286" s="590"/>
      <c r="AC286" s="2454"/>
      <c r="AD286" s="1130"/>
    </row>
    <row r="287" spans="2:30" s="114" customFormat="1" ht="13.2" hidden="1" outlineLevel="1">
      <c r="B287" s="143" t="s">
        <v>5110</v>
      </c>
      <c r="C287" s="144"/>
      <c r="D287" s="213">
        <f>N287</f>
        <v>0</v>
      </c>
      <c r="E287" s="213"/>
      <c r="F287" s="117"/>
      <c r="G287" s="2220">
        <f>VLOOKUP($B287&amp;"; "&amp;H287,'FE Intrants'!$G:$U,9,FALSE)</f>
        <v>373</v>
      </c>
      <c r="H287" s="1211" t="str">
        <f>VLOOKUP(B287,'FE Intrants'!F:U,5,FALSE)</f>
        <v>kgCO2e/tonne</v>
      </c>
      <c r="I287" s="213"/>
      <c r="J287" s="213"/>
      <c r="K287" s="213"/>
      <c r="L287" s="213"/>
      <c r="M287" s="213"/>
      <c r="N287" s="168">
        <f>F287*G287</f>
        <v>0</v>
      </c>
      <c r="Q287" s="319">
        <f t="shared" si="49"/>
        <v>0</v>
      </c>
      <c r="R287" s="1016"/>
      <c r="S287" s="820"/>
      <c r="T287" s="152">
        <f t="shared" si="43"/>
        <v>0</v>
      </c>
      <c r="V287" s="564">
        <f>IF($F287*VLOOKUP($B287&amp;"; "&amp;$H287,'FE Intrants'!$G:$U,10,FALSE)=0,N287,$F287*VLOOKUP($B287&amp;"; "&amp;$H287,'FE Intrants'!$G:$U,10,FALSE))</f>
        <v>0</v>
      </c>
      <c r="W287" s="565">
        <f>$F287*(VLOOKUP($B287&amp;"; "&amp;$H287,'FE Intrants'!$G:$U,11,FALSE)+VLOOKUP($B287&amp;"; "&amp;$H287,'FE Intrants'!$G:$U,12,FALSE))</f>
        <v>0</v>
      </c>
      <c r="X287" s="565">
        <f>$F287*VLOOKUP($B287&amp;"; "&amp;$H287,'FE Intrants'!$G:$U,13,FALSE)</f>
        <v>0</v>
      </c>
      <c r="Y287" s="565">
        <f>$F287*VLOOKUP($B287&amp;"; "&amp;$H287,'FE Intrants'!$G:$U,14,FALSE)</f>
        <v>0</v>
      </c>
      <c r="Z287" s="567">
        <f t="shared" ref="Z287:Z289" si="55">SUM(V287:Y287)</f>
        <v>0</v>
      </c>
      <c r="AA287" s="590">
        <f>$F287*VLOOKUP($B287&amp;"; "&amp;$H287,'FE Intrants'!$G:$U,15,FALSE)</f>
        <v>0</v>
      </c>
      <c r="AC287" s="2344">
        <f>IF($R287&lt;&gt;"votre valeur :",IF(ISNA(VLOOKUP($R287,Utilitaires!$N$566:$O$571,2,FALSE)),,VLOOKUP($R287,Utilitaires!$N$566:$O$571,2,FALSE)),$S287)</f>
        <v>0</v>
      </c>
      <c r="AD287" s="1130">
        <f>SQRT(SUMSQ(AC287,VLOOKUP(B287&amp;"; "&amp;$H287,'FE Intrants'!G:U,7,FALSE)))</f>
        <v>0.2</v>
      </c>
    </row>
    <row r="288" spans="2:30" s="114" customFormat="1" ht="13.2" hidden="1" outlineLevel="1">
      <c r="B288" s="143" t="s">
        <v>5109</v>
      </c>
      <c r="C288" s="144"/>
      <c r="D288" s="213">
        <f>N288</f>
        <v>0</v>
      </c>
      <c r="E288" s="213"/>
      <c r="F288" s="120"/>
      <c r="G288" s="2220">
        <f>VLOOKUP($B288&amp;"; "&amp;H288,'FE Intrants'!$G:$U,9,FALSE)</f>
        <v>115</v>
      </c>
      <c r="H288" s="1212" t="str">
        <f>VLOOKUP(B288,'FE Intrants'!F:U,5,FALSE)</f>
        <v>kgCO2e/tonne</v>
      </c>
      <c r="I288" s="213"/>
      <c r="J288" s="213"/>
      <c r="K288" s="213"/>
      <c r="L288" s="213"/>
      <c r="M288" s="213"/>
      <c r="N288" s="168">
        <f>F288*G288</f>
        <v>0</v>
      </c>
      <c r="Q288" s="319">
        <f t="shared" ref="Q288" si="56">IF(T288=0,T288,T288/N288)</f>
        <v>0</v>
      </c>
      <c r="R288" s="1016"/>
      <c r="S288" s="820"/>
      <c r="T288" s="152">
        <f t="shared" ref="T288" si="57">F288*G288*AD288</f>
        <v>0</v>
      </c>
      <c r="V288" s="564">
        <f>IF($F288*VLOOKUP($B288&amp;"; "&amp;$H288,'FE Intrants'!$G:$U,10,FALSE)=0,N288,$F288*VLOOKUP($B288&amp;"; "&amp;$H288,'FE Intrants'!$G:$U,10,FALSE))</f>
        <v>0</v>
      </c>
      <c r="W288" s="565">
        <f>$F288*(VLOOKUP($B288&amp;"; "&amp;$H288,'FE Intrants'!$G:$U,11,FALSE)+VLOOKUP($B288&amp;"; "&amp;$H288,'FE Intrants'!$G:$U,12,FALSE))</f>
        <v>0</v>
      </c>
      <c r="X288" s="565">
        <f>$F288*VLOOKUP($B288&amp;"; "&amp;$H288,'FE Intrants'!$G:$U,13,FALSE)</f>
        <v>0</v>
      </c>
      <c r="Y288" s="565">
        <f>$F288*VLOOKUP($B288&amp;"; "&amp;$H288,'FE Intrants'!$G:$U,14,FALSE)</f>
        <v>0</v>
      </c>
      <c r="Z288" s="567">
        <f t="shared" ref="Z288" si="58">SUM(V288:Y288)</f>
        <v>0</v>
      </c>
      <c r="AA288" s="590">
        <f>$F288*VLOOKUP($B288&amp;"; "&amp;$H288,'FE Intrants'!$G:$U,15,FALSE)</f>
        <v>0</v>
      </c>
      <c r="AC288" s="2454">
        <f>IF($R288&lt;&gt;"votre valeur :",IF(ISNA(VLOOKUP($R288,Utilitaires!$N$566:$O$571,2,FALSE)),,VLOOKUP($R288,Utilitaires!$N$566:$O$571,2,FALSE)),$S288)</f>
        <v>0</v>
      </c>
      <c r="AD288" s="1130">
        <f>SQRT(SUMSQ(AC288,VLOOKUP(B288&amp;"; "&amp;$H288,'FE Intrants'!G:U,7,FALSE)))</f>
        <v>0.2</v>
      </c>
    </row>
    <row r="289" spans="2:30" s="114" customFormat="1" ht="13.2" hidden="1" outlineLevel="1">
      <c r="B289" s="143" t="s">
        <v>5111</v>
      </c>
      <c r="C289" s="144"/>
      <c r="D289" s="213">
        <f>N289</f>
        <v>0</v>
      </c>
      <c r="E289" s="213"/>
      <c r="F289" s="123"/>
      <c r="G289" s="2220">
        <f>VLOOKUP($B289&amp;"; "&amp;H289,'FE Intrants'!$G:$U,9,FALSE)</f>
        <v>630</v>
      </c>
      <c r="H289" s="1213" t="str">
        <f>VLOOKUP(B289,'FE Intrants'!F:U,5,FALSE)</f>
        <v>kgCO2e/tonne</v>
      </c>
      <c r="I289" s="213"/>
      <c r="J289" s="213"/>
      <c r="K289" s="213"/>
      <c r="L289" s="213"/>
      <c r="M289" s="213"/>
      <c r="N289" s="168">
        <f>F289*G289</f>
        <v>0</v>
      </c>
      <c r="Q289" s="319">
        <f t="shared" si="49"/>
        <v>0</v>
      </c>
      <c r="R289" s="1016"/>
      <c r="S289" s="820"/>
      <c r="T289" s="152">
        <f t="shared" si="43"/>
        <v>0</v>
      </c>
      <c r="V289" s="564">
        <f>IF($F289*VLOOKUP($B289&amp;"; "&amp;$H289,'FE Intrants'!$G:$U,10,FALSE)=0,N289,$F289*VLOOKUP($B289&amp;"; "&amp;$H289,'FE Intrants'!$G:$U,10,FALSE))</f>
        <v>0</v>
      </c>
      <c r="W289" s="565">
        <f>$F289*(VLOOKUP($B289&amp;"; "&amp;$H289,'FE Intrants'!$G:$U,11,FALSE)+VLOOKUP($B289&amp;"; "&amp;$H289,'FE Intrants'!$G:$U,12,FALSE))</f>
        <v>0</v>
      </c>
      <c r="X289" s="565">
        <f>$F289*VLOOKUP($B289&amp;"; "&amp;$H289,'FE Intrants'!$G:$U,13,FALSE)</f>
        <v>0</v>
      </c>
      <c r="Y289" s="565">
        <f>$F289*VLOOKUP($B289&amp;"; "&amp;$H289,'FE Intrants'!$G:$U,14,FALSE)</f>
        <v>0</v>
      </c>
      <c r="Z289" s="567">
        <f t="shared" si="55"/>
        <v>0</v>
      </c>
      <c r="AA289" s="590">
        <f>$F289*VLOOKUP($B289&amp;"; "&amp;$H289,'FE Intrants'!$G:$U,15,FALSE)</f>
        <v>0</v>
      </c>
      <c r="AC289" s="2344">
        <f>IF($R289&lt;&gt;"votre valeur :",IF(ISNA(VLOOKUP($R289,Utilitaires!$N$566:$O$571,2,FALSE)),,VLOOKUP($R289,Utilitaires!$N$566:$O$571,2,FALSE)),$S289)</f>
        <v>0</v>
      </c>
      <c r="AD289" s="1130">
        <f>SQRT(SUMSQ(AC289,VLOOKUP(B289&amp;"; "&amp;$H289,'FE Intrants'!G:U,7,FALSE)))</f>
        <v>0.2</v>
      </c>
    </row>
    <row r="290" spans="2:30" s="114" customFormat="1" ht="13.2" hidden="1" outlineLevel="1">
      <c r="B290" s="143"/>
      <c r="C290" s="144"/>
      <c r="D290" s="213"/>
      <c r="E290" s="213"/>
      <c r="F290" s="144"/>
      <c r="G290" s="144"/>
      <c r="H290" s="144"/>
      <c r="I290" s="213"/>
      <c r="J290" s="213"/>
      <c r="K290" s="213"/>
      <c r="L290" s="213"/>
      <c r="M290" s="213"/>
      <c r="N290" s="168"/>
      <c r="Q290" s="226"/>
      <c r="R290" s="144"/>
      <c r="S290" s="820"/>
      <c r="T290" s="152"/>
      <c r="V290" s="564"/>
      <c r="W290" s="565"/>
      <c r="X290" s="565"/>
      <c r="Y290" s="565"/>
      <c r="Z290" s="566"/>
      <c r="AA290" s="591"/>
      <c r="AC290" s="1143"/>
      <c r="AD290" s="1153"/>
    </row>
    <row r="291" spans="2:30" s="114" customFormat="1" ht="13.2" hidden="1" outlineLevel="1">
      <c r="B291" s="196" t="s">
        <v>348</v>
      </c>
      <c r="C291" s="197"/>
      <c r="D291" s="214">
        <f>SUM(D195:D290)</f>
        <v>0</v>
      </c>
      <c r="E291" s="214"/>
      <c r="F291" s="197"/>
      <c r="G291" s="204"/>
      <c r="H291" s="199"/>
      <c r="I291" s="214"/>
      <c r="J291" s="214"/>
      <c r="K291" s="214"/>
      <c r="L291" s="214"/>
      <c r="M291" s="214"/>
      <c r="N291" s="200">
        <f>SUM(N195:N290)</f>
        <v>0</v>
      </c>
      <c r="Q291" s="1204">
        <f>IF(T291=0,T291,T291/N291)</f>
        <v>0</v>
      </c>
      <c r="R291" s="199"/>
      <c r="S291" s="199"/>
      <c r="T291" s="200">
        <f>SQRT(SUMSQ(T195:T290))</f>
        <v>0</v>
      </c>
      <c r="V291" s="571">
        <f t="shared" ref="V291:AA291" si="59">SUM(V195:V290)</f>
        <v>0</v>
      </c>
      <c r="W291" s="572">
        <f t="shared" si="59"/>
        <v>0</v>
      </c>
      <c r="X291" s="572">
        <f t="shared" si="59"/>
        <v>0</v>
      </c>
      <c r="Y291" s="572">
        <f t="shared" si="59"/>
        <v>0</v>
      </c>
      <c r="Z291" s="574">
        <f t="shared" si="59"/>
        <v>0</v>
      </c>
      <c r="AA291" s="2348">
        <f t="shared" si="59"/>
        <v>0</v>
      </c>
    </row>
    <row r="292" spans="2:30" s="114" customFormat="1" ht="13.2" hidden="1" outlineLevel="1">
      <c r="G292" s="116"/>
      <c r="V292" s="441"/>
      <c r="W292" s="441"/>
      <c r="X292" s="441"/>
      <c r="Y292" s="441"/>
      <c r="Z292" s="441"/>
      <c r="AA292" s="441"/>
    </row>
    <row r="293" spans="2:30" s="114" customFormat="1" ht="13.2" collapsed="1">
      <c r="V293" s="441"/>
      <c r="W293" s="441"/>
      <c r="X293" s="441"/>
      <c r="Y293" s="441"/>
      <c r="Z293" s="441"/>
      <c r="AA293" s="441"/>
    </row>
    <row r="294" spans="2:30" s="114" customFormat="1" ht="15.6" collapsed="1">
      <c r="B294" s="2652" t="s">
        <v>888</v>
      </c>
      <c r="C294" s="2653"/>
      <c r="D294" s="2653"/>
      <c r="E294" s="2653"/>
      <c r="F294" s="2653"/>
      <c r="G294" s="2653"/>
      <c r="H294" s="2653"/>
      <c r="I294" s="2653"/>
      <c r="J294" s="2653"/>
      <c r="K294" s="2653"/>
      <c r="L294" s="2653"/>
      <c r="M294" s="2653"/>
      <c r="N294" s="2653"/>
      <c r="O294" s="2654"/>
      <c r="V294" s="441"/>
      <c r="W294" s="441"/>
      <c r="X294" s="441"/>
      <c r="Y294" s="441"/>
      <c r="Z294" s="441"/>
      <c r="AA294" s="441"/>
    </row>
    <row r="295" spans="2:30" s="114" customFormat="1" ht="12.75" hidden="1" customHeight="1" outlineLevel="1">
      <c r="G295" s="116"/>
      <c r="V295" s="441"/>
      <c r="W295" s="441"/>
      <c r="X295" s="441"/>
      <c r="Y295" s="441"/>
      <c r="Z295" s="441"/>
      <c r="AA295" s="441"/>
    </row>
    <row r="296" spans="2:30" s="114" customFormat="1" ht="12.75" hidden="1" customHeight="1" outlineLevel="1">
      <c r="B296" s="139" t="s">
        <v>889</v>
      </c>
      <c r="C296" s="140"/>
      <c r="D296" s="1869" t="s">
        <v>2492</v>
      </c>
      <c r="E296" s="2094"/>
      <c r="F296" s="141"/>
      <c r="G296" s="141"/>
      <c r="H296" s="141"/>
      <c r="I296" s="142"/>
      <c r="K296" s="116"/>
      <c r="L296" s="2636" t="s">
        <v>366</v>
      </c>
      <c r="M296" s="2637"/>
      <c r="N296" s="2637"/>
      <c r="O296" s="2638"/>
      <c r="V296" s="2639" t="s">
        <v>441</v>
      </c>
      <c r="W296" s="2640"/>
      <c r="X296" s="2640"/>
      <c r="Y296" s="2640"/>
      <c r="Z296" s="2640"/>
      <c r="AA296" s="2641"/>
    </row>
    <row r="297" spans="2:30" s="114" customFormat="1" ht="12.75" hidden="1" customHeight="1" outlineLevel="1">
      <c r="B297" s="332"/>
      <c r="C297" s="167"/>
      <c r="D297" s="2102" t="s">
        <v>308</v>
      </c>
      <c r="E297" s="2102"/>
      <c r="F297" s="155"/>
      <c r="G297" s="144"/>
      <c r="H297" s="144"/>
      <c r="I297" s="145"/>
      <c r="K297" s="116"/>
      <c r="L297" s="2093"/>
      <c r="M297" s="819"/>
      <c r="N297" s="827"/>
      <c r="O297" s="145"/>
      <c r="V297" s="2091"/>
      <c r="W297" s="2092"/>
      <c r="X297" s="2092"/>
      <c r="Y297" s="2092"/>
      <c r="Z297" s="2105"/>
      <c r="AA297" s="619"/>
      <c r="AC297" s="2766" t="s">
        <v>1648</v>
      </c>
      <c r="AD297" s="2767"/>
    </row>
    <row r="298" spans="2:30" s="114" customFormat="1" ht="12.75" hidden="1" customHeight="1" outlineLevel="1">
      <c r="B298" s="143"/>
      <c r="C298" s="144"/>
      <c r="D298" s="2087" t="s">
        <v>409</v>
      </c>
      <c r="E298" s="2087"/>
      <c r="F298" s="147" t="s">
        <v>567</v>
      </c>
      <c r="G298" s="2087" t="s">
        <v>2111</v>
      </c>
      <c r="H298" s="2087"/>
      <c r="I298" s="2103" t="s">
        <v>444</v>
      </c>
      <c r="K298" s="116"/>
      <c r="L298" s="2093" t="s">
        <v>316</v>
      </c>
      <c r="M298" s="2629" t="s">
        <v>530</v>
      </c>
      <c r="N298" s="2630"/>
      <c r="O298" s="2103" t="s">
        <v>444</v>
      </c>
      <c r="V298" s="2091" t="s">
        <v>444</v>
      </c>
      <c r="W298" s="2092"/>
      <c r="X298" s="2092"/>
      <c r="Y298" s="2092"/>
      <c r="Z298" s="2105" t="s">
        <v>444</v>
      </c>
      <c r="AA298" s="587"/>
      <c r="AC298" s="2086" t="s">
        <v>2167</v>
      </c>
      <c r="AD298" s="2104" t="s">
        <v>2187</v>
      </c>
    </row>
    <row r="299" spans="2:30" s="114" customFormat="1" ht="12.75" hidden="1" customHeight="1" outlineLevel="1">
      <c r="B299" s="2093"/>
      <c r="C299" s="2087"/>
      <c r="D299" s="2087" t="s">
        <v>444</v>
      </c>
      <c r="E299" s="2087"/>
      <c r="F299" s="153" t="s">
        <v>270</v>
      </c>
      <c r="G299" s="2087"/>
      <c r="H299" s="2087"/>
      <c r="I299" s="2103"/>
      <c r="K299" s="116"/>
      <c r="L299" s="2093" t="s">
        <v>1649</v>
      </c>
      <c r="M299" s="2646"/>
      <c r="N299" s="2647"/>
      <c r="O299" s="2103"/>
      <c r="V299" s="2088" t="s">
        <v>211</v>
      </c>
      <c r="W299" s="2089" t="s">
        <v>442</v>
      </c>
      <c r="X299" s="2089" t="s">
        <v>267</v>
      </c>
      <c r="Y299" s="2089" t="s">
        <v>443</v>
      </c>
      <c r="Z299" s="2090" t="s">
        <v>327</v>
      </c>
      <c r="AA299" s="589" t="s">
        <v>636</v>
      </c>
      <c r="AC299" s="2099"/>
      <c r="AD299" s="1130"/>
    </row>
    <row r="300" spans="2:30" s="114" customFormat="1" ht="12.75" hidden="1" customHeight="1" outlineLevel="1">
      <c r="B300" s="143" t="s">
        <v>2216</v>
      </c>
      <c r="C300" s="144"/>
      <c r="D300" s="212">
        <f>I300</f>
        <v>0</v>
      </c>
      <c r="E300" s="212"/>
      <c r="F300" s="117"/>
      <c r="G300" s="335">
        <f>VLOOKUP($B300&amp;"; "&amp;$G$298,'FE Intrants'!$G:$U,9,FALSE)</f>
        <v>100</v>
      </c>
      <c r="H300" s="335"/>
      <c r="I300" s="152">
        <f>F300*G300</f>
        <v>0</v>
      </c>
      <c r="K300" s="116"/>
      <c r="L300" s="319">
        <f>IF(O300=0,O300,O300/I300)</f>
        <v>0</v>
      </c>
      <c r="M300" s="1218"/>
      <c r="N300" s="820"/>
      <c r="O300" s="152">
        <f>F300*G300*AD300</f>
        <v>0</v>
      </c>
      <c r="V300" s="564">
        <f>Z300</f>
        <v>0</v>
      </c>
      <c r="W300" s="565"/>
      <c r="X300" s="565"/>
      <c r="Y300" s="565"/>
      <c r="Z300" s="567">
        <f>I300</f>
        <v>0</v>
      </c>
      <c r="AA300" s="590"/>
      <c r="AC300" s="2099">
        <f>IF($M300&lt;&gt;"votre valeur :",IF(ISNA(VLOOKUP($M300,Utilitaires!$N$566:$O$571,2,FALSE)),,VLOOKUP($M300,Utilitaires!$N$566:$O$571,2,FALSE)),$N300)</f>
        <v>0</v>
      </c>
      <c r="AD300" s="1130">
        <f>SQRT(SUMSQ(AC300,VLOOKUP(B300&amp;"; "&amp;$G$298,'FE Intrants'!G:U,7,FALSE)))</f>
        <v>0.8</v>
      </c>
    </row>
    <row r="301" spans="2:30" s="114" customFormat="1" ht="12.75" hidden="1" customHeight="1" outlineLevel="1">
      <c r="B301" s="143" t="s">
        <v>2217</v>
      </c>
      <c r="C301" s="144"/>
      <c r="D301" s="212">
        <f>I301</f>
        <v>0</v>
      </c>
      <c r="E301" s="212"/>
      <c r="F301" s="120"/>
      <c r="G301" s="335">
        <f>VLOOKUP($B301&amp;"; "&amp;$G$298,'FE Intrants'!$G:$U,9,FALSE)</f>
        <v>160</v>
      </c>
      <c r="H301" s="335"/>
      <c r="I301" s="152">
        <f>F301*G301</f>
        <v>0</v>
      </c>
      <c r="K301" s="116"/>
      <c r="L301" s="319">
        <f>IF(O301=0,O301,O301/I301)</f>
        <v>0</v>
      </c>
      <c r="M301" s="1218"/>
      <c r="N301" s="820"/>
      <c r="O301" s="152">
        <f>F301*G301*AD301</f>
        <v>0</v>
      </c>
      <c r="V301" s="564">
        <f>Z301</f>
        <v>0</v>
      </c>
      <c r="W301" s="565"/>
      <c r="X301" s="565"/>
      <c r="Y301" s="565"/>
      <c r="Z301" s="567">
        <f>I301</f>
        <v>0</v>
      </c>
      <c r="AA301" s="590"/>
      <c r="AC301" s="2099">
        <f>IF($M301&lt;&gt;"votre valeur :",IF(ISNA(VLOOKUP($M301,Utilitaires!$N$566:$O$571,2,FALSE)),,VLOOKUP($M301,Utilitaires!$N$566:$O$571,2,FALSE)),$N301)</f>
        <v>0</v>
      </c>
      <c r="AD301" s="1130">
        <f>SQRT(SUMSQ(AC301,VLOOKUP(B301&amp;"; "&amp;$G$298,'FE Intrants'!G:U,7,FALSE)))</f>
        <v>0.8</v>
      </c>
    </row>
    <row r="302" spans="2:30" s="114" customFormat="1" ht="12.75" hidden="1" customHeight="1" outlineLevel="1">
      <c r="B302" s="143" t="s">
        <v>2218</v>
      </c>
      <c r="C302" s="144"/>
      <c r="D302" s="212">
        <f>I302</f>
        <v>0</v>
      </c>
      <c r="E302" s="212"/>
      <c r="F302" s="123"/>
      <c r="G302" s="335">
        <f>VLOOKUP($B302&amp;"; "&amp;$G$298,'FE Intrants'!$G:$U,9,FALSE)</f>
        <v>600</v>
      </c>
      <c r="H302" s="335"/>
      <c r="I302" s="152">
        <f>F302*G302</f>
        <v>0</v>
      </c>
      <c r="K302" s="116"/>
      <c r="L302" s="319">
        <f>IF(O302=0,O302,O302/I302)</f>
        <v>0</v>
      </c>
      <c r="M302" s="1218"/>
      <c r="N302" s="820"/>
      <c r="O302" s="152">
        <f>F302*G302*AD302</f>
        <v>0</v>
      </c>
      <c r="V302" s="564">
        <f>Z302</f>
        <v>0</v>
      </c>
      <c r="W302" s="565"/>
      <c r="X302" s="565"/>
      <c r="Y302" s="565"/>
      <c r="Z302" s="567">
        <f>I302</f>
        <v>0</v>
      </c>
      <c r="AA302" s="590"/>
      <c r="AC302" s="2099">
        <f>IF($M302&lt;&gt;"votre valeur :",IF(ISNA(VLOOKUP($M302,Utilitaires!$N$566:$O$571,2,FALSE)),,VLOOKUP($M302,Utilitaires!$N$566:$O$571,2,FALSE)),$N302)</f>
        <v>0</v>
      </c>
      <c r="AD302" s="1130">
        <f>SQRT(SUMSQ(AC302,VLOOKUP(B302&amp;"; "&amp;$G$298,'FE Intrants'!G:U,7,FALSE)))</f>
        <v>0.8</v>
      </c>
    </row>
    <row r="303" spans="2:30" s="114" customFormat="1" ht="12.75" hidden="1" customHeight="1" outlineLevel="1">
      <c r="B303" s="143"/>
      <c r="C303" s="144"/>
      <c r="D303" s="213"/>
      <c r="E303" s="213"/>
      <c r="F303" s="144"/>
      <c r="G303" s="144"/>
      <c r="H303" s="335"/>
      <c r="I303" s="168"/>
      <c r="K303" s="116"/>
      <c r="L303" s="226"/>
      <c r="M303" s="144"/>
      <c r="N303" s="820"/>
      <c r="O303" s="152"/>
      <c r="V303" s="564">
        <f>Z303</f>
        <v>0</v>
      </c>
      <c r="W303" s="565"/>
      <c r="X303" s="565"/>
      <c r="Y303" s="565"/>
      <c r="Z303" s="567"/>
      <c r="AA303" s="591"/>
      <c r="AC303" s="2085"/>
      <c r="AD303" s="1153"/>
    </row>
    <row r="304" spans="2:30" s="114" customFormat="1" ht="12.75" hidden="1" customHeight="1" outlineLevel="1">
      <c r="B304" s="196" t="s">
        <v>348</v>
      </c>
      <c r="C304" s="197"/>
      <c r="D304" s="214">
        <f>SUM(D300:D303)</f>
        <v>0</v>
      </c>
      <c r="E304" s="214"/>
      <c r="F304" s="199"/>
      <c r="G304" s="199"/>
      <c r="H304" s="199"/>
      <c r="I304" s="200">
        <f>SUM(I300:I303)</f>
        <v>0</v>
      </c>
      <c r="K304" s="116"/>
      <c r="L304" s="1204">
        <f>IF(O304=0,O304,O304/I304)</f>
        <v>0</v>
      </c>
      <c r="M304" s="199"/>
      <c r="N304" s="199"/>
      <c r="O304" s="200">
        <f>SQRT(SUMSQ(O300:O303))</f>
        <v>0</v>
      </c>
      <c r="V304" s="571">
        <f t="shared" ref="V304" si="60">SUM(V300:V303)</f>
        <v>0</v>
      </c>
      <c r="W304" s="572">
        <f>SUM(W300:W303)</f>
        <v>0</v>
      </c>
      <c r="X304" s="572">
        <f>SUM(X300:X303)</f>
        <v>0</v>
      </c>
      <c r="Y304" s="572">
        <f>SUM(Y300:Y303)</f>
        <v>0</v>
      </c>
      <c r="Z304" s="574">
        <f>SUM(Z300:Z303)</f>
        <v>0</v>
      </c>
      <c r="AA304" s="592">
        <f>SUM(AA300:AA303)</f>
        <v>0</v>
      </c>
    </row>
    <row r="305" spans="2:30" s="114" customFormat="1" ht="13.2" collapsed="1">
      <c r="G305" s="116"/>
      <c r="V305" s="441"/>
      <c r="W305" s="441"/>
      <c r="X305" s="441"/>
      <c r="Y305" s="441"/>
      <c r="Z305" s="441"/>
      <c r="AA305" s="441"/>
    </row>
    <row r="306" spans="2:30" s="114" customFormat="1" ht="15.6" collapsed="1">
      <c r="B306" s="2652" t="s">
        <v>2493</v>
      </c>
      <c r="C306" s="2653"/>
      <c r="D306" s="2653"/>
      <c r="E306" s="2653"/>
      <c r="F306" s="2653"/>
      <c r="G306" s="2653"/>
      <c r="H306" s="2653"/>
      <c r="I306" s="2653"/>
      <c r="J306" s="2653"/>
      <c r="K306" s="2653"/>
      <c r="L306" s="2653"/>
      <c r="M306" s="2653"/>
      <c r="N306" s="2653"/>
      <c r="O306" s="2654"/>
      <c r="X306" s="441"/>
      <c r="Y306" s="441"/>
      <c r="Z306" s="441"/>
      <c r="AA306" s="441"/>
    </row>
    <row r="307" spans="2:30" s="114" customFormat="1" ht="12.75" hidden="1" customHeight="1" outlineLevel="1">
      <c r="V307" s="441"/>
      <c r="W307" s="441"/>
      <c r="X307" s="441"/>
      <c r="Y307" s="441"/>
      <c r="Z307" s="441"/>
      <c r="AA307" s="441"/>
    </row>
    <row r="308" spans="2:30" s="114" customFormat="1" ht="12.75" hidden="1" customHeight="1" outlineLevel="1">
      <c r="B308" s="139" t="s">
        <v>2386</v>
      </c>
      <c r="C308" s="140"/>
      <c r="D308" s="2094"/>
      <c r="E308" s="2094"/>
      <c r="F308" s="141"/>
      <c r="G308" s="141"/>
      <c r="H308" s="141"/>
      <c r="I308" s="142"/>
      <c r="K308" s="116"/>
      <c r="L308" s="2636" t="s">
        <v>366</v>
      </c>
      <c r="M308" s="2637"/>
      <c r="N308" s="2637"/>
      <c r="O308" s="2638"/>
      <c r="V308" s="2639" t="s">
        <v>441</v>
      </c>
      <c r="W308" s="2640"/>
      <c r="X308" s="2640"/>
      <c r="Y308" s="2640"/>
      <c r="Z308" s="2640"/>
      <c r="AA308" s="2641"/>
    </row>
    <row r="309" spans="2:30" s="114" customFormat="1" ht="12.75" hidden="1" customHeight="1" outlineLevel="1">
      <c r="B309" s="332"/>
      <c r="C309" s="167"/>
      <c r="D309" s="2102" t="s">
        <v>308</v>
      </c>
      <c r="E309" s="2102"/>
      <c r="F309" s="155"/>
      <c r="G309" s="144"/>
      <c r="H309" s="144"/>
      <c r="I309" s="145"/>
      <c r="K309" s="116"/>
      <c r="L309" s="2093"/>
      <c r="M309" s="819"/>
      <c r="N309" s="827"/>
      <c r="O309" s="145"/>
      <c r="V309" s="2091"/>
      <c r="W309" s="2092"/>
      <c r="X309" s="2092"/>
      <c r="Y309" s="2092"/>
      <c r="Z309" s="2105"/>
      <c r="AA309" s="619"/>
      <c r="AC309" s="2766" t="s">
        <v>1648</v>
      </c>
      <c r="AD309" s="2767"/>
    </row>
    <row r="310" spans="2:30" s="114" customFormat="1" ht="12.75" hidden="1" customHeight="1" outlineLevel="1">
      <c r="B310" s="143"/>
      <c r="C310" s="144"/>
      <c r="D310" s="2087" t="s">
        <v>409</v>
      </c>
      <c r="E310" s="2087"/>
      <c r="F310" s="147" t="s">
        <v>567</v>
      </c>
      <c r="G310" s="2087" t="s">
        <v>2111</v>
      </c>
      <c r="H310" s="2087"/>
      <c r="I310" s="2103" t="s">
        <v>444</v>
      </c>
      <c r="K310" s="116"/>
      <c r="L310" s="2093" t="s">
        <v>316</v>
      </c>
      <c r="M310" s="2629" t="s">
        <v>530</v>
      </c>
      <c r="N310" s="2630"/>
      <c r="O310" s="2103" t="s">
        <v>444</v>
      </c>
      <c r="V310" s="2091" t="s">
        <v>444</v>
      </c>
      <c r="W310" s="2092"/>
      <c r="X310" s="2092"/>
      <c r="Y310" s="2092"/>
      <c r="Z310" s="2105" t="s">
        <v>444</v>
      </c>
      <c r="AA310" s="587"/>
      <c r="AC310" s="2086" t="s">
        <v>2167</v>
      </c>
      <c r="AD310" s="2104" t="s">
        <v>2187</v>
      </c>
    </row>
    <row r="311" spans="2:30" s="114" customFormat="1" ht="12.75" hidden="1" customHeight="1" outlineLevel="1">
      <c r="B311" s="2093"/>
      <c r="C311" s="2087"/>
      <c r="D311" s="2087" t="s">
        <v>444</v>
      </c>
      <c r="E311" s="2087"/>
      <c r="F311" s="153" t="s">
        <v>270</v>
      </c>
      <c r="G311" s="2087"/>
      <c r="H311" s="2087"/>
      <c r="I311" s="2103"/>
      <c r="K311" s="116"/>
      <c r="L311" s="2093" t="s">
        <v>1649</v>
      </c>
      <c r="M311" s="2646"/>
      <c r="N311" s="2647"/>
      <c r="O311" s="2103"/>
      <c r="V311" s="2088" t="s">
        <v>211</v>
      </c>
      <c r="W311" s="2089" t="s">
        <v>442</v>
      </c>
      <c r="X311" s="2089" t="s">
        <v>267</v>
      </c>
      <c r="Y311" s="2089" t="s">
        <v>443</v>
      </c>
      <c r="Z311" s="2090" t="s">
        <v>327</v>
      </c>
      <c r="AA311" s="589" t="s">
        <v>636</v>
      </c>
      <c r="AC311" s="2099"/>
      <c r="AD311" s="1130"/>
    </row>
    <row r="312" spans="2:30" s="114" customFormat="1" ht="12.75" hidden="1" customHeight="1" outlineLevel="1">
      <c r="B312" s="143" t="s">
        <v>2387</v>
      </c>
      <c r="C312" s="144"/>
      <c r="D312" s="212">
        <f>I312</f>
        <v>0</v>
      </c>
      <c r="E312" s="212"/>
      <c r="F312" s="117"/>
      <c r="G312" s="335">
        <f>VLOOKUP($B312&amp;"; "&amp;$G$298,'FE Intrants'!$G:$U,9,FALSE)</f>
        <v>110</v>
      </c>
      <c r="H312" s="335"/>
      <c r="I312" s="152">
        <f>F312*G312</f>
        <v>0</v>
      </c>
      <c r="K312" s="116"/>
      <c r="L312" s="319">
        <f>IF(O312=0,O312,O312/I312)</f>
        <v>0</v>
      </c>
      <c r="M312" s="1218"/>
      <c r="N312" s="820"/>
      <c r="O312" s="152">
        <f>F312*G312*AD312</f>
        <v>0</v>
      </c>
      <c r="V312" s="564">
        <f>Z312</f>
        <v>0</v>
      </c>
      <c r="W312" s="565"/>
      <c r="X312" s="565"/>
      <c r="Y312" s="565"/>
      <c r="Z312" s="567">
        <f>I312</f>
        <v>0</v>
      </c>
      <c r="AA312" s="590"/>
      <c r="AC312" s="2099">
        <f>IF($M312&lt;&gt;"votre valeur :",IF(ISNA(VLOOKUP($M312,Utilitaires!$N$566:$O$571,2,FALSE)),,VLOOKUP($M312,Utilitaires!$N$566:$O$571,2,FALSE)),$N312)</f>
        <v>0</v>
      </c>
      <c r="AD312" s="1130">
        <f>SQRT(SUMSQ(AC312,VLOOKUP(B312&amp;"; "&amp;$G$298,'FE Intrants'!G:U,7,FALSE)))</f>
        <v>0.8</v>
      </c>
    </row>
    <row r="313" spans="2:30" s="114" customFormat="1" ht="12.75" hidden="1" customHeight="1" outlineLevel="1">
      <c r="B313" s="143" t="s">
        <v>2217</v>
      </c>
      <c r="C313" s="144"/>
      <c r="D313" s="212">
        <f>I313</f>
        <v>0</v>
      </c>
      <c r="E313" s="212"/>
      <c r="F313" s="120"/>
      <c r="G313" s="335">
        <f>VLOOKUP($B313&amp;"; "&amp;$G$298,'FE Intrants'!$G:$U,9,FALSE)</f>
        <v>160</v>
      </c>
      <c r="H313" s="335"/>
      <c r="I313" s="152">
        <f>F313*G313</f>
        <v>0</v>
      </c>
      <c r="K313" s="116"/>
      <c r="L313" s="319">
        <f>IF(O313=0,O313,O313/I313)</f>
        <v>0</v>
      </c>
      <c r="M313" s="1218"/>
      <c r="N313" s="820"/>
      <c r="O313" s="152">
        <f>F313*G313*AD313</f>
        <v>0</v>
      </c>
      <c r="V313" s="564">
        <f>Z313</f>
        <v>0</v>
      </c>
      <c r="W313" s="565"/>
      <c r="X313" s="565"/>
      <c r="Y313" s="565"/>
      <c r="Z313" s="567">
        <f>I313</f>
        <v>0</v>
      </c>
      <c r="AA313" s="590"/>
      <c r="AC313" s="2099">
        <f>IF($M313&lt;&gt;"votre valeur :",IF(ISNA(VLOOKUP($M313,Utilitaires!$N$566:$O$571,2,FALSE)),,VLOOKUP($M313,Utilitaires!$N$566:$O$571,2,FALSE)),$N313)</f>
        <v>0</v>
      </c>
      <c r="AD313" s="1130">
        <f>SQRT(SUMSQ(AC313,VLOOKUP(B313&amp;"; "&amp;$G$298,'FE Intrants'!G:U,7,FALSE)))</f>
        <v>0.8</v>
      </c>
    </row>
    <row r="314" spans="2:30" s="114" customFormat="1" ht="12.75" hidden="1" customHeight="1" outlineLevel="1">
      <c r="B314" s="143" t="s">
        <v>2218</v>
      </c>
      <c r="C314" s="144"/>
      <c r="D314" s="212">
        <f>I314</f>
        <v>0</v>
      </c>
      <c r="E314" s="212"/>
      <c r="F314" s="123"/>
      <c r="G314" s="335">
        <f>VLOOKUP($B314&amp;"; "&amp;$G$298,'FE Intrants'!$G:$U,9,FALSE)</f>
        <v>600</v>
      </c>
      <c r="H314" s="335"/>
      <c r="I314" s="152">
        <f>F314*G314</f>
        <v>0</v>
      </c>
      <c r="K314" s="116"/>
      <c r="L314" s="319">
        <f>IF(O314=0,O314,O314/I314)</f>
        <v>0</v>
      </c>
      <c r="M314" s="1218"/>
      <c r="N314" s="820"/>
      <c r="O314" s="152">
        <f>F314*G314*AD314</f>
        <v>0</v>
      </c>
      <c r="V314" s="564">
        <f>Z314</f>
        <v>0</v>
      </c>
      <c r="W314" s="565"/>
      <c r="X314" s="565"/>
      <c r="Y314" s="565"/>
      <c r="Z314" s="567">
        <f>I314</f>
        <v>0</v>
      </c>
      <c r="AA314" s="590"/>
      <c r="AC314" s="2099">
        <f>IF($M314&lt;&gt;"votre valeur :",IF(ISNA(VLOOKUP($M314,Utilitaires!$N$566:$O$571,2,FALSE)),,VLOOKUP($M314,Utilitaires!$N$566:$O$571,2,FALSE)),$N314)</f>
        <v>0</v>
      </c>
      <c r="AD314" s="1130">
        <f>SQRT(SUMSQ(AC314,VLOOKUP(B314&amp;"; "&amp;$G$298,'FE Intrants'!G:U,7,FALSE)))</f>
        <v>0.8</v>
      </c>
    </row>
    <row r="315" spans="2:30" s="114" customFormat="1" ht="12.75" hidden="1" customHeight="1" outlineLevel="1">
      <c r="B315" s="143"/>
      <c r="C315" s="144"/>
      <c r="D315" s="213"/>
      <c r="E315" s="213"/>
      <c r="F315" s="144"/>
      <c r="G315" s="144"/>
      <c r="H315" s="335"/>
      <c r="I315" s="168"/>
      <c r="K315" s="116"/>
      <c r="L315" s="226"/>
      <c r="M315" s="144"/>
      <c r="N315" s="820"/>
      <c r="O315" s="152"/>
      <c r="V315" s="564">
        <f>Z315</f>
        <v>0</v>
      </c>
      <c r="W315" s="565"/>
      <c r="X315" s="565"/>
      <c r="Y315" s="565"/>
      <c r="Z315" s="567"/>
      <c r="AA315" s="591"/>
      <c r="AC315" s="2085"/>
      <c r="AD315" s="1153"/>
    </row>
    <row r="316" spans="2:30" s="114" customFormat="1" ht="12.75" hidden="1" customHeight="1" outlineLevel="1">
      <c r="B316" s="196" t="s">
        <v>348</v>
      </c>
      <c r="C316" s="197"/>
      <c r="D316" s="214">
        <f>SUM(D312:D315)</f>
        <v>0</v>
      </c>
      <c r="E316" s="214"/>
      <c r="F316" s="199"/>
      <c r="G316" s="199"/>
      <c r="H316" s="199"/>
      <c r="I316" s="200">
        <f>SUM(I312:I315)</f>
        <v>0</v>
      </c>
      <c r="K316" s="116"/>
      <c r="L316" s="1204">
        <f>IF(O316=0,O316,O316/I316)</f>
        <v>0</v>
      </c>
      <c r="M316" s="199"/>
      <c r="N316" s="199"/>
      <c r="O316" s="200">
        <f>SQRT(SUMSQ(O312:O315))</f>
        <v>0</v>
      </c>
      <c r="V316" s="571">
        <f t="shared" ref="V316" si="61">SUM(V312:V315)</f>
        <v>0</v>
      </c>
      <c r="W316" s="572">
        <f>SUM(W312:W315)</f>
        <v>0</v>
      </c>
      <c r="X316" s="572">
        <f>SUM(X312:X315)</f>
        <v>0</v>
      </c>
      <c r="Y316" s="572">
        <f>SUM(Y312:Y315)</f>
        <v>0</v>
      </c>
      <c r="Z316" s="574">
        <f>SUM(Z312:Z315)</f>
        <v>0</v>
      </c>
      <c r="AA316" s="592">
        <f>SUM(AA312:AA315)</f>
        <v>0</v>
      </c>
    </row>
    <row r="317" spans="2:30" s="114" customFormat="1" ht="12.75" hidden="1" customHeight="1" outlineLevel="1">
      <c r="G317" s="116"/>
      <c r="Z317" s="441"/>
      <c r="AA317" s="441"/>
      <c r="AB317" s="441"/>
      <c r="AC317" s="441"/>
      <c r="AD317" s="441"/>
    </row>
    <row r="318" spans="2:30" s="114" customFormat="1" ht="13.2" collapsed="1">
      <c r="G318" s="116"/>
      <c r="K318" s="116"/>
      <c r="Z318" s="441"/>
      <c r="AA318" s="441"/>
      <c r="AB318" s="441"/>
      <c r="AC318" s="441"/>
      <c r="AD318" s="441"/>
    </row>
    <row r="319" spans="2:30" ht="20.100000000000001" customHeight="1">
      <c r="B319" s="2664" t="s">
        <v>518</v>
      </c>
      <c r="C319" s="2665"/>
      <c r="D319" s="2665"/>
      <c r="E319" s="2665"/>
      <c r="F319" s="2665"/>
      <c r="G319" s="2665"/>
      <c r="H319" s="2665"/>
      <c r="I319" s="2665"/>
      <c r="J319" s="2665"/>
      <c r="K319" s="2665"/>
      <c r="L319" s="2665"/>
      <c r="M319" s="2665"/>
      <c r="N319" s="2665"/>
      <c r="O319" s="2666"/>
      <c r="Z319" s="441"/>
      <c r="AA319" s="441"/>
      <c r="AB319" s="441"/>
      <c r="AC319" s="441"/>
      <c r="AD319" s="441"/>
    </row>
    <row r="320" spans="2:30" s="114" customFormat="1" ht="13.2">
      <c r="O320" s="441"/>
      <c r="U320" s="441"/>
      <c r="V320" s="441"/>
      <c r="W320" s="441"/>
      <c r="X320" s="441"/>
      <c r="Y320" s="441"/>
    </row>
    <row r="321" spans="2:30" s="114" customFormat="1" ht="12.75" customHeight="1">
      <c r="B321" s="2667" t="str">
        <f>Descriptif!C28</f>
        <v>Intrants 2</v>
      </c>
      <c r="C321" s="2668"/>
      <c r="D321" s="2671" t="s">
        <v>409</v>
      </c>
      <c r="E321" s="2672"/>
      <c r="F321" s="2673"/>
      <c r="G321" s="129"/>
      <c r="H321" s="2671" t="s">
        <v>159</v>
      </c>
      <c r="I321" s="2673"/>
      <c r="J321" s="170"/>
      <c r="K321" s="2674" t="s">
        <v>499</v>
      </c>
      <c r="L321" s="2675"/>
      <c r="M321" s="2675"/>
      <c r="N321" s="2676"/>
      <c r="O321" s="441"/>
      <c r="U321" s="441"/>
      <c r="V321" s="441"/>
      <c r="W321" s="441"/>
      <c r="X321" s="441"/>
      <c r="Y321" s="441"/>
    </row>
    <row r="322" spans="2:30" s="114" customFormat="1" ht="12.75" customHeight="1">
      <c r="B322" s="2669"/>
      <c r="C322" s="2670"/>
      <c r="D322" s="2096" t="s">
        <v>444</v>
      </c>
      <c r="E322" s="2101" t="s">
        <v>500</v>
      </c>
      <c r="F322" s="2096" t="s">
        <v>524</v>
      </c>
      <c r="G322" s="129"/>
      <c r="H322" s="2096" t="s">
        <v>444</v>
      </c>
      <c r="I322" s="2096" t="s">
        <v>355</v>
      </c>
      <c r="J322" s="170"/>
      <c r="K322" s="2097" t="s">
        <v>43</v>
      </c>
      <c r="L322" s="2097" t="s">
        <v>522</v>
      </c>
      <c r="M322" s="2097" t="s">
        <v>522</v>
      </c>
      <c r="N322" s="2097" t="s">
        <v>523</v>
      </c>
      <c r="O322" s="441"/>
      <c r="U322" s="441"/>
      <c r="V322" s="441"/>
      <c r="W322" s="441"/>
      <c r="X322" s="441"/>
      <c r="Y322" s="441"/>
    </row>
    <row r="323" spans="2:30" s="91" customFormat="1" ht="13.2">
      <c r="B323" s="2660" t="s">
        <v>3</v>
      </c>
      <c r="C323" s="2661"/>
      <c r="D323" s="183">
        <f>D19</f>
        <v>0</v>
      </c>
      <c r="E323" s="184">
        <f t="shared" ref="E323:E332" si="62">D323/1000</f>
        <v>0</v>
      </c>
      <c r="F323" s="185" t="str">
        <f t="shared" ref="F323:F333" si="63">IF($D$333=0,"",D323/$D$333)</f>
        <v/>
      </c>
      <c r="G323" s="128"/>
      <c r="H323" s="136">
        <f>O19</f>
        <v>0</v>
      </c>
      <c r="I323" s="185" t="str">
        <f t="shared" ref="I323:I333" si="64">IF(D323=0,"",H323/D323)</f>
        <v/>
      </c>
      <c r="J323" s="170"/>
      <c r="K323" s="187">
        <f t="shared" ref="K323:K333" si="65">(D323-H323)/1000</f>
        <v>0</v>
      </c>
      <c r="L323" s="187">
        <f t="shared" ref="L323:L333" si="66">E323</f>
        <v>0</v>
      </c>
      <c r="M323" s="187">
        <f t="shared" ref="M323:M333" si="67">E323</f>
        <v>0</v>
      </c>
      <c r="N323" s="187">
        <f t="shared" ref="N323:N333" si="68">(D323+H323)/1000</f>
        <v>0</v>
      </c>
      <c r="O323" s="595"/>
      <c r="U323" s="595"/>
      <c r="V323" s="595"/>
      <c r="W323" s="595"/>
      <c r="X323" s="595"/>
      <c r="Y323" s="595"/>
    </row>
    <row r="324" spans="2:30" s="91" customFormat="1" ht="13.2">
      <c r="B324" s="2660" t="s">
        <v>207</v>
      </c>
      <c r="C324" s="2661"/>
      <c r="D324" s="183">
        <f>D33</f>
        <v>0</v>
      </c>
      <c r="E324" s="184">
        <f t="shared" si="62"/>
        <v>0</v>
      </c>
      <c r="F324" s="185" t="str">
        <f t="shared" si="63"/>
        <v/>
      </c>
      <c r="G324" s="128"/>
      <c r="H324" s="136">
        <f>O33</f>
        <v>0</v>
      </c>
      <c r="I324" s="185" t="str">
        <f t="shared" si="64"/>
        <v/>
      </c>
      <c r="J324" s="170"/>
      <c r="K324" s="187">
        <f t="shared" si="65"/>
        <v>0</v>
      </c>
      <c r="L324" s="187">
        <f t="shared" si="66"/>
        <v>0</v>
      </c>
      <c r="M324" s="187">
        <f t="shared" si="67"/>
        <v>0</v>
      </c>
      <c r="N324" s="187">
        <f t="shared" si="68"/>
        <v>0</v>
      </c>
      <c r="O324" s="595"/>
      <c r="U324" s="595"/>
      <c r="V324" s="595"/>
      <c r="W324" s="595"/>
      <c r="X324" s="595"/>
      <c r="Y324" s="595"/>
    </row>
    <row r="325" spans="2:30" s="91" customFormat="1" ht="13.2">
      <c r="B325" s="2660" t="s">
        <v>297</v>
      </c>
      <c r="C325" s="2661"/>
      <c r="D325" s="183">
        <f>D47</f>
        <v>0</v>
      </c>
      <c r="E325" s="184">
        <f t="shared" si="62"/>
        <v>0</v>
      </c>
      <c r="F325" s="185" t="str">
        <f t="shared" si="63"/>
        <v/>
      </c>
      <c r="G325" s="128"/>
      <c r="H325" s="136">
        <f>O47</f>
        <v>0</v>
      </c>
      <c r="I325" s="185" t="str">
        <f t="shared" si="64"/>
        <v/>
      </c>
      <c r="J325" s="170"/>
      <c r="K325" s="187">
        <f t="shared" si="65"/>
        <v>0</v>
      </c>
      <c r="L325" s="187">
        <f t="shared" si="66"/>
        <v>0</v>
      </c>
      <c r="M325" s="187">
        <f t="shared" si="67"/>
        <v>0</v>
      </c>
      <c r="N325" s="187">
        <f t="shared" si="68"/>
        <v>0</v>
      </c>
      <c r="O325" s="595"/>
      <c r="U325" s="595"/>
      <c r="V325" s="595"/>
      <c r="W325" s="595"/>
      <c r="X325" s="595"/>
      <c r="Y325" s="595"/>
    </row>
    <row r="326" spans="2:30" s="91" customFormat="1" ht="13.2">
      <c r="B326" s="2660" t="s">
        <v>331</v>
      </c>
      <c r="C326" s="2661"/>
      <c r="D326" s="183">
        <f>D60</f>
        <v>0</v>
      </c>
      <c r="E326" s="184">
        <f t="shared" si="62"/>
        <v>0</v>
      </c>
      <c r="F326" s="185" t="str">
        <f t="shared" si="63"/>
        <v/>
      </c>
      <c r="G326" s="128"/>
      <c r="H326" s="136">
        <f>O60</f>
        <v>0</v>
      </c>
      <c r="I326" s="185" t="str">
        <f t="shared" si="64"/>
        <v/>
      </c>
      <c r="J326" s="170"/>
      <c r="K326" s="187">
        <f t="shared" si="65"/>
        <v>0</v>
      </c>
      <c r="L326" s="187">
        <f t="shared" si="66"/>
        <v>0</v>
      </c>
      <c r="M326" s="187">
        <f t="shared" si="67"/>
        <v>0</v>
      </c>
      <c r="N326" s="187">
        <f t="shared" si="68"/>
        <v>0</v>
      </c>
      <c r="O326" s="595"/>
      <c r="U326" s="595"/>
      <c r="V326" s="595"/>
      <c r="W326" s="595"/>
      <c r="X326" s="595"/>
      <c r="Y326" s="595"/>
    </row>
    <row r="327" spans="2:30" s="91" customFormat="1" ht="13.2">
      <c r="B327" s="2660" t="s">
        <v>208</v>
      </c>
      <c r="C327" s="2661"/>
      <c r="D327" s="183">
        <f>D74</f>
        <v>0</v>
      </c>
      <c r="E327" s="184">
        <f t="shared" si="62"/>
        <v>0</v>
      </c>
      <c r="F327" s="185" t="str">
        <f t="shared" si="63"/>
        <v/>
      </c>
      <c r="G327" s="128"/>
      <c r="H327" s="136">
        <f>O74</f>
        <v>0</v>
      </c>
      <c r="I327" s="185" t="str">
        <f t="shared" si="64"/>
        <v/>
      </c>
      <c r="J327" s="170"/>
      <c r="K327" s="187">
        <f t="shared" si="65"/>
        <v>0</v>
      </c>
      <c r="L327" s="187">
        <f t="shared" si="66"/>
        <v>0</v>
      </c>
      <c r="M327" s="187">
        <f t="shared" si="67"/>
        <v>0</v>
      </c>
      <c r="N327" s="187">
        <f t="shared" si="68"/>
        <v>0</v>
      </c>
      <c r="O327" s="595"/>
      <c r="U327" s="595"/>
      <c r="V327" s="595"/>
      <c r="W327" s="595"/>
      <c r="X327" s="595"/>
      <c r="Y327" s="595"/>
    </row>
    <row r="328" spans="2:30" s="91" customFormat="1" ht="13.2">
      <c r="B328" s="2660" t="s">
        <v>9</v>
      </c>
      <c r="C328" s="2661"/>
      <c r="D328" s="183">
        <f>D104</f>
        <v>0</v>
      </c>
      <c r="E328" s="184">
        <f t="shared" si="62"/>
        <v>0</v>
      </c>
      <c r="F328" s="185" t="str">
        <f t="shared" si="63"/>
        <v/>
      </c>
      <c r="G328" s="128"/>
      <c r="H328" s="136">
        <f>T104</f>
        <v>0</v>
      </c>
      <c r="I328" s="185" t="str">
        <f t="shared" si="64"/>
        <v/>
      </c>
      <c r="J328" s="170"/>
      <c r="K328" s="187">
        <f t="shared" si="65"/>
        <v>0</v>
      </c>
      <c r="L328" s="187">
        <f t="shared" si="66"/>
        <v>0</v>
      </c>
      <c r="M328" s="187">
        <f t="shared" si="67"/>
        <v>0</v>
      </c>
      <c r="N328" s="187">
        <f t="shared" si="68"/>
        <v>0</v>
      </c>
      <c r="O328" s="595"/>
      <c r="U328" s="595"/>
      <c r="V328" s="595"/>
      <c r="W328" s="595"/>
      <c r="X328" s="595"/>
      <c r="Y328" s="595"/>
    </row>
    <row r="329" spans="2:30" s="91" customFormat="1" ht="13.2">
      <c r="B329" s="2660" t="s">
        <v>2119</v>
      </c>
      <c r="C329" s="2661"/>
      <c r="D329" s="183">
        <f>D168+D185</f>
        <v>0</v>
      </c>
      <c r="E329" s="184">
        <f t="shared" si="62"/>
        <v>0</v>
      </c>
      <c r="F329" s="185" t="str">
        <f t="shared" si="63"/>
        <v/>
      </c>
      <c r="G329" s="128"/>
      <c r="H329" s="136">
        <f>SQRT(O168^2+O185^2)</f>
        <v>0</v>
      </c>
      <c r="I329" s="185" t="str">
        <f t="shared" si="64"/>
        <v/>
      </c>
      <c r="J329" s="170"/>
      <c r="K329" s="187">
        <f t="shared" si="65"/>
        <v>0</v>
      </c>
      <c r="L329" s="187">
        <f t="shared" si="66"/>
        <v>0</v>
      </c>
      <c r="M329" s="187">
        <f t="shared" si="67"/>
        <v>0</v>
      </c>
      <c r="N329" s="187">
        <f t="shared" si="68"/>
        <v>0</v>
      </c>
      <c r="O329" s="595"/>
      <c r="U329" s="595"/>
      <c r="V329" s="595"/>
      <c r="W329" s="595"/>
      <c r="X329" s="595"/>
      <c r="Y329" s="595"/>
    </row>
    <row r="330" spans="2:30" s="91" customFormat="1" ht="13.2">
      <c r="B330" s="2660" t="s">
        <v>887</v>
      </c>
      <c r="C330" s="2661"/>
      <c r="D330" s="183">
        <f>D291</f>
        <v>0</v>
      </c>
      <c r="E330" s="184">
        <f t="shared" si="62"/>
        <v>0</v>
      </c>
      <c r="F330" s="185" t="str">
        <f t="shared" si="63"/>
        <v/>
      </c>
      <c r="G330" s="128"/>
      <c r="H330" s="136">
        <f>T291</f>
        <v>0</v>
      </c>
      <c r="I330" s="185" t="str">
        <f t="shared" si="64"/>
        <v/>
      </c>
      <c r="J330" s="170"/>
      <c r="K330" s="187">
        <f t="shared" si="65"/>
        <v>0</v>
      </c>
      <c r="L330" s="187">
        <f t="shared" si="66"/>
        <v>0</v>
      </c>
      <c r="M330" s="187">
        <f t="shared" si="67"/>
        <v>0</v>
      </c>
      <c r="N330" s="187">
        <f t="shared" si="68"/>
        <v>0</v>
      </c>
      <c r="O330" s="595"/>
      <c r="U330" s="595"/>
      <c r="V330" s="595"/>
      <c r="W330" s="595"/>
      <c r="X330" s="595"/>
      <c r="Y330" s="595"/>
    </row>
    <row r="331" spans="2:30" s="91" customFormat="1" ht="13.2">
      <c r="B331" s="1172" t="s">
        <v>890</v>
      </c>
      <c r="C331" s="2095"/>
      <c r="D331" s="183">
        <f>D304</f>
        <v>0</v>
      </c>
      <c r="E331" s="184">
        <f t="shared" si="62"/>
        <v>0</v>
      </c>
      <c r="F331" s="185" t="str">
        <f t="shared" si="63"/>
        <v/>
      </c>
      <c r="G331" s="128"/>
      <c r="H331" s="1173">
        <f>O304</f>
        <v>0</v>
      </c>
      <c r="I331" s="185" t="str">
        <f t="shared" si="64"/>
        <v/>
      </c>
      <c r="J331" s="170"/>
      <c r="K331" s="187">
        <f t="shared" si="65"/>
        <v>0</v>
      </c>
      <c r="L331" s="187">
        <f t="shared" si="66"/>
        <v>0</v>
      </c>
      <c r="M331" s="187">
        <f t="shared" si="67"/>
        <v>0</v>
      </c>
      <c r="N331" s="187">
        <f t="shared" si="68"/>
        <v>0</v>
      </c>
      <c r="O331" s="595"/>
      <c r="U331" s="595"/>
      <c r="V331" s="595"/>
      <c r="W331" s="595"/>
      <c r="X331" s="595"/>
      <c r="Y331" s="595"/>
    </row>
    <row r="332" spans="2:30" s="91" customFormat="1" ht="13.2">
      <c r="B332" s="2660" t="s">
        <v>472</v>
      </c>
      <c r="C332" s="2661"/>
      <c r="D332" s="183">
        <f>D316</f>
        <v>0</v>
      </c>
      <c r="E332" s="184">
        <f t="shared" si="62"/>
        <v>0</v>
      </c>
      <c r="F332" s="185" t="str">
        <f t="shared" si="63"/>
        <v/>
      </c>
      <c r="G332" s="128"/>
      <c r="H332" s="136">
        <f>O316</f>
        <v>0</v>
      </c>
      <c r="I332" s="185" t="str">
        <f t="shared" si="64"/>
        <v/>
      </c>
      <c r="J332" s="170"/>
      <c r="K332" s="187">
        <f t="shared" si="65"/>
        <v>0</v>
      </c>
      <c r="L332" s="187">
        <f t="shared" si="66"/>
        <v>0</v>
      </c>
      <c r="M332" s="187">
        <f t="shared" si="67"/>
        <v>0</v>
      </c>
      <c r="N332" s="187">
        <f t="shared" si="68"/>
        <v>0</v>
      </c>
      <c r="O332" s="595"/>
      <c r="U332" s="595"/>
      <c r="V332" s="595"/>
      <c r="W332" s="595"/>
      <c r="X332" s="595"/>
      <c r="Y332" s="595"/>
    </row>
    <row r="333" spans="2:30" s="98" customFormat="1" ht="15">
      <c r="B333" s="2662" t="s">
        <v>348</v>
      </c>
      <c r="C333" s="2663"/>
      <c r="D333" s="188">
        <f>SUM(D323:D332)</f>
        <v>0</v>
      </c>
      <c r="E333" s="189">
        <f>SUM(E323:E332)</f>
        <v>0</v>
      </c>
      <c r="F333" s="190" t="str">
        <f t="shared" si="63"/>
        <v/>
      </c>
      <c r="G333" s="191"/>
      <c r="H333" s="188">
        <f>SQRT(SUMSQ(H323:H332))</f>
        <v>0</v>
      </c>
      <c r="I333" s="190" t="str">
        <f t="shared" si="64"/>
        <v/>
      </c>
      <c r="J333" s="192"/>
      <c r="K333" s="187">
        <f t="shared" si="65"/>
        <v>0</v>
      </c>
      <c r="L333" s="187">
        <f t="shared" si="66"/>
        <v>0</v>
      </c>
      <c r="M333" s="187">
        <f t="shared" si="67"/>
        <v>0</v>
      </c>
      <c r="N333" s="187">
        <f t="shared" si="68"/>
        <v>0</v>
      </c>
      <c r="O333" s="617"/>
      <c r="U333" s="617"/>
      <c r="V333" s="617"/>
      <c r="W333" s="617"/>
      <c r="X333" s="617"/>
      <c r="Y333" s="617"/>
    </row>
    <row r="334" spans="2:30" s="91" customFormat="1" ht="13.2">
      <c r="B334" s="131"/>
      <c r="C334" s="131"/>
      <c r="D334" s="131"/>
      <c r="E334" s="131"/>
      <c r="F334" s="131"/>
      <c r="G334" s="131"/>
      <c r="H334" s="172"/>
      <c r="I334" s="172"/>
      <c r="J334" s="173"/>
      <c r="K334" s="173"/>
      <c r="L334" s="173"/>
      <c r="M334" s="173"/>
      <c r="N334" s="173"/>
      <c r="O334" s="595"/>
      <c r="U334" s="595"/>
      <c r="V334" s="595"/>
      <c r="W334" s="595"/>
      <c r="X334" s="595"/>
      <c r="Y334" s="595"/>
    </row>
    <row r="335" spans="2:30" ht="12.75" customHeight="1">
      <c r="O335" s="441"/>
      <c r="U335" s="441"/>
      <c r="V335" s="441"/>
      <c r="W335" s="441"/>
      <c r="X335" s="441"/>
      <c r="Y335" s="576"/>
      <c r="Z335" s="113"/>
      <c r="AA335" s="113"/>
      <c r="AB335" s="113"/>
      <c r="AC335" s="113"/>
      <c r="AD335" s="113"/>
    </row>
    <row r="336" spans="2:30" ht="15.6">
      <c r="B336" s="2688" t="s">
        <v>525</v>
      </c>
      <c r="C336" s="2689"/>
      <c r="D336" s="2689"/>
      <c r="E336" s="2689"/>
      <c r="F336" s="2689"/>
      <c r="G336" s="2689"/>
      <c r="H336" s="2689"/>
      <c r="I336" s="2689"/>
      <c r="J336" s="2689"/>
      <c r="K336" s="2689"/>
      <c r="L336" s="2689"/>
      <c r="M336" s="2689"/>
      <c r="N336" s="2689"/>
      <c r="O336" s="2690"/>
    </row>
    <row r="337" spans="2:25" ht="12" customHeight="1" outlineLevel="1"/>
    <row r="338" spans="2:25" ht="38.25" customHeight="1" outlineLevel="1">
      <c r="B338" s="229"/>
      <c r="C338" s="229"/>
      <c r="D338" s="229"/>
      <c r="E338" s="2691" t="s">
        <v>448</v>
      </c>
      <c r="F338" s="2692"/>
      <c r="G338" s="2692"/>
      <c r="H338" s="2692"/>
      <c r="I338" s="2692"/>
      <c r="J338" s="2692"/>
      <c r="K338" s="2693"/>
      <c r="L338" s="101" t="s">
        <v>440</v>
      </c>
      <c r="Y338" s="576"/>
    </row>
    <row r="339" spans="2:25" ht="25.5" customHeight="1" outlineLevel="1">
      <c r="B339" s="2691" t="s">
        <v>438</v>
      </c>
      <c r="C339" s="2693"/>
      <c r="D339" s="110" t="s">
        <v>458</v>
      </c>
      <c r="E339" s="111" t="s">
        <v>853</v>
      </c>
      <c r="F339" s="111" t="s">
        <v>854</v>
      </c>
      <c r="G339" s="111" t="s">
        <v>855</v>
      </c>
      <c r="H339" s="111" t="s">
        <v>852</v>
      </c>
      <c r="I339" s="110" t="s">
        <v>513</v>
      </c>
      <c r="J339" s="111" t="s">
        <v>856</v>
      </c>
      <c r="K339" s="112" t="s">
        <v>514</v>
      </c>
      <c r="L339" s="110" t="s">
        <v>857</v>
      </c>
      <c r="Y339" s="576"/>
    </row>
    <row r="340" spans="2:25" ht="15" customHeight="1" outlineLevel="1">
      <c r="B340" s="2680" t="s">
        <v>459</v>
      </c>
      <c r="C340" s="2681"/>
      <c r="D340" s="230">
        <v>1</v>
      </c>
      <c r="E340" s="631"/>
      <c r="F340" s="631"/>
      <c r="G340" s="631"/>
      <c r="H340" s="631"/>
      <c r="I340" s="631"/>
      <c r="J340" s="631"/>
      <c r="K340" s="632"/>
      <c r="L340" s="633"/>
      <c r="Y340" s="576"/>
    </row>
    <row r="341" spans="2:25" ht="12.75" customHeight="1" outlineLevel="1">
      <c r="B341" s="2680" t="s">
        <v>460</v>
      </c>
      <c r="C341" s="2681"/>
      <c r="D341" s="230">
        <v>2</v>
      </c>
      <c r="E341" s="631"/>
      <c r="F341" s="631"/>
      <c r="G341" s="631"/>
      <c r="H341" s="631"/>
      <c r="I341" s="631"/>
      <c r="J341" s="631"/>
      <c r="K341" s="632"/>
      <c r="L341" s="633"/>
      <c r="Y341" s="576"/>
    </row>
    <row r="342" spans="2:25" ht="12.75" customHeight="1" outlineLevel="1">
      <c r="B342" s="2680" t="s">
        <v>461</v>
      </c>
      <c r="C342" s="2681"/>
      <c r="D342" s="230">
        <v>3</v>
      </c>
      <c r="E342" s="631"/>
      <c r="F342" s="631"/>
      <c r="G342" s="631"/>
      <c r="H342" s="631"/>
      <c r="I342" s="631"/>
      <c r="J342" s="631"/>
      <c r="K342" s="632"/>
      <c r="L342" s="633"/>
      <c r="Y342" s="576"/>
    </row>
    <row r="343" spans="2:25" ht="12.75" customHeight="1" outlineLevel="1">
      <c r="B343" s="2680" t="s">
        <v>462</v>
      </c>
      <c r="C343" s="2681"/>
      <c r="D343" s="230">
        <v>4</v>
      </c>
      <c r="E343" s="631"/>
      <c r="F343" s="631"/>
      <c r="G343" s="631"/>
      <c r="H343" s="631"/>
      <c r="I343" s="631"/>
      <c r="J343" s="631"/>
      <c r="K343" s="632"/>
      <c r="L343" s="633"/>
      <c r="Y343" s="576"/>
    </row>
    <row r="344" spans="2:25" ht="12.75" customHeight="1" outlineLevel="1">
      <c r="B344" s="2680" t="s">
        <v>463</v>
      </c>
      <c r="C344" s="2681"/>
      <c r="D344" s="230">
        <v>5</v>
      </c>
      <c r="E344" s="631"/>
      <c r="F344" s="631"/>
      <c r="G344" s="631"/>
      <c r="H344" s="631"/>
      <c r="I344" s="631"/>
      <c r="J344" s="631"/>
      <c r="K344" s="632"/>
      <c r="L344" s="633"/>
      <c r="Y344" s="576"/>
    </row>
    <row r="345" spans="2:25" ht="12.75" customHeight="1" outlineLevel="1">
      <c r="B345" s="2682"/>
      <c r="C345" s="2683"/>
      <c r="D345" s="133" t="s">
        <v>439</v>
      </c>
      <c r="E345" s="634">
        <f t="shared" ref="E345:I345" si="69">SUM(E340:E344)</f>
        <v>0</v>
      </c>
      <c r="F345" s="634">
        <f t="shared" si="69"/>
        <v>0</v>
      </c>
      <c r="G345" s="634">
        <f t="shared" si="69"/>
        <v>0</v>
      </c>
      <c r="H345" s="634">
        <f t="shared" si="69"/>
        <v>0</v>
      </c>
      <c r="I345" s="634">
        <f t="shared" si="69"/>
        <v>0</v>
      </c>
      <c r="J345" s="634">
        <f>SUM(J340:J344)</f>
        <v>0</v>
      </c>
      <c r="K345" s="635">
        <f>SQRT(SUMSQ(K340:K344))</f>
        <v>0</v>
      </c>
      <c r="L345" s="636">
        <f t="shared" ref="L345" si="70">SUM(L340:L344)</f>
        <v>0</v>
      </c>
      <c r="Y345" s="576"/>
    </row>
    <row r="346" spans="2:25" ht="15" customHeight="1" outlineLevel="1">
      <c r="B346" s="2684" t="s">
        <v>464</v>
      </c>
      <c r="C346" s="2685"/>
      <c r="D346" s="231">
        <v>6</v>
      </c>
      <c r="E346" s="637"/>
      <c r="F346" s="637"/>
      <c r="G346" s="637"/>
      <c r="H346" s="637"/>
      <c r="I346" s="637"/>
      <c r="J346" s="637"/>
      <c r="K346" s="632"/>
      <c r="L346" s="638"/>
      <c r="Y346" s="576"/>
    </row>
    <row r="347" spans="2:25" ht="12.75" customHeight="1" outlineLevel="1">
      <c r="B347" s="2686" t="s">
        <v>465</v>
      </c>
      <c r="C347" s="2687"/>
      <c r="D347" s="231">
        <v>7</v>
      </c>
      <c r="E347" s="637"/>
      <c r="F347" s="637"/>
      <c r="G347" s="637"/>
      <c r="H347" s="637"/>
      <c r="I347" s="637"/>
      <c r="J347" s="637"/>
      <c r="K347" s="632"/>
      <c r="L347" s="638"/>
      <c r="Y347" s="576"/>
    </row>
    <row r="348" spans="2:25" ht="12.75" customHeight="1" outlineLevel="1">
      <c r="B348" s="2696"/>
      <c r="C348" s="2697"/>
      <c r="D348" s="134" t="s">
        <v>439</v>
      </c>
      <c r="E348" s="639">
        <f t="shared" ref="E348:J348" si="71">SUM(E346:E347)</f>
        <v>0</v>
      </c>
      <c r="F348" s="639">
        <f t="shared" si="71"/>
        <v>0</v>
      </c>
      <c r="G348" s="639">
        <f t="shared" si="71"/>
        <v>0</v>
      </c>
      <c r="H348" s="639">
        <f t="shared" si="71"/>
        <v>0</v>
      </c>
      <c r="I348" s="639">
        <f t="shared" si="71"/>
        <v>0</v>
      </c>
      <c r="J348" s="639">
        <f t="shared" si="71"/>
        <v>0</v>
      </c>
      <c r="K348" s="635">
        <f>SQRT(SUMSQ(K346:K347))</f>
        <v>0</v>
      </c>
      <c r="L348" s="640">
        <f t="shared" ref="L348" si="72">SUM(L346:L347)</f>
        <v>0</v>
      </c>
      <c r="Y348" s="576"/>
    </row>
    <row r="349" spans="2:25" ht="15" customHeight="1" outlineLevel="1">
      <c r="B349" s="2694" t="s">
        <v>466</v>
      </c>
      <c r="C349" s="2695"/>
      <c r="D349" s="232">
        <v>8</v>
      </c>
      <c r="E349" s="641"/>
      <c r="F349" s="641"/>
      <c r="G349" s="641"/>
      <c r="H349" s="641"/>
      <c r="I349" s="641"/>
      <c r="J349" s="641"/>
      <c r="K349" s="632"/>
      <c r="L349" s="641"/>
      <c r="Y349" s="576"/>
    </row>
    <row r="350" spans="2:25" ht="12.75" customHeight="1" outlineLevel="1">
      <c r="B350" s="2694" t="s">
        <v>467</v>
      </c>
      <c r="C350" s="2695"/>
      <c r="D350" s="232">
        <v>9</v>
      </c>
      <c r="E350" s="641">
        <f>V19+V33+V47+V60+V74+V104+V168+V185+V291+V304</f>
        <v>0</v>
      </c>
      <c r="F350" s="641">
        <f>W19+W33+W47+W60+W74+W104+W168+W185+W291+W304</f>
        <v>0</v>
      </c>
      <c r="G350" s="641">
        <f>X19+X33+X47+X60+X74+X104+X168+X185+X291+X304</f>
        <v>0</v>
      </c>
      <c r="H350" s="641">
        <f>Y19+Y33+Y47+Y60+Y74+Y104+Y168+Y185+Y291+Y304</f>
        <v>0</v>
      </c>
      <c r="I350" s="641">
        <f>SUM(E350:H350)</f>
        <v>0</v>
      </c>
      <c r="J350" s="641">
        <f>AA19+AA33+AA47+AA60+AA74+AA104+AA168+AA185+AA291+AA304</f>
        <v>0</v>
      </c>
      <c r="K350" s="632">
        <f>SQRT(O19^2+O33^2+O47^2+O60^2+O74^2+T104^2+O168^2+O185^2+T291^2+O304^2)</f>
        <v>0</v>
      </c>
      <c r="L350" s="641"/>
      <c r="Y350" s="576"/>
    </row>
    <row r="351" spans="2:25" ht="12.75" customHeight="1" outlineLevel="1">
      <c r="B351" s="2694" t="s">
        <v>468</v>
      </c>
      <c r="C351" s="2695"/>
      <c r="D351" s="232">
        <v>10</v>
      </c>
      <c r="E351" s="641"/>
      <c r="F351" s="641"/>
      <c r="G351" s="641"/>
      <c r="H351" s="641"/>
      <c r="I351" s="641"/>
      <c r="J351" s="641"/>
      <c r="K351" s="632"/>
      <c r="L351" s="641"/>
      <c r="Y351" s="576"/>
    </row>
    <row r="352" spans="2:25" ht="12.75" customHeight="1" outlineLevel="1">
      <c r="B352" s="2694" t="s">
        <v>386</v>
      </c>
      <c r="C352" s="2695"/>
      <c r="D352" s="232">
        <v>11</v>
      </c>
      <c r="E352" s="641"/>
      <c r="F352" s="641"/>
      <c r="G352" s="641"/>
      <c r="H352" s="641"/>
      <c r="I352" s="641"/>
      <c r="J352" s="641"/>
      <c r="K352" s="632"/>
      <c r="L352" s="641"/>
      <c r="Y352" s="576"/>
    </row>
    <row r="353" spans="2:30" ht="12.75" customHeight="1" outlineLevel="1">
      <c r="B353" s="2694" t="s">
        <v>469</v>
      </c>
      <c r="C353" s="2695"/>
      <c r="D353" s="232">
        <v>12</v>
      </c>
      <c r="E353" s="641"/>
      <c r="F353" s="641"/>
      <c r="G353" s="641"/>
      <c r="H353" s="641"/>
      <c r="I353" s="641"/>
      <c r="J353" s="641"/>
      <c r="K353" s="632"/>
      <c r="L353" s="641"/>
      <c r="Y353" s="576"/>
    </row>
    <row r="354" spans="2:30" ht="12.75" customHeight="1" outlineLevel="1">
      <c r="B354" s="2694" t="s">
        <v>470</v>
      </c>
      <c r="C354" s="2695"/>
      <c r="D354" s="232">
        <v>13</v>
      </c>
      <c r="E354" s="641"/>
      <c r="F354" s="641"/>
      <c r="G354" s="641"/>
      <c r="H354" s="641"/>
      <c r="I354" s="641"/>
      <c r="J354" s="641"/>
      <c r="K354" s="632"/>
      <c r="L354" s="641"/>
      <c r="Y354" s="576"/>
    </row>
    <row r="355" spans="2:30" ht="12.75" customHeight="1" outlineLevel="1">
      <c r="B355" s="2694" t="s">
        <v>471</v>
      </c>
      <c r="C355" s="2695"/>
      <c r="D355" s="232">
        <v>14</v>
      </c>
      <c r="E355" s="641"/>
      <c r="F355" s="641"/>
      <c r="G355" s="641"/>
      <c r="H355" s="641"/>
      <c r="I355" s="641"/>
      <c r="J355" s="641"/>
      <c r="K355" s="632"/>
      <c r="L355" s="641"/>
      <c r="Y355" s="576"/>
    </row>
    <row r="356" spans="2:30" ht="12.75" customHeight="1" outlineLevel="1">
      <c r="B356" s="2694" t="s">
        <v>472</v>
      </c>
      <c r="C356" s="2695"/>
      <c r="D356" s="232">
        <v>15</v>
      </c>
      <c r="E356" s="641">
        <f>V316</f>
        <v>0</v>
      </c>
      <c r="F356" s="641">
        <f>W316</f>
        <v>0</v>
      </c>
      <c r="G356" s="641">
        <f>X316</f>
        <v>0</v>
      </c>
      <c r="H356" s="641">
        <f>Y316</f>
        <v>0</v>
      </c>
      <c r="I356" s="641">
        <f>SUM(E356:H356)</f>
        <v>0</v>
      </c>
      <c r="J356" s="641">
        <f>AA316</f>
        <v>0</v>
      </c>
      <c r="K356" s="632">
        <f>O316</f>
        <v>0</v>
      </c>
      <c r="L356" s="641"/>
      <c r="Y356" s="576"/>
    </row>
    <row r="357" spans="2:30" ht="12.75" customHeight="1" outlineLevel="1">
      <c r="B357" s="2694" t="s">
        <v>473</v>
      </c>
      <c r="C357" s="2695"/>
      <c r="D357" s="232">
        <v>16</v>
      </c>
      <c r="E357" s="641"/>
      <c r="F357" s="641"/>
      <c r="G357" s="641"/>
      <c r="H357" s="641"/>
      <c r="I357" s="641"/>
      <c r="J357" s="641"/>
      <c r="K357" s="632"/>
      <c r="L357" s="641"/>
      <c r="Y357" s="576"/>
    </row>
    <row r="358" spans="2:30" ht="12.75" customHeight="1" outlineLevel="1">
      <c r="B358" s="2694" t="s">
        <v>474</v>
      </c>
      <c r="C358" s="2695"/>
      <c r="D358" s="232">
        <v>17</v>
      </c>
      <c r="E358" s="641"/>
      <c r="F358" s="641"/>
      <c r="G358" s="641"/>
      <c r="H358" s="641"/>
      <c r="I358" s="641"/>
      <c r="J358" s="641"/>
      <c r="K358" s="632"/>
      <c r="L358" s="641"/>
      <c r="Y358" s="576"/>
    </row>
    <row r="359" spans="2:30" ht="12.75" customHeight="1" outlineLevel="1">
      <c r="B359" s="2694" t="s">
        <v>475</v>
      </c>
      <c r="C359" s="2695"/>
      <c r="D359" s="232">
        <v>18</v>
      </c>
      <c r="E359" s="641"/>
      <c r="F359" s="641"/>
      <c r="G359" s="641"/>
      <c r="H359" s="641"/>
      <c r="I359" s="641"/>
      <c r="J359" s="641"/>
      <c r="K359" s="632"/>
      <c r="L359" s="641"/>
      <c r="Y359" s="576"/>
    </row>
    <row r="360" spans="2:30" ht="12.75" customHeight="1" outlineLevel="1">
      <c r="B360" s="2694" t="s">
        <v>476</v>
      </c>
      <c r="C360" s="2695"/>
      <c r="D360" s="232">
        <v>19</v>
      </c>
      <c r="E360" s="641">
        <v>0</v>
      </c>
      <c r="F360" s="641"/>
      <c r="G360" s="641"/>
      <c r="H360" s="641"/>
      <c r="I360" s="641"/>
      <c r="J360" s="641"/>
      <c r="K360" s="632"/>
      <c r="L360" s="641"/>
      <c r="Y360" s="576"/>
    </row>
    <row r="361" spans="2:30" ht="12.75" customHeight="1" outlineLevel="1">
      <c r="B361" s="2694" t="s">
        <v>477</v>
      </c>
      <c r="C361" s="2695"/>
      <c r="D361" s="232">
        <v>20</v>
      </c>
      <c r="E361" s="641"/>
      <c r="F361" s="641"/>
      <c r="G361" s="641"/>
      <c r="H361" s="641"/>
      <c r="I361" s="641"/>
      <c r="J361" s="641"/>
      <c r="K361" s="632"/>
      <c r="L361" s="641"/>
      <c r="Y361" s="576"/>
    </row>
    <row r="362" spans="2:30" ht="12.75" customHeight="1" outlineLevel="1">
      <c r="B362" s="2694" t="s">
        <v>478</v>
      </c>
      <c r="C362" s="2695"/>
      <c r="D362" s="232">
        <v>21</v>
      </c>
      <c r="E362" s="641"/>
      <c r="F362" s="641"/>
      <c r="G362" s="641"/>
      <c r="H362" s="641"/>
      <c r="I362" s="641"/>
      <c r="J362" s="641"/>
      <c r="K362" s="632"/>
      <c r="L362" s="641"/>
      <c r="Y362" s="576"/>
    </row>
    <row r="363" spans="2:30" ht="12.75" customHeight="1" outlineLevel="1">
      <c r="B363" s="2694" t="s">
        <v>479</v>
      </c>
      <c r="C363" s="2695"/>
      <c r="D363" s="232">
        <v>22</v>
      </c>
      <c r="E363" s="641"/>
      <c r="F363" s="641"/>
      <c r="G363" s="641"/>
      <c r="H363" s="641"/>
      <c r="I363" s="641"/>
      <c r="J363" s="641"/>
      <c r="K363" s="632"/>
      <c r="L363" s="641"/>
      <c r="Y363" s="576"/>
    </row>
    <row r="364" spans="2:30" ht="12.75" customHeight="1" outlineLevel="1">
      <c r="B364" s="2694" t="s">
        <v>449</v>
      </c>
      <c r="C364" s="2695"/>
      <c r="D364" s="232">
        <v>23</v>
      </c>
      <c r="E364" s="641"/>
      <c r="F364" s="641"/>
      <c r="G364" s="641"/>
      <c r="H364" s="641"/>
      <c r="I364" s="641"/>
      <c r="J364" s="641"/>
      <c r="K364" s="632"/>
      <c r="L364" s="641"/>
      <c r="Y364" s="576"/>
    </row>
    <row r="365" spans="2:30" ht="12.75" customHeight="1" outlineLevel="1">
      <c r="B365" s="2706"/>
      <c r="C365" s="2707"/>
      <c r="D365" s="135" t="s">
        <v>439</v>
      </c>
      <c r="E365" s="642">
        <f t="shared" ref="E365:J365" si="73">SUM(E349:E364)</f>
        <v>0</v>
      </c>
      <c r="F365" s="642">
        <f t="shared" si="73"/>
        <v>0</v>
      </c>
      <c r="G365" s="642">
        <f t="shared" si="73"/>
        <v>0</v>
      </c>
      <c r="H365" s="642">
        <f t="shared" si="73"/>
        <v>0</v>
      </c>
      <c r="I365" s="642">
        <f t="shared" si="73"/>
        <v>0</v>
      </c>
      <c r="J365" s="642">
        <f t="shared" si="73"/>
        <v>0</v>
      </c>
      <c r="K365" s="635">
        <f>SQRT(SUMSQ(K349:K364))</f>
        <v>0</v>
      </c>
      <c r="L365" s="642">
        <f>SUM(L349:L364)</f>
        <v>0</v>
      </c>
      <c r="Y365" s="576"/>
    </row>
    <row r="366" spans="2:30" ht="12" customHeight="1" outlineLevel="1"/>
    <row r="367" spans="2:30" collapsed="1"/>
    <row r="368" spans="2:30" ht="15.6" collapsed="1">
      <c r="B368" s="2698" t="s">
        <v>721</v>
      </c>
      <c r="C368" s="2699"/>
      <c r="D368" s="2699"/>
      <c r="E368" s="2699"/>
      <c r="F368" s="2699"/>
      <c r="G368" s="2699"/>
      <c r="H368" s="2699"/>
      <c r="I368" s="2699"/>
      <c r="J368" s="2699"/>
      <c r="K368" s="2699"/>
      <c r="L368" s="2699"/>
      <c r="M368" s="2699"/>
      <c r="N368" s="2699"/>
      <c r="O368" s="2700"/>
      <c r="Z368" s="113"/>
      <c r="AA368" s="113"/>
      <c r="AB368" s="817"/>
      <c r="AC368" s="113"/>
      <c r="AD368" s="113"/>
    </row>
    <row r="369" spans="2:30" ht="12" hidden="1" customHeight="1" outlineLevel="1">
      <c r="Z369" s="113"/>
      <c r="AA369" s="113"/>
      <c r="AB369" s="817"/>
      <c r="AC369" s="113"/>
      <c r="AD369" s="113"/>
    </row>
    <row r="370" spans="2:30" ht="38.25" hidden="1" customHeight="1" outlineLevel="1">
      <c r="B370" s="205"/>
      <c r="C370" s="205"/>
      <c r="D370" s="205"/>
      <c r="E370" s="2701" t="s">
        <v>448</v>
      </c>
      <c r="F370" s="2702"/>
      <c r="G370" s="2702"/>
      <c r="H370" s="2702"/>
      <c r="I370" s="2702"/>
      <c r="J370" s="2702"/>
      <c r="K370" s="2702"/>
      <c r="L370" s="2702"/>
      <c r="M370" s="2702"/>
      <c r="N370" s="2703"/>
      <c r="O370" s="2107" t="s">
        <v>440</v>
      </c>
      <c r="Z370" s="113"/>
      <c r="AA370" s="113"/>
      <c r="AB370" s="817"/>
      <c r="AC370" s="113"/>
      <c r="AD370" s="113"/>
    </row>
    <row r="371" spans="2:30" ht="25.5" hidden="1" customHeight="1" outlineLevel="1">
      <c r="B371" s="2701" t="s">
        <v>438</v>
      </c>
      <c r="C371" s="2703"/>
      <c r="D371" s="867" t="s">
        <v>458</v>
      </c>
      <c r="E371" s="866" t="s">
        <v>853</v>
      </c>
      <c r="F371" s="866" t="s">
        <v>854</v>
      </c>
      <c r="G371" s="866" t="s">
        <v>855</v>
      </c>
      <c r="H371" s="866" t="s">
        <v>858</v>
      </c>
      <c r="I371" s="866" t="s">
        <v>859</v>
      </c>
      <c r="J371" s="866" t="s">
        <v>860</v>
      </c>
      <c r="K371" s="866" t="s">
        <v>852</v>
      </c>
      <c r="L371" s="867" t="s">
        <v>513</v>
      </c>
      <c r="M371" s="866" t="s">
        <v>856</v>
      </c>
      <c r="N371" s="866" t="s">
        <v>514</v>
      </c>
      <c r="O371" s="867" t="s">
        <v>513</v>
      </c>
      <c r="Z371" s="113"/>
      <c r="AA371" s="113"/>
      <c r="AB371" s="113"/>
      <c r="AC371" s="113"/>
      <c r="AD371" s="113"/>
    </row>
    <row r="372" spans="2:30" ht="12.75" hidden="1" customHeight="1" outlineLevel="1">
      <c r="B372" s="2704" t="s">
        <v>459</v>
      </c>
      <c r="C372" s="2705"/>
      <c r="D372" s="861" t="s">
        <v>727</v>
      </c>
      <c r="E372" s="855"/>
      <c r="F372" s="855"/>
      <c r="G372" s="855"/>
      <c r="H372" s="855"/>
      <c r="I372" s="855"/>
      <c r="J372" s="855"/>
      <c r="K372" s="855"/>
      <c r="L372" s="864"/>
      <c r="M372" s="853"/>
      <c r="N372" s="858"/>
      <c r="O372" s="857"/>
      <c r="Z372" s="113"/>
      <c r="AA372" s="113"/>
      <c r="AB372" s="113"/>
      <c r="AC372" s="113"/>
      <c r="AD372" s="113"/>
    </row>
    <row r="373" spans="2:30" ht="12.75" hidden="1" customHeight="1" outlineLevel="1">
      <c r="B373" s="2704" t="s">
        <v>722</v>
      </c>
      <c r="C373" s="2705"/>
      <c r="D373" s="862" t="s">
        <v>728</v>
      </c>
      <c r="E373" s="855"/>
      <c r="F373" s="855"/>
      <c r="G373" s="855"/>
      <c r="H373" s="855"/>
      <c r="I373" s="855"/>
      <c r="J373" s="855"/>
      <c r="K373" s="855"/>
      <c r="L373" s="864"/>
      <c r="M373" s="853"/>
      <c r="N373" s="858"/>
      <c r="O373" s="857"/>
      <c r="Z373" s="113"/>
      <c r="AA373" s="113"/>
      <c r="AB373" s="113"/>
      <c r="AC373" s="113"/>
      <c r="AD373" s="113"/>
    </row>
    <row r="374" spans="2:30" ht="12.75" hidden="1" customHeight="1" outlineLevel="1">
      <c r="B374" s="2704" t="s">
        <v>723</v>
      </c>
      <c r="C374" s="2705"/>
      <c r="D374" s="862" t="s">
        <v>729</v>
      </c>
      <c r="E374" s="855"/>
      <c r="F374" s="855"/>
      <c r="G374" s="855"/>
      <c r="H374" s="855"/>
      <c r="I374" s="855"/>
      <c r="J374" s="855"/>
      <c r="K374" s="855"/>
      <c r="L374" s="864"/>
      <c r="M374" s="853"/>
      <c r="N374" s="858"/>
      <c r="O374" s="857"/>
      <c r="Z374" s="113"/>
      <c r="AA374" s="113"/>
      <c r="AB374" s="113"/>
      <c r="AC374" s="113"/>
      <c r="AD374" s="113"/>
    </row>
    <row r="375" spans="2:30" ht="12.75" hidden="1" customHeight="1" outlineLevel="1">
      <c r="B375" s="2704" t="s">
        <v>462</v>
      </c>
      <c r="C375" s="2705"/>
      <c r="D375" s="862" t="s">
        <v>730</v>
      </c>
      <c r="E375" s="855"/>
      <c r="F375" s="855"/>
      <c r="G375" s="855"/>
      <c r="H375" s="855"/>
      <c r="I375" s="855"/>
      <c r="J375" s="855"/>
      <c r="K375" s="855"/>
      <c r="L375" s="864"/>
      <c r="M375" s="853"/>
      <c r="N375" s="858"/>
      <c r="O375" s="857"/>
      <c r="Z375" s="113"/>
      <c r="AA375" s="113"/>
      <c r="AB375" s="113"/>
      <c r="AC375" s="113"/>
      <c r="AD375" s="113"/>
    </row>
    <row r="376" spans="2:30" ht="12.75" hidden="1" customHeight="1" outlineLevel="1">
      <c r="B376" s="2710" t="s">
        <v>726</v>
      </c>
      <c r="C376" s="2711"/>
      <c r="D376" s="2712"/>
      <c r="E376" s="852">
        <f t="shared" ref="E376:O376" si="74">SUM(E372:E375)</f>
        <v>0</v>
      </c>
      <c r="F376" s="852">
        <f t="shared" si="74"/>
        <v>0</v>
      </c>
      <c r="G376" s="852">
        <f t="shared" si="74"/>
        <v>0</v>
      </c>
      <c r="H376" s="852">
        <f t="shared" si="74"/>
        <v>0</v>
      </c>
      <c r="I376" s="852">
        <f t="shared" si="74"/>
        <v>0</v>
      </c>
      <c r="J376" s="852">
        <f t="shared" si="74"/>
        <v>0</v>
      </c>
      <c r="K376" s="852">
        <f t="shared" si="74"/>
        <v>0</v>
      </c>
      <c r="L376" s="852">
        <f t="shared" si="74"/>
        <v>0</v>
      </c>
      <c r="M376" s="863">
        <f t="shared" si="74"/>
        <v>0</v>
      </c>
      <c r="N376" s="859">
        <f>SQRT(SUMSQ(N372:N375))</f>
        <v>0</v>
      </c>
      <c r="O376" s="860">
        <f t="shared" si="74"/>
        <v>0</v>
      </c>
      <c r="Z376" s="113"/>
      <c r="AA376" s="113"/>
      <c r="AB376" s="113"/>
      <c r="AC376" s="113"/>
      <c r="AD376" s="113"/>
    </row>
    <row r="377" spans="2:30" ht="12.75" hidden="1" customHeight="1" outlineLevel="1">
      <c r="B377" s="2704" t="s">
        <v>464</v>
      </c>
      <c r="C377" s="2705"/>
      <c r="D377" s="862" t="s">
        <v>731</v>
      </c>
      <c r="E377" s="855"/>
      <c r="F377" s="855"/>
      <c r="G377" s="855"/>
      <c r="H377" s="855"/>
      <c r="I377" s="855"/>
      <c r="J377" s="855"/>
      <c r="K377" s="855"/>
      <c r="L377" s="864"/>
      <c r="M377" s="853"/>
      <c r="N377" s="858"/>
      <c r="O377" s="856"/>
      <c r="Z377" s="113"/>
      <c r="AA377" s="113"/>
      <c r="AB377" s="113"/>
      <c r="AC377" s="113"/>
      <c r="AD377" s="113"/>
    </row>
    <row r="378" spans="2:30" ht="12.75" hidden="1" customHeight="1" outlineLevel="1">
      <c r="B378" s="2708" t="s">
        <v>465</v>
      </c>
      <c r="C378" s="2709"/>
      <c r="D378" s="862" t="s">
        <v>732</v>
      </c>
      <c r="E378" s="855"/>
      <c r="F378" s="855"/>
      <c r="G378" s="855"/>
      <c r="H378" s="855"/>
      <c r="I378" s="855"/>
      <c r="J378" s="855"/>
      <c r="K378" s="855"/>
      <c r="L378" s="864"/>
      <c r="M378" s="853"/>
      <c r="N378" s="858"/>
      <c r="O378" s="856"/>
      <c r="Z378" s="113"/>
      <c r="AA378" s="113"/>
      <c r="AB378" s="113"/>
      <c r="AC378" s="113"/>
      <c r="AD378" s="113"/>
    </row>
    <row r="379" spans="2:30" ht="12.75" hidden="1" customHeight="1" outlineLevel="1">
      <c r="B379" s="2710" t="s">
        <v>725</v>
      </c>
      <c r="C379" s="2711"/>
      <c r="D379" s="2712"/>
      <c r="E379" s="852">
        <f t="shared" ref="E379:L379" si="75">SUM(E377:E378)</f>
        <v>0</v>
      </c>
      <c r="F379" s="852">
        <f t="shared" si="75"/>
        <v>0</v>
      </c>
      <c r="G379" s="852">
        <f t="shared" si="75"/>
        <v>0</v>
      </c>
      <c r="H379" s="852">
        <f t="shared" si="75"/>
        <v>0</v>
      </c>
      <c r="I379" s="852">
        <f t="shared" si="75"/>
        <v>0</v>
      </c>
      <c r="J379" s="852">
        <f t="shared" si="75"/>
        <v>0</v>
      </c>
      <c r="K379" s="852">
        <f t="shared" si="75"/>
        <v>0</v>
      </c>
      <c r="L379" s="852">
        <f t="shared" si="75"/>
        <v>0</v>
      </c>
      <c r="M379" s="863">
        <f>SUM(M377:M378)</f>
        <v>0</v>
      </c>
      <c r="N379" s="859">
        <f>SQRT(SUMSQ(N377:N378))</f>
        <v>0</v>
      </c>
      <c r="O379" s="860">
        <f>SUM(O377:O378)</f>
        <v>0</v>
      </c>
      <c r="Z379" s="113"/>
      <c r="AA379" s="113"/>
      <c r="AB379" s="113"/>
      <c r="AC379" s="113"/>
      <c r="AD379" s="113"/>
    </row>
    <row r="380" spans="2:30" ht="12.75" hidden="1" customHeight="1" outlineLevel="1">
      <c r="B380" s="2713" t="s">
        <v>757</v>
      </c>
      <c r="C380" s="2714"/>
      <c r="D380" s="2714"/>
      <c r="E380" s="2714"/>
      <c r="F380" s="2714"/>
      <c r="G380" s="2714"/>
      <c r="H380" s="2714"/>
      <c r="I380" s="2714"/>
      <c r="J380" s="2714"/>
      <c r="K380" s="2714"/>
      <c r="L380" s="2714"/>
      <c r="M380" s="2714"/>
      <c r="N380" s="2714"/>
      <c r="O380" s="2715"/>
      <c r="Z380" s="113"/>
      <c r="AA380" s="113"/>
      <c r="AB380" s="113"/>
      <c r="AC380" s="113"/>
      <c r="AD380" s="113"/>
    </row>
    <row r="381" spans="2:30" ht="12.75" hidden="1" customHeight="1" outlineLevel="1">
      <c r="B381" s="2704" t="s">
        <v>733</v>
      </c>
      <c r="C381" s="2705"/>
      <c r="D381" s="862" t="s">
        <v>741</v>
      </c>
      <c r="E381" s="855">
        <f>V19+V33+V47+V60+V74+V104+V168+V185+V291+V304</f>
        <v>0</v>
      </c>
      <c r="F381" s="855">
        <f>W19+W33+W47+W60+W74+W104+W168+W185+W291+W304</f>
        <v>0</v>
      </c>
      <c r="G381" s="855">
        <f>X19+X33+X47+X60+X74+X104+X168+X185+X291+X304</f>
        <v>0</v>
      </c>
      <c r="H381" s="855">
        <v>0</v>
      </c>
      <c r="I381" s="855">
        <v>0</v>
      </c>
      <c r="J381" s="855">
        <v>0</v>
      </c>
      <c r="K381" s="855">
        <v>0</v>
      </c>
      <c r="L381" s="864">
        <f>Z19+Z33+Z47+Z60+Z74+Z104+Z168+Z185+Z291+Z304</f>
        <v>0</v>
      </c>
      <c r="M381" s="853">
        <f>AA19+AA33+AA47+AA60+AA74+AA104+AA168+AA185+AA291+AA304</f>
        <v>0</v>
      </c>
      <c r="N381" s="858">
        <f>SQRT(O19^2+O33^2+O47^2+O60^2+O74^2+T104^2+O168^2+O185^2+T291^2+O304^2)</f>
        <v>0</v>
      </c>
      <c r="O381" s="856"/>
      <c r="U381" s="237"/>
      <c r="Z381" s="113"/>
      <c r="AA381" s="113"/>
      <c r="AB381" s="113"/>
      <c r="AC381" s="113"/>
      <c r="AD381" s="113"/>
    </row>
    <row r="382" spans="2:30" ht="12.75" hidden="1" customHeight="1" outlineLevel="1">
      <c r="B382" s="2704" t="s">
        <v>734</v>
      </c>
      <c r="C382" s="2705"/>
      <c r="D382" s="862" t="s">
        <v>742</v>
      </c>
      <c r="E382" s="855"/>
      <c r="F382" s="855"/>
      <c r="G382" s="855"/>
      <c r="H382" s="855"/>
      <c r="I382" s="855"/>
      <c r="J382" s="855"/>
      <c r="K382" s="855"/>
      <c r="L382" s="864"/>
      <c r="M382" s="853"/>
      <c r="N382" s="858"/>
      <c r="O382" s="856"/>
      <c r="Z382" s="113"/>
      <c r="AA382" s="113"/>
      <c r="AB382" s="113"/>
      <c r="AC382" s="113"/>
      <c r="AD382" s="113"/>
    </row>
    <row r="383" spans="2:30" ht="12.75" hidden="1" customHeight="1" outlineLevel="1">
      <c r="B383" s="2708" t="s">
        <v>735</v>
      </c>
      <c r="C383" s="2709"/>
      <c r="D383" s="862" t="s">
        <v>743</v>
      </c>
      <c r="E383" s="855"/>
      <c r="F383" s="855"/>
      <c r="G383" s="855"/>
      <c r="H383" s="855"/>
      <c r="I383" s="855"/>
      <c r="J383" s="855"/>
      <c r="K383" s="855"/>
      <c r="L383" s="864"/>
      <c r="M383" s="853"/>
      <c r="N383" s="858"/>
      <c r="O383" s="856"/>
      <c r="Z383" s="113"/>
      <c r="AA383" s="113"/>
      <c r="AB383" s="113"/>
      <c r="AC383" s="113"/>
      <c r="AD383" s="113"/>
    </row>
    <row r="384" spans="2:30" ht="12.75" hidden="1" customHeight="1" outlineLevel="1">
      <c r="B384" s="2704" t="s">
        <v>815</v>
      </c>
      <c r="C384" s="2705"/>
      <c r="D384" s="862" t="s">
        <v>744</v>
      </c>
      <c r="E384" s="855"/>
      <c r="F384" s="855"/>
      <c r="G384" s="855"/>
      <c r="H384" s="855"/>
      <c r="I384" s="855"/>
      <c r="J384" s="855"/>
      <c r="K384" s="855"/>
      <c r="L384" s="864"/>
      <c r="M384" s="853"/>
      <c r="N384" s="858"/>
      <c r="O384" s="856"/>
      <c r="Z384" s="113"/>
      <c r="AA384" s="113"/>
      <c r="AB384" s="113"/>
      <c r="AC384" s="113"/>
      <c r="AD384" s="113"/>
    </row>
    <row r="385" spans="2:30" ht="12.75" hidden="1" customHeight="1" outlineLevel="1">
      <c r="B385" s="2704" t="s">
        <v>736</v>
      </c>
      <c r="C385" s="2705"/>
      <c r="D385" s="862" t="s">
        <v>745</v>
      </c>
      <c r="E385" s="855"/>
      <c r="F385" s="855"/>
      <c r="G385" s="855"/>
      <c r="H385" s="855"/>
      <c r="I385" s="855"/>
      <c r="J385" s="855"/>
      <c r="K385" s="855"/>
      <c r="L385" s="864"/>
      <c r="M385" s="853"/>
      <c r="N385" s="858"/>
      <c r="O385" s="856"/>
      <c r="Z385" s="113"/>
      <c r="AA385" s="113"/>
      <c r="AB385" s="113"/>
      <c r="AC385" s="113"/>
      <c r="AD385" s="113"/>
    </row>
    <row r="386" spans="2:30" ht="12.75" hidden="1" customHeight="1" outlineLevel="1">
      <c r="B386" s="2704" t="s">
        <v>470</v>
      </c>
      <c r="C386" s="2705"/>
      <c r="D386" s="862" t="s">
        <v>746</v>
      </c>
      <c r="E386" s="855"/>
      <c r="F386" s="855"/>
      <c r="G386" s="855"/>
      <c r="H386" s="855"/>
      <c r="I386" s="855"/>
      <c r="J386" s="855"/>
      <c r="K386" s="855"/>
      <c r="L386" s="864"/>
      <c r="M386" s="853"/>
      <c r="N386" s="858"/>
      <c r="O386" s="856"/>
      <c r="Z386" s="113"/>
      <c r="AA386" s="113"/>
      <c r="AB386" s="113"/>
      <c r="AC386" s="113"/>
      <c r="AD386" s="113"/>
    </row>
    <row r="387" spans="2:30" ht="12.75" hidden="1" customHeight="1" outlineLevel="1">
      <c r="B387" s="2704" t="s">
        <v>479</v>
      </c>
      <c r="C387" s="2705"/>
      <c r="D387" s="862" t="s">
        <v>747</v>
      </c>
      <c r="E387" s="855"/>
      <c r="F387" s="855"/>
      <c r="G387" s="855"/>
      <c r="H387" s="855"/>
      <c r="I387" s="855"/>
      <c r="J387" s="855"/>
      <c r="K387" s="855"/>
      <c r="L387" s="864"/>
      <c r="M387" s="853"/>
      <c r="N387" s="858"/>
      <c r="O387" s="856"/>
      <c r="Z387" s="113"/>
      <c r="AA387" s="113"/>
      <c r="AB387" s="113"/>
      <c r="AC387" s="113"/>
      <c r="AD387" s="113"/>
    </row>
    <row r="388" spans="2:30" ht="12.75" hidden="1" customHeight="1" outlineLevel="1">
      <c r="B388" s="2704" t="s">
        <v>471</v>
      </c>
      <c r="C388" s="2705"/>
      <c r="D388" s="862" t="s">
        <v>748</v>
      </c>
      <c r="E388" s="855"/>
      <c r="F388" s="855"/>
      <c r="G388" s="855"/>
      <c r="H388" s="855"/>
      <c r="I388" s="855"/>
      <c r="J388" s="855"/>
      <c r="K388" s="855"/>
      <c r="L388" s="864"/>
      <c r="M388" s="853"/>
      <c r="N388" s="858"/>
      <c r="O388" s="856"/>
      <c r="Z388" s="113"/>
      <c r="AA388" s="113"/>
      <c r="AB388" s="113"/>
      <c r="AC388" s="113"/>
      <c r="AD388" s="113"/>
    </row>
    <row r="389" spans="2:30" ht="12.75" hidden="1" customHeight="1" outlineLevel="1">
      <c r="B389" s="2704" t="s">
        <v>762</v>
      </c>
      <c r="C389" s="2705"/>
      <c r="D389" s="854"/>
      <c r="E389" s="855"/>
      <c r="F389" s="855"/>
      <c r="G389" s="855"/>
      <c r="H389" s="855"/>
      <c r="I389" s="855"/>
      <c r="J389" s="855"/>
      <c r="K389" s="855"/>
      <c r="L389" s="864"/>
      <c r="M389" s="853"/>
      <c r="N389" s="858"/>
      <c r="O389" s="856"/>
      <c r="Z389" s="113"/>
      <c r="AA389" s="113"/>
      <c r="AB389" s="113"/>
      <c r="AC389" s="113"/>
      <c r="AD389" s="113"/>
    </row>
    <row r="390" spans="2:30" ht="12.75" hidden="1" customHeight="1" outlineLevel="1">
      <c r="B390" s="2713" t="s">
        <v>756</v>
      </c>
      <c r="C390" s="2714"/>
      <c r="D390" s="2714"/>
      <c r="E390" s="2714"/>
      <c r="F390" s="2714"/>
      <c r="G390" s="2714"/>
      <c r="H390" s="2714"/>
      <c r="I390" s="2714"/>
      <c r="J390" s="2714"/>
      <c r="K390" s="2714"/>
      <c r="L390" s="2714"/>
      <c r="M390" s="2714"/>
      <c r="N390" s="2714"/>
      <c r="O390" s="2715"/>
      <c r="Z390" s="113"/>
      <c r="AA390" s="113"/>
      <c r="AB390" s="113"/>
      <c r="AC390" s="113"/>
      <c r="AD390" s="113"/>
    </row>
    <row r="391" spans="2:30" ht="12.75" hidden="1" customHeight="1" outlineLevel="1">
      <c r="B391" s="2704" t="s">
        <v>737</v>
      </c>
      <c r="C391" s="2705"/>
      <c r="D391" s="862" t="s">
        <v>749</v>
      </c>
      <c r="E391" s="855"/>
      <c r="F391" s="855"/>
      <c r="G391" s="855"/>
      <c r="H391" s="855"/>
      <c r="I391" s="855"/>
      <c r="J391" s="855"/>
      <c r="K391" s="855"/>
      <c r="L391" s="864"/>
      <c r="M391" s="853"/>
      <c r="N391" s="858"/>
      <c r="O391" s="856"/>
      <c r="Z391" s="113"/>
      <c r="AA391" s="113"/>
      <c r="AB391" s="113"/>
      <c r="AC391" s="113"/>
      <c r="AD391" s="113"/>
    </row>
    <row r="392" spans="2:30" ht="12.75" hidden="1" customHeight="1" outlineLevel="1">
      <c r="B392" s="2704" t="s">
        <v>738</v>
      </c>
      <c r="C392" s="2705"/>
      <c r="D392" s="862" t="s">
        <v>750</v>
      </c>
      <c r="E392" s="855"/>
      <c r="F392" s="855"/>
      <c r="G392" s="855"/>
      <c r="H392" s="855"/>
      <c r="I392" s="855"/>
      <c r="J392" s="855"/>
      <c r="K392" s="855"/>
      <c r="L392" s="864"/>
      <c r="M392" s="853"/>
      <c r="N392" s="858"/>
      <c r="O392" s="856"/>
      <c r="Z392" s="113"/>
      <c r="AA392" s="113"/>
      <c r="AB392" s="113"/>
      <c r="AC392" s="113"/>
      <c r="AD392" s="113"/>
    </row>
    <row r="393" spans="2:30" ht="12.75" hidden="1" customHeight="1" outlineLevel="1">
      <c r="B393" s="2704" t="s">
        <v>475</v>
      </c>
      <c r="C393" s="2705"/>
      <c r="D393" s="862" t="s">
        <v>751</v>
      </c>
      <c r="E393" s="855"/>
      <c r="F393" s="855"/>
      <c r="G393" s="855"/>
      <c r="H393" s="855"/>
      <c r="I393" s="855"/>
      <c r="J393" s="855"/>
      <c r="K393" s="855"/>
      <c r="L393" s="864"/>
      <c r="M393" s="853"/>
      <c r="N393" s="858"/>
      <c r="O393" s="856"/>
      <c r="Z393" s="113"/>
      <c r="AA393" s="113"/>
      <c r="AB393" s="113"/>
      <c r="AC393" s="113"/>
      <c r="AD393" s="113"/>
    </row>
    <row r="394" spans="2:30" ht="12.75" hidden="1" customHeight="1" outlineLevel="1">
      <c r="B394" s="2704" t="s">
        <v>476</v>
      </c>
      <c r="C394" s="2705"/>
      <c r="D394" s="862" t="s">
        <v>752</v>
      </c>
      <c r="E394" s="855"/>
      <c r="F394" s="855"/>
      <c r="G394" s="855"/>
      <c r="H394" s="855"/>
      <c r="I394" s="855"/>
      <c r="J394" s="855"/>
      <c r="K394" s="855"/>
      <c r="L394" s="864"/>
      <c r="M394" s="853"/>
      <c r="N394" s="858"/>
      <c r="O394" s="856"/>
      <c r="Z394" s="113"/>
      <c r="AA394" s="113"/>
      <c r="AB394" s="113"/>
      <c r="AC394" s="113"/>
      <c r="AD394" s="113"/>
    </row>
    <row r="395" spans="2:30" ht="12.75" hidden="1" customHeight="1" outlineLevel="1">
      <c r="B395" s="2704" t="s">
        <v>739</v>
      </c>
      <c r="C395" s="2705"/>
      <c r="D395" s="862" t="s">
        <v>753</v>
      </c>
      <c r="E395" s="855"/>
      <c r="F395" s="855"/>
      <c r="G395" s="855"/>
      <c r="H395" s="855"/>
      <c r="I395" s="855"/>
      <c r="J395" s="855"/>
      <c r="K395" s="855"/>
      <c r="L395" s="864"/>
      <c r="M395" s="853"/>
      <c r="N395" s="858"/>
      <c r="O395" s="856"/>
      <c r="Z395" s="113"/>
      <c r="AA395" s="113"/>
      <c r="AB395" s="113"/>
      <c r="AC395" s="113"/>
      <c r="AD395" s="113"/>
    </row>
    <row r="396" spans="2:30" ht="12.75" hidden="1" customHeight="1" outlineLevel="1">
      <c r="B396" s="2704" t="s">
        <v>740</v>
      </c>
      <c r="C396" s="2705"/>
      <c r="D396" s="862" t="s">
        <v>754</v>
      </c>
      <c r="E396" s="855"/>
      <c r="F396" s="855"/>
      <c r="G396" s="855"/>
      <c r="H396" s="855"/>
      <c r="I396" s="855"/>
      <c r="J396" s="855"/>
      <c r="K396" s="855"/>
      <c r="L396" s="864"/>
      <c r="M396" s="853"/>
      <c r="N396" s="858"/>
      <c r="O396" s="856"/>
      <c r="Z396" s="113"/>
      <c r="AA396" s="113"/>
      <c r="AB396" s="113"/>
      <c r="AC396" s="113"/>
      <c r="AD396" s="113"/>
    </row>
    <row r="397" spans="2:30" ht="12.75" hidden="1" customHeight="1" outlineLevel="1">
      <c r="B397" s="2704" t="s">
        <v>472</v>
      </c>
      <c r="C397" s="2705"/>
      <c r="D397" s="862" t="s">
        <v>755</v>
      </c>
      <c r="E397" s="855">
        <f>V316</f>
        <v>0</v>
      </c>
      <c r="F397" s="855">
        <f>W316</f>
        <v>0</v>
      </c>
      <c r="G397" s="855">
        <f>X316</f>
        <v>0</v>
      </c>
      <c r="H397" s="855">
        <v>0</v>
      </c>
      <c r="I397" s="855">
        <v>0</v>
      </c>
      <c r="J397" s="855">
        <v>0</v>
      </c>
      <c r="K397" s="855">
        <f>Y316</f>
        <v>0</v>
      </c>
      <c r="L397" s="864">
        <f>SUM(E397:K397)</f>
        <v>0</v>
      </c>
      <c r="M397" s="853">
        <f>AA316</f>
        <v>0</v>
      </c>
      <c r="N397" s="858">
        <f>O316</f>
        <v>0</v>
      </c>
      <c r="O397" s="856"/>
      <c r="Z397" s="113"/>
      <c r="AA397" s="113"/>
      <c r="AB397" s="113"/>
      <c r="AC397" s="113"/>
      <c r="AD397" s="113"/>
    </row>
    <row r="398" spans="2:30" ht="12.75" hidden="1" customHeight="1" outlineLevel="1">
      <c r="B398" s="2704" t="s">
        <v>763</v>
      </c>
      <c r="C398" s="2705"/>
      <c r="D398" s="854"/>
      <c r="E398" s="855"/>
      <c r="F398" s="855"/>
      <c r="G398" s="855"/>
      <c r="H398" s="855"/>
      <c r="I398" s="855"/>
      <c r="J398" s="855"/>
      <c r="K398" s="855"/>
      <c r="L398" s="864"/>
      <c r="M398" s="853"/>
      <c r="N398" s="858"/>
      <c r="O398" s="856"/>
      <c r="Z398" s="113"/>
      <c r="AA398" s="113"/>
      <c r="AB398" s="113"/>
      <c r="AC398" s="113"/>
      <c r="AD398" s="113"/>
    </row>
    <row r="399" spans="2:30" ht="12.75" hidden="1" customHeight="1" outlineLevel="1">
      <c r="B399" s="2710" t="s">
        <v>724</v>
      </c>
      <c r="C399" s="2711"/>
      <c r="D399" s="2712"/>
      <c r="E399" s="852">
        <f t="shared" ref="E399:O399" si="76">SUM(E381:E398)</f>
        <v>0</v>
      </c>
      <c r="F399" s="852">
        <f t="shared" si="76"/>
        <v>0</v>
      </c>
      <c r="G399" s="852">
        <f t="shared" si="76"/>
        <v>0</v>
      </c>
      <c r="H399" s="852">
        <f t="shared" si="76"/>
        <v>0</v>
      </c>
      <c r="I399" s="852">
        <f t="shared" si="76"/>
        <v>0</v>
      </c>
      <c r="J399" s="852">
        <f t="shared" si="76"/>
        <v>0</v>
      </c>
      <c r="K399" s="852">
        <f t="shared" si="76"/>
        <v>0</v>
      </c>
      <c r="L399" s="852">
        <f t="shared" si="76"/>
        <v>0</v>
      </c>
      <c r="M399" s="863">
        <f t="shared" si="76"/>
        <v>0</v>
      </c>
      <c r="N399" s="859">
        <f>SQRT(SUMSQ(N381:N398))</f>
        <v>0</v>
      </c>
      <c r="O399" s="860">
        <f t="shared" si="76"/>
        <v>0</v>
      </c>
      <c r="Z399" s="113"/>
      <c r="AA399" s="113"/>
      <c r="AB399" s="113"/>
      <c r="AC399" s="113"/>
      <c r="AD399" s="113"/>
    </row>
    <row r="400" spans="2:30" ht="12" hidden="1" customHeight="1" outlineLevel="1">
      <c r="Z400" s="113"/>
      <c r="AA400" s="113"/>
      <c r="AB400" s="817"/>
      <c r="AC400" s="113"/>
      <c r="AD400" s="113"/>
    </row>
    <row r="401" spans="2:30" collapsed="1"/>
    <row r="402" spans="2:30" ht="15.75" customHeight="1" collapsed="1">
      <c r="B402" s="2716" t="s">
        <v>810</v>
      </c>
      <c r="C402" s="2717"/>
      <c r="D402" s="2717"/>
      <c r="E402" s="2717"/>
      <c r="F402" s="2717"/>
      <c r="G402" s="2717"/>
      <c r="H402" s="2717"/>
      <c r="I402" s="2717"/>
      <c r="J402" s="2717"/>
      <c r="K402" s="2717"/>
      <c r="L402" s="2717"/>
      <c r="M402" s="2717"/>
      <c r="N402" s="2717"/>
      <c r="O402" s="2718"/>
      <c r="Z402" s="113"/>
      <c r="AA402" s="113"/>
      <c r="AB402" s="817"/>
      <c r="AC402" s="113"/>
      <c r="AD402" s="113"/>
    </row>
    <row r="403" spans="2:30" ht="12" hidden="1" customHeight="1" outlineLevel="1">
      <c r="V403" s="908"/>
      <c r="W403" s="908"/>
      <c r="Z403" s="113"/>
      <c r="AA403" s="113"/>
      <c r="AB403" s="817"/>
      <c r="AC403" s="113"/>
      <c r="AD403" s="113"/>
    </row>
    <row r="404" spans="2:30" ht="38.25" hidden="1" customHeight="1" outlineLevel="1">
      <c r="B404" s="205"/>
      <c r="C404" s="205"/>
      <c r="D404" s="205"/>
      <c r="E404" s="2719" t="s">
        <v>448</v>
      </c>
      <c r="F404" s="2720"/>
      <c r="G404" s="2720"/>
      <c r="H404" s="2720"/>
      <c r="I404" s="2720"/>
      <c r="J404" s="2720"/>
      <c r="K404" s="2720"/>
      <c r="L404" s="2720"/>
      <c r="M404" s="2721"/>
      <c r="N404" s="971" t="s">
        <v>811</v>
      </c>
      <c r="O404" s="968" t="s">
        <v>440</v>
      </c>
      <c r="V404" s="908"/>
      <c r="W404" s="908"/>
      <c r="Z404" s="113"/>
      <c r="AA404" s="113"/>
      <c r="AB404" s="817"/>
      <c r="AC404" s="113"/>
      <c r="AD404" s="113"/>
    </row>
    <row r="405" spans="2:30" ht="38.25" hidden="1" customHeight="1" outlineLevel="1">
      <c r="B405" s="2719" t="s">
        <v>438</v>
      </c>
      <c r="C405" s="2721"/>
      <c r="D405" s="970" t="s">
        <v>458</v>
      </c>
      <c r="E405" s="969" t="s">
        <v>853</v>
      </c>
      <c r="F405" s="969" t="s">
        <v>854</v>
      </c>
      <c r="G405" s="969" t="s">
        <v>855</v>
      </c>
      <c r="H405" s="969" t="s">
        <v>861</v>
      </c>
      <c r="I405" s="969" t="s">
        <v>852</v>
      </c>
      <c r="J405" s="970" t="s">
        <v>513</v>
      </c>
      <c r="K405" s="969" t="s">
        <v>862</v>
      </c>
      <c r="L405" s="969" t="s">
        <v>863</v>
      </c>
      <c r="M405" s="969" t="s">
        <v>514</v>
      </c>
      <c r="N405" s="972" t="s">
        <v>856</v>
      </c>
      <c r="O405" s="974" t="s">
        <v>513</v>
      </c>
      <c r="V405" s="908"/>
      <c r="W405" s="908"/>
      <c r="Z405" s="113"/>
      <c r="AA405" s="113"/>
      <c r="AB405" s="817"/>
      <c r="AC405" s="113"/>
      <c r="AD405" s="113"/>
    </row>
    <row r="406" spans="2:30" ht="12.75" hidden="1" customHeight="1" outlineLevel="1">
      <c r="B406" s="2722" t="s">
        <v>459</v>
      </c>
      <c r="C406" s="2723"/>
      <c r="D406" s="973">
        <v>1</v>
      </c>
      <c r="E406" s="980"/>
      <c r="F406" s="980"/>
      <c r="G406" s="980"/>
      <c r="H406" s="980"/>
      <c r="I406" s="980"/>
      <c r="J406" s="981"/>
      <c r="K406" s="982"/>
      <c r="L406" s="982"/>
      <c r="M406" s="983"/>
      <c r="N406" s="984"/>
      <c r="O406" s="2724" t="s">
        <v>817</v>
      </c>
      <c r="V406" s="908"/>
      <c r="W406" s="908"/>
      <c r="Z406" s="113"/>
      <c r="AA406" s="113"/>
      <c r="AB406" s="817"/>
      <c r="AC406" s="113"/>
      <c r="AD406" s="113"/>
    </row>
    <row r="407" spans="2:30" ht="12.75" hidden="1" customHeight="1" outlineLevel="1">
      <c r="B407" s="2722" t="s">
        <v>722</v>
      </c>
      <c r="C407" s="2723"/>
      <c r="D407" s="973">
        <v>2</v>
      </c>
      <c r="E407" s="980"/>
      <c r="F407" s="980"/>
      <c r="G407" s="980"/>
      <c r="H407" s="980"/>
      <c r="I407" s="980"/>
      <c r="J407" s="981"/>
      <c r="K407" s="982"/>
      <c r="L407" s="982"/>
      <c r="M407" s="983"/>
      <c r="N407" s="984"/>
      <c r="O407" s="2725"/>
      <c r="V407" s="908"/>
      <c r="W407" s="908"/>
      <c r="Z407" s="113"/>
      <c r="AA407" s="113"/>
      <c r="AB407" s="817"/>
      <c r="AC407" s="113"/>
      <c r="AD407" s="113"/>
    </row>
    <row r="408" spans="2:30" ht="12.75" hidden="1" customHeight="1" outlineLevel="1">
      <c r="B408" s="2722" t="s">
        <v>723</v>
      </c>
      <c r="C408" s="2723"/>
      <c r="D408" s="973">
        <v>3</v>
      </c>
      <c r="E408" s="980"/>
      <c r="F408" s="980"/>
      <c r="G408" s="980"/>
      <c r="H408" s="980"/>
      <c r="I408" s="980"/>
      <c r="J408" s="981"/>
      <c r="K408" s="982"/>
      <c r="L408" s="982"/>
      <c r="M408" s="983"/>
      <c r="N408" s="984"/>
      <c r="O408" s="2725"/>
      <c r="V408" s="908"/>
      <c r="W408" s="908"/>
      <c r="Z408" s="113"/>
      <c r="AA408" s="113"/>
      <c r="AB408" s="817"/>
      <c r="AC408" s="113"/>
      <c r="AD408" s="113"/>
    </row>
    <row r="409" spans="2:30" ht="12.75" hidden="1" customHeight="1" outlineLevel="1">
      <c r="B409" s="2722" t="s">
        <v>462</v>
      </c>
      <c r="C409" s="2723"/>
      <c r="D409" s="973">
        <v>4</v>
      </c>
      <c r="E409" s="980"/>
      <c r="F409" s="980"/>
      <c r="G409" s="980"/>
      <c r="H409" s="980"/>
      <c r="I409" s="980"/>
      <c r="J409" s="981"/>
      <c r="K409" s="982"/>
      <c r="L409" s="982"/>
      <c r="M409" s="983"/>
      <c r="N409" s="984"/>
      <c r="O409" s="2725"/>
      <c r="V409" s="908"/>
      <c r="W409" s="908"/>
      <c r="Z409" s="113"/>
      <c r="AA409" s="113"/>
      <c r="AB409" s="817"/>
      <c r="AC409" s="113"/>
      <c r="AD409" s="113"/>
    </row>
    <row r="410" spans="2:30" ht="12.75" hidden="1" customHeight="1" outlineLevel="1">
      <c r="B410" s="2722" t="s">
        <v>812</v>
      </c>
      <c r="C410" s="2723"/>
      <c r="D410" s="973">
        <v>5</v>
      </c>
      <c r="E410" s="980"/>
      <c r="F410" s="980"/>
      <c r="G410" s="980"/>
      <c r="H410" s="980"/>
      <c r="I410" s="980"/>
      <c r="J410" s="981"/>
      <c r="K410" s="982"/>
      <c r="L410" s="982"/>
      <c r="M410" s="983"/>
      <c r="N410" s="985"/>
      <c r="O410" s="2725"/>
      <c r="V410" s="908"/>
      <c r="W410" s="908"/>
      <c r="Z410" s="113"/>
      <c r="AA410" s="113"/>
      <c r="AB410" s="817"/>
      <c r="AC410" s="113"/>
      <c r="AD410" s="113"/>
    </row>
    <row r="411" spans="2:30" ht="12.75" hidden="1" customHeight="1" outlineLevel="1">
      <c r="B411" s="2727" t="s">
        <v>726</v>
      </c>
      <c r="C411" s="2728"/>
      <c r="D411" s="2729"/>
      <c r="E411" s="986">
        <f>SUM(E406:E410)</f>
        <v>0</v>
      </c>
      <c r="F411" s="986">
        <f t="shared" ref="F411:N411" si="77">SUM(F406:F410)</f>
        <v>0</v>
      </c>
      <c r="G411" s="986">
        <f t="shared" si="77"/>
        <v>0</v>
      </c>
      <c r="H411" s="986">
        <f t="shared" si="77"/>
        <v>0</v>
      </c>
      <c r="I411" s="986">
        <f t="shared" si="77"/>
        <v>0</v>
      </c>
      <c r="J411" s="986">
        <f t="shared" si="77"/>
        <v>0</v>
      </c>
      <c r="K411" s="987">
        <f t="shared" si="77"/>
        <v>0</v>
      </c>
      <c r="L411" s="987">
        <f t="shared" si="77"/>
        <v>0</v>
      </c>
      <c r="M411" s="988">
        <f>SQRT(SUMSQ(M406:M410))</f>
        <v>0</v>
      </c>
      <c r="N411" s="989">
        <f t="shared" si="77"/>
        <v>0</v>
      </c>
      <c r="O411" s="2726"/>
      <c r="V411" s="908"/>
      <c r="W411" s="908"/>
      <c r="Z411" s="113"/>
      <c r="AA411" s="113"/>
      <c r="AB411" s="817"/>
      <c r="AC411" s="113"/>
      <c r="AD411" s="113"/>
    </row>
    <row r="412" spans="2:30" ht="12.75" hidden="1" customHeight="1" outlineLevel="1">
      <c r="B412" s="2722" t="s">
        <v>464</v>
      </c>
      <c r="C412" s="2723"/>
      <c r="D412" s="973">
        <v>6</v>
      </c>
      <c r="E412" s="980"/>
      <c r="F412" s="980"/>
      <c r="G412" s="980"/>
      <c r="H412" s="980"/>
      <c r="I412" s="980"/>
      <c r="J412" s="981"/>
      <c r="K412" s="982"/>
      <c r="L412" s="982"/>
      <c r="M412" s="983"/>
      <c r="N412" s="984"/>
      <c r="O412" s="990"/>
      <c r="V412" s="908"/>
      <c r="W412" s="908"/>
      <c r="Z412" s="113"/>
      <c r="AA412" s="113"/>
      <c r="AB412" s="817"/>
      <c r="AC412" s="113"/>
      <c r="AD412" s="113"/>
    </row>
    <row r="413" spans="2:30" ht="12.75" hidden="1" customHeight="1" outlineLevel="1">
      <c r="B413" s="2722" t="s">
        <v>813</v>
      </c>
      <c r="C413" s="2723"/>
      <c r="D413" s="973">
        <v>7</v>
      </c>
      <c r="E413" s="980"/>
      <c r="F413" s="980"/>
      <c r="G413" s="980"/>
      <c r="H413" s="980"/>
      <c r="I413" s="980"/>
      <c r="J413" s="981"/>
      <c r="K413" s="982"/>
      <c r="L413" s="982"/>
      <c r="M413" s="983"/>
      <c r="N413" s="984"/>
      <c r="O413" s="984"/>
      <c r="V413" s="908"/>
      <c r="W413" s="908"/>
      <c r="Z413" s="113"/>
      <c r="AA413" s="113"/>
      <c r="AB413" s="817"/>
      <c r="AC413" s="113"/>
      <c r="AD413" s="113"/>
    </row>
    <row r="414" spans="2:30" ht="12.75" hidden="1" customHeight="1" outlineLevel="1">
      <c r="B414" s="2727" t="s">
        <v>725</v>
      </c>
      <c r="C414" s="2728"/>
      <c r="D414" s="2729"/>
      <c r="E414" s="986">
        <f>SUM(E412:E413)</f>
        <v>0</v>
      </c>
      <c r="F414" s="986">
        <f t="shared" ref="F414:O414" si="78">SUM(F412:F413)</f>
        <v>0</v>
      </c>
      <c r="G414" s="986">
        <f t="shared" si="78"/>
        <v>0</v>
      </c>
      <c r="H414" s="986">
        <f t="shared" si="78"/>
        <v>0</v>
      </c>
      <c r="I414" s="986">
        <f t="shared" si="78"/>
        <v>0</v>
      </c>
      <c r="J414" s="986">
        <f t="shared" si="78"/>
        <v>0</v>
      </c>
      <c r="K414" s="987">
        <f t="shared" si="78"/>
        <v>0</v>
      </c>
      <c r="L414" s="987">
        <f t="shared" si="78"/>
        <v>0</v>
      </c>
      <c r="M414" s="988">
        <f>SQRT(SUMSQ(M412:M413))</f>
        <v>0</v>
      </c>
      <c r="N414" s="989">
        <f t="shared" si="78"/>
        <v>0</v>
      </c>
      <c r="O414" s="989">
        <f t="shared" si="78"/>
        <v>0</v>
      </c>
      <c r="V414" s="908"/>
      <c r="W414" s="908"/>
      <c r="Z414" s="113"/>
      <c r="AA414" s="113"/>
      <c r="AB414" s="817"/>
      <c r="AC414" s="113"/>
      <c r="AD414" s="113"/>
    </row>
    <row r="415" spans="2:30" ht="12.75" hidden="1" customHeight="1" outlineLevel="1">
      <c r="B415" s="2722" t="s">
        <v>466</v>
      </c>
      <c r="C415" s="2723"/>
      <c r="D415" s="973">
        <v>8</v>
      </c>
      <c r="E415" s="980"/>
      <c r="F415" s="980"/>
      <c r="G415" s="980"/>
      <c r="H415" s="980"/>
      <c r="I415" s="980"/>
      <c r="J415" s="981"/>
      <c r="K415" s="982"/>
      <c r="L415" s="982"/>
      <c r="M415" s="983"/>
      <c r="N415" s="984"/>
      <c r="O415" s="984"/>
      <c r="V415" s="908"/>
      <c r="W415" s="908"/>
      <c r="Z415" s="113"/>
      <c r="AA415" s="113"/>
      <c r="AB415" s="817"/>
      <c r="AC415" s="113"/>
      <c r="AD415" s="113"/>
    </row>
    <row r="416" spans="2:30" ht="12.75" hidden="1" customHeight="1" outlineLevel="1">
      <c r="B416" s="2722" t="s">
        <v>814</v>
      </c>
      <c r="C416" s="2723"/>
      <c r="D416" s="973">
        <v>9</v>
      </c>
      <c r="E416" s="980">
        <f>V19+V33+V47+V60+V74+V104+V168+V185+V291+V304</f>
        <v>0</v>
      </c>
      <c r="F416" s="980">
        <f>W19+W33+W47+W60+W74+W104+W168+W185+W291+W304</f>
        <v>0</v>
      </c>
      <c r="G416" s="980">
        <f>X19+X33+X47+X60+X74+X104+X168+X185+X291+X304</f>
        <v>0</v>
      </c>
      <c r="H416" s="980">
        <v>0</v>
      </c>
      <c r="I416" s="980">
        <f>Y19+Y33+Y47+Y60+Y74+Y104+Y168+Y185+Y291+Y304</f>
        <v>0</v>
      </c>
      <c r="J416" s="981">
        <f>Z19+Z33+Z47+Z60+Z74+Z104+Z168+Z185+Z291+Z304</f>
        <v>0</v>
      </c>
      <c r="K416" s="982">
        <f>AA19+AA33+AA47+AA60+AA74+AA104+AA168+AA185+AA291+AA304</f>
        <v>0</v>
      </c>
      <c r="L416" s="982">
        <v>0</v>
      </c>
      <c r="M416" s="983">
        <f>SQRT(O19^2+O33^2+O47^2+O60^2+O74^2+T104^2+O168^2+O185^2+T291^2+O304^2)</f>
        <v>0</v>
      </c>
      <c r="N416" s="984"/>
      <c r="O416" s="984"/>
      <c r="U416" s="237"/>
      <c r="V416" s="908"/>
      <c r="W416" s="908"/>
      <c r="Z416" s="113"/>
      <c r="AA416" s="113"/>
      <c r="AB416" s="817"/>
      <c r="AC416" s="113"/>
      <c r="AD416" s="113"/>
    </row>
    <row r="417" spans="2:30" ht="12.75" hidden="1" customHeight="1" outlineLevel="1">
      <c r="B417" s="2722" t="s">
        <v>734</v>
      </c>
      <c r="C417" s="2723"/>
      <c r="D417" s="973">
        <v>10</v>
      </c>
      <c r="E417" s="980"/>
      <c r="F417" s="980"/>
      <c r="G417" s="980"/>
      <c r="H417" s="980"/>
      <c r="I417" s="980"/>
      <c r="J417" s="981"/>
      <c r="K417" s="982"/>
      <c r="L417" s="982"/>
      <c r="M417" s="983"/>
      <c r="N417" s="984"/>
      <c r="O417" s="984"/>
      <c r="V417" s="908"/>
      <c r="W417" s="908"/>
      <c r="Z417" s="113"/>
      <c r="AA417" s="113"/>
      <c r="AB417" s="817"/>
      <c r="AC417" s="113"/>
      <c r="AD417" s="113"/>
    </row>
    <row r="418" spans="2:30" ht="12.75" hidden="1" customHeight="1" outlineLevel="1">
      <c r="B418" s="2722" t="s">
        <v>736</v>
      </c>
      <c r="C418" s="2723"/>
      <c r="D418" s="973">
        <v>11</v>
      </c>
      <c r="E418" s="980"/>
      <c r="F418" s="980"/>
      <c r="G418" s="980"/>
      <c r="H418" s="980"/>
      <c r="I418" s="980"/>
      <c r="J418" s="981"/>
      <c r="K418" s="982"/>
      <c r="L418" s="982"/>
      <c r="M418" s="983"/>
      <c r="N418" s="984"/>
      <c r="O418" s="984"/>
      <c r="V418" s="908"/>
      <c r="W418" s="908"/>
      <c r="Z418" s="113"/>
      <c r="AA418" s="113"/>
      <c r="AB418" s="817"/>
      <c r="AC418" s="113"/>
      <c r="AD418" s="113"/>
    </row>
    <row r="419" spans="2:30" ht="12.75" hidden="1" customHeight="1" outlineLevel="1">
      <c r="B419" s="2722" t="s">
        <v>815</v>
      </c>
      <c r="C419" s="2723"/>
      <c r="D419" s="973">
        <v>12</v>
      </c>
      <c r="E419" s="980"/>
      <c r="F419" s="980"/>
      <c r="G419" s="980"/>
      <c r="H419" s="980"/>
      <c r="I419" s="980"/>
      <c r="J419" s="981"/>
      <c r="K419" s="982"/>
      <c r="L419" s="982"/>
      <c r="M419" s="983"/>
      <c r="N419" s="984"/>
      <c r="O419" s="984"/>
      <c r="V419" s="908"/>
      <c r="W419" s="908"/>
      <c r="Z419" s="113"/>
      <c r="AA419" s="113"/>
      <c r="AB419" s="817"/>
      <c r="AC419" s="113"/>
      <c r="AD419" s="113"/>
    </row>
    <row r="420" spans="2:30" ht="12.75" hidden="1" customHeight="1" outlineLevel="1">
      <c r="B420" s="2722" t="s">
        <v>470</v>
      </c>
      <c r="C420" s="2723"/>
      <c r="D420" s="973">
        <v>13</v>
      </c>
      <c r="E420" s="980"/>
      <c r="F420" s="980"/>
      <c r="G420" s="980"/>
      <c r="H420" s="980"/>
      <c r="I420" s="980"/>
      <c r="J420" s="981"/>
      <c r="K420" s="982"/>
      <c r="L420" s="982"/>
      <c r="M420" s="983"/>
      <c r="N420" s="984"/>
      <c r="O420" s="984"/>
      <c r="V420" s="908"/>
      <c r="W420" s="908"/>
      <c r="Z420" s="113"/>
      <c r="AA420" s="113"/>
      <c r="AB420" s="817"/>
      <c r="AC420" s="113"/>
      <c r="AD420" s="113"/>
    </row>
    <row r="421" spans="2:30" ht="12.75" hidden="1" customHeight="1" outlineLevel="1">
      <c r="B421" s="2722" t="s">
        <v>471</v>
      </c>
      <c r="C421" s="2723"/>
      <c r="D421" s="973">
        <v>14</v>
      </c>
      <c r="E421" s="980"/>
      <c r="F421" s="980"/>
      <c r="G421" s="980"/>
      <c r="H421" s="980"/>
      <c r="I421" s="980"/>
      <c r="J421" s="981"/>
      <c r="K421" s="982"/>
      <c r="L421" s="982"/>
      <c r="M421" s="983"/>
      <c r="N421" s="984"/>
      <c r="O421" s="984"/>
      <c r="V421" s="908"/>
      <c r="W421" s="908"/>
      <c r="Z421" s="113"/>
      <c r="AA421" s="113"/>
      <c r="AB421" s="817"/>
      <c r="AC421" s="113"/>
      <c r="AD421" s="113"/>
    </row>
    <row r="422" spans="2:30" ht="12.75" hidden="1" customHeight="1" outlineLevel="1">
      <c r="B422" s="2722" t="s">
        <v>472</v>
      </c>
      <c r="C422" s="2723"/>
      <c r="D422" s="973">
        <v>15</v>
      </c>
      <c r="E422" s="980">
        <f>V316</f>
        <v>0</v>
      </c>
      <c r="F422" s="980">
        <f>W316</f>
        <v>0</v>
      </c>
      <c r="G422" s="980">
        <f>X316</f>
        <v>0</v>
      </c>
      <c r="H422" s="980">
        <v>0</v>
      </c>
      <c r="I422" s="980">
        <f>Y316</f>
        <v>0</v>
      </c>
      <c r="J422" s="981">
        <f>SUM(E422:I422)</f>
        <v>0</v>
      </c>
      <c r="K422" s="982">
        <f>AA316</f>
        <v>0</v>
      </c>
      <c r="L422" s="982">
        <v>0</v>
      </c>
      <c r="M422" s="983">
        <f>O316</f>
        <v>0</v>
      </c>
      <c r="N422" s="984"/>
      <c r="O422" s="984"/>
      <c r="V422" s="908"/>
      <c r="W422" s="908"/>
      <c r="Z422" s="113"/>
      <c r="AA422" s="113"/>
      <c r="AB422" s="817"/>
      <c r="AC422" s="113"/>
      <c r="AD422" s="113"/>
    </row>
    <row r="423" spans="2:30" ht="12.75" hidden="1" customHeight="1" outlineLevel="1">
      <c r="B423" s="2722" t="s">
        <v>473</v>
      </c>
      <c r="C423" s="2723"/>
      <c r="D423" s="973">
        <v>16</v>
      </c>
      <c r="E423" s="980"/>
      <c r="F423" s="980"/>
      <c r="G423" s="980"/>
      <c r="H423" s="980"/>
      <c r="I423" s="980"/>
      <c r="J423" s="981"/>
      <c r="K423" s="982"/>
      <c r="L423" s="982"/>
      <c r="M423" s="983"/>
      <c r="N423" s="984"/>
      <c r="O423" s="984"/>
      <c r="V423" s="908"/>
      <c r="W423" s="908"/>
      <c r="Z423" s="113"/>
      <c r="AA423" s="113"/>
      <c r="AB423" s="817"/>
      <c r="AC423" s="113"/>
      <c r="AD423" s="113"/>
    </row>
    <row r="424" spans="2:30" ht="12.75" hidden="1" customHeight="1" outlineLevel="1">
      <c r="B424" s="2722" t="s">
        <v>737</v>
      </c>
      <c r="C424" s="2723"/>
      <c r="D424" s="973">
        <v>17</v>
      </c>
      <c r="E424" s="980"/>
      <c r="F424" s="980"/>
      <c r="G424" s="980"/>
      <c r="H424" s="980"/>
      <c r="I424" s="980"/>
      <c r="J424" s="981"/>
      <c r="K424" s="982"/>
      <c r="L424" s="982"/>
      <c r="M424" s="983"/>
      <c r="N424" s="984"/>
      <c r="O424" s="984"/>
      <c r="V424" s="908"/>
      <c r="W424" s="908"/>
      <c r="Z424" s="113"/>
      <c r="AA424" s="113"/>
      <c r="AB424" s="817"/>
      <c r="AC424" s="113"/>
      <c r="AD424" s="113"/>
    </row>
    <row r="425" spans="2:30" ht="12.75" hidden="1" customHeight="1" outlineLevel="1">
      <c r="B425" s="2722" t="s">
        <v>475</v>
      </c>
      <c r="C425" s="2723"/>
      <c r="D425" s="973">
        <v>18</v>
      </c>
      <c r="E425" s="980"/>
      <c r="F425" s="980"/>
      <c r="G425" s="980"/>
      <c r="H425" s="980"/>
      <c r="I425" s="980"/>
      <c r="J425" s="981"/>
      <c r="K425" s="982"/>
      <c r="L425" s="982"/>
      <c r="M425" s="983"/>
      <c r="N425" s="984"/>
      <c r="O425" s="984"/>
      <c r="V425" s="908"/>
      <c r="W425" s="908"/>
      <c r="Z425" s="113"/>
      <c r="AA425" s="113"/>
      <c r="AB425" s="817"/>
      <c r="AC425" s="113"/>
      <c r="AD425" s="113"/>
    </row>
    <row r="426" spans="2:30" ht="12.75" hidden="1" customHeight="1" outlineLevel="1">
      <c r="B426" s="2722" t="s">
        <v>476</v>
      </c>
      <c r="C426" s="2723"/>
      <c r="D426" s="973">
        <v>19</v>
      </c>
      <c r="E426" s="980"/>
      <c r="F426" s="980"/>
      <c r="G426" s="980"/>
      <c r="H426" s="980"/>
      <c r="I426" s="980"/>
      <c r="J426" s="981"/>
      <c r="K426" s="982"/>
      <c r="L426" s="982"/>
      <c r="M426" s="983"/>
      <c r="N426" s="984"/>
      <c r="O426" s="984"/>
      <c r="V426" s="908"/>
      <c r="W426" s="908"/>
      <c r="Z426" s="113"/>
      <c r="AA426" s="113"/>
      <c r="AB426" s="817"/>
      <c r="AC426" s="113"/>
      <c r="AD426" s="113"/>
    </row>
    <row r="427" spans="2:30" ht="12.75" hidden="1" customHeight="1" outlineLevel="1">
      <c r="B427" s="2722" t="s">
        <v>477</v>
      </c>
      <c r="C427" s="2723"/>
      <c r="D427" s="973">
        <v>20</v>
      </c>
      <c r="E427" s="980"/>
      <c r="F427" s="980"/>
      <c r="G427" s="980"/>
      <c r="H427" s="980"/>
      <c r="I427" s="980"/>
      <c r="J427" s="981"/>
      <c r="K427" s="982"/>
      <c r="L427" s="982"/>
      <c r="M427" s="983"/>
      <c r="N427" s="984"/>
      <c r="O427" s="984"/>
      <c r="V427" s="908"/>
      <c r="W427" s="908"/>
      <c r="Z427" s="113"/>
      <c r="AA427" s="113"/>
      <c r="AB427" s="817"/>
      <c r="AC427" s="113"/>
      <c r="AD427" s="113"/>
    </row>
    <row r="428" spans="2:30" ht="12.75" hidden="1" customHeight="1" outlineLevel="1">
      <c r="B428" s="2722" t="s">
        <v>478</v>
      </c>
      <c r="C428" s="2723"/>
      <c r="D428" s="973">
        <v>21</v>
      </c>
      <c r="E428" s="980"/>
      <c r="F428" s="980"/>
      <c r="G428" s="980"/>
      <c r="H428" s="980"/>
      <c r="I428" s="980"/>
      <c r="J428" s="981"/>
      <c r="K428" s="982"/>
      <c r="L428" s="982"/>
      <c r="M428" s="983"/>
      <c r="N428" s="984"/>
      <c r="O428" s="984"/>
      <c r="V428" s="908"/>
      <c r="W428" s="908"/>
      <c r="Z428" s="113"/>
      <c r="AA428" s="113"/>
      <c r="AB428" s="817"/>
      <c r="AC428" s="113"/>
      <c r="AD428" s="113"/>
    </row>
    <row r="429" spans="2:30" ht="12.75" hidden="1" customHeight="1" outlineLevel="1">
      <c r="B429" s="2722" t="s">
        <v>479</v>
      </c>
      <c r="C429" s="2723"/>
      <c r="D429" s="973">
        <v>22</v>
      </c>
      <c r="E429" s="980"/>
      <c r="F429" s="980"/>
      <c r="G429" s="980"/>
      <c r="H429" s="980"/>
      <c r="I429" s="980"/>
      <c r="J429" s="981"/>
      <c r="K429" s="982"/>
      <c r="L429" s="982"/>
      <c r="M429" s="983"/>
      <c r="N429" s="984"/>
      <c r="O429" s="984"/>
      <c r="V429" s="908"/>
      <c r="W429" s="908"/>
      <c r="Z429" s="113"/>
      <c r="AA429" s="113"/>
      <c r="AB429" s="817"/>
      <c r="AC429" s="113"/>
      <c r="AD429" s="113"/>
    </row>
    <row r="430" spans="2:30" ht="12.75" hidden="1" customHeight="1" outlineLevel="1">
      <c r="B430" s="2722" t="s">
        <v>449</v>
      </c>
      <c r="C430" s="2723"/>
      <c r="D430" s="973">
        <v>23</v>
      </c>
      <c r="E430" s="980"/>
      <c r="F430" s="980"/>
      <c r="G430" s="980"/>
      <c r="H430" s="980"/>
      <c r="I430" s="980"/>
      <c r="J430" s="981"/>
      <c r="K430" s="982"/>
      <c r="L430" s="982"/>
      <c r="M430" s="983"/>
      <c r="N430" s="984"/>
      <c r="O430" s="984"/>
      <c r="V430" s="908"/>
      <c r="W430" s="908"/>
      <c r="Z430" s="113"/>
      <c r="AA430" s="113"/>
      <c r="AB430" s="817"/>
      <c r="AC430" s="113"/>
      <c r="AD430" s="113"/>
    </row>
    <row r="431" spans="2:30" ht="12.75" hidden="1" customHeight="1" outlineLevel="1">
      <c r="B431" s="2727" t="s">
        <v>724</v>
      </c>
      <c r="C431" s="2728"/>
      <c r="D431" s="2729"/>
      <c r="E431" s="986">
        <f>SUM(E415:E430)</f>
        <v>0</v>
      </c>
      <c r="F431" s="986">
        <f t="shared" ref="F431:O431" si="79">SUM(F415:F430)</f>
        <v>0</v>
      </c>
      <c r="G431" s="986">
        <f t="shared" si="79"/>
        <v>0</v>
      </c>
      <c r="H431" s="986">
        <f t="shared" si="79"/>
        <v>0</v>
      </c>
      <c r="I431" s="986">
        <f t="shared" si="79"/>
        <v>0</v>
      </c>
      <c r="J431" s="986">
        <f t="shared" si="79"/>
        <v>0</v>
      </c>
      <c r="K431" s="987">
        <f t="shared" si="79"/>
        <v>0</v>
      </c>
      <c r="L431" s="987">
        <f t="shared" si="79"/>
        <v>0</v>
      </c>
      <c r="M431" s="988">
        <f>SQRT(SUMSQ(M415:M430))</f>
        <v>0</v>
      </c>
      <c r="N431" s="989">
        <f t="shared" si="79"/>
        <v>0</v>
      </c>
      <c r="O431" s="989">
        <f t="shared" si="79"/>
        <v>0</v>
      </c>
      <c r="V431" s="908"/>
      <c r="W431" s="908"/>
      <c r="Z431" s="113"/>
      <c r="AA431" s="113"/>
      <c r="AB431" s="817"/>
      <c r="AC431" s="113"/>
      <c r="AD431" s="113"/>
    </row>
    <row r="432" spans="2:30" ht="12" hidden="1" customHeight="1" outlineLevel="1">
      <c r="V432" s="908"/>
      <c r="W432" s="908"/>
      <c r="Z432" s="113"/>
      <c r="AA432" s="113"/>
      <c r="AB432" s="817"/>
      <c r="AC432" s="113"/>
      <c r="AD432" s="113"/>
    </row>
    <row r="433" spans="1:39" collapsed="1"/>
    <row r="434" spans="1:39" s="418" customFormat="1" ht="15.75" hidden="1" customHeight="1" collapsed="1">
      <c r="A434" s="113"/>
      <c r="B434" s="2730" t="s">
        <v>2443</v>
      </c>
      <c r="C434" s="2731"/>
      <c r="D434" s="2731"/>
      <c r="E434" s="2731"/>
      <c r="F434" s="2731"/>
      <c r="G434" s="2731"/>
      <c r="H434" s="2731"/>
      <c r="I434" s="2731"/>
      <c r="J434" s="2731"/>
      <c r="K434" s="2731"/>
      <c r="L434" s="2731"/>
      <c r="M434" s="2731"/>
      <c r="N434" s="2731"/>
      <c r="O434" s="2732"/>
      <c r="U434" s="113"/>
      <c r="V434" s="113"/>
      <c r="W434" s="113"/>
      <c r="X434" s="113"/>
      <c r="Y434" s="113"/>
      <c r="Z434" s="113"/>
      <c r="AA434" s="113"/>
      <c r="AB434" s="113"/>
      <c r="AC434" s="113"/>
      <c r="AD434" s="113"/>
    </row>
    <row r="435" spans="1:39" s="418" customFormat="1" ht="12" hidden="1" customHeight="1" outlineLevel="1">
      <c r="A435" s="113"/>
      <c r="B435" s="113"/>
      <c r="C435" s="113"/>
      <c r="D435" s="113"/>
      <c r="E435" s="113"/>
      <c r="F435" s="113"/>
      <c r="G435" s="113"/>
      <c r="H435" s="113"/>
      <c r="I435" s="113"/>
      <c r="J435" s="113"/>
      <c r="K435" s="113"/>
      <c r="L435" s="113"/>
      <c r="M435" s="113"/>
      <c r="N435" s="113"/>
      <c r="O435" s="113"/>
      <c r="U435" s="113"/>
      <c r="V435" s="113"/>
      <c r="W435" s="113"/>
      <c r="X435" s="113"/>
      <c r="Y435" s="113"/>
      <c r="Z435" s="113"/>
      <c r="AA435" s="113"/>
      <c r="AB435" s="113"/>
      <c r="AC435" s="113"/>
      <c r="AD435" s="113"/>
    </row>
    <row r="436" spans="1:39" s="418" customFormat="1" ht="12" hidden="1" customHeight="1" outlineLevel="1">
      <c r="A436" s="113"/>
      <c r="B436" s="113" t="s">
        <v>2549</v>
      </c>
      <c r="C436" s="113"/>
      <c r="D436" s="113"/>
      <c r="E436" s="113"/>
      <c r="F436" s="113"/>
      <c r="G436" s="113"/>
      <c r="H436" s="113"/>
      <c r="I436" s="113"/>
      <c r="J436" s="113"/>
      <c r="K436" s="113"/>
      <c r="L436" s="113"/>
      <c r="M436" s="113"/>
      <c r="N436" s="113"/>
      <c r="O436" s="113"/>
      <c r="U436" s="113"/>
      <c r="V436" s="113"/>
      <c r="W436" s="113"/>
      <c r="X436" s="113"/>
      <c r="Y436" s="113"/>
      <c r="Z436" s="113"/>
      <c r="AA436" s="113"/>
      <c r="AB436" s="113"/>
      <c r="AC436" s="113"/>
      <c r="AD436" s="113"/>
    </row>
    <row r="437" spans="1:39" s="418" customFormat="1" ht="12" hidden="1" customHeight="1" outlineLevel="1">
      <c r="A437" s="113"/>
      <c r="B437" s="113"/>
      <c r="C437" s="113"/>
      <c r="D437" s="113"/>
      <c r="E437" s="113"/>
      <c r="F437" s="113"/>
      <c r="G437" s="113"/>
      <c r="H437" s="113"/>
      <c r="I437" s="113"/>
      <c r="J437" s="113"/>
      <c r="K437" s="113"/>
      <c r="L437" s="113"/>
      <c r="M437" s="113"/>
      <c r="N437" s="113"/>
      <c r="O437" s="113"/>
      <c r="U437" s="113"/>
      <c r="V437" s="113"/>
      <c r="W437" s="113"/>
      <c r="X437" s="113"/>
      <c r="Y437" s="113"/>
      <c r="Z437" s="113"/>
      <c r="AA437" s="113"/>
      <c r="AB437" s="113"/>
      <c r="AC437" s="113"/>
      <c r="AD437" s="113"/>
    </row>
    <row r="438" spans="1:39" s="418" customFormat="1" ht="12" hidden="1" customHeight="1" outlineLevel="1">
      <c r="A438" s="113"/>
      <c r="B438" s="113"/>
      <c r="C438" s="113"/>
      <c r="D438" s="113"/>
      <c r="E438" s="113"/>
      <c r="F438" s="113"/>
      <c r="G438" s="113"/>
      <c r="H438" s="113"/>
      <c r="I438" s="113"/>
      <c r="J438" s="113"/>
      <c r="K438" s="113"/>
      <c r="L438" s="113"/>
      <c r="M438" s="113"/>
      <c r="N438" s="113"/>
      <c r="O438" s="113"/>
      <c r="U438" s="113"/>
      <c r="V438" s="113"/>
      <c r="W438" s="113"/>
      <c r="X438" s="113"/>
      <c r="Y438" s="113"/>
      <c r="Z438" s="113"/>
      <c r="AA438" s="113"/>
      <c r="AB438" s="113"/>
      <c r="AC438" s="113"/>
      <c r="AD438" s="113"/>
    </row>
    <row r="439" spans="1:39" s="418" customFormat="1" ht="12" hidden="1" customHeight="1" outlineLevel="1">
      <c r="A439" s="113"/>
      <c r="B439" s="113"/>
      <c r="C439" s="113"/>
      <c r="D439" s="113"/>
      <c r="E439" s="113"/>
      <c r="F439" s="113"/>
      <c r="G439" s="113"/>
      <c r="H439" s="113"/>
      <c r="I439" s="113"/>
      <c r="J439" s="113"/>
      <c r="K439" s="113"/>
      <c r="L439" s="113"/>
      <c r="M439" s="113"/>
      <c r="N439" s="113"/>
      <c r="O439" s="113"/>
      <c r="U439" s="113"/>
      <c r="V439" s="113"/>
      <c r="W439" s="113"/>
      <c r="X439" s="113"/>
      <c r="Y439" s="113"/>
      <c r="Z439" s="113"/>
      <c r="AA439" s="113"/>
      <c r="AB439" s="113"/>
      <c r="AC439" s="113"/>
      <c r="AD439" s="113"/>
    </row>
    <row r="440" spans="1:39" s="418" customFormat="1" ht="12" hidden="1" customHeight="1" outlineLevel="1">
      <c r="A440" s="113"/>
      <c r="B440" s="113"/>
      <c r="C440" s="113"/>
      <c r="D440" s="113"/>
      <c r="E440" s="113"/>
      <c r="F440" s="113"/>
      <c r="G440" s="113"/>
      <c r="H440" s="113"/>
      <c r="I440" s="113"/>
      <c r="J440" s="113"/>
      <c r="K440" s="113"/>
      <c r="L440" s="113"/>
      <c r="M440" s="113"/>
      <c r="N440" s="113"/>
      <c r="O440" s="113"/>
      <c r="U440" s="113"/>
      <c r="V440" s="113"/>
      <c r="W440" s="113"/>
      <c r="X440" s="113"/>
      <c r="Y440" s="113"/>
      <c r="Z440" s="113"/>
      <c r="AA440" s="113"/>
      <c r="AB440" s="113"/>
      <c r="AC440" s="113"/>
      <c r="AD440" s="113"/>
    </row>
    <row r="441" spans="1:39" s="418" customFormat="1" ht="12" hidden="1" customHeight="1" outlineLevel="1">
      <c r="A441" s="113"/>
      <c r="B441" s="113"/>
      <c r="C441" s="113"/>
      <c r="D441" s="113"/>
      <c r="E441" s="113"/>
      <c r="F441" s="113"/>
      <c r="G441" s="113"/>
      <c r="H441" s="113"/>
      <c r="I441" s="113"/>
      <c r="J441" s="113"/>
      <c r="K441" s="113"/>
      <c r="L441" s="113"/>
      <c r="M441" s="113"/>
      <c r="N441" s="113"/>
      <c r="O441" s="113"/>
      <c r="U441" s="113"/>
      <c r="V441" s="113"/>
      <c r="W441" s="113"/>
      <c r="X441" s="113"/>
      <c r="Y441" s="113"/>
      <c r="Z441" s="113"/>
      <c r="AA441" s="113"/>
      <c r="AB441" s="113"/>
      <c r="AC441" s="113"/>
      <c r="AD441" s="113"/>
    </row>
    <row r="442" spans="1:39" s="418" customFormat="1" ht="12" hidden="1" customHeight="1" outlineLevel="1">
      <c r="A442" s="113"/>
      <c r="B442" s="113"/>
      <c r="C442" s="113"/>
      <c r="D442" s="113"/>
      <c r="E442" s="113"/>
      <c r="F442" s="113"/>
      <c r="G442" s="113"/>
      <c r="H442" s="113"/>
      <c r="I442" s="113"/>
      <c r="J442" s="113"/>
      <c r="K442" s="113"/>
      <c r="L442" s="113"/>
      <c r="M442" s="113"/>
      <c r="N442" s="113"/>
      <c r="O442" s="113"/>
      <c r="U442" s="113"/>
      <c r="V442" s="113"/>
      <c r="W442" s="113"/>
      <c r="X442" s="113"/>
      <c r="Y442" s="113"/>
      <c r="Z442" s="113"/>
      <c r="AA442" s="113"/>
      <c r="AB442" s="113"/>
      <c r="AC442" s="113"/>
      <c r="AD442" s="113"/>
    </row>
    <row r="443" spans="1:39" s="418" customFormat="1" ht="12" hidden="1" customHeight="1">
      <c r="A443" s="113"/>
      <c r="B443" s="113"/>
      <c r="C443" s="113"/>
      <c r="D443" s="113"/>
      <c r="E443" s="113"/>
      <c r="F443" s="113"/>
      <c r="G443" s="113"/>
      <c r="H443" s="113"/>
      <c r="I443" s="113"/>
      <c r="J443" s="113"/>
      <c r="K443" s="113"/>
      <c r="L443" s="113"/>
      <c r="M443" s="113"/>
      <c r="N443" s="113"/>
      <c r="O443" s="113"/>
      <c r="U443" s="113"/>
      <c r="V443" s="113"/>
      <c r="W443" s="113"/>
      <c r="X443" s="113"/>
      <c r="Y443" s="113"/>
      <c r="Z443" s="113"/>
      <c r="AA443" s="113"/>
      <c r="AB443" s="113"/>
      <c r="AC443" s="113"/>
      <c r="AD443" s="113"/>
    </row>
    <row r="444" spans="1:39" s="418" customFormat="1" ht="15.6" collapsed="1">
      <c r="A444" s="113"/>
      <c r="B444" s="2733" t="s">
        <v>2554</v>
      </c>
      <c r="C444" s="2734"/>
      <c r="D444" s="2734"/>
      <c r="E444" s="2734"/>
      <c r="F444" s="2734"/>
      <c r="G444" s="2734"/>
      <c r="H444" s="2734"/>
      <c r="I444" s="2734"/>
      <c r="J444" s="2734"/>
      <c r="K444" s="2734"/>
      <c r="L444" s="2734"/>
      <c r="M444" s="2734"/>
      <c r="N444" s="2734"/>
      <c r="O444" s="2735"/>
      <c r="U444" s="113"/>
      <c r="V444" s="113"/>
      <c r="W444" s="113"/>
      <c r="X444" s="113"/>
      <c r="Y444" s="113"/>
      <c r="Z444" s="113"/>
      <c r="AA444" s="113"/>
      <c r="AB444" s="113"/>
      <c r="AC444" s="113"/>
      <c r="AD444" s="113"/>
    </row>
    <row r="445" spans="1:39" s="418" customFormat="1" ht="12" hidden="1" customHeight="1" outlineLevel="1">
      <c r="A445" s="113"/>
      <c r="B445" s="113"/>
      <c r="C445" s="113"/>
      <c r="D445" s="113"/>
      <c r="E445" s="113"/>
      <c r="F445" s="113"/>
      <c r="G445" s="113"/>
      <c r="H445" s="113"/>
      <c r="I445" s="113"/>
      <c r="J445" s="113"/>
      <c r="K445" s="113"/>
      <c r="L445" s="113"/>
      <c r="M445" s="113"/>
      <c r="N445" s="113"/>
      <c r="O445" s="113"/>
      <c r="U445" s="113"/>
      <c r="V445" s="113"/>
      <c r="W445" s="113"/>
      <c r="X445" s="113"/>
      <c r="Y445" s="113"/>
      <c r="Z445" s="113"/>
      <c r="AA445" s="113"/>
      <c r="AB445" s="113"/>
      <c r="AC445" s="113"/>
      <c r="AD445" s="113"/>
    </row>
    <row r="446" spans="1:39" ht="38.25" hidden="1" customHeight="1" outlineLevel="1">
      <c r="B446" s="205"/>
      <c r="C446" s="205"/>
      <c r="D446" s="205"/>
      <c r="E446" s="2736" t="s">
        <v>448</v>
      </c>
      <c r="F446" s="2737"/>
      <c r="G446" s="2737"/>
      <c r="H446" s="2737"/>
      <c r="I446" s="2737"/>
      <c r="J446" s="2737"/>
      <c r="K446" s="2737"/>
      <c r="L446" s="2737"/>
      <c r="M446" s="2738"/>
      <c r="N446" s="1794" t="s">
        <v>811</v>
      </c>
      <c r="O446" s="1795" t="s">
        <v>440</v>
      </c>
      <c r="V446" s="908"/>
      <c r="W446" s="908"/>
      <c r="Z446" s="113"/>
      <c r="AA446" s="113"/>
      <c r="AB446" s="817"/>
      <c r="AC446" s="113"/>
      <c r="AD446" s="113"/>
      <c r="AE446" s="576"/>
      <c r="AF446" s="576"/>
      <c r="AG446" s="576"/>
      <c r="AH446" s="576"/>
      <c r="AI446" s="576"/>
      <c r="AJ446" s="576"/>
      <c r="AK446" s="576"/>
      <c r="AL446" s="576"/>
      <c r="AM446" s="576"/>
    </row>
    <row r="447" spans="1:39" ht="38.25" hidden="1" customHeight="1" outlineLevel="1">
      <c r="B447" s="2736" t="s">
        <v>438</v>
      </c>
      <c r="C447" s="2738"/>
      <c r="D447" s="1795" t="s">
        <v>2510</v>
      </c>
      <c r="E447" s="1796" t="s">
        <v>853</v>
      </c>
      <c r="F447" s="1796" t="s">
        <v>854</v>
      </c>
      <c r="G447" s="1796" t="s">
        <v>855</v>
      </c>
      <c r="H447" s="1796" t="s">
        <v>861</v>
      </c>
      <c r="I447" s="1796" t="s">
        <v>852</v>
      </c>
      <c r="J447" s="1797" t="s">
        <v>513</v>
      </c>
      <c r="K447" s="1796" t="s">
        <v>862</v>
      </c>
      <c r="L447" s="1796" t="s">
        <v>863</v>
      </c>
      <c r="M447" s="1796" t="s">
        <v>514</v>
      </c>
      <c r="N447" s="1798" t="s">
        <v>856</v>
      </c>
      <c r="O447" s="1799" t="s">
        <v>513</v>
      </c>
      <c r="V447" s="908"/>
      <c r="W447" s="908"/>
      <c r="Z447" s="113"/>
      <c r="AA447" s="113"/>
      <c r="AB447" s="817"/>
      <c r="AC447" s="113"/>
      <c r="AD447" s="113"/>
      <c r="AE447" s="576"/>
      <c r="AF447" s="576"/>
      <c r="AG447" s="576"/>
      <c r="AH447" s="576"/>
      <c r="AI447" s="576"/>
      <c r="AJ447" s="576"/>
      <c r="AK447" s="576"/>
      <c r="AL447" s="576"/>
      <c r="AM447" s="576"/>
    </row>
    <row r="448" spans="1:39" ht="12.75" hidden="1" customHeight="1" outlineLevel="1">
      <c r="B448" s="2722" t="s">
        <v>2481</v>
      </c>
      <c r="C448" s="2723"/>
      <c r="D448" s="973" t="s">
        <v>2503</v>
      </c>
      <c r="E448" s="980"/>
      <c r="F448" s="980"/>
      <c r="G448" s="980"/>
      <c r="H448" s="980"/>
      <c r="I448" s="980"/>
      <c r="J448" s="981"/>
      <c r="K448" s="982"/>
      <c r="L448" s="982"/>
      <c r="M448" s="983"/>
      <c r="N448" s="984"/>
      <c r="O448" s="2098" t="s">
        <v>817</v>
      </c>
      <c r="V448" s="908"/>
      <c r="W448" s="908"/>
      <c r="Z448" s="113"/>
      <c r="AA448" s="113"/>
      <c r="AB448" s="817"/>
      <c r="AC448" s="113"/>
      <c r="AD448" s="113"/>
      <c r="AE448" s="576"/>
      <c r="AF448" s="576"/>
      <c r="AG448" s="576"/>
      <c r="AH448" s="576"/>
      <c r="AI448" s="576"/>
      <c r="AJ448" s="576"/>
      <c r="AK448" s="576"/>
      <c r="AL448" s="576"/>
      <c r="AM448" s="576"/>
    </row>
    <row r="449" spans="1:39" ht="12.75" hidden="1" customHeight="1" outlineLevel="1">
      <c r="B449" s="2722" t="s">
        <v>2482</v>
      </c>
      <c r="C449" s="2723"/>
      <c r="D449" s="1896" t="s">
        <v>2504</v>
      </c>
      <c r="E449" s="980"/>
      <c r="F449" s="980"/>
      <c r="G449" s="980"/>
      <c r="H449" s="980"/>
      <c r="I449" s="980"/>
      <c r="J449" s="981"/>
      <c r="K449" s="982"/>
      <c r="L449" s="982"/>
      <c r="M449" s="983"/>
      <c r="N449" s="984"/>
      <c r="O449" s="990"/>
      <c r="V449" s="908"/>
      <c r="W449" s="908"/>
      <c r="Z449" s="113"/>
      <c r="AA449" s="113"/>
      <c r="AB449" s="817"/>
      <c r="AC449" s="113"/>
      <c r="AD449" s="113"/>
      <c r="AE449" s="576"/>
      <c r="AF449" s="576"/>
      <c r="AG449" s="576"/>
      <c r="AH449" s="576"/>
      <c r="AI449" s="576"/>
      <c r="AJ449" s="576"/>
      <c r="AK449" s="576"/>
      <c r="AL449" s="576"/>
      <c r="AM449" s="576"/>
    </row>
    <row r="450" spans="1:39" ht="12.75" hidden="1" customHeight="1" outlineLevel="1">
      <c r="B450" s="2722" t="s">
        <v>2483</v>
      </c>
      <c r="C450" s="2723"/>
      <c r="D450" s="973" t="s">
        <v>2505</v>
      </c>
      <c r="E450" s="980"/>
      <c r="F450" s="980"/>
      <c r="G450" s="980"/>
      <c r="H450" s="980"/>
      <c r="I450" s="980"/>
      <c r="J450" s="981"/>
      <c r="K450" s="982"/>
      <c r="L450" s="982"/>
      <c r="M450" s="983"/>
      <c r="N450" s="984"/>
      <c r="O450" s="984"/>
      <c r="V450" s="908"/>
      <c r="W450" s="908"/>
      <c r="Z450" s="113"/>
      <c r="AA450" s="113"/>
      <c r="AB450" s="817"/>
      <c r="AC450" s="113"/>
      <c r="AD450" s="113"/>
      <c r="AE450" s="576"/>
      <c r="AF450" s="576"/>
      <c r="AG450" s="576"/>
      <c r="AH450" s="576"/>
      <c r="AI450" s="576"/>
      <c r="AJ450" s="576"/>
      <c r="AK450" s="576"/>
      <c r="AL450" s="576"/>
      <c r="AM450" s="576"/>
    </row>
    <row r="451" spans="1:39" ht="26.25" hidden="1" customHeight="1" outlineLevel="1">
      <c r="B451" s="2739" t="s">
        <v>2485</v>
      </c>
      <c r="C451" s="2740"/>
      <c r="D451" s="1896" t="s">
        <v>2506</v>
      </c>
      <c r="E451" s="980">
        <f>V19+V33+V47+V60+V74+V104+V168+V185+V291+V304</f>
        <v>0</v>
      </c>
      <c r="F451" s="980">
        <f>W19+W33+W47+W60+W74+W104+W168+W185+W291+W304</f>
        <v>0</v>
      </c>
      <c r="G451" s="980">
        <f>X19+X33+X47+X60+X74+X104+X168+X185+X291+X304</f>
        <v>0</v>
      </c>
      <c r="H451" s="980">
        <v>0</v>
      </c>
      <c r="I451" s="980">
        <f>Y19+Y33+Y47+Y60+Y74+Y104+Y168+Y185+Y291+Y304</f>
        <v>0</v>
      </c>
      <c r="J451" s="981">
        <f>SUM(E451:I451)</f>
        <v>0</v>
      </c>
      <c r="K451" s="982">
        <f>AA19+AA33+AA47+AA60+AA74+AA104+AA168+AA185+AA291+AA304</f>
        <v>0</v>
      </c>
      <c r="L451" s="982">
        <v>0</v>
      </c>
      <c r="M451" s="983">
        <f>SQRT(O19^2+O33^2+O47^2+O60^2+O74^2+T104^2+O168^2+O185^2+T291^2+O304^2)</f>
        <v>0</v>
      </c>
      <c r="N451" s="984"/>
      <c r="O451" s="984"/>
      <c r="V451" s="908"/>
      <c r="W451" s="908"/>
      <c r="Z451" s="113"/>
      <c r="AA451" s="113"/>
      <c r="AB451" s="817"/>
      <c r="AC451" s="113"/>
      <c r="AD451" s="113"/>
      <c r="AE451" s="576"/>
      <c r="AF451" s="576"/>
      <c r="AG451" s="576"/>
      <c r="AH451" s="576"/>
      <c r="AI451" s="576"/>
      <c r="AJ451" s="576"/>
      <c r="AK451" s="576"/>
      <c r="AL451" s="576"/>
      <c r="AM451" s="576"/>
    </row>
    <row r="452" spans="1:39" ht="26.25" hidden="1" customHeight="1" outlineLevel="1">
      <c r="B452" s="2739" t="s">
        <v>2484</v>
      </c>
      <c r="C452" s="2740"/>
      <c r="D452" s="1897" t="s">
        <v>2507</v>
      </c>
      <c r="E452" s="980"/>
      <c r="F452" s="980"/>
      <c r="G452" s="980"/>
      <c r="H452" s="980"/>
      <c r="I452" s="980"/>
      <c r="J452" s="981"/>
      <c r="K452" s="982"/>
      <c r="L452" s="982"/>
      <c r="M452" s="983"/>
      <c r="N452" s="984"/>
      <c r="O452" s="984"/>
      <c r="V452" s="908"/>
      <c r="W452" s="908"/>
      <c r="Z452" s="113"/>
      <c r="AA452" s="113"/>
      <c r="AB452" s="817"/>
      <c r="AC452" s="113"/>
      <c r="AD452" s="113"/>
      <c r="AE452" s="576"/>
      <c r="AF452" s="576"/>
      <c r="AG452" s="576"/>
      <c r="AH452" s="576"/>
      <c r="AI452" s="576"/>
      <c r="AJ452" s="576"/>
      <c r="AK452" s="576"/>
      <c r="AL452" s="576"/>
      <c r="AM452" s="576"/>
    </row>
    <row r="453" spans="1:39" ht="26.25" hidden="1" customHeight="1" outlineLevel="1">
      <c r="B453" s="2739" t="s">
        <v>2486</v>
      </c>
      <c r="C453" s="2740"/>
      <c r="D453" s="973" t="s">
        <v>2508</v>
      </c>
      <c r="E453" s="980"/>
      <c r="F453" s="980"/>
      <c r="G453" s="980"/>
      <c r="H453" s="980"/>
      <c r="I453" s="980"/>
      <c r="J453" s="981"/>
      <c r="K453" s="982"/>
      <c r="L453" s="982"/>
      <c r="M453" s="983"/>
      <c r="N453" s="984"/>
      <c r="O453" s="984"/>
      <c r="V453" s="908"/>
      <c r="W453" s="908"/>
      <c r="Z453" s="113"/>
      <c r="AA453" s="113"/>
      <c r="AB453" s="817"/>
      <c r="AC453" s="113"/>
      <c r="AD453" s="113"/>
      <c r="AE453" s="576"/>
      <c r="AF453" s="576"/>
      <c r="AG453" s="576"/>
      <c r="AH453" s="576"/>
      <c r="AI453" s="576"/>
      <c r="AJ453" s="576"/>
      <c r="AK453" s="576"/>
      <c r="AL453" s="576"/>
      <c r="AM453" s="576"/>
    </row>
    <row r="454" spans="1:39" ht="12.75" hidden="1" customHeight="1" outlineLevel="1">
      <c r="B454" s="2722" t="s">
        <v>449</v>
      </c>
      <c r="C454" s="2723"/>
      <c r="D454" s="1898" t="s">
        <v>2509</v>
      </c>
      <c r="E454" s="980">
        <f>V316</f>
        <v>0</v>
      </c>
      <c r="F454" s="980">
        <f>W316</f>
        <v>0</v>
      </c>
      <c r="G454" s="980">
        <f>X316</f>
        <v>0</v>
      </c>
      <c r="H454" s="980">
        <v>0</v>
      </c>
      <c r="I454" s="980">
        <f>Y316</f>
        <v>0</v>
      </c>
      <c r="J454" s="981">
        <f>SUM(E454:I454)</f>
        <v>0</v>
      </c>
      <c r="K454" s="982">
        <f>AA316</f>
        <v>0</v>
      </c>
      <c r="L454" s="982">
        <v>0</v>
      </c>
      <c r="M454" s="983">
        <f>O316</f>
        <v>0</v>
      </c>
      <c r="N454" s="984"/>
      <c r="O454" s="984"/>
      <c r="V454" s="908"/>
      <c r="W454" s="908"/>
      <c r="Z454" s="113"/>
      <c r="AA454" s="113"/>
      <c r="AB454" s="817"/>
      <c r="AC454" s="113"/>
      <c r="AD454" s="113"/>
      <c r="AE454" s="576"/>
      <c r="AF454" s="576"/>
      <c r="AG454" s="576"/>
      <c r="AH454" s="576"/>
      <c r="AI454" s="576"/>
      <c r="AJ454" s="576"/>
      <c r="AK454" s="576"/>
      <c r="AL454" s="576"/>
      <c r="AM454" s="576"/>
    </row>
    <row r="455" spans="1:39" s="418" customFormat="1" ht="12" hidden="1" customHeight="1" outlineLevel="1">
      <c r="A455" s="113"/>
      <c r="B455" s="113"/>
      <c r="C455" s="113"/>
      <c r="D455" s="113"/>
      <c r="E455" s="113"/>
      <c r="F455" s="113"/>
      <c r="G455" s="113"/>
      <c r="H455" s="113"/>
      <c r="I455" s="113"/>
      <c r="J455" s="113"/>
      <c r="K455" s="113"/>
      <c r="L455" s="113"/>
      <c r="M455" s="113"/>
      <c r="N455" s="113"/>
      <c r="O455" s="113"/>
      <c r="U455" s="113"/>
      <c r="V455" s="113"/>
      <c r="W455" s="113"/>
      <c r="X455" s="113"/>
      <c r="Y455" s="113"/>
      <c r="Z455" s="113"/>
      <c r="AA455" s="113"/>
      <c r="AB455" s="113"/>
      <c r="AC455" s="113"/>
      <c r="AD455" s="113"/>
    </row>
    <row r="456" spans="1:39" s="418" customFormat="1">
      <c r="A456" s="113"/>
      <c r="B456" s="113"/>
      <c r="C456" s="113"/>
      <c r="D456" s="113"/>
      <c r="E456" s="113"/>
      <c r="F456" s="113"/>
      <c r="G456" s="113"/>
      <c r="H456" s="113"/>
      <c r="I456" s="113"/>
      <c r="J456" s="113"/>
      <c r="K456" s="113"/>
      <c r="L456" s="113"/>
      <c r="M456" s="113"/>
      <c r="N456" s="113"/>
      <c r="O456" s="113"/>
      <c r="U456" s="113"/>
      <c r="V456" s="113"/>
      <c r="W456" s="113"/>
      <c r="X456" s="113"/>
      <c r="Y456" s="113"/>
      <c r="Z456" s="113"/>
      <c r="AA456" s="113"/>
      <c r="AB456" s="113"/>
      <c r="AC456" s="113"/>
      <c r="AD456" s="113"/>
    </row>
    <row r="457" spans="1:39"/>
    <row r="458" spans="1:39"/>
    <row r="459" spans="1:39"/>
    <row r="460" spans="1:39"/>
    <row r="461" spans="1:39"/>
    <row r="462" spans="1:39"/>
    <row r="463" spans="1:39"/>
    <row r="464" spans="1:39"/>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sheetData>
  <mergeCells count="210">
    <mergeCell ref="B453:C453"/>
    <mergeCell ref="B454:C454"/>
    <mergeCell ref="B447:C447"/>
    <mergeCell ref="B448:C448"/>
    <mergeCell ref="B449:C449"/>
    <mergeCell ref="B450:C450"/>
    <mergeCell ref="B451:C451"/>
    <mergeCell ref="B452:C452"/>
    <mergeCell ref="B430:C430"/>
    <mergeCell ref="B431:D431"/>
    <mergeCell ref="B434:O434"/>
    <mergeCell ref="B444:O444"/>
    <mergeCell ref="E446:M446"/>
    <mergeCell ref="B424:C424"/>
    <mergeCell ref="B425:C425"/>
    <mergeCell ref="B426:C426"/>
    <mergeCell ref="B427:C427"/>
    <mergeCell ref="B428:C428"/>
    <mergeCell ref="B429:C429"/>
    <mergeCell ref="B418:C418"/>
    <mergeCell ref="B419:C419"/>
    <mergeCell ref="B420:C420"/>
    <mergeCell ref="B421:C421"/>
    <mergeCell ref="B422:C422"/>
    <mergeCell ref="B423:C423"/>
    <mergeCell ref="B412:C412"/>
    <mergeCell ref="B413:C413"/>
    <mergeCell ref="B414:D414"/>
    <mergeCell ref="B415:C415"/>
    <mergeCell ref="B416:C416"/>
    <mergeCell ref="B417:C417"/>
    <mergeCell ref="B405:C405"/>
    <mergeCell ref="B406:C406"/>
    <mergeCell ref="O406:O411"/>
    <mergeCell ref="B407:C407"/>
    <mergeCell ref="B408:C408"/>
    <mergeCell ref="B409:C409"/>
    <mergeCell ref="B410:C410"/>
    <mergeCell ref="B411:D411"/>
    <mergeCell ref="B396:C396"/>
    <mergeCell ref="B397:C397"/>
    <mergeCell ref="B398:C398"/>
    <mergeCell ref="B399:D399"/>
    <mergeCell ref="B402:O402"/>
    <mergeCell ref="E404:M404"/>
    <mergeCell ref="B390:O390"/>
    <mergeCell ref="B391:C391"/>
    <mergeCell ref="B392:C392"/>
    <mergeCell ref="B393:C393"/>
    <mergeCell ref="B394:C394"/>
    <mergeCell ref="B395:C395"/>
    <mergeCell ref="B384:C384"/>
    <mergeCell ref="B385:C385"/>
    <mergeCell ref="B386:C386"/>
    <mergeCell ref="B387:C387"/>
    <mergeCell ref="B388:C388"/>
    <mergeCell ref="B389:C389"/>
    <mergeCell ref="B378:C378"/>
    <mergeCell ref="B379:D379"/>
    <mergeCell ref="B380:O380"/>
    <mergeCell ref="B381:C381"/>
    <mergeCell ref="B382:C382"/>
    <mergeCell ref="B383:C383"/>
    <mergeCell ref="B372:C372"/>
    <mergeCell ref="B373:C373"/>
    <mergeCell ref="B374:C374"/>
    <mergeCell ref="B375:C375"/>
    <mergeCell ref="B376:D376"/>
    <mergeCell ref="B377:C377"/>
    <mergeCell ref="B363:C363"/>
    <mergeCell ref="B364:C364"/>
    <mergeCell ref="B365:C365"/>
    <mergeCell ref="B368:O368"/>
    <mergeCell ref="E370:N370"/>
    <mergeCell ref="B371:C371"/>
    <mergeCell ref="B357:C357"/>
    <mergeCell ref="B358:C358"/>
    <mergeCell ref="B359:C359"/>
    <mergeCell ref="B360:C360"/>
    <mergeCell ref="B361:C361"/>
    <mergeCell ref="B362:C362"/>
    <mergeCell ref="B351:C351"/>
    <mergeCell ref="B352:C352"/>
    <mergeCell ref="B353:C353"/>
    <mergeCell ref="B354:C354"/>
    <mergeCell ref="B355:C355"/>
    <mergeCell ref="B356:C356"/>
    <mergeCell ref="B345:C345"/>
    <mergeCell ref="B346:C346"/>
    <mergeCell ref="B347:C347"/>
    <mergeCell ref="B348:C348"/>
    <mergeCell ref="B349:C349"/>
    <mergeCell ref="B350:C350"/>
    <mergeCell ref="B339:C339"/>
    <mergeCell ref="B340:C340"/>
    <mergeCell ref="B341:C341"/>
    <mergeCell ref="B342:C342"/>
    <mergeCell ref="B343:C343"/>
    <mergeCell ref="B344:C344"/>
    <mergeCell ref="B329:C329"/>
    <mergeCell ref="B330:C330"/>
    <mergeCell ref="B332:C332"/>
    <mergeCell ref="B333:C333"/>
    <mergeCell ref="B336:O336"/>
    <mergeCell ref="E338:K338"/>
    <mergeCell ref="B323:C323"/>
    <mergeCell ref="B324:C324"/>
    <mergeCell ref="B325:C325"/>
    <mergeCell ref="B326:C326"/>
    <mergeCell ref="B327:C327"/>
    <mergeCell ref="B328:C328"/>
    <mergeCell ref="V296:AA296"/>
    <mergeCell ref="M311:N311"/>
    <mergeCell ref="B319:O319"/>
    <mergeCell ref="B321:C322"/>
    <mergeCell ref="D321:F321"/>
    <mergeCell ref="H321:I321"/>
    <mergeCell ref="K321:N321"/>
    <mergeCell ref="M299:N299"/>
    <mergeCell ref="B306:O306"/>
    <mergeCell ref="L308:O308"/>
    <mergeCell ref="M172:N172"/>
    <mergeCell ref="M310:N310"/>
    <mergeCell ref="R193:S193"/>
    <mergeCell ref="B294:O294"/>
    <mergeCell ref="L296:O296"/>
    <mergeCell ref="M298:N298"/>
    <mergeCell ref="I193:M193"/>
    <mergeCell ref="G192:G193"/>
    <mergeCell ref="I268:M268"/>
    <mergeCell ref="B8:O8"/>
    <mergeCell ref="L10:O10"/>
    <mergeCell ref="H12:I12"/>
    <mergeCell ref="M12:N12"/>
    <mergeCell ref="D6:E6"/>
    <mergeCell ref="F6:G6"/>
    <mergeCell ref="H6:I6"/>
    <mergeCell ref="J6:K6"/>
    <mergeCell ref="L6:M6"/>
    <mergeCell ref="N6:O6"/>
    <mergeCell ref="D5:E5"/>
    <mergeCell ref="F5:G5"/>
    <mergeCell ref="H5:I5"/>
    <mergeCell ref="J5:K5"/>
    <mergeCell ref="L5:M5"/>
    <mergeCell ref="N5:O5"/>
    <mergeCell ref="B2:O2"/>
    <mergeCell ref="D4:E4"/>
    <mergeCell ref="F4:G4"/>
    <mergeCell ref="H4:I4"/>
    <mergeCell ref="J4:K4"/>
    <mergeCell ref="L4:M4"/>
    <mergeCell ref="N4:O4"/>
    <mergeCell ref="V10:AA10"/>
    <mergeCell ref="AC39:AD39"/>
    <mergeCell ref="V38:AA38"/>
    <mergeCell ref="V52:AA52"/>
    <mergeCell ref="AC53:AD53"/>
    <mergeCell ref="V65:AA65"/>
    <mergeCell ref="AC66:AD66"/>
    <mergeCell ref="V79:AA79"/>
    <mergeCell ref="AC80:AD80"/>
    <mergeCell ref="AC11:AD11"/>
    <mergeCell ref="V109:AA109"/>
    <mergeCell ref="AC110:AD110"/>
    <mergeCell ref="M27:N27"/>
    <mergeCell ref="B36:O36"/>
    <mergeCell ref="L38:O38"/>
    <mergeCell ref="M40:N40"/>
    <mergeCell ref="M13:N13"/>
    <mergeCell ref="B22:O22"/>
    <mergeCell ref="L24:O24"/>
    <mergeCell ref="H26:I26"/>
    <mergeCell ref="M26:N26"/>
    <mergeCell ref="M55:N55"/>
    <mergeCell ref="B63:O63"/>
    <mergeCell ref="L65:O65"/>
    <mergeCell ref="M67:N67"/>
    <mergeCell ref="M41:N41"/>
    <mergeCell ref="B50:O50"/>
    <mergeCell ref="L52:O52"/>
    <mergeCell ref="M54:N54"/>
    <mergeCell ref="R82:S82"/>
    <mergeCell ref="B107:O107"/>
    <mergeCell ref="L109:O109"/>
    <mergeCell ref="M68:N68"/>
    <mergeCell ref="V170:AA170"/>
    <mergeCell ref="AC171:AD171"/>
    <mergeCell ref="AC297:AD297"/>
    <mergeCell ref="V308:AA308"/>
    <mergeCell ref="AC309:AD309"/>
    <mergeCell ref="AC191:AD191"/>
    <mergeCell ref="V190:AA190"/>
    <mergeCell ref="I213:M213"/>
    <mergeCell ref="V24:AA24"/>
    <mergeCell ref="AC25:AD25"/>
    <mergeCell ref="M111:N111"/>
    <mergeCell ref="B77:O77"/>
    <mergeCell ref="Q79:T79"/>
    <mergeCell ref="R81:S81"/>
    <mergeCell ref="I89:L89"/>
    <mergeCell ref="J90:K90"/>
    <mergeCell ref="I96:M96"/>
    <mergeCell ref="J97:K97"/>
    <mergeCell ref="M173:N173"/>
    <mergeCell ref="B188:O188"/>
    <mergeCell ref="Q190:T190"/>
    <mergeCell ref="R192:S192"/>
    <mergeCell ref="M112:N112"/>
    <mergeCell ref="L170:O170"/>
  </mergeCells>
  <dataValidations count="37">
    <dataValidation type="list" allowBlank="1" showInputMessage="1" showErrorMessage="1" sqref="B300:B302 B312:B314" xr:uid="{00000000-0002-0000-0600-000000000000}">
      <formula1>FE_Intrants_Ratios</formula1>
    </dataValidation>
    <dataValidation type="list" allowBlank="1" showInputMessage="1" showErrorMessage="1" sqref="B195:B201" xr:uid="{00000000-0002-0000-0600-000001000000}">
      <formula1>FE_Intrants_Equipements_electriques</formula1>
    </dataValidation>
    <dataValidation type="list" allowBlank="1" showInputMessage="1" showErrorMessage="1" sqref="B180:B183" xr:uid="{00000000-0002-0000-0600-000002000000}">
      <formula1>FE_Intrants_Boisson</formula1>
    </dataValidation>
    <dataValidation type="list" allowBlank="1" showInputMessage="1" showErrorMessage="1" sqref="B148:B152" xr:uid="{00000000-0002-0000-0600-000003000000}">
      <formula1>FE_Intrants_Fruits_légumes_oléagineux</formula1>
    </dataValidation>
    <dataValidation type="list" allowBlank="1" showInputMessage="1" showErrorMessage="1" sqref="B141:B145" xr:uid="{00000000-0002-0000-0600-000004000000}">
      <formula1>FE_Intrants_Entrées_Plats_composés</formula1>
    </dataValidation>
    <dataValidation type="list" allowBlank="1" showInputMessage="1" showErrorMessage="1" sqref="B174:B176" xr:uid="{00000000-0002-0000-0600-000005000000}">
      <formula1>FE_Intrants_Repas</formula1>
    </dataValidation>
    <dataValidation type="list" allowBlank="1" showInputMessage="1" showErrorMessage="1" sqref="B134:B138" xr:uid="{00000000-0002-0000-0600-000006000000}">
      <formula1>FE_Intrants_Produits_céréaliers</formula1>
    </dataValidation>
    <dataValidation type="list" allowBlank="1" showInputMessage="1" showErrorMessage="1" sqref="B127:B131" xr:uid="{00000000-0002-0000-0600-000007000000}">
      <formula1>FE_Intrants_Produits_Végétaux</formula1>
    </dataValidation>
    <dataValidation type="list" allowBlank="1" showInputMessage="1" showErrorMessage="1" sqref="B113:B117" xr:uid="{00000000-0002-0000-0600-000008000000}">
      <formula1>FE_Intrants_Produits_Animaux</formula1>
    </dataValidation>
    <dataValidation type="list" allowBlank="1" showInputMessage="1" showErrorMessage="1" sqref="B120:B124" xr:uid="{00000000-0002-0000-0600-000009000000}">
      <formula1>FE_Intrants_Produits_Mer</formula1>
    </dataValidation>
    <dataValidation type="list" allowBlank="1" showInputMessage="1" showErrorMessage="1" sqref="B83:B86" xr:uid="{00000000-0002-0000-0600-00000A000000}">
      <formula1>FE_Intrants_Produits_Chimiques</formula1>
    </dataValidation>
    <dataValidation type="list" allowBlank="1" showInputMessage="1" showErrorMessage="1" sqref="B69:B72" xr:uid="{00000000-0002-0000-0600-00000B000000}">
      <formula1>FE_Intrants_Matériaux_Construction</formula1>
    </dataValidation>
    <dataValidation type="list" allowBlank="1" showInputMessage="1" showErrorMessage="1" sqref="B56:B58" xr:uid="{00000000-0002-0000-0600-00000C000000}">
      <formula1>FE_Intrants_Papier_Carton</formula1>
    </dataValidation>
    <dataValidation type="list" allowBlank="1" showInputMessage="1" showErrorMessage="1" sqref="B42:B45" xr:uid="{00000000-0002-0000-0600-00000D000000}">
      <formula1>FE_Intrants_Verre</formula1>
    </dataValidation>
    <dataValidation type="list" allowBlank="1" showInputMessage="1" showErrorMessage="1" sqref="B28:B31" xr:uid="{00000000-0002-0000-0600-00000E000000}">
      <formula1>FE_Intrants_Plastique</formula1>
    </dataValidation>
    <dataValidation type="list" allowBlank="1" showInputMessage="1" showErrorMessage="1" sqref="M14:M17 M28:M31 M42:M45 M56:M58 M69:M72 R262:R266 R98:R102 M113:M117 M174:M184 M312:M315 M300:M303 R195:R201 R204:R205 R215:R219 R222:R226 R229:R232 R237:R239 R242:R244 R247:R249 R252:R254 R208:R212 R257:R260 R83:R86 R91:R95 M120:M152 M161:M166 M154:M159 R276:R290" xr:uid="{00000000-0002-0000-0600-00000F000000}">
      <formula1>Choix_Incertitudes</formula1>
    </dataValidation>
    <dataValidation type="list" allowBlank="1" showInputMessage="1" showErrorMessage="1" sqref="B14:B17" xr:uid="{00000000-0002-0000-0600-000010000000}">
      <formula1>FE_Intrants_Métaux</formula1>
    </dataValidation>
    <dataValidation allowBlank="1" showInputMessage="1" showErrorMessage="1" sqref="B133 C14:C17 C28:C31 C42:C45 C56:C58 C69:C72 C83:C102 C300:C303 B126 C312:C315 B161 B140 C154:C159 C173:C183 C113:C152 C161:C166 B147 B154 C195:C259" xr:uid="{00000000-0002-0000-0600-000011000000}"/>
    <dataValidation type="list" allowBlank="1" showInputMessage="1" showErrorMessage="1" sqref="B204:B205" xr:uid="{00000000-0002-0000-0600-000012000000}">
      <formula1>FE_Intrants_Bois</formula1>
    </dataValidation>
    <dataValidation type="list" allowBlank="1" showInputMessage="1" showErrorMessage="1" sqref="B215:B219" xr:uid="{00000000-0002-0000-0600-000013000000}">
      <formula1>FE_Intrants_Electroménager</formula1>
    </dataValidation>
    <dataValidation type="list" allowBlank="1" showInputMessage="1" showErrorMessage="1" sqref="B222:B226" xr:uid="{00000000-0002-0000-0600-000014000000}">
      <formula1>FE_Intrants_Informatique_équipements_électroniques</formula1>
    </dataValidation>
    <dataValidation type="list" allowBlank="1" showInputMessage="1" showErrorMessage="1" sqref="B229:B232" xr:uid="{00000000-0002-0000-0600-000015000000}">
      <formula1>FE_Intrants_Mobilier</formula1>
    </dataValidation>
    <dataValidation type="list" allowBlank="1" showInputMessage="1" showErrorMessage="1" sqref="B237:B239" xr:uid="{00000000-0002-0000-0600-000016000000}">
      <formula1>FE_Intrants_Textile_Habillement_coton</formula1>
    </dataValidation>
    <dataValidation type="list" allowBlank="1" showInputMessage="1" showErrorMessage="1" sqref="B242:B244" xr:uid="{00000000-0002-0000-0600-000017000000}">
      <formula1>FE_Intrants_Textile_Habillement_cuir</formula1>
    </dataValidation>
    <dataValidation type="list" allowBlank="1" showInputMessage="1" showErrorMessage="1" sqref="B247:B249" xr:uid="{00000000-0002-0000-0600-000018000000}">
      <formula1>FE_Intrants_Textile_Habillement_synthétique</formula1>
    </dataValidation>
    <dataValidation type="list" allowBlank="1" showInputMessage="1" showErrorMessage="1" sqref="B252:B254" xr:uid="{00000000-0002-0000-0600-000019000000}">
      <formula1>FE_Intrants_Textile_Habillement_autres</formula1>
    </dataValidation>
    <dataValidation type="list" allowBlank="1" showInputMessage="1" showErrorMessage="1" sqref="B257:B259" xr:uid="{00000000-0002-0000-0600-00001A000000}">
      <formula1>FE_Intrants_Articles_sport</formula1>
    </dataValidation>
    <dataValidation type="list" allowBlank="1" showInputMessage="1" showErrorMessage="1" sqref="B208:B212" xr:uid="{00000000-0002-0000-0600-00001B000000}">
      <formula1>FE_Intrants_Consommables_de_bureau</formula1>
    </dataValidation>
    <dataValidation type="list" allowBlank="1" showInputMessage="1" showErrorMessage="1" sqref="B276:B280" xr:uid="{00000000-0002-0000-0600-00001C000000}">
      <formula1>FE_Intrants_Services</formula1>
    </dataValidation>
    <dataValidation type="list" allowBlank="1" showInputMessage="1" showErrorMessage="1" sqref="B262:B266" xr:uid="{00000000-0002-0000-0600-00001D000000}">
      <formula1>FE_Intrants_Viticulture</formula1>
    </dataValidation>
    <dataValidation type="list" allowBlank="1" showInputMessage="1" showErrorMessage="1" sqref="B91:B95" xr:uid="{00000000-0002-0000-0600-00001E000000}">
      <formula1>FE_Intrants_Hydrogène_production</formula1>
    </dataValidation>
    <dataValidation type="list" allowBlank="1" showInputMessage="1" showErrorMessage="1" sqref="B98:B102" xr:uid="{00000000-0002-0000-0600-00001F000000}">
      <formula1>FE_Intrants_Hydrogène_distribution</formula1>
    </dataValidation>
    <dataValidation type="list" allowBlank="1" showInputMessage="1" showErrorMessage="1" sqref="B270:B273" xr:uid="{00000000-0002-0000-0600-000020000000}">
      <formula1>FE_Intrants_Véhicules_matériels_transport</formula1>
    </dataValidation>
    <dataValidation type="list" allowBlank="1" showInputMessage="1" showErrorMessage="1" sqref="B283:B284" xr:uid="{00000000-0002-0000-0600-000021000000}">
      <formula1>FE_Intrants_Traitement_Distribution_eau</formula1>
    </dataValidation>
    <dataValidation type="list" allowBlank="1" showInputMessage="1" showErrorMessage="1" sqref="B155:B159" xr:uid="{00000000-0002-0000-0600-000022000000}">
      <formula1>FE_Intrants_Cultures_produits_végétaux</formula1>
    </dataValidation>
    <dataValidation type="list" allowBlank="1" showInputMessage="1" showErrorMessage="1" sqref="B162:B166" xr:uid="{00000000-0002-0000-0600-000023000000}">
      <formula1>FE_Intrants_Autres_produits_végétaux</formula1>
    </dataValidation>
    <dataValidation type="list" allowBlank="1" showInputMessage="1" showErrorMessage="1" sqref="B287:B289" xr:uid="{00000000-0002-0000-0600-000024000000}">
      <formula1>FE_Intrants_Tourbes</formula1>
    </dataValidation>
  </dataValidations>
  <hyperlinks>
    <hyperlink ref="D4" location="intrants_metaux" display="metaux" xr:uid="{00000000-0004-0000-0600-000000000000}"/>
    <hyperlink ref="F4" location="intrants_plastiques" display="plastiques" xr:uid="{00000000-0004-0000-0600-000001000000}"/>
    <hyperlink ref="H4" location="intrants_Verre" display="verre" xr:uid="{00000000-0004-0000-0600-000002000000}"/>
    <hyperlink ref="J4" location="intrants_Papiers" display="papier" xr:uid="{00000000-0004-0000-0600-000003000000}"/>
    <hyperlink ref="L4" location="intrants_Matériaux_de_construction" display="construction" xr:uid="{00000000-0004-0000-0600-000004000000}"/>
    <hyperlink ref="N4" location="intrants_chimie" display="chimie" xr:uid="{00000000-0004-0000-0600-000005000000}"/>
    <hyperlink ref="D5" location="intrants_Produits_agricoles" display="agricole" xr:uid="{00000000-0004-0000-0600-000006000000}"/>
    <hyperlink ref="F5" location="intrants_ratios" display="ratios€" xr:uid="{00000000-0004-0000-0600-000007000000}"/>
    <hyperlink ref="D6" location="intrants_total" display="total" xr:uid="{00000000-0004-0000-0600-000008000000}"/>
    <hyperlink ref="H5" location="intrants_Puits" display="puits" xr:uid="{00000000-0004-0000-0600-000009000000}"/>
    <hyperlink ref="F6" location="intrants_bilanGES" display="bilan GES" xr:uid="{00000000-0004-0000-0600-00000A000000}"/>
    <hyperlink ref="H6" location="intrants_GHGProtocol" display="GHG Protocol" xr:uid="{00000000-0004-0000-0600-00000B000000}"/>
    <hyperlink ref="N6:O6" location="Descriptif!A1" display="Descriptif" xr:uid="{00000000-0004-0000-0600-00000C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5" id="{62115AE8-DC4F-422F-957B-1A0187BCF4B8}">
            <xm:f>$M14=Utilitaires!$N$572</xm:f>
            <x14:dxf>
              <fill>
                <patternFill>
                  <bgColor theme="0"/>
                </patternFill>
              </fill>
              <border>
                <left style="thin">
                  <color auto="1"/>
                </left>
                <right style="thin">
                  <color auto="1"/>
                </right>
                <top style="thin">
                  <color auto="1"/>
                </top>
                <bottom style="thin">
                  <color auto="1"/>
                </bottom>
                <vertical/>
                <horizontal/>
              </border>
            </x14:dxf>
          </x14:cfRule>
          <xm:sqref>N14:N17</xm:sqref>
        </x14:conditionalFormatting>
        <x14:conditionalFormatting xmlns:xm="http://schemas.microsoft.com/office/excel/2006/main">
          <x14:cfRule type="expression" priority="44" id="{E2948890-F339-43D2-9A26-8EFD6E69D6F5}">
            <xm:f>$M28=Utilitaires!$N$572</xm:f>
            <x14:dxf>
              <fill>
                <patternFill>
                  <bgColor theme="0"/>
                </patternFill>
              </fill>
              <border>
                <left style="thin">
                  <color auto="1"/>
                </left>
                <right style="thin">
                  <color auto="1"/>
                </right>
                <top style="thin">
                  <color auto="1"/>
                </top>
                <bottom style="thin">
                  <color auto="1"/>
                </bottom>
                <vertical/>
                <horizontal/>
              </border>
            </x14:dxf>
          </x14:cfRule>
          <xm:sqref>N28:N31</xm:sqref>
        </x14:conditionalFormatting>
        <x14:conditionalFormatting xmlns:xm="http://schemas.microsoft.com/office/excel/2006/main">
          <x14:cfRule type="expression" priority="43" id="{59139720-E29F-41A2-A473-BCB4B9841136}">
            <xm:f>$M42=Utilitaires!$N$572</xm:f>
            <x14:dxf>
              <fill>
                <patternFill>
                  <bgColor theme="0"/>
                </patternFill>
              </fill>
              <border>
                <left style="thin">
                  <color auto="1"/>
                </left>
                <right style="thin">
                  <color auto="1"/>
                </right>
                <top style="thin">
                  <color auto="1"/>
                </top>
                <bottom style="thin">
                  <color auto="1"/>
                </bottom>
                <vertical/>
                <horizontal/>
              </border>
            </x14:dxf>
          </x14:cfRule>
          <xm:sqref>N42:N45</xm:sqref>
        </x14:conditionalFormatting>
        <x14:conditionalFormatting xmlns:xm="http://schemas.microsoft.com/office/excel/2006/main">
          <x14:cfRule type="expression" priority="42" id="{3D2EE2E7-27DF-4F66-B2E9-C5FFA6CCE419}">
            <xm:f>$M56=Utilitaires!$N$572</xm:f>
            <x14:dxf>
              <fill>
                <patternFill>
                  <bgColor theme="0"/>
                </patternFill>
              </fill>
              <border>
                <left style="thin">
                  <color auto="1"/>
                </left>
                <right style="thin">
                  <color auto="1"/>
                </right>
                <top style="thin">
                  <color auto="1"/>
                </top>
                <bottom style="thin">
                  <color auto="1"/>
                </bottom>
                <vertical/>
                <horizontal/>
              </border>
            </x14:dxf>
          </x14:cfRule>
          <xm:sqref>N56:N58</xm:sqref>
        </x14:conditionalFormatting>
        <x14:conditionalFormatting xmlns:xm="http://schemas.microsoft.com/office/excel/2006/main">
          <x14:cfRule type="expression" priority="41" id="{CA668306-6E45-4517-B9D9-D5FF176AA095}">
            <xm:f>$M69=Utilitaires!$N$572</xm:f>
            <x14:dxf>
              <fill>
                <patternFill>
                  <bgColor theme="0"/>
                </patternFill>
              </fill>
              <border>
                <left style="thin">
                  <color auto="1"/>
                </left>
                <right style="thin">
                  <color auto="1"/>
                </right>
                <top style="thin">
                  <color auto="1"/>
                </top>
                <bottom style="thin">
                  <color auto="1"/>
                </bottom>
                <vertical/>
                <horizontal/>
              </border>
            </x14:dxf>
          </x14:cfRule>
          <xm:sqref>N69:N72</xm:sqref>
        </x14:conditionalFormatting>
        <x14:conditionalFormatting xmlns:xm="http://schemas.microsoft.com/office/excel/2006/main">
          <x14:cfRule type="expression" priority="38" id="{97CF51C0-7D4A-4A92-A749-AB41ACA85ACF}">
            <xm:f>$M125=Utilitaires!$N$572</xm:f>
            <x14:dxf>
              <fill>
                <patternFill>
                  <bgColor theme="0"/>
                </patternFill>
              </fill>
              <border>
                <left style="thin">
                  <color auto="1"/>
                </left>
                <right style="thin">
                  <color auto="1"/>
                </right>
                <top style="thin">
                  <color auto="1"/>
                </top>
                <bottom style="thin">
                  <color auto="1"/>
                </bottom>
                <vertical/>
                <horizontal/>
              </border>
            </x14:dxf>
          </x14:cfRule>
          <xm:sqref>N125:N126</xm:sqref>
        </x14:conditionalFormatting>
        <x14:conditionalFormatting xmlns:xm="http://schemas.microsoft.com/office/excel/2006/main">
          <x14:cfRule type="expression" priority="37" id="{3FF6C9B2-51F4-4B7E-A38D-EF0DA8540052}">
            <xm:f>$M132=Utilitaires!$N$572</xm:f>
            <x14:dxf>
              <fill>
                <patternFill>
                  <bgColor theme="0"/>
                </patternFill>
              </fill>
              <border>
                <left style="thin">
                  <color auto="1"/>
                </left>
                <right style="thin">
                  <color auto="1"/>
                </right>
                <top style="thin">
                  <color auto="1"/>
                </top>
                <bottom style="thin">
                  <color auto="1"/>
                </bottom>
                <vertical/>
                <horizontal/>
              </border>
            </x14:dxf>
          </x14:cfRule>
          <xm:sqref>N132:N133</xm:sqref>
        </x14:conditionalFormatting>
        <x14:conditionalFormatting xmlns:xm="http://schemas.microsoft.com/office/excel/2006/main">
          <x14:cfRule type="expression" priority="39" id="{52BAE62B-3190-4752-BBAC-0EFCF47C828A}">
            <xm:f>$M113=Utilitaires!$N$572</xm:f>
            <x14:dxf>
              <fill>
                <patternFill>
                  <bgColor theme="0"/>
                </patternFill>
              </fill>
              <border>
                <left style="thin">
                  <color auto="1"/>
                </left>
                <right style="thin">
                  <color auto="1"/>
                </right>
                <top style="thin">
                  <color auto="1"/>
                </top>
                <bottom style="thin">
                  <color auto="1"/>
                </bottom>
                <vertical/>
                <horizontal/>
              </border>
            </x14:dxf>
          </x14:cfRule>
          <xm:sqref>N113:N124 N127:N131 N134:N138</xm:sqref>
        </x14:conditionalFormatting>
        <x14:conditionalFormatting xmlns:xm="http://schemas.microsoft.com/office/excel/2006/main">
          <x14:cfRule type="expression" priority="35" id="{70DA6783-FE7D-4BEE-953A-FC78F3AD8CB7}">
            <xm:f>$M177=Utilitaires!$N$572</xm:f>
            <x14:dxf>
              <fill>
                <patternFill>
                  <bgColor theme="0"/>
                </patternFill>
              </fill>
              <border>
                <left style="thin">
                  <color auto="1"/>
                </left>
                <right style="thin">
                  <color auto="1"/>
                </right>
                <top style="thin">
                  <color auto="1"/>
                </top>
                <bottom style="thin">
                  <color auto="1"/>
                </bottom>
                <vertical/>
                <horizontal/>
              </border>
            </x14:dxf>
          </x14:cfRule>
          <xm:sqref>N177:N179</xm:sqref>
        </x14:conditionalFormatting>
        <x14:conditionalFormatting xmlns:xm="http://schemas.microsoft.com/office/excel/2006/main">
          <x14:cfRule type="expression" priority="36" id="{E0984E69-D528-43CC-B444-8EDE0E73A170}">
            <xm:f>$M174=Utilitaires!$N$572</xm:f>
            <x14:dxf>
              <fill>
                <patternFill>
                  <bgColor theme="0"/>
                </patternFill>
              </fill>
              <border>
                <left style="thin">
                  <color auto="1"/>
                </left>
                <right style="thin">
                  <color auto="1"/>
                </right>
                <top style="thin">
                  <color auto="1"/>
                </top>
                <bottom style="thin">
                  <color auto="1"/>
                </bottom>
                <vertical/>
                <horizontal/>
              </border>
            </x14:dxf>
          </x14:cfRule>
          <xm:sqref>N174:N176 N180</xm:sqref>
        </x14:conditionalFormatting>
        <x14:conditionalFormatting xmlns:xm="http://schemas.microsoft.com/office/excel/2006/main">
          <x14:cfRule type="expression" priority="34" id="{A425974C-9901-454F-99F7-65E7D703CE4D}">
            <xm:f>$M184=Utilitaires!$N$572</xm:f>
            <x14:dxf>
              <fill>
                <patternFill>
                  <bgColor theme="0"/>
                </patternFill>
              </fill>
              <border>
                <left style="thin">
                  <color auto="1"/>
                </left>
                <right style="thin">
                  <color auto="1"/>
                </right>
                <top style="thin">
                  <color auto="1"/>
                </top>
                <bottom style="thin">
                  <color auto="1"/>
                </bottom>
                <vertical/>
                <horizontal/>
              </border>
            </x14:dxf>
          </x14:cfRule>
          <xm:sqref>N184</xm:sqref>
        </x14:conditionalFormatting>
        <x14:conditionalFormatting xmlns:xm="http://schemas.microsoft.com/office/excel/2006/main">
          <x14:cfRule type="expression" priority="33" id="{BD7644FB-05E4-4D7D-AD8B-0F9A0E9AA674}">
            <xm:f>$M141=Utilitaires!$N$572</xm:f>
            <x14:dxf>
              <fill>
                <patternFill>
                  <bgColor theme="0"/>
                </patternFill>
              </fill>
              <border>
                <left style="thin">
                  <color auto="1"/>
                </left>
                <right style="thin">
                  <color auto="1"/>
                </right>
                <top style="thin">
                  <color auto="1"/>
                </top>
                <bottom style="thin">
                  <color auto="1"/>
                </bottom>
                <vertical/>
                <horizontal/>
              </border>
            </x14:dxf>
          </x14:cfRule>
          <xm:sqref>N141:N145</xm:sqref>
        </x14:conditionalFormatting>
        <x14:conditionalFormatting xmlns:xm="http://schemas.microsoft.com/office/excel/2006/main">
          <x14:cfRule type="expression" priority="32" id="{430D27DD-0622-4B2C-9779-8495205BBD24}">
            <xm:f>$M139=Utilitaires!$N$572</xm:f>
            <x14:dxf>
              <fill>
                <patternFill>
                  <bgColor theme="0"/>
                </patternFill>
              </fill>
              <border>
                <left style="thin">
                  <color auto="1"/>
                </left>
                <right style="thin">
                  <color auto="1"/>
                </right>
                <top style="thin">
                  <color auto="1"/>
                </top>
                <bottom style="thin">
                  <color auto="1"/>
                </bottom>
                <vertical/>
                <horizontal/>
              </border>
            </x14:dxf>
          </x14:cfRule>
          <xm:sqref>N139:N140</xm:sqref>
        </x14:conditionalFormatting>
        <x14:conditionalFormatting xmlns:xm="http://schemas.microsoft.com/office/excel/2006/main">
          <x14:cfRule type="expression" priority="30" id="{41EB2B07-6209-4FB9-82D1-3D689282E0B5}">
            <xm:f>$M146=Utilitaires!$N$572</xm:f>
            <x14:dxf>
              <fill>
                <patternFill>
                  <bgColor theme="0"/>
                </patternFill>
              </fill>
              <border>
                <left style="thin">
                  <color auto="1"/>
                </left>
                <right style="thin">
                  <color auto="1"/>
                </right>
                <top style="thin">
                  <color auto="1"/>
                </top>
                <bottom style="thin">
                  <color auto="1"/>
                </bottom>
                <vertical/>
                <horizontal/>
              </border>
            </x14:dxf>
          </x14:cfRule>
          <xm:sqref>N146 N161</xm:sqref>
        </x14:conditionalFormatting>
        <x14:conditionalFormatting xmlns:xm="http://schemas.microsoft.com/office/excel/2006/main">
          <x14:cfRule type="expression" priority="31" id="{0A05FB23-611F-4A83-9E73-C58B415732F1}">
            <xm:f>$M162=Utilitaires!$N$572</xm:f>
            <x14:dxf>
              <fill>
                <patternFill>
                  <bgColor theme="0"/>
                </patternFill>
              </fill>
              <border>
                <left style="thin">
                  <color auto="1"/>
                </left>
                <right style="thin">
                  <color auto="1"/>
                </right>
                <top style="thin">
                  <color auto="1"/>
                </top>
                <bottom style="thin">
                  <color auto="1"/>
                </bottom>
                <vertical/>
                <horizontal/>
              </border>
            </x14:dxf>
          </x14:cfRule>
          <xm:sqref>N162:N166</xm:sqref>
        </x14:conditionalFormatting>
        <x14:conditionalFormatting xmlns:xm="http://schemas.microsoft.com/office/excel/2006/main">
          <x14:cfRule type="expression" priority="29" id="{5540F4A1-F53D-4DE5-9D39-0002C3D655B4}">
            <xm:f>$M183=Utilitaires!$N$572</xm:f>
            <x14:dxf>
              <fill>
                <patternFill>
                  <bgColor theme="0"/>
                </patternFill>
              </fill>
              <border>
                <left style="thin">
                  <color auto="1"/>
                </left>
                <right style="thin">
                  <color auto="1"/>
                </right>
                <top style="thin">
                  <color auto="1"/>
                </top>
                <bottom style="thin">
                  <color auto="1"/>
                </bottom>
                <vertical/>
                <horizontal/>
              </border>
            </x14:dxf>
          </x14:cfRule>
          <xm:sqref>N183</xm:sqref>
        </x14:conditionalFormatting>
        <x14:conditionalFormatting xmlns:xm="http://schemas.microsoft.com/office/excel/2006/main">
          <x14:cfRule type="expression" priority="28" id="{6FC2F097-02FB-4AE1-BB6C-E70315A86268}">
            <xm:f>$M181=Utilitaires!$N$572</xm:f>
            <x14:dxf>
              <fill>
                <patternFill>
                  <bgColor theme="0"/>
                </patternFill>
              </fill>
              <border>
                <left style="thin">
                  <color auto="1"/>
                </left>
                <right style="thin">
                  <color auto="1"/>
                </right>
                <top style="thin">
                  <color auto="1"/>
                </top>
                <bottom style="thin">
                  <color auto="1"/>
                </bottom>
                <vertical/>
                <horizontal/>
              </border>
            </x14:dxf>
          </x14:cfRule>
          <xm:sqref>N181</xm:sqref>
        </x14:conditionalFormatting>
        <x14:conditionalFormatting xmlns:xm="http://schemas.microsoft.com/office/excel/2006/main">
          <x14:cfRule type="expression" priority="27" id="{A694E8DC-85E6-4658-94D8-02EE1443F44B}">
            <xm:f>$M182=Utilitaires!$N$572</xm:f>
            <x14:dxf>
              <fill>
                <patternFill>
                  <bgColor theme="0"/>
                </patternFill>
              </fill>
              <border>
                <left style="thin">
                  <color auto="1"/>
                </left>
                <right style="thin">
                  <color auto="1"/>
                </right>
                <top style="thin">
                  <color auto="1"/>
                </top>
                <bottom style="thin">
                  <color auto="1"/>
                </bottom>
                <vertical/>
                <horizontal/>
              </border>
            </x14:dxf>
          </x14:cfRule>
          <xm:sqref>N182</xm:sqref>
        </x14:conditionalFormatting>
        <x14:conditionalFormatting xmlns:xm="http://schemas.microsoft.com/office/excel/2006/main">
          <x14:cfRule type="expression" priority="23" id="{7B4F5A65-BFB8-4BB1-BC61-70A5DAE053AC}">
            <xm:f>$M303=Utilitaires!$N$572</xm:f>
            <x14:dxf>
              <fill>
                <patternFill>
                  <bgColor theme="0"/>
                </patternFill>
              </fill>
              <border>
                <left style="thin">
                  <color auto="1"/>
                </left>
                <right style="thin">
                  <color auto="1"/>
                </right>
                <top style="thin">
                  <color auto="1"/>
                </top>
                <bottom style="thin">
                  <color auto="1"/>
                </bottom>
                <vertical/>
                <horizontal/>
              </border>
            </x14:dxf>
          </x14:cfRule>
          <xm:sqref>N303</xm:sqref>
        </x14:conditionalFormatting>
        <x14:conditionalFormatting xmlns:xm="http://schemas.microsoft.com/office/excel/2006/main">
          <x14:cfRule type="expression" priority="24" id="{59979C1B-E52E-4AE1-9A93-97FE6E330284}">
            <xm:f>$M300=Utilitaires!$N$572</xm:f>
            <x14:dxf>
              <fill>
                <patternFill>
                  <bgColor theme="0"/>
                </patternFill>
              </fill>
              <border>
                <left style="thin">
                  <color auto="1"/>
                </left>
                <right style="thin">
                  <color auto="1"/>
                </right>
                <top style="thin">
                  <color auto="1"/>
                </top>
                <bottom style="thin">
                  <color auto="1"/>
                </bottom>
                <vertical/>
                <horizontal/>
              </border>
            </x14:dxf>
          </x14:cfRule>
          <xm:sqref>N300:N302</xm:sqref>
        </x14:conditionalFormatting>
        <x14:conditionalFormatting xmlns:xm="http://schemas.microsoft.com/office/excel/2006/main">
          <x14:cfRule type="expression" priority="21" id="{AE194EFE-E7F6-4A9C-A3D6-2C89719A8361}">
            <xm:f>$M315=Utilitaires!$N$572</xm:f>
            <x14:dxf>
              <fill>
                <patternFill>
                  <bgColor theme="0"/>
                </patternFill>
              </fill>
              <border>
                <left style="thin">
                  <color auto="1"/>
                </left>
                <right style="thin">
                  <color auto="1"/>
                </right>
                <top style="thin">
                  <color auto="1"/>
                </top>
                <bottom style="thin">
                  <color auto="1"/>
                </bottom>
                <vertical/>
                <horizontal/>
              </border>
            </x14:dxf>
          </x14:cfRule>
          <xm:sqref>N315</xm:sqref>
        </x14:conditionalFormatting>
        <x14:conditionalFormatting xmlns:xm="http://schemas.microsoft.com/office/excel/2006/main">
          <x14:cfRule type="expression" priority="22" id="{BABD85B2-597F-43C5-8C86-00E055874E9A}">
            <xm:f>$M312=Utilitaires!$N$572</xm:f>
            <x14:dxf>
              <fill>
                <patternFill>
                  <bgColor theme="0"/>
                </patternFill>
              </fill>
              <border>
                <left style="thin">
                  <color auto="1"/>
                </left>
                <right style="thin">
                  <color auto="1"/>
                </right>
                <top style="thin">
                  <color auto="1"/>
                </top>
                <bottom style="thin">
                  <color auto="1"/>
                </bottom>
                <vertical/>
                <horizontal/>
              </border>
            </x14:dxf>
          </x14:cfRule>
          <xm:sqref>N312:N314</xm:sqref>
        </x14:conditionalFormatting>
        <x14:conditionalFormatting xmlns:xm="http://schemas.microsoft.com/office/excel/2006/main">
          <x14:cfRule type="expression" priority="420" id="{359549C1-528A-492F-A5C6-85AEB717C9B8}">
            <xm:f>$R195=Utilitaires!$N$572</xm:f>
            <x14:dxf>
              <fill>
                <patternFill>
                  <bgColor theme="0"/>
                </patternFill>
              </fill>
              <border>
                <left style="thin">
                  <color auto="1"/>
                </left>
                <right style="thin">
                  <color auto="1"/>
                </right>
                <top style="thin">
                  <color auto="1"/>
                </top>
                <bottom style="thin">
                  <color auto="1"/>
                </bottom>
                <vertical/>
                <horizontal/>
              </border>
            </x14:dxf>
          </x14:cfRule>
          <xm:sqref>S195:S206 R213:R214 S213:S260 S281:S290</xm:sqref>
        </x14:conditionalFormatting>
        <x14:conditionalFormatting xmlns:xm="http://schemas.microsoft.com/office/excel/2006/main">
          <x14:cfRule type="expression" priority="20" id="{C167495B-7E57-45C4-9A0C-FE70E2B2D880}">
            <xm:f>$R206=Utilitaires!$N$572</xm:f>
            <x14:dxf>
              <fill>
                <patternFill>
                  <bgColor theme="0"/>
                </patternFill>
              </fill>
              <border>
                <left style="thin">
                  <color auto="1"/>
                </left>
                <right style="thin">
                  <color auto="1"/>
                </right>
                <top style="thin">
                  <color auto="1"/>
                </top>
                <bottom style="thin">
                  <color auto="1"/>
                </bottom>
                <vertical/>
                <horizontal/>
              </border>
            </x14:dxf>
          </x14:cfRule>
          <xm:sqref>R206</xm:sqref>
        </x14:conditionalFormatting>
        <x14:conditionalFormatting xmlns:xm="http://schemas.microsoft.com/office/excel/2006/main">
          <x14:cfRule type="expression" priority="19" id="{ABEA1BAB-1F3A-42EC-ADC8-06CB541C39E9}">
            <xm:f>$R220=Utilitaires!$N$572</xm:f>
            <x14:dxf>
              <fill>
                <patternFill>
                  <bgColor theme="0"/>
                </patternFill>
              </fill>
              <border>
                <left style="thin">
                  <color auto="1"/>
                </left>
                <right style="thin">
                  <color auto="1"/>
                </right>
                <top style="thin">
                  <color auto="1"/>
                </top>
                <bottom style="thin">
                  <color auto="1"/>
                </bottom>
                <vertical/>
                <horizontal/>
              </border>
            </x14:dxf>
          </x14:cfRule>
          <xm:sqref>R220:R221</xm:sqref>
        </x14:conditionalFormatting>
        <x14:conditionalFormatting xmlns:xm="http://schemas.microsoft.com/office/excel/2006/main">
          <x14:cfRule type="expression" priority="18" id="{331D6349-1181-4158-B332-BE258A0B3A8E}">
            <xm:f>$R227=Utilitaires!$N$572</xm:f>
            <x14:dxf>
              <fill>
                <patternFill>
                  <bgColor theme="0"/>
                </patternFill>
              </fill>
              <border>
                <left style="thin">
                  <color auto="1"/>
                </left>
                <right style="thin">
                  <color auto="1"/>
                </right>
                <top style="thin">
                  <color auto="1"/>
                </top>
                <bottom style="thin">
                  <color auto="1"/>
                </bottom>
                <vertical/>
                <horizontal/>
              </border>
            </x14:dxf>
          </x14:cfRule>
          <xm:sqref>R227:R228</xm:sqref>
        </x14:conditionalFormatting>
        <x14:conditionalFormatting xmlns:xm="http://schemas.microsoft.com/office/excel/2006/main">
          <x14:cfRule type="expression" priority="17" id="{B2A6CFB0-36FF-4E9D-A775-9D177180F7B8}">
            <xm:f>$R233=Utilitaires!$N$572</xm:f>
            <x14:dxf>
              <fill>
                <patternFill>
                  <bgColor theme="0"/>
                </patternFill>
              </fill>
              <border>
                <left style="thin">
                  <color auto="1"/>
                </left>
                <right style="thin">
                  <color auto="1"/>
                </right>
                <top style="thin">
                  <color auto="1"/>
                </top>
                <bottom style="thin">
                  <color auto="1"/>
                </bottom>
                <vertical/>
                <horizontal/>
              </border>
            </x14:dxf>
          </x14:cfRule>
          <xm:sqref>R233:R236</xm:sqref>
        </x14:conditionalFormatting>
        <x14:conditionalFormatting xmlns:xm="http://schemas.microsoft.com/office/excel/2006/main">
          <x14:cfRule type="expression" priority="16" id="{80B67A6E-D8D4-4D48-854F-CD32970537E9}">
            <xm:f>$R240=Utilitaires!$N$572</xm:f>
            <x14:dxf>
              <fill>
                <patternFill>
                  <bgColor theme="0"/>
                </patternFill>
              </fill>
              <border>
                <left style="thin">
                  <color auto="1"/>
                </left>
                <right style="thin">
                  <color auto="1"/>
                </right>
                <top style="thin">
                  <color auto="1"/>
                </top>
                <bottom style="thin">
                  <color auto="1"/>
                </bottom>
                <vertical/>
                <horizontal/>
              </border>
            </x14:dxf>
          </x14:cfRule>
          <xm:sqref>R240:R241</xm:sqref>
        </x14:conditionalFormatting>
        <x14:conditionalFormatting xmlns:xm="http://schemas.microsoft.com/office/excel/2006/main">
          <x14:cfRule type="expression" priority="15" id="{9F4F18F6-58C3-46FF-BCB9-E23AB86C72CA}">
            <xm:f>$R245=Utilitaires!$N$572</xm:f>
            <x14:dxf>
              <fill>
                <patternFill>
                  <bgColor theme="0"/>
                </patternFill>
              </fill>
              <border>
                <left style="thin">
                  <color auto="1"/>
                </left>
                <right style="thin">
                  <color auto="1"/>
                </right>
                <top style="thin">
                  <color auto="1"/>
                </top>
                <bottom style="thin">
                  <color auto="1"/>
                </bottom>
                <vertical/>
                <horizontal/>
              </border>
            </x14:dxf>
          </x14:cfRule>
          <xm:sqref>R245:R246</xm:sqref>
        </x14:conditionalFormatting>
        <x14:conditionalFormatting xmlns:xm="http://schemas.microsoft.com/office/excel/2006/main">
          <x14:cfRule type="expression" priority="14" id="{30B03399-1704-4FE9-BA79-E18435CE0411}">
            <xm:f>$R250=Utilitaires!$N$572</xm:f>
            <x14:dxf>
              <fill>
                <patternFill>
                  <bgColor theme="0"/>
                </patternFill>
              </fill>
              <border>
                <left style="thin">
                  <color auto="1"/>
                </left>
                <right style="thin">
                  <color auto="1"/>
                </right>
                <top style="thin">
                  <color auto="1"/>
                </top>
                <bottom style="thin">
                  <color auto="1"/>
                </bottom>
                <vertical/>
                <horizontal/>
              </border>
            </x14:dxf>
          </x14:cfRule>
          <xm:sqref>R250:R251</xm:sqref>
        </x14:conditionalFormatting>
        <x14:conditionalFormatting xmlns:xm="http://schemas.microsoft.com/office/excel/2006/main">
          <x14:cfRule type="expression" priority="13" id="{FA6CFF10-7C28-44A8-9A55-8ABEECABFE94}">
            <xm:f>$R255=Utilitaires!$N$572</xm:f>
            <x14:dxf>
              <fill>
                <patternFill>
                  <bgColor theme="0"/>
                </patternFill>
              </fill>
              <border>
                <left style="thin">
                  <color auto="1"/>
                </left>
                <right style="thin">
                  <color auto="1"/>
                </right>
                <top style="thin">
                  <color auto="1"/>
                </top>
                <bottom style="thin">
                  <color auto="1"/>
                </bottom>
                <vertical/>
                <horizontal/>
              </border>
            </x14:dxf>
          </x14:cfRule>
          <xm:sqref>R255:R256</xm:sqref>
        </x14:conditionalFormatting>
        <x14:conditionalFormatting xmlns:xm="http://schemas.microsoft.com/office/excel/2006/main">
          <x14:cfRule type="expression" priority="12" id="{FBBC7997-7423-4B8A-98C2-9132B8CB23E2}">
            <xm:f>$R261=Utilitaires!$N$572</xm:f>
            <x14:dxf>
              <fill>
                <patternFill>
                  <bgColor theme="0"/>
                </patternFill>
              </fill>
              <border>
                <left style="thin">
                  <color auto="1"/>
                </left>
                <right style="thin">
                  <color auto="1"/>
                </right>
                <top style="thin">
                  <color auto="1"/>
                </top>
                <bottom style="thin">
                  <color auto="1"/>
                </bottom>
                <vertical/>
                <horizontal/>
              </border>
            </x14:dxf>
          </x14:cfRule>
          <xm:sqref>S261 S267:S268 S274:S275</xm:sqref>
        </x14:conditionalFormatting>
        <x14:conditionalFormatting xmlns:xm="http://schemas.microsoft.com/office/excel/2006/main">
          <x14:cfRule type="expression" priority="10" id="{D4C2A649-E14B-4F2F-A88C-4B74DB57F5EA}">
            <xm:f>$R276=Utilitaires!$N$572</xm:f>
            <x14:dxf>
              <fill>
                <patternFill>
                  <bgColor theme="0"/>
                </patternFill>
              </fill>
              <border>
                <left style="thin">
                  <color auto="1"/>
                </left>
                <right style="thin">
                  <color auto="1"/>
                </right>
                <top style="thin">
                  <color auto="1"/>
                </top>
                <bottom style="thin">
                  <color auto="1"/>
                </bottom>
                <vertical/>
                <horizontal/>
              </border>
            </x14:dxf>
          </x14:cfRule>
          <xm:sqref>S276:S280</xm:sqref>
        </x14:conditionalFormatting>
        <x14:conditionalFormatting xmlns:xm="http://schemas.microsoft.com/office/excel/2006/main">
          <x14:cfRule type="expression" priority="11" id="{F4C850F4-6D45-4F61-B79B-7F1ADD87A10B}">
            <xm:f>$R262=Utilitaires!$N$572</xm:f>
            <x14:dxf>
              <fill>
                <patternFill>
                  <bgColor theme="0"/>
                </patternFill>
              </fill>
              <border>
                <left style="thin">
                  <color auto="1"/>
                </left>
                <right style="thin">
                  <color auto="1"/>
                </right>
                <top style="thin">
                  <color auto="1"/>
                </top>
                <bottom style="thin">
                  <color auto="1"/>
                </bottom>
                <vertical/>
                <horizontal/>
              </border>
            </x14:dxf>
          </x14:cfRule>
          <xm:sqref>S262:S266</xm:sqref>
        </x14:conditionalFormatting>
        <x14:conditionalFormatting xmlns:xm="http://schemas.microsoft.com/office/excel/2006/main">
          <x14:cfRule type="expression" priority="9" id="{EF7EB659-1166-43F8-9017-96F8D9819C57}">
            <xm:f>$R83=Utilitaires!$N$572</xm:f>
            <x14:dxf>
              <fill>
                <patternFill>
                  <bgColor theme="0"/>
                </patternFill>
              </fill>
              <border>
                <left style="thin">
                  <color auto="1"/>
                </left>
                <right style="thin">
                  <color auto="1"/>
                </right>
                <top style="thin">
                  <color auto="1"/>
                </top>
                <bottom style="thin">
                  <color auto="1"/>
                </bottom>
                <vertical/>
                <horizontal/>
              </border>
            </x14:dxf>
          </x14:cfRule>
          <xm:sqref>S83:S102</xm:sqref>
        </x14:conditionalFormatting>
        <x14:conditionalFormatting xmlns:xm="http://schemas.microsoft.com/office/excel/2006/main">
          <x14:cfRule type="expression" priority="8" id="{319F168E-D68B-4CBE-AF94-C8B76E4D6DBD}">
            <xm:f>$R96=Utilitaires!$N$572</xm:f>
            <x14:dxf>
              <fill>
                <patternFill>
                  <bgColor theme="0"/>
                </patternFill>
              </fill>
              <border>
                <left style="thin">
                  <color auto="1"/>
                </left>
                <right style="thin">
                  <color auto="1"/>
                </right>
                <top style="thin">
                  <color auto="1"/>
                </top>
                <bottom style="thin">
                  <color auto="1"/>
                </bottom>
                <vertical/>
                <horizontal/>
              </border>
            </x14:dxf>
          </x14:cfRule>
          <xm:sqref>R96:R97</xm:sqref>
        </x14:conditionalFormatting>
        <x14:conditionalFormatting xmlns:xm="http://schemas.microsoft.com/office/excel/2006/main">
          <x14:cfRule type="expression" priority="7" id="{77DE91FF-5BC7-423E-B2B8-BE806496CC6D}">
            <xm:f>$R87=Utilitaires!$N$572</xm:f>
            <x14:dxf>
              <fill>
                <patternFill>
                  <bgColor theme="0"/>
                </patternFill>
              </fill>
              <border>
                <left style="thin">
                  <color auto="1"/>
                </left>
                <right style="thin">
                  <color auto="1"/>
                </right>
                <top style="thin">
                  <color auto="1"/>
                </top>
                <bottom style="thin">
                  <color auto="1"/>
                </bottom>
                <vertical/>
                <horizontal/>
              </border>
            </x14:dxf>
          </x14:cfRule>
          <xm:sqref>R87</xm:sqref>
        </x14:conditionalFormatting>
        <x14:conditionalFormatting xmlns:xm="http://schemas.microsoft.com/office/excel/2006/main">
          <x14:cfRule type="expression" priority="6" id="{DEC63637-201F-4ABB-9211-4EEB134B6313}">
            <xm:f>$R269=Utilitaires!$N$572</xm:f>
            <x14:dxf>
              <fill>
                <patternFill>
                  <bgColor theme="0"/>
                </patternFill>
              </fill>
              <border>
                <left style="thin">
                  <color auto="1"/>
                </left>
                <right style="thin">
                  <color auto="1"/>
                </right>
                <top style="thin">
                  <color auto="1"/>
                </top>
                <bottom style="thin">
                  <color auto="1"/>
                </bottom>
                <vertical/>
                <horizontal/>
              </border>
            </x14:dxf>
          </x14:cfRule>
          <xm:sqref>S269</xm:sqref>
        </x14:conditionalFormatting>
        <x14:conditionalFormatting xmlns:xm="http://schemas.microsoft.com/office/excel/2006/main">
          <x14:cfRule type="expression" priority="5" id="{26AD2F4A-0ACC-417D-8862-3A9F6CBFA350}">
            <xm:f>$R270=Utilitaires!$N$572</xm:f>
            <x14:dxf>
              <fill>
                <patternFill>
                  <bgColor theme="0"/>
                </patternFill>
              </fill>
              <border>
                <left style="thin">
                  <color auto="1"/>
                </left>
                <right style="thin">
                  <color auto="1"/>
                </right>
                <top style="thin">
                  <color auto="1"/>
                </top>
                <bottom style="thin">
                  <color auto="1"/>
                </bottom>
                <vertical/>
                <horizontal/>
              </border>
            </x14:dxf>
          </x14:cfRule>
          <xm:sqref>S270:S273</xm:sqref>
        </x14:conditionalFormatting>
        <x14:conditionalFormatting xmlns:xm="http://schemas.microsoft.com/office/excel/2006/main">
          <x14:cfRule type="expression" priority="3" id="{A9D9408A-C689-44B2-9946-905E52CC1006}">
            <xm:f>$M147=Utilitaires!$N$572</xm:f>
            <x14:dxf>
              <fill>
                <patternFill>
                  <bgColor theme="0"/>
                </patternFill>
              </fill>
              <border>
                <left style="thin">
                  <color auto="1"/>
                </left>
                <right style="thin">
                  <color auto="1"/>
                </right>
                <top style="thin">
                  <color auto="1"/>
                </top>
                <bottom style="thin">
                  <color auto="1"/>
                </bottom>
                <vertical/>
                <horizontal/>
              </border>
            </x14:dxf>
          </x14:cfRule>
          <xm:sqref>N147</xm:sqref>
        </x14:conditionalFormatting>
        <x14:conditionalFormatting xmlns:xm="http://schemas.microsoft.com/office/excel/2006/main">
          <x14:cfRule type="expression" priority="4" id="{A0A1CB40-D29F-4DCA-BC30-CDF88E25BD91}">
            <xm:f>$M148=Utilitaires!$N$572</xm:f>
            <x14:dxf>
              <fill>
                <patternFill>
                  <bgColor theme="0"/>
                </patternFill>
              </fill>
              <border>
                <left style="thin">
                  <color auto="1"/>
                </left>
                <right style="thin">
                  <color auto="1"/>
                </right>
                <top style="thin">
                  <color auto="1"/>
                </top>
                <bottom style="thin">
                  <color auto="1"/>
                </bottom>
                <vertical/>
                <horizontal/>
              </border>
            </x14:dxf>
          </x14:cfRule>
          <xm:sqref>N148:N152</xm:sqref>
        </x14:conditionalFormatting>
        <x14:conditionalFormatting xmlns:xm="http://schemas.microsoft.com/office/excel/2006/main">
          <x14:cfRule type="expression" priority="1" id="{FD9971DF-0670-48BC-A0DD-507743831693}">
            <xm:f>$M154=Utilitaires!$N$572</xm:f>
            <x14:dxf>
              <fill>
                <patternFill>
                  <bgColor theme="0"/>
                </patternFill>
              </fill>
              <border>
                <left style="thin">
                  <color auto="1"/>
                </left>
                <right style="thin">
                  <color auto="1"/>
                </right>
                <top style="thin">
                  <color auto="1"/>
                </top>
                <bottom style="thin">
                  <color auto="1"/>
                </bottom>
                <vertical/>
                <horizontal/>
              </border>
            </x14:dxf>
          </x14:cfRule>
          <xm:sqref>N154</xm:sqref>
        </x14:conditionalFormatting>
        <x14:conditionalFormatting xmlns:xm="http://schemas.microsoft.com/office/excel/2006/main">
          <x14:cfRule type="expression" priority="2" id="{EFDBBA67-1D74-4704-B922-B2A299F31429}">
            <xm:f>$M155=Utilitaires!$N$572</xm:f>
            <x14:dxf>
              <fill>
                <patternFill>
                  <bgColor theme="0"/>
                </patternFill>
              </fill>
              <border>
                <left style="thin">
                  <color auto="1"/>
                </left>
                <right style="thin">
                  <color auto="1"/>
                </right>
                <top style="thin">
                  <color auto="1"/>
                </top>
                <bottom style="thin">
                  <color auto="1"/>
                </bottom>
                <vertical/>
                <horizontal/>
              </border>
            </x14:dxf>
          </x14:cfRule>
          <xm:sqref>N155:N159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outlinePr summaryBelow="0" summaryRight="0"/>
  </sheetPr>
  <dimension ref="A1:AY363"/>
  <sheetViews>
    <sheetView showGridLines="0" zoomScale="85" zoomScaleNormal="85" workbookViewId="0">
      <pane xSplit="3" ySplit="6" topLeftCell="D47" activePane="bottomRight" state="frozenSplit"/>
      <selection activeCell="E9" sqref="E9"/>
      <selection pane="topRight" activeCell="E9" sqref="E9"/>
      <selection pane="bottomLeft" activeCell="E9" sqref="E9"/>
      <selection pane="bottomRight" activeCell="I55" sqref="I55"/>
    </sheetView>
  </sheetViews>
  <sheetFormatPr baseColWidth="10" defaultColWidth="0" defaultRowHeight="13.2" zeroHeight="1" outlineLevelRow="1" outlineLevelCol="1"/>
  <cols>
    <col min="1" max="1" width="2.75" style="114" customWidth="1"/>
    <col min="2" max="2" width="52.75" style="114" customWidth="1"/>
    <col min="3" max="3" width="2.375" style="114" customWidth="1"/>
    <col min="4" max="6" width="12.25" style="114" customWidth="1"/>
    <col min="7" max="7" width="13.375" style="114" bestFit="1" customWidth="1"/>
    <col min="8" max="8" width="14.125" style="114" bestFit="1" customWidth="1"/>
    <col min="9" max="9" width="15.125" style="114" bestFit="1" customWidth="1"/>
    <col min="10" max="10" width="13.375" style="114" bestFit="1" customWidth="1"/>
    <col min="11" max="15" width="12.25" style="114" customWidth="1"/>
    <col min="16" max="16" width="5.375" style="114" customWidth="1"/>
    <col min="17" max="19" width="12.25" style="114" customWidth="1"/>
    <col min="20" max="21" width="12.25" style="114" customWidth="1" outlineLevel="1"/>
    <col min="22" max="23" width="12.25" style="114" customWidth="1"/>
    <col min="24" max="35" width="12.25" style="441" customWidth="1" outlineLevel="1"/>
    <col min="36" max="36" width="12.25" style="114" customWidth="1"/>
    <col min="37" max="38" width="12.25" style="114" customWidth="1" outlineLevel="1"/>
    <col min="39" max="40" width="10.875" style="114" customWidth="1" outlineLevel="1"/>
    <col min="41" max="41" width="4.75" style="114" customWidth="1"/>
    <col min="42" max="47" width="10.875" style="114" hidden="1" customWidth="1"/>
    <col min="48" max="51" width="0" style="114" hidden="1" customWidth="1"/>
    <col min="52" max="16384" width="10.875" style="114" hidden="1"/>
  </cols>
  <sheetData>
    <row r="1" spans="2:40" s="113" customFormat="1" ht="22.8">
      <c r="S1" s="1646" t="s">
        <v>2442</v>
      </c>
      <c r="W1" s="1645" t="s">
        <v>2441</v>
      </c>
      <c r="X1" s="576"/>
      <c r="Y1" s="576"/>
      <c r="Z1" s="576"/>
      <c r="AA1" s="576"/>
      <c r="AB1" s="576"/>
      <c r="AC1" s="576"/>
      <c r="AD1" s="576"/>
      <c r="AE1" s="576"/>
      <c r="AF1" s="576"/>
      <c r="AG1" s="576"/>
      <c r="AH1" s="576"/>
      <c r="AI1" s="576"/>
      <c r="AJ1" s="1644" t="s">
        <v>2440</v>
      </c>
    </row>
    <row r="2" spans="2:40" s="113" customFormat="1" ht="30" customHeight="1">
      <c r="B2" s="2602" t="str">
        <f>Descriptif!C29</f>
        <v>Futurs emballages</v>
      </c>
      <c r="C2" s="2603"/>
      <c r="D2" s="2603"/>
      <c r="E2" s="2603"/>
      <c r="F2" s="2603"/>
      <c r="G2" s="2603"/>
      <c r="H2" s="2603"/>
      <c r="I2" s="2603"/>
      <c r="J2" s="2603"/>
      <c r="K2" s="2603"/>
      <c r="L2" s="2603"/>
      <c r="M2" s="2603"/>
      <c r="N2" s="2603"/>
      <c r="O2" s="2604"/>
      <c r="X2" s="576"/>
      <c r="Y2" s="576"/>
      <c r="Z2" s="576"/>
      <c r="AA2" s="576"/>
      <c r="AB2" s="576"/>
      <c r="AC2" s="576"/>
      <c r="AD2" s="576"/>
      <c r="AE2" s="576"/>
      <c r="AF2" s="576"/>
      <c r="AG2" s="576"/>
      <c r="AH2" s="576"/>
      <c r="AI2" s="576"/>
    </row>
    <row r="3" spans="2:40" s="253" customFormat="1" ht="13.8">
      <c r="D3" s="115"/>
      <c r="E3" s="115"/>
      <c r="F3" s="115"/>
      <c r="H3" s="115"/>
      <c r="J3" s="115"/>
      <c r="L3" s="115"/>
      <c r="N3" s="115"/>
      <c r="X3" s="618"/>
      <c r="Y3" s="618"/>
      <c r="Z3" s="618"/>
      <c r="AA3" s="618"/>
      <c r="AB3" s="618"/>
      <c r="AC3" s="618"/>
      <c r="AD3" s="618"/>
      <c r="AE3" s="618"/>
      <c r="AF3" s="618"/>
      <c r="AG3" s="618"/>
      <c r="AH3" s="618"/>
      <c r="AI3" s="618"/>
    </row>
    <row r="4" spans="2:40" s="253" customFormat="1" ht="13.8">
      <c r="B4" s="1001" t="s">
        <v>536</v>
      </c>
      <c r="C4" s="287"/>
      <c r="D4" s="2760" t="s">
        <v>553</v>
      </c>
      <c r="E4" s="2760"/>
      <c r="F4" s="2760" t="s">
        <v>207</v>
      </c>
      <c r="G4" s="2760"/>
      <c r="H4" s="2760" t="s">
        <v>297</v>
      </c>
      <c r="I4" s="2760"/>
      <c r="J4" s="2760" t="s">
        <v>367</v>
      </c>
      <c r="K4" s="2760"/>
      <c r="L4" s="2760"/>
      <c r="M4" s="2760"/>
      <c r="N4" s="2761" t="s">
        <v>893</v>
      </c>
      <c r="O4" s="2762"/>
      <c r="X4" s="618"/>
      <c r="Y4" s="618"/>
      <c r="Z4" s="618"/>
      <c r="AA4" s="618"/>
      <c r="AB4" s="618"/>
      <c r="AC4" s="618"/>
      <c r="AD4" s="618"/>
      <c r="AE4" s="618"/>
      <c r="AF4" s="618"/>
      <c r="AG4" s="618"/>
      <c r="AH4" s="618"/>
      <c r="AI4" s="618"/>
    </row>
    <row r="5" spans="2:40" s="211" customFormat="1" ht="13.8">
      <c r="B5" s="194" t="s">
        <v>521</v>
      </c>
      <c r="C5" s="195"/>
      <c r="D5" s="2745" t="s">
        <v>212</v>
      </c>
      <c r="E5" s="2745"/>
      <c r="F5" s="2745" t="s">
        <v>428</v>
      </c>
      <c r="G5" s="2745"/>
      <c r="H5" s="2745" t="s">
        <v>484</v>
      </c>
      <c r="I5" s="2745"/>
      <c r="J5" s="2745" t="s">
        <v>758</v>
      </c>
      <c r="K5" s="2745"/>
      <c r="L5" s="2745" t="s">
        <v>818</v>
      </c>
      <c r="M5" s="2745"/>
      <c r="N5" s="2745" t="s">
        <v>2444</v>
      </c>
      <c r="O5" s="2775"/>
      <c r="X5" s="445"/>
      <c r="Y5" s="445"/>
      <c r="Z5" s="445"/>
      <c r="AA5" s="445"/>
      <c r="AB5" s="445"/>
      <c r="AC5" s="445"/>
      <c r="AD5" s="445"/>
      <c r="AE5" s="445"/>
      <c r="AF5" s="445"/>
      <c r="AG5" s="445"/>
      <c r="AH5" s="445"/>
      <c r="AI5" s="445"/>
    </row>
    <row r="6" spans="2:40" s="211" customFormat="1" ht="13.8">
      <c r="B6" s="115"/>
      <c r="C6" s="115"/>
      <c r="D6" s="115"/>
      <c r="E6" s="115"/>
      <c r="F6" s="115"/>
      <c r="X6" s="445"/>
      <c r="Y6" s="445"/>
      <c r="Z6" s="445"/>
      <c r="AA6" s="445"/>
      <c r="AB6" s="445"/>
      <c r="AC6" s="445"/>
      <c r="AD6" s="445"/>
      <c r="AE6" s="445"/>
      <c r="AF6" s="445"/>
      <c r="AG6" s="445"/>
      <c r="AH6" s="445"/>
      <c r="AI6" s="445"/>
    </row>
    <row r="7" spans="2:40" s="130" customFormat="1" ht="15.6">
      <c r="B7" s="2652" t="s">
        <v>3</v>
      </c>
      <c r="C7" s="2653"/>
      <c r="D7" s="2653"/>
      <c r="E7" s="2653"/>
      <c r="F7" s="2653"/>
      <c r="G7" s="2653"/>
      <c r="H7" s="2653"/>
      <c r="I7" s="2653"/>
      <c r="J7" s="2653"/>
      <c r="K7" s="2653"/>
      <c r="L7" s="2653"/>
      <c r="M7" s="2653"/>
      <c r="N7" s="2653"/>
      <c r="O7" s="2654"/>
      <c r="X7" s="593"/>
      <c r="Y7" s="593"/>
      <c r="Z7" s="593"/>
      <c r="AA7" s="593"/>
      <c r="AB7" s="593"/>
      <c r="AC7" s="593"/>
      <c r="AD7" s="593"/>
      <c r="AE7" s="593"/>
      <c r="AF7" s="593"/>
      <c r="AG7" s="593"/>
      <c r="AH7" s="593"/>
      <c r="AI7" s="593"/>
    </row>
    <row r="8" spans="2:40" outlineLevel="1">
      <c r="N8" s="256"/>
      <c r="O8" s="256"/>
    </row>
    <row r="9" spans="2:40" ht="12.75" customHeight="1" outlineLevel="1">
      <c r="B9" s="1091" t="s">
        <v>3</v>
      </c>
      <c r="C9" s="140"/>
      <c r="D9" s="1648"/>
      <c r="E9" s="1648"/>
      <c r="F9" s="141"/>
      <c r="G9" s="141"/>
      <c r="H9" s="141"/>
      <c r="I9" s="141"/>
      <c r="J9" s="141"/>
      <c r="K9" s="141"/>
      <c r="L9" s="141"/>
      <c r="M9" s="142"/>
      <c r="N9" s="1751"/>
      <c r="O9" s="1751"/>
      <c r="Q9" s="1028" t="s">
        <v>366</v>
      </c>
      <c r="R9" s="1262"/>
      <c r="S9" s="1262"/>
      <c r="T9" s="1262"/>
      <c r="U9" s="1262"/>
      <c r="V9" s="1497"/>
      <c r="X9" s="2639" t="s">
        <v>441</v>
      </c>
      <c r="Y9" s="2640"/>
      <c r="Z9" s="2640"/>
      <c r="AA9" s="2640"/>
      <c r="AB9" s="2640"/>
      <c r="AC9" s="2640"/>
      <c r="AD9" s="2640"/>
      <c r="AE9" s="2640"/>
      <c r="AF9" s="2640"/>
      <c r="AG9" s="2640"/>
      <c r="AH9" s="2640"/>
      <c r="AI9" s="2641"/>
    </row>
    <row r="10" spans="2:40" ht="12.75" customHeight="1" outlineLevel="1">
      <c r="B10" s="332"/>
      <c r="C10" s="167"/>
      <c r="D10" s="1663" t="s">
        <v>308</v>
      </c>
      <c r="E10" s="1663"/>
      <c r="F10" s="155"/>
      <c r="G10" s="155"/>
      <c r="H10" s="1662" t="s">
        <v>422</v>
      </c>
      <c r="I10" s="155"/>
      <c r="J10" s="1662" t="s">
        <v>344</v>
      </c>
      <c r="K10" s="144"/>
      <c r="L10" s="144"/>
      <c r="M10" s="145"/>
      <c r="N10" s="1749"/>
      <c r="O10" s="1752"/>
      <c r="Q10" s="298"/>
      <c r="R10" s="819"/>
      <c r="S10" s="827"/>
      <c r="T10" s="299"/>
      <c r="U10" s="299"/>
      <c r="V10" s="145"/>
      <c r="X10" s="2642" t="s">
        <v>444</v>
      </c>
      <c r="Y10" s="2643"/>
      <c r="Z10" s="2643"/>
      <c r="AA10" s="2643"/>
      <c r="AB10" s="2643"/>
      <c r="AC10" s="2643"/>
      <c r="AD10" s="2643"/>
      <c r="AE10" s="2643"/>
      <c r="AF10" s="2643" t="s">
        <v>444</v>
      </c>
      <c r="AG10" s="2644"/>
      <c r="AH10" s="577"/>
      <c r="AI10" s="578"/>
      <c r="AK10" s="2616" t="s">
        <v>1648</v>
      </c>
      <c r="AL10" s="2617"/>
      <c r="AM10" s="2617"/>
      <c r="AN10" s="2618"/>
    </row>
    <row r="11" spans="2:40" ht="12.75" customHeight="1" outlineLevel="1">
      <c r="B11" s="1655"/>
      <c r="C11" s="1656"/>
      <c r="D11" s="1656" t="s">
        <v>409</v>
      </c>
      <c r="E11" s="1656"/>
      <c r="F11" s="1660" t="s">
        <v>199</v>
      </c>
      <c r="G11" s="1660" t="s">
        <v>119</v>
      </c>
      <c r="H11" s="1656" t="s">
        <v>1585</v>
      </c>
      <c r="I11" s="1660" t="s">
        <v>2380</v>
      </c>
      <c r="J11" s="1656" t="s">
        <v>1585</v>
      </c>
      <c r="K11" s="1663" t="s">
        <v>444</v>
      </c>
      <c r="L11" s="1663" t="s">
        <v>444</v>
      </c>
      <c r="M11" s="1665" t="s">
        <v>444</v>
      </c>
      <c r="N11" s="1749"/>
      <c r="O11" s="1752"/>
      <c r="Q11" s="1376" t="s">
        <v>316</v>
      </c>
      <c r="R11" s="2629" t="s">
        <v>530</v>
      </c>
      <c r="S11" s="2630"/>
      <c r="T11" s="1474" t="s">
        <v>444</v>
      </c>
      <c r="U11" s="1474" t="s">
        <v>444</v>
      </c>
      <c r="V11" s="1403" t="s">
        <v>444</v>
      </c>
      <c r="X11" s="2631" t="s">
        <v>211</v>
      </c>
      <c r="Y11" s="2632"/>
      <c r="Z11" s="2632" t="s">
        <v>442</v>
      </c>
      <c r="AA11" s="2632"/>
      <c r="AB11" s="2632" t="s">
        <v>267</v>
      </c>
      <c r="AC11" s="2632"/>
      <c r="AD11" s="2632" t="s">
        <v>443</v>
      </c>
      <c r="AE11" s="2632"/>
      <c r="AF11" s="2648" t="s">
        <v>327</v>
      </c>
      <c r="AG11" s="2649"/>
      <c r="AH11" s="2631" t="s">
        <v>636</v>
      </c>
      <c r="AI11" s="2650"/>
      <c r="AK11" s="2502" t="s">
        <v>2167</v>
      </c>
      <c r="AL11" s="1408" t="s">
        <v>657</v>
      </c>
      <c r="AM11" s="1408" t="s">
        <v>120</v>
      </c>
      <c r="AN11" s="1408" t="s">
        <v>344</v>
      </c>
    </row>
    <row r="12" spans="2:40" ht="12.75" customHeight="1" outlineLevel="1">
      <c r="B12" s="1655"/>
      <c r="C12" s="1656"/>
      <c r="D12" s="1656" t="s">
        <v>444</v>
      </c>
      <c r="E12" s="1656"/>
      <c r="F12" s="1661" t="s">
        <v>419</v>
      </c>
      <c r="G12" s="1661" t="s">
        <v>120</v>
      </c>
      <c r="H12" s="1656" t="s">
        <v>2381</v>
      </c>
      <c r="I12" s="1661" t="s">
        <v>265</v>
      </c>
      <c r="J12" s="1656"/>
      <c r="K12" s="1657" t="s">
        <v>422</v>
      </c>
      <c r="L12" s="1657" t="s">
        <v>344</v>
      </c>
      <c r="M12" s="1665" t="s">
        <v>327</v>
      </c>
      <c r="N12" s="1749"/>
      <c r="O12" s="1752"/>
      <c r="Q12" s="1376" t="s">
        <v>1649</v>
      </c>
      <c r="R12" s="2646"/>
      <c r="S12" s="2647"/>
      <c r="T12" s="1469" t="s">
        <v>422</v>
      </c>
      <c r="U12" s="1469" t="s">
        <v>344</v>
      </c>
      <c r="V12" s="162"/>
      <c r="X12" s="579" t="s">
        <v>422</v>
      </c>
      <c r="Y12" s="580" t="s">
        <v>344</v>
      </c>
      <c r="Z12" s="580" t="s">
        <v>422</v>
      </c>
      <c r="AA12" s="580" t="s">
        <v>344</v>
      </c>
      <c r="AB12" s="580" t="s">
        <v>422</v>
      </c>
      <c r="AC12" s="580" t="s">
        <v>344</v>
      </c>
      <c r="AD12" s="580" t="s">
        <v>422</v>
      </c>
      <c r="AE12" s="580" t="s">
        <v>344</v>
      </c>
      <c r="AF12" s="581" t="s">
        <v>422</v>
      </c>
      <c r="AG12" s="582" t="s">
        <v>344</v>
      </c>
      <c r="AH12" s="579" t="s">
        <v>422</v>
      </c>
      <c r="AI12" s="583" t="s">
        <v>344</v>
      </c>
      <c r="AK12" s="1065"/>
      <c r="AL12" s="1130"/>
      <c r="AM12" s="1130"/>
      <c r="AN12" s="1130"/>
    </row>
    <row r="13" spans="2:40" outlineLevel="1">
      <c r="B13" s="143" t="s">
        <v>2165</v>
      </c>
      <c r="C13" s="144"/>
      <c r="D13" s="212">
        <f>M13</f>
        <v>0</v>
      </c>
      <c r="E13" s="212"/>
      <c r="F13" s="117"/>
      <c r="G13" s="118"/>
      <c r="H13" s="219">
        <f>VLOOKUP($B13&amp;"; "&amp;$H$11&amp;" neuf",'FE Intrants'!$G:$U,9,FALSE)*(1-G13)+VLOOKUP($B13&amp;"; "&amp;$H$11&amp;" recyclé",'FE Intrants'!$G:$U,9,FALSE)*(G13)</f>
        <v>1450</v>
      </c>
      <c r="I13" s="117"/>
      <c r="J13" s="219">
        <f>IF(ISNA(VLOOKUP(I13,'FE Déchets'!$I$82:$U$89,7,FALSE)),0,VLOOKUP(I13,'FE Déchets'!$I$82:$U$89,7,FALSE))</f>
        <v>0</v>
      </c>
      <c r="K13" s="356">
        <f>F13*H13</f>
        <v>0</v>
      </c>
      <c r="L13" s="151">
        <f>F13*J13</f>
        <v>0</v>
      </c>
      <c r="M13" s="152">
        <f>K13+L13</f>
        <v>0</v>
      </c>
      <c r="N13" s="1750"/>
      <c r="O13" s="1753"/>
      <c r="P13" s="254"/>
      <c r="Q13" s="319">
        <f>IF(V13=0,V13,V13/M13)</f>
        <v>0</v>
      </c>
      <c r="R13" s="1218"/>
      <c r="S13" s="820"/>
      <c r="T13" s="219">
        <f>SQRT(SUMSQ(K13*(1-G13)*AL13,K13*G13*AM13))</f>
        <v>0</v>
      </c>
      <c r="U13" s="219">
        <f>L13*AN13</f>
        <v>0</v>
      </c>
      <c r="V13" s="152">
        <f>SQRT(SUMSQ(T13:U13))</f>
        <v>0</v>
      </c>
      <c r="W13" s="254"/>
      <c r="X13" s="564">
        <f>K13</f>
        <v>0</v>
      </c>
      <c r="Y13" s="565">
        <f>F13*IF(ISNA(VLOOKUP(I13,'FE Déchets'!$I$333:$I$347,8,FALSE)),0,VLOOKUP(I13,'FE Déchets'!$I$333:$I$347,8,FALSE))</f>
        <v>0</v>
      </c>
      <c r="Z13" s="565"/>
      <c r="AA13" s="620">
        <f>F13*IF(ISNA(VLOOKUP(I13,'FE Déchets'!$I$333:$I$347,9,FALSE)+VLOOKUP(I13,'FE Déchets'!$I$333:$I$347,10,FALSE)),0,VLOOKUP(I13,'FE Déchets'!$I$333:$I$347,9,FALSE)+VLOOKUP(I13,'FE Déchets'!$I$333:$I$347,10,FALSE))</f>
        <v>0</v>
      </c>
      <c r="AB13" s="565"/>
      <c r="AC13" s="565">
        <f>F13*IF(ISNA(VLOOKUP(I13,'FE Déchets'!$I$333:$I$347,11,FALSE)),0,VLOOKUP(I13,'FE Déchets'!$I$333:$I$347,11,FALSE))</f>
        <v>0</v>
      </c>
      <c r="AD13" s="565"/>
      <c r="AE13" s="565">
        <f>F13*IF(ISNA(VLOOKUP(I13,'FE Déchets'!$I$333:$I$347,12,FALSE)),0,VLOOKUP(I13,'FE Déchets'!$I$333:$I$347,12,FALSE))</f>
        <v>0</v>
      </c>
      <c r="AF13" s="566">
        <f t="shared" ref="AF13:AG16" si="0">SUM(X13,Z13,AB13,AD13)</f>
        <v>0</v>
      </c>
      <c r="AG13" s="567">
        <f t="shared" si="0"/>
        <v>0</v>
      </c>
      <c r="AH13" s="564"/>
      <c r="AI13" s="568">
        <f>F13*IF(ISNA(VLOOKUP(I13,'FE Déchets'!$I$333:$I$347,13,FALSE)),0,VLOOKUP(I13,'FE Déchets'!$I$333:$I$347,13,FALSE))</f>
        <v>0</v>
      </c>
      <c r="AK13" s="1065">
        <f>IF($R13&lt;&gt;"votre valeur :",IF(ISNA(VLOOKUP($R13,Utilitaires!$N$566:$O$571,2,FALSE)),,VLOOKUP($R13,Utilitaires!$N$566:$O$571,2,FALSE)),$S13)</f>
        <v>0</v>
      </c>
      <c r="AL13" s="1130">
        <f>SQRT(SUMSQ(AK13,VLOOKUP(B13&amp;"; "&amp;$H$11&amp;" neuf",'FE Intrants'!G:U,7,FALSE)))</f>
        <v>0.5</v>
      </c>
      <c r="AM13" s="1130">
        <f>SQRT(SUMSQ(AK13,VLOOKUP(B13&amp;"; "&amp;$H$11&amp;" recyclé",'FE Intrants'!G:U,7,FALSE)))</f>
        <v>0.5</v>
      </c>
      <c r="AN13" s="1130">
        <f>IF(ISNA(SQRT(SUMSQ(AK13,VLOOKUP(I13,'FE Déchets'!$I$333:$U$347,5,FALSE)))),AK13,SQRT(SUMSQ(AK13,VLOOKUP(I13,'FE Déchets'!$I$333:$U$347,5,FALSE))))</f>
        <v>0</v>
      </c>
    </row>
    <row r="14" spans="2:40" outlineLevel="1">
      <c r="B14" s="143" t="s">
        <v>2164</v>
      </c>
      <c r="C14" s="144"/>
      <c r="D14" s="212">
        <f>M14</f>
        <v>0</v>
      </c>
      <c r="E14" s="212"/>
      <c r="F14" s="120"/>
      <c r="G14" s="121"/>
      <c r="H14" s="219">
        <f>VLOOKUP($B14&amp;"; "&amp;$H$11&amp;" neuf",'FE Intrants'!$G:$U,9,FALSE)*(1-G14)+VLOOKUP($B14&amp;"; "&amp;$H$11&amp;" recyclé",'FE Intrants'!$G:$U,9,FALSE)*(G14)</f>
        <v>7800</v>
      </c>
      <c r="I14" s="120"/>
      <c r="J14" s="219">
        <f>IF(ISNA(VLOOKUP(I14,'FE Déchets'!$I$82:$U$89,7,FALSE)),0,VLOOKUP(I14,'FE Déchets'!$I$82:$U$89,7,FALSE))</f>
        <v>0</v>
      </c>
      <c r="K14" s="356">
        <f>F14*H14</f>
        <v>0</v>
      </c>
      <c r="L14" s="151">
        <f>F14*J14</f>
        <v>0</v>
      </c>
      <c r="M14" s="152">
        <f>K14+L14</f>
        <v>0</v>
      </c>
      <c r="N14" s="1750"/>
      <c r="O14" s="1753"/>
      <c r="P14" s="254"/>
      <c r="Q14" s="319">
        <f>IF(V14=0,V14,V14/M14)</f>
        <v>0</v>
      </c>
      <c r="R14" s="1218"/>
      <c r="S14" s="820"/>
      <c r="T14" s="219">
        <f>SQRT(SUMSQ(K14*(1-G14)*AL14,K14*G14*AM14))</f>
        <v>0</v>
      </c>
      <c r="U14" s="219">
        <f>L14*AN14</f>
        <v>0</v>
      </c>
      <c r="V14" s="152">
        <f>SQRT(SUMSQ(T14:U14))</f>
        <v>0</v>
      </c>
      <c r="W14" s="254"/>
      <c r="X14" s="564">
        <f>K14</f>
        <v>0</v>
      </c>
      <c r="Y14" s="565">
        <f>F14*IF(ISNA(VLOOKUP(I14,'FE Déchets'!$I$333:$I$347,8,FALSE)),0,VLOOKUP(I14,'FE Déchets'!$I$333:$I$347,8,FALSE))</f>
        <v>0</v>
      </c>
      <c r="Z14" s="565"/>
      <c r="AA14" s="620">
        <f>F14*IF(ISNA(VLOOKUP(I14,'FE Déchets'!$I$333:$I$347,9,FALSE)+VLOOKUP(I14,'FE Déchets'!$I$333:$I$347,10,FALSE)),0,VLOOKUP(I14,'FE Déchets'!$I$333:$I$347,9,FALSE)+VLOOKUP(I14,'FE Déchets'!$I$333:$I$347,10,FALSE))</f>
        <v>0</v>
      </c>
      <c r="AB14" s="565"/>
      <c r="AC14" s="565">
        <f>F14*IF(ISNA(VLOOKUP(I14,'FE Déchets'!$I$333:$I$347,11,FALSE)),0,VLOOKUP(I14,'FE Déchets'!$I$333:$I$347,11,FALSE))</f>
        <v>0</v>
      </c>
      <c r="AD14" s="565"/>
      <c r="AE14" s="565">
        <f>F14*IF(ISNA(VLOOKUP(I14,'FE Déchets'!$I$333:$I$347,12,FALSE)),0,VLOOKUP(I14,'FE Déchets'!$I$333:$I$347,12,FALSE))</f>
        <v>0</v>
      </c>
      <c r="AF14" s="566">
        <f t="shared" si="0"/>
        <v>0</v>
      </c>
      <c r="AG14" s="567">
        <f t="shared" si="0"/>
        <v>0</v>
      </c>
      <c r="AH14" s="564"/>
      <c r="AI14" s="568">
        <f>F14*IF(ISNA(VLOOKUP(I14,'FE Déchets'!$I$333:$I$347,13,FALSE)),0,VLOOKUP(I14,'FE Déchets'!$I$333:$I$347,13,FALSE))</f>
        <v>0</v>
      </c>
      <c r="AK14" s="1065">
        <f>IF($R14&lt;&gt;"votre valeur :",IF(ISNA(VLOOKUP($R14,Utilitaires!$N$566:$O$571,2,FALSE)),,VLOOKUP($R14,Utilitaires!$N$566:$O$571,2,FALSE)),$S14)</f>
        <v>0</v>
      </c>
      <c r="AL14" s="1130">
        <f>SQRT(SUMSQ(AK14,VLOOKUP(B14&amp;"; "&amp;$H$11&amp;" neuf",'FE Intrants'!G:U,7,FALSE)))</f>
        <v>0.3</v>
      </c>
      <c r="AM14" s="1130">
        <f>SQRT(SUMSQ(AK14,VLOOKUP(B14&amp;"; "&amp;$H$11&amp;" recyclé",'FE Intrants'!G:U,7,FALSE)))</f>
        <v>0.3</v>
      </c>
      <c r="AN14" s="1130">
        <f>IF(ISNA(SQRT(SUMSQ(AK14,VLOOKUP(I14,'FE Déchets'!$I$333:$U$347,5,FALSE)))),AK14,SQRT(SUMSQ(AK14,VLOOKUP(I14,'FE Déchets'!$I$333:$U$347,5,FALSE))))</f>
        <v>0</v>
      </c>
    </row>
    <row r="15" spans="2:40" outlineLevel="1">
      <c r="B15" s="143" t="s">
        <v>2164</v>
      </c>
      <c r="C15" s="144"/>
      <c r="D15" s="212">
        <f>M15</f>
        <v>0</v>
      </c>
      <c r="E15" s="212"/>
      <c r="F15" s="120"/>
      <c r="G15" s="121"/>
      <c r="H15" s="219">
        <f>VLOOKUP($B15&amp;"; "&amp;$H$11&amp;" neuf",'FE Intrants'!$G:$U,9,FALSE)*(1-G15)+VLOOKUP($B15&amp;"; "&amp;$H$11&amp;" recyclé",'FE Intrants'!$G:$U,9,FALSE)*(G15)</f>
        <v>7800</v>
      </c>
      <c r="I15" s="120"/>
      <c r="J15" s="219">
        <f>IF(ISNA(VLOOKUP(I15,'FE Déchets'!$I$82:$U$89,7,FALSE)),0,VLOOKUP(I15,'FE Déchets'!$I$82:$U$89,7,FALSE))</f>
        <v>0</v>
      </c>
      <c r="K15" s="356">
        <f>F15*H15</f>
        <v>0</v>
      </c>
      <c r="L15" s="151">
        <f>F15*J15</f>
        <v>0</v>
      </c>
      <c r="M15" s="152">
        <f>K15+L15</f>
        <v>0</v>
      </c>
      <c r="N15" s="1750"/>
      <c r="O15" s="1753"/>
      <c r="Q15" s="319">
        <f>IF(V15=0,V15,V15/M15)</f>
        <v>0</v>
      </c>
      <c r="R15" s="1218"/>
      <c r="S15" s="820"/>
      <c r="T15" s="219">
        <f>SQRT(SUMSQ(K15*(1-G15)*AL15,K15*G15*AM15))</f>
        <v>0</v>
      </c>
      <c r="U15" s="219">
        <f>L15*AN15</f>
        <v>0</v>
      </c>
      <c r="V15" s="152">
        <f>SQRT(SUMSQ(T15:U15))</f>
        <v>0</v>
      </c>
      <c r="W15" s="254"/>
      <c r="X15" s="564">
        <f>K15</f>
        <v>0</v>
      </c>
      <c r="Y15" s="565">
        <f>F15*IF(ISNA(VLOOKUP(I15,'FE Déchets'!$I$333:$I$347,8,FALSE)),0,VLOOKUP(I15,'FE Déchets'!$I$333:$I$347,8,FALSE))</f>
        <v>0</v>
      </c>
      <c r="Z15" s="565"/>
      <c r="AA15" s="620">
        <f>F15*IF(ISNA(VLOOKUP(I15,'FE Déchets'!$I$333:$I$347,9,FALSE)+VLOOKUP(I15,'FE Déchets'!$I$333:$I$347,10,FALSE)),0,VLOOKUP(I15,'FE Déchets'!$I$333:$I$347,9,FALSE)+VLOOKUP(I15,'FE Déchets'!$I$333:$I$347,10,FALSE))</f>
        <v>0</v>
      </c>
      <c r="AB15" s="565"/>
      <c r="AC15" s="565">
        <f>F15*IF(ISNA(VLOOKUP(I15,'FE Déchets'!$I$333:$I$347,11,FALSE)),0,VLOOKUP(I15,'FE Déchets'!$I$333:$I$347,11,FALSE))</f>
        <v>0</v>
      </c>
      <c r="AD15" s="565"/>
      <c r="AE15" s="565">
        <f>F15*IF(ISNA(VLOOKUP(I15,'FE Déchets'!$I$333:$I$347,12,FALSE)),0,VLOOKUP(I15,'FE Déchets'!$I$333:$I$347,12,FALSE))</f>
        <v>0</v>
      </c>
      <c r="AF15" s="566">
        <f t="shared" si="0"/>
        <v>0</v>
      </c>
      <c r="AG15" s="567">
        <f t="shared" si="0"/>
        <v>0</v>
      </c>
      <c r="AH15" s="564"/>
      <c r="AI15" s="568">
        <f>F15*IF(ISNA(VLOOKUP(I15,'FE Déchets'!$I$333:$I$347,13,FALSE)),0,VLOOKUP(I15,'FE Déchets'!$I$333:$I$347,13,FALSE))</f>
        <v>0</v>
      </c>
      <c r="AK15" s="1065">
        <f>IF($R15&lt;&gt;"votre valeur :",IF(ISNA(VLOOKUP($R15,Utilitaires!$N$566:$O$571,2,FALSE)),,VLOOKUP($R15,Utilitaires!$N$566:$O$571,2,FALSE)),$S15)</f>
        <v>0</v>
      </c>
      <c r="AL15" s="1130">
        <f>SQRT(SUMSQ(AK15,VLOOKUP(B15&amp;"; "&amp;$H$11&amp;" neuf",'FE Intrants'!G:U,7,FALSE)))</f>
        <v>0.3</v>
      </c>
      <c r="AM15" s="1130">
        <f>SQRT(SUMSQ(AK15,VLOOKUP(B15&amp;"; "&amp;$H$11&amp;" recyclé",'FE Intrants'!G:U,7,FALSE)))</f>
        <v>0.3</v>
      </c>
      <c r="AN15" s="1130">
        <f>IF(ISNA(SQRT(SUMSQ(AK15,VLOOKUP(I15,'FE Déchets'!$I$333:$U$347,5,FALSE)))),AK15,SQRT(SUMSQ(AK15,VLOOKUP(I15,'FE Déchets'!$I$333:$U$347,5,FALSE))))</f>
        <v>0</v>
      </c>
    </row>
    <row r="16" spans="2:40" outlineLevel="1">
      <c r="B16" s="143" t="s">
        <v>2166</v>
      </c>
      <c r="C16" s="144"/>
      <c r="D16" s="212">
        <f>M16</f>
        <v>0</v>
      </c>
      <c r="E16" s="212"/>
      <c r="F16" s="123"/>
      <c r="G16" s="124"/>
      <c r="H16" s="219">
        <f>VLOOKUP($B16&amp;"; "&amp;$H$11&amp;" neuf",'FE Intrants'!$G:$U,9,FALSE)*(1-G16)+VLOOKUP($B16&amp;"; "&amp;$H$11&amp;" recyclé",'FE Intrants'!$G:$U,9,FALSE)*(G16)</f>
        <v>9170</v>
      </c>
      <c r="I16" s="123"/>
      <c r="J16" s="219">
        <f>IF(ISNA(VLOOKUP(I16,'FE Déchets'!$I$82:$U$89,7,FALSE)),0,VLOOKUP(I16,'FE Déchets'!$I$82:$U$89,7,FALSE))</f>
        <v>0</v>
      </c>
      <c r="K16" s="356">
        <f>F16*H16</f>
        <v>0</v>
      </c>
      <c r="L16" s="151">
        <f>F16*J16</f>
        <v>0</v>
      </c>
      <c r="M16" s="152">
        <f>K16+L16</f>
        <v>0</v>
      </c>
      <c r="N16" s="1750"/>
      <c r="O16" s="1753"/>
      <c r="Q16" s="319">
        <f>IF(V16=0,V16,V16/M16)</f>
        <v>0</v>
      </c>
      <c r="R16" s="1218"/>
      <c r="S16" s="820"/>
      <c r="T16" s="219">
        <f>SQRT(SUMSQ(K16*(1-G16)*AL16,K16*G16*AM16))</f>
        <v>0</v>
      </c>
      <c r="U16" s="219">
        <f>L16*AN16</f>
        <v>0</v>
      </c>
      <c r="V16" s="152">
        <f>SQRT(SUMSQ(T16:U16))</f>
        <v>0</v>
      </c>
      <c r="W16" s="254"/>
      <c r="X16" s="564">
        <f>K16</f>
        <v>0</v>
      </c>
      <c r="Y16" s="565">
        <f>F16*IF(ISNA(VLOOKUP(I16,'FE Déchets'!$I$333:$I$347,8,FALSE)),0,VLOOKUP(I16,'FE Déchets'!$I$333:$I$347,8,FALSE))</f>
        <v>0</v>
      </c>
      <c r="Z16" s="565"/>
      <c r="AA16" s="620">
        <f>F16*IF(ISNA(VLOOKUP(I16,'FE Déchets'!$I$333:$I$347,9,FALSE)+VLOOKUP(I16,'FE Déchets'!$I$333:$I$347,10,FALSE)),0,VLOOKUP(I16,'FE Déchets'!$I$333:$I$347,9,FALSE)+VLOOKUP(I16,'FE Déchets'!$I$333:$I$347,10,FALSE))</f>
        <v>0</v>
      </c>
      <c r="AB16" s="565"/>
      <c r="AC16" s="565">
        <f>F16*IF(ISNA(VLOOKUP(I16,'FE Déchets'!$I$333:$I$347,11,FALSE)),0,VLOOKUP(I16,'FE Déchets'!$I$333:$I$347,11,FALSE))</f>
        <v>0</v>
      </c>
      <c r="AD16" s="565"/>
      <c r="AE16" s="565">
        <f>F16*IF(ISNA(VLOOKUP(I16,'FE Déchets'!$I$333:$I$347,12,FALSE)),0,VLOOKUP(I16,'FE Déchets'!$I$333:$I$347,12,FALSE))</f>
        <v>0</v>
      </c>
      <c r="AF16" s="566">
        <f t="shared" si="0"/>
        <v>0</v>
      </c>
      <c r="AG16" s="567">
        <f t="shared" si="0"/>
        <v>0</v>
      </c>
      <c r="AH16" s="564"/>
      <c r="AI16" s="568">
        <f>F16*IF(ISNA(VLOOKUP(I16,'FE Déchets'!$I$333:$I$347,13,FALSE)),0,VLOOKUP(I16,'FE Déchets'!$I$333:$I$347,13,FALSE))</f>
        <v>0</v>
      </c>
      <c r="AK16" s="1065">
        <f>IF($R16&lt;&gt;"votre valeur :",IF(ISNA(VLOOKUP($R16,Utilitaires!$N$566:$O$571,2,FALSE)),,VLOOKUP($R16,Utilitaires!$N$566:$O$571,2,FALSE)),$S16)</f>
        <v>0</v>
      </c>
      <c r="AL16" s="1130">
        <f>SQRT(SUMSQ(AK16,VLOOKUP(B16&amp;"; "&amp;$H$11&amp;" neuf",'FE Intrants'!G:U,7,FALSE)))</f>
        <v>0.2</v>
      </c>
      <c r="AM16" s="1130">
        <f>SQRT(SUMSQ(AK16,VLOOKUP(B16&amp;"; "&amp;$H$11&amp;" recyclé",'FE Intrants'!G:U,7,FALSE)))</f>
        <v>0.2</v>
      </c>
      <c r="AN16" s="1130">
        <f>IF(ISNA(SQRT(SUMSQ(AK16,VLOOKUP(I16,'FE Déchets'!$I$333:$U$347,5,FALSE)))),AK16,SQRT(SUMSQ(AK16,VLOOKUP(I16,'FE Déchets'!$I$333:$U$347,5,FALSE))))</f>
        <v>0</v>
      </c>
    </row>
    <row r="17" spans="2:40" outlineLevel="1">
      <c r="B17" s="154"/>
      <c r="C17" s="155"/>
      <c r="D17" s="221"/>
      <c r="E17" s="221"/>
      <c r="F17" s="155"/>
      <c r="G17" s="155"/>
      <c r="H17" s="155"/>
      <c r="I17" s="155"/>
      <c r="J17" s="215"/>
      <c r="K17" s="215"/>
      <c r="L17" s="215"/>
      <c r="M17" s="367"/>
      <c r="N17" s="1754"/>
      <c r="O17" s="1755"/>
      <c r="Q17" s="143"/>
      <c r="R17" s="144"/>
      <c r="S17" s="144"/>
      <c r="T17" s="1528"/>
      <c r="U17" s="1528"/>
      <c r="V17" s="152"/>
      <c r="X17" s="564"/>
      <c r="Y17" s="565"/>
      <c r="Z17" s="565"/>
      <c r="AA17" s="565"/>
      <c r="AB17" s="565"/>
      <c r="AC17" s="565"/>
      <c r="AD17" s="565"/>
      <c r="AE17" s="565"/>
      <c r="AF17" s="566"/>
      <c r="AG17" s="567"/>
      <c r="AH17" s="569"/>
      <c r="AI17" s="570"/>
      <c r="AK17" s="1142"/>
      <c r="AL17" s="1143"/>
      <c r="AM17" s="1143"/>
      <c r="AN17" s="1143"/>
    </row>
    <row r="18" spans="2:40" outlineLevel="1">
      <c r="B18" s="1264" t="s">
        <v>348</v>
      </c>
      <c r="C18" s="197"/>
      <c r="D18" s="214">
        <f>SUM(D13:D17)</f>
        <v>0</v>
      </c>
      <c r="E18" s="214"/>
      <c r="F18" s="199"/>
      <c r="G18" s="199"/>
      <c r="H18" s="199"/>
      <c r="I18" s="199"/>
      <c r="J18" s="202"/>
      <c r="K18" s="202">
        <f>SUM(K13:K17)</f>
        <v>0</v>
      </c>
      <c r="L18" s="202">
        <f>SUM(L13:L17)</f>
        <v>0</v>
      </c>
      <c r="M18" s="200">
        <f>SUM(M13:M17)</f>
        <v>0</v>
      </c>
      <c r="N18" s="1750"/>
      <c r="O18" s="1753"/>
      <c r="Q18" s="1204">
        <f>IF(V18=0,V18,V18/M18)</f>
        <v>0</v>
      </c>
      <c r="R18" s="199"/>
      <c r="S18" s="199"/>
      <c r="T18" s="203">
        <f>SQRT(SUMSQ(T13:T17))</f>
        <v>0</v>
      </c>
      <c r="U18" s="203">
        <f>SQRT(SUMSQ(U13:U17))</f>
        <v>0</v>
      </c>
      <c r="V18" s="200">
        <f>SQRT(SUMSQ(V13:V17))</f>
        <v>0</v>
      </c>
      <c r="X18" s="571">
        <f t="shared" ref="X18:AI18" si="1">SUM(X13:X17)</f>
        <v>0</v>
      </c>
      <c r="Y18" s="572">
        <f t="shared" si="1"/>
        <v>0</v>
      </c>
      <c r="Z18" s="572">
        <f t="shared" si="1"/>
        <v>0</v>
      </c>
      <c r="AA18" s="572">
        <f t="shared" si="1"/>
        <v>0</v>
      </c>
      <c r="AB18" s="572">
        <f t="shared" si="1"/>
        <v>0</v>
      </c>
      <c r="AC18" s="572">
        <f t="shared" si="1"/>
        <v>0</v>
      </c>
      <c r="AD18" s="572">
        <f t="shared" si="1"/>
        <v>0</v>
      </c>
      <c r="AE18" s="572">
        <f t="shared" si="1"/>
        <v>0</v>
      </c>
      <c r="AF18" s="573">
        <f t="shared" si="1"/>
        <v>0</v>
      </c>
      <c r="AG18" s="574">
        <f t="shared" si="1"/>
        <v>0</v>
      </c>
      <c r="AH18" s="571">
        <f t="shared" si="1"/>
        <v>0</v>
      </c>
      <c r="AI18" s="575">
        <f t="shared" si="1"/>
        <v>0</v>
      </c>
    </row>
    <row r="19" spans="2:40" outlineLevel="1">
      <c r="J19" s="255"/>
      <c r="K19" s="255"/>
      <c r="N19" s="1756"/>
      <c r="O19" s="256"/>
      <c r="T19" s="485"/>
      <c r="U19" s="485"/>
    </row>
    <row r="20" spans="2:40">
      <c r="J20" s="255"/>
      <c r="K20" s="255"/>
      <c r="L20" s="255"/>
      <c r="N20" s="1756"/>
      <c r="O20" s="256"/>
      <c r="T20" s="485"/>
      <c r="U20" s="485"/>
    </row>
    <row r="21" spans="2:40" ht="15.6">
      <c r="B21" s="2763" t="s">
        <v>207</v>
      </c>
      <c r="C21" s="2764"/>
      <c r="D21" s="2764"/>
      <c r="E21" s="2764"/>
      <c r="F21" s="2764"/>
      <c r="G21" s="2764"/>
      <c r="H21" s="2764"/>
      <c r="I21" s="2764"/>
      <c r="J21" s="2764"/>
      <c r="K21" s="2764"/>
      <c r="L21" s="2764"/>
      <c r="M21" s="2764"/>
      <c r="N21" s="2764"/>
      <c r="O21" s="2765"/>
      <c r="P21" s="130"/>
      <c r="Q21" s="130"/>
      <c r="R21" s="130"/>
      <c r="S21" s="130"/>
      <c r="T21" s="485"/>
      <c r="U21" s="485"/>
      <c r="V21" s="130"/>
      <c r="W21" s="130"/>
    </row>
    <row r="22" spans="2:40" outlineLevel="1">
      <c r="N22" s="256"/>
      <c r="O22" s="256"/>
      <c r="T22" s="485"/>
      <c r="U22" s="485"/>
    </row>
    <row r="23" spans="2:40" ht="12.75" customHeight="1" outlineLevel="1">
      <c r="B23" s="139" t="s">
        <v>207</v>
      </c>
      <c r="C23" s="140"/>
      <c r="D23" s="290"/>
      <c r="E23" s="1648"/>
      <c r="F23" s="141"/>
      <c r="G23" s="141"/>
      <c r="H23" s="141"/>
      <c r="I23" s="141"/>
      <c r="J23" s="141"/>
      <c r="K23" s="141"/>
      <c r="L23" s="141"/>
      <c r="M23" s="141"/>
      <c r="N23" s="1757"/>
      <c r="O23" s="1751"/>
      <c r="Q23" s="1028" t="s">
        <v>366</v>
      </c>
      <c r="R23" s="1262"/>
      <c r="S23" s="1262"/>
      <c r="T23" s="1262"/>
      <c r="U23" s="1262"/>
      <c r="V23" s="1497"/>
      <c r="X23" s="2639" t="s">
        <v>441</v>
      </c>
      <c r="Y23" s="2640"/>
      <c r="Z23" s="2640"/>
      <c r="AA23" s="2640"/>
      <c r="AB23" s="2640"/>
      <c r="AC23" s="2640"/>
      <c r="AD23" s="2640"/>
      <c r="AE23" s="2640"/>
      <c r="AF23" s="2640"/>
      <c r="AG23" s="2640"/>
      <c r="AH23" s="2640"/>
      <c r="AI23" s="2641"/>
    </row>
    <row r="24" spans="2:40" ht="12.75" customHeight="1" outlineLevel="1">
      <c r="B24" s="332"/>
      <c r="C24" s="167"/>
      <c r="D24" s="291" t="s">
        <v>308</v>
      </c>
      <c r="E24" s="1663"/>
      <c r="F24" s="144"/>
      <c r="G24" s="144"/>
      <c r="H24" s="1401" t="s">
        <v>422</v>
      </c>
      <c r="I24" s="1401"/>
      <c r="J24" s="1662" t="s">
        <v>344</v>
      </c>
      <c r="K24" s="177"/>
      <c r="L24" s="177"/>
      <c r="M24" s="144"/>
      <c r="N24" s="1758"/>
      <c r="O24" s="1752"/>
      <c r="Q24" s="298"/>
      <c r="R24" s="819"/>
      <c r="S24" s="827"/>
      <c r="T24" s="299"/>
      <c r="U24" s="299"/>
      <c r="V24" s="142"/>
      <c r="X24" s="2642" t="s">
        <v>444</v>
      </c>
      <c r="Y24" s="2643"/>
      <c r="Z24" s="2643"/>
      <c r="AA24" s="2643"/>
      <c r="AB24" s="2643"/>
      <c r="AC24" s="2643"/>
      <c r="AD24" s="2643"/>
      <c r="AE24" s="2643"/>
      <c r="AF24" s="2643" t="s">
        <v>444</v>
      </c>
      <c r="AG24" s="2644"/>
      <c r="AH24" s="577"/>
      <c r="AI24" s="578"/>
      <c r="AK24" s="2616" t="s">
        <v>1648</v>
      </c>
      <c r="AL24" s="2617"/>
      <c r="AM24" s="2617"/>
      <c r="AN24" s="2618"/>
    </row>
    <row r="25" spans="2:40" ht="12.75" customHeight="1" outlineLevel="1">
      <c r="B25" s="146"/>
      <c r="C25" s="292"/>
      <c r="D25" s="292" t="s">
        <v>409</v>
      </c>
      <c r="E25" s="1656"/>
      <c r="F25" s="147" t="s">
        <v>199</v>
      </c>
      <c r="G25" s="147" t="s">
        <v>119</v>
      </c>
      <c r="H25" s="1377" t="s">
        <v>1585</v>
      </c>
      <c r="I25" s="147" t="s">
        <v>5149</v>
      </c>
      <c r="J25" s="1982" t="s">
        <v>1585</v>
      </c>
      <c r="K25" s="525" t="s">
        <v>444</v>
      </c>
      <c r="L25" s="525" t="s">
        <v>444</v>
      </c>
      <c r="M25" s="525" t="s">
        <v>444</v>
      </c>
      <c r="N25" s="1758"/>
      <c r="O25" s="1752"/>
      <c r="Q25" s="1376" t="s">
        <v>316</v>
      </c>
      <c r="R25" s="2629" t="s">
        <v>530</v>
      </c>
      <c r="S25" s="2630"/>
      <c r="T25" s="1474" t="s">
        <v>444</v>
      </c>
      <c r="U25" s="1474" t="s">
        <v>444</v>
      </c>
      <c r="V25" s="1403" t="s">
        <v>444</v>
      </c>
      <c r="X25" s="2631" t="s">
        <v>211</v>
      </c>
      <c r="Y25" s="2632"/>
      <c r="Z25" s="2632" t="s">
        <v>442</v>
      </c>
      <c r="AA25" s="2632"/>
      <c r="AB25" s="2632" t="s">
        <v>267</v>
      </c>
      <c r="AC25" s="2632"/>
      <c r="AD25" s="2632" t="s">
        <v>443</v>
      </c>
      <c r="AE25" s="2632"/>
      <c r="AF25" s="2648" t="s">
        <v>327</v>
      </c>
      <c r="AG25" s="2649"/>
      <c r="AH25" s="2631" t="s">
        <v>636</v>
      </c>
      <c r="AI25" s="2650"/>
      <c r="AK25" s="2187" t="s">
        <v>2167</v>
      </c>
      <c r="AL25" s="1408" t="s">
        <v>657</v>
      </c>
      <c r="AM25" s="1408" t="s">
        <v>120</v>
      </c>
      <c r="AN25" s="1408" t="s">
        <v>344</v>
      </c>
    </row>
    <row r="26" spans="2:40" ht="12.75" customHeight="1" outlineLevel="1">
      <c r="B26" s="146"/>
      <c r="C26" s="292"/>
      <c r="D26" s="292" t="s">
        <v>444</v>
      </c>
      <c r="E26" s="1656"/>
      <c r="F26" s="149" t="s">
        <v>419</v>
      </c>
      <c r="G26" s="149" t="s">
        <v>120</v>
      </c>
      <c r="H26" s="1377" t="s">
        <v>2381</v>
      </c>
      <c r="I26" s="1400" t="s">
        <v>344</v>
      </c>
      <c r="J26" s="1903"/>
      <c r="K26" s="526" t="s">
        <v>422</v>
      </c>
      <c r="L26" s="526" t="s">
        <v>344</v>
      </c>
      <c r="M26" s="525" t="s">
        <v>327</v>
      </c>
      <c r="N26" s="1758"/>
      <c r="O26" s="1752"/>
      <c r="Q26" s="1376" t="s">
        <v>1649</v>
      </c>
      <c r="R26" s="2646"/>
      <c r="S26" s="2647"/>
      <c r="T26" s="1469" t="s">
        <v>422</v>
      </c>
      <c r="U26" s="1469" t="s">
        <v>344</v>
      </c>
      <c r="V26" s="162"/>
      <c r="X26" s="579" t="s">
        <v>422</v>
      </c>
      <c r="Y26" s="580" t="s">
        <v>344</v>
      </c>
      <c r="Z26" s="580" t="s">
        <v>422</v>
      </c>
      <c r="AA26" s="580" t="s">
        <v>344</v>
      </c>
      <c r="AB26" s="580" t="s">
        <v>422</v>
      </c>
      <c r="AC26" s="580" t="s">
        <v>344</v>
      </c>
      <c r="AD26" s="580" t="s">
        <v>422</v>
      </c>
      <c r="AE26" s="580" t="s">
        <v>344</v>
      </c>
      <c r="AF26" s="581" t="s">
        <v>422</v>
      </c>
      <c r="AG26" s="582" t="s">
        <v>344</v>
      </c>
      <c r="AH26" s="579" t="s">
        <v>422</v>
      </c>
      <c r="AI26" s="583" t="s">
        <v>344</v>
      </c>
      <c r="AK26" s="1065"/>
      <c r="AL26" s="1130"/>
      <c r="AM26" s="1130"/>
      <c r="AN26" s="1130"/>
    </row>
    <row r="27" spans="2:40" outlineLevel="1">
      <c r="B27" s="143" t="s">
        <v>2175</v>
      </c>
      <c r="C27" s="144"/>
      <c r="D27" s="212">
        <f>M27</f>
        <v>142980</v>
      </c>
      <c r="E27" s="212"/>
      <c r="F27" s="117">
        <v>20</v>
      </c>
      <c r="G27" s="343"/>
      <c r="H27" s="219">
        <f>VLOOKUP($B27&amp;"; "&amp;$H$25&amp;" neuf",'FE Intrants'!$G:$U,9,FALSE)*(1-G27)+IF(ISNA(VLOOKUP($B27&amp;"; "&amp;$H$25&amp;" recyclé",'FE Intrants'!$G:$U,9,FALSE)*(G27)),0,VLOOKUP($B27&amp;"; "&amp;$H$25&amp;" recyclé",'FE Intrants'!$G:$U,9,FALSE)*(G27))</f>
        <v>5500</v>
      </c>
      <c r="I27" s="117" t="s">
        <v>5183</v>
      </c>
      <c r="J27" s="219">
        <f>IF(ISNA(VLOOKUP(I27,'FE Déchets'!$I$172:$U$204,7,FALSE)),0,VLOOKUP(I27,'FE Déchets'!$I$172:$U$204,7,FALSE))</f>
        <v>1649</v>
      </c>
      <c r="K27" s="356">
        <f>F27*H27</f>
        <v>110000</v>
      </c>
      <c r="L27" s="151">
        <f>F27*J27</f>
        <v>32980</v>
      </c>
      <c r="M27" s="151">
        <f>K27+L27</f>
        <v>142980</v>
      </c>
      <c r="N27" s="1759"/>
      <c r="O27" s="1753"/>
      <c r="P27" s="254"/>
      <c r="Q27" s="319">
        <f>IF(V27=0,V27,V27/M27)</f>
        <v>0.15386767380053154</v>
      </c>
      <c r="R27" s="1218"/>
      <c r="S27" s="820"/>
      <c r="T27" s="219">
        <f>SQRT(SUMSQ(K27*(1-G27)*AL27,K27*G27*AM27))</f>
        <v>22000</v>
      </c>
      <c r="U27" s="219">
        <f>L27*AN27</f>
        <v>0</v>
      </c>
      <c r="V27" s="152">
        <f>SQRT(SUMSQ(K27*(1-G27)*AL27,K27*G27*AM27,AN27*L27))</f>
        <v>22000</v>
      </c>
      <c r="X27" s="564">
        <f>K27</f>
        <v>110000</v>
      </c>
      <c r="Y27" s="565" t="e">
        <f>F27*IF(ISNA(VLOOKUP(I27,'FE Déchets'!$I$172:$I$204,8,FALSE)),0,VLOOKUP(I27,'FE Déchets'!$I$172:$I$204,8,FALSE))</f>
        <v>#REF!</v>
      </c>
      <c r="Z27" s="565"/>
      <c r="AA27" s="620">
        <f>F27*IF(ISNA(VLOOKUP(I27,'FE Déchets'!$I$319:$I$330,9,FALSE)+VLOOKUP(I27,'FE Déchets'!$I$319:$I$330,10,FALSE)),0,VLOOKUP(I27,'FE Déchets'!$I$319:$I$330,9,FALSE)+VLOOKUP(I27,'FE Déchets'!$I$319:$I$330,10,FALSE))</f>
        <v>0</v>
      </c>
      <c r="AB27" s="565"/>
      <c r="AC27" s="565">
        <f>F27*IF(ISNA(VLOOKUP(I27,'FE Déchets'!$I$319:$I$330,11,FALSE)),0,VLOOKUP(I27,'FE Déchets'!$I$319:$I$330,11,FALSE))</f>
        <v>0</v>
      </c>
      <c r="AD27" s="565"/>
      <c r="AE27" s="565">
        <f>F27*IF(ISNA(VLOOKUP(I27,'FE Déchets'!$I$319:$I$330,12,FALSE)),0,VLOOKUP(I27,'FE Déchets'!$I$319:$I$330,12,FALSE))</f>
        <v>0</v>
      </c>
      <c r="AF27" s="566">
        <f t="shared" ref="AF27:AG30" si="2">SUM(X27,Z27,AB27,AD27)</f>
        <v>110000</v>
      </c>
      <c r="AG27" s="567" t="e">
        <f t="shared" si="2"/>
        <v>#REF!</v>
      </c>
      <c r="AH27" s="564"/>
      <c r="AI27" s="568">
        <f>F27*IF(ISNA(VLOOKUP(I27,'FE Déchets'!$I$319:$I$330,13,FALSE)),0,VLOOKUP(I27,'FE Déchets'!$I$319:$I$330,13,FALSE))</f>
        <v>0</v>
      </c>
      <c r="AK27" s="1065">
        <f>IF($R27&lt;&gt;"votre valeur :",IF(ISNA(VLOOKUP($R27,Utilitaires!$N$566:$O$571,2,FALSE)),,VLOOKUP($R27,Utilitaires!$N$566:$O$571,2,FALSE)),$S27)</f>
        <v>0</v>
      </c>
      <c r="AL27" s="1130">
        <f>SQRT(SUMSQ(AK27,VLOOKUP(B27&amp;"; "&amp;$H$25&amp;" neuf",'FE Intrants'!G:U,7,FALSE)))</f>
        <v>0.2</v>
      </c>
      <c r="AM27" s="1130">
        <f>IF(ISNA(SQRT(SUMSQ(AK27,VLOOKUP(B27&amp;"; "&amp;$H$25&amp;" recyclé",'FE Intrants'!G:U,7,FALSE)))),0,SQRT(SUMSQ(AK27,VLOOKUP(B27&amp;"; "&amp;$H$25&amp;" recyclé",'FE Intrants'!G:U,7,FALSE))))</f>
        <v>0.2</v>
      </c>
      <c r="AN27" s="1130">
        <f>IF(ISNA(SQRT(SUMSQ(AK27,VLOOKUP(I27,'FE Déchets'!$I$319:$I$330,5,FALSE)))),AK27,SQRT(SUMSQ(AK27,VLOOKUP(I27,'FE Déchets'!$I$319:$I$330,5,FALSE))))</f>
        <v>0</v>
      </c>
    </row>
    <row r="28" spans="2:40" outlineLevel="1">
      <c r="B28" s="143" t="s">
        <v>2174</v>
      </c>
      <c r="C28" s="144"/>
      <c r="D28" s="212">
        <f>M28</f>
        <v>0</v>
      </c>
      <c r="E28" s="212"/>
      <c r="F28" s="120"/>
      <c r="G28" s="344"/>
      <c r="H28" s="219">
        <f>VLOOKUP($B28&amp;"; "&amp;$H$25&amp;" neuf",'FE Intrants'!$G:$U,9,FALSE)*(1-G28)+IF(ISNA(VLOOKUP($B28&amp;"; "&amp;$H$25&amp;" recyclé",'FE Intrants'!$G:$U,9,FALSE)*(G28)),0,VLOOKUP($B28&amp;"; "&amp;$H$25&amp;" recyclé",'FE Intrants'!$G:$U,9,FALSE)*(G28))</f>
        <v>7630</v>
      </c>
      <c r="I28" s="120"/>
      <c r="J28" s="219">
        <f>IF(ISNA(VLOOKUP(I28,'FE Déchets'!$I$172:$U$204,7,FALSE)),0,VLOOKUP(I28,'FE Déchets'!$I$172:$U$204,7,FALSE))</f>
        <v>0</v>
      </c>
      <c r="K28" s="356">
        <f>F28*H28</f>
        <v>0</v>
      </c>
      <c r="L28" s="151">
        <f>F28*J28</f>
        <v>0</v>
      </c>
      <c r="M28" s="151">
        <f>K28+L28</f>
        <v>0</v>
      </c>
      <c r="N28" s="1759"/>
      <c r="O28" s="1753"/>
      <c r="Q28" s="319">
        <f>IF(V28=0,V28,V28/M28)</f>
        <v>0</v>
      </c>
      <c r="R28" s="1218"/>
      <c r="S28" s="820"/>
      <c r="T28" s="219">
        <f>SQRT(SUMSQ(K28*(1-G28)*AL28,K28*G28*AM28))</f>
        <v>0</v>
      </c>
      <c r="U28" s="219">
        <f>L28*AN28</f>
        <v>0</v>
      </c>
      <c r="V28" s="152">
        <f>SQRT(SUMSQ(K28*(1-G28)*AL28,K28*G28*AM28,AN28*L28))</f>
        <v>0</v>
      </c>
      <c r="X28" s="564">
        <f>K28</f>
        <v>0</v>
      </c>
      <c r="Y28" s="565">
        <f>F28*IF(ISNA(VLOOKUP(I28,'FE Déchets'!$I$172:$I$204,8,FALSE)),0,VLOOKUP(I28,'FE Déchets'!$I$172:$I$204,8,FALSE))</f>
        <v>0</v>
      </c>
      <c r="Z28" s="565"/>
      <c r="AA28" s="620">
        <f>F28*IF(ISNA(VLOOKUP(I28,'FE Déchets'!$I$319:$I$330,9,FALSE)+VLOOKUP(I28,'FE Déchets'!$I$319:$I$330,10,FALSE)),0,VLOOKUP(I28,'FE Déchets'!$I$319:$I$330,9,FALSE)+VLOOKUP(I28,'FE Déchets'!$I$319:$I$330,10,FALSE))</f>
        <v>0</v>
      </c>
      <c r="AB28" s="565"/>
      <c r="AC28" s="565">
        <f>F28*IF(ISNA(VLOOKUP(I28,'FE Déchets'!$I$319:$I$330,11,FALSE)),0,VLOOKUP(I28,'FE Déchets'!$I$319:$I$330,11,FALSE))</f>
        <v>0</v>
      </c>
      <c r="AD28" s="565"/>
      <c r="AE28" s="565">
        <f>F28*IF(ISNA(VLOOKUP(I28,'FE Déchets'!$I$319:$I$330,12,FALSE)),0,VLOOKUP(I28,'FE Déchets'!$I$319:$I$330,12,FALSE))</f>
        <v>0</v>
      </c>
      <c r="AF28" s="566">
        <f t="shared" si="2"/>
        <v>0</v>
      </c>
      <c r="AG28" s="567">
        <f t="shared" si="2"/>
        <v>0</v>
      </c>
      <c r="AH28" s="564"/>
      <c r="AI28" s="568">
        <f>F28*IF(ISNA(VLOOKUP(I28,'FE Déchets'!$I$319:$I$330,13,FALSE)),0,VLOOKUP(I28,'FE Déchets'!$I$319:$I$330,13,FALSE))</f>
        <v>0</v>
      </c>
      <c r="AK28" s="1065">
        <f>IF($R28&lt;&gt;"votre valeur :",IF(ISNA(VLOOKUP($R28,Utilitaires!$N$566:$O$571,2,FALSE)),,VLOOKUP($R28,Utilitaires!$N$566:$O$571,2,FALSE)),$S28)</f>
        <v>0</v>
      </c>
      <c r="AL28" s="1130">
        <f>SQRT(SUMSQ(AK28,VLOOKUP(B28&amp;"; "&amp;$H$25&amp;" neuf",'FE Intrants'!G:U,7,FALSE)))</f>
        <v>0.25</v>
      </c>
      <c r="AM28" s="1130">
        <f>IF(ISNA(SQRT(SUMSQ(AK28,VLOOKUP(B28&amp;"; "&amp;$H$25&amp;" recyclé",'FE Intrants'!G:U,7,FALSE)))),0,SQRT(SUMSQ(AK28,VLOOKUP(B28&amp;"; "&amp;$H$25&amp;" recyclé",'FE Intrants'!G:U,7,FALSE))))</f>
        <v>0</v>
      </c>
      <c r="AN28" s="1130">
        <f>IF(ISNA(SQRT(SUMSQ(AK28,VLOOKUP(I28,'FE Déchets'!$I$319:$I$330,5,FALSE)))),AK28,SQRT(SUMSQ(AK28,VLOOKUP(I28,'FE Déchets'!$I$319:$I$330,5,FALSE))))</f>
        <v>0</v>
      </c>
    </row>
    <row r="29" spans="2:40" outlineLevel="1">
      <c r="B29" s="143" t="s">
        <v>2176</v>
      </c>
      <c r="C29" s="144"/>
      <c r="D29" s="212">
        <f>M29</f>
        <v>0</v>
      </c>
      <c r="E29" s="212"/>
      <c r="F29" s="120"/>
      <c r="G29" s="344"/>
      <c r="H29" s="219">
        <f>VLOOKUP($B29&amp;"; "&amp;$H$25&amp;" neuf",'FE Intrants'!$G:$U,9,FALSE)*(1-G29)+IF(ISNA(VLOOKUP($B29&amp;"; "&amp;$H$25&amp;" recyclé",'FE Intrants'!$G:$U,9,FALSE)*(G29)),0,VLOOKUP($B29&amp;"; "&amp;$H$25&amp;" recyclé",'FE Intrants'!$G:$U,9,FALSE)*(G29))</f>
        <v>2383</v>
      </c>
      <c r="I29" s="120"/>
      <c r="J29" s="219">
        <f>IF(ISNA(VLOOKUP(I29,'FE Déchets'!$I$172:$U$204,7,FALSE)),0,VLOOKUP(I29,'FE Déchets'!$I$172:$U$204,7,FALSE))</f>
        <v>0</v>
      </c>
      <c r="K29" s="356">
        <f>F29*H29</f>
        <v>0</v>
      </c>
      <c r="L29" s="151">
        <f>F29*J29</f>
        <v>0</v>
      </c>
      <c r="M29" s="151">
        <f>K29+L29</f>
        <v>0</v>
      </c>
      <c r="N29" s="1759"/>
      <c r="O29" s="1753"/>
      <c r="Q29" s="319">
        <f>IF(V29=0,V29,V29/M29)</f>
        <v>0</v>
      </c>
      <c r="R29" s="1218"/>
      <c r="S29" s="820"/>
      <c r="T29" s="219">
        <f>SQRT(SUMSQ(K29*(1-G29)*AL29,K29*G29*AM29))</f>
        <v>0</v>
      </c>
      <c r="U29" s="219">
        <f>L29*AN29</f>
        <v>0</v>
      </c>
      <c r="V29" s="152">
        <f>SQRT(SUMSQ(K29*(1-G29)*AL29,K29*G29*AM29,AN29*L29))</f>
        <v>0</v>
      </c>
      <c r="X29" s="564">
        <f>K29</f>
        <v>0</v>
      </c>
      <c r="Y29" s="565">
        <f>F29*IF(ISNA(VLOOKUP(I29,'FE Déchets'!$I$172:$I$204,8,FALSE)),0,VLOOKUP(I29,'FE Déchets'!$I$172:$I$204,8,FALSE))</f>
        <v>0</v>
      </c>
      <c r="Z29" s="565"/>
      <c r="AA29" s="620">
        <f>F29*IF(ISNA(VLOOKUP(I29,'FE Déchets'!$I$319:$I$330,9,FALSE)+VLOOKUP(I29,'FE Déchets'!$I$319:$I$330,10,FALSE)),0,VLOOKUP(I29,'FE Déchets'!$I$319:$I$330,9,FALSE)+VLOOKUP(I29,'FE Déchets'!$I$319:$I$330,10,FALSE))</f>
        <v>0</v>
      </c>
      <c r="AB29" s="565"/>
      <c r="AC29" s="565">
        <f>F29*IF(ISNA(VLOOKUP(I29,'FE Déchets'!$I$319:$I$330,11,FALSE)),0,VLOOKUP(I29,'FE Déchets'!$I$319:$I$330,11,FALSE))</f>
        <v>0</v>
      </c>
      <c r="AD29" s="565"/>
      <c r="AE29" s="565">
        <f>F29*IF(ISNA(VLOOKUP(I29,'FE Déchets'!$I$319:$I$330,12,FALSE)),0,VLOOKUP(I29,'FE Déchets'!$I$319:$I$330,12,FALSE))</f>
        <v>0</v>
      </c>
      <c r="AF29" s="566">
        <f t="shared" si="2"/>
        <v>0</v>
      </c>
      <c r="AG29" s="567">
        <f t="shared" si="2"/>
        <v>0</v>
      </c>
      <c r="AH29" s="564"/>
      <c r="AI29" s="568">
        <f>F29*IF(ISNA(VLOOKUP(I29,'FE Déchets'!$I$319:$I$330,13,FALSE)),0,VLOOKUP(I29,'FE Déchets'!$I$319:$I$330,13,FALSE))</f>
        <v>0</v>
      </c>
      <c r="AK29" s="1065">
        <f>IF($R29&lt;&gt;"votre valeur :",IF(ISNA(VLOOKUP($R29,Utilitaires!$N$566:$O$571,2,FALSE)),,VLOOKUP($R29,Utilitaires!$N$566:$O$571,2,FALSE)),$S29)</f>
        <v>0</v>
      </c>
      <c r="AL29" s="1130">
        <f>SQRT(SUMSQ(AK29,VLOOKUP(B29&amp;"; "&amp;$H$25&amp;" neuf",'FE Intrants'!G:U,7,FALSE)))</f>
        <v>0.2</v>
      </c>
      <c r="AM29" s="1130">
        <f>IF(ISNA(SQRT(SUMSQ(AK29,VLOOKUP(B29&amp;"; "&amp;$H$25&amp;" recyclé",'FE Intrants'!G:U,7,FALSE)))),0,SQRT(SUMSQ(AK29,VLOOKUP(B29&amp;"; "&amp;$H$25&amp;" recyclé",'FE Intrants'!G:U,7,FALSE))))</f>
        <v>0.2</v>
      </c>
      <c r="AN29" s="1130">
        <f>IF(ISNA(SQRT(SUMSQ(AK29,VLOOKUP(I29,'FE Déchets'!$I$319:$I$330,5,FALSE)))),AK29,SQRT(SUMSQ(AK29,VLOOKUP(I29,'FE Déchets'!$I$319:$I$330,5,FALSE))))</f>
        <v>0</v>
      </c>
    </row>
    <row r="30" spans="2:40" outlineLevel="1">
      <c r="B30" s="143" t="s">
        <v>2177</v>
      </c>
      <c r="C30" s="144"/>
      <c r="D30" s="212">
        <f>M30</f>
        <v>0</v>
      </c>
      <c r="E30" s="212"/>
      <c r="F30" s="123"/>
      <c r="G30" s="345"/>
      <c r="H30" s="219">
        <f>VLOOKUP($B30&amp;"; "&amp;$H$25&amp;" neuf",'FE Intrants'!$G:$U,9,FALSE)*(1-G30)+IF(ISNA(VLOOKUP($B30&amp;"; "&amp;$H$25&amp;" recyclé",'FE Intrants'!$G:$U,9,FALSE)*(G30)),0,VLOOKUP($B30&amp;"; "&amp;$H$25&amp;" recyclé",'FE Intrants'!$G:$U,9,FALSE)*(G30))</f>
        <v>1870</v>
      </c>
      <c r="I30" s="123"/>
      <c r="J30" s="219">
        <f>IF(ISNA(VLOOKUP(I30,'FE Déchets'!$I$172:$U$204,7,FALSE)),0,VLOOKUP(I30,'FE Déchets'!$I$172:$U$204,7,FALSE))</f>
        <v>0</v>
      </c>
      <c r="K30" s="356">
        <f>F30*H30</f>
        <v>0</v>
      </c>
      <c r="L30" s="151">
        <f>F30*J30</f>
        <v>0</v>
      </c>
      <c r="M30" s="151">
        <f>K30+L30</f>
        <v>0</v>
      </c>
      <c r="N30" s="1759"/>
      <c r="O30" s="1753"/>
      <c r="Q30" s="319">
        <f>IF(V30=0,V30,V30/M30)</f>
        <v>0</v>
      </c>
      <c r="R30" s="1218"/>
      <c r="S30" s="820"/>
      <c r="T30" s="219">
        <f>SQRT(SUMSQ(K30*(1-G30)*AL30,K30*G30*AM30))</f>
        <v>0</v>
      </c>
      <c r="U30" s="219">
        <f>L30*AN30</f>
        <v>0</v>
      </c>
      <c r="V30" s="152">
        <f>SQRT(SUMSQ(K30*(1-G30)*AL30,K30*G30*AM30,AN30*L30))</f>
        <v>0</v>
      </c>
      <c r="X30" s="564">
        <f>K30</f>
        <v>0</v>
      </c>
      <c r="Y30" s="565">
        <f>F30*IF(ISNA(VLOOKUP(I30,'FE Déchets'!$I$172:$I$204,8,FALSE)),0,VLOOKUP(I30,'FE Déchets'!$I$172:$I$204,8,FALSE))</f>
        <v>0</v>
      </c>
      <c r="Z30" s="565"/>
      <c r="AA30" s="620">
        <f>F30*IF(ISNA(VLOOKUP(I30,'FE Déchets'!$I$319:$I$330,9,FALSE)+VLOOKUP(I30,'FE Déchets'!$I$319:$I$330,10,FALSE)),0,VLOOKUP(I30,'FE Déchets'!$I$319:$I$330,9,FALSE)+VLOOKUP(I30,'FE Déchets'!$I$319:$I$330,10,FALSE))</f>
        <v>0</v>
      </c>
      <c r="AB30" s="565"/>
      <c r="AC30" s="565">
        <f>F30*IF(ISNA(VLOOKUP(I30,'FE Déchets'!$I$319:$I$330,11,FALSE)),0,VLOOKUP(I30,'FE Déchets'!$I$319:$I$330,11,FALSE))</f>
        <v>0</v>
      </c>
      <c r="AD30" s="565"/>
      <c r="AE30" s="565">
        <f>F30*IF(ISNA(VLOOKUP(I30,'FE Déchets'!$I$319:$I$330,12,FALSE)),0,VLOOKUP(I30,'FE Déchets'!$I$319:$I$330,12,FALSE))</f>
        <v>0</v>
      </c>
      <c r="AF30" s="566">
        <f t="shared" si="2"/>
        <v>0</v>
      </c>
      <c r="AG30" s="567">
        <f t="shared" si="2"/>
        <v>0</v>
      </c>
      <c r="AH30" s="564"/>
      <c r="AI30" s="568">
        <f>F30*IF(ISNA(VLOOKUP(I30,'FE Déchets'!$I$319:$I$330,13,FALSE)),0,VLOOKUP(I30,'FE Déchets'!$I$319:$I$330,13,FALSE))</f>
        <v>0</v>
      </c>
      <c r="AK30" s="1065">
        <f>IF($R30&lt;&gt;"votre valeur :",IF(ISNA(VLOOKUP($R30,Utilitaires!$N$566:$O$571,2,FALSE)),,VLOOKUP($R30,Utilitaires!$N$566:$O$571,2,FALSE)),$S30)</f>
        <v>0</v>
      </c>
      <c r="AL30" s="1130">
        <f>SQRT(SUMSQ(AK30,VLOOKUP(B30&amp;"; "&amp;$H$25&amp;" neuf",'FE Intrants'!G:U,7,FALSE)))</f>
        <v>0.2</v>
      </c>
      <c r="AM30" s="1130">
        <f>IF(ISNA(SQRT(SUMSQ(AK30,VLOOKUP(B30&amp;"; "&amp;$H$25&amp;" recyclé",'FE Intrants'!G:U,7,FALSE)))),0,SQRT(SUMSQ(AK30,VLOOKUP(B30&amp;"; "&amp;$H$25&amp;" recyclé",'FE Intrants'!G:U,7,FALSE))))</f>
        <v>0.2</v>
      </c>
      <c r="AN30" s="1130">
        <f>IF(ISNA(SQRT(SUMSQ(AK30,VLOOKUP(I30,'FE Déchets'!$I$319:$I$330,5,FALSE)))),AK30,SQRT(SUMSQ(AK30,VLOOKUP(I30,'FE Déchets'!$I$319:$I$330,5,FALSE))))</f>
        <v>0</v>
      </c>
    </row>
    <row r="31" spans="2:40" outlineLevel="1">
      <c r="B31" s="143"/>
      <c r="C31" s="144"/>
      <c r="D31" s="213"/>
      <c r="E31" s="221"/>
      <c r="F31" s="144"/>
      <c r="G31" s="144"/>
      <c r="H31" s="144"/>
      <c r="I31" s="144"/>
      <c r="J31" s="144"/>
      <c r="K31" s="167"/>
      <c r="L31" s="167"/>
      <c r="M31" s="167"/>
      <c r="N31" s="1760"/>
      <c r="O31" s="1755"/>
      <c r="Q31" s="143"/>
      <c r="R31" s="144"/>
      <c r="S31" s="144"/>
      <c r="T31" s="1528"/>
      <c r="U31" s="1528"/>
      <c r="V31" s="152"/>
      <c r="X31" s="564"/>
      <c r="Y31" s="565"/>
      <c r="Z31" s="565"/>
      <c r="AA31" s="565"/>
      <c r="AB31" s="565"/>
      <c r="AC31" s="565"/>
      <c r="AD31" s="565"/>
      <c r="AE31" s="565"/>
      <c r="AF31" s="566"/>
      <c r="AG31" s="567"/>
      <c r="AH31" s="569"/>
      <c r="AI31" s="570"/>
      <c r="AK31" s="1142"/>
      <c r="AL31" s="1143"/>
      <c r="AM31" s="1143"/>
      <c r="AN31" s="1143"/>
    </row>
    <row r="32" spans="2:40" outlineLevel="1">
      <c r="B32" s="196" t="s">
        <v>348</v>
      </c>
      <c r="C32" s="197"/>
      <c r="D32" s="214">
        <f>SUM(D27:D31)</f>
        <v>142980</v>
      </c>
      <c r="E32" s="214"/>
      <c r="F32" s="199"/>
      <c r="G32" s="199"/>
      <c r="H32" s="199"/>
      <c r="I32" s="199"/>
      <c r="J32" s="199"/>
      <c r="K32" s="202">
        <f>SUM(K27:K31)</f>
        <v>110000</v>
      </c>
      <c r="L32" s="202">
        <f>SUM(L27:L31)</f>
        <v>32980</v>
      </c>
      <c r="M32" s="202">
        <f>SUM(M27:M31)</f>
        <v>142980</v>
      </c>
      <c r="N32" s="1759"/>
      <c r="O32" s="1753"/>
      <c r="Q32" s="1204">
        <f>IF(V32=0,V32,V32/M32)</f>
        <v>0.15386767380053154</v>
      </c>
      <c r="R32" s="199"/>
      <c r="S32" s="199"/>
      <c r="T32" s="203">
        <f>SQRT(SUMSQ(T27:T31))</f>
        <v>22000</v>
      </c>
      <c r="U32" s="203">
        <f>SQRT(SUMSQ(U27:U31))</f>
        <v>0</v>
      </c>
      <c r="V32" s="200">
        <f>SQRT(SUMSQ(V27:V31))</f>
        <v>22000</v>
      </c>
      <c r="X32" s="571">
        <f t="shared" ref="X32:AI32" si="3">SUM(X27:X31)</f>
        <v>110000</v>
      </c>
      <c r="Y32" s="572" t="e">
        <f t="shared" si="3"/>
        <v>#REF!</v>
      </c>
      <c r="Z32" s="572">
        <f t="shared" si="3"/>
        <v>0</v>
      </c>
      <c r="AA32" s="572">
        <f t="shared" si="3"/>
        <v>0</v>
      </c>
      <c r="AB32" s="572">
        <f t="shared" si="3"/>
        <v>0</v>
      </c>
      <c r="AC32" s="572">
        <f t="shared" si="3"/>
        <v>0</v>
      </c>
      <c r="AD32" s="572">
        <f t="shared" si="3"/>
        <v>0</v>
      </c>
      <c r="AE32" s="572">
        <f t="shared" si="3"/>
        <v>0</v>
      </c>
      <c r="AF32" s="573">
        <f t="shared" si="3"/>
        <v>110000</v>
      </c>
      <c r="AG32" s="574" t="e">
        <f t="shared" si="3"/>
        <v>#REF!</v>
      </c>
      <c r="AH32" s="571">
        <f t="shared" si="3"/>
        <v>0</v>
      </c>
      <c r="AI32" s="575">
        <f t="shared" si="3"/>
        <v>0</v>
      </c>
    </row>
    <row r="33" spans="2:40" outlineLevel="1">
      <c r="N33" s="1756"/>
      <c r="O33" s="256"/>
      <c r="T33" s="485"/>
      <c r="U33" s="485"/>
    </row>
    <row r="34" spans="2:40">
      <c r="N34" s="1756"/>
      <c r="O34" s="256"/>
      <c r="T34" s="485"/>
      <c r="U34" s="485"/>
    </row>
    <row r="35" spans="2:40" ht="15.6">
      <c r="B35" s="2652" t="s">
        <v>297</v>
      </c>
      <c r="C35" s="2653"/>
      <c r="D35" s="2653"/>
      <c r="E35" s="2653"/>
      <c r="F35" s="2653"/>
      <c r="G35" s="2653"/>
      <c r="H35" s="2653"/>
      <c r="I35" s="2653"/>
      <c r="J35" s="2653"/>
      <c r="K35" s="2653"/>
      <c r="L35" s="2653"/>
      <c r="M35" s="2653"/>
      <c r="N35" s="2653"/>
      <c r="O35" s="2654"/>
      <c r="T35" s="485"/>
      <c r="U35" s="485"/>
    </row>
    <row r="36" spans="2:40" outlineLevel="1">
      <c r="N36" s="256"/>
      <c r="O36" s="256"/>
      <c r="T36" s="485"/>
      <c r="U36" s="485"/>
    </row>
    <row r="37" spans="2:40" ht="12.75" customHeight="1" outlineLevel="1">
      <c r="B37" s="139" t="s">
        <v>297</v>
      </c>
      <c r="C37" s="140"/>
      <c r="D37" s="290"/>
      <c r="E37" s="1648"/>
      <c r="F37" s="141"/>
      <c r="G37" s="141"/>
      <c r="H37" s="141"/>
      <c r="I37" s="141"/>
      <c r="J37" s="141"/>
      <c r="K37" s="141"/>
      <c r="L37" s="141"/>
      <c r="M37" s="1757"/>
      <c r="N37" s="1751"/>
      <c r="O37" s="1751"/>
      <c r="Q37" s="1028" t="s">
        <v>366</v>
      </c>
      <c r="R37" s="1262"/>
      <c r="S37" s="1262"/>
      <c r="T37" s="1262"/>
      <c r="U37" s="1262"/>
      <c r="V37" s="1497"/>
      <c r="X37" s="2639" t="s">
        <v>441</v>
      </c>
      <c r="Y37" s="2640"/>
      <c r="Z37" s="2640"/>
      <c r="AA37" s="2640"/>
      <c r="AB37" s="2640"/>
      <c r="AC37" s="2640"/>
      <c r="AD37" s="2640"/>
      <c r="AE37" s="2640"/>
      <c r="AF37" s="2640"/>
      <c r="AG37" s="2640"/>
      <c r="AH37" s="2640"/>
      <c r="AI37" s="2641"/>
    </row>
    <row r="38" spans="2:40" ht="12.75" customHeight="1" outlineLevel="1">
      <c r="B38" s="332"/>
      <c r="C38" s="167"/>
      <c r="D38" s="291" t="s">
        <v>308</v>
      </c>
      <c r="E38" s="1663"/>
      <c r="F38" s="144"/>
      <c r="G38" s="1401" t="s">
        <v>422</v>
      </c>
      <c r="H38" s="1401"/>
      <c r="I38" s="1401" t="s">
        <v>344</v>
      </c>
      <c r="J38" s="177"/>
      <c r="K38" s="177"/>
      <c r="L38" s="144"/>
      <c r="M38" s="1758"/>
      <c r="N38" s="1749"/>
      <c r="O38" s="1752"/>
      <c r="Q38" s="298"/>
      <c r="R38" s="819"/>
      <c r="S38" s="827"/>
      <c r="T38" s="299"/>
      <c r="U38" s="299"/>
      <c r="V38" s="142"/>
      <c r="X38" s="2642" t="s">
        <v>444</v>
      </c>
      <c r="Y38" s="2643"/>
      <c r="Z38" s="2643"/>
      <c r="AA38" s="2643"/>
      <c r="AB38" s="2643"/>
      <c r="AC38" s="2643"/>
      <c r="AD38" s="2643"/>
      <c r="AE38" s="2643"/>
      <c r="AF38" s="2643" t="s">
        <v>444</v>
      </c>
      <c r="AG38" s="2644"/>
      <c r="AH38" s="577"/>
      <c r="AI38" s="578"/>
      <c r="AK38" s="2616" t="s">
        <v>1648</v>
      </c>
      <c r="AL38" s="2617"/>
      <c r="AM38" s="2617"/>
      <c r="AN38" s="2618"/>
    </row>
    <row r="39" spans="2:40" ht="12.75" customHeight="1" outlineLevel="1">
      <c r="B39" s="146"/>
      <c r="C39" s="292"/>
      <c r="D39" s="292" t="s">
        <v>409</v>
      </c>
      <c r="E39" s="1656"/>
      <c r="F39" s="147" t="s">
        <v>199</v>
      </c>
      <c r="G39" s="1377" t="s">
        <v>1585</v>
      </c>
      <c r="H39" s="147" t="s">
        <v>2380</v>
      </c>
      <c r="I39" s="1656" t="s">
        <v>1585</v>
      </c>
      <c r="J39" s="1402" t="s">
        <v>444</v>
      </c>
      <c r="K39" s="1402" t="s">
        <v>444</v>
      </c>
      <c r="L39" s="1402" t="s">
        <v>444</v>
      </c>
      <c r="M39" s="1758"/>
      <c r="N39" s="1749"/>
      <c r="O39" s="1752"/>
      <c r="Q39" s="1376" t="s">
        <v>316</v>
      </c>
      <c r="R39" s="2629" t="s">
        <v>530</v>
      </c>
      <c r="S39" s="2630"/>
      <c r="T39" s="1474" t="s">
        <v>444</v>
      </c>
      <c r="U39" s="1474" t="s">
        <v>444</v>
      </c>
      <c r="V39" s="1403" t="s">
        <v>444</v>
      </c>
      <c r="X39" s="2631" t="s">
        <v>211</v>
      </c>
      <c r="Y39" s="2632"/>
      <c r="Z39" s="2632" t="s">
        <v>442</v>
      </c>
      <c r="AA39" s="2632"/>
      <c r="AB39" s="2632" t="s">
        <v>267</v>
      </c>
      <c r="AC39" s="2632"/>
      <c r="AD39" s="2632" t="s">
        <v>443</v>
      </c>
      <c r="AE39" s="2632"/>
      <c r="AF39" s="2648" t="s">
        <v>327</v>
      </c>
      <c r="AG39" s="2649"/>
      <c r="AH39" s="2631" t="s">
        <v>636</v>
      </c>
      <c r="AI39" s="2650"/>
      <c r="AK39" s="2502" t="s">
        <v>2167</v>
      </c>
      <c r="AL39" s="1408" t="s">
        <v>422</v>
      </c>
      <c r="AM39" s="1408"/>
      <c r="AN39" s="1408" t="s">
        <v>344</v>
      </c>
    </row>
    <row r="40" spans="2:40" ht="12.75" customHeight="1" outlineLevel="1">
      <c r="B40" s="146"/>
      <c r="C40" s="292"/>
      <c r="D40" s="292" t="s">
        <v>444</v>
      </c>
      <c r="E40" s="1656"/>
      <c r="F40" s="149" t="s">
        <v>419</v>
      </c>
      <c r="G40" s="1377"/>
      <c r="H40" s="1400" t="s">
        <v>265</v>
      </c>
      <c r="I40" s="1377"/>
      <c r="J40" s="1384" t="s">
        <v>422</v>
      </c>
      <c r="K40" s="1384" t="s">
        <v>344</v>
      </c>
      <c r="L40" s="1402" t="s">
        <v>327</v>
      </c>
      <c r="M40" s="1758"/>
      <c r="N40" s="1749"/>
      <c r="O40" s="1752"/>
      <c r="Q40" s="1376" t="s">
        <v>1649</v>
      </c>
      <c r="R40" s="2646"/>
      <c r="S40" s="2647"/>
      <c r="T40" s="1469" t="s">
        <v>422</v>
      </c>
      <c r="U40" s="1469" t="s">
        <v>344</v>
      </c>
      <c r="V40" s="162"/>
      <c r="X40" s="579" t="s">
        <v>422</v>
      </c>
      <c r="Y40" s="580" t="s">
        <v>344</v>
      </c>
      <c r="Z40" s="580" t="s">
        <v>422</v>
      </c>
      <c r="AA40" s="580" t="s">
        <v>344</v>
      </c>
      <c r="AB40" s="580" t="s">
        <v>422</v>
      </c>
      <c r="AC40" s="580" t="s">
        <v>344</v>
      </c>
      <c r="AD40" s="580" t="s">
        <v>422</v>
      </c>
      <c r="AE40" s="580" t="s">
        <v>344</v>
      </c>
      <c r="AF40" s="581" t="s">
        <v>422</v>
      </c>
      <c r="AG40" s="582" t="s">
        <v>344</v>
      </c>
      <c r="AH40" s="579" t="s">
        <v>422</v>
      </c>
      <c r="AI40" s="583" t="s">
        <v>344</v>
      </c>
      <c r="AK40" s="1065"/>
      <c r="AL40" s="1130"/>
      <c r="AM40" s="1130"/>
      <c r="AN40" s="1130"/>
    </row>
    <row r="41" spans="2:40" outlineLevel="1">
      <c r="B41" s="143" t="s">
        <v>3097</v>
      </c>
      <c r="C41" s="144"/>
      <c r="D41" s="212">
        <f>L41</f>
        <v>0</v>
      </c>
      <c r="E41" s="212"/>
      <c r="F41" s="117"/>
      <c r="G41" s="219">
        <f>VLOOKUP(B41,'FE Intrants'!$E:$U,11,FALSE)*1000</f>
        <v>409</v>
      </c>
      <c r="H41" s="117"/>
      <c r="I41" s="219">
        <f>IF(ISNA(VLOOKUP(H41,'FE Déchets'!$I$106:$U$109,7,FALSE)),0,VLOOKUP(H41,'FE Déchets'!$I$106:$U$109,7,FALSE))</f>
        <v>0</v>
      </c>
      <c r="J41" s="356">
        <f>F41*G41</f>
        <v>0</v>
      </c>
      <c r="K41" s="151">
        <f>F41*I41</f>
        <v>0</v>
      </c>
      <c r="L41" s="151">
        <f>J41+K41</f>
        <v>0</v>
      </c>
      <c r="M41" s="1759"/>
      <c r="N41" s="1750"/>
      <c r="O41" s="1753"/>
      <c r="Q41" s="319">
        <f>IF(V41=0,V41,V41/L41)</f>
        <v>0</v>
      </c>
      <c r="R41" s="1218"/>
      <c r="S41" s="820"/>
      <c r="T41" s="219">
        <f>J41*AL41</f>
        <v>0</v>
      </c>
      <c r="U41" s="219">
        <f>K41*AN41</f>
        <v>0</v>
      </c>
      <c r="V41" s="152">
        <f>SQRT(SUMSQ(T41:U41))</f>
        <v>0</v>
      </c>
      <c r="X41" s="564">
        <f>J41</f>
        <v>0</v>
      </c>
      <c r="Y41" s="565">
        <f>F41*IF(ISNA(VLOOKUP(H41,'FE Déchets'!$I$106:$U$109,8,FALSE)),0,VLOOKUP(H41,'FE Déchets'!$I$106:$U$109,8,FALSE))</f>
        <v>0</v>
      </c>
      <c r="Z41" s="565"/>
      <c r="AA41" s="620">
        <f>F41*IF(ISNA(VLOOKUP(H41,'FE Déchets'!$I$106:$U$109,9,FALSE)+VLOOKUP(H41,'FE Déchets'!$I$106:$U$109,10,FALSE)),0,VLOOKUP(H41,'FE Déchets'!$I$106:$U$109,9,FALSE)+VLOOKUP(H41,'FE Déchets'!$I$106:$U$109,10,FALSE))</f>
        <v>0</v>
      </c>
      <c r="AB41" s="565"/>
      <c r="AC41" s="565">
        <f>F41*IF(ISNA(VLOOKUP(H41,'FE Déchets'!$I$106:$U$109,11,FALSE)),0,VLOOKUP(H41,'FE Déchets'!$I$106:$U$109,11,FALSE))</f>
        <v>0</v>
      </c>
      <c r="AD41" s="565"/>
      <c r="AE41" s="565">
        <f>F41*IF(ISNA(VLOOKUP(H41,'FE Déchets'!$I$106:$U$109,12,FALSE)),0,VLOOKUP(H41,'FE Déchets'!$I$106:$U$109,12,FALSE))</f>
        <v>0</v>
      </c>
      <c r="AF41" s="566">
        <f t="shared" ref="AF41:AG44" si="4">SUM(X41,Z41,AB41,AD41)</f>
        <v>0</v>
      </c>
      <c r="AG41" s="567">
        <f t="shared" si="4"/>
        <v>0</v>
      </c>
      <c r="AH41" s="564"/>
      <c r="AI41" s="568">
        <f>F41*IF(ISNA(VLOOKUP(H41,'FE Déchets'!$I$106:$U$109,13,FALSE)),0,VLOOKUP(H41,'FE Déchets'!$I$106:$U$109,13,FALSE))</f>
        <v>0</v>
      </c>
      <c r="AK41" s="1065">
        <f>IF($R41&lt;&gt;"votre valeur :",IF(ISNA(VLOOKUP($R41,Utilitaires!$N$566:$O$571,2,FALSE)),,VLOOKUP($R41,Utilitaires!$N$566:$O$571,2,FALSE)),$S41)</f>
        <v>0</v>
      </c>
      <c r="AL41" s="2189">
        <f>SQRT(SUMSQ(AK41,VLOOKUP(B41,'FE Intrants'!E:U,9,FALSE)))/1000</f>
        <v>5.0000000000000001E-4</v>
      </c>
      <c r="AM41" s="1130"/>
      <c r="AN41" s="1167">
        <f>IF(ISNA(SQRT(SUMSQ(AK41,VLOOKUP(H41,'FE Déchets'!$I$106:$U$109,5,FALSE)))),AK41,SQRT(SUMSQ(AK41,VLOOKUP(H41,'FE Déchets'!$I$106:$U$109,5,FALSE))))</f>
        <v>0</v>
      </c>
    </row>
    <row r="42" spans="2:40" outlineLevel="1">
      <c r="B42" s="143" t="s">
        <v>2178</v>
      </c>
      <c r="C42" s="144"/>
      <c r="D42" s="212">
        <f>L42</f>
        <v>0</v>
      </c>
      <c r="E42" s="212"/>
      <c r="F42" s="120"/>
      <c r="G42" s="219">
        <f>VLOOKUP(B42,'FE Intrants'!$E:$U,11,FALSE)*1000</f>
        <v>2130</v>
      </c>
      <c r="H42" s="120"/>
      <c r="I42" s="219">
        <f>IF(ISNA(VLOOKUP(H42,'FE Déchets'!$I$106:$U$109,7,FALSE)),0,VLOOKUP(H42,'FE Déchets'!$I$106:$U$109,7,FALSE))</f>
        <v>0</v>
      </c>
      <c r="J42" s="356">
        <f t="shared" ref="J42:J44" si="5">F42*G42</f>
        <v>0</v>
      </c>
      <c r="K42" s="151">
        <f>F42*I42</f>
        <v>0</v>
      </c>
      <c r="L42" s="151">
        <f>J42+K42</f>
        <v>0</v>
      </c>
      <c r="M42" s="1759"/>
      <c r="N42" s="1750"/>
      <c r="O42" s="1753"/>
      <c r="Q42" s="319">
        <f>IF(V42=0,V42,V42/L42)</f>
        <v>0</v>
      </c>
      <c r="R42" s="1218"/>
      <c r="S42" s="820"/>
      <c r="T42" s="219">
        <f>J42*AL42</f>
        <v>0</v>
      </c>
      <c r="U42" s="219">
        <f>K42*AN42</f>
        <v>0</v>
      </c>
      <c r="V42" s="152">
        <f>SQRT(SUMSQ(T42:U42))</f>
        <v>0</v>
      </c>
      <c r="X42" s="564">
        <f>J42</f>
        <v>0</v>
      </c>
      <c r="Y42" s="565">
        <f>F42*IF(ISNA(VLOOKUP(H42,'FE Déchets'!$I$106:$U$109,8,FALSE)),0,VLOOKUP(H42,'FE Déchets'!$I$106:$U$109,8,FALSE))</f>
        <v>0</v>
      </c>
      <c r="Z42" s="565"/>
      <c r="AA42" s="620">
        <f>F42*IF(ISNA(VLOOKUP(H42,'FE Déchets'!$I$106:$U$109,9,FALSE)+VLOOKUP(H42,'FE Déchets'!$I$106:$U$109,10,FALSE)),0,VLOOKUP(H42,'FE Déchets'!$I$106:$U$109,9,FALSE)+VLOOKUP(H42,'FE Déchets'!$I$106:$U$109,10,FALSE))</f>
        <v>0</v>
      </c>
      <c r="AB42" s="565"/>
      <c r="AC42" s="565">
        <f>F42*IF(ISNA(VLOOKUP(H42,'FE Déchets'!$I$106:$U$109,11,FALSE)),0,VLOOKUP(H42,'FE Déchets'!$I$106:$U$109,11,FALSE))</f>
        <v>0</v>
      </c>
      <c r="AD42" s="565"/>
      <c r="AE42" s="565">
        <f>F42*IF(ISNA(VLOOKUP(H42,'FE Déchets'!$I$106:$U$109,12,FALSE)),0,VLOOKUP(H42,'FE Déchets'!$I$106:$U$109,12,FALSE))</f>
        <v>0</v>
      </c>
      <c r="AF42" s="566">
        <f t="shared" si="4"/>
        <v>0</v>
      </c>
      <c r="AG42" s="567">
        <f t="shared" si="4"/>
        <v>0</v>
      </c>
      <c r="AH42" s="564"/>
      <c r="AI42" s="568">
        <f>F42*IF(ISNA(VLOOKUP(H42,'FE Déchets'!$I$106:$U$109,13,FALSE)),0,VLOOKUP(H42,'FE Déchets'!$I$106:$U$109,13,FALSE))</f>
        <v>0</v>
      </c>
      <c r="AK42" s="1065">
        <f>IF($R42&lt;&gt;"votre valeur :",IF(ISNA(VLOOKUP($R42,Utilitaires!$N$566:$O$571,2,FALSE)),,VLOOKUP($R42,Utilitaires!$N$566:$O$571,2,FALSE)),$S42)</f>
        <v>0</v>
      </c>
      <c r="AL42" s="2189">
        <f>SQRT(SUMSQ(AK42,VLOOKUP(B42,'FE Intrants'!E:U,9,FALSE)))/1000</f>
        <v>2.0000000000000001E-4</v>
      </c>
      <c r="AM42" s="1130"/>
      <c r="AN42" s="1167">
        <f>IF(ISNA(SQRT(SUMSQ(AK42,VLOOKUP(H42,'FE Déchets'!$I$106:$U$109,5,FALSE)))),AK42,SQRT(SUMSQ(AK42,VLOOKUP(H42,'FE Déchets'!$I$106:$U$109,5,FALSE))))</f>
        <v>0</v>
      </c>
    </row>
    <row r="43" spans="2:40" outlineLevel="1">
      <c r="B43" s="143" t="s">
        <v>2180</v>
      </c>
      <c r="C43" s="144"/>
      <c r="D43" s="212">
        <f>L43</f>
        <v>0</v>
      </c>
      <c r="E43" s="212"/>
      <c r="F43" s="120"/>
      <c r="G43" s="219">
        <f>VLOOKUP(B43,'FE Intrants'!$E:$U,11,FALSE)*1000</f>
        <v>3670</v>
      </c>
      <c r="H43" s="120"/>
      <c r="I43" s="219">
        <f>IF(ISNA(VLOOKUP(H43,'FE Déchets'!$I$106:$U$109,7,FALSE)),0,VLOOKUP(H43,'FE Déchets'!$I$106:$U$109,7,FALSE))</f>
        <v>0</v>
      </c>
      <c r="J43" s="356">
        <f t="shared" si="5"/>
        <v>0</v>
      </c>
      <c r="K43" s="151">
        <f>F43*I43</f>
        <v>0</v>
      </c>
      <c r="L43" s="151">
        <f>J43+K43</f>
        <v>0</v>
      </c>
      <c r="M43" s="1759"/>
      <c r="N43" s="1750"/>
      <c r="O43" s="1753"/>
      <c r="Q43" s="319">
        <f>IF(V43=0,V43,V43/L43)</f>
        <v>0</v>
      </c>
      <c r="R43" s="1218"/>
      <c r="S43" s="820"/>
      <c r="T43" s="219">
        <f>J43*AL43</f>
        <v>0</v>
      </c>
      <c r="U43" s="219">
        <f>K43*AN43</f>
        <v>0</v>
      </c>
      <c r="V43" s="152">
        <f>SQRT(SUMSQ(T43:U43))</f>
        <v>0</v>
      </c>
      <c r="X43" s="564">
        <f>J43</f>
        <v>0</v>
      </c>
      <c r="Y43" s="565">
        <f>F43*IF(ISNA(VLOOKUP(H43,'FE Déchets'!$I$106:$U$109,8,FALSE)),0,VLOOKUP(H43,'FE Déchets'!$I$106:$U$109,8,FALSE))</f>
        <v>0</v>
      </c>
      <c r="Z43" s="565"/>
      <c r="AA43" s="620">
        <f>F43*IF(ISNA(VLOOKUP(H43,'FE Déchets'!$I$106:$U$109,9,FALSE)+VLOOKUP(H43,'FE Déchets'!$I$106:$U$109,10,FALSE)),0,VLOOKUP(H43,'FE Déchets'!$I$106:$U$109,9,FALSE)+VLOOKUP(H43,'FE Déchets'!$I$106:$U$109,10,FALSE))</f>
        <v>0</v>
      </c>
      <c r="AB43" s="565"/>
      <c r="AC43" s="565">
        <f>F43*IF(ISNA(VLOOKUP(H43,'FE Déchets'!$I$106:$U$109,11,FALSE)),0,VLOOKUP(H43,'FE Déchets'!$I$106:$U$109,11,FALSE))</f>
        <v>0</v>
      </c>
      <c r="AD43" s="565"/>
      <c r="AE43" s="565">
        <f>F43*IF(ISNA(VLOOKUP(H43,'FE Déchets'!$I$106:$U$109,12,FALSE)),0,VLOOKUP(H43,'FE Déchets'!$I$106:$U$109,12,FALSE))</f>
        <v>0</v>
      </c>
      <c r="AF43" s="566">
        <f t="shared" si="4"/>
        <v>0</v>
      </c>
      <c r="AG43" s="567">
        <f t="shared" si="4"/>
        <v>0</v>
      </c>
      <c r="AH43" s="564"/>
      <c r="AI43" s="568">
        <f>F43*IF(ISNA(VLOOKUP(H43,'FE Déchets'!$I$106:$U$109,13,FALSE)),0,VLOOKUP(H43,'FE Déchets'!$I$106:$U$109,13,FALSE))</f>
        <v>0</v>
      </c>
      <c r="AK43" s="1065">
        <f>IF($R43&lt;&gt;"votre valeur :",IF(ISNA(VLOOKUP($R43,Utilitaires!$N$566:$O$571,2,FALSE)),,VLOOKUP($R43,Utilitaires!$N$566:$O$571,2,FALSE)),$S43)</f>
        <v>0</v>
      </c>
      <c r="AL43" s="2189">
        <f>SQRT(SUMSQ(AK43,VLOOKUP(B43,'FE Intrants'!E:U,9,FALSE)))/1000</f>
        <v>2.0000000000000001E-4</v>
      </c>
      <c r="AM43" s="1130"/>
      <c r="AN43" s="1167">
        <f>IF(ISNA(SQRT(SUMSQ(AK43,VLOOKUP(H43,'FE Déchets'!$I$106:$U$109,5,FALSE)))),AK43,SQRT(SUMSQ(AK43,VLOOKUP(H43,'FE Déchets'!$I$106:$U$109,5,FALSE))))</f>
        <v>0</v>
      </c>
    </row>
    <row r="44" spans="2:40" outlineLevel="1">
      <c r="B44" s="143" t="s">
        <v>2383</v>
      </c>
      <c r="C44" s="144"/>
      <c r="D44" s="212">
        <f>L44</f>
        <v>0</v>
      </c>
      <c r="E44" s="212"/>
      <c r="F44" s="123"/>
      <c r="G44" s="219">
        <f>VLOOKUP(B44,'FE Intrants'!$E:$U,11,FALSE)*1000</f>
        <v>1180</v>
      </c>
      <c r="H44" s="123"/>
      <c r="I44" s="219">
        <f>IF(ISNA(VLOOKUP(H44,'FE Déchets'!$I$106:$U$109,7,FALSE)),0,VLOOKUP(H44,'FE Déchets'!$I$106:$U$109,7,FALSE))</f>
        <v>0</v>
      </c>
      <c r="J44" s="356">
        <f t="shared" si="5"/>
        <v>0</v>
      </c>
      <c r="K44" s="151">
        <f>F44*I44</f>
        <v>0</v>
      </c>
      <c r="L44" s="151">
        <f>J44+K44</f>
        <v>0</v>
      </c>
      <c r="M44" s="1759"/>
      <c r="N44" s="1750"/>
      <c r="O44" s="1753"/>
      <c r="Q44" s="319">
        <f>IF(V44=0,V44,V44/L44)</f>
        <v>0</v>
      </c>
      <c r="R44" s="1218"/>
      <c r="S44" s="820"/>
      <c r="T44" s="219">
        <f>J44*AL44</f>
        <v>0</v>
      </c>
      <c r="U44" s="219">
        <f>K44*AN44</f>
        <v>0</v>
      </c>
      <c r="V44" s="152">
        <f>SQRT(SUMSQ(T44:U44))</f>
        <v>0</v>
      </c>
      <c r="X44" s="564">
        <f>J44</f>
        <v>0</v>
      </c>
      <c r="Y44" s="565">
        <f>F44*IF(ISNA(VLOOKUP(H44,'FE Déchets'!$I$106:$U$109,8,FALSE)),0,VLOOKUP(H44,'FE Déchets'!$I$106:$U$109,8,FALSE))</f>
        <v>0</v>
      </c>
      <c r="Z44" s="565"/>
      <c r="AA44" s="620">
        <f>F44*IF(ISNA(VLOOKUP(H44,'FE Déchets'!$I$106:$U$109,9,FALSE)+VLOOKUP(H44,'FE Déchets'!$I$106:$U$109,10,FALSE)),0,VLOOKUP(H44,'FE Déchets'!$I$106:$U$109,9,FALSE)+VLOOKUP(H44,'FE Déchets'!$I$106:$U$109,10,FALSE))</f>
        <v>0</v>
      </c>
      <c r="AB44" s="565"/>
      <c r="AC44" s="565">
        <f>F44*IF(ISNA(VLOOKUP(H44,'FE Déchets'!$I$106:$U$109,11,FALSE)),0,VLOOKUP(H44,'FE Déchets'!$I$106:$U$109,11,FALSE))</f>
        <v>0</v>
      </c>
      <c r="AD44" s="565"/>
      <c r="AE44" s="565">
        <f>F44*IF(ISNA(VLOOKUP(H44,'FE Déchets'!$I$106:$U$109,12,FALSE)),0,VLOOKUP(H44,'FE Déchets'!$I$106:$U$109,12,FALSE))</f>
        <v>0</v>
      </c>
      <c r="AF44" s="566">
        <f t="shared" si="4"/>
        <v>0</v>
      </c>
      <c r="AG44" s="567">
        <f t="shared" si="4"/>
        <v>0</v>
      </c>
      <c r="AH44" s="564"/>
      <c r="AI44" s="568">
        <f>F44*IF(ISNA(VLOOKUP(H44,'FE Déchets'!$I$106:$U$109,13,FALSE)),0,VLOOKUP(H44,'FE Déchets'!$I$106:$U$109,13,FALSE))</f>
        <v>0</v>
      </c>
      <c r="AK44" s="1065">
        <f>IF($R44&lt;&gt;"votre valeur :",IF(ISNA(VLOOKUP($R44,Utilitaires!$N$566:$O$571,2,FALSE)),,VLOOKUP($R44,Utilitaires!$N$566:$O$571,2,FALSE)),$S44)</f>
        <v>0</v>
      </c>
      <c r="AL44" s="2189">
        <f>SQRT(SUMSQ(AK44,VLOOKUP(B44,'FE Intrants'!E:U,9,FALSE)))/1000</f>
        <v>2.0000000000000001E-4</v>
      </c>
      <c r="AM44" s="1130"/>
      <c r="AN44" s="1167">
        <f>IF(ISNA(SQRT(SUMSQ(AK44,VLOOKUP(H44,'FE Déchets'!$I$106:$U$109,5,FALSE)))),AK44,SQRT(SUMSQ(AK44,VLOOKUP(H44,'FE Déchets'!$I$106:$U$109,5,FALSE))))</f>
        <v>0</v>
      </c>
    </row>
    <row r="45" spans="2:40" outlineLevel="1">
      <c r="B45" s="143"/>
      <c r="C45" s="144"/>
      <c r="D45" s="213"/>
      <c r="E45" s="221"/>
      <c r="F45" s="144"/>
      <c r="G45" s="144"/>
      <c r="H45" s="144"/>
      <c r="I45" s="144"/>
      <c r="J45" s="167"/>
      <c r="K45" s="167"/>
      <c r="L45" s="144"/>
      <c r="M45" s="1760"/>
      <c r="N45" s="1754"/>
      <c r="O45" s="1755"/>
      <c r="Q45" s="143"/>
      <c r="R45" s="144"/>
      <c r="S45" s="144"/>
      <c r="T45" s="1528"/>
      <c r="U45" s="1528"/>
      <c r="V45" s="152"/>
      <c r="X45" s="564"/>
      <c r="Y45" s="565"/>
      <c r="Z45" s="565"/>
      <c r="AA45" s="565"/>
      <c r="AB45" s="565"/>
      <c r="AC45" s="565"/>
      <c r="AD45" s="565"/>
      <c r="AE45" s="565"/>
      <c r="AF45" s="566"/>
      <c r="AG45" s="567"/>
      <c r="AH45" s="569"/>
      <c r="AI45" s="570"/>
      <c r="AK45" s="1142"/>
      <c r="AL45" s="1143"/>
      <c r="AM45" s="1143"/>
      <c r="AN45" s="1143"/>
    </row>
    <row r="46" spans="2:40" outlineLevel="1">
      <c r="B46" s="196" t="s">
        <v>348</v>
      </c>
      <c r="C46" s="197"/>
      <c r="D46" s="214">
        <f>SUM(D41:D45)</f>
        <v>0</v>
      </c>
      <c r="E46" s="214"/>
      <c r="F46" s="199"/>
      <c r="G46" s="199"/>
      <c r="H46" s="199"/>
      <c r="I46" s="199"/>
      <c r="J46" s="202">
        <f>SUM(J41:J45)</f>
        <v>0</v>
      </c>
      <c r="K46" s="202">
        <f>SUM(K41:K45)</f>
        <v>0</v>
      </c>
      <c r="L46" s="202">
        <f>SUM(L41:L45)</f>
        <v>0</v>
      </c>
      <c r="M46" s="1759"/>
      <c r="N46" s="1750"/>
      <c r="O46" s="1753"/>
      <c r="Q46" s="1204">
        <f>IF(V46=0,V46,V46/L46)</f>
        <v>0</v>
      </c>
      <c r="R46" s="199"/>
      <c r="S46" s="199"/>
      <c r="T46" s="203">
        <f>SQRT(SUMSQ(T41:T45))</f>
        <v>0</v>
      </c>
      <c r="U46" s="203">
        <f>SQRT(SUMSQ(U41:U45))</f>
        <v>0</v>
      </c>
      <c r="V46" s="200">
        <f>SQRT(SUMSQ(V41:V45))</f>
        <v>0</v>
      </c>
      <c r="X46" s="571">
        <f t="shared" ref="X46:AI46" si="6">SUM(X41:X45)</f>
        <v>0</v>
      </c>
      <c r="Y46" s="572">
        <f t="shared" si="6"/>
        <v>0</v>
      </c>
      <c r="Z46" s="572">
        <f t="shared" si="6"/>
        <v>0</v>
      </c>
      <c r="AA46" s="572">
        <f t="shared" si="6"/>
        <v>0</v>
      </c>
      <c r="AB46" s="572">
        <f t="shared" si="6"/>
        <v>0</v>
      </c>
      <c r="AC46" s="572">
        <f t="shared" si="6"/>
        <v>0</v>
      </c>
      <c r="AD46" s="572">
        <f t="shared" si="6"/>
        <v>0</v>
      </c>
      <c r="AE46" s="572">
        <f t="shared" si="6"/>
        <v>0</v>
      </c>
      <c r="AF46" s="573">
        <f t="shared" si="6"/>
        <v>0</v>
      </c>
      <c r="AG46" s="574">
        <f t="shared" si="6"/>
        <v>0</v>
      </c>
      <c r="AH46" s="571">
        <f t="shared" si="6"/>
        <v>0</v>
      </c>
      <c r="AI46" s="575">
        <f t="shared" si="6"/>
        <v>0</v>
      </c>
    </row>
    <row r="47" spans="2:40" outlineLevel="1">
      <c r="N47" s="1756"/>
      <c r="O47" s="256"/>
      <c r="T47" s="485"/>
      <c r="U47" s="485"/>
    </row>
    <row r="48" spans="2:40">
      <c r="N48" s="1756"/>
      <c r="O48" s="256"/>
      <c r="T48" s="485"/>
      <c r="U48" s="485"/>
    </row>
    <row r="49" spans="2:41" ht="15.6">
      <c r="B49" s="2652" t="s">
        <v>431</v>
      </c>
      <c r="C49" s="2653"/>
      <c r="D49" s="2653"/>
      <c r="E49" s="2653"/>
      <c r="F49" s="2653"/>
      <c r="G49" s="2653"/>
      <c r="H49" s="2653"/>
      <c r="I49" s="2653"/>
      <c r="J49" s="2653"/>
      <c r="K49" s="2653"/>
      <c r="L49" s="2653"/>
      <c r="M49" s="2653"/>
      <c r="N49" s="2653"/>
      <c r="O49" s="2654"/>
      <c r="T49" s="485"/>
      <c r="U49" s="485"/>
    </row>
    <row r="50" spans="2:41" outlineLevel="1">
      <c r="N50" s="1756"/>
      <c r="O50" s="256"/>
      <c r="T50" s="485"/>
      <c r="U50" s="485"/>
    </row>
    <row r="51" spans="2:41" ht="12.75" customHeight="1" outlineLevel="1">
      <c r="B51" s="139" t="s">
        <v>431</v>
      </c>
      <c r="C51" s="140"/>
      <c r="D51" s="290"/>
      <c r="E51" s="1648"/>
      <c r="F51" s="141"/>
      <c r="G51" s="141"/>
      <c r="H51" s="141"/>
      <c r="I51" s="141"/>
      <c r="J51" s="141"/>
      <c r="K51" s="141"/>
      <c r="L51" s="141"/>
      <c r="M51" s="141"/>
      <c r="N51" s="1757"/>
      <c r="O51" s="1751"/>
      <c r="Q51" s="1028" t="s">
        <v>366</v>
      </c>
      <c r="R51" s="1262"/>
      <c r="S51" s="1262"/>
      <c r="T51" s="1262"/>
      <c r="U51" s="1262"/>
      <c r="V51" s="1497"/>
      <c r="X51" s="2639" t="s">
        <v>441</v>
      </c>
      <c r="Y51" s="2640"/>
      <c r="Z51" s="2640"/>
      <c r="AA51" s="2640"/>
      <c r="AB51" s="2640"/>
      <c r="AC51" s="2640"/>
      <c r="AD51" s="2640"/>
      <c r="AE51" s="2640"/>
      <c r="AF51" s="2640"/>
      <c r="AG51" s="2640"/>
      <c r="AH51" s="2640"/>
      <c r="AI51" s="2641"/>
    </row>
    <row r="52" spans="2:41" ht="12.75" customHeight="1" outlineLevel="1">
      <c r="B52" s="332"/>
      <c r="C52" s="167"/>
      <c r="D52" s="291" t="s">
        <v>308</v>
      </c>
      <c r="E52" s="1663"/>
      <c r="F52" s="144"/>
      <c r="G52" s="144"/>
      <c r="H52" s="1662" t="s">
        <v>422</v>
      </c>
      <c r="I52" s="1662"/>
      <c r="J52" s="216" t="s">
        <v>344</v>
      </c>
      <c r="K52" s="144"/>
      <c r="L52" s="144"/>
      <c r="M52" s="144"/>
      <c r="N52" s="1758"/>
      <c r="O52" s="1752"/>
      <c r="Q52" s="298"/>
      <c r="R52" s="819"/>
      <c r="S52" s="827"/>
      <c r="T52" s="299"/>
      <c r="U52" s="299"/>
      <c r="V52" s="142"/>
      <c r="X52" s="2642" t="s">
        <v>444</v>
      </c>
      <c r="Y52" s="2643"/>
      <c r="Z52" s="2643"/>
      <c r="AA52" s="2643"/>
      <c r="AB52" s="2643"/>
      <c r="AC52" s="2643"/>
      <c r="AD52" s="2643"/>
      <c r="AE52" s="2643"/>
      <c r="AF52" s="2643" t="s">
        <v>444</v>
      </c>
      <c r="AG52" s="2644"/>
      <c r="AH52" s="577"/>
      <c r="AI52" s="578"/>
      <c r="AK52" s="2616" t="s">
        <v>1648</v>
      </c>
      <c r="AL52" s="2617"/>
      <c r="AM52" s="2617"/>
      <c r="AN52" s="2618"/>
    </row>
    <row r="53" spans="2:41" ht="12.75" customHeight="1" outlineLevel="1">
      <c r="B53" s="146"/>
      <c r="C53" s="292"/>
      <c r="D53" s="292" t="s">
        <v>409</v>
      </c>
      <c r="E53" s="1656"/>
      <c r="F53" s="147" t="s">
        <v>340</v>
      </c>
      <c r="G53" s="1660" t="s">
        <v>337</v>
      </c>
      <c r="H53" s="1377" t="s">
        <v>1994</v>
      </c>
      <c r="I53" s="147" t="s">
        <v>2380</v>
      </c>
      <c r="J53" s="292" t="s">
        <v>1994</v>
      </c>
      <c r="K53" s="525" t="s">
        <v>444</v>
      </c>
      <c r="L53" s="525" t="s">
        <v>444</v>
      </c>
      <c r="M53" s="525" t="s">
        <v>444</v>
      </c>
      <c r="N53" s="1758"/>
      <c r="O53" s="1752"/>
      <c r="Q53" s="1376" t="s">
        <v>316</v>
      </c>
      <c r="R53" s="2629" t="s">
        <v>530</v>
      </c>
      <c r="S53" s="2630"/>
      <c r="T53" s="1474" t="s">
        <v>444</v>
      </c>
      <c r="U53" s="1474" t="s">
        <v>444</v>
      </c>
      <c r="V53" s="1403" t="s">
        <v>444</v>
      </c>
      <c r="X53" s="2631" t="s">
        <v>211</v>
      </c>
      <c r="Y53" s="2632"/>
      <c r="Z53" s="2632" t="s">
        <v>442</v>
      </c>
      <c r="AA53" s="2632"/>
      <c r="AB53" s="2632" t="s">
        <v>267</v>
      </c>
      <c r="AC53" s="2632"/>
      <c r="AD53" s="2632" t="s">
        <v>443</v>
      </c>
      <c r="AE53" s="2632"/>
      <c r="AF53" s="2648" t="s">
        <v>327</v>
      </c>
      <c r="AG53" s="2649"/>
      <c r="AH53" s="2631" t="s">
        <v>636</v>
      </c>
      <c r="AI53" s="2650"/>
      <c r="AK53" s="2502" t="s">
        <v>2167</v>
      </c>
      <c r="AL53" s="1408" t="s">
        <v>422</v>
      </c>
      <c r="AM53" s="1408"/>
      <c r="AN53" s="1408" t="s">
        <v>344</v>
      </c>
    </row>
    <row r="54" spans="2:41" ht="12.75" customHeight="1" outlineLevel="1">
      <c r="B54" s="146"/>
      <c r="C54" s="292"/>
      <c r="D54" s="292" t="s">
        <v>444</v>
      </c>
      <c r="E54" s="1656"/>
      <c r="F54" s="1400" t="s">
        <v>419</v>
      </c>
      <c r="G54" s="1661"/>
      <c r="H54" s="1377"/>
      <c r="I54" s="1400" t="s">
        <v>265</v>
      </c>
      <c r="J54" s="292"/>
      <c r="K54" s="526" t="s">
        <v>422</v>
      </c>
      <c r="L54" s="526" t="s">
        <v>344</v>
      </c>
      <c r="M54" s="525" t="s">
        <v>327</v>
      </c>
      <c r="N54" s="1758"/>
      <c r="O54" s="1752"/>
      <c r="Q54" s="1376" t="s">
        <v>1649</v>
      </c>
      <c r="R54" s="2646"/>
      <c r="S54" s="2647"/>
      <c r="T54" s="1469" t="s">
        <v>422</v>
      </c>
      <c r="U54" s="1469" t="s">
        <v>344</v>
      </c>
      <c r="V54" s="162"/>
      <c r="X54" s="579" t="s">
        <v>422</v>
      </c>
      <c r="Y54" s="580" t="s">
        <v>344</v>
      </c>
      <c r="Z54" s="580" t="s">
        <v>422</v>
      </c>
      <c r="AA54" s="580" t="s">
        <v>344</v>
      </c>
      <c r="AB54" s="580" t="s">
        <v>422</v>
      </c>
      <c r="AC54" s="580" t="s">
        <v>344</v>
      </c>
      <c r="AD54" s="580" t="s">
        <v>422</v>
      </c>
      <c r="AE54" s="580" t="s">
        <v>344</v>
      </c>
      <c r="AF54" s="581" t="s">
        <v>422</v>
      </c>
      <c r="AG54" s="582" t="s">
        <v>344</v>
      </c>
      <c r="AH54" s="579" t="s">
        <v>422</v>
      </c>
      <c r="AI54" s="583" t="s">
        <v>344</v>
      </c>
      <c r="AK54" s="1065"/>
      <c r="AL54" s="1130"/>
      <c r="AM54" s="1130"/>
      <c r="AN54" s="1130"/>
    </row>
    <row r="55" spans="2:41" outlineLevel="1">
      <c r="B55" s="143" t="s">
        <v>2183</v>
      </c>
      <c r="C55" s="144"/>
      <c r="D55" s="212">
        <f>M55</f>
        <v>166200</v>
      </c>
      <c r="E55" s="212"/>
      <c r="F55" s="117">
        <v>100</v>
      </c>
      <c r="G55" s="164" t="str">
        <f>VLOOKUP(B55,'FE Intrants'!$C:$U,8,FALSE)</f>
        <v>kgCO2e/tonne</v>
      </c>
      <c r="H55" s="1457">
        <f>VLOOKUP($B55&amp;"; "&amp;$G55,'FE Intrants'!$G:$U,9,FALSE)</f>
        <v>670</v>
      </c>
      <c r="I55" s="117" t="s">
        <v>5143</v>
      </c>
      <c r="J55" s="219">
        <f>IF(ISNA(VLOOKUP(I55,'FE Déchets'!$I$57:$U$65,7,FALSE)),0,VLOOKUP(I55,'FE Déchets'!$I$57:$U$65,7,FALSE))</f>
        <v>992</v>
      </c>
      <c r="K55" s="356">
        <f>F55*H55</f>
        <v>67000</v>
      </c>
      <c r="L55" s="151">
        <f>F55*J55</f>
        <v>99200</v>
      </c>
      <c r="M55" s="151">
        <f>K55+L55</f>
        <v>166200</v>
      </c>
      <c r="N55" s="1759"/>
      <c r="O55" s="1753"/>
      <c r="Q55" s="319">
        <f>IF(V55=0,V55,V55/M55)</f>
        <v>0.14405111232796625</v>
      </c>
      <c r="R55" s="1218"/>
      <c r="S55" s="820"/>
      <c r="T55" s="219">
        <f>K55*AL55</f>
        <v>13400</v>
      </c>
      <c r="U55" s="219">
        <f>L55*AN55</f>
        <v>19840</v>
      </c>
      <c r="V55" s="152">
        <f>SQRT(SUMSQ(T55:U55))</f>
        <v>23941.294868907989</v>
      </c>
      <c r="X55" s="564">
        <f>K55</f>
        <v>67000</v>
      </c>
      <c r="Y55" s="565">
        <f>F55*IF(ISNA(VLOOKUP(I55,'FE Déchets'!$I$57:$U$65,8,FALSE)),0,VLOOKUP(I55,'FE Déchets'!$I$57:$U$65,8,FALSE))</f>
        <v>99200</v>
      </c>
      <c r="Z55" s="565"/>
      <c r="AA55" s="620">
        <f>F55*IF(ISNA(VLOOKUP(I55,'FE Déchets'!$I$57:$U$65,9,FALSE)+VLOOKUP(I55,'FE Déchets'!$I$57:$U$65,10,FALSE)),0,VLOOKUP(I55,'FE Déchets'!$I$57:$U$65,9,FALSE)+VLOOKUP(I55,'FE Déchets'!$I$57:$U$65,10,FALSE))</f>
        <v>0</v>
      </c>
      <c r="AB55" s="565"/>
      <c r="AC55" s="565">
        <f>F55*IF(ISNA(VLOOKUP(I55,'FE Déchets'!$I$57:$U$65,11,FALSE)),0,VLOOKUP(I55,'FE Déchets'!$I$57:$U$65,11,FALSE))</f>
        <v>0</v>
      </c>
      <c r="AD55" s="565"/>
      <c r="AE55" s="565">
        <f>F55*IF(ISNA(VLOOKUP(I55,'FE Déchets'!$I$57:$U$65,12,FALSE)),0,VLOOKUP(I55,'FE Déchets'!$I$57:$U$65,12,FALSE))</f>
        <v>0</v>
      </c>
      <c r="AF55" s="566">
        <f t="shared" ref="AF55:AG57" si="7">SUM(X55,Z55,AB55,AD55)</f>
        <v>67000</v>
      </c>
      <c r="AG55" s="567">
        <f t="shared" si="7"/>
        <v>99200</v>
      </c>
      <c r="AH55" s="564"/>
      <c r="AI55" s="568">
        <f>F55*IF(ISNA(VLOOKUP(I55,'FE Déchets'!$I$57:$U$65,13,FALSE)),0,VLOOKUP(I55,'FE Déchets'!$I$57:$U$65,13,FALSE))</f>
        <v>0</v>
      </c>
      <c r="AK55" s="1065">
        <f>IF($R55&lt;&gt;"votre valeur :",IF(ISNA(VLOOKUP($R55,Utilitaires!$N$566:$O$571,2,FALSE)),,VLOOKUP($R55,Utilitaires!$N$566:$O$571,2,FALSE)),$S55)</f>
        <v>0</v>
      </c>
      <c r="AL55" s="1130">
        <f>SQRT(SUMSQ(AK55,VLOOKUP(B55&amp;"; "&amp;$G55,'FE Intrants'!G:U,7,FALSE)))</f>
        <v>0.2</v>
      </c>
      <c r="AM55" s="1130"/>
      <c r="AN55" s="1130">
        <f>IF(ISNA(SQRT(SUMSQ(AK55,VLOOKUP(I55,'FE Déchets'!$I$57:$U$65,5,FALSE)))),AK55,SQRT(SUMSQ(AK55,VLOOKUP(I55,'FE Déchets'!$I$57:$U$65,5,FALSE))))</f>
        <v>0.2</v>
      </c>
    </row>
    <row r="56" spans="2:41" outlineLevel="1">
      <c r="B56" s="143" t="s">
        <v>2183</v>
      </c>
      <c r="C56" s="144"/>
      <c r="D56" s="212">
        <f>M56</f>
        <v>0</v>
      </c>
      <c r="E56" s="212"/>
      <c r="F56" s="120"/>
      <c r="G56" s="164" t="str">
        <f>VLOOKUP(B56,'FE Intrants'!$C:$U,8,FALSE)</f>
        <v>kgCO2e/tonne</v>
      </c>
      <c r="H56" s="1457">
        <f>VLOOKUP($B56&amp;"; "&amp;$G56,'FE Intrants'!$G:$U,9,FALSE)</f>
        <v>670</v>
      </c>
      <c r="I56" s="120"/>
      <c r="J56" s="219">
        <f>IF(ISNA(VLOOKUP(I56,'FE Déchets'!$I$57:$U$65,7,FALSE)),0,VLOOKUP(I56,'FE Déchets'!$I$57:$U$65,7,FALSE))</f>
        <v>0</v>
      </c>
      <c r="K56" s="356">
        <f>F56*H56</f>
        <v>0</v>
      </c>
      <c r="L56" s="151">
        <f>F56*J56</f>
        <v>0</v>
      </c>
      <c r="M56" s="151">
        <f>K56+L56</f>
        <v>0</v>
      </c>
      <c r="N56" s="1759"/>
      <c r="O56" s="1753"/>
      <c r="Q56" s="319">
        <f>IF(V56=0,V56,V56/M56)</f>
        <v>0</v>
      </c>
      <c r="R56" s="1218"/>
      <c r="S56" s="820"/>
      <c r="T56" s="219">
        <f>K56*AL56</f>
        <v>0</v>
      </c>
      <c r="U56" s="219">
        <f>L56*AN56</f>
        <v>0</v>
      </c>
      <c r="V56" s="152">
        <f>SQRT(SUMSQ(T56:U56))</f>
        <v>0</v>
      </c>
      <c r="X56" s="564">
        <f>K56</f>
        <v>0</v>
      </c>
      <c r="Y56" s="565">
        <f>F56*IF(ISNA(VLOOKUP(I56,'FE Déchets'!$I$57:$U$65,8,FALSE)),0,VLOOKUP(I56,'FE Déchets'!$I$57:$U$65,8,FALSE))</f>
        <v>0</v>
      </c>
      <c r="Z56" s="565"/>
      <c r="AA56" s="620">
        <f>F56*IF(ISNA(VLOOKUP(I56,'FE Déchets'!$I$57:$U$65,9,FALSE)+VLOOKUP(I56,'FE Déchets'!$I$57:$U$65,10,FALSE)),0,VLOOKUP(I56,'FE Déchets'!$I$57:$U$65,9,FALSE)+VLOOKUP(I56,'FE Déchets'!$I$57:$U$65,10,FALSE))</f>
        <v>0</v>
      </c>
      <c r="AB56" s="565"/>
      <c r="AC56" s="565">
        <f>F56*IF(ISNA(VLOOKUP(I56,'FE Déchets'!$I$57:$U$65,11,FALSE)),0,VLOOKUP(I56,'FE Déchets'!$I$57:$U$65,11,FALSE))</f>
        <v>0</v>
      </c>
      <c r="AD56" s="565"/>
      <c r="AE56" s="565">
        <f>F56*IF(ISNA(VLOOKUP(I56,'FE Déchets'!$I$57:$U$65,12,FALSE)),0,VLOOKUP(I56,'FE Déchets'!$I$57:$U$65,12,FALSE))</f>
        <v>0</v>
      </c>
      <c r="AF56" s="566">
        <f t="shared" si="7"/>
        <v>0</v>
      </c>
      <c r="AG56" s="567">
        <f t="shared" si="7"/>
        <v>0</v>
      </c>
      <c r="AH56" s="564"/>
      <c r="AI56" s="568">
        <f>F56*IF(ISNA(VLOOKUP(I56,'FE Déchets'!$I$57:$U$65,13,FALSE)),0,VLOOKUP(I56,'FE Déchets'!$I$57:$U$65,13,FALSE))</f>
        <v>0</v>
      </c>
      <c r="AK56" s="1065">
        <f>IF($R56&lt;&gt;"votre valeur :",IF(ISNA(VLOOKUP($R56,Utilitaires!$N$566:$O$571,2,FALSE)),,VLOOKUP($R56,Utilitaires!$N$566:$O$571,2,FALSE)),$S56)</f>
        <v>0</v>
      </c>
      <c r="AL56" s="1130">
        <f>SQRT(SUMSQ(AK56,VLOOKUP(B56&amp;"; "&amp;$G56,'FE Intrants'!G:U,7,FALSE)))</f>
        <v>0.2</v>
      </c>
      <c r="AM56" s="1130"/>
      <c r="AN56" s="1130">
        <f>IF(ISNA(SQRT(SUMSQ(AK56,VLOOKUP(I56,'FE Déchets'!$I$57:$U$65,5,FALSE)))),AK56,SQRT(SUMSQ(AK56,VLOOKUP(I56,'FE Déchets'!$I$57:$U$65,5,FALSE))))</f>
        <v>0</v>
      </c>
    </row>
    <row r="57" spans="2:41" outlineLevel="1">
      <c r="B57" s="143" t="s">
        <v>2385</v>
      </c>
      <c r="C57" s="144"/>
      <c r="D57" s="212">
        <f>M57</f>
        <v>0</v>
      </c>
      <c r="E57" s="212"/>
      <c r="F57" s="123"/>
      <c r="G57" s="164" t="str">
        <f>VLOOKUP(B57,'FE Intrants'!$C:$U,8,FALSE)</f>
        <v>kgCO2e/tonne</v>
      </c>
      <c r="H57" s="1457">
        <f>VLOOKUP($B57&amp;"; "&amp;$G57,'FE Intrants'!$G:$U,9,FALSE)</f>
        <v>919</v>
      </c>
      <c r="I57" s="123"/>
      <c r="J57" s="219">
        <f>IF(ISNA(VLOOKUP(I57,'FE Déchets'!$I$57:$U$65,7,FALSE)),0,VLOOKUP(I57,'FE Déchets'!$I$57:$U$65,7,FALSE))</f>
        <v>0</v>
      </c>
      <c r="K57" s="356">
        <f>F57*H57</f>
        <v>0</v>
      </c>
      <c r="L57" s="151">
        <f>F57*J57</f>
        <v>0</v>
      </c>
      <c r="M57" s="151">
        <f>K57+L57</f>
        <v>0</v>
      </c>
      <c r="N57" s="1759"/>
      <c r="O57" s="1753"/>
      <c r="Q57" s="319">
        <f>IF(V57=0,V57,V57/M57)</f>
        <v>0</v>
      </c>
      <c r="R57" s="1218"/>
      <c r="S57" s="820"/>
      <c r="T57" s="219">
        <f>K57*AL57</f>
        <v>0</v>
      </c>
      <c r="U57" s="219">
        <f>L57*AN57</f>
        <v>0</v>
      </c>
      <c r="V57" s="152">
        <f>SQRT(SUMSQ(T57:U57))</f>
        <v>0</v>
      </c>
      <c r="X57" s="564">
        <f>K57</f>
        <v>0</v>
      </c>
      <c r="Y57" s="565">
        <f>F57*IF(ISNA(VLOOKUP(I57,'FE Déchets'!$I$57:$U$65,8,FALSE)),0,VLOOKUP(I57,'FE Déchets'!$I$57:$U$65,8,FALSE))</f>
        <v>0</v>
      </c>
      <c r="Z57" s="565"/>
      <c r="AA57" s="620">
        <f>F57*IF(ISNA(VLOOKUP(I57,'FE Déchets'!$I$57:$U$65,9,FALSE)+VLOOKUP(I57,'FE Déchets'!$I$57:$U$65,10,FALSE)),0,VLOOKUP(I57,'FE Déchets'!$I$57:$U$65,9,FALSE)+VLOOKUP(I57,'FE Déchets'!$I$57:$U$65,10,FALSE))</f>
        <v>0</v>
      </c>
      <c r="AB57" s="565"/>
      <c r="AC57" s="565">
        <f>F57*IF(ISNA(VLOOKUP(I57,'FE Déchets'!$I$57:$U$65,11,FALSE)),0,VLOOKUP(I57,'FE Déchets'!$I$57:$U$65,11,FALSE))</f>
        <v>0</v>
      </c>
      <c r="AD57" s="565"/>
      <c r="AE57" s="565">
        <f>F57*IF(ISNA(VLOOKUP(I57,'FE Déchets'!$I$57:$U$65,12,FALSE)),0,VLOOKUP(I57,'FE Déchets'!$I$57:$U$65,12,FALSE))</f>
        <v>0</v>
      </c>
      <c r="AF57" s="566">
        <f t="shared" si="7"/>
        <v>0</v>
      </c>
      <c r="AG57" s="567">
        <f t="shared" si="7"/>
        <v>0</v>
      </c>
      <c r="AH57" s="564"/>
      <c r="AI57" s="568">
        <f>F57*IF(ISNA(VLOOKUP(I57,'FE Déchets'!$I$57:$U$65,13,FALSE)),0,VLOOKUP(I57,'FE Déchets'!$I$57:$U$65,13,FALSE))</f>
        <v>0</v>
      </c>
      <c r="AK57" s="1065">
        <f>IF($R57&lt;&gt;"votre valeur :",IF(ISNA(VLOOKUP($R57,Utilitaires!$N$566:$O$571,2,FALSE)),,VLOOKUP($R57,Utilitaires!$N$566:$O$571,2,FALSE)),$S57)</f>
        <v>0</v>
      </c>
      <c r="AL57" s="1130">
        <f>SQRT(SUMSQ(AK57,VLOOKUP(B57&amp;"; "&amp;$G57,'FE Intrants'!G:U,7,FALSE)))</f>
        <v>0.2</v>
      </c>
      <c r="AM57" s="1130"/>
      <c r="AN57" s="1130">
        <f>IF(ISNA(SQRT(SUMSQ(AK57,VLOOKUP(I57,'FE Déchets'!$I$57:$U$65,5,FALSE)))),AK57,SQRT(SUMSQ(AK57,VLOOKUP(I57,'FE Déchets'!$I$57:$U$65,5,FALSE))))</f>
        <v>0</v>
      </c>
    </row>
    <row r="58" spans="2:41" outlineLevel="1">
      <c r="B58" s="143"/>
      <c r="C58" s="144"/>
      <c r="D58" s="213"/>
      <c r="E58" s="212"/>
      <c r="F58" s="144"/>
      <c r="G58" s="144"/>
      <c r="H58" s="144"/>
      <c r="I58" s="144"/>
      <c r="J58" s="144"/>
      <c r="K58" s="167"/>
      <c r="L58" s="167"/>
      <c r="M58" s="144"/>
      <c r="N58" s="1760"/>
      <c r="O58" s="1753"/>
      <c r="Q58" s="143"/>
      <c r="R58" s="144"/>
      <c r="S58" s="144"/>
      <c r="T58" s="219"/>
      <c r="U58" s="219"/>
      <c r="V58" s="152"/>
      <c r="X58" s="564"/>
      <c r="Y58" s="565"/>
      <c r="Z58" s="565"/>
      <c r="AA58" s="565"/>
      <c r="AB58" s="565"/>
      <c r="AC58" s="565"/>
      <c r="AD58" s="565"/>
      <c r="AE58" s="565"/>
      <c r="AF58" s="566"/>
      <c r="AG58" s="567"/>
      <c r="AH58" s="569"/>
      <c r="AI58" s="570"/>
      <c r="AK58" s="1142"/>
      <c r="AL58" s="1143"/>
      <c r="AM58" s="1143"/>
      <c r="AN58" s="1143"/>
    </row>
    <row r="59" spans="2:41" outlineLevel="1">
      <c r="B59" s="196" t="s">
        <v>348</v>
      </c>
      <c r="C59" s="197"/>
      <c r="D59" s="214">
        <f>SUM(D55:D58)</f>
        <v>166200</v>
      </c>
      <c r="E59" s="214"/>
      <c r="F59" s="199"/>
      <c r="G59" s="199"/>
      <c r="H59" s="199"/>
      <c r="I59" s="199"/>
      <c r="J59" s="199"/>
      <c r="K59" s="202">
        <f>SUM(K55:K58)</f>
        <v>67000</v>
      </c>
      <c r="L59" s="202">
        <f>SUM(L55:L58)</f>
        <v>99200</v>
      </c>
      <c r="M59" s="202">
        <f>SUM(M55:M58)</f>
        <v>166200</v>
      </c>
      <c r="N59" s="1759"/>
      <c r="O59" s="1753"/>
      <c r="Q59" s="1204">
        <f>IF(V59=0,V59,V59/M59)</f>
        <v>0.14405111232796625</v>
      </c>
      <c r="R59" s="199"/>
      <c r="S59" s="199"/>
      <c r="T59" s="203">
        <f>SQRT(SUMSQ(T54:T58))</f>
        <v>13400</v>
      </c>
      <c r="U59" s="203">
        <f>SQRT(SUMSQ(U54:U58))</f>
        <v>19840</v>
      </c>
      <c r="V59" s="200">
        <f>SQRT(SUMSQ(V55:V58))</f>
        <v>23941.294868907989</v>
      </c>
      <c r="X59" s="571">
        <f t="shared" ref="X59:AI59" si="8">SUM(X55:X58)</f>
        <v>67000</v>
      </c>
      <c r="Y59" s="572">
        <f t="shared" si="8"/>
        <v>99200</v>
      </c>
      <c r="Z59" s="572">
        <f t="shared" si="8"/>
        <v>0</v>
      </c>
      <c r="AA59" s="572">
        <f t="shared" si="8"/>
        <v>0</v>
      </c>
      <c r="AB59" s="572">
        <f t="shared" si="8"/>
        <v>0</v>
      </c>
      <c r="AC59" s="572">
        <f t="shared" si="8"/>
        <v>0</v>
      </c>
      <c r="AD59" s="572">
        <f t="shared" si="8"/>
        <v>0</v>
      </c>
      <c r="AE59" s="572">
        <f t="shared" si="8"/>
        <v>0</v>
      </c>
      <c r="AF59" s="573">
        <f t="shared" si="8"/>
        <v>67000</v>
      </c>
      <c r="AG59" s="574">
        <f t="shared" si="8"/>
        <v>99200</v>
      </c>
      <c r="AH59" s="571">
        <f t="shared" si="8"/>
        <v>0</v>
      </c>
      <c r="AI59" s="575">
        <f t="shared" si="8"/>
        <v>0</v>
      </c>
    </row>
    <row r="60" spans="2:41">
      <c r="N60" s="256"/>
      <c r="O60" s="256"/>
    </row>
    <row r="61" spans="2:41" ht="15.6">
      <c r="B61" s="2776" t="s">
        <v>2526</v>
      </c>
      <c r="C61" s="2777"/>
      <c r="D61" s="2777"/>
      <c r="E61" s="2777"/>
      <c r="F61" s="2777"/>
      <c r="G61" s="2777"/>
      <c r="H61" s="2777"/>
      <c r="I61" s="2777"/>
      <c r="J61" s="2777"/>
      <c r="K61" s="2777"/>
      <c r="L61" s="2777"/>
      <c r="M61" s="2777"/>
      <c r="N61" s="2777"/>
      <c r="O61" s="2778"/>
      <c r="T61" s="441"/>
      <c r="V61" s="441"/>
      <c r="AJ61" s="441"/>
      <c r="AK61" s="441"/>
      <c r="AL61" s="441"/>
      <c r="AM61" s="441"/>
      <c r="AN61" s="441"/>
      <c r="AO61" s="441"/>
    </row>
    <row r="62" spans="2:41" outlineLevel="1">
      <c r="T62" s="441"/>
      <c r="V62" s="441"/>
      <c r="AJ62" s="441"/>
      <c r="AK62" s="441"/>
      <c r="AL62" s="441"/>
      <c r="AM62" s="441"/>
      <c r="AN62" s="441"/>
      <c r="AO62" s="441"/>
    </row>
    <row r="63" spans="2:41" ht="12.75" customHeight="1" outlineLevel="1">
      <c r="B63" s="1906" t="s">
        <v>2526</v>
      </c>
      <c r="C63" s="1907"/>
      <c r="D63" s="1908"/>
      <c r="E63" s="1908"/>
      <c r="F63" s="1908"/>
      <c r="G63" s="1908"/>
      <c r="H63" s="1909"/>
      <c r="J63" s="2779" t="s">
        <v>2556</v>
      </c>
      <c r="K63" s="2780"/>
      <c r="L63" s="2780"/>
      <c r="M63" s="2780"/>
      <c r="N63" s="2780"/>
      <c r="O63" s="2781"/>
      <c r="Q63" s="2788" t="s">
        <v>366</v>
      </c>
      <c r="R63" s="2789"/>
      <c r="S63" s="441"/>
      <c r="T63" s="441"/>
      <c r="U63" s="441"/>
      <c r="V63" s="441"/>
      <c r="W63" s="441"/>
      <c r="Y63" s="114"/>
      <c r="Z63" s="114"/>
      <c r="AJ63" s="441"/>
      <c r="AK63" s="441"/>
      <c r="AL63" s="441"/>
      <c r="AM63" s="441"/>
      <c r="AN63" s="441"/>
      <c r="AO63" s="441"/>
    </row>
    <row r="64" spans="2:41" ht="12.75" customHeight="1" outlineLevel="1">
      <c r="B64" s="1910"/>
      <c r="C64" s="1911"/>
      <c r="D64" s="1912" t="s">
        <v>308</v>
      </c>
      <c r="E64" s="1912"/>
      <c r="F64" s="1912"/>
      <c r="G64" s="1912"/>
      <c r="H64" s="1913"/>
      <c r="J64" s="2782"/>
      <c r="K64" s="2783"/>
      <c r="L64" s="2783"/>
      <c r="M64" s="2783"/>
      <c r="N64" s="2783"/>
      <c r="O64" s="2784"/>
      <c r="Q64" s="1914"/>
      <c r="R64" s="1926"/>
      <c r="S64" s="441"/>
      <c r="T64" s="441"/>
      <c r="U64" s="441"/>
      <c r="V64" s="441"/>
      <c r="W64" s="441"/>
      <c r="Y64" s="114"/>
      <c r="Z64" s="114"/>
      <c r="AJ64" s="441"/>
      <c r="AK64" s="441"/>
      <c r="AL64" s="441"/>
      <c r="AM64" s="441"/>
      <c r="AN64" s="441"/>
      <c r="AO64" s="441"/>
    </row>
    <row r="65" spans="2:41" ht="12.75" customHeight="1" outlineLevel="1">
      <c r="B65" s="1914"/>
      <c r="C65" s="1915"/>
      <c r="D65" s="1915" t="s">
        <v>2524</v>
      </c>
      <c r="E65" s="1915"/>
      <c r="F65" s="1916" t="s">
        <v>199</v>
      </c>
      <c r="G65" s="452" t="s">
        <v>1585</v>
      </c>
      <c r="H65" s="1913" t="s">
        <v>444</v>
      </c>
      <c r="J65" s="2782"/>
      <c r="K65" s="2783"/>
      <c r="L65" s="2783"/>
      <c r="M65" s="2783"/>
      <c r="N65" s="2783"/>
      <c r="O65" s="2784"/>
      <c r="Q65" s="1914" t="s">
        <v>316</v>
      </c>
      <c r="R65" s="1913" t="s">
        <v>444</v>
      </c>
      <c r="S65" s="441"/>
      <c r="T65" s="441"/>
      <c r="U65" s="441"/>
      <c r="V65" s="441"/>
      <c r="W65" s="441"/>
      <c r="Y65" s="114"/>
      <c r="Z65" s="114"/>
      <c r="AJ65" s="441"/>
      <c r="AK65" s="441"/>
      <c r="AL65" s="441"/>
      <c r="AM65" s="441"/>
      <c r="AN65" s="441"/>
      <c r="AO65" s="441"/>
    </row>
    <row r="66" spans="2:41" ht="12.75" customHeight="1" outlineLevel="1">
      <c r="B66" s="1914"/>
      <c r="C66" s="1915"/>
      <c r="D66" s="1915" t="s">
        <v>444</v>
      </c>
      <c r="E66" s="1915"/>
      <c r="F66" s="1917" t="s">
        <v>22</v>
      </c>
      <c r="G66" s="1918" t="s">
        <v>2525</v>
      </c>
      <c r="H66" s="1913"/>
      <c r="J66" s="2782"/>
      <c r="K66" s="2783"/>
      <c r="L66" s="2783"/>
      <c r="M66" s="2783"/>
      <c r="N66" s="2783"/>
      <c r="O66" s="2784"/>
      <c r="Q66" s="1914" t="s">
        <v>2557</v>
      </c>
      <c r="R66" s="1913"/>
      <c r="S66" s="441"/>
      <c r="T66" s="441"/>
      <c r="U66" s="441"/>
      <c r="V66" s="441"/>
      <c r="W66" s="441"/>
      <c r="Y66" s="114"/>
      <c r="Z66" s="114"/>
      <c r="AJ66" s="441"/>
      <c r="AK66" s="441"/>
      <c r="AL66" s="441"/>
      <c r="AM66" s="441"/>
      <c r="AN66" s="441"/>
      <c r="AO66" s="441"/>
    </row>
    <row r="67" spans="2:41" ht="12.75" customHeight="1" outlineLevel="1">
      <c r="B67" s="1919" t="s">
        <v>2168</v>
      </c>
      <c r="C67" s="1920"/>
      <c r="D67" s="1921">
        <f>H67</f>
        <v>0</v>
      </c>
      <c r="E67" s="1921"/>
      <c r="F67" s="117"/>
      <c r="G67" s="1922">
        <f>IF(ISNA(VLOOKUP($B67,'FE Intrants'!$I$81:$O$92,7,FALSE)),0,VLOOKUP($B67,'FE Intrants'!$I$81:$O$92,7,FALSE))</f>
        <v>2181</v>
      </c>
      <c r="H67" s="1924">
        <f>F67*G67</f>
        <v>0</v>
      </c>
      <c r="J67" s="2782"/>
      <c r="K67" s="2783"/>
      <c r="L67" s="2783"/>
      <c r="M67" s="2783"/>
      <c r="N67" s="2783"/>
      <c r="O67" s="2784"/>
      <c r="Q67" s="1927">
        <f>VLOOKUP(B67,'FE Intrants'!$I$81:$M$92,5,FALSE)</f>
        <v>0.28284271247461906</v>
      </c>
      <c r="R67" s="1924">
        <f>H67*Q67</f>
        <v>0</v>
      </c>
      <c r="S67" s="441"/>
      <c r="T67" s="441"/>
      <c r="U67" s="441"/>
      <c r="V67" s="441"/>
      <c r="W67" s="441"/>
      <c r="Y67" s="114"/>
      <c r="Z67" s="114"/>
      <c r="AJ67" s="441"/>
      <c r="AK67" s="441"/>
      <c r="AL67" s="441"/>
      <c r="AM67" s="441"/>
      <c r="AN67" s="441"/>
      <c r="AO67" s="441"/>
    </row>
    <row r="68" spans="2:41" ht="12.75" customHeight="1" outlineLevel="1">
      <c r="B68" s="1919" t="s">
        <v>1202</v>
      </c>
      <c r="C68" s="1920"/>
      <c r="D68" s="1921">
        <f>H68</f>
        <v>0</v>
      </c>
      <c r="E68" s="1921"/>
      <c r="F68" s="120"/>
      <c r="G68" s="1922">
        <f>IF(ISNA(VLOOKUP($B68,'FE Intrants'!$I$81:$O$92,7,FALSE)),0,VLOOKUP($B68,'FE Intrants'!$I$81:$O$92,7,FALSE))</f>
        <v>1272</v>
      </c>
      <c r="H68" s="1924">
        <f>F68*G68</f>
        <v>0</v>
      </c>
      <c r="J68" s="2782"/>
      <c r="K68" s="2783"/>
      <c r="L68" s="2783"/>
      <c r="M68" s="2783"/>
      <c r="N68" s="2783"/>
      <c r="O68" s="2784"/>
      <c r="Q68" s="1927">
        <f>VLOOKUP(B68,'FE Intrants'!$I$81:$M$92,5,FALSE)</f>
        <v>0.14142135623730953</v>
      </c>
      <c r="R68" s="1924">
        <f>H68*Q68</f>
        <v>0</v>
      </c>
      <c r="S68" s="441"/>
      <c r="T68" s="441"/>
      <c r="U68" s="441"/>
      <c r="V68" s="441"/>
      <c r="W68" s="441"/>
      <c r="Y68" s="114"/>
      <c r="Z68" s="114"/>
      <c r="AJ68" s="441"/>
      <c r="AK68" s="441"/>
      <c r="AL68" s="441"/>
      <c r="AM68" s="441"/>
      <c r="AN68" s="441"/>
      <c r="AO68" s="441"/>
    </row>
    <row r="69" spans="2:41" ht="12.75" customHeight="1" outlineLevel="1">
      <c r="B69" s="1919" t="s">
        <v>367</v>
      </c>
      <c r="C69" s="1920"/>
      <c r="D69" s="1921">
        <f>H69</f>
        <v>0</v>
      </c>
      <c r="E69" s="1921"/>
      <c r="F69" s="123"/>
      <c r="G69" s="1922">
        <f>IF(ISNA(VLOOKUP($B69,'FE Intrants'!$I$81:$O$96,7,FALSE)),0,VLOOKUP($B69,'FE Intrants'!$I$81:$O$96,7,FALSE))</f>
        <v>-20</v>
      </c>
      <c r="H69" s="1924">
        <f>F69*G69</f>
        <v>0</v>
      </c>
      <c r="J69" s="2782"/>
      <c r="K69" s="2783"/>
      <c r="L69" s="2783"/>
      <c r="M69" s="2783"/>
      <c r="N69" s="2783"/>
      <c r="O69" s="2784"/>
      <c r="Q69" s="1927">
        <f>VLOOKUP(B69,'FE Intrants'!$I$81:$M$96,5,FALSE)</f>
        <v>0.28284271247461906</v>
      </c>
      <c r="R69" s="1924">
        <f>H69*Q69</f>
        <v>0</v>
      </c>
      <c r="S69" s="441"/>
      <c r="T69" s="441"/>
      <c r="U69" s="441"/>
      <c r="V69" s="441"/>
      <c r="W69" s="441"/>
      <c r="Y69" s="114"/>
      <c r="Z69" s="114"/>
      <c r="AJ69" s="441"/>
      <c r="AK69" s="441"/>
      <c r="AL69" s="441"/>
      <c r="AM69" s="441"/>
      <c r="AN69" s="441"/>
      <c r="AO69" s="441"/>
    </row>
    <row r="70" spans="2:41" ht="12.75" customHeight="1" outlineLevel="1">
      <c r="B70" s="452"/>
      <c r="C70" s="453"/>
      <c r="D70" s="1922"/>
      <c r="E70" s="1922"/>
      <c r="F70" s="1923"/>
      <c r="G70" s="1925"/>
      <c r="H70" s="1924"/>
      <c r="J70" s="2782"/>
      <c r="K70" s="2783"/>
      <c r="L70" s="2783"/>
      <c r="M70" s="2783"/>
      <c r="N70" s="2783"/>
      <c r="O70" s="2784"/>
      <c r="Q70" s="1927"/>
      <c r="R70" s="1928"/>
      <c r="S70" s="441"/>
      <c r="T70" s="441"/>
      <c r="U70" s="441"/>
      <c r="V70" s="441"/>
      <c r="W70" s="441"/>
      <c r="Y70" s="114"/>
      <c r="Z70" s="114"/>
      <c r="AJ70" s="441"/>
      <c r="AK70" s="441"/>
      <c r="AL70" s="441"/>
      <c r="AM70" s="441"/>
      <c r="AN70" s="441"/>
      <c r="AO70" s="441"/>
    </row>
    <row r="71" spans="2:41" ht="12.75" customHeight="1" outlineLevel="1">
      <c r="B71" s="1929" t="s">
        <v>348</v>
      </c>
      <c r="C71" s="1930"/>
      <c r="D71" s="1931">
        <f>SUM(D67:D70)</f>
        <v>0</v>
      </c>
      <c r="E71" s="1931"/>
      <c r="F71" s="1932"/>
      <c r="G71" s="1932"/>
      <c r="H71" s="1933">
        <f>SUM(H67:H70)</f>
        <v>0</v>
      </c>
      <c r="J71" s="2785"/>
      <c r="K71" s="2786"/>
      <c r="L71" s="2786"/>
      <c r="M71" s="2786"/>
      <c r="N71" s="2786"/>
      <c r="O71" s="2787"/>
      <c r="Q71" s="1934">
        <f>IF(R71=0,R71,R71/H71)</f>
        <v>0</v>
      </c>
      <c r="R71" s="1933">
        <f>SQRT(SUMSQ(R67:R70))</f>
        <v>0</v>
      </c>
      <c r="S71" s="441"/>
      <c r="T71" s="441"/>
      <c r="U71" s="441"/>
      <c r="V71" s="441"/>
      <c r="W71" s="441"/>
      <c r="Y71" s="114"/>
      <c r="Z71" s="114"/>
      <c r="AJ71" s="441"/>
      <c r="AK71" s="441"/>
      <c r="AL71" s="441"/>
      <c r="AM71" s="441"/>
      <c r="AN71" s="441"/>
      <c r="AO71" s="441"/>
    </row>
    <row r="72" spans="2:41">
      <c r="N72" s="256"/>
      <c r="O72" s="256"/>
    </row>
    <row r="73" spans="2:41" ht="20.100000000000001" customHeight="1">
      <c r="B73" s="2664" t="s">
        <v>518</v>
      </c>
      <c r="C73" s="2665"/>
      <c r="D73" s="2665"/>
      <c r="E73" s="2665"/>
      <c r="F73" s="2665"/>
      <c r="G73" s="2665"/>
      <c r="H73" s="2665"/>
      <c r="I73" s="2665"/>
      <c r="J73" s="2665"/>
      <c r="K73" s="2665"/>
      <c r="L73" s="2665"/>
      <c r="M73" s="2665"/>
      <c r="N73" s="2665"/>
      <c r="O73" s="2666"/>
      <c r="P73" s="130"/>
      <c r="Q73" s="130"/>
      <c r="R73" s="130"/>
      <c r="S73" s="130"/>
      <c r="T73" s="130"/>
      <c r="U73" s="130"/>
      <c r="V73" s="130"/>
      <c r="W73" s="130"/>
    </row>
    <row r="74" spans="2:41"/>
    <row r="75" spans="2:41" ht="14.25" customHeight="1">
      <c r="B75" s="2667" t="str">
        <f>Descriptif!C29</f>
        <v>Futurs emballages</v>
      </c>
      <c r="C75" s="2668"/>
      <c r="D75" s="273" t="s">
        <v>332</v>
      </c>
      <c r="E75" s="273" t="s">
        <v>265</v>
      </c>
      <c r="F75" s="2671" t="s">
        <v>545</v>
      </c>
      <c r="G75" s="2672"/>
      <c r="H75" s="2673"/>
      <c r="I75" s="235"/>
      <c r="J75" s="2671" t="s">
        <v>159</v>
      </c>
      <c r="K75" s="2673"/>
      <c r="L75" s="170"/>
      <c r="M75" s="2674" t="s">
        <v>499</v>
      </c>
      <c r="N75" s="2675"/>
      <c r="O75" s="2675"/>
      <c r="P75" s="2676"/>
      <c r="AD75" s="114"/>
      <c r="AE75" s="114"/>
      <c r="AF75" s="114"/>
      <c r="AG75" s="114"/>
      <c r="AH75" s="114"/>
      <c r="AI75" s="114"/>
    </row>
    <row r="76" spans="2:41" ht="15" customHeight="1">
      <c r="B76" s="2669"/>
      <c r="C76" s="2670"/>
      <c r="D76" s="273" t="s">
        <v>444</v>
      </c>
      <c r="E76" s="273" t="s">
        <v>444</v>
      </c>
      <c r="F76" s="273" t="s">
        <v>444</v>
      </c>
      <c r="G76" s="273" t="s">
        <v>500</v>
      </c>
      <c r="H76" s="273" t="s">
        <v>524</v>
      </c>
      <c r="I76" s="235"/>
      <c r="J76" s="273" t="s">
        <v>444</v>
      </c>
      <c r="K76" s="273" t="s">
        <v>355</v>
      </c>
      <c r="L76" s="170"/>
      <c r="M76" s="277" t="s">
        <v>43</v>
      </c>
      <c r="N76" s="277" t="s">
        <v>522</v>
      </c>
      <c r="O76" s="277" t="s">
        <v>522</v>
      </c>
      <c r="P76" s="277" t="s">
        <v>523</v>
      </c>
      <c r="AD76" s="114"/>
      <c r="AE76" s="114"/>
      <c r="AF76" s="114"/>
      <c r="AG76" s="114"/>
      <c r="AH76" s="114"/>
      <c r="AI76" s="114"/>
    </row>
    <row r="77" spans="2:41">
      <c r="B77" s="2660" t="s">
        <v>3</v>
      </c>
      <c r="C77" s="2661"/>
      <c r="D77" s="136">
        <f>K18</f>
        <v>0</v>
      </c>
      <c r="E77" s="136">
        <f>L18</f>
        <v>0</v>
      </c>
      <c r="F77" s="136">
        <f>M18</f>
        <v>0</v>
      </c>
      <c r="G77" s="136">
        <f t="shared" ref="G77:G80" si="9">F77/1000</f>
        <v>0</v>
      </c>
      <c r="H77" s="185">
        <f>IF($F$81=0,"",F77/$F$81)</f>
        <v>0</v>
      </c>
      <c r="I77" s="235"/>
      <c r="J77" s="136">
        <f>V18</f>
        <v>0</v>
      </c>
      <c r="K77" s="185" t="str">
        <f t="shared" ref="K77:K81" si="10">IF(F77=0,"",J77/F77)</f>
        <v/>
      </c>
      <c r="L77" s="170"/>
      <c r="M77" s="187">
        <f>(F77-J77)/1000</f>
        <v>0</v>
      </c>
      <c r="N77" s="187">
        <f>G77</f>
        <v>0</v>
      </c>
      <c r="O77" s="187">
        <f>G77</f>
        <v>0</v>
      </c>
      <c r="P77" s="187">
        <f>(F77+J77)/1000</f>
        <v>0</v>
      </c>
      <c r="AD77" s="114"/>
      <c r="AE77" s="114"/>
      <c r="AF77" s="114"/>
      <c r="AG77" s="114"/>
      <c r="AH77" s="114"/>
      <c r="AI77" s="114"/>
    </row>
    <row r="78" spans="2:41">
      <c r="B78" s="2660" t="s">
        <v>207</v>
      </c>
      <c r="C78" s="2661"/>
      <c r="D78" s="136">
        <f>K32</f>
        <v>110000</v>
      </c>
      <c r="E78" s="136">
        <f>L32</f>
        <v>32980</v>
      </c>
      <c r="F78" s="136">
        <f>M32</f>
        <v>142980</v>
      </c>
      <c r="G78" s="136">
        <f t="shared" si="9"/>
        <v>142.97999999999999</v>
      </c>
      <c r="H78" s="185">
        <f>IF($F$81=0,"",F78/$F$81)</f>
        <v>0.46244905880069864</v>
      </c>
      <c r="I78" s="235"/>
      <c r="J78" s="136">
        <f>V32</f>
        <v>22000</v>
      </c>
      <c r="K78" s="185">
        <f t="shared" si="10"/>
        <v>0.15386767380053154</v>
      </c>
      <c r="L78" s="170"/>
      <c r="M78" s="187">
        <f>(F78-J78)/1000</f>
        <v>120.98</v>
      </c>
      <c r="N78" s="187">
        <f>G78</f>
        <v>142.97999999999999</v>
      </c>
      <c r="O78" s="187">
        <f>G78</f>
        <v>142.97999999999999</v>
      </c>
      <c r="P78" s="187">
        <f>(F78+J78)/1000</f>
        <v>164.98</v>
      </c>
      <c r="AD78" s="114"/>
      <c r="AE78" s="114"/>
      <c r="AF78" s="114"/>
      <c r="AG78" s="114"/>
      <c r="AH78" s="114"/>
      <c r="AI78" s="114"/>
    </row>
    <row r="79" spans="2:41">
      <c r="B79" s="2660" t="s">
        <v>297</v>
      </c>
      <c r="C79" s="2661"/>
      <c r="D79" s="136">
        <f>J46</f>
        <v>0</v>
      </c>
      <c r="E79" s="136">
        <f>K46</f>
        <v>0</v>
      </c>
      <c r="F79" s="136">
        <f>L46</f>
        <v>0</v>
      </c>
      <c r="G79" s="136">
        <f t="shared" si="9"/>
        <v>0</v>
      </c>
      <c r="H79" s="185">
        <f>IF($F$81=0,"",F79/$F$81)</f>
        <v>0</v>
      </c>
      <c r="I79" s="235"/>
      <c r="J79" s="136">
        <f>V46</f>
        <v>0</v>
      </c>
      <c r="K79" s="185" t="str">
        <f t="shared" si="10"/>
        <v/>
      </c>
      <c r="L79" s="170"/>
      <c r="M79" s="187">
        <f>(F79-J79)/1000</f>
        <v>0</v>
      </c>
      <c r="N79" s="187">
        <f>G79</f>
        <v>0</v>
      </c>
      <c r="O79" s="187">
        <f>G79</f>
        <v>0</v>
      </c>
      <c r="P79" s="187">
        <f>(F79+J79)/1000</f>
        <v>0</v>
      </c>
      <c r="AD79" s="114"/>
      <c r="AE79" s="114"/>
      <c r="AF79" s="114"/>
      <c r="AG79" s="114"/>
      <c r="AH79" s="114"/>
      <c r="AI79" s="114"/>
    </row>
    <row r="80" spans="2:41">
      <c r="B80" s="2660" t="s">
        <v>198</v>
      </c>
      <c r="C80" s="2661"/>
      <c r="D80" s="136">
        <f>K59</f>
        <v>67000</v>
      </c>
      <c r="E80" s="136">
        <f>L59</f>
        <v>99200</v>
      </c>
      <c r="F80" s="136">
        <f>M59</f>
        <v>166200</v>
      </c>
      <c r="G80" s="136">
        <f t="shared" si="9"/>
        <v>166.2</v>
      </c>
      <c r="H80" s="185">
        <f>IF($F$81=0,"",F80/$F$81)</f>
        <v>0.53755094119930136</v>
      </c>
      <c r="I80" s="235"/>
      <c r="J80" s="136">
        <f>V59</f>
        <v>23941.294868907989</v>
      </c>
      <c r="K80" s="185">
        <f t="shared" si="10"/>
        <v>0.14405111232796625</v>
      </c>
      <c r="L80" s="170"/>
      <c r="M80" s="187">
        <f>(F80-J80)/1000</f>
        <v>142.25870513109203</v>
      </c>
      <c r="N80" s="187">
        <f>G80</f>
        <v>166.2</v>
      </c>
      <c r="O80" s="187">
        <f>G80</f>
        <v>166.2</v>
      </c>
      <c r="P80" s="187">
        <f>(F80+J80)/1000</f>
        <v>190.14129486890798</v>
      </c>
      <c r="AD80" s="114"/>
      <c r="AE80" s="114"/>
      <c r="AF80" s="114"/>
      <c r="AG80" s="114"/>
      <c r="AH80" s="114"/>
      <c r="AI80" s="114"/>
    </row>
    <row r="81" spans="2:35" ht="15.6">
      <c r="B81" s="2662" t="s">
        <v>348</v>
      </c>
      <c r="C81" s="2663"/>
      <c r="D81" s="188">
        <f>SUM(D77:D80)</f>
        <v>177000</v>
      </c>
      <c r="E81" s="188">
        <f>SUM(E77:E80)</f>
        <v>132180</v>
      </c>
      <c r="F81" s="188">
        <f>SUM(F77:F80)</f>
        <v>309180</v>
      </c>
      <c r="G81" s="188">
        <f>SUM(G77:G80)</f>
        <v>309.17999999999995</v>
      </c>
      <c r="H81" s="190">
        <f>IF($F$81=0,"",F81/$F$81)</f>
        <v>1</v>
      </c>
      <c r="I81" s="236"/>
      <c r="J81" s="188">
        <f>SQRT(SUMSQ(J77:J80))</f>
        <v>32514.390660136934</v>
      </c>
      <c r="K81" s="190">
        <f t="shared" si="10"/>
        <v>0.10516330506545357</v>
      </c>
      <c r="L81" s="192"/>
      <c r="M81" s="187">
        <f>(F81-J81)/1000</f>
        <v>276.66560933986307</v>
      </c>
      <c r="N81" s="187">
        <f>G81</f>
        <v>309.17999999999995</v>
      </c>
      <c r="O81" s="187">
        <f>G81</f>
        <v>309.17999999999995</v>
      </c>
      <c r="P81" s="187">
        <f>(F81+J81)/1000</f>
        <v>341.69439066013695</v>
      </c>
      <c r="Q81" s="130"/>
      <c r="R81" s="130"/>
      <c r="S81" s="130"/>
      <c r="T81" s="130"/>
      <c r="U81" s="130"/>
      <c r="V81" s="130"/>
      <c r="W81" s="130"/>
      <c r="AD81" s="114"/>
      <c r="AE81" s="114"/>
      <c r="AF81" s="114"/>
      <c r="AG81" s="114"/>
      <c r="AH81" s="114"/>
      <c r="AI81" s="114"/>
    </row>
    <row r="82" spans="2:35">
      <c r="D82" s="126"/>
      <c r="E82" s="126"/>
      <c r="F82" s="254"/>
      <c r="G82" s="254"/>
      <c r="J82" s="172"/>
      <c r="K82" s="172"/>
      <c r="L82" s="173"/>
      <c r="M82" s="173"/>
      <c r="N82" s="173"/>
      <c r="O82" s="173"/>
      <c r="P82" s="173"/>
      <c r="AD82" s="114"/>
      <c r="AE82" s="114"/>
      <c r="AF82" s="114"/>
      <c r="AG82" s="114"/>
      <c r="AH82" s="114"/>
      <c r="AI82" s="114"/>
    </row>
    <row r="83" spans="2:35" ht="15.6">
      <c r="B83" s="2677" t="s">
        <v>519</v>
      </c>
      <c r="C83" s="2678"/>
      <c r="D83" s="2678"/>
      <c r="E83" s="2678"/>
      <c r="F83" s="2678"/>
      <c r="G83" s="2678"/>
      <c r="H83" s="2678"/>
      <c r="I83" s="2678"/>
      <c r="J83" s="2678"/>
      <c r="K83" s="2678"/>
      <c r="L83" s="2678"/>
      <c r="M83" s="2678"/>
      <c r="N83" s="2678"/>
      <c r="O83" s="2679"/>
      <c r="P83" s="113"/>
      <c r="Q83" s="113"/>
      <c r="R83" s="113"/>
      <c r="S83" s="113"/>
      <c r="T83" s="113"/>
      <c r="U83" s="113"/>
      <c r="V83" s="113"/>
      <c r="W83" s="113"/>
    </row>
    <row r="84" spans="2:35" outlineLevel="1">
      <c r="B84" s="113"/>
      <c r="C84" s="113"/>
      <c r="D84" s="113"/>
      <c r="E84" s="113"/>
      <c r="F84" s="113"/>
      <c r="G84" s="113"/>
      <c r="H84" s="113"/>
      <c r="I84" s="113"/>
      <c r="J84" s="113"/>
      <c r="K84" s="113"/>
      <c r="L84" s="113"/>
      <c r="M84" s="113"/>
      <c r="N84" s="113"/>
      <c r="O84" s="113"/>
      <c r="P84" s="113"/>
      <c r="Q84" s="113"/>
      <c r="R84" s="113"/>
      <c r="S84" s="113"/>
      <c r="T84" s="113"/>
      <c r="U84" s="113"/>
      <c r="V84" s="113"/>
      <c r="W84" s="113"/>
    </row>
    <row r="85" spans="2:35" ht="12.75" customHeight="1" outlineLevel="1">
      <c r="B85" s="2667" t="str">
        <f>B75</f>
        <v>Futurs emballages</v>
      </c>
      <c r="C85" s="2668"/>
      <c r="D85" s="2671" t="s">
        <v>409</v>
      </c>
      <c r="E85" s="2672"/>
      <c r="F85" s="2673"/>
      <c r="G85" s="170"/>
      <c r="H85" s="2671" t="s">
        <v>159</v>
      </c>
      <c r="I85" s="2673"/>
      <c r="J85" s="170"/>
      <c r="AE85" s="114"/>
      <c r="AF85" s="114"/>
      <c r="AG85" s="114"/>
      <c r="AH85" s="114"/>
      <c r="AI85" s="114"/>
    </row>
    <row r="86" spans="2:35" ht="12.75" customHeight="1" outlineLevel="1">
      <c r="B86" s="2669"/>
      <c r="C86" s="2670"/>
      <c r="D86" s="171" t="s">
        <v>444</v>
      </c>
      <c r="E86" s="171" t="s">
        <v>500</v>
      </c>
      <c r="F86" s="171" t="s">
        <v>524</v>
      </c>
      <c r="G86" s="176"/>
      <c r="H86" s="273" t="s">
        <v>444</v>
      </c>
      <c r="I86" s="273" t="s">
        <v>355</v>
      </c>
      <c r="J86" s="170"/>
      <c r="AE86" s="114"/>
      <c r="AF86" s="114"/>
      <c r="AG86" s="114"/>
      <c r="AH86" s="114"/>
      <c r="AI86" s="114"/>
    </row>
    <row r="87" spans="2:35" ht="12.75" customHeight="1" outlineLevel="1">
      <c r="B87" s="2660" t="s">
        <v>158</v>
      </c>
      <c r="C87" s="2661"/>
      <c r="D87" s="136">
        <f>K18</f>
        <v>0</v>
      </c>
      <c r="E87" s="136">
        <f t="shared" ref="E87:E93" si="11">D87/1000</f>
        <v>0</v>
      </c>
      <c r="F87" s="185">
        <f t="shared" ref="F87:F95" si="12">IF($D$95=0,"",D87/$D$95)</f>
        <v>0</v>
      </c>
      <c r="G87" s="170"/>
      <c r="H87" s="136">
        <f>T18</f>
        <v>0</v>
      </c>
      <c r="I87" s="185" t="str">
        <f t="shared" ref="I87:I95" si="13">IF(D87=0,"",H87/D87)</f>
        <v/>
      </c>
      <c r="J87" s="170"/>
      <c r="K87" s="170"/>
      <c r="AE87" s="114"/>
      <c r="AF87" s="114"/>
      <c r="AG87" s="114"/>
      <c r="AH87" s="114"/>
      <c r="AI87" s="114"/>
    </row>
    <row r="88" spans="2:35" ht="12.75" customHeight="1" outlineLevel="1">
      <c r="B88" s="2660" t="s">
        <v>145</v>
      </c>
      <c r="C88" s="2661"/>
      <c r="D88" s="136">
        <f>K32</f>
        <v>110000</v>
      </c>
      <c r="E88" s="136">
        <f t="shared" si="11"/>
        <v>110</v>
      </c>
      <c r="F88" s="185">
        <f t="shared" si="12"/>
        <v>0.35577980464454362</v>
      </c>
      <c r="G88" s="170"/>
      <c r="H88" s="136">
        <f>T32</f>
        <v>22000</v>
      </c>
      <c r="I88" s="185">
        <f t="shared" si="13"/>
        <v>0.2</v>
      </c>
      <c r="J88" s="170"/>
      <c r="K88" s="170"/>
      <c r="AE88" s="114"/>
      <c r="AF88" s="114"/>
      <c r="AG88" s="114"/>
      <c r="AH88" s="114"/>
      <c r="AI88" s="114"/>
    </row>
    <row r="89" spans="2:35" ht="12.75" customHeight="1" outlineLevel="1">
      <c r="B89" s="2660" t="s">
        <v>179</v>
      </c>
      <c r="C89" s="2661"/>
      <c r="D89" s="136">
        <f>J46</f>
        <v>0</v>
      </c>
      <c r="E89" s="136">
        <f t="shared" si="11"/>
        <v>0</v>
      </c>
      <c r="F89" s="185">
        <f t="shared" si="12"/>
        <v>0</v>
      </c>
      <c r="G89" s="170"/>
      <c r="H89" s="136">
        <f>T46</f>
        <v>0</v>
      </c>
      <c r="I89" s="185" t="str">
        <f t="shared" si="13"/>
        <v/>
      </c>
      <c r="J89" s="170"/>
      <c r="K89" s="170"/>
      <c r="AE89" s="114"/>
      <c r="AF89" s="114"/>
      <c r="AG89" s="114"/>
      <c r="AH89" s="114"/>
      <c r="AI89" s="114"/>
    </row>
    <row r="90" spans="2:35" ht="12.75" customHeight="1" outlineLevel="1">
      <c r="B90" s="2660" t="s">
        <v>180</v>
      </c>
      <c r="C90" s="2661"/>
      <c r="D90" s="136">
        <f>K59</f>
        <v>67000</v>
      </c>
      <c r="E90" s="136">
        <f t="shared" si="11"/>
        <v>67</v>
      </c>
      <c r="F90" s="185">
        <f t="shared" si="12"/>
        <v>0.21670224464713111</v>
      </c>
      <c r="G90" s="170"/>
      <c r="H90" s="136">
        <f>T59</f>
        <v>13400</v>
      </c>
      <c r="I90" s="185">
        <f t="shared" si="13"/>
        <v>0.2</v>
      </c>
      <c r="J90" s="170"/>
      <c r="K90" s="170"/>
      <c r="AE90" s="114"/>
      <c r="AF90" s="114"/>
      <c r="AG90" s="114"/>
      <c r="AH90" s="114"/>
      <c r="AI90" s="114"/>
    </row>
    <row r="91" spans="2:35" ht="12.75" customHeight="1" outlineLevel="1">
      <c r="B91" s="2660" t="s">
        <v>90</v>
      </c>
      <c r="C91" s="2661"/>
      <c r="D91" s="136">
        <f>L18</f>
        <v>0</v>
      </c>
      <c r="E91" s="136">
        <f t="shared" si="11"/>
        <v>0</v>
      </c>
      <c r="F91" s="185">
        <f t="shared" si="12"/>
        <v>0</v>
      </c>
      <c r="G91" s="170"/>
      <c r="H91" s="136">
        <f>U18</f>
        <v>0</v>
      </c>
      <c r="I91" s="185" t="str">
        <f t="shared" si="13"/>
        <v/>
      </c>
      <c r="J91" s="170"/>
      <c r="K91" s="170"/>
      <c r="AE91" s="114"/>
      <c r="AF91" s="114"/>
      <c r="AG91" s="114"/>
      <c r="AH91" s="114"/>
      <c r="AI91" s="114"/>
    </row>
    <row r="92" spans="2:35" ht="12.75" customHeight="1" outlineLevel="1">
      <c r="B92" s="2660" t="s">
        <v>176</v>
      </c>
      <c r="C92" s="2661"/>
      <c r="D92" s="136">
        <f>L32</f>
        <v>32980</v>
      </c>
      <c r="E92" s="136">
        <f t="shared" si="11"/>
        <v>32.979999999999997</v>
      </c>
      <c r="F92" s="185">
        <f t="shared" si="12"/>
        <v>0.106669254156155</v>
      </c>
      <c r="G92" s="170"/>
      <c r="H92" s="136">
        <f>U32</f>
        <v>0</v>
      </c>
      <c r="I92" s="185">
        <f t="shared" si="13"/>
        <v>0</v>
      </c>
      <c r="J92" s="170"/>
      <c r="K92" s="170"/>
      <c r="AE92" s="114"/>
      <c r="AF92" s="114"/>
      <c r="AG92" s="114"/>
      <c r="AH92" s="114"/>
      <c r="AI92" s="114"/>
    </row>
    <row r="93" spans="2:35" ht="12.75" customHeight="1" outlineLevel="1">
      <c r="B93" s="2660" t="s">
        <v>177</v>
      </c>
      <c r="C93" s="2661"/>
      <c r="D93" s="136">
        <f>K46</f>
        <v>0</v>
      </c>
      <c r="E93" s="136">
        <f t="shared" si="11"/>
        <v>0</v>
      </c>
      <c r="F93" s="185">
        <f t="shared" si="12"/>
        <v>0</v>
      </c>
      <c r="G93" s="170"/>
      <c r="H93" s="136">
        <f>U46</f>
        <v>0</v>
      </c>
      <c r="I93" s="185" t="str">
        <f t="shared" si="13"/>
        <v/>
      </c>
      <c r="J93" s="170"/>
      <c r="K93" s="170"/>
      <c r="AE93" s="114"/>
      <c r="AF93" s="114"/>
      <c r="AG93" s="114"/>
      <c r="AH93" s="114"/>
      <c r="AI93" s="114"/>
    </row>
    <row r="94" spans="2:35" ht="12.75" customHeight="1" outlineLevel="1">
      <c r="B94" s="2660" t="s">
        <v>142</v>
      </c>
      <c r="C94" s="2661"/>
      <c r="D94" s="136">
        <f>L59</f>
        <v>99200</v>
      </c>
      <c r="E94" s="136">
        <f>D94/1000</f>
        <v>99.2</v>
      </c>
      <c r="F94" s="185">
        <f t="shared" si="12"/>
        <v>0.32084869655217024</v>
      </c>
      <c r="G94" s="170"/>
      <c r="H94" s="136">
        <f>U59</f>
        <v>19840</v>
      </c>
      <c r="I94" s="185">
        <f t="shared" si="13"/>
        <v>0.2</v>
      </c>
      <c r="J94" s="170"/>
      <c r="K94" s="170"/>
      <c r="AE94" s="114"/>
      <c r="AF94" s="114"/>
      <c r="AG94" s="114"/>
      <c r="AH94" s="114"/>
      <c r="AI94" s="114"/>
    </row>
    <row r="95" spans="2:35" s="211" customFormat="1" ht="15" customHeight="1" outlineLevel="1">
      <c r="B95" s="2662" t="s">
        <v>348</v>
      </c>
      <c r="C95" s="2663"/>
      <c r="D95" s="188">
        <f>SUM(D87:D94)</f>
        <v>309180</v>
      </c>
      <c r="E95" s="238">
        <f>SUM(E87:E94)</f>
        <v>309.18</v>
      </c>
      <c r="F95" s="190">
        <f t="shared" si="12"/>
        <v>1</v>
      </c>
      <c r="G95" s="192"/>
      <c r="H95" s="188">
        <f>SQRT(SUMSQ(H87:H94))</f>
        <v>32514.390660136934</v>
      </c>
      <c r="I95" s="190">
        <f t="shared" si="13"/>
        <v>0.10516330506545357</v>
      </c>
      <c r="J95" s="192"/>
      <c r="K95" s="192"/>
      <c r="X95" s="445"/>
      <c r="Y95" s="445"/>
      <c r="Z95" s="445"/>
      <c r="AA95" s="445"/>
      <c r="AB95" s="445"/>
      <c r="AC95" s="445"/>
      <c r="AD95" s="445"/>
    </row>
    <row r="96" spans="2:35" outlineLevel="1"/>
    <row r="97" spans="2:15"/>
    <row r="98" spans="2:15" ht="15.6">
      <c r="B98" s="2688" t="s">
        <v>525</v>
      </c>
      <c r="C98" s="2689"/>
      <c r="D98" s="2689"/>
      <c r="E98" s="2689"/>
      <c r="F98" s="2689"/>
      <c r="G98" s="2689"/>
      <c r="H98" s="2689"/>
      <c r="I98" s="2689"/>
      <c r="J98" s="2689"/>
      <c r="K98" s="2689"/>
      <c r="L98" s="2689"/>
      <c r="M98" s="2689"/>
      <c r="N98" s="2689"/>
      <c r="O98" s="2690"/>
    </row>
    <row r="99" spans="2:15" ht="15" customHeight="1" outlineLevel="1">
      <c r="B99" s="113"/>
      <c r="C99" s="113"/>
      <c r="D99" s="113"/>
      <c r="E99" s="113"/>
      <c r="F99" s="113"/>
      <c r="G99" s="113"/>
      <c r="H99" s="113"/>
      <c r="I99" s="113"/>
      <c r="J99" s="113"/>
      <c r="K99" s="113"/>
      <c r="L99" s="113"/>
      <c r="M99" s="113"/>
      <c r="N99" s="113"/>
    </row>
    <row r="100" spans="2:15" ht="38.25" customHeight="1" outlineLevel="1">
      <c r="B100" s="229"/>
      <c r="C100" s="229"/>
      <c r="D100" s="229"/>
      <c r="E100" s="2691" t="s">
        <v>448</v>
      </c>
      <c r="F100" s="2692"/>
      <c r="G100" s="2692"/>
      <c r="H100" s="2692"/>
      <c r="I100" s="2692"/>
      <c r="J100" s="2692"/>
      <c r="K100" s="2693"/>
      <c r="L100" s="101" t="s">
        <v>440</v>
      </c>
    </row>
    <row r="101" spans="2:15" ht="25.5" customHeight="1" outlineLevel="1">
      <c r="B101" s="2691" t="s">
        <v>438</v>
      </c>
      <c r="C101" s="2693"/>
      <c r="D101" s="110" t="s">
        <v>458</v>
      </c>
      <c r="E101" s="111" t="s">
        <v>853</v>
      </c>
      <c r="F101" s="111" t="s">
        <v>854</v>
      </c>
      <c r="G101" s="111" t="s">
        <v>855</v>
      </c>
      <c r="H101" s="111" t="s">
        <v>852</v>
      </c>
      <c r="I101" s="110" t="s">
        <v>513</v>
      </c>
      <c r="J101" s="111" t="s">
        <v>856</v>
      </c>
      <c r="K101" s="112" t="s">
        <v>514</v>
      </c>
      <c r="L101" s="110" t="s">
        <v>857</v>
      </c>
    </row>
    <row r="102" spans="2:15" ht="15" customHeight="1" outlineLevel="1">
      <c r="B102" s="2680" t="s">
        <v>459</v>
      </c>
      <c r="C102" s="2681"/>
      <c r="D102" s="230">
        <v>1</v>
      </c>
      <c r="E102" s="631"/>
      <c r="F102" s="631"/>
      <c r="G102" s="631"/>
      <c r="H102" s="631"/>
      <c r="I102" s="631"/>
      <c r="J102" s="631"/>
      <c r="K102" s="632"/>
      <c r="L102" s="633"/>
    </row>
    <row r="103" spans="2:15" ht="12.75" customHeight="1" outlineLevel="1">
      <c r="B103" s="2680" t="s">
        <v>460</v>
      </c>
      <c r="C103" s="2681"/>
      <c r="D103" s="230">
        <v>2</v>
      </c>
      <c r="E103" s="631"/>
      <c r="F103" s="631"/>
      <c r="G103" s="631"/>
      <c r="H103" s="631"/>
      <c r="I103" s="631"/>
      <c r="J103" s="631"/>
      <c r="K103" s="632"/>
      <c r="L103" s="633"/>
    </row>
    <row r="104" spans="2:15" ht="15" customHeight="1" outlineLevel="1">
      <c r="B104" s="2680" t="s">
        <v>461</v>
      </c>
      <c r="C104" s="2681"/>
      <c r="D104" s="230">
        <v>3</v>
      </c>
      <c r="E104" s="631"/>
      <c r="F104" s="631"/>
      <c r="G104" s="631"/>
      <c r="H104" s="631"/>
      <c r="I104" s="631"/>
      <c r="J104" s="631"/>
      <c r="K104" s="632"/>
      <c r="L104" s="633"/>
    </row>
    <row r="105" spans="2:15" ht="12.75" customHeight="1" outlineLevel="1">
      <c r="B105" s="2680" t="s">
        <v>462</v>
      </c>
      <c r="C105" s="2681"/>
      <c r="D105" s="230">
        <v>4</v>
      </c>
      <c r="E105" s="631"/>
      <c r="F105" s="631"/>
      <c r="G105" s="631"/>
      <c r="H105" s="631"/>
      <c r="I105" s="631"/>
      <c r="J105" s="631"/>
      <c r="K105" s="632"/>
      <c r="L105" s="633"/>
    </row>
    <row r="106" spans="2:15" ht="12.75" customHeight="1" outlineLevel="1">
      <c r="B106" s="2680" t="s">
        <v>463</v>
      </c>
      <c r="C106" s="2681"/>
      <c r="D106" s="230">
        <v>5</v>
      </c>
      <c r="E106" s="631"/>
      <c r="F106" s="631"/>
      <c r="G106" s="631"/>
      <c r="H106" s="631"/>
      <c r="I106" s="631"/>
      <c r="J106" s="631"/>
      <c r="K106" s="632"/>
      <c r="L106" s="633"/>
    </row>
    <row r="107" spans="2:15" ht="15" customHeight="1" outlineLevel="1">
      <c r="B107" s="2682"/>
      <c r="C107" s="2683"/>
      <c r="D107" s="133" t="s">
        <v>439</v>
      </c>
      <c r="E107" s="634">
        <f t="shared" ref="E107:L107" si="14">SUM(E102:E106)</f>
        <v>0</v>
      </c>
      <c r="F107" s="634">
        <f t="shared" si="14"/>
        <v>0</v>
      </c>
      <c r="G107" s="634">
        <f t="shared" si="14"/>
        <v>0</v>
      </c>
      <c r="H107" s="634">
        <f t="shared" si="14"/>
        <v>0</v>
      </c>
      <c r="I107" s="634">
        <f t="shared" si="14"/>
        <v>0</v>
      </c>
      <c r="J107" s="634">
        <f>SUM(J102:J106)</f>
        <v>0</v>
      </c>
      <c r="K107" s="635">
        <f>SQRT(SUMSQ(K102:K106))</f>
        <v>0</v>
      </c>
      <c r="L107" s="636">
        <f t="shared" si="14"/>
        <v>0</v>
      </c>
    </row>
    <row r="108" spans="2:15" ht="15" customHeight="1" outlineLevel="1">
      <c r="B108" s="2684" t="s">
        <v>464</v>
      </c>
      <c r="C108" s="2685"/>
      <c r="D108" s="231">
        <v>6</v>
      </c>
      <c r="E108" s="637"/>
      <c r="F108" s="637"/>
      <c r="G108" s="637"/>
      <c r="H108" s="637"/>
      <c r="I108" s="637"/>
      <c r="J108" s="637"/>
      <c r="K108" s="632"/>
      <c r="L108" s="638"/>
    </row>
    <row r="109" spans="2:15" ht="12.75" customHeight="1" outlineLevel="1">
      <c r="B109" s="2686" t="s">
        <v>465</v>
      </c>
      <c r="C109" s="2687"/>
      <c r="D109" s="231">
        <v>7</v>
      </c>
      <c r="E109" s="637"/>
      <c r="F109" s="637"/>
      <c r="G109" s="637"/>
      <c r="H109" s="637"/>
      <c r="I109" s="637"/>
      <c r="J109" s="637"/>
      <c r="K109" s="632"/>
      <c r="L109" s="638"/>
    </row>
    <row r="110" spans="2:15" ht="12.75" customHeight="1" outlineLevel="1">
      <c r="B110" s="2696"/>
      <c r="C110" s="2697"/>
      <c r="D110" s="134" t="s">
        <v>439</v>
      </c>
      <c r="E110" s="639">
        <f t="shared" ref="E110:L110" si="15">SUM(E108:E109)</f>
        <v>0</v>
      </c>
      <c r="F110" s="639">
        <f t="shared" si="15"/>
        <v>0</v>
      </c>
      <c r="G110" s="639">
        <f t="shared" si="15"/>
        <v>0</v>
      </c>
      <c r="H110" s="639">
        <f t="shared" si="15"/>
        <v>0</v>
      </c>
      <c r="I110" s="639">
        <f t="shared" si="15"/>
        <v>0</v>
      </c>
      <c r="J110" s="639">
        <f t="shared" si="15"/>
        <v>0</v>
      </c>
      <c r="K110" s="635">
        <f>SQRT(SUMSQ(K108:K109))</f>
        <v>0</v>
      </c>
      <c r="L110" s="640">
        <f t="shared" si="15"/>
        <v>0</v>
      </c>
    </row>
    <row r="111" spans="2:15" ht="15" customHeight="1" outlineLevel="1">
      <c r="B111" s="2694" t="s">
        <v>466</v>
      </c>
      <c r="C111" s="2695"/>
      <c r="D111" s="232">
        <v>8</v>
      </c>
      <c r="E111" s="641"/>
      <c r="F111" s="641"/>
      <c r="G111" s="641"/>
      <c r="H111" s="641"/>
      <c r="I111" s="641"/>
      <c r="J111" s="641"/>
      <c r="K111" s="632"/>
      <c r="L111" s="641"/>
    </row>
    <row r="112" spans="2:15" ht="12.75" customHeight="1" outlineLevel="1">
      <c r="B112" s="2694" t="s">
        <v>467</v>
      </c>
      <c r="C112" s="2695"/>
      <c r="D112" s="232">
        <v>9</v>
      </c>
      <c r="E112" s="641">
        <f>X18+X32+X46+X59</f>
        <v>177000</v>
      </c>
      <c r="F112" s="641">
        <f>Z18+Z32+Z46+Z59</f>
        <v>0</v>
      </c>
      <c r="G112" s="641">
        <f>AB18+AB32+AB46+AB59</f>
        <v>0</v>
      </c>
      <c r="H112" s="641">
        <f>AD18+AD32+AD46+AD59</f>
        <v>0</v>
      </c>
      <c r="I112" s="641">
        <f>SUM(E112:H112)</f>
        <v>177000</v>
      </c>
      <c r="J112" s="641">
        <f>AH18+AH32+AH46+AH59</f>
        <v>0</v>
      </c>
      <c r="K112" s="632">
        <f>SQRT(T18^2+T32^2+T46^2+T59^2)</f>
        <v>25759.658382827984</v>
      </c>
      <c r="L112" s="641"/>
    </row>
    <row r="113" spans="2:12" ht="12.75" customHeight="1" outlineLevel="1">
      <c r="B113" s="2694" t="s">
        <v>468</v>
      </c>
      <c r="C113" s="2695"/>
      <c r="D113" s="232">
        <v>10</v>
      </c>
      <c r="E113" s="641"/>
      <c r="F113" s="641"/>
      <c r="G113" s="641"/>
      <c r="H113" s="641"/>
      <c r="I113" s="641"/>
      <c r="J113" s="641"/>
      <c r="K113" s="632"/>
      <c r="L113" s="641"/>
    </row>
    <row r="114" spans="2:12" ht="12.75" customHeight="1" outlineLevel="1">
      <c r="B114" s="2694" t="s">
        <v>386</v>
      </c>
      <c r="C114" s="2695"/>
      <c r="D114" s="232">
        <v>11</v>
      </c>
      <c r="E114" s="641"/>
      <c r="F114" s="641"/>
      <c r="G114" s="641"/>
      <c r="H114" s="641"/>
      <c r="I114" s="641"/>
      <c r="J114" s="641"/>
      <c r="K114" s="632"/>
      <c r="L114" s="641"/>
    </row>
    <row r="115" spans="2:12" ht="12.75" customHeight="1" outlineLevel="1">
      <c r="B115" s="2694" t="s">
        <v>469</v>
      </c>
      <c r="C115" s="2695"/>
      <c r="D115" s="232">
        <v>12</v>
      </c>
      <c r="E115" s="641"/>
      <c r="F115" s="641"/>
      <c r="G115" s="641"/>
      <c r="H115" s="641"/>
      <c r="I115" s="641"/>
      <c r="J115" s="641"/>
      <c r="K115" s="632"/>
      <c r="L115" s="641"/>
    </row>
    <row r="116" spans="2:12" ht="12.75" customHeight="1" outlineLevel="1">
      <c r="B116" s="2694" t="s">
        <v>470</v>
      </c>
      <c r="C116" s="2695"/>
      <c r="D116" s="232">
        <v>13</v>
      </c>
      <c r="E116" s="641"/>
      <c r="F116" s="641"/>
      <c r="G116" s="641"/>
      <c r="H116" s="641"/>
      <c r="I116" s="641"/>
      <c r="J116" s="641"/>
      <c r="K116" s="632"/>
      <c r="L116" s="641"/>
    </row>
    <row r="117" spans="2:12" ht="12.75" customHeight="1" outlineLevel="1">
      <c r="B117" s="2694" t="s">
        <v>471</v>
      </c>
      <c r="C117" s="2695"/>
      <c r="D117" s="232">
        <v>14</v>
      </c>
      <c r="E117" s="641"/>
      <c r="F117" s="641"/>
      <c r="G117" s="641"/>
      <c r="H117" s="641"/>
      <c r="I117" s="641"/>
      <c r="J117" s="641"/>
      <c r="K117" s="632"/>
      <c r="L117" s="641"/>
    </row>
    <row r="118" spans="2:12" ht="12.75" customHeight="1" outlineLevel="1">
      <c r="B118" s="2694" t="s">
        <v>472</v>
      </c>
      <c r="C118" s="2695"/>
      <c r="D118" s="232">
        <v>15</v>
      </c>
      <c r="E118" s="641"/>
      <c r="F118" s="641"/>
      <c r="G118" s="641"/>
      <c r="H118" s="641"/>
      <c r="I118" s="641"/>
      <c r="J118" s="641"/>
      <c r="K118" s="632"/>
      <c r="L118" s="641"/>
    </row>
    <row r="119" spans="2:12" ht="12.75" customHeight="1" outlineLevel="1">
      <c r="B119" s="2694" t="s">
        <v>473</v>
      </c>
      <c r="C119" s="2695"/>
      <c r="D119" s="232">
        <v>16</v>
      </c>
      <c r="E119" s="641"/>
      <c r="F119" s="641"/>
      <c r="G119" s="641"/>
      <c r="H119" s="641"/>
      <c r="I119" s="641"/>
      <c r="J119" s="641"/>
      <c r="K119" s="632"/>
      <c r="L119" s="641"/>
    </row>
    <row r="120" spans="2:12" ht="12.75" customHeight="1" outlineLevel="1">
      <c r="B120" s="2694" t="s">
        <v>474</v>
      </c>
      <c r="C120" s="2695"/>
      <c r="D120" s="232">
        <v>17</v>
      </c>
      <c r="E120" s="641"/>
      <c r="F120" s="641"/>
      <c r="G120" s="641"/>
      <c r="H120" s="641"/>
      <c r="I120" s="641"/>
      <c r="J120" s="641"/>
      <c r="K120" s="632"/>
      <c r="L120" s="641"/>
    </row>
    <row r="121" spans="2:12" ht="12.75" customHeight="1" outlineLevel="1">
      <c r="B121" s="2694" t="s">
        <v>475</v>
      </c>
      <c r="C121" s="2695"/>
      <c r="D121" s="232">
        <v>18</v>
      </c>
      <c r="E121" s="641"/>
      <c r="F121" s="641"/>
      <c r="G121" s="641"/>
      <c r="H121" s="641"/>
      <c r="I121" s="641"/>
      <c r="J121" s="641"/>
      <c r="K121" s="632"/>
      <c r="L121" s="641"/>
    </row>
    <row r="122" spans="2:12" ht="12.75" customHeight="1" outlineLevel="1">
      <c r="B122" s="2694" t="s">
        <v>476</v>
      </c>
      <c r="C122" s="2695"/>
      <c r="D122" s="232">
        <v>19</v>
      </c>
      <c r="E122" s="641" t="e">
        <f>Y18+Y32+Y46+Y59</f>
        <v>#REF!</v>
      </c>
      <c r="F122" s="641">
        <f>AA18+AA32+AA46+AA59</f>
        <v>0</v>
      </c>
      <c r="G122" s="641">
        <f>AC18+AC32+AC46+AC59</f>
        <v>0</v>
      </c>
      <c r="H122" s="641">
        <f>AE18+AE32+AE46+AE59</f>
        <v>0</v>
      </c>
      <c r="I122" s="641" t="e">
        <f>SUM(E122:H122)</f>
        <v>#REF!</v>
      </c>
      <c r="J122" s="641">
        <f>AI18+AI32+AI46+AI59</f>
        <v>0</v>
      </c>
      <c r="K122" s="632">
        <f>SQRT(SUMSQ(U59,U46,U32,U18))</f>
        <v>19840</v>
      </c>
      <c r="L122" s="641"/>
    </row>
    <row r="123" spans="2:12" ht="12.75" customHeight="1" outlineLevel="1">
      <c r="B123" s="2694" t="s">
        <v>477</v>
      </c>
      <c r="C123" s="2695"/>
      <c r="D123" s="232">
        <v>20</v>
      </c>
      <c r="E123" s="641"/>
      <c r="F123" s="641"/>
      <c r="G123" s="641"/>
      <c r="H123" s="641"/>
      <c r="I123" s="641"/>
      <c r="J123" s="641"/>
      <c r="K123" s="632"/>
      <c r="L123" s="641"/>
    </row>
    <row r="124" spans="2:12" ht="12.75" customHeight="1" outlineLevel="1">
      <c r="B124" s="2694" t="s">
        <v>478</v>
      </c>
      <c r="C124" s="2695"/>
      <c r="D124" s="232">
        <v>21</v>
      </c>
      <c r="E124" s="641"/>
      <c r="F124" s="641"/>
      <c r="G124" s="641"/>
      <c r="H124" s="641"/>
      <c r="I124" s="641"/>
      <c r="J124" s="641"/>
      <c r="K124" s="632"/>
      <c r="L124" s="641"/>
    </row>
    <row r="125" spans="2:12" ht="12.75" customHeight="1" outlineLevel="1">
      <c r="B125" s="2694" t="s">
        <v>479</v>
      </c>
      <c r="C125" s="2695"/>
      <c r="D125" s="232">
        <v>22</v>
      </c>
      <c r="E125" s="641"/>
      <c r="F125" s="641"/>
      <c r="G125" s="641"/>
      <c r="H125" s="641"/>
      <c r="I125" s="641"/>
      <c r="J125" s="641"/>
      <c r="K125" s="632"/>
      <c r="L125" s="641"/>
    </row>
    <row r="126" spans="2:12" ht="12.75" customHeight="1" outlineLevel="1">
      <c r="B126" s="2694" t="s">
        <v>449</v>
      </c>
      <c r="C126" s="2695"/>
      <c r="D126" s="232">
        <v>23</v>
      </c>
      <c r="E126" s="641"/>
      <c r="F126" s="641"/>
      <c r="G126" s="641"/>
      <c r="H126" s="641"/>
      <c r="I126" s="641"/>
      <c r="J126" s="641"/>
      <c r="K126" s="632"/>
      <c r="L126" s="641"/>
    </row>
    <row r="127" spans="2:12" ht="12.75" customHeight="1" outlineLevel="1">
      <c r="B127" s="2706"/>
      <c r="C127" s="2707"/>
      <c r="D127" s="135" t="s">
        <v>439</v>
      </c>
      <c r="E127" s="642" t="e">
        <f t="shared" ref="E127:J127" si="16">SUM(E111:E126)</f>
        <v>#REF!</v>
      </c>
      <c r="F127" s="642">
        <f t="shared" si="16"/>
        <v>0</v>
      </c>
      <c r="G127" s="642">
        <f t="shared" si="16"/>
        <v>0</v>
      </c>
      <c r="H127" s="642">
        <f t="shared" si="16"/>
        <v>0</v>
      </c>
      <c r="I127" s="642" t="e">
        <f t="shared" si="16"/>
        <v>#REF!</v>
      </c>
      <c r="J127" s="642">
        <f t="shared" si="16"/>
        <v>0</v>
      </c>
      <c r="K127" s="635">
        <f>SQRT(SUMSQ(K111:K126))</f>
        <v>32514.390660136934</v>
      </c>
      <c r="L127" s="642">
        <f>SUM(L111:L126)</f>
        <v>0</v>
      </c>
    </row>
    <row r="128" spans="2:12" outlineLevel="1"/>
    <row r="129" spans="2:42"/>
    <row r="130" spans="2:42" s="113" customFormat="1" ht="15.6">
      <c r="B130" s="2698" t="s">
        <v>721</v>
      </c>
      <c r="C130" s="2699"/>
      <c r="D130" s="2699"/>
      <c r="E130" s="2699"/>
      <c r="F130" s="2699"/>
      <c r="G130" s="2699"/>
      <c r="H130" s="2699"/>
      <c r="I130" s="2699"/>
      <c r="J130" s="2699"/>
      <c r="K130" s="2699"/>
      <c r="L130" s="2699"/>
      <c r="M130" s="2699"/>
      <c r="N130" s="2699"/>
      <c r="O130" s="2700"/>
      <c r="W130" s="817"/>
      <c r="AB130" s="576"/>
      <c r="AC130" s="576"/>
      <c r="AD130" s="576"/>
      <c r="AE130" s="576"/>
      <c r="AF130" s="576"/>
      <c r="AG130" s="576"/>
      <c r="AH130" s="576"/>
      <c r="AI130" s="576"/>
      <c r="AJ130" s="576"/>
      <c r="AK130" s="576"/>
      <c r="AL130" s="576"/>
      <c r="AM130" s="576"/>
    </row>
    <row r="131" spans="2:42" s="113" customFormat="1" ht="11.4" outlineLevel="1">
      <c r="W131" s="817"/>
      <c r="AB131" s="576"/>
      <c r="AC131" s="576"/>
      <c r="AD131" s="576"/>
      <c r="AE131" s="576"/>
      <c r="AF131" s="576"/>
      <c r="AG131" s="576"/>
      <c r="AH131" s="576"/>
      <c r="AI131" s="576"/>
      <c r="AJ131" s="576"/>
      <c r="AK131" s="576"/>
      <c r="AL131" s="576"/>
      <c r="AM131" s="576"/>
    </row>
    <row r="132" spans="2:42" s="113" customFormat="1" ht="38.25" customHeight="1" outlineLevel="1">
      <c r="B132" s="205"/>
      <c r="C132" s="205"/>
      <c r="D132" s="205"/>
      <c r="E132" s="2701" t="s">
        <v>448</v>
      </c>
      <c r="F132" s="2702"/>
      <c r="G132" s="2702"/>
      <c r="H132" s="2702"/>
      <c r="I132" s="2702"/>
      <c r="J132" s="2702"/>
      <c r="K132" s="2702"/>
      <c r="L132" s="2702"/>
      <c r="M132" s="2702"/>
      <c r="N132" s="2703"/>
      <c r="O132" s="865" t="s">
        <v>440</v>
      </c>
      <c r="W132" s="817"/>
      <c r="AB132" s="576"/>
      <c r="AC132" s="576"/>
      <c r="AD132" s="576"/>
      <c r="AE132" s="576"/>
      <c r="AF132" s="576"/>
      <c r="AG132" s="576"/>
      <c r="AH132" s="576"/>
      <c r="AI132" s="576"/>
      <c r="AJ132" s="576"/>
      <c r="AK132" s="576"/>
      <c r="AL132" s="576"/>
      <c r="AM132" s="576"/>
    </row>
    <row r="133" spans="2:42" s="113" customFormat="1" ht="25.5" customHeight="1" outlineLevel="1">
      <c r="B133" s="2701" t="s">
        <v>438</v>
      </c>
      <c r="C133" s="2703"/>
      <c r="D133" s="867" t="s">
        <v>458</v>
      </c>
      <c r="E133" s="866" t="s">
        <v>853</v>
      </c>
      <c r="F133" s="866" t="s">
        <v>854</v>
      </c>
      <c r="G133" s="866" t="s">
        <v>855</v>
      </c>
      <c r="H133" s="866" t="s">
        <v>858</v>
      </c>
      <c r="I133" s="866" t="s">
        <v>859</v>
      </c>
      <c r="J133" s="866" t="s">
        <v>860</v>
      </c>
      <c r="K133" s="866" t="s">
        <v>852</v>
      </c>
      <c r="L133" s="867" t="s">
        <v>513</v>
      </c>
      <c r="M133" s="866" t="s">
        <v>856</v>
      </c>
      <c r="N133" s="866" t="s">
        <v>514</v>
      </c>
      <c r="O133" s="867" t="s">
        <v>513</v>
      </c>
      <c r="Z133" s="817"/>
      <c r="AE133" s="576"/>
      <c r="AF133" s="576"/>
      <c r="AG133" s="576"/>
      <c r="AH133" s="576"/>
      <c r="AI133" s="576"/>
      <c r="AJ133" s="576"/>
      <c r="AK133" s="576"/>
      <c r="AL133" s="576"/>
      <c r="AM133" s="576"/>
      <c r="AN133" s="576"/>
      <c r="AO133" s="576"/>
      <c r="AP133" s="576"/>
    </row>
    <row r="134" spans="2:42" s="113" customFormat="1" ht="12.75" customHeight="1" outlineLevel="1">
      <c r="B134" s="2704" t="s">
        <v>459</v>
      </c>
      <c r="C134" s="2705"/>
      <c r="D134" s="861" t="s">
        <v>727</v>
      </c>
      <c r="E134" s="855"/>
      <c r="F134" s="855"/>
      <c r="G134" s="855"/>
      <c r="H134" s="855"/>
      <c r="I134" s="855"/>
      <c r="J134" s="855"/>
      <c r="K134" s="855"/>
      <c r="L134" s="864"/>
      <c r="M134" s="853"/>
      <c r="N134" s="858"/>
      <c r="O134" s="857"/>
      <c r="Z134" s="817"/>
      <c r="AE134" s="576"/>
      <c r="AF134" s="576"/>
      <c r="AG134" s="576"/>
      <c r="AH134" s="576"/>
      <c r="AI134" s="576"/>
      <c r="AJ134" s="576"/>
      <c r="AK134" s="576"/>
      <c r="AL134" s="576"/>
      <c r="AM134" s="576"/>
      <c r="AN134" s="576"/>
      <c r="AO134" s="576"/>
      <c r="AP134" s="576"/>
    </row>
    <row r="135" spans="2:42" s="113" customFormat="1" ht="12.75" customHeight="1" outlineLevel="1">
      <c r="B135" s="2704" t="s">
        <v>722</v>
      </c>
      <c r="C135" s="2705"/>
      <c r="D135" s="862" t="s">
        <v>728</v>
      </c>
      <c r="E135" s="855"/>
      <c r="F135" s="855"/>
      <c r="G135" s="855"/>
      <c r="H135" s="855"/>
      <c r="I135" s="855"/>
      <c r="J135" s="855"/>
      <c r="K135" s="855"/>
      <c r="L135" s="864"/>
      <c r="M135" s="853"/>
      <c r="N135" s="858"/>
      <c r="O135" s="857"/>
      <c r="Z135" s="817"/>
      <c r="AE135" s="576"/>
      <c r="AF135" s="576"/>
      <c r="AG135" s="576"/>
      <c r="AH135" s="576"/>
      <c r="AI135" s="576"/>
      <c r="AJ135" s="576"/>
      <c r="AK135" s="576"/>
      <c r="AL135" s="576"/>
      <c r="AM135" s="576"/>
      <c r="AN135" s="576"/>
      <c r="AO135" s="576"/>
      <c r="AP135" s="576"/>
    </row>
    <row r="136" spans="2:42" s="113" customFormat="1" ht="12.75" customHeight="1" outlineLevel="1">
      <c r="B136" s="2704" t="s">
        <v>723</v>
      </c>
      <c r="C136" s="2705"/>
      <c r="D136" s="862" t="s">
        <v>729</v>
      </c>
      <c r="E136" s="855"/>
      <c r="F136" s="855"/>
      <c r="G136" s="855"/>
      <c r="H136" s="855"/>
      <c r="I136" s="855"/>
      <c r="J136" s="855"/>
      <c r="K136" s="855"/>
      <c r="L136" s="864"/>
      <c r="M136" s="853"/>
      <c r="N136" s="858"/>
      <c r="O136" s="857"/>
      <c r="Z136" s="817"/>
      <c r="AE136" s="576"/>
      <c r="AF136" s="576"/>
      <c r="AG136" s="576"/>
      <c r="AH136" s="576"/>
      <c r="AI136" s="576"/>
      <c r="AJ136" s="576"/>
      <c r="AK136" s="576"/>
      <c r="AL136" s="576"/>
      <c r="AM136" s="576"/>
      <c r="AN136" s="576"/>
      <c r="AO136" s="576"/>
      <c r="AP136" s="576"/>
    </row>
    <row r="137" spans="2:42" s="113" customFormat="1" ht="12.75" customHeight="1" outlineLevel="1">
      <c r="B137" s="2704" t="s">
        <v>462</v>
      </c>
      <c r="C137" s="2705"/>
      <c r="D137" s="862" t="s">
        <v>730</v>
      </c>
      <c r="E137" s="855"/>
      <c r="F137" s="855"/>
      <c r="G137" s="855"/>
      <c r="H137" s="855"/>
      <c r="I137" s="855"/>
      <c r="J137" s="855"/>
      <c r="K137" s="855"/>
      <c r="L137" s="864"/>
      <c r="M137" s="853"/>
      <c r="N137" s="858"/>
      <c r="O137" s="857"/>
      <c r="Z137" s="817"/>
      <c r="AE137" s="576"/>
      <c r="AF137" s="576"/>
      <c r="AG137" s="576"/>
      <c r="AH137" s="576"/>
      <c r="AI137" s="576"/>
      <c r="AJ137" s="576"/>
      <c r="AK137" s="576"/>
      <c r="AL137" s="576"/>
      <c r="AM137" s="576"/>
      <c r="AN137" s="576"/>
      <c r="AO137" s="576"/>
      <c r="AP137" s="576"/>
    </row>
    <row r="138" spans="2:42" s="113" customFormat="1" ht="12.75" customHeight="1" outlineLevel="1">
      <c r="B138" s="2710" t="s">
        <v>726</v>
      </c>
      <c r="C138" s="2711"/>
      <c r="D138" s="2712"/>
      <c r="E138" s="852">
        <f t="shared" ref="E138:O138" si="17">SUM(E134:E137)</f>
        <v>0</v>
      </c>
      <c r="F138" s="852">
        <f t="shared" si="17"/>
        <v>0</v>
      </c>
      <c r="G138" s="852">
        <f t="shared" si="17"/>
        <v>0</v>
      </c>
      <c r="H138" s="852">
        <f t="shared" si="17"/>
        <v>0</v>
      </c>
      <c r="I138" s="852">
        <f t="shared" si="17"/>
        <v>0</v>
      </c>
      <c r="J138" s="852">
        <f t="shared" si="17"/>
        <v>0</v>
      </c>
      <c r="K138" s="852">
        <f t="shared" si="17"/>
        <v>0</v>
      </c>
      <c r="L138" s="852">
        <f t="shared" si="17"/>
        <v>0</v>
      </c>
      <c r="M138" s="863">
        <f t="shared" si="17"/>
        <v>0</v>
      </c>
      <c r="N138" s="859">
        <f>SQRT(SUMSQ(N134:N137))</f>
        <v>0</v>
      </c>
      <c r="O138" s="860">
        <f t="shared" si="17"/>
        <v>0</v>
      </c>
      <c r="Z138" s="817"/>
      <c r="AE138" s="576"/>
      <c r="AF138" s="576"/>
      <c r="AG138" s="576"/>
      <c r="AH138" s="576"/>
      <c r="AI138" s="576"/>
      <c r="AJ138" s="576"/>
      <c r="AK138" s="576"/>
      <c r="AL138" s="576"/>
      <c r="AM138" s="576"/>
      <c r="AN138" s="576"/>
      <c r="AO138" s="576"/>
      <c r="AP138" s="576"/>
    </row>
    <row r="139" spans="2:42" s="113" customFormat="1" ht="12.75" customHeight="1" outlineLevel="1">
      <c r="B139" s="2704" t="s">
        <v>464</v>
      </c>
      <c r="C139" s="2705"/>
      <c r="D139" s="862" t="s">
        <v>731</v>
      </c>
      <c r="E139" s="855"/>
      <c r="F139" s="855"/>
      <c r="G139" s="855"/>
      <c r="H139" s="855"/>
      <c r="I139" s="855"/>
      <c r="J139" s="855"/>
      <c r="K139" s="855"/>
      <c r="L139" s="864"/>
      <c r="M139" s="853"/>
      <c r="N139" s="858"/>
      <c r="O139" s="856"/>
      <c r="Z139" s="817"/>
      <c r="AE139" s="576"/>
      <c r="AF139" s="576"/>
      <c r="AG139" s="576"/>
      <c r="AH139" s="576"/>
      <c r="AI139" s="576"/>
      <c r="AJ139" s="576"/>
      <c r="AK139" s="576"/>
      <c r="AL139" s="576"/>
      <c r="AM139" s="576"/>
      <c r="AN139" s="576"/>
      <c r="AO139" s="576"/>
      <c r="AP139" s="576"/>
    </row>
    <row r="140" spans="2:42" s="113" customFormat="1" ht="12.75" customHeight="1" outlineLevel="1">
      <c r="B140" s="2708" t="s">
        <v>465</v>
      </c>
      <c r="C140" s="2709"/>
      <c r="D140" s="862" t="s">
        <v>732</v>
      </c>
      <c r="E140" s="855"/>
      <c r="F140" s="855"/>
      <c r="G140" s="855"/>
      <c r="H140" s="855"/>
      <c r="I140" s="855"/>
      <c r="J140" s="855"/>
      <c r="K140" s="855"/>
      <c r="L140" s="864"/>
      <c r="M140" s="853"/>
      <c r="N140" s="858"/>
      <c r="O140" s="856"/>
      <c r="Z140" s="817"/>
      <c r="AE140" s="576"/>
      <c r="AF140" s="576"/>
      <c r="AG140" s="576"/>
      <c r="AH140" s="576"/>
      <c r="AI140" s="576"/>
      <c r="AJ140" s="576"/>
      <c r="AK140" s="576"/>
      <c r="AL140" s="576"/>
      <c r="AM140" s="576"/>
      <c r="AN140" s="576"/>
      <c r="AO140" s="576"/>
      <c r="AP140" s="576"/>
    </row>
    <row r="141" spans="2:42" s="113" customFormat="1" ht="12.75" customHeight="1" outlineLevel="1">
      <c r="B141" s="2710" t="s">
        <v>725</v>
      </c>
      <c r="C141" s="2711"/>
      <c r="D141" s="2712"/>
      <c r="E141" s="852">
        <f t="shared" ref="E141:L141" si="18">SUM(E139:E140)</f>
        <v>0</v>
      </c>
      <c r="F141" s="852">
        <f t="shared" si="18"/>
        <v>0</v>
      </c>
      <c r="G141" s="852">
        <f t="shared" si="18"/>
        <v>0</v>
      </c>
      <c r="H141" s="852">
        <f t="shared" si="18"/>
        <v>0</v>
      </c>
      <c r="I141" s="852">
        <f t="shared" si="18"/>
        <v>0</v>
      </c>
      <c r="J141" s="852">
        <f t="shared" si="18"/>
        <v>0</v>
      </c>
      <c r="K141" s="852">
        <f t="shared" si="18"/>
        <v>0</v>
      </c>
      <c r="L141" s="852">
        <f t="shared" si="18"/>
        <v>0</v>
      </c>
      <c r="M141" s="863">
        <f>SUM(M139:M140)</f>
        <v>0</v>
      </c>
      <c r="N141" s="859">
        <f>SQRT(SUMSQ(N139:N140))</f>
        <v>0</v>
      </c>
      <c r="O141" s="860">
        <f>SUM(O139:O140)</f>
        <v>0</v>
      </c>
      <c r="Z141" s="817"/>
      <c r="AE141" s="576"/>
      <c r="AF141" s="576"/>
      <c r="AG141" s="576"/>
      <c r="AH141" s="576"/>
      <c r="AI141" s="576"/>
      <c r="AJ141" s="576"/>
      <c r="AK141" s="576"/>
      <c r="AL141" s="576"/>
      <c r="AM141" s="576"/>
      <c r="AN141" s="576"/>
      <c r="AO141" s="576"/>
      <c r="AP141" s="576"/>
    </row>
    <row r="142" spans="2:42" s="113" customFormat="1" ht="12.75" customHeight="1" outlineLevel="1">
      <c r="B142" s="2713" t="s">
        <v>757</v>
      </c>
      <c r="C142" s="2714"/>
      <c r="D142" s="2714"/>
      <c r="E142" s="2714"/>
      <c r="F142" s="2714"/>
      <c r="G142" s="2714"/>
      <c r="H142" s="2714"/>
      <c r="I142" s="2714"/>
      <c r="J142" s="2714"/>
      <c r="K142" s="2714"/>
      <c r="L142" s="2714"/>
      <c r="M142" s="2714"/>
      <c r="N142" s="2714"/>
      <c r="O142" s="2715"/>
      <c r="Z142" s="817"/>
      <c r="AE142" s="576"/>
      <c r="AF142" s="576"/>
      <c r="AG142" s="576"/>
      <c r="AH142" s="576"/>
      <c r="AI142" s="576"/>
      <c r="AJ142" s="576"/>
      <c r="AK142" s="576"/>
      <c r="AL142" s="576"/>
      <c r="AM142" s="576"/>
      <c r="AN142" s="576"/>
      <c r="AO142" s="576"/>
      <c r="AP142" s="576"/>
    </row>
    <row r="143" spans="2:42" s="113" customFormat="1" ht="12.75" customHeight="1" outlineLevel="1">
      <c r="B143" s="2704" t="s">
        <v>733</v>
      </c>
      <c r="C143" s="2705"/>
      <c r="D143" s="862" t="s">
        <v>741</v>
      </c>
      <c r="E143" s="855">
        <f>X18+X32+X46+X59</f>
        <v>177000</v>
      </c>
      <c r="F143" s="855">
        <f>Z18+Z32+Z46+Z59</f>
        <v>0</v>
      </c>
      <c r="G143" s="855">
        <f>AB18+AB32+AB46+AB59</f>
        <v>0</v>
      </c>
      <c r="H143" s="855">
        <v>0</v>
      </c>
      <c r="I143" s="855">
        <v>0</v>
      </c>
      <c r="J143" s="855">
        <v>0</v>
      </c>
      <c r="K143" s="855">
        <f>AD18+AD32+AD46+AD59</f>
        <v>0</v>
      </c>
      <c r="L143" s="864">
        <f>SUM(E143:K143)</f>
        <v>177000</v>
      </c>
      <c r="M143" s="853">
        <f>AH18+AH32+AH46+AH59</f>
        <v>0</v>
      </c>
      <c r="N143" s="858">
        <f>SQRT(T18^2+T32^2+T46^2+T59^2)</f>
        <v>25759.658382827984</v>
      </c>
      <c r="O143" s="856"/>
      <c r="Z143" s="817"/>
      <c r="AE143" s="576"/>
      <c r="AF143" s="576"/>
      <c r="AG143" s="576"/>
      <c r="AH143" s="576"/>
      <c r="AI143" s="576"/>
      <c r="AJ143" s="576"/>
      <c r="AK143" s="576"/>
      <c r="AL143" s="576"/>
      <c r="AM143" s="576"/>
      <c r="AN143" s="576"/>
      <c r="AO143" s="576"/>
      <c r="AP143" s="576"/>
    </row>
    <row r="144" spans="2:42" s="113" customFormat="1" ht="12.75" customHeight="1" outlineLevel="1">
      <c r="B144" s="2704" t="s">
        <v>734</v>
      </c>
      <c r="C144" s="2705"/>
      <c r="D144" s="862" t="s">
        <v>742</v>
      </c>
      <c r="E144" s="855"/>
      <c r="F144" s="855"/>
      <c r="G144" s="855"/>
      <c r="H144" s="855"/>
      <c r="I144" s="855"/>
      <c r="J144" s="855"/>
      <c r="K144" s="855"/>
      <c r="L144" s="864"/>
      <c r="M144" s="853"/>
      <c r="N144" s="858"/>
      <c r="O144" s="856"/>
      <c r="Z144" s="817"/>
      <c r="AE144" s="576"/>
      <c r="AF144" s="576"/>
      <c r="AG144" s="576"/>
      <c r="AH144" s="576"/>
      <c r="AI144" s="576"/>
      <c r="AJ144" s="576"/>
      <c r="AK144" s="576"/>
      <c r="AL144" s="576"/>
      <c r="AM144" s="576"/>
      <c r="AN144" s="576"/>
      <c r="AO144" s="576"/>
      <c r="AP144" s="576"/>
    </row>
    <row r="145" spans="2:42" s="113" customFormat="1" ht="12.75" customHeight="1" outlineLevel="1">
      <c r="B145" s="2708" t="s">
        <v>735</v>
      </c>
      <c r="C145" s="2709"/>
      <c r="D145" s="862" t="s">
        <v>743</v>
      </c>
      <c r="E145" s="855"/>
      <c r="F145" s="855"/>
      <c r="G145" s="855"/>
      <c r="H145" s="855"/>
      <c r="I145" s="855"/>
      <c r="J145" s="855"/>
      <c r="K145" s="855"/>
      <c r="L145" s="864"/>
      <c r="M145" s="853"/>
      <c r="N145" s="858"/>
      <c r="O145" s="856"/>
      <c r="Z145" s="817"/>
      <c r="AE145" s="576"/>
      <c r="AF145" s="576"/>
      <c r="AG145" s="576"/>
      <c r="AH145" s="576"/>
      <c r="AI145" s="576"/>
      <c r="AJ145" s="576"/>
      <c r="AK145" s="576"/>
      <c r="AL145" s="576"/>
      <c r="AM145" s="576"/>
      <c r="AN145" s="576"/>
      <c r="AO145" s="576"/>
      <c r="AP145" s="576"/>
    </row>
    <row r="146" spans="2:42" s="113" customFormat="1" ht="12.75" customHeight="1" outlineLevel="1">
      <c r="B146" s="2704" t="s">
        <v>815</v>
      </c>
      <c r="C146" s="2705"/>
      <c r="D146" s="862" t="s">
        <v>744</v>
      </c>
      <c r="E146" s="855"/>
      <c r="F146" s="855"/>
      <c r="G146" s="855"/>
      <c r="H146" s="855"/>
      <c r="I146" s="855"/>
      <c r="J146" s="855"/>
      <c r="K146" s="855"/>
      <c r="L146" s="864"/>
      <c r="M146" s="853"/>
      <c r="N146" s="858"/>
      <c r="O146" s="856"/>
      <c r="Z146" s="817"/>
      <c r="AE146" s="576"/>
      <c r="AF146" s="576"/>
      <c r="AG146" s="576"/>
      <c r="AH146" s="576"/>
      <c r="AI146" s="576"/>
      <c r="AJ146" s="576"/>
      <c r="AK146" s="576"/>
      <c r="AL146" s="576"/>
      <c r="AM146" s="576"/>
      <c r="AN146" s="576"/>
      <c r="AO146" s="576"/>
      <c r="AP146" s="576"/>
    </row>
    <row r="147" spans="2:42" s="113" customFormat="1" ht="12.75" customHeight="1" outlineLevel="1">
      <c r="B147" s="2704" t="s">
        <v>736</v>
      </c>
      <c r="C147" s="2705"/>
      <c r="D147" s="862" t="s">
        <v>745</v>
      </c>
      <c r="E147" s="855"/>
      <c r="F147" s="855"/>
      <c r="G147" s="855"/>
      <c r="H147" s="855"/>
      <c r="I147" s="855"/>
      <c r="J147" s="855"/>
      <c r="K147" s="855"/>
      <c r="L147" s="864"/>
      <c r="M147" s="853"/>
      <c r="N147" s="858"/>
      <c r="O147" s="856"/>
      <c r="Z147" s="817"/>
      <c r="AE147" s="576"/>
      <c r="AF147" s="576"/>
      <c r="AG147" s="576"/>
      <c r="AH147" s="576"/>
      <c r="AI147" s="576"/>
      <c r="AJ147" s="576"/>
      <c r="AK147" s="576"/>
      <c r="AL147" s="576"/>
      <c r="AM147" s="576"/>
      <c r="AN147" s="576"/>
      <c r="AO147" s="576"/>
      <c r="AP147" s="576"/>
    </row>
    <row r="148" spans="2:42" s="113" customFormat="1" ht="12.75" customHeight="1" outlineLevel="1">
      <c r="B148" s="2704" t="s">
        <v>470</v>
      </c>
      <c r="C148" s="2705"/>
      <c r="D148" s="862" t="s">
        <v>746</v>
      </c>
      <c r="E148" s="855"/>
      <c r="F148" s="855"/>
      <c r="G148" s="855"/>
      <c r="H148" s="855"/>
      <c r="I148" s="855"/>
      <c r="J148" s="855"/>
      <c r="K148" s="855"/>
      <c r="L148" s="864"/>
      <c r="M148" s="853"/>
      <c r="N148" s="858"/>
      <c r="O148" s="856"/>
      <c r="Z148" s="817"/>
      <c r="AE148" s="576"/>
      <c r="AF148" s="576"/>
      <c r="AG148" s="576"/>
      <c r="AH148" s="576"/>
      <c r="AI148" s="576"/>
      <c r="AJ148" s="576"/>
      <c r="AK148" s="576"/>
      <c r="AL148" s="576"/>
      <c r="AM148" s="576"/>
      <c r="AN148" s="576"/>
      <c r="AO148" s="576"/>
      <c r="AP148" s="576"/>
    </row>
    <row r="149" spans="2:42" s="113" customFormat="1" ht="12.75" customHeight="1" outlineLevel="1">
      <c r="B149" s="2704" t="s">
        <v>479</v>
      </c>
      <c r="C149" s="2705"/>
      <c r="D149" s="862" t="s">
        <v>747</v>
      </c>
      <c r="E149" s="855"/>
      <c r="F149" s="855"/>
      <c r="G149" s="855"/>
      <c r="H149" s="855"/>
      <c r="I149" s="855"/>
      <c r="J149" s="855"/>
      <c r="K149" s="855"/>
      <c r="L149" s="864"/>
      <c r="M149" s="853"/>
      <c r="N149" s="858"/>
      <c r="O149" s="856"/>
      <c r="Z149" s="817"/>
      <c r="AE149" s="576"/>
      <c r="AF149" s="576"/>
      <c r="AG149" s="576"/>
      <c r="AH149" s="576"/>
      <c r="AI149" s="576"/>
      <c r="AJ149" s="576"/>
      <c r="AK149" s="576"/>
      <c r="AL149" s="576"/>
      <c r="AM149" s="576"/>
      <c r="AN149" s="576"/>
      <c r="AO149" s="576"/>
      <c r="AP149" s="576"/>
    </row>
    <row r="150" spans="2:42" s="113" customFormat="1" ht="12.75" customHeight="1" outlineLevel="1">
      <c r="B150" s="2704" t="s">
        <v>471</v>
      </c>
      <c r="C150" s="2705"/>
      <c r="D150" s="862" t="s">
        <v>748</v>
      </c>
      <c r="E150" s="855"/>
      <c r="F150" s="855"/>
      <c r="G150" s="855"/>
      <c r="H150" s="855"/>
      <c r="I150" s="855"/>
      <c r="J150" s="855"/>
      <c r="K150" s="855"/>
      <c r="L150" s="864"/>
      <c r="M150" s="853"/>
      <c r="N150" s="858"/>
      <c r="O150" s="856"/>
      <c r="Z150" s="817"/>
      <c r="AE150" s="576"/>
      <c r="AF150" s="576"/>
      <c r="AG150" s="576"/>
      <c r="AH150" s="576"/>
      <c r="AI150" s="576"/>
      <c r="AJ150" s="576"/>
      <c r="AK150" s="576"/>
      <c r="AL150" s="576"/>
      <c r="AM150" s="576"/>
      <c r="AN150" s="576"/>
      <c r="AO150" s="576"/>
      <c r="AP150" s="576"/>
    </row>
    <row r="151" spans="2:42" s="113" customFormat="1" ht="12.75" customHeight="1" outlineLevel="1">
      <c r="B151" s="2704" t="s">
        <v>762</v>
      </c>
      <c r="C151" s="2705"/>
      <c r="D151" s="854"/>
      <c r="E151" s="855"/>
      <c r="F151" s="855"/>
      <c r="G151" s="855"/>
      <c r="H151" s="855"/>
      <c r="I151" s="855"/>
      <c r="J151" s="855"/>
      <c r="K151" s="855"/>
      <c r="L151" s="864"/>
      <c r="M151" s="853"/>
      <c r="N151" s="858"/>
      <c r="O151" s="856"/>
      <c r="Z151" s="817"/>
      <c r="AE151" s="576"/>
      <c r="AF151" s="576"/>
      <c r="AG151" s="576"/>
      <c r="AH151" s="576"/>
      <c r="AI151" s="576"/>
      <c r="AJ151" s="576"/>
      <c r="AK151" s="576"/>
      <c r="AL151" s="576"/>
      <c r="AM151" s="576"/>
      <c r="AN151" s="576"/>
      <c r="AO151" s="576"/>
      <c r="AP151" s="576"/>
    </row>
    <row r="152" spans="2:42" s="113" customFormat="1" ht="12.75" customHeight="1" outlineLevel="1">
      <c r="B152" s="2713" t="s">
        <v>756</v>
      </c>
      <c r="C152" s="2714"/>
      <c r="D152" s="2714"/>
      <c r="E152" s="2714"/>
      <c r="F152" s="2714"/>
      <c r="G152" s="2714"/>
      <c r="H152" s="2714"/>
      <c r="I152" s="2714"/>
      <c r="J152" s="2714"/>
      <c r="K152" s="2714"/>
      <c r="L152" s="2714"/>
      <c r="M152" s="2714"/>
      <c r="N152" s="2714"/>
      <c r="O152" s="2715"/>
      <c r="Z152" s="817"/>
      <c r="AE152" s="576"/>
      <c r="AF152" s="576"/>
      <c r="AG152" s="576"/>
      <c r="AH152" s="576"/>
      <c r="AI152" s="576"/>
      <c r="AJ152" s="576"/>
      <c r="AK152" s="576"/>
      <c r="AL152" s="576"/>
      <c r="AM152" s="576"/>
      <c r="AN152" s="576"/>
      <c r="AO152" s="576"/>
      <c r="AP152" s="576"/>
    </row>
    <row r="153" spans="2:42" s="113" customFormat="1" ht="12.75" customHeight="1" outlineLevel="1">
      <c r="B153" s="2704" t="s">
        <v>737</v>
      </c>
      <c r="C153" s="2705"/>
      <c r="D153" s="862" t="s">
        <v>749</v>
      </c>
      <c r="E153" s="855"/>
      <c r="F153" s="855"/>
      <c r="G153" s="855"/>
      <c r="H153" s="855"/>
      <c r="I153" s="855"/>
      <c r="J153" s="855"/>
      <c r="K153" s="855"/>
      <c r="L153" s="864"/>
      <c r="M153" s="853"/>
      <c r="N153" s="858"/>
      <c r="O153" s="856"/>
      <c r="Z153" s="817"/>
      <c r="AE153" s="576"/>
      <c r="AF153" s="576"/>
      <c r="AG153" s="576"/>
      <c r="AH153" s="576"/>
      <c r="AI153" s="576"/>
      <c r="AJ153" s="576"/>
      <c r="AK153" s="576"/>
      <c r="AL153" s="576"/>
      <c r="AM153" s="576"/>
      <c r="AN153" s="576"/>
      <c r="AO153" s="576"/>
      <c r="AP153" s="576"/>
    </row>
    <row r="154" spans="2:42" s="113" customFormat="1" ht="12.75" customHeight="1" outlineLevel="1">
      <c r="B154" s="2704" t="s">
        <v>738</v>
      </c>
      <c r="C154" s="2705"/>
      <c r="D154" s="862" t="s">
        <v>750</v>
      </c>
      <c r="E154" s="855"/>
      <c r="F154" s="855"/>
      <c r="G154" s="855"/>
      <c r="H154" s="855"/>
      <c r="I154" s="855"/>
      <c r="J154" s="855"/>
      <c r="K154" s="855"/>
      <c r="L154" s="864"/>
      <c r="M154" s="853"/>
      <c r="N154" s="858"/>
      <c r="O154" s="856"/>
      <c r="Z154" s="817"/>
      <c r="AE154" s="576"/>
      <c r="AF154" s="576"/>
      <c r="AG154" s="576"/>
      <c r="AH154" s="576"/>
      <c r="AI154" s="576"/>
      <c r="AJ154" s="576"/>
      <c r="AK154" s="576"/>
      <c r="AL154" s="576"/>
      <c r="AM154" s="576"/>
      <c r="AN154" s="576"/>
      <c r="AO154" s="576"/>
      <c r="AP154" s="576"/>
    </row>
    <row r="155" spans="2:42" s="113" customFormat="1" ht="12.75" customHeight="1" outlineLevel="1">
      <c r="B155" s="2704" t="s">
        <v>475</v>
      </c>
      <c r="C155" s="2705"/>
      <c r="D155" s="862" t="s">
        <v>751</v>
      </c>
      <c r="E155" s="855"/>
      <c r="F155" s="855"/>
      <c r="G155" s="855"/>
      <c r="H155" s="855"/>
      <c r="I155" s="855"/>
      <c r="J155" s="855"/>
      <c r="K155" s="855"/>
      <c r="L155" s="864"/>
      <c r="M155" s="853"/>
      <c r="N155" s="858"/>
      <c r="O155" s="856"/>
      <c r="Z155" s="817"/>
      <c r="AE155" s="576"/>
      <c r="AF155" s="576"/>
      <c r="AG155" s="576"/>
      <c r="AH155" s="576"/>
      <c r="AI155" s="576"/>
      <c r="AJ155" s="576"/>
      <c r="AK155" s="576"/>
      <c r="AL155" s="576"/>
      <c r="AM155" s="576"/>
      <c r="AN155" s="576"/>
      <c r="AO155" s="576"/>
      <c r="AP155" s="576"/>
    </row>
    <row r="156" spans="2:42" s="113" customFormat="1" ht="12.75" customHeight="1" outlineLevel="1">
      <c r="B156" s="2704" t="s">
        <v>476</v>
      </c>
      <c r="C156" s="2705"/>
      <c r="D156" s="862" t="s">
        <v>752</v>
      </c>
      <c r="E156" s="855" t="e">
        <f>Y18+Y32+Y46+Y59</f>
        <v>#REF!</v>
      </c>
      <c r="F156" s="855">
        <f>AA18+AA32+AA46+AA59</f>
        <v>0</v>
      </c>
      <c r="G156" s="855">
        <f>AC18+AC32+AC46+AC59</f>
        <v>0</v>
      </c>
      <c r="H156" s="855">
        <v>0</v>
      </c>
      <c r="I156" s="855">
        <v>0</v>
      </c>
      <c r="J156" s="855">
        <v>0</v>
      </c>
      <c r="K156" s="855">
        <f>AE18+AE32+AE46+AE59</f>
        <v>0</v>
      </c>
      <c r="L156" s="864" t="e">
        <f>SUM(E156:K156)</f>
        <v>#REF!</v>
      </c>
      <c r="M156" s="853">
        <f>AI18+AI32+AI46+AI59</f>
        <v>0</v>
      </c>
      <c r="N156" s="858">
        <f>SQRT(SUMSQ(U59,U46,U32,U18))</f>
        <v>19840</v>
      </c>
      <c r="O156" s="856"/>
      <c r="Z156" s="817"/>
      <c r="AE156" s="576"/>
      <c r="AF156" s="576"/>
      <c r="AG156" s="576"/>
      <c r="AH156" s="576"/>
      <c r="AI156" s="576"/>
      <c r="AJ156" s="576"/>
      <c r="AK156" s="576"/>
      <c r="AL156" s="576"/>
      <c r="AM156" s="576"/>
      <c r="AN156" s="576"/>
      <c r="AO156" s="576"/>
      <c r="AP156" s="576"/>
    </row>
    <row r="157" spans="2:42" s="113" customFormat="1" ht="12.75" customHeight="1" outlineLevel="1">
      <c r="B157" s="2704" t="s">
        <v>739</v>
      </c>
      <c r="C157" s="2705"/>
      <c r="D157" s="862" t="s">
        <v>753</v>
      </c>
      <c r="E157" s="855"/>
      <c r="F157" s="855"/>
      <c r="G157" s="855"/>
      <c r="H157" s="855"/>
      <c r="I157" s="855"/>
      <c r="J157" s="855"/>
      <c r="K157" s="855"/>
      <c r="L157" s="864"/>
      <c r="M157" s="853"/>
      <c r="N157" s="858"/>
      <c r="O157" s="856"/>
      <c r="Z157" s="817"/>
      <c r="AE157" s="576"/>
      <c r="AF157" s="576"/>
      <c r="AG157" s="576"/>
      <c r="AH157" s="576"/>
      <c r="AI157" s="576"/>
      <c r="AJ157" s="576"/>
      <c r="AK157" s="576"/>
      <c r="AL157" s="576"/>
      <c r="AM157" s="576"/>
      <c r="AN157" s="576"/>
      <c r="AO157" s="576"/>
      <c r="AP157" s="576"/>
    </row>
    <row r="158" spans="2:42" s="113" customFormat="1" ht="12.75" customHeight="1" outlineLevel="1">
      <c r="B158" s="2704" t="s">
        <v>740</v>
      </c>
      <c r="C158" s="2705"/>
      <c r="D158" s="862" t="s">
        <v>754</v>
      </c>
      <c r="E158" s="855"/>
      <c r="F158" s="855"/>
      <c r="G158" s="855"/>
      <c r="H158" s="855"/>
      <c r="I158" s="855"/>
      <c r="J158" s="855"/>
      <c r="K158" s="855"/>
      <c r="L158" s="864"/>
      <c r="M158" s="853"/>
      <c r="N158" s="858"/>
      <c r="O158" s="856"/>
      <c r="Z158" s="817"/>
      <c r="AE158" s="576"/>
      <c r="AF158" s="576"/>
      <c r="AG158" s="576"/>
      <c r="AH158" s="576"/>
      <c r="AI158" s="576"/>
      <c r="AJ158" s="576"/>
      <c r="AK158" s="576"/>
      <c r="AL158" s="576"/>
      <c r="AM158" s="576"/>
      <c r="AN158" s="576"/>
      <c r="AO158" s="576"/>
      <c r="AP158" s="576"/>
    </row>
    <row r="159" spans="2:42" s="113" customFormat="1" ht="12.75" customHeight="1" outlineLevel="1">
      <c r="B159" s="2704" t="s">
        <v>472</v>
      </c>
      <c r="C159" s="2705"/>
      <c r="D159" s="862" t="s">
        <v>755</v>
      </c>
      <c r="E159" s="855"/>
      <c r="F159" s="855"/>
      <c r="G159" s="855"/>
      <c r="H159" s="855"/>
      <c r="I159" s="855"/>
      <c r="J159" s="855"/>
      <c r="K159" s="855"/>
      <c r="L159" s="864"/>
      <c r="M159" s="853"/>
      <c r="N159" s="858"/>
      <c r="O159" s="856"/>
      <c r="Z159" s="817"/>
      <c r="AE159" s="576"/>
      <c r="AF159" s="576"/>
      <c r="AG159" s="576"/>
      <c r="AH159" s="576"/>
      <c r="AI159" s="576"/>
      <c r="AJ159" s="576"/>
      <c r="AK159" s="576"/>
      <c r="AL159" s="576"/>
      <c r="AM159" s="576"/>
      <c r="AN159" s="576"/>
      <c r="AO159" s="576"/>
      <c r="AP159" s="576"/>
    </row>
    <row r="160" spans="2:42" s="113" customFormat="1" ht="12.75" customHeight="1" outlineLevel="1">
      <c r="B160" s="2704" t="s">
        <v>763</v>
      </c>
      <c r="C160" s="2705"/>
      <c r="D160" s="854"/>
      <c r="E160" s="855"/>
      <c r="F160" s="855"/>
      <c r="G160" s="855"/>
      <c r="H160" s="855"/>
      <c r="I160" s="855"/>
      <c r="J160" s="855"/>
      <c r="K160" s="855"/>
      <c r="L160" s="864"/>
      <c r="M160" s="853"/>
      <c r="N160" s="858"/>
      <c r="O160" s="856"/>
      <c r="Z160" s="817"/>
      <c r="AE160" s="576"/>
      <c r="AF160" s="576"/>
      <c r="AG160" s="576"/>
      <c r="AH160" s="576"/>
      <c r="AI160" s="576"/>
      <c r="AJ160" s="576"/>
      <c r="AK160" s="576"/>
      <c r="AL160" s="576"/>
      <c r="AM160" s="576"/>
      <c r="AN160" s="576"/>
      <c r="AO160" s="576"/>
      <c r="AP160" s="576"/>
    </row>
    <row r="161" spans="2:42" s="113" customFormat="1" ht="12.75" customHeight="1" outlineLevel="1">
      <c r="B161" s="2710" t="s">
        <v>724</v>
      </c>
      <c r="C161" s="2711"/>
      <c r="D161" s="2712"/>
      <c r="E161" s="852" t="e">
        <f t="shared" ref="E161:O161" si="19">SUM(E143:E160)</f>
        <v>#REF!</v>
      </c>
      <c r="F161" s="852">
        <f t="shared" si="19"/>
        <v>0</v>
      </c>
      <c r="G161" s="852">
        <f t="shared" si="19"/>
        <v>0</v>
      </c>
      <c r="H161" s="852">
        <f t="shared" si="19"/>
        <v>0</v>
      </c>
      <c r="I161" s="852">
        <f t="shared" si="19"/>
        <v>0</v>
      </c>
      <c r="J161" s="852">
        <f t="shared" si="19"/>
        <v>0</v>
      </c>
      <c r="K161" s="852">
        <f t="shared" si="19"/>
        <v>0</v>
      </c>
      <c r="L161" s="852" t="e">
        <f t="shared" si="19"/>
        <v>#REF!</v>
      </c>
      <c r="M161" s="863">
        <f t="shared" si="19"/>
        <v>0</v>
      </c>
      <c r="N161" s="859">
        <f>SQRT(SUMSQ(N143:N160))</f>
        <v>32514.390660136934</v>
      </c>
      <c r="O161" s="860">
        <f t="shared" si="19"/>
        <v>0</v>
      </c>
      <c r="Z161" s="817"/>
      <c r="AE161" s="576"/>
      <c r="AF161" s="576"/>
      <c r="AG161" s="576"/>
      <c r="AH161" s="576"/>
      <c r="AI161" s="576"/>
      <c r="AJ161" s="576"/>
      <c r="AK161" s="576"/>
      <c r="AL161" s="576"/>
      <c r="AM161" s="576"/>
      <c r="AN161" s="576"/>
      <c r="AO161" s="576"/>
      <c r="AP161" s="576"/>
    </row>
    <row r="162" spans="2:42" s="113" customFormat="1" ht="11.4" outlineLevel="1">
      <c r="W162" s="817"/>
      <c r="AB162" s="576"/>
      <c r="AC162" s="576"/>
      <c r="AD162" s="576"/>
      <c r="AE162" s="576"/>
      <c r="AF162" s="576"/>
      <c r="AG162" s="576"/>
      <c r="AH162" s="576"/>
      <c r="AI162" s="576"/>
      <c r="AJ162" s="576"/>
      <c r="AK162" s="576"/>
      <c r="AL162" s="576"/>
      <c r="AM162" s="576"/>
    </row>
    <row r="163" spans="2:42"/>
    <row r="164" spans="2:42" s="113" customFormat="1" ht="15.75" customHeight="1">
      <c r="B164" s="2716" t="s">
        <v>810</v>
      </c>
      <c r="C164" s="2717"/>
      <c r="D164" s="2717"/>
      <c r="E164" s="2717"/>
      <c r="F164" s="2717"/>
      <c r="G164" s="2717"/>
      <c r="H164" s="2717"/>
      <c r="I164" s="2717"/>
      <c r="J164" s="2717"/>
      <c r="K164" s="2717"/>
      <c r="L164" s="2717"/>
      <c r="M164" s="2717"/>
      <c r="N164" s="2717"/>
      <c r="O164" s="2718"/>
      <c r="W164" s="817"/>
      <c r="AB164" s="576"/>
      <c r="AC164" s="576"/>
      <c r="AD164" s="576"/>
      <c r="AE164" s="576"/>
      <c r="AF164" s="576"/>
      <c r="AG164" s="576"/>
      <c r="AH164" s="576"/>
      <c r="AI164" s="576"/>
      <c r="AJ164" s="576"/>
      <c r="AK164" s="576"/>
      <c r="AL164" s="576"/>
      <c r="AM164" s="576"/>
    </row>
    <row r="165" spans="2:42" s="113" customFormat="1" ht="11.4" outlineLevel="1">
      <c r="Q165" s="908"/>
      <c r="R165" s="908"/>
      <c r="W165" s="817"/>
      <c r="AB165" s="576"/>
      <c r="AC165" s="576"/>
      <c r="AD165" s="576"/>
      <c r="AE165" s="576"/>
      <c r="AF165" s="576"/>
      <c r="AG165" s="576"/>
      <c r="AH165" s="576"/>
      <c r="AI165" s="576"/>
      <c r="AJ165" s="576"/>
      <c r="AK165" s="576"/>
      <c r="AL165" s="576"/>
      <c r="AM165" s="576"/>
    </row>
    <row r="166" spans="2:42" s="113" customFormat="1" ht="38.25" customHeight="1" outlineLevel="1">
      <c r="B166" s="205"/>
      <c r="C166" s="205"/>
      <c r="D166" s="205"/>
      <c r="E166" s="2719" t="s">
        <v>448</v>
      </c>
      <c r="F166" s="2720"/>
      <c r="G166" s="2720"/>
      <c r="H166" s="2720"/>
      <c r="I166" s="2720"/>
      <c r="J166" s="2720"/>
      <c r="K166" s="2720"/>
      <c r="L166" s="2720"/>
      <c r="M166" s="2721"/>
      <c r="N166" s="971" t="s">
        <v>811</v>
      </c>
      <c r="O166" s="968" t="s">
        <v>440</v>
      </c>
      <c r="Q166" s="908"/>
      <c r="R166" s="908"/>
      <c r="W166" s="817"/>
      <c r="AB166" s="576"/>
      <c r="AC166" s="576"/>
      <c r="AD166" s="576"/>
      <c r="AE166" s="576"/>
      <c r="AF166" s="576"/>
      <c r="AG166" s="576"/>
      <c r="AH166" s="576"/>
      <c r="AI166" s="576"/>
      <c r="AJ166" s="576"/>
      <c r="AK166" s="576"/>
      <c r="AL166" s="576"/>
      <c r="AM166" s="576"/>
    </row>
    <row r="167" spans="2:42" s="113" customFormat="1" ht="38.25" customHeight="1" outlineLevel="1">
      <c r="B167" s="2719" t="s">
        <v>438</v>
      </c>
      <c r="C167" s="2721"/>
      <c r="D167" s="970" t="s">
        <v>458</v>
      </c>
      <c r="E167" s="969" t="s">
        <v>853</v>
      </c>
      <c r="F167" s="969" t="s">
        <v>854</v>
      </c>
      <c r="G167" s="969" t="s">
        <v>855</v>
      </c>
      <c r="H167" s="969" t="s">
        <v>861</v>
      </c>
      <c r="I167" s="969" t="s">
        <v>852</v>
      </c>
      <c r="J167" s="970" t="s">
        <v>513</v>
      </c>
      <c r="K167" s="969" t="s">
        <v>862</v>
      </c>
      <c r="L167" s="969" t="s">
        <v>863</v>
      </c>
      <c r="M167" s="969" t="s">
        <v>514</v>
      </c>
      <c r="N167" s="972" t="s">
        <v>856</v>
      </c>
      <c r="O167" s="974" t="s">
        <v>513</v>
      </c>
      <c r="Q167" s="908"/>
      <c r="R167" s="908"/>
      <c r="W167" s="817"/>
      <c r="AB167" s="576"/>
      <c r="AC167" s="576"/>
      <c r="AD167" s="576"/>
      <c r="AE167" s="576"/>
      <c r="AF167" s="576"/>
      <c r="AG167" s="576"/>
      <c r="AH167" s="576"/>
      <c r="AI167" s="576"/>
      <c r="AJ167" s="576"/>
      <c r="AK167" s="576"/>
      <c r="AL167" s="576"/>
      <c r="AM167" s="576"/>
    </row>
    <row r="168" spans="2:42" s="113" customFormat="1" ht="12.75" customHeight="1" outlineLevel="1">
      <c r="B168" s="2722" t="s">
        <v>459</v>
      </c>
      <c r="C168" s="2723"/>
      <c r="D168" s="973">
        <v>1</v>
      </c>
      <c r="E168" s="980"/>
      <c r="F168" s="980"/>
      <c r="G168" s="980"/>
      <c r="H168" s="980"/>
      <c r="I168" s="980"/>
      <c r="J168" s="981"/>
      <c r="K168" s="982"/>
      <c r="L168" s="982"/>
      <c r="M168" s="983"/>
      <c r="N168" s="984"/>
      <c r="O168" s="2724" t="s">
        <v>817</v>
      </c>
      <c r="Q168" s="908"/>
      <c r="R168" s="908"/>
      <c r="W168" s="817"/>
      <c r="AB168" s="576"/>
      <c r="AC168" s="576"/>
      <c r="AD168" s="576"/>
      <c r="AE168" s="576"/>
      <c r="AF168" s="576"/>
      <c r="AG168" s="576"/>
      <c r="AH168" s="576"/>
      <c r="AI168" s="576"/>
      <c r="AJ168" s="576"/>
      <c r="AK168" s="576"/>
      <c r="AL168" s="576"/>
      <c r="AM168" s="576"/>
    </row>
    <row r="169" spans="2:42" s="113" customFormat="1" ht="12.75" customHeight="1" outlineLevel="1">
      <c r="B169" s="2722" t="s">
        <v>722</v>
      </c>
      <c r="C169" s="2723"/>
      <c r="D169" s="973">
        <v>2</v>
      </c>
      <c r="E169" s="980"/>
      <c r="F169" s="980"/>
      <c r="G169" s="980"/>
      <c r="H169" s="980"/>
      <c r="I169" s="980"/>
      <c r="J169" s="981"/>
      <c r="K169" s="982"/>
      <c r="L169" s="982"/>
      <c r="M169" s="983"/>
      <c r="N169" s="984"/>
      <c r="O169" s="2725"/>
      <c r="Q169" s="908"/>
      <c r="R169" s="908"/>
      <c r="W169" s="817"/>
      <c r="AB169" s="576"/>
      <c r="AC169" s="576"/>
      <c r="AD169" s="576"/>
      <c r="AE169" s="576"/>
      <c r="AF169" s="576"/>
      <c r="AG169" s="576"/>
      <c r="AH169" s="576"/>
      <c r="AI169" s="576"/>
      <c r="AJ169" s="576"/>
      <c r="AK169" s="576"/>
      <c r="AL169" s="576"/>
      <c r="AM169" s="576"/>
    </row>
    <row r="170" spans="2:42" s="113" customFormat="1" ht="12.75" customHeight="1" outlineLevel="1">
      <c r="B170" s="2722" t="s">
        <v>723</v>
      </c>
      <c r="C170" s="2723"/>
      <c r="D170" s="973">
        <v>3</v>
      </c>
      <c r="E170" s="980"/>
      <c r="F170" s="980"/>
      <c r="G170" s="980"/>
      <c r="H170" s="980"/>
      <c r="I170" s="980"/>
      <c r="J170" s="981"/>
      <c r="K170" s="982"/>
      <c r="L170" s="982"/>
      <c r="M170" s="983"/>
      <c r="N170" s="984"/>
      <c r="O170" s="2725"/>
      <c r="Q170" s="908"/>
      <c r="R170" s="908"/>
      <c r="W170" s="817"/>
      <c r="AB170" s="576"/>
      <c r="AC170" s="576"/>
      <c r="AD170" s="576"/>
      <c r="AE170" s="576"/>
      <c r="AF170" s="576"/>
      <c r="AG170" s="576"/>
      <c r="AH170" s="576"/>
      <c r="AI170" s="576"/>
      <c r="AJ170" s="576"/>
      <c r="AK170" s="576"/>
      <c r="AL170" s="576"/>
      <c r="AM170" s="576"/>
    </row>
    <row r="171" spans="2:42" s="113" customFormat="1" ht="12.75" customHeight="1" outlineLevel="1">
      <c r="B171" s="2722" t="s">
        <v>462</v>
      </c>
      <c r="C171" s="2723"/>
      <c r="D171" s="973">
        <v>4</v>
      </c>
      <c r="E171" s="980"/>
      <c r="F171" s="980"/>
      <c r="G171" s="980"/>
      <c r="H171" s="980"/>
      <c r="I171" s="980"/>
      <c r="J171" s="981"/>
      <c r="K171" s="982"/>
      <c r="L171" s="982"/>
      <c r="M171" s="983"/>
      <c r="N171" s="984"/>
      <c r="O171" s="2725"/>
      <c r="Q171" s="908"/>
      <c r="R171" s="908"/>
      <c r="W171" s="817"/>
      <c r="AB171" s="576"/>
      <c r="AC171" s="576"/>
      <c r="AD171" s="576"/>
      <c r="AE171" s="576"/>
      <c r="AF171" s="576"/>
      <c r="AG171" s="576"/>
      <c r="AH171" s="576"/>
      <c r="AI171" s="576"/>
      <c r="AJ171" s="576"/>
      <c r="AK171" s="576"/>
      <c r="AL171" s="576"/>
      <c r="AM171" s="576"/>
    </row>
    <row r="172" spans="2:42" s="113" customFormat="1" ht="12.75" customHeight="1" outlineLevel="1">
      <c r="B172" s="2722" t="s">
        <v>812</v>
      </c>
      <c r="C172" s="2723"/>
      <c r="D172" s="973">
        <v>5</v>
      </c>
      <c r="E172" s="980"/>
      <c r="F172" s="980"/>
      <c r="G172" s="980"/>
      <c r="H172" s="980"/>
      <c r="I172" s="980">
        <v>0</v>
      </c>
      <c r="J172" s="981"/>
      <c r="K172" s="982"/>
      <c r="L172" s="982"/>
      <c r="M172" s="983"/>
      <c r="N172" s="985"/>
      <c r="O172" s="2725"/>
      <c r="Q172" s="908"/>
      <c r="R172" s="908"/>
      <c r="W172" s="817"/>
      <c r="AB172" s="576"/>
      <c r="AC172" s="576"/>
      <c r="AD172" s="576"/>
      <c r="AE172" s="576"/>
      <c r="AF172" s="576"/>
      <c r="AG172" s="576"/>
      <c r="AH172" s="576"/>
      <c r="AI172" s="576"/>
      <c r="AJ172" s="576"/>
      <c r="AK172" s="576"/>
      <c r="AL172" s="576"/>
      <c r="AM172" s="576"/>
    </row>
    <row r="173" spans="2:42" s="113" customFormat="1" ht="12.75" customHeight="1" outlineLevel="1">
      <c r="B173" s="2727" t="s">
        <v>726</v>
      </c>
      <c r="C173" s="2728"/>
      <c r="D173" s="2729"/>
      <c r="E173" s="986">
        <f>SUM(E168:E172)</f>
        <v>0</v>
      </c>
      <c r="F173" s="986">
        <f t="shared" ref="F173:N173" si="20">SUM(F168:F172)</f>
        <v>0</v>
      </c>
      <c r="G173" s="986">
        <f t="shared" si="20"/>
        <v>0</v>
      </c>
      <c r="H173" s="986">
        <f t="shared" si="20"/>
        <v>0</v>
      </c>
      <c r="I173" s="986">
        <f t="shared" si="20"/>
        <v>0</v>
      </c>
      <c r="J173" s="986">
        <f t="shared" si="20"/>
        <v>0</v>
      </c>
      <c r="K173" s="987">
        <f t="shared" si="20"/>
        <v>0</v>
      </c>
      <c r="L173" s="987">
        <f t="shared" si="20"/>
        <v>0</v>
      </c>
      <c r="M173" s="988">
        <f>SQRT(SUMSQ(M168:M172))</f>
        <v>0</v>
      </c>
      <c r="N173" s="989">
        <f t="shared" si="20"/>
        <v>0</v>
      </c>
      <c r="O173" s="2726"/>
      <c r="Q173" s="908"/>
      <c r="R173" s="908"/>
      <c r="W173" s="817"/>
      <c r="AB173" s="576"/>
      <c r="AC173" s="576"/>
      <c r="AD173" s="576"/>
      <c r="AE173" s="576"/>
      <c r="AF173" s="576"/>
      <c r="AG173" s="576"/>
      <c r="AH173" s="576"/>
      <c r="AI173" s="576"/>
      <c r="AJ173" s="576"/>
      <c r="AK173" s="576"/>
      <c r="AL173" s="576"/>
      <c r="AM173" s="576"/>
    </row>
    <row r="174" spans="2:42" s="113" customFormat="1" ht="12.75" customHeight="1" outlineLevel="1">
      <c r="B174" s="2722" t="s">
        <v>464</v>
      </c>
      <c r="C174" s="2723"/>
      <c r="D174" s="973">
        <v>6</v>
      </c>
      <c r="E174" s="980"/>
      <c r="F174" s="980"/>
      <c r="G174" s="980"/>
      <c r="H174" s="980"/>
      <c r="I174" s="980"/>
      <c r="J174" s="981"/>
      <c r="K174" s="982"/>
      <c r="L174" s="982"/>
      <c r="M174" s="983"/>
      <c r="N174" s="984"/>
      <c r="O174" s="990"/>
      <c r="Q174" s="908"/>
      <c r="R174" s="908"/>
      <c r="W174" s="817"/>
      <c r="AB174" s="576"/>
      <c r="AC174" s="576"/>
      <c r="AD174" s="576"/>
      <c r="AE174" s="576"/>
      <c r="AF174" s="576"/>
      <c r="AG174" s="576"/>
      <c r="AH174" s="576"/>
      <c r="AI174" s="576"/>
      <c r="AJ174" s="576"/>
      <c r="AK174" s="576"/>
      <c r="AL174" s="576"/>
      <c r="AM174" s="576"/>
    </row>
    <row r="175" spans="2:42" s="113" customFormat="1" ht="12.75" customHeight="1" outlineLevel="1">
      <c r="B175" s="2722" t="s">
        <v>813</v>
      </c>
      <c r="C175" s="2723"/>
      <c r="D175" s="973">
        <v>7</v>
      </c>
      <c r="E175" s="980"/>
      <c r="F175" s="980"/>
      <c r="G175" s="980"/>
      <c r="H175" s="980"/>
      <c r="I175" s="980"/>
      <c r="J175" s="981"/>
      <c r="K175" s="982"/>
      <c r="L175" s="982"/>
      <c r="M175" s="983"/>
      <c r="N175" s="984"/>
      <c r="O175" s="984"/>
      <c r="Q175" s="908"/>
      <c r="R175" s="908"/>
      <c r="W175" s="817"/>
      <c r="AB175" s="576"/>
      <c r="AC175" s="576"/>
      <c r="AD175" s="576"/>
      <c r="AE175" s="576"/>
      <c r="AF175" s="576"/>
      <c r="AG175" s="576"/>
      <c r="AH175" s="576"/>
      <c r="AI175" s="576"/>
      <c r="AJ175" s="576"/>
      <c r="AK175" s="576"/>
      <c r="AL175" s="576"/>
      <c r="AM175" s="576"/>
    </row>
    <row r="176" spans="2:42" s="113" customFormat="1" ht="12.75" customHeight="1" outlineLevel="1">
      <c r="B176" s="2727" t="s">
        <v>725</v>
      </c>
      <c r="C176" s="2728"/>
      <c r="D176" s="2729"/>
      <c r="E176" s="986">
        <f>SUM(E174:E175)</f>
        <v>0</v>
      </c>
      <c r="F176" s="986">
        <f t="shared" ref="F176:O176" si="21">SUM(F174:F175)</f>
        <v>0</v>
      </c>
      <c r="G176" s="986">
        <f t="shared" si="21"/>
        <v>0</v>
      </c>
      <c r="H176" s="986">
        <f t="shared" si="21"/>
        <v>0</v>
      </c>
      <c r="I176" s="986">
        <f t="shared" si="21"/>
        <v>0</v>
      </c>
      <c r="J176" s="986">
        <f t="shared" si="21"/>
        <v>0</v>
      </c>
      <c r="K176" s="987">
        <f t="shared" si="21"/>
        <v>0</v>
      </c>
      <c r="L176" s="987">
        <f t="shared" si="21"/>
        <v>0</v>
      </c>
      <c r="M176" s="988">
        <f>SQRT(SUMSQ(M174:M175))</f>
        <v>0</v>
      </c>
      <c r="N176" s="989">
        <f t="shared" si="21"/>
        <v>0</v>
      </c>
      <c r="O176" s="989">
        <f t="shared" si="21"/>
        <v>0</v>
      </c>
      <c r="Q176" s="908"/>
      <c r="R176" s="908"/>
      <c r="W176" s="817"/>
      <c r="AB176" s="576"/>
      <c r="AC176" s="576"/>
      <c r="AD176" s="576"/>
      <c r="AE176" s="576"/>
      <c r="AF176" s="576"/>
      <c r="AG176" s="576"/>
      <c r="AH176" s="576"/>
      <c r="AI176" s="576"/>
      <c r="AJ176" s="576"/>
      <c r="AK176" s="576"/>
      <c r="AL176" s="576"/>
      <c r="AM176" s="576"/>
    </row>
    <row r="177" spans="2:39" s="113" customFormat="1" ht="12.75" customHeight="1" outlineLevel="1">
      <c r="B177" s="2722" t="s">
        <v>466</v>
      </c>
      <c r="C177" s="2723"/>
      <c r="D177" s="973">
        <v>8</v>
      </c>
      <c r="E177" s="980"/>
      <c r="F177" s="980"/>
      <c r="G177" s="980"/>
      <c r="H177" s="980"/>
      <c r="I177" s="980"/>
      <c r="J177" s="981"/>
      <c r="K177" s="982"/>
      <c r="L177" s="982"/>
      <c r="M177" s="983"/>
      <c r="N177" s="984"/>
      <c r="O177" s="984"/>
      <c r="Q177" s="908"/>
      <c r="R177" s="908"/>
      <c r="W177" s="817"/>
      <c r="AB177" s="576"/>
      <c r="AC177" s="576"/>
      <c r="AD177" s="576"/>
      <c r="AE177" s="576"/>
      <c r="AF177" s="576"/>
      <c r="AG177" s="576"/>
      <c r="AH177" s="576"/>
      <c r="AI177" s="576"/>
      <c r="AJ177" s="576"/>
      <c r="AK177" s="576"/>
      <c r="AL177" s="576"/>
      <c r="AM177" s="576"/>
    </row>
    <row r="178" spans="2:39" s="113" customFormat="1" ht="12.75" customHeight="1" outlineLevel="1">
      <c r="B178" s="2722" t="s">
        <v>814</v>
      </c>
      <c r="C178" s="2723"/>
      <c r="D178" s="973">
        <v>9</v>
      </c>
      <c r="E178" s="980">
        <f>X18+X32+X46+X59</f>
        <v>177000</v>
      </c>
      <c r="F178" s="980">
        <f>Z18+Z32+Z46+Z59</f>
        <v>0</v>
      </c>
      <c r="G178" s="980">
        <f>AB18+AB32+AB46+AB59</f>
        <v>0</v>
      </c>
      <c r="H178" s="980">
        <v>0</v>
      </c>
      <c r="I178" s="980">
        <f>AD18+AD32+AD46+AD59</f>
        <v>0</v>
      </c>
      <c r="J178" s="981">
        <f>SUM(E178:I178)</f>
        <v>177000</v>
      </c>
      <c r="K178" s="982">
        <f>AH18+AH32+AH46+AH59</f>
        <v>0</v>
      </c>
      <c r="L178" s="982">
        <v>0</v>
      </c>
      <c r="M178" s="983">
        <f>SQRT(T18^2+T32^2+T46^2+T59^2)</f>
        <v>25759.658382827984</v>
      </c>
      <c r="N178" s="984"/>
      <c r="O178" s="984"/>
      <c r="Q178" s="908"/>
      <c r="R178" s="908"/>
      <c r="W178" s="817"/>
      <c r="AB178" s="576"/>
      <c r="AC178" s="576"/>
      <c r="AD178" s="576"/>
      <c r="AE178" s="576"/>
      <c r="AF178" s="576"/>
      <c r="AG178" s="576"/>
      <c r="AH178" s="576"/>
      <c r="AI178" s="576"/>
      <c r="AJ178" s="576"/>
      <c r="AK178" s="576"/>
      <c r="AL178" s="576"/>
      <c r="AM178" s="576"/>
    </row>
    <row r="179" spans="2:39" s="113" customFormat="1" ht="12.75" customHeight="1" outlineLevel="1">
      <c r="B179" s="2722" t="s">
        <v>734</v>
      </c>
      <c r="C179" s="2723"/>
      <c r="D179" s="973">
        <v>10</v>
      </c>
      <c r="E179" s="980"/>
      <c r="F179" s="980"/>
      <c r="G179" s="980"/>
      <c r="H179" s="980"/>
      <c r="I179" s="980"/>
      <c r="J179" s="981"/>
      <c r="K179" s="982"/>
      <c r="L179" s="982"/>
      <c r="M179" s="983"/>
      <c r="N179" s="984"/>
      <c r="O179" s="984"/>
      <c r="Q179" s="908"/>
      <c r="R179" s="908"/>
      <c r="W179" s="817"/>
      <c r="AB179" s="576"/>
      <c r="AC179" s="576"/>
      <c r="AD179" s="576"/>
      <c r="AE179" s="576"/>
      <c r="AF179" s="576"/>
      <c r="AG179" s="576"/>
      <c r="AH179" s="576"/>
      <c r="AI179" s="576"/>
      <c r="AJ179" s="576"/>
      <c r="AK179" s="576"/>
      <c r="AL179" s="576"/>
      <c r="AM179" s="576"/>
    </row>
    <row r="180" spans="2:39" s="113" customFormat="1" ht="12.75" customHeight="1" outlineLevel="1">
      <c r="B180" s="2722" t="s">
        <v>736</v>
      </c>
      <c r="C180" s="2723"/>
      <c r="D180" s="973">
        <v>11</v>
      </c>
      <c r="E180" s="980"/>
      <c r="F180" s="980"/>
      <c r="G180" s="980"/>
      <c r="H180" s="980"/>
      <c r="I180" s="980"/>
      <c r="J180" s="981"/>
      <c r="K180" s="982"/>
      <c r="L180" s="982"/>
      <c r="M180" s="983"/>
      <c r="N180" s="984"/>
      <c r="O180" s="984"/>
      <c r="Q180" s="908"/>
      <c r="R180" s="908"/>
      <c r="W180" s="817"/>
      <c r="AB180" s="576"/>
      <c r="AC180" s="576"/>
      <c r="AD180" s="576"/>
      <c r="AE180" s="576"/>
      <c r="AF180" s="576"/>
      <c r="AG180" s="576"/>
      <c r="AH180" s="576"/>
      <c r="AI180" s="576"/>
      <c r="AJ180" s="576"/>
      <c r="AK180" s="576"/>
      <c r="AL180" s="576"/>
      <c r="AM180" s="576"/>
    </row>
    <row r="181" spans="2:39" s="113" customFormat="1" ht="12.75" customHeight="1" outlineLevel="1">
      <c r="B181" s="2722" t="s">
        <v>815</v>
      </c>
      <c r="C181" s="2723"/>
      <c r="D181" s="973">
        <v>12</v>
      </c>
      <c r="E181" s="980"/>
      <c r="F181" s="980"/>
      <c r="G181" s="980"/>
      <c r="H181" s="980"/>
      <c r="I181" s="980"/>
      <c r="J181" s="981"/>
      <c r="K181" s="982"/>
      <c r="L181" s="982"/>
      <c r="M181" s="983"/>
      <c r="N181" s="984"/>
      <c r="O181" s="984"/>
      <c r="Q181" s="908"/>
      <c r="R181" s="908"/>
      <c r="W181" s="817"/>
      <c r="AB181" s="576"/>
      <c r="AC181" s="576"/>
      <c r="AD181" s="576"/>
      <c r="AE181" s="576"/>
      <c r="AF181" s="576"/>
      <c r="AG181" s="576"/>
      <c r="AH181" s="576"/>
      <c r="AI181" s="576"/>
      <c r="AJ181" s="576"/>
      <c r="AK181" s="576"/>
      <c r="AL181" s="576"/>
      <c r="AM181" s="576"/>
    </row>
    <row r="182" spans="2:39" s="113" customFormat="1" ht="12.75" customHeight="1" outlineLevel="1">
      <c r="B182" s="2722" t="s">
        <v>470</v>
      </c>
      <c r="C182" s="2723"/>
      <c r="D182" s="973">
        <v>13</v>
      </c>
      <c r="E182" s="980"/>
      <c r="F182" s="980"/>
      <c r="G182" s="980"/>
      <c r="H182" s="980"/>
      <c r="I182" s="980"/>
      <c r="J182" s="981"/>
      <c r="K182" s="982"/>
      <c r="L182" s="982"/>
      <c r="M182" s="983"/>
      <c r="N182" s="984"/>
      <c r="O182" s="984"/>
      <c r="Q182" s="908"/>
      <c r="R182" s="908"/>
      <c r="W182" s="817"/>
      <c r="AB182" s="576"/>
      <c r="AC182" s="576"/>
      <c r="AD182" s="576"/>
      <c r="AE182" s="576"/>
      <c r="AF182" s="576"/>
      <c r="AG182" s="576"/>
      <c r="AH182" s="576"/>
      <c r="AI182" s="576"/>
      <c r="AJ182" s="576"/>
      <c r="AK182" s="576"/>
      <c r="AL182" s="576"/>
      <c r="AM182" s="576"/>
    </row>
    <row r="183" spans="2:39" s="113" customFormat="1" ht="12.75" customHeight="1" outlineLevel="1">
      <c r="B183" s="2722" t="s">
        <v>471</v>
      </c>
      <c r="C183" s="2723"/>
      <c r="D183" s="973">
        <v>14</v>
      </c>
      <c r="E183" s="980"/>
      <c r="F183" s="980"/>
      <c r="G183" s="980"/>
      <c r="H183" s="980"/>
      <c r="I183" s="980"/>
      <c r="J183" s="981"/>
      <c r="K183" s="982"/>
      <c r="L183" s="982"/>
      <c r="M183" s="983"/>
      <c r="N183" s="984"/>
      <c r="O183" s="984"/>
      <c r="Q183" s="908"/>
      <c r="R183" s="908"/>
      <c r="W183" s="817"/>
      <c r="AB183" s="576"/>
      <c r="AC183" s="576"/>
      <c r="AD183" s="576"/>
      <c r="AE183" s="576"/>
      <c r="AF183" s="576"/>
      <c r="AG183" s="576"/>
      <c r="AH183" s="576"/>
      <c r="AI183" s="576"/>
      <c r="AJ183" s="576"/>
      <c r="AK183" s="576"/>
      <c r="AL183" s="576"/>
      <c r="AM183" s="576"/>
    </row>
    <row r="184" spans="2:39" s="113" customFormat="1" ht="12.75" customHeight="1" outlineLevel="1">
      <c r="B184" s="2722" t="s">
        <v>472</v>
      </c>
      <c r="C184" s="2723"/>
      <c r="D184" s="973">
        <v>15</v>
      </c>
      <c r="E184" s="980"/>
      <c r="F184" s="980"/>
      <c r="G184" s="980"/>
      <c r="H184" s="980"/>
      <c r="I184" s="980"/>
      <c r="J184" s="981"/>
      <c r="K184" s="982"/>
      <c r="L184" s="982"/>
      <c r="M184" s="983"/>
      <c r="N184" s="984"/>
      <c r="O184" s="984"/>
      <c r="Q184" s="908"/>
      <c r="R184" s="908"/>
      <c r="W184" s="817"/>
      <c r="AB184" s="576"/>
      <c r="AC184" s="576"/>
      <c r="AD184" s="576"/>
      <c r="AE184" s="576"/>
      <c r="AF184" s="576"/>
      <c r="AG184" s="576"/>
      <c r="AH184" s="576"/>
      <c r="AI184" s="576"/>
      <c r="AJ184" s="576"/>
      <c r="AK184" s="576"/>
      <c r="AL184" s="576"/>
      <c r="AM184" s="576"/>
    </row>
    <row r="185" spans="2:39" s="113" customFormat="1" ht="12.75" customHeight="1" outlineLevel="1">
      <c r="B185" s="2722" t="s">
        <v>473</v>
      </c>
      <c r="C185" s="2723"/>
      <c r="D185" s="973">
        <v>16</v>
      </c>
      <c r="E185" s="980"/>
      <c r="F185" s="980"/>
      <c r="G185" s="980"/>
      <c r="H185" s="980"/>
      <c r="I185" s="980"/>
      <c r="J185" s="981"/>
      <c r="K185" s="982"/>
      <c r="L185" s="982"/>
      <c r="M185" s="983"/>
      <c r="N185" s="984"/>
      <c r="O185" s="984"/>
      <c r="Q185" s="908"/>
      <c r="R185" s="908"/>
      <c r="W185" s="817"/>
      <c r="AB185" s="576"/>
      <c r="AC185" s="576"/>
      <c r="AD185" s="576"/>
      <c r="AE185" s="576"/>
      <c r="AF185" s="576"/>
      <c r="AG185" s="576"/>
      <c r="AH185" s="576"/>
      <c r="AI185" s="576"/>
      <c r="AJ185" s="576"/>
      <c r="AK185" s="576"/>
      <c r="AL185" s="576"/>
      <c r="AM185" s="576"/>
    </row>
    <row r="186" spans="2:39" s="113" customFormat="1" ht="12.75" customHeight="1" outlineLevel="1">
      <c r="B186" s="2722" t="s">
        <v>737</v>
      </c>
      <c r="C186" s="2723"/>
      <c r="D186" s="973">
        <v>17</v>
      </c>
      <c r="E186" s="980"/>
      <c r="F186" s="980"/>
      <c r="G186" s="980"/>
      <c r="H186" s="980"/>
      <c r="I186" s="980"/>
      <c r="J186" s="981"/>
      <c r="K186" s="982"/>
      <c r="L186" s="982"/>
      <c r="M186" s="983"/>
      <c r="N186" s="984"/>
      <c r="O186" s="984"/>
      <c r="Q186" s="908"/>
      <c r="R186" s="908"/>
      <c r="W186" s="817"/>
      <c r="AB186" s="576"/>
      <c r="AC186" s="576"/>
      <c r="AD186" s="576"/>
      <c r="AE186" s="576"/>
      <c r="AF186" s="576"/>
      <c r="AG186" s="576"/>
      <c r="AH186" s="576"/>
      <c r="AI186" s="576"/>
      <c r="AJ186" s="576"/>
      <c r="AK186" s="576"/>
      <c r="AL186" s="576"/>
      <c r="AM186" s="576"/>
    </row>
    <row r="187" spans="2:39" s="113" customFormat="1" ht="12.75" customHeight="1" outlineLevel="1">
      <c r="B187" s="2722" t="s">
        <v>475</v>
      </c>
      <c r="C187" s="2723"/>
      <c r="D187" s="973">
        <v>18</v>
      </c>
      <c r="E187" s="980"/>
      <c r="F187" s="980"/>
      <c r="G187" s="980"/>
      <c r="H187" s="980"/>
      <c r="I187" s="980"/>
      <c r="J187" s="981"/>
      <c r="K187" s="982"/>
      <c r="L187" s="982"/>
      <c r="M187" s="983"/>
      <c r="N187" s="984"/>
      <c r="O187" s="984"/>
      <c r="Q187" s="908"/>
      <c r="R187" s="908"/>
      <c r="W187" s="817"/>
      <c r="AB187" s="576"/>
      <c r="AC187" s="576"/>
      <c r="AD187" s="576"/>
      <c r="AE187" s="576"/>
      <c r="AF187" s="576"/>
      <c r="AG187" s="576"/>
      <c r="AH187" s="576"/>
      <c r="AI187" s="576"/>
      <c r="AJ187" s="576"/>
      <c r="AK187" s="576"/>
      <c r="AL187" s="576"/>
      <c r="AM187" s="576"/>
    </row>
    <row r="188" spans="2:39" s="113" customFormat="1" ht="12.75" customHeight="1" outlineLevel="1">
      <c r="B188" s="2722" t="s">
        <v>476</v>
      </c>
      <c r="C188" s="2723"/>
      <c r="D188" s="973">
        <v>19</v>
      </c>
      <c r="E188" s="980" t="e">
        <f>Y18+Y32+Y46+Y59</f>
        <v>#REF!</v>
      </c>
      <c r="F188" s="980">
        <f>AA18+AA32+AA46+AA59</f>
        <v>0</v>
      </c>
      <c r="G188" s="980">
        <f>AC18+AC32+AC46+AC59</f>
        <v>0</v>
      </c>
      <c r="H188" s="980">
        <v>0</v>
      </c>
      <c r="I188" s="980">
        <f>AE18+AE32+AE46+AE59</f>
        <v>0</v>
      </c>
      <c r="J188" s="981" t="e">
        <f>SUM(E188:I188)</f>
        <v>#REF!</v>
      </c>
      <c r="K188" s="982">
        <f>AI18+AI32+AI46+AI59</f>
        <v>0</v>
      </c>
      <c r="L188" s="982">
        <v>0</v>
      </c>
      <c r="M188" s="983">
        <f>SQRT(SUMSQ(U59,U46,U32,U18))</f>
        <v>19840</v>
      </c>
      <c r="N188" s="984"/>
      <c r="O188" s="984"/>
      <c r="Q188" s="908"/>
      <c r="R188" s="908"/>
      <c r="W188" s="817"/>
      <c r="AB188" s="576"/>
      <c r="AC188" s="576"/>
      <c r="AD188" s="576"/>
      <c r="AE188" s="576"/>
      <c r="AF188" s="576"/>
      <c r="AG188" s="576"/>
      <c r="AH188" s="576"/>
      <c r="AI188" s="576"/>
      <c r="AJ188" s="576"/>
      <c r="AK188" s="576"/>
      <c r="AL188" s="576"/>
      <c r="AM188" s="576"/>
    </row>
    <row r="189" spans="2:39" s="113" customFormat="1" ht="12.75" customHeight="1" outlineLevel="1">
      <c r="B189" s="2722" t="s">
        <v>477</v>
      </c>
      <c r="C189" s="2723"/>
      <c r="D189" s="973">
        <v>20</v>
      </c>
      <c r="E189" s="980"/>
      <c r="F189" s="980"/>
      <c r="G189" s="980"/>
      <c r="H189" s="980"/>
      <c r="I189" s="980"/>
      <c r="J189" s="981"/>
      <c r="K189" s="982"/>
      <c r="L189" s="982"/>
      <c r="M189" s="983"/>
      <c r="N189" s="984"/>
      <c r="O189" s="984"/>
      <c r="Q189" s="908"/>
      <c r="R189" s="908"/>
      <c r="W189" s="817"/>
      <c r="AB189" s="576"/>
      <c r="AC189" s="576"/>
      <c r="AD189" s="576"/>
      <c r="AE189" s="576"/>
      <c r="AF189" s="576"/>
      <c r="AG189" s="576"/>
      <c r="AH189" s="576"/>
      <c r="AI189" s="576"/>
      <c r="AJ189" s="576"/>
      <c r="AK189" s="576"/>
      <c r="AL189" s="576"/>
      <c r="AM189" s="576"/>
    </row>
    <row r="190" spans="2:39" s="113" customFormat="1" ht="12.75" customHeight="1" outlineLevel="1">
      <c r="B190" s="2722" t="s">
        <v>478</v>
      </c>
      <c r="C190" s="2723"/>
      <c r="D190" s="973">
        <v>21</v>
      </c>
      <c r="E190" s="980"/>
      <c r="F190" s="980"/>
      <c r="G190" s="980"/>
      <c r="H190" s="980"/>
      <c r="I190" s="980"/>
      <c r="J190" s="981"/>
      <c r="K190" s="982"/>
      <c r="L190" s="982"/>
      <c r="M190" s="983"/>
      <c r="N190" s="984"/>
      <c r="O190" s="984"/>
      <c r="Q190" s="908"/>
      <c r="R190" s="908"/>
      <c r="W190" s="817"/>
      <c r="AB190" s="576"/>
      <c r="AC190" s="576"/>
      <c r="AD190" s="576"/>
      <c r="AE190" s="576"/>
      <c r="AF190" s="576"/>
      <c r="AG190" s="576"/>
      <c r="AH190" s="576"/>
      <c r="AI190" s="576"/>
      <c r="AJ190" s="576"/>
      <c r="AK190" s="576"/>
      <c r="AL190" s="576"/>
      <c r="AM190" s="576"/>
    </row>
    <row r="191" spans="2:39" s="113" customFormat="1" ht="12.75" customHeight="1" outlineLevel="1">
      <c r="B191" s="2722" t="s">
        <v>479</v>
      </c>
      <c r="C191" s="2723"/>
      <c r="D191" s="973">
        <v>22</v>
      </c>
      <c r="E191" s="980"/>
      <c r="F191" s="980"/>
      <c r="G191" s="980"/>
      <c r="H191" s="980"/>
      <c r="I191" s="980"/>
      <c r="J191" s="981"/>
      <c r="K191" s="982"/>
      <c r="L191" s="982"/>
      <c r="M191" s="983"/>
      <c r="N191" s="984"/>
      <c r="O191" s="984"/>
      <c r="Q191" s="908"/>
      <c r="R191" s="908"/>
      <c r="W191" s="817"/>
      <c r="AB191" s="576"/>
      <c r="AC191" s="576"/>
      <c r="AD191" s="576"/>
      <c r="AE191" s="576"/>
      <c r="AF191" s="576"/>
      <c r="AG191" s="576"/>
      <c r="AH191" s="576"/>
      <c r="AI191" s="576"/>
      <c r="AJ191" s="576"/>
      <c r="AK191" s="576"/>
      <c r="AL191" s="576"/>
      <c r="AM191" s="576"/>
    </row>
    <row r="192" spans="2:39" s="113" customFormat="1" ht="12.75" customHeight="1" outlineLevel="1">
      <c r="B192" s="2722" t="s">
        <v>449</v>
      </c>
      <c r="C192" s="2723"/>
      <c r="D192" s="973">
        <v>23</v>
      </c>
      <c r="E192" s="980"/>
      <c r="F192" s="980"/>
      <c r="G192" s="980"/>
      <c r="H192" s="980"/>
      <c r="I192" s="980"/>
      <c r="J192" s="981"/>
      <c r="K192" s="982"/>
      <c r="L192" s="982"/>
      <c r="M192" s="983"/>
      <c r="N192" s="984"/>
      <c r="O192" s="984"/>
      <c r="Q192" s="908"/>
      <c r="R192" s="908"/>
      <c r="W192" s="817"/>
      <c r="AB192" s="576"/>
      <c r="AC192" s="576"/>
      <c r="AD192" s="576"/>
      <c r="AE192" s="576"/>
      <c r="AF192" s="576"/>
      <c r="AG192" s="576"/>
      <c r="AH192" s="576"/>
      <c r="AI192" s="576"/>
      <c r="AJ192" s="576"/>
      <c r="AK192" s="576"/>
      <c r="AL192" s="576"/>
      <c r="AM192" s="576"/>
    </row>
    <row r="193" spans="1:39" s="113" customFormat="1" ht="12.75" customHeight="1" outlineLevel="1">
      <c r="B193" s="2727" t="s">
        <v>724</v>
      </c>
      <c r="C193" s="2728"/>
      <c r="D193" s="2729"/>
      <c r="E193" s="986" t="e">
        <f>SUM(E177:E192)</f>
        <v>#REF!</v>
      </c>
      <c r="F193" s="986">
        <f t="shared" ref="F193:O193" si="22">SUM(F177:F192)</f>
        <v>0</v>
      </c>
      <c r="G193" s="986">
        <f t="shared" si="22"/>
        <v>0</v>
      </c>
      <c r="H193" s="986">
        <f t="shared" si="22"/>
        <v>0</v>
      </c>
      <c r="I193" s="986">
        <f t="shared" si="22"/>
        <v>0</v>
      </c>
      <c r="J193" s="986" t="e">
        <f t="shared" si="22"/>
        <v>#REF!</v>
      </c>
      <c r="K193" s="987">
        <f t="shared" si="22"/>
        <v>0</v>
      </c>
      <c r="L193" s="987">
        <f t="shared" si="22"/>
        <v>0</v>
      </c>
      <c r="M193" s="988">
        <f>SQRT(SUMSQ(M177:M192))</f>
        <v>32514.390660136934</v>
      </c>
      <c r="N193" s="989">
        <f t="shared" si="22"/>
        <v>0</v>
      </c>
      <c r="O193" s="989">
        <f t="shared" si="22"/>
        <v>0</v>
      </c>
      <c r="Q193" s="908"/>
      <c r="R193" s="908"/>
      <c r="W193" s="817"/>
      <c r="AB193" s="576"/>
      <c r="AC193" s="576"/>
      <c r="AD193" s="576"/>
      <c r="AE193" s="576"/>
      <c r="AF193" s="576"/>
      <c r="AG193" s="576"/>
      <c r="AH193" s="576"/>
      <c r="AI193" s="576"/>
      <c r="AJ193" s="576"/>
      <c r="AK193" s="576"/>
      <c r="AL193" s="576"/>
      <c r="AM193" s="576"/>
    </row>
    <row r="194" spans="1:39" s="113" customFormat="1" ht="11.4" outlineLevel="1">
      <c r="Q194" s="908"/>
      <c r="R194" s="908"/>
      <c r="W194" s="817"/>
      <c r="AB194" s="576"/>
      <c r="AC194" s="576"/>
      <c r="AD194" s="576"/>
      <c r="AE194" s="576"/>
      <c r="AF194" s="576"/>
      <c r="AG194" s="576"/>
      <c r="AH194" s="576"/>
      <c r="AI194" s="576"/>
      <c r="AJ194" s="576"/>
      <c r="AK194" s="576"/>
      <c r="AL194" s="576"/>
      <c r="AM194" s="576"/>
    </row>
    <row r="195" spans="1:39"/>
    <row r="196" spans="1:39" s="418" customFormat="1" ht="15.75" hidden="1" customHeight="1">
      <c r="A196" s="113"/>
      <c r="B196" s="2730" t="s">
        <v>2443</v>
      </c>
      <c r="C196" s="2731"/>
      <c r="D196" s="2731"/>
      <c r="E196" s="2731"/>
      <c r="F196" s="2731"/>
      <c r="G196" s="2731"/>
      <c r="H196" s="2731"/>
      <c r="I196" s="2731"/>
      <c r="J196" s="2731"/>
      <c r="K196" s="2731"/>
      <c r="L196" s="2731"/>
      <c r="M196" s="2731"/>
      <c r="N196" s="2731"/>
      <c r="O196" s="2732"/>
      <c r="P196" s="113"/>
      <c r="Q196" s="113"/>
      <c r="R196" s="113"/>
      <c r="S196" s="113"/>
      <c r="T196" s="113"/>
      <c r="U196" s="113"/>
      <c r="V196" s="113"/>
      <c r="W196" s="113"/>
    </row>
    <row r="197" spans="1:39" s="418" customFormat="1" ht="11.4" outlineLevel="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row>
    <row r="198" spans="1:39" s="418" customFormat="1" ht="11.4" outlineLevel="1">
      <c r="A198" s="113"/>
      <c r="B198" s="113" t="s">
        <v>2549</v>
      </c>
      <c r="C198" s="113"/>
      <c r="D198" s="113"/>
      <c r="E198" s="113"/>
      <c r="F198" s="113"/>
      <c r="G198" s="113"/>
      <c r="H198" s="113"/>
      <c r="I198" s="113"/>
      <c r="J198" s="113"/>
      <c r="K198" s="113"/>
      <c r="L198" s="113"/>
      <c r="M198" s="113"/>
      <c r="N198" s="113"/>
      <c r="O198" s="113"/>
      <c r="P198" s="113"/>
      <c r="Q198" s="113"/>
      <c r="R198" s="113"/>
      <c r="S198" s="113"/>
      <c r="T198" s="113"/>
      <c r="U198" s="113"/>
      <c r="V198" s="113"/>
      <c r="W198" s="113"/>
    </row>
    <row r="199" spans="1:39" s="418" customFormat="1" ht="11.4" outlineLevel="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row>
    <row r="200" spans="1:39" s="418" customFormat="1" ht="11.4" outlineLevel="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row>
    <row r="201" spans="1:39" s="418" customFormat="1" ht="11.4" outlineLevel="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row>
    <row r="202" spans="1:39" s="418" customFormat="1" ht="11.4" outlineLevel="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row>
    <row r="203" spans="1:39" s="418" customFormat="1" ht="11.4" outlineLevel="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row>
    <row r="204" spans="1:39" s="418" customFormat="1" ht="11.4" outlineLevel="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row>
    <row r="205" spans="1:39" s="418" customFormat="1" ht="11.4" hidden="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row>
    <row r="206" spans="1:39" s="418" customFormat="1" ht="15.6">
      <c r="A206" s="113"/>
      <c r="B206" s="2733" t="s">
        <v>2554</v>
      </c>
      <c r="C206" s="2734"/>
      <c r="D206" s="2734"/>
      <c r="E206" s="2734"/>
      <c r="F206" s="2734"/>
      <c r="G206" s="2734"/>
      <c r="H206" s="2734"/>
      <c r="I206" s="2734"/>
      <c r="J206" s="2734"/>
      <c r="K206" s="2734"/>
      <c r="L206" s="2734"/>
      <c r="M206" s="2734"/>
      <c r="N206" s="2734"/>
      <c r="O206" s="2735"/>
      <c r="P206" s="113"/>
      <c r="Q206" s="113"/>
      <c r="R206" s="113"/>
      <c r="S206" s="113"/>
      <c r="T206" s="113"/>
      <c r="U206" s="113"/>
      <c r="V206" s="113"/>
      <c r="W206" s="113"/>
    </row>
    <row r="207" spans="1:39" s="418" customFormat="1" ht="11.4" outlineLevel="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row>
    <row r="208" spans="1:39" s="113" customFormat="1" ht="38.25" customHeight="1" outlineLevel="1">
      <c r="B208" s="205"/>
      <c r="C208" s="205"/>
      <c r="D208" s="205"/>
      <c r="E208" s="2736" t="s">
        <v>448</v>
      </c>
      <c r="F208" s="2737"/>
      <c r="G208" s="2737"/>
      <c r="H208" s="2737"/>
      <c r="I208" s="2737"/>
      <c r="J208" s="2737"/>
      <c r="K208" s="2737"/>
      <c r="L208" s="2737"/>
      <c r="M208" s="2738"/>
      <c r="N208" s="1794" t="s">
        <v>811</v>
      </c>
      <c r="O208" s="1795" t="s">
        <v>440</v>
      </c>
      <c r="Q208" s="908"/>
      <c r="R208" s="908"/>
      <c r="W208" s="817"/>
      <c r="AB208" s="576"/>
      <c r="AC208" s="576"/>
      <c r="AD208" s="576"/>
      <c r="AE208" s="576"/>
      <c r="AF208" s="576"/>
      <c r="AG208" s="576"/>
      <c r="AH208" s="576"/>
      <c r="AI208" s="576"/>
      <c r="AJ208" s="576"/>
      <c r="AK208" s="576"/>
      <c r="AL208" s="576"/>
      <c r="AM208" s="576"/>
    </row>
    <row r="209" spans="1:39" s="113" customFormat="1" ht="38.25" customHeight="1" outlineLevel="1">
      <c r="B209" s="2736" t="s">
        <v>438</v>
      </c>
      <c r="C209" s="2738"/>
      <c r="D209" s="1795" t="s">
        <v>2510</v>
      </c>
      <c r="E209" s="1796" t="s">
        <v>853</v>
      </c>
      <c r="F209" s="1796" t="s">
        <v>854</v>
      </c>
      <c r="G209" s="1796" t="s">
        <v>855</v>
      </c>
      <c r="H209" s="1796" t="s">
        <v>861</v>
      </c>
      <c r="I209" s="1796" t="s">
        <v>852</v>
      </c>
      <c r="J209" s="1797" t="s">
        <v>513</v>
      </c>
      <c r="K209" s="1796" t="s">
        <v>862</v>
      </c>
      <c r="L209" s="1796" t="s">
        <v>863</v>
      </c>
      <c r="M209" s="1796" t="s">
        <v>514</v>
      </c>
      <c r="N209" s="1798" t="s">
        <v>856</v>
      </c>
      <c r="O209" s="1799" t="s">
        <v>513</v>
      </c>
      <c r="Q209" s="908"/>
      <c r="R209" s="908"/>
      <c r="W209" s="817"/>
      <c r="AB209" s="576"/>
      <c r="AC209" s="576"/>
      <c r="AD209" s="576"/>
      <c r="AE209" s="576"/>
      <c r="AF209" s="576"/>
      <c r="AG209" s="576"/>
      <c r="AH209" s="576"/>
      <c r="AI209" s="576"/>
      <c r="AJ209" s="576"/>
      <c r="AK209" s="576"/>
      <c r="AL209" s="576"/>
      <c r="AM209" s="576"/>
    </row>
    <row r="210" spans="1:39" s="113" customFormat="1" ht="12.75" customHeight="1" outlineLevel="1">
      <c r="B210" s="2722" t="s">
        <v>2481</v>
      </c>
      <c r="C210" s="2723"/>
      <c r="D210" s="973" t="s">
        <v>2503</v>
      </c>
      <c r="E210" s="980"/>
      <c r="F210" s="980"/>
      <c r="G210" s="980"/>
      <c r="H210" s="980"/>
      <c r="I210" s="980"/>
      <c r="J210" s="981"/>
      <c r="K210" s="982"/>
      <c r="L210" s="982"/>
      <c r="M210" s="983"/>
      <c r="N210" s="984"/>
      <c r="O210" s="1886" t="s">
        <v>817</v>
      </c>
      <c r="Q210" s="908"/>
      <c r="R210" s="908"/>
      <c r="W210" s="817"/>
      <c r="AB210" s="576"/>
      <c r="AC210" s="576"/>
      <c r="AD210" s="576"/>
      <c r="AE210" s="576"/>
      <c r="AF210" s="576"/>
      <c r="AG210" s="576"/>
      <c r="AH210" s="576"/>
      <c r="AI210" s="576"/>
      <c r="AJ210" s="576"/>
      <c r="AK210" s="576"/>
      <c r="AL210" s="576"/>
      <c r="AM210" s="576"/>
    </row>
    <row r="211" spans="1:39" s="113" customFormat="1" ht="12.75" customHeight="1" outlineLevel="1">
      <c r="B211" s="2722" t="s">
        <v>2482</v>
      </c>
      <c r="C211" s="2723"/>
      <c r="D211" s="1896" t="s">
        <v>2504</v>
      </c>
      <c r="E211" s="980"/>
      <c r="F211" s="980"/>
      <c r="G211" s="980"/>
      <c r="H211" s="980"/>
      <c r="I211" s="980"/>
      <c r="J211" s="981"/>
      <c r="K211" s="982"/>
      <c r="L211" s="982"/>
      <c r="M211" s="983"/>
      <c r="N211" s="984"/>
      <c r="O211" s="990"/>
      <c r="Q211" s="908"/>
      <c r="R211" s="908"/>
      <c r="W211" s="817"/>
      <c r="AB211" s="576"/>
      <c r="AC211" s="576"/>
      <c r="AD211" s="576"/>
      <c r="AE211" s="576"/>
      <c r="AF211" s="576"/>
      <c r="AG211" s="576"/>
      <c r="AH211" s="576"/>
      <c r="AI211" s="576"/>
      <c r="AJ211" s="576"/>
      <c r="AK211" s="576"/>
      <c r="AL211" s="576"/>
      <c r="AM211" s="576"/>
    </row>
    <row r="212" spans="1:39" s="113" customFormat="1" ht="12.75" customHeight="1" outlineLevel="1">
      <c r="B212" s="2722" t="s">
        <v>2483</v>
      </c>
      <c r="C212" s="2723"/>
      <c r="D212" s="973" t="s">
        <v>2505</v>
      </c>
      <c r="E212" s="980"/>
      <c r="F212" s="980"/>
      <c r="G212" s="980"/>
      <c r="H212" s="980"/>
      <c r="I212" s="980"/>
      <c r="J212" s="981"/>
      <c r="K212" s="982"/>
      <c r="L212" s="982"/>
      <c r="M212" s="983"/>
      <c r="N212" s="984"/>
      <c r="O212" s="984"/>
      <c r="Q212" s="908"/>
      <c r="R212" s="908"/>
      <c r="W212" s="817"/>
      <c r="AB212" s="576"/>
      <c r="AC212" s="576"/>
      <c r="AD212" s="576"/>
      <c r="AE212" s="576"/>
      <c r="AF212" s="576"/>
      <c r="AG212" s="576"/>
      <c r="AH212" s="576"/>
      <c r="AI212" s="576"/>
      <c r="AJ212" s="576"/>
      <c r="AK212" s="576"/>
      <c r="AL212" s="576"/>
      <c r="AM212" s="576"/>
    </row>
    <row r="213" spans="1:39" s="113" customFormat="1" ht="26.25" customHeight="1" outlineLevel="1">
      <c r="B213" s="2739" t="s">
        <v>2485</v>
      </c>
      <c r="C213" s="2740"/>
      <c r="D213" s="1896" t="s">
        <v>2506</v>
      </c>
      <c r="E213" s="980">
        <f>X18+X32+X46+X59</f>
        <v>177000</v>
      </c>
      <c r="F213" s="980">
        <f>Z18+Z32+Z46+Z59</f>
        <v>0</v>
      </c>
      <c r="G213" s="980">
        <f>AB18+AB32+AB46+AB59</f>
        <v>0</v>
      </c>
      <c r="H213" s="980">
        <v>0</v>
      </c>
      <c r="I213" s="980">
        <f>AD18+AD32+AD46+AD59</f>
        <v>0</v>
      </c>
      <c r="J213" s="981">
        <f>SUM(E213:I213)</f>
        <v>177000</v>
      </c>
      <c r="K213" s="982">
        <f>AH18+AH32+AH46+AH59</f>
        <v>0</v>
      </c>
      <c r="L213" s="982">
        <v>0</v>
      </c>
      <c r="M213" s="983">
        <f>SQRT(T18^2+T32^2+T46^2+T59^2)</f>
        <v>25759.658382827984</v>
      </c>
      <c r="N213" s="984"/>
      <c r="O213" s="984"/>
      <c r="Q213" s="908"/>
      <c r="R213" s="908"/>
      <c r="W213" s="817"/>
      <c r="AB213" s="576"/>
      <c r="AC213" s="576"/>
      <c r="AD213" s="576"/>
      <c r="AE213" s="576"/>
      <c r="AF213" s="576"/>
      <c r="AG213" s="576"/>
      <c r="AH213" s="576"/>
      <c r="AI213" s="576"/>
      <c r="AJ213" s="576"/>
      <c r="AK213" s="576"/>
      <c r="AL213" s="576"/>
      <c r="AM213" s="576"/>
    </row>
    <row r="214" spans="1:39" s="113" customFormat="1" ht="26.25" customHeight="1" outlineLevel="1">
      <c r="B214" s="2739" t="s">
        <v>2484</v>
      </c>
      <c r="C214" s="2740"/>
      <c r="D214" s="1897" t="s">
        <v>2507</v>
      </c>
      <c r="E214" s="980"/>
      <c r="F214" s="980"/>
      <c r="G214" s="980"/>
      <c r="H214" s="980"/>
      <c r="I214" s="980"/>
      <c r="J214" s="981"/>
      <c r="K214" s="982"/>
      <c r="L214" s="982"/>
      <c r="M214" s="983"/>
      <c r="N214" s="984"/>
      <c r="O214" s="984"/>
      <c r="Q214" s="908"/>
      <c r="R214" s="908"/>
      <c r="W214" s="817"/>
      <c r="AB214" s="576"/>
      <c r="AC214" s="576"/>
      <c r="AD214" s="576"/>
      <c r="AE214" s="576"/>
      <c r="AF214" s="576"/>
      <c r="AG214" s="576"/>
      <c r="AH214" s="576"/>
      <c r="AI214" s="576"/>
      <c r="AJ214" s="576"/>
      <c r="AK214" s="576"/>
      <c r="AL214" s="576"/>
      <c r="AM214" s="576"/>
    </row>
    <row r="215" spans="1:39" s="113" customFormat="1" ht="26.25" customHeight="1" outlineLevel="1">
      <c r="B215" s="2739" t="s">
        <v>2486</v>
      </c>
      <c r="C215" s="2740"/>
      <c r="D215" s="973" t="s">
        <v>2508</v>
      </c>
      <c r="E215" s="980" t="e">
        <f>Y18+Y32+Y46+Y59</f>
        <v>#REF!</v>
      </c>
      <c r="F215" s="980">
        <f>AA18+AA32+AA46+AA59</f>
        <v>0</v>
      </c>
      <c r="G215" s="980">
        <f>AC18+AC32+AC46+AC59</f>
        <v>0</v>
      </c>
      <c r="H215" s="980">
        <v>0</v>
      </c>
      <c r="I215" s="980">
        <f>AE18+AE32+AE46+AE59</f>
        <v>0</v>
      </c>
      <c r="J215" s="981" t="e">
        <f>SUM(E215:I215)</f>
        <v>#REF!</v>
      </c>
      <c r="K215" s="982">
        <f>AI18+AI32+AI46+AI59</f>
        <v>0</v>
      </c>
      <c r="L215" s="982">
        <v>0</v>
      </c>
      <c r="M215" s="983">
        <f>SQRT(SUMSQ(U59,U46,U32,U18))</f>
        <v>19840</v>
      </c>
      <c r="N215" s="984"/>
      <c r="O215" s="984"/>
      <c r="Q215" s="908"/>
      <c r="R215" s="908"/>
      <c r="W215" s="817"/>
      <c r="AB215" s="576"/>
      <c r="AC215" s="576"/>
      <c r="AD215" s="576"/>
      <c r="AE215" s="576"/>
      <c r="AF215" s="576"/>
      <c r="AG215" s="576"/>
      <c r="AH215" s="576"/>
      <c r="AI215" s="576"/>
      <c r="AJ215" s="576"/>
      <c r="AK215" s="576"/>
      <c r="AL215" s="576"/>
      <c r="AM215" s="576"/>
    </row>
    <row r="216" spans="1:39" s="113" customFormat="1" ht="12.75" customHeight="1" outlineLevel="1">
      <c r="B216" s="2722" t="s">
        <v>449</v>
      </c>
      <c r="C216" s="2723"/>
      <c r="D216" s="1898" t="s">
        <v>2509</v>
      </c>
      <c r="E216" s="980"/>
      <c r="F216" s="980"/>
      <c r="G216" s="980"/>
      <c r="H216" s="980"/>
      <c r="I216" s="980"/>
      <c r="J216" s="981"/>
      <c r="K216" s="982"/>
      <c r="L216" s="982"/>
      <c r="M216" s="983"/>
      <c r="N216" s="984"/>
      <c r="O216" s="984"/>
      <c r="Q216" s="908"/>
      <c r="R216" s="908"/>
      <c r="W216" s="817"/>
      <c r="AB216" s="576"/>
      <c r="AC216" s="576"/>
      <c r="AD216" s="576"/>
      <c r="AE216" s="576"/>
      <c r="AF216" s="576"/>
      <c r="AG216" s="576"/>
      <c r="AH216" s="576"/>
      <c r="AI216" s="576"/>
      <c r="AJ216" s="576"/>
      <c r="AK216" s="576"/>
      <c r="AL216" s="576"/>
      <c r="AM216" s="576"/>
    </row>
    <row r="217" spans="1:39" s="418" customFormat="1" ht="11.4" outlineLevel="1">
      <c r="A217" s="113"/>
      <c r="B217" s="113"/>
      <c r="C217" s="113"/>
      <c r="D217" s="113"/>
      <c r="E217" s="113"/>
      <c r="F217" s="113"/>
      <c r="G217" s="113"/>
      <c r="H217" s="113"/>
      <c r="I217" s="113"/>
      <c r="J217" s="113"/>
      <c r="K217" s="113"/>
      <c r="L217" s="113"/>
      <c r="M217" s="113"/>
      <c r="N217" s="113"/>
      <c r="O217" s="113"/>
      <c r="P217" s="237"/>
      <c r="Q217" s="113"/>
      <c r="R217" s="113"/>
      <c r="S217" s="113"/>
      <c r="T217" s="113"/>
      <c r="U217" s="113"/>
      <c r="V217" s="113"/>
      <c r="W217" s="113"/>
    </row>
    <row r="218" spans="1:39" s="418" customFormat="1" ht="11.4">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row>
    <row r="219" spans="1:39"/>
    <row r="220" spans="1:39"/>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sheetData>
  <mergeCells count="192">
    <mergeCell ref="B181:C181"/>
    <mergeCell ref="B196:O196"/>
    <mergeCell ref="B206:O206"/>
    <mergeCell ref="B192:C192"/>
    <mergeCell ref="B193:D193"/>
    <mergeCell ref="B183:C183"/>
    <mergeCell ref="B184:C184"/>
    <mergeCell ref="B185:C185"/>
    <mergeCell ref="B186:C186"/>
    <mergeCell ref="B187:C187"/>
    <mergeCell ref="B188:C188"/>
    <mergeCell ref="B189:C189"/>
    <mergeCell ref="B190:C190"/>
    <mergeCell ref="B191:C191"/>
    <mergeCell ref="B182:C182"/>
    <mergeCell ref="B173:D173"/>
    <mergeCell ref="B158:C158"/>
    <mergeCell ref="B159:C159"/>
    <mergeCell ref="B160:C160"/>
    <mergeCell ref="B161:D161"/>
    <mergeCell ref="B157:C157"/>
    <mergeCell ref="B140:C140"/>
    <mergeCell ref="B141:D141"/>
    <mergeCell ref="B142:O142"/>
    <mergeCell ref="B143:C143"/>
    <mergeCell ref="B144:C144"/>
    <mergeCell ref="B145:C145"/>
    <mergeCell ref="B146:C146"/>
    <mergeCell ref="B147:C147"/>
    <mergeCell ref="B174:C174"/>
    <mergeCell ref="B175:C175"/>
    <mergeCell ref="B176:D176"/>
    <mergeCell ref="B177:C177"/>
    <mergeCell ref="B178:C178"/>
    <mergeCell ref="B179:C179"/>
    <mergeCell ref="B180:C180"/>
    <mergeCell ref="B149:C149"/>
    <mergeCell ref="B150:C150"/>
    <mergeCell ref="B151:C151"/>
    <mergeCell ref="B152:O152"/>
    <mergeCell ref="B153:C153"/>
    <mergeCell ref="B154:C154"/>
    <mergeCell ref="B155:C155"/>
    <mergeCell ref="B156:C156"/>
    <mergeCell ref="B164:O164"/>
    <mergeCell ref="E166:M166"/>
    <mergeCell ref="B167:C167"/>
    <mergeCell ref="B168:C168"/>
    <mergeCell ref="O168:O173"/>
    <mergeCell ref="B169:C169"/>
    <mergeCell ref="B170:C170"/>
    <mergeCell ref="B171:C171"/>
    <mergeCell ref="B172:C172"/>
    <mergeCell ref="X10:AE10"/>
    <mergeCell ref="AD53:AE53"/>
    <mergeCell ref="B125:C125"/>
    <mergeCell ref="B126:C126"/>
    <mergeCell ref="B98:O98"/>
    <mergeCell ref="B148:C148"/>
    <mergeCell ref="B135:C135"/>
    <mergeCell ref="B136:C136"/>
    <mergeCell ref="B137:C137"/>
    <mergeCell ref="B138:D138"/>
    <mergeCell ref="B139:C139"/>
    <mergeCell ref="B73:O73"/>
    <mergeCell ref="B83:O83"/>
    <mergeCell ref="B85:C86"/>
    <mergeCell ref="J75:K75"/>
    <mergeCell ref="B77:C77"/>
    <mergeCell ref="B78:C78"/>
    <mergeCell ref="H85:I85"/>
    <mergeCell ref="F75:H75"/>
    <mergeCell ref="B75:C76"/>
    <mergeCell ref="B87:C87"/>
    <mergeCell ref="B88:C88"/>
    <mergeCell ref="B79:C79"/>
    <mergeCell ref="B80:C80"/>
    <mergeCell ref="Z11:AA11"/>
    <mergeCell ref="E132:N132"/>
    <mergeCell ref="B133:C133"/>
    <mergeCell ref="B134:C134"/>
    <mergeCell ref="X52:AE52"/>
    <mergeCell ref="X53:Y53"/>
    <mergeCell ref="B49:O49"/>
    <mergeCell ref="B110:C110"/>
    <mergeCell ref="B111:C111"/>
    <mergeCell ref="B112:C112"/>
    <mergeCell ref="B113:C113"/>
    <mergeCell ref="B114:C114"/>
    <mergeCell ref="B115:C115"/>
    <mergeCell ref="B116:C116"/>
    <mergeCell ref="B89:C89"/>
    <mergeCell ref="B127:C127"/>
    <mergeCell ref="B117:C117"/>
    <mergeCell ref="B118:C118"/>
    <mergeCell ref="B119:C119"/>
    <mergeCell ref="B130:O130"/>
    <mergeCell ref="E100:K100"/>
    <mergeCell ref="B101:C101"/>
    <mergeCell ref="B120:C120"/>
    <mergeCell ref="B121:C121"/>
    <mergeCell ref="B2:O2"/>
    <mergeCell ref="AD11:AE11"/>
    <mergeCell ref="X39:Y39"/>
    <mergeCell ref="X9:AI9"/>
    <mergeCell ref="AF10:AG10"/>
    <mergeCell ref="AF11:AG11"/>
    <mergeCell ref="X25:Y25"/>
    <mergeCell ref="AH25:AI25"/>
    <mergeCell ref="Z25:AA25"/>
    <mergeCell ref="AB25:AC25"/>
    <mergeCell ref="AD25:AE25"/>
    <mergeCell ref="X23:AI23"/>
    <mergeCell ref="AF24:AG24"/>
    <mergeCell ref="AF25:AG25"/>
    <mergeCell ref="X11:Y11"/>
    <mergeCell ref="AH11:AI11"/>
    <mergeCell ref="D4:E4"/>
    <mergeCell ref="F4:G4"/>
    <mergeCell ref="H4:I4"/>
    <mergeCell ref="J4:K4"/>
    <mergeCell ref="X38:AE38"/>
    <mergeCell ref="X24:AE24"/>
    <mergeCell ref="B7:O7"/>
    <mergeCell ref="B21:O21"/>
    <mergeCell ref="B122:C122"/>
    <mergeCell ref="B123:C123"/>
    <mergeCell ref="B124:C124"/>
    <mergeCell ref="D5:E5"/>
    <mergeCell ref="F5:G5"/>
    <mergeCell ref="H5:I5"/>
    <mergeCell ref="B108:C108"/>
    <mergeCell ref="B109:C109"/>
    <mergeCell ref="B105:C105"/>
    <mergeCell ref="B106:C106"/>
    <mergeCell ref="B107:C107"/>
    <mergeCell ref="B91:C91"/>
    <mergeCell ref="B92:C92"/>
    <mergeCell ref="B93:C93"/>
    <mergeCell ref="B94:C94"/>
    <mergeCell ref="B95:C95"/>
    <mergeCell ref="B102:C102"/>
    <mergeCell ref="B103:C103"/>
    <mergeCell ref="B104:C104"/>
    <mergeCell ref="B35:O35"/>
    <mergeCell ref="R40:S40"/>
    <mergeCell ref="B90:C90"/>
    <mergeCell ref="M75:P75"/>
    <mergeCell ref="B81:C81"/>
    <mergeCell ref="D85:F85"/>
    <mergeCell ref="L5:M5"/>
    <mergeCell ref="N4:O4"/>
    <mergeCell ref="R11:S11"/>
    <mergeCell ref="L4:M4"/>
    <mergeCell ref="N5:O5"/>
    <mergeCell ref="J5:K5"/>
    <mergeCell ref="B61:O61"/>
    <mergeCell ref="J63:O71"/>
    <mergeCell ref="Q63:R63"/>
    <mergeCell ref="AK38:AN38"/>
    <mergeCell ref="R53:S53"/>
    <mergeCell ref="R54:S54"/>
    <mergeCell ref="AK52:AN52"/>
    <mergeCell ref="R12:S12"/>
    <mergeCell ref="AK10:AN10"/>
    <mergeCell ref="AK24:AN24"/>
    <mergeCell ref="R25:S25"/>
    <mergeCell ref="R26:S26"/>
    <mergeCell ref="R39:S39"/>
    <mergeCell ref="AB11:AC11"/>
    <mergeCell ref="AH39:AI39"/>
    <mergeCell ref="Z39:AA39"/>
    <mergeCell ref="AB39:AC39"/>
    <mergeCell ref="AD39:AE39"/>
    <mergeCell ref="X37:AI37"/>
    <mergeCell ref="AF38:AG38"/>
    <mergeCell ref="AF39:AG39"/>
    <mergeCell ref="X51:AI51"/>
    <mergeCell ref="AF52:AG52"/>
    <mergeCell ref="AH53:AI53"/>
    <mergeCell ref="Z53:AA53"/>
    <mergeCell ref="AF53:AG53"/>
    <mergeCell ref="AB53:AC53"/>
    <mergeCell ref="B216:C216"/>
    <mergeCell ref="B212:C212"/>
    <mergeCell ref="B214:C214"/>
    <mergeCell ref="B215:C215"/>
    <mergeCell ref="B211:C211"/>
    <mergeCell ref="B213:C213"/>
    <mergeCell ref="E208:M208"/>
    <mergeCell ref="B209:C209"/>
    <mergeCell ref="B210:C210"/>
  </mergeCells>
  <phoneticPr fontId="11" type="noConversion"/>
  <dataValidations count="6">
    <dataValidation type="list" allowBlank="1" showInputMessage="1" showErrorMessage="1" sqref="B55:B57" xr:uid="{00000000-0002-0000-0700-000000000000}">
      <formula1>FE_Intrants_Papier_Carton</formula1>
    </dataValidation>
    <dataValidation type="list" allowBlank="1" showInputMessage="1" showErrorMessage="1" sqref="B13:B16" xr:uid="{00000000-0002-0000-0700-000001000000}">
      <formula1>FE_Intrants_Métaux</formula1>
    </dataValidation>
    <dataValidation allowBlank="1" showInputMessage="1" showErrorMessage="1" sqref="C13:C16 C26:C31 C37:C45 C54:C57 C67:C69" xr:uid="{00000000-0002-0000-0700-000002000000}"/>
    <dataValidation type="list" allowBlank="1" showInputMessage="1" showErrorMessage="1" sqref="R13:R16 R27:R30 R41:R44 R55:R57" xr:uid="{00000000-0002-0000-0700-000003000000}">
      <formula1>Choix_Incertitudes</formula1>
    </dataValidation>
    <dataValidation type="list" allowBlank="1" showInputMessage="1" showErrorMessage="1" sqref="B27:B30" xr:uid="{00000000-0002-0000-0700-000004000000}">
      <formula1>FE_Intrants_Plastique</formula1>
    </dataValidation>
    <dataValidation type="list" allowBlank="1" showInputMessage="1" showErrorMessage="1" sqref="B41:B44" xr:uid="{00000000-0002-0000-0700-000005000000}">
      <formula1>FE_Intrants_Verre</formula1>
    </dataValidation>
  </dataValidations>
  <hyperlinks>
    <hyperlink ref="D4" location="emballages_metaux" display="metaux" xr:uid="{00000000-0004-0000-0700-000000000000}"/>
    <hyperlink ref="F4" location="emballages_plastiques" display="plastiques" xr:uid="{00000000-0004-0000-0700-000001000000}"/>
    <hyperlink ref="H4" location="emballage_Verre" display="verre" xr:uid="{00000000-0004-0000-0700-000002000000}"/>
    <hyperlink ref="J4" location="emballages_papiers" display="papier" xr:uid="{00000000-0004-0000-0700-000003000000}"/>
    <hyperlink ref="D5" location="emballages_recap" display="total" xr:uid="{00000000-0004-0000-0700-000004000000}"/>
    <hyperlink ref="F5" location="emballages_sous_postes" display="sous-postes" xr:uid="{00000000-0004-0000-0700-000005000000}"/>
    <hyperlink ref="H5" location="futursemballages_bilanGES" display="bilan GES" xr:uid="{00000000-0004-0000-0700-000006000000}"/>
    <hyperlink ref="J5" location="futursemballages_GHGProtocol" display="GHG Protocol" xr:uid="{00000000-0004-0000-0700-000007000000}"/>
    <hyperlink ref="L5:M5" location="'Futurs emballages'!B164" display="ISO 14069" xr:uid="{00000000-0004-0000-0700-000008000000}"/>
    <hyperlink ref="N5:O5" location="'CDP 2018'!A1" display="CDP" xr:uid="{00000000-0004-0000-0700-000009000000}"/>
    <hyperlink ref="N4:O4" location="Descriptif!A1" display="Descriptif" xr:uid="{00000000-0004-0000-0700-00000A000000}"/>
  </hyperlinks>
  <pageMargins left="0.78740157499999996" right="0.78740157499999996" top="0.984251969" bottom="0.984251969" header="0.4921259845" footer="0.4921259845"/>
  <pageSetup paperSize="9" pageOrder="overThenDown" orientation="portrait" horizontalDpi="4294967292" verticalDpi="4294967292" r:id="rId1"/>
  <headerFooter alignWithMargins="0">
    <oddFooter>&amp;LCalcul des émissions de gaz à effet de serre&amp;RRubrique &amp;A, page &amp;P, édité le &amp;D</oddFooter>
  </headerFooter>
  <ignoredErrors>
    <ignoredError sqref="D157:D159" twoDigitTextYear="1"/>
  </ignoredErrors>
  <extLst>
    <ext xmlns:x14="http://schemas.microsoft.com/office/spreadsheetml/2009/9/main" uri="{78C0D931-6437-407d-A8EE-F0AAD7539E65}">
      <x14:conditionalFormattings>
        <x14:conditionalFormatting xmlns:xm="http://schemas.microsoft.com/office/excel/2006/main">
          <x14:cfRule type="expression" priority="4" id="{D1783ABD-539B-4CF0-85B0-DE5D76EE1A13}">
            <xm:f>$R13=Utilitaires!$N$572</xm:f>
            <x14:dxf>
              <fill>
                <patternFill>
                  <bgColor theme="0"/>
                </patternFill>
              </fill>
              <border>
                <left style="thin">
                  <color auto="1"/>
                </left>
                <right style="thin">
                  <color auto="1"/>
                </right>
                <top style="thin">
                  <color auto="1"/>
                </top>
                <bottom style="thin">
                  <color auto="1"/>
                </bottom>
                <vertical/>
                <horizontal/>
              </border>
            </x14:dxf>
          </x14:cfRule>
          <xm:sqref>S13:S16</xm:sqref>
        </x14:conditionalFormatting>
        <x14:conditionalFormatting xmlns:xm="http://schemas.microsoft.com/office/excel/2006/main">
          <x14:cfRule type="expression" priority="3" id="{34CCF5A4-E36C-42EE-B697-984A061B239D}">
            <xm:f>$R27=Utilitaires!$N$572</xm:f>
            <x14:dxf>
              <fill>
                <patternFill>
                  <bgColor theme="0"/>
                </patternFill>
              </fill>
              <border>
                <left style="thin">
                  <color auto="1"/>
                </left>
                <right style="thin">
                  <color auto="1"/>
                </right>
                <top style="thin">
                  <color auto="1"/>
                </top>
                <bottom style="thin">
                  <color auto="1"/>
                </bottom>
                <vertical/>
                <horizontal/>
              </border>
            </x14:dxf>
          </x14:cfRule>
          <xm:sqref>S27:S30</xm:sqref>
        </x14:conditionalFormatting>
        <x14:conditionalFormatting xmlns:xm="http://schemas.microsoft.com/office/excel/2006/main">
          <x14:cfRule type="expression" priority="2" id="{89A97A8C-97B6-4BE3-A41F-1FB4D5A1EEE2}">
            <xm:f>$R41=Utilitaires!$N$572</xm:f>
            <x14:dxf>
              <fill>
                <patternFill>
                  <bgColor theme="0"/>
                </patternFill>
              </fill>
              <border>
                <left style="thin">
                  <color auto="1"/>
                </left>
                <right style="thin">
                  <color auto="1"/>
                </right>
                <top style="thin">
                  <color auto="1"/>
                </top>
                <bottom style="thin">
                  <color auto="1"/>
                </bottom>
                <vertical/>
                <horizontal/>
              </border>
            </x14:dxf>
          </x14:cfRule>
          <xm:sqref>S41:S44</xm:sqref>
        </x14:conditionalFormatting>
        <x14:conditionalFormatting xmlns:xm="http://schemas.microsoft.com/office/excel/2006/main">
          <x14:cfRule type="expression" priority="1" id="{4DDB47AA-BAD8-4E64-9F9E-07AA7323CC17}">
            <xm:f>$R55=Utilitaires!$N$572</xm:f>
            <x14:dxf>
              <fill>
                <patternFill>
                  <bgColor theme="0"/>
                </patternFill>
              </fill>
              <border>
                <left style="thin">
                  <color auto="1"/>
                </left>
                <right style="thin">
                  <color auto="1"/>
                </right>
                <top style="thin">
                  <color auto="1"/>
                </top>
                <bottom style="thin">
                  <color auto="1"/>
                </bottom>
                <vertical/>
                <horizontal/>
              </border>
            </x14:dxf>
          </x14:cfRule>
          <xm:sqref>S55:S57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6000000}">
          <x14:formula1>
            <xm:f>'FE Intrants'!$I$81:$I$96</xm:f>
          </x14:formula1>
          <xm:sqref>B67:B69</xm:sqref>
        </x14:dataValidation>
        <x14:dataValidation type="list" allowBlank="1" showInputMessage="1" showErrorMessage="1" xr:uid="{00000000-0002-0000-0700-000007000000}">
          <x14:formula1>
            <xm:f>'FE Déchets'!$I$106:$I$109</xm:f>
          </x14:formula1>
          <xm:sqref>H41:H44</xm:sqref>
        </x14:dataValidation>
        <x14:dataValidation type="list" allowBlank="1" showInputMessage="1" showErrorMessage="1" xr:uid="{00000000-0002-0000-0700-000008000000}">
          <x14:formula1>
            <xm:f>'FE Déchets'!$I$57:$I$65</xm:f>
          </x14:formula1>
          <xm:sqref>I55:I57</xm:sqref>
        </x14:dataValidation>
        <x14:dataValidation type="list" allowBlank="1" showInputMessage="1" showErrorMessage="1" xr:uid="{00000000-0002-0000-0700-000009000000}">
          <x14:formula1>
            <xm:f>'FE Déchets'!$I$172:$I$204</xm:f>
          </x14:formula1>
          <xm:sqref>I27:I30</xm:sqref>
        </x14:dataValidation>
        <x14:dataValidation type="list" allowBlank="1" showInputMessage="1" showErrorMessage="1" xr:uid="{00000000-0002-0000-0700-00000A000000}">
          <x14:formula1>
            <xm:f>'FE Déchets'!$I$82:$I$89</xm:f>
          </x14:formula1>
          <xm:sqref>I13:I16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tabColor theme="5"/>
    <outlinePr summaryBelow="0" summaryRight="0"/>
  </sheetPr>
  <dimension ref="A1:BK440"/>
  <sheetViews>
    <sheetView showGridLines="0" zoomScale="63" zoomScaleNormal="63" workbookViewId="0">
      <pane xSplit="3" ySplit="9" topLeftCell="D10" activePane="bottomRight" state="frozenSplit"/>
      <selection pane="topRight" activeCell="E9" sqref="E9"/>
      <selection pane="bottomLeft" activeCell="E9" sqref="E9"/>
      <selection pane="bottomRight" activeCell="F23" sqref="F23"/>
    </sheetView>
  </sheetViews>
  <sheetFormatPr baseColWidth="10" defaultColWidth="0" defaultRowHeight="13.2" zeroHeight="1" outlineLevelRow="3" outlineLevelCol="1"/>
  <cols>
    <col min="1" max="1" width="2.75" style="114" customWidth="1"/>
    <col min="2" max="2" width="52.75" style="114" customWidth="1"/>
    <col min="3" max="3" width="2.375" style="114" customWidth="1"/>
    <col min="4" max="4" width="13.375" style="114" bestFit="1" customWidth="1"/>
    <col min="5" max="15" width="12.25" style="114" customWidth="1"/>
    <col min="16" max="16" width="3.25" style="114" customWidth="1"/>
    <col min="17" max="18" width="12.25" style="114" customWidth="1"/>
    <col min="19" max="19" width="12.25" style="114" customWidth="1" collapsed="1"/>
    <col min="20" max="23" width="12.25" style="114" hidden="1" customWidth="1" outlineLevel="1"/>
    <col min="24" max="24" width="12.25" style="441" customWidth="1"/>
    <col min="25" max="25" width="2.125" style="441" customWidth="1"/>
    <col min="26" max="26" width="12.25" style="441" customWidth="1" collapsed="1"/>
    <col min="27" max="41" width="12.25" style="441" hidden="1" customWidth="1" outlineLevel="1"/>
    <col min="42" max="50" width="12.25" style="114" hidden="1" customWidth="1" outlineLevel="1"/>
    <col min="51" max="51" width="12.25" style="114" customWidth="1" collapsed="1"/>
    <col min="52" max="52" width="17.125" style="114" hidden="1" customWidth="1" outlineLevel="1"/>
    <col min="53" max="56" width="11.375" style="114" hidden="1" customWidth="1" outlineLevel="1"/>
    <col min="57" max="57" width="3.25" style="114" customWidth="1"/>
    <col min="58" max="63" width="0" style="114" hidden="1" customWidth="1"/>
    <col min="64" max="16384" width="10.875" style="114" hidden="1"/>
  </cols>
  <sheetData>
    <row r="1" spans="2:55" s="113" customFormat="1" ht="22.8">
      <c r="S1" s="1646" t="s">
        <v>2442</v>
      </c>
      <c r="X1" s="576"/>
      <c r="Y1" s="576"/>
      <c r="Z1" s="1645" t="s">
        <v>2441</v>
      </c>
      <c r="AA1" s="576"/>
      <c r="AB1" s="576"/>
      <c r="AC1" s="576"/>
      <c r="AD1" s="576"/>
      <c r="AE1" s="576"/>
      <c r="AF1" s="576"/>
      <c r="AG1" s="576"/>
      <c r="AH1" s="576"/>
      <c r="AI1" s="576"/>
      <c r="AJ1" s="576"/>
      <c r="AK1" s="576"/>
      <c r="AL1" s="576"/>
      <c r="AM1" s="576"/>
      <c r="AN1" s="576"/>
      <c r="AO1" s="576"/>
      <c r="AY1" s="1644" t="s">
        <v>2440</v>
      </c>
    </row>
    <row r="2" spans="2:55" s="113" customFormat="1" ht="30" customHeight="1">
      <c r="B2" s="2813" t="str">
        <f>Descriptif!C32</f>
        <v>Déchets directs</v>
      </c>
      <c r="C2" s="2814"/>
      <c r="D2" s="2814"/>
      <c r="E2" s="2814"/>
      <c r="F2" s="2814"/>
      <c r="G2" s="2814"/>
      <c r="H2" s="2814"/>
      <c r="I2" s="2814"/>
      <c r="J2" s="2814"/>
      <c r="K2" s="2814"/>
      <c r="L2" s="2814"/>
      <c r="M2" s="2814"/>
      <c r="N2" s="2814"/>
      <c r="O2" s="2815"/>
      <c r="X2" s="576"/>
      <c r="Y2" s="576"/>
      <c r="Z2" s="576"/>
      <c r="AA2" s="576"/>
      <c r="AB2" s="576"/>
      <c r="AC2" s="576"/>
      <c r="AD2" s="576"/>
      <c r="AE2" s="576"/>
      <c r="AF2" s="576"/>
      <c r="AG2" s="576"/>
      <c r="AH2" s="576"/>
      <c r="AI2" s="576"/>
      <c r="AJ2" s="576"/>
      <c r="AK2" s="576"/>
      <c r="AL2" s="576"/>
      <c r="AM2" s="576"/>
      <c r="AN2" s="576"/>
      <c r="AO2" s="576"/>
    </row>
    <row r="3" spans="2:55"/>
    <row r="4" spans="2:55" ht="13.8">
      <c r="B4" s="1001" t="s">
        <v>536</v>
      </c>
      <c r="C4" s="210"/>
      <c r="D4" s="2760" t="s">
        <v>5159</v>
      </c>
      <c r="E4" s="2760"/>
      <c r="F4" s="2760" t="s">
        <v>5160</v>
      </c>
      <c r="G4" s="2760"/>
      <c r="H4" s="2760" t="s">
        <v>310</v>
      </c>
      <c r="I4" s="2760"/>
      <c r="J4" s="2760"/>
      <c r="K4" s="2760"/>
      <c r="L4" s="2760"/>
      <c r="M4" s="2760"/>
      <c r="N4" s="2761" t="s">
        <v>893</v>
      </c>
      <c r="O4" s="2762"/>
    </row>
    <row r="5" spans="2:55" ht="13.8">
      <c r="B5" s="194" t="s">
        <v>521</v>
      </c>
      <c r="C5" s="195"/>
      <c r="D5" s="2745" t="s">
        <v>212</v>
      </c>
      <c r="E5" s="2745"/>
      <c r="F5" s="2745" t="s">
        <v>428</v>
      </c>
      <c r="G5" s="2745"/>
      <c r="H5" s="2745" t="s">
        <v>484</v>
      </c>
      <c r="I5" s="2745"/>
      <c r="J5" s="2745" t="s">
        <v>758</v>
      </c>
      <c r="K5" s="2745"/>
      <c r="L5" s="2745" t="s">
        <v>818</v>
      </c>
      <c r="M5" s="2745"/>
      <c r="N5" s="2745" t="s">
        <v>2444</v>
      </c>
      <c r="O5" s="2775"/>
    </row>
    <row r="6" spans="2:55" s="1078" customFormat="1" ht="13.8" hidden="1">
      <c r="B6" s="1413"/>
      <c r="C6" s="1414"/>
      <c r="D6" s="1415"/>
      <c r="E6" s="1415"/>
      <c r="F6" s="1415"/>
      <c r="G6" s="1415"/>
      <c r="H6" s="1415"/>
      <c r="I6" s="1415"/>
      <c r="J6" s="1415"/>
      <c r="K6" s="1415"/>
      <c r="L6" s="1079"/>
      <c r="M6" s="1079"/>
      <c r="N6" s="1079"/>
      <c r="O6" s="1079"/>
      <c r="X6" s="1080"/>
      <c r="Y6" s="1080"/>
      <c r="Z6" s="1080"/>
      <c r="AA6" s="1080"/>
      <c r="AB6" s="1080"/>
      <c r="AC6" s="1080"/>
      <c r="AD6" s="1080"/>
      <c r="AE6" s="1080"/>
      <c r="AF6" s="1080"/>
      <c r="AG6" s="1080"/>
      <c r="AH6" s="1080"/>
      <c r="AI6" s="1080"/>
      <c r="AJ6" s="1080"/>
      <c r="AK6" s="1080"/>
      <c r="AL6" s="1080"/>
      <c r="AM6" s="1080"/>
      <c r="AN6" s="1080"/>
      <c r="AO6" s="1080"/>
    </row>
    <row r="7" spans="2:55" s="1078" customFormat="1" ht="14.25" hidden="1" customHeight="1">
      <c r="B7" s="2806" t="s">
        <v>779</v>
      </c>
      <c r="C7" s="2807"/>
      <c r="D7" s="2808" t="s">
        <v>382</v>
      </c>
      <c r="E7" s="2809"/>
      <c r="F7" s="2810"/>
      <c r="G7" s="1415"/>
      <c r="H7" s="1415"/>
      <c r="I7" s="1415"/>
      <c r="J7" s="1415"/>
      <c r="K7" s="1415"/>
      <c r="L7" s="1079"/>
      <c r="M7" s="1079"/>
      <c r="N7" s="1079"/>
      <c r="O7" s="1079"/>
      <c r="X7" s="1080"/>
      <c r="Y7" s="1080"/>
      <c r="Z7" s="1080"/>
      <c r="AA7" s="1080"/>
      <c r="AB7" s="1080"/>
      <c r="AC7" s="1080"/>
      <c r="AD7" s="1080"/>
      <c r="AE7" s="1080"/>
      <c r="AF7" s="1080"/>
      <c r="AG7" s="1080"/>
      <c r="AH7" s="1080"/>
      <c r="AI7" s="1080"/>
      <c r="AJ7" s="1080"/>
      <c r="AK7" s="1080"/>
      <c r="AL7" s="1080"/>
      <c r="AM7" s="1080"/>
      <c r="AN7" s="1080"/>
      <c r="AO7" s="1080"/>
    </row>
    <row r="8" spans="2:55" s="1078" customFormat="1" ht="14.25" hidden="1" customHeight="1">
      <c r="B8" s="2806" t="s">
        <v>788</v>
      </c>
      <c r="C8" s="2807"/>
      <c r="D8" s="2808" t="s">
        <v>787</v>
      </c>
      <c r="E8" s="2809"/>
      <c r="F8" s="2810"/>
      <c r="G8" s="1416" t="str">
        <f>IF(D7=Utilitaires!Q591,IF(D8="Non Personnalisable","&lt; Attention n'oubliez pas de compléter cette case.",""),IF(D7=Utilitaires!Q593,IF(D8="Non Personnalisable","&lt;- Attention n'oubliez pas de compléter cette case.",""),IF(D8="Non personnalisable","","&lt;- Attention n'oubliez pas de compléter cette case.")))</f>
        <v/>
      </c>
      <c r="H8" s="1415"/>
      <c r="I8" s="1415"/>
      <c r="J8" s="1415"/>
      <c r="K8" s="1415"/>
      <c r="L8" s="1079"/>
      <c r="M8" s="1079"/>
      <c r="N8" s="1079"/>
      <c r="O8" s="1079"/>
      <c r="X8" s="1080"/>
      <c r="Y8" s="1080"/>
      <c r="Z8" s="1080"/>
      <c r="AA8" s="1080"/>
      <c r="AB8" s="1080"/>
      <c r="AC8" s="1080"/>
      <c r="AD8" s="1080"/>
      <c r="AE8" s="1080"/>
      <c r="AF8" s="1080"/>
      <c r="AG8" s="1080"/>
      <c r="AH8" s="1080"/>
      <c r="AI8" s="1080"/>
      <c r="AJ8" s="1080"/>
      <c r="AK8" s="1080"/>
      <c r="AL8" s="1080"/>
      <c r="AM8" s="1080"/>
      <c r="AN8" s="1080"/>
      <c r="AO8" s="1080"/>
    </row>
    <row r="9" spans="2:55" ht="13.8">
      <c r="B9" s="115"/>
      <c r="C9" s="115"/>
      <c r="D9" s="115"/>
      <c r="E9" s="115"/>
      <c r="F9" s="115"/>
      <c r="G9" s="115"/>
      <c r="H9" s="109"/>
      <c r="I9" s="109"/>
      <c r="J9" s="109"/>
    </row>
    <row r="10" spans="2:55" s="130" customFormat="1" ht="18" customHeight="1">
      <c r="B10" s="2652" t="s">
        <v>4950</v>
      </c>
      <c r="C10" s="2653"/>
      <c r="D10" s="2653"/>
      <c r="E10" s="2653"/>
      <c r="F10" s="2653"/>
      <c r="G10" s="2653"/>
      <c r="H10" s="2653"/>
      <c r="I10" s="2653"/>
      <c r="J10" s="2653"/>
      <c r="K10" s="2653"/>
      <c r="L10" s="2653"/>
      <c r="M10" s="2653"/>
      <c r="N10" s="2653"/>
      <c r="O10" s="2654"/>
      <c r="X10" s="593"/>
      <c r="Y10" s="593"/>
      <c r="Z10" s="593"/>
      <c r="AA10" s="593"/>
      <c r="AB10" s="593"/>
      <c r="AC10" s="593"/>
      <c r="AD10" s="593"/>
      <c r="AE10" s="593"/>
      <c r="AF10" s="593"/>
      <c r="AG10" s="593"/>
      <c r="AH10" s="593"/>
      <c r="AI10" s="593"/>
      <c r="AJ10" s="593"/>
      <c r="AK10" s="593"/>
      <c r="AL10" s="593"/>
      <c r="AM10" s="593"/>
      <c r="AN10" s="593"/>
      <c r="AO10" s="593"/>
    </row>
    <row r="11" spans="2:55" outlineLevel="1"/>
    <row r="12" spans="2:55" ht="12.75" customHeight="1" outlineLevel="1">
      <c r="B12" s="1091" t="s">
        <v>4951</v>
      </c>
      <c r="C12" s="140"/>
      <c r="D12" s="1361"/>
      <c r="E12" s="1648"/>
      <c r="F12" s="1361"/>
      <c r="G12" s="1361"/>
      <c r="H12" s="1361"/>
      <c r="I12" s="1361"/>
      <c r="J12" s="1361"/>
      <c r="K12" s="1361"/>
      <c r="L12" s="1361"/>
      <c r="M12" s="1361"/>
      <c r="N12" s="1412"/>
      <c r="O12" s="1362"/>
      <c r="Q12" s="2636" t="s">
        <v>366</v>
      </c>
      <c r="R12" s="2637"/>
      <c r="S12" s="2637"/>
      <c r="T12" s="2637"/>
      <c r="U12" s="2637"/>
      <c r="V12" s="2637"/>
      <c r="W12" s="2637"/>
      <c r="X12" s="2638"/>
      <c r="Y12" s="114"/>
      <c r="Z12" s="114"/>
      <c r="AA12" s="2639" t="s">
        <v>441</v>
      </c>
      <c r="AB12" s="2640"/>
      <c r="AC12" s="2640"/>
      <c r="AD12" s="2640"/>
      <c r="AE12" s="2640"/>
      <c r="AF12" s="2640"/>
      <c r="AG12" s="2640"/>
      <c r="AH12" s="2640"/>
      <c r="AI12" s="2640"/>
      <c r="AJ12" s="2640"/>
      <c r="AK12" s="2640"/>
      <c r="AL12" s="2640"/>
      <c r="AM12" s="2640"/>
      <c r="AN12" s="2640"/>
      <c r="AO12" s="2640"/>
      <c r="AP12" s="2640"/>
      <c r="AQ12" s="2640"/>
      <c r="AR12" s="2640"/>
      <c r="AS12" s="2640"/>
      <c r="AT12" s="2640"/>
      <c r="AU12" s="2640"/>
      <c r="AV12" s="2640"/>
      <c r="AW12" s="2640"/>
      <c r="AX12" s="2641"/>
    </row>
    <row r="13" spans="2:55" ht="12.75" customHeight="1" outlineLevel="2">
      <c r="B13" s="332"/>
      <c r="C13" s="167"/>
      <c r="D13" s="1367" t="s">
        <v>308</v>
      </c>
      <c r="E13" s="1663"/>
      <c r="F13" s="1367"/>
      <c r="G13" s="1367"/>
      <c r="H13" s="1367"/>
      <c r="I13" s="1367"/>
      <c r="J13" s="1367"/>
      <c r="K13" s="1357"/>
      <c r="L13" s="1357"/>
      <c r="M13" s="1357"/>
      <c r="N13" s="565"/>
      <c r="O13" s="1372"/>
      <c r="Q13" s="1356"/>
      <c r="R13" s="819"/>
      <c r="S13" s="819"/>
      <c r="T13" s="1355"/>
      <c r="U13" s="1355"/>
      <c r="V13" s="1355"/>
      <c r="W13" s="1355"/>
      <c r="X13" s="145"/>
      <c r="Y13" s="114"/>
      <c r="Z13" s="114"/>
      <c r="AA13" s="2642" t="s">
        <v>444</v>
      </c>
      <c r="AB13" s="2643"/>
      <c r="AC13" s="2643"/>
      <c r="AD13" s="2643"/>
      <c r="AE13" s="2643"/>
      <c r="AF13" s="2643"/>
      <c r="AG13" s="2643"/>
      <c r="AH13" s="2643"/>
      <c r="AI13" s="2643"/>
      <c r="AJ13" s="2643"/>
      <c r="AK13" s="2643"/>
      <c r="AL13" s="2643"/>
      <c r="AM13" s="2643"/>
      <c r="AN13" s="2643"/>
      <c r="AO13" s="2643"/>
      <c r="AP13" s="2643"/>
      <c r="AQ13" s="2643" t="s">
        <v>444</v>
      </c>
      <c r="AR13" s="2643"/>
      <c r="AS13" s="2643"/>
      <c r="AT13" s="2644"/>
      <c r="AU13" s="1359"/>
      <c r="AV13" s="1352"/>
      <c r="AW13" s="1352"/>
      <c r="AX13" s="1360"/>
      <c r="AZ13" s="2828" t="s">
        <v>1648</v>
      </c>
      <c r="BA13" s="2829"/>
      <c r="BB13" s="1774"/>
      <c r="BC13" s="1774"/>
    </row>
    <row r="14" spans="2:55" ht="12.75" customHeight="1" outlineLevel="2">
      <c r="B14" s="1356"/>
      <c r="C14" s="1357"/>
      <c r="D14" s="1357" t="s">
        <v>409</v>
      </c>
      <c r="E14" s="1656"/>
      <c r="F14" s="1364" t="s">
        <v>199</v>
      </c>
      <c r="G14" s="2626" t="s">
        <v>1585</v>
      </c>
      <c r="H14" s="2628"/>
      <c r="I14" s="2628"/>
      <c r="J14" s="2628"/>
      <c r="K14" s="2628"/>
      <c r="L14" s="2628"/>
      <c r="M14" s="2628"/>
      <c r="N14" s="2628"/>
      <c r="O14" s="1372" t="s">
        <v>444</v>
      </c>
      <c r="Q14" s="1356" t="s">
        <v>316</v>
      </c>
      <c r="R14" s="2629" t="s">
        <v>316</v>
      </c>
      <c r="S14" s="2630"/>
      <c r="T14" s="1357"/>
      <c r="U14" s="1357"/>
      <c r="V14" s="1357"/>
      <c r="W14" s="1357"/>
      <c r="X14" s="1372" t="s">
        <v>444</v>
      </c>
      <c r="Y14" s="114"/>
      <c r="Z14" s="114"/>
      <c r="AA14" s="2631" t="s">
        <v>211</v>
      </c>
      <c r="AB14" s="2632"/>
      <c r="AC14" s="2632"/>
      <c r="AD14" s="2632"/>
      <c r="AE14" s="2632" t="s">
        <v>442</v>
      </c>
      <c r="AF14" s="2632"/>
      <c r="AG14" s="2632"/>
      <c r="AH14" s="2632"/>
      <c r="AI14" s="2632" t="s">
        <v>267</v>
      </c>
      <c r="AJ14" s="2632"/>
      <c r="AK14" s="2632"/>
      <c r="AL14" s="2632"/>
      <c r="AM14" s="2632" t="s">
        <v>443</v>
      </c>
      <c r="AN14" s="2632"/>
      <c r="AO14" s="2632"/>
      <c r="AP14" s="2632"/>
      <c r="AQ14" s="2648" t="s">
        <v>327</v>
      </c>
      <c r="AR14" s="2648"/>
      <c r="AS14" s="2648"/>
      <c r="AT14" s="2649"/>
      <c r="AU14" s="1373"/>
      <c r="AV14" s="1354" t="s">
        <v>636</v>
      </c>
      <c r="AW14" s="566"/>
      <c r="AX14" s="567"/>
      <c r="AZ14" s="1368" t="s">
        <v>2167</v>
      </c>
      <c r="BA14" s="2365" t="s">
        <v>2187</v>
      </c>
      <c r="BB14" s="1774"/>
      <c r="BC14" s="1774"/>
    </row>
    <row r="15" spans="2:55" ht="12.75" customHeight="1" outlineLevel="2">
      <c r="B15" s="1002" t="s">
        <v>4952</v>
      </c>
      <c r="C15" s="1357"/>
      <c r="D15" s="1357" t="s">
        <v>444</v>
      </c>
      <c r="E15" s="1656"/>
      <c r="F15" s="1365" t="s">
        <v>22</v>
      </c>
      <c r="G15" s="1366"/>
      <c r="H15" s="1366"/>
      <c r="I15" s="2338"/>
      <c r="J15" s="1366"/>
      <c r="K15" s="1358"/>
      <c r="L15" s="581"/>
      <c r="M15" s="1358"/>
      <c r="N15" s="1358"/>
      <c r="O15" s="1372"/>
      <c r="Q15" s="1356" t="s">
        <v>1649</v>
      </c>
      <c r="R15" s="2646" t="s">
        <v>1650</v>
      </c>
      <c r="S15" s="2647"/>
      <c r="T15" s="1366"/>
      <c r="U15" s="1375"/>
      <c r="V15" s="1375"/>
      <c r="W15" s="1375"/>
      <c r="X15" s="1372"/>
      <c r="Y15" s="114"/>
      <c r="Z15" s="114"/>
      <c r="AA15" s="227"/>
      <c r="AB15" s="1366"/>
      <c r="AC15" s="2338"/>
      <c r="AD15" s="1366"/>
      <c r="AE15" s="1366"/>
      <c r="AF15" s="1366"/>
      <c r="AG15" s="2338"/>
      <c r="AH15" s="1366"/>
      <c r="AI15" s="1366"/>
      <c r="AJ15" s="1366"/>
      <c r="AK15" s="2338"/>
      <c r="AL15" s="1366"/>
      <c r="AM15" s="1366"/>
      <c r="AN15" s="1366"/>
      <c r="AO15" s="2338"/>
      <c r="AP15" s="1366"/>
      <c r="AQ15" s="1366"/>
      <c r="AR15" s="1366"/>
      <c r="AS15" s="2338"/>
      <c r="AT15" s="1366"/>
      <c r="AU15" s="227"/>
      <c r="AV15" s="1366"/>
      <c r="AW15" s="2338"/>
      <c r="AX15" s="1171"/>
      <c r="AZ15" s="1369"/>
      <c r="BA15" s="2366"/>
      <c r="BB15" s="1774"/>
      <c r="BC15" s="1774"/>
    </row>
    <row r="16" spans="2:55" outlineLevel="2">
      <c r="B16" s="389" t="s">
        <v>4953</v>
      </c>
      <c r="C16" s="341"/>
      <c r="D16" s="212">
        <f>O16</f>
        <v>650</v>
      </c>
      <c r="E16" s="212"/>
      <c r="F16" s="2388">
        <v>5</v>
      </c>
      <c r="G16" s="219"/>
      <c r="H16" s="2385"/>
      <c r="I16" s="219"/>
      <c r="J16" s="219">
        <f>IF(ISNA(VLOOKUP($B16&amp;"; "&amp;$G$14,'FE Déchets'!$G:$U,9,FALSE)), 0, VLOOKUP($B16&amp;"; "&amp;$G$14,'FE Déchets'!$G:$U,9,FALSE))</f>
        <v>130</v>
      </c>
      <c r="K16" s="151"/>
      <c r="L16" s="151"/>
      <c r="M16" s="151"/>
      <c r="N16" s="151"/>
      <c r="O16" s="152">
        <f>F16*J16</f>
        <v>650</v>
      </c>
      <c r="Q16" s="226">
        <f>IF(X16=0,X16,X16/O16)</f>
        <v>0.2</v>
      </c>
      <c r="R16" s="2388"/>
      <c r="S16" s="820"/>
      <c r="T16" s="164"/>
      <c r="U16" s="164"/>
      <c r="V16" s="164"/>
      <c r="W16" s="164"/>
      <c r="X16" s="152">
        <f>F16*J16*BA16</f>
        <v>130</v>
      </c>
      <c r="Y16" s="114"/>
      <c r="Z16" s="114"/>
      <c r="AA16" s="564"/>
      <c r="AB16" s="565">
        <f>$F16*IF(ISNA(VLOOKUP($B16&amp;"; "&amp;$G$14,'FE Déchets'!$G:$U,10,FALSE)),0,VLOOKUP($B16&amp;"; "&amp;$G$14,'FE Déchets'!$G:$U,10,FALSE))</f>
        <v>650</v>
      </c>
      <c r="AC16" s="565"/>
      <c r="AD16" s="565"/>
      <c r="AE16" s="565"/>
      <c r="AF16" s="565">
        <f>$F16*IF(ISNA(VLOOKUP($B16&amp;"; "&amp;$G$14,'FE Déchets'!$G:$U,11,FALSE)+VLOOKUP($B16&amp;"; "&amp;$G$14,'FE Déchets'!$G:$U,12,FALSE)),0,
VLOOKUP($B16&amp;"; "&amp;$G$14,'FE Déchets'!$G:$U,11,FALSE)+VLOOKUP($B16&amp;"; "&amp;$G$14,'FE Déchets'!$G:$U,12,FALSE))</f>
        <v>0</v>
      </c>
      <c r="AG16" s="565"/>
      <c r="AH16" s="565"/>
      <c r="AI16" s="565"/>
      <c r="AJ16" s="565">
        <f>$F16*IF(ISNA(VLOOKUP($B16&amp;"; "&amp;$G$14,'FE Déchets'!$G:$U,13,FALSE)),0,VLOOKUP($B16&amp;"; "&amp;$G$14,'FE Déchets'!$G:$U,13,FALSE))</f>
        <v>0</v>
      </c>
      <c r="AK16" s="565"/>
      <c r="AL16" s="565"/>
      <c r="AM16" s="565"/>
      <c r="AN16" s="565">
        <f>$F16*IF(ISNA(VLOOKUP($B16&amp;"; "&amp;$G$14,'FE Déchets'!$G:$U,14,FALSE)),0,VLOOKUP($B16&amp;"; "&amp;$G$14,'FE Déchets'!$G:$U,14,FALSE))</f>
        <v>0</v>
      </c>
      <c r="AO16" s="565"/>
      <c r="AP16" s="565"/>
      <c r="AQ16" s="566"/>
      <c r="AR16" s="566">
        <f>SUM(AB16,AF16,AJ16,AN16)</f>
        <v>650</v>
      </c>
      <c r="AS16" s="566"/>
      <c r="AT16" s="566"/>
      <c r="AU16" s="564"/>
      <c r="AV16" s="565">
        <f>$F16*IF(ISNA(VLOOKUP($B16&amp;"; "&amp;$G$14,'FE Déchets'!$G:$U,15,FALSE)),0,VLOOKUP($B16&amp;"; "&amp;$G$14,'FE Déchets'!$G:$U,15,FALSE))</f>
        <v>0</v>
      </c>
      <c r="AW16" s="565"/>
      <c r="AX16" s="568"/>
      <c r="AZ16" s="2364">
        <f>IF($R16&lt;&gt;"votre valeur :",IF(ISNA(VLOOKUP($R16,Utilitaires!$N$566:$O$571,2,FALSE)),,VLOOKUP($R16,Utilitaires!$N$566:$O$571,2,FALSE)),$S16)</f>
        <v>0</v>
      </c>
      <c r="BA16" s="1130">
        <f>IF(ISNA(SQRT(SUMSQ(VLOOKUP($B16&amp;"; "&amp;$G$14,'FE Déchets'!$G:$U,7,FALSE),$AZ16))),0,SQRT(SUMSQ(VLOOKUP($B16&amp;"; "&amp;$G$14,'FE Déchets'!$G:$U,7,FALSE),$AZ16)))</f>
        <v>0.2</v>
      </c>
      <c r="BB16" s="2128"/>
      <c r="BC16" s="2128"/>
    </row>
    <row r="17" spans="2:55" outlineLevel="2">
      <c r="B17" s="389" t="s">
        <v>4954</v>
      </c>
      <c r="C17" s="341"/>
      <c r="D17" s="212">
        <f t="shared" ref="D17:D41" si="0">O17</f>
        <v>0</v>
      </c>
      <c r="E17" s="212"/>
      <c r="F17" s="2389"/>
      <c r="G17" s="219"/>
      <c r="H17" s="2385"/>
      <c r="I17" s="219"/>
      <c r="J17" s="219">
        <f>IF(ISNA(VLOOKUP($B17&amp;"; "&amp;$G$14,'FE Déchets'!$G:$U,9,FALSE)), 0, VLOOKUP($B17&amp;"; "&amp;$G$14,'FE Déchets'!$G:$U,9,FALSE))</f>
        <v>102</v>
      </c>
      <c r="K17" s="151"/>
      <c r="L17" s="151"/>
      <c r="M17" s="151"/>
      <c r="N17" s="151"/>
      <c r="O17" s="152">
        <f t="shared" ref="O17:O41" si="1">F17*J17</f>
        <v>0</v>
      </c>
      <c r="Q17" s="226">
        <f t="shared" ref="Q17:Q41" si="2">IF(X17=0,X17,X17/O17)</f>
        <v>0</v>
      </c>
      <c r="R17" s="2389"/>
      <c r="S17" s="820"/>
      <c r="T17" s="164"/>
      <c r="U17" s="164"/>
      <c r="V17" s="164"/>
      <c r="W17" s="164"/>
      <c r="X17" s="152">
        <f t="shared" ref="X17:X41" si="3">F17*J17*BA17</f>
        <v>0</v>
      </c>
      <c r="Y17" s="114"/>
      <c r="Z17" s="114"/>
      <c r="AA17" s="564"/>
      <c r="AB17" s="565">
        <f>$F17*IF(ISNA(VLOOKUP($B17&amp;"; "&amp;$G$14,'FE Déchets'!$G:$U,10,FALSE)),0,VLOOKUP($B17&amp;"; "&amp;$G$14,'FE Déchets'!$G:$U,10,FALSE))</f>
        <v>0</v>
      </c>
      <c r="AC17" s="565"/>
      <c r="AD17" s="565"/>
      <c r="AE17" s="565"/>
      <c r="AF17" s="565">
        <f>$F17*IF(ISNA(VLOOKUP($B17&amp;"; "&amp;$G$14,'FE Déchets'!$G:$U,11,FALSE)+VLOOKUP($B17&amp;"; "&amp;$G$14,'FE Déchets'!$G:$U,12,FALSE)),0,
VLOOKUP($B17&amp;"; "&amp;$G$14,'FE Déchets'!$G:$U,11,FALSE)+VLOOKUP($B17&amp;"; "&amp;$G$14,'FE Déchets'!$G:$U,12,FALSE))</f>
        <v>0</v>
      </c>
      <c r="AG17" s="565"/>
      <c r="AH17" s="565"/>
      <c r="AI17" s="565"/>
      <c r="AJ17" s="565">
        <f>$F17*IF(ISNA(VLOOKUP($B17&amp;"; "&amp;$G$14,'FE Déchets'!$G:$U,13,FALSE)),0,VLOOKUP($B17&amp;"; "&amp;$G$14,'FE Déchets'!$G:$U,13,FALSE))</f>
        <v>0</v>
      </c>
      <c r="AK17" s="565"/>
      <c r="AL17" s="565"/>
      <c r="AM17" s="565"/>
      <c r="AN17" s="565">
        <f>$F17*IF(ISNA(VLOOKUP($B17&amp;"; "&amp;$G$14,'FE Déchets'!$G:$U,14,FALSE)),0,VLOOKUP($B17&amp;"; "&amp;$G$14,'FE Déchets'!$G:$U,14,FALSE))</f>
        <v>0</v>
      </c>
      <c r="AO17" s="565"/>
      <c r="AP17" s="565"/>
      <c r="AQ17" s="566"/>
      <c r="AR17" s="566">
        <f t="shared" ref="AR17:AR41" si="4">SUM(AB17,AF17,AJ17,AN17)</f>
        <v>0</v>
      </c>
      <c r="AS17" s="566"/>
      <c r="AT17" s="566"/>
      <c r="AU17" s="564"/>
      <c r="AV17" s="565">
        <f>$F17*IF(ISNA(VLOOKUP($B17&amp;"; "&amp;$G$14,'FE Déchets'!$G:$U,15,FALSE)),0,VLOOKUP($B17&amp;"; "&amp;$G$14,'FE Déchets'!$G:$U,15,FALSE))</f>
        <v>0</v>
      </c>
      <c r="AW17" s="565"/>
      <c r="AX17" s="568"/>
      <c r="AZ17" s="2364">
        <f>IF($R17&lt;&gt;"votre valeur :",IF(ISNA(VLOOKUP($R17,Utilitaires!$N$566:$O$571,2,FALSE)),,VLOOKUP($R17,Utilitaires!$N$566:$O$571,2,FALSE)),$S17)</f>
        <v>0</v>
      </c>
      <c r="BA17" s="1130">
        <f>IF(ISNA(SQRT(SUMSQ(VLOOKUP($B17&amp;"; "&amp;$G$14,'FE Déchets'!$G:$U,7,FALSE),$AZ17))),0,SQRT(SUMSQ(VLOOKUP($B17&amp;"; "&amp;$G$14,'FE Déchets'!$G:$U,7,FALSE),$AZ17)))</f>
        <v>0.2</v>
      </c>
      <c r="BB17" s="2128"/>
      <c r="BC17" s="2128"/>
    </row>
    <row r="18" spans="2:55" outlineLevel="2">
      <c r="B18" s="389" t="s">
        <v>4955</v>
      </c>
      <c r="C18" s="341"/>
      <c r="D18" s="212">
        <f t="shared" si="0"/>
        <v>0</v>
      </c>
      <c r="E18" s="212"/>
      <c r="F18" s="2390"/>
      <c r="G18" s="219"/>
      <c r="H18" s="2385"/>
      <c r="I18" s="219"/>
      <c r="J18" s="219">
        <f>IF(ISNA(VLOOKUP($B18&amp;"; "&amp;$G$14,'FE Déchets'!$G:$U,9,FALSE)), 0, VLOOKUP($B18&amp;"; "&amp;$G$14,'FE Déchets'!$G:$U,9,FALSE))</f>
        <v>41</v>
      </c>
      <c r="K18" s="151"/>
      <c r="L18" s="151"/>
      <c r="M18" s="151"/>
      <c r="N18" s="151"/>
      <c r="O18" s="152">
        <f t="shared" si="1"/>
        <v>0</v>
      </c>
      <c r="Q18" s="226">
        <f t="shared" si="2"/>
        <v>0</v>
      </c>
      <c r="R18" s="2390"/>
      <c r="S18" s="820"/>
      <c r="T18" s="164"/>
      <c r="U18" s="164"/>
      <c r="V18" s="164"/>
      <c r="W18" s="164"/>
      <c r="X18" s="152">
        <f t="shared" si="3"/>
        <v>0</v>
      </c>
      <c r="Y18" s="114"/>
      <c r="Z18" s="114"/>
      <c r="AA18" s="564"/>
      <c r="AB18" s="565">
        <f>$F18*IF(ISNA(VLOOKUP($B18&amp;"; "&amp;$G$14,'FE Déchets'!$G:$U,10,FALSE)),0,VLOOKUP($B18&amp;"; "&amp;$G$14,'FE Déchets'!$G:$U,10,FALSE))</f>
        <v>0</v>
      </c>
      <c r="AC18" s="565"/>
      <c r="AD18" s="565"/>
      <c r="AE18" s="565"/>
      <c r="AF18" s="565">
        <f>$F18*IF(ISNA(VLOOKUP($B18&amp;"; "&amp;$G$14,'FE Déchets'!$G:$U,11,FALSE)+VLOOKUP($B18&amp;"; "&amp;$G$14,'FE Déchets'!$G:$U,12,FALSE)),0,
VLOOKUP($B18&amp;"; "&amp;$G$14,'FE Déchets'!$G:$U,11,FALSE)+VLOOKUP($B18&amp;"; "&amp;$G$14,'FE Déchets'!$G:$U,12,FALSE))</f>
        <v>0</v>
      </c>
      <c r="AG18" s="565"/>
      <c r="AH18" s="565"/>
      <c r="AI18" s="565"/>
      <c r="AJ18" s="565">
        <f>$F18*IF(ISNA(VLOOKUP($B18&amp;"; "&amp;$G$14,'FE Déchets'!$G:$U,13,FALSE)),0,VLOOKUP($B18&amp;"; "&amp;$G$14,'FE Déchets'!$G:$U,13,FALSE))</f>
        <v>0</v>
      </c>
      <c r="AK18" s="565"/>
      <c r="AL18" s="565"/>
      <c r="AM18" s="565"/>
      <c r="AN18" s="565">
        <f>$F18*IF(ISNA(VLOOKUP($B18&amp;"; "&amp;$G$14,'FE Déchets'!$G:$U,14,FALSE)),0,VLOOKUP($B18&amp;"; "&amp;$G$14,'FE Déchets'!$G:$U,14,FALSE))</f>
        <v>0</v>
      </c>
      <c r="AO18" s="565"/>
      <c r="AP18" s="565"/>
      <c r="AQ18" s="566"/>
      <c r="AR18" s="566">
        <f t="shared" si="4"/>
        <v>0</v>
      </c>
      <c r="AS18" s="566"/>
      <c r="AT18" s="566"/>
      <c r="AU18" s="564"/>
      <c r="AV18" s="565">
        <f>$F18*IF(ISNA(VLOOKUP($B18&amp;"; "&amp;$G$14,'FE Déchets'!$G:$U,15,FALSE)),0,VLOOKUP($B18&amp;"; "&amp;$G$14,'FE Déchets'!$G:$U,15,FALSE))</f>
        <v>0</v>
      </c>
      <c r="AW18" s="565"/>
      <c r="AX18" s="568"/>
      <c r="AZ18" s="2364">
        <f>IF($R18&lt;&gt;"votre valeur :",IF(ISNA(VLOOKUP($R18,Utilitaires!$N$566:$O$571,2,FALSE)),,VLOOKUP($R18,Utilitaires!$N$566:$O$571,2,FALSE)),$S18)</f>
        <v>0</v>
      </c>
      <c r="BA18" s="1130">
        <f>IF(ISNA(SQRT(SUMSQ(VLOOKUP($B18&amp;"; "&amp;$G$14,'FE Déchets'!$G:$U,7,FALSE),$AZ18))),0,SQRT(SUMSQ(VLOOKUP($B18&amp;"; "&amp;$G$14,'FE Déchets'!$G:$U,7,FALSE),$AZ18)))</f>
        <v>0.2</v>
      </c>
      <c r="BB18" s="2128"/>
      <c r="BC18" s="2128"/>
    </row>
    <row r="19" spans="2:55" outlineLevel="2">
      <c r="B19" s="389"/>
      <c r="C19" s="341"/>
      <c r="D19" s="212"/>
      <c r="E19" s="212"/>
      <c r="F19" s="177"/>
      <c r="G19" s="219"/>
      <c r="H19" s="2385"/>
      <c r="I19" s="219"/>
      <c r="J19" s="219"/>
      <c r="K19" s="151"/>
      <c r="L19" s="151"/>
      <c r="M19" s="151"/>
      <c r="N19" s="151"/>
      <c r="O19" s="152"/>
      <c r="Q19" s="226"/>
      <c r="R19" s="177"/>
      <c r="S19" s="820"/>
      <c r="T19" s="164"/>
      <c r="U19" s="164"/>
      <c r="V19" s="164"/>
      <c r="W19" s="164"/>
      <c r="X19" s="152"/>
      <c r="Y19" s="114"/>
      <c r="Z19" s="114"/>
      <c r="AA19" s="564"/>
      <c r="AB19" s="565"/>
      <c r="AC19" s="565"/>
      <c r="AD19" s="565"/>
      <c r="AE19" s="565"/>
      <c r="AF19" s="565"/>
      <c r="AG19" s="565"/>
      <c r="AH19" s="565"/>
      <c r="AI19" s="565"/>
      <c r="AJ19" s="565"/>
      <c r="AK19" s="565"/>
      <c r="AL19" s="565"/>
      <c r="AM19" s="565"/>
      <c r="AN19" s="565"/>
      <c r="AO19" s="565"/>
      <c r="AP19" s="565"/>
      <c r="AQ19" s="566"/>
      <c r="AR19" s="566"/>
      <c r="AS19" s="566"/>
      <c r="AT19" s="566"/>
      <c r="AU19" s="564"/>
      <c r="AV19" s="565"/>
      <c r="AW19" s="565"/>
      <c r="AX19" s="568"/>
      <c r="AZ19" s="2364"/>
      <c r="BA19" s="1130"/>
      <c r="BB19" s="2128"/>
      <c r="BC19" s="2128"/>
    </row>
    <row r="20" spans="2:55" outlineLevel="2">
      <c r="B20" s="2386" t="s">
        <v>4956</v>
      </c>
      <c r="C20" s="341"/>
      <c r="D20" s="212"/>
      <c r="E20" s="212"/>
      <c r="F20" s="177"/>
      <c r="G20" s="219"/>
      <c r="H20" s="2385"/>
      <c r="I20" s="219"/>
      <c r="J20" s="219"/>
      <c r="K20" s="151"/>
      <c r="L20" s="151"/>
      <c r="M20" s="151"/>
      <c r="N20" s="151"/>
      <c r="O20" s="152"/>
      <c r="Q20" s="226"/>
      <c r="R20" s="177"/>
      <c r="S20" s="820"/>
      <c r="T20" s="164"/>
      <c r="U20" s="164"/>
      <c r="V20" s="164"/>
      <c r="W20" s="164"/>
      <c r="X20" s="152"/>
      <c r="Y20" s="114"/>
      <c r="Z20" s="114"/>
      <c r="AA20" s="564"/>
      <c r="AB20" s="565"/>
      <c r="AC20" s="565"/>
      <c r="AD20" s="565"/>
      <c r="AE20" s="565"/>
      <c r="AF20" s="565"/>
      <c r="AG20" s="565"/>
      <c r="AH20" s="565"/>
      <c r="AI20" s="565"/>
      <c r="AJ20" s="565"/>
      <c r="AK20" s="565"/>
      <c r="AL20" s="565"/>
      <c r="AM20" s="565"/>
      <c r="AN20" s="565"/>
      <c r="AO20" s="565"/>
      <c r="AP20" s="565"/>
      <c r="AQ20" s="566"/>
      <c r="AR20" s="566"/>
      <c r="AS20" s="566"/>
      <c r="AT20" s="566"/>
      <c r="AU20" s="564"/>
      <c r="AV20" s="565"/>
      <c r="AW20" s="565"/>
      <c r="AX20" s="568"/>
      <c r="AZ20" s="2364"/>
      <c r="BA20" s="1130"/>
      <c r="BB20" s="2128"/>
      <c r="BC20" s="2128"/>
    </row>
    <row r="21" spans="2:55" outlineLevel="2">
      <c r="B21" s="389" t="s">
        <v>4957</v>
      </c>
      <c r="C21" s="341"/>
      <c r="D21" s="212">
        <f t="shared" ref="D21" si="5">O21</f>
        <v>10350</v>
      </c>
      <c r="E21" s="212"/>
      <c r="F21" s="2388">
        <v>150</v>
      </c>
      <c r="G21" s="219"/>
      <c r="H21" s="2385"/>
      <c r="I21" s="219"/>
      <c r="J21" s="219">
        <f>IF(ISNA(VLOOKUP($B21&amp;"; "&amp;$G$14,'FE Déchets'!$G:$U,9,FALSE)), 0, VLOOKUP($B21&amp;"; "&amp;$G$14,'FE Déchets'!$G:$U,9,FALSE))</f>
        <v>69</v>
      </c>
      <c r="K21" s="151"/>
      <c r="L21" s="151"/>
      <c r="M21" s="151"/>
      <c r="N21" s="151"/>
      <c r="O21" s="152">
        <f t="shared" ref="O21" si="6">F21*J21</f>
        <v>10350</v>
      </c>
      <c r="Q21" s="226">
        <f t="shared" ref="Q21" si="7">IF(X21=0,X21,X21/O21)</f>
        <v>0.2</v>
      </c>
      <c r="R21" s="2388"/>
      <c r="S21" s="820"/>
      <c r="T21" s="164"/>
      <c r="U21" s="164"/>
      <c r="V21" s="164"/>
      <c r="W21" s="164"/>
      <c r="X21" s="152">
        <f t="shared" ref="X21" si="8">F21*J21*BA21</f>
        <v>2070</v>
      </c>
      <c r="Y21" s="114"/>
      <c r="Z21" s="114"/>
      <c r="AA21" s="564"/>
      <c r="AB21" s="565">
        <f>$F21*IF(ISNA(VLOOKUP($B21&amp;"; "&amp;$G$14,'FE Déchets'!$G:$U,10,FALSE)),0,VLOOKUP($B21&amp;"; "&amp;$G$14,'FE Déchets'!$G:$U,10,FALSE))</f>
        <v>10350</v>
      </c>
      <c r="AC21" s="565"/>
      <c r="AD21" s="565"/>
      <c r="AE21" s="565"/>
      <c r="AF21" s="565">
        <f>$F21*IF(ISNA(VLOOKUP($B21&amp;"; "&amp;$G$14,'FE Déchets'!$G:$U,11,FALSE)+VLOOKUP($B21&amp;"; "&amp;$G$14,'FE Déchets'!$G:$U,12,FALSE)),0,
VLOOKUP($B21&amp;"; "&amp;$G$14,'FE Déchets'!$G:$U,11,FALSE)+VLOOKUP($B21&amp;"; "&amp;$G$14,'FE Déchets'!$G:$U,12,FALSE))</f>
        <v>0</v>
      </c>
      <c r="AG21" s="565"/>
      <c r="AH21" s="565"/>
      <c r="AI21" s="565"/>
      <c r="AJ21" s="565">
        <f>$F21*IF(ISNA(VLOOKUP($B21&amp;"; "&amp;$G$14,'FE Déchets'!$G:$U,13,FALSE)),0,VLOOKUP($B21&amp;"; "&amp;$G$14,'FE Déchets'!$G:$U,13,FALSE))</f>
        <v>0</v>
      </c>
      <c r="AK21" s="565"/>
      <c r="AL21" s="565"/>
      <c r="AM21" s="565"/>
      <c r="AN21" s="565">
        <f>$F21*IF(ISNA(VLOOKUP($B21&amp;"; "&amp;$G$14,'FE Déchets'!$G:$U,14,FALSE)),0,VLOOKUP($B21&amp;"; "&amp;$G$14,'FE Déchets'!$G:$U,14,FALSE))</f>
        <v>0</v>
      </c>
      <c r="AO21" s="565"/>
      <c r="AP21" s="565"/>
      <c r="AQ21" s="566"/>
      <c r="AR21" s="566">
        <f t="shared" ref="AR21" si="9">SUM(AB21,AF21,AJ21,AN21)</f>
        <v>10350</v>
      </c>
      <c r="AS21" s="566"/>
      <c r="AT21" s="566"/>
      <c r="AU21" s="564"/>
      <c r="AV21" s="565">
        <f>$F21*IF(ISNA(VLOOKUP($B21&amp;"; "&amp;$G$14,'FE Déchets'!$G:$U,15,FALSE)),0,VLOOKUP($B21&amp;"; "&amp;$G$14,'FE Déchets'!$G:$U,15,FALSE))</f>
        <v>0</v>
      </c>
      <c r="AW21" s="565"/>
      <c r="AX21" s="568"/>
      <c r="AZ21" s="2364">
        <f>IF($R21&lt;&gt;"votre valeur :",IF(ISNA(VLOOKUP($R21,Utilitaires!$N$566:$O$571,2,FALSE)),,VLOOKUP($R21,Utilitaires!$N$566:$O$571,2,FALSE)),$S21)</f>
        <v>0</v>
      </c>
      <c r="BA21" s="1130">
        <f>IF(ISNA(SQRT(SUMSQ(VLOOKUP($B21&amp;"; "&amp;$G$14,'FE Déchets'!$G:$U,7,FALSE),$AZ21))),0,SQRT(SUMSQ(VLOOKUP($B21&amp;"; "&amp;$G$14,'FE Déchets'!$G:$U,7,FALSE),$AZ21)))</f>
        <v>0.2</v>
      </c>
      <c r="BB21" s="2128"/>
      <c r="BC21" s="2128"/>
    </row>
    <row r="22" spans="2:55" outlineLevel="2">
      <c r="B22" s="389" t="s">
        <v>4957</v>
      </c>
      <c r="C22" s="341"/>
      <c r="D22" s="212">
        <f>O22</f>
        <v>0</v>
      </c>
      <c r="E22" s="212"/>
      <c r="F22" s="2389"/>
      <c r="G22" s="219"/>
      <c r="H22" s="2385"/>
      <c r="I22" s="219"/>
      <c r="J22" s="219">
        <f>IF(ISNA(VLOOKUP($B22&amp;"; "&amp;$G$14,'FE Déchets'!$G:$U,9,FALSE)), 0, VLOOKUP($B22&amp;"; "&amp;$G$14,'FE Déchets'!$G:$U,9,FALSE))</f>
        <v>69</v>
      </c>
      <c r="K22" s="151"/>
      <c r="L22" s="151"/>
      <c r="M22" s="151"/>
      <c r="N22" s="151"/>
      <c r="O22" s="152">
        <f>F22*J22</f>
        <v>0</v>
      </c>
      <c r="Q22" s="226">
        <f>IF(X22=0,X22,X22/O22)</f>
        <v>0</v>
      </c>
      <c r="R22" s="2389"/>
      <c r="S22" s="820"/>
      <c r="T22" s="164"/>
      <c r="U22" s="164"/>
      <c r="V22" s="164"/>
      <c r="W22" s="164"/>
      <c r="X22" s="152">
        <f>F22*J22*BA22</f>
        <v>0</v>
      </c>
      <c r="Y22" s="114"/>
      <c r="Z22" s="114"/>
      <c r="AA22" s="564"/>
      <c r="AB22" s="565">
        <f>$F22*IF(ISNA(VLOOKUP($B22&amp;"; "&amp;$G$14,'FE Déchets'!$G:$U,10,FALSE)),0,VLOOKUP($B22&amp;"; "&amp;$G$14,'FE Déchets'!$G:$U,10,FALSE))</f>
        <v>0</v>
      </c>
      <c r="AC22" s="565"/>
      <c r="AD22" s="565"/>
      <c r="AE22" s="565"/>
      <c r="AF22" s="565">
        <f>$F22*IF(ISNA(VLOOKUP($B22&amp;"; "&amp;$G$14,'FE Déchets'!$G:$U,11,FALSE)+VLOOKUP($B22&amp;"; "&amp;$G$14,'FE Déchets'!$G:$U,12,FALSE)),0,
VLOOKUP($B22&amp;"; "&amp;$G$14,'FE Déchets'!$G:$U,11,FALSE)+VLOOKUP($B22&amp;"; "&amp;$G$14,'FE Déchets'!$G:$U,12,FALSE))</f>
        <v>0</v>
      </c>
      <c r="AG22" s="565"/>
      <c r="AH22" s="565"/>
      <c r="AI22" s="565"/>
      <c r="AJ22" s="565">
        <f>$F22*IF(ISNA(VLOOKUP($B22&amp;"; "&amp;$G$14,'FE Déchets'!$G:$U,13,FALSE)),0,VLOOKUP($B22&amp;"; "&amp;$G$14,'FE Déchets'!$G:$U,13,FALSE))</f>
        <v>0</v>
      </c>
      <c r="AK22" s="565"/>
      <c r="AL22" s="565"/>
      <c r="AM22" s="565"/>
      <c r="AN22" s="565">
        <f>$F22*IF(ISNA(VLOOKUP($B22&amp;"; "&amp;$G$14,'FE Déchets'!$G:$U,14,FALSE)),0,VLOOKUP($B22&amp;"; "&amp;$G$14,'FE Déchets'!$G:$U,14,FALSE))</f>
        <v>0</v>
      </c>
      <c r="AO22" s="565"/>
      <c r="AP22" s="565"/>
      <c r="AQ22" s="566"/>
      <c r="AR22" s="566">
        <f>SUM(AB22,AF22,AJ22,AN22)</f>
        <v>0</v>
      </c>
      <c r="AS22" s="566"/>
      <c r="AT22" s="566"/>
      <c r="AU22" s="564"/>
      <c r="AV22" s="565">
        <f>$F22*IF(ISNA(VLOOKUP($B22&amp;"; "&amp;$G$14,'FE Déchets'!$G:$U,15,FALSE)),0,VLOOKUP($B22&amp;"; "&amp;$G$14,'FE Déchets'!$G:$U,15,FALSE))</f>
        <v>0</v>
      </c>
      <c r="AW22" s="565"/>
      <c r="AX22" s="568"/>
      <c r="AZ22" s="2364">
        <f>IF($R22&lt;&gt;"votre valeur :",IF(ISNA(VLOOKUP($R22,Utilitaires!$N$566:$O$571,2,FALSE)),,VLOOKUP($R22,Utilitaires!$N$566:$O$571,2,FALSE)),$S22)</f>
        <v>0</v>
      </c>
      <c r="BA22" s="1130">
        <f>IF(ISNA(SQRT(SUMSQ(VLOOKUP($B22&amp;"; "&amp;$G$14,'FE Déchets'!$G:$U,7,FALSE),$AZ22))),0,SQRT(SUMSQ(VLOOKUP($B22&amp;"; "&amp;$G$14,'FE Déchets'!$G:$U,7,FALSE),$AZ22)))</f>
        <v>0.2</v>
      </c>
      <c r="BB22" s="2128"/>
      <c r="BC22" s="2128"/>
    </row>
    <row r="23" spans="2:55" outlineLevel="2">
      <c r="B23" s="389" t="s">
        <v>4958</v>
      </c>
      <c r="C23" s="341"/>
      <c r="D23" s="212">
        <f t="shared" ref="D23:D25" si="10">O23</f>
        <v>0</v>
      </c>
      <c r="E23" s="212"/>
      <c r="F23" s="2389"/>
      <c r="G23" s="219"/>
      <c r="H23" s="2385"/>
      <c r="I23" s="219"/>
      <c r="J23" s="219">
        <f>IF(ISNA(VLOOKUP($B23&amp;"; "&amp;$G$14,'FE Déchets'!$G:$U,9,FALSE)), 0, VLOOKUP($B23&amp;"; "&amp;$G$14,'FE Déchets'!$G:$U,9,FALSE))</f>
        <v>714</v>
      </c>
      <c r="K23" s="151"/>
      <c r="L23" s="151"/>
      <c r="M23" s="151"/>
      <c r="N23" s="151"/>
      <c r="O23" s="152">
        <f t="shared" ref="O23:O25" si="11">F23*J23</f>
        <v>0</v>
      </c>
      <c r="Q23" s="226">
        <f t="shared" ref="Q23:Q25" si="12">IF(X23=0,X23,X23/O23)</f>
        <v>0</v>
      </c>
      <c r="R23" s="2389"/>
      <c r="S23" s="820"/>
      <c r="T23" s="164"/>
      <c r="U23" s="164"/>
      <c r="V23" s="164"/>
      <c r="W23" s="164"/>
      <c r="X23" s="152">
        <f t="shared" ref="X23:X25" si="13">F23*J23*BA23</f>
        <v>0</v>
      </c>
      <c r="Y23" s="114"/>
      <c r="Z23" s="114"/>
      <c r="AA23" s="564"/>
      <c r="AB23" s="565">
        <f>$F23*IF(ISNA(VLOOKUP($B23&amp;"; "&amp;$G$14,'FE Déchets'!$G:$U,10,FALSE)),0,VLOOKUP($B23&amp;"; "&amp;$G$14,'FE Déchets'!$G:$U,10,FALSE))</f>
        <v>0</v>
      </c>
      <c r="AC23" s="565"/>
      <c r="AD23" s="565"/>
      <c r="AE23" s="565"/>
      <c r="AF23" s="565">
        <f>$F23*IF(ISNA(VLOOKUP($B23&amp;"; "&amp;$G$14,'FE Déchets'!$G:$U,11,FALSE)+VLOOKUP($B23&amp;"; "&amp;$G$14,'FE Déchets'!$G:$U,12,FALSE)),0,
VLOOKUP($B23&amp;"; "&amp;$G$14,'FE Déchets'!$G:$U,11,FALSE)+VLOOKUP($B23&amp;"; "&amp;$G$14,'FE Déchets'!$G:$U,12,FALSE))</f>
        <v>0</v>
      </c>
      <c r="AG23" s="565"/>
      <c r="AH23" s="565"/>
      <c r="AI23" s="565"/>
      <c r="AJ23" s="565">
        <f>$F23*IF(ISNA(VLOOKUP($B23&amp;"; "&amp;$G$14,'FE Déchets'!$G:$U,13,FALSE)),0,VLOOKUP($B23&amp;"; "&amp;$G$14,'FE Déchets'!$G:$U,13,FALSE))</f>
        <v>0</v>
      </c>
      <c r="AK23" s="565"/>
      <c r="AL23" s="565"/>
      <c r="AM23" s="565"/>
      <c r="AN23" s="565">
        <f>$F23*IF(ISNA(VLOOKUP($B23&amp;"; "&amp;$G$14,'FE Déchets'!$G:$U,14,FALSE)),0,VLOOKUP($B23&amp;"; "&amp;$G$14,'FE Déchets'!$G:$U,14,FALSE))</f>
        <v>0</v>
      </c>
      <c r="AO23" s="565"/>
      <c r="AP23" s="565"/>
      <c r="AQ23" s="566"/>
      <c r="AR23" s="566">
        <f t="shared" ref="AR23:AR25" si="14">SUM(AB23,AF23,AJ23,AN23)</f>
        <v>0</v>
      </c>
      <c r="AS23" s="566"/>
      <c r="AT23" s="566"/>
      <c r="AU23" s="564"/>
      <c r="AV23" s="565">
        <f>$F23*IF(ISNA(VLOOKUP($B23&amp;"; "&amp;$G$14,'FE Déchets'!$G:$U,15,FALSE)),0,VLOOKUP($B23&amp;"; "&amp;$G$14,'FE Déchets'!$G:$U,15,FALSE))</f>
        <v>0</v>
      </c>
      <c r="AW23" s="565"/>
      <c r="AX23" s="568"/>
      <c r="AZ23" s="2364">
        <f>IF($R23&lt;&gt;"votre valeur :",IF(ISNA(VLOOKUP($R23,Utilitaires!$N$566:$O$571,2,FALSE)),,VLOOKUP($R23,Utilitaires!$N$566:$O$571,2,FALSE)),$S23)</f>
        <v>0</v>
      </c>
      <c r="BA23" s="1130">
        <f>IF(ISNA(SQRT(SUMSQ(VLOOKUP($B23&amp;"; "&amp;$G$14,'FE Déchets'!$G:$U,7,FALSE),$AZ23))),0,SQRT(SUMSQ(VLOOKUP($B23&amp;"; "&amp;$G$14,'FE Déchets'!$G:$U,7,FALSE),$AZ23)))</f>
        <v>0.2</v>
      </c>
      <c r="BB23" s="2128"/>
      <c r="BC23" s="2128"/>
    </row>
    <row r="24" spans="2:55" outlineLevel="2">
      <c r="B24" s="389" t="s">
        <v>4959</v>
      </c>
      <c r="C24" s="341"/>
      <c r="D24" s="212">
        <f t="shared" si="10"/>
        <v>0</v>
      </c>
      <c r="E24" s="212"/>
      <c r="F24" s="2389"/>
      <c r="G24" s="219"/>
      <c r="H24" s="2385"/>
      <c r="I24" s="219"/>
      <c r="J24" s="219">
        <f>IF(ISNA(VLOOKUP($B24&amp;"; "&amp;$G$14,'FE Déchets'!$G:$U,9,FALSE)), 0, VLOOKUP($B24&amp;"; "&amp;$G$14,'FE Déchets'!$G:$U,9,FALSE))</f>
        <v>737</v>
      </c>
      <c r="K24" s="151"/>
      <c r="L24" s="151"/>
      <c r="M24" s="151"/>
      <c r="N24" s="151"/>
      <c r="O24" s="152">
        <f t="shared" si="11"/>
        <v>0</v>
      </c>
      <c r="Q24" s="226">
        <f t="shared" si="12"/>
        <v>0</v>
      </c>
      <c r="R24" s="2389"/>
      <c r="S24" s="820"/>
      <c r="T24" s="164"/>
      <c r="U24" s="164"/>
      <c r="V24" s="164"/>
      <c r="W24" s="164"/>
      <c r="X24" s="152">
        <f t="shared" si="13"/>
        <v>0</v>
      </c>
      <c r="Y24" s="114"/>
      <c r="Z24" s="114"/>
      <c r="AA24" s="564"/>
      <c r="AB24" s="565">
        <f>$F24*IF(ISNA(VLOOKUP($B24&amp;"; "&amp;$G$14,'FE Déchets'!$G:$U,10,FALSE)),0,VLOOKUP($B24&amp;"; "&amp;$G$14,'FE Déchets'!$G:$U,10,FALSE))</f>
        <v>0</v>
      </c>
      <c r="AC24" s="565"/>
      <c r="AD24" s="565"/>
      <c r="AE24" s="565"/>
      <c r="AF24" s="565">
        <f>$F24*IF(ISNA(VLOOKUP($B24&amp;"; "&amp;$G$14,'FE Déchets'!$G:$U,11,FALSE)+VLOOKUP($B24&amp;"; "&amp;$G$14,'FE Déchets'!$G:$U,12,FALSE)),0,
VLOOKUP($B24&amp;"; "&amp;$G$14,'FE Déchets'!$G:$U,11,FALSE)+VLOOKUP($B24&amp;"; "&amp;$G$14,'FE Déchets'!$G:$U,12,FALSE))</f>
        <v>0</v>
      </c>
      <c r="AG24" s="565"/>
      <c r="AH24" s="565"/>
      <c r="AI24" s="565"/>
      <c r="AJ24" s="565">
        <f>$F24*IF(ISNA(VLOOKUP($B24&amp;"; "&amp;$G$14,'FE Déchets'!$G:$U,13,FALSE)),0,VLOOKUP($B24&amp;"; "&amp;$G$14,'FE Déchets'!$G:$U,13,FALSE))</f>
        <v>0</v>
      </c>
      <c r="AK24" s="565"/>
      <c r="AL24" s="565"/>
      <c r="AM24" s="565"/>
      <c r="AN24" s="565">
        <f>$F24*IF(ISNA(VLOOKUP($B24&amp;"; "&amp;$G$14,'FE Déchets'!$G:$U,14,FALSE)),0,VLOOKUP($B24&amp;"; "&amp;$G$14,'FE Déchets'!$G:$U,14,FALSE))</f>
        <v>0</v>
      </c>
      <c r="AO24" s="565"/>
      <c r="AP24" s="565"/>
      <c r="AQ24" s="566"/>
      <c r="AR24" s="566">
        <f t="shared" si="14"/>
        <v>0</v>
      </c>
      <c r="AS24" s="566"/>
      <c r="AT24" s="566"/>
      <c r="AU24" s="564"/>
      <c r="AV24" s="565">
        <f>$F24*IF(ISNA(VLOOKUP($B24&amp;"; "&amp;$G$14,'FE Déchets'!$G:$U,15,FALSE)),0,VLOOKUP($B24&amp;"; "&amp;$G$14,'FE Déchets'!$G:$U,15,FALSE))</f>
        <v>0</v>
      </c>
      <c r="AW24" s="565"/>
      <c r="AX24" s="568"/>
      <c r="AZ24" s="2364">
        <f>IF($R24&lt;&gt;"votre valeur :",IF(ISNA(VLOOKUP($R24,Utilitaires!$N$566:$O$571,2,FALSE)),,VLOOKUP($R24,Utilitaires!$N$566:$O$571,2,FALSE)),$S24)</f>
        <v>0</v>
      </c>
      <c r="BA24" s="1130">
        <f>IF(ISNA(SQRT(SUMSQ(VLOOKUP($B24&amp;"; "&amp;$G$14,'FE Déchets'!$G:$U,7,FALSE),$AZ24))),0,SQRT(SUMSQ(VLOOKUP($B24&amp;"; "&amp;$G$14,'FE Déchets'!$G:$U,7,FALSE),$AZ24)))</f>
        <v>0.2</v>
      </c>
      <c r="BB24" s="2128"/>
      <c r="BC24" s="2128"/>
    </row>
    <row r="25" spans="2:55" outlineLevel="2">
      <c r="B25" s="389" t="s">
        <v>4960</v>
      </c>
      <c r="C25" s="341"/>
      <c r="D25" s="212">
        <f t="shared" si="10"/>
        <v>0</v>
      </c>
      <c r="E25" s="212"/>
      <c r="F25" s="2390"/>
      <c r="G25" s="219"/>
      <c r="H25" s="2385"/>
      <c r="I25" s="219"/>
      <c r="J25" s="219">
        <f>IF(ISNA(VLOOKUP($B25&amp;"; "&amp;$G$14,'FE Déchets'!$G:$U,9,FALSE)), 0, VLOOKUP($B25&amp;"; "&amp;$G$14,'FE Déchets'!$G:$U,9,FALSE))</f>
        <v>992</v>
      </c>
      <c r="K25" s="151"/>
      <c r="L25" s="151"/>
      <c r="M25" s="151"/>
      <c r="N25" s="151"/>
      <c r="O25" s="152">
        <f t="shared" si="11"/>
        <v>0</v>
      </c>
      <c r="Q25" s="226">
        <f t="shared" si="12"/>
        <v>0</v>
      </c>
      <c r="R25" s="2390"/>
      <c r="S25" s="820"/>
      <c r="T25" s="164"/>
      <c r="U25" s="164"/>
      <c r="V25" s="164"/>
      <c r="W25" s="164"/>
      <c r="X25" s="152">
        <f t="shared" si="13"/>
        <v>0</v>
      </c>
      <c r="Y25" s="114"/>
      <c r="Z25" s="114"/>
      <c r="AA25" s="564"/>
      <c r="AB25" s="565">
        <f>$F25*IF(ISNA(VLOOKUP($B25&amp;"; "&amp;$G$14,'FE Déchets'!$G:$U,10,FALSE)),0,VLOOKUP($B25&amp;"; "&amp;$G$14,'FE Déchets'!$G:$U,10,FALSE))</f>
        <v>0</v>
      </c>
      <c r="AC25" s="565"/>
      <c r="AD25" s="565"/>
      <c r="AE25" s="565"/>
      <c r="AF25" s="565">
        <f>$F25*IF(ISNA(VLOOKUP($B25&amp;"; "&amp;$G$14,'FE Déchets'!$G:$U,11,FALSE)+VLOOKUP($B25&amp;"; "&amp;$G$14,'FE Déchets'!$G:$U,12,FALSE)),0,
VLOOKUP($B25&amp;"; "&amp;$G$14,'FE Déchets'!$G:$U,11,FALSE)+VLOOKUP($B25&amp;"; "&amp;$G$14,'FE Déchets'!$G:$U,12,FALSE))</f>
        <v>0</v>
      </c>
      <c r="AG25" s="565"/>
      <c r="AH25" s="565"/>
      <c r="AI25" s="565"/>
      <c r="AJ25" s="565">
        <f>$F25*IF(ISNA(VLOOKUP($B25&amp;"; "&amp;$G$14,'FE Déchets'!$G:$U,13,FALSE)),0,VLOOKUP($B25&amp;"; "&amp;$G$14,'FE Déchets'!$G:$U,13,FALSE))</f>
        <v>0</v>
      </c>
      <c r="AK25" s="565"/>
      <c r="AL25" s="565"/>
      <c r="AM25" s="565"/>
      <c r="AN25" s="565">
        <f>$F25*IF(ISNA(VLOOKUP($B25&amp;"; "&amp;$G$14,'FE Déchets'!$G:$U,14,FALSE)),0,VLOOKUP($B25&amp;"; "&amp;$G$14,'FE Déchets'!$G:$U,14,FALSE))</f>
        <v>0</v>
      </c>
      <c r="AO25" s="565"/>
      <c r="AP25" s="565"/>
      <c r="AQ25" s="566"/>
      <c r="AR25" s="566">
        <f t="shared" si="14"/>
        <v>0</v>
      </c>
      <c r="AS25" s="566"/>
      <c r="AT25" s="566"/>
      <c r="AU25" s="564"/>
      <c r="AV25" s="565">
        <f>$F25*IF(ISNA(VLOOKUP($B25&amp;"; "&amp;$G$14,'FE Déchets'!$G:$U,15,FALSE)),0,VLOOKUP($B25&amp;"; "&amp;$G$14,'FE Déchets'!$G:$U,15,FALSE))</f>
        <v>0</v>
      </c>
      <c r="AW25" s="565"/>
      <c r="AX25" s="568"/>
      <c r="AZ25" s="2364">
        <f>IF($R25&lt;&gt;"votre valeur :",IF(ISNA(VLOOKUP($R25,Utilitaires!$N$566:$O$571,2,FALSE)),,VLOOKUP($R25,Utilitaires!$N$566:$O$571,2,FALSE)),$S25)</f>
        <v>0</v>
      </c>
      <c r="BA25" s="1130">
        <f>IF(ISNA(SQRT(SUMSQ(VLOOKUP($B25&amp;"; "&amp;$G$14,'FE Déchets'!$G:$U,7,FALSE),$AZ25))),0,SQRT(SUMSQ(VLOOKUP($B25&amp;"; "&amp;$G$14,'FE Déchets'!$G:$U,7,FALSE),$AZ25)))</f>
        <v>0.2</v>
      </c>
      <c r="BB25" s="2128"/>
      <c r="BC25" s="2128"/>
    </row>
    <row r="26" spans="2:55" outlineLevel="2">
      <c r="B26" s="389"/>
      <c r="C26" s="341"/>
      <c r="D26" s="212"/>
      <c r="E26" s="212"/>
      <c r="F26" s="177"/>
      <c r="G26" s="219"/>
      <c r="H26" s="2385"/>
      <c r="I26" s="219"/>
      <c r="J26" s="219"/>
      <c r="K26" s="151"/>
      <c r="L26" s="151"/>
      <c r="M26" s="151"/>
      <c r="N26" s="151"/>
      <c r="O26" s="152"/>
      <c r="Q26" s="226"/>
      <c r="R26" s="177"/>
      <c r="S26" s="820"/>
      <c r="T26" s="164"/>
      <c r="U26" s="164"/>
      <c r="V26" s="164"/>
      <c r="W26" s="164"/>
      <c r="X26" s="152"/>
      <c r="Y26" s="114"/>
      <c r="Z26" s="114"/>
      <c r="AA26" s="564"/>
      <c r="AB26" s="565"/>
      <c r="AC26" s="565"/>
      <c r="AD26" s="565"/>
      <c r="AE26" s="565"/>
      <c r="AF26" s="565"/>
      <c r="AG26" s="565"/>
      <c r="AH26" s="565"/>
      <c r="AI26" s="565"/>
      <c r="AJ26" s="565"/>
      <c r="AK26" s="565"/>
      <c r="AL26" s="565"/>
      <c r="AM26" s="565"/>
      <c r="AN26" s="565"/>
      <c r="AO26" s="565"/>
      <c r="AP26" s="565"/>
      <c r="AQ26" s="566"/>
      <c r="AR26" s="566"/>
      <c r="AS26" s="566"/>
      <c r="AT26" s="566"/>
      <c r="AU26" s="564"/>
      <c r="AV26" s="565"/>
      <c r="AW26" s="565"/>
      <c r="AX26" s="568"/>
      <c r="AZ26" s="2364"/>
      <c r="BA26" s="1130"/>
      <c r="BB26" s="2128"/>
      <c r="BC26" s="2128"/>
    </row>
    <row r="27" spans="2:55" outlineLevel="2">
      <c r="B27" s="2386" t="s">
        <v>3</v>
      </c>
      <c r="C27" s="341"/>
      <c r="D27" s="212"/>
      <c r="E27" s="212"/>
      <c r="F27" s="177"/>
      <c r="G27" s="219"/>
      <c r="H27" s="2385"/>
      <c r="I27" s="219"/>
      <c r="J27" s="219"/>
      <c r="K27" s="151"/>
      <c r="L27" s="151"/>
      <c r="M27" s="151"/>
      <c r="N27" s="151"/>
      <c r="O27" s="152"/>
      <c r="Q27" s="226"/>
      <c r="R27" s="177"/>
      <c r="S27" s="820"/>
      <c r="T27" s="164"/>
      <c r="U27" s="164"/>
      <c r="V27" s="164"/>
      <c r="W27" s="164"/>
      <c r="X27" s="152"/>
      <c r="Y27" s="114"/>
      <c r="Z27" s="114"/>
      <c r="AA27" s="564"/>
      <c r="AB27" s="565"/>
      <c r="AC27" s="565"/>
      <c r="AD27" s="565"/>
      <c r="AE27" s="565"/>
      <c r="AF27" s="565"/>
      <c r="AG27" s="565"/>
      <c r="AH27" s="565"/>
      <c r="AI27" s="565"/>
      <c r="AJ27" s="565"/>
      <c r="AK27" s="565"/>
      <c r="AL27" s="565"/>
      <c r="AM27" s="565"/>
      <c r="AN27" s="565"/>
      <c r="AO27" s="565"/>
      <c r="AP27" s="565"/>
      <c r="AQ27" s="566"/>
      <c r="AR27" s="566"/>
      <c r="AS27" s="566"/>
      <c r="AT27" s="566"/>
      <c r="AU27" s="564"/>
      <c r="AV27" s="565"/>
      <c r="AW27" s="565"/>
      <c r="AX27" s="568"/>
      <c r="AZ27" s="2364"/>
      <c r="BA27" s="1130"/>
      <c r="BB27" s="2128"/>
      <c r="BC27" s="2128"/>
    </row>
    <row r="28" spans="2:55" outlineLevel="2">
      <c r="B28" s="389" t="s">
        <v>4961</v>
      </c>
      <c r="C28" s="341"/>
      <c r="D28" s="212">
        <f t="shared" ref="D28" si="15">O28</f>
        <v>328</v>
      </c>
      <c r="E28" s="212"/>
      <c r="F28" s="2388">
        <v>8</v>
      </c>
      <c r="G28" s="219"/>
      <c r="H28" s="2385"/>
      <c r="I28" s="219"/>
      <c r="J28" s="219">
        <f>IF(ISNA(VLOOKUP($B28&amp;"; "&amp;$G$14,'FE Déchets'!$G:$U,9,FALSE)), 0, VLOOKUP($B28&amp;"; "&amp;$G$14,'FE Déchets'!$G:$U,9,FALSE))</f>
        <v>41</v>
      </c>
      <c r="K28" s="151"/>
      <c r="L28" s="151"/>
      <c r="M28" s="151"/>
      <c r="N28" s="151"/>
      <c r="O28" s="152">
        <f t="shared" ref="O28" si="16">F28*J28</f>
        <v>328</v>
      </c>
      <c r="Q28" s="226">
        <f t="shared" ref="Q28" si="17">IF(X28=0,X28,X28/O28)</f>
        <v>0.20000000000000004</v>
      </c>
      <c r="R28" s="2388"/>
      <c r="S28" s="820"/>
      <c r="T28" s="164"/>
      <c r="U28" s="164"/>
      <c r="V28" s="164"/>
      <c r="W28" s="164"/>
      <c r="X28" s="152">
        <f t="shared" ref="X28" si="18">F28*J28*BA28</f>
        <v>65.600000000000009</v>
      </c>
      <c r="Y28" s="114"/>
      <c r="Z28" s="114"/>
      <c r="AA28" s="564"/>
      <c r="AB28" s="565">
        <f>$F28*IF(ISNA(VLOOKUP($B28&amp;"; "&amp;$G$14,'FE Déchets'!$G:$U,10,FALSE)),0,VLOOKUP($B28&amp;"; "&amp;$G$14,'FE Déchets'!$G:$U,10,FALSE))</f>
        <v>328</v>
      </c>
      <c r="AC28" s="565"/>
      <c r="AD28" s="565"/>
      <c r="AE28" s="565"/>
      <c r="AF28" s="565">
        <f>$F28*IF(ISNA(VLOOKUP($B28&amp;"; "&amp;$G$14,'FE Déchets'!$G:$U,11,FALSE)+VLOOKUP($B28&amp;"; "&amp;$G$14,'FE Déchets'!$G:$U,12,FALSE)),0,
VLOOKUP($B28&amp;"; "&amp;$G$14,'FE Déchets'!$G:$U,11,FALSE)+VLOOKUP($B28&amp;"; "&amp;$G$14,'FE Déchets'!$G:$U,12,FALSE))</f>
        <v>0</v>
      </c>
      <c r="AG28" s="565"/>
      <c r="AH28" s="565"/>
      <c r="AI28" s="565"/>
      <c r="AJ28" s="565">
        <f>$F28*IF(ISNA(VLOOKUP($B28&amp;"; "&amp;$G$14,'FE Déchets'!$G:$U,13,FALSE)),0,VLOOKUP($B28&amp;"; "&amp;$G$14,'FE Déchets'!$G:$U,13,FALSE))</f>
        <v>0</v>
      </c>
      <c r="AK28" s="565"/>
      <c r="AL28" s="565"/>
      <c r="AM28" s="565"/>
      <c r="AN28" s="565">
        <f>$F28*IF(ISNA(VLOOKUP($B28&amp;"; "&amp;$G$14,'FE Déchets'!$G:$U,14,FALSE)),0,VLOOKUP($B28&amp;"; "&amp;$G$14,'FE Déchets'!$G:$U,14,FALSE))</f>
        <v>0</v>
      </c>
      <c r="AO28" s="565"/>
      <c r="AP28" s="565"/>
      <c r="AQ28" s="566"/>
      <c r="AR28" s="566">
        <f t="shared" ref="AR28" si="19">SUM(AB28,AF28,AJ28,AN28)</f>
        <v>328</v>
      </c>
      <c r="AS28" s="566"/>
      <c r="AT28" s="566"/>
      <c r="AU28" s="564"/>
      <c r="AV28" s="565">
        <f>$F28*IF(ISNA(VLOOKUP($B28&amp;"; "&amp;$G$14,'FE Déchets'!$G:$U,15,FALSE)),0,VLOOKUP($B28&amp;"; "&amp;$G$14,'FE Déchets'!$G:$U,15,FALSE))</f>
        <v>0</v>
      </c>
      <c r="AW28" s="565"/>
      <c r="AX28" s="568"/>
      <c r="AZ28" s="2364">
        <f>IF($R28&lt;&gt;"votre valeur :",IF(ISNA(VLOOKUP($R28,Utilitaires!$N$566:$O$571,2,FALSE)),,VLOOKUP($R28,Utilitaires!$N$566:$O$571,2,FALSE)),$S28)</f>
        <v>0</v>
      </c>
      <c r="BA28" s="1130">
        <f>IF(ISNA(SQRT(SUMSQ(VLOOKUP($B28&amp;"; "&amp;$G$14,'FE Déchets'!$G:$U,7,FALSE),$AZ28))),0,SQRT(SUMSQ(VLOOKUP($B28&amp;"; "&amp;$G$14,'FE Déchets'!$G:$U,7,FALSE),$AZ28)))</f>
        <v>0.2</v>
      </c>
      <c r="BB28" s="2128"/>
      <c r="BC28" s="2128"/>
    </row>
    <row r="29" spans="2:55" outlineLevel="2">
      <c r="B29" s="389" t="s">
        <v>4964</v>
      </c>
      <c r="C29" s="341"/>
      <c r="D29" s="212">
        <f>O29</f>
        <v>41</v>
      </c>
      <c r="E29" s="212"/>
      <c r="F29" s="2389">
        <v>1</v>
      </c>
      <c r="G29" s="219"/>
      <c r="H29" s="2385"/>
      <c r="I29" s="219"/>
      <c r="J29" s="219">
        <f>IF(ISNA(VLOOKUP($B29&amp;"; "&amp;$G$14,'FE Déchets'!$G:$U,9,FALSE)), 0, VLOOKUP($B29&amp;"; "&amp;$G$14,'FE Déchets'!$G:$U,9,FALSE))</f>
        <v>41</v>
      </c>
      <c r="K29" s="151"/>
      <c r="L29" s="151"/>
      <c r="M29" s="151"/>
      <c r="N29" s="151"/>
      <c r="O29" s="152">
        <f>F29*J29</f>
        <v>41</v>
      </c>
      <c r="Q29" s="226">
        <f>IF(X29=0,X29,X29/O29)</f>
        <v>0.20000000000000004</v>
      </c>
      <c r="R29" s="2389"/>
      <c r="S29" s="820"/>
      <c r="T29" s="164"/>
      <c r="U29" s="164"/>
      <c r="V29" s="164"/>
      <c r="W29" s="164"/>
      <c r="X29" s="152">
        <f>F29*J29*BA29</f>
        <v>8.2000000000000011</v>
      </c>
      <c r="Y29" s="114"/>
      <c r="Z29" s="114"/>
      <c r="AA29" s="564"/>
      <c r="AB29" s="565">
        <f>$F29*IF(ISNA(VLOOKUP($B29&amp;"; "&amp;$G$14,'FE Déchets'!$G:$U,10,FALSE)),0,VLOOKUP($B29&amp;"; "&amp;$G$14,'FE Déchets'!$G:$U,10,FALSE))</f>
        <v>41</v>
      </c>
      <c r="AC29" s="565"/>
      <c r="AD29" s="565"/>
      <c r="AE29" s="565"/>
      <c r="AF29" s="565">
        <f>$F29*IF(ISNA(VLOOKUP($B29&amp;"; "&amp;$G$14,'FE Déchets'!$G:$U,11,FALSE)+VLOOKUP($B29&amp;"; "&amp;$G$14,'FE Déchets'!$G:$U,12,FALSE)),0,
VLOOKUP($B29&amp;"; "&amp;$G$14,'FE Déchets'!$G:$U,11,FALSE)+VLOOKUP($B29&amp;"; "&amp;$G$14,'FE Déchets'!$G:$U,12,FALSE))</f>
        <v>0</v>
      </c>
      <c r="AG29" s="565"/>
      <c r="AH29" s="565"/>
      <c r="AI29" s="565"/>
      <c r="AJ29" s="565">
        <f>$F29*IF(ISNA(VLOOKUP($B29&amp;"; "&amp;$G$14,'FE Déchets'!$G:$U,13,FALSE)),0,VLOOKUP($B29&amp;"; "&amp;$G$14,'FE Déchets'!$G:$U,13,FALSE))</f>
        <v>0</v>
      </c>
      <c r="AK29" s="565"/>
      <c r="AL29" s="565"/>
      <c r="AM29" s="565"/>
      <c r="AN29" s="565">
        <f>$F29*IF(ISNA(VLOOKUP($B29&amp;"; "&amp;$G$14,'FE Déchets'!$G:$U,14,FALSE)),0,VLOOKUP($B29&amp;"; "&amp;$G$14,'FE Déchets'!$G:$U,14,FALSE))</f>
        <v>0</v>
      </c>
      <c r="AO29" s="565"/>
      <c r="AP29" s="565"/>
      <c r="AQ29" s="566"/>
      <c r="AR29" s="566">
        <f>SUM(AB29,AF29,AJ29,AN29)</f>
        <v>41</v>
      </c>
      <c r="AS29" s="566"/>
      <c r="AT29" s="566"/>
      <c r="AU29" s="564"/>
      <c r="AV29" s="565">
        <f>$F29*IF(ISNA(VLOOKUP($B29&amp;"; "&amp;$G$14,'FE Déchets'!$G:$U,15,FALSE)),0,VLOOKUP($B29&amp;"; "&amp;$G$14,'FE Déchets'!$G:$U,15,FALSE))</f>
        <v>0</v>
      </c>
      <c r="AW29" s="565"/>
      <c r="AX29" s="568"/>
      <c r="AZ29" s="2364">
        <f>IF($R29&lt;&gt;"votre valeur :",IF(ISNA(VLOOKUP($R29,Utilitaires!$N$566:$O$571,2,FALSE)),,VLOOKUP($R29,Utilitaires!$N$566:$O$571,2,FALSE)),$S29)</f>
        <v>0</v>
      </c>
      <c r="BA29" s="1130">
        <f>IF(ISNA(SQRT(SUMSQ(VLOOKUP($B29&amp;"; "&amp;$G$14,'FE Déchets'!$G:$U,7,FALSE),$AZ29))),0,SQRT(SUMSQ(VLOOKUP($B29&amp;"; "&amp;$G$14,'FE Déchets'!$G:$U,7,FALSE),$AZ29)))</f>
        <v>0.2</v>
      </c>
      <c r="BB29" s="2128"/>
      <c r="BC29" s="2128"/>
    </row>
    <row r="30" spans="2:55" outlineLevel="2">
      <c r="B30" s="389" t="s">
        <v>4962</v>
      </c>
      <c r="C30" s="341"/>
      <c r="D30" s="212">
        <f t="shared" ref="D30:D32" si="20">O30</f>
        <v>0</v>
      </c>
      <c r="E30" s="212"/>
      <c r="F30" s="2389"/>
      <c r="G30" s="219"/>
      <c r="H30" s="2385"/>
      <c r="I30" s="219"/>
      <c r="J30" s="219">
        <f>IF(ISNA(VLOOKUP($B30&amp;"; "&amp;$G$14,'FE Déchets'!$G:$U,9,FALSE)), 0, VLOOKUP($B30&amp;"; "&amp;$G$14,'FE Déchets'!$G:$U,9,FALSE))</f>
        <v>311</v>
      </c>
      <c r="K30" s="151"/>
      <c r="L30" s="151"/>
      <c r="M30" s="151"/>
      <c r="N30" s="151"/>
      <c r="O30" s="152">
        <f t="shared" ref="O30:O32" si="21">F30*J30</f>
        <v>0</v>
      </c>
      <c r="Q30" s="226">
        <f t="shared" ref="Q30:Q32" si="22">IF(X30=0,X30,X30/O30)</f>
        <v>0</v>
      </c>
      <c r="R30" s="2389"/>
      <c r="S30" s="820"/>
      <c r="T30" s="164"/>
      <c r="U30" s="164"/>
      <c r="V30" s="164"/>
      <c r="W30" s="164"/>
      <c r="X30" s="152">
        <f t="shared" ref="X30:X32" si="23">F30*J30*BA30</f>
        <v>0</v>
      </c>
      <c r="Y30" s="114"/>
      <c r="Z30" s="114"/>
      <c r="AA30" s="564"/>
      <c r="AB30" s="565">
        <f>$F30*IF(ISNA(VLOOKUP($B30&amp;"; "&amp;$G$14,'FE Déchets'!$G:$U,10,FALSE)),0,VLOOKUP($B30&amp;"; "&amp;$G$14,'FE Déchets'!$G:$U,10,FALSE))</f>
        <v>0</v>
      </c>
      <c r="AC30" s="565"/>
      <c r="AD30" s="565"/>
      <c r="AE30" s="565"/>
      <c r="AF30" s="565">
        <f>$F30*IF(ISNA(VLOOKUP($B30&amp;"; "&amp;$G$14,'FE Déchets'!$G:$U,11,FALSE)+VLOOKUP($B30&amp;"; "&amp;$G$14,'FE Déchets'!$G:$U,12,FALSE)),0,
VLOOKUP($B30&amp;"; "&amp;$G$14,'FE Déchets'!$G:$U,11,FALSE)+VLOOKUP($B30&amp;"; "&amp;$G$14,'FE Déchets'!$G:$U,12,FALSE))</f>
        <v>0</v>
      </c>
      <c r="AG30" s="565"/>
      <c r="AH30" s="565"/>
      <c r="AI30" s="565"/>
      <c r="AJ30" s="565">
        <f>$F30*IF(ISNA(VLOOKUP($B30&amp;"; "&amp;$G$14,'FE Déchets'!$G:$U,13,FALSE)),0,VLOOKUP($B30&amp;"; "&amp;$G$14,'FE Déchets'!$G:$U,13,FALSE))</f>
        <v>0</v>
      </c>
      <c r="AK30" s="565"/>
      <c r="AL30" s="565"/>
      <c r="AM30" s="565"/>
      <c r="AN30" s="565">
        <f>$F30*IF(ISNA(VLOOKUP($B30&amp;"; "&amp;$G$14,'FE Déchets'!$G:$U,14,FALSE)),0,VLOOKUP($B30&amp;"; "&amp;$G$14,'FE Déchets'!$G:$U,14,FALSE))</f>
        <v>0</v>
      </c>
      <c r="AO30" s="565"/>
      <c r="AP30" s="565"/>
      <c r="AQ30" s="566"/>
      <c r="AR30" s="566">
        <f t="shared" ref="AR30:AR32" si="24">SUM(AB30,AF30,AJ30,AN30)</f>
        <v>0</v>
      </c>
      <c r="AS30" s="566"/>
      <c r="AT30" s="566"/>
      <c r="AU30" s="564"/>
      <c r="AV30" s="565">
        <f>$F30*IF(ISNA(VLOOKUP($B30&amp;"; "&amp;$G$14,'FE Déchets'!$G:$U,15,FALSE)),0,VLOOKUP($B30&amp;"; "&amp;$G$14,'FE Déchets'!$G:$U,15,FALSE))</f>
        <v>0</v>
      </c>
      <c r="AW30" s="565"/>
      <c r="AX30" s="568"/>
      <c r="AZ30" s="2364">
        <f>IF($R30&lt;&gt;"votre valeur :",IF(ISNA(VLOOKUP($R30,Utilitaires!$N$566:$O$571,2,FALSE)),,VLOOKUP($R30,Utilitaires!$N$566:$O$571,2,FALSE)),$S30)</f>
        <v>0</v>
      </c>
      <c r="BA30" s="1130">
        <f>IF(ISNA(SQRT(SUMSQ(VLOOKUP($B30&amp;"; "&amp;$G$14,'FE Déchets'!$G:$U,7,FALSE),$AZ30))),0,SQRT(SUMSQ(VLOOKUP($B30&amp;"; "&amp;$G$14,'FE Déchets'!$G:$U,7,FALSE),$AZ30)))</f>
        <v>0.2</v>
      </c>
      <c r="BB30" s="2128"/>
      <c r="BC30" s="2128"/>
    </row>
    <row r="31" spans="2:55" outlineLevel="2">
      <c r="B31" s="389" t="s">
        <v>4963</v>
      </c>
      <c r="C31" s="341"/>
      <c r="D31" s="212">
        <f t="shared" si="20"/>
        <v>0</v>
      </c>
      <c r="E31" s="212"/>
      <c r="F31" s="2389"/>
      <c r="G31" s="219"/>
      <c r="H31" s="2385"/>
      <c r="I31" s="219"/>
      <c r="J31" s="219">
        <f>IF(ISNA(VLOOKUP($B31&amp;"; "&amp;$G$14,'FE Déchets'!$G:$U,9,FALSE)), 0, VLOOKUP($B31&amp;"; "&amp;$G$14,'FE Déchets'!$G:$U,9,FALSE))</f>
        <v>873</v>
      </c>
      <c r="K31" s="151"/>
      <c r="L31" s="151"/>
      <c r="M31" s="151"/>
      <c r="N31" s="151"/>
      <c r="O31" s="152">
        <f t="shared" si="21"/>
        <v>0</v>
      </c>
      <c r="Q31" s="226">
        <f t="shared" si="22"/>
        <v>0</v>
      </c>
      <c r="R31" s="2389"/>
      <c r="S31" s="820"/>
      <c r="T31" s="164"/>
      <c r="U31" s="164"/>
      <c r="V31" s="164"/>
      <c r="W31" s="164"/>
      <c r="X31" s="152">
        <f t="shared" si="23"/>
        <v>0</v>
      </c>
      <c r="Y31" s="114"/>
      <c r="Z31" s="114"/>
      <c r="AA31" s="564"/>
      <c r="AB31" s="565">
        <f>$F31*IF(ISNA(VLOOKUP($B31&amp;"; "&amp;$G$14,'FE Déchets'!$G:$U,10,FALSE)),0,VLOOKUP($B31&amp;"; "&amp;$G$14,'FE Déchets'!$G:$U,10,FALSE))</f>
        <v>0</v>
      </c>
      <c r="AC31" s="565"/>
      <c r="AD31" s="565"/>
      <c r="AE31" s="565"/>
      <c r="AF31" s="565">
        <f>$F31*IF(ISNA(VLOOKUP($B31&amp;"; "&amp;$G$14,'FE Déchets'!$G:$U,11,FALSE)+VLOOKUP($B31&amp;"; "&amp;$G$14,'FE Déchets'!$G:$U,12,FALSE)),0,
VLOOKUP($B31&amp;"; "&amp;$G$14,'FE Déchets'!$G:$U,11,FALSE)+VLOOKUP($B31&amp;"; "&amp;$G$14,'FE Déchets'!$G:$U,12,FALSE))</f>
        <v>0</v>
      </c>
      <c r="AG31" s="565"/>
      <c r="AH31" s="565"/>
      <c r="AI31" s="565"/>
      <c r="AJ31" s="565">
        <f>$F31*IF(ISNA(VLOOKUP($B31&amp;"; "&amp;$G$14,'FE Déchets'!$G:$U,13,FALSE)),0,VLOOKUP($B31&amp;"; "&amp;$G$14,'FE Déchets'!$G:$U,13,FALSE))</f>
        <v>0</v>
      </c>
      <c r="AK31" s="565"/>
      <c r="AL31" s="565"/>
      <c r="AM31" s="565"/>
      <c r="AN31" s="565">
        <f>$F31*IF(ISNA(VLOOKUP($B31&amp;"; "&amp;$G$14,'FE Déchets'!$G:$U,14,FALSE)),0,VLOOKUP($B31&amp;"; "&amp;$G$14,'FE Déchets'!$G:$U,14,FALSE))</f>
        <v>0</v>
      </c>
      <c r="AO31" s="565"/>
      <c r="AP31" s="565"/>
      <c r="AQ31" s="566"/>
      <c r="AR31" s="566">
        <f t="shared" si="24"/>
        <v>0</v>
      </c>
      <c r="AS31" s="566"/>
      <c r="AT31" s="566"/>
      <c r="AU31" s="564"/>
      <c r="AV31" s="565">
        <f>$F31*IF(ISNA(VLOOKUP($B31&amp;"; "&amp;$G$14,'FE Déchets'!$G:$U,15,FALSE)),0,VLOOKUP($B31&amp;"; "&amp;$G$14,'FE Déchets'!$G:$U,15,FALSE))</f>
        <v>0</v>
      </c>
      <c r="AW31" s="565"/>
      <c r="AX31" s="568"/>
      <c r="AZ31" s="2364">
        <f>IF($R31&lt;&gt;"votre valeur :",IF(ISNA(VLOOKUP($R31,Utilitaires!$N$566:$O$571,2,FALSE)),,VLOOKUP($R31,Utilitaires!$N$566:$O$571,2,FALSE)),$S31)</f>
        <v>0</v>
      </c>
      <c r="BA31" s="1130">
        <f>IF(ISNA(SQRT(SUMSQ(VLOOKUP($B31&amp;"; "&amp;$G$14,'FE Déchets'!$G:$U,7,FALSE),$AZ31))),0,SQRT(SUMSQ(VLOOKUP($B31&amp;"; "&amp;$G$14,'FE Déchets'!$G:$U,7,FALSE),$AZ31)))</f>
        <v>0.2</v>
      </c>
      <c r="BB31" s="2128"/>
      <c r="BC31" s="2128"/>
    </row>
    <row r="32" spans="2:55" outlineLevel="2">
      <c r="B32" s="389" t="s">
        <v>4964</v>
      </c>
      <c r="C32" s="341"/>
      <c r="D32" s="212">
        <f t="shared" si="20"/>
        <v>0</v>
      </c>
      <c r="E32" s="212"/>
      <c r="F32" s="2390"/>
      <c r="G32" s="219"/>
      <c r="H32" s="2385"/>
      <c r="I32" s="219"/>
      <c r="J32" s="219">
        <f>IF(ISNA(VLOOKUP($B32&amp;"; "&amp;$G$14,'FE Déchets'!$G:$U,9,FALSE)), 0, VLOOKUP($B32&amp;"; "&amp;$G$14,'FE Déchets'!$G:$U,9,FALSE))</f>
        <v>41</v>
      </c>
      <c r="K32" s="151"/>
      <c r="L32" s="151"/>
      <c r="M32" s="151"/>
      <c r="N32" s="151"/>
      <c r="O32" s="152">
        <f t="shared" si="21"/>
        <v>0</v>
      </c>
      <c r="Q32" s="226">
        <f t="shared" si="22"/>
        <v>0</v>
      </c>
      <c r="R32" s="2390"/>
      <c r="S32" s="820"/>
      <c r="T32" s="164"/>
      <c r="U32" s="164"/>
      <c r="V32" s="164"/>
      <c r="W32" s="164"/>
      <c r="X32" s="152">
        <f t="shared" si="23"/>
        <v>0</v>
      </c>
      <c r="Y32" s="114"/>
      <c r="Z32" s="114"/>
      <c r="AA32" s="564"/>
      <c r="AB32" s="565">
        <f>$F32*IF(ISNA(VLOOKUP($B32&amp;"; "&amp;$G$14,'FE Déchets'!$G:$U,10,FALSE)),0,VLOOKUP($B32&amp;"; "&amp;$G$14,'FE Déchets'!$G:$U,10,FALSE))</f>
        <v>0</v>
      </c>
      <c r="AC32" s="565"/>
      <c r="AD32" s="565"/>
      <c r="AE32" s="565"/>
      <c r="AF32" s="565">
        <f>$F32*IF(ISNA(VLOOKUP($B32&amp;"; "&amp;$G$14,'FE Déchets'!$G:$U,11,FALSE)+VLOOKUP($B32&amp;"; "&amp;$G$14,'FE Déchets'!$G:$U,12,FALSE)),0,
VLOOKUP($B32&amp;"; "&amp;$G$14,'FE Déchets'!$G:$U,11,FALSE)+VLOOKUP($B32&amp;"; "&amp;$G$14,'FE Déchets'!$G:$U,12,FALSE))</f>
        <v>0</v>
      </c>
      <c r="AG32" s="565"/>
      <c r="AH32" s="565"/>
      <c r="AI32" s="565"/>
      <c r="AJ32" s="565">
        <f>$F32*IF(ISNA(VLOOKUP($B32&amp;"; "&amp;$G$14,'FE Déchets'!$G:$U,13,FALSE)),0,VLOOKUP($B32&amp;"; "&amp;$G$14,'FE Déchets'!$G:$U,13,FALSE))</f>
        <v>0</v>
      </c>
      <c r="AK32" s="565"/>
      <c r="AL32" s="565"/>
      <c r="AM32" s="565"/>
      <c r="AN32" s="565">
        <f>$F32*IF(ISNA(VLOOKUP($B32&amp;"; "&amp;$G$14,'FE Déchets'!$G:$U,14,FALSE)),0,VLOOKUP($B32&amp;"; "&amp;$G$14,'FE Déchets'!$G:$U,14,FALSE))</f>
        <v>0</v>
      </c>
      <c r="AO32" s="565"/>
      <c r="AP32" s="565"/>
      <c r="AQ32" s="566"/>
      <c r="AR32" s="566">
        <f t="shared" si="24"/>
        <v>0</v>
      </c>
      <c r="AS32" s="566"/>
      <c r="AT32" s="566"/>
      <c r="AU32" s="564"/>
      <c r="AV32" s="565">
        <f>$F32*IF(ISNA(VLOOKUP($B32&amp;"; "&amp;$G$14,'FE Déchets'!$G:$U,15,FALSE)),0,VLOOKUP($B32&amp;"; "&amp;$G$14,'FE Déchets'!$G:$U,15,FALSE))</f>
        <v>0</v>
      </c>
      <c r="AW32" s="565"/>
      <c r="AX32" s="568"/>
      <c r="AZ32" s="2364">
        <f>IF($R32&lt;&gt;"votre valeur :",IF(ISNA(VLOOKUP($R32,Utilitaires!$N$566:$O$571,2,FALSE)),,VLOOKUP($R32,Utilitaires!$N$566:$O$571,2,FALSE)),$S32)</f>
        <v>0</v>
      </c>
      <c r="BA32" s="1130">
        <f>IF(ISNA(SQRT(SUMSQ(VLOOKUP($B32&amp;"; "&amp;$G$14,'FE Déchets'!$G:$U,7,FALSE),$AZ32))),0,SQRT(SUMSQ(VLOOKUP($B32&amp;"; "&amp;$G$14,'FE Déchets'!$G:$U,7,FALSE),$AZ32)))</f>
        <v>0.2</v>
      </c>
      <c r="BB32" s="2128"/>
      <c r="BC32" s="2128"/>
    </row>
    <row r="33" spans="2:55" outlineLevel="2">
      <c r="B33" s="389"/>
      <c r="C33" s="341"/>
      <c r="D33" s="212"/>
      <c r="E33" s="212"/>
      <c r="F33" s="177"/>
      <c r="G33" s="219"/>
      <c r="H33" s="2385"/>
      <c r="I33" s="219"/>
      <c r="J33" s="219"/>
      <c r="K33" s="151"/>
      <c r="L33" s="151"/>
      <c r="M33" s="151"/>
      <c r="N33" s="151"/>
      <c r="O33" s="152"/>
      <c r="Q33" s="226"/>
      <c r="R33" s="177"/>
      <c r="S33" s="820"/>
      <c r="T33" s="164"/>
      <c r="U33" s="164"/>
      <c r="V33" s="164"/>
      <c r="W33" s="164"/>
      <c r="X33" s="152"/>
      <c r="Y33" s="114"/>
      <c r="Z33" s="114"/>
      <c r="AA33" s="564"/>
      <c r="AB33" s="565"/>
      <c r="AC33" s="565"/>
      <c r="AD33" s="565"/>
      <c r="AE33" s="565"/>
      <c r="AF33" s="565"/>
      <c r="AG33" s="565"/>
      <c r="AH33" s="565"/>
      <c r="AI33" s="565"/>
      <c r="AJ33" s="565"/>
      <c r="AK33" s="565"/>
      <c r="AL33" s="565"/>
      <c r="AM33" s="565"/>
      <c r="AN33" s="565"/>
      <c r="AO33" s="565"/>
      <c r="AP33" s="565"/>
      <c r="AQ33" s="566"/>
      <c r="AR33" s="566"/>
      <c r="AS33" s="566"/>
      <c r="AT33" s="566"/>
      <c r="AU33" s="564"/>
      <c r="AV33" s="565"/>
      <c r="AW33" s="565"/>
      <c r="AX33" s="568"/>
      <c r="AZ33" s="2364"/>
      <c r="BA33" s="1130"/>
      <c r="BB33" s="2128"/>
      <c r="BC33" s="2128"/>
    </row>
    <row r="34" spans="2:55" outlineLevel="2">
      <c r="B34" s="2386" t="s">
        <v>297</v>
      </c>
      <c r="C34" s="341"/>
      <c r="D34" s="212"/>
      <c r="E34" s="212"/>
      <c r="F34" s="177"/>
      <c r="G34" s="219"/>
      <c r="H34" s="2385"/>
      <c r="I34" s="219"/>
      <c r="J34" s="219"/>
      <c r="K34" s="151"/>
      <c r="L34" s="151"/>
      <c r="M34" s="151"/>
      <c r="N34" s="151"/>
      <c r="O34" s="152"/>
      <c r="Q34" s="226"/>
      <c r="R34" s="177"/>
      <c r="S34" s="820"/>
      <c r="T34" s="164"/>
      <c r="U34" s="164"/>
      <c r="V34" s="164"/>
      <c r="W34" s="164"/>
      <c r="X34" s="152"/>
      <c r="Y34" s="114"/>
      <c r="Z34" s="114"/>
      <c r="AA34" s="564"/>
      <c r="AB34" s="565"/>
      <c r="AC34" s="565"/>
      <c r="AD34" s="565"/>
      <c r="AE34" s="565"/>
      <c r="AF34" s="565"/>
      <c r="AG34" s="565"/>
      <c r="AH34" s="565"/>
      <c r="AI34" s="565"/>
      <c r="AJ34" s="565"/>
      <c r="AK34" s="565"/>
      <c r="AL34" s="565"/>
      <c r="AM34" s="565"/>
      <c r="AN34" s="565"/>
      <c r="AO34" s="565"/>
      <c r="AP34" s="565"/>
      <c r="AQ34" s="566"/>
      <c r="AR34" s="566"/>
      <c r="AS34" s="566"/>
      <c r="AT34" s="566"/>
      <c r="AU34" s="564"/>
      <c r="AV34" s="565"/>
      <c r="AW34" s="565"/>
      <c r="AX34" s="568"/>
      <c r="AZ34" s="2364"/>
      <c r="BA34" s="1130"/>
      <c r="BB34" s="2128"/>
      <c r="BC34" s="2128"/>
    </row>
    <row r="35" spans="2:55" outlineLevel="2">
      <c r="B35" s="389" t="s">
        <v>4967</v>
      </c>
      <c r="C35" s="341"/>
      <c r="D35" s="212">
        <f t="shared" ref="D35" si="25">O35</f>
        <v>123</v>
      </c>
      <c r="E35" s="212"/>
      <c r="F35" s="2388">
        <v>3</v>
      </c>
      <c r="G35" s="219"/>
      <c r="H35" s="2385"/>
      <c r="I35" s="219"/>
      <c r="J35" s="219">
        <f>IF(ISNA(VLOOKUP($B35&amp;"; "&amp;$G$14,'FE Déchets'!$G:$U,9,FALSE)), 0, VLOOKUP($B35&amp;"; "&amp;$G$14,'FE Déchets'!$G:$U,9,FALSE))</f>
        <v>41</v>
      </c>
      <c r="K35" s="151"/>
      <c r="L35" s="151"/>
      <c r="M35" s="151"/>
      <c r="N35" s="151"/>
      <c r="O35" s="152">
        <f t="shared" ref="O35" si="26">F35*J35</f>
        <v>123</v>
      </c>
      <c r="Q35" s="226">
        <f t="shared" ref="Q35" si="27">IF(X35=0,X35,X35/O35)</f>
        <v>0.2</v>
      </c>
      <c r="R35" s="2388"/>
      <c r="S35" s="820"/>
      <c r="T35" s="164"/>
      <c r="U35" s="164"/>
      <c r="V35" s="164"/>
      <c r="W35" s="164"/>
      <c r="X35" s="152">
        <f t="shared" ref="X35" si="28">F35*J35*BA35</f>
        <v>24.6</v>
      </c>
      <c r="Y35" s="114"/>
      <c r="Z35" s="114"/>
      <c r="AA35" s="564"/>
      <c r="AB35" s="565">
        <f>$F35*IF(ISNA(VLOOKUP($B35&amp;"; "&amp;$G$14,'FE Déchets'!$G:$U,10,FALSE)),0,VLOOKUP($B35&amp;"; "&amp;$G$14,'FE Déchets'!$G:$U,10,FALSE))</f>
        <v>123</v>
      </c>
      <c r="AC35" s="565"/>
      <c r="AD35" s="565"/>
      <c r="AE35" s="565"/>
      <c r="AF35" s="565">
        <f>$F35*IF(ISNA(VLOOKUP($B35&amp;"; "&amp;$G$14,'FE Déchets'!$G:$U,11,FALSE)+VLOOKUP($B35&amp;"; "&amp;$G$14,'FE Déchets'!$G:$U,12,FALSE)),0,
VLOOKUP($B35&amp;"; "&amp;$G$14,'FE Déchets'!$G:$U,11,FALSE)+VLOOKUP($B35&amp;"; "&amp;$G$14,'FE Déchets'!$G:$U,12,FALSE))</f>
        <v>0</v>
      </c>
      <c r="AG35" s="565"/>
      <c r="AH35" s="565"/>
      <c r="AI35" s="565"/>
      <c r="AJ35" s="565">
        <f>$F35*IF(ISNA(VLOOKUP($B35&amp;"; "&amp;$G$14,'FE Déchets'!$G:$U,13,FALSE)),0,VLOOKUP($B35&amp;"; "&amp;$G$14,'FE Déchets'!$G:$U,13,FALSE))</f>
        <v>0</v>
      </c>
      <c r="AK35" s="565"/>
      <c r="AL35" s="565"/>
      <c r="AM35" s="565"/>
      <c r="AN35" s="565">
        <f>$F35*IF(ISNA(VLOOKUP($B35&amp;"; "&amp;$G$14,'FE Déchets'!$G:$U,14,FALSE)),0,VLOOKUP($B35&amp;"; "&amp;$G$14,'FE Déchets'!$G:$U,14,FALSE))</f>
        <v>0</v>
      </c>
      <c r="AO35" s="565"/>
      <c r="AP35" s="565"/>
      <c r="AQ35" s="566"/>
      <c r="AR35" s="566">
        <f t="shared" ref="AR35" si="29">SUM(AB35,AF35,AJ35,AN35)</f>
        <v>123</v>
      </c>
      <c r="AS35" s="566"/>
      <c r="AT35" s="566"/>
      <c r="AU35" s="564"/>
      <c r="AV35" s="565">
        <f>$F35*IF(ISNA(VLOOKUP($B35&amp;"; "&amp;$G$14,'FE Déchets'!$G:$U,15,FALSE)),0,VLOOKUP($B35&amp;"; "&amp;$G$14,'FE Déchets'!$G:$U,15,FALSE))</f>
        <v>0</v>
      </c>
      <c r="AW35" s="565"/>
      <c r="AX35" s="568"/>
      <c r="AZ35" s="2364">
        <f>IF($R35&lt;&gt;"votre valeur :",IF(ISNA(VLOOKUP($R35,Utilitaires!$N$566:$O$571,2,FALSE)),,VLOOKUP($R35,Utilitaires!$N$566:$O$571,2,FALSE)),$S35)</f>
        <v>0</v>
      </c>
      <c r="BA35" s="1130">
        <f>IF(ISNA(SQRT(SUMSQ(VLOOKUP($B35&amp;"; "&amp;$G$14,'FE Déchets'!$G:$U,7,FALSE),$AZ35))),0,SQRT(SUMSQ(VLOOKUP($B35&amp;"; "&amp;$G$14,'FE Déchets'!$G:$U,7,FALSE),$AZ35)))</f>
        <v>0.2</v>
      </c>
      <c r="BB35" s="2128"/>
      <c r="BC35" s="2128"/>
    </row>
    <row r="36" spans="2:55" outlineLevel="2">
      <c r="B36" s="389" t="s">
        <v>4965</v>
      </c>
      <c r="C36" s="341"/>
      <c r="D36" s="212">
        <f>O36</f>
        <v>0</v>
      </c>
      <c r="E36" s="212"/>
      <c r="F36" s="2389"/>
      <c r="G36" s="219"/>
      <c r="H36" s="2385"/>
      <c r="I36" s="219"/>
      <c r="J36" s="219">
        <f>IF(ISNA(VLOOKUP($B36&amp;"; "&amp;$G$14,'FE Déchets'!$G:$U,9,FALSE)), 0, VLOOKUP($B36&amp;"; "&amp;$G$14,'FE Déchets'!$G:$U,9,FALSE))</f>
        <v>130</v>
      </c>
      <c r="K36" s="151"/>
      <c r="L36" s="151"/>
      <c r="M36" s="151"/>
      <c r="N36" s="151"/>
      <c r="O36" s="152">
        <f>F36*J36</f>
        <v>0</v>
      </c>
      <c r="Q36" s="226">
        <f>IF(X36=0,X36,X36/O36)</f>
        <v>0</v>
      </c>
      <c r="R36" s="2389"/>
      <c r="S36" s="820"/>
      <c r="T36" s="164"/>
      <c r="U36" s="164"/>
      <c r="V36" s="164"/>
      <c r="W36" s="164"/>
      <c r="X36" s="152">
        <f>F36*J36*BA36</f>
        <v>0</v>
      </c>
      <c r="Y36" s="114"/>
      <c r="Z36" s="114"/>
      <c r="AA36" s="564"/>
      <c r="AB36" s="565">
        <f>$F36*IF(ISNA(VLOOKUP($B36&amp;"; "&amp;$G$14,'FE Déchets'!$G:$U,10,FALSE)),0,VLOOKUP($B36&amp;"; "&amp;$G$14,'FE Déchets'!$G:$U,10,FALSE))</f>
        <v>0</v>
      </c>
      <c r="AC36" s="565"/>
      <c r="AD36" s="565"/>
      <c r="AE36" s="565"/>
      <c r="AF36" s="565">
        <f>$F36*IF(ISNA(VLOOKUP($B36&amp;"; "&amp;$G$14,'FE Déchets'!$G:$U,11,FALSE)+VLOOKUP($B36&amp;"; "&amp;$G$14,'FE Déchets'!$G:$U,12,FALSE)),0,
VLOOKUP($B36&amp;"; "&amp;$G$14,'FE Déchets'!$G:$U,11,FALSE)+VLOOKUP($B36&amp;"; "&amp;$G$14,'FE Déchets'!$G:$U,12,FALSE))</f>
        <v>0</v>
      </c>
      <c r="AG36" s="565"/>
      <c r="AH36" s="565"/>
      <c r="AI36" s="565"/>
      <c r="AJ36" s="565">
        <f>$F36*IF(ISNA(VLOOKUP($B36&amp;"; "&amp;$G$14,'FE Déchets'!$G:$U,13,FALSE)),0,VLOOKUP($B36&amp;"; "&amp;$G$14,'FE Déchets'!$G:$U,13,FALSE))</f>
        <v>0</v>
      </c>
      <c r="AK36" s="565"/>
      <c r="AL36" s="565"/>
      <c r="AM36" s="565"/>
      <c r="AN36" s="565">
        <f>$F36*IF(ISNA(VLOOKUP($B36&amp;"; "&amp;$G$14,'FE Déchets'!$G:$U,14,FALSE)),0,VLOOKUP($B36&amp;"; "&amp;$G$14,'FE Déchets'!$G:$U,14,FALSE))</f>
        <v>0</v>
      </c>
      <c r="AO36" s="565"/>
      <c r="AP36" s="565"/>
      <c r="AQ36" s="566"/>
      <c r="AR36" s="566">
        <f>SUM(AB36,AF36,AJ36,AN36)</f>
        <v>0</v>
      </c>
      <c r="AS36" s="566"/>
      <c r="AT36" s="566"/>
      <c r="AU36" s="564"/>
      <c r="AV36" s="565">
        <f>$F36*IF(ISNA(VLOOKUP($B36&amp;"; "&amp;$G$14,'FE Déchets'!$G:$U,15,FALSE)),0,VLOOKUP($B36&amp;"; "&amp;$G$14,'FE Déchets'!$G:$U,15,FALSE))</f>
        <v>0</v>
      </c>
      <c r="AW36" s="565"/>
      <c r="AX36" s="568"/>
      <c r="AZ36" s="2364">
        <f>IF($R36&lt;&gt;"votre valeur :",IF(ISNA(VLOOKUP($R36,Utilitaires!$N$566:$O$571,2,FALSE)),,VLOOKUP($R36,Utilitaires!$N$566:$O$571,2,FALSE)),$S36)</f>
        <v>0</v>
      </c>
      <c r="BA36" s="1130">
        <f>IF(ISNA(SQRT(SUMSQ(VLOOKUP($B36&amp;"; "&amp;$G$14,'FE Déchets'!$G:$U,7,FALSE),$AZ36))),0,SQRT(SUMSQ(VLOOKUP($B36&amp;"; "&amp;$G$14,'FE Déchets'!$G:$U,7,FALSE),$AZ36)))</f>
        <v>0.2</v>
      </c>
      <c r="BB36" s="2128"/>
      <c r="BC36" s="2128"/>
    </row>
    <row r="37" spans="2:55" outlineLevel="2">
      <c r="B37" s="389" t="s">
        <v>4966</v>
      </c>
      <c r="C37" s="341"/>
      <c r="D37" s="212">
        <f t="shared" ref="D37:D38" si="30">O37</f>
        <v>0</v>
      </c>
      <c r="E37" s="212"/>
      <c r="F37" s="2389"/>
      <c r="G37" s="219"/>
      <c r="H37" s="2385"/>
      <c r="I37" s="219"/>
      <c r="J37" s="219">
        <f>IF(ISNA(VLOOKUP($B37&amp;"; "&amp;$G$14,'FE Déchets'!$G:$U,9,FALSE)), 0, VLOOKUP($B37&amp;"; "&amp;$G$14,'FE Déchets'!$G:$U,9,FALSE))</f>
        <v>639</v>
      </c>
      <c r="K37" s="151"/>
      <c r="L37" s="151"/>
      <c r="M37" s="151"/>
      <c r="N37" s="151"/>
      <c r="O37" s="152">
        <f t="shared" ref="O37:O38" si="31">F37*J37</f>
        <v>0</v>
      </c>
      <c r="Q37" s="226">
        <f t="shared" ref="Q37:Q38" si="32">IF(X37=0,X37,X37/O37)</f>
        <v>0</v>
      </c>
      <c r="R37" s="2389"/>
      <c r="S37" s="820"/>
      <c r="T37" s="164"/>
      <c r="U37" s="164"/>
      <c r="V37" s="164"/>
      <c r="W37" s="164"/>
      <c r="X37" s="152">
        <f t="shared" ref="X37:X38" si="33">F37*J37*BA37</f>
        <v>0</v>
      </c>
      <c r="Y37" s="114"/>
      <c r="Z37" s="114"/>
      <c r="AA37" s="564"/>
      <c r="AB37" s="565">
        <f>$F37*IF(ISNA(VLOOKUP($B37&amp;"; "&amp;$G$14,'FE Déchets'!$G:$U,10,FALSE)),0,VLOOKUP($B37&amp;"; "&amp;$G$14,'FE Déchets'!$G:$U,10,FALSE))</f>
        <v>0</v>
      </c>
      <c r="AC37" s="565"/>
      <c r="AD37" s="565"/>
      <c r="AE37" s="565"/>
      <c r="AF37" s="565">
        <f>$F37*IF(ISNA(VLOOKUP($B37&amp;"; "&amp;$G$14,'FE Déchets'!$G:$U,11,FALSE)+VLOOKUP($B37&amp;"; "&amp;$G$14,'FE Déchets'!$G:$U,12,FALSE)),0,
VLOOKUP($B37&amp;"; "&amp;$G$14,'FE Déchets'!$G:$U,11,FALSE)+VLOOKUP($B37&amp;"; "&amp;$G$14,'FE Déchets'!$G:$U,12,FALSE))</f>
        <v>0</v>
      </c>
      <c r="AG37" s="565"/>
      <c r="AH37" s="565"/>
      <c r="AI37" s="565"/>
      <c r="AJ37" s="565">
        <f>$F37*IF(ISNA(VLOOKUP($B37&amp;"; "&amp;$G$14,'FE Déchets'!$G:$U,13,FALSE)),0,VLOOKUP($B37&amp;"; "&amp;$G$14,'FE Déchets'!$G:$U,13,FALSE))</f>
        <v>0</v>
      </c>
      <c r="AK37" s="565"/>
      <c r="AL37" s="565"/>
      <c r="AM37" s="565"/>
      <c r="AN37" s="565">
        <f>$F37*IF(ISNA(VLOOKUP($B37&amp;"; "&amp;$G$14,'FE Déchets'!$G:$U,14,FALSE)),0,VLOOKUP($B37&amp;"; "&amp;$G$14,'FE Déchets'!$G:$U,14,FALSE))</f>
        <v>0</v>
      </c>
      <c r="AO37" s="565"/>
      <c r="AP37" s="565"/>
      <c r="AQ37" s="566"/>
      <c r="AR37" s="566">
        <f t="shared" ref="AR37:AR38" si="34">SUM(AB37,AF37,AJ37,AN37)</f>
        <v>0</v>
      </c>
      <c r="AS37" s="566"/>
      <c r="AT37" s="566"/>
      <c r="AU37" s="564"/>
      <c r="AV37" s="565">
        <f>$F37*IF(ISNA(VLOOKUP($B37&amp;"; "&amp;$G$14,'FE Déchets'!$G:$U,15,FALSE)),0,VLOOKUP($B37&amp;"; "&amp;$G$14,'FE Déchets'!$G:$U,15,FALSE))</f>
        <v>0</v>
      </c>
      <c r="AW37" s="565"/>
      <c r="AX37" s="568"/>
      <c r="AZ37" s="2364">
        <f>IF($R37&lt;&gt;"votre valeur :",IF(ISNA(VLOOKUP($R37,Utilitaires!$N$566:$O$571,2,FALSE)),,VLOOKUP($R37,Utilitaires!$N$566:$O$571,2,FALSE)),$S37)</f>
        <v>0</v>
      </c>
      <c r="BA37" s="1130">
        <f>IF(ISNA(SQRT(SUMSQ(VLOOKUP($B37&amp;"; "&amp;$G$14,'FE Déchets'!$G:$U,7,FALSE),$AZ37))),0,SQRT(SUMSQ(VLOOKUP($B37&amp;"; "&amp;$G$14,'FE Déchets'!$G:$U,7,FALSE),$AZ37)))</f>
        <v>0.2</v>
      </c>
      <c r="BB37" s="2128"/>
      <c r="BC37" s="2128"/>
    </row>
    <row r="38" spans="2:55" outlineLevel="2">
      <c r="B38" s="389" t="s">
        <v>4967</v>
      </c>
      <c r="C38" s="341"/>
      <c r="D38" s="212">
        <f t="shared" si="30"/>
        <v>0</v>
      </c>
      <c r="E38" s="212"/>
      <c r="F38" s="2390"/>
      <c r="G38" s="219"/>
      <c r="H38" s="2385"/>
      <c r="I38" s="219"/>
      <c r="J38" s="219">
        <f>IF(ISNA(VLOOKUP($B38&amp;"; "&amp;$G$14,'FE Déchets'!$G:$U,9,FALSE)), 0, VLOOKUP($B38&amp;"; "&amp;$G$14,'FE Déchets'!$G:$U,9,FALSE))</f>
        <v>41</v>
      </c>
      <c r="K38" s="151"/>
      <c r="L38" s="151"/>
      <c r="M38" s="151"/>
      <c r="N38" s="151"/>
      <c r="O38" s="152">
        <f t="shared" si="31"/>
        <v>0</v>
      </c>
      <c r="Q38" s="226">
        <f t="shared" si="32"/>
        <v>0</v>
      </c>
      <c r="R38" s="2390"/>
      <c r="S38" s="820"/>
      <c r="T38" s="164"/>
      <c r="U38" s="164"/>
      <c r="V38" s="164"/>
      <c r="W38" s="164"/>
      <c r="X38" s="152">
        <f t="shared" si="33"/>
        <v>0</v>
      </c>
      <c r="Y38" s="114"/>
      <c r="Z38" s="114"/>
      <c r="AA38" s="564"/>
      <c r="AB38" s="565">
        <f>$F38*IF(ISNA(VLOOKUP($B38&amp;"; "&amp;$G$14,'FE Déchets'!$G:$U,10,FALSE)),0,VLOOKUP($B38&amp;"; "&amp;$G$14,'FE Déchets'!$G:$U,10,FALSE))</f>
        <v>0</v>
      </c>
      <c r="AC38" s="565"/>
      <c r="AD38" s="565"/>
      <c r="AE38" s="565"/>
      <c r="AF38" s="565">
        <f>$F38*IF(ISNA(VLOOKUP($B38&amp;"; "&amp;$G$14,'FE Déchets'!$G:$U,11,FALSE)+VLOOKUP($B38&amp;"; "&amp;$G$14,'FE Déchets'!$G:$U,12,FALSE)),0,
VLOOKUP($B38&amp;"; "&amp;$G$14,'FE Déchets'!$G:$U,11,FALSE)+VLOOKUP($B38&amp;"; "&amp;$G$14,'FE Déchets'!$G:$U,12,FALSE))</f>
        <v>0</v>
      </c>
      <c r="AG38" s="565"/>
      <c r="AH38" s="565"/>
      <c r="AI38" s="565"/>
      <c r="AJ38" s="565">
        <f>$F38*IF(ISNA(VLOOKUP($B38&amp;"; "&amp;$G$14,'FE Déchets'!$G:$U,13,FALSE)),0,VLOOKUP($B38&amp;"; "&amp;$G$14,'FE Déchets'!$G:$U,13,FALSE))</f>
        <v>0</v>
      </c>
      <c r="AK38" s="565"/>
      <c r="AL38" s="565"/>
      <c r="AM38" s="565"/>
      <c r="AN38" s="565">
        <f>$F38*IF(ISNA(VLOOKUP($B38&amp;"; "&amp;$G$14,'FE Déchets'!$G:$U,14,FALSE)),0,VLOOKUP($B38&amp;"; "&amp;$G$14,'FE Déchets'!$G:$U,14,FALSE))</f>
        <v>0</v>
      </c>
      <c r="AO38" s="565"/>
      <c r="AP38" s="565"/>
      <c r="AQ38" s="566"/>
      <c r="AR38" s="566">
        <f t="shared" si="34"/>
        <v>0</v>
      </c>
      <c r="AS38" s="566"/>
      <c r="AT38" s="566"/>
      <c r="AU38" s="564"/>
      <c r="AV38" s="565">
        <f>$F38*IF(ISNA(VLOOKUP($B38&amp;"; "&amp;$G$14,'FE Déchets'!$G:$U,15,FALSE)),0,VLOOKUP($B38&amp;"; "&amp;$G$14,'FE Déchets'!$G:$U,15,FALSE))</f>
        <v>0</v>
      </c>
      <c r="AW38" s="565"/>
      <c r="AX38" s="568"/>
      <c r="AZ38" s="2364">
        <f>IF($R38&lt;&gt;"votre valeur :",IF(ISNA(VLOOKUP($R38,Utilitaires!$N$566:$O$571,2,FALSE)),,VLOOKUP($R38,Utilitaires!$N$566:$O$571,2,FALSE)),$S38)</f>
        <v>0</v>
      </c>
      <c r="BA38" s="1130">
        <f>IF(ISNA(SQRT(SUMSQ(VLOOKUP($B38&amp;"; "&amp;$G$14,'FE Déchets'!$G:$U,7,FALSE),$AZ38))),0,SQRT(SUMSQ(VLOOKUP($B38&amp;"; "&amp;$G$14,'FE Déchets'!$G:$U,7,FALSE),$AZ38)))</f>
        <v>0.2</v>
      </c>
      <c r="BB38" s="2128"/>
      <c r="BC38" s="2128"/>
    </row>
    <row r="39" spans="2:55" outlineLevel="2">
      <c r="B39" s="389"/>
      <c r="C39" s="341"/>
      <c r="D39" s="212"/>
      <c r="E39" s="212"/>
      <c r="F39" s="177"/>
      <c r="G39" s="219"/>
      <c r="H39" s="2385"/>
      <c r="I39" s="219"/>
      <c r="J39" s="219"/>
      <c r="K39" s="151"/>
      <c r="L39" s="151"/>
      <c r="M39" s="151"/>
      <c r="N39" s="151"/>
      <c r="O39" s="152"/>
      <c r="Q39" s="226"/>
      <c r="R39" s="177"/>
      <c r="S39" s="820"/>
      <c r="T39" s="164"/>
      <c r="U39" s="164"/>
      <c r="V39" s="164"/>
      <c r="W39" s="164"/>
      <c r="X39" s="152"/>
      <c r="Y39" s="114"/>
      <c r="Z39" s="114"/>
      <c r="AA39" s="564"/>
      <c r="AB39" s="565"/>
      <c r="AC39" s="565"/>
      <c r="AD39" s="565"/>
      <c r="AE39" s="565"/>
      <c r="AF39" s="565"/>
      <c r="AG39" s="565"/>
      <c r="AH39" s="565"/>
      <c r="AI39" s="565"/>
      <c r="AJ39" s="565"/>
      <c r="AK39" s="565"/>
      <c r="AL39" s="565"/>
      <c r="AM39" s="565"/>
      <c r="AN39" s="565"/>
      <c r="AO39" s="565"/>
      <c r="AP39" s="565"/>
      <c r="AQ39" s="566"/>
      <c r="AR39" s="566"/>
      <c r="AS39" s="566"/>
      <c r="AT39" s="566"/>
      <c r="AU39" s="564"/>
      <c r="AV39" s="565"/>
      <c r="AW39" s="565"/>
      <c r="AX39" s="568"/>
      <c r="AZ39" s="2364"/>
      <c r="BA39" s="1130"/>
      <c r="BB39" s="2128"/>
      <c r="BC39" s="2128"/>
    </row>
    <row r="40" spans="2:55" outlineLevel="2">
      <c r="B40" s="2386" t="s">
        <v>207</v>
      </c>
      <c r="C40" s="341"/>
      <c r="D40" s="212"/>
      <c r="E40" s="212"/>
      <c r="F40" s="177"/>
      <c r="G40" s="219"/>
      <c r="H40" s="2385"/>
      <c r="I40" s="219"/>
      <c r="J40" s="219"/>
      <c r="K40" s="151"/>
      <c r="L40" s="151"/>
      <c r="M40" s="151"/>
      <c r="N40" s="151"/>
      <c r="O40" s="152"/>
      <c r="Q40" s="226"/>
      <c r="R40" s="177"/>
      <c r="S40" s="820"/>
      <c r="T40" s="164"/>
      <c r="U40" s="164"/>
      <c r="V40" s="164"/>
      <c r="W40" s="164"/>
      <c r="X40" s="152"/>
      <c r="Y40" s="114"/>
      <c r="Z40" s="114"/>
      <c r="AA40" s="564"/>
      <c r="AB40" s="565"/>
      <c r="AC40" s="565"/>
      <c r="AD40" s="565"/>
      <c r="AE40" s="565"/>
      <c r="AF40" s="565"/>
      <c r="AG40" s="565"/>
      <c r="AH40" s="565"/>
      <c r="AI40" s="565"/>
      <c r="AJ40" s="565"/>
      <c r="AK40" s="565"/>
      <c r="AL40" s="565"/>
      <c r="AM40" s="565"/>
      <c r="AN40" s="565"/>
      <c r="AO40" s="565"/>
      <c r="AP40" s="565"/>
      <c r="AQ40" s="566"/>
      <c r="AR40" s="566"/>
      <c r="AS40" s="566"/>
      <c r="AT40" s="566"/>
      <c r="AU40" s="564"/>
      <c r="AV40" s="565"/>
      <c r="AW40" s="565"/>
      <c r="AX40" s="568"/>
      <c r="AZ40" s="2364"/>
      <c r="BA40" s="1130"/>
      <c r="BB40" s="2128"/>
      <c r="BC40" s="2128"/>
    </row>
    <row r="41" spans="2:55" outlineLevel="2">
      <c r="B41" s="389" t="s">
        <v>5225</v>
      </c>
      <c r="C41" s="341"/>
      <c r="D41" s="212">
        <f t="shared" si="0"/>
        <v>27678</v>
      </c>
      <c r="E41" s="212"/>
      <c r="F41" s="2388">
        <v>6</v>
      </c>
      <c r="G41" s="219"/>
      <c r="H41" s="2385"/>
      <c r="I41" s="219"/>
      <c r="J41" s="219">
        <f>IF(ISNA(VLOOKUP($B41&amp;"; "&amp;$G$14,'FE Déchets'!$G:$U,9,FALSE)), 0, VLOOKUP($B41&amp;"; "&amp;$G$14,'FE Déchets'!$G:$U,9,FALSE))</f>
        <v>4613</v>
      </c>
      <c r="K41" s="151"/>
      <c r="L41" s="151"/>
      <c r="M41" s="151"/>
      <c r="N41" s="151"/>
      <c r="O41" s="152">
        <f t="shared" si="1"/>
        <v>27678</v>
      </c>
      <c r="Q41" s="226">
        <f t="shared" si="2"/>
        <v>0.2</v>
      </c>
      <c r="R41" s="2388"/>
      <c r="S41" s="820"/>
      <c r="T41" s="164"/>
      <c r="U41" s="164"/>
      <c r="V41" s="164"/>
      <c r="W41" s="164"/>
      <c r="X41" s="152">
        <f t="shared" si="3"/>
        <v>5535.6</v>
      </c>
      <c r="Y41" s="114"/>
      <c r="Z41" s="114"/>
      <c r="AA41" s="564"/>
      <c r="AB41" s="565">
        <f>$F41*IF(ISNA(VLOOKUP($B41&amp;"; "&amp;$G$14,'FE Déchets'!$G:$U,10,FALSE)),0,VLOOKUP($B41&amp;"; "&amp;$G$14,'FE Déchets'!$G:$U,10,FALSE))</f>
        <v>27678</v>
      </c>
      <c r="AC41" s="565"/>
      <c r="AD41" s="565"/>
      <c r="AE41" s="565"/>
      <c r="AF41" s="565">
        <f>$F41*IF(ISNA(VLOOKUP($B41&amp;"; "&amp;$G$14,'FE Déchets'!$G:$U,11,FALSE)+VLOOKUP($B41&amp;"; "&amp;$G$14,'FE Déchets'!$G:$U,12,FALSE)),0,
VLOOKUP($B41&amp;"; "&amp;$G$14,'FE Déchets'!$G:$U,11,FALSE)+VLOOKUP($B41&amp;"; "&amp;$G$14,'FE Déchets'!$G:$U,12,FALSE))</f>
        <v>0</v>
      </c>
      <c r="AG41" s="565"/>
      <c r="AH41" s="565"/>
      <c r="AI41" s="565"/>
      <c r="AJ41" s="565">
        <f>$F41*IF(ISNA(VLOOKUP($B41&amp;"; "&amp;$G$14,'FE Déchets'!$G:$U,13,FALSE)),0,VLOOKUP($B41&amp;"; "&amp;$G$14,'FE Déchets'!$G:$U,13,FALSE))</f>
        <v>0</v>
      </c>
      <c r="AK41" s="565"/>
      <c r="AL41" s="565"/>
      <c r="AM41" s="565"/>
      <c r="AN41" s="565">
        <f>$F41*IF(ISNA(VLOOKUP($B41&amp;"; "&amp;$G$14,'FE Déchets'!$G:$U,14,FALSE)),0,VLOOKUP($B41&amp;"; "&amp;$G$14,'FE Déchets'!$G:$U,14,FALSE))</f>
        <v>0</v>
      </c>
      <c r="AO41" s="565"/>
      <c r="AP41" s="565"/>
      <c r="AQ41" s="566"/>
      <c r="AR41" s="566">
        <f t="shared" si="4"/>
        <v>27678</v>
      </c>
      <c r="AS41" s="566"/>
      <c r="AT41" s="566"/>
      <c r="AU41" s="564"/>
      <c r="AV41" s="565">
        <f>$F41*IF(ISNA(VLOOKUP($B41&amp;"; "&amp;$G$14,'FE Déchets'!$G:$U,15,FALSE)),0,VLOOKUP($B41&amp;"; "&amp;$G$14,'FE Déchets'!$G:$U,15,FALSE))</f>
        <v>0</v>
      </c>
      <c r="AW41" s="565"/>
      <c r="AX41" s="568"/>
      <c r="AZ41" s="2364">
        <f>IF($R41&lt;&gt;"votre valeur :",IF(ISNA(VLOOKUP($R41,Utilitaires!$N$566:$O$571,2,FALSE)),,VLOOKUP($R41,Utilitaires!$N$566:$O$571,2,FALSE)),$S41)</f>
        <v>0</v>
      </c>
      <c r="BA41" s="1130">
        <f>IF(ISNA(SQRT(SUMSQ(VLOOKUP($B41&amp;"; "&amp;$G$14,'FE Déchets'!$G:$U,7,FALSE),$AZ41))),0,SQRT(SUMSQ(VLOOKUP($B41&amp;"; "&amp;$G$14,'FE Déchets'!$G:$U,7,FALSE),$AZ41)))</f>
        <v>0.2</v>
      </c>
      <c r="BB41" s="2128"/>
      <c r="BC41" s="2128"/>
    </row>
    <row r="42" spans="2:55" outlineLevel="2">
      <c r="B42" s="389" t="s">
        <v>4968</v>
      </c>
      <c r="C42" s="341"/>
      <c r="D42" s="212">
        <f>O42</f>
        <v>0</v>
      </c>
      <c r="E42" s="212"/>
      <c r="F42" s="2389"/>
      <c r="G42" s="219"/>
      <c r="H42" s="2385"/>
      <c r="I42" s="219"/>
      <c r="J42" s="219">
        <f>IF(ISNA(VLOOKUP($B42&amp;"; "&amp;$G$14,'FE Déchets'!$G:$U,9,FALSE)), 0, VLOOKUP($B42&amp;"; "&amp;$G$14,'FE Déchets'!$G:$U,9,FALSE))</f>
        <v>122</v>
      </c>
      <c r="K42" s="151"/>
      <c r="L42" s="151"/>
      <c r="M42" s="151"/>
      <c r="N42" s="151"/>
      <c r="O42" s="152">
        <f>F42*J42</f>
        <v>0</v>
      </c>
      <c r="Q42" s="226">
        <f>IF(X42=0,X42,X42/O42)</f>
        <v>0</v>
      </c>
      <c r="R42" s="2389"/>
      <c r="S42" s="820"/>
      <c r="T42" s="164"/>
      <c r="U42" s="164"/>
      <c r="V42" s="164"/>
      <c r="W42" s="164"/>
      <c r="X42" s="152">
        <f>F42*J42*BA42</f>
        <v>0</v>
      </c>
      <c r="Y42" s="114"/>
      <c r="Z42" s="114"/>
      <c r="AA42" s="564"/>
      <c r="AB42" s="565">
        <f>$F42*IF(ISNA(VLOOKUP($B42&amp;"; "&amp;$G$14,'FE Déchets'!$G:$U,10,FALSE)),0,VLOOKUP($B42&amp;"; "&amp;$G$14,'FE Déchets'!$G:$U,10,FALSE))</f>
        <v>0</v>
      </c>
      <c r="AC42" s="565"/>
      <c r="AD42" s="565"/>
      <c r="AE42" s="565"/>
      <c r="AF42" s="565">
        <f>$F42*IF(ISNA(VLOOKUP($B42&amp;"; "&amp;$G$14,'FE Déchets'!$G:$U,11,FALSE)+VLOOKUP($B42&amp;"; "&amp;$G$14,'FE Déchets'!$G:$U,12,FALSE)),0,
VLOOKUP($B42&amp;"; "&amp;$G$14,'FE Déchets'!$G:$U,11,FALSE)+VLOOKUP($B42&amp;"; "&amp;$G$14,'FE Déchets'!$G:$U,12,FALSE))</f>
        <v>0</v>
      </c>
      <c r="AG42" s="565"/>
      <c r="AH42" s="565"/>
      <c r="AI42" s="565"/>
      <c r="AJ42" s="565">
        <f>$F42*IF(ISNA(VLOOKUP($B42&amp;"; "&amp;$G$14,'FE Déchets'!$G:$U,13,FALSE)),0,VLOOKUP($B42&amp;"; "&amp;$G$14,'FE Déchets'!$G:$U,13,FALSE))</f>
        <v>0</v>
      </c>
      <c r="AK42" s="565"/>
      <c r="AL42" s="565"/>
      <c r="AM42" s="565"/>
      <c r="AN42" s="565">
        <f>$F42*IF(ISNA(VLOOKUP($B42&amp;"; "&amp;$G$14,'FE Déchets'!$G:$U,14,FALSE)),0,VLOOKUP($B42&amp;"; "&amp;$G$14,'FE Déchets'!$G:$U,14,FALSE))</f>
        <v>0</v>
      </c>
      <c r="AO42" s="565"/>
      <c r="AP42" s="565"/>
      <c r="AQ42" s="566"/>
      <c r="AR42" s="566">
        <f>SUM(AB42,AF42,AJ42,AN42)</f>
        <v>0</v>
      </c>
      <c r="AS42" s="566"/>
      <c r="AT42" s="566"/>
      <c r="AU42" s="564"/>
      <c r="AV42" s="565">
        <f>$F42*IF(ISNA(VLOOKUP($B42&amp;"; "&amp;$G$14,'FE Déchets'!$G:$U,15,FALSE)),0,VLOOKUP($B42&amp;"; "&amp;$G$14,'FE Déchets'!$G:$U,15,FALSE))</f>
        <v>0</v>
      </c>
      <c r="AW42" s="565"/>
      <c r="AX42" s="568"/>
      <c r="AZ42" s="1065">
        <f>IF($R42&lt;&gt;"votre valeur :",IF(ISNA(VLOOKUP($R42,Utilitaires!$N$566:$O$571,2,FALSE)),,VLOOKUP($R42,Utilitaires!$N$566:$O$571,2,FALSE)),$S42)</f>
        <v>0</v>
      </c>
      <c r="BA42" s="1130">
        <f>IF(ISNA(SQRT(SUMSQ(VLOOKUP($B42&amp;"; "&amp;$G$14,'FE Déchets'!$G:$U,7,FALSE),$AZ42))),0,SQRT(SUMSQ(VLOOKUP($B42&amp;"; "&amp;$G$14,'FE Déchets'!$G:$U,7,FALSE),$AZ42)))</f>
        <v>0.2</v>
      </c>
      <c r="BB42" s="2128"/>
      <c r="BC42" s="2128"/>
    </row>
    <row r="43" spans="2:55" outlineLevel="2">
      <c r="B43" s="389" t="s">
        <v>4970</v>
      </c>
      <c r="C43" s="341"/>
      <c r="D43" s="212">
        <f t="shared" ref="D43:D44" si="35">O43</f>
        <v>0</v>
      </c>
      <c r="E43" s="212"/>
      <c r="F43" s="2389"/>
      <c r="G43" s="219"/>
      <c r="H43" s="2385"/>
      <c r="I43" s="219"/>
      <c r="J43" s="219">
        <f>IF(ISNA(VLOOKUP($B43&amp;"; "&amp;$G$14,'FE Déchets'!$G:$U,9,FALSE)), 0, VLOOKUP($B43&amp;"; "&amp;$G$14,'FE Déchets'!$G:$U,9,FALSE))</f>
        <v>160</v>
      </c>
      <c r="K43" s="151"/>
      <c r="L43" s="151"/>
      <c r="M43" s="151"/>
      <c r="N43" s="151"/>
      <c r="O43" s="152">
        <f t="shared" ref="O43:O45" si="36">F43*J43</f>
        <v>0</v>
      </c>
      <c r="Q43" s="226">
        <f t="shared" ref="Q43:Q44" si="37">IF(X43=0,X43,X43/O43)</f>
        <v>0</v>
      </c>
      <c r="R43" s="2389"/>
      <c r="S43" s="820"/>
      <c r="T43" s="164"/>
      <c r="U43" s="164"/>
      <c r="V43" s="164"/>
      <c r="W43" s="164"/>
      <c r="X43" s="152">
        <f t="shared" ref="X43:X45" si="38">F43*J43*BA43</f>
        <v>0</v>
      </c>
      <c r="Y43" s="114"/>
      <c r="Z43" s="114"/>
      <c r="AA43" s="564"/>
      <c r="AB43" s="565">
        <f>$F43*IF(ISNA(VLOOKUP($B43&amp;"; "&amp;$G$14,'FE Déchets'!$G:$U,10,FALSE)),0,VLOOKUP($B43&amp;"; "&amp;$G$14,'FE Déchets'!$G:$U,10,FALSE))</f>
        <v>0</v>
      </c>
      <c r="AC43" s="565"/>
      <c r="AD43" s="565"/>
      <c r="AE43" s="565"/>
      <c r="AF43" s="565">
        <f>$F43*IF(ISNA(VLOOKUP($B43&amp;"; "&amp;$G$14,'FE Déchets'!$G:$U,11,FALSE)+VLOOKUP($B43&amp;"; "&amp;$G$14,'FE Déchets'!$G:$U,12,FALSE)),0,
VLOOKUP($B43&amp;"; "&amp;$G$14,'FE Déchets'!$G:$U,11,FALSE)+VLOOKUP($B43&amp;"; "&amp;$G$14,'FE Déchets'!$G:$U,12,FALSE))</f>
        <v>0</v>
      </c>
      <c r="AG43" s="565"/>
      <c r="AH43" s="565"/>
      <c r="AI43" s="565"/>
      <c r="AJ43" s="565">
        <f>$F43*IF(ISNA(VLOOKUP($B43&amp;"; "&amp;$G$14,'FE Déchets'!$G:$U,13,FALSE)),0,VLOOKUP($B43&amp;"; "&amp;$G$14,'FE Déchets'!$G:$U,13,FALSE))</f>
        <v>0</v>
      </c>
      <c r="AK43" s="565"/>
      <c r="AL43" s="565"/>
      <c r="AM43" s="565"/>
      <c r="AN43" s="565">
        <f>$F43*IF(ISNA(VLOOKUP($B43&amp;"; "&amp;$G$14,'FE Déchets'!$G:$U,14,FALSE)),0,VLOOKUP($B43&amp;"; "&amp;$G$14,'FE Déchets'!$G:$U,14,FALSE))</f>
        <v>0</v>
      </c>
      <c r="AO43" s="565"/>
      <c r="AP43" s="565"/>
      <c r="AQ43" s="566"/>
      <c r="AR43" s="566">
        <f t="shared" ref="AR43:AR44" si="39">SUM(AB43,AF43,AJ43,AN43)</f>
        <v>0</v>
      </c>
      <c r="AS43" s="566"/>
      <c r="AT43" s="566"/>
      <c r="AU43" s="564"/>
      <c r="AV43" s="565">
        <f>$F43*IF(ISNA(VLOOKUP($B43&amp;"; "&amp;$G$14,'FE Déchets'!$G:$U,15,FALSE)),0,VLOOKUP($B43&amp;"; "&amp;$G$14,'FE Déchets'!$G:$U,15,FALSE))</f>
        <v>0</v>
      </c>
      <c r="AW43" s="565"/>
      <c r="AX43" s="568"/>
      <c r="AZ43" s="2117">
        <f>IF($R43&lt;&gt;"votre valeur :",IF(ISNA(VLOOKUP($R43,Utilitaires!$N$566:$O$571,2,FALSE)),,VLOOKUP($R43,Utilitaires!$N$566:$O$571,2,FALSE)),$S43)</f>
        <v>0</v>
      </c>
      <c r="BA43" s="1130">
        <f>IF(ISNA(SQRT(SUMSQ(VLOOKUP($B43&amp;"; "&amp;$G$14,'FE Déchets'!$G:$U,7,FALSE),$AZ43))),0,SQRT(SUMSQ(VLOOKUP($B43&amp;"; "&amp;$G$14,'FE Déchets'!$G:$U,7,FALSE),$AZ43)))</f>
        <v>0.2</v>
      </c>
      <c r="BB43" s="2128"/>
      <c r="BC43" s="2128"/>
    </row>
    <row r="44" spans="2:55" outlineLevel="2">
      <c r="B44" s="389" t="s">
        <v>4971</v>
      </c>
      <c r="C44" s="341"/>
      <c r="D44" s="212">
        <f t="shared" si="35"/>
        <v>0</v>
      </c>
      <c r="E44" s="212"/>
      <c r="F44" s="2389"/>
      <c r="G44" s="219"/>
      <c r="H44" s="2385"/>
      <c r="I44" s="219"/>
      <c r="J44" s="219">
        <f>IF(ISNA(VLOOKUP($B44&amp;"; "&amp;$G$14,'FE Déchets'!$G:$U,9,FALSE)), 0, VLOOKUP($B44&amp;"; "&amp;$G$14,'FE Déchets'!$G:$U,9,FALSE))</f>
        <v>2769</v>
      </c>
      <c r="K44" s="151"/>
      <c r="L44" s="151"/>
      <c r="M44" s="151"/>
      <c r="N44" s="151"/>
      <c r="O44" s="152">
        <f t="shared" si="36"/>
        <v>0</v>
      </c>
      <c r="Q44" s="226">
        <f t="shared" si="37"/>
        <v>0</v>
      </c>
      <c r="R44" s="2389"/>
      <c r="S44" s="820"/>
      <c r="T44" s="164"/>
      <c r="U44" s="164"/>
      <c r="V44" s="164"/>
      <c r="W44" s="164"/>
      <c r="X44" s="152">
        <f t="shared" si="38"/>
        <v>0</v>
      </c>
      <c r="Y44" s="114"/>
      <c r="Z44" s="114"/>
      <c r="AA44" s="564"/>
      <c r="AB44" s="565">
        <f>$F44*IF(ISNA(VLOOKUP($B44&amp;"; "&amp;$G$14,'FE Déchets'!$G:$U,10,FALSE)),0,VLOOKUP($B44&amp;"; "&amp;$G$14,'FE Déchets'!$G:$U,10,FALSE))</f>
        <v>0</v>
      </c>
      <c r="AC44" s="565"/>
      <c r="AD44" s="565"/>
      <c r="AE44" s="565"/>
      <c r="AF44" s="565">
        <f>$F44*IF(ISNA(VLOOKUP($B44&amp;"; "&amp;$G$14,'FE Déchets'!$G:$U,11,FALSE)+VLOOKUP($B44&amp;"; "&amp;$G$14,'FE Déchets'!$G:$U,12,FALSE)),0,
VLOOKUP($B44&amp;"; "&amp;$G$14,'FE Déchets'!$G:$U,11,FALSE)+VLOOKUP($B44&amp;"; "&amp;$G$14,'FE Déchets'!$G:$U,12,FALSE))</f>
        <v>0</v>
      </c>
      <c r="AG44" s="565"/>
      <c r="AH44" s="565"/>
      <c r="AI44" s="565"/>
      <c r="AJ44" s="565">
        <f>$F44*IF(ISNA(VLOOKUP($B44&amp;"; "&amp;$G$14,'FE Déchets'!$G:$U,13,FALSE)),0,VLOOKUP($B44&amp;"; "&amp;$G$14,'FE Déchets'!$G:$U,13,FALSE))</f>
        <v>0</v>
      </c>
      <c r="AK44" s="565"/>
      <c r="AL44" s="565"/>
      <c r="AM44" s="565"/>
      <c r="AN44" s="565">
        <f>$F44*IF(ISNA(VLOOKUP($B44&amp;"; "&amp;$G$14,'FE Déchets'!$G:$U,14,FALSE)),0,VLOOKUP($B44&amp;"; "&amp;$G$14,'FE Déchets'!$G:$U,14,FALSE))</f>
        <v>0</v>
      </c>
      <c r="AO44" s="565"/>
      <c r="AP44" s="565"/>
      <c r="AQ44" s="566"/>
      <c r="AR44" s="566">
        <f t="shared" si="39"/>
        <v>0</v>
      </c>
      <c r="AS44" s="566"/>
      <c r="AT44" s="566"/>
      <c r="AU44" s="564"/>
      <c r="AV44" s="565">
        <f>$F44*IF(ISNA(VLOOKUP($B44&amp;"; "&amp;$G$14,'FE Déchets'!$G:$U,15,FALSE)),0,VLOOKUP($B44&amp;"; "&amp;$G$14,'FE Déchets'!$G:$U,15,FALSE))</f>
        <v>0</v>
      </c>
      <c r="AW44" s="565"/>
      <c r="AX44" s="568"/>
      <c r="AZ44" s="2117">
        <f>IF($R44&lt;&gt;"votre valeur :",IF(ISNA(VLOOKUP($R44,Utilitaires!$N$566:$O$571,2,FALSE)),,VLOOKUP($R44,Utilitaires!$N$566:$O$571,2,FALSE)),$S44)</f>
        <v>0</v>
      </c>
      <c r="BA44" s="1130">
        <f>IF(ISNA(SQRT(SUMSQ(VLOOKUP($B44&amp;"; "&amp;$G$14,'FE Déchets'!$G:$U,7,FALSE),$AZ44))),0,SQRT(SUMSQ(VLOOKUP($B44&amp;"; "&amp;$G$14,'FE Déchets'!$G:$U,7,FALSE),$AZ44)))</f>
        <v>0.2</v>
      </c>
      <c r="BB44" s="2128"/>
      <c r="BC44" s="2128"/>
    </row>
    <row r="45" spans="2:55" outlineLevel="2">
      <c r="B45" s="389" t="s">
        <v>4972</v>
      </c>
      <c r="C45" s="341"/>
      <c r="D45" s="212">
        <f t="shared" ref="D45" si="40">O45</f>
        <v>0</v>
      </c>
      <c r="E45" s="212"/>
      <c r="F45" s="2390"/>
      <c r="G45" s="219"/>
      <c r="H45" s="2385"/>
      <c r="I45" s="219"/>
      <c r="J45" s="219">
        <f>IF(ISNA(VLOOKUP($B45&amp;"; "&amp;$G$14,'FE Déchets'!$G:$U,9,FALSE)), 0, VLOOKUP($B45&amp;"; "&amp;$G$14,'FE Déchets'!$G:$U,9,FALSE))</f>
        <v>530</v>
      </c>
      <c r="K45" s="151"/>
      <c r="L45" s="151"/>
      <c r="M45" s="151"/>
      <c r="N45" s="151"/>
      <c r="O45" s="152">
        <f t="shared" si="36"/>
        <v>0</v>
      </c>
      <c r="Q45" s="226">
        <f t="shared" ref="Q45" si="41">IF(X45=0,X45,X45/O45)</f>
        <v>0</v>
      </c>
      <c r="R45" s="2390"/>
      <c r="S45" s="820"/>
      <c r="T45" s="164"/>
      <c r="U45" s="164"/>
      <c r="V45" s="164"/>
      <c r="W45" s="164"/>
      <c r="X45" s="152">
        <f t="shared" si="38"/>
        <v>0</v>
      </c>
      <c r="Y45" s="114"/>
      <c r="Z45" s="114"/>
      <c r="AA45" s="564"/>
      <c r="AB45" s="565">
        <f>$F45*IF(ISNA(VLOOKUP($B45&amp;"; "&amp;$G$14,'FE Déchets'!$G:$U,10,FALSE)),0,VLOOKUP($B45&amp;"; "&amp;$G$14,'FE Déchets'!$G:$U,10,FALSE))</f>
        <v>0</v>
      </c>
      <c r="AC45" s="565"/>
      <c r="AD45" s="565"/>
      <c r="AE45" s="565"/>
      <c r="AF45" s="565">
        <f>$F45*IF(ISNA(VLOOKUP($B45&amp;"; "&amp;$G$14,'FE Déchets'!$G:$U,11,FALSE)+VLOOKUP($B45&amp;"; "&amp;$G$14,'FE Déchets'!$G:$U,12,FALSE)),0,
VLOOKUP($B45&amp;"; "&amp;$G$14,'FE Déchets'!$G:$U,11,FALSE)+VLOOKUP($B45&amp;"; "&amp;$G$14,'FE Déchets'!$G:$U,12,FALSE))</f>
        <v>0</v>
      </c>
      <c r="AG45" s="565"/>
      <c r="AH45" s="565"/>
      <c r="AI45" s="565"/>
      <c r="AJ45" s="565">
        <f>$F45*IF(ISNA(VLOOKUP($B45&amp;"; "&amp;$G$14,'FE Déchets'!$G:$U,13,FALSE)),0,VLOOKUP($B45&amp;"; "&amp;$G$14,'FE Déchets'!$G:$U,13,FALSE))</f>
        <v>0</v>
      </c>
      <c r="AK45" s="565"/>
      <c r="AL45" s="565"/>
      <c r="AM45" s="565"/>
      <c r="AN45" s="565">
        <f>$F45*IF(ISNA(VLOOKUP($B45&amp;"; "&amp;$G$14,'FE Déchets'!$G:$U,14,FALSE)),0,VLOOKUP($B45&amp;"; "&amp;$G$14,'FE Déchets'!$G:$U,14,FALSE))</f>
        <v>0</v>
      </c>
      <c r="AO45" s="565"/>
      <c r="AP45" s="565"/>
      <c r="AQ45" s="566"/>
      <c r="AR45" s="566">
        <f t="shared" ref="AR45" si="42">SUM(AB45,AF45,AJ45,AN45)</f>
        <v>0</v>
      </c>
      <c r="AS45" s="566"/>
      <c r="AT45" s="566"/>
      <c r="AU45" s="564"/>
      <c r="AV45" s="565">
        <f>$F45*IF(ISNA(VLOOKUP($B45&amp;"; "&amp;$G$14,'FE Déchets'!$G:$U,15,FALSE)),0,VLOOKUP($B45&amp;"; "&amp;$G$14,'FE Déchets'!$G:$U,15,FALSE))</f>
        <v>0</v>
      </c>
      <c r="AW45" s="565"/>
      <c r="AX45" s="568"/>
      <c r="AZ45" s="2364">
        <f>IF($R45&lt;&gt;"votre valeur :",IF(ISNA(VLOOKUP($R45,Utilitaires!$N$566:$O$571,2,FALSE)),,VLOOKUP($R45,Utilitaires!$N$566:$O$571,2,FALSE)),$S45)</f>
        <v>0</v>
      </c>
      <c r="BA45" s="1130">
        <f>IF(ISNA(SQRT(SUMSQ(VLOOKUP($B45&amp;"; "&amp;$G$14,'FE Déchets'!$G:$U,7,FALSE),$AZ45))),0,SQRT(SUMSQ(VLOOKUP($B45&amp;"; "&amp;$G$14,'FE Déchets'!$G:$U,7,FALSE),$AZ45)))</f>
        <v>0.2</v>
      </c>
      <c r="BB45" s="2128"/>
      <c r="BC45" s="2128"/>
    </row>
    <row r="46" spans="2:55" outlineLevel="2">
      <c r="B46" s="389"/>
      <c r="C46" s="341"/>
      <c r="D46" s="212"/>
      <c r="E46" s="212"/>
      <c r="F46" s="212"/>
      <c r="G46" s="212"/>
      <c r="H46" s="219"/>
      <c r="I46" s="219"/>
      <c r="J46" s="219"/>
      <c r="K46" s="151"/>
      <c r="L46" s="151"/>
      <c r="M46" s="151"/>
      <c r="N46" s="151"/>
      <c r="O46" s="152"/>
      <c r="Q46" s="226"/>
      <c r="R46" s="820"/>
      <c r="S46" s="820"/>
      <c r="T46" s="164"/>
      <c r="U46" s="164"/>
      <c r="V46" s="164"/>
      <c r="W46" s="164"/>
      <c r="X46" s="152"/>
      <c r="Y46" s="114"/>
      <c r="Z46" s="114"/>
      <c r="AA46" s="564"/>
      <c r="AB46" s="565"/>
      <c r="AC46" s="565"/>
      <c r="AD46" s="565"/>
      <c r="AE46" s="565"/>
      <c r="AF46" s="565"/>
      <c r="AG46" s="565"/>
      <c r="AH46" s="565"/>
      <c r="AI46" s="565"/>
      <c r="AJ46" s="565"/>
      <c r="AK46" s="565"/>
      <c r="AL46" s="565"/>
      <c r="AM46" s="565"/>
      <c r="AN46" s="565"/>
      <c r="AO46" s="565"/>
      <c r="AP46" s="565"/>
      <c r="AQ46" s="566"/>
      <c r="AR46" s="566"/>
      <c r="AS46" s="566"/>
      <c r="AT46" s="566"/>
      <c r="AU46" s="564"/>
      <c r="AV46" s="565"/>
      <c r="AW46" s="565"/>
      <c r="AX46" s="568"/>
      <c r="AZ46" s="2118"/>
      <c r="BA46" s="1153"/>
      <c r="BB46" s="2128"/>
      <c r="BC46" s="2128"/>
    </row>
    <row r="47" spans="2:55" outlineLevel="1">
      <c r="B47" s="1264" t="s">
        <v>348</v>
      </c>
      <c r="C47" s="197"/>
      <c r="D47" s="214">
        <f>SUM(D16:D46)</f>
        <v>39170</v>
      </c>
      <c r="E47" s="214"/>
      <c r="F47" s="203"/>
      <c r="G47" s="203"/>
      <c r="H47" s="202"/>
      <c r="I47" s="203"/>
      <c r="J47" s="203"/>
      <c r="K47" s="202"/>
      <c r="L47" s="202"/>
      <c r="M47" s="202"/>
      <c r="N47" s="202"/>
      <c r="O47" s="200">
        <f>SUM(O16:O46)</f>
        <v>39170</v>
      </c>
      <c r="Q47" s="1204">
        <f>IF(X47=0,X47,X47/O47)</f>
        <v>0.15092729941367339</v>
      </c>
      <c r="R47" s="199"/>
      <c r="S47" s="199"/>
      <c r="T47" s="204"/>
      <c r="U47" s="204"/>
      <c r="V47" s="204"/>
      <c r="W47" s="204"/>
      <c r="X47" s="200">
        <f>SQRT(SUMSQ(X16:X46))</f>
        <v>5911.8223180335863</v>
      </c>
      <c r="Y47" s="114"/>
      <c r="Z47" s="114"/>
      <c r="AA47" s="1082"/>
      <c r="AB47" s="572">
        <f>SUM(AB16:AB46)</f>
        <v>39170</v>
      </c>
      <c r="AC47" s="572"/>
      <c r="AD47" s="572"/>
      <c r="AE47" s="572"/>
      <c r="AF47" s="572">
        <f>SUM(AF16:AF46)</f>
        <v>0</v>
      </c>
      <c r="AG47" s="572"/>
      <c r="AH47" s="572"/>
      <c r="AI47" s="572"/>
      <c r="AJ47" s="572">
        <f>SUM(AJ16:AJ46)</f>
        <v>0</v>
      </c>
      <c r="AK47" s="572"/>
      <c r="AL47" s="572"/>
      <c r="AM47" s="572"/>
      <c r="AN47" s="572">
        <f>SUM(AN16:AN46)</f>
        <v>0</v>
      </c>
      <c r="AO47" s="572"/>
      <c r="AP47" s="572"/>
      <c r="AQ47" s="573"/>
      <c r="AR47" s="573">
        <f>SUM(AR16:AR46)</f>
        <v>39170</v>
      </c>
      <c r="AS47" s="573"/>
      <c r="AT47" s="573"/>
      <c r="AU47" s="1082"/>
      <c r="AV47" s="572">
        <f>SUM(AV16:AV46)</f>
        <v>0</v>
      </c>
      <c r="AW47" s="572"/>
      <c r="AX47" s="575"/>
      <c r="AZ47" s="2127"/>
      <c r="BA47" s="2128"/>
      <c r="BB47" s="2128"/>
      <c r="BC47" s="2128"/>
    </row>
    <row r="48" spans="2:55" s="256" customFormat="1" ht="12.75" customHeight="1" outlineLevel="1">
      <c r="B48" s="2132"/>
      <c r="C48" s="2132"/>
      <c r="D48" s="2131"/>
      <c r="E48" s="2131"/>
      <c r="F48" s="2131"/>
      <c r="G48" s="2131"/>
      <c r="H48" s="2133"/>
      <c r="I48" s="2133"/>
      <c r="J48" s="2133"/>
      <c r="K48" s="1458"/>
      <c r="L48" s="1458"/>
      <c r="M48" s="1458"/>
      <c r="N48" s="1458"/>
      <c r="O48" s="1458"/>
      <c r="Q48" s="2820"/>
      <c r="R48" s="2820"/>
      <c r="S48" s="2820"/>
      <c r="T48" s="2820"/>
      <c r="U48" s="2820"/>
      <c r="V48" s="2820"/>
      <c r="W48" s="2820"/>
      <c r="X48" s="2820"/>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Z48" s="2127"/>
      <c r="BA48" s="2128"/>
      <c r="BB48" s="2128"/>
      <c r="BC48" s="2128"/>
    </row>
    <row r="49" spans="2:56" ht="12.75" customHeight="1" outlineLevel="1">
      <c r="B49" s="2134" t="s">
        <v>5010</v>
      </c>
      <c r="C49" s="2135"/>
      <c r="D49" s="2136"/>
      <c r="E49" s="2136"/>
      <c r="F49" s="2136"/>
      <c r="G49" s="2136"/>
      <c r="H49" s="2137"/>
      <c r="I49" s="2137"/>
      <c r="J49" s="2137"/>
      <c r="K49" s="2138"/>
      <c r="L49" s="2138"/>
      <c r="M49" s="2138"/>
      <c r="N49" s="2138"/>
      <c r="O49" s="2139"/>
      <c r="Q49" s="2821" t="s">
        <v>366</v>
      </c>
      <c r="R49" s="2822"/>
      <c r="S49" s="2822"/>
      <c r="T49" s="2822"/>
      <c r="U49" s="2822"/>
      <c r="V49" s="2822"/>
      <c r="W49" s="2822"/>
      <c r="X49" s="2823"/>
      <c r="Y49" s="114"/>
      <c r="Z49" s="114"/>
      <c r="AA49" s="2639" t="s">
        <v>441</v>
      </c>
      <c r="AB49" s="2640"/>
      <c r="AC49" s="2640"/>
      <c r="AD49" s="2640"/>
      <c r="AE49" s="2640"/>
      <c r="AF49" s="2640"/>
      <c r="AG49" s="2640"/>
      <c r="AH49" s="2640"/>
      <c r="AI49" s="2640"/>
      <c r="AJ49" s="2640"/>
      <c r="AK49" s="2640"/>
      <c r="AL49" s="2640"/>
      <c r="AM49" s="2640"/>
      <c r="AN49" s="2640"/>
      <c r="AO49" s="2640"/>
      <c r="AP49" s="2640"/>
      <c r="AQ49" s="2640"/>
      <c r="AR49" s="2640"/>
      <c r="AS49" s="2640"/>
      <c r="AT49" s="2640"/>
      <c r="AU49" s="2640"/>
      <c r="AV49" s="2640"/>
      <c r="AW49" s="2640"/>
      <c r="AX49" s="2641"/>
      <c r="AZ49" s="2127"/>
      <c r="BA49" s="2128"/>
      <c r="BB49" s="2128"/>
      <c r="BC49" s="2128"/>
    </row>
    <row r="50" spans="2:56" ht="12.75" customHeight="1" outlineLevel="3">
      <c r="B50" s="389"/>
      <c r="C50" s="341"/>
      <c r="D50" s="2119" t="s">
        <v>308</v>
      </c>
      <c r="E50" s="212"/>
      <c r="F50" s="2114"/>
      <c r="G50" s="212"/>
      <c r="H50" s="219"/>
      <c r="I50" s="219"/>
      <c r="J50" s="219"/>
      <c r="K50" s="151"/>
      <c r="L50" s="151"/>
      <c r="M50" s="151"/>
      <c r="N50" s="151"/>
      <c r="O50" s="152"/>
      <c r="Q50" s="226"/>
      <c r="R50" s="342"/>
      <c r="S50" s="820"/>
      <c r="T50" s="164"/>
      <c r="U50" s="164"/>
      <c r="V50" s="164"/>
      <c r="W50" s="164"/>
      <c r="X50" s="152"/>
      <c r="Y50" s="114"/>
      <c r="Z50" s="114"/>
      <c r="AA50" s="2642" t="s">
        <v>444</v>
      </c>
      <c r="AB50" s="2643"/>
      <c r="AC50" s="2643"/>
      <c r="AD50" s="2643"/>
      <c r="AE50" s="2643"/>
      <c r="AF50" s="2643"/>
      <c r="AG50" s="2643"/>
      <c r="AH50" s="2643"/>
      <c r="AI50" s="2643"/>
      <c r="AJ50" s="2643"/>
      <c r="AK50" s="2643"/>
      <c r="AL50" s="2643"/>
      <c r="AM50" s="2643"/>
      <c r="AN50" s="2643"/>
      <c r="AO50" s="2643"/>
      <c r="AP50" s="2643"/>
      <c r="AQ50" s="2643" t="s">
        <v>444</v>
      </c>
      <c r="AR50" s="2643"/>
      <c r="AS50" s="2643"/>
      <c r="AT50" s="2644"/>
      <c r="AU50" s="564"/>
      <c r="AV50" s="565"/>
      <c r="AW50" s="565"/>
      <c r="AX50" s="568"/>
      <c r="AZ50" s="2830" t="s">
        <v>1648</v>
      </c>
      <c r="BA50" s="2831"/>
      <c r="BB50" s="2127"/>
      <c r="BC50" s="2127"/>
    </row>
    <row r="51" spans="2:56" ht="12.75" customHeight="1" outlineLevel="3">
      <c r="B51" s="389"/>
      <c r="C51" s="341"/>
      <c r="D51" s="2123" t="s">
        <v>409</v>
      </c>
      <c r="E51" s="212"/>
      <c r="F51" s="2112" t="s">
        <v>199</v>
      </c>
      <c r="G51" s="2824" t="s">
        <v>1585</v>
      </c>
      <c r="H51" s="2825"/>
      <c r="I51" s="2825"/>
      <c r="J51" s="2825"/>
      <c r="K51" s="2825"/>
      <c r="L51" s="2825"/>
      <c r="M51" s="2825"/>
      <c r="N51" s="2825"/>
      <c r="O51" s="152" t="s">
        <v>444</v>
      </c>
      <c r="Q51" s="2116" t="s">
        <v>316</v>
      </c>
      <c r="R51" s="2818" t="s">
        <v>316</v>
      </c>
      <c r="S51" s="2819"/>
      <c r="T51" s="2123"/>
      <c r="U51" s="2123"/>
      <c r="V51" s="2123"/>
      <c r="W51" s="164"/>
      <c r="X51" s="152" t="s">
        <v>444</v>
      </c>
      <c r="Y51" s="114"/>
      <c r="Z51" s="114"/>
      <c r="AA51" s="2790" t="s">
        <v>211</v>
      </c>
      <c r="AB51" s="2791"/>
      <c r="AC51" s="2791"/>
      <c r="AD51" s="565"/>
      <c r="AE51" s="2791" t="s">
        <v>442</v>
      </c>
      <c r="AF51" s="2791"/>
      <c r="AG51" s="2791"/>
      <c r="AH51" s="565"/>
      <c r="AI51" s="2791" t="s">
        <v>267</v>
      </c>
      <c r="AJ51" s="2791"/>
      <c r="AK51" s="2791"/>
      <c r="AL51" s="565"/>
      <c r="AM51" s="2791" t="s">
        <v>1637</v>
      </c>
      <c r="AN51" s="2791"/>
      <c r="AO51" s="2791"/>
      <c r="AP51" s="565"/>
      <c r="AQ51" s="2658" t="s">
        <v>327</v>
      </c>
      <c r="AR51" s="2658"/>
      <c r="AS51" s="2658"/>
      <c r="AT51" s="2659"/>
      <c r="AU51" s="564"/>
      <c r="AV51" s="565" t="s">
        <v>636</v>
      </c>
      <c r="AW51" s="565"/>
      <c r="AX51" s="568"/>
      <c r="AZ51" s="2129" t="s">
        <v>530</v>
      </c>
      <c r="BA51" s="2130" t="s">
        <v>2187</v>
      </c>
      <c r="BB51" s="2128"/>
      <c r="BC51" s="2128"/>
    </row>
    <row r="52" spans="2:56" ht="12.75" customHeight="1" outlineLevel="3">
      <c r="B52" s="2386" t="s">
        <v>2354</v>
      </c>
      <c r="C52" s="341"/>
      <c r="D52" s="2123" t="s">
        <v>444</v>
      </c>
      <c r="E52" s="212"/>
      <c r="F52" s="2113" t="s">
        <v>22</v>
      </c>
      <c r="G52" s="2082"/>
      <c r="H52" s="2082"/>
      <c r="I52" s="2082"/>
      <c r="J52" s="219"/>
      <c r="K52" s="212"/>
      <c r="L52" s="212"/>
      <c r="M52" s="212"/>
      <c r="N52" s="151"/>
      <c r="O52" s="152"/>
      <c r="Q52" s="2124" t="s">
        <v>1649</v>
      </c>
      <c r="R52" s="2816" t="s">
        <v>1650</v>
      </c>
      <c r="S52" s="2817"/>
      <c r="T52" s="2082"/>
      <c r="U52" s="2082"/>
      <c r="V52" s="2082"/>
      <c r="W52" s="164"/>
      <c r="X52" s="152"/>
      <c r="Y52" s="114"/>
      <c r="Z52" s="114"/>
      <c r="AA52" s="2121"/>
      <c r="AB52" s="2122"/>
      <c r="AC52" s="2122"/>
      <c r="AD52" s="565"/>
      <c r="AE52" s="2122"/>
      <c r="AF52" s="2122"/>
      <c r="AG52" s="2122"/>
      <c r="AH52" s="565"/>
      <c r="AI52" s="2126"/>
      <c r="AJ52" s="2126"/>
      <c r="AK52" s="2126"/>
      <c r="AL52" s="565"/>
      <c r="AM52" s="2122"/>
      <c r="AN52" s="2122"/>
      <c r="AO52" s="2122"/>
      <c r="AP52" s="565"/>
      <c r="AQ52" s="2122"/>
      <c r="AR52" s="2122"/>
      <c r="AS52" s="2122"/>
      <c r="AT52" s="566"/>
      <c r="AU52" s="2121"/>
      <c r="AV52" s="2122"/>
      <c r="AW52" s="2122"/>
      <c r="AX52" s="568"/>
      <c r="AZ52" s="2111"/>
      <c r="BA52" s="1130"/>
      <c r="BB52" s="2128"/>
      <c r="BC52" s="2128"/>
    </row>
    <row r="53" spans="2:56" outlineLevel="3">
      <c r="B53" s="389" t="s">
        <v>4973</v>
      </c>
      <c r="C53" s="341"/>
      <c r="D53" s="212">
        <f t="shared" ref="D53:D62" si="43">O53</f>
        <v>0</v>
      </c>
      <c r="E53" s="212"/>
      <c r="F53" s="2388"/>
      <c r="G53" s="219"/>
      <c r="H53" s="219"/>
      <c r="I53" s="219"/>
      <c r="J53" s="219">
        <f>IF(ISNA(VLOOKUP($B53&amp;"; "&amp;$G$51,'FE Déchets'!$G:$U,9,FALSE)), 0, VLOOKUP($B53&amp;"; "&amp;$G$51,'FE Déchets'!$G:$U,9,FALSE))</f>
        <v>173</v>
      </c>
      <c r="K53" s="151"/>
      <c r="L53" s="151"/>
      <c r="M53" s="151"/>
      <c r="N53" s="151"/>
      <c r="O53" s="152">
        <f>F53*J53</f>
        <v>0</v>
      </c>
      <c r="Q53" s="226">
        <f>IF(X53=0,X53,X53/O53)</f>
        <v>0</v>
      </c>
      <c r="R53" s="2125"/>
      <c r="S53" s="820"/>
      <c r="T53" s="164"/>
      <c r="U53" s="164"/>
      <c r="V53" s="164"/>
      <c r="W53" s="164"/>
      <c r="X53" s="152">
        <f>F53*J53*BA53</f>
        <v>0</v>
      </c>
      <c r="Y53" s="114"/>
      <c r="Z53" s="114"/>
      <c r="AA53" s="564"/>
      <c r="AB53" s="565">
        <f>$F53*IF(ISNA(VLOOKUP($B53&amp;"; "&amp;$G$51,'FE Déchets'!$G:$U,10,FALSE)),0,VLOOKUP($B53&amp;"; "&amp;$G$51,'FE Déchets'!$G:$U,10,FALSE))</f>
        <v>0</v>
      </c>
      <c r="AC53" s="565"/>
      <c r="AD53" s="565"/>
      <c r="AE53" s="565"/>
      <c r="AF53" s="565">
        <f>$F53*IF(ISNA(VLOOKUP($B53&amp;"; "&amp;$G51,'FE Déchets'!$G:$U,11,FALSE)+VLOOKUP($B53&amp;"; "&amp;$G$51,'FE Déchets'!$G:$U,12,FALSE)),0,
VLOOKUP($B53&amp;"; "&amp;$G$51,'FE Déchets'!$G:$U,11,FALSE)+VLOOKUP($B53&amp;"; "&amp;$G$51,'FE Déchets'!$G:$U,12,FALSE))</f>
        <v>0</v>
      </c>
      <c r="AG53" s="565"/>
      <c r="AH53" s="565"/>
      <c r="AI53" s="565"/>
      <c r="AJ53" s="565">
        <f>$F53*IF(ISNA(VLOOKUP($B53&amp;"; "&amp;$G$51,'FE Déchets'!$G:$U,13,FALSE)),0,VLOOKUP($B53&amp;"; "&amp;$G$51,'FE Déchets'!$G:$U,13,FALSE))</f>
        <v>0</v>
      </c>
      <c r="AK53" s="565"/>
      <c r="AL53" s="565"/>
      <c r="AM53" s="565"/>
      <c r="AN53" s="565">
        <f>$F53*IF(ISNA(VLOOKUP($B53&amp;"; "&amp;$G$51,'FE Déchets'!$G:$U,14,FALSE)),0,VLOOKUP($B53&amp;"; "&amp;$G$51,'FE Déchets'!$G:$U,14,FALSE))</f>
        <v>0</v>
      </c>
      <c r="AO53" s="565"/>
      <c r="AP53" s="565"/>
      <c r="AQ53" s="566"/>
      <c r="AR53" s="566">
        <f>SUM(AB53,AF53,AJ53,AN53)</f>
        <v>0</v>
      </c>
      <c r="AS53" s="566"/>
      <c r="AT53" s="566"/>
      <c r="AU53" s="564"/>
      <c r="AV53" s="565">
        <f>$F53*IF(ISNA(VLOOKUP($B53&amp;"; "&amp;$G$51,'FE Déchets'!$G:$U,15,FALSE)),0,VLOOKUP($B53&amp;"; "&amp;$G$51,'FE Déchets'!$G:$U,15,FALSE))</f>
        <v>0</v>
      </c>
      <c r="AW53" s="565"/>
      <c r="AX53" s="568"/>
      <c r="AZ53" s="2111">
        <f>IF($R53&lt;&gt;"votre valeur :",IF(ISNA(VLOOKUP($R53,Utilitaires!$N$566:$O$571,2,FALSE)),,VLOOKUP($R53,Utilitaires!$N$566:$O$571,2,FALSE)),$S53)</f>
        <v>0</v>
      </c>
      <c r="BA53" s="1130">
        <f>IF(ISNA(SQRT(SUMSQ(VLOOKUP($B53&amp;"; "&amp;$G$51,'FE Déchets'!$G:$U,7,FALSE),$AZ53))),0,SQRT(SUMSQ(VLOOKUP($B53&amp;"; "&amp;$G$51,'FE Déchets'!$G:$U,7,FALSE),$AZ53)))</f>
        <v>1</v>
      </c>
      <c r="BB53" s="2128"/>
      <c r="BC53" s="2128"/>
    </row>
    <row r="54" spans="2:56" outlineLevel="3">
      <c r="B54" s="389" t="s">
        <v>4974</v>
      </c>
      <c r="C54" s="341"/>
      <c r="D54" s="212">
        <f t="shared" si="43"/>
        <v>0</v>
      </c>
      <c r="E54" s="212"/>
      <c r="F54" s="2389"/>
      <c r="G54" s="219"/>
      <c r="H54" s="219"/>
      <c r="I54" s="219"/>
      <c r="J54" s="219">
        <f>IF(ISNA(VLOOKUP($B54&amp;"; "&amp;$G$51,'FE Déchets'!$G:$U,9,FALSE)), 0, VLOOKUP($B54&amp;"; "&amp;$G$51,'FE Déchets'!$G:$U,9,FALSE))</f>
        <v>9</v>
      </c>
      <c r="K54" s="151"/>
      <c r="L54" s="151"/>
      <c r="M54" s="151"/>
      <c r="N54" s="151"/>
      <c r="O54" s="152">
        <f t="shared" ref="O54:O57" si="44">F54*J54</f>
        <v>0</v>
      </c>
      <c r="Q54" s="226">
        <f>IF(X54=0,X54,X54/O54)</f>
        <v>0</v>
      </c>
      <c r="R54" s="1094"/>
      <c r="S54" s="820"/>
      <c r="T54" s="164"/>
      <c r="U54" s="164"/>
      <c r="V54" s="164"/>
      <c r="W54" s="164"/>
      <c r="X54" s="152">
        <f t="shared" ref="X54:X62" si="45">F54*J54*BA54</f>
        <v>0</v>
      </c>
      <c r="Y54" s="114"/>
      <c r="Z54" s="114"/>
      <c r="AA54" s="564"/>
      <c r="AB54" s="565">
        <f>$F54*IF(ISNA(VLOOKUP($B54&amp;"; "&amp;$G$51,'FE Déchets'!$G:$U,10,FALSE)),0,VLOOKUP($B54&amp;"; "&amp;$G$51,'FE Déchets'!$G:$U,10,FALSE))</f>
        <v>0</v>
      </c>
      <c r="AC54" s="565"/>
      <c r="AD54" s="565"/>
      <c r="AE54" s="565"/>
      <c r="AF54" s="565">
        <f>$F54*IF(ISNA(VLOOKUP($B54&amp;"; "&amp;$G51,'FE Déchets'!$G:$U,11,FALSE)+VLOOKUP($B54&amp;"; "&amp;$G$51,'FE Déchets'!$G:$U,12,FALSE)),0,
VLOOKUP($B54&amp;"; "&amp;$G$51,'FE Déchets'!$G:$U,11,FALSE)+VLOOKUP($B54&amp;"; "&amp;$G$51,'FE Déchets'!$G:$U,12,FALSE))</f>
        <v>0</v>
      </c>
      <c r="AG54" s="565"/>
      <c r="AH54" s="565"/>
      <c r="AI54" s="565"/>
      <c r="AJ54" s="565">
        <f>$F54*IF(ISNA(VLOOKUP($B54&amp;"; "&amp;$G$51,'FE Déchets'!$G:$U,13,FALSE)),0,VLOOKUP($B54&amp;"; "&amp;$G$51,'FE Déchets'!$G:$U,13,FALSE))</f>
        <v>0</v>
      </c>
      <c r="AK54" s="565"/>
      <c r="AL54" s="565"/>
      <c r="AM54" s="565"/>
      <c r="AN54" s="565">
        <f>$F54*IF(ISNA(VLOOKUP($B54&amp;"; "&amp;$G$51,'FE Déchets'!$G:$U,14,FALSE)),0,VLOOKUP($B54&amp;"; "&amp;$G$51,'FE Déchets'!$G:$U,14,FALSE))</f>
        <v>0</v>
      </c>
      <c r="AO54" s="565"/>
      <c r="AP54" s="565"/>
      <c r="AQ54" s="566"/>
      <c r="AR54" s="566">
        <f>SUM(AB54,AF54,AJ54,AN54)</f>
        <v>0</v>
      </c>
      <c r="AS54" s="566"/>
      <c r="AT54" s="566"/>
      <c r="AU54" s="564"/>
      <c r="AV54" s="565">
        <f>$F54*IF(ISNA(VLOOKUP($B54&amp;"; "&amp;$G$51,'FE Déchets'!$G:$U,15,FALSE)),0,VLOOKUP($B54&amp;"; "&amp;$G$51,'FE Déchets'!$G:$U,15,FALSE))</f>
        <v>0</v>
      </c>
      <c r="AW54" s="565"/>
      <c r="AX54" s="568"/>
      <c r="AZ54" s="2364">
        <f>IF($R54&lt;&gt;"votre valeur :",IF(ISNA(VLOOKUP($R54,Utilitaires!$N$566:$O$571,2,FALSE)),,VLOOKUP($R54,Utilitaires!$N$566:$O$571,2,FALSE)),$S54)</f>
        <v>0</v>
      </c>
      <c r="BA54" s="1130">
        <f>IF(ISNA(SQRT(SUMSQ(VLOOKUP($B54&amp;"; "&amp;$G$51,'FE Déchets'!$G:$U,7,FALSE),$AZ54))),0,SQRT(SUMSQ(VLOOKUP($B54&amp;"; "&amp;$G$51,'FE Déchets'!$G:$U,7,FALSE),$AZ54)))</f>
        <v>1</v>
      </c>
      <c r="BB54" s="2128"/>
      <c r="BC54" s="2128"/>
    </row>
    <row r="55" spans="2:56" outlineLevel="3">
      <c r="B55" s="389" t="s">
        <v>4975</v>
      </c>
      <c r="C55" s="341"/>
      <c r="D55" s="212">
        <f t="shared" ref="D55" si="46">O55</f>
        <v>0</v>
      </c>
      <c r="E55" s="212"/>
      <c r="F55" s="2389"/>
      <c r="G55" s="219"/>
      <c r="H55" s="219"/>
      <c r="I55" s="219"/>
      <c r="J55" s="219">
        <f>IF(ISNA(VLOOKUP($B55&amp;"; "&amp;$G$51,'FE Déchets'!$G:$U,9,FALSE)), 0, VLOOKUP($B55&amp;"; "&amp;$G$51,'FE Déchets'!$G:$U,9,FALSE))</f>
        <v>28</v>
      </c>
      <c r="K55" s="151"/>
      <c r="L55" s="151"/>
      <c r="M55" s="151"/>
      <c r="N55" s="151"/>
      <c r="O55" s="152">
        <f t="shared" si="44"/>
        <v>0</v>
      </c>
      <c r="Q55" s="226">
        <f>IF(X55=0,X55,X55/O55)</f>
        <v>0</v>
      </c>
      <c r="R55" s="1094"/>
      <c r="S55" s="820"/>
      <c r="T55" s="164"/>
      <c r="U55" s="164"/>
      <c r="V55" s="164"/>
      <c r="W55" s="164"/>
      <c r="X55" s="152">
        <f t="shared" si="45"/>
        <v>0</v>
      </c>
      <c r="Y55" s="114"/>
      <c r="Z55" s="114"/>
      <c r="AA55" s="564"/>
      <c r="AB55" s="565">
        <f>$F55*IF(ISNA(VLOOKUP($B55&amp;"; "&amp;$G$51,'FE Déchets'!$G:$U,10,FALSE)),0,VLOOKUP($B55&amp;"; "&amp;$G$51,'FE Déchets'!$G:$U,10,FALSE))</f>
        <v>0</v>
      </c>
      <c r="AC55" s="565"/>
      <c r="AD55" s="565"/>
      <c r="AE55" s="565"/>
      <c r="AF55" s="565">
        <f>$F55*IF(ISNA(VLOOKUP($B55&amp;"; "&amp;$G50,'FE Déchets'!$G:$U,11,FALSE)+VLOOKUP($B55&amp;"; "&amp;$G$51,'FE Déchets'!$G:$U,12,FALSE)),0,
VLOOKUP($B55&amp;"; "&amp;$G$51,'FE Déchets'!$G:$U,11,FALSE)+VLOOKUP($B55&amp;"; "&amp;$G$51,'FE Déchets'!$G:$U,12,FALSE))</f>
        <v>0</v>
      </c>
      <c r="AG55" s="565"/>
      <c r="AH55" s="565"/>
      <c r="AI55" s="565"/>
      <c r="AJ55" s="565">
        <f>$F55*IF(ISNA(VLOOKUP($B55&amp;"; "&amp;$G$51,'FE Déchets'!$G:$U,13,FALSE)),0,VLOOKUP($B55&amp;"; "&amp;$G$51,'FE Déchets'!$G:$U,13,FALSE))</f>
        <v>0</v>
      </c>
      <c r="AK55" s="565"/>
      <c r="AL55" s="565"/>
      <c r="AM55" s="565"/>
      <c r="AN55" s="565">
        <f>$F55*IF(ISNA(VLOOKUP($B55&amp;"; "&amp;$G$51,'FE Déchets'!$G:$U,14,FALSE)),0,VLOOKUP($B55&amp;"; "&amp;$G$51,'FE Déchets'!$G:$U,14,FALSE))</f>
        <v>0</v>
      </c>
      <c r="AO55" s="565"/>
      <c r="AP55" s="565"/>
      <c r="AQ55" s="566"/>
      <c r="AR55" s="566">
        <f>SUM(AB55,AF55,AJ55,AN55)</f>
        <v>0</v>
      </c>
      <c r="AS55" s="566"/>
      <c r="AT55" s="566"/>
      <c r="AU55" s="564"/>
      <c r="AV55" s="565">
        <f>$F55*IF(ISNA(VLOOKUP($B55&amp;"; "&amp;$G$51,'FE Déchets'!$G:$U,15,FALSE)),0,VLOOKUP($B55&amp;"; "&amp;$G$51,'FE Déchets'!$G:$U,15,FALSE))</f>
        <v>0</v>
      </c>
      <c r="AW55" s="565"/>
      <c r="AX55" s="568"/>
      <c r="AZ55" s="2364">
        <f>IF($R55&lt;&gt;"votre valeur :",IF(ISNA(VLOOKUP($R55,Utilitaires!$N$566:$O$571,2,FALSE)),,VLOOKUP($R55,Utilitaires!$N$566:$O$571,2,FALSE)),$S55)</f>
        <v>0</v>
      </c>
      <c r="BA55" s="1130">
        <f>IF(ISNA(SQRT(SUMSQ(VLOOKUP($B55&amp;"; "&amp;$G$51,'FE Déchets'!$G:$U,7,FALSE),$AZ55))),0,SQRT(SUMSQ(VLOOKUP($B55&amp;"; "&amp;$G$51,'FE Déchets'!$G:$U,7,FALSE),$AZ55)))</f>
        <v>1</v>
      </c>
      <c r="BB55" s="2128"/>
      <c r="BC55" s="2128"/>
    </row>
    <row r="56" spans="2:56" outlineLevel="3">
      <c r="B56" s="389" t="s">
        <v>4976</v>
      </c>
      <c r="C56" s="341"/>
      <c r="D56" s="212">
        <f t="shared" ref="D56" si="47">O56</f>
        <v>0</v>
      </c>
      <c r="E56" s="212"/>
      <c r="F56" s="2389"/>
      <c r="G56" s="219"/>
      <c r="H56" s="219"/>
      <c r="I56" s="219"/>
      <c r="J56" s="219">
        <f>IF(ISNA(VLOOKUP($B56&amp;"; "&amp;$G$51,'FE Déchets'!$G:$U,9,FALSE)), 0, VLOOKUP($B56&amp;"; "&amp;$G$51,'FE Déchets'!$G:$U,9,FALSE))</f>
        <v>45</v>
      </c>
      <c r="K56" s="151"/>
      <c r="L56" s="151"/>
      <c r="M56" s="151"/>
      <c r="N56" s="151"/>
      <c r="O56" s="152">
        <f t="shared" si="44"/>
        <v>0</v>
      </c>
      <c r="Q56" s="226">
        <f>IF(X56=0,X56,X56/O56)</f>
        <v>0</v>
      </c>
      <c r="R56" s="1094"/>
      <c r="S56" s="820"/>
      <c r="T56" s="164"/>
      <c r="U56" s="164"/>
      <c r="V56" s="164"/>
      <c r="W56" s="164"/>
      <c r="X56" s="152">
        <f t="shared" si="45"/>
        <v>0</v>
      </c>
      <c r="Y56" s="114"/>
      <c r="Z56" s="114"/>
      <c r="AA56" s="564"/>
      <c r="AB56" s="565">
        <f>$F56*IF(ISNA(VLOOKUP($B56&amp;"; "&amp;$G$51,'FE Déchets'!$G:$U,10,FALSE)),0,VLOOKUP($B56&amp;"; "&amp;$G$51,'FE Déchets'!$G:$U,10,FALSE))</f>
        <v>0</v>
      </c>
      <c r="AC56" s="565"/>
      <c r="AD56" s="565"/>
      <c r="AE56" s="565"/>
      <c r="AF56" s="565">
        <f>$F56*IF(ISNA(VLOOKUP($B56&amp;"; "&amp;$G51,'FE Déchets'!$G:$U,11,FALSE)+VLOOKUP($B56&amp;"; "&amp;$G$51,'FE Déchets'!$G:$U,12,FALSE)),0,
VLOOKUP($B56&amp;"; "&amp;$G$51,'FE Déchets'!$G:$U,11,FALSE)+VLOOKUP($B56&amp;"; "&amp;$G$51,'FE Déchets'!$G:$U,12,FALSE))</f>
        <v>0</v>
      </c>
      <c r="AG56" s="565"/>
      <c r="AH56" s="565"/>
      <c r="AI56" s="565"/>
      <c r="AJ56" s="565">
        <f>$F56*IF(ISNA(VLOOKUP($B56&amp;"; "&amp;$G$51,'FE Déchets'!$G:$U,13,FALSE)),0,VLOOKUP($B56&amp;"; "&amp;$G$51,'FE Déchets'!$G:$U,13,FALSE))</f>
        <v>0</v>
      </c>
      <c r="AK56" s="565"/>
      <c r="AL56" s="565"/>
      <c r="AM56" s="565"/>
      <c r="AN56" s="565">
        <f>$F56*IF(ISNA(VLOOKUP($B56&amp;"; "&amp;$G$51,'FE Déchets'!$G:$U,14,FALSE)),0,VLOOKUP($B56&amp;"; "&amp;$G$51,'FE Déchets'!$G:$U,14,FALSE))</f>
        <v>0</v>
      </c>
      <c r="AO56" s="565"/>
      <c r="AP56" s="565"/>
      <c r="AQ56" s="566"/>
      <c r="AR56" s="566">
        <f>SUM(AB56,AF56,AJ56,AN56)</f>
        <v>0</v>
      </c>
      <c r="AS56" s="566"/>
      <c r="AT56" s="566"/>
      <c r="AU56" s="564"/>
      <c r="AV56" s="565">
        <f>$F56*IF(ISNA(VLOOKUP($B56&amp;"; "&amp;$G$51,'FE Déchets'!$G:$U,15,FALSE)),0,VLOOKUP($B56&amp;"; "&amp;$G$51,'FE Déchets'!$G:$U,15,FALSE))</f>
        <v>0</v>
      </c>
      <c r="AW56" s="565"/>
      <c r="AX56" s="568"/>
      <c r="AZ56" s="2364">
        <f>IF($R56&lt;&gt;"votre valeur :",IF(ISNA(VLOOKUP($R56,Utilitaires!$N$566:$O$571,2,FALSE)),,VLOOKUP($R56,Utilitaires!$N$566:$O$571,2,FALSE)),$S56)</f>
        <v>0</v>
      </c>
      <c r="BA56" s="1130">
        <f>IF(ISNA(SQRT(SUMSQ(VLOOKUP($B56&amp;"; "&amp;$G$51,'FE Déchets'!$G:$U,7,FALSE),$AZ56))),0,SQRT(SUMSQ(VLOOKUP($B56&amp;"; "&amp;$G$51,'FE Déchets'!$G:$U,7,FALSE),$AZ56)))</f>
        <v>0.5</v>
      </c>
      <c r="BB56" s="2128"/>
      <c r="BC56" s="2128"/>
    </row>
    <row r="57" spans="2:56" outlineLevel="3">
      <c r="B57" s="389" t="s">
        <v>4977</v>
      </c>
      <c r="C57" s="341"/>
      <c r="D57" s="212">
        <f t="shared" si="43"/>
        <v>0</v>
      </c>
      <c r="E57" s="212"/>
      <c r="F57" s="2390"/>
      <c r="G57" s="219"/>
      <c r="H57" s="219"/>
      <c r="I57" s="219"/>
      <c r="J57" s="219">
        <f>IF(ISNA(VLOOKUP($B57&amp;"; "&amp;$G$51,'FE Déchets'!$G:$U,9,FALSE)), 0, VLOOKUP($B57&amp;"; "&amp;$G$51,'FE Déchets'!$G:$U,9,FALSE))</f>
        <v>20</v>
      </c>
      <c r="K57" s="151"/>
      <c r="L57" s="151"/>
      <c r="M57" s="151"/>
      <c r="N57" s="151"/>
      <c r="O57" s="152">
        <f t="shared" si="44"/>
        <v>0</v>
      </c>
      <c r="Q57" s="226">
        <f>IF(X57=0,X57,X57/O57)</f>
        <v>0</v>
      </c>
      <c r="R57" s="1094"/>
      <c r="S57" s="820"/>
      <c r="T57" s="164"/>
      <c r="U57" s="164"/>
      <c r="V57" s="164"/>
      <c r="W57" s="164"/>
      <c r="X57" s="152">
        <f t="shared" si="45"/>
        <v>0</v>
      </c>
      <c r="Y57" s="114"/>
      <c r="Z57" s="114"/>
      <c r="AA57" s="564"/>
      <c r="AB57" s="565">
        <f>$F57*IF(ISNA(VLOOKUP($B57&amp;"; "&amp;$G$51,'FE Déchets'!$G:$U,10,FALSE)),0,VLOOKUP($B57&amp;"; "&amp;$G$51,'FE Déchets'!$G:$U,10,FALSE))</f>
        <v>0</v>
      </c>
      <c r="AC57" s="565"/>
      <c r="AD57" s="565"/>
      <c r="AE57" s="565"/>
      <c r="AF57" s="565">
        <f>$F57*IF(ISNA(VLOOKUP($B57&amp;"; "&amp;$G52,'FE Déchets'!$G:$U,11,FALSE)+VLOOKUP($B57&amp;"; "&amp;$G$51,'FE Déchets'!$G:$U,12,FALSE)),0,
VLOOKUP($B57&amp;"; "&amp;$G$51,'FE Déchets'!$G:$U,11,FALSE)+VLOOKUP($B57&amp;"; "&amp;$G$51,'FE Déchets'!$G:$U,12,FALSE))</f>
        <v>0</v>
      </c>
      <c r="AG57" s="565"/>
      <c r="AH57" s="565"/>
      <c r="AI57" s="565"/>
      <c r="AJ57" s="565">
        <f>$F57*IF(ISNA(VLOOKUP($B57&amp;"; "&amp;$G$51,'FE Déchets'!$G:$U,13,FALSE)),0,VLOOKUP($B57&amp;"; "&amp;$G$51,'FE Déchets'!$G:$U,13,FALSE))</f>
        <v>0</v>
      </c>
      <c r="AK57" s="565"/>
      <c r="AL57" s="565"/>
      <c r="AM57" s="565"/>
      <c r="AN57" s="565">
        <f>$F57*IF(ISNA(VLOOKUP($B57&amp;"; "&amp;$G$51,'FE Déchets'!$G:$U,14,FALSE)),0,VLOOKUP($B57&amp;"; "&amp;$G$51,'FE Déchets'!$G:$U,14,FALSE))</f>
        <v>0</v>
      </c>
      <c r="AO57" s="565"/>
      <c r="AP57" s="565"/>
      <c r="AQ57" s="566"/>
      <c r="AR57" s="566">
        <f>SUM(AB57,AF57,AJ57,AN57)</f>
        <v>0</v>
      </c>
      <c r="AS57" s="566"/>
      <c r="AT57" s="566"/>
      <c r="AU57" s="564"/>
      <c r="AV57" s="565">
        <f>$F57*IF(ISNA(VLOOKUP($B57&amp;"; "&amp;$G$51,'FE Déchets'!$G:$U,15,FALSE)),0,VLOOKUP($B57&amp;"; "&amp;$G$51,'FE Déchets'!$G:$U,15,FALSE))</f>
        <v>0</v>
      </c>
      <c r="AW57" s="565"/>
      <c r="AX57" s="568"/>
      <c r="AZ57" s="1065">
        <f>IF($R57&lt;&gt;"votre valeur :",IF(ISNA(VLOOKUP($R57,Utilitaires!$N$566:$O$571,2,FALSE)),,VLOOKUP($R57,Utilitaires!$N$566:$O$571,2,FALSE)),$S57)</f>
        <v>0</v>
      </c>
      <c r="BA57" s="1130">
        <f>IF(ISNA(SQRT(SUMSQ(VLOOKUP($B57&amp;"; "&amp;$G$51,'FE Déchets'!$G:$U,7,FALSE),$AZ57))),0,SQRT(SUMSQ(VLOOKUP($B57&amp;"; "&amp;$G$51,'FE Déchets'!$G:$U,7,FALSE),$AZ57)))</f>
        <v>1</v>
      </c>
      <c r="BB57" s="2128"/>
      <c r="BC57" s="2128"/>
    </row>
    <row r="58" spans="2:56" outlineLevel="3">
      <c r="B58" s="389"/>
      <c r="C58" s="341"/>
      <c r="D58" s="212"/>
      <c r="E58" s="212"/>
      <c r="F58" s="177"/>
      <c r="G58" s="219"/>
      <c r="H58" s="219"/>
      <c r="I58" s="219"/>
      <c r="J58" s="219"/>
      <c r="K58" s="151"/>
      <c r="L58" s="151"/>
      <c r="M58" s="151"/>
      <c r="N58" s="151"/>
      <c r="O58" s="152"/>
      <c r="Q58" s="226"/>
      <c r="R58" s="177"/>
      <c r="S58" s="820"/>
      <c r="T58" s="164"/>
      <c r="U58" s="164"/>
      <c r="V58" s="164"/>
      <c r="W58" s="164"/>
      <c r="X58" s="152"/>
      <c r="Y58" s="114"/>
      <c r="Z58" s="114"/>
      <c r="AA58" s="564"/>
      <c r="AB58" s="565"/>
      <c r="AC58" s="565"/>
      <c r="AD58" s="565"/>
      <c r="AE58" s="565"/>
      <c r="AF58" s="565"/>
      <c r="AG58" s="565"/>
      <c r="AH58" s="565"/>
      <c r="AI58" s="565"/>
      <c r="AJ58" s="565"/>
      <c r="AK58" s="565"/>
      <c r="AL58" s="565"/>
      <c r="AM58" s="565"/>
      <c r="AN58" s="565"/>
      <c r="AO58" s="565"/>
      <c r="AP58" s="565"/>
      <c r="AQ58" s="566"/>
      <c r="AR58" s="566"/>
      <c r="AS58" s="566"/>
      <c r="AT58" s="566"/>
      <c r="AU58" s="564"/>
      <c r="AV58" s="565"/>
      <c r="AW58" s="565"/>
      <c r="AX58" s="568"/>
      <c r="AZ58" s="2394"/>
      <c r="BA58" s="1130"/>
      <c r="BB58" s="2128"/>
      <c r="BC58" s="2128"/>
    </row>
    <row r="59" spans="2:56" outlineLevel="3">
      <c r="B59" s="2386" t="s">
        <v>2353</v>
      </c>
      <c r="C59" s="341"/>
      <c r="D59" s="212"/>
      <c r="E59" s="212"/>
      <c r="F59" s="177"/>
      <c r="G59" s="219"/>
      <c r="H59" s="219"/>
      <c r="I59" s="219"/>
      <c r="J59" s="219"/>
      <c r="K59" s="151"/>
      <c r="L59" s="151"/>
      <c r="M59" s="151"/>
      <c r="N59" s="151"/>
      <c r="O59" s="152"/>
      <c r="Q59" s="226"/>
      <c r="R59" s="177"/>
      <c r="S59" s="820"/>
      <c r="T59" s="164"/>
      <c r="U59" s="164"/>
      <c r="V59" s="164"/>
      <c r="W59" s="164"/>
      <c r="X59" s="152"/>
      <c r="Y59" s="114"/>
      <c r="Z59" s="114"/>
      <c r="AA59" s="564"/>
      <c r="AB59" s="565"/>
      <c r="AC59" s="565"/>
      <c r="AD59" s="565"/>
      <c r="AE59" s="565"/>
      <c r="AF59" s="565"/>
      <c r="AG59" s="565"/>
      <c r="AH59" s="565"/>
      <c r="AI59" s="565"/>
      <c r="AJ59" s="565"/>
      <c r="AK59" s="565"/>
      <c r="AL59" s="565"/>
      <c r="AM59" s="565"/>
      <c r="AN59" s="565"/>
      <c r="AO59" s="565"/>
      <c r="AP59" s="565"/>
      <c r="AQ59" s="566"/>
      <c r="AR59" s="566"/>
      <c r="AS59" s="566"/>
      <c r="AT59" s="566"/>
      <c r="AU59" s="564"/>
      <c r="AV59" s="565"/>
      <c r="AW59" s="565"/>
      <c r="AX59" s="568"/>
      <c r="AZ59" s="2394"/>
      <c r="BA59" s="1130"/>
      <c r="BB59" s="2128"/>
      <c r="BC59" s="2128"/>
    </row>
    <row r="60" spans="2:56" outlineLevel="2">
      <c r="B60" s="389" t="s">
        <v>4993</v>
      </c>
      <c r="C60" s="341"/>
      <c r="D60" s="212">
        <f t="shared" si="43"/>
        <v>0</v>
      </c>
      <c r="E60" s="212"/>
      <c r="F60" s="117"/>
      <c r="G60" s="219"/>
      <c r="H60" s="219"/>
      <c r="I60" s="219"/>
      <c r="J60" s="219">
        <f>IF(ISNA(VLOOKUP($B60&amp;"; "&amp;$G$51,'FE Déchets'!$G:$U,9,FALSE)), 0, VLOOKUP($B60&amp;"; "&amp;$G$51,'FE Déchets'!$G:$U,9,FALSE))</f>
        <v>386</v>
      </c>
      <c r="K60" s="151"/>
      <c r="L60" s="151"/>
      <c r="M60" s="151"/>
      <c r="N60" s="151"/>
      <c r="O60" s="152">
        <f>F60*J60</f>
        <v>0</v>
      </c>
      <c r="Q60" s="226">
        <f t="shared" ref="Q60:Q62" si="48">IF(X60=0,X60,X60/O60)</f>
        <v>0</v>
      </c>
      <c r="R60" s="117"/>
      <c r="S60" s="820"/>
      <c r="T60" s="164"/>
      <c r="U60" s="164"/>
      <c r="V60" s="164"/>
      <c r="W60" s="164"/>
      <c r="X60" s="152">
        <f t="shared" si="45"/>
        <v>0</v>
      </c>
      <c r="Y60" s="114"/>
      <c r="Z60" s="114"/>
      <c r="AA60" s="564"/>
      <c r="AB60" s="565">
        <f>$F60*IF(ISNA(VLOOKUP($B60&amp;"; "&amp;$G$51,'FE Déchets'!$G:$U,10,FALSE)),0,VLOOKUP($B60&amp;"; "&amp;$G$51,'FE Déchets'!$G:$U,10,FALSE))</f>
        <v>0</v>
      </c>
      <c r="AC60" s="565"/>
      <c r="AD60" s="565"/>
      <c r="AE60" s="565"/>
      <c r="AF60" s="565">
        <f>$F60*IF(ISNA(VLOOKUP($B60&amp;"; "&amp;$G$51,'FE Déchets'!$G:$U,11,FALSE)+VLOOKUP($B60&amp;"; "&amp;$G$51,'FE Déchets'!$G:$U,12,FALSE)),0,
VLOOKUP($B60&amp;"; "&amp;$G$51,'FE Déchets'!$G:$U,11,FALSE)+VLOOKUP($B60&amp;"; "&amp;$G$51,'FE Déchets'!$G:$U,12,FALSE))</f>
        <v>0</v>
      </c>
      <c r="AG60" s="565"/>
      <c r="AH60" s="565"/>
      <c r="AI60" s="565"/>
      <c r="AJ60" s="565">
        <f>$F60*IF(ISNA(VLOOKUP($B60&amp;"; "&amp;$G$51,'FE Déchets'!$G:$U,13,FALSE)),0,VLOOKUP($B60&amp;"; "&amp;$G$51,'FE Déchets'!$G:$U,13,FALSE))</f>
        <v>0</v>
      </c>
      <c r="AK60" s="565"/>
      <c r="AL60" s="565"/>
      <c r="AM60" s="565"/>
      <c r="AN60" s="565">
        <f>$F60*IF(ISNA(VLOOKUP($B60&amp;"; "&amp;$G$51,'FE Déchets'!$G:$U,13,FALSE)),0,VLOOKUP($B60&amp;"; "&amp;$G$51,'FE Déchets'!$G:$U,13,FALSE))</f>
        <v>0</v>
      </c>
      <c r="AO60" s="565"/>
      <c r="AP60" s="565"/>
      <c r="AQ60" s="566"/>
      <c r="AR60" s="566">
        <f>SUM(AB60,AF60,AJ60,AN60)</f>
        <v>0</v>
      </c>
      <c r="AS60" s="566"/>
      <c r="AT60" s="566"/>
      <c r="AU60" s="564"/>
      <c r="AV60" s="565">
        <f>$F60*IF(ISNA(VLOOKUP($B60&amp;"; "&amp;$G$51,'FE Déchets'!$G:$U,15,FALSE)),0,VLOOKUP($B60&amp;"; "&amp;$G$51,'FE Déchets'!$G:$U,15,FALSE))</f>
        <v>0</v>
      </c>
      <c r="AW60" s="565"/>
      <c r="AX60" s="568"/>
      <c r="AZ60" s="2394">
        <f>IF($R60&lt;&gt;"votre valeur :",IF(ISNA(VLOOKUP($R60,Utilitaires!$N$566:$O$571,2,FALSE)),,VLOOKUP($R60,Utilitaires!$N$566:$O$571,2,FALSE)),$S60)</f>
        <v>0</v>
      </c>
      <c r="BA60" s="1130">
        <f>IF(ISNA(SQRT(SUMSQ(VLOOKUP($B60&amp;"; "&amp;$G$51,'FE Déchets'!$G:$U,7,FALSE),$AZ60))),0,SQRT(SUMSQ(VLOOKUP($B60&amp;"; "&amp;$G$51,'FE Déchets'!$G:$U,7,FALSE),$AZ60)))</f>
        <v>0.5</v>
      </c>
      <c r="BB60" s="2128"/>
      <c r="BC60" s="2128"/>
      <c r="BD60" s="2128"/>
    </row>
    <row r="61" spans="2:56" outlineLevel="2">
      <c r="B61" s="389" t="s">
        <v>4994</v>
      </c>
      <c r="C61" s="341"/>
      <c r="D61" s="212">
        <f t="shared" si="43"/>
        <v>0</v>
      </c>
      <c r="E61" s="212"/>
      <c r="F61" s="120"/>
      <c r="G61" s="219"/>
      <c r="H61" s="219"/>
      <c r="I61" s="219"/>
      <c r="J61" s="219">
        <f>IF(ISNA(VLOOKUP($B61&amp;"; "&amp;$G$51,'FE Déchets'!$G:$U,9,FALSE)), 0, VLOOKUP($B61&amp;"; "&amp;$G$51,'FE Déchets'!$G:$U,9,FALSE))</f>
        <v>412</v>
      </c>
      <c r="K61" s="151"/>
      <c r="L61" s="151"/>
      <c r="M61" s="151"/>
      <c r="N61" s="151"/>
      <c r="O61" s="152">
        <f t="shared" ref="O61:O62" si="49">F61*J61</f>
        <v>0</v>
      </c>
      <c r="Q61" s="226">
        <f t="shared" si="48"/>
        <v>0</v>
      </c>
      <c r="R61" s="120"/>
      <c r="S61" s="820"/>
      <c r="T61" s="164"/>
      <c r="U61" s="164"/>
      <c r="V61" s="164"/>
      <c r="W61" s="164"/>
      <c r="X61" s="152">
        <f t="shared" si="45"/>
        <v>0</v>
      </c>
      <c r="Y61" s="114"/>
      <c r="Z61" s="114"/>
      <c r="AA61" s="564"/>
      <c r="AB61" s="565">
        <f>$F61*IF(ISNA(VLOOKUP($B61&amp;"; "&amp;$G$51,'FE Déchets'!$G:$U,10,FALSE)),0,VLOOKUP($B61&amp;"; "&amp;$G$51,'FE Déchets'!$G:$U,10,FALSE))</f>
        <v>0</v>
      </c>
      <c r="AC61" s="565"/>
      <c r="AD61" s="565"/>
      <c r="AE61" s="565"/>
      <c r="AF61" s="565">
        <f>$F61*IF(ISNA(VLOOKUP($B61&amp;"; "&amp;$G$51,'FE Déchets'!$G:$U,11,FALSE)+VLOOKUP($B61&amp;"; "&amp;$G$51,'FE Déchets'!$G:$U,12,FALSE)),0,
VLOOKUP($B61&amp;"; "&amp;$G$51,'FE Déchets'!$G:$U,11,FALSE)+VLOOKUP($B61&amp;"; "&amp;$G$51,'FE Déchets'!$G:$U,12,FALSE))</f>
        <v>0</v>
      </c>
      <c r="AG61" s="565"/>
      <c r="AH61" s="565"/>
      <c r="AI61" s="565"/>
      <c r="AJ61" s="565">
        <f>$F61*IF(ISNA(VLOOKUP($B61&amp;"; "&amp;$G$51,'FE Déchets'!$G:$U,13,FALSE)),0,VLOOKUP($B61&amp;"; "&amp;$G$51,'FE Déchets'!$G:$U,13,FALSE))</f>
        <v>0</v>
      </c>
      <c r="AK61" s="565"/>
      <c r="AL61" s="565"/>
      <c r="AM61" s="565"/>
      <c r="AN61" s="565">
        <f>$F61*IF(ISNA(VLOOKUP($B61&amp;"; "&amp;$G$51,'FE Déchets'!$G:$U,13,FALSE)),0,VLOOKUP($B61&amp;"; "&amp;$G$51,'FE Déchets'!$G:$U,13,FALSE))</f>
        <v>0</v>
      </c>
      <c r="AO61" s="565"/>
      <c r="AP61" s="565"/>
      <c r="AQ61" s="566"/>
      <c r="AR61" s="566">
        <f t="shared" ref="AR61:AR62" si="50">SUM(AB61,AF61,AJ61,AN61)</f>
        <v>0</v>
      </c>
      <c r="AS61" s="566"/>
      <c r="AT61" s="566"/>
      <c r="AU61" s="564"/>
      <c r="AV61" s="565">
        <f>$F61*IF(ISNA(VLOOKUP($B61&amp;"; "&amp;$G$51,'FE Déchets'!$G:$U,15,FALSE)),0,VLOOKUP($B61&amp;"; "&amp;$G$51,'FE Déchets'!$G:$U,15,FALSE))</f>
        <v>0</v>
      </c>
      <c r="AW61" s="565"/>
      <c r="AX61" s="568"/>
      <c r="AZ61" s="2394">
        <f>IF($R61&lt;&gt;"votre valeur :",IF(ISNA(VLOOKUP($R61,Utilitaires!$N$566:$O$571,2,FALSE)),,VLOOKUP($R61,Utilitaires!$N$566:$O$571,2,FALSE)),$S61)</f>
        <v>0</v>
      </c>
      <c r="BA61" s="1130">
        <f>IF(ISNA(SQRT(SUMSQ(VLOOKUP($B61&amp;"; "&amp;$G$51,'FE Déchets'!$G:$U,7,FALSE),$AZ61))),0,SQRT(SUMSQ(VLOOKUP($B61&amp;"; "&amp;$G$51,'FE Déchets'!$G:$U,7,FALSE),$AZ61)))</f>
        <v>1</v>
      </c>
      <c r="BB61" s="2128"/>
      <c r="BC61" s="2128"/>
      <c r="BD61" s="2128"/>
    </row>
    <row r="62" spans="2:56" outlineLevel="2">
      <c r="B62" s="389" t="s">
        <v>4995</v>
      </c>
      <c r="C62" s="341"/>
      <c r="D62" s="212">
        <f t="shared" si="43"/>
        <v>0</v>
      </c>
      <c r="E62" s="212"/>
      <c r="F62" s="123"/>
      <c r="G62" s="219"/>
      <c r="H62" s="219"/>
      <c r="I62" s="219"/>
      <c r="J62" s="219">
        <f>IF(ISNA(VLOOKUP($B62&amp;"; "&amp;$G$51,'FE Déchets'!$G:$U,9,FALSE)), 0, VLOOKUP($B62&amp;"; "&amp;$G$51,'FE Déchets'!$G:$U,9,FALSE))</f>
        <v>374</v>
      </c>
      <c r="K62" s="151"/>
      <c r="L62" s="151"/>
      <c r="M62" s="151"/>
      <c r="N62" s="151"/>
      <c r="O62" s="152">
        <f t="shared" si="49"/>
        <v>0</v>
      </c>
      <c r="Q62" s="226">
        <f t="shared" si="48"/>
        <v>0</v>
      </c>
      <c r="R62" s="123"/>
      <c r="S62" s="820"/>
      <c r="T62" s="164"/>
      <c r="U62" s="164"/>
      <c r="V62" s="164"/>
      <c r="W62" s="164"/>
      <c r="X62" s="152">
        <f t="shared" si="45"/>
        <v>0</v>
      </c>
      <c r="Y62" s="114"/>
      <c r="Z62" s="114"/>
      <c r="AA62" s="564"/>
      <c r="AB62" s="565">
        <f>$F62*IF(ISNA(VLOOKUP($B62&amp;"; "&amp;$G$51,'FE Déchets'!$G:$U,10,FALSE)),0,VLOOKUP($B62&amp;"; "&amp;$G$51,'FE Déchets'!$G:$U,10,FALSE))</f>
        <v>0</v>
      </c>
      <c r="AC62" s="565"/>
      <c r="AD62" s="565"/>
      <c r="AE62" s="565"/>
      <c r="AF62" s="565">
        <f>$F62*IF(ISNA(VLOOKUP($B62&amp;"; "&amp;$G$51,'FE Déchets'!$G:$U,11,FALSE)+VLOOKUP($B62&amp;"; "&amp;$G$51,'FE Déchets'!$G:$U,12,FALSE)),0,
VLOOKUP($B62&amp;"; "&amp;$G$51,'FE Déchets'!$G:$U,11,FALSE)+VLOOKUP($B62&amp;"; "&amp;$G$51,'FE Déchets'!$G:$U,12,FALSE))</f>
        <v>0</v>
      </c>
      <c r="AG62" s="565"/>
      <c r="AH62" s="565"/>
      <c r="AI62" s="565"/>
      <c r="AJ62" s="565">
        <f>$F62*IF(ISNA(VLOOKUP($B62&amp;"; "&amp;$G$51,'FE Déchets'!$G:$U,13,FALSE)),0,VLOOKUP($B62&amp;"; "&amp;$G$51,'FE Déchets'!$G:$U,13,FALSE))</f>
        <v>0</v>
      </c>
      <c r="AK62" s="565"/>
      <c r="AL62" s="565"/>
      <c r="AM62" s="565"/>
      <c r="AN62" s="565">
        <f>$F62*IF(ISNA(VLOOKUP($B62&amp;"; "&amp;$G$51,'FE Déchets'!$G:$U,13,FALSE)),0,VLOOKUP($B62&amp;"; "&amp;$G$51,'FE Déchets'!$G:$U,13,FALSE))</f>
        <v>0</v>
      </c>
      <c r="AO62" s="565"/>
      <c r="AP62" s="565"/>
      <c r="AQ62" s="566"/>
      <c r="AR62" s="566">
        <f t="shared" si="50"/>
        <v>0</v>
      </c>
      <c r="AS62" s="566"/>
      <c r="AT62" s="566"/>
      <c r="AU62" s="564"/>
      <c r="AV62" s="565">
        <f>$F62*IF(ISNA(VLOOKUP($B62&amp;"; "&amp;$G$51,'FE Déchets'!$G:$U,15,FALSE)),0,VLOOKUP($B62&amp;"; "&amp;$G$51,'FE Déchets'!$G:$U,15,FALSE))</f>
        <v>0</v>
      </c>
      <c r="AW62" s="565"/>
      <c r="AX62" s="568"/>
      <c r="AZ62" s="2394">
        <f>IF($R62&lt;&gt;"votre valeur :",IF(ISNA(VLOOKUP($R62,Utilitaires!$N$566:$O$571,2,FALSE)),,VLOOKUP($R62,Utilitaires!$N$566:$O$571,2,FALSE)),$S62)</f>
        <v>0</v>
      </c>
      <c r="BA62" s="1130">
        <f>IF(ISNA(SQRT(SUMSQ(VLOOKUP($B62&amp;"; "&amp;$G$51,'FE Déchets'!$G:$U,7,FALSE),$AZ62))),0,SQRT(SUMSQ(VLOOKUP($B62&amp;"; "&amp;$G$51,'FE Déchets'!$G:$U,7,FALSE),$AZ62)))</f>
        <v>0.2</v>
      </c>
      <c r="BB62" s="2128"/>
      <c r="BC62" s="2128"/>
      <c r="BD62" s="2128"/>
    </row>
    <row r="63" spans="2:56" outlineLevel="2">
      <c r="B63" s="154"/>
      <c r="C63" s="155"/>
      <c r="D63" s="390"/>
      <c r="E63" s="390"/>
      <c r="F63" s="169"/>
      <c r="G63" s="360"/>
      <c r="H63" s="360"/>
      <c r="I63" s="360"/>
      <c r="J63" s="360"/>
      <c r="K63" s="354"/>
      <c r="L63" s="354"/>
      <c r="M63" s="354"/>
      <c r="N63" s="354"/>
      <c r="O63" s="156"/>
      <c r="Q63" s="226"/>
      <c r="R63" s="155"/>
      <c r="S63" s="155"/>
      <c r="T63" s="164"/>
      <c r="U63" s="164"/>
      <c r="V63" s="164"/>
      <c r="W63" s="164"/>
      <c r="X63" s="367"/>
      <c r="Y63" s="114"/>
      <c r="Z63" s="114"/>
      <c r="AA63" s="569"/>
      <c r="AB63" s="625"/>
      <c r="AC63" s="625"/>
      <c r="AD63" s="625"/>
      <c r="AE63" s="625"/>
      <c r="AF63" s="625"/>
      <c r="AG63" s="625"/>
      <c r="AH63" s="625"/>
      <c r="AI63" s="625"/>
      <c r="AJ63" s="625"/>
      <c r="AK63" s="625"/>
      <c r="AL63" s="625"/>
      <c r="AM63" s="625"/>
      <c r="AN63" s="625"/>
      <c r="AO63" s="625"/>
      <c r="AP63" s="625"/>
      <c r="AQ63" s="566"/>
      <c r="AR63" s="566"/>
      <c r="AS63" s="566"/>
      <c r="AT63" s="566"/>
      <c r="AU63" s="1411"/>
      <c r="AV63" s="1313"/>
      <c r="AW63" s="625"/>
      <c r="AX63" s="570"/>
      <c r="AZ63" s="1087"/>
      <c r="BA63" s="1131"/>
      <c r="BB63" s="2387"/>
      <c r="BC63" s="2387"/>
    </row>
    <row r="64" spans="2:56" outlineLevel="1">
      <c r="B64" s="1264" t="s">
        <v>348</v>
      </c>
      <c r="C64" s="197"/>
      <c r="D64" s="214">
        <f>SUM(D60:D63)</f>
        <v>0</v>
      </c>
      <c r="E64" s="214"/>
      <c r="F64" s="203"/>
      <c r="G64" s="203"/>
      <c r="H64" s="202"/>
      <c r="I64" s="203"/>
      <c r="J64" s="203"/>
      <c r="K64" s="202"/>
      <c r="L64" s="202"/>
      <c r="M64" s="202"/>
      <c r="N64" s="202"/>
      <c r="O64" s="200">
        <f>SUM(O53:O63)</f>
        <v>0</v>
      </c>
      <c r="Q64" s="1204">
        <f>IF(X64=0,X64,X64/O64)</f>
        <v>0</v>
      </c>
      <c r="R64" s="199"/>
      <c r="S64" s="199"/>
      <c r="T64" s="204"/>
      <c r="U64" s="204"/>
      <c r="V64" s="204"/>
      <c r="W64" s="204"/>
      <c r="X64" s="200">
        <f>SQRT(SUMSQ(X53:X63))</f>
        <v>0</v>
      </c>
      <c r="Y64" s="114"/>
      <c r="Z64" s="114"/>
      <c r="AA64" s="1082"/>
      <c r="AB64" s="572">
        <f>SUM(AB53:AB63)</f>
        <v>0</v>
      </c>
      <c r="AC64" s="572"/>
      <c r="AD64" s="572"/>
      <c r="AE64" s="572"/>
      <c r="AF64" s="572">
        <f>SUM(AF53:AF63)</f>
        <v>0</v>
      </c>
      <c r="AG64" s="572"/>
      <c r="AH64" s="572"/>
      <c r="AI64" s="572"/>
      <c r="AJ64" s="572">
        <f>SUM(AJ53:AJ63)</f>
        <v>0</v>
      </c>
      <c r="AK64" s="572"/>
      <c r="AL64" s="572"/>
      <c r="AM64" s="572"/>
      <c r="AN64" s="572">
        <f>SUM(AN53:AN63)</f>
        <v>0</v>
      </c>
      <c r="AO64" s="572"/>
      <c r="AP64" s="572"/>
      <c r="AQ64" s="573"/>
      <c r="AR64" s="573">
        <f>SUM(AR53:AR63)</f>
        <v>0</v>
      </c>
      <c r="AS64" s="573"/>
      <c r="AT64" s="573"/>
      <c r="AU64" s="1082"/>
      <c r="AV64" s="572">
        <f>SUM(AV53:AV63)</f>
        <v>0</v>
      </c>
      <c r="AW64" s="572"/>
      <c r="AX64" s="575"/>
    </row>
    <row r="65" spans="2:56" outlineLevel="1">
      <c r="V65" s="441"/>
      <c r="X65" s="114"/>
      <c r="Z65" s="114"/>
      <c r="AP65" s="441"/>
      <c r="AQ65" s="441"/>
      <c r="AR65" s="441"/>
      <c r="AS65" s="441"/>
      <c r="AU65" s="441"/>
      <c r="AV65" s="441"/>
      <c r="AW65" s="441"/>
      <c r="AX65" s="441"/>
    </row>
    <row r="66" spans="2:56" ht="12.75" customHeight="1" outlineLevel="1" collapsed="1">
      <c r="B66" s="1091" t="s">
        <v>4978</v>
      </c>
      <c r="C66" s="140"/>
      <c r="D66" s="1361"/>
      <c r="E66" s="1648"/>
      <c r="F66" s="1361"/>
      <c r="G66" s="1361"/>
      <c r="H66" s="1361"/>
      <c r="I66" s="1361"/>
      <c r="J66" s="1361"/>
      <c r="K66" s="1361"/>
      <c r="L66" s="1361"/>
      <c r="M66" s="1361"/>
      <c r="N66" s="1412"/>
      <c r="O66" s="1362"/>
      <c r="Q66" s="2636" t="s">
        <v>366</v>
      </c>
      <c r="R66" s="2637"/>
      <c r="S66" s="2637"/>
      <c r="T66" s="2637"/>
      <c r="U66" s="2637"/>
      <c r="V66" s="2637"/>
      <c r="W66" s="2637"/>
      <c r="X66" s="2638"/>
      <c r="Y66" s="114"/>
      <c r="Z66" s="114"/>
      <c r="AA66" s="2639" t="s">
        <v>441</v>
      </c>
      <c r="AB66" s="2640"/>
      <c r="AC66" s="2640"/>
      <c r="AD66" s="2640"/>
      <c r="AE66" s="2640"/>
      <c r="AF66" s="2640"/>
      <c r="AG66" s="2640"/>
      <c r="AH66" s="2640"/>
      <c r="AI66" s="2640"/>
      <c r="AJ66" s="2640"/>
      <c r="AK66" s="2640"/>
      <c r="AL66" s="2640"/>
      <c r="AM66" s="2640"/>
      <c r="AN66" s="2640"/>
      <c r="AO66" s="2640"/>
      <c r="AP66" s="2640"/>
      <c r="AQ66" s="2640"/>
      <c r="AR66" s="2640"/>
      <c r="AS66" s="2640"/>
      <c r="AT66" s="2640"/>
      <c r="AU66" s="2640"/>
      <c r="AV66" s="2640"/>
      <c r="AW66" s="2640"/>
      <c r="AX66" s="2641"/>
    </row>
    <row r="67" spans="2:56" ht="12.75" hidden="1" customHeight="1" outlineLevel="2">
      <c r="B67" s="332"/>
      <c r="C67" s="167"/>
      <c r="D67" s="1367" t="s">
        <v>308</v>
      </c>
      <c r="E67" s="1663"/>
      <c r="F67" s="1367"/>
      <c r="G67" s="1367"/>
      <c r="H67" s="1367"/>
      <c r="I67" s="1367"/>
      <c r="J67" s="1367"/>
      <c r="K67" s="1357"/>
      <c r="L67" s="1357"/>
      <c r="M67" s="1357"/>
      <c r="N67" s="565"/>
      <c r="O67" s="1372"/>
      <c r="Q67" s="1356"/>
      <c r="R67" s="819"/>
      <c r="S67" s="819"/>
      <c r="T67" s="1355"/>
      <c r="U67" s="1355"/>
      <c r="V67" s="1355"/>
      <c r="W67" s="1355"/>
      <c r="X67" s="145"/>
      <c r="Y67" s="114"/>
      <c r="Z67" s="114"/>
      <c r="AA67" s="2642" t="s">
        <v>444</v>
      </c>
      <c r="AB67" s="2643"/>
      <c r="AC67" s="2643"/>
      <c r="AD67" s="2643"/>
      <c r="AE67" s="2643"/>
      <c r="AF67" s="2643"/>
      <c r="AG67" s="2643"/>
      <c r="AH67" s="2643"/>
      <c r="AI67" s="2643"/>
      <c r="AJ67" s="2643"/>
      <c r="AK67" s="2643"/>
      <c r="AL67" s="2643"/>
      <c r="AM67" s="2643"/>
      <c r="AN67" s="2643"/>
      <c r="AO67" s="2643"/>
      <c r="AP67" s="2643"/>
      <c r="AQ67" s="2643" t="s">
        <v>444</v>
      </c>
      <c r="AR67" s="2643"/>
      <c r="AS67" s="2643"/>
      <c r="AT67" s="2644"/>
      <c r="AU67" s="1359"/>
      <c r="AV67" s="1352"/>
      <c r="AW67" s="1352"/>
      <c r="AX67" s="1360"/>
      <c r="AZ67" s="2828" t="s">
        <v>1648</v>
      </c>
      <c r="BA67" s="2829"/>
      <c r="BB67" s="1774"/>
      <c r="BC67" s="1774"/>
      <c r="BD67" s="1774"/>
    </row>
    <row r="68" spans="2:56" ht="12.75" hidden="1" customHeight="1" outlineLevel="2">
      <c r="B68" s="1356"/>
      <c r="C68" s="1357"/>
      <c r="D68" s="1357" t="s">
        <v>409</v>
      </c>
      <c r="E68" s="1656"/>
      <c r="F68" s="1364" t="s">
        <v>199</v>
      </c>
      <c r="G68" s="2626" t="s">
        <v>1585</v>
      </c>
      <c r="H68" s="2628"/>
      <c r="I68" s="2628"/>
      <c r="J68" s="2628"/>
      <c r="K68" s="2628"/>
      <c r="L68" s="2628"/>
      <c r="M68" s="2628"/>
      <c r="N68" s="2628"/>
      <c r="O68" s="1372" t="s">
        <v>444</v>
      </c>
      <c r="Q68" s="1356" t="s">
        <v>316</v>
      </c>
      <c r="R68" s="2629" t="s">
        <v>316</v>
      </c>
      <c r="S68" s="2630"/>
      <c r="T68" s="1357"/>
      <c r="U68" s="1357"/>
      <c r="V68" s="1357"/>
      <c r="W68" s="1357"/>
      <c r="X68" s="1372" t="s">
        <v>444</v>
      </c>
      <c r="Y68" s="114"/>
      <c r="Z68" s="114"/>
      <c r="AA68" s="2631" t="s">
        <v>211</v>
      </c>
      <c r="AB68" s="2632"/>
      <c r="AC68" s="2632"/>
      <c r="AD68" s="2632"/>
      <c r="AE68" s="2632" t="s">
        <v>442</v>
      </c>
      <c r="AF68" s="2632"/>
      <c r="AG68" s="2632"/>
      <c r="AH68" s="2632"/>
      <c r="AI68" s="2632" t="s">
        <v>267</v>
      </c>
      <c r="AJ68" s="2632"/>
      <c r="AK68" s="2632"/>
      <c r="AL68" s="2632"/>
      <c r="AM68" s="2632" t="s">
        <v>443</v>
      </c>
      <c r="AN68" s="2632"/>
      <c r="AO68" s="2632"/>
      <c r="AP68" s="2632"/>
      <c r="AQ68" s="2648" t="s">
        <v>327</v>
      </c>
      <c r="AR68" s="2648"/>
      <c r="AS68" s="2648"/>
      <c r="AT68" s="2649"/>
      <c r="AU68" s="1373"/>
      <c r="AV68" s="1354" t="s">
        <v>636</v>
      </c>
      <c r="AW68" s="566"/>
      <c r="AX68" s="567"/>
      <c r="AZ68" s="1368" t="s">
        <v>530</v>
      </c>
      <c r="BA68" s="2365" t="s">
        <v>2187</v>
      </c>
      <c r="BB68" s="1774"/>
      <c r="BC68" s="1774"/>
      <c r="BD68" s="1774"/>
    </row>
    <row r="69" spans="2:56" ht="12.75" hidden="1" customHeight="1" outlineLevel="2">
      <c r="B69" s="1002" t="s">
        <v>4979</v>
      </c>
      <c r="C69" s="1357"/>
      <c r="D69" s="1357" t="s">
        <v>444</v>
      </c>
      <c r="E69" s="1656"/>
      <c r="F69" s="1365" t="s">
        <v>22</v>
      </c>
      <c r="G69" s="1366"/>
      <c r="H69" s="1366"/>
      <c r="I69" s="1366"/>
      <c r="J69" s="1366"/>
      <c r="K69" s="1358"/>
      <c r="L69" s="581"/>
      <c r="M69" s="1358"/>
      <c r="N69" s="1358"/>
      <c r="O69" s="1372"/>
      <c r="Q69" s="1356" t="s">
        <v>1649</v>
      </c>
      <c r="R69" s="2646" t="s">
        <v>1650</v>
      </c>
      <c r="S69" s="2647"/>
      <c r="T69" s="1366"/>
      <c r="U69" s="1375"/>
      <c r="V69" s="1375"/>
      <c r="W69" s="1375"/>
      <c r="X69" s="1372"/>
      <c r="Y69" s="114"/>
      <c r="Z69" s="114"/>
      <c r="AA69" s="227"/>
      <c r="AB69" s="1366"/>
      <c r="AC69" s="1366"/>
      <c r="AD69" s="1366"/>
      <c r="AE69" s="1366"/>
      <c r="AF69" s="1366"/>
      <c r="AG69" s="1366"/>
      <c r="AH69" s="1366"/>
      <c r="AI69" s="1366"/>
      <c r="AJ69" s="1366"/>
      <c r="AK69" s="1366"/>
      <c r="AL69" s="1366"/>
      <c r="AM69" s="1366"/>
      <c r="AN69" s="1366"/>
      <c r="AO69" s="1366"/>
      <c r="AP69" s="1366"/>
      <c r="AQ69" s="1366"/>
      <c r="AR69" s="1366"/>
      <c r="AS69" s="1366"/>
      <c r="AT69" s="1366"/>
      <c r="AU69" s="227"/>
      <c r="AV69" s="1366"/>
      <c r="AW69" s="1366"/>
      <c r="AX69" s="1171"/>
      <c r="AZ69" s="1369"/>
      <c r="BA69" s="2366"/>
      <c r="BB69" s="1774"/>
      <c r="BC69" s="1774"/>
      <c r="BD69" s="1774"/>
    </row>
    <row r="70" spans="2:56" hidden="1" outlineLevel="2">
      <c r="B70" s="389" t="s">
        <v>4980</v>
      </c>
      <c r="C70" s="341"/>
      <c r="D70" s="212">
        <f>O70</f>
        <v>0</v>
      </c>
      <c r="E70" s="212"/>
      <c r="F70" s="1016"/>
      <c r="G70" s="219"/>
      <c r="H70" s="219"/>
      <c r="I70" s="219"/>
      <c r="J70" s="219">
        <f>IF(ISNA(VLOOKUP($B70&amp;"; "&amp;$G$68,'FE Déchets'!$G:$U,9,FALSE)),0,VLOOKUP($B70&amp;"; "&amp;$G$68,'FE Déchets'!$G:$U,9,FALSE))</f>
        <v>360</v>
      </c>
      <c r="K70" s="151"/>
      <c r="L70" s="151"/>
      <c r="M70" s="151"/>
      <c r="N70" s="151"/>
      <c r="O70" s="152">
        <f>F70*J70</f>
        <v>0</v>
      </c>
      <c r="Q70" s="226">
        <f>IF(X70=0,X70,X70/O70)</f>
        <v>0</v>
      </c>
      <c r="R70" s="1094"/>
      <c r="S70" s="820"/>
      <c r="T70" s="164"/>
      <c r="U70" s="164"/>
      <c r="V70" s="164"/>
      <c r="W70" s="164"/>
      <c r="X70" s="152">
        <f>F70*J70*BA70</f>
        <v>0</v>
      </c>
      <c r="Y70" s="114"/>
      <c r="Z70" s="114"/>
      <c r="AA70" s="564"/>
      <c r="AB70" s="565">
        <f>$F70*IF(ISNA(VLOOKUP($B70&amp;"; "&amp;$G$68,'FE Déchets'!$G:$U,10,FALSE)),0,VLOOKUP($B70&amp;"; "&amp;$G$68,'FE Déchets'!$G:$U,10,FALSE))</f>
        <v>0</v>
      </c>
      <c r="AC70" s="565"/>
      <c r="AD70" s="565"/>
      <c r="AE70" s="565"/>
      <c r="AF70" s="565">
        <f>$F70*IF(ISNA(VLOOKUP($B70&amp;"; "&amp;$G$68,'FE Déchets'!$G:$U,11,FALSE)+VLOOKUP($B70&amp;"; "&amp;$G$68,'FE Déchets'!$G:$U,12,FALSE)),0,
VLOOKUP($B70&amp;"; "&amp;$G$68,'FE Déchets'!$G:$U,11,FALSE)+VLOOKUP($B70&amp;"; "&amp;$G$68,'FE Déchets'!$G:$U,12,FALSE))</f>
        <v>0</v>
      </c>
      <c r="AG70" s="565"/>
      <c r="AH70" s="565"/>
      <c r="AI70" s="565"/>
      <c r="AJ70" s="565">
        <f>$F70*IF(ISNA(VLOOKUP($B70&amp;"; "&amp;$G$68,'FE Déchets'!$G:$U,13,FALSE)),0,VLOOKUP($B70&amp;"; "&amp;$G$68,'FE Déchets'!$G:$U,13,FALSE))</f>
        <v>0</v>
      </c>
      <c r="AK70" s="565"/>
      <c r="AL70" s="565"/>
      <c r="AM70" s="565"/>
      <c r="AN70" s="565">
        <f>$F70*IF(ISNA(VLOOKUP($B70&amp;"; "&amp;$G$68,'FE Déchets'!$G:$U,14,FALSE)),0,VLOOKUP($B70&amp;"; "&amp;$G$68,'FE Déchets'!$G:$U,14,FALSE))</f>
        <v>0</v>
      </c>
      <c r="AO70" s="565"/>
      <c r="AP70" s="565"/>
      <c r="AQ70" s="566"/>
      <c r="AR70" s="566">
        <f>SUM(AB70,AF70,AJ70,AN70)</f>
        <v>0</v>
      </c>
      <c r="AS70" s="566"/>
      <c r="AT70" s="566"/>
      <c r="AU70" s="564"/>
      <c r="AV70" s="565">
        <f>$F70*IF(ISNA(VLOOKUP($B70&amp;"; "&amp;$G$68,'FE Déchets'!$G:$U,15,FALSE)),0,VLOOKUP($B70&amp;"; "&amp;$G$68,'FE Déchets'!$G:$U,15,FALSE))</f>
        <v>0</v>
      </c>
      <c r="AW70" s="565"/>
      <c r="AX70" s="568"/>
      <c r="AZ70" s="2364">
        <f>IF($R70&lt;&gt;"votre valeur :",IF(ISNA(VLOOKUP($R70,Utilitaires!$N$566:$O$571,2,FALSE)),,VLOOKUP($R70,Utilitaires!$N$566:$O$571,2,FALSE)),$S70)</f>
        <v>0</v>
      </c>
      <c r="BA70" s="1130">
        <f>IF(ISNA(SQRT(SUMSQ(VLOOKUP($B70&amp;"; "&amp;$G$68,'FE Déchets'!$G:$U,7,FALSE),$AZ70))),0,SQRT(SUMSQ(VLOOKUP($B70&amp;"; "&amp;$G$68,'FE Déchets'!$G:$U,7,FALSE),$AZ70)))</f>
        <v>0.2</v>
      </c>
      <c r="BB70" s="2128"/>
      <c r="BC70" s="2128"/>
      <c r="BD70" s="2128"/>
    </row>
    <row r="71" spans="2:56" hidden="1" outlineLevel="2">
      <c r="B71" s="143"/>
      <c r="C71" s="144"/>
      <c r="D71" s="219"/>
      <c r="E71" s="219"/>
      <c r="F71" s="164"/>
      <c r="G71" s="326"/>
      <c r="H71" s="326"/>
      <c r="I71" s="326"/>
      <c r="J71" s="326"/>
      <c r="K71" s="151"/>
      <c r="L71" s="151"/>
      <c r="M71" s="151"/>
      <c r="N71" s="151"/>
      <c r="O71" s="152"/>
      <c r="Q71" s="226"/>
      <c r="R71" s="177"/>
      <c r="S71" s="820"/>
      <c r="T71" s="164"/>
      <c r="U71" s="164"/>
      <c r="V71" s="164"/>
      <c r="W71" s="164"/>
      <c r="X71" s="152"/>
      <c r="Y71" s="114"/>
      <c r="Z71" s="114"/>
      <c r="AA71" s="564"/>
      <c r="AB71" s="565"/>
      <c r="AC71" s="565"/>
      <c r="AD71" s="565"/>
      <c r="AE71" s="565"/>
      <c r="AF71" s="565"/>
      <c r="AG71" s="565"/>
      <c r="AH71" s="565"/>
      <c r="AI71" s="565"/>
      <c r="AJ71" s="565"/>
      <c r="AK71" s="565"/>
      <c r="AL71" s="565"/>
      <c r="AM71" s="565"/>
      <c r="AN71" s="565"/>
      <c r="AO71" s="565"/>
      <c r="AP71" s="565"/>
      <c r="AQ71" s="566"/>
      <c r="AR71" s="566"/>
      <c r="AS71" s="566"/>
      <c r="AT71" s="566"/>
      <c r="AU71" s="564"/>
      <c r="AV71" s="565"/>
      <c r="AW71" s="565"/>
      <c r="AX71" s="568"/>
      <c r="AZ71" s="2364"/>
      <c r="BA71" s="1130"/>
      <c r="BB71" s="2292"/>
      <c r="BC71" s="2292"/>
      <c r="BD71" s="2292"/>
    </row>
    <row r="72" spans="2:56" hidden="1" outlineLevel="2">
      <c r="B72" s="1002" t="s">
        <v>4905</v>
      </c>
      <c r="C72" s="144"/>
      <c r="D72" s="219"/>
      <c r="E72" s="219"/>
      <c r="F72" s="164"/>
      <c r="G72" s="326"/>
      <c r="H72" s="326"/>
      <c r="I72" s="326"/>
      <c r="J72" s="326"/>
      <c r="K72" s="151"/>
      <c r="L72" s="151"/>
      <c r="M72" s="151"/>
      <c r="N72" s="151"/>
      <c r="O72" s="152"/>
      <c r="Q72" s="226"/>
      <c r="R72" s="177"/>
      <c r="S72" s="820"/>
      <c r="T72" s="164"/>
      <c r="U72" s="164"/>
      <c r="V72" s="164"/>
      <c r="W72" s="164"/>
      <c r="X72" s="152"/>
      <c r="Y72" s="114"/>
      <c r="Z72" s="114"/>
      <c r="AA72" s="564"/>
      <c r="AB72" s="565"/>
      <c r="AC72" s="565"/>
      <c r="AD72" s="565"/>
      <c r="AE72" s="565"/>
      <c r="AF72" s="565"/>
      <c r="AG72" s="565"/>
      <c r="AH72" s="565"/>
      <c r="AI72" s="565"/>
      <c r="AJ72" s="565"/>
      <c r="AK72" s="565"/>
      <c r="AL72" s="565"/>
      <c r="AM72" s="565"/>
      <c r="AN72" s="565"/>
      <c r="AO72" s="565"/>
      <c r="AP72" s="565"/>
      <c r="AQ72" s="566"/>
      <c r="AR72" s="566"/>
      <c r="AS72" s="566"/>
      <c r="AT72" s="566"/>
      <c r="AU72" s="564"/>
      <c r="AV72" s="565"/>
      <c r="AW72" s="565"/>
      <c r="AX72" s="568"/>
      <c r="AZ72" s="2364"/>
      <c r="BA72" s="1130"/>
      <c r="BB72" s="2292"/>
      <c r="BC72" s="2292"/>
      <c r="BD72" s="2292"/>
    </row>
    <row r="73" spans="2:56" hidden="1" outlineLevel="2">
      <c r="B73" s="389" t="s">
        <v>4981</v>
      </c>
      <c r="C73" s="341"/>
      <c r="D73" s="212">
        <f>O73</f>
        <v>0</v>
      </c>
      <c r="E73" s="212"/>
      <c r="F73" s="2388"/>
      <c r="G73" s="219"/>
      <c r="H73" s="219"/>
      <c r="I73" s="219"/>
      <c r="J73" s="219">
        <f>IF(ISNA(VLOOKUP($B73&amp;"; "&amp;$G$68,'FE Déchets'!$G:$U,9,FALSE)),0,VLOOKUP($B73&amp;"; "&amp;$G$68,'FE Déchets'!$G:$U,9,FALSE))</f>
        <v>1995</v>
      </c>
      <c r="K73" s="151"/>
      <c r="L73" s="151"/>
      <c r="M73" s="151"/>
      <c r="N73" s="151"/>
      <c r="O73" s="152">
        <f>F73*J73</f>
        <v>0</v>
      </c>
      <c r="Q73" s="226">
        <f>IF(X73=0,X73,X73/O73)</f>
        <v>0</v>
      </c>
      <c r="R73" s="2388"/>
      <c r="S73" s="820"/>
      <c r="T73" s="164"/>
      <c r="U73" s="164"/>
      <c r="V73" s="164"/>
      <c r="W73" s="164"/>
      <c r="X73" s="152">
        <f t="shared" ref="X73:X77" si="51">F73*J73*BA73</f>
        <v>0</v>
      </c>
      <c r="Y73" s="114"/>
      <c r="Z73" s="114"/>
      <c r="AA73" s="564"/>
      <c r="AB73" s="565">
        <f>$F73*IF(ISNA(VLOOKUP($B73&amp;"; "&amp;$G$68,'FE Déchets'!$G:$U,10,FALSE)),0,VLOOKUP($B73&amp;"; "&amp;$G$68,'FE Déchets'!$G:$U,10,FALSE))</f>
        <v>0</v>
      </c>
      <c r="AC73" s="565"/>
      <c r="AD73" s="565"/>
      <c r="AE73" s="565"/>
      <c r="AF73" s="565">
        <f>$F73*IF(ISNA(VLOOKUP($B73&amp;"; "&amp;$G$68,'FE Déchets'!$G:$U,11,FALSE)+VLOOKUP($B73&amp;"; "&amp;$G$68,'FE Déchets'!$G:$U,12,FALSE)),0,
VLOOKUP($B73&amp;"; "&amp;$G$68,'FE Déchets'!$G:$U,11,FALSE)+VLOOKUP($B73&amp;"; "&amp;$G$68,'FE Déchets'!$G:$U,12,FALSE))</f>
        <v>0</v>
      </c>
      <c r="AG73" s="565"/>
      <c r="AH73" s="565"/>
      <c r="AI73" s="565"/>
      <c r="AJ73" s="565">
        <f>$F73*IF(ISNA(VLOOKUP($B73&amp;"; "&amp;$G$68,'FE Déchets'!$G:$U,13,FALSE)),0,VLOOKUP($B73&amp;"; "&amp;$G$68,'FE Déchets'!$G:$U,13,FALSE))</f>
        <v>0</v>
      </c>
      <c r="AK73" s="565"/>
      <c r="AL73" s="565"/>
      <c r="AM73" s="565"/>
      <c r="AN73" s="565">
        <f>$F73*IF(ISNA(VLOOKUP($B73&amp;"; "&amp;$G$68,'FE Déchets'!$G:$U,14,FALSE)),0,VLOOKUP($B73&amp;"; "&amp;$G$68,'FE Déchets'!$G:$U,14,FALSE))</f>
        <v>0</v>
      </c>
      <c r="AO73" s="565"/>
      <c r="AP73" s="565"/>
      <c r="AQ73" s="566"/>
      <c r="AR73" s="566">
        <f t="shared" ref="AR73:AR77" si="52">SUM(AB73,AF73,AJ73,AN73)</f>
        <v>0</v>
      </c>
      <c r="AS73" s="566"/>
      <c r="AT73" s="566"/>
      <c r="AU73" s="564"/>
      <c r="AV73" s="565">
        <f>$F73*IF(ISNA(VLOOKUP($B73&amp;"; "&amp;$G$68,'FE Déchets'!$G:$U,15,FALSE)),0,VLOOKUP($B73&amp;"; "&amp;$G$68,'FE Déchets'!$G:$U,15,FALSE))</f>
        <v>0</v>
      </c>
      <c r="AW73" s="565"/>
      <c r="AX73" s="568"/>
      <c r="AZ73" s="1065">
        <f>IF($R73&lt;&gt;"votre valeur :",IF(ISNA(VLOOKUP($R73,Utilitaires!$N$566:$O$571,2,FALSE)),,VLOOKUP($R73,Utilitaires!$N$566:$O$571,2,FALSE)),$S73)</f>
        <v>0</v>
      </c>
      <c r="BA73" s="1130">
        <f>IF(ISNA(SQRT(SUMSQ(VLOOKUP($B73&amp;"; "&amp;$G$68,'FE Déchets'!$G:$U,7,FALSE),$AZ73))),0,SQRT(SUMSQ(VLOOKUP($B73&amp;"; "&amp;$G$68,'FE Déchets'!$G:$U,7,FALSE),$AZ73)))</f>
        <v>1</v>
      </c>
      <c r="BB73" s="2128"/>
      <c r="BC73" s="2128"/>
      <c r="BD73" s="2128"/>
    </row>
    <row r="74" spans="2:56" hidden="1" outlineLevel="2">
      <c r="B74" s="389" t="s">
        <v>4982</v>
      </c>
      <c r="C74" s="341"/>
      <c r="D74" s="212">
        <f>O74</f>
        <v>0</v>
      </c>
      <c r="E74" s="212"/>
      <c r="F74" s="2389"/>
      <c r="G74" s="219"/>
      <c r="H74" s="219"/>
      <c r="I74" s="219"/>
      <c r="J74" s="219">
        <f>IF(ISNA(VLOOKUP($B74&amp;"; "&amp;$G$68,'FE Déchets'!$G:$U,9,FALSE)),0,VLOOKUP($B74&amp;"; "&amp;$G$68,'FE Déchets'!$G:$U,9,FALSE))</f>
        <v>907</v>
      </c>
      <c r="K74" s="151"/>
      <c r="L74" s="151"/>
      <c r="M74" s="151"/>
      <c r="N74" s="151"/>
      <c r="O74" s="152">
        <f t="shared" ref="O74:O77" si="53">F74*J74</f>
        <v>0</v>
      </c>
      <c r="Q74" s="226">
        <f>IF(X74=0,X74,X74/O74)</f>
        <v>0</v>
      </c>
      <c r="R74" s="2389"/>
      <c r="S74" s="820"/>
      <c r="T74" s="164"/>
      <c r="U74" s="164"/>
      <c r="V74" s="164"/>
      <c r="W74" s="164"/>
      <c r="X74" s="152">
        <f t="shared" si="51"/>
        <v>0</v>
      </c>
      <c r="Y74" s="114"/>
      <c r="Z74" s="114"/>
      <c r="AA74" s="564"/>
      <c r="AB74" s="565">
        <f>$F74*IF(ISNA(VLOOKUP($B74&amp;"; "&amp;$G$68,'FE Déchets'!$G:$U,10,FALSE)),0,VLOOKUP($B74&amp;"; "&amp;$G$68,'FE Déchets'!$G:$U,10,FALSE))</f>
        <v>0</v>
      </c>
      <c r="AC74" s="565"/>
      <c r="AD74" s="565"/>
      <c r="AE74" s="565"/>
      <c r="AF74" s="565">
        <f>$F74*IF(ISNA(VLOOKUP($B74&amp;"; "&amp;$G$68,'FE Déchets'!$G:$U,11,FALSE)+VLOOKUP($B74&amp;"; "&amp;$G$68,'FE Déchets'!$G:$U,12,FALSE)),0,
VLOOKUP($B74&amp;"; "&amp;$G$68,'FE Déchets'!$G:$U,11,FALSE)+VLOOKUP($B74&amp;"; "&amp;$G$68,'FE Déchets'!$G:$U,12,FALSE))</f>
        <v>0</v>
      </c>
      <c r="AG74" s="565"/>
      <c r="AH74" s="565"/>
      <c r="AI74" s="565"/>
      <c r="AJ74" s="565">
        <f>$F74*IF(ISNA(VLOOKUP($B74&amp;"; "&amp;$G$68,'FE Déchets'!$G:$U,13,FALSE)),0,VLOOKUP($B74&amp;"; "&amp;$G$68,'FE Déchets'!$G:$U,13,FALSE))</f>
        <v>0</v>
      </c>
      <c r="AK74" s="565"/>
      <c r="AL74" s="565"/>
      <c r="AM74" s="565"/>
      <c r="AN74" s="565">
        <f>$F74*IF(ISNA(VLOOKUP($B74&amp;"; "&amp;$G$68,'FE Déchets'!$G:$U,14,FALSE)),0,VLOOKUP($B74&amp;"; "&amp;$G$68,'FE Déchets'!$G:$U,14,FALSE))</f>
        <v>0</v>
      </c>
      <c r="AO74" s="565"/>
      <c r="AP74" s="565"/>
      <c r="AQ74" s="566"/>
      <c r="AR74" s="566">
        <f t="shared" si="52"/>
        <v>0</v>
      </c>
      <c r="AS74" s="566"/>
      <c r="AT74" s="566"/>
      <c r="AU74" s="564"/>
      <c r="AV74" s="565">
        <f>$F74*IF(ISNA(VLOOKUP($B74&amp;"; "&amp;$G$68,'FE Déchets'!$G:$U,15,FALSE)),0,VLOOKUP($B74&amp;"; "&amp;$G$68,'FE Déchets'!$G:$U,15,FALSE))</f>
        <v>0</v>
      </c>
      <c r="AW74" s="565"/>
      <c r="AX74" s="568"/>
      <c r="AZ74" s="2364">
        <f>IF($R74&lt;&gt;"votre valeur :",IF(ISNA(VLOOKUP($R74,Utilitaires!$N$566:$O$571,2,FALSE)),,VLOOKUP($R74,Utilitaires!$N$566:$O$571,2,FALSE)),$S74)</f>
        <v>0</v>
      </c>
      <c r="BA74" s="1130">
        <f>IF(ISNA(SQRT(SUMSQ(VLOOKUP($B74&amp;"; "&amp;$G$68,'FE Déchets'!$G:$U,7,FALSE),$AZ74))),0,SQRT(SUMSQ(VLOOKUP($B74&amp;"; "&amp;$G$68,'FE Déchets'!$G:$U,7,FALSE),$AZ74)))</f>
        <v>0.1</v>
      </c>
      <c r="BB74" s="2128"/>
      <c r="BC74" s="2128"/>
      <c r="BD74" s="2128"/>
    </row>
    <row r="75" spans="2:56" hidden="1" outlineLevel="2">
      <c r="B75" s="389" t="s">
        <v>4983</v>
      </c>
      <c r="C75" s="341"/>
      <c r="D75" s="212">
        <f>O75</f>
        <v>0</v>
      </c>
      <c r="E75" s="212"/>
      <c r="F75" s="2389"/>
      <c r="G75" s="219"/>
      <c r="H75" s="219"/>
      <c r="I75" s="219"/>
      <c r="J75" s="219">
        <f>IF(ISNA(VLOOKUP($B75&amp;"; "&amp;$G$68,'FE Déchets'!$G:$U,9,FALSE)),0,VLOOKUP($B75&amp;"; "&amp;$G$68,'FE Déchets'!$G:$U,9,FALSE))</f>
        <v>5064</v>
      </c>
      <c r="K75" s="151"/>
      <c r="L75" s="151"/>
      <c r="M75" s="151"/>
      <c r="N75" s="151"/>
      <c r="O75" s="152">
        <f t="shared" si="53"/>
        <v>0</v>
      </c>
      <c r="Q75" s="226">
        <f>IF(X75=0,X75,X75/O75)</f>
        <v>0</v>
      </c>
      <c r="R75" s="2389"/>
      <c r="S75" s="820"/>
      <c r="T75" s="164"/>
      <c r="U75" s="164"/>
      <c r="V75" s="164"/>
      <c r="W75" s="164"/>
      <c r="X75" s="152">
        <f t="shared" si="51"/>
        <v>0</v>
      </c>
      <c r="Y75" s="114"/>
      <c r="Z75" s="114"/>
      <c r="AA75" s="564"/>
      <c r="AB75" s="565">
        <f>$F75*IF(ISNA(VLOOKUP($B75&amp;"; "&amp;$G$68,'FE Déchets'!$G:$U,10,FALSE)),0,VLOOKUP($B75&amp;"; "&amp;$G$68,'FE Déchets'!$G:$U,10,FALSE))</f>
        <v>0</v>
      </c>
      <c r="AC75" s="565"/>
      <c r="AD75" s="565"/>
      <c r="AE75" s="565"/>
      <c r="AF75" s="565">
        <f>$F75*IF(ISNA(VLOOKUP($B75&amp;"; "&amp;$G$68,'FE Déchets'!$G:$U,11,FALSE)+VLOOKUP($B75&amp;"; "&amp;$G$68,'FE Déchets'!$G:$U,12,FALSE)),0,
VLOOKUP($B75&amp;"; "&amp;$G$68,'FE Déchets'!$G:$U,11,FALSE)+VLOOKUP($B75&amp;"; "&amp;$G$68,'FE Déchets'!$G:$U,12,FALSE))</f>
        <v>0</v>
      </c>
      <c r="AG75" s="565"/>
      <c r="AH75" s="565"/>
      <c r="AI75" s="565"/>
      <c r="AJ75" s="565">
        <f>$F75*IF(ISNA(VLOOKUP($B75&amp;"; "&amp;$G$68,'FE Déchets'!$G:$U,13,FALSE)),0,VLOOKUP($B75&amp;"; "&amp;$G$68,'FE Déchets'!$G:$U,13,FALSE))</f>
        <v>0</v>
      </c>
      <c r="AK75" s="565"/>
      <c r="AL75" s="565"/>
      <c r="AM75" s="565"/>
      <c r="AN75" s="565">
        <f>$F75*IF(ISNA(VLOOKUP($B75&amp;"; "&amp;$G$68,'FE Déchets'!$G:$U,14,FALSE)),0,VLOOKUP($B75&amp;"; "&amp;$G$68,'FE Déchets'!$G:$U,14,FALSE))</f>
        <v>0</v>
      </c>
      <c r="AO75" s="565"/>
      <c r="AP75" s="565"/>
      <c r="AQ75" s="566"/>
      <c r="AR75" s="566">
        <f t="shared" si="52"/>
        <v>0</v>
      </c>
      <c r="AS75" s="566"/>
      <c r="AT75" s="566"/>
      <c r="AU75" s="564"/>
      <c r="AV75" s="565">
        <f>$F75*IF(ISNA(VLOOKUP($B75&amp;"; "&amp;$G$68,'FE Déchets'!$G:$U,15,FALSE)),0,VLOOKUP($B75&amp;"; "&amp;$G$68,'FE Déchets'!$G:$U,15,FALSE))</f>
        <v>0</v>
      </c>
      <c r="AW75" s="565"/>
      <c r="AX75" s="568"/>
      <c r="AZ75" s="2364">
        <f>IF($R75&lt;&gt;"votre valeur :",IF(ISNA(VLOOKUP($R75,Utilitaires!$N$566:$O$571,2,FALSE)),,VLOOKUP($R75,Utilitaires!$N$566:$O$571,2,FALSE)),$S75)</f>
        <v>0</v>
      </c>
      <c r="BA75" s="1130">
        <f>IF(ISNA(SQRT(SUMSQ(VLOOKUP($B75&amp;"; "&amp;$G$68,'FE Déchets'!$G:$U,7,FALSE),$AZ75))),0,SQRT(SUMSQ(VLOOKUP($B75&amp;"; "&amp;$G$68,'FE Déchets'!$G:$U,7,FALSE),$AZ75)))</f>
        <v>0.1</v>
      </c>
      <c r="BB75" s="2128"/>
      <c r="BC75" s="2128"/>
      <c r="BD75" s="2128"/>
    </row>
    <row r="76" spans="2:56" hidden="1" outlineLevel="2">
      <c r="B76" s="389" t="s">
        <v>4984</v>
      </c>
      <c r="C76" s="341"/>
      <c r="D76" s="212">
        <f>O76</f>
        <v>0</v>
      </c>
      <c r="E76" s="212"/>
      <c r="F76" s="2389"/>
      <c r="G76" s="219"/>
      <c r="H76" s="219"/>
      <c r="I76" s="219"/>
      <c r="J76" s="219">
        <f>IF(ISNA(VLOOKUP($B76&amp;"; "&amp;$G$68,'FE Déchets'!$G:$U,9,FALSE)),0,VLOOKUP($B76&amp;"; "&amp;$G$68,'FE Déchets'!$G:$U,9,FALSE))</f>
        <v>802</v>
      </c>
      <c r="K76" s="151"/>
      <c r="L76" s="151"/>
      <c r="M76" s="151"/>
      <c r="N76" s="151"/>
      <c r="O76" s="152">
        <f t="shared" si="53"/>
        <v>0</v>
      </c>
      <c r="Q76" s="226">
        <f>IF(X76=0,X76,X76/O76)</f>
        <v>0</v>
      </c>
      <c r="R76" s="2389"/>
      <c r="S76" s="820"/>
      <c r="T76" s="164"/>
      <c r="U76" s="164"/>
      <c r="V76" s="164"/>
      <c r="W76" s="164"/>
      <c r="X76" s="152">
        <f t="shared" si="51"/>
        <v>0</v>
      </c>
      <c r="Y76" s="114"/>
      <c r="Z76" s="114"/>
      <c r="AA76" s="564"/>
      <c r="AB76" s="565">
        <f>$F76*IF(ISNA(VLOOKUP($B76&amp;"; "&amp;$G$68,'FE Déchets'!$G:$U,10,FALSE)),0,VLOOKUP($B76&amp;"; "&amp;$G$68,'FE Déchets'!$G:$U,10,FALSE))</f>
        <v>0</v>
      </c>
      <c r="AC76" s="565"/>
      <c r="AD76" s="565"/>
      <c r="AE76" s="565"/>
      <c r="AF76" s="565">
        <f>$F76*IF(ISNA(VLOOKUP($B76&amp;"; "&amp;$G$68,'FE Déchets'!$G:$U,11,FALSE)+VLOOKUP($B76&amp;"; "&amp;$G$68,'FE Déchets'!$G:$U,12,FALSE)),0,
VLOOKUP($B76&amp;"; "&amp;$G$68,'FE Déchets'!$G:$U,11,FALSE)+VLOOKUP($B76&amp;"; "&amp;$G$68,'FE Déchets'!$G:$U,12,FALSE))</f>
        <v>0</v>
      </c>
      <c r="AG76" s="565"/>
      <c r="AH76" s="565"/>
      <c r="AI76" s="565"/>
      <c r="AJ76" s="565">
        <f>$F76*IF(ISNA(VLOOKUP($B76&amp;"; "&amp;$G$68,'FE Déchets'!$G:$U,13,FALSE)),0,VLOOKUP($B76&amp;"; "&amp;$G$68,'FE Déchets'!$G:$U,13,FALSE))</f>
        <v>0</v>
      </c>
      <c r="AK76" s="565"/>
      <c r="AL76" s="565"/>
      <c r="AM76" s="565"/>
      <c r="AN76" s="565">
        <f>$F76*IF(ISNA(VLOOKUP($B76&amp;"; "&amp;$G$68,'FE Déchets'!$G:$U,14,FALSE)),0,VLOOKUP($B76&amp;"; "&amp;$G$68,'FE Déchets'!$G:$U,14,FALSE))</f>
        <v>0</v>
      </c>
      <c r="AO76" s="565"/>
      <c r="AP76" s="565"/>
      <c r="AQ76" s="566"/>
      <c r="AR76" s="566">
        <f t="shared" si="52"/>
        <v>0</v>
      </c>
      <c r="AS76" s="566"/>
      <c r="AT76" s="566"/>
      <c r="AU76" s="564"/>
      <c r="AV76" s="565">
        <f>$F76*IF(ISNA(VLOOKUP($B76&amp;"; "&amp;$G$68,'FE Déchets'!$G:$U,15,FALSE)),0,VLOOKUP($B76&amp;"; "&amp;$G$68,'FE Déchets'!$G:$U,15,FALSE))</f>
        <v>0</v>
      </c>
      <c r="AW76" s="565"/>
      <c r="AX76" s="568"/>
      <c r="AZ76" s="1065">
        <f>IF($R76&lt;&gt;"votre valeur :",IF(ISNA(VLOOKUP($R76,Utilitaires!$N$566:$O$571,2,FALSE)),,VLOOKUP($R76,Utilitaires!$N$566:$O$571,2,FALSE)),$S76)</f>
        <v>0</v>
      </c>
      <c r="BA76" s="1130">
        <f>IF(ISNA(SQRT(SUMSQ(VLOOKUP($B76&amp;"; "&amp;$G$68,'FE Déchets'!$G:$U,7,FALSE),$AZ76))),0,SQRT(SUMSQ(VLOOKUP($B76&amp;"; "&amp;$G$68,'FE Déchets'!$G:$U,7,FALSE),$AZ76)))</f>
        <v>0.1</v>
      </c>
      <c r="BB76" s="2128"/>
      <c r="BC76" s="2128"/>
      <c r="BD76" s="2128"/>
    </row>
    <row r="77" spans="2:56" hidden="1" outlineLevel="2">
      <c r="B77" s="389" t="s">
        <v>4985</v>
      </c>
      <c r="C77" s="341"/>
      <c r="D77" s="212">
        <f>O77</f>
        <v>0</v>
      </c>
      <c r="E77" s="212"/>
      <c r="F77" s="2390"/>
      <c r="G77" s="219"/>
      <c r="H77" s="219"/>
      <c r="I77" s="219"/>
      <c r="J77" s="219">
        <f>IF(ISNA(VLOOKUP($B77&amp;"; "&amp;$G$68,'FE Déchets'!$G:$U,9,FALSE)),0,VLOOKUP($B77&amp;"; "&amp;$G$68,'FE Déchets'!$G:$U,9,FALSE))</f>
        <v>749</v>
      </c>
      <c r="K77" s="151"/>
      <c r="L77" s="151"/>
      <c r="M77" s="151"/>
      <c r="N77" s="151"/>
      <c r="O77" s="152">
        <f t="shared" si="53"/>
        <v>0</v>
      </c>
      <c r="Q77" s="226">
        <f>IF(X77=0,X77,X77/O77)</f>
        <v>0</v>
      </c>
      <c r="R77" s="2390"/>
      <c r="S77" s="820"/>
      <c r="T77" s="164"/>
      <c r="U77" s="164"/>
      <c r="V77" s="164"/>
      <c r="W77" s="164"/>
      <c r="X77" s="152">
        <f t="shared" si="51"/>
        <v>0</v>
      </c>
      <c r="Y77" s="114"/>
      <c r="Z77" s="114"/>
      <c r="AA77" s="564"/>
      <c r="AB77" s="565">
        <f>$F77*IF(ISNA(VLOOKUP($B77&amp;"; "&amp;$G$68,'FE Déchets'!$G:$U,10,FALSE)),0,VLOOKUP($B77&amp;"; "&amp;$G$68,'FE Déchets'!$G:$U,10,FALSE))</f>
        <v>0</v>
      </c>
      <c r="AC77" s="565"/>
      <c r="AD77" s="565"/>
      <c r="AE77" s="565"/>
      <c r="AF77" s="565">
        <f>$F77*IF(ISNA(VLOOKUP($B77&amp;"; "&amp;$G$68,'FE Déchets'!$G:$U,11,FALSE)+VLOOKUP($B77&amp;"; "&amp;$G$68,'FE Déchets'!$G:$U,12,FALSE)),0,
VLOOKUP($B77&amp;"; "&amp;$G$68,'FE Déchets'!$G:$U,11,FALSE)+VLOOKUP($B77&amp;"; "&amp;$G$68,'FE Déchets'!$G:$U,12,FALSE))</f>
        <v>0</v>
      </c>
      <c r="AG77" s="565"/>
      <c r="AH77" s="565"/>
      <c r="AI77" s="565"/>
      <c r="AJ77" s="565">
        <f>$F77*IF(ISNA(VLOOKUP($B77&amp;"; "&amp;$G$68,'FE Déchets'!$G:$U,13,FALSE)),0,VLOOKUP($B77&amp;"; "&amp;$G$68,'FE Déchets'!$G:$U,13,FALSE))</f>
        <v>0</v>
      </c>
      <c r="AK77" s="565"/>
      <c r="AL77" s="565"/>
      <c r="AM77" s="565"/>
      <c r="AN77" s="565">
        <f>$F77*IF(ISNA(VLOOKUP($B77&amp;"; "&amp;$G$68,'FE Déchets'!$G:$U,14,FALSE)),0,VLOOKUP($B77&amp;"; "&amp;$G$68,'FE Déchets'!$G:$U,14,FALSE))</f>
        <v>0</v>
      </c>
      <c r="AO77" s="565"/>
      <c r="AP77" s="565"/>
      <c r="AQ77" s="566"/>
      <c r="AR77" s="566">
        <f t="shared" si="52"/>
        <v>0</v>
      </c>
      <c r="AS77" s="566"/>
      <c r="AT77" s="566"/>
      <c r="AU77" s="564"/>
      <c r="AV77" s="565">
        <f>$F77*IF(ISNA(VLOOKUP($B77&amp;"; "&amp;$G$68,'FE Déchets'!$G:$U,15,FALSE)),0,VLOOKUP($B77&amp;"; "&amp;$G$68,'FE Déchets'!$G:$U,15,FALSE))</f>
        <v>0</v>
      </c>
      <c r="AW77" s="565"/>
      <c r="AX77" s="568"/>
      <c r="AZ77" s="1065">
        <f>IF($R77&lt;&gt;"votre valeur :",IF(ISNA(VLOOKUP($R77,Utilitaires!$N$566:$O$571,2,FALSE)),,VLOOKUP($R77,Utilitaires!$N$566:$O$571,2,FALSE)),$S77)</f>
        <v>0</v>
      </c>
      <c r="BA77" s="1130">
        <f>IF(ISNA(SQRT(SUMSQ(VLOOKUP($B77&amp;"; "&amp;$G$68,'FE Déchets'!$G:$U,7,FALSE),$AZ77))),0,SQRT(SUMSQ(VLOOKUP($B77&amp;"; "&amp;$G$68,'FE Déchets'!$G:$U,7,FALSE),$AZ77)))</f>
        <v>0.1</v>
      </c>
      <c r="BB77" s="2128"/>
      <c r="BC77" s="2128"/>
      <c r="BD77" s="2128"/>
    </row>
    <row r="78" spans="2:56" hidden="1" outlineLevel="2">
      <c r="B78" s="143"/>
      <c r="C78" s="144"/>
      <c r="D78" s="219"/>
      <c r="E78" s="219"/>
      <c r="F78" s="164"/>
      <c r="G78" s="326"/>
      <c r="H78" s="326"/>
      <c r="I78" s="326"/>
      <c r="J78" s="326"/>
      <c r="K78" s="151"/>
      <c r="L78" s="151"/>
      <c r="M78" s="151"/>
      <c r="N78" s="354"/>
      <c r="O78" s="152"/>
      <c r="Q78" s="226"/>
      <c r="R78" s="155"/>
      <c r="S78" s="155"/>
      <c r="T78" s="164"/>
      <c r="U78" s="164"/>
      <c r="V78" s="164"/>
      <c r="W78" s="164"/>
      <c r="X78" s="367"/>
      <c r="Y78" s="114"/>
      <c r="Z78" s="114"/>
      <c r="AA78" s="569"/>
      <c r="AB78" s="625"/>
      <c r="AC78" s="625"/>
      <c r="AD78" s="625"/>
      <c r="AE78" s="625"/>
      <c r="AF78" s="625"/>
      <c r="AG78" s="625"/>
      <c r="AH78" s="625"/>
      <c r="AI78" s="625"/>
      <c r="AJ78" s="625"/>
      <c r="AK78" s="625"/>
      <c r="AL78" s="625"/>
      <c r="AM78" s="625"/>
      <c r="AN78" s="625"/>
      <c r="AO78" s="625"/>
      <c r="AP78" s="625"/>
      <c r="AQ78" s="1313"/>
      <c r="AR78" s="1313"/>
      <c r="AS78" s="1313"/>
      <c r="AT78" s="1313"/>
      <c r="AU78" s="1411"/>
      <c r="AV78" s="1313"/>
      <c r="AW78" s="625"/>
      <c r="AX78" s="570"/>
      <c r="AZ78" s="1087"/>
      <c r="BA78" s="1131"/>
      <c r="BB78" s="2387"/>
      <c r="BC78" s="2387"/>
      <c r="BD78" s="2387"/>
    </row>
    <row r="79" spans="2:56" outlineLevel="1">
      <c r="B79" s="1264" t="s">
        <v>348</v>
      </c>
      <c r="C79" s="197"/>
      <c r="D79" s="214">
        <f>SUM(D70:D78)</f>
        <v>0</v>
      </c>
      <c r="E79" s="214"/>
      <c r="F79" s="203"/>
      <c r="G79" s="203"/>
      <c r="H79" s="202"/>
      <c r="I79" s="203"/>
      <c r="J79" s="203"/>
      <c r="K79" s="202"/>
      <c r="L79" s="202"/>
      <c r="M79" s="202"/>
      <c r="N79" s="202"/>
      <c r="O79" s="200">
        <f>SUM(O73:O78)</f>
        <v>0</v>
      </c>
      <c r="Q79" s="1204">
        <f>IF(X79=0,X79,X79/O79)</f>
        <v>0</v>
      </c>
      <c r="R79" s="199"/>
      <c r="S79" s="199"/>
      <c r="T79" s="204"/>
      <c r="U79" s="204"/>
      <c r="V79" s="204"/>
      <c r="W79" s="204"/>
      <c r="X79" s="200">
        <f>SQRT(SUMSQ(X73:X78))</f>
        <v>0</v>
      </c>
      <c r="Y79" s="114"/>
      <c r="Z79" s="114"/>
      <c r="AA79" s="1308"/>
      <c r="AB79" s="1309">
        <f t="shared" ref="AB79:AN79" si="54">SUM(AB73:AB78)</f>
        <v>0</v>
      </c>
      <c r="AC79" s="1309"/>
      <c r="AD79" s="1309"/>
      <c r="AE79" s="1309"/>
      <c r="AF79" s="1309">
        <f t="shared" si="54"/>
        <v>0</v>
      </c>
      <c r="AG79" s="1309"/>
      <c r="AH79" s="1309"/>
      <c r="AI79" s="1309"/>
      <c r="AJ79" s="1309">
        <f t="shared" si="54"/>
        <v>0</v>
      </c>
      <c r="AK79" s="1309"/>
      <c r="AL79" s="1309"/>
      <c r="AM79" s="1309"/>
      <c r="AN79" s="1309">
        <f t="shared" si="54"/>
        <v>0</v>
      </c>
      <c r="AO79" s="1309"/>
      <c r="AP79" s="1309"/>
      <c r="AQ79" s="1312"/>
      <c r="AR79" s="1312">
        <f t="shared" ref="AR79:AV79" si="55">SUM(AR73:AR78)</f>
        <v>0</v>
      </c>
      <c r="AS79" s="1312"/>
      <c r="AT79" s="1312"/>
      <c r="AU79" s="1082"/>
      <c r="AV79" s="572">
        <f t="shared" si="55"/>
        <v>0</v>
      </c>
      <c r="AW79" s="572"/>
      <c r="AX79" s="575"/>
    </row>
    <row r="80" spans="2:56" outlineLevel="1">
      <c r="T80" s="441"/>
      <c r="V80" s="441"/>
    </row>
    <row r="81" spans="2:56" ht="12.75" customHeight="1" outlineLevel="1" collapsed="1">
      <c r="B81" s="1091" t="s">
        <v>5011</v>
      </c>
      <c r="C81" s="140"/>
      <c r="D81" s="1361"/>
      <c r="E81" s="1648"/>
      <c r="F81" s="1361"/>
      <c r="G81" s="1361"/>
      <c r="H81" s="1361"/>
      <c r="I81" s="1361"/>
      <c r="J81" s="1361"/>
      <c r="K81" s="1361"/>
      <c r="L81" s="1361"/>
      <c r="M81" s="1361"/>
      <c r="N81" s="1412"/>
      <c r="O81" s="1362"/>
      <c r="Q81" s="2636" t="s">
        <v>366</v>
      </c>
      <c r="R81" s="2637"/>
      <c r="S81" s="2637"/>
      <c r="T81" s="2637"/>
      <c r="U81" s="2637"/>
      <c r="V81" s="2637"/>
      <c r="W81" s="2637"/>
      <c r="X81" s="2638"/>
      <c r="Y81" s="114"/>
      <c r="Z81" s="114"/>
      <c r="AA81" s="2639" t="s">
        <v>441</v>
      </c>
      <c r="AB81" s="2640"/>
      <c r="AC81" s="2640"/>
      <c r="AD81" s="2640"/>
      <c r="AE81" s="2640"/>
      <c r="AF81" s="2640"/>
      <c r="AG81" s="2640"/>
      <c r="AH81" s="2640"/>
      <c r="AI81" s="2640"/>
      <c r="AJ81" s="2640"/>
      <c r="AK81" s="2640"/>
      <c r="AL81" s="2640"/>
      <c r="AM81" s="2640"/>
      <c r="AN81" s="2640"/>
      <c r="AO81" s="2640"/>
      <c r="AP81" s="2640"/>
      <c r="AQ81" s="2640"/>
      <c r="AR81" s="2640"/>
      <c r="AS81" s="2640"/>
      <c r="AT81" s="2640"/>
      <c r="AU81" s="2640"/>
      <c r="AV81" s="2640"/>
      <c r="AW81" s="2640"/>
      <c r="AX81" s="2641"/>
    </row>
    <row r="82" spans="2:56" ht="12.75" hidden="1" customHeight="1" outlineLevel="2">
      <c r="B82" s="332"/>
      <c r="C82" s="167"/>
      <c r="D82" s="1367" t="s">
        <v>308</v>
      </c>
      <c r="E82" s="1663"/>
      <c r="F82" s="1367"/>
      <c r="G82" s="1367"/>
      <c r="H82" s="1367"/>
      <c r="I82" s="1367"/>
      <c r="J82" s="1367"/>
      <c r="K82" s="1357"/>
      <c r="L82" s="1357"/>
      <c r="M82" s="1357"/>
      <c r="N82" s="565"/>
      <c r="O82" s="1372"/>
      <c r="Q82" s="1356"/>
      <c r="R82" s="819"/>
      <c r="S82" s="819"/>
      <c r="T82" s="1355"/>
      <c r="U82" s="1355"/>
      <c r="V82" s="1355"/>
      <c r="W82" s="1355"/>
      <c r="X82" s="145"/>
      <c r="Y82" s="114"/>
      <c r="Z82" s="114"/>
      <c r="AA82" s="2642" t="s">
        <v>444</v>
      </c>
      <c r="AB82" s="2643"/>
      <c r="AC82" s="2643"/>
      <c r="AD82" s="2643"/>
      <c r="AE82" s="2643"/>
      <c r="AF82" s="2643"/>
      <c r="AG82" s="2643"/>
      <c r="AH82" s="2643"/>
      <c r="AI82" s="2643"/>
      <c r="AJ82" s="2643"/>
      <c r="AK82" s="2643"/>
      <c r="AL82" s="2643"/>
      <c r="AM82" s="2643"/>
      <c r="AN82" s="2643"/>
      <c r="AO82" s="2643"/>
      <c r="AP82" s="2643"/>
      <c r="AQ82" s="2643" t="s">
        <v>444</v>
      </c>
      <c r="AR82" s="2643"/>
      <c r="AS82" s="2643"/>
      <c r="AT82" s="2644"/>
      <c r="AU82" s="1359"/>
      <c r="AV82" s="1352"/>
      <c r="AW82" s="1352"/>
      <c r="AX82" s="1360"/>
      <c r="AZ82" s="2828" t="s">
        <v>1648</v>
      </c>
      <c r="BA82" s="2829"/>
      <c r="BB82" s="1774"/>
      <c r="BC82" s="1774"/>
      <c r="BD82" s="1774"/>
    </row>
    <row r="83" spans="2:56" ht="12.75" hidden="1" customHeight="1" outlineLevel="2">
      <c r="B83" s="1356"/>
      <c r="C83" s="1357"/>
      <c r="D83" s="1357" t="s">
        <v>409</v>
      </c>
      <c r="E83" s="1656"/>
      <c r="F83" s="1364" t="s">
        <v>199</v>
      </c>
      <c r="G83" s="2626" t="s">
        <v>1585</v>
      </c>
      <c r="H83" s="2628"/>
      <c r="I83" s="2628"/>
      <c r="J83" s="2628"/>
      <c r="K83" s="2628"/>
      <c r="L83" s="2628"/>
      <c r="M83" s="2628"/>
      <c r="N83" s="2628"/>
      <c r="O83" s="1372" t="s">
        <v>444</v>
      </c>
      <c r="Q83" s="1356" t="s">
        <v>316</v>
      </c>
      <c r="R83" s="2629" t="s">
        <v>316</v>
      </c>
      <c r="S83" s="2630"/>
      <c r="T83" s="1357"/>
      <c r="U83" s="1357"/>
      <c r="V83" s="1357"/>
      <c r="W83" s="1357"/>
      <c r="X83" s="1372" t="s">
        <v>444</v>
      </c>
      <c r="Y83" s="114"/>
      <c r="Z83" s="114"/>
      <c r="AA83" s="2631" t="s">
        <v>211</v>
      </c>
      <c r="AB83" s="2632"/>
      <c r="AC83" s="2632"/>
      <c r="AD83" s="2632"/>
      <c r="AE83" s="2632" t="s">
        <v>442</v>
      </c>
      <c r="AF83" s="2632"/>
      <c r="AG83" s="2632"/>
      <c r="AH83" s="2632"/>
      <c r="AI83" s="2632" t="s">
        <v>267</v>
      </c>
      <c r="AJ83" s="2632"/>
      <c r="AK83" s="2632"/>
      <c r="AL83" s="2632"/>
      <c r="AM83" s="2632" t="s">
        <v>443</v>
      </c>
      <c r="AN83" s="2632"/>
      <c r="AO83" s="2632"/>
      <c r="AP83" s="2632"/>
      <c r="AQ83" s="2648" t="s">
        <v>327</v>
      </c>
      <c r="AR83" s="2648"/>
      <c r="AS83" s="2648"/>
      <c r="AT83" s="2649"/>
      <c r="AU83" s="1373"/>
      <c r="AV83" s="1354" t="s">
        <v>636</v>
      </c>
      <c r="AW83" s="566"/>
      <c r="AX83" s="567"/>
      <c r="AZ83" s="2158" t="s">
        <v>530</v>
      </c>
      <c r="BA83" s="2365" t="s">
        <v>2368</v>
      </c>
      <c r="BB83" s="1774"/>
      <c r="BC83" s="1774"/>
      <c r="BD83" s="1774"/>
    </row>
    <row r="84" spans="2:56" ht="12.75" hidden="1" customHeight="1" outlineLevel="2">
      <c r="B84" s="1002" t="s">
        <v>4986</v>
      </c>
      <c r="C84" s="1357"/>
      <c r="D84" s="1357" t="s">
        <v>444</v>
      </c>
      <c r="E84" s="1656"/>
      <c r="F84" s="1365" t="s">
        <v>22</v>
      </c>
      <c r="G84" s="1366"/>
      <c r="H84" s="1366"/>
      <c r="I84" s="1366"/>
      <c r="J84" s="1366"/>
      <c r="K84" s="1358"/>
      <c r="L84" s="581"/>
      <c r="M84" s="1358"/>
      <c r="N84" s="1358"/>
      <c r="O84" s="1372"/>
      <c r="Q84" s="1356" t="s">
        <v>1649</v>
      </c>
      <c r="R84" s="2646" t="s">
        <v>1650</v>
      </c>
      <c r="S84" s="2647"/>
      <c r="T84" s="1366"/>
      <c r="U84" s="1375"/>
      <c r="V84" s="1375"/>
      <c r="W84" s="1375"/>
      <c r="X84" s="1372"/>
      <c r="Y84" s="114"/>
      <c r="Z84" s="114"/>
      <c r="AA84" s="227"/>
      <c r="AB84" s="1366"/>
      <c r="AC84" s="1366"/>
      <c r="AD84" s="1366"/>
      <c r="AE84" s="1366"/>
      <c r="AF84" s="1366"/>
      <c r="AG84" s="1366"/>
      <c r="AH84" s="1366"/>
      <c r="AI84" s="1366"/>
      <c r="AJ84" s="1366"/>
      <c r="AK84" s="1366"/>
      <c r="AL84" s="1366"/>
      <c r="AM84" s="1366"/>
      <c r="AN84" s="1366"/>
      <c r="AO84" s="1366"/>
      <c r="AP84" s="1366"/>
      <c r="AQ84" s="1366"/>
      <c r="AR84" s="1366"/>
      <c r="AS84" s="1366"/>
      <c r="AT84" s="1366"/>
      <c r="AU84" s="227"/>
      <c r="AV84" s="1366"/>
      <c r="AW84" s="1366"/>
      <c r="AX84" s="1171"/>
      <c r="AZ84" s="1369"/>
      <c r="BA84" s="2366"/>
      <c r="BB84" s="1774"/>
      <c r="BC84" s="1774"/>
      <c r="BD84" s="1774"/>
    </row>
    <row r="85" spans="2:56" hidden="1" outlineLevel="2">
      <c r="B85" s="389" t="s">
        <v>4987</v>
      </c>
      <c r="C85" s="341"/>
      <c r="D85" s="212">
        <f>O85</f>
        <v>0</v>
      </c>
      <c r="E85" s="212"/>
      <c r="F85" s="2388"/>
      <c r="G85" s="219"/>
      <c r="H85" s="219"/>
      <c r="I85" s="219"/>
      <c r="J85" s="219">
        <f>IF(ISNA(VLOOKUP($B85&amp;"; "&amp;$G$83,'FE Déchets'!$G:$U,9,FALSE)),0,VLOOKUP($B85&amp;"; "&amp;$G$83,'FE Déchets'!$G:$U,9,FALSE))</f>
        <v>437</v>
      </c>
      <c r="K85" s="151"/>
      <c r="L85" s="151"/>
      <c r="M85" s="151"/>
      <c r="N85" s="151"/>
      <c r="O85" s="152">
        <f>F85*J85</f>
        <v>0</v>
      </c>
      <c r="Q85" s="226">
        <f>IF(X85=0,X85,X85/O85)</f>
        <v>0</v>
      </c>
      <c r="R85" s="2388"/>
      <c r="S85" s="820"/>
      <c r="T85" s="164"/>
      <c r="U85" s="164"/>
      <c r="V85" s="164"/>
      <c r="W85" s="164"/>
      <c r="X85" s="152">
        <f>F85*J85*BA85</f>
        <v>0</v>
      </c>
      <c r="Y85" s="114"/>
      <c r="Z85" s="114"/>
      <c r="AA85" s="564"/>
      <c r="AB85" s="565">
        <f>$F85*IF(ISNA(VLOOKUP($B85&amp;"; "&amp;$G$83,'FE Déchets'!$G:$U,10,FALSE)),0,VLOOKUP($B85&amp;"; "&amp;$G$83,'FE Déchets'!$G:$U,10,FALSE))</f>
        <v>0</v>
      </c>
      <c r="AC85" s="565"/>
      <c r="AD85" s="565"/>
      <c r="AE85" s="565"/>
      <c r="AF85" s="565">
        <f>$F85*IF(ISNA(VLOOKUP($B85&amp;"; "&amp;$G$83,'FE Déchets'!$G:$U,11,FALSE)+VLOOKUP($B85&amp;"; "&amp;$G$83,'FE Déchets'!$G:$U,12,FALSE)),0,
VLOOKUP($B85&amp;"; "&amp;$G$83,'FE Déchets'!$G:$U,11,FALSE)+VLOOKUP($B85&amp;"; "&amp;$G$83,'FE Déchets'!$G:$U,12,FALSE))</f>
        <v>0</v>
      </c>
      <c r="AG85" s="565"/>
      <c r="AH85" s="565"/>
      <c r="AI85" s="565"/>
      <c r="AJ85" s="565">
        <f>$F85*IF(ISNA(VLOOKUP($B85&amp;"; "&amp;$G$83,'FE Déchets'!$G:$U,13,FALSE)),0,VLOOKUP($B85&amp;"; "&amp;$G$83,'FE Déchets'!$G:$U,13,FALSE))</f>
        <v>0</v>
      </c>
      <c r="AK85" s="565"/>
      <c r="AL85" s="565"/>
      <c r="AM85" s="565"/>
      <c r="AN85" s="565">
        <f>$F85*IF(ISNA(VLOOKUP($B85&amp;"; "&amp;$G$83,'FE Déchets'!$G:$U,14,FALSE)),0,VLOOKUP($B85&amp;"; "&amp;$G$83,'FE Déchets'!$G:$U,14,FALSE))</f>
        <v>0</v>
      </c>
      <c r="AO85" s="565"/>
      <c r="AP85" s="565"/>
      <c r="AQ85" s="566"/>
      <c r="AR85" s="566">
        <f>SUM(AB85,AF85,AJ85,AN85)</f>
        <v>0</v>
      </c>
      <c r="AS85" s="566"/>
      <c r="AT85" s="566"/>
      <c r="AU85" s="564"/>
      <c r="AV85" s="565">
        <f>$F85*IF(ISNA(VLOOKUP($B85&amp;"; "&amp;$G$83,'FE Déchets'!$G:$U,15,FALSE)),0,VLOOKUP($B85&amp;"; "&amp;$G$83,'FE Déchets'!$G:$U,15,FALSE))</f>
        <v>0</v>
      </c>
      <c r="AW85" s="565"/>
      <c r="AX85" s="568"/>
      <c r="AZ85" s="1065">
        <f>IF($R85&lt;&gt;"votre valeur :",IF(ISNA(VLOOKUP($R85,Utilitaires!$N$566:$O$571,2,FALSE)),,VLOOKUP($R85,Utilitaires!$N$566:$O$571,2,FALSE)),$S85)</f>
        <v>0</v>
      </c>
      <c r="BA85" s="1130">
        <f>IF(ISNA(SQRT(SUMSQ(VLOOKUP($B85&amp;"; "&amp;$G$83,'FE Déchets'!$G:$U,7,FALSE),$AZ85))),0,SQRT(SUMSQ(VLOOKUP($B85&amp;"; "&amp;$G$83,'FE Déchets'!$G:$U,7,FALSE),$AZ85)))</f>
        <v>0.2</v>
      </c>
      <c r="BB85" s="2128"/>
      <c r="BC85" s="2128"/>
      <c r="BD85" s="2128"/>
    </row>
    <row r="86" spans="2:56" hidden="1" outlineLevel="2">
      <c r="B86" s="389" t="s">
        <v>4988</v>
      </c>
      <c r="C86" s="341"/>
      <c r="D86" s="212">
        <f>O86</f>
        <v>0</v>
      </c>
      <c r="E86" s="212"/>
      <c r="F86" s="2389"/>
      <c r="G86" s="219"/>
      <c r="H86" s="219"/>
      <c r="I86" s="219"/>
      <c r="J86" s="219">
        <f>IF(ISNA(VLOOKUP($B86&amp;"; "&amp;$G$83,'FE Déchets'!$G:$U,9,FALSE)),0,VLOOKUP($B86&amp;"; "&amp;$G$83,'FE Déchets'!$G:$U,9,FALSE))</f>
        <v>661</v>
      </c>
      <c r="K86" s="151"/>
      <c r="L86" s="151"/>
      <c r="M86" s="151"/>
      <c r="N86" s="151"/>
      <c r="O86" s="152">
        <f t="shared" ref="O86:O88" si="56">F86*J86</f>
        <v>0</v>
      </c>
      <c r="Q86" s="226">
        <f>IF(X86=0,X86,X86/O86)</f>
        <v>0</v>
      </c>
      <c r="R86" s="2389"/>
      <c r="S86" s="820"/>
      <c r="T86" s="164"/>
      <c r="U86" s="164"/>
      <c r="V86" s="164"/>
      <c r="W86" s="164"/>
      <c r="X86" s="152">
        <f t="shared" ref="X86:X92" si="57">F86*J86*BA86</f>
        <v>0</v>
      </c>
      <c r="Y86" s="114"/>
      <c r="Z86" s="114"/>
      <c r="AA86" s="564"/>
      <c r="AB86" s="565">
        <f>$F86*IF(ISNA(VLOOKUP($B86&amp;"; "&amp;$G$83,'FE Déchets'!$G:$U,10,FALSE)),0,VLOOKUP($B86&amp;"; "&amp;$G$83,'FE Déchets'!$G:$U,10,FALSE))</f>
        <v>0</v>
      </c>
      <c r="AC86" s="565"/>
      <c r="AD86" s="565"/>
      <c r="AE86" s="565"/>
      <c r="AF86" s="565">
        <f>$F86*IF(ISNA(VLOOKUP($B86&amp;"; "&amp;$G$83,'FE Déchets'!$G:$U,11,FALSE)+VLOOKUP($B86&amp;"; "&amp;$G$83,'FE Déchets'!$G:$U,12,FALSE)),0,
VLOOKUP($B86&amp;"; "&amp;$G$83,'FE Déchets'!$G:$U,11,FALSE)+VLOOKUP($B86&amp;"; "&amp;$G$83,'FE Déchets'!$G:$U,12,FALSE))</f>
        <v>0</v>
      </c>
      <c r="AG86" s="565"/>
      <c r="AH86" s="565"/>
      <c r="AI86" s="565"/>
      <c r="AJ86" s="565">
        <f>$F86*IF(ISNA(VLOOKUP($B86&amp;"; "&amp;$G$83,'FE Déchets'!$G:$U,13,FALSE)),0,VLOOKUP($B86&amp;"; "&amp;$G$83,'FE Déchets'!$G:$U,13,FALSE))</f>
        <v>0</v>
      </c>
      <c r="AK86" s="565"/>
      <c r="AL86" s="565"/>
      <c r="AM86" s="565"/>
      <c r="AN86" s="565">
        <f>$F86*IF(ISNA(VLOOKUP($B86&amp;"; "&amp;$G$83,'FE Déchets'!$G:$U,14,FALSE)),0,VLOOKUP($B86&amp;"; "&amp;$G$83,'FE Déchets'!$G:$U,14,FALSE))</f>
        <v>0</v>
      </c>
      <c r="AO86" s="565"/>
      <c r="AP86" s="565"/>
      <c r="AQ86" s="566"/>
      <c r="AR86" s="566">
        <f t="shared" ref="AR86:AR92" si="58">SUM(AB86,AF86,AJ86,AN86)</f>
        <v>0</v>
      </c>
      <c r="AS86" s="566"/>
      <c r="AT86" s="566"/>
      <c r="AU86" s="564"/>
      <c r="AV86" s="565">
        <f>$F86*IF(ISNA(VLOOKUP($B86&amp;"; "&amp;$G$83,'FE Déchets'!$G:$U,15,FALSE)),0,VLOOKUP($B86&amp;"; "&amp;$G$83,'FE Déchets'!$G:$U,15,FALSE))</f>
        <v>0</v>
      </c>
      <c r="AW86" s="565"/>
      <c r="AX86" s="568"/>
      <c r="AZ86" s="1065">
        <f>IF($R86&lt;&gt;"votre valeur :",IF(ISNA(VLOOKUP($R86,Utilitaires!$N$566:$O$571,2,FALSE)),,VLOOKUP($R86,Utilitaires!$N$566:$O$571,2,FALSE)),$S86)</f>
        <v>0</v>
      </c>
      <c r="BA86" s="1130">
        <f>IF(ISNA(SQRT(SUMSQ(VLOOKUP($B86&amp;"; "&amp;$G$83,'FE Déchets'!$G:$U,7,FALSE),$AZ86))),0,SQRT(SUMSQ(VLOOKUP($B86&amp;"; "&amp;$G$83,'FE Déchets'!$G:$U,7,FALSE),$AZ86)))</f>
        <v>0.5</v>
      </c>
      <c r="BB86" s="2128"/>
      <c r="BC86" s="2128"/>
      <c r="BD86" s="2128"/>
    </row>
    <row r="87" spans="2:56" hidden="1" outlineLevel="2">
      <c r="B87" s="389" t="s">
        <v>4989</v>
      </c>
      <c r="C87" s="341"/>
      <c r="D87" s="212">
        <f>O87</f>
        <v>0</v>
      </c>
      <c r="E87" s="212"/>
      <c r="F87" s="2389"/>
      <c r="G87" s="219"/>
      <c r="H87" s="219"/>
      <c r="I87" s="219"/>
      <c r="J87" s="219">
        <f>IF(ISNA(VLOOKUP($B87&amp;"; "&amp;$G$83,'FE Déchets'!$G:$U,9,FALSE)),0,VLOOKUP($B87&amp;"; "&amp;$G$83,'FE Déchets'!$G:$U,9,FALSE))</f>
        <v>531</v>
      </c>
      <c r="K87" s="151"/>
      <c r="L87" s="151"/>
      <c r="M87" s="151"/>
      <c r="N87" s="151"/>
      <c r="O87" s="152">
        <f t="shared" si="56"/>
        <v>0</v>
      </c>
      <c r="Q87" s="226">
        <f>IF(X87=0,X87,X87/O87)</f>
        <v>0</v>
      </c>
      <c r="R87" s="2389"/>
      <c r="S87" s="820"/>
      <c r="T87" s="164"/>
      <c r="U87" s="164"/>
      <c r="V87" s="164"/>
      <c r="W87" s="164"/>
      <c r="X87" s="152">
        <f t="shared" si="57"/>
        <v>0</v>
      </c>
      <c r="Y87" s="114"/>
      <c r="Z87" s="114"/>
      <c r="AA87" s="564"/>
      <c r="AB87" s="565">
        <f>$F87*IF(ISNA(VLOOKUP($B87&amp;"; "&amp;$G$83,'FE Déchets'!$G:$U,10,FALSE)),0,VLOOKUP($B87&amp;"; "&amp;$G$83,'FE Déchets'!$G:$U,10,FALSE))</f>
        <v>0</v>
      </c>
      <c r="AC87" s="565"/>
      <c r="AD87" s="565"/>
      <c r="AE87" s="565"/>
      <c r="AF87" s="565">
        <f>$F87*IF(ISNA(VLOOKUP($B87&amp;"; "&amp;$G$83,'FE Déchets'!$G:$U,11,FALSE)+VLOOKUP($B87&amp;"; "&amp;$G$83,'FE Déchets'!$G:$U,12,FALSE)),0,
VLOOKUP($B87&amp;"; "&amp;$G$83,'FE Déchets'!$G:$U,11,FALSE)+VLOOKUP($B87&amp;"; "&amp;$G$83,'FE Déchets'!$G:$U,12,FALSE))</f>
        <v>0</v>
      </c>
      <c r="AG87" s="565"/>
      <c r="AH87" s="565"/>
      <c r="AI87" s="565"/>
      <c r="AJ87" s="565">
        <f>$F87*IF(ISNA(VLOOKUP($B87&amp;"; "&amp;$G$83,'FE Déchets'!$G:$U,13,FALSE)),0,VLOOKUP($B87&amp;"; "&amp;$G$83,'FE Déchets'!$G:$U,13,FALSE))</f>
        <v>0</v>
      </c>
      <c r="AK87" s="565"/>
      <c r="AL87" s="565"/>
      <c r="AM87" s="565"/>
      <c r="AN87" s="565">
        <f>$F87*IF(ISNA(VLOOKUP($B87&amp;"; "&amp;$G$83,'FE Déchets'!$G:$U,14,FALSE)),0,VLOOKUP($B87&amp;"; "&amp;$G$83,'FE Déchets'!$G:$U,14,FALSE))</f>
        <v>0</v>
      </c>
      <c r="AO87" s="565"/>
      <c r="AP87" s="565"/>
      <c r="AQ87" s="566"/>
      <c r="AR87" s="566">
        <f t="shared" si="58"/>
        <v>0</v>
      </c>
      <c r="AS87" s="566"/>
      <c r="AT87" s="566"/>
      <c r="AU87" s="564"/>
      <c r="AV87" s="565">
        <f>$F87*IF(ISNA(VLOOKUP($B87&amp;"; "&amp;$G$83,'FE Déchets'!$G:$U,15,FALSE)),0,VLOOKUP($B87&amp;"; "&amp;$G$83,'FE Déchets'!$G:$U,15,FALSE))</f>
        <v>0</v>
      </c>
      <c r="AW87" s="565"/>
      <c r="AX87" s="568"/>
      <c r="AZ87" s="2364">
        <f>IF($R87&lt;&gt;"votre valeur :",IF(ISNA(VLOOKUP($R87,Utilitaires!$N$566:$O$571,2,FALSE)),,VLOOKUP($R87,Utilitaires!$N$566:$O$571,2,FALSE)),$S87)</f>
        <v>0</v>
      </c>
      <c r="BA87" s="1130">
        <f>IF(ISNA(SQRT(SUMSQ(VLOOKUP($B87&amp;"; "&amp;$G$83,'FE Déchets'!$G:$U,7,FALSE),$AZ87))),0,SQRT(SUMSQ(VLOOKUP($B87&amp;"; "&amp;$G$83,'FE Déchets'!$G:$U,7,FALSE),$AZ87)))</f>
        <v>0.2</v>
      </c>
      <c r="BB87" s="2128"/>
      <c r="BC87" s="2128"/>
      <c r="BD87" s="2128"/>
    </row>
    <row r="88" spans="2:56" hidden="1" outlineLevel="2">
      <c r="B88" s="389" t="s">
        <v>4990</v>
      </c>
      <c r="C88" s="341"/>
      <c r="D88" s="212">
        <f>O88</f>
        <v>0</v>
      </c>
      <c r="E88" s="212"/>
      <c r="F88" s="2390"/>
      <c r="G88" s="219"/>
      <c r="H88" s="219"/>
      <c r="I88" s="219"/>
      <c r="J88" s="219">
        <f>IF(ISNA(VLOOKUP($B88&amp;"; "&amp;$G$83,'FE Déchets'!$G:$U,9,FALSE)),0,VLOOKUP($B88&amp;"; "&amp;$G$83,'FE Déchets'!$G:$U,9,FALSE))</f>
        <v>780</v>
      </c>
      <c r="K88" s="151"/>
      <c r="L88" s="151"/>
      <c r="M88" s="151"/>
      <c r="N88" s="151"/>
      <c r="O88" s="152">
        <f t="shared" si="56"/>
        <v>0</v>
      </c>
      <c r="Q88" s="226">
        <f>IF(X88=0,X88,X88/O88)</f>
        <v>0</v>
      </c>
      <c r="R88" s="2390"/>
      <c r="S88" s="820"/>
      <c r="T88" s="164"/>
      <c r="U88" s="164"/>
      <c r="V88" s="164"/>
      <c r="W88" s="164"/>
      <c r="X88" s="152">
        <f t="shared" si="57"/>
        <v>0</v>
      </c>
      <c r="Y88" s="114"/>
      <c r="Z88" s="114"/>
      <c r="AA88" s="564"/>
      <c r="AB88" s="565">
        <f>$F88*IF(ISNA(VLOOKUP($B88&amp;"; "&amp;$G$83,'FE Déchets'!$G:$U,10,FALSE)),0,VLOOKUP($B88&amp;"; "&amp;$G$83,'FE Déchets'!$G:$U,10,FALSE))</f>
        <v>0</v>
      </c>
      <c r="AC88" s="565"/>
      <c r="AD88" s="565"/>
      <c r="AE88" s="565"/>
      <c r="AF88" s="565">
        <f>$F88*IF(ISNA(VLOOKUP($B88&amp;"; "&amp;$G$83,'FE Déchets'!$G:$U,11,FALSE)+VLOOKUP($B88&amp;"; "&amp;$G$83,'FE Déchets'!$G:$U,12,FALSE)),0,
VLOOKUP($B88&amp;"; "&amp;$G$83,'FE Déchets'!$G:$U,11,FALSE)+VLOOKUP($B88&amp;"; "&amp;$G$83,'FE Déchets'!$G:$U,12,FALSE))</f>
        <v>0</v>
      </c>
      <c r="AG88" s="565"/>
      <c r="AH88" s="565"/>
      <c r="AI88" s="565"/>
      <c r="AJ88" s="565">
        <f>$F88*IF(ISNA(VLOOKUP($B88&amp;"; "&amp;$G$83,'FE Déchets'!$G:$U,13,FALSE)),0,VLOOKUP($B88&amp;"; "&amp;$G$83,'FE Déchets'!$G:$U,13,FALSE))</f>
        <v>0</v>
      </c>
      <c r="AK88" s="565"/>
      <c r="AL88" s="565"/>
      <c r="AM88" s="565"/>
      <c r="AN88" s="565">
        <f>$F88*IF(ISNA(VLOOKUP($B88&amp;"; "&amp;$G$83,'FE Déchets'!$G:$U,14,FALSE)),0,VLOOKUP($B88&amp;"; "&amp;$G$83,'FE Déchets'!$G:$U,14,FALSE))</f>
        <v>0</v>
      </c>
      <c r="AO88" s="565"/>
      <c r="AP88" s="565"/>
      <c r="AQ88" s="566"/>
      <c r="AR88" s="566">
        <f t="shared" si="58"/>
        <v>0</v>
      </c>
      <c r="AS88" s="566"/>
      <c r="AT88" s="566"/>
      <c r="AU88" s="564"/>
      <c r="AV88" s="565">
        <f>$F88*IF(ISNA(VLOOKUP($B88&amp;"; "&amp;$G$83,'FE Déchets'!$G:$U,15,FALSE)),0,VLOOKUP($B88&amp;"; "&amp;$G$83,'FE Déchets'!$G:$U,15,FALSE))</f>
        <v>0</v>
      </c>
      <c r="AW88" s="565"/>
      <c r="AX88" s="568"/>
      <c r="AZ88" s="2364">
        <f>IF($R88&lt;&gt;"votre valeur :",IF(ISNA(VLOOKUP($R88,Utilitaires!$N$566:$O$571,2,FALSE)),,VLOOKUP($R88,Utilitaires!$N$566:$O$571,2,FALSE)),$S88)</f>
        <v>0</v>
      </c>
      <c r="BA88" s="1130">
        <f>IF(ISNA(SQRT(SUMSQ(VLOOKUP($B88&amp;"; "&amp;$G$83,'FE Déchets'!$G:$U,7,FALSE),$AZ88))),0,SQRT(SUMSQ(VLOOKUP($B88&amp;"; "&amp;$G$83,'FE Déchets'!$G:$U,7,FALSE),$AZ88)))</f>
        <v>1</v>
      </c>
      <c r="BB88" s="2128"/>
      <c r="BC88" s="2128"/>
      <c r="BD88" s="2128"/>
    </row>
    <row r="89" spans="2:56" hidden="1" outlineLevel="2">
      <c r="B89" s="143"/>
      <c r="C89" s="144"/>
      <c r="D89" s="219"/>
      <c r="E89" s="219"/>
      <c r="F89" s="164"/>
      <c r="G89" s="326"/>
      <c r="H89" s="326"/>
      <c r="I89" s="326"/>
      <c r="J89" s="219"/>
      <c r="K89" s="151"/>
      <c r="L89" s="151"/>
      <c r="M89" s="151"/>
      <c r="N89" s="151"/>
      <c r="O89" s="152"/>
      <c r="Q89" s="226"/>
      <c r="R89" s="177"/>
      <c r="S89" s="820"/>
      <c r="T89" s="164"/>
      <c r="U89" s="164"/>
      <c r="V89" s="164"/>
      <c r="W89" s="164"/>
      <c r="X89" s="152"/>
      <c r="Y89" s="114"/>
      <c r="Z89" s="114"/>
      <c r="AA89" s="564"/>
      <c r="AB89" s="565"/>
      <c r="AC89" s="565"/>
      <c r="AD89" s="565"/>
      <c r="AE89" s="565"/>
      <c r="AF89" s="565"/>
      <c r="AG89" s="565"/>
      <c r="AH89" s="565"/>
      <c r="AI89" s="565"/>
      <c r="AJ89" s="565"/>
      <c r="AK89" s="565"/>
      <c r="AL89" s="565"/>
      <c r="AM89" s="565"/>
      <c r="AN89" s="565"/>
      <c r="AO89" s="565"/>
      <c r="AP89" s="565"/>
      <c r="AQ89" s="566"/>
      <c r="AR89" s="566"/>
      <c r="AS89" s="566"/>
      <c r="AT89" s="566"/>
      <c r="AU89" s="564"/>
      <c r="AV89" s="565"/>
      <c r="AW89" s="565"/>
      <c r="AX89" s="568"/>
      <c r="AZ89" s="2364"/>
      <c r="BA89" s="1130"/>
      <c r="BB89" s="2387"/>
      <c r="BC89" s="2387"/>
      <c r="BD89" s="2387"/>
    </row>
    <row r="90" spans="2:56" hidden="1" outlineLevel="2">
      <c r="B90" s="1002" t="s">
        <v>4940</v>
      </c>
      <c r="C90" s="144"/>
      <c r="D90" s="219"/>
      <c r="E90" s="219"/>
      <c r="F90" s="164"/>
      <c r="G90" s="326"/>
      <c r="H90" s="326"/>
      <c r="I90" s="326"/>
      <c r="J90" s="219"/>
      <c r="K90" s="151"/>
      <c r="L90" s="151"/>
      <c r="M90" s="151"/>
      <c r="N90" s="151"/>
      <c r="O90" s="152"/>
      <c r="Q90" s="226"/>
      <c r="R90" s="177"/>
      <c r="S90" s="820"/>
      <c r="T90" s="164"/>
      <c r="U90" s="164"/>
      <c r="V90" s="164"/>
      <c r="W90" s="164"/>
      <c r="X90" s="152"/>
      <c r="Y90" s="114"/>
      <c r="Z90" s="114"/>
      <c r="AA90" s="564"/>
      <c r="AB90" s="565"/>
      <c r="AC90" s="565"/>
      <c r="AD90" s="565"/>
      <c r="AE90" s="565"/>
      <c r="AF90" s="565"/>
      <c r="AG90" s="565"/>
      <c r="AH90" s="565"/>
      <c r="AI90" s="565"/>
      <c r="AJ90" s="565"/>
      <c r="AK90" s="565"/>
      <c r="AL90" s="565"/>
      <c r="AM90" s="565"/>
      <c r="AN90" s="565"/>
      <c r="AO90" s="565"/>
      <c r="AP90" s="565"/>
      <c r="AQ90" s="566"/>
      <c r="AR90" s="566"/>
      <c r="AS90" s="566"/>
      <c r="AT90" s="566"/>
      <c r="AU90" s="564"/>
      <c r="AV90" s="565"/>
      <c r="AW90" s="565"/>
      <c r="AX90" s="568"/>
      <c r="AZ90" s="2364"/>
      <c r="BA90" s="1130"/>
      <c r="BB90" s="2387"/>
      <c r="BC90" s="2387"/>
      <c r="BD90" s="2387"/>
    </row>
    <row r="91" spans="2:56" hidden="1" outlineLevel="2">
      <c r="B91" s="389" t="s">
        <v>4991</v>
      </c>
      <c r="C91" s="341"/>
      <c r="D91" s="212">
        <f>O91</f>
        <v>0</v>
      </c>
      <c r="E91" s="212"/>
      <c r="F91" s="2388"/>
      <c r="G91" s="219"/>
      <c r="H91" s="219"/>
      <c r="I91" s="219"/>
      <c r="J91" s="219">
        <f>IF(ISNA(VLOOKUP($B91&amp;"; "&amp;$G$83,'FE Déchets'!$G:$U,9,FALSE)),0,VLOOKUP($B91&amp;"; "&amp;$G$83,'FE Déchets'!$G:$U,9,FALSE))</f>
        <v>1382</v>
      </c>
      <c r="K91" s="151"/>
      <c r="L91" s="151"/>
      <c r="M91" s="151"/>
      <c r="N91" s="151"/>
      <c r="O91" s="152">
        <f>F91*J91</f>
        <v>0</v>
      </c>
      <c r="Q91" s="226">
        <f>IF(X91=0,X91,X91/O91)</f>
        <v>0</v>
      </c>
      <c r="R91" s="2388"/>
      <c r="S91" s="820"/>
      <c r="T91" s="164"/>
      <c r="U91" s="164"/>
      <c r="V91" s="164"/>
      <c r="W91" s="164"/>
      <c r="X91" s="152">
        <f t="shared" si="57"/>
        <v>0</v>
      </c>
      <c r="Y91" s="114"/>
      <c r="Z91" s="114"/>
      <c r="AA91" s="564"/>
      <c r="AB91" s="565">
        <f>$F91*IF(ISNA(VLOOKUP($B91&amp;"; "&amp;$G$83,'FE Déchets'!$G:$U,10,FALSE)),0,VLOOKUP($B91&amp;"; "&amp;$G$83,'FE Déchets'!$G:$U,10,FALSE))</f>
        <v>0</v>
      </c>
      <c r="AC91" s="565"/>
      <c r="AD91" s="565"/>
      <c r="AE91" s="565"/>
      <c r="AF91" s="565">
        <f>$F91*IF(ISNA(VLOOKUP($B91&amp;"; "&amp;$G$83,'FE Déchets'!$G:$U,11,FALSE)+VLOOKUP($B91&amp;"; "&amp;$G$83,'FE Déchets'!$G:$U,12,FALSE)),0,
VLOOKUP($B91&amp;"; "&amp;$G$83,'FE Déchets'!$G:$U,11,FALSE)+VLOOKUP($B91&amp;"; "&amp;$G$83,'FE Déchets'!$G:$U,12,FALSE))</f>
        <v>0</v>
      </c>
      <c r="AG91" s="565"/>
      <c r="AH91" s="565"/>
      <c r="AI91" s="565"/>
      <c r="AJ91" s="565">
        <f>$F91*IF(ISNA(VLOOKUP($B91&amp;"; "&amp;$G$83,'FE Déchets'!$G:$U,13,FALSE)),0,VLOOKUP($B91&amp;"; "&amp;$G$83,'FE Déchets'!$G:$U,13,FALSE))</f>
        <v>0</v>
      </c>
      <c r="AK91" s="565"/>
      <c r="AL91" s="565"/>
      <c r="AM91" s="565"/>
      <c r="AN91" s="565">
        <f>$F91*IF(ISNA(VLOOKUP($B91&amp;"; "&amp;$G$83,'FE Déchets'!$G:$U,14,FALSE)),0,VLOOKUP($B91&amp;"; "&amp;$G$83,'FE Déchets'!$G:$U,14,FALSE))</f>
        <v>0</v>
      </c>
      <c r="AO91" s="565"/>
      <c r="AP91" s="565"/>
      <c r="AQ91" s="566"/>
      <c r="AR91" s="566">
        <f t="shared" si="58"/>
        <v>0</v>
      </c>
      <c r="AS91" s="566"/>
      <c r="AT91" s="566"/>
      <c r="AU91" s="564"/>
      <c r="AV91" s="565">
        <f>$F91*IF(ISNA(VLOOKUP($B91&amp;"; "&amp;$G$83,'FE Déchets'!$G:$U,15,FALSE)),0,VLOOKUP($B91&amp;"; "&amp;$G$83,'FE Déchets'!$G:$U,15,FALSE))</f>
        <v>0</v>
      </c>
      <c r="AW91" s="565"/>
      <c r="AX91" s="568"/>
      <c r="AZ91" s="2364">
        <f>IF($R91&lt;&gt;"votre valeur :",IF(ISNA(VLOOKUP($R91,Utilitaires!$N$566:$O$571,2,FALSE)),,VLOOKUP($R91,Utilitaires!$N$566:$O$571,2,FALSE)),$S91)</f>
        <v>0</v>
      </c>
      <c r="BA91" s="1130">
        <f>IF(ISNA(SQRT(SUMSQ(VLOOKUP($B91&amp;"; "&amp;$G$83,'FE Déchets'!$G:$U,7,FALSE),$AZ91))),0,SQRT(SUMSQ(VLOOKUP($B91&amp;"; "&amp;$G$83,'FE Déchets'!$G:$U,7,FALSE),$AZ91)))</f>
        <v>0.5</v>
      </c>
      <c r="BB91" s="2128"/>
      <c r="BC91" s="2128"/>
      <c r="BD91" s="2128"/>
    </row>
    <row r="92" spans="2:56" hidden="1" outlineLevel="2">
      <c r="B92" s="389" t="s">
        <v>4992</v>
      </c>
      <c r="C92" s="341"/>
      <c r="D92" s="212">
        <f>O92</f>
        <v>0</v>
      </c>
      <c r="E92" s="212"/>
      <c r="F92" s="2390"/>
      <c r="G92" s="219"/>
      <c r="H92" s="219"/>
      <c r="I92" s="219"/>
      <c r="J92" s="219">
        <f>IF(ISNA(VLOOKUP($B92&amp;"; "&amp;$G$83,'FE Déchets'!$G:$U,9,FALSE)),0,VLOOKUP($B92&amp;"; "&amp;$G$83,'FE Déchets'!$G:$U,9,FALSE))</f>
        <v>500</v>
      </c>
      <c r="K92" s="151"/>
      <c r="L92" s="151"/>
      <c r="M92" s="151"/>
      <c r="N92" s="151"/>
      <c r="O92" s="152">
        <f>F92*J92</f>
        <v>0</v>
      </c>
      <c r="Q92" s="226">
        <f>IF(X92=0,X92,X92/O92)</f>
        <v>0</v>
      </c>
      <c r="R92" s="2390"/>
      <c r="S92" s="820"/>
      <c r="T92" s="164"/>
      <c r="U92" s="164"/>
      <c r="V92" s="164"/>
      <c r="W92" s="164"/>
      <c r="X92" s="152">
        <f t="shared" si="57"/>
        <v>0</v>
      </c>
      <c r="Y92" s="114"/>
      <c r="Z92" s="114"/>
      <c r="AA92" s="564"/>
      <c r="AB92" s="565">
        <f>$F92*IF(ISNA(VLOOKUP($B92&amp;"; "&amp;$G$83,'FE Déchets'!$G:$U,10,FALSE)),0,VLOOKUP($B92&amp;"; "&amp;$G$83,'FE Déchets'!$G:$U,10,FALSE))</f>
        <v>0</v>
      </c>
      <c r="AC92" s="565"/>
      <c r="AD92" s="565"/>
      <c r="AE92" s="565"/>
      <c r="AF92" s="565">
        <f>$F92*IF(ISNA(VLOOKUP($B92&amp;"; "&amp;$G$83,'FE Déchets'!$G:$U,11,FALSE)+VLOOKUP($B92&amp;"; "&amp;$G$83,'FE Déchets'!$G:$U,12,FALSE)),0,
VLOOKUP($B92&amp;"; "&amp;$G$83,'FE Déchets'!$G:$U,11,FALSE)+VLOOKUP($B92&amp;"; "&amp;$G$83,'FE Déchets'!$G:$U,12,FALSE))</f>
        <v>0</v>
      </c>
      <c r="AG92" s="565"/>
      <c r="AH92" s="565"/>
      <c r="AI92" s="565"/>
      <c r="AJ92" s="565">
        <f>$F92*IF(ISNA(VLOOKUP($B92&amp;"; "&amp;$G$83,'FE Déchets'!$G:$U,13,FALSE)),0,VLOOKUP($B92&amp;"; "&amp;$G$83,'FE Déchets'!$G:$U,13,FALSE))</f>
        <v>0</v>
      </c>
      <c r="AK92" s="565"/>
      <c r="AL92" s="565"/>
      <c r="AM92" s="565"/>
      <c r="AN92" s="565">
        <f>$F92*IF(ISNA(VLOOKUP($B92&amp;"; "&amp;$G$83,'FE Déchets'!$G:$U,14,FALSE)),0,VLOOKUP($B92&amp;"; "&amp;$G$83,'FE Déchets'!$G:$U,14,FALSE))</f>
        <v>0</v>
      </c>
      <c r="AO92" s="565"/>
      <c r="AP92" s="565"/>
      <c r="AQ92" s="566"/>
      <c r="AR92" s="566">
        <f t="shared" si="58"/>
        <v>0</v>
      </c>
      <c r="AS92" s="566"/>
      <c r="AT92" s="566"/>
      <c r="AU92" s="564"/>
      <c r="AV92" s="565">
        <f>$F92*IF(ISNA(VLOOKUP($B92&amp;"; "&amp;$G$83,'FE Déchets'!$G:$U,15,FALSE)),0,VLOOKUP($B92&amp;"; "&amp;$G$83,'FE Déchets'!$G:$U,15,FALSE))</f>
        <v>0</v>
      </c>
      <c r="AW92" s="565"/>
      <c r="AX92" s="568"/>
      <c r="AZ92" s="1065">
        <f>IF($R92&lt;&gt;"votre valeur :",IF(ISNA(VLOOKUP($R92,Utilitaires!$N$566:$O$571,2,FALSE)),,VLOOKUP($R92,Utilitaires!$N$566:$O$571,2,FALSE)),$S92)</f>
        <v>0</v>
      </c>
      <c r="BA92" s="1130">
        <f>IF(ISNA(SQRT(SUMSQ(VLOOKUP($B92&amp;"; "&amp;$G$83,'FE Déchets'!$G:$U,7,FALSE),$AZ92))),0,SQRT(SUMSQ(VLOOKUP($B92&amp;"; "&amp;$G$83,'FE Déchets'!$G:$U,7,FALSE),$AZ92)))</f>
        <v>0.5</v>
      </c>
      <c r="BB92" s="2128"/>
      <c r="BC92" s="2128"/>
      <c r="BD92" s="2128"/>
    </row>
    <row r="93" spans="2:56" hidden="1" outlineLevel="2">
      <c r="B93" s="143"/>
      <c r="C93" s="144"/>
      <c r="D93" s="219"/>
      <c r="E93" s="219"/>
      <c r="F93" s="164"/>
      <c r="G93" s="326"/>
      <c r="H93" s="326"/>
      <c r="I93" s="326"/>
      <c r="J93" s="326"/>
      <c r="K93" s="151"/>
      <c r="L93" s="151"/>
      <c r="M93" s="151"/>
      <c r="N93" s="354"/>
      <c r="O93" s="152"/>
      <c r="Q93" s="226"/>
      <c r="R93" s="155"/>
      <c r="S93" s="155"/>
      <c r="T93" s="164"/>
      <c r="U93" s="164"/>
      <c r="V93" s="164"/>
      <c r="W93" s="164"/>
      <c r="X93" s="367"/>
      <c r="Y93" s="114"/>
      <c r="Z93" s="114"/>
      <c r="AA93" s="569"/>
      <c r="AB93" s="625"/>
      <c r="AC93" s="625"/>
      <c r="AD93" s="625"/>
      <c r="AE93" s="625"/>
      <c r="AF93" s="625"/>
      <c r="AG93" s="625"/>
      <c r="AH93" s="625"/>
      <c r="AI93" s="625"/>
      <c r="AJ93" s="625"/>
      <c r="AK93" s="625"/>
      <c r="AL93" s="625"/>
      <c r="AM93" s="625"/>
      <c r="AN93" s="625"/>
      <c r="AO93" s="625"/>
      <c r="AP93" s="625"/>
      <c r="AQ93" s="1313"/>
      <c r="AR93" s="1313"/>
      <c r="AS93" s="1313"/>
      <c r="AT93" s="1313"/>
      <c r="AU93" s="1411"/>
      <c r="AV93" s="1313"/>
      <c r="AW93" s="625"/>
      <c r="AX93" s="570"/>
      <c r="AZ93" s="1087"/>
      <c r="BA93" s="1131"/>
      <c r="BB93" s="2387"/>
      <c r="BC93" s="2387"/>
      <c r="BD93" s="2387"/>
    </row>
    <row r="94" spans="2:56" outlineLevel="1">
      <c r="B94" s="1264" t="s">
        <v>348</v>
      </c>
      <c r="C94" s="197"/>
      <c r="D94" s="214">
        <f>SUM(D85:D93)</f>
        <v>0</v>
      </c>
      <c r="E94" s="214"/>
      <c r="F94" s="203"/>
      <c r="G94" s="203"/>
      <c r="H94" s="202"/>
      <c r="I94" s="203"/>
      <c r="J94" s="203"/>
      <c r="K94" s="202"/>
      <c r="L94" s="202"/>
      <c r="M94" s="202"/>
      <c r="N94" s="202"/>
      <c r="O94" s="200">
        <f>SUM(O85:O93)</f>
        <v>0</v>
      </c>
      <c r="Q94" s="1204">
        <f>IF(X94=0,X94,X94/O94)</f>
        <v>0</v>
      </c>
      <c r="R94" s="199"/>
      <c r="S94" s="199"/>
      <c r="T94" s="204"/>
      <c r="U94" s="204"/>
      <c r="V94" s="204"/>
      <c r="W94" s="204"/>
      <c r="X94" s="200">
        <f>SQRT(SUMSQ(X85:X93))</f>
        <v>0</v>
      </c>
      <c r="Y94" s="114"/>
      <c r="Z94" s="114"/>
      <c r="AA94" s="1308"/>
      <c r="AB94" s="1309">
        <f>SUM(AB85:AB93)</f>
        <v>0</v>
      </c>
      <c r="AC94" s="1309"/>
      <c r="AD94" s="1309"/>
      <c r="AE94" s="1309"/>
      <c r="AF94" s="1309">
        <f>SUM(AF85:AF93)</f>
        <v>0</v>
      </c>
      <c r="AG94" s="1309"/>
      <c r="AH94" s="1309"/>
      <c r="AI94" s="1309"/>
      <c r="AJ94" s="1309">
        <f>SUM(AJ85:AJ93)</f>
        <v>0</v>
      </c>
      <c r="AK94" s="1309"/>
      <c r="AL94" s="1309"/>
      <c r="AM94" s="1309"/>
      <c r="AN94" s="1309">
        <f>SUM(AN85:AN93)</f>
        <v>0</v>
      </c>
      <c r="AO94" s="1309"/>
      <c r="AP94" s="1309"/>
      <c r="AQ94" s="1312"/>
      <c r="AR94" s="1312">
        <f>SUM(AR85:AR93)</f>
        <v>0</v>
      </c>
      <c r="AS94" s="1312"/>
      <c r="AT94" s="1312"/>
      <c r="AU94" s="1082"/>
      <c r="AV94" s="572">
        <f>SUM(AV85:AV93)</f>
        <v>0</v>
      </c>
      <c r="AW94" s="572"/>
      <c r="AX94" s="575"/>
    </row>
    <row r="95" spans="2:56" outlineLevel="1">
      <c r="T95" s="441"/>
      <c r="V95" s="441"/>
    </row>
    <row r="96" spans="2:56" outlineLevel="1">
      <c r="T96" s="441"/>
      <c r="V96" s="441"/>
    </row>
    <row r="97" spans="1:41" ht="15.75" customHeight="1" outlineLevel="1">
      <c r="B97" s="2776" t="s">
        <v>2807</v>
      </c>
      <c r="C97" s="2777"/>
      <c r="D97" s="2777"/>
      <c r="E97" s="2777"/>
      <c r="F97" s="2777"/>
      <c r="G97" s="2777"/>
      <c r="H97" s="2777"/>
      <c r="I97" s="2777"/>
      <c r="J97" s="2777"/>
      <c r="K97" s="2777"/>
      <c r="L97" s="2777"/>
      <c r="M97" s="2777"/>
      <c r="N97" s="2777"/>
      <c r="O97" s="2778"/>
      <c r="T97" s="441"/>
      <c r="V97" s="441"/>
    </row>
    <row r="98" spans="1:41" outlineLevel="1">
      <c r="T98" s="441"/>
      <c r="V98" s="441"/>
    </row>
    <row r="99" spans="1:41" ht="12.75" customHeight="1" outlineLevel="1">
      <c r="B99" s="1906" t="s">
        <v>2553</v>
      </c>
      <c r="C99" s="1907"/>
      <c r="D99" s="1908"/>
      <c r="E99" s="1908"/>
      <c r="F99" s="1908"/>
      <c r="G99" s="1908"/>
      <c r="H99" s="1909"/>
      <c r="J99" s="2779" t="s">
        <v>5136</v>
      </c>
      <c r="K99" s="2780"/>
      <c r="L99" s="2780"/>
      <c r="M99" s="2780"/>
      <c r="N99" s="2780"/>
      <c r="O99" s="2781"/>
      <c r="Q99" s="2788" t="s">
        <v>366</v>
      </c>
      <c r="R99" s="2789"/>
      <c r="S99" s="441"/>
      <c r="T99" s="441"/>
      <c r="U99" s="441"/>
      <c r="V99" s="441"/>
      <c r="W99" s="441"/>
      <c r="Y99" s="114"/>
      <c r="Z99" s="114"/>
    </row>
    <row r="100" spans="1:41" ht="12.75" customHeight="1" outlineLevel="2">
      <c r="B100" s="1910"/>
      <c r="C100" s="1911"/>
      <c r="D100" s="1912" t="s">
        <v>308</v>
      </c>
      <c r="E100" s="1912"/>
      <c r="F100" s="1912"/>
      <c r="G100" s="1912"/>
      <c r="H100" s="1913"/>
      <c r="J100" s="2782"/>
      <c r="K100" s="2783"/>
      <c r="L100" s="2783"/>
      <c r="M100" s="2783"/>
      <c r="N100" s="2783"/>
      <c r="O100" s="2784"/>
      <c r="Q100" s="1914"/>
      <c r="R100" s="1926"/>
      <c r="S100" s="441"/>
      <c r="T100" s="441"/>
      <c r="U100" s="441"/>
      <c r="V100" s="441"/>
      <c r="W100" s="441"/>
      <c r="Y100" s="114"/>
      <c r="Z100" s="114"/>
    </row>
    <row r="101" spans="1:41" ht="12.75" customHeight="1" outlineLevel="2">
      <c r="B101" s="1914"/>
      <c r="C101" s="1915"/>
      <c r="D101" s="1915" t="s">
        <v>2524</v>
      </c>
      <c r="E101" s="1915"/>
      <c r="F101" s="1916" t="s">
        <v>199</v>
      </c>
      <c r="G101" s="452" t="s">
        <v>1585</v>
      </c>
      <c r="H101" s="1913" t="s">
        <v>444</v>
      </c>
      <c r="J101" s="2782"/>
      <c r="K101" s="2783"/>
      <c r="L101" s="2783"/>
      <c r="M101" s="2783"/>
      <c r="N101" s="2783"/>
      <c r="O101" s="2784"/>
      <c r="Q101" s="1914" t="s">
        <v>316</v>
      </c>
      <c r="R101" s="1913" t="s">
        <v>444</v>
      </c>
      <c r="S101" s="441"/>
      <c r="T101" s="441"/>
      <c r="U101" s="441"/>
      <c r="V101" s="441"/>
      <c r="W101" s="441"/>
      <c r="Y101" s="114"/>
      <c r="Z101" s="114"/>
    </row>
    <row r="102" spans="1:41" ht="12.75" customHeight="1" outlineLevel="2">
      <c r="B102" s="1914"/>
      <c r="C102" s="1915"/>
      <c r="D102" s="1915" t="s">
        <v>444</v>
      </c>
      <c r="E102" s="1915"/>
      <c r="F102" s="1917" t="s">
        <v>22</v>
      </c>
      <c r="G102" s="1918" t="s">
        <v>2525</v>
      </c>
      <c r="H102" s="1913"/>
      <c r="J102" s="2782"/>
      <c r="K102" s="2783"/>
      <c r="L102" s="2783"/>
      <c r="M102" s="2783"/>
      <c r="N102" s="2783"/>
      <c r="O102" s="2784"/>
      <c r="Q102" s="1914" t="s">
        <v>2557</v>
      </c>
      <c r="R102" s="1913"/>
      <c r="S102" s="441"/>
      <c r="T102" s="441"/>
      <c r="U102" s="441"/>
      <c r="V102" s="441"/>
      <c r="W102" s="441"/>
      <c r="Y102" s="114"/>
      <c r="Z102" s="114"/>
    </row>
    <row r="103" spans="1:41" ht="12.75" customHeight="1" outlineLevel="2">
      <c r="B103" s="1919" t="s">
        <v>2168</v>
      </c>
      <c r="C103" s="1920"/>
      <c r="D103" s="1921">
        <f>H103</f>
        <v>0</v>
      </c>
      <c r="E103" s="1921"/>
      <c r="F103" s="117"/>
      <c r="G103" s="1922">
        <f>IF(ISNA(VLOOKUP($B103,'FE Intrants'!$I$81:$O$96,7,FALSE)),0,VLOOKUP($B103,'FE Intrants'!$I$81:$O$96,7,FALSE))</f>
        <v>2181</v>
      </c>
      <c r="H103" s="1924">
        <f>F103*G103</f>
        <v>0</v>
      </c>
      <c r="J103" s="2782"/>
      <c r="K103" s="2783"/>
      <c r="L103" s="2783"/>
      <c r="M103" s="2783"/>
      <c r="N103" s="2783"/>
      <c r="O103" s="2784"/>
      <c r="Q103" s="1927">
        <f>VLOOKUP(B103,'FE Intrants'!$I$81:$M$96,5,FALSE)</f>
        <v>0.28284271247461906</v>
      </c>
      <c r="R103" s="1924">
        <f>H103*Q103</f>
        <v>0</v>
      </c>
      <c r="S103" s="441"/>
      <c r="T103" s="441"/>
      <c r="U103" s="441"/>
      <c r="V103" s="441"/>
      <c r="W103" s="441"/>
      <c r="Y103" s="114"/>
      <c r="Z103" s="114"/>
    </row>
    <row r="104" spans="1:41" ht="12.75" customHeight="1" outlineLevel="2">
      <c r="B104" s="1919" t="s">
        <v>1202</v>
      </c>
      <c r="C104" s="1920"/>
      <c r="D104" s="1921">
        <f>H104</f>
        <v>0</v>
      </c>
      <c r="E104" s="1921"/>
      <c r="F104" s="120"/>
      <c r="G104" s="1922">
        <f>IF(ISNA(VLOOKUP($B104,'FE Intrants'!$I$81:$O$96,7,FALSE)),0,VLOOKUP($B104,'FE Intrants'!$I$81:$O$96,7,FALSE))</f>
        <v>1272</v>
      </c>
      <c r="H104" s="1924">
        <f>F104*G104</f>
        <v>0</v>
      </c>
      <c r="J104" s="2782"/>
      <c r="K104" s="2783"/>
      <c r="L104" s="2783"/>
      <c r="M104" s="2783"/>
      <c r="N104" s="2783"/>
      <c r="O104" s="2784"/>
      <c r="Q104" s="1927">
        <f>VLOOKUP(B104,'FE Intrants'!$I$81:$M$96,5,FALSE)</f>
        <v>0.14142135623730953</v>
      </c>
      <c r="R104" s="1924">
        <f>H104*Q104</f>
        <v>0</v>
      </c>
      <c r="S104" s="441"/>
      <c r="T104" s="441"/>
      <c r="U104" s="441"/>
      <c r="V104" s="441"/>
      <c r="W104" s="441"/>
      <c r="Y104" s="114"/>
      <c r="Z104" s="114"/>
    </row>
    <row r="105" spans="1:41" ht="12.75" customHeight="1" outlineLevel="2">
      <c r="B105" s="1919" t="s">
        <v>1203</v>
      </c>
      <c r="C105" s="1920"/>
      <c r="D105" s="1921">
        <f>H105</f>
        <v>0</v>
      </c>
      <c r="E105" s="1921"/>
      <c r="F105" s="123"/>
      <c r="G105" s="1922">
        <f>IF(ISNA(VLOOKUP($B105,'FE Intrants'!$I$81:$O$96,7,FALSE)),0,VLOOKUP($B105,'FE Intrants'!$I$81:$O$96,7,FALSE))</f>
        <v>7238</v>
      </c>
      <c r="H105" s="1924">
        <f>F105*G105</f>
        <v>0</v>
      </c>
      <c r="J105" s="2782"/>
      <c r="K105" s="2783"/>
      <c r="L105" s="2783"/>
      <c r="M105" s="2783"/>
      <c r="N105" s="2783"/>
      <c r="O105" s="2784"/>
      <c r="Q105" s="1927">
        <f>VLOOKUP(B105,'FE Intrants'!$I$81:$M$96,5,FALSE)</f>
        <v>0.42426406871192851</v>
      </c>
      <c r="R105" s="1924">
        <f>H105*Q105</f>
        <v>0</v>
      </c>
      <c r="S105" s="441"/>
      <c r="T105" s="441"/>
      <c r="U105" s="441"/>
      <c r="V105" s="441"/>
      <c r="W105" s="441"/>
      <c r="Y105" s="114"/>
      <c r="Z105" s="114"/>
    </row>
    <row r="106" spans="1:41" ht="12.75" customHeight="1" outlineLevel="2">
      <c r="B106" s="1919"/>
      <c r="C106" s="1920"/>
      <c r="D106" s="1921"/>
      <c r="E106" s="1921"/>
      <c r="F106" s="1921"/>
      <c r="G106" s="1922"/>
      <c r="H106" s="1924"/>
      <c r="J106" s="2782"/>
      <c r="K106" s="2783"/>
      <c r="L106" s="2783"/>
      <c r="M106" s="2783"/>
      <c r="N106" s="2783"/>
      <c r="O106" s="2784"/>
      <c r="Q106" s="1927"/>
      <c r="R106" s="1924"/>
      <c r="S106" s="441"/>
      <c r="T106" s="441"/>
      <c r="U106" s="441"/>
      <c r="V106" s="441"/>
      <c r="W106" s="441"/>
      <c r="Y106" s="114"/>
      <c r="Z106" s="114"/>
    </row>
    <row r="107" spans="1:41" ht="12.75" customHeight="1" outlineLevel="2">
      <c r="B107" s="1919"/>
      <c r="C107" s="1920"/>
      <c r="D107" s="1921"/>
      <c r="E107" s="1921"/>
      <c r="F107" s="1921"/>
      <c r="G107" s="1922"/>
      <c r="H107" s="1924"/>
      <c r="J107" s="2782"/>
      <c r="K107" s="2783"/>
      <c r="L107" s="2783"/>
      <c r="M107" s="2783"/>
      <c r="N107" s="2783"/>
      <c r="O107" s="2784"/>
      <c r="Q107" s="1927">
        <v>0.5</v>
      </c>
      <c r="R107" s="1924">
        <f t="shared" ref="R107" si="59">H107*Q107</f>
        <v>0</v>
      </c>
      <c r="S107" s="441"/>
      <c r="T107" s="441"/>
      <c r="U107" s="441"/>
      <c r="V107" s="441"/>
      <c r="W107" s="441"/>
      <c r="Y107" s="114"/>
      <c r="Z107" s="114"/>
    </row>
    <row r="108" spans="1:41" ht="12.75" customHeight="1" outlineLevel="2">
      <c r="B108" s="452"/>
      <c r="C108" s="453"/>
      <c r="D108" s="1922"/>
      <c r="E108" s="1922"/>
      <c r="F108" s="1923"/>
      <c r="G108" s="1925"/>
      <c r="H108" s="1924"/>
      <c r="J108" s="2782"/>
      <c r="K108" s="2783"/>
      <c r="L108" s="2783"/>
      <c r="M108" s="2783"/>
      <c r="N108" s="2783"/>
      <c r="O108" s="2784"/>
      <c r="Q108" s="1927"/>
      <c r="R108" s="1928"/>
      <c r="S108" s="441"/>
      <c r="T108" s="441"/>
      <c r="U108" s="441"/>
      <c r="V108" s="441"/>
      <c r="W108" s="441"/>
      <c r="Y108" s="114"/>
      <c r="Z108" s="114"/>
    </row>
    <row r="109" spans="1:41" ht="12.75" customHeight="1" outlineLevel="1">
      <c r="B109" s="1935" t="s">
        <v>348</v>
      </c>
      <c r="C109" s="1936"/>
      <c r="D109" s="1937">
        <f>SUM(D103:D108)</f>
        <v>0</v>
      </c>
      <c r="E109" s="1937"/>
      <c r="F109" s="1938"/>
      <c r="G109" s="1938"/>
      <c r="H109" s="1939">
        <f>SUM(H103:H108)</f>
        <v>0</v>
      </c>
      <c r="J109" s="2785"/>
      <c r="K109" s="2786"/>
      <c r="L109" s="2786"/>
      <c r="M109" s="2786"/>
      <c r="N109" s="2786"/>
      <c r="O109" s="2787"/>
      <c r="Q109" s="1940">
        <f>IF(R109=0,R109,R109/H109)</f>
        <v>0</v>
      </c>
      <c r="R109" s="1939">
        <f>SQRT(SUMSQ(R103:R108))</f>
        <v>0</v>
      </c>
      <c r="S109" s="441"/>
      <c r="T109" s="441"/>
      <c r="U109" s="441"/>
      <c r="V109" s="441"/>
      <c r="W109" s="441"/>
      <c r="Y109" s="114"/>
      <c r="Z109" s="114"/>
    </row>
    <row r="110" spans="1:41"/>
    <row r="111" spans="1:41" s="130" customFormat="1" ht="15.6" collapsed="1">
      <c r="A111" s="114"/>
      <c r="B111" s="2652" t="s">
        <v>4996</v>
      </c>
      <c r="C111" s="2653"/>
      <c r="D111" s="2653"/>
      <c r="E111" s="2653"/>
      <c r="F111" s="2653"/>
      <c r="G111" s="2653"/>
      <c r="H111" s="2653"/>
      <c r="I111" s="2653"/>
      <c r="J111" s="2653"/>
      <c r="K111" s="2653"/>
      <c r="L111" s="2653"/>
      <c r="M111" s="2653"/>
      <c r="N111" s="2653"/>
      <c r="O111" s="2654"/>
      <c r="X111" s="441"/>
      <c r="Y111" s="441"/>
      <c r="Z111" s="441"/>
      <c r="AA111" s="441"/>
      <c r="AB111" s="441"/>
      <c r="AC111" s="441"/>
      <c r="AD111" s="441"/>
      <c r="AE111" s="441"/>
      <c r="AF111" s="441"/>
      <c r="AG111" s="441"/>
      <c r="AH111" s="441"/>
      <c r="AI111" s="441"/>
      <c r="AJ111" s="441"/>
      <c r="AK111" s="441"/>
      <c r="AL111" s="441"/>
      <c r="AM111" s="441"/>
      <c r="AN111" s="441"/>
      <c r="AO111" s="441"/>
    </row>
    <row r="112" spans="1:41" ht="12.75" hidden="1" customHeight="1" outlineLevel="1">
      <c r="B112" s="260"/>
      <c r="C112" s="260"/>
      <c r="D112" s="260"/>
      <c r="E112" s="260"/>
      <c r="F112" s="260"/>
      <c r="G112" s="260"/>
      <c r="H112" s="260"/>
      <c r="J112" s="254"/>
    </row>
    <row r="113" spans="2:53" ht="12.75" hidden="1" customHeight="1" outlineLevel="1">
      <c r="B113" s="1091" t="s">
        <v>49</v>
      </c>
      <c r="C113" s="140"/>
      <c r="D113" s="2265"/>
      <c r="E113" s="2265"/>
      <c r="F113" s="2265"/>
      <c r="G113" s="2265"/>
      <c r="H113" s="2265"/>
      <c r="I113" s="2265"/>
      <c r="J113" s="2265"/>
      <c r="K113" s="2265"/>
      <c r="L113" s="2265"/>
      <c r="M113" s="2265"/>
      <c r="N113" s="1412"/>
      <c r="O113" s="1659"/>
      <c r="Q113" s="2636" t="s">
        <v>366</v>
      </c>
      <c r="R113" s="2637"/>
      <c r="S113" s="2637"/>
      <c r="T113" s="2637"/>
      <c r="U113" s="2637"/>
      <c r="V113" s="2637"/>
      <c r="W113" s="2637"/>
      <c r="X113" s="2638"/>
      <c r="Y113" s="114"/>
      <c r="Z113" s="114"/>
      <c r="AA113" s="2639" t="s">
        <v>441</v>
      </c>
      <c r="AB113" s="2640"/>
      <c r="AC113" s="2640"/>
      <c r="AD113" s="2640"/>
      <c r="AE113" s="2640"/>
      <c r="AF113" s="2640"/>
      <c r="AG113" s="2640"/>
      <c r="AH113" s="2640"/>
      <c r="AI113" s="2640"/>
      <c r="AJ113" s="2640"/>
      <c r="AK113" s="2640"/>
      <c r="AL113" s="2640"/>
      <c r="AM113" s="2640"/>
      <c r="AN113" s="2640"/>
      <c r="AO113" s="2640"/>
      <c r="AP113" s="2640"/>
      <c r="AQ113" s="2640"/>
      <c r="AR113" s="2640"/>
      <c r="AS113" s="2640"/>
      <c r="AT113" s="2640"/>
      <c r="AU113" s="2640"/>
      <c r="AV113" s="2640"/>
      <c r="AW113" s="2640"/>
      <c r="AX113" s="2641"/>
      <c r="AZ113" s="2805" t="s">
        <v>1648</v>
      </c>
      <c r="BA113" s="2805"/>
    </row>
    <row r="114" spans="2:53" ht="12.75" hidden="1" customHeight="1" outlineLevel="2">
      <c r="B114" s="332"/>
      <c r="C114" s="167"/>
      <c r="D114" s="2380" t="s">
        <v>308</v>
      </c>
      <c r="E114" s="2380"/>
      <c r="F114" s="2380"/>
      <c r="G114" s="2380"/>
      <c r="H114" s="2380"/>
      <c r="I114" s="2380"/>
      <c r="J114" s="2380"/>
      <c r="K114" s="2370"/>
      <c r="L114" s="2370"/>
      <c r="M114" s="2370"/>
      <c r="N114" s="565"/>
      <c r="O114" s="2381"/>
      <c r="Q114" s="2369"/>
      <c r="R114" s="819"/>
      <c r="S114" s="819"/>
      <c r="T114" s="2374"/>
      <c r="U114" s="2374"/>
      <c r="V114" s="2374"/>
      <c r="W114" s="2374"/>
      <c r="X114" s="145"/>
      <c r="Y114" s="114"/>
      <c r="Z114" s="114"/>
      <c r="AA114" s="2642" t="s">
        <v>444</v>
      </c>
      <c r="AB114" s="2643"/>
      <c r="AC114" s="2643"/>
      <c r="AD114" s="2643"/>
      <c r="AE114" s="2643"/>
      <c r="AF114" s="2643"/>
      <c r="AG114" s="2643"/>
      <c r="AH114" s="2643"/>
      <c r="AI114" s="2643"/>
      <c r="AJ114" s="2643"/>
      <c r="AK114" s="2643"/>
      <c r="AL114" s="2643"/>
      <c r="AM114" s="2643"/>
      <c r="AN114" s="2643"/>
      <c r="AO114" s="2643"/>
      <c r="AP114" s="2643"/>
      <c r="AQ114" s="2643" t="s">
        <v>444</v>
      </c>
      <c r="AR114" s="2643"/>
      <c r="AS114" s="2643"/>
      <c r="AT114" s="2644"/>
      <c r="AU114" s="2371"/>
      <c r="AV114" s="2372"/>
      <c r="AW114" s="2372"/>
      <c r="AX114" s="2373"/>
      <c r="AZ114" s="2805"/>
      <c r="BA114" s="2805"/>
    </row>
    <row r="115" spans="2:53" ht="12.75" hidden="1" customHeight="1" outlineLevel="2">
      <c r="B115" s="2369"/>
      <c r="C115" s="2370"/>
      <c r="D115" s="2370" t="s">
        <v>409</v>
      </c>
      <c r="E115" s="2370"/>
      <c r="F115" s="2378" t="s">
        <v>199</v>
      </c>
      <c r="G115" s="2626" t="s">
        <v>1585</v>
      </c>
      <c r="H115" s="2628"/>
      <c r="I115" s="2628"/>
      <c r="J115" s="2628"/>
      <c r="K115" s="2628"/>
      <c r="L115" s="2628"/>
      <c r="M115" s="2628"/>
      <c r="N115" s="2628"/>
      <c r="O115" s="2381" t="s">
        <v>444</v>
      </c>
      <c r="Q115" s="2369" t="s">
        <v>316</v>
      </c>
      <c r="R115" s="2629" t="s">
        <v>316</v>
      </c>
      <c r="S115" s="2630"/>
      <c r="T115" s="2370"/>
      <c r="U115" s="2370"/>
      <c r="V115" s="2370"/>
      <c r="W115" s="2370"/>
      <c r="X115" s="2381" t="s">
        <v>444</v>
      </c>
      <c r="Y115" s="114"/>
      <c r="Z115" s="114"/>
      <c r="AA115" s="2631" t="s">
        <v>211</v>
      </c>
      <c r="AB115" s="2632"/>
      <c r="AC115" s="2632"/>
      <c r="AD115" s="2632"/>
      <c r="AE115" s="2632" t="s">
        <v>442</v>
      </c>
      <c r="AF115" s="2632"/>
      <c r="AG115" s="2632"/>
      <c r="AH115" s="2632"/>
      <c r="AI115" s="2632" t="s">
        <v>267</v>
      </c>
      <c r="AJ115" s="2632"/>
      <c r="AK115" s="2632"/>
      <c r="AL115" s="2632"/>
      <c r="AM115" s="2632" t="s">
        <v>443</v>
      </c>
      <c r="AN115" s="2632"/>
      <c r="AO115" s="2632"/>
      <c r="AP115" s="2632"/>
      <c r="AQ115" s="2648" t="s">
        <v>327</v>
      </c>
      <c r="AR115" s="2648"/>
      <c r="AS115" s="2648"/>
      <c r="AT115" s="2649"/>
      <c r="AU115" s="2631" t="s">
        <v>636</v>
      </c>
      <c r="AV115" s="2632"/>
      <c r="AW115" s="2632"/>
      <c r="AX115" s="2650"/>
      <c r="AZ115" s="2157" t="s">
        <v>530</v>
      </c>
      <c r="BA115" s="2383" t="s">
        <v>2187</v>
      </c>
    </row>
    <row r="116" spans="2:53" ht="12.75" hidden="1" customHeight="1" outlineLevel="2">
      <c r="B116" s="2369"/>
      <c r="C116" s="2370"/>
      <c r="D116" s="2370" t="s">
        <v>444</v>
      </c>
      <c r="E116" s="2370"/>
      <c r="F116" s="2379" t="s">
        <v>22</v>
      </c>
      <c r="G116" s="1662"/>
      <c r="H116" s="1662"/>
      <c r="I116" s="1662"/>
      <c r="J116" s="1662"/>
      <c r="K116" s="2375"/>
      <c r="L116" s="581"/>
      <c r="M116" s="2375"/>
      <c r="N116" s="2375"/>
      <c r="O116" s="2381"/>
      <c r="Q116" s="2369" t="s">
        <v>1649</v>
      </c>
      <c r="R116" s="2646" t="s">
        <v>1650</v>
      </c>
      <c r="S116" s="2647"/>
      <c r="T116" s="1662"/>
      <c r="U116" s="2286"/>
      <c r="V116" s="2286"/>
      <c r="W116" s="2286"/>
      <c r="X116" s="2381"/>
      <c r="Y116" s="114"/>
      <c r="Z116" s="114"/>
      <c r="AA116" s="227"/>
      <c r="AB116" s="1662"/>
      <c r="AC116" s="1662"/>
      <c r="AD116" s="1662"/>
      <c r="AE116" s="1662"/>
      <c r="AF116" s="1662"/>
      <c r="AG116" s="1662"/>
      <c r="AH116" s="1662"/>
      <c r="AI116" s="1662"/>
      <c r="AJ116" s="1662"/>
      <c r="AK116" s="1662"/>
      <c r="AL116" s="1662"/>
      <c r="AM116" s="1662"/>
      <c r="AN116" s="1662"/>
      <c r="AO116" s="1662"/>
      <c r="AP116" s="1662"/>
      <c r="AQ116" s="1662"/>
      <c r="AR116" s="1662"/>
      <c r="AS116" s="1662"/>
      <c r="AT116" s="1662"/>
      <c r="AU116" s="227"/>
      <c r="AV116" s="1662"/>
      <c r="AW116" s="1662"/>
      <c r="AX116" s="1171"/>
      <c r="AZ116" s="2158"/>
      <c r="BA116" s="2384"/>
    </row>
    <row r="117" spans="2:53" hidden="1" outlineLevel="2">
      <c r="B117" s="389" t="s">
        <v>4895</v>
      </c>
      <c r="C117" s="341"/>
      <c r="D117" s="212">
        <f>O117</f>
        <v>0</v>
      </c>
      <c r="E117" s="212"/>
      <c r="F117" s="117"/>
      <c r="G117" s="2792">
        <f>IF(ISNA(VLOOKUP($B117&amp;"; "&amp;$G$115,'FE Déchets'!$G:$U,9,FALSE)),0,VLOOKUP($B117&amp;"; "&amp;$G$115,'FE Déchets'!$G:$U,9,FALSE))</f>
        <v>943</v>
      </c>
      <c r="H117" s="2793"/>
      <c r="I117" s="2793"/>
      <c r="J117" s="2793"/>
      <c r="K117" s="151"/>
      <c r="L117" s="151"/>
      <c r="M117" s="151"/>
      <c r="N117" s="151"/>
      <c r="O117" s="152">
        <f>F117*G117</f>
        <v>0</v>
      </c>
      <c r="Q117" s="226">
        <f>IF(X117=0,X117,X117/O117)</f>
        <v>0</v>
      </c>
      <c r="R117" s="1094"/>
      <c r="S117" s="820"/>
      <c r="T117" s="164"/>
      <c r="U117" s="164"/>
      <c r="V117" s="164"/>
      <c r="W117" s="164"/>
      <c r="X117" s="152">
        <f>F117*G117*BA117</f>
        <v>0</v>
      </c>
      <c r="Y117" s="114"/>
      <c r="Z117" s="114"/>
      <c r="AA117" s="2790">
        <f>$F117*IF(ISNA(VLOOKUP($B117&amp;"; "&amp;$G$115,'FE Déchets'!$G:$U,10,FALSE)),0,VLOOKUP($B117&amp;"; "&amp;$G$115,'FE Déchets'!$G:$U,10,FALSE))</f>
        <v>0</v>
      </c>
      <c r="AB117" s="2791"/>
      <c r="AC117" s="2791"/>
      <c r="AD117" s="2791"/>
      <c r="AE117" s="2791">
        <f>$F117*IF(ISNA(VLOOKUP($B117&amp;"; "&amp;$G$115,'FE Déchets'!$G:$U,11,FALSE)+VLOOKUP($B117&amp;"; "&amp;$G$115,'FE Déchets'!$G:$U,12,FALSE)),0,
VLOOKUP($B117&amp;"; "&amp;$G$115,'FE Déchets'!$G:$U,11,FALSE)+VLOOKUP($B117&amp;"; "&amp;$G$115,'FE Déchets'!$G:$U,12,FALSE))</f>
        <v>0</v>
      </c>
      <c r="AF117" s="2791"/>
      <c r="AG117" s="2791"/>
      <c r="AH117" s="2791"/>
      <c r="AI117" s="2791">
        <f>$F117*IF(ISNA(VLOOKUP($B117&amp;"; "&amp;$G$115,'FE Déchets'!$G:$U,13,FALSE)),0,VLOOKUP($B117&amp;"; "&amp;$G$115,'FE Déchets'!$G:$U,13,FALSE))</f>
        <v>0</v>
      </c>
      <c r="AJ117" s="2791"/>
      <c r="AK117" s="2791"/>
      <c r="AL117" s="2791"/>
      <c r="AM117" s="2791">
        <f>$F117*IF(ISNA(VLOOKUP($B117&amp;"; "&amp;$G$115,'FE Déchets'!$G:$U,14,FALSE)),0,VLOOKUP($B117&amp;"; "&amp;$G$115,'FE Déchets'!$G:$U,14,FALSE))</f>
        <v>0</v>
      </c>
      <c r="AN117" s="2791"/>
      <c r="AO117" s="2791"/>
      <c r="AP117" s="2791"/>
      <c r="AQ117" s="2658">
        <f>SUM(AA117,AE117,AI117,AM117)</f>
        <v>0</v>
      </c>
      <c r="AR117" s="2658"/>
      <c r="AS117" s="2658"/>
      <c r="AT117" s="2659"/>
      <c r="AU117" s="2790">
        <f>$F117*IF(ISNA(VLOOKUP($B117&amp;"; "&amp;$G$115,'FE Déchets'!$G:$U,15,FALSE)),0,VLOOKUP($B117&amp;"; "&amp;$G$115,'FE Déchets'!$G:$U,15,FALSE))</f>
        <v>0</v>
      </c>
      <c r="AV117" s="2791"/>
      <c r="AW117" s="2791"/>
      <c r="AX117" s="2798"/>
      <c r="AZ117" s="2376">
        <f>IF($R117&lt;&gt;"votre valeur :",IF(ISNA(VLOOKUP($R117,Utilitaires!$N$566:$O$571,2,FALSE)),,VLOOKUP($R117,Utilitaires!$N$566:$O$571,2,FALSE)),$S117)</f>
        <v>0</v>
      </c>
      <c r="BA117" s="1130">
        <f>SQRT(SUMSQ(VLOOKUP($B117&amp;"; "&amp;$G$115,'FE Déchets'!$G:$U,7,FALSE)))</f>
        <v>0.5</v>
      </c>
    </row>
    <row r="118" spans="2:53" hidden="1" outlineLevel="2">
      <c r="B118" s="389" t="s">
        <v>4896</v>
      </c>
      <c r="C118" s="341"/>
      <c r="D118" s="212">
        <f t="shared" ref="D118:D119" si="60">O118</f>
        <v>0</v>
      </c>
      <c r="E118" s="212"/>
      <c r="F118" s="120"/>
      <c r="G118" s="2792">
        <f>IF(ISNA(VLOOKUP($B118&amp;"; "&amp;$G$115,'FE Déchets'!$G:$U,9,FALSE)),0,VLOOKUP($B118&amp;"; "&amp;$G$115,'FE Déchets'!$G:$U,9,FALSE))</f>
        <v>844</v>
      </c>
      <c r="H118" s="2793"/>
      <c r="I118" s="2793"/>
      <c r="J118" s="2793"/>
      <c r="K118" s="151"/>
      <c r="L118" s="151"/>
      <c r="M118" s="151"/>
      <c r="N118" s="151"/>
      <c r="O118" s="152">
        <f t="shared" ref="O118:O119" si="61">F118*G118</f>
        <v>0</v>
      </c>
      <c r="Q118" s="226">
        <f t="shared" ref="Q118:Q119" si="62">IF(X118=0,X118,X118/O118)</f>
        <v>0</v>
      </c>
      <c r="R118" s="1094"/>
      <c r="S118" s="820"/>
      <c r="T118" s="164"/>
      <c r="U118" s="164"/>
      <c r="V118" s="164"/>
      <c r="W118" s="164"/>
      <c r="X118" s="152">
        <f t="shared" ref="X118:X119" si="63">F118*G118*BA118</f>
        <v>0</v>
      </c>
      <c r="Y118" s="114"/>
      <c r="Z118" s="114"/>
      <c r="AA118" s="2790">
        <f>$F118*IF(ISNA(VLOOKUP($B118&amp;"; "&amp;$G$115,'FE Déchets'!$G:$U,10,FALSE)),0,VLOOKUP($B118&amp;"; "&amp;$G$115,'FE Déchets'!$G:$U,10,FALSE))</f>
        <v>0</v>
      </c>
      <c r="AB118" s="2791"/>
      <c r="AC118" s="2791"/>
      <c r="AD118" s="2791"/>
      <c r="AE118" s="2791">
        <f>$F118*IF(ISNA(VLOOKUP($B118&amp;"; "&amp;$G$115,'FE Déchets'!$G:$U,11,FALSE)+VLOOKUP($B118&amp;"; "&amp;$G$115,'FE Déchets'!$G:$U,12,FALSE)),0,
VLOOKUP($B118&amp;"; "&amp;$G$115,'FE Déchets'!$G:$U,11,FALSE)+VLOOKUP($B118&amp;"; "&amp;$G$115,'FE Déchets'!$G:$U,12,FALSE))</f>
        <v>0</v>
      </c>
      <c r="AF118" s="2791"/>
      <c r="AG118" s="2791"/>
      <c r="AH118" s="2791"/>
      <c r="AI118" s="2791">
        <f>$F118*IF(ISNA(VLOOKUP($B118&amp;"; "&amp;$G$115,'FE Déchets'!$G:$U,13,FALSE)),0,VLOOKUP($B118&amp;"; "&amp;$G$115,'FE Déchets'!$G:$U,13,FALSE))</f>
        <v>0</v>
      </c>
      <c r="AJ118" s="2791"/>
      <c r="AK118" s="2791"/>
      <c r="AL118" s="2791"/>
      <c r="AM118" s="2791">
        <f>$F118*IF(ISNA(VLOOKUP($B118&amp;"; "&amp;$G$115,'FE Déchets'!$G:$U,14,FALSE)),0,VLOOKUP($B118&amp;"; "&amp;$G$115,'FE Déchets'!$G:$U,14,FALSE))</f>
        <v>0</v>
      </c>
      <c r="AN118" s="2791"/>
      <c r="AO118" s="2791"/>
      <c r="AP118" s="2791"/>
      <c r="AQ118" s="2658">
        <f t="shared" ref="AQ118:AQ119" si="64">SUM(AA118,AE118,AI118,AM118)</f>
        <v>0</v>
      </c>
      <c r="AR118" s="2658"/>
      <c r="AS118" s="2658"/>
      <c r="AT118" s="2659"/>
      <c r="AU118" s="2790">
        <v>0</v>
      </c>
      <c r="AV118" s="2791"/>
      <c r="AW118" s="2791"/>
      <c r="AX118" s="2798"/>
      <c r="AZ118" s="2376">
        <v>0</v>
      </c>
      <c r="BA118" s="1130">
        <f>SQRT(SUMSQ(VLOOKUP($B118&amp;"; "&amp;$G$115,'FE Déchets'!$G:$U,7,FALSE)))</f>
        <v>0.5</v>
      </c>
    </row>
    <row r="119" spans="2:53" hidden="1" outlineLevel="2">
      <c r="B119" s="389" t="s">
        <v>4896</v>
      </c>
      <c r="C119" s="341"/>
      <c r="D119" s="212">
        <f t="shared" si="60"/>
        <v>0</v>
      </c>
      <c r="E119" s="212"/>
      <c r="F119" s="123"/>
      <c r="G119" s="2792">
        <f>IF(ISNA(VLOOKUP($B119&amp;"; "&amp;$G$115,'FE Déchets'!$G:$U,9,FALSE)),0,VLOOKUP($B119&amp;"; "&amp;$G$115,'FE Déchets'!$G:$U,9,FALSE))</f>
        <v>844</v>
      </c>
      <c r="H119" s="2793"/>
      <c r="I119" s="2793"/>
      <c r="J119" s="2793"/>
      <c r="K119" s="151"/>
      <c r="L119" s="151"/>
      <c r="M119" s="151"/>
      <c r="N119" s="151"/>
      <c r="O119" s="152">
        <f t="shared" si="61"/>
        <v>0</v>
      </c>
      <c r="Q119" s="226">
        <f t="shared" si="62"/>
        <v>0</v>
      </c>
      <c r="R119" s="1094"/>
      <c r="S119" s="820"/>
      <c r="T119" s="164"/>
      <c r="U119" s="164"/>
      <c r="V119" s="164"/>
      <c r="W119" s="164"/>
      <c r="X119" s="152">
        <f t="shared" si="63"/>
        <v>0</v>
      </c>
      <c r="Y119" s="114"/>
      <c r="Z119" s="114"/>
      <c r="AA119" s="2790">
        <f>$F119*IF(ISNA(VLOOKUP($B119&amp;"; "&amp;$G$115,'FE Déchets'!$G:$U,10,FALSE)),0,VLOOKUP($B119&amp;"; "&amp;$G$115,'FE Déchets'!$G:$U,10,FALSE))</f>
        <v>0</v>
      </c>
      <c r="AB119" s="2791"/>
      <c r="AC119" s="2791"/>
      <c r="AD119" s="2791"/>
      <c r="AE119" s="2791">
        <f>$F119*IF(ISNA(VLOOKUP($B119&amp;"; "&amp;$G$115,'FE Déchets'!$G:$U,11,FALSE)+VLOOKUP($B119&amp;"; "&amp;$G$115,'FE Déchets'!$G:$U,12,FALSE)),0,
VLOOKUP($B119&amp;"; "&amp;$G$115,'FE Déchets'!$G:$U,11,FALSE)+VLOOKUP($B119&amp;"; "&amp;$G$115,'FE Déchets'!$G:$U,12,FALSE))</f>
        <v>0</v>
      </c>
      <c r="AF119" s="2791"/>
      <c r="AG119" s="2791"/>
      <c r="AH119" s="2791"/>
      <c r="AI119" s="2791">
        <f>$F119*IF(ISNA(VLOOKUP($B119&amp;"; "&amp;$G$115,'FE Déchets'!$G:$U,13,FALSE)),0,VLOOKUP($B119&amp;"; "&amp;$G$115,'FE Déchets'!$G:$U,13,FALSE))</f>
        <v>0</v>
      </c>
      <c r="AJ119" s="2791"/>
      <c r="AK119" s="2791"/>
      <c r="AL119" s="2791"/>
      <c r="AM119" s="2791">
        <f>$F119*IF(ISNA(VLOOKUP($B119&amp;"; "&amp;$G$115,'FE Déchets'!$G:$U,14,FALSE)),0,VLOOKUP($B119&amp;"; "&amp;$G$115,'FE Déchets'!$G:$U,14,FALSE))</f>
        <v>0</v>
      </c>
      <c r="AN119" s="2791"/>
      <c r="AO119" s="2791"/>
      <c r="AP119" s="2791"/>
      <c r="AQ119" s="2658">
        <f t="shared" si="64"/>
        <v>0</v>
      </c>
      <c r="AR119" s="2658"/>
      <c r="AS119" s="2658"/>
      <c r="AT119" s="2659"/>
      <c r="AU119" s="2790">
        <v>0</v>
      </c>
      <c r="AV119" s="2791"/>
      <c r="AW119" s="2791"/>
      <c r="AX119" s="2798"/>
      <c r="AZ119" s="2376">
        <v>0</v>
      </c>
      <c r="BA119" s="1130">
        <f>SQRT(SUMSQ(VLOOKUP($B119&amp;"; "&amp;$G$115,'FE Déchets'!$G:$U,7,FALSE)))</f>
        <v>0.5</v>
      </c>
    </row>
    <row r="120" spans="2:53" hidden="1" outlineLevel="2">
      <c r="B120" s="143"/>
      <c r="C120" s="144"/>
      <c r="D120" s="219"/>
      <c r="E120" s="219"/>
      <c r="F120" s="164"/>
      <c r="G120" s="326"/>
      <c r="H120" s="326"/>
      <c r="I120" s="326"/>
      <c r="J120" s="326"/>
      <c r="K120" s="151"/>
      <c r="L120" s="151"/>
      <c r="M120" s="151"/>
      <c r="N120" s="354"/>
      <c r="O120" s="152"/>
      <c r="Q120" s="226"/>
      <c r="R120" s="155"/>
      <c r="S120" s="155"/>
      <c r="T120" s="164"/>
      <c r="U120" s="164"/>
      <c r="V120" s="164"/>
      <c r="W120" s="164"/>
      <c r="X120" s="367"/>
      <c r="Y120" s="114"/>
      <c r="Z120" s="114"/>
      <c r="AA120" s="2799"/>
      <c r="AB120" s="2800"/>
      <c r="AC120" s="2800"/>
      <c r="AD120" s="2800"/>
      <c r="AE120" s="2800"/>
      <c r="AF120" s="2800"/>
      <c r="AG120" s="2800"/>
      <c r="AH120" s="2800"/>
      <c r="AI120" s="2800"/>
      <c r="AJ120" s="2800"/>
      <c r="AK120" s="2800"/>
      <c r="AL120" s="2800"/>
      <c r="AM120" s="2800"/>
      <c r="AN120" s="2800"/>
      <c r="AO120" s="2800"/>
      <c r="AP120" s="2800"/>
      <c r="AQ120" s="2801"/>
      <c r="AR120" s="2801"/>
      <c r="AS120" s="2801"/>
      <c r="AT120" s="2802"/>
      <c r="AU120" s="1411"/>
      <c r="AV120" s="1313"/>
      <c r="AW120" s="625"/>
      <c r="AX120" s="570"/>
      <c r="AZ120" s="2377"/>
      <c r="BA120" s="1131"/>
    </row>
    <row r="121" spans="2:53" hidden="1" outlineLevel="1">
      <c r="B121" s="1264" t="s">
        <v>348</v>
      </c>
      <c r="C121" s="197"/>
      <c r="D121" s="214">
        <f>SUM(D117:D120)</f>
        <v>0</v>
      </c>
      <c r="E121" s="214"/>
      <c r="F121" s="203"/>
      <c r="G121" s="203"/>
      <c r="H121" s="202"/>
      <c r="I121" s="203"/>
      <c r="J121" s="203"/>
      <c r="K121" s="202"/>
      <c r="L121" s="202"/>
      <c r="M121" s="202"/>
      <c r="N121" s="202"/>
      <c r="O121" s="200">
        <f>SUM(O117:O120)</f>
        <v>0</v>
      </c>
      <c r="Q121" s="1204">
        <f>IF(X121=0,X121,X121/O121)</f>
        <v>0</v>
      </c>
      <c r="R121" s="199"/>
      <c r="S121" s="199"/>
      <c r="T121" s="204"/>
      <c r="U121" s="204"/>
      <c r="V121" s="204"/>
      <c r="W121" s="204"/>
      <c r="X121" s="200">
        <f>SQRT(SUMSQ(X117:X120))</f>
        <v>0</v>
      </c>
      <c r="Y121" s="114"/>
      <c r="Z121" s="114"/>
      <c r="AA121" s="2795">
        <f>SUM(AA117:AA120)</f>
        <v>0</v>
      </c>
      <c r="AB121" s="2796"/>
      <c r="AC121" s="2796"/>
      <c r="AD121" s="2796"/>
      <c r="AE121" s="2796">
        <f>SUM(AE117:AE120)</f>
        <v>0</v>
      </c>
      <c r="AF121" s="2796"/>
      <c r="AG121" s="2796"/>
      <c r="AH121" s="2796"/>
      <c r="AI121" s="2796">
        <f>SUM(AI117:AI120)</f>
        <v>0</v>
      </c>
      <c r="AJ121" s="2796"/>
      <c r="AK121" s="2796"/>
      <c r="AL121" s="2796"/>
      <c r="AM121" s="2796">
        <f>SUM(AM117:AM120)</f>
        <v>0</v>
      </c>
      <c r="AN121" s="2796"/>
      <c r="AO121" s="2796"/>
      <c r="AP121" s="2796"/>
      <c r="AQ121" s="2803">
        <f>SUM(AQ117:AQ120)</f>
        <v>0</v>
      </c>
      <c r="AR121" s="2803"/>
      <c r="AS121" s="2803"/>
      <c r="AT121" s="2804"/>
      <c r="AU121" s="2795">
        <f>SUM(AU117:AU120)</f>
        <v>0</v>
      </c>
      <c r="AV121" s="2796"/>
      <c r="AW121" s="2796"/>
      <c r="AX121" s="2797"/>
    </row>
    <row r="122" spans="2:53" hidden="1" outlineLevel="1"/>
    <row r="123" spans="2:53" ht="12.75" hidden="1" customHeight="1" outlineLevel="1">
      <c r="B123" s="260"/>
      <c r="C123" s="260"/>
      <c r="D123" s="260"/>
      <c r="E123" s="260"/>
      <c r="F123" s="260"/>
      <c r="G123" s="260"/>
      <c r="H123" s="260"/>
      <c r="J123" s="254"/>
    </row>
    <row r="124" spans="2:53" ht="12.75" hidden="1" customHeight="1" outlineLevel="1">
      <c r="B124" s="1091" t="s">
        <v>4951</v>
      </c>
      <c r="C124" s="140"/>
      <c r="D124" s="2265"/>
      <c r="E124" s="2265"/>
      <c r="F124" s="2265"/>
      <c r="G124" s="2265"/>
      <c r="H124" s="2265"/>
      <c r="I124" s="2265"/>
      <c r="J124" s="2265"/>
      <c r="K124" s="2265"/>
      <c r="L124" s="2265"/>
      <c r="M124" s="2265"/>
      <c r="N124" s="1412"/>
      <c r="O124" s="1659"/>
      <c r="Q124" s="2636" t="s">
        <v>366</v>
      </c>
      <c r="R124" s="2637"/>
      <c r="S124" s="2637"/>
      <c r="T124" s="2637"/>
      <c r="U124" s="2637"/>
      <c r="V124" s="2637"/>
      <c r="W124" s="2637"/>
      <c r="X124" s="2638"/>
      <c r="Y124" s="114"/>
      <c r="Z124" s="114"/>
      <c r="AA124" s="2639" t="s">
        <v>441</v>
      </c>
      <c r="AB124" s="2640"/>
      <c r="AC124" s="2640"/>
      <c r="AD124" s="2640"/>
      <c r="AE124" s="2640"/>
      <c r="AF124" s="2640"/>
      <c r="AG124" s="2640"/>
      <c r="AH124" s="2640"/>
      <c r="AI124" s="2640"/>
      <c r="AJ124" s="2640"/>
      <c r="AK124" s="2640"/>
      <c r="AL124" s="2640"/>
      <c r="AM124" s="2640"/>
      <c r="AN124" s="2640"/>
      <c r="AO124" s="2640"/>
      <c r="AP124" s="2640"/>
      <c r="AQ124" s="2640"/>
      <c r="AR124" s="2640"/>
      <c r="AS124" s="2640"/>
      <c r="AT124" s="2640"/>
      <c r="AU124" s="2640"/>
      <c r="AV124" s="2640"/>
      <c r="AW124" s="2640"/>
      <c r="AX124" s="2641"/>
      <c r="AZ124" s="2805" t="s">
        <v>1648</v>
      </c>
      <c r="BA124" s="2805"/>
    </row>
    <row r="125" spans="2:53" ht="12.75" hidden="1" customHeight="1" outlineLevel="2">
      <c r="B125" s="332"/>
      <c r="C125" s="167"/>
      <c r="D125" s="2380" t="s">
        <v>308</v>
      </c>
      <c r="E125" s="2380"/>
      <c r="F125" s="2380"/>
      <c r="G125" s="2380"/>
      <c r="H125" s="2380"/>
      <c r="I125" s="2380"/>
      <c r="J125" s="2380"/>
      <c r="K125" s="2370"/>
      <c r="L125" s="2370"/>
      <c r="M125" s="2370"/>
      <c r="N125" s="565"/>
      <c r="O125" s="2381"/>
      <c r="Q125" s="2369"/>
      <c r="R125" s="819"/>
      <c r="S125" s="819"/>
      <c r="T125" s="2374"/>
      <c r="U125" s="2374"/>
      <c r="V125" s="2374"/>
      <c r="W125" s="2374"/>
      <c r="X125" s="145"/>
      <c r="Y125" s="114"/>
      <c r="Z125" s="114"/>
      <c r="AA125" s="2642" t="s">
        <v>444</v>
      </c>
      <c r="AB125" s="2643"/>
      <c r="AC125" s="2643"/>
      <c r="AD125" s="2643"/>
      <c r="AE125" s="2643"/>
      <c r="AF125" s="2643"/>
      <c r="AG125" s="2643"/>
      <c r="AH125" s="2643"/>
      <c r="AI125" s="2643"/>
      <c r="AJ125" s="2643"/>
      <c r="AK125" s="2643"/>
      <c r="AL125" s="2643"/>
      <c r="AM125" s="2643"/>
      <c r="AN125" s="2643"/>
      <c r="AO125" s="2643"/>
      <c r="AP125" s="2643"/>
      <c r="AQ125" s="2643" t="s">
        <v>444</v>
      </c>
      <c r="AR125" s="2643"/>
      <c r="AS125" s="2643"/>
      <c r="AT125" s="2644"/>
      <c r="AU125" s="2371"/>
      <c r="AV125" s="2372"/>
      <c r="AW125" s="2372"/>
      <c r="AX125" s="2373"/>
      <c r="AZ125" s="2805"/>
      <c r="BA125" s="2805"/>
    </row>
    <row r="126" spans="2:53" ht="12.75" hidden="1" customHeight="1" outlineLevel="2">
      <c r="B126" s="2369"/>
      <c r="C126" s="2370"/>
      <c r="D126" s="2370" t="s">
        <v>409</v>
      </c>
      <c r="E126" s="2370"/>
      <c r="F126" s="2378" t="s">
        <v>199</v>
      </c>
      <c r="G126" s="2626" t="s">
        <v>1585</v>
      </c>
      <c r="H126" s="2628"/>
      <c r="I126" s="2628"/>
      <c r="J126" s="2628"/>
      <c r="K126" s="2628"/>
      <c r="L126" s="2628"/>
      <c r="M126" s="2628"/>
      <c r="N126" s="2628"/>
      <c r="O126" s="2381" t="s">
        <v>444</v>
      </c>
      <c r="Q126" s="2369" t="s">
        <v>316</v>
      </c>
      <c r="R126" s="2629" t="s">
        <v>316</v>
      </c>
      <c r="S126" s="2630"/>
      <c r="T126" s="2370"/>
      <c r="U126" s="2370"/>
      <c r="V126" s="2370"/>
      <c r="W126" s="2370"/>
      <c r="X126" s="2381" t="s">
        <v>444</v>
      </c>
      <c r="Y126" s="114"/>
      <c r="Z126" s="114"/>
      <c r="AA126" s="2631" t="s">
        <v>211</v>
      </c>
      <c r="AB126" s="2632"/>
      <c r="AC126" s="2632"/>
      <c r="AD126" s="2632"/>
      <c r="AE126" s="2632" t="s">
        <v>442</v>
      </c>
      <c r="AF126" s="2632"/>
      <c r="AG126" s="2632"/>
      <c r="AH126" s="2632"/>
      <c r="AI126" s="2632" t="s">
        <v>267</v>
      </c>
      <c r="AJ126" s="2632"/>
      <c r="AK126" s="2632"/>
      <c r="AL126" s="2632"/>
      <c r="AM126" s="2632" t="s">
        <v>443</v>
      </c>
      <c r="AN126" s="2632"/>
      <c r="AO126" s="2632"/>
      <c r="AP126" s="2632"/>
      <c r="AQ126" s="2648" t="s">
        <v>327</v>
      </c>
      <c r="AR126" s="2648"/>
      <c r="AS126" s="2648"/>
      <c r="AT126" s="2649"/>
      <c r="AU126" s="2631" t="s">
        <v>636</v>
      </c>
      <c r="AV126" s="2632"/>
      <c r="AW126" s="2632"/>
      <c r="AX126" s="2650"/>
      <c r="AZ126" s="2157" t="s">
        <v>530</v>
      </c>
      <c r="BA126" s="2383" t="s">
        <v>2187</v>
      </c>
    </row>
    <row r="127" spans="2:53" ht="12.75" hidden="1" customHeight="1" outlineLevel="2">
      <c r="B127" s="2369"/>
      <c r="C127" s="2370"/>
      <c r="D127" s="2370" t="s">
        <v>444</v>
      </c>
      <c r="E127" s="2370"/>
      <c r="F127" s="2379" t="s">
        <v>22</v>
      </c>
      <c r="G127" s="1662"/>
      <c r="H127" s="1662"/>
      <c r="I127" s="1662"/>
      <c r="J127" s="1662"/>
      <c r="K127" s="2375"/>
      <c r="L127" s="581"/>
      <c r="M127" s="2375"/>
      <c r="N127" s="2375"/>
      <c r="O127" s="2381"/>
      <c r="Q127" s="2369" t="s">
        <v>1649</v>
      </c>
      <c r="R127" s="2646" t="s">
        <v>1650</v>
      </c>
      <c r="S127" s="2647"/>
      <c r="T127" s="1662"/>
      <c r="U127" s="2286"/>
      <c r="V127" s="2286"/>
      <c r="W127" s="2286"/>
      <c r="X127" s="2381"/>
      <c r="Y127" s="114"/>
      <c r="Z127" s="114"/>
      <c r="AA127" s="227"/>
      <c r="AB127" s="1662"/>
      <c r="AC127" s="1662"/>
      <c r="AD127" s="1662"/>
      <c r="AE127" s="1662"/>
      <c r="AF127" s="1662"/>
      <c r="AG127" s="1662"/>
      <c r="AH127" s="1662"/>
      <c r="AI127" s="1662"/>
      <c r="AJ127" s="1662"/>
      <c r="AK127" s="1662"/>
      <c r="AL127" s="1662"/>
      <c r="AM127" s="1662"/>
      <c r="AN127" s="1662"/>
      <c r="AO127" s="1662"/>
      <c r="AP127" s="1662"/>
      <c r="AQ127" s="1662"/>
      <c r="AR127" s="1662"/>
      <c r="AS127" s="1662"/>
      <c r="AT127" s="1662"/>
      <c r="AU127" s="227"/>
      <c r="AV127" s="1662"/>
      <c r="AW127" s="1662"/>
      <c r="AX127" s="1171"/>
      <c r="AZ127" s="2158"/>
      <c r="BA127" s="2384"/>
    </row>
    <row r="128" spans="2:53" hidden="1" outlineLevel="2">
      <c r="B128" s="389" t="s">
        <v>4998</v>
      </c>
      <c r="C128" s="341"/>
      <c r="D128" s="212">
        <f>O128</f>
        <v>0</v>
      </c>
      <c r="E128" s="212"/>
      <c r="F128" s="117"/>
      <c r="G128" s="2792">
        <f>IF(ISNA(VLOOKUP($B128&amp;"; "&amp;$G$126,'FE Déchets'!$G:$U,9,FALSE)),0,VLOOKUP($B128&amp;"; "&amp;$G$126,'FE Déchets'!$G:$U,9,FALSE))</f>
        <v>134</v>
      </c>
      <c r="H128" s="2793"/>
      <c r="I128" s="2793"/>
      <c r="J128" s="2793"/>
      <c r="K128" s="151"/>
      <c r="L128" s="151"/>
      <c r="M128" s="151"/>
      <c r="N128" s="151"/>
      <c r="O128" s="152">
        <f>F128*G128</f>
        <v>0</v>
      </c>
      <c r="Q128" s="226">
        <f>IF(X128=0,X128,X128/O128)</f>
        <v>0</v>
      </c>
      <c r="R128" s="1094"/>
      <c r="S128" s="820"/>
      <c r="T128" s="164"/>
      <c r="U128" s="164"/>
      <c r="V128" s="164"/>
      <c r="W128" s="164"/>
      <c r="X128" s="152">
        <f>F128*G128*BA128</f>
        <v>0</v>
      </c>
      <c r="Y128" s="114"/>
      <c r="Z128" s="114"/>
      <c r="AA128" s="2790">
        <f>$F128*IF(ISNA(VLOOKUP($B128&amp;"; "&amp;$G$126,'FE Déchets'!$G:$U,10,FALSE)),0,VLOOKUP($B128&amp;"; "&amp;$G$126,'FE Déchets'!$G:$U,10,FALSE))</f>
        <v>0</v>
      </c>
      <c r="AB128" s="2791"/>
      <c r="AC128" s="2791"/>
      <c r="AD128" s="2791"/>
      <c r="AE128" s="2791">
        <f>$F128*IF(ISNA(VLOOKUP($B128&amp;"; "&amp;$G$126,'FE Déchets'!$G:$U,11,FALSE)+VLOOKUP($B128&amp;"; "&amp;$G$126,'FE Déchets'!$G:$U,12,FALSE)),0,
VLOOKUP($B128&amp;"; "&amp;$G$126,'FE Déchets'!$G:$U,11,FALSE)+VLOOKUP($B128&amp;"; "&amp;$G$126,'FE Déchets'!$G:$U,12,FALSE))</f>
        <v>0</v>
      </c>
      <c r="AF128" s="2791"/>
      <c r="AG128" s="2791"/>
      <c r="AH128" s="2791"/>
      <c r="AI128" s="2791">
        <f>$F128*IF(ISNA(VLOOKUP($B128&amp;"; "&amp;$G$126,'FE Déchets'!$G:$U,13,FALSE)),0,VLOOKUP($B128&amp;"; "&amp;$G$126,'FE Déchets'!$G:$U,13,FALSE))</f>
        <v>0</v>
      </c>
      <c r="AJ128" s="2791"/>
      <c r="AK128" s="2791"/>
      <c r="AL128" s="2791"/>
      <c r="AM128" s="2791">
        <f>$F128*IF(ISNA(VLOOKUP($B128&amp;"; "&amp;$G$126,'FE Déchets'!$G:$U,14,FALSE)),0,VLOOKUP($B128&amp;"; "&amp;$G$126,'FE Déchets'!$G:$U,14,FALSE))</f>
        <v>0</v>
      </c>
      <c r="AN128" s="2791"/>
      <c r="AO128" s="2791"/>
      <c r="AP128" s="2791"/>
      <c r="AQ128" s="2658">
        <f>SUM(AA128,AE128,AI128,AM128)</f>
        <v>0</v>
      </c>
      <c r="AR128" s="2658"/>
      <c r="AS128" s="2658"/>
      <c r="AT128" s="2659"/>
      <c r="AU128" s="2790">
        <f>$F128*IF(ISNA(VLOOKUP($B128&amp;"; "&amp;$G$126,'FE Déchets'!$G:$U,15,FALSE)),0,VLOOKUP($B128&amp;"; "&amp;$G$126,'FE Déchets'!$G:$U,15,FALSE))</f>
        <v>0</v>
      </c>
      <c r="AV128" s="2791"/>
      <c r="AW128" s="2791"/>
      <c r="AX128" s="2798"/>
      <c r="AZ128" s="2376">
        <f>IF($R128&lt;&gt;"votre valeur :",IF(ISNA(VLOOKUP($R128,Utilitaires!$N$566:$O$571,2,FALSE)),,VLOOKUP($R128,Utilitaires!$N$566:$O$571,2,FALSE)),$S128)</f>
        <v>0</v>
      </c>
      <c r="BA128" s="1130">
        <f>SQRT(SUMSQ(VLOOKUP($B128&amp;"; "&amp;$G$126,'FE Déchets'!$G:$U,7,FALSE)))</f>
        <v>0.1</v>
      </c>
    </row>
    <row r="129" spans="2:53" hidden="1" outlineLevel="2">
      <c r="B129" s="389" t="s">
        <v>4998</v>
      </c>
      <c r="C129" s="341"/>
      <c r="D129" s="212">
        <f t="shared" ref="D129:D130" si="65">O129</f>
        <v>0</v>
      </c>
      <c r="E129" s="212"/>
      <c r="F129" s="120"/>
      <c r="G129" s="2792">
        <f>IF(ISNA(VLOOKUP($B129&amp;"; "&amp;$G$126,'FE Déchets'!$G:$U,9,FALSE)),0,VLOOKUP($B129&amp;"; "&amp;$G$126,'FE Déchets'!$G:$U,9,FALSE))</f>
        <v>134</v>
      </c>
      <c r="H129" s="2793"/>
      <c r="I129" s="2793"/>
      <c r="J129" s="2793"/>
      <c r="K129" s="151"/>
      <c r="L129" s="151"/>
      <c r="M129" s="151"/>
      <c r="N129" s="151"/>
      <c r="O129" s="152">
        <f t="shared" ref="O129:O130" si="66">F129*G129</f>
        <v>0</v>
      </c>
      <c r="Q129" s="226">
        <f t="shared" ref="Q129:Q130" si="67">IF(X129=0,X129,X129/O129)</f>
        <v>0</v>
      </c>
      <c r="R129" s="1094"/>
      <c r="S129" s="820"/>
      <c r="T129" s="164"/>
      <c r="U129" s="164"/>
      <c r="V129" s="164"/>
      <c r="W129" s="164"/>
      <c r="X129" s="152">
        <f t="shared" ref="X129:X130" si="68">F129*G129*BA129</f>
        <v>0</v>
      </c>
      <c r="Y129" s="114"/>
      <c r="Z129" s="114"/>
      <c r="AA129" s="2790">
        <f>$F129*IF(ISNA(VLOOKUP($B129&amp;"; "&amp;$G$126,'FE Déchets'!$G:$U,10,FALSE)),0,VLOOKUP($B129&amp;"; "&amp;$G$126,'FE Déchets'!$G:$U,10,FALSE))</f>
        <v>0</v>
      </c>
      <c r="AB129" s="2791"/>
      <c r="AC129" s="2791"/>
      <c r="AD129" s="2791"/>
      <c r="AE129" s="2791">
        <f>$F129*IF(ISNA(VLOOKUP($B129&amp;"; "&amp;$G$126,'FE Déchets'!$G:$U,11,FALSE)+VLOOKUP($B129&amp;"; "&amp;$G$126,'FE Déchets'!$G:$U,12,FALSE)),0,
VLOOKUP($B129&amp;"; "&amp;$G$126,'FE Déchets'!$G:$U,11,FALSE)+VLOOKUP($B129&amp;"; "&amp;$G$126,'FE Déchets'!$G:$U,12,FALSE))</f>
        <v>0</v>
      </c>
      <c r="AF129" s="2791"/>
      <c r="AG129" s="2791"/>
      <c r="AH129" s="2791"/>
      <c r="AI129" s="2791">
        <f>$F129*IF(ISNA(VLOOKUP($B129&amp;"; "&amp;$G$126,'FE Déchets'!$G:$U,13,FALSE)),0,VLOOKUP($B129&amp;"; "&amp;$G$126,'FE Déchets'!$G:$U,13,FALSE))</f>
        <v>0</v>
      </c>
      <c r="AJ129" s="2791"/>
      <c r="AK129" s="2791"/>
      <c r="AL129" s="2791"/>
      <c r="AM129" s="2791">
        <f>$F129*IF(ISNA(VLOOKUP($B129&amp;"; "&amp;$G$126,'FE Déchets'!$G:$U,14,FALSE)),0,VLOOKUP($B129&amp;"; "&amp;$G$126,'FE Déchets'!$G:$U,14,FALSE))</f>
        <v>0</v>
      </c>
      <c r="AN129" s="2791"/>
      <c r="AO129" s="2791"/>
      <c r="AP129" s="2791"/>
      <c r="AQ129" s="2658">
        <f t="shared" ref="AQ129:AQ130" si="69">SUM(AA129,AE129,AI129,AM129)</f>
        <v>0</v>
      </c>
      <c r="AR129" s="2658"/>
      <c r="AS129" s="2658"/>
      <c r="AT129" s="2659"/>
      <c r="AU129" s="2790">
        <v>0</v>
      </c>
      <c r="AV129" s="2791"/>
      <c r="AW129" s="2791"/>
      <c r="AX129" s="2798"/>
      <c r="AZ129" s="2376">
        <v>0</v>
      </c>
      <c r="BA129" s="1130">
        <f>SQRT(SUMSQ(VLOOKUP($B129&amp;"; "&amp;$G$126,'FE Déchets'!$G:$U,7,FALSE)))</f>
        <v>0.1</v>
      </c>
    </row>
    <row r="130" spans="2:53" hidden="1" outlineLevel="2">
      <c r="B130" s="389" t="s">
        <v>4998</v>
      </c>
      <c r="C130" s="341"/>
      <c r="D130" s="212">
        <f t="shared" si="65"/>
        <v>0</v>
      </c>
      <c r="E130" s="212"/>
      <c r="F130" s="123"/>
      <c r="G130" s="2792">
        <f>IF(ISNA(VLOOKUP($B130&amp;"; "&amp;$G$126,'FE Déchets'!$G:$U,9,FALSE)),0,VLOOKUP($B130&amp;"; "&amp;$G$126,'FE Déchets'!$G:$U,9,FALSE))</f>
        <v>134</v>
      </c>
      <c r="H130" s="2793"/>
      <c r="I130" s="2793"/>
      <c r="J130" s="2793"/>
      <c r="K130" s="151"/>
      <c r="L130" s="151"/>
      <c r="M130" s="151"/>
      <c r="N130" s="151"/>
      <c r="O130" s="152">
        <f t="shared" si="66"/>
        <v>0</v>
      </c>
      <c r="Q130" s="226">
        <f t="shared" si="67"/>
        <v>0</v>
      </c>
      <c r="R130" s="1094"/>
      <c r="S130" s="820"/>
      <c r="T130" s="164"/>
      <c r="U130" s="164"/>
      <c r="V130" s="164"/>
      <c r="W130" s="164"/>
      <c r="X130" s="152">
        <f t="shared" si="68"/>
        <v>0</v>
      </c>
      <c r="Y130" s="114"/>
      <c r="Z130" s="114"/>
      <c r="AA130" s="2790">
        <f>$F130*IF(ISNA(VLOOKUP($B130&amp;"; "&amp;$G$126,'FE Déchets'!$G:$U,10,FALSE)),0,VLOOKUP($B130&amp;"; "&amp;$G$126,'FE Déchets'!$G:$U,10,FALSE))</f>
        <v>0</v>
      </c>
      <c r="AB130" s="2791"/>
      <c r="AC130" s="2791"/>
      <c r="AD130" s="2791"/>
      <c r="AE130" s="2791">
        <f>$F130*IF(ISNA(VLOOKUP($B130&amp;"; "&amp;$G$126,'FE Déchets'!$G:$U,11,FALSE)+VLOOKUP($B130&amp;"; "&amp;$G$126,'FE Déchets'!$G:$U,12,FALSE)),0,
VLOOKUP($B130&amp;"; "&amp;$G$126,'FE Déchets'!$G:$U,11,FALSE)+VLOOKUP($B130&amp;"; "&amp;$G$126,'FE Déchets'!$G:$U,12,FALSE))</f>
        <v>0</v>
      </c>
      <c r="AF130" s="2791"/>
      <c r="AG130" s="2791"/>
      <c r="AH130" s="2791"/>
      <c r="AI130" s="2791">
        <f>$F130*IF(ISNA(VLOOKUP($B130&amp;"; "&amp;$G$126,'FE Déchets'!$G:$U,13,FALSE)),0,VLOOKUP($B130&amp;"; "&amp;$G$126,'FE Déchets'!$G:$U,13,FALSE))</f>
        <v>0</v>
      </c>
      <c r="AJ130" s="2791"/>
      <c r="AK130" s="2791"/>
      <c r="AL130" s="2791"/>
      <c r="AM130" s="2791">
        <f>$F130*IF(ISNA(VLOOKUP($B130&amp;"; "&amp;$G$126,'FE Déchets'!$G:$U,14,FALSE)),0,VLOOKUP($B130&amp;"; "&amp;$G$126,'FE Déchets'!$G:$U,14,FALSE))</f>
        <v>0</v>
      </c>
      <c r="AN130" s="2791"/>
      <c r="AO130" s="2791"/>
      <c r="AP130" s="2791"/>
      <c r="AQ130" s="2658">
        <f t="shared" si="69"/>
        <v>0</v>
      </c>
      <c r="AR130" s="2658"/>
      <c r="AS130" s="2658"/>
      <c r="AT130" s="2659"/>
      <c r="AU130" s="2790">
        <v>0</v>
      </c>
      <c r="AV130" s="2791"/>
      <c r="AW130" s="2791"/>
      <c r="AX130" s="2798"/>
      <c r="AZ130" s="2376">
        <v>0</v>
      </c>
      <c r="BA130" s="1130">
        <f>SQRT(SUMSQ(VLOOKUP($B130&amp;"; "&amp;$G$126,'FE Déchets'!$G:$U,7,FALSE)))</f>
        <v>0.1</v>
      </c>
    </row>
    <row r="131" spans="2:53" hidden="1" outlineLevel="2">
      <c r="B131" s="143"/>
      <c r="C131" s="144"/>
      <c r="D131" s="219"/>
      <c r="E131" s="219"/>
      <c r="F131" s="164"/>
      <c r="G131" s="326"/>
      <c r="H131" s="326"/>
      <c r="I131" s="326"/>
      <c r="J131" s="326"/>
      <c r="K131" s="151"/>
      <c r="L131" s="151"/>
      <c r="M131" s="151"/>
      <c r="N131" s="354"/>
      <c r="O131" s="152"/>
      <c r="Q131" s="226"/>
      <c r="R131" s="155"/>
      <c r="S131" s="155"/>
      <c r="T131" s="164"/>
      <c r="U131" s="164"/>
      <c r="V131" s="164"/>
      <c r="W131" s="164"/>
      <c r="X131" s="367"/>
      <c r="Y131" s="114"/>
      <c r="Z131" s="114"/>
      <c r="AA131" s="2799"/>
      <c r="AB131" s="2800"/>
      <c r="AC131" s="2800"/>
      <c r="AD131" s="2800"/>
      <c r="AE131" s="2800"/>
      <c r="AF131" s="2800"/>
      <c r="AG131" s="2800"/>
      <c r="AH131" s="2800"/>
      <c r="AI131" s="2800"/>
      <c r="AJ131" s="2800"/>
      <c r="AK131" s="2800"/>
      <c r="AL131" s="2800"/>
      <c r="AM131" s="2800"/>
      <c r="AN131" s="2800"/>
      <c r="AO131" s="2800"/>
      <c r="AP131" s="2800"/>
      <c r="AQ131" s="2801"/>
      <c r="AR131" s="2801"/>
      <c r="AS131" s="2801"/>
      <c r="AT131" s="2802"/>
      <c r="AU131" s="1411"/>
      <c r="AV131" s="1313"/>
      <c r="AW131" s="625"/>
      <c r="AX131" s="570"/>
      <c r="AZ131" s="2377"/>
      <c r="BA131" s="1131"/>
    </row>
    <row r="132" spans="2:53" hidden="1" outlineLevel="1">
      <c r="B132" s="1264" t="s">
        <v>348</v>
      </c>
      <c r="C132" s="197"/>
      <c r="D132" s="214">
        <f>SUM(D128:D131)</f>
        <v>0</v>
      </c>
      <c r="E132" s="214"/>
      <c r="F132" s="203"/>
      <c r="G132" s="203"/>
      <c r="H132" s="202"/>
      <c r="I132" s="203"/>
      <c r="J132" s="203"/>
      <c r="K132" s="202"/>
      <c r="L132" s="202"/>
      <c r="M132" s="202"/>
      <c r="N132" s="202"/>
      <c r="O132" s="200">
        <f>SUM(O128:O131)</f>
        <v>0</v>
      </c>
      <c r="Q132" s="1204">
        <f>IF(X132=0,X132,X132/O132)</f>
        <v>0</v>
      </c>
      <c r="R132" s="199"/>
      <c r="S132" s="199"/>
      <c r="T132" s="204"/>
      <c r="U132" s="204"/>
      <c r="V132" s="204"/>
      <c r="W132" s="204"/>
      <c r="X132" s="200">
        <f>SQRT(SUMSQ(X128:X131))</f>
        <v>0</v>
      </c>
      <c r="Y132" s="114"/>
      <c r="Z132" s="114"/>
      <c r="AA132" s="2795">
        <f>SUM(AA128:AA131)</f>
        <v>0</v>
      </c>
      <c r="AB132" s="2796"/>
      <c r="AC132" s="2796"/>
      <c r="AD132" s="2796"/>
      <c r="AE132" s="2796">
        <f>SUM(AE128:AE131)</f>
        <v>0</v>
      </c>
      <c r="AF132" s="2796"/>
      <c r="AG132" s="2796"/>
      <c r="AH132" s="2796"/>
      <c r="AI132" s="2796">
        <f>SUM(AI128:AI131)</f>
        <v>0</v>
      </c>
      <c r="AJ132" s="2796"/>
      <c r="AK132" s="2796"/>
      <c r="AL132" s="2796"/>
      <c r="AM132" s="2796">
        <f>SUM(AM128:AM131)</f>
        <v>0</v>
      </c>
      <c r="AN132" s="2796"/>
      <c r="AO132" s="2796"/>
      <c r="AP132" s="2796"/>
      <c r="AQ132" s="2803">
        <f>SUM(AQ128:AQ131)</f>
        <v>0</v>
      </c>
      <c r="AR132" s="2803"/>
      <c r="AS132" s="2803"/>
      <c r="AT132" s="2804"/>
      <c r="AU132" s="2795">
        <f>SUM(AU128:AU131)</f>
        <v>0</v>
      </c>
      <c r="AV132" s="2796"/>
      <c r="AW132" s="2796"/>
      <c r="AX132" s="2797"/>
    </row>
    <row r="133" spans="2:53" hidden="1" outlineLevel="1"/>
    <row r="134" spans="2:53" ht="12.75" hidden="1" customHeight="1" outlineLevel="1">
      <c r="B134" s="260"/>
      <c r="C134" s="260"/>
      <c r="D134" s="260"/>
      <c r="E134" s="260"/>
      <c r="F134" s="260"/>
      <c r="G134" s="260"/>
      <c r="H134" s="260"/>
      <c r="J134" s="254"/>
    </row>
    <row r="135" spans="2:53" ht="12.75" hidden="1" customHeight="1" outlineLevel="1">
      <c r="B135" s="1091" t="s">
        <v>2352</v>
      </c>
      <c r="C135" s="140"/>
      <c r="D135" s="2265"/>
      <c r="E135" s="2265"/>
      <c r="F135" s="2265"/>
      <c r="G135" s="2265"/>
      <c r="H135" s="2265"/>
      <c r="I135" s="2265"/>
      <c r="J135" s="2265"/>
      <c r="K135" s="2265"/>
      <c r="L135" s="2265"/>
      <c r="M135" s="2265"/>
      <c r="N135" s="1412"/>
      <c r="O135" s="1659"/>
      <c r="Q135" s="2636" t="s">
        <v>366</v>
      </c>
      <c r="R135" s="2637"/>
      <c r="S135" s="2637"/>
      <c r="T135" s="2637"/>
      <c r="U135" s="2637"/>
      <c r="V135" s="2637"/>
      <c r="W135" s="2637"/>
      <c r="X135" s="2638"/>
      <c r="Y135" s="114"/>
      <c r="Z135" s="114"/>
      <c r="AA135" s="2639" t="s">
        <v>441</v>
      </c>
      <c r="AB135" s="2640"/>
      <c r="AC135" s="2640"/>
      <c r="AD135" s="2640"/>
      <c r="AE135" s="2640"/>
      <c r="AF135" s="2640"/>
      <c r="AG135" s="2640"/>
      <c r="AH135" s="2640"/>
      <c r="AI135" s="2640"/>
      <c r="AJ135" s="2640"/>
      <c r="AK135" s="2640"/>
      <c r="AL135" s="2640"/>
      <c r="AM135" s="2640"/>
      <c r="AN135" s="2640"/>
      <c r="AO135" s="2640"/>
      <c r="AP135" s="2640"/>
      <c r="AQ135" s="2640"/>
      <c r="AR135" s="2640"/>
      <c r="AS135" s="2640"/>
      <c r="AT135" s="2640"/>
      <c r="AU135" s="2640"/>
      <c r="AV135" s="2640"/>
      <c r="AW135" s="2640"/>
      <c r="AX135" s="2641"/>
      <c r="AZ135" s="2805" t="s">
        <v>1648</v>
      </c>
      <c r="BA135" s="2805"/>
    </row>
    <row r="136" spans="2:53" ht="12.75" hidden="1" customHeight="1" outlineLevel="2">
      <c r="B136" s="332"/>
      <c r="C136" s="167"/>
      <c r="D136" s="2380" t="s">
        <v>308</v>
      </c>
      <c r="E136" s="2380"/>
      <c r="F136" s="2380"/>
      <c r="G136" s="2380"/>
      <c r="H136" s="2380"/>
      <c r="I136" s="2380"/>
      <c r="J136" s="2380"/>
      <c r="K136" s="2370"/>
      <c r="L136" s="2370"/>
      <c r="M136" s="2370"/>
      <c r="N136" s="565"/>
      <c r="O136" s="2381"/>
      <c r="Q136" s="2369"/>
      <c r="R136" s="819"/>
      <c r="S136" s="819"/>
      <c r="T136" s="2374"/>
      <c r="U136" s="2374"/>
      <c r="V136" s="2374"/>
      <c r="W136" s="2374"/>
      <c r="X136" s="145"/>
      <c r="Y136" s="114"/>
      <c r="Z136" s="114"/>
      <c r="AA136" s="2642" t="s">
        <v>444</v>
      </c>
      <c r="AB136" s="2643"/>
      <c r="AC136" s="2643"/>
      <c r="AD136" s="2643"/>
      <c r="AE136" s="2643"/>
      <c r="AF136" s="2643"/>
      <c r="AG136" s="2643"/>
      <c r="AH136" s="2643"/>
      <c r="AI136" s="2643"/>
      <c r="AJ136" s="2643"/>
      <c r="AK136" s="2643"/>
      <c r="AL136" s="2643"/>
      <c r="AM136" s="2643"/>
      <c r="AN136" s="2643"/>
      <c r="AO136" s="2643"/>
      <c r="AP136" s="2643"/>
      <c r="AQ136" s="2643" t="s">
        <v>444</v>
      </c>
      <c r="AR136" s="2643"/>
      <c r="AS136" s="2643"/>
      <c r="AT136" s="2644"/>
      <c r="AU136" s="2371"/>
      <c r="AV136" s="2372"/>
      <c r="AW136" s="2372"/>
      <c r="AX136" s="2373"/>
      <c r="AZ136" s="2805"/>
      <c r="BA136" s="2805"/>
    </row>
    <row r="137" spans="2:53" ht="12.75" hidden="1" customHeight="1" outlineLevel="2">
      <c r="B137" s="2369"/>
      <c r="C137" s="2370"/>
      <c r="D137" s="2370" t="s">
        <v>409</v>
      </c>
      <c r="E137" s="2370"/>
      <c r="F137" s="2378" t="s">
        <v>199</v>
      </c>
      <c r="G137" s="2626" t="s">
        <v>1585</v>
      </c>
      <c r="H137" s="2628"/>
      <c r="I137" s="2628"/>
      <c r="J137" s="2628"/>
      <c r="K137" s="2628"/>
      <c r="L137" s="2628"/>
      <c r="M137" s="2628"/>
      <c r="N137" s="2628"/>
      <c r="O137" s="2381" t="s">
        <v>444</v>
      </c>
      <c r="Q137" s="2369" t="s">
        <v>316</v>
      </c>
      <c r="R137" s="2629" t="s">
        <v>316</v>
      </c>
      <c r="S137" s="2630"/>
      <c r="T137" s="2370"/>
      <c r="U137" s="2370"/>
      <c r="V137" s="2370"/>
      <c r="W137" s="2370"/>
      <c r="X137" s="2381" t="s">
        <v>444</v>
      </c>
      <c r="Y137" s="114"/>
      <c r="Z137" s="114"/>
      <c r="AA137" s="2631" t="s">
        <v>211</v>
      </c>
      <c r="AB137" s="2632"/>
      <c r="AC137" s="2632"/>
      <c r="AD137" s="2632"/>
      <c r="AE137" s="2632" t="s">
        <v>442</v>
      </c>
      <c r="AF137" s="2632"/>
      <c r="AG137" s="2632"/>
      <c r="AH137" s="2632"/>
      <c r="AI137" s="2632" t="s">
        <v>267</v>
      </c>
      <c r="AJ137" s="2632"/>
      <c r="AK137" s="2632"/>
      <c r="AL137" s="2632"/>
      <c r="AM137" s="2632" t="s">
        <v>443</v>
      </c>
      <c r="AN137" s="2632"/>
      <c r="AO137" s="2632"/>
      <c r="AP137" s="2632"/>
      <c r="AQ137" s="2648" t="s">
        <v>327</v>
      </c>
      <c r="AR137" s="2648"/>
      <c r="AS137" s="2648"/>
      <c r="AT137" s="2649"/>
      <c r="AU137" s="2631" t="s">
        <v>636</v>
      </c>
      <c r="AV137" s="2632"/>
      <c r="AW137" s="2632"/>
      <c r="AX137" s="2650"/>
      <c r="AZ137" s="2157" t="s">
        <v>530</v>
      </c>
      <c r="BA137" s="2383" t="s">
        <v>2187</v>
      </c>
    </row>
    <row r="138" spans="2:53" ht="12.75" hidden="1" customHeight="1" outlineLevel="2">
      <c r="B138" s="2369"/>
      <c r="C138" s="2370"/>
      <c r="D138" s="2370" t="s">
        <v>444</v>
      </c>
      <c r="E138" s="2370"/>
      <c r="F138" s="2379" t="s">
        <v>22</v>
      </c>
      <c r="G138" s="1662"/>
      <c r="H138" s="1662"/>
      <c r="I138" s="1662"/>
      <c r="J138" s="1662"/>
      <c r="K138" s="2375"/>
      <c r="L138" s="581"/>
      <c r="M138" s="2375"/>
      <c r="N138" s="2375"/>
      <c r="O138" s="2381"/>
      <c r="Q138" s="2369" t="s">
        <v>1649</v>
      </c>
      <c r="R138" s="2646" t="s">
        <v>1650</v>
      </c>
      <c r="S138" s="2647"/>
      <c r="T138" s="1662"/>
      <c r="U138" s="2286"/>
      <c r="V138" s="2286"/>
      <c r="W138" s="2286"/>
      <c r="X138" s="2381"/>
      <c r="Y138" s="114"/>
      <c r="Z138" s="114"/>
      <c r="AA138" s="227"/>
      <c r="AB138" s="1662"/>
      <c r="AC138" s="1662"/>
      <c r="AD138" s="1662"/>
      <c r="AE138" s="1662"/>
      <c r="AF138" s="1662"/>
      <c r="AG138" s="1662"/>
      <c r="AH138" s="1662"/>
      <c r="AI138" s="1662"/>
      <c r="AJ138" s="1662"/>
      <c r="AK138" s="1662"/>
      <c r="AL138" s="1662"/>
      <c r="AM138" s="1662"/>
      <c r="AN138" s="1662"/>
      <c r="AO138" s="1662"/>
      <c r="AP138" s="1662"/>
      <c r="AQ138" s="1662"/>
      <c r="AR138" s="1662"/>
      <c r="AS138" s="1662"/>
      <c r="AT138" s="1662"/>
      <c r="AU138" s="227"/>
      <c r="AV138" s="1662"/>
      <c r="AW138" s="1662"/>
      <c r="AX138" s="1171"/>
      <c r="AZ138" s="2158"/>
      <c r="BA138" s="2384"/>
    </row>
    <row r="139" spans="2:53" hidden="1" outlineLevel="2">
      <c r="B139" s="389" t="s">
        <v>4998</v>
      </c>
      <c r="C139" s="341"/>
      <c r="D139" s="212">
        <f>O139</f>
        <v>0</v>
      </c>
      <c r="E139" s="212"/>
      <c r="F139" s="1016"/>
      <c r="G139" s="2792">
        <f>IF(ISNA(VLOOKUP($B139&amp;"; "&amp;$G$137,'FE Déchets'!$G:$U,9,FALSE)),0,VLOOKUP($B139&amp;"; "&amp;$G$137,'FE Déchets'!$G:$U,9,FALSE))</f>
        <v>134</v>
      </c>
      <c r="H139" s="2793"/>
      <c r="I139" s="2793"/>
      <c r="J139" s="2793"/>
      <c r="K139" s="151"/>
      <c r="L139" s="151"/>
      <c r="M139" s="151"/>
      <c r="N139" s="151"/>
      <c r="O139" s="152">
        <f>F139*G139</f>
        <v>0</v>
      </c>
      <c r="Q139" s="226">
        <f>IF(X139=0,X139,X139/O139)</f>
        <v>0</v>
      </c>
      <c r="R139" s="1094"/>
      <c r="S139" s="820"/>
      <c r="T139" s="164"/>
      <c r="U139" s="164"/>
      <c r="V139" s="164"/>
      <c r="W139" s="164"/>
      <c r="X139" s="152">
        <f>F139*G139*BA139</f>
        <v>0</v>
      </c>
      <c r="Y139" s="114"/>
      <c r="Z139" s="114"/>
      <c r="AA139" s="2790">
        <f>$F139*IF(ISNA(VLOOKUP($B139&amp;"; "&amp;$G$137,'FE Déchets'!$G:$U,10,FALSE)),0,VLOOKUP($B139&amp;"; "&amp;$G$137,'FE Déchets'!$G:$U,10,FALSE))</f>
        <v>0</v>
      </c>
      <c r="AB139" s="2791"/>
      <c r="AC139" s="2791"/>
      <c r="AD139" s="2791"/>
      <c r="AE139" s="2791">
        <f>$F139*IF(ISNA(VLOOKUP($B139&amp;"; "&amp;$G$137,'FE Déchets'!$G:$U,11,FALSE)+VLOOKUP($B139&amp;"; "&amp;$G$137,'FE Déchets'!$G:$U,12,FALSE)),0,
VLOOKUP($B139&amp;"; "&amp;$G$137,'FE Déchets'!$G:$U,11,FALSE)+VLOOKUP($B139&amp;"; "&amp;$G$137,'FE Déchets'!$G:$U,12,FALSE))</f>
        <v>0</v>
      </c>
      <c r="AF139" s="2791"/>
      <c r="AG139" s="2791"/>
      <c r="AH139" s="2791"/>
      <c r="AI139" s="2791">
        <f>$F139*IF(ISNA(VLOOKUP($B139&amp;"; "&amp;$G$137,'FE Déchets'!$G:$U,13,FALSE)),0,VLOOKUP($B139&amp;"; "&amp;$G$137,'FE Déchets'!$G:$U,13,FALSE))</f>
        <v>0</v>
      </c>
      <c r="AJ139" s="2791"/>
      <c r="AK139" s="2791"/>
      <c r="AL139" s="2791"/>
      <c r="AM139" s="2791">
        <f>$F139*IF(ISNA(VLOOKUP($B139&amp;"; "&amp;$G$137,'FE Déchets'!$G:$U,14,FALSE)),0,VLOOKUP($B139&amp;"; "&amp;$G$137,'FE Déchets'!$G:$U,14,FALSE))</f>
        <v>0</v>
      </c>
      <c r="AN139" s="2791"/>
      <c r="AO139" s="2791"/>
      <c r="AP139" s="2791"/>
      <c r="AQ139" s="2658">
        <f>SUM(AA139,AE139,AI139,AM139)</f>
        <v>0</v>
      </c>
      <c r="AR139" s="2658"/>
      <c r="AS139" s="2658"/>
      <c r="AT139" s="2659"/>
      <c r="AU139" s="2790">
        <f>$F139*IF(ISNA(VLOOKUP($B139&amp;"; "&amp;$G$137,'FE Déchets'!$G:$U,15,FALSE)),0,VLOOKUP($B139&amp;"; "&amp;$G$137,'FE Déchets'!$G:$U,15,FALSE))</f>
        <v>0</v>
      </c>
      <c r="AV139" s="2791"/>
      <c r="AW139" s="2791"/>
      <c r="AX139" s="2798"/>
      <c r="AZ139" s="2376">
        <f>IF($R139&lt;&gt;"votre valeur :",IF(ISNA(VLOOKUP($R139,Utilitaires!$N$566:$O$571,2,FALSE)),,VLOOKUP($R139,Utilitaires!$N$566:$O$571,2,FALSE)),$S139)</f>
        <v>0</v>
      </c>
      <c r="BA139" s="1130">
        <f>SQRT(SUMSQ(VLOOKUP($B139&amp;"; "&amp;$G$137,'FE Déchets'!$G:$U,7,FALSE)))</f>
        <v>0.1</v>
      </c>
    </row>
    <row r="140" spans="2:53" hidden="1" outlineLevel="2">
      <c r="B140" s="143"/>
      <c r="C140" s="144"/>
      <c r="D140" s="219"/>
      <c r="E140" s="219"/>
      <c r="F140" s="164"/>
      <c r="G140" s="326"/>
      <c r="H140" s="326"/>
      <c r="I140" s="326"/>
      <c r="J140" s="326"/>
      <c r="K140" s="151"/>
      <c r="L140" s="151"/>
      <c r="M140" s="151"/>
      <c r="N140" s="354"/>
      <c r="O140" s="152"/>
      <c r="Q140" s="226"/>
      <c r="R140" s="155"/>
      <c r="S140" s="155"/>
      <c r="T140" s="164"/>
      <c r="U140" s="164"/>
      <c r="V140" s="164"/>
      <c r="W140" s="164"/>
      <c r="X140" s="367"/>
      <c r="Y140" s="114"/>
      <c r="Z140" s="114"/>
      <c r="AA140" s="2799"/>
      <c r="AB140" s="2800"/>
      <c r="AC140" s="2800"/>
      <c r="AD140" s="2800"/>
      <c r="AE140" s="2800"/>
      <c r="AF140" s="2800"/>
      <c r="AG140" s="2800"/>
      <c r="AH140" s="2800"/>
      <c r="AI140" s="2800"/>
      <c r="AJ140" s="2800"/>
      <c r="AK140" s="2800"/>
      <c r="AL140" s="2800"/>
      <c r="AM140" s="2800"/>
      <c r="AN140" s="2800"/>
      <c r="AO140" s="2800"/>
      <c r="AP140" s="2800"/>
      <c r="AQ140" s="2801"/>
      <c r="AR140" s="2801"/>
      <c r="AS140" s="2801"/>
      <c r="AT140" s="2802"/>
      <c r="AU140" s="1411"/>
      <c r="AV140" s="1313"/>
      <c r="AW140" s="625"/>
      <c r="AX140" s="570"/>
      <c r="AZ140" s="2377"/>
      <c r="BA140" s="1131"/>
    </row>
    <row r="141" spans="2:53" hidden="1" outlineLevel="1">
      <c r="B141" s="1264" t="s">
        <v>348</v>
      </c>
      <c r="C141" s="197"/>
      <c r="D141" s="214">
        <f>SUM(D139:D140)</f>
        <v>0</v>
      </c>
      <c r="E141" s="214"/>
      <c r="F141" s="203"/>
      <c r="G141" s="203"/>
      <c r="H141" s="202"/>
      <c r="I141" s="203"/>
      <c r="J141" s="203"/>
      <c r="K141" s="202"/>
      <c r="L141" s="202"/>
      <c r="M141" s="202"/>
      <c r="N141" s="202"/>
      <c r="O141" s="200">
        <f>SUM(O139:O140)</f>
        <v>0</v>
      </c>
      <c r="Q141" s="1204">
        <f>IF(X141=0,X141,X141/O141)</f>
        <v>0</v>
      </c>
      <c r="R141" s="199"/>
      <c r="S141" s="199"/>
      <c r="T141" s="204"/>
      <c r="U141" s="204"/>
      <c r="V141" s="204"/>
      <c r="W141" s="204"/>
      <c r="X141" s="200">
        <f>SQRT(SUMSQ(X139:X140))</f>
        <v>0</v>
      </c>
      <c r="Y141" s="114"/>
      <c r="Z141" s="114"/>
      <c r="AA141" s="2795">
        <f>SUM(AA139:AA140)</f>
        <v>0</v>
      </c>
      <c r="AB141" s="2796"/>
      <c r="AC141" s="2796"/>
      <c r="AD141" s="2796"/>
      <c r="AE141" s="2796">
        <f>SUM(AE139:AE140)</f>
        <v>0</v>
      </c>
      <c r="AF141" s="2796"/>
      <c r="AG141" s="2796"/>
      <c r="AH141" s="2796"/>
      <c r="AI141" s="2796">
        <f>SUM(AI139:AI140)</f>
        <v>0</v>
      </c>
      <c r="AJ141" s="2796"/>
      <c r="AK141" s="2796"/>
      <c r="AL141" s="2796"/>
      <c r="AM141" s="2796">
        <f>SUM(AM139:AM140)</f>
        <v>0</v>
      </c>
      <c r="AN141" s="2796"/>
      <c r="AO141" s="2796"/>
      <c r="AP141" s="2796"/>
      <c r="AQ141" s="2803">
        <f>SUM(AQ139:AQ140)</f>
        <v>0</v>
      </c>
      <c r="AR141" s="2803"/>
      <c r="AS141" s="2803"/>
      <c r="AT141" s="2804"/>
      <c r="AU141" s="2795">
        <f>SUM(AU139:AU140)</f>
        <v>0</v>
      </c>
      <c r="AV141" s="2796"/>
      <c r="AW141" s="2796"/>
      <c r="AX141" s="2797"/>
    </row>
    <row r="142" spans="2:53" hidden="1" outlineLevel="1"/>
    <row r="143" spans="2:53" ht="12.75" hidden="1" customHeight="1" outlineLevel="1">
      <c r="B143" s="260"/>
      <c r="C143" s="260"/>
      <c r="D143" s="260"/>
      <c r="E143" s="260"/>
      <c r="F143" s="260"/>
      <c r="G143" s="260"/>
      <c r="H143" s="260"/>
      <c r="J143" s="254"/>
    </row>
    <row r="144" spans="2:53" ht="12.75" hidden="1" customHeight="1" outlineLevel="1">
      <c r="B144" s="1091" t="s">
        <v>4997</v>
      </c>
      <c r="C144" s="140"/>
      <c r="D144" s="2265"/>
      <c r="E144" s="2265"/>
      <c r="F144" s="2265"/>
      <c r="G144" s="2265"/>
      <c r="H144" s="2265"/>
      <c r="I144" s="2265"/>
      <c r="J144" s="2265"/>
      <c r="K144" s="2265"/>
      <c r="L144" s="2265"/>
      <c r="M144" s="2265"/>
      <c r="N144" s="1412"/>
      <c r="O144" s="1659"/>
      <c r="Q144" s="2636" t="s">
        <v>366</v>
      </c>
      <c r="R144" s="2637"/>
      <c r="S144" s="2637"/>
      <c r="T144" s="2637"/>
      <c r="U144" s="2637"/>
      <c r="V144" s="2637"/>
      <c r="W144" s="2637"/>
      <c r="X144" s="2638"/>
      <c r="Y144" s="114"/>
      <c r="Z144" s="114"/>
      <c r="AA144" s="2639" t="s">
        <v>441</v>
      </c>
      <c r="AB144" s="2640"/>
      <c r="AC144" s="2640"/>
      <c r="AD144" s="2640"/>
      <c r="AE144" s="2640"/>
      <c r="AF144" s="2640"/>
      <c r="AG144" s="2640"/>
      <c r="AH144" s="2640"/>
      <c r="AI144" s="2640"/>
      <c r="AJ144" s="2640"/>
      <c r="AK144" s="2640"/>
      <c r="AL144" s="2640"/>
      <c r="AM144" s="2640"/>
      <c r="AN144" s="2640"/>
      <c r="AO144" s="2640"/>
      <c r="AP144" s="2640"/>
      <c r="AQ144" s="2640"/>
      <c r="AR144" s="2640"/>
      <c r="AS144" s="2640"/>
      <c r="AT144" s="2640"/>
      <c r="AU144" s="2640"/>
      <c r="AV144" s="2640"/>
      <c r="AW144" s="2640"/>
      <c r="AX144" s="2641"/>
      <c r="AZ144" s="2805" t="s">
        <v>1648</v>
      </c>
      <c r="BA144" s="2805"/>
    </row>
    <row r="145" spans="2:53" ht="12.75" hidden="1" customHeight="1" outlineLevel="2">
      <c r="B145" s="332"/>
      <c r="C145" s="167"/>
      <c r="D145" s="2380" t="s">
        <v>308</v>
      </c>
      <c r="E145" s="2380"/>
      <c r="F145" s="2380"/>
      <c r="G145" s="2380"/>
      <c r="H145" s="2380"/>
      <c r="I145" s="2380"/>
      <c r="J145" s="2380"/>
      <c r="K145" s="2370"/>
      <c r="L145" s="2370"/>
      <c r="M145" s="2370"/>
      <c r="N145" s="565"/>
      <c r="O145" s="2381"/>
      <c r="Q145" s="2369"/>
      <c r="R145" s="819"/>
      <c r="S145" s="819"/>
      <c r="T145" s="2374"/>
      <c r="U145" s="2374"/>
      <c r="V145" s="2374"/>
      <c r="W145" s="2374"/>
      <c r="X145" s="145"/>
      <c r="Y145" s="114"/>
      <c r="Z145" s="114"/>
      <c r="AA145" s="2642" t="s">
        <v>444</v>
      </c>
      <c r="AB145" s="2643"/>
      <c r="AC145" s="2643"/>
      <c r="AD145" s="2643"/>
      <c r="AE145" s="2643"/>
      <c r="AF145" s="2643"/>
      <c r="AG145" s="2643"/>
      <c r="AH145" s="2643"/>
      <c r="AI145" s="2643"/>
      <c r="AJ145" s="2643"/>
      <c r="AK145" s="2643"/>
      <c r="AL145" s="2643"/>
      <c r="AM145" s="2643"/>
      <c r="AN145" s="2643"/>
      <c r="AO145" s="2643"/>
      <c r="AP145" s="2643"/>
      <c r="AQ145" s="2643" t="s">
        <v>444</v>
      </c>
      <c r="AR145" s="2643"/>
      <c r="AS145" s="2643"/>
      <c r="AT145" s="2644"/>
      <c r="AU145" s="2371"/>
      <c r="AV145" s="2372"/>
      <c r="AW145" s="2372"/>
      <c r="AX145" s="2373"/>
      <c r="AZ145" s="2805"/>
      <c r="BA145" s="2805"/>
    </row>
    <row r="146" spans="2:53" ht="12.75" hidden="1" customHeight="1" outlineLevel="2">
      <c r="B146" s="2369"/>
      <c r="C146" s="2370"/>
      <c r="D146" s="2370" t="s">
        <v>409</v>
      </c>
      <c r="E146" s="2370"/>
      <c r="F146" s="2378" t="s">
        <v>199</v>
      </c>
      <c r="G146" s="2626" t="s">
        <v>1585</v>
      </c>
      <c r="H146" s="2628"/>
      <c r="I146" s="2628"/>
      <c r="J146" s="2628"/>
      <c r="K146" s="2628"/>
      <c r="L146" s="2628"/>
      <c r="M146" s="2628"/>
      <c r="N146" s="2628"/>
      <c r="O146" s="2381" t="s">
        <v>444</v>
      </c>
      <c r="Q146" s="2369" t="s">
        <v>316</v>
      </c>
      <c r="R146" s="2629" t="s">
        <v>316</v>
      </c>
      <c r="S146" s="2630"/>
      <c r="T146" s="2370"/>
      <c r="U146" s="2370"/>
      <c r="V146" s="2370"/>
      <c r="W146" s="2370"/>
      <c r="X146" s="2381" t="s">
        <v>444</v>
      </c>
      <c r="Y146" s="114"/>
      <c r="Z146" s="114"/>
      <c r="AA146" s="2631" t="s">
        <v>211</v>
      </c>
      <c r="AB146" s="2632"/>
      <c r="AC146" s="2632"/>
      <c r="AD146" s="2632"/>
      <c r="AE146" s="2632" t="s">
        <v>442</v>
      </c>
      <c r="AF146" s="2632"/>
      <c r="AG146" s="2632"/>
      <c r="AH146" s="2632"/>
      <c r="AI146" s="2632" t="s">
        <v>267</v>
      </c>
      <c r="AJ146" s="2632"/>
      <c r="AK146" s="2632"/>
      <c r="AL146" s="2632"/>
      <c r="AM146" s="2632" t="s">
        <v>443</v>
      </c>
      <c r="AN146" s="2632"/>
      <c r="AO146" s="2632"/>
      <c r="AP146" s="2632"/>
      <c r="AQ146" s="2648" t="s">
        <v>327</v>
      </c>
      <c r="AR146" s="2648"/>
      <c r="AS146" s="2648"/>
      <c r="AT146" s="2649"/>
      <c r="AU146" s="2631" t="s">
        <v>636</v>
      </c>
      <c r="AV146" s="2632"/>
      <c r="AW146" s="2632"/>
      <c r="AX146" s="2650"/>
      <c r="AZ146" s="2157" t="s">
        <v>530</v>
      </c>
      <c r="BA146" s="2383" t="s">
        <v>2187</v>
      </c>
    </row>
    <row r="147" spans="2:53" ht="12.75" hidden="1" customHeight="1" outlineLevel="2">
      <c r="B147" s="2369"/>
      <c r="C147" s="2370"/>
      <c r="D147" s="2370" t="s">
        <v>444</v>
      </c>
      <c r="E147" s="2370"/>
      <c r="F147" s="2379" t="s">
        <v>22</v>
      </c>
      <c r="G147" s="1662"/>
      <c r="H147" s="1662"/>
      <c r="I147" s="1662"/>
      <c r="J147" s="1662"/>
      <c r="K147" s="2375"/>
      <c r="L147" s="581"/>
      <c r="M147" s="2375"/>
      <c r="N147" s="2375"/>
      <c r="O147" s="2381"/>
      <c r="Q147" s="2369" t="s">
        <v>1649</v>
      </c>
      <c r="R147" s="2646" t="s">
        <v>1650</v>
      </c>
      <c r="S147" s="2647"/>
      <c r="T147" s="1662"/>
      <c r="U147" s="2286"/>
      <c r="V147" s="2286"/>
      <c r="W147" s="2286"/>
      <c r="X147" s="2381"/>
      <c r="Y147" s="114"/>
      <c r="Z147" s="114"/>
      <c r="AA147" s="227"/>
      <c r="AB147" s="1662"/>
      <c r="AC147" s="1662"/>
      <c r="AD147" s="1662"/>
      <c r="AE147" s="1662"/>
      <c r="AF147" s="1662"/>
      <c r="AG147" s="1662"/>
      <c r="AH147" s="1662"/>
      <c r="AI147" s="1662"/>
      <c r="AJ147" s="1662"/>
      <c r="AK147" s="1662"/>
      <c r="AL147" s="1662"/>
      <c r="AM147" s="1662"/>
      <c r="AN147" s="1662"/>
      <c r="AO147" s="1662"/>
      <c r="AP147" s="1662"/>
      <c r="AQ147" s="1662"/>
      <c r="AR147" s="1662"/>
      <c r="AS147" s="1662"/>
      <c r="AT147" s="1662"/>
      <c r="AU147" s="227"/>
      <c r="AV147" s="1662"/>
      <c r="AW147" s="1662"/>
      <c r="AX147" s="1171"/>
      <c r="AZ147" s="2158"/>
      <c r="BA147" s="2384"/>
    </row>
    <row r="148" spans="2:53" hidden="1" outlineLevel="2">
      <c r="B148" s="389" t="s">
        <v>4980</v>
      </c>
      <c r="C148" s="341"/>
      <c r="D148" s="212">
        <f>O148</f>
        <v>0</v>
      </c>
      <c r="E148" s="212"/>
      <c r="F148" s="1016"/>
      <c r="G148" s="2792">
        <f>IF(ISNA(VLOOKUP($B148&amp;"; "&amp;$G$146,'FE Déchets'!$G:$U,9,FALSE)),0,VLOOKUP($B148&amp;"; "&amp;$G$146,'FE Déchets'!$G:$U,9,FALSE))</f>
        <v>360</v>
      </c>
      <c r="H148" s="2793"/>
      <c r="I148" s="2793"/>
      <c r="J148" s="2793"/>
      <c r="K148" s="151"/>
      <c r="L148" s="151"/>
      <c r="M148" s="151"/>
      <c r="N148" s="151"/>
      <c r="O148" s="152">
        <f>F148*G148</f>
        <v>0</v>
      </c>
      <c r="Q148" s="226">
        <f>IF(X148=0,X148,X148/O148)</f>
        <v>0</v>
      </c>
      <c r="R148" s="1094"/>
      <c r="S148" s="820"/>
      <c r="T148" s="164"/>
      <c r="U148" s="164"/>
      <c r="V148" s="164"/>
      <c r="W148" s="164"/>
      <c r="X148" s="152">
        <f>F148*G148*BA148</f>
        <v>0</v>
      </c>
      <c r="Y148" s="114"/>
      <c r="Z148" s="114"/>
      <c r="AA148" s="2790">
        <f>$F148*IF(ISNA(VLOOKUP($B148&amp;"; "&amp;$G$146,'FE Déchets'!$G:$U,10,FALSE)),0,VLOOKUP($B148&amp;"; "&amp;$G$146,'FE Déchets'!$G:$U,10,FALSE))</f>
        <v>0</v>
      </c>
      <c r="AB148" s="2791"/>
      <c r="AC148" s="2791"/>
      <c r="AD148" s="2791"/>
      <c r="AE148" s="2791">
        <f>$F148*IF(ISNA(VLOOKUP($B148&amp;"; "&amp;$G$146,'FE Déchets'!$G:$U,11,FALSE)+VLOOKUP($B148&amp;"; "&amp;$G$146,'FE Déchets'!$G:$U,12,FALSE)),0,
VLOOKUP($B148&amp;"; "&amp;$G$146,'FE Déchets'!$G:$U,11,FALSE)+VLOOKUP($B148&amp;"; "&amp;$G$146,'FE Déchets'!$G:$U,12,FALSE))</f>
        <v>0</v>
      </c>
      <c r="AF148" s="2791"/>
      <c r="AG148" s="2791"/>
      <c r="AH148" s="2791"/>
      <c r="AI148" s="2791">
        <f>$F148*IF(ISNA(VLOOKUP($B148&amp;"; "&amp;$G$146,'FE Déchets'!$G:$U,13,FALSE)),0,VLOOKUP($B148&amp;"; "&amp;$G$146,'FE Déchets'!$G:$U,13,FALSE))</f>
        <v>0</v>
      </c>
      <c r="AJ148" s="2791"/>
      <c r="AK148" s="2791"/>
      <c r="AL148" s="2791"/>
      <c r="AM148" s="2791">
        <f>$F148*IF(ISNA(VLOOKUP($B148&amp;"; "&amp;$G$146,'FE Déchets'!$G:$U,14,FALSE)),0,VLOOKUP($B148&amp;"; "&amp;$G$146,'FE Déchets'!$G:$U,14,FALSE))</f>
        <v>0</v>
      </c>
      <c r="AN148" s="2791"/>
      <c r="AO148" s="2791"/>
      <c r="AP148" s="2791"/>
      <c r="AQ148" s="2658">
        <f>SUM(AA148,AE148,AI148,AM148)</f>
        <v>0</v>
      </c>
      <c r="AR148" s="2658"/>
      <c r="AS148" s="2658"/>
      <c r="AT148" s="2659"/>
      <c r="AU148" s="2790">
        <f>$F148*IF(ISNA(VLOOKUP($B148&amp;"; "&amp;$G$146,'FE Déchets'!$G:$U,15,FALSE)),0,VLOOKUP($B148&amp;"; "&amp;$G$146,'FE Déchets'!$G:$U,15,FALSE))</f>
        <v>0</v>
      </c>
      <c r="AV148" s="2791"/>
      <c r="AW148" s="2791"/>
      <c r="AX148" s="2798"/>
      <c r="AZ148" s="2376">
        <f>IF($R148&lt;&gt;"votre valeur :",IF(ISNA(VLOOKUP($R148,Utilitaires!$N$566:$O$571,2,FALSE)),,VLOOKUP($R148,Utilitaires!$N$566:$O$571,2,FALSE)),$S148)</f>
        <v>0</v>
      </c>
      <c r="BA148" s="1130">
        <f>SQRT(SUMSQ(VLOOKUP($B148&amp;"; "&amp;$G$146,'FE Déchets'!$G:$U,7,FALSE)))</f>
        <v>0.2</v>
      </c>
    </row>
    <row r="149" spans="2:53" hidden="1" outlineLevel="2">
      <c r="B149" s="143"/>
      <c r="C149" s="144"/>
      <c r="D149" s="219"/>
      <c r="E149" s="219"/>
      <c r="F149" s="164"/>
      <c r="G149" s="326"/>
      <c r="H149" s="326"/>
      <c r="I149" s="326"/>
      <c r="J149" s="326"/>
      <c r="K149" s="151"/>
      <c r="L149" s="151"/>
      <c r="M149" s="151"/>
      <c r="N149" s="354"/>
      <c r="O149" s="152"/>
      <c r="Q149" s="226"/>
      <c r="R149" s="155"/>
      <c r="S149" s="155"/>
      <c r="T149" s="164"/>
      <c r="U149" s="164"/>
      <c r="V149" s="164"/>
      <c r="W149" s="164"/>
      <c r="X149" s="367"/>
      <c r="Y149" s="114"/>
      <c r="Z149" s="114"/>
      <c r="AA149" s="2799"/>
      <c r="AB149" s="2800"/>
      <c r="AC149" s="2800"/>
      <c r="AD149" s="2800"/>
      <c r="AE149" s="2800"/>
      <c r="AF149" s="2800"/>
      <c r="AG149" s="2800"/>
      <c r="AH149" s="2800"/>
      <c r="AI149" s="2800"/>
      <c r="AJ149" s="2800"/>
      <c r="AK149" s="2800"/>
      <c r="AL149" s="2800"/>
      <c r="AM149" s="2800"/>
      <c r="AN149" s="2800"/>
      <c r="AO149" s="2800"/>
      <c r="AP149" s="2800"/>
      <c r="AQ149" s="2801"/>
      <c r="AR149" s="2801"/>
      <c r="AS149" s="2801"/>
      <c r="AT149" s="2802"/>
      <c r="AU149" s="1411"/>
      <c r="AV149" s="1313"/>
      <c r="AW149" s="625"/>
      <c r="AX149" s="570"/>
      <c r="AZ149" s="2377"/>
      <c r="BA149" s="1131"/>
    </row>
    <row r="150" spans="2:53" hidden="1" outlineLevel="1">
      <c r="B150" s="1264" t="s">
        <v>348</v>
      </c>
      <c r="C150" s="197"/>
      <c r="D150" s="214">
        <f>SUM(D148:D149)</f>
        <v>0</v>
      </c>
      <c r="E150" s="214"/>
      <c r="F150" s="203"/>
      <c r="G150" s="203"/>
      <c r="H150" s="202"/>
      <c r="I150" s="203"/>
      <c r="J150" s="203"/>
      <c r="K150" s="202"/>
      <c r="L150" s="202"/>
      <c r="M150" s="202"/>
      <c r="N150" s="202"/>
      <c r="O150" s="200">
        <f>SUM(O148:O149)</f>
        <v>0</v>
      </c>
      <c r="Q150" s="1204">
        <f>IF(X150=0,X150,X150/O150)</f>
        <v>0</v>
      </c>
      <c r="R150" s="199"/>
      <c r="S150" s="199"/>
      <c r="T150" s="204"/>
      <c r="U150" s="204"/>
      <c r="V150" s="204"/>
      <c r="W150" s="204"/>
      <c r="X150" s="200">
        <f>SQRT(SUMSQ(X148:X149))</f>
        <v>0</v>
      </c>
      <c r="Y150" s="114"/>
      <c r="Z150" s="114"/>
      <c r="AA150" s="2795">
        <f>SUM(AA148:AA149)</f>
        <v>0</v>
      </c>
      <c r="AB150" s="2796"/>
      <c r="AC150" s="2796"/>
      <c r="AD150" s="2796"/>
      <c r="AE150" s="2796">
        <f>SUM(AE148:AE149)</f>
        <v>0</v>
      </c>
      <c r="AF150" s="2796"/>
      <c r="AG150" s="2796"/>
      <c r="AH150" s="2796"/>
      <c r="AI150" s="2796">
        <f>SUM(AI148:AI149)</f>
        <v>0</v>
      </c>
      <c r="AJ150" s="2796"/>
      <c r="AK150" s="2796"/>
      <c r="AL150" s="2796"/>
      <c r="AM150" s="2796">
        <f>SUM(AM148:AM149)</f>
        <v>0</v>
      </c>
      <c r="AN150" s="2796"/>
      <c r="AO150" s="2796"/>
      <c r="AP150" s="2796"/>
      <c r="AQ150" s="2803">
        <f>SUM(AQ148:AQ149)</f>
        <v>0</v>
      </c>
      <c r="AR150" s="2803"/>
      <c r="AS150" s="2803"/>
      <c r="AT150" s="2804"/>
      <c r="AU150" s="2795">
        <f>SUM(AU148:AU149)</f>
        <v>0</v>
      </c>
      <c r="AV150" s="2796"/>
      <c r="AW150" s="2796"/>
      <c r="AX150" s="2797"/>
    </row>
    <row r="151" spans="2:53" hidden="1" outlineLevel="1"/>
    <row r="152" spans="2:53" ht="12.75" hidden="1" customHeight="1" outlineLevel="1">
      <c r="B152" s="260"/>
      <c r="C152" s="260"/>
      <c r="D152" s="260"/>
      <c r="E152" s="260"/>
      <c r="F152" s="260"/>
      <c r="G152" s="260"/>
      <c r="H152" s="260"/>
      <c r="J152" s="254"/>
    </row>
    <row r="153" spans="2:53" ht="12.75" hidden="1" customHeight="1" outlineLevel="1">
      <c r="B153" s="1091" t="s">
        <v>3296</v>
      </c>
      <c r="C153" s="140"/>
      <c r="D153" s="1361"/>
      <c r="E153" s="1648"/>
      <c r="F153" s="1361"/>
      <c r="G153" s="1361"/>
      <c r="H153" s="1361"/>
      <c r="I153" s="1361"/>
      <c r="J153" s="1361"/>
      <c r="K153" s="1361"/>
      <c r="L153" s="1361"/>
      <c r="M153" s="1361"/>
      <c r="N153" s="1412"/>
      <c r="O153" s="1362"/>
      <c r="Q153" s="2636" t="s">
        <v>366</v>
      </c>
      <c r="R153" s="2637"/>
      <c r="S153" s="2637"/>
      <c r="T153" s="2637"/>
      <c r="U153" s="2637"/>
      <c r="V153" s="2637"/>
      <c r="W153" s="2637"/>
      <c r="X153" s="2638"/>
      <c r="Y153" s="114"/>
      <c r="Z153" s="114"/>
      <c r="AA153" s="2639" t="s">
        <v>441</v>
      </c>
      <c r="AB153" s="2640"/>
      <c r="AC153" s="2640"/>
      <c r="AD153" s="2640"/>
      <c r="AE153" s="2640"/>
      <c r="AF153" s="2640"/>
      <c r="AG153" s="2640"/>
      <c r="AH153" s="2640"/>
      <c r="AI153" s="2640"/>
      <c r="AJ153" s="2640"/>
      <c r="AK153" s="2640"/>
      <c r="AL153" s="2640"/>
      <c r="AM153" s="2640"/>
      <c r="AN153" s="2640"/>
      <c r="AO153" s="2640"/>
      <c r="AP153" s="2640"/>
      <c r="AQ153" s="2640"/>
      <c r="AR153" s="2640"/>
      <c r="AS153" s="2640"/>
      <c r="AT153" s="2640"/>
      <c r="AU153" s="2640"/>
      <c r="AV153" s="2640"/>
      <c r="AW153" s="2640"/>
      <c r="AX153" s="2641"/>
      <c r="AZ153" s="2805" t="s">
        <v>1648</v>
      </c>
      <c r="BA153" s="2805"/>
    </row>
    <row r="154" spans="2:53" ht="12.75" hidden="1" customHeight="1" outlineLevel="2">
      <c r="B154" s="332"/>
      <c r="C154" s="167"/>
      <c r="D154" s="1367" t="s">
        <v>308</v>
      </c>
      <c r="E154" s="1663"/>
      <c r="F154" s="1367"/>
      <c r="G154" s="1367"/>
      <c r="H154" s="1367"/>
      <c r="I154" s="1367"/>
      <c r="J154" s="1367"/>
      <c r="K154" s="1357"/>
      <c r="L154" s="1357"/>
      <c r="M154" s="1357"/>
      <c r="N154" s="565"/>
      <c r="O154" s="1372"/>
      <c r="Q154" s="1356"/>
      <c r="R154" s="819"/>
      <c r="S154" s="819"/>
      <c r="T154" s="1355"/>
      <c r="U154" s="1355"/>
      <c r="V154" s="1355"/>
      <c r="W154" s="1355"/>
      <c r="X154" s="145"/>
      <c r="Y154" s="114"/>
      <c r="Z154" s="114"/>
      <c r="AA154" s="2642" t="s">
        <v>444</v>
      </c>
      <c r="AB154" s="2643"/>
      <c r="AC154" s="2643"/>
      <c r="AD154" s="2643"/>
      <c r="AE154" s="2643"/>
      <c r="AF154" s="2643"/>
      <c r="AG154" s="2643"/>
      <c r="AH154" s="2643"/>
      <c r="AI154" s="2643"/>
      <c r="AJ154" s="2643"/>
      <c r="AK154" s="2643"/>
      <c r="AL154" s="2643"/>
      <c r="AM154" s="2643"/>
      <c r="AN154" s="2643"/>
      <c r="AO154" s="2643"/>
      <c r="AP154" s="2643"/>
      <c r="AQ154" s="2643" t="s">
        <v>444</v>
      </c>
      <c r="AR154" s="2643"/>
      <c r="AS154" s="2643"/>
      <c r="AT154" s="2644"/>
      <c r="AU154" s="1359"/>
      <c r="AV154" s="1352"/>
      <c r="AW154" s="1352"/>
      <c r="AX154" s="1360"/>
      <c r="AZ154" s="2805"/>
      <c r="BA154" s="2805"/>
    </row>
    <row r="155" spans="2:53" ht="12.75" hidden="1" customHeight="1" outlineLevel="2">
      <c r="B155" s="1356"/>
      <c r="C155" s="1357"/>
      <c r="D155" s="1357" t="s">
        <v>409</v>
      </c>
      <c r="E155" s="1656"/>
      <c r="F155" s="1364" t="s">
        <v>199</v>
      </c>
      <c r="G155" s="2626" t="s">
        <v>1585</v>
      </c>
      <c r="H155" s="2628"/>
      <c r="I155" s="2628"/>
      <c r="J155" s="2628"/>
      <c r="K155" s="2628"/>
      <c r="L155" s="2628"/>
      <c r="M155" s="2628"/>
      <c r="N155" s="2628"/>
      <c r="O155" s="1372" t="s">
        <v>444</v>
      </c>
      <c r="Q155" s="1356" t="s">
        <v>316</v>
      </c>
      <c r="R155" s="2629" t="s">
        <v>316</v>
      </c>
      <c r="S155" s="2630"/>
      <c r="T155" s="1357"/>
      <c r="U155" s="1357"/>
      <c r="V155" s="1357"/>
      <c r="W155" s="1357"/>
      <c r="X155" s="1372" t="s">
        <v>444</v>
      </c>
      <c r="Y155" s="114"/>
      <c r="Z155" s="114"/>
      <c r="AA155" s="2631" t="s">
        <v>211</v>
      </c>
      <c r="AB155" s="2632"/>
      <c r="AC155" s="2632"/>
      <c r="AD155" s="2632"/>
      <c r="AE155" s="2632" t="s">
        <v>442</v>
      </c>
      <c r="AF155" s="2632"/>
      <c r="AG155" s="2632"/>
      <c r="AH155" s="2632"/>
      <c r="AI155" s="2632" t="s">
        <v>267</v>
      </c>
      <c r="AJ155" s="2632"/>
      <c r="AK155" s="2632"/>
      <c r="AL155" s="2632"/>
      <c r="AM155" s="2632" t="s">
        <v>443</v>
      </c>
      <c r="AN155" s="2632"/>
      <c r="AO155" s="2632"/>
      <c r="AP155" s="2632"/>
      <c r="AQ155" s="2648" t="s">
        <v>327</v>
      </c>
      <c r="AR155" s="2648"/>
      <c r="AS155" s="2648"/>
      <c r="AT155" s="2649"/>
      <c r="AU155" s="2631" t="s">
        <v>636</v>
      </c>
      <c r="AV155" s="2632"/>
      <c r="AW155" s="2632"/>
      <c r="AX155" s="2650"/>
      <c r="AZ155" s="1368" t="s">
        <v>530</v>
      </c>
      <c r="BA155" s="1371" t="s">
        <v>2187</v>
      </c>
    </row>
    <row r="156" spans="2:53" ht="12.75" hidden="1" customHeight="1" outlineLevel="2">
      <c r="B156" s="1002" t="s">
        <v>207</v>
      </c>
      <c r="C156" s="2370"/>
      <c r="D156" s="2370" t="s">
        <v>444</v>
      </c>
      <c r="E156" s="2370"/>
      <c r="F156" s="2379" t="s">
        <v>22</v>
      </c>
      <c r="G156" s="1662"/>
      <c r="H156" s="1662"/>
      <c r="I156" s="1662"/>
      <c r="J156" s="1662"/>
      <c r="K156" s="2375"/>
      <c r="L156" s="581"/>
      <c r="M156" s="2375"/>
      <c r="N156" s="2375"/>
      <c r="O156" s="2381"/>
      <c r="Q156" s="2369" t="s">
        <v>1649</v>
      </c>
      <c r="R156" s="2646" t="s">
        <v>1650</v>
      </c>
      <c r="S156" s="2647"/>
      <c r="T156" s="1662"/>
      <c r="U156" s="2286"/>
      <c r="V156" s="2286"/>
      <c r="W156" s="2286"/>
      <c r="X156" s="2381"/>
      <c r="Y156" s="114"/>
      <c r="Z156" s="114"/>
      <c r="AA156" s="227"/>
      <c r="AB156" s="1662"/>
      <c r="AC156" s="1662"/>
      <c r="AD156" s="1662"/>
      <c r="AE156" s="1662"/>
      <c r="AF156" s="1662"/>
      <c r="AG156" s="1662"/>
      <c r="AH156" s="1662"/>
      <c r="AI156" s="1662"/>
      <c r="AJ156" s="1662"/>
      <c r="AK156" s="1662"/>
      <c r="AL156" s="1662"/>
      <c r="AM156" s="1662"/>
      <c r="AN156" s="1662"/>
      <c r="AO156" s="1662"/>
      <c r="AP156" s="1662"/>
      <c r="AQ156" s="1662"/>
      <c r="AR156" s="1662"/>
      <c r="AS156" s="1662"/>
      <c r="AT156" s="1662"/>
      <c r="AU156" s="227"/>
      <c r="AV156" s="1662"/>
      <c r="AW156" s="1662"/>
      <c r="AX156" s="1171"/>
      <c r="AZ156" s="2158"/>
      <c r="BA156" s="2384"/>
    </row>
    <row r="157" spans="2:53" hidden="1" outlineLevel="2">
      <c r="B157" s="389" t="s">
        <v>4999</v>
      </c>
      <c r="C157" s="341"/>
      <c r="D157" s="212">
        <f>O157</f>
        <v>0</v>
      </c>
      <c r="E157" s="212"/>
      <c r="F157" s="2388"/>
      <c r="G157" s="2792">
        <f>IF(ISNA(VLOOKUP($B157&amp;"; "&amp;$G$155,'FE Déchets'!$G:$U,9,FALSE)),0,VLOOKUP($B157&amp;"; "&amp;$G$155,'FE Déchets'!$G:$U,9,FALSE))</f>
        <v>313</v>
      </c>
      <c r="H157" s="2793"/>
      <c r="I157" s="2793"/>
      <c r="J157" s="2793"/>
      <c r="K157" s="151"/>
      <c r="L157" s="151"/>
      <c r="M157" s="151"/>
      <c r="N157" s="151"/>
      <c r="O157" s="152">
        <f>F157*G157</f>
        <v>0</v>
      </c>
      <c r="Q157" s="226">
        <f>IF(X157=0,X157,X157/O157)</f>
        <v>0</v>
      </c>
      <c r="R157" s="1094"/>
      <c r="S157" s="820"/>
      <c r="T157" s="164"/>
      <c r="U157" s="164"/>
      <c r="V157" s="164"/>
      <c r="W157" s="164"/>
      <c r="X157" s="152">
        <f>F157*G157*BA157</f>
        <v>0</v>
      </c>
      <c r="Y157" s="114"/>
      <c r="Z157" s="114"/>
      <c r="AA157" s="2790">
        <f>$F157*IF(ISNA(VLOOKUP($B157&amp;"; "&amp;$G$155,'FE Déchets'!$G:$U,10,FALSE)),0,VLOOKUP($B157&amp;"; "&amp;$G$155,'FE Déchets'!$G:$U,10,FALSE))</f>
        <v>0</v>
      </c>
      <c r="AB157" s="2791"/>
      <c r="AC157" s="2791"/>
      <c r="AD157" s="2791"/>
      <c r="AE157" s="2791">
        <f>$F157*IF(ISNA(VLOOKUP($B157&amp;"; "&amp;$G$155,'FE Déchets'!$G:$U,11,FALSE)+VLOOKUP($B157&amp;"; "&amp;$G$155,'FE Déchets'!$G:$U,12,FALSE)),0,
VLOOKUP($B157&amp;"; "&amp;$G$155,'FE Déchets'!$G:$U,11,FALSE)+VLOOKUP($B157&amp;"; "&amp;$G$155,'FE Déchets'!$G:$U,12,FALSE))</f>
        <v>0</v>
      </c>
      <c r="AF157" s="2791"/>
      <c r="AG157" s="2791"/>
      <c r="AH157" s="2791"/>
      <c r="AI157" s="2791">
        <f>$F157*IF(ISNA(VLOOKUP($B157&amp;"; "&amp;$G$155,'FE Déchets'!$G:$U,13,FALSE)),0,VLOOKUP($B157&amp;"; "&amp;$G$155,'FE Déchets'!$G:$U,13,FALSE))</f>
        <v>0</v>
      </c>
      <c r="AJ157" s="2791"/>
      <c r="AK157" s="2791"/>
      <c r="AL157" s="2791"/>
      <c r="AM157" s="2791">
        <f>$F157*IF(ISNA(VLOOKUP($B157&amp;"; "&amp;$G$155,'FE Déchets'!$G:$U,14,FALSE)),0,VLOOKUP($B157&amp;"; "&amp;$G$155,'FE Déchets'!$G:$U,14,FALSE))</f>
        <v>0</v>
      </c>
      <c r="AN157" s="2791"/>
      <c r="AO157" s="2791"/>
      <c r="AP157" s="2791"/>
      <c r="AQ157" s="2658">
        <f>SUM(AA157,AE157,AI157,AM157)</f>
        <v>0</v>
      </c>
      <c r="AR157" s="2658"/>
      <c r="AS157" s="2658"/>
      <c r="AT157" s="2659"/>
      <c r="AU157" s="2790">
        <f>$F157*IF(ISNA(VLOOKUP($B157&amp;"; "&amp;$G$155,'FE Déchets'!$G:$U,15,FALSE)),0,VLOOKUP($B157&amp;"; "&amp;$G$155,'FE Déchets'!$G:$U,15,FALSE))</f>
        <v>0</v>
      </c>
      <c r="AV157" s="2791"/>
      <c r="AW157" s="2791"/>
      <c r="AX157" s="2798"/>
      <c r="AZ157" s="2376">
        <f>IF($R157&lt;&gt;"votre valeur :",IF(ISNA(VLOOKUP($R157,Utilitaires!$N$566:$O$571,2,FALSE)),,VLOOKUP($R157,Utilitaires!$N$566:$O$571,2,FALSE)),$S157)</f>
        <v>0</v>
      </c>
      <c r="BA157" s="1130">
        <f>SQRT(SUMSQ(VLOOKUP($B157&amp;"; "&amp;$G$155,'FE Déchets'!$G:$U,7,FALSE)))</f>
        <v>0.1</v>
      </c>
    </row>
    <row r="158" spans="2:53" hidden="1" outlineLevel="2">
      <c r="B158" s="389" t="s">
        <v>5001</v>
      </c>
      <c r="C158" s="341"/>
      <c r="D158" s="212">
        <f t="shared" ref="D158:D159" si="70">O158</f>
        <v>0</v>
      </c>
      <c r="E158" s="212"/>
      <c r="F158" s="2389"/>
      <c r="G158" s="2792">
        <f>IF(ISNA(VLOOKUP($B158&amp;"; "&amp;$G$155,'FE Déchets'!$G:$U,9,FALSE)),0,VLOOKUP($B158&amp;"; "&amp;$G$155,'FE Déchets'!$G:$U,9,FALSE))</f>
        <v>258</v>
      </c>
      <c r="H158" s="2793"/>
      <c r="I158" s="2793"/>
      <c r="J158" s="2793"/>
      <c r="K158" s="151"/>
      <c r="L158" s="151"/>
      <c r="M158" s="151"/>
      <c r="N158" s="151"/>
      <c r="O158" s="152">
        <f t="shared" ref="O158:O159" si="71">F158*G158</f>
        <v>0</v>
      </c>
      <c r="Q158" s="226">
        <f t="shared" ref="Q158:Q159" si="72">IF(X158=0,X158,X158/O158)</f>
        <v>0</v>
      </c>
      <c r="R158" s="1094"/>
      <c r="S158" s="820"/>
      <c r="T158" s="164"/>
      <c r="U158" s="164"/>
      <c r="V158" s="164"/>
      <c r="W158" s="164"/>
      <c r="X158" s="152">
        <f t="shared" ref="X158:X159" si="73">F158*G158*BA158</f>
        <v>0</v>
      </c>
      <c r="Y158" s="114"/>
      <c r="Z158" s="114"/>
      <c r="AA158" s="2790">
        <f>$F158*IF(ISNA(VLOOKUP($B158&amp;"; "&amp;$G$155,'FE Déchets'!$G:$U,10,FALSE)),0,VLOOKUP($B158&amp;"; "&amp;$G$155,'FE Déchets'!$G:$U,10,FALSE))</f>
        <v>0</v>
      </c>
      <c r="AB158" s="2791"/>
      <c r="AC158" s="2791"/>
      <c r="AD158" s="2791"/>
      <c r="AE158" s="2791">
        <f>$F158*IF(ISNA(VLOOKUP($B158&amp;"; "&amp;$G$155,'FE Déchets'!$G:$U,11,FALSE)+VLOOKUP($B158&amp;"; "&amp;$G$155,'FE Déchets'!$G:$U,12,FALSE)),0,
VLOOKUP($B158&amp;"; "&amp;$G$155,'FE Déchets'!$G:$U,11,FALSE)+VLOOKUP($B158&amp;"; "&amp;$G$155,'FE Déchets'!$G:$U,12,FALSE))</f>
        <v>0</v>
      </c>
      <c r="AF158" s="2791"/>
      <c r="AG158" s="2791"/>
      <c r="AH158" s="2791"/>
      <c r="AI158" s="2791">
        <f>$F158*IF(ISNA(VLOOKUP($B158&amp;"; "&amp;$G$155,'FE Déchets'!$G:$U,13,FALSE)),0,VLOOKUP($B158&amp;"; "&amp;$G$155,'FE Déchets'!$G:$U,13,FALSE))</f>
        <v>0</v>
      </c>
      <c r="AJ158" s="2791"/>
      <c r="AK158" s="2791"/>
      <c r="AL158" s="2791"/>
      <c r="AM158" s="2791">
        <f>$F158*IF(ISNA(VLOOKUP($B158&amp;"; "&amp;$G$155,'FE Déchets'!$G:$U,14,FALSE)),0,VLOOKUP($B158&amp;"; "&amp;$G$155,'FE Déchets'!$G:$U,14,FALSE))</f>
        <v>0</v>
      </c>
      <c r="AN158" s="2791"/>
      <c r="AO158" s="2791"/>
      <c r="AP158" s="2791"/>
      <c r="AQ158" s="2658">
        <f t="shared" ref="AQ158:AQ159" si="74">SUM(AA158,AE158,AI158,AM158)</f>
        <v>0</v>
      </c>
      <c r="AR158" s="2658"/>
      <c r="AS158" s="2658"/>
      <c r="AT158" s="2659"/>
      <c r="AU158" s="2790">
        <v>0</v>
      </c>
      <c r="AV158" s="2791"/>
      <c r="AW158" s="2791"/>
      <c r="AX158" s="2798"/>
      <c r="AZ158" s="2376">
        <v>0</v>
      </c>
      <c r="BA158" s="1130">
        <f>SQRT(SUMSQ(VLOOKUP($B158&amp;"; "&amp;$G$155,'FE Déchets'!$G:$U,7,FALSE)))</f>
        <v>0.1</v>
      </c>
    </row>
    <row r="159" spans="2:53" hidden="1" outlineLevel="2">
      <c r="B159" s="389" t="s">
        <v>5000</v>
      </c>
      <c r="C159" s="341"/>
      <c r="D159" s="212">
        <f t="shared" si="70"/>
        <v>0</v>
      </c>
      <c r="E159" s="212"/>
      <c r="F159" s="2390"/>
      <c r="G159" s="2792">
        <f>IF(ISNA(VLOOKUP($B159&amp;"; "&amp;$G$155,'FE Déchets'!$G:$U,9,FALSE)),0,VLOOKUP($B159&amp;"; "&amp;$G$155,'FE Déchets'!$G:$U,9,FALSE))</f>
        <v>141</v>
      </c>
      <c r="H159" s="2793"/>
      <c r="I159" s="2793"/>
      <c r="J159" s="2793"/>
      <c r="K159" s="151"/>
      <c r="L159" s="151"/>
      <c r="M159" s="151"/>
      <c r="N159" s="151"/>
      <c r="O159" s="152">
        <f t="shared" si="71"/>
        <v>0</v>
      </c>
      <c r="Q159" s="226">
        <f t="shared" si="72"/>
        <v>0</v>
      </c>
      <c r="R159" s="1094"/>
      <c r="S159" s="820"/>
      <c r="T159" s="164"/>
      <c r="U159" s="164"/>
      <c r="V159" s="164"/>
      <c r="W159" s="164"/>
      <c r="X159" s="152">
        <f t="shared" si="73"/>
        <v>0</v>
      </c>
      <c r="Y159" s="114"/>
      <c r="Z159" s="114"/>
      <c r="AA159" s="2790">
        <f>$F159*IF(ISNA(VLOOKUP($B159&amp;"; "&amp;$G$155,'FE Déchets'!$G:$U,10,FALSE)),0,VLOOKUP($B159&amp;"; "&amp;$G$155,'FE Déchets'!$G:$U,10,FALSE))</f>
        <v>0</v>
      </c>
      <c r="AB159" s="2791"/>
      <c r="AC159" s="2791"/>
      <c r="AD159" s="2791"/>
      <c r="AE159" s="2791">
        <f>$F159*IF(ISNA(VLOOKUP($B159&amp;"; "&amp;$G$155,'FE Déchets'!$G:$U,11,FALSE)+VLOOKUP($B159&amp;"; "&amp;$G$155,'FE Déchets'!$G:$U,12,FALSE)),0,
VLOOKUP($B159&amp;"; "&amp;$G$155,'FE Déchets'!$G:$U,11,FALSE)+VLOOKUP($B159&amp;"; "&amp;$G$155,'FE Déchets'!$G:$U,12,FALSE))</f>
        <v>0</v>
      </c>
      <c r="AF159" s="2791"/>
      <c r="AG159" s="2791"/>
      <c r="AH159" s="2791"/>
      <c r="AI159" s="2791">
        <f>$F159*IF(ISNA(VLOOKUP($B159&amp;"; "&amp;$G$155,'FE Déchets'!$G:$U,13,FALSE)),0,VLOOKUP($B159&amp;"; "&amp;$G$155,'FE Déchets'!$G:$U,13,FALSE))</f>
        <v>0</v>
      </c>
      <c r="AJ159" s="2791"/>
      <c r="AK159" s="2791"/>
      <c r="AL159" s="2791"/>
      <c r="AM159" s="2791">
        <f>$F159*IF(ISNA(VLOOKUP($B159&amp;"; "&amp;$G$155,'FE Déchets'!$G:$U,14,FALSE)),0,VLOOKUP($B159&amp;"; "&amp;$G$155,'FE Déchets'!$G:$U,14,FALSE))</f>
        <v>0</v>
      </c>
      <c r="AN159" s="2791"/>
      <c r="AO159" s="2791"/>
      <c r="AP159" s="2791"/>
      <c r="AQ159" s="2658">
        <f t="shared" si="74"/>
        <v>0</v>
      </c>
      <c r="AR159" s="2658"/>
      <c r="AS159" s="2658"/>
      <c r="AT159" s="2659"/>
      <c r="AU159" s="2790">
        <v>0</v>
      </c>
      <c r="AV159" s="2791"/>
      <c r="AW159" s="2791"/>
      <c r="AX159" s="2798"/>
      <c r="AZ159" s="2376">
        <v>0</v>
      </c>
      <c r="BA159" s="1130">
        <f>SQRT(SUMSQ(VLOOKUP($B159&amp;"; "&amp;$G$155,'FE Déchets'!$G:$U,7,FALSE)))</f>
        <v>0.1</v>
      </c>
    </row>
    <row r="160" spans="2:53" hidden="1" outlineLevel="2">
      <c r="B160" s="143"/>
      <c r="C160" s="144"/>
      <c r="D160" s="219"/>
      <c r="E160" s="219"/>
      <c r="F160" s="164"/>
      <c r="G160" s="326"/>
      <c r="H160" s="326"/>
      <c r="I160" s="326"/>
      <c r="J160" s="326"/>
      <c r="K160" s="151"/>
      <c r="L160" s="151"/>
      <c r="M160" s="151"/>
      <c r="N160" s="2375"/>
      <c r="O160" s="152"/>
      <c r="Q160" s="226"/>
      <c r="R160" s="144"/>
      <c r="S160" s="144"/>
      <c r="T160" s="164"/>
      <c r="U160" s="164"/>
      <c r="V160" s="164"/>
      <c r="W160" s="164"/>
      <c r="X160" s="2381"/>
      <c r="Y160" s="114"/>
      <c r="Z160" s="114"/>
      <c r="AA160" s="227"/>
      <c r="AB160" s="1662"/>
      <c r="AC160" s="1662"/>
      <c r="AD160" s="1662"/>
      <c r="AE160" s="1662"/>
      <c r="AF160" s="1662"/>
      <c r="AG160" s="1662"/>
      <c r="AH160" s="1662"/>
      <c r="AI160" s="1662"/>
      <c r="AJ160" s="1662"/>
      <c r="AK160" s="1662"/>
      <c r="AL160" s="1662"/>
      <c r="AM160" s="1662"/>
      <c r="AN160" s="1662"/>
      <c r="AO160" s="1662"/>
      <c r="AP160" s="1662"/>
      <c r="AQ160" s="1662"/>
      <c r="AR160" s="1662"/>
      <c r="AS160" s="1662"/>
      <c r="AT160" s="1662"/>
      <c r="AU160" s="227"/>
      <c r="AV160" s="1662"/>
      <c r="AW160" s="1662"/>
      <c r="AX160" s="1171"/>
      <c r="AY160" s="2397"/>
      <c r="AZ160" s="1167"/>
      <c r="BA160" s="1130"/>
    </row>
    <row r="161" spans="2:53" ht="12.75" hidden="1" customHeight="1" outlineLevel="2">
      <c r="B161" s="1002" t="s">
        <v>3</v>
      </c>
      <c r="C161" s="2370"/>
      <c r="D161" s="2370"/>
      <c r="E161" s="2380"/>
      <c r="F161" s="2380"/>
      <c r="G161" s="2380"/>
      <c r="H161" s="1662"/>
      <c r="I161" s="1662"/>
      <c r="J161" s="1662"/>
      <c r="K161" s="2375"/>
      <c r="L161" s="581"/>
      <c r="M161" s="2375"/>
      <c r="N161" s="2375"/>
      <c r="O161" s="2381"/>
      <c r="Q161" s="2369"/>
      <c r="R161" s="2794"/>
      <c r="S161" s="2794"/>
      <c r="T161" s="1662"/>
      <c r="U161" s="2286"/>
      <c r="V161" s="2286"/>
      <c r="W161" s="2286"/>
      <c r="X161" s="2381"/>
      <c r="Y161" s="114"/>
      <c r="Z161" s="114"/>
      <c r="AA161" s="227"/>
      <c r="AB161" s="1662"/>
      <c r="AC161" s="1662"/>
      <c r="AD161" s="1662"/>
      <c r="AE161" s="1662"/>
      <c r="AF161" s="1662"/>
      <c r="AG161" s="1662"/>
      <c r="AH161" s="1662"/>
      <c r="AI161" s="1662"/>
      <c r="AJ161" s="1662"/>
      <c r="AK161" s="1662"/>
      <c r="AL161" s="1662"/>
      <c r="AM161" s="1662"/>
      <c r="AN161" s="1662"/>
      <c r="AO161" s="1662"/>
      <c r="AP161" s="1662"/>
      <c r="AQ161" s="1662"/>
      <c r="AR161" s="1662"/>
      <c r="AS161" s="1662"/>
      <c r="AT161" s="1662"/>
      <c r="AU161" s="227"/>
      <c r="AV161" s="1662"/>
      <c r="AW161" s="1662"/>
      <c r="AX161" s="1171"/>
      <c r="AZ161" s="2382"/>
      <c r="BA161" s="1130"/>
    </row>
    <row r="162" spans="2:53" hidden="1" outlineLevel="2">
      <c r="B162" s="389" t="s">
        <v>5002</v>
      </c>
      <c r="C162" s="341"/>
      <c r="D162" s="212">
        <f>O162</f>
        <v>0</v>
      </c>
      <c r="E162" s="212"/>
      <c r="F162" s="2388"/>
      <c r="G162" s="2792">
        <f>IF(ISNA(VLOOKUP($B162&amp;"; "&amp;$G$155,'FE Déchets'!$G:$U,9,FALSE)),0,VLOOKUP($B162&amp;"; "&amp;$G$155,'FE Déchets'!$G:$U,9,FALSE))</f>
        <v>562</v>
      </c>
      <c r="H162" s="2793"/>
      <c r="I162" s="2793"/>
      <c r="J162" s="2793"/>
      <c r="K162" s="151"/>
      <c r="L162" s="151"/>
      <c r="M162" s="151"/>
      <c r="N162" s="151"/>
      <c r="O162" s="152">
        <f>F162*G162</f>
        <v>0</v>
      </c>
      <c r="Q162" s="226">
        <f>IF(X162=0,X162,X162/O162)</f>
        <v>0</v>
      </c>
      <c r="R162" s="1094"/>
      <c r="S162" s="820"/>
      <c r="T162" s="164"/>
      <c r="U162" s="164"/>
      <c r="V162" s="164"/>
      <c r="W162" s="164"/>
      <c r="X162" s="152">
        <f>F162*G162*BA162</f>
        <v>0</v>
      </c>
      <c r="Y162" s="114"/>
      <c r="Z162" s="114"/>
      <c r="AA162" s="2790">
        <f>$F162*IF(ISNA(VLOOKUP($B162&amp;"; "&amp;$G$155,'FE Déchets'!$G:$U,10,FALSE)),0,VLOOKUP($B162&amp;"; "&amp;$G$155,'FE Déchets'!$G:$U,10,FALSE))</f>
        <v>0</v>
      </c>
      <c r="AB162" s="2791"/>
      <c r="AC162" s="2791"/>
      <c r="AD162" s="2791"/>
      <c r="AE162" s="2791">
        <f>$F162*IF(ISNA(VLOOKUP($B162&amp;"; "&amp;$G$155,'FE Déchets'!$G:$U,11,FALSE)+VLOOKUP($B162&amp;"; "&amp;$G$155,'FE Déchets'!$G:$U,12,FALSE)),0,
VLOOKUP($B162&amp;"; "&amp;$G$155,'FE Déchets'!$G:$U,11,FALSE)+VLOOKUP($B162&amp;"; "&amp;$G$155,'FE Déchets'!$G:$U,12,FALSE))</f>
        <v>0</v>
      </c>
      <c r="AF162" s="2791"/>
      <c r="AG162" s="2791"/>
      <c r="AH162" s="2791"/>
      <c r="AI162" s="2791">
        <f>$F162*IF(ISNA(VLOOKUP($B162&amp;"; "&amp;$G$155,'FE Déchets'!$G:$U,13,FALSE)),0,VLOOKUP($B162&amp;"; "&amp;$G$155,'FE Déchets'!$G:$U,13,FALSE))</f>
        <v>0</v>
      </c>
      <c r="AJ162" s="2791"/>
      <c r="AK162" s="2791"/>
      <c r="AL162" s="2791"/>
      <c r="AM162" s="2791">
        <f>$F162*IF(ISNA(VLOOKUP($B162&amp;"; "&amp;$G$155,'FE Déchets'!$G:$U,14,FALSE)),0,VLOOKUP($B162&amp;"; "&amp;$G$155,'FE Déchets'!$G:$U,14,FALSE))</f>
        <v>0</v>
      </c>
      <c r="AN162" s="2791"/>
      <c r="AO162" s="2791"/>
      <c r="AP162" s="2791"/>
      <c r="AQ162" s="2658">
        <f>SUM(AA162,AE162,AI162,AM162)</f>
        <v>0</v>
      </c>
      <c r="AR162" s="2658"/>
      <c r="AS162" s="2658"/>
      <c r="AT162" s="2659"/>
      <c r="AU162" s="2790">
        <f>$F162*IF(ISNA(VLOOKUP($B162&amp;"; "&amp;$G$155,'FE Déchets'!$G:$U,15,FALSE)),0,VLOOKUP($B162&amp;"; "&amp;$G$155,'FE Déchets'!$G:$U,15,FALSE))</f>
        <v>0</v>
      </c>
      <c r="AV162" s="2791"/>
      <c r="AW162" s="2791"/>
      <c r="AX162" s="2798"/>
      <c r="AZ162" s="2376">
        <f>IF($R162&lt;&gt;"votre valeur :",IF(ISNA(VLOOKUP($R162,Utilitaires!$N$566:$O$571,2,FALSE)),,VLOOKUP($R162,Utilitaires!$N$566:$O$571,2,FALSE)),$S162)</f>
        <v>0</v>
      </c>
      <c r="BA162" s="1130">
        <f>SQRT(SUMSQ(VLOOKUP($B162&amp;"; "&amp;$G$155,'FE Déchets'!$G:$U,7,FALSE)))</f>
        <v>0.2</v>
      </c>
    </row>
    <row r="163" spans="2:53" hidden="1" outlineLevel="2">
      <c r="B163" s="389" t="s">
        <v>5003</v>
      </c>
      <c r="C163" s="341"/>
      <c r="D163" s="212">
        <f t="shared" ref="D163:D164" si="75">O163</f>
        <v>0</v>
      </c>
      <c r="E163" s="212"/>
      <c r="F163" s="2389"/>
      <c r="G163" s="2792">
        <f>IF(ISNA(VLOOKUP($B163&amp;"; "&amp;$G$155,'FE Déchets'!$G:$U,9,FALSE)),0,VLOOKUP($B163&amp;"; "&amp;$G$155,'FE Déchets'!$G:$U,9,FALSE))</f>
        <v>1304</v>
      </c>
      <c r="H163" s="2793"/>
      <c r="I163" s="2793"/>
      <c r="J163" s="2793"/>
      <c r="K163" s="151"/>
      <c r="L163" s="151"/>
      <c r="M163" s="151"/>
      <c r="N163" s="151"/>
      <c r="O163" s="152">
        <f t="shared" ref="O163:O164" si="76">F163*G163</f>
        <v>0</v>
      </c>
      <c r="Q163" s="226">
        <f t="shared" ref="Q163:Q164" si="77">IF(X163=0,X163,X163/O163)</f>
        <v>0</v>
      </c>
      <c r="R163" s="1094"/>
      <c r="S163" s="820"/>
      <c r="T163" s="164"/>
      <c r="U163" s="164"/>
      <c r="V163" s="164"/>
      <c r="W163" s="164"/>
      <c r="X163" s="152">
        <f t="shared" ref="X163:X164" si="78">F163*G163*BA163</f>
        <v>0</v>
      </c>
      <c r="Y163" s="114"/>
      <c r="Z163" s="114"/>
      <c r="AA163" s="2790">
        <f>$F163*IF(ISNA(VLOOKUP($B163&amp;"; "&amp;$G$155,'FE Déchets'!$G:$U,10,FALSE)),0,VLOOKUP($B163&amp;"; "&amp;$G$155,'FE Déchets'!$G:$U,10,FALSE))</f>
        <v>0</v>
      </c>
      <c r="AB163" s="2791"/>
      <c r="AC163" s="2791"/>
      <c r="AD163" s="2791"/>
      <c r="AE163" s="2791">
        <f>$F163*IF(ISNA(VLOOKUP($B163&amp;"; "&amp;$G$155,'FE Déchets'!$G:$U,11,FALSE)+VLOOKUP($B163&amp;"; "&amp;$G$155,'FE Déchets'!$G:$U,12,FALSE)),0,
VLOOKUP($B163&amp;"; "&amp;$G$155,'FE Déchets'!$G:$U,11,FALSE)+VLOOKUP($B163&amp;"; "&amp;$G$155,'FE Déchets'!$G:$U,12,FALSE))</f>
        <v>0</v>
      </c>
      <c r="AF163" s="2791"/>
      <c r="AG163" s="2791"/>
      <c r="AH163" s="2791"/>
      <c r="AI163" s="2791">
        <f>$F163*IF(ISNA(VLOOKUP($B163&amp;"; "&amp;$G$155,'FE Déchets'!$G:$U,13,FALSE)),0,VLOOKUP($B163&amp;"; "&amp;$G$155,'FE Déchets'!$G:$U,13,FALSE))</f>
        <v>0</v>
      </c>
      <c r="AJ163" s="2791"/>
      <c r="AK163" s="2791"/>
      <c r="AL163" s="2791"/>
      <c r="AM163" s="2791">
        <f>$F163*IF(ISNA(VLOOKUP($B163&amp;"; "&amp;$G$155,'FE Déchets'!$G:$U,14,FALSE)),0,VLOOKUP($B163&amp;"; "&amp;$G$155,'FE Déchets'!$G:$U,14,FALSE))</f>
        <v>0</v>
      </c>
      <c r="AN163" s="2791"/>
      <c r="AO163" s="2791"/>
      <c r="AP163" s="2791"/>
      <c r="AQ163" s="2658">
        <f t="shared" ref="AQ163:AQ164" si="79">SUM(AA163,AE163,AI163,AM163)</f>
        <v>0</v>
      </c>
      <c r="AR163" s="2658"/>
      <c r="AS163" s="2658"/>
      <c r="AT163" s="2659"/>
      <c r="AU163" s="2790">
        <v>0</v>
      </c>
      <c r="AV163" s="2791"/>
      <c r="AW163" s="2791"/>
      <c r="AX163" s="2798"/>
      <c r="AZ163" s="2376">
        <v>0</v>
      </c>
      <c r="BA163" s="1130">
        <f>SQRT(SUMSQ(VLOOKUP($B163&amp;"; "&amp;$G$155,'FE Déchets'!$G:$U,7,FALSE)))</f>
        <v>0.2</v>
      </c>
    </row>
    <row r="164" spans="2:53" hidden="1" outlineLevel="2">
      <c r="B164" s="389" t="s">
        <v>5004</v>
      </c>
      <c r="C164" s="341"/>
      <c r="D164" s="212">
        <f t="shared" si="75"/>
        <v>0</v>
      </c>
      <c r="E164" s="212"/>
      <c r="F164" s="2390"/>
      <c r="G164" s="2792">
        <f>IF(ISNA(VLOOKUP($B164&amp;"; "&amp;$G$155,'FE Déchets'!$G:$U,9,FALSE)),0,VLOOKUP($B164&amp;"; "&amp;$G$155,'FE Déchets'!$G:$U,9,FALSE))</f>
        <v>938</v>
      </c>
      <c r="H164" s="2793"/>
      <c r="I164" s="2793"/>
      <c r="J164" s="2793"/>
      <c r="K164" s="151"/>
      <c r="L164" s="151"/>
      <c r="M164" s="151"/>
      <c r="N164" s="151"/>
      <c r="O164" s="152">
        <f t="shared" si="76"/>
        <v>0</v>
      </c>
      <c r="Q164" s="226">
        <f t="shared" si="77"/>
        <v>0</v>
      </c>
      <c r="R164" s="1094"/>
      <c r="S164" s="820"/>
      <c r="T164" s="164"/>
      <c r="U164" s="164"/>
      <c r="V164" s="164"/>
      <c r="W164" s="164"/>
      <c r="X164" s="152">
        <f t="shared" si="78"/>
        <v>0</v>
      </c>
      <c r="Y164" s="114"/>
      <c r="Z164" s="114"/>
      <c r="AA164" s="2790">
        <f>$F164*IF(ISNA(VLOOKUP($B164&amp;"; "&amp;$G$155,'FE Déchets'!$G:$U,10,FALSE)),0,VLOOKUP($B164&amp;"; "&amp;$G$155,'FE Déchets'!$G:$U,10,FALSE))</f>
        <v>0</v>
      </c>
      <c r="AB164" s="2791"/>
      <c r="AC164" s="2791"/>
      <c r="AD164" s="2791"/>
      <c r="AE164" s="2791">
        <f>$F164*IF(ISNA(VLOOKUP($B164&amp;"; "&amp;$G$155,'FE Déchets'!$G:$U,11,FALSE)+VLOOKUP($B164&amp;"; "&amp;$G$155,'FE Déchets'!$G:$U,12,FALSE)),0,
VLOOKUP($B164&amp;"; "&amp;$G$155,'FE Déchets'!$G:$U,11,FALSE)+VLOOKUP($B164&amp;"; "&amp;$G$155,'FE Déchets'!$G:$U,12,FALSE))</f>
        <v>0</v>
      </c>
      <c r="AF164" s="2791"/>
      <c r="AG164" s="2791"/>
      <c r="AH164" s="2791"/>
      <c r="AI164" s="2791">
        <f>$F164*IF(ISNA(VLOOKUP($B164&amp;"; "&amp;$G$155,'FE Déchets'!$G:$U,13,FALSE)),0,VLOOKUP($B164&amp;"; "&amp;$G$155,'FE Déchets'!$G:$U,13,FALSE))</f>
        <v>0</v>
      </c>
      <c r="AJ164" s="2791"/>
      <c r="AK164" s="2791"/>
      <c r="AL164" s="2791"/>
      <c r="AM164" s="2791">
        <f>$F164*IF(ISNA(VLOOKUP($B164&amp;"; "&amp;$G$155,'FE Déchets'!$G:$U,14,FALSE)),0,VLOOKUP($B164&amp;"; "&amp;$G$155,'FE Déchets'!$G:$U,14,FALSE))</f>
        <v>0</v>
      </c>
      <c r="AN164" s="2791"/>
      <c r="AO164" s="2791"/>
      <c r="AP164" s="2791"/>
      <c r="AQ164" s="2658">
        <f t="shared" si="79"/>
        <v>0</v>
      </c>
      <c r="AR164" s="2658"/>
      <c r="AS164" s="2658"/>
      <c r="AT164" s="2659"/>
      <c r="AU164" s="2790">
        <v>0</v>
      </c>
      <c r="AV164" s="2791"/>
      <c r="AW164" s="2791"/>
      <c r="AX164" s="2798"/>
      <c r="AZ164" s="2376">
        <v>0</v>
      </c>
      <c r="BA164" s="1130">
        <f>SQRT(SUMSQ(VLOOKUP($B164&amp;"; "&amp;$G$155,'FE Déchets'!$G:$U,7,FALSE)))</f>
        <v>0.2</v>
      </c>
    </row>
    <row r="165" spans="2:53" hidden="1" outlineLevel="2">
      <c r="B165" s="143"/>
      <c r="C165" s="144"/>
      <c r="D165" s="219"/>
      <c r="E165" s="219"/>
      <c r="F165" s="164"/>
      <c r="G165" s="326"/>
      <c r="H165" s="326"/>
      <c r="I165" s="326"/>
      <c r="J165" s="326"/>
      <c r="K165" s="151"/>
      <c r="L165" s="151"/>
      <c r="M165" s="151"/>
      <c r="N165" s="2375"/>
      <c r="O165" s="152"/>
      <c r="Q165" s="226"/>
      <c r="R165" s="144"/>
      <c r="S165" s="144"/>
      <c r="T165" s="164"/>
      <c r="U165" s="164"/>
      <c r="V165" s="164"/>
      <c r="W165" s="164"/>
      <c r="X165" s="2381"/>
      <c r="Y165" s="114"/>
      <c r="Z165" s="114"/>
      <c r="AA165" s="227"/>
      <c r="AB165" s="1662"/>
      <c r="AC165" s="1662"/>
      <c r="AD165" s="1662"/>
      <c r="AE165" s="1662"/>
      <c r="AF165" s="1662"/>
      <c r="AG165" s="1662"/>
      <c r="AH165" s="1662"/>
      <c r="AI165" s="1662"/>
      <c r="AJ165" s="1662"/>
      <c r="AK165" s="1662"/>
      <c r="AL165" s="1662"/>
      <c r="AM165" s="1662"/>
      <c r="AN165" s="1662"/>
      <c r="AO165" s="1662"/>
      <c r="AP165" s="1662"/>
      <c r="AQ165" s="1662"/>
      <c r="AR165" s="1662"/>
      <c r="AS165" s="1662"/>
      <c r="AT165" s="1662"/>
      <c r="AU165" s="227"/>
      <c r="AV165" s="1662"/>
      <c r="AW165" s="1662"/>
      <c r="AX165" s="1171"/>
      <c r="AZ165" s="1167"/>
      <c r="BA165" s="1130"/>
    </row>
    <row r="166" spans="2:53" ht="12.75" hidden="1" customHeight="1" outlineLevel="2">
      <c r="B166" s="1002" t="s">
        <v>3281</v>
      </c>
      <c r="C166" s="1357"/>
      <c r="D166" s="1357"/>
      <c r="E166" s="2380"/>
      <c r="F166" s="2380"/>
      <c r="G166" s="2380"/>
      <c r="H166" s="1366"/>
      <c r="I166" s="1366"/>
      <c r="J166" s="1366"/>
      <c r="K166" s="1358"/>
      <c r="L166" s="581"/>
      <c r="M166" s="1358"/>
      <c r="N166" s="1358"/>
      <c r="O166" s="1372"/>
      <c r="Q166" s="2369"/>
      <c r="R166" s="2794"/>
      <c r="S166" s="2794"/>
      <c r="T166" s="1662"/>
      <c r="U166" s="2286"/>
      <c r="V166" s="2286"/>
      <c r="W166" s="2286"/>
      <c r="X166" s="2381"/>
      <c r="Y166" s="114"/>
      <c r="Z166" s="114"/>
      <c r="AA166" s="227"/>
      <c r="AB166" s="1662"/>
      <c r="AC166" s="1662"/>
      <c r="AD166" s="1662"/>
      <c r="AE166" s="1662"/>
      <c r="AF166" s="1662"/>
      <c r="AG166" s="1662"/>
      <c r="AH166" s="1662"/>
      <c r="AI166" s="1662"/>
      <c r="AJ166" s="1662"/>
      <c r="AK166" s="1662"/>
      <c r="AL166" s="1662"/>
      <c r="AM166" s="1662"/>
      <c r="AN166" s="1662"/>
      <c r="AO166" s="1662"/>
      <c r="AP166" s="1662"/>
      <c r="AQ166" s="1662"/>
      <c r="AR166" s="1662"/>
      <c r="AS166" s="1662"/>
      <c r="AT166" s="1662"/>
      <c r="AU166" s="227"/>
      <c r="AV166" s="1662"/>
      <c r="AW166" s="1662"/>
      <c r="AX166" s="1171"/>
      <c r="AZ166" s="2382"/>
      <c r="BA166" s="1130"/>
    </row>
    <row r="167" spans="2:53" hidden="1" outlineLevel="2">
      <c r="B167" s="389" t="s">
        <v>5005</v>
      </c>
      <c r="C167" s="341"/>
      <c r="D167" s="212">
        <f>O167</f>
        <v>0</v>
      </c>
      <c r="E167" s="212"/>
      <c r="F167" s="2388"/>
      <c r="G167" s="2792">
        <f>IF(ISNA(VLOOKUP($B167&amp;"; "&amp;$G$155,'FE Déchets'!$G:$U,9,FALSE)),0,VLOOKUP($B167&amp;"; "&amp;$G$155,'FE Déchets'!$G:$U,9,FALSE))</f>
        <v>11</v>
      </c>
      <c r="H167" s="2793"/>
      <c r="I167" s="2793"/>
      <c r="J167" s="2793"/>
      <c r="K167" s="151"/>
      <c r="L167" s="151"/>
      <c r="M167" s="151"/>
      <c r="N167" s="151"/>
      <c r="O167" s="152">
        <f>F167*G167</f>
        <v>0</v>
      </c>
      <c r="Q167" s="226">
        <f>IF(X167=0,X167,X167/O167)</f>
        <v>0</v>
      </c>
      <c r="R167" s="1094"/>
      <c r="S167" s="820"/>
      <c r="T167" s="164"/>
      <c r="U167" s="164"/>
      <c r="V167" s="164"/>
      <c r="W167" s="164"/>
      <c r="X167" s="152">
        <f>F167*G167*BA167</f>
        <v>0</v>
      </c>
      <c r="Y167" s="114"/>
      <c r="Z167" s="114"/>
      <c r="AA167" s="2790">
        <f>$F167*IF(ISNA(VLOOKUP($B167&amp;"; "&amp;$G$155,'FE Déchets'!$G:$U,10,FALSE)),0,VLOOKUP($B167&amp;"; "&amp;$G$155,'FE Déchets'!$G:$U,10,FALSE))</f>
        <v>0</v>
      </c>
      <c r="AB167" s="2791"/>
      <c r="AC167" s="2791"/>
      <c r="AD167" s="2791"/>
      <c r="AE167" s="2791">
        <f>$F167*IF(ISNA(VLOOKUP($B167&amp;"; "&amp;$G$155,'FE Déchets'!$G:$U,11,FALSE)+VLOOKUP($B167&amp;"; "&amp;$G$155,'FE Déchets'!$G:$U,12,FALSE)),0,
VLOOKUP($B167&amp;"; "&amp;$G$155,'FE Déchets'!$G:$U,11,FALSE)+VLOOKUP($B167&amp;"; "&amp;$G$155,'FE Déchets'!$G:$U,12,FALSE))</f>
        <v>0</v>
      </c>
      <c r="AF167" s="2791"/>
      <c r="AG167" s="2791"/>
      <c r="AH167" s="2791"/>
      <c r="AI167" s="2791">
        <f>$F167*IF(ISNA(VLOOKUP($B167&amp;"; "&amp;$G$155,'FE Déchets'!$G:$U,13,FALSE)),0,VLOOKUP($B167&amp;"; "&amp;$G$155,'FE Déchets'!$G:$U,13,FALSE))</f>
        <v>0</v>
      </c>
      <c r="AJ167" s="2791"/>
      <c r="AK167" s="2791"/>
      <c r="AL167" s="2791"/>
      <c r="AM167" s="2791">
        <f>$F167*IF(ISNA(VLOOKUP($B167&amp;"; "&amp;$G$155,'FE Déchets'!$G:$U,14,FALSE)),0,VLOOKUP($B167&amp;"; "&amp;$G$155,'FE Déchets'!$G:$U,14,FALSE))</f>
        <v>0</v>
      </c>
      <c r="AN167" s="2791"/>
      <c r="AO167" s="2791"/>
      <c r="AP167" s="2791"/>
      <c r="AQ167" s="2658">
        <f>SUM(AA167,AE167,AI167,AM167)</f>
        <v>0</v>
      </c>
      <c r="AR167" s="2658"/>
      <c r="AS167" s="2658"/>
      <c r="AT167" s="2659"/>
      <c r="AU167" s="2790">
        <f>$F167*IF(ISNA(VLOOKUP($B167&amp;"; "&amp;$G$155,'FE Déchets'!$G:$U,15,FALSE)),0,VLOOKUP($B167&amp;"; "&amp;$G$155,'FE Déchets'!$G:$U,15,FALSE))</f>
        <v>0</v>
      </c>
      <c r="AV167" s="2791"/>
      <c r="AW167" s="2791"/>
      <c r="AX167" s="2798"/>
      <c r="AZ167" s="1065">
        <f>IF($R167&lt;&gt;"votre valeur :",IF(ISNA(VLOOKUP($R167,Utilitaires!$N$566:$O$571,2,FALSE)),,VLOOKUP($R167,Utilitaires!$N$566:$O$571,2,FALSE)),$S167)</f>
        <v>0</v>
      </c>
      <c r="BA167" s="1130">
        <f>SQRT(SUMSQ(VLOOKUP($B167&amp;"; "&amp;$G$155,'FE Déchets'!$G:$U,7,FALSE)))</f>
        <v>0.19</v>
      </c>
    </row>
    <row r="168" spans="2:53" hidden="1" outlineLevel="2">
      <c r="B168" s="389" t="s">
        <v>5006</v>
      </c>
      <c r="C168" s="341"/>
      <c r="D168" s="212">
        <f t="shared" ref="D168:D169" si="80">O168</f>
        <v>0</v>
      </c>
      <c r="E168" s="212"/>
      <c r="F168" s="2389"/>
      <c r="G168" s="2792">
        <f>IF(ISNA(VLOOKUP($B168&amp;"; "&amp;$G$155,'FE Déchets'!$G:$U,9,FALSE)),0,VLOOKUP($B168&amp;"; "&amp;$G$155,'FE Déchets'!$G:$U,9,FALSE))</f>
        <v>122</v>
      </c>
      <c r="H168" s="2793"/>
      <c r="I168" s="2793"/>
      <c r="J168" s="2793"/>
      <c r="K168" s="151"/>
      <c r="L168" s="151"/>
      <c r="M168" s="151"/>
      <c r="N168" s="151"/>
      <c r="O168" s="152">
        <f t="shared" ref="O168:O169" si="81">F168*G168</f>
        <v>0</v>
      </c>
      <c r="Q168" s="226">
        <f t="shared" ref="Q168:Q169" si="82">IF(X168=0,X168,X168/O168)</f>
        <v>0</v>
      </c>
      <c r="R168" s="1094"/>
      <c r="S168" s="820"/>
      <c r="T168" s="164"/>
      <c r="U168" s="164"/>
      <c r="V168" s="164"/>
      <c r="W168" s="164"/>
      <c r="X168" s="152">
        <f t="shared" ref="X168:X169" si="83">F168*G168*BA168</f>
        <v>0</v>
      </c>
      <c r="Y168" s="114"/>
      <c r="Z168" s="114"/>
      <c r="AA168" s="2790">
        <f>$F168*IF(ISNA(VLOOKUP($B168&amp;"; "&amp;$G$155,'FE Déchets'!$G:$U,10,FALSE)),0,VLOOKUP($B168&amp;"; "&amp;$G$155,'FE Déchets'!$G:$U,10,FALSE))</f>
        <v>0</v>
      </c>
      <c r="AB168" s="2791"/>
      <c r="AC168" s="2791"/>
      <c r="AD168" s="2791"/>
      <c r="AE168" s="2791">
        <f>$F168*IF(ISNA(VLOOKUP($B168&amp;"; "&amp;$G$155,'FE Déchets'!$G:$U,11,FALSE)+VLOOKUP($B168&amp;"; "&amp;$G$155,'FE Déchets'!$G:$U,12,FALSE)),0,
VLOOKUP($B168&amp;"; "&amp;$G$155,'FE Déchets'!$G:$U,11,FALSE)+VLOOKUP($B168&amp;"; "&amp;$G$155,'FE Déchets'!$G:$U,12,FALSE))</f>
        <v>0</v>
      </c>
      <c r="AF168" s="2791"/>
      <c r="AG168" s="2791"/>
      <c r="AH168" s="2791"/>
      <c r="AI168" s="2791">
        <f>$F168*IF(ISNA(VLOOKUP($B168&amp;"; "&amp;$G$155,'FE Déchets'!$G:$U,13,FALSE)),0,VLOOKUP($B168&amp;"; "&amp;$G$155,'FE Déchets'!$G:$U,13,FALSE))</f>
        <v>0</v>
      </c>
      <c r="AJ168" s="2791"/>
      <c r="AK168" s="2791"/>
      <c r="AL168" s="2791"/>
      <c r="AM168" s="2791">
        <f>$F168*IF(ISNA(VLOOKUP($B168&amp;"; "&amp;$G$155,'FE Déchets'!$G:$U,14,FALSE)),0,VLOOKUP($B168&amp;"; "&amp;$G$155,'FE Déchets'!$G:$U,14,FALSE))</f>
        <v>0</v>
      </c>
      <c r="AN168" s="2791"/>
      <c r="AO168" s="2791"/>
      <c r="AP168" s="2791"/>
      <c r="AQ168" s="2658">
        <f t="shared" ref="AQ168:AQ169" si="84">SUM(AA168,AE168,AI168,AM168)</f>
        <v>0</v>
      </c>
      <c r="AR168" s="2658"/>
      <c r="AS168" s="2658"/>
      <c r="AT168" s="2659"/>
      <c r="AU168" s="2790">
        <v>0</v>
      </c>
      <c r="AV168" s="2791"/>
      <c r="AW168" s="2791"/>
      <c r="AX168" s="2798"/>
      <c r="AZ168" s="2376">
        <v>0</v>
      </c>
      <c r="BA168" s="1130">
        <f>SQRT(SUMSQ(VLOOKUP($B168&amp;"; "&amp;$G$155,'FE Déchets'!$G:$U,7,FALSE)))</f>
        <v>0.2</v>
      </c>
    </row>
    <row r="169" spans="2:53" hidden="1" outlineLevel="2">
      <c r="B169" s="389" t="s">
        <v>5007</v>
      </c>
      <c r="C169" s="341"/>
      <c r="D169" s="212">
        <f t="shared" si="80"/>
        <v>0</v>
      </c>
      <c r="E169" s="212"/>
      <c r="F169" s="2389"/>
      <c r="G169" s="2792">
        <f>IF(ISNA(VLOOKUP($B169&amp;"; "&amp;$G$155,'FE Déchets'!$G:$U,9,FALSE)),0,VLOOKUP($B169&amp;"; "&amp;$G$155,'FE Déchets'!$G:$U,9,FALSE))</f>
        <v>13</v>
      </c>
      <c r="H169" s="2793"/>
      <c r="I169" s="2793"/>
      <c r="J169" s="2793"/>
      <c r="K169" s="151"/>
      <c r="L169" s="151"/>
      <c r="M169" s="151"/>
      <c r="N169" s="151"/>
      <c r="O169" s="152">
        <f t="shared" si="81"/>
        <v>0</v>
      </c>
      <c r="Q169" s="226">
        <f t="shared" si="82"/>
        <v>0</v>
      </c>
      <c r="R169" s="1094"/>
      <c r="S169" s="820"/>
      <c r="T169" s="164"/>
      <c r="U169" s="164"/>
      <c r="V169" s="164"/>
      <c r="W169" s="164"/>
      <c r="X169" s="152">
        <f t="shared" si="83"/>
        <v>0</v>
      </c>
      <c r="Y169" s="114"/>
      <c r="Z169" s="114"/>
      <c r="AA169" s="2790">
        <f>$F169*IF(ISNA(VLOOKUP($B169&amp;"; "&amp;$G$155,'FE Déchets'!$G:$U,10,FALSE)),0,VLOOKUP($B169&amp;"; "&amp;$G$155,'FE Déchets'!$G:$U,10,FALSE))</f>
        <v>0</v>
      </c>
      <c r="AB169" s="2791"/>
      <c r="AC169" s="2791"/>
      <c r="AD169" s="2791"/>
      <c r="AE169" s="2791">
        <f>$F169*IF(ISNA(VLOOKUP($B169&amp;"; "&amp;$G$155,'FE Déchets'!$G:$U,11,FALSE)+VLOOKUP($B169&amp;"; "&amp;$G$155,'FE Déchets'!$G:$U,12,FALSE)),0,
VLOOKUP($B169&amp;"; "&amp;$G$155,'FE Déchets'!$G:$U,11,FALSE)+VLOOKUP($B169&amp;"; "&amp;$G$155,'FE Déchets'!$G:$U,12,FALSE))</f>
        <v>0</v>
      </c>
      <c r="AF169" s="2791"/>
      <c r="AG169" s="2791"/>
      <c r="AH169" s="2791"/>
      <c r="AI169" s="2791">
        <f>$F169*IF(ISNA(VLOOKUP($B169&amp;"; "&amp;$G$155,'FE Déchets'!$G:$U,13,FALSE)),0,VLOOKUP($B169&amp;"; "&amp;$G$155,'FE Déchets'!$G:$U,13,FALSE))</f>
        <v>0</v>
      </c>
      <c r="AJ169" s="2791"/>
      <c r="AK169" s="2791"/>
      <c r="AL169" s="2791"/>
      <c r="AM169" s="2791">
        <f>$F169*IF(ISNA(VLOOKUP($B169&amp;"; "&amp;$G$155,'FE Déchets'!$G:$U,14,FALSE)),0,VLOOKUP($B169&amp;"; "&amp;$G$155,'FE Déchets'!$G:$U,14,FALSE))</f>
        <v>0</v>
      </c>
      <c r="AN169" s="2791"/>
      <c r="AO169" s="2791"/>
      <c r="AP169" s="2791"/>
      <c r="AQ169" s="2658">
        <f t="shared" si="84"/>
        <v>0</v>
      </c>
      <c r="AR169" s="2658"/>
      <c r="AS169" s="2658"/>
      <c r="AT169" s="2659"/>
      <c r="AU169" s="2790">
        <v>0</v>
      </c>
      <c r="AV169" s="2791"/>
      <c r="AW169" s="2791"/>
      <c r="AX169" s="2798"/>
      <c r="AZ169" s="2376">
        <v>0</v>
      </c>
      <c r="BA169" s="1130">
        <f>SQRT(SUMSQ(VLOOKUP($B169&amp;"; "&amp;$G$155,'FE Déchets'!$G:$U,7,FALSE)))</f>
        <v>0.26</v>
      </c>
    </row>
    <row r="170" spans="2:53" hidden="1" outlineLevel="2">
      <c r="B170" s="389" t="s">
        <v>5008</v>
      </c>
      <c r="C170" s="341"/>
      <c r="D170" s="212">
        <f t="shared" ref="D170:D171" si="85">O170</f>
        <v>0</v>
      </c>
      <c r="E170" s="212"/>
      <c r="F170" s="2389"/>
      <c r="G170" s="2792">
        <f>IF(ISNA(VLOOKUP($B170&amp;"; "&amp;$G$155,'FE Déchets'!$G:$U,9,FALSE)),0,VLOOKUP($B170&amp;"; "&amp;$G$155,'FE Déchets'!$G:$U,9,FALSE))</f>
        <v>87</v>
      </c>
      <c r="H170" s="2793"/>
      <c r="I170" s="2793"/>
      <c r="J170" s="2793"/>
      <c r="K170" s="151"/>
      <c r="L170" s="151"/>
      <c r="M170" s="151"/>
      <c r="N170" s="151"/>
      <c r="O170" s="152">
        <f t="shared" ref="O170:O171" si="86">F170*G170</f>
        <v>0</v>
      </c>
      <c r="Q170" s="226">
        <f t="shared" ref="Q170:Q171" si="87">IF(X170=0,X170,X170/O170)</f>
        <v>0</v>
      </c>
      <c r="R170" s="1094"/>
      <c r="S170" s="820"/>
      <c r="T170" s="164"/>
      <c r="U170" s="164"/>
      <c r="V170" s="164"/>
      <c r="W170" s="164"/>
      <c r="X170" s="152">
        <f t="shared" ref="X170:X171" si="88">F170*G170*BA170</f>
        <v>0</v>
      </c>
      <c r="Y170" s="114"/>
      <c r="Z170" s="114"/>
      <c r="AA170" s="2790">
        <f>$F170*IF(ISNA(VLOOKUP($B170&amp;"; "&amp;$G$155,'FE Déchets'!$G:$U,10,FALSE)),0,VLOOKUP($B170&amp;"; "&amp;$G$155,'FE Déchets'!$G:$U,10,FALSE))</f>
        <v>0</v>
      </c>
      <c r="AB170" s="2791"/>
      <c r="AC170" s="2791"/>
      <c r="AD170" s="2791"/>
      <c r="AE170" s="2791">
        <f>$F170*IF(ISNA(VLOOKUP($B170&amp;"; "&amp;$G$155,'FE Déchets'!$G:$U,11,FALSE)+VLOOKUP($B170&amp;"; "&amp;$G$155,'FE Déchets'!$G:$U,12,FALSE)),0,
VLOOKUP($B170&amp;"; "&amp;$G$155,'FE Déchets'!$G:$U,11,FALSE)+VLOOKUP($B170&amp;"; "&amp;$G$155,'FE Déchets'!$G:$U,12,FALSE))</f>
        <v>0</v>
      </c>
      <c r="AF170" s="2791"/>
      <c r="AG170" s="2791"/>
      <c r="AH170" s="2791"/>
      <c r="AI170" s="2791">
        <f>$F170*IF(ISNA(VLOOKUP($B170&amp;"; "&amp;$G$155,'FE Déchets'!$G:$U,13,FALSE)),0,VLOOKUP($B170&amp;"; "&amp;$G$155,'FE Déchets'!$G:$U,13,FALSE))</f>
        <v>0</v>
      </c>
      <c r="AJ170" s="2791"/>
      <c r="AK170" s="2791"/>
      <c r="AL170" s="2791"/>
      <c r="AM170" s="2791">
        <f>$F170*IF(ISNA(VLOOKUP($B170&amp;"; "&amp;$G$155,'FE Déchets'!$G:$U,14,FALSE)),0,VLOOKUP($B170&amp;"; "&amp;$G$155,'FE Déchets'!$G:$U,14,FALSE))</f>
        <v>0</v>
      </c>
      <c r="AN170" s="2791"/>
      <c r="AO170" s="2791"/>
      <c r="AP170" s="2791"/>
      <c r="AQ170" s="2658">
        <f t="shared" ref="AQ170:AQ171" si="89">SUM(AA170,AE170,AI170,AM170)</f>
        <v>0</v>
      </c>
      <c r="AR170" s="2658"/>
      <c r="AS170" s="2658"/>
      <c r="AT170" s="2659"/>
      <c r="AU170" s="2790">
        <v>0</v>
      </c>
      <c r="AV170" s="2791"/>
      <c r="AW170" s="2791"/>
      <c r="AX170" s="2798"/>
      <c r="AZ170" s="2376">
        <v>0</v>
      </c>
      <c r="BA170" s="1130">
        <f>SQRT(SUMSQ(VLOOKUP($B170&amp;"; "&amp;$G$155,'FE Déchets'!$G:$U,7,FALSE)))</f>
        <v>0.3</v>
      </c>
    </row>
    <row r="171" spans="2:53" hidden="1" outlineLevel="2">
      <c r="B171" s="389" t="s">
        <v>5009</v>
      </c>
      <c r="C171" s="341"/>
      <c r="D171" s="212">
        <f t="shared" si="85"/>
        <v>0</v>
      </c>
      <c r="E171" s="212"/>
      <c r="F171" s="2390"/>
      <c r="G171" s="2792">
        <f>IF(ISNA(VLOOKUP($B171&amp;"; "&amp;$G$155,'FE Déchets'!$G:$U,9,FALSE)),0,VLOOKUP($B171&amp;"; "&amp;$G$155,'FE Déchets'!$G:$U,9,FALSE))</f>
        <v>52</v>
      </c>
      <c r="H171" s="2793"/>
      <c r="I171" s="2793"/>
      <c r="J171" s="2793"/>
      <c r="K171" s="151"/>
      <c r="L171" s="151"/>
      <c r="M171" s="151"/>
      <c r="N171" s="151"/>
      <c r="O171" s="152">
        <f t="shared" si="86"/>
        <v>0</v>
      </c>
      <c r="Q171" s="226">
        <f t="shared" si="87"/>
        <v>0</v>
      </c>
      <c r="R171" s="1094"/>
      <c r="S171" s="820"/>
      <c r="T171" s="164"/>
      <c r="U171" s="164"/>
      <c r="V171" s="164"/>
      <c r="W171" s="164"/>
      <c r="X171" s="152">
        <f t="shared" si="88"/>
        <v>0</v>
      </c>
      <c r="Y171" s="114"/>
      <c r="Z171" s="114"/>
      <c r="AA171" s="2790">
        <f>$F171*IF(ISNA(VLOOKUP($B171&amp;"; "&amp;$G$155,'FE Déchets'!$G:$U,10,FALSE)),0,VLOOKUP($B171&amp;"; "&amp;$G$155,'FE Déchets'!$G:$U,10,FALSE))</f>
        <v>0</v>
      </c>
      <c r="AB171" s="2791"/>
      <c r="AC171" s="2791"/>
      <c r="AD171" s="2791"/>
      <c r="AE171" s="2791">
        <f>$F171*IF(ISNA(VLOOKUP($B171&amp;"; "&amp;$G$155,'FE Déchets'!$G:$U,11,FALSE)+VLOOKUP($B171&amp;"; "&amp;$G$155,'FE Déchets'!$G:$U,12,FALSE)),0,
VLOOKUP($B171&amp;"; "&amp;$G$155,'FE Déchets'!$G:$U,11,FALSE)+VLOOKUP($B171&amp;"; "&amp;$G$155,'FE Déchets'!$G:$U,12,FALSE))</f>
        <v>0</v>
      </c>
      <c r="AF171" s="2791"/>
      <c r="AG171" s="2791"/>
      <c r="AH171" s="2791"/>
      <c r="AI171" s="2791">
        <f>$F171*IF(ISNA(VLOOKUP($B171&amp;"; "&amp;$G$155,'FE Déchets'!$G:$U,13,FALSE)),0,VLOOKUP($B171&amp;"; "&amp;$G$155,'FE Déchets'!$G:$U,13,FALSE))</f>
        <v>0</v>
      </c>
      <c r="AJ171" s="2791"/>
      <c r="AK171" s="2791"/>
      <c r="AL171" s="2791"/>
      <c r="AM171" s="2791">
        <f>$F171*IF(ISNA(VLOOKUP($B171&amp;"; "&amp;$G$155,'FE Déchets'!$G:$U,14,FALSE)),0,VLOOKUP($B171&amp;"; "&amp;$G$155,'FE Déchets'!$G:$U,14,FALSE))</f>
        <v>0</v>
      </c>
      <c r="AN171" s="2791"/>
      <c r="AO171" s="2791"/>
      <c r="AP171" s="2791"/>
      <c r="AQ171" s="2658">
        <f t="shared" si="89"/>
        <v>0</v>
      </c>
      <c r="AR171" s="2658"/>
      <c r="AS171" s="2658"/>
      <c r="AT171" s="2659"/>
      <c r="AU171" s="2790">
        <v>0</v>
      </c>
      <c r="AV171" s="2791"/>
      <c r="AW171" s="2791"/>
      <c r="AX171" s="2798"/>
      <c r="AZ171" s="2376">
        <v>0</v>
      </c>
      <c r="BA171" s="1130">
        <f>SQRT(SUMSQ(VLOOKUP($B171&amp;"; "&amp;$G$155,'FE Déchets'!$G:$U,7,FALSE)))</f>
        <v>0.12</v>
      </c>
    </row>
    <row r="172" spans="2:53" hidden="1" outlineLevel="2">
      <c r="B172" s="143"/>
      <c r="C172" s="144"/>
      <c r="D172" s="219"/>
      <c r="E172" s="219"/>
      <c r="F172" s="164"/>
      <c r="G172" s="326"/>
      <c r="H172" s="326"/>
      <c r="I172" s="326"/>
      <c r="J172" s="326"/>
      <c r="K172" s="151"/>
      <c r="L172" s="151"/>
      <c r="M172" s="151"/>
      <c r="N172" s="354"/>
      <c r="O172" s="152"/>
      <c r="Q172" s="226"/>
      <c r="R172" s="155"/>
      <c r="S172" s="155"/>
      <c r="T172" s="164"/>
      <c r="U172" s="164"/>
      <c r="V172" s="164"/>
      <c r="W172" s="164"/>
      <c r="X172" s="367"/>
      <c r="Y172" s="114"/>
      <c r="Z172" s="114"/>
      <c r="AA172" s="2799"/>
      <c r="AB172" s="2800"/>
      <c r="AC172" s="2800"/>
      <c r="AD172" s="2800"/>
      <c r="AE172" s="2800"/>
      <c r="AF172" s="2800"/>
      <c r="AG172" s="2800"/>
      <c r="AH172" s="2800"/>
      <c r="AI172" s="2800"/>
      <c r="AJ172" s="2800"/>
      <c r="AK172" s="2800"/>
      <c r="AL172" s="2800"/>
      <c r="AM172" s="2800"/>
      <c r="AN172" s="2800"/>
      <c r="AO172" s="2800"/>
      <c r="AP172" s="2800"/>
      <c r="AQ172" s="2801"/>
      <c r="AR172" s="2801"/>
      <c r="AS172" s="2801"/>
      <c r="AT172" s="2802"/>
      <c r="AU172" s="1411"/>
      <c r="AV172" s="1313"/>
      <c r="AW172" s="625"/>
      <c r="AX172" s="570"/>
      <c r="AZ172" s="1087"/>
      <c r="BA172" s="1131"/>
    </row>
    <row r="173" spans="2:53" hidden="1" outlineLevel="1">
      <c r="B173" s="1264" t="s">
        <v>348</v>
      </c>
      <c r="C173" s="197"/>
      <c r="D173" s="214">
        <f>SUM(D157:D172)</f>
        <v>0</v>
      </c>
      <c r="E173" s="214"/>
      <c r="F173" s="203"/>
      <c r="G173" s="203"/>
      <c r="H173" s="202"/>
      <c r="I173" s="203"/>
      <c r="J173" s="203"/>
      <c r="K173" s="202"/>
      <c r="L173" s="202"/>
      <c r="M173" s="202"/>
      <c r="N173" s="202"/>
      <c r="O173" s="200">
        <f>SUM(O167:O172)</f>
        <v>0</v>
      </c>
      <c r="Q173" s="1204">
        <f>IF(X173=0,X173,X173/O173)</f>
        <v>0</v>
      </c>
      <c r="R173" s="199"/>
      <c r="S173" s="199"/>
      <c r="T173" s="204"/>
      <c r="U173" s="204"/>
      <c r="V173" s="204"/>
      <c r="W173" s="204"/>
      <c r="X173" s="200">
        <f>SQRT(SUMSQ(X167:X172))</f>
        <v>0</v>
      </c>
      <c r="Y173" s="114"/>
      <c r="Z173" s="114"/>
      <c r="AA173" s="2795">
        <f>SUM(AA157:AA172)</f>
        <v>0</v>
      </c>
      <c r="AB173" s="2796"/>
      <c r="AC173" s="2796"/>
      <c r="AD173" s="2796"/>
      <c r="AE173" s="2796">
        <f>SUM(AE157:AE172)</f>
        <v>0</v>
      </c>
      <c r="AF173" s="2796"/>
      <c r="AG173" s="2796"/>
      <c r="AH173" s="2796"/>
      <c r="AI173" s="2796">
        <f>SUM(AI157:AI172)</f>
        <v>0</v>
      </c>
      <c r="AJ173" s="2796"/>
      <c r="AK173" s="2796"/>
      <c r="AL173" s="2796"/>
      <c r="AM173" s="2796">
        <f>SUM(AM157:AM172)</f>
        <v>0</v>
      </c>
      <c r="AN173" s="2796"/>
      <c r="AO173" s="2796"/>
      <c r="AP173" s="2796"/>
      <c r="AQ173" s="2803">
        <f>SUM(AQ157:AQ172)</f>
        <v>0</v>
      </c>
      <c r="AR173" s="2803"/>
      <c r="AS173" s="2803"/>
      <c r="AT173" s="2804"/>
      <c r="AU173" s="2795">
        <f>SUM(AU157:AU172)</f>
        <v>0</v>
      </c>
      <c r="AV173" s="2796"/>
      <c r="AW173" s="2796"/>
      <c r="AX173" s="2797"/>
    </row>
    <row r="174" spans="2:53" hidden="1" outlineLevel="1"/>
    <row r="175" spans="2:53" ht="12.75" hidden="1" customHeight="1" outlineLevel="1">
      <c r="B175" s="139" t="s">
        <v>2520</v>
      </c>
      <c r="C175" s="140"/>
      <c r="D175" s="336"/>
      <c r="E175" s="1648"/>
      <c r="F175" s="160"/>
      <c r="G175" s="160"/>
      <c r="H175" s="161"/>
      <c r="Q175" s="2636" t="s">
        <v>366</v>
      </c>
      <c r="R175" s="2637"/>
      <c r="S175" s="2637"/>
      <c r="T175" s="2637"/>
      <c r="U175" s="2637"/>
      <c r="V175" s="2637"/>
      <c r="W175" s="2637"/>
      <c r="X175" s="2638"/>
      <c r="Y175" s="114"/>
      <c r="Z175" s="114"/>
      <c r="AA175" s="2639" t="s">
        <v>441</v>
      </c>
      <c r="AB175" s="2640"/>
      <c r="AC175" s="2640"/>
      <c r="AD175" s="2640"/>
      <c r="AE175" s="2640"/>
      <c r="AF175" s="2640"/>
      <c r="AG175" s="2640"/>
      <c r="AH175" s="2640"/>
      <c r="AI175" s="2640"/>
      <c r="AJ175" s="2640"/>
      <c r="AK175" s="2640"/>
      <c r="AL175" s="2640"/>
      <c r="AM175" s="2640"/>
      <c r="AN175" s="2640"/>
      <c r="AO175" s="2640"/>
      <c r="AP175" s="2640"/>
      <c r="AQ175" s="2640"/>
      <c r="AR175" s="2640"/>
      <c r="AS175" s="2640"/>
      <c r="AT175" s="2640"/>
      <c r="AU175" s="2640"/>
      <c r="AV175" s="2640"/>
      <c r="AW175" s="2640"/>
      <c r="AX175" s="2641"/>
    </row>
    <row r="176" spans="2:53" ht="12.75" hidden="1" customHeight="1" outlineLevel="2">
      <c r="B176" s="332"/>
      <c r="C176" s="167"/>
      <c r="D176" s="338" t="s">
        <v>308</v>
      </c>
      <c r="E176" s="1663"/>
      <c r="F176" s="337"/>
      <c r="G176" s="337"/>
      <c r="H176" s="355"/>
      <c r="Q176" s="1170"/>
      <c r="R176" s="1370"/>
      <c r="S176" s="1370"/>
      <c r="T176" s="1355"/>
      <c r="U176" s="1355"/>
      <c r="V176" s="1355"/>
      <c r="W176" s="1355"/>
      <c r="X176" s="142"/>
      <c r="Y176" s="114"/>
      <c r="Z176" s="114"/>
      <c r="AA176" s="2642" t="s">
        <v>444</v>
      </c>
      <c r="AB176" s="2643"/>
      <c r="AC176" s="2643"/>
      <c r="AD176" s="2643"/>
      <c r="AE176" s="2643"/>
      <c r="AF176" s="2643"/>
      <c r="AG176" s="2643"/>
      <c r="AH176" s="2643"/>
      <c r="AI176" s="2643"/>
      <c r="AJ176" s="2643"/>
      <c r="AK176" s="2643"/>
      <c r="AL176" s="2643"/>
      <c r="AM176" s="2643"/>
      <c r="AN176" s="2643"/>
      <c r="AO176" s="2643"/>
      <c r="AP176" s="2643"/>
      <c r="AQ176" s="2643" t="s">
        <v>444</v>
      </c>
      <c r="AR176" s="2643"/>
      <c r="AS176" s="2643"/>
      <c r="AT176" s="2644"/>
      <c r="AU176" s="1359"/>
      <c r="AV176" s="1352"/>
      <c r="AW176" s="1352"/>
      <c r="AX176" s="1360"/>
    </row>
    <row r="177" spans="2:53" ht="12" hidden="1" customHeight="1" outlineLevel="2">
      <c r="B177" s="143"/>
      <c r="C177" s="167"/>
      <c r="D177" s="337" t="s">
        <v>409</v>
      </c>
      <c r="E177" s="1656"/>
      <c r="F177" s="147" t="s">
        <v>199</v>
      </c>
      <c r="G177" s="337" t="s">
        <v>444</v>
      </c>
      <c r="H177" s="369" t="s">
        <v>444</v>
      </c>
      <c r="Q177" s="1356" t="s">
        <v>316</v>
      </c>
      <c r="R177" s="2629" t="s">
        <v>316</v>
      </c>
      <c r="S177" s="2630"/>
      <c r="T177" s="1357"/>
      <c r="U177" s="1357"/>
      <c r="V177" s="1357"/>
      <c r="W177" s="1357"/>
      <c r="X177" s="1372" t="s">
        <v>444</v>
      </c>
      <c r="Y177" s="114"/>
      <c r="Z177" s="114"/>
      <c r="AA177" s="2631" t="s">
        <v>211</v>
      </c>
      <c r="AB177" s="2632"/>
      <c r="AC177" s="2632"/>
      <c r="AD177" s="2632"/>
      <c r="AE177" s="2632" t="s">
        <v>442</v>
      </c>
      <c r="AF177" s="2632"/>
      <c r="AG177" s="2632"/>
      <c r="AH177" s="2632"/>
      <c r="AI177" s="2632" t="s">
        <v>267</v>
      </c>
      <c r="AJ177" s="2632"/>
      <c r="AK177" s="2632"/>
      <c r="AL177" s="2632"/>
      <c r="AM177" s="2632" t="s">
        <v>443</v>
      </c>
      <c r="AN177" s="2632"/>
      <c r="AO177" s="2632"/>
      <c r="AP177" s="2632"/>
      <c r="AQ177" s="2648" t="s">
        <v>327</v>
      </c>
      <c r="AR177" s="2648"/>
      <c r="AS177" s="2648"/>
      <c r="AT177" s="2649"/>
      <c r="AU177" s="1373"/>
      <c r="AV177" s="1354" t="s">
        <v>636</v>
      </c>
      <c r="AW177" s="566"/>
      <c r="AX177" s="567"/>
      <c r="AZ177" s="1368" t="s">
        <v>530</v>
      </c>
      <c r="BA177" s="1371" t="s">
        <v>658</v>
      </c>
    </row>
    <row r="178" spans="2:53" ht="12.75" hidden="1" customHeight="1" outlineLevel="2">
      <c r="B178" s="352"/>
      <c r="C178" s="337"/>
      <c r="D178" s="337" t="s">
        <v>444</v>
      </c>
      <c r="E178" s="1656"/>
      <c r="F178" s="149" t="s">
        <v>94</v>
      </c>
      <c r="G178" s="337" t="s">
        <v>357</v>
      </c>
      <c r="H178" s="369"/>
      <c r="Q178" s="1356" t="s">
        <v>1649</v>
      </c>
      <c r="R178" s="2646" t="s">
        <v>1650</v>
      </c>
      <c r="S178" s="2647"/>
      <c r="T178" s="1366"/>
      <c r="U178" s="1366"/>
      <c r="V178" s="1366"/>
      <c r="W178" s="1366"/>
      <c r="X178" s="1372"/>
      <c r="Y178" s="114"/>
      <c r="Z178" s="114"/>
      <c r="AA178" s="227"/>
      <c r="AB178" s="1366"/>
      <c r="AC178" s="1366"/>
      <c r="AD178" s="1366"/>
      <c r="AE178" s="1366"/>
      <c r="AF178" s="1366"/>
      <c r="AG178" s="1366"/>
      <c r="AH178" s="1366"/>
      <c r="AI178" s="1366"/>
      <c r="AJ178" s="1366"/>
      <c r="AK178" s="1366"/>
      <c r="AL178" s="1366"/>
      <c r="AM178" s="1366"/>
      <c r="AN178" s="1366"/>
      <c r="AO178" s="1366"/>
      <c r="AP178" s="1366"/>
      <c r="AQ178" s="1366"/>
      <c r="AR178" s="1366"/>
      <c r="AS178" s="1366"/>
      <c r="AT178" s="1366"/>
      <c r="AU178" s="227"/>
      <c r="AV178" s="1366"/>
      <c r="AW178" s="1366"/>
      <c r="AX178" s="1171"/>
      <c r="AZ178" s="1065"/>
      <c r="BA178" s="1130"/>
    </row>
    <row r="179" spans="2:53" hidden="1" outlineLevel="2">
      <c r="B179" s="143" t="s">
        <v>2370</v>
      </c>
      <c r="C179" s="144"/>
      <c r="D179" s="212">
        <f>H179</f>
        <v>0</v>
      </c>
      <c r="E179" s="212"/>
      <c r="F179" s="117"/>
      <c r="G179" s="219">
        <f>'FE Hors Energie'!$O$89</f>
        <v>1</v>
      </c>
      <c r="H179" s="152">
        <f>F179*G179*1000</f>
        <v>0</v>
      </c>
      <c r="Q179" s="226">
        <f>IF(X179=0,X179,X179/H179)</f>
        <v>0</v>
      </c>
      <c r="R179" s="1094"/>
      <c r="S179" s="820"/>
      <c r="T179" s="164"/>
      <c r="U179" s="164"/>
      <c r="V179" s="164"/>
      <c r="W179" s="164"/>
      <c r="X179" s="152">
        <f>H179*BA179</f>
        <v>0</v>
      </c>
      <c r="Y179" s="114"/>
      <c r="Z179" s="114"/>
      <c r="AA179" s="1454">
        <f>H179</f>
        <v>0</v>
      </c>
      <c r="AB179" s="565"/>
      <c r="AC179" s="565"/>
      <c r="AD179" s="565"/>
      <c r="AE179" s="565"/>
      <c r="AF179" s="565"/>
      <c r="AG179" s="565"/>
      <c r="AH179" s="565"/>
      <c r="AI179" s="565"/>
      <c r="AJ179" s="565"/>
      <c r="AK179" s="565"/>
      <c r="AL179" s="565"/>
      <c r="AM179" s="565"/>
      <c r="AN179" s="565"/>
      <c r="AO179" s="565"/>
      <c r="AP179" s="565"/>
      <c r="AQ179" s="566">
        <f>SUM(AA179,AE179,AI179,AM179)</f>
        <v>0</v>
      </c>
      <c r="AR179" s="566"/>
      <c r="AS179" s="566"/>
      <c r="AT179" s="566"/>
      <c r="AU179" s="564">
        <f>$F179*IF(ISNA(VLOOKUP($B179&amp;"; "&amp;$G$155&amp;", "&amp;G$166,'FE Déchets'!$G:$U,15,FALSE)),0,VLOOKUP($B179&amp;"; "&amp;$G$155&amp;", "&amp;G$166,'FE Déchets'!$G:$U,15,FALSE))</f>
        <v>0</v>
      </c>
      <c r="AV179" s="565"/>
      <c r="AW179" s="565"/>
      <c r="AX179" s="568"/>
      <c r="AZ179" s="1065">
        <f>IF($R179&lt;&gt;"votre valeur :",IF(ISNA(VLOOKUP($R179,Utilitaires!$N$566:$O$571,2,FALSE)),,VLOOKUP($R179,Utilitaires!$N$566:$O$571,2,FALSE)),$S179)</f>
        <v>0</v>
      </c>
      <c r="BA179" s="1130">
        <f>IF(ISNA(SQRT(SUMSQ(0.3,$AZ179))),0,SQRT(SUMSQ(0.3,$AZ179)))</f>
        <v>0.3</v>
      </c>
    </row>
    <row r="180" spans="2:53" hidden="1" outlineLevel="2">
      <c r="B180" s="143" t="s">
        <v>2371</v>
      </c>
      <c r="C180" s="144"/>
      <c r="D180" s="212">
        <f>H180</f>
        <v>0</v>
      </c>
      <c r="E180" s="212"/>
      <c r="F180" s="120"/>
      <c r="G180" s="219">
        <f>'FE Hors Energie'!$S$92</f>
        <v>265</v>
      </c>
      <c r="H180" s="152">
        <f>F180*G180*1000</f>
        <v>0</v>
      </c>
      <c r="Q180" s="226">
        <f>IF(X180=0,X180,X180/H180)</f>
        <v>0</v>
      </c>
      <c r="R180" s="1094"/>
      <c r="S180" s="820"/>
      <c r="T180" s="164"/>
      <c r="U180" s="164"/>
      <c r="V180" s="164"/>
      <c r="W180" s="164"/>
      <c r="X180" s="152">
        <f>H180*BA180</f>
        <v>0</v>
      </c>
      <c r="Y180" s="114"/>
      <c r="Z180" s="114"/>
      <c r="AA180" s="564"/>
      <c r="AB180" s="565"/>
      <c r="AC180" s="565"/>
      <c r="AD180" s="565"/>
      <c r="AE180" s="565">
        <f>H180</f>
        <v>0</v>
      </c>
      <c r="AF180" s="565"/>
      <c r="AG180" s="565"/>
      <c r="AH180" s="565"/>
      <c r="AI180" s="565"/>
      <c r="AJ180" s="565"/>
      <c r="AK180" s="565"/>
      <c r="AL180" s="565"/>
      <c r="AM180" s="565"/>
      <c r="AN180" s="565"/>
      <c r="AO180" s="565"/>
      <c r="AP180" s="565"/>
      <c r="AQ180" s="566">
        <f t="shared" ref="AQ180:AQ186" si="90">SUM(AA180,AE180,AI180,AM180)</f>
        <v>0</v>
      </c>
      <c r="AR180" s="566"/>
      <c r="AS180" s="566"/>
      <c r="AT180" s="566"/>
      <c r="AU180" s="564">
        <f>$F180*IF(ISNA(VLOOKUP($B180&amp;"; "&amp;$G$155&amp;", "&amp;G$166,'FE Déchets'!$G:$U,15,FALSE)),0,VLOOKUP($B180&amp;"; "&amp;$G$155&amp;", "&amp;G$166,'FE Déchets'!$G:$U,15,FALSE))</f>
        <v>0</v>
      </c>
      <c r="AV180" s="565"/>
      <c r="AW180" s="565"/>
      <c r="AX180" s="568"/>
      <c r="AZ180" s="1065">
        <f>IF($R180&lt;&gt;"votre valeur :",IF(ISNA(VLOOKUP($R180,Utilitaires!$N$566:$O$571,2,FALSE)),,VLOOKUP($R180,Utilitaires!$N$566:$O$571,2,FALSE)),$S180)</f>
        <v>0</v>
      </c>
      <c r="BA180" s="1130">
        <f t="shared" ref="BA180:BA186" si="91">IF(ISNA(SQRT(SUMSQ(0.3,$AZ180))),0,SQRT(SUMSQ(0.3,$AZ180)))</f>
        <v>0.3</v>
      </c>
    </row>
    <row r="181" spans="2:53" hidden="1" outlineLevel="2">
      <c r="B181" s="143" t="s">
        <v>2372</v>
      </c>
      <c r="C181" s="144"/>
      <c r="D181" s="212">
        <f>H181</f>
        <v>0</v>
      </c>
      <c r="E181" s="212"/>
      <c r="F181" s="398"/>
      <c r="G181" s="219">
        <f>'FE Hors Energie'!$Q$91</f>
        <v>30</v>
      </c>
      <c r="H181" s="152">
        <f>F181*G181*1000</f>
        <v>0</v>
      </c>
      <c r="Q181" s="226">
        <f>IF(X181=0,X181,X181/H181)</f>
        <v>0</v>
      </c>
      <c r="R181" s="1094"/>
      <c r="S181" s="820"/>
      <c r="T181" s="164"/>
      <c r="U181" s="164"/>
      <c r="V181" s="164"/>
      <c r="W181" s="164"/>
      <c r="X181" s="152">
        <f>H181*BA181</f>
        <v>0</v>
      </c>
      <c r="Y181" s="114"/>
      <c r="Z181" s="114"/>
      <c r="AA181" s="564"/>
      <c r="AB181" s="565"/>
      <c r="AC181" s="565"/>
      <c r="AD181" s="565"/>
      <c r="AE181" s="565">
        <f>H181</f>
        <v>0</v>
      </c>
      <c r="AF181" s="565"/>
      <c r="AG181" s="565"/>
      <c r="AH181" s="565"/>
      <c r="AI181" s="565"/>
      <c r="AJ181" s="565"/>
      <c r="AK181" s="565"/>
      <c r="AL181" s="565"/>
      <c r="AM181" s="565"/>
      <c r="AN181" s="565"/>
      <c r="AO181" s="565"/>
      <c r="AP181" s="565"/>
      <c r="AQ181" s="566">
        <f t="shared" si="90"/>
        <v>0</v>
      </c>
      <c r="AR181" s="566"/>
      <c r="AS181" s="566"/>
      <c r="AT181" s="566"/>
      <c r="AU181" s="564">
        <f>$F181*IF(ISNA(VLOOKUP($B181&amp;"; "&amp;$G$155&amp;", "&amp;G$166,'FE Déchets'!$G:$U,15,FALSE)),0,VLOOKUP($B181&amp;"; "&amp;$G$155&amp;", "&amp;G$166,'FE Déchets'!$G:$U,15,FALSE))</f>
        <v>0</v>
      </c>
      <c r="AV181" s="565"/>
      <c r="AW181" s="565"/>
      <c r="AX181" s="568"/>
      <c r="AZ181" s="1065">
        <f>IF($R181&lt;&gt;"votre valeur :",IF(ISNA(VLOOKUP($R181,Utilitaires!$N$566:$O$571,2,FALSE)),,VLOOKUP($R181,Utilitaires!$N$566:$O$571,2,FALSE)),$S181)</f>
        <v>0</v>
      </c>
      <c r="BA181" s="1130">
        <f t="shared" si="91"/>
        <v>0.3</v>
      </c>
    </row>
    <row r="182" spans="2:53" hidden="1" outlineLevel="2">
      <c r="B182" s="143" t="s">
        <v>2373</v>
      </c>
      <c r="C182" s="144"/>
      <c r="D182" s="212">
        <f>H182</f>
        <v>0</v>
      </c>
      <c r="E182" s="212"/>
      <c r="F182" s="398"/>
      <c r="G182" s="219">
        <f>'FE Hors Energie'!$R$90</f>
        <v>28</v>
      </c>
      <c r="H182" s="152">
        <f>F182*G182*1000</f>
        <v>0</v>
      </c>
      <c r="Q182" s="226">
        <f>IF(X182=0,X182,X182/H182)</f>
        <v>0</v>
      </c>
      <c r="R182" s="1094"/>
      <c r="S182" s="820"/>
      <c r="T182" s="164"/>
      <c r="U182" s="164"/>
      <c r="V182" s="164"/>
      <c r="W182" s="164"/>
      <c r="X182" s="152">
        <f>H182*BA182</f>
        <v>0</v>
      </c>
      <c r="Y182" s="114"/>
      <c r="Z182" s="114"/>
      <c r="AA182" s="564"/>
      <c r="AB182" s="565"/>
      <c r="AC182" s="565"/>
      <c r="AD182" s="565"/>
      <c r="AE182" s="565"/>
      <c r="AF182" s="565"/>
      <c r="AG182" s="565"/>
      <c r="AH182" s="565"/>
      <c r="AI182" s="565">
        <f>H182</f>
        <v>0</v>
      </c>
      <c r="AJ182" s="565"/>
      <c r="AK182" s="565"/>
      <c r="AL182" s="565"/>
      <c r="AM182" s="565"/>
      <c r="AN182" s="565"/>
      <c r="AO182" s="565"/>
      <c r="AP182" s="565"/>
      <c r="AQ182" s="566">
        <f t="shared" si="90"/>
        <v>0</v>
      </c>
      <c r="AR182" s="566"/>
      <c r="AS182" s="566"/>
      <c r="AT182" s="566"/>
      <c r="AU182" s="564">
        <f>$F182*IF(ISNA(VLOOKUP($B182&amp;"; "&amp;$G$155&amp;", "&amp;G$166,'FE Déchets'!$G:$U,15,FALSE)),0,VLOOKUP($B182&amp;"; "&amp;$G$155&amp;", "&amp;G$166,'FE Déchets'!$G:$U,15,FALSE))</f>
        <v>0</v>
      </c>
      <c r="AV182" s="565"/>
      <c r="AW182" s="565"/>
      <c r="AX182" s="568"/>
      <c r="AZ182" s="1065">
        <f>IF($R182&lt;&gt;"votre valeur :",IF(ISNA(VLOOKUP($R182,Utilitaires!$N$566:$O$571,2,FALSE)),,VLOOKUP($R182,Utilitaires!$N$566:$O$571,2,FALSE)),$S182)</f>
        <v>0</v>
      </c>
      <c r="BA182" s="1130">
        <f t="shared" si="91"/>
        <v>0.3</v>
      </c>
    </row>
    <row r="183" spans="2:53" hidden="1" outlineLevel="2">
      <c r="B183" s="143"/>
      <c r="C183" s="144"/>
      <c r="D183" s="212"/>
      <c r="E183" s="212"/>
      <c r="F183" s="397"/>
      <c r="G183" s="219"/>
      <c r="H183" s="152"/>
      <c r="Q183" s="226"/>
      <c r="R183" s="144"/>
      <c r="S183" s="144"/>
      <c r="T183" s="342"/>
      <c r="U183" s="164"/>
      <c r="V183" s="164"/>
      <c r="W183" s="164"/>
      <c r="X183" s="152"/>
      <c r="Y183" s="114"/>
      <c r="Z183" s="114"/>
      <c r="AA183" s="564"/>
      <c r="AB183" s="565"/>
      <c r="AC183" s="565"/>
      <c r="AD183" s="565"/>
      <c r="AE183" s="565"/>
      <c r="AF183" s="565"/>
      <c r="AG183" s="565"/>
      <c r="AH183" s="565"/>
      <c r="AI183" s="565"/>
      <c r="AJ183" s="565"/>
      <c r="AK183" s="565"/>
      <c r="AL183" s="565"/>
      <c r="AM183" s="565"/>
      <c r="AN183" s="565"/>
      <c r="AO183" s="565"/>
      <c r="AP183" s="565"/>
      <c r="AQ183" s="566"/>
      <c r="AR183" s="566"/>
      <c r="AS183" s="566"/>
      <c r="AT183" s="566"/>
      <c r="AU183" s="564"/>
      <c r="AV183" s="565"/>
      <c r="AW183" s="565"/>
      <c r="AX183" s="568"/>
      <c r="AZ183" s="1065"/>
      <c r="BA183" s="1130"/>
    </row>
    <row r="184" spans="2:53" hidden="1" outlineLevel="2">
      <c r="B184" s="387" t="s">
        <v>1974</v>
      </c>
      <c r="C184" s="385"/>
      <c r="D184" s="388">
        <f>H184</f>
        <v>0</v>
      </c>
      <c r="E184" s="388"/>
      <c r="F184" s="399"/>
      <c r="G184" s="219">
        <f>VLOOKUP($B184,'FE Hors Energie'!$E$95:$U$124,11,FALSE)</f>
        <v>16100</v>
      </c>
      <c r="H184" s="152">
        <f>F184*G184*1000</f>
        <v>0</v>
      </c>
      <c r="Q184" s="226">
        <f>IF(X184=0,X184,X184/H184)</f>
        <v>0</v>
      </c>
      <c r="R184" s="1094"/>
      <c r="S184" s="820"/>
      <c r="T184" s="164"/>
      <c r="U184" s="164"/>
      <c r="V184" s="164"/>
      <c r="W184" s="164"/>
      <c r="X184" s="152">
        <f>H184*BA184</f>
        <v>0</v>
      </c>
      <c r="Y184" s="114"/>
      <c r="Z184" s="114"/>
      <c r="AA184" s="564"/>
      <c r="AB184" s="565"/>
      <c r="AC184" s="565"/>
      <c r="AD184" s="565"/>
      <c r="AE184" s="565"/>
      <c r="AF184" s="565"/>
      <c r="AG184" s="565"/>
      <c r="AH184" s="565"/>
      <c r="AI184" s="565"/>
      <c r="AJ184" s="565"/>
      <c r="AK184" s="565"/>
      <c r="AL184" s="565"/>
      <c r="AM184" s="565">
        <f>X184</f>
        <v>0</v>
      </c>
      <c r="AN184" s="565"/>
      <c r="AO184" s="565"/>
      <c r="AP184" s="565"/>
      <c r="AQ184" s="566">
        <f t="shared" si="90"/>
        <v>0</v>
      </c>
      <c r="AR184" s="566"/>
      <c r="AS184" s="566"/>
      <c r="AT184" s="566"/>
      <c r="AU184" s="564">
        <f>$F184*IF(ISNA(VLOOKUP($B184&amp;"; "&amp;$G$155&amp;", "&amp;G$166,'FE Déchets'!$G:$U,15,FALSE)),0,VLOOKUP($B184&amp;"; "&amp;$G$155&amp;", "&amp;G$166,'FE Déchets'!$G:$U,15,FALSE))</f>
        <v>0</v>
      </c>
      <c r="AV184" s="565"/>
      <c r="AW184" s="565"/>
      <c r="AX184" s="568"/>
      <c r="AZ184" s="1065">
        <f>IF($R184&lt;&gt;"votre valeur :",IF(ISNA(VLOOKUP($R184,Utilitaires!$N$566:$O$571,2,FALSE)),,VLOOKUP($R184,Utilitaires!$N$566:$O$571,2,FALSE)),$S184)</f>
        <v>0</v>
      </c>
      <c r="BA184" s="1130">
        <f t="shared" si="91"/>
        <v>0.3</v>
      </c>
    </row>
    <row r="185" spans="2:53" hidden="1" outlineLevel="2">
      <c r="B185" s="387" t="s">
        <v>1975</v>
      </c>
      <c r="C185" s="385"/>
      <c r="D185" s="388">
        <f>H185</f>
        <v>0</v>
      </c>
      <c r="E185" s="388"/>
      <c r="F185" s="394"/>
      <c r="G185" s="219">
        <f>VLOOKUP($B185,'FE Hors Energie'!$E$95:$U$124,11,FALSE)</f>
        <v>3170</v>
      </c>
      <c r="H185" s="152">
        <f>F185*G185*1000</f>
        <v>0</v>
      </c>
      <c r="Q185" s="226">
        <f>IF(X185=0,X185,X185/H185)</f>
        <v>0</v>
      </c>
      <c r="R185" s="1094"/>
      <c r="S185" s="820"/>
      <c r="T185" s="164"/>
      <c r="U185" s="164"/>
      <c r="V185" s="164"/>
      <c r="W185" s="164"/>
      <c r="X185" s="152">
        <f>H185*BA185</f>
        <v>0</v>
      </c>
      <c r="Y185" s="114"/>
      <c r="Z185" s="114"/>
      <c r="AA185" s="564"/>
      <c r="AB185" s="565"/>
      <c r="AC185" s="565"/>
      <c r="AD185" s="565"/>
      <c r="AE185" s="565"/>
      <c r="AF185" s="565"/>
      <c r="AG185" s="565"/>
      <c r="AH185" s="565"/>
      <c r="AI185" s="565"/>
      <c r="AJ185" s="565"/>
      <c r="AK185" s="565"/>
      <c r="AL185" s="565"/>
      <c r="AM185" s="565">
        <f>X185</f>
        <v>0</v>
      </c>
      <c r="AN185" s="565"/>
      <c r="AO185" s="565"/>
      <c r="AP185" s="565"/>
      <c r="AQ185" s="566">
        <f t="shared" si="90"/>
        <v>0</v>
      </c>
      <c r="AR185" s="566"/>
      <c r="AS185" s="566"/>
      <c r="AT185" s="566"/>
      <c r="AU185" s="564">
        <f>$F185*IF(ISNA(VLOOKUP($B185&amp;"; "&amp;$G$155&amp;", "&amp;G$166,'FE Déchets'!$G:$U,15,FALSE)),0,VLOOKUP($B185&amp;"; "&amp;$G$155&amp;", "&amp;G$166,'FE Déchets'!$G:$U,15,FALSE))</f>
        <v>0</v>
      </c>
      <c r="AV185" s="565"/>
      <c r="AW185" s="565"/>
      <c r="AX185" s="568"/>
      <c r="AZ185" s="1065">
        <f>IF($R185&lt;&gt;"votre valeur :",IF(ISNA(VLOOKUP($R185,Utilitaires!$N$566:$O$571,2,FALSE)),,VLOOKUP($R185,Utilitaires!$N$566:$O$571,2,FALSE)),$S185)</f>
        <v>0</v>
      </c>
      <c r="BA185" s="1130">
        <f t="shared" si="91"/>
        <v>0.3</v>
      </c>
    </row>
    <row r="186" spans="2:53" hidden="1" outlineLevel="2">
      <c r="B186" s="387" t="s">
        <v>1981</v>
      </c>
      <c r="C186" s="385"/>
      <c r="D186" s="388">
        <f>H186</f>
        <v>0</v>
      </c>
      <c r="E186" s="388"/>
      <c r="F186" s="395"/>
      <c r="G186" s="219">
        <f>VLOOKUP($B186,'FE Hors Energie'!$E$95:$U$124,11,FALSE)</f>
        <v>23500</v>
      </c>
      <c r="H186" s="152">
        <f>F186*G186*1000</f>
        <v>0</v>
      </c>
      <c r="Q186" s="226">
        <f>IF(X186=0,X186,X186/H186)</f>
        <v>0</v>
      </c>
      <c r="R186" s="1094"/>
      <c r="S186" s="820"/>
      <c r="T186" s="164"/>
      <c r="U186" s="164"/>
      <c r="V186" s="164"/>
      <c r="W186" s="164"/>
      <c r="X186" s="152">
        <f>H186*BA186</f>
        <v>0</v>
      </c>
      <c r="Y186" s="114"/>
      <c r="Z186" s="114"/>
      <c r="AA186" s="564"/>
      <c r="AB186" s="565"/>
      <c r="AC186" s="565"/>
      <c r="AD186" s="565"/>
      <c r="AE186" s="565"/>
      <c r="AF186" s="565"/>
      <c r="AG186" s="565"/>
      <c r="AH186" s="565"/>
      <c r="AI186" s="565"/>
      <c r="AJ186" s="565"/>
      <c r="AK186" s="565"/>
      <c r="AL186" s="565"/>
      <c r="AM186" s="565">
        <f>X186</f>
        <v>0</v>
      </c>
      <c r="AN186" s="565"/>
      <c r="AO186" s="565"/>
      <c r="AP186" s="565"/>
      <c r="AQ186" s="566">
        <f t="shared" si="90"/>
        <v>0</v>
      </c>
      <c r="AR186" s="566"/>
      <c r="AS186" s="566"/>
      <c r="AT186" s="566"/>
      <c r="AU186" s="564">
        <f>$F186*IF(ISNA(VLOOKUP($B186&amp;"; "&amp;$G$155&amp;", "&amp;G$166,'FE Déchets'!$G:$U,15,FALSE)),0,VLOOKUP($B186&amp;"; "&amp;$G$155&amp;", "&amp;G$166,'FE Déchets'!$G:$U,15,FALSE))</f>
        <v>0</v>
      </c>
      <c r="AV186" s="565"/>
      <c r="AW186" s="565"/>
      <c r="AX186" s="568"/>
      <c r="AZ186" s="1065">
        <f>IF($R186&lt;&gt;"votre valeur :",IF(ISNA(VLOOKUP($R186,Utilitaires!$N$566:$O$571,2,FALSE)),,VLOOKUP($R186,Utilitaires!$N$566:$O$571,2,FALSE)),$S186)</f>
        <v>0</v>
      </c>
      <c r="BA186" s="1130">
        <f t="shared" si="91"/>
        <v>0.3</v>
      </c>
    </row>
    <row r="187" spans="2:53" hidden="1" outlineLevel="2">
      <c r="B187" s="143"/>
      <c r="C187" s="144"/>
      <c r="D187" s="213"/>
      <c r="E187" s="213"/>
      <c r="F187" s="144"/>
      <c r="G187" s="144"/>
      <c r="H187" s="168"/>
      <c r="Q187" s="154"/>
      <c r="R187" s="155"/>
      <c r="S187" s="169"/>
      <c r="T187" s="169"/>
      <c r="U187" s="169"/>
      <c r="V187" s="169"/>
      <c r="W187" s="169"/>
      <c r="X187" s="357"/>
      <c r="Y187" s="114"/>
      <c r="Z187" s="114"/>
      <c r="AA187" s="564"/>
      <c r="AB187" s="565"/>
      <c r="AC187" s="565"/>
      <c r="AD187" s="565"/>
      <c r="AE187" s="565"/>
      <c r="AF187" s="565"/>
      <c r="AG187" s="565"/>
      <c r="AH187" s="565"/>
      <c r="AI187" s="565"/>
      <c r="AJ187" s="565"/>
      <c r="AK187" s="565"/>
      <c r="AL187" s="565"/>
      <c r="AM187" s="565"/>
      <c r="AN187" s="565"/>
      <c r="AO187" s="565"/>
      <c r="AP187" s="565"/>
      <c r="AQ187" s="566"/>
      <c r="AR187" s="566"/>
      <c r="AS187" s="566"/>
      <c r="AT187" s="566"/>
      <c r="AU187" s="1411"/>
      <c r="AV187" s="1313"/>
      <c r="AW187" s="625"/>
      <c r="AX187" s="570"/>
      <c r="AZ187" s="1087"/>
      <c r="BA187" s="1131"/>
    </row>
    <row r="188" spans="2:53" hidden="1" outlineLevel="1">
      <c r="B188" s="196" t="s">
        <v>348</v>
      </c>
      <c r="C188" s="197"/>
      <c r="D188" s="214">
        <f>SUM(D179:D187)</f>
        <v>0</v>
      </c>
      <c r="E188" s="214"/>
      <c r="F188" s="197"/>
      <c r="G188" s="197"/>
      <c r="H188" s="200">
        <f>SUM(H179:H187)</f>
        <v>0</v>
      </c>
      <c r="Q188" s="1204">
        <f>IF(X188=0,X188,X188/H188)</f>
        <v>0</v>
      </c>
      <c r="R188" s="350"/>
      <c r="S188" s="1417"/>
      <c r="T188" s="1417"/>
      <c r="U188" s="1417"/>
      <c r="V188" s="1417"/>
      <c r="W188" s="1417"/>
      <c r="X188" s="1418">
        <f>SQRT(SUMSQ(X179:X187))</f>
        <v>0</v>
      </c>
      <c r="Y188" s="114"/>
      <c r="Z188" s="114"/>
      <c r="AA188" s="1290">
        <f t="shared" ref="AA188:AS188" si="92">SUM(AA179:AA187)</f>
        <v>0</v>
      </c>
      <c r="AB188" s="573">
        <f t="shared" si="92"/>
        <v>0</v>
      </c>
      <c r="AC188" s="573">
        <f t="shared" si="92"/>
        <v>0</v>
      </c>
      <c r="AD188" s="573">
        <f t="shared" si="92"/>
        <v>0</v>
      </c>
      <c r="AE188" s="573">
        <f t="shared" si="92"/>
        <v>0</v>
      </c>
      <c r="AF188" s="573">
        <f t="shared" si="92"/>
        <v>0</v>
      </c>
      <c r="AG188" s="573">
        <f t="shared" si="92"/>
        <v>0</v>
      </c>
      <c r="AH188" s="573">
        <f t="shared" si="92"/>
        <v>0</v>
      </c>
      <c r="AI188" s="573">
        <f t="shared" si="92"/>
        <v>0</v>
      </c>
      <c r="AJ188" s="573">
        <f t="shared" si="92"/>
        <v>0</v>
      </c>
      <c r="AK188" s="573">
        <f t="shared" si="92"/>
        <v>0</v>
      </c>
      <c r="AL188" s="573">
        <f t="shared" si="92"/>
        <v>0</v>
      </c>
      <c r="AM188" s="573">
        <f t="shared" si="92"/>
        <v>0</v>
      </c>
      <c r="AN188" s="573">
        <f t="shared" si="92"/>
        <v>0</v>
      </c>
      <c r="AO188" s="573">
        <f t="shared" si="92"/>
        <v>0</v>
      </c>
      <c r="AP188" s="573">
        <f t="shared" si="92"/>
        <v>0</v>
      </c>
      <c r="AQ188" s="573">
        <f t="shared" si="92"/>
        <v>0</v>
      </c>
      <c r="AR188" s="573">
        <f t="shared" si="92"/>
        <v>0</v>
      </c>
      <c r="AS188" s="573">
        <f t="shared" si="92"/>
        <v>0</v>
      </c>
      <c r="AT188" s="574">
        <f>SUM(AT179:AT187)</f>
        <v>0</v>
      </c>
      <c r="AU188" s="572">
        <f>SUM(AU179:AU187)</f>
        <v>0</v>
      </c>
      <c r="AV188" s="572">
        <f>SUM(AV179:AV187)</f>
        <v>0</v>
      </c>
      <c r="AW188" s="572">
        <f>SUM(AW179:AW187)</f>
        <v>0</v>
      </c>
      <c r="AX188" s="575">
        <f>SUM(AX179:AX187)</f>
        <v>0</v>
      </c>
    </row>
    <row r="189" spans="2:53" ht="12.75" hidden="1" customHeight="1" outlineLevel="1">
      <c r="B189" s="260"/>
      <c r="C189" s="260"/>
      <c r="D189" s="260"/>
      <c r="E189" s="260"/>
      <c r="F189" s="260"/>
      <c r="G189" s="260"/>
      <c r="H189" s="260"/>
      <c r="Q189" s="254"/>
      <c r="X189" s="114"/>
      <c r="Y189" s="114"/>
      <c r="Z189" s="114"/>
      <c r="AP189" s="441"/>
      <c r="AQ189" s="441"/>
      <c r="AR189" s="441"/>
    </row>
    <row r="190" spans="2:53" ht="12.75" hidden="1" customHeight="1" outlineLevel="1">
      <c r="B190" s="139" t="s">
        <v>2521</v>
      </c>
      <c r="C190" s="140"/>
      <c r="D190" s="336"/>
      <c r="E190" s="1648"/>
      <c r="F190" s="160"/>
      <c r="G190" s="160"/>
      <c r="H190" s="161"/>
      <c r="Q190" s="2636" t="s">
        <v>366</v>
      </c>
      <c r="R190" s="2637"/>
      <c r="S190" s="2637"/>
      <c r="T190" s="2637"/>
      <c r="U190" s="2637"/>
      <c r="V190" s="2637"/>
      <c r="W190" s="2637"/>
      <c r="X190" s="2638"/>
      <c r="Y190" s="114"/>
      <c r="Z190" s="114"/>
      <c r="AA190" s="2639" t="s">
        <v>441</v>
      </c>
      <c r="AB190" s="2640"/>
      <c r="AC190" s="2640"/>
      <c r="AD190" s="2640"/>
      <c r="AE190" s="2640"/>
      <c r="AF190" s="2640"/>
      <c r="AG190" s="2640"/>
      <c r="AH190" s="2640"/>
      <c r="AI190" s="2640"/>
      <c r="AJ190" s="2640"/>
      <c r="AK190" s="2640"/>
      <c r="AL190" s="2640"/>
      <c r="AM190" s="2640"/>
      <c r="AN190" s="2640"/>
      <c r="AO190" s="2640"/>
      <c r="AP190" s="2640"/>
      <c r="AQ190" s="2640"/>
      <c r="AR190" s="2640"/>
      <c r="AS190" s="2640"/>
      <c r="AT190" s="2640"/>
      <c r="AU190" s="2640"/>
      <c r="AV190" s="2640"/>
      <c r="AW190" s="2640"/>
      <c r="AX190" s="2641"/>
    </row>
    <row r="191" spans="2:53" ht="12" hidden="1" customHeight="1" outlineLevel="2">
      <c r="B191" s="332"/>
      <c r="C191" s="167"/>
      <c r="D191" s="338" t="s">
        <v>308</v>
      </c>
      <c r="E191" s="1663"/>
      <c r="F191" s="337"/>
      <c r="G191" s="337"/>
      <c r="H191" s="355"/>
      <c r="Q191" s="1170"/>
      <c r="R191" s="1407"/>
      <c r="S191" s="1407"/>
      <c r="T191" s="1378"/>
      <c r="U191" s="1378"/>
      <c r="V191" s="1378"/>
      <c r="W191" s="1378"/>
      <c r="X191" s="142"/>
      <c r="Y191" s="114"/>
      <c r="Z191" s="114"/>
      <c r="AA191" s="564"/>
      <c r="AB191" s="565"/>
      <c r="AC191" s="565"/>
      <c r="AD191" s="565"/>
      <c r="AE191" s="565"/>
      <c r="AF191" s="565"/>
      <c r="AG191" s="565"/>
      <c r="AH191" s="565"/>
      <c r="AI191" s="565"/>
      <c r="AJ191" s="565"/>
      <c r="AK191" s="565"/>
      <c r="AL191" s="565"/>
      <c r="AM191" s="565"/>
      <c r="AN191" s="565"/>
      <c r="AO191" s="565"/>
      <c r="AP191" s="565"/>
      <c r="AQ191" s="585"/>
      <c r="AR191" s="585"/>
      <c r="AS191" s="565"/>
      <c r="AT191" s="568"/>
      <c r="AU191" s="564"/>
      <c r="AV191" s="565"/>
      <c r="AW191" s="565"/>
      <c r="AX191" s="568"/>
      <c r="AZ191" s="1404" t="s">
        <v>530</v>
      </c>
      <c r="BA191" s="1408" t="s">
        <v>658</v>
      </c>
    </row>
    <row r="192" spans="2:53" ht="12.75" hidden="1" customHeight="1" outlineLevel="2">
      <c r="B192" s="352"/>
      <c r="C192" s="337"/>
      <c r="D192" s="337" t="s">
        <v>409</v>
      </c>
      <c r="E192" s="1656"/>
      <c r="F192" s="147" t="s">
        <v>199</v>
      </c>
      <c r="G192" s="337" t="s">
        <v>444</v>
      </c>
      <c r="H192" s="369" t="s">
        <v>444</v>
      </c>
      <c r="Q192" s="1376" t="s">
        <v>316</v>
      </c>
      <c r="R192" s="2629" t="s">
        <v>316</v>
      </c>
      <c r="S192" s="2630"/>
      <c r="T192" s="1377"/>
      <c r="U192" s="1377"/>
      <c r="V192" s="1377"/>
      <c r="W192" s="1377"/>
      <c r="X192" s="1403" t="s">
        <v>444</v>
      </c>
      <c r="Y192" s="114"/>
      <c r="Z192" s="114"/>
      <c r="AA192" s="1350" t="s">
        <v>444</v>
      </c>
      <c r="AB192" s="1351"/>
      <c r="AC192" s="1351"/>
      <c r="AD192" s="565"/>
      <c r="AE192" s="1351"/>
      <c r="AF192" s="1351"/>
      <c r="AG192" s="1351"/>
      <c r="AH192" s="565"/>
      <c r="AI192" s="1351"/>
      <c r="AJ192" s="1351"/>
      <c r="AK192" s="1351"/>
      <c r="AL192" s="565"/>
      <c r="AM192" s="1351"/>
      <c r="AN192" s="1351"/>
      <c r="AO192" s="1351"/>
      <c r="AP192" s="565"/>
      <c r="AQ192" s="1380" t="s">
        <v>444</v>
      </c>
      <c r="AR192" s="565"/>
      <c r="AS192" s="565"/>
      <c r="AT192" s="1374"/>
      <c r="AU192" s="564"/>
      <c r="AV192" s="1379" t="s">
        <v>636</v>
      </c>
      <c r="AW192" s="565"/>
      <c r="AX192" s="568"/>
      <c r="AZ192" s="1065"/>
      <c r="BA192" s="1130"/>
    </row>
    <row r="193" spans="1:56" ht="12.75" hidden="1" customHeight="1" outlineLevel="2">
      <c r="B193" s="352"/>
      <c r="C193" s="337"/>
      <c r="D193" s="337" t="s">
        <v>444</v>
      </c>
      <c r="E193" s="1656"/>
      <c r="F193" s="149" t="s">
        <v>94</v>
      </c>
      <c r="G193" s="337" t="s">
        <v>357</v>
      </c>
      <c r="H193" s="369"/>
      <c r="Q193" s="1376" t="s">
        <v>1649</v>
      </c>
      <c r="R193" s="2646" t="s">
        <v>1650</v>
      </c>
      <c r="S193" s="2647"/>
      <c r="T193" s="1401"/>
      <c r="U193" s="1401"/>
      <c r="V193" s="1401"/>
      <c r="W193" s="1401"/>
      <c r="X193" s="1403"/>
      <c r="Y193" s="114"/>
      <c r="Z193" s="114"/>
      <c r="AA193" s="1353" t="s">
        <v>211</v>
      </c>
      <c r="AB193" s="1354"/>
      <c r="AC193" s="1354"/>
      <c r="AD193" s="565"/>
      <c r="AE193" s="1354" t="s">
        <v>442</v>
      </c>
      <c r="AF193" s="1354"/>
      <c r="AG193" s="1354"/>
      <c r="AH193" s="565"/>
      <c r="AI193" s="1354" t="s">
        <v>267</v>
      </c>
      <c r="AJ193" s="1354"/>
      <c r="AK193" s="1354"/>
      <c r="AL193" s="565"/>
      <c r="AM193" s="1354" t="s">
        <v>443</v>
      </c>
      <c r="AN193" s="1354"/>
      <c r="AO193" s="1354"/>
      <c r="AP193" s="565"/>
      <c r="AQ193" s="1395" t="s">
        <v>327</v>
      </c>
      <c r="AR193" s="565"/>
      <c r="AS193" s="565"/>
      <c r="AT193" s="1363"/>
      <c r="AU193" s="1455"/>
      <c r="AV193" s="565"/>
      <c r="AW193" s="565"/>
      <c r="AX193" s="568"/>
      <c r="AZ193" s="1065">
        <f>IF($R193&lt;&gt;"votre valeur :",IF(ISNA(VLOOKUP($R193,Utilitaires!$N$566:$O$571,2,FALSE)),,VLOOKUP($R193,Utilitaires!$N$566:$O$571,2,FALSE)),$S193)</f>
        <v>0</v>
      </c>
      <c r="BA193" s="1130">
        <f>IF(ISNA(SQRT(SUMSQ(0.3,$AZ193))),0,SQRT(SUMSQ(0.3,$AZ193)))</f>
        <v>0.3</v>
      </c>
    </row>
    <row r="194" spans="1:56" hidden="1" outlineLevel="2">
      <c r="B194" s="143" t="s">
        <v>1976</v>
      </c>
      <c r="C194" s="144"/>
      <c r="D194" s="212">
        <f>H194</f>
        <v>0</v>
      </c>
      <c r="E194" s="212"/>
      <c r="F194" s="396"/>
      <c r="G194" s="219">
        <f>VLOOKUP($B194,'FE Hors Energie'!C127:O157,13,FALSE)</f>
        <v>2</v>
      </c>
      <c r="H194" s="152">
        <f>F194*G194*1000</f>
        <v>0</v>
      </c>
      <c r="Q194" s="226">
        <f>IF(X194=0,X194,X194/H194)</f>
        <v>0</v>
      </c>
      <c r="R194" s="1094"/>
      <c r="S194" s="820"/>
      <c r="T194" s="164"/>
      <c r="U194" s="164"/>
      <c r="V194" s="164"/>
      <c r="W194" s="164"/>
      <c r="X194" s="152">
        <f>H194*BA194</f>
        <v>0</v>
      </c>
      <c r="Y194" s="114"/>
      <c r="Z194" s="114"/>
      <c r="AA194" s="564"/>
      <c r="AB194" s="565"/>
      <c r="AC194" s="565"/>
      <c r="AD194" s="565"/>
      <c r="AE194" s="565"/>
      <c r="AF194" s="565"/>
      <c r="AG194" s="565"/>
      <c r="AH194" s="565"/>
      <c r="AI194" s="565"/>
      <c r="AJ194" s="565"/>
      <c r="AK194" s="565"/>
      <c r="AL194" s="565"/>
      <c r="AM194" s="565">
        <f>H194</f>
        <v>0</v>
      </c>
      <c r="AN194" s="565"/>
      <c r="AO194" s="565"/>
      <c r="AP194" s="565"/>
      <c r="AQ194" s="566">
        <f>H194</f>
        <v>0</v>
      </c>
      <c r="AR194" s="566"/>
      <c r="AS194" s="566"/>
      <c r="AT194" s="566"/>
      <c r="AU194" s="564">
        <v>0</v>
      </c>
      <c r="AV194" s="565"/>
      <c r="AW194" s="565"/>
      <c r="AX194" s="568"/>
      <c r="AZ194" s="1065">
        <f>IF($R194&lt;&gt;"votre valeur :",IF(ISNA(VLOOKUP($R194,Utilitaires!$N$566:$O$571,2,FALSE)),,VLOOKUP($R194,Utilitaires!$N$566:$O$571,2,FALSE)),$S194)</f>
        <v>0</v>
      </c>
      <c r="BA194" s="1130">
        <f>IF(ISNA(SQRT(SUMSQ(0.3,$AZ194))),0,SQRT(SUMSQ(0.3,$AZ194)))</f>
        <v>0.3</v>
      </c>
    </row>
    <row r="195" spans="1:56" hidden="1" outlineLevel="2">
      <c r="B195" s="143" t="s">
        <v>1978</v>
      </c>
      <c r="C195" s="144"/>
      <c r="D195" s="212">
        <f>H195</f>
        <v>0</v>
      </c>
      <c r="E195" s="212"/>
      <c r="F195" s="394"/>
      <c r="G195" s="219">
        <f>VLOOKUP($B195,'FE Hors Energie'!C128:O158,13,FALSE)</f>
        <v>160</v>
      </c>
      <c r="H195" s="152">
        <f>F195*G195*1000</f>
        <v>0</v>
      </c>
      <c r="Q195" s="226">
        <f>IF(X195=0,X195,X195/H195)</f>
        <v>0</v>
      </c>
      <c r="R195" s="1094"/>
      <c r="S195" s="820"/>
      <c r="T195" s="164"/>
      <c r="U195" s="164"/>
      <c r="V195" s="164"/>
      <c r="W195" s="164"/>
      <c r="X195" s="152">
        <f>H195*BA195</f>
        <v>0</v>
      </c>
      <c r="Y195" s="114"/>
      <c r="Z195" s="114"/>
      <c r="AA195" s="564"/>
      <c r="AB195" s="565"/>
      <c r="AC195" s="565"/>
      <c r="AD195" s="565"/>
      <c r="AE195" s="565"/>
      <c r="AF195" s="565"/>
      <c r="AG195" s="565"/>
      <c r="AH195" s="565"/>
      <c r="AI195" s="565"/>
      <c r="AJ195" s="565"/>
      <c r="AK195" s="565"/>
      <c r="AL195" s="565"/>
      <c r="AM195" s="565">
        <f>H195</f>
        <v>0</v>
      </c>
      <c r="AN195" s="565"/>
      <c r="AO195" s="565"/>
      <c r="AP195" s="565"/>
      <c r="AQ195" s="566">
        <f>H195</f>
        <v>0</v>
      </c>
      <c r="AR195" s="566"/>
      <c r="AS195" s="566"/>
      <c r="AT195" s="566"/>
      <c r="AU195" s="564">
        <v>0</v>
      </c>
      <c r="AV195" s="565"/>
      <c r="AW195" s="565"/>
      <c r="AX195" s="568"/>
      <c r="AZ195" s="1065">
        <f>IF($R195&lt;&gt;"votre valeur :",IF(ISNA(VLOOKUP($R195,Utilitaires!$N$566:$O$571,2,FALSE)),,VLOOKUP($R195,Utilitaires!$N$566:$O$571,2,FALSE)),$S195)</f>
        <v>0</v>
      </c>
      <c r="BA195" s="1130">
        <f>IF(ISNA(SQRT(SUMSQ(0.3,$AZ195))),0,SQRT(SUMSQ(0.3,$AZ195)))</f>
        <v>0.3</v>
      </c>
    </row>
    <row r="196" spans="1:56" hidden="1" outlineLevel="2">
      <c r="B196" s="143" t="s">
        <v>2374</v>
      </c>
      <c r="C196" s="144"/>
      <c r="D196" s="212">
        <f>H196</f>
        <v>0</v>
      </c>
      <c r="E196" s="212"/>
      <c r="F196" s="395"/>
      <c r="G196" s="219">
        <f>VLOOKUP($B196,'FE Hors Energie'!C129:O159,13,FALSE)</f>
        <v>1730</v>
      </c>
      <c r="H196" s="152">
        <f>F196*G196*1000</f>
        <v>0</v>
      </c>
      <c r="Q196" s="226">
        <f>IF(X196=0,X196,X196/H196)</f>
        <v>0</v>
      </c>
      <c r="R196" s="1094"/>
      <c r="S196" s="820"/>
      <c r="T196" s="164"/>
      <c r="U196" s="164"/>
      <c r="V196" s="164"/>
      <c r="W196" s="164"/>
      <c r="X196" s="152">
        <f>H196*BA196</f>
        <v>0</v>
      </c>
      <c r="Y196" s="114"/>
      <c r="Z196" s="114"/>
      <c r="AA196" s="564"/>
      <c r="AB196" s="565"/>
      <c r="AC196" s="565"/>
      <c r="AD196" s="565"/>
      <c r="AE196" s="565"/>
      <c r="AF196" s="565"/>
      <c r="AG196" s="565"/>
      <c r="AH196" s="565"/>
      <c r="AI196" s="565"/>
      <c r="AJ196" s="565"/>
      <c r="AK196" s="565"/>
      <c r="AL196" s="565"/>
      <c r="AM196" s="565">
        <f>H196</f>
        <v>0</v>
      </c>
      <c r="AN196" s="565"/>
      <c r="AO196" s="565"/>
      <c r="AP196" s="565"/>
      <c r="AQ196" s="566">
        <f>H196</f>
        <v>0</v>
      </c>
      <c r="AR196" s="566"/>
      <c r="AS196" s="566"/>
      <c r="AT196" s="566"/>
      <c r="AU196" s="564">
        <v>0</v>
      </c>
      <c r="AV196" s="565"/>
      <c r="AW196" s="565"/>
      <c r="AX196" s="568"/>
      <c r="AZ196" s="1087"/>
      <c r="BA196" s="1131"/>
    </row>
    <row r="197" spans="1:56" hidden="1" outlineLevel="2">
      <c r="B197" s="143"/>
      <c r="C197" s="144"/>
      <c r="D197" s="213"/>
      <c r="E197" s="213"/>
      <c r="F197" s="144"/>
      <c r="G197" s="144"/>
      <c r="H197" s="168"/>
      <c r="Q197" s="154"/>
      <c r="R197" s="155"/>
      <c r="S197" s="169"/>
      <c r="T197" s="169"/>
      <c r="U197" s="169"/>
      <c r="V197" s="169"/>
      <c r="W197" s="169"/>
      <c r="X197" s="357"/>
      <c r="Y197" s="114"/>
      <c r="Z197" s="114"/>
      <c r="AA197" s="564"/>
      <c r="AB197" s="565"/>
      <c r="AC197" s="565"/>
      <c r="AD197" s="565"/>
      <c r="AE197" s="565"/>
      <c r="AF197" s="565"/>
      <c r="AG197" s="565"/>
      <c r="AH197" s="565"/>
      <c r="AI197" s="565"/>
      <c r="AJ197" s="565"/>
      <c r="AK197" s="565"/>
      <c r="AL197" s="565"/>
      <c r="AM197" s="565"/>
      <c r="AN197" s="565"/>
      <c r="AO197" s="565"/>
      <c r="AP197" s="565"/>
      <c r="AQ197" s="566"/>
      <c r="AR197" s="566"/>
      <c r="AS197" s="566"/>
      <c r="AT197" s="566"/>
      <c r="AU197" s="1411"/>
      <c r="AV197" s="1313"/>
      <c r="AW197" s="625"/>
      <c r="AX197" s="570"/>
    </row>
    <row r="198" spans="1:56" hidden="1" outlineLevel="1">
      <c r="B198" s="196" t="s">
        <v>348</v>
      </c>
      <c r="C198" s="197"/>
      <c r="D198" s="214">
        <f>SUM(D194:D197)</f>
        <v>0</v>
      </c>
      <c r="E198" s="214"/>
      <c r="F198" s="197"/>
      <c r="G198" s="197"/>
      <c r="H198" s="200">
        <f>SUM(H194:H197)</f>
        <v>0</v>
      </c>
      <c r="Q198" s="1204">
        <f>IF(X198=0,X198,X198/H198)</f>
        <v>0</v>
      </c>
      <c r="R198" s="350"/>
      <c r="S198" s="1417"/>
      <c r="T198" s="1417"/>
      <c r="U198" s="1417"/>
      <c r="V198" s="1417"/>
      <c r="W198" s="1417"/>
      <c r="X198" s="1418">
        <f>SQRT(SUMSQ(X189:X197))</f>
        <v>0</v>
      </c>
      <c r="Y198" s="114"/>
      <c r="Z198" s="114"/>
      <c r="AA198" s="1290">
        <f>SUM(AA193:AA197)</f>
        <v>0</v>
      </c>
      <c r="AB198" s="573"/>
      <c r="AC198" s="573"/>
      <c r="AD198" s="573"/>
      <c r="AE198" s="573">
        <f>SUM(AE193:AE197)</f>
        <v>0</v>
      </c>
      <c r="AF198" s="573"/>
      <c r="AG198" s="573"/>
      <c r="AH198" s="573"/>
      <c r="AI198" s="573">
        <f>SUM(AI193:AI197)</f>
        <v>0</v>
      </c>
      <c r="AJ198" s="573"/>
      <c r="AK198" s="573"/>
      <c r="AL198" s="573"/>
      <c r="AM198" s="573">
        <f>SUM(AM193:AM197)</f>
        <v>0</v>
      </c>
      <c r="AN198" s="573"/>
      <c r="AO198" s="573"/>
      <c r="AP198" s="573"/>
      <c r="AQ198" s="573">
        <f>SUM(AQ193:AQ197)</f>
        <v>0</v>
      </c>
      <c r="AR198" s="573"/>
      <c r="AS198" s="573"/>
      <c r="AT198" s="574"/>
      <c r="AU198" s="572">
        <f>SUM(AU193:AU197)</f>
        <v>0</v>
      </c>
      <c r="AV198" s="572"/>
      <c r="AW198" s="572"/>
      <c r="AX198" s="575"/>
    </row>
    <row r="199" spans="1:56" ht="12.9" hidden="1" customHeight="1" outlineLevel="1">
      <c r="B199" s="260"/>
      <c r="C199" s="260"/>
      <c r="D199" s="260"/>
      <c r="E199" s="260"/>
      <c r="F199" s="260"/>
      <c r="G199" s="260"/>
      <c r="H199" s="260"/>
      <c r="J199" s="254"/>
    </row>
    <row r="200" spans="1:56" ht="12.9" customHeight="1"/>
    <row r="201" spans="1:56" s="130" customFormat="1" ht="15.6" collapsed="1">
      <c r="A201" s="114"/>
      <c r="B201" s="2652" t="s">
        <v>310</v>
      </c>
      <c r="C201" s="2653"/>
      <c r="D201" s="2653"/>
      <c r="E201" s="2653"/>
      <c r="F201" s="2653"/>
      <c r="G201" s="2653"/>
      <c r="H201" s="2653"/>
      <c r="I201" s="2653"/>
      <c r="J201" s="2653"/>
      <c r="K201" s="2653"/>
      <c r="L201" s="2653"/>
      <c r="M201" s="2653"/>
      <c r="N201" s="2653"/>
      <c r="O201" s="2654"/>
      <c r="X201" s="441"/>
      <c r="Y201" s="441"/>
      <c r="Z201" s="441"/>
      <c r="AA201" s="441"/>
      <c r="AB201" s="441"/>
      <c r="AC201" s="441"/>
      <c r="AD201" s="441"/>
      <c r="AE201" s="441"/>
      <c r="AF201" s="441"/>
      <c r="AG201" s="441"/>
      <c r="AH201" s="441"/>
      <c r="AI201" s="441"/>
      <c r="AJ201" s="441"/>
      <c r="AK201" s="441"/>
      <c r="AL201" s="441"/>
      <c r="AM201" s="441"/>
      <c r="AN201" s="441"/>
      <c r="AO201" s="441"/>
    </row>
    <row r="202" spans="1:56" ht="12.9" hidden="1" customHeight="1" outlineLevel="1"/>
    <row r="203" spans="1:56" ht="12.75" hidden="1" customHeight="1" outlineLevel="1">
      <c r="B203" s="1091" t="s">
        <v>310</v>
      </c>
      <c r="C203" s="140"/>
      <c r="D203" s="1396"/>
      <c r="E203" s="1648"/>
      <c r="F203" s="1396"/>
      <c r="G203" s="1396"/>
      <c r="H203" s="1396"/>
      <c r="I203" s="1396"/>
      <c r="J203" s="1396"/>
      <c r="K203" s="1396"/>
      <c r="L203" s="1396"/>
      <c r="M203" s="1396"/>
      <c r="N203" s="1412"/>
      <c r="O203" s="1397"/>
      <c r="Q203" s="2636" t="s">
        <v>366</v>
      </c>
      <c r="R203" s="2637"/>
      <c r="S203" s="2637"/>
      <c r="T203" s="2637"/>
      <c r="U203" s="2637"/>
      <c r="V203" s="2637"/>
      <c r="W203" s="2637"/>
      <c r="X203" s="2638"/>
      <c r="Y203" s="114"/>
      <c r="Z203" s="114"/>
      <c r="AA203" s="2639" t="s">
        <v>441</v>
      </c>
      <c r="AB203" s="2640"/>
      <c r="AC203" s="2640"/>
      <c r="AD203" s="2640"/>
      <c r="AE203" s="2640"/>
      <c r="AF203" s="2640"/>
      <c r="AG203" s="2640"/>
      <c r="AH203" s="2640"/>
      <c r="AI203" s="2640"/>
      <c r="AJ203" s="2640"/>
      <c r="AK203" s="2640"/>
      <c r="AL203" s="2640"/>
      <c r="AM203" s="2640"/>
      <c r="AN203" s="2640"/>
      <c r="AO203" s="2640"/>
      <c r="AP203" s="2640"/>
      <c r="AQ203" s="2640"/>
      <c r="AR203" s="2640"/>
      <c r="AS203" s="2640"/>
      <c r="AT203" s="2640"/>
      <c r="AU203" s="2640"/>
      <c r="AV203" s="2640"/>
      <c r="AW203" s="2640"/>
      <c r="AX203" s="2641"/>
    </row>
    <row r="204" spans="1:56" ht="12.75" hidden="1" customHeight="1" outlineLevel="1">
      <c r="B204" s="332"/>
      <c r="C204" s="167"/>
      <c r="D204" s="1402" t="s">
        <v>308</v>
      </c>
      <c r="E204" s="1663"/>
      <c r="F204" s="1402"/>
      <c r="G204" s="1402"/>
      <c r="H204" s="1402"/>
      <c r="I204" s="1402"/>
      <c r="J204" s="1402"/>
      <c r="K204" s="1377"/>
      <c r="L204" s="1377"/>
      <c r="M204" s="1377"/>
      <c r="N204" s="565"/>
      <c r="O204" s="1403"/>
      <c r="Q204" s="1170"/>
      <c r="R204" s="2029"/>
      <c r="S204" s="2029"/>
      <c r="T204" s="2027"/>
      <c r="U204" s="2027"/>
      <c r="V204" s="2027"/>
      <c r="W204" s="2027"/>
      <c r="X204" s="142"/>
      <c r="Y204" s="114"/>
      <c r="Z204" s="114"/>
      <c r="AA204" s="2642" t="s">
        <v>444</v>
      </c>
      <c r="AB204" s="2643"/>
      <c r="AC204" s="2643"/>
      <c r="AD204" s="2643"/>
      <c r="AE204" s="2643"/>
      <c r="AF204" s="2643"/>
      <c r="AG204" s="2643"/>
      <c r="AH204" s="2643"/>
      <c r="AI204" s="2643"/>
      <c r="AJ204" s="2643"/>
      <c r="AK204" s="2643"/>
      <c r="AL204" s="2643"/>
      <c r="AM204" s="2643"/>
      <c r="AN204" s="2643"/>
      <c r="AO204" s="2643"/>
      <c r="AP204" s="2643"/>
      <c r="AQ204" s="2643" t="s">
        <v>444</v>
      </c>
      <c r="AR204" s="2643"/>
      <c r="AS204" s="2643"/>
      <c r="AT204" s="2644"/>
      <c r="AU204" s="1382"/>
      <c r="AV204" s="1381"/>
      <c r="AW204" s="1381"/>
      <c r="AX204" s="1383"/>
      <c r="AZ204" s="2616" t="s">
        <v>1648</v>
      </c>
      <c r="BA204" s="2617"/>
      <c r="BB204" s="2617"/>
      <c r="BC204" s="2617"/>
      <c r="BD204" s="2618"/>
    </row>
    <row r="205" spans="1:56" ht="12.75" hidden="1" customHeight="1" outlineLevel="1">
      <c r="B205" s="1376"/>
      <c r="C205" s="1377"/>
      <c r="D205" s="1377" t="s">
        <v>409</v>
      </c>
      <c r="E205" s="1656"/>
      <c r="F205" s="1399" t="s">
        <v>638</v>
      </c>
      <c r="G205" s="2626" t="s">
        <v>2358</v>
      </c>
      <c r="H205" s="2628"/>
      <c r="I205" s="2628"/>
      <c r="J205" s="2628"/>
      <c r="K205" s="2768" t="s">
        <v>444</v>
      </c>
      <c r="L205" s="2768"/>
      <c r="M205" s="2768"/>
      <c r="N205" s="2768"/>
      <c r="O205" s="1403" t="s">
        <v>444</v>
      </c>
      <c r="Q205" s="2025" t="s">
        <v>316</v>
      </c>
      <c r="R205" s="2629" t="s">
        <v>316</v>
      </c>
      <c r="S205" s="2630"/>
      <c r="T205" s="2026" t="s">
        <v>444</v>
      </c>
      <c r="U205" s="2026" t="s">
        <v>444</v>
      </c>
      <c r="V205" s="2026" t="s">
        <v>444</v>
      </c>
      <c r="W205" s="2026" t="s">
        <v>444</v>
      </c>
      <c r="X205" s="2030" t="s">
        <v>444</v>
      </c>
      <c r="Y205" s="114"/>
      <c r="Z205" s="114"/>
      <c r="AA205" s="2631" t="s">
        <v>211</v>
      </c>
      <c r="AB205" s="2632"/>
      <c r="AC205" s="2632"/>
      <c r="AD205" s="2632"/>
      <c r="AE205" s="2632" t="s">
        <v>442</v>
      </c>
      <c r="AF205" s="2632"/>
      <c r="AG205" s="2632"/>
      <c r="AH205" s="2632"/>
      <c r="AI205" s="2632" t="s">
        <v>267</v>
      </c>
      <c r="AJ205" s="2632"/>
      <c r="AK205" s="2632"/>
      <c r="AL205" s="2632"/>
      <c r="AM205" s="2632" t="s">
        <v>443</v>
      </c>
      <c r="AN205" s="2632"/>
      <c r="AO205" s="2632"/>
      <c r="AP205" s="2632"/>
      <c r="AQ205" s="2648" t="s">
        <v>327</v>
      </c>
      <c r="AR205" s="2648"/>
      <c r="AS205" s="2648"/>
      <c r="AT205" s="2649"/>
      <c r="AU205" s="1410"/>
      <c r="AV205" s="1379" t="s">
        <v>636</v>
      </c>
      <c r="AW205" s="566"/>
      <c r="AX205" s="567"/>
      <c r="AZ205" s="1404" t="s">
        <v>530</v>
      </c>
      <c r="BA205" s="1408" t="s">
        <v>2376</v>
      </c>
      <c r="BB205" s="1408" t="s">
        <v>2377</v>
      </c>
      <c r="BC205" s="2811" t="s">
        <v>2378</v>
      </c>
      <c r="BD205" s="1408" t="s">
        <v>2379</v>
      </c>
    </row>
    <row r="206" spans="1:56" ht="25.5" hidden="1" customHeight="1" outlineLevel="1">
      <c r="B206" s="1376"/>
      <c r="C206" s="1377"/>
      <c r="D206" s="1377" t="s">
        <v>444</v>
      </c>
      <c r="E206" s="1656"/>
      <c r="F206" s="1400" t="s">
        <v>639</v>
      </c>
      <c r="G206" s="1401" t="s">
        <v>62</v>
      </c>
      <c r="H206" s="1401" t="s">
        <v>2377</v>
      </c>
      <c r="I206" s="1762" t="s">
        <v>1764</v>
      </c>
      <c r="J206" s="1401" t="s">
        <v>2379</v>
      </c>
      <c r="K206" s="1384" t="s">
        <v>2376</v>
      </c>
      <c r="L206" s="1384" t="s">
        <v>2377</v>
      </c>
      <c r="M206" s="1763" t="s">
        <v>2378</v>
      </c>
      <c r="N206" s="1384" t="s">
        <v>2379</v>
      </c>
      <c r="O206" s="1403"/>
      <c r="Q206" s="2025" t="s">
        <v>1649</v>
      </c>
      <c r="R206" s="2646" t="s">
        <v>1650</v>
      </c>
      <c r="S206" s="2647"/>
      <c r="T206" s="1662" t="s">
        <v>2376</v>
      </c>
      <c r="U206" s="1662" t="s">
        <v>2377</v>
      </c>
      <c r="V206" s="1265" t="s">
        <v>2378</v>
      </c>
      <c r="W206" s="1662" t="s">
        <v>2379</v>
      </c>
      <c r="X206" s="2030"/>
      <c r="Y206" s="114"/>
      <c r="Z206" s="114"/>
      <c r="AA206" s="227" t="s">
        <v>2376</v>
      </c>
      <c r="AB206" s="1401" t="s">
        <v>2377</v>
      </c>
      <c r="AC206" s="1762" t="s">
        <v>2378</v>
      </c>
      <c r="AD206" s="1401" t="s">
        <v>2379</v>
      </c>
      <c r="AE206" s="1401" t="s">
        <v>2376</v>
      </c>
      <c r="AF206" s="1401" t="s">
        <v>2377</v>
      </c>
      <c r="AG206" s="1762" t="s">
        <v>2378</v>
      </c>
      <c r="AH206" s="1401" t="s">
        <v>2379</v>
      </c>
      <c r="AI206" s="1401" t="s">
        <v>2376</v>
      </c>
      <c r="AJ206" s="1401" t="s">
        <v>2377</v>
      </c>
      <c r="AK206" s="1762" t="s">
        <v>2378</v>
      </c>
      <c r="AL206" s="1401" t="s">
        <v>2379</v>
      </c>
      <c r="AM206" s="1401" t="s">
        <v>2376</v>
      </c>
      <c r="AN206" s="1401" t="s">
        <v>2377</v>
      </c>
      <c r="AO206" s="1762" t="s">
        <v>2378</v>
      </c>
      <c r="AP206" s="1401" t="s">
        <v>2379</v>
      </c>
      <c r="AQ206" s="1384" t="s">
        <v>2376</v>
      </c>
      <c r="AR206" s="1384" t="s">
        <v>2377</v>
      </c>
      <c r="AS206" s="1456" t="s">
        <v>2378</v>
      </c>
      <c r="AT206" s="1384" t="s">
        <v>2379</v>
      </c>
      <c r="AU206" s="227" t="s">
        <v>2376</v>
      </c>
      <c r="AV206" s="1401" t="s">
        <v>2377</v>
      </c>
      <c r="AW206" s="1762" t="s">
        <v>2378</v>
      </c>
      <c r="AX206" s="1171" t="s">
        <v>2379</v>
      </c>
      <c r="AZ206" s="1405"/>
      <c r="BA206" s="1409"/>
      <c r="BB206" s="1409"/>
      <c r="BC206" s="2812"/>
      <c r="BD206" s="1409"/>
    </row>
    <row r="207" spans="1:56" hidden="1" outlineLevel="1">
      <c r="B207" s="389" t="s">
        <v>2375</v>
      </c>
      <c r="C207" s="341"/>
      <c r="D207" s="212">
        <f>O207</f>
        <v>0</v>
      </c>
      <c r="E207" s="212"/>
      <c r="F207" s="1016"/>
      <c r="G207" s="335">
        <f>IF(ISNA(VLOOKUP($B207&amp;"; "&amp;$G$205&amp;", "&amp;G$206,'FE Déchets'!$G:$U,9,FALSE)),0,VLOOKUP($B207&amp;"; "&amp;$G$205&amp;", "&amp;G$206,'FE Déchets'!$G:$U,9,FALSE))</f>
        <v>7.5000000000000011E-2</v>
      </c>
      <c r="H207" s="335">
        <f>IF(ISNA(VLOOKUP($B207&amp;"; "&amp;$G$205&amp;", "&amp;H$206,'FE Déchets'!$G:$U,9,FALSE)),0,VLOOKUP($B207&amp;"; "&amp;$G$205&amp;", "&amp;H$206,'FE Déchets'!$G:$U,9,FALSE))</f>
        <v>3.2000000000000001E-2</v>
      </c>
      <c r="I207" s="335">
        <f>IF(ISNA(VLOOKUP($B207&amp;"; "&amp;$G$205&amp;", "&amp;I$206,'FE Déchets'!$G:$U,9,FALSE)),0,VLOOKUP($B207&amp;"; "&amp;$G$205&amp;", "&amp;I$206,'FE Déchets'!$G:$U,9,FALSE))</f>
        <v>0.10200000000000001</v>
      </c>
      <c r="J207" s="335">
        <f>IF(ISNA(VLOOKUP($B207&amp;"; "&amp;$G$205&amp;", "&amp;J$206,'FE Déchets'!$G:$U,9,FALSE)),0,VLOOKUP($B207&amp;"; "&amp;$G$205&amp;", "&amp;J$206,'FE Déchets'!$G:$U,9,FALSE))</f>
        <v>5.2999999999999999E-2</v>
      </c>
      <c r="K207" s="151">
        <f>$F207*G207</f>
        <v>0</v>
      </c>
      <c r="L207" s="151">
        <f>$F207*H207</f>
        <v>0</v>
      </c>
      <c r="M207" s="151">
        <f>$F207*I207</f>
        <v>0</v>
      </c>
      <c r="N207" s="151">
        <f>$F207*J207</f>
        <v>0</v>
      </c>
      <c r="O207" s="152">
        <f>SUM(K207:N207)</f>
        <v>0</v>
      </c>
      <c r="Q207" s="226">
        <f>IF(X207=0,X207,X207/O207)</f>
        <v>0</v>
      </c>
      <c r="R207" s="1094"/>
      <c r="S207" s="820"/>
      <c r="T207" s="164">
        <f>K207*BA207</f>
        <v>0</v>
      </c>
      <c r="U207" s="164">
        <f>L207*BB207</f>
        <v>0</v>
      </c>
      <c r="V207" s="164">
        <f>M207*BC207</f>
        <v>0</v>
      </c>
      <c r="W207" s="164">
        <f>N207*BD207</f>
        <v>0</v>
      </c>
      <c r="X207" s="152">
        <f>SQRT(SUMSQ(V207,U207,T207,W207))</f>
        <v>0</v>
      </c>
      <c r="Y207" s="114"/>
      <c r="Z207" s="114"/>
      <c r="AA207" s="564">
        <f>K207</f>
        <v>0</v>
      </c>
      <c r="AB207" s="565">
        <f>L207</f>
        <v>0</v>
      </c>
      <c r="AC207" s="565">
        <f>M207</f>
        <v>0</v>
      </c>
      <c r="AD207" s="565">
        <f>N207</f>
        <v>0</v>
      </c>
      <c r="AE207" s="565"/>
      <c r="AF207" s="565"/>
      <c r="AG207" s="565"/>
      <c r="AH207" s="565"/>
      <c r="AI207" s="565"/>
      <c r="AJ207" s="565"/>
      <c r="AK207" s="565"/>
      <c r="AL207" s="565"/>
      <c r="AM207" s="565"/>
      <c r="AN207" s="565"/>
      <c r="AO207" s="565"/>
      <c r="AP207" s="565"/>
      <c r="AQ207" s="566">
        <f>SUM(AA207,AE207,AI207,AM207)</f>
        <v>0</v>
      </c>
      <c r="AR207" s="566">
        <f>SUM(AB207,AF207,AJ207,AN207)</f>
        <v>0</v>
      </c>
      <c r="AS207" s="566">
        <f>SUM(AC207,AG207,AK207,AO207)</f>
        <v>0</v>
      </c>
      <c r="AT207" s="566">
        <f>SUM(AD207,AH207,AL207,AP207)</f>
        <v>0</v>
      </c>
      <c r="AU207" s="564">
        <f>$F207*IF(ISNA(VLOOKUP($B207&amp;"; "&amp;$G$155&amp;", "&amp;G$166,'FE Déchets'!$G:$U,15,FALSE)),0,VLOOKUP($B207&amp;"; "&amp;$G$155&amp;", "&amp;G$166,'FE Déchets'!$G:$U,15,FALSE))</f>
        <v>0</v>
      </c>
      <c r="AV207" s="565">
        <f>$F207*IF(ISNA(VLOOKUP($B207&amp;"; "&amp;$G$155&amp;", "&amp;H$166,'FE Déchets'!$G:$U,15,FALSE)),0,VLOOKUP($B207&amp;"; "&amp;$G$155&amp;", "&amp;H$166,'FE Déchets'!$G:$U,15,FALSE))</f>
        <v>0</v>
      </c>
      <c r="AW207" s="565">
        <f>$F207*IF(ISNA(VLOOKUP($B207&amp;"; "&amp;$G$155&amp;", "&amp;I$166,'FE Déchets'!$G:$U,15,FALSE)),0,VLOOKUP($B207&amp;"; "&amp;$G$155&amp;", "&amp;I$166,'FE Déchets'!$G:$U,15,FALSE))</f>
        <v>0</v>
      </c>
      <c r="AX207" s="568">
        <f>$F207*IF(ISNA(VLOOKUP($B207&amp;"; "&amp;$G$155&amp;", "&amp;J$166,'FE Déchets'!$G:$U,15,FALSE)),0,VLOOKUP($B207&amp;"; "&amp;$G$155&amp;", "&amp;J$166,'FE Déchets'!$G:$U,15,FALSE))</f>
        <v>0</v>
      </c>
      <c r="AZ207" s="1065">
        <f>IF($R207&lt;&gt;"votre valeur :",IF(ISNA(VLOOKUP($R207,Utilitaires!$N$566:$O$571,2,FALSE)),,VLOOKUP($R207,Utilitaires!$N$566:$O$571,2,FALSE)),$S207)</f>
        <v>0</v>
      </c>
      <c r="BA207" s="1124">
        <f>IF(ISNA(SQRT(SUMSQ(VLOOKUP($B207&amp;"; "&amp;$G$205&amp;", "&amp;G$206,'FE Déchets'!$G:$U,7,FALSE),$AZ207))),0,SQRT(SUMSQ(VLOOKUP($B207&amp;"; "&amp;$G$205&amp;", "&amp;G$206,'FE Déchets'!$G:$U,7,FALSE),$AZ207)))</f>
        <v>0.2</v>
      </c>
      <c r="BB207" s="1124">
        <f>IF(ISNA(SQRT(SUMSQ(VLOOKUP($B207&amp;"; "&amp;$G$205&amp;", "&amp;H$206,'FE Déchets'!$G:$U,7,FALSE),$AZ207))),0,SQRT(SUMSQ(VLOOKUP($B207&amp;"; "&amp;$G$205&amp;", "&amp;H$206,'FE Déchets'!$G:$U,7,FALSE),$AZ207)))</f>
        <v>0.2</v>
      </c>
      <c r="BC207" s="1124">
        <f>IF(ISNA(SQRT(SUMSQ(VLOOKUP($B207&amp;"; "&amp;$G$205&amp;", "&amp;I$206,'FE Déchets'!$G:$U,7,FALSE),$AZ207))),0,SQRT(SUMSQ(VLOOKUP($B207&amp;"; "&amp;$G$205&amp;", "&amp;I$206,'FE Déchets'!$G:$U,7,FALSE),$AZ207)))</f>
        <v>0.2</v>
      </c>
      <c r="BD207" s="1130">
        <f>IF(ISNA(SQRT(SUMSQ(VLOOKUP($B207&amp;"; "&amp;$G$205&amp;", "&amp;J$206,'FE Déchets'!$G:$U,7,FALSE),$AZ207))),0,SQRT(SUMSQ(VLOOKUP($B207&amp;"; "&amp;$G$205&amp;", "&amp;J$206,'FE Déchets'!$G:$U,7,FALSE),$AZ207)))</f>
        <v>0.2</v>
      </c>
    </row>
    <row r="208" spans="1:56" hidden="1" outlineLevel="1">
      <c r="B208" s="389"/>
      <c r="C208" s="341"/>
      <c r="D208" s="212"/>
      <c r="E208" s="212"/>
      <c r="F208" s="212"/>
      <c r="G208" s="335"/>
      <c r="H208" s="335"/>
      <c r="I208" s="335"/>
      <c r="J208" s="335"/>
      <c r="K208" s="151"/>
      <c r="L208" s="151"/>
      <c r="M208" s="151"/>
      <c r="N208" s="151"/>
      <c r="O208" s="152"/>
      <c r="Q208" s="226"/>
      <c r="R208" s="342"/>
      <c r="S208" s="342"/>
      <c r="T208" s="342"/>
      <c r="U208" s="342"/>
      <c r="V208" s="342"/>
      <c r="W208" s="342"/>
      <c r="X208" s="152"/>
      <c r="Y208" s="114"/>
      <c r="Z208" s="114"/>
      <c r="AA208" s="564"/>
      <c r="AB208" s="565"/>
      <c r="AC208" s="565"/>
      <c r="AD208" s="565"/>
      <c r="AE208" s="565"/>
      <c r="AF208" s="565"/>
      <c r="AG208" s="565"/>
      <c r="AH208" s="565"/>
      <c r="AI208" s="565"/>
      <c r="AJ208" s="565"/>
      <c r="AK208" s="565"/>
      <c r="AL208" s="565"/>
      <c r="AM208" s="565"/>
      <c r="AN208" s="565"/>
      <c r="AO208" s="565"/>
      <c r="AP208" s="565"/>
      <c r="AQ208" s="566"/>
      <c r="AR208" s="566"/>
      <c r="AS208" s="566"/>
      <c r="AT208" s="566"/>
      <c r="AU208" s="564"/>
      <c r="AV208" s="565"/>
      <c r="AW208" s="565"/>
      <c r="AX208" s="568"/>
      <c r="AZ208" s="2028"/>
      <c r="BA208" s="1124"/>
      <c r="BB208" s="1124"/>
      <c r="BC208" s="1124"/>
      <c r="BD208" s="1130"/>
    </row>
    <row r="209" spans="2:56" hidden="1" outlineLevel="1">
      <c r="B209" s="389"/>
      <c r="C209" s="341"/>
      <c r="D209" s="212"/>
      <c r="E209" s="212"/>
      <c r="F209" s="212"/>
      <c r="G209" s="335"/>
      <c r="H209" s="335"/>
      <c r="I209" s="335"/>
      <c r="J209" s="335"/>
      <c r="K209" s="151"/>
      <c r="L209" s="151"/>
      <c r="M209" s="151"/>
      <c r="N209" s="151"/>
      <c r="O209" s="152"/>
      <c r="Q209" s="226"/>
      <c r="R209" s="342"/>
      <c r="S209" s="342"/>
      <c r="T209" s="342"/>
      <c r="U209" s="342"/>
      <c r="V209" s="342"/>
      <c r="W209" s="342"/>
      <c r="X209" s="152"/>
      <c r="Y209" s="114"/>
      <c r="Z209" s="114"/>
      <c r="AA209" s="564"/>
      <c r="AB209" s="565"/>
      <c r="AC209" s="565"/>
      <c r="AD209" s="565"/>
      <c r="AE209" s="565"/>
      <c r="AF209" s="565"/>
      <c r="AG209" s="565"/>
      <c r="AH209" s="565"/>
      <c r="AI209" s="565"/>
      <c r="AJ209" s="565"/>
      <c r="AK209" s="565"/>
      <c r="AL209" s="565"/>
      <c r="AM209" s="565"/>
      <c r="AN209" s="565"/>
      <c r="AO209" s="565"/>
      <c r="AP209" s="565"/>
      <c r="AQ209" s="566"/>
      <c r="AR209" s="566"/>
      <c r="AS209" s="566"/>
      <c r="AT209" s="566"/>
      <c r="AU209" s="564"/>
      <c r="AV209" s="565"/>
      <c r="AW209" s="565"/>
      <c r="AX209" s="568"/>
      <c r="AZ209" s="2028"/>
      <c r="BA209" s="1124"/>
      <c r="BB209" s="1124"/>
      <c r="BC209" s="1124"/>
      <c r="BD209" s="1130"/>
    </row>
    <row r="210" spans="2:56" hidden="1" outlineLevel="1">
      <c r="B210" s="143"/>
      <c r="C210" s="144"/>
      <c r="D210" s="219"/>
      <c r="E210" s="219"/>
      <c r="F210" s="164"/>
      <c r="G210" s="326"/>
      <c r="H210" s="326"/>
      <c r="I210" s="326"/>
      <c r="J210" s="326"/>
      <c r="K210" s="151"/>
      <c r="L210" s="151"/>
      <c r="M210" s="151"/>
      <c r="N210" s="354"/>
      <c r="O210" s="152"/>
      <c r="Q210" s="1284"/>
      <c r="R210" s="155"/>
      <c r="S210" s="155"/>
      <c r="T210" s="169"/>
      <c r="U210" s="169"/>
      <c r="V210" s="169"/>
      <c r="W210" s="169"/>
      <c r="X210" s="367"/>
      <c r="Y210" s="114"/>
      <c r="Z210" s="114"/>
      <c r="AA210" s="569"/>
      <c r="AB210" s="625"/>
      <c r="AC210" s="625"/>
      <c r="AD210" s="625"/>
      <c r="AE210" s="625"/>
      <c r="AF210" s="625"/>
      <c r="AG210" s="625"/>
      <c r="AH210" s="625"/>
      <c r="AI210" s="625"/>
      <c r="AJ210" s="625"/>
      <c r="AK210" s="625"/>
      <c r="AL210" s="625"/>
      <c r="AM210" s="625"/>
      <c r="AN210" s="625"/>
      <c r="AO210" s="625"/>
      <c r="AP210" s="625"/>
      <c r="AQ210" s="1313"/>
      <c r="AR210" s="1313"/>
      <c r="AS210" s="1313"/>
      <c r="AT210" s="1313"/>
      <c r="AU210" s="1411"/>
      <c r="AV210" s="1313"/>
      <c r="AW210" s="625"/>
      <c r="AX210" s="570"/>
      <c r="AZ210" s="1087"/>
      <c r="BA210" s="1075"/>
      <c r="BB210" s="1131"/>
      <c r="BC210" s="1131"/>
      <c r="BD210" s="1131"/>
    </row>
    <row r="211" spans="2:56" hidden="1" outlineLevel="1">
      <c r="B211" s="1264" t="s">
        <v>348</v>
      </c>
      <c r="C211" s="197"/>
      <c r="D211" s="214">
        <f>SUM(D207:D210)</f>
        <v>0</v>
      </c>
      <c r="E211" s="214"/>
      <c r="F211" s="203"/>
      <c r="G211" s="203"/>
      <c r="H211" s="202"/>
      <c r="I211" s="203"/>
      <c r="J211" s="203"/>
      <c r="K211" s="202">
        <f>SUM(K207:K210)</f>
        <v>0</v>
      </c>
      <c r="L211" s="202">
        <f>SUM(L207:L210)</f>
        <v>0</v>
      </c>
      <c r="M211" s="202">
        <f>SUM(M207:M210)</f>
        <v>0</v>
      </c>
      <c r="N211" s="202">
        <f>SUM(N207:N210)</f>
        <v>0</v>
      </c>
      <c r="O211" s="200">
        <f>SUM(O207:O210)</f>
        <v>0</v>
      </c>
      <c r="Q211" s="1204">
        <f>IF(X211=0,X211,X211/O211)</f>
        <v>0</v>
      </c>
      <c r="R211" s="199"/>
      <c r="S211" s="199"/>
      <c r="T211" s="204">
        <f>SUM(T207:T210)</f>
        <v>0</v>
      </c>
      <c r="U211" s="204">
        <f>SUM(U207:U210)</f>
        <v>0</v>
      </c>
      <c r="V211" s="204">
        <f>SUM(V207:V210)</f>
        <v>0</v>
      </c>
      <c r="W211" s="204"/>
      <c r="X211" s="200">
        <f>SQRT(SUMSQ(X207:X210))</f>
        <v>0</v>
      </c>
      <c r="Y211" s="114"/>
      <c r="Z211" s="114"/>
      <c r="AA211" s="1308">
        <f t="shared" ref="AA211:AX211" si="93">SUM(AA207:AA210)</f>
        <v>0</v>
      </c>
      <c r="AB211" s="1309">
        <f t="shared" si="93"/>
        <v>0</v>
      </c>
      <c r="AC211" s="1309">
        <f t="shared" si="93"/>
        <v>0</v>
      </c>
      <c r="AD211" s="1309">
        <f t="shared" si="93"/>
        <v>0</v>
      </c>
      <c r="AE211" s="1309">
        <f t="shared" si="93"/>
        <v>0</v>
      </c>
      <c r="AF211" s="1309">
        <f t="shared" si="93"/>
        <v>0</v>
      </c>
      <c r="AG211" s="1309">
        <f t="shared" si="93"/>
        <v>0</v>
      </c>
      <c r="AH211" s="1309">
        <f t="shared" si="93"/>
        <v>0</v>
      </c>
      <c r="AI211" s="1309">
        <f t="shared" si="93"/>
        <v>0</v>
      </c>
      <c r="AJ211" s="1309">
        <f t="shared" si="93"/>
        <v>0</v>
      </c>
      <c r="AK211" s="1309">
        <f t="shared" si="93"/>
        <v>0</v>
      </c>
      <c r="AL211" s="1309">
        <f t="shared" si="93"/>
        <v>0</v>
      </c>
      <c r="AM211" s="1309">
        <f t="shared" si="93"/>
        <v>0</v>
      </c>
      <c r="AN211" s="1309">
        <f t="shared" si="93"/>
        <v>0</v>
      </c>
      <c r="AO211" s="1309">
        <f t="shared" si="93"/>
        <v>0</v>
      </c>
      <c r="AP211" s="1309">
        <f t="shared" si="93"/>
        <v>0</v>
      </c>
      <c r="AQ211" s="1312">
        <f t="shared" si="93"/>
        <v>0</v>
      </c>
      <c r="AR211" s="1312">
        <f t="shared" si="93"/>
        <v>0</v>
      </c>
      <c r="AS211" s="1312">
        <f t="shared" si="93"/>
        <v>0</v>
      </c>
      <c r="AT211" s="1312">
        <f t="shared" si="93"/>
        <v>0</v>
      </c>
      <c r="AU211" s="1082">
        <f t="shared" si="93"/>
        <v>0</v>
      </c>
      <c r="AV211" s="572">
        <f t="shared" si="93"/>
        <v>0</v>
      </c>
      <c r="AW211" s="572">
        <f t="shared" si="93"/>
        <v>0</v>
      </c>
      <c r="AX211" s="575">
        <f t="shared" si="93"/>
        <v>0</v>
      </c>
    </row>
    <row r="212" spans="2:56" ht="12.9" hidden="1" customHeight="1" outlineLevel="1"/>
    <row r="213" spans="2:56" ht="12.9" customHeight="1"/>
    <row r="214" spans="2:56" ht="12.9" customHeight="1"/>
    <row r="215" spans="2:56" ht="12.9" customHeight="1"/>
    <row r="216" spans="2:56" s="130" customFormat="1" ht="20.100000000000001" customHeight="1">
      <c r="B216" s="2664" t="s">
        <v>518</v>
      </c>
      <c r="C216" s="2665"/>
      <c r="D216" s="2665"/>
      <c r="E216" s="2665"/>
      <c r="F216" s="2665"/>
      <c r="G216" s="2665"/>
      <c r="H216" s="2665"/>
      <c r="I216" s="2665"/>
      <c r="J216" s="2665"/>
      <c r="K216" s="2665"/>
      <c r="L216" s="2665"/>
      <c r="M216" s="2665"/>
      <c r="N216" s="2665"/>
      <c r="O216" s="2666"/>
      <c r="X216" s="441"/>
      <c r="Y216" s="441"/>
      <c r="Z216" s="441"/>
      <c r="AA216" s="441"/>
      <c r="AB216" s="441"/>
      <c r="AC216" s="441"/>
      <c r="AD216" s="441"/>
      <c r="AE216" s="441"/>
      <c r="AF216" s="441"/>
      <c r="AG216" s="441"/>
      <c r="AH216" s="441"/>
      <c r="AI216" s="441"/>
      <c r="AJ216" s="441"/>
      <c r="AK216" s="441"/>
      <c r="AL216" s="441"/>
      <c r="AM216" s="441"/>
      <c r="AN216" s="441"/>
      <c r="AO216" s="441"/>
    </row>
    <row r="217" spans="2:56"/>
    <row r="218" spans="2:56" ht="12.75" customHeight="1">
      <c r="B218" s="1390" t="str">
        <f>Descriptif!C32</f>
        <v>Déchets directs</v>
      </c>
      <c r="C218" s="1391"/>
      <c r="D218" s="2671" t="s">
        <v>409</v>
      </c>
      <c r="E218" s="2672"/>
      <c r="F218" s="2673"/>
      <c r="G218" s="129"/>
      <c r="H218" s="2671" t="s">
        <v>159</v>
      </c>
      <c r="I218" s="2673"/>
      <c r="J218" s="170"/>
      <c r="K218" s="2674" t="s">
        <v>499</v>
      </c>
      <c r="L218" s="2675"/>
      <c r="M218" s="2675"/>
      <c r="N218" s="2676"/>
      <c r="R218" s="441"/>
      <c r="S218" s="441"/>
      <c r="T218" s="441"/>
      <c r="U218" s="441"/>
      <c r="V218" s="441"/>
      <c r="W218" s="441"/>
      <c r="AJ218" s="114"/>
      <c r="AK218" s="114"/>
      <c r="AL218" s="114"/>
      <c r="AM218" s="114"/>
      <c r="AN218" s="114"/>
      <c r="AO218" s="114"/>
    </row>
    <row r="219" spans="2:56" ht="12.75" customHeight="1">
      <c r="B219" s="1392"/>
      <c r="C219" s="1393"/>
      <c r="D219" s="1385" t="s">
        <v>444</v>
      </c>
      <c r="E219" s="1398" t="s">
        <v>500</v>
      </c>
      <c r="F219" s="1385" t="s">
        <v>524</v>
      </c>
      <c r="G219" s="129"/>
      <c r="H219" s="1385" t="s">
        <v>444</v>
      </c>
      <c r="I219" s="1385" t="s">
        <v>355</v>
      </c>
      <c r="J219" s="170"/>
      <c r="K219" s="1389" t="s">
        <v>43</v>
      </c>
      <c r="L219" s="1389" t="s">
        <v>522</v>
      </c>
      <c r="M219" s="1389" t="s">
        <v>522</v>
      </c>
      <c r="N219" s="1389" t="s">
        <v>523</v>
      </c>
      <c r="R219" s="441"/>
      <c r="S219" s="441"/>
      <c r="T219" s="441"/>
      <c r="U219" s="441"/>
      <c r="V219" s="441"/>
      <c r="W219" s="441"/>
      <c r="AJ219" s="114"/>
      <c r="AK219" s="114"/>
      <c r="AL219" s="114"/>
      <c r="AM219" s="114"/>
      <c r="AN219" s="114"/>
      <c r="AO219" s="114"/>
    </row>
    <row r="220" spans="2:56" s="91" customFormat="1">
      <c r="B220" s="1654" t="s">
        <v>5012</v>
      </c>
      <c r="C220" s="1386"/>
      <c r="D220" s="183">
        <f>D47</f>
        <v>39170</v>
      </c>
      <c r="E220" s="184">
        <f t="shared" ref="E220:E228" si="94">D220/1000</f>
        <v>39.17</v>
      </c>
      <c r="F220" s="185">
        <f t="shared" ref="F220:F229" si="95">IF($D$229=0,"",D220/$D$229)</f>
        <v>1</v>
      </c>
      <c r="G220" s="128"/>
      <c r="H220" s="136">
        <f>X47</f>
        <v>5911.8223180335863</v>
      </c>
      <c r="I220" s="185">
        <f>IF(D220=0,"",H220/D220)</f>
        <v>0.15092729941367339</v>
      </c>
      <c r="J220" s="170"/>
      <c r="K220" s="187">
        <f t="shared" ref="K220:K225" si="96">(D220-H220)/1000</f>
        <v>33.258177681966416</v>
      </c>
      <c r="L220" s="187">
        <f t="shared" ref="L220:L225" si="97">E220</f>
        <v>39.17</v>
      </c>
      <c r="M220" s="187">
        <f t="shared" ref="M220:M225" si="98">E220</f>
        <v>39.17</v>
      </c>
      <c r="N220" s="187">
        <f t="shared" ref="N220:N225" si="99">(D220+H220)/1000</f>
        <v>45.081822318033588</v>
      </c>
      <c r="R220" s="595"/>
      <c r="S220" s="595"/>
      <c r="T220" s="595"/>
      <c r="U220" s="595"/>
      <c r="V220" s="595"/>
      <c r="W220" s="595"/>
      <c r="X220" s="595"/>
      <c r="Y220" s="595"/>
      <c r="Z220" s="595"/>
      <c r="AA220" s="595"/>
      <c r="AB220" s="595"/>
      <c r="AC220" s="595"/>
      <c r="AD220" s="595"/>
      <c r="AE220" s="595"/>
      <c r="AF220" s="595"/>
      <c r="AG220" s="595"/>
      <c r="AH220" s="595"/>
      <c r="AI220" s="595"/>
    </row>
    <row r="221" spans="2:56" s="91" customFormat="1">
      <c r="B221" s="2120" t="s">
        <v>5013</v>
      </c>
      <c r="C221" s="2115"/>
      <c r="D221" s="183">
        <f>D64</f>
        <v>0</v>
      </c>
      <c r="E221" s="184">
        <f>D221/1000</f>
        <v>0</v>
      </c>
      <c r="F221" s="185">
        <f t="shared" si="95"/>
        <v>0</v>
      </c>
      <c r="G221" s="128"/>
      <c r="H221" s="1173">
        <f>X64</f>
        <v>0</v>
      </c>
      <c r="I221" s="185" t="str">
        <f t="shared" ref="I221:I228" si="100">IF(D221=0,"",H221/D221)</f>
        <v/>
      </c>
      <c r="J221" s="170"/>
      <c r="K221" s="187">
        <f t="shared" si="96"/>
        <v>0</v>
      </c>
      <c r="L221" s="187">
        <f t="shared" si="97"/>
        <v>0</v>
      </c>
      <c r="M221" s="187">
        <f t="shared" si="98"/>
        <v>0</v>
      </c>
      <c r="N221" s="187">
        <f t="shared" si="99"/>
        <v>0</v>
      </c>
      <c r="R221" s="595"/>
      <c r="S221" s="595"/>
      <c r="T221" s="595"/>
      <c r="U221" s="595"/>
      <c r="V221" s="595"/>
      <c r="W221" s="595"/>
      <c r="X221" s="595"/>
      <c r="Y221" s="595"/>
      <c r="Z221" s="595"/>
      <c r="AA221" s="595"/>
      <c r="AB221" s="595"/>
      <c r="AC221" s="595"/>
      <c r="AD221" s="595"/>
      <c r="AE221" s="595"/>
      <c r="AF221" s="595"/>
      <c r="AG221" s="595"/>
      <c r="AH221" s="595"/>
      <c r="AI221" s="595"/>
    </row>
    <row r="222" spans="2:56" s="91" customFormat="1">
      <c r="B222" s="1654" t="s">
        <v>4978</v>
      </c>
      <c r="C222" s="1386"/>
      <c r="D222" s="183">
        <f>D79</f>
        <v>0</v>
      </c>
      <c r="E222" s="184">
        <f t="shared" si="94"/>
        <v>0</v>
      </c>
      <c r="F222" s="185">
        <f t="shared" si="95"/>
        <v>0</v>
      </c>
      <c r="G222" s="128"/>
      <c r="H222" s="136">
        <f>X79</f>
        <v>0</v>
      </c>
      <c r="I222" s="185" t="str">
        <f t="shared" si="100"/>
        <v/>
      </c>
      <c r="J222" s="170"/>
      <c r="K222" s="187">
        <f t="shared" si="96"/>
        <v>0</v>
      </c>
      <c r="L222" s="187">
        <f t="shared" si="97"/>
        <v>0</v>
      </c>
      <c r="M222" s="187">
        <f t="shared" si="98"/>
        <v>0</v>
      </c>
      <c r="N222" s="187">
        <f t="shared" si="99"/>
        <v>0</v>
      </c>
      <c r="R222" s="595"/>
      <c r="S222" s="595"/>
      <c r="T222" s="595"/>
      <c r="U222" s="595"/>
      <c r="V222" s="595"/>
      <c r="W222" s="595"/>
      <c r="X222" s="595"/>
      <c r="Y222" s="595"/>
      <c r="Z222" s="595"/>
      <c r="AA222" s="595"/>
      <c r="AB222" s="595"/>
      <c r="AC222" s="595"/>
      <c r="AD222" s="595"/>
      <c r="AE222" s="595"/>
      <c r="AF222" s="595"/>
      <c r="AG222" s="595"/>
      <c r="AH222" s="595"/>
      <c r="AI222" s="595"/>
    </row>
    <row r="223" spans="2:56" s="91" customFormat="1">
      <c r="B223" s="1654" t="s">
        <v>5014</v>
      </c>
      <c r="C223" s="1386"/>
      <c r="D223" s="183">
        <f>D94</f>
        <v>0</v>
      </c>
      <c r="E223" s="184">
        <f t="shared" si="94"/>
        <v>0</v>
      </c>
      <c r="F223" s="185">
        <f t="shared" si="95"/>
        <v>0</v>
      </c>
      <c r="G223" s="128"/>
      <c r="H223" s="136">
        <f>X94</f>
        <v>0</v>
      </c>
      <c r="I223" s="185" t="str">
        <f t="shared" si="100"/>
        <v/>
      </c>
      <c r="J223" s="170"/>
      <c r="K223" s="187">
        <f t="shared" si="96"/>
        <v>0</v>
      </c>
      <c r="L223" s="187">
        <f t="shared" si="97"/>
        <v>0</v>
      </c>
      <c r="M223" s="187">
        <f t="shared" si="98"/>
        <v>0</v>
      </c>
      <c r="N223" s="187">
        <f t="shared" si="99"/>
        <v>0</v>
      </c>
      <c r="R223" s="595"/>
      <c r="S223" s="595"/>
      <c r="T223" s="595"/>
      <c r="U223" s="595"/>
      <c r="V223" s="595"/>
      <c r="W223" s="595"/>
      <c r="X223" s="595"/>
      <c r="Y223" s="595"/>
      <c r="Z223" s="595"/>
      <c r="AA223" s="595"/>
      <c r="AB223" s="595"/>
      <c r="AC223" s="595"/>
      <c r="AD223" s="595"/>
      <c r="AE223" s="595"/>
      <c r="AF223" s="595"/>
      <c r="AG223" s="595"/>
      <c r="AH223" s="595"/>
      <c r="AI223" s="595"/>
    </row>
    <row r="224" spans="2:56" s="91" customFormat="1">
      <c r="B224" s="1654" t="s">
        <v>49</v>
      </c>
      <c r="C224" s="1386"/>
      <c r="D224" s="183">
        <f>D121</f>
        <v>0</v>
      </c>
      <c r="E224" s="184">
        <f t="shared" si="94"/>
        <v>0</v>
      </c>
      <c r="F224" s="185">
        <f t="shared" si="95"/>
        <v>0</v>
      </c>
      <c r="G224" s="128"/>
      <c r="H224" s="136">
        <f>X121</f>
        <v>0</v>
      </c>
      <c r="I224" s="185" t="str">
        <f t="shared" si="100"/>
        <v/>
      </c>
      <c r="J224" s="170"/>
      <c r="K224" s="187">
        <f t="shared" si="96"/>
        <v>0</v>
      </c>
      <c r="L224" s="187">
        <f t="shared" si="97"/>
        <v>0</v>
      </c>
      <c r="M224" s="187">
        <f t="shared" si="98"/>
        <v>0</v>
      </c>
      <c r="N224" s="187">
        <f t="shared" si="99"/>
        <v>0</v>
      </c>
      <c r="R224" s="595"/>
      <c r="S224" s="595"/>
      <c r="T224" s="595"/>
      <c r="U224" s="595"/>
      <c r="V224" s="595"/>
      <c r="W224" s="595"/>
      <c r="X224" s="595"/>
      <c r="Y224" s="595"/>
      <c r="Z224" s="595"/>
      <c r="AA224" s="595"/>
      <c r="AB224" s="595"/>
      <c r="AC224" s="595"/>
      <c r="AD224" s="595"/>
      <c r="AE224" s="595"/>
      <c r="AF224" s="595"/>
      <c r="AG224" s="595"/>
      <c r="AH224" s="595"/>
      <c r="AI224" s="595"/>
    </row>
    <row r="225" spans="2:41" s="91" customFormat="1">
      <c r="B225" s="1654" t="s">
        <v>5126</v>
      </c>
      <c r="C225" s="1386"/>
      <c r="D225" s="183">
        <f>D132+D141+D150</f>
        <v>0</v>
      </c>
      <c r="E225" s="184">
        <f t="shared" si="94"/>
        <v>0</v>
      </c>
      <c r="F225" s="185">
        <f t="shared" si="95"/>
        <v>0</v>
      </c>
      <c r="G225" s="128"/>
      <c r="H225" s="136">
        <f>SQRT(SUMSQ(X132+X141+X150))</f>
        <v>0</v>
      </c>
      <c r="I225" s="185" t="str">
        <f t="shared" si="100"/>
        <v/>
      </c>
      <c r="J225" s="170"/>
      <c r="K225" s="187">
        <f t="shared" si="96"/>
        <v>0</v>
      </c>
      <c r="L225" s="187">
        <f t="shared" si="97"/>
        <v>0</v>
      </c>
      <c r="M225" s="187">
        <f t="shared" si="98"/>
        <v>0</v>
      </c>
      <c r="N225" s="187">
        <f t="shared" si="99"/>
        <v>0</v>
      </c>
      <c r="R225" s="595"/>
      <c r="S225" s="595"/>
      <c r="T225" s="595"/>
      <c r="U225" s="595"/>
      <c r="V225" s="595"/>
      <c r="W225" s="595"/>
      <c r="X225" s="595"/>
      <c r="Y225" s="595"/>
      <c r="Z225" s="595"/>
      <c r="AA225" s="595"/>
      <c r="AB225" s="595"/>
      <c r="AC225" s="595"/>
      <c r="AD225" s="595"/>
      <c r="AE225" s="595"/>
      <c r="AF225" s="595"/>
      <c r="AG225" s="595"/>
      <c r="AH225" s="595"/>
      <c r="AI225" s="595"/>
    </row>
    <row r="226" spans="2:41" s="91" customFormat="1">
      <c r="B226" s="2391" t="s">
        <v>3296</v>
      </c>
      <c r="C226" s="2392"/>
      <c r="D226" s="183">
        <f>D173</f>
        <v>0</v>
      </c>
      <c r="E226" s="184">
        <f t="shared" ref="E226" si="101">D226/1000</f>
        <v>0</v>
      </c>
      <c r="F226" s="185">
        <f t="shared" si="95"/>
        <v>0</v>
      </c>
      <c r="G226" s="128"/>
      <c r="H226" s="1173">
        <f>X173</f>
        <v>0</v>
      </c>
      <c r="I226" s="185" t="str">
        <f t="shared" si="100"/>
        <v/>
      </c>
      <c r="J226" s="170"/>
      <c r="K226" s="187">
        <f t="shared" ref="K226:K228" si="102">(D226-H226)/1000</f>
        <v>0</v>
      </c>
      <c r="L226" s="187">
        <f t="shared" ref="L226:L228" si="103">E226</f>
        <v>0</v>
      </c>
      <c r="M226" s="187">
        <f t="shared" ref="M226:M228" si="104">E226</f>
        <v>0</v>
      </c>
      <c r="N226" s="187">
        <f t="shared" ref="N226:N228" si="105">(D226+H226)/1000</f>
        <v>0</v>
      </c>
      <c r="R226" s="595"/>
      <c r="S226" s="595"/>
      <c r="T226" s="595"/>
      <c r="U226" s="595"/>
      <c r="V226" s="595"/>
      <c r="W226" s="595"/>
      <c r="X226" s="595"/>
      <c r="Y226" s="595"/>
      <c r="Z226" s="595"/>
      <c r="AA226" s="595"/>
      <c r="AB226" s="595"/>
      <c r="AC226" s="595"/>
      <c r="AD226" s="595"/>
      <c r="AE226" s="595"/>
      <c r="AF226" s="595"/>
      <c r="AG226" s="595"/>
      <c r="AH226" s="595"/>
      <c r="AI226" s="595"/>
    </row>
    <row r="227" spans="2:41" s="91" customFormat="1">
      <c r="B227" s="1172" t="s">
        <v>2350</v>
      </c>
      <c r="C227" s="1386"/>
      <c r="D227" s="183">
        <f>D188+D198</f>
        <v>0</v>
      </c>
      <c r="E227" s="184">
        <f t="shared" si="94"/>
        <v>0</v>
      </c>
      <c r="F227" s="185">
        <f t="shared" si="95"/>
        <v>0</v>
      </c>
      <c r="G227" s="128"/>
      <c r="H227" s="1173">
        <f>SQRT(SUMSQ(X188,X198))</f>
        <v>0</v>
      </c>
      <c r="I227" s="185" t="str">
        <f t="shared" si="100"/>
        <v/>
      </c>
      <c r="J227" s="170"/>
      <c r="K227" s="187">
        <f t="shared" si="102"/>
        <v>0</v>
      </c>
      <c r="L227" s="187">
        <f t="shared" si="103"/>
        <v>0</v>
      </c>
      <c r="M227" s="187">
        <f t="shared" si="104"/>
        <v>0</v>
      </c>
      <c r="N227" s="187">
        <f t="shared" si="105"/>
        <v>0</v>
      </c>
      <c r="R227" s="595"/>
      <c r="S227" s="595"/>
      <c r="T227" s="595"/>
      <c r="U227" s="595"/>
      <c r="V227" s="595"/>
      <c r="W227" s="595"/>
      <c r="X227" s="595"/>
      <c r="Y227" s="595"/>
      <c r="Z227" s="595"/>
      <c r="AA227" s="595"/>
      <c r="AB227" s="595"/>
      <c r="AC227" s="595"/>
      <c r="AD227" s="595"/>
      <c r="AE227" s="595"/>
      <c r="AF227" s="595"/>
      <c r="AG227" s="595"/>
      <c r="AH227" s="595"/>
      <c r="AI227" s="595"/>
    </row>
    <row r="228" spans="2:41" s="91" customFormat="1">
      <c r="B228" s="1654" t="s">
        <v>310</v>
      </c>
      <c r="C228" s="1386"/>
      <c r="D228" s="183">
        <f>D211</f>
        <v>0</v>
      </c>
      <c r="E228" s="184">
        <f t="shared" si="94"/>
        <v>0</v>
      </c>
      <c r="F228" s="185">
        <f t="shared" si="95"/>
        <v>0</v>
      </c>
      <c r="G228" s="128"/>
      <c r="H228" s="136">
        <f>X211</f>
        <v>0</v>
      </c>
      <c r="I228" s="185" t="str">
        <f t="shared" si="100"/>
        <v/>
      </c>
      <c r="J228" s="170"/>
      <c r="K228" s="187">
        <f t="shared" si="102"/>
        <v>0</v>
      </c>
      <c r="L228" s="187">
        <f t="shared" si="103"/>
        <v>0</v>
      </c>
      <c r="M228" s="187">
        <f t="shared" si="104"/>
        <v>0</v>
      </c>
      <c r="N228" s="187">
        <f t="shared" si="105"/>
        <v>0</v>
      </c>
      <c r="R228" s="595"/>
      <c r="S228" s="595"/>
      <c r="T228" s="595"/>
      <c r="U228" s="595"/>
      <c r="V228" s="595"/>
      <c r="W228" s="595"/>
      <c r="X228" s="595"/>
      <c r="Y228" s="595"/>
      <c r="Z228" s="595"/>
      <c r="AA228" s="595"/>
      <c r="AB228" s="595"/>
      <c r="AC228" s="595"/>
      <c r="AD228" s="595"/>
      <c r="AE228" s="595"/>
      <c r="AF228" s="595"/>
      <c r="AG228" s="595"/>
      <c r="AH228" s="595"/>
      <c r="AI228" s="595"/>
    </row>
    <row r="229" spans="2:41" s="98" customFormat="1" ht="15">
      <c r="B229" s="1387" t="s">
        <v>348</v>
      </c>
      <c r="C229" s="1388"/>
      <c r="D229" s="188">
        <f>SUM(D220:D228)</f>
        <v>39170</v>
      </c>
      <c r="E229" s="189">
        <f>SUM(E220:E228)</f>
        <v>39.17</v>
      </c>
      <c r="F229" s="190">
        <f t="shared" si="95"/>
        <v>1</v>
      </c>
      <c r="G229" s="191"/>
      <c r="H229" s="188">
        <f>SQRT(SUMSQ(H220:H228))</f>
        <v>5911.8223180335863</v>
      </c>
      <c r="I229" s="190">
        <f>IF(D229=0,"",H229/D229)</f>
        <v>0.15092729941367339</v>
      </c>
      <c r="J229" s="192"/>
      <c r="K229" s="187">
        <f>(D229-H229)/1000</f>
        <v>33.258177681966416</v>
      </c>
      <c r="L229" s="187">
        <f>E229</f>
        <v>39.17</v>
      </c>
      <c r="M229" s="187">
        <f>E229</f>
        <v>39.17</v>
      </c>
      <c r="N229" s="187">
        <f>(D229+H229)/1000</f>
        <v>45.081822318033588</v>
      </c>
      <c r="R229" s="617"/>
      <c r="S229" s="617"/>
      <c r="T229" s="617"/>
      <c r="U229" s="617"/>
      <c r="V229" s="617"/>
      <c r="W229" s="617"/>
      <c r="X229" s="617"/>
      <c r="Y229" s="617"/>
      <c r="Z229" s="617"/>
      <c r="AA229" s="617"/>
      <c r="AB229" s="617"/>
      <c r="AC229" s="617"/>
      <c r="AD229" s="617"/>
      <c r="AE229" s="617"/>
      <c r="AF229" s="617"/>
      <c r="AG229" s="617"/>
      <c r="AH229" s="617"/>
      <c r="AI229" s="617"/>
    </row>
    <row r="230" spans="2:41"/>
    <row r="231" spans="2:41" s="130" customFormat="1" ht="15.6" collapsed="1">
      <c r="B231" s="2677" t="s">
        <v>519</v>
      </c>
      <c r="C231" s="2678"/>
      <c r="D231" s="2678"/>
      <c r="E231" s="2678"/>
      <c r="F231" s="2678"/>
      <c r="G231" s="2678"/>
      <c r="H231" s="2678"/>
      <c r="I231" s="2678"/>
      <c r="J231" s="2678"/>
      <c r="K231" s="2678"/>
      <c r="L231" s="2678"/>
      <c r="M231" s="2678"/>
      <c r="N231" s="2678"/>
      <c r="O231" s="2679"/>
      <c r="X231" s="441"/>
      <c r="Y231" s="441"/>
      <c r="Z231" s="441"/>
      <c r="AA231" s="441"/>
      <c r="AB231" s="441"/>
      <c r="AC231" s="441"/>
      <c r="AD231" s="441"/>
      <c r="AE231" s="441"/>
      <c r="AF231" s="441"/>
      <c r="AG231" s="441"/>
      <c r="AH231" s="441"/>
      <c r="AI231" s="441"/>
      <c r="AJ231" s="441"/>
      <c r="AK231" s="441"/>
      <c r="AL231" s="441"/>
      <c r="AM231" s="441"/>
      <c r="AN231" s="441"/>
      <c r="AO231" s="441"/>
    </row>
    <row r="232" spans="2:41" hidden="1" outlineLevel="1"/>
    <row r="233" spans="2:41" ht="12.75" hidden="1" customHeight="1" outlineLevel="1">
      <c r="B233" s="2667" t="str">
        <f>B218</f>
        <v>Déchets directs</v>
      </c>
      <c r="C233" s="2668"/>
      <c r="D233" s="2671" t="s">
        <v>409</v>
      </c>
      <c r="E233" s="2672"/>
      <c r="F233" s="2673"/>
      <c r="G233" s="170"/>
      <c r="H233" s="2671" t="s">
        <v>159</v>
      </c>
      <c r="I233" s="2673"/>
      <c r="J233" s="170"/>
      <c r="S233" s="441"/>
      <c r="T233" s="441"/>
      <c r="U233" s="441"/>
      <c r="V233" s="441"/>
      <c r="W233" s="441"/>
      <c r="AK233" s="114"/>
      <c r="AL233" s="114"/>
      <c r="AM233" s="114"/>
      <c r="AN233" s="114"/>
      <c r="AO233" s="114"/>
    </row>
    <row r="234" spans="2:41" ht="12.75" hidden="1" customHeight="1" outlineLevel="1">
      <c r="B234" s="2669"/>
      <c r="C234" s="2670"/>
      <c r="D234" s="171" t="s">
        <v>444</v>
      </c>
      <c r="E234" s="171" t="s">
        <v>500</v>
      </c>
      <c r="F234" s="171" t="s">
        <v>524</v>
      </c>
      <c r="G234" s="176"/>
      <c r="H234" s="1385" t="s">
        <v>444</v>
      </c>
      <c r="I234" s="1385" t="s">
        <v>355</v>
      </c>
      <c r="J234" s="170"/>
      <c r="S234" s="441"/>
      <c r="T234" s="441"/>
      <c r="U234" s="441"/>
      <c r="V234" s="441"/>
      <c r="W234" s="441"/>
      <c r="AK234" s="114"/>
      <c r="AL234" s="114"/>
      <c r="AM234" s="114"/>
      <c r="AN234" s="114"/>
      <c r="AO234" s="114"/>
    </row>
    <row r="235" spans="2:41" ht="12.75" hidden="1" customHeight="1" outlineLevel="1">
      <c r="B235" s="1654" t="s">
        <v>5012</v>
      </c>
      <c r="C235" s="1386"/>
      <c r="D235" s="183">
        <f>D47</f>
        <v>39170</v>
      </c>
      <c r="E235" s="184">
        <f t="shared" ref="E235:E243" si="106">D235/1000</f>
        <v>39.17</v>
      </c>
      <c r="F235" s="185">
        <f t="shared" ref="F235:F240" si="107">IF($D$244=0,"",D235/$D$244)</f>
        <v>1</v>
      </c>
      <c r="G235" s="128"/>
      <c r="H235" s="136">
        <f>X47</f>
        <v>5911.8223180335863</v>
      </c>
      <c r="I235" s="185">
        <f>IF(D235=0,"",H235/D235)</f>
        <v>0.15092729941367339</v>
      </c>
      <c r="J235" s="170"/>
      <c r="K235" s="170"/>
      <c r="S235" s="441"/>
      <c r="T235" s="441"/>
      <c r="U235" s="441"/>
      <c r="V235" s="441"/>
      <c r="W235" s="441"/>
      <c r="AK235" s="114"/>
      <c r="AL235" s="114"/>
      <c r="AM235" s="114"/>
      <c r="AN235" s="114"/>
      <c r="AO235" s="114"/>
    </row>
    <row r="236" spans="2:41" ht="12.75" hidden="1" customHeight="1" outlineLevel="1">
      <c r="B236" s="2120" t="s">
        <v>5013</v>
      </c>
      <c r="C236" s="2115"/>
      <c r="D236" s="183">
        <f>D64</f>
        <v>0</v>
      </c>
      <c r="E236" s="184">
        <f t="shared" si="106"/>
        <v>0</v>
      </c>
      <c r="F236" s="185">
        <f t="shared" si="107"/>
        <v>0</v>
      </c>
      <c r="G236" s="128"/>
      <c r="H236" s="1173">
        <f>X64</f>
        <v>0</v>
      </c>
      <c r="I236" s="185" t="str">
        <f>IF(D236=0,"",H236/D236)</f>
        <v/>
      </c>
      <c r="J236" s="170"/>
      <c r="K236" s="170"/>
      <c r="S236" s="441"/>
      <c r="T236" s="441"/>
      <c r="U236" s="441"/>
      <c r="V236" s="441"/>
      <c r="W236" s="441"/>
      <c r="AK236" s="114"/>
      <c r="AL236" s="114"/>
      <c r="AM236" s="114"/>
      <c r="AN236" s="114"/>
      <c r="AO236" s="114"/>
    </row>
    <row r="237" spans="2:41" ht="12.75" hidden="1" customHeight="1" outlineLevel="1">
      <c r="B237" s="1654" t="s">
        <v>4978</v>
      </c>
      <c r="C237" s="1386"/>
      <c r="D237" s="183">
        <f>D79</f>
        <v>0</v>
      </c>
      <c r="E237" s="184">
        <f t="shared" si="106"/>
        <v>0</v>
      </c>
      <c r="F237" s="185">
        <f t="shared" si="107"/>
        <v>0</v>
      </c>
      <c r="G237" s="128"/>
      <c r="H237" s="136">
        <f>X79</f>
        <v>0</v>
      </c>
      <c r="I237" s="185" t="str">
        <f t="shared" ref="I237:I243" si="108">IF(D237=0,"",H237/D237)</f>
        <v/>
      </c>
      <c r="J237" s="170"/>
      <c r="K237" s="170"/>
      <c r="S237" s="441"/>
      <c r="T237" s="441"/>
      <c r="U237" s="441"/>
      <c r="V237" s="441"/>
      <c r="W237" s="441"/>
      <c r="AK237" s="114"/>
      <c r="AL237" s="114"/>
      <c r="AM237" s="114"/>
      <c r="AN237" s="114"/>
      <c r="AO237" s="114"/>
    </row>
    <row r="238" spans="2:41" ht="12.75" hidden="1" customHeight="1" outlineLevel="1">
      <c r="B238" s="1654" t="s">
        <v>5014</v>
      </c>
      <c r="C238" s="1386"/>
      <c r="D238" s="183">
        <f>D94</f>
        <v>0</v>
      </c>
      <c r="E238" s="184">
        <f t="shared" si="106"/>
        <v>0</v>
      </c>
      <c r="F238" s="185">
        <f t="shared" si="107"/>
        <v>0</v>
      </c>
      <c r="G238" s="128"/>
      <c r="H238" s="136">
        <f>X94</f>
        <v>0</v>
      </c>
      <c r="I238" s="185" t="str">
        <f t="shared" si="108"/>
        <v/>
      </c>
      <c r="J238" s="170"/>
      <c r="K238" s="170"/>
      <c r="S238" s="441"/>
      <c r="T238" s="441"/>
      <c r="U238" s="441"/>
      <c r="V238" s="441"/>
      <c r="W238" s="441"/>
      <c r="AK238" s="114"/>
      <c r="AL238" s="114"/>
      <c r="AM238" s="114"/>
      <c r="AN238" s="114"/>
      <c r="AO238" s="114"/>
    </row>
    <row r="239" spans="2:41" ht="12.75" hidden="1" customHeight="1" outlineLevel="1">
      <c r="B239" s="1654" t="s">
        <v>49</v>
      </c>
      <c r="C239" s="1386"/>
      <c r="D239" s="183">
        <f>D121</f>
        <v>0</v>
      </c>
      <c r="E239" s="184">
        <f t="shared" si="106"/>
        <v>0</v>
      </c>
      <c r="F239" s="185">
        <f t="shared" si="107"/>
        <v>0</v>
      </c>
      <c r="G239" s="128"/>
      <c r="H239" s="136">
        <f>X121</f>
        <v>0</v>
      </c>
      <c r="I239" s="185" t="str">
        <f t="shared" si="108"/>
        <v/>
      </c>
      <c r="J239" s="170"/>
      <c r="K239" s="170"/>
      <c r="S239" s="441"/>
      <c r="T239" s="441"/>
      <c r="U239" s="441"/>
      <c r="V239" s="441"/>
      <c r="W239" s="441"/>
      <c r="AK239" s="114"/>
      <c r="AL239" s="114"/>
      <c r="AM239" s="114"/>
      <c r="AN239" s="114"/>
      <c r="AO239" s="114"/>
    </row>
    <row r="240" spans="2:41" ht="12.75" hidden="1" customHeight="1" outlineLevel="1">
      <c r="B240" s="1654" t="s">
        <v>5126</v>
      </c>
      <c r="C240" s="1386"/>
      <c r="D240" s="183">
        <f>D132+D141+D150</f>
        <v>0</v>
      </c>
      <c r="E240" s="184">
        <f t="shared" si="106"/>
        <v>0</v>
      </c>
      <c r="F240" s="185">
        <f t="shared" si="107"/>
        <v>0</v>
      </c>
      <c r="G240" s="128"/>
      <c r="H240" s="136">
        <f>SQRT(SUMSQ(X132,X141,X150))</f>
        <v>0</v>
      </c>
      <c r="I240" s="185" t="str">
        <f t="shared" si="108"/>
        <v/>
      </c>
      <c r="J240" s="170"/>
      <c r="K240" s="170"/>
      <c r="S240" s="441"/>
      <c r="T240" s="441"/>
      <c r="U240" s="441"/>
      <c r="V240" s="441"/>
      <c r="W240" s="441"/>
      <c r="AK240" s="114"/>
      <c r="AL240" s="114"/>
      <c r="AM240" s="114"/>
      <c r="AN240" s="114"/>
      <c r="AO240" s="114"/>
    </row>
    <row r="241" spans="2:41" ht="12.75" hidden="1" customHeight="1" outlineLevel="1">
      <c r="B241" s="1654" t="s">
        <v>3296</v>
      </c>
      <c r="C241" s="2392"/>
      <c r="D241" s="183">
        <f>D173</f>
        <v>0</v>
      </c>
      <c r="E241" s="184">
        <f t="shared" si="106"/>
        <v>0</v>
      </c>
      <c r="F241" s="2403"/>
      <c r="G241" s="128"/>
      <c r="H241" s="1173">
        <f>X173</f>
        <v>0</v>
      </c>
      <c r="I241" s="2403"/>
      <c r="J241" s="170"/>
      <c r="K241" s="170"/>
      <c r="S241" s="441"/>
      <c r="T241" s="441"/>
      <c r="U241" s="441"/>
      <c r="V241" s="441"/>
      <c r="W241" s="441"/>
      <c r="AK241" s="114"/>
      <c r="AL241" s="114"/>
      <c r="AM241" s="114"/>
      <c r="AN241" s="114"/>
      <c r="AO241" s="114"/>
    </row>
    <row r="242" spans="2:41" ht="12.75" hidden="1" customHeight="1" outlineLevel="1">
      <c r="B242" s="1172" t="s">
        <v>2350</v>
      </c>
      <c r="C242" s="1386"/>
      <c r="D242" s="183">
        <f>D188+D198</f>
        <v>0</v>
      </c>
      <c r="E242" s="184">
        <f t="shared" si="106"/>
        <v>0</v>
      </c>
      <c r="F242" s="185">
        <f>IF($D$244=0,"",D242/$D$244)</f>
        <v>0</v>
      </c>
      <c r="G242" s="128"/>
      <c r="H242" s="1173">
        <f>SQRT(SUMSQ(X188,X198))</f>
        <v>0</v>
      </c>
      <c r="I242" s="185" t="str">
        <f t="shared" si="108"/>
        <v/>
      </c>
      <c r="J242" s="170"/>
      <c r="K242" s="170"/>
      <c r="S242" s="441"/>
      <c r="T242" s="441"/>
      <c r="U242" s="441"/>
      <c r="V242" s="441"/>
      <c r="W242" s="441"/>
      <c r="AK242" s="114"/>
      <c r="AL242" s="114"/>
      <c r="AM242" s="114"/>
      <c r="AN242" s="114"/>
      <c r="AO242" s="114"/>
    </row>
    <row r="243" spans="2:41" ht="12.75" hidden="1" customHeight="1" outlineLevel="1">
      <c r="B243" s="1654" t="s">
        <v>310</v>
      </c>
      <c r="C243" s="1386"/>
      <c r="D243" s="183">
        <f>D211</f>
        <v>0</v>
      </c>
      <c r="E243" s="184">
        <f t="shared" si="106"/>
        <v>0</v>
      </c>
      <c r="F243" s="185">
        <f>IF($D$244=0,"",D243/$D$244)</f>
        <v>0</v>
      </c>
      <c r="G243" s="128"/>
      <c r="H243" s="136">
        <f>X211</f>
        <v>0</v>
      </c>
      <c r="I243" s="185" t="str">
        <f t="shared" si="108"/>
        <v/>
      </c>
      <c r="J243" s="170"/>
      <c r="K243" s="170"/>
      <c r="S243" s="441"/>
      <c r="T243" s="441"/>
      <c r="U243" s="441"/>
      <c r="V243" s="441"/>
      <c r="W243" s="441"/>
      <c r="AK243" s="114"/>
      <c r="AL243" s="114"/>
      <c r="AM243" s="114"/>
      <c r="AN243" s="114"/>
      <c r="AO243" s="114"/>
    </row>
    <row r="244" spans="2:41" s="211" customFormat="1" ht="15" hidden="1" customHeight="1" outlineLevel="1">
      <c r="B244" s="2662" t="s">
        <v>348</v>
      </c>
      <c r="C244" s="2663"/>
      <c r="D244" s="188">
        <f>SUM(D235:D243)</f>
        <v>39170</v>
      </c>
      <c r="E244" s="238">
        <f>SUM(E235:E243)</f>
        <v>39.17</v>
      </c>
      <c r="F244" s="190">
        <f>IF($D$244=0,"",D244/$D$244)</f>
        <v>1</v>
      </c>
      <c r="G244" s="192"/>
      <c r="H244" s="188">
        <f>SQRT(SUMSQ(H235:H243))</f>
        <v>5911.8223180335863</v>
      </c>
      <c r="I244" s="190">
        <f>IF(D244=0,"",H244/D244)</f>
        <v>0.15092729941367339</v>
      </c>
      <c r="J244" s="192"/>
      <c r="K244" s="192"/>
      <c r="S244" s="445"/>
      <c r="T244" s="445"/>
      <c r="U244" s="445"/>
      <c r="V244" s="445"/>
      <c r="W244" s="445"/>
      <c r="X244" s="445"/>
      <c r="Y244" s="445"/>
      <c r="Z244" s="445"/>
      <c r="AA244" s="445"/>
      <c r="AB244" s="445"/>
      <c r="AC244" s="445"/>
      <c r="AD244" s="445"/>
      <c r="AE244" s="445"/>
      <c r="AF244" s="445"/>
      <c r="AG244" s="445"/>
      <c r="AH244" s="445"/>
      <c r="AI244" s="445"/>
      <c r="AJ244" s="445"/>
    </row>
    <row r="245" spans="2:41"/>
    <row r="246" spans="2:41" ht="15.6" collapsed="1">
      <c r="B246" s="2688" t="s">
        <v>525</v>
      </c>
      <c r="C246" s="2689"/>
      <c r="D246" s="2689"/>
      <c r="E246" s="2689"/>
      <c r="F246" s="2689"/>
      <c r="G246" s="2689"/>
      <c r="H246" s="2689"/>
      <c r="I246" s="2689"/>
      <c r="J246" s="2689"/>
      <c r="K246" s="2689"/>
      <c r="L246" s="2689"/>
      <c r="M246" s="2689"/>
      <c r="N246" s="2689"/>
      <c r="O246" s="2690"/>
    </row>
    <row r="247" spans="2:41" hidden="1" outlineLevel="1">
      <c r="B247" s="113"/>
      <c r="C247" s="113"/>
      <c r="D247" s="113"/>
      <c r="E247" s="113"/>
      <c r="F247" s="113"/>
      <c r="G247" s="113"/>
      <c r="H247" s="113"/>
      <c r="I247" s="113"/>
      <c r="J247" s="113"/>
      <c r="K247" s="113"/>
      <c r="L247" s="113"/>
      <c r="M247" s="113"/>
      <c r="N247" s="113"/>
    </row>
    <row r="248" spans="2:41" ht="38.25" hidden="1" customHeight="1" outlineLevel="1">
      <c r="B248" s="229"/>
      <c r="C248" s="229"/>
      <c r="D248" s="229"/>
      <c r="E248" s="2691" t="s">
        <v>448</v>
      </c>
      <c r="F248" s="2692"/>
      <c r="G248" s="2692"/>
      <c r="H248" s="2692"/>
      <c r="I248" s="2692"/>
      <c r="J248" s="2692"/>
      <c r="K248" s="2692"/>
      <c r="L248" s="2693"/>
      <c r="M248" s="101" t="s">
        <v>440</v>
      </c>
      <c r="U248" s="130"/>
      <c r="V248" s="130"/>
      <c r="W248" s="130"/>
      <c r="X248" s="593"/>
      <c r="Y248" s="593"/>
      <c r="Z248" s="593"/>
      <c r="AA248" s="593"/>
      <c r="AB248" s="593"/>
      <c r="AC248" s="593"/>
    </row>
    <row r="249" spans="2:41" ht="38.25" hidden="1" customHeight="1" outlineLevel="1">
      <c r="B249" s="2691" t="s">
        <v>438</v>
      </c>
      <c r="C249" s="2693"/>
      <c r="D249" s="110" t="s">
        <v>458</v>
      </c>
      <c r="E249" s="111" t="s">
        <v>853</v>
      </c>
      <c r="F249" s="111" t="s">
        <v>854</v>
      </c>
      <c r="G249" s="111" t="s">
        <v>855</v>
      </c>
      <c r="H249" s="111" t="s">
        <v>852</v>
      </c>
      <c r="I249" s="110" t="s">
        <v>513</v>
      </c>
      <c r="J249" s="111" t="s">
        <v>856</v>
      </c>
      <c r="K249" s="111" t="s">
        <v>891</v>
      </c>
      <c r="L249" s="112" t="s">
        <v>514</v>
      </c>
      <c r="M249" s="110" t="s">
        <v>857</v>
      </c>
    </row>
    <row r="250" spans="2:41" ht="15" hidden="1" customHeight="1" outlineLevel="1">
      <c r="B250" s="2680" t="s">
        <v>459</v>
      </c>
      <c r="C250" s="2681"/>
      <c r="D250" s="230">
        <v>1</v>
      </c>
      <c r="E250" s="631"/>
      <c r="F250" s="631"/>
      <c r="G250" s="631"/>
      <c r="H250" s="631"/>
      <c r="I250" s="631"/>
      <c r="J250" s="631"/>
      <c r="K250" s="802"/>
      <c r="L250" s="632"/>
      <c r="M250" s="633"/>
    </row>
    <row r="251" spans="2:41" ht="12.75" hidden="1" customHeight="1" outlineLevel="1">
      <c r="B251" s="2680" t="s">
        <v>460</v>
      </c>
      <c r="C251" s="2681"/>
      <c r="D251" s="230">
        <v>2</v>
      </c>
      <c r="E251" s="631"/>
      <c r="F251" s="631"/>
      <c r="G251" s="631"/>
      <c r="H251" s="631"/>
      <c r="I251" s="631"/>
      <c r="J251" s="631"/>
      <c r="K251" s="802"/>
      <c r="L251" s="632"/>
      <c r="M251" s="633"/>
    </row>
    <row r="252" spans="2:41" ht="12.75" hidden="1" customHeight="1" outlineLevel="1">
      <c r="B252" s="2680" t="s">
        <v>461</v>
      </c>
      <c r="C252" s="2681"/>
      <c r="D252" s="230">
        <v>3</v>
      </c>
      <c r="E252" s="631"/>
      <c r="F252" s="631"/>
      <c r="G252" s="631"/>
      <c r="H252" s="631"/>
      <c r="I252" s="631"/>
      <c r="J252" s="631"/>
      <c r="K252" s="802"/>
      <c r="L252" s="632"/>
      <c r="M252" s="633"/>
    </row>
    <row r="253" spans="2:41" ht="12.75" hidden="1" customHeight="1" outlineLevel="1">
      <c r="B253" s="2680" t="s">
        <v>462</v>
      </c>
      <c r="C253" s="2681"/>
      <c r="D253" s="230">
        <v>4</v>
      </c>
      <c r="E253" s="631"/>
      <c r="F253" s="631"/>
      <c r="G253" s="631"/>
      <c r="H253" s="631"/>
      <c r="I253" s="631"/>
      <c r="J253" s="631"/>
      <c r="K253" s="802"/>
      <c r="L253" s="632"/>
      <c r="M253" s="633"/>
    </row>
    <row r="254" spans="2:41" ht="12.75" hidden="1" customHeight="1" outlineLevel="1">
      <c r="B254" s="2680" t="s">
        <v>463</v>
      </c>
      <c r="C254" s="2681"/>
      <c r="D254" s="230">
        <v>5</v>
      </c>
      <c r="E254" s="631"/>
      <c r="F254" s="631"/>
      <c r="G254" s="631"/>
      <c r="H254" s="631"/>
      <c r="I254" s="631"/>
      <c r="J254" s="631"/>
      <c r="K254" s="802"/>
      <c r="L254" s="632"/>
      <c r="M254" s="633"/>
    </row>
    <row r="255" spans="2:41" ht="12.75" hidden="1" customHeight="1" outlineLevel="1">
      <c r="B255" s="2682"/>
      <c r="C255" s="2683"/>
      <c r="D255" s="133" t="s">
        <v>439</v>
      </c>
      <c r="E255" s="634">
        <f t="shared" ref="E255:M255" si="109">SUM(E250:E254)</f>
        <v>0</v>
      </c>
      <c r="F255" s="634">
        <f t="shared" si="109"/>
        <v>0</v>
      </c>
      <c r="G255" s="634">
        <f t="shared" si="109"/>
        <v>0</v>
      </c>
      <c r="H255" s="634">
        <f t="shared" si="109"/>
        <v>0</v>
      </c>
      <c r="I255" s="634">
        <f t="shared" si="109"/>
        <v>0</v>
      </c>
      <c r="J255" s="634">
        <f>SUM(J250:J254)</f>
        <v>0</v>
      </c>
      <c r="K255" s="807">
        <f>SUM(K250:K254)</f>
        <v>0</v>
      </c>
      <c r="L255" s="635">
        <f>SQRT(SUMSQ(L250:L254))</f>
        <v>0</v>
      </c>
      <c r="M255" s="636">
        <f t="shared" si="109"/>
        <v>0</v>
      </c>
    </row>
    <row r="256" spans="2:41" ht="15" hidden="1" customHeight="1" outlineLevel="1">
      <c r="B256" s="2684" t="s">
        <v>464</v>
      </c>
      <c r="C256" s="2685"/>
      <c r="D256" s="231">
        <v>6</v>
      </c>
      <c r="E256" s="637"/>
      <c r="F256" s="637"/>
      <c r="G256" s="637"/>
      <c r="H256" s="637"/>
      <c r="I256" s="637"/>
      <c r="J256" s="637"/>
      <c r="K256" s="808"/>
      <c r="L256" s="632"/>
      <c r="M256" s="638"/>
    </row>
    <row r="257" spans="2:13" ht="12.75" hidden="1" customHeight="1" outlineLevel="1">
      <c r="B257" s="2686" t="s">
        <v>465</v>
      </c>
      <c r="C257" s="2687"/>
      <c r="D257" s="231">
        <v>7</v>
      </c>
      <c r="E257" s="637"/>
      <c r="F257" s="637"/>
      <c r="G257" s="637"/>
      <c r="H257" s="637"/>
      <c r="I257" s="637"/>
      <c r="J257" s="637"/>
      <c r="K257" s="808"/>
      <c r="L257" s="632"/>
      <c r="M257" s="638"/>
    </row>
    <row r="258" spans="2:13" ht="12.75" hidden="1" customHeight="1" outlineLevel="1">
      <c r="B258" s="2696"/>
      <c r="C258" s="2697"/>
      <c r="D258" s="134" t="s">
        <v>439</v>
      </c>
      <c r="E258" s="639">
        <f t="shared" ref="E258:M258" si="110">SUM(E256:E257)</f>
        <v>0</v>
      </c>
      <c r="F258" s="639">
        <f t="shared" si="110"/>
        <v>0</v>
      </c>
      <c r="G258" s="639">
        <f t="shared" si="110"/>
        <v>0</v>
      </c>
      <c r="H258" s="639">
        <f t="shared" si="110"/>
        <v>0</v>
      </c>
      <c r="I258" s="639">
        <f t="shared" si="110"/>
        <v>0</v>
      </c>
      <c r="J258" s="639">
        <f t="shared" si="110"/>
        <v>0</v>
      </c>
      <c r="K258" s="810">
        <v>0</v>
      </c>
      <c r="L258" s="635">
        <f>SQRT(SUMSQ(L256:L257))</f>
        <v>0</v>
      </c>
      <c r="M258" s="640">
        <f t="shared" si="110"/>
        <v>0</v>
      </c>
    </row>
    <row r="259" spans="2:13" ht="15" hidden="1" customHeight="1" outlineLevel="1">
      <c r="B259" s="2826" t="s">
        <v>466</v>
      </c>
      <c r="C259" s="2827"/>
      <c r="D259" s="232">
        <v>8</v>
      </c>
      <c r="E259" s="641"/>
      <c r="F259" s="641"/>
      <c r="G259" s="641"/>
      <c r="H259" s="641"/>
      <c r="I259" s="641"/>
      <c r="J259" s="641"/>
      <c r="K259" s="812"/>
      <c r="L259" s="632"/>
      <c r="M259" s="641"/>
    </row>
    <row r="260" spans="2:13" ht="12.75" hidden="1" customHeight="1" outlineLevel="1">
      <c r="B260" s="2694" t="s">
        <v>467</v>
      </c>
      <c r="C260" s="2695"/>
      <c r="D260" s="232">
        <v>9</v>
      </c>
      <c r="E260" s="641"/>
      <c r="F260" s="641"/>
      <c r="G260" s="641"/>
      <c r="H260" s="641"/>
      <c r="I260" s="641"/>
      <c r="J260" s="641"/>
      <c r="K260" s="812"/>
      <c r="L260" s="632"/>
      <c r="M260" s="641"/>
    </row>
    <row r="261" spans="2:13" ht="12.75" hidden="1" customHeight="1" outlineLevel="1">
      <c r="B261" s="2694" t="s">
        <v>468</v>
      </c>
      <c r="C261" s="2695"/>
      <c r="D261" s="232">
        <v>10</v>
      </c>
      <c r="E261" s="641"/>
      <c r="F261" s="641"/>
      <c r="G261" s="641"/>
      <c r="H261" s="641"/>
      <c r="I261" s="641"/>
      <c r="J261" s="641"/>
      <c r="K261" s="812"/>
      <c r="L261" s="632"/>
      <c r="M261" s="641"/>
    </row>
    <row r="262" spans="2:13" ht="12.75" hidden="1" customHeight="1" outlineLevel="1">
      <c r="B262" s="2694" t="s">
        <v>386</v>
      </c>
      <c r="C262" s="2695"/>
      <c r="D262" s="232">
        <v>11</v>
      </c>
      <c r="E262" s="641">
        <f>SUM(AA47:AC47)+SUM(AA64:AC64)+SUM(AA79:AD79)+SUM(AA94:AD94)+SUM(AA121,AA132,AA141,AA150)+SUM(AA173:AD173)+SUM(AA188:AD188)+IF('Bilan GES'!E38="Oui",SUM(AA198:AD198),0)+SUM(AA211:AD211)</f>
        <v>39170</v>
      </c>
      <c r="F262" s="641">
        <f>SUM(AE47:AH47)+SUM(AE64:AH64)+SUM(AE79:AH79)+SUM(AE94:AH94)+SUM(AE121,AE132,AE141,AE150)+SUM(AE173:AH173)+SUM(AE188:AH188)+IF('Bilan GES'!E38="Oui",SUM(AE198:AH198),0)+SUM(AE211:AH211)</f>
        <v>0</v>
      </c>
      <c r="G262" s="641">
        <f>SUM(AI47:AL47)+SUM(AI64:AL64)+SUM(AI79:AL79)+SUM(AI94:AL94)+SUM(AI121,AI132,AI141,AI150)+SUM(AI173:AL173)+SUM(AI188:AL188)+IF('Bilan GES'!E38="Oui",SUM(AI198:AL198),0)+SUM(AI211:AL211)</f>
        <v>0</v>
      </c>
      <c r="H262" s="641">
        <f>SUM(AM47:AP47)+SUM(AM64:AP64)+SUM(AM79:AP79)+SUM(AM94:AP94)+SUM(AM121,AM132,AM141,AM150)+SUM(AM173:AP173)+SUM(AM188:AP188)+IF('Bilan GES'!E38="Oui",SUM(AM198:AP198),0)+SUM(AM211:AP211)</f>
        <v>0</v>
      </c>
      <c r="I262" s="641">
        <f>SUM(E262:H262)</f>
        <v>39170</v>
      </c>
      <c r="J262" s="641">
        <f>SUM(AU47:AX47)+SUM(AU64:AX64)+SUM(AU79:AX79)+SUM(AU94:AX94)+SUM(AU121,AU132,AU141,AU150)+SUM(AU173:AX173)+SUM(AU188:AX188)+IF('Bilan GES'!E38="Oui",SUM(AU198:AX198),0)+SUM(AU211:AX211)</f>
        <v>0</v>
      </c>
      <c r="K262" s="812">
        <f>D198</f>
        <v>0</v>
      </c>
      <c r="L262" s="632">
        <f>SQRT(X173^2+X150^2+X141^2+X132^2+X121^2+X94^2+X79^2+X64^2+X47^2+X173^2+X188^2+X211^2+IF('Bilan GES'!E38="Oui",X198^2,0))</f>
        <v>5911.8223180335863</v>
      </c>
      <c r="M262" s="641"/>
    </row>
    <row r="263" spans="2:13" ht="12.75" hidden="1" customHeight="1" outlineLevel="1">
      <c r="B263" s="2694" t="s">
        <v>469</v>
      </c>
      <c r="C263" s="2695"/>
      <c r="D263" s="232">
        <v>12</v>
      </c>
      <c r="E263" s="641"/>
      <c r="F263" s="641"/>
      <c r="G263" s="641"/>
      <c r="H263" s="641"/>
      <c r="I263" s="641"/>
      <c r="J263" s="641"/>
      <c r="K263" s="812"/>
      <c r="L263" s="632"/>
      <c r="M263" s="641"/>
    </row>
    <row r="264" spans="2:13" ht="12.75" hidden="1" customHeight="1" outlineLevel="1">
      <c r="B264" s="2694" t="s">
        <v>470</v>
      </c>
      <c r="C264" s="2695"/>
      <c r="D264" s="232">
        <v>13</v>
      </c>
      <c r="E264" s="641"/>
      <c r="F264" s="641"/>
      <c r="G264" s="641"/>
      <c r="H264" s="641"/>
      <c r="I264" s="641"/>
      <c r="J264" s="641"/>
      <c r="K264" s="812"/>
      <c r="L264" s="632"/>
      <c r="M264" s="641"/>
    </row>
    <row r="265" spans="2:13" ht="12.75" hidden="1" customHeight="1" outlineLevel="1">
      <c r="B265" s="2694" t="s">
        <v>471</v>
      </c>
      <c r="C265" s="2695"/>
      <c r="D265" s="232">
        <v>14</v>
      </c>
      <c r="E265" s="641"/>
      <c r="F265" s="641"/>
      <c r="G265" s="641"/>
      <c r="H265" s="641"/>
      <c r="I265" s="641"/>
      <c r="J265" s="641"/>
      <c r="K265" s="812"/>
      <c r="L265" s="632"/>
      <c r="M265" s="641"/>
    </row>
    <row r="266" spans="2:13" ht="12.75" hidden="1" customHeight="1" outlineLevel="1">
      <c r="B266" s="2694" t="s">
        <v>472</v>
      </c>
      <c r="C266" s="2695"/>
      <c r="D266" s="232">
        <v>15</v>
      </c>
      <c r="E266" s="641"/>
      <c r="F266" s="641"/>
      <c r="G266" s="641"/>
      <c r="H266" s="641"/>
      <c r="I266" s="641"/>
      <c r="J266" s="641"/>
      <c r="K266" s="812"/>
      <c r="L266" s="632"/>
      <c r="M266" s="641"/>
    </row>
    <row r="267" spans="2:13" ht="12.75" hidden="1" customHeight="1" outlineLevel="1">
      <c r="B267" s="2694" t="s">
        <v>473</v>
      </c>
      <c r="C267" s="2695"/>
      <c r="D267" s="232">
        <v>16</v>
      </c>
      <c r="E267" s="641"/>
      <c r="F267" s="641"/>
      <c r="G267" s="641"/>
      <c r="H267" s="641"/>
      <c r="I267" s="641"/>
      <c r="J267" s="641"/>
      <c r="K267" s="812"/>
      <c r="L267" s="632"/>
      <c r="M267" s="641"/>
    </row>
    <row r="268" spans="2:13" ht="12.75" hidden="1" customHeight="1" outlineLevel="1">
      <c r="B268" s="2694" t="s">
        <v>474</v>
      </c>
      <c r="C268" s="2695"/>
      <c r="D268" s="232">
        <v>17</v>
      </c>
      <c r="E268" s="641"/>
      <c r="F268" s="641"/>
      <c r="G268" s="641"/>
      <c r="H268" s="641"/>
      <c r="I268" s="641"/>
      <c r="J268" s="641"/>
      <c r="K268" s="812"/>
      <c r="L268" s="632"/>
      <c r="M268" s="641"/>
    </row>
    <row r="269" spans="2:13" ht="12.75" hidden="1" customHeight="1" outlineLevel="1">
      <c r="B269" s="2694" t="s">
        <v>475</v>
      </c>
      <c r="C269" s="2695"/>
      <c r="D269" s="232">
        <v>18</v>
      </c>
      <c r="E269" s="641"/>
      <c r="F269" s="641"/>
      <c r="G269" s="641"/>
      <c r="H269" s="641"/>
      <c r="I269" s="641"/>
      <c r="J269" s="641"/>
      <c r="K269" s="812"/>
      <c r="L269" s="632"/>
      <c r="M269" s="641"/>
    </row>
    <row r="270" spans="2:13" ht="12.75" hidden="1" customHeight="1" outlineLevel="1">
      <c r="B270" s="2694" t="s">
        <v>476</v>
      </c>
      <c r="C270" s="2695"/>
      <c r="D270" s="232">
        <v>19</v>
      </c>
      <c r="E270" s="641"/>
      <c r="F270" s="641"/>
      <c r="G270" s="641"/>
      <c r="H270" s="641"/>
      <c r="I270" s="641"/>
      <c r="J270" s="641"/>
      <c r="K270" s="812"/>
      <c r="L270" s="632"/>
      <c r="M270" s="641"/>
    </row>
    <row r="271" spans="2:13" ht="12.75" hidden="1" customHeight="1" outlineLevel="1">
      <c r="B271" s="2694" t="s">
        <v>477</v>
      </c>
      <c r="C271" s="2695"/>
      <c r="D271" s="232">
        <v>20</v>
      </c>
      <c r="E271" s="641"/>
      <c r="F271" s="641"/>
      <c r="G271" s="641"/>
      <c r="H271" s="641"/>
      <c r="I271" s="641"/>
      <c r="J271" s="641"/>
      <c r="K271" s="812"/>
      <c r="L271" s="632"/>
      <c r="M271" s="641"/>
    </row>
    <row r="272" spans="2:13" ht="12.75" hidden="1" customHeight="1" outlineLevel="1">
      <c r="B272" s="2694" t="s">
        <v>478</v>
      </c>
      <c r="C272" s="2695"/>
      <c r="D272" s="232">
        <v>21</v>
      </c>
      <c r="E272" s="641"/>
      <c r="F272" s="641"/>
      <c r="G272" s="641"/>
      <c r="H272" s="641"/>
      <c r="I272" s="641"/>
      <c r="J272" s="641"/>
      <c r="K272" s="812"/>
      <c r="L272" s="632"/>
      <c r="M272" s="641"/>
    </row>
    <row r="273" spans="2:63" ht="12.75" hidden="1" customHeight="1" outlineLevel="1">
      <c r="B273" s="2694" t="s">
        <v>479</v>
      </c>
      <c r="C273" s="2695"/>
      <c r="D273" s="232">
        <v>22</v>
      </c>
      <c r="E273" s="641"/>
      <c r="F273" s="641"/>
      <c r="G273" s="641"/>
      <c r="H273" s="641"/>
      <c r="I273" s="641"/>
      <c r="J273" s="641"/>
      <c r="K273" s="812"/>
      <c r="L273" s="632"/>
      <c r="M273" s="641"/>
    </row>
    <row r="274" spans="2:63" ht="12.75" hidden="1" customHeight="1" outlineLevel="1">
      <c r="B274" s="2694" t="s">
        <v>449</v>
      </c>
      <c r="C274" s="2695"/>
      <c r="D274" s="232">
        <v>23</v>
      </c>
      <c r="E274" s="641"/>
      <c r="F274" s="641"/>
      <c r="G274" s="641"/>
      <c r="H274" s="641"/>
      <c r="I274" s="641"/>
      <c r="J274" s="641"/>
      <c r="K274" s="812"/>
      <c r="L274" s="632"/>
      <c r="M274" s="641"/>
    </row>
    <row r="275" spans="2:63" ht="12.75" hidden="1" customHeight="1" outlineLevel="1">
      <c r="B275" s="2706"/>
      <c r="C275" s="2707"/>
      <c r="D275" s="135" t="s">
        <v>439</v>
      </c>
      <c r="E275" s="642">
        <f t="shared" ref="E275:J275" si="111">SUM(E259:E274)</f>
        <v>39170</v>
      </c>
      <c r="F275" s="642">
        <f t="shared" si="111"/>
        <v>0</v>
      </c>
      <c r="G275" s="642">
        <f t="shared" si="111"/>
        <v>0</v>
      </c>
      <c r="H275" s="642">
        <f t="shared" si="111"/>
        <v>0</v>
      </c>
      <c r="I275" s="642">
        <f t="shared" si="111"/>
        <v>39170</v>
      </c>
      <c r="J275" s="642">
        <f t="shared" si="111"/>
        <v>0</v>
      </c>
      <c r="K275" s="813">
        <f>SUM(K259:K274)</f>
        <v>0</v>
      </c>
      <c r="L275" s="635">
        <f>SQRT(SUMSQ(L259:L274))</f>
        <v>5911.8223180335863</v>
      </c>
      <c r="M275" s="642">
        <f>SUM(M259:M274)</f>
        <v>0</v>
      </c>
    </row>
    <row r="276" spans="2:63" hidden="1" outlineLevel="1"/>
    <row r="277" spans="2:63"/>
    <row r="278" spans="2:63" s="113" customFormat="1" ht="15.6" collapsed="1">
      <c r="B278" s="2698" t="s">
        <v>721</v>
      </c>
      <c r="C278" s="2699"/>
      <c r="D278" s="2699"/>
      <c r="E278" s="2699"/>
      <c r="F278" s="2699"/>
      <c r="G278" s="2699"/>
      <c r="H278" s="2699"/>
      <c r="I278" s="2699"/>
      <c r="J278" s="2699"/>
      <c r="K278" s="2699"/>
      <c r="L278" s="2699"/>
      <c r="M278" s="2699"/>
      <c r="N278" s="2699"/>
      <c r="O278" s="2700"/>
      <c r="W278" s="817"/>
      <c r="AJ278" s="817"/>
      <c r="AK278" s="817"/>
      <c r="AL278" s="817"/>
      <c r="AM278" s="817"/>
      <c r="AN278" s="817"/>
      <c r="AR278" s="817"/>
      <c r="AW278" s="576"/>
      <c r="AX278" s="576"/>
      <c r="AY278" s="576"/>
      <c r="AZ278" s="576"/>
      <c r="BA278" s="576"/>
      <c r="BB278" s="576"/>
      <c r="BC278" s="576"/>
      <c r="BD278" s="576"/>
      <c r="BE278" s="576"/>
      <c r="BF278" s="576"/>
      <c r="BG278" s="576"/>
      <c r="BH278" s="576"/>
    </row>
    <row r="279" spans="2:63" s="113" customFormat="1" ht="11.4" hidden="1" outlineLevel="1">
      <c r="W279" s="817"/>
      <c r="AJ279" s="817"/>
      <c r="AK279" s="817"/>
      <c r="AL279" s="817"/>
      <c r="AM279" s="817"/>
      <c r="AN279" s="817"/>
      <c r="AR279" s="817"/>
      <c r="AW279" s="576"/>
      <c r="AX279" s="576"/>
      <c r="AY279" s="576"/>
      <c r="AZ279" s="576"/>
      <c r="BA279" s="576"/>
      <c r="BB279" s="576"/>
      <c r="BC279" s="576"/>
      <c r="BD279" s="576"/>
      <c r="BE279" s="576"/>
      <c r="BF279" s="576"/>
      <c r="BG279" s="576"/>
      <c r="BH279" s="576"/>
    </row>
    <row r="280" spans="2:63" s="113" customFormat="1" ht="38.25" hidden="1" customHeight="1" outlineLevel="1">
      <c r="B280" s="205"/>
      <c r="C280" s="205"/>
      <c r="D280" s="205"/>
      <c r="E280" s="2701" t="s">
        <v>448</v>
      </c>
      <c r="F280" s="2702"/>
      <c r="G280" s="2702"/>
      <c r="H280" s="2702"/>
      <c r="I280" s="2702"/>
      <c r="J280" s="2702"/>
      <c r="K280" s="2702"/>
      <c r="L280" s="2702"/>
      <c r="M280" s="2702"/>
      <c r="N280" s="2703"/>
      <c r="O280" s="865" t="s">
        <v>440</v>
      </c>
      <c r="W280" s="817"/>
      <c r="AJ280" s="817"/>
      <c r="AK280" s="817"/>
      <c r="AL280" s="817"/>
      <c r="AM280" s="817"/>
      <c r="AN280" s="817"/>
      <c r="AR280" s="817"/>
      <c r="AW280" s="576"/>
      <c r="AX280" s="576"/>
      <c r="AY280" s="576"/>
      <c r="AZ280" s="576"/>
      <c r="BA280" s="576"/>
      <c r="BB280" s="576"/>
      <c r="BC280" s="576"/>
      <c r="BD280" s="576"/>
      <c r="BE280" s="576"/>
      <c r="BF280" s="576"/>
      <c r="BG280" s="576"/>
      <c r="BH280" s="576"/>
    </row>
    <row r="281" spans="2:63" s="113" customFormat="1" ht="25.5" hidden="1" customHeight="1" outlineLevel="1">
      <c r="B281" s="2701" t="s">
        <v>438</v>
      </c>
      <c r="C281" s="2703"/>
      <c r="D281" s="867" t="s">
        <v>458</v>
      </c>
      <c r="E281" s="866" t="s">
        <v>853</v>
      </c>
      <c r="F281" s="866" t="s">
        <v>854</v>
      </c>
      <c r="G281" s="866" t="s">
        <v>855</v>
      </c>
      <c r="H281" s="866" t="s">
        <v>858</v>
      </c>
      <c r="I281" s="866" t="s">
        <v>859</v>
      </c>
      <c r="J281" s="866" t="s">
        <v>860</v>
      </c>
      <c r="K281" s="866" t="s">
        <v>852</v>
      </c>
      <c r="L281" s="867" t="s">
        <v>513</v>
      </c>
      <c r="M281" s="866" t="s">
        <v>856</v>
      </c>
      <c r="N281" s="866" t="s">
        <v>514</v>
      </c>
      <c r="O281" s="867" t="s">
        <v>513</v>
      </c>
      <c r="AD281" s="817"/>
      <c r="AE281" s="817"/>
      <c r="AF281" s="817"/>
      <c r="AQ281" s="817"/>
      <c r="AU281" s="817"/>
      <c r="AZ281" s="576"/>
      <c r="BA281" s="576"/>
      <c r="BB281" s="576"/>
      <c r="BC281" s="576"/>
      <c r="BD281" s="576"/>
      <c r="BE281" s="576"/>
      <c r="BF281" s="576"/>
      <c r="BG281" s="576"/>
      <c r="BH281" s="576"/>
      <c r="BI281" s="576"/>
      <c r="BJ281" s="576"/>
      <c r="BK281" s="576"/>
    </row>
    <row r="282" spans="2:63" s="113" customFormat="1" ht="12.75" hidden="1" customHeight="1" outlineLevel="1">
      <c r="B282" s="2704" t="s">
        <v>459</v>
      </c>
      <c r="C282" s="2705"/>
      <c r="D282" s="861" t="s">
        <v>727</v>
      </c>
      <c r="E282" s="855"/>
      <c r="F282" s="855"/>
      <c r="G282" s="855"/>
      <c r="H282" s="855"/>
      <c r="I282" s="855"/>
      <c r="J282" s="855"/>
      <c r="K282" s="855"/>
      <c r="L282" s="864"/>
      <c r="M282" s="853"/>
      <c r="N282" s="858"/>
      <c r="O282" s="857"/>
      <c r="AD282" s="817"/>
      <c r="AE282" s="817"/>
      <c r="AF282" s="817"/>
      <c r="AQ282" s="817"/>
      <c r="AU282" s="817"/>
      <c r="AZ282" s="576"/>
      <c r="BA282" s="576"/>
      <c r="BB282" s="576"/>
      <c r="BC282" s="576"/>
      <c r="BD282" s="576"/>
      <c r="BE282" s="576"/>
      <c r="BF282" s="576"/>
      <c r="BG282" s="576"/>
      <c r="BH282" s="576"/>
      <c r="BI282" s="576"/>
      <c r="BJ282" s="576"/>
      <c r="BK282" s="576"/>
    </row>
    <row r="283" spans="2:63" s="113" customFormat="1" ht="12.75" hidden="1" customHeight="1" outlineLevel="1">
      <c r="B283" s="2704" t="s">
        <v>722</v>
      </c>
      <c r="C283" s="2705"/>
      <c r="D283" s="862" t="s">
        <v>728</v>
      </c>
      <c r="E283" s="855"/>
      <c r="F283" s="855"/>
      <c r="G283" s="855"/>
      <c r="H283" s="855"/>
      <c r="I283" s="855"/>
      <c r="J283" s="855"/>
      <c r="K283" s="855"/>
      <c r="L283" s="864"/>
      <c r="M283" s="853"/>
      <c r="N283" s="858"/>
      <c r="O283" s="857"/>
      <c r="AD283" s="817"/>
      <c r="AE283" s="817"/>
      <c r="AF283" s="817"/>
      <c r="AQ283" s="817"/>
      <c r="AU283" s="817"/>
      <c r="AZ283" s="576"/>
      <c r="BA283" s="576"/>
      <c r="BB283" s="576"/>
      <c r="BC283" s="576"/>
      <c r="BD283" s="576"/>
      <c r="BE283" s="576"/>
      <c r="BF283" s="576"/>
      <c r="BG283" s="576"/>
      <c r="BH283" s="576"/>
      <c r="BI283" s="576"/>
      <c r="BJ283" s="576"/>
      <c r="BK283" s="576"/>
    </row>
    <row r="284" spans="2:63" s="113" customFormat="1" ht="12.75" hidden="1" customHeight="1" outlineLevel="1">
      <c r="B284" s="2704" t="s">
        <v>723</v>
      </c>
      <c r="C284" s="2705"/>
      <c r="D284" s="862" t="s">
        <v>729</v>
      </c>
      <c r="E284" s="855"/>
      <c r="F284" s="855"/>
      <c r="G284" s="855"/>
      <c r="H284" s="855"/>
      <c r="I284" s="855"/>
      <c r="J284" s="855"/>
      <c r="K284" s="855"/>
      <c r="L284" s="864"/>
      <c r="M284" s="853"/>
      <c r="N284" s="858"/>
      <c r="O284" s="857"/>
      <c r="AD284" s="817"/>
      <c r="AE284" s="817"/>
      <c r="AF284" s="817"/>
      <c r="AQ284" s="817"/>
      <c r="AU284" s="817"/>
      <c r="AZ284" s="576"/>
      <c r="BA284" s="576"/>
      <c r="BB284" s="576"/>
      <c r="BC284" s="576"/>
      <c r="BD284" s="576"/>
      <c r="BE284" s="576"/>
      <c r="BF284" s="576"/>
      <c r="BG284" s="576"/>
      <c r="BH284" s="576"/>
      <c r="BI284" s="576"/>
      <c r="BJ284" s="576"/>
      <c r="BK284" s="576"/>
    </row>
    <row r="285" spans="2:63" s="113" customFormat="1" ht="12.75" hidden="1" customHeight="1" outlineLevel="1">
      <c r="B285" s="2704" t="s">
        <v>462</v>
      </c>
      <c r="C285" s="2705"/>
      <c r="D285" s="862" t="s">
        <v>730</v>
      </c>
      <c r="E285" s="855"/>
      <c r="F285" s="855"/>
      <c r="G285" s="855"/>
      <c r="H285" s="855"/>
      <c r="I285" s="855"/>
      <c r="J285" s="855"/>
      <c r="K285" s="855"/>
      <c r="L285" s="864"/>
      <c r="M285" s="853"/>
      <c r="N285" s="858"/>
      <c r="O285" s="857"/>
      <c r="AD285" s="817"/>
      <c r="AE285" s="817"/>
      <c r="AF285" s="817"/>
      <c r="AQ285" s="817"/>
      <c r="AU285" s="817"/>
      <c r="AZ285" s="576"/>
      <c r="BA285" s="576"/>
      <c r="BB285" s="576"/>
      <c r="BC285" s="576"/>
      <c r="BD285" s="576"/>
      <c r="BE285" s="576"/>
      <c r="BF285" s="576"/>
      <c r="BG285" s="576"/>
      <c r="BH285" s="576"/>
      <c r="BI285" s="576"/>
      <c r="BJ285" s="576"/>
      <c r="BK285" s="576"/>
    </row>
    <row r="286" spans="2:63" s="113" customFormat="1" ht="12.75" hidden="1" customHeight="1" outlineLevel="1">
      <c r="B286" s="2710" t="s">
        <v>726</v>
      </c>
      <c r="C286" s="2711"/>
      <c r="D286" s="2712"/>
      <c r="E286" s="852">
        <f t="shared" ref="E286:O286" si="112">SUM(E282:E285)</f>
        <v>0</v>
      </c>
      <c r="F286" s="852">
        <f t="shared" si="112"/>
        <v>0</v>
      </c>
      <c r="G286" s="852">
        <f t="shared" si="112"/>
        <v>0</v>
      </c>
      <c r="H286" s="852">
        <f t="shared" si="112"/>
        <v>0</v>
      </c>
      <c r="I286" s="852">
        <f t="shared" si="112"/>
        <v>0</v>
      </c>
      <c r="J286" s="852">
        <f t="shared" si="112"/>
        <v>0</v>
      </c>
      <c r="K286" s="852">
        <f t="shared" si="112"/>
        <v>0</v>
      </c>
      <c r="L286" s="852">
        <f t="shared" si="112"/>
        <v>0</v>
      </c>
      <c r="M286" s="863">
        <f t="shared" si="112"/>
        <v>0</v>
      </c>
      <c r="N286" s="859">
        <f>SQRT(SUMSQ(N282:N285))</f>
        <v>0</v>
      </c>
      <c r="O286" s="860">
        <f t="shared" si="112"/>
        <v>0</v>
      </c>
      <c r="AD286" s="817"/>
      <c r="AE286" s="817"/>
      <c r="AF286" s="817"/>
      <c r="AQ286" s="817"/>
      <c r="AU286" s="817"/>
      <c r="AZ286" s="576"/>
      <c r="BA286" s="576"/>
      <c r="BB286" s="576"/>
      <c r="BC286" s="576"/>
      <c r="BD286" s="576"/>
      <c r="BE286" s="576"/>
      <c r="BF286" s="576"/>
      <c r="BG286" s="576"/>
      <c r="BH286" s="576"/>
      <c r="BI286" s="576"/>
      <c r="BJ286" s="576"/>
      <c r="BK286" s="576"/>
    </row>
    <row r="287" spans="2:63" s="113" customFormat="1" ht="12.75" hidden="1" customHeight="1" outlineLevel="1">
      <c r="B287" s="2704" t="s">
        <v>464</v>
      </c>
      <c r="C287" s="2705"/>
      <c r="D287" s="862" t="s">
        <v>731</v>
      </c>
      <c r="E287" s="855"/>
      <c r="F287" s="855"/>
      <c r="G287" s="855"/>
      <c r="H287" s="855"/>
      <c r="I287" s="855"/>
      <c r="J287" s="855"/>
      <c r="K287" s="855"/>
      <c r="L287" s="864"/>
      <c r="M287" s="853"/>
      <c r="N287" s="858"/>
      <c r="O287" s="856"/>
      <c r="AD287" s="817"/>
      <c r="AE287" s="817"/>
      <c r="AF287" s="817"/>
      <c r="AQ287" s="817"/>
      <c r="AU287" s="817"/>
      <c r="AZ287" s="576"/>
      <c r="BA287" s="576"/>
      <c r="BB287" s="576"/>
      <c r="BC287" s="576"/>
      <c r="BD287" s="576"/>
      <c r="BE287" s="576"/>
      <c r="BF287" s="576"/>
      <c r="BG287" s="576"/>
      <c r="BH287" s="576"/>
      <c r="BI287" s="576"/>
      <c r="BJ287" s="576"/>
      <c r="BK287" s="576"/>
    </row>
    <row r="288" spans="2:63" s="113" customFormat="1" ht="12.75" hidden="1" customHeight="1" outlineLevel="1">
      <c r="B288" s="2708" t="s">
        <v>465</v>
      </c>
      <c r="C288" s="2709"/>
      <c r="D288" s="862" t="s">
        <v>732</v>
      </c>
      <c r="E288" s="855"/>
      <c r="F288" s="855"/>
      <c r="G288" s="855"/>
      <c r="H288" s="855"/>
      <c r="I288" s="855"/>
      <c r="J288" s="855"/>
      <c r="K288" s="855"/>
      <c r="L288" s="864"/>
      <c r="M288" s="853"/>
      <c r="N288" s="858"/>
      <c r="O288" s="856"/>
      <c r="AD288" s="817"/>
      <c r="AE288" s="817"/>
      <c r="AF288" s="817"/>
      <c r="AQ288" s="817"/>
      <c r="AU288" s="817"/>
      <c r="AZ288" s="576"/>
      <c r="BA288" s="576"/>
      <c r="BB288" s="576"/>
      <c r="BC288" s="576"/>
      <c r="BD288" s="576"/>
      <c r="BE288" s="576"/>
      <c r="BF288" s="576"/>
      <c r="BG288" s="576"/>
      <c r="BH288" s="576"/>
      <c r="BI288" s="576"/>
      <c r="BJ288" s="576"/>
      <c r="BK288" s="576"/>
    </row>
    <row r="289" spans="2:63" s="113" customFormat="1" ht="12.75" hidden="1" customHeight="1" outlineLevel="1">
      <c r="B289" s="2710" t="s">
        <v>725</v>
      </c>
      <c r="C289" s="2711"/>
      <c r="D289" s="2712"/>
      <c r="E289" s="852">
        <f t="shared" ref="E289:L289" si="113">SUM(E287:E288)</f>
        <v>0</v>
      </c>
      <c r="F289" s="852">
        <f t="shared" si="113"/>
        <v>0</v>
      </c>
      <c r="G289" s="852">
        <f t="shared" si="113"/>
        <v>0</v>
      </c>
      <c r="H289" s="852">
        <f t="shared" si="113"/>
        <v>0</v>
      </c>
      <c r="I289" s="852">
        <f t="shared" si="113"/>
        <v>0</v>
      </c>
      <c r="J289" s="852">
        <f t="shared" si="113"/>
        <v>0</v>
      </c>
      <c r="K289" s="852">
        <f t="shared" si="113"/>
        <v>0</v>
      </c>
      <c r="L289" s="852">
        <f t="shared" si="113"/>
        <v>0</v>
      </c>
      <c r="M289" s="863">
        <f>SUM(M287:M288)</f>
        <v>0</v>
      </c>
      <c r="N289" s="859">
        <f>SQRT(SUMSQ(N287:N288))</f>
        <v>0</v>
      </c>
      <c r="O289" s="860">
        <f>SUM(O287:O288)</f>
        <v>0</v>
      </c>
      <c r="AD289" s="817"/>
      <c r="AE289" s="817"/>
      <c r="AF289" s="817"/>
      <c r="AQ289" s="817"/>
      <c r="AU289" s="817"/>
      <c r="AZ289" s="576"/>
      <c r="BA289" s="576"/>
      <c r="BB289" s="576"/>
      <c r="BC289" s="576"/>
      <c r="BD289" s="576"/>
      <c r="BE289" s="576"/>
      <c r="BF289" s="576"/>
      <c r="BG289" s="576"/>
      <c r="BH289" s="576"/>
      <c r="BI289" s="576"/>
      <c r="BJ289" s="576"/>
      <c r="BK289" s="576"/>
    </row>
    <row r="290" spans="2:63" s="113" customFormat="1" ht="12.75" hidden="1" customHeight="1" outlineLevel="1">
      <c r="B290" s="2713" t="s">
        <v>757</v>
      </c>
      <c r="C290" s="2714"/>
      <c r="D290" s="2714"/>
      <c r="E290" s="2714"/>
      <c r="F290" s="2714"/>
      <c r="G290" s="2714"/>
      <c r="H290" s="2714"/>
      <c r="I290" s="2714"/>
      <c r="J290" s="2714"/>
      <c r="K290" s="2714"/>
      <c r="L290" s="2714"/>
      <c r="M290" s="2714"/>
      <c r="N290" s="2714"/>
      <c r="O290" s="2715"/>
      <c r="AD290" s="817"/>
      <c r="AE290" s="817"/>
      <c r="AF290" s="817"/>
      <c r="AQ290" s="817"/>
      <c r="AU290" s="817"/>
      <c r="AZ290" s="576"/>
      <c r="BA290" s="576"/>
      <c r="BB290" s="576"/>
      <c r="BC290" s="576"/>
      <c r="BD290" s="576"/>
      <c r="BE290" s="576"/>
      <c r="BF290" s="576"/>
      <c r="BG290" s="576"/>
      <c r="BH290" s="576"/>
      <c r="BI290" s="576"/>
      <c r="BJ290" s="576"/>
      <c r="BK290" s="576"/>
    </row>
    <row r="291" spans="2:63" s="113" customFormat="1" ht="12.75" hidden="1" customHeight="1" outlineLevel="1">
      <c r="B291" s="2704" t="s">
        <v>733</v>
      </c>
      <c r="C291" s="2705"/>
      <c r="D291" s="862" t="s">
        <v>741</v>
      </c>
      <c r="E291" s="855"/>
      <c r="F291" s="855"/>
      <c r="G291" s="855"/>
      <c r="H291" s="855"/>
      <c r="I291" s="855"/>
      <c r="J291" s="855"/>
      <c r="K291" s="855"/>
      <c r="L291" s="864"/>
      <c r="M291" s="853"/>
      <c r="N291" s="858"/>
      <c r="O291" s="856"/>
      <c r="AD291" s="817"/>
      <c r="AE291" s="817"/>
      <c r="AF291" s="817"/>
      <c r="AQ291" s="817"/>
      <c r="AU291" s="817"/>
      <c r="AZ291" s="576"/>
      <c r="BA291" s="576"/>
      <c r="BB291" s="576"/>
      <c r="BC291" s="576"/>
      <c r="BD291" s="576"/>
      <c r="BE291" s="576"/>
      <c r="BF291" s="576"/>
      <c r="BG291" s="576"/>
      <c r="BH291" s="576"/>
      <c r="BI291" s="576"/>
      <c r="BJ291" s="576"/>
      <c r="BK291" s="576"/>
    </row>
    <row r="292" spans="2:63" s="113" customFormat="1" ht="12.75" hidden="1" customHeight="1" outlineLevel="1">
      <c r="B292" s="2704" t="s">
        <v>734</v>
      </c>
      <c r="C292" s="2705"/>
      <c r="D292" s="862" t="s">
        <v>742</v>
      </c>
      <c r="E292" s="855"/>
      <c r="F292" s="855"/>
      <c r="G292" s="855"/>
      <c r="H292" s="855"/>
      <c r="I292" s="855"/>
      <c r="J292" s="855"/>
      <c r="K292" s="855"/>
      <c r="L292" s="864"/>
      <c r="M292" s="853"/>
      <c r="N292" s="858"/>
      <c r="O292" s="856"/>
      <c r="AD292" s="817"/>
      <c r="AE292" s="817"/>
      <c r="AF292" s="817"/>
      <c r="AQ292" s="817"/>
      <c r="AU292" s="817"/>
      <c r="AZ292" s="576"/>
      <c r="BA292" s="576"/>
      <c r="BB292" s="576"/>
      <c r="BC292" s="576"/>
      <c r="BD292" s="576"/>
      <c r="BE292" s="576"/>
      <c r="BF292" s="576"/>
      <c r="BG292" s="576"/>
      <c r="BH292" s="576"/>
      <c r="BI292" s="576"/>
      <c r="BJ292" s="576"/>
      <c r="BK292" s="576"/>
    </row>
    <row r="293" spans="2:63" s="113" customFormat="1" ht="12.75" hidden="1" customHeight="1" outlineLevel="1">
      <c r="B293" s="2708" t="s">
        <v>735</v>
      </c>
      <c r="C293" s="2709"/>
      <c r="D293" s="862" t="s">
        <v>743</v>
      </c>
      <c r="E293" s="855"/>
      <c r="F293" s="855"/>
      <c r="G293" s="855"/>
      <c r="H293" s="855"/>
      <c r="I293" s="855"/>
      <c r="J293" s="855"/>
      <c r="K293" s="855"/>
      <c r="L293" s="864"/>
      <c r="M293" s="853"/>
      <c r="N293" s="858"/>
      <c r="O293" s="856"/>
      <c r="AD293" s="817"/>
      <c r="AE293" s="817"/>
      <c r="AF293" s="817"/>
      <c r="AQ293" s="817"/>
      <c r="AU293" s="817"/>
      <c r="AZ293" s="576"/>
      <c r="BA293" s="576"/>
      <c r="BB293" s="576"/>
      <c r="BC293" s="576"/>
      <c r="BD293" s="576"/>
      <c r="BE293" s="576"/>
      <c r="BF293" s="576"/>
      <c r="BG293" s="576"/>
      <c r="BH293" s="576"/>
      <c r="BI293" s="576"/>
      <c r="BJ293" s="576"/>
      <c r="BK293" s="576"/>
    </row>
    <row r="294" spans="2:63" s="113" customFormat="1" ht="12.75" hidden="1" customHeight="1" outlineLevel="1">
      <c r="B294" s="2704" t="s">
        <v>815</v>
      </c>
      <c r="C294" s="2705"/>
      <c r="D294" s="862" t="s">
        <v>744</v>
      </c>
      <c r="E294" s="855"/>
      <c r="F294" s="855"/>
      <c r="G294" s="855"/>
      <c r="H294" s="855"/>
      <c r="I294" s="855"/>
      <c r="J294" s="855"/>
      <c r="K294" s="855"/>
      <c r="L294" s="864"/>
      <c r="M294" s="853"/>
      <c r="N294" s="858"/>
      <c r="O294" s="856"/>
      <c r="AD294" s="817"/>
      <c r="AE294" s="817"/>
      <c r="AF294" s="817"/>
      <c r="AQ294" s="817"/>
      <c r="AU294" s="817"/>
      <c r="AZ294" s="576"/>
      <c r="BA294" s="576"/>
      <c r="BB294" s="576"/>
      <c r="BC294" s="576"/>
      <c r="BD294" s="576"/>
      <c r="BE294" s="576"/>
      <c r="BF294" s="576"/>
      <c r="BG294" s="576"/>
      <c r="BH294" s="576"/>
      <c r="BI294" s="576"/>
      <c r="BJ294" s="576"/>
      <c r="BK294" s="576"/>
    </row>
    <row r="295" spans="2:63" s="113" customFormat="1" ht="12.75" hidden="1" customHeight="1" outlineLevel="1">
      <c r="B295" s="2704" t="s">
        <v>736</v>
      </c>
      <c r="C295" s="2705"/>
      <c r="D295" s="862" t="s">
        <v>745</v>
      </c>
      <c r="E295" s="855">
        <f>SUM(AA47:AD47)+SUM(AA64:AD64)+SUM(AA79:AD79)+SUM(AA94:AD94)+SUM(AA121:AD121)+SUM(AA132:AD132)+SUM(AA141:AD141)+SUM(AA150:AD150)+SUM(AA173:AD173)+AA188+AA198+SUM(AA211:AD211)</f>
        <v>39170</v>
      </c>
      <c r="F295" s="855">
        <f>SUM(AE47:AH47)+SUM(AE64:AH64)+SUM(AE79:AH79)+SUM(AE94:AH94)+SUM(AE121:AH121)+SUM(AE132:AH132)+SUM(AE141:AH141)+SUM(AE150:AH151)+SUM(AE173:AH173)+AE188+AE198+SUM(AE211:AH211)</f>
        <v>0</v>
      </c>
      <c r="G295" s="855">
        <f>SUM(AI47:AL47)+SUM(AI64:AL64)+SUM(AI79:AL79)+SUM(AI94:AL94)+SUM(AI121:AL121)+SUM(AI132:AL132)+SUM(AI141:AL141)+SUM(AI150:AL150)+SUM(AI173:AL173)+AI188+AI198+SUM(AI211:AL211)</f>
        <v>0</v>
      </c>
      <c r="H295" s="855">
        <f>SUMPRODUCT((LEFT($B$184:$B$187,3)&lt;&gt;"Per")*(LEFT($B$184:$B$187,3)&lt;&gt;"SF6")*(AM$184:AM$187))</f>
        <v>0</v>
      </c>
      <c r="I295" s="855">
        <f>SUMPRODUCT((LEFT($B$184:$B$187,3)="Per")*(AM$184:AM$187))</f>
        <v>0</v>
      </c>
      <c r="J295" s="855">
        <f>SUMPRODUCT((LEFT($B$184:$B$187,3)="SF6")*(AM$184:AM$187))</f>
        <v>0</v>
      </c>
      <c r="K295" s="855">
        <f>AM198+SUM(AM47:AP47)+SUM(AM64:AP64)+SUM(AM79:AP79)+SUM(AM94:AP94)+SUM(AM121:AP121)+SUM(AM132:AP132)+SUM(AM141:AP141)+SUM(AM150:AP150)+SUM(AM173:AP173)+SUM(AM211:AP211)</f>
        <v>0</v>
      </c>
      <c r="L295" s="864">
        <f>SUM(E295:K295)</f>
        <v>39170</v>
      </c>
      <c r="M295" s="853">
        <f>SUM(AU47:AX47)+SUM(AU64:AX64)+SUM(AU79:AX79)+SUM(AU94:AX94)+SUM(AU121:AX121)+SUM(AU132:AX132)+SUM(AU141:AX141)+SUM(AU150:AX150)+SUM(AU173:AX173)+AU188+AU198+SUM(AU211:AX211)</f>
        <v>0</v>
      </c>
      <c r="N295" s="858">
        <f>SQRT(SUMSQ(X211,X198,X188,X173,X150,X141,X132,X121,X94,X79,X64,X47))</f>
        <v>5911.8223180335863</v>
      </c>
      <c r="O295" s="856"/>
      <c r="AD295" s="817"/>
      <c r="AE295" s="817"/>
      <c r="AF295" s="817"/>
      <c r="AQ295" s="817"/>
      <c r="AU295" s="817"/>
      <c r="AZ295" s="576"/>
      <c r="BA295" s="576"/>
      <c r="BB295" s="576"/>
      <c r="BC295" s="576"/>
      <c r="BD295" s="576"/>
      <c r="BE295" s="576"/>
      <c r="BF295" s="576"/>
      <c r="BG295" s="576"/>
      <c r="BH295" s="576"/>
      <c r="BI295" s="576"/>
      <c r="BJ295" s="576"/>
      <c r="BK295" s="576"/>
    </row>
    <row r="296" spans="2:63" s="113" customFormat="1" ht="12.75" hidden="1" customHeight="1" outlineLevel="1">
      <c r="B296" s="2704" t="s">
        <v>470</v>
      </c>
      <c r="C296" s="2705"/>
      <c r="D296" s="862" t="s">
        <v>746</v>
      </c>
      <c r="E296" s="855"/>
      <c r="F296" s="855"/>
      <c r="G296" s="855"/>
      <c r="H296" s="855"/>
      <c r="I296" s="855"/>
      <c r="J296" s="855"/>
      <c r="K296" s="855"/>
      <c r="L296" s="864"/>
      <c r="M296" s="853"/>
      <c r="N296" s="858"/>
      <c r="O296" s="856"/>
      <c r="AD296" s="817"/>
      <c r="AE296" s="817"/>
      <c r="AF296" s="817"/>
      <c r="AQ296" s="817"/>
      <c r="AU296" s="817"/>
      <c r="AZ296" s="576"/>
      <c r="BA296" s="576"/>
      <c r="BB296" s="576"/>
      <c r="BC296" s="576"/>
      <c r="BD296" s="576"/>
      <c r="BE296" s="576"/>
      <c r="BF296" s="576"/>
      <c r="BG296" s="576"/>
      <c r="BH296" s="576"/>
      <c r="BI296" s="576"/>
      <c r="BJ296" s="576"/>
      <c r="BK296" s="576"/>
    </row>
    <row r="297" spans="2:63" s="113" customFormat="1" ht="12.75" hidden="1" customHeight="1" outlineLevel="1">
      <c r="B297" s="2704" t="s">
        <v>479</v>
      </c>
      <c r="C297" s="2705"/>
      <c r="D297" s="862" t="s">
        <v>747</v>
      </c>
      <c r="E297" s="855"/>
      <c r="F297" s="855"/>
      <c r="G297" s="855"/>
      <c r="H297" s="855"/>
      <c r="I297" s="855"/>
      <c r="J297" s="855"/>
      <c r="K297" s="855"/>
      <c r="L297" s="864"/>
      <c r="M297" s="853"/>
      <c r="N297" s="858"/>
      <c r="O297" s="856"/>
      <c r="AD297" s="817"/>
      <c r="AE297" s="817"/>
      <c r="AF297" s="817"/>
      <c r="AQ297" s="817"/>
      <c r="AU297" s="817"/>
      <c r="AZ297" s="576"/>
      <c r="BA297" s="576"/>
      <c r="BB297" s="576"/>
      <c r="BC297" s="576"/>
      <c r="BD297" s="576"/>
      <c r="BE297" s="576"/>
      <c r="BF297" s="576"/>
      <c r="BG297" s="576"/>
      <c r="BH297" s="576"/>
      <c r="BI297" s="576"/>
      <c r="BJ297" s="576"/>
      <c r="BK297" s="576"/>
    </row>
    <row r="298" spans="2:63" s="113" customFormat="1" ht="12.75" hidden="1" customHeight="1" outlineLevel="1">
      <c r="B298" s="2704" t="s">
        <v>471</v>
      </c>
      <c r="C298" s="2705"/>
      <c r="D298" s="862" t="s">
        <v>748</v>
      </c>
      <c r="E298" s="855"/>
      <c r="F298" s="855"/>
      <c r="G298" s="855"/>
      <c r="H298" s="855"/>
      <c r="I298" s="855"/>
      <c r="J298" s="855"/>
      <c r="K298" s="855"/>
      <c r="L298" s="864"/>
      <c r="M298" s="853"/>
      <c r="N298" s="858"/>
      <c r="O298" s="856"/>
      <c r="AD298" s="817"/>
      <c r="AE298" s="817"/>
      <c r="AF298" s="817"/>
      <c r="AQ298" s="817"/>
      <c r="AU298" s="817"/>
      <c r="AZ298" s="576"/>
      <c r="BA298" s="576"/>
      <c r="BB298" s="576"/>
      <c r="BC298" s="576"/>
      <c r="BD298" s="576"/>
      <c r="BE298" s="576"/>
      <c r="BF298" s="576"/>
      <c r="BG298" s="576"/>
      <c r="BH298" s="576"/>
      <c r="BI298" s="576"/>
      <c r="BJ298" s="576"/>
      <c r="BK298" s="576"/>
    </row>
    <row r="299" spans="2:63" s="113" customFormat="1" ht="12.75" hidden="1" customHeight="1" outlineLevel="1">
      <c r="B299" s="2704" t="s">
        <v>762</v>
      </c>
      <c r="C299" s="2705"/>
      <c r="D299" s="854"/>
      <c r="E299" s="855"/>
      <c r="F299" s="855"/>
      <c r="G299" s="855"/>
      <c r="H299" s="855"/>
      <c r="I299" s="855"/>
      <c r="J299" s="855"/>
      <c r="K299" s="855"/>
      <c r="L299" s="864"/>
      <c r="M299" s="853"/>
      <c r="N299" s="858"/>
      <c r="O299" s="856"/>
      <c r="AD299" s="817"/>
      <c r="AE299" s="817"/>
      <c r="AF299" s="817"/>
      <c r="AQ299" s="817"/>
      <c r="AU299" s="817"/>
      <c r="AZ299" s="576"/>
      <c r="BA299" s="576"/>
      <c r="BB299" s="576"/>
      <c r="BC299" s="576"/>
      <c r="BD299" s="576"/>
      <c r="BE299" s="576"/>
      <c r="BF299" s="576"/>
      <c r="BG299" s="576"/>
      <c r="BH299" s="576"/>
      <c r="BI299" s="576"/>
      <c r="BJ299" s="576"/>
      <c r="BK299" s="576"/>
    </row>
    <row r="300" spans="2:63" s="113" customFormat="1" ht="12.75" hidden="1" customHeight="1" outlineLevel="1">
      <c r="B300" s="2713" t="s">
        <v>756</v>
      </c>
      <c r="C300" s="2714"/>
      <c r="D300" s="2714"/>
      <c r="E300" s="2714"/>
      <c r="F300" s="2714"/>
      <c r="G300" s="2714"/>
      <c r="H300" s="2714"/>
      <c r="I300" s="2714"/>
      <c r="J300" s="2714"/>
      <c r="K300" s="2714"/>
      <c r="L300" s="2714"/>
      <c r="M300" s="2714"/>
      <c r="N300" s="2714"/>
      <c r="O300" s="2715"/>
      <c r="AD300" s="817"/>
      <c r="AE300" s="817"/>
      <c r="AF300" s="817"/>
      <c r="AQ300" s="817"/>
      <c r="AU300" s="817"/>
      <c r="AZ300" s="576"/>
      <c r="BA300" s="576"/>
      <c r="BB300" s="576"/>
      <c r="BC300" s="576"/>
      <c r="BD300" s="576"/>
      <c r="BE300" s="576"/>
      <c r="BF300" s="576"/>
      <c r="BG300" s="576"/>
      <c r="BH300" s="576"/>
      <c r="BI300" s="576"/>
      <c r="BJ300" s="576"/>
      <c r="BK300" s="576"/>
    </row>
    <row r="301" spans="2:63" s="113" customFormat="1" ht="12.75" hidden="1" customHeight="1" outlineLevel="1">
      <c r="B301" s="2704" t="s">
        <v>737</v>
      </c>
      <c r="C301" s="2705"/>
      <c r="D301" s="862" t="s">
        <v>749</v>
      </c>
      <c r="E301" s="855"/>
      <c r="F301" s="855"/>
      <c r="G301" s="855"/>
      <c r="H301" s="855"/>
      <c r="I301" s="855"/>
      <c r="J301" s="855"/>
      <c r="K301" s="855"/>
      <c r="L301" s="864"/>
      <c r="M301" s="853"/>
      <c r="N301" s="858"/>
      <c r="O301" s="856"/>
      <c r="AD301" s="817"/>
      <c r="AE301" s="817"/>
      <c r="AF301" s="817"/>
      <c r="AQ301" s="817"/>
      <c r="AU301" s="817"/>
      <c r="AZ301" s="576"/>
      <c r="BA301" s="576"/>
      <c r="BB301" s="576"/>
      <c r="BC301" s="576"/>
      <c r="BD301" s="576"/>
      <c r="BE301" s="576"/>
      <c r="BF301" s="576"/>
      <c r="BG301" s="576"/>
      <c r="BH301" s="576"/>
      <c r="BI301" s="576"/>
      <c r="BJ301" s="576"/>
      <c r="BK301" s="576"/>
    </row>
    <row r="302" spans="2:63" s="113" customFormat="1" ht="12.75" hidden="1" customHeight="1" outlineLevel="1">
      <c r="B302" s="2704" t="s">
        <v>738</v>
      </c>
      <c r="C302" s="2705"/>
      <c r="D302" s="862" t="s">
        <v>750</v>
      </c>
      <c r="E302" s="855"/>
      <c r="F302" s="855"/>
      <c r="G302" s="855"/>
      <c r="H302" s="855"/>
      <c r="I302" s="855"/>
      <c r="J302" s="855"/>
      <c r="K302" s="855"/>
      <c r="L302" s="864"/>
      <c r="M302" s="853"/>
      <c r="N302" s="858"/>
      <c r="O302" s="856"/>
      <c r="AD302" s="817"/>
      <c r="AE302" s="817"/>
      <c r="AF302" s="817"/>
      <c r="AQ302" s="817"/>
      <c r="AU302" s="817"/>
      <c r="AZ302" s="576"/>
      <c r="BA302" s="576"/>
      <c r="BB302" s="576"/>
      <c r="BC302" s="576"/>
      <c r="BD302" s="576"/>
      <c r="BE302" s="576"/>
      <c r="BF302" s="576"/>
      <c r="BG302" s="576"/>
      <c r="BH302" s="576"/>
      <c r="BI302" s="576"/>
      <c r="BJ302" s="576"/>
      <c r="BK302" s="576"/>
    </row>
    <row r="303" spans="2:63" s="113" customFormat="1" ht="12.75" hidden="1" customHeight="1" outlineLevel="1">
      <c r="B303" s="2704" t="s">
        <v>475</v>
      </c>
      <c r="C303" s="2705"/>
      <c r="D303" s="862" t="s">
        <v>751</v>
      </c>
      <c r="E303" s="855"/>
      <c r="F303" s="855"/>
      <c r="G303" s="855"/>
      <c r="H303" s="855"/>
      <c r="I303" s="855"/>
      <c r="J303" s="855"/>
      <c r="K303" s="855"/>
      <c r="L303" s="864"/>
      <c r="M303" s="853"/>
      <c r="N303" s="858"/>
      <c r="O303" s="856"/>
      <c r="AD303" s="817"/>
      <c r="AE303" s="817"/>
      <c r="AF303" s="817"/>
      <c r="AQ303" s="817"/>
      <c r="AU303" s="817"/>
      <c r="AZ303" s="576"/>
      <c r="BA303" s="576"/>
      <c r="BB303" s="576"/>
      <c r="BC303" s="576"/>
      <c r="BD303" s="576"/>
      <c r="BE303" s="576"/>
      <c r="BF303" s="576"/>
      <c r="BG303" s="576"/>
      <c r="BH303" s="576"/>
      <c r="BI303" s="576"/>
      <c r="BJ303" s="576"/>
      <c r="BK303" s="576"/>
    </row>
    <row r="304" spans="2:63" s="113" customFormat="1" ht="12.75" hidden="1" customHeight="1" outlineLevel="1">
      <c r="B304" s="2704" t="s">
        <v>476</v>
      </c>
      <c r="C304" s="2705"/>
      <c r="D304" s="862" t="s">
        <v>752</v>
      </c>
      <c r="E304" s="855"/>
      <c r="F304" s="855"/>
      <c r="G304" s="855"/>
      <c r="H304" s="855"/>
      <c r="I304" s="855"/>
      <c r="J304" s="855"/>
      <c r="K304" s="855"/>
      <c r="L304" s="864"/>
      <c r="M304" s="853"/>
      <c r="N304" s="858"/>
      <c r="O304" s="856"/>
      <c r="AD304" s="817"/>
      <c r="AE304" s="817"/>
      <c r="AF304" s="817"/>
      <c r="AQ304" s="817"/>
      <c r="AU304" s="817"/>
      <c r="AZ304" s="576"/>
      <c r="BA304" s="576"/>
      <c r="BB304" s="576"/>
      <c r="BC304" s="576"/>
      <c r="BD304" s="576"/>
      <c r="BE304" s="576"/>
      <c r="BF304" s="576"/>
      <c r="BG304" s="576"/>
      <c r="BH304" s="576"/>
      <c r="BI304" s="576"/>
      <c r="BJ304" s="576"/>
      <c r="BK304" s="576"/>
    </row>
    <row r="305" spans="2:63" s="113" customFormat="1" ht="12.75" hidden="1" customHeight="1" outlineLevel="1">
      <c r="B305" s="2704" t="s">
        <v>739</v>
      </c>
      <c r="C305" s="2705"/>
      <c r="D305" s="862" t="s">
        <v>753</v>
      </c>
      <c r="E305" s="855"/>
      <c r="F305" s="855"/>
      <c r="G305" s="855"/>
      <c r="H305" s="855"/>
      <c r="I305" s="855"/>
      <c r="J305" s="855"/>
      <c r="K305" s="855"/>
      <c r="L305" s="864"/>
      <c r="M305" s="853"/>
      <c r="N305" s="858"/>
      <c r="O305" s="856"/>
      <c r="AD305" s="817"/>
      <c r="AE305" s="817"/>
      <c r="AF305" s="817"/>
      <c r="AQ305" s="817"/>
      <c r="AU305" s="817"/>
      <c r="AZ305" s="576"/>
      <c r="BA305" s="576"/>
      <c r="BB305" s="576"/>
      <c r="BC305" s="576"/>
      <c r="BD305" s="576"/>
      <c r="BE305" s="576"/>
      <c r="BF305" s="576"/>
      <c r="BG305" s="576"/>
      <c r="BH305" s="576"/>
      <c r="BI305" s="576"/>
      <c r="BJ305" s="576"/>
      <c r="BK305" s="576"/>
    </row>
    <row r="306" spans="2:63" s="113" customFormat="1" ht="12.75" hidden="1" customHeight="1" outlineLevel="1">
      <c r="B306" s="2704" t="s">
        <v>740</v>
      </c>
      <c r="C306" s="2705"/>
      <c r="D306" s="862" t="s">
        <v>754</v>
      </c>
      <c r="E306" s="855"/>
      <c r="F306" s="855"/>
      <c r="G306" s="855"/>
      <c r="H306" s="855"/>
      <c r="I306" s="855"/>
      <c r="J306" s="855"/>
      <c r="K306" s="855"/>
      <c r="L306" s="864"/>
      <c r="M306" s="853"/>
      <c r="N306" s="858"/>
      <c r="O306" s="856"/>
      <c r="AD306" s="817"/>
      <c r="AE306" s="817"/>
      <c r="AF306" s="817"/>
      <c r="AQ306" s="817"/>
      <c r="AU306" s="817"/>
      <c r="AZ306" s="576"/>
      <c r="BA306" s="576"/>
      <c r="BB306" s="576"/>
      <c r="BC306" s="576"/>
      <c r="BD306" s="576"/>
      <c r="BE306" s="576"/>
      <c r="BF306" s="576"/>
      <c r="BG306" s="576"/>
      <c r="BH306" s="576"/>
      <c r="BI306" s="576"/>
      <c r="BJ306" s="576"/>
      <c r="BK306" s="576"/>
    </row>
    <row r="307" spans="2:63" s="113" customFormat="1" ht="12.75" hidden="1" customHeight="1" outlineLevel="1">
      <c r="B307" s="2704" t="s">
        <v>472</v>
      </c>
      <c r="C307" s="2705"/>
      <c r="D307" s="862" t="s">
        <v>755</v>
      </c>
      <c r="E307" s="855"/>
      <c r="F307" s="855"/>
      <c r="G307" s="855"/>
      <c r="H307" s="855"/>
      <c r="I307" s="855"/>
      <c r="J307" s="855"/>
      <c r="K307" s="855"/>
      <c r="L307" s="864"/>
      <c r="M307" s="853"/>
      <c r="N307" s="858"/>
      <c r="O307" s="856"/>
      <c r="AD307" s="817"/>
      <c r="AE307" s="817"/>
      <c r="AF307" s="817"/>
      <c r="AQ307" s="817"/>
      <c r="AU307" s="817"/>
      <c r="AZ307" s="576"/>
      <c r="BA307" s="576"/>
      <c r="BB307" s="576"/>
      <c r="BC307" s="576"/>
      <c r="BD307" s="576"/>
      <c r="BE307" s="576"/>
      <c r="BF307" s="576"/>
      <c r="BG307" s="576"/>
      <c r="BH307" s="576"/>
      <c r="BI307" s="576"/>
      <c r="BJ307" s="576"/>
      <c r="BK307" s="576"/>
    </row>
    <row r="308" spans="2:63" s="113" customFormat="1" ht="12.75" hidden="1" customHeight="1" outlineLevel="1">
      <c r="B308" s="2704" t="s">
        <v>763</v>
      </c>
      <c r="C308" s="2705"/>
      <c r="D308" s="854"/>
      <c r="E308" s="855"/>
      <c r="F308" s="855"/>
      <c r="G308" s="855"/>
      <c r="H308" s="855"/>
      <c r="I308" s="855"/>
      <c r="J308" s="855"/>
      <c r="K308" s="855"/>
      <c r="L308" s="864"/>
      <c r="M308" s="853"/>
      <c r="N308" s="858"/>
      <c r="O308" s="856"/>
      <c r="AD308" s="817"/>
      <c r="AE308" s="817"/>
      <c r="AF308" s="817"/>
      <c r="AQ308" s="817"/>
      <c r="AU308" s="817"/>
      <c r="AZ308" s="576"/>
      <c r="BA308" s="576"/>
      <c r="BB308" s="576"/>
      <c r="BC308" s="576"/>
      <c r="BD308" s="576"/>
      <c r="BE308" s="576"/>
      <c r="BF308" s="576"/>
      <c r="BG308" s="576"/>
      <c r="BH308" s="576"/>
      <c r="BI308" s="576"/>
      <c r="BJ308" s="576"/>
      <c r="BK308" s="576"/>
    </row>
    <row r="309" spans="2:63" s="113" customFormat="1" ht="12.75" hidden="1" customHeight="1" outlineLevel="1">
      <c r="B309" s="2710" t="s">
        <v>724</v>
      </c>
      <c r="C309" s="2711"/>
      <c r="D309" s="2712"/>
      <c r="E309" s="852">
        <f t="shared" ref="E309:O309" si="114">SUM(E291:E308)</f>
        <v>39170</v>
      </c>
      <c r="F309" s="852">
        <f t="shared" si="114"/>
        <v>0</v>
      </c>
      <c r="G309" s="852">
        <f t="shared" si="114"/>
        <v>0</v>
      </c>
      <c r="H309" s="852">
        <f t="shared" si="114"/>
        <v>0</v>
      </c>
      <c r="I309" s="852">
        <f t="shared" si="114"/>
        <v>0</v>
      </c>
      <c r="J309" s="852">
        <f t="shared" si="114"/>
        <v>0</v>
      </c>
      <c r="K309" s="852">
        <f t="shared" si="114"/>
        <v>0</v>
      </c>
      <c r="L309" s="852">
        <f t="shared" si="114"/>
        <v>39170</v>
      </c>
      <c r="M309" s="863">
        <f t="shared" si="114"/>
        <v>0</v>
      </c>
      <c r="N309" s="859">
        <f>SQRT(SUMSQ(N291:N308))</f>
        <v>5911.8223180335863</v>
      </c>
      <c r="O309" s="860">
        <f t="shared" si="114"/>
        <v>0</v>
      </c>
      <c r="AD309" s="817"/>
      <c r="AE309" s="817"/>
      <c r="AF309" s="817"/>
      <c r="AQ309" s="817"/>
      <c r="AU309" s="817"/>
      <c r="AZ309" s="576"/>
      <c r="BA309" s="576"/>
      <c r="BB309" s="576"/>
      <c r="BC309" s="576"/>
      <c r="BD309" s="576"/>
      <c r="BE309" s="576"/>
      <c r="BF309" s="576"/>
      <c r="BG309" s="576"/>
      <c r="BH309" s="576"/>
      <c r="BI309" s="576"/>
      <c r="BJ309" s="576"/>
      <c r="BK309" s="576"/>
    </row>
    <row r="310" spans="2:63" s="113" customFormat="1" ht="11.4" hidden="1" outlineLevel="1">
      <c r="W310" s="817"/>
      <c r="AJ310" s="817"/>
      <c r="AK310" s="817"/>
      <c r="AL310" s="817"/>
      <c r="AM310" s="817"/>
      <c r="AN310" s="817"/>
      <c r="AR310" s="817"/>
      <c r="AW310" s="576"/>
      <c r="AX310" s="576"/>
      <c r="AY310" s="576"/>
      <c r="AZ310" s="576"/>
      <c r="BA310" s="576"/>
      <c r="BB310" s="576"/>
      <c r="BC310" s="576"/>
      <c r="BD310" s="576"/>
      <c r="BE310" s="576"/>
      <c r="BF310" s="576"/>
      <c r="BG310" s="576"/>
      <c r="BH310" s="576"/>
    </row>
    <row r="311" spans="2:63"/>
    <row r="312" spans="2:63" s="113" customFormat="1" ht="15.75" customHeight="1" collapsed="1">
      <c r="B312" s="2716" t="s">
        <v>810</v>
      </c>
      <c r="C312" s="2717"/>
      <c r="D312" s="2717"/>
      <c r="E312" s="2717"/>
      <c r="F312" s="2717"/>
      <c r="G312" s="2717"/>
      <c r="H312" s="2717"/>
      <c r="I312" s="2717"/>
      <c r="J312" s="2717"/>
      <c r="K312" s="2717"/>
      <c r="L312" s="2717"/>
      <c r="M312" s="2717"/>
      <c r="N312" s="2717"/>
      <c r="O312" s="2718"/>
      <c r="W312" s="817"/>
      <c r="AJ312" s="817"/>
      <c r="AK312" s="817"/>
      <c r="AL312" s="817"/>
      <c r="AM312" s="817"/>
      <c r="AN312" s="817"/>
      <c r="AR312" s="817"/>
      <c r="AW312" s="576"/>
      <c r="AX312" s="576"/>
      <c r="AY312" s="576"/>
      <c r="AZ312" s="576"/>
      <c r="BA312" s="576"/>
      <c r="BB312" s="576"/>
      <c r="BC312" s="576"/>
      <c r="BD312" s="576"/>
      <c r="BE312" s="576"/>
      <c r="BF312" s="576"/>
      <c r="BG312" s="576"/>
      <c r="BH312" s="576"/>
    </row>
    <row r="313" spans="2:63" s="113" customFormat="1" ht="11.4" hidden="1" outlineLevel="1">
      <c r="Q313" s="908"/>
      <c r="R313" s="908"/>
      <c r="W313" s="817"/>
      <c r="AJ313" s="817"/>
      <c r="AK313" s="817"/>
      <c r="AL313" s="817"/>
      <c r="AM313" s="817"/>
      <c r="AN313" s="817"/>
      <c r="AR313" s="817"/>
      <c r="AW313" s="576"/>
      <c r="AX313" s="576"/>
      <c r="AY313" s="576"/>
      <c r="AZ313" s="576"/>
      <c r="BA313" s="576"/>
      <c r="BB313" s="576"/>
      <c r="BC313" s="576"/>
      <c r="BD313" s="576"/>
      <c r="BE313" s="576"/>
      <c r="BF313" s="576"/>
      <c r="BG313" s="576"/>
      <c r="BH313" s="576"/>
    </row>
    <row r="314" spans="2:63" s="113" customFormat="1" ht="38.25" hidden="1" customHeight="1" outlineLevel="1">
      <c r="B314" s="205"/>
      <c r="C314" s="205"/>
      <c r="D314" s="205"/>
      <c r="E314" s="2719" t="s">
        <v>448</v>
      </c>
      <c r="F314" s="2720"/>
      <c r="G314" s="2720"/>
      <c r="H314" s="2720"/>
      <c r="I314" s="2720"/>
      <c r="J314" s="2720"/>
      <c r="K314" s="2720"/>
      <c r="L314" s="2720"/>
      <c r="M314" s="2721"/>
      <c r="N314" s="971" t="s">
        <v>811</v>
      </c>
      <c r="O314" s="968" t="s">
        <v>440</v>
      </c>
      <c r="Q314" s="908"/>
      <c r="R314" s="908"/>
      <c r="W314" s="817"/>
      <c r="AJ314" s="817"/>
      <c r="AK314" s="817"/>
      <c r="AL314" s="817"/>
      <c r="AM314" s="817"/>
      <c r="AN314" s="817"/>
      <c r="AR314" s="817"/>
      <c r="AW314" s="576"/>
      <c r="AX314" s="576"/>
      <c r="AY314" s="576"/>
      <c r="AZ314" s="576"/>
      <c r="BA314" s="576"/>
      <c r="BB314" s="576"/>
      <c r="BC314" s="576"/>
      <c r="BD314" s="576"/>
      <c r="BE314" s="576"/>
      <c r="BF314" s="576"/>
      <c r="BG314" s="576"/>
      <c r="BH314" s="576"/>
    </row>
    <row r="315" spans="2:63" s="113" customFormat="1" ht="38.25" hidden="1" customHeight="1" outlineLevel="1">
      <c r="B315" s="2719" t="s">
        <v>438</v>
      </c>
      <c r="C315" s="2721"/>
      <c r="D315" s="970" t="s">
        <v>458</v>
      </c>
      <c r="E315" s="969" t="s">
        <v>853</v>
      </c>
      <c r="F315" s="969" t="s">
        <v>854</v>
      </c>
      <c r="G315" s="969" t="s">
        <v>855</v>
      </c>
      <c r="H315" s="969" t="s">
        <v>861</v>
      </c>
      <c r="I315" s="969" t="s">
        <v>852</v>
      </c>
      <c r="J315" s="970" t="s">
        <v>513</v>
      </c>
      <c r="K315" s="969" t="s">
        <v>862</v>
      </c>
      <c r="L315" s="969" t="s">
        <v>863</v>
      </c>
      <c r="M315" s="969" t="s">
        <v>514</v>
      </c>
      <c r="N315" s="972" t="s">
        <v>856</v>
      </c>
      <c r="O315" s="974" t="s">
        <v>513</v>
      </c>
      <c r="Q315" s="908"/>
      <c r="R315" s="908"/>
      <c r="W315" s="817"/>
      <c r="AJ315" s="817"/>
      <c r="AK315" s="817"/>
      <c r="AL315" s="817"/>
      <c r="AM315" s="817"/>
      <c r="AN315" s="817"/>
      <c r="AR315" s="817"/>
      <c r="AW315" s="576"/>
      <c r="AX315" s="576"/>
      <c r="AY315" s="576"/>
      <c r="AZ315" s="576"/>
      <c r="BA315" s="576"/>
      <c r="BB315" s="576"/>
      <c r="BC315" s="576"/>
      <c r="BD315" s="576"/>
      <c r="BE315" s="576"/>
      <c r="BF315" s="576"/>
      <c r="BG315" s="576"/>
      <c r="BH315" s="576"/>
    </row>
    <row r="316" spans="2:63" s="113" customFormat="1" ht="12.75" hidden="1" customHeight="1" outlineLevel="1">
      <c r="B316" s="2722" t="s">
        <v>459</v>
      </c>
      <c r="C316" s="2723"/>
      <c r="D316" s="973">
        <v>1</v>
      </c>
      <c r="E316" s="980"/>
      <c r="F316" s="980"/>
      <c r="G316" s="980"/>
      <c r="H316" s="980"/>
      <c r="I316" s="980"/>
      <c r="J316" s="981"/>
      <c r="K316" s="982"/>
      <c r="L316" s="982"/>
      <c r="M316" s="983"/>
      <c r="N316" s="984"/>
      <c r="O316" s="2724" t="s">
        <v>817</v>
      </c>
      <c r="Q316" s="908"/>
      <c r="R316" s="908"/>
      <c r="W316" s="817"/>
      <c r="AJ316" s="817"/>
      <c r="AK316" s="817"/>
      <c r="AL316" s="817"/>
      <c r="AM316" s="817"/>
      <c r="AN316" s="817"/>
      <c r="AR316" s="817"/>
      <c r="AW316" s="576"/>
      <c r="AX316" s="576"/>
      <c r="AY316" s="576"/>
      <c r="AZ316" s="576"/>
      <c r="BA316" s="576"/>
      <c r="BB316" s="576"/>
      <c r="BC316" s="576"/>
      <c r="BD316" s="576"/>
      <c r="BE316" s="576"/>
      <c r="BF316" s="576"/>
      <c r="BG316" s="576"/>
      <c r="BH316" s="576"/>
    </row>
    <row r="317" spans="2:63" s="113" customFormat="1" ht="12.75" hidden="1" customHeight="1" outlineLevel="1">
      <c r="B317" s="2722" t="s">
        <v>722</v>
      </c>
      <c r="C317" s="2723"/>
      <c r="D317" s="973">
        <v>2</v>
      </c>
      <c r="E317" s="980"/>
      <c r="F317" s="980"/>
      <c r="G317" s="980"/>
      <c r="H317" s="980"/>
      <c r="I317" s="980"/>
      <c r="J317" s="981"/>
      <c r="K317" s="982"/>
      <c r="L317" s="982"/>
      <c r="M317" s="983"/>
      <c r="N317" s="984"/>
      <c r="O317" s="2725"/>
      <c r="Q317" s="908"/>
      <c r="R317" s="908"/>
      <c r="W317" s="817"/>
      <c r="AJ317" s="817"/>
      <c r="AK317" s="817"/>
      <c r="AL317" s="817"/>
      <c r="AM317" s="817"/>
      <c r="AN317" s="817"/>
      <c r="AR317" s="817"/>
      <c r="AW317" s="576"/>
      <c r="AX317" s="576"/>
      <c r="AY317" s="576"/>
      <c r="AZ317" s="576"/>
      <c r="BA317" s="576"/>
      <c r="BB317" s="576"/>
      <c r="BC317" s="576"/>
      <c r="BD317" s="576"/>
      <c r="BE317" s="576"/>
      <c r="BF317" s="576"/>
      <c r="BG317" s="576"/>
      <c r="BH317" s="576"/>
    </row>
    <row r="318" spans="2:63" s="113" customFormat="1" ht="12.75" hidden="1" customHeight="1" outlineLevel="1">
      <c r="B318" s="2722" t="s">
        <v>723</v>
      </c>
      <c r="C318" s="2723"/>
      <c r="D318" s="973">
        <v>3</v>
      </c>
      <c r="E318" s="980"/>
      <c r="F318" s="980"/>
      <c r="G318" s="980"/>
      <c r="H318" s="980"/>
      <c r="I318" s="980"/>
      <c r="J318" s="981"/>
      <c r="K318" s="982"/>
      <c r="L318" s="982"/>
      <c r="M318" s="983"/>
      <c r="N318" s="984"/>
      <c r="O318" s="2725"/>
      <c r="Q318" s="908"/>
      <c r="R318" s="908"/>
      <c r="W318" s="817"/>
      <c r="AJ318" s="817"/>
      <c r="AK318" s="817"/>
      <c r="AL318" s="817"/>
      <c r="AM318" s="817"/>
      <c r="AN318" s="817"/>
      <c r="AR318" s="817"/>
      <c r="AW318" s="576"/>
      <c r="AX318" s="576"/>
      <c r="AY318" s="576"/>
      <c r="AZ318" s="576"/>
      <c r="BA318" s="576"/>
      <c r="BB318" s="576"/>
      <c r="BC318" s="576"/>
      <c r="BD318" s="576"/>
      <c r="BE318" s="576"/>
      <c r="BF318" s="576"/>
      <c r="BG318" s="576"/>
      <c r="BH318" s="576"/>
    </row>
    <row r="319" spans="2:63" s="113" customFormat="1" ht="12.75" hidden="1" customHeight="1" outlineLevel="1">
      <c r="B319" s="2722" t="s">
        <v>462</v>
      </c>
      <c r="C319" s="2723"/>
      <c r="D319" s="973">
        <v>4</v>
      </c>
      <c r="E319" s="980"/>
      <c r="F319" s="980"/>
      <c r="G319" s="980"/>
      <c r="H319" s="980"/>
      <c r="I319" s="980"/>
      <c r="J319" s="981"/>
      <c r="K319" s="982"/>
      <c r="L319" s="982"/>
      <c r="M319" s="983"/>
      <c r="N319" s="984"/>
      <c r="O319" s="2725"/>
      <c r="Q319" s="908"/>
      <c r="R319" s="908"/>
      <c r="W319" s="817"/>
      <c r="AJ319" s="817"/>
      <c r="AK319" s="817"/>
      <c r="AL319" s="817"/>
      <c r="AM319" s="817"/>
      <c r="AN319" s="817"/>
      <c r="AR319" s="817"/>
      <c r="AW319" s="576"/>
      <c r="AX319" s="576"/>
      <c r="AY319" s="576"/>
      <c r="AZ319" s="576"/>
      <c r="BA319" s="576"/>
      <c r="BB319" s="576"/>
      <c r="BC319" s="576"/>
      <c r="BD319" s="576"/>
      <c r="BE319" s="576"/>
      <c r="BF319" s="576"/>
      <c r="BG319" s="576"/>
      <c r="BH319" s="576"/>
    </row>
    <row r="320" spans="2:63" s="113" customFormat="1" ht="12.75" hidden="1" customHeight="1" outlineLevel="1">
      <c r="B320" s="2722" t="s">
        <v>812</v>
      </c>
      <c r="C320" s="2723"/>
      <c r="D320" s="973">
        <v>5</v>
      </c>
      <c r="E320" s="980"/>
      <c r="F320" s="980"/>
      <c r="G320" s="980"/>
      <c r="H320" s="980"/>
      <c r="I320" s="980"/>
      <c r="J320" s="981"/>
      <c r="K320" s="982"/>
      <c r="L320" s="982"/>
      <c r="M320" s="983"/>
      <c r="N320" s="985"/>
      <c r="O320" s="2725"/>
      <c r="Q320" s="908"/>
      <c r="R320" s="908"/>
      <c r="W320" s="817"/>
      <c r="AJ320" s="817"/>
      <c r="AK320" s="817"/>
      <c r="AL320" s="817"/>
      <c r="AM320" s="817"/>
      <c r="AN320" s="817"/>
      <c r="AR320" s="817"/>
      <c r="AW320" s="576"/>
      <c r="AX320" s="576"/>
      <c r="AY320" s="576"/>
      <c r="AZ320" s="576"/>
      <c r="BA320" s="576"/>
      <c r="BB320" s="576"/>
      <c r="BC320" s="576"/>
      <c r="BD320" s="576"/>
      <c r="BE320" s="576"/>
      <c r="BF320" s="576"/>
      <c r="BG320" s="576"/>
      <c r="BH320" s="576"/>
    </row>
    <row r="321" spans="2:60" s="113" customFormat="1" ht="12.75" hidden="1" customHeight="1" outlineLevel="1">
      <c r="B321" s="2727" t="s">
        <v>726</v>
      </c>
      <c r="C321" s="2728"/>
      <c r="D321" s="2729"/>
      <c r="E321" s="986">
        <f>SUM(E316:E320)</f>
        <v>0</v>
      </c>
      <c r="F321" s="986">
        <f t="shared" ref="F321:N321" si="115">SUM(F316:F320)</f>
        <v>0</v>
      </c>
      <c r="G321" s="986">
        <f t="shared" si="115"/>
        <v>0</v>
      </c>
      <c r="H321" s="986">
        <f t="shared" si="115"/>
        <v>0</v>
      </c>
      <c r="I321" s="986">
        <f t="shared" si="115"/>
        <v>0</v>
      </c>
      <c r="J321" s="986">
        <f t="shared" si="115"/>
        <v>0</v>
      </c>
      <c r="K321" s="987">
        <f t="shared" si="115"/>
        <v>0</v>
      </c>
      <c r="L321" s="987">
        <f t="shared" si="115"/>
        <v>0</v>
      </c>
      <c r="M321" s="988">
        <f>SQRT(SUMSQ(M316:M320))</f>
        <v>0</v>
      </c>
      <c r="N321" s="989">
        <f t="shared" si="115"/>
        <v>0</v>
      </c>
      <c r="O321" s="2726"/>
      <c r="Q321" s="908"/>
      <c r="R321" s="908"/>
      <c r="W321" s="817"/>
      <c r="AJ321" s="817"/>
      <c r="AK321" s="817"/>
      <c r="AL321" s="817"/>
      <c r="AM321" s="817"/>
      <c r="AN321" s="817"/>
      <c r="AR321" s="817"/>
      <c r="AW321" s="576"/>
      <c r="AX321" s="576"/>
      <c r="AY321" s="576"/>
      <c r="AZ321" s="576"/>
      <c r="BA321" s="576"/>
      <c r="BB321" s="576"/>
      <c r="BC321" s="576"/>
      <c r="BD321" s="576"/>
      <c r="BE321" s="576"/>
      <c r="BF321" s="576"/>
      <c r="BG321" s="576"/>
      <c r="BH321" s="576"/>
    </row>
    <row r="322" spans="2:60" s="113" customFormat="1" ht="12.75" hidden="1" customHeight="1" outlineLevel="1">
      <c r="B322" s="2722" t="s">
        <v>464</v>
      </c>
      <c r="C322" s="2723"/>
      <c r="D322" s="973">
        <v>6</v>
      </c>
      <c r="E322" s="980"/>
      <c r="F322" s="980"/>
      <c r="G322" s="980"/>
      <c r="H322" s="980"/>
      <c r="I322" s="980"/>
      <c r="J322" s="981"/>
      <c r="K322" s="982"/>
      <c r="L322" s="982"/>
      <c r="M322" s="983"/>
      <c r="N322" s="984"/>
      <c r="O322" s="990"/>
      <c r="Q322" s="908"/>
      <c r="R322" s="908"/>
      <c r="W322" s="817"/>
      <c r="AJ322" s="817"/>
      <c r="AK322" s="817"/>
      <c r="AL322" s="817"/>
      <c r="AM322" s="817"/>
      <c r="AN322" s="817"/>
      <c r="AR322" s="817"/>
      <c r="AW322" s="576"/>
      <c r="AX322" s="576"/>
      <c r="AY322" s="576"/>
      <c r="AZ322" s="576"/>
      <c r="BA322" s="576"/>
      <c r="BB322" s="576"/>
      <c r="BC322" s="576"/>
      <c r="BD322" s="576"/>
      <c r="BE322" s="576"/>
      <c r="BF322" s="576"/>
      <c r="BG322" s="576"/>
      <c r="BH322" s="576"/>
    </row>
    <row r="323" spans="2:60" s="113" customFormat="1" ht="12.75" hidden="1" customHeight="1" outlineLevel="1">
      <c r="B323" s="2722" t="s">
        <v>813</v>
      </c>
      <c r="C323" s="2723"/>
      <c r="D323" s="973">
        <v>7</v>
      </c>
      <c r="E323" s="980"/>
      <c r="F323" s="980"/>
      <c r="G323" s="980"/>
      <c r="H323" s="980"/>
      <c r="I323" s="980"/>
      <c r="J323" s="981"/>
      <c r="K323" s="982"/>
      <c r="L323" s="982"/>
      <c r="M323" s="983"/>
      <c r="N323" s="984"/>
      <c r="O323" s="984"/>
      <c r="Q323" s="908"/>
      <c r="R323" s="908"/>
      <c r="W323" s="817"/>
      <c r="AJ323" s="817"/>
      <c r="AK323" s="817"/>
      <c r="AL323" s="817"/>
      <c r="AM323" s="817"/>
      <c r="AN323" s="817"/>
      <c r="AR323" s="817"/>
      <c r="AW323" s="576"/>
      <c r="AX323" s="576"/>
      <c r="AY323" s="576"/>
      <c r="AZ323" s="576"/>
      <c r="BA323" s="576"/>
      <c r="BB323" s="576"/>
      <c r="BC323" s="576"/>
      <c r="BD323" s="576"/>
      <c r="BE323" s="576"/>
      <c r="BF323" s="576"/>
      <c r="BG323" s="576"/>
      <c r="BH323" s="576"/>
    </row>
    <row r="324" spans="2:60" s="113" customFormat="1" ht="12.75" hidden="1" customHeight="1" outlineLevel="1">
      <c r="B324" s="2727" t="s">
        <v>725</v>
      </c>
      <c r="C324" s="2728"/>
      <c r="D324" s="2729"/>
      <c r="E324" s="986">
        <f>SUM(E322:E323)</f>
        <v>0</v>
      </c>
      <c r="F324" s="986">
        <f t="shared" ref="F324:O324" si="116">SUM(F322:F323)</f>
        <v>0</v>
      </c>
      <c r="G324" s="986">
        <f t="shared" si="116"/>
        <v>0</v>
      </c>
      <c r="H324" s="986">
        <f t="shared" si="116"/>
        <v>0</v>
      </c>
      <c r="I324" s="986">
        <f t="shared" si="116"/>
        <v>0</v>
      </c>
      <c r="J324" s="986">
        <f t="shared" si="116"/>
        <v>0</v>
      </c>
      <c r="K324" s="987">
        <f t="shared" si="116"/>
        <v>0</v>
      </c>
      <c r="L324" s="987">
        <f t="shared" si="116"/>
        <v>0</v>
      </c>
      <c r="M324" s="988">
        <f>SQRT(SUMSQ(M322:M323))</f>
        <v>0</v>
      </c>
      <c r="N324" s="989">
        <f t="shared" si="116"/>
        <v>0</v>
      </c>
      <c r="O324" s="989">
        <f t="shared" si="116"/>
        <v>0</v>
      </c>
      <c r="Q324" s="908"/>
      <c r="R324" s="908"/>
      <c r="W324" s="817"/>
      <c r="AJ324" s="817"/>
      <c r="AK324" s="817"/>
      <c r="AL324" s="817"/>
      <c r="AM324" s="817"/>
      <c r="AN324" s="817"/>
      <c r="AR324" s="817"/>
      <c r="AW324" s="576"/>
      <c r="AX324" s="576"/>
      <c r="AY324" s="576"/>
      <c r="AZ324" s="576"/>
      <c r="BA324" s="576"/>
      <c r="BB324" s="576"/>
      <c r="BC324" s="576"/>
      <c r="BD324" s="576"/>
      <c r="BE324" s="576"/>
      <c r="BF324" s="576"/>
      <c r="BG324" s="576"/>
      <c r="BH324" s="576"/>
    </row>
    <row r="325" spans="2:60" s="113" customFormat="1" ht="12.75" hidden="1" customHeight="1" outlineLevel="1">
      <c r="B325" s="2722" t="s">
        <v>466</v>
      </c>
      <c r="C325" s="2723"/>
      <c r="D325" s="973">
        <v>8</v>
      </c>
      <c r="E325" s="980"/>
      <c r="F325" s="980"/>
      <c r="G325" s="980"/>
      <c r="H325" s="980"/>
      <c r="I325" s="980"/>
      <c r="J325" s="981"/>
      <c r="K325" s="982"/>
      <c r="L325" s="982"/>
      <c r="M325" s="983"/>
      <c r="N325" s="984"/>
      <c r="O325" s="984"/>
      <c r="Q325" s="908"/>
      <c r="R325" s="908"/>
      <c r="W325" s="817"/>
      <c r="AJ325" s="817"/>
      <c r="AK325" s="817"/>
      <c r="AL325" s="817"/>
      <c r="AM325" s="817"/>
      <c r="AN325" s="817"/>
      <c r="AR325" s="817"/>
      <c r="AW325" s="576"/>
      <c r="AX325" s="576"/>
      <c r="AY325" s="576"/>
      <c r="AZ325" s="576"/>
      <c r="BA325" s="576"/>
      <c r="BB325" s="576"/>
      <c r="BC325" s="576"/>
      <c r="BD325" s="576"/>
      <c r="BE325" s="576"/>
      <c r="BF325" s="576"/>
      <c r="BG325" s="576"/>
      <c r="BH325" s="576"/>
    </row>
    <row r="326" spans="2:60" s="113" customFormat="1" ht="12.75" hidden="1" customHeight="1" outlineLevel="1">
      <c r="B326" s="2722" t="s">
        <v>814</v>
      </c>
      <c r="C326" s="2723"/>
      <c r="D326" s="973">
        <v>9</v>
      </c>
      <c r="E326" s="980"/>
      <c r="F326" s="980"/>
      <c r="G326" s="980"/>
      <c r="H326" s="980"/>
      <c r="I326" s="980"/>
      <c r="J326" s="981"/>
      <c r="K326" s="982"/>
      <c r="L326" s="982"/>
      <c r="M326" s="983"/>
      <c r="N326" s="984"/>
      <c r="O326" s="984"/>
      <c r="Q326" s="908"/>
      <c r="R326" s="908"/>
      <c r="W326" s="817"/>
      <c r="AJ326" s="817"/>
      <c r="AK326" s="817"/>
      <c r="AL326" s="817"/>
      <c r="AM326" s="817"/>
      <c r="AN326" s="817"/>
      <c r="AR326" s="817"/>
      <c r="AW326" s="576"/>
      <c r="AX326" s="576"/>
      <c r="AY326" s="576"/>
      <c r="AZ326" s="576"/>
      <c r="BA326" s="576"/>
      <c r="BB326" s="576"/>
      <c r="BC326" s="576"/>
      <c r="BD326" s="576"/>
      <c r="BE326" s="576"/>
      <c r="BF326" s="576"/>
      <c r="BG326" s="576"/>
      <c r="BH326" s="576"/>
    </row>
    <row r="327" spans="2:60" s="113" customFormat="1" ht="12.75" hidden="1" customHeight="1" outlineLevel="1">
      <c r="B327" s="2722" t="s">
        <v>734</v>
      </c>
      <c r="C327" s="2723"/>
      <c r="D327" s="973">
        <v>10</v>
      </c>
      <c r="E327" s="980"/>
      <c r="F327" s="980"/>
      <c r="G327" s="980"/>
      <c r="H327" s="980"/>
      <c r="I327" s="980"/>
      <c r="J327" s="981"/>
      <c r="K327" s="982"/>
      <c r="L327" s="982"/>
      <c r="M327" s="983"/>
      <c r="N327" s="984"/>
      <c r="O327" s="984"/>
      <c r="Q327" s="908"/>
      <c r="R327" s="908"/>
      <c r="W327" s="817"/>
      <c r="AJ327" s="817"/>
      <c r="AK327" s="817"/>
      <c r="AL327" s="817"/>
      <c r="AM327" s="817"/>
      <c r="AN327" s="817"/>
      <c r="AR327" s="817"/>
      <c r="AW327" s="576"/>
      <c r="AX327" s="576"/>
      <c r="AY327" s="576"/>
      <c r="AZ327" s="576"/>
      <c r="BA327" s="576"/>
      <c r="BB327" s="576"/>
      <c r="BC327" s="576"/>
      <c r="BD327" s="576"/>
      <c r="BE327" s="576"/>
      <c r="BF327" s="576"/>
      <c r="BG327" s="576"/>
      <c r="BH327" s="576"/>
    </row>
    <row r="328" spans="2:60" s="113" customFormat="1" ht="12.75" hidden="1" customHeight="1" outlineLevel="1">
      <c r="B328" s="2722" t="s">
        <v>736</v>
      </c>
      <c r="C328" s="2723"/>
      <c r="D328" s="973">
        <v>11</v>
      </c>
      <c r="E328" s="980">
        <f>SUM(AA47:AD47)+SUM(AA64:AD64)+SUM(AA79:AD79)+SUM(AA94:AD94)+SUM(AA121:AD121)+SUM(AA132:AD132)+SUM(AA141:AD141)+SUM(AA150:AD150)+SUM(AA173:AD173)+AA188+AA198+SUM(AA211:AD211)</f>
        <v>39170</v>
      </c>
      <c r="F328" s="980">
        <f>SUM(AE47:AH47)+SUM(AE64:AH64)+SUM(AE79:AH79)+SUM(AE94:AH94)+SUM(AE121:AH121)+SUM(AE132:AH132)+SUM(AE141:AH141)+SUM(AE150:AH150)+SUM(AE173:AH173)+AE188+AE198+SUM(AE211:AH211)</f>
        <v>0</v>
      </c>
      <c r="G328" s="980">
        <f>SUM(AI47:AL47)+SUM(AI64:AL64)+SUM(AI79:AL79)+SUM(AI94:AL94)+SUM(AI121:AL121)+SUM(AI132:AL132)+SUM(AI141:AL141)+SUM(AI150:AL150)+SUM(AI173:AL173)+AI188+AI198+SUM(AI211:AL211)</f>
        <v>0</v>
      </c>
      <c r="H328" s="980">
        <f>SUM(AM47:AP47)+SUM(AM64:AP64)+SUM(AM79:AP79)+SUM(AM94:AP94)+SUM(AM121:AP121)+SUM(AM132:AP132)+SUM(AM141:AP141)+SUM(AM150:AP150)+SUM(AM173:AP173)+AM188+SUM(AM211:AP211)</f>
        <v>0</v>
      </c>
      <c r="I328" s="980">
        <f>AM198</f>
        <v>0</v>
      </c>
      <c r="J328" s="981">
        <f>SUM(E328:I328)</f>
        <v>39170</v>
      </c>
      <c r="K328" s="982">
        <v>0</v>
      </c>
      <c r="L328" s="982">
        <f>SUM(AU47:AX47)+SUM(AU64:AX64)+SUM(AU79:AX79)+SUM(AU94:AX94)+SUM(AU121:AX121)+SUM(AU132:AX132)+SUM(AU141:AX141)+SUM(AU150:AX150)+SUM(AU173:AX173)+AU188+AU198+SUM(AU211:AX211)</f>
        <v>0</v>
      </c>
      <c r="M328" s="983">
        <f>SQRT(SUMSQ(X211,X198,X188,X173,X150,X141,X132,X121,X94,X79,X64,X47))</f>
        <v>5911.8223180335863</v>
      </c>
      <c r="N328" s="984">
        <v>0</v>
      </c>
      <c r="O328" s="984"/>
      <c r="Q328" s="908"/>
      <c r="R328" s="908"/>
      <c r="W328" s="817"/>
      <c r="AJ328" s="817"/>
      <c r="AK328" s="817"/>
      <c r="AL328" s="817"/>
      <c r="AM328" s="817"/>
      <c r="AN328" s="817"/>
      <c r="AR328" s="817"/>
      <c r="AW328" s="576"/>
      <c r="AX328" s="576"/>
      <c r="AY328" s="576"/>
      <c r="AZ328" s="576"/>
      <c r="BA328" s="576"/>
      <c r="BB328" s="576"/>
      <c r="BC328" s="576"/>
      <c r="BD328" s="576"/>
      <c r="BE328" s="576"/>
      <c r="BF328" s="576"/>
      <c r="BG328" s="576"/>
      <c r="BH328" s="576"/>
    </row>
    <row r="329" spans="2:60" s="113" customFormat="1" ht="12.75" hidden="1" customHeight="1" outlineLevel="1">
      <c r="B329" s="2722" t="s">
        <v>815</v>
      </c>
      <c r="C329" s="2723"/>
      <c r="D329" s="973">
        <v>12</v>
      </c>
      <c r="E329" s="980"/>
      <c r="F329" s="980"/>
      <c r="G329" s="980"/>
      <c r="H329" s="980"/>
      <c r="I329" s="980"/>
      <c r="J329" s="981"/>
      <c r="K329" s="982"/>
      <c r="L329" s="982"/>
      <c r="M329" s="983"/>
      <c r="N329" s="984"/>
      <c r="O329" s="984"/>
      <c r="Q329" s="908"/>
      <c r="R329" s="908"/>
      <c r="W329" s="817"/>
      <c r="AJ329" s="817"/>
      <c r="AK329" s="817"/>
      <c r="AL329" s="817"/>
      <c r="AM329" s="817"/>
      <c r="AN329" s="817"/>
      <c r="AR329" s="817"/>
      <c r="AW329" s="576"/>
      <c r="AX329" s="576"/>
      <c r="AY329" s="576"/>
      <c r="AZ329" s="576"/>
      <c r="BA329" s="576"/>
      <c r="BB329" s="576"/>
      <c r="BC329" s="576"/>
      <c r="BD329" s="576"/>
      <c r="BE329" s="576"/>
      <c r="BF329" s="576"/>
      <c r="BG329" s="576"/>
      <c r="BH329" s="576"/>
    </row>
    <row r="330" spans="2:60" s="113" customFormat="1" ht="12.75" hidden="1" customHeight="1" outlineLevel="1">
      <c r="B330" s="2722" t="s">
        <v>470</v>
      </c>
      <c r="C330" s="2723"/>
      <c r="D330" s="973">
        <v>13</v>
      </c>
      <c r="E330" s="980"/>
      <c r="F330" s="980"/>
      <c r="G330" s="980"/>
      <c r="H330" s="980"/>
      <c r="I330" s="980"/>
      <c r="J330" s="981"/>
      <c r="K330" s="982"/>
      <c r="L330" s="982"/>
      <c r="M330" s="983"/>
      <c r="N330" s="984"/>
      <c r="O330" s="984"/>
      <c r="Q330" s="908"/>
      <c r="R330" s="908"/>
      <c r="W330" s="817"/>
      <c r="AJ330" s="817"/>
      <c r="AK330" s="817"/>
      <c r="AL330" s="817"/>
      <c r="AM330" s="817"/>
      <c r="AN330" s="817"/>
      <c r="AR330" s="817"/>
      <c r="AW330" s="576"/>
      <c r="AX330" s="576"/>
      <c r="AY330" s="576"/>
      <c r="AZ330" s="576"/>
      <c r="BA330" s="576"/>
      <c r="BB330" s="576"/>
      <c r="BC330" s="576"/>
      <c r="BD330" s="576"/>
      <c r="BE330" s="576"/>
      <c r="BF330" s="576"/>
      <c r="BG330" s="576"/>
      <c r="BH330" s="576"/>
    </row>
    <row r="331" spans="2:60" s="113" customFormat="1" ht="12.75" hidden="1" customHeight="1" outlineLevel="1">
      <c r="B331" s="2722" t="s">
        <v>471</v>
      </c>
      <c r="C331" s="2723"/>
      <c r="D331" s="973">
        <v>14</v>
      </c>
      <c r="E331" s="980"/>
      <c r="F331" s="980"/>
      <c r="G331" s="980"/>
      <c r="H331" s="980"/>
      <c r="I331" s="980"/>
      <c r="J331" s="981"/>
      <c r="K331" s="982"/>
      <c r="L331" s="982"/>
      <c r="M331" s="983"/>
      <c r="N331" s="984"/>
      <c r="O331" s="984"/>
      <c r="Q331" s="908"/>
      <c r="R331" s="908"/>
      <c r="W331" s="817"/>
      <c r="AJ331" s="817"/>
      <c r="AK331" s="817"/>
      <c r="AL331" s="817"/>
      <c r="AM331" s="817"/>
      <c r="AN331" s="817"/>
      <c r="AR331" s="817"/>
      <c r="AW331" s="576"/>
      <c r="AX331" s="576"/>
      <c r="AY331" s="576"/>
      <c r="AZ331" s="576"/>
      <c r="BA331" s="576"/>
      <c r="BB331" s="576"/>
      <c r="BC331" s="576"/>
      <c r="BD331" s="576"/>
      <c r="BE331" s="576"/>
      <c r="BF331" s="576"/>
      <c r="BG331" s="576"/>
      <c r="BH331" s="576"/>
    </row>
    <row r="332" spans="2:60" s="113" customFormat="1" ht="12.75" hidden="1" customHeight="1" outlineLevel="1">
      <c r="B332" s="2722" t="s">
        <v>472</v>
      </c>
      <c r="C332" s="2723"/>
      <c r="D332" s="973">
        <v>15</v>
      </c>
      <c r="E332" s="980"/>
      <c r="F332" s="980"/>
      <c r="G332" s="980"/>
      <c r="H332" s="980"/>
      <c r="I332" s="980"/>
      <c r="J332" s="981"/>
      <c r="K332" s="982"/>
      <c r="L332" s="982"/>
      <c r="M332" s="983"/>
      <c r="N332" s="984"/>
      <c r="O332" s="984"/>
      <c r="Q332" s="908"/>
      <c r="R332" s="908"/>
      <c r="W332" s="817"/>
      <c r="AJ332" s="817"/>
      <c r="AK332" s="817"/>
      <c r="AL332" s="817"/>
      <c r="AM332" s="817"/>
      <c r="AN332" s="817"/>
      <c r="AR332" s="817"/>
      <c r="AW332" s="576"/>
      <c r="AX332" s="576"/>
      <c r="AY332" s="576"/>
      <c r="AZ332" s="576"/>
      <c r="BA332" s="576"/>
      <c r="BB332" s="576"/>
      <c r="BC332" s="576"/>
      <c r="BD332" s="576"/>
      <c r="BE332" s="576"/>
      <c r="BF332" s="576"/>
      <c r="BG332" s="576"/>
      <c r="BH332" s="576"/>
    </row>
    <row r="333" spans="2:60" s="113" customFormat="1" ht="12.75" hidden="1" customHeight="1" outlineLevel="1">
      <c r="B333" s="2722" t="s">
        <v>473</v>
      </c>
      <c r="C333" s="2723"/>
      <c r="D333" s="973">
        <v>16</v>
      </c>
      <c r="E333" s="980"/>
      <c r="F333" s="980"/>
      <c r="G333" s="980"/>
      <c r="H333" s="980"/>
      <c r="I333" s="980"/>
      <c r="J333" s="981"/>
      <c r="K333" s="982"/>
      <c r="L333" s="982"/>
      <c r="M333" s="983"/>
      <c r="N333" s="984"/>
      <c r="O333" s="984"/>
      <c r="Q333" s="908"/>
      <c r="R333" s="908"/>
      <c r="W333" s="817"/>
      <c r="AJ333" s="817"/>
      <c r="AK333" s="817"/>
      <c r="AL333" s="817"/>
      <c r="AM333" s="817"/>
      <c r="AN333" s="817"/>
      <c r="AR333" s="817"/>
      <c r="AW333" s="576"/>
      <c r="AX333" s="576"/>
      <c r="AY333" s="576"/>
      <c r="AZ333" s="576"/>
      <c r="BA333" s="576"/>
      <c r="BB333" s="576"/>
      <c r="BC333" s="576"/>
      <c r="BD333" s="576"/>
      <c r="BE333" s="576"/>
      <c r="BF333" s="576"/>
      <c r="BG333" s="576"/>
      <c r="BH333" s="576"/>
    </row>
    <row r="334" spans="2:60" s="113" customFormat="1" ht="12.75" hidden="1" customHeight="1" outlineLevel="1">
      <c r="B334" s="2722" t="s">
        <v>737</v>
      </c>
      <c r="C334" s="2723"/>
      <c r="D334" s="973">
        <v>17</v>
      </c>
      <c r="E334" s="980"/>
      <c r="F334" s="980"/>
      <c r="G334" s="980"/>
      <c r="H334" s="980"/>
      <c r="I334" s="980"/>
      <c r="J334" s="981"/>
      <c r="K334" s="982"/>
      <c r="L334" s="982"/>
      <c r="M334" s="983"/>
      <c r="N334" s="984"/>
      <c r="O334" s="984"/>
      <c r="Q334" s="908"/>
      <c r="R334" s="908"/>
      <c r="W334" s="817"/>
      <c r="AJ334" s="817"/>
      <c r="AK334" s="817"/>
      <c r="AL334" s="817"/>
      <c r="AM334" s="817"/>
      <c r="AN334" s="817"/>
      <c r="AR334" s="817"/>
      <c r="AW334" s="576"/>
      <c r="AX334" s="576"/>
      <c r="AY334" s="576"/>
      <c r="AZ334" s="576"/>
      <c r="BA334" s="576"/>
      <c r="BB334" s="576"/>
      <c r="BC334" s="576"/>
      <c r="BD334" s="576"/>
      <c r="BE334" s="576"/>
      <c r="BF334" s="576"/>
      <c r="BG334" s="576"/>
      <c r="BH334" s="576"/>
    </row>
    <row r="335" spans="2:60" s="113" customFormat="1" ht="12.75" hidden="1" customHeight="1" outlineLevel="1">
      <c r="B335" s="2722" t="s">
        <v>475</v>
      </c>
      <c r="C335" s="2723"/>
      <c r="D335" s="973">
        <v>18</v>
      </c>
      <c r="E335" s="980"/>
      <c r="F335" s="980"/>
      <c r="G335" s="980"/>
      <c r="H335" s="980"/>
      <c r="I335" s="980"/>
      <c r="J335" s="981"/>
      <c r="K335" s="982"/>
      <c r="L335" s="982"/>
      <c r="M335" s="983"/>
      <c r="N335" s="984"/>
      <c r="O335" s="984"/>
      <c r="Q335" s="908"/>
      <c r="R335" s="908"/>
      <c r="W335" s="817"/>
      <c r="AJ335" s="817"/>
      <c r="AK335" s="817"/>
      <c r="AL335" s="817"/>
      <c r="AM335" s="817"/>
      <c r="AN335" s="817"/>
      <c r="AR335" s="817"/>
      <c r="AW335" s="576"/>
      <c r="AX335" s="576"/>
      <c r="AY335" s="576"/>
      <c r="AZ335" s="576"/>
      <c r="BA335" s="576"/>
      <c r="BB335" s="576"/>
      <c r="BC335" s="576"/>
      <c r="BD335" s="576"/>
      <c r="BE335" s="576"/>
      <c r="BF335" s="576"/>
      <c r="BG335" s="576"/>
      <c r="BH335" s="576"/>
    </row>
    <row r="336" spans="2:60" s="113" customFormat="1" ht="12.75" hidden="1" customHeight="1" outlineLevel="1">
      <c r="B336" s="2722" t="s">
        <v>476</v>
      </c>
      <c r="C336" s="2723"/>
      <c r="D336" s="973">
        <v>19</v>
      </c>
      <c r="E336" s="980"/>
      <c r="F336" s="980"/>
      <c r="G336" s="980"/>
      <c r="H336" s="980"/>
      <c r="I336" s="980"/>
      <c r="J336" s="981"/>
      <c r="K336" s="982"/>
      <c r="L336" s="982"/>
      <c r="M336" s="983"/>
      <c r="N336" s="984"/>
      <c r="O336" s="984"/>
      <c r="Q336" s="908"/>
      <c r="R336" s="908"/>
      <c r="W336" s="817"/>
      <c r="AJ336" s="817"/>
      <c r="AK336" s="817"/>
      <c r="AL336" s="817"/>
      <c r="AM336" s="817"/>
      <c r="AN336" s="817"/>
      <c r="AR336" s="817"/>
      <c r="AW336" s="576"/>
      <c r="AX336" s="576"/>
      <c r="AY336" s="576"/>
      <c r="AZ336" s="576"/>
      <c r="BA336" s="576"/>
      <c r="BB336" s="576"/>
      <c r="BC336" s="576"/>
      <c r="BD336" s="576"/>
      <c r="BE336" s="576"/>
      <c r="BF336" s="576"/>
      <c r="BG336" s="576"/>
      <c r="BH336" s="576"/>
    </row>
    <row r="337" spans="1:60" s="113" customFormat="1" ht="12.75" hidden="1" customHeight="1" outlineLevel="1">
      <c r="B337" s="2722" t="s">
        <v>477</v>
      </c>
      <c r="C337" s="2723"/>
      <c r="D337" s="973">
        <v>20</v>
      </c>
      <c r="E337" s="980"/>
      <c r="F337" s="980"/>
      <c r="G337" s="980"/>
      <c r="H337" s="980"/>
      <c r="I337" s="980"/>
      <c r="J337" s="981"/>
      <c r="K337" s="982"/>
      <c r="L337" s="982"/>
      <c r="M337" s="983"/>
      <c r="N337" s="984"/>
      <c r="O337" s="984"/>
      <c r="Q337" s="908"/>
      <c r="R337" s="908"/>
      <c r="W337" s="817"/>
      <c r="AJ337" s="817"/>
      <c r="AK337" s="817"/>
      <c r="AL337" s="817"/>
      <c r="AM337" s="817"/>
      <c r="AN337" s="817"/>
      <c r="AR337" s="817"/>
      <c r="AW337" s="576"/>
      <c r="AX337" s="576"/>
      <c r="AY337" s="576"/>
      <c r="AZ337" s="576"/>
      <c r="BA337" s="576"/>
      <c r="BB337" s="576"/>
      <c r="BC337" s="576"/>
      <c r="BD337" s="576"/>
      <c r="BE337" s="576"/>
      <c r="BF337" s="576"/>
      <c r="BG337" s="576"/>
      <c r="BH337" s="576"/>
    </row>
    <row r="338" spans="1:60" s="113" customFormat="1" ht="12.75" hidden="1" customHeight="1" outlineLevel="1">
      <c r="B338" s="2722" t="s">
        <v>478</v>
      </c>
      <c r="C338" s="2723"/>
      <c r="D338" s="973">
        <v>21</v>
      </c>
      <c r="E338" s="980"/>
      <c r="F338" s="980"/>
      <c r="G338" s="980"/>
      <c r="H338" s="980"/>
      <c r="I338" s="980"/>
      <c r="J338" s="981"/>
      <c r="K338" s="982"/>
      <c r="L338" s="982"/>
      <c r="M338" s="983"/>
      <c r="N338" s="984"/>
      <c r="O338" s="984"/>
      <c r="Q338" s="908"/>
      <c r="R338" s="908"/>
      <c r="W338" s="817"/>
      <c r="AJ338" s="817"/>
      <c r="AK338" s="817"/>
      <c r="AL338" s="817"/>
      <c r="AM338" s="817"/>
      <c r="AN338" s="817"/>
      <c r="AR338" s="817"/>
      <c r="AW338" s="576"/>
      <c r="AX338" s="576"/>
      <c r="AY338" s="576"/>
      <c r="AZ338" s="576"/>
      <c r="BA338" s="576"/>
      <c r="BB338" s="576"/>
      <c r="BC338" s="576"/>
      <c r="BD338" s="576"/>
      <c r="BE338" s="576"/>
      <c r="BF338" s="576"/>
      <c r="BG338" s="576"/>
      <c r="BH338" s="576"/>
    </row>
    <row r="339" spans="1:60" s="113" customFormat="1" ht="12.75" hidden="1" customHeight="1" outlineLevel="1">
      <c r="B339" s="2722" t="s">
        <v>479</v>
      </c>
      <c r="C339" s="2723"/>
      <c r="D339" s="973">
        <v>22</v>
      </c>
      <c r="E339" s="980"/>
      <c r="F339" s="980"/>
      <c r="G339" s="980"/>
      <c r="H339" s="980"/>
      <c r="I339" s="980"/>
      <c r="J339" s="981"/>
      <c r="K339" s="982"/>
      <c r="L339" s="982"/>
      <c r="M339" s="983"/>
      <c r="N339" s="984"/>
      <c r="O339" s="984"/>
      <c r="Q339" s="908"/>
      <c r="R339" s="908"/>
      <c r="W339" s="817"/>
      <c r="AJ339" s="817"/>
      <c r="AK339" s="817"/>
      <c r="AL339" s="817"/>
      <c r="AM339" s="817"/>
      <c r="AN339" s="817"/>
      <c r="AR339" s="817"/>
      <c r="AW339" s="576"/>
      <c r="AX339" s="576"/>
      <c r="AY339" s="576"/>
      <c r="AZ339" s="576"/>
      <c r="BA339" s="576"/>
      <c r="BB339" s="576"/>
      <c r="BC339" s="576"/>
      <c r="BD339" s="576"/>
      <c r="BE339" s="576"/>
      <c r="BF339" s="576"/>
      <c r="BG339" s="576"/>
      <c r="BH339" s="576"/>
    </row>
    <row r="340" spans="1:60" s="113" customFormat="1" ht="12.75" hidden="1" customHeight="1" outlineLevel="1">
      <c r="B340" s="2722" t="s">
        <v>449</v>
      </c>
      <c r="C340" s="2723"/>
      <c r="D340" s="973">
        <v>23</v>
      </c>
      <c r="E340" s="980"/>
      <c r="F340" s="980"/>
      <c r="G340" s="980"/>
      <c r="H340" s="980"/>
      <c r="I340" s="980"/>
      <c r="J340" s="981"/>
      <c r="K340" s="982"/>
      <c r="L340" s="982"/>
      <c r="M340" s="983"/>
      <c r="N340" s="984"/>
      <c r="O340" s="984"/>
      <c r="Q340" s="908"/>
      <c r="R340" s="908"/>
      <c r="W340" s="817"/>
      <c r="AJ340" s="817"/>
      <c r="AK340" s="817"/>
      <c r="AL340" s="817"/>
      <c r="AM340" s="817"/>
      <c r="AN340" s="817"/>
      <c r="AR340" s="817"/>
      <c r="AW340" s="576"/>
      <c r="AX340" s="576"/>
      <c r="AY340" s="576"/>
      <c r="AZ340" s="576"/>
      <c r="BA340" s="576"/>
      <c r="BB340" s="576"/>
      <c r="BC340" s="576"/>
      <c r="BD340" s="576"/>
      <c r="BE340" s="576"/>
      <c r="BF340" s="576"/>
      <c r="BG340" s="576"/>
      <c r="BH340" s="576"/>
    </row>
    <row r="341" spans="1:60" s="113" customFormat="1" ht="12.75" hidden="1" customHeight="1" outlineLevel="1">
      <c r="B341" s="2727" t="s">
        <v>724</v>
      </c>
      <c r="C341" s="2728"/>
      <c r="D341" s="2729"/>
      <c r="E341" s="986">
        <f>SUM(E325:E340)</f>
        <v>39170</v>
      </c>
      <c r="F341" s="986">
        <f t="shared" ref="F341:O341" si="117">SUM(F325:F340)</f>
        <v>0</v>
      </c>
      <c r="G341" s="986">
        <f t="shared" si="117"/>
        <v>0</v>
      </c>
      <c r="H341" s="986">
        <f t="shared" si="117"/>
        <v>0</v>
      </c>
      <c r="I341" s="986">
        <f t="shared" si="117"/>
        <v>0</v>
      </c>
      <c r="J341" s="986">
        <f t="shared" si="117"/>
        <v>39170</v>
      </c>
      <c r="K341" s="987">
        <f t="shared" si="117"/>
        <v>0</v>
      </c>
      <c r="L341" s="987">
        <f t="shared" si="117"/>
        <v>0</v>
      </c>
      <c r="M341" s="988">
        <f>SQRT(SUMSQ(M325:M340))</f>
        <v>5911.8223180335863</v>
      </c>
      <c r="N341" s="989">
        <f t="shared" si="117"/>
        <v>0</v>
      </c>
      <c r="O341" s="989">
        <f t="shared" si="117"/>
        <v>0</v>
      </c>
      <c r="Q341" s="908"/>
      <c r="R341" s="908"/>
      <c r="W341" s="817"/>
      <c r="AJ341" s="817"/>
      <c r="AK341" s="817"/>
      <c r="AL341" s="817"/>
      <c r="AM341" s="817"/>
      <c r="AN341" s="817"/>
      <c r="AR341" s="817"/>
      <c r="AW341" s="576"/>
      <c r="AX341" s="576"/>
      <c r="AY341" s="576"/>
      <c r="AZ341" s="576"/>
      <c r="BA341" s="576"/>
      <c r="BB341" s="576"/>
      <c r="BC341" s="576"/>
      <c r="BD341" s="576"/>
      <c r="BE341" s="576"/>
      <c r="BF341" s="576"/>
      <c r="BG341" s="576"/>
      <c r="BH341" s="576"/>
    </row>
    <row r="342" spans="1:60" s="113" customFormat="1" ht="11.4" hidden="1" outlineLevel="1">
      <c r="Q342" s="908"/>
      <c r="R342" s="908"/>
      <c r="W342" s="817"/>
      <c r="AJ342" s="817"/>
      <c r="AK342" s="817"/>
      <c r="AL342" s="817"/>
      <c r="AM342" s="817"/>
      <c r="AN342" s="817"/>
      <c r="AR342" s="817"/>
      <c r="AW342" s="576"/>
      <c r="AX342" s="576"/>
      <c r="AY342" s="576"/>
      <c r="AZ342" s="576"/>
      <c r="BA342" s="576"/>
      <c r="BB342" s="576"/>
      <c r="BC342" s="576"/>
      <c r="BD342" s="576"/>
      <c r="BE342" s="576"/>
      <c r="BF342" s="576"/>
      <c r="BG342" s="576"/>
      <c r="BH342" s="576"/>
    </row>
    <row r="343" spans="1:60"/>
    <row r="344" spans="1:60" s="418" customFormat="1" ht="15.75" hidden="1" customHeight="1" collapsed="1">
      <c r="A344" s="113"/>
      <c r="B344" s="2730" t="s">
        <v>2443</v>
      </c>
      <c r="C344" s="2731"/>
      <c r="D344" s="2731"/>
      <c r="E344" s="2731"/>
      <c r="F344" s="2731"/>
      <c r="G344" s="2731"/>
      <c r="H344" s="2731"/>
      <c r="I344" s="2731"/>
      <c r="J344" s="2731"/>
      <c r="K344" s="2731"/>
      <c r="L344" s="2731"/>
      <c r="M344" s="2731"/>
      <c r="N344" s="2731"/>
      <c r="O344" s="2732"/>
      <c r="P344" s="113"/>
      <c r="Q344" s="113"/>
      <c r="R344" s="113"/>
      <c r="S344" s="113"/>
      <c r="T344" s="113"/>
      <c r="U344" s="113"/>
      <c r="V344" s="113"/>
      <c r="W344" s="113"/>
    </row>
    <row r="345" spans="1:60" s="418" customFormat="1" ht="11.4" hidden="1" outlineLevel="1">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row>
    <row r="346" spans="1:60" s="418" customFormat="1" ht="11.4" hidden="1" outlineLevel="1">
      <c r="A346" s="113"/>
      <c r="B346" s="113" t="s">
        <v>2549</v>
      </c>
      <c r="C346" s="113"/>
      <c r="D346" s="113"/>
      <c r="E346" s="113"/>
      <c r="F346" s="113"/>
      <c r="G346" s="113"/>
      <c r="H346" s="113"/>
      <c r="I346" s="113"/>
      <c r="J346" s="113"/>
      <c r="K346" s="113"/>
      <c r="L346" s="113"/>
      <c r="M346" s="113"/>
      <c r="N346" s="113"/>
      <c r="O346" s="113"/>
      <c r="P346" s="113"/>
      <c r="Q346" s="113"/>
      <c r="R346" s="113"/>
      <c r="S346" s="113"/>
      <c r="T346" s="113"/>
      <c r="U346" s="113"/>
      <c r="V346" s="113"/>
      <c r="W346" s="113"/>
    </row>
    <row r="347" spans="1:60" s="418" customFormat="1" ht="11.4" hidden="1" outlineLevel="1">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row>
    <row r="348" spans="1:60" s="418" customFormat="1" ht="11.4" hidden="1" outlineLevel="1">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row>
    <row r="349" spans="1:60" s="418" customFormat="1" ht="11.4" hidden="1" outlineLevel="1">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row>
    <row r="350" spans="1:60" s="418" customFormat="1" ht="11.4" hidden="1" outlineLevel="1">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row>
    <row r="351" spans="1:60" s="418" customFormat="1" ht="11.4" hidden="1" outlineLevel="1">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row>
    <row r="352" spans="1:60" s="418" customFormat="1" ht="11.4" hidden="1" outlineLevel="1">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row>
    <row r="353" spans="1:39" s="418" customFormat="1" ht="11.4" hidden="1">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row>
    <row r="354" spans="1:39" s="418" customFormat="1" ht="15.6" collapsed="1">
      <c r="A354" s="113"/>
      <c r="B354" s="2733" t="s">
        <v>2554</v>
      </c>
      <c r="C354" s="2734"/>
      <c r="D354" s="2734"/>
      <c r="E354" s="2734"/>
      <c r="F354" s="2734"/>
      <c r="G354" s="2734"/>
      <c r="H354" s="2734"/>
      <c r="I354" s="2734"/>
      <c r="J354" s="2734"/>
      <c r="K354" s="2734"/>
      <c r="L354" s="2734"/>
      <c r="M354" s="2734"/>
      <c r="N354" s="2734"/>
      <c r="O354" s="2735"/>
      <c r="P354" s="113"/>
      <c r="Q354" s="113"/>
      <c r="R354" s="113"/>
      <c r="S354" s="113"/>
      <c r="T354" s="113"/>
      <c r="U354" s="113"/>
      <c r="V354" s="113"/>
      <c r="W354" s="113"/>
    </row>
    <row r="355" spans="1:39" s="418" customFormat="1" ht="11.4" hidden="1" outlineLevel="1">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row>
    <row r="356" spans="1:39" s="113" customFormat="1" ht="38.25" hidden="1" customHeight="1" outlineLevel="1">
      <c r="B356" s="205"/>
      <c r="C356" s="205"/>
      <c r="D356" s="205"/>
      <c r="E356" s="2736" t="s">
        <v>448</v>
      </c>
      <c r="F356" s="2737"/>
      <c r="G356" s="2737"/>
      <c r="H356" s="2737"/>
      <c r="I356" s="2737"/>
      <c r="J356" s="2737"/>
      <c r="K356" s="2737"/>
      <c r="L356" s="2737"/>
      <c r="M356" s="2738"/>
      <c r="N356" s="1794" t="s">
        <v>811</v>
      </c>
      <c r="O356" s="1795" t="s">
        <v>440</v>
      </c>
      <c r="Q356" s="908"/>
      <c r="R356" s="908"/>
      <c r="W356" s="817"/>
      <c r="AB356" s="576"/>
      <c r="AC356" s="576"/>
      <c r="AD356" s="576"/>
      <c r="AE356" s="576"/>
      <c r="AF356" s="576"/>
      <c r="AG356" s="576"/>
      <c r="AH356" s="576"/>
      <c r="AI356" s="576"/>
      <c r="AJ356" s="576"/>
      <c r="AK356" s="576"/>
      <c r="AL356" s="576"/>
      <c r="AM356" s="576"/>
    </row>
    <row r="357" spans="1:39" s="113" customFormat="1" ht="38.25" hidden="1" customHeight="1" outlineLevel="1">
      <c r="B357" s="2736" t="s">
        <v>438</v>
      </c>
      <c r="C357" s="2738"/>
      <c r="D357" s="1795" t="s">
        <v>2510</v>
      </c>
      <c r="E357" s="1796" t="s">
        <v>853</v>
      </c>
      <c r="F357" s="1796" t="s">
        <v>854</v>
      </c>
      <c r="G357" s="1796" t="s">
        <v>855</v>
      </c>
      <c r="H357" s="1796" t="s">
        <v>861</v>
      </c>
      <c r="I357" s="1796" t="s">
        <v>852</v>
      </c>
      <c r="J357" s="1797" t="s">
        <v>513</v>
      </c>
      <c r="K357" s="1796" t="s">
        <v>862</v>
      </c>
      <c r="L357" s="1796" t="s">
        <v>863</v>
      </c>
      <c r="M357" s="1796" t="s">
        <v>514</v>
      </c>
      <c r="N357" s="1798" t="s">
        <v>856</v>
      </c>
      <c r="O357" s="1799" t="s">
        <v>513</v>
      </c>
      <c r="Q357" s="908"/>
      <c r="R357" s="908"/>
      <c r="W357" s="817"/>
      <c r="AB357" s="576"/>
      <c r="AC357" s="576"/>
      <c r="AD357" s="576"/>
      <c r="AE357" s="576"/>
      <c r="AF357" s="576"/>
      <c r="AG357" s="576"/>
      <c r="AH357" s="576"/>
      <c r="AI357" s="576"/>
      <c r="AJ357" s="576"/>
      <c r="AK357" s="576"/>
      <c r="AL357" s="576"/>
      <c r="AM357" s="576"/>
    </row>
    <row r="358" spans="1:39" s="113" customFormat="1" ht="12.75" hidden="1" customHeight="1" outlineLevel="1">
      <c r="B358" s="2722" t="s">
        <v>2481</v>
      </c>
      <c r="C358" s="2723"/>
      <c r="D358" s="973" t="s">
        <v>2503</v>
      </c>
      <c r="E358" s="980"/>
      <c r="F358" s="980"/>
      <c r="G358" s="980"/>
      <c r="H358" s="980"/>
      <c r="I358" s="980"/>
      <c r="J358" s="981"/>
      <c r="K358" s="982"/>
      <c r="L358" s="982"/>
      <c r="M358" s="983"/>
      <c r="N358" s="984"/>
      <c r="O358" s="1886" t="s">
        <v>817</v>
      </c>
      <c r="Q358" s="908"/>
      <c r="R358" s="908"/>
      <c r="W358" s="817"/>
      <c r="AB358" s="576"/>
      <c r="AC358" s="576"/>
      <c r="AD358" s="576"/>
      <c r="AE358" s="576"/>
      <c r="AF358" s="576"/>
      <c r="AG358" s="576"/>
      <c r="AH358" s="576"/>
      <c r="AI358" s="576"/>
      <c r="AJ358" s="576"/>
      <c r="AK358" s="576"/>
      <c r="AL358" s="576"/>
      <c r="AM358" s="576"/>
    </row>
    <row r="359" spans="1:39" s="113" customFormat="1" ht="12.75" hidden="1" customHeight="1" outlineLevel="1">
      <c r="B359" s="2722" t="s">
        <v>2482</v>
      </c>
      <c r="C359" s="2723"/>
      <c r="D359" s="1896" t="s">
        <v>2504</v>
      </c>
      <c r="E359" s="980"/>
      <c r="F359" s="980"/>
      <c r="G359" s="980"/>
      <c r="H359" s="980"/>
      <c r="I359" s="980"/>
      <c r="J359" s="981"/>
      <c r="K359" s="982"/>
      <c r="L359" s="982"/>
      <c r="M359" s="983"/>
      <c r="N359" s="984"/>
      <c r="O359" s="990"/>
      <c r="Q359" s="908"/>
      <c r="R359" s="908"/>
      <c r="W359" s="817"/>
      <c r="AB359" s="576"/>
      <c r="AC359" s="576"/>
      <c r="AD359" s="576"/>
      <c r="AE359" s="576"/>
      <c r="AF359" s="576"/>
      <c r="AG359" s="576"/>
      <c r="AH359" s="576"/>
      <c r="AI359" s="576"/>
      <c r="AJ359" s="576"/>
      <c r="AK359" s="576"/>
      <c r="AL359" s="576"/>
      <c r="AM359" s="576"/>
    </row>
    <row r="360" spans="1:39" s="113" customFormat="1" ht="12.75" hidden="1" customHeight="1" outlineLevel="1">
      <c r="B360" s="2722" t="s">
        <v>2483</v>
      </c>
      <c r="C360" s="2723"/>
      <c r="D360" s="973" t="s">
        <v>2505</v>
      </c>
      <c r="E360" s="980"/>
      <c r="F360" s="980"/>
      <c r="G360" s="980"/>
      <c r="H360" s="980"/>
      <c r="I360" s="980"/>
      <c r="J360" s="981"/>
      <c r="K360" s="982"/>
      <c r="L360" s="982"/>
      <c r="M360" s="983"/>
      <c r="N360" s="984"/>
      <c r="O360" s="984"/>
      <c r="Q360" s="908"/>
      <c r="R360" s="908"/>
      <c r="W360" s="817"/>
      <c r="AB360" s="576"/>
      <c r="AC360" s="576"/>
      <c r="AD360" s="576"/>
      <c r="AE360" s="576"/>
      <c r="AF360" s="576"/>
      <c r="AG360" s="576"/>
      <c r="AH360" s="576"/>
      <c r="AI360" s="576"/>
      <c r="AJ360" s="576"/>
      <c r="AK360" s="576"/>
      <c r="AL360" s="576"/>
      <c r="AM360" s="576"/>
    </row>
    <row r="361" spans="1:39" s="113" customFormat="1" ht="26.25" hidden="1" customHeight="1" outlineLevel="1">
      <c r="B361" s="2739" t="s">
        <v>2485</v>
      </c>
      <c r="C361" s="2740"/>
      <c r="D361" s="1896" t="s">
        <v>2506</v>
      </c>
      <c r="E361" s="980"/>
      <c r="F361" s="980"/>
      <c r="G361" s="980"/>
      <c r="H361" s="980"/>
      <c r="I361" s="980"/>
      <c r="J361" s="981"/>
      <c r="K361" s="982"/>
      <c r="L361" s="982"/>
      <c r="M361" s="983"/>
      <c r="N361" s="984"/>
      <c r="O361" s="984"/>
      <c r="Q361" s="908"/>
      <c r="R361" s="908"/>
      <c r="W361" s="817"/>
      <c r="AB361" s="576"/>
      <c r="AC361" s="576"/>
      <c r="AD361" s="576"/>
      <c r="AE361" s="576"/>
      <c r="AF361" s="576"/>
      <c r="AG361" s="576"/>
      <c r="AH361" s="576"/>
      <c r="AI361" s="576"/>
      <c r="AJ361" s="576"/>
      <c r="AK361" s="576"/>
      <c r="AL361" s="576"/>
      <c r="AM361" s="576"/>
    </row>
    <row r="362" spans="1:39" s="113" customFormat="1" ht="26.25" hidden="1" customHeight="1" outlineLevel="1">
      <c r="B362" s="2739" t="s">
        <v>2484</v>
      </c>
      <c r="C362" s="2740"/>
      <c r="D362" s="1897" t="s">
        <v>2507</v>
      </c>
      <c r="E362" s="980">
        <f>SUM(AA47:AD47)+SUM(AA64:AD64)+SUM(AA79:AD79)+SUM(AA94:AD94)+SUM(AA121:AD121)+SUM(AA132:AD132)+SUM(AA141:AD141)+SUM(AA150:AD150)+SUM(AA173:AD173)+AA188+AA198+SUM(AA211:AD211)</f>
        <v>39170</v>
      </c>
      <c r="F362" s="980">
        <f>SUM(AE47:AH47)+SUM(AE64:AH64)+SUM(AE79:AH79)+SUM(AE94:AH94)+SUM(AE121,AE132,AE141,AE150)+SUM(AE173:AH173)+AE188+AE198+SUM(AE211:AH211)</f>
        <v>0</v>
      </c>
      <c r="G362" s="980">
        <f>SUM(AI47:AL47)+SUM(AI64:AL64)+SUM(AI79:AL79)+SUM(AI94:AL94)+SUM(AI121,AI132,AI141,AI150)+SUM(AI173:AL173)+AI188+AI198+SUM(AI211:AL211)</f>
        <v>0</v>
      </c>
      <c r="H362" s="980">
        <f>SUM(AM47:AP47)+SUM(AM64:AP64)+SUM(AM79:AP79)+SUM(AM94:AP94)+SUM(AM121:AP121)+SUM(AM132:AP132)+SUM(AM141:AP141)+SUM(AM150:AP150)+SUM(AM173:AP173)+AM188+SUM(AM211:AP211)</f>
        <v>0</v>
      </c>
      <c r="I362" s="980">
        <f>AM198</f>
        <v>0</v>
      </c>
      <c r="J362" s="981">
        <f>SUM(E362:I362)</f>
        <v>39170</v>
      </c>
      <c r="K362" s="982">
        <v>0</v>
      </c>
      <c r="L362" s="982">
        <f>SUM(AU47:AX47)+SUM(AU64:AX64)+SUM(AU79:AX79)+SUM(AU94:AX94)+SUM(AU121,AU132,AU141,AU150)+SUM(AU173:AX173)+AU188+AU198+SUM(AU211:AX211)</f>
        <v>0</v>
      </c>
      <c r="M362" s="983">
        <f>SQRT(SUMSQ(X211,X198,X188,X173,X150,X141,X132,X121,X94,X79,X64,X47))</f>
        <v>5911.8223180335863</v>
      </c>
      <c r="N362" s="984">
        <v>0</v>
      </c>
      <c r="O362" s="984"/>
      <c r="Q362" s="908"/>
      <c r="R362" s="908"/>
      <c r="W362" s="817"/>
      <c r="AB362" s="576"/>
      <c r="AC362" s="576"/>
      <c r="AD362" s="576"/>
      <c r="AE362" s="576"/>
      <c r="AF362" s="576"/>
      <c r="AG362" s="576"/>
      <c r="AH362" s="576"/>
      <c r="AI362" s="576"/>
      <c r="AJ362" s="576"/>
      <c r="AK362" s="576"/>
      <c r="AL362" s="576"/>
      <c r="AM362" s="576"/>
    </row>
    <row r="363" spans="1:39" s="113" customFormat="1" ht="26.25" hidden="1" customHeight="1" outlineLevel="1">
      <c r="B363" s="2739" t="s">
        <v>2486</v>
      </c>
      <c r="C363" s="2740"/>
      <c r="D363" s="973" t="s">
        <v>2508</v>
      </c>
      <c r="E363" s="980"/>
      <c r="F363" s="980"/>
      <c r="G363" s="980"/>
      <c r="H363" s="980"/>
      <c r="I363" s="980"/>
      <c r="J363" s="981"/>
      <c r="K363" s="982"/>
      <c r="L363" s="982"/>
      <c r="M363" s="983"/>
      <c r="N363" s="984"/>
      <c r="O363" s="984"/>
      <c r="Q363" s="908"/>
      <c r="R363" s="908"/>
      <c r="W363" s="817"/>
      <c r="AB363" s="576"/>
      <c r="AC363" s="576"/>
      <c r="AD363" s="576"/>
      <c r="AE363" s="576"/>
      <c r="AF363" s="576"/>
      <c r="AG363" s="576"/>
      <c r="AH363" s="576"/>
      <c r="AI363" s="576"/>
      <c r="AJ363" s="576"/>
      <c r="AK363" s="576"/>
      <c r="AL363" s="576"/>
      <c r="AM363" s="576"/>
    </row>
    <row r="364" spans="1:39" s="113" customFormat="1" ht="12.75" hidden="1" customHeight="1" outlineLevel="1">
      <c r="B364" s="2722" t="s">
        <v>449</v>
      </c>
      <c r="C364" s="2723"/>
      <c r="D364" s="1898" t="s">
        <v>2509</v>
      </c>
      <c r="E364" s="980"/>
      <c r="F364" s="980"/>
      <c r="G364" s="980"/>
      <c r="H364" s="980"/>
      <c r="I364" s="980"/>
      <c r="J364" s="981"/>
      <c r="K364" s="982"/>
      <c r="L364" s="982"/>
      <c r="M364" s="983"/>
      <c r="N364" s="984"/>
      <c r="O364" s="984"/>
      <c r="Q364" s="908"/>
      <c r="R364" s="908"/>
      <c r="W364" s="817"/>
      <c r="AB364" s="576"/>
      <c r="AC364" s="576"/>
      <c r="AD364" s="576"/>
      <c r="AE364" s="576"/>
      <c r="AF364" s="576"/>
      <c r="AG364" s="576"/>
      <c r="AH364" s="576"/>
      <c r="AI364" s="576"/>
      <c r="AJ364" s="576"/>
      <c r="AK364" s="576"/>
      <c r="AL364" s="576"/>
      <c r="AM364" s="576"/>
    </row>
    <row r="365" spans="1:39" s="418" customFormat="1" ht="11.4" hidden="1" outlineLevel="1">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row>
    <row r="366" spans="1:39" s="418" customFormat="1" ht="11.4">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row>
    <row r="367" spans="1:39"/>
    <row r="368" spans="1:39"/>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sheetData>
  <mergeCells count="477">
    <mergeCell ref="AZ82:BA82"/>
    <mergeCell ref="B344:O344"/>
    <mergeCell ref="B354:O354"/>
    <mergeCell ref="R166:S166"/>
    <mergeCell ref="Q175:X175"/>
    <mergeCell ref="R177:S177"/>
    <mergeCell ref="R178:S178"/>
    <mergeCell ref="AA175:AX175"/>
    <mergeCell ref="AA176:AP176"/>
    <mergeCell ref="AQ176:AT176"/>
    <mergeCell ref="AA177:AD177"/>
    <mergeCell ref="AE177:AH177"/>
    <mergeCell ref="AI177:AL177"/>
    <mergeCell ref="AM177:AP177"/>
    <mergeCell ref="AQ177:AT177"/>
    <mergeCell ref="Q153:X153"/>
    <mergeCell ref="AA153:AX153"/>
    <mergeCell ref="AA154:AP154"/>
    <mergeCell ref="AQ154:AT154"/>
    <mergeCell ref="AA203:AX203"/>
    <mergeCell ref="AA204:AP204"/>
    <mergeCell ref="AQ204:AT204"/>
    <mergeCell ref="B340:C340"/>
    <mergeCell ref="B341:D341"/>
    <mergeCell ref="AE68:AH68"/>
    <mergeCell ref="AI68:AL68"/>
    <mergeCell ref="AM68:AP68"/>
    <mergeCell ref="AA81:AX81"/>
    <mergeCell ref="AA13:AP13"/>
    <mergeCell ref="AA51:AC51"/>
    <mergeCell ref="AE51:AG51"/>
    <mergeCell ref="AI51:AK51"/>
    <mergeCell ref="AM51:AO51"/>
    <mergeCell ref="AQ50:AT50"/>
    <mergeCell ref="AQ51:AT51"/>
    <mergeCell ref="AA50:AP50"/>
    <mergeCell ref="AA49:AX49"/>
    <mergeCell ref="AA48:AX48"/>
    <mergeCell ref="AZ13:BA13"/>
    <mergeCell ref="AZ50:BA50"/>
    <mergeCell ref="AZ67:BA67"/>
    <mergeCell ref="AA66:AX66"/>
    <mergeCell ref="AA14:AD14"/>
    <mergeCell ref="AE14:AH14"/>
    <mergeCell ref="AI14:AL14"/>
    <mergeCell ref="AM14:AP14"/>
    <mergeCell ref="Q66:X66"/>
    <mergeCell ref="AA67:AP67"/>
    <mergeCell ref="G51:N51"/>
    <mergeCell ref="B306:C306"/>
    <mergeCell ref="B307:C307"/>
    <mergeCell ref="B308:C308"/>
    <mergeCell ref="B309:D309"/>
    <mergeCell ref="B305:C305"/>
    <mergeCell ref="Q203:X203"/>
    <mergeCell ref="D218:F218"/>
    <mergeCell ref="R206:S206"/>
    <mergeCell ref="K218:N218"/>
    <mergeCell ref="B244:C244"/>
    <mergeCell ref="B216:O216"/>
    <mergeCell ref="G83:N83"/>
    <mergeCell ref="B264:C264"/>
    <mergeCell ref="B265:C265"/>
    <mergeCell ref="B266:C266"/>
    <mergeCell ref="B267:C267"/>
    <mergeCell ref="B268:C268"/>
    <mergeCell ref="B252:C252"/>
    <mergeCell ref="B253:C253"/>
    <mergeCell ref="B278:O278"/>
    <mergeCell ref="E280:N280"/>
    <mergeCell ref="B259:C259"/>
    <mergeCell ref="B260:C260"/>
    <mergeCell ref="B331:C331"/>
    <mergeCell ref="B332:C332"/>
    <mergeCell ref="B333:C333"/>
    <mergeCell ref="B334:C334"/>
    <mergeCell ref="B335:C335"/>
    <mergeCell ref="B336:C336"/>
    <mergeCell ref="B337:C337"/>
    <mergeCell ref="B338:C338"/>
    <mergeCell ref="B339:C339"/>
    <mergeCell ref="R192:S192"/>
    <mergeCell ref="R193:S193"/>
    <mergeCell ref="Q190:X190"/>
    <mergeCell ref="AA190:AX190"/>
    <mergeCell ref="AA12:AX12"/>
    <mergeCell ref="AQ14:AT14"/>
    <mergeCell ref="AQ67:AT67"/>
    <mergeCell ref="AQ68:AT68"/>
    <mergeCell ref="Q12:X12"/>
    <mergeCell ref="AQ13:AT13"/>
    <mergeCell ref="AA82:AP82"/>
    <mergeCell ref="AQ82:AT82"/>
    <mergeCell ref="R83:S83"/>
    <mergeCell ref="AM83:AP83"/>
    <mergeCell ref="AQ83:AT83"/>
    <mergeCell ref="AA83:AD83"/>
    <mergeCell ref="AE83:AH83"/>
    <mergeCell ref="AI83:AL83"/>
    <mergeCell ref="Q81:X81"/>
    <mergeCell ref="R14:S14"/>
    <mergeCell ref="R15:S15"/>
    <mergeCell ref="R68:S68"/>
    <mergeCell ref="AA128:AD128"/>
    <mergeCell ref="AE128:AH128"/>
    <mergeCell ref="G14:N14"/>
    <mergeCell ref="R52:S52"/>
    <mergeCell ref="R51:S51"/>
    <mergeCell ref="Q48:X48"/>
    <mergeCell ref="Q49:X49"/>
    <mergeCell ref="AA68:AD68"/>
    <mergeCell ref="B329:C329"/>
    <mergeCell ref="B330:C330"/>
    <mergeCell ref="B312:O312"/>
    <mergeCell ref="E314:M314"/>
    <mergeCell ref="B315:C315"/>
    <mergeCell ref="B316:C316"/>
    <mergeCell ref="O316:O321"/>
    <mergeCell ref="B317:C317"/>
    <mergeCell ref="B318:C318"/>
    <mergeCell ref="B319:C319"/>
    <mergeCell ref="B320:C320"/>
    <mergeCell ref="B321:D321"/>
    <mergeCell ref="B322:C322"/>
    <mergeCell ref="B323:C323"/>
    <mergeCell ref="B324:D324"/>
    <mergeCell ref="B325:C325"/>
    <mergeCell ref="B326:C326"/>
    <mergeCell ref="B327:C327"/>
    <mergeCell ref="B328:C328"/>
    <mergeCell ref="B285:C285"/>
    <mergeCell ref="B286:D286"/>
    <mergeCell ref="B287:C287"/>
    <mergeCell ref="B281:C281"/>
    <mergeCell ref="B282:C282"/>
    <mergeCell ref="B283:C283"/>
    <mergeCell ref="B284:C284"/>
    <mergeCell ref="B297:C297"/>
    <mergeCell ref="B298:C298"/>
    <mergeCell ref="B299:C299"/>
    <mergeCell ref="B300:O300"/>
    <mergeCell ref="B301:C301"/>
    <mergeCell ref="B302:C302"/>
    <mergeCell ref="B303:C303"/>
    <mergeCell ref="B304:C304"/>
    <mergeCell ref="B288:C288"/>
    <mergeCell ref="B289:D289"/>
    <mergeCell ref="B290:O290"/>
    <mergeCell ref="B291:C291"/>
    <mergeCell ref="B292:C292"/>
    <mergeCell ref="B293:C293"/>
    <mergeCell ref="B294:C294"/>
    <mergeCell ref="B295:C295"/>
    <mergeCell ref="G68:N68"/>
    <mergeCell ref="B262:C262"/>
    <mergeCell ref="B251:C251"/>
    <mergeCell ref="B254:C254"/>
    <mergeCell ref="B255:C255"/>
    <mergeCell ref="B256:C256"/>
    <mergeCell ref="B275:C275"/>
    <mergeCell ref="B263:C263"/>
    <mergeCell ref="B269:C269"/>
    <mergeCell ref="B270:C270"/>
    <mergeCell ref="B271:C271"/>
    <mergeCell ref="B272:C272"/>
    <mergeCell ref="B273:C273"/>
    <mergeCell ref="B274:C274"/>
    <mergeCell ref="B246:O246"/>
    <mergeCell ref="B257:C257"/>
    <mergeCell ref="B258:C258"/>
    <mergeCell ref="B250:C250"/>
    <mergeCell ref="B249:C249"/>
    <mergeCell ref="E248:L248"/>
    <mergeCell ref="G130:J130"/>
    <mergeCell ref="G168:J168"/>
    <mergeCell ref="B261:C261"/>
    <mergeCell ref="B2:O2"/>
    <mergeCell ref="B233:C234"/>
    <mergeCell ref="D233:F233"/>
    <mergeCell ref="B231:O231"/>
    <mergeCell ref="B201:O201"/>
    <mergeCell ref="H233:I233"/>
    <mergeCell ref="N4:O4"/>
    <mergeCell ref="B111:O111"/>
    <mergeCell ref="H218:I218"/>
    <mergeCell ref="D4:E4"/>
    <mergeCell ref="F4:G4"/>
    <mergeCell ref="H4:I4"/>
    <mergeCell ref="D5:E5"/>
    <mergeCell ref="F5:G5"/>
    <mergeCell ref="H5:I5"/>
    <mergeCell ref="J4:K4"/>
    <mergeCell ref="L4:M4"/>
    <mergeCell ref="B10:O10"/>
    <mergeCell ref="G155:N155"/>
    <mergeCell ref="G119:J119"/>
    <mergeCell ref="G126:N126"/>
    <mergeCell ref="G129:J129"/>
    <mergeCell ref="G146:N146"/>
    <mergeCell ref="L5:M5"/>
    <mergeCell ref="AZ204:BD204"/>
    <mergeCell ref="G205:J205"/>
    <mergeCell ref="K205:N205"/>
    <mergeCell ref="R205:S205"/>
    <mergeCell ref="AA205:AD205"/>
    <mergeCell ref="AE205:AH205"/>
    <mergeCell ref="AI205:AL205"/>
    <mergeCell ref="AM205:AP205"/>
    <mergeCell ref="AQ205:AT205"/>
    <mergeCell ref="BC205:BC206"/>
    <mergeCell ref="B364:C364"/>
    <mergeCell ref="B361:C361"/>
    <mergeCell ref="B362:C362"/>
    <mergeCell ref="B363:C363"/>
    <mergeCell ref="B359:C359"/>
    <mergeCell ref="B360:C360"/>
    <mergeCell ref="E356:M356"/>
    <mergeCell ref="B357:C357"/>
    <mergeCell ref="B358:C358"/>
    <mergeCell ref="B296:C296"/>
    <mergeCell ref="AA173:AD173"/>
    <mergeCell ref="AE167:AH167"/>
    <mergeCell ref="AE173:AH173"/>
    <mergeCell ref="AI167:AL167"/>
    <mergeCell ref="AI173:AL173"/>
    <mergeCell ref="N5:O5"/>
    <mergeCell ref="Q99:R99"/>
    <mergeCell ref="J99:O109"/>
    <mergeCell ref="B97:O97"/>
    <mergeCell ref="J5:K5"/>
    <mergeCell ref="R84:S84"/>
    <mergeCell ref="R155:S155"/>
    <mergeCell ref="AA155:AD155"/>
    <mergeCell ref="AE155:AH155"/>
    <mergeCell ref="AI155:AL155"/>
    <mergeCell ref="AA119:AD119"/>
    <mergeCell ref="AE119:AH119"/>
    <mergeCell ref="AI119:AL119"/>
    <mergeCell ref="Q124:X124"/>
    <mergeCell ref="AA124:AX124"/>
    <mergeCell ref="R127:S127"/>
    <mergeCell ref="G128:J128"/>
    <mergeCell ref="B7:C7"/>
    <mergeCell ref="B8:C8"/>
    <mergeCell ref="D7:F7"/>
    <mergeCell ref="D8:F8"/>
    <mergeCell ref="AI172:AL172"/>
    <mergeCell ref="AE172:AH172"/>
    <mergeCell ref="AA172:AD172"/>
    <mergeCell ref="AQ167:AT167"/>
    <mergeCell ref="AQ172:AT172"/>
    <mergeCell ref="G167:J167"/>
    <mergeCell ref="AA167:AD167"/>
    <mergeCell ref="G169:J169"/>
    <mergeCell ref="AA169:AD169"/>
    <mergeCell ref="AE169:AH169"/>
    <mergeCell ref="AI169:AL169"/>
    <mergeCell ref="Q113:X113"/>
    <mergeCell ref="AA113:AX113"/>
    <mergeCell ref="R116:S116"/>
    <mergeCell ref="G117:J117"/>
    <mergeCell ref="AA117:AD117"/>
    <mergeCell ref="AE117:AH117"/>
    <mergeCell ref="AI117:AL117"/>
    <mergeCell ref="AM117:AP117"/>
    <mergeCell ref="R69:S69"/>
    <mergeCell ref="AQ117:AT117"/>
    <mergeCell ref="AM173:AP173"/>
    <mergeCell ref="AQ173:AT173"/>
    <mergeCell ref="AU155:AX155"/>
    <mergeCell ref="AU167:AX167"/>
    <mergeCell ref="AU173:AX173"/>
    <mergeCell ref="AZ153:BA154"/>
    <mergeCell ref="AM167:AP167"/>
    <mergeCell ref="AM172:AP172"/>
    <mergeCell ref="AQ155:AT155"/>
    <mergeCell ref="AQ162:AT162"/>
    <mergeCell ref="AU162:AX162"/>
    <mergeCell ref="AU168:AX168"/>
    <mergeCell ref="AM169:AP169"/>
    <mergeCell ref="AQ169:AT169"/>
    <mergeCell ref="AU169:AX169"/>
    <mergeCell ref="AU163:AX163"/>
    <mergeCell ref="AM155:AP155"/>
    <mergeCell ref="AU164:AX164"/>
    <mergeCell ref="AQ158:AT158"/>
    <mergeCell ref="AU158:AX158"/>
    <mergeCell ref="AQ159:AT159"/>
    <mergeCell ref="AU159:AX159"/>
    <mergeCell ref="AZ113:BA114"/>
    <mergeCell ref="AA114:AP114"/>
    <mergeCell ref="AQ114:AT114"/>
    <mergeCell ref="G115:N115"/>
    <mergeCell ref="R115:S115"/>
    <mergeCell ref="AA115:AD115"/>
    <mergeCell ref="AE115:AH115"/>
    <mergeCell ref="AI115:AL115"/>
    <mergeCell ref="AM115:AP115"/>
    <mergeCell ref="AQ115:AT115"/>
    <mergeCell ref="AU115:AX115"/>
    <mergeCell ref="AU117:AX117"/>
    <mergeCell ref="G118:J118"/>
    <mergeCell ref="AA118:AD118"/>
    <mergeCell ref="AE118:AH118"/>
    <mergeCell ref="AI118:AL118"/>
    <mergeCell ref="AM118:AP118"/>
    <mergeCell ref="AQ118:AT118"/>
    <mergeCell ref="AU118:AX118"/>
    <mergeCell ref="AM119:AP119"/>
    <mergeCell ref="AQ119:AT119"/>
    <mergeCell ref="AU119:AX119"/>
    <mergeCell ref="AA120:AD120"/>
    <mergeCell ref="AE120:AH120"/>
    <mergeCell ref="AI120:AL120"/>
    <mergeCell ref="AM120:AP120"/>
    <mergeCell ref="AQ120:AT120"/>
    <mergeCell ref="AA121:AD121"/>
    <mergeCell ref="AE121:AH121"/>
    <mergeCell ref="AI121:AL121"/>
    <mergeCell ref="AM121:AP121"/>
    <mergeCell ref="AQ121:AT121"/>
    <mergeCell ref="AU121:AX121"/>
    <mergeCell ref="AZ124:BA125"/>
    <mergeCell ref="AA125:AP125"/>
    <mergeCell ref="AQ125:AT125"/>
    <mergeCell ref="R126:S126"/>
    <mergeCell ref="AA126:AD126"/>
    <mergeCell ref="AE126:AH126"/>
    <mergeCell ref="AI126:AL126"/>
    <mergeCell ref="AM126:AP126"/>
    <mergeCell ref="AQ126:AT126"/>
    <mergeCell ref="AU126:AX126"/>
    <mergeCell ref="AI128:AL128"/>
    <mergeCell ref="AM128:AP128"/>
    <mergeCell ref="AQ128:AT128"/>
    <mergeCell ref="AU128:AX128"/>
    <mergeCell ref="AA129:AD129"/>
    <mergeCell ref="AE129:AH129"/>
    <mergeCell ref="AI129:AL129"/>
    <mergeCell ref="AM129:AP129"/>
    <mergeCell ref="AQ129:AT129"/>
    <mergeCell ref="AU129:AX129"/>
    <mergeCell ref="AA130:AD130"/>
    <mergeCell ref="AE130:AH130"/>
    <mergeCell ref="AI130:AL130"/>
    <mergeCell ref="AM130:AP130"/>
    <mergeCell ref="AQ130:AT130"/>
    <mergeCell ref="AU130:AX130"/>
    <mergeCell ref="AA131:AD131"/>
    <mergeCell ref="AE131:AH131"/>
    <mergeCell ref="AI131:AL131"/>
    <mergeCell ref="AM131:AP131"/>
    <mergeCell ref="AQ131:AT131"/>
    <mergeCell ref="AA132:AD132"/>
    <mergeCell ref="AE132:AH132"/>
    <mergeCell ref="AI132:AL132"/>
    <mergeCell ref="AM132:AP132"/>
    <mergeCell ref="AQ132:AT132"/>
    <mergeCell ref="AU139:AX139"/>
    <mergeCell ref="AU132:AX132"/>
    <mergeCell ref="Q135:X135"/>
    <mergeCell ref="AA135:AX135"/>
    <mergeCell ref="AZ135:BA136"/>
    <mergeCell ref="AA136:AP136"/>
    <mergeCell ref="AQ136:AT136"/>
    <mergeCell ref="G137:N137"/>
    <mergeCell ref="R137:S137"/>
    <mergeCell ref="AA137:AD137"/>
    <mergeCell ref="AE137:AH137"/>
    <mergeCell ref="AI137:AL137"/>
    <mergeCell ref="AM137:AP137"/>
    <mergeCell ref="AQ137:AT137"/>
    <mergeCell ref="AU137:AX137"/>
    <mergeCell ref="AA140:AD140"/>
    <mergeCell ref="AE140:AH140"/>
    <mergeCell ref="AI140:AL140"/>
    <mergeCell ref="AM140:AP140"/>
    <mergeCell ref="AQ140:AT140"/>
    <mergeCell ref="R138:S138"/>
    <mergeCell ref="G139:J139"/>
    <mergeCell ref="AA139:AD139"/>
    <mergeCell ref="AE139:AH139"/>
    <mergeCell ref="AI139:AL139"/>
    <mergeCell ref="AM139:AP139"/>
    <mergeCell ref="AQ139:AT139"/>
    <mergeCell ref="AA141:AD141"/>
    <mergeCell ref="AE141:AH141"/>
    <mergeCell ref="AI141:AL141"/>
    <mergeCell ref="AM141:AP141"/>
    <mergeCell ref="AQ141:AT141"/>
    <mergeCell ref="AU141:AX141"/>
    <mergeCell ref="Q144:X144"/>
    <mergeCell ref="AA144:AX144"/>
    <mergeCell ref="AZ144:BA145"/>
    <mergeCell ref="AA145:AP145"/>
    <mergeCell ref="AQ145:AT145"/>
    <mergeCell ref="R146:S146"/>
    <mergeCell ref="AA146:AD146"/>
    <mergeCell ref="AE146:AH146"/>
    <mergeCell ref="AI146:AL146"/>
    <mergeCell ref="AM146:AP146"/>
    <mergeCell ref="AQ146:AT146"/>
    <mergeCell ref="AU146:AX146"/>
    <mergeCell ref="R147:S147"/>
    <mergeCell ref="G148:J148"/>
    <mergeCell ref="AA148:AD148"/>
    <mergeCell ref="AE148:AH148"/>
    <mergeCell ref="AI148:AL148"/>
    <mergeCell ref="AM148:AP148"/>
    <mergeCell ref="AQ148:AT148"/>
    <mergeCell ref="AU148:AX148"/>
    <mergeCell ref="AA149:AD149"/>
    <mergeCell ref="AE149:AH149"/>
    <mergeCell ref="AI149:AL149"/>
    <mergeCell ref="AM149:AP149"/>
    <mergeCell ref="AQ149:AT149"/>
    <mergeCell ref="AA150:AD150"/>
    <mergeCell ref="AE150:AH150"/>
    <mergeCell ref="AI150:AL150"/>
    <mergeCell ref="AM150:AP150"/>
    <mergeCell ref="AQ150:AT150"/>
    <mergeCell ref="AU150:AX150"/>
    <mergeCell ref="G170:J170"/>
    <mergeCell ref="AA170:AD170"/>
    <mergeCell ref="AE170:AH170"/>
    <mergeCell ref="AI170:AL170"/>
    <mergeCell ref="AM170:AP170"/>
    <mergeCell ref="AQ170:AT170"/>
    <mergeCell ref="AU170:AX170"/>
    <mergeCell ref="G171:J171"/>
    <mergeCell ref="AA171:AD171"/>
    <mergeCell ref="AE171:AH171"/>
    <mergeCell ref="AI171:AL171"/>
    <mergeCell ref="AM171:AP171"/>
    <mergeCell ref="AQ171:AT171"/>
    <mergeCell ref="AU171:AX171"/>
    <mergeCell ref="R156:S156"/>
    <mergeCell ref="G157:J157"/>
    <mergeCell ref="AA157:AD157"/>
    <mergeCell ref="AE157:AH157"/>
    <mergeCell ref="AI157:AL157"/>
    <mergeCell ref="AM157:AP157"/>
    <mergeCell ref="AQ157:AT157"/>
    <mergeCell ref="AU157:AX157"/>
    <mergeCell ref="G158:J158"/>
    <mergeCell ref="R161:S161"/>
    <mergeCell ref="G162:J162"/>
    <mergeCell ref="AA162:AD162"/>
    <mergeCell ref="AE162:AH162"/>
    <mergeCell ref="AI162:AL162"/>
    <mergeCell ref="AM162:AP162"/>
    <mergeCell ref="AA158:AD158"/>
    <mergeCell ref="AE158:AH158"/>
    <mergeCell ref="AI158:AL158"/>
    <mergeCell ref="AM158:AP158"/>
    <mergeCell ref="G159:J159"/>
    <mergeCell ref="AA159:AD159"/>
    <mergeCell ref="AE159:AH159"/>
    <mergeCell ref="AI159:AL159"/>
    <mergeCell ref="AM159:AP159"/>
    <mergeCell ref="AA168:AD168"/>
    <mergeCell ref="AE168:AH168"/>
    <mergeCell ref="AI168:AL168"/>
    <mergeCell ref="AM168:AP168"/>
    <mergeCell ref="AQ168:AT168"/>
    <mergeCell ref="G163:J163"/>
    <mergeCell ref="AA163:AD163"/>
    <mergeCell ref="AE163:AH163"/>
    <mergeCell ref="AI163:AL163"/>
    <mergeCell ref="AM163:AP163"/>
    <mergeCell ref="AQ163:AT163"/>
    <mergeCell ref="G164:J164"/>
    <mergeCell ref="AA164:AD164"/>
    <mergeCell ref="AE164:AH164"/>
    <mergeCell ref="AI164:AL164"/>
    <mergeCell ref="AM164:AP164"/>
    <mergeCell ref="AQ164:AT164"/>
  </mergeCells>
  <phoneticPr fontId="11" type="noConversion"/>
  <dataValidations count="23">
    <dataValidation type="list" allowBlank="1" showInputMessage="1" showErrorMessage="1" sqref="B194:B196" xr:uid="{00000000-0002-0000-0800-000000000000}">
      <formula1>FE_HorsEnergie_PRGHorsKyoto</formula1>
    </dataValidation>
    <dataValidation allowBlank="1" showInputMessage="1" showErrorMessage="1" sqref="C184:C186 C194:C196 C103:C107 C70 C73:C77 C91:C92 C207:C209 C167:C171 C85:C88 C148 C117:C119 C128:C130 C139 C162:C164 C157:C159 C16:C62" xr:uid="{00000000-0002-0000-0800-000001000000}"/>
    <dataValidation type="list" allowBlank="1" showInputMessage="1" showErrorMessage="1" sqref="D8" xr:uid="{00000000-0002-0000-0800-000002000000}">
      <formula1>Liste_dechets2</formula1>
    </dataValidation>
    <dataValidation type="list" allowBlank="1" showInputMessage="1" showErrorMessage="1" sqref="D7" xr:uid="{00000000-0002-0000-0800-000003000000}">
      <formula1>Liste_dechets</formula1>
    </dataValidation>
    <dataValidation type="list" allowBlank="1" showInputMessage="1" showErrorMessage="1" sqref="B16:B18" xr:uid="{00000000-0002-0000-0800-000004000000}">
      <formula1>FE_Déchets_Emballages_autres_matériaux_ménages</formula1>
    </dataValidation>
    <dataValidation type="list" allowBlank="1" showInputMessage="1" showErrorMessage="1" sqref="R70 R73:R77 R91:R92 R179:R186 R194:R196 R207 R50 R16:R45 R167:R171 R85:R88 R148 R117:R119 R128:R130 R139 R162:R164 R157:R159 R53:R62" xr:uid="{00000000-0002-0000-0800-000005000000}">
      <formula1>Choix_Incertitudes</formula1>
    </dataValidation>
    <dataValidation type="list" allowBlank="1" showInputMessage="1" showErrorMessage="1" sqref="B53:B57" xr:uid="{00000000-0002-0000-0800-000006000000}">
      <formula1>FE_Déchets_Organiques</formula1>
    </dataValidation>
    <dataValidation type="list" allowBlank="1" showInputMessage="1" showErrorMessage="1" sqref="B85:B88" xr:uid="{00000000-0002-0000-0800-000007000000}">
      <formula1>FE_Déchets_DEA</formula1>
    </dataValidation>
    <dataValidation type="list" allowBlank="1" showInputMessage="1" showErrorMessage="1" sqref="B117:B119" xr:uid="{00000000-0002-0000-0800-000008000000}">
      <formula1>FE_Déchets_Dangereux</formula1>
    </dataValidation>
    <dataValidation type="list" allowBlank="1" showInputMessage="1" showErrorMessage="1" sqref="B184:B186" xr:uid="{00000000-0002-0000-0800-000009000000}">
      <formula1>FE_HorsEnergie_PRGKyoto</formula1>
    </dataValidation>
    <dataValidation type="list" allowBlank="1" showInputMessage="1" showErrorMessage="1" sqref="B207:B209" xr:uid="{00000000-0002-0000-0800-00000A000000}">
      <formula1>FE_Déchets_Eaux_Usées</formula1>
    </dataValidation>
    <dataValidation type="list" allowBlank="1" showInputMessage="1" showErrorMessage="1" sqref="B21:B25" xr:uid="{00000000-0002-0000-0800-00000B000000}">
      <formula1>FE_Déchets_Emballages_bois_carton_ménages</formula1>
    </dataValidation>
    <dataValidation type="list" allowBlank="1" showInputMessage="1" showErrorMessage="1" sqref="B28:B32" xr:uid="{00000000-0002-0000-0800-00000C000000}">
      <formula1>FE_Déchets_Emballages_métaux_ménages</formula1>
    </dataValidation>
    <dataValidation type="list" allowBlank="1" showInputMessage="1" showErrorMessage="1" sqref="B35:B38" xr:uid="{00000000-0002-0000-0800-00000D000000}">
      <formula1>FE_Déchets_Emballages_verre_ménages</formula1>
    </dataValidation>
    <dataValidation type="list" allowBlank="1" showInputMessage="1" showErrorMessage="1" sqref="B41:B45" xr:uid="{00000000-0002-0000-0800-00000E000000}">
      <formula1>FE_Déchets_Emballages_plastiques_ménages</formula1>
    </dataValidation>
    <dataValidation type="list" allowBlank="1" showInputMessage="1" showErrorMessage="1" sqref="B70 B148" xr:uid="{00000000-0002-0000-0800-00000F000000}">
      <formula1>FE_Déchets_Piles_et_accumulateurs</formula1>
    </dataValidation>
    <dataValidation type="list" allowBlank="1" showInputMessage="1" showErrorMessage="1" sqref="B73:B77" xr:uid="{00000000-0002-0000-0800-000010000000}">
      <formula1>FE_Déchets_DEEE</formula1>
    </dataValidation>
    <dataValidation type="list" allowBlank="1" showInputMessage="1" showErrorMessage="1" sqref="B91" xr:uid="{00000000-0002-0000-0800-000011000000}">
      <formula1>FE_Déchets_Textiles</formula1>
    </dataValidation>
    <dataValidation type="list" allowBlank="1" showInputMessage="1" showErrorMessage="1" sqref="B60:B62" xr:uid="{00000000-0002-0000-0800-000012000000}">
      <formula1>FE_Déchets_Ordures_ménagères</formula1>
    </dataValidation>
    <dataValidation type="list" allowBlank="1" showInputMessage="1" showErrorMessage="1" sqref="B139 B128:B130" xr:uid="{00000000-0002-0000-0800-000013000000}">
      <formula1>FE_Déchets_Emballages_plastiques_acteurs_économiques</formula1>
    </dataValidation>
    <dataValidation type="list" allowBlank="1" showInputMessage="1" showErrorMessage="1" sqref="B157:B159" xr:uid="{00000000-0002-0000-0800-000014000000}">
      <formula1>FE_Déchets_Bâtiment_Plastiques</formula1>
    </dataValidation>
    <dataValidation type="list" allowBlank="1" showInputMessage="1" showErrorMessage="1" sqref="B162:B164" xr:uid="{00000000-0002-0000-0800-000015000000}">
      <formula1>FE_Déchets_Bâtiments_Métaux</formula1>
    </dataValidation>
    <dataValidation type="list" allowBlank="1" showInputMessage="1" showErrorMessage="1" sqref="B167:B171" xr:uid="{00000000-0002-0000-0800-000016000000}">
      <formula1>FE_Déchets_Bâtiments_Autres</formula1>
    </dataValidation>
  </dataValidations>
  <hyperlinks>
    <hyperlink ref="D4" location="dechets_haut" display="déchets banals" xr:uid="{00000000-0004-0000-0800-000000000000}"/>
    <hyperlink ref="F4" location="dechets_non_banals" display="déchets non banals" xr:uid="{00000000-0004-0000-0800-000001000000}"/>
    <hyperlink ref="H4" location="dechets_eaux" display="eaux usées" xr:uid="{00000000-0004-0000-0800-000002000000}"/>
    <hyperlink ref="D5" location="dechets_recap" display="total" xr:uid="{00000000-0004-0000-0800-000003000000}"/>
    <hyperlink ref="F5" location="dechets_sous_postes" display="sous-postes" xr:uid="{00000000-0004-0000-0800-000004000000}"/>
    <hyperlink ref="H5" location="déchetsdirects_bilanGES" display="bilan GES" xr:uid="{00000000-0004-0000-0800-000005000000}"/>
    <hyperlink ref="J5" location="dechetsdirects_GHGProtocol" display="GHG Protocol" xr:uid="{00000000-0004-0000-0800-000006000000}"/>
    <hyperlink ref="D4:E4" location="dechets_haut" display="Déchets ménages" xr:uid="{00000000-0004-0000-0800-000007000000}"/>
    <hyperlink ref="F4:G4" location="dechets_non_banals" display="Déchets acteurs éco." xr:uid="{00000000-0004-0000-0800-000008000000}"/>
    <hyperlink ref="L5:M5" location="'Déchets directs'!B312" display="ISO 14069" xr:uid="{00000000-0004-0000-0800-000009000000}"/>
    <hyperlink ref="N5:O5" location="'CDP 2018'!A1" display="CDP" xr:uid="{00000000-0004-0000-0800-00000A000000}"/>
    <hyperlink ref="N4:O4" location="Descriptif!A1" display="Descriptif" xr:uid="{00000000-0004-0000-0800-00000B000000}"/>
  </hyperlinks>
  <pageMargins left="0.78740157499999996" right="0.78740157499999996" top="0.984251969" bottom="0.984251969" header="0.4921259845" footer="0.4921259845"/>
  <pageSetup paperSize="9" orientation="landscape" horizontalDpi="4294967292" verticalDpi="4294967292" r:id="rId1"/>
  <headerFooter alignWithMargins="0">
    <oddFooter>&amp;LCalcul des émissions de gaz à effet de serre&amp;RRubrique &amp;A, page &amp;P, édité le &amp;D</oddFooter>
  </headerFooter>
  <ignoredErrors>
    <ignoredError sqref="D305:D307"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78" id="{7BD8242F-EB0B-49C8-85A5-8164BF49865D}">
            <xm:f>$R42=Utilitaires!$N$572</xm:f>
            <x14:dxf>
              <fill>
                <patternFill>
                  <bgColor theme="0"/>
                </patternFill>
              </fill>
              <border>
                <left style="thin">
                  <color auto="1"/>
                </left>
                <right style="thin">
                  <color auto="1"/>
                </right>
                <top style="thin">
                  <color auto="1"/>
                </top>
                <bottom style="thin">
                  <color auto="1"/>
                </bottom>
                <vertical/>
                <horizontal/>
              </border>
            </x14:dxf>
          </x14:cfRule>
          <xm:sqref>S42:S44 S73 S167 S207 S50 S53 S46 S57:S59 S70 S76:S77</xm:sqref>
        </x14:conditionalFormatting>
        <x14:conditionalFormatting xmlns:xm="http://schemas.microsoft.com/office/excel/2006/main">
          <x14:cfRule type="expression" priority="55" id="{3971D1E6-068F-4EB4-A29D-27B262F9B746}">
            <xm:f>$R85=Utilitaires!$N$572</xm:f>
            <x14:dxf>
              <fill>
                <patternFill>
                  <bgColor theme="0"/>
                </patternFill>
              </fill>
              <border>
                <left style="thin">
                  <color auto="1"/>
                </left>
                <right style="thin">
                  <color auto="1"/>
                </right>
                <top style="thin">
                  <color auto="1"/>
                </top>
                <bottom style="thin">
                  <color auto="1"/>
                </bottom>
                <vertical/>
                <horizontal/>
              </border>
            </x14:dxf>
          </x14:cfRule>
          <xm:sqref>S85:S86 S92</xm:sqref>
        </x14:conditionalFormatting>
        <x14:conditionalFormatting xmlns:xm="http://schemas.microsoft.com/office/excel/2006/main">
          <x14:cfRule type="expression" priority="52" id="{BFB22023-E4D9-4F71-BFF7-A01F598837AC}">
            <xm:f>$R179=Utilitaires!$N$572</xm:f>
            <x14:dxf>
              <fill>
                <patternFill>
                  <bgColor theme="0"/>
                </patternFill>
              </fill>
              <border>
                <left style="thin">
                  <color auto="1"/>
                </left>
                <right style="thin">
                  <color auto="1"/>
                </right>
                <top style="thin">
                  <color auto="1"/>
                </top>
                <bottom style="thin">
                  <color auto="1"/>
                </bottom>
                <vertical/>
                <horizontal/>
              </border>
            </x14:dxf>
          </x14:cfRule>
          <xm:sqref>S179:S182 S184:S186</xm:sqref>
        </x14:conditionalFormatting>
        <x14:conditionalFormatting xmlns:xm="http://schemas.microsoft.com/office/excel/2006/main">
          <x14:cfRule type="expression" priority="51" id="{6D71EE53-4AC3-4610-A1EB-AB6F1258C54F}">
            <xm:f>$R194=Utilitaires!$N$572</xm:f>
            <x14:dxf>
              <fill>
                <patternFill>
                  <bgColor theme="0"/>
                </patternFill>
              </fill>
              <border>
                <left style="thin">
                  <color auto="1"/>
                </left>
                <right style="thin">
                  <color auto="1"/>
                </right>
                <top style="thin">
                  <color auto="1"/>
                </top>
                <bottom style="thin">
                  <color auto="1"/>
                </bottom>
                <vertical/>
                <horizontal/>
              </border>
            </x14:dxf>
          </x14:cfRule>
          <xm:sqref>S194:S196</xm:sqref>
        </x14:conditionalFormatting>
        <x14:conditionalFormatting xmlns:xm="http://schemas.microsoft.com/office/excel/2006/main">
          <x14:cfRule type="expression" priority="46" id="{5051C8E4-D8A3-40B1-98E9-10EFFFADB225}">
            <xm:f>$R46=Utilitaires!$N$572</xm:f>
            <x14:dxf>
              <fill>
                <patternFill>
                  <bgColor theme="0"/>
                </patternFill>
              </fill>
              <border>
                <left style="thin">
                  <color auto="1"/>
                </left>
                <right style="thin">
                  <color auto="1"/>
                </right>
                <top style="thin">
                  <color auto="1"/>
                </top>
                <bottom style="thin">
                  <color auto="1"/>
                </bottom>
                <vertical/>
                <horizontal/>
              </border>
            </x14:dxf>
          </x14:cfRule>
          <xm:sqref>R46</xm:sqref>
        </x14:conditionalFormatting>
        <x14:conditionalFormatting xmlns:xm="http://schemas.microsoft.com/office/excel/2006/main">
          <x14:cfRule type="expression" priority="45" id="{CD436261-3980-4C93-B09F-0CE5E715A85F}">
            <xm:f>$R45=Utilitaires!$N$572</xm:f>
            <x14:dxf>
              <fill>
                <patternFill>
                  <bgColor theme="0"/>
                </patternFill>
              </fill>
              <border>
                <left style="thin">
                  <color auto="1"/>
                </left>
                <right style="thin">
                  <color auto="1"/>
                </right>
                <top style="thin">
                  <color auto="1"/>
                </top>
                <bottom style="thin">
                  <color auto="1"/>
                </bottom>
                <vertical/>
                <horizontal/>
              </border>
            </x14:dxf>
          </x14:cfRule>
          <xm:sqref>S45</xm:sqref>
        </x14:conditionalFormatting>
        <x14:conditionalFormatting xmlns:xm="http://schemas.microsoft.com/office/excel/2006/main">
          <x14:cfRule type="expression" priority="44" id="{EF78B12E-52D5-4091-A924-8EF7C836FF2F}">
            <xm:f>$R16=Utilitaires!$N$572</xm:f>
            <x14:dxf>
              <fill>
                <patternFill>
                  <bgColor theme="0"/>
                </patternFill>
              </fill>
              <border>
                <left style="thin">
                  <color auto="1"/>
                </left>
                <right style="thin">
                  <color auto="1"/>
                </right>
                <top style="thin">
                  <color auto="1"/>
                </top>
                <bottom style="thin">
                  <color auto="1"/>
                </bottom>
                <vertical/>
                <horizontal/>
              </border>
            </x14:dxf>
          </x14:cfRule>
          <xm:sqref>S16:S18 S39:S40</xm:sqref>
        </x14:conditionalFormatting>
        <x14:conditionalFormatting xmlns:xm="http://schemas.microsoft.com/office/excel/2006/main">
          <x14:cfRule type="expression" priority="43" id="{404B162A-DCCD-447A-8E54-965B41ED27B9}">
            <xm:f>$R41=Utilitaires!$N$572</xm:f>
            <x14:dxf>
              <fill>
                <patternFill>
                  <bgColor theme="0"/>
                </patternFill>
              </fill>
              <border>
                <left style="thin">
                  <color auto="1"/>
                </left>
                <right style="thin">
                  <color auto="1"/>
                </right>
                <top style="thin">
                  <color auto="1"/>
                </top>
                <bottom style="thin">
                  <color auto="1"/>
                </bottom>
                <vertical/>
                <horizontal/>
              </border>
            </x14:dxf>
          </x14:cfRule>
          <xm:sqref>S41</xm:sqref>
        </x14:conditionalFormatting>
        <x14:conditionalFormatting xmlns:xm="http://schemas.microsoft.com/office/excel/2006/main">
          <x14:cfRule type="expression" priority="42" id="{834D9AA2-D2B2-434E-9D90-9358CA250F44}">
            <xm:f>$R22=Utilitaires!$N$572</xm:f>
            <x14:dxf>
              <fill>
                <patternFill>
                  <bgColor theme="0"/>
                </patternFill>
              </fill>
              <border>
                <left style="thin">
                  <color auto="1"/>
                </left>
                <right style="thin">
                  <color auto="1"/>
                </right>
                <top style="thin">
                  <color auto="1"/>
                </top>
                <bottom style="thin">
                  <color auto="1"/>
                </bottom>
                <vertical/>
                <horizontal/>
              </border>
            </x14:dxf>
          </x14:cfRule>
          <xm:sqref>S22:S24</xm:sqref>
        </x14:conditionalFormatting>
        <x14:conditionalFormatting xmlns:xm="http://schemas.microsoft.com/office/excel/2006/main">
          <x14:cfRule type="expression" priority="41" id="{33644E42-D724-4118-912D-5E649B5859F7}">
            <xm:f>$R25=Utilitaires!$N$572</xm:f>
            <x14:dxf>
              <fill>
                <patternFill>
                  <bgColor theme="0"/>
                </patternFill>
              </fill>
              <border>
                <left style="thin">
                  <color auto="1"/>
                </left>
                <right style="thin">
                  <color auto="1"/>
                </right>
                <top style="thin">
                  <color auto="1"/>
                </top>
                <bottom style="thin">
                  <color auto="1"/>
                </bottom>
                <vertical/>
                <horizontal/>
              </border>
            </x14:dxf>
          </x14:cfRule>
          <xm:sqref>S25</xm:sqref>
        </x14:conditionalFormatting>
        <x14:conditionalFormatting xmlns:xm="http://schemas.microsoft.com/office/excel/2006/main">
          <x14:cfRule type="expression" priority="40" id="{91498CB4-F614-48D9-B877-6351D5B280E7}">
            <xm:f>$R19=Utilitaires!$N$572</xm:f>
            <x14:dxf>
              <fill>
                <patternFill>
                  <bgColor theme="0"/>
                </patternFill>
              </fill>
              <border>
                <left style="thin">
                  <color auto="1"/>
                </left>
                <right style="thin">
                  <color auto="1"/>
                </right>
                <top style="thin">
                  <color auto="1"/>
                </top>
                <bottom style="thin">
                  <color auto="1"/>
                </bottom>
                <vertical/>
                <horizontal/>
              </border>
            </x14:dxf>
          </x14:cfRule>
          <xm:sqref>S19:S20</xm:sqref>
        </x14:conditionalFormatting>
        <x14:conditionalFormatting xmlns:xm="http://schemas.microsoft.com/office/excel/2006/main">
          <x14:cfRule type="expression" priority="39" id="{98E4C891-F982-419F-AB8C-17C8E5E7816F}">
            <xm:f>$R21=Utilitaires!$N$572</xm:f>
            <x14:dxf>
              <fill>
                <patternFill>
                  <bgColor theme="0"/>
                </patternFill>
              </fill>
              <border>
                <left style="thin">
                  <color auto="1"/>
                </left>
                <right style="thin">
                  <color auto="1"/>
                </right>
                <top style="thin">
                  <color auto="1"/>
                </top>
                <bottom style="thin">
                  <color auto="1"/>
                </bottom>
                <vertical/>
                <horizontal/>
              </border>
            </x14:dxf>
          </x14:cfRule>
          <xm:sqref>S21</xm:sqref>
        </x14:conditionalFormatting>
        <x14:conditionalFormatting xmlns:xm="http://schemas.microsoft.com/office/excel/2006/main">
          <x14:cfRule type="expression" priority="38" id="{BD76C39F-C460-49E1-9DC8-8F5A8063B72B}">
            <xm:f>$R29=Utilitaires!$N$572</xm:f>
            <x14:dxf>
              <fill>
                <patternFill>
                  <bgColor theme="0"/>
                </patternFill>
              </fill>
              <border>
                <left style="thin">
                  <color auto="1"/>
                </left>
                <right style="thin">
                  <color auto="1"/>
                </right>
                <top style="thin">
                  <color auto="1"/>
                </top>
                <bottom style="thin">
                  <color auto="1"/>
                </bottom>
                <vertical/>
                <horizontal/>
              </border>
            </x14:dxf>
          </x14:cfRule>
          <xm:sqref>S29:S31</xm:sqref>
        </x14:conditionalFormatting>
        <x14:conditionalFormatting xmlns:xm="http://schemas.microsoft.com/office/excel/2006/main">
          <x14:cfRule type="expression" priority="37" id="{664438FE-92B1-4E5A-85A3-59917151895B}">
            <xm:f>$R32=Utilitaires!$N$572</xm:f>
            <x14:dxf>
              <fill>
                <patternFill>
                  <bgColor theme="0"/>
                </patternFill>
              </fill>
              <border>
                <left style="thin">
                  <color auto="1"/>
                </left>
                <right style="thin">
                  <color auto="1"/>
                </right>
                <top style="thin">
                  <color auto="1"/>
                </top>
                <bottom style="thin">
                  <color auto="1"/>
                </bottom>
                <vertical/>
                <horizontal/>
              </border>
            </x14:dxf>
          </x14:cfRule>
          <xm:sqref>S32</xm:sqref>
        </x14:conditionalFormatting>
        <x14:conditionalFormatting xmlns:xm="http://schemas.microsoft.com/office/excel/2006/main">
          <x14:cfRule type="expression" priority="36" id="{44CCD1E9-7601-4BB5-BE24-0F6096674E9D}">
            <xm:f>$R26=Utilitaires!$N$572</xm:f>
            <x14:dxf>
              <fill>
                <patternFill>
                  <bgColor theme="0"/>
                </patternFill>
              </fill>
              <border>
                <left style="thin">
                  <color auto="1"/>
                </left>
                <right style="thin">
                  <color auto="1"/>
                </right>
                <top style="thin">
                  <color auto="1"/>
                </top>
                <bottom style="thin">
                  <color auto="1"/>
                </bottom>
                <vertical/>
                <horizontal/>
              </border>
            </x14:dxf>
          </x14:cfRule>
          <xm:sqref>S26:S27</xm:sqref>
        </x14:conditionalFormatting>
        <x14:conditionalFormatting xmlns:xm="http://schemas.microsoft.com/office/excel/2006/main">
          <x14:cfRule type="expression" priority="35" id="{C989E06C-7850-400D-9B0A-1F8C84194D7B}">
            <xm:f>$R28=Utilitaires!$N$572</xm:f>
            <x14:dxf>
              <fill>
                <patternFill>
                  <bgColor theme="0"/>
                </patternFill>
              </fill>
              <border>
                <left style="thin">
                  <color auto="1"/>
                </left>
                <right style="thin">
                  <color auto="1"/>
                </right>
                <top style="thin">
                  <color auto="1"/>
                </top>
                <bottom style="thin">
                  <color auto="1"/>
                </bottom>
                <vertical/>
                <horizontal/>
              </border>
            </x14:dxf>
          </x14:cfRule>
          <xm:sqref>S28</xm:sqref>
        </x14:conditionalFormatting>
        <x14:conditionalFormatting xmlns:xm="http://schemas.microsoft.com/office/excel/2006/main">
          <x14:cfRule type="expression" priority="34" id="{8D564F64-5D34-4183-8025-B3174A3CF152}">
            <xm:f>$R36=Utilitaires!$N$572</xm:f>
            <x14:dxf>
              <fill>
                <patternFill>
                  <bgColor theme="0"/>
                </patternFill>
              </fill>
              <border>
                <left style="thin">
                  <color auto="1"/>
                </left>
                <right style="thin">
                  <color auto="1"/>
                </right>
                <top style="thin">
                  <color auto="1"/>
                </top>
                <bottom style="thin">
                  <color auto="1"/>
                </bottom>
                <vertical/>
                <horizontal/>
              </border>
            </x14:dxf>
          </x14:cfRule>
          <xm:sqref>S36:S38</xm:sqref>
        </x14:conditionalFormatting>
        <x14:conditionalFormatting xmlns:xm="http://schemas.microsoft.com/office/excel/2006/main">
          <x14:cfRule type="expression" priority="32" id="{4FE24A3F-EE4A-4425-9851-BD21B0BC7889}">
            <xm:f>$R33=Utilitaires!$N$572</xm:f>
            <x14:dxf>
              <fill>
                <patternFill>
                  <bgColor theme="0"/>
                </patternFill>
              </fill>
              <border>
                <left style="thin">
                  <color auto="1"/>
                </left>
                <right style="thin">
                  <color auto="1"/>
                </right>
                <top style="thin">
                  <color auto="1"/>
                </top>
                <bottom style="thin">
                  <color auto="1"/>
                </bottom>
                <vertical/>
                <horizontal/>
              </border>
            </x14:dxf>
          </x14:cfRule>
          <xm:sqref>S33:S34</xm:sqref>
        </x14:conditionalFormatting>
        <x14:conditionalFormatting xmlns:xm="http://schemas.microsoft.com/office/excel/2006/main">
          <x14:cfRule type="expression" priority="31" id="{00DA1168-D9BC-4FEE-880F-B72181515BEF}">
            <xm:f>$R35=Utilitaires!$N$572</xm:f>
            <x14:dxf>
              <fill>
                <patternFill>
                  <bgColor theme="0"/>
                </patternFill>
              </fill>
              <border>
                <left style="thin">
                  <color auto="1"/>
                </left>
                <right style="thin">
                  <color auto="1"/>
                </right>
                <top style="thin">
                  <color auto="1"/>
                </top>
                <bottom style="thin">
                  <color auto="1"/>
                </bottom>
                <vertical/>
                <horizontal/>
              </border>
            </x14:dxf>
          </x14:cfRule>
          <xm:sqref>S35</xm:sqref>
        </x14:conditionalFormatting>
        <x14:conditionalFormatting xmlns:xm="http://schemas.microsoft.com/office/excel/2006/main">
          <x14:cfRule type="expression" priority="30" id="{AAC91E83-218F-44D8-901F-9FA4022AB10B}">
            <xm:f>$R56=Utilitaires!$N$572</xm:f>
            <x14:dxf>
              <fill>
                <patternFill>
                  <bgColor theme="0"/>
                </patternFill>
              </fill>
              <border>
                <left style="thin">
                  <color auto="1"/>
                </left>
                <right style="thin">
                  <color auto="1"/>
                </right>
                <top style="thin">
                  <color auto="1"/>
                </top>
                <bottom style="thin">
                  <color auto="1"/>
                </bottom>
                <vertical/>
                <horizontal/>
              </border>
            </x14:dxf>
          </x14:cfRule>
          <xm:sqref>S56</xm:sqref>
        </x14:conditionalFormatting>
        <x14:conditionalFormatting xmlns:xm="http://schemas.microsoft.com/office/excel/2006/main">
          <x14:cfRule type="expression" priority="29" id="{B4FBED47-5033-402C-B0B9-73BE64E0BB48}">
            <xm:f>$R55=Utilitaires!$N$572</xm:f>
            <x14:dxf>
              <fill>
                <patternFill>
                  <bgColor theme="0"/>
                </patternFill>
              </fill>
              <border>
                <left style="thin">
                  <color auto="1"/>
                </left>
                <right style="thin">
                  <color auto="1"/>
                </right>
                <top style="thin">
                  <color auto="1"/>
                </top>
                <bottom style="thin">
                  <color auto="1"/>
                </bottom>
                <vertical/>
                <horizontal/>
              </border>
            </x14:dxf>
          </x14:cfRule>
          <xm:sqref>S55</xm:sqref>
        </x14:conditionalFormatting>
        <x14:conditionalFormatting xmlns:xm="http://schemas.microsoft.com/office/excel/2006/main">
          <x14:cfRule type="expression" priority="28" id="{0C723437-C16B-49CA-B6DB-97E578D79E5B}">
            <xm:f>$R54=Utilitaires!$N$572</xm:f>
            <x14:dxf>
              <fill>
                <patternFill>
                  <bgColor theme="0"/>
                </patternFill>
              </fill>
              <border>
                <left style="thin">
                  <color auto="1"/>
                </left>
                <right style="thin">
                  <color auto="1"/>
                </right>
                <top style="thin">
                  <color auto="1"/>
                </top>
                <bottom style="thin">
                  <color auto="1"/>
                </bottom>
                <vertical/>
                <horizontal/>
              </border>
            </x14:dxf>
          </x14:cfRule>
          <xm:sqref>S54</xm:sqref>
        </x14:conditionalFormatting>
        <x14:conditionalFormatting xmlns:xm="http://schemas.microsoft.com/office/excel/2006/main">
          <x14:cfRule type="expression" priority="26" id="{2B152A9E-17AC-4B1F-9038-BA62C71DBADB}">
            <xm:f>$R74=Utilitaires!$N$572</xm:f>
            <x14:dxf>
              <fill>
                <patternFill>
                  <bgColor theme="0"/>
                </patternFill>
              </fill>
              <border>
                <left style="thin">
                  <color auto="1"/>
                </left>
                <right style="thin">
                  <color auto="1"/>
                </right>
                <top style="thin">
                  <color auto="1"/>
                </top>
                <bottom style="thin">
                  <color auto="1"/>
                </bottom>
                <vertical/>
                <horizontal/>
              </border>
            </x14:dxf>
          </x14:cfRule>
          <xm:sqref>S74:S75</xm:sqref>
        </x14:conditionalFormatting>
        <x14:conditionalFormatting xmlns:xm="http://schemas.microsoft.com/office/excel/2006/main">
          <x14:cfRule type="expression" priority="25" id="{0A0D2F9E-8F7D-42F9-B8C6-176DA7E1A764}">
            <xm:f>$R71=Utilitaires!$N$572</xm:f>
            <x14:dxf>
              <fill>
                <patternFill>
                  <bgColor theme="0"/>
                </patternFill>
              </fill>
              <border>
                <left style="thin">
                  <color auto="1"/>
                </left>
                <right style="thin">
                  <color auto="1"/>
                </right>
                <top style="thin">
                  <color auto="1"/>
                </top>
                <bottom style="thin">
                  <color auto="1"/>
                </bottom>
                <vertical/>
                <horizontal/>
              </border>
            </x14:dxf>
          </x14:cfRule>
          <xm:sqref>S71:S72</xm:sqref>
        </x14:conditionalFormatting>
        <x14:conditionalFormatting xmlns:xm="http://schemas.microsoft.com/office/excel/2006/main">
          <x14:cfRule type="expression" priority="24" id="{A93B25E9-0BC5-480C-9433-6F3D5D8C1B53}">
            <xm:f>$R91=Utilitaires!$N$572</xm:f>
            <x14:dxf>
              <fill>
                <patternFill>
                  <bgColor theme="0"/>
                </patternFill>
              </fill>
              <border>
                <left style="thin">
                  <color auto="1"/>
                </left>
                <right style="thin">
                  <color auto="1"/>
                </right>
                <top style="thin">
                  <color auto="1"/>
                </top>
                <bottom style="thin">
                  <color auto="1"/>
                </bottom>
                <vertical/>
                <horizontal/>
              </border>
            </x14:dxf>
          </x14:cfRule>
          <xm:sqref>S91</xm:sqref>
        </x14:conditionalFormatting>
        <x14:conditionalFormatting xmlns:xm="http://schemas.microsoft.com/office/excel/2006/main">
          <x14:cfRule type="expression" priority="23" id="{3F90D59A-3AB6-490D-9034-5725FD3E9362}">
            <xm:f>$R88=Utilitaires!$N$572</xm:f>
            <x14:dxf>
              <fill>
                <patternFill>
                  <bgColor theme="0"/>
                </patternFill>
              </fill>
              <border>
                <left style="thin">
                  <color auto="1"/>
                </left>
                <right style="thin">
                  <color auto="1"/>
                </right>
                <top style="thin">
                  <color auto="1"/>
                </top>
                <bottom style="thin">
                  <color auto="1"/>
                </bottom>
                <vertical/>
                <horizontal/>
              </border>
            </x14:dxf>
          </x14:cfRule>
          <xm:sqref>S88</xm:sqref>
        </x14:conditionalFormatting>
        <x14:conditionalFormatting xmlns:xm="http://schemas.microsoft.com/office/excel/2006/main">
          <x14:cfRule type="expression" priority="22" id="{B40C1D2D-5AAD-4F9E-9A24-98B1003B97B7}">
            <xm:f>$R87=Utilitaires!$N$572</xm:f>
            <x14:dxf>
              <fill>
                <patternFill>
                  <bgColor theme="0"/>
                </patternFill>
              </fill>
              <border>
                <left style="thin">
                  <color auto="1"/>
                </left>
                <right style="thin">
                  <color auto="1"/>
                </right>
                <top style="thin">
                  <color auto="1"/>
                </top>
                <bottom style="thin">
                  <color auto="1"/>
                </bottom>
                <vertical/>
                <horizontal/>
              </border>
            </x14:dxf>
          </x14:cfRule>
          <xm:sqref>S87</xm:sqref>
        </x14:conditionalFormatting>
        <x14:conditionalFormatting xmlns:xm="http://schemas.microsoft.com/office/excel/2006/main">
          <x14:cfRule type="expression" priority="21" id="{665EE040-24DD-4C4B-8AF8-8503291BD8E8}">
            <xm:f>$R89=Utilitaires!$N$572</xm:f>
            <x14:dxf>
              <fill>
                <patternFill>
                  <bgColor theme="0"/>
                </patternFill>
              </fill>
              <border>
                <left style="thin">
                  <color auto="1"/>
                </left>
                <right style="thin">
                  <color auto="1"/>
                </right>
                <top style="thin">
                  <color auto="1"/>
                </top>
                <bottom style="thin">
                  <color auto="1"/>
                </bottom>
                <vertical/>
                <horizontal/>
              </border>
            </x14:dxf>
          </x14:cfRule>
          <xm:sqref>S89:S90</xm:sqref>
        </x14:conditionalFormatting>
        <x14:conditionalFormatting xmlns:xm="http://schemas.microsoft.com/office/excel/2006/main">
          <x14:cfRule type="expression" priority="19" id="{6FC74902-71DD-4C63-A594-E42B999200BE}">
            <xm:f>$R117=Utilitaires!$N$572</xm:f>
            <x14:dxf>
              <fill>
                <patternFill>
                  <bgColor theme="0"/>
                </patternFill>
              </fill>
              <border>
                <left style="thin">
                  <color auto="1"/>
                </left>
                <right style="thin">
                  <color auto="1"/>
                </right>
                <top style="thin">
                  <color auto="1"/>
                </top>
                <bottom style="thin">
                  <color auto="1"/>
                </bottom>
                <vertical/>
                <horizontal/>
              </border>
            </x14:dxf>
          </x14:cfRule>
          <xm:sqref>S117 S119</xm:sqref>
        </x14:conditionalFormatting>
        <x14:conditionalFormatting xmlns:xm="http://schemas.microsoft.com/office/excel/2006/main">
          <x14:cfRule type="expression" priority="18" id="{4FC778BD-785A-4CDF-A695-070180DEEE23}">
            <xm:f>$R118=Utilitaires!$N$572</xm:f>
            <x14:dxf>
              <fill>
                <patternFill>
                  <bgColor theme="0"/>
                </patternFill>
              </fill>
              <border>
                <left style="thin">
                  <color auto="1"/>
                </left>
                <right style="thin">
                  <color auto="1"/>
                </right>
                <top style="thin">
                  <color auto="1"/>
                </top>
                <bottom style="thin">
                  <color auto="1"/>
                </bottom>
                <vertical/>
                <horizontal/>
              </border>
            </x14:dxf>
          </x14:cfRule>
          <xm:sqref>S118</xm:sqref>
        </x14:conditionalFormatting>
        <x14:conditionalFormatting xmlns:xm="http://schemas.microsoft.com/office/excel/2006/main">
          <x14:cfRule type="expression" priority="17" id="{F5FBF65E-2D7E-484B-A693-56A338C506F5}">
            <xm:f>$R128=Utilitaires!$N$572</xm:f>
            <x14:dxf>
              <fill>
                <patternFill>
                  <bgColor theme="0"/>
                </patternFill>
              </fill>
              <border>
                <left style="thin">
                  <color auto="1"/>
                </left>
                <right style="thin">
                  <color auto="1"/>
                </right>
                <top style="thin">
                  <color auto="1"/>
                </top>
                <bottom style="thin">
                  <color auto="1"/>
                </bottom>
                <vertical/>
                <horizontal/>
              </border>
            </x14:dxf>
          </x14:cfRule>
          <xm:sqref>S128 S130</xm:sqref>
        </x14:conditionalFormatting>
        <x14:conditionalFormatting xmlns:xm="http://schemas.microsoft.com/office/excel/2006/main">
          <x14:cfRule type="expression" priority="16" id="{D215AED8-D357-488E-8080-1BA37CEA4219}">
            <xm:f>$R129=Utilitaires!$N$572</xm:f>
            <x14:dxf>
              <fill>
                <patternFill>
                  <bgColor theme="0"/>
                </patternFill>
              </fill>
              <border>
                <left style="thin">
                  <color auto="1"/>
                </left>
                <right style="thin">
                  <color auto="1"/>
                </right>
                <top style="thin">
                  <color auto="1"/>
                </top>
                <bottom style="thin">
                  <color auto="1"/>
                </bottom>
                <vertical/>
                <horizontal/>
              </border>
            </x14:dxf>
          </x14:cfRule>
          <xm:sqref>S129</xm:sqref>
        </x14:conditionalFormatting>
        <x14:conditionalFormatting xmlns:xm="http://schemas.microsoft.com/office/excel/2006/main">
          <x14:cfRule type="expression" priority="15" id="{8DEBBF51-4906-4BE0-B843-F3A92F166608}">
            <xm:f>$R139=Utilitaires!$N$572</xm:f>
            <x14:dxf>
              <fill>
                <patternFill>
                  <bgColor theme="0"/>
                </patternFill>
              </fill>
              <border>
                <left style="thin">
                  <color auto="1"/>
                </left>
                <right style="thin">
                  <color auto="1"/>
                </right>
                <top style="thin">
                  <color auto="1"/>
                </top>
                <bottom style="thin">
                  <color auto="1"/>
                </bottom>
                <vertical/>
                <horizontal/>
              </border>
            </x14:dxf>
          </x14:cfRule>
          <xm:sqref>S139</xm:sqref>
        </x14:conditionalFormatting>
        <x14:conditionalFormatting xmlns:xm="http://schemas.microsoft.com/office/excel/2006/main">
          <x14:cfRule type="expression" priority="13" id="{F2060841-052C-466C-A4E1-6C0D7271EB80}">
            <xm:f>$R148=Utilitaires!$N$572</xm:f>
            <x14:dxf>
              <fill>
                <patternFill>
                  <bgColor theme="0"/>
                </patternFill>
              </fill>
              <border>
                <left style="thin">
                  <color auto="1"/>
                </left>
                <right style="thin">
                  <color auto="1"/>
                </right>
                <top style="thin">
                  <color auto="1"/>
                </top>
                <bottom style="thin">
                  <color auto="1"/>
                </bottom>
                <vertical/>
                <horizontal/>
              </border>
            </x14:dxf>
          </x14:cfRule>
          <xm:sqref>S148</xm:sqref>
        </x14:conditionalFormatting>
        <x14:conditionalFormatting xmlns:xm="http://schemas.microsoft.com/office/excel/2006/main">
          <x14:cfRule type="expression" priority="11" id="{52B8ACCE-3AD4-4F5B-96CF-1053A36C5522}">
            <xm:f>$R171=Utilitaires!$N$572</xm:f>
            <x14:dxf>
              <fill>
                <patternFill>
                  <bgColor theme="0"/>
                </patternFill>
              </fill>
              <border>
                <left style="thin">
                  <color auto="1"/>
                </left>
                <right style="thin">
                  <color auto="1"/>
                </right>
                <top style="thin">
                  <color auto="1"/>
                </top>
                <bottom style="thin">
                  <color auto="1"/>
                </bottom>
                <vertical/>
                <horizontal/>
              </border>
            </x14:dxf>
          </x14:cfRule>
          <xm:sqref>S171</xm:sqref>
        </x14:conditionalFormatting>
        <x14:conditionalFormatting xmlns:xm="http://schemas.microsoft.com/office/excel/2006/main">
          <x14:cfRule type="expression" priority="10" id="{4C5AD482-694C-4BD5-9D0E-6D37DA64CA95}">
            <xm:f>$R170=Utilitaires!$N$572</xm:f>
            <x14:dxf>
              <fill>
                <patternFill>
                  <bgColor theme="0"/>
                </patternFill>
              </fill>
              <border>
                <left style="thin">
                  <color auto="1"/>
                </left>
                <right style="thin">
                  <color auto="1"/>
                </right>
                <top style="thin">
                  <color auto="1"/>
                </top>
                <bottom style="thin">
                  <color auto="1"/>
                </bottom>
                <vertical/>
                <horizontal/>
              </border>
            </x14:dxf>
          </x14:cfRule>
          <xm:sqref>S170</xm:sqref>
        </x14:conditionalFormatting>
        <x14:conditionalFormatting xmlns:xm="http://schemas.microsoft.com/office/excel/2006/main">
          <x14:cfRule type="expression" priority="9" id="{79F48151-3937-426F-BFBE-CB200A0F121A}">
            <xm:f>$R157=Utilitaires!$N$572</xm:f>
            <x14:dxf>
              <fill>
                <patternFill>
                  <bgColor theme="0"/>
                </patternFill>
              </fill>
              <border>
                <left style="thin">
                  <color auto="1"/>
                </left>
                <right style="thin">
                  <color auto="1"/>
                </right>
                <top style="thin">
                  <color auto="1"/>
                </top>
                <bottom style="thin">
                  <color auto="1"/>
                </bottom>
                <vertical/>
                <horizontal/>
              </border>
            </x14:dxf>
          </x14:cfRule>
          <xm:sqref>S157</xm:sqref>
        </x14:conditionalFormatting>
        <x14:conditionalFormatting xmlns:xm="http://schemas.microsoft.com/office/excel/2006/main">
          <x14:cfRule type="expression" priority="8" id="{AD0F27B3-9D38-43E8-A93F-AA43AD8DF096}">
            <xm:f>$R159=Utilitaires!$N$572</xm:f>
            <x14:dxf>
              <fill>
                <patternFill>
                  <bgColor theme="0"/>
                </patternFill>
              </fill>
              <border>
                <left style="thin">
                  <color auto="1"/>
                </left>
                <right style="thin">
                  <color auto="1"/>
                </right>
                <top style="thin">
                  <color auto="1"/>
                </top>
                <bottom style="thin">
                  <color auto="1"/>
                </bottom>
                <vertical/>
                <horizontal/>
              </border>
            </x14:dxf>
          </x14:cfRule>
          <xm:sqref>S159</xm:sqref>
        </x14:conditionalFormatting>
        <x14:conditionalFormatting xmlns:xm="http://schemas.microsoft.com/office/excel/2006/main">
          <x14:cfRule type="expression" priority="7" id="{D1AD6110-25A7-4282-99C6-C45F7C7060FF}">
            <xm:f>$R158=Utilitaires!$N$572</xm:f>
            <x14:dxf>
              <fill>
                <patternFill>
                  <bgColor theme="0"/>
                </patternFill>
              </fill>
              <border>
                <left style="thin">
                  <color auto="1"/>
                </left>
                <right style="thin">
                  <color auto="1"/>
                </right>
                <top style="thin">
                  <color auto="1"/>
                </top>
                <bottom style="thin">
                  <color auto="1"/>
                </bottom>
                <vertical/>
                <horizontal/>
              </border>
            </x14:dxf>
          </x14:cfRule>
          <xm:sqref>S158</xm:sqref>
        </x14:conditionalFormatting>
        <x14:conditionalFormatting xmlns:xm="http://schemas.microsoft.com/office/excel/2006/main">
          <x14:cfRule type="expression" priority="6" id="{9644635E-3125-4A71-B9EE-2CB5463511CF}">
            <xm:f>$R162=Utilitaires!$N$572</xm:f>
            <x14:dxf>
              <fill>
                <patternFill>
                  <bgColor theme="0"/>
                </patternFill>
              </fill>
              <border>
                <left style="thin">
                  <color auto="1"/>
                </left>
                <right style="thin">
                  <color auto="1"/>
                </right>
                <top style="thin">
                  <color auto="1"/>
                </top>
                <bottom style="thin">
                  <color auto="1"/>
                </bottom>
                <vertical/>
                <horizontal/>
              </border>
            </x14:dxf>
          </x14:cfRule>
          <xm:sqref>S162</xm:sqref>
        </x14:conditionalFormatting>
        <x14:conditionalFormatting xmlns:xm="http://schemas.microsoft.com/office/excel/2006/main">
          <x14:cfRule type="expression" priority="5" id="{1D60DA06-F2FA-4A63-A6D4-E66F7503FFF2}">
            <xm:f>$R164=Utilitaires!$N$572</xm:f>
            <x14:dxf>
              <fill>
                <patternFill>
                  <bgColor theme="0"/>
                </patternFill>
              </fill>
              <border>
                <left style="thin">
                  <color auto="1"/>
                </left>
                <right style="thin">
                  <color auto="1"/>
                </right>
                <top style="thin">
                  <color auto="1"/>
                </top>
                <bottom style="thin">
                  <color auto="1"/>
                </bottom>
                <vertical/>
                <horizontal/>
              </border>
            </x14:dxf>
          </x14:cfRule>
          <xm:sqref>S164</xm:sqref>
        </x14:conditionalFormatting>
        <x14:conditionalFormatting xmlns:xm="http://schemas.microsoft.com/office/excel/2006/main">
          <x14:cfRule type="expression" priority="4" id="{E2295765-3473-4E05-B169-BB3A08FB7037}">
            <xm:f>$R163=Utilitaires!$N$572</xm:f>
            <x14:dxf>
              <fill>
                <patternFill>
                  <bgColor theme="0"/>
                </patternFill>
              </fill>
              <border>
                <left style="thin">
                  <color auto="1"/>
                </left>
                <right style="thin">
                  <color auto="1"/>
                </right>
                <top style="thin">
                  <color auto="1"/>
                </top>
                <bottom style="thin">
                  <color auto="1"/>
                </bottom>
                <vertical/>
                <horizontal/>
              </border>
            </x14:dxf>
          </x14:cfRule>
          <xm:sqref>S163</xm:sqref>
        </x14:conditionalFormatting>
        <x14:conditionalFormatting xmlns:xm="http://schemas.microsoft.com/office/excel/2006/main">
          <x14:cfRule type="expression" priority="3" id="{1F8EA497-7149-463B-82C5-0295A16171B3}">
            <xm:f>$R169=Utilitaires!$N$572</xm:f>
            <x14:dxf>
              <fill>
                <patternFill>
                  <bgColor theme="0"/>
                </patternFill>
              </fill>
              <border>
                <left style="thin">
                  <color auto="1"/>
                </left>
                <right style="thin">
                  <color auto="1"/>
                </right>
                <top style="thin">
                  <color auto="1"/>
                </top>
                <bottom style="thin">
                  <color auto="1"/>
                </bottom>
                <vertical/>
                <horizontal/>
              </border>
            </x14:dxf>
          </x14:cfRule>
          <xm:sqref>S169</xm:sqref>
        </x14:conditionalFormatting>
        <x14:conditionalFormatting xmlns:xm="http://schemas.microsoft.com/office/excel/2006/main">
          <x14:cfRule type="expression" priority="2" id="{D6E8D805-FCAD-426C-A7D3-0E51E8778C53}">
            <xm:f>$R168=Utilitaires!$N$572</xm:f>
            <x14:dxf>
              <fill>
                <patternFill>
                  <bgColor theme="0"/>
                </patternFill>
              </fill>
              <border>
                <left style="thin">
                  <color auto="1"/>
                </left>
                <right style="thin">
                  <color auto="1"/>
                </right>
                <top style="thin">
                  <color auto="1"/>
                </top>
                <bottom style="thin">
                  <color auto="1"/>
                </bottom>
                <vertical/>
                <horizontal/>
              </border>
            </x14:dxf>
          </x14:cfRule>
          <xm:sqref>S168</xm:sqref>
        </x14:conditionalFormatting>
        <x14:conditionalFormatting xmlns:xm="http://schemas.microsoft.com/office/excel/2006/main">
          <x14:cfRule type="expression" priority="1" id="{5BAF2BB4-A1D1-4D3A-9873-B581C7DF5C28}">
            <xm:f>$R60=Utilitaires!$N$572</xm:f>
            <x14:dxf>
              <fill>
                <patternFill>
                  <bgColor theme="0"/>
                </patternFill>
              </fill>
              <border>
                <left style="thin">
                  <color auto="1"/>
                </left>
                <right style="thin">
                  <color auto="1"/>
                </right>
                <top style="thin">
                  <color auto="1"/>
                </top>
                <bottom style="thin">
                  <color auto="1"/>
                </bottom>
                <vertical/>
                <horizontal/>
              </border>
            </x14:dxf>
          </x14:cfRule>
          <xm:sqref>S60:S62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17000000}">
          <x14:formula1>
            <xm:f>'FE Déchets'!$C$392:$C$399</xm:f>
          </x14:formula1>
          <xm:sqref>B92</xm:sqref>
        </x14:dataValidation>
        <x14:dataValidation type="list" allowBlank="1" showInputMessage="1" showErrorMessage="1" xr:uid="{00000000-0002-0000-0800-000018000000}">
          <x14:formula1>
            <xm:f>'FE Intrants'!$I$81:$I$96</xm:f>
          </x14:formula1>
          <xm:sqref>B103:B105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31</vt:i4>
      </vt:variant>
      <vt:variant>
        <vt:lpstr>Plages nommées</vt:lpstr>
      </vt:variant>
      <vt:variant>
        <vt:i4>254</vt:i4>
      </vt:variant>
    </vt:vector>
  </HeadingPairs>
  <TitlesOfParts>
    <vt:vector size="285" baseType="lpstr">
      <vt:lpstr>Descriptif</vt:lpstr>
      <vt:lpstr>Energie 1</vt:lpstr>
      <vt:lpstr>Energie 2</vt:lpstr>
      <vt:lpstr>Hors énergie 1</vt:lpstr>
      <vt:lpstr>Hors énergie 2</vt:lpstr>
      <vt:lpstr>Intrants 1</vt:lpstr>
      <vt:lpstr>Intrants 2</vt:lpstr>
      <vt:lpstr>Futurs emballages</vt:lpstr>
      <vt:lpstr>Déchets directs</vt:lpstr>
      <vt:lpstr>Fret</vt:lpstr>
      <vt:lpstr>Déplacements</vt:lpstr>
      <vt:lpstr>Immobilisations</vt:lpstr>
      <vt:lpstr>Utilisation</vt:lpstr>
      <vt:lpstr>Fin de vie</vt:lpstr>
      <vt:lpstr>Utilitaires</vt:lpstr>
      <vt:lpstr>Recap CO2e</vt:lpstr>
      <vt:lpstr>Ratios</vt:lpstr>
      <vt:lpstr>Bilan GES</vt:lpstr>
      <vt:lpstr>ISO 14069</vt:lpstr>
      <vt:lpstr>GHG Protocol</vt:lpstr>
      <vt:lpstr>CDP 2018</vt:lpstr>
      <vt:lpstr>Graphiques</vt:lpstr>
      <vt:lpstr>FE Energie</vt:lpstr>
      <vt:lpstr>FE Hors Energie</vt:lpstr>
      <vt:lpstr>FE Intrants</vt:lpstr>
      <vt:lpstr>FE Déchets</vt:lpstr>
      <vt:lpstr>FE Fret</vt:lpstr>
      <vt:lpstr>FE Déplacements</vt:lpstr>
      <vt:lpstr>FE Immobilisations</vt:lpstr>
      <vt:lpstr>export postes</vt:lpstr>
      <vt:lpstr>export sous-postes</vt:lpstr>
      <vt:lpstr>Approche_retenue</vt:lpstr>
      <vt:lpstr>bilan_GES</vt:lpstr>
      <vt:lpstr>calculette_UTFC</vt:lpstr>
      <vt:lpstr>Cartes</vt:lpstr>
      <vt:lpstr>Choix_Incertitudes</vt:lpstr>
      <vt:lpstr>Convertisseurs</vt:lpstr>
      <vt:lpstr>dechets_eaux</vt:lpstr>
      <vt:lpstr>dechets_haut</vt:lpstr>
      <vt:lpstr>dechets_non_banals</vt:lpstr>
      <vt:lpstr>dechets_recap</vt:lpstr>
      <vt:lpstr>dechets_sous_postes</vt:lpstr>
      <vt:lpstr>déchetsdirects_bilanGES</vt:lpstr>
      <vt:lpstr>dechetsdirects_GHGProtocol</vt:lpstr>
      <vt:lpstr>dechetsdirects_ISO14069</vt:lpstr>
      <vt:lpstr>déplacements_bilanGES</vt:lpstr>
      <vt:lpstr>deplacements_domicile_travail</vt:lpstr>
      <vt:lpstr>deplacements_GHGProtocol</vt:lpstr>
      <vt:lpstr>deplacements_ISO14069</vt:lpstr>
      <vt:lpstr>deplacements_recap</vt:lpstr>
      <vt:lpstr>deplacements_salaries_autre_route</vt:lpstr>
      <vt:lpstr>deplacements_salaries_avion</vt:lpstr>
      <vt:lpstr>deplacements_salaries_bateau</vt:lpstr>
      <vt:lpstr>deplacements_salaries_train</vt:lpstr>
      <vt:lpstr>deplacements_salaries_voiture</vt:lpstr>
      <vt:lpstr>deplacements_sous_postes</vt:lpstr>
      <vt:lpstr>deplacements_visiteurs</vt:lpstr>
      <vt:lpstr>Documents</vt:lpstr>
      <vt:lpstr>Données_statistiques</vt:lpstr>
      <vt:lpstr>emballage_Verre</vt:lpstr>
      <vt:lpstr>emballages_metaux</vt:lpstr>
      <vt:lpstr>emballages_papiers</vt:lpstr>
      <vt:lpstr>emballages_plastiques</vt:lpstr>
      <vt:lpstr>emballages_recap</vt:lpstr>
      <vt:lpstr>emballages_sous_postes</vt:lpstr>
      <vt:lpstr>export_haut</vt:lpstr>
      <vt:lpstr>export_ssposte_haut</vt:lpstr>
      <vt:lpstr>FE_Déchets_Bâtiment_Plastiques</vt:lpstr>
      <vt:lpstr>FE_Déchets_Bâtiments_Autres</vt:lpstr>
      <vt:lpstr>FE_Déchets_Bâtiments_Métaux</vt:lpstr>
      <vt:lpstr>FE_Déchets_Dangereux</vt:lpstr>
      <vt:lpstr>FE_Déchets_DEA</vt:lpstr>
      <vt:lpstr>FE_Déchets_DEEE</vt:lpstr>
      <vt:lpstr>FE_Déchets_Eaux_Usées</vt:lpstr>
      <vt:lpstr>FE_Déchets_Emballages_autres_matériaux_ménages</vt:lpstr>
      <vt:lpstr>FE_Déchets_Emballages_bois_carton_ménages</vt:lpstr>
      <vt:lpstr>FE_Déchets_Emballages_métaux_ménages</vt:lpstr>
      <vt:lpstr>FE_Déchets_Emballages_plastiques_acteurs_économiques</vt:lpstr>
      <vt:lpstr>FE_Déchets_Emballages_plastiques_ménages</vt:lpstr>
      <vt:lpstr>FE_Déchets_Emballages_verre_ménages</vt:lpstr>
      <vt:lpstr>FE_Déchets_Ordures_ménagères</vt:lpstr>
      <vt:lpstr>FE_Déchets_Organiques</vt:lpstr>
      <vt:lpstr>FE_Déchets_Piles_et_accumulateurs</vt:lpstr>
      <vt:lpstr>FE_Déchets_Plastiques_acteurs_économiques</vt:lpstr>
      <vt:lpstr>FE_Déchets_Textiles</vt:lpstr>
      <vt:lpstr>FE_Déplacements_Aérien</vt:lpstr>
      <vt:lpstr>FE_Déplacements_Autobus_autocar</vt:lpstr>
      <vt:lpstr>FE_Déplacements_Carburants</vt:lpstr>
      <vt:lpstr>FE_Déplacements_Deux_roues</vt:lpstr>
      <vt:lpstr>FE_Déplacements_Distances_moyennes</vt:lpstr>
      <vt:lpstr>FE_Déplacements_Divers</vt:lpstr>
      <vt:lpstr>FE_Déplacements_Maritime_Fluvial</vt:lpstr>
      <vt:lpstr>FE_Déplacements_Parcours</vt:lpstr>
      <vt:lpstr>Fe_Déplacements_Taxi_VTC</vt:lpstr>
      <vt:lpstr>FE_Déplacements_Train</vt:lpstr>
      <vt:lpstr>FE_Déplacements_Transport_électrique</vt:lpstr>
      <vt:lpstr>FE_Déplacements_Voiture_moyenne_parc</vt:lpstr>
      <vt:lpstr>FE_Déplacements_Voiture_particulière_gamme</vt:lpstr>
      <vt:lpstr>FE_Déplacements_Voiture_particulière_usage</vt:lpstr>
      <vt:lpstr>FE_Energie_Autres_Gaz</vt:lpstr>
      <vt:lpstr>FE_Energie_Biocarburants_liquide_gazeux</vt:lpstr>
      <vt:lpstr>FE_Energie_Bois</vt:lpstr>
      <vt:lpstr>FE_Energie_Butane_Propane</vt:lpstr>
      <vt:lpstr>FE_Energie_Charbons</vt:lpstr>
      <vt:lpstr>FE_Energie_Coke_Déchets</vt:lpstr>
      <vt:lpstr>FE_Energie_Elec_AutresPays</vt:lpstr>
      <vt:lpstr>FE_Energie_Elec_EDF</vt:lpstr>
      <vt:lpstr>FE_Energie_Elec_MoyNatio</vt:lpstr>
      <vt:lpstr>FE_Energie_Elec_MoyOutreMer</vt:lpstr>
      <vt:lpstr>FE_Energie_Elec_Producteurs</vt:lpstr>
      <vt:lpstr>FE_Energie_Elec_Production</vt:lpstr>
      <vt:lpstr>FE_Energie_Elec_Usage_moyenne</vt:lpstr>
      <vt:lpstr>FE_Energie_Elec_Usage_saisonnalisé</vt:lpstr>
      <vt:lpstr>FE_Energie_Liquides</vt:lpstr>
      <vt:lpstr>FE_Energie_Réseaux_Chaleur</vt:lpstr>
      <vt:lpstr>FE_Energie_Réseaux_Froid</vt:lpstr>
      <vt:lpstr>FE_Fret_Aérien</vt:lpstr>
      <vt:lpstr>FE_Fret_carburants</vt:lpstr>
      <vt:lpstr>FE_Fret_Ferroviaire_France</vt:lpstr>
      <vt:lpstr>FE_Fret_Ferroviaire_Iles_autres_pays</vt:lpstr>
      <vt:lpstr>FE_Fret_Fluvial</vt:lpstr>
      <vt:lpstr>FE_Fret_Maritime</vt:lpstr>
      <vt:lpstr>FE_Fret_Routier</vt:lpstr>
      <vt:lpstr>FE_HorsEnergie_Agriculture</vt:lpstr>
      <vt:lpstr>FE_HorsEnergie_Alim_Dig_Dej</vt:lpstr>
      <vt:lpstr>FE_HorsEnergie_PRGHorsKyoto</vt:lpstr>
      <vt:lpstr>FE_HorsEnergie_PRGKyoto</vt:lpstr>
      <vt:lpstr>FE_Immobilisations_Bâtiments</vt:lpstr>
      <vt:lpstr>FE_Immobilisations_Enrobés</vt:lpstr>
      <vt:lpstr>FE_Immobilisations_Informatique</vt:lpstr>
      <vt:lpstr>FE_Immobilisations_Matériaux</vt:lpstr>
      <vt:lpstr>FE_Immobilisations_Ratios</vt:lpstr>
      <vt:lpstr>FE_Immobilisations_VMO</vt:lpstr>
      <vt:lpstr>FE_Immobilisations_Voirie</vt:lpstr>
      <vt:lpstr>FE_Intrants_Articles_sport</vt:lpstr>
      <vt:lpstr>FE_Intrants_Autres_produits_végétaux</vt:lpstr>
      <vt:lpstr>FE_Intrants_Bâtiments_Voirie</vt:lpstr>
      <vt:lpstr>FE_Intrants_Bois</vt:lpstr>
      <vt:lpstr>FE_Intrants_Boisson</vt:lpstr>
      <vt:lpstr>FE_Intrants_Consommables_de_bureau</vt:lpstr>
      <vt:lpstr>FE_Intrants_Cultures_produits_végétaux</vt:lpstr>
      <vt:lpstr>FE_Intrants_Electroménager</vt:lpstr>
      <vt:lpstr>FE_Intrants_Entrées_Plats_composés</vt:lpstr>
      <vt:lpstr>FE_Intrants_Equipements_electriques</vt:lpstr>
      <vt:lpstr>FE_Intrants_Fruits_légumes_oléagineux</vt:lpstr>
      <vt:lpstr>FE_Intrants_Hydrogène_distribution</vt:lpstr>
      <vt:lpstr>FE_Intrants_Hydrogène_production</vt:lpstr>
      <vt:lpstr>FE_Intrants_Informatique_équipements_électroniques</vt:lpstr>
      <vt:lpstr>FE_Intrants_Matériaux_Construction</vt:lpstr>
      <vt:lpstr>FE_Intrants_Métaux</vt:lpstr>
      <vt:lpstr>FE_Intrants_Mobilier</vt:lpstr>
      <vt:lpstr>FE_Intrants_Papier_Carton</vt:lpstr>
      <vt:lpstr>FE_Intrants_Plastique</vt:lpstr>
      <vt:lpstr>FE_Intrants_Produits_Animaux</vt:lpstr>
      <vt:lpstr>FE_Intrants_Produits_céréaliers</vt:lpstr>
      <vt:lpstr>FE_Intrants_Produits_Chimiques</vt:lpstr>
      <vt:lpstr>FE_Intrants_Produits_Mer</vt:lpstr>
      <vt:lpstr>FE_Intrants_Produits_Végétaux</vt:lpstr>
      <vt:lpstr>FE_Intrants_Ratios</vt:lpstr>
      <vt:lpstr>FE_Intrants_Repas</vt:lpstr>
      <vt:lpstr>FE_Intrants_Services</vt:lpstr>
      <vt:lpstr>FE_Intrants_Textile_Habillement_autres</vt:lpstr>
      <vt:lpstr>FE_Intrants_Textile_Habillement_coton</vt:lpstr>
      <vt:lpstr>FE_Intrants_Textile_Habillement_cuir</vt:lpstr>
      <vt:lpstr>FE_Intrants_Textile_Habillement_synthétique</vt:lpstr>
      <vt:lpstr>FE_Intrants_Tourbes</vt:lpstr>
      <vt:lpstr>FE_Intrants_Traitement_Distribution_eau</vt:lpstr>
      <vt:lpstr>FE_Intrants_Véhicules_matériels_transport</vt:lpstr>
      <vt:lpstr>FE_Intrants_Verre</vt:lpstr>
      <vt:lpstr>FE_Intrants_Viticulture</vt:lpstr>
      <vt:lpstr>fin_de_vie_banals</vt:lpstr>
      <vt:lpstr>fin_de_vie_dangereux</vt:lpstr>
      <vt:lpstr>fin_de_vie_haut</vt:lpstr>
      <vt:lpstr>fin_de_vie_recap</vt:lpstr>
      <vt:lpstr>fin_de_vie_sous_postes</vt:lpstr>
      <vt:lpstr>findevie_bilanGES</vt:lpstr>
      <vt:lpstr>findevie_GHGProtocol</vt:lpstr>
      <vt:lpstr>findevie_ISO14069</vt:lpstr>
      <vt:lpstr>fret_aerien_entrant</vt:lpstr>
      <vt:lpstr>fret_aerien_interne</vt:lpstr>
      <vt:lpstr>fret_aerien_sortant</vt:lpstr>
      <vt:lpstr>fret_bilanGES</vt:lpstr>
      <vt:lpstr>fret_ferroviaire_entrant</vt:lpstr>
      <vt:lpstr>fret_ferroviaire_interne</vt:lpstr>
      <vt:lpstr>fret_ferroviaire_sortant</vt:lpstr>
      <vt:lpstr>fret_GHGProtocol</vt:lpstr>
      <vt:lpstr>fret_ISO14069</vt:lpstr>
      <vt:lpstr>fret_maritime_entrant</vt:lpstr>
      <vt:lpstr>fret_maritime_interne</vt:lpstr>
      <vt:lpstr>fret_maritime_sortant</vt:lpstr>
      <vt:lpstr>fret_recap</vt:lpstr>
      <vt:lpstr>fret_route_sortant</vt:lpstr>
      <vt:lpstr>fret_routier_entrant</vt:lpstr>
      <vt:lpstr>fret_routier_interne</vt:lpstr>
      <vt:lpstr>fret_sous_postes</vt:lpstr>
      <vt:lpstr>fuites_DIS</vt:lpstr>
      <vt:lpstr>futuresemballages_bilanGES</vt:lpstr>
      <vt:lpstr>futursemballages_bilanGES</vt:lpstr>
      <vt:lpstr>futursemballages_GHGProtocol</vt:lpstr>
      <vt:lpstr>futursemballages_ISO14069</vt:lpstr>
      <vt:lpstr>GHG_Protocol</vt:lpstr>
      <vt:lpstr>Graphiques</vt:lpstr>
      <vt:lpstr>graphiques_BilanGES</vt:lpstr>
      <vt:lpstr>graphiques_DechetsDirects</vt:lpstr>
      <vt:lpstr>graphiques_Déplacements</vt:lpstr>
      <vt:lpstr>graphiques_Energie1</vt:lpstr>
      <vt:lpstr>graphiques_Energie2</vt:lpstr>
      <vt:lpstr>graphiques_FinDeVie</vt:lpstr>
      <vt:lpstr>graphiques_Fret</vt:lpstr>
      <vt:lpstr>graphiques_FutursEmballages</vt:lpstr>
      <vt:lpstr>graphiques_GHGProtocol</vt:lpstr>
      <vt:lpstr>graphiques_HorsEnergie1</vt:lpstr>
      <vt:lpstr>graphiques_HorsEnergie2</vt:lpstr>
      <vt:lpstr>graphiques_Immobilisations</vt:lpstr>
      <vt:lpstr>graphiques_Intrants</vt:lpstr>
      <vt:lpstr>graphiques_intrants2</vt:lpstr>
      <vt:lpstr>graphiques_Ratios</vt:lpstr>
      <vt:lpstr>graphiques_Utilisation</vt:lpstr>
      <vt:lpstr>horsenergie1_bilanGES</vt:lpstr>
      <vt:lpstr>horsenergie1_GHGProtocol</vt:lpstr>
      <vt:lpstr>horsenergie1_ISO14069</vt:lpstr>
      <vt:lpstr>immobilisations_bilanGES</vt:lpstr>
      <vt:lpstr>immobilisations_GHGProtocol</vt:lpstr>
      <vt:lpstr>immobilisations_ISO14069</vt:lpstr>
      <vt:lpstr>immos_batiments</vt:lpstr>
      <vt:lpstr>immos_informatique</vt:lpstr>
      <vt:lpstr>immos_machines</vt:lpstr>
      <vt:lpstr>immos_recap</vt:lpstr>
      <vt:lpstr>immos_sous_postes</vt:lpstr>
      <vt:lpstr>immos_voirie</vt:lpstr>
      <vt:lpstr>intrants_bilanGES</vt:lpstr>
      <vt:lpstr>intrants_chimie</vt:lpstr>
      <vt:lpstr>intrants_GHGProtocol</vt:lpstr>
      <vt:lpstr>intrants_ISO14069</vt:lpstr>
      <vt:lpstr>intrants_Matériaux_de_construction</vt:lpstr>
      <vt:lpstr>intrants_metaux</vt:lpstr>
      <vt:lpstr>intrants_Papiers</vt:lpstr>
      <vt:lpstr>intrants_plastiques</vt:lpstr>
      <vt:lpstr>intrants_Produits_agricoles</vt:lpstr>
      <vt:lpstr>intrants_ratios</vt:lpstr>
      <vt:lpstr>intrants_total</vt:lpstr>
      <vt:lpstr>intrants_Verre</vt:lpstr>
      <vt:lpstr>ISO_14069</vt:lpstr>
      <vt:lpstr>Liste_dechets</vt:lpstr>
      <vt:lpstr>Liste_dechets2</vt:lpstr>
      <vt:lpstr>Liste_Deplacements</vt:lpstr>
      <vt:lpstr>Liste_Deplacements_bis</vt:lpstr>
      <vt:lpstr>Liste_Deplacements_ter</vt:lpstr>
      <vt:lpstr>Liste_Energie</vt:lpstr>
      <vt:lpstr>Liste_Energie_bis</vt:lpstr>
      <vt:lpstr>Liste_Franchises</vt:lpstr>
      <vt:lpstr>Liste_Fret</vt:lpstr>
      <vt:lpstr>Liste_Fret_bis</vt:lpstr>
      <vt:lpstr>Liste_Fret_ter</vt:lpstr>
      <vt:lpstr>Liste_Horsenergie</vt:lpstr>
      <vt:lpstr>Liste_Immobilisations</vt:lpstr>
      <vt:lpstr>Liste_Immobilisations2</vt:lpstr>
      <vt:lpstr>Liste_Utilisation</vt:lpstr>
      <vt:lpstr>menus_déroulants</vt:lpstr>
      <vt:lpstr>procedes1_CH4</vt:lpstr>
      <vt:lpstr>procedes1_divers</vt:lpstr>
      <vt:lpstr>procedes1_halo</vt:lpstr>
      <vt:lpstr>procedes1_haut</vt:lpstr>
      <vt:lpstr>procedes1_N2O</vt:lpstr>
      <vt:lpstr>procedes1_recap</vt:lpstr>
      <vt:lpstr>ratios_haut</vt:lpstr>
      <vt:lpstr>recap_C_haut</vt:lpstr>
      <vt:lpstr>tertiaire_electricite</vt:lpstr>
      <vt:lpstr>tertiaire_electricite2</vt:lpstr>
      <vt:lpstr>utilisation_bilanGES</vt:lpstr>
      <vt:lpstr>utilisation_electricite</vt:lpstr>
      <vt:lpstr>utilisation_GHGProtocol</vt:lpstr>
      <vt:lpstr>utilisation_haut</vt:lpstr>
      <vt:lpstr>utilisation_hors_nrj</vt:lpstr>
      <vt:lpstr>utilisation_ISO14069</vt:lpstr>
      <vt:lpstr>utilisation_recap</vt:lpstr>
      <vt:lpstr>utilisation_sous_postes</vt:lpstr>
      <vt:lpstr>utilisation_vapeur</vt:lpstr>
      <vt:lpstr>'Déchets directs'!Zone_d_impression</vt:lpstr>
      <vt:lpstr>Fret!Zone_d_impression</vt:lpstr>
      <vt:lpstr>'Futurs emballages'!Zone_d_impression</vt:lpstr>
      <vt:lpstr>'Hors énergie 1'!Zone_d_impression</vt:lpstr>
      <vt:lpstr>Immobilisations!Zone_d_impression</vt:lpstr>
      <vt:lpstr>'Intrants 1'!Zone_d_impression</vt:lpstr>
      <vt:lpstr>'Recap CO2e'!Zone_d_impression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Bilan Carbone®</dc:title>
  <dc:creator>adminsci</dc:creator>
  <cp:lastModifiedBy>HEYER Michaël</cp:lastModifiedBy>
  <dcterms:created xsi:type="dcterms:W3CDTF">2012-04-13T07:00:33Z</dcterms:created>
  <dcterms:modified xsi:type="dcterms:W3CDTF">2023-11-30T09:06:32Z</dcterms:modified>
</cp:coreProperties>
</file>